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Table" sheetId="1" r:id="rId3"/>
    <sheet state="visible" name="Session Count DO NOT EDIT" sheetId="2" r:id="rId4"/>
    <sheet state="visible" name="Scores Import DO NOT EDIT" sheetId="3" r:id="rId5"/>
    <sheet state="visible" name="Judge Count DO NOT EDIT" sheetId="4" r:id="rId6"/>
    <sheet state="visible" name="Session Data" sheetId="5" r:id="rId7"/>
    <sheet state="visible" name="Award Abstract#" sheetId="6" r:id="rId8"/>
    <sheet state="hidden" name="Sustainability" sheetId="7" r:id="rId9"/>
    <sheet state="hidden" name="Library" sheetId="8" r:id="rId10"/>
    <sheet state="hidden" name="Formulas" sheetId="9" r:id="rId11"/>
    <sheet state="hidden" name="SURP" sheetId="10" r:id="rId12"/>
    <sheet state="visible" name="Judge Merge (Alicia)" sheetId="11" r:id="rId13"/>
    <sheet state="visible" name="Copy of Form Responses" sheetId="12" r:id="rId14"/>
  </sheets>
  <definedNames>
    <definedName hidden="1" localSheetId="11" name="_xlnm._FilterDatabase">'Copy of Form Responses'!$A$1:$A$534</definedName>
    <definedName hidden="1" localSheetId="0" name="Z_E4E41A2F_10B4_4B5B_A762_9DA56D8620FA_.wvu.FilterData">'Master Table'!$A$1:$BG$996</definedName>
    <definedName hidden="1" localSheetId="0" name="Z_84CC84BE_42D0_45CE_B2B9_69AFC2D7444D_.wvu.FilterData">'Master Table'!$A$1:$BG$996</definedName>
  </definedNames>
  <calcPr/>
  <customWorkbookViews>
    <customWorkbookView activeSheetId="0" maximized="1" windowHeight="0" windowWidth="0" guid="{E4E41A2F-10B4-4B5B-A762-9DA56D8620FA}" name="Filter 2"/>
    <customWorkbookView activeSheetId="0" maximized="1" windowHeight="0" windowWidth="0" guid="{84CC84BE-42D0-45CE-B2B9-69AFC2D7444D}"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E11">
      <text>
        <t xml:space="preserve">Responder updated this value.</t>
      </text>
    </comment>
    <comment authorId="0" ref="BF11">
      <text>
        <t xml:space="preserve">Responder updated this value.</t>
      </text>
    </comment>
    <comment authorId="0" ref="M12">
      <text>
        <t xml:space="preserve">Responder updated this value.</t>
      </text>
    </comment>
    <comment authorId="0" ref="X19">
      <text>
        <t xml:space="preserve">Responder updated this value.</t>
      </text>
    </comment>
    <comment authorId="0" ref="X20">
      <text>
        <t xml:space="preserve">Responder updated this value.</t>
      </text>
    </comment>
    <comment authorId="0" ref="X21">
      <text>
        <t xml:space="preserve">Responder updated this value.</t>
      </text>
    </comment>
    <comment authorId="0" ref="X22">
      <text>
        <t xml:space="preserve">Responder updated this value.</t>
      </text>
    </comment>
    <comment authorId="0" ref="X23">
      <text>
        <t xml:space="preserve">Responder updated this value.</t>
      </text>
    </comment>
    <comment authorId="0" ref="M29">
      <text>
        <t xml:space="preserve">Responder updated this value.</t>
      </text>
    </comment>
    <comment authorId="0" ref="R29">
      <text>
        <t xml:space="preserve">Responder updated this value.</t>
      </text>
    </comment>
    <comment authorId="0" ref="S29">
      <text>
        <t xml:space="preserve">Responder updated this value.</t>
      </text>
    </comment>
    <comment authorId="0" ref="L35">
      <text>
        <t xml:space="preserve">Responder updated this value.</t>
      </text>
    </comment>
    <comment authorId="0" ref="M35">
      <text>
        <t xml:space="preserve">Responder updated this value.</t>
      </text>
    </comment>
    <comment authorId="0" ref="R35">
      <text>
        <t xml:space="preserve">Responder updated this value.</t>
      </text>
    </comment>
    <comment authorId="0" ref="S35">
      <text>
        <t xml:space="preserve">Responder updated this value.</t>
      </text>
    </comment>
    <comment authorId="0" ref="BO35">
      <text>
        <t xml:space="preserve">Responder updated this value.</t>
      </text>
    </comment>
    <comment authorId="0" ref="BP35">
      <text>
        <t xml:space="preserve">Responder updated this value.</t>
      </text>
    </comment>
    <comment authorId="0" ref="BX35">
      <text>
        <t xml:space="preserve">Responder updated this value.</t>
      </text>
    </comment>
    <comment authorId="0" ref="BY35">
      <text>
        <t xml:space="preserve">Responder updated this value.</t>
      </text>
    </comment>
    <comment authorId="0" ref="Z36">
      <text>
        <t xml:space="preserve">Responder updated this value.</t>
      </text>
    </comment>
    <comment authorId="0" ref="Z37">
      <text>
        <t xml:space="preserve">Responder updated this value.</t>
      </text>
    </comment>
    <comment authorId="0" ref="H41">
      <text>
        <t xml:space="preserve">Responder updated this value.</t>
      </text>
    </comment>
    <comment authorId="0" ref="L41">
      <text>
        <t xml:space="preserve">Responder updated this value.</t>
      </text>
    </comment>
    <comment authorId="0" ref="BO41">
      <text>
        <t xml:space="preserve">Responder updated this value.</t>
      </text>
    </comment>
    <comment authorId="0" ref="BU41">
      <text>
        <t xml:space="preserve">Responder updated this value.</t>
      </text>
    </comment>
    <comment authorId="0" ref="BW41">
      <text>
        <t xml:space="preserve">Responder updated this value.</t>
      </text>
    </comment>
    <comment authorId="0" ref="BX41">
      <text>
        <t xml:space="preserve">Responder updated this value.</t>
      </text>
    </comment>
    <comment authorId="0" ref="BY41">
      <text>
        <t xml:space="preserve">Responder updated this value.</t>
      </text>
    </comment>
    <comment authorId="0" ref="X42">
      <text>
        <t xml:space="preserve">Responder updated this value.</t>
      </text>
    </comment>
    <comment authorId="0" ref="Y42">
      <text>
        <t xml:space="preserve">Responder updated this value.</t>
      </text>
    </comment>
    <comment authorId="0" ref="AO42">
      <text>
        <t xml:space="preserve">Responder updated this value.</t>
      </text>
    </comment>
    <comment authorId="0" ref="AP42">
      <text>
        <t xml:space="preserve">Responder updated this value.</t>
      </text>
    </comment>
    <comment authorId="0" ref="CA42">
      <text>
        <t xml:space="preserve">Responder updated this value.</t>
      </text>
    </comment>
    <comment authorId="0" ref="X43">
      <text>
        <t xml:space="preserve">Responder updated this value.</t>
      </text>
    </comment>
    <comment authorId="0" ref="Y43">
      <text>
        <t xml:space="preserve">Responder updated this value.</t>
      </text>
    </comment>
    <comment authorId="0" ref="AP43">
      <text>
        <t xml:space="preserve">Responder updated this value.</t>
      </text>
    </comment>
    <comment authorId="0" ref="BT43">
      <text>
        <t xml:space="preserve">Responder updated this value.</t>
      </text>
    </comment>
    <comment authorId="0" ref="CA43">
      <text>
        <t xml:space="preserve">Responder updated this value.</t>
      </text>
    </comment>
    <comment authorId="0" ref="M47">
      <text>
        <t xml:space="preserve">Responder updated this value.</t>
      </text>
    </comment>
    <comment authorId="0" ref="X47">
      <text>
        <t xml:space="preserve">Responder updated this value.</t>
      </text>
    </comment>
    <comment authorId="0" ref="AX48">
      <text>
        <t xml:space="preserve">Responder updated this value.</t>
      </text>
    </comment>
    <comment authorId="0" ref="BC48">
      <text>
        <t xml:space="preserve">Responder updated this value.</t>
      </text>
    </comment>
    <comment authorId="0" ref="BD48">
      <text>
        <t xml:space="preserve">Responder updated this value.</t>
      </text>
    </comment>
    <comment authorId="0" ref="BE48">
      <text>
        <t xml:space="preserve">Responder updated this value.</t>
      </text>
    </comment>
    <comment authorId="0" ref="BF48">
      <text>
        <t xml:space="preserve">Responder updated this value.</t>
      </text>
    </comment>
    <comment authorId="0" ref="BG48">
      <text>
        <t xml:space="preserve">Responder updated this value.</t>
      </text>
    </comment>
    <comment authorId="0" ref="BH48">
      <text>
        <t xml:space="preserve">Responder updated this value.</t>
      </text>
    </comment>
    <comment authorId="0" ref="BI48">
      <text>
        <t xml:space="preserve">Responder updated this value.</t>
      </text>
    </comment>
    <comment authorId="0" ref="BJ48">
      <text>
        <t xml:space="preserve">Responder updated this value.</t>
      </text>
    </comment>
    <comment authorId="0" ref="M49">
      <text>
        <t xml:space="preserve">Responder updated this value.</t>
      </text>
    </comment>
    <comment authorId="0" ref="L53">
      <text>
        <t xml:space="preserve">Responder updated this value.</t>
      </text>
    </comment>
    <comment authorId="0" ref="Y53">
      <text>
        <t xml:space="preserve">Responder updated this value.</t>
      </text>
    </comment>
    <comment authorId="0" ref="AK53">
      <text>
        <t xml:space="preserve">Responder updated this value.</t>
      </text>
    </comment>
    <comment authorId="0" ref="AL53">
      <text>
        <t xml:space="preserve">Responder updated this value.</t>
      </text>
    </comment>
    <comment authorId="0" ref="AU53">
      <text>
        <t xml:space="preserve">Responder updated this value.</t>
      </text>
    </comment>
    <comment authorId="0" ref="BM53">
      <text>
        <t xml:space="preserve">Responder updated this value.</t>
      </text>
    </comment>
    <comment authorId="0" ref="L55">
      <text>
        <t xml:space="preserve">Responder updated this value.</t>
      </text>
    </comment>
    <comment authorId="0" ref="AP55">
      <text>
        <t xml:space="preserve">Responder updated this value.</t>
      </text>
    </comment>
    <comment authorId="0" ref="K59">
      <text>
        <t xml:space="preserve">Responder updated this value.</t>
      </text>
    </comment>
    <comment authorId="0" ref="AL60">
      <text>
        <t xml:space="preserve">Responder updated this value.</t>
      </text>
    </comment>
    <comment authorId="0" ref="M69">
      <text>
        <t xml:space="preserve">Responder updated this value.</t>
      </text>
    </comment>
    <comment authorId="0" ref="Z69">
      <text>
        <t xml:space="preserve">Responder updated this value.</t>
      </text>
    </comment>
    <comment authorId="0" ref="L75">
      <text>
        <t xml:space="preserve">Responder updated this value.</t>
      </text>
    </comment>
    <comment authorId="0" ref="AL75">
      <text>
        <t xml:space="preserve">Responder updated this value.</t>
      </text>
    </comment>
    <comment authorId="0" ref="M77">
      <text>
        <t xml:space="preserve">Responder updated this value.</t>
      </text>
    </comment>
    <comment authorId="0" ref="Y78">
      <text>
        <t xml:space="preserve">Responder updated this value.</t>
      </text>
    </comment>
    <comment authorId="0" ref="AK78">
      <text>
        <t xml:space="preserve">Responder updated this value.</t>
      </text>
    </comment>
    <comment authorId="0" ref="AL78">
      <text>
        <t xml:space="preserve">Responder updated this value.</t>
      </text>
    </comment>
    <comment authorId="0" ref="BM78">
      <text>
        <t xml:space="preserve">Responder updated this value.</t>
      </text>
    </comment>
    <comment authorId="0" ref="L83">
      <text>
        <t xml:space="preserve">Responder updated this value.</t>
      </text>
    </comment>
    <comment authorId="0" ref="Z83">
      <text>
        <t xml:space="preserve">Responder updated this value.</t>
      </text>
    </comment>
    <comment authorId="0" ref="BC83">
      <text>
        <t xml:space="preserve">Responder updated this value.</t>
      </text>
    </comment>
    <comment authorId="0" ref="BD83">
      <text>
        <t xml:space="preserve">Responder updated this value.</t>
      </text>
    </comment>
    <comment authorId="0" ref="BE83">
      <text>
        <t xml:space="preserve">Responder updated this value.</t>
      </text>
    </comment>
    <comment authorId="0" ref="BF83">
      <text>
        <t xml:space="preserve">Responder updated this value.</t>
      </text>
    </comment>
    <comment authorId="0" ref="Z94">
      <text>
        <t xml:space="preserve">Responder updated this value.</t>
      </text>
    </comment>
    <comment authorId="0" ref="BO94">
      <text>
        <t xml:space="preserve">Responder updated this value.</t>
      </text>
    </comment>
    <comment authorId="0" ref="M97">
      <text>
        <t xml:space="preserve">Responder updated this value.</t>
      </text>
    </comment>
    <comment authorId="0" ref="L100">
      <text>
        <t xml:space="preserve">Responder updated this value.</t>
      </text>
    </comment>
    <comment authorId="0" ref="L102">
      <text>
        <t xml:space="preserve">Responder updated this value.</t>
      </text>
    </comment>
    <comment authorId="0" ref="AF102">
      <text>
        <t xml:space="preserve">Responder updated this value.</t>
      </text>
    </comment>
    <comment authorId="0" ref="H105">
      <text>
        <t xml:space="preserve">Responder updated this value.</t>
      </text>
    </comment>
    <comment authorId="0" ref="AL105">
      <text>
        <t xml:space="preserve">Responder updated this value.</t>
      </text>
    </comment>
    <comment authorId="0" ref="BC105">
      <text>
        <t xml:space="preserve">Responder updated this value.</t>
      </text>
    </comment>
    <comment authorId="0" ref="BD105">
      <text>
        <t xml:space="preserve">Responder updated this value.</t>
      </text>
    </comment>
    <comment authorId="0" ref="CD105">
      <text>
        <t xml:space="preserve">Responder updated this value.</t>
      </text>
    </comment>
    <comment authorId="0" ref="P114">
      <text>
        <t xml:space="preserve">Responder updated this value.</t>
      </text>
    </comment>
    <comment authorId="0" ref="Q114">
      <text>
        <t xml:space="preserve">Responder updated this value.</t>
      </text>
    </comment>
    <comment authorId="0" ref="R114">
      <text>
        <t xml:space="preserve">Responder updated this value.</t>
      </text>
    </comment>
    <comment authorId="0" ref="S114">
      <text>
        <t xml:space="preserve">Responder updated this value.</t>
      </text>
    </comment>
    <comment authorId="0" ref="X114">
      <text>
        <t xml:space="preserve">Responder updated this value.</t>
      </text>
    </comment>
    <comment authorId="0" ref="Z114">
      <text>
        <t xml:space="preserve">Responder updated this value.</t>
      </text>
    </comment>
    <comment authorId="0" ref="AL114">
      <text>
        <t xml:space="preserve">Responder updated this value.</t>
      </text>
    </comment>
    <comment authorId="0" ref="BO114">
      <text>
        <t xml:space="preserve">Responder updated this value.</t>
      </text>
    </comment>
    <comment authorId="0" ref="P115">
      <text>
        <t xml:space="preserve">Responder updated this value.</t>
      </text>
    </comment>
    <comment authorId="0" ref="Q115">
      <text>
        <t xml:space="preserve">Responder updated this value.</t>
      </text>
    </comment>
    <comment authorId="0" ref="R115">
      <text>
        <t xml:space="preserve">Responder updated this value.</t>
      </text>
    </comment>
    <comment authorId="0" ref="S115">
      <text>
        <t xml:space="preserve">Responder updated this value.</t>
      </text>
    </comment>
    <comment authorId="0" ref="L123">
      <text>
        <t xml:space="preserve">Responder updated this value.</t>
      </text>
    </comment>
    <comment authorId="0" ref="BU123">
      <text>
        <t xml:space="preserve">Responder updated this value.</t>
      </text>
    </comment>
    <comment authorId="0" ref="H125">
      <text>
        <t xml:space="preserve">Responder updated this value.</t>
      </text>
    </comment>
    <comment authorId="0" ref="L125">
      <text>
        <t xml:space="preserve">Responder updated this value.</t>
      </text>
    </comment>
    <comment authorId="0" ref="M125">
      <text>
        <t xml:space="preserve">Responder updated this value.</t>
      </text>
    </comment>
    <comment authorId="0" ref="Z125">
      <text>
        <t xml:space="preserve">Responder updated this value.</t>
      </text>
    </comment>
    <comment authorId="0" ref="BR125">
      <text>
        <t xml:space="preserve">Responder updated this value.</t>
      </text>
    </comment>
    <comment authorId="0" ref="L127">
      <text>
        <t xml:space="preserve">Responder updated this value.</t>
      </text>
    </comment>
    <comment authorId="0" ref="M127">
      <text>
        <t xml:space="preserve">Responder updated this value.</t>
      </text>
    </comment>
    <comment authorId="0" ref="H129">
      <text>
        <t xml:space="preserve">Responder updated this value.</t>
      </text>
    </comment>
    <comment authorId="0" ref="L129">
      <text>
        <t xml:space="preserve">Responder updated this value.</t>
      </text>
    </comment>
    <comment authorId="0" ref="P129">
      <text>
        <t xml:space="preserve">Responder updated this value.</t>
      </text>
    </comment>
    <comment authorId="0" ref="Q129">
      <text>
        <t xml:space="preserve">Responder updated this value.</t>
      </text>
    </comment>
    <comment authorId="0" ref="AS129">
      <text>
        <t xml:space="preserve">Responder updated this value.</t>
      </text>
    </comment>
    <comment authorId="0" ref="AT129">
      <text>
        <t xml:space="preserve">Responder updated this value.</t>
      </text>
    </comment>
    <comment authorId="0" ref="AU129">
      <text>
        <t xml:space="preserve">Responder updated this value.</t>
      </text>
    </comment>
    <comment authorId="0" ref="AV129">
      <text>
        <t xml:space="preserve">Responder updated this value.</t>
      </text>
    </comment>
    <comment authorId="0" ref="AW129">
      <text>
        <t xml:space="preserve">Responder updated this value.</t>
      </text>
    </comment>
    <comment authorId="0" ref="AX129">
      <text>
        <t xml:space="preserve">Responder updated this value.</t>
      </text>
    </comment>
    <comment authorId="0" ref="AY129">
      <text>
        <t xml:space="preserve">Responder updated this value.</t>
      </text>
    </comment>
    <comment authorId="0" ref="AZ129">
      <text>
        <t xml:space="preserve">Responder updated this value.</t>
      </text>
    </comment>
    <comment authorId="0" ref="BA129">
      <text>
        <t xml:space="preserve">Responder updated this value.</t>
      </text>
    </comment>
    <comment authorId="0" ref="BB129">
      <text>
        <t xml:space="preserve">Responder updated this value.</t>
      </text>
    </comment>
    <comment authorId="0" ref="BO129">
      <text>
        <t xml:space="preserve">Responder updated this value.</t>
      </text>
    </comment>
    <comment authorId="0" ref="BP129">
      <text>
        <t xml:space="preserve">Responder updated this value.</t>
      </text>
    </comment>
    <comment authorId="0" ref="BW129">
      <text>
        <t xml:space="preserve">Responder updated this value.</t>
      </text>
    </comment>
    <comment authorId="0" ref="L131">
      <text>
        <t xml:space="preserve">Responder updated this value.</t>
      </text>
    </comment>
    <comment authorId="0" ref="M131">
      <text>
        <t xml:space="preserve">Responder updated this value.</t>
      </text>
    </comment>
    <comment authorId="0" ref="P131">
      <text>
        <t xml:space="preserve">Responder updated this value.</t>
      </text>
    </comment>
    <comment authorId="0" ref="Q131">
      <text>
        <t xml:space="preserve">Responder updated this value.</t>
      </text>
    </comment>
    <comment authorId="0" ref="V131">
      <text>
        <t xml:space="preserve">Responder updated this value.</t>
      </text>
    </comment>
    <comment authorId="0" ref="W131">
      <text>
        <t xml:space="preserve">Responder updated this value.</t>
      </text>
    </comment>
    <comment authorId="0" ref="X131">
      <text>
        <t xml:space="preserve">Responder updated this value.</t>
      </text>
    </comment>
    <comment authorId="0" ref="Y131">
      <text>
        <t xml:space="preserve">Responder updated this value.</t>
      </text>
    </comment>
    <comment authorId="0" ref="H134">
      <text>
        <t xml:space="preserve">Responder updated this value.</t>
      </text>
    </comment>
    <comment authorId="0" ref="L134">
      <text>
        <t xml:space="preserve">Responder updated this value.</t>
      </text>
    </comment>
    <comment authorId="0" ref="BR134">
      <text>
        <t xml:space="preserve">Responder updated this value.</t>
      </text>
    </comment>
    <comment authorId="0" ref="BW134">
      <text>
        <t xml:space="preserve">Responder updated this value.</t>
      </text>
    </comment>
    <comment authorId="0" ref="BX134">
      <text>
        <t xml:space="preserve">Responder updated this value.</t>
      </text>
    </comment>
    <comment authorId="0" ref="BY134">
      <text>
        <t xml:space="preserve">Responder updated this value.</t>
      </text>
    </comment>
    <comment authorId="0" ref="CG134">
      <text>
        <t xml:space="preserve">Responder updated this value.</t>
      </text>
    </comment>
    <comment authorId="0" ref="L137">
      <text>
        <t xml:space="preserve">Responder updated this value.</t>
      </text>
    </comment>
    <comment authorId="0" ref="M137">
      <text>
        <t xml:space="preserve">Responder updated this value.</t>
      </text>
    </comment>
    <comment authorId="0" ref="L150">
      <text>
        <t xml:space="preserve">Responder updated this value.</t>
      </text>
    </comment>
    <comment authorId="0" ref="M153">
      <text>
        <t xml:space="preserve">Responder updated this value.</t>
      </text>
    </comment>
    <comment authorId="0" ref="AB153">
      <text>
        <t xml:space="preserve">Responder updated this value.</t>
      </text>
    </comment>
    <comment authorId="0" ref="X164">
      <text>
        <t xml:space="preserve">Responder updated this value.</t>
      </text>
    </comment>
    <comment authorId="0" ref="Y164">
      <text>
        <t xml:space="preserve">Responder updated this value.</t>
      </text>
    </comment>
    <comment authorId="0" ref="AP164">
      <text>
        <t xml:space="preserve">Responder updated this value.</t>
      </text>
    </comment>
    <comment authorId="0" ref="AV164">
      <text>
        <t xml:space="preserve">Responder updated this value.</t>
      </text>
    </comment>
    <comment authorId="0" ref="BQ164">
      <text>
        <t xml:space="preserve">Responder updated this value.</t>
      </text>
    </comment>
    <comment authorId="0" ref="CA164">
      <text>
        <t xml:space="preserve">Responder updated this value.</t>
      </text>
    </comment>
    <comment authorId="0" ref="CF164">
      <text>
        <t xml:space="preserve">Responder updated this value.</t>
      </text>
    </comment>
    <comment authorId="0" ref="AX165">
      <text>
        <t xml:space="preserve">Responder updated this value.</t>
      </text>
    </comment>
    <comment authorId="0" ref="Y167">
      <text>
        <t xml:space="preserve">Responder updated this value.</t>
      </text>
    </comment>
    <comment authorId="0" ref="Z167">
      <text>
        <t xml:space="preserve">Responder updated this value.</t>
      </text>
    </comment>
    <comment authorId="0" ref="X173">
      <text>
        <t xml:space="preserve">Responder updated this value.</t>
      </text>
    </comment>
    <comment authorId="0" ref="AP173">
      <text>
        <t xml:space="preserve">Responder updated this value.</t>
      </text>
    </comment>
    <comment authorId="0" ref="L182">
      <text>
        <t xml:space="preserve">Responder updated this value.</t>
      </text>
    </comment>
    <comment authorId="0" ref="H185">
      <text>
        <t xml:space="preserve">Responder updated this value.</t>
      </text>
    </comment>
    <comment authorId="0" ref="H186">
      <text>
        <t xml:space="preserve">Responder updated this value.</t>
      </text>
    </comment>
    <comment authorId="0" ref="M186">
      <text>
        <t xml:space="preserve">Responder updated this value.</t>
      </text>
    </comment>
    <comment authorId="0" ref="L189">
      <text>
        <t xml:space="preserve">Responder updated this value.</t>
      </text>
    </comment>
    <comment authorId="0" ref="L190">
      <text>
        <t xml:space="preserve">Responder updated this value.</t>
      </text>
    </comment>
    <comment authorId="0" ref="Y190">
      <text>
        <t xml:space="preserve">Responder updated this value.</t>
      </text>
    </comment>
    <comment authorId="0" ref="AO190">
      <text>
        <t xml:space="preserve">Responder updated this value.</t>
      </text>
    </comment>
    <comment authorId="0" ref="CA190">
      <text>
        <t xml:space="preserve">Responder updated this value.</t>
      </text>
    </comment>
    <comment authorId="0" ref="H194">
      <text>
        <t xml:space="preserve">Responder updated this value.</t>
      </text>
    </comment>
    <comment authorId="0" ref="L194">
      <text>
        <t xml:space="preserve">Responder updated this value.</t>
      </text>
    </comment>
    <comment authorId="0" ref="AP194">
      <text>
        <t xml:space="preserve">Responder updated this value.</t>
      </text>
    </comment>
    <comment authorId="0" ref="AX194">
      <text>
        <t xml:space="preserve">Responder updated this value.</t>
      </text>
    </comment>
    <comment authorId="0" ref="BC194">
      <text>
        <t xml:space="preserve">Responder updated this value.</t>
      </text>
    </comment>
    <comment authorId="0" ref="BD194">
      <text>
        <t xml:space="preserve">Responder updated this value.</t>
      </text>
    </comment>
    <comment authorId="0" ref="BO194">
      <text>
        <t xml:space="preserve">Responder updated this value.</t>
      </text>
    </comment>
    <comment authorId="0" ref="BU194">
      <text>
        <t xml:space="preserve">Responder updated this value.</t>
      </text>
    </comment>
    <comment authorId="0" ref="Z195">
      <text>
        <t xml:space="preserve">Responder updated this value.</t>
      </text>
    </comment>
    <comment authorId="0" ref="L199">
      <text>
        <t xml:space="preserve">Responder updated this value.</t>
      </text>
    </comment>
    <comment authorId="0" ref="M199">
      <text>
        <t xml:space="preserve">Responder updated this value.</t>
      </text>
    </comment>
    <comment authorId="0" ref="BB206">
      <text>
        <t xml:space="preserve">Responder updated this value.</t>
      </text>
    </comment>
    <comment authorId="0" ref="BG206">
      <text>
        <t xml:space="preserve">Responder updated this value.</t>
      </text>
    </comment>
    <comment authorId="0" ref="BH206">
      <text>
        <t xml:space="preserve">Responder updated this value.</t>
      </text>
    </comment>
    <comment authorId="0" ref="BI206">
      <text>
        <t xml:space="preserve">Responder updated this value.</t>
      </text>
    </comment>
    <comment authorId="0" ref="BJ206">
      <text>
        <t xml:space="preserve">Responder updated this value.</t>
      </text>
    </comment>
    <comment authorId="0" ref="BK207">
      <text>
        <t xml:space="preserve">Responder updated this value.</t>
      </text>
    </comment>
    <comment authorId="0" ref="BL207">
      <text>
        <t xml:space="preserve">Responder updated this value.</t>
      </text>
    </comment>
    <comment authorId="0" ref="BM207">
      <text>
        <t xml:space="preserve">Responder updated this value.</t>
      </text>
    </comment>
    <comment authorId="0" ref="BN207">
      <text>
        <t xml:space="preserve">Responder updated this value.</t>
      </text>
    </comment>
    <comment authorId="0" ref="AR211">
      <text>
        <t xml:space="preserve">Responder updated this value.</t>
      </text>
    </comment>
    <comment authorId="0" ref="H215">
      <text>
        <t xml:space="preserve">Responder updated this value.</t>
      </text>
    </comment>
    <comment authorId="0" ref="L215">
      <text>
        <t xml:space="preserve">Responder updated this value.</t>
      </text>
    </comment>
    <comment authorId="0" ref="AC215">
      <text>
        <t xml:space="preserve">Responder updated this value.</t>
      </text>
    </comment>
    <comment authorId="0" ref="AN235">
      <text>
        <t xml:space="preserve">Responder updated this value.</t>
      </text>
    </comment>
    <comment authorId="0" ref="BT235">
      <text>
        <t xml:space="preserve">Responder updated this value.</t>
      </text>
    </comment>
    <comment authorId="0" ref="CB235">
      <text>
        <t xml:space="preserve">Responder updated this value.</t>
      </text>
    </comment>
    <comment authorId="0" ref="BI238">
      <text>
        <t xml:space="preserve">Responder updated this value.</t>
      </text>
    </comment>
    <comment authorId="0" ref="BJ238">
      <text>
        <t xml:space="preserve">Responder updated this value.</t>
      </text>
    </comment>
    <comment authorId="0" ref="M244">
      <text>
        <t xml:space="preserve">Responder updated this value.</t>
      </text>
    </comment>
    <comment authorId="0" ref="L247">
      <text>
        <t xml:space="preserve">Responder updated this value.</t>
      </text>
    </comment>
    <comment authorId="0" ref="K248">
      <text>
        <t xml:space="preserve">Responder updated this value.</t>
      </text>
    </comment>
    <comment authorId="0" ref="AN252">
      <text>
        <t xml:space="preserve">Responder updated this value.</t>
      </text>
    </comment>
    <comment authorId="0" ref="BB252">
      <text>
        <t xml:space="preserve">Responder updated this value.</t>
      </text>
    </comment>
    <comment authorId="0" ref="BG252">
      <text>
        <t xml:space="preserve">Responder updated this value.</t>
      </text>
    </comment>
    <comment authorId="0" ref="BH252">
      <text>
        <t xml:space="preserve">Responder updated this value.</t>
      </text>
    </comment>
    <comment authorId="0" ref="BI252">
      <text>
        <t xml:space="preserve">Responder updated this value.</t>
      </text>
    </comment>
    <comment authorId="0" ref="BJ252">
      <text>
        <t xml:space="preserve">Responder updated this value.</t>
      </text>
    </comment>
    <comment authorId="0" ref="BK252">
      <text>
        <t xml:space="preserve">Responder updated this value.</t>
      </text>
    </comment>
    <comment authorId="0" ref="BL252">
      <text>
        <t xml:space="preserve">Responder updated this value.</t>
      </text>
    </comment>
    <comment authorId="0" ref="BM252">
      <text>
        <t xml:space="preserve">Responder updated this value.</t>
      </text>
    </comment>
    <comment authorId="0" ref="BN252">
      <text>
        <t xml:space="preserve">Responder updated this value.</t>
      </text>
    </comment>
    <comment authorId="0" ref="BO252">
      <text>
        <t xml:space="preserve">Responder updated this value.</t>
      </text>
    </comment>
    <comment authorId="0" ref="BP252">
      <text>
        <t xml:space="preserve">Responder updated this value.</t>
      </text>
    </comment>
    <comment authorId="0" ref="CD252">
      <text>
        <t xml:space="preserve">Responder updated this value.</t>
      </text>
    </comment>
    <comment authorId="0" ref="BI254">
      <text>
        <t xml:space="preserve">Responder updated this value.</t>
      </text>
    </comment>
    <comment authorId="0" ref="BJ254">
      <text>
        <t xml:space="preserve">Responder updated this value.</t>
      </text>
    </comment>
    <comment authorId="0" ref="BT254">
      <text>
        <t xml:space="preserve">Responder updated this value.</t>
      </text>
    </comment>
    <comment authorId="0" ref="CB256">
      <text>
        <t xml:space="preserve">Responder updated this value.</t>
      </text>
    </comment>
    <comment authorId="0" ref="CC256">
      <text>
        <t xml:space="preserve">Responder updated this value.</t>
      </text>
    </comment>
    <comment authorId="0" ref="BB262">
      <text>
        <t xml:space="preserve">Responder updated this value.</t>
      </text>
    </comment>
    <comment authorId="0" ref="BG262">
      <text>
        <t xml:space="preserve">Responder updated this value.</t>
      </text>
    </comment>
    <comment authorId="0" ref="BH262">
      <text>
        <t xml:space="preserve">Responder updated this value.</t>
      </text>
    </comment>
    <comment authorId="0" ref="BI262">
      <text>
        <t xml:space="preserve">Responder updated this value.</t>
      </text>
    </comment>
    <comment authorId="0" ref="BJ262">
      <text>
        <t xml:space="preserve">Responder updated this value.</t>
      </text>
    </comment>
    <comment authorId="0" ref="BK262">
      <text>
        <t xml:space="preserve">Responder updated this value.</t>
      </text>
    </comment>
    <comment authorId="0" ref="BL262">
      <text>
        <t xml:space="preserve">Responder updated this value.</t>
      </text>
    </comment>
    <comment authorId="0" ref="M267">
      <text>
        <t xml:space="preserve">Responder updated this value.</t>
      </text>
    </comment>
    <comment authorId="0" ref="P267">
      <text>
        <t xml:space="preserve">Responder updated this value.</t>
      </text>
    </comment>
    <comment authorId="0" ref="Q267">
      <text>
        <t xml:space="preserve">Responder updated this value.</t>
      </text>
    </comment>
    <comment authorId="0" ref="R267">
      <text>
        <t xml:space="preserve">Responder updated this value.</t>
      </text>
    </comment>
    <comment authorId="0" ref="S267">
      <text>
        <t xml:space="preserve">Responder updated this value.</t>
      </text>
    </comment>
    <comment authorId="0" ref="L268">
      <text>
        <t xml:space="preserve">Responder updated this value.</t>
      </text>
    </comment>
    <comment authorId="0" ref="O268">
      <text>
        <t xml:space="preserve">Responder updated this value.</t>
      </text>
    </comment>
    <comment authorId="0" ref="P268">
      <text>
        <t xml:space="preserve">Responder updated this value.</t>
      </text>
    </comment>
    <comment authorId="0" ref="Q268">
      <text>
        <t xml:space="preserve">Responder updated this value.</t>
      </text>
    </comment>
    <comment authorId="0" ref="R268">
      <text>
        <t xml:space="preserve">Responder updated this value.</t>
      </text>
    </comment>
    <comment authorId="0" ref="BG268">
      <text>
        <t xml:space="preserve">Responder updated this value.</t>
      </text>
    </comment>
    <comment authorId="0" ref="BH268">
      <text>
        <t xml:space="preserve">Responder updated this value.</t>
      </text>
    </comment>
    <comment authorId="0" ref="BI268">
      <text>
        <t xml:space="preserve">Responder updated this value.</t>
      </text>
    </comment>
    <comment authorId="0" ref="BJ268">
      <text>
        <t xml:space="preserve">Responder updated this value.</t>
      </text>
    </comment>
    <comment authorId="0" ref="O276">
      <text>
        <t xml:space="preserve">Responder updated this value.</t>
      </text>
    </comment>
    <comment authorId="0" ref="P276">
      <text>
        <t xml:space="preserve">Responder updated this value.</t>
      </text>
    </comment>
    <comment authorId="0" ref="L278">
      <text>
        <t xml:space="preserve">Responder updated this value.</t>
      </text>
    </comment>
    <comment authorId="0" ref="M278">
      <text>
        <t xml:space="preserve">Responder updated this value.</t>
      </text>
    </comment>
    <comment authorId="0" ref="AA278">
      <text>
        <t xml:space="preserve">Responder updated this value.</t>
      </text>
    </comment>
    <comment authorId="0" ref="H279">
      <text>
        <t xml:space="preserve">Responder updated this value.</t>
      </text>
    </comment>
    <comment authorId="0" ref="L279">
      <text>
        <t xml:space="preserve">Responder updated this value.</t>
      </text>
    </comment>
    <comment authorId="0" ref="BS283">
      <text>
        <t xml:space="preserve">Responder updated this value.</t>
      </text>
    </comment>
    <comment authorId="0" ref="O286">
      <text>
        <t xml:space="preserve">Responder updated this value.</t>
      </text>
    </comment>
    <comment authorId="0" ref="P286">
      <text>
        <t xml:space="preserve">Responder updated this value.</t>
      </text>
    </comment>
    <comment authorId="0" ref="Q286">
      <text>
        <t xml:space="preserve">Responder updated this value.</t>
      </text>
    </comment>
    <comment authorId="0" ref="R286">
      <text>
        <t xml:space="preserve">Responder updated this value.</t>
      </text>
    </comment>
    <comment authorId="0" ref="BI286">
      <text>
        <t xml:space="preserve">Responder updated this value.</t>
      </text>
    </comment>
    <comment authorId="0" ref="BJ286">
      <text>
        <t xml:space="preserve">Responder updated this value.</t>
      </text>
    </comment>
    <comment authorId="0" ref="BG287">
      <text>
        <t xml:space="preserve">Responder updated this value.</t>
      </text>
    </comment>
    <comment authorId="0" ref="BH287">
      <text>
        <t xml:space="preserve">Responder updated this value.</t>
      </text>
    </comment>
    <comment authorId="0" ref="P288">
      <text>
        <t xml:space="preserve">Responder updated this value.</t>
      </text>
    </comment>
    <comment authorId="0" ref="Q288">
      <text>
        <t xml:space="preserve">Responder updated this value.</t>
      </text>
    </comment>
    <comment authorId="0" ref="L291">
      <text>
        <t xml:space="preserve">Responder updated this value.</t>
      </text>
    </comment>
    <comment authorId="0" ref="M291">
      <text>
        <t xml:space="preserve">Responder updated this value.</t>
      </text>
    </comment>
    <comment authorId="0" ref="BS302">
      <text>
        <t xml:space="preserve">Responder updated this value.</t>
      </text>
    </comment>
    <comment authorId="0" ref="H303">
      <text>
        <t xml:space="preserve">Responder updated this value.</t>
      </text>
    </comment>
    <comment authorId="0" ref="L303">
      <text>
        <t xml:space="preserve">Responder updated this value.</t>
      </text>
    </comment>
    <comment authorId="0" ref="BB303">
      <text>
        <t xml:space="preserve">Responder updated this value.</t>
      </text>
    </comment>
    <comment authorId="0" ref="BG303">
      <text>
        <t xml:space="preserve">Responder updated this value.</t>
      </text>
    </comment>
    <comment authorId="0" ref="BH303">
      <text>
        <t xml:space="preserve">Responder updated this value.</t>
      </text>
    </comment>
    <comment authorId="0" ref="BI303">
      <text>
        <t xml:space="preserve">Responder updated this value.</t>
      </text>
    </comment>
    <comment authorId="0" ref="BJ303">
      <text>
        <t xml:space="preserve">Responder updated this value.</t>
      </text>
    </comment>
    <comment authorId="0" ref="BO312">
      <text>
        <t xml:space="preserve">Responder updated this value.</t>
      </text>
    </comment>
    <comment authorId="0" ref="BP312">
      <text>
        <t xml:space="preserve">Responder updated this value.</t>
      </text>
    </comment>
    <comment authorId="0" ref="H324">
      <text>
        <t xml:space="preserve">Responder updated this value.</t>
      </text>
    </comment>
    <comment authorId="0" ref="L324">
      <text>
        <t xml:space="preserve">Responder updated this value.</t>
      </text>
    </comment>
    <comment authorId="0" ref="AN324">
      <text>
        <t xml:space="preserve">Responder updated this value.</t>
      </text>
    </comment>
    <comment authorId="0" ref="BZ324">
      <text>
        <t xml:space="preserve">Responder updated this value.</t>
      </text>
    </comment>
    <comment authorId="0" ref="CA324">
      <text>
        <t xml:space="preserve">Responder updated this value.</t>
      </text>
    </comment>
    <comment authorId="0" ref="CB324">
      <text>
        <t xml:space="preserve">Responder updated this value.</t>
      </text>
    </comment>
    <comment authorId="0" ref="CC324">
      <text>
        <t xml:space="preserve">Responder updated this value.</t>
      </text>
    </comment>
    <comment authorId="0" ref="H325">
      <text>
        <t xml:space="preserve">Responder updated this value.</t>
      </text>
    </comment>
    <comment authorId="0" ref="L326">
      <text>
        <t xml:space="preserve">Responder updated this value.</t>
      </text>
    </comment>
    <comment authorId="0" ref="M326">
      <text>
        <t xml:space="preserve">Responder updated this value.</t>
      </text>
    </comment>
    <comment authorId="0" ref="L327">
      <text>
        <t xml:space="preserve">Responder updated this value.</t>
      </text>
    </comment>
    <comment authorId="0" ref="CC328">
      <text>
        <t xml:space="preserve">Responder updated this value.</t>
      </text>
    </comment>
    <comment authorId="0" ref="L329">
      <text>
        <t xml:space="preserve">Responder updated this value.</t>
      </text>
    </comment>
    <comment authorId="0" ref="M331">
      <text>
        <t xml:space="preserve">Responder updated this value.</t>
      </text>
    </comment>
    <comment authorId="0" ref="BZ335">
      <text>
        <t xml:space="preserve">Responder updated this value.</t>
      </text>
    </comment>
    <comment authorId="0" ref="AP341">
      <text>
        <t xml:space="preserve">Responder updated this value.</t>
      </text>
    </comment>
    <comment authorId="0" ref="AR341">
      <text>
        <t xml:space="preserve">Responder updated this value.</t>
      </text>
    </comment>
    <comment authorId="0" ref="CF341">
      <text>
        <t xml:space="preserve">Responder updated this value.</t>
      </text>
    </comment>
    <comment authorId="0" ref="BZ343">
      <text>
        <t xml:space="preserve">Responder updated this value.</t>
      </text>
    </comment>
    <comment authorId="0" ref="H347">
      <text>
        <t xml:space="preserve">Responder updated this value.</t>
      </text>
    </comment>
    <comment authorId="0" ref="L347">
      <text>
        <t xml:space="preserve">Responder updated this value.</t>
      </text>
    </comment>
    <comment authorId="0" ref="BS347">
      <text>
        <t xml:space="preserve">Responder updated this value.</t>
      </text>
    </comment>
    <comment authorId="0" ref="BZ347">
      <text>
        <t xml:space="preserve">Responder updated this value.</t>
      </text>
    </comment>
    <comment authorId="0" ref="CA347">
      <text>
        <t xml:space="preserve">Responder updated this value.</t>
      </text>
    </comment>
    <comment authorId="0" ref="CB347">
      <text>
        <t xml:space="preserve">Responder updated this value.</t>
      </text>
    </comment>
    <comment authorId="0" ref="CC347">
      <text>
        <t xml:space="preserve">Responder updated this value.</t>
      </text>
    </comment>
    <comment authorId="0" ref="P354">
      <text>
        <t xml:space="preserve">Responder updated this value.</t>
      </text>
    </comment>
    <comment authorId="0" ref="Q354">
      <text>
        <t xml:space="preserve">Responder updated this value.</t>
      </text>
    </comment>
    <comment authorId="0" ref="R354">
      <text>
        <t xml:space="preserve">Responder updated this value.</t>
      </text>
    </comment>
    <comment authorId="0" ref="S354">
      <text>
        <t xml:space="preserve">Responder updated this value.</t>
      </text>
    </comment>
    <comment authorId="0" ref="L360">
      <text>
        <t xml:space="preserve">Responder updated this value.</t>
      </text>
    </comment>
    <comment authorId="0" ref="M360">
      <text>
        <t xml:space="preserve">Responder updated this value.</t>
      </text>
    </comment>
    <comment authorId="0" ref="BZ361">
      <text>
        <t xml:space="preserve">Responder updated this value.</t>
      </text>
    </comment>
    <comment authorId="0" ref="CA361">
      <text>
        <t xml:space="preserve">Responder updated this value.</t>
      </text>
    </comment>
    <comment authorId="0" ref="BT374">
      <text>
        <t xml:space="preserve">Responder updated this value.</t>
      </text>
    </comment>
    <comment authorId="0" ref="AN383">
      <text>
        <t xml:space="preserve">Responder updated this value.</t>
      </text>
    </comment>
    <comment authorId="0" ref="BG383">
      <text>
        <t xml:space="preserve">Responder updated this value.</t>
      </text>
    </comment>
    <comment authorId="0" ref="BH383">
      <text>
        <t xml:space="preserve">Responder updated this value.</t>
      </text>
    </comment>
    <comment authorId="0" ref="BI383">
      <text>
        <t xml:space="preserve">Responder updated this value.</t>
      </text>
    </comment>
    <comment authorId="0" ref="BJ383">
      <text>
        <t xml:space="preserve">Responder updated this value.</t>
      </text>
    </comment>
    <comment authorId="0" ref="BT383">
      <text>
        <t xml:space="preserve">Responder updated this value.</t>
      </text>
    </comment>
    <comment authorId="0" ref="O390">
      <text>
        <t xml:space="preserve">Responder updated this value.</t>
      </text>
    </comment>
    <comment authorId="0" ref="P390">
      <text>
        <t xml:space="preserve">Responder updated this value.</t>
      </text>
    </comment>
    <comment authorId="0" ref="AN390">
      <text>
        <t xml:space="preserve">Responder updated this value.</t>
      </text>
    </comment>
    <comment authorId="0" ref="BI390">
      <text>
        <t xml:space="preserve">Responder updated this value.</t>
      </text>
    </comment>
    <comment authorId="0" ref="BJ390">
      <text>
        <t xml:space="preserve">Responder updated this value.</t>
      </text>
    </comment>
    <comment authorId="0" ref="BO390">
      <text>
        <t xml:space="preserve">Responder updated this value.</t>
      </text>
    </comment>
    <comment authorId="0" ref="BP390">
      <text>
        <t xml:space="preserve">Responder updated this value.</t>
      </text>
    </comment>
    <comment authorId="0" ref="L391">
      <text>
        <t xml:space="preserve">Responder updated this value.</t>
      </text>
    </comment>
    <comment authorId="0" ref="AN391">
      <text>
        <t xml:space="preserve">Responder updated this value.</t>
      </text>
    </comment>
    <comment authorId="0" ref="P393">
      <text>
        <t xml:space="preserve">Responder updated this value.</t>
      </text>
    </comment>
    <comment authorId="0" ref="Q393">
      <text>
        <t xml:space="preserve">Responder updated this value.</t>
      </text>
    </comment>
    <comment authorId="0" ref="M394">
      <text>
        <t xml:space="preserve">Responder updated this value.</t>
      </text>
    </comment>
    <comment authorId="0" ref="Z414">
      <text>
        <t xml:space="preserve">Responder updated this value.</t>
      </text>
    </comment>
    <comment authorId="0" ref="AR414">
      <text>
        <t xml:space="preserve">Responder updated this value.</t>
      </text>
    </comment>
    <comment authorId="0" ref="H415">
      <text>
        <t xml:space="preserve">Responder updated this value.</t>
      </text>
    </comment>
    <comment authorId="0" ref="L415">
      <text>
        <t xml:space="preserve">Responder updated this value.</t>
      </text>
    </comment>
    <comment authorId="0" ref="BB415">
      <text>
        <t xml:space="preserve">Responder updated this value.</t>
      </text>
    </comment>
    <comment authorId="0" ref="BG415">
      <text>
        <t xml:space="preserve">Responder updated this value.</t>
      </text>
    </comment>
    <comment authorId="0" ref="BH415">
      <text>
        <t xml:space="preserve">Responder updated this value.</t>
      </text>
    </comment>
    <comment authorId="0" ref="BI415">
      <text>
        <t xml:space="preserve">Responder updated this value.</t>
      </text>
    </comment>
    <comment authorId="0" ref="BJ415">
      <text>
        <t xml:space="preserve">Responder updated this value.</t>
      </text>
    </comment>
    <comment authorId="0" ref="BK415">
      <text>
        <t xml:space="preserve">Responder updated this value.</t>
      </text>
    </comment>
    <comment authorId="0" ref="BL415">
      <text>
        <t xml:space="preserve">Responder updated this value.</t>
      </text>
    </comment>
    <comment authorId="0" ref="BM415">
      <text>
        <t xml:space="preserve">Responder updated this value.</t>
      </text>
    </comment>
    <comment authorId="0" ref="BN415">
      <text>
        <t xml:space="preserve">Responder updated this value.</t>
      </text>
    </comment>
    <comment authorId="0" ref="BO415">
      <text>
        <t xml:space="preserve">Responder updated this value.</t>
      </text>
    </comment>
    <comment authorId="0" ref="BP415">
      <text>
        <t xml:space="preserve">Responder updated this value.</t>
      </text>
    </comment>
    <comment authorId="0" ref="L416">
      <text>
        <t xml:space="preserve">Responder updated this value.</t>
      </text>
    </comment>
    <comment authorId="0" ref="L418">
      <text>
        <t xml:space="preserve">Responder updated this value.</t>
      </text>
    </comment>
    <comment authorId="0" ref="M418">
      <text>
        <t xml:space="preserve">Responder updated this value.</t>
      </text>
    </comment>
    <comment authorId="0" ref="BT429">
      <text>
        <t xml:space="preserve">Responder updated this value.</t>
      </text>
    </comment>
    <comment authorId="0" ref="M432">
      <text>
        <t xml:space="preserve">Responder updated this value.</t>
      </text>
    </comment>
    <comment authorId="0" ref="L455">
      <text>
        <t xml:space="preserve">Responder updated this value.</t>
      </text>
    </comment>
    <comment authorId="0" ref="M465">
      <text>
        <t xml:space="preserve">Responder updated this value.</t>
      </text>
    </comment>
    <comment authorId="0" ref="K504">
      <text>
        <t xml:space="preserve">Responder updated this value.</t>
      </text>
    </comment>
    <comment authorId="0" ref="BZ504">
      <text>
        <t xml:space="preserve">Responder updated this value.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85">
      <text>
        <t xml:space="preserve">Responder updated this value.</t>
      </text>
    </comment>
    <comment authorId="0" ref="B321">
      <text>
        <t xml:space="preserve">Responder updated this value.</t>
      </text>
    </comment>
  </commentList>
</comments>
</file>

<file path=xl/sharedStrings.xml><?xml version="1.0" encoding="utf-8"?>
<sst xmlns="http://schemas.openxmlformats.org/spreadsheetml/2006/main" count="68356" uniqueCount="5432">
  <si>
    <t>AbstractNo</t>
  </si>
  <si>
    <t># Signed Up</t>
  </si>
  <si>
    <t># Completed</t>
  </si>
  <si>
    <t>% Completion</t>
  </si>
  <si>
    <t>Judge Mean Score</t>
  </si>
  <si>
    <t>Session</t>
  </si>
  <si>
    <t>SessionTime</t>
  </si>
  <si>
    <t>SessionName</t>
  </si>
  <si>
    <t>Type</t>
  </si>
  <si>
    <t>Program Level</t>
  </si>
  <si>
    <t>College</t>
  </si>
  <si>
    <t>Award</t>
  </si>
  <si>
    <t>Major</t>
  </si>
  <si>
    <t>Library Award</t>
  </si>
  <si>
    <t>Sustainability</t>
  </si>
  <si>
    <t>SURP</t>
  </si>
  <si>
    <t>HSI</t>
  </si>
  <si>
    <t>Diversity</t>
  </si>
  <si>
    <t>Gender</t>
  </si>
  <si>
    <t>If you selected performance or film, please choose the category that best represents your presentation.</t>
  </si>
  <si>
    <t>Weber Honors College?</t>
  </si>
  <si>
    <t>Presenters's First Name</t>
  </si>
  <si>
    <t>Presenter's Last Name</t>
  </si>
  <si>
    <t>Title of Presentation</t>
  </si>
  <si>
    <t>Advisor/Mentor First Name</t>
  </si>
  <si>
    <t>Advisor/Mentor Last Name</t>
  </si>
  <si>
    <t>Advisor/Mentor College/Campus</t>
  </si>
  <si>
    <t>Advisor/Mentor email:</t>
  </si>
  <si>
    <t>Co-Presenter 1 First Name</t>
  </si>
  <si>
    <t>Co-Presenter 1 Last Name</t>
  </si>
  <si>
    <t>Co-Presenter 2 First Name</t>
  </si>
  <si>
    <t>Co-Presenter 2 Last Name</t>
  </si>
  <si>
    <t>Co-Presenter 3 First Name</t>
  </si>
  <si>
    <t>Co-Presenter 3 Last Name</t>
  </si>
  <si>
    <t>Location</t>
  </si>
  <si>
    <t>PosterNo</t>
  </si>
  <si>
    <t>Table Number</t>
  </si>
  <si>
    <t>Time</t>
  </si>
  <si>
    <t>Email</t>
  </si>
  <si>
    <t>RED ID</t>
  </si>
  <si>
    <t>Student Co-Author 1 First Name (Not Presenting)</t>
  </si>
  <si>
    <t>Student Co-Author 1 Last Name (Not Presenting)</t>
  </si>
  <si>
    <t>Student Co-Author 2 First Name (Not Presenting)</t>
  </si>
  <si>
    <t>Student Co-Author 2 Last Name (Not Presenting)</t>
  </si>
  <si>
    <t>Student Co-Author 3 First Name (Not Presenting)</t>
  </si>
  <si>
    <t>Student Co-Author 3 Last Name (Not Presenting)</t>
  </si>
  <si>
    <t>Student Co-Author 4 First Name (Not Presenting)</t>
  </si>
  <si>
    <t>Student Co-Author 4 Last Name (Not Presenting)</t>
  </si>
  <si>
    <t>Student Co-Author 5 First Name (Not Presenting)</t>
  </si>
  <si>
    <t>Student Co-Author 5 Last Name (Not Presenting)</t>
  </si>
  <si>
    <t>Advisor/Mentor Email</t>
  </si>
  <si>
    <t>Advisor/Mentor Department</t>
  </si>
  <si>
    <t>Advisor/Mentor 2 First Name</t>
  </si>
  <si>
    <t>Advisor/Mentor 2 Last Name</t>
  </si>
  <si>
    <t>Advisor/Mentor 2 Department</t>
  </si>
  <si>
    <t>Advisor/Mentor 2 Email</t>
  </si>
  <si>
    <t>Abstract (Enter a text version and also upload a pdf file; 350 Max Word Count)</t>
  </si>
  <si>
    <t>If you selected performance or film, please choose the category that most represents your presentation.</t>
  </si>
  <si>
    <t>Advisor/Mentor College</t>
  </si>
  <si>
    <t>103</t>
  </si>
  <si>
    <t>102</t>
  </si>
  <si>
    <t>100</t>
  </si>
  <si>
    <t>104</t>
  </si>
  <si>
    <t>101</t>
  </si>
  <si>
    <t>105</t>
  </si>
  <si>
    <t>154</t>
  </si>
  <si>
    <t>153</t>
  </si>
  <si>
    <t>156</t>
  </si>
  <si>
    <t>157</t>
  </si>
  <si>
    <t>155</t>
  </si>
  <si>
    <t>158</t>
  </si>
  <si>
    <t>108</t>
  </si>
  <si>
    <t>106</t>
  </si>
  <si>
    <t>Undergrad</t>
  </si>
  <si>
    <t>110</t>
  </si>
  <si>
    <t>Undergrad -new</t>
  </si>
  <si>
    <t>107</t>
  </si>
  <si>
    <t>115</t>
  </si>
  <si>
    <t>111</t>
  </si>
  <si>
    <t>116</t>
  </si>
  <si>
    <t>114</t>
  </si>
  <si>
    <t>113</t>
  </si>
  <si>
    <t>112</t>
  </si>
  <si>
    <t>118</t>
  </si>
  <si>
    <t>121</t>
  </si>
  <si>
    <t>117</t>
  </si>
  <si>
    <t>120</t>
  </si>
  <si>
    <t>122</t>
  </si>
  <si>
    <t>123</t>
  </si>
  <si>
    <t>127</t>
  </si>
  <si>
    <t>128</t>
  </si>
  <si>
    <t>126</t>
  </si>
  <si>
    <t>125</t>
  </si>
  <si>
    <t>124</t>
  </si>
  <si>
    <t>134</t>
  </si>
  <si>
    <t>Dean</t>
  </si>
  <si>
    <t>130</t>
  </si>
  <si>
    <t>133</t>
  </si>
  <si>
    <t>Grad</t>
  </si>
  <si>
    <t>129</t>
  </si>
  <si>
    <t>131</t>
  </si>
  <si>
    <t>Women 1</t>
  </si>
  <si>
    <t>132</t>
  </si>
  <si>
    <t>139</t>
  </si>
  <si>
    <t>137</t>
  </si>
  <si>
    <t>Philosphy</t>
  </si>
  <si>
    <t>135</t>
  </si>
  <si>
    <t>136</t>
  </si>
  <si>
    <t>140</t>
  </si>
  <si>
    <t>138</t>
  </si>
  <si>
    <t>142</t>
  </si>
  <si>
    <t>146</t>
  </si>
  <si>
    <t>144</t>
  </si>
  <si>
    <t>143</t>
  </si>
  <si>
    <t>141</t>
  </si>
  <si>
    <t>145</t>
  </si>
  <si>
    <t>152</t>
  </si>
  <si>
    <t>151</t>
  </si>
  <si>
    <t>149</t>
  </si>
  <si>
    <t>150</t>
  </si>
  <si>
    <t>148</t>
  </si>
  <si>
    <t>147</t>
  </si>
  <si>
    <t>162</t>
  </si>
  <si>
    <t>161</t>
  </si>
  <si>
    <t>160</t>
  </si>
  <si>
    <t>159</t>
  </si>
  <si>
    <t>163</t>
  </si>
  <si>
    <t>210</t>
  </si>
  <si>
    <t>206</t>
  </si>
  <si>
    <t>208</t>
  </si>
  <si>
    <t>209</t>
  </si>
  <si>
    <t>207</t>
  </si>
  <si>
    <t>211</t>
  </si>
  <si>
    <t>167</t>
  </si>
  <si>
    <t>168</t>
  </si>
  <si>
    <t>165</t>
  </si>
  <si>
    <t>164</t>
  </si>
  <si>
    <t>170</t>
  </si>
  <si>
    <t>169</t>
  </si>
  <si>
    <t>172</t>
  </si>
  <si>
    <t>173</t>
  </si>
  <si>
    <t>171</t>
  </si>
  <si>
    <t>176</t>
  </si>
  <si>
    <t>177</t>
  </si>
  <si>
    <t>174</t>
  </si>
  <si>
    <t>175</t>
  </si>
  <si>
    <t>179</t>
  </si>
  <si>
    <t>182</t>
  </si>
  <si>
    <t>183</t>
  </si>
  <si>
    <t>178</t>
  </si>
  <si>
    <t>180</t>
  </si>
  <si>
    <t>181</t>
  </si>
  <si>
    <t>188</t>
  </si>
  <si>
    <t>187</t>
  </si>
  <si>
    <t>184</t>
  </si>
  <si>
    <t>189</t>
  </si>
  <si>
    <t>185</t>
  </si>
  <si>
    <t>186</t>
  </si>
  <si>
    <t>190</t>
  </si>
  <si>
    <t>192</t>
  </si>
  <si>
    <t>193</t>
  </si>
  <si>
    <t>194</t>
  </si>
  <si>
    <t>191</t>
  </si>
  <si>
    <t>195</t>
  </si>
  <si>
    <t>199</t>
  </si>
  <si>
    <t>196</t>
  </si>
  <si>
    <t>201</t>
  </si>
  <si>
    <t>197</t>
  </si>
  <si>
    <t>198</t>
  </si>
  <si>
    <t>Library</t>
  </si>
  <si>
    <t>204</t>
  </si>
  <si>
    <t>205</t>
  </si>
  <si>
    <t>203</t>
  </si>
  <si>
    <t>202</t>
  </si>
  <si>
    <t>215</t>
  </si>
  <si>
    <t>214</t>
  </si>
  <si>
    <t>216</t>
  </si>
  <si>
    <t>212</t>
  </si>
  <si>
    <t>213</t>
  </si>
  <si>
    <t>220</t>
  </si>
  <si>
    <t>222</t>
  </si>
  <si>
    <t>219</t>
  </si>
  <si>
    <t>221</t>
  </si>
  <si>
    <t>218</t>
  </si>
  <si>
    <t>217</t>
  </si>
  <si>
    <t>228</t>
  </si>
  <si>
    <t>225</t>
  </si>
  <si>
    <t>Pres</t>
  </si>
  <si>
    <t>223</t>
  </si>
  <si>
    <t>224</t>
  </si>
  <si>
    <t>226</t>
  </si>
  <si>
    <t>227</t>
  </si>
  <si>
    <t>231</t>
  </si>
  <si>
    <t>230</t>
  </si>
  <si>
    <t>232</t>
  </si>
  <si>
    <t>229</t>
  </si>
  <si>
    <t>233</t>
  </si>
  <si>
    <t>234</t>
  </si>
  <si>
    <t>239</t>
  </si>
  <si>
    <t>235</t>
  </si>
  <si>
    <t>237</t>
  </si>
  <si>
    <t>236</t>
  </si>
  <si>
    <t>238</t>
  </si>
  <si>
    <t>240</t>
  </si>
  <si>
    <t>245</t>
  </si>
  <si>
    <t>243</t>
  </si>
  <si>
    <t>246</t>
  </si>
  <si>
    <t>242</t>
  </si>
  <si>
    <t>244</t>
  </si>
  <si>
    <t>241</t>
  </si>
  <si>
    <t>247</t>
  </si>
  <si>
    <t>250</t>
  </si>
  <si>
    <t>248</t>
  </si>
  <si>
    <t>249</t>
  </si>
  <si>
    <t>254</t>
  </si>
  <si>
    <t>251</t>
  </si>
  <si>
    <t>255</t>
  </si>
  <si>
    <t>256</t>
  </si>
  <si>
    <t>253</t>
  </si>
  <si>
    <t>252</t>
  </si>
  <si>
    <t>261</t>
  </si>
  <si>
    <t>262</t>
  </si>
  <si>
    <t>260</t>
  </si>
  <si>
    <t>258</t>
  </si>
  <si>
    <t>259</t>
  </si>
  <si>
    <t>257</t>
  </si>
  <si>
    <t>267</t>
  </si>
  <si>
    <t>268</t>
  </si>
  <si>
    <t>264</t>
  </si>
  <si>
    <t>265</t>
  </si>
  <si>
    <t>263</t>
  </si>
  <si>
    <t>266</t>
  </si>
  <si>
    <t>272</t>
  </si>
  <si>
    <t>274</t>
  </si>
  <si>
    <t>269</t>
  </si>
  <si>
    <t>270</t>
  </si>
  <si>
    <t>271</t>
  </si>
  <si>
    <t>273</t>
  </si>
  <si>
    <t>279</t>
  </si>
  <si>
    <t>275</t>
  </si>
  <si>
    <t>277</t>
  </si>
  <si>
    <t>280</t>
  </si>
  <si>
    <t>276</t>
  </si>
  <si>
    <t>278</t>
  </si>
  <si>
    <t>285</t>
  </si>
  <si>
    <t>282</t>
  </si>
  <si>
    <t>284</t>
  </si>
  <si>
    <t>283</t>
  </si>
  <si>
    <t>281</t>
  </si>
  <si>
    <t>286</t>
  </si>
  <si>
    <t>288</t>
  </si>
  <si>
    <t>287</t>
  </si>
  <si>
    <t>291</t>
  </si>
  <si>
    <t>290</t>
  </si>
  <si>
    <t>289</t>
  </si>
  <si>
    <t>297</t>
  </si>
  <si>
    <t>294</t>
  </si>
  <si>
    <t>296</t>
  </si>
  <si>
    <t>292</t>
  </si>
  <si>
    <t>295</t>
  </si>
  <si>
    <t>293</t>
  </si>
  <si>
    <t>301</t>
  </si>
  <si>
    <t>299</t>
  </si>
  <si>
    <t>300</t>
  </si>
  <si>
    <t>298</t>
  </si>
  <si>
    <t>305</t>
  </si>
  <si>
    <t>304</t>
  </si>
  <si>
    <t>302</t>
  </si>
  <si>
    <t>306</t>
  </si>
  <si>
    <t>303</t>
  </si>
  <si>
    <t>309</t>
  </si>
  <si>
    <t>311</t>
  </si>
  <si>
    <t>312</t>
  </si>
  <si>
    <t>310</t>
  </si>
  <si>
    <t>307</t>
  </si>
  <si>
    <t>308</t>
  </si>
  <si>
    <t>50</t>
  </si>
  <si>
    <t>52</t>
  </si>
  <si>
    <t>53</t>
  </si>
  <si>
    <t>51</t>
  </si>
  <si>
    <t>58</t>
  </si>
  <si>
    <t>56</t>
  </si>
  <si>
    <t>55</t>
  </si>
  <si>
    <t>57</t>
  </si>
  <si>
    <t>318</t>
  </si>
  <si>
    <t>322</t>
  </si>
  <si>
    <t>324</t>
  </si>
  <si>
    <t>319</t>
  </si>
  <si>
    <t>323</t>
  </si>
  <si>
    <t>320</t>
  </si>
  <si>
    <t>321</t>
  </si>
  <si>
    <t>384</t>
  </si>
  <si>
    <t>381</t>
  </si>
  <si>
    <t>Women 3</t>
  </si>
  <si>
    <t>383</t>
  </si>
  <si>
    <t>382</t>
  </si>
  <si>
    <t>385</t>
  </si>
  <si>
    <t>392</t>
  </si>
  <si>
    <t>390</t>
  </si>
  <si>
    <t>387</t>
  </si>
  <si>
    <t>391</t>
  </si>
  <si>
    <t>389</t>
  </si>
  <si>
    <t>388</t>
  </si>
  <si>
    <t>386</t>
  </si>
  <si>
    <t>327</t>
  </si>
  <si>
    <t>325</t>
  </si>
  <si>
    <t>331</t>
  </si>
  <si>
    <t>328</t>
  </si>
  <si>
    <t>330</t>
  </si>
  <si>
    <t>329</t>
  </si>
  <si>
    <t>326</t>
  </si>
  <si>
    <t>334</t>
  </si>
  <si>
    <t>336</t>
  </si>
  <si>
    <t>338</t>
  </si>
  <si>
    <t>333</t>
  </si>
  <si>
    <t>335</t>
  </si>
  <si>
    <t>339</t>
  </si>
  <si>
    <t>337</t>
  </si>
  <si>
    <t>341</t>
  </si>
  <si>
    <t>340</t>
  </si>
  <si>
    <t>345</t>
  </si>
  <si>
    <t>342</t>
  </si>
  <si>
    <t>343</t>
  </si>
  <si>
    <t>344</t>
  </si>
  <si>
    <t>Provost</t>
  </si>
  <si>
    <t>352</t>
  </si>
  <si>
    <t>349</t>
  </si>
  <si>
    <t>346</t>
  </si>
  <si>
    <t>347</t>
  </si>
  <si>
    <t>350</t>
  </si>
  <si>
    <t>348</t>
  </si>
  <si>
    <t>351</t>
  </si>
  <si>
    <t>356</t>
  </si>
  <si>
    <t>353</t>
  </si>
  <si>
    <t>Undergrad - new</t>
  </si>
  <si>
    <t>357</t>
  </si>
  <si>
    <t>354</t>
  </si>
  <si>
    <t>355</t>
  </si>
  <si>
    <t>360</t>
  </si>
  <si>
    <t>359</t>
  </si>
  <si>
    <t>362</t>
  </si>
  <si>
    <t>361</t>
  </si>
  <si>
    <t>358</t>
  </si>
  <si>
    <t>364</t>
  </si>
  <si>
    <t>363</t>
  </si>
  <si>
    <t>366</t>
  </si>
  <si>
    <t>371</t>
  </si>
  <si>
    <t>370</t>
  </si>
  <si>
    <t>367</t>
  </si>
  <si>
    <t>365</t>
  </si>
  <si>
    <t>372</t>
  </si>
  <si>
    <t>369</t>
  </si>
  <si>
    <t>368</t>
  </si>
  <si>
    <t>374</t>
  </si>
  <si>
    <t>378</t>
  </si>
  <si>
    <t>380</t>
  </si>
  <si>
    <t>376</t>
  </si>
  <si>
    <t>379</t>
  </si>
  <si>
    <t>377</t>
  </si>
  <si>
    <t>375</t>
  </si>
  <si>
    <t>373</t>
  </si>
  <si>
    <t>393</t>
  </si>
  <si>
    <t>395</t>
  </si>
  <si>
    <t>undergrad</t>
  </si>
  <si>
    <t>399</t>
  </si>
  <si>
    <t>HSI Award</t>
  </si>
  <si>
    <t>394</t>
  </si>
  <si>
    <t>397</t>
  </si>
  <si>
    <t>398</t>
  </si>
  <si>
    <t>396</t>
  </si>
  <si>
    <t>460</t>
  </si>
  <si>
    <t>456</t>
  </si>
  <si>
    <t>458</t>
  </si>
  <si>
    <t>459</t>
  </si>
  <si>
    <t>457</t>
  </si>
  <si>
    <t>465</t>
  </si>
  <si>
    <t>463</t>
  </si>
  <si>
    <t>466</t>
  </si>
  <si>
    <t>461</t>
  </si>
  <si>
    <t>462</t>
  </si>
  <si>
    <t>467</t>
  </si>
  <si>
    <t>464</t>
  </si>
  <si>
    <t>400</t>
  </si>
  <si>
    <t>401</t>
  </si>
  <si>
    <t>404</t>
  </si>
  <si>
    <t>405</t>
  </si>
  <si>
    <t>402</t>
  </si>
  <si>
    <t>403</t>
  </si>
  <si>
    <t>407</t>
  </si>
  <si>
    <t>412</t>
  </si>
  <si>
    <t>413</t>
  </si>
  <si>
    <t>409</t>
  </si>
  <si>
    <t>408</t>
  </si>
  <si>
    <t>406</t>
  </si>
  <si>
    <t>410</t>
  </si>
  <si>
    <t>411</t>
  </si>
  <si>
    <t>417</t>
  </si>
  <si>
    <t>419</t>
  </si>
  <si>
    <t>414</t>
  </si>
  <si>
    <t>415</t>
  </si>
  <si>
    <t>418</t>
  </si>
  <si>
    <t>416</t>
  </si>
  <si>
    <t>420</t>
  </si>
  <si>
    <t>423</t>
  </si>
  <si>
    <t>421</t>
  </si>
  <si>
    <t>426</t>
  </si>
  <si>
    <t>425</t>
  </si>
  <si>
    <t>424</t>
  </si>
  <si>
    <t>422</t>
  </si>
  <si>
    <t>432</t>
  </si>
  <si>
    <t>430</t>
  </si>
  <si>
    <t>433</t>
  </si>
  <si>
    <t>429</t>
  </si>
  <si>
    <t>427</t>
  </si>
  <si>
    <t>431</t>
  </si>
  <si>
    <t>428</t>
  </si>
  <si>
    <t>438</t>
  </si>
  <si>
    <t>434</t>
  </si>
  <si>
    <t>436</t>
  </si>
  <si>
    <t>435</t>
  </si>
  <si>
    <t>439</t>
  </si>
  <si>
    <t>437</t>
  </si>
  <si>
    <t>446</t>
  </si>
  <si>
    <t>447</t>
  </si>
  <si>
    <t>440</t>
  </si>
  <si>
    <t>442</t>
  </si>
  <si>
    <t>445</t>
  </si>
  <si>
    <t>441</t>
  </si>
  <si>
    <t>444</t>
  </si>
  <si>
    <t>443</t>
  </si>
  <si>
    <t>452</t>
  </si>
  <si>
    <t>448</t>
  </si>
  <si>
    <t>451</t>
  </si>
  <si>
    <t>450</t>
  </si>
  <si>
    <t>455</t>
  </si>
  <si>
    <t>449</t>
  </si>
  <si>
    <t>454</t>
  </si>
  <si>
    <t>453</t>
  </si>
  <si>
    <t>473</t>
  </si>
  <si>
    <t>54</t>
  </si>
  <si>
    <t>472</t>
  </si>
  <si>
    <t>470</t>
  </si>
  <si>
    <t>471</t>
  </si>
  <si>
    <t>469</t>
  </si>
  <si>
    <t>468</t>
  </si>
  <si>
    <t>534</t>
  </si>
  <si>
    <t>530</t>
  </si>
  <si>
    <t>Women 2</t>
  </si>
  <si>
    <t>529</t>
  </si>
  <si>
    <t>533</t>
  </si>
  <si>
    <t>531</t>
  </si>
  <si>
    <t>536</t>
  </si>
  <si>
    <t>541</t>
  </si>
  <si>
    <t>535</t>
  </si>
  <si>
    <t>542</t>
  </si>
  <si>
    <t>540</t>
  </si>
  <si>
    <t>538</t>
  </si>
  <si>
    <t>539</t>
  </si>
  <si>
    <t>537</t>
  </si>
  <si>
    <t>475</t>
  </si>
  <si>
    <t>476</t>
  </si>
  <si>
    <t>477</t>
  </si>
  <si>
    <t>479</t>
  </si>
  <si>
    <t>478</t>
  </si>
  <si>
    <t>480</t>
  </si>
  <si>
    <t>474</t>
  </si>
  <si>
    <t>487</t>
  </si>
  <si>
    <t>482</t>
  </si>
  <si>
    <t>485</t>
  </si>
  <si>
    <t>488</t>
  </si>
  <si>
    <t>481</t>
  </si>
  <si>
    <t>484</t>
  </si>
  <si>
    <t>483</t>
  </si>
  <si>
    <t>486</t>
  </si>
  <si>
    <t>491</t>
  </si>
  <si>
    <t>492</t>
  </si>
  <si>
    <t>494</t>
  </si>
  <si>
    <t>489</t>
  </si>
  <si>
    <t>490</t>
  </si>
  <si>
    <t>500</t>
  </si>
  <si>
    <t>497</t>
  </si>
  <si>
    <t>495</t>
  </si>
  <si>
    <t>499</t>
  </si>
  <si>
    <t>498</t>
  </si>
  <si>
    <t>501</t>
  </si>
  <si>
    <t>504</t>
  </si>
  <si>
    <t>502</t>
  </si>
  <si>
    <t>505</t>
  </si>
  <si>
    <t>507</t>
  </si>
  <si>
    <t>506</t>
  </si>
  <si>
    <t>503</t>
  </si>
  <si>
    <t>512</t>
  </si>
  <si>
    <t>510</t>
  </si>
  <si>
    <t>509</t>
  </si>
  <si>
    <t>513</t>
  </si>
  <si>
    <t>508</t>
  </si>
  <si>
    <t>514</t>
  </si>
  <si>
    <t>519</t>
  </si>
  <si>
    <t>518</t>
  </si>
  <si>
    <t>521</t>
  </si>
  <si>
    <t>516</t>
  </si>
  <si>
    <t>517</t>
  </si>
  <si>
    <t>520</t>
  </si>
  <si>
    <t>515</t>
  </si>
  <si>
    <t>527</t>
  </si>
  <si>
    <t>525</t>
  </si>
  <si>
    <t>526</t>
  </si>
  <si>
    <t>522</t>
  </si>
  <si>
    <t>524</t>
  </si>
  <si>
    <t>528</t>
  </si>
  <si>
    <t>523</t>
  </si>
  <si>
    <t>543</t>
  </si>
  <si>
    <t>545</t>
  </si>
  <si>
    <t>547</t>
  </si>
  <si>
    <t>549</t>
  </si>
  <si>
    <t>544</t>
  </si>
  <si>
    <t>546</t>
  </si>
  <si>
    <t>548</t>
  </si>
  <si>
    <t>607</t>
  </si>
  <si>
    <t>606</t>
  </si>
  <si>
    <t>608</t>
  </si>
  <si>
    <t>610</t>
  </si>
  <si>
    <t>609</t>
  </si>
  <si>
    <t>612</t>
  </si>
  <si>
    <t>613</t>
  </si>
  <si>
    <t>611</t>
  </si>
  <si>
    <t>550</t>
  </si>
  <si>
    <t>556</t>
  </si>
  <si>
    <t>554</t>
  </si>
  <si>
    <t>553</t>
  </si>
  <si>
    <t>557</t>
  </si>
  <si>
    <t>551</t>
  </si>
  <si>
    <t>552</t>
  </si>
  <si>
    <t>555</t>
  </si>
  <si>
    <t>562</t>
  </si>
  <si>
    <t>558</t>
  </si>
  <si>
    <t>563</t>
  </si>
  <si>
    <t>560</t>
  </si>
  <si>
    <t>559</t>
  </si>
  <si>
    <t>561</t>
  </si>
  <si>
    <t>564</t>
  </si>
  <si>
    <t>569</t>
  </si>
  <si>
    <t>570</t>
  </si>
  <si>
    <t>567</t>
  </si>
  <si>
    <t>59</t>
  </si>
  <si>
    <t>571</t>
  </si>
  <si>
    <t>565</t>
  </si>
  <si>
    <t>566</t>
  </si>
  <si>
    <t>568</t>
  </si>
  <si>
    <t>574</t>
  </si>
  <si>
    <t>578</t>
  </si>
  <si>
    <t>573</t>
  </si>
  <si>
    <t>576</t>
  </si>
  <si>
    <t>575</t>
  </si>
  <si>
    <t>572</t>
  </si>
  <si>
    <t>577</t>
  </si>
  <si>
    <t>582</t>
  </si>
  <si>
    <t>584</t>
  </si>
  <si>
    <t>579</t>
  </si>
  <si>
    <t>581</t>
  </si>
  <si>
    <t>585</t>
  </si>
  <si>
    <t>580</t>
  </si>
  <si>
    <t>583</t>
  </si>
  <si>
    <t>586</t>
  </si>
  <si>
    <t>593</t>
  </si>
  <si>
    <t>589</t>
  </si>
  <si>
    <t>591</t>
  </si>
  <si>
    <t>594</t>
  </si>
  <si>
    <t>592</t>
  </si>
  <si>
    <t>588</t>
  </si>
  <si>
    <t>590</t>
  </si>
  <si>
    <t>587</t>
  </si>
  <si>
    <t>599</t>
  </si>
  <si>
    <t>597</t>
  </si>
  <si>
    <t>598</t>
  </si>
  <si>
    <t>595</t>
  </si>
  <si>
    <t>605</t>
  </si>
  <si>
    <t>600</t>
  </si>
  <si>
    <t>603</t>
  </si>
  <si>
    <t>602</t>
  </si>
  <si>
    <t>601</t>
  </si>
  <si>
    <t>604</t>
  </si>
  <si>
    <t>702</t>
  </si>
  <si>
    <t>Exhibit</t>
  </si>
  <si>
    <t>700</t>
  </si>
  <si>
    <t>701</t>
  </si>
  <si>
    <t>705</t>
  </si>
  <si>
    <t>704</t>
  </si>
  <si>
    <t>703</t>
  </si>
  <si>
    <t>9</t>
  </si>
  <si>
    <t>8</t>
  </si>
  <si>
    <t>7</t>
  </si>
  <si>
    <t>10</t>
  </si>
  <si>
    <t>13</t>
  </si>
  <si>
    <t>Pres arts</t>
  </si>
  <si>
    <t>14</t>
  </si>
  <si>
    <t>Outstanding Creative and Performing Arts Award</t>
  </si>
  <si>
    <t>11</t>
  </si>
  <si>
    <t>Arts Alive</t>
  </si>
  <si>
    <t>12</t>
  </si>
  <si>
    <t># Abstracts per session</t>
  </si>
  <si>
    <t># Judges Signed Up</t>
  </si>
  <si>
    <t>Judgments Needed</t>
  </si>
  <si>
    <t xml:space="preserve">Judgments Completed </t>
  </si>
  <si>
    <t>% Completed</t>
  </si>
  <si>
    <t>A-1</t>
  </si>
  <si>
    <t>A-2</t>
  </si>
  <si>
    <t>A-3</t>
  </si>
  <si>
    <t>A-4</t>
  </si>
  <si>
    <t>A-5</t>
  </si>
  <si>
    <t>A-6</t>
  </si>
  <si>
    <t>A-7</t>
  </si>
  <si>
    <t>A-8</t>
  </si>
  <si>
    <t>A-9</t>
  </si>
  <si>
    <t>A-10</t>
  </si>
  <si>
    <t>B-1</t>
  </si>
  <si>
    <t>B-2</t>
  </si>
  <si>
    <t>B-3</t>
  </si>
  <si>
    <t>B-4</t>
  </si>
  <si>
    <t>B-5</t>
  </si>
  <si>
    <t>B-6</t>
  </si>
  <si>
    <t>B-7</t>
  </si>
  <si>
    <t>B-8</t>
  </si>
  <si>
    <t>B-9</t>
  </si>
  <si>
    <t>B-10</t>
  </si>
  <si>
    <t>C-1</t>
  </si>
  <si>
    <t>C-2</t>
  </si>
  <si>
    <t>C-3</t>
  </si>
  <si>
    <t>C-4</t>
  </si>
  <si>
    <t>C-5</t>
  </si>
  <si>
    <t>C-6</t>
  </si>
  <si>
    <t>C-7</t>
  </si>
  <si>
    <t>C-8</t>
  </si>
  <si>
    <t>C-9</t>
  </si>
  <si>
    <t>D-1</t>
  </si>
  <si>
    <t>D-2</t>
  </si>
  <si>
    <t>D-3</t>
  </si>
  <si>
    <t>D-4</t>
  </si>
  <si>
    <t>D-5</t>
  </si>
  <si>
    <t>D-6</t>
  </si>
  <si>
    <t>D-7</t>
  </si>
  <si>
    <t>D-8</t>
  </si>
  <si>
    <t>D-9</t>
  </si>
  <si>
    <t>E-1</t>
  </si>
  <si>
    <t>E-2</t>
  </si>
  <si>
    <t>F-1</t>
  </si>
  <si>
    <t>F-2</t>
  </si>
  <si>
    <t>F-3</t>
  </si>
  <si>
    <t>F-4</t>
  </si>
  <si>
    <t>F-5</t>
  </si>
  <si>
    <t>F-6</t>
  </si>
  <si>
    <t>F-7</t>
  </si>
  <si>
    <t>F-8</t>
  </si>
  <si>
    <t>F-9</t>
  </si>
  <si>
    <t>F-10</t>
  </si>
  <si>
    <t>F-11</t>
  </si>
  <si>
    <t>G-1</t>
  </si>
  <si>
    <t>G-2</t>
  </si>
  <si>
    <t>G-3</t>
  </si>
  <si>
    <t>G-4</t>
  </si>
  <si>
    <t>G-5</t>
  </si>
  <si>
    <t>G-6</t>
  </si>
  <si>
    <t>G-7</t>
  </si>
  <si>
    <t>G-8</t>
  </si>
  <si>
    <t>G-9</t>
  </si>
  <si>
    <t>G-10</t>
  </si>
  <si>
    <t>G-11</t>
  </si>
  <si>
    <t>H-1</t>
  </si>
  <si>
    <t>H-2</t>
  </si>
  <si>
    <t>H-3</t>
  </si>
  <si>
    <t>H-4</t>
  </si>
  <si>
    <t>H-5</t>
  </si>
  <si>
    <t>H-6</t>
  </si>
  <si>
    <t>H-7</t>
  </si>
  <si>
    <t>H-8</t>
  </si>
  <si>
    <t>H-9</t>
  </si>
  <si>
    <t>H-10</t>
  </si>
  <si>
    <t>H-11</t>
  </si>
  <si>
    <t>I-1</t>
  </si>
  <si>
    <t>I-2</t>
  </si>
  <si>
    <t>I-3</t>
  </si>
  <si>
    <t>I-4</t>
  </si>
  <si>
    <t>I-5</t>
  </si>
  <si>
    <t>I-6</t>
  </si>
  <si>
    <t>I-7</t>
  </si>
  <si>
    <t>I-8</t>
  </si>
  <si>
    <t>I-9</t>
  </si>
  <si>
    <t>I-10</t>
  </si>
  <si>
    <t>I-11</t>
  </si>
  <si>
    <t>J-1</t>
  </si>
  <si>
    <t>J-2</t>
  </si>
  <si>
    <t>K-1</t>
  </si>
  <si>
    <t>K-2</t>
  </si>
  <si>
    <t>Duplicate Score</t>
  </si>
  <si>
    <t>Wrong Session</t>
  </si>
  <si>
    <t>Notes</t>
  </si>
  <si>
    <t>Error Count</t>
  </si>
  <si>
    <t>Duplicate Search Key</t>
  </si>
  <si>
    <t>Unique Judge IDs</t>
  </si>
  <si>
    <t>Judge First Name</t>
  </si>
  <si>
    <t>Judge Last Name</t>
  </si>
  <si>
    <t>Judge ID</t>
  </si>
  <si>
    <t>Potential Judgments</t>
  </si>
  <si>
    <t>Completed Judgments</t>
  </si>
  <si>
    <t>Percent Complete</t>
  </si>
  <si>
    <t>Wrong Session Search Key</t>
  </si>
  <si>
    <t>Sessions</t>
  </si>
  <si>
    <t>Number of Abstracts Per</t>
  </si>
  <si>
    <t>Estimated Total Judgements</t>
  </si>
  <si>
    <t>JudgeNo</t>
  </si>
  <si>
    <t>109</t>
  </si>
  <si>
    <t>119</t>
  </si>
  <si>
    <t>166</t>
  </si>
  <si>
    <t>313</t>
  </si>
  <si>
    <t>314</t>
  </si>
  <si>
    <t>315</t>
  </si>
  <si>
    <t>316</t>
  </si>
  <si>
    <t>317</t>
  </si>
  <si>
    <t>332</t>
  </si>
  <si>
    <t>Abstract #</t>
  </si>
  <si>
    <t>Session Time</t>
  </si>
  <si>
    <t>Session Type</t>
  </si>
  <si>
    <t>Session Title</t>
  </si>
  <si>
    <t>Presentation Location</t>
  </si>
  <si>
    <t>Presentation Start Time</t>
  </si>
  <si>
    <t>First Name</t>
  </si>
  <si>
    <t>Last Name</t>
  </si>
  <si>
    <t>Email Address</t>
  </si>
  <si>
    <t>Major/Degree Program</t>
  </si>
  <si>
    <t>Presentation Title</t>
  </si>
  <si>
    <t>Abstract
In the space provided below, enter an abstract only (do not include a title, authors, affiliation, etc.) that describes your work. Please check this carefully prior to submission. This abstract will be published in the program after acceptance. Please note that your abstract should not exceed 350 words.</t>
  </si>
  <si>
    <t>Academic Level</t>
  </si>
  <si>
    <t>What college are you primarily affiliated with?</t>
  </si>
  <si>
    <t>Co-Presenter (1) First Name</t>
  </si>
  <si>
    <t>Co-Presenter (1) Last Name</t>
  </si>
  <si>
    <t>Co-Presenter (2) First Name</t>
  </si>
  <si>
    <t>Co-Presenter (2) Last Name</t>
  </si>
  <si>
    <t>Co-Presenter (3) First Name</t>
  </si>
  <si>
    <t>Co-Presenter (3) Last Name</t>
  </si>
  <si>
    <t>Advisor/Mentor's College/Campus</t>
  </si>
  <si>
    <t>Please choose the category that best represents your research or scholarship.</t>
  </si>
  <si>
    <t>With which gender identity(ies) do you most identify?</t>
  </si>
  <si>
    <t>9:00 AM</t>
  </si>
  <si>
    <t>Oral </t>
  </si>
  <si>
    <t>Behavioral and Social Sciences</t>
  </si>
  <si>
    <t>Legacy Suite</t>
  </si>
  <si>
    <t>Emily</t>
  </si>
  <si>
    <t>Mooney</t>
  </si>
  <si>
    <t>emooney0964@sdsu.edu</t>
  </si>
  <si>
    <t>Bachelor of Arts in Communication</t>
  </si>
  <si>
    <t>No Academia without AI: Decoding College Student’s Perceptions of Artificial Intelligence</t>
  </si>
  <si>
    <t xml:space="preserve">This paper uses in depth interviews with college students to examine perceptions of Artificial Intelligence (AI) and how these perceptions affect AI engagement in academic settings. Grounded in Cultivation Theory and Mean-World Syndrome, this research aims to identify ways in which AI can be utilized positively within educational contexts. Additionally, the study aims to provide valuable insights for policy improvements in AI related resources at San Diego State University, specifically pertaining to career services. This study utilized a convenience sample of four student (n=4) participants with AI experience. Throughout the research process, qualitative interviews were conducted and coded thematically. From the data collected, it is apparent that college students hold negative perceptions surrounding heavy reliance on AI, with ideas of “cheating,” “deceiving,” and being “scary,” occurring regularly. Additionally, college students value use of AI as a tool for guidance. This paper follows an iterative analysis approach to explore the theoretical relationship between Cultivation theory and these findings. </t>
  </si>
  <si>
    <t>Undergraduate</t>
  </si>
  <si>
    <t>Professional Studies and Fine Arts</t>
  </si>
  <si>
    <t>Tiffany</t>
  </si>
  <si>
    <t>Dykstra-Devette</t>
  </si>
  <si>
    <t>tdykstradevette@sdsu.edu</t>
  </si>
  <si>
    <t>Woman</t>
  </si>
  <si>
    <t>Shefali</t>
  </si>
  <si>
    <t>Sharma</t>
  </si>
  <si>
    <t>ssharma3506@sdsu.edu</t>
  </si>
  <si>
    <t>Bachelors of Arts in Psychology with an Emphasis in Neuroscience</t>
  </si>
  <si>
    <t>Suicide Risk Factors and Types of Intersectional Discrimination Among Sexual and Gender Minority Youth at Risk for Repeat Suicide Attempts</t>
  </si>
  <si>
    <t xml:space="preserve">Background 
Young sexual and gender minorities (SGM) are at a higher risk for suicide attempts compared to their heterosexual/cisgender peers. Research in predominantly racial/ethnic minority populations suggests that intersectional discrimination (e.g., based on intersecting minority identities) may exacerbate key suicide risk factors purported in the interpersonal theory of suicide. Yet, less is known about these associations among young SGM with other intersecting identities. Therefore, this study explores whether higher levels of intersectional discrimination are associated with higher levels of acquired capability for suicide, perceived burdensomeness, and thwarted belongingness and lower levels of internal and external suicide-related coping skills in SGM youth and young adults at risk for repeat attempts. 
Methods
Seventy-one diverse SGM (aged 15-29 years; 49% racial minority, 35% ethnic minority) with a history of one or more suicide attempts and current suicidal ideation were recruited for a suicide prevention trial in San Diego, CA, providing baseline self-report data. Measures included the Intersectional Discrimination Index (InDI), with subscales for anticipated (InDI-A), lifetime day-to-day (InDI-D), and lifetime major discrimination (InDI-M), as well as Acquired Capability for Suicide Scale (ACSS), Suicide-Related Coping Scale, and Interpersonal Needs Questionnaire (INQ-15). Five separate linear regression models explored whether the InDI subscales predicted suicide risk factors while controlling for age.
Results
The models accounted for a substantial proportion of variance in perceived burdensomeness (R²=.19) and acquired capability for suicide (R²=.24). Higher scores on InDI-D, but not on other subscales, were related to higher perceived burdensomeness [β1=6.89, t(df=66)=3.89, p &lt; .01]. Higher scores in InDI-D, but not other subscales, also were related to higher acquired capability [β1=4.27, t(df=66)=5.39, p &lt; .01]. InDI subscales were not significantly associated with internal and external suicide-related coping skills or thwarted belongingness.
Discussion 
Lifetime exposure to day-to-day discrimination may be linked to perceived burdensomeness and acquired capability for suicide in SGM youth and young adults, but not other types of intersectional discrimination or suicide risk factors. Suicide prevention efforts may benefit from targeting coping with lifetime day-to-day discrimination to mitigate key risk factors underlying suicide. </t>
  </si>
  <si>
    <t>Sciences</t>
  </si>
  <si>
    <t>Kristen J.</t>
  </si>
  <si>
    <t>Wells</t>
  </si>
  <si>
    <t>kwells@sdsu.edu</t>
  </si>
  <si>
    <t>Brown</t>
  </si>
  <si>
    <t>ebrown8488@sdsu.edu</t>
  </si>
  <si>
    <t>Bachelor of Science in Environmental Engineering</t>
  </si>
  <si>
    <t>Fear Mapping</t>
  </si>
  <si>
    <t xml:space="preserve">Problem
How do people view their world in terms of safety? What areas stand out? These, and many other questions, are what we worked to address by having individuals draw cognitive/image maps of the SDSU campus environment.
Research Strategy
In response, this research reports the findings of human-centered cognitive/image mapping exercises with houseless individuals in San Diego and Los Angeles, based on principles outlined in Kevin Lynch’s “Image of the City” (Lynch, 1960). Specifically, this study asked individuals to draw maps (on blank pieces of paper) of their surroundings and daily routines at SDSU, which were then marked with symbols to identify important locations. We then had them mark the important locations on printed maps so we could then geo-code this information.
Findings
From our review, we have found that there are gender differences in how people view the safety of the SDSU campus environment. This speaks to the need for better design and security to create a safer campus environment. 
Takeaways for Practice
This work can ultimately help promote better quality of life for individuals by improving the design and planning for creating a campus environment that feels safer and more secure. </t>
  </si>
  <si>
    <t>Engineering</t>
  </si>
  <si>
    <t>Bruce</t>
  </si>
  <si>
    <t>Appleyard</t>
  </si>
  <si>
    <t>bappleyard@sdsu.edu</t>
  </si>
  <si>
    <t>Other</t>
  </si>
  <si>
    <t>Alisson</t>
  </si>
  <si>
    <t>Ruballo Jimenez</t>
  </si>
  <si>
    <t>aruballojimene9245@sdsu.edu</t>
  </si>
  <si>
    <t>Bachelor/International Security and Conflict Resolution</t>
  </si>
  <si>
    <t>Sustainability as a tool for slum mitigation in the Indian subcontinent, Latin America, and Sub-Saharan Africa</t>
  </si>
  <si>
    <t xml:space="preserve">A determining factor of quality of life that is prevalent cross-globally is the degree of environmental robustness and availability of vital commodities within a region. These lay the foundation for societies to build upon. However, these elements are disproportionately low or wholly absent within densely populated, impoverished urban areas– also known as slums– and have become an increasingly large and all-encompassing crisis within our global society. According to the United Nations, more than half of the global population is currently living in an urban area, and approximately over a billion of those individuals are living in a slum or a slum-like environment (“United Nations SDG Goals”). Thus, the topic of proper urban development is critical due to its egregious impact on the quality of life for a considerable amount of the world population. 
This paper will delve into the factors that characterize slums, conduct an overview analysis of three geographical areas (Indian subcontinent, South America, and Sub-Saharan Africa) that continually confront this issue, analyze its subsequent implications— like disease and public health risks, poor infrastructure and economic development, social-political disenfranchisement— and finally review how these come into interaction with sustainability and the environment’s health. I will conclude my research by establishing a pattern of correlation between improper urban development and the aforementioned points, and propose intentional, long-term solutions that set the precedent for prioritizing human quality of life and environmental protection.
How does sustainable urban planning provide the necessary elements for the proper development of human societies and eradicate the issues brought on by slums? How can it take into consideration the improvement of the environment’s quality and incorporate more restorative practices (e.g. clean water restoration, sustainable housing, community gardens) and to what degree does it help reverse the effects of harmful environmental phenomena like the global climate crisis? These questions will aid in addressing tangible global examples with specific concern to public health, economics, and political science. Ultimately, I will draw on the literature to find solutions relevant to these concerns while prioritizing sustainable urbanization. </t>
  </si>
  <si>
    <t>Arts and Letters</t>
  </si>
  <si>
    <t>Cheryl</t>
  </si>
  <si>
    <t>O'Brien</t>
  </si>
  <si>
    <t>cobrien@sdsu.edu</t>
  </si>
  <si>
    <t>David</t>
  </si>
  <si>
    <t>Straub</t>
  </si>
  <si>
    <t>dstraub2620@sdsu.edu</t>
  </si>
  <si>
    <t>Post-bac</t>
  </si>
  <si>
    <t xml:space="preserve">The unique effect of neglect on trajectories of speech problems in youth </t>
  </si>
  <si>
    <t xml:space="preserve">INTRO: The dimensional model of adversity and psychopathology suggests that experiences of victimization and neglect differentially affect youth development (McLaughlin et al., 2014).  In particular, neglect is thought to uniquely impact language development via lack of cognitive input. However, very little research has explored this question longitudinally. METHODS: The current study examined the association between neglect and victimization and trajectories of speech problems across childhood and early adolescence among 1,352 parent-child dyads from Longitudinal Studies on Child Abuse and Neglect (LONGSCAN). Repeated measures data were collected during six biannual interviews across children’s ages 4-14 years; children’s cumulative victimization was captured by aggregating self-reports, caregiver-reports, and CPS allegations of experiencing and/or witnessing violence between each interview. Neglect was defined dichotomously by the presence of an official CPS allegation between each interview. Child speech problems were assessed at each interview using a single caregiver-reported questionnaire item. RESULTS: Latent growth curve modeling revealed that speech problems declined on average over the course of the study, with a steeper decline in childhood compared to adolescence. Neglect between ages 0-4 was associated with increased speech problems at age 4 and a slower decline thereafter; victimization was not associated with trajectories of speech problems, nor with speech problems at any individual time point. DISCUSSION: Our findings suggest that early neglect may have crucial short- and long-term impacts on the development of speech problems. Victimization by violence, which can be detrimental across several developmental domains, may not exert as strong an influence on children’s communication relative to deprivation-related experiences.
REFERENCES:
McLaughlin, K. A., Sheridan, M. A., &amp; Lambert, H. K. (2014). Childhood adversity and neural development: Deprivation and threat as distinct dimensions of early experience. Neuroscience &amp; Biobehavioral Reviews, 47(47), 578–591. https://doi.org/10.1016/j.neubiorev.2014.10.012
</t>
  </si>
  <si>
    <t>Miguel</t>
  </si>
  <si>
    <t>Villodas</t>
  </si>
  <si>
    <t>mvillodas@sdsu.edu</t>
  </si>
  <si>
    <t>Man</t>
  </si>
  <si>
    <t>McHale</t>
  </si>
  <si>
    <t>emchale6349@sdsu.edu</t>
  </si>
  <si>
    <t>LInguistics and Spanish (SST)</t>
  </si>
  <si>
    <t>Does ChatGPT Write Reviews that are Human-Like, Trustworthy, and Convincing, According to Readers?</t>
  </si>
  <si>
    <t xml:space="preserve">This research and pilot study on the subject of how readers perceive the humanness, trustworthiness, and convincingness of film reviews written by humans versus film reviews generated by ChatGPT analyzes how participants rated various human and generated reviews, taking into account free response answers asking for justification of participant ratings. 
Research was compiled from sources discussing systems such as ChatGPT that use large language models’ limitations, primarily in relation to their inability to create meaning from form alone. Other research, including studies regarding whether participants mistake generated responses for human responses, and whether they prefer generated responses to human responses, was compiled. Within these studies, evidence suggested that participants tended to prefer generated responses because they were longer, contained more first-person pronouns, and sounded more empathetic. 
The pilot study had mixed responses as to whether participants believed generated or human-written film reviews to be more human-like, trustworthy, and convincing. Within the free responses, participants explained that certain elements of the language within generated and human reviews led them to answer how they did. </t>
  </si>
  <si>
    <t>Gabriel</t>
  </si>
  <si>
    <t>Doyle</t>
  </si>
  <si>
    <t>gdoyle@sdsu.edu</t>
  </si>
  <si>
    <t>Engineering and Computer Science</t>
  </si>
  <si>
    <t>State Suite</t>
  </si>
  <si>
    <t xml:space="preserve">Tanner </t>
  </si>
  <si>
    <t>Kocher</t>
  </si>
  <si>
    <t>tkocher2278@sdsu.edu</t>
  </si>
  <si>
    <t>Bachelor of Science in Computer Science</t>
  </si>
  <si>
    <t>Quantum Algorithm for Resolving the Prisoner's Dilemma via Nash Equilibrium</t>
  </si>
  <si>
    <t>In the realm of game theory, the Prisoner's Dilemma has long served as a paradigm for analyzing strategic interactions. Recent research has shown promise in the study of Quantum Game Theory, employing the computation power of Quantum Computers to find Pure Nash Strategy Equilibrium. In this research, we present a solution to the prisoner’s dilemma found through a Quantum Algorithm. In general, the research delves into the fascinating intersection of Quantum Computing and Game Theory. It proposes innovative strategies for resolving the inherent challenges presented by games, such as, the Prisoner's Dilemma. We explore how quantum strategies, enabled by the unique properties of qubits, offer novel perspectives on cooperation and competition. The talk navigates the intricate landscape where classical strategies fall short and quantum processing emerges as a game-changer. The Quantum Algorithm leverages the power of entanglement in order to simulate all outcomes of the game simultaneously. This provides a dramatic decrease in the number of operations needed to find the Pure Strategy Nash Equilibrium. Results obtained from experiments utilizing a Quantum Computer demonstrate significant promise, establishing it as a compelling avenue for research into studying Quantum Game Theory.</t>
  </si>
  <si>
    <t>Krishna</t>
  </si>
  <si>
    <t>Ramamoorthy</t>
  </si>
  <si>
    <t>kkattiyanramamoort@sdsu.edu</t>
  </si>
  <si>
    <t>Erik</t>
  </si>
  <si>
    <t>Chavarin</t>
  </si>
  <si>
    <t>echavarin1720@sdsu.edu</t>
  </si>
  <si>
    <t>Bachelor of Science in Electrical Engineering</t>
  </si>
  <si>
    <t>Analysis and Interpretation of VLA RFI Monitoring Data From the SpaceX Pilot Installation</t>
  </si>
  <si>
    <t>During the spring and summer of 2022, 59 SpaceX Starlink user terminals (UTs) were installed to the northeast of the Karl G. Jansky Very Large Array (VLA) at the Alamo Navajo Reservation. Since then, standardized monthly observations of a field containing weak radio sources have been conducted to measure the impact that Starlink downlink (space-to-Earth; 10.7--12.7 GHz) and uplink (Earth-to-space; 14.0--14.5 GHz) radio frequency signals have on calibrated, pipeline-processed VLA interferometric images. Between March and June 2022, observations using the A configuration of the VLA were taken biweekly during UT installations. As of July 2023, these observations span an entire VLA configuration cycle, providing a full characterization of the impact across all possible VLA baselines. This project measures and analyzes the impact of Starlink signals on imaging both before and after UT installations and demonstrates that VLA imaging is currently not severely impacted by this installation in terms of image RMS noise and flagged data percentage. With the existing datasets, this project also extends its analysis to include the examination of Starlink downlink transmissions illuminating the main lobe of the VLA in its D configuration, in conjunction with Starlink ephemerides. This project will maintain ongoing spectrum monitoring as the Starlink megaconstellation proliferates and more UTs are installed.</t>
  </si>
  <si>
    <t>William</t>
  </si>
  <si>
    <t>Welsh</t>
  </si>
  <si>
    <t>wwelsh@sdsu.edu</t>
  </si>
  <si>
    <t>Alexi</t>
  </si>
  <si>
    <t>Olney</t>
  </si>
  <si>
    <t>aolney7221@sdsu.edu</t>
  </si>
  <si>
    <t>Bachelor of Science in Statistics with an emphasis in Data Science, Minor in Environmental Engineering</t>
  </si>
  <si>
    <t>Investigating the Environmental Fate of Marine Debris: Insights from Outdoor Exposure Experiments and Tumbling Simulations</t>
  </si>
  <si>
    <t>This study is motivated by the substantial contribution of rivers to marine debris, particularly exacerbated during Southern California storm events, emphasizing the need to understand the influence of environmental exposure on debris fragmentation and river export dynamics. Physical characteristics, including buoyancy, density, thickness, and mass, for ten of the most common marine debris types found along river margins (all of which, incidentally, were composed of plastic polymers), were assessed both before and after 9-months of exposure to outdoor conditions in wet, submerged, and dry environments. These experiments revealed that wet conditions induced more pronounced density changes across all debris samples and fostered the growth of biofilm that protects against photobleaching. Under dry conditions, polymer thickness had a greater influence on fragmentation than polymer type. For example, the medical mask (polypropylene) and thin plastic bag (LDPE) were subject to extreme fragmentation whereas the thick plastic bag (also LDPE) remained mostly intact. To simulate the additional fragmentation that might occur during debris transport in river systems during a storm event, we conducted mixing and abrasion experiments using both pristine and 9-month-weathered plastics. Post-tumbling analysis revealed that styrofoam (polystyrene), bioplastic to-go boxes (polypropylene + calcium carbonate), and medical masks (polypropylene) from the dry environment exhibited the highest degree of fragmentation. Conversely, blankets (polyester), tents (also polyester), thick plastic bags (LDPE), water bottles (PET), and plastic to-go boxes (polypropylene) from both weathering conditions displayed the least fragmentation. These discoveries carry implications for comprehending degradation patterns in diverse environmental conditions and offer insights for formulating debris management strategies, such as trash cleanup initiatives and the design of efficient trash capture devices, ultimately aiming to mitigate the impact of marine debris on aquatic ecosystems.</t>
  </si>
  <si>
    <t>Natalie</t>
  </si>
  <si>
    <t>Mladenov</t>
  </si>
  <si>
    <t>nmladenov@sdsu.edu</t>
  </si>
  <si>
    <t>Paul</t>
  </si>
  <si>
    <t>Kauvaka</t>
  </si>
  <si>
    <t>pkauvaka1878@sdsu.edu</t>
  </si>
  <si>
    <t>Mechanical Engineering</t>
  </si>
  <si>
    <t>Tensile Behavior of Density-graded Polyurea Elastomeric Foams</t>
  </si>
  <si>
    <t>Research into elastomeric polyurea foams developed novel impact mitigation mechanisms in different configurations and geometries. However, the contributions of the interfacing strategies on the overall mechanical behavior have been smeared by previous characterization approaches. This project aims to explore the performance of ungraded and density-graded polyurea foams at quasi-static tensile loading scenarios using digital image correlation (DIC) measurements. Specifically, foam samples are extracted from large sheets previously fabricated in-house with different configurations: ungraded and bilayer and trilayer density-graded. The latter samples were assembled using an ultrathin layer of polyurea adhesive (adhered configuration) and based on the natural adhesiveness of the foam slurry (seamless interfacing). All samples were fitted with T-section tabs to facilitate installment in a 1 kN load frame for tensile testing. The lowest density layer was consistently located toward the fixed platen of the load frame. The macroscale and mesoscale strain fields were resolved using DIC, delineating the dichotomy of the deformation in the foam samples in relation to gradation and interfacing strategies. Analyses stipulate that the interfacing strategy plays a significant role in the failure response, resulting in a multiple-fold increase in strain-to-failure in graded structures compared to the ungraded counterpart. The full field deformation states as a function of gradation and interfacing approaches are synthesized and discussed. The outcomes of this research serve as a basis for extended exploration of the mechanical behavior of elastomeric foams for packaging and biomechanical impact mitigation applications.</t>
  </si>
  <si>
    <t>George</t>
  </si>
  <si>
    <t>Youssef</t>
  </si>
  <si>
    <t>gyoussef@sdsu.edu</t>
  </si>
  <si>
    <t>Behavioral and Social Sciences 1</t>
  </si>
  <si>
    <t>Love Library 430</t>
  </si>
  <si>
    <t>Samuel</t>
  </si>
  <si>
    <t>Massey</t>
  </si>
  <si>
    <t>smassey8419@sdsu.edu</t>
  </si>
  <si>
    <t xml:space="preserve">Having access to news media that contains unbiased information is important for the public to understand current topics. News articles are often considered to be a key source of unbiased information (Hamborg et al., 2017). Unfortunately, the issue of bias in the news media has become more prevalent. Public trust in mass media is at an all-time low as a result (Brenan, 2023). Studies in discourse analysis have shown the same events depicted differently from different sources (Abbas &amp; Talaat, 2021; Lukin, 2005). These studies have shown that different reports of the same event manifest different world views or ideologies through their language choices. One topic that has received little attention is police violence against African Americans. The goal of this study is to explore ideological differences in the representation and coverage of Geroge Floyd’s death across different news outlets and to examine how the news reports police violence against Black Americans in the United States. Specifically, the study seeks to investigate if there is a difference in how the fatal incident was reported in conservative versus liberal news media outlets and if there is a difference in reporting between newspapers, tabloids, and news outlets. Six texts were selected to represent several politically diverse American newspapers, tabloids, and news outlets: New York Times, Washington Post, Wall Street Journal, New York Post, Fox, and CNN. The news article dates corresponded to the initial days after the fatal incident. The analytic framework used was a transitivity analysis (Eggins, 2004), which explores the sorts of processes and participants used to report the death of George Floyd. Specifically, the study examined what information was foregrounded and whose words were represented in the news reports. The findings of the study suggest that the choices in processes and participants in each clause indicate that George Floyd’s death is represented differently in the different news reports. Results suggest that news bias is manifested in what information is foregrounded and backgrounded in the articles as well as whose words get represented in the article.  
</t>
  </si>
  <si>
    <t>Master's</t>
  </si>
  <si>
    <t>Arturo</t>
  </si>
  <si>
    <t>Avalos</t>
  </si>
  <si>
    <t>aavalos6754@sdsu.edu</t>
  </si>
  <si>
    <t>Masters of Arts in Anthropology</t>
  </si>
  <si>
    <t>Deutsch or Mexicana: German Investment and Identity in Mexico during the Porfiriato</t>
  </si>
  <si>
    <t>When attempting the role of Germans and their contributions towards Mexico, as well as the impacts these influences had on Mexican culture, it is important to contextualize the background of economic development during the Porfiriato. Originally arriving as merchants,
the Germans played a major role in the economic development of Mexico, primarily in Mexico City, where several families made their fortunes. This period in Mexico’s history saw
the encouragement of much foreign investment towards Mexico, primarily French, as the
government of Porfirio Diaz was filled with Francophiles. However, during this time, German investors were vying for their chance at conducting business in Porfirio Diaz’s rapidly modernizing Mexico. As Diaz was interested in Europeanizing the Mexican people combined with the lasting impact of the Spanish Casta-System, it became easier to understand 
the circumstances which allowed for the Germans (and other Europeans) to monopolize the Mexican economy. At the same time, Germans were navigating their identities as both Mexican and German, which posed some challenges, especially towards their non-White counterparts. It is also important to understand the background of the world which allowed Diaz, his government, and the Germans and their government to become intertwined in the history of Mexico.</t>
  </si>
  <si>
    <t>Ramona</t>
  </si>
  <si>
    <t>Perez</t>
  </si>
  <si>
    <t>perez@sdsu.edu</t>
  </si>
  <si>
    <t>Vanessa</t>
  </si>
  <si>
    <t>Thomas</t>
  </si>
  <si>
    <t>vthomas4396@sdsu.edu</t>
  </si>
  <si>
    <t>Psychology</t>
  </si>
  <si>
    <t>Cognitive control dysregulation in young adult binge drinkers: behavioral indices and oscillatory neurodynamics</t>
  </si>
  <si>
    <t xml:space="preserve">Binge drinking among young adults is a growing concern, with potential neurocognitive deficits contributing to the development of alcohol use disorders. Limited evidence exists on cognitive dysfunction in young binge drinkers, particularly in the context of cognitive control, which is vital for behavior regulation and known to be vulnerable to alcohol's effects. This study hypothesized that binge drinkers would demonstrate poorer performance on a modified color-naming Stroop task and exhibit attenuated brain activity, characterized by lower theta power and weaker synchronous co-oscillations. Participants included 34 binge drinkers (BD) and 34 light drinkers (LD), matched on demographics, family history of alcoholism, and cognitive capacity. Their cognitive control was probed with a modified version of the color-naming Stroop task. The behavioral outcomes highlighted the Stroop interference (SI) effect across participants, with lower accuracy and longer reaction times on high- relative to low-conflict trials. BDs and LDs showed comparable accuracy, but BDs had slower reaction times, suggesting a compensatory strategy to maintain accuracy levels. Longer reaction times were associated with higher levels of alcohol consumption. Electroencephalography (EEG) signal was analyzed in theta frequency band (4 – 7 Hz) with Morlet wavelets. As expected, greater event-related theta power was observed on high-conflict trials overall during the controlled processing/response conflict resolution stage. However, BDs showed attenuated SI event-related theta activity compared to LDs over the left hemisphere, which was associated with higher drinking levels. Event-related synchronous co-oscillations were additionally calculated to estimate the consistency of phase differences in theta band irrespective of the neural activity amplitudes. Synchronous co-oscillations were stronger in the LD group and were associated with higher accuracy, shorter reaction times, and better cognitive functions. Conversely, lower long-range oscillatory synchrony correlated with higher levels of alcohol intake. The results confirm the initial hypotheses, revealing that binge drinkers not only underperformed in the Stroop task but also showed attenuated event-related theta power to SI and reduced synchronous neural interactions, indicative of compromised cognitive control mechanisms. These findings are suggestive of disrupted top-down strategic processing in BDs, which could contribute to poor self-control and inability to refrain from excessive alcohol consumption. 
</t>
  </si>
  <si>
    <t>Ksenija</t>
  </si>
  <si>
    <t>Marinkovic</t>
  </si>
  <si>
    <t>kmarinkovic@sdsu.edu</t>
  </si>
  <si>
    <t>Jessica</t>
  </si>
  <si>
    <t>Arguelles</t>
  </si>
  <si>
    <t>jarguelles1941@sdsu.edu</t>
  </si>
  <si>
    <t>Mass Communications/MA</t>
  </si>
  <si>
    <t xml:space="preserve"> Exploring ethnic identification’s impact on Gen-Z Asian American beauty influencer marketing campaigns</t>
  </si>
  <si>
    <t xml:space="preserve">This study investigates how ethnic identification impacts Generation Z Asian Americans’ response to sponsored beauty influencer content. Using Jenkins’ (1994) Social Identity Theory as a framework, this study utilizes focus groups to examine how ethnically similar influencers impact Asian American consumers’ perceptions of sponsored Instagram content. Through semi-structured focus groups with an intersectional lens, the study explores how ethnic identity affects participants’ responses to sponsored influencer advertisements on Instagram. The sessions will include generative questions and two sets of stimuli paired with a demographic survey to account for potential patterns within similar Asian ethnicities or cultural upbringings. In doing so, this study aims to fill gaps in Asian American consumer research and contribute to inclusive marketing practices that accurately represent minority communities. </t>
  </si>
  <si>
    <t>Catherine</t>
  </si>
  <si>
    <t>Hu</t>
  </si>
  <si>
    <t>xhu4@sdsu.edu</t>
  </si>
  <si>
    <t xml:space="preserve">Melanie </t>
  </si>
  <si>
    <t>Gomez</t>
  </si>
  <si>
    <t>mgomez6492@sdsu.edu</t>
  </si>
  <si>
    <t>Masters of Arts in Psychology</t>
  </si>
  <si>
    <t>Identifying key strategies for program sustainment in faith-based settings through promotora perspectives</t>
  </si>
  <si>
    <t xml:space="preserve">Background: 
While evidence-based interventions (EBIs) designed to increase physical activity (PA) have shown to improve health outcomes, few programs have been sustained. This is especially true in faith-based settings where churches have limited resources, and staff face competing demands. Promotoras (i.e. community health workers) have a deep understanding of the needs and resources of their community. They play a crucial role in building trust between community members and outside institutions, as well as facilitating buy-in for EBIs. The current study aimed to identify key strategies for successful sustainment of a PA program in faith-based settings from the perspective of promotoras.
Setting/population:
Faith in Action is a promotora-led EBI designed to increase moderate-to-vigorous PA among churchgoing Latinas. Participants included Latina promotoras (n=10) who led the physical activity classes in churches. 
Methods:
Research staff conducted, audio recorded, and transcribed 3 focus groups with promotoras. Transcripts are being analyzed using rapid qualitative analysis, summarizing data in templates based on the domains from the Public Health Program Capacity for Sustainability framework, such as funding stability, partnerships, and organizational capacity.
Coding discrepancies are being reconciled as a group. Summaries will be transferred into a matrix for topic monitoring to observe trends and reflect on patterns.
Preliminary results:
Preliminary results reveal themes identified in the Public Health Program Capacity for Sustainability framework such as political support, partnerships, and program adaptation. Promotoras identified several facilitators to program sustainment such as church leader support shown through endorsement of promotoras and the program, connections with other community organizations, and program alignment with community values and needs. Considerations for sustaining a PA program in church settings include hiring promotoras who are committed to supporting church members, and attaining explicit permission from the church for the promotoras to sustain the program after the university project has ended. Additionally, promotoras suggested additional training on delivering nutrition and PA information to participants, and problem solving  for class disruptions. 
</t>
  </si>
  <si>
    <t>Elva</t>
  </si>
  <si>
    <t>Arredondo</t>
  </si>
  <si>
    <t>earredon@sdsu.edu</t>
  </si>
  <si>
    <t>Destiny</t>
  </si>
  <si>
    <t>Akins</t>
  </si>
  <si>
    <t>dakins6558@sdsu.edu</t>
  </si>
  <si>
    <t xml:space="preserve">MS Nutritional Sciences </t>
  </si>
  <si>
    <t xml:space="preserve">Testing the feasibility of a prenatal yoga mobile app in African American pregnant women: The Mindful Maternity Study </t>
  </si>
  <si>
    <t xml:space="preserve">Introduction:
Maternal and infant health disparities among African American (AA) women is a major public health issue. AA women are three times more likely to die during childbirth, have two times the rate of infant mortality, and experience higher rates of poor mental health outcomes compared to White women. Practicing prenatal yoga via mobile may be a safe and effective way to improve the health and well-being of pregnant AA women, is convenient, and may increase access to care. However, a prenatal yoga mobile app has yet to be tested in this population. The purpose of this study is to investigate the feasibility of a prenatal yoga app in pregnant AA women. 
Methods: 
This IRB approved study is a single-arm mixed-methods feasibility study. Recruitment will begin in February 2024. Participants (N=50) will be asked to use a prenatal yoga mobile app for at least 20 mins/day, 3 days/week for 12 weeks and wear a free wrist-worn Garmin fitness tracker for the duration of the study. A baseline, mid, and post-intervention survey will collect primary and secondary outcome measures and self-reported birth outcomes will be collected post-delivery. Exit interviews will also be conducted to explore and identify cultural adaptations relevant for pregnant AA women. Participants will receive a free yoga mat and $100 gift card.
Results:
50 participants will be recruited from local prenatal clinics and social media. Primary outcomes include feasibility measures (acceptability, demand, recruitment metrics, and barriers). Secondary measures include mental and physical health outcomes (discrimination, perceived stress, perinatal depression, self-awareness, mindfulness, physical activity, and birth outcomes). We hypothesize that the prenatal yoga intervention will be feasible and elicit positive mental and physical health changes but will need some cultural adaptations to align with the values/preferences/beliefs/needs of pregnant AA individuals.
Discussion: 
The findings of this study will contribute to identifying accessible, culturally-tailored interventions to improve AA well-being and promote optimal maternal and infant health outcomes. Additionally, findings will contribute to future grant funding for a larger scale efficacy trial. </t>
  </si>
  <si>
    <t>Health and Human Services</t>
  </si>
  <si>
    <t xml:space="preserve">Destiny </t>
  </si>
  <si>
    <t>Kaylee</t>
  </si>
  <si>
    <t>Childers</t>
  </si>
  <si>
    <t xml:space="preserve">Jennifer </t>
  </si>
  <si>
    <t>Green</t>
  </si>
  <si>
    <t>jgreen5@sdsu.edu</t>
  </si>
  <si>
    <t>Behavioral and Social Sciences 2</t>
  </si>
  <si>
    <t>Love Library 431</t>
  </si>
  <si>
    <t xml:space="preserve">Patricia </t>
  </si>
  <si>
    <t>Dionicio</t>
  </si>
  <si>
    <t>pdionicio8044@sdsu.edu</t>
  </si>
  <si>
    <t>Doctorate in Public Health - Health Behavior</t>
  </si>
  <si>
    <t>Exploring Multilevel Factors that Influence Physical Activity Among Latinos with Chronic Spine Pain</t>
  </si>
  <si>
    <t xml:space="preserve">Introduction
Latinos are at an elevated risk for medical undertreatment of chronic pain due to having a lower socioeconomic status, inconsistent access to healthcare, limited English proficiency, and systemic prejudicial discrimination. Physical activity (PA) is a widely accepted and effective non-pharmacological pain management strategy, yet many Latinos do not engage in moderate-to-vigorous physical activity (MVPA). Latinos with chronic spine pain (CSP) face distinct challenges with engaging in MVPA that may be explained by factors at multiple levels of the socioecological model (SEM). These multilevel factors may also intersect to influence PA engagement in Latinos with CSP. The purpose of this study is to integrate the SEM and intersectionality framework to explore multilevel determinants of MVPA among Latinos with CSP.
Methods    
A purposive sample of Latinos with CSP (N=25) from an ongoing clinical trial will be invited to completed semi-structured interviews. Interviews will explore multilevel factors that influence PA engagement. Rapid Qualitative Analysis methods will be used to analyze transcriptions and identify themes. Intersectional framing of the data will be ensured by considering implicit themes of unequal PA opportunities due to social exploitation or injustice in social or historical contexts. Currently, 17 interviews have been conducted and 4 interviews have been analyzed by 2 separate researchers (PD, ADT, and MM).
Implications
This study will be the first to integrate the socioecological model and intersectionality framework to explore determinants of MVPA in Latinos with CSP. Study findings hold potential to inform future PA interventions for Latinos with CSP that tailor strategies for the unique needs of this population with the ultimate goal of addressing PA disparities. </t>
  </si>
  <si>
    <t>Doctoral</t>
  </si>
  <si>
    <t>Patricia</t>
  </si>
  <si>
    <t>Azael</t>
  </si>
  <si>
    <t>De La Torre</t>
  </si>
  <si>
    <t>Sara</t>
  </si>
  <si>
    <t>Gombatto</t>
  </si>
  <si>
    <t>sgombatto@sdsu.edu</t>
  </si>
  <si>
    <t>Jackelyne</t>
  </si>
  <si>
    <t>Garcia</t>
  </si>
  <si>
    <t>jzgarcia@sdsu.edu</t>
  </si>
  <si>
    <t>Doctorate in Clinical Psychology</t>
  </si>
  <si>
    <t>Bridging Gaps in Physical Activity Promotion: Adapting Faith in Action for Rural Latinas Using the IM-Adapt Framework</t>
  </si>
  <si>
    <t>Physical inactivity poses significant health risks, particularly among Latinas, with Latina women exhibiting lower engagement in leisure-time physical activity (PA) than Latino men. This disparity is further pronounced in rural Latina communities, where multifaceted barriers, such as limited access to resources, transportation challenges, adverse weather conditions, and cultural factors, contribute to heightened health risks. Faith in Action is an evidence-based, physical activity intervention tested in churches located in urban and suburban settings. Research is needed to examine the feasibility of implementing Faith in Action in rural settings.
Methods
This study will enlist three Faith-Based Organizations (FBOs) from Imperial County, a rural community along the US-Mexico border. FBO leaders and  two promotoras based on their FBO affiliation, personal interest in physical activity (PA), and availability to serve as program implementers to participate in key informant interviews and complete surveys. Additionally, 10 Latina women, aged 18-65, with low self-reported leisure-time engagement, and residing in rural areas will be recruited to participate in focus groups and complete surveys. This study utilizes the IM-Adapt framework to tailor the Faith in Action program specifically for rural Latina settings, following a six-step process: (1) conduct a needs assessment and assess organizational capacity, (2) search for existing Evidence-Based Interventions (EBIs), (3) assess fit and plan for adaptations, (4) make adaptations, (5) plan for implementation, and (6) plan for evaluation on changes to the existing EBI.
Expected Results/Implications
The study is likely to yield a tailored version of the Faith in Action program, specifically adapted for rural settings. Adaptations may involve adjustments to content, delivery methods, and engagement strategies to better suit the unique needs and challenges identified in the study. Findings will address a gap in research in rural settings, emphasizing the importance of cultural sensitivity and community collaboration in health promotion efforts.</t>
  </si>
  <si>
    <t>Nicolé</t>
  </si>
  <si>
    <t>Mendoza</t>
  </si>
  <si>
    <t>nmendoza4852@sdsu.edu</t>
  </si>
  <si>
    <t>Masters of Arts in Sociology</t>
  </si>
  <si>
    <t xml:space="preserve">Exploring Coparenting Strain and Outcomes </t>
  </si>
  <si>
    <t xml:space="preserve">The increase in nonmarital births and cohabitation in recent decades, results in more parents having to grapple with complex coparenting relationships. These family changes have been made more complicated by factors such as incarceration, relationship complexity, mental health, and intimate partner violence (IPV). Traditionally, scholarship has documented the impact of various factors, such as IPV on coparenting, and increasingly, the challenges of paternal incarceration on coparenting. However, these streams are entirely separate. This project aims to  look at stressors independently, and then examine their cumulative impact on the ability to successfully coparent.    
I anticipated that experiencing one stressor would result in an adverse parenting relationship, but that experiencing multiple stressors would compound poor coparenting. Using data from the Future of Family and Child Wellbeing Study, I examine the impact that various stressors have on the ability to successfully coparent. I estimate a series of Ordinary Least Squares regression models to examine the impact that abuse, incarceration, relationship complexity (i.e. new partnerships and multipartner fertility), and poor mental health have on the ability to successfully coparent independently, and then holistically. There is very little research which looks at the cumulative impact of strain on the ability to successfully coparent. Thus, my research will actively work to bridge this gap, and work to analyze the relationship that various strains have on the ability to successfully coparent. 
</t>
  </si>
  <si>
    <t>Audrey</t>
  </si>
  <si>
    <t>Beck</t>
  </si>
  <si>
    <t>abeck@sdsu.edu</t>
  </si>
  <si>
    <t>Andrew</t>
  </si>
  <si>
    <t>Lim</t>
  </si>
  <si>
    <t>alim8234@sdsu.edu</t>
  </si>
  <si>
    <t>Joint Doctoral Program in Public Health - Health Behavior Concentration</t>
  </si>
  <si>
    <t>Puff Break: Protocol for Adapting Ecological Momentary Assessment Methods to Measure Factors Associated with Tobacco, Nicotine, and Cannabis Use among LGBTQ+ Adolescents in California</t>
  </si>
  <si>
    <t xml:space="preserve">Background: LGBTQ+ adolescents report higher rates of tobacco/nicotine/cannabis use compared to their cisgender, heterosexual counterparts. Research using smartphone-based ecological momentary assessment (EMA) methods has underscored the impact of minority stress (e.g., discrimination) and socialization experiences (e.g., community norms) on tobacco/nicotine/cannabis use in LGBTQ+ adults, but not LGBTQ+ adolescents. To address this gap, we proposed a two-phase pilot study to adapt and implement an EMA protocol measuring the daily impact of minority stress and socialization on tobacco/nicotine/cannabis use in LGBTQ+ adolescents aged 14-19. The purpose of this abstract is to report on our protocol methods and recruitment to date.
Methods: In Phase 1, seventeen key informant and semi-structured interviews were conducted to inform modifications to existing validated measures for adolescent populations and EMA methods. In Phase 2, fifty adolescents will be recruited via flier distribution to community partner organizations, social media, and word of mouth. Additional inclusion criteria include: California residency; LGBTQ+ self-identification; and recent tobacco, e-cigarette, or cannabis use. Eligible participants complete a baseline survey capturing demographic information, tobacco/nicotine/cannabis use, and stress/socialization experiences. Subsequent participants will engage in a 14-day EMA trial responding to brief (&lt;5 minute) assessments on their smartphones five times daily, along with regular meetings with staff to promote retention. Post-trial, participants complete an exit survey and semi-structured exit interview reflecting on their EMA data and informing future intervention development. Participants can receive a gift card up to $175.
Analyses: Qualitative data will be transcribed and analyzed using rapid qualitative analysis to assess the acceptability, appropriateness, and feasibility of the EMA methods. Descriptive analyses of quantitative EMA data will assess compliance using an 80% threshold. Multi-level modeling will estimate associations between stress and socialization exposures and tobacco/nicotine/cannabis use behaviors. 
Results and Discussion: Seventeen participants have been enrolled to date. Challenges include the recruitment of 14-17-year-old participants and handling fake participants. Despite these challenges, current analysis of compliance, exit survey, and exit interview data indicate that the protocol has the potential to shape future behavioral interventions to address tobacco/nicotine/cannabis use among LGBTQ+ adolescents. </t>
  </si>
  <si>
    <t>Jerel</t>
  </si>
  <si>
    <t>Calzo</t>
  </si>
  <si>
    <t>jcalzo@sdsu.edu</t>
  </si>
  <si>
    <t>Transgender, Non-binary/non-conforming</t>
  </si>
  <si>
    <t>Liaquat</t>
  </si>
  <si>
    <t>sliaquat0925@sdsu.edu</t>
  </si>
  <si>
    <t xml:space="preserve">Masters of Arts in Sociology </t>
  </si>
  <si>
    <t xml:space="preserve">Intersectional Disparities in Breast Cancer Screening Mammographies in racial and gender minorities in the US before and during the COVID-19 pandemic. </t>
  </si>
  <si>
    <t xml:space="preserve">
Breast cancer is the second most common cause of death among women in the United States and it’s also the most frequently diagnosed cancer among women. In the United States, around 12% of women are going to be diagnosed with breast cancer in their lifetime. Even though the effectiveness of breast cancer screening mammography in lowering breast cancer mortality rates is well documented, there is still a significant proportion of women in the US who do not undergo screening mammography. Systemic injustices, particularly against racial, ethnic, sexual and gender minority groups in the US are a major reason for severe cancer screening inequities that are unfair and avoidable and as a result, racial and ethnic groups as well as sexual and gender minorities tend to be diagnosed with breast cancer at much later stages. Black women in particular are reported to have the highest mortality rates due to cancer. Inadequate access to high-quality healthcare services in the US, lack of health insurance, financial barriers, and delayed treatment after diagnosis are some of the systematic barriers that impact inadequate use of breast cancer screening among racial/ethnic groups and sexual/gender minority groups in the US. Research shows that the already existing disparities in breast cancer screening rates worsened during the COVID-19 pandemic. This research project, therefore, utilizes the 2018, 2019, 2020, and 2021 Behavioral Risk Factor Surveillance System (BRFSS) data which has been sponsored by the US Centers for Disease Control and Prevention (CDC). Through the BRFSS 2018 and 2019 data, I will be looking at intersectional disparities in ever and recent breast cancer screening before the COVID-19 pandemic, and through 2020 and 2021, I will be looking at intersectional disparities in breast cancer screening during the COVID-19 pandemic, by using logistic regression analysis. </t>
  </si>
  <si>
    <t>Dr. Audrey</t>
  </si>
  <si>
    <t>Biological and Agricultural Sciences</t>
  </si>
  <si>
    <t>Pride Suite</t>
  </si>
  <si>
    <t>Morgan</t>
  </si>
  <si>
    <t>Farrell</t>
  </si>
  <si>
    <t>mfarrell2094@sdsu.edu</t>
  </si>
  <si>
    <t>PhD/ Cell and Molecular Biology</t>
  </si>
  <si>
    <t>Alphaproteobacteria lipopolysaccharide stimulates animal metamorphosis</t>
  </si>
  <si>
    <t xml:space="preserve">Lipopolysaccharides (LPS) are structures that coat the surface of gram-negative bacteria, and they are known virulence factors both in the ocean and in the human body. Despite so many bacteria having LPS structures only a few have been identified as having beneficial effects on their animal or human host. Therefore, understanding the structural differences between developmentally inducing bacteria versus pathogenic bacteria is important for future applications for environmental restoration initiatives such as using LPS as a probiotic. Many marine invertebrates like corals, urchins and tubeworms undergo a key developmental change called metamorphosis in response to bacteria. This developmental response is important for marine invertebrates to sustain their populations, but understanding more about development has broad implications to many animals and humans. The marine tubeworm Hydroides elegans (Hydroides) is an emerging model animal that allows us to tease apart the host-microbe interaction involved in metamorphosis. With Hydroides as a screening tool I have discovered that an ecologically important class of bacteria, Alphaproteobacteria, are very strong inducers of metamorphosis. Alphaproteobacteria make up 20-40% of the bacteria in marine biofilms and seawater. They also have been identified as possible probiotics in coral restoration and aquaculture, but how they interact with eukaryotes and have this beneficial effect is still being uncovered. To investigate how Alphaproteobacteria induce metamorphosis I have conducted a genetic screen using both CRISPR interference and gene knockouts to target potential genes involved. My data has revealed an impactful discovery that a lipopolysaccharide is responsible for inducing metamorphosis in Hydroides. </t>
  </si>
  <si>
    <t xml:space="preserve">Nicholas </t>
  </si>
  <si>
    <t>Shikuma</t>
  </si>
  <si>
    <t>nshikuma@sdsu.edu</t>
  </si>
  <si>
    <t>Cassidy</t>
  </si>
  <si>
    <t>Lucht</t>
  </si>
  <si>
    <t>clucht0215@sdsu.edu</t>
  </si>
  <si>
    <t>Master's in Cell and Molecular Biology</t>
  </si>
  <si>
    <t>The Role of Nuclear Factor κB-inducing Kinase (NIK) in Supporting Ovarian Cancer Stem-Like Cells</t>
  </si>
  <si>
    <t>Ovarian cancer is the most lethal gynecological cancer in the United States, largely due to its high relapse rates. Research suggests these high relapse rates are due to cancer stem-like cells (CSCs), a subpopulation of tumor cells that are resistant to chemotherapy and have enhanced tumor-initiation capacity. Post-treatment, CSCs self-renew to re-establish new tumors, leading to recurrent disease that is now resistant to chemotherapy. Given that overexpression of NF-κB has been linked to CSCs, cancer progression, and chemoresistance in various tumors, including ovarian, studies uncovering the mechanisms of this pathway are needed to develop novel therapeutics for ovarian cancer treatment. The upstream activator of the alternative NF-κB pathway, Nuclear Factor κB-inducing Kinase (NIK), could be an enticing target for eliminating CSCs, however its function in these cells is not established. In our current studies, we show that HGSOC cells grown as CSC-enriching 3D spheroids have increased NIK expression and activity relative to monolayer cultured cells. Moreover, cells expressing CSC markers (CD117+/CD133+), have increased NIK gene expression, further supporting an association between NIK and CSC maintenance. Upon treatment with chemotherapies carboplatin and paclitaxel, NIK gene expression increased in the surviving population, indicating a role in chemoresistance. Knockdown of NIK using siRNA led to changes in alternative NF-kB transcriptional activity and higher sensitivity to carboplatin and paclitaxel relative to vehicle controls. Current studies are evaluating the role of NIK in tumor-initiation capacity, asymmetric division, proliferation, and changes in expression of stemness genes. Lastly, an in vivo relapse model will test the feasibility of using a NIK inhibitor following chemotherapy to prevent relapse and prolong survival. Findings from this work will further define the role of NF-kB pathway components in facilitating CSCs survival and re-establishment of tumors and identify a new potential target for eliminating CSCs in ovarian cancer.</t>
  </si>
  <si>
    <t>Carrie</t>
  </si>
  <si>
    <t>House</t>
  </si>
  <si>
    <t>cdhouse@sdsu.edu</t>
  </si>
  <si>
    <t>Niveditha</t>
  </si>
  <si>
    <t>Ramadoss</t>
  </si>
  <si>
    <t>nramadoss@sdsu.edu</t>
  </si>
  <si>
    <t>PhD in Evolutionary Biology</t>
  </si>
  <si>
    <t>"Prickly Challenge to the Dead End Hypothesis from Native Cactus Cylindropuntia"</t>
  </si>
  <si>
    <t>Approximately 90% of flowering plants display a hermaphroditic system, wherein both male and female reproductive organs coexist within a single flower of an individual. Certain plant species have evolved a unisexual floral configuration. For example, in dioecious sexual systems, populations feature some plants exclusively producing female flowers and other plants exclusively bearing male flowers. In gynodioecious systems individual plants are either females or hermaphrodites bearing bisexual flowers.The separation of sexes is thought to be an evolutionary strategy that helps reduce the risks linked to inbreeding. But the prevalence of dioecious systems in only about 6% of plant species raises the question of why these reproductive strategies are not more widespread. Theory says that dioecious systems may lead to an evolutionary dead end as only half of the population (the females) contributes to seed production and dispersal. This limited contribution can result in lower diversity and a higher risk of extinction for those species. Although phylogenetic studies have cast doubt on this hypothesis, there is a limited number of population genetics studies available for testing. Only two studies have conducted comparisons of genetic diversity among species with varying sexual systems, and these investigations have produced conflicting results. In our research, the aim is to use population genetics approach to test whether the dead end hypothesis applies to the genus Cylindropuntia (Cactaceae), which includes several native endemic species with diverse sexual systems. It is expected that dioecy/gynodioecy, which promotes outbreeding, will result in higher genetic diversity compared to hermaphroditic individuals. We collected ~15 individuals from six species with different sexual systems. We sequenced their DNA for variations and calculated the genetic diversity parameters like heterozygosity, number of alleles and inbreeding coefficient. Results showed that the genetic diversity in this genus was overall low implying that this genus is vulnerable to environmental threats. The comparisons of genetic diversity between species with different sexual systems did not support the dead end hypothesis. Furthermore, there is currently a lack of genetic studies on Cylindropuntia, and so the genetic parameters estimated in our study will contribute significantly to evaluating their risks of extinction.</t>
  </si>
  <si>
    <t>Lluvia</t>
  </si>
  <si>
    <t>Flores-Renteria</t>
  </si>
  <si>
    <t>lfloresrenteria@sdsu.edu</t>
  </si>
  <si>
    <t>Yazmín</t>
  </si>
  <si>
    <t>Lommel</t>
  </si>
  <si>
    <t>ylommel5307@sdsu.edu</t>
  </si>
  <si>
    <t>Evolutionary Biology/Master's of Science in Biology</t>
  </si>
  <si>
    <t>Evidence of Inbreeding and Low Genetic Diversity of a Rare Cactus (Ferocactus gatesii) in Baja California</t>
  </si>
  <si>
    <t>According to the IUCN (International Union for Conservation of Nature), the plant family of Cactaceae is highly threatened with nearly 33% of the species being threatened. One of these potentially threatened cacti ,One of these cacti may be, Ferocactus gatesii, is exclusively located on 7 granitic islands of the 16 total in Bahia de los Angeles, Baja California, Mexico, and is not considered “Threatened” by the IUCN despite its limited distribution and small number of individuals. No genetic analyses assessing its levels of genetic diversity or inbreeding have been conducted to assist in its classification for conservation. Thus, to assist in the determination of its conservation status, we conducted a novel study using the genetics of F. gatesii. We hypothesized that F. gatesii would be inbred and have low genetic diversity due to inter-island isolation. To determine F. gatesii’s level of inbreeding (FIS) and genetic diversity (HO), we collected stem samples during the summer of 2019 that were later extracted and sequenced to obtain Single Nucleotide Polymorphisms (SNPs) before being used to compute population genetic measurements. Our findings identified that F. gatesii had low genetic diversity (average HO = 0.071) and high levels of inbreeding (average FIS = 0.388). Our findings provide additional evidence for F. gatesii’s conservation which land managers and the international community can use to protect it from threats such as climate change, poaching, and habitat degradation.</t>
  </si>
  <si>
    <t>Dr. Lluvia</t>
  </si>
  <si>
    <t>Tommie</t>
  </si>
  <si>
    <t>Post</t>
  </si>
  <si>
    <t>tpost8715@sdsu.edu</t>
  </si>
  <si>
    <t>M.S. Civil Engineering [Environmental Engineering]</t>
  </si>
  <si>
    <t>Effects of ruminant bromoform supplementation on manure wastewater treatment</t>
  </si>
  <si>
    <t>As of 2021, the United States methane emissions accounted for 11.5% of all GHG emissions. The largest source of methane is enteric fermentation with an impact of 195 million metric tons (MMt) of CO2 equivalence. The most effective enteric methane inhibition strategy to date utilizes the seaweed Asparagopsis taxiformis as a small percentage of beef cattle’s dietary dry matter intake (DMI), resulting in 80% of daily CH4 emissions being eliminated. This inhibition results in an excess of H+ ions that are then either expelled as H2 by the animal or taken into other metabolic pathways  resulting in higher levels of VFA’s within the rumen. There is also a notable change in the microbiome with a reduction in methanogen populations. These effects of methane inhibition within the rumen lead to the question of the potential effects on the industry’s wastewater management. Manure management practices alone result in approximately 70 MMt of CO2 equivalent methane emissions. In order to anticipate the effect on these management systems in the case of enteric methane inhibitions widespread adoption, this study seeks to understand the changes in manure composition and methane generation potential to understand the effects on anaerobic wastewater treatment. Preliminary results display no significant difference between the methane production between manure samples of beef cattle fed a partially foraged diet and supplemented with Asparagopsis taxiformis. These results are the product of biomethane potential tests conducted with three dietary groups representing a control, low dose, and high dose of A. taxiformis. Each unique diet was digested in triplicate and maintained at 35 ℃ with gentle stirring during sample collection. The gas composition and pressures were monitored for each diet for ~8 weeks and gas chromatography was used to monitor the levels of CO2 and CH4.</t>
  </si>
  <si>
    <t>Christy</t>
  </si>
  <si>
    <t>Dykstra</t>
  </si>
  <si>
    <t>cdykstra@sdsu.edu</t>
  </si>
  <si>
    <t>Jordan</t>
  </si>
  <si>
    <t>Waits</t>
  </si>
  <si>
    <t>jwaits@sdsu.edu</t>
  </si>
  <si>
    <t>Masters of Science in Evolutionary Biology</t>
  </si>
  <si>
    <t>Phenological variation and evolution across space and time in Scarlet Monkeyflowers</t>
  </si>
  <si>
    <t>Climate change poses an existential threat to biodiversity around the globe, specifically in the California Floristic Province. For plants that are distributed across a broad latitudinal gradient, selective pressures from climate change are applied asymmetrically to populations across a species’ range. Populations at lower latitudes face extreme heat and drought stress, but also may be much older and more likely to harbor genes adapted to extreme heat and drought. On the other hand, northern populations are much younger and are experiencing a more rapidly changing climate, rather than one characterized by extreme heat or drought. Quantifying latitudinal trends in environmentally relevant traits is vital for predicting evolutionary responses to climate change in the future. Specifically, the seasonal timing of flowering, or phenology, varies across a species range and is intimately tied to plant strategies for dealing with drought. In this study, we employ a resurrection study to grow Erythranthe cardinalis in a common garden at the southern edge of its range. Almost 6000 seeds were acquired and planted from three provenances in southern Oregon, Yosemite, and San Diego in two different years, respectively before and after a period of pronounced drought. We measured day of first flower, height at first flower, and flowering season duration under an additive genetic model. Using the Breeder’s equation, we can determine how heritable phenological traits are, as well as the strength of selection exerted on standing genetic variation in different populations. Preliminary results indicate significant differences in phenology across populations, with southern populations exhibiting the most phenotypic change between the two years. Southern populations had a longer flowering season and were significantly more likely to survive and flower late into the year. Our initial results suggest that southern populations are locally adapted and northern populations will likely experience truncated growing seasons under future climate regimes, which could jeopardize their future persistence.</t>
  </si>
  <si>
    <t>Metztli</t>
  </si>
  <si>
    <t>Herrera</t>
  </si>
  <si>
    <t>sherrera8534@sdsu.edu</t>
  </si>
  <si>
    <t>Master of Science in Bioengineering</t>
  </si>
  <si>
    <t>Can Bio-Analyte Detection Be Enhanced Through Optimization of Glassy Carbon Functionalization Techniques and Implementation of Field Effect Transistors?</t>
  </si>
  <si>
    <t>Bio-Analytes are molecules or chemical substances found in the human body that can be detected and analyzed in a clinical setting to offer insights into physiological and biochemical processes. Cortisol, a steroid hormone produced by the adrenal glands, is monitored with wearable devices, aiding stress-related clinical research. Glucose, the primary source of energy, triggers insulin secretion in healthy individuals, but in diabetic patients with reduced insulin signaling, continuous glucose monitoring is necessary to understand metabolic cycles and guide insulin injection schedules. N-terminal pro b-type natriuretic peptide (NT-proBNP) is a protein found in the hormone BNP. Its release is indicative of heart failure and can be monitored to predict future cardiac events.
Designing continuous sensors involves selecting materials that will enhance properties such as signal strength and ease of surface functionalization. Functionalization involves immobilizing antibodies, aptamers, or enzymes that can selectively bind with an analyte onto the surface of a sensor. This work focuses on Glassy Carbon due to its biocompatibility and long-term electrochemical stability. The research will explore and optimize techniques to functionalize anti-cortisol antibodies, anti-NT-proBNP antibodies, and Glucose Oxidase (GOx) on sensing electrodes. The design of the sensor will incorporate a field effect transistor (FET). FETs are frequently used in sensor technology because they are advantageous for real-time signal amplification. The addition of an FET will enhance the sensitivity of the sensor, allowing for the detection of analytes even at extremely low concentrations. 
Fabrication of the sensors utilizes microfabrication processes, such as photolithography, pyrolysis, dry etching, and wet etching. Functionality and sensitivity of the sensor will be analyzed using electrochemical techniques such as Cyclic Voltammetry (CV). By optimizing the surface functionalization of the sensing electrode surface, we expect to detect signals that correlate with the presence and concentration of our selected analytes. This work will provide insight into how functionalization methods impact monitoring device sensitivity and lead to the development of sensors with enhanced accuracy.</t>
  </si>
  <si>
    <t>Bernice</t>
  </si>
  <si>
    <t>Gudino</t>
  </si>
  <si>
    <t>Samantha</t>
  </si>
  <si>
    <t>Omer</t>
  </si>
  <si>
    <t>Kassegne</t>
  </si>
  <si>
    <t>kassegne@sdsu.edu</t>
  </si>
  <si>
    <t>Tian</t>
  </si>
  <si>
    <t>Jingxiao</t>
  </si>
  <si>
    <t>jtian1125@sdsu.edu</t>
  </si>
  <si>
    <t>Phd in Electrical and Computer Engineering</t>
  </si>
  <si>
    <t>Ultra low-power, wearable, accelerated shallow-learning fall detection for elderly at-risk persons</t>
  </si>
  <si>
    <t>This study presents an innovative wearable fall detection system (FDS) designed for elderly individuals at risk of unintentional falls. Utilizing a low-power field-programmable gate array (FPGA) and a Convolutional Neural Network (CNN), the system employs an inertial measurement unit (IMU) for accurate and efficient fall detection. The research involves the application of the Caffe deep learning framework for training and validating the CNN model, which is integrated with a Lattice iCE40UP FPGA. This integration facilitates real-time data collection and processing, ensuring timely detection and response to falls. The paper outlines the development process, including the design choices and methodologies, and demonstrates the potential of this wearable technology in enhancing the safety and autonomy of older adults.</t>
  </si>
  <si>
    <t>Christopher</t>
  </si>
  <si>
    <t>Paolini</t>
  </si>
  <si>
    <t>paolini@engineering.sdsu.edu</t>
  </si>
  <si>
    <t>Celia</t>
  </si>
  <si>
    <t>Rufo Martin</t>
  </si>
  <si>
    <t>crufomartin@sdsu.edu</t>
  </si>
  <si>
    <t>Ph.D. degree in Mechanical Engineering</t>
  </si>
  <si>
    <t>Multi-faceted Mechanics Analysis of Novel Auxetic Meta-structures</t>
  </si>
  <si>
    <t xml:space="preserve">Over the last decade, the significant presence of auxetic meta-structures in the literature has been leveraged in various applications to achieve diverse, tailored, and enhanced properties. In these structures, topological engineering eclipses the limitations of the base materials, leading to novel mechanics. The physical realization of meta-structures has been empowered by additive manufacturing, unlocking the generation of intricate topologies, even in three dimensions (3D). The influx of research outcomes in this domain enabled their integration into biomedical devices, sports gear, and the aerospace industry. However, the current state-of-the-art lacks a synergistic design framework, building on the cornerstones of additive manufacturing and topology engineering. This work presents a novel 3D spherical meta-structure with unique mechanics, engineered with enhanced flexibility while leveraging rigid-body-dominated mechanical behavior. The design is based on the strategic integration of interconnected 2D shapes in non-orthogonal planes and separated by eccentricities to segregate the deformation. Several configurations were designed and manufactured with a vat photo-polymerization additive manufacturing process for experimental characterization. The 3D printed meta-structures underwent a comprehensive characterization of compressive testing augmented with full field deformation analysis. Additionally, numerical and analytical models were developed to ascertain the performance of the meta-structures further. These results elucidate the feasibility of the newly introduced designs and a promising future of implementations where flexibility is important. </t>
  </si>
  <si>
    <t>Somayeh</t>
  </si>
  <si>
    <t>Komeylian</t>
  </si>
  <si>
    <t>skomeylian6934@sdsu.edu</t>
  </si>
  <si>
    <t xml:space="preserve">PhD Electrical and Computer Engineering </t>
  </si>
  <si>
    <t>A Wideband Hemispherical Metasurface (MTS) Antenna with Circular Fractal Elements for 6G Communications</t>
  </si>
  <si>
    <t xml:space="preserve">We aim to design a novel Metasurface (MTS) antenna consisting of subwave-
length elements of fractal concentric circular geometry, printed on a hemispherical surface, and operates in the THz frequency regime. A major disadvantage
of existing MTS antennas consists of their narrow bandwidth. We propose the
use of fractal circular elements to increase bandwidth. The proposed MTS operates by the interaction of a hemispherical surface wave and an anisotropic
impedance boundary condition to generate a radiation field in a direction of
interest. Another disadvantage of existing planar reflector MTS antennas are
phase delays that result from physical distances between feeding locations and
reflector planes, which is accompanied by a significant reduction in bandwidth.
Furthermore, surface current can flow on the ground plane of planar array antennas and diffract from its edges, which results in a radiation pattern that
interferes with the useful radiation pattern of the array antenna. Our proposed
design will achieve spherical coverage without a reduction in bandwidth. Our
configuration includes sub-wavelength elements with dimensions in the order of
fractions of wavelengths that vary gradually in each concentric circle from row
to row, and possesses electrically thin thickness, which is fed by a horn antenna
underneath. We propose to employ a nano-scale fabrication process to deploy
the proposed MTS to overcome current potential challenges faced by THz frequency beamformers in applications of dense Starlink communications. A deep
learning model implemented on a AMD Xilinx Zynq board will perform the
beamforming technique for a measured radiation pattern in our MTS. Preliminary simulation results show a highly-directive and “pencil” beam with a high
gain for the proposed MTS antenna.
</t>
  </si>
  <si>
    <t xml:space="preserve">Ahmad </t>
  </si>
  <si>
    <t xml:space="preserve">Abushanab </t>
  </si>
  <si>
    <t>aabushanab4068@sdsu.edu</t>
  </si>
  <si>
    <t xml:space="preserve">Bioengineering </t>
  </si>
  <si>
    <t>A Novel Approach in Diabetes Management: The Development and Clinical Implications of a MEMS Cuff Electrode for Vagus Nerve Stimulation</t>
  </si>
  <si>
    <t>The management of diabetes, which is a long-lasting disease, globally requires innovative approaches to treatment. This work presents a type of electrode called the Micro Electro Mechanical Systems (MEMS) cuff electrode specifically designed for vagus nerve stimulation (VNS), which shows promise in managing diabetes. Compared to other VNS devices the MEMS cuff electrode offers advancements such as improved precision, reduced invasiveness, and increased patient comfort. The discussion includes the design and fabrication of the electrode and the use of biocompatible materials to ensure its safety and effectiveness for long-term use. In vivo experiments demonstrate how this effectively modulates vagal activity leading to better glycemic control in diabetic models. Furthermore, the study explores the potential of this device to modulate other physiological processes. The study concludes with an analysis of the clinical implications of this MEMS electrode for diabetes treatment, setting the stage for future research in bioelectronic medicine. The MEMS cuff electrode for VNS not only opens new avenues in diabetes therapy but also serves as a blueprint for future bioelectronic devices in managing various chronic conditions.</t>
  </si>
  <si>
    <t xml:space="preserve">Paulette </t>
  </si>
  <si>
    <t>Suro</t>
  </si>
  <si>
    <t>Neharika</t>
  </si>
  <si>
    <t>Ravichandran</t>
  </si>
  <si>
    <t>Saja</t>
  </si>
  <si>
    <t>Sinnawi</t>
  </si>
  <si>
    <t xml:space="preserve">Sam </t>
  </si>
  <si>
    <t>Ella</t>
  </si>
  <si>
    <t>Knight</t>
  </si>
  <si>
    <t>eknight2461@sdsu.edu</t>
  </si>
  <si>
    <t>Masters of Science in Environmental Engineering</t>
  </si>
  <si>
    <t xml:space="preserve"> Marine Debris from River Margins: Wet and Dry Weathering Effects on the Fragmentation and Degradation of Discarded Plastic</t>
  </si>
  <si>
    <t xml:space="preserve">Plastic pollution in rivers adversely affects marine life by disrupting physiological processes and ecological habitats. While the role of inland debris in generating marine microplastics (MPs) is recognized, the mechanisms driving the fragmentation and degradation of marine debris remain poorly understood. Existing studies often lack field analysis, relying on lab-controlled environments with uniform materials like plastic pellets. This research focuses on marine debris from illegal dumping and homeless encampments along river margins, identifying common materials as plastic polymers through surveys by the San Diego River Park Foundation.
Microcosm experiments assessed the breakdown of frequently discarded items (tents, blankets, water bottles) in wet (creek water) and dry conditions over 9 months (October-July) in outdoor enclosures. Weekly observations and scanning electron microscopy (SEM) analyses showed that dry weathered plastic exhibited more pitting, cracking, and grooves, leading to increased fragmentation compared to wet weathered plastic. Wet samples gained mass due to biofilm accumulation.
No evidence indicated increased degradation for specific polymer types; instead, material thickness played a pivotal role. Three dry and three wet sample types experienced density changes affecting buoyancy, impacting item transport. Simulated stream transport with water, cobbles, and sand revealed dry-weathered plastic, particularly Styrofoam, undergoing significant fragmentation.
These findings offer crucial insights into debris degradation patterns, the buoyancy of weathered materials, and fragmentation levels. This information can inform the development of trash capture devices, guide trash collection planning, and contribute to policies preventing debris transport to oceans and coastal areas.
</t>
  </si>
  <si>
    <t>Humanities, History, Literature, Philosophy</t>
  </si>
  <si>
    <t>Aztlan</t>
  </si>
  <si>
    <t>Micah</t>
  </si>
  <si>
    <t>Sakado</t>
  </si>
  <si>
    <t>msakado0828@sdsu.edu</t>
  </si>
  <si>
    <t>Anthropology</t>
  </si>
  <si>
    <t>“Bordering on Parasocial”: Personhood and Parasocial Relationships in VTubing</t>
  </si>
  <si>
    <t>My proposed project addresses a single chapter in my anthropology master's thesis: parasocial relationships in VTubing. VTubing is a form of online live-streaming heavily influenced by Japanese idol culture. Live streamers, called ‘VTubers’, embody the persona and body of a digital character. Through various technological mediums, VTubing encourages an intimate closeness between users (fans) and streamers.
A buzzword used for discussing fan relationships in VTubing is ‘parasocial.’ Parasocial indexes when a fan-streamer relationship is perceived or treated akin to a personal relationship (such as a relationship with a close friend, family member, or lover). The term has a strong negative connotation – fans believe parasocial relationships may be a slippery slope to toxic fan behavior. Despite being taboo, fan discourse around parasociality in VTubing is complex and revealing. 
Through ethnographic research, I argue parasocialism in VTubing complicates cultural borders around personhood by emphasizing the significance of asymmetrical relations within fandom. Fans are simultaneously critical of parasocial behavior while also participating in it, creating an epistemological struggle. Through this struggle, fans transcend ideological borders of personhood and relationships. 
VTubing suggests new definitions for human relationality – one that places meaning in online relationships through imagined connection and community participation. Through this fan engagement, borders that separate self, community, fan-identity, and VTubers break down. The result is an emergent, unique way to participate in human relationality.
My study of parasocialism aims to help producers of fandom (companies, VTubers, and fans) improve fandom practices by analyzing various attitudes and enactments of parasocial discourse. The VTubing industry, to some degree, relies on parasocialism. Studying parasocial discourse in VTubing will inform producers on how to grow the industry while improving the fandom experience for VTubers and fans. My project does this by tracking the various parasocial attitudes and practices of VTuber fans, clearly articulating its epistemological state in this fandom. In short, I hope to inform a better fandom for companies, VTubers, and fans. The results and methods of this research may be applied to parasocial discourse in other fandoms as well, such as K-pop, Marvel, DC, Disney, anime, and video games.</t>
  </si>
  <si>
    <t>Vijayanka</t>
  </si>
  <si>
    <t>Nair</t>
  </si>
  <si>
    <t>vnair@sdsu.edu</t>
  </si>
  <si>
    <t>Humanities, History, Literature, &amp; Philosophy</t>
  </si>
  <si>
    <t>Anissa</t>
  </si>
  <si>
    <t>Zuniga</t>
  </si>
  <si>
    <t>azuniga5414@sdsu.edu</t>
  </si>
  <si>
    <t>Masters of Arts in History</t>
  </si>
  <si>
    <t>Unveiling the Impact of Gloria Calderon Kellet</t>
  </si>
  <si>
    <t>This research is intended to propose an in-depth analysis of the body of work created by
Cuban-American television writer Gloria Calderon Kellet. Multifaceted in her approaches to
storytelling, media, and cultural representation, Calderon Kellet’s name has become synonymous with the emergence of Latinos on the silver screen. Working not only as a screenwriter, Calderon Kellet’s
showrunning and acting credits have also aided her in achieving monumental strides for diversity
within television. By analyzing her two most popular television works to date, One Day at a
Time (2017) and With, Love, respectively, this research aims to demonstrate the profound legacy
she has left within the television industry, whilst also illuminating the struggle that contemporary
Latino audiences find to see themselves represented on screen. In order to execute this objective,
critical textual analysis and visual analysis will be utilized, as well as examination into
intersectional and humor theory.
This research stands in importance as more Latinos are coming of age in a time of political
vilification towards their cultural identity, such as was seen after the events of the 2016 election.
In addition, it aims at contributing to the larger works of exploration into Latino representation in
television sitcoms. In understanding and appreciating the work of figures such as Gloria
Calderón Kellet, it is crucial in fostering the ethos of “diversity and inclusion,” that so many in the U.S aim to implement.
In composing this research, it is hoped that it will garner significance to the topics of
television history and contemporary cultural identity within the United States. As it is intended to be presented within such a heavily Latino-populated area such as San Diego, the significance of
understanding Latino heritage within the US is even more crucial.</t>
  </si>
  <si>
    <t>Eve</t>
  </si>
  <si>
    <t>Kornfeld</t>
  </si>
  <si>
    <t>kornfeld@sdsu.edu</t>
  </si>
  <si>
    <t>Chiara</t>
  </si>
  <si>
    <t>Malvestiti</t>
  </si>
  <si>
    <t>cmalvestiti6804@sdsu.edu</t>
  </si>
  <si>
    <t>MA Philosophy</t>
  </si>
  <si>
    <t>The hypocrisy of the homo economicus. Surveillance capitalism and the law of profit.</t>
  </si>
  <si>
    <t>The main goal of this research is to analyse the hypocrisy of the new human category of the homo economicus, highlighting how the law of profit is depriving man of its own morality. Surveillance capitalism is the new economic order that claims humane experience as free raw material for hidden commercial practices of extraction, prediction, and sales. It creates a problem of sovereignty within the notion of man. When economics interferes with ethics, it ends up expropriating man of its own authentic experience. Surveillance capitalism is a new form of bioeconomics that turns our life into data for sale. What we forget is that behind the companies that buy those data there are still people. In order to be considered as a person, the homo economicus should follow both the law of the market and the ethical imperatives as norms. However, it seems like there is a dilemma here: it is either ethics or profit, but not both. What preserves the relation to the other and what protects democracy is no longer present; I am no longer a secret to the other. The ubiquitous computing imposes a digital panopticon where every person is observed by others. Control is subservient to the law of profit and humane experience is turned into raw material for sale. Everything falls into a forecasting perspective as if I can predict the other’s action and emotion, then I know what will sell in the market. The homo economicus ends up violating the inner sanctum by using machines and algorithms in order to analyse the meaning of my breath and my gaze, of my voice getting louder. The homo economicus is imprisoning the man within himself, putting the authenticity and secrecy of the human experience at risk.</t>
  </si>
  <si>
    <t xml:space="preserve">Tawny </t>
  </si>
  <si>
    <t>Whaley</t>
  </si>
  <si>
    <t>tmwhaley@sdsu.edu</t>
  </si>
  <si>
    <t>Carla Marian</t>
  </si>
  <si>
    <t>Cuevas Morales</t>
  </si>
  <si>
    <t>ccuevasmorales0126@sdsu.edu</t>
  </si>
  <si>
    <t>Master of Arts in Liberal Arts and Sciences</t>
  </si>
  <si>
    <t>Escaping the Confinement of the Self Through Art: Existential Anxiety, Authenticity, and Encountering the Aesthetic in the Quotidian, or How to Live a Thoughtful Life</t>
  </si>
  <si>
    <t>The field of aesthetics is a diverse field with loosely defined borders. Questions such as ‘What is art?’, ‘What defines the aesthetic experience?’, ‘How do we engage with art?’ and ‘What does art tell us about how we live our lives?’ have all been considered within the domain of this field. Although these difficult questions do not have a conclusive answer, a handful of dominant ideologies have arisen. Art, the aesthetic, and the aesthetic experience have been defined in terms of emotions, beauty, pleasure, and more—but what can be said about the influence of art, the aesthetic, and the aesthetic experience on how we live our daily lives? How can art influence the way we live our everyday lives by leading us to the aesthetic in the commonplace experiences of the quotidian? At this intersection, art is understood to be multifaceted, the aesthetic experience relational, and the conditions for the aesthetic experience largely subjective. More importantly, the aesthetic art of the quotidian is understood from a lens that alleviates existential anxiety by allowing the conceptually isolated individual to have a glimpse into the individual existence of the other. In other words, it is in the aesthetic art of the quotidian that we are freed from the confinement of individuality by encountering evidence of the selfhood of the other.</t>
  </si>
  <si>
    <t>Steven</t>
  </si>
  <si>
    <t>Barbone</t>
  </si>
  <si>
    <t>sbarbone@sdsu.edu</t>
  </si>
  <si>
    <t>Non-binary/non-conforming</t>
  </si>
  <si>
    <t>Matthew</t>
  </si>
  <si>
    <t>mbrown3467@sdsu.edu</t>
  </si>
  <si>
    <t>Masters of Arts in Philosophy</t>
  </si>
  <si>
    <t>Effects of Ancient Texts on Modern Attitudes: Comparing Traditional Western and Asian Animal Imagery and Contemporary Motivations for Vegetarianism</t>
  </si>
  <si>
    <t xml:space="preserve">This project analyzes how the animal is presented in various ancient texts, including the contexts they are presented in, how they are portrayed, and what effect these portrayals have. The animal depictions examined will come primarily from ancient Daoist texts from China, including the Dao De Jing and the Zhuangzi, while also looking at traditional Western perspectives, mainly from the King James Bible. Comparing animal depictions from ancient China and the West reveals certain attitudes on how the relationship between animals and humans is meant to look. This analysis provides insight on contemporary motivations for vegetarianism in China and the United States, which is discussed and compared using survey research conducted within the past 10 years. Research shows that modern Chinese vegetarians and vegans are more motivated to eat meatless diets due to concerns about animal welfare than those in the US, whose primary motivations include cost and personal health. This suggests that depictions of animals in foundational texts play a role in how a culture treats animals, which in turn influences motivations for vegetarian or vegan diets. </t>
  </si>
  <si>
    <t>Sandra</t>
  </si>
  <si>
    <t>Wawrytko</t>
  </si>
  <si>
    <t>wawrytko@sdsu.edu</t>
  </si>
  <si>
    <t>Rustico</t>
  </si>
  <si>
    <t>Rasing</t>
  </si>
  <si>
    <t>rrasing4116@sdsu.edu</t>
  </si>
  <si>
    <t>Emnity to Affinity and Beyond: Filipino Eternal Indebtedness</t>
  </si>
  <si>
    <t>On the 28th of May, 1946, Philippine President Manuel Roxas stated in his speech during the Philippine independence inaugural address, “If we succeed as a nation, if we are able to survive as a nation—and of course we will—we will have America to thank.” The words spoken by Roxas emulate a sentiment of indebtedness that is deeply rooted in Filipino culture and consciousness. Cultural traditions of any people are influential to the actions they take; Filipinos are no different. There are many statements within President Roxas’ speech that resonate and are emblematic of the Filipino cultural concept of utang na loob (literal translation: debt of the inside). This concept helps to explain the Filipinos’ perpetual inclination towards service to the United States and its Armed Forces after gaining national independence from the United States in 1946. It is a wonder why upwards of 30,000 Filipinos prior to 1978 chose to submit themselves to a hegemonic global power like the United States rather than bolster their newly attained national sovereignty. Filipinos chose to subscribe to US nationality even when they finally gained their own independent national identity after Spanish colonial rule from 1565 and immediately followed by US imperial rule from 1898 to 1946. There is an explanation to the actions of Filipinos through analyzing the history of US-Philippine relations prior to and in immediate proximity following 1946 Philippine independence. Specifically, evidence will help connect the Filipino cultural concept of utang na loob with seemingly conflicting Filipino actions vis-a-vis post-1946 Philippine independence and American nationality.</t>
  </si>
  <si>
    <t>Paula</t>
  </si>
  <si>
    <t>Devos</t>
  </si>
  <si>
    <t>pdevos@sdsu.edu</t>
  </si>
  <si>
    <t>Health Nutrition and Clinical Sciences</t>
  </si>
  <si>
    <t>Mata'yuum</t>
  </si>
  <si>
    <t xml:space="preserve">Madeline </t>
  </si>
  <si>
    <t>Strom</t>
  </si>
  <si>
    <t>mstrom4712@sdsu.edu</t>
  </si>
  <si>
    <t xml:space="preserve">Master of Science in Athletic Training </t>
  </si>
  <si>
    <t>Bridging the Gaps within Concussion Education: A Preliminary Analysis into Proposed Improvements from Student-Athletes</t>
  </si>
  <si>
    <t>Context: National organizations require concussion education to be completed. However, the existing concussion education resources rarely incorporate the student-athlete perspective which may potentially increase effectiveness. The purpose of this preliminary study was to describe what student-athletes would like incorporated into concussion education.
Methods: As part of a larger study, we distributed a cross-sectional survey to collegiate student-athletes. Participants were asked to complete a 32-item survey. Survey topics included participants’ previous concussion education, preferences, concussion knowledge, care seeking intentions and behavior, and demographics. This abstract focuses on the education preferences section only (4-items). We calculated frequencies for how participants would like concussion education delivered, desired information, and who the participant would like to provide the education. We also present sample responses for the item, “If you sustained a suspected concussion, what from concussion education would influence you to seek care?"
Results: Fifteen participants completed at least one survey item (Mage=19.9±1.9 years; males=9/15, 60.0%, females=4/15, 26.7%; missing sex responses=2/15, 13.3%). The most frequently requested delivery modalities were video (n=6/15, 40.0%), informal conversation (n=3/15, 20.0%), and discussion (n=3/15, 20.0%) and “I don’t want to receive concussion education” (n=3/15, 20.0%). The most frequently requested concussion education content areas were concussion symptoms (n=11/15, 73.3%), impact on athletic performance (n=9/15, 60.0%), proper concussion management (n=8/15, 53.3%), long-term health concerns (n=8/15, 53.3%), and impact on academic performance (n=8/15, 53.3%). Nearly 60% of our sample wanted an athletic trainer (n=9/15) to provide concussion education. Participants’ sample responses of what would influence them to seek care included: information about long-term health concerns, brain damage/bleeding, and severity of potential outcomes. 
Conclusions: These findings can aid in making concussion education more effective by incorporating patient driven feedback. Concussion education should be provided in a meaningful way with videos and/or discussions as guided by the athletic trainer on various topics related to management, performance, and long-term health. By incorporating the patient perspective into concussion education, we can develop more efficient strategies that encourage student-athletes to seek care for a suspected concussion and advocate for athletic trainers.</t>
  </si>
  <si>
    <t xml:space="preserve">Anna </t>
  </si>
  <si>
    <t xml:space="preserve">La Fontaine </t>
  </si>
  <si>
    <t xml:space="preserve">Monica </t>
  </si>
  <si>
    <t>Lopez</t>
  </si>
  <si>
    <t xml:space="preserve">Michelle </t>
  </si>
  <si>
    <t xml:space="preserve">Weber Rawlins </t>
  </si>
  <si>
    <t>mrawlins@sdsu.edu</t>
  </si>
  <si>
    <t>Savannah</t>
  </si>
  <si>
    <t>Shifflett</t>
  </si>
  <si>
    <t>sshifflett4309@sdsu.edu</t>
  </si>
  <si>
    <t>Master of Science in Epidemiology</t>
  </si>
  <si>
    <t>Association Between Latino Parent and Child Total Physical Activity and Sedentary Behavior</t>
  </si>
  <si>
    <t xml:space="preserve">Background: Parents play a critical role in supporting their children’s physical activity (PA); however less is known about parents’ support for child PA in underserved populations. The purpose of this study was to examine the association between total parent and child PA (TPA), sedentary behavior (SB), and moderators of this association in a primarily Latino population.
Methods: This cross-sectional study assessed TPA (average minutes per week) and SB (average minutes per week) in 68 parent-child Latino dyads from the Athletes For Life Study. PA and SB was measured for seven consecutive days using GeneActiv wrist-worn accelerometers. Parent and child socio-demographics were collected by interview-administered surveys. Unadjusted and adjusted multivariate linear regression models were used to evaluate the association between parents' TPA, SB, weekday vs. weekend TPA (independent variable) and children’s TPA, SB, weekday vs. weekend TPA (dependent variable). Moderators were independently tested for each model via interaction terms with child sex and child age for TPA and SB. 
Results: Children’s mean age was nine years, 60% were female and 93% identified as Hispanic. Adults' mean age was 38 years, 94% were female and identified as Hispanic. Average adult weekly TPA and SB was 358.7 minutes and 632.64 minutes, respectively. Average child weekly TPA and SB was 332.43 minutes and 594.92 minutes, respectively. In unadjusted models, parent and child TPA (ß=0.006) and SB (ß=0.07) were not significantly associated (p&gt;0.05). In adjusted models, parent and child TPA (ß= -0.04) and SB (ß=0.05) were not significantly associated (p&gt;0.05). Child sex and child age were not significant moderators (p&gt;.05). The association between parent and child TPA did not differ on weekdays vs weekends (ß=0.04, P&gt;.05). However, parent and child SB was significantly associated on the weekends (ß=0.67, p&lt;.05), but not weekdays (p&gt;.05).
Conclusion: This study did not find significant associations between parent and child TPA, and SB, which is in contrast with previous literature. Our findings emphasize the importance of continuing research in underserved populations to further understand the association between parent and child TPA and SB, particularly on weekends vs. weekdays. 
</t>
  </si>
  <si>
    <t>Noe</t>
  </si>
  <si>
    <t>Crespo</t>
  </si>
  <si>
    <t>ncrespo@sdsu.edu</t>
  </si>
  <si>
    <t>Lucia</t>
  </si>
  <si>
    <t>Canul</t>
  </si>
  <si>
    <t>lcanul7603@sdsu.edu</t>
  </si>
  <si>
    <t xml:space="preserve">JDP in Global Health </t>
  </si>
  <si>
    <t xml:space="preserve">Navigating Cultural and Collaborative Dietary Strategies: An Ethnographic Approach to Understanding Dietary Behavior in Oaxaca, Mexico </t>
  </si>
  <si>
    <t xml:space="preserve">Oaxaca, Mexico reports a high prevalence of dietary-derived noncommunicable diseases such as diabetes, heart disease and obesity. In the United States, the Latinx and migrant populations from Oaxaca, Mexico concurrently have a high prevalence of these diseases. Many public health dietary interventions do not adequately reflect the cultural relevance and significance of the taste, technique, practice and accessibility of ingredients when implementing dietary intervention programs. This often results in minimal improvements and ongoing struggles for Latinx populations because of an emphasis on dietary guidelines, food elimination, and redirection of food groups which have been generalized to one aspect of cuisine for a diverse population. Projections of the growth of the Latinx/Hispanic population are expected to increase substantially by 2060 which brings an increased need to address the risk and management of these chronic diseases in a culturally inclusive manner. 
Qualitative ethnographic fieldwork was conducted to inform long term responsive and collaborative dietary strategies to combat chronic disease in Oaxaca and among Oaxacan communities in the United States for culturally appropriate practices that empower the health of these communities. Through an ethnographic field school, semi-structured interviews and participant observations, oral histories of food culture, recipe preparation, and consumption customs were collected in Ixpantepec Nieves, Oaxaca, Mexico, a rural community with significant migration to the United States. 
Findings through inductive qualitative data analysis include relevant recurring themes that are related to the specific cultural dietary behavior including: cultural context of meal design, linguistic limitations and portion size significance. 
 Results from this project advance the knowledge necessary to implement future research that includes the skills and traditions within Oaxaca and Oaxacan communities for culturally receptive dietary recommendations and interventions. </t>
  </si>
  <si>
    <t>Christen</t>
  </si>
  <si>
    <t>Rodriguez</t>
  </si>
  <si>
    <t>crodriguez0998@sdsu.edu</t>
  </si>
  <si>
    <t>Doctor of Audiology (Au.D.)</t>
  </si>
  <si>
    <t>Hearing Loss in US/Mexico Border Farmworkers</t>
  </si>
  <si>
    <t xml:space="preserve">Occupational noise exposure is a prevalent, yet often overlooked, public health problem. Excessive noise exposure in the workplace has serious negative consequences including an increased risk for work-related injuries, as well as worker stress and fatigue. The cumulative effect of noise leads to permanent and irreversible hearing loss, which is associated with communication problems and challenges with daily life including depression, isolation, and a greater risk of developing dementia. Farmworkers are an under-studied population at a potentially high risk for hazardous noise exposure due to machinery on farms. The purpose of this project is to understand the extent of noise exposure among farmworkers and work towards developing strategies to minimize their risk of noise-induced hearing loss. Our focus is on farms on the US/México border. We partnered with a well-trusted farmworker advocacy organization that has been providing and facilitating health services in their community for nearly three decades. In this presentation, we discuss our community partnership, as well as findings from two years of research carried out at farmworker health fairs, including subjective hearing difficulties in farmworkers (n = 132, mean age = 48 years, range 18-81; 98% Hispanic/Latino), and objective pure-tone hearing screenings via a mobile health unit (n = 31, mean age = 45, range 19-75; 100% Hispanic/Latino). Across these two studies, results indicated that hearing loss is common, and use of hearing protection is rare. For example, over half of farmworkers (51.6%) had hearing loss ≥25dB HL at 4kHz, and most farmworkers (93%) reported never receiving hearing protection from their employer(s). We will also discuss challenges in community-based data collection in a highly mobile population and the importance of partnering with a community organization. Our presentation concludes with a discussion of future work, including collecting noise exposure data on the farm and intervention efforts to reduce noise exposure. </t>
  </si>
  <si>
    <t>Laura</t>
  </si>
  <si>
    <t>Coco</t>
  </si>
  <si>
    <t>lcoco@sdsu.edu</t>
  </si>
  <si>
    <t>Pragnya</t>
  </si>
  <si>
    <t>Wanjerkhede</t>
  </si>
  <si>
    <t>pwanjerkhede3340@sdsu.edu</t>
  </si>
  <si>
    <t>MS in Epidemiology</t>
  </si>
  <si>
    <t>Body composition and incidence of obesity-related cancers among adults in the Hispanic Community Health Study/Study of Latinos (HCHS/SOL).</t>
  </si>
  <si>
    <t xml:space="preserve">Background: Obesity increases the risk of cancer and disproportionately impacts Hispanic/Latino adults. However, research investigating measures of body composition in association with cancer incidence among Hispanic/Latino adults remains limited. Herein, we assessed the relationships between various measures of body composition and obesity-related cancer incidence in the Hispanic Community Health Survey/Study of Latinos, overall and by sex and Hispanic/Latino heritage.
Methods: HCHS/SOL is a multi-site prospective cohort study. Participants included 16,415 diverse Hispanic/Latino adults aged 18-74 years at baseline in 2008-2011. The primary outcome, incidence of obesity-related cancers (n=377), was assessed by state cancer registry linkages through 2021. Measures of body composition included body mass index [BMI; &lt;25REFERENT; 25-29.9; ≥30 kg/m2]; and fat mass index (FMI), waist to hip ratio (WHpR), waist to height ratio (WHtR), and waist circumference (WC) (all categorized into sex-specific tertiles. Tertile 1REFERENT). Survey-weighted Cox proportional hazards models were used to estimate covariate-adjusted hazard ratios (HRs) and corresponding 95% confidence intervals (95%CIs) for the associations between each measure of body composition and cancer risk.
Results:  HRs were elevated in the highest categories of body composition and more so among women than men. For example, a BMI ≥30 (versus &lt;25) kg/m2 was associated with a HR of 1.12  (0.75- 1.67) overall, and with a HR of 0.42 (0.22-0.80) among men and 1.75 (1.01-3.03) among women. Similarly, for WHtR, the highest tertile was associated with HR of 1.42 (0.90-2.26) overall, and with a HR of 1.01 (0.56- 1.81) among men and 1.86 (1.08- 3.22) among women; and for WC, the highest tertile was associated with a HR of 1.46 (0.97-2.22) overall, and with a HR of 1.25 (0.69-2.25) among men and 1.58 (0.93-2.68) among women. HRs also varied by heritage group; a unit increase in FMI was associated with a HR of 1.09 (1.01-1.18) among South Americans, a HR of 1.08 (1.02-1.14) among Puerto Ricans, but with a HR of 1.01 (0.96-1.07) among Cubans.
Conclusions: Body composition is associated with increased risk of obesity-related cancers particularly among Hispanic/Latino women. Interventions aimed at reducing adiposity among Hispanic/Latino adults may be effective for preventing obesity-related cancers.
</t>
  </si>
  <si>
    <t>Humberto</t>
  </si>
  <si>
    <t>Parada</t>
  </si>
  <si>
    <t>hparada@sdsu.edu</t>
  </si>
  <si>
    <t>Jesse</t>
  </si>
  <si>
    <t>Baker</t>
  </si>
  <si>
    <t>jbaker2610@sdsu.edu</t>
  </si>
  <si>
    <t>Masters of Nutritional Science &amp; DPD program</t>
  </si>
  <si>
    <t>Unlocking Seafood Flavors from Macroalgae: A Sustainable, Vegan Approach</t>
  </si>
  <si>
    <t xml:space="preserve">Introduction: The increasing demand for vegetarian and vegan food products has propelled the market for alternative seafood products. While macroalgae inherently carry a seafood-like aroma, they often come with a green odor that is undesirable in seafood. This study aims to employ enzymatic hydrolysis and Maillard reactions to enhance the umami taste and seafood flavor of kelp (Ascophyllum nodosum).
Method: Flavors were generated through Maillard reaction by using hydrolyzed kelp powder with added reducing sugars and amino acids. A dispersion of kelp powder (10%) in water was enzymatically hydrolyzed for 2 hours using Alcalase and Flavourzyme under various pH and temperature conditions, followed by enzyme deactivation at 95 °C for 15 min. Subsequently, the mixture underwent Maillard reaction at 60-100 °C in the presence of various amino acids and reducing sugars (e.g., ribose, xylose, glucose) for 1 hour. The Maillard reaction products were analyzed by gas chromatography-mass spectrometry-olfactometry and sensory evaluation conducted by a trained panel. 
Results: The optimal reaction condition was determined to be Flavourzyme hydrolysis at a 4% enzyme/substrate ratio, pH 6.5, and 50 °C for 1 hour, followed by the thermal treatment at 100 °C for 1 hour in the presence of 0.5% ribose and 0.5% cysteine. In comparison to non-hydrolyzed samples, the sample treated under the optimal condition exhibited a more pronounced fishy odor. Panelists described the aroma as reminiscent of crab cake and canned tuna. The primary volatile compounds identified in the Maillard reaction products included 1-(furan-2-yl)ethanone, 5-methylfuran-2-carbaldehyde, 2-phenylacetaldehyde, and (Z)-dec-2-enal.
Significance: Due to the abundance and sustainable nature of algae production, coupled with the inherent seafood odor present in algae, it emerges as a promising candidate for developing sustainable seafood flavors. This research will help optimize reaction conditions for creating seafood flavors using algae ingredients and enhancing our understanding of flavor formation. Further research may lead to the development of a vegan ingredient for flavoring various plant-based or cultivated seafood products, thereby contributing to the formulation of sustainable seafood alternatives. 
</t>
  </si>
  <si>
    <t>Jing</t>
  </si>
  <si>
    <t>Zhao</t>
  </si>
  <si>
    <t>jzhao2@sdsu.edu</t>
  </si>
  <si>
    <t>Visionary Suite</t>
  </si>
  <si>
    <t>Jack</t>
  </si>
  <si>
    <t>Volponi</t>
  </si>
  <si>
    <t>jvolponi0552@sdsu.edu</t>
  </si>
  <si>
    <t>SoFIE Flow Duct Sensor Calibration associated with Development of new N.A.S.A. Materials Combustibility Standards for Flight Material Choices</t>
  </si>
  <si>
    <t xml:space="preserve"> In an effort to prevent the use of unsafe materials, the National Aeronautics and Space Administration (NASA) and other international space agencies have developed tests to classify the behavior of different materials based upon their flammability, offgassing, fluid compatibility, and odor. All of the tests developed by NASA and their criteria are detailed in the NASA technical standard “NASA-STD-6001B.” Due to the lack of dominating buoyant forces in microgravity environments, many researchers believe that some tests described in “NASA-STD-6001B,” specifically “Upward Flame Propagation (Test 1),'' are not conservative when transitioning to a microgravity environment. In microgravity, materials burn differently in oxygenated atmospheres due to the lack of dominating buoyant forces. This lack of buoyancy forces results in less aggressive flame propagation when a given material is exposed to standard ignition. To validate this hypothesis, the Solid Fuel Ignition and Extinction (SoFIE) Flow Duct, was built to conduct Test 1 in a microgravity environment. The SoFIE Flow Duct is currently located on the International Space Station (ISS). 
A functionally and geometrically similar device has been developed by San Diego State University (SDSU)  as a senior capstone project. Recently, there has been much deliberation about the sensor used on both the SDSU apparatus and the real SoFIE Flow Duct, the MicroFlowSens MFS02 thermal gas flow sensor manufactured by Innovative Sensor Technology, and the instrumentation circuit on the SDSU apparatus. This research discusses the findings in instrumentation circuit performance and flow sensor behavior as well as instrumentation circuit, software, and sensor calibration experimental setup upgrades. It was found that the instrumentation circuit included a switched capacitance voltage inverter that produced significant noise and significantly affected the output of the sensor. The sensor was also found to be very sensitive to its angle with respect to the flow. To solve these problems, the instrumentation circuit and software underwent significant improvements and a rotary sensor mount was fabricated to properly align the sensor.
</t>
  </si>
  <si>
    <t>Fletcher</t>
  </si>
  <si>
    <t>Miller</t>
  </si>
  <si>
    <t>fmiller@sdsu.edu</t>
  </si>
  <si>
    <t>Britton</t>
  </si>
  <si>
    <t>Mennie</t>
  </si>
  <si>
    <t>bmennie2707@sdsu.edu</t>
  </si>
  <si>
    <t xml:space="preserve">Biomechanical engineering </t>
  </si>
  <si>
    <t>3-D Flow Visualization of Vortex Rings in the Left Ventricle</t>
  </si>
  <si>
    <t>Left Ventricular Assist Devices (LVADs) redirects blood flow in the heart, introducing flow patterns that have been shown to increase risk of thrombosis for patients with end-stage heart failure. Flow in the native heart is characterized by the formation of a large diastolic vortex in the left ventricle (LV) assisting in blood circulation to minimize kinetic energy losses and cardiac work. Study of flow in patients is challenging due to poor spatial and image resolution and fail to account for any comorbidities. An alternative is a mock circulatory loop that simulates the cardiovascular system with LVAD support. Our previous studies found that heart failure in patients results in early decay of vortex circulation and decreased vortex strength but were limited to a single 2-D imaging plane, resulting in a velocity field that featured two counter-rotating vortices that were cross-sections of the vortex ring. The goal of the current study is to measure the 3-D velocity field in the LV during LVAD speeds of 8000rpm and 10000rpm with a bioprosthetic valve and visualize the entire vortex ring during the cardiac cycle. Three-dimensional particle image velocimetry (PIV) recorded velocity flow field under HeartMate 2 support using a mock circulatory loop. Both LVAD speeds were tested with the absence and presence of the cardiac simulator. For the 4 conditions studied, mean aortic pressure was maintained at 80 mmHg to mimic patient conditions. The velocity field shows the intact vortex ring in 3-D, which can be isolated using the Q-criterion as a measure of the excessive rotation rate and strain rate in Matlab. A comparison of the isosurfaces for these four conditions shows that the vortex ring grows more asymmetric as speed increases. The vortex ring stores momentum and conserves energy during normal LV flow. When patients have heart failure with weakened pulsatility, their vortex ring becomes less efficient, and the heart muscle has to work harder to maintain the same activity level. Over time, this demand taxes the heart and initiates pathological remodeling, leading to a decline in health and potentially heart failure.</t>
  </si>
  <si>
    <t>Karen</t>
  </si>
  <si>
    <t>May-Newman</t>
  </si>
  <si>
    <t>kmaynewm@sdsu.edu</t>
  </si>
  <si>
    <t>Hailey</t>
  </si>
  <si>
    <t>Harkness</t>
  </si>
  <si>
    <t>hharkness2657@sdsu.edu</t>
  </si>
  <si>
    <t>Masters of Science in Bioengineering</t>
  </si>
  <si>
    <t>Three-Dimensional Flow Studies of the Aortic Root During Mechanical Circulatory Support</t>
  </si>
  <si>
    <t xml:space="preserve">A left ventricular assist device (LVAD) is a mechanical pump implanted to treat heart failure. The HeartMate3 LVAD (HM3) outflow graft connects the left ventricle to the aorta, bypassing the hemodynamically closed aortic valve. Recent clinical studies have found that small LVAD outflow graft angles significantly increase stroke risk by altering the flow dynamics of the native aortic root (AR). 
The aim of these studies was to measure the 3-D flow field for different LVAD outflow graft angles in a patient-specific model of the human aorta and calculate indices that indicate stroke risk. A patient-specific aorta was fabricated from transparent silicone with an outflow graft (OG) angle of 60°. The model was attached to a mock circulatory loop mimicking human circulation during LVAD support. The aorta was closed with a silicone plug (AV), and the outflow graft attached to a HeartMate3 LVAD. A blood-analog solution simulated the viscosity and density of blood within the circuit.
LaVision’s particle tracking system, with 4 cameras and LED light source, captured (PMMA-Rbh) fluorescent particle position at a frame rate of 750 Hz. Pressure and flow were recorded by Labchart at 200 Hz.
Measurements at angles 40° and 50° + or - 3 were conducted at three LVAD speeds, producing consistent total flow rates of 3.1, 4.1 and 4.4 L/min and mean aortic pressures of 53, 73 and 86 mmHg for all OG angles tested. 
Vector flow fields in the aortic root, with closed AV, exhibit low velocity and incoherent streamlines. Proximal (AR) velocity was .05-.061m/s for increasing speed at 40° and .08-.11 m/s at 50°. Distal (AR) velocity was greater than the proximal (AV) values and showed coherent streamlines (.116-.190 m/s at 40° and .022- .296 m/s at 50°). Particle residence time was .04-.01 at 40° and .23-.05 at 50°. Illustrating an increased OG angle is linked to flow geometry and the potential for platelet activation, thrombus formation and stroke during LVAD support. Further analysis is underway to characterize vorticity and flow patterns (i.e. Z- Vorticity and Pulsatility Index) in the aortic root. 
</t>
  </si>
  <si>
    <t xml:space="preserve">Karen </t>
  </si>
  <si>
    <t>Pourya</t>
  </si>
  <si>
    <t>Bayzaie</t>
  </si>
  <si>
    <t>pbayzaie1390@sdsu.edu</t>
  </si>
  <si>
    <t>Analysis of graphene derived via photolithographically-patterned C-MEMS and incorporation into implantable bioelectronic devices</t>
  </si>
  <si>
    <t xml:space="preserve">Since its discovery in 2004, graphene has become a heavily researched carbon allotrope, owing to its unique atomic structure. Consequently, graphene has demonstrated excellent thermal and electrical conductive properties, high strength, and potential for biomedical applications. A significant issue that faces graphene research, however, is the fact that graphene is both expensive and time-consuming to produce. Currently, the growing and patterning of graphene rely on chemical vapor deposition (CVD) and laser etching, respectively. A novel approach to solving these issues of time and expense is using photolithographically patterned carbon microelectromechanical systems (C-MEMS). This process entails first growing a carbon precursor, like glassy carbon, onto a silicon substrate, then annealing a transition metal substrate onto the carbon precursor. After annealing the two substrates together, the remaining transition metal is chemically etched off. The resulting material is graphene that has been grown on a silicon substrate via photolithographic patterning. This process of graphene production is ripe for greater research as it has not been performed with various transition metals nor has it been incorporated into the fabrication of existing bioelectronic devices. Therefore, the focus of my research will be analyzing the microstructural and electrochemical properties of graphene grown via photolithographically-patterned C-MEMS through various transition metals. This will pave the way for novel production methods using transition metals and photolithography to create graphene, which will be valuable in both research and industry. </t>
  </si>
  <si>
    <t>Ridgeway</t>
  </si>
  <si>
    <t>tridgeway3168@sdsu.edu</t>
  </si>
  <si>
    <t>Master of Science in Aerospace Engineering</t>
  </si>
  <si>
    <t>Simulations of Acoustic Instability in a Pintle Injector Rocket Engine</t>
  </si>
  <si>
    <t>The pintle injector has become a popular choice for liquid rocket engine (LRE) development in the commercial space sector, notably in successfully orbital engines from companies such as SpaceX, Astra Space, Firefly Aerospace, and Virgin Orbit. Historically, understanding and developmental testing of this injector type has remained almost exclusively a result of experimental test data, however the increased popularity of this LRE configuration indicates that it deserves attention from academic research in order to enhance existing data and diversify future development paths.
Pintle injectors have demonstrated stability with greater tolerance to combustion chamber design than other injector types, however they are not immune to instability problems. This research aims to computationally replicate a select case of experimental data from Sakaki et al., 2018, that experimentally showed a high frequency instability. Using computational fluid dynamics (CFD) software Ansys Fluent, this study aims to replicate the results reported by Sakaki within the uncertainty bounds presented alongside the experimental results. By producing a numerical solution to an unstable transient reacting flow validated by experimental data, it is demonstrated that complex reacting flow phenomena can be usefully approximated with computational models. Academic research validation of this simulation type as well as a proven set of models may be used by industry CFD engineers to reduce early development cycle cost by substituting test stand time with reacting flow simulations.
Preliminary results with gas-gas and liquid-gas models show a pressure fluctuation on the same frequency scale as reported by Sakaki, but with an oscillation amplitude less than that reported. Near term work includes a higher resolution mesh to bring y+ values onto the order of 1, full implementation of a liquid-liquid model to replicate the LOx-Ethanol combustion, and implementation of a more accurate combustion model. Final results will include refined simulations in both 2D axisymmetric and 3D geometries.</t>
  </si>
  <si>
    <t>Pavel</t>
  </si>
  <si>
    <t>Popov</t>
  </si>
  <si>
    <t>ppopov@sdsu.edu</t>
  </si>
  <si>
    <t>Shravani</t>
  </si>
  <si>
    <t>Hariprasad</t>
  </si>
  <si>
    <t>shariprasad3296@sdsu.edu</t>
  </si>
  <si>
    <t>Master of Science in Big Data Analytics</t>
  </si>
  <si>
    <t>Spatiotemporal Analysis and Deep Learning Image Classification with Google Street View (GSV) of the Homelessness Problem</t>
  </si>
  <si>
    <t xml:space="preserve">In the pursuit of addressing the situation of urban homelessness, this research project explores the homeless community of downtown San Diego. Employing a multifaceted approach, it leverages the transformative capabilities of Geographic Information Systems (GIS) and Google Street View imagery to conduct spatial analysis. Specifically we are targeting five selected streets: 7th Street, Commercial Street, 19th Street, G Street, and K Street.
This ongoing research analysis of urban homelessness utilizes GPS data to identify homeless areas and employ GIS in ArcGIS Online to visualize these hotspots. This database of Google Street View images spanning from 2007 to 2023 allows for us to uncover trends in homelessness, aid in resource allocation, and create policy improvements. This study involves the development of a deep learning model, specifically utilizing the YOLO version 5 model for custom training on a meticulously curated dataset. This model aims to analyze images to determine the presence of homeless individuals or signs of homelessness. The integration of GIS with advanced deep learning models offers a promising, data-driven solution not only for addressing urban homelessness in San Diego but also for potential applications in other cities.
</t>
  </si>
  <si>
    <t xml:space="preserve">Emma </t>
  </si>
  <si>
    <t>Manisha</t>
  </si>
  <si>
    <t>Matta</t>
  </si>
  <si>
    <t>Ming</t>
  </si>
  <si>
    <t>Tsou</t>
  </si>
  <si>
    <t>mtsou@sdsu.edu</t>
  </si>
  <si>
    <t>Park Boulevard</t>
  </si>
  <si>
    <t>Ellie</t>
  </si>
  <si>
    <t>Cramton</t>
  </si>
  <si>
    <t>ecramton5600@sdsu.edu</t>
  </si>
  <si>
    <t xml:space="preserve">Bachelors of Foods and Nutrition </t>
  </si>
  <si>
    <t xml:space="preserve"> Identification of Flavor Active Compounds in Micro- and Macro- Algae </t>
  </si>
  <si>
    <t xml:space="preserve">Algae is a nutrient dense and sustainable source of alternative proteins. Algae has a distinctive ocean-like flavor and has the potential to be used in alternative seafood. However, the volatile profiles of different species of algae vary significantly. Comparison of the flavor compounds of different algae species has not been well studied. Our study aims to identify flavor active compounds in  algae samples using both instrumental analysis and human sensory evaluation. Three kelp (Ascophyllum nodosum) and three microalgae (Arthrospira platensis, Chlorella vulgaris, and Dunaliella salina) powders were characterized for their flavor profiles using headspace solid-phase microextraction and gas chromatography-olfactometry-mass spectrometry (HS SPME/GC-O-MS). Over fifty volatiles were detected, including pleasant aroma compounds such as D-limonene (citrus and fresh aroma) and linalool (citrus, floral, sweet), as well as undesirable compounds like (E)-2-octen-1-ol (soap and plastic aroma). Numerous volatiles from seafood were detected in the algae samples. All three kelp samples and A. platensis powder contained 1-octen-3-ol, which presents a mushroomy and green aroma and is a key-aroma compound of crab, tuna, and salmon. A. platensis and C. vulgaris contain the flavor compound tetramethyl pyrazine, which is found in crab and shrimp, and presents a grassy and musty aroma. Future research will delve further into human sensory analysis of these samples. The knowledge on the flavor profiles of algae ingredients will further understanding on the flavor compounds formation and removal, as well as providing guidance on developing seafood flavor from algae.
</t>
  </si>
  <si>
    <t xml:space="preserve">Jing </t>
  </si>
  <si>
    <t>Rebecca</t>
  </si>
  <si>
    <t>Vernazza</t>
  </si>
  <si>
    <t>rvernazza1712@sdsu.edu</t>
  </si>
  <si>
    <t>Foods and Nutrition</t>
  </si>
  <si>
    <t>Better Space Parties with Algae-Enriched Guacamole</t>
  </si>
  <si>
    <t>As space exploration continues to gain momentum, astronauts are searching for sustainable
products that deliver both essential nutrients and flavor satisfaction. Our study aims to develop a
shelf-stable guacamole dry mix enriched with microalgae that can be enjoyed by astronauts in
Space following rehydration. We hypothesize that the formulation, which combines avocado
with microalgae, will strike a balance between stability, palatability, convenience, and nutrient
density. To explore the flavor profile of microalgae, volatile compositions of dried Arthrospira
platensis, Chlorella vulgaris, and Dunaliella salina biomass were analyzed using headspace
solid-phase microextraction and gas chromatography-olfactometry-mass spectrometry (HS-
SPME/GC-O-MS). Over 60 volatile compounds were detected using an HP-5 capillary column.
A prototype of freeze-dried guacamole mix was developed and the effects of processing order
(freeze-drying before or after formulating the product), product fineness (pureed versus
mashed), water content for rehydration, and lime juice quantity on color, texture, and flavor of
the product were examined. The guacamole’s consistency in texture and drying was ensured by
preparation before freeze-drying. The incorporation of acids from lime juice inhibited enzymatic
browning in the products. Rehydration with 80% of the removed water yielded the most
favorable texture. The impacts of microalgae incorporation on product flavor, color, and texture
was analyzed using sensory evaluations. The product’s refinement will continue based on both
instrumental analysis and sensory evaluation.</t>
  </si>
  <si>
    <t>Joanna</t>
  </si>
  <si>
    <t>Rockwell</t>
  </si>
  <si>
    <t>Julia</t>
  </si>
  <si>
    <t>Ng</t>
  </si>
  <si>
    <t>jng3675@sdsu.edu</t>
  </si>
  <si>
    <t>Bachelors of Science in Kinesiology, Pre-Physical Therapy</t>
  </si>
  <si>
    <t>Is Health Literacy Associated with Concussion Care Seeking Intentions and Behavior in Collegiate Students?</t>
  </si>
  <si>
    <t xml:space="preserve">Context: Individuals who sustain a concussion but do not seek care can experience greater symptom burden and prolonged recovery. Health literacy is defined as the degree to which individuals can effectively access, interpret, and comprehend health information and seek care. Currently, it is unknown how health literacy influences concussion care seeking. The purpose of our study was to determine if health literacy predicts concussion care seeking intentions and behavior.
Methods: College students completed an online survey. Health literacy was measured using the 4-item Brief Health Literacy Screening Tool (BRIEF; rated on a 5-point Likert-scale). BRIEF scores are categorized as inadequate (4-12 scores), marginal (13-16 scores), and adequate health literacy (17-20 scores). Indirect (9-items) and direct care seeking intentions (3-items) were rated on a 7-point Likert-scale. Both scores were averaged with higher scores indicating more favorable disclosure intentions. Indirect care seeking behavior was evaluated with 10-items and categorized as “care seekers” and “non-care seekers.” Participants who disclosed 100% of concussions/bell-ringers/dings experienced were categorized as “care seekers.” All others with an event to disclose, but did not, were categorized as “non-care seekers. We calculated four univariate regressions to understand the association between BRIEF categories and care seeking intentions (two linear regressions), and behavior (two logistic regressions). 
Results: Two hundred and sixty-two students provided at least one response for the survey with 257 completed submissions (completion rate=96.3%; age=20.7±2.2 years; male=96/267, 36.0%; female=159/267, 59.6%, non-binary/third gender=1/267, 0.4%, no response=11/267, 4.1%). Participants with marginal and adequate BRIEF scores had higher indirect intentions compared to inadequate BRIEF scores by 0.40 and 0.51, respectively (F2,258=3.72, p=0.026, R2=0.028). BRIEF scores were not associated with direct intentions (p=0.058), or behavior (indirect: p=0.544, direct: p=0.900). 
Conclusion: Health literacy may play a role in concussion care seeking intentions, however this did not translate to behavior and it may be small especially given the level of variance suggesting many other factors contribute. Future research may incorporate health literacy in concussion care seeking, but it should be being addressed in concussion education and management universally in order to ensure positive concussion outcomes are achieved. </t>
  </si>
  <si>
    <t>Weber Rawlins</t>
  </si>
  <si>
    <t>Sarah</t>
  </si>
  <si>
    <t>Konig</t>
  </si>
  <si>
    <t>skonig3078@sdsu.edu</t>
  </si>
  <si>
    <t>Kinesiology Pre- Physical Therapy</t>
  </si>
  <si>
    <t>Kinematics associated with patellar tendinopathy in collegiate basketball athletes.</t>
  </si>
  <si>
    <t xml:space="preserve">Introduction: Patellar tendinopathy (PT) is one of the most common injuries in sports with repetitive jumping. More than one in three collegiate basketball players are estimated to have PT or a patellar tendon abnormality (PTA)(1). Several movement patterns are associated with PT, including less knee flexion movement during a jump landing. Prior investigators have reported that collegiate basketball athletes with PTA display less knee flexion movement (38.3°) during a horizontal landing prior to a vertical countermovement jump compared to athletes with healthy tendons (51.9°)(2). 
Purpose: Since PT is ubiquitous within collegiate basketball athletes, the purpose of this study was to determine the extent to which athletes who participate in a pre-season biomechanics screening program display reduced knee flexion movement during the first landing of a drop vertical jump (DVJ). This data would provide valuable information to athletics medical staff to guide injury prevention and to improve performance.
Methods: This study included 11 SDSU Division 1 male collegiate basketball athletes averaging 20.6 (+/-1.84) years old. A 16-camera optical motion capture system was used to measure full body kinematics during the DVJ task. Reflective markers were placed on anatomical landmarks to define bone segments and joints. Athletes were instructed to step off a 30 cm box and land on both feet, followed by a maximal countermovement jump. Data was calculated based on the first landing. Knee flexion excursion for each leg was calculated from the difference in knee flexion at initial contact to the minimum knee flexion before the athlete leaves the force plate.
Results: On average, our athletes went through 44.3°(+/-7.96°) of knee flexion on their left leg, and 46.6°(+/-16.5°) on their right. Seven (63.6%) athletes displayed less than 38.3°, on nine (41%) limbs.
Conclusion: More than half of the athletes screened displayed the movement pattern associated with PTA. The extent to which this pattern or PTA is associated with the development of patellar tendinopathy is unknown. We are in the process of conducting more research to examine the association between movement patterns and injury risk.
</t>
  </si>
  <si>
    <t>Jay</t>
  </si>
  <si>
    <t>Barolo</t>
  </si>
  <si>
    <t>Jade</t>
  </si>
  <si>
    <t>Jachim</t>
  </si>
  <si>
    <t>jjachim7283@sdsu.edu</t>
  </si>
  <si>
    <t xml:space="preserve">Interdisciplinary Studies in Three Departments (Biology, Chemistry, Psychology) + Public Health minor </t>
  </si>
  <si>
    <t xml:space="preserve">Asymmetry between non-dominant and dominant limbs in female collegiate lacrosse athletes during a drop vertical jump </t>
  </si>
  <si>
    <t xml:space="preserve">Limb dominance is a factor associated with knee injuries, particularly in female athletes. Prior studies have reported that females are twice as likely to suffer a non-contact knee injury on their non-dominant (loading) leg versus their dominant (kicking) leg, however, there is limited research examining risk factors for non-contact injuries in sports that are more asymmetrical in nature like lacrosse. This study aims to examine the asymmetry of previously described risk factors for non-contact injuries on the non-dominant vs. dominant limb during the countermovement phase of a drop vertical jump (DVJ) task in female collegiate lacrosse athletes. 
Prior to the start of the spring season, 18 women’s collegiate lacrosse athletes were tested in a biomechanics laboratory. For the DVJ, participants stepped off a 30cm step, landed on both feet and were instructed to jump as fast and high as they could. A 3D motion capture system was used to measure lower extremity kinematics during the DVJ in reference to a standing posture. Maximum knee valgus, a known risk factor for non-contact Anterior Cruciate Ligament injuries, was measured in degrees during the countermovement phase of the DVJ. Limb dominance was established by asking athletes which limb they would use to kick a soccer ball (dominant/kicking), and which limb they would use to jump from (non-dominant/loading) Differences in maximum knee valgus between the non-dominant and dominant limbs would be examined across athletes using a paired t-test (alpha=0.05). We hypothesize that female lacrosse athletes will display greater knee valgus on the non-dominant limb compared to the dominant limb. The 3D motion capture data has been collected and is being processed; data analysis will be conducted during the Spring 2024 semester. 
The results of this study will provide valuable insights into the impact of limb dominance on the asymmetry of knee valgus exhibited by female lacrosse athletes during the countermovement phase of a DVJ task. These data may uncover mechanisms underlying the greater risk of non-contact injuries on the non-dominant limb in female athletes. 
</t>
  </si>
  <si>
    <t>Kayln</t>
  </si>
  <si>
    <t>Hazen</t>
  </si>
  <si>
    <t>Salma</t>
  </si>
  <si>
    <t>Iraqi</t>
  </si>
  <si>
    <t>siraqi8749@sdsu.edu</t>
  </si>
  <si>
    <t>MPH in Epidemiology and Biostatistics</t>
  </si>
  <si>
    <t>Obesity and Socioeconomic Influences: A Geographic Analysis of the Hispanic Population in Los Angeles, California</t>
  </si>
  <si>
    <t xml:space="preserve">Obesity, a chronic condition, is a serious threat associated with cardiovascular diseases, type 2 diabetes, and other conditions that may shorten the life-span of an individual. In the United States, obesity is a public health crisis, affecting approximately 45% of the Hispanic population when compared to other ethnic groups. Among Hispanics, 78.8% are overweight or obese. With Hispanics being 1.2 times more likely to be obese than non-Hispanic individuals. This study analyzes spatial associations between obesity prevalence, Healthy People Index (HPI) score, and socioeconomic status (SES) at the census tract level. HPI scores serve as crucial data points based on social conditions influencing health, including education, job availability, environmental indicators, such as clean air and water. Our analysis focuses on understanding the correlation between obesity prevalence and HPI scores at the census tract level within Los Angeles (LA) County, California while considering the Hispanic population density at that geographical level. Recognizing poverty level SES variables as potential contributors to the social determinants of health influencing obesity prevalence, we aim to understand the complex links. individuals who are overweight or obese are more susceptible to additional chronic conditions, thereby increasing the risks of heart disease and strokes. By understanding the correlation between Hispanic population density, poverty levels, and obesity rates in different census tracts of LA county, we can tailor interventions to meet the unique needs of these communities. It emphasizes the importance of addressing social determinants of health, such as economic conditions and cultural factors, to aid in formulating such interventions. 
</t>
  </si>
  <si>
    <t>Jiachen</t>
  </si>
  <si>
    <t>Wang</t>
  </si>
  <si>
    <t>Ming-Hsiang</t>
  </si>
  <si>
    <t>11:00 AM</t>
  </si>
  <si>
    <t>Isabel</t>
  </si>
  <si>
    <t>Villegas-Glang</t>
  </si>
  <si>
    <t>ivillegasglang2346@sdsu.edu</t>
  </si>
  <si>
    <t>Rejoicing, Rewarding, and Rejecting: An Investigation of Affection in Intimate College-Aged Relationships</t>
  </si>
  <si>
    <t xml:space="preserve">Affection functions as a strong means of maintaining and strengthening relationships, though maintaining affectionate messages in college-aged relationships throughout stressful times appears to be difficult. The primary goal of this qualitative interview study is to understand how college-aged individuals in relationships communicate and express affection, especially when stressed out. To effectively investigate affectionate messages in relational communication, affection exchange theory (AET, Floyd, 2001) and relational maintenance strategies (Canary &amp; Stafford, 1992) are the conceptual framework. This study utilizes three ultra-rich qualitative interviews with women between the ages of 20-22 who have been in a heterosexual relationship for more than one year. The interviews were transcribed and coded on NVivo Qualitative Software, with thoughts as the unit of analysis. Grounded theory (Charmaz, 2001) was used to describe what the interviewees were describing in their interviews, aiming to understand affection through the participants' experiences and thoughts. Coding was performed in two cycles to condense, compare, and redefine codes into overarching themes. Themes were created with the consideration of previous research and theories that pertain to affection to be analyzed at a deeper conceptual level, and the three strongest themes were chosen for analysis. The primary findings include that college-aged individuals enjoy expressions of affectionate assurance, especially when they are stressed out. However, sometimes their stress can manifest in relationships, leading to a decrease in affectionate messages. Therefore, partners tend to withhold affection during stressful situations as they cannot dedicate as much time to assuring behaviors and messages. Words of affirmation prove to be very important to women in this age group, which creates a paradox between individuals wanting to be affirmed and not acting in an affirming way towards their partners. These findings relate to AET and larger theoretical implications as they provide a small, yet impactful, insight into how college-aged women communicate and receive affection. Through this study, it has been concluded that individuals in this age group should work to express their affectionate feelings to their partners, especially when parties are stressed to further thrive. </t>
  </si>
  <si>
    <t>Dykstra-DeVette</t>
  </si>
  <si>
    <t>Gianni Louis</t>
  </si>
  <si>
    <t>Fungipani</t>
  </si>
  <si>
    <t>gfungipani6939@sdsu.edu</t>
  </si>
  <si>
    <t xml:space="preserve">Undeclared </t>
  </si>
  <si>
    <t xml:space="preserve"> Authoritarianism in the EU integration process </t>
  </si>
  <si>
    <t xml:space="preserve">A surge of authoritarian ideas and extremist views have increased in political influence in Europe over recent years. How does an increase in authoritarian tendencies and regimes influence the future of the European Union in terms of being able to deal with regional and international challenges like conflict, climate change or extremism? 
I conduct a scholarly literature review to answer this question. I draw upon academic, government, and other reputable sources. Policy makers, activists and scholars should be interested in this research, because authoritarianism challenges democratic processes, thereby undermining collaborative efforts to deal with environmental and other crises. 
Indeed, I find that growing extremism threatens the legitimacy of the European Union, and I discuss the implications of this trajectory as well as provide policy recommendations. </t>
  </si>
  <si>
    <t>Sydney</t>
  </si>
  <si>
    <t>Stafford</t>
  </si>
  <si>
    <t>sstafford2158@sdsu.edu</t>
  </si>
  <si>
    <t xml:space="preserve">Why Does Gender Matter? Student Perspectives on Leadership </t>
  </si>
  <si>
    <t>In accordance with research findings in the last decade, society has grown to believe and understand that being a successful leader is not determined by gender. This research aims to recognize how gender affects leadership styles among student leaders at San Diego State University in compliance with social role theory. By analyzing the experience of each interview participant, the importance of finding gender discrepancies in leadership as well as how these students efficiently lead is evident throughout this study. Investigating various forms of challenges, conflict, and team productivity have proven many commonalities and differences among female and male participants in their respective professional environments. Each participant included in this research is an active student leader at San Diego State University. To maintain a parallel and equivalent study, two feminine-identifying and two masculine-identifying individuals were interviewed. This led to a total of four interview participants contributing to the research study (N=4) from various backgrounds and involvements at San Diego State University to maintain the effects of triangulation. In findings across all participant groups, male and female student leaders spoke on the importance of communication and effectively communicating in leadership roles. However, It was found that in using communication techniques masculine and feminine individuals differed. Feminine-identifying participants used communication to create relationships with team members and work together toward problem-solving. Alternately, masculine-identifying individuals communicate to send messages to team members in order to efficiently complete tasks. These findings are consistent when comparing these results to social role theory as these male and female student leaders fall into categorical roles tied to gender through their communicative practices. Finding relationships between empathetic leadership and femininity, as well as task efficiency and masculinity, allows research to expand through various perspectives and lenses. As social roles shift, grounded research in gender and leadership can catalyze posterity to believe in the success across leaders of masculine and feminine identities.</t>
  </si>
  <si>
    <t>Allison</t>
  </si>
  <si>
    <t>Gallant</t>
  </si>
  <si>
    <t>agallant4266@sdsu.edu</t>
  </si>
  <si>
    <t>Bachelor Political Science</t>
  </si>
  <si>
    <t xml:space="preserve"> Fighting for Gaza: Assessing student mobilization movements and shifting foreign policy perspectives</t>
  </si>
  <si>
    <t>The events of October 7th surged into utter violence and destruction for both Israel and Palestine, yet what would follow in the United States assumed a type of political and social awakening that had been previously dormant for decades. The effects of violence in Israel and Palestine assumed a mobilization of students across the world to ban together in an effort to condemn the human rights violations committed, while calling for a universal ceasefire in Gaza. My research answers the question of “why now?”, while examining the past decades of political participation regarding Israel/Palestine and the older generations of individuals' tendencies to support Israel. I will aim to understand the importance of this generation in their efforts to denounce Israeli occupations of Palestine and campaign to influence American foreign policy, particularly analyzing the mobilization of student groups at San Diego State University. I will include the influence that American media has had on portraying the conflict, subsequently influencing American political opinion and the overall stance that each party takes regarding the decades-long conflict that has since impacted the world.</t>
  </si>
  <si>
    <t>Jonathan</t>
  </si>
  <si>
    <t>Graubart</t>
  </si>
  <si>
    <t>graubart@sdsu.edu</t>
  </si>
  <si>
    <t>Devi</t>
  </si>
  <si>
    <t>Garnero</t>
  </si>
  <si>
    <t>dgarnero3716@sdsu.edu</t>
  </si>
  <si>
    <t>Language Culture and Society major and Italian minor</t>
  </si>
  <si>
    <t>Exploration of the Slavic Impact on Romanian Language Change</t>
  </si>
  <si>
    <t>Why is it that Romanian sounds to the untrained ear similar to Slavic languages such as Russian or Bulgarian, when in reality it’s closely related to Romance varieties like French? Despite being derived from Latin, Romanian is spoken in Eastern Europe, and through centuries of contact with a variety of Slavic languages has adopted many Slavic-like traits. Due to the impact of the Slavic language family in shaping various linguistic aspects of Romanian over centuries of interaction, Romanian holds a unique position within the Romance language family. This report examines the influence of Slavic languages on language change in Romanian, focusing on components of phonological, morphological, syntactic, and lexical changes. The work aims to examine an extensive and diverse body of literature, unraveling the intricate interplay of historical and linguistic factors that have shaped Romanian’s linguistic landscape. Using changes that took place internal to Romanian as a basis, I compiled and analyzed a broad set of reports into this review, each focusing on certain aspects of Slavic-based language changes. Slavic influence extends to the vocative case, affixes, position of relative adjectives, scrambling and auxiliary inversion, palatalization of certain vowels, emergence of certain phonemes via borrowing, and loan words. In this literature review, examining the prior works comprehensively enables one to grasp the significant role that Slavic languages played in the evolution of Romanian, offering a thorough understanding of its influence. The course of this research demonstrates that Slavic languages have had a monumental impact on the Romanian language, unrelated to the natural path of evolution that Romanian inherently undergoes as a Romance language.</t>
  </si>
  <si>
    <t>Aaron</t>
  </si>
  <si>
    <t>Dinkin</t>
  </si>
  <si>
    <t>adinkin@sdsu.edu</t>
  </si>
  <si>
    <t>Prefer not to respond</t>
  </si>
  <si>
    <t xml:space="preserve">Samantha </t>
  </si>
  <si>
    <t>DiDomenico</t>
  </si>
  <si>
    <t>sdidomenico7200@sdsu.edu</t>
  </si>
  <si>
    <t>Bachelor of Arts in political science</t>
  </si>
  <si>
    <t>Complications of Brexit: The Troubles and Northern Ireland’s Identity Politics</t>
  </si>
  <si>
    <t xml:space="preserve">This project analyzes the impact of the Brexit withdrawal agreement on socio-political dissension surrounding identity and border politics in Northern Ireland. Could the 2016 referendum decision of the United Kingdom to leave the European Union (Brexit) be the linchpin for Irish reunification? Or perhaps a regression into the violence of the Troubles? Seven years after the Brexit vote, the Brexit decision continues to generate disagreement due to the unique challenges of the Northern Ireland issue. This literary survey provides a historical analysis of secondary sources and public opinion data (qualitative and quantitative) investigating potential shifts in the direction of reunification with the Republic of Ireland/dissatisfaction with the United Kingdom; of cooperation between, namely, the EU, UK, Irish governments, critical political parties, and citizens in attempts to fully resolve both The Troubles and Brexit complications for Northern Ireland, or of simply maintaining the status quo. The aim of this project is to understand the scope and significance of the Brexit decision on the potential for reaggravating the border between Ireland and Northern Ireland, playing into the game of identity politics that precipitated decades of violence known as The Troubles. Despite the highly successful Belfast/Good Friday Agreement of 1998 which ended the height of the violence, the conflict— physical and political—  continues, worsened in many ways by the 2016 Brexit decision. My analyses of the research and data show that current attitudes have changed despite the rise of historic tensions. Due to complications from deep and conflicting beliefs, the status quo of unresolved conflict is likely to continue for the next decade, barring significant developments; and any solutions to the “border problem” posed by Brexit would likely be unacceptable to the groups involved. These findings emphasize the necessity for comprehensive solutions which accommodate all groups, in order to maintain peace and social order for Northern Ireland. 
</t>
  </si>
  <si>
    <t>Kimberly</t>
  </si>
  <si>
    <t>Twist</t>
  </si>
  <si>
    <t>ktwist@sdsu.edu</t>
  </si>
  <si>
    <t>Jenae</t>
  </si>
  <si>
    <t>Dellafosse</t>
  </si>
  <si>
    <t>jdellafosse5015@sdsu.edu</t>
  </si>
  <si>
    <t>Bachelor of Arts in Sociology</t>
  </si>
  <si>
    <t xml:space="preserve">he Interconnectedness of Love and Guilt: Discovering the Path to Conocimiento and Healing by  Confronting Guilt with Love </t>
  </si>
  <si>
    <t>While acknowledging the powerful human emotion of guilt and its potentially overwhelming impact on individuals, this research analyzes how love can be used as a tool to help reduce the feeling of guilt. Established social science research connects guilt to negative repercussions in relationships with others and oneself. Reflecting upon guilt's obstructive impacts, this research explores renowned author bell hooks' idea of redemptive love and and it’s correlations with Chicana theorist Gloria Anzaldúa and educator Stephanie Cariaga's scholarship on healing, self discovery, pedagogies of the bodymindspirit and the path to conocimiento, or “awakening consciousness”. Using women of color feminist epistemology and plática (group storytelling) methodology as a from of healing within itself and qualitative analysis, I organized and participated in multiple pláticas to co-create knowledge and illuminate our gendered and racialized experiences with guilt and love. Throughout these pláticas we personally defined guilt and love, discovered triggers for guilt, and shared stories demonstrating how love and guilt have impacted one another and ourselves. In conclusion, we discovered that showering the feeling of guilt with love helped reduce the feeling of guilt and can instead result in self discovery and the path to conocimiento.</t>
  </si>
  <si>
    <t>Irene</t>
  </si>
  <si>
    <t>Lara</t>
  </si>
  <si>
    <t>ilara@sdsu.edu</t>
  </si>
  <si>
    <t>Tyana</t>
  </si>
  <si>
    <t>Ortiz</t>
  </si>
  <si>
    <t>tortiz4127@sdsu.edu</t>
  </si>
  <si>
    <t>Environmental Science</t>
  </si>
  <si>
    <t xml:space="preserve">   Land Access, Gentrification, and Urban Agriculture In San Diego</t>
  </si>
  <si>
    <t xml:space="preserve">In recent years, especially in the context of climate change, cities have been under pressure to provide public green spaces that offer different benefits and uses for their residents. In that context, community gardens are an important resource that have significant potential environmental and social benefits, especially in areas where there is a lack of access to fresh and nutritious foods. 
In a research project investigating urban agriculture in San Diego, we gathered extensive data about fifty-three community gardens. We found that the majority were located within historically marginalized communities that are now experiencing gentrification. In these areas, however, gardens were often very small because of the lack of available and affordable space. Indeed, San Diego has been listed as the most expensive place to live in the United States, leading to gentrification pressures in older urban neighborhoods and creating barriers to land access for urban gardening. While there is vacant land that could be made available for urban agriculture, speculation related to real estate development often makes it unavailable to community groups. Preliminary evidence from interviews conducted with managers of community gardens suggest that organizations running community gardens fear losing access to their lands at the whims of the real estate market and often have long waitlists. 
Our study investigates the availability and affordability of vacant lots that could be used for urban agriculture within the region, using data from the County of San Diego and the US Census. We use Geographic Information System to examine the spatial relationship between available space, property value, gentrification, and demand for urban agricultural land based on the current number of people who garden and those on waitlists. and gentrification pressure. Our goal is to determine the feasibility and affordability of converting available spaces for urban agriculture in a context where land use is primarily driven by market dynamics. The results of this study could inform policy to support future expansion of community gardens in high need areas as a way to help create greener cities by providing growers with valuable information. </t>
  </si>
  <si>
    <t>Esteban</t>
  </si>
  <si>
    <t>Cisneros</t>
  </si>
  <si>
    <t>Pascale</t>
  </si>
  <si>
    <t>Joassart-Marcelli</t>
  </si>
  <si>
    <t>pmarcell@sdsu.edu</t>
  </si>
  <si>
    <t>Rapp</t>
  </si>
  <si>
    <t>erapp5130@sdsu.edu</t>
  </si>
  <si>
    <t>Environmental Sciences B.S.</t>
  </si>
  <si>
    <t xml:space="preserve">Cheek pouch use of Macaca maura in proximity to road in Bantimurung Bulusaraung National Park, Sulawesi, Indonesia </t>
  </si>
  <si>
    <t xml:space="preserve">Cercopithecine primates possess a distinct feature known as ‘cheek pouches' that are believed to have adaptive functions, such as reducing feeding competition. As part of a 6-week, NSF-funded International Research Experiences program, I had the opportunity to study the use of this adaptation in endangered moor macaques (Macaca maura) living in Bantimurung Bulusaraung National Park, Sulawesi, Indonesia. This program involved one week of training and two weeks of preliminary observations, preceding the development of my mini-project. For my mini-project, I chose to observe feeding and cheek pouch use by the moor macaques while in the forest and while along the road. I conducted 60 hours of observation across six days in July-August 2023, collecting all occurrences of feeding and evidence of cheekpouching. I found that when the monkeys were feeding on the road, 50.7% of the feeding records involved the use of cheek pouches, while in the forest cheek pouches were used in only 2.5% of the feeding records. Of the monkeys that used their cheek pouches on the road, 97.3% of feeding records involved provisioned foods, while 2.7% of feeding records involved wild foods. Additionally, when the monkeys on the road used their cheek pouches, 59.5% of feeding records showed that there was another individual within two meters, while 40.5% of feeding records show no individuals within two meters. These results are significant because they suggest that provisioned foods may generate within-group competition, particularly given the way foods are provisioned from moving vehicles. This physical adaptation may help the moor macaque monkeys navigate future human interaction, as road infrastructure is part of their habitat. Future studies on within group competition can elevate this research. Overall this program developed my research skills and solidified my interest in conservation research for my future career. More importantly, I learned more about myself and the world in the cross cultural interactions I had with our Indonesian peers. </t>
  </si>
  <si>
    <t>College of Sciences</t>
  </si>
  <si>
    <t>Erin</t>
  </si>
  <si>
    <t>Riley</t>
  </si>
  <si>
    <t>epriley@sdsu.edu</t>
  </si>
  <si>
    <t>Sama</t>
  </si>
  <si>
    <t>Mikhail</t>
  </si>
  <si>
    <t>smichael6198@sdsu.edu</t>
  </si>
  <si>
    <t>Bachelor of Science in Microbiology</t>
  </si>
  <si>
    <t xml:space="preserve"> Aerobic Activity is Impaired by Vaping</t>
  </si>
  <si>
    <t xml:space="preserve">Vaping and e-cigarettes are popular with young adults due in part to the perception of harm reduction compared to traditional cigarette smoking. Vaping offers a safer alternative to cigarette smoking but still can promote pathological changes that diminish the health and lifestyle activities of frequent users. Aerobic exercise improves cardiovascular health, but the influence of physical activity upon vaping-associated pulmonary injury (VAPI) is poorly understood. The long term goal of this study is to assess the impact of aerobic exercise upon VAPI.  Cohorts of male (n=4) and female (n=4) C57BL/6 in four treatment groups consisted of: 1) no exercise, no vape; 2) no exercise, vape; 3) exercise, no vape; and 4) exercise and vape. Physical activity on voluntary running wheels was measured four days per week by tracking the number of wheel revolutions per evening. Vape aerosol exposure was performed using an automated inhalation apparatus (SCIREQ InExpose) equipped with JUUL pens loaded with commercially purchased Peach Ice flavored juice (ORGNX; zero nicotine) for 4 hours per day and 5 days per week. Results demonstrate that exercise performance is reduced by vape aerosol exposure after 4 weeks compared to the running-only cohort. Both sexes initially show increased exercise performance with acclimation to the running wheels within the first few weeks with female mice consistently running approximately 3.2 kilometers more than corresponding males 11.8 versus 14.9 kilometers for females versus males, respectively. Variability between individual mice was evident, but vaping led to a substantial decrease in distance run for both females and males after 4 weeks 13% and 12.5% lower, respectively. These findings demonstrate that vaping impairs aerobic exercise capacity with sex-specific differences in outcomes. Ongoing studies will determine the mechanistic basis for aerobic exercise impact upon VAPI using a combination of molecular, histologic, and functional analyses. In conclusion, females appear initially more resistant to VAPI than males but this advantage may be lost with prolonged exposure. </t>
  </si>
  <si>
    <t xml:space="preserve">Mark </t>
  </si>
  <si>
    <t>Sussman</t>
  </si>
  <si>
    <t>heartman4ever@icloud.com</t>
  </si>
  <si>
    <t>Camille</t>
  </si>
  <si>
    <t>Movafagian</t>
  </si>
  <si>
    <t>cmovafagian7855@sdsu.edu</t>
  </si>
  <si>
    <t xml:space="preserve">Bachelor of Science in Biology </t>
  </si>
  <si>
    <t>Determining Cloning in Native Succulent Population</t>
  </si>
  <si>
    <t xml:space="preserve">Agave shawii, also known as Shaw’s agave, is a native succulent found in Baja California and Southern California. This species is very important and versatile to Native Americans in these areas, who use the succulent for its nutrition and durability for tools and clothing items. Previous research on Agave shawii has focused on its unsuccessful reproduction rates and low seed counts. For the populations located in Southern California, it has been difficult to pinpoint specific pollinators of the species. There has also been research focusing on how the increase in temperature in Southern California decreases the environmental pressure on Agave shawii to reproduce as frequently and instead live longer. Despite these challenges, Agave shawii is not listed as threatened or endangered on the Environmental Conservation Online System. The purpose of this study is to determine the genetic diversity of the Agave shawii population at Cabrillo National Monument (CNM), which is located at Naval Base Point Loma in San Diego. We want to determine if individuals in this area are reproducing via cloning. Even though this clonality helps keep population numbers high, it causes the genetic diversity to plummet. We previously collected a total of 110 samples from 55 individuals from Cabrillo National Monument. In order to assess whether the CNM population has depleted genetic diversity, we have collected from 7 populations of Shaw’s agave from other regions in Baja California in which the species is more abundant. We collected a total of 72 samples from 72 individuals in Baja California. DNA extractions have been completed for all samples and sequencing is undergoing. We hope our results can give us information to understand the genetic diversity of the populations of Agave shawii. If cloning is found in this population, it will be crucial to look into possible causes for this occurrence. This research will help us work towards successful conservation and reproduction of the Agave shawii population in Southern California. We also hope this research will shine light on other species that are improperly documented and in need of reproductive and conservation studies. </t>
  </si>
  <si>
    <t>Shaila</t>
  </si>
  <si>
    <t>Prasad</t>
  </si>
  <si>
    <t>sprasad4074@sdsu.edu</t>
  </si>
  <si>
    <t>Bachelors of Science in Microbiology with emphasis in CLS and minor in Chemistry</t>
  </si>
  <si>
    <t>Accurate growth kinetics and biochemical composition characterization enable smart cultivation of nutritious marine Dunaliella salina biomass to enhance space food</t>
  </si>
  <si>
    <t>Dunaliella salina is an edible unicellular microalgae known for its antioxidant content (e.g., 𝛃-Carotene and 9-cis-𝛃-Carotene). On top of that, D. salina biomass is rich in edible proteins (&gt;40%), lipids (&gt;15%), vitamins, and minerals becoming an excellent source of nutrients for the astronaut food that is being designed within NASA’s Artemis project. Throughout its cultivation cycle, D. salina changes its appearance, displaying green, yellow, and orange coloration as a result of the dynamic accumulation of pigments. The main goal of this project is to accurately estimate growth kinetics parameters and to perform proximate biochemical composition analysis of D. salina throughout its optimized growth cycle, focusing on total protein (Lowry method), carbohydrate (acid digestion method), lipid (gravimetric analysis), and photosynthetic pigment (cold acetone extraction) content. The Gompertz-Zwietering growth kinetics model was used to estimate the autotrophic and mixotrophic growth parameters (i.e., biomass carrying capacity (A), growth rate, 𝛍max, and lag time, 𝛌) of D. salina during its reproduction at three different salinity levels (6% w/w, 8% w/w, and 9.5% w/w), and in the presence of citric acid at different initial concentrations (0, 1, 2.5, 5.0, 7,5, and 10 mM). It was determined that concentrations of ~8% salinity and concentrations of ~5mM of citric acid are factors that lead to increased growth rates in D. salina. Within the citric acid experiment, it was observed that cultures with citric acid had lower overall biomass production than cultures without it. After selecting the optimal salinity and citric acid levels, accurate biochemical composition data were measured over time to generate objective biomass equations that enhance the predictive capabilities of high-quality Genome-Scale Metabolic Reconstruction models. Moreover, the Gompertz- Zwietering kinetic parameters were used to establish cultivation times of the three different phenotypes that show up during the early exponential (green), late exponential (yellow), and stationary (orange) phases. The combination of kinetic analysis, proximate biochemical analysis, and biomass objective function results help determine optimal D. salina cultivation times to enhance the nutritional value of D. salina biomass incorporated in a space food product that is visually appealing.</t>
  </si>
  <si>
    <t>Cristal</t>
  </si>
  <si>
    <t>czuniga2@sdsu.edu</t>
  </si>
  <si>
    <t>Rania</t>
  </si>
  <si>
    <t>Atto</t>
  </si>
  <si>
    <t>ratto8236@sdsu.edu</t>
  </si>
  <si>
    <t>Bachelor in Microbiology</t>
  </si>
  <si>
    <t xml:space="preserve"> Identification and functional analysis of ABC transporters in the planarian Schmidtea mediterranea</t>
  </si>
  <si>
    <t xml:space="preserve">The ATP-binding cassette (ABC) transporters import and export substrates across membranes through active transport. ABC transporters are heavily studied for their roles in drug resistance, nutrient import, and the movement of toxins and drugs across membranes. ABC transporters have yet to be examined in highly regenerative organisms like the freshwater planarian Schmidtea mediterranea. These non-parasitic flatworms have a large population of pluripotent adult stem cells (neoblasts), granting the remarkable ability to regenerate whole worms from small tissue fragments. Characterizing ABC transporters in planarians may uncover roles for these genes in stem cell-based regeneration, tissue homeostasis, or toxicology. Using BLAST analysis of the planarian transcriptome compared to known ABC transporter amino acid sequences from Lytechinus pictus and Strongylocentrotus purpuratus (two sea urchin species), we identified twenty-one ABC transporter genes in S. mediterranea, encompassing five subfamilies. We used whole-mount in situ hybridizations (WISH) to validate gene expression domains within the epidermis, brain, intestines, and neoblasts, correlating with published single-cell RNA-seq data. We hypothesize that ABC transporters have significant roles in waste filtration and substrate transport into the epidermis, gut, and central nervous system in S. mediterranea, and functional roles in stem cell-based regeneration. To test this, RNA interference (RNAi) knockdowns of each gene were performed to screen for morphological phenotypes in intact and regenerating worms. We found four ABC transporter genes resulting in animal lysis or pigmentation loss, suggesting a subset of transporter genes have vital roles in maintaining tissues like the epidermis. To examine the spatial expression transporter genes, we exposed planarians to irradiation depleting the neoblast population, and processed them for WISH. Seven ABC transporters exhibited reduced expression post-irradiation indicating a neoblast population. Together, these experiments provide the first insight into the tissue distribution and function of S. mediterranea ABC transporter genes, which could be translated for targeting ABC transporters in parasitic flatworms. Future experiments will investigate how RNAi knockdowns of ABC transporter genes impact specific cell populations using cell type-specific markers and ABC transporter-specific small molecules to assess how our loss-of-function experiments abrogate the transporters. 
</t>
  </si>
  <si>
    <t>Ricardo</t>
  </si>
  <si>
    <t>Zayas</t>
  </si>
  <si>
    <t>rzayas@sdsu.edu</t>
  </si>
  <si>
    <t>Angelyn</t>
  </si>
  <si>
    <t>Solis</t>
  </si>
  <si>
    <t>asolis6010@sdsu.edu</t>
  </si>
  <si>
    <t>Bachelor of Sciences in Biology</t>
  </si>
  <si>
    <t>Stem Cell and Gene Therapy for Friedreich's Ataxia</t>
  </si>
  <si>
    <t xml:space="preserve">Friedreich’s Ataxia (FRDA) is an inherited, autosomal recessive multisystemic disorder caused by a GAA trinucleotide repeat mutation in intron 1 of frataxin (FXN). FXN is a mitochondrial protein responsible for iron metabolism and the organelle’s homeostasis including energy production primarily in the heart, liver, spinal cord, pancreas, and skeletal muscles. As a progressive disease, patients display gait and locomotor decline with cardiac dysfunction as the cause of mortality. There is currently no permanent treatment although an oral pill, Omaveloxolone, was approved by the FDA in February 2023 as the first treatment for the disease. As an alternative one time therapy, my research project focuses on evaluating the potential of gene therapy and bone-marrow hematopoietic stem and progenitor cells (HSPCs) transplantation for FRDA.
Previous studies in our lab showed that bone marrow HSPCs from wild type mice transplanted into Friedriech’s ataxia diseased mice prevented progression of neurologic and cardiac complications. The beneficial effects were attributed to engraftment of HSPC-derived  macrophages and microglia cells in the diseased organs because they helped transfer functional frataxin. We next demonstrated that a CRISPR/Cas9 mediated excision of the GAA mutation in FXN of HSPCs restored their mitochondrial functions. My research project evaluates the therapeutic potential of transplantation of these gene corrected HSPCs cells in FRDA mice. To this end, we explant organs from mice that were treated with or without the gene edited HSPCs and compare FXN protein levels to see if the edited cells helped to provide a rescue in the diseased mice. With this study, we will demonstrate whether increased frataxin helps to rescue the primary affected organs and conclude that HSPCs and gene therapy can be a potential therapeutic option for Friedreich’s Ataxia. </t>
  </si>
  <si>
    <t>Anusha</t>
  </si>
  <si>
    <t>Sivakumar</t>
  </si>
  <si>
    <t>asivakumar@health.ucsd.edu</t>
  </si>
  <si>
    <t>UCSD</t>
  </si>
  <si>
    <t>Physical and Mathematical Sciences 1</t>
  </si>
  <si>
    <t>Faith</t>
  </si>
  <si>
    <t>Poutoa</t>
  </si>
  <si>
    <t>fpoutoa0822@sdsu.edu</t>
  </si>
  <si>
    <t>Physics</t>
  </si>
  <si>
    <t>Developing a Long-Range Optical Oil Spill Detector Using Fluorescence</t>
  </si>
  <si>
    <t>The early detection of oil spills is crucial for minimizing their environmental impact. In this project, we have developed an optical-based system designed to detect the presence of oil slicks, with the intention of installing it on the side of an oil rig. This optical system relies on ultraviolet (UV) fluorescence, where UV light is absorbed by the oil, causing it to fluoresce at a different wavelength. The optical design software, Zemax, was used to determine necessary optical components and their positioning to create a practical system. Through a combination of computer modeling and experimental measurements, we have created a system that precisely focuses a UV LED into a one-square-meter spot at a target distance of 60 meters. We have rigorously tested the system with various oil samples in both well-lit and low-light environments, achieving remarkably high signal-to-noise ratios. In this presentation, I will delve into the key features of our prototype's design while also sharing our most recent results.</t>
  </si>
  <si>
    <t>Anderson</t>
  </si>
  <si>
    <t>manderson@sdsu.edu</t>
  </si>
  <si>
    <t>Jennifer</t>
  </si>
  <si>
    <t>Brumley</t>
  </si>
  <si>
    <t>jbrumley1134@sdsu.edu</t>
  </si>
  <si>
    <t>Bachelors of Science/Physics</t>
  </si>
  <si>
    <t>Plasmonics and hBN</t>
  </si>
  <si>
    <t>Quantitatively comparing photoluminescence and Raman spectroscopy of gold coated and non-gold coated silicon wafers of which both contain hBN crystals with negatively charged boron vacancies (VB-). The purpose of this project is to demonstrate how the addition of gold plasmons to these wafers can alter the photoluminescence and the Raman spectroscopy of the hBN samples. The process of which includes depositing a gold film on silicon wafers, exfoliating hBN crystals, transferring those crystals to the wafers, annealing them to create negatively charged boron vacancies, and finally gathering and analyzing the data.</t>
  </si>
  <si>
    <t>Sanjay</t>
  </si>
  <si>
    <t>Behura</t>
  </si>
  <si>
    <t>sbehura@sdsu.edu</t>
  </si>
  <si>
    <t>Melanie</t>
  </si>
  <si>
    <t>Weed</t>
  </si>
  <si>
    <t>mweed7161@sdsu.edu</t>
  </si>
  <si>
    <t>Bachelor of Science in Chemistry</t>
  </si>
  <si>
    <t>Plastic Wastes Upcycling via Electrocatalytic C-N Coupling Reaction</t>
  </si>
  <si>
    <t xml:space="preserve">Polyethylene terephthalate (PET) waste is one of the most commonly used plastic materials due to its durability, low cost. Unlike natural polymers, PET waste is non-degradable under natural conditions, which causes severe environmental pollution. To solve this problem, current PET wastes are mainly recycled through mechanical and chemical methods. The inefficiency, high cost, and toxic reaction conditions of these conventional methods hinder the development of PET wastes upcycling. Electrocatalysis is an emerging strategy to achieve molecule conversion and synthesis driven by renewable energy sources. For example, ethylene glycol (EG) can be oxidized to formic acid on the anode while clean H2 fuel can be produced from cathode in an electrochemical cell. 
Herein, we developed an electrocatalysis method to achieve PET plastic wastes upcycling. In this research, the low-cost MnO2 was synthesized as a catalyst through a facile electrodeposition method. On anode, the EG monomer from PET hydrolysis reaction was efficiently oxidized to aldehyde intermediates in near-neutral condition, which further coupled with nitrogenous nucleophile to produce C-N bond compounds, such as formamide and glycolamide. Meanwhile, clean H2 is produced from cathode. Overall, this research develops a novel method to upcycle plastic wastes to value-added products, which is an attractive “Tuning Waste to Wealth” strategy. </t>
  </si>
  <si>
    <t>Gu</t>
  </si>
  <si>
    <t>jgu@sdsu.edu</t>
  </si>
  <si>
    <t xml:space="preserve">Molly </t>
  </si>
  <si>
    <t>Hedin</t>
  </si>
  <si>
    <t>mhedin4456@sdsu.edu</t>
  </si>
  <si>
    <t>Biochemistry</t>
  </si>
  <si>
    <t>An ab initio investigation of the energetic properties of HC3O radicals</t>
  </si>
  <si>
    <t xml:space="preserve">HC3O free radicals are highly reactive π-conjugated combustion intermediates. The reactivity of free radicals is a driving force of chemistry, yet the same reactivity greatly limits the availability of experimental data. Because of this transient nature, ab initio computational methods have been employed to study the energetics of HC3O reactions. Previous studies have found two minima along the potential energy surface, corresponding to different isomers of HC3O: isomer A with the form H-CC-C=O and isomer B with the form H-C=C=C=O. The unpaired electron on isomer A is on the carbon bonded to the oxygen, whereas on isomer B the unpaired electron is on the carbon bonded to the hydrogen. This study investigates the energetic properties and reactivity of these isomers using electronic structure calculations carried out with the quantum chemistry program Gaussian, which provides solutions to the Schrödinger equation. Single point energies were calculated using the computational methods DFT-B3LYP and QCISD with the basis set cc-pVDZ. The optimized geometries and vibrational frequencies were found at the critical points along the potential energy surface, and from there, an analysis of the activation energies was completed. When comparing the relative energies, we found that isomer A is lower in energy and more stable than isomer B by 11.1 kJ/mol. To understand the reactivity of these molecules, the reactant carbon monoxide was used. The activation energy E a for isomer A + CO is 75.1 kJ/mol and the change in free energy from reactants to products is Δrxn G = 61.6 kJ/mol. For isomer B+CO activation energy E a is 99.4 kJ/mol and the change in free energy from reactants to products is Δrxn G -21.1 kJ/mol. In comparison, the thermal energy of a typical combustion system at 1300 K is equal to 10.8 kJ/mol. Knowledge about the reactivity of HC3O radicals will provide key information and insight into the behavior of similar compounds in high-temperature combustion reactions. 
</t>
  </si>
  <si>
    <t xml:space="preserve">Andrew </t>
  </si>
  <si>
    <t>Cooksy</t>
  </si>
  <si>
    <t>acooksy@sdsu.edu</t>
  </si>
  <si>
    <t xml:space="preserve">McArthur </t>
  </si>
  <si>
    <t>mmcarthur0659@sdsu.edu</t>
  </si>
  <si>
    <t>Caregiver Conflict, Screen Time, and Childcare Challenges: Unraveling The Effects of the Pandemic on Children’s Vocabulary</t>
  </si>
  <si>
    <t xml:space="preserve">Early vocabulary supports the development of numeracy, literacy, executive function, and social-emotional skills (Duff, 2015; Purpura, 2011; Schmitt et al., 2019; Sparapani et al., 2018). This, in turn, supports kindergarten readiness, high-school achievement, and employment outcomes over ontogeny (Leffel &amp; Suskind, 2013; Snowling et al., 2001; Armstrong et al., 2017). The COVID-19 Pandemic interfered with processes important to vocabulary acquisition, as research finds negative relations between pandemic-related disruptions and early vocabulary size (Davies et al., 2021; Kartushina et al., 2022; McGillion et al., 2023). Despite the potential for cascading effects, few studies have identified specific factors linked to vocabulary variability in children born during the pandemic.
Participants are 44 typically developing children (15F, Mage=26.98mos, Range=19 to 38) and their caregivers. Language and health characteristics were assessed using a demographic survey. To maximize representativeness, English and Spanish speaking families participated. Pandemic-Related Disruptions were measured via a Covid-19 Family Stressor Scale (Prime et al., 2021). Items were revised to capture changes to family organization and stability in income, anxiety, family relationships, and childcare. Vocabulary was assessed using the Web-CCT (Friend et al., 2023) and the ROWPVT (Martin &amp; Brownell, 2011; Brownell, 2012) or the MCDI:WG (Marchman et al., 2023). To reduce method bias, raw scores were combined to form a language factor.
Correlation analyses controlling for age revealed significant negative relations between family and childcare disruption and vocabulary  (r41= -0.394, p=0.009; r41=-0.31, p=0.043, respectively) but no significant relation between income or anxiety and vocabulary (ps&gt;.05). Relative weights analyses were performed to determine which survey items contributed most to these effects. For family-related disruptions, increased relationship conflict between caregivers, children’s increased screen time, and feelings of overcrowdedness explained 25%, 22%, and 15% of the effect on vocabulary, respectively. For childcare disruptions, relying on a patchwork of childcare arrangements, being unable to access childcare, and not being able to afford childcare explained 30%, 19%, and 14% of the effect on vocabulary, respectively. This highlights specific areas in which families may need additional support during and after a crisis to maintain children's developmental progress.  </t>
  </si>
  <si>
    <t xml:space="preserve">Margaret </t>
  </si>
  <si>
    <t xml:space="preserve">Friend </t>
  </si>
  <si>
    <t>mfriend@sdsu.edu</t>
  </si>
  <si>
    <t>Adriana</t>
  </si>
  <si>
    <t>Rios</t>
  </si>
  <si>
    <t>arios8883@sdsu.edu</t>
  </si>
  <si>
    <t xml:space="preserve">M.A in Psychology </t>
  </si>
  <si>
    <t xml:space="preserve">From Enumeration to Empowerment: Visualizing and quantifying access to sanitation resources among San Diegans experiencing homelessness </t>
  </si>
  <si>
    <t xml:space="preserve">Addressing homelessness is a multifaceted societal challenge that impacts marginalized individuals and vulnerable communities. The primary method used to assess homelessness is the Point-in-Time (PIT) count, a momentary survey that provides a snapshot of the homeless population. However, this approach has limitations, such as its inability to capture individuals temporarily staying with others, living in cars, or hidden in locations due to the transient nature of homelessness. Seasonal variations, regional methodological differences, and privacy concerns further affect the accuracy of PIT counts. The snapshot nature of the count also limits insights into the nuanced causes and needs of homelessness, impeding a comprehensive understanding. Recognizing these limitations, it is recommended that researchers and policymakers adopt a combination of methods and data sources to gain a more thorough understanding of the issue. Accurate measurement of homelessness is crucial for efficiently allocating resources, identifying trends, and customizing assistance programs. The lack of reliable data poses challenges in providing timely and appropriate support, particularly concerning essential resources like sanitation facilities. The Project for Sanitation Justice (PSJ) focuses on identifying public restroom facilities in San Diego County, acknowledging their significance in supporting the health of the homeless population. This study aims to address methodological challenges in quantifying homelessness and develop targeted strategies to meet the basic needs of this marginalized population. Using Esri spatial products to map public restrooms, San Diego is deployed as a case study due to its recurrent public health crises linked to insufficient restroom access. Preliminary results reveal an average of 5.5 unsheltered individuals for every public restroom in San Diego County jurisdictions. To enhance homelessness counts, innovative data collection methods (e.g, standardizing methodologies of PIT, promoting transparency, technical support, Homeless Management Information System (HMIS) data, service-based surveys, post-enumeration surveys, or By-Name Lists (BNLs) for real-time visibility), increased collaboration, and the incorporation of lived experiences into research methodologies will be examined. The hypothesis is that integrating these approaches will contribute to a more accurate and holistic understanding of homelessness, facilitating the development of effective strategies to address basic needs and resources.
</t>
  </si>
  <si>
    <t>Megan</t>
  </si>
  <si>
    <t xml:space="preserve">Welsh Carroll </t>
  </si>
  <si>
    <t>mwelsh@sdsu.edu</t>
  </si>
  <si>
    <t>Elena</t>
  </si>
  <si>
    <t>Williams-Moreiras</t>
  </si>
  <si>
    <t>ewilliamsmorei3790@sdsu.edu</t>
  </si>
  <si>
    <t>Seed-handling behaviors of the endangered moor macaque (Macaca maura) in Sulawesi, Indonesia</t>
  </si>
  <si>
    <t>Animal-plant interactions are critical components of a healthy ecosystem. One major interaction is the dispersal of tree and plant seeds by dispersal agents such as birds, bats, primates, and/or other animals.  Effective seed dispersal is dependent on multiple complex variables including seed-handling behaviors, habitat type/quality, distance dispersed from parent tree, quantity of dispersed seeds, and successful post-dispersal processes (i.e., germination and survival). The objective of this study was to examine the seed-handling behaviors of the endangered moor macaque (Macaca maura) to better understand their role as seed dispersers in Bantimurung Bulusaraung National Park, South Sulawesi, Indonesia. From July-November 2023, we conducted group scans lasting 10 minutes at 1-hour intervals to record the age-sex class, location, substrate, and activity of individuals in the well-habituated Group B. If the macaques were seen feeding between group scans, we conducted 15-minute focal animal samples to document their seed-handling behaviors. Seed-handling behaviors were categorized as: spitting, swallowing, dropping, transporting (when taken ≥20m from the parent tree), cheek pouching, and destroying (biting, crunching). Sampling efforts resulted in a total of 135.1 hours of observation, including 325 group scans, and 346 focal animal samples. Preliminary results indicate Macaca maura’s diet to consist of 40% fruit and 30% provisioned food, with leaves, flowers, insects, shoots, and bark comprising the remainder. Seeds were primarily spit, accounting for 27% of unique seed-handling events, while dropping, cheek pouching, transporting, swallowing, and destroying comprised 22%, 21%, 11%, 10%, and 9%, respectively. These results suggest that Macaca maura exhibits seed-handling behaviors that facilitate effective seed dispersal for Sulawesi’s forests, as seeds are often spit in-tact after fruit has been stored, processed, and transported via the individual’s cheek pouch. Further analysis will examine how variables such as location (along the road versus in the forest), fruit species, and state of fruit ripeness influence seed-handling behaviors. Establishing these behaviors within an anthropogenic context facilitates future examination into the overall seed dispersal effectiveness and reliability of the moor macaque and may thus inform conservation strategies that consider both human and primate ecologies.</t>
  </si>
  <si>
    <t>Anna</t>
  </si>
  <si>
    <t>Disser</t>
  </si>
  <si>
    <t>adisser5982@sdsu.edu</t>
  </si>
  <si>
    <t>Master of Social Work</t>
  </si>
  <si>
    <t>Where Are They Now? Reflections of Former Diverted Youth</t>
  </si>
  <si>
    <t>Every year, hundreds of thousands of youth come into contact with the juvenile court system. Over half of these youth will be formally processed and adjudicated in the juvenile court system. Research demonstrates that juvenile system contact is associated with recidivism, poorer educational outcomes, greater association with other system-involved peers, future violent behaviors and offenses, and psychiatric disorders and substance use disorders. In contrast, community-based alternatives offered through informal processing (diversion) are generally less expensive and have lower recidivism rates than formal processing. There is an abundance of quantitative research analyzing the efficacy of these diversion programs in terms of their impact on recidivism. However, qualitative inquiry examining the programmatic elements of diversion programs and the way that participating youths receive them is limited. The present study examines the lasting effects and attitudes towards diversion through qualitative interviews with youths who previously completed a Los Angeles-based diversion program.</t>
  </si>
  <si>
    <t>Adrianne</t>
  </si>
  <si>
    <t>Keeney</t>
  </si>
  <si>
    <t>akeeney@sdsu.edu</t>
  </si>
  <si>
    <t>Preeti</t>
  </si>
  <si>
    <t>Rishi</t>
  </si>
  <si>
    <t>prishi3933@sdsu.edu</t>
  </si>
  <si>
    <t>PhD in Language And Communicative Disorders</t>
  </si>
  <si>
    <t>Facilitating picture naming in people with aphasia: Not all semantic cues are created equal</t>
  </si>
  <si>
    <t xml:space="preserve">Aphasia is an acquired language disorder frequently characterized by anomia, or word-finding difficulties. When treating anomia in people with aphasia (PWA), speech-language pathologists (SLPs) often utilize semantic-based therapies (i.e., Semantic Feature Analysis [SFA]) where SLPs cue and train PWA to describe semantic features and relationships of a target word to aid in its retrieval (e.g., use, appearance, category, association, etc.). However, it remains unclear which semantic relationships best support word-finding. Prior evidence has shown that healthy individuals name pictures faster and more accurately when cued with thematically-related words (words that co-occur in events or scenarios; e.g., leash and dog) than with taxonomically-related words (words that share features and belong to the same category; e.g., wolf and dog). The purpose of our work is to explore the effects of taxonomic and thematic semantic contexts on picture-naming abilities in PWA and healthy individuals to further inform semantic-based anomia therapies for PWA. Eight PWA (mean[age]=61, SD[age]=16) and seven age-matched language-unimpaired participants (mean[age]=62, SD[age]=11) completed a picture-naming task in which they heard taxonomically- or thematically-related cued words overlapping the target picture to be named. All target pictures were presented with each type of cue. When pictures were paired with taxonomically-related cues, unimpaired participants demonstrated slower naming speed [t(1321)=3.03, p&lt;0.01; average naming speed: 1059ms], and PWA made more naming errors [t(879)=2.39, p&lt;0.05; error rate: 15%] as compared to when pictures were paired with thematically-related cues (unimpaired naming speed: 1012ms; PWA error rate: 11%). PWA made more errors in which they repeated taxonomically-related cues as opposed to thematically-related cues when attempting to name the target picture [t(879)=3.74, p&lt;0.001], indicating increased interference from taxonomically-related cues. These preliminary results suggest that taxonomic contexts result in increased interference in picture-naming compared to thematic contexts across healthy individuals and PWA. Our findings have implications for semantic-based anomia therapies whereby SLPs are advised to cue and train PWA to produce thematically-related concepts rather than taxonomically-related concepts when experiencing word-finding difficulties. Data collection is ongoing and may reveal further nuances regarding the effects of semantic contexts on picture-naming in PWA based on lesion location and/or aphasia characteristics.  </t>
  </si>
  <si>
    <t>Stephanie</t>
  </si>
  <si>
    <t>Riès</t>
  </si>
  <si>
    <t>sries@sdsu.edu</t>
  </si>
  <si>
    <t>Griselda</t>
  </si>
  <si>
    <t>Paredes</t>
  </si>
  <si>
    <t>gparedes1447@sdsu.edu</t>
  </si>
  <si>
    <t>Ph.D. in Education with CGU &amp; SDSU</t>
  </si>
  <si>
    <t>Student Leadership: Institutional Agents at Hispanic Serving Institutions</t>
  </si>
  <si>
    <t>While institutional agents are central in supporting Latinx/e student success at HSIs, the term fails to recognize the role of student agency in cultivating Servingness (Bensimon, 2007). Students' contributions are often explored within the literature through the limited perspectives of administrators, staff, and faculty, who portray their influence as the authority (Komives et al., 2011; Lerma et al., 2020; Logue et al., 2005). Higher education personnel do not solely hold the power, authority, and resources required to support minoritized student populations. In fact, students have meaningfully contributed to the trajectory of serving minoritized student populations in higher education, often without support from institutional agents  (Ayala et al., 2023; Cuyjet, 1994; Santa-Ramirez, 2023).
In recent decades, student leadership has garnered recognition for effecting institutional change on college campuses (Arminio et al., 2000; Kezar et al., 2017; Miller &amp; Vaccaro, 2016). Yet, literature focusing on Latinx Student leadership at HSIs has predominantly focused on aspects of student development rather than examining the role of student agency in fostering servingness (Astin, 1999; Komives et al., 2011; Rosch &amp; Collins, 2017). Emerging literature has highlighted valuable student-led initiatives at HSIs (Aguilar-Hernández et al., 2021; Desai &amp; Abeita, 2017; Licón, 2018). While these student-led efforts demonstrate the valuable work of Latinx student leaders at HSIs, these studies do not explore these contributions through a Servingness lens. 
Given the unexplored yet demonstrated impact of student agency at HSIs, there is a dire need to explore students’ contributions as institutional agents through a lens of Servingness. This literature review aims to center the conceptual model of Servingness to justify the inclusion of students’ roles as institutional agents. Thus, the presentation is guided by the following research questions: 
•        How do students' unique contributions promote servingness at HSIs?
•        How do students' contributions fulfill the defined role of Institutional Agents at HSIs?
•        How do students' contributions compare to those of institutional agents?</t>
  </si>
  <si>
    <t>Education</t>
  </si>
  <si>
    <t>Melissa Lara</t>
  </si>
  <si>
    <t>Cabrera</t>
  </si>
  <si>
    <t>Felisha</t>
  </si>
  <si>
    <t>Herrera Villarreal</t>
  </si>
  <si>
    <t>felisha.herrera@sdsu.edu</t>
  </si>
  <si>
    <t>Emma</t>
  </si>
  <si>
    <t>McAndrews</t>
  </si>
  <si>
    <t>emcandrews9826@sdsu.edu</t>
  </si>
  <si>
    <t>Ecology</t>
  </si>
  <si>
    <t>Developing Animal Borne Accelerometry Tools to Quantify the Movement and Behavior of Crotalus ruber within the Coastal Sage Scrub</t>
  </si>
  <si>
    <t>Studying and observing animal behavior is necessary to understand the roles that species play within their ecosystems. Although it is possible to quantify patterns of activity and behavior through direct observation for some species, this method is not suitable for more secretive animals that are highly sensitive to the presence of human observers or live in dense, inaccessible habitats. In recent years, there have been major strides in developing biologging techniques designed to circumvent the challenges that arise when trying to implement direct observation of the behavior of cryptic or otherwise unobservable animals. One biologging method that is particularly promising in this area is animal-borne accelerometry, or the measure of an animal's body accelerations as a means of quantifying their behavior. Using this method in collaboration with the San Diego Zoo Wildlife Alliance, I am locally studying the behavior of the threatened red diamond rattlesnake, Crotalus ruber, in the California coastal sage scrub. Despite conservation concerns, little is known about the lifestyle of this species, and due to their preferred habitat and secretive nature, direct behavioral observations to collect critical behavioral data are not feasible. Therefore, the development of the accelerometry technique for use on C. ruber has the potential to greatly increase our understanding of their ecology, contributing to any future conservation efforts for this species, and supporting the continued usage of this novel biologging technology in studying the behavior of secretive animals.</t>
  </si>
  <si>
    <t>Rulon</t>
  </si>
  <si>
    <t>Clark</t>
  </si>
  <si>
    <t>rclark@sdsu.edu</t>
  </si>
  <si>
    <t>Trinidad</t>
  </si>
  <si>
    <t>Joshua</t>
  </si>
  <si>
    <t>jtrinidad5928@sdsu.edu</t>
  </si>
  <si>
    <t>The Collective Movement Behavior of Sulawesi Moor Macaques (Macaca maura) in an Anthropogenic Environment</t>
  </si>
  <si>
    <t>How group-living primates come to a consensus about navigating their environment is a result of their decision-making processes, where overall decisions can be made by one or many individuals. Although decision-making has been examined in several primate taxa, it remains underexplored for primates living in anthropogenic landscapes. To shed light on consensus decision-making and flexibility in this process, we examined collective movement behavior in a group of wild moor macaques (Macaca maura) experiencing roadside provisioning within Bantimurung Bulusaraung National Park in South Sulawesi, Indonesia. Our goal was to determine whether individual characteristics (i.e., sex, dominance rank, and/or social network centrality) predict the likelihood of initiating collective movements and if the opportunity to receive food provisions along the road would alter these patterns. Using the all-occurrences method, we recorded the location, time, and identity of initiators and followers of each collective movement observed from April - June 2023. We observed a total of 61 successful collective movements. Initiation was distributed amongst most of the group, indicating partially shared decision-making. While sex was found to be a significant predictor of initiation overall, with males being predicted to initiate more often, dominance rank and social network centrality were not, only partially supporting our predictions. However, initiation may also be context-specific, as initiation in road-directed collective movements was better predicted by dominance rank, with higher-ranked individuals being more likely to initiate, while initiation in the forest-directed collective movement model was better predicted by sex, similar to what is observed in the overall model. Examining the decision-making processes in this species through collective movements can provide insight into how primates come to a consensus and the extent to which anthropogenic factors shape these processes.</t>
  </si>
  <si>
    <t>Caitlyn</t>
  </si>
  <si>
    <t>Middleton</t>
  </si>
  <si>
    <t>cmiddleton3806@sdsu.edu</t>
  </si>
  <si>
    <t>Doctor of Philosophy in Biochemistry</t>
  </si>
  <si>
    <t>Assessing the metabolic impact of toxoplasmosis correlating to immune response, parasite burden and the microbiome</t>
  </si>
  <si>
    <t xml:space="preserve">Toxoplasmosis is a zoonotic disease caused by the protozoan parasite Toxoplasma gondii. The primary mode of infection is through contact with infected animals as well as through the ingestion of contaminated foods. Toxoplasmosis is strongly regulated by Type I immune responses. T. gondii infection is regulated by Type I CD8+ T cells which minimize the spread of the parasite. The parasite initially infects the small intestine and disseminates to nearly every organ in the body. To better understand disease pathogenesis, this study aimed to assess the role of parasite burden, tissue inflammation and the microbiome on the metabolic changes which occur upon infection. The tissue metabolism of eleven different sampling sites in C57BL/6 mice was compared during the acute and chronic stages of T. gondii infection. Overall spatial mismatches were observed between parasite location and metabolic perturbation, indicating a low correlation between parasite burden and metabolism. To assess the role of immune response, metabolic perturbation was correlated with kynurenine levels in each tissue. Kynurenine is induced by pro-inflammatory signaling and modulates immunity. There was a stronger correlation between metabolic perturbation and kynurenine in ten out of the eleven tissues compared to parasite burden. This indicates that metabolism is more strongly associated with local immunity. To assess the role of the microbiome, the cecum and large intestine contents were analyzed. Through random forest analysis, the most perturbed metabolite families were identified. Carboxylic acid families were most perturbed in both acute and chronic stages of the disease. This study sheds light on metabolic perturbation as a result of T. gondii infection across eleven tissues. This study is important as it highlights the host’s metabolic response to parasite infection and the mechanisms that regulate these responses. </t>
  </si>
  <si>
    <t>Laura-Isobel</t>
  </si>
  <si>
    <t>McCall</t>
  </si>
  <si>
    <t>lmcall@sdsu.edu</t>
  </si>
  <si>
    <t>Ashfeen</t>
  </si>
  <si>
    <t>Nawar</t>
  </si>
  <si>
    <t>anawar9960@sdsu.edu</t>
  </si>
  <si>
    <t>MS in Chemistry</t>
  </si>
  <si>
    <t>In-depth Exploration: Purification and Kinetic Study of WT and Mutant Human DNA Polymerase ε</t>
  </si>
  <si>
    <t xml:space="preserve">In eukaryotic replication, DNA polymerase epsilon (Pol ε) synthesizes the leading strand of DNA. The catalytic polymerase domain carries out correct nucleotide incorporation, whereas the exonuclease domain excises any misincorporated base. Notably, mutations in Pol ε have been implicated in various cancers, including uterine, colorectal, skin, and stomach. These tumor-driving mutants have not yet been well characterized kinetically. Here, we aim to optimize the expression and purification of hPol ε using a truncated active form of the enzyme by testing different buffers and chromatography methods, such as affinity chromatography using cobalt column and size exclusion chromatography. We investigated different parameters, such as adding iron(III) chloride in the growth media and using two different E. coli strains to increase the activity and yield of the enzyme. We also designed and modified a new cDNA construct, which was successfully used to express active Pol ε. To achieve better protein solubility and improve purification through affinity chromatography, we studied the use of ArgHCl in the cell lysis buffer. Finally, we investigated the kinetics of single nucleotide incorporation in a double-stranded DNA substrate by WT Pol ε by conducting burst assay experiments using a rapid chemical quench. We observed an initial burst of product formation associated with single enzyme turnover followed by a slower linear phase corresponding to multiple enzyme turnovers in the steady state, typical of DNA polymerases. This will eventually lead us to the factors that drive genomic instability. </t>
  </si>
  <si>
    <t>Christal</t>
  </si>
  <si>
    <t>Sohl</t>
  </si>
  <si>
    <t>csohl@sdsu.edu</t>
  </si>
  <si>
    <t>Maximus</t>
  </si>
  <si>
    <t>Miesner</t>
  </si>
  <si>
    <t>mmiesner8009@sdsu.edu</t>
  </si>
  <si>
    <t xml:space="preserve">Masters of Arts in History </t>
  </si>
  <si>
    <t>“What’s My Age Again ?”: Masculinity in blink-182’s Pop-Punk</t>
  </si>
  <si>
    <t>The late twentieth century witnessed the rise of the punk-rock genre, with bands such as the Ramones, the Clash and the Dead Kennedys moving towards an edgier, more rebellious sound after rock went “main-stream” in the decades prior. As punk-rock established its notoriety in the 1970s and 80s, the 1990s popularized being “punk,” creating a new sub-sect deemed “pop-punk.” As it made waves, it forced several to question whether the genre “sold out,” by sacrificing its characteristic roots for radio plays and recognition. This presentation will focus on blink-182, a “pop-punk” band to emerge from this era, paying homage to artists before them, while paving the way for the genre into the twenty-first century. In analyzing relevant historiography, discography, oral histories and performances, I will argue that despite the often negative connotation surrounding “pop-punk,” blink-182 provides a valuable understanding of masculinity heading into the new century and demonstrates the influence of southern California youth culture on the genre</t>
  </si>
  <si>
    <t>Cline</t>
  </si>
  <si>
    <t>dpcline@sdsu.edu</t>
  </si>
  <si>
    <t>Rosalinda</t>
  </si>
  <si>
    <t>Diaz</t>
  </si>
  <si>
    <t>rosalindadz@gmail.com</t>
  </si>
  <si>
    <t>Bioinformatics</t>
  </si>
  <si>
    <t>Investigating the Biogeographic Barriers on the genetic landscape of Eucalyptus moluccana</t>
  </si>
  <si>
    <t>Climate change has become a growing concern over the last century as warmer temperatures have had several impacts on important ecological systems globally. One devastating impact that has been reported in several parts of the world is tree mortality. Warmer temperatures have led to increased droughts, causing a large-scale dieback of important tree systems due to low water availability and herbivory attack. One such system that has been affected is Eucalyptus moluccana (proposed subspecies: moluccana, queenslandica, crassifolia, and pedicellata). Eucalyptus moluccana, commonly known as grey box, is predominantly found along the eastern coast of Australia. This is a species of ecological importance that provides resources to a variety of species. Currently, it is facing challenges due to a psyllid outbreak. This outbreak has led to a large dieback of the grey box in the Sydney region that has only affected populations from E. moluccana sbsp. moluccana. There is concern that if the outbreak were to spread outside this region, that could affect the other proposed subspecies of E. moluccana. My primary objective is to investigate the genetic diversity of E. moluccana between subspecies, and between populations within subspecies. Secondly, I aim to ascertain whether the divergence of the subspecies can be attributed to biogeographic barriers.  I hypothesize that the genetic diversity for E. moluccana will be high irrespective of subspecies or population. Additionally, I posit that the emergence of the St. Lawrence Gap aligns with the divergence time of the northern subspecies E. moluccana sbsp. crassifolia and E. moluccana sbsp. queenslandica. Furthermore, I predict that the formation of the Brisbane Valley Barrier marks the separation of the southern subspecies E. moluccana sbsp. moluccana. Population genetic estimates like the inbreeding coefficient (Fis), genetic structure (Fst), and observed heterozygosity (Ho) will be used to assess genetic diversity between subspecies, and between populations within subspecies. Furthermore, fastsimcoal2 will test six different demographic scenarios to estimate times of divergence, migration rates, and effective population sizes for each subspecies. Measuring diversity and estimating the time of divergence is crucial for uncovering the evolutionary history of E. moluccana, providing valuable insights into the species adaptation to geographic barriers, and contributing to conservation efforts in the face of a psyllid outbreak.</t>
  </si>
  <si>
    <t>College of Science</t>
  </si>
  <si>
    <t>Kayla</t>
  </si>
  <si>
    <t>Daniels</t>
  </si>
  <si>
    <t>kdaniels8822@sdsu.edu</t>
  </si>
  <si>
    <t>To Make a Better World: Black Canadian Women’s Transnational Activism in Print, 1986-1989</t>
  </si>
  <si>
    <t xml:space="preserve">This research seeks to examine the role of Black Canadian women in local and global context through the lens of feminist organizing and thought as represented in the 1980s publication Our Lives: Canada’s First Black Women’s Newspaper founded by the Black Women’s Collective in Toronto. As Black women in a formally multicultural yet deeply flawed society, it intends to uncover how a growing Black population sought to cultivate communal, diasporic, and transnational feminist connections through serial publication. Subverting perceptions of conventional women’s magazines, Our Lives contributed to a political and social project of educating its readers by expanding their awareness of a vast array of global feminist issues such as childcare, education, and poverty that were significant to the welfare of women and their communities.
The importance of this work lies in its capacity to demonstrate the contributions of Black Canadian Women to Black feminist thought and activism. By recentering their work, we can imagine how alternative archives are created that document their lives and expand our understanding of the contours of global blackness and feminism.
Relying on the Our Lives archives, this research uses methods of textual analysis, post structural analysis, and feminist interpretations of standpoint theory to uncover the intentional and sophisticated ways that groups like the Black Women’s Collective sought to raise consciousness and participate in political struggle in service of their communities and the pursuit of a better world.
</t>
  </si>
  <si>
    <t>Anca</t>
  </si>
  <si>
    <t>Segall</t>
  </si>
  <si>
    <t>asegall@sdsu.edu</t>
  </si>
  <si>
    <t>MFA / English (Creativer Writing)</t>
  </si>
  <si>
    <t>Exile and Language: A Personal Appreciation of the Romanian Writer Norman Manea</t>
  </si>
  <si>
    <t xml:space="preserve">     Exile, having to leave “home,” is the rejection of an individual by—or of— their country. It may be imposed externally by one’s countrymen, or self-imposed on oneself. A shove out of the safety of the nest, exile negates all the benefits we associate with “home”: warmth, a sense of belonging, being wanted and appreciated as part of the group or tribe. Individuals are forced into exile when home becomes unsafe, threatening to oneself and to one’s children, hateful rather than loving. Since the pull of home is such a strong force, like gravity, or like a centripetal force, the counterforce of the push away from home must be much stronger, especially when the exile is self-imposed. Exile is running from familiar danger into and through a different, unknown danger in hope of reaching safety again. A large energy barrier must be overcome to reach safety on the “other side,” new and “strange,” away from one’s family, friends, language, from everything one knew, or thought they knew. 
     Norman Manea (1936- ) is a Romanian writer who went through two exiles, the first to Transnistria (1941-1945), an exile imposed by Romania’s fascist-led government, while the second, in 1986, to Germany and then to the US, was to escape the Communist personal cult-led government of Nicolae Ceaușescu. In exile, his Romanian language served as a mobile home, a “snail’s house” that provided comfort to the freed dissident writer. 
     Analyzing books, interviews, immigration documents, and letters, I compare Manea’s journey and exiles to those of my parents, who lived through Romania’s fascist and Communist periods at roughly the same time as Manea, and emigrated to the US in 1972. I use these case studies to draw parallels and contrasts between motivations and intellectual development, and how these affected the adaptation to a new home country. I also explore the role language played in adapting to a new country. My analysis highlights how totalitarianism marginalizes subgroups (in this specific case, Jews) and drives them to exile, and the role language plays in how immigrants adapt and integrate into new societies.
</t>
  </si>
  <si>
    <t>Briana</t>
  </si>
  <si>
    <t>Betschart</t>
  </si>
  <si>
    <t>bbetschart1346@sdsu.edu</t>
  </si>
  <si>
    <t>Masters of Art in History</t>
  </si>
  <si>
    <t>Dolores Huerta: Embodying Change</t>
  </si>
  <si>
    <t xml:space="preserve">“¡Viva La Causa! ¡Abajo! Down with Fear! ¡Si Se Puede!” are all refrains that Dolores Huerta, co-founder of the United Farmworker’s Union, employed during speeches and rallies held to garner support for the cause of migrant laborers. Huerta connected to her audiences by utilizing “call and responses” to engage her audiences, inviting them from being mere spectators to active participants. Huerta embodies the role of an activist for social justice. Much of Huerta’s advocacy sought to garner support for her cause by inviting membership into the United Farm Workers. Her motiving philosophy is driven by the idea of individuals' power and that organizing those bodies can generate change.  While her work largely focuses on the labor movement, it also encompasses broader intersectional struggles for social justice, including immigrant rights, women’s rights, LGBTQ rights, and environmental justice. Huerta’s role as an activist and community organizer was performed alongside her various roles, such as mother and Chicana. 
My research forefronts Huerta’s embodied activism. I argue that Huerta's efficacy as an activist was strengthened by bringing the various parts of herself to her Union and activist actions. Huerta became the co-leader of the most influential labor union for farmworkers while raising eleven children. Motherhood and activism were not separate endeavors for Huerta. Historians often privilege written or disembodied texts, limiting our understanding of the broader dynamics within our conscious minds and bodies. Embodiment Theory provides a deeper perspective of human behavior.  I utilize Embodiment Theory as a lens to analyze Huerta’s success as an activist. Embodiment Theory deconstructs the binary of mind vs. body to explore the dimensionality of experiences that can be felt and created through physical form. Dolores Huerta brought her whole self into her more than seventy-year career as an activist, and viewing her activism through this lens helps establish a greater understanding of her activism and accomplishments.                                                                             
</t>
  </si>
  <si>
    <t xml:space="preserve">Eve </t>
  </si>
  <si>
    <t>Romano</t>
  </si>
  <si>
    <t>sromano1558@sdsu.edu</t>
  </si>
  <si>
    <t xml:space="preserve">Masters of Arts in Liberal Arts and Sciences </t>
  </si>
  <si>
    <t>Sontag in Sarajevo: Regarding the Age of Mass-Mediated Atrocity</t>
  </si>
  <si>
    <t>As an intellectual, author, critic, and activist, Susan Sontag was a notable public figure in 20th-century American culture. She was an important contributor to the field of photography theory and its role in contemporary society following her 1977 publication On Photography. Her interest in and examination of the medium of photography continued throughout her life. Sontag’s 2003 publication Regarding the Pain of Others is a meditative essay in which Sontag reflects on the purposes, effects, and ethics of visual depictions of pain and suffering, focusing primarily on the medium of photography. Regarding offers a complex contemplation of the ethics of viewing images that portray war, conflict, and human suffering.
This research examines how Sontag’s thoughts on atrocity photography evolved from her initial work in the 1970s to her final work in the early 2000s. I argue that this shift reflected her transformative experiences in besieged Sarajevo during the Bosnian War, as well as her astute observations of the evolving modern media landscape following the rise of the internet and the 24-hour news cycle. All of which resulted in a more nuanced understanding of the ethical complexities of photography depicting human suffering. Drawing from interviews with Sontag and contemporary articles written by her, this research utilizes critical textual analysis and biographical criticism to reveal connections between Sontag’s experiences and essays. Relying on both post-structural and psychological   approaches to photography and the media, this study offers an interdisciplinary analysis of Sontag’s opinions about atrocity photography. 
While Sontag ultimately maintained that atrocity photography has an important role in society, she emphasized that there is an unbridgeable difference between viewing and experiencing. Her powerful meditation on why shock photography ultimately fails to prevent war and scholarly analysis of the media's depictions of violence and suffering is a critical contribution to media ethics, theory, and practice.</t>
  </si>
  <si>
    <t>Pugh</t>
  </si>
  <si>
    <t>tpugh7287@sdsu.edu</t>
  </si>
  <si>
    <t>Illicit People vs. Illicit Acts: Vagrancy as a Social Constraint in Early American San Diego</t>
  </si>
  <si>
    <t xml:space="preserve">Many illicit avenues operated in Sab Diego during the nineteenth century and studying them reveals important insights into how society operated during this period of flux. The nineteenth century was an incredibly tumultuous period in California’s history. This research intimately explores San Diego's realationship to vagrancy, indentured servitude, and smuggling, three instances where illicit activity shifted the socioeconomic underpinnings of California. New laws and social constraints blocked non-Anglo communities from significant goods and services that were necessary to either their cultural survival or their inclusion into mainstream socioeconomic channels. Conflating this issue was the use of legal language to push stereotypes of Indigenous individuals as immoral vagrants and drunkards. Local San Diego authorities and courts became increasingly obsessed with defining and policing vagrancy, intrinsically tying discussions of vagrancy to discussions of illicit activity and race. 
Historiography has yet to explore the deeply personal and social reasoning behind illicit activity utilizing modern historical reasoning and theory. Refernces to these activities are in association with San Francisco and other large cities, ignoring the role and importnace of rising cities, particulary in Southern California. Thus, this study argues that illicit activity needs to be redefined and re-evaluated to address issues of race, class, and gender. San Diego is a perfect case study for this analysis as it operates as both a cultural and a cartographic border. The increased attention to defining and adressing the U.S. Mexico border during this period suggests that illicit activity was influenced more by sociopolitical racism than by law and order.
Identity, race, capitalism, and gender collided in San Diego to create a geographic and cultural borderland. Statehood in 1850 did not create this borderland, but it did complicate it profoundly. Explicating why and how people engaged in these activities reveals how social life operated in nineteenth century California, the effectiveness of the new laws and ordinances, and positions San Diego as a vital borderland. 
</t>
  </si>
  <si>
    <t>De Vos</t>
  </si>
  <si>
    <t>Hector</t>
  </si>
  <si>
    <t>Quintero</t>
  </si>
  <si>
    <t>hquintero9528@sdsu.edu</t>
  </si>
  <si>
    <t>The Aesthetics of Skateboarding</t>
  </si>
  <si>
    <t>Skateboarding emerges in the 1950s as surfers in California attempt to recreate the experience of riding a wave on land. The impetus to recreate such an experience finds parallels in the work of John Dewey. Dewey states that aesthetic experience is built on natural experience. He argues that our natural experience of the world involves a fundamental relationship that connects us to our environment, mainly survival (what he calls ‘rhythm’). Once we are attuned with our natural experience, the aesthetic experience emerges as a product of our imagination as a way to enjoy those things that are beyond natural experience. For Dewey, art resides in our aesthetic experiences, and this may include philosophy and skateboarding. Although Dewey said nothing about it, skateboarding qualifies as an aesthetic experience because it is a creative venture that seeks to express the internal qualities of the skater. I explore and explain Dewey’s naturalism and “internalism” and how these apply to his philosophy of art and provides strong evidence demonstrating that skateboarding is indeed by Dewey’s criteria a creative art. Naturalism and internalism are technical terms that are defined by the relation that the aesthetic and natural experience share. Naturalism is defined by our common or ordinary experience of the world. Internalism, in contrast, claims that the aesthetic experience is one internal experience among many, yet it is one of the most significant and impactful.</t>
  </si>
  <si>
    <t>Physical and Mathematical Sciences</t>
  </si>
  <si>
    <t>Bardwell</t>
  </si>
  <si>
    <t>jbardwell3131@sdsu.edu</t>
  </si>
  <si>
    <t>Astronomy/Master's</t>
  </si>
  <si>
    <t>Gravitational Waveforms of EMRI’s with Eccentricity and Supermassive Black Hole Spin</t>
  </si>
  <si>
    <t>Extreme mass ratio inspirals (EMRIs) are binary systems consisting of a stellar mass compact object and massive black hole (MBH) that emit millihertz gravitational waves (GWs) for months to years. This makes them promising sources for future space-based millihertz GW observatories, such as the Laser Interferometer Space Antenna (LISA). LISA will rely on accurate simulations of EMRI gravitational waveforms to observe and characterize these systems. However, producing accurate EMRI waveforms is difficult, especially when considering eccentric orbits and MBHs with spin (known as Kerr black holes), often leading to the usage of kludge model approximations. Therefore, we wish to understand how well kludge models characterize EMRIs with rapidly rotating MBHs and their LISA signal-to-noise ratios (SNRs) in relation to more accurate, but computationally expensive, relativistic models. Furthermore, we use our approximate trajectory models to inform our more computationally expensive (and more accurate) models to calculate every possible trajectory an EMRI can experience. We present a method and model which pre-calculates gravitational waveforms templates for every realistic EMRIs with both eccentricity and MBH spin.</t>
  </si>
  <si>
    <t>Robert</t>
  </si>
  <si>
    <t>Quimby</t>
  </si>
  <si>
    <t>rquimby@sdsu.edu</t>
  </si>
  <si>
    <t>Vladimir</t>
  </si>
  <si>
    <t>Bautista</t>
  </si>
  <si>
    <t>vbautista3185@sdsu.edu</t>
  </si>
  <si>
    <t>M.S. in Astronomy</t>
  </si>
  <si>
    <t>Limits on Circumbinary Planet Habitable Zones</t>
  </si>
  <si>
    <t>To date, we have discovered over 5500 exoplanets, 14 of which orbit around two stars. A planet that orbits a binary star is called a "circumbinary planet." Both single-star and binary-star systems can have planets in their habitable zones; the planets must be at the correct distance from the star(s) to have a suitable climate for life. However, a distinct difference between a single-star and binary-star scenario severely limits the possibility of circumbinary planets existing in the habitable zone: the critical instability radius. Interior to this radius, the time-varying gravitational perturbations from the two stars prohibit a planet from having a stable orbit. While the habitable zone and the critical instability radius depend on the stars' masses, separation, and eccentricity, their dependencies on these parameters are different and thus grow at different rates as these parameters increase. Therefore, the critical instability radius can exceed the habitable zone's outer (cold) edge. If so, the binary cannot host any planets in the habitable zone. In this research, we set out to find the fraction of binary systems that can host a planet in the habitable zone. We find that only about 2.5% of all binaries can have planets in the habitable zone. The critical instability radius also prohibits the existence of planets in the habitable zone around many short-period binary star configurations, especially those composed of M-stars. Given that most stars are low-mass stars, this restriction significantly limits the number of habitable planets in the galaxy.</t>
  </si>
  <si>
    <t>Neuhaeusler</t>
  </si>
  <si>
    <t>dneuhaeusler2839@sdsu.edu</t>
  </si>
  <si>
    <t>Master of Science in Statistics</t>
  </si>
  <si>
    <t>Prediction of Delisting using a Machine Learning Ensemble</t>
  </si>
  <si>
    <t>Delisting is the removal of a listed security from a stock exchange. Consequences of delisting are significant for the company and the shareholders. We develop a data-driven model to predict delisting using a wide range of features including company financial ratios and macroeconomic indicators. To our knowledge, there is no published work yet focusing on the prediction of delistings in the U.S. Our analysis is based on a data set with around 390,000 rows of quarterly financial ratios from numerous listed companies in the U.S. since 1970. The resulting model combines predictions of five base machine learning methods (logistic regression, random forest, gradient boosting, support vector machine and neural network), which makes the resulting ensemble model a powerful predictor. Performance metrics evaluate strengths and weaknesses of the five base learners as well as the ensemble model. Our ensemble model reaches a prediction accuracy of 81%, outperforming every base learner. Among the base learners, random forest and gradient boosting models show the best performance. Furthermore, we find that the price-earnings ratio is the most informative from a forecasting perspective along with cash ratio and inflation rate.</t>
  </si>
  <si>
    <t>Junanjuan</t>
  </si>
  <si>
    <t>Fan</t>
  </si>
  <si>
    <t>jjfan@sdsu.edu</t>
  </si>
  <si>
    <t>Alekhya</t>
  </si>
  <si>
    <t>Nagulapally Alekhya</t>
  </si>
  <si>
    <t>anagulapally9746@sdsu.edu</t>
  </si>
  <si>
    <t>Master's of Science in Physics</t>
  </si>
  <si>
    <t>Light Travel</t>
  </si>
  <si>
    <t>This is about light travelling. In this we use light as a source of travelling. Here the phenomenon used in building this project is photo electric effect. It kinda works like a magic which moves an object from one place to another just by using light.</t>
  </si>
  <si>
    <t>NA</t>
  </si>
  <si>
    <t>Margo</t>
  </si>
  <si>
    <t>Thornton</t>
  </si>
  <si>
    <t>mthornton4414@sdsu.edu</t>
  </si>
  <si>
    <t>Masters of Science in Astronomy</t>
  </si>
  <si>
    <t>A Search for Circumbinary Planets in Kepler Short-Period Binary Star Light Curves</t>
  </si>
  <si>
    <t>Roughly 50% of sun-like stars belong to a binary star system: a pair of stars that orbit about a common center of mass. A total of 14 out of the 5500+ confirmed exoplanets orbit both stars of a binary. We refer to these as circumbinary planets. To date, all circumbinary planets (CBPs) have been identified around binary stars of orbital periods greater than 7.4 days, leaving open their existence around shorter-period binaries. We carefully examine short-period (~1 hour - 2 day) eclipsing binary (EB) systems using NASA’s Kepler archival data to search for CBPs. Theory predicts that CBPs around short-period EBs should not exist. Our goal is to determine if such planets can be found in the Kepler data. The transit signature of a planet around a short-period EB differs significantly from that of a single star. Similar to CBP’s around longer period binaries, the transits are not periodic, and they vary in depth and width from one transit to the next. However, short-period binaries have complex, multi-minimum eclipse shapes caused by the significant movement of the stars. Thus, conventional detection methods are inadequate for finding such transits. We modeled these effects to generate the complicated transits using the Eclipsing Light Curve (ELC) code. Of the 2920 EB’s in the Kepler database, we selected 78 under the criterion of periods less than 2 days and 30+ days of short cadence data. The analysis involves applying a local template to each orbital cycle. The template is constructed from a fit to the local phase-folded light curve. A local template helps remove any contamination due to non-periodic phenomenon, like starspots. This analysis will carry over to the TESS mission, where the sample size will be much larger. With this, we can either help confirm theory or refute it should such a CBP be found.</t>
  </si>
  <si>
    <t>Alexander</t>
  </si>
  <si>
    <t>Price</t>
  </si>
  <si>
    <t>ajprice@sdsu.edu</t>
  </si>
  <si>
    <t>Bachelor/Mechanical Engineering</t>
  </si>
  <si>
    <t>Quantifying structural differences between diverse species sperm midpiece segments using electron microscopy</t>
  </si>
  <si>
    <t>Mitochondria found in mature sperm midpiece segments are the suggested power source for flagella motility and fertilization. As there is limited information regarding the pattern of distribution, shape and size of individual mitochondria across the Animal Kingdom, we have utilized a quantitative approach to analyze the helical structure and mitochondrial dynamics. Through SEM and TEM imaging, quantitative measurements were taken with Image J in order to identify distinctive patterns. Differences in sperm morphology may play a significant role in the production and transference of energy. The goal of this project is to model these potential differences in helical structure, and to explore how these differences contribute to the transfer of energy from the mitochondria to the tail in species with internal or external fertilization methods. We posit that packing of the helix can be considered analogous to the elasticity of a spring. A stiffer spring will store a greater amount of kinetic energy, supplying sperm with an additional energy boost needed for fertilization. Measurements of the midpiece and mitochondria were taken and compared between an African Elephant and a Scrub Python as preliminary data to test our hypothesis. Clear differences in helical structure, surface area and overall midpiece length are evident. We plan to expand this analysis to multiple species from samples obtained through a collaboration with SDZWA.</t>
  </si>
  <si>
    <t>Ingrid</t>
  </si>
  <si>
    <t>Niesman</t>
  </si>
  <si>
    <t>iniesman@sdsu.edu</t>
  </si>
  <si>
    <t>Pratt</t>
  </si>
  <si>
    <t>jpratt7361@sdsu.edu</t>
  </si>
  <si>
    <t>Bachelor of Science in Biology</t>
  </si>
  <si>
    <t>Investigating Neoteny in Human vs Non-human Primate Derived Forebrain Organoids</t>
  </si>
  <si>
    <t>Neoteny can be defined as the retention of juvenile development within an organism. In comparison to humans, developmental differences in neoteny have shown to be faster across species such as nonhuman primates (NHPs). Brain organoids allow us to compare some features of brain development, granting a method to study neoteny across primate species. Using protocols developed by Dr. Guo-Li Ming’s lab, we have generated forebrain organoids (FBOs) from human and nonhuman primate induced and embryonic pluripotent stem cells (iPSC and ESCs). FBOs are a valuable in vitro model for studying developmental processes, as they have the ability to recapitulate complex cytoarchitecture, neural network formation, and some features of neurological diseases. We have successfully generated FBOs from a diverse range of primate ESC and iPSC lines including humans, rhesus macaques, chimpanzees, bonobos, and marmosets. FBO generation was performed with the intention of investigating features of neoteny in humans compared to NHP-derived FBOs. qPCR analysis measuring gene expression revealed that the genes related to neural progenitor cell proliferation and synapse formation were upregulated at days 50 and 100, suggesting earlier cortical thickening and gyrification. Additionally, immunohistochemical analysis (IHC) was performed revealing an increase in GFAP+ astrocytes in NHP FBOs at day 70, suggesting earlier gliogenesis compared to humans. Additionally, there were more GABA+ neurons in NHP than humans at day 70, but have uniformity across each species by day 225. With GABA being an inhibitory neurotransmitter that plays a role in fine-tuning neural networks, this delay we see in humans could be a contributing factor to cortical complexity. These findings provide evidence for distinct developmental trajectories across human and nonhuman primate species.</t>
  </si>
  <si>
    <t>Fernandes</t>
  </si>
  <si>
    <t>sfernandes@salk.edu</t>
  </si>
  <si>
    <t xml:space="preserve">Karina </t>
  </si>
  <si>
    <t>Cerda</t>
  </si>
  <si>
    <t>kcerda8346@sdsu.edu</t>
  </si>
  <si>
    <t>PhD</t>
  </si>
  <si>
    <t>Tri-trophic interaction: Two fungis and a pine tree.</t>
  </si>
  <si>
    <t>Pinus edulis is a keystone species in the pinyon-juniper woodlands, an important ecosystem present in arid and semi-arid lands, that provides habitats for a diverse range of wildlife, playing a vital role in soil health and efficient carbon sinks.
In the roots of Pinus edulis, we can find a mycorrhizal association with a genus of fungi Geopora (an ectomycorrhizal) that has been shown to improve the growth and survival of pinyon pine seedlings in dry conditions, but, some species of this genus present opposite effects on the interaction with P. edulis. 
An unprecedented fungus growth was found on the surface of the fruiting body of Geopora. This association among fungi is called fungicolous fungi, and it can have many different sorts of interactions, like indifferent, symbiotic, or parasitic. Combined with this association, we can determine a tri-trophic interaction between Pinus edulis, Geopora, and the fungicolous fungi. 
In a previous work based on histologic sections and high-resolution photography, the observation of fungicolous fungi interactions was at the top of the sporocarp in Geopora. It showed a perithecium fruiting body that is nearly but not quite enclosed, telling us that this fungicolous fungi is part of the phylum Ascomycota.
The information on the fungicolous fungi's interactions with Geopora still needs to be clarified. We are focusing on identifying and describing fungicolous fungi growing in the genus Geopora, to get a better understanding of this tri-trophic interaction and comprehension of the consequences of changes in the environment. 
To achieve our objectives, we have been working on morphological analysis, the after collection and preservation of samples, fixation and embedding in blocks of paraffin wax,  cross-section cuts by microtome, staining, and observation of the samples using a microscope (Carl Zeiss). This will be supplemented by genetic analysis using Zymo-Quick-DNA Kits to obtain genomic DNA and use it for PCR amplification of conserved region ITS (Internal Transcription Spacer). We are expected to sequence the amplicone with Illumina NovaSeq 6000.
This research contributes to the fungus diversity and is the first step to understanding tri-trophic interaction among the pine trees, the mycorrhizal fungi, and the fungicolous fungi.</t>
  </si>
  <si>
    <t xml:space="preserve">Lluvia </t>
  </si>
  <si>
    <t>Elise</t>
  </si>
  <si>
    <t>Piazza</t>
  </si>
  <si>
    <t>epiazza4984@sdsu.edu</t>
  </si>
  <si>
    <t>Master of Science in Geography</t>
  </si>
  <si>
    <t xml:space="preserve"> Predictors of cattle milk productivity in Rondônia, Brazil</t>
  </si>
  <si>
    <t>Our study works to better understand the effects of environmental variables and farmer management decisions on cattle milk productivity within the State of Rondônia, Brazil. We will test variables such as lithology (soil type), stocking density, and the use of fertilizer to identify to what magnitude each variable contributes to soil fertility and, therefore, milk production. We will use survey data collected by the Autonomous Entity for Technical Assistance and Rural Extension of the State of Rondônia (EMATER) and researchers from the study “Connections between Water and Rural Production: Sociohydrological Systems on a Tropical Forest Frontier” (Project funded by the National Science Foundation: CNH-L #182504) and remote sensing data. Research questions include “how does soil fertility change within the different geologic zones?” and “which zones are more resilient to drought?</t>
  </si>
  <si>
    <t>Trent</t>
  </si>
  <si>
    <t>Biggs</t>
  </si>
  <si>
    <t>tbiggs@sdsu.edu</t>
  </si>
  <si>
    <t>Business Economics and Public Administration</t>
  </si>
  <si>
    <t>Jazmin</t>
  </si>
  <si>
    <t>Luna</t>
  </si>
  <si>
    <t>jluna8049@sdsu.edu</t>
  </si>
  <si>
    <t>MA Public Administration &amp; MA Latin American Studies</t>
  </si>
  <si>
    <t>Mujeres en Lucha: Leadership and Political Participation of Indigenous Women Addressing Gendered Violence in Oaxaca, Mexico</t>
  </si>
  <si>
    <t>The escalation of human rights violations in Mexico is reflected in the rising violence against women. This widespread violence has shaped the term feminicide (feminicidio), referring to the gender-based murder of women, coupled with widespread governmental impunity on a mass scale. Indigenous women experience higher levels of violence and feminicide, often made invisible by multiple intersecting factors, both direct and indirect. This research investigates Indigenous women's leadership strategies and political participation concerning gendered violence activism. Women from indigenous communities offer a unique perspective on collective leadership, political autonomy, and solidarity.
This study used a qualitative methodology. The research conducted eleven semi-structured interviews with Indigenous women to provide a nuanced understanding of their experiences. The findings of this research include 1) the unique positionality of Indigenous women in activist spaces; 2) Oaxaca’s cultural context: customs, governance, traditions, and gender norms. Cultural context affects Indigenous women’s decision-making and leadership; and 3) barriers Indigenous women face in policy, government, and non-government sectors. The purpose of this thesis is to understand how Indigenous women’s leadership is vital to how we move forward in addressing violence against women. Indigenous women’s liberation is transformative and transnational, it crosses languages and cultures. Recognizing the significant impact of Indigenous women, the thesis amplifies their voices, emphasizing their roles in reshaping societal narratives and advocating for justice.</t>
  </si>
  <si>
    <t>Shawn</t>
  </si>
  <si>
    <t>Flanigan</t>
  </si>
  <si>
    <t>sflaniga@sdsu.edu</t>
  </si>
  <si>
    <t>Business, Economics and Public Administration</t>
  </si>
  <si>
    <t>Gennette</t>
  </si>
  <si>
    <t>agennette8363@sdsu.edu</t>
  </si>
  <si>
    <t>M.A. Mass Communication and Media Studies</t>
  </si>
  <si>
    <t>Buying was so last season: persuasive effects of deinfluencers versus influencers on purchase intentions</t>
  </si>
  <si>
    <t>There has been academic research on social media influencing, positive and negative online reviews from movie critics and how they affect an individual’s intention to watch the described movie, and the effect of celebrity vs. influencer endorsements on advertising effectiveness, measured by attitude toward the ad and purchase intentions. However, there is a lack of research conducted on deinfluencers, which are influencers telling their followers not to purchase a product for various reasons. This study aims to show how influencer experience may form higher levels of credibility, and in return, lead consumers to having higher purchase intentions (vs influencers without experience). This research seeks to advance scholarly comprehension behind the new emerging phenomenon that is “deinfluencing” to see if deinfluencers are more persuasive than influencers. The deinfluencing trend catapulted in popularity at the beginning of 2023. Being brand new, research on the topic is far and few in between, especially in academia. There is no current research on deinfluencing in the context of how credibility plays a role in consumer purchase intentions, especially within the TikTok beauty genre with Gen Z as the target demographic.</t>
  </si>
  <si>
    <t>Arthur</t>
  </si>
  <si>
    <t>Santana</t>
  </si>
  <si>
    <t>asantana@sdsu.edu</t>
  </si>
  <si>
    <t>Carlos</t>
  </si>
  <si>
    <t>Carlos Pineda</t>
  </si>
  <si>
    <t>cpineda0542@sdsu.edu</t>
  </si>
  <si>
    <t>Masters program in Dual Language Education and Critical Literacy</t>
  </si>
  <si>
    <t>The Unheard Outcry: Feelings of Safety and Connectedness of Latinx, 2SLGBTQ+, and 2SLGBTQ+ Latinx Middle and High School Students in San Diego County Schools.</t>
  </si>
  <si>
    <t>Latinx and 2SLGBTQ+ students are subjected to unacknowledged socially imposed norms in middle and high schools of San Diego County in California. On-line sources and studies  focusing on underage students who self-identify as Latinx and 2SLGBTQ+ at the same time are limited. Public studies were examined in order to have a clear panorama about the conditions of both groups independently. For this literature review paper the resources created and/or conducted by the California Department of Education offers  concise and abundant information focused on the conditions of BIPOC and 2SLGBTQ+ youth separately in the cities that structure this region, precisely San Diego County. Although the California Department of Education releases accurate information about the social conditions faced by BIPOC and 2SLGBTQ+ youth, there does not exist to date any public study focused particularly on youth who identify themselves as BIPOC and 2SLGBTQ+ adolescents  together living in San Diego County.</t>
  </si>
  <si>
    <t>Claudia</t>
  </si>
  <si>
    <t>Dunn</t>
  </si>
  <si>
    <t>cmdunn@sdsu.edu</t>
  </si>
  <si>
    <t>Anurima</t>
  </si>
  <si>
    <t>Saha</t>
  </si>
  <si>
    <t>asaha8669@sdsu.edu</t>
  </si>
  <si>
    <t>Big Data Analytics</t>
  </si>
  <si>
    <t xml:space="preserve">Predicting Crime Resolution in Los Angeles </t>
  </si>
  <si>
    <t>In an era of increasing concern for public safety, the project tackles this problem through the lens of crime analytics. Our focus is on the city of Los Angeles. This project aims to use the power of data to have a better understanding of justice delivery at its root from the perspective of criminal arrest. The goal is the creation of predictive models that could assess the probability of a crime case being resolved or unresolved based on specific features from the datasets. By immersing ourselves in the data of the city, the project led us to discover patterns, and trends, as well as identifying factors that impact crime resolution rates. The exploration of crime resolution is key for shedding light on the competence of law enforcement efforts.
Our work adopts a comprehensive approach, combining advanced analytics with visualization techniques while using Machine Learning. The data-driven insights have the potential to create awareness and provide guidance on proactive decision-making processes for individuals and law enforcement alike. Ultimately, this project aims to improve community safety initiatives by providing a data-driven approach that could facilitate strategic interventions.</t>
  </si>
  <si>
    <t>Hattie</t>
  </si>
  <si>
    <t>Jenkins</t>
  </si>
  <si>
    <t>hjenkins6508@sdsu.edu</t>
  </si>
  <si>
    <t>Bachelor of Science in Statistics, Bachelor of Liberal Arts Economics emphasis in Public Policy, Minor in Interdisciplinary Studies</t>
  </si>
  <si>
    <t>The Economic and Ecological Impacts of Forest Management Reform: Evidence from the Forest Law Enforcement Governance and Trade Program</t>
  </si>
  <si>
    <t>The existing research suggests that trade liberalization may generate negative impacts on the global environment via increases in deforestation. In an effort to combat these effects, the European Union has developed an international program aimed at improving forest governance and transparency in the timber trade and has made participation in this program a requirement for some free trade agreements. The program, known as the Forest Law Enforcement Governance and Trade Program (FLEGT), targets many countries with high rates of deforestation in Latin America, Africa, and Asia to curb illegal logging. To date, there has been little research studying the impacts of this program on forest loss and forest product trade among the eight countries currently participating in the program or in negotiations to adopt the program. In this paper we study the environmental and economic effects of FLEGT using satellite-derived estimates of forest loss across the globe, data on trade in forest products, and both synthetic control matching analysis and synthetic difference in differences. We analyze forest loss both country-wide as well as in sensitive ecological areas to see whether the undertaking of the FLEGT reforms reduces subsequent forest loss. Additionally, we study the impact of these reforms on timber product exports and economic growth</t>
  </si>
  <si>
    <t>Ryan</t>
  </si>
  <si>
    <t>Abman</t>
  </si>
  <si>
    <t>rabman@sdsu.edu</t>
  </si>
  <si>
    <t>Woman, Cisgender</t>
  </si>
  <si>
    <t>Talia</t>
  </si>
  <si>
    <t>Finburgh</t>
  </si>
  <si>
    <t>tfinburgh8892@sdsu.edu</t>
  </si>
  <si>
    <t>Bachelor's of Science in Business Administration: General Business</t>
  </si>
  <si>
    <t>Exploring Employment: A Personalized Empirical Analysis of Application Tactics</t>
  </si>
  <si>
    <t>In the realm of job hunting, where new graduates often grapple with feelings of discouragement amid unanswered applications and rejections, this project emerges as an avenue of exploration. Focused on the quest for effective job application methods, the study navigates through diverse aspects, such as submission mechanisms and temporal patterns. Employing an empirical lens, the analysis unfolds with a practical focus, acknowledging the challenges of the job-seeking journey. With a recognition of the prevalent discouragement, this project aims to contribute insights that may empower individuals in crafting successful application strategies. While the findings emerge from personal observations with a limited sample size, the goal is to present a narrative that connects with the diverse and intricate aspects of professional exploration, ultimately streamlining the application process and increasing the likelihood of applicants securing interviews.</t>
  </si>
  <si>
    <t>Fowler College of Business</t>
  </si>
  <si>
    <t>Erlinde</t>
  </si>
  <si>
    <t>Cornelis</t>
  </si>
  <si>
    <t>ecornelis@sdsu.edu</t>
  </si>
  <si>
    <t>1:00 PM</t>
  </si>
  <si>
    <t xml:space="preserve">Behavioral and Social Sciences </t>
  </si>
  <si>
    <t>Diego</t>
  </si>
  <si>
    <t>Leon</t>
  </si>
  <si>
    <t>dleon0069@sdsu.edu</t>
  </si>
  <si>
    <t xml:space="preserve"> Bachelor of Arts in Psychology </t>
  </si>
  <si>
    <t xml:space="preserve"> Improving Continuity and Scale: Introducing the Spanish Web-Based Computerized Comprehension Task </t>
  </si>
  <si>
    <t xml:space="preserve">Early vocabulary plays a fundamental role in children's language and cognitive development. This development is important to track given its importance to long-term developmental outcomes (Leffel &amp; Suskind, 2013). However, there are few vocabulary assessments for Spanish-speaking children beyond the first two years of life. Further, some Spanish assessments are direct translations from English jeopardizing their cultural relevance and developmental validity for children learning Spanish (Kester &amp; Pena, 2002). This may limit the accuracy of the assessment for children learning Spanish as their first or second language.
Following the original Computerized Comprehension Task (CCT; Friend &amp; Keplinger, 2003, 2008) and its expansions (Bleses et al., 2021 in Denmark, Gillen et al., 2021 in the UK, and Rosemberg &amp; Alam, 2021 in Argentina), we extended this assessment to create the Spanish Web-Based Computerized Comprehension Task. The Spanish Web-CCT is a two-alternative forced choice automated procedure where the target-distractor pairs match on difficulty, semantic category, word class, and visual salience. Words were selected from the Inventarios del Desarrollo de Habilidades Comunicativas: Palabras y Enunciados (IDHC:PE, Jackson-Maldonado et al., 2003), IDHC-III (Jackson-Maldonado, unpublished), and an Argentinian Corpus (Rosemberg, 2015). The words were reviewed by native Mexican Spanish speakers for cultural appropriateness and relevance to our regional context. We designed the Spanish Web-CCT to estimate vocabulary from 18 months to 60 months of age, which improves continuity. The assessment is web-based, which improves scalability. We predict that scores on the Spanish Web-CCT will be positively associated with age, will correlate positively with the Receptive One-Word Picture Vocabulary Test Spanish-Bilingual Edition (ROWPVT-SBE; Brownell, 2012),  will show good test-retest reliability, and finally, the items will evince high internal consistency.
We will present our findings on the psychometric properties of the Spanish Web-CCT. We ran a series of bivariate correlations and intraclass correlation analysis on our preliminary data. The Spanish Web-CCT showed the expected positive correlation with age ( r17=.600, p=.008), convergent validity with the ROWPVT-SBE (r12=.848, p=&lt;.001), and good test-retest reliability  (r11=.771, p=.003). Finally, internal consistency of the instrument is excellent (α = .974). We plan to report on a full sample of 40 participants.  
</t>
  </si>
  <si>
    <t>Margaret</t>
  </si>
  <si>
    <t>Friend</t>
  </si>
  <si>
    <t>Max</t>
  </si>
  <si>
    <t>Moore</t>
  </si>
  <si>
    <t>mmoore4396@sdsu.edu</t>
  </si>
  <si>
    <t>Bachelor of Arts in International Security and Conflict Resolution</t>
  </si>
  <si>
    <t>Land Reform and Conflict: A Case Study of Colombia</t>
  </si>
  <si>
    <t>The Colombian government's struggle to allocate land resources among diverse social groups has been curiously paired with an increase in violence in the country, despite a historic 2016 peace agreement between the Marxist rebel group Revolutionary Armed Forces of Colombia (FARC), and the Colombian Government. This paper aims to shed light on why violence in Colombia is surging once again. Through a critical analysis of past agrarian initiatives and an exploration of the multitude of social groups shaping Colombia's dynamics, this case study focuses on the intricacies of the country's struggles with equitable land distribution, a predicament that is amplifying existing ethnic tensions and elevating the potential for a return to widespread violent conflict.</t>
  </si>
  <si>
    <t>cobrien@sdsu.ed</t>
  </si>
  <si>
    <t>Malachi</t>
  </si>
  <si>
    <t>Lee</t>
  </si>
  <si>
    <t>mlee9244@sdsu.edu</t>
  </si>
  <si>
    <t xml:space="preserve">Criminal justice </t>
  </si>
  <si>
    <t>How does the fentanyl epidemic affect college students in the United States</t>
  </si>
  <si>
    <t xml:space="preserve">The prevalence of drug use among college students raises significant concerns as it poses a multifaceted threat to their overall well-being, academic performance, and future prospects. The negative impact of substance abuse on this demographic is evident in increased health risks, compromised academic achievements, and potential long-term consequences that hinder personal and professional development. Addressing this issue is imperative for fostering a healthy, supportive college environment conducive to students’ holistic growth and success. 
Quantitative Analysis and Literature Review
	We will analyze the effects substance abuse has on the college student population, along with its negative effects on a students physical health, mental health, academics, and social behavior. Are analysis will include research from multiple reputable sources and even from people who have experienced substance abuse for their first hand knowledge. 
</t>
  </si>
  <si>
    <t xml:space="preserve">Sateyia </t>
  </si>
  <si>
    <t>Taqui Kanu</t>
  </si>
  <si>
    <t>staqikanu@sdsu.edu</t>
  </si>
  <si>
    <t>Hall</t>
  </si>
  <si>
    <t>mhall0736@sdsu.edu</t>
  </si>
  <si>
    <t>Bachelor of Arts in Anthropology</t>
  </si>
  <si>
    <t>Exploring multispecies associations among moor macaques, birds, and cows in Sulawesi, Indonesia.</t>
  </si>
  <si>
    <t>This project explores the dynamics of community ecology within an anthropogenically modified habitat in the tropical forests of Indonesia. This inquiry delves into a 6-week fieldwork experience titled, “People, primates, and tropical forests: Integrated primatological and ecological research to advance human-primate coexistence and ecosystem health in Indonesia,” funded by the National Science Foundation’s International Research Experiences for Students program. Collaborative research, in partnership with scholars from San Diego State University and the Faculty of Forestry at Hasanuddin University, ensures a methodologically rigorous and multidisciplinary approach. The program involved two weeks of intensive training, both in the field and classroom, followed by approximately 40 hours of preliminary observations of endangered moor macaques (Macaca maura) at the field site in Bantimurung Bulusaraung National Park, Sulawesi, Indonesia. I then developed my own mini-project focused on associations between moor macaques and other animals present in their habitat, including two commensal bird species – malkoha (Phaenicophaeus calyorhynchus) and srigunting (Dicrurus macrocercus) – as well as domestic cows. I used the scan sampling method to record the presence of macaques, the birds, and cows at 15-minute intervals from 08:30-18:00 on 5 days from July-August 2023.  During these scans, I recorded key parameters including macaque age groups present, general group behavior, substrate preferences, and the visual presence or absence of these species. My analysis of the 75 scans collected revealed the malkoha were present in 4% of the scans, with 66% of their presence coinciding with moor macaque foraging. Srigunting birds were present in 12% of the scans, with 62.5% of their presence aligning with moor macaque foraging. Domestic cows were present in 8% of the scans, with 66% of their presence coinciding with moor macaque resting. These findings support previous research that found that malkoha birds may accrue feeding benefits by being in close proximity to macaques when they are foraging. Further research is needed, however, in order to characterize the ecological relationship between moor macaques, domestic cows, and srigunting birds.</t>
  </si>
  <si>
    <t>Hungerford</t>
  </si>
  <si>
    <t>thungerford8303@sdsu.edu</t>
  </si>
  <si>
    <t>Africana Studies, B.A. in Liberal Arts and Sciences</t>
  </si>
  <si>
    <t>Liberating the Spirit: Queer Inclusion in African Diaspora Religions</t>
  </si>
  <si>
    <t>The African diaspora encompasses a rich tapestry of cultural, religious, and spiritual traditions that have evolved over centuries, shaped by the transatlantic slave trade, colonialism, and migration. Religious and spiritual practices thus play a pivotal role in the lives of Black people, fostering a sense of community, belonging, and connection to cultural heritage. Yet, the experiences of Black queer people show they may be confronted with challenges and tensions in the Black community that cause them to feel exclusion and disassociation. This proposed study asks: How do African diaspora religions and/or spiritualities accommodate the inclusion of Black queer people in their religious practices and communities, and how does this foster access to healing resources? The impetus for this research question lies in three closely related areas of scholarship. First, I explore the origin of anti-queer attitudes within the Black community, highlighting the role of White supremacy and Western hegemony in shaping these attitudes. Second, I examine the historical context of queerness in African culture and spirituality, arguing that anti-queer attitudes are colonial imports. Finally, I review healing practices in African diaspora religions and how they can provide access to community and individual healing for Black queer people. This proposed study is designed utilizing focus groups and interviews and seeks to emphasize the importance of African diaspora religions as sites of cultural resistance to hegemonic discourses as well alternative visions of gender and sexuality that challenge Western normativity and provide a more inclusive framework for Black queer people. Ultimately, my proposed study aims to shed light on how such inclusivity fosters access to healing resources for queer people, offering spiritual support, community acceptance, and opportunities for personal growth and self-discovery, and how this contributes to the overall well-being and resilience of the Black community.</t>
  </si>
  <si>
    <t>Sureshi</t>
  </si>
  <si>
    <t>Jayawardene</t>
  </si>
  <si>
    <t>sjayawardene@sdsu.edu</t>
  </si>
  <si>
    <t>Selene</t>
  </si>
  <si>
    <t>Alvarado Martinez</t>
  </si>
  <si>
    <t>salvaradomarti8855@sdsu.edu</t>
  </si>
  <si>
    <t>Bachelor of Science in Foods and Nutrition</t>
  </si>
  <si>
    <t>Exploring flavors of edible ants: A path to sustainable gastronomy and consumer acceptance</t>
  </si>
  <si>
    <t>Edible insects are gaining popularity as a sustainable protein source, owing to their low
environmental impact and high nutritional value. However, solely emphasizing the
environmental and health advantages might be insufficient to encourage widespread acceptance. Investigating the flavor profiles of edible insects holds the potential to shift marketing strategies towards hedonic-focused campaigns that will be more successful in boosting consumer acceptance. Certain insects are already considered delicacies. For instance, Formicine ants are utilized as a sour flavoring agent in some cultures, and chicatana ants are highly favored in Mexican cuisine. To explore the flavor profiles of these edible ants, the volatiles of black ants (Lasius niger) and chicatana ants (Atta mexicana) were analyzed using headspace solid-phase microextraction and gas chromatography-olfactometry-mass spectrometry. Our study revealed distinctive odor profiles for different ant species. Black ants were characterized by a pungent, acidic, and vinegary smell primarily due to their high formic acid content, a secretion from their venom glands. Additionally, numerous Dufour gland alkanes such as tridecane, undecane, and pentadecane, known to act as alarm pheromones, were detected in black ants. In contrast, chicatana ants exhibited nutty, roasty, woody, and fatty notes. Unlike black ants, chicatana ants did not contain formic acid. Instead, they had alarm pheromone 4-methyl-3-heptanone and trail pheromone 2,5-dimethylpyrazine. The fatty aroma of chicatana ants was probably attributed to
their abundant presence of aldehydes such as hexanal, octanal, and nonanal. Understanding these flavor profiles is essential for creating appealing insect-based products that can overcome disgust-based aversions associated with insect consumption.</t>
  </si>
  <si>
    <t xml:space="preserve">Victoria </t>
  </si>
  <si>
    <t>Esparza</t>
  </si>
  <si>
    <t>Daisy</t>
  </si>
  <si>
    <t>Changqi</t>
  </si>
  <si>
    <t>Liu</t>
  </si>
  <si>
    <t>changqi.liu@sdsu.edu</t>
  </si>
  <si>
    <t>Julio</t>
  </si>
  <si>
    <t>Nunez Garcia</t>
  </si>
  <si>
    <t>jnunezgarcia7735@sdsu.edu</t>
  </si>
  <si>
    <t>Computer Science</t>
  </si>
  <si>
    <t>Advancing Escher Web Tools for Dynamic Genome-Scale Metabolic Model Visualization</t>
  </si>
  <si>
    <t xml:space="preserve">
Genome-Scale Metabolic Models (GSMMs) are essential for the mathematical simulation and depiction of whole organisms based on their genomic sequences. These models incorporate a comprehensive array of biological components, including genes, enzymes, reactions, gene-protein-reaction associations, and metabolites. GSMMs find extensive use in fields like biotechnology and metabolic engineering, aiding in tasks such as drug target identification, metabolic pathway elucidation, phenotype prediction, and generating insights into metabolism in both healthy and diseased states.
A crucial aspect of GSMMs is their capacity for straightforward visualization of intricate metabolic pathways. Escher, a software tool, excels in this regard, offering a user-centric interface for pathway visualization and handling large datasets. Features of Escher include the modification and creation of bespoke reaction pathways, color customization, size adjustment, and annotation addition.
Additionally, Escher has been instrumental in the development of new GSMM visualization tools, including Escher-FBA and Escher Trace. Escher-FBA combines pathway visualization with Flux Balance Analysis (FBA) for estimating metabolic fluxes, whereas Escher-Trace focuses on the live analysis of stable isotope tracing.
However, the current Escher tools have their limitations, primarily in visualizing only single GSMMs. These constraints involve the representation of single organisms and a fragmented display of reactions. To address these issues, we have developed a new software that extends Escher’s capabilities, enabling the visualization and selective filtering of reactions in community models. This software includes a script to read and sift through the uploaded model, subsequently displaying user-selected reactions. Furthermore, it facilitates the construction of tailored reaction pathways for community models within the Escher framework.</t>
  </si>
  <si>
    <t>Nicole</t>
  </si>
  <si>
    <t>Sierra</t>
  </si>
  <si>
    <t>nsierra9652@sdsu.edu</t>
  </si>
  <si>
    <t>Biochemistry/Bachelor</t>
  </si>
  <si>
    <t>R132Q IDH1 sensitivity to reducing agents</t>
  </si>
  <si>
    <t>The human enzyme isocitrate dehydrogenase 1 (IDH1), plays a critical role in maintaining redox balance and providing important cellular metabolites. In the normal wild-type oxidative decarboxylation reaction, isocitrate is converted to alpha-ketoglutarate with the reactant NADP+ being converted to ​​NADPH. However, tumor-driving mutations in IDH1 allow the mutant form to catalyze a neomorphic reduction, the NADPH-dependent reduction of alpha-ketoglutarate to D-2-hydroxyglutarate, D2HG, which can competitively inhibit alpha ketoglutarate-dependent enzymes. We have previously shown that the mutation R132Q produces high levels of D2HG while still being able to produce alpha-ketoglutarate, unlike other mutants. Furthermore, we previously solved a crystal structure of R132Q with the mutant bound to isocitrate and NADP+ substrates under reducing conditions to stimulate the cellular environment. This crystal structure led to the discovery of the reducing agent, TCEP, forming an adduct with NADP+. The impact of this adduct on the catalytic activity of the mutant IDH1 R132Q was unknown. We hypothesized that the NADP+-dependent normal reaction would be inhibited due to the unavailability of the NADP+ substrate. We conducted steady-state kinetic assays with R132Q mutant at varying concentrations of reducing agents to determine the impact of the TCEP-NADP adduct on R132Q catalysis. We show that observed rates of R132Q decreased as concentrations of TCEP increased, while other reducing agents had minimal effect on catalysis. Overall, TCEP treatment led to a decreased Km, which was consistent with the NADP-TCEP adduct binding competitively with ICT. Discovery of this adduct led us to investigate the distinctive active site properties of IDH1 R132Q that allow adduct formation. We discovered the IDH1 R132Q active site was in a more catalytically-ready conformation compared to IDH1 R132H, the most common IDH1 mutant. The IDH1 R132Q active site was fully closed upon binding ICT while binding the TCEP adduct, alpha-ketoglutarate adduct, or alpha-ketoglutarate preserve the polar contacts that are near the active site. This work highlights the understanding of IDH1 mechanisms for identifying regions of inhibitory selectivity.</t>
  </si>
  <si>
    <t>Scott</t>
  </si>
  <si>
    <t>Monahan</t>
  </si>
  <si>
    <t>smonahan5010@sdsu.edu</t>
  </si>
  <si>
    <t>Herbivore-Induced Plant Volatiles Mediate Belowground Tritrophic Interactions</t>
  </si>
  <si>
    <t>Olfactory cues play an integral role in mediating belowground interactions where other senses are limited. Herbivore-induced plant volatiles (HIPVs) cue natural predators to the presence of prey and signal to conspecific herbivores the presence of intraspecific competition. In this study, we evaluated the role of HIPVs from roots of cucumber plants with herbivory by spotted cucumber beetles (Diabrotica undecimpunctata), in mediating tritrophic interactions among conspecific and heterospecific herbivores and their natural enemies, entomopathogenic nematodes. We predicted that regardless of herbivore species, HIPVs would attract natural enemies and deter herbivores as reported in previous research. We found that spotted cucumber beetle larvae avoided plants damaged by their conspecifics. However, the heterospecific striped cucumber beetle larvae had no preference for plants damaged by spotted cucumber beetles or undamaged controls, suggesting they did not detect or respond to root HIPVs for this species. In contrast to our expected predator behavior, the entomopathogenic nematodes, Steinernema riobrave, were not attracted to the spotted cucumber beetle damaged roots when compared to undamaged roots. Furthermore, we compared the composition of volatiles emitted by spotted cucumber beetle-damaged cucumber roots with striped cucumber beetle-damaged roots and found different overall blends of HIPVs in response to herbivory. Of these volatile blends, we identified 3 key HIPVs, camphene, α-pinene, and sabinene, that differ among herbivore species. We found that while striped cucumber beetle larvae induced all compounds, spotted cucumber beetle larvae only induced α-pinene, but at a much higher level. These results indicate that spotted cucumber beetle larvae induce species-specific volatile blends that only modify conspecific behavior. This suggests larvae could benefit by avoiding competition with conspecific herbivores and attracting natural enemies.</t>
  </si>
  <si>
    <t>Anjel</t>
  </si>
  <si>
    <t>Helms</t>
  </si>
  <si>
    <t>anjel.helms@ag.tamu.edu</t>
  </si>
  <si>
    <t>Tatyana</t>
  </si>
  <si>
    <t>Ali</t>
  </si>
  <si>
    <t>tali5835@sdsu.edu</t>
  </si>
  <si>
    <t>Biology/ Bachelor of Science</t>
  </si>
  <si>
    <t>Investigating the role of immune and developmental genes during bacterial-stimulated metamorphosis in the marine tubeworm Hydroides elegans</t>
  </si>
  <si>
    <t xml:space="preserve">The immune system is one of the most critical yet complicated systems in the human body for its defense against microbes. Understanding host-microbe interactions is a crucial part of immune system development, as many developing organisms rely on bacterial interactions to educate their immune system. However, the immune system is difficult to study due to the interconnecting gene networks of complex organisms that are hard to tease apart. To better understand how microbes shape immune system development, we utilize a marine tubeworm Hydroides elegans. This organism's development is stimulated by the marine bacterium Pseudoalteromonas luteoviolacea. In this study, I examined the function and necessity of three different immune and developmental genes and transcription factors that are highly upregulated during this stimulation. The Von Willebrand Factor (VWF) gene coagulates blood clots in the human body, BZip is a crucial developmental transcription factor and Zinc Finger activates inflammation. Utilizing Hybridizing Chain Reactions, I localized these genes during bacterial stimulation and I am currently working to develop a protocol to knock them down via bacterial symbiote-mediated RNAi. After the knockdown of these genes, if no metamorphosis is present we will conclude its development relies on these genes. Identifying these genes' function in Hydroides can help add to the existing knowledge of the immune system as we identify vital information for disease prevention, medical treatment, and therapeutics. </t>
  </si>
  <si>
    <t>Chloe</t>
  </si>
  <si>
    <t>Ferguson</t>
  </si>
  <si>
    <t>cferguson4476@sdsu.edu</t>
  </si>
  <si>
    <t>Identification of novel proteins that directly control TDP-43 Mislocalization in ALS</t>
  </si>
  <si>
    <t>ALS is a neurodegenerative disease caused by the degeneration of upper and lower motor neurons, resulting in loss of movement, respiratory failures, and death. Around 10% of ALS cases are familial, resulting from a gene mutation in one of the many known genes, while the remaining 90% are sporadic. Loss of certain nucleoporins has been observed in 90% of patient-derived neurons (iPSNs) from sporadic cases. Pathologically, TDP-43 is known to be mislocalized to the cytosol in 97% ALS cases. However, molecular events that lead to this mislocalization are unknown. 
In order to address that we have employed genome-wide CRISPR-based automated FAC sorting screens to identify genes that when knocked down, lead to TDP-43 cytoplasmic localization. This work would reveal the function of uncharacterized proteins, but dissect their heretofore unknown mechanisms in regulating TDP-43. Collectively, our work will identify novel proteins that regulate TDP-43 cytoplasmic localization in human motor neurons in health and disease, which potentially can serve as new therapeutic targets for ALS pathology.</t>
  </si>
  <si>
    <t xml:space="preserve">Norah </t>
  </si>
  <si>
    <t>Al-azzam</t>
  </si>
  <si>
    <t>nhoussie@health.ucsd.edu</t>
  </si>
  <si>
    <t>Joseph</t>
  </si>
  <si>
    <t>Wiese</t>
  </si>
  <si>
    <t>jwiese5676@sdsu.edu</t>
  </si>
  <si>
    <t>Triple Major: History, Sociology, Social Work</t>
  </si>
  <si>
    <t>Stories of Foster Children: Issues of Identity, Liminality, and Struggle (Mid-20th Century New York City)</t>
  </si>
  <si>
    <t>Children’s stories are as absent from written histories as their voices. In part, this marginalization is due to the lack of available records that shine a light on children’s realities. However, even records that center adults can offer glimpses into children’s lives. Relying on the adult-centric sources I have available to me, I set out to reconstruct the experiences of foster children during the mid-20th century in New York City. This period was the inflection point when the percentage of foster children placed within home settings, as opposed to institutions, reached a majority. The results of this major turning point profoundly affected the most vulnerable and resilient children, yet, the few historians who have addressed this topic have largely made arguments that concern systems, structures, and institutions. That is to say, while they write about children, children are still just outside the focus; and even when they are addressed, they are treated as victims. 
Shifting the focus away from the systems themselves, my research aims to answer how foster children asserted their agency and subjecthood in situations where they were made to feel powerless. Relying on graduate theses from the New York School of Social Work (1948) and Fordham University (1953) as my primary sources, I write narratives of foster children to demonstrate how they were agents of their own lives. In doing so, I illustrate the principal themes of their experiences, analyzing their narratives through the application of interdisciplinary social theory. I expand on issues of liminality, labeling, and intersectionality while connecting the children’s lives to their broader historical context. Each story shines a light on what it was like to be a foster child in the mid-century, uncovering details about a child’s personality, their struggle, and their victories. Through these narratives, it is clear how children are active in creating their own reality, rather than passively accepting the reality dictated to them by adults.</t>
  </si>
  <si>
    <t>Tran</t>
  </si>
  <si>
    <t>atran4581@sdsu.edu</t>
  </si>
  <si>
    <t>Communication Studies</t>
  </si>
  <si>
    <t>Understanding the Elliptical Nature of Gender Discrimination, Sports, and Media: A Communication-Oriented State of the Literature</t>
  </si>
  <si>
    <t>This state of the literature approaches the perception of gender inequity in athletics from a communicative scholarly perspective, utilizing commonly employed communication theories to piece together a unified analysis of the phenomenon; theories included social cognitive theory, muted group theory, and transactional media effects.
	Articles citing structural communicative axioms were amalgamated to reveal an elliptical system within our perspectives of gender and athletics, divulging a cyclic model through which gender bias originates, establishes, and reinforces itself in Western societal understandings. 
	The analysis considered the issue from a top-down approach, looking at overarching gender constructs that alter the mass perception of sports and sports media, and a bottom-up approach where individuals are assigned responsibility for the differential nature of gender in sports. 
Results formulated a hypothesis of four essential assumptions that highlighted the elliptical blueprint of athletic gender discrimination. (1) gender bias inherited from socially reinforced beliefs translates its prejudice into the domain of sports, (2) prejudiced beliefs are reflected in the media coverage of sports, (3) sports media activates gender-induced stereotype reactions among consumers, and (4) individual reactions to gender in media construe societal beliefs, reestablishing the first assumption. These suppositions established a scaffolding from which the cyclic hypothesis was built.</t>
  </si>
  <si>
    <t>Kyle</t>
  </si>
  <si>
    <t>Gutzmer</t>
  </si>
  <si>
    <t>kgutzmer@sdsu.edu</t>
  </si>
  <si>
    <t>Crystal</t>
  </si>
  <si>
    <t>Choi</t>
  </si>
  <si>
    <t>cchoi2782@sdsu.edu</t>
  </si>
  <si>
    <t>Bachelor of Art with an Emphasis in Art History</t>
  </si>
  <si>
    <t>Making Art Museums More Accessible: The Laguna Art Museum, A Case Study</t>
  </si>
  <si>
    <t>Historically, art museums have been exclusive spaces dedicated to collecting, researching, and displaying art objects. Recently, however, some museums have shifted away from just acquiring and maintaining collections towards focusing on education and providing access to broader audiences. With this shift, these museums have begun to implement new protocols related to accessibility and inclusion. They are now beginning to assess the needs and experiences of their audiences more carefully. This has resulted in museums becoming more accessible to the public, especially through the incorporation of improved didactic and architectural features, such as using Braille on wall labels or integrating more ramps near stairwells. The goal has been to accommodate people of all backgrounds, including those who identify as members of the disabled community. 
My presentation focuses on the Laguna Art Museum, located in my hometown of Laguna Beach, using it as a case study to assess the accessibility of our regional art museums. Even though I am an art historian, I use the social sciences method of field research (observation and notetaking) conducted on-site at the museum. My presentation first describes the museum's layout and explains how the building is structured through its floor plans. Then, I describe the specific parts of its galleries and what the museum does and does not make accessible. Finally, I explain what other additions and changes the museum could make to improve its accessibility, underscoring the broader importance of accessibility in museum and exhibition design. I demonstrate that while the Laguna Art Museum's mission statement asserts that it is aimed at fostering audience engagement through its exhibition spaces, my assessment is that the museum is not fully accessible to all audiences. While the museum does offer a basic level of accessibility, overall, it is lacking in many other accommodations that would make it more accessible and engaging to audiences with a range of disabilities. Ultimately, through this research, I aim to show why it is imperative that museums include accessibility in their museum designs and how these changes can benefit all museum goers' experiences.</t>
  </si>
  <si>
    <t>Gillian</t>
  </si>
  <si>
    <t>Sneed</t>
  </si>
  <si>
    <t>gsneed@sdsu.edu</t>
  </si>
  <si>
    <t xml:space="preserve">Joel </t>
  </si>
  <si>
    <t>Varon</t>
  </si>
  <si>
    <t>jvaron8651@sdsu.edu</t>
  </si>
  <si>
    <t xml:space="preserve">Philosophy </t>
  </si>
  <si>
    <t xml:space="preserve">An Exploration of the Incel </t>
  </si>
  <si>
    <t xml:space="preserve">Incels have been popular among online discourse in recent years and have become a prevalent part of our culture. Why is this? Since the Eliot Rodger attacks of 2014 near UCSB the mainstream coverage of Incel culture has maintained a looming growing among young men and boys. Through psychology we can explain case by case scenarios as well as try and map the behavior as a whole. But is there a philosophical explanation that may be able to encompass this seeming popular trend of hatred towards women and the feeling of being owed sex among men? This is what I will explore. </t>
  </si>
  <si>
    <t>Rutger</t>
  </si>
  <si>
    <t>Hadge</t>
  </si>
  <si>
    <t>rjhadge@sdsu.edu</t>
  </si>
  <si>
    <t>Man, Non-binary/non-conforming</t>
  </si>
  <si>
    <t>Sabine</t>
  </si>
  <si>
    <t>Ruiz</t>
  </si>
  <si>
    <t>sruiz1471@sdsu.edu</t>
  </si>
  <si>
    <t>Liberal Studies Elementary Education</t>
  </si>
  <si>
    <t>Book Talk: My Brilliant Friend</t>
  </si>
  <si>
    <t xml:space="preserve">This presentation was created for a book review project about famous female authors. The book presented in this project shows different important topics and hardships that young women face. The presentation has components such as symbols, themes, narrative styles, a couple of assignments that could be implemented into teaching a specific grade level, comparing the book to other books or films, and background information about the author. . </t>
  </si>
  <si>
    <t>SDSU Imperial Valley</t>
  </si>
  <si>
    <t>Jeannette</t>
  </si>
  <si>
    <t xml:space="preserve">Shumaker </t>
  </si>
  <si>
    <t>jshumake@sdsu.edu</t>
  </si>
  <si>
    <t>Melia</t>
  </si>
  <si>
    <t>Miner</t>
  </si>
  <si>
    <t>mminer7871@sdsu.edu</t>
  </si>
  <si>
    <t>Bachelor of Science in Mechanical Engineering</t>
  </si>
  <si>
    <t xml:space="preserve"> “Aloha ߵOe”: The Music of Queen Liliߵuokalani as Cultural Preservation and Protest</t>
  </si>
  <si>
    <t xml:space="preserve">Queen Liliߵuokalani of Hawaiߵi not only composed some of the most noteworthy songs of her nation, but also used music as a means of cultural preservation and protest during the time of Hawaiߵi’s annexation to the United States. The research presented in this presentation examines Liliߵuokalani’s work as musical protest through the lens of “Aloha ߵOe,” her most renowned composition. By examining Hawaiian culture, history, and musical tradition, as well as the life of Liliߵuokalani and the political climate of her time, the significance of cultural tradition within Hawaiian musical protest of annexation becomes clear. Past research generally focuses on Liliߵuokalani’s compositions primarily in a political or historical context, however by examining the lyrics in the context of Hawaiian culture, Liliߵuokalani’s compositions and the legacy she left behind as a defender of tradition becomes clear. Liliߵuokalani’s music protests colonialism in explicit ways—numerous works were published while she was imprisoned by the colonial Provisional Government—but also in a more coded manner. By synthesizing traditional Hawaiian musical practices and Western styles of composition, Liliߵuokalani’s music appealed to a diverse audience of native Hawaiians and Westerners. Through her compositions, Liliߵuokalani communicated ideas with a complex and sophisticated language subverting the belief held by missionaries and colonizers that the Hawaiian people were unevolved or “uncivilized.” In “Aloha ߵOe” Liliߵuokalani crafted lyrics which may be interpreted to have multiple definitions. In the chorus of this composition alone, one may hear a heartfelt farewell, a kind greeting, or a message of love depending upon an individual’s perspective. In a sense this is her greatest achievement of all—Liliߵuokalani did not just use music as a medium of protest, but a vehicle of cultural preservation. Cultural references further emphasized messages of resilience within her music: that the Hawaiian people could persevere and flourish under a culture and tradition which was continually repressed.
</t>
  </si>
  <si>
    <t>Maya</t>
  </si>
  <si>
    <t>Ginsberg</t>
  </si>
  <si>
    <t>mginsberg@sdsu.edu</t>
  </si>
  <si>
    <t>Vale</t>
  </si>
  <si>
    <t>Magana</t>
  </si>
  <si>
    <t>vmagana3692@sdsu.edu</t>
  </si>
  <si>
    <t>Masters of Arts in Women's Studies</t>
  </si>
  <si>
    <t>Towards Transformative Justice: Envisioning Survivor-Centric Approaches Beyond Title IX for Addressing Campus Sexualized Violence at San Diego State University</t>
  </si>
  <si>
    <t xml:space="preserve">SDSU's lack of transparency was questioned in 2022 when the university faced national scrutiny for its delayed response regarding allegations of rape involving Aztecs football players and an underage victim. Against this backdrop, my research centers survivors' perspectives. By conducting interviews with survivors of sexualized violence, my research will use qualitative methods to investigate the efficacy of Title IX and university police as avenues of justice for survivors at San Diego State University (SDSU). I also analyze and interpret data from the SDSU Campus Climate Surveys, and also violence prevention education programs like The Brave Project that exist at SDSU. It also aims to understand how student survivors perceive the roles of key entities like the Title IX office, SDSU University Police Department, and other relevant SDSU bodies in (mis)handling cases of campus sexual assault. 
This research is a community-based articulation invested in a Transformative Justice (TJ) approach to campus sexual assault at SDSU grounded in the lived experiences of survivors. Understanding that the Title IX reporting process often fails at meeting survivors' immediate post-trauma needs, the heart of this investigation centers what TJ at SDSU could look like, imagined by those most impacted: survivors of campus sexualized violence. Using a theoretical framework of intersectionality and abolition feminist thought, my research seeks not only to critique Title IX as an extension of carcerality, but also to lay the groundwork for a more responsive, trauma-informed, and survivor-centric approach to addressing campus sexual assault based in the principles of TJ. My research works to contribute to the ongoing discourse surrounding the need for transformative change in addressing the pervasive problem of sexualized violence across university campuses. 
</t>
  </si>
  <si>
    <t>Jess</t>
  </si>
  <si>
    <t>Whatcott</t>
  </si>
  <si>
    <t>jwhatcott@sdsu.edu</t>
  </si>
  <si>
    <t>Annika</t>
  </si>
  <si>
    <t>Wong</t>
  </si>
  <si>
    <t>awong4867@sdsu.edu</t>
  </si>
  <si>
    <t>Masters of Arts in Communication Studies</t>
  </si>
  <si>
    <t xml:space="preserve">Exploring Student-to-Student Confirmation, Communication Apprehension, and Academic Self-Efficacy in (Post) Carceral Education </t>
  </si>
  <si>
    <t xml:space="preserve">There is currently a large increase in the number of incarcerated students who have access to education, however, there is minimal quantitative research on experiences of currently incarcerated students. The plethora of research on students who have never been incarcerated cannot be generalized to this population because of the differences that exist in their academic and life experiences. The following study seeks to examine whether there is a difference between students with conviction histories and students without, by collecting the same data from currently and formerly incarcerated students along with students who have never been incarcerated. Specifically, this study seeks to examine the relationships between student-to-student confirmation, classroom communication apprehension (CCA), and academic self-efficacy among currently and formerly incarcerated students along with students who have never been incarcerated. Survey results (N = 87) indicate that there is a negative relationship between student-to-student confirmation and CCA). Additionally, this study shows that, in regards to student-to-student confirmation, CCA, and academic self-efficacy, there is minimal difference between currently and formerly incarcerated students and students who have never been incarcerated. Future researchers should continue to study the differences that exist among currently, formerly, and never incarcerated students to fill the gaps in instructional communication research and provide knowledge that can better the quality of education that is provided to students with carceral histories. This study ends by outlining specific paths for future research.
</t>
  </si>
  <si>
    <t>Hannah</t>
  </si>
  <si>
    <t>Reynolds</t>
  </si>
  <si>
    <t>hreynolds7166@sdsu.edu</t>
  </si>
  <si>
    <t>Masters of Public Health</t>
  </si>
  <si>
    <t>Exploring how Trust and Social Support Shape Housing-Insecure Youth’s Health-Related Experiences During COVID-19</t>
  </si>
  <si>
    <t xml:space="preserve">Youth experiencing homelessness (YEH) are uniquely vulnerable to public health threats, leading to health and social inequities and impeding their healthy transition into adulthood. Additionally, they have relatively low health literacy–the skill set of obtaining, understanding, and applying health information. Yet, YEH are often excluded from public health interventions. This community-based participatory research (CBPR) study aimed to inform the development of such an intervention by examining housing insecure youths’ preferences and needs during the COVID-19 pandemic. The community-academic team of expressive arts therapists, social providers, and academic researchers co-developed an arts-based engagement (ABE) qualitative data collection technique to engage with and learn from housing-insecure youth. Data were collected via ABE groups with N=21 YEH (ages 13-25) across six groups (n=5 English, n=1 Spanish). Groups involved two arts-based activities to elucidate participants’ experiences during the pandemic and supplement their responses to a semi-structured set of questions related to COVID-19, social support, and health communication and literacy. All ABE sessions were recorded, professionally transcribed, and analyzed using applied thematic analysis to identify salient themes. Themes identified related to the importance of both strong social support networks and interpersonal trust within these networks. This was particularly important to the procurement of and adherence to health information. Participants cited that a lack of strong adult relationships negatively affected their ability to identify accurate health information. Notably, participants discussed that, although they find their health important, there are often multiple competing priorities related to their basic needs that take precedence over finding and adhering to infectious disease prevention guidelines. The results of this project indicate that future interventions to increase health literacy among YEH must be tailored and community-responsive. It identified that social support, perhaps peer-to-peer social support, may be an effective mode of communication for public health practitioners and community workers to inform YEH of pressing health information. Through this unique qualitative analysis, the YEH community’s voices were amplified, reaffirming the importance of meeting their basic needs before aiming to address disease prevention and, further, promoting health equity. </t>
  </si>
  <si>
    <t>Felner</t>
  </si>
  <si>
    <t>jfelner@sdsu.edu</t>
  </si>
  <si>
    <t>Jocelyn</t>
  </si>
  <si>
    <t>Smith</t>
  </si>
  <si>
    <t>jsmith7576@sdsu.edu</t>
  </si>
  <si>
    <t>Master of Social Work &amp; Master of Public Health with a concentration in Health Management and Policy Major</t>
  </si>
  <si>
    <t>Exploring the Knowledge and Attitudes of Emerging Health and Human Service Professionals Regarding Sexuality and Older Adults</t>
  </si>
  <si>
    <t xml:space="preserve">Sex—a word that conjures a variety of feelings ranging from intrigue to discomfort. Yet, sex is recognized to be a vital aspect of personal expression, overall quality of life, health, and well-being. For many, sex is not only a way to express physical closeness, but also express emotional intimacy, loyalty, and self-confidence among other things. Nevertheless, in many settings from popular media to healthcare, sex remains a topic of focus specifically for youth. Many stereotypes and ageist ideas around sexual health and older adults are pervasive in Western culture. These sexual ageist perspectives have major influences and implications for how older adults are treated in health and human service settings. Holistic, high-quality healthcare includes traditionally taboo topics like sexuality and sexual behavior in older adult populations. Thus, to address sexual ageism and provide holistic healthcare, it is critical to understand where these perspectives stem from. This study utilized the Ageing Sexual Knowledge and Attitudes Scale (ASKAS) to understand the current knowledge and attitudes about aging and sexual health of 400 students in the College of Health and Human Service at San Diego State University. The study collected background characteristics of students, including age, gender, race and ethnicity, level of education and scholarly major to compare how these traits impacted students’ knowledge and attitudes about sexual health and aging. Additionally, statistical modeling was utilized to measure whether knowledge or these traits had an impact on the overall attitude of students. Consistent with extant literature, students had lower Knowledge Scores, but generally permissive Attitude Scores. Results of this study indicate that level of education, major and race and ethnicity had impacts on Knowledge Scores about changes and non-changes in sexual health as individuals age, while gender and age did not have a statically significant difference. Regarding Attitude Scores, all independent variables measured had an impact on the permissive versus dismissive attitudes of students. Based on this research, it is critical to approach interventions to address sexual ageism by addressing both systemic gaps in knowledge for students and individually by allowing students to address bias and stigma created due to personal backgrounds. </t>
  </si>
  <si>
    <t>Ebor</t>
  </si>
  <si>
    <t>mebor@sdsu.edu</t>
  </si>
  <si>
    <t>Fitzgerald</t>
  </si>
  <si>
    <t>lfitzgerald8161@sdsu.edu</t>
  </si>
  <si>
    <t>Master of Arts in Linguistics</t>
  </si>
  <si>
    <t>When words collide: Impact of top-down and bottom-up input during bilingual picture-word matching</t>
  </si>
  <si>
    <t>Cross-linguistic activation enables bilinguals to retrieve cognates (i.e., words in different languages with phonological and semantic overlap) more quickly and accurately than noncognates. While this facilitatory cognate effect has been well-documented, prior research has not typically considered individual differences in language proficiency and cognitive ability. Additionally, greater understanding of cognate effects in the context of both top-down (i.e., picture naming) and bottom-up (i.e., word reading) input is needed. This study investigated how cognate effects differ when top-down and bottom-up input converges or diverges and whether these effects are modulated by linguistic proficiency and cognitive ability.
Forty Spanish-English bilinguals (ages 18-40) completed a picture-word matching task during which they saw a picture superimposed with a Spanish word and judged whether the name of the picture matched the text. There were six total conditions. Four conditions had unrelated text-picture pairings of cognate-cognate, noncognate-noncognate, noncognate-cognate, and cognate-noncognate combinations. Additionally, there were two identity conditions in which the word and picture matched. We predicted cognate effects for both top-down (i.e., implicit picture naming) and bottom-up (i.e., word reading) conditions. Further, we expected lower response accuracy and higher reaction times in the divergent noncognate-cognate and cognate-noncognate conditions. We hypothesized that the cognate-noncognate condition would be most challenging due to the co-activation of English through cognate text when retrieving a Spanish word with no connection to the English lexicon.
We observed a facilitatory effect of cognate status when comparing the two identity trials for both accuracy and reaction time. For the four unrelated conditions, we observed a main effect of cognate status on reaction times but not accuracy for both text and picture presentation dimensions. We also observed an interaction between text and picture dimensions in reaction times. Participants were slowest to respond when presented with noncognate text paired with a cognate picture. These findings suggest that bilinguals experience greater difficulty with word-retrieval when top-down and bottom-up input diverge, particularly when bottom-up information does not promote co-activation of both languages but top-down information does. These results will be compared to individual performance on cognitive and linguistic assessments.</t>
  </si>
  <si>
    <t>Henrike</t>
  </si>
  <si>
    <t>Blumenfeld</t>
  </si>
  <si>
    <t>hblumenf@sdsu.edu</t>
  </si>
  <si>
    <t>Taylor</t>
  </si>
  <si>
    <t>btaylor2523@sdsu.edu</t>
  </si>
  <si>
    <t>PhD Math and Science Education</t>
  </si>
  <si>
    <t>Exploring Graduate TAs' Perspectives on Equity in Professional Development</t>
  </si>
  <si>
    <t>STEM education exhibits significant inequities. Despite decades of efforts to enhance student success in STEM, issues such as low STEM persistence exist for women and students of color. Such challenges are often attributed to experiences in gateway mathematics courses like precalculus and calculus sequences (Ellis et al., 2016; Seymour, 2019).
One important avenue to address this issue is through the role of graduate teaching assistants (GTAs), many of whom will become future mathematics educators and nearly all of whom are crucial points of contact for undergraduate STEM students. Hence, GTAs need training in teaching practices associated with equitable learning outcomes (Theobald et al., 2020). However, GTAs receive little to no training on pedagogy (Deshler et al., 2015; Speer et al., 2017), let alone equitable teaching practices. Consequently, there is a need for professional development (PD) that attends to such practices. Furthermore, the impact and efficacy of such PD interventions must be understood.
This presentation centers around an initial activity in a two-semester-long PD course for GTAs, specifically targeting engaged learning, inclusive teaching, and equity. The activity involved groups of GTAs constructing a mobile using different materials - with some groups having access to more materials than others. After the activity, GTAs filled out a five-question reflection survey. We investigated how this activity prompted GTAs to think about equity. To this end, we analyzed the survey responses of nine participating MGTAs using Gutiérrez's (2009) four dimensions of equity—access, achievement, identity, and power—while allowing for emergent themes.
The analysis revealed that access and achievement were the most prevalent themes in GTAs' written responses. However, additional themes of empathy and a growth mindset also emerged. This suggests that GTAs initially frame equity regarding students' access and achievements but are also attuned to the affective aspects of how these inequities may impact students. This analysis highlights the critical need for enhanced training for GTAs and provides insights into how a targeted PD course can influence their perspectives on equity.</t>
  </si>
  <si>
    <t>Mariah</t>
  </si>
  <si>
    <t>Moschetti</t>
  </si>
  <si>
    <t>Mary</t>
  </si>
  <si>
    <t>Pilgrim</t>
  </si>
  <si>
    <t>mpilgrim@sdsu.edu</t>
  </si>
  <si>
    <t>Wanjiku</t>
  </si>
  <si>
    <t>mwanjiku5135@sdsu.edu</t>
  </si>
  <si>
    <t>Tests of Ghost Introgression into Extant Lineages</t>
  </si>
  <si>
    <t>Gene flow from unsampled or extinct ghost populations leaves signatures on the genomes of individuals from extant, sampled populations, often introducing biases, data misinterpretation, and ambiguous results when estimating evolutionary history from population genomic data. Here, we utilize extensive simulations under various ghost topologies, with no gene flow (Model 1) to extensive gene flow to and from an unsampled ghost population (Model 2, 3, 4, and 5). These models help us systematically assess biases while accounting or not accounting for gene flow from ghost populations in demographic history (mutation-scaled effective population sizes, divergence times, and migration rates) under the Isolation with Migration (IM) model. Estimates of evolutionary history across all scenarios of deep divergence of an outgroup ghost indicate consistent a) under-estimation of divergence times between sampled populations, (b) over-estimation of effective population sizes of sampled populations, and (c) under-estimation of migration rates between sampled populations, with increased gene flow from the unsampled ghost population.
Additionally, considering the large effects of gene flow from ghost populations, we propose a multi-pronged approach to account for the presence of unsampled ghost populations in population genomics studies to reduce erroneous inferences. We present three statistical tests to test for the presence of an unsampled ghost in population genomic data. They utilize (1) inference of population structure under the admixture model, (2) inference of the distribution of coalescent times across genomic loci, and (3) inference of the goodness of fit under the IM model to test for the presence of an unsampled ghost population among sampled population genomic data. We recommend these tests as a necessary first step before estimating evolutionary history under restrictive (e.g., two population) demographic models.</t>
  </si>
  <si>
    <t xml:space="preserve">Arun </t>
  </si>
  <si>
    <t>Sethuraman</t>
  </si>
  <si>
    <t>asethuraman@sdsu.edu</t>
  </si>
  <si>
    <t>Ebru</t>
  </si>
  <si>
    <t>Robinson</t>
  </si>
  <si>
    <t>eyildiz@sdsu.edu</t>
  </si>
  <si>
    <t>Cell and Molecular Biology</t>
  </si>
  <si>
    <t>The Role of the Drosophila Muscle Gene CG42319 in Muscle Development and Function</t>
  </si>
  <si>
    <t>Z-discs, fundamental elements of muscle structure, play a pivotal role in anchoring actin filaments using α-actinin molecules. The Z-disc serves as a crucial anchoring point for thin filaments during muscle contraction. Consequently, discerning the constituents of the Z-disc is important to gain a comprehensive understanding of myofibril assembly and its functional mechanisms. While the complete structure and functions of mature Z-discs remain partially understood, they are thought to require numerous proteins for assembly and maintenance. Mutations in Z-disc-related proteins have been linked to myofibrillar myopathy (MFM), a group of heterogeneous chronic neuromuscular disorders. The Drosophila gene CG42319 is an ortholog of human PDZ LIM genes and is the focus of our study. We aim to elucidate the structural and functional role of CG42319 in Z-disc formation and function. Our research seeks to determine if the CG42319 protein is essential for the interaction between α-actinin and the Z-disc in flight muscles, as well as for maintaining normal sarcomere structure. To investigate the function of the CG42319 gene further, we generated several mutant alleles using CRISPR/Cas9 gene editing technology, aiming to uncover the gene's underlying mechanisms. Our initial findings reveal that these mutant alleles markedly disrupt alpha-actinin structure, causing muscle dysfunction in the indirect flight muscles of Drosophila. Importantly, mutations in human orthologs (PLIM2) of this gene have been associated with severe muscle dysfunction and structural abnormalities observed in myopathies and muscular dystrophies. Our research holds the potential to advance our understanding of the PDZ domain protein CG42319 and its significance in the field of muscle biology.</t>
  </si>
  <si>
    <t>Mason</t>
  </si>
  <si>
    <t>Richard M.</t>
  </si>
  <si>
    <t>Cripps</t>
  </si>
  <si>
    <t>rcripps@sdsu.edu</t>
  </si>
  <si>
    <t>Omar</t>
  </si>
  <si>
    <t>Lujano Olazaba</t>
  </si>
  <si>
    <t>olujano3108@sdsu.edu</t>
  </si>
  <si>
    <t>JDP PhD Biology</t>
  </si>
  <si>
    <t>The TWEAK-Fn14-NF-κB signaling axis enhances expression of integrin ɑVβ3 in a post-chemotherapy tumor microenvironment.</t>
  </si>
  <si>
    <t xml:space="preserve">High grade serous ovarian cancer (HGSOC) patients initially respond to chemotherapy but a majority relapse with chemoresistant disease. Research supports that tumor-initiating cells (TICs), a subpopulation of drug resistant stem-like tumor cells, are responsible for facilitating relapse and therapies targeting these fecund cells may prolong remission. The tumor microenvironment (TME) plays a crucial role in therapy resistance, and tumor relapse. Chemotherapies have been shown to modify the stroma of the TME which may favor the survival of TICs displaying specific adhesion proteins. We and others have shown that NF-κB transcription factors RelA and RelB respond to signals from the ovarian TME to promote chemoresistance, and survival. Our results further show that RelA and RelB regulate expression of specific integrins. Recently we found that TNF-like inducer of apoptosis (TWEAK), and its only known receptor Fn14, are enriched following chemotherapy, leading to survival of TICs. TWEAK also induces expression of specific integrins in ovarian TICs. Therefore, we hypothesize that NF-κB mediated integrin expression enables adhesion and survival of TICs to a chemotherapy modified extracellular matrix (ECM) to facilitate tumor relapse. Using magnetic activated cell sorting (MACS) for CD117+ TICs, we found enrichment for integrin ɑVβ3. Supporting a role for TWEAK-Fn14-NF-κB in mediating integrin expression we further show that integrin ɑVβ3, but not ɑ5β1, was significantly increased in CD117+ TICs in the presence of TWEAK and was dependent on Fn14. RNA-sequencing analysis of tumor cells grown in spheroid conditions with RelA or RelB shRNA knockdown relative to control, show ITGAV is dependent on RelA while ITGB3 expression is dependent on RelB. Taken together, our findings suggest CD117+ TICs have enhanced expression of ɑVβ3 and is further induced by TWEAK mediated NF-κB activity for adaptation to a stressful post-chemotherapy environment. Ongoing in vitro and in vivo studies are investigating the therapeutic benefit of targeting ɑVβ3 and ɑ5β1 in CD117+ TICs for prevention of adhesion and tumor repopulation following chemotherapy. These studies will uncover interactions between TICs and ECM through their unique expression of integrins and clarifies the role of NF-κB transcription factors RelA and RelB in regulating TIC survival in the post-chemotherapy TME. </t>
  </si>
  <si>
    <t xml:space="preserve">Carrie </t>
  </si>
  <si>
    <t>Elizabeth</t>
  </si>
  <si>
    <t>Trujillo</t>
  </si>
  <si>
    <t>emunguia5921@sdsu.edu</t>
  </si>
  <si>
    <t>PhD/PhD Cell and Molecular Biology</t>
  </si>
  <si>
    <t>Enhanced expression of the myogenic factor Myocyte enhancer factor-2 in imaginal disc myoblasts activates a partial, but incomplete, muscle development program</t>
  </si>
  <si>
    <t xml:space="preserve">The Myocyte enhancer factor-2 (MEF2) transcription factor plays a vital role in orchestrating muscle differentiation. While MEF2 cannot effectively induce myogenesis in naïve cells, it can potently accelerate myogenesis in mesodermal cells. This includes in Drosophila imaginal disc myoblasts, where triggering premature muscle gene expression in these adult muscle stem cells has become a paradigm for understanding the regulation of the myogenic program. Here, we investigated the global consequences of MEF2 overexpression in the imaginal wing disc myoblasts, by combining RNA-sequencing with RT-qPCR and immunofluorescence. We observed the formation of sarcomere-like structures that contained both muscle and cytoplasmic myosin, and significant upregulation of muscle gene expression, especially genes essential for myofibril formation and function. These transcripts were functional since numerous myofibrillar proteins were detected in discs using immunofluorescence. Interestingly, muscle genes whose expression is restricted to the adult stages were not activated in these adult myoblasts. These studies confirm a broad activation of the myogenic program in response to MEF2 expression and suggest that additional regulatory factors are required for promoting the adult muscle-specific program. Our findings contribute to understanding the regulatory mechanisms governing muscle development and highlight the multifaceted role of MEF2 in orchestrating this intricate process. </t>
  </si>
  <si>
    <t>Richard</t>
  </si>
  <si>
    <t>Alexandra</t>
  </si>
  <si>
    <t>Hoff</t>
  </si>
  <si>
    <t>ahoff9409@sdsu.edu</t>
  </si>
  <si>
    <t>Masters of Science in Biology</t>
  </si>
  <si>
    <t>Resilient Restoration: Drought Resilience Amongst Southern California Coast Live Oak Populations on Tribal Lands</t>
  </si>
  <si>
    <t>The Coast Live Oak (Quercus agrifolia), is a model species to investigate the global problem of climate change-induced mortality of culturally significant trees on a local scale.  As a foundational species, Q. agrifolia provides shelter and food for a variety of species as well as   being a culturally significant food source to many tribal communities. This species has a large distribution throughout coastal California and northern Baja California, populated by its two varieties: Q. agrifolia var. agrifolia and Q. agrifolia var. oxyadenia. They can be distinguished by their distribution and trichome density. Unfortunately, this species is declining due to increased vulnerability to pests, disease, intense drought, high temperatures exacerbated by climate change. We collaborated with local Kumeyaay tribal communities, and researchers from UC Riverside, and the Climate Science Alliance as part of their larger conservation project ‘Resilient Restoration’. We sampled Q. agrifolia acorns and leaf material from eight populations across southern California, including tribal reservation lands. Our first objective was to identify which varieties, populations and families of Q. agrifolia perform better under drought conditions. We predicted that trees from within the distribution of Q. agrifolia var. oxyadenia, where there is a hotter, drier climate, would be more resilient to drought. In a greenhouse drought experiment, we measured physical responses such as survival and growth. While our results did not show significant differences based on variety, we were able to identify populations with higher performance. Additional analysis is needed of drought performance by family and including other indicators such as stomatal conductance.
 Our second objective was to assess levels of conservation concern through population genetic estimates. Based on our analysis of DNA (nuclear SNP data) from 7 sample populations, differentiation between populations and by variety was low. While levels of genetic diversity differed by population, there was not a significant difference by variety. These findings, along with traditional ecological knowledge and cultural practices, will be used by our tribal partners to inform conservation decisions and the drought tolerant trees that survived the drought experiment are being rematriated to restore the tribal lands they were collected from.</t>
  </si>
  <si>
    <t>Sally</t>
  </si>
  <si>
    <t>Luong</t>
  </si>
  <si>
    <t>sluong@sdsu.edu</t>
  </si>
  <si>
    <t xml:space="preserve"> Doctor of Philosophy in Chemistry</t>
  </si>
  <si>
    <t>The generation of an engineered HEK293T cell line bearing mutant NEMO incapable of binding to secondary binding site</t>
  </si>
  <si>
    <t xml:space="preserve">NF-κB is an inducible transcription factor that controls inflammatory gene expression. NF-κB essential modulator (NEMO) is a necessary scaffold subunit of the Inhibitor of NF-κB Kinase (IKK) complex, which is central for the nuclear translocation of NF-κB to induce the inflammatory response and gene expression. Activation of IKK catalytic activity in response to TNF-α and other canonical inducers of NF-κB requires formation of linear polyubiquitin chains and their association with its NEMO subunit. Recent observations suggest that the IKK NEMO subunit, upon noncovalent association with linear polyubiquitin, mediates a second protein-protein interaction with a catalytic IKK subunit, IKK2, and “primes” the complex for activation. In order to investigate the direct involvement of NEMO in promoting catalytically active IKK, we have generated an engineered HEK293T cell line in which NEMO has been mutated to lack its ability to bind to the second protein-protein interaction site. The CRISPR prime editing system was used to mutate the HEK293T cell line and to introduce expression of GFP for selection via flow cytometry. The plasmids used to introduce the mutation were constructed through Golden Gate Assembly. Mutations were verified using Sanger sequencing and western blot. The mutated cell line shows a reduced and delayed response in NF-κB activation compared to the wild-type cell line. </t>
  </si>
  <si>
    <t>Tom</t>
  </si>
  <si>
    <t>Huxford</t>
  </si>
  <si>
    <t>thuxford@sdsu.edu</t>
  </si>
  <si>
    <t>The State of Affairs Surrounding Intersex Genital Mutilation &amp; Gender Affirming Services in Karachi, Pakistan.</t>
  </si>
  <si>
    <t xml:space="preserve">This research utilizes a narrative and discourse analysis to study the processes, practices, technical aspects and cultural politics of intersex genital mutilation and gender affirming services in Karachi, Pakistan. The aim of this project is to delve into the ways in which intersex genital mutilation and gender affirming services are perceived, performed, and experienced by the multiple stakeholders involved in them in Karachi. It examines the realities of people involved as patients, professionals, and activists in this process, and conscientiously moves away from the biomedical paradigm in favor of a post-structuralist lens. Utilizing Berger and Luckmann (1966)’s theory of social constructionism, it highlights the ways through which the medical community (an essential stakeholder of this field) internalizes, externalizes and objectivates a hegemonic narrative (focused on maintaining a rigid sex and gender binary, while othering anyone who falls outside of it) influenced by the patriarchal, heteronormative cultural and conventional Islamic discourses in Pakistan. Using a post-structuralist framework of agency in transgender and intersex identity politics, as well as Bourdieou (1990)’s theory of the habitus, it underscores how members of Pakistan’s transgender community (along with some other stakeholders involved in this field), by adopting an alternative discourse (advocating for gender fluidity and destroying the gender binary structure) are dismantling the hegemonic narratives of Pakistan’s powerful medical community. This is a political project that urges for the medical community’s widespread sensitization and awareness towards transgender healthcare needs in Pakistan. 
</t>
  </si>
  <si>
    <t xml:space="preserve">Dr. Audrey </t>
  </si>
  <si>
    <t>Ginzel</t>
  </si>
  <si>
    <t>aginzel7033@sdsu.edu</t>
  </si>
  <si>
    <t>Critical Studies in Music</t>
  </si>
  <si>
    <t>A Postmodern SMiLE</t>
  </si>
  <si>
    <t xml:space="preserve">The Beach Boys' unreleased album, SMiLE, was intended by songwriter Brian Wilson as a pinnacle of rock music and a "teenage symphony to god." Situated against the backdrop of Los Angeles' 1960s modernism, the songs associated with SMiLE marked a shift into postmodernist aesthetics in Los Angeles' popular music output. Envisioned as the follow-up to their acclaimed album Pet Sounds, the songs composed for SMiLE challenged the limits of pop music as an art form and moved away from the commercialized style associated with the music of Los Angeles in the 1960s. However, the album's troubled history, from being shelved to the release of the uncompleted album Smiley Smile, mirrors Brian Wilson's deteriorating mental health and cultural isolationism. 
This research explores SMiLE in the context of the postmodernist styles of quotation, collage, meta-narrative exploration, cultural and americana aesthetics, and irony. This study explores SMiLE's departure from Los Angeles' modernist musical influences through historical context, as well as lyrical and musical analysis of songs from the 2011 Smile Sessions album, designed as a hypothetically completed SMiLE, including "My Only Sunshine," "The Elements: Fire (Mrs. O'Leary's Cow)," "Our Prayer," "Cabin Essence," "Heroes and Villains," and "Vega-Tables." It also investigates the impact of Wilson's deteriorating mental health on the project and subsequent isolation. This research lies at the intersection of musicological analysis and historical analysis. 
The interplay between postmodernist ideals and the artistic journey of SMiLE reveals its lasting influence on the music and cultural landscape. The research illustrates how these musical factors shaped subsequent popular music in Los Angeles-based bands, reflecting the social and cultural landscape of the 1960s countercultural movement. This study also raises questions about the future utilization of these postmodern musical stylings in genres such as punk and alternative rock in the 1970s.
</t>
  </si>
  <si>
    <t>Nathan</t>
  </si>
  <si>
    <t>Villamor</t>
  </si>
  <si>
    <t>nvillamor8205@sdsu.edu</t>
  </si>
  <si>
    <t>Master of Music in Vocal Performance</t>
  </si>
  <si>
    <t>The Shining Nights of High Summer: Affect in the Composition and Performance of Art Song</t>
  </si>
  <si>
    <t>Music and language are powerful mediums for emotion. Though affect has been studied in depth within and alongside each of these fields, it has only been recently that examinations turned to the arts’ intersection in vocal music. The act of transitioning an affect-laden poem (serving as an “object of power”) into an equally affect-charged melodic line creates a conundrum for emotive interpretation. Adding the performer into the equation further complicates the matter for which source of affect should be the primary interpretation: the poet, the composer, or the performer? This study is an examination of how affect is “accumulated,” “modulated,” and shared through “synchrony” between the various levels of the creation and performance of an art song. The following project is a multi-stage and multi-discipline observation that closely reads James Agee’s poem “Description of Elysium,” harmonically analyzes the art song settings from Samuel Barber and Morten Lauridsen, and concludes with a real-world application of affect theory with interpretations of live performances of each song. This research is foundational for holistically understanding how affect works through the lens of vocal music. The field of vocal affect is ripe for further research, especially in regard to soloisitic performance versus a collaborative singing environment. Both Barber and Lauridsen have versions of their song scored for choir. Is the affect changed between the art song and its choral counterpart through the addition of more voices and the cumulative affect harnessed by a conductor? This exploration into the relationship between affect and vocal music is just scratching the surface of “the shadows on the stars.”</t>
  </si>
  <si>
    <t>Eric</t>
  </si>
  <si>
    <t>Smigel</t>
  </si>
  <si>
    <t>esmigel@sdsu.edu</t>
  </si>
  <si>
    <t>Yassin</t>
  </si>
  <si>
    <t xml:space="preserve">ALHENNAWY </t>
  </si>
  <si>
    <t>yalhennawy4407@sdsu.edu</t>
  </si>
  <si>
    <t xml:space="preserve">General Linguistics /Masters of Arts </t>
  </si>
  <si>
    <t>Voices in Harmony: Exploring Parental Dialectal Variations and First-Generation Children's Language Development in Multicultural Contexts</t>
  </si>
  <si>
    <t>In an increasingly interconnected world, the linguistic environment of multicultural families plays a crucial role in shaping early language development. This research explores the language development of first-generation children born to an Egyptian father and an Iraqi mother, raised in the United States, where the dominant language differs from that of the parents. Focusing on children aged 6 to 36 months, the study investigates how variations in parental dialects influence vocabulary, phonological features, and overall language proficiency. Building on foundational studies, the research draws insights from Mizrahi and Creel's talker identification, Myers-Burg's dialect-specific vocabulary impact, and Schmale et al.'s dialect variation in infants' word recognition. The study aims to contribute to sociolinguistics, inform educational strategies, and support multicultural families facing similar challenges. By understanding the linguistic nuances within these families, the research strives to foster inclusive educational environments and promote successful language acquisition in diverse sociolinguistic contexts. The study's hypotheses anticipate that parental dialectal variations significantly influence children's language acquisition, impacting proficiency in American English, speaking, and writing skills. The outcomes have implications for theoretical models of language acquisition and practical strategies for families navigating multilingual and multicultural environments.</t>
  </si>
  <si>
    <t>Prof. Eniko</t>
  </si>
  <si>
    <t>Csomay</t>
  </si>
  <si>
    <t>ecsomay@sdsu.edu</t>
  </si>
  <si>
    <t xml:space="preserve">Ana Sofia </t>
  </si>
  <si>
    <t>Ana Sofia Montes Aguila</t>
  </si>
  <si>
    <t>amontesaguila4874@sdsu.edu</t>
  </si>
  <si>
    <t>Applied Linguistics</t>
  </si>
  <si>
    <t>Representation of Mexican protests and protesters against attacks on women: a CDA and transitivity analysis to uncover ideology conveyed by news outlets</t>
  </si>
  <si>
    <t>Even though femicides and missing women in Mexico have been on the rise for over a couple of decades, it has not been until recently that women around the country have taken to the streets to protest violence against women. These protests have been covered by the media both nationally and internationally. Yet, the question still stands: how have these news outlets represented the Mexican feminist movement in their coverage of women-led protests against violence? There is a well-established research tradition in discourse analysis that examines ideology and the social construction of reality within newspaper reports. However, these analyses on newspaper reports of protests or of crimes committed against women have focused primarily on headlines. Therefore, this study aims to compare the body of articles from international news outlets and national news outlets, specifically The Guardian (UK), The New York Times (US), and The Washington Post (US), La Jornada (MX) and Proceso (MX) and their portraying of feminist protests in Mexico. With a focus on articles covering the feminist protest held in Mexico City on International Women's Day in 2021, the study employs Critical Discourse power dynamics, ideologies, and the influence of the political contexts of the articles. Critical Discourse Analysis examines how language and its context shape perceptions, while grammatical functional analysis decodes linguistic patterns to provides an in depth understanding of how we depict reality through language. The results highlight significant differences between the articles in English and those in Spanish in the use of material and verbal processes in reporting and their participants. For instance, the analysis of verbal processes reveal a preference for quoting protesters in the English language articles, suggesting a prioritization of the protesters' voices. In the Spanish language articles, on the contrary, no verbal processes belong to the protestors but rather to government officials. The preliminary findings point to a great difference in the role the news outlets give to the feminist protests in their reports.</t>
  </si>
  <si>
    <t>Betty</t>
  </si>
  <si>
    <t>Samraj</t>
  </si>
  <si>
    <t>bsamraj@sdsu.edu</t>
  </si>
  <si>
    <t>Robyn</t>
  </si>
  <si>
    <t>Wilkinson</t>
  </si>
  <si>
    <t>rwilkinson2626@sdsu.edu</t>
  </si>
  <si>
    <t>Masters of Arts in Theatre Arts</t>
  </si>
  <si>
    <t>Melodrama Meltdown: How National Tensions over Legal Slavery Influenced the Characterization of Law and Justice in 1800s Melodrama.</t>
  </si>
  <si>
    <t>In 19th century America, the rising societal chaos that preceded the Civil War contributed to an increasing confusion in the messaging of the melodramatic genre. This confusion was notable, as melodrama was known for formula, rigidity, and strict moral messaging. Yet the phenomenon makes sense given that the inherent tension between law and justice was central to both the subject of legal slavery and the melodramatic form. Accordingly, the relationship between law and justice provides a useful lens from which to analyze the text of early American melodramas. Law and justice went from being synonyms in Gothic melodramas to distinctly separate (often opposed) terms in later slave melodramas, reflecting the widespread societal discord regarding what was just and what was law. By examining melodramas in this way and understanding how the public was talking and thinking about law and justice in the Republican and Antebellum eras, we can better understand the role of melodrama in early American society, the social climate that led to the Civil War, and some of the deeper conflicts at the heart of American identity.
In my paper I take the following course of action to make my argument. First, I characterize the instructive nature of American melodrama and its role in American identity building, both socially and morally. I then show why justice and law are closely linked with the social and moral, arguing that this relationship is what makes justice and law a subject inherently involved in American melodrama. Next, I show changing views of law and justice leading up to the Civil War by analyzing two cornerstones of early American melodramas: William Dunlap’s Fontainville Abbey (1807) from the Republican Period, and Dion Boucicault’s The Octoroon (1859) from the Antebellum Period. Finally, I argue the importance of this method of analysis, as justice, law, and racism still lie at the heart of American identity today.</t>
  </si>
  <si>
    <t>Shelley</t>
  </si>
  <si>
    <t>Orr</t>
  </si>
  <si>
    <t>morr@sdsu.edu</t>
  </si>
  <si>
    <t>Woman, Non-binary/non-conforming</t>
  </si>
  <si>
    <t>Sancia Michael</t>
  </si>
  <si>
    <t>Tauro</t>
  </si>
  <si>
    <t>stauro0491@sdsu.edu</t>
  </si>
  <si>
    <t>Masters of Science in Physics</t>
  </si>
  <si>
    <t>Exploring Defects and Isotopes effects Through Raman Signal in Hexagonal Boron Nitride</t>
  </si>
  <si>
    <t xml:space="preserve">Hexagonal boron nitride (hBN) is actively in use for the research of single photon emission for quantum applications but boron has 2 isotopes and the difference between them cause different results for single photon emission. The defects created in hBN are the powerhouse of single photon emission and I will be observing the changes in it's Raman spectrum. The defects are created through various methods like electron beam irradiation, laser irradiation, Ion beam irradiation but I will specifically be using thermal annealing to induce them. The hBN samples will undergo mechanical exfoliation to acquire hBN flakes and thermal annealing to create defects in them. I will be comparing the Raman results of the hBN with isotopes with the natural hBN and the Raman results of samples that did and didn't go through defect creation. The observation and analysis of the data obtained will be presented. </t>
  </si>
  <si>
    <t>Dr. Sanjay</t>
  </si>
  <si>
    <t>Anger</t>
  </si>
  <si>
    <t>sanger9164@sdsu.edu</t>
  </si>
  <si>
    <t xml:space="preserve">Master's of Science in Astronomy </t>
  </si>
  <si>
    <t>Exploring an Amalgam of Period Finding Techniques</t>
  </si>
  <si>
    <t>Our research is focused on comparing and combining several well-known period-finding techniques. There are inherent strengths and weaknesses in each technique, depending on the morphology and noise character of the input time series data. By combining these techniques, a weakness exhibited in one method is hopefully mitigated by the strengths of another. To determine the best period, we start with the median period calculated from the different methods and apply a half/double period correction to each technique's best estimate, and then compute the mean of the results, omitting any outliers. To probe the effectiveness of these methods, We created sets of synthetic data based on three distinct time series: a sinusoid, a transiting planet light curve, and a radial velocity curve for an eccentric binary, and varied their periods relative to their duration. We then degrade the data in two separate ways: by increasing both the levels of Gaussian white noise and/or data gaps. For each method, the relative error of the period is displayed in a 2 dimensional grid, with axes of increasing noise and increasing data gaps. We compare the resulting images to gain a better understanding of which method is likely to work best, or worst, under the varying conditions. Our ultimate goal is to provide an automated tool for robustly measuring periodicity under a wide variety of realistic conditions.</t>
  </si>
  <si>
    <t>Spalding</t>
  </si>
  <si>
    <t>pspalding3084@sdsu.edu</t>
  </si>
  <si>
    <t>Master of Science in Astronomy</t>
  </si>
  <si>
    <t xml:space="preserve"> A Search for Additional Planets in Kepler-16 and Kepler-34</t>
  </si>
  <si>
    <t>Out of the fourteen eclipsing binaries known to host a transiting circumbinary planet, only two of them show strong evidence of additional planets, namely Kepler-47 and TOI-1338 (Doyle et al., 2011; Kostov et al., 2014, 2016, 2020; Orosz et al., 2012, 2019; Standing et al., 2023; Welsh et al., 2012, 2015). Analysis of transiting circumbinary systems provides an opportunity to study planetesimal accretion, migration, and secular dynamics of short period exoplanets in the context of binary star environments. This analysis not only helps us understand these unique systems, but allows us to better comprehend the formation and evolution of planetary systems as whole.
Here we present updated parameters for the Kepler-16 and Kepler-34 circumbinary systems. We use archival photometric data not available in previous characterizations, particularly new data from the TESS mission, increasing the time span of the data to over a decade. This increased time baseline gives us more sensitivity to small Eclipse Timing Variations (ETVs) caused by the planet. We use the Eclipsing Light Curve (ELC) photodynamical modeling code (Orosz &amp; Hauschildt 2000) to update the solutions assuming a three-body model. We then add a second planet that orbits outside the known transiting planets to the model and explore parameter space with a hybrid code that combines features of a genetic algorithm and a nested sampling algorithm. We present our results and give limits on the mass of an additional planet as a function of its orbital period.</t>
  </si>
  <si>
    <t>Jerome</t>
  </si>
  <si>
    <t>Orosz</t>
  </si>
  <si>
    <t>jorosz@sdsu.edu</t>
  </si>
  <si>
    <t>Nowshin</t>
  </si>
  <si>
    <t>nnawar5805@sdsu.edu</t>
  </si>
  <si>
    <t>Geography</t>
  </si>
  <si>
    <t>Influences of Tree Mortality on Fire Intensity and Burn Severity for a Southern California Forest Using Airborne and Satellite Imagery</t>
  </si>
  <si>
    <t>Wildland fires commonly occur in southern California and are agents of large-scale disturbance to forest and chaparral ecosystems. Pre-fire tree mortality may influence fire behavior and postfire burn severity, by altering the rate of spread and intensity of the fire due to the dead trees containing dry woody fuels and creating ladder fuels that enable crown fires in forests. The aim of this research was to use high spatial resolution (1.6 m) airborne multispectral orthoimages to detect and map pre-fire dead trees for a portion of San Bernardino Mountains, where the ‘Old Fire’ burned in 2003, and assess whether spatial patterns of fire intensity and burn severity coincide with patterns of tree mortality. Dead trees were mapped using pre-fire aerial imagery through a hybrid deep learning classified and manual editing approach applied to four-band visible/near infrared orthoimages and facilitated with Google Earth Pro historical images. Fire intensity estimates were derived from maximum apparent temperature values from FireMapper airborne thermal infrared imagery (6.9 m) captured during the Old Fire. Burn severity was mapped and analyzed using postfire Normalized Burn Ratio index maps derived from Landsat 5 satellite imagery (30 m) different. The degree of spatial correspondence between the dead tree density with fire intensity and burn severity was analyzed using graphical and statistical analyses. Preliminary results suggest a high degree of spatial association between the three variables in the context of the Old Fire. The initial findings suggest that areas impacted by pre-fire tree mortality were subject to high fire intensity, followed by severe burn effects.</t>
  </si>
  <si>
    <t>Douglas</t>
  </si>
  <si>
    <t>Stow</t>
  </si>
  <si>
    <t>stow@sdsu.edu</t>
  </si>
  <si>
    <t>Physical and Mathematical Sciences 2</t>
  </si>
  <si>
    <t>Glorya</t>
  </si>
  <si>
    <t>Escobar</t>
  </si>
  <si>
    <t>gescobar7938@sdsu.edu</t>
  </si>
  <si>
    <t>Masters of Science in Civil Engineering with a concentration in Environmental Engineering</t>
  </si>
  <si>
    <t>Assessing the Capabilities of a Real-time, Portable Fluorometer to Track Sewage Inputs in Urban Creeks</t>
  </si>
  <si>
    <t>Leaks in aging sewage infrastructure and overflows of septic tanks and sanitary sewer pipes have been identified as principal sources of fecal contamination in urban waterways and responsible for high fecal bacteria indicator (FIB) levels in beaches after rain events. While fluorescence spectroscopy has been successfully used to monitor anthropogenic, microbial sources of dissolved organic matter (DOM); this study finds that certain environmental and site conditions may limit the capabilities of portable fluorescence spectroscopy to locate sewage inputs. The fluorescence profiles of DOM compounds, including aromatic amino acids (e.g. tryptophan (ex285,em350)) and chromophoric dissolved organic matter (CDOM (ex325,em(420:480)), are well-documented, facilitating their identification. Previous storm water studies have demonstrated that sewage contains bacteria and other compounds that have tryptophan-like fluorescence, and that a strong correlation exists between tryptophan-like fluorescence intensity and the total aerobic bacteria counts and total coliforms during storm events. However, in this study, adequate regressions were not found for discrete samples collected at storm sewers and open channels located along three tributaries within two distinct watersheds in a densely urbanized environment. Subsequent laboratory experiments to assess the degradation of tryptophan and CDOM fluorescence showed a significantly more rapid degradation of fluorescence intensity in samples that were exposed to continuous light versus maintained in the dark, suggesting that hydraulic residence time in open channels and environmental conditions may be critical limitations when using portable fluorescence in spatial studies. This research attempts to characterize conditions in which portable fluorescence spectroscopy may not serve as a reliable measure of FIB in urban streams and has important implications for watershed managers faced with sewage contamination in urban environments.</t>
  </si>
  <si>
    <t>Yuichiro</t>
  </si>
  <si>
    <t>Tobita</t>
  </si>
  <si>
    <t>ytobita@sdsu.edu</t>
  </si>
  <si>
    <t>Masters of Science Aerospace Engineering, Aerodynamics</t>
  </si>
  <si>
    <t xml:space="preserve">Flow quality survey of the SDSU Low Speed Wind Tunnel test section using planar PIV </t>
  </si>
  <si>
    <t>The San Diego State University Low-Speed Wind Tunnel, built in 1961 has been used by many students and faculty members over time for conducting research projects and for carrying our instructional labs for students. Classic methods of wind tunnel flow quality characterization involve using a pitot rake array and turbulence sphere, which could characterize mean flow uniformity and estimate the turbulence factor, respectively. However, classical methods fall short of the ability to measure the lateral velocity components and the Reynolds stress distributions  across the wind tunnel test section. In this research, Planar Particle Image Velocimetry (PIV) technique is used to  measure the flow velocity and Reynolds stress distribution across the wind tunnel test section. Sample regions of the measurement include the wind tunnel's freestream flow region and the wind tunnel's wall boundary layer. The freestream speed of the tunnel for the measurements is set to be 45m/s, which is the same speed to be employed for the experiment with the Prandtl-D flying wing. PIV image processing will be carried out using LaVision’s DaVis 10 software, with which the PIV image pairs captured from the experiment can be processed to obtain the velocity vector field based on the measured displacement of the seeding particles. In the experiment, the distributions of the time-averaged flow velocity, the Reynolds normal and shear stresses, and the turbulence intensity profiles in the wind tunnel test section will be obtained. The empty wind tunnel test section flow survey will not only enable a detailed quantitative assessment of the freestream flow quality of the SDSU wind tunnel test facility, but also provide the needed initial flow conditions for carrying out numerical simulations of the flow past the experimental models such as the Prandtl-D flying wing.</t>
  </si>
  <si>
    <t>Xiaofeng</t>
  </si>
  <si>
    <t>xiaofeng.liu@sdsu.edu</t>
  </si>
  <si>
    <t>Erika</t>
  </si>
  <si>
    <t>Dunning</t>
  </si>
  <si>
    <t>edunning6450@sdsu.edu</t>
  </si>
  <si>
    <t>A Search for Circumbinary Planets Using Recent TESS Data</t>
  </si>
  <si>
    <t>About half of the stellar systems in the Milky Way galaxy have two stars (the binary star systems) or sometimes three or more stars (e.g. triple stars, quadruple stars, etc.).   In spite of the large number of binary systems nearby the Sun, the vast majority of the ~5500 known exoplanets reside in single-star systems.  Presently, there are less than two dozen known exoplanets that orbit a binary star system---such planets are known as circumbinary planets (CBPs).  NASA's Transiting Exoplanet Survey Satellite (TESS) is conducting a comprehensive all-sky photometric survey to find planets via the transit method:  if the exoplanet has a nearly edge-on orbit about its host star (or host binary star) as seen from Earth, then that planet will block a small part of the light from the star every orbit as seen from Earth.   We have begun a project to find signatures of CPBs in the TESS data, and in this presentation we will outline the methods we use and give a progress of the results to date.</t>
  </si>
  <si>
    <t>Turchiano</t>
  </si>
  <si>
    <t>cturchiano1590@sdsu.edu</t>
  </si>
  <si>
    <t>Doctoral/Chemistry</t>
  </si>
  <si>
    <t>Plasmon-promoted CO2 reduction in amine-CO2 adducts</t>
  </si>
  <si>
    <t>Mankind emits over 37 billion tons of CO2 per year into the atmosphere where it is expected to remain for upwards of 400 years. While many efforts are directed towards reducing the amount of CO2 we emit, fewer strategies exist to make use of the CO2 rather than simply allowing it to slowly assimilate into the biosphere. CO2 can be electrochemically reduced to value-added products under various conditions. In particular, recent investigations have demonstrated that amine-based solvents capture gaseous CO2 and "transport" it to an electrochemical interface for more efficient reduction. The reduction reaction products can then be liberated by applying heat to the solution. We hypothesize that a plasmonic substrate can further improve the efficiency of the CO2 reduction reaction through plasmonic photothermal heating, wherein heating occurs only at the reaction interface. The ability to localize and restrict heating is desirable as it may reduce or eliminate the need to heat bulk quantities of solution, thus lowering energy demands and improving the reaction efficiency.</t>
  </si>
  <si>
    <t>Pullman</t>
  </si>
  <si>
    <t>dpullman@sdsu.edu</t>
  </si>
  <si>
    <t>Harrison</t>
  </si>
  <si>
    <t>Pearce</t>
  </si>
  <si>
    <t>hpearce@sdsu.edu</t>
  </si>
  <si>
    <t>Joint Doctoral Program/Chemistry</t>
  </si>
  <si>
    <t>TDDFT study of the absorption spectra of tricyclic cytosine derivatives</t>
  </si>
  <si>
    <t xml:space="preserve">Fluorescent probes are molecules that change their photophysical properties (brightness, absorption wavelength, etc) in response to their surroundings. They are valuable in biochemistry research, where they can reveal single nucleotide polymorphisms and show the interaction of DNA with DNA and proteins in real time. The family of tricyclic cytosine (8 substituted 1,3-diaza-2-oxo-phenothiazine (R-tC) and 8 substituted 1,3-diaza-2-oxo-phenooxazine (R-tCo)) compounds is of particular interest, because their brightness can increase or decrease in response to base pairing with guanine and as individual monomers, depending on the presence of an electron donating or electron withdrawing group attached. DEA-tC displays up to a 20-fold fluorescence turn-on response in response to base pairing, giving it the potential to be extremely useful in in-vivo and in-vitro studies. tC and tCo can both be incorporated into cells, and tC, despite being cytotoxic over a longer period of time, has successfully been incorporated in metabolic labeling to great effect, allowing for the study of RNA metabolism and location. Both DEA-tC and tC can be incorporated into DNA with reverse transcriptase. Unfortunately, DEA-tC is more cytotoxic than tC, and despite its increase in brightness upon base pairing, DEA-tC isn’t very bright as a monomer. 
The goal of this study is to provide a first step in understanding how to model the fluorescence turn-on effect of DEA-tC, so that brighter and less cytotoxic analogues of it can be developed. As a first step to understanding the behavior of the R-tC(o) compounds, we perform in silico calculations of the UV-visible spectra using time-dependent density functional theory (TD-DFT) in mixed explicit and implicit solvents. These solvents are water and 1,4-dioxane. Density functionals used include B3LYP, PBE0, and wB97XD and they are compared across a variety of basis sets. We create a protocol for the placement of water molecules in the calculation of the UV-Visible spectrum of the R-tC(o) compounds for reasonable accuracy. In the future, the emission spectra will be calculated with the same protocol.
</t>
  </si>
  <si>
    <t>JT</t>
  </si>
  <si>
    <t>Markham-Adkison</t>
  </si>
  <si>
    <t>jmarkhamadkiso0597@sdsu.edu</t>
  </si>
  <si>
    <t>Spectropolarimetry of Type Ia Supernovae: An investigation of the Si II 6355 Feature in SN 2018gv</t>
  </si>
  <si>
    <t xml:space="preserve">Type Ia Supernovae (SNe Ia) represent the explosions of very small and dense stars known as white dwarfs, but the details of how the star explodes remains the subject of considerable debate. The various origin models and methods of ignition result in different shaped ejecta and/or distributions of material. By observing the polarization of SNe we can gather insight into the geometry of these explosions. A key diagnostic that appears to be correlated with other SN Ia properties is the change in polarization observed across the most prominent spectral feature, the Si II 6355 Å absorption feature. To investigate this, we are undertaking a systematic analysis of this feature in a uniformly obtained sample of SNe Ia observed at multiple epochs as part of the Supernova Spectropolarimetry (SNSPOL) Project [1] which gathered data from 2010-2018, using the CCD Imaging/Spectropolarimeter (SPOL) on the 61" Kuiper, 6.5 m MMT, and 90" Bok telescopes. Here we present a preliminary analysis of the Si II feature in a particularly well-observed object from our sample, SN 2018gv, and present 10 epochs of data spanning from 10 days before, to 22 days after, peak light. We compare our SNSPOL data near maximum light with complementary data presented by Yang et al. [2].
This work was supported by NSF grants AST-1210311 and AST-2010001, and NASA grant NNX15AU81G. References: [1] Hoffman, J. L., et al. 2017, in IAU Symp., 329, The Lives and Death-Throes of Massive Stars, ed. J. J. Eldridge et al.  (Cambridge: Cambridge Univ. Press), 54.  [2] Yang et al. 2020, ApJ, 902. 
</t>
  </si>
  <si>
    <t>Leonard</t>
  </si>
  <si>
    <t>dleonard@sdsu.edu</t>
  </si>
  <si>
    <t>MINGYUE</t>
  </si>
  <si>
    <t>ZHANG</t>
  </si>
  <si>
    <t>mzhang4113@sdsu.edu</t>
  </si>
  <si>
    <t>PhD/JDP of Structrual Engineering</t>
  </si>
  <si>
    <t>Ultrasonic Guided Waves Scattering Spectra by Hybrid Global-Local Modeling for NDE in Composites with Varying Defect Features</t>
  </si>
  <si>
    <t xml:space="preserve">Efficient non-destructive evaluation of composite structures can be achieved by accurately and rapidly characterizing and monitoring defects using ultrasonic guided waves (UGWs). However, the intricate interaction between UGWs and complex structures poses a significant challenge. This study employs a hybrid numerical method (i.e. Global-local) to investigate the influence of various defect types on ultrasonic guided wave scattering in composite plates.
Through analyses over a broad frequency range, the energy spectra of transmitted and reflected waves in defected composite plates are explored. Parametric analyses of defect type, dimensions and locations reveal trends in the influence of specific defect features on scattering behavior. The research emphasizes the importance of analyzing the scattering spectra across a wide frequency spectrum for a correct implementation and interpretation of inspections.
Utilizing the hybrid Global-local method, the findings underscore the potential for effective defect characterization and monitoring. The insights obtained from parametric analyses offer a precise understanding of how defect dimensions and locations affect scattering behavior. This research contributes to the field by providing an efficient computational framework for analyzing ultrasonic guided wave interactions with defects in composite structures, advancing the potential for rigorous quantitative NDE and defect identification.
</t>
  </si>
  <si>
    <t>Margherita</t>
  </si>
  <si>
    <t>Capriotti</t>
  </si>
  <si>
    <t>mcapriotti@sdsu.edu</t>
  </si>
  <si>
    <t>Evan</t>
  </si>
  <si>
    <t xml:space="preserve">Pruitt </t>
  </si>
  <si>
    <t>epruitt2406@sdsu.edu</t>
  </si>
  <si>
    <t xml:space="preserve">Masters of Science Aerospace Engineering </t>
  </si>
  <si>
    <t xml:space="preserve">Atomization Feature Identification Tracking and Analysis </t>
  </si>
  <si>
    <t xml:space="preserve">Atomization is the breakup of a material into small pieces. This process is important in the application of chemical reactors, agricultural sprays, medical nasal sprays, and rocket engine injectors. Visualizing and quantitatively analyzing the performance of atomizers is challenging because of the small scale, rapid nature, and complex interplay of multi-phase flow dynamics. Using state-of-the-art high speed imaging and our novel image analysis software (AFITA) we bring the ability to identify, track, and analyze the atomization process. This technology can be used in the development of more effective atomizers in the chemical, agricultural, medical, and aerospace industries. </t>
  </si>
  <si>
    <t>Zainab</t>
  </si>
  <si>
    <t>Afzali Kusha</t>
  </si>
  <si>
    <t>zafzalikusha@sdsu.edu</t>
  </si>
  <si>
    <t>Masters in Computational Science</t>
  </si>
  <si>
    <t>Evaluation Of Unmanned Aerial Systems (UAS)-Related Drivers’ Distraction Using Eye Tracker Data And EEG Signals</t>
  </si>
  <si>
    <t>Distracted driving poses a significant threat to traffic safety improvement, diverting drivers’ attention and compromising vehicle control. While previous research has focused on the impact of distractions on driving performance, little is known about how brain activity is affected in these situations. This study aims to compare driver distractions caused by Unmanned Aerial Systems (UAS) and those stemming from existing work zone-based road closures utilizing Under Bridge Inspection Trucks (UBIT).
By leveraging Electroencephalography (EEG) and eye tracker signals, the research seeks to identify instances of heightened distraction and determine the safest technology for construction activities on roadways. Building on prior work that utilized an eye tracker to measure driver distraction in the presence of UAS, this project employs EEG and eye tracker signals to analyze driver distraction during UAS-induced visual disturbances.
With the participation of 100 healthy volunteers across different scenarios and conditions, this study will measure and analyze drivers’ EEG responses and eye tracker signals to provide comprehensive insights into the nature of driver distractions. This research seeks to understand the situations in which drivers experience increased distraction and determine the most suitable and safest technology for engineering and construction purposes on roadways.</t>
  </si>
  <si>
    <t>Reza</t>
  </si>
  <si>
    <t>Akhavian</t>
  </si>
  <si>
    <t>rakhavian@sdsu.edu</t>
  </si>
  <si>
    <t>Brandon</t>
  </si>
  <si>
    <t>Huffman</t>
  </si>
  <si>
    <t>bhuffman@sdsu.edu</t>
  </si>
  <si>
    <t>Masters of Science in Mechanical Engineering</t>
  </si>
  <si>
    <t>Material Hybridization for Tunable Performance of 3D Printed Lattice Structures</t>
  </si>
  <si>
    <t>Continuous introduction of photocurable resins for vat-photopolymerization (i.e., 3D printing) technology paired with the accessibility of reinforcing particulates unlocks the potential for new and improved composite materials. Integrating particulates with the polymer matrix hinders proper fabrication since their presence alters the interaction between light and resin, affecting the quality of the resulting prints. This project aims to reveal the process-structure-property relationship of compliant photocurable resins and glass microballoons to achieve tunable structural behavior of triply periodic minimal surface (TPMS) structures. Tensile and compressive samples with various ratios of reinforcing particles are printed and characterized to assess the mechanical properties of the newly synthesized hybrid resins. Digital image correlation (DIC) is integrated into mechanical testing to ascertain the uniformity of the full field strain state, irrespective of local inhomogeneities due to the introduction of the reinforcing particles. Three TPMS structures (Schwarz Diamond, Schwarz Primitive, and Gyroid) are generated using open source software and are subsequently 3D printed using the newly synthesized and characterized materials. Each TPMS structure was prudently chosen based on its unique mechanical attributes: energy absorption and strength. The 3D printed structures were characterized under multiple loading scenarios to investigate the effect of strain rate on the mechanical response. The findings of this research reveal the potential of 3D printable sports gear for impact mitigations in various bio-mechanical loading scenarios.</t>
  </si>
  <si>
    <t xml:space="preserve">Ramin </t>
  </si>
  <si>
    <t>Sarange</t>
  </si>
  <si>
    <t>rsarange3987@sdsu.edu</t>
  </si>
  <si>
    <t>PhD in Structural Engineering Sciences (JDP)</t>
  </si>
  <si>
    <t>Mass Timber-Concrete Footing Connections with Ductility</t>
  </si>
  <si>
    <t>The introduction of Cross-Laminated Timber (CLT) as a building material in North American construction has brought forth a range of advantages, including sustainability, ease of construction, and impressive structural properties. CLT panels, composed of layers of lumber boards stacked crosswise and glued together, have shown resilience and minimal damage in seismic events. However, the seismic performance of CLT buildings heavily relies on the connections within the structure, playing a crucial role in achieving the required stiffness, strength, and ductility.
The seismic performance of connections in CLT structures involves two mechanisms for energy dissipation during earthquakes. Low-intensity earthquakes are addressed through frictional effects and structural viscous damping, while mid- and high-intensity earthquakes involve plasticization of mechanical connections. Traditionally, the focus has been on prescribing tension for hold-downs and shear for angle brackets. Yet, the interaction between shear and axial tensile forces in connections may significantly impact their capacity in terms of strength, stiffness, and ductility.
Hold-downs, a critical component in CLT structures, consist of screws/nails connecting them to CLT panels, a metal base plate, and anchors. The current design mechanism aims for failure in screws/nails, which have lower energy dissipation capacity than anchors. The main objective of the project is to develop ductility in hold-down connections within CLT shear wall systems. This involves considering anchor type and stretch length mechanisms to enhance post-yield behavior, rotation capacity, and ultimate strength.
However, challenges arise in anchor selection and stretch length, impacting post-yield behavior and ultimate strength. Each component of the connection has its own ductile capacity, and failure is influenced by the relative stiffness of each component. The study aims to develop "Capacity Based Design" principles to achieve the desired ductile anchor failure mode.
The next steps involve performing full-scale tests of CLT wall-footing systems to observe and investigate the real behavior of hold-down connections. Additionally, a numerical model will be developed to capture the performance of hold-down connections with a ductile mechanism, using experimental data for validation. This comprehensive approach aims to advance the understanding and application of CLT in seismic-prone regions, contributing to the overall resilience and safety of timber structures.</t>
  </si>
  <si>
    <t>Gloria</t>
  </si>
  <si>
    <t>Faraone</t>
  </si>
  <si>
    <t>gfaraone@sdsu.edu</t>
  </si>
  <si>
    <t>Anil</t>
  </si>
  <si>
    <t>Singh</t>
  </si>
  <si>
    <t>asingh0362@sdsu.edu</t>
  </si>
  <si>
    <t>MSME</t>
  </si>
  <si>
    <t>Mechanical Properties of Additively Manufactured Fiber-Reinforced Composites</t>
  </si>
  <si>
    <t xml:space="preserve">Additive manufacturing (3D printing) with multi-degree-of-freedom robotic platforms enables the realization of fiber-reinforced composites with unparalleled design flexibility, facilitating engineered layup schedules. The need for application-ready, 3D printed components requires extensive characterization to reveal the process-property interrelationships as a function of fabrication parameters. Therefore, the objective of this research is to explore the process-property interrelationships of additively manufactured, continuous fiber-reinforced polymer matrix composites. The approach hinges on using a novel, advanced robotic printing system with a large printing envelope as a function of a broad range of processing parameters. The efficacy of the fabrication process is evaluated by quantifying the discrepancies between the desired geometry and the realized part, including manufacturing defects and geometrical intolerances. The flexural properties of the material are assessed in terms of stiffness, strength, and failure mechanisms. The latter is supplemented by micrograph analyses using optical and electron microscopy. Finally, digital image correlation (DIC) is used to resolve the full field of the kinematic variables throughout the tested samples. The outcomes of this research help define the design envelope of this novel class of material. </t>
  </si>
  <si>
    <t>3:00 PM</t>
  </si>
  <si>
    <t>Matalino</t>
  </si>
  <si>
    <t>Lorenzo</t>
  </si>
  <si>
    <t>mlorenzo9968@sdsu.edu</t>
  </si>
  <si>
    <t>Bachelor of Arts in Psychology</t>
  </si>
  <si>
    <t>THE AFTERMATH OF ‘SCOUT ME IN’ - What Happened After the Inclusion of Girls in the Boy Scouts of America (BSA)? - An Ethnographic Case Study of Organizational Change</t>
  </si>
  <si>
    <t>Scout used to mean the one on watch for the rest. Now it is a term ubiquitous with the World Scouting Movement, more specifically with Boy and Girl Scouts in America. As a Scout myself, I have watched members of the Boy Scouts of America (BSA) struggle to maintain their values of brotherhood and acceptance in the face of wider societal and organizational change. This includes the organization’s 2019 acceptance of female individuals into its core programs. The purpose of this project is to examine the current state of affairs in a post-opening BSA. Through the use of interviews and auto-ethnographic methods, I uncovered narratives of resistance, struggle, and resilience from current members of the BSA. Analysis suggests that perceptions of organizational support and listening, as well as pro-active leadership from change-agents, are key to effective organizational change initiatives.</t>
  </si>
  <si>
    <t>Freed</t>
  </si>
  <si>
    <t>hfreed8311@sdsu.edu</t>
  </si>
  <si>
    <t>Bachelor of Arts in Music and Bachelor of Arts in Psychology</t>
  </si>
  <si>
    <t>Robert Schumann: Mental Health and Musical Creations</t>
  </si>
  <si>
    <t>The connection between mental health perspectives, musical creations, and musicology are inextricably intertwined, exemplified in the study of Robert Schumann whose struggles with mental health are well documented. Although the exact nature of Schumann’s mental health diagnosis is unknown, there are many later diagnoses for conditions of which he may have been displaying symptoms. Due to ethical concerns diagnosing Schumann with a particular illness, this study only views Schumann’s creative output through a lens of a contemporary mental diagnosis, schizophrenia. By viewing specific characteristics in Schumann’s compositions and music criticism as manifestations of mental health symptoms, numerous resemblances to schizophrenia can be seen in his creative output. Schumann scholars have approached his musical output from numerous perspectives. James Deaville illustrates the contested term “madness” is directly correlated towards musicians, and in Schumann’s time, the social stigma associated with medical conditions–especially mental health conditions–impacted the reception of a composer’s work. Robert Bota and Jessica Galant-Swafford explain how musical hallucinations are related to numerous health complications. While many view Schumann’s musical stylistic choices–such as fragmentation and irregular rhythms–as madness, Yiyi Chen illustrates these aspects were purposeful musical qualities integrated from German Romantic aesthetics. In Schumann’s composition Mӓrchenbilder Op. 113, known as the “Fairy Tale Songs,'' numerous characteristics, including energetic rhythms and dynamic contrasts, stand out as reflections of Schumann’s private mental space. In addition to his compositions, Schumann’s writing–published and in personal journals–exhibits fragmentation and hallucination symptoms. Cross-analyzing research relating to Robert Schumann’s creative musical experiences allows for the opportunity to better understand the relationship between mental health perspectives and musical creative output. Instead of diagnosing historical figures such as Robert Schumann, this research opens the discussion for the development of music therapy research, practices, and treatment for mental health disorders.</t>
  </si>
  <si>
    <t>Reinterpreting Narratives about Black Power: Racism, Resistance, and Survival</t>
  </si>
  <si>
    <t>Driven by the quest for justice, equality, and empowerment, Black Power organizations emerged during pivotal periods in history. Yet, Black Power advocates are oftentimes labeled as radical, militant, and sexist, affecting popular opinion and generating fear in the proletariat. These narratives fail to capture their goals, experiences, and historical contributions. By focusing on Black Power through a lens of survival under systemic oppression and racial capitalism and by delving into their ideologies, which often encompassed self-determination, community empowerment, and cultural affirmation, this paper will challenge these common narratives about Black Power organizations. Specifically, it seeks to examine and dispel common misconceptions surrounding the Nation of Islam (NOI) and the Black Panther Party (BPP), two key Black Power organizations of the twentieth century, acknowledging how media and historical narratives sensationalized their confrontational aspects while neglecting the broader socio-political context. The paper will explore their rejection of racial subjugation and economic exploitation and shed light on their strategies of challenging systemic oppression by considering their use of direct action, community organizing, and advocacy as crucial tools of resistance. This paper is also attentive to the complexities and controversies surrounding the NOI and BPP, acknowledging both internal and external challenges they faced that limited the building of power. It also discloses that Black Power organizations are not monolithic entities, emphasizing the diversity of approaches and perspectives and examining how these organizations evolved over time in response to changing social and political landscapes. By unraveling misinterpretations about the NOI and BPP, this paper contributes to a nuanced understanding of racial and economic justice movements in contemporary society.</t>
  </si>
  <si>
    <t>Esra</t>
  </si>
  <si>
    <t>Tunc</t>
  </si>
  <si>
    <t>etunc@sdsu.edu</t>
  </si>
  <si>
    <t>Curiel</t>
  </si>
  <si>
    <t>ecuriel8550@sdsu.edu</t>
  </si>
  <si>
    <t>Criminal Justice</t>
  </si>
  <si>
    <t>The Phenomenon of Deviance</t>
  </si>
  <si>
    <t>Why and how does the process of criminality occur? What demographic in America is most susceptible to this stigma? Is there a single cause contributing to illegal activity? Will there ever be a panacea to this primitive social pandemic? All of these inquiries pre-date challenges humanity has strived to resolve since the foundation of ethics in society. In this work study, we will explore the diversity in backgrounds present in the American Justice System concerning the paths of crime pursued. Over the progression of years, various theorists, sociologists, philosophers, and scientists have each contributed to developing theories that elucidate the underlying cause of illicit behavior among individuals in the community. Meanwhile, mainstream media sullenly presents these theories when political initiatives advocate a distinctive approach to legal sanctioning. Thus, American society remains virtually incognizant of the theories encompassing deviant behavior. Subsequently, disputes concerning the ideal method to react to criminal offenses continue to characterize a static ambivalence in America’s discussions today. Embodying this research is the manifestation of the significance of criminal theories in real practice to the experience of individuals in the Criminal Justice System. Specifically, perceptions of the essential figures comprising our justice system will be interviewed to ascertain relativity to any criminological theories postulated by prominent schools of criminology. Ultimately, the discovery of the most correlation to the theories of criminology will maintain the primary motive for this experiment.</t>
  </si>
  <si>
    <t>Sambuddha</t>
  </si>
  <si>
    <t>Ghatak</t>
  </si>
  <si>
    <t>sambuddha.ghatak@sjsu.edu</t>
  </si>
  <si>
    <t xml:space="preserve">Nix </t>
  </si>
  <si>
    <t>snix2808@sdsu.edu</t>
  </si>
  <si>
    <t>Communication</t>
  </si>
  <si>
    <t xml:space="preserve">Does Fair Exist? - A Case Study on Ethics, Decision-Making, and Leadership in the 9/11 Victim Compensation Fund as Shown in the Film “Worth” </t>
  </si>
  <si>
    <t>This presentation delves into the impacts of ethical leadership and the decision-making processes of organizations during crises, using the 9/11 Victim Compensation Fund (VCF) as a case study. Established post-9/11, the VCF aimed to financially compensate victims and their families, with Kenneth Feinberg, the special master of the Fund, determining the monetary value assigned to each life affected. The analysis focuses on the Fund's success, attributing it to elements such as rationality, bureaucracy, decision-making, stakeholder interests, and ethical leadership amid moral ambiguity. By examining organizational communication aspects, including Herbert Simon's concept of "satisficing," the case study reveals a harmonious integration of rationalism with emotional considerations. The Fund's achievements are further linked to empathetic, transparent, and candid communication with the public and stakeholders. Notably, the transformation of the Fund's leader from a transactional to a more transformational style played a pivotal role in its success. The research emphasizes that the Fund's effectiveness is intrinsically tied to ethical considerations embedded in its leadership and decision-making processes. This case study highlights the importance of ethicality in navigating complex situations, emphasizing the need for leaders to embrace a transformational approach, integrate rational and emotional elements, and communicate openly with stakeholders. The success of the 9/11 VCF serves as a compelling illustration of how ethical leadership can positively influence decision-making in times of crisis, ultimately fostering organizational resilience and success.</t>
  </si>
  <si>
    <t xml:space="preserve">Tiffany </t>
  </si>
  <si>
    <t>Dykstra-DeVette, PhD</t>
  </si>
  <si>
    <t>Lacher</t>
  </si>
  <si>
    <t>alacher7414@sdsu.edu</t>
  </si>
  <si>
    <t>Mathematical Economics</t>
  </si>
  <si>
    <t>The Effect of Ethnic Discernment on Exogamy in the US</t>
  </si>
  <si>
    <t xml:space="preserve">What factors influence the decision by immigrants to marry within or outside of their ethnic group? I attempt to answer this question by using data from the 2008-2016 American Community Survey. This datasource allows for improved estimation of the determinants of endogamy as it includes information on the year in which an immigrant married. I am thus able to restrict my sample to individuals who migrated to the US as adults, but did not get married until after they arrived. This is a significant improvement over the existing literature, which primarily looks at migrants who arrived in the US before they were of marriage age. Given childhood formation of preferences, the determinants of intermarriage are likely to differ between these two groups. I find strong evidence of assortative matching in education for immigrants. Educated immigrants are more likely to intermarry when they come from relatively less educated communities, while intermarriage rates fall for education migrants coming from relatively better educated communities. In addition, culture appears to play a large role, with East and South Asian migrants being the least likely groups to intermarry, even after controlling for observable characteristics like education and exposure to natives. This could be attributed to major shifts in the racial composition of immigrants post-1965. By constructing a series of unique ethnic identities derived from census data, exogamy can be redefined to better predict marriage market behavior across migrant and native populations. 
</t>
  </si>
  <si>
    <t>Hisham</t>
  </si>
  <si>
    <t xml:space="preserve">Foad </t>
  </si>
  <si>
    <t>hfoad@sdsu.edu</t>
  </si>
  <si>
    <t>Jorge</t>
  </si>
  <si>
    <t>Arana</t>
  </si>
  <si>
    <t>jarana5332@sdsu.edu</t>
  </si>
  <si>
    <t>MA in English</t>
  </si>
  <si>
    <t>Cognitive Approaches to Literature</t>
  </si>
  <si>
    <t xml:space="preserve">Emerging research in the nascent field of neuroscience has provided frameworks with which to study reader's physiological response to text and aesthetics in literature. The advent of this research has provided a scholarly space in which researchers of the humanities may engage in cognitive approaches to literature. This literary review focuses on collecting the historical body of interdisciplinary scholarly research that studies readers’ neural response to literature, from Shakespeare and Harold Bloom to reader-response theory and modern fMRI scans of brain activity during reading. Further, the review covers scholarly work that studies consciousness in the novel and places it in the context of existing neuroscience to begin developing a theoretical framework with which to study the relationship between aesthetics in literature and brain science. This literary review elucidates the neural processes of creating and experiencing literature and proposes that cognitive approaches to literature and research into text neuro-aesthetics are indispensable to future literature study, as they explore the subtleties that interconnect readers to reading, and advance the research on the mysteries of human development as it relates to the advent of writing and narrative.
</t>
  </si>
  <si>
    <t>Jeanette</t>
  </si>
  <si>
    <t>Shumaker</t>
  </si>
  <si>
    <t>Shea</t>
  </si>
  <si>
    <t>O'Donnell</t>
  </si>
  <si>
    <t>sodonnell3153@sdsu.edu</t>
  </si>
  <si>
    <t>Master of Arts in Psychology</t>
  </si>
  <si>
    <t>The Impact of Adverse Childhood Experiences on the Experience of Living with Endometriosis</t>
  </si>
  <si>
    <t xml:space="preserve">Endometriosis affects an estimated one in ten people assigned female at birth (AFABs) worldwide (WHO, 2021), yet it remains understudied. In this study, I examine the impact of adverse childhood experiences (ACEs) on the experience of living with endometriosis. 
Endometriosis is a chronic disease characterized by tissue similar to the lining of the uterus growing outside the uterus. Symptoms can include severe pelvic pain, pain with intercourse and bowel movements/urination, nausea, fatigue, and infertility, which can have a profound effect on quality of life (Gao et al., 2006). There is limited research on how ACEs affect the experience of endometriosis. Studies, however, suggest there is a link between trauma, the development of endometriosis, and associated symptoms. One longitudinal study (1989-2013) found that out of 60,595 premenopausal women, 3,394 (5.6%) had endometriosis (Harris et al., 2018). Importantly, there was a 79% increased risk of endometriosis for women reporting severe chronic abuse of multiple types. Furthermore, the correlation between abuse and endometriosis was stronger among women without infertility, who are more likely to experience endometriosis pain. 
For the present study, 150 AFABs ages 20-50 years old (M = 31.93, SD: 6.75) who had been surgically diagnosed with endometriosis completed a Qualtrics survey. Participants' adverse childhood experiences were measured using the 10-item ACEs Questionnaire (Felitti et al., 1998). The impact of endometriosis on participants’ lives was measured using the Endometriosis Impact Questionnaire (EIQ; Moradi et al., 2019), which consists of six subscales (physical, psychological, social, educational, work, and substance abuse), as well as a Likert-scale item measuring treatment satisfaction. 
Bivariate correlations revealed that eight of the ten ACE items and their overall sum were positively correlated with EIQ subscale scores (at least one ACE was correlated with each subscale) and negatively correlated with treatment satisfaction (all p’s &lt; .042). This suggests that the more adverse childhood experiences, the greater the impact of endometriosis on patients’ lives and on their treatment experience. These results may help practitioners better understand and treat this population. </t>
  </si>
  <si>
    <t>Linda</t>
  </si>
  <si>
    <t>Abarbanell</t>
  </si>
  <si>
    <t>labarbanell@sdsu.edu</t>
  </si>
  <si>
    <t xml:space="preserve">Carolina </t>
  </si>
  <si>
    <t>Vargas</t>
  </si>
  <si>
    <t>cvargas7077@sdsu.edu</t>
  </si>
  <si>
    <t>Masters of Arts in Spanish</t>
  </si>
  <si>
    <t>Advantages of early linguistic exposure: variation in the perception of Spanish diphthongs by L2 and heritage learners of Spanish</t>
  </si>
  <si>
    <t>The current study examines the effect of established native perceptual categories of English on the perception of Spanish [ei̯] diphthong sequences by Spanish learners as a second language (L2) and as a heritage language (HL) (speakers whose first language (the HL) was learned primarily through natural input at home as a minority language (Montrul, 2008)), under the revised Speech Learning Model (Flege &amp; Bohn, 2021) and the Perceptual Assimilation Model (Best &amp; Tyler, 2007). We explore whether perception is affected by cross-linguistic influence and exposure to the target language, hypothesizing that L2 learners may struggle in perceptually contrasting the diphthong [ei̯] and the monophthong [e] in Spanish, since both sounds tend to be assimilated to the same English category /e/. Whereas for HLs, this contrast may be less difficult since they have been exposed to these Spanish sounds from an early age. To corroborate this hypothesis, a language background questionnaire was designed to determine participants’ previous experiences with Spanish and two perception tasks that focused on the identification and discrimination of these sounds. The participant groups considered for this study were college-level Spanish students (L2 &amp; HL), and a comparable group of monolingual Spanish native speakers (NS) from Mexico and Colombia. Analyses reveal that the L2 learners were less accurate than the native speakers in identifying and discriminating the Spanish diphthong [ei̯], especially when the diphthong appeared word-finally. In contrast, the heritage learners achieved higher accuracy rates on both perceptual tasks, likely due to an earlier exposure to the Spanish language since childhood (Best &amp; Tyler, 2007; Chang, 2021; Flege &amp; Bohn, 2021).</t>
  </si>
  <si>
    <t>Edwin</t>
  </si>
  <si>
    <t>Rodriguez Munoz</t>
  </si>
  <si>
    <t>Lauren</t>
  </si>
  <si>
    <t>Schmidt</t>
  </si>
  <si>
    <t>lschmidt@sdsu.edu</t>
  </si>
  <si>
    <t xml:space="preserve">Mayra </t>
  </si>
  <si>
    <t>Lam Yuen</t>
  </si>
  <si>
    <t>mlamyuen4319@sdsu.edu</t>
  </si>
  <si>
    <t xml:space="preserve">Masters of Social Work </t>
  </si>
  <si>
    <t>Title “Bupe by the Book”: An exploration of mental health and social support among unhoused individuals using opioids around San Diego public libraries</t>
  </si>
  <si>
    <t xml:space="preserve">Background
Opioid overdoses in the U.S. have increased significantly. Approximately 10,000 people in California died from drug overdoses in 2021. Substance use and homelessness have been associated with negative physical and mental health. This study is embedded in the parent grant, "Bupe by the Book '' (BBB) (R21DA056805), which applies telehealth-buprenorphine interventions within public libraries for unhoused individuals with opioid use disorder. We compare participant mental health and social support at baseline and 1-3 months follow-ups. 
Methods 
The authors conducted street outreach to recruit participants around two San Diego Public Libraries and referred them to Father Joe’s Village Health Center. Quantitative and qualitative baseline and follow up Qualtrics surveys (n=210) were conducted with participants July 2023-March 2024. Flyers were placed within libraries. Data were analyzed using the Brief Assessment of Recovery Capital scale (“How often is each of the following kinds of support available to you if you need it?” from “1-None of the Time to 5- All of the Time”). The PHQ-9 Depression scale assessed: “Over the last two weeks, how often have you been bothered by feeling down, depressed, or hopeless? (Not at all to nearly everyday)”.
Results 
Our study population (n=92) were 72% males and 46% identified as White followed by Latino/a/x (27%), Black or African American (13%) American Indian/Alaskan Native (6%), Asian/Pacific Islander (4%), and Other (2%) . At baseline, depression (21%) and anxiety (20%) were the highest self-reported diagnoses, followed by PTSD (15%), ADHD/ADD (15%), bipolar disorder (10%), other mental health issue not listed (8%), OCD (7%), and schizophrenia (3%). At baseline, 52% of participants felt over the last two weeks they had been bothered by feeling down, depressed, or hopeless “nearly every day.” At baseline, 30% disagreed with the statement “In general I am happy with my life.” Qualitative data are explored for themes related to participating in the study over time.   
Conclusion 
Mental health and substance use disorder among unhoused individuals is a public health crisis. Sustainable, low-barrier substance use and mental health resources are urgently needed. Our findings suggest that public libraries are an innovative way to reach this most vulnerable population. 
</t>
  </si>
  <si>
    <t xml:space="preserve">Jordan </t>
  </si>
  <si>
    <t xml:space="preserve">Jump </t>
  </si>
  <si>
    <t xml:space="preserve">Lianne </t>
  </si>
  <si>
    <t xml:space="preserve">Urada </t>
  </si>
  <si>
    <t>lurada@sdsu.edu</t>
  </si>
  <si>
    <t>Samara</t>
  </si>
  <si>
    <t>Camarillo</t>
  </si>
  <si>
    <t>scamarillo7619@sdsu.edu</t>
  </si>
  <si>
    <t>Masters of Criminal Justice &amp; Criminology</t>
  </si>
  <si>
    <t>Sexual Assault Prevention: How California Institutions of Higher Education Currently Respond Compared to Previous Review</t>
  </si>
  <si>
    <t>Sexual victimization is a pervasive issue among institutions of higher education. However, it has been over five years since the last systematic review of institutions’ approaches to sexual assault prevention (Richards, 2019). Since then, several events have impacted how institutions respond, including the #MeToo Movement and the COVID-19 pandemic. To address this gap in the literature, we conceptually replicated Richard’s (2019) methodology in a comprehensive review of all California four-year public and private-nonprofit higher education institutions that received Title IV funding. Specifically, we investigated the Clery Act and Title IX compliance for each institution’s website, annual security reports, and student-orientated resources. Comparing our review and Richard’s (2019) review shows that public and private-nonprofit institutions increased their compliance with amnesty policies. By contrast, private-nonprofit institutions reduced the availability of on-campus counseling. In addition, public and private-nonprofit institutions reduced the availability of survivor advocates and public procedures for victims to follow if a sexual assault occurs. These findings suggest that while overall compliance with Title IX policies has improved since 2019, resource availability for victims has declined. We discuss the potential roles of campus closures in creating these changes and make recommendations for bridging policy gaps within the California State University system.</t>
  </si>
  <si>
    <t>Chanin</t>
  </si>
  <si>
    <t>jchanin@sdsu.edu</t>
  </si>
  <si>
    <t>Avery</t>
  </si>
  <si>
    <t>Cardosi</t>
  </si>
  <si>
    <t>acardosi4581@sdsu.edu</t>
  </si>
  <si>
    <t>Master of Arts in Sociology</t>
  </si>
  <si>
    <t>The Impact of Parental Stress on Child Internalizing and Externalizing Behaviors by Gender</t>
  </si>
  <si>
    <t xml:space="preserve"> Prior research has effectively illustrated the detrimental effects parental stress and aggravation have on children’s behavioral outcomes. Exposure to parental stress is associated with negative internalizing and externalizing behaviors in children (Jones et al. 2021; Suh and Luther 2020; Taraban and Shaw 2018; Crum and Moreland 2017), which in turn adversely impacts their life and development through lower test scores, poor academic performance (Kulkarni and Sullivan 2022), and increased juvenile delinquency (Anjaswarni et al. 2019). However, further research is needed in order to understand whether the association between parental stress and children’s externalizing and internalizing behaviors varies by child gender, and whether these relationships are mediated by parenting practices. In this study, I will conduct Ordinary Least Regression modeling (N=2,191) using data from the Future of Families and Child Wellbeing Study (FFCWS) (McLanahan et al. 2019) to examine how parental stress impacts internalizing and externalizing behaviors in late childhood, whether this relationship varies by gender, and whether parenting practices mediate this relationship. The goals of this study are to bridge the gap in literature regarding gender roles in children’s behavioral outcomes and to aid in the creation of more targeted and holistic parenting interventions. Preliminary results are consistent with the prior literature, and indicate that the variable of gender is statistically significant to child displays of externalizing behaviors as a result of parental stress, but not significant to displays of internalizing behaviors. </t>
  </si>
  <si>
    <t xml:space="preserve">Beck </t>
  </si>
  <si>
    <t xml:space="preserve">Brianna </t>
  </si>
  <si>
    <t>Pham</t>
  </si>
  <si>
    <t>bpham3949@sdsu.edu</t>
  </si>
  <si>
    <t>Master of Arts in Communication Studies</t>
  </si>
  <si>
    <t>A Culture-Centered Approach to Meanings of Health and Understandings of Environmental Risks Associated with Brownfields Exposure in National City</t>
  </si>
  <si>
    <t>This ongoing qualitative research, following Dutta's (2008) culture-centered approach (CCA), delves into the health perceptions and environmental health injustice among National City, California residents. While historically marginalized and exposed to environmental hazards due to industrial activity, highway proximity, and incompatible land uses, certain areas in National City are designated as environmentally contaminated, including brownfields—properties complicated by hazardous substances (EPA, 2023).
As part of a health communication needs assessment within the broader SAGE project, this initiative led by graduate students explores residents' health conceptualizations and perceptions of environmental risks. Its goal is to develop community-centric content raising awareness about brownfield risks and engaging with the SAGE Brownfields Project resources, an EPA-funded federal project.
Recruiting participants through in-person, convenience, and snowball sampling, the team conducted 25 interviews in English and Spanish. Using a semi-structured protocol aligned with CCA, the analysis reveals residents' limited agency in addressing environmental challenges. In this low-resource community with minority populations, health can be deemed secondary to the demands of work and sustenance. National City residents lack the resources to be socially aware of brownfield risks, emphasizing the need for community engagement, public service announcements, and a communication platform empowering residents to contribute to social change.
Dutta, M. J. (2008). Communicating health: A culture-centered approach (1st ed.). Polity.
(2023). Understanding brownfields. United States Environmental Protection Agency. https://www.epa.gov/brownfields/understanding-brownfields</t>
  </si>
  <si>
    <t>Katya</t>
  </si>
  <si>
    <t>Azzam</t>
  </si>
  <si>
    <t>Nguyen</t>
  </si>
  <si>
    <t>Rati</t>
  </si>
  <si>
    <t>Kumar</t>
  </si>
  <si>
    <t>rkumar@sdsu.edu</t>
  </si>
  <si>
    <t>Rebeca</t>
  </si>
  <si>
    <t>Navarrete</t>
  </si>
  <si>
    <t>rnavarrete@sdsu.edu</t>
  </si>
  <si>
    <t>Masters of Communication</t>
  </si>
  <si>
    <t>¿QUÉ ES LA PERTENENCIA?: social constructions of belonging among latinx tutors at a hispanic-serving institution</t>
  </si>
  <si>
    <t xml:space="preserve">A sense of belonging, or sentido de pertenencia, is an important and necessary
communication process for Latinx and Hispanic-identifying students that attend designated
Hispanic-Serving Institutions (HSI’s). This study focuses on amplifying the voices of
undergraduate Latinx and Hispanic-identifying Pathways Service-Learning tutors that
currently attend or recently graduated (in Spring 2023) from San Diego State University, a
federally designated Hispanic-Serving Institution (HSI) since 2012. Cultivating a sense of
belonging among students is key to the retention of Hispanic-identifying and Latinx students. This study aims to contribute to organizational communication research in theorizing belonging as a reciprocal process of identification with the organization and its members. Therefore, this study takes a critical-ethnographic case study approach with the Pathways Service-Learning Tutoring Program to This study analyzes fieldnotes from 6 class sessions, 1 workshop, and 2 events along with 329 pages of in-depth interview transcripts from 15 participants– 8 San Diego State students who are in the Pathways program, and 7 Pathways administrators. To guide the analysis, this study follows the phronetic-iterative approach that relies on sensitizing theoretical frameworks such as the four flows model, the cultural wealth model and my own immersion in the Pathways program. This study is designed to answer the following two research questions in a manner that centers and amplifies Latinx voices: (1) How do Latinx or Hispanic-identifying tutors in the Pathways Service-Learning Tutoring Program construct belonging? And (2) What organizational practices at Pathways construct or disrupt discourses of belonging and otherness? The analysis of this study supports the Pathways program to continue to make organizational practices and policies that support their diverse population of over 100 tutors per academic year post COVID-2019 and contributes to supporting Hispanic-Serving Institutions in understanding what constructs inclusive organizational cultures that best support the personal, academic, and professional growth of Latinx students.
</t>
  </si>
  <si>
    <t>Enrick Kyle</t>
  </si>
  <si>
    <t>Fontelera</t>
  </si>
  <si>
    <t>kfontelera8740@sdsu.edu</t>
  </si>
  <si>
    <t>Master of Public Health in Epidemiology</t>
  </si>
  <si>
    <t>Analyzing the association between starting cancer treatment and the COVID-19 lockdown protocols.</t>
  </si>
  <si>
    <t xml:space="preserve">Background
Cancer is the second leading cause of death in the United States. Receiving cancer treatment can help an individual’s situation, by curing it altogether or at the very least, prolonging their lifespan. However, the COVID-19 pandemic introduced a new barrier to accessing cancer treatment through variable protocols like stay-at-home orders and lockdowns.
Method
This study examines the association between receiving cancer treatment and the covid lockdown protocols in the United States among males and females between 2018 and 2022. Any responses recorded before March 15, 2020, were considered “pre-covid” and any other dates were considered “post-covid”. We used a chi-square analysis to assess any unadjusted bivariate associations and a multivariable analysis to adjust for factors identified through a backward stepwise regression. 
Results
We started with n=2,591,503 and after excluding those who did not indicate male or female, not have cancer, and did not indicate they were seeking or receiving cancer treatment, the final study population was 7,944. Among the study population, 69% (n=6,311) are already receiving cancer care and 77% of responses (n = 6,685) were taken after the March 15 cutoff point. Overall, the odds of receiving cancer care post-covid is 1.203 times the odds pre-covid. Among those who live in a moderately stringent state, the association is significant with the odds of receiving cancer care post-covid is 2.12 times the odds pre-covid. 
Discussion
This study can inform public health professionals of the effects of a pandemic and protocols on access to care. It is possible that people may have become more aware of the importance of health after the pandemic, that they start seeking and receiving care. Relative to other diseases, COVID-19 is still new and the long-term direct and indirect impact on the population still must be studied, especially among vulnerable populations and those who were already struggling with seeking treatment care. 
</t>
  </si>
  <si>
    <t>Susan</t>
  </si>
  <si>
    <t>Kiene</t>
  </si>
  <si>
    <t>Skiene@sdsu.edu</t>
  </si>
  <si>
    <t>Cassandra</t>
  </si>
  <si>
    <t xml:space="preserve">Garcia </t>
  </si>
  <si>
    <t>cgarcia3608@sdsu.edu</t>
  </si>
  <si>
    <t>Master of Public Administration/Master of Arts in Latin American Studies</t>
  </si>
  <si>
    <t>Mexican Labor in a Changing Landscape: The Mexicali, Baja California Labor Movement in the 1990s</t>
  </si>
  <si>
    <t>Mexico has a storied relationship between labor and the state, and understanding its beginnings is crucial to understanding the current situation. The political relevance of the labor sector was institutionalized in the 1917 Mexican Constitution, which enshrined labor rights under Article 123, establishing labor groups as key players in the political landscape. During the 71-year dominant party “classic” Mexican political system, the ruling PRI (Institutional Revolutionary Party) embedded labor-state relations into a corporatist party-state system. Party leaders initially presented corporatist labor organizations as vehicles of political representation, but over time they evolved into mechanisms for social control. In this paper, I analyze the ways in which the corporatist model of state-labor relations developed in the northern region of Baja California. I focus on the 1990s, the last decade of PRI dominance, as party leaders embraced free market liberalism. The Mexican neoliberal project accelerated with full force, undermining the premise and the institutions of the classic corporatist system. My research examines the relationship between labor union strength and neoliberal public policies in Mexico by analyzing how neoliberal restructuring influenced state-labor dynamics and impacted the working class in the 1990s. More specifically, I examine how the classic dynamic of state-labor relations was manifest in the Mexicali, Baja California region of the U.S.-Mexico border, in order to understand the evolution of state corporatism as the northern border region moved towards an export-led industrial growth model. Another crucial research question centers on the responses of the working classes to an environment which prioritized capitalist investment and principles of market liberalism over the rights of the workers articulated in the constitution. Analyzing the relationship between the growth of the maquiladora sector and consequent actions by organized labor will explain the changing labor dynamics during the crucial period of the 1990s.</t>
  </si>
  <si>
    <t>Carruthers</t>
  </si>
  <si>
    <t>dcarruth@sdsu.edu</t>
  </si>
  <si>
    <t>Peaceibisia</t>
  </si>
  <si>
    <t>pjack1220@sdsu.edu</t>
  </si>
  <si>
    <t xml:space="preserve">Masters of Science in Geography </t>
  </si>
  <si>
    <t>Machine learning detection of anthropogenic debris in complex floodplain environment</t>
  </si>
  <si>
    <t>Plastic waste is a growing environmental concern, particularly in coastal cities where mismanaged solid waste can have significant impacts on the ecosystems by contaminating these ecosystems, thereby adversely affecting aquatic life  and overall environmental health. This paper presents a study on the use of machine learning techniques and hyper-resolution aerial imagery for mapping and analysis of plastic debris in a San Diego floodplain. The study found that machine learning algorithms can accurately detect and classify plastic debris in aerial imagery, providing a cost-effective and efficient method for monitoring plastic waste in riverine environments. The results of the study also highlight the need for improved waste management practices and increased public awareness to reduce the amount of plastic waste entering coastal ecosystems. Overall, this study demonstrates the potential of machine learning and aerial imagery for managing plastic riverine debris and protecting coastal ecosystems from the harmful effects of plastic waste.</t>
  </si>
  <si>
    <t>Doreen</t>
  </si>
  <si>
    <t>Tuhebwe</t>
  </si>
  <si>
    <t>dtuhebwe3974@sdsu.edu</t>
  </si>
  <si>
    <t>Public Health</t>
  </si>
  <si>
    <t>Concordance between self-reported hazardous alcohol use by the audit-c and phosphatidylethanol (PETH) among heavy drinking fisherfolk men living with HIV in Uganda</t>
  </si>
  <si>
    <t xml:space="preserve">Introduction:
Researchers have highlighted discrepancies between the direct metabolite of alcohol consumption, Phosphatidylethanol (PEth), and other self-reported alcohol measures such as the Alcohol Use Disorder Identification Test-Consumption (AUDIT-C). Under- or over-reporting of alcohol use may affect screening results and service delivery for patients in need of care, such as persons living with HIV (PLWH). In Uganda, heavy alcohol use contributes to sub-optimal HIV treatment outcomes among fisherfolk disproportionately burdened by HIV. We assessed the concordance between PEth and AUDIT-C among fisherfolk men LWH, aged 18-50 years.
Methods:
We analyzed data from the baseline assessment of the Kisoboka trial collected among 160 fisherfolk receiving care at five HIV clinics in Wakiso District, Uganda (2021-2022). Fisherfolk men on antiretroviral treatment who self-reported hazardous alcohol use (AUDIT-C ≥ 4) during study screening were eligible. The AUDIT-C tool was interviewer-administered using locally adapted standard alcohol drink size pictures. From dry blood spots, PEth was tested using liquid chromatography-tandem mass spectrometry. We explored the distributions of AUDIT-C and PEth, conducted a correlation analysis using the Spearman’s rank test based on the risk levels in the sample and assessed the positive and negative predictive values (PPV and NPV).
Results:
Mean PEth was 551.3ng/ml (±601), with a median of 299.7 (1.0-3664.6). In this sample, 94.4% (151/160) had a PEth of ≥ 20ng/ml and 63.1% (101/160) had an AUDIT-C score of ≥ 8-an indication of very hazardous alcohol use. Overall, PEth measurements were significantly correlated with AUDIT-C (Spearman r=0.42, p&lt;0.0001), but with moderate correlations. AUDIT-C ≥ 4 (r=0.34, p&lt;0.0001) and AUDIT-C ≥ 8 (r=0.35, p=0.0004) were significantly correlated with PEth. The PPV was 73.3% for fisherfolk who had PEth ≥200ng/ml among those with AUDIT-C ≥ 8 while, NPV was 49.2% for fisherfolk that had a PEth &lt;200ng/ml among those that had AUDIT-C&lt;8.
Conclusion:
AUDIT-C and PEth were correlated which may indicate that in heavily drinking populations, AUDIT-C has good agreement with PEth. This study used adapted standard alcohol drink visuals, and this may have enhanced accuracy of the AUDIT-C. Future studies should explore the PEth and AUDIT-C distributions that correlate best in this population for improved risk assessment.
</t>
  </si>
  <si>
    <t>skiene@sdsu.edu</t>
  </si>
  <si>
    <t>Visual and Creative Arts</t>
  </si>
  <si>
    <t>Gabrielle</t>
  </si>
  <si>
    <t>Berens</t>
  </si>
  <si>
    <t>gberens2410@sdsu.edu</t>
  </si>
  <si>
    <t>Masters of Fine Arts</t>
  </si>
  <si>
    <t>Yinka Shonibare’s Use of African Wax Print Fabrics Question Cultural Identity</t>
  </si>
  <si>
    <t xml:space="preserve">The use of African wax print fabrics (also known as Dutch wax) has become an increasingly popular visual device in global contemporary art. These fabrics are easily recognizable as a representation of African culture. On the surface,  they display vibrant bright colors and multiple layers of patterns and symbols, but the complex history of this cultural commodity is deeply rooted in colonialism and reveals a common pattern of global trade routes, since they are actually manufactured in Holland and shipped to Africa for consumption. Cultural theorist Daniëlle Bruggeman  sums up the complex history of these textiles writing, “Destined for export as the product of a former colony, the cloth is at once an ersatz, mass-produced interpretation of traditional Indonesian textiles, and a proud emblem of ‘authentic’ African dress.” 
My  presentation explores the work of contemporary Nigerian-British artist Yinka Shonibare, who has centered his multidisciplinary practice and art career around the use of these African wax textiles. Using art historical methods of formal analysis, social art history, and postcolonial critique, I analyze two of  Shonibare’s sculptures which utilize these fabrics as an aesthetic component and as a conceptual framework: Nelson’s Ship in a Bottle, and Woman Shooting Cherry Blossom. Nelson’s Ship in a Bottle is a large public sculpture of a colonial British battleship featuring African wax print sails and is enclosed in a glass bottle. Woman Shooting Cherry Blossom, is a sculpture of a female mannequin wearing a traditional western colonial dress fashioned out of African wax print fabrics. The mannequin’s head is a globe and it is actively shooting a rifle that expels a cherry blossom tree. Shonibare claims to use the fabrics as a “metaphor for the contemporary African existence.”  By combining African wax print fabrics with fantastical colonial references, such as a ship in a bottle and aristocratic costuming, I argue that Shonibare is presenting the dualities of the contemporary African existence; one of vibrance and wonder but one that has been unjustly and forcibly influenced by colonialism and global trade.
</t>
  </si>
  <si>
    <t>Visual or Creative Arts</t>
  </si>
  <si>
    <t>Robin</t>
  </si>
  <si>
    <t>North</t>
  </si>
  <si>
    <t>rnorth4089@sdsu.edu</t>
  </si>
  <si>
    <t xml:space="preserve">Masters of Fine Art </t>
  </si>
  <si>
    <t>Visualizing Resistance: Decolonized Aesthetics and Subverting Dominant Narratives</t>
  </si>
  <si>
    <t>My presentation, "Visualizing Resistance: Decolonized Aesthetics and Subverting Dominant Narratives,” analyzes my photographic series titled Decolonized Aesthetics. This series engages the 19th-century process of platinum palladium printing to depict contemporary African Americans’ re-examination of photography and its intersection with history and the ways the medium was used to perpetuate racist stereotypes. Decolonized Aesthetics addresses the history of African Americans’ unpaid labor and the economic engine of cotton to reposition Black bodies as having agency and control over their own labor. It considers the roots and routes of the Atlantic slave trade and its creolization, the dynamic fusion of multiple cultures that emerged from the forced transoceanic migrations of the Black Atlantic. This fusion created new identities and artistic expressions that challenge dominant narratives. By reconstructing the narrative and positioning Black bodies as creolized people of agency, a synthesis of multiple cultures is created that gives the privilege of self-expression. My presentation analyzes my artworks through visual and critical interpretive methods rooted in decolonial and postcolonial studies and theories of racialization. I demonstrate how my research-based and conceptual visual arts practice challenges hegemonic narratives and structures about race and decolonizes knowledge through the theoretical lens of Paul Gilroy’s concept of the “Black Atlantic.” With a deep understanding of the importance of decolonizing practices, my art practice sheds light on the significance of critical reevaluation and reclamation of artistic narratives and the exploration of new perspectives and methodologies. I argue that my Decolonized Aesthetics series serves as a mechanism to reconceptualize and reinterpret the camera as the master's tool. I use the "master's tools" to represent theoretical, visual anthropological, and grounded theory methodologies that place me in the local cultures and provide a visual storytelling approach to educate and decolonize knowledge free of Western narratives and aesthetics to "dismantle the master's house” (Lorde, 106). Ultimately, I demonstrate how my series Decolonized Aesthetics marshals artistic expression to engage actively with history, power dynamics, and representation, and it has created a space for Black voices and perspectives to be heard and valued in the deep south of Texas.</t>
  </si>
  <si>
    <t>Irvin</t>
  </si>
  <si>
    <t>sirvin9325@sdsu.edu</t>
  </si>
  <si>
    <t>Masters of Music in Jazz Studies</t>
  </si>
  <si>
    <t>Man She's Really Cookin': An Analysis of Gender Performativity in Women Instrumentalists During Jazz Improvisation</t>
  </si>
  <si>
    <t>The idea of gender equity has been an ongoing conversation within many fields. This topic has surfaced for discussion in music and more specifically in the jazz genre within the last few decades. Women jazz instrumentalists have often been overlooked and undocumented in historical accounts. An aspect within jazz that many women instrumentalists participate in is the act of improvisation, an act that is commonly thought of as a masculine practice. For my project I will be examining the role of gender in improvisation through women instrumentalists. Experts within the field comment on the many factors that contribute to improvisation being perceived as an inherently masculine act such as cultural upbringing and societal acceptance. For my project, the issue of gender in improvisation will be explored through biographies, feminist theory, interviews, and performance interpretation. For my examination I will draw upon Judith Butler’s concept of gender performativity as it relates to improvisation. My research has opened my eyes to the differing views held by women in the jazz community when it comes to activism. My research has also provided some insight into why our society views improvisation as masculine act as opposed to a feminine act. Some possibilities for further research include looking into the current state of the jazz community’s idea of gender and women’s involvement with jazz in academic institutions.</t>
  </si>
  <si>
    <t>dscott7129@sdsu.edu</t>
  </si>
  <si>
    <t>Master of Arts in English</t>
  </si>
  <si>
    <t>A Kingdom as Great: Navigating Girlhood in "Labyrinth"</t>
  </si>
  <si>
    <t xml:space="preserve">Transporting viewers to a realm populated by director Jim Henson’s whimsical puppets and ruled by David Bowie in the role of a provocative Goblin King, the 1986 film "Labyrinth" maintains its status as a cult classic. Part adventure, part bildungsroman, "Labyrinth" follows the 16 years-old Sarah (played by Jennifer Connelly) who must solve a magical labyrinth ruled by a Goblin King (David Bowie) in order to save her infant step-brother from becoming a goblin himself. Much of the film’s creative edge emerges through the tension between its childlike wonder and darker realities that force Sarah to confront the social expectations that will soon be placed upon her as a young woman entering adulthood. In this presentation, I analyze Sarah’s character in conversation with gothic and children’s literature traditions, specifically her connection to "Alice in Wonderland" and "The Wizard of Oz" — both works that Henson cited as sources of inspiration. However, whereas both Alice and Dorothy are guided by strong women on their journeys, Sarah receives no such female support. Instead, Sarah must survive a labyrinth dominated by male characters that range from chivalrous allies to those who are physically threatening and overtly sexualized. Her relative success is largely determined by which men she chooses to trust — that is, until she finally asserts her own power as a young woman and learns to reclaim rather than reject her “girlish” passion for fantasy. Ultimately, I argue for reading "Labyrinth" as a gothic representation of the struggles young women endure while learning how to navigate the lived maze of our historically patriarchal society. This contributes to critical conversations on how popular culture and media perpetuates ideas of how young women should emotionally mature, as well as how gothic aesthetics within children’s literature are utilized to critique or undermine social norms. </t>
  </si>
  <si>
    <t>Phillip</t>
  </si>
  <si>
    <t>Serrato</t>
  </si>
  <si>
    <t>pserrato@sdsu.edu</t>
  </si>
  <si>
    <t>Dania</t>
  </si>
  <si>
    <t>Abizaid-Herrera</t>
  </si>
  <si>
    <t>dabizaidherrer3326@sdsu.edu</t>
  </si>
  <si>
    <t>Master of Arts in Anthropology</t>
  </si>
  <si>
    <t>Roadside juveniles: Understanding how interfacing with humans affects juvenile moor macaque (Macaca maura) behavior</t>
  </si>
  <si>
    <t xml:space="preserve">The juvenile life history stage represents a key learning point in the lives of all primates because how juveniles learn determines whether they will survive until adulthood. Regardless, juveniles have often been defined as inexperienced or clumsy, and juvenile behavior and what affects it remains poorly understood. Our research goal was to address this gap by examining juvenile moor macaque (Macaca maura) behavior in the context of rapid environmental change in South Sulawesi, Indonesia. From August to November 2023, our study took advantage of the dual habitat present in Bantimurung Bulusaraung National Park, comparing behavioral data collected on juvenile social and foraging behavior while in interior forest versus when along a heavy traffic roadside. Additionally, foraging events were categorized to determine juvenile preference for specific foraging strategies and social learning models in each context. Juveniles were followed for a total of 603 hours, equaling 683 instantaneous activity focal follows and 4,090 scan records. Results showed that more than 90% of the time juveniles spent foraging was done so independently. Nonetheless, the majority of model dependent foraging events were observed by the roadside, where juveniles rely more on social learning models to obtain provisions from humans. Additionally, social learning model preference was not limited to adult females as predicted, but instead changed depending on the model dependent foraging strategy selected. These findings enhance our understanding of how juvenile primates are responding and adapting their social learning strategies to the rapidly expanding human-primate interface at our field site. Additionally, studying juvenile behavior in these types of shared contexts can enable us to better predict how primate populations will behave in the future, aiding conservation and conflict management efforts. </t>
  </si>
  <si>
    <t>Erin P.</t>
  </si>
  <si>
    <t>Esperanza</t>
  </si>
  <si>
    <t>Ochoa</t>
  </si>
  <si>
    <t>eochoa4940@sdsu.edu</t>
  </si>
  <si>
    <t>Doctorate of Philospphy - Education</t>
  </si>
  <si>
    <t>Parents’ Roles and Involvement in an Urban Secondary School’s Ambitious Mathematics Program</t>
  </si>
  <si>
    <t xml:space="preserve">In this paper, we analyzed parents’ perceptions of their role in an ambitious mathematics program (AMP) at a high-need school. Using a framework by Civil et al. (2005), we found parents were primarily positioned as parents and to a lesser extent as learners. Through thematic analysis, we developed a framework that unpacked the specific roles through which parents embodied their broader roles as parents and learners from least to most direct involvement with an AMP. Common roles for parents as parents included checking their children’s grades and homework and ensuring resources for their children’s success. We linked these roles to the nature of the AMP’s communication with parents, thus warranting the need for more research on parent involvement with AMPs.
</t>
  </si>
  <si>
    <t xml:space="preserve">William </t>
  </si>
  <si>
    <t>Zahner</t>
  </si>
  <si>
    <t>bzahner@sdsu.edu</t>
  </si>
  <si>
    <t>Longstreet</t>
  </si>
  <si>
    <t>clongstreet5060@sdsu.edu</t>
  </si>
  <si>
    <t>Joint Doctoral Program in Education</t>
  </si>
  <si>
    <t>Enhancing Rural Students' College Pathways: Incorporating Academic Match and Student Fit Preferences as an Alternative to Undermatch Theory</t>
  </si>
  <si>
    <t>Rural students encounter distinct obstacles, and often have limited options for pursuing higher education. Unfortunately, existing research on college access often overlooks their experiences, further marginalizing this group.  This study aimed to address this gap by delving into the college pathway selection process among rural students, specifically focusing on the concept of undermatching. Undermatching occurs when students opt for less selective colleges than those that align with their academic capabilities. The investigation not only assesses the limitations of undermatching theory, but also introduces a proposed college pathway intervention grounded in Opportunity to Learn (OTL) theory. This intervention emphasizes the critical influence of social context and cultural attitudes on rural students' decision-making processes. This research utilizes the nationally representative High School Longitudinal Study of 2009 (HSLS:09) as its data source, allowing for an in-depth examination of rural students' college pathways, insights into their decision-making processes, and the factors shaping their choices. The multifaceted findings of this research reveal a noteworthy pattern among first-generation students, a substantial portion of the rural student population, who are more likely to select less selective schools than their non-first-generation peers. This suggests that the unique challenges and limited familiarity with the college application process lead first-generation students to prioritize different factors when making decisions about their college pathways. Moreover, the study identified various fit preferences as strong predictors of undermatching among rural students. This challenges traditional undermatching theory, which tends to focus predominantly on academic matches and overlooks the importance of aligning values, interests, and goals between students and colleges in the decision-making process. When considering cultural attitudes towards higher education, fostering a supportive atmosphere, and encouraging critical thinking about the value of college education, rural students are guided to make informed decisions regarding their college pathways.</t>
  </si>
  <si>
    <t>Iffland</t>
  </si>
  <si>
    <t>aiffland@sdsu.edu</t>
  </si>
  <si>
    <t>enguyen4538@sdsu.edu</t>
  </si>
  <si>
    <t>Bachelors/Chemistry and Masters/Organic Chemistry</t>
  </si>
  <si>
    <t xml:space="preserve"> Incorporating Culturally Relevant Pedagogy in Chemistry to Promote Success for Women of Color in STEM</t>
  </si>
  <si>
    <t xml:space="preserve">     Women of color (WOC) are often not represented in the chemistry curriculum. The STEM environment that many WOC experience is not welcoming making it difficult for WOC to navigate and continue in the STEM pathway. For example, in 2021, only 35% of women were represented in the STEM workforce while men represented 65%. These numbers go down for both women and men when race is factored in the representation (National Science Foundation, 2023). Understanding WOC experiences in STEM at Hispanic Serving Institution (HSI) postsecondary education can help mitigate the disproportionate numbers of WOC in the STEM workforce. 
     The purpose of this literature review is to investigate the experience of WOC in STEM at HSI postsecondary education, with a specific focus on the lack of diverse representation in the chemistry curriculum and the potential for incorporating culturally relevant pedagogy (CRP) in STEM to increase WOC representation workforce. 
     Findings show that WOC in STEM often experience a negative environment that highlights the cold and intimidating approaches of STEM instructors that have pushed out WOC from pursuing STEM (Herrera et al., 2022). Minoritized students and women are more likely to leave the STEM field compared to male and non-minority students (Flynn, 2016). While there is some research on the experiences of WOC in STEM, few studies examined undergraduate experiences in chemistry.
     Studies reveal that many general chemistry textbooks are not inclusive or diverse. Most general chemistry textbooks highlight white male scientists and briefly mention names of women in a very small section (Gee et al., 2022). This narrative of only white men being scientists can discourage WOC to continue in the STEM pathway. To embrace equity, diversity and inclusion, using CRP such as incorporating discussion of WOC chemists can mitigate issues that WOC face in a chemistry classroom (Johnson, 2022). Studies that have explored the incorporation of CRP in chemistry found that students felt a greater connection to being a scientist and belonging in the chemistry pathway. Investigation of the literature is crucial to understand how CRP in chemistry can create a more equitable, diverse and inclusive environment that can promote success for WOC.
</t>
  </si>
  <si>
    <t>Dr. Felisha</t>
  </si>
  <si>
    <t>Herrera Villareal</t>
  </si>
  <si>
    <t>Gabriela</t>
  </si>
  <si>
    <t>Hernandez</t>
  </si>
  <si>
    <t>ghernandez5629@sdsu.edu</t>
  </si>
  <si>
    <t xml:space="preserve">MSED program  (Math &amp; Science Ed Doctoral) </t>
  </si>
  <si>
    <t xml:space="preserve">Breaking the Beta: A Critical Inquiry into Problem-Solving </t>
  </si>
  <si>
    <t xml:space="preserve">In the realm of rock climbing, as in the arts, limitations and challenges are not merely obstacles but are integral to the creative process of problem-solving. Just as artists in constrained environments find unique ways to express individuality and spontaneity, rock climbers face embodied and environmental constraints that require inventive and adaptive strategies. This similarity underscores the enactivist view-- the epistemological framework guiding the study-- as proposed by Varela et al. (1991), that cognitive activities like problem-solving are deeply intertwined with physical experiences. Thus, the study of rock climbers' problem-solving strategies in navigating their constraints becomes a compelling metaphor for understanding mathematical problem-solving. My dissertation aims to demonstrate how facing and embracing constraints can lead to profound creativity. Specifically, my dissertation seeks to surface the significant problem-solving strategies of disabled rock climbers as a resource informing their mathematical problem-solving. The study stands to impact both math educational practices and our understanding of problem-solving across seemingly disparate domains.
</t>
  </si>
  <si>
    <t xml:space="preserve">Mary </t>
  </si>
  <si>
    <t xml:space="preserve">Pilgrim </t>
  </si>
  <si>
    <t>Brinley</t>
  </si>
  <si>
    <t>Stringer</t>
  </si>
  <si>
    <t>bstringer8642@sdsu.edu</t>
  </si>
  <si>
    <t>PhD in Math Education</t>
  </si>
  <si>
    <t>The Departmental Impact of Near-Peer Mentors</t>
  </si>
  <si>
    <t xml:space="preserve">Many interventions are being studied to help combat barriers into STEM fields that contribute to high attrition and low persistence rates. One such intervention is near-peer mentor (NPM) programs, which utilize undergraduate students as academic supports to fellow undergraduate students. NPMs can work in class with instructors to support students during group work, or outside of class working in a tutoring center or providing additional office hours, providing more opportunities for students to get help with class material. While studies have found that NPM programs contribute towards improved outcomes for students, and some studies have also discussed the positive qualitative impacts of such programs as reported by students, NPMs, and instructors, there is a gap in the literature studying how NPM programs make such differences. To fill this gap, my research questions are: 
1. How do NPMs impact the ecologies of mathematics classes?
2. How does the NPM program impact the ecologies within a mathematics department?
For my dissertation, I investigated the Padre University (PU) mathematics department’s  NPM program. PU is a private liberal arts college in the Southwestern United States serving about 9000 undergraduate students. Faculty started a pilot NPM program in Fall 2022 in the mathematics department, and funding will end after the Spring 2024 semester. On average, the math department hires 8 NPMs per semester. These NPMs work with faculty both during class time, as well as offering outside support in office hours, where students can attend and get support with homework or other course content. I conducted observations and focus group interviews with students, NPMs, and faculty to understand how the new NPM program is making impacts within the mathematics department.
Preliminary findings demonstrate that many students feel more comfortable working with NPMs compared to instructors. This in turn leads many students to seek out additional resources to support their learning of mathematics. Faculty describe NPMs functioning as a “bridge” between students and instructors as well as providing insights into the class with their unique perspective. One important implication is the potential for NPM programs to function as catalysts and vehicles for change in mathematics departments.
</t>
  </si>
  <si>
    <t>Austin</t>
  </si>
  <si>
    <t>Zuckerman</t>
  </si>
  <si>
    <t>azuckerman2762@sdsu.edu</t>
  </si>
  <si>
    <t>Ph.D. Mathematics and Science Education</t>
  </si>
  <si>
    <t>When Coding Meets Biology: Student Attitudes, Motivations, and Expectations in a Discipline-Based Coding Class</t>
  </si>
  <si>
    <t xml:space="preserve">With the expansion of computer and data science sectors over the past few decades, coding has become a widely demanded skill in STEM research and the broader economy. While there is much research on entry into computer science broadly, there is limited research on the unique and specific barriers facing biology majors as they are introduced to programming. To inform how we can warmly invite and retain non-CS students in computational fields, we examine student motivations for learning how to code and attitudes toward coding in a contextualized introductory programming course in biology. We leverage social cognitive career theory (SCCT) as a theoretical framework to explore individual cognitive variables (self-efficacy and outcome expectations), as well as contextual supports and barriers that influence student attitudes and motivations 
The course entitled “Introduction to Python for Biologists” was accessible to non-CS majors and covered similar content to a traditional CS-1, focusing on coding examples related to biology. Notably, this course had a substantially higher enrollment of students who identified as female or as a member of an under-represented racial group than a typical CS-1 course. We applied inferential statistics on pre- and post-course surveys administered across three iterations of this course to examine the evolution of student attitudes. We also conducted focus groups (n=22) to explore students’ motivations for learning to code, expectations about the course and outcomes, and overall affect toward coding. Students, on average, reported attitudes that were less aligned with a fixed mindset of computational problem-solving by the end of the course. Complementing these quantitative findings, focus group participants described their realization of the importance of maintaining a growth mindset to persevere through challenges in the coding process. One unexpected observation is that students were grappling with whether the programming skills learned in the course constituted “real” coding, suggesting that while such a contextualized coding class may be perceived as more accessible and improve mindsets, students may also view it as less authentic. While we hold that discipline-specific coding courses can improve equity in computing education, these findings have implications for educators who integrate coding and biology in this way. 
</t>
  </si>
  <si>
    <t>Ashley</t>
  </si>
  <si>
    <t>Juavinett</t>
  </si>
  <si>
    <t>ajuavinett@ucsd.edu</t>
  </si>
  <si>
    <t>Barajas</t>
  </si>
  <si>
    <t>jbarajas3180@sdsu.edu</t>
  </si>
  <si>
    <t xml:space="preserve">Masters of Arts in Women's Studies </t>
  </si>
  <si>
    <t>Harmony of Resilience: Hip-Hop, Platicas, and the Collective Narratives of Graduate Latina Friends</t>
  </si>
  <si>
    <t xml:space="preserve">This study explores the personal narratives, feminist framework, and the potentional of activist music within the context of platicas among a group of graduate Latina friends. Anchored in the theoretical framework of territorio cuerpo-tierra (Lorena Cabnal, 2010), the research delves into the shared experiences of violence stemming from patriarchal systems of oppression. By listening to the music and reading the lyrics we share our feelings and emotions about how Mare Advertencia Lirika’s lyrics can transpass borders to women across the globe. By applying the theoretical framework, the study aims to understand the impact of activist music, particularly that of Mare Advertencia, on the emotional and cognitive responses of the participants during the platicas. Through the examination of Mare’s music videos, lyrics and participant conversation, the research delves into the multifacet function of platicas as a means of giving people a space where they can exchange narratives and work together towards group healing.  </t>
  </si>
  <si>
    <t xml:space="preserve">Irene </t>
  </si>
  <si>
    <t>Castro</t>
  </si>
  <si>
    <t>vcastro6832@sdsu.edu</t>
  </si>
  <si>
    <t>Master of Arts in Spanish</t>
  </si>
  <si>
    <t>Lexical Borrowings from english to spanish in  Baja California (México) and Madrid (España)</t>
  </si>
  <si>
    <t xml:space="preserve">Code switching is a complex linguistic phenomenon, but, at the same time, it happens to be really useful to confirm the effectiveness and complex composition of the bilingual mental lexicon. In the case of Spanish and English, spanglish was born within bilingual communities, being highly reduced in non-border areas. Speakers are generally unaware of this linguistic phenomenon, although their decisions affect the whole community. Spanglish users subconsciously choose to use or not this new language variation, which can be given at any lexical, intersentential or intrasentential level. People tend to have predisposed linguistic attitudes towards code switching and are usually difficult to identify.The present research studies lexical loans from English to Spanish that are being used in a border region, Baja California, Mexico, and in a non-border region, Madrid, Spain. The work introduces a theoretical framework about linguistic attitudes, code switching, the matched-guise technique and previous studies that are relevant. The matched-guise technique of Lambert (1960) has been put to test to analyze the use of code switching in both contexts, including its relation with the age and gender of the speaker. The study will include 60 participants from diverse backgrounds, divided by age, gender, level of education, number of years studying English and place of birth and residence. By following this methodology, this article increases the number of studies about code switching and linguistic attitudes, since it has been acknowledged that the field is still in need of research.
</t>
  </si>
  <si>
    <t xml:space="preserve">Eva </t>
  </si>
  <si>
    <t xml:space="preserve">Corregidor </t>
  </si>
  <si>
    <t>Woman, Man</t>
  </si>
  <si>
    <t>Aika</t>
  </si>
  <si>
    <t>Tsuda</t>
  </si>
  <si>
    <t>atsuda9842@sdsu.edu</t>
  </si>
  <si>
    <t xml:space="preserve">Master of Arts in Theatre Arts </t>
  </si>
  <si>
    <t>How to Translate a Musical?: Translating Play a Life by Ikko Ueda</t>
  </si>
  <si>
    <t>This research examines the best way to translate musicals and how a translator can contribute to the production, not only writing the translation but also playing the role of a dramaturg. A dramaturg is a theatrical collaborator who does research on the social, cultural, and historical context to ensure the performance is appropriate and accurate to put on stage. Translation is not only replacing the words from one language to another but also adjusting the dialogue, keeping in mind the cultural differences. 
In this research, the best way to translate musicals will be examined through a case study translating a musical called Play a Life from Japanese to English. In the translation process, I will work not only as a translator but also as a dramaturg. The research process includes translating the musical, having a table reading of a draft, having a talk-back session with actors in the reading, rehearsing with actors, putting it on stage, and examining audience members’ reactions. This process elucidates the cultural differences and the challenges of language barriers, and my research examines the best way to handle these challenges. 
Conducting research and taking a dramaturgical approach is important in the translation process because it helps the translator to keep in mind the difference in the background knowledge with which Japanese and American audiences come to the theatre, and helps to make key decisions about the translation. While Play a Life has universal themes such as the importance of living in the moment, there are some elements of Japanese culture embedded in the script because it is set in a Japanese high school and written in Japan. It is sometimes necessary to clarify the situation of the scene because American audiences do not have the same background knowledge that Japanese audiences have. Also, the more dramaturgical research that is done, the easier it is to determine whether proper nouns with cultural context should be a) replaced by another word in the target audiences’ culture, b) explained differently in the dialogue, or c) kept as they are.</t>
  </si>
  <si>
    <t>Diaz de Regules</t>
  </si>
  <si>
    <t>kdiazderegules6436@sdsu.edu</t>
  </si>
  <si>
    <t>Master of Arts in Theatre</t>
  </si>
  <si>
    <t xml:space="preserve">"Now, by my injuries, old man!” A Dramatic Presentation, In 5 acts. As altered for the SDSU Student Symposium. </t>
  </si>
  <si>
    <t xml:space="preserve">This analysis explores the representation of the father figure in 3 popular gothic works in American society between the years 1794-1830. The three scripts utilized for this essay are: Blue Beard (1811) by William Dunlap, The Castle Spectre (1798) by Matthew Gregory Lewis, and A Tale of Mystery (1808) by Thomas Holcroft. My analysis looks at the differences and similarities in characters who are father figures, and seeks to inform the representation through a historiographical approach. I contextualize the representation through popular narratives that sought to unite a nation in need for a national identity, these are:  the myth of the melting pot and the myth of the founding fathers, and institutionalism. While the portrayal of the father figures varies depending on the character's race, social status, and relation to the heroine, they are all represented as holders of authority and decision makers that are allowed, to some extent, to deviate from the standards of morality the other characters are held to. The narrative present in these plays benefited individuals who were white, male, and wealthy; non male, non white characters portrayed as inferior. While modern entertainment is held to different standards of representation, many of the tropes of the genre remain present in modern media. It is important to look at the history America has with popular entertainment and the differences in representation based on a character's social class, race and gender. This way we can understand how the representation came to be, we can gain insight as to what sort of narrative and implications we are reinforcing, and we can assertively advocate for changes in representation of the media we consume. 
</t>
  </si>
  <si>
    <t>Katia</t>
  </si>
  <si>
    <t>Ayala</t>
  </si>
  <si>
    <t>kayala0441@sdsu.edu</t>
  </si>
  <si>
    <t>Master of Arts in Latin American Studies</t>
  </si>
  <si>
    <t>Lost Voices: The 1954 Guatemalan Coup Revisited Through Oral History</t>
  </si>
  <si>
    <t>The study of the 1954 Guatemalan coup has proved to be a multifaceted phenomenon. With the rise of global political tensions stemming from the Cold War and the depleting supply of farmland for its citizens, Guatemala was placed in a vulnerable position. This state of crisis would eventually culminate with the CIA-led coup, overthrowing a democratically-elected president and replacing him with an authoritarian government. What is rarely discussed, however, are the lived experiences of Guatemalan citizens during and after such an impactful event. To best share their experiences, this study relies on the use of testimonies told by the citizens of Guatemala who experienced and were affected by the coup and its aftermath. The use of testimonies for this research will allow for a more nuanced view of the coup that goes beyond statistical data or simple historical retellings. It will focus on the personal stories of said individuals as a means to highlight the impacts of such a radical shift in the nation’s social, political, and economic systems.</t>
  </si>
  <si>
    <t>Haley</t>
  </si>
  <si>
    <t>Ciborowski</t>
  </si>
  <si>
    <t>hmciborowski@sdsu.edu</t>
  </si>
  <si>
    <t>Nancy</t>
  </si>
  <si>
    <t>Quidachay</t>
  </si>
  <si>
    <t>nguzman3678@sdsu.edu</t>
  </si>
  <si>
    <t>People’s engagement with primate habitat signage at the San Diego Zoo</t>
  </si>
  <si>
    <t>Zoological organizations have been around for many years, with one of their main goals being to educate people on wildlife not typically found in their everyday life. A primary mechanism used by zoos to disseminate educational information is signage. Due to zoos being big contributors to wildlife conservation, it is important to be able to assess the extent to which conservation education materials are received by people. It is therefore important to determine how effectively this staple educational tool impacts people’s knowledge and long-term behavior toward conservation efforts. My research contributes to this objective by providing an analysis of how effective the zoo habitat signage is in informing people about endangered primate species at the San Diego Zoo. I used a comparative approach evaluating signage impact at three primate habitats at the zoo, to determine how their signage differs between habitats and how that might affect people’s perceptions and knowledge. I specifically compared the behavior, knowledge, and opinions of zoo patrons visiting the Capuchin (Sapajus apella), Orangutan (Pongo abelii), and Lemur (Varecia rubra, Lemur catta, Eulemur collaris, Eulemur flavifrons, and Propithecus coquereli) habitats. My research goals were to: 1) characterize how zoo visitors engage with the habitat signage and 2) better understand how the signage present influences people’s knowledge of conservation issues, for example wildlife trafficking, and their opinion on the species within a conservation context. To address the 1st goal, I spent 9 weeks during the months of April, May, and June observing zoo visitors (total of 6,958 people) to determine what proportion of patrons stopped to read the signs. I conducted 10 min focal observations using the signs as the focal subjects and an ethogram to track the behaviors exhibited towards the signs. To address the 2nd goal, I conducted 82 survey questionnaires with zoo visitors to gauge people’s current knowledge. The survey questionnaires revealed that many respondents felt that while conservation is important most are unsure of how they can contribute. Respondents also noted that the signage was more useful to learn about primates as opposed to conservation. This preliminary study of human engagement with signage will allow the San Diego Zoo and other similar facilities to do a re-evaluation of their primate habitats, further extending the mission of primate conservation through enhancing how people receive information.</t>
  </si>
  <si>
    <t xml:space="preserve">Erin </t>
  </si>
  <si>
    <t>Vizcarra</t>
  </si>
  <si>
    <t>evizcarra5696@sdsu.edu</t>
  </si>
  <si>
    <t>Bachelor of Arts in History</t>
  </si>
  <si>
    <t>The Chinese American League of Justice</t>
  </si>
  <si>
    <t xml:space="preserve">This research focuses on the Chinese American League of Justice, which operated from 1909 to 1913, and the ways in which the League discursively resisted racialization, exclusion, and discrimination through their publications. </t>
  </si>
  <si>
    <t>Chiou-Ling</t>
  </si>
  <si>
    <t>Yeh</t>
  </si>
  <si>
    <t>cyeh@sdsu.edu</t>
  </si>
  <si>
    <t>Grace</t>
  </si>
  <si>
    <t>Dearborn</t>
  </si>
  <si>
    <t>gdearborn6828@sdsu.edu</t>
  </si>
  <si>
    <t>E.C. and the Nuclear Unit: What a Difference a Code Makes!</t>
  </si>
  <si>
    <t xml:space="preserve">A comparison of familial representations in Entertaining Comics’ (E.C.) Shock Suspenstories (1952-1955) with Shock Suspenstories' successor from E.C., Tales Designed to Carry an Impact (1955-1956) demonstrates how the 1954 Comics Code changed the images of, and storylines about,  post-World War II domesticity. Three main goals guide the analysis: identifying characters that express standards of beauty and domesticity, tracing storylines that depict the dynamics shared by said characters, and examining text that illuminates ideas central to the time of its creation either through its tone or wording. Augmenting the study is a review of interviews of E.C. contributors in the years following the changes the Code brought. Scholars have explored how these stories illuminate ideas of race (Whitted 2019), censorship (Yezbick 2015), and gender (Green 2012); yet none have investigated publications from E.C. with the intent of understanding how E.C. writers and artists commented on American domesticity following World War II. The issues of the post-Code Impact, while maintaining a similar formula to other E.C. stories like a ‘shock ending’ or ‘preachy’ intent, moves away from the obvious and gory depictions of domesticity — domestic abuse, disobedient, even parenticidal children, and even confronting the standards of paternity and maternity —  to which readers of many pre-Code E.C. publications, specifically Shock Suspenstories, would have grown accustomed and arguably still wanted. </t>
  </si>
  <si>
    <t>Pollard</t>
  </si>
  <si>
    <t>epollard@sdsu.edu</t>
  </si>
  <si>
    <t>Darya</t>
  </si>
  <si>
    <t>Ardehali</t>
  </si>
  <si>
    <t>dardehali6446@sdsu.edu</t>
  </si>
  <si>
    <t>Bachelor of Arts in Global Humanities</t>
  </si>
  <si>
    <t>Indigenous Art for Perspective</t>
  </si>
  <si>
    <t xml:space="preserve">Generally in Western Film, Indigenous culture is depicted as  vanishing and in need of saving. Taking an  American Indian Studies class, I gained insight on filmmaking techniques and their historical application in shaping a Western racist narrative of Indigenous existence. Simultaneously, I learned how  Indigenous Peoples have reclaimed the narrative, using it as an empowering tool through film  to claim their identity and raise  awareness of cultural injustices.  In Hunt for the Wilderpeople, the director, Taika Waititi uses Ricky’s relationship with the Pākehā  (slang in Maori for foreigners) to demonstrate society’s power structure system and how much of that power goes to Indigenous communities, utilizing an empathetic approach for social justice.
Reading works of Indigenous scholars, I understand how particularly Western society has used recurring tropes such as the Barbaric Savage and  Indian Princess  trope to illustrate a temporary picture of Indigenous Existence.  Waititi presents Western Indigenous tropes by portraying  both Ricky similarly and completely opposite to them.  The film’s comedic script and Ricky’s resistance to be “conquered” by law enforcement serve as tools to powerfully challenge these stereotypes. Expanding upon knowledge gathered from interview and content analysis, my work points to how techniques like Low-key Lighting and Parallel Editing are instrumental in eliciting an emotional response to address racism and create an empathetic space. Additionally, Waititi addresses Maori racial oppression in New Zealand's Justice system, depicting Ricky as a desperate Maori orphan in search of a community. Furthermore, through costume design and setting, Waititi addresses the concepts of “Rapid Urbanization” and assimilation illustrating how these processes have violated the human rights of Indigenous people.
Waititi uses innocence and empathy in his film to address Indigenous racism,  demonstrating the possibility of achieving unity and equality between races. He highlights this demonstrating Ricky and Hector's strong bond, despite their initial negative racial biases. This film provides audiences with a comprehensive view of racism from both projected and internalized perspectives. The film implied that, despite biases within diverse backgrounds, achieving unity through genuinely listening  and understanding different perspectives is possible for a peaceful global community.
</t>
  </si>
  <si>
    <t>Desmond</t>
  </si>
  <si>
    <t>Hassing</t>
  </si>
  <si>
    <t>dmhassing@sdsu.edu</t>
  </si>
  <si>
    <t>Brianna</t>
  </si>
  <si>
    <t>O'Boyle</t>
  </si>
  <si>
    <t>boboyle3381@sdsu.edu</t>
  </si>
  <si>
    <t>Masters of Arts in Linguistics</t>
  </si>
  <si>
    <t>Are there really Pirates in Beijing? Perceptual Dialectology of Rhoticization in Mandarin</t>
  </si>
  <si>
    <t xml:space="preserve">Humans are perceptive creatures, based on observations we often make judgments about a person such as what their socioeconomic status might be based on their clothes, or their intelligence based on their hair color. We also do with language, and make judgements on where someone is from based on the way they speak. Some examples in English would be that people who say “cawfee” are likely from parts of the Mid Atlantic, while people who say “the” before numeric freeways would likely be from Southern California. But it doesn’t only occur in English, it can be in other languages too. This study attempts to examine a specific linguistic feature of Mandarin, a process of rhotacization (r-sound) in the rime of a syllable. While this process exists in many varieties of Mandarin, such as Standard Mandarin, Chengdu, Jilu, among others, it is more frequently used in and associated with Beijing and Northern regions of China. 
In order to see if people actually perceive this feature with more Northern regions of China we follow Plichta &amp; Preston (2005) and replicate a similar methodology to test the regional association of this feature of rhoticity along a North-South latitude. Native Mandarin speakers (N=52) were presented with a word “hua” with varying degrees of rhotacization in the rime of two Mandarin words spoken by male and female speakers. The stimuli was created from recordings taken from the ManDi corpus (Zhao &amp; Chodroff, 2022), where F-3 was manipulated to create five levels of rhoticity. After listening to an utterance the participants were asked the location of a speaker on a map with seven cities, Harbin, Shenyang, Beijing, Zhengzhou, Wuhan, Changsha and Guangzhou, which range along a North-South dimension. It was found that there indeed was a correlation between greater degrees of rhoticity, and more northern cities (p&lt;0.001). Additionally there was an effect of participant gender where female participants in general rated the stimuli as more Northern. This study hopes to contribute to a growing body of work of perceptual dialectology, attitudes people have of regional variation, in languages beyond English.  
</t>
  </si>
  <si>
    <t xml:space="preserve">Physical and Mathematical Sciences </t>
  </si>
  <si>
    <t>Kaauwai</t>
  </si>
  <si>
    <t>dkaauwai0821@sdsu.edu</t>
  </si>
  <si>
    <t>Computer Science/Mathematics</t>
  </si>
  <si>
    <t>SCS1++: A Tool for Assessing Learning Outcomes of Computer Science Students</t>
  </si>
  <si>
    <t xml:space="preserve">Assessment of learning outcomes within any discipline is paramount in evaluating the efficacy of teaching methods and the progression of student knowledge. The development of rigorous and validated assessments of formal computer science outcomes is a difficult endeavor and is one of the primary focuses of the Computer Science Education Research lab at SDSU. Computer science concepts are elusive to measure, since the concepts taught in these courses are, by nature, abstract. The Second Computer Science 1 (SCS1) Knowledge Assessment has proved to be a valuable tool for computer science educators to assess the learning outcomes of introductory computer science course offerings. Our work focuses on SCS1++, which builds on previous research completed by Dr. Miranda Parker in her work with SCS1, seeking to improve assessments of computer science education. 
The nine conceptual categories that the SCS1++ is designed to assess broadly overlap. Recursive functions require an understanding of conditionals, function parameters, function returns, and logical operations. One of the several goals that we seek to achieve is an introductory computing assessment wherein those individual concepts can be measured independently. Such a tool would allow educators to gain deeper insight into what students are not understanding with much greater nuance. Instructors could then tailor their curriculum to address those deficiencies.
During Spring 2023, our research focused on cleaning, parsing, and gathering insight from data that has been collected from previous iterations of the assessment. Over the fall semester, our work focused on identifying questions that did not provide reliable assessments of student learning, and either revising or replacing those questions. We also sought to expand the question set for the nine conceptual areas that the SCS1++ has been designed to assess, both to increase the raw number of assessment items that are available and increase the range of difficulty levels across all items in each category. This presentation will serve to showcase the work that has already been done by undergraduate students within the Computer Science Education Research lab with Dr. Parker and illustrate the necessity for this research within Computer Science as a discipline.  
</t>
  </si>
  <si>
    <t>Miranda</t>
  </si>
  <si>
    <t>Parker</t>
  </si>
  <si>
    <t>mcparker@sdsu.edu</t>
  </si>
  <si>
    <t>Palmares</t>
  </si>
  <si>
    <t>rpalmares8640@sdsu.edu</t>
  </si>
  <si>
    <t>Bachelors of Science in Physics</t>
  </si>
  <si>
    <t>Localized Strained Moiré Material in TMD Hybrid Monolayer-Nanotube Interfaces</t>
  </si>
  <si>
    <t>Since the simple yet revolutionary discovery of graphene in 2004, the study of 2- dimensional materials has become an exciting and upcoming field in the world of condensed matter physics. Exploiting the weak van der Waals forces between individual layers of bulk graphite to create single layer graphene, has evolved into a whole new class of 2d materials hexagonal boron nitride, and direct band gap semiconductors like transition-metal dichalcogenides (TMDs). These materials are well known for their unique photonic and electrical proprieties that are akin to stackable “building blocks”. By stacking these 2d materials and twisting them, we create a new type of material known as moiré materials. This new type of material can finely tune its photonic and electrical properties by twisting them and is shown in stacked bilayer graphene at 2.2 degrees, turning a material of pure carbon, into a superconductor. These new materials are now being explored in quantum computing and other nano-scale devices because of these exciting discoveries. 
Recent research in moiré materials has shown that twist angle can finely tune its optical and electrical properties. We can take this a step further by adding strain to the crystal lattice, creating an additional method to tune these sought after properties. The method of introducing strain into our crystal lattice is through the fabrication of two chemically identical materials, in our case a Tungsten Disulfide (WS2) monolayer flake and nanotube. By mechanically transferring the flake and stretching it across the nanotube we create a hybrid crystal structure, where we get a laterally strained crystal across the interface of the nanotube while at the same time creating a localized area of moiré material.
By being able to control the strain and twist angle via fabrication, we can create complex nanoscale devices and finely tune their properties through this hybrid interface.  Such materials show potential as quantum sensors and photonic qubits for applications in quantum computing and quantum information science. As we delve deeper into the realm of 2D materials and their manipulation, the potential for groundbreaking advancements in nanoscale device design holds great promise.</t>
  </si>
  <si>
    <t>Becker</t>
  </si>
  <si>
    <t>mbecker9777@sdsu.edu</t>
  </si>
  <si>
    <t>Material Characterization of Novel PEDOT Thin Films Produced via oxidative Chemical Vapor Deposition using Volatile Liquid Oxidants</t>
  </si>
  <si>
    <t>Conducting polymers have gained attention due to their metal-like conductivity, high transparency, and excellent mechanical flexibility. The texture and nano-structure of conducting polymers play a crucial role in their performance in technological applications. By controlling parameters such as preferential orientation, π-π stacking distance, and crystallite size the charge carrier mobility can be improved. Oxidative chemical vapor deposition (oCVD) is being explored as a scalable manufacturing technique for fabricating conducting polymers with characteristics such as conformal coatings, low-temperature processing, solvent-free synthesis, and mechanical flexibility. The oCVD is a powerful method that allows simultaneous polymerization, doping, and thin-film formation, even on nanostructured materials. In the oCVD process, a monomer vapor, such as 3,4-ethylene dioxythiophene (EDOT), is introduced into a vacuum chamber along with an oxidant vapor. Commonly, vapor iron (III) chloride is used as the oxidant, which requires a postdeposition rinsing step to remove unreacted oxidants and oxidation by-products. Alternatively, more volatile oxidants like VOCl3, or SbCl5 can be used in a true single-step, all-dry oCVD fabrication. By controlling the π–π stacking distance and interchain charge transfer integral, highly face-on oriented semicrystalline poly(3,4-ethylenedioxythiophene) (PEDOT) thin films with metallic conductivity at low temperatures have been developed. As manufacturing techniques and material performance improves, characterization methods must accurately model the internal structures contributing to optimized conductivity so the development of future novel PEDOT materials can augment these features.</t>
  </si>
  <si>
    <t xml:space="preserve">Meysam </t>
  </si>
  <si>
    <t>Heydari Gharahcheshmeh</t>
  </si>
  <si>
    <t>mheydari@sdsu.edu</t>
  </si>
  <si>
    <t>Charlonis</t>
  </si>
  <si>
    <t>jcharlonis3584@sdsu.edu</t>
  </si>
  <si>
    <t>Masters of Science in Chemistry</t>
  </si>
  <si>
    <t>The Role Iron in the Photoinitiated Growth of Silver Nanoparticles</t>
  </si>
  <si>
    <t>Aqueous solutions containing silver ions and organic acids have long been known to be photosensitive, with the products generally being silver aggregates of varying size and shape.  We have found that the inherent sensitivity is in fact lower than expected and that trace amounts of species such as iron can play a dominant role in initiating the reactions.  In the present work, we show that silver nanoparticles of well-defined size and shape readily form when solutions containing silver, citrate, and iron ions ([Fe+2] / [Ag+] &lt; 0.001) are irradiated by violet light.  Using UV-visible spectroscopy, nuclear magnetic resonance, dynamic light scattering, and transmission electron microscopy, we have carried out a detailed kinetic and mechanistic study, with an emphasis on the initial steps of growth. We discuss iron’s peculiar role in the overall reaction mechanism and its final fate. We also briefly look into the influence of pH on the reaction mechanism.  Absorption of light via a charge transfer transition in iron citrate complexes leads to the production of Fe+2 and radicals, several of which serve to reduce Ag+.  To the best of our knowledge, this is the first report of this novel synthetic route of producing silver nanoparticles.</t>
  </si>
  <si>
    <t>N/A</t>
  </si>
  <si>
    <t>Dpullman@sdsu.edu</t>
  </si>
  <si>
    <t>Christopher Chase Martin</t>
  </si>
  <si>
    <t>cmartin5842@sdsu.edu</t>
  </si>
  <si>
    <t>Masters of Astronomy</t>
  </si>
  <si>
    <t>Kepler-8610483b: The First Potential High-Inclination Circumbinary Planet</t>
  </si>
  <si>
    <t>Most stars in the universe exist in a binary star system, which are systems of stars that orbit each other. Approximately up to 85% of stars exist in these binary systems. Out of the over 5,000 planets that have been discovered outside of our solar system, which are called exoplanets, only 20 of them orbit a binary star system. These planets are known as circumbinary planets. In 2014, a circumbinary planet candidate was discovered using data from the NASA Kepler Space Telescope (2009-2013).  The binary star system this candidate was found in is called KIC 8610483. Most of the circumbinary planets have been found by detecting the planet as it passes in front of one of the stars. This candidate does not transit, so it was found another way. It was detected because of the effect it had on the binary stars that it orbits. The gravitational pull from the planet causes small variations in the eclipse times of the binary stars. An eclipse is when one of the stars passes in front of the other. The researchers were able to determine all of the orbital parameters for the circumbinary planet, except for the orbital inclination. The orbital inclination describes how the orbit of the planet is angled in comparison to the binary stars. The goal of this project is to estimate the inclination angle using the original Kepler data alongside new data from the Transiting Exoplanet Survey Satellite (TESS) mission and ground based data. It is important to get an estimate because the exoplanet could have an orbit that is highly inclined to the orbit of the binary star system. If that is the case, then it would be the first high-inclined circumbinary planet. A planet like this would be very interesting to study, and could lead to interesting implications in planetary formation.</t>
  </si>
  <si>
    <t>Man, Cisgender</t>
  </si>
  <si>
    <t xml:space="preserve">Maraliz </t>
  </si>
  <si>
    <t>Fischler-Barraza</t>
  </si>
  <si>
    <t>mfischlerbarra7956@sdsu.edu</t>
  </si>
  <si>
    <t>Math, and Science Education Joint Doctoral Program</t>
  </si>
  <si>
    <t>Science-Based Art Activities Facilitate the Development of Scientific Knowledge  and Techniques in Pre-Service Teachers</t>
  </si>
  <si>
    <t xml:space="preserve">Art and science are inextricably linked throughout human history. More recent systemic reviews of the education systems have alienated artistic endeavors from scientific ones, leading learners to believe they are unrelated. While science suffers from a reputation that only a small portion of a privileged population can join, art, on the other hand, is a more welcoming field. Discrepancies between science and art have been highlighted in K-12 education. Reintegrating art and science in pre-service teacher training can be a novel resource for future teachers. In this study, I investigated how science-based art activities can help support the development of scientific knowledge in preservice teachers. I interviewed five undergraduate students who are also enrolled in pre-service teacher training and will graduate with their bachelor's and teaching credentials. Students participated in a cyanotype activity and were then asked to produce artist statements as part of their teacher training program. I analyzed 1) how pre-service teachers made observations of their environment using art, 2) what pre-service teachers’ perspectives of their environment, and 3) how pre-service teachers think about integrating science into their lessons using science-based art activities. Findings show that pre-service teachers 1) showed enthusiasm in engaging in the exploration of their environment through science-based art activities 2) developed a collaborative environment in which they discussed the design and presentation of their cyanotype, 3) can develop a robust connection between science-based art activities and content-specific scientific knowledge. These three main findings can be closely linked to NGSS practices that pre-service teachers are expected to integrate into their curriculum. Fostering the engagement of pre-service teachers in the development and use of scientific knowledge through art activities like cyanotyping can support meaningful scientific practices in the classroom that has the potential to effect change beyond the school setting.  </t>
  </si>
  <si>
    <t xml:space="preserve">Kathleen </t>
  </si>
  <si>
    <t>Schenkel</t>
  </si>
  <si>
    <t>kschenkel@sdsu.edu</t>
  </si>
  <si>
    <t>Danielle</t>
  </si>
  <si>
    <t>Huddlestun</t>
  </si>
  <si>
    <t>dhuddlestun1980@sdsu.edu</t>
  </si>
  <si>
    <t xml:space="preserve"> “So Someone Like Me Can Be in Academia?” The Role of Mentoring in a Community College Undergraduate Research Program</t>
  </si>
  <si>
    <t xml:space="preserve">Informed by the positive impacts of HIP participation, in particular undergraduate research, and inequitable participation in HIPs (Kuh et al., 2017; NSSE, 2021; Zilvinskis et al., 2022) the purpose of this study was to understand the role of mentoring experiences in students’ scholar identity development during an equity-focused undergraduate research program for first-generation and racially minoritized community college students. Drawing on Nora and Crisp’s (2007) multi-dimensional framework for mentoring community college students, this evaluative inquiry explored how mentoring experiences during a research fellowship program contributed to students’ (1) scholar identity development and (2) network of community support. Data are drawn from the reflections of 19 community college students. </t>
  </si>
  <si>
    <t>Brayan</t>
  </si>
  <si>
    <t>Astorga Palomar</t>
  </si>
  <si>
    <t xml:space="preserve">Jahaziel </t>
  </si>
  <si>
    <t>Sanchez</t>
  </si>
  <si>
    <t>Ben</t>
  </si>
  <si>
    <t xml:space="preserve">Mendoza </t>
  </si>
  <si>
    <t>Marissa</t>
  </si>
  <si>
    <t xml:space="preserve">Vasquez </t>
  </si>
  <si>
    <t>mvasquez@sdsu.edu</t>
  </si>
  <si>
    <t>Daniela</t>
  </si>
  <si>
    <t>dphernandez@sdsu.edu</t>
  </si>
  <si>
    <t>Bachelor of Arts in Interdisciplinary Studies</t>
  </si>
  <si>
    <t>Empty promises, broken policies: How State and Federal legislation affects servingness at Hispanic Serving Institutions in STEM.</t>
  </si>
  <si>
    <t>Recent research has explored multidimensional “servingness” to understand how Hispanic Serving Institutions (HSIs) intentionally support Latine students (Garcia et al., 2019). Race-conscious policies and practices are key to transforming HSIs because these institutions enroll large percentages of Latine/x, Black, Indigenous, Asian American, and Pacific Islander students (Espinosa et al., 2019). Our project focuses on servingness, specifically examining external influences like federal and state legislation (Garcia et al., 2019). Federal and state policies are crucial in shaping servingness but are limited within racialized systems that privilege “whiteness” and colorblind racialized logic that disregards the realities of systematic racism that minoritized students of color face in the education pipeline (Garcia, 2023). Given that minoritized students are underrepresented in STEM fields, educational policies that consider the unique experiences of students are necessary to provide adequate support for minoritized students in STEM, including degree completion and career development. STEM disciplinary culture tends to be “chilly” in that it fosters competitiveness and individualistic goals and values, often resulting in a lack of representation, lower retention rates, and blatant discrimination (McGee, 2016; Ong et al., 2018). Title V and Title III have direct implications for HSI servingness. Title V program helps HSIs improve academic performance and ensure the quality of education for Latine and Pell grant-eligible students (Higher Education Opportunity Act, 2008). Title III contributes funds to increase the number of Latine and minoritized STEM students by providing additional support, such as scholarships, internships, and academic services (U.S. Department of Education, 2023).  
The purpose of this literature review is to demonstrate the important role policies and practices have on promoting equitable educational opportunities and success. Legislation must be race-conscious in order to address the unique needs of minoritized students in STEM. The literature on race-conscious policies was compiled using keywords such as Hispanic-Serving Institutions (HSIs), Affirmative Action, DEI, CRT, Title V &amp; III, policy, and race-conscious policy in OneSearch and Google Scholar databases. The importance of closing the gaps between legislation and practices to support minoritized students in STEM at HSIs will be further discussed in the presentation.</t>
  </si>
  <si>
    <t>Alexis</t>
  </si>
  <si>
    <t>Reynoso</t>
  </si>
  <si>
    <t>Alana</t>
  </si>
  <si>
    <t>Rio</t>
  </si>
  <si>
    <t>ario8462@sdsu.edu</t>
  </si>
  <si>
    <t>Bachelor of Arts in Psychology and Philosophy</t>
  </si>
  <si>
    <t>Cultivating genuine learning: Instruction and incentives for students to constructively use artificial intelligence tools</t>
  </si>
  <si>
    <t>Given that pervasive student use of artificial intelligence (AI) tools is uncontrollable, SDSU and other universities should provide instruction and incentives for students to use AI productively.  Students need instruction on how to engineer prompts, choose AI tutoring tools over AI generated answers, and critique AI output in order to gain a competitive edge both in the classroom and, later, in the job market. We need classroom discussion of how cognitive offloading and over-reliance on AI risks increased laziness, reduction in writing competence, diminished memory, and inadequate development of the foundational skills and problem solving needed to become productive citizens. Besides offering instruction in best AI practices, SDSU must take proactive steps to redesign assignments and grading assessments. Ultimately, if students aren’t rewarded for using their own cognitive work over AI-generated submissions, then an SDSU college degree will lose value.</t>
  </si>
  <si>
    <t>Jose</t>
  </si>
  <si>
    <t>gjose4369@sdsu.edu</t>
  </si>
  <si>
    <t>Bachelor of Arts in English for Single Subject Teaching + B.A. in Comparative International Studies</t>
  </si>
  <si>
    <t>Educational Frontiers: A Comparative Study of K-12 Experiences in San Diego's Diverse Neighborhoods</t>
  </si>
  <si>
    <t xml:space="preserve">       The proximity of San Diego to the U.S.-Mexico border provides a distinctive backdrop for research opportunities. This study dives into the intricate relationship between socioeconomic and demographic factors, such as funding inequities and the representation of certain groups in the educational landscape, focusing specifically on the impact of public K-12 schools in San Diego pursuing higher education.
       A comparative analysis between affluent areas like La Jolla and Point Loma; and more economically diverse regions such as Chula Vista and San Ysidro offers insights into disparities in educational experiences. Examining transborder student mobility, this study explores how this influences enrollment patterns in local schools and the pathway to four-year university programs directly after high school. The challenges and opportunities arising from students residing on one side of the border while attending school on the other are scrutinized, shedding light on the complexities of this unique scenario. 
       Furthermore, the research addresses the intersection of bilingual education and special education services in San Diego. By investigating the nuances of linguistic challenges within the context of special education, this study aims to identify insight into creating more inclusive and effective educational environments.
       In summary, this research endeavors to deepen our understanding of the multifaceted dynamics shaping K-12 education in San Diego. By examining socioeconomic, government funding, demographics, and college-bound pathways, this study seeks to unravel the complexities that underlie the representation and educational experiences of diverse student groups in this unique geographical position.
</t>
  </si>
  <si>
    <t>Juan</t>
  </si>
  <si>
    <t xml:space="preserve">Estrada Silvestre </t>
  </si>
  <si>
    <t>jestradasilves3314@sdsu.edu</t>
  </si>
  <si>
    <t>Hazel</t>
  </si>
  <si>
    <t>Fernandez</t>
  </si>
  <si>
    <t>hfernandez6433@sdsu.edu</t>
  </si>
  <si>
    <t xml:space="preserve">Bachelor of Arts in Sociology </t>
  </si>
  <si>
    <t>Beyond Excited and Anxious: Student Influences and Emotions Towards Their Career Search</t>
  </si>
  <si>
    <t>The shift from college life to a professional career is a significant milestone that brings forth a blend of excitement and unease. This research postulates that emotions experienced during this phase are influenced by a range of factors, including demographic characteristics, guidance from mentors, and the effectiveness of career support services. Using a mixed-methods strategy, the study combines both numerical and qualitative information from over 2,400 surveys and 200 comprehensive interviews. The participants encompass undergraduate and recent graduate students with diverse backgrounds and academic majors. The surveys encompassed structured surveys, while the interviews embraced semi-structured conversations to gain nuanced insights. Cutting-edge statistical methods were applied for the numerical analysis, whereas artificial intelligence tools aided in deciphering the qualitative data. Initial findings propose that the journey from college to career is notably stressful for a majority of students, regardless of their demographic profiles.
Interestingly, individuals who highlighted the significance of a mentor in shaping their career pursuits exhibited notably more optimistic emotions when it came to job hunting. Likewise, those who chose professions aligned with key aspects of their own personality experienced this positive effect. Strikingly, campus-based career services were ranked as the least influential among the various factors examined in the study. These preliminary outcomes underscore the intricate psychological and sociological elements that impact college-to-career transition. Mentorship emerges as a pivotal positive force, pointing towards the necessity for targeted mentorship initiatives within educational institutions. The limited impact of on-campus career services suggests the need for a reevaluation and potential enhancements in these programs, or heightened motivational endeavors to encourage students to utilize the existing offerings effectively. To address these revelations and provide support to students beyond just academic accomplishments, we are in the process of crafting specialized resources accessible at www.laborlab.com.</t>
  </si>
  <si>
    <t xml:space="preserve">Daniel </t>
  </si>
  <si>
    <t>Davis</t>
  </si>
  <si>
    <t>ddavis@sdsu.edu</t>
  </si>
  <si>
    <t>Poster</t>
  </si>
  <si>
    <t>Montezuma Hall</t>
  </si>
  <si>
    <t xml:space="preserve">Magdalen </t>
  </si>
  <si>
    <t>Acker</t>
  </si>
  <si>
    <t>macker5757@sdsu.edu</t>
  </si>
  <si>
    <t xml:space="preserve">Speech Language and Hearing Sciences </t>
  </si>
  <si>
    <t>Over-the-Counter Hearing Aids: How user-friendly are they?</t>
  </si>
  <si>
    <t>Hearing loss is highly prevalent yet vastly undertreated among older adults. In addition to impacts on communication, unaddressed hearing loss in older adults is associated with poorer quality of life, lower self-efficacy, an increased risk of loneliness and social isolation, and greater odds of cognitive decline. Still, hearing aid use remains low (14-30%). A number of barriers exist that contribute to the low rate of hearing aid uptake, including high costs and , lack of insurance coverage. In an effort to improve accessibility and uptake, the US Food and Drug Administration recently approved a new category of over the counter (OTC) hearing aids. OTC hearing aids have been available to consumers since October, 2022. However, we still do not know the extent to which older adults can successfully carry out the self-fitting process on their own. This process may be challenging for some individuals, including those with no previous experience with hearing aids, those with limited technology familiarity, and with low health literacy. The current study is a first step in understanding the self-fitting needs of older adults. We  evaluated the extent to which older adults can accurately and independently self-fit a pair of commercially available over-the-counter hearing aids. Participants included 42 adults ages 55 and older who have perceived mild to moderate hearing loss. Study procedures: participants were asked to carry out twelve basic steps in assembling and managing a pair of OTC hearing aids (e.g., download app, insert hearing aids in ears) under observation. Scoring was done by a trained rater using Likert-type scales for accuracy and independence adapted from published literature (Convery et al. 2011). Grand mean scores were calculated by averaging together the twelve individual scores, with higher scores indicating better accuracy and independence. The current study presents descriptive outcomes. Future reports will address analytical questions such as the extent to which self-fitting is more successful among participants who have experience with hearing aids. This work has the potential to contribute to improvements in the design of user-friendly OTC hearing aids and educational materials to support individuals who choose to self-direct their hearing care.</t>
  </si>
  <si>
    <t>Tiana</t>
  </si>
  <si>
    <t>Weeks</t>
  </si>
  <si>
    <t>Kerris</t>
  </si>
  <si>
    <t>Woods</t>
  </si>
  <si>
    <t>kwoods3515@sdsu.edu</t>
  </si>
  <si>
    <t>Exploring the Predictive Role of ACEs and Cognitive Ability in Posttraumatic Cognitions</t>
  </si>
  <si>
    <t>Adverse childhood experiences (ACEs) have been linked to many negative outcomes, including posttraumatic cognitions. Posttraumatic cognitions are changes in an individual’s thoughts and beliefs following a traumatic event, and these changes play an important role in post-traumatic stress disorder (PTSD) and the emotional response to trauma. Previous research has also shown that the lower a subject’s premorbid cognitive functioning is, the more severe their PTSD symptoms are. Therefore, the present study investigates whether ACEs and cognitive functioning assessed using a brief measure predict posttraumatic cognitions. Participants (N= 41) from San Diego State University completed self-report measures including the ACEs questionnaire and the posttraumatic cognitions inventory (PTCI), as well as the Shipley Institute of Living Scale (Shipley-2) which measures crystallized and fluid cognitive ability. We hypothesized that ACEs would significantly predict posttraumatic cognitions, such that the more ACEs one reported, the higher the posttraumatic cognition scores. We also hypothesized that Shipley-2 scores would predict posttraumatic cognitions; specifically, the lower the Shipley-2 score the more posttraumatic cognitions one would report. A multiple regression was run to examine the relationship between posttraumatic cognitions, ACEs (categorized 1-4+), and Shipley-2 scores. This resulted in a significant model, F(2,38) = 3.47, p =.041, R2 = .155. The individual predictors were further examined and indicated ACEs (t =2.62, p =.013) were significant, but Shipley-2 scores were not (t =-.312, p =.757). The current study extends previous findings by affirming the role of ACEs in posttraumatic cognitions. Importantly, the non-significant relationship with Shipley-2 scores may suggest that a brief measure of cognitive functioning is insufficient in capturing the specific cognitive processes related to posttraumatic cognitions.</t>
  </si>
  <si>
    <t>Katherine</t>
  </si>
  <si>
    <t>Turner</t>
  </si>
  <si>
    <t>katherine.turner@sdsu.edu</t>
  </si>
  <si>
    <t xml:space="preserve">Ashley </t>
  </si>
  <si>
    <t xml:space="preserve">Simard </t>
  </si>
  <si>
    <t>asimard4312@sdsu.edu</t>
  </si>
  <si>
    <t xml:space="preserve">Bachelors of Sciences in Psychology </t>
  </si>
  <si>
    <t xml:space="preserve">Binge drinking is associated with altered neurobehavioral indices of cognitive control: Local and network - level fMRI analysis  </t>
  </si>
  <si>
    <t xml:space="preserve">Binge drinking is common among young adults and refers to high intensity drinking interspersed with sobriety periods, which is associated with an array of health risks. It has been proposed that impaired cognitive control underlies the inability to refrain from hazardous drinking which may contribute to developing alcohol use disorder. Essential for flexible, strategically adaptive decision making, cognitive control is an executive function relying on the capacity to suppress automatic responses in favor of goal-relevant actions. Despite the high prevalence of binge drinking, evidence of neural alterations related to compulsive intermittent alcohol consumption is scant and our knowledge of biological sex differences is rudimentary.  In order to address these research gaps, the present study aimed to examine neurobehavioral indices of cognitive control as a function of recent binge drinking history and biological sex in a large group (N = 98) of young, healthy women and men. Those who reported engaging in at least five binge episodes in the past six months were classified as binge drinkers (BDs = 49). A binge episode is defined as consuming 4+/5+ drinks for women/men in two hours. Light drinkers (LDs = 51) reported two or fewer binge episodes in the last six months, but were otherwise matched on demographics, intelligence, and family history of alcoholism. Participants took part in functional magnetic resonance imaging (fMRI) scans while performing the Stroop task, commonly used to probe cognitive control. Behaviorally, BDs showed lower accuracy to the high - conflict trials which suggests they may have compromised cognitive control. Voxel-wise and region-of-interest analysis of the fMRI data revealed higher brain activity in frontal brain regions and the anterior cingulate cortex in BDs, which are instrumental for cognitive control. This finding suggests that BDs may have to overcompensate in the frontal brain regions in order to maintain normative performance on the task. Suggestive of deficient decision making, these results are consistent with altered neurocognitive functioning as a result of protracted alcohol misuse. This study contributes to our understanding of the neural dysregulation associated with alcohol misuse in young adult women and men, and could inform early detection and development of interventions. </t>
  </si>
  <si>
    <t xml:space="preserve">Ksenija </t>
  </si>
  <si>
    <t>Rachel</t>
  </si>
  <si>
    <t>Membreno Almendares</t>
  </si>
  <si>
    <t>rmembrenoalmen6444@sdsu.edu</t>
  </si>
  <si>
    <t xml:space="preserve">Bachelor's of Art in Psychology </t>
  </si>
  <si>
    <t>Verbal fluency varies by sex among Hispanic/Latino stroke survivors</t>
  </si>
  <si>
    <t>Background
Stroke has been associated with increased risk of cognitive decline and dementia. However, stroke outcomes may present differently across people, and women and men tend to experience different clinical manifestations post-stroke. Additionally, there are ethnic and racial differences, and Hispanic/Latinos tend to be underrepresented in this research. We aim to study the sex differences of daily functioning and cognition among Hispanic/Latino stroke survivors. 
Methods
We used the National Alzheimer’s Coordinating Center (NACC) dataset. We used data from Hispanic/Latino participants with stroke data. We used data from 107 women and 68 men with a history of stroke (52-97 years: SD = 8.75) collected from 2005-2015 from 16 sites. Dependent variables are daily functioning (Functional Activities Questionaire) and cognitive scores (verbal fluency (Animals, Vegetables), processing speed (Trail A), task-switching ( Trail B)). The exposure variable was sex (male/female). We used general linear models to test for the relationships between sex with daily functioning and cognition adjusting for age, education and language. 
Results
Men had worse cognitive performance on verbal fluency (b = -2.050, t = -3.534, p = 0.01) than women. We did not observe any other significant differences by sex. However, we found a consistent main association of older age with worse total daily functioning (b  = 0.61, t = 3.339, p = 0.001) and cognitive functioning on all measures, (bs ≥ | 0.111|, ts ≥ |2.066|, ps &lt; 0.05). Fewer years of education was associated with lower daily functioning and worse verbal fluency, processing speed and task-switching performance (bs ≥ |0.213| , ts ≥ |2.334|, ps &lt; 0.05). Spanish testing language was associated with slower processing speed (b = 20.780, t= 2.364, p = 0.020).
Conclusion: 
Among Hispanic/Latino stroke survivors, men performed worse than women on verbal fluency. The results can be related to women having stronger language abilities compared to men on average and therefore may be more resilient to language changes after stroke. Additionally, women may participate in more social activities that could aid language</t>
  </si>
  <si>
    <t>Ariana</t>
  </si>
  <si>
    <t>Stickel</t>
  </si>
  <si>
    <t>astickel@sdsu.edu</t>
  </si>
  <si>
    <t>Drew</t>
  </si>
  <si>
    <t>Curley</t>
  </si>
  <si>
    <t>dcurley4398@sdsu.edu</t>
  </si>
  <si>
    <t>Bachelor of Arts in Psychology (Emphasis in Industrial Organizational Psychology)</t>
  </si>
  <si>
    <t>Time Spent on Social Media and Its Impact on Body Satisfaction</t>
  </si>
  <si>
    <t>With the ever-growing involvement of social media in everyday life, several studies have explored how this increase in online “social connectedness” impacts humans. Overtime, research has repeatedly shown correlations between elements of mental health and social media use, which this study expands on. The current study explores the relationship between body satisfaction and time spent on social media with a predominantly female, young adult population. In line with prior literature, we hypothesize that there will be a significant difference in body satisfaction across groups of estimated time spent on social media; specifically we predicted those reporting higher time spent on social media would have lower body satisfaction. Participants (N=680) self-reported the amount of time, recorded in hours per day, that they spent on social media. They also responded to questions related to body satisfaction using a body satisfaction survey. As predicted, a one-way ANOVA indicated time spent on social media does significantly impact body satisfaction (p=.026). Post hoc analysis indicated those who reported 5-6 hours spent on social media reported significantly lower body satisfaction than individuals who spent 1-2 hours on social media (p= .026). We also hypothesized there would be a difference in the perceived impact of social media on body image based on time spent on social media, with the body satisfaction of those spending increased hours being more greatly impacted. A second one-way ANOVA indicated time spent on social media does significantly impact perception of body self-image as a result of social media usage (p=.005). Post hoc analysis indicates that those who spent 0-1 hours on social media reported a smaller change in perception of self-image compared to those spending 4-5 (p=.003) and 5-6 hours (p=.040). Results from this study demonstrate the changes in body satisfaction and perception of body image in young adults, depending on the amount of time they spend on social media daily.</t>
  </si>
  <si>
    <t>Dr. Katherine</t>
  </si>
  <si>
    <t>Elden</t>
  </si>
  <si>
    <t>melden4813@sdsu.edu</t>
  </si>
  <si>
    <t>Speech, Language, and Hearing Sciences</t>
  </si>
  <si>
    <t xml:space="preserve"> The Influence of Phonetic Complexity on Speech Motor Control in Children with Cerebral Palsy</t>
  </si>
  <si>
    <t>Cerebral palsy (CP) is a neurological disorder affecting movement and potentially speech production. Approximately 50% of people with CP have impaired speech intelligibility. Children with CP are less intelligible when saying words with more complex sounds, potentially due to associated motor impairments. To test this hypothesis, we examined movement characteristics of words differing in phonetic complexity in children with CP and typically developing peers.
A total of 18 children (9 with CP and 9 age/sex-matched typically-developing peers; mean age = 9.03 years; SD = 3.32 years) participated, producing 78 words through a standardized speech intelligibility test. Three-dimensional articulatory movements were recorded using an 8-camera optical motion capture system.
Three low-complexity words (mean complexity score = 5.67) and three high-complexity words (mean complexity score = 14.89) were analyzed to measure phonetic complexity based on articulatory movements. Kinematic dependent variables (maximum speed, range, spatial coordination) were analyzed using custom algorithms. Separate multilevel models used age/sex as covariates, and Group (CP, TD) and Complexity (High, Low) as independent variables.
All participants have been recorded and data analysis is ongoing. Preliminary analyses from two participants with CP and two age/sex-matched typically developing peers demonstrate that all four children had faster maximum speeds for high-complexity words (mean = 55.83 mm/s, SD = 15.52 mm/s) compared to low-complexity words (mean = 41.62 mm/s, SD = 14.97 mm/s). Similarly, range of movement was higher for high-complexity words (mean = 6.21 mm, SD = 1.27 mm) compared to low-complexity words (mean = 5.12 mm, SD = 1.71 mm). However, in spatial coordination, for the two children with CP, there is less coordination for higher complexity words (mean r = .59), and for the typically developing children, there is more coordination for higher complexity words (mean r = .68). 
Preliminary data suggests that typically developing children and children with CP have higher speeds for higher-complexity words. However, spatial coordination differs, decreasing between high and low-complexity words for children with CP, yet for typically developing children, it remains similar. Spatial coordination in children with CP may explain why they have more difficulty producing higher-complexity words.</t>
  </si>
  <si>
    <t>Ignatius</t>
  </si>
  <si>
    <t>Nip</t>
  </si>
  <si>
    <t>inip@sdsu.edu</t>
  </si>
  <si>
    <t>Kylie</t>
  </si>
  <si>
    <t>Coughlin</t>
  </si>
  <si>
    <t>kcoughlin3399@sdsu.edu</t>
  </si>
  <si>
    <t>Automated Detection of Archaeological Sites from Satellite Imagery</t>
  </si>
  <si>
    <t xml:space="preserve"> Identifying, categorizing and analyzing surface archaeological remains at large scales is typically achieved via costly pedestrian surveys, limiting the scale of analysis. The availability of high resolution (&lt;1m) space-borne imagery has enabled remote detection of sites, but manual identification of features is still laborious. In partnership with EyePop we will present a pilot study about how artificial intelligence can be used to automatically detect and classify surface sites. We will use the “Desert Kite” game trap sites in eastern Jordan as a case study, which are large rock alignments easily visible in aerial imagery. Automated site identification and classification advances the capacity for low-impact, remote-sensing applications in regional to global-scale archaeological surveys and resulting geospatial analyses of past settlement, mobility, and economic activities.</t>
  </si>
  <si>
    <t xml:space="preserve">Ace  </t>
  </si>
  <si>
    <t>Boyle</t>
  </si>
  <si>
    <t xml:space="preserve">Isaac </t>
  </si>
  <si>
    <t>Ullah</t>
  </si>
  <si>
    <t>iullah@sdsu.edu</t>
  </si>
  <si>
    <t>Ayden</t>
  </si>
  <si>
    <t>Kpormegbey</t>
  </si>
  <si>
    <t>akpormegbey3123@sdsu.edu</t>
  </si>
  <si>
    <t>Bachelor of Arts in Speech, Language and Hearing Sciences</t>
  </si>
  <si>
    <t>Age of acquisition and hearing status impact proficiency in American Sign Language</t>
  </si>
  <si>
    <t xml:space="preserve">The age of acquisition for American Sign Language (ASL) varies for both deaf and hearing adults. Deaf adults with deaf, signing parents typically acquire ASL from birth (native signers), but most deaf people are born to hearing parents and acquire ASL in early or late childhood through interactions with signing peers. Hearing signers with deaf parents (Codas – Children of Deaf Adults) also learn ASL from birth, but they may switch language dominance to spoken English, becoming heritage language users. Hearing people without deaf parents typically learn ASL in early adulthood in an educational or professional setting, rather than in early childhood. To investigate whether age of acquisition and/or hearing status impacts ASL proficiency in adulthood, we gave the ASL Sentence Repetition test (ASL-SRT) to 218 signing adults. This test requires participants to repeat verbatim 35 ASL sentences that increase in length and complexity. We tested a total of 187 deaf adults (87 native signers, 64 pre-school learners, and 36 elementary school learners) and 95 hearing adults (29 Codas and 66 adult learners). The results showed that overall, deaf signers outperformed hearing signers. There was little difference between native deaf signers and deaf pre-school signers, and both groups outperformed the native hearing signers (Codas). The hearing signers who learned ASL as a second language in adulthood had the lowest ASL-SRT scores. Hearing signers (both native and late-learners) are immersed in an English-dominant environment, with less daily exposure to ASL than deaf signers for whom ASL is their preferred and primary language. This difference in daily ASL exposure likely contributes to the difference in ASL proficiency between hearing and deaf signers. Finally, these results illustrate the importance of early ASL exposure for language proficiency, particularly for deaf individuals. </t>
  </si>
  <si>
    <t>Emmorey</t>
  </si>
  <si>
    <t>kemmorey@sdsu.edu</t>
  </si>
  <si>
    <t>Sofia</t>
  </si>
  <si>
    <t>Spies</t>
  </si>
  <si>
    <t>sspies2404@sdsu.edu</t>
  </si>
  <si>
    <t>BS Biology</t>
  </si>
  <si>
    <t>ActiveU</t>
  </si>
  <si>
    <t xml:space="preserve">Introduction: Physical activity plays a crucial role in maintaining overall health and well-being, yet many American college students struggle to engage in regular physical activity. Sedentary behaviors and a decline in physical activity levels during the college years have become a growing concern for public health. Understanding the factors that influence physical activity behaviors among this population is essential for designing effective interventions to promote a healthier lifestyle. This study aimed to investigate the barriers and facilitators to physical activity from the perspective of American college students.
Methods: Data were collected from July to August 2023 using semi-structured individual interviews with undergraduate students (n=7) in California. Interview guides were developed according to study goals, informed by a literature review, and adjusted as necessary throughout data collection. Open-ended questions elicited perspectives on barriers and facilitators to physical activity. Interviewers began with a brief introduction and then explored participants' current physical activity levels, perceived barriers and challenges to engaging in regular physical activity, motivational factors, awareness of campus recreational facilities, and any prior experiences with physical activity programs. Additionally, participants were asked to share their thoughts on potential strategies to promote physical activity on campus. 
Results/Conclusions: Participants included 7 students aged 20-23 years. About 71% of participants were female, and 57% White. About 71% of students were living off-campus, and 42% reported that they commute to campus. Over 70% were working at least 10 hours per week. Using an iteratively developed codebook, data will be coded, thematically analyzed, and synthesized.
</t>
  </si>
  <si>
    <t>Ana</t>
  </si>
  <si>
    <t>Santos-Olea</t>
  </si>
  <si>
    <t>Ashleigh</t>
  </si>
  <si>
    <t>Johnson</t>
  </si>
  <si>
    <t>ajohnson12@sdsu.edu</t>
  </si>
  <si>
    <t xml:space="preserve">Jacob </t>
  </si>
  <si>
    <t>Gallardo</t>
  </si>
  <si>
    <t>jgallardo7741@sdsu.edu</t>
  </si>
  <si>
    <t>Consultation Protocols as a Strategy for Indigenous Groups in Latin America to Protect their Rights and Territories</t>
  </si>
  <si>
    <t>Transnational networks of non-state actors are using the ILO Convention No. 169 as a powerful instrument of environmental governance to protect natural resources and communities who depend on them. The convention establishes the norm of Free, Prior, and Informed Consultation (FPIC). Indigenous, Tribal and Traditional peoples in Latin America write consultation protocols to demand that their governments uphold this international treaty. In this research, we analyze the relations between government discourse and practice. This analysis relies on secondary data through the method of process-tracing, which requires close familiarity with government statements, media articles, and other documents.  We also use document analysis to map the actors involved with consultation protocols with the goal of understanding how their connections increase their political influence. Thus analyzing a new case of norm diffusion through the usage of social network analysis (SNA) to map relations of multiple actors involved in creating consultation protocols and diffusing the said FPIC norm. The SNA analysis demonstrates the perceptive interactions of how numerous actors collaborate to diffuse this norm and influence environmental decisions. Consultation protocols have become one of the most important documents in the true application of the ILO Convention No. 169  in Latin America. The diffusion of the FPIC norm has allowed space through the understanding of the transnational networks that promoted the consultation protocols. This research shows how various Indigenous and Traditional communities in Latin America are using international law to protect the environment and their cultural rights.</t>
  </si>
  <si>
    <t>Chase</t>
  </si>
  <si>
    <t>mchase@sdsu.edu</t>
  </si>
  <si>
    <t>Agulilar</t>
  </si>
  <si>
    <t>jaguilar7954@sdsu.edu</t>
  </si>
  <si>
    <t>Navigating Cancer Care at the US-Mexico Border</t>
  </si>
  <si>
    <t>Cancer is the leading cause of death among Hispanics in the US, accounting for 20% of all
Hispanic deaths in 2019. Hispanics have higher rates of getting and dying from certain cancers
than other ethnicities, including cervical, liver, and stomach cancers (CDC, 2023). Barriers to
healthcare for Hispanics include language barriers (Hall et al., 2022), lack of paid sick leave
(Berdahl, 2021), and lack of health insurance (ASPE, 2021). These factors may be exacerbated in
rural regions along the US-Mexico border where largely immigrant populations face both
structural and cultural barriers to attaining healthcare (Collins et al., 2008). Structural factors
include poverty, lack of transportation, poor working environments, and educational barriers
resulting in reduced health literacy. Cultural factors may include gender roles and expectations,
and misconceptions about cancer, including both its causes and treatments (Dein, 2004). In this
study, we conducted semi-structured interviews with 20 individuals who have or had cancer
residing in the Imperial Valley, CA. The Imperial Valley is a rural agricultural region 120 miles
east of San Diego which borders on Mexicali, Mexico. 85% of residents identify as Hispanic
with 76% speaking a language other than English at home (US Census Bureau, 2019). 22% of
the population lives below poverty with an unemployment rate of 17.7% (EDD, 2020). Our
interview protocol examined how structural and cultural factors in this region shaped
participants’ experiences with cancer. This included questions designed to elicit participants’
explanatory models of cancer (e.g., its definition, causes, and treatment) and their experiences
with healthcare, including their use of different types of healthcare treatments on both sides of
the US-Mexico border. All interviews were audiorecorded and then transcribed and analyzed
using thematic coding. In this presentation, we focus on how structural factors, including a lack
of specialized healthcare facilities and healthworkers, and problems with health insurance
resulted in frequent misdiagnoses and diagnostic delays, leading to worse health outcomes.
Nevertheless, we demonstrate how some participants exercised agency within these constraints
by using healthcare services on both sides of the border and in San Diego. These results will help
healthworkers address health disparities in this region.</t>
  </si>
  <si>
    <t>Emilia</t>
  </si>
  <si>
    <t>Alcala</t>
  </si>
  <si>
    <t>Camila</t>
  </si>
  <si>
    <t>Castro-Garcia</t>
  </si>
  <si>
    <t xml:space="preserve">Linda </t>
  </si>
  <si>
    <t>Labarbanell@sdsu.edu</t>
  </si>
  <si>
    <t>Hayley</t>
  </si>
  <si>
    <t>Myers</t>
  </si>
  <si>
    <t>hmyers3009@sdsu.edu</t>
  </si>
  <si>
    <t>Veteran Military Leaders' Perceptions of Their Subordinates' Mental Health Care Use: A Qualitative Investigation</t>
  </si>
  <si>
    <t>The unique demands that active-duty service members face (e.g., deployment) make them susceptible to experiencing mental health issues (Prigerson et al., 2002). However, not all service members who experience mental health issues seek treatment (Hoge et al., 2004). One possible reason for this is stigma associated with mental health care use, which may be reinforced by military leaders (Britt et al., 2012; Chapman et al., 2014). However, our understanding of military leaders' opinions about mental health care in the military is limited. In one study, Westphal (2007) interviewed a group of U.S. Navy leaders to examine their attitudes about their subordinates' (i.e., lower-ranking service members) mental health care use. He found that leaders' attitudes were influenced by their responsibility to maintain combat-ready troops, not stigma towards mental health care (Westphal, 2007). Because research on this topic is limited, the present study is guided by the following research question: What are military leaders' perceptions of their subordinates' mental health care use, and how might those perceptions influence their interactions with subordinates? This qualitative investigation will involve the use of virtual focus groups to explore the perceptions of 10-20 Veteran military leaders regarding their subordinates' mental health care use. The data will be analyzed using thematic analysis and the results of this study will inform future research that may impact the military community on a larger scale.</t>
  </si>
  <si>
    <t>Ariel</t>
  </si>
  <si>
    <t>Lang</t>
  </si>
  <si>
    <t>ajlang@health.ucsd.edu</t>
  </si>
  <si>
    <t>Magliocco</t>
  </si>
  <si>
    <t>lmagliocco4596@sdsu.edu</t>
  </si>
  <si>
    <t>Investigating the Behavioral Response to Visual Object Stimuli (“In Progress”)</t>
  </si>
  <si>
    <t>Our neural systems that comprehend visual information and produce a response undergo complex processes in milliseconds. While research investigating object recognition goes back decades, more recent studies of object recognition have used megastudy approaches, which examine very large sets of participants viewing vast amounts of stimuli. Our current study involves 38 participants viewing 900 images of objects. To establish familiarity measures for these objects, we collected normative data from a unique set of participants. These participants were asked to provide a naming label and rate the familiarity of each object on a seven-point Likert scale. A median split was then performed to create groups of low and high familiarity objects. In the current study, we compare the reaction times and accuracy of high and low familiarity objects. Participants completed a picture naming task where they were asked to verbally produce the name of the objects. We expect analysis of variance (ANOVAs) to reveal differences in the average reaction times and accuracy of high versus low familiarity objects such that objects with high familiarity ratings will produce faster reaction times than those with low familiarity ratings. Similar to lexical frequency, more frequent exposure to objects, thus more familiarity with the objects, may strengthen their semantic networks, making these networks more robust and, in turn, leading to faster responses.</t>
  </si>
  <si>
    <t>Philip J.</t>
  </si>
  <si>
    <t>Holcomb</t>
  </si>
  <si>
    <t>pholcomb@sdsu.edu</t>
  </si>
  <si>
    <t>Marquita</t>
  </si>
  <si>
    <t>mscott4597@sdsu.edu</t>
  </si>
  <si>
    <t xml:space="preserve">Major bachelor's in child and Family Develpoment Minor Counsling and Social Change </t>
  </si>
  <si>
    <t>How do Latine Mothers Use Social Media to Support their Parenting and Children’s Learning?</t>
  </si>
  <si>
    <t xml:space="preserve">Mobile screen technologies, such as smartphones and tablets, are virtually universal among families in the United States. Although extensive research has investigated the number of devices owned by families with different socioeconomic statuses, limited research has explored how parents utilize these technologies to support their parenting experiences. Research is particularly lacking among ethnoracially diverse parents, such as Latines who are the largest ethnoracial minority in the US. Given the multiple features afforded by these technologies, such as instant access to the internet, social media, and contacts, mobile screen technologies might serve as a tool that Latine parents use to support their parenting. This poster delves into an investigation focused on clarifying the ways in which socioeconomically diverse Latine mothers with children under the age of five leverage social media platforms to enhance their parenting experiences and foster their children's early learning. Eight self-identified Latine mothers, each with at least one child under five, participated in semi-structured interviews conducted in English or Spanish. The interviews were meticulously audio-recorded, transcribed, and subjected to coding techniques to discern prevalent themes about the use of their social media platforms. Preliminary findings suggest a multifaceted landscape of digital maternal support, shedding light on the diverse strategies employed by Latine mothers in navigating the realms of parenting and early childhood education through social media platforms. These findings indicate that social media might be a viable source for providing Latine mothers with access to information and resources. 
</t>
  </si>
  <si>
    <t>Barboza</t>
  </si>
  <si>
    <t>Madelyn</t>
  </si>
  <si>
    <t>Goley</t>
  </si>
  <si>
    <t>Meighan</t>
  </si>
  <si>
    <t xml:space="preserve">Cheung </t>
  </si>
  <si>
    <t xml:space="preserve">Wendy </t>
  </si>
  <si>
    <t>Wochoa@sdsu.edu</t>
  </si>
  <si>
    <t>Isabella</t>
  </si>
  <si>
    <t>Amador</t>
  </si>
  <si>
    <t>iamador4084@sdsu.edu</t>
  </si>
  <si>
    <t>Biology</t>
  </si>
  <si>
    <t xml:space="preserve"> Role of macrophages in the development of ovarian cancer stem-like cells during chemotherapy</t>
  </si>
  <si>
    <t xml:space="preserve">Ovarian cancer is a poorly understood disease with 75% death rate when identified after metastasis. Drug resistance and tumor recurrence are likely due to cancer stem-like cells (CSCs) that evade chemotherapy and induce relapse with phenotypes that are distinct from bulk tumor cells. It remains unclear how CSCs facilitate relapse and what role the tumor microenvironment (TME) plays in this process. Our preliminary data show that a secreted cytokine, tumor necrosis factor-like weak inducer of apoptosis (TWEAK), and its receptor Fn14 are over-expressed in ovarian tumors and increase after chemotherapy. TWEAK is a strong inducer of stem cell features and enhances survival of CSCs during chemotherapy exposure. The source of TWEAK has not been clarified, although clinical data from human ovarian tumors show that TWEAK mRNA was primarily observed in a subset of infiltrating immune cells known as tumor associated macrophages (TAMs). When we evaluated TWEAK expression in cells found in the ovarian TME, including PBMC and THP-1-derived macrophages, IMR-90 activated fibroblasts, and ovarian cancer cell lines, we found that PBMC macrophages were the primary source of TWEAK production. Since cytotoxic chemotherapy can enrich for different TAM populations, we propose that TWEAK producing TAMs support CSC survival and expansion and contribute to the high rate of relapse in ovarian cancer patients. We further found that treatment with a small molecule inhibitor of TAM polarization leads to decreased TWEAK production, fewer CSCs, and prolonged remission in mouse models of ovarian cancer relapse as compared to vehicle. Currently we are testing whether knockout of Fn14 in ovarian cancer cells co-cultured with TAMs reduces stem cell features dependent on TWEAK-Fn14 signaling. Identification of immune populations responsible for TWEAK production could lead to new therapeutic strategies for patients with high rates of relapse. </t>
  </si>
  <si>
    <t>Valencia</t>
  </si>
  <si>
    <t>Jingtong</t>
  </si>
  <si>
    <t>Chai</t>
  </si>
  <si>
    <t>echai6930@sdsu.edu</t>
  </si>
  <si>
    <t>Bachelor of Biochemistry in Chemistry</t>
  </si>
  <si>
    <t>Visible Light-mediated Quantum Dot Photocatalysis for Plastic Wastes Upcycling</t>
  </si>
  <si>
    <t xml:space="preserve">Plastic materials have become ubiquitous and indispensable due to their low-cost, long-term stability, and processability. Using poly(ethylene) terephthalate (PET), which has been widely used for making water bottles, as an example, ~80% of plastics are discarded and accumulated in the natural environment after use. The accumulation of those waste cause severe environmental pollution due to their non-degradable nature. Upcycling plastic wastes into value-added products is urgently needed. Photocatalysis has been recognized as an attractive and promising approach that can harness solar energy to drive redox reaction and produce clean hydrogen fuel (H2). 
Herein, we developed a plastic wastes upcycling strategy driven by visible light with quantum dots as catalysts in aqueous solution. In this research, the commonly used PET plastic was employed as the substrate, which undergoes a base-catalyzed hydrolysis reaction to produce ethylene glycol (EG) and terephthalate (TPA). Furthermore, ethylene glycol was oxidized to aldehyde intermediates, which could further react with nitrogenous nucleophile (such as, ammonium hydroxide, hydroxylamine, etc.) to produce valuable C-N bond products, meanwhile, clean H2 fuel was generated via proton reduction reaction. This research provides a novel perspective for plastic wastes upcycling to value-added products. 
</t>
  </si>
  <si>
    <t>Jace</t>
  </si>
  <si>
    <t>Buxbaum</t>
  </si>
  <si>
    <t>jbuxbaum7418@sdsu.edu</t>
  </si>
  <si>
    <t>Cellular and Molecular Biology</t>
  </si>
  <si>
    <t>Understanding gut colonization and adherence by a microbiome bacteria in the Caenorhabditis elegans model</t>
  </si>
  <si>
    <t xml:space="preserve">	We understand that bacterial colonization of the gut is conserved across animals, but the actual mechanism and mode of bacterial adherence in the gut is less understood. We use the model organism Caenorhabditis elegans to study microbiome bacterial adherence in the gut due to several experimental advantages, including transparent body, genetic amenability, and a short reproductive cycle. We found a species of microbiome bacteria, Lelliottia jeotgali, that colonizes the intestinal lumen of C. elegans in the wild (found on the SDSU campus!) by adhering to the intestinal cells.
To understand the genetic basis of bacterial adherence in the gut, the lab initially performed a forward genetic mutagenesis screen to identify C. elegans mutants that lost colonization by L. jeotgali; these mutants were termed adhering bacterial colonization deficient (abcd). Because one of the mutations identified was in a notch-like gene, called abcd-8, and notch is involved in cell signaling, we hypothesize that other genes interact with the notch signaling pathway to regulate bacterial adherence in the gut. To test this hypothesis, we performed a suppressor mutagenesis screen to identify mutants that regained wild-type-like adherence, such that the notch (abcd-8) mutation has been suppressed. We performed chemical mutagenesis of abcd-8 animals and screened ~16,000 haploid genomes for bacterial colonization. From this screen, we isolated ~80 potential mutants, with 20 being validated by secondary screens to have regained L. jeotgali adherence with similar levels as wild-type. Next, we plan to identify the alleles in these 20 candidate suppressor mutants by performing whole-genome sequencing. We expect to determine genetic interactors of the notch-signaling pathway that play a role in intestinal colonization through adherence by L. jeotgali.
Overall, my project focuses on an identified putative notch signaling pathway that plays a role in niche formation in the gut. The results from this project could help determine if the role of notch signaling in microbiome bacterial adherence is conserved in other species such as mice and humans. In the future we may be able to utilize this pathway to regulate bacterial colonization with beneficial health outcomes in humans.</t>
  </si>
  <si>
    <t>Luallen</t>
  </si>
  <si>
    <t>rluallen@sdsu.edu</t>
  </si>
  <si>
    <t>Allain</t>
  </si>
  <si>
    <t>aallain8338@sdsu.edu</t>
  </si>
  <si>
    <t>BS - Biology</t>
  </si>
  <si>
    <t>Seed depth limits emergence of an invasive shrub in Southern California</t>
  </si>
  <si>
    <t xml:space="preserve">Invasive species negatively impact biodiversity and ecosystems. Bridal broom (Genista monosperma) is an emerging invasive species in Southern California chaparral habitats. This large shrub, native to the Mediterranean region, forms monocultures that threaten native species and can become major fire hazards. Effective removal strategies to reduce these threats require knowledge of G. monosperma seed germination. This study used a greenhouse experiment to test G. monosperma seed emergence rates at three different depths beneath the soil surface. Seeds 2.5cm and 7.5cm deep had significantly higher emergence rates compared to 12.5cm, indicating that 12.5cm is below the limit at which G. monosperma can successfully emerge. Additionally, we observed that successfully germinating seeds swell during the germination process and become significantly larger than non-germinating seeds, which can help identify broken dormancy prior to emergence. Knowing the depth limits of G. monosperma seed emergence provides novel information about their ecology and allows us to take new steps towards developing eradication strategies for the seed bank, such as soil heat treatments.
</t>
  </si>
  <si>
    <t>Travis</t>
  </si>
  <si>
    <t>Nicholas</t>
  </si>
  <si>
    <t>Barber</t>
  </si>
  <si>
    <t>nbarber@sdsu.edu</t>
  </si>
  <si>
    <t>Man, Transgender</t>
  </si>
  <si>
    <t>Francesca</t>
  </si>
  <si>
    <t>Hoang</t>
  </si>
  <si>
    <t>fhoang1491@sdsu.edu</t>
  </si>
  <si>
    <t>Bachelors in Applied Arts and Sciences (B.S.), Microbiology</t>
  </si>
  <si>
    <t xml:space="preserve">Observational Study of Dorsal Abdomen Hairs: Micrathena vs. Gasteracantha and Their Differences Under SEM </t>
  </si>
  <si>
    <t>Question: If Micrathena and Gasteracantha are both in the orb-weaver family but relatively distantly-related, then would sensory hairs be more similar or different when compared to each other?  
Hypothesis: Since Micrathena and Gasteracantha are relatively distant evolutionary relatives within the orb-weaver family, it’s likely the dorsal abdomen hairs between the two genera are going to have some physical differences and similarities.
Background: In general, spiders have different hairs on their bodies with different functions. Typically, the hairs on the legs have the most variety of function. However, the function for abdomen hairs in particular can vary depending on how they grow. Abdomen hairs that grow out of a socket and are flexible are likely mechanosensory hairs (giving the spider the ability to feel their surroundings like vibrations). On the other hand, abdomen hairs that don’t grow out of a socket and aren’t as flexible are likely structural hairs (i.e. hairs that protect the spider from debris). In this project, the structure of hairs growing on the dorsal abdomen was observed to discover what type of hair grows on the abdomen between two genera of orb-weaver spiders: Micrathena and Gasteracantha.
The spiders were observed under a secondary electron microscope (SEM) in order to observe the physical traits between the two genera and to collect new information about these spiders. SEM is a powerful microscope with greater magnification, depth of field, and resolution compared to a traditional light microscope. The goal of this project was to learn more about both genera of orb weaver, partially due to the lack of studies conducted on them so far. In general, SEM is typically used for microscopic samples or forensic analysis, not so much insects/arachnids. As a result, using SEM on understudied spider specimens was the perfect opportunity to discover and expand upon previous research for these spiders.</t>
  </si>
  <si>
    <t>Xuefan</t>
  </si>
  <si>
    <t>Shi</t>
  </si>
  <si>
    <t>xshi0032@sdsu.edu</t>
  </si>
  <si>
    <t>Bachelor of Cellular and molecular biology</t>
  </si>
  <si>
    <t>Generation of patient specific and transplantable hematopoietic stem and progenitor cells</t>
  </si>
  <si>
    <t>Generation of patient specific and transplantable hematopoietic stem and progenitor cells via differentiating embryonic stem cells</t>
  </si>
  <si>
    <t>Karl</t>
  </si>
  <si>
    <t>Willert</t>
  </si>
  <si>
    <t>kwillert@health.ucsd.edu</t>
  </si>
  <si>
    <t>Yesenia</t>
  </si>
  <si>
    <t>yrodriguezreye6560@sdsu.edu</t>
  </si>
  <si>
    <t>Chemistry with an emphasis in Biochemistry</t>
  </si>
  <si>
    <t>Searching for new bacterial pathogen with a Host-Bacteria Interactions Workshop</t>
  </si>
  <si>
    <t>The Luallen Lab is an active Microbiology and Genetics lab at San Diego State University. It
provides first-generation college students the opportunity to experience and conduct discovery-based research by studying host-bacteria interactions using the Caenorhabditis elegans nematodes as the model organism. C. elegans are a great organism to study because they are microscopic, easy to maintain, and remain transparent throughout its short life span, which allows rapid study for host-microbe interactions and the viewing of in vivo infection and colonization. The lab created a Host-Bacteria Interactions workshop to allow students the opportunity to sample wild nematodes from rotting fruit and plant substrates from different locations around campus and discover new bacterial species that interact with these animals. As part of this workshop, we found and isolated wild nematodes and analyzed them via microscopy. We were able to see how the bacteria infection looks like by conducting fluorescent in situ hybridization (FISH) to the bacterial 16S ribosomal RNA. We then used PCR with metagenomics to identify these new bacterial species. We recently sampled an area we call the “secret garden" near the North Education building on campus and found a bacteria that appeared to cause the head of the nematodes to detach from their bodies. This was a very interesting and novel phenotypes we had not seen in previous workshops. We plan to conduct metagenomics to identify this new, potentially decapitating bacterial species. Overall, the objective of the workshop is to support and actively encourage first-generation undergraduate students to conduct research and give them the opportunity to develop and strengthen a new set of skills for future career-related areas while they are still pursuing their bachelor’s degree.</t>
  </si>
  <si>
    <t>Engineering and Computer Science 1</t>
  </si>
  <si>
    <t>Shezreen</t>
  </si>
  <si>
    <t>Khan</t>
  </si>
  <si>
    <t>skhan7086@sdsu.edu</t>
  </si>
  <si>
    <t>Aerospace Engineering</t>
  </si>
  <si>
    <t>Comparative Evaluation of Lunar Regolith-Based Tiles for Lunar and Launching Pads: Static Load and Thermal Performance Analysis</t>
  </si>
  <si>
    <t>As space agencies and private companies increasingly focus on lunar exploration and potential human settlement, the need for robust and sustainable lunar infrastructure becomes paramount. Landing and launching pads are critical components of lunar infrastructure, providing a stable surface for spacecraft operations. Thus, developing suitable materials and manufacturing methods for these pads is crucial to ensure safe and efficient lunar missions.
The main objective of this research study is to investigate the structural and thermal performance of two distinct types of tiles designed for lunar and launching pads. The tiles were subjected to rigorous testing under static load conditions and evaluated for their thermal performance to simulate rocket landings on the lunar surface. Static load tests were conducted to evaluate the structural integrity and load-bearing capacity of the tiles. The results indicated that both types of tiles showed satisfactory strength and resistance to deformation under various load conditions. Additionally, thermal performance analysis was performed to assess the tiles' ability to withstand the extreme temperature variations experienced during rocket landings. The findings revealed that both types of tiles exhibited excellent thermal stability and maintained their structural integrity under thermal stress.
Based on the outcomes of the study, it can be concluded that both types of lunar regolith-based tiles demonstrated promising results in terms of their static load-bearing capacity and thermal performance. These findings contribute to the development of reliable infrastructure for future lunar missions and pave the way for sustainable lunar surface operations. Further research is warranted to explore the long-term durability, environmental resilience, and scalability of these tiles. Additionally, efforts to optimize their manufacturing processes and enhance their performance characteristics should be pursued to maximize their potential for supporting lunar exploration and settlement activities.</t>
  </si>
  <si>
    <t>Marta</t>
  </si>
  <si>
    <t>Miletic</t>
  </si>
  <si>
    <t>mmiletic@sdsu.edu</t>
  </si>
  <si>
    <t>Trinity</t>
  </si>
  <si>
    <t>Magdalena-Weary</t>
  </si>
  <si>
    <t>tmagdalena9226@sdsu.edu</t>
  </si>
  <si>
    <t>B.S. Environmental Engineering</t>
  </si>
  <si>
    <t>Analysis of Dry and Wet Weathered Plastic Marine Debris  using Scanning Electron Microscopy</t>
  </si>
  <si>
    <t xml:space="preserve">The motivation to study marine debris is multifaceted, encompassing environmental, economic, social, and public health concerns. Understanding the fragmentation and degradation of marine debris is crucial in formulating effective strategies to mitigate its adverse effects on marine ecosystems and human well-being. Scanning electron microscopy (SEM) was used to study the surficial properties of marine debris, including grazing, pitting, and other evidence of mass loss, in ten types of marine debris after 9 months of outdoor exposure in wet, submerged and dry conditions. The ten types of marine debris included: plastic bags, bioplastic, tents, blankets, styrofoam, to-go containers, water bottles, cigarette butts, and masks. In response to weathering, the physical properties of several materials demonstrated clear changes in comparison to their pristine state. Surface textures under pristine conditions were relatively flat and smooth, with occasional grazing, cracks, or fractures. For example, the surface texture of pristine styrofoam consisted of smooth, bubble-like pores of assorted sizes. Upon exposure to environmental conditions, the bubble-like pores showed varying degrees of cracking, with the highest level of degradation observed under dry conditions – to the extent that no bubble pores could be identified across the surface. By contrast, bubble pores in styrofoam submerged in creek water were flattened, but still identifiable and experienced less cracking. In general, similar patterns were observed across all materials, such that those exposed under dry conditions consistently demonstrated higher prevalence of flaking, cracking, and crazing (fine cracks on surface), and materials exposed to wet conditions developed biofilms that appeared to protect their surfaces from weathering. The implications of these findings suggest that materials exposed to dry conditions in the natural environment, including litter and debris scattered across land, may experience greater degradation in comparison to materials that remain wet, including those that have been deposited within aquatic systems. In order to minimize the pervasive impacts of microplastic debris in waterways, the most effective management practices should prioritize clean-up of materials found among dry environments, such as along river margins.
</t>
  </si>
  <si>
    <t xml:space="preserve">Natalie </t>
  </si>
  <si>
    <t>Meador</t>
  </si>
  <si>
    <t>ameador6526@sdsu.edu</t>
  </si>
  <si>
    <t>Mechanical Engineering Bioengineering Emphasis</t>
  </si>
  <si>
    <t>Fabrication of Patient-Specific Aorta Models for Flow Visualization</t>
  </si>
  <si>
    <t>Complications resulting from the implantation of cardiovascular medical devices include stroke from blood clots that form where the device interfaces with the native tissue. These clots, or thrombi, result from disturbed flow patterns that include slow flow, called stasis, and high rotational flow called shear. Complex flow phenomena are challenging to study in patients thus models of the anatomy are used to recreate and measure the flow patterns using an engineering method known as particle image velocimetry (PIV). The goal of this project was to recreate the aortic anatomy of a patient with a left ventricular device in a transparent soft material for PIV. Starting with a CT scan, the boundary of the aorta was segmented and used to recreate the geometry for 3-D printing. Each aortic model was printed with PLA on the Creality Ender 3 Neo Printer and the surface coated with wax to ensure a smooth surface. Dip molding of the model with a platinum-catalyst silicone material (Sorta-Clear 40) was performed to fabricate a thin, transparent flexible version of the aorta. For this process, the Sorta-Clear 40 was tested with 0%, 5%, 8%, and 10% thinner. The 8% thinner solution formula was chosen as it preserved shore hardness and exhibited low viscosity for molding. Once the two-part silicone solution and thinner are combined, the silicone is degassed in a vacuum chamber at 29 inHg for 20 minutes to remove bubbles that introduce tears and disrupt PIV imaging. Each 3-D printed and coated aortic arch is suspended for the dipping process. Four Arches are dipped simultaneously within a 15-minute time window as the silicone approaches the end of its working time. The silicone models are cured overnight and removed with oil. These models are then placed in the mock loop system for imaging. The final transparent silicone model of the aortic arch, with an adjusted outflow graft angle of 60°, demonstrated sufficient clarity for effective PIV imaging. These models can successfully replicate patient-specific cardiovascular conditions in a benchtop setting, offering a valuable tool for studying thrombosis risks associated with cardiovascular implants.</t>
  </si>
  <si>
    <t>Dr. Karen</t>
  </si>
  <si>
    <t>Roberto</t>
  </si>
  <si>
    <t>Burciaga</t>
  </si>
  <si>
    <t>rburciaga4858@sdsu.edu</t>
  </si>
  <si>
    <t>Bachelors of Engineering in Mechanical Engineering (Bioengineering)</t>
  </si>
  <si>
    <t>Creating an Automated Water Current Setup to Assay Rheotaxis in Planarians</t>
  </si>
  <si>
    <t>The planarian Schmidtea mediterranea (a non-parasitic flatworm) is an excellent model to study the roles of genes in stem cell-based neural regeneration due to their molecularly diverse nervous system and excellent capacity to regrow missing neurons and sensory organs de novo following amputation. We study how dysregulation of gene expression causes changes in planarian neural function by determining if there are changes in phenotypical planarian behaviors following RNAi knockdown of genes that might be necessary for neurogenesis or neural function. Thus, we use assays to study planarian behaviors, such as negative phototaxis (movement away from light), chemotaxis (altering distance from certain chemical stimuli), and various mechanosensory modalities, including thigmotaxis (reaction to touch). Previous work in our lab used an assay to test for changes in mechanosensation using a rheosensory assay (sensing water flow) by manually pipetting along the planarian&amp;#39;s dorsal surface (the top of the worm where the rheosensory organ is located) to see if they contracted their bodies. However, this assay had technical variability due to having users recreate conditions between trials. Therefore, we wanted to design a standardized setup to test rheosensation. Some planarian species exhibit positive rheotaxis (orienting their bodies toward a stream current). First, we determined that wild-type S. mediterranea does exhibit positive rheotaxis in culture, and larger worms perform better in the assay. Our trials consisted of 2-minute stirrings for clock- and counterclockwise demonstrated the highest positive rheotaxis at 1 minute, with 76.7% of 20 planarians testing positive. Interestingly, we also found that a longer duration in the current increased the likelihood the worms would glide against the direction of the applied current. We tested pkd1L-2(RNAi) worms, which are defective in an ion channel necessary for rheosensation, and found a significant reduction in positive rheotaxis. Our results indicate that this new assay is promising to measure changes in mechanosensory neuron function in planarians. To further test we can effectively reduce user variability and higher confidence in our assay, we are developing an automated stirring machine so that the magnitude and duration of the water current are consistent between experiments.</t>
  </si>
  <si>
    <t>Kelly</t>
  </si>
  <si>
    <t>Ross</t>
  </si>
  <si>
    <t>kross@sdsu.edu</t>
  </si>
  <si>
    <t>Alyssa</t>
  </si>
  <si>
    <t>Yearick</t>
  </si>
  <si>
    <t>ayearick5160@sdsu.edu</t>
  </si>
  <si>
    <t>Bachelor of Science in Business Administration - Marketing: Specialization in Integrated Marketing Communications (IMC)</t>
  </si>
  <si>
    <t>Bridging the gap between engineering and society: communicating earthquake risk via media</t>
  </si>
  <si>
    <t>To minimize the impacts of disasters, it is crucial to understand how effectively information is communicated, especially in the context of seismic events and for a broader range of communities, including those with minority-majority populations. Recent global disasters, e.g., the 2023 Turkey earthquake sequence and the 2021 Haiti earthquake, underscored the urgent need to educate society about preparedness; specifically, clear discursive constructions in natural disasters established at the scientific level are necessary to develop effective, diverse and inclusive information strategies to address language barriers during times of crisis, ultimately reducing injuries, minimizing property damage, and providing diverse communities with long-term seismic resilience.
In the context of the pre-event phase, this project leveraged the collaboration between journalism and earthquake engineering researchers to investigate how earthquake-related information is conveyed and received amongst diverse communities. Considering that risk perception varies temporally and within cultural context, this research focused on understanding earthquake risk communication in the San Diego region, where approximately one-third of the population is Spanish-speaking, and more than 100,000 people cross the US-Mexican border every day to go to school and/or work. An M6.9 earthquake scenario simulation for the Rose Canyon fault, running through downtown San Diego to Mexico, was first considered to quantify the local earthquake risk and identify the communities critically affected. Further, by analyzing media coverage of earthquake risk over the past decade, this research explored strategies for effectively communicating seismic risk to the diverse population in San Diego, also seeking feedback within the community. The results of this multi-level analysis highlight the importance of developing diverse and inclusive approaches to effectively convey essential seismic risk information and creating a communication landscape able to minimize disruptions, accelerate recovery, and contribute to the preparation efforts of the San Diego 2050 vision.</t>
  </si>
  <si>
    <t xml:space="preserve">Phillip </t>
  </si>
  <si>
    <t xml:space="preserve">Gloria </t>
  </si>
  <si>
    <t>Oscar</t>
  </si>
  <si>
    <t>Osuna</t>
  </si>
  <si>
    <t>oosuna7346@sdsu.edu</t>
  </si>
  <si>
    <t>Bachelor of Science in Mechanical Engineering (BSME)</t>
  </si>
  <si>
    <t>Machine Learning Models for Predicting the Yield Strength and Young's Modulus of High Entropy Alloys</t>
  </si>
  <si>
    <t>High Entropy Alloys (HEAs) are a type of material with a lot of promising engineering properties that consist of multiple principal elements. A normal HEA will have 5 different elements ranging from 5 weight percent to 35 weight percent. This leads to HEA having a wide range of possible compositions making it difficult to identify useful compositions calling for an efficient high throughput method for alloy screening and selection. This project focused on identifying and optimizing different machine learning models to identify the compositions with the highest yield strength and Young’s Modulus. Molecular Dynamics simulation was used to create the dataset for the machine learning models.</t>
  </si>
  <si>
    <t>Adibi</t>
  </si>
  <si>
    <t>sadibi@sdsu.edu</t>
  </si>
  <si>
    <t>Engineering and Computer Science 2</t>
  </si>
  <si>
    <t>DeStefano</t>
  </si>
  <si>
    <t>pdestefano6342@sdsu.edu</t>
  </si>
  <si>
    <t>B.S. Molecular and Cell Biology</t>
  </si>
  <si>
    <t xml:space="preserve">Development of Laboratory System for Engineering Guided Waves in Shear Wave Elastography for Enhanced Soft Tissue Diagnostics </t>
  </si>
  <si>
    <t xml:space="preserve">Cardiovascular diseases (CVD) are one of the world’s leading causes of fatality; therefore, there is an increasing need for non-invasive diagnostic and monitoring techniques to apply in the clinical setting to improve their prevention/ early diagnosis. 
Ultrasonic Shear Wave Elastography (SWE) allows for non-invasive diagnostics of numerous diseases. Currently, it is primarily utilized for breast and liver tissue stiffness monitoring with calibrated devices such as FibroScan© (liver).  According to the literature, atherosclerosis/ stenosis can be clinically indicated by dense/ hardened tissue; thus, arterial SWE allows for a clinician to non-invasively monitor/ diagnose these diseases. SWE application to other organs with more complex geometries (i.e. arteries), though, poses additional challenges. Ultrasonic guided wave propagation needs to be considered due to arteries’ viscoelastic and cylindrical characteristics. 
This project aims to reproduce arterial SWE capabilities in laboratory settings. Literature review has been performed to manufacture arterial phantoms with representative human geometry and material properties. A mock-up system has been engineered to perform ultrasonic imaging and SWE on bulk and manufactured arterial phantoms. Different imaging and SWE parameters have been studied to calibrate image quality and frequency bandwidth to enable accurate SWE measurements. The system will provide a flexible and controllable platform to study arterial SWE by further engineering guided waves for enhanced soft tissue diagnostics.
If applied in the clinical setting, SWE will allow for accurate monitoring/ diagnosis of CVD by quantifying stiffness values of arterial tissue and enable non-invasive prevention of fatal disease. 
</t>
  </si>
  <si>
    <t>Dr. Margherita</t>
  </si>
  <si>
    <t>Braude</t>
  </si>
  <si>
    <t>sbraude1069@sdsu.edu</t>
  </si>
  <si>
    <t>Quantum Leap in Strategy: Reshaping Arms Races and Advertising with Quantum Game Theory</t>
  </si>
  <si>
    <t>In the world of decision-making, game theory helps us understand how people, teams, or groups make choices and work together or compete. In the realm of strategic dynamics, the Arms Race represents a compelling application of game theory, exploring the competitive escalation of military capabilities between entities. This concept delves into the intricate decision-making processes that drive nations to build up their arsenals in response to perceived threats, illuminating the complexities of global security dynamics. Shifting gears to the business landscape, game theory offers valuable insights into the strategic dance of Advertisement. Analyzing how companies strategically position and promote their products, this application sheds light on the competitive maneuvers within markets, showcasing the multifaceted interplay of pricing, branding, and consumer behavior in the realm of advertising strategies. In this research, we delve into obtaining the solution for both the games using a quantum approach. Our algorithm utilizes quantum entanglement and Pauli-Y gates to create a wave function that models each player’s unique strategies for decision making. Moreover, the incorporation of a Quantum Algorithm and Quantum Computing introduces innovative approaches in the application of Quantum game theory, leading to transformative strides in achieving Nash Equilibrium solutions, marking a revolutionary advance in strategic decision-making.</t>
  </si>
  <si>
    <t>Thompson</t>
  </si>
  <si>
    <t>Krishna Murthy</t>
  </si>
  <si>
    <t>Kattiyan Ramamoorthy</t>
  </si>
  <si>
    <t>Cherry</t>
  </si>
  <si>
    <t>acherry0531@sdsu.edu</t>
  </si>
  <si>
    <t>Bachelor of Science, Mechanical Engineering</t>
  </si>
  <si>
    <t>Collection of sEMG dataset for Silent Speech Recognition</t>
  </si>
  <si>
    <t>Silent speech recognition (SSR) aims to recreate speech from non audible signals. The objective of the 2023 summer undergraduate research program was to gather datasets utilizing signals from surface electromyography (SEMG) to train and evaluate machine learning models for SSR. Signal collection was done with a custom wireless recording device. Software for the collection and processing of the dataset was implemented in python.
Increasing accuracy in SSR is critical to the usefulness of this technology. Recording high quality datasets is challenging due to issues with noise introduced by mains voltage and issues with electrical contact with the skin. To mitigate the impact of the 60hz noise, the recording system was run on battery and moved away from sources of electrical noise. Areas of skin that were meant to contact the electrodes were carefully prepared with an abrasive cleaner and conductive gel. Additionally, video is recorded to ensure quality in segmenting the recorded data.
Making these adjustments allowed multiple clean datasets to be collected containing phrases, words and phonemes. The availability of clean datasets with many examples alowed Dr. Kang’s Lab to create fine tuned, high accuracy machine learning models with increased accuracy above 90%.</t>
  </si>
  <si>
    <t xml:space="preserve">John </t>
  </si>
  <si>
    <t xml:space="preserve">Kang </t>
  </si>
  <si>
    <t>jkang4@sdsu.edu</t>
  </si>
  <si>
    <t>Timothy</t>
  </si>
  <si>
    <t>Park</t>
  </si>
  <si>
    <t>tpark9928@sdsu.edu</t>
  </si>
  <si>
    <t>civil engineering</t>
  </si>
  <si>
    <t>Mechanical properties of seawater glass fiber polymer reinforced concrete</t>
  </si>
  <si>
    <t>For centuries, seawater has served as a substitute for freshwater in regions facing scarcity of the latter, like coastal areas. However, there have been concerns about the structural implications of using seawater in concrete. Multiple studies have shown that using seawater as a substitute in concrete can lead to significant structural problems, particularly corrosion within the concrete and its reinforcement, attributed to carbonation from the seawater mixture. We hypothesized that by replacing traditional steel reinforcement with Glass Fiber Reinforced Polymer  (GFRP) can mitigate corrosion risks, preserving the integrity of sea concrete for more sustainable use. To investigate this hypothesis, we conduct a series of compression and indirect tension tests on small scaled seawater GFRP reinforced concrete columns at 3, 7, 28, and 90 days after pouring. The tested specimens include both seawater and freshwater mixed concrete, utilizing both steel and glass fiber polymer reinforcement for each sample. Particularly, we focus on the mechanical properties variation in seawater concrete with GFRP reinforcement versus traditional mechanical properties. Additionally, we analyzed characteristics of the water used in the experiments, specifically focusing on changes in characteristics such as sulfate content and pH to see its effects on the concrete. Based on the results obtained, it is suggested that the freshwater and steel reinforced concrete holds up slightly higher compressive stresses over time. These results also demonstrate the feasibility of GFRP reinforcement as a substitute for steel reinforcement in marine environments. Such materials can further enhance the utilization of sea concrete in a safer and sustainable way.</t>
  </si>
  <si>
    <t>Tanaka-Herrera</t>
  </si>
  <si>
    <t>Charisma</t>
  </si>
  <si>
    <t>ctanakaherrera2072@sdsu.edu</t>
  </si>
  <si>
    <t>Environmental Engineering</t>
  </si>
  <si>
    <t>An Assessment of the Use of Multiple Human-Associated Fecal Source Tracking Markers to Monitor Fecal Pollution Moving Through Subsurface Soils</t>
  </si>
  <si>
    <t xml:space="preserve">Limitations of traditional microbial water quality indicators hinder the identification of potential human sources of fecal pollution. The primary focus of this research was to assess two microbial markers: HF183, a DNA target from Bacteroides dorei (a gut bacterium); and pepper mild mottle virus (PMMoV), a persistent pepper virus present in sewage. The ratio of HF183:PMMoV has been proposed to indicate the freshness of sewage contamination in water samples since HF183 is short-lived compared to PMMoV. We hypothesized that the ratio of HF183:PMMoV would also decrease as pollution moves through subsurface soils, helping identify underground sources of fecal pollution such as leaky sewer pipes and septic systems. We used soil column experiments to simulate the movement of sewage through subsurface soils, mirroring real-life scenarios. We first classified soils gathered from Alvarado Creek in San Diego. Specific gravity and permeability were measured to be 2.49 and 0.001 cm/s, respectively. A sieve analysis and the Atterberg Limit test were used to determine the soil type according to the Unified Soil Classification System (USCS) resulting in soil classified as poorly graded sand with silt. The soil was then packed into columns with depths ranging from 1 ft to 3 ft and a 1:1 mixture of sewage and creek water was pumped through the columns. HF183 and PMMoV were measured in 100 mL samples of water leaving the column and the log10 change in the ratio was graphed. The soil column test resulted in a ratio of HF183:PMMoV that decreased by approximately 0.5 log10 units for each additional foot in the length of the soil column. Insights gained from this research suggest that sewage pollution originating from subsurface sources may exhibit a lower HF183:PMMoV ratio than direct sewage pollution. Therefore, we may discern if fecal pollution in a river has originated from a subsurface source by examining the HF183:PPMoV ratio. Such findings can lead to improvements in microbial source tracking methods, and potentially aid public agencies responsible for pollution management under the Clean Water Act.
</t>
  </si>
  <si>
    <t xml:space="preserve">Aaliyah </t>
  </si>
  <si>
    <t xml:space="preserve">Ringor </t>
  </si>
  <si>
    <t xml:space="preserve">Miletic </t>
  </si>
  <si>
    <t xml:space="preserve">Martha </t>
  </si>
  <si>
    <t>Anaya</t>
  </si>
  <si>
    <t>hanaya7270@sdsu.edu</t>
  </si>
  <si>
    <t>Creating an App for Medical Data Collection</t>
  </si>
  <si>
    <t>Doctor's creating medication for diseases rely on data regarding the disease to understand it. We are working with doctors focusing on Raynaud's Syndrome to provide them and their patients with an app designed to procure as much data as possible from their patients with Raynaud's Syndrome.</t>
  </si>
  <si>
    <t>Shangping</t>
  </si>
  <si>
    <t>Ren</t>
  </si>
  <si>
    <t>sren@sdsu.edu</t>
  </si>
  <si>
    <t>Selin</t>
  </si>
  <si>
    <t>Childs</t>
  </si>
  <si>
    <t>schilds9070@sdsu.edu</t>
  </si>
  <si>
    <t>Temporal Wastewater Degradation of TRP &amp; CDOM</t>
  </si>
  <si>
    <t xml:space="preserve">Wastewater contamination of waterways occurs mainly from aging stormwater and sanitary sewer drains and groundwater infiltration from septic tanks. To prevent the spread of harmful contaminants to the aquatic environment, it is important to pinpoint sources for introduction of sewage to surface waters. Fluorescence Spectroscopy has proven effective in detecting these pollution sources, as it can be used to quickly identify compounds by their excitation and emission wavelengths. For example - tryptophan, an amino acid found in sewage, which can be identified by its fluorescence fingerprint, shares the same excitation and emission wavelengths as several other contaminants found in sewage, and creates a distinct peak during water analysis. Additionally, colored dissolved organic matter (CDOM) has a well-studied fluorescence profile and can also indicate the presence of sewage. Thus, this study quantified tryptophan and CDOM concentrations in raw wastewater using fluorescence spectroscopy to assess its accuracy for use in detecting wastewater contamination under different environmental conditions, including during direct exposure to sunlight and during various travel times in the subsurface.
The first stage of this experiment used real wastewater samples placed in a solar simulator (light conditions) and under a box (dark conditions) for 24 hours. Five-dimensional fluorescence spectra were acquired at times 0h, 1h, 4h, 10h, and 24h for both conditions. The preliminary results from this first stage demonstrated that tryptophan-like and CDOM fluorescence degrades following a double exponential curve under light conditions. Meanwhile, under dark conditions, fluorescence for neither tryptophan or CDOM degraded significantly. This experiment was replicated, but instead the wastewater was continuously stirred throughout the 24 hours to more accurately simulate water movement through pipes and waterways. Alongside that, measurements of fecal indicator bacteria were taken to more accurately track the degradation of the wastewater alongside the fluorescence data. Furthermore, the second stage of this experiment will study the transformation of fluorescence as the wastewater moves through the soil subsurface over time. Overall, this study is expected to identify limitations upon applying fluorescence spectroscopy for reliable and rapid tracing of wastewater infiltration into urban waterways. 
</t>
  </si>
  <si>
    <t>Ansel</t>
  </si>
  <si>
    <t>Flanagan</t>
  </si>
  <si>
    <t>aflanagan8081@sdsu.edu</t>
  </si>
  <si>
    <t>Characterization of 3D Printed Fiber-Reinforced Composites</t>
  </si>
  <si>
    <t xml:space="preserve">Advanced robotic manufacturing platforms can accelerate the production of fiber-reinforced composites with complex layup schedules and geometries at a much lower cost (engineering and manufacturing). Robotic 3D printing is in its infancy, casting doubts about the process-property performance of this new class of composite materials under different loading, operating, and environmental conditions. Therefore, the primary goal of this research is to elucidate the interrelationships between the processing parameters and the resulting mechanical behavior. The approach entails the fabrication of several panels with an adjusted layup schedule (i.e., fibers laid down at different orientations). The 3D panels are then cured using a modified procedure using a convection oven and an elongated curing cycle. Rectangular samples are extracted from printed panels, and the geometrical accuracy and mechanical properties are assessed. The primary printing metric of printed composite materials is the fiber volume fraction ratio, measured using thermogravimetric analysis. The print quality was quantified by submitting the samples to intensive examination for structural defects and geometrical intolerances. The mechanical properties were assessed by testing the samples under quasi-static flexural loading to report stiffness, strength, and failure mechanisms. The mechanical testing was augmented with digital image correlation (DIC) to report full strain fields and detect initiation and propagation of failure mechanisms. The results of this study define the manufacturing and design boundaries of this novel class of composite materials.
</t>
  </si>
  <si>
    <t>Callie</t>
  </si>
  <si>
    <t>Summerlin</t>
  </si>
  <si>
    <t>csummerlin7662@sdsu.edu</t>
  </si>
  <si>
    <t>Environmental sciences</t>
  </si>
  <si>
    <t>Analysis of Grain Size and Organic Matter Content in the Benthic Zone of Tijuana River Estuary</t>
  </si>
  <si>
    <t>The purpose of this project is to measure and compare the particle size and organic matter content of sediments in the benthic zone at the mouth and outlet of the Tijuana River Estuary and use the data to better understand nearby turbidity hotspots. Sediment samples were cored in a northern tidal channel arm of the estuary  and the outlet of the estuary then analyzed by using loss on ignition to determine organic content and sieves to determine grain size. Particles smaller than .0625 mm were analyzed using a particle size analyzer. To study the relationship between grain size and turbidity hotspots, areas of high turbidity were identified using satellite imagery and data from a remote-controlled boat system in the outlet of the estuary. Grain size was statistically different at the 5% level of significance from sites located at the tidal channel of the Tijuana River and the outlet. All samples from both locations had a D50 value classified in the category of medium sand except for one sample that was classified as fine sand based on the Wentworth (1922) grain size classification.  These results differ from a study that was conducted in the southern arm of the Tijuana River Estuary where the majority of grain size was classified as very fine grained (Berry, 2019). The classification of coarser grain size in the majority of sediment samples within my study indicates that turbidity hotspots may be produced by medium sand particles rather than clay or silt. Organic matter content was low in all samples but highest in the tidal channel of the Tijuana River (2.1%). A previous study in the Tijuana River Estuary showed a higher organic content and that heavy metals are more commonly found in fine sized particles with high organic content (Weis et al., 2001). Turbidity hotspots during dry weather conditions appear not to be caused by localized deposits of fine sediment or organic material, but to resuspension of fine sand due to hydraulic conditions that favor resuspension.  More information is needed on the bathymetry of the estuary to map shear stresses and material types that contribute to turbidity in the water column.</t>
  </si>
  <si>
    <t>Brandon Ismael</t>
  </si>
  <si>
    <t>Gonzalez</t>
  </si>
  <si>
    <t>bgonzalez6134@sdsu.edu</t>
  </si>
  <si>
    <t>Bachelor of science in Chemistry emphasis in Biochemistry</t>
  </si>
  <si>
    <t>Biological Evaluation and Chemical Synthesis of Carmaphycin “War-heads” as Potential Treatments Against Trichomonas Vaginalis and Various Cancers</t>
  </si>
  <si>
    <t>Trichomonas vaginalis is the causative agent of trichomoniasis, the most common, non-viral sexually transmitted disease, with 5- 7 million cases in the U.S. and &gt;200 million in the world each year. In addition to infections of the urogenital tract, trichomoniasis increases the risk of adverse pregnancy outcomes, HIV transmission, and the incidence and severity of cervical and prostate cancers. Treatment of trichomoniasis is primarily with oral nitro drugs, but they can have moderate to severe adverse effects. Because of the prevalence of this parasite, the appearance of drug-resistant strains, and its association with multiple diseases, the development of new antimicrobials is an urgent need, particularly in women where infection can persist for months or even years.
The Carmaphycin A or B are powerful anticancer compounds isolated from
cyanobacteria located near the Caribbean island of Curacao. They were shown to have powerful cytotoxic properties against lung cancer cell lines (IC50 ~ 5 nM). Interestingly, Carmaphycin analogs show significantly reduced activity against lung cancer but demonstrate instead excellent IC50 levels against liver cancer, specifically the HepG2 cell line (IC50 of 62 pM). With epoxyketones as powerful “war-heads” structures it has been established these compounds act on a proteasome target for various cancer cell lines as well the Trichomonas vaginalis. A large number of synthetic epoxy ketones related Carmaphycins were prepared and screened against various cell lines. These cancer and parasitic data will be presented and discussed.</t>
  </si>
  <si>
    <t>Bernt Mikael</t>
  </si>
  <si>
    <t>Bergdahl</t>
  </si>
  <si>
    <t>bbergdahl@sdsu.edu</t>
  </si>
  <si>
    <t>Claire</t>
  </si>
  <si>
    <t>Baeriswyl</t>
  </si>
  <si>
    <t>cbaeriswyl4237@sdsu.edu</t>
  </si>
  <si>
    <t>Converting biomass-derived compounds to value-added products by electrochemical oxidation</t>
  </si>
  <si>
    <t xml:space="preserve">Human’s increasing energy consumption escalates the depletion of fossil fuels and stimulates a growing demand for sustainable energy sources. Hydrogen fuel is a promising renewable energy source that can be produced through an electrochemical water-splitting reaction. The water-splitting process occurs in two half-reactions: water reduction at the cathode, forming hydrogen gas (HER), and water oxidation at the anode to produce oxygen (OER). “Green” hydrogen as a fuel produced from water-splitting poses significantly less harm to the environment than fossil fuel combustion. However, water-splitting faces limitations due to the sluggish kinetics of OER. Fortunately, this limitation can be alleviated by replacing the OER with biomass oxidation. Raw biomass is processed at refineries to generate usable substrates like sugars. Compared to the direct water oxidation reaction, biomass oxidation requires much less energy input. These biomass-derived substrates allow for forming value-added products in addition to hydrogen fuel.
Herein, we identify that Cu-Ni foam can be an efficient electrocatalyst for converting biomass-derived compounds into value-added products. C5-C6-based biomass compounds (i.e., Sorbitol, Glucose, Xylose, and Fructose) were studied. So far, I have identified formic acid and acidic acid as main products through Nuclear Magnetic Resonance (NMR) post-electrolysis analysis. Further electrochemical testing will quantify the products, and evaluate electrocatalysts' performance to inform on optimizing the biomass conversion. I plan to perform surface analysis on the Cu-Ni foam catalyst before and after biomass oxidation using Raman spectroscopy and X-ray photoelectron spectroscopy (XPS) to chemically characterize the catalyst change before and after the electrochemical conversion process. </t>
  </si>
  <si>
    <t>Beatriz</t>
  </si>
  <si>
    <t>Miranda Abreu</t>
  </si>
  <si>
    <t>babreu4165@sdsu.edu</t>
  </si>
  <si>
    <t>Bachelor of Sciences in Astronomy</t>
  </si>
  <si>
    <t>Investigating the effective temperature of red supergiants</t>
  </si>
  <si>
    <t>Stars come in various different sizes and masses and there is a category of stars called red supergiants. They are massive in size and weight and they are also relatively cool compared to other stars. Although extensively studied, there is some needed information about their evolution, radius and temperature that is hard to obtain. There are some tools that could help us better understand these characteristics about red supergiants and one of them is by studying a certain molecule present in their atmosphere. Red supergiants can have a unique feature of having molecules in their atmosphere in addition to other elements due to their cool atmosphere. The study of a molecule called titanium oxide has been proposed to yield a more accurate measurement of the effective temperature of these stars. More research on this molecule is needed to say with more certainty that it is correlated to effective temperature and this is what my research will be focused on. In particular, I am investigating the correlation between the effective temperature of red supergiants and the equivalent width of the 7054 titanium oxide band. Here I present preliminary results from this study.</t>
  </si>
  <si>
    <t>Carolina</t>
  </si>
  <si>
    <t>Costa</t>
  </si>
  <si>
    <t>ccosta5240@sdsu.edu</t>
  </si>
  <si>
    <t>Bachelor of Arts in Psychology Neuroscience Emphasis</t>
  </si>
  <si>
    <t>Faith in Motion: Collaborative Strategies with Church Staff for Implementing Physical Activity Programs</t>
  </si>
  <si>
    <t>Background:
Research has emphasized the significance of faith-based leader support when implementing evidence-based physical activity (PA) interventions in churches. However, emerging research suggests that church staff may be key partners in implementing health programs than previously recognized. The present study explores the role church staff can play in implementing health programs and barriers they face in the implementation process.
Setting/Population:
Participants included church staff (n=12) and church leaders (n=11) at Latino-serving catholic churches (n=8) in San Diego County, California.
Methods:
We conducted semi-structured interviews with church staff and leaders. The updated Consolidated Framework for Implementation Research (CFIR) was used to inform the interview guide. CFIR domains assessed included: innovation, inner setting, and implementation processes. Interviews were audio recorded, transcribed, and analyzed using Rapid Qualitative methodology.
Preliminary Results:
Church staff are vital in supporting program activities by facilitating communication between church leaders, church members, granting access to church facilities, and coordinating church schedules. During the day-to-day operations of churches, staff are often responsible for supporting all ministries and church-related activities. In the interviews, church leaders and staff underscored the importance of maintaining continuous communication with the implementation team.
Conclusions:
The results of this study underscore the significance of partnering with church staff in the implementation of health programs within religious institutions to optimize the implementation process. Because staff's enthusiasm and willingness to support the implementation of health programs can vary across churches, working collaboratively to address their specific needs is essential. The findings address a gap in implementation research within church settings by identifying the contributions from church staff, offering valuable insights to inform implementation strategies for faith-based physical activity programs.</t>
  </si>
  <si>
    <t>Squier</t>
  </si>
  <si>
    <t>rsquier0351@sdsu.edu</t>
  </si>
  <si>
    <t xml:space="preserve">The Impact of Diet on Traumatic Brain Injury Responses of Adult Fruit Flies </t>
  </si>
  <si>
    <t xml:space="preserve">Long-term neural health requires the complex interplay between a wide range of factors. Our previous work has highlighted the versatility of Drosophila melanogaster models to explore genetic and environmental factors that promote or erode the long-term function of the adult CNS. Using both aging and traumatic brain injury (TBI) models we have identified autophagy pathway components (genetics) as well as dietary, probiotic and therapeutic treatments that promote healthy neural aging.  In this study we examine the potential role that diet plays on adult fly responses following mild repetitive trauma (mTBI, 10x) exposure. We have shown an intermittent fasting (IF) regime promotes neural health as well as autophagic function in the aged fly nervous system. In this study, we will examine the impact that IF and exposure to high fructose corn syrup (HFCS) has on acute and long-term global trauma responses (mortality, longevity, inflammation profiles) and neural function (behaviors) following mTBI exposure.  Fructose is a monosaccharide naturally found in fruits, honey, and sucrose (50:50 fructose, glucose). Consumption of HFCS has become a major concern in the USA, due to extensive corn production and commercialization of cheap HFCS into highly processed food. There is speculation that HFCS increases obesity, Type-II diabetes and other negative health outcomes compared to the consumption of sucrose. In this study, we will pre-treat male fruit fly cohorts (+400) on a) standard fly food; b) food containing 20% (w/v) HFCS; and c) standardized IF protocol for 10 days.  Half of each cohort (~200 flies) will be mock-treated or exposed to standardized levels of trauma using our Bead Ruptor method (2.1 m/s, 10 bouts) and returned to their respective diets.  The number of dead flies will be counted 3-times per week over the entire study and used to establish mortality indexes (1-D, 1-W, 2-W, 3-W) and lifespan profiles. Climbing behaviors or geotaxis responses (1-W, 2-W, 3-W post mTBI) will also be used to establish the relative impact of diets to modulate trauma responses using Drosophila as a high throughput in vivo model system of neural aging. 
</t>
  </si>
  <si>
    <t>Kim</t>
  </si>
  <si>
    <t>Finley</t>
  </si>
  <si>
    <t>kfinley@sdsu.edu</t>
  </si>
  <si>
    <t>Andrea</t>
  </si>
  <si>
    <t>Meza</t>
  </si>
  <si>
    <t>ameza8436@sdsu.edu</t>
  </si>
  <si>
    <t>Bachelor of Science in Public Health</t>
  </si>
  <si>
    <t>People’s Produce Mobile Farmers’ Market: Addressing Food Apartheid in Southeastern San Diego</t>
  </si>
  <si>
    <t xml:space="preserve">Historically, social injustice in San Diego has been most prevalent in the southeastern region, with lack of food security, or presence of food apartheid, being one of the most concerning consequences of social injustice experienced by community members. The People’s Produce Mobile Farmers’ Market (PPMFM) is a community-driven project, initiated in October 2022, that aims to fight food apartheid and advocate for health equity for all populations living in Southeastern San Diego (SESD). We aim to describe PPMFM, its activities, and its customer reach during the 2023 SDSU Summer Undergraduate Research Program period, from June 2023 to December 2023. The PPMFM is a mobile produce truck operated by the grassroots nonprofit, Project New Village, and provides access to affordable, fresh, organic, locally grown fruits and vegetables to underserved communities of SESD at various sites each week. Through a partnership between PPMFM and an SDSU nutrition Professor, SDSU students provide nutrition education sessions and materials and conduct surveys with customers, collecting sociodemographic, nutrition behavior, and health information. In June and again from October to December, customers participating in these activities received a $10 coupon to use at the PPMFM. From June 2023 to December 2023, the PPMFM held 97 markets across 8 SESD community partner sites. Students offered nutrition education to customers on a variety of topics, including how to eat healthy on a budget and how to select, store, and prepare specific fruits and vegetables available at the PPMFM. In June and from October to December, a total of 894 and 930 customers, respectively, participated in nutrition education and completed surveys. Over the summer and fall semester 2023, the PPMFM provided access to fresh, local produce and nutrition education to many community members in SESD. By providing such essential services to the people of SESD, the PPMFM is beginning to address food apartheid to promote health equity. </t>
  </si>
  <si>
    <t>Amanda</t>
  </si>
  <si>
    <t>McClain</t>
  </si>
  <si>
    <t>amcclain@sdsu.edu</t>
  </si>
  <si>
    <t>Amelia</t>
  </si>
  <si>
    <t>aallison9614@sdsu.edu</t>
  </si>
  <si>
    <t>Bachelor of Public Health</t>
  </si>
  <si>
    <t>Smoke Exposure in Various Public Locations</t>
  </si>
  <si>
    <t>The presence of harmful chemicals in tobacco smoke poses serious risks, and the need for broad smoke-free laws is essential. The current City of San Diego policy requires outdoor dining venues established within the public right of way to be smoke and vape-free. However, the current San Diego City Policy fails to protect patrons and workers from secondhand (SHS) and thirdhand smoke (THS). The objective of our study was to evaluate tobacco-related pollutants in outdoor dining areas and hookah lounges in San Diego, CA. We utilized a cross-sectional approach, where we measured and compared THS/SHS levels in differing outdoor dining settings and indoor hookah bars. We collected surface wipe samples and air samples from 5 non-smoking and 5 smoking outdoor dining locations. We used the Atmotube PRO, a portable air monitor, to measure PM1, PM2.5, PM10, Temperature, Humidity, Atmospheric Pressure, and volatile organic compounds, and calculated an Air Quality Score (AQS), offering insight into air quality and cleanliness as well as the associated health risks. Data was organized and analyzed using SPSS software. Our results indicated significant differences in environmental factors, such as PM1, PM2.5, PM10, and VOC levels, across these settings. Notably, hookah venues exhibited higher exposures, and unexpected air quality issues were identified in some non-smoking locations. Our study emphasizes the importance of enforcing smoking regulations to address these air quality challenges in public dining areas, suggesting the need for further research to understand the scope and improve regulation and compliance.</t>
  </si>
  <si>
    <t>Nicolas</t>
  </si>
  <si>
    <t xml:space="preserve"> Lopez-Galvez</t>
  </si>
  <si>
    <t>nilopez@sdsu.edu</t>
  </si>
  <si>
    <t>Tyler</t>
  </si>
  <si>
    <t>McClure Kent</t>
  </si>
  <si>
    <t>tmcclurekent0849@sdsu.edu</t>
  </si>
  <si>
    <t>Bachelor of Science Kinesiology Emphasis in Pre Physical Therapy</t>
  </si>
  <si>
    <t>Recovery of muscle torque after lengthening contraction injury in cigarette smoke-exposed mice.</t>
  </si>
  <si>
    <t xml:space="preserve"> To investigate the effects of short-term CS exposure on in vivo torque recovery of anterior crural muscles after lengthening contractions (LCP). Adult mice expressing tdTomato fluorescent protein in satellite cells (Pax7CreER-Ai9, 8 weeks old; n=3) were daily exposed to smoke from 10 cigarettes (1R6F), 5x per week for 8 weeks (CS group). Non-exposed mice were age-matched controls (VIV group, n=4). On week 6 of CS exposure, mice were treated with tamoxifen (2 mg/day, i.p.). On week 7, torque produced was measured on both legs, and one leg was subjected to LCP (400, 1,0000/sec for 150 contractions). On days 3 and 7 torque was measured on both legs. Tissues were collected on day 7 for ex-vivo extensor digitorum longus (EDL) contractility and for tibialis anterior (TA) histology. Maximum torque developed by the uninjured leg was not different between groups at any point (90  ± 10 vs 90 ± 10 Nmm/kg for Pre-LCP; 76 ± 14 vs 109 ± 7 Nmm/kg day 3; and 95 ± 7 vs 99 ± 1 Nmm/kg day 7; VIV vs CS, respectively, P&gt;0.05). In the LCP legs, in-vivo torque pre-LCP (101 ± 3 and 106 ± 14 Nmm/kg) was decreased for both groups after LCP (35 ± 3 and 30 ± 7 Nmm/kg).  On day 3, torque was lower in the CS group vs VIV group (25 ± 4 vs 60 ± 13 Nmm/kg, P&lt;0.05). However, at day 7, torque was not different between groups (48  ± 4 Nmm/kg for VIV vs 36 ± 7 Nmm/kg, for CS, P&gt;0.05).  Ex-vivo maximal force of EDL obtained at day 7 was not different between groups in uninjured legs (446 ± 31 vs 456 ± 11 kPa, respectively, P&gt;0.05) but was statistically smaller in the CS group from LCP legs (213 ± 49 vs 345 ± 38 kPa, for CS vs VIV, P&lt;0.05). CONCLUSION: Mice exposed to CS over 8 weeks showed a slower recovery of in-vivo torque after LCP compared to VIV mice. 
</t>
  </si>
  <si>
    <t xml:space="preserve">Leonardo </t>
  </si>
  <si>
    <t xml:space="preserve">Nogueira </t>
  </si>
  <si>
    <t>lnogueira@sdsu.edu</t>
  </si>
  <si>
    <t>Mia</t>
  </si>
  <si>
    <t>Naranjo</t>
  </si>
  <si>
    <t>mnaranjo8936@sdsu.edu</t>
  </si>
  <si>
    <t>B.A. in Psychology, Emphasis in Neuroscience; B.S. in Kinesiology, Emphasis in Pre-Physical Therapy</t>
  </si>
  <si>
    <t>Relationship between unintentional finger force drifts and surface texture</t>
  </si>
  <si>
    <t>Frictional forces between our fingertips and object surfaces allow us to hold objects in our hands, which is a significant component of many activities of daily living. The area of the fingertip that is in contact with a handheld object increases over time as dermal ridges of the fingerprints conform to the object’s surface, which results in increased friction between the fingertips and the object. On the same timescale, force production by the fingers while grasping an object tends to decrease unintentionally and asymptotically. This project investigates whether unintentional force drifts in finger force production are related to increased dermal ridge contact of the fingertip. Drift in constant force production of the finger flexors is classically explained by a working memory deficit. Alternatively, force drift may be an adaptive process of the central nervous system to minimize energy expenditure as fingertip friction increases. Participants complete a series of sixty force production tests in which they are instructed to use their dominant index finger to press down on Plate 0 (low surface deformation) or 1 (high surface deformation, such that changes in dermal ridge conformity minimally affect fingertip friction). These plates are attached to a force sensor. For the first few seconds of each trial, participants receive visual feedback to ensure they produce 10 Newtons. They are instructed to continue pressing with the same amount of force until the end of the trial when they drag their finger along the surface. To discriminate between the competing classical and alternative hypotheses, quantitative analyses comparing the rate of force drift and frictional forces on Plate 0 and Plate 1 will be completed.</t>
  </si>
  <si>
    <t>Sasha</t>
  </si>
  <si>
    <t>Reschechtko</t>
  </si>
  <si>
    <t>sreschechtko@sdsu.edu</t>
  </si>
  <si>
    <t xml:space="preserve">Viridiana </t>
  </si>
  <si>
    <t>Apodaca</t>
  </si>
  <si>
    <t>vapodaca5677@sdsu.edu</t>
  </si>
  <si>
    <t>Bachelor of Arts in Speech, Language, and Hearing Sciences</t>
  </si>
  <si>
    <t>Bilingual elementary students' awareness and self-report of their language proficiency</t>
  </si>
  <si>
    <t xml:space="preserve">Intro: When studying bilinguals, it is important to gather information about their home and school language experiences and their proficiency in each language. Parents are often asked to provide information regarding the child’s bilingual experience;  however, response rates to parent questionnaires are often low, which limits our ability to know about children’s home language use. We want to see if a language questionnaire that children respond to would correlate with their scores on direct assessments of Spanish and English language and literacy. 
Procedures: The Houston Questionnaire (Houston-Q; Castilla-Earls et al., 2022) is a self-report questionnaire for children that provides information on their Spanish and English experience and proficiency. Assessment-2-Instruction (A2i)  assessments are online adaptive tests that analyze language and literacy skills in Spanish and English. The 6 tests measure code-focused (decoding), meaning-focused (semantic), and reading comprehension abilities in each language. We gave 303 students (6 PreK, 6 Kindergarten, 99 1st grade, 125 2nd grade, and 67 3rd grade) the HoustonQ Questionnaire. Of these, 285 students enrolled in dual-language classrooms and 18 in English-only classrooms also took the A2i tests. The Houston-Q was administered one-on-one or in small groups with the support of a research assistant.
Results: Correlations among the Houston-Q responses related to English were significantly and positively correlated with the English decoding and reading comprehension scores (rs range .20-.23), but not the semantic assessment. The self-assessment of Spanish was related to performance on the Spanish semantic and reading comprehension measures (rs range .15-.16), but not the decoding assessment. Correlations for English variables were stronger among children in dual-language education, while correlations for Spanish variables were stronger among children in English-only education.
Conclusions: Overall, the student’s self-report of their English and Spanish experience and proficiency correlates with the computerized assessment scores. However, these correlations are weak, suggesting that we are only capturing part of the variability in actual language skills via children’s self-report. This demonstrates limited evidence of the validity of the students’ responses to the Houston-Q for capturing children’s language proficiency and experiences. Researchers may consider using Houston-Q to supplement other language proficiency measures.
</t>
  </si>
  <si>
    <t xml:space="preserve">Makenna </t>
  </si>
  <si>
    <t>Fisher</t>
  </si>
  <si>
    <t xml:space="preserve">Sanabria </t>
  </si>
  <si>
    <t>aadams2@sdsu.edu</t>
  </si>
  <si>
    <t>Nino</t>
  </si>
  <si>
    <t>Shatirishvili</t>
  </si>
  <si>
    <t>nshatirishvili@sdsu.edu</t>
  </si>
  <si>
    <t>Chemistry</t>
  </si>
  <si>
    <t>Sensitive early detection of chronic traumatic encephalopathy related biomarkers using nonlinear multi-photon laser wave-mixing spectroscopy</t>
  </si>
  <si>
    <t>Reliable confirmation of Chronic Traumatic Encephalopathy (CTE) remains
challenging due to its resemblance to other neurological diseases and the post-mortem diagnosis requirement. This study presents an innovative approach employing absorption-based four-wave mixing spectroscopy to detect cerebrospinal fluid (CSF) and serum biomarkers associated with CTE, aiming to distinguish CTE from similar disorders accurately. Two research objectives were pursued. First, a custom-built capillary electrophoresis system integrated with four-wave mixing spectroscopy achieved sensitive biomarker detection and separation. Second, the study demonstrated four-wave mixing detection with micrometer-thin liquid CTE biomarker samples on surfaces. The wave-mixing signal is generated when the two input beams are mixed inside the analyte and it can be collected with virtually 100% efficiency and maximum signal-to-noise ratio. The signal has a quadratic dependence on analyte concentration, and hence, small changes can be monitored more effectively. Since wave-mixing probe volume is small (nanoliter to
picoliter), it is intrinsically suitable for microfluidics or capillary-based electrophoresis systems (e.g., 75 μm i.d. fused silica capillary). Different biomarkers can be immobilized on a custom 3D printed slide. Since wave mixing is an absorption-based method, both fluorophore and chromophore labels could be used, if desired. The integration of four-wave mixing spectroscopy with separation methods holds promise for early and reliable CTE diagnosis, potentially benefiting individuals in the early stages of the disorder.</t>
  </si>
  <si>
    <t>Tong</t>
  </si>
  <si>
    <t>ww.tong@sdsu.edu</t>
  </si>
  <si>
    <t>Zachery</t>
  </si>
  <si>
    <t>Clow</t>
  </si>
  <si>
    <t>zclow@sdsu.edu</t>
  </si>
  <si>
    <t>Untangling Ancient Health: Comparative study of Dental and Skeletal Markers of Disease in Lower Río Verde Valley, Oaxaca, Mexico</t>
  </si>
  <si>
    <t xml:space="preserve">The bioarchaeology of stress and disease aims to examine the complex and interconnected relationships between health, diseases, culture, and the physical manifestations left behind on the skeleton from a biocultural perspective. This study focused on whether social and political disruptions resulting from the Classic Period collapse (ca. 700-900 CE) in the lower Río Verde Valley (LRVV) of Oaxaca, Mexico had any effect on disease processes on the human body as evaluated from a gross skeletal and dental analysis. This critical transition spanning the Late Classic (500 – 800 CE) to Early Postclassic (800 – 1100 CE) is hypothesized to have affected the health of individual’s and populations. The sample used for this study comes from 53 skeletal remains spanning from the Late Classic to Early Postclassic periods at Río Viejo, Oaxaca, Mexico. Health is measured in this study from disease prevalence rates and complemented with the concept of frailty, which has traditionally been conceptualized in archaeological contexts as an individual’s susceptibility or relative risk of death compared to other members of a population. This study tests the applicability of frailty on collections with poor preservation due to soil conditions and taphonomic processes. Expanding the definition of frailty to encompass a cumulative measure of health, made up of multiple disease markers, as an on-going and changing state in archaeological contexts. This reframing of health and frailty can be used to rethink individual’s resilience to diseases encounters throughout life and ultimately our contemporary measurements of general ‘health’ in archaeological assemblages. </t>
  </si>
  <si>
    <t>Arion</t>
  </si>
  <si>
    <t>Mayes</t>
  </si>
  <si>
    <t>amayes@sdsu.edu</t>
  </si>
  <si>
    <t xml:space="preserve">Noemi </t>
  </si>
  <si>
    <t>Garcia Rodriguez</t>
  </si>
  <si>
    <t>ngarcia1684@sdsu.edu</t>
  </si>
  <si>
    <t xml:space="preserve">Masters of Arts in Psychology </t>
  </si>
  <si>
    <t>Investigating the Effects of Family Structure on Early Language Acquisition</t>
  </si>
  <si>
    <t xml:space="preserve">Early language acquisition is crucial to the development of cascading cognitive processes, such as literacy and numeracy skills (Duff, 2015; Purpura et al., 2015). Disentangling aspects of the environment that influence early language is important for equitable healthy development. Socioeconomic status (SES) is important for accessibility to resources and opportunities, which in turn influences cognitive development and early language skills (Brito &amp; Noble, 2014; Lecheile et al., 2020; Kluczniok &amp; Mudiappa, 2019). Recent attention has turned to household density and adult-to-child ratio as indicators of SES (Poudel et al., 2023; Singh et al., 2023), however the literature is inconsistent with regard to the effect of these indicators on vocabulary. Poudel et al. (2023) found a medium effect of household density and a small effect of adult-to-child ratio on vocabulary size. In contrast, Havron et al. (2022) found no effect of household size and a small effect of number of adults in the home. We explore relations between household size and pandemic disruption, and between household size, adult-to-child ratio, and vocabulary in children.  
Our preliminary sample includes 39 children (Mage = 26.87 mos, range = 19 to 39, 19F, 30 English monolingual, 9 Spanish-English bilingual). Parents completed a modified COVID-19 Family Stressor Scale (Prime et al., 2021) to assess the magnitude and duration of pandemic disruptions in income, family relations, anxiety, and childcare. Conceptual vocabulary was measured using the web-based Computerized Comprehension Task in English and Spanish (Web-CCT; Friend et al., 2023), the MCDI and IDHC (Maldonado, et al., 2003; Marchman et al., 2023), and the ROWPVT or ROWPVT-SBE (Brownell, 2012; Martin &amp; Brownell, 2011). Partial correlations controlling for age were calculated for relations between household size, pandemic disruption, and vocabulary (a factor derived from raw scores on the vocabulary measures). Household size correlated  positively with disruption (r33= .353, p= .04) and negatively with vocabulary (r36= -.395, p=.01), consistent with Poudel et al. (2023). Contrasting with both Poudel et al. (2023) and Havron et al. (2022), adult-to-child ratio was uncorrelated with vocabulary size (r36= .067, p=.69). </t>
  </si>
  <si>
    <t>Reyes</t>
  </si>
  <si>
    <t>hreyes0762@sdsu.edu</t>
  </si>
  <si>
    <t xml:space="preserve">Investigating the Influence of Cardiovascular Risk Factors on White Matter Atrophy in the Parahippocampal Gyrus and Entorhinal Cortex </t>
  </si>
  <si>
    <t xml:space="preserve">Significant evidence suggests impairment in the entorhinal region in cases of Alzheimer’s Disease (AD) (Braak &amp; Braak, 1992). The loss of structural integrity in the white matter areas of the brain can be a consequence of vascular damage and development of dementia, suggesting a link between these conditions (Appelman et al., 2009). We explore the relationship between cardiovascular risk factors (history of smoking, cholesterol, high blood pressure, and statin use) and white matter atrophy in the parahippocampal gyrus (PG) and entorhinal cortex (EC), areas that are critically damaged in AD (Jacobs et al., 2015; Mizutani &amp; Kasahara, 1997; van Hoesen et al., 1991). This study sought to test whether relationships exist between white matter volume of the parahippocampal gyrus (PG) and the entorhinal cortex (EC) and interactions between education, smoking history, and cholesterol history. The volumes of the left and right PG and EC from MRI structural imaging (3T, T1-weighted) in 46 participants (26 female, 20 male) were averaged and analyzed using multiple linear regression analyses, with age, intracranial volume, and sex, as well education x smoking history and education x cholesterol history interaction terms as predictors. Significant interactions between education and smoking history were observed for the PG (p = .021) and the EC (p = .009), as well as between education and cholesterol history for the EC (p = .029). These findings highlight the importance of the heart-brain link and the important connections between dementia and cardiac disease. This exploratory analysis suggests the importance of further investigation of other possible cardiovascular risk factors and their relationship to white matter atrophy in other brain areas impacted by Alzheimer’s Disease.
Supported by NIH grant # R01AG062006 from the National Institute on Aging to CM.
</t>
  </si>
  <si>
    <t>Murphy</t>
  </si>
  <si>
    <t>cmurphy@sdsu.edu</t>
  </si>
  <si>
    <t>Rose Anh</t>
  </si>
  <si>
    <t>Do</t>
  </si>
  <si>
    <t>rdo5932@sdsu.edu</t>
  </si>
  <si>
    <t>M.A. Education - Dual Language &amp; English Learner Education (Outside Specialization)</t>
  </si>
  <si>
    <t>Supporting Emergent Multilingual Learners' Informal Science Education Experience</t>
  </si>
  <si>
    <t>With the increasing diversity of students represented in the United States and new scientific problems unfolding worldwide, there is a need for accessible science programs to foster young scientific minds. This qualitative mixed-methods study strived to investigate the complex challenges that informal science educators face in serving emergent multilingual
students and unveil the variety of teaching tools and practices used to support these students. An online survey alongside semi-structured interviews were evaluated with a general inductive approach in order to assess the current needs and practices of informal science educators at a variety of organizations. Findings so far (research is still ongoing) reveal that participants request additional training, translated materials, and information about students to serve emergent multilingual learners better. Suggestions for research and practice will be shared.</t>
  </si>
  <si>
    <t>Tamara</t>
  </si>
  <si>
    <t>Collins-Parks</t>
  </si>
  <si>
    <t>TCollins-Parks@sdsu.edu</t>
  </si>
  <si>
    <t>John William</t>
  </si>
  <si>
    <t>Edwards, III</t>
  </si>
  <si>
    <t>jedwards1254@sdsu.edu</t>
  </si>
  <si>
    <t>Masters of Social Work</t>
  </si>
  <si>
    <t>“My Barber is Like a Therapist”: The Influence of Trauma-Informed Advocacy on Psychological Openness and Help-Seeking Behaviors Among African American Males During a Barber Visit</t>
  </si>
  <si>
    <t>Negative beliefs related to seeking help has adverse effects on Black men ages 18 – 35.
Specifically, stigma has been linked to unnecessary disability, substance abuse, domestic
violence, unemployment, homelessness, incarceration, and suicide in this population. These
circumstances become amplified when men do not have a way to decompress and communicate their feelings. Conversely, prioritizing self-care, which can be something as simple as getting a haircut when low self-esteem is detected, can encourage men to engage in meaningful conversation, thus reducing the fear of vulnerability. This study aims to investigate whether trauma-informed advocacy (i.e., advocating for psychological openness, providing mental health resources) with a strength-based approach during a haircut provided by a trauma-informed barber has an influence on help-seeking behaviors and general health outcomes (self-esteem, anxiety symptoms, depressive symptoms). This study will employ a mixed methods approach, including qualitatively assessing the reactions and responses of African American males to a haircut and quantitatively measuring outcomes through a survey. It’s predicted that Black men who receive a haircut and engage in meaningful conversation that supports their individual needs may develop a healthy relationship with talking about their mental health.</t>
  </si>
  <si>
    <t>Shriver</t>
  </si>
  <si>
    <t>rshriver0914@sdsu.edu</t>
  </si>
  <si>
    <t>MA in Psychology</t>
  </si>
  <si>
    <t>Transient and Continuous Neural Indices of Attention Selection and Suppression in Anxiety</t>
  </si>
  <si>
    <t xml:space="preserve">At every moment, we are surrounded by numerous stimuli competing for limited cognitive resources. Attentional control, the ability to focus on stimuli relevant to our current goals and avoid distraction by irrelevant items, is pertinent to cognitive functioning. Attentional control has been shown to consist of two separate but related processes: (1) attentional selection of relevant stimuli, and (2) attentional suppression of irrelevant stimuli. These processes unfold within a few hundred milliseconds to jointly determine which stimuli receive additional cognitive resources, influencing an individual’s behavior and actions. Previous research from our laboratory and others has shown that these two aspects of attentional control may independently relate to anxiety (Kappenman et al., 2021), indicating that the ability to separately measure and characterize such attentional mechanisms may be key to understanding individual differences in psychopathology. Previous research has utilized the millisecond-level temporal resolution afforded by electroencephalogram (EEG) recordings to measure these rapid processes of attention. Specifically, event-related potentials (ERPs) have been identified that separately index attentional selection using the N2pc and attentional suppression using the distractor positivity (PD). Other EEG studies have separated attentional selection and suppression by examining oscillatory steady-state visual evoked potentials (SSVEPs) that occur in response to attended and ignored stimuli flickering at a specific frequency. The goal of the present study is to simultaneously investigate both transient ERP (N2pc &amp; PD) and oscillatory SSVEP measures of attentional selection and suppression to determine whether these two EEG measures of attention index the same or different aspects of the attentional control process. Participants completed a visual search task, in which they responded to a target stimulus (brown circle) flickering at 24 Hz while ignoring a salient distractor (green or orange circle) flickering at 20 Hz. This novel task design allowed us to isolate both ERP and SSVEP neural responses to target and distractor stimuli to determine the relationship among these measures of attention. Preliminary results showing the time course and magnitude of ERP and SSVEP responses will be presented. These results will further our understanding of the unique aspects of attentional control in relation to healthy and psychopathological cognitive function. </t>
  </si>
  <si>
    <t>Sophia</t>
  </si>
  <si>
    <t>Fugazzotto</t>
  </si>
  <si>
    <t>Sidney</t>
  </si>
  <si>
    <t>Horne</t>
  </si>
  <si>
    <t>Kappenman</t>
  </si>
  <si>
    <t>emily.kappenman@sdsu.edu</t>
  </si>
  <si>
    <t>Valley</t>
  </si>
  <si>
    <t>hvalley5854@sdsu.edu</t>
  </si>
  <si>
    <t>Masters of Science in Industrial-Organizational Psychology</t>
  </si>
  <si>
    <t>The Control Conundrum: Unpacking the Relationship between Personality Traits and Policing Effectiveness</t>
  </si>
  <si>
    <t>My study aims to investigate how the Big Five personality dimensions and the
subdimension of controlling relate to the performance dimensions of controlling suspects and arrests among police officers. In addition, this study will investigate whether the gender of the officers moderates this relationship. I will use a moderated multiple regression analysis with a controlling personality trait as the predictor variable, the performance dimensions of controlling suspects and arrests as the outcome variables, and the gender of police officers as the moderator variable. The findings of this study will offer valuable insights into the influence of personality traits on police performance, and contribute to enhancements in the selection and training processes within law enforcement.</t>
  </si>
  <si>
    <t>Jeff</t>
  </si>
  <si>
    <t>Conte</t>
  </si>
  <si>
    <t>jeff.conte@sdsu.edu</t>
  </si>
  <si>
    <t>Brittany</t>
  </si>
  <si>
    <t>Conley</t>
  </si>
  <si>
    <t>bbermoy@sdsu.edu</t>
  </si>
  <si>
    <t>JDP/PhD Biochemistry</t>
  </si>
  <si>
    <t>Catalytic dependence on K72 electrostatic contribution in isocitrate dehydrogenase 1</t>
  </si>
  <si>
    <t>Human isocitrate dehydrogenase 1 (IDH1) is responsible for the NADP+-dependent conversion of isocitrate (ICT) to alpha-ketoglutarate (αKG) in the cytoplasm and peroxisomes. The products of the IDH1 enzymatic reaction fuel many biological processes, and mutations are associated with cancers such as acute myeloid leukemia (AML) and glioblastoma. Although there have been many investigations involving IDH1 and cancer-related mutations, the catalytic residues involved in the mechanism remain under debate. Structural analysis and preliminary in vitro kinetic assays show a key residue K72 may provide the required hydrogen bond that anchors the cofactor in place for catalysis to occur. Previous studies have pointed to a similar structurally analogous residue in E. coli IDH (K100) that was necessary for catalytic function. After assessing the similar chemistry and physical position in human IDH1, I performed site-directed mutagenesis first modeling a mutation at this position using PyMol to predict the structural change. Mutating the lysine to methionine caused a significant increase in distance between the NADP+ cofactor and the new methionine residue. Next, I performed site-directed mutagenesis followed by heterologous expression to obtain the purified human IDH1 enzyme with the K72M mutation. By titrating in the isocitrate substrate in steady-state kinetics experiments and measuring the conversion of NADP+ to NADPH spectrophotometrically, I concluded that this mutation causes catastrophic disruption of enzymatic activity. I predict that the structural and electrochemical changes caused by this mutation cause the charge-destabilization preventing the necessary hydride transfer for catalysis. Determining the charge-stabilizing residues required for the chemistry of catalysis expands our understanding of the IDH1 mechanism and helps assess the disruption in enzymatic function caused by mutations.</t>
  </si>
  <si>
    <t>Tamsen</t>
  </si>
  <si>
    <t>tdunn3966@sdsu.edu</t>
  </si>
  <si>
    <t>Hunting for genomic fossils: Inferring the characteristics of ancient polyploidization events from modern plant genomes</t>
  </si>
  <si>
    <t>All modern diploid flowering plants are ancestral polyploids. Multiple rounds of whole genome duplications (WGD) have occurred throughout angiosperm evolution, and ancient WGD events tend to cluster in time across lineages during times of abrupt environmental fluctuations. The majority of sequenced plant genomes appear to have evolved from allopolyploids (hybrids with multiple subgenomes derived from different species), while only a few genera are ancient autopolyploids (multiple subgenomes derived from the same species).  Ancient WGDs are commonly detected in a modern genome by analyzing the levels of divergence between pairs of duplicate genes. Divergence between gene pairs is quantified as the average number of synonymous substitutions per site (Ks) between the two genes. Since Ks is a proxy for time passed, modes in the histogram of these data indicate a spike in contemporaneous gene duplication. Thus WGDs may be detected by fitting mixture models to identify peaks in Ks distributions. However, there are several limitations to this technique, one of which is that the Ks peak gives the divergence time between the duplicated subgenomes, not the actual time the subgenomes came together into one novel species. For autopolyploids, the divergence time between the duplicated subgenomes is equivalent to the time of whole genome duplication. However, for allopolyploids, the divergence time and the whole genome duplication time may differ by several million years. Furthermore, allo and autopolyploids follow distinct molecular evolutionary trajectories. Thus surveys which seek to generalize the consequences of polyploidy must appropriately take into account the time and mode of speciation.  To address this concern, I propose and test a novel, scalable analysis method to determine the mode of ancient speciation from the shape of the Ks histogram of a modern genome. Preliminary work so far has demonstrated that our prototype method provides a better fit to Ks curves from the 1000 plant transcriptome dataset as compared with previous methods, and works well for both allo and autopolyploid-derived species.</t>
  </si>
  <si>
    <t>Arun</t>
  </si>
  <si>
    <t>Alexia</t>
  </si>
  <si>
    <t>Morales</t>
  </si>
  <si>
    <t>amorales1710@sdsu.edu</t>
  </si>
  <si>
    <t xml:space="preserve"> Development of in vitro Raf activation assays on supported lipid bilayers</t>
  </si>
  <si>
    <t xml:space="preserve">Cell signaling involves highly regulated multi-step pathways that relay signals to the nucleus for important processes such as cell growth and apoptosis. One such pathway, the mitogen-activated protein kinase (MAPK), is commonly dysregulated in a wide variety of cancers, including due to mutations in the membrane-associating GTPase RAS and its effector RAF kinase. Raf kinases reside in the cytoplasm in an inactive, autoinhibited state, and upon recruitment to the membrane via GTPase RAS, these autoinhibitory interactions are released. RAF activation involves complex, multi-step processes, including protein binding, lipid interactions, rearrangements of modular domains, phosphorylation, dimer formation, and allosteric effects. Membrane environments are thought to play a critical role in regulating these mechanisms, however, many aspects remain speculative, primarily due to the limited capability of classical biochemical methods to study dynamics and chemical reactions occurring at membranes. This study outlines our efforts to develop in vitro assays for studying the activation of the Raf signaling complex at membrane surfaces using supported lipid bilayers (SLBs). SLBs efficiently mimic the environment of the plasma membrane, allowing for quantitative analysis of protein function and structure through time-resolved spectroscopy and microscopy. As a first step, BRAF kinase was expressed in mammalian cells using lentiviral transduction. Cells expressing BRAF were isolated with antibiotic selection and validated with fluorescence imaging of live cells. To detect our specific protein of interest from the selected cells, we performed a Western blot analysis using a BRAF-specific antibody. From this, we will be able to purify autoinhibited BRAF kinases complexed with 14-3-3 and MEK1. In the future, the purified RAF complex will be utilized to investigate conformational dynamics, SHOC2-PP1-mediated phosphorylation mechanisms, and the atomic structure of the active Raf-Ras complex at membranes. </t>
  </si>
  <si>
    <t>Antunez</t>
  </si>
  <si>
    <t xml:space="preserve">Julian </t>
  </si>
  <si>
    <t>Grim</t>
  </si>
  <si>
    <t xml:space="preserve">Youngkwang </t>
  </si>
  <si>
    <t>youngkwang.lee@sdsu.edu</t>
  </si>
  <si>
    <t>Frances</t>
  </si>
  <si>
    <t>Stein</t>
  </si>
  <si>
    <t>fstein4569@sdsu.edu</t>
  </si>
  <si>
    <t>Masters of Science in Environmental Health</t>
  </si>
  <si>
    <t>Effects of trichloroethylene metabolite S-(1,2-dichlorovinyl)-L-cysteine on extravillous trophoblast viability and invasion capacity under hypoxic and normoxic conditions</t>
  </si>
  <si>
    <t xml:space="preserve">Trichloroethylene (TCE) is an industrial degreasing solvent that persists in the environment via soil and groundwater and poses a threat to human health. Exposures to trichloroethylene and its metabolites, including S-(1,2-dichlorovinyl)-L-cysteine (DCVC), are associated with increased risk of adverse birth outcomes and placental dysfunction. Decreases in extravillous trophoblast invasion capacity and cytotoxicity are defining pathological characteristics of several adverse birth outcomes linked to placental abnormalities. The effects of DCVC exposure on viability and invasion under normoxic conditions, in addition to hypoxic conditions similar to those that occur in the first trimester of pregnancy, were evaluated and compared. To simulate hypoxic conditions, all hypoxia experiments were performed in a hypoxic chamber (STEMCELL Technologies) purged to 2% O2 , monitored by an O2  meter, and placed in an  37 ºC incubator with 5% CO2. All non-hypoxia experiments were performed in a standard 37 ºC incubator with 5% CO2. First-trimester human extravillous trophoblast cells, HTR-8/SVneo, were exposed in vitro to 0 (control) 5, 10, and 20µM DCVC for 6 h and 24 h before measuring viability. Viability was measured using the MultiTox-Glo Multiplex Cytotoxicity Assay, quantified by plate reader. HTR-8/SVneo cells were exposed in vitro to 10 and 20 µM DCVC for 24 h before measuring invasion capacity. Invasion capacity was measured using transwell chamber inserts coated in Matrigel, mounted on microscope slides prepared with DAPI Fluoromount-G and examined under an EVOS M5000 microscope. </t>
  </si>
  <si>
    <t>Nora</t>
  </si>
  <si>
    <t>Le</t>
  </si>
  <si>
    <t>Elana</t>
  </si>
  <si>
    <t>Elkin</t>
  </si>
  <si>
    <t>eelkin@sdsu.edu</t>
  </si>
  <si>
    <t>Kesaria</t>
  </si>
  <si>
    <t>Tevdorashvili</t>
  </si>
  <si>
    <t>ktevdorashvili8423@sdsu.edu</t>
  </si>
  <si>
    <t xml:space="preserve">Masters in Chemistry </t>
  </si>
  <si>
    <t>A single-molecule recruitment rate of Raf on Ras-membranes</t>
  </si>
  <si>
    <t>Understanding the structure and dynamics of recruitment complexes at the cellular membrane holds critical significance in fundamental biology and biomedical applications. RAF kinases known as extensively studied proteins have profound implications in cancer. Despite the extensive study of autoinhibited RAF complexes' atomic structure, a void exists in understanding how specific interaction between RAS and RBD is modulated at membrane surfaces. To bridge this gap, we employed a Total Internal Reflection Fluorescence Microscope (TIRFM) technique. Our approach involved measuring RAS binding domain (RBD) recruitment binding rates on RAS-functionalized supported lipid bilayers, mimicking the membrane environment. To minimize perturbation of RAF-RAS interaction, we utilized site-specific labeling of a small inorganic dye. Quantifying RBD binding rates at varying RAS densities, we observed a significant decline on our calibration curve after 100μm-2. This intriguing finding points towards potential RAS-RAS interactions at high densities, suggesting the possibility of RAS dimerization on the membrane. Contrary to the canonical notion in the field that Ras dimers promote Raf activation, our preliminary data proposes a novel hypothesis – Ras dimerization plays an inhibitory role rather than an activating one in regulating Ras and Raf interactions. This unexpected observation challenges the prevailing consensus, highlighting the complexity of molecular dynamics at the cellular membrane. This nuanced understanding not only enriches our comprehension of cellular behavior but also opens new avenues for innovative therapeutic strategies targeting dysregulated cell growth.</t>
  </si>
  <si>
    <t>Salatiel</t>
  </si>
  <si>
    <t>Garcia Nava</t>
  </si>
  <si>
    <t>Mechatronics</t>
  </si>
  <si>
    <t>Design and implementation of a photobioreactor for the cultivation of microalgae results in increased growth rates and productivities</t>
  </si>
  <si>
    <t xml:space="preserve">Microalgal cultivation is a promising technology for the capture of CO2 in a sustainable framework. The growth rate of microalgae depends on suitable cultivation conditions that can potentially result in the successful generation of commodities and high-value products at industrial scale. The highest microalgal growth rates are usually achieved in photobioreactors. Thus, for this project a multidisciplinary team of researchers, including biotechnology, chemical, and mechatronic engineers worked together on the design and construction of a loop air-lift photobioreactor. An acrylic column with a coaxial section with internal diameter of 12.7 cm and a height of 110 cm with a diameter of 20 cm was the body of the 5 L photobioreactor. The gas phase was distributed from the bottom through a sparger.
Additionally, the photobioreactor accounted for an external artificial illumination system that used a controller for high intensity and broad spectrum color LEDs. The pH was measured with a digital sensor and a fluorescence sensor was used to determine the dissolved oxygen concentration. The CO2 in the gas phase was measured with a high sensitivity infrared sensor. The signals of the sensors were continuously acquired and processed on-line using a Raspberry development board programmed in Python.
Using the bioreactor we performed analysis of dynamic responses of growth and production and consumption rates of oxygen and CO2, respectively. The effect of light step-changes on the photosynthetic activity indicated pseudo-steady states in the oxygen concentration indicating a short-term photosynthetic acclimation for the generation of pigments and lipids. </t>
  </si>
  <si>
    <t>Cabello Robles</t>
  </si>
  <si>
    <t xml:space="preserve">Yasaman </t>
  </si>
  <si>
    <t>Farokhi Soofi</t>
  </si>
  <si>
    <t>yfarokhisoofi0010@sdsu.edu</t>
  </si>
  <si>
    <t xml:space="preserve">Master of Science in Chemistry and Biochemistry </t>
  </si>
  <si>
    <t>Investigating DNA Modifications That Determine the Host Range of Achromobacter Bacteriophages</t>
  </si>
  <si>
    <t xml:space="preserve">Investigating DNA Modifications That Determine the Host Range of Achromobacter Bacteriophages
           Bacteriophages are the most abundant biological entity in the biosphere. Phages have an immense genetic diversity and different lifestyle strategies, and have a major influence on the composition of the bacterial communities. The constant war between phages and their hosts is often referred to as the oldest ‘arms race.’ On one side, bacteria have developed strategies to resist infection by phages. The oldest and best known is the use of restriction endonucleases (REs) while protecting their own DNA by expressing modifying enzymes. Phages have evolved countermeasures to circumvent the bacterial antiphage defense systems; these include modifying their own nucleotides to block the host’s restriction enzymes. While identifying phages to treat a multidrug resistant bacterial infection, we found that some phages, for example phiAxy18, can replicate and kill several strains of Achromobacter xylosoxidans (CF116 and BCH1), while phiAxy10 can only kill one of these bacteria, BCH1. One possibility is that the CF116 strain is resistant to phiAxy10 because it lacks a receptor for the phage.  An alternate possibility is that the CF116 strain can protect itself from phiAxy10 but not from phiAxy18, whereas the BCH1 strain cannot protect itself from either phage. We are characterizing phage DNA modifications to understand how these may determine the host range of Achromobacter phages.
Author List
Yasaman Farokhi Soofi
Hamza Hajama
Dr. Anca Segall
 </t>
  </si>
  <si>
    <t>Howe</t>
  </si>
  <si>
    <t>showe4775@sdsu.edu</t>
  </si>
  <si>
    <t>The role of obese preadipocytes in the ovarian cancer tumor microenvironment</t>
  </si>
  <si>
    <t>Ovarian cancer is the most lethal gynecologic malignancy in the United States and is attributed to over 70% of advanced stage relapse, resulting in high morbidity and mortality. It is well known that ovarian cancer initially metastisizes to the omentum, which is an abdominal fatty tissue sheet composed of mature adipocytes, and stromal cells such as preadipocytes, fibroblasts and immune cells. Recent studies indicate preadipocytes enhance tumor initiation capacity of ovarian cancer in vivo and increased viability and proliferation in in vitro co-culture experiments compared to their mature counterparts. Moreover, obesity is considered a non-infectious pandemic that can potentially exacerbate a patient’s survival with ovarian cancer. Preadipocytes are an active component of visceral fat which is correlated with obesity. We hypothesize that obese preadipocytes contribute to ovarian cancer progression and drug resistance through alternative NF-kB signaling and IGF enrichment. To evaluate this hypothesis, we will use 3T3-L1 preadipocyte cells, differentiate them to mature adipocytes, and coculture them with ovarian cancer to assess changes in Rel B activation, or dedifferentiation of adipocytes to their precursor state. We will also carry out a subcutaneous mouse model, assessing adipokine secretion and IGF changes within tumors of obese or normal BMI preadipocytes. Ultimately, we hope to highlight the role of preadipocytes in the ovarian cancer tumor microenvironment and uncover signaling factors that may enhance ovarian cancer. Understanding these processes under obese conditions will enable the design of more effective therapies for treating ovarian cancer.</t>
  </si>
  <si>
    <t>Ramya</t>
  </si>
  <si>
    <t>Chandrasekaran</t>
  </si>
  <si>
    <t>rchandrasekara1597@sdsu.edu</t>
  </si>
  <si>
    <t>Graduate/Civil Engineering</t>
  </si>
  <si>
    <t>Surface and subsurface flows in different wildfire-affected landscapes</t>
  </si>
  <si>
    <t xml:space="preserve">There is a need to understand the impact of wildfire on surface-groundwater interactions. This research will build on previous studies investigating changes in runoff and infiltration on wildfire affected soils and add to the literature of post-fire vadose zone processes. Four experimental hill slopes will be used to simulate different post-fire environmental conditions for: 1) heavily-trafficked roadways, 2) green spaces in suburban communities, 3) forested areas resembling the Pacific Northwest, and 4) chaparral representing Mediterranean systems in California. Two control hill slopes will be monitored and provide non-wildfire conditions, one with vegetation and the other with barren soil. Rainfall will be simulated to induce surface and subsurface hydrologic processes. We will measure the volume of surface runoff, infiltration rates, soil water volume content, and saturated hydraulic conductivity for each hill slope condition. This goals of this poster presentation are to present a 1)  literature review of studies on hydrological processes in wildfire-affected environments towards the development of a workflow to evaluate the impacts of different landscape conditions on surface and subsurface flow and 2) a prototype of the hillslope experiments. </t>
  </si>
  <si>
    <t>Alicia</t>
  </si>
  <si>
    <t>Kinoshita</t>
  </si>
  <si>
    <t>akinoshita@sdsu.edu</t>
  </si>
  <si>
    <t>Jarred</t>
  </si>
  <si>
    <t>Druzynski</t>
  </si>
  <si>
    <t>jdruzynski@sdsu.edu</t>
  </si>
  <si>
    <t>Development and Validation of an Apparatus to Improve the Efficiency of NASA-STD-6001B Test 1 Flammability Test</t>
  </si>
  <si>
    <t>In this project I developed and validated an apparatus that emulates NASA-STD-6001B Test 1 Flammability tests. Standard Test 1 tests burn a vertically mounted sample in a large, quiescent chamber, noting the burn rate, flame behavior, and whether the sample burns more than 6 inches. This apparatus is able to test material flammability in an upward configuration at varying pressures and oxygen concentrations, and proves to be more repeatable and quicker to run than NASA's Test 1 chamber. The testing apparatus’ size necessitated airflow during the test, which goes against Test 1’s standard procedures. Ansys Fluent simulations show the magnitude of the forced flow over the sample is magnitudes less than the flow due to natural convection from the sample burning. Through experimentation, it is shown that at certain flow rates the maximum oxygen concentration (MOC) that cotton will not burn at matches that measured in NASA’s quiescent tests. Data from NASA’s MATPIS material database on cotton’s flame spread rate at different concentrations has too much error to be of use, but the flame spread rate data produced from this apparatus’ tests is cleaner and is nearly linearly dependent on oxygen concentration and inlet velocity.</t>
  </si>
  <si>
    <t>Bryan</t>
  </si>
  <si>
    <t>Tan</t>
  </si>
  <si>
    <t>btan@sdsu.edu</t>
  </si>
  <si>
    <t>Master of Science in Mechanical Engineering</t>
  </si>
  <si>
    <t>Characteristics of a Two-Dimensional Turbulent Wall Jet over a Convex Surface of a Constant Radius</t>
  </si>
  <si>
    <t xml:space="preserve">In concentrating solar power systems, sunlight is focused onto receivers via fields of heliostats. The Combustion and Solar Energy Laboratory designed a quarter-scale version of such a receiver to carry the energy collected from solar radiation to be used in a heat engine. A quartz window allows solar radiation to effectively heat the working fluid in the receiver while containing the fluid. However, such a receiver may experience temperatures over 1000 K, at which devitrification of quartz may occur—compromising its optical performance and structural integrity—and thus cooling of the window using pulsed wall jets is proposed. Expanding upon previous work in the laboratory, a turbulent wall jet over a two-dimensional curved surface matching the radius of the dome window is experimentally and computationally analyzed. An apparatus is constructed to allow for wall jets to be pulsed along the surface from each side. Velocity profiles of the wall jets are collected using a single-sensor hot-wire probe for initial jet velocities ranging from 10 m/s to 30 m/s, and for various locations along the jet. Surface oil flow visualization is used to better understand the behavior of the wall jet, including its two-dimensionality and separation. The two-dimensional turbulent wall jet is simulated in Ansys Fluent using variations of k-ϵ and k-ω models, and the velocity results are compared with the experiments. Determining the separation of the flow, if any, is important as the surface past the separation point may not be cooled. Preliminary transient simulations of pulsed wall jets from both sides are also performed. While the simulation indicates separation only near the farthest point from the jet inlet due to walls, separation occurred as early as 90° from the inlet in the experiments. Furthermore, apparatus produced wall jets that were not two-dimensional, as a much higher velocity was observed near the centerline of the surface compared to the edges. </t>
  </si>
  <si>
    <t>Patrick</t>
  </si>
  <si>
    <t>Fassell</t>
  </si>
  <si>
    <t>pfassell0302@sdsu.edu</t>
  </si>
  <si>
    <t>M.S. in Civil Engineering</t>
  </si>
  <si>
    <t>Modeling Sediment Transport and Sedimentation in the Lower Alvarado Creek Watershed</t>
  </si>
  <si>
    <t>Sedimentation and sediment transport in streams are important river processes that impact riparian vegetation and aquatic habitats. Anthropogenic activities can alter these hydrologic and geomorphic processes; thus there is a need to understand altered sedimentation and transport dynamics to guide habitat restoration and preservation efforts in urban riverine systems. The goal of this study is to utilize the Hydraulic Engineering Center-River Analysis System (HEC-RAS) to model the sediment transport and sediment load in the lower Del Cerro reach of Alvarado Creek, an urban stream in San Diego, California. Field data, streamflow, sediment size distribution, and channel topography, were utilized to parameterize HEC-RAS. We modeled sedimentation and sediment transport for the 2022 water year (1 October 2021 to 30 September 2022). The baseline hydraulics were first simulated using streamflow data from a post-restoration storm and compared against known flow depth to calibrate and validate the model parameters from previous work. A sediment model for the 2022 water year overall and for a 100-year storm simulated based off of 2022 water year hydro-geomorphological conditions and the in-channel grain size distribution data collected in the field. It was calibrated to channel cross sections, where the dimensions are a proxy of the overall bottom depth of the streambed.  In a broader context, this work serves to establish a predictive model of how the hydro-geomorphology of the Del Cerro reach of Alvarado Creek may change with time post-restoration.</t>
  </si>
  <si>
    <t>Regan</t>
  </si>
  <si>
    <t>sregan@sdsu.edu</t>
  </si>
  <si>
    <t>Masters of Science Water Resources Engineering</t>
  </si>
  <si>
    <t>The Impact of Structure Loss on Water Quality and Supply After Wildfires in California</t>
  </si>
  <si>
    <t>Wildfires in California can have chronic impacts on ecosystems and watersheds, proliferating the risk of disruption to urban water supplies, making monitoring, and preparing for water quality post-wildfire vital to protect environmental and public health. Water quality is compromised from surface runoff, which is more apparent in urbanized areas, and erosion, which leads to the diversion of pollutants post-wildfire into waterbodies and drinking water infrastructure. There is research on post-wildfire water quality, however these studies have focused on nutrients, suspended solids, and metal loadings, rather than contaminants that are byproducts of burned urban materials, such as volatile organic compounds (VOCs) or the chemical group known as per- and polyfluoroalkyl substances (PFAS).\ Research on PFAS continues to identify health risks, and in response, the United States Environmental Protection Agency has proposed National Primary Drinking Water Regulation (NPDWR) for six PFAS constituents, making concentrations a primary concern in drinking water. The goal of this work is to identify a range of conditions for five California Wildfires: Camp, Woosley, Carr, Tubbs, and Nuns fires, to statistically model wildfire-watershed risk hotspots. We will utilize spatial information, structure loss, and watershed characteristics with pre- and post-fire water quality data. Specifically, this work will 1) develop empirical relations for post-fire contaminants and 2) identify opportunities to collect more data to bridge gaps in data, guide strategic water quality sampling, and further modeling and prediction tools that can be used by communities, post-fire watershed emergency response teams, water managers, and other decision makers to identify watershed and water quality hazards for a range of conditions. The long-term goal of this work is to understand the movement of pollutants into urban infrastructure or waterways in urban areas, to develop an understanding of potential risk to downstream burned areas in California.</t>
  </si>
  <si>
    <t>Coty</t>
  </si>
  <si>
    <t>Huneau</t>
  </si>
  <si>
    <t>chuneau0169@sdsu.edu</t>
  </si>
  <si>
    <t>MS Watershed Science</t>
  </si>
  <si>
    <t>Modeling Water Quality Dynamics in the Tijuana Estuary: A CE-QUAL-W2 Approach</t>
  </si>
  <si>
    <t>This study introduces a cutting-edge approach to estuarine modeling, integrating high-resolution bathymetry data into a specialized CE-QUAL-W2 model tailored to the intricacies of the Tijuana Estuary. Bathymetry assumes a pivotal role in refining the model's accuracy, delivering a nuanced portrayal of water depths, flow velocities, and sediment transport pathways.
Commencing with the assimilation of detailed bathymetric data, essential for capturing the topographical complexities of the Tijuana Estuary, the research seamlessly incorporates this information into the CE-QUAL-W2 model. This integration significantly enhances spatial resolution and simulation fidelity, enabling the model to proficiently capture the subtle dynamics of the estuarine environment.
Beyond traditional inputs, the inclusion of bathymetry contributes to a comprehensive representation of the estuarine system. The model excels in simulating tidal interactions, hydrodynamic processes, and sediment transport, presenting a powerful tool for unraveling the intricate interplay between physical and environmental factors within the Tijuana Estuary.
Moreover, the study explores the far-reaching implications of bathymetric data on ecosystem responses, particularly in relation to habitat distribution, water quality, and overall ecological health. The model, enriched by spatial variability afforded by bathymetry, emerges as a valuable asset for decision-makers and environmental practitioners addressing challenges related to land use, climate change, and anthropogenic impacts on the estuarine ecosystem.
This research represents a significant advancement in estuarine modeling methodologies, emphasizing the crucial role of bathymetry data integration. The resulting model not only deepens scientific understanding but also serves as a potent instrument for guiding sustainable management and conservation efforts in the ecologically vital Tijuana Estuary.</t>
  </si>
  <si>
    <t>Tbiggs@sdsu.edu</t>
  </si>
  <si>
    <t>Woman, Transgender</t>
  </si>
  <si>
    <t>Pitts</t>
  </si>
  <si>
    <t>apitts4030@sdsu.edu</t>
  </si>
  <si>
    <t>The Direct Detection of Gas Inflow onto Galaxies between z ~ 0.65 and z ~ 2.35.</t>
  </si>
  <si>
    <t xml:space="preserve">Detecting gas accretion onto galaxies from the circumgalactic medium (CGM) is fundamental to understanding the processes which drive star formation and the dynamics of galaxies. However, the direct observation of gas inflow is difficult due to the complexity of gas kinematics both within the CGM and the interstellar medium (ISM). We use spatially-resolved spectroscopic observations from the Multi Unit Spectroscopic Explorer (MUSE) on the Very Large Telescope (VLT) to search for galactic scale gas inflow within a sample of 119 galaxies. We trace the kinematics of cool (T ≤ 10000 K), photoionized gas in the CGM by modeling the Mg II 𝜆𝜆2796, 2803 absorption features in each galaxy spectrum, and measure flow velocity as the Doppler shift of Mg II. Our measured distribution of velocities shows possible inflow detections within our sample. We aim to compare these results with star formation rate (SFR) and stellar mass measurements in order to explore the connection between flow velocity and galaxy evolution.
</t>
  </si>
  <si>
    <t>Kate</t>
  </si>
  <si>
    <t>Rubin</t>
  </si>
  <si>
    <t>krubin@sdsu.edu</t>
  </si>
  <si>
    <t>Nissia</t>
  </si>
  <si>
    <t>Indradjaja</t>
  </si>
  <si>
    <t>nindradjaja2870@sdsu.edu</t>
  </si>
  <si>
    <t>Constraining Properties of the Cool Disk-Halo Interface using CloudFlex</t>
  </si>
  <si>
    <t xml:space="preserve">Theoretical models predict that a galaxy’s star formation history is intimately connected to the inflow and outflow of gas in the disk-halo interface that surrounds it. The interface is thought to contain cool material (10^4 K) that coexists with and moves through hot material (10^6 K). While the physics of this coexistence aren’t well understood, hydrodynamical cloud-crushing simulations have offered possible explanations for how the cool material is able to coexist in the hot medium and provide predictions for the cloud sizes, masses, and velocities of these cool structures. Meanwhile, advancements in observational studies have allowed for theoretical predictions to be tested against observations.
These recent developments have motivated the development of CloudFlex, an open-source Python package capable of modeling cool gas structures. CloudFlex constructs these structures as cloudlet complexes, with properties such as total mass, size, and velocity distribution being based on user-specified parameters. It is also capable of predicting absorption-line signatures, which are what trace the cool disk-halo interface in observational studies. In this work, we extend the code to model absorption profiles of Ca II 𝝀3935Å, a common tracer of the cool material at temperatures less than 10^3 K. Initial analyses of these profiles show that the incidence of Ca II detections decreases as the minimum cloudlet mass increases. As our predictions model multiple sightlines that probe the same extended gas features, we additionally compare our results to existing observations of Ca II column densities toward multiple background stars in the halo of the Milky Way. We plan to increase CloudFlex’s versatility further, enabling more complex gas structures to be modeled and absorption-line signatures for other cool material tracers to be predicted. Once these features are implemented, we will use them to constrain morphological properties of the cool disk-halo interface. </t>
  </si>
  <si>
    <t>Caden</t>
  </si>
  <si>
    <t>Unholz</t>
  </si>
  <si>
    <t>jjacobo6353@sdsu.edu</t>
  </si>
  <si>
    <t>Master's/Master of Science in Chemistry</t>
  </si>
  <si>
    <t>Development of a fluorescence-based assay to visualize protein-protein interactions implicated in inflammatory-based diseases</t>
  </si>
  <si>
    <t xml:space="preserve">The p50 subunit of transcription factor NF-κB binds to IκB𝜁 in the eukaryotic cell nucleus as part of a well-characterized response to select innate immune signals and initiates the expression of specific inflammatory genes. The NF-κB signal transduction pathway is associated with inflammatory-based diseases such as inflammatory bowel disease, arthritis, diabetes, and cancer. This study aims to identify small molecules or peptides that interfere with this interaction and assess them as potential inhibitors. Through the use of two different engineered fluorescent versions of the proteins, and the high affinity biotin:streptavidin interaction, we are creating a high-throughput screen for monitoring the status of the p50:IκB𝜁 protein-protein interaction.  Thus far, we have designed, cloned, expressed and purified fluorescently-tagged versions of both murine p50 and human IκBζ fused to green fluorescent protein (GFP) and mScarlet, respectively. Additionally, the IκBζ construct has been designed with what we have characterized as a “Cys-His-Tag.” The Cys-His-Tag contains a reactive cysteine amino acid that we have used successfully to biotinylate an mScarlet protein lacking IκBζ with HPDP-Biotin for immobilization on streptavidin-coated 96-well plates. The success of this study suggests that we are now prepared to successfully biotinylate the mScarlet-IκBζ due to the presence of its own Cys-His-Tag, which will allow us to immobilize it to a 96-well plate and introduce potential inhibitors for the p50 and IκBζ interaction, in order to test the viability of this assay. </t>
  </si>
  <si>
    <t>Josselyn</t>
  </si>
  <si>
    <t>Jacobo</t>
  </si>
  <si>
    <t>Oliver</t>
  </si>
  <si>
    <t>akoliver@sdsu.edu</t>
  </si>
  <si>
    <t>Master of Science in Computational Science</t>
  </si>
  <si>
    <t>Mathematical Models of HIV Infection in the Brain: Implication to Effective Treatment Regimens</t>
  </si>
  <si>
    <t xml:space="preserve">Human Immunodeficiency Virus (HIV) continues to devastate millions of lives globally each year. Despite tremendous advances in the development of successful antiretroviral therapies (ART), currently, there is no cure due to the presence of viral reservoirs. As one of the least studied reservoirs, the brain poses an obstacle to a cure and, if left untreated, can lead to HIV-associated neurocognitive disorders (HAND). In this study, we create novel mathematical models, validated with data from SIV-infected macaques, to describe HIV infection in the brain and evaluate all possible combinations of drugs selected from a list of 25 FDA-approved drugs to control the virus in the brain. Using our model, we identify clusters of similar drug combinations, which we present using an interactive dashboard, allowing users to identify effective drug combinations to control the infection. We further extend the model to capture the spatiotemporal distribution of HIV particles across different brain compartments. We perform varying statistical analyses to determine the essential regions of the brain to track HIV particles and analyze the viral dynamics across those essential brain regions. We perform a thorough sensitivity analysis on the model parameters and compute the reproduction number to determine the condition for the persistence of infection in the brain. </t>
  </si>
  <si>
    <t>Naveen</t>
  </si>
  <si>
    <t>Vaidya</t>
  </si>
  <si>
    <t>nvaidya@sdsu.edu</t>
  </si>
  <si>
    <t>Zoe</t>
  </si>
  <si>
    <t>Bozich</t>
  </si>
  <si>
    <t>zbozich7544@sdsu.edu</t>
  </si>
  <si>
    <t>Modelling Protostars with Variable Accretion Rates</t>
  </si>
  <si>
    <t>How stars accrete their mass has profound effects on their size/radial evolution and stellar feedback properties. Numerical simulations of star formation often utilize stellar evolution models of protostars undergoing constant accretion, the process by which protostars accumulate mass. However, numerical simulations of star formation find that stellar accretion rates are highly variable. Here, we explore how variable accretion rates may alter the radial evolution of protostars as compared to stars undergoing constant accretion with the Modules for Experiments in Stellar Astrophysics (MESA) stellar evolution code. We include realistic stellar accretion histories taken from numerical simulations of  star cluster formation and apply them to MESA to model the radial evolution of protostars that grow in mass via variable accretion. We then compare our MESA protostellar evolution models to similar models that employ constant accretion rate to determine if variable accretion significantly alters the radial evolution of accreting protostars.</t>
  </si>
  <si>
    <t>Rosen</t>
  </si>
  <si>
    <t>alrosen@sdsu.edu</t>
  </si>
  <si>
    <t>Murrell</t>
  </si>
  <si>
    <t>smurrell3782@sdsu.edu</t>
  </si>
  <si>
    <t>Masters of Science Chemistry</t>
  </si>
  <si>
    <t>Bioconjugation of Gold Nanoparticles to Rare Earth Element Binding Proteins</t>
  </si>
  <si>
    <t>Rare earth elements (REEs) are essential components of many high-tech electronic technologies, such as cellular telephones, hard drives, electric vehicles, and flat-screen monitors. The use of REEs in medical applications is increasing and includes treatments for tuberculosis, atherosclerosis, and hyperphosphatemia, and as contrast agents for MRI imaging. Historically, the lanthanides have been difficult to separate from
one another because of their similar physiochemical properties. These difficulties are correlated to the fact that they exist primarily as 3+ ions and only differ by 0.19 Å when comparing the ionic radii across the lanthanide series. This presents a challenge for analyzing the proteins that we engineer to specifically bind REEs. A primary goal of my research is to develop a rapid and effective means of determining the thermodynamic and kinetic parameters associated with the binding of the lanthanides to the different rare earth element binding proteins (REE-BP) engineered in the Love Laboratory. To achieve this, we are bioconjugating gold nanoparticles (AuNp) to the C-terminus of the REE-BPs. The protein scaffold used to engineer the REE-BPs is protein G (Gβ1), which has been engineered to remain monomeric in the absence of metals yet forms dimers when incubated with REEs. Gβ1 is ideal for bioconjugation to AuNps because it folds robustly and contains no cysteine residues. For conjugation, variants of the REE-BPs will be expressed with C-terminal linkers that contain a cysteine residue. These will form a strong bond between the cysteine sulfur atom and the AuNps. As a control, we have already bioconjugated AuNps to Gβ1 variants that dimerize upon binding transition metals and have demonstrated that the spectra of the AuNps change appreciably upon incubation with Zn 2+ . We now plan to add cysteine linkers to different REE-BPs for the purpose of characterizing the thermodynamic and kinetic parameters associated with REE binding.</t>
  </si>
  <si>
    <t>John</t>
  </si>
  <si>
    <t>Love</t>
  </si>
  <si>
    <t>jlove@sdsu.edu</t>
  </si>
  <si>
    <t xml:space="preserve">Isabella </t>
  </si>
  <si>
    <t>Todd</t>
  </si>
  <si>
    <t>itodd9800@sdsu.edu</t>
  </si>
  <si>
    <t xml:space="preserve">Bachelors of Arts Political Science </t>
  </si>
  <si>
    <t>Making a Fresh Start: The Impact of California Resentencing Policies in San Diego County</t>
  </si>
  <si>
    <t>Second-look sentencing has emerged as a new pathway for people to return to their communities in the face of previously long sentences. In California, the 2021 Penal Code 1172 reforms resulted in incarcerated individuals’ potential eligibility to be released from prison. In response, the San Diego County Public Defender implemented the Fresh Start Unit to offer legal representation to these clients. The unit not only argues for reduced sentences on their client’s behalf but also engages in reentry planning that includes service referrals. The current study relies on in-depth interviews with individuals returning to the community due to the reform. With an objective to understand the reentry process upon resentencing, we focus on clients’ unique needs and the challenges they face in the context of returning to one of the most expensive cities in the US. A comprehensive insight into these reentry processes serves as a valuable addition to the literature and lends itself to suggestions on how the transition back into the community could be improved after a long sentence.</t>
  </si>
  <si>
    <t>Vu</t>
  </si>
  <si>
    <t>Huynh</t>
  </si>
  <si>
    <t xml:space="preserve">Toya </t>
  </si>
  <si>
    <t>Smith-Baker</t>
  </si>
  <si>
    <t xml:space="preserve">Lauren </t>
  </si>
  <si>
    <t xml:space="preserve">Koeing </t>
  </si>
  <si>
    <t xml:space="preserve">Tereza </t>
  </si>
  <si>
    <t xml:space="preserve">Trejbolova </t>
  </si>
  <si>
    <t>ttrejbalova@sdsu.edu</t>
  </si>
  <si>
    <t xml:space="preserve">Rubi </t>
  </si>
  <si>
    <t>Carpio Flores</t>
  </si>
  <si>
    <t>rcarpioflores5450@sdsu.edu</t>
  </si>
  <si>
    <t xml:space="preserve">Bachelor of Arts in Psychology: Emphasis in Neuroscience </t>
  </si>
  <si>
    <t>Interactions between History of Traumatic Brain Injury and Sex on Cognition among Hispanic/Latino Adults</t>
  </si>
  <si>
    <t xml:space="preserve">Objective: Although traumatic brain injuries (TBIs) remain most prevalent among men, there is little evidence as to how TBI may affect cognition in men versus women, particularly in the Hispanic/Latino community. This study aims to test whether a history of TBI is associated with lower cognitive function in Hispanic/Latino adults of both or either sex.
Methods: We gathered data from the National Alzheimer’s Coordinating Center (NACC) on 3,669 Hispanic/Latino adults (18-106 years; mean=69 years) from 41 sites between 2005-2022. The exposures of interest were self-reported history of TBI. Cognitive measures of interest included immediate and delayed recall (Craft Story 21), semantic fluency (Animal/Vegetable), processing speed and task-switching (Trails Making Tests A and B), attention and working memory (Digit Span Forward and Backward), and confrontation naming (Multilingual Naming Test; MINT). General linear models were used to test 1) associations between a history of TBI with cognition and 2) modifications of these associations by sex. Models adjusted for age, sex (non-interaction models), education, and preferred language of testing.
Results: TBI was associated with higher scores on semantic verbal fluency (Animals: t = 3.385, beta = 1.010, p = 0.001; Vegetables: t = 1.977, beta = 0.447, p &lt; 0.05) and confrontation naming (t = 2.779, beta = 0.966, p &lt; 0.01). Sex modified the associations between TBI with semantic verbal fluency (Vegetables: t = 2.061, beta = 0.933, p &lt; 0.05) and confrontation naming (t = 2.187, beta = 1.525, p &lt; 0.05). Women with a history of TBI scored higher than all other groups on semantic verbal fluency. Regarding confrontation naming, men with a history of TBI scored higher than all other groups. There were no other significant associations between TBI nor the TBI and sex interactions with cognitive functioning.
Conclusion: Counterintuitively, those with a history of TBI had higher scores on semantic verbal fluency and confrontation naming tasks. There may be psychosocial aspects that impact self-report of TBI among Hispanic/Latino adults (e.g., education, greater resources for health assessments) which can be explored in future studies. </t>
  </si>
  <si>
    <t xml:space="preserve">MariaIsabel </t>
  </si>
  <si>
    <t>imiller9336@sdsu.edu</t>
  </si>
  <si>
    <t xml:space="preserve">Bachelor of Arts in Psychology </t>
  </si>
  <si>
    <t xml:space="preserve">Examining Autistic Adults’ Driving Skills and Needs Through Driving Simulator Sessions.  </t>
  </si>
  <si>
    <t xml:space="preserve">Introduction 
Driving is a major factor leading to independence. Only a small number of autistic individuals attempt to or attain a driver's license. This study aimed to explore the support provided to individuals in a driving intervention program to further understand driving needs and challenges.  
Methods 
A total of 31 autistic participants were included in this study. All participants completed the Cognitive Behavioral Intervention for Driving (CBID) that included 8 weeks of curriculum delivered in a group setting along with 5 individual sessions on a driving simulator. A driving coach assisted with simulator sessions and recorded participants’ behaviors, emotions, and driving skills. These qualitative reports were examined for recurring comments and organized into themes.  
Results 
Three main themes emerged from the data: 1) emotion awareness and regulation, 2) tactics to boost focus and attention, and 3) motor coordination practice. Emotion awareness and regulation was discussed in the session notes as “calming techniques are crucial and need to be worked into the sessions.” Calming strategies included drinking water, chewing gum, and breathing during simulator sessions. The second theme, related to focus and attention, was described as participants being distracted by music, talking, or unforeseen road obstacles. An example of a comment on this theme stated that, “passengers talking made him really nervous and hard for him to focus on the road which is something to work on." The last theme that emerged was motor coordination and was discussed as braking, speed, and turning. Comments indicated that participants had trouble using motor skills smoothly and in coordination with each other.  
Discussion 
The driving simulator session notes exposed multiple areas of needs for autistic individuals aspiring to drive. Comments  primarily related to challenges with attention, emotion regulation and motor control. Comments suggested strategies to use to address these needs such as fidgets, gum/candy, and breathing in order to improve emotion regulation and attention. This study highlights some of the important areas to focus on while teaching autistic individuals to drive in relation to their demonstrated needs.  
 </t>
  </si>
  <si>
    <t xml:space="preserve">Baker-Ericzen </t>
  </si>
  <si>
    <t>mbakerericzen@sdsu.edu</t>
  </si>
  <si>
    <t>Shaun</t>
  </si>
  <si>
    <t>Goycoochea</t>
  </si>
  <si>
    <t>sgoycoochea3184@sdsu.edu</t>
  </si>
  <si>
    <t>Education moderates the associations of family history of cognitive impairment with cognition among Hispanic/Latino adults.</t>
  </si>
  <si>
    <t xml:space="preserve">BACKGROUND:
Family history of cognitive impairment (FH+) is a risk factor for cognitive impairment; however, this is not well studied among Hispanic/Latino adults. Therefore, in this study we aim to elucidate the associations of FH and cognitive outcomes in this population.
METHODS:
Participants were Hispanic/Latino adults (n=2868; ages=18-106 years, mean=70) from the National Alzheimer’s Coordinating Center (NACC) data set (41 centers, 2005-2022). The exposure of interest was self-reported first-degree family history of cognitive impairment. The outcomes of interest was cognitive scores, including scores on learning and memory (Craft Story 21), semantic fluency (Animals, Vegetables), processing speed and task switching (Trails Making Test A and B), attention and working memory (Digit Span Forward and Backward), and confrontation naming (Multilingual Naming Test). Covariates included sex, age, education, heritage, language of testing, and NACC site. We ran general linear models to test the associations between FH with cognition and tested for modifications by education. T-values for robust standard errors reported when White’s test were significant.
RESULTS: 
Individuals with no family history of cognitive impairment (FH-) performed better on semantic fluency tests than FH+ (Animals: b=-0.5; t=-2.27, p&lt;0.05; Vegetables:  b=-0.45; t=-2.65, p&lt;0.01). Higher levels of education were associated with better performance on semantic fluency, particularly among FH+ (Animals:  b=0.09, t=2.04, p&lt;0.05; Vegetables: b=0.06, t=1.79, p=0.07). In contrast, higher levels of education was associated with better task switching; this was stronger among FH- relative to FH+ (Trail B:  b=1.94, t=2.79, p&lt;0.01).
DISCUSSION
Individuals with FH+ appeared to have lower semantic fluency scores; however, this was mitigated by more years of education. We found other evidence that higher education was associated with better cognition for both FH groups. This suggests that education may be protective of cognitive outcomes among Hispanic/Latino adults who generally have less educational opportunities. Future research should focus on examining additional influences on the association between FH and cognitive aging (e.g. sex and income).
</t>
  </si>
  <si>
    <t xml:space="preserve">Armando </t>
  </si>
  <si>
    <t>Lemuse</t>
  </si>
  <si>
    <t>Lemus</t>
  </si>
  <si>
    <t>alemus9726@sdsu.edu</t>
  </si>
  <si>
    <t xml:space="preserve">Psychology </t>
  </si>
  <si>
    <t>The Associations between Alcohol Usage and Cognitive Performance amongst Adults in the Hispanic/Latino Community.</t>
  </si>
  <si>
    <t xml:space="preserve">Background: Mild cognitive impairment and Alzheimer’s disease (AD) are disorders of aging and cures remain unknown. High alcohol usage is a modifiable risk factor for AD that, if managed, has the potential to delay the onset. 
Objective: We aimed to investigate the associations between alcohol usage and frequency with cognitive performance amongst adults in the Hispanic/Latino community using the National Alzheimer’s Coordinating Center (NACC) dataset.
Participants: Participants included n=1,206 adults who self-identified as Hispanic/Latino (63% female; 18-106-years, mean=69-years) from 33 testing centers (years: 2015-2022).
Methods: Alcohol use and frequency were assessed through self-reported consumption of any alcohol in the past 3 months (use: yes, no) and number of drinks consumed during this period (frequency: approximately less than once a month, once a month, once a week, a few times a week, daily or almost daily). Tests of interest included the Animal/Vegetable fluency test, Craft Story 21 Recall Immediate and Delayed, Trails Making Test Part A and B, Number Span Forward and Backward, and the Multilingual Naming Test (MINT). Covariates included sex, heritage, education, marital status, depressive symptoms (Geriatric Depression Scale), and testing site. Using general linear models, we analyzed the associations between alcohol usage and frequency with cognitive performance and in additional models tested for modifications by depressive symptoms.
Results: Higher alcohol use was associated with better cognitive performance across all measures (all Fs ≥ 13.522, all p’s less than 0.001; all bs ≥ |0.557|, all ts ≥ |3.283|, ps ≤ all p’s less than 0.001). Higher alcohol frequency was associated with better Trail A, Trail B, and MINT performance (all Fs ≥ 6.884, ps ≤ 0.013; MINT: b = -0.303, t= -2.064, p ≤ 0.05). We found no significant interactions.
Conclusion: Contrary to expectations, higher alcohol usage and frequency resulted in better cognitive performance in the Hispanic/Latino community. Although we did not find significant interactions with depressive symptoms, future research should focus on the role of other psychosocial factors (e.g., stress) in the associations between alcohol usage and cognition. </t>
  </si>
  <si>
    <t>Aoi</t>
  </si>
  <si>
    <t>Mori</t>
  </si>
  <si>
    <t>amori@sdsu.edu</t>
  </si>
  <si>
    <t>Bachelor's of Science in Child Development</t>
  </si>
  <si>
    <t>The Impact of Early Intervention Services on Communication Development of Children with Autism</t>
  </si>
  <si>
    <t>Atypical emergence of language and differences in social communication skills are common experiences for children with autism. Thus, language is an important target of autism intervention due to its significant role in development. Early intervention services, including Project ImPACT for Toddlers (PI for T), can foster the development of behaviors and skills for families who have children with or have high probability of autism. PI is a naturalistic developmental behavioral intervention (NDBI) and intends to positively affect the child’s social communication, cognition, language, social engagement, and play skills (Ingersoll &amp; Dvortscak, 2019; D’Agostino et al., 2023). 
Based on previous findings, toddlers who experience social communication challenges should exhibit improved language skills after receiving PI for T, including verbal and nonverbal initiations pre- and post-intervention. Additionally, higher improvement of language should be observed in the children who participated in PI for T rather than Usual Care (UC) services, as NDBIs are known to improve communication skills.
This project draws from an ongoing project involving caregiver-child dyads receiving early intervention (EI) services in California. The team utilized 10-minute recordings of English- or Spanish-speaking caregiver-child dyads with children 12-36 months old (M=25, sd=4). These natural language sample (NLS) recordings are scored following a codebook to compare the number of verbal and nonverbal initiations that children displayed between families who were in the control group of usual care as compared to PI for T to determine whether there is a more significant impact of this treatment on the child’s initiations during play interactions with their caregiver.
If able to conclude the effectiveness of NDBI services such as PI for T on communication skills, community providers can assist families when interacting with their toddlers by implementing and teaching necessary skills and knowledge to caregivers. This project further expands on the effectiveness of EI services on child development, specifically children with autism. Though this research may generalize to all NDBIs, PI for T can be an effective tool for developing communication skills. Early intervention providers could use the PI for T guidelines to build caregiver engagement skills and promote language development of children with autism.</t>
  </si>
  <si>
    <t>Rieth</t>
  </si>
  <si>
    <t>srieth@sdsu.edu</t>
  </si>
  <si>
    <t xml:space="preserve">Marian </t>
  </si>
  <si>
    <t>Carbajal</t>
  </si>
  <si>
    <t>mcarbajal2612@sdsu.edu</t>
  </si>
  <si>
    <t xml:space="preserve">Undergraduate - Psychology, B.A.  </t>
  </si>
  <si>
    <t xml:space="preserve">The Increase in Mother-Daughter Closeness After Participation in the Conmigo Program: An Intervention Program for Latina Mothers and Daughters </t>
  </si>
  <si>
    <t xml:space="preserve">A healthy relationship between preadolescents and their parents has been shown to help foster closeness in later years and is associated with health and quality of life outcomes. The current study examines how these healthy mother-daughter relationships can be achieved. Conmigo is an intervention that aims to improve health habits and outcomes in Latina mothers and their pre-adolescent daughters through activities of fitness, communication skills training, mental health, nutrition and puberty. This qualitative study examines the effects of the Conmigo program on mother-daughter relationships. We assessed changes in mother-daughter closeness as measured by an increase in self-disclosure, communication, and duration/number of daily contact. It is hypothesized that those who participated in the program are more likely to report more mother-daughter closeness. Data was collected through qualitative interviews with both mothers and daughters post-program and analyzed using a rapid-qualitative approach where interviews were summarized and input into a matrix for analysis. Preliminary analysis suggests that there was consistency in increased feelings of closeness between mothers and daughters. Examples included daughters’ reports of being able to talk to moms about new topics that they did not previously feel comfortable discussing and reports of decreased frustrations when communicating because the program fostered a stronger relationship. Results conclude that the hypothesis is supported by the data. An increase in mother-daughter closeness resulted after their participation in the Conmigo program. The results of this study contribute to a better understanding of the impacts of this program. The qualitative data gathered in this research can help us to further enhance the relational aspect of the program to maximize the benefits for participants. 
</t>
  </si>
  <si>
    <t xml:space="preserve">Arredondo </t>
  </si>
  <si>
    <t>Anali</t>
  </si>
  <si>
    <t>Cruz</t>
  </si>
  <si>
    <t>acruz6849@sdsu.edu</t>
  </si>
  <si>
    <t xml:space="preserve">BA Psychology </t>
  </si>
  <si>
    <t>Association of Adverse Childhood Experiences with Cigarette Smoking and Alcohol Use in a Low Income Migrant Community on the US-Mexico Border</t>
  </si>
  <si>
    <t>Background: Tobacco smoking and alcohol use are prevalent in the U.S. and Mexico and are
associated with adverse health outcomes (e.g., cancer, cardiovascular disease). Prior research has shown that adverse childhood experiences such as abuse and neglect may contribute to substance use. However, few studies have explored these relationships in international border communities who experience substantial socioeconomic, psychosocial, and migration-related stressors.
Purpose: To examine the relationships of adverse childhood experiences (ACEs) with cigarette smoking and alcohol use in a low-income U.S.-Mexico border population.
Methods: This study is a cross-sectional analysis of a convenience sample of adults seeking care at a free medical clinic in Tijuana, Mexico in 2016. ACEs were measured using the 10-item Adverse Childhood Experiences Scale. Alcohol use and cigarette smoking were assessed with two items each: (1) current use: yes or no; (2) average number of drinks consumed or average number of cigarettes smoked per day. Linear and logistic regression models were conducted using SPSS Statistics Version v29 and controlled for age, sex, and level of education.
Results: Of 206 participants (M age = 47.2, SD = 11.9), 77% were male, 76% reported a history of migration to the U.S., and 58% reported a history of deportation from the U.S. to Mexico. The prevalence of current smoking and alcohol use were 44% and 40%, respectively. The mean number of ACEs reported was 3.7 (SD = 2.9) and 58% reported 3 or more ACEs. The most reported ACEs were parental separation (49%), household substance abuse (48%), and emotional abuse (45%). ACES score was associated with current alcohol use (OR=1.12, CI: 1.01, 1.25), but was not associated with average number of drinks consumed (𝛽=0.28, p=0.43), current smoking (OR=0.91, CI: 0.81, 1.01), or average number of cigarettes smoked (𝛽=0.39, p=0.24)
Conclusion: Adverse childhood experiences were prevalent and related to alcohol use, but not cigarette smoking, in this population. More research is needed to understand factors driving the high prevalence of tobacco and alcohol use in low-income individuals along the U.S.-Mexico border. Organizations that serve migrants and deportees may consider offering psychosocial support programs that address childhood adversities.</t>
  </si>
  <si>
    <t xml:space="preserve">Jessica </t>
  </si>
  <si>
    <t xml:space="preserve">McCurley </t>
  </si>
  <si>
    <t>jlmccurley@sdsu.edu</t>
  </si>
  <si>
    <t>Jasmine</t>
  </si>
  <si>
    <t>Rincon</t>
  </si>
  <si>
    <t>jrincon4074@sdsu.edu</t>
  </si>
  <si>
    <t>Bachelors in Psychology</t>
  </si>
  <si>
    <t>Association of Social Support with BMI and Obesity in a Low Income Migrant Community on the US-Mexico Border</t>
  </si>
  <si>
    <t xml:space="preserve">Background: Obesity is a major public health concern in the U.S and Mexico. Social support is known to influence health behaviors (e.g., diet, physical activity) that are related to obesity, but research on the association of social support and obesity is mixed. Individuals living in migrant and low-income communities along the U.S-Mexico border are at elevated risk for both obesity and low social support due to socioeconomic adversity (e.g., food insecurity) and psychosocial risks (e.g., family separation, migration stress). Few studies have explored the relationship of social support and obesity in this population. 
Purpose: To examine associations of perceived social support with body mass index (BMI) and obesity in a low-income U.S.-Mexico border population.
Methods: This cross-sectional study recruited adults seeking free medical care in Tijuana, Mexico, in 2016. Participants were 196 Hispanic/Latino adults &gt;18 years old who spoke Spanish or English. Overweight and obesity were defined as a body mass index (BMI) of ≥ 25 and ≥ 30, respectively. Perceived social support was assessed using the 12-item Interpersonal Support Evaluation List (ISEL). 
Results: Participant mean age was 47.2 years (SD = 11.9), 76.7% identified as male, 76% reported a history of migration to the U.S. and 58% reported a history of at least one deportation to Mexico. Mean BMI was 26.8 (SD = 4.8). The prevalence of overweight and obesity was 40.5% and 20.9%, respectively. Mean ISEL score was 19.6 (SD =5.9). Adjusting for age, sex, and education, social support was not significantly associated with BMI (β = -.007, p =.924) and was not associated with increased odds of overweight (OR = 0.99, CI = 0.94, 1.05) or obesity (OR = 0.99, CI = 0.93, 1.06).
Conclusion: Overweight and obesity were prevalent in this sample but were not associated with social support. Mean ISEL score was low compared to a large sample of Latinos in the US. Additional research is needed to understand the relationship of social support with weight and obesity in the low-income U.S-Mexico border population. </t>
  </si>
  <si>
    <t>Dr. Jessica McCurley</t>
  </si>
  <si>
    <t>Dr. McCurley</t>
  </si>
  <si>
    <t>Hawkins</t>
  </si>
  <si>
    <t>khawkins7672@sdsu.edu</t>
  </si>
  <si>
    <t>Social Touch and Close Connections: The Effects of Warmth and Deep Pressure</t>
  </si>
  <si>
    <t xml:space="preserve">Research has consistently shown that social connection is an integral part of human health and well-being. This need and want to be close to others is part of what makes us human. More recently, nuanced avenues to increase and maintain feelings of social connection have been a focus of research. Social touch (hugging, high-fives, cuddling) are ways that we foster social closeness. The combined effects of warmth and deep pressure, two physical sensations involved in social touch, on the subjective human experience of social connection, however, has not yet been examined. Therefore, in a 2x2 within-subjects experiment, 69 participants (M age = 19.5, 81.2% women), were exposed to warm (activated commercially available warm pack) and non-warm temperatures (deactivated commercially available warm packs), and deep (20 pound weighted blanket) and light pressure (3 pound weighted blanket) while they viewed images of four different close others (M ratings of closeness = 8.82, (1) not at all close to me to (10) extremely close to me). To assess feelings of social connection, participants rated their feelings of connection and disconnection towards the person in the photo after each trial. Participants also completed the Multidimensional Assessment of Interoceptive Awareness (MAIA) in order to assess individual differences in interoceptive body awareness. After adjusting for age, there were no main effects of either temperature or pressure. Instead, there was an interaction such that warm deep pressure increased feelings of social connection compared to both warm light pressure and non-warm deep pressure. Further, higher scores on the trust subscale of the MAIA were related to higher feelings of social connection to warm deep pressure (vs. warm light pressure and non-warm deep pressure). In other words, those who experience their body as more safe and trustworthy also report greater feelings of warm deep pressure-induced feelings of connection. There was no effect on feelings of disconnection. Results show that the configuration of warmth and deep pressure together, increased feelings of connection with close others. These results directly implicate deep pressure as an important factor in how social touch helps keep us connected with important people in our lives. </t>
  </si>
  <si>
    <t>Damon</t>
  </si>
  <si>
    <t>Tristen</t>
  </si>
  <si>
    <t>Inagaki</t>
  </si>
  <si>
    <t>tinagaki@sdsu.edu</t>
  </si>
  <si>
    <t>jlopez6146@sdsu.edu</t>
  </si>
  <si>
    <t>Bachelors of Science Child and Family Development</t>
  </si>
  <si>
    <t>Parents engagement in their child's mental health services based on ethnicity</t>
  </si>
  <si>
    <t xml:space="preserve">Parent engagement is critical for children receiving mental health and other services. Unfortunately, it can be difficult for parents/caregivers to participate when there is a racial, ethnic, or language difference. Among different ethnic groups, the Latin/x/e community is a group that continues to face marginalization when it comes to mental health services. Latinos are one of the fastest-growing minority populations in the United States. In 2021, the Latino population reached 62.5 million 2021, and it is projected to increase to 111.2 million by 2060 (Zong, 2022). Factors such as lack of information about the diagnosis or treatment, language barriers, immigration status, and cultural differences have contributed to the levels of services used and accessibility overall among Latinos (Alegrı´a et al., 2007; Magana et al., 2013). Minorities, including low-income, Latin/x/e families, are more likely to have poorer engagement in child mental health services in comparison to non-Hispanic Whites (McCabe, 2002; Reyno &amp; McGrath, 2006; Kapke &amp; Gerdes, 2016). In addition to lower engagement in children’s mental health services, the quality of care families receive is inadequate. Poor quality of services can occur due to cultural differences, language barriers, and provider's understanding and attitudes (Kapke &amp; Gerdes, 2016). This points to the need for targeted efforts to enhance engagement in mental health services for Latino/x/e families, including training in existing evidence-based engagement strategies or interventions known to promote parent engagement. The aim of this project is to examine examine differences in clinician's use of engagement strategies following training in evidence-based parent engagement strategies. Data for this project are drawn from a larger project aiming to test an evidence-based executive functioning intervention in mental health services. As part of this project, mental health therapists were randomized to receive training in this intervention or usual care; intervention training included an emphasis on use of evidence-based parent engagement strategies (Haine-Schlagel et al., 2016). We will examine differences in both therapist’s use of engagement strategies as well as parents in-session engagement behaviors using recordings of therapy sessions. Implications of findings will also be discussed. </t>
  </si>
  <si>
    <t>Cleppe</t>
  </si>
  <si>
    <t>Kelsey</t>
  </si>
  <si>
    <t>Dickson</t>
  </si>
  <si>
    <t>kdickson@sdsu.edu</t>
  </si>
  <si>
    <t>Belen</t>
  </si>
  <si>
    <t>Rashidi</t>
  </si>
  <si>
    <t>brashidi9095@sdsu.edu</t>
  </si>
  <si>
    <t>Sociology BA</t>
  </si>
  <si>
    <t>Stigmatization of Public Housing: A Sociological Exploration of the Frontier Housing Project</t>
  </si>
  <si>
    <t xml:space="preserve">This presentation spotlights the forgotten publicly-housed community of Frontier, a neighborhood previously situated in what is now San Diego’s Midway District. Built by the federal government during World War II, the Frontier Housing Project was originally intended to provide temporary housing for war production workers and military veterans, but many units remained in use for over 20 years. In 1955, the city seized control of the area, and by 1962 all of the Frontier residents had been evicted. Although its existence was short-lived, Frontier changed significantly over time in both its physical and social landscape. In this presentation, we will focus on the social factors that contributed to Frontier’s decline. We will analyze the stigmatization of both Frontier’s residents as well as Frontier’s physical location by local non-residents. By incorporating visual data from Frontier into our presentation, we will highlight the physical impacts of the stigma of publically housed residents. The implementation of visual research methods will also allow us to provide a longitudinal analysis of the long-term effects of public housing stigmatization. Lastly, this visual data will allow us to discuss this stigma in a broader sociological context, examining how the government reinforces the narrative that publicly housed communities are of lesser value, thus justifying the disposal of communities like Frontier.
</t>
  </si>
  <si>
    <t>Charlene</t>
  </si>
  <si>
    <t>Holkenbrink-Monk</t>
  </si>
  <si>
    <t>Cholkenbrinkmonk@sdsu.edu</t>
  </si>
  <si>
    <t>Mikaela</t>
  </si>
  <si>
    <t>mgarcia0200@sdsu.edu</t>
  </si>
  <si>
    <t>Kinesiology, Pre-Physical Therapy</t>
  </si>
  <si>
    <t>Concussion Care Seeking Intentions and Behavior Does Not Differ Between Ethnicities in Collegiate Athletes</t>
  </si>
  <si>
    <t xml:space="preserve">Context: Concussions are complex injuries to diagnose due to limited objective symptoms experienced. Seeking concussion care may be more difficult among historically underrepresented groups, including those with ethnicity differences, potentially due to cultural backgrounds. The purpose of this study was to compare concussion care seeking intentions and behavior between Hispanic/Latino and non-Hispanic/Latino athletes. 
Methods: As part of a larger study, collegiate athletes completed a survey answering demographic items, and concussion care seeking intentions and behavior. Information obtained in the demographic section categorized participants into “Hispanic/Latino” and “Non-Hispanic/Latino.” Both concussion care seeking intentions and behavior sections were divided into indirect and direct measures that were averaged. Indirect measures presented concussion signs and symptoms, and direct measures asked about concussions specifically. Indirect and direct behavior were subdivided as “care seekers” and “non-care seekers.” Due to normality, Mann-Whitney U tests were used to compare indirect and direct intentions between ethnicities, and Chi-square tests were used to determine if indirect and direct behavior rates differed between ethnicities.  
Results: Two hundred and thirty-nine respondents completed at least one item in this survey (completion rate=211/239, 88.3%; age=19.7 ± 1.6 years; male=95/239, 39.7%, females=111/239, 46.4%, intersex=1/239, 0.4%, androgynous=2/230, 0.8%, other=1/239, 0.4%, prefer not to answer=2/239, 0.8%; missing=2/239, 11.3%) with 60 participants identifying as Hispanic/Latino (25.1%) and 134 identifying as non-Hispanic/Latino (56.1%; no response=45, 18.8%). Regardless of ethnicity, approximately 66% of participants who sustained a concussion indicated they were “non-care seekers” (Hispanic/Latino: n=24/36, 66.7%; non-Hispanic/Latino: n=65/98, 66.3%). We observed no differences between ethnicities and intentions (indirect: p=0.996; direct: p=0.231) nor behavior (indirect: p=0.868; direct: p=0.971) to seek care. 
Conclusions: Our findings revealed no differences between ethnicities and concussion care seeking intentions and behaviors, however over half of participants did not seek care for a suspected concussion regardless of ethnicity. Interventional targets should focus on changing the larger concussion care seeking culture; not necessarily focused education considering ethnicity. Our findings highlight that other unexplored social factors may contribute to concussion care seeking outside of ethnicity.  
</t>
  </si>
  <si>
    <t>Michelle</t>
  </si>
  <si>
    <t>Weber-Rawlins</t>
  </si>
  <si>
    <t>Miles</t>
  </si>
  <si>
    <t>Ghannadian</t>
  </si>
  <si>
    <t>sghannadian4764@sdsu.edu</t>
  </si>
  <si>
    <t>Biology with an emphasis in marine biology</t>
  </si>
  <si>
    <t>Mytilus Galloprovincialis heart rate and valve-gaping behavior in response to acute salinity stress</t>
  </si>
  <si>
    <t xml:space="preserve">Low-inflow estuaries in Southern California can experience rapid shifts in abiotic conditions linked to events such as tidal inlet closures and terrestrial runoff. Runoff from intense episodic rainfall events can rapidly shift water column salinity over the course of a few hours. Sessile organisms, such as bivalves, must change their behavior and physiology in order to tolerate the shift in conditions. The Mediterranean mussel Mytilus galloprovincialis became established in Southern California estuaries in the 20th century. In Los Penasquitos Lagoon (San Diego county), the population disappeared from the 1980s through the 2010s, potentially due to poor growing conditions linked to mouth closures and runoff, though the species has returned in recent years. We monitored the cardiac and valve gaping activity of M. galloprovincialis in response to rapid declines in salinity associated with large rain events in the field and in a controlled laboratory experiment designed to mimic the stress of rainfall events. As salinity declined, the mussels closed their valves and tended to remain closed throughout the duration of the low-salinity exposure. Prolonged valve closure was also found to be associated with a decline in heart rate, but heart rates rose to high levels following the reopening of the valves as salinity was increased. Mussels rapidly responded to changing salinity and appeared capable of tolerating the short-term impacts of large rain events, though they likely incur oxygen debt that must be recovered following the reopening of the valves. 
</t>
  </si>
  <si>
    <t>Luke</t>
  </si>
  <si>
    <t>luke.miller@sdsu.edu</t>
  </si>
  <si>
    <t>Irwin</t>
  </si>
  <si>
    <t>sirwin8129@sdsu.edu</t>
  </si>
  <si>
    <t>B.S. in Biology</t>
  </si>
  <si>
    <t>The Role of Nutrients and Climate Change in Shallow Water Estuarine Dissolved Oxygen Dynamics</t>
  </si>
  <si>
    <t>Solomon’s Harbor, MD, a shallow water estuary connected to the Chesapeake Bay, is suffering from a lack of dissolved oxygen. The two primary drivers of this oxygen depletion are the introduction of excess nutrients and climate change, which are known to increase temperatures and decrease dissolved oxygen (DO) levels. To better understand the factors that influence DO, we performed a univariate analysis of a 36-year-long historical dataset, deployed temperature sensors at seven sites for a month, and conducted dark box incubations on water samples collected on-site. Temperature was determined to be the strongest factor that explains DO, especially in bottom waters. Hydrodynamics were also impactful on DO and temperature because they determine water mixing, residence times, and variability at individual sites. Temperature was also strongly impacted by distance to the mouth of Solomon’s Harbor, with sites further away having higher temperatures than sites close to the mouth. The sites furthest from open water have less mixing, higher residence times, more variability, are more heavily impacted by sunlight and weather, and have higher average temperatures, so these sites contain the most vulnerable habitat and should be closely monitored and made a conservation priority.</t>
  </si>
  <si>
    <t>Alpher</t>
  </si>
  <si>
    <t>Alpher Aspiras</t>
  </si>
  <si>
    <t>aaspiras1712@sdsu.edu</t>
  </si>
  <si>
    <t>Bachelor of Science in Cell and Molecular Biology</t>
  </si>
  <si>
    <t>A Gene Regulator (MacR) Controlling the Production of Molecular Syringes and their Application for Biotechnology</t>
  </si>
  <si>
    <t>The MACs Regulator (MacR), a transcription factor, emerges as a pivotal player in regulating Metamorphosis Associated Contractile structures (MACs) production in the marine bacterium, Pseudoalteromonas luteoviolacea. MACs are micron-scaled syringe-like structures classified as an extracellular Contraction Injection System (eCIS) that naturally target insect and mammalian cells, hinting at its potential as a tool for drug delivery to eukaryotic cells. We hypothesize that by elucidating the essential role of MacR, we will be able to drive the overexpression of MACs and boost their production rate and potential to become a novel drug delivery system. From RNA sequencing (RNA-Seq) data, we observed the downregulation of CIS gene clusters (MACs, Secondary Contractile, T6SS) in MacR knockout P. luteoviolacea compared to wild type (WT). To control expression of the macR gene, we used a promoter fusion with rhamanose inducibility. The assembled plasmid with macR was then conjugated into P. luteoviolacea. Visualization of protein output was carried out by fluorescent microscopy, capturing MACs with GFP-tagged overexpression via MacR. The byproduct of MacR overexpression would be used to kill HEK239 cells, showing its ability for targeted cytotoxicity. The MACs function not only emphasizes the importance of MacR as a transcriptional regulator in overexpressing production of MACs but also highlights the potential of MACs becoming a versatile drug delivery system. This study provides significant insights into the regulatory functions of MacR and its application in targeted cell-based therapies, presenting potential directions for future research.</t>
  </si>
  <si>
    <t>Aaliyah</t>
  </si>
  <si>
    <t>Ringor</t>
  </si>
  <si>
    <t>aringor9018@sdsu.edu</t>
  </si>
  <si>
    <t>Microbiology</t>
  </si>
  <si>
    <t>Understanding the role of conjugative plasmids in commensal-like bacterial adherence to the intestinal epithelium of C. elegans</t>
  </si>
  <si>
    <t>The role of microbial communities in shaping host health and function across diverse biological systems is a rapidly evolving field of study. Caenorhabditis elegans is an effective model organism for microbiome research due to its transparent body, allowing for direct observation of host-microbe interactions and providing a unique advantage in visualizing bacterial adherence to the intestinal epithelium. Additionally, the structure and function of its intestinal cells share similarities with those of other organisms, enhancing the relevance of possible findings to broader biological contexts. 
It is still not broadly understood how many commensal microbiome bacteria can colonize the gut. We discovered a gram-negative microbiome bacterium identified as Lelliottia jeotgali (LUAb3), that can colonize C. elegans through direct adherence to intestinal cells. We found that colonization  of C. elegans by LUAb3 had a neutral impact on host fitness through lifespan and brood size assays suggesting that it is best classified as commensal-like. We recently identified a novel conjugative plasmid in LUAb3 which may be essential for colonizing the gut lumen. This novel plasmid (pLUAb3) contains genes encoding for fimbriae and adhesions, that have been shown to facilitate adherence by some pathogenic bacteria. To determine the role of this plasmid in bacterial adherence, we plan to transform non-adhering bacteria with pLUAb3 and observe changes in adherence. First, we aim to modify the plasmid by cloning in an antibiotic resistance gene via Gibson assembly as previous attempts using restriction enzyme cloning were unsuccessful. The inclusion of this antibiotic-resistance gene will strategically allow us to maintain pLUAb3 in other bacteria species to test its role in adherence. 
Once we are able to genetically alter pLUAb3, we plan to determine if the plasmid is necessary and sufficient to confer adherence. The presence of conjugative plasmids in bacterial populations plays a pivotal role in this adaptability. Furthermore, exploring the therapeutic applications of this research for addressing gut-related diseases could open new avenues for improving human health. Overall, our research explores the possibility that virtually any bacteria could seamlessly integrate into the gut microbiome, broadening our understanding of bacterial interactions within complex ecosystems.</t>
  </si>
  <si>
    <t>Branden</t>
  </si>
  <si>
    <t>La Madrid</t>
  </si>
  <si>
    <t>blamadrid4849@sdsu.edu</t>
  </si>
  <si>
    <t>Bachelor of Science</t>
  </si>
  <si>
    <t>Mutations in targeted Achromobacter xylosoxidans selected in response to phage therapy in the lungs of a cystic fibrosis patient</t>
  </si>
  <si>
    <t xml:space="preserve">Due to increased prevalence of antibiotic-resistant bacteria, alternatives to antibiotics are being investigated and used. Phage therapy (PT) uses bacteriophages (viruses that infect bacteria, aka phages) to target and kill bacterial pathogens as an alternative to or in conjunction with antibiotics. PT targets specific strains of pathogens, including antibiotic resistant strains, rather than whole classes of bacteria, and causes fewer off-target effects. The Segall Lab is helping treat patients with Cystic Fibrosis with phages targeting antibiotic-resistant Achromobacter xylosoxidans infections.
PT may both reduce the numbers of pathogens so that the immune system is able to control the infection and select for phage-resistant pathogens. The latter mutations may concomitantly restore sensitivity to antibiotics and potentially reduce the pathogen’s fitness and survival in the patient. 
To maximize the effectiveness of PT, patients are treated with two or more phages that use distinct surface receptor proteins. Over the course of treatment, the bacteria are likely to accumulate mutations that inactivate receptor proteins, or host factors required for phage replication. If the phages used share the same receptor, phage resistance mutations blocking infection by one phage would likely block infection to all other phages using the same receptor.
To identify the mutations that accumulate during phage therapy of an Achromobacter patient, metagenomic DNA sequences obtained from the patient’s sputum and blood samples were analyzed to acquire the metagenome-assembled genomes (MAGs) for Achromobacter strains in the samples. The Achromobacter MAG sequences from different points during therapy were compared to the Achromobacter MAG assembled from samples before the start of phage therapy. A list of all the genes, their genome location, and their functions was compiled, and the comparison highlighted mutations that accumulated over the course of therapy, generating a mutation timeline that shows when mutations appeared and if they were stable over time in the Achromobacter population. To date, the analysis has been completed for two samples; roughly 40 more samples are being analyzed. Once complete, mutations of interest will be highlighted for their relevance to phage and/or antibiotic resistance and to the fitness of Achromobacter, illuminating the progress of phage therapy.
</t>
  </si>
  <si>
    <t>Madonia</t>
  </si>
  <si>
    <t>smadonia5517@sdsu.edu</t>
  </si>
  <si>
    <t>Bachelor of Science in Environmental Sciences</t>
  </si>
  <si>
    <t>Understanding Changes in Temperature and Heat Index in Imperial Valley, CA</t>
  </si>
  <si>
    <t>As temperatures worldwide continue to rise, heat stress is becoming a growing area of concern (Cook et al., 2016). Farm workers in California face high temperatures that can expose them to heat stress; despite this, a considerable amount of Californian farm workers demonstrate only moderate knowledge of heat illness and lack sufficient precautionary measures for heat stress (Stoecklin-Marois et al., 2013). In the Imperial and Coachella Valleys, heat exposure increased between 1981 and 2020, and significant positive trends in extreme heat days occurred during the same period (Parker et al., 2022). Excessive heat combined with farm working conditions which increase metabolic rate can lead to serious heat related illness, and this was evidenced in the case of 17-year-old pregnant farm worker Maria Isabel Vasquez Jimenez, who tragically died in 2008 with a body temperature topping 108 degrees (Khokha, 2008). In order to identify risk for and prevent heat related illnesses in farm workers, this paper asks the question: How are temperature and heat index changing in the Imperial Valley, and what implication do those changes have on heat stress? As part of a project that aims to assess and identify factors that influence heat stress on workers, this poster will analyze trends and patterns in temperature and heat index in the Imperial Valley between 1983 and 2023. The findings could be used to determine factors of high concern for heat stress such as different crop types and times of year. This information could serve as valuable information in advising farmers and policymakers on safe practices for farm workers including frequent breaks, access to shade, and cooling stations.</t>
  </si>
  <si>
    <t>Tristan</t>
  </si>
  <si>
    <t>McDonnell</t>
  </si>
  <si>
    <t>tmcdonnell9238@sdsu.edu</t>
  </si>
  <si>
    <t>Bachelor of Science in Biology with Emphasis in Cellular and Molecular Biology</t>
  </si>
  <si>
    <t>Behind the Basket: Investigating the Nuclear Pore Complex Localization Domain of Megator in Drosophila</t>
  </si>
  <si>
    <t xml:space="preserve">Megator or MTOR is a 262 kD component of the Drosophila melanogaster nuclear pore complex (NPC). It has been implicated in nuclear architecture as a polymeric component of the nuclear and cytoskeletal matrices as well as in interactions with transcriptional regulator proteins. While it is known that Megator localizes to the inner nuclear basket section of the NPC, little is understood about how its function is specifically linked to its localization at the nuclear pore. To explore how MTOR anchors itself to the NPC and to map its NPC-targeting domain, we expressed truncated versions alongside the full-length MTOR in Drosophila S2 cells and assessed their localization relative to the nuclear pore complex. Using confocal microscopy on cells transfected with these deletion constructs, we were able to determine a fragment of MTOR that is likely responsible for localization to the nucleoplasmic subcomplex of the NPC. We are currently further refining this putative NPC-targeting domain through generating additional deletion constructs of MTOR. Furthermore, we identified several atypical nuclear phenotypes resulting from the ectopic expression of the intermediate deletion constructs. These findings provide a valuable foundation for further characterization of Megator's functional role as a nuclear pore component and as an intranuclear moderator of transcription and nuclear architecture. </t>
  </si>
  <si>
    <t>Capelson</t>
  </si>
  <si>
    <t>mcapelson@sdsu.edu</t>
  </si>
  <si>
    <t>Hadia</t>
  </si>
  <si>
    <t>Hadia Bayat</t>
  </si>
  <si>
    <t>hbayat7188@sdsu.edu</t>
  </si>
  <si>
    <t>Mechanical Engineering with Emphasis in Bioengineering</t>
  </si>
  <si>
    <t>Machine-Learned Interatomic Potential for Grain Boundary Segregation in a Nichrome Alloy</t>
  </si>
  <si>
    <t xml:space="preserve">Our research outlines the process of developing a machine learning-assisted potential for a Nichrome alloy system. The goal is to study the atomistic dynamics which may lead to the phenomenon observed from laboratory TEM images where Cerium-rich precipitation occurs at grain boundaries and grain boundary junctions while under the influence of nano-current electrical pulses within a Nichrome system. Machine-learned interatomic potentials often suffer from spuriously large attractive forces when atoms are close together. This presents a problem for modeling NiCr alloys in electric fields where close interatomic separations may be induced by the field. We address this by building a comprehensive training data set and applying new regression methods. A diverse set of training data was generated and simulated with Quantum ESPRESSO based on simulating bulk modulus, equation of state, Ab-Initio Molecular Dynamics, and genetic algorithm structures for both Nickel and Chromium. These simulation results were used in FitSNAP to create, as well as optimize the two generated potentials for Nickel and Chromium. These preliminary potentials have been tested and showed that spurious attractive forces can be resolved using regularization schemes that penalize large changes in attractive forces at short bond lengths. This resolves key problems for training ML potentials for NiCr in E-fields as well as other materials in extreme conditions.  </t>
  </si>
  <si>
    <t xml:space="preserve">Wenwu </t>
  </si>
  <si>
    <t>Xu</t>
  </si>
  <si>
    <t>wenwu.xu@sdsu.edu</t>
  </si>
  <si>
    <t>Sophie</t>
  </si>
  <si>
    <t>Krivonosov</t>
  </si>
  <si>
    <t>skrivonosov7426@sdsu.edu</t>
  </si>
  <si>
    <t>Enhancing the SCS1 Assessment</t>
  </si>
  <si>
    <t xml:space="preserve">Assessments play an important role in gauging students’ academic achievement and comprehension of key concepts. Prior research has demonstrated the value of the Second CS1 (SCS1) Knowledge assessment, a pseudocode-based assessment designed for introductory computer science courses. This is a widely-used assessment consisting of 27 questions that target 9 computing concepts. This project endeavors to revise the assessment and create a new version of the SCS1, called SCS1++, for broader use in computer science education research. We aim to do this by revising questions and introducing new questions within each conceptual area. 
Given the scores from the initial assessment, it was unclear whether low scores were a result of student misconceptions or unclear wording of the questions. To obtain a better understanding of the SCS1 results, we used a variety of psychometric tests, including item difficulty and discrimination, to look into students’ performance on each question independently. These analyses provided us with a quantitative measurement that allowed us to evaluate the efficacy of each test item. We used an iterative approach to review, revise, and reevaluate each question on the exam until they were deemed ready for a pilot study.
Furthermore, we expanded the question set for each conceptual area, allowing us to capture a broader spectrum of student understanding within each concept. This ensured that SCS1++ aligns with different conceptual areas of introductory computer science courses, while also increasing the range of difficulty on the assessment. With these adjustments, the assessment can better cater to diverse academic backgrounds of students, ensuring that the SCS1++ provides an equitable and valid assessment of student knowledge.
SCS1++ serves as a standardized, valid assessment, designed for instructors and researchers, to measure students’ understanding of key computing concepts. It is a reliable tool for evaluating student computer science comprehension in various settings and for diverse educational goals. </t>
  </si>
  <si>
    <t>Kyler</t>
  </si>
  <si>
    <t>kbrown9836@sdsu.edu</t>
  </si>
  <si>
    <t>Bachelor of Electrical Engineering</t>
  </si>
  <si>
    <t>The effect of temperature distribution of powder bed in selective laser sintering on the quality of 3D-printed parts</t>
  </si>
  <si>
    <t xml:space="preserve">     Selective Laser Sintering is an additive manufacturing process that consists of creating a 3D product by melting powder together layer-by-layer using a laser. The goal for SURP 2023 was to gather test samples and sensor data to train AI Models to detect real-time errors in the Selective Laser Sintering process. This collection was done using the custom-built Laser Powder Bed Fusion 3D Printer in Dr. Kang’s Smart Manufacturing and Metrology lab. 
     Throughout the process of attempting to collect samples, it was found that the nonuniform temperature distribution across the build plate led to curling. This curling would often cause the part to get caught by the spreader bar, causing the entire sample to get distorted, scraped off, and ruined. Too high of a temperature across the build plate prevents the powder from being able to cool; causing the build to stay molten. Too low of a temperature across the build plate prevents the powder from properly fusing together. A new baseplate using cylindrical heating elements, reflective insulation material around the print chamber, and a silicon heating pad on the backside of the print chamber were added to heat the print chamber more adequately.
     As a result of these modifications, the print chamber and build plate experience a more uniform heating distribution. This uniformity has generated more uniform fusion between powder particles throughout the surface and higher consistency in pore densities throughout the sample prints produced by the custom-built 3D printer. Furthermore, this consistency allows Dr. Kang’s Smart Manufacturing and Metrology lab to complete future research on training AI Models for real-time defect detection by enabling controlled reproduction of different print qualities through the modification of different laser settings such as scan speed and laser power.</t>
  </si>
  <si>
    <t>Kang</t>
  </si>
  <si>
    <t>Ahmed</t>
  </si>
  <si>
    <t>sahmed1114@sdsu.edu</t>
  </si>
  <si>
    <t>Civil Engineering/ Bachelors</t>
  </si>
  <si>
    <t>Study of Thermal, Acoustical and Mechanical Properties of Xanthan Gum and Hemp Building Materials</t>
  </si>
  <si>
    <t>The most utilized material in construction is cement, which is also the source of 8% of the world’s carbon dioxide emissions. Due to the increase in greenhouse emissions, there is a need to develop sustainable building materials, that are both low in emissions and fully renewable. This study focuses on the mechanical, thermal and acoustical properties of Hemp shives and different amounts of the biopolymer binder, Xanthan Gum. Samples are evaluated through compression test, three-point bending test, thermal test, and acoustical chamber testing. The compression test and the three-point bending test showed that there is a direct correlation between the increase of Xanthan Gum and the increase of flexural and compressive strength. Furthermore, the thermal testing results show that Hemp provides significant insulation regardless of the Xanthan gum amount. On the other hand, the acoustical test showed that there is a slight increase in noise reduction as xanthan gum increases. Hemp Shives are completely natural, lightweight, and have high insulation. The combination of these natural products yields environmentally conscious building materials suitable for multiple applications.</t>
  </si>
  <si>
    <t>Karam</t>
  </si>
  <si>
    <t>Alshaikh</t>
  </si>
  <si>
    <t>kalshaikh8136@sdsu.edu</t>
  </si>
  <si>
    <t>Exploring the Advancements in Additive Manufacturing through the Application of Artificial Intelligence</t>
  </si>
  <si>
    <t>Physics-informed neural networks (PINNs) are deep-learning neural networks trained to solve tasks while incorporating the governing laws of physics expressed through nonlinear partial differential equations (Raissi et al., 2018). Integrating the law of physics ensures that the solutions provided by these neural networks are not only data-driven but also adhere to fundamental scientific principles, enhancing their reliability in real-world scenarios. As deep learning continues to gain prominence, exemplified by the emergence of ChatGPT, Physics-Informed Neural Networks play a pivotal role in constraining solutions to produce realistic outcomes. This alignment of artificial intelligence with physical models opens up new possibilities in various scientific and engineering domains, further bridging the gap between theoretical and applied research. They offer a valuable approach to efficiently map nonlinear data, even when limited data is available. This research project uses an innovative method to solve the one-dimensional heat equation effectively. It relies on restricted datasets simulated with ABAQUS and uses Physics-Informed Neural Networks to create a nonlinear heat model. By utilizing PINNs, the project aims to enhance the accuracy and efficiency of thermal simulations, potentially transforming practices in fields reliant on thermal analysis. This approach can help us produce additive manufacturing datasets at a lower cost, making them more accessible.</t>
  </si>
  <si>
    <t>Luis</t>
  </si>
  <si>
    <t>Laurean</t>
  </si>
  <si>
    <t>llaurean3501@sdsu.edu</t>
  </si>
  <si>
    <t>Exploring the Utility of Machine Learning Enhanced FEA in the Field of Metal Additive Manufacturing</t>
  </si>
  <si>
    <t>In the context of powder bed fusion metal additive manufacturing (AM), finite element analysis (FEA) faces various challenges. Obstacles such as prohibitively high computational demands of accurate models and part defects that arise from sub-optimal process parameters are stifling the progress to be made in the field. Machine learning (ML) can significantly increase the accuracy and efficacy of the FEA of metal AM processes. It can do that by making accurate predictions of the complex phenomena that exist within the metal AM environment. This can lead to the optimization of process parameters such as part design, material usage, and more efficient process control. The drawback of ML for metal AM is its reliance on large, labeled datasets which in the field of metal AM, are prohibitively expensive. The need for models that can function with limited datasets cannot be overstated. It is for this reason that physics-informed neural networks (PINNs) are being applied to the field of metal AM. These models are informed of fundamental conservation laws of momentum, mass, and energy to bridge the gap between a lack of data and accurate predictions. PINNs have successfully been applied to metal AM processes by predicting temperature and melt pool dynamics accurately with only moderate amounts of labeled data. However, the efficiency of PINNs is still highly dependent on the availability of that training data. This research paper summarizes the progress that has been made in the aforementioned fields and highlights the work that needs to be done to improve current efforts.</t>
  </si>
  <si>
    <t>Anahi</t>
  </si>
  <si>
    <t>Mendez Lozano</t>
  </si>
  <si>
    <t>amendezlozano5241@sdsu.edu</t>
  </si>
  <si>
    <t>The impact of invasive plant species on fire patterns in Otay Valley Regional Park, San Diego</t>
  </si>
  <si>
    <t>In San Diego, California, native vegetation provides critical benefits to riparian zones such as stabilizing streambanks, controlling erosion, providing habitat for wildlife, and regulating water temperature and are generally better adapted to a natural fire regime. However, anthropogenic disturbances such as waste and debris, urban development, and the introduction of invasive and non-native plants threaten native riparian vegetation communities and alter brush fire regimes. Otay Valley Regional Park (OVRP), one of the largest open spaces within southern San Diego County, experienced 21 riparian brush fires (1.5 acres total) ignited by people experiencing homelessness in September 2019. The goals of this study are to discern the influence of native and non-native vegetation on riparian fire patterns in OVRP. Satellite-based  normalized difference vegetation index (NDVI) was approximated for disturbed, forest woodland, freshwater marsh, riparian forest, riparian scrub, and scrub vegetation types in OVRP. NDVI derived from Landsat and Sentinel-2 datasets were calculated seasonally and annually from 2018 to 2023 for comparison. The results of this research will provide guidance for fire management in urban riparian systems with native and non-native plant species.</t>
  </si>
  <si>
    <t>Sirena</t>
  </si>
  <si>
    <t>srodriguez9223@sdsu.edu</t>
  </si>
  <si>
    <t>Diel Cycles of Stem Water Potentials for Implications of Hydrological Connectivity between Hillslopes and Streams at the Angelo Coast Range Reserve</t>
  </si>
  <si>
    <t>The Angelo Coast Range Reserve subsurface relationship between the dominant native trees –Madrones, Live Oaks, and Douglas Firs– and streams holds potential water use ramifications due to climate change. Furthermore, this relationship could impact year-round water availability within the reserve, in extended drought seasons. As subsurface interactions are not well-known or studied, our group focused on tree water use and plant water stress in correlation to the diel cycle of streamflow. Our research was prompted by the question; Can daily streamflow variation be explained by the plant water potential of different tree species at the end of the water year (2023)? With this, we sought to understand the relationship between diel cycles of stem water potentials and the hydrology of the Angelo Coast Range Reserve. To better understand how water moves between the trees and streams of the critical zone, we identified one of each tree species at each location and collected water potentials over 5 sampling time intervals at four locations on a hillslope, ranging from pre-dawn to dusk.​ Our data depicted statistically significant differences in water potentials between all three species at ​predawn (p-value = 0.0134) and midday (p-value = 0.0051). There was also a strong negative correlation between Madrones’ water potential and stream gauge height (-0.708 and -0.961), and one strong positive correlation of water potential and stream gauge height rate of change in a Douglas Fir (0.786). As Madrones had the most prominent diel cycle and water potential compared to its neighbors, this implies that Madrones might have a deeper relationship with the hydrological system in this reserve. This could provide a better understanding of water potentials in sensitive regions. We anticipate that our findings can have broader water availability implications for studies on the relationship between water use and vegetation, and could potentially be used as a model for future research on climate change which causes increasing dry seasons in these vulnerable areas with unique biodiversity and habitat.</t>
  </si>
  <si>
    <t>James</t>
  </si>
  <si>
    <t>Hilary</t>
  </si>
  <si>
    <t>McMillan</t>
  </si>
  <si>
    <t>hmcmillan@sdsu.edu</t>
  </si>
  <si>
    <t>Keiser</t>
  </si>
  <si>
    <t>jkeiser6289@sdsu.edu</t>
  </si>
  <si>
    <t xml:space="preserve">Environmental Science </t>
  </si>
  <si>
    <t>How Does Foliage Cover Affect Water Temperature and Thermal Microrefugia for Trout Populations in the South Fork of the Eel River?</t>
  </si>
  <si>
    <t>The Eel River watershed serves as habitat for endangered populations of steelhead trout. Their habitat is affected by warming water temperatures due to climate change. This research was conducted to document and analyze water temperatures at two pool locations within the river that serve as steelhead trout habitat and analyze whether foliage cover provides adequate thermal refugia. Data collection was conducted by installing nine temperature sensors total at both pools at a width of 2.5 meters apart, with 1-meter vertical intervals underwater, and reaching a maximum depth of 2 meters. Sensors recorded data at 15-minute intervals over the course of approximately 3.5 days. We also calculated foliage cover at each location using a spherical densiometer. Our parameters for adequate steelhead trout thermal microrefugia include optimal (10-20°C), tolerable (10-20°C), and intolerable (≥21°C) ranges (Greer et al. 2019)</t>
  </si>
  <si>
    <t>Farnell</t>
  </si>
  <si>
    <t>Herriott</t>
  </si>
  <si>
    <t xml:space="preserve">Linkynn </t>
  </si>
  <si>
    <t>Garrett</t>
  </si>
  <si>
    <t>Alberto</t>
  </si>
  <si>
    <t>Pulido</t>
  </si>
  <si>
    <t>apulido9725@sdsu.edu</t>
  </si>
  <si>
    <t>Thermal Properties of Vb- Defect in hBn</t>
  </si>
  <si>
    <t xml:space="preserve">The burgeoning field of two-dimensional materials promises revolutionary applications in electronics, thermoelectrics, and photonics, where hexagonal boron nitride (hBN) emerges as a material of significant interest due to its excellent thermal and electrical properties. This study delves into the thermal dynamics of hBN, focusing specifically on the role of negatively charged boron vacancies (VB-) in modulating its thermal conductivity. Leveraging a comprehensive suite of computational tools, we simulate the phonon transport within hBN lattices and elucidate the scattering mechanisms introduced by VB- defects. My investigation begins with a meticulous literature review to extract and synthesize existing experimental and theoretical insights into the thermal properties of hBN. Building on this foundation, we employ density functional theory and molecular dynamics simulations to model the interactions between phonons and VB- defects across a range of temperatures. Through these simulations, we quantify the impact of defect density and distribution on phonon mean free paths, group velocities, and ultimately, the material’s thermal conductivity. Preliminary results indicate that VB- defects introduce localized phonon scattering centers, leading to a discernible reduction in thermal conductivity. The simulations suggest that such defects could be engineered to create hBN-based materials with customizable thermal properties for applications requiring precise thermal management. Additionally, my temperature-dependent analysis provides critical insights into the operational stability of hBN in various application environments.
My computational/theoretical approach not only offers a predictive framework for hBN’s thermal behavior but also opens avenues for tailoring two-dimensional materials for specific technological needs. The theoretical models developed are positioned for future validation through experimental collaborations, aiming to bridge the gap between computational predictions and practical applications.
</t>
  </si>
  <si>
    <t xml:space="preserve">Aaron </t>
  </si>
  <si>
    <t>ale4652@sdsu.edu</t>
  </si>
  <si>
    <t>R132H IDH1 mutant efficiency with modify ⍺10 helix</t>
  </si>
  <si>
    <t>Human Isocitrate dehydrogenase enzymes (IDH) catalyze the conversion of isocitrate (ICT) to alpha-ketoglutarate (αKG), which is crucial in many pathways to support and maintain the health of cells. Isocitrate dehydrogenase enzymes have three different types with similar structures. IDH1 is located in the cytoplasm and peroxisome, while IDH2 and IDH3 are located in mitochondria. IDH mutations have been found in many types of cancer, including 80% of gliomas. These mutations confer a neomorphic NADPH-dependent reaction that reduces alpha-ketoglutarate into D-2-hydroxyglutarate (D2HG). The product D2HG inhibits αKG-dependent enzymes, which can result in tumor development. Interestingly, when comparing the sequence of  IDH1 and IDH2, most of the amino acids are identical except those found in the regulatory segment, which is comprised of the ⍺10 helixes. In the IDH1 enzyme, ⍺10 helix has dynamic conformation as a loop and helical structure, yet it remains as a helix in IDH2. We hypothesize that the sustainability of IDH1(both wild-type or mutant) function will be critical due to the connection of ⍺10 helix helping to hold the substance in the active side. We are currently studying the variety of differences between IDH1 and IDH2 through kinetic analysis to portray a full picture of how mutations in this regulatory segment impact IDH1 and IDH2 enzyme efficiency. We created a series of mutations that recapitulate the sequence of IDH2’s ⍺10 helix in the IDH1 enzyme and measure catalytic parameters through a series of kinetic experiments. The results after swapping were surprising, such as some mutants showing a loss of activity. This study can help us better understand how IDH1 performs its tumor-driving reactions.</t>
  </si>
  <si>
    <t xml:space="preserve">Christal </t>
  </si>
  <si>
    <t>Christian</t>
  </si>
  <si>
    <t>Sandoval</t>
  </si>
  <si>
    <t>csandoval3701@sdsu.edu</t>
  </si>
  <si>
    <t>Bachelor of Science Microbiology CLS</t>
  </si>
  <si>
    <t xml:space="preserve">DES as novel reaction media for the investigation of amino acids for detection of past life </t>
  </si>
  <si>
    <t xml:space="preserve">The use of deep eutectic solvents (DES) as alternatives to conventional solvents has rapidly increased in the past decade. DESs’ are non-aqueous solvents that are composed of a hydrogen bond donor and hydrogen bond acceptor that when combined, have unique properties such as increased thermal stability and chemical tunability. Typically, DES are mixtures of natural products, offering a green and biodegradable alternative to traditional non-aqueous solvents. Applications for DES range from nanoparticle synthesis to protein extractions. Our work explores using, ethaline DES, as a solvent for non-aqueous fluorescent labeling with application for the detection of past life on planetary rocks in future space missions.
Our previous research has shown the promise of DES being an alternative solvent for the fluorescent labeling of amino acids. Using fluorescein isothiocyanate (FITC) we were able to label amino acids dissolved in the DES at concentrations as low as 4 µM. However, this may not have the sensitivity necessary for successful biosignature detection on Mars. In planetary rocks, the availability of amino acids is anticipated to be in the sub nanomolar range.  For this reason, 5-carboxyfluorescein succinimidyl ester (5-CFSE), a much more reactive fluorescent dye for amino acid labeling, is being explored. Our work will present the method development process for the optimization of ethaline DES as an alternative solvent for labeling amino acids with 5-CFSE. We are exploring how modifying the pH of the DES through chemical additives, and how the temperature of the reaction can improve the labelling efficiency. 
Capillary electrophoresis coupled with laser induced fluorescence (CE-LIF) has been widely used for the detection of amino acids from planetary analogs due to its sensitivity and low sample consumption. The instrument will similarly be used to examine and quantify the changes in amino acid labelling that occur as we modify the reaction conditions. With special attention being paid to the separation of side products and unreacted dye from the labelled amino acids.
</t>
  </si>
  <si>
    <t>charrison@sdsu.edu</t>
  </si>
  <si>
    <t>Roberts</t>
  </si>
  <si>
    <t>aroberts5512@sdsu.edu</t>
  </si>
  <si>
    <t>B.S. in Cell and Molecular Biology</t>
  </si>
  <si>
    <t>Utilizing Conformational Control as a Filter to Obtain Selective 3-Aryl Pyridone Kinase Inhibitors</t>
  </si>
  <si>
    <t>Atropisomerism is a form of axial chirality that develops when there is hindered rotation about a bond. Currently, over 85% of all FDA approved kinase inhibitors have a rapidly interconverting atropisomeric axis. We hypothesize that while one atropisomer will bind to the target active site, the other atropisomer can bind to off-target kinases, leading to undesired side effects that are rampant throughout many FDA approved drugs. In addition to this, we predict that selectivity towards a particular kinase can be improved by tuning the dihedral angle about the atropisomeric axis in a low energy conformation that corresponds to the desired target. Our aim is to obtain a potent and selective inhibitor of the receptor tyrosine kinase (RTK), c-KIT. Activating mutations and genetic alterations in this kinase have been identified in many cancers, including gastrointestinal stromal tumors, gliomas, and lung cancers. Our conformational energy mapping of the pyridone scaffold revealed that the FDA approved c-KIT/PDGFRA inhibitor, ripretinib, binds c-KIT in an orthogonal conformation about the aryl-heterocycle axis. While ripretinib is somewhat selective because it has been found to target a broad range of oncogenic and drug resistant c-KIT/PDGFRA variants, it has also been shown to inhibit several other RTKs, leading to undesired side effects observed in patients. As such, we aim to improve ripretinib's selectivity for c-KIT through tuning the dihedral angle about the sp2-sp2 axis in a near-orthogonal conformation, aligning with the low energy binding mode of this kinase. We plan to achieve this by incorporating steric bulk adjacent to the chiral axis in the ripretinib scaffold to stabilize the dihedral angle in this conformation. In order to validate our hypothesis, we will obtain IC50 values to determine the selectivity and potency of our compounds, as well as evaluate our inhibitors in cellular models of c-KIT driven cancers to study the effect of our inhibitors in vitro.</t>
  </si>
  <si>
    <t>Gustafson</t>
  </si>
  <si>
    <t>jgustafson@sdsu.edu</t>
  </si>
  <si>
    <t>Health Nutrition and Clinical Sciences 1</t>
  </si>
  <si>
    <t>Chirgwin</t>
  </si>
  <si>
    <t>kchirgwin8664@sdsu.edu</t>
  </si>
  <si>
    <t xml:space="preserve">Bachelor of Science in Nursing </t>
  </si>
  <si>
    <t xml:space="preserve">Determining the Best Practices for Providing End of Life care to Young adults with Terminal Cancer </t>
  </si>
  <si>
    <t>Facing a terminal illness diagnosis is a profound challenge, particularly for young adults dealing with cancer. This literature review delves into the imperative need for guidelines in the expanding field of end-of-life care, specifically concentrating on the distinctive needs of young adults. The review explores why the integration of palliative care into standard oncology  practice would prove valuable to this demographic. Conducting a systematic search yielded fifteen pertinent studies published within the last decade. The selected studies, encompassing survey-based research, secondary data analysis, and a systematic review, focused on young adults aged 18-39 diagnosed with terminal cancer. The research prioritized real-world insights, excluding studies more theoretical in nature. Findings from the selected studies revealed a limited understanding of end-of-life care for young adults with terminal cancer. The studies underscored the paramount importance of open communication and patient autonomy in elevating overall satisfaction with care. Patients expressed a fervent desire to be actively involved in decision-making processes, and underscored the  significance of early communication about end-of-life care. In conclusion, healthcare professionals are urged to initiate conversations about end-of-life care early in the treatment process, actively involve patients in decision-making, and acknowledge their capacity to make choices, including determining the location of care. Implementing these interventions has the potential to markedly improve overall satisfaction with care, providing young adults with terminal cancer greater comfort, dignity, and control in their final moments. This comprehensive approach fosters a more compassionate and supportive end-of-life care experience for both patients and their families.</t>
  </si>
  <si>
    <t xml:space="preserve">Reavis </t>
  </si>
  <si>
    <t>kreavis@sdsu.edu</t>
  </si>
  <si>
    <t>Simon</t>
  </si>
  <si>
    <t>Pierce</t>
  </si>
  <si>
    <t>spierce7234@sdsu.edu</t>
  </si>
  <si>
    <t>Kinesiology</t>
  </si>
  <si>
    <t>Diaphragm Force and Mitochondrial Function Ex Vivo Following GSNOR Inhibition In Vivo Preceding Mechanical Ventilation</t>
  </si>
  <si>
    <t>During mechanical ventilation (MV), force developed by the diaphragm is decreased over time much faster than locomotor muscles. This is known as ventilator-induced diaphragm dysfunction (VIDD), and VIDD may be accelerated by intramyofiber oxidative stress. An important free radical used for the treatment of acute respiratory distress syndrome (ARDS) is nitric oxide (NO) which can diffuse to diaphragm myofibers during treatment. However, little is known whether NO or NO by-products such as S-nitrosothiols (RSNO), can accelerate or prevent VIDD. PURPOSE: To investigate whether inhibiting S-nitrosoglutathione reductase (GSNORi) during MV could affect ex vivo diaphragm force and mitochondrial respiration. METHODS: Male (C57BL6J) mice (n=27) were anesthetized and subjected to MV for 2, 4, or 6h, and non-MV mice (0 h) were used as controls. Alternatively, mice were treated with PBS/10% DMSO (n=6) or 25 µg SPL-334 (GSNORi, n=6) or 25 µg SPL-334 + 1.7 mg isosorbide dinitrate (ISDN; n=6), and then subjected to MV for 2 h. After MV, mice were euthanized, and diaphragm strips were used for force or for mitochondrial oxidative phosphorylation and reactive oxygen species generation measurements. RESULTS: Peak tetanic force was decreased by MV starting at 4 h (30 ± 2 N/cm2 vs 26 ± 1 N/cm2 vs 23 ± 2 N/cm2 vs 18 ± 4 N/cm2, for 0 vs 2 vs 4 vs 6h MV, P=0.0097 one-way ANOVA). Peak force was not different between DMSO vs GSNORi (P=0.3834). Leak respiration (Mann-Whitney p=0.26; CI95 7, 45 vs 10, 68 pmol/s/mg), coupled-phosphorylating mitochondrial respiration (Mann-Whitney p=0.91; CI95 121, 180 vs 107, 215 pmol/s/mg), and H2O2 flux in any of the respiratory states (e.g. coupled-phosphorylating Mann-Whitney p=0.26; CI95 30, 245 vs 4, 543 fmol/s/mg), were not different between DMSO vs GSNORi. CONCLUSION: VIDD was developed at 4 hours MV, but GSNORi treatment for 2 h did not produce any changes to VIDD and to mitochondrial function. These data suggest that if exogenous NO is not provided, inhibiting GSNOR in vivo alone does not affect diaphragm function ex vivo. Support: SDSU 2023 SEED Grant (to L.N.)</t>
  </si>
  <si>
    <t>Leonardo</t>
  </si>
  <si>
    <t>Nogueira</t>
  </si>
  <si>
    <t>vesparza6312@sdsu.edu</t>
  </si>
  <si>
    <t xml:space="preserve">Foods and Nutrition </t>
  </si>
  <si>
    <t>Olfactory Nudging promotes short-term weight loss</t>
  </si>
  <si>
    <t xml:space="preserve">Odors guide food choices, yet olfactory strategies are not included in current interventions for weight loss. We posit that short and often unconscious exposure to “healthy” food odors can serve as an "olfactory nudge" (ON) to increase healthy food intake, while prolonged unconscious exposure to “unhealthy” odors elicits olfactory-specific satiety via “olfactory habituation” (OH). To explore the effectiveness of these strategies, we conducted a two-week pilot intervention with normosmic  adults with overweight/obesity  (N= 6F; 83% white; age:21-55 years old, BMI:28.8±3.3). The results showed a significant effect of olfactory strategies on weight loss [F(1,12)=6.591, p=0.02]. Individuals in the ON group (exposed to banana/strawberry fruit smells before lunch and dinner), experienced an average weight reduction of -1.6±1.1 lb. Similarly, the OH group(10-minute habituation to banana pudding/strawberry cake smells), achieved a weight reduction of -1.2±0.4 lb. There were no significant differences between the two olfactory conditions (p=0.89). The control group exhibited a smaller overall weight reduction of -0.3±1.8 lb, which was significantly lower than that of the ON group (p=0.05), but not significantly different from the OH group (p=0.16).  All groups demonstrated a significant increase in Olfactory Awareness post-intervention (V = 26.5, p=0.04). The Self-Report Behavioral Automaticity Index (SBAI) showed a nominal increase only in the olfactory groups. No significant changes emerged in the diet intake measured through a 3-day food diary, Short Self-Regulation Questionnaire (SSRQ), and Food Craving Questionnaire (FCQ), post-intervention. These preliminary findings support the use of olfactory behavioral strategies to influence weight loss. </t>
  </si>
  <si>
    <t>Surabhi</t>
  </si>
  <si>
    <t>Bhutani</t>
  </si>
  <si>
    <t>sbhutani@sdsu.edu</t>
  </si>
  <si>
    <t>cle4136@sdsu.edu</t>
  </si>
  <si>
    <t>Bachelors of Science in Nursing</t>
  </si>
  <si>
    <t>Tube Feeding in Dementia: A Literature Review on Nutritional Outcomes and Complications</t>
  </si>
  <si>
    <t xml:space="preserve">With the increase of the aged population world-wide, there may be a subsequent increase in the numbers of elderly patients with dementia. As a result of declines in physical and mental capabilities, individuals with cognitive disorders such as dementia, may develop problems with eating independently. This may put them at a higher risk for malnutrition and related comorbidities, such as the development of aspiration pneumonia and pressure ulcers. In order to address this issue, Tube feeding is often used as a replacement to oral feedings. However, in recent years its use in this case has become increasingly controversial among healthcare providers due to a lack of strong data from randomized control trials. In addition, many lay people believe that tube feeding improves outcomes and prolongs life in the demented. Establishing a consensus on this matter is crucial for guiding healthcare providers, caregivers, and families in making well-informed decisions for this vulnerable patient population. This evidence-based practice literature review aimed to assess the effectiveness of tube feeding in enhancing nutritional status and reducing nutritional complications among those with cognitive impairment. The PubMed and CINAHL electronic databases were searched for studies published after January 1, 2015. Inclusion criteria included measurements of the mortality rate and/or nutritional status of patients with the intervention of tube feeding of any age. Each study analyzed patients with a diagnosis of dementia. No evidence was found to suggest that tube feeding as a replacement to hand-feeding improved nutritional status. Evidence was found that the risk of aspiration pneumonia and pressure ulcers increased in groups who received tube feeding by any route. Thus, based upon this literature review the use of tube feedings in those with dementia should be the exception and not the rule for nutrition. 
</t>
  </si>
  <si>
    <t xml:space="preserve">Kayla </t>
  </si>
  <si>
    <t>Yu</t>
  </si>
  <si>
    <t>Christina</t>
  </si>
  <si>
    <t>Vialva</t>
  </si>
  <si>
    <t>cvialva9227@sdsu.edu</t>
  </si>
  <si>
    <t>Designing Research Diets Using USDA Food Composition Tables and ICP-OES</t>
  </si>
  <si>
    <t>In designing diet interventions for musculoskeletal health research, ensuring accurate nutrient content of the diet is important. A researcher can design a diet based on the analysis of various foods using Nutrition Facts sections on food package labels, USDA food composition databases, or direct measurement of nutrient composition, i.e. Inductively Coupled Plasma Optical Emission Spectroscopy (ICP-OES) for minerals or macronutrient analysis. The purpose of this research was to compare nutritional content using food package labels, the USDA food database, and direct measurement, from a representative Western Diet from our research study. We tested the hypothesis that the Nutrition Facts information from food package labels overestimates actual, measured nutrient content. We employed quality control practices, including analyzing samples in triplicate and validating our methods with a certified National Institute of Standards and Technology wheat flour (reference number 1567b) sample. Reported calcium and sodium values for the total days diet summed from individual foods using food composition databases were consistently lower than measured values by ICP-OES. Discrepancies were as great as 1.5 fold, contrasting with our hypothesis that the food package label overestimated nutritional content. This work illustrates that package labels should be referenced as estimates rather than accurate values for that product, and identifies specific foods that contributed to the overall discrepancy the most.</t>
  </si>
  <si>
    <t>Connie</t>
  </si>
  <si>
    <t>Weaver</t>
  </si>
  <si>
    <t>cmweaver@sdsu.edu</t>
  </si>
  <si>
    <t>Tina</t>
  </si>
  <si>
    <t>ttran1842@sdsu.edu</t>
  </si>
  <si>
    <t xml:space="preserve">Leached chemicals from secondhand blue and red cotton-polyester microfibers. </t>
  </si>
  <si>
    <t xml:space="preserve">Microfibers are a ubiquitous type of microplastic in the environment due to increased synthetic textile production. Microfibers are generated when fabrics are washed or degraded. Currently, there is a lack of research to understand the chemicals that can leach from synthetically dyed microfibers of different sizes. The use of nontargeted chemical analysis based on comprehensive two-dimensional gas chromatography coupled to time-of-flight mass spectrometry (GCxGC/TOF-MS) can be used to detect a wide variety of chemicals. This project focuses on identifying chemicals that leach from secondhand blue-dyed cotton polyester (BCP) and red-dyed cotton polyester (RCP) microfibers (&lt; 5mm) and fabric strips (~0.3 cm x ~5 cm) in laboratory-generated freshwater over 12 days. Among the BCP and RCP fibers and strips, 458 chromatographic features and 464 chromatographic features were detected, respectively.  We detected more compounds in the BCP fibers (20.38  2.25) than in the strips  (16.5  4.12), as well as in the RCP fibers (29  0.577) compared to the strips (22.88  3.12). We used relative abundance as a proxy for compound concentration, and we found no statistically significant differences in total average abundance in the fibers for both BCP and RCP samples. This suggests that size may not play a key role in the leaching rate of chemicals from microfibers and strips. Two of the most abundant compounds detected in the BCP and RCP leachates were the same: 2-phenoxyethanol and 2,2'-oxybis-1-propanol. Overall, many of the tentatively identified compounds from both samples can be classified into manufacturing-based chemicals and personal-use chemicals. Several of these chemicals were not plastic-associated. This study demonstrates that fabrics may serve as carriers for chemicals, associated with the individual’s lifestyle and exposure, who owned the fabric, before testing, and the chemicals on the fabric can potentially leach these chemicals into aquatic environments. 
</t>
  </si>
  <si>
    <t>Eunha</t>
  </si>
  <si>
    <t>Hoh</t>
  </si>
  <si>
    <t>ehoh@sdsu.edu</t>
  </si>
  <si>
    <t>Quintana</t>
  </si>
  <si>
    <t>mquintana6595@sdsu.edu</t>
  </si>
  <si>
    <t>The Role of Mother’s in Preadolescent Latinas Health and Eating Behaviors</t>
  </si>
  <si>
    <t>Data demonstrates Latinx youth in the USA are disproportionately impacted by the obesity epidemic and experience other cardiometabolic health issues with greater prevalence, as compared with other similarly aged, non-Hispanic youth. Previous research on Latinx dyadic relationships have demonstrated the potential positive influence of parental involvement in a child's health behaviors. In addition, such research usually focuses on younger children, however preadolescence, specifically, is a significant time period as developmental changes occur and preadolescents begin making more independent decisions. Additional research is needed to understand maternal influence on Latinx youth during this fundamental period. The purpose of this study is to understand the influence of mothers in preadolescent Latina’s healthy decision making. It is hypothesized that the more involved a mother is in her daughter’s healthy eating habits during preadolescence, the more likely these practices will be adopted. Participants were recruited voluntarily among a pool of mothers and daughters from the Conmigo study, an intervention designed to improve the health behaviors and family communication among mother-daughter pairs. Individual interviews (n= 8) were conducted asking a series of questions regarding nutrition, parenting, and overall wellness, to mothers and daughters separately. Interviews were audio-recorded and transcribed by research staff in both Spanish and English, then summarized and analyzed in a matrix using a rapid-qualitative approach. Preliminary results indicate that mothers of preadolescent Latinas are very involved in the food choices their daughters make at home (mothers choosing what to serve, making separate meals, accommodating dietary needs and preferences). Many mothers regularly attempt to include their children in grocery shopping and cooking but with varied degrees of success. Mothers report experiencing challenges with limiting unhealthy snacks and encouraging trial of new foods. Results suggest that mothers can provide opportunities for nutritious dietary changes and offer innovative methods and conceptions regarding nutrition consumption, for their daughters. This research offers a unique perspective that research has not explored in the domain of healthy eating behaviors, specifically through the lens of parental strategies and styles. Findings contribute to greater knowledge on this relationship dynamic while highlighting the importance of maternal involvement in preadolescents' healthy behavior practices.</t>
  </si>
  <si>
    <t>Health Nutrition and Clinical Sciences 2</t>
  </si>
  <si>
    <t>dlopez1324@sdsu.edu</t>
  </si>
  <si>
    <t xml:space="preserve">Bachelor of Science Foods and Nutrition </t>
  </si>
  <si>
    <t>Chipulines Cricket Chips: Jump to a More Sustainable Snack</t>
  </si>
  <si>
    <t>Chips have found their way into almost every culture, often enjoyed as a component of a meal or snack. The Chipulines product was developed to elevate the protein component of traditional tortilla chips through the addition of powdered crickets (Gryllodes sigillatus), a sustainable protein source. The name Chipulines was inspired by chapulines, a Mexican delicacy made up of grasshoppers. To highlight the Mexican heritage of the recipe, Chipulines are made with blue corn masa enriched with edible insects, which have historically served as a dietary staple and cultural food for people indigenous to Mexico. As interest in sustainability grows, it is expected that the global market for edible insect products will grow as well, with sources projecting a 33% growth in demand in the coming years. Product development involved alterations to the chip’s thickness, cooking methods, and flavoring. Physical analysis was performed to assess the chip’s texture and water activity, indicating crispness and shelf life. The TA.XT Plus Texture Analyzer was used to measure the force in grams needed to puncture each chip, while the water activity was measured using the Rotronic HW4 hygroscope, measuring the vapor pressure of free water released from each chip. Sensory evaluations were performed to assess consumers' overall acceptance of the product, based on taste, texture, and willingness to purchase. Data analysis from twenty participants found that most people perceived the flavor and texture as good (40% and 45%) or neutral (25% and 35%.) Information on intent to purchase found a significant increase in the likelihood to buy (from 30% to 70%) after the protein content of the chip was disclosed. The results from initial sensory testing have proven very promising, revealing strong demands for protein-enriched snacks and overall positive reviews for the chip itself. Chipulines plans to undergo further product development and experimentation to advance the texture and flavor of the chip. In the future Chipulines will look to expand the product line through the creation of new flavors and other cricket-based snack options, helping to grow consumer adoption of nutritious, sustainable foods.</t>
  </si>
  <si>
    <t xml:space="preserve">Ana </t>
  </si>
  <si>
    <t>Gaxiola Alvarez</t>
  </si>
  <si>
    <t>Borough</t>
  </si>
  <si>
    <t>Martinez</t>
  </si>
  <si>
    <t>Bailee</t>
  </si>
  <si>
    <t>Chynoweth</t>
  </si>
  <si>
    <t>bchynoweth0915@sdsu.edu</t>
  </si>
  <si>
    <t>Bachelor of Psychology</t>
  </si>
  <si>
    <t>Comparing Reporter Versions for Executive Functioning Skills</t>
  </si>
  <si>
    <t>This study compares parent and teen reports on executive functioning skills using an item-level comparison on the Behavior Rating Inventory of Executive Function, Second Edition (BRIEF-2), a standardized executive function questionnaire widely used in clinical and research settings. The current version of the standardized assessment was published in 2015, and there is limited existing literature on informant comparisons, particularly using item-level analysis. Greater positive correlations between items across versions and fewer items that are statistically significantly different would indicate higher levels of agreement between reporters. This study analyzed baseline data from an executive function intervention involving nine neurodiverse participants between the ages of 10 and 13 years old and their caregivers. The BRIEF-2 includes 55 questions for self-report and 65 for caregivers, 35 of which overlap between the two versions. The quantitative analysis involved comparing the overlapping items from the self-report and parent versions to assess correlations and running independent samples t-tests to identify any significant differences across reporters. The correlation analysis revealed two items with significant negative correlations (Self-report #3. “When I’m given three things to do I remember only the first or the last.” and 5. “My work is sloppy.”) and two with significant positive correlations (Self-report #27. “I overreact.” and 52. “I have trouble carrying out things that are needed to reach a goal (such as saving money for special items or studying to get good grades.)”) on the BRIEF-2. The t-tests revealed that across the Self-report and Parent versions, 14 items were statistically significantly different. Ideally, these items would be highly positively correlated and statistically similar across versions, which was not the case in this study. These findings are particularly relevant to clinicians and researchers who rely on this measure when assessing executive function in children, as practitioners may have to consider the variability in scores across reporters. Future research should explore these specific item-level differences and their impact on the overall assessment of executive function. Additionally, efforts should be made to understand the factors contributing to the differences between versions and to improve the consistency of measurement across different respondents.</t>
  </si>
  <si>
    <t>Dr. Mary</t>
  </si>
  <si>
    <t>Baker-Ericzen</t>
  </si>
  <si>
    <t xml:space="preserve">Emily </t>
  </si>
  <si>
    <t>Hernandez Rincon</t>
  </si>
  <si>
    <t>ehernandezrinc9126@sdsu.edu</t>
  </si>
  <si>
    <t>Psychology with and Emphasis in Neuroscience</t>
  </si>
  <si>
    <t xml:space="preserve">Health Care System Changes to  Receipt of Cervical Cancer Screening Among Women Living with HIV in India: A Qualitative Study  </t>
  </si>
  <si>
    <t xml:space="preserve">Health Care System Changes to  Receipt of Cervical Cancer Screening Among Women Living with HIV in India: A Qualitative Study  
Purpose: Few studies have been published investigating ways to increase cervical cancer (CC) screening rates among Indian women living with human immunodeficiency virus (WLWH), who have the highest burden of CC.  Despite this, Indian WLWH are rarely screened regularly for CC. This qualitative study explored patients' and stakeholders' suggestions for public health care system changes that may facilitate CC screening among Indian WLWH. 
Methods: 25 WLWH receiving care at the NCH ART Centre (patients), as well as 15 healthcare workers providing care to WLWH at a public hospital in Surat, India (stakeholders), were recruited using a purposive sampling strategy. Interviews were audio-recorded, transcribed verbatim, de-identified, and, if necessary, translated into English by multilingual study staff. 
Results: Participants suggested restructuring the Indian public healthcare system to get CC screening and test results more easily. In addition, participants suggested that it was important to improve communication between the ART Center and OB-GYN providers.  It was suggested that additional types of healthcare workers (e.g., ART counselors) be trained to perform CC screening. Furthermore, participants emphasized the need to increase positive interaction between healthcare providers and patients regarding CC screening.
Conclusion: There are numerous ways to improve the delivery of CC early detection care in the public health system in India. </t>
  </si>
  <si>
    <t xml:space="preserve">Kristen </t>
  </si>
  <si>
    <t xml:space="preserve">Wells </t>
  </si>
  <si>
    <t>Viridiana</t>
  </si>
  <si>
    <t>Holguin Solorio</t>
  </si>
  <si>
    <t>vholguinsolori2264@sdsu.edu</t>
  </si>
  <si>
    <t>Association Between Pain Severity and Low Back Movement During Functional Activities in Latino People with Chronic Low Back Pain</t>
  </si>
  <si>
    <t>BACKGROUND AND PURPOSE: Pain may affect tasks that are essential to everyday life such as lifting, sitting, and standing. The purpose of this study was to assess the association between pain severity and low back movement during functional tests, such as lifting a box and sit-to-stand, in Latino patients with chronic low back pain (CLBP). We predict that people with higher levels of pain will have less movement during functional tasks than those with lower levels of pain.
METHODS: Baseline data from a randomized clinical trial were analyzed for 130 Latino people with CLBP. Participants completed a 20-minute movement assessment including a lifting and sit-to-stand task. Commercial sensors (dorsaVi, Inc.) were placed on the pelvis and lower back to measure maximum low back movement (in degrees) during the functional tasks. Pain severity was measured using the Brief Pain Inventory pain severity score. Categories of pain severity (low, moderate, high) were established for ranges of scores based on distribution of scores across the sample. A one-way ANOVA was conducted to examine the association between pain intensity (low, moderate, high) and maximum low back movement during the lifting and sit-to-stand tasks.
RESULTS: Participants were 46.2 (SD=12.6) years of age (64% women, 70% Spanish-speakers). There was statistically significant difference in low back movement during the sit-to-stand test between pain groups for right lumbar flexion (F(2, 125)=3.95,p=.022) and lumbar left rotation (F(2,125)=4.25,p= .016). Tukey’s HSD Test for multiple comparisons found that right lumbar flexion was significantly less for individuals with low pain vs. high pain (diff = -2.2; 95%CI=-4.18,-.29; p=.022) and left lumbar rotation was significantly greater for individuals with low pain compared to medium pain (diff=1.7; 95% CI=.20,3.20; p=.024). No significant differences in low back movement were observed among pain intensity groups for the lifting task.
CONCLUSION: Participants with higher levels of pain displayed greater right lumbar flexion and less left lumbar rotation during a sit-to-stand task, suggesting pain may influence performance of this functional activity. Information from this study may help to explain the complex relationship that exists between performance of functional activities and pain experience in Latino people with CLBP.</t>
  </si>
  <si>
    <t>Anthony</t>
  </si>
  <si>
    <t>Oviedo</t>
  </si>
  <si>
    <t>Dakotah</t>
  </si>
  <si>
    <t>Behrendt</t>
  </si>
  <si>
    <t>dbehrendt1353@sdsu.edu</t>
  </si>
  <si>
    <t>Bachelor of Science in Nursing</t>
  </si>
  <si>
    <t>Implicit Bias, Nursing Competency, and Patient Satisfaction: A Literature Review</t>
  </si>
  <si>
    <t>Implicit biases place the hospitalized at risk for irregularities in care, which may contribute to disproportionate morbidity and mortality rates between specific patient populations. In order to better understand the implications of implicit bias surrounding marginalized patient populations and United States hospital care, a literature review was conducted. This literature review included primary research studies on American adults written in English between 2018 and 2023. Five studies relating either nursing competency or patient satisfaction to initiatives which combat implicit bias of marginalized patient populations were included. The collected quantitative and qualitative data from these research studies were analyzed to determine the state of knowledge on the topic. Limitations of the quantitative studies included the covert nature of implicit bias and the novelty of research, while limitations of the qualitative studies included researcher bias, low participation rates, and difficulty replicating results. The findings of the research supported the idea that the use of multifaceted implicit bias initiatives improve nursing competency and patient satisfaction to some extent. The available research was of reasonable breadth, but of variable depth; More research is needed within this realm of study to compare the effectiveness of different implicit bias trainings, initiatives, and programs. In the future, hospitals should consider implementing new training through evidence-based practice projects to promote progress in this area.</t>
  </si>
  <si>
    <t>Reavis</t>
  </si>
  <si>
    <t>Macias</t>
  </si>
  <si>
    <t>kmacias7915@sdsu.edu</t>
  </si>
  <si>
    <t xml:space="preserve">Bachelor of Science in Foods and Nutrition </t>
  </si>
  <si>
    <t>Olfactory Training Wearables for Smell Loss - A Literature Review</t>
  </si>
  <si>
    <t>Background:  Wearables have emerged as powerful tools for real-time health monitoring of heart rate, sleep, physical activity, etc. Recent innovations in wearables technology has led to integration of smell delivery technology in compact wearable devices. However, the potential applications of this novel technology in supporting health are yet to be explored. Our scoping review has two objectives: 1) investigate the features of existing smell-emitting wearable/portable devices and 2) examine the utilization and impact of these health devices on health improvement. Methods: We conducted a comprehensive literature search across medical, design, and engineering databases, including Pubmed, Scopus, EMBASE, Cochrane Library, Web of Science, PsycINFO, IEEE Xplore, CUMINCAD, and ACM. Using the keywords wearable, olfaction, odor, smell, interface display, olfactory training, anosmia, COVID-19, and olfactory loss, we identified n=589,794 articles. We screened n=223 articles and included studies that described devices that are portable/wearable, emit scents, and/or tested to improve health. Based on these inclusion criteria, we identified n=37 articles, published between 1939 and 2023. Results: We identified smell emitting devices to be either body mounted (BMW) wearables (n= 22) or portable (PD) devices (n=15). The BMW were bluetooth operated and limited to head-mounted wearables with applications in virtual reality, face mounted as eyewear, and body mounted accessories. PD were identified as those that could be carried around and can be connected to a phone (n=3) or computer (n=1), placed on a desk (n=2), prototype designs (n=4), or handheld devices(n=5). Of the total 13 devices used for health improvement, six smell-emitting PD pre-screened for COVID-19, nudged study participants to reduce stress, increase alertness, stimulate appetite, reduce sitting time, and improve posture, and implemented smell training in smell loss patients. Seven BMW smell-emitting devices were used to reduce stress, improve sleep, enhance memory, and implement smell training. Conclusion: Our comprehensive review suggests a limited utilization of smell-emitting devices for health support. These devices show promising potential in improving health, particularly in addressing challenges for conditions like smell loss, PTSD, Alzheimer's, and head injuries.</t>
  </si>
  <si>
    <t xml:space="preserve">Surabhi </t>
  </si>
  <si>
    <t xml:space="preserve">Bhutani </t>
  </si>
  <si>
    <t>Abel</t>
  </si>
  <si>
    <t>Sekone</t>
  </si>
  <si>
    <t>asekone4584@sdsu.edu</t>
  </si>
  <si>
    <t>Doctor of Philosophy in Mathematics and Science Education</t>
  </si>
  <si>
    <t>Using Structural Equation Modelling for Understanding Relationships Between Students’ Attitudes Towards Science and Science Career Choice</t>
  </si>
  <si>
    <t>This research is situated in the context of an NSF-funded Scholarships in STEM (S-STEM) grant emphasizing mentoring and undergraduate research that enrolls students from two Hispanic-Serving Institutions in Southern California, Southwestern College (SWC) and San Diego State University (SDSU). This program aims to increase the number of students with STEM degrees by providing scholarships and evidence-based activities to improve the recruitment and retention of academically talented students and encourage them to choose science careers. One known predictor of student persistence in science fields and science career choice is the extent to which students identify as scientists and are confident in their science skills. This perspective is aligned with the Social Cognitive Theory of Career (SCTC), derived primarily from Bandura’s (1986) general social cognitive theory, which emphasizes how individuals exercise personal agency in the career development process and extra-personal factors that enhance or constrain agency. In this study, we modified the Social Cognitive Theory of Career (SCTC) framework to focus on how science self-efficacy, scientific identity, and perceived scientific values influence science career choice and how they may be associated with factors like gender, underrepresented status, course level, and majors. We tested three structural equation models using data collected from 259 students enrolled in chemistry courses at SDSU and SWC in spring 2022. Our findings support the modified SCTC model with scientific identity (β = 0.699) being the most contributive latent variable to science career choice. Further, our expanded model (i.e., SCTC model +) posits a significant effect of gender (β = 0.134) on scientific values, with male students feeling more belonging to science fields than females. The other expanded model (i.e., SCTC model ++) indicates significant direct effects of course level (β = 0.154) on scientific identity, with students enrolled in introductory and preparatory chemistry courses reporting higher levels of scientific identity than those in more advanced courses. We also found a direct relationship between majors and scientific identity, with scores generally higher for the group of students majoring in STEM, including biology, chemistry, math, engineering, and computer science, than their peers who reported other majors (β = 0.339).</t>
  </si>
  <si>
    <t>Regis</t>
  </si>
  <si>
    <t>Komperda</t>
  </si>
  <si>
    <t>rkomperda@sdsu.edu</t>
  </si>
  <si>
    <t>Salgin</t>
  </si>
  <si>
    <t>lsalgin8333@sdsu.edu</t>
  </si>
  <si>
    <t>PhD Public Health - Health Behavior</t>
  </si>
  <si>
    <t xml:space="preserve">Feasibility and Acceptability of Ecological Momentary Assessment (EMA) Methods among LGBTQ+ Adolescent Tobacco and Nicotine Users </t>
  </si>
  <si>
    <t xml:space="preserve">Background: Beginning in early adolescence, LGBTQ+ individuals display elevated rates of tobacco and nicotine use relative to their counterparts. Smartphone-based ecological momentary assessment (EMA) methods may be a useful tool in understanding smoking related behaviors among this population in real time. This abstract reports on the acceptability and feasibility of EMA methods used in Puff Break (an EMA Pilot) among our current adolescent sample.   
Methods: Participants complete an exit survey evaluating the acceptability, appropriateness, and feasibility of the EMA. Quantitative measures include the 12-item Acceptability of Intervention Measure, Intervention Appropriateness Measure, Feasibility of Intervention Measure scales, and 6-item Mobile Application Rating Scale (MARS), App Specific Subscale. Both measures use a 5-point Likert scale ranging from "completely agree" to "completely disagree." Qualitative measures include seven open-ended responses to further evaluate acceptability and feasibility along with barriers and facilitators to using EMA. 
Results: To date, 10 participants enrolled in the EMA trial have completed an exit survey. Results suggest using EMA has high acceptability (M=4.15, SD=0.83), appropriateness (M=4.36, SD=0.75), and feasibility (M=4.29, SD=0.95). The MARS App Specific Subscale also indicated high acceptability and feasibility for Puff Break to increase knowledge, awareness, and intentions to monitor tobacco and nicotine use (M 4.21, SD 1.19). A rapid content review of open-ended responses indicated that participants found Puff Break “easy to use” and offered opportunities for reflection. For instance, one participant stated, “it let me reflect on how I was feeling and if I was using vaping or marijuana to combat my stress” and another similarly stated, “it made me consider a lot about my cravings and usage and how it correlated with my stress levels”. Participants also indicated that Puff Break had technical issues, early surveys were difficult to complete, and general life stressors not related to LGBTQ identity should be included. 
Discussion: Early findings indicate using EMA methods to understand the impact of stress and socialization experiences on smoking behaviors in LGBTQ+ adolescents is feasible and acceptable. As the study progresses, identifying essential elements (e.g., decision points, tailoring variables) that can be used in future interventions for this population is important. 
</t>
  </si>
  <si>
    <t>Alexus</t>
  </si>
  <si>
    <t>Shorter</t>
  </si>
  <si>
    <t>Devanshi</t>
  </si>
  <si>
    <t>Upadhyaya</t>
  </si>
  <si>
    <t>dupadhyaya8856@sdsu.edu</t>
  </si>
  <si>
    <t xml:space="preserve">Beyond Borders: Understanding Cross-Cultural Variations in Implicit Skin Tone Preferences </t>
  </si>
  <si>
    <t xml:space="preserve">Prior research on implicit skin tone preferences has mostly concentrated on individualistic cultures, often centering on the United States and overlooking other cultures. The present research aims to document the impact of cultural variations on implicit biases across the globe. To test the idea that cultural attitudes persist beyond national borders, we compared individuals residing in their country of origin to individuals residing in the United States but who are citizens of another country. We hypothesized that variations in bias favoring lighter skin tones across countries parallels variations in bias across communities from the same countries in the U.S. We utilized data from the Skin Tone Implicit Association Test (IAT) available on Project Implicit. The sample included a total of 80 countries with a minimum of 100 participants from each country and each community, covering most regions of the world. The IAT involved participants quickly categorizing images of faces with different skin tones, alongside positive or negative words. Explicit skin tone bias was assessed through a self-report measure where individuals reported the extent to which they had a preference for light-skinned people or dark-skinned people. Initial analyses revealed an implicit preference for light skin across all countries and communities, however, it was much stronger in some cases than in others. As predicted, we found a robust positive correlation such that as the level of implicit preference for light skin tone increased in a country, it also increased in the communities that were tied to the same country. A similar correlation was found at the explicit level. These results suggest that culture plays a pivotal role as a source of variation in skin tone biases. The observed patterns indicate that individuals potentially acquire these biases from their specific cultural origins, extending beyond the influence of immediate environments. This work highlights how culture shapes implicit and explicit attitudes; preferences for skin tones are learned and passed down through multiple cultural mechanisms. The lasting impact of cultural influences on the formation of evaluative responses is documented here by showing that they persist even when individuals migrate to different lands.
</t>
  </si>
  <si>
    <t xml:space="preserve">Thierry </t>
  </si>
  <si>
    <t>tdevos@sdsu.edu</t>
  </si>
  <si>
    <t>Ashar</t>
  </si>
  <si>
    <t>Abdallah</t>
  </si>
  <si>
    <t>aabdallah2028@sdsu.edu</t>
  </si>
  <si>
    <t>Masters of Arts in Social Psychology</t>
  </si>
  <si>
    <t>Exploration of the Motivation to Control Prejudice towards Arab/Muslims at Individual and County Levels</t>
  </si>
  <si>
    <t>Although Arabs and Muslims are a significant and growing population in the United States, there is limited psychological research on prejudice towards this group. Prior research demonstrates that internal conscious efforts as well as social norms uniquely account for how people express prejudice. It has been suggested that Americans are less motivated to control prejudice towards Arabs and Muslims in comparison to other marginalized groups. The present research aims to provide an exploratory analysis of bias towards Arabs/Muslims and how it is moderated by internal and external motivators to control prejudice. Analyses were conducted at both the individual and county levels to gain understanding of how individuals may be affected by the motivations to control prejudice of those around them. We relied on data collected using the Arab/Muslim Implicit Association Test (IAT) available on Project Implicit between 2006 and 2016 (N =141,329 nested within 670 U.S. counties). Motivation to control prejudice and explicit bias were both measured by self-report questionnaires. Implicit bias was measured by asking participants to categorize, as quickly as possible, Arab/Muslim names as well as names of “Other People”, in addition to positively and negatively valenced words. Most notably, we found that participants who displayed stronger internal motivation to control prejudice exhibited less implicit and explicit bias against Arabs/Muslims. However, external motivation was not similarly correlated with less prejudice. This suggests that strides to control prejudice due to personal beliefs moderately accounted for the biases individuals exhibit towards Arabs and Muslims, while adherence to social norms may not significantly alter expressed bias. These findings were analogous at the county level. Counties in which residents held stronger internal motivation to control prejudice displayed lower bias against Arabs/Muslims overall. Prejudice towards Arabs and Muslims in the United States largely fluctuates based on whether people try not to express prejudice based on personal efforts, and is fairly weak in individuals and contextual settings that hold stronger internal motivators. This study provides insight into how internal motivation can operate both at the individual and county level potentially through different mechanisms.</t>
  </si>
  <si>
    <t>Peterson</t>
  </si>
  <si>
    <t>Angelica</t>
  </si>
  <si>
    <t>Tharpe</t>
  </si>
  <si>
    <t>Thierry</t>
  </si>
  <si>
    <t>Leslie</t>
  </si>
  <si>
    <t>eleslie5387@sdsu.edu</t>
  </si>
  <si>
    <t>MPH Health Promotion and Behavioral Sciences</t>
  </si>
  <si>
    <t>Opportunities to improve sleep and circadian health in active duty service members</t>
  </si>
  <si>
    <t xml:space="preserve">Introduction: Insufficient sleep and circadian disruption have both psychological and physiological consequences that impact the health and safety of military service members, yet research shows only about one-third of service members meet recommended sleep duration guidelines. To address this issue, interventions must be developed that are tailored to meet the specific needs of this community. Although substantial research has identified the adverse impacts of poor sleep, limited research has examined the underlying contextual factors that contribute to it between service branches or in different operational settings. Thus, the objective of this qualitative study was to identify factors that impede sleep health among active duty Marines. 
Methods: Four focus groups were conducted with 23 active duty Enlisted Marines (87% male; 13% female). The semi-structured focus group guide assessed factors that impact sleep in Marines. Interview transcripts were analyzed using applied thematic analysis by two independent coders. 
Results: All focus group participants reported low satisfaction with their sleep quality or duration. The most commonly reported barriers to sleep were work schedules. Many participants reported regularly working long and/or varied hours as part of their standard schedule, and others described unpredictable schedules due to frequently being kept at work late to complete unfinished tasks or for punitive reasons. Participants also described how Marine Corps culture influenced their attitudes towards sleep and sleep-related behavior — even when acknowledging the adverse effects of insufficient sleep on performance and mental health, participants described forgoing it for the sake of the mission, e.g., “It's very important to keep in mind that mission accomplishment is more important than, like, a night of sleep.”
Conclusions: Poor sleep and circadian health were viewed by study participants as inherent to military service. However, the most salient barriers reported by Marines are potentially modifiable through scheduling interventions and interventions designed to reduce sleep stigma and promote healthy sleep hygiene.  
</t>
  </si>
  <si>
    <t>Schmied</t>
  </si>
  <si>
    <t>eschmied@sdsu.edu</t>
  </si>
  <si>
    <t xml:space="preserve">Lucyann </t>
  </si>
  <si>
    <t>Atkins</t>
  </si>
  <si>
    <t>latkins3816@sdsu.edu</t>
  </si>
  <si>
    <t>Masters of Science in Child Development with a concentration in Early Childhood Mental Health (LPCC)</t>
  </si>
  <si>
    <t>Caregiving History and Attachment State of Mind in Foster Caregivers</t>
  </si>
  <si>
    <t xml:space="preserve">Background
Being a foster caregiver presents many challenges. They can have a few, tens, and even hundreds of foster children placed with them over the years. Each caregiver’s attachment state of mind affects how they form a relationship with the child. This study examines the attachment style of foster caregivers and how this attachment style influences both the number of foster children caregivers have, and their feelings of accepting their foster child as their own.
Method
Participants are 137 caregiver-child dyads who participated in a larger randomized control trial of a preventative intervention for children exposed to early adversity (eleven caregivers had two children in the study, and one caregiver had 3). Assessments were conducted when children were approximately 27.4 months old (SD = 8.1). The majority of children (64%) and caregivers (53%) were Black, and the remaining included White, Hispanic, Biracial, and other people of color. The majority of caregivers were female (92%). Foster parent acceptance, commitment, and awareness of influence was assessed with semi-structured interview, “This Is My Baby'' Interview (TIMB; Dozier &amp; Lindheim, 2006). Foster caregiver attachment states of mind were assessed with the Adult Attachment Interview. Foster caregiver history and relationship to child was measured with a questionnaire.
Results
On average, foster caregivers had 8 foster children (SD = 24; range = 1-240). Sixty-nine percent of foster caregivers had a secure state of mind. Foster caregivers with a secure state of mind had a significantly higher number of foster children over the years (Secure: M=10, SD=3; Not Secure: M=3, SD=.5; t(87.8)=2.54, p&lt;.01). Additionally, higher numbers of foster children were significantly associated with lower levels of caregiver commitment (r=-.39, p&lt;.01) and acceptance (r=-.21, p&lt;.05).
Conclusions
Secure caregivers appear to have a higher capacity to care for a greater number of children over time, but the volume may negatively impact their commitment and acceptance. Future research should focus on interventions to support the caregiver-child relationship and assist the caregiver with navigating both the joys and hardships of serving as a foster caregiver.
</t>
  </si>
  <si>
    <t>Elvan</t>
  </si>
  <si>
    <t>Guzman</t>
  </si>
  <si>
    <t>Nikki</t>
  </si>
  <si>
    <t>Lane</t>
  </si>
  <si>
    <t>Ayda</t>
  </si>
  <si>
    <t>Akkoyun</t>
  </si>
  <si>
    <t>Teresa</t>
  </si>
  <si>
    <t>Lind</t>
  </si>
  <si>
    <t>tlind@sdsu.edu</t>
  </si>
  <si>
    <t>Ilse</t>
  </si>
  <si>
    <t>Fleischer</t>
  </si>
  <si>
    <t>ifleischer8986@sdsu.edu</t>
  </si>
  <si>
    <t>The Effects of Choline Supplementation and Exercise on Fetal Alcohol Spectrum Disorders</t>
  </si>
  <si>
    <t>Exposure to alcohol during the prenatal period can have enduring effects on physical, neuropathological, and behavioral development, effects which are referred to as Fetal Alcohol Spectrum Disorders (FASD). In the United States, the prevalence of FASD is estimated to be between 2-5%. Despite this, treatment for individuals with FASD remains limited. One treatment that might mitigate the effects of prenatal alcohol exposure on development is exercise, as exercise increases neuroplasticity. Additionally, choline, an essential nutrient, may potentiate the effects of exercise by modifying cholinergic systems to enhance plasticity and accentuate the effectiveness of additional treatments such as exercise. The current study used an animal model of alcohol exposure during the third-trimester equivalent brain growth spurt to determine if exercise, choline, or the combination could reduce alcohol-related hyperactivity and anxiety. Sprague-Dawley rats (n=160) were exposed to ethanol mixed in a milk diet (5.25 g/kg/day) from postnatal day (PD) 4-9 via intragastric intubation; controls received sham intubations. From PD 10-30, subjects received choline chloride (100 mg/kg/day) or vehicle via subcutaneous injections. Then subjects were placed in cages attached to running wheels in activated or locked positions from PD 22-33. Following interventions, from PD 35-39, subjects were examined using an open-field activity chamber. Preliminary findings suggest that subjects developmentally exposed to alcohol exhibit increased locomotor activity, an effect that was mitigated by the exercise treatment. Similarly, subjects with developmental alcohol exposure entered the center of the chamber more frequently, and this was also mitigated with exercise, although the amount of time spent in the center did not differ significantly among groups. Increased center entries may suggest that alcohol exposure during the third-semester equivalent increases risk-taking behaviors, although it may also be related to general hyperactivity. Importantly, exercise treatment alleviated these effects, particularly among females, although sex differences failed to reach statistical significance. Preliminary data suggest choline may also have some effects, but surprisingly, the combination did not produce more beneficial improvements. Results suggest that exercise may reduce hyperactivity and emotional dysregulation in individuals with FASD, potentially improving quality of life. Supported by R37 AA012446 and T32 AA013525.</t>
  </si>
  <si>
    <t>thomas3@sdsu.edu</t>
  </si>
  <si>
    <t>Corregidor Luna</t>
  </si>
  <si>
    <t>Eva Maria</t>
  </si>
  <si>
    <t>ecorregidorlun1618@sdsu.edu</t>
  </si>
  <si>
    <t>Masters in Spanish</t>
  </si>
  <si>
    <t>The Spanish Lexicon and New English Lexical Loans.</t>
  </si>
  <si>
    <t>Code switching is a complex linguistic phenomenon, but, at the same time, it happens to be really useful to confirm the effectiveness and complex composition of the bilingual mental lexicon. In the case of Spanish and English, spanglish was born within bilingual communities, being highly reduced in non-border areas. Speakers are generally unaware of this linguistic phenomenon, although their decisions affect the whole community. Spanglish users subconsciously choose to use or not this new language variation, which can be given at any lexical, intersentential or intrasentential level. People tend to have predisposed linguistic attitudes towards code switching and are usually difficult to identify. The present research studies lexical loans from English to Spanish that are being used in a border region, Baja California, Mexico, and in a non-border region, Madrid, Spain. The work introduces a theoretical framework about linguistic attitudes, code switching, the matched-guise technique and previous studies that are relevant. The matched-guise technique of Lambert (1960) has been put to test to analyze the use of code switching in both contexts, including its relation with the age and gender of the speaker. The study will include 60 participants from diverse backgrounds, divided by age, gender, level of education, number of years studying English and place of birth and residence. By following this methodology, this article increases the number of studies about code switching and linguistic attitudes, since it has been acknowledged that the field is still in need of research.</t>
  </si>
  <si>
    <t>Vanessa Castro</t>
  </si>
  <si>
    <t>Raya</t>
  </si>
  <si>
    <t>Esplin</t>
  </si>
  <si>
    <t>resplin5072@sdsu.edu</t>
  </si>
  <si>
    <t>A Speciel New Software to Fill in Deficiencies in Trout Identification</t>
  </si>
  <si>
    <t xml:space="preserve">Identifying unique trout species presents significant challenges due to morphological similarities and genetic complexity. This issue is critical as inaccuracies in habitat relocations can result in detrimental consequences, including the displacement, competition, and hybridization of relocated trout with native species, leading to diminished numbers and fitness of the latter. To mitigate the potential harm to at-risk species, accurate trout identification is paramount. Traditional methods relying on phenotypic variation for stock identification have proven insufficient in addressing this challenge. In response, we introduce Speciel, a user-friendly bioinformatics tool designed to revolutionize species identification. Leveraging next-generation sequencing (NGS) data, Speciel maps and identifies species-defining SNPs, transcending the limitations of current methodologies. Through Speciel, our analysis of initial reads from diverse trout species revealed 499,238 potential probes across seven species. These probes offer insights into the specific genomic regions where each subspecies diverges. The logical next step involves validating these probe locations through the utilization of a SNP chip. Researchers and scientists can now confidently turn to Speciel for precise trout species differentiation, thereby contributing significant advancements to ichthyology research. Beyond its immediate application, Speciel has the potential to enhance the development of projects requiring species-defining SNP-Chips. Importantly, Speciel's versatility extends beyond trout, making it applicable to any group of species exhibiting similarities. This tool not only addresses the pressing need for more accurate identification methods but also paves the way for expanded knowledge within the field.
</t>
  </si>
  <si>
    <t>Chao</t>
  </si>
  <si>
    <t>gchao2968@sdsu.edu</t>
  </si>
  <si>
    <t>PhD Cell and Molecular Biology</t>
  </si>
  <si>
    <t>Intracellular Consequences of IDH1 Mutations in U87MG Cells</t>
  </si>
  <si>
    <t>Isocitrate dehydrogenase 1 (IDH1) catalyzes the NADP+-dependent conversion of isocitrate to α-ketoglutarate (α-KG) in the cytosol and peroxisomes. Mutations in IDH1 drive a variety of cancers, most notably gliomas and glioblastoma, and lead to production of D-2-hydroxyglutarate, an oncometabolite, and also prevent its normal activity, leading to decreased α-KG and NADPH. Catalysis of isocitrate by wild type IDH1 yields the primary source of NADPH in peroxisomes, which are intracellular organelles found in virtually all eukaryotic cells. Peroxisomes are a crucial organelle involved in lipid processing reactions that require NADPH, including β-oxidation of very long chain fatty acids, α-oxidation of phytanic acid, degradation of H2O2, and biosynthesis of ether lipids. Because lipid biosynthesis is dependent on IDH1-derived NADPH, we hypothesize that cells expressing mutant IDH1 have dysregulated lipid levels due to NADPH deficiency. Traditional-omic studies focused on the whole-cell level do not give subcellular or organelle fluctuations. To study the impact of IDH1 mutations within cells, our lab has generated stable cell lines expressing wild type IDH1, R132Q, and R132H IDH1 mutants in U87MG glioma cells. Using transmission electron microscopy to visualize organelle morphology, we demonstrate that R132Q IDH1 mutant cells have disrupted organelle physiology compared to cells with wild type IDH1 activity. Both R132H and R132Q mutations exhibit retained lipid droplets and membrane abnormalities. Additionally, we demonstrate significant oxidative lipid degradation in R132H and R132Q in a lipid peroxidation study. Both these studies help us characterize the intracellular consequences affected by mutant IDH1-driven tumors, highlighting new therapeutically targetable pathways.</t>
  </si>
  <si>
    <t>Keene</t>
  </si>
  <si>
    <t>mkeene5367@sdsu.edu</t>
  </si>
  <si>
    <t>Cell and Molecular Biology Joint Doctoral Program (CMB JDP)</t>
  </si>
  <si>
    <t>Unveiling the Role of ID1-4 proteins in Cancer Stem-like Cell Maintenance and Contribution to Ovarian Cancer Recurrence Following Chemotherapy</t>
  </si>
  <si>
    <t xml:space="preserve">Although most patients respond initially to chemotherapy, ovarian cancer (OC) remains the most lethal gynecological cancer, primarily because over 80% of advanced cases relapse within 24 months. Current research suggests that cancer recurrence can be attributed to a small subpopulation of cancer stem-like cells (CSCs) that possess the ability to resist chemotherapy, self-renew, and asymmetrically divide to drive tumor recurrence. ID1-4 proteins, also known as inhibitors of differentiation or inhibitors of DNA binding proteins, regulate cell fate and differentiation in normal stem and progenitor cells. In gliomas, ID1-4 proteins have been identified as master transcriptional regulators of CSC identity, signaling to downstream pathways important for self-renewal, tumor initiation, and survival, but their role in OC CSCs and recurrence is unclear. We have previously found that ID1-3 gene expression increases following chemotherapy treatment in OC clinical samples and cell lines, and the elevated gene expression of ID1 and ID3 is associated with worse clinical outcomes. In subcutaneous xenograft mouse models, we have found that ID2 and ID4 protein expression significantly increases acutely following carboplatin treatment as compared to vehicle groups, but this effect is lost over time. We hypothesize that ID proteins are a required for OC CSC survival, self-renewal, and tumor recurrence following chemotherapy. Using a pan-ID inhibitor, AGX51, we have significantly knocked down ID1-4 expression in chemotherapy-naïve (OVCAR5, OV90) and chemotherapy-resistant (OVCAR4, OVCAR8) OC cell lines. Preliminary data suggest pan-ID inhibition in OC cell lines reduces chemotherapy resistance, and reduces chemotherapy-dependent increases in CSC surface marker expression by flow cytometry, stemness and EMT genes by qRT-PCR, and downstream targets, including IL-6, MMP2, and DLL3. Future studies will use siRNA silencing to further investigate the role of specific ID proteins in chemotherapy resistance, asymmetric division, spheroid formation, CSC maintenance by gene expression and flow cytometry, and signaling to downstream targets. These studies highlight a novel target important in CSC maintenance in response to chemotherapy that contributes to tumor progression and relapse. Understanding these mechanisms will allow us to develop novel therapeutic approaches to overcome chemotherapy-induced relapse and better clinical outcomes. </t>
  </si>
  <si>
    <t>Priyanshi</t>
  </si>
  <si>
    <t>Shah</t>
  </si>
  <si>
    <t>pshah4374@sdsu.edu</t>
  </si>
  <si>
    <t>Masters of Science in Bioinformatics and Medical Informatics</t>
  </si>
  <si>
    <t>"A Machine Learning Approach to Predicting Tumor Status through Telomere Length Variation (TLV) Analysis"</t>
  </si>
  <si>
    <t>Telomeres, the protective caps at the ends of chromosomes, consist of a repetitive nucleotide sequence (TTAGGG) in humans and play a vital role in cellular aging and disease. With each cell division, telomeres shorten due to the end replication problem. Telomere shortening is associated with age-related diseases and early mortality and has implications for cancer biology, particularly in the context of cellular senescence and tumor progression. Our research, using data from The Cancer Genome Atlas (TCGA), aims to achieve three primary objectives: 1. Quantify telomere length variation (TLV) across different cancer types and tissues. 2. Identify genetic variants associated with telomere length variation, spanning both cancer and non-cancer genomes. 3. Utilize estimated telomere lengths from the whole-genome sequencing (WGS) data and phenotypic data available on TCGA to train a supervised machine learning model that predicts tumor status (cancer versus non-cancer).</t>
  </si>
  <si>
    <t>Bushnell</t>
  </si>
  <si>
    <t>ebushnell6311@sdsu.edu</t>
  </si>
  <si>
    <t>Masters of Science in Geography (GIS &amp; remote sensing pathway)</t>
  </si>
  <si>
    <t>Shrinking Coastlines: Use of Uncrewed Aerial Systems to Map and Monitor Rocky Intertidal Habitats</t>
  </si>
  <si>
    <t xml:space="preserve">Climate change influences rocky intertidal environments from regional to global scales, with predictions of dramatic habitat loss resulting from sea level rise (SLR). The temporal and spatial limitations of traditional laboratory and field-based research methods may soon render them insufficient for studying SLR effects on rocky intertidal zones. Uncrewed Aerial Systems (UAS), LiDAR, small camera sensors, and Structure from Motion (SfM) photogrammetry offer new options that allow ecologists and geographers to study this ecosystem type from a novel perspective and scale. However, work remains in identifying and matching information needs with available remote sensing technologies and tools, as well as conducting head-to-head comparisons of different methods to determine the best approach to mapping and monitoring rocky intertidal habitats. This work aims to fill some of these gaps by acquiring and comparing ultra-high spatial resolution UAS LiDAR and SfM datasets of the rocky intertidal environment.
In this study, a team of researchers and I collected UAS LiDAR and SfM photogrammetry datasets at three rocky intertidal sites in Laguna Beach, California. These sites are Heisler Park, Shaw’s Cove, and Treasure Island, all of which are biological monitoring sites periodically monitored by the Multi-Agency Rocky Intertidal Network (MARINe). These sites have been chosen due to interest from the Laguna Ocean Foundation as well as proximity to each other, availability of MARINe reference data, and a lack of drone restrictions. MARINe has been conducting biodiversity surveys at over 200 sites along the Pacific coast for over 3 decades, however most sites are only surveyed every few years, so it is of interest to examine how UAS remote sensing can complement these efforts.
With support, I have successfully produced data products including orthoimages, point clouds, and DSMs. I have shown at Heisler Park that orthoimages, DSMs, and point clouds generally agree within 10 centimeters. Preliminary results indicate that SfM produces higher resolution DSMs and denser point clouds, but the LiDAR data was instrumental in providing control points to increase geometric accuracy of SfM products.  I am currently working on generating 3D intertidal zonation maps.
</t>
  </si>
  <si>
    <t>Doug</t>
  </si>
  <si>
    <t xml:space="preserve">Nathen </t>
  </si>
  <si>
    <t>Walton</t>
  </si>
  <si>
    <t>nwalton1620@sdsu.edu</t>
  </si>
  <si>
    <t>Masters of evolutionary biology</t>
  </si>
  <si>
    <t>Impact of Repeated Heat Stress on Boechera depauperata</t>
  </si>
  <si>
    <t xml:space="preserve">Plants are sessile organisms that must withstand their changing environment to survive, including harsh conditions such as drought, salinity, and high temperatures. Due to climate change, heat waves have become more severe in terms of duration and intensity. Thus, the effects of rising temperatures on native plants' critical life stages have become a growing concern. Much is known about how model plants respond to a single heat stress but the effects of repeated heat stress on plants as on have yet to be vastly studied. This study aimed to examine the impact of repeated heat stress on Boechera depauperata. Seedlings 28 days old, before flowering, and 60 days old, flowering adults, were exposed to acquired heat stress at 44°C for 3 hours. One heat stress group underwent repeated heat stress, with heat treatments before and at flowering. Two additional heat stress groups underwent single heat stress, with one undergoing a heat treatment only before flowering and the other only at flowering. Chlorophyll fluorescence data was collected immediately after the plants experienced heat stress and after a 5-day recovery period. Ion leakage data was also collected after the 5-day recovery. Analysis of ion leakage determined that plants experience more heat-related damage when exposed to a single heat stress than when exposed to repeated heat stress. This demonstrates that Boechera depauperata retained some residual tolerance that protects it during its repeated heat stress. With the ability to acquire a higher thermal tolerance after an initial heat stress, Boechera depauperata exemplifies how certain plant species have a mechanism to improve their chances of survival in the wake of climate change. This makes them ideal candidates for further studies of how repeated heat stress impacts reproductive success. </t>
  </si>
  <si>
    <t xml:space="preserve">Elizabeth </t>
  </si>
  <si>
    <t xml:space="preserve">Waters </t>
  </si>
  <si>
    <t>ewaters@sdsu.edu</t>
  </si>
  <si>
    <t>Omar Shawn</t>
  </si>
  <si>
    <t>oshahwan5584@sdsu.edu</t>
  </si>
  <si>
    <t>Master of Science in Molecular Biology</t>
  </si>
  <si>
    <t>Characterizing Extracellular Vesicles Released by Differentiated Extravillous Trophoblasts</t>
  </si>
  <si>
    <t>Trophoblast are specialized epithelial cells of the placenta, and in human there are three subtypes: undifferentiated cytotrophoblast (CTB), and fully differentiated syncytiotrophoblast (STB) or extravillous trophoblast (EVT). Early in placentation, EVT migrate into the maternal endometrium where they anchor the developing placenta to the uterine wall and remodel maternal blood vessels to establish blood flow. Extracellular vesicles (EVs) are small, lipid membrane encapsulated structures that carry various biomolecules from the cells that release them. EVs exert their biological functions by delivering proteins, bioactive lipids, and nucleic acids to recipient cells. Therefore EVT-derived EVs may have important roles in feto-maternal signaling. Moreover, there is growing evidence that the cargo of EVs can reflect the functional state of the source cells, leading to interest in EVs as potential sources of disease biomarkers and as therapeutic vehicles. Techniques for tracing EVs and their cargo from cells of origin, through biofluids, and into destination cells are critically needed to decipher mechanisms of EV signaling. EV membranes are highly enriched in tetraspanins, a family of proteins with four transmembrane domains that are often used for EV capture and classification. The Laurent laboratory has optimized methods for multiplex vesicle flow cytometry (vFC) of EVs released by placental explants using antibodies against the tetraspanins CD9, CD63, and CD81. However, placental explants are comprised of several cell types, and thus release a mixed population of EVs. In this study, we aim to characterize the tetraspanins expressed on EVs released specifically by EVT. 
The objective of this project is to generate a homogeneous population of extravillous trophoblasts (EVT) through the differentiation of in vitro trophoblast stem cells (TSC). Confirmation of successful EVT differentiation will be determined by flow cytometry, utilizing specific markers such as EGFR, HLAG, and ITGA1. Once confirmed, the focus will shift towards the isolation and purification of extracellular vesicles (EVs) from the EVT cell culture supernatant, utilizing 100 kDa molecular weight cut-off Amicon filters and Izon columns. The concentrated cell culture supernatant will be analyzed using vesicle flow cytometry (vFC), employing fluorescently labeled tetraspanin antibodies for characterization. In the upcoming phase, TSC differentiation into EVT will be performed followed by vFC analysis of the cell culture supernatant and a thorough examination of the cargo within the EVs.</t>
  </si>
  <si>
    <t>Luiza</t>
  </si>
  <si>
    <t xml:space="preserve">Perucci </t>
  </si>
  <si>
    <t>lperucci@health.ucsd.edu</t>
  </si>
  <si>
    <t>Brenna</t>
  </si>
  <si>
    <t>Fowler</t>
  </si>
  <si>
    <t>bfowler3499@sdsu.edu</t>
  </si>
  <si>
    <t>Master in Geography</t>
  </si>
  <si>
    <t>Utilizing ultra-high spatial resolution drone imagery and satellite spectral vegetation indices (SVI) to study Payments for Ecosystem Services (PES) Zones in Chitwan, Nepal</t>
  </si>
  <si>
    <t>We employ remote sensing data and image processing tools to develop a novel approach in understanding ecological composition and the relationship between ecosystem services, conservation management programs, and wildlife interactions in Chitwan Valley, Nepal. Across the globe and in Chitwan, Payments for Ecosystem Services (PES) programs improve natural resource management by incentivizing local communities to regulate, provision, and bolster ecological services. The four PES zones in Chitwan differ in terms of access, animal occupancy, and resource extraction, spanning 1700 km2. The key question is whether the implementation and management through PES programs or differences in biophysical landscape properties and distributions within the zones influence wild animal habitat, occupancy, and behavior. We compare 13 subsets of image-derived vegetation structure metrics based on uncrewed aerial system (UAS) and spectral vegetation indices (SVI) derived from Sentinel-2 satellite imagery. Fine spatial resolution (3 cm) and highly overlapping UAS imagery were collected during a field mission in winter 2022-2023. Using Structure from Motion (SfM) photogrammetry, we generated high-density 3D point clouds and digital surface models (DSM) to estimate three vegetation metrics: canopy height, canopy cover, and gap cover. We ran regression analyses to quantify the spatial correspondence of UAS-derived structure metrics with satellite-derived SVIs. Linear regression models show a strong relationship but with different spectral indices regressed against canopy height compared to canopy cover. Research findings are indirectly informative for assessing the influence of vegetation structure on animal habitat and occupancy relative to policy and natural resource management effects in PES zones of Chitwan Valley.</t>
  </si>
  <si>
    <t>Rodney</t>
  </si>
  <si>
    <t>Leary</t>
  </si>
  <si>
    <t>rleary6052@sdsu.edu</t>
  </si>
  <si>
    <t>Joint Doctoral Program Engineering Science (Mechanical and Aerospace)</t>
  </si>
  <si>
    <t>A ‘Trap-and-Zap’ Technology for Cost-Effective Removal and Destruction of Aqueous Phase Per- and Polyfluoroalkyl Substances (PFAS) at DoD Sites</t>
  </si>
  <si>
    <t>Per- and polyfluoroalkyl substances (PFAS) have been detected in groundwater, surface waters, and operation- or investigation-derived wastewater at hundreds of DoD sites. In particular, the use of PFAS laden aqueous film-forming foams (AFFFs) have been a major environmental liability for the DoD as they account for 75% of the use of AFFFs in the United States. As the pertinent environmental regulations are rapidly evolving, there is an urgent need for “more cost-effective and efficient technologies” to treat PFAS at DoD sites. As such, groundwater from a local DoD site will be used to represent the population of PFAS-contaminated groundwater found at DoD sites across the United States. While perfluorooctane sulfonate (PFOS) will be used as a probe compound in the material screening tests, 10 other DoD-relevant priority PFAS will also be targeted in assessing the overall material performances and optimization. Special attention will be placed to mitigating water matrix effects and treatment of complex mixtures of PFAS under DoD site conditions.</t>
  </si>
  <si>
    <t xml:space="preserve">Dongye </t>
  </si>
  <si>
    <t>dzhao2@sdsu.edu</t>
  </si>
  <si>
    <t>Tanay</t>
  </si>
  <si>
    <t>atanay8750@sdsu.edu</t>
  </si>
  <si>
    <t>Homeland Security</t>
  </si>
  <si>
    <t>Cyber Vulnerabilities San Diego</t>
  </si>
  <si>
    <t>Probing questions of policies in place for cyber safety practices along with the application of software to detect possible attacks. Although having both is great not everyone can afford licenses or software to protect themselves leaving education being the forefront defense and bastion. A basic anonymous survey would be given to test the knowledge prior to the interaction of the company or institution. Just as the entry to attacking is not too sophisticated the effort to learn in order to be cyber safe will  Education can serve as a low-cost wide filter to block extreme malware or intrusions by the simplest procedure.</t>
  </si>
  <si>
    <t>Darren</t>
  </si>
  <si>
    <t>Famisan</t>
  </si>
  <si>
    <t>Jia</t>
  </si>
  <si>
    <t>Sebastian</t>
  </si>
  <si>
    <t>Veron</t>
  </si>
  <si>
    <t>Harkins</t>
  </si>
  <si>
    <t>rharkins@sdsu.edu</t>
  </si>
  <si>
    <t>Elizondo</t>
  </si>
  <si>
    <t>delizondo9283@sdsu.edu</t>
  </si>
  <si>
    <t>Master of Business Administration</t>
  </si>
  <si>
    <t>Inspiring Mindful Consumption with Compassionate AI</t>
  </si>
  <si>
    <t>In an age dominated by consumerism, the concept of mindful consumption offers a pathway to align consumer behavior with ethical and constructive values. This thesis explores how Compassionate Artificial Intelligence (CAI) systems could potentially catalyze such alignment. For the purposes of this thesis, CAI describes theoretical frameworks rather than preexisting systems. Leveraging AI’s data analytics and predictive modeling capabilities, CAI adds layers of emotional intelligence to foster more supportive and resonant interactions with users. The research focuses on CAI’s potential to nudge consumers toward mindful lifestyles through real-time, context-sensitive prompts about the social, environmental, and intrapersonal implications of their actions. The study explores how we may utilize these frameworks to facilitate holistic well-being, presenting CAI as a revolutionary concept capable of fostering more thoughtful and humane consumption behaviors. Thus, this thesis serves as an investigation into how technology may be ethically and responsibly engineered to skillfully guide consumer behavior in service of humanity, and all life on Earth.</t>
  </si>
  <si>
    <t>Heather</t>
  </si>
  <si>
    <t>Honea</t>
  </si>
  <si>
    <t>hhonea@sdsu.edu</t>
  </si>
  <si>
    <t>Sean</t>
  </si>
  <si>
    <t>Eckstein</t>
  </si>
  <si>
    <t>seckstein1798@sdsu.edu</t>
  </si>
  <si>
    <t>Thermomechanical Properties of Polyurea Elastomeric Foam</t>
  </si>
  <si>
    <t xml:space="preserve">Elastomeric stochastic solids are emerging as suitable impact mitigation applications based on their superior mechanical behavior as a function of various operating, environmental, and loading conditions. Polyurea foams have shown exceptional potential as helmet liners, protective body pads, and shoe insole materials. Furthermore, polyurea foams inherit their bulk counterpart's superior environmental and mechanical behaviors. This research aims to extensively investigate the thermal and mechanical behavior of polyurea foams, assessing their response to moisture with different pH levels, temperatures, and mechanical loading. The heat flow rate of fabricated polyurea foam plugs was measured using differential scanning calorimetry (DSC) at a temperature ranging from -120 ˚C to 400 ˚C. The DSC thermograms were analyzed to extract the glass transition temperature, crystallization temperature, apparent melting/softening temperature, and enthalpy and latent heat. Second, foam plugs were submerged in deionized and saline water before pyrolyzing using a thermogravimetric analyzer (TGA) from room temperature up to 700 ˚C. The TGA thermograms elucidate the hygrothermal and decomposition behavior of polyurea foams as a function of the submersion solution. Finally, the time-dependent mechanical response of polyurea foams was quantified using a dynamic mechanical analyzer (DMA) at 1Hz and temperatures ranging from -100˚C to 100˚C, covering a broad range of loading conditions. The DMA results related the viscoelastic properties to the stochastic microstructure of the foam. The outcomes of these investigations extend the applicability of elastomeric polyurea foams to a broad range of civilian and military applications while substantiating the process-structure-property interrelationship of stochastic elastomeric foams.
</t>
  </si>
  <si>
    <t>Grant</t>
  </si>
  <si>
    <t>agrant9156@sdsu.edu</t>
  </si>
  <si>
    <t>Masters in Civil Engineering</t>
  </si>
  <si>
    <t xml:space="preserve">In the Tijuana River Estuary, how do rates of fecal indicator bacteria reduction from the border to the estuary compare to the degradation rates of other wastewater surrogates? </t>
  </si>
  <si>
    <t xml:space="preserve">The continual discharge of wastewater, sewage, and chemical pollution to the Tijuana River Estuary (TJRE) in San Diego, CA has resulted as a consequence of Tijuana’s inundated and aging wastewater infrastructure and the International Boundary and Water Commission Wastewater Treatment Plant’s (IBWC) inability to process the incoming wastewater.
Bacteria and viruses found in sewage are of specific pathogenic concern to human health; a previous study used caffeine concentrations to demonstrate that human waste is in fact the primary source of FIB in the estuary (Mladenov et al., 20xx). Another recent study confirmed that FIBs from contaminated ocean water are being aerosolized in seaspray and returning to land in Imperial Beach (Pendergraft et al., 2023).
San Diego State University’s Wastewater Innovation and Reuse Lab (WIRLab) and the Biggs Watershed Science Lab have been monitoring water quality at an upstream and downstream site in the TJRE since 2021. FIB concentrations detected greatly exceed regulations set by the Environmental Protection Agency (EPA).
This study analyzes the rate of FIB reduction by comparing measured concentrations of two FIBs, E. coli and enterococci, at both monitoring locations during three conditions: 1) dry weather without cross-border flow, 2) dry weather with cross-border flow, and 3) wet weather with cross-border flow. Additionally, the study compares the aforementioned FIB reduction rates to the degradation of other wastewater surrogates including optical fluorescence indices, UV-vis absorbance, dissolved organic carbon (DOC), total dissolved nitrogen (TDN), and caffeine.
IDEXX kits with Cololert and Enterolert reagents were used to determine E. coli and Enterococci concentrations in the samples. The Horiba Scientific Benchtop Aqualog Fluorometer was used to measure fluorescence indices and UV-vis absorbance. The Shimadzu TOC-L CSH/CPN Analyzer was used to measure DOC and TDN.
Regulators and health experts can use these bacteria removal rates to determine FIB concentrations that will be discharged into the ocean under various weather conditions, incoming flow rates, and incoming FIB concentrations. Comparing FIB removal rates to those of the other surrogates will inform how reliable those surrogates may or may not be in determining FIB removal. </t>
  </si>
  <si>
    <t>Elene</t>
  </si>
  <si>
    <t>Albekioni</t>
  </si>
  <si>
    <t>ealbekioni2@sdsu.edu</t>
  </si>
  <si>
    <t>Doctor of Philosophy in Chemistry</t>
  </si>
  <si>
    <t>Kinetic and Structural Characterization of Human Isocitrate Dehydrogenase 1</t>
  </si>
  <si>
    <t>Isocitrate dehydrogenase 1 (IDH1) is a catalytic enzyme that supports cellular metabolite and redox environment balance. Catalytically competent IDH1 WT dimers convert isocitrate (ICT) to α-ketoglutarate (α-KG) in a metal ion and NADP+-dependent oxidative decarboxylation. This process yields NADPH, a critical metabolite providing reducing power in cells. Mutations in IDH1 were observed in multiple tumor types, including the most aggressive brain tumor glioblastoma. Cancer-associated mutations in IDH1 gain a new function to catalyze neomorphic enzymatic reaction – conversion of α-KG to an oncometabolite D-2-hydroxyglutarate (D2HG). The majority of these mutations occur at the active site residue 132, which is involved in coordinating ICT. However, neither specific conformational changes nor precise mechanism driving the normal and neomorphic catalytic processes are understood. Here, we use hydrogen/deuterium exchange mass spectrometry (HDX-MS) to visualize structural dynamics and solvent accessibility in IDH1 dimers. Though HDX-MS is limited to peptide resolution, it reports on how the local environment changes in certain regions of the enzyme upon treatment with substrate(s). We hypothesized that local changes in ICT coordination and metal binding, and global changes from the inactive to active conformation depend on which substrate, and perhaps even which order the substrate is added. With this work, we demonstrated that drastic changes in deuteron uptake were observed around the regulatory domain in IDH1 WT. Moreover, neither Ca2+ nor ICT alone caused these changes, only upon metal and substrate binding together was the catalytically competent, fully closed structure achieved. HDX-MS experiments with mutant enzymes showed different patterns from IDH1 WT; for example, active site peptides in IDH1 R132Q were less exposed to deuterated solvent. Then we extended our interest in observing heterodimerization between mutant and WT monomers of IDH1 and its effect on catalytic efficiency in normal and neomorphic reactions. For kinetic measurements, we used spectroscopic tools and characterized both the homodimer and heterodimer forms of IDH1 R132Q, R132H and R132L. Understanding how kinetic rates compare in the IDH1 homodimer and heterodimer complexes and the role of structural dynamics in catalysis as monitored using HDX-MS allow us to better understand the molecular mechanisms of IDH1 catalysis in health and disease.</t>
  </si>
  <si>
    <t>Nhu</t>
  </si>
  <si>
    <t>Dang</t>
  </si>
  <si>
    <t>ndang9166@sdsu.edu</t>
  </si>
  <si>
    <t>Nickle-doped Perovskite Nanocrystals for Selective Allylation of Indoles</t>
  </si>
  <si>
    <t>Metal halide perovskite (MHP) nanocrystals are not only an excellent material for solar cells but also an influential photocatalyst for complex organic synthesis. Interestingly, several research studies have been conducted on the effect of transition metal doping in MHPs for optoelectronic applications. However, the impact of such photocatalysts on organic reactions has not yet been extensively studied. In this study, we have doped CsPbBr3, an all-inorganic MHP, with Nickle (Ni) to provide a longer charge carrier lifetime and a lower recombination rate, thus improving the carrier transport efficiency and photocatalytic activity. The photocatalyst has then been tested to determine the reaction performance toward the selective allylation of indoles, an essential C–C cross-coupling reaction in drug development. Selective functionalization of indoles has always been a thriving area of research because of multiple possible substitution patterns in indole synthesis. This approach provides an economical, effective, and simple method for the allylation of indoles directly from olefins without the need for high-cost metals and complex preparations and has been able to initiate previously unsuccessful reactions.</t>
  </si>
  <si>
    <t>Jovan</t>
  </si>
  <si>
    <t>San Martin</t>
  </si>
  <si>
    <t>Kevin</t>
  </si>
  <si>
    <t>Rubalcaba</t>
  </si>
  <si>
    <t xml:space="preserve">Yong </t>
  </si>
  <si>
    <t>Yan</t>
  </si>
  <si>
    <t>yong.yan@sdsu.edu</t>
  </si>
  <si>
    <t>Ani</t>
  </si>
  <si>
    <t>Chakhrakia</t>
  </si>
  <si>
    <t>achakhrakia2@sdsu.edu</t>
  </si>
  <si>
    <t>Chemistry/Joint Doctoral Program</t>
  </si>
  <si>
    <t>Phase Separation of Galectin-3 on the Lipid Membranes</t>
  </si>
  <si>
    <t>GAL-3 (Galectin-3) is the sole chimera-type member of Galectins, a family of carbohydrate-binding proteins and regulates various processes in both extra- and intracellular environments. Previous studies have reported that Galectin-3 undergoes LLPS (liquid-liquid phase separation) through its intrinsically disordered non-lectin NTD (N-terminal proline/glycine-rich domain) and can potentially be interacting with signaling proteins on the PM (plasma membrane). The solution-based studies showed that LLPS of GAL-3 is observed only in the presence of glycosylated proteins or LPS (lipopolysaccharides) that are present extracellularly. The field is mainly focused on studying functions of GAL-3 in the outer cell environments and thus, very little has been done to learn the intracellular functions of GAL-3 as well as to characterize the protein on the inner PM. Here we study the GAL-3 on the SLBs  (supported lipid bilayers) and observe the LLPS behavior of the protein in the absence of multivalent interactions with glycoproteins or LPS. We have successfully purified and labeled GAL-3 with Cy3 dye via sortase ligation reaction and visualized through TIRFM (total internal reflection fluorescence microscopy). We found that membrane localization of the protein promotes cluster formation in the absence of multivalent ligands, which are required for clustering on the outer cell membranes. In our study the clustering was observed at as low as 5 nM concentration on DGS-NTA (Ni) (1-palmitoyl-2-oleoyl-glycero-3-phosphocholine (POPC) and 1,2-dioleoyl-sn-glycero-3-[(N-(5-amino-1-carboxypentyl) iminodiacetic acid) succinyl] (nickel salt)) containing SLBs. A growing body of evidence suggests that LLPS plays a crucial role in regulating spatial arrangement of signaling proteins and resulting in modulation of downstream signaling. GAL-3, undergoing LLPS through its intrinsically disordered NTD, can be a potential binding partner of RAS (Rat Sarcoma), facilitating its nanoclustering and other signaling proteins such as RAF (rapidly accelerated fibrosarcoma) on the inner plasma membrane. This research will provide valuable insights into the localization of GAL-3 on the two-dimensional surfaces to study the formation of clusters and analyze how molecular assemblies formed through LLPS can modulate and regulate signaling, identifying the activation mechanism of RAS/RAF kinase pathway.</t>
  </si>
  <si>
    <t>Youngkwang</t>
  </si>
  <si>
    <t>Julian</t>
  </si>
  <si>
    <t>jgrim9545@sdsu.edu</t>
  </si>
  <si>
    <t>Doctorate/Chemistry and Biochemistry</t>
  </si>
  <si>
    <t>BRAF binding specificity to KRAS4B on a lipid bilayer is controlled by specific regulatory domain interactions</t>
  </si>
  <si>
    <t xml:space="preserve">Raf kinase is a key protein within the Mitogen Activated Protein Kinase (MAPK) pathway, transferring extracellular signals down to the nucleus through a chain of protein-protein interactions. Within this pathway, Raf is recruited to the inner leaflet of the cell membrane and relieved of autoinhibition by active Ras GTPase. Ras and Raf both have multiple isoforms that include key differences in structure, and the isoform BRaf has been shown to be highly specific in binding to KRas. Being important effectors of a cell’s life cycle, Ras and Raf are both incredibly prevalent sources of cancer-causing cell signal dysregulation when mutated, and BRaf and KRas are both the most common for oncogenic mutations among their isoforms. To study the mechanisms underlying the specificity of BRaf and KRas, we expressed and purified the N-terminal BRAF-Specific Region (BSR) alone and with the conserved regulatory domains Ras-Binding Domain (bRBD for the BRaf isoform) and Cysteine-Rich Domain (CRD). In our fluorescence imaging of the m-Neon Green tagged constructs, bRBD alone efficiently recruited to a KRas-functionalized artificial supported lipid bilayer, but BSR-bRBD had around 80% lower binding affinity and the BSR alone showed no net recruitment. These results indicate that the BSR, despite being necessary for interaction with KRas, attenuates Ras-Raf interactions at the membrane and does not bind by itself to KRas. We hope to use these results in our further investigations of the uninhibition of full-length BRaf, a developing topic where the BRaf Specific Region may play a related role in initial recruitment.
</t>
  </si>
  <si>
    <t>Tierney</t>
  </si>
  <si>
    <t>tkim8398@sdsu.edu</t>
  </si>
  <si>
    <t>Masters of Science in Civil Engineering [Environmental Engineering]</t>
  </si>
  <si>
    <t>Gotta Assess 'Em All: Evaluating the Ecological Health of Alvarado Creek With Multimetric Indices</t>
  </si>
  <si>
    <t>Urban landscapes are dynamic, which necessitates regular monitoring for sustainable water resources and environmental management. Evaluating the hydrological and biological conditions of urban creeks can provide insight about ecological disturbances and aquatic ecosystem health. Benthic macroinvertebrates (BMIs) are a metric to assess the health of creeks, where differences in survival reflect the polluted or unpolluted state of the water. Environmental assessments, such as the California Stream Condition Index (CSCI), Hilsenhoff Biotic Index (HBI), and Benthic Index of Biotic Integrity (B-IBI), heavily rely on the BMI metric to calculate their assessment scores. Other assessments such as the California Rapid Assessment Method (CRAM) only utilize the BMI metric within one of its four different wetland scoring attributes (landscape &amp; buffer, hydrology, physical structure, and biotic structure). These four environmental metrics range from poor to excellent conditions and will be evaluated in this study. We will utilize data from sampling events in 2016 and 2017 for Alvarado Creek, an urban tributary of the San Diego River, to calculate the four metrics and determine if a positive correlation exists between the indices. Seasonal and annual hydrologic and geomorphic  measurements are available for Alvarado Creek, such as grain size distribution, stream channel dimensions, and water quality. Grain size distribution and streamflow measurements at or near the time of the sampling events will be used when available. Continuous streamflow, water depth, and stream temperature are also available. The existence of correlations between index results and water quality data for sites within San Diego County will be determined to make assumptions about the physical and water quality conditions at Alvarado Creek during the sampling events in 2016 and 2017. Index data will be paired with water quality data, provided by the Surface Water Ambient Monitoring Program (SWAMP), and statistically analyzed. Additional material regarding the benefits of ecological assessments, their academic impact, and their opportunity for citizen science will also be discussed.</t>
  </si>
  <si>
    <t>Farah</t>
  </si>
  <si>
    <t>Damlaj</t>
  </si>
  <si>
    <t>Pernela</t>
  </si>
  <si>
    <t>apernela4384@sdsu.edu</t>
  </si>
  <si>
    <t>Synthesis of atropisomeric selective RET kinase inhibitor</t>
  </si>
  <si>
    <t xml:space="preserve">Atropisomerism is a natural phenomenon prevalent in drug discovery. It represents the hindered rotation around the bond of a molecule. Small drug molecules bind their targets in a specific atropisomeric set of conformations. The rotational flexibility of these compounds results in off-target binding and side effects in patients. Restricting the conformational space that is accessible for these scaffolds is a widely applicable strategy for enhancing target selectivity. The number of conformations around the atropisomeric axis can be restricted by introducing bulky substituents to hinder the rotation around the axis. The Gustafson group turned a promiscuous, rapidly interconverting pyrrolopyrimidine kinase inhibitor into an atropisomerically stable analog by adding bulky substituents at the ortho position. Restriction of the bond rotation resulted in a highly potent and selective RET kinase inhibitor, (R)-getretinib. The RET (REarranged during Transfection) gene, which encodes for a receptor tyrosine kinase, is an established oncogene associated with several cancers including neuroblastoma. Children at high risk with neuroblastoma tumors typically have only a 40% survival rate over five years with current medical treatments. The low survival rates connected to the current treatment demonstrate the need for innovative therapeutic strategies. The novel compound synthesized in our group demonstrated 8 nM activity towards RET kinase in cells which is 35 times more potent than the S atropisomer. R-getretinib displays good anti-proliferative activities in RET-driven models of thyroid, breast, and non-small cell lung cancers. Our ongoing research is centered on synthesizing (R)-getretinib at a larger scale and subjecting the compound to comprehensive studies in mouse models.
</t>
  </si>
  <si>
    <t>Vivian</t>
  </si>
  <si>
    <t>Ferrell</t>
  </si>
  <si>
    <t>Violet</t>
  </si>
  <si>
    <t>Mccaffrey-Pecher</t>
  </si>
  <si>
    <t>Vasili</t>
  </si>
  <si>
    <t>Revazishvili</t>
  </si>
  <si>
    <t>vrevazishvili5496@sdsu.edu</t>
  </si>
  <si>
    <t>Comparing membrane interactions of RAF isoforms</t>
  </si>
  <si>
    <t xml:space="preserve">Membrane-protein interactions are essential for the proper functioning of cells. Understanding these interactions provides crucial knowledge regarding the molecular mechanisms that govern essential cellular processes. Rapidly Accelerated Fibrosarcoma (RAF) protein kinases are important part of the RAF-MEK-ERK signaling pathway, which plays a huge role in transmitting extracellular signals to the cell nucleus. This study investigates the membrane interactions of RAF protein isoforms BRAF, and CRAF focusing on elucidating their unique binding preferences in the Anionic lipid environment, consisting of 1,2-dioleoyl-sn-glycero-3-phospho-L-serine (DOPS), and 1,2-dioleoyl-sn-glycero-3-phosphocholine (DOPC) lipids. The comparison between three distinct constructs Cysteine Rich domain (CRD), Ras Binding Domain (RBD), and RBD-CRD of two isoforms (BRAF and CRAF) were studied. To Expand on this regard, we employed a Total Internal Reflection Fluorescence Microscope (TIRFM) technique, which allowed precise visualization of events occurring at the lipid-protein interface. For mimicking cell membrane, while having a controlled environment we used A supported lipid bilayer (SLB), a model system, which serve as a valuable tool for investigating different biological processes, including membrane-protein interactions. We also utilized the Fluorescence Correlation Spectroscopy (FCS) technique to determine the density of Raf. Our approach involved measuring recruitment binding rates of all three distinct constructs for both isoforms on RAS-free supported lipid bilayers. For effective imaging applications we employed site-specific labeling of a small inorganic dye, mNeonGreen (mNG). This methodology enables us to selectively visualize proteins of interest. Our findings show isoform-specific affinities for specific lipid composition, with a notably higher affinity observed towards BRAF in comparison to CRAF. This Finding will help to unveil the nuanced molecular interactions governing their membrane localization. Furthermore, we have quantified these interactions by calculating dissociation constants (Kd values) for each construct of both isoforms. The acquired KD values provide quantitative insights into the binding strength and affinities between RAF isoforms and cellular membranes, offering a comprehensive view of their lipid-specific preferences. The understanding of these isoform-specific membrane interactions will provide essential knowledge regarding the intricate roles of RAF isoforms in cellular signaling and potential implications for therapeutic targeting.
</t>
  </si>
  <si>
    <t>Mergens</t>
  </si>
  <si>
    <t>mmergens1390@sdsu.edu</t>
  </si>
  <si>
    <t>Bachelor of Science in Health Communication</t>
  </si>
  <si>
    <t>Identifying Age Disparities in Student-Counselor Interactions: A Quantitative Communication Study on Feelings of Dismissal</t>
  </si>
  <si>
    <t>Under the theoretical framework of communication accommodation theory, the research group hypothesizes that lower division students experience feelings of dismissal within academic advising interactions more frequently than those of upper division students. Communication accommodation theory predicts and explains why individuals “make adjustments to increase, decrease, or maintain social distance” (Zhang &amp; Giles, 2017). 238 students were surveyed at San Diego State University to measure their level of satisfaction and dismissal when communicating with their academic advisor, comparing the mean levels of dismissal between lower division students and upper division students in order to determine if there was a significant relationship between year in school and student feelings of dismissal during academic advising appointments. Participants who contributed to the study had access to the 23 item survey through an online database. The participants responded to each question on a scale ranging from 1 (strongly disagree) to 5 (strongly agree). An independent sample t-test was conducted of the research data and statistical analysis produced values to determine a significant relationship between dismissal and level in school. The study demonstrated that there is a common threat of dissatisfaction between advisor and student. The data confirmed discrepancy between levels of dismissal between upper and lower division students. Lower division students had a higher level of dismissal when compared to upper division students. Advisor- student interactions are the primary access to guidance students have at a university therefore it’s essential for mental well being and academic success that these interactions resonate with students as a feeling of satisfaction instead of dismissal. 
Keywords: student-advisor communication, communication accommodation theory, dismissal.</t>
  </si>
  <si>
    <t>Rachael</t>
  </si>
  <si>
    <t>Record</t>
  </si>
  <si>
    <t>rrecord@sdsu.edu</t>
  </si>
  <si>
    <t>Fitzpatrick</t>
  </si>
  <si>
    <t>efitzpatrick7637@sdsu.edu</t>
  </si>
  <si>
    <t>Are Sound Baths an Answer to SDSU Student Stress? Lack of Access Suggests Not Yet</t>
  </si>
  <si>
    <t>Sound baths are a modality of self-care increasingly thought to remedy physical, mental, and spiritual ailments. Immersed in sound made on simple instruments such as gongs or chimes, individuals participate in a meditative experience while simultaneously de-stressing. College students are among the most stressed demographic (Heckman, 2019; Marksberry, n.d.), and therefore would likely benefit from sound baths. The aim of this study is to determine how accessible sound baths are perceived to be by those enrolled at San Diego State University. I collected sound bath advertisements for content analysis. Then, I asked students from San Diego State to complete a self-report survey to better understand their knowledge on sound baths and opinions on accessibility. The findings from the survey indicated that sound baths, as a whole, are not yet an accessible form of self-care for SDSU students for reasons primarily including financial and informational accessibility.</t>
  </si>
  <si>
    <t>Elisa</t>
  </si>
  <si>
    <t>Sobo</t>
  </si>
  <si>
    <t>esobo@sdsu.edu</t>
  </si>
  <si>
    <t>Elijah</t>
  </si>
  <si>
    <t>ebautista6718@sdsu.edu</t>
  </si>
  <si>
    <t>The Connections Between Interoceptive Sensibility to Thermoregulatory Symptoms and Social Anxiety</t>
  </si>
  <si>
    <t xml:space="preserve">Recent research suggests dysregulated thermosensory systems in affective disorders. Patients with major depressive disorder and anxiety often report sweating or chills, indicating difficulties regulating core body temperature. However, individual differences in how bothersome or distressing these symptoms are, termed interoceptive sensibility, have been understudied in relation to affective symptoms. Therefore, we examined the relationship between interoceptive sensibility toward thermoregulatory symptoms (IST) and social anxiety (SA). We hypothesize that individuals with higher IST scores will report higher SA scores. In an initial pilot study, healthy adult participants ages 18-25 (N=31) completed a newly developed IST scale (e.g., “It is important for me not to appear flushed”, “It scares me when I start to sweat profusely”). Participants also completed self-reports on SA using the Liebowitz Social Anxiety Scale (LSAS) and Fear of Positive Evaluation subscale (FPES). Self-report data were analyzed using pearson correlations, with LSAS and FPES scores as the dependent variables, and IST as the independent variable. There are well-characterized sex differences in thermoregulation, therefore sex was included as a covariate. The reliability of the new IST scale was acceptable (alpha = .786). Consistent with the hypothesis, IST positively correlated with SA. That is, higher distress toward thermoregulatory symptoms was related to higher fear of positive evaluation (r = .308, p = .046) and higher scores on the LSAS (to a marginal degree: r = .268, p = .073). Results held when adjusting for sex (FPES: r = .310, p = .048; LSAS: r = .293, p = .058).  In other words, those who reported higher self-reports on their distress towards their thermoregulatory symptoms were more likely to report higher social anxiety scores. Though preliminary, these results suggest a link between IST and SA. Individual differences in distress towards thermoregulatory symptoms correlated with higher SA scores across two different measures. IST may be a previously unrecognized risk factor in SA and can guide future research to further understand the importance of altered body-to-brain pathways in affective experience. </t>
  </si>
  <si>
    <t>Gumanovski</t>
  </si>
  <si>
    <t>sgumanovski1046@sdsu.edu</t>
  </si>
  <si>
    <t>Bachelor of Arts in Psychology: Emphasis in Neuroscience</t>
  </si>
  <si>
    <t>Chronic spine pain is associated with altered neural oscillatory dynamics during inhibitory control</t>
  </si>
  <si>
    <t>Chronic neck/ low back pain (CP) is a prevalent public health problem that ranks high in disability and can result in cognitive and functional impairments and reduced quality of life. Neuroimaging studies indicate altered activity of the cortical areas implicated in the “central neuromatrix” of pain, which overlaps with a frontal executive network subserving inhibitory control. This aligns with a higher incidence of attention-deficit/hyperactivity disorder (ADHD) in people with CP, and is consistent with top-down inhibitory deficits. However, there is a scarcity of research focusing on the neural dynamics of inhibitory control in this population. 
The overall aim of this study was to examine behavioral and neural indices of inhibitory control in people with CP (N=17) and control participants (CNT, N=19), who were matched on demographics and cognitive abilities. Electroencephalography (EEG) signal was recorded while participants took part in a visual Go/NoGo task designed to probe the ability to inhibit prepotent responses. Data were analyzed in the time-frequency domain within the theta (4-7 Hz) range. Event-related theta power was higher on NoGo trials overall, confirming increased theta activity during engagement of cognitive inhibition. While behavioral performance did not differ between groups, the CP group exhibited lower theta power on inhibitory NoGo trials, which was associated with a lower Attentional Functional Index score and slower reaction times. Making more errors on NoGo trials was associated with higher scores on the Central Sensitization Inventory and pain-related avoidance of patterns of activity (POAM) in the CP group. Furthermore, behavioral inhibitory deficits in the CP group were associated with higher ADHD scores, which aligns with previously reported evidence. Taken together, these preliminary results are strongly indicative of top-down inhibitory impairments in CP, which may contribute to deficient downregulation of sensory processing. Furthermore, these findings support the notion that heightened pain perception in individuals with chronic pain may lead to increased focus on pain stimuli, potentially compromising cognitive control during tasks and consequent behavioral symptoms. The study provides insight into the intricate interplay between neural dynamics and chronic pain experiences.</t>
  </si>
  <si>
    <t xml:space="preserve">Marinkovic (principal investigator, last author) </t>
  </si>
  <si>
    <t>Jenna</t>
  </si>
  <si>
    <t>Majors</t>
  </si>
  <si>
    <t>jmajors5097@sdsu.edu</t>
  </si>
  <si>
    <t>Cooperation in STEM labs benefits student competency and authenticity</t>
  </si>
  <si>
    <t xml:space="preserve">In STEM majors, student participation in a faculty-led research laboratory is an important gateway to advanced degrees and employment. Typically , when undergraduate students participate in faculty-led research labs they are encouraged to collaborate with graduate students and faculty, helping everybody enhance their general knowledge. However, not every lab’s atmosphere is the same and these differences may have impacts on students’ experiences and development. Specifically, past studies have found that atmosphere has an impact on student engagement and self perception, noting that a poor atmosphere may lead to feelings of discouragement and disengagement (Hildt et al., 2022). The current study examines whether students in more cooperative lab environments would hold higher feelings of competency and authenticity than students in less cooperative labs. Participants included 627 students working in 118 faculty-led research labs. Multilevel analyses found that students’ ratings of their lab’s  cooperative atmosphere at baseline was significantly correlated with their perceptions of self competency (β=.22) and feelings of authenticity (β=.37). Further, additional longitudinal analyses suggest that cooperative atmospheres at baseline were significantly related to greater perceptions of self competency (β=.13) and feelings authenticity (β=.15) three months later, even after controlling for baseline ratings of competence and authenticity. These findings suggest that institutional resources and training designed to help faculty lab directors and lab managers create more collaborative lab environments should benefit student experiences and outcomes. 
</t>
  </si>
  <si>
    <t>Lilibeth</t>
  </si>
  <si>
    <t>Flores</t>
  </si>
  <si>
    <t>Dustin</t>
  </si>
  <si>
    <t>Thoman</t>
  </si>
  <si>
    <t>dthoman@sdsu.edu</t>
  </si>
  <si>
    <t>Mu</t>
  </si>
  <si>
    <t>emu4742@sdsu.edu</t>
  </si>
  <si>
    <t>Initial Validation of a Mandarin Sentence Comprehension Tool for Bilinguals With Aphasia: Evidence From Healthy Individuals</t>
  </si>
  <si>
    <t xml:space="preserve">Aphasia is an acquired language disorder frequently characterized by impaired sentence comprehension. Prior research shows that people with aphasia (PWA) experience greater difficulty comprehending noncanonical word order sentences (patient precedes agent; “The man [patient] is pushed by the boy [agent]”), as opposed to simpler canonical word order where agents precede patients. To effectively treat bilingual individuals with aphasia (biPWA), speech-language pathologists (SLPs) must assess both languages. While several English sentence comprehension assessments exist, such as the SOAP Syntactic Battery of Sentence Comprehension (E-SOAP), there is a shortage of equivalent Mandarin tests. Chinese dialects, including Mandarin, are the second most widely spoken non-English language cluster in the United States, indicating a need for more Mandarin assessments. 
To address this need, we conducted two studies. Our purpose was to initially validate a Mandarin version of the SOAP (M-SOAP) that SLPs can use to characterize sentence comprehension abilities of Mandarin-English biPWA. 
For study 1, 19 older unimpaired Mandarin-English bilinguals (Mean[age]=77yrs) who were Mandarin dominant completed the E- and M-SOAP. For study 2, 35 unimpaired Mandarin-English bilinguals (Mean[age]=42yrs) across the adult lifespan and with varying levels of language dominance completed slightly adapted versions of the E- and M-SOAP. 
The SOAP is a sentence-picturing matching task that assesses canonical and noncanonical sentences. Participants are auditorily presented with a target sentence and must choose a picture that best represents the sentence’s meaning from a set of three pictures: match, mismatch, and distractor. For the example sentence, “The man [patient] is pushed by the boy [agent],” the match picture depicts the agent and patient accurately engaging in the described action (‘boy pushes man’), the mismatch picture depicts the incorrect interpretation with the reverse action (‘man pushes boy’), and the distractor picture depicts the characters engaging in an unrelated action. 
Results from both studies revealed significantly greater accuracy for canonical sentences (87%) and lower, more variable performance for noncanonical sentences (71%) across English and Mandarin. This work is important as the M-SOAP adds to current tools that SLPs can use to assess the Mandarin sentence comprehension abilities of Mandarin-English biPWA for more effective care. </t>
  </si>
  <si>
    <t>Liana</t>
  </si>
  <si>
    <t>Parrish</t>
  </si>
  <si>
    <t>lparrish6537@sdsu.edu</t>
  </si>
  <si>
    <t>Exploring the Role of Parental Monitoring and Peer Affiliation in Reducing Delinquency among At-Risk Adolescents</t>
  </si>
  <si>
    <t xml:space="preserve">Adolescents who have experienced adversity, such as abuse and neglect, are at increased risk for delinquent and violent behavior. Risk factors, such as affiliation with deviant peers and exposure to community violence further contribute to delinquency. Protective factors, such as parental monitoring and supervision, affiliation with positive peers, and involvement in extracurricular activities e.g., sports teams, school clubs) mitigate the risk for delinquency. This study aimed to identify factors that alleviate and exacerbate the impact of childhood adversity on delinquency among at-risk adolescents.We hypothesized that parental monitoring, affiliation with positive peers, and involvement in extracurricular activities would mitigate the impact of childhood adversity on delinquency among adolescents, while affiliation with deviant peers and community violence exposure would increase risk. Participants were 1,057 youth and their caregivers who participated in the Longitudinal Studies of Childhood Abuse and Neglect from when youth were born until they were 16 years old. Information about youths’ exposure to Adverse Childhood Experiences (ACEs) was collected from prospective youth and parent reports, as well as Child Protective Services records from birth until participants were 14 years old. Parents reported about their parental monitoring, youths’ exposure to community violence, and youths’ aggressive and delinquent behaviors when youth were 14 years old. Youth reported positive and deviant peer behaviors and extracurricular activity involvement when they were 14 years old, and delinquent and violent behavior when they were 16 years old. Path analyses revealed that, in addition to the direct effect of ACEs on delinquency, IRR = 1.07 [1.02, 1.13], there were statistically significant indirect effects of ACEs on delinquency through parental monitoring and deviant peer affiliation. Having more ACEs was associated with less parental monitoring, 𝝱 = -.1 [-.16, -.04], which was in turn associated with more delinquency, IRR = .81 [.72, .92]. On the other hand, having more ACEs was associated with marginally greater affiliation with deviant peers, 𝝱 = .07 [0, .14], which was associated with more delinquency, IRR = 1.49[1.34 , 1.66]. Findings highlight the importance of parental monitoring and knowledge about adolescents’ peer groups, particularly for youth who have experienced adversity. </t>
  </si>
  <si>
    <t>Black or African American</t>
  </si>
  <si>
    <t xml:space="preserve">Dr. Miguel </t>
  </si>
  <si>
    <t xml:space="preserve">Villodas </t>
  </si>
  <si>
    <t>Malia</t>
  </si>
  <si>
    <t>Huff</t>
  </si>
  <si>
    <t>mhuff7237@sdsu.edu</t>
  </si>
  <si>
    <t>Bachelor of Sciences in Microbiology</t>
  </si>
  <si>
    <t>Engaging Nursing Students in Service Learning to Understand Rural Communities</t>
  </si>
  <si>
    <t xml:space="preserve"> A service learning experience (SLE) is designed to allow students to apply their knowledge and skills to real world situations while having a bi-directional positive impact in the community. The literature demonstrates that SLEs allow community health nursing students to better understand health issues faced by rural communities, and that students are more likely to return to their community after completing their program. The purpose of this project was to determine the effect of a service learning experience on community health nursing students' understanding of people in rural areas. A cohort of post-licensure nursing students enrolled in an RN-BSN Community Health Nursing course were anonymously surveyed before and after completing an SLE focused on low income populations in unincorporated communities in a rural border region. The pre-survey was designed to elicit their perceptions and past experiences working with low income populations. After completing their SLE, students were administered a post-survey designed to elicit new perceptions or reflections on their experience working with low income populations within the context of a study focused on identifying health literacy and healthcare access practices. These students were better able to recognize individuality and unique circumstances within low income, food insecure populations who reside in geographically challenged communities, and verbalized a better understanding of community needs, including differences in culture and socioeconomic status. This implies that the SLE exposed students to the reality of the barriers faced by individuals in low income and geographically challenged areas, which they may have misunderstood beforehand. This may result in an increased interest by nursing students to practice in the community health speciality while also giving them the knowledge, skills and attitudes (KSAs) to better care for individuals in this unique population. 
</t>
  </si>
  <si>
    <t>Johnston</t>
  </si>
  <si>
    <t>Shiloh</t>
  </si>
  <si>
    <t>Williams</t>
  </si>
  <si>
    <t>shiloh.williams@sdsu.edu</t>
  </si>
  <si>
    <t>Lillian</t>
  </si>
  <si>
    <t>Eckoff</t>
  </si>
  <si>
    <t>leckoff8273@sdsu.edu</t>
  </si>
  <si>
    <t>BS- Environmental Science</t>
  </si>
  <si>
    <t>Youth 4 SDGs: Better Health, Brighter Future! Public Perception, Attitudes, and Behaviors Towards the United Nations Sustainable Development Goals in Youth of San Diego, California and Paris, France</t>
  </si>
  <si>
    <t>The Youth 4 SDGs, Better Health, Brighter Future survey is a comparative analysis through the Metabolism of Cities Living Lab at San Diego State University. This study will use the Sustainable Development Goals (SDGs) developed by the United Nations as indicators to compare public perception, attitudes, and behaviors in the youth pursuing higher education in North America (San Diego, California) and Europe (Paris, France), especially those regarding the One Health Urban Policy Agenda. In order to evaluate students’ command over these topics, a non obligatory online questionnaire was designed and distributed to students in English and French across two university campuses: San Diego State University (SDSU) and l’Institut d’études politiques de Paris (SciencesPo). We are developing research that effectively demonstrates the education, awareness, and behavior change required to succeed in a world affected by continued global issues such as inequality, over consumption of finite resources, and widespread pollution (Fernandez &amp; Maione, 2019). The study’s subjects focus on students within higher education bi-nationally as it is ultimately the next generation who will be implementing policies, voting with their money and ballot, and experiencing the consequences of the extent of success of the SDGs worldwide. It is crucial to be able to compare the effectiveness of this knowledge internationally as the SDGs are implemented worldwide with the central promise of leaving no one behind. The findings of this study can inform holistic-health strategies to mobilize and empower youth as active contributors to the global effort to achieve the SDGs.</t>
  </si>
  <si>
    <t xml:space="preserve">Gabriela </t>
  </si>
  <si>
    <t>gfernandez2@sdsu.edu</t>
  </si>
  <si>
    <t>Amaru</t>
  </si>
  <si>
    <t>Marchant Simonsen</t>
  </si>
  <si>
    <t>amarchantsimon2885@sdsu.edu</t>
  </si>
  <si>
    <t>Understanding Unregulated Provisioning of Moor Macaques for Conservation Efforts in South Sulawesi, Indonesia</t>
  </si>
  <si>
    <t>Rapid human development compounded by the increase in wildlife tourism promoting cross-species interactions may pose a substantial threat to primate conservation efforts. The normalization of unregulated, close interactions (i.e. posing for photos) between humans and primates has encouraged the public to engage with protected wildlife - specifically through the act of provisioning - despite potential safety risks and long-term disruptions to species welfare. Provisioning occurs daily along the only road traversing Bantimurung Bulusaraung National Park (TNBABUL) in South Sulawesi, Indonesia where travelers provide food to the endangered, endemic moor macaques whose home range includes sections of this road that is currently under expansion efforts. As part of a 6-week, NSF-funded International Research Experiences for Students program, I studied this human-macaque interface to better understand the potential costs and benefits to each species, and potential motivators to the increase in initiating interspecies interactions by both counterparts. This program involved pre-fieldwork preparation for which I conducted a literature review of previous studies on the impacts of provisioning on primates; 1-week of field training in methods in primate behavioral observation, human dimensions of conservation, and plant phenology; and 1-week of preliminary observations on the human-macaque interface at TNBABUL. I then developed a mini-project on roadside provisioning using the “all-occurrence” method to record the following data on provisioning events: vehicle type, method of provisioning, food type, and demographics of species involved. I conducted these observations during 30-minute sampling periods from 12:30 - 18:30 across four days in July-August 2023 recording a total of 44 provisioning events. An average of three events occurred during each 30 minute sampling period. 77% of provisioning vehicles were automobiles, specifically SUVs, used as personal or shared vehicles. 37% of the moor macaques partaking in provisions were immature (subadults or juveniles); and 91% of the events involving immature macaques also involved adults. These results suggest that immature macaques may be mimicking adult behavior by eating human food becoming habituated to roadside interactions as they mature. Conservation efforts should be directed to educate the public on the dangers of provisioning and implement necessary regulations to decrease disruptive cross-species interactions.</t>
  </si>
  <si>
    <t>Dylan</t>
  </si>
  <si>
    <t>Instone</t>
  </si>
  <si>
    <t>dinstone8476@sdsu.edu</t>
  </si>
  <si>
    <t>Investigating the Neural Dynamics of Face Processing: Comparison of Time-, Time-Frequency, and Frequency-Domain EEG Analysis Methods</t>
  </si>
  <si>
    <t xml:space="preserve">Electroencephalography (EEG) captures postsynaptic neural currents and can reveal their oscillatory dynamics in real time. Its excellent temporal resolution provides insight into the stages of processing including sensory-based perception, cognitive integration, and response preparation and execution. Due to its oscillatory nature, EEG data can be analyzed using various techniques, which have been instrumental in advancing the fields of neurophysiology and cognitive neuroscience. The overall aim of the current study was to compare the three principal analytical methods by analyzing a sample data set from a single participant acquired during a fast visual stimulus processing task. Pictures of upright and inverted faces and cars did not necessitate a response, making it possible to examine the early stages of visual processing without motor interference. The participant was instructed to press a button to the randomly interspersed images of hand signs. Time-domain (event-related potentials) analysis replicated a well-known N170 peak which was larger to inverted stimuli and was especially prominent over the posterior scalp. The N170 is a recognized signature of the early stage of face processing. Time-frequency domain analysis convolves EEG data with Morlet wavelets to analyze changes in different frequency bands across time. It captured greater event-related theta power (4-7 Hz) to inverted faces over the posterior scalp during early sensory processing. In addition, theta is known to be sensitive to cognitive/attentional processing and was larger to response-relevant hand signs. Similarly, event-related alpha power (8-12 Hz) was greater to attention-capturing hand signs. Beta band (13-25 Hz) is known to be sensitive to motor activity. Beta desynchronization was greater over the left central scalp, indicative of an engagement of the motor cortex contralaterally to the responding hand. Across these frequency bands, the time-frequency analysis provided an excellent metric for the cognitive and motor aspects of stimulus processing. In contrast, the frequency domain analysis utilized a Fast Fourier Transform across the entire epoch and was insensitive to the sensory or cognitive/motor aspects of stimulus processing. Taken together, while each of these methods provides unique results, they provide rich and complementary insights into the neural stages of face processing.
</t>
  </si>
  <si>
    <t>Gittings</t>
  </si>
  <si>
    <t>Ingrid Anna</t>
  </si>
  <si>
    <t>iyu5439@sdsu.edu</t>
  </si>
  <si>
    <t>An Exploratory Study on the Relationship between Adverse Childhood Experiences and Need for Closure</t>
  </si>
  <si>
    <t>Adverse childhood experiences (ACE) can severely affect an individual’s development and may leave long-lasting cognitive consequences. ACEs may also lead to higher levels of anxiety, higher risk adversity, and a strong desire for predictability. Those with ACEs are more likely to have a higher need for closure (NFC), especially when they encounter additional stress or uncertainty. However, little research has addressed the role of ACEs and NFC, and no known prior studies have examined these areas in university students, a population experiencing the significant life changes that accompany the transition to college and independence. Participants (n = 683) from San Diego State University answered questions from the Adverse Childhood Experiences Questionnaire and the Need For Closure Scale. We hypothesized that the higher number of ACEs (range 0-4+) that an individual experienced would be associated with their NFC classification (low, average, or high). A Chi-Square test was conducted. No significant association between the number of ACEs and NFC was found (p=.432). Future research should examine specific types of ACEs experienced, as certain ACEs may play a greater role in predicting an individual’s NFC classification.</t>
  </si>
  <si>
    <t>Mueller-Coyne</t>
  </si>
  <si>
    <t>jmueller@sdsu.edu</t>
  </si>
  <si>
    <t>Emily Christina</t>
  </si>
  <si>
    <t>ele6318@sdsu.edu</t>
  </si>
  <si>
    <t>Bachelor of Arts in Psychology with an emphasis in Neuroscience</t>
  </si>
  <si>
    <t>Intersecting Identities: Empowerment through Undergraduate Autoethnographies</t>
  </si>
  <si>
    <t xml:space="preserve">This research aims to bring forth the experiences of five undergraduate underrepresented students navigating higher education. Three scholars gained research experience in a federally-funded, eight-week summer research seminar called the Health Careers Opportunity Program (HCOP) while two scholars were first introduced to the research process in San Diego State University's College of Education's Faculty-Student Mentoring Program (F-SMP). Although we are in different stages of our research experience, we focus on a qualitative research method called autoethnography. Our narratives aim to help contest the dominant narrative within higher education. We expose the predetermined expectation behind the romanticized American college dream; which we define as the freedom and ability to pursue higher education as a form of upward mobility towards a successful career.
Our experience writing autoethnography engaged us in writing workshops that allowed us to have an open discussion about our narratives through HCOP in the summer of 2023 and we’ve continued to work on this in F-SMP under the guidance of Dr. Park. The research employs autoethnography as a qualitative methodological tool, allowing us to reflect on lived experiences and draw connections between personal stories and scholarly insights. By engaging in self-reflexivity and introspection, we question and critique systems of power that aim to oppress us. We utilized the narrative research approach to explore college culture, systemic barriers in higher education and the unique perspectives stemming from our underrepresented, nontraditional backgrounds. 
Through this process, we navigate and articulate the complexities of our identities, examining how our cultural backgrounds impact our academic pursuits, social interactions, and overall sense of belonging in an institution not designed for us. This collection of autoethnographies serves as a means for personal expression and invites others to explore their positionality.
We expect our preliminary findings to be contextualized within cultural studies and educational frameworks, offering significant insights into the challenges and accomplishments of navigating higher education as disempowered college students.
Ultimately, these autoethnographies offer a counter-story narrative framework for empowerment and social justice. Our collaboration exemplifies the potential for shared narratives to foster understanding, challenge stereotypes, and inspire others within and beyond the academic community.
</t>
  </si>
  <si>
    <t>Ilse Natalie</t>
  </si>
  <si>
    <t>Cynthia</t>
  </si>
  <si>
    <t>cpark@sdsu.edu</t>
  </si>
  <si>
    <t>Maldonado</t>
  </si>
  <si>
    <t>bmaldonado4826@sdsu.edu</t>
  </si>
  <si>
    <t>Child and Family Development</t>
  </si>
  <si>
    <t>Are There Differences in Motivation of Engagement in Services between Latino and Non-Latino Caregivers?</t>
  </si>
  <si>
    <t xml:space="preserve">
Early intervention (EI) services have proved to be of significant benefit in the lives of children with ASD (Sritharan et al., 2018). A major component of effective EI services during early childhood is parental involvement, with children demonstrating increased developmental progress when parents play an active role in intervention (Zigler &amp; Muenchow, 1992). However, evidence suggests that parents' involvement in their children’s services can be influenced by demographic factors, such as their socioeconomic status and race/ethnicity. For example, children from low-income households typically receive fewer hours of treatment than children from more affluent households (Khetani, et al., 2017). This project aims to compare the self-reported motivation beliefs to engage in early intervention services for children with autism between Latino and non-Latino caregivers. Data for this study were drawn from a community-based clinical trial occurring with Early Intervention services for young children with autism. Caregiver Motivation was measured using a questionnaire which was adapted  from a brief rating scale called the Parent-Motivation Inventory (PMI;  Nock et al.,2006). Subscales include: Desire for child change, readiness to change parenting behavior, and perceived ability to change parenting behavior. The PMI provides a reliable method for assessing parents’ motivation to participate in services and has implications for predicting barriers to treatment participation (Nock et al., 2006). Multivariate Analysis of Variance (MANOVA) analysis was used to compare the average scores on the total and three individual subscales of the Parent Motivation Inventory between Latino and non-Latino caregivers. No statistically significant differences were found between Latino and non-Latino caregivers within each subscale. Therefore, results showed that there were no statistically significant differences between Latino and non-Latino parents in their motivation to be involved in their children’s services. Although there weren’t significant differences found in this study other factors that were unaccounted for such as, socioeconomic status, lack of accessibility to services, formal education level, could potentially influence these results in future studies. </t>
  </si>
  <si>
    <t>Biological and Agricultural Sciences 1</t>
  </si>
  <si>
    <t>Alec</t>
  </si>
  <si>
    <t>Juliano</t>
  </si>
  <si>
    <t>ajuliano7847@sdsu.edu</t>
  </si>
  <si>
    <t>Bachelor of Science in Biology with an Emphasis in Ecology</t>
  </si>
  <si>
    <t>Species richness does not predict phylogenetic or functional diversity in managed grassland plant communities</t>
  </si>
  <si>
    <t xml:space="preserve">Promoting biodiversity is a primary goal of many habitat restoration and management projects because biodiversity can support ecosystem function and stability. Biodiversity is often measured as species richness, but other indices, such as phylogenetic diversity or functional trait diversity, may be more informative. It is often assumed that taxonomic, phylogenetic and functional diversity are positively correlated, but the relationships among these three dimensions of biodiversity may be inconsistent across different ecosystems. In this study, we used taxonomic, phylogenetic, and functional trait data to investigate diversity relationships in grassland plant communities. Surprisingly, neither phylogenetic diversity nor functional diversity was highly correlated with species richness. These findings have implications for future land management and restoration projects. Land managers may seek to promote functional and phylogenetic diversity in restored plant communities because of their potential to support ecosystems. However, simply adding plant species into a community regardless of their evolutionary history or traits is unlikely to accomplish this goal. </t>
  </si>
  <si>
    <t>Elora</t>
  </si>
  <si>
    <t>Shakoor</t>
  </si>
  <si>
    <t>eshakoor6394@sdsu.edu</t>
  </si>
  <si>
    <t>Aquatic Toxicological Assessment of Electronic Tobacco Products: Hazardous to California Wildlife</t>
  </si>
  <si>
    <t xml:space="preserve">Hot tobacco products (HTPs) and electronic nicotine delivery systems (ENDS) are nicotine-containing products that are readily available for mass consumption. Since the distribution of these products, they often wind up in aquatic environments and lead to nicotine contamination in waters. This subsequently leads to developmental deformities and disruption of gene expression and regulation in organisms exposed to these toxic chemicals. The goal of our experiment was to assess the toxicity of chemical leachate from HTPs and ENDS and see how it affects the health and development of aquatic life. To test this theory, we used Danio rerio, or zebrafish, as our model organism to conduct this experiment. Our methodology included exposing the fishes to diverse concentrations of HTP/ENDS/cigarette solutions (0%, 25%, 50%, or 100%) from 0 days post fertilization (dpf) to 4 dpf and microscopy of the exposed fishes facilitated in quantifying hatching and mortality rates from days one through three. Due to elevated mortality at all concentrations, we added  lower concentrations (1%, 5%, 10%, 15%). There were still high levels of impaired hatching, pericardial edema, yolk sac edema, and spinal deformities in the 5%, 10% and 15% groups, so a concentration of 2.5% was used for RNA sequencing since it is sublethal. We concluded that mortality was elevated when fishes were exposed to ENDs compared to those exposed to HTPs and conventional cigarettes. We expect RNA sequencing results to show enhanced xenobiotic metabolism. Overall, ENDs tend to be more toxic than other smoking alternatives and impair embryonic development. </t>
  </si>
  <si>
    <t>Karilyn</t>
  </si>
  <si>
    <t>Sant</t>
  </si>
  <si>
    <t>ksant@sdsu.edu</t>
  </si>
  <si>
    <t>Tram</t>
  </si>
  <si>
    <t>tnguyen2399@sdsu.edu</t>
  </si>
  <si>
    <t>Factors required for Nuclear Pore Complex Rejuvenation in Drosophila Oogenesis</t>
  </si>
  <si>
    <t>The nucleus plays a critical role as a control center of a eukaryotic cell as it contains cellular genomes. The nucleus is enclosed by the nuclear envelope, separating its contents from the cytoplasm. Embedded in the envelope are nuclear pore complexes, which function as a selective barrier to regulate the entry and exit of proteins and RNAs, controlling nucleocytoplasmic transport, regulation of gene expression and cellular signaling. The nuclear pore complex (NPC) is composed of around 30 different components, called nucleoporins (NUPs), which are highly conserved across eukaryotes. Together with nuclear lamina and nuclear matrix, NUPs help maintain the shape and integrity of nuclei and organize the genetic material. Dysfunction of NPCs and mutations in NUPs are linked to neurodegenerative and cardiovascular diseases, and to cancer. Despite their importance in these aging-associated diseases, little is known about how NPCs and NUPs are maintained and turned over. Learning such mechanisms of NPC rejuvenation can help in prevention of aging-associated disease, particularly neurodegenerative conditions. Our research investigated mechanisms of NPC turn-over using the model of Drosophila oogenesis. Oogenesis has built-in mechanisms for rejuvenation of cellular components because it must generate an oocyte that will become the next generation. We and others have identified
striking NPC depletion during the early stage of Drosophila oogenesis, marked with an early differentiation marker Bam. This depletion, which we detect by immunofluorescence co-staining and microscopy imaging of NPCs and Bam, is indicative of active removal of NPCs as the initial step of their turn-over. Using oogenesis-specific RNA interference, we knocked down candidate genes to determine which of them can rescue the observed NPC depletion and thus regulate NPC turn-over. Previous research has shown that the ESCRT-III/VPS4 complex contributes to NPC turn-over in yeast and in Drosophila models of ALS/FTD. In agreement with this work, we identified a specific component of ESCRT-III/VPS4, downregulation of which can rescue NPC levels. In the future, we plan to knock down additional genes that code for ESCRT-III proteins, NUPs, and other candidate factors to test their effects on NPC depletion and in this manner, decipher mechanisms that regulate NPC rejuvenation.</t>
  </si>
  <si>
    <t xml:space="preserve">Maya </t>
  </si>
  <si>
    <t>Mena</t>
  </si>
  <si>
    <t>Shammas</t>
  </si>
  <si>
    <t>mshammas8679@sdsu.edu</t>
  </si>
  <si>
    <t>Bachelor of Science/Microbiology</t>
  </si>
  <si>
    <t>Understanding the Effects of Chemotherapy on a Fibroblast Cell-Derived Matrix</t>
  </si>
  <si>
    <t xml:space="preserve">Ovarian cancer is the deadliest gynecological cancer in the United States where over 80% of patients have tumor relapse and no longer respond to chemotherapy. Current research suggests that recurrent ovarian cancer could be due to the existence of a small population of cancer stem-like cells (CSCs) that exist within tumors. These CSCs are drug-resistant and have long-term self-renewal properties, making chemotherapeutic drugs unsuccessful at eliminating them. It is thought that these cells are able to reinitiate tumors following chemotherapy, making it important to study the tumor microenvironment that supports their survival post-chemotherapy. Our previous research has found that ovarian CSCs strongly depend on signaling factors that are enriched in the tumor microenvironment to survive and that chemotherapy treatment enhances the secretion of these factors from non-cancer cells such as fibroblasts. Fibroblasts secrete an extracellular matrix (ECM), a network of proteins and polysaccharides that provides a physical scaffold around cells. This deposition of ECM has been implicated in the survival of CSCs. We hypothesize that chemotherapy activates fibroblasts and enhances the secretion of key ECM components: fibronectin (FN1), collagen (Col1a1), and vitronectin (VN) from fibroblasts that help CSCs attach and survive. Generating fibroblast-cell derived matrices (fCDMs) with murine fibroblast line 3T3 under chemotherapy resulted in fCDMs with significant increases of fibroblast activation marked by actin-smooth muscle (α-SMA), FN1, and trending increases of Col1a1, and VN. Ongoing studies will apply siRNA knockdown to fCDMs to reduce these key ECM components enriched by fibroblasts after chemotherapy and test changes in the ability of CSCs to attach and survive. These fCDMs will be decellularized and re-plated with ovarian cancer CSCs expressing membrane marker CD117 (c-kit) to test adhesion and survival. These studies will be supplemented with an ex-vivo model using decellularized mouse peritoneums treated with chemotherapy to test and confirm our fCDM model. This study will provide insight into the ongoing evolution of ovarian tumors under chemotherapy and how the ECM generated by fibroblasts affects the survival of CSCs. </t>
  </si>
  <si>
    <t>Kristine</t>
  </si>
  <si>
    <t>Bernabe</t>
  </si>
  <si>
    <t>kbernabe5505@sdsu.edu</t>
  </si>
  <si>
    <t>Biology, Emphasis in Ecology, B.S. in Applied Arts and Sciences</t>
  </si>
  <si>
    <t>Soil Temperature Profile Exploration of Thermokarst Features</t>
  </si>
  <si>
    <t xml:space="preserve">Climate change-induced warming has led to permafrost thawing in the arctic. The degradation of permafrost is a major contributor to greenhouse gas emissions and has widespread impacts on arctic hydrology, biogeochemistry, and ecology. The formation of cryoturbated features, a consequence of permafrost degradation, further exacerbates these impacts by altering landscapes and soil heat conductance. Despite the well-established link between climate change and permafrost thawing, the considerable variability in soil thermodynamic properties related to cryoturbation is not well understood. This study addresses this gap by examining temperature profiles in vegetated and unvegetated cryoturbated features. In Utqiaġvik, Alaska, during the summer of 2023, the temperature profile of vegetated and unvegetated cryoturbated features were measured over three days (7/21, 8/4, 8/5). A probe with 14 thermocouples attached with a depth spanning from 2.5 cm to 35 cm was used to measure temperature data every 2.5 cm. Additional environmental data included soil moisture, thaw depth, photosynthetically active radiation, air temperature, and wind speed. Preliminary results indicate a consistent trend of unvegetated cryoturbated features exhibiting higher temperatures, especially near the surface, compared to vegetated sites. These unvegetated sites also generally demonstrated deeper thaw depths. These initial findings demonstrate that unvegetated cryoturbated features might be particularly vulnerable to permafrost thawing and degradation, which may result in increased respiration and release of greenhouse gasses. While preliminary findings provide valuable insights, further research is essential to uncover the factors driving this vulnerability and to assess its broader impacts, especially as it relates to climate change. </t>
  </si>
  <si>
    <t xml:space="preserve"> Liliana</t>
  </si>
  <si>
    <t>Torres</t>
  </si>
  <si>
    <t>Donatella</t>
  </si>
  <si>
    <t>Zona</t>
  </si>
  <si>
    <t>dzona@sdsu.edu</t>
  </si>
  <si>
    <t>Aneesa</t>
  </si>
  <si>
    <t>Mahmood</t>
  </si>
  <si>
    <t>amahmood8528@sdsu.edu</t>
  </si>
  <si>
    <t xml:space="preserve">Biology </t>
  </si>
  <si>
    <t xml:space="preserve">Fetal Pancreatic Genetics in Lipogenesis and Type 2 Diabetes through Fetal Epigenomics </t>
  </si>
  <si>
    <t xml:space="preserve">Excessive lipogenesis, leading to fat accumulation, can influence insulin dynamics as it induces insulin resistance, characterized by decreased cell responsiveness to insulin, which necessitates increased insulin production by the pancreas. The increased insulin production, driven by the demand to overcome insulin resistance, may potentially lead to genomic changes in the insulin and insulin receptor genes, which can, in turn, affect the regulation of insulin signaling pathways. These genomic alterations, combined with insulin resistance, can contribute to the pathogenesis of type 2 diabetes by disrupting the fine-tuned genetic balance required for effective insulin metabolism and glucose regulation.
The primary objective of this research project is to elucidate whether fetal pancreatic genetics play a pivotal role in the development of lipogenesis and its association with type 2 diabetes by inducing alterations in fetal epigenomic patterns. To achieve this, we employ a dataset of chromatin accessibility Quantitative Trait Loci (caQTLs) derived from pancreatic progenitor stem cells (PPCs), which have been shown to fetal-like pancreas molecular profiles. This research is essential in comprehending whether genetic variants influencing chromatin accessibility in fetal pancreatic cells contribute differently to T2DM risk compared to adult pancreatic cells. The unique nature of these caQTLs suggests their potential influence on chromatin accessibility during the critical early stages of pancreas development. 
</t>
  </si>
  <si>
    <t>Frazer</t>
  </si>
  <si>
    <t>kafrazer@health.ucsd.edu</t>
  </si>
  <si>
    <t>Bingham</t>
  </si>
  <si>
    <t>nbingham6740@sdsu.edu</t>
  </si>
  <si>
    <t>Bachelors of Science in Biology</t>
  </si>
  <si>
    <t>16S Microbial Alpha Diversity’s Negative Effect on Relative Growth Rates on US and Non-US Humulus lupulus L. cultivars</t>
  </si>
  <si>
    <t>Agriculture is an arguably vital cornerstone for human civilization and amidst growing populations, climate change, and water scarcity, agricultural research is an imperative field to generate new solutions for the constant issue of supplying food. New and improved farming techniques as well as genetically advantageous plant traits are being artificially selected for: a process known as plant domestication. The domestication of useful food crops is globally utilized with the preferred method of domestication being cultivar generation. Cultivars are species that come about after generations of artificial selection by humans for favorable traits. Thus, cultivars evolve with a reliance on human intervention in order to grow, making them differ significantly from their wildtype ancestors. From this domesticating process, the rhizospheres of said cultivars will also begin to distance themselves from those of their wildtype ancestors and may lose mutualistic relationships with microbes traditionally established by their counterparts. Rhizosphere is the mutualistic community of microbial species established by a plant which allows them to acquire resources better. There are many examples of cultivars used globally to fulfill food demands, especially in the US; staples like corn, wheat, and soy are all cultivars. Luxury crops are also subject to similar treatment of artificial selection including tobacco, coffee, and hops. The experiment discusses the differences between the rhizospheres of U.S. based and non-U.S. based cultivars measured against their relative growth rates all within a common garden setup.</t>
  </si>
  <si>
    <t>Giovanni</t>
  </si>
  <si>
    <t>Gil</t>
  </si>
  <si>
    <t>Bolden</t>
  </si>
  <si>
    <t>sbolden8271@sdsu.edu</t>
  </si>
  <si>
    <t>Removal of Sulfamethoxazole with a Novel Modified Anaerobic Baffled Reactor</t>
  </si>
  <si>
    <t>The degradation of sulfamethoxazole in wastewater treatment systems prevents the breeding of antibiotic-resistant bacteria and limits its bioaccumulation in the environment. Sulfamethoxazole (SMX) is an ammonium-based antibiotic used to treat infections. Antibiotics inherently kill microbial communities that are used in wastewater treatment systems which makes SMX found in wastewater especially difficult to degrade. There is notably a gap in the understanding of how to treat SMX in anaerobic baffled reactors, a commonly used decentralized treatment system typically used in rural areas. The ABR has the benefits of low energy costs and low maintenance. The anaerobic biodegradation of organic constituents caused by the sludge blanket makes for efficient treatment with low sludge production but does not remove ammonium-based compounds. In this study, we modified an anaerobic baffled reactor by adding fine bubble aeration to stimulate the growth of a mixed consortium of nitrifiers and anaerobic ammonium oxidizing bacteria (anammox). Due to anammox’s ability to degrade ammonium, we hypothesize that this system has the ability to also degrade SMX. These results will provide insight into the effectiveness of a decentralized treatment system’s ability to degrade a commonly used drug that promotes the spread of harmful antibiotic-resistant bacteria.</t>
  </si>
  <si>
    <t>Biological and Agricultural Sciences 2</t>
  </si>
  <si>
    <t>Darius</t>
  </si>
  <si>
    <t>Hyde</t>
  </si>
  <si>
    <t>dhyde7954@sdsu.edu</t>
  </si>
  <si>
    <t xml:space="preserve">Chemistry with an Emphasis in Biochemistry </t>
  </si>
  <si>
    <t>Site-directed mutagenesis and Kinetic analysis in the IDH1 enzyme</t>
  </si>
  <si>
    <t>Isocitrate dehydrogenase 1 (IDH1) is an enzyme found in the cytoplasm and peroxisomes of cells that converts isocitrate into alpha-ketoglutarate. Mutations in the IDH1 enzyme are known to cause several types of cancer. These changes to the IDH1 active site residue R132 prevent the enzyme from catalyzing its conventional reaction and instead lead to a neomorphic activity that generates high quantities of the metabolite 2-hydroxyglutarate (2-HG) that can disrupt regular cellular functions and promote the growth of cancer. We don't currently know which amino acids drive the catalytic steps in the conventional and neomorphic reactions. Here, I sought to analyze the activity of a specific mutant in the IDH1 enzyme that I designed to probe the overall catalytic functionality of the enzyme. I designed and generated IDH1 mutations using site-directed mutagenesis. I then catalytically characterized IDH1 K72M, which mutates an active site lysine that is essential to catalysis in E. coli forms of IDH1 but whose function is not yet known in human IDH1. I hypothesized that K72 interacts with NADP+ to promote the hydride transfer step, and mutation of this residue will stabilize and protonate an oxyanion; while maintaining the positive charge at N1, this would facilitate hydride transfer. I used steady-state kinetic experiments to analyze the activity of the protein. I found that the K72M IDH1 mutant had no catalytic activity, validating that K72 is a critical residue for catalysis. Ultimately, this work is crucial because it answers the questions that we have about the functionality and activity of the IDH1 enzymes, as well as closes the knowledge gap about the missing details of the general reaction and discovers which residues are involved.</t>
  </si>
  <si>
    <t xml:space="preserve"> Esmeralda</t>
  </si>
  <si>
    <t xml:space="preserve"> Salcedo</t>
  </si>
  <si>
    <t>esalcedo7130@sdsu.edu</t>
  </si>
  <si>
    <t>Biology, Emphasis in Cellular and Molecular Biology, B.S. in Applied Arts and Sciences</t>
  </si>
  <si>
    <t>Purification of Microtubules to Understand Mechanism of Protein Chaperone UNC-45</t>
  </si>
  <si>
    <t>The protein UNC-45 has been found to play important roles during the development, differentiation, and repair of several different cell and tissue types. However, with a structure and sequence that doesn’t reveal any known catalytic functions, it’s hypothesized its molecular mechanism of action is driven via protein-protein interactions. There is a short list of confirmed protein interactors for UNC-45, which includes microtubules, but the structure formed from the interaction is unknown. In an effort to understand the mechanism and the interaction, we need to study its structure when UNC-45 is in complex with the microtubules by starting with the purification of microtubules. The literature has demonstrated microtubule can be purified through a series of chemical treatments or temperature treatments. To maximize the purification of microtubules from the acquired small mouse brain, we attempted purifying via a combination of chemical and temperature treatments. Overall, our work found the most productive form of purification to be through treating mouse brains with temperature treatment only to isolate microtubules, as opposed to a combination of both treatments. We believe the conditions were too ideal for microtubule polymerization to the point where it promoted catastrophe – the complete and sudden breakdown of the microtubule structure. We are in the process of using transmission electron microscopy to visualize the structure formed when UNC-45 is in complex with microtubules. This will yield more insight regarding UNC-45 interactions with microtubules and its mechanisms of action.</t>
  </si>
  <si>
    <t>Dr Sanford</t>
  </si>
  <si>
    <t>Bernstein</t>
  </si>
  <si>
    <t>sbernstein@sdsu.edu</t>
  </si>
  <si>
    <t>Spaulding</t>
  </si>
  <si>
    <t>rspaulding6441@sdsu.edu</t>
  </si>
  <si>
    <t>Fluorescence Spectroscopy: A Rapid, Cost- Effective Method of Photo-Resistance Determination</t>
  </si>
  <si>
    <t xml:space="preserve">Tire wear particles (TWP) pose a substantial threat to ecosystem health, as these tiny, abraded particles are washed away from roads and leach organic compounds into urban waterways. Many of the leached compounds are toxic, and pose health risks to plants and animals alike. Fluorescence spectroscopy measures the fluorescent signatures of compounds, and is a rapid technique to track the decay rates of the tire wear-derived compounds in water when exposed to sunlight. It has a distinct advantage over other techniques that are more time consuming and expensive. Based on the tendency for sunlight to photo-oxidize compounds with more humic and aromatic structures, we hypothesize that photo-labile TWP compounds will have dominant fluorescence peaks in humic-like regions A and C, whereas more photo-resistant TWP compounds will have peaks in the protein-like fluorescence regions T and B. This information, if the hypothesis is substantiated by further experimentation, can be used to determine which compounds will persist and which will degrade when exposed to UV radiation based on their fluorescence peaks. In order to confirm this hypothesis, photo-resistantand photo-labile compounds known to leach from TWP were prepared in water or solvents, and three-dimensional fluorescence spectra were acquired for both types of compounds. Preliminary results indicate that 4 photo-labile compounds, such as 6PPD, the precursor to the well known compound 6ppd-quinone, which has been linked to fish mortality in pacific northwest streams, all had peak excitation wavelengths &gt; 300 nm and peak emission wavelengths &gt; 400 nm, which thus far confirms the hypothesis. Only light absorbing compounds can undergo direct photolysis, and we expect that many of those will be fluorescent and amenable to this method. Yet, one limitation is that non-fluorescent compounds may be missed. Nevertheless, matching the photochemical degradation of organic compounds to their fluorescent peaks may serve as a rapid tool to screen the persistence of a solute when exposed to sunlight, and, in turn, its persistence in the environment.
</t>
  </si>
  <si>
    <t>Nyla</t>
  </si>
  <si>
    <t>McGlory</t>
  </si>
  <si>
    <t>nmcglory8625@sdsu.edu</t>
  </si>
  <si>
    <t>Bachelor of Social Science</t>
  </si>
  <si>
    <t xml:space="preserve">Mobile Farmers Market </t>
  </si>
  <si>
    <t xml:space="preserve">Southern San Diego residents experience a lack of access to affordable, fresh, organic produce. With a lack of funding and infrastructure, Southern San Diego has had to find alternatives to meet the needs of the community. Project New Village's Mobile Farmer's Market is the first of its kind in South San Diego. As its namesake suggests, the Mobile Farmer's Market presents as a food truck, but instead of the usual food, the truck presents fresh, organic, and locally grown fruits and vegetables. Although truck prices are already less expensive than their grocery store counterparts, SDSU's partnership with the truck has allowed for customers to get $10-15 worth of product for free after a quick nutrition education session and the completion of a survey. As SURP students, we were responsible for creating nutrition education about the available produce, educating participants for sessions, and conducting the surveys. Building community and gaining trust from vulnerable populations that have historically been exploited was another aspect we considered and kept in mind always. Creating relevant and accessible nutrition education, in English and Spanish, and then successfully bringing it to the community was one of the key aspects of our work. Intergenerational and culturally sensitive interactions and communication were major aspects of each market to creating lasting impact for the Market and other community events. </t>
  </si>
  <si>
    <t>Andrea Meza</t>
  </si>
  <si>
    <t>Dina</t>
  </si>
  <si>
    <t>Shehadeh</t>
  </si>
  <si>
    <t>dshehadeh9278@sdsu.edu</t>
  </si>
  <si>
    <t>bachelors of science in biochemistry</t>
  </si>
  <si>
    <t xml:space="preserve">Isolation of Polar Trifluoroborates </t>
  </si>
  <si>
    <t>Organotrifluoroborates are one of the essential reagents in organic synthesis and medicinal chemistry.  These compounds are air-stable, easily stored and handled. They can be used in both metal-catalyzed and non-catalyzed reactions forming carbon-carbon and carbon-hetero atom bonds.  Recently, we published a method to form these terminal functionalized trifluoroborate salts, making them available.  In this work, we report a more efficient method to isolate the small polar trifluoroborates.  While these reagents are important, the development of new applications to bond forming reactions are essential.  Preliminary results in the reductive alkylation of benzoquinone and 1,4-additions to methyl vinyl ketone using these materials will be presented.  Both of these reactions demonstrate transfers of functionalized organic groups in the first of their kind reactions.</t>
  </si>
  <si>
    <t xml:space="preserve">Avery </t>
  </si>
  <si>
    <t>Beilstein</t>
  </si>
  <si>
    <t>Alayna</t>
  </si>
  <si>
    <t>Alejandra</t>
  </si>
  <si>
    <t>Hagewood</t>
  </si>
  <si>
    <t>Cole</t>
  </si>
  <si>
    <t>tcole@sdsu.edu</t>
  </si>
  <si>
    <t>Shalayah-Naomi</t>
  </si>
  <si>
    <t>Webb</t>
  </si>
  <si>
    <t>nwebb2541@sdsu.edu</t>
  </si>
  <si>
    <t xml:space="preserve">Aerospace Engineering </t>
  </si>
  <si>
    <t>Compression Response of Honeycomb Cores having Sinusoidal In-Plane Waviness Imperfections in Cell Walls</t>
  </si>
  <si>
    <t xml:space="preserve">Sandwich composite structures with honeycomb cores are used in aerospace structures due to its lightweight and high bending stiffness properties. However, they are prone to impact damage, that although are barely visible, can significantly affect safety. Understanding the flatwise compression response of sandwich composites is therefore important. Honeycomb core manufacturing introduces geometric imperfections (shape deviations, cell wall waviness) to the hexagonal lattice of the honeycomb core that affect its compression response.
This study investigates in-plane waviness of cell walls on flatwise compression. Within the repeated hexagonal cells, individual facets have different thicknesses and develop waviness imperfections of different shapes and amplitudes. Previous imaging studies confirm that these imperfections can be accurately represented by sinusoidal shapes. This parametric study of buckling of honeycomb cores uses a double Y-shaped repeating unit cell (RUC), and varying imperfections: waviness, half-wavenumbers, amplitude for the single thickness branched segments and the central double thickness region.
Python scripts generated geometry models of a RUC with prescribed sinusoidal in-plane wavy imperfections. The amplitude and number of half-waves for each imperfection can be varied. RUCs imperfections include amplitude of one and two wall thickness, and one or two half-waves. These models were meshed and analyzed using Abaqus Finite Element Analysis software. Linear buckling analyses were performed to quantify effects of the imperfection amplitudes and wavenumbers on the buckling load of the RUC.
  	The RUC of honeycomb cores without imperfections were found to have the lowest buckling load compared to cases analyzed with sinusoidal, in-plane wavy imperfections. Compared to the case without imperfections, the imperfection case with an amplitude of one wall thickness and one half-wave in all walls increased the buckling load by 45%, and the case with the highest imperfection of an amplitude of two wall thicknesses and two half-waves increased by 80%.
This study contributed to development of scripts for automating model generation and finite element analysis. Preliminary linear buckling analysis shows cell walls interacting during buckling. It is well known in buckling of branched plates and shells that the interactions can lead to nonlinear behavior. Future work will perform nonlinear analysis with geometric and material nonlinearity.
</t>
  </si>
  <si>
    <t>Satchi</t>
  </si>
  <si>
    <t>Venkataraman</t>
  </si>
  <si>
    <t>satchi@sdsu.ed</t>
  </si>
  <si>
    <t>Abbott</t>
  </si>
  <si>
    <t>jabbott6220@sdsu.edu</t>
  </si>
  <si>
    <t>Precipitation Effect on Groundwater Chemistry in the Angelo Coast Range Reserve ​</t>
  </si>
  <si>
    <t>As we anticipate continued climate change in California with patterns of "weather whiplash," concerns arise about the state's water supply. The high precipitation in the 2022-2023 wet season following the 2020-2022 drought period raised interest in how water chemistry relates to precipitation. To investigate the mechanisms of hillslope fluid flow and associated chemical changes, a series of wells in transect along Rivendell Hillslope, located in Angelo Coast Range Reserve, were sampled for water chemistry during the dry season of 2023. The samples were tested for hardness, alkalinity, and major ion concentrations then compared to previous years to understand the relationship between precipitation volume and groundwater chemistry. Comparing field test results, including hardness and alkalinity, between years showed a clear difference between wells located  at the top and bottom of the hillslope. Additionally, major ions revealed that, overall, concentrations of major ions decreased between 2022 and 2023. This may be a result of the extreme precipitation between the years causing a decrease in ion concentration. These findings suggest that high precipitation causes a dilution of concentrations of major ions within the hillslope.​</t>
  </si>
  <si>
    <t>Gabriella</t>
  </si>
  <si>
    <t>Trulson</t>
  </si>
  <si>
    <t>gtrulson8870@sdsu.edu</t>
  </si>
  <si>
    <t>The Catalytic Effects of Intercalation of Transition Metal Atoms  into Metallic Molybdenum Disulfide</t>
  </si>
  <si>
    <t xml:space="preserve">In catalysts, active sites are atomic sites that facilitate catalysis, lowering the activation energy of reactions. Confinement of single atoms within active site microenvironments has been shown to increase catalytic performance by altering the electronic states of active sites. Using hydrogen evolution (HER) as the model reaction, we studied changes in the catalytic activity of metallic molybdenum disulfide (1T-MoS₂) by intercalating metal single atoms with varied d-orbital occupations within the catalyst’s interlayer spacing. In this work, we intercalated transition metal ions: scandium (d0), manganese (d5), and zinc (d10). Comparing these three cases yields the following results: Intercalation of Zn with fully occupied d orbitals (Zn SAs/1T-MoS₂) produced the lowest overpotential (179 mV vs. RHE) which in turn yields the best HER activity. Intercalation of Mn with half filled d orbitals (HS Mn SAs/1T-MoS₂) resulted in the lowest charge transfer resistance, which in turn best improves HER kinetics. Intercalation of Zn with fully occupied d orbitals (Zn SAs/1T-MoS₂) exhibits the highest stability of all three cases (14 mV increase in overpotential after 3,000 cycles). The d0 case (Sc 1T-MoS₂) yielded the worst activity and stability overall, which is likely due to its inability to donate electrons to 1T-MoS₂ active sites and enhance HER kinetics accordingly. Altogether, these results indicate that the confinement of transition metal ions with fully occupied 3d orbitals had the greatest impact on catalytic activity. Since confinement effects have been recognized for their importance in heterogeneous, homogeneous, and enzymatic catalysis, the knowledge acquired from this research will benefit all types of catalysis.
</t>
  </si>
  <si>
    <t>Jgu@sdsu.edu</t>
  </si>
  <si>
    <t>Carly</t>
  </si>
  <si>
    <t>Nichols</t>
  </si>
  <si>
    <t>cnichols5107@sdsu.edu</t>
  </si>
  <si>
    <t>Creatinine Analysis through Schirmer Strips and Capillary Electrophoresis</t>
  </si>
  <si>
    <t>Schirmer strips are a filter paper based product that uses capillary action to collect tear fluid. While commonly used for dry eye diagnosis, the strips have been found to be a reliable and inexpensive method of extracting analytes from the eye. Tear fluid is an underutilized bodily fluid that contains a wealth of biomarkers, one of which is creatinine. The purpose of this research is to explore the potential for expanding tear-based diagnostic testing to testing for creatinine, which would present a more accessible alternative to presently available creatinine testing through either blood or urine samples.
Creatinine is a waste byproduct of creatine and often used as a marker of organ function. A low amount of creatinine can indicate issues with liver function or malnourishment, while a high amount can indicate poor kidney function. To test this, we will use capillary electrophoresis (CE) to analyze the tear fluid collected with Schirmer strips. Initially, we used a stock solution of creatinine to test methods of elution for accuracy and reproducibility. This was done by placing a Schirmer strip into a vial containing the stock creatinine solution, allowing it to soak to a certain level, removing the strip from the solution, and then selecting a portion of the strip to analyze. Solution from this segment of the strip is desorbed through the use of an extraction buffer and centrifugation. The next steps of this process will be to test real tear fluid samples and compare the consistency of the creatinine found in those samples to that of the creatinine found in blood samples. Consistency of creatinine in tears would allow for potential expansion of tear fluid analysis to other biomarkers. This poster will present our preliminary results comparing tear fluid creatinine levels to blood creatinine levels in order to determine whether or not tear fluid is a comparable medium for diagnostics.</t>
  </si>
  <si>
    <t>Shruti</t>
  </si>
  <si>
    <t xml:space="preserve">Gokhale </t>
  </si>
  <si>
    <t>sgokhale2280@sdsu.edu</t>
  </si>
  <si>
    <t>Environmental Engineering/Bachelor of Science</t>
  </si>
  <si>
    <t>Effects of Non-native Vegetation on Fires in the Urban Mediterranean Systems</t>
  </si>
  <si>
    <t>This research topic builds upon previous work that investigated the effects of native and non-native vegetation on fire regimes in urban Mediterranean riverine systems in southern California. We will highlight five fires with invasive vegetation cover and five without invasive vegetation cover that occurred between 2000 and 2010. These fires are less than 40 km2 and near areas of high urban housing density. We will also include the 2018 Del Cerro brush fire in San Diego as a case study. We will utilize geospatial information about fire characteristics and vegetation conditions, such as the normalized burn ratio (NBR) and normalized difference vegetation index (NDVI), to analyze seasonal and annual changes before and after the fires. We will also incorporate parameters such as wind speed, precipitation, and relative humidity into the analysis of the effects of non-native vegetation on fire patterns.</t>
  </si>
  <si>
    <t>Alyse</t>
  </si>
  <si>
    <t>Purdy</t>
  </si>
  <si>
    <t>apurdy1078@sdsu.edu</t>
  </si>
  <si>
    <t>Seedless, One-Pot Synthesis of Near-Infrared Absorbing Silver Nanotriangles</t>
  </si>
  <si>
    <t>Several applications of metal nanoparticles rely on these materials’ unique optical properties, which can be tuned by altering the size and shape of the nanoparticles. A number of reports in literature describe and break down methods of synthesizing, for example, triangular silver nanoplates of varying size. Many of these methods involve several steps, with the first being the synthesis of small silver nanospheres (“seeds”), which can then be modified in following steps. In our study, we report a reproducible, seedless, one-pot synthesis of silver nanotriangles that can absorb light from the ultraviolet to infrared regions of the spectrum. Utilizing the oxidative, etching power of H2O2, as well as the chemical reduction of silver ions in the presence of trisodium citrate and sodium borohydride, we can produce silver nanotriangles capable of absorbing in the near-IR range. By varying the concentration of silver ions, we are able to control the size of the nanoplates, thus controlling the wavelengths of light at which the particles absorb. To further analyze characteristics of the nanoplates, UV-Vis spectrometry and dynamic light scattering (DLS) was used. With our seedless, one-pot approach, we can create a reproducible spectrum of silver nanotriangles possessing differences in shape, size, and optical properties.</t>
  </si>
  <si>
    <t>Jueun</t>
  </si>
  <si>
    <t>McLintock</t>
  </si>
  <si>
    <t>amclintock2220@sdsu.edu</t>
  </si>
  <si>
    <t>UV-Based Optical System for the Fluorescence and Detection of Oceanic Oil Spills</t>
  </si>
  <si>
    <t xml:space="preserve">This research project has been a collaborative research project between InterOcean Systems, LLC, and San Diego State University addressing the environmental &amp; economic impact of oceanic oil spills. The primary objective of this collaboration is to develop an early detection optical system of oil spills on the ocean surface, preventing unnecessary damage done to the ecosystem and minimizing economic losses.
Our proposed solution is a long-range, fluorescent-based optical system. Where the detector shines UV (ultraviolet) light onto the ocean surface, the oil-slicked surface will fluoresce back into the detector, signaling a positive reading. UV LED's have recently become more affordable and effective, making them the prime choice for the project, as opposed to more expensive lasers used by most other similar products. 
Zemax OpticStudio was used to design the necessary optical components and their position to create the most practical and efficient system. Through a combination of computer modeling and experimental measurements, a UV projection and oil detection system consisting of two telescopes, a UV LED, various filters, lenses and detectors laterally attached to the telescope were created.
We’ve rigorously tested the system with various oil samples in both well-lit and low-light environments. We were also able to successfully detect a square meter of oil from a target distance of 60 meters with remarkably high signal to noise ratios, including in daylight conditions. In this presentation, we will delve into the key features of our prototype's design while also sharing our most recent results.
</t>
  </si>
  <si>
    <t>Waleed</t>
  </si>
  <si>
    <t>Alany</t>
  </si>
  <si>
    <t>manderson@gmail.com</t>
  </si>
  <si>
    <t>droberts2216@sdsu.edu</t>
  </si>
  <si>
    <t>Chemical Physics</t>
  </si>
  <si>
    <t>A Computational Study of Hydridic Hydrogen Bonds</t>
  </si>
  <si>
    <t>Hydridic hydrogen bonds are a new type of hydrogen bonds that were proposed recently in literature. We used Me3Si–H···Y model complexes (Y = ICF3, BrCN, K+, and HCN) containing a hydridic hydrogen as the main systems in this study. These Y groups all contain a less electronegative atom or sigma-holes, which can interact favorably with the Si-H bond where the hydridic hydrogen atom is negatively charged (hydridic) and the Y group is positive.To shed light on the physical origin of the hydridic hydrogen bonds and their differences from the normal (protonic) hydrogen bonds, we employed energy decomposition analysis methods using a common basis set def2-TZVPPD while comparing two different density functionals (wB97X-V and B3LYP-D3(BJ)). The EDA results for model complexes between Me3SiH (the H-donor) and ICF3, BrCN, K+ and HCN show that (i) there is a much more significant role of dispersion interaction in the formation of hydridic hydrogen bonds than in normal hydrogen bonds; (ii) the predominant direction of charge transfer is from X-H to Y, which is reversed compared to the protonic Hydrogen Bonds. In addition, The Si-H vibrational frequency is red-shifted compared to that in the monomer, which, as suggested by the results of adiabatic EDA show that it is primarily due to charge transfer.These findings led us to conclude that an addition of non-classical hydridic and dihydrogen forms to the IUPAC definition of hydrogen bonding should be considered since they have both commonalities and distinctions from the conventional hydrogen bonds.</t>
  </si>
  <si>
    <t>Yuezhi</t>
  </si>
  <si>
    <t>Mao</t>
  </si>
  <si>
    <t>ymao2@sdsu.edu</t>
  </si>
  <si>
    <t>Peyton</t>
  </si>
  <si>
    <t>Alvarez</t>
  </si>
  <si>
    <t>palvarez5609@sdsu.edu</t>
  </si>
  <si>
    <t>Bachelor of Science in Chemistry with an Emphasis in Biochemistry</t>
  </si>
  <si>
    <t>Photochemical production of silver nanoparticles in the environment via reduction of silver ions by humic acid and fulvic acid</t>
  </si>
  <si>
    <t xml:space="preserve">This study focuses on the ability of silver ions and both fulvic and humic acids to form silver nanoparticles in the presence of UV and visible light. Silver nanoparticles have a number of commercial and consumer applications due primarily to their antimicrobial properties. Because of these applications, silver ions and silver nanoparticles enter waterways, and thus, the environment. Unfortunately, these species can directly disrupt sensitive ecosystems by harming bacteria. As silver ions and nanoparticles are photoreactive, the question arises of how they will react in the environment when exposed to sunlight. 
            As our data show, silver nanoparticles can form from the photoreduction of silver ions by fulvic and humic acids, two classes of compounds that result from the breakdown of plants and animals. Additionally, work from our group and other groups shows that iron plays a role in the photoreduction process. In our work we expose solutions of silver ions, fulvic and humic acids, and iron salts to UV and visible light, and monitor changes in the solutions using UV-visible absorption spectroscopy and dynamic light scattering (DLS). In order to better understand the growth mechanism of the resulting nanoparticles, we investigate the effects of reactant concentrations and pH.
</t>
  </si>
  <si>
    <t>Root</t>
  </si>
  <si>
    <t>eroot5913@sdsu.edu</t>
  </si>
  <si>
    <t>Bachelor of Science in Biology with a focus in Cellular and Molecular Biology</t>
  </si>
  <si>
    <t>Electrochemical evaluation of solvents for analysis of Mn(II)(Pybox)Cl2</t>
  </si>
  <si>
    <t>First-row transition metal complexes are of particular interest for use in electrocatalysis due to their relative abundance, affordability and lower environmental impact over traditional metal catalysts. Mn(II)(pybox)Cl2 is one such complex identified as a suitable candidate for electrocatalytic processes. Here, we aim to employ electroanalytical techniques to characterize the mechanism through which it may induce organic radical species from alkyl halides to participate in coupling reactions. Utilizing cyclic voltammetry and electrochemical impedance spectroscopy, the effect of several polar aprotic organic solvents (including acetonitrile, dichloromethane, dimethylformamide and tetrahydrofuran) on the electrochemical system’s electron transfer capacity were examined. Each solvent was selected based on preexisting data suggesting high solvating ability, electrochemical inactivity and desirable electrochemical limit. Solvent attributes such as polarity and coordination ability were evaluated to better understand the relationship between the complex and its chemical environment, therefore gauging the compound’s stability both intrinsically and during electron transfer. Through this methodology, it was determined that Mn(II)(Pybox)Cl2 demonstrated the highest stability in acetonitrile. Dimethylacetamide presents as an attractive candidate for further examination due to its wide potential window and low coordination ability relative to the aforementioned solvents.</t>
  </si>
  <si>
    <t>Jeffrey</t>
  </si>
  <si>
    <t>Cara</t>
  </si>
  <si>
    <t>Higashi</t>
  </si>
  <si>
    <t>chigashi1194@sdsu.edu</t>
  </si>
  <si>
    <t>Bachelor of Arts in Geography</t>
  </si>
  <si>
    <t xml:space="preserve">How Specific Conductivity Analysis Can Aid in Identifying Peak Wastewater Outflow of the Tijuana Estuary </t>
  </si>
  <si>
    <t xml:space="preserve">In the last few decades, rapid urbanization and population growth around the Tijuana Estuary has disrupted the river ecosystem due to the influx of wastewater entering the system. With this quickly changing environment, water quality technology has shifted to exploring the benefits of instantaneous solutions to detect concentrated waste water runoff. As wastewater from the Tijuana River is dispelled into the estuary, hypothetically this freshwater inflow is mixed with the salt water of the ocean lowering its overall concentration. This mixing may not occur resulting in freshwater lensing; this would mean higher concentrations of sewage may flow directly into the ocean. By utilizing specific conductivity sensors near the river mouth that monitor water quality in real time, we can aid in the early detection of sewage water outflows. In order to decipher when these high concentration events occur, we use specific conductivity sensors at different depths to help identify a salinity gradient and determine which tidal functions cause these events. By analyzing data collected from the Tijuana Estuary Boco Rio site at the surface and near-bottom of the channel, we may be able to find a correlation between surges of freshwater flow during storm events and variances in salinity. 
</t>
  </si>
  <si>
    <t xml:space="preserve">David </t>
  </si>
  <si>
    <t>Penn</t>
  </si>
  <si>
    <t>agomez9302@sdsu.edu</t>
  </si>
  <si>
    <t>Bachelor in Chemistry, emphasis in biochemistry.</t>
  </si>
  <si>
    <t>Utilizing Dihedral Angle Control as a Strategy to Obtain Selective Diarylamine Kinase Inhibitors</t>
  </si>
  <si>
    <t>One of the key aspects that drives the research in our lab is atropisomerism, a type of conformational chirality that occurs when there is hindered rotation about a chiral bond. This hindered rotation results in a spontaneous mechanism of racemization, with atropisomers spanning a spectrum of stereochemical stability dependent on their half-lives of racemization. Our group has shown that Class-1 atropisomers bind to targets in a small subset of conformations, and that different targets can prefer different subsets of conformations about the same atropisomeric axis. Building on this hypothesis, we have shown that tuning the dihedral angle of the atropisomeric axis towards the target’s preferred low-energy dihedral angle conformation can cause significant gains in the selectivity of kinase inhibitors. Diarylamines, which possess two contiguous axes, are one of the most privileged scaffolds in drug discovery. An analysis of the protein data bank revealed that out of 1600+ entries, approximately 100 ligands bind their target in conformations where one of the axes is planar and the other axis is near-orthogonal. Our research aims to increase the selectivity of diarylamine kinase inhibitors by preorganizing their atropisomeric C-N axes into these unique dihedral angle binding conformations. We hypothesize that the selectivity of Neratinib, a promiscuous irreversible kinase inhibitor currently used to treat HER2-positive breast cancer, can be significantly improved by preorganizing or ‘tuning’ its atropisomeric axes towards the preferred low energy binding conformations of HER2, thus reducing off-target kinase inhibition and adverse side effects seen in the clinic. We are currently synthesizing dihedral angle tuned and atropisomerically stable Neratinib analogs by adding steric bulk adjacent to the more electron rich chiral axis and employing intramolecular hydrogen-bonding across the quinoline C-N axis. With these compounds in hand, we will evaluate their selectivities and potencies against HER2 and a panel of off-target kinases, as well as conduct in vitro studies in HER2 driven cancer cell lines.</t>
  </si>
  <si>
    <t xml:space="preserve">Jeffrey </t>
  </si>
  <si>
    <t>jGustafson@sdsu.edu</t>
  </si>
  <si>
    <t>ljohnston9722@sdsu.edu</t>
  </si>
  <si>
    <t>Effect of Service Learning On Students’ Perceptions of Low Income Populations</t>
  </si>
  <si>
    <t xml:space="preserve">Service learning experiences (SLEs) are teaching/learning strategies that are designed to allow students to apply their knowledge and skills to real world situations while having a positive impact in the community. Through SLEs, students are able to gain experience, develop critical thinking skills, and better understanding of the healthcare system and its population. SLEs can expose students to diverse communities and populations where social determinants of health and health equity issues often exist, supporting patient centered care through the development of cultural competency. This project examined the impact of a SLE on nursing students' perceptions of low income populations through reflective journaling. Reflection surveys were administered to the student’s pre- and post-experience to elicit their perceptions of low income populations prior and after completing the SLE. The SLE consisted of data collection from low income populations who reside in unincorporated communities in Imperial County, California. Students reported better understanding of the health needs of low income populations, were unaware of their own bias and preconceived ideas and realized that an individual’s journey to low income status is multifaceted. Students were surprised that a person’s literacy abilities were not necessarily dependent on their education level and were more trusting of health information provided by family and friends rather than their healthcare providers. The SLE supported development of student empathy, cultural competence and empowerment, qualities that support trust between patients and their healthcare providers. SLE’s can provide structured opportunities for nursing students to learn about individuals from diverse backgrounds while serving their community. Through these experiences, nursing students are empowered to identify barriers and challenges to health equity and inspired to advocate on behalf of communities in need. 
</t>
  </si>
  <si>
    <t>Dr. Shiloh</t>
  </si>
  <si>
    <t>Lloyd Kane Thomas</t>
  </si>
  <si>
    <t>Marshall</t>
  </si>
  <si>
    <t>lmarshall0714@sdsu.edu</t>
  </si>
  <si>
    <t xml:space="preserve">Bachelor of Science in Kinesiology </t>
  </si>
  <si>
    <t>Single-leg Resistance Exercise Training in Mice Leads to a Decrease Followed by an Increase in In Vivo Torque of Anterior Crural Muscles</t>
  </si>
  <si>
    <t xml:space="preserve">Resistance exercise is known to produce muscle hypertrophy. However, little is known about the role of muscle satellite cells in generating new myofibers or in incorporating satellite cells to live myofibers during exercise training. PURPOSE: To investigate whether single-leg resistance exercise training can activate the incorporation of muscle satellite cells in mice. METHODS: Transgenic male mice (12 weeks old) that express Td-Tomato fluorescent protein in Pax7+ (i.e., satellite cells) cells (Pax7CreER-Ai9) were treated with tamoxifen (2 mg in corn oil, i.p.) once a day for 5 days. Three days later, mice were single-leg exercise trained (i.e stimulation of the peroneal nerve of the right leg of each mouse to evoke fused tetanic contractions [100 Hz] of the anterior crural muscles), 3x per week for either 1 or 2 weeks. Each training session was composed of 3-s contractions with 7 s recovery between contractions, 10 contractions each set, 5 sets with 5 min rest between sets. Before the first training session and 3 days after the last training session (1 week or 2 weeks training), torque produced by the ankle was measured at different frequencies of pulse-stimulation (1-200 Hz), mice were euthanized, and muscles were frozen for histological measurements. RESULTS: During each session of training, peak torque developed at the last contraction was ~30% of the torque developed in the initial contraction of the session suggesting fatigue development. Between sessions of training, initial torque was not significantly different suggesting that muscle recovered function between sessions. Torque measurements at different frequencies of stimulation 3 days after 1 week or 2 weeks of training showed a ~50% decrease in maximal tetanic torque relative to the mice body weight, after 1 week of training but there was a recover in torque at 2 weeks of training. CONCLUSION: Resistance exercise training in mice by using single-leg electrical stimulations leads to a fast (i.e., 1 week) decrease in muscle force development. </t>
  </si>
  <si>
    <t>Nogueira, PhD</t>
  </si>
  <si>
    <t>Kasper</t>
  </si>
  <si>
    <t>dkasper1276@sdsu.edu</t>
  </si>
  <si>
    <t>Bachelor of Science in Kinesiology</t>
  </si>
  <si>
    <t>Nitrate Supplementation Decreases In Vivo Muscle Torque Without Affecting Recovery From Injury in Mice</t>
  </si>
  <si>
    <t xml:space="preserve">Investigate whether nitrate supplementation affects in-vivo torque recovery after muscle injury produced by intramuscular injection of BaCl2. Transgenic male mice (12 weeks-old, n=8) that express Td-Tomato fluorescent protein in Pax7+ cells (Pax7CreER-Ai9 mice) were randomly separated in two groups (water and nitrate). One week before muscle torque testing and muscle injury, all mice were treated with tamoxifen (2 mg, intraperitoneally) once a day for 5 consecutive days while also exposed either to 1 g/L of NaNO3 in drinking water (nitrate group) or non-treated water (control group). In the nitrate group, NaNO3 was provided until mice were euthanized. One week following treatment initiation, both legs from each mouse were individually subjected peroneal nerve stimulation to evoke contractions of the anterior crural muscles (1-200 Hz; Torque-frequency curve). After TFC, one leg was subjected to intramuscular injections of 1.2% BaCl2 (intramuscularly) to produce injury of the tibialis anterior and extensor digitorum longus muscles. In the contralateral leg muscles were not injured. TFC were tested again on both legs on days 2, 7, 14 and 21 post BaCl2 injection, then mice were euthanized, and TA muscles were dissected for histology. TdTomato fluorescence was used as a marker of muscle regeneration. In both legs before injury, maximal torque was statistically lower in mice from nitrate vs water groups (103 ± 3 vs 84 ± 2 Nmm/kg, for water vs nitrate groups in non-injured leg, respectively, P&gt;0.05, and 96 ± 9 vs 73 ± 9 Nmm/kg for water vs nitrate groups in injured leg, respectively, P&gt;0.05). During recovery from injury, torque developed by mice from the nitrate group was still lower than from the water group (P&lt;0.01), when torque was normalized by the torque developed by the non-injured leg, there was no difference between groups on days 2 (28 ± 13% vs 25 ± 1%), 7 (41 ± 4% vs 35 ± 2%), 14 (81 ± 7% vs 87 ± 1%) and 21 (104 ± 3% vs 105 ± 3%) for water and nitrate groups respectively. Data suggests that nitrate supplementation decreases nerve-stimulated torque development and does not change the recovery of torque after BaCl2 injury. </t>
  </si>
  <si>
    <t>Noelle</t>
  </si>
  <si>
    <t>Villegas</t>
  </si>
  <si>
    <t>nvillegas3969@sdsu.edu</t>
  </si>
  <si>
    <t>Bachelor of Liberal Arts in Speech Language and Hearing Sciences</t>
  </si>
  <si>
    <t>Semantic Abilities in Children and the Effects of SES</t>
  </si>
  <si>
    <t xml:space="preserve">A child’s semantic abilities are influenced by a plethora of variables, including socioeconomic status (SES). This is especially relevant in San Diego County, an area of diverse demographics. SES can be measured in a number of ways, including parental education and income. Parental education and income have each been examined separately in relation to children’s semantic knowledge. However, a parent’s education level has a major impact on their contribution to the total family income; someone with a bachelor’s degree has 84% higher median earnings compared to someone exclusively with a high school diploma. Past SES studies mainly include one measure of SES, but here we include two measures, leaving room to look deeper into the intricate relationship between SES and a child's semantic ability. 
In this study, parents completed a demographic questionnaire that included questions about their highest completed level of education and annual household income. Children, ages 8 to 14, completed a series of assessments of their language skills, including a measure of semantic ability and lexical knowledge (i.e., the Vocabulary Assessment subtest of the Test of Integrated Language and Literacy Skills).  
We predict that a child’s semantic ability will be dependent on their family’s SES when measured based on both education and income. Looking at the SES measures independently, we predict a positive relationship between each factor and a child’s semantic abilities. Therefore, we expect children with parents with a higher completed level of education to have more proficient semantic abilities. We also expect to see this relationship in the other SES factor we are measuring, annual household income, such that children whose parents have a higher annual income will have a higher level of semantic ability. These findings would suggest that social and economic factors are reflected in a child’s ability to understand, interpret, and link together various words. This study will contribute more information on how to accurately measure a child’s SES and whether children from specific SES backgrounds should be offered additional resources to improve particular branches of language ability, specifically semantics.
</t>
  </si>
  <si>
    <t>Abbie</t>
  </si>
  <si>
    <t>Brandt</t>
  </si>
  <si>
    <t>Alishba</t>
  </si>
  <si>
    <t>Chaudhary</t>
  </si>
  <si>
    <t>Alyson</t>
  </si>
  <si>
    <t>amills@sdsu.edu</t>
  </si>
  <si>
    <t>Ybarrondo</t>
  </si>
  <si>
    <t>nybarrondo9385@sdsu.edu</t>
  </si>
  <si>
    <t>The Effects of Concert Noise Exposure on Hearing in Young Adults</t>
  </si>
  <si>
    <t xml:space="preserve">This research project investigated the effects of concert noise exposure on hearing in young adults, primarily on changes in distortion product otoacoustic emissions (DPOAEs). The aim was to identify any potential changes in auditory function after exposure to loud concert noise in 40 participants.
Recruitment focused on participants between the ages of 18 and 35 years old. Survey data were first collected from each participant to help understand what factors may have contributed to any changes in auditory function. Then, a comprehensive audiometric testing protocol including otoscopy, tympanometry, acoustic reflex thresholds, DPOAEs, and pure tone hearing tests was administered. Outcome data for this study included DPOAEs, a low-frequency (0.25, 0.5, 1, 2 kHz) pure-tone average (PTA), and a high-frequency (3, 4, 6, 8 kHz) PTA for each ear.
To begin, 32 participants were tested within 24 hours of noise exposure. Those who reported attending a concert for 3 or more hours and being near speakers had poorer (i.e., higher) high-frequency PTAs in both ears compared to those who reported being at a concert for less than 3 hours and away from speakers, respectively. Also, those who reported longer concert time and closeness to speakers had poorer (i.e., lower) DPOAEs at 4 and 6 kHz compared to those who reported less concert time and being away from the speakers. None of these differences were statistically significant. For the 13 participants with pre- and post-concert data, there was a decrease in DPOAEs at 5 of 6 frequencies in the left ear after the concert; while for the right, there was a decrease at one frequency. 
Data from the current study show that the auditory system is vulnerable when exposed to loud music for longer durations. One limitation of the current study was the amount of time between exposure and testing. To reflect the most accurate noise-induced changes, the time between noise exposure and testing should be minimized in order to capture the greatest change in auditory function. Although the changes were temporary, further research is required to fully understand the long-term impact of this type of noise exposure. 
</t>
  </si>
  <si>
    <t xml:space="preserve">Ty </t>
  </si>
  <si>
    <t>Peter</t>
  </si>
  <si>
    <t>Torre</t>
  </si>
  <si>
    <t>ptorre@sdsu.edu</t>
  </si>
  <si>
    <t>Joya Euceda</t>
  </si>
  <si>
    <t>vjoyaeuceda8682@sdsu.edu</t>
  </si>
  <si>
    <t xml:space="preserve">Doctorate in Philosophy in Geography </t>
  </si>
  <si>
    <t>Growing Together: The Production of Community in San Diego’s Urban Gardens</t>
  </si>
  <si>
    <t xml:space="preserve">Urban agriculture has become increasingly popular in many cities across the United States in the past decade. Advocates argue that cultivating food in urban environments provides various benefits, such as access to healthy food, increased green spaces, opportunities for physical activity, and social connections. Low-income individuals, people of color, and immigrants are typically portrayed as the primary beneficiaries of collective gardening, which presumably helps them “grow roots,” create a sense of place, find social cohesion, and address food insecurity. Yet, due to historically racialized urban policies, investment patterns, and land use planning, these groups also face limited access to environmental amenities such as safe green space, healthy land, and clean air, limiting their ability to garden in the city.
This presentation relies on extensive data, including interviews and audits, collected from 53 gardens in the urbanized part of San Diego County during the fall of 2023. Preliminary findings suggest that most growers use gardens as a space for community building rather than as a necessity to grow food. We aim to better understand the spatial nature of community building by comparing the roles of garden managers and the physical characteristics of community gardens in fostering a sense of place and belonging. Garden managers typically facilitate events, enforce garden rules, and manage waitlists, with varying levels of input from other members. These activities influence the sense of belonging and community. These are also reflected in and shaped by key physical characteristics, such as fences, seated/shaded areas, and locks. These may also influence inclusion and belonging, including openness to neighborhood residents and “outsiders.” Building on existing literature of community, this presentation draws from six community gardens within San Diego County representing high- and low-income areas to investigate community building and social inclusion processes. We hypothesize that class and race influence the organizational and spatial structures of gardens and their impact on the parallel processes of place-making and community-building. Results from our analysis will provide valuable information for initiatives to increase equitable opportunities in urban agriculture within San Diego by questioning the meaning of community in community gardens.
</t>
  </si>
  <si>
    <t>Osvaldo</t>
  </si>
  <si>
    <t>Napoles Robledo</t>
  </si>
  <si>
    <t>Alicia Yee Lok</t>
  </si>
  <si>
    <t>Assang</t>
  </si>
  <si>
    <t>aassang5760@sdsu.edu</t>
  </si>
  <si>
    <t>The Relationship between Burdensomeness and Social Motivation</t>
  </si>
  <si>
    <t xml:space="preserve">Social connection is integral to functioning. A lack of social connection leads to both physical and mental health complications. Burdensomeness – one believing they are liabilities to others – may threaten the maintenance of social connection, especially with existing close social connections, yet little is known about the relationship between burdensomeness and the desire to connect with others, also known as social motivation. The current study, therefore, explores whether burdensomeness is associated with social motivation with the hypothesis that higher burdensomeness would be associated with lower social motivation for existing, but not new, social connections. To test the hypothesis, 385 participants (M = 22.56 and 50.6% women) completed an online survey that asked  about their perceived burdensomeness (measured through the interpersonal needs questionnaire), their present social motivation to maintain existing connections and develop new connections (measured through the state motivation to foster social connections scale), and current depressive symptoms. As hypothesized, there was a correlation between burdensomeness and social motivation for existing relationships after adjusting for depressive symptoms; greater burdensomeness was associated with lower motivation to interact with existing connections, r = -.124, p =.015. However, there was no relationship between burdensomeness and social motivation for new relationships, r = -.037, p =.468.  Results reveal a previously unrecognized barrier to social connection, namely feelings of burdensomeness. Our findings not only suggest that burdensomeness is associated with low social motivation above and beyond depressive symptoms, but also that burdensomeness might be particularly harmful for existing social connections. As such, future experimental research could examine the effect of burdensomeness on the desire to connect with existing connections and the implications for continued connection. </t>
  </si>
  <si>
    <t>Chih-An</t>
  </si>
  <si>
    <t>Bian</t>
  </si>
  <si>
    <t>cbian2479@sdsu.edu</t>
  </si>
  <si>
    <t>Innovation Orchards: Can innovation-encouraged labs nurture the seedlings of students' motivation and interest in STEM?</t>
  </si>
  <si>
    <t xml:space="preserve">STEM fields nurture boundless possibilities for groundbreaking research, tackling complicated problems and improving human society. Aspiring students often envision themselves as scientists with the opportunity to contribute positively to the world. Faculty-led research laboratories serve as the initial gateway for undergraduate students to familiarize how innovation sparks, and start thinking and working like a creative scientist (Hunter et al., 2007). But all labs are not the same. Labs consist of different norms, beliefs and other social contexts of science, forming different microcultures (Thoman et al., 2017). We expect the microculture of “innovation encouragement (Canning et al., 2020)” varies across labs, with consequences for student experiences in those labs. Some labs welcome and support innovation, while others prioritize playing it safe and minimizing risks. We expect that these varied experiences influence students’ perception of STEM fields, shaping their interest and motivation to continue to pursue STEM. A total of 627 student researchers working in 117 faculty labs across three universities participated in a survey study of research experiences and motivations. To investigate the relationships between innovation encouragement and student experiences, we employed multi-level correlation analysis. We found that students who reported greater innovation encouragement in their labs perceive a more comfortable lab atmosphere (β = .35, p &lt; .001) and felt more comfortable raising disagreement in the lab (β = .32, p &lt; .001). Additionally, they perceive themselves to be more competent (β = .27, p &lt; .001), consider their lab work more interesting (β = .43, p &lt; .001), and have higher intention to pursue STEM careers (β = .19, p = .004). Our findings suggest the microculture of innovation encouragement plays a crucial role in student’s lab experiences and their motivation and interest toward STEM. </t>
  </si>
  <si>
    <t>Jimenez</t>
  </si>
  <si>
    <t>rajimenez@sdsu.edu</t>
  </si>
  <si>
    <t>M.A. Psychology</t>
  </si>
  <si>
    <t>Neighborhood adversity, social support, and depression and anxiety symptoms in a low-income migrant community on the U.S.-Mexico border</t>
  </si>
  <si>
    <t xml:space="preserve">Background: Low-income individuals with migration history are at risk for poor mental health due to social and systemic adversity (e.g., food/housing insecurity, migration stress, family separation). Prior research has demonstrated links between neighborhood quality (e.g., walkability, safety) and depression and anxiety symptoms, but few studies have involved migrant populations along international borders. Social support is associated with mental health and may influence the relationship between neighborhood adversity and depression and anxiety symptoms.
Purpose: To examine associations of neighborhood adversity with depression and anxiety symptoms in a low-income U.S.-Mexico border population and explore whether perceived social support moderates these relationships.
Methods: This cross-sectional study recruited adults seeking health care at a free clinic in Tijuana, Mexico in 2016. Neighborhood adversity was measured using a 30-item neighborhood characteristics scale with five subscales (social cohesion, walking/exercise environment, healthy food access, crime/safety, aesthetic quality). Depression symptoms were assessed using the 8-item Patient Health Questionnaire (PHQ-8). Anxiety symptoms were assessed using the 7-item Generalized Anxiety Disorders scale (GAD-7. Social support was measured using the 12-item Interpersonal Support Evaluation List (ISEL-12). 
Results: Participants were 206 adults (M age=47.2, SD=11.9); 77% were male; 76% reported history of migration to the U.S. and/or deportation (forced removal). Prevalence of clinically significant depression and anxiety symptoms were 37% and 33%. Mean ISEL-12 score was 19.6 (SD = 5.9, range = 0-36). Adjusting for age, sex, and education, individuals with higher neighborhood adversity had higher depression (β=0.05, p=.01) and anxiety (β=0.05, p=.03) symptoms. In subscale analyses, poorer neighborhood aesthetic quality was associated with depression and anxiety symptoms and higher crime/unsafety was associated with anxiety symptoms. Social support did not moderate the relationships between neighborhood adversity total score or subscale scores and depression and anxiety symptoms. 
Conclusion: Neighborhood adversity is a potentially modifiable correlate of poor mental health in low-income individuals along the U.S.-Mexico border. Interventions to improve neighborhood factors (e.g., aesthetic quality, safety) may reduce risk for depression and anxiety. </t>
  </si>
  <si>
    <t>McCurley</t>
  </si>
  <si>
    <t>Dominguez</t>
  </si>
  <si>
    <t>jdominguez5368@sdsu.edu</t>
  </si>
  <si>
    <t>M.S in Child Development with a Concentration in Early Childhood Mental Health</t>
  </si>
  <si>
    <t>Unstuck and On Target Therapists : A Cultural Lense on Delivering Mental Health Interventions</t>
  </si>
  <si>
    <t xml:space="preserve">Currently, disparities in services for the Latinx autistic youth exist, including those per (Magana et al., Mandel et al., 2009) are present in our system. These disparities include and influence the quality of services that many families are receiving. Cultural adaptations to mental health interventions are required in order to obtain positive outcomes and potentially address disparities in services. These adaptations often include changes to the intervention. According to Bernal, Jimenez-Chafety, and Domenech Rodriguez (2009, pg. 362) a therapist should take into consideration the client’s language, culture and values in order to meet the client’s needs (Bernal et al., 2009). Research demonstrated that there is a high need for cultural adaptations when delivering mental health interventions for the diverse families who have a family member who is diagnosed with autism (Chlebowski et al., 2019).  An ongoing study focused on testing an intervention specifically adapted for use with autistic youth in mental health settings. Notably, this intervention was originally developed and shown effective when delivered in diverse school settings, with association between how this intervention was delivered and youth characteristics. This study will focus on investigating if there is an association between the therapist's use of Unstuck and On target, an executive function intervention adapted for use in mental health settings, and the client’s race/ ethnicity.  Analyses of mean differences are anticipated to address this question. Results will inform further efforts to adapt this intervention for the mental health service settings serving diverse youth and families. 
</t>
  </si>
  <si>
    <t xml:space="preserve">Kelsey </t>
  </si>
  <si>
    <t>Jacqueleen</t>
  </si>
  <si>
    <t>Weeden</t>
  </si>
  <si>
    <t>jweeden@sdsu.edu</t>
  </si>
  <si>
    <t>Master of Arts in Geography</t>
  </si>
  <si>
    <t>Elders' perspectives on the environment: A collaborative exploration for brownfield revitalization in National City, CA</t>
  </si>
  <si>
    <t>Community members hold invaluable, firsthand knowledge of their communities' history, traditions, and cultural nuances, offering unique perspectives often unseen or not sought out but powerful for informing decision-making. Through a collaborative effort between college students, the City of National City Senior Center and Nutrition Center, and elders from National City, CA, I collected 42 oral history interviews containing environmental discourse between elders from a diverse city in Southern California and San Diego State University students. These conversations focus on understanding and promoting the interconnection between human behavior and environmental conservation to contribute to the growing literature on conservation psychology. The study also completed surveys with the elders to understand their interaction with the environment throughout their lifetime, to see if they are aware of brownfield presence in their community, to hear how they would like brownfield sites to be revitalized in their community, and more. This study used oral history interviews and surveys to create safe spaces for elders to share their memories and perspectives and contribute to historical and geographical narratives that allow elders to craft their retelling of events. An analysis of transcribed oral history interviews will analyze word choices and non-verbal elements such as pauses or silence, expressing uncertainty or confidence, or emphasis on words or statements that will help conceptualize an understanding of the state of the environment amongst elders in National City. Additionally, a stratified analysis of the surveys will allow for comparisons between different subgroups, revealing variations in responses across demographics or other relevant characteristics. This research aims to amplify elders' voices and inform decision-makers and planners to revitalize brownfield sites to create an urban green environment where elders can healthily and safely age in place. Through these methods and analyzing the results, I argue that elders value and recognize the importance of accessible green spaces and, to an extent, are aware of the climate emergency and feel a sense of urgency, not for themselves but for future generations.</t>
  </si>
  <si>
    <t>Madison</t>
  </si>
  <si>
    <t>Swayne</t>
  </si>
  <si>
    <t>mswayne@sdsu.edu</t>
  </si>
  <si>
    <t>Malaya</t>
  </si>
  <si>
    <t>Cilley</t>
  </si>
  <si>
    <t>mcilley3416@sdsu.edu</t>
  </si>
  <si>
    <t>Master of Public Health (Health Promotion and Behavioral Science)</t>
  </si>
  <si>
    <t>Community Views: A Study on Community Perspectives on Public Restrooms in San Diego County</t>
  </si>
  <si>
    <t>BACKGROUND
Approximately 1 million individuals across the United States lack access to basic water, sanitation, and hygiene (WaSH) services, leading to a variety of adverse health outcomes. One region where WaSH access is a major public health problem is San Diego, California, where only 669 public restrooms are available to serve thousands of individuals across the County. Despite the clear inadequacy of the current facilities, it is hypothesized that a major barrier to providing equitable access to public restrooms is the lack of public support. This study aims to identify the motivating factors underlying the opposition to, and support of, increasing equitable access to public restrooms in San Diego County.
METHODS
This study uses the mixed-method approach Concept Mapping, which identifies, explores, and ranks community concerns regarding public restroom access in two phases: phase I–Brainstorming and phase II–Sorting and Rating. Participant recruitment and data collection occurred using in-person (n=95 at five key locations) and online modalities (n~136) with the sample size varying for each phase. Between July 2022 through November 2023, Phase I generated 175 statements, condensed down to 39 statements, in response to the focal question: “What’s one reason, for or against, having more and better public restrooms in San Diego?” These statements inform the activities of Phase II, which is currently underway. 
RESULTS
Our research team is actively collecting data for Phase II, but preliminary results from Phase I suggest that there is less opposition to increasing access to and availability of public restroom facilities than expected. Participants' responses centered on issues including human rights, dignity, and economic and health benefits (e.g., “Public restrooms reduce the transmission of diseases” and “Public restrooms ensure human dignity”).
CONCLUSION
Results will advance understanding of how to garner support to increase public restroom access. In return, this will aid in the advancement of health equity for various populations throughout San Diego County.</t>
  </si>
  <si>
    <t>Manriquez</t>
  </si>
  <si>
    <t>lemanriquez@sdsu.edu</t>
  </si>
  <si>
    <t xml:space="preserve">The Effects of Choline and Exercise Treatment on Anxiety-Like Behavior Following Prenatal Alcohol Exposure </t>
  </si>
  <si>
    <t xml:space="preserve">The nutritional supplement choline or exercise can mitigate cognitive abnormalities associated with prenatal alcohol exposure. Interestingly, prenatal alcohol exposure can increase anxiety, but it is not known whether these interventions reduce anxiety. Thus, we are using a rodent model to examine whether choline, exercise, or the combination reduces anxiety related to prenatal alcohol exposure. Sprague-Dawley rats either receive ethanol exposure or are controls. Then subjects receive either choline, exercise, or the combination. Next subjects complete behavioral testing to examine anxiety. This study uses a 2 (ethanol, sham) x 2 (choline, saline) x 2 (exercise, no exercise) x 2 (female, male) design. From postnatal days (PD) 4-9, the developmental period equivalent to the 3rd trimester in human pregnancy, ethanol-exposed subjects receive milk diet containing ethanol (11.9% v/v, 5.25 g/kg) by oral gavage; controls receive a sham procedure. During adolescence, from PD 10-30, subjects receive daily injections of either choline chloride (100 mg/kg/day) or saline. From PD 22-33, half the subjects have access to a running wheel and the other half do not. In adulthood, on PD 67, subjects are tested on the elevated plus maze to measure anxiety. Subjects are placed on a plus-shaped elevated platform with two open and two enclosed arms for 5 minutes. Since rats have a natural tendency to avoid open areas due to potential exposure to predators, rats who spend more time in open arms exhibit less anxiety-related behaviors. Frequency of entries and time spent in open arms, closed arms, and center area are recorded. All behaviors are coded using OD Log software. </t>
  </si>
  <si>
    <t>Megha</t>
  </si>
  <si>
    <t>Raghunathan</t>
  </si>
  <si>
    <t>mraghunathan@sdsu.edu</t>
  </si>
  <si>
    <t>Ph.D. in Biomedical Sciences</t>
  </si>
  <si>
    <t>MutL loss in ER+ breast cancer alters secretome resulting in pro-tumorigenic macrophage polarization</t>
  </si>
  <si>
    <t>The Mismatch Repair (MMR) pathway, a crucial tumor suppressor mechanism, is dysregulated across cancer types. We previously identified the loss of the MutL complex of the MMR pathway, as a key factor inducing resistance to endocrine therapy in Estrogen Receptor positive (ER+) breast cancer patients. Preliminary data previously generated in the lab supports a role for MutL loss in promoting metastasis of ER+ breast cancer. A mammary-specific knockout mouse model for MLH1, a principal component of MutL, created in the Haricharan lab develops aggressive mammary tumors that metastasize to multiple organs. To unveil the mechanism by which MLH1 loss triggers metastasis, an unbiased RPPA and RNA-Seq was conducted which revealed cytokine secretion in the immune system as a distinctive signature of MLH1- ER+ breast cancer cells. Secreted cytokine levels altered by MLH1 loss were identified in multiple ER+ breast cancer cells lines from concentrated conditioned media. Additionally, in vivo experiments with xenograft MLH1- ER+ tumors in nude mice, revealed an elevated number of CD206 expressing tumor-promoting M2 macrophages in the tumor microenvironment. These findings indicate that loss of MLH1 alters the ER+ breast cancer secretome and alters macrophage maturation, suggesting a role for MLH1 in immunomodulation supporting metastatic progression.</t>
  </si>
  <si>
    <t>Svasti</t>
  </si>
  <si>
    <t>Haricharan</t>
  </si>
  <si>
    <t>sharicharan@sdsu.edu</t>
  </si>
  <si>
    <t>Andres</t>
  </si>
  <si>
    <t>Jimenez Salinas</t>
  </si>
  <si>
    <t>ajimenezsalina6385@sdsu.edu</t>
  </si>
  <si>
    <t xml:space="preserve"> Doctor of Philosophy Chemistry/Biochemistry</t>
  </si>
  <si>
    <t>Raf Kinase membrane activation is modulated by multivalent protein-lipid interactions</t>
  </si>
  <si>
    <t>Cell signaling is responsible for many different cellular events that allows organisms to grow, survive and properly respond to changes in its environment. Signaling pathways such as the MAPK pathway, have been greatly studied due to its medical relevancy, deviation of its normal state may lead to cancers and other neurodegenerative diseases. A key protein in this pathway, Raf Kinase and its activator protein Ras-GTPase have been implicated in almost half of all cancers. To better understand the molecular dynamics and possible points of dysregulation, I am investigating the N-terminal regulatory domains of Raf, the Ras binding domain (RBD) and cysteine rich domain (CRD). Various molecular events are required for Raf to become fully active and transduce the signal such as Ras binding, membrane recruitment, and dimerization. The transition from inactive to active state and molecular mechanism lead to Raf’s fully activated state are not well understood. To recapitulate the membrane environment, I have prepared supported lipid bilayers (SLB), this method allows me to precisely control the lipid composition of SLBs. Purified protein Raf constructs were specifically labeled with a small inorganic dye using a Sortase ligation reaction. Using fluorescent microscopy, I have characterized the biophysical properties of Raf’s individual and tandem regulatory domains. I employed total internal reflectance fluorescent microscopy to measure membrane recruitment through protein and/or lipid interactions under different lipid compositions. These measurements will provide valuable information on how the activity of Raf is modulated by these protein domains and how its lipid environment may impact its stability on the membrane. The data obtained from the experiments will provide a better overall picture of the activity of Raf and may contribute to the advancement of cancer therapeutics.</t>
  </si>
  <si>
    <t>Angus</t>
  </si>
  <si>
    <t>afletcher@sdsu.edu</t>
  </si>
  <si>
    <t>MS: Environmental Health</t>
  </si>
  <si>
    <t xml:space="preserve"> Chemical leachates from microfibers perturb embryonic development in zebrafish </t>
  </si>
  <si>
    <t xml:space="preserve">Microplastic fibers (MPFs) are the most common type of microplastic found in the marine environment. Textile production is the largest source of MPF pollution and chemical additives are often applied to both natural and synthetic fibers to enhance desirable properties. Endocrine disrupting chemicals are among the most common chemical additives in textiles and can elicit a range of toxicological responses, including oxidative stress and developmental toxicity. Currently, no experimental studies have investigated the toxicity of microfiber chemical leachates. The effects of 4 different textile microfiber leachates on zebrafish survival, hatching, toxic endpoints, and gene expression, under photolytic (light) or non-photolytic (dark) were evaluated. Zebrafish embryos were exposed to MPF leachates produced from 3-day solar simulated (light) or non-solar simulated (dark) conditions. Leachates were prepared as  20 g/L solutions, then diluted for experiments to 0%, 25%, 75%, 100%. Leachates from untreated, non-dyed polyester, polyester/cotton blend, nylon, and cotton were used. Embryos were exposed from 0-4 days post fertilization (dpf). Survival and hatching were screened daily, and embryonic morphology and transcriptomics were assessed at 4 dpf. Increased exposure to nylon and cotton leachates increased the incidence of developmental deformities, mortality, and prevented or delayed hatching. Increased exposure to polyester leachates also increased the incidence of developmental deformities, mortality, but did not have an effect on hatching. Increased exposure to polyester/cotton leachates had no effect on mortality and hatching rates, and had a minimal effect on the incidence of developmental deformities. Overall, this work demonstrates that MPF leachates have different levels of embryotoxic effects depending on the polymer and the composition of its chemical additives. 
This research was supported by the California State University Council on Ocean Affairs, Science &amp; Technology.
</t>
  </si>
  <si>
    <t>Alex</t>
  </si>
  <si>
    <t>alee6037@sdsu.edu</t>
  </si>
  <si>
    <t>Masters Public Health - Environmental Health</t>
  </si>
  <si>
    <t>Non-targeted Analysis for Chemical Contaminants in Sediment near cannabis farms within Carpenteria county</t>
  </si>
  <si>
    <t xml:space="preserve">With California's legalization of recreational use and commercial farming of cannabis in 2016, there has been a significant surge in both the consumption and production of cannabis, particularly in Santa Barbara's Carpinteria county, one of the largest regions growing cannabis in the state. However, since cannabis farming has only been legalized at the state level for less than a decade, it is not well documented how closely local farms are adhering to California’s regulations, potentially exposing citizens to unregulated pesticides. This study addresses pesticides and chemicals of concern detected within soil samples taken from 20 locations near cannabis farms located in Carpinteria county, and examines their potential health impacts on both human health and local ecosystems. Samples collected in watersheds near the farms were extracted by using solid-phase extraction and then analyzed with two-dimensional gas chromatography coupled to time-of-flight mass spectrometry (GCxGC/TOF-MS). In total, 801 total unique compounds were identified, with 90 unique compounds found across all sampling sites. As it currently stands, there is minimal research investigating organic chemical contaminants in watersheds associated with cannabis farms. This study illuminates the presence of contaminants from the sampled cannabis farms that are potentially leaching into the local environments. There is a dire need to address the knowledge gap of what kinds of chemical contaminants are being used from cannabis farms to then understand how these contaminants are impacting both human health and the environment, which can potentially serve to help promote policy and regulations for future cannabis related legislation. </t>
  </si>
  <si>
    <t>Duffy</t>
  </si>
  <si>
    <t>Josefa</t>
  </si>
  <si>
    <t>Rivera Alfaro</t>
  </si>
  <si>
    <t>jriveraalfaro6818@sdsu.edu</t>
  </si>
  <si>
    <t>Masters of Science in Cell and Molecular Biology</t>
  </si>
  <si>
    <t>Characterizing the Bacteroidales injection system from a human gut bacterium</t>
  </si>
  <si>
    <t>Bacteroides are present in a large percentage of healthy adult microbiomes. However, the mechanisms that Bacteroides use to interact with their human hosts remain poorly understood. The genome of Bacteroides spp. encode a contractile injection system (CIS) that we suspect is involved in bacteria-host interactions. Although this gene system, named Bacteroidales injection system (BIS), is homologous to CIS found in other bacterial species that interact with eukaryotic partners, the structure and function of BIS has yet to be determined. CIS are classified into two types; type 6 secretion systems are cytoplasmic/inner membrane bound and extracellular CIS which are released into the environment. However, the BIS structure has yet to be detected and observed using molecular methods in the laboratory. My preliminary data using western blots of B. cellulosilyticus cell pellet and supernatant shows that the localization of the BIS tube/sheath structure to be membrane-bound rather than excreted. We identified regulators of BIS genes, including potential transcription factors that down-regulate the expression of the BIS gene cluster. β-galactosidase activity assays confirmed the suppression of the BIS promoter-driven transcription by the negative regulators. B. cellulosilyticus mutant strains lacking these negative regulator genes were created. I hypothesize that strains with deleted BIS negative regulators will overexpress the BIS structures, paving the way to visually confirm BIS for the first time. By confirming the existence of BIS structures, this will advance research that could contribute to gastrointestinal disease treatment as well as investigate biomedical uses for contractile injection systems as therapeutic delivery systems.</t>
  </si>
  <si>
    <t>Luc</t>
  </si>
  <si>
    <t>jluc4827@sdsu.edu</t>
  </si>
  <si>
    <t>Cell and molecular biology, Microbiology</t>
  </si>
  <si>
    <t>Identifying the mode of microbial origin of black spot disease in sea urchin Lytechinus pictus</t>
  </si>
  <si>
    <t>“Black spot” or “bald” sea urchin disease (BSD) is a pathogenic infection that adversely affects adult sea urchins, a keystone species in every marine ecosystem. The incidence of BSD is increasing with global warming as microbial marine populations shift with climate change. The source of BSD has yet to be characterized in the painted urchin (Lytechinus pictus), although epidemics are emerging in local and lab-reared populations of Southern California. Infected urchins display a progression of symptoms, starting with loss of spines and degradation of skin tissues. In severe progression of the disease, these lesions can permeate into the skeleton and cause death. A strain of Vibrio bacteria is strongly associated with BSD lesions in the adult test of green sea urchins. However, literature is sparse on the original source of the infection, and BSD has not been documented in L.pictus, a recently genetically-enabled model organism.
To identify potential microbial origins of BSD that can be cultured and studied in the lab, samples of water and lesions of increasing stages of necrosis were plated on marine agar. Dozens of single colonies of bacteria were sequenced for 16S ribosomal DNA, where a total of 8 unique genera were identified. We found that Vibrio spp. and Pseudoalteromonas spp. are unique to growing lesions in L.pictus. These may represent opportunistic pathogens. To test this hypothesis, healthy urchins are exposed to these isolates and tracked for lesion development. By isolating and validating the microbes associated with BSD, a systems-level understanding of how different bacteria are able to establish their pathogenic niche in L.pictus will be built. This will help mitigate BSD infection in lab-reared urchins and provide insight for the management of the disease in natural populations.</t>
  </si>
  <si>
    <t>Schrankel</t>
  </si>
  <si>
    <t>cschrankel@sdsu.edu</t>
  </si>
  <si>
    <t>Fahey</t>
  </si>
  <si>
    <t>sfahey1745@sdsu.edu</t>
  </si>
  <si>
    <t>MS Bioinformatics and Medical Informatics</t>
  </si>
  <si>
    <t xml:space="preserve">Improving Training Data for Machine Learning-Based Protein Function Prediction Tools </t>
  </si>
  <si>
    <t>Current sequence homology-based annotation methods face challenges in accurately annotating bacteriophage genes due to significant amino acid sequence variation between proteins within the same functional class. Surveys of the GenBank databases have shown that between  50-90% of genes encoded by bacteriophages are too distant from proteins with known functions, and thus are labeled as hypothetical proteins or unknown proteins. Of particular concern are structural proteins, which encompass a substantial fraction of each phage genome and are present to different degrees in all phages, and are highly variable and particularly difficult to annotate. We have developed two new annotation methods based on Neural Network Classifiers - an Ensemble Neural Network and a Transformer-based model. Both show significantly greater sensitivity over sequence homology-based methods. These methods work by classifying each protein sequence as one of 10 phage structural protein classes, or as an “Other” class that contains a broad range of non-structural viral proteins. Our models have been trained and validated on a phage protein dataset comprised of 538,213 protein sequences from the NCBI protein database that were curated by our lab. However, mistakes in the original annotations in this dataset may limit the potential accuracy of the models. Since this dataset was originally assembled, a substantial number of newly annotated phage proteins have been added into GenBank. Training our models on a new, more carefully curated dataset will improve the accuracy of our prediction tools. To further evaluate these models, we are using AlphaFold2 to calculate predicted crystal structures of specific proteins in the testing dataset. Clustering these proteins with their closest published phage protein crystal structure will enable us to identify structural similarities across groups of proteins that either one or both models struggle to predict accurately. We are using this approach to identify and exclude mis-annotated sequences from the dataset. By leveraging a carefully curated dataset and incorporating recent annotations, our research aims to enhance the understanding and accuracy of Machine Learning Classifiers in annotating bacteriophage genes as well as better understand the structure-function relationships of viral proteins with different structural functions.</t>
  </si>
  <si>
    <t>Lilith</t>
  </si>
  <si>
    <t>Astete Vasquez</t>
  </si>
  <si>
    <t>rastetevasquez@sdsu.edu</t>
  </si>
  <si>
    <t>PhD Engineering Sciences</t>
  </si>
  <si>
    <t>Microbial abundance in response to varied waste introduction methods in onsite sanitation systems</t>
  </si>
  <si>
    <t>This study assessed the response of microbial communities in bench-scale anaerobic digesters simulating the use of real-world onsite sanitation systems under modified introduction schemes. Onsite sanitation systems utilized in rural and developing regions for the management of human fecal waste are overdue for sustainable, site-appropriate improvements to better serve their users and promote protection of public and environmental health. Microorganisms within these systems, which are responsible for various roles including the hydrolysis of organic materials and converting or consuming nutrients such as phosphorus and nitrogen that are harmful to the environment, may exist in different abundances dependent upon the conditions within these systems that dictate their survival. To quantify these differences in abundance, microbial consortia were identified at several stages of operation during two years of non-dilute waste introduction under the following scientifically and culturally relevant schemes: 1) with subtle intermittent mixing, 2) traditionally unmixed with settled solid contents, 3) employing urine diversion for sequestering nutrients, and 4) practicing external discarding of toilet paper.
	Samples of supernatant were obtained following 4, 6, 10, 22 and 26 months of operation from bench-scale anaerobic digesters receiving non-dilute waste including dog feces, synthetic urine, and commercial grade toilet paper twice weekly in accordance with their respective waste introduction scheme. DNA extraction followed by 16S rRNA sequencing identified organisms present in each of the four systems at the time of these operational snapshots. Preliminary results illustrate the development of methanogenic archaea communities within the urine diversion tank, which are responsible for the production of potentially capturable greenhouse gas, methane. Several classes of bacteria capable of fermentation – an important step in breaking down organic materials during anaerobic digestion, presented the lowest quantities in the urine diversion tank and increased in all other tanks over time, except for alphaproteobacteria. Data analysis referring to the MiDAS Field Guide will facilitate interpretation of incongruencies observed between waste introduction methods over time. Further, justification for these differences may be encountered through comparisons of chemical characteristics which were monitored throughout the study period.</t>
  </si>
  <si>
    <t>Velazquez Benitez</t>
  </si>
  <si>
    <t>Maryam</t>
  </si>
  <si>
    <t>Ghorbani</t>
  </si>
  <si>
    <t>mghorbani8919@sdsu.edu</t>
  </si>
  <si>
    <t>Joint Doctoral Program in Mechanical Engineering</t>
  </si>
  <si>
    <t>Effects of physical properties and binder chemistry on mechanical behaviour, and biocampatibility of hydroxyapetite bioceramic  scaffolds using binder jet 3D printing</t>
  </si>
  <si>
    <t>Since porous Hydroxyapatite scaffolds can be easily prepared with complex design
and high dimensional accuracy for treating musculoskeletal diseases. By providing
evidence for binder selection in 3D print fabricated bone scaffolds, the key factors
governing the binderless bonding mechanism in the 3D printing process are
investigated. This study contributes insights into how the binder&amp;#39;s chemical
composition influences the microstructure and macro-properties of the fabricated
bone scaffolds. The investigation explores the effects of physical properties,
including pore distribution and chemistry, on the physical, mechanical, and
biological attributes of Hydroxyapatite scaffolds cube shaped manufactured
through binder-jet 3D printing. This research aims to identify the optimal
combination of physical, particle size and shape chemical, binder concentration,
debinding parameters to enhance the overall performance of the bioceramic
scaffolds. The mechanical behavior of the 3D printed hydroxyapatite bioceramic
scaffolds will be investigated, emphasizing factors such as strength, degradation
behavior, and precision. Scaffolds exhibit high mechanical properties and
degradation behavior will be promising candidates for applications in bone tissue
engineering.</t>
  </si>
  <si>
    <t>Torresani</t>
  </si>
  <si>
    <t>etorresani@sdsu.edu</t>
  </si>
  <si>
    <t>Zackary</t>
  </si>
  <si>
    <t>Skinner</t>
  </si>
  <si>
    <t>zskinner4974@sdsu.edu</t>
  </si>
  <si>
    <t>PhD in Mechanical and Aerospace engineering science</t>
  </si>
  <si>
    <t>Investigation into Alternative Methods of Binder Injection in Binder Jetting</t>
  </si>
  <si>
    <t>Traditional methods of binder and solvent jetting most often employ printer cartridges, or a specially manufactured collection of micrometer-sized nozzles. This creates issues with reliability, and the ability to modify the jetted liquid. To answer these concerns and look into additional benefits, a different method of binder delivery was studied. This method creates a fine mist which is deposited onto the powder bed instead of jet injection. In order to test this method, cubes were manufactured out of stainless steel. The cubes held their geometry throughout the jetting and sintering process and densified to a similar degree as parts manufactured using traditional binder jetting. The results of this method show promise as not just an experimental procedure, but also in industrial machines. However, additional testing is still required to expand on these results.</t>
  </si>
  <si>
    <t xml:space="preserve">Veronica </t>
  </si>
  <si>
    <t>Zanahuria Santana</t>
  </si>
  <si>
    <t>vzanahuriasant5162@sdsu.edu</t>
  </si>
  <si>
    <t>Master of Science In Bioengineering</t>
  </si>
  <si>
    <t>Fundamental Investigation and Electrical/Electrochemical Characterizations of Glassy Carbon-Based Solution-Gated Field Effect Transistors</t>
  </si>
  <si>
    <t xml:space="preserve">Transistors are one of the most important devices in the world of electronics. They can be used either as switches or signal amplifiers. Transistors have found their way into a wide variety of applications. One of the most recent applications is sensors for bio-signals. The main advantage of using transistors as biosensors is real-time detection and amplification, which is not possible with passive sensors. Field effect transistors (FET) have been the most researched transistors for biosensor applications. FETs offer fast response, high sensitivity, and reasonable signal amplification. These parameters are determined by the dimensions, materials, and fabrication processes of FETs. For transistors to be used as biosensors, they must be lightweight, flexible, and most importantly biocompatible.
This research aims to design, fabricate, and characterize an array of solution-gated field effect transistors (SGFET) that satisfies all the biosensor requirements mentioned above. SGFETs will be fabricated using negative lithography which is a simple and cost-effective fabrication technique. An interesting and innovative aspect of the fabrication of this FET array is the use of glassy carbon for the electrode material. Glassy carbon is a material that offers excellent biocompatibility and electrical properties which are important characteristics in biosensors. To assess the efficiency of the SGFET array, it will be electrochemically and electrically characterized. Cyclic voltammetry, electrical impedance spectroscopy and Mott-Schottky analysis will be used for the electrochemical characterization. On the other hand, 4-point probe measurement analysis will be performed to determine the output curve (I_D-V_DS) and transfer curves (I_D-V_GS) which are the most important curves to understand the electrical behavior of the FET.
</t>
  </si>
  <si>
    <t>Kathryn</t>
  </si>
  <si>
    <t xml:space="preserve"> Naretto</t>
  </si>
  <si>
    <t xml:space="preserve"> Omer</t>
  </si>
  <si>
    <t>ewilkinson1605@sdsu.edu</t>
  </si>
  <si>
    <t>Preliminary Assessments of Cigarette Filter Properties</t>
  </si>
  <si>
    <t xml:space="preserve">Despite the significant decline in the smoking rate in recent years, cigarette filters are still commonly littered, resulting in pollution of waterways and dire environmental impacts. The primary material constituent in cigarette filters is cellulose acetate fibers, a bio-based polymer heavily processed by manufacturers. The processing conditions and additives pacify the degradability of cigarette filters, resulting in severe environmental implications, especially in waterways. Hence, the standing hypothesis indicates that manufacturing conditions increase the environmental resiliency of cellulose acetate and significantly reduce its sensitivity to the elements. Therefore, the overarching objective of this research is to comprehensively characterize the thermomechanical and chemical properties of cigarette filters. The characterization approaches include thermogravimetric analysis (TGA), differential scanning calorimetry (DSC), Fourier-transform infrared spectroscopy (FTIR), optical microscopy (OM), and scanning electron microscopy (SEM). TGA is used to determine the decomposition temperatures of the filter components to ascertain the conditions necessary for full and partial degradation in nature. DSC enables the study of phase transitions in polymers by quantifying changes in heat flux over a broad range of temperatures to facilitate industrial composting. FTIR reveals the chemical nature of the filters as a function of smoking conditions. Finally, microscopy is used to report the morphology and topology of the fibers making the cigarette filters. Overall, this research features a multifaceted characterization framework for the thermomechanical and chemical properties of cigarette filters, benchmarking a common environmental pollutant. </t>
  </si>
  <si>
    <t>Elsa</t>
  </si>
  <si>
    <t>Ghebrendrias</t>
  </si>
  <si>
    <t>eghebrendrias8885@sdsu.edu</t>
  </si>
  <si>
    <t>Joint Doctoral Program-Global Health</t>
  </si>
  <si>
    <t>HIV-Related Stigma and Distance to Care in Uganda</t>
  </si>
  <si>
    <t>HIV stigma (internalized, enacted, &amp; anticipated) is a well-documented barrier that impacts the public health outcomes of people living with HIV in terms of seeking testing and counseling, utilizing care services, and adhering to treatment. This in turn negatively impacts global health initiatives to prevent further HIV transmission. Limited studies have investigated distance to care and the impact of HIV stigma as well as the geospatial dimensions of care seeking behaviors among people living with HIV/AIDS particularly in Sub-Saharan Africa. In this study, the objectives include determining if there is an association between HIV stigma and seeking care at facilities farther away from the nearest health facility among 617 study participants in Central Uganda within the four main districts of Butambala, Mpigi, Mityana, and Gomba. Also, to determine the distance, time, &amp; location of HIV care for study participants. Multiple Linear Regression, controlling for variables of interest including gender, age, SES, education, and martial status was used to determine the association between travel time to an HIV care facility using the variable "time to clinic" and the three types of HIV stigma. Spatial analysis using Near Analysis in ArcGIS Pro assessed the mean distance to HIV care facility study participants reported they attended compared to the mean distance of the HIV care facility nearest their home village. Results indicate Enacted stigma was associated with a longer “time to clinic” (β=0.02086, p = 0.0279) after controlling for covariates while no association was observed with the other types of stigma. Initial Near Analysis indicates study participants traveled a mean distance of 2.6 miles to their reported facility where last care was received compared to the nearest HIV care facility mean distance of 2.4 miles. Similarly, those with high Enacted stigma traveled a mean distance of 3.1 miles to their reported health facility compared to a mean distance of 2.3 miles for those with low Enacted stigma. These findings suggest those who have actually experienced stigma are more likely to seek care at clinics at further distances. The how and why of the observed association requires further investigation, ideally through in-depth qualitative research.</t>
  </si>
  <si>
    <t xml:space="preserve">Sakshi </t>
  </si>
  <si>
    <t>Pradhan</t>
  </si>
  <si>
    <t>spradhan3408@sdsu.edu</t>
  </si>
  <si>
    <t>Master's In bioinformatics</t>
  </si>
  <si>
    <t xml:space="preserve">Exploring WNT promoted chromosome missegregation in human pluripotent stem cells </t>
  </si>
  <si>
    <t>Chromosomal instability (aneuploidy) results in tumors or may promote tumor progression by increasing the rate of genetic aberrations. Chromosomal instability can arise due to improper mitosis or spindle checkpoint activity. The Wnt family of signaling proteins participates in multiple developments during embryogenesis and has also been implicated in adult tissue homeostasis. Wnt has secreted glycoproteins that bind to Frizzled (FZD) seven-transmembrane span receptors, which are members of the G-protein coupled receptor family. The R-spondin (RSPO) family of proteins acts to stabilize FZD protein and thereby argument WNT signaling. Prior work in the lab demonstrated that excessive WNT signaling in human pluripotent stem cells led to defects in chromosome segregation. The goal of my project is to detect and quantify chromosomal aneuploidy changes in human pluripotent stem cells using single-cell sequencing technologies.</t>
  </si>
  <si>
    <t xml:space="preserve">Dr. Marina </t>
  </si>
  <si>
    <t>Kalyuzhnaya</t>
  </si>
  <si>
    <t>mkalyuzhnaya@sdsu.edu</t>
  </si>
  <si>
    <t>Carrillo</t>
  </si>
  <si>
    <t>mcarrillo4954@sdsu.edu</t>
  </si>
  <si>
    <t xml:space="preserve">Master in Nutritional Sciences </t>
  </si>
  <si>
    <t>Nutrition Composition and Flavor Profile of Chia Seeds</t>
  </si>
  <si>
    <t xml:space="preserve">This study investigated the physical properties, nutrient composition, and flavor profile of common chia (Salvia hispánica) and desert chia (Salvia columbariae) seeds. Although the seeds of these two chia species differed in morphology and color, their nutrition composition was comparable. They both contained 38-40% carbohydrates, 33-35% lipids, 16-19% proteins, 6-7% moisture, and 3-5% ash. The common chia flour was characterized by a distinctive mango-like fruity aroma, primarily composed of key volatiles such as 2,6 dimethyl-7-octen-4-one, (-)b-bourbonene, caryophyllene, humulene, and caryophyllene oxide. 
</t>
  </si>
  <si>
    <t>Amu</t>
  </si>
  <si>
    <t>adarya8677@sdsu.edu</t>
  </si>
  <si>
    <t>Masters of Science in Nursing</t>
  </si>
  <si>
    <t>A Critical Analysis of Metformin &amp; Physical Activity in Prediabetes</t>
  </si>
  <si>
    <t xml:space="preserve">Abstract
The escalating prevalence of prediabetes and diabetes presents a significant global health challenge. Prediabetes, characterized by impaired fasting glucose (IFG) and/or impaired glucose tolerance (IGT), often progresses to type 2 diabetes (T2D). The Centers for Disease Control and Prevention (CDC) reports that approximately 96 million U.S. adults are affected by prediabetes. In 2017, 451 million adults had diabetes, which globally cost around $850 billion and is expected to be 693 million by 2045. T2D can lead to severe complications such as cardio metabolic disease, vision loss, kidney disease, and mental health disorders.
Our project aims to evaluate the efficacy of metformin treatment versus physical activity in preventing the development of diabetes among adults with prediabetes during the critical first year post-diagnosis in the primary care setting.
Design: Literature Review and Synthesis
Methods: We searched 87 studies with keywords of “metformin prediabetes”, and 190 studies using the words “exercise AND prediabetes” through the search engine Pubmed. 20 studies with metformin therapy and 20 physical activity studies were analyzed including international studies. The U.S. Diabetes Prevention Program offers robust data due to its large sample size and extended follow-up period, although its diverse participant base introduces potential confounding variables.
Result: 
After reviewing pharmacological management and lifestyle changes, three studies demonstrated that the group engaging in physical activity was effective in reducing HbA1c by 0.33% compared to the control group with no exercise or other physical modalities.  Three studies revealed that metformin therapy reduced the risk of diabetes by 31%. When combined, metformin with lifestyle interventions was 17% more effective than lifestyle interventions alone.  Studies on the efficacy of different exercises in improving glycemic control have yielded mixed results. 
Conclusions:
Early detection of pre-diabetes conditions is crucial, and a comprehensive approach combining metformin treatment with personalized lifestyle interventions has proven to be more powerful than a single intervention.  Regular monitoring and adjustments based on individual responses are essential. Ensuring generalizability requires inclusive research involving diverse populations.
</t>
  </si>
  <si>
    <t>Matilde</t>
  </si>
  <si>
    <t>Carrasco-Thomas</t>
  </si>
  <si>
    <t>Ara</t>
  </si>
  <si>
    <t>Jin</t>
  </si>
  <si>
    <t>Stacie</t>
  </si>
  <si>
    <t>Balelo Martin</t>
  </si>
  <si>
    <t>Young-Shin</t>
  </si>
  <si>
    <t>ylee@sdsu.edu</t>
  </si>
  <si>
    <t>Kenya</t>
  </si>
  <si>
    <t>Benitez</t>
  </si>
  <si>
    <t>kbenitez8541@sdsu.edu</t>
  </si>
  <si>
    <t>Master's of Public Health</t>
  </si>
  <si>
    <t>Training Elders Against Hypertension (TEAH) Initiative</t>
  </si>
  <si>
    <t xml:space="preserve">During my time in the PH 605 Health Services Administration course, I identified a public health problem prevalent in San Diego County and made a theoretical program addressing the issue as a semester-long project. I created the Training Elders Against Hypertension (TEAH) Initiative. This theoretical program helps older adults better manage their chronic illnesses and lower their blood pressure by providing the necessary education and tools to exercise at home. The reason why I chose this program is because long-term high blood pressure can lead to severe heart disease, the number one killer in the United States. In the North Inland region of San Diego County alone, there were over 2,500 hypertensive disease-related hospitalizations among people over the age of 65 in 2021. This program is aimed towards older adults as the Centers for Disease Control and Prevention (CDC) have reported that older adults across the United States, including in San Diego County, will make up 20% of the population by 2030. With the majority of healthcare services going towards older adults, the growing elderly population may further overwhelm the healthcare system, impacting San Diegans across all ages. Creating a program to help older adults manage their blood pressure can ease the increasing demand for elderly healthcare in years to come.
In this project, I designed the program using a $250,000 grant that would last me for a year. Using these parameters, I created a budget, program timeline, overview of how the program would run, job descriptions for the hired staff, a flowchart of the participants, quality control measures, measurable outcomes, principles of leadership to run the program, challenges that may arise throughout the program, and a program mission and vision. 
I created this project with the guidance of my professor, Dr. Charles Matthews.
</t>
  </si>
  <si>
    <t>Matthews</t>
  </si>
  <si>
    <t>Charles</t>
  </si>
  <si>
    <t>cmatthewsiii@sdsu.edu</t>
  </si>
  <si>
    <t>Annaliese</t>
  </si>
  <si>
    <t>Andersen</t>
  </si>
  <si>
    <t>aandersen7120@sdsu.edu</t>
  </si>
  <si>
    <t>Masters of Science in Athletic Training</t>
  </si>
  <si>
    <t>Does the Self-Reported Healthcare Access and Health Literacy Predict Concussion Care Seeking?</t>
  </si>
  <si>
    <t xml:space="preserve">Context: Many individuals who sustain a concussion fail to seek care for a variety of reasons. One may be that the individual does not have access to healthcare or high understanding of health-related information. The purpose of this study was to determine if an association exists between access to healthcare and health literacy to concussion care seeking behavior.
Methods: As part of a larger cross-sectional study, we administered a 39-item survey to collegiate athletes. The survey measured five social determinants of health domains (SDoH), however this abstract focuses on access to healthcare and health literacy. Participants self-reported five-items related to access to healthcare (2-items; higher score equals worse SDoH), access to primary care (2-items; higher score equals better SDoH), and health literacy (1-item;higher score equals better SDoH). We also included the measures of concussion care seeking intentions (12-items;responses averaged) and behavior (10-items;“care seekers” and “non-care seekers”). Both care seeking intentions and behavior were assessed with indirect and direct measures. Higher scores indicate more favorable intentions. Four separate multivariable regressions were calculated to determine the associations between predictor variables (access to healthcare, access to primary care, and health literacy) and care seeking intentions (two linear regressions), and behavior (two logistic regressions). 
Results: Two hundred and eleven participants fully completed the survey (completion rate=211/239, 88.3%; age=19.7±1.6 years; male=95/239, 39.7%, females=111/239, 46.4%, intersex=1/239, 0.4%, androgynous=2/230, 0.8%, other=1/239, 0.4%, prefer not to answer=2/239, 0.8%, missing=27/239, 11.3%). For every one-point increase in health literacy (β=0.26, p=0.023), direct intentions increased by 0.26 (overall model: F3,191=3.066, p=0.029, R2=0.214). Health and healthcare did not predict concussion care seeking indirect intentions (p=0.775) nor behavior (indirect: p=0.095, direct: p=0.926).
Conclusions: Increasing one’s ability to find, understand, and implement concussion-related information, may impact concussion care seeking intentions. While access to healthcare and health literacy were not associated with care seeking behaviors, our sample included collegiate athletes who often have access to an athletic trainer. Additionally, our health literacy measure with one-item may not fully capture health literacy holistically. Future research should examine access to healthcare in other populations and health literacy with expanded measures. 
</t>
  </si>
  <si>
    <t>Kacie</t>
  </si>
  <si>
    <t>Wass</t>
  </si>
  <si>
    <t>kmorton9127@sdsu.edu</t>
  </si>
  <si>
    <t>Masters of Science in Nursing Leadership</t>
  </si>
  <si>
    <t>Community-Based Human Papillomavirus Vaccine Education</t>
  </si>
  <si>
    <t xml:space="preserve">In San Diego County, per the most recent Random Digit Dialing survey performed by Public Health Services, only 50.7 % of San Diegans aged 11-17 are up to date with their HPV vaccine series (RDD, 2023). Unfortunately, many cervical, anal and vulvar cancers develop from exposure and infection with Human Papillomavirus’. Around 47,199 HPV-related cancers occur in the United States annually (HPV-Associated Cancer Statistics | CDC, n.d.).
Aims: This evidence-based practice (EBP) project aims to address low Human Papillomavirus (HPV) vaccination rates and understand the influencing factors affecting preventative health behaviors in the San Diego community through a comprehensive, community-based outreach intervention.
Study design: Non-experimental pre and post-test designed study
Methods: This evidence-based intervention was implemented at a community health fair and 16 adults participated in both the manually administered Pre and post-tests. The study included printed educational materials on the HPV vaccine along with an informal poster presentation on common fears and misconceptions surrounding the vaccine. Both interventions were aimed at promoting vaccination. Adopting the Health Belief Model as a conceptual framework, the intervention considered, modifying factors such as age, gender, education, income, etc. understanding how these factors interact with individuals’ beliefs to influence behavior and action. Pre and post-tests were manually administered via print before and after the educational interaction. Data collected from test answers were categorized into three categories; individual factors, Beliefs, and Intention for Action.
Results: Should provide numerical findings. The category most influenced by the intervention was intent for action, exhibiting a significant increase of individuals highly likely to vaccinate themselves and their children/ grandchildren. There was a notable 21.3% increase in intent to vaccinate self, and an even larger 39.2% increase in intent to vaccinate a child or grandchild. Knowledge of symptoms of HPV and its effects increased from a 32% correct answer rate to 81.2% correct answer rate on the Post-tests.
Conclusions
Preventative health behaviors can be influenced through meaningful interactions and outreach by community health workers and students, which can ultimately prevent disease. 
</t>
  </si>
  <si>
    <t xml:space="preserve">Young-Shin </t>
  </si>
  <si>
    <t>Reilly</t>
  </si>
  <si>
    <t>mreilly8279@sdsu.edu</t>
  </si>
  <si>
    <t>Master of Public Health</t>
  </si>
  <si>
    <t>The Effect of Hands-on Cooking Classes on SDSU Student's Ability to Navigate Barriers to Cooking Healthy</t>
  </si>
  <si>
    <t>This project aims to mitigate the barriers that college students face in cooking nutritious meals. It will examine the impact of additional educational components to the established Cooking Healthy Eating Fresh (CHEF) curriculum to support students' ability to cook nutritious meals despite the barriers they face as college students. CHEF is a culinary nutrition program that provides experiential learning through hands-on cooking classes. These classes will take place on San Diego State University (SDSU) campus in the Well-Being and Health Promotion (WBHP) department. The population of focus is students at SDSU. The project will build off a previous outcome evaluation of the CHEF curriculum’s effectiveness in addressing food agency principles among college-aged individuals. The evaluation identified two main barriers impacting students’ ability to prepare nutritious meals: shared kitchen spaces and time constraints. This project will address those barriers by adding educational components to the CHEF classes to provide evidence-based strategies to mitigate the identified barriers. An evaluation will be conducted to assess preliminary evidence of impact. 
A multi-methods approach will be used for data collection and analysis. Data collection will occur through a pre and post-survey. Qualitative data will be collected through photovoice. Participants will take pictures of their cooking experiences after participating in the CHEF class and explain how the class has affected their ability to cook nutritious meals. The photos will be analyzed to identify themes suggesting CHEF classes' impact on students' ability to mitigate cooking-related barriers.</t>
  </si>
  <si>
    <t>Sabrina</t>
  </si>
  <si>
    <t>Smiley</t>
  </si>
  <si>
    <t>ssmiley@sdsu.edu</t>
  </si>
  <si>
    <t>Joaquin Rafael</t>
  </si>
  <si>
    <t>Ramoso</t>
  </si>
  <si>
    <t>jramoso5492@sdsu.edu</t>
  </si>
  <si>
    <t>Bachelor of Arts in Interdisciplinary Studies (Sustainability, Political Science, Psychology)</t>
  </si>
  <si>
    <t>Indigenous Agroforestry and Fire Management in Thailand and the United States</t>
  </si>
  <si>
    <t>Indigenous communities around the world have sustainably managed natural resources and protected forest environments for generations through traditions including agroforestry and controlled burning. However, dominant land management discourses often ignore or misunderstand the ecological value of these customs. Government officials claim that policies like national park demarcation and fire suppression practices are environmentally friendly, but these pose significant threats to ecosystem health and to Indigenous communities’ ability to preserve their traditional livelihoods. Given the urgency of the climate crisis – particularly regarding the increasing frequency and severity of wildfires, industrial agricultural pollution, and food insecurity – there is a dire need to more deeply understand and appreciate Indigenous ecological knowledge. By integrating this local wisdom into environmental policy and empowering Indigenous peoples in the decision-making process, communities can effectively protect both ecosystems and Indigenous rights.
This research project compares the experiences of the Indigenous Karen hill tribe in northern Thailand with Native tribes throughout California who also practice agroforestry and controlled burning. It examines numerous challenges and victories these groups have experienced while interacting with their respective governments. Data was collected through group interviews, participant observation, and analysis of journalistic and academic articles. Results are discussed.</t>
  </si>
  <si>
    <t>Savanna</t>
  </si>
  <si>
    <t>Schuermann</t>
  </si>
  <si>
    <t>sschuermann@sdsu.edu</t>
  </si>
  <si>
    <t>Melisa</t>
  </si>
  <si>
    <t xml:space="preserve">Gonzalez </t>
  </si>
  <si>
    <t>mgonzalez8197@sdsu.edu</t>
  </si>
  <si>
    <t>Pandemic-Related Disruptions to Childcare and English-Spanish Bilingual Language Acquisition</t>
  </si>
  <si>
    <t xml:space="preserve">Acquisition and retention of Spanish in bilingual children in the United States may occur first through exposure from Spanish-speaking caregivers (Surrain et al., 2018) whereas English acquisition may rely more on exposure to outside settings. Increased chaos at home due to the COVID-19 pandemic may have interrupted this exposure pattern (Gassman-Pines et al., 2020). With 70% of childcare centers closed (Lee and Parolin, 2021), children may have spent more time with Spanish-speaking caregivers, resulting in greater Spanish exposure. Simultaneously, less interaction outside the home may have reduced English exposure. A study of English-Mandarin bilingual children found that pandemic disruption to the school setting (where English is spoken) improved Mandarin, relative to English production (Sheng et al., 2021). This suggests that more time at home during the pandemic may have benefited native language proficiency (with a corresponding reduction in English proficiency) relative to children who remained in outside settings. 
Of interest is the effect of pandemic disruption on bilingual acquisition of Spanish and English. Our preliminary sample includes 13 bilingual children (M = 32.46, range = 20 to 40; 5F) whose parents completed the COVID-19 Family Stressor Scale (Prime et al., 2021), focusing exclusively on the childcare sub-scale. Six children received substantial Spanish exposure at home (M =74.29, range = 56.25 to 87.5) and seven received 50% or less (M = 39.8, range = 25 to 50). Partial correlations controlling for age suggest childcare disruption is marginally negatively associated with English vocabulary scores (r10 = -.519, p = .084) but not with Spanish (r10 = .177, p = .582). Descriptively, children with disrupted care (n=5) had lower average English vocabulary scores than children with uninterrupted care (n=8; M=19.8 and 23.625, respectively), and higher Spanish scores than children with uninterrupted care (M=27.4 and 23.125, respectively). Two children who experienced disruption received substantial Spanish exposure at home (73 and 80%, respectively) whereas three children were minimally exposed (&lt;27%). This contributes to variability in the effect of disruption on Spanish vocabulary. Data collection is ongoing. We anticipate presenting data on 55 participants with power =.8 to detect a medium effect. </t>
  </si>
  <si>
    <t>Rivera</t>
  </si>
  <si>
    <t>arivera12@sdsu.edu</t>
  </si>
  <si>
    <t xml:space="preserve">Bachelors of Arts in Psychology, minors in Counseling and Social Change, Child and Family Development </t>
  </si>
  <si>
    <t>The Role of Socioeconomic Factors on the Effectiveness of an Integrated Care Intervention among Latino Adults: the LUNA-D study</t>
  </si>
  <si>
    <t xml:space="preserve">Abstract: 
Background 
Latino adults exhibit a disproportionate rate of type 2 diabetes (T2D), which is exacerbated by poor glycemic management. A culturally tailored, integrated care intervention, LUNA-D, was shown to improve glycemic management among Latino adults with T2D. However, it is unknown whether all participants benefited equally from the intervention. Studies suggest that socioeconomic factors, such as employment status and education, may influence the receptivity to interventions. There is limited research on the moderating role of socioeconomic factors on intervention effectiveness among Latino adults.
Purpose 
To examine whether intervention effectiveness on HbA1c differs by educational attainment, annual household income, or employment status among Latino adults with T2D over six months. 
Methods:
A randomized controlled trial (2015-19) was conducted at a federally qualified health center. Participants were 456 adults, aged 23 to 80 years, with T2D and not using insulin. Participants were randomly assigned to an Integrated Care Intervention (ICI), which comprised visits with behavioral/mental healthcare, medical care, health education, and care coordination or to Usual Care (UC) over six months. Educational attainment, annual household income, and employment status were tested as potential moderators of intervention effects by including each factor in separate 3-way Intervention Group x Time x Socioeconomic Factor interactions on HbA1c. 
Results:
The mean age of participants was 55.7 years, and 63.7% were female. Most participants had no high school diploma or equivalent (70.6%), reported a household income ≤ $20,000 (66.8%), and were unemployed, retired, or had a disability (56.7%). In multilevel model analyses, all 3-way Intervention Group x Time x Socioeconomic Factor interactions on HbA1c were not significant (Ps &gt; .05). 
Conclusion:
As previously reported, the ICI group showed a significant decrease (vs. no change in the UC group) in HbA1c over six months. Results did not differ by educational attainment, household income, or employment status. Our findings suggest that culturally tailored, integrated care interventions may be effective for low-income Latino adults with T2D regardless of socioeconomic factors. LUNA-D was limited to low-income persons; thus, future studies should examine the role of socioeconomic factors on intervention effectiveness among socioeconomically diverse populations. 
</t>
  </si>
  <si>
    <t xml:space="preserve">Anthony </t>
  </si>
  <si>
    <t xml:space="preserve">Zepeda </t>
  </si>
  <si>
    <t xml:space="preserve">Lizbeth </t>
  </si>
  <si>
    <t xml:space="preserve">Cosio </t>
  </si>
  <si>
    <t xml:space="preserve">Dr. Gregory Talavera </t>
  </si>
  <si>
    <t xml:space="preserve">Dr. Linda Gallo </t>
  </si>
  <si>
    <t>gtalavera@sdsu.edu</t>
  </si>
  <si>
    <t>Zepeda Rodriguez</t>
  </si>
  <si>
    <t>jzepeda8553@sdsu.edu</t>
  </si>
  <si>
    <t>Bachelor of Science in Criminal Justice</t>
  </si>
  <si>
    <t>Who am I? American Indian Youth</t>
  </si>
  <si>
    <t>The study aims to understand how American Indian youth describe themselves in the AIR Programs. The American Indian Recruitment (AIR) Programs is a non-profit organization serving Southern California’s Tribal and Urban American Indian communities to promote higher education and guidance. Using a survey, 73 students provided detailed responses, ranging from hobbies to academic interests. Analyses included merging student responses conducted between 2018-2020 and coding them into categories. The study found the responses to be centered around five themes: Cultural Pride, Aspirations, Activism, Wellness, and Family Relationships. Students reflected on their future career interests and showed a desire to pursue higher education. Findings and themes are discussed.</t>
  </si>
  <si>
    <t>Erica</t>
  </si>
  <si>
    <t>Redner-Vera</t>
  </si>
  <si>
    <t>erednervera@sdsu.edu</t>
  </si>
  <si>
    <t>Brownlee</t>
  </si>
  <si>
    <t>csen7960@sdsu.edu</t>
  </si>
  <si>
    <t>Investigating Processing Speed in Aphasia</t>
  </si>
  <si>
    <t>Aphasia is an acquired language disorder, typically caused by a stroke, which impacts speaking, writing, reading, and comprehension. One common symptom of aphasia is difficulty with word finding, or word retrieval deficits. Researchers have suggested that word retrieval deficits in aphasia may be connected to a domain-general deficit of processing speed, resulting in slower access to words and delayed naming response times (Faroqi-Shah &amp; Gehman, 2021). Processing speed can be defined as the speed at which a person can understand and react to the information they receive. Researchers have found that domain-general processing speed is slowed in people with aphasia (Yoo et al., 2022). Processing speed delays may contribute to the mistiming of word network activation and could derail word retrieval (Faroqi-Shah &amp; Gehman, 2021). Therefore in this study, we explore whether people with aphasia (PWA) show impaired processing speed, in comparison to neurotypical age-matched control participants (AMC), and if PWA will show differences in processing speed depending on the linguistic variation of the stimuli.  
We recruited 13 participants in each group (N = 26). In this experiment, participants were presented with a rapid stream of letters (i.e., linguistic condition) and shapes (i.e., non-linguistic condition) with varying presentation speeds. All stimuli were presented in black aside from the target (T1) which was presented in white. Participants were asked to identify T1 at the end of each trial by pointing at a response board. 
Statistical analyses indicated that the PWA were significantly less accurate at this processing speed task than controls. Additionally, there was a significant effect of stimulus type, such that both groups were more accurate in the linguistic condition than the non-linguistic condition. Further analyses showed a relationship between processing speed and performance on a picture naming task. The PWA with greater accuracy on the processing speed task showed greater naming accuracy. 
Our results demonstrate that processing speed is impaired in aphasia, which may be connected to word retrieval deficits. More research is needed to understand how processing speed impacts language processes in aphasia in order to advance aphasia treatments.</t>
  </si>
  <si>
    <t>Avila</t>
  </si>
  <si>
    <t>Ava</t>
  </si>
  <si>
    <t>Guerra</t>
  </si>
  <si>
    <t>JoAnn</t>
  </si>
  <si>
    <t>Silkes</t>
  </si>
  <si>
    <t>jsilkes@sdsu.edu</t>
  </si>
  <si>
    <t>Hostler</t>
  </si>
  <si>
    <t>bhostler1829@sdsu.edu</t>
  </si>
  <si>
    <t>Cervical Cancer Screening Interventions for Indian Women Living With HIV</t>
  </si>
  <si>
    <t>Purpose  The risk of cervical cancer (CC) for women living with human immunodeficiency virus (WLWH) is far higher than those without HIV. Despite this, only a small percentage of WLWH in India are screened regularly for CC.  Few studies have examined the perspectives of Indian WLWH and those who provide services to them regarding the characteristics of interventions that could assist them with getting CC screening. This qualitative study explored and identified the characteristics of interventions that could assist Indian WLWH with obtaining CC screening. 
Methods  25 WLWH and 15 stakeholders that provided healthcare for the WLWH took part in semi-structured individual interviews in Surat, India. Participants identified various potential intervention methods to assist Indian WLWH in obtaining CC screening.
Results  Participants suggested small group-based interventions (10-15 women) hosted by a doctor through verbal communication to educate women about CC screening and its benefits. Most individuals interviewed agreed that a female interventionist, the interventionist being a doctor or counselor, is preferred. Participants suggested the content of the informational interventions focus on providing detailed information on the increased risks of CC among WLWH and describing the CC screening procedure.
Conclusion  Findings suggest that group-based informational interventions, delivered by female doctors or counselors, may improve the receipt of CC screening among Indian WLWH. Future studies should develop such interventions to meet the needs of Indian WLWH.</t>
  </si>
  <si>
    <t>Kristen</t>
  </si>
  <si>
    <t>Linsky</t>
  </si>
  <si>
    <t>alinsky2690@sdsu.edu</t>
  </si>
  <si>
    <t>The Relationship between Cerebral Blood Flow and Language Impairment in Developmental Language Disorder</t>
  </si>
  <si>
    <t>Developmental Language Disorder (DLD) is a heterogenous neurodevelopmental disorder that impacts a child’s ability to comprehend and produce language, but is not linked to hearing loss, intellectual disability, or neurological damage. DLD affects approximately 7-8% of children in the US, surpassing the prevalence of other widely recognized neurodevelopmental disorders such as autism spectrum disorders (ASD) and dyslexia (Zablotsky et al., 2019). Despite DLD’s prevalence, little is understood about the underlying neurobiological mechanisms of the disorder due to contradictory neuroimaging findings (Abbott and Love, 2023). Nonetheless, growing evidence indicates that structural and functional brain differences are a contributing factor to the language impairments central to the disorder. This study focuses on functional brain differences that impact children’s language abilities. The few functional magnetic resonance imaging (fMRI) studies of children with DLD have found varying results for between- and within- group comparisons. This variability may stem from differences in the underlying properties that support brain function. In this ongoing work, we examine an underexplored metric of brain function in DLD, cerebral blood flow (CBF), to investigate whether children with DLD show different CBF patterns compared to age-matched, typically developing (TD) children, and whether there is a relationship between CBF and language abilities in this population. As part of ongoing data collection efforts, 12 participants (10 TD, 2 DLD) between 6-12 years of age have completed behavioral testing and neuroimaging. Behavioral testing includes a battery of assessments testing both linguistic and non-linguistic abilities. Neuroimaging consists of MRI scans at SDSU that includes resting-state pseudo-continuous arterial spin labeling (pCASL) to characterize CBF patterns and a high-resolution structural anatomy sequence (T1-weighted). Preliminary results reveal a pattern of aberrant (increased) CBF in gray matter brain tissue in children with DLD when compared to TD peers indicating an inefficient system. We anticipate including additional DLD data in future analyses using a linear mixed effects model to examine whether there is a relationship between CBF and language assessment scores, especially within language related brain regions. This research will provide insight into underlying brain function in DLD that may contribute to observed language impairments.</t>
  </si>
  <si>
    <t>Tracy</t>
  </si>
  <si>
    <t>Tlove@sdsu.edu</t>
  </si>
  <si>
    <t>Axtell</t>
  </si>
  <si>
    <t>eaxtell7931@sdsu.edu</t>
  </si>
  <si>
    <t>Bachelors of Arts: Speech, Language, and Hearing Sciences</t>
  </si>
  <si>
    <t>Cross-linguistic Interactions in Bilinguals During Word Retrieval: A Cognate and Noncognate Production Study</t>
  </si>
  <si>
    <t xml:space="preserve">
Bilinguals have a unique learning system that can promote parallel activation across languages during naming tasks. Cross-linguistic activation is particularly prominent during the retrieval of cognates (i.e. words that are similar phonetically, orthographically, and semantically across languages; for example, “pantera” in Spanish is “panther” in English). Previous research suggests that bilinguals experience facilitatory effects when asked to retrieve cognates compared to noncognates. However, bilinguals are extremely diverse in terms of language proficiency and cognitive abilities. This study aimed to determine how cognate crosslinguistic facilitation is modulated by linguistic context and language proficiency in bilinguals. 
Spanish-English bilinguals (ages 18-40) completed a picture-word interference (PWI) task, during which they named a picture while text was superimposed. The task had six different conditions. In two “identity” conditions, text and picture matched (either matching cognates or matching noncognates). The remaining 4 conditions added text/picture mismatches. Text and picture pairings included unrelated Cognate-Cognate, Noncognate-Noncognate, Cognate-Noncognate, and Noncognate-Cognate combinations. We hypothesized that participants would experience facilitatory effects (i.e., higher accuracy rates and quicker reaction times) in the identity condition and when cognates were present and more effortful retrieval when noncognates were present.  
We observed greater accuracy for cognate than noncognate trials in the identity conditions. In the unrelated conditions, accuracy was higher when either the text or picture were cognates vs. noncognates. The greatest cognate facilitation was observed when cognate pictures appeared with cognate text. For noncognate pictures, neither accuracy nor reaction time changed based on whether they appeared with cognate or noncognate text. Finally, participants were faster to name cognate pictures appearing with cognate text compared to noncognate text. These findings suggest that having the two languages co-activated by the presence of another cognate may have facilitated lexical access during cognate picture naming. We will further examine these effects in the context of individual differences in language proficiency. This study is a step towards better understanding how language proficiency and processing context can impact bilingual language performance in adulthood. 
</t>
  </si>
  <si>
    <t>McKenna</t>
  </si>
  <si>
    <t xml:space="preserve">Henrike </t>
  </si>
  <si>
    <t xml:space="preserve">Blumenfeld </t>
  </si>
  <si>
    <t>Flor</t>
  </si>
  <si>
    <t>Calimag</t>
  </si>
  <si>
    <t>fcalimag1808@sdsu.edu</t>
  </si>
  <si>
    <t>Campus Access Fear Mapping</t>
  </si>
  <si>
    <t xml:space="preserve">Problem
How do people view their world in terms of safety and structure? What areas stand out? These, and many other questions, are what we worked to address by having individuals draw cognitive/image maps of the SDSU campus and its structure. What problems are faced for San Diego State University Students when it comes to parking, entering and leaving from the campus structure? The ways we access campus can be an issue for an organization towards our campus structure making it difficult to access campus, leading to missed classes, more time management issues, and unfairness in parking prices etc. 
Research Strategy
In response, this research reports the findings of human-centered cognitive/image mapping exercises with houseless individuals in San Diego and Los Angeles, based on principles outlined in Kevin Lynch’s “Image of the City” (Lynch, 1960). Specifically, this study asked individuals to draw maps (on blank pieces of paper) of their surroundings and daily routines at SDSU, which were then marked with symbols to identify important locations. We then had them mark the important locations on printed maps so we could then geo-code this information. Specifically focused on San Diego State University’s campus and the specific parking structure and street routes.
Findings
From our review, we have found that there are gender differences in how people view the safety of the SDSU campus environment. We also found that most students struggle in finding parking and have to leave up to an hour early to not only avoid traffic, but to  secure a parking spot as not enough are provided. Complaints from students were pretty similar such as closure of the parking structure for main events, and the horrible traffic in order to leave the parking structure. 
Takeaways for Practice
This work can ultimately help promote a better quality of life for individuals by improving the design and planning for creating a campus environment that feels more secure. This can also help us unite as students in speaking up about constant issues on campus as we all experience parking problems and lack of access to get to campus.
</t>
  </si>
  <si>
    <t xml:space="preserve">Hernandez </t>
  </si>
  <si>
    <t xml:space="preserve">Nicole </t>
  </si>
  <si>
    <t xml:space="preserve">Bruce </t>
  </si>
  <si>
    <t>olopezvazquez6096@sdsu.edu</t>
  </si>
  <si>
    <t xml:space="preserve">Computer science </t>
  </si>
  <si>
    <t>Thirdhand Smoke in Homes: Fate, Characterization, and Remediation</t>
  </si>
  <si>
    <t>Thirdhand smoke (THS), a persistent toxic residue that attaches itself to various
items, for example clothing, toys, furniture, and more. Poses health risks, including
respiratory issues and cancer. Its persistence on household materials underscores the
vital importance of understanding its impact and implementing targeted remediation
measures for individuals and families within indoor environments. In this project, we
investigated the accumulation of thirdhand smoke (THS), focusing on nicotine levels by
recruiting participants with at least 6 months of indoor smoking history and
implementing a multi-faceted approach. A recruitment strategy, participant screening,
and a detailed questionnaire ensured robust data collection. Laboratory analysis of
collected samples provided quantitative data on nicotine levels. Results revealed
correlation between smoking history and neglect of cleaning practices to elevated
nicotine levels emphasizing the need for targeted remediation efforts. Our research also
uncovered localized high nicotine concentrations under specific furniture items,
indicating potential hotspots. The findings underscore the complex dynamics of THS in
homes, emphasizing the importance of tailored remediation strategies. We aim to
contribute insights into the broader understanding of THS and effective remediation
strategies for improving indoor air quality.</t>
  </si>
  <si>
    <t>Lopez-Galvez</t>
  </si>
  <si>
    <t>Maria Christina</t>
  </si>
  <si>
    <t>Huerta-Avila</t>
  </si>
  <si>
    <t>mhuertaavila5222@sdsu.edu</t>
  </si>
  <si>
    <t>A Tale of Two Buildings: Do Smoking Policies Impact Discarded Waste from Commercial Cigarettes, E-Cigs, and Cannabis?</t>
  </si>
  <si>
    <t>Waste from commercial tobacco, electronic vaping, and cannabis products (TEC waste) is a significant problem in our environment. When discarded on sidewalks, streets, and parks, harmful chemicals are released into sensitive habitats and enter stormwater drains. Cigarette butts are of particular concern because they consist of filters made out of cellulose acetate, plastic fiber that breaks down into microplastics, and the charred remains of tobacco. Cigarette butts are the most littered item in the world. This case study aimed to investigate the amount and type of TEC waste discarded near two adjacent business properties. Building A has a property-wide no-smoking policy except for a designated area for smoking, and Building B allows smoking and has multiple ashtrays located near its entrance. We hypothesized that occupants and visitors to Building A would not fully comply with the no-smoking policy despite its no-smoking policy and that Building B would have more TEC waste than Building A.
Method
Using rakes, reptile feeders (tweezers), and plastic cups for collection, trained research assistants surveyed the parking lot blacktop, sidewalks, and landscaped areas surrounding the buildings. All TEC items were photographed, geo-coded, classified, collected, and disposed of using a smartphone app.
Results
Surrounding Building A (smoking prohibited), there were a total of 120 cigarette butts and 11 other tobacco products. Surrounding Building B (smoking allowed), there were a total of 196 cigarette butts, two other tobacco products, and one cannabis product.
Conclusion
No-smoking policies did not eliminate TEC waste improperly discarded. However, they may have lowered the amount of TEC waste. We cannot be sure that the difference in TEC waste is solely due to differences in no-smoking policies. Although the two properties are similar in size and design, they house different businesses, show different foot traffic, and attract different visitors who may differ in smoking behavior. Future studies should examine reasons for disposing of cigarette butts improperly, knowledge of smoking policies, and the impact of landscaping and design. Concerted efforts are needed to educate the public and significantly reduce TEC waste to protect the environment from harmful TEC waste pollutants.</t>
  </si>
  <si>
    <t>Georg</t>
  </si>
  <si>
    <t>Matt</t>
  </si>
  <si>
    <t>gmatt@sdsu.edu</t>
  </si>
  <si>
    <t>Yasmeen Wael</t>
  </si>
  <si>
    <t>Zubaidi</t>
  </si>
  <si>
    <t>yzubaidi7895@sdsu.edu</t>
  </si>
  <si>
    <t xml:space="preserve">Bechelor in URBAN STUDIES - PLANNING, DESIGN, AND MANAGEMENT </t>
  </si>
  <si>
    <t>Can community gardens effectively address food insecurity? A Geographic exploration of disparities in garden capacity</t>
  </si>
  <si>
    <t xml:space="preserve">Food insecurity remains a pressing global issue, particularly in urban areas where unaffordable and fast food dominate, limiting access to nutritious options and leaving many to wonder where their next meal will come from. In response to this challenge, community gardens have developed as a grassroot solution. While there is an extensive celebratory literature about the benefits of community gardens, there remain questions about their ability to generate produce safely and sufficiently to alleviate food insecurity,  particularly in highly urbanized areas. Can community gardens effectively tackle food insecurity while facing challenges such as limited access to land, insufficient resources, pollution, everyday management issues, and lack of community participation? Preliminary evidence gathered across 56 community gardens in the urbanized areas of San Diego County during the fall of 2023 by conducting interviews, engaging in fieldwork, and analyzing soil samples suggests that growers face many obstacles in establishing and maintaining successful gardens. 
These challenges are often related to the social and economic geography of the region. For instance, organizations, leadership and organizational motives vary dramatically. A significant number of community gardens are managed by white, college-educated, and relatively high-income people who tend to garden as a hobby rather than a sustainable means of food production. In contrast, others are run by grassroots organizations that follow the principles of food sovereignty and seek to empower marginalized people to alleviate food insecurity. The latter appear to be located primarily in low-income communities of color with large immigrant populations. 
In this paper, we will use interviews and audit data to distinguish gardens based on leadership and organizational structure, community participation and sense of belonging, soil quality, and estimates of food production based on plant diversity and quantity. We will analyze and map these characteristics along with demographic data from the US Census and environmental pollution data from California Office of Environmental Health Hazard Assessment to establish geographic relationships between community gardens’ capacity to alleviate food insecurity and the socio-environmental characteristics of the neighborhoods where they operate.  
</t>
  </si>
  <si>
    <t>Raychel</t>
  </si>
  <si>
    <t>Sager</t>
  </si>
  <si>
    <t xml:space="preserve">Pascale </t>
  </si>
  <si>
    <t>Andrea M.</t>
  </si>
  <si>
    <t>Chavira</t>
  </si>
  <si>
    <t>achavira4005@sdsu.edu</t>
  </si>
  <si>
    <t>The Power of Support-Giving Increases Risk Perceptions of Alcohol Consumption</t>
  </si>
  <si>
    <t>Public advertisements have often used health information to inform the public about the danger of addictive substances, however they are frequently disregarded by the target audience. When people are presented with health information, especially information that goes against their beliefs or behaviors, feelings of threat increase, making it difficult to change perceptions of risk and subsequent preventive health behaviors. Support-giving, defined as behaviors intended to make others feel cared for, address another’s need, or prevent a need from arising, may reduce threat and increase risk perceptions for the negative health outcome. Whether support-giving alters risk perceptions has not been investigated in regard to the threat of reading health information. Is it possible for support-giving to increase risk perceptions from reading health information? We hypothesize that support-giving to someone in need will increase perceptions of risk for drinking alcohol, when compared to a control condition. In a between-subjects experiment, 278 participants who currently drink alcohol (M age = 18.84, 78.4% women) were randomly assigned into one of two conditions (support-giving or control) before reading health information about the risks of drinking alcohol, and completing the TRIRISK, a scale that assesses perceptions of risk. In the support-giving condition, participants took five minutes to write a supportive letter to a friend in need and in the control condition, describe their route to school. Throughout the survey, there were important checks that made participants qualify for the final set which included completion and understanding of the writing task, an attention check, and screening for alcohol use. To test hypotheses, data was analyzed with independent samples t-tests. Our results showed that support-giving increased risk perceptions for the health consequences of drinking alcohol compared to control (t(179)=2.242, p=.026, d = .333). This means that support giving can increase risk perception which may allow health information to be more accessible. Given that risk perceptions also predict preventative health behavior, support-giving may also be a previously unrecognized way to encourage better health behavior.</t>
  </si>
  <si>
    <t>Pinela</t>
  </si>
  <si>
    <t>avpinela@sdsu.edu</t>
  </si>
  <si>
    <t>Cameron</t>
  </si>
  <si>
    <t>Schilling</t>
  </si>
  <si>
    <t>cschilling4560@sdsu.edu</t>
  </si>
  <si>
    <t>Bachelor of Science in Environmental Science</t>
  </si>
  <si>
    <t>More than Soil: Digging Deeper Into the Relationships of Space, Equity, and Policy of Urban Agriculture in San Diego, CA</t>
  </si>
  <si>
    <t xml:space="preserve">As sustainable food production becomes more culturally salient within North America, and specifically San Diego, it is important to understand how urban planning and zoning policy affect the urban agriculture landscape. While proponents of urban green space often support urban agriculture as a means of increasing food security within vulnerable communities it is important to understand the nuances and historical significance of how policy and urban agriculture interact. There is mounting evidence that low-income communities of color, which have much to gain from improved access to healthy, affordable, and sustainable food, have historically been denied access to safe land. 
Through an investigation of relationships between race and income as they relate to soil health this paper hopes to offer an insight into the landscape of urban agriculture in San Diego. This paper attempts to build a framework for solutions to the lack of urban agricultural land availability within San Diego by using a mix of qualitative and quantitative data including gardener interviews, garden audits, surveys, and soil samples from more than 50 community gardens within urbanized San Diego. Using these data, we will document the spatial distribution of community gardens and analyze its relationship to soil contamination in light of historical and current zoning and land use regulations gathered from city and county records. This investigation will identify inequitable pollution burdens on specific communities and will assess current policies, such as Urban Agriculture Incentive Zones (UAIZ), through this lens to suggest changes that improve the efficacy and equity of future community agriculture projects.
</t>
  </si>
  <si>
    <t>Aona</t>
  </si>
  <si>
    <t>Shigemori</t>
  </si>
  <si>
    <t>ashigemori3634@sdsu.edu</t>
  </si>
  <si>
    <t xml:space="preserve">Bachelor of Science in Public Health </t>
  </si>
  <si>
    <t>Trends in Responses and Recruitment in an Ecological Momentary Assessment Trial Among LGBTQ+ Adolescents Who Use Tobacco, Nicotine, and Cannabis</t>
  </si>
  <si>
    <t xml:space="preserve">Background: Smart-phone enabled mobile applications using Ecological Momentary Assessment (EMA) are an innovative method to address health disparities. The Puff Break research study aims to utilize EMA to collect daily behavior data to better understand tobacco, nicotine, and cannabis use patterns among LGBTQ+ adolescents, ages 14-19, in California. However, determining the optimal time to administer EMA surveys to gather real-time data is challenging, as there is a dearth of evidence about EMA methodology within adolescent populations.The purpose of this abstract is to describe observed trends in the EMA trial responses and study participants to-date, and assess the ideal times to administer EMA surveys via survey completion rates.
Methods: EMA survey completion and timing efficiency was analyzed using Microsoft Excel. Using Qualtrics and Microsoft Excel, we summarized the distribution of responses for baseline demographic variables such as age and race to ensure adequate sampling. In addition, via Excel’s data functions, we analyzed completion rates among our 16 participants across each time point when surveys are administered across a two-week trial (9AM, 12PM, 3PM, 6PM and 9PM).
Results : To date, 16 participants completed the two-week trial. Among the sample, 80% were adults ages 18-19, while the remaining were between 15-17 years old. Over 33% of our participants’ sexual orientation was bixsexual. Moreover, 60% of our participants identified as white, and about 27% reported that they are Hispanic/Latino/a/x. The 9AM survey had the lowest completion rate of 60.7%, followed by the 12PM, 3PM, 6PM surveys at 76% completion, and the 9PM survey with 75% completion.
Discussion:. Providing more flexibility for participants in the morning may increase our survey completion rates. Also, updating our recruitment strategies, such as lowering our target age demographics on our social media advertisements, is important as we seek to capture a diverse sample of participants to help inform a mobile-based smoking and vaping prevention tool. These data provide important lessons learned for conducting future EMA research studies among vulnerable populations.  </t>
  </si>
  <si>
    <t xml:space="preserve">Jerel </t>
  </si>
  <si>
    <t>Lydia</t>
  </si>
  <si>
    <t>Duran</t>
  </si>
  <si>
    <t>lduran2850@sdsu.edu</t>
  </si>
  <si>
    <t>Bachelor of Science in Biology with an emphasis in Ecology</t>
  </si>
  <si>
    <t>Plant root exudate carbon and nitrogen increase with root mass and can vary among plant families</t>
  </si>
  <si>
    <t>The rhizosphere, the microenvironment directly surrounding a plant’s roots, is home to an enormous variety of bacteria, archaea, and fungi. These microbes carry out important ecological functions and rely on diverse metabolic substrates such as root exudates, organic compounds released from plant roots. However, little is known about how root exudates vary among plant species or if their production is determined by plant size. We raised 37 prairie plant species in sterile conditions and collected root exudates and root dry mass for each plant. We compared the total organic carbon (TOC) and total nitrogen (TN) content of collected exudates to root biomass to determine how they varied with plant size and among plant families. Plants with larger root masses had higher TOC and TN in exudate samples. We separated plants by families and found that plants from all families produced similar amounts of exudate C, but plants from the sunflower (Asteraceae) and legume (Fabaceae) families produced more exudate N. These results suggest that larger plants with greater rootmass may have a stronger influence on soil microbial community structure. While microbes relying on C-rich substrates will benefit from living in the rhizosphere of larger individuals of any of these plant families, microbes that require N-rich substrates may be more enriched in the rhizospheres of asters and legumes.</t>
  </si>
  <si>
    <t xml:space="preserve">Barber </t>
  </si>
  <si>
    <t>Shivani</t>
  </si>
  <si>
    <t>Mahesh</t>
  </si>
  <si>
    <t>smahesh4716@sdsu.edu</t>
  </si>
  <si>
    <t xml:space="preserve">Bachelor of Science in Biology - emphasis in Cellular and Molecular Biology </t>
  </si>
  <si>
    <t xml:space="preserve">Transposon mutagenesis strategy to discover lipopolysaccharide mutants  </t>
  </si>
  <si>
    <t xml:space="preserve">Marine bacteria are known for their strong metamorphosis-inducing capability in tubeworms, sea urchins, and coral. Of these, Alphaproteobacteria are an ecologically relevant class and strong inducers of metamorphosis in Hydroides elegans (tubeworms). Notably, Alphas do not use any known mechanisms of metamorphosis induction. We hypothesize that bacterial lipopolysaccharides (LPS) are involved in inducing tubeworm metamorphosis. In this project, we use random transposon mutagenesis as a tool to create bacterial mutants that do not induce metamorphosis. To do this, we conjugate the plasmid (PSC189-chlor) with the Mariner Transposon gene with the Phaeobacter gallaeciensis. The mariner gene randomly inserts itself at TA sites within the Phaeobacter genome and disrupts its gene expression, creating a transposon mutant. Another innovative strategy we used was the creation of electrocompetent Phaeobacter to directly electroporate the mariner transposon plasmids. This will allow a streamlined screening method to discover LPS mutants. As a selection strategy, we are employing a dye, Congo Red, to detect abnormal LPS structures. The mechanism behind this is that normal LPS structures bind the dye well and turn red whereas abnormal structures appear as pale red. The results of this project will help uncover novel mechanisms Alphaproteobacteria use to induce metamorphosis in Hydroides. This will also allow us to identify structural distinctions in lipopolysaccharide structures of normal and mutated transposon strains, giving us greater insight into how these structures are linked to H. elegans metamorphosis. Analyzing these structural mutations can help further the understanding of several invertebrate variations through genetic manipulation in transposon mutagenesis. 
</t>
  </si>
  <si>
    <t xml:space="preserve">Morgan </t>
  </si>
  <si>
    <t>Matloub</t>
  </si>
  <si>
    <t>dmatloub8447@sdsu.edu</t>
  </si>
  <si>
    <t xml:space="preserve">Biology: Emphasis in Cell/Molecular </t>
  </si>
  <si>
    <t>Mechanistic Insights into Bordetella atropi Resistance in Wild Nematodes</t>
  </si>
  <si>
    <t xml:space="preserve">Natural variation to pathogens among host species is necessary for evolution of resistance. By understanding this variation, complex mechanisms underlying the evolution of resistance in host species can be identified. This provides valuable insights into the dynamics of host-pathogen interactions and facilitates the development of more effective strategies in infectious disease management. Our lab identified Bordetella atropi, a natural bacterial pathogen, that can infect the intestine of the nematode Oscheius tipulae. This bacterium can utilize filamentation (conversion to long threads) for spreading between host intestinal cells. In our investigation involving a variety of wild isolates of O. tipulae, we observed a spectrum of natural resistance and susceptibility to B. atropi infection. Notably, the wild strain JU457 demonstrated the highest resistance to intracellular bacterial infection. Based on this data, we hypothesize that the resistance of this host strain may be due to enhanced immunity, potentially enhanced mechanical elimination of bacteria in the pharynx before reaching the intestinal lumen, or the release of specific antimicrobial enzymes into the intestinal lumen as a defense. To test this hypothesis, we will conduct a live versus dead assay that will allow us to quantify the percentage of live B. atropi bacteria versus dead in JU457 compared to the control nematode strain CEW1, which is highly susceptible to B. atropi infection. This assay utilizes fluorescent in situ hybridization (FISH) to quantitatively measure live bacterial colonization in the gut lumen. If our hypothesis is correct, we expect to see less live bacteria in JU457 compared to CEW1, suggesting the potential secretion of immune factors into the intestinal lumen as a defense mechanism. To further test our hypothesis, we will compare the lifespans of JU457 and CEW1 in the presence and absence of B. atropi. If our hypothesis is correct, we expect JU457 to outlive CEW1 with the presence of this bacterial pathogen affecting the lifespan of the susceptible isolate. These focused investigations combined with our awaited bulk segregant analysis data will strengthen our belief that the JU457 strain possesses heightened genetic immunity to B. atropi infection, as well as contribute valuable information to our broader understanding of nematode defense mechanism and host-pathogen interactions. </t>
  </si>
  <si>
    <t>Candyd</t>
  </si>
  <si>
    <t>Velasquez</t>
  </si>
  <si>
    <t>cvelasquez4715@sdsu.edu</t>
  </si>
  <si>
    <t>Rokaw</t>
  </si>
  <si>
    <t>srokaw5067@sdsu.edu</t>
  </si>
  <si>
    <t>Bachelor of Sciences, Biology</t>
  </si>
  <si>
    <t xml:space="preserve">Histological Assessment of Vaping-Induced Cardiopulmonary Injury </t>
  </si>
  <si>
    <t xml:space="preserve">Vaping is rising in popularity among “never-smokers”, specifically young people who continue to use e-cigarettes at an alarming rate despite attempts at regulation by government agencies. Research is desperately needed to understand how vaping affects the heart and lungs in long-term studies. Our group has modeled human vaping exposure using mice in a controlled laboratory setting via inhalation of vape aerosol. Results from two different vape exposure studies will be presented. First, mice were exposed to vape aerosol with or without nicotine in a whole-body exposure chamber for four hours/day for nine weeks to determine if vaping causes premature senescence in cardiac tissue. Second, mice were similarly exposed for four hours/day for four weeks as described previously, then subjected to myocardial infarction injury with subsequent evaluation of cardiac remodeling influenced by vaping. Following exposure, mice were sacrificed, and hearts were formalin-fixed, then paraffin-embedded for histological analysis. Heart tissue sections were stained with both a Hematoxylin &amp; Eosin (H&amp;E) and Masson’s Trichrome stain to visualize structural and morphometric changes. Samples were analyzed on the Keyence BZ-x800 microscope using XY measure and Hybrid Cell Count Analysis. Results showed male mice exposed to vape without nicotine for 9 weeks had significantly increased left ventricular area compared to female mice exposed to vape without nicotine. Compared to non-exposed controls, male and female mice exposed to vape without nicotine for 9 weeks had decreased collagen deposition in the heart, while male and female mice exposed to vape with nicotine had increased collagen deposition in the heart. In the infarction study, although vape treatments did not have a significant effect on infarct size all exposure groups and sexes had on average a 5-fold increase in collagen deposition compared to their respective sham controls, validating the injury model. These results show that vaping alters cardiac structure and collagen deposition. Future directions include quantifying collagen specifically in the perivascular region and identifying the underlying mechanism between increased collagen deposition in the heart of nicotine exposed mice. Overall, vaping poses a risk to cardiovascular health and awareness should be spread to young people to discourage them from starting or continuing this dangerous habit. </t>
  </si>
  <si>
    <t>Mark</t>
  </si>
  <si>
    <t>msussman@sdsu.edu</t>
  </si>
  <si>
    <t>Romero</t>
  </si>
  <si>
    <t>nromero3715@sdsu.edu</t>
  </si>
  <si>
    <t>Growth kinetics analysis and biochemical composition characterization enable smart culturing of nutritious freshwater Chlorella vulgaris biomass to enhance space food</t>
  </si>
  <si>
    <t>The unicellular, freshwater microalga Chlorella vulgaris has been considered a favorable candidate for enhancing the nutritional value of functional and sustainable foods due to its high-biomass productivity under various conditions. Recognized for its abundant protein content (&gt;50% w/w), content of both essential and nonessential amino acids, as well as its abundant content of vitamins, minerals, and antioxidants (i.e., carotenoids, polyphenols, and flavonoids), C. vulgaris is gaining importance as a healthy and sustainable ingredient for space food within NASA’s Artemis project.  Resilient against harsh conditions in extreme environments and containing immune-modulating and anti-cancer properties, C. vulgaris biomass can improve the nutritional value and the prophylactic properties of freeze-dried foods.  This project presents the accurate quantification or proximate biochemical composition analysis of C. vulgaris throughout its growth cycle, focusing on total protein (Lowry method), carbohydrate (acid digestion method), lipid (gravimetric analysis), and photosynthetic pigment (cold acetone extraction) content. Biochemical composition data is complemented with the determination of Gompertz-Zwietering growth kinetics parameters (i.e., biomass carrying capacity (A), growth rate, 𝛍max, and lag time, 𝛌)  to better understand the dynamic biochemistry of C. vulgaris during its reproduction. Furthermore, accurate biochemical composition data is being used for curation of objective biomass equations that enhance the predictive capabilities of high-quality Genome-Scale Metabolic Reconstruction models. Overall trends indicate that protein content decreases over time as C.vulgaris cells progress further along in their growth cycle while increasing carbohydrate accumulation over time.  Interestingly, the lipid and photosynthetic pigment fractions remained constant at the optimized autotrophic growth conditions in Bold’s Basal medium. This quantitative analysis will provide a basis to select the optimal culture age for harvesting the microalgal biomass for astronaut food.</t>
  </si>
  <si>
    <t>Kassidy</t>
  </si>
  <si>
    <t>Curtis</t>
  </si>
  <si>
    <t>kcurtis3005@sdsu.edu</t>
  </si>
  <si>
    <t>Bachelors of Science in Cellular and Molecular Biology, Minor in Chemistry and Minor in Interdisciplinary Studies</t>
  </si>
  <si>
    <t>Determining the Impact of Fibulin 3 on CA19-9-Mediated Pancreatic Ductal Adenocarcinoma Growth, Invasion, and Cell Signaling</t>
  </si>
  <si>
    <t xml:space="preserve">Pancreatic ductal adenocarcinoma (PDA) is a lethal cancer with a five-year survival rate of less than 12% and is projected to soon become the second leading cause of cancer-related death. Notably, 95% of PDA cases exhibit KRAS mutations, contributing to highly dysregulated cell signaling networks. Glycosylation is one of the most common types of post-translational modification, and it is a critical determinant of protein function. Levels of the glycan carbohydrate antigen 19-9 (CA19-9) are elevated in the serum of 75% of PDA patients and are used to monitor progression and response to therapy. However, understanding the detailed functions of CA19-9-modified proteins in PDA has been limited due to the lack of adequate models for synthesizing CA19-9. To address this challenge, we have developed unique mouse and 3D organoid culture models capable of producing CA19-9. CA19-9 elevation in mice with KRAS-mutations results in an aggressive PDA phenotype through increased tumor proliferation. Furthermore, our research has identified Fibulin 3 (FBLN3), an extracellular matrix glycoprotein, as a secreted, CA19-9-modified protein that stimulates tumorigenesis. In this study, we found that FBLN3 facilitates tumor growth in both in vitro 2D cells and in vivo. Additionally, we found that FBLN3 drives epithelial-mesenchymal transition (EMT) and promotes STAT3 pathways activation in the CA19-9pos, KRAS-mutant PDA organoids. Altogether, these data suggest significant implications for providing novel insights into PDA biology and paracrine signaling mechanisms, identifying FBLN3 as a potential therapeutic target for the improved treatment of this devastating disease.
 </t>
  </si>
  <si>
    <t>Mokili</t>
  </si>
  <si>
    <t>jmokili@sdsu.edu</t>
  </si>
  <si>
    <t>Giselle Adeline</t>
  </si>
  <si>
    <t>Cunanan</t>
  </si>
  <si>
    <t>gcunanan9707@sdsu.edu</t>
  </si>
  <si>
    <t>Bachelor of science in microbiology with an emphasis in clinical laboratory science</t>
  </si>
  <si>
    <t>Role of Syncytiotrophoblast-derived extracellular vesicles in providing potential biomarkers for preeclampsia</t>
  </si>
  <si>
    <t>Trophoblasts are specialized epithelial cells of the placenta, and in human there are three subtypes: undifferentiated cytotrophoblast (CTB), and fully differentiated syncytiotrophoblast (STB) or extravillous trophoblast (EVT). During early placentation, STBs cover the surface of placental villi and provide gas and nutrient exchange between the mother and fetus. Extracellular vesicles (EVs) are small, lipid membrane encapsulated structures that carry various biomolecules from the cells that release them. EVs exert their biological functions by delivering proteins, bioactive lipids, and nucleic acids to recipient cells. Therefore STB-derived EVs may have important roles in feto-maternal signaling. Moreover, there is growing evidence that the cargo of EVs can reflect the functional state of the source cells, leading to interest in EVs as potential sources of disease biomarkers and as therapeutic vehicles. More specifically, preeclampsia is a pregnancy syndrome characterized by maternal hypertension and proteinuria. Techniques for tracing EVs and their cargo from cells of origin, through biofluids, and into destination cells are critically needed to decipher mechanisms of EV signaling. EV membranes are highly enriched in tetraspanins, a family of proteins with four transmembrane domains that are often used for EV capture and classification. There are optimized methods for multiplex vesicle flow cytometry (vFC) of EVs released by placental explants using antibodies against the tetraspanins CD9, CD63, and CD81. However, placental explants are comprised of several cell types, and thus release a mixed population of EVs. In this study, we aim to characterize the tetraspanins expressed on EVs released specifically by STB. For this, I will differentiate in vitro trophoblast stem cells (TSC) in order to generate a homogeneous STB population. STB differentiation will be verified by checking for the markers: EGFR, HLAG, and ITGA1 via flow cytometry. The next step of the project will involve differentiating TSC into STB, performing vFC on cell culture supernatant, and analyzing EV cargo.</t>
  </si>
  <si>
    <t>Shahwan</t>
  </si>
  <si>
    <t>Perucci</t>
  </si>
  <si>
    <t>areyes3605@sdsu.edu</t>
  </si>
  <si>
    <t>English</t>
  </si>
  <si>
    <t xml:space="preserve">Soy de Aquí y Soy de Allá: Exploring Transfronteriza College Students’ Sense of Belonging at the Imperial Valley-Mexicali Borderlands </t>
  </si>
  <si>
    <t xml:space="preserve">The Transborder Scholar Collaborative (TSC) at SDSU-Imperial Valley is dedicated to the social justice of Transfronterizx students in education along the U.S.-Mexico borderlands. As Transborder Scholars we are committed to implementing critically conscious research and practices through liberatory methodologies centered on the holistic student development of our Transfronterizx community in education. We are dedicated to fostering the success of Transfronterizx students through an interdisciplinary approach to research and practice in education and transborder studies. Informed by our research we prepare critically conscious border educators and implement student centered initiatives in education at the U.S.-Mexico borderlands. 
In this session we will present the preliminary findings of our photovoice collaborative autoethnography study titled, Soy de Aqui y Soy de Alla: Exploring Sense of Belonging at the Imperial Valley-Mexicali Borderlands. The purpose of this study is to illustrate the complexities of transborder identity development by exploring our sense of belonging experiences in higher education, community and families at the Imperial Valley-Mexicali Borderlands. In this photovoice collaborative autoethnography we are applying liberatory and decolonial methodologies as delineated by Chicana Feminism methodologies (Delgado Bernal &amp; Elenes, 2011), while triangulating with visual methodologies. Altogether, these methods allow us to reminisce, reimagine, explore, and reflect on critical moments that shaped our experiences in education at the Imperial Valley-Mexicali borderlands. At the TSC, we are engaging in these methods through weekly collaborative autoethnography photovoice sessions. The preliminary findings of our research revealed the intersections of our transborder interactions and gender as we learn to love our identities on both sides of the U.S.-Mexico border.  
Beyond a research collaborative, the TSC is a space of inclusion, cultural validation and multigenerational mentorship for Transfronterizx students at SDSU-Imperial Valley. As such, TSC has provided the students of this study a platform as Transborder Scholars and mentorship opportunities with the TSC Founding Director. 
</t>
  </si>
  <si>
    <t>Perla</t>
  </si>
  <si>
    <t>Soto-Urzua</t>
  </si>
  <si>
    <t>Vannessa</t>
  </si>
  <si>
    <t>Falcón Orta</t>
  </si>
  <si>
    <t>Falcon@sdsu.edu</t>
  </si>
  <si>
    <t>Victoria</t>
  </si>
  <si>
    <t>Rietz</t>
  </si>
  <si>
    <t>vrietz5213@sdsu.edu</t>
  </si>
  <si>
    <t>Bachelor of Science in Child Development &amp; Bachelor of Arts in Journalism with an Emphasis in Media Studies</t>
  </si>
  <si>
    <t>Examining the Interaction Between Teachers and their Students in Head Start Classrooms</t>
  </si>
  <si>
    <t>Teachers play a critical role in the quality of education children receive in school. The role of teachers is particularly critical during children’s preschool years because this is when they are developing the foundational skills that will shape their lifelong academic and socioemotional wellbeing. In comparison to later grades, preschool classrooms  are a unique learning environment because there are usually between two and three teachers in each classroom, a small number of children, and the learning curriculum is usually center and play-based. These unique preschool characteristics likely create a unique dynamic between teachers that shapes the learning opportunities they provide children. However, few studies, till date, have explored the dynamics between teachers in preschool classrooms. Therefore, this study aims to describe the dynamics between Head Start teachers with each other and the children within their classrooms. In total, 10 Head Start teachers within five classrooms participated in this study. Teachers were video recorded in their classrooms engaging in their usual activities. Videos were transcribed and coded. Preliminary findings indicate that there are differences across classrooms in the dynamic between teachers within the classroom. Specifically, in some classrooms one of the teachers assumes the primary role as instructor while the other teachers supports her role by redirecting children to the main teacher, cleaning the class, and preparing materials for the activities. In other classrooms, both teachers take more of an active role in engaging with children. These findings have the potential to shed light on the learning opportunities provided to children in low-income preschool classrooms.</t>
  </si>
  <si>
    <t>Wendy</t>
  </si>
  <si>
    <t xml:space="preserve">Ochoa </t>
  </si>
  <si>
    <t>wochoa@sdsu.edu</t>
  </si>
  <si>
    <t>Lilly</t>
  </si>
  <si>
    <t>Arellano</t>
  </si>
  <si>
    <t>larellano3069@sdsu.edu</t>
  </si>
  <si>
    <t>Predictors of accuracy in Spanish reading comprehension in bilingual school-aged students</t>
  </si>
  <si>
    <t xml:space="preserve">INTRO:
Home environment and educational programs play a significant role in dual language learners’ (DLL) Spanish literacy skills. Studies demonstrate that when early instruction is given in the first language (L1) (e.g., dual language [DL] programs), children demonstrate literacy skills within normal limits in both L1 and their second language (L2). Children from Spanish-speaking homes who are immersed in English-only education generally perform on par with their peers in DL instruction on English literacy outcomes; however, this comes at the cost of L1 oral language and literacy skills. In order to further understand the biliteracy development of DLLs, we will examine factors potentially contributing to students’ reading comprehension scores, including the word frequency of the answer choices, the length of the passage, the students’ home language exposure, and the educational context (dual language vs. English-only education).
METHODS:
We examined responses to a computerized Spanish reading comprehension assessment created in our lab, Leyendo para Comprensión (LPC). 150 second graders and 125 third graders (82% of whom were in dual language classrooms), read increasingly difficult passages with a missing word, to which they were asked to choose the correct target from three options. Children also completed a researcher-administered questionnaire about their home and school language use.
RESULTS: All responses completed in fewer than five seconds were removed before analyses. A logistic regression revealed that the factors of interest all significantly predicted the likelihood of a child answering our Spanish reading comprehension questions correctly. Children in dual language education (B=.52, p&lt;.001) and children with more Spanish exposure at home (B=.41, p=.05) were more likely to answer questions correctly. Additionally, shorter items (B=-0.02, p&lt;.001) and items where the correct answer choice was a higher frequency word (B=.00, p&lt;.001) were more likely to have correct answers
Conclusions: Increasing Spanish exposure at home and providing access to bilingual education may help to improve Spanish literacy outcomes. When examining the results of reading comprehension tests, teachers should take into account the length and complexity of the vocabulary in the passages included in the test.
</t>
  </si>
  <si>
    <t>Haugum-Diego</t>
  </si>
  <si>
    <t>Kenia</t>
  </si>
  <si>
    <t>Sanabria</t>
  </si>
  <si>
    <t>Marsh</t>
  </si>
  <si>
    <t>jmarsh4238@sdsu.edu</t>
  </si>
  <si>
    <t>The Impact of Spatial Skills in a Mid-Major Computer Science Course</t>
  </si>
  <si>
    <t>A growing body of past studies suggests that spatial activities and computer science tasks may target the same cognitive processes within the brain. Spatial skills refer to the ability to reason, understand, and transform the spatial relations among objects in space. Additionally, research has revealed a connection between strong spatial skills and success in computer science.  It has been demonstrated that training spatial skills can enhance a students’ spatial abilities, which should in turn lead to more competency in computer science concepts, particularly in introductory computer science and engineering courses. However, it’s noteworthy that there is a lack of research exploring the impact of spatial skills training on students enrolled in more advanced courses. Our research delves into this intersection of spatial activities and computer science performance, seeking to unearth the impact of spatial skills training on students' academic outcomes. The study focuses on a course teaching software engineering principles, and includes two sections of the course, with one serving as a treatment group and the other as a control group. In both groups, we administered spatial skills and computer science assessments to establish the students' baseline knowledge. The treatment group received spatial skills training through written workbook modules accompanied by quizzes. Meanwhile, the control group received more course-related activities to control for time-on-task between the two sections. Upon completing these activities at the end of the semester, a post assessment was conducted in each section to evaluate any improvements in their spatial skills and computer science knowledge. The comparison of the pre- and post-test results showed no significant improvement in spatial skills and computing knowledge between the treatment and control groups, indicating that the integrated spatial skills had no measurable effect. This conclusion indicates that future iterations of this research should first focus on establishing a baseline of students’ spatial abilities in order to determine the potential effectiveness of a supplemental intervention.</t>
  </si>
  <si>
    <t>Garen</t>
  </si>
  <si>
    <t>Vehouni</t>
  </si>
  <si>
    <t>Salazar</t>
  </si>
  <si>
    <t>Wahida</t>
  </si>
  <si>
    <t>Hamdard</t>
  </si>
  <si>
    <t>whamdard2617@sdsu.edu</t>
  </si>
  <si>
    <t>ISCOR</t>
  </si>
  <si>
    <t xml:space="preserve">Light in the Darkness: Education for Afghan Women" </t>
  </si>
  <si>
    <t xml:space="preserve">Gender policy analysis can highlight gender inequalities in education, particularly for girls and women facing patriarchal norms. I explore this argument by taking a gender-based approach to examining inequalities in societies in Afghanistan, a developing and fragile state, and in the U.S., a developed nation that welcomes refugees, including girls and women from Afghanistan. In a patriarchal society, gender roles are more rigid and limit girls and women in terms of their educational and economic opportunities.  Afghanistan is, like many societies, patriarchal in many households and governance.  In addition, Afghan refugees coming to the U.S. are disadvantaged by the legacies of gender inequality from Afghanistan and may continue to experience gender or other barriers in the U.S. lifestyle and societal norms. After presenting my findings on Afghanistan and the U.S., I provide recommendations for moving forward in Afghanistan and for Afghan refugees in the U.S., focusing on women's education. 
</t>
  </si>
  <si>
    <t xml:space="preserve">Cheryl </t>
  </si>
  <si>
    <t xml:space="preserve">O'Brien </t>
  </si>
  <si>
    <t>Dennisse</t>
  </si>
  <si>
    <t>Bell</t>
  </si>
  <si>
    <t>dbell3545@sdsu.edu</t>
  </si>
  <si>
    <t>Interdisciplinary Studies in Three Departments</t>
  </si>
  <si>
    <t>Exploring Educational Perspectives: A Study on Latine Students' Academic Performance Factors in High Schools</t>
  </si>
  <si>
    <t xml:space="preserve">Research has found that low-income, Latine students are among the group of students in the United States with the lowest levels of academic achievement. These low rates of educational attainment have been largely attributed to the disparities in access to high quality schools and formal learning opportunities available to them. Among Latine students from low-income households, those who have limited or no proficiency in English receive even less access to educational resources and support from their school. To date, however, little is known about how Latine students with different levels of English proficiency experience their educational journey from their perspective. Additionally, both teachers and counselors play a critical role in the educational experiences of Latine students, yet few studies have incorporated their perspectives.   This qualitative study will conduct semi-structured interviews with Latine students in high school who possess different levels of English proficiency to compare the factors that they perceive contribute to their academic performance. Furthermore, high school teachers and counselors within the same high school will also be interviewed to understand their perspectives on the factors that shape the educational experiences of Latine students with different levels of English proficiency. Findings from this study have the potential to provide a more in-depth and complete understanding of the educational experiences of linguistically diverse Latine students. Moreover, these findings might shed light on the types of experiences that contribute to differences in academic performance among students with different levels of English proficiency. </t>
  </si>
  <si>
    <t>Shaye</t>
  </si>
  <si>
    <t>Phung</t>
  </si>
  <si>
    <t>sphung0395@sdsu.edu</t>
  </si>
  <si>
    <t>Bachelor of Arts in Liberal Studies</t>
  </si>
  <si>
    <t>Critical analysis of an undergraduate minor: curriculum alignment for the multicultural learning and working environment</t>
  </si>
  <si>
    <t xml:space="preserve">Using critical analysis as the primary form of research, the undergraduate student Program Development Assistant will research the impact of an undergraduate minor they are employed to support as a federal work-study recipient. The focus on cultural competency in professional practice poises students enrolled in this minor to apply learning in general education and prerequisite courses, ultimately preparing for dynamic and diverse workplace environments. This critical analysis will focus on the detailed explanation and evaluation from a subjective view, evaluating the current state of course offerings and the intention to support multicultural professional skill development needed for post-graduate career readiness and graduate-level coursework. Critical analysis of the current program from an undergraduate student research perspective will amplify the student voice while maximizing program development through a student researcher perspective. The researcher will include the impact of career development opportunities as a student employee. </t>
  </si>
  <si>
    <t xml:space="preserve">Liz </t>
  </si>
  <si>
    <t>Buffington</t>
  </si>
  <si>
    <t>ebuffington@sdsu.edu</t>
  </si>
  <si>
    <t>Christaysha</t>
  </si>
  <si>
    <t>McDowell</t>
  </si>
  <si>
    <t>cmcdowell8236@sdsu.edu</t>
  </si>
  <si>
    <t>The Henrietta Goodwin Scholars Program and its Influence on Academic Success among African American Students at San Diego State University</t>
  </si>
  <si>
    <t>This comprehensive qualitative study delves into the impact of the Henrietta Goodwin Scholars (HGS) Program on African American/Black students at San Diego State University. The abstract highlights the program’s design, methodology, and significance in fostering academic success, inviting readers to explore its relevance in supporting the transition and achievements of underrepresented minority students in higher education. The research specifically aims to assess how the program’s emphasis on support structures and mentorship influences the academic success and transitional experiences of African Diaspora students at San Diego State University. Through an exploratory qualitative approach, surveys are conducted with a number of current and past program participants to gain insights into the multifaceted ways in which the HGS Program contributes to the academic journey of African American/Black students. By exploring the effectiveness of the program, this research provides valuable insights to the field of higher education, particularly in enhancing support programs for underrepresented minority students. Understanding the impact of targeted initiatives on academic success and transition is crucial for informing the design of programs that aim to support diverse student populations.</t>
  </si>
  <si>
    <t>Tonika</t>
  </si>
  <si>
    <t>Kiria Gabriela</t>
  </si>
  <si>
    <t>Fraga</t>
  </si>
  <si>
    <t>kfraga@sdsu.edu</t>
  </si>
  <si>
    <t>Joint Doctoral Program in Health Behavior</t>
  </si>
  <si>
    <t>Social support and cancer screening completion among patients in a Federally Qualified Health Center in San Diego, California</t>
  </si>
  <si>
    <t xml:space="preserve">Introduction: Regular cancer screening is critical for early detection and treatment. Yet, national cancer screening completion rates remain low (67% for colorectal, 66% for breast, and 68% cervical), particularly among minority populations such as Latinos. Social support can contribute positively to cancer screening behaviors. Understanding the role of social support in cancer screening may help inform effective interventions to increase uptake of  cancer screening when available. This study examined the association between perceived social support and cancer screening completion among patients from a Federally Qualified Health Centers (FQHC) in San Diego, California. 
Methods: This was a cross-sectional study and data on cancer screening completion were extracted from electronic health records of 116 patients. Sociodemographic data were collected via a comprehensive self-administered survey. Total social support (alpha =0.82) was measured via the Interpersonal Support Evaluation List-12 (ISEL-12) which includes dimensions for appraisal (alpha= 0.65), belonging (0.62) and tangible support (0.57). Associations between overall social support (continuous independent variable) and recommended cancer screening completion for colorectal, breast and cervical (classified as yes vs. no) were analyzed using logistic regression, adjusting for age, sex and ethnicity.
Results: Patients were 45.6% Hispanic, 66% female and mean age of 44.7±14 yrs. The average ISEL-12 score was 19.10 ± 4.9. For cancer screening, 69%, 73%, and 63% were up-to-date with  breast, cervical and colorectal cancer screening, respectively. There was no association between overall perceived social support and cancer screening completion (OR = 1.0; 95%CI: 0.9-1.1). However, female patients had greater odds of completing cancer screening compared to male patients (OR = 8.6; 95%CI: 3.1-24.1). Furthermore, Hispanic women had 75% lower odds of completing breast cancer screening compared to non-Hispanic women (OR = 0.25; 95%CI: 0.06-0.98). 
Conclusion: There were no associations between overall perceived social support and completion of cancer screening among patients. However, there were sex and ethnicity differences in cancer screening completion supporting the need for further research in these subgroups and the role of social support.
</t>
  </si>
  <si>
    <t>Conner</t>
  </si>
  <si>
    <t>Frank</t>
  </si>
  <si>
    <t>cfrank@sdsu.edu</t>
  </si>
  <si>
    <t>PhD Clinical Psychology</t>
  </si>
  <si>
    <t>Combining ApoE Status and Olfactory Performance Predicts Alzheimer’s Pathology Biomarkers</t>
  </si>
  <si>
    <t xml:space="preserve">Changes in identification, memory, and perceived familiarity of odors are early risk factors for Alzheimer’s Disease (AD; Murphy, 2019). Less is known about the relationship between olfactory performance and biological risk factors, such as the Apolipoprotein E ε4 allele and the presence of amyloid and tau in cerebrospinal fluid measurements (CSF; Simonsen et al., 2017; Serrano-Pozo, 2021). To understand the interaction between olfactory performance and AD biomarkers, 32 older adults completed the San Diego Odor Identification Test (SDOIT), the Alzheimer’s Disease Assessment Scale – Cognitive Subscale (ADAS-Cog), and measures of odor familiarity and correct odor recognition memory (hits). Participants were also genotyped for the presence of an ε4 allele and completed a lumbar puncture, from which indicators of amyloid and tau pathology were extracted. The effects of the interaction between ε4 allele presence and both the number of odors correctly recognized (hits) and a SDOIT/odor familiarity composite on CSF Amyloid-Beta 42 (Ab42), phosphorylated tau (p-tau), total tau (t-tau), and t-tau/Ab42 ratios were assessed using multiple linear regression, controlling for age, sex, years of education, and ADAS-Cog scores. The interaction between hits and ε4 status predicted p-tau (β = -49.7, p &gt; .001), t-tau (β  = -330.91, p &gt; .001), and t-tau/Ab42 ratios (β = -.63, p = .0047), with ε4 carriers with a low number of hits showing the highest CSF biomarker burden. Similarly, the interaction between the odor identification/familiarity and ε4 status predicted p-tau (β = 7.25, p = .025), t-tau (β = 59.68, p = .0036), and t-tau/Ab42 ratios (β = .11, p = .037), with ε4 carriers with high levels of the identification/familiarity composite showing the most elevated biomarker levels. The results imply that the combination of genetic and olfactory risk can predict the onset of biochemical changes in the brain related to AD pathology. These results also imply that, in ε4 carriers, worse recognition memory for odors may have particular relevance for predicting AD risk in those at genetic risk for AD. Supported by NIH grant #R01AG062006 to CM. </t>
  </si>
  <si>
    <t>Andrés Peñalosa</t>
  </si>
  <si>
    <t>Reyna</t>
  </si>
  <si>
    <t>areyna5123@sdsu.edu</t>
  </si>
  <si>
    <t>Masters of Arts in Geography</t>
  </si>
  <si>
    <t>Building Resilience to Climate Change Impacts through Community Engagement in Water Management: A Comparative Study of California and Baja California</t>
  </si>
  <si>
    <t>This project investigates groundwater management in California, United States, and Baja California, Mexico. Research emphasizes the need to enhance resilience to climate change through improving water infrastructure, resource management, and community participation. Two case studies, Tulare Lake Basin in California and Maneadero Valley in Baja California, were conducted through collaborative, transborder, research focusing on the role of community involvement in groundwater management. These two case studies are characterized as experiencing stress factors associated with urban growth, agriculture, and increases in drought. These circumstances have led to higher demand for groundwater sources, resulting in scarcity, depletion and pollution of aquifers. Researchers conducted a thorough review of existing literature and completed twenty four semi-structured stakeholder interviews. Baja California interviews highlight urban water management, limited community participation is linked to government restrictions, and declining financial resources for water management. California interviews highlight rural water management, representation of disadvantaged communities under the Sustainable Groundwater Management Act (SGMA), the importance of education and information access, and the need for active community engagement in groundwater management. Both case studies show that concerns about climate change resilience are primarily tied to its impacts of prolonged droughts, erratic rainfall, and water quality on agricultural production. The project aims to address opportunities and challenges about the importance of participatory approaches in climate resilience and sustainable water resource management while generating relevant data for decision makers on both sides of the border.</t>
  </si>
  <si>
    <t>Amy</t>
  </si>
  <si>
    <t>Quandt</t>
  </si>
  <si>
    <t>aquandt@sdsu.edu</t>
  </si>
  <si>
    <t xml:space="preserve">Athena </t>
  </si>
  <si>
    <t xml:space="preserve">Cisneroz </t>
  </si>
  <si>
    <t>acisneroz9041@sdsu.edu</t>
  </si>
  <si>
    <t>The Association Between Acculturation, Screen Media Use, and Body Appreciation among Latina Preadolescents</t>
  </si>
  <si>
    <t>Background/Purpose:
Body appreciation, defined as favorable opinions, respect, and acceptance toward one’s body, is associated with positive health and well-being outcomes. Research shows that exposure to Western media is associated with greater internalization of the thin body ideal and body image dissatisfaction. While Latina young adults living in the U.S. report levels of body dissatisfaction comparable to or higher than their European-American counterparts, research on body image development among Latina youth is limited. Relative to body image across the lifespan, the greatest drop in women’s body image occurs between the ages of 10-14 years old. The current mixed-methods study aims to address a research gap by examining associations between levels of acculturation, screen media use, and body appreciation among Latina preadolescents.
Method:
The current sample includes preliminary data from 20 Latina preadolescents ages 8-11 years who reside in San Diego County and were recruited as part of a larger pilot study. Participants completed surveys measuring levels of acculturation across subdomains of language use, media, and ethnic social relations using the Short Acculturation Scale for Hispanic Youth (SASH-Y); screen media use across social media, internet, gaming, and TV screen types; and body appreciation using the Body Appreciation Scale-2 (BAS-2). Bivariate correlations are planned to examine associations between levels of acculturation, screen media use, and body appreciation. Data from semi-structured interviews covering topics relating to screen media use, maternal communication and peer influences, and body appreciation will be analyzed using rapid qualitative analysis.
Expected Results/Implications:
A significant association between levels of acculturation, screen media use, and body appreciation is predicted based on the Tripartite influence model of body image. Specifically, higher total acculturation and screen media use will be associated with lower body appreciation, with the strongest associations observed between the media acculturation subdomain and social media screen type with body appreciation. Findings may improve understanding of the sociocultural influences affecting body appreciation among Latina preadolescents to inform culturally tailored interventions targeting positive body image promotion.</t>
  </si>
  <si>
    <t>Rojas</t>
  </si>
  <si>
    <t>jrojas7492@sdsu.edu</t>
  </si>
  <si>
    <t>A Drosophila Genetic Screening Platform to Identify Conserved Factors that Influence Biological Outcomes Following Traumatic Brain Injury Exposure</t>
  </si>
  <si>
    <t>Following traumatic brain injury (TBI) exposure a wide range of factors including genetic have the potential to influence the biological outcomes. Millions of people worldwide sustain a wide range of head trauma, resulting in diverse outcomes. The potential for genetic factors to influence TBI outcomes requires further studies. Here we use a high throughput Drosophila screening platform to elucidate key genes and pathways that may influence TBI outcomes. This included the use our BeadRuptor trauma technology and validated TBI phenotypes, along with the Drosophila Gal4-UAS system to modulate select genes in adult fly neural tissues. RNAi knockdown (KD) technique was used to target autophagy (ref(2)P), lipolytic (lipase3), glycogenic (GlySyn), and inflammatory (crq) pathway components. Adult cohorts were exposed to severe (sTBI, 1x) or mild repetitive trauma (mTBI, 10x) conditions to assess individual genetic changes to TBI outcomes. Biological assessments included modified longevity profiles, behavioral changes (negative geotaxis response, NGR), alterations to protein turnover (autophagy), and inflammatory profiles. Mortality indexes (MI24hr) and aging studies show genotypic dependent changes, reflecting both sensitivity and resistance to following trauma exposure when compared to wildtype (WT) controls. Alterations to climbing behaviors (NGR) also showed similar genotype dependent responses following mTBI (10x). Neural Western analysis established basal and fasting induced alteration to autophagic responses. Further, each RNAi KD showed genotype dependent impact on NF-κB signaling targets (AMP). This included basal inflammatory profiles as well as following primary (4hr post mTBI) and secondary (24hr post mTBI) injury responses. In summary, there was a genotypic specific concordance between longevity and locomotor profiles following trauma, along with unique proteolytic, and neuroinflammatory responses highlighting potential key molecular mechanisms. This work demonstrates the versatility of a Drosophila as a genetic screening platform to examine neural responses and outcomes following trauma. Genes examined here have human homologues and known genetic variants, highlighting potential targets for further investigation of trauma patients.</t>
  </si>
  <si>
    <t>Sooji</t>
  </si>
  <si>
    <t>skim10@sdsu.edu</t>
  </si>
  <si>
    <t>Child Development</t>
  </si>
  <si>
    <t>Mindfulness and Well-being in Asian Americans and Parents</t>
  </si>
  <si>
    <t>Research indicates that Asian American parents tend to have high academic expectations for their children, and that these expectations in combination with parent-child conflict can have a negative impact on child wellbeing. However, little research has addressed the mental health and wellbeing of Asian American parents, which is likely associated with parent-child relationships and child mental health. Mindfulness has been associated with mental health and positive relationship outcomes in the literature. The current study examines the potential beneficial role of mindfulness in Asian American families by examining associations between mindfulness and wellbeing in Asian Americans, parents, and Asian American parents. Secondary data analysis of previously collected anonymous questionnaire data. Measures include: demographics, trait mindfulness, mindfulness practices, self-compassion, and mental health. Pearson’s correlations were conducted to ascertain associations between mindfulness and wellbeing in Asian Americans, parents, and in a smaller sub-sample of Asian American parents. Results have implications for elucidating understanding in the field regarding mental health in Asian American parents, and associations between mindfulness and wellbeing in this population that may have implications for mindfulness practices helping Asian American families.</t>
  </si>
  <si>
    <t>Shapiro</t>
  </si>
  <si>
    <t>ashapiro@sdsu.edu</t>
  </si>
  <si>
    <t>Abilene</t>
  </si>
  <si>
    <t>aayala1640@sdsu.edu</t>
  </si>
  <si>
    <t>Population Distance in Lower Rio Verde, Oaxaca</t>
  </si>
  <si>
    <t xml:space="preserve">This research examines the interaction between past societies and their surroundings during external adversity. Oaxaca’s lower Río Verde Valley region experienced a population shift around ca. 800 CE (Joyce 2008; Joyce et al. 2001, 2014). Extensive transdisciplinary research in the coastal lowlands suggest that anthropogenic and climate change played a pivotal role in the demographic transition. There have been joint efforts integrating archaeological, bioarcheological, geomorphological, and environmental studies to uncover the cause for the change in habitation patterns. A current international transdisciplinary project is working to unravel the role of socio-environmental factors on the landscape (Mayes &amp; Joyce 2020). As seen in the past and present, migration has been a coping mechanism to withstand hardships such as anthropogenic and landscape change. Population movement can be exposed through a biological distance analysis. Drawing on dental data, biological distance can be measured temporally, and spatially within or across sites. While DNA has yet to be retrieved due to the condition of the skeletal remains, dental morphology which is highly genetically controlled offers valuable insights. Dental non-metric traits are scored and statistically measured to determine biological distance. This study has the potential to reconstruct kin and settlement patterns during a time of hardship through dental traits. </t>
  </si>
  <si>
    <t>Dr. Arion</t>
  </si>
  <si>
    <t>Gregory</t>
  </si>
  <si>
    <t>gjordan7982@sdsu.edu</t>
  </si>
  <si>
    <t>Cell and Molecular Biology/Doctor of Philosophy</t>
  </si>
  <si>
    <t>Coordination of the NF-kB and Notch signalingn pathways in supporting ovarian cancer relapse</t>
  </si>
  <si>
    <t>Ovarian cancer is the most lethal gynecological malignancy in the United States and the fifth most lethal cancer in U.S. women. Although patients typically respond well to initial chemotherapy treatments, around 80% of women will relapse with chemotherapy resistant disease. Studies have identified a subpopulation of ovarian cancer cells, termed cancer stem-like cells (CSCs) that, unlike bulk cancer cells, possess the ability to resist chemotherapy and repopulate the tumor. Previous work has shown that the CSC phenotype is supported by alternative NF-kB signaling, and the effects of this pathway on the CSC phenotype can be modulated by chemotherapy. Additionally, it has been shown that the alternative NF-kB pathway cooperates with the Notch signaling pathway, a crucial developmental pathway important in ovarian CSCs. What remains to be discovered is the mechanism by which these pathways interact to modulate CSC self-renewal, proliferation, and drug resistance. We hypothesize that the alternative NF-kB transcription factor RelB maintains CSCs following chemotherapy through subsequent upregulation of Notch receptors and ligands. To test this hypothesis, ovarian cancer cell lines were subjected to multiple rounds of carboplatin chemotherapy and analyzed via qRT-PCR for alternative NF-kB gene expression and Notch gene expression. Increased gene expression of genes encoding for Notch ligands and alternative NF-kB proteins were shown in cells that survived chemotherapy. Additionally, ovarian cancer cells modified to be unable to express RelB were grown as regular 2D monolayers or 3D CSC promoting conditions. Subsequent RNA sequencing of these cells showed reduced Notch ligand expression in CSCs when RelB was absent. Finally, the cytokine TWEAK was used to stimulate alternative NF-kB expression in ovarian cancer cell lines that had been prior sorted for CSCs. An increase in Notch ligand expression was seen in CSCs stimulated with TWEAK vs vehicle. All of this data suggests that the alternative NF-kB pathway upregulates the Notch signaling pathway in CSCs post-chemotherapy. This work highlights the importance of deciphering the mechanisms of this signaling axis, as it may be used to guide the design of more effective therapeutic combinations that may ultimately reduce CSC phenotypes and increase survival for ovarian cancer patients.</t>
  </si>
  <si>
    <t>Stoeltje</t>
  </si>
  <si>
    <t>lstoeltje3185@sdsu.edu</t>
  </si>
  <si>
    <t>“Drug transporter knockout and gut microbiome analysis in Lytechinus pictus: Building a model for commensal interactions and disease mechanisms”</t>
  </si>
  <si>
    <t xml:space="preserve">Increasingly recognized as a global health challenge, Inflammatory Bowel Disease (IBD), which includes Crohn's disease and ulcerative colitis, remains enigmatic in its underlying causes. Recent insights point to dysregulated immune responses against the intestinal microbiota in genetically susceptible individuals. The transporter ABCB1 (known as P-glycoprotein) has emerged as a pivotal player for proper immune modulation and maintenance of microbial balance in the gut. However, the exact mechanisms leading to heightened IBD pathogenesis in the absence of strong ABCB1 activity remain unclear, and are difficult to quickly test and validate in mammalian models.
Utilizing an established ABCB1 knockout sea urchin line (Lytechinus pictus), we seek to build a model for testing the function of ABCB1 in the context of commensal maintenance. Imaging of early gastrula and larval stages revealed inflammation within the gut epithelia of ABCB1-KO larva, resembling an IBD phenotype. Ongoing 16S amplicon Next-Generation Sequencing across various larval stages up to metamorphosis will be used to assess differences in the relative abundance and composition of commensal communities between wild-type and ABCB1 knockout larvae. 
These findings underscore the conserved role of the ABCB1 transporter in gut health regulation and its interplay with the gut microbiota. Our ongoing comprehensive analysis of gut microbiota dynamics will provide a deeper understanding of these intricate interactions. Further exploration of these mechanisms could offer novel insights into IBD pathogenesis, potentially paving the way for innovative therapeutic strategies. </t>
  </si>
  <si>
    <t>cshrankel@sdsu.edu</t>
  </si>
  <si>
    <t xml:space="preserve">Timothaus </t>
  </si>
  <si>
    <t>Haddad</t>
  </si>
  <si>
    <t>thaddad8117@sdsu.edu</t>
  </si>
  <si>
    <t xml:space="preserve">Masters of Biological Science  </t>
  </si>
  <si>
    <t>Preserver of Reproductive Integrity: ABC transporters and their role protecting the germline</t>
  </si>
  <si>
    <t>Cellular defense systems are fundamental to life and dictate survival in an increasingly polluted world. Organisms are continuously exposed to xenobiotics (naturally occurring toxins or anthropogenic compounds) that persist in their environment. I seek to identify the threshold of xenobiotic protection available in mammalian primordial germ cells (PGCs): the embryonic stem cells to eggs and sperm. Most animals and model organisms “set aside” PGCs early in the embryo and maintain it until the adult stage of gamete development is reached. However, little is known about the protective toolkit of PGCs at the plasma membrane. This is important to understand because early-life encounters with xenobiotics could negatively impact reproductive potential of the adult. Ubiquitous environmental chemicals commonly found in human blood include plasticizers, polyaromatic hydrocarbons, and perfluorochemicals. Pivotal to the front lines of cellular defenses are transporters of the ATP-binding cassette superfamily. ABC transporters’ primary conserved function is to export xenobiotics and small molecules out of the cell. Using an in-vitro derivation protocol, I am testing which ABC transporters are present in and most utilized by human PGCs. This will improve our understanding of how organisms protect their reproductive capability at the earliest developmental stage possible. Using immunolocalization and cell sorting techniques with transporter-specific antibodies, I have identified that ABCC1 and ABCG2 are enriched in hPGCs. This is the first description of these proteins in this cell type. To knockout ABCC1 in these cells, I will design and deliver sgRNA guides against ABCC1 alongside Cas9 and GFP-reporter constructs in our hESC lines (UCLA1 [46XX] and UCLA2 [46XY]), via transfection and selection protocols that have proven successful in these cells. I will then test how sensitive ABCC1-knockout PGCs are to known cord blood contaminants. This proposed work provides an exciting opportunity to elucidate the role of ABCC1/ABCG2 in the development and/or protection of human PGCs against toxicants that pose a known threat to reproductive function. Therefore, the potential findings of this study can inform researchers studying germ lines in other organisms and broaden the community’s understanding of how animals can maintain reproductive output in light of xenobiotic exposures.</t>
  </si>
  <si>
    <t>Tim</t>
  </si>
  <si>
    <t>Priscilla</t>
  </si>
  <si>
    <t xml:space="preserve">Plascencia </t>
  </si>
  <si>
    <t>Chang</t>
  </si>
  <si>
    <t>achang4614@sdsu.edu</t>
  </si>
  <si>
    <t>Masters of Science in Public Health with a concentration in Environmental Health</t>
  </si>
  <si>
    <t>Environmental Impacts of Emerging Tobacco Products as Litters</t>
  </si>
  <si>
    <t>Electronic nicotine delivery devices (ENDS), commonly known as e-cigarettes, are widely used throughout the United States. Previous research has determined ENDS and heated tobacco products (HTP) to be improperly disposed of in the environment, such as in waters or on the ground, as tobacco product waste (TPW). However, little is known about the long-term health and environmental effects of ENDS and HTPs despite their growing market. Other studies have shown cigarette butts to release highly toxic chemicals in the environment, which impact wildlife and humans alike. Consequently, this research focuses on studying newer HTPs from Asia that will soon be sold in the United States utilizing quantitative analysis of nicotine and cotinine, major chemical components of tobacco products, and qualitative analysis of other chemicals in the leachates of the products. Leachate samples mimic the way the products exist once discarded in the environment, particularly in water. Comparative analyses of popular ENDS, HTPs, and cigarette butts are crucial to evaluate the relative hazards of these popular devices as they are routinely smoked, improperly discarded as TPW, and repurchased. Findings will aid in the toxicity assessment of HTPs and ENDS which will be shared with outside organizations and agencies to assist with regulations and minimize consumption for at-risk youth.</t>
  </si>
  <si>
    <t>ahedin9779@sdsu.edu</t>
  </si>
  <si>
    <t>Masters of Sciences in Cellular and Molecular Biology</t>
  </si>
  <si>
    <t>Interactions Between Bacteriophages and Phagocytes</t>
  </si>
  <si>
    <t>Antibiotic resistance is a global problem that has made treating bacterial infections more problematic and deadly for patients over time. Therefore, using bacteriophages, viruses that infect and kill bacteria, is becoming more enticing as a secondary form of antimicrobial therapy. However, phages are viruses, and when used in a form of therapy it could be potentially triggering the patient's immune system. In our research we focus on the phages impact on the innate immune system, the bodies first line of defense against infections. In order to study the innate immune system, we use dendritic cells and macrophages, both cell types with important viral receptors that help induce an antiviral state. Treating dendritic cells and macrophages with phage and using qPCR as well as RNA seq, we can analyze the gene expression induced by the presence of phages over time. Numerous genes were seen to be either up or downregulated, but overall, gene expression was upregulated for genes that code for cytokines such as IFN beta, ISG 15, IL 6 and TNF alpha. These are all important proteins that can help induce an antiviral state in the immune system. Therefore we can deduce that the use of bacteriophages as a form of therapy will also activate an antiviral state by the immune system in the patient.</t>
  </si>
  <si>
    <t>Dwayne</t>
  </si>
  <si>
    <t>Roach</t>
  </si>
  <si>
    <t>dwayne.roach@sdsu.edu</t>
  </si>
  <si>
    <t>Fortunato</t>
  </si>
  <si>
    <t>Rivas</t>
  </si>
  <si>
    <t>frivas3847@sdsu.edu</t>
  </si>
  <si>
    <t>Masters of Science in Biology, Ecology Concentration</t>
  </si>
  <si>
    <t>Determining the resistance of coast live oak (Quercus agrifolia) dominated forests in San Diego County to outbreaks of Phytophthora pathogens</t>
  </si>
  <si>
    <t>Coast live oak (Quercus agrifolia) serves as a keystone species in California, supporting thousands of fauna with biological resources (e.g., food and shelter) and indirect benefits to cohabiting plant species through their interactions with soil communities. These trees provide crucial environmental services to their ecosystems like carbon sequestration, erosion control, and the promotion of groundwater infiltration. Coast live oaks occur throughout much of San Diego County, where they comprise sensitive habitat, especially in protected habitat preserves set aside in response to human development. Unfortunately, these vital trees are vulnerable to numerous human-introduced biological threats that are reducing oak woodlands throughout the state. Infection by soil pathogens like Phytophthora is just one example of an exotic pest that land managers are monitoring for and combating. Signs and symptoms of the various ecological threats are not always apparent, as is the case in a preserve that I manage in Escondido where several mature and sapling oaks have died in just a few years. Concerns with recruitment have also arisen, as darkened, mushy acorns have been observed in the preserve and parts of the county. Goals: This study seeks to 1) identify the pathogen attacking the acorns, 2) to determine whether this is the cause of this mortality, and 3) to identify individuals that are resistant to this pathogen for restoration. Methods: In order to achieve objective 1, I have collected infested acorns from the site and performed DNA extraction and PCR using specific primers to target conserved regions (ITS1-ITS4). This region will be sequenced and matched against a library for pathogen identification at the genetic level. For objective 2, I will be germinating acorns with inoculum from soil and acorn samples that were collected within the preserve in areas of mortality and healthy reference sites. In order to achieve goal 3, I will determine if resistance genes are present in individuals grown in the inoculum. Preliminary results: The ultimate goal of this research is to help land managers prepare for and prevent impacts from a potential new threat. Ensuring the health of oak woodlands is key to the health of our ecosystems.</t>
  </si>
  <si>
    <t>Flores Renteria</t>
  </si>
  <si>
    <t>jesparza3351@sdsu.edu</t>
  </si>
  <si>
    <t>Masters of Microbiology</t>
  </si>
  <si>
    <t xml:space="preserve">The role of ChrY in human microglia and neurodevelopment </t>
  </si>
  <si>
    <t>In 2023, the prevalence of autism spectrum disorder (ASD) in children was 1 in 36. When it comes to the genetic factors contributing to ASD, progressive Y chromosome (ChrY) aneuploidy is associated with a higher risk compared to X aneuploidies. Boys are nearly four times more likely to be diagnosed with ASD than girls, but there has been limited research on the sex-related aspects influencing autism. Research conducted on individuals with autism has shown unusual characteristics in microglia. Abnormalities in microglia have been linked to irregular synaptic pruning, disruptions in the development of cortical layers, and elevated levels of neural progenitors, a connection to ASD. To explore the influence of genetic sex factors on microglia function, we developed a model system to examine the impact of ChrY in human microglia in relation to its dosage. We reprogrammed lymphoblastoid B-cell lines (LCLs) derived from human donors who possessed between one and four copies of ChrY into human induced pluripotent stem cells (hiPSCs). As expected, we found that elevated ChrY dosage leads to heightened expression of ChrY-associated genes in human microglia. Through xenotransplantation of euploid and aneuploid microglia, we found that microglia containing extra copies of ChrY display heightened pro-inflammatory characteristics in vivo, such as increased pro-inflammatory markers, reduced homeostatic markers and more ameboid morphology. Interestingly, these changes are associated with pro-inflammatory responses in nearby cell types. These findings reveal that ChrY has the capacity to influence both the gene expression and functionality of human microglia in the brain.</t>
  </si>
  <si>
    <t>Celina</t>
  </si>
  <si>
    <t>ctn004@health.ucsd.edu</t>
  </si>
  <si>
    <t xml:space="preserve">Sol </t>
  </si>
  <si>
    <t>sdiaz8861@sdsu.edu</t>
  </si>
  <si>
    <t>Master of Science in Physiology</t>
  </si>
  <si>
    <t xml:space="preserve">Alzheimer's Disease DNA Barcoding </t>
  </si>
  <si>
    <t>Alzheimer's disease (AD) is a neurodegenerative disorder and is the most common cause of dementia. Despite AD being a common disease, there are still no effective therapies. Recent studies reveal the important role of microglia and neuroinflammation in AD pathology by increasing Aβ production, degradation of the blood-brain barrier, and dysfunction of endothelial cells. Our lab has previously shown that transplantation of healthy hematopoietic stem and progenitor cell (HSPC) not only prevented microglial activation and reduced neuroinflammation but also reduced Aβ plaque storage, which has the potential to prevent AD challenges and become a therapeutic approach. Previous studies have also investigated myeloid cell engraftment in the brain after intracerebroventricular (ICV) injection of HSPCs, assessing their cell fraction contribution to microglia-like cell reconstitution in ICV transplant settings which have contributed to the importance of microglia in AD.
Microglial in the brain come from myeloid precursor cells from HSPCs that migrate to the central nervous system and become differentiated. Once differentiated, microglial regulate inflammation by releasing cytokines, in disease these can be dysregulated leading to chronic inflammation which contributes to neurodegeneration. Recently the importance of microglial and inflammation has been described more and more in the literature. Therefore it is important to understand where these cells come from.
This study aims to examine microglial origin and proliferation using a lentivirus with various viruses containing a unique twelve-base pair sequence or ¨barcode¨ that we can use to identify and track microglial from HSPC through the blood into the brain. We aim to uncover if one or several microglia enter and proliferate through the brain. Using this lentivirus, we aim to distinguish and track HSPCs and understand their response to different stimuli or contributions to the pathological process. We have transplanted HSPC transduced with our ¨barcode¨ into the 5xFAD AD mouse model and wildtype mice to understand the origin or pathway of microglia from HSPCs and their diversity in AD. Since the fields of HSPC transplantation and microglia continue to advance, our potential contributions could increase the understanding of microglial origin and proliferation in the brain, leading to more accurate targeted therapies for AD.</t>
  </si>
  <si>
    <t xml:space="preserve">Ralph </t>
  </si>
  <si>
    <t>Feuer</t>
  </si>
  <si>
    <t>rfeuer@sdsu.edu</t>
  </si>
  <si>
    <t>Mele'ana</t>
  </si>
  <si>
    <t>Akolo</t>
  </si>
  <si>
    <t>makolo7375@sdsu.edu</t>
  </si>
  <si>
    <t>PhD Interdisciplinary Research on Substance Use</t>
  </si>
  <si>
    <t xml:space="preserve">A Mixed Methods Study on the Need for Gender-Responsive (GR) Drug Services in Tonga. </t>
  </si>
  <si>
    <t>The worldwide increase of drug use, availability, manufacturing, and distribution impacts low-middle-income-countries (LMIC). There have also been increases in drug crises calling for responses that provide drug treatment to those who develop substance use disorder (SUD). However, little is known about drug treatment in LMIC and how well they respond to the needs of those with SUD. More importantly, research is needed on drug treatment in LMIC to be able to advance these services. The Tonga Islands is a LMIC where as of 2022 the United Nations Office on Drugs and Crime (UNODC), reports Methamphetamine is the primary drug of concern and is at the center of the Kingdom's drug crisis. The objective for this research is to develop understanding for drug services in response to the drug crisis in the LMIC Tonga by evaluating the needs of women with SUD. Moreover, it will develop awareness for women's needs to enhance understanding for the relevancy of gender-responsive (GR) drug services in LMIC to potentially advance existing responses in these regions. Our research aims are to 1) develop understanding for gender differences with drug services to identify the needs of women seeking drug services in Tonga through a mixed methods evaluation design, and 2) define cultural factors associated with gender differences and women's needs when seeking drug services. We hypothesize women have specific needs associated with their position culturally as women when seeking drug services, and when left unaddressed effects their recovery. For our study we take multiple approaches with research design. In addition to utilizing a mixed methods evaluation design, we employ autoethnographic methods where the researcher identifies with the community under study. The Principal Investigator is a Tongan-American woman, working as an SUD counselor in the US at women-only drug treatment facilities, and will lead the research with a subjective position. This approach will guide data collection and analyses to give adequate consideration for cultural schema with gender in Tonga. This is to address the issue with lack of understanding for cultural diversity with drug crises and responses with drug services globally in South Pacific Region LMIC.</t>
  </si>
  <si>
    <t xml:space="preserve">Maria Luisa </t>
  </si>
  <si>
    <t>mlzuniga@sdsu.edu</t>
  </si>
  <si>
    <t>alopez9625@sdsu.edu</t>
  </si>
  <si>
    <t>JDP in Public Health</t>
  </si>
  <si>
    <t>Assessing the role of social support as a buffer against bias-based bullying and depressive symptoms among Latinx adolescents</t>
  </si>
  <si>
    <t xml:space="preserve">Latinx adolescents experience increased risk of depressive symptoms compared to other racial/ethnic groups.Experiences of biased-based bullying—bullying based on identity such as race, ethnicity, gender, or national origin—may play a role in this disparity. Social support may mitigate the negative effects of bias-based bullying on Latinx adolescents’ mental health.s. We examined the association between bias-based bullying and depressive symptoms among Latinx adolescents, and assessed whether social support from families, peers, and adults at school moderate this relationship. Using data from the 2019-2020 statewide California Healthy Kids Survey (CHKS; n=38,151 adolescents in grades 6-12), were analyzed the associations between two types of bias based bullying: (1) bullying due to race/ethnicity/national origin, (2) bullying due to immigration status (real or perceived), with adolescents' self-reported past-year depressive symptoms  . We used Interaction terms to examine the role of  social support (family, peers, and adults at school) in moderating this relationship. Findings showed that Latinx students who experienced past-year bullying due to race/ethnicity/national origin and immigration status (real or perceived) had increased risk of depressive symptoms. Compared to Latinx adolescents who did not experience bias-based bullying, those reporting one past-year experience of bias-based bullying evidenced more than two times greater odds of depressive symptoms (AORs: 2.40-2.63, p-values &lt;0.001) and those reporting two or more experiences of bias-based bullying evidenced nearly four times greater odds of depressive symptoms (AORs: 3.68-3.87, p-values &lt; 0.001) Social support from peers and family significantly moderated the relationship between both types of bias-based bullying and depressive symptoms. Our findings also showed that peer and family social support interacted with each other. Specifically, adolescents with the highest levels of peer support, yet low levels of familial support, had the highest risk of reporting depressive symptoms. Findings have implications for the revision of school policies to more acutely target bias-based bullying as a potential lever to decrease mental health disparities in this population. In addition, these findings highlight the critical role of family support in buffering against the negative effects of bullying for Latinx adolescents. </t>
  </si>
  <si>
    <t>Ernst</t>
  </si>
  <si>
    <t>lernst4717@sdsu.edu</t>
  </si>
  <si>
    <t>Chemistry - Biochemistry</t>
  </si>
  <si>
    <t>The influence of the microbiome on metabolic changes in Chagas disease</t>
  </si>
  <si>
    <t>Chagas disease (CD) is emerging as one of the most concerning parasitic diseases in the New World. CD is a neglected tropical disease caused by the protozoan Trypanosoma cruzi (T. cruzi), which can be differentiated into an acute and chronic phase. The acute phase is often asymptomatic, while 30-40 % of the patients develop a chronic disease in which they suffer from cardiac, digestive, or cardiodigestive health issues. An estimated number of 6 million people worldwide were infected and at least 300,000 infected people live in the United States of America. Benznidazole and nifurtimox are the only two drugs currently available for treating the acute phase. Resistance mechanisms, drug safety concerns, and missing medicine to treat the chronic stage of the disease show the importance of contributing to a better understanding of the infection, to make drugs more efficient and safer. In a recent publication, it was shown that the inability to restore metabolic changes that were caused by T. cruzi may contribute to the low efficacy of benznidazole for treating chronic symptomatic CD. It was also observed that microbial alterations may affect the host inflammatory responses and may play an important role in parasit survival in the host organism. This project uses mass spectrometry-based metabolomics and three-dimensional modeling of different organs in a mouse model to expand the understanding of the microbiome’s role during T. cruzi infection. The results show an altered concentration of acylcarnitines in the gastrointestinal tract dependent on the presence or absence of a microbiome. In other words, the microbiome supports the restoration of some metabolic features in certain organs, while it does not in others. Therefore, metabolic changes are correlated with changes in the microbiome initiated by the infection. Understanding these changes could be the key to developing medicine to improve the lives of people suffering from Chagas disease.</t>
  </si>
  <si>
    <t>lmccall@sdsu.edu</t>
  </si>
  <si>
    <t>Nugent</t>
  </si>
  <si>
    <t>knugent1840@sdsu.edu</t>
  </si>
  <si>
    <t>Masters of Science in Epidemiology</t>
  </si>
  <si>
    <t>A review of registered breast cancer clinical trials and mortality using the Surveillance, Epidemiology, and End Results (SEER) program from 2006-2020</t>
  </si>
  <si>
    <t>Background Breast cancer (BC) mortality in the United States (US) has improved since the 1990s due to advancements in treatments. The types of BC drugs entering phase I/II trials from 2006-2020 have evolved but have not been systematically evaluated.
Objective To examine the phase I/II clinical trial landscape with emphasis on therapeutic modalities and BC mortality by race and BC subtype.
Methods We queried ClinicalTrials.gov for completed phase I/II trials of interventional therapy for women with BC from 2006-2010, 2011-2015, and 2016-2020. Trials were assessed for race/ethnicity (Hispanic; non-Hispanic white, NHW; African American, AA; Asian; American Indian/Alaska Native, AIAN; Native Hawaiian/Pacific Islander, NHPI), drug modalities (chemotherapy, hormone therapy, targeted therapy, immunotherapy), and BC subtype [HER2+; HER2-; ER+ or PR+, ER- and PR-, HER2-/ER-/PR- (triple negative BC (TNBC)]. We used the SEER Program to describe mortality rates among 622,490 women diagnosed with BC from 2011-2020. Multinomial logistic regression was used to estimate odds ratios (ORs) and 95% confidence intervals (CIs) for the associations between race/ethnicity and BC subtype and Cox proportional hazards regression was used to estimate hazard ratios (HRs) and 95% CIs for the associations between race/ethnicity and BC mortality.
Results In 130 phase I/II trials, most women (75.9-81.6%) were NHW, followed by Hispanic (7.5-16.6%), AA (6.6-12.0%), Asian (2.9-8.6%), AIAN (0.1-1.9%), and NHPI (&lt;1%). Most trials (&gt;78%) used targeted drugs or chemotherapy. Targeted drugs declined from 60.5% in 2006-2010 to 45.9% in 2016-2020; however, among TNBC-focused trials, targeted monotherapy drugs increased from 16.7% in 2006-2010 to 100% in 2016-2020. TNBC-focused clinical trials increased from 3.6% to 32.4%, while non TNBC trials decreased from 96.4% to 67.6%. In SEER, most women were NHW (66.8%), followed by Hispanic (12.6%), AA (10.6%), Non- Hispanic Asian/Pacific Islander (NHAPI, 9.4%), and AIAN (0.6%). AA women had a two-fold increase in the age-adjusted odds of TNBC (OR=2.52; 95%CI=2.56-2.58) and a 39% increase in the age-adjusted rate of mortality (HR=1.39; 95% CI=1.33-1.44) compared to NHW women.
Conclusions Phase I/II clinical trials to address TNBC have increased since 2006, as have targeted monotherapy drugs. TNBC, however, continues to be a lethal BC subtype particularly among AA women.</t>
  </si>
  <si>
    <t>Katie</t>
  </si>
  <si>
    <t>kwilliams8985@sdsu.edu</t>
  </si>
  <si>
    <t>Masters in Nutritional Sciences</t>
  </si>
  <si>
    <t>Evening Chronotypes are at Higher Risk of High Sugar Consumption due to Greater Sweet Taste Preference</t>
  </si>
  <si>
    <t>Background: Evening chronotypes (EC), a sleep phenotype marked by late bedtime and activity, are at increased risk of excessive weight gain. These gains are partly attributed to high intake of added sugar and low intake of fruit/vegetables. Existing literature suggests that high intake of sugar is driven by greater preference for sweet taste, yet this relationship has never been explored in sleep chronotypes. We hypothesize that a tendency towards EC will increase preference for sweet taste, which will result in higher sweet liking, increased sugar intake, and lower fruit/vegetable intake. Methods: Fasting participants (n=23) completed a sweet preference task using 5 sucrose solutions in the Monell forced-choice procedure and rated the liking of each solution. A 20-minute ad-libitum snack tasting of savory and sweet foods was conducted and intakes were recorded. Chronotype was assessed using the Morningness-Eveningness Questionnaire (MEQ; score &lt;41: Evening Chronotype (EC), &gt;59: Morning Chronotype (MC)). Skin carotenoid concentrations were determined using VeggieMeter, with higher scores indicating greater fruit/vegetable intake. Results: Of the 23 participants (age 24.9±6.4), 78% were female and 60% had a healthy BMI (23.9±3.7 kg/m2). Five participants were MC, 13 were Intermediate Chronotype (IC), and 5 were EC. Independent of chronotype, greater sweet taste preference was positively correlated with liking of sweetest solutions (r=0.71, p&lt;0.001), and with sugar consumed in snacks (r=30, p=0.08). EC preferred sweeter sucrose solutions (P=0.09;3.8 ± 0.7), compared to IC (2.5±1.17) and MC (2.9±1.38). However, liking of sweet solutions did not differ between chronotypes. Though not significant, low MEQ scores correlated with higher intake of calorie-dense snacks (r=-0.22) and higher % of snack calories consumed as sugar (r=-0.14). VeggieMeter scores were lowest in EC (320.6±77.7), compared to IC (354.6±93.6) and MC (374.6±98.2), suggesting lower fruit/vegetable intake in EC. Conclusion: Our preliminary findings suggest that EC are at higher risk of consuming sugary foods due to high sweet taste preference, putting them at greater risk for obesity.</t>
  </si>
  <si>
    <t>Aguilar</t>
  </si>
  <si>
    <t>Meghen</t>
  </si>
  <si>
    <t>Bishop</t>
  </si>
  <si>
    <t>mlord6800@sdsu.edu</t>
  </si>
  <si>
    <t>Effects of Postnatal Choline Supplementation on Lipid Profiles and Liver Function Markers in Alcohol-Exposed Sprague Dawley Rats</t>
  </si>
  <si>
    <t xml:space="preserve">Fetal alcohol exposure can profoundly affect physiological development, leading to a range of physical and behavioral disruptions known as fetal alcohol spectrum disorders (FASD). Choline, an essential nutrient crucial for CNS function, is being examined as a potential treatment for FASD, given its protective role in a complex network of pathways essential for overall physiological processes. Choline has shown efficacy in reducing behavioral effects associated with prenatal alcohol, its effects on health remain unknown. This study investigates the impact of choline supplementation on Sprague Dawley rats using an FASD animal model, assessing physiological development through serum lipid profiles, liver function markers, body weight and liver weight. This study used 2 (Ethanol, Sham) x 2 (Choline, Saline) x 2 (Male, Female) design. Ethanol-exposed rat pups received 5.25g/kg/day ethanol via gastric intubations during early postnatal development (PD 4-9), equivalent to late gestation in humans. Subjects were treated with choline chloride (100 mg/kg/day) or saline solution from PD 10-30. Subjects were euthanized on PD 36, with blood samples and liver tissue collected. Results revealed that males exhibited significant weight gain with greater final body weight and liver weight compared to females (P&lt;0.001). Developmental ethanol exposure reduced weight gain (P=0.039) compared to the sham control group. Concerning lipid profiles, females exhibited a higher trend in HDL levels (P=0.070) compared to males. There was a trend toward a sex and choline interaction on LDL, as choline treatment reduced LDL in males (P=0.076). Alkaline phosphatase (ALP) levels were higher in males than females (P=0.007), and lactate dehydrogenase (LDH) levels exhibited a trend toward a sex and choline interaction, with lower LDH in choline-treated males but higher in females (P=0.081). These findings highlight the complex relationship between fetal alcohol exposure, choline supplementation, and physiological outcomes, particularly in the context of weight gain, lipid profiles, and enzyme levels. Further research is necessary to clarify findings related to trends in choline supplementation effects on liver function. Understanding the effects of choline on physiological outcomes is critical for elucidating mechanisms and potential therapeutic implications of choline supplementation in mitigating the detrimental effects of fetal alcohol exposure on physiological development.
</t>
  </si>
  <si>
    <t>Meeyoung</t>
  </si>
  <si>
    <t>Hong</t>
  </si>
  <si>
    <t>MHong2@sdsu.edu</t>
  </si>
  <si>
    <t>Maria Fernanda</t>
  </si>
  <si>
    <t>Carrillo Escarcega</t>
  </si>
  <si>
    <t>mcarrillo6082@sdsu.edu</t>
  </si>
  <si>
    <t xml:space="preserve">Master of Science in Big Data Analytics </t>
  </si>
  <si>
    <t xml:space="preserve">Empowering Women's Well being: A Comprehensive Approach to Social Health Disparities </t>
  </si>
  <si>
    <t xml:space="preserve">
Abstract: This project explores deeply the complex relationship between social health status and the well-being of vulnerable women, applying a comprehensive methodology that smoothly integrates Geographic Information Systems (GIS), surveys, and ethical frameworks derived from Pope Francis’ encyclicals. Utilizing data from Global Digital Impact, an advocate for sustainable and socially responsible practices, this project’s goal is to deliver vital information to women facing harsh vulnerabilities in Latin American countries (Mexico, Colombia, and Venezuela) and the United States. By harnessing the potential of GIS mapping, our approach goes beyond visualization, it involves precise analysis of spatial patterns of social health disparities, focusing specifically on the demographic of vulnerable women. Our distinct strategy not only allows us to explore existing disparities but also aids in bringing a targeted and responsive intervention in areas where these inequalities are happening the most. As we navigate these challenges, this project greatly contributes to the framework of Cooperative Humanitarian Integrated Action for reduce Digital Apartheid (CHIARA) with the vision and concepts of the Economy of Francesco, hoping to create a positive impact that resonates within the realms of both research and real-world application. </t>
  </si>
  <si>
    <t>Suess</t>
  </si>
  <si>
    <t>ssuess@sdsu.edu</t>
  </si>
  <si>
    <t xml:space="preserve">Masters of Public Health in Epidemiology </t>
  </si>
  <si>
    <t>Exploring Secondhand Exposure to Vaping: A Dyad Study Using Wristband Nicotine and Urinary Cotinine</t>
  </si>
  <si>
    <t xml:space="preserve">Background: 
The continuous rise in vaping particularly among young adults has become evident, however little is known about the exposures and health effects of secondhand exposure from vaping. Silicone wristbands  can be used as a tool to capture and easily measure toxins, like nicotine. While wristbands are a feasible method for capturing nicotine, their use in the field of research is still novel as it is under-utilized. 
Methods: 
The Dyad Vaping Study was a pilot study that recruited vaper and non-vaper participants. A total of 6 dyads (12 participants) were enrolled. Each dyad consisted of a vaper and non-vaper who spent ample time together. Participants were sampled for 3 consecutive months. Eligible participants were asked questions, and given silicone wristbands to capture nicotine exposure. Seven days later, wristbands, surveys, and urine samples (for cotinine analysis, a metabolite of nicotine) were collected from each individual.
Results:
Nicotine was detected in all wristbands, with an overall geometric mean level of 9.7 ng/wb in vapers and 7.25 ng/wb in secondhand vape exposed. The percent difference between the vapers and secondhand vape exposed in each dyad had an overall median of 32.02%, with an interquartile range (IQR) of 34.77% among nicotine levels. Vapers had an overall geometric mean of 9.70 ng/ml, and 2.59 ng/ml among secondhand exposed in cotinine levels. Among cotinine percent differences in vapers and secondhand vape exposed in each dyad, the median was 112.95% with an IQR of 20.32%. Between the urine and wristband levels, vapers had higher overall levels and secondhand exposure had lower levels overall. Furthermore, urine and wristband measurements were positively correlated  (ρ=0.62, p-value = 0.0005). 
Conclusion:  
This research provides preliminary insight on trends and positive correlations among the nicotine from silicone wristband and urinary cotinine of young adults. With higher geometric means among the vapers, and large IQRs, it is evident the trends are similar between both nicotine and cotinine data . Future research should utilize the silicone wristband, a novel research method, to further understand the impact of vaping on non-vapers. 
</t>
  </si>
  <si>
    <t>Alice</t>
  </si>
  <si>
    <t xml:space="preserve"> Xayavong</t>
  </si>
  <si>
    <t>Eyal</t>
  </si>
  <si>
    <t>Oren</t>
  </si>
  <si>
    <t>eoren@sdsu.edu</t>
  </si>
  <si>
    <t>Ruo Ning</t>
  </si>
  <si>
    <t>Qiu</t>
  </si>
  <si>
    <t>nqiu5796@sdsu.edu</t>
  </si>
  <si>
    <t>Ph.D. in Mathematics and Science Education</t>
  </si>
  <si>
    <t>A Case Study: Comparing Instruments in Chemistry Education and Mathematics Education with Coding Scheme</t>
  </si>
  <si>
    <t>This poster showcases a coding scheme designed to extract information about instruments (e.g., surveys, questionnaires, etc.) used in chemistry education literature and how the coding scheme applies to a case study in mathematics education literature. The original coding scheme is employed in the CHemistry Instrument Review and Assessment Library (CHIRAL) project. Coded instruments, panel-reviewed by experts to aid consumers in making data-informed decisions, are available in the database (at chiral.chemedx.org) for other researchers to search and reuse, thereby promoting sustainability within the field. By comparing the coding process applied to an instrument in another discipline (mathematics, in this case), this study verifies the applicability and transferability of the coding scheme originally designed for chemistry instruments. This case study also initializes forming a robust framework for coding instruments to summarize their characteristics like validity, reliability, and demographics in education journals of other disciplines, as an extendable direction of the CHIRAL project.</t>
  </si>
  <si>
    <t>Isua</t>
  </si>
  <si>
    <t>Camarena</t>
  </si>
  <si>
    <t>icamarena8199@sdsu.edu</t>
  </si>
  <si>
    <t>Teaching Credential</t>
  </si>
  <si>
    <t>Inclusive English Language Development Practices in the Classrooms for English Language Learners at the Imperial Valley Borderlands</t>
  </si>
  <si>
    <t xml:space="preserve">Growing up in the Imperial Valley-Mexicali borderlands I could not picture myself graduating from a university or attending graduate school. My parents were able to support me up to a certain point because of their language barrier. Growing up, one of the challenges I struggled with was the language barrier; they only spoke Spanish and so did I. Flash-forward fifteen years and there I was facing one of the most important pivotal moments of my life. Living near the borderlands has given me the opportunity to interact with adults and students from different backgrounds. I have worked with students who are bilingual and also those who are learning the English language. This study is focused on my lived experiences as both a student and educator at the Imperial Valley borderlands.
In this photovoice autoethnography I dive into the many challenges ELL students face and the ways we, as educators can assist students in their educational journey at the Imperial Valley borderlands. We can accomplish this by using the proper inclusive strategies and by being aware of the different stages of their development. Through their development, ELL students will face many challenges that may slow their learning progress. I further discuss the practices educators can take to create a positive environment which will help students to grow. Considering the different forms of capital English learners bring into the classroom is fundamental to helping create the best inclusive lessons to help students achieve a successful English learning experience. 
This study is guided by the Cultural Wealth Model framework by Yosso (2015) and the Culturally Relevant Content Elements by Pang (2018). Creating an inclusive education setting for English language learners is primal in their development. Some challenges that many ELL students face come from outside sources. Every student should feel welcome and feel a sense of belonging. Some of the challenges of this population of students can be lessened by applying inclusive practices into my classroom.
</t>
  </si>
  <si>
    <t xml:space="preserve">Vannessa </t>
  </si>
  <si>
    <t>falcon@sdsu.edu</t>
  </si>
  <si>
    <t>Van Bebber</t>
  </si>
  <si>
    <t>avanbebber1465@sdsu.edu</t>
  </si>
  <si>
    <t>Master in social work</t>
  </si>
  <si>
    <t xml:space="preserve">My Building Bridges Graduation Experience: A Photovoice Autoethnography Exploring the Right to Celebrate Graduation at the Imperial Valley-Mexicali Borderlands </t>
  </si>
  <si>
    <t xml:space="preserve">I am an immigrant and transborder woman. I came from a low-income family living on the outskirts of Mexicali. Even though I lived my whole life so close to the border, the U.S. did not feel like part of my identity. Moving with my husband to the U.S. at the age of 26 was one of the most difficult challenges of my life. I left the comforts of my native country to confront language barriers and cultural differences in an unfamiliar land. I started my education in the U.S. in an ESL adult education program, and then I entered a community college and transferred to San Diego State University- Imperial Valley (SDSU-IV). In spite of the challenges, I graduated with honors and obtained my bachelor's in psychology. I am currently working on my master’s in social work, and I am a graduate assistant for the Cross-Cultural Center at SDSU-IV. Now the border has a different meaning for me, it is the barrier that separates me from my family, while at the same time, it is the catalyst for my personal growth.
I am also a Transborder Scholar at the Transborder Scholar Collaborative at SDSU-IV, learning about photovoice autoethnography research with assistant professor Dr. Falcón. I will be presenting the recurring themes found in the photovoice autoethnography study about my experiences as a student representative in the 2nd Annual Building Bridges Graduation held in Mexicali. My unique experience as a transborder student has raised the importance of celebrating with our loved ones, language accessibility, and the rights of transborder students to be recognized and celebrated. 
This photovoice autoethnography is part of a more extensive study dedicated to exploring the lived experience of transborder students and their engagement in the Building Bridges Graduation. In this study, we will provide recommendations for campus leaders on the significance and importance of implementing an initiative like Building Bridges and what that means for me as a Building Bridges graduate. We will conclude by providing recommendations for policy and practice focusing on sustainability and the future of this initiative for years to come. </t>
  </si>
  <si>
    <t>Surbhi</t>
  </si>
  <si>
    <t>Sawant</t>
  </si>
  <si>
    <t>ssawant6618@sdsu.edu</t>
  </si>
  <si>
    <t>A Personalized Chatbot for Addressing Child Malnutrition</t>
  </si>
  <si>
    <t xml:space="preserve">NutriBot is a groundbreaking chatbot designed to combat child malnutrition in diverse communities. By allowing caregivers and NGOs to input a child's age, weight, height, and location, the platform delivers personalized nutritional guidance. Utilizing machine learning algorithms, NutriBot refines its recommendations based on user feedback, ensuring continuous improvement.
The chatbot goes beyond just suggestions, integrating educational content and accommodating cultural nuances, dietary preferences, and restrictions. Collaborations with local experts contribute to the accuracy and relevance of information. To enhance usability and accessibility, NutriBot features an intuitive interface, making it easy for users to interact with the platform. Moreover, the chatbot offers offline access, addressing potential connectivity challenges in certain communities. This ensures that caregivers can access crucial information even in resource-constrained environments.
NutriBot aims to empower caregivers with the knowledge and tools needed to make informed decisions, fostering a more effective and sustainable approach to addressing child malnutrition.
</t>
  </si>
  <si>
    <t>Natalia</t>
  </si>
  <si>
    <t>Rosales</t>
  </si>
  <si>
    <t>nrosales7321@sdsu.edu</t>
  </si>
  <si>
    <t>Undergraduate (SD) Political Science Major Political Science Pre-Major Geological Sciences Major Lesbian, Gay, Bisexual, Transgender, Queer, and Plus Studies Minor</t>
  </si>
  <si>
    <t>Commuter Mapping Research</t>
  </si>
  <si>
    <t xml:space="preserve">Under the direction of Dr. Bruce Appleyard of San Diego State University, the Urban Sustainability, Livability, and Equity (SLE) research team, supported by the Faculty Student Mentorship Program (FSMP) conducted a study with individuals who commute to campus. The approach taken to study these dynamics involved conducting cognitive/image mapping exercises with individuals, based on principles set forth by Kevin Lynch’s “Image of the City” (Lynch, 1960).
This research uniquely captures the experiences of different individuals. Principally, we were able to learn about how those that use various forms of transportation perceive the environment of their daily lives. Specifically, to conduct our research surveyed individuals to draw maps of their surroundings on their daily routes, which were marked with symbols to identify landmarks. From our review of the maps, we found that those who commute in a car are often less aware of their surroundings. 
This work can ultimately help promote a better quality of life for the average person by using the tacit knowledge of their environment in order to improve the real world we live in. Through increased access to transportation services and a greater universal urban landscape, we create better ways to meet the average person’s most critical needs, the home territories and lives of all can be improved.
</t>
  </si>
  <si>
    <t>Ayoob</t>
  </si>
  <si>
    <t>Abed</t>
  </si>
  <si>
    <t>aabed4971@sdsu.edu</t>
  </si>
  <si>
    <t>Bachelors of Science in Finance</t>
  </si>
  <si>
    <t>Why California needs to lower its taxes?</t>
  </si>
  <si>
    <t xml:space="preserve">Taxes have become controversial and people question on how much they should be taxed. Many people are leaving to states that have no income tax and is that a good solution? It depends for many, but with my extensive research I have come to find that the answer is "No!" It turns out that the states with no income tax end up taxing on properties, for example, higher than California, the most expensive state. Therefore, what can Californians do to make a living? This comes back to the government and it needs to lower its taxes. </t>
  </si>
  <si>
    <t>Eddy</t>
  </si>
  <si>
    <t>Benton</t>
  </si>
  <si>
    <t>evbenton@sdsu.edu</t>
  </si>
  <si>
    <t xml:space="preserve">Hernandez Rincon </t>
  </si>
  <si>
    <t>Psychology w/ Emphasis in Neuroscience</t>
  </si>
  <si>
    <t>Houseless Mapping Abstract</t>
  </si>
  <si>
    <t xml:space="preserve">This is a study of cognitive/image mapping exercises with houseless individuals, based on principles set forth by Kevin Lynch’s “The Image of the City” (Lynch, 1960). Specifically, this study asked houseless individuals to draw maps (on blank pieces of paper) of their surroundings and daily routines, which were marked with symbols to identify important locations. We then had them mark the important locations on printed maps so we could then geo-code this information. Our research found 13 recurring patterns. One of them is that the houseless often travel in regular routes throughout their day. Parks and alleys were marked as places of importance as they offered safe spaces to sleep, congregate and travel through. Waste and recycling bins around campus were a primary location for resource collection. Additionally, we found that people need safe storage, adequate toilet access, &amp; better relationships with police. This work can ultimately help improve the design and planning for shelters and services throughout San Diego county. By establishing better ways to help them meet their most basic needs, through access to services and opportunities, the lives of the houseless can be justly improved.
</t>
  </si>
  <si>
    <t>Gianna</t>
  </si>
  <si>
    <t>gsalazar0504@sdsu.edu</t>
  </si>
  <si>
    <t>Bachelors of Arts in Public Administration, Emphasis in City Planning</t>
  </si>
  <si>
    <t xml:space="preserve">Binational Planning of The World Design Capital: San Diego-Tijuana </t>
  </si>
  <si>
    <t>The World Design Capital is a year-long program that promotes the advancement of the economic, cultural, social, and environmental development occurring in a designated city. For 2024, the World Design Capital named the San Diego-Tijuana region as the first bi-national location in its history as a result of the area’s commitment to creating a legacy of transborder collaboration. The Planning and Placemaking projects submitted for the year-long celebration of design share the consistent goal of advancing sustainability and equity for the 7.1 million living or commuting between the sister cities. These projects will showcase how design impacts the quality of life through plans for innovative transportation, area revitalization, and community building. This presentation will provide insight into the projects that uphold its mission of inclusivity, as well as emphasize how they will strengthen the connection of the San Diego-Tijuana region going forward.</t>
  </si>
  <si>
    <t>Waterford</t>
  </si>
  <si>
    <t>kwaterford7151@sdsu.edu</t>
  </si>
  <si>
    <t>Biology/Bachelor of Science</t>
  </si>
  <si>
    <t>Medical Question and Answering Review</t>
  </si>
  <si>
    <t>This literature review aims to advance the understanding and implementation of Question-Answering (QA) systems within the domain of medical information retrieval, through the leveraging of cutting-edge techniques in Natural Language Processing (NLP) and large language models (LLMs). The exploration encompasses the intricate design and architectural methods behind QA systems, with a specific focus on the integration of knowledge graphs and the application of BERT, a bidirectional transformer-based LLM. The investigation is motivated by the pressing need for an efficient medical QA system, exemplified in the context of addressing questions related to the COVID-19 pandemic. By scrutinizing the interplay between NLP, LLMs, and domain-specific knowledge, our aim is to contribute to the development of a robust and context-aware medical QA system, particularly suited for pandemic scenarios.</t>
  </si>
  <si>
    <t>Luwen Huangfu</t>
  </si>
  <si>
    <t>lhuangfu@sdsu.edu</t>
  </si>
  <si>
    <t>Arvin</t>
  </si>
  <si>
    <t>Domier</t>
  </si>
  <si>
    <t>adomier5610@sdsu.edu</t>
  </si>
  <si>
    <t>Investigating Power Loss and its Impact on Disadvantaged Communities​</t>
  </si>
  <si>
    <t>The rise of extreme weather events due to climate change has simultaneously brought about an increase in both planned and unplanned outages, such as Public Safety Power Shutoff events. The goal of these shutoffs is to enhance public safety and prevent major wildfires during severe weather conditions, as well as to minimize the risk associated with fires igniting active power lines and causing further damage. While these planned de-energization events are designed to ensure community safety, they can have unintended negative impacts and actively harm disadvantaged communities. This presentation highlights case studies that delve into how different disadvantaged communities have felt the impacts of power shutoff events. The goal is to understand where investments have been made or can be made to improve community resilience in light of power loss events.</t>
  </si>
  <si>
    <t>jmcmillan@sdsu.edu</t>
  </si>
  <si>
    <t>Humanities, History, Literature, Philosphy</t>
  </si>
  <si>
    <t>Aurora</t>
  </si>
  <si>
    <t>Valdez De La Torre</t>
  </si>
  <si>
    <t>avaldezdelator1198@sdsu.edu</t>
  </si>
  <si>
    <t>Master's in Women's Studies</t>
  </si>
  <si>
    <t>Fear Embodied: Transforming Temor into Resistance Along the Borderlands</t>
  </si>
  <si>
    <t xml:space="preserve">From a Chicana Latina Indigenous Feminist perspective, this research project highlights the ways in which the bodymindspirit of people from mixed-status families is affected while living along the border in a particular the San Diego-Tijuana border. Often times we live in fear due to our families documentation status which then leads to both internal and external issues. For those who reside in the San Diego-Tijuana  live a unique third space that feminist Chicana theorist Gloria Anzaldúa calls the borderlands. This unique third space where the systems of dominance distinguish one group from another, establishing different levels of power and separating social groups based on nation, citizenship, race, ethnicity, gender, sex, sexuality, class, and more. The political state at the San Diego-Tijuana breeds an atmosphere of hierarchical binaries which stems from the impact of colonialism and imperialism as ongoing legacies that people continue to suffer and long to heal from. 
 This research uses the methods of autohistoria and pláticas with the intention to create connections and potential for healing. The racialized and gendered bodies, sexualities, and families of Latinxs are not often  honored in dominant society. This research was inspired by my personal experience living in San Diego and being from a mixed-status family. Border conflicts were always talked about in my home. They were in the music we listened to, on the news every night, and I could see the border patrol presence around the city. The physical environment has an impact on the people living within it. In the location where I grew up this is especially true. Living and growing up in a highly militarized and patrolled area such as San Diego has had physical, spiritual, and emotional effects on my loved ones and myself. The aim of this project was to create space for collective healing for people in my community. Through pláticas we are able to practice deep listening and communication to honor our stories and resist the dehumanization of our communities. </t>
  </si>
  <si>
    <t>Dr. Irene</t>
  </si>
  <si>
    <t>Woman, Non-binary/non-conforming, she/they pronouns</t>
  </si>
  <si>
    <t>Jill</t>
  </si>
  <si>
    <t>Van Wormer</t>
  </si>
  <si>
    <t>jvanwormer3084@sdsu.edu</t>
  </si>
  <si>
    <t>Flora and Fauna Lexical Indicators for Prehistoric Movement of Yuman Peoples</t>
  </si>
  <si>
    <t xml:space="preserve">This research is an analysis of flora and fauna lexical terms in order to determine the homeland of the Yuman language family. The location of each language group within the language family is mapped and the plant and animal resources important to each group listed. Lexical terms for those resources are compared within the language family and with other languages with whom they had contact to determine which terms are cognates within the language and which terms have been borrowed from other languages. This information can then be analyzed to figure out where the homeland is and where people moved from that homeland.  </t>
  </si>
  <si>
    <t>Field</t>
  </si>
  <si>
    <t>mfield@sdsu.edu</t>
  </si>
  <si>
    <t xml:space="preserve">Justice </t>
  </si>
  <si>
    <t>jherrera1156@sdsu.edu</t>
  </si>
  <si>
    <t>The Experiences of Autistic Adults in the Workplace: Characterizing Disclosure, Accommodations, and Job Termination</t>
  </si>
  <si>
    <t xml:space="preserve">Background: Autistic individuals face challenges with disability disclosure and requesting workplace accommodations, but research suggests that doing so positively influences their work experiences. Understanding experiences related to disclosure, accommodations, and job termination is crucial to enhancing vocational support.
Objectives: The following questions were: 1) Do autistic adults report disclosing their disability, and if so, what do they disclose?; 2) What workplace accommodations are requested and received? 3) What are reported reasons for job termination? 
Method: 139 autistic adults (mean age=25.17; 90M, 12F, 37 unknown gender; 53% White, 20% BIPOC [8% Hispanic], 27% unknown ethnicity) answered questions about current and past employment. The subset of questions analyzed focused on: disability disclosure, workplace accommodations, and job termination experience. Participants were enrolled in vocational services and answered the questions before starting a vocational training program. 87 participants responded to at least one open-ended question regarding disclosure, accommodations, and job termination. Content analysis was used to categorize open-ended responses. 
Results: 56 participants indicated they had disclosed a disability at work; 50 had not (33 did not answer or never had a job). Four categories were generated from responses about what participants disclosed: 1) Specific diagnosis; 2) General “disability”; 3) Specific Needs (e.g., trouble focusing); 4) Personal History (e.g., “Disclosed a bit of my interests”). 25 participants indicated they had received workplace accommodations; 76 did not (38 did not answer or never had a job). Four categories were generated regarding accommodations: 1) Vocational Assistance (e.g., job coaches); 2) Accommodations to work responsibilities (e.g., flexible deadlines/schedule); 3) Breaks; 4) Social-Emotional Support (e.g., social support during panic attacks). Regarding job termination, four categories were identified: 1)  Amicable termination (e.g., seasonal job, quit for a better job); 2) Employee Perceptions (e.g., disliking the job); 3) Employer Perceptions (e.g., conflict with boss/others, not meeting standards); 4) Company changes (e.g., bankruptcy). 
Conclusions: The preliminary results enhance our understanding of how autistic individuals disclose their disability and what accommodations they request. We can aim to reduce unwanted terminations by examining employer- and individual-level factors relevant to job termination. </t>
  </si>
  <si>
    <t>krivera2628@sdsu.edu</t>
  </si>
  <si>
    <t xml:space="preserve">Bachelor of Arts in Applied Arts and Sciences </t>
  </si>
  <si>
    <t xml:space="preserve">Madeline Miller: "The Song of Achilies" &amp; "Circe" </t>
  </si>
  <si>
    <t xml:space="preserve">My presentation is the literary analysis of two books by a female author. I dive into women's literature to discus and review all the themes and literary elements in two books. I explain the correlation between the two and how it has an impact on women's literature. </t>
  </si>
  <si>
    <t xml:space="preserve"> Jeanette </t>
  </si>
  <si>
    <t>Ramos Alonso</t>
  </si>
  <si>
    <t>jramosalonso2714@sdsu.edu</t>
  </si>
  <si>
    <t>Bachelor of Science Emphasis in Critical Studies</t>
  </si>
  <si>
    <t>Life is Just a Bowl of Post-Racialism: The Black Discourse of Julia</t>
  </si>
  <si>
    <t>This work delves into the distinct disparity between the televisual portrayal and real-life documentation of the 1960s, which signifies a profound ideological conflict about the nature of reality and television’s role within it. A surge in African American pride and nationalism emerged, thus advocating for self-determination and empowerment. Referred to as black power, this movement emphasized racial esteem, economic autonomy, and the formation of cultural and political institutions. This era too witnessed an increased acceptance of African culture, and unfiltered artistic expression depicting the realities of African American lives. With television being a powerful medium, it attempts to navigate the evolving discourse on race and representation. 1960s television show Julia serves as a nuanced case study illustrating television's struggle to authentically depict the multifaceted experiences and aspirations of the Black community during this decade. It underscores the challenges and limitations inherent in mainstream media’s attempts to represent the complex socio-political dynamics of that transformative period.</t>
  </si>
  <si>
    <t>Cecilio</t>
  </si>
  <si>
    <t>Brie</t>
  </si>
  <si>
    <t>Iatarola</t>
  </si>
  <si>
    <t>biatarola@sdsu.edu</t>
  </si>
  <si>
    <t xml:space="preserve">Alexis </t>
  </si>
  <si>
    <t>ahernandez1492@sdsu.edu</t>
  </si>
  <si>
    <t>Bachelor/Liberal Studies with an Emphasis in Elementary Education Major and a Theatre Arts Minor</t>
  </si>
  <si>
    <t>"105 Miles from Home: Unveiling Operation Pedro Pan in a One-Act Play"</t>
  </si>
  <si>
    <t xml:space="preserve">In a world where representation is vital, this one-act production endeavors to untangle the historical events leading up to Operation Pedro Pan and sheds light on the significance of historical entanglement in theater and the importance of Hispanic stories. With themes centralizing on redefining the American Dream, immigration, and the personal accounts of Operation Pedro Pan children, the production was crafted to tell the story of this pivotal event in American history while offering an open platform for Hispanic stories, supporting the need to amplify those stories. 
In order to create a show that could capture the historical events and my family's experience into a stage production, I had to embark on a journey through various research methods. Ranging from articles to interviews, the script was written to be historically accurate. With a wide range of misinformation regarding Cuba, seeking the truth for this project was imperative. 
After researching, the show was created. The script is filled with historically accurate events based on the overall exploration. The script has been a work in progress since 2020 until its professional debut at the San Diego International Fringe Festival. Leading to the initial performance, the cast and crew engaged in conversations centering on the show's topic and themes, including the need for Hispanic representation in theater. The community that viewed the show raved about the story and how it is, at the core, educational.
The show itself is a testament to the Hispanic stories that go untold in history courses or are spoken of for just a few moments. With the primary goal being education, "105 Miles from Home" was crafted for entertainment, with an agenda for education and the virtue of uplifting the Cuban and Hispanic communities by amplifying their history. </t>
  </si>
  <si>
    <t>laura.turner@sdsu.edu</t>
  </si>
  <si>
    <t xml:space="preserve">Kerry </t>
  </si>
  <si>
    <t>McEachern</t>
  </si>
  <si>
    <t>smceachern1543@sdsu.edu</t>
  </si>
  <si>
    <t>MFA in Visual Arts and Graphic Design</t>
  </si>
  <si>
    <t>Tranquil Hub: Crafting Calm in Contemporary Design</t>
  </si>
  <si>
    <t xml:space="preserve">"The Tranquil Hub" is a uniquely designed space that embodies an avant-garde blend of Mindfulness, Mind Relaxation, the Tamarkoz Method of meditation, Psychology, and contemporary design. This meticulously curated sanctuary caters to students and visitors seeking stress reduction and mental clarity during their busy day. The immersive space seamlessly integrates mind decluttering activities and guided meditation, offering easy access to a refuge and shelter from daily stressors.
Crafted with a predominantly contemporary aesthetic, the sheltering space provides a unique blend of immediate relief and long-term mind relaxation cultivation. Easily assembled in gallery or library spaces, it ensures convenient access for students navigating academic pressures. The design, characterized by natural materials, calming colors, and thoughtful elements, fosters an environment conducive to tranquility.
Designed for the use of one visitor at a time, the interior is furnished with uniquely crafted organizational structures symbolizing the compartments of the mind. Activities and objects available in the space prompt visitors to physically identify mental clutter, categorizing objects as manifestations of mental baggage. Through hands-on experiences, individuals engage in the physical act of organizing thoughts and stressors into labeled compartments such as Present, Past, Future, Priority, and Discard. This approach immerses viewers in a tangible act of mind decluttering and prioritizing tasks, crucial for managing the hectic student life.
Audio recordings featuring mind relaxation exercises enhance the experience, providing a self-guided journey to tranquility. Accessible during exhibition times or within library spaces, the self-serving nature of the space encourages autonomous exploration.
The project's goal is to actively engage students and visitors in mind decluttering and relaxation exercises through hands-on experiences, fostering a lasting impact. By equipping individuals with skills for mind relaxation and stress reduction, the project aims to reduce anxiety levels, ultimately enhancing concentration and focus—vital components of a successful and balanced academic life.
</t>
  </si>
  <si>
    <t>Arzu</t>
  </si>
  <si>
    <t>Ozkal</t>
  </si>
  <si>
    <t>arzu.ozkal@sdsu.edu</t>
  </si>
  <si>
    <t>Vicedo</t>
  </si>
  <si>
    <t>dvicedo0793@sdsu.edu</t>
  </si>
  <si>
    <t>Dramaturgy in Video Games - Playing with Accuracy and Humanity</t>
  </si>
  <si>
    <t xml:space="preserve">	Art is a reflection of society, celebrating contemporary culture and reflecting humanity from which it was conceived. Film and television are common modes of artistic entertainment that are digestible straight from a sofa at home. Theater, on the other hand, is a traditional form of art that is not as easily accessible. One form of art that is not theater but still accessible like television is video games. An art form most common with a younger audience, video games are immersive pieces of entertainment that can portray a wide variety of stories with a plethora of heavy themes. These themes, however, are not as delicately handled as they are with theater and film, even though the games they come from can be easily bought at the store. Dramaturgy is the theatrical practice of research that allows for creative teams to properly study the concepts and themes presented in their productions in order to appropriately portray those delicate ideas. Video games should have a resident dramaturg within their artistic teams just like other theatrical productions to ensure their stories’ themes are handled with proper care. For example, there are video games that portray certain cultures without proper representation, and their lack of education shows a lack of respect for said cultures. Dramaturgs provide insight to make sure these teams understand the importance of depicting specific people and not just showing a caricature of their culture. Implementing a theatrical researcher would allow for improved wider team education and improved plot development, cultivating an ethical, educated story that honors the humanity they’ve created for others to immerse themselves within and celebrate a reflection of our society.</t>
  </si>
  <si>
    <t>Oral</t>
  </si>
  <si>
    <t>Henrietta Goodwin Scholars Session</t>
  </si>
  <si>
    <t>Templo Mayor</t>
  </si>
  <si>
    <t>DeAnza</t>
  </si>
  <si>
    <t>Palmer</t>
  </si>
  <si>
    <t>dpalmer4808@sdsu.edu</t>
  </si>
  <si>
    <t>Affects of Gentrification in San Diego</t>
  </si>
  <si>
    <t>The disruption of minority communities in San Diego via gentrification, specifically to minority communities, creates an unstable environment for those of low income. Low income residencies are affected by the ability of gentrification to drive property costs through the roof, leaving minorities such as Black communities predisposed to these negative net changes. Within our research we will be investigating the likelihood of minorities being affected by the eruption of wealth. We will be researching articles about gentrification in San Diego, while also using statistics to prove the problem that is occurring.</t>
  </si>
  <si>
    <t>Jahkoyah</t>
  </si>
  <si>
    <t>Boyce</t>
  </si>
  <si>
    <t>aysia</t>
  </si>
  <si>
    <t>mcWhorter</t>
  </si>
  <si>
    <t xml:space="preserve">xavier </t>
  </si>
  <si>
    <t>wells</t>
  </si>
  <si>
    <t xml:space="preserve">Stewart </t>
  </si>
  <si>
    <t>rstewart@sdsu.edu</t>
  </si>
  <si>
    <t>Barnes</t>
  </si>
  <si>
    <t>bbarnes9396@sdsu.edu</t>
  </si>
  <si>
    <t xml:space="preserve">Bachelors </t>
  </si>
  <si>
    <t>Why are Black Women in Sports are Perceived Badly in The Media?</t>
  </si>
  <si>
    <t xml:space="preserve">Black women in sports are more likely to be villainized in the media than anyone else. This can be detrimental to mental health, performance, and influence future generations of athletes. While conducting this research we will try to figure out why black women tend to be more scrutinized in the media and what other factors affect this issue. We will use mixed methods to conduct our research, such as analysis of interviews and case studies of various women. During our research we hope to understand why are these women treated differently and how it affects their mental health, performance, and how it creates prejudice. 
</t>
  </si>
  <si>
    <t xml:space="preserve">Angelina </t>
  </si>
  <si>
    <t xml:space="preserve">Chuck </t>
  </si>
  <si>
    <t>Isis</t>
  </si>
  <si>
    <t>Sylve</t>
  </si>
  <si>
    <t>Stewart</t>
  </si>
  <si>
    <t>rstewart@navigate.sdsu.edu</t>
  </si>
  <si>
    <t>Theodore</t>
  </si>
  <si>
    <t>Godfrey</t>
  </si>
  <si>
    <t>tgodfrey6905@sdsu.edu</t>
  </si>
  <si>
    <t>Kinesiology pre-pt</t>
  </si>
  <si>
    <t xml:space="preserve">Social Media Impact on black adolescent education </t>
  </si>
  <si>
    <t xml:space="preserve">The problem we’re focusing on is how an under-representation in social media for black students or black people in STEM may discourage young black people from pursuing their goals. This also includes how certain things on social media don't reflect real life or what happens behind the scenes, and how this can affect young people’s mental health. Black-American students constitute a significant demographic with substantial untapped potential. The representation of this group on social media serves as a pervasive influence, similar to an internalized narrative, which often communicates to these students that their aspirations are unattainable. Regrettably, this messaging impedes their proactive pursuit of goals, underutilizing their inherent capabilities. The lack of representation on social media engenders a sense of impossibility among impressionable Black-American students possessing considerable potential, thereby inhibiting the realization of their ambitions. This shortfall in representation deprives their communities and limits the broader society's access to a myriad of possibilities emanating from their untapped talents. Therefore, we will explore the challenges and barriers Black students face in their journey to graduation. There needs to be calls and actions against social media platforms such as Instagram and TikTok to promote blacks and black culture in the media.We will use the black voices of those who have spoken on this matter and get insights into different points of view. We will gain intelligence from those seeking to discuss this study and expand our research.
</t>
  </si>
  <si>
    <t xml:space="preserve">Abigail </t>
  </si>
  <si>
    <t xml:space="preserve">Wright </t>
  </si>
  <si>
    <t xml:space="preserve">Leah </t>
  </si>
  <si>
    <t>Eshete</t>
  </si>
  <si>
    <t xml:space="preserve">Jada </t>
  </si>
  <si>
    <t>Cheyenne</t>
  </si>
  <si>
    <t>cthomas5843@sdsu.edu</t>
  </si>
  <si>
    <t>Milanarafa</t>
  </si>
  <si>
    <t>Abdalla</t>
  </si>
  <si>
    <t>mabdalla8167@sdsu.edu</t>
  </si>
  <si>
    <t>Affirmative Action: Equity not Equality</t>
  </si>
  <si>
    <t>Affirmative action refers to policies and practices aimed at increasing opportunities for underrepresented groups, particularly in education and employment, to address historical and systemic discrimination. This research aims to investigate the multifaceted effects of affirmative action on African American students in higher education. Focusing on academic performance, educational attainment, and overall well-being, the study seeks to uncover the nuanced dynamics at play. By employing a mixed method, qualitative as well as quantitative, we will analyze both the positive and potentially challenging aspects of affirmative action's influence on this demographic group through interviews and surveys of different San Diego State University students. Additionally, the research will explore broader societal implications, shedding light on the complexities and challenges associated with affirmative action policies in the context of higher education at San Diego State University. This inquiry contributes to a more nuanced understanding of the impact of affirmative action on African American students and provides insights into the broader societal discourse surrounding these policies.</t>
  </si>
  <si>
    <t>naiyah</t>
  </si>
  <si>
    <t>harris</t>
  </si>
  <si>
    <t>Chadwick</t>
  </si>
  <si>
    <t>Kai</t>
  </si>
  <si>
    <t>Howell</t>
  </si>
  <si>
    <t>Nyana</t>
  </si>
  <si>
    <t>Martin</t>
  </si>
  <si>
    <t>nmartin1305@sdsu.edu</t>
  </si>
  <si>
    <t xml:space="preserve">Black Students experiences within higher education  </t>
  </si>
  <si>
    <t xml:space="preserve">Sentence 1- What’s the problem? 
Black students not being able to afford higher education. 
Sentence 2- Why is this problem important?
This problem is significant because higher education is essential and leads to success. If black students do not have access to education because of financial troubles, they are at a disadvantage in having a successful career in the future. 
Sentence 3- What needs to happen (study)? 
Within our research, we plan to investigate the reasoning behind Black students not being able to afford higher education.
Sentence 4- How will you complete your study? 
 We will complete our reachsearch by interviewing students and mentors in the Henrietta Goodwins Scholars Program. Along with doing research of experiences of Black students around the United States.
Sentence 5- How will you complete this study (specifics on what you are covering.)
We will complete this study by comparing experiences that Black students have compared to students of other backgrounds. We will be showcasing this in an oral presentation in a attempt to raise awareness to this issue. 
</t>
  </si>
  <si>
    <t>Dea</t>
  </si>
  <si>
    <t>Lampkins</t>
  </si>
  <si>
    <t>Jasper</t>
  </si>
  <si>
    <t>Felder</t>
  </si>
  <si>
    <t>Nameel</t>
  </si>
  <si>
    <t xml:space="preserve">Abye </t>
  </si>
  <si>
    <t>aiden</t>
  </si>
  <si>
    <t>hunter</t>
  </si>
  <si>
    <t>ahunter6143@sdsu.edu</t>
  </si>
  <si>
    <t>Camryn</t>
  </si>
  <si>
    <t>Cabine</t>
  </si>
  <si>
    <t>ccabine1034@sdsu.edu</t>
  </si>
  <si>
    <t>Undeclared - Planning to enter Public Health</t>
  </si>
  <si>
    <t>Increasing the Enrollment of Black Students at San Diego State University</t>
  </si>
  <si>
    <t>Of all postsecondary enrollment in the United States, Black students make up a mere 12.5% of the population. The issue of low Black enrollment is one that is especially seen at San Diego State University (SDSU), with the Black population of the university being just 4%. Low enrollment offers some insight into the disadvantages Black students face from a young age. A quality education is often the foundation of a quality life. Higher education is essential for getting good jobs, and overall offers an even greater future to the Black community. Within our research, we plan to explore further into the disadvantages Black students face in pursuit of higher education, along with the challenges that are often faced by Black students in higher educational spaces. The study will then go on to examine the correlation between income of Black families or individuals and Black enrollment in higher education. The study will also consider other local colleges and universities with higher Black enrollment compared to SDSU, and research what those institutions might offer compared to SDSU. This study will include both quantitative and qualitative research.</t>
  </si>
  <si>
    <t>Jaya</t>
  </si>
  <si>
    <t xml:space="preserve">Max </t>
  </si>
  <si>
    <t>Jones</t>
  </si>
  <si>
    <t>Nayeli</t>
  </si>
  <si>
    <t>Jhacib</t>
  </si>
  <si>
    <t>Blenman</t>
  </si>
  <si>
    <t>jblenman0675@sdsu.edu</t>
  </si>
  <si>
    <t>Is there a stigma to mental health for Black students?</t>
  </si>
  <si>
    <t xml:space="preserve">We will be addressing the question: is there a stigma surrounding Black Teenagers and their struggle with mental health through the transition from high school to college? Well mental health is very important in general, it breaks the stigma towards mental health. As well, it creates a cycle of unstable mental issues. The reason for this is because of how others perceive the black community as weak. As well the black teenagers/community is to be known to “suck it up” so there is this stigma from our surroundings and others influencing the black community to not talk about their mental health. The Black students believe there is no need for support to occur when in reality there is a need and importance for not just students' mental health but Black student's mental health also. These Black students try to not seek those supportive services, even though they are provided at colleges and high schools all over the world. So from our research, we will bring awareness to these issues and make it less stigmatized for the Black students transitioning from high school to college. In hopes for the Black teenagers to be able to talk about the issues they are facing within their mental health. We will do this by studying and exploring this topic by using a quantitative study by conducting a survey as well as a meta-analysis of mental health. We are going to create a survey to seek out personal mental health issues and to understand the mental issues and possibly have a comparison to other students as well. </t>
  </si>
  <si>
    <t>Savage</t>
  </si>
  <si>
    <t>Nevaeha</t>
  </si>
  <si>
    <t>Crisp</t>
  </si>
  <si>
    <t xml:space="preserve">Renija </t>
  </si>
  <si>
    <t>Howard</t>
  </si>
  <si>
    <t>Fraol</t>
  </si>
  <si>
    <t xml:space="preserve">Olyad </t>
  </si>
  <si>
    <t>folyad@sdsu.edu</t>
  </si>
  <si>
    <t>Layla</t>
  </si>
  <si>
    <t>Bachelor/Psychology</t>
  </si>
  <si>
    <t>Credit Where Credit is Due: Exploring the Factors of Misrepresentation of African Americans in Media and Pop Culture</t>
  </si>
  <si>
    <t>There are significant connections with racism and the media. The challenges that African Americans have undergone in film and media have a long history. So much so, that to this present day, African Americans still struggle with representation in film and media along with additional factors such as culture vultures and cultural misappropriation. Our research problem focuses on the pervasive and systemic culture erasure of African American’s cultural contributions throughout American history, with a specific focus on media and pop culture.</t>
  </si>
  <si>
    <t>Ekejiuba</t>
  </si>
  <si>
    <t>Lynda</t>
  </si>
  <si>
    <t xml:space="preserve">Fulton </t>
  </si>
  <si>
    <t>Zay</t>
  </si>
  <si>
    <t>Gordon</t>
  </si>
  <si>
    <t xml:space="preserve">Rachael </t>
  </si>
  <si>
    <t>Exhibit (art projects, paintings, sculptures, three dimensional displays)</t>
  </si>
  <si>
    <t>Exhibit 1</t>
  </si>
  <si>
    <t>mfitzgerald7674@sdsu.edu</t>
  </si>
  <si>
    <t>Bachelor of Fine Arts</t>
  </si>
  <si>
    <t>Holy Smokes</t>
  </si>
  <si>
    <t>Within my artistic expression, the interplay of Catholic satire and childhood memories weaves a distinctive narrative, engaging viewers in a contemplative dance between irreverence and nostalgia.
In the realm of Catholic satire, my art becomes a whimsical commentary on the sacred and the mundane. Whether through paintings, drawings, or ceramic sculptures, I employ a satirical lens to playfully dissect and question elements of Catholicism. This could manifest in irreverent depictions of traditional symbols, humorous reinterpretations of religious narratives, or sly nods to the rituals and customs ingrained in Catholic culture. The juxtaposition of the solemnity associated with Catholicism against the irreverent twist of satire creates a dynamic tension, prompting viewers to reassess preconceived notions and fostering a dialogue between the sacred and the profane.
Simultaneously, childhood memories emerge as a poignant motif, adding depth and emotional resonance to the narrative. The innocence and vulnerability inherent in childhood provide a canvas upon which to explore universal themes of growth, loss, and the fleeting nature of youth. The use of nostalgic imagery, perhaps drawn from personal experiences or collective cultural memories, invites viewers to connect with their own childhood narratives. The juxtaposition of Catholic satire against the backdrop of childhood memory creates a rich, textured experience that resonates on both personal and universal levels.
For instance, a satirical rendering of Catholic rituals within the context of a childhood playground might depict youthful innocence coexisting with irreverent humor. The juxtaposition of holy symbols in a whimsical, childlike setting could evoke a range of emotions—from laughter at the satire to a reflective nostalgia for the carefree days of youth. Through this synthesis of elements, the artwork becomes a portal, inviting viewers to explore the complex interplay between faith, satire, and the enduring imprints of childhood on our perceptions of the world.
In essence, my art becomes a vessel for storytelling—one that employs satire to question, challenge, and redefine elements of Catholicism, while simultaneously drawing upon the evocative power of childhood memories to elicit emotional connections and introspection. It is within this intricate dance between satire and nostalgia that the true essence of my artistic narrative unfolds, inviting viewers to navigate the delicate balance between humor, reflection, and the enduring echoes of youthful experiences.</t>
  </si>
  <si>
    <t xml:space="preserve">Iren </t>
  </si>
  <si>
    <t>Tete</t>
  </si>
  <si>
    <t>itete@sdsu.edu</t>
  </si>
  <si>
    <t>Exhibit 2</t>
  </si>
  <si>
    <t xml:space="preserve">Anisa </t>
  </si>
  <si>
    <t>Prom</t>
  </si>
  <si>
    <t>aprom6082@sdsu.edu</t>
  </si>
  <si>
    <t>For Shirley</t>
  </si>
  <si>
    <t>This piece is a recreation of a painting that was lost in my family. My maternal grandmother was a great artist and painted many pieces that have since been scattered throughout time and the extended family. In honor of her, I decided to recreate one of her pieces for my mom so she could see her mom's work come to life again. The original work was painted on a canvas but I merged my love for digital art into the new piece, merging both of our styles throughout the generations. I hope now more people can see her art too and can also enjoy and be inspired by her skill.</t>
  </si>
  <si>
    <t xml:space="preserve">Clare </t>
  </si>
  <si>
    <t>Colquitt</t>
  </si>
  <si>
    <t>colquitt@sdsu.edu</t>
  </si>
  <si>
    <t>Exhibit 3</t>
  </si>
  <si>
    <t>Kieran</t>
  </si>
  <si>
    <t>Gomez-Rodriguez</t>
  </si>
  <si>
    <t>kgomez3875@sdsu.edu</t>
  </si>
  <si>
    <t>Art, Emphasis in Graphic Design</t>
  </si>
  <si>
    <t>No More Brownfields: Branding for Community Outreach</t>
  </si>
  <si>
    <t xml:space="preserve">The National City Brownfields Assessment Project is an initiative of the SDSU Center for Regional Sustainability (CRS) in collaboration with the National City community. For this project I implemented a branding system, which included defining the look and feel of the initiative’s digital and print collateral. As part of the design process, I researched the population demographics, the Latino and Asian visual culture, and the history of National City. Auto-ethnographic methods were also used as part of the investigations for the aesthetic and tone directions of the brand system.
National City has a majority Latino and Asian population, and is disproportionately affected by environmental racism. Due to zoning laws not coming into effect until after settlement and industrialization had taken place, many residences are adjacent to heavy industry and abandoned sites that formerly or currently are contaminated. Because of this proximity between housing and industry the residents of National City are at higher risk of developing health problems than those elsewhere in the county. 
The challenges of this project included balancing the amount of information delivered to the public through the design, moving away from alienating academic language towards a more casual and friendlier tone, making sure to be clear on the intentions and limitations of the Brownfield Assessment Project, and emphasizing the need for community input and mutual collaboration between SDSU and National City community members. Other considerations included the use of multi-lingual support in choosing typography and in the use of messaging, and creating a graphics system that is accessible for reuse to a non-designer.
On the poster design, large, hand-lettered titles mirror the spirit of protest and activism, as well as reference graffiti and murals–both of which are prevalent in Latino and Asian visual culture. This is combined with a color system that represents these vibrant cultures, and also serves to indicate progress. The city grid for National City was used as a graphic element that both contains crucial information to encourage community engagement, and photography that add to the sense of community and belonging, and allow for envisioning future possibilities. 
</t>
  </si>
  <si>
    <t>Gary</t>
  </si>
  <si>
    <t>Benzel</t>
  </si>
  <si>
    <t>gbenzel@sdsu.edu</t>
  </si>
  <si>
    <t>Transgender</t>
  </si>
  <si>
    <t>Soto</t>
  </si>
  <si>
    <t>ssoto5366@sdsu.edu</t>
  </si>
  <si>
    <t>Theatre Arts with an Emphasis in Design and Technology</t>
  </si>
  <si>
    <t>Please Touch the Art! How Costume Technology Can Create Inclusive “Touch and See” Experiences</t>
  </si>
  <si>
    <t>This project explores my work researching and constructing a half-scale, three-dimensional replica of the dress worn in the Timken Museum’s famous painting: Portrait of a Lady in a Green Dress for the museum’s newest accessibility initiative. This Timken Museum sponsored project aims to make existing art pieces within their collection more accessible for the blind and visually impaired through touch-based experiences. With the completion of this project, this costume replica will be featured next to its portrait as an inclusive resource for the visually impaired to experience the two-dimensional portrait in the form of touch, and in theory to “see” it with their own hands. I will also include where this project looks to expand its use of costume technology to offer other inclusive touch-based opportunities in similar environments.</t>
  </si>
  <si>
    <t>Denitsa</t>
  </si>
  <si>
    <t>Bliznakova</t>
  </si>
  <si>
    <t>dbliznak@sdsu.edu</t>
  </si>
  <si>
    <t>Rodley</t>
  </si>
  <si>
    <t>jrodley1373@sdsu.edu</t>
  </si>
  <si>
    <t>MFA Painting, Printmaking</t>
  </si>
  <si>
    <t>The Personal Aesthetics of Memory and Mood</t>
  </si>
  <si>
    <t xml:space="preserve">From an appreciation of metaphysical poetics and an acknowledgement of the cognitive science which coincides with a poststructuralist understanding of mind and representational signs, my artwork aims to balance an ontological approach to memory with a phenomenological understanding of mood and emotion by using a pluralism of abstract aesthetics from the 20th century to express personal feelings on the human condition.
</t>
  </si>
  <si>
    <t>Castro-Arias</t>
  </si>
  <si>
    <t>ccastro@sdsu.edu</t>
  </si>
  <si>
    <t>Marinta</t>
  </si>
  <si>
    <t>Skupin</t>
  </si>
  <si>
    <t>mskupin1151@sdsu.edu</t>
  </si>
  <si>
    <t>MFA Art</t>
  </si>
  <si>
    <t>I Asked AI (1-6)</t>
  </si>
  <si>
    <t xml:space="preserve">My work probes our relationship with the natural environment. I utilize imagery, scientific data, and language in order to explore multiple ways of knowing and of expressing the world. Among the media I use are painting, drawing, printmaking, and digital media.
In addition to being inspired by physical features of the natural world, my work is informed by reflections on the history of landscape painting and on issues such as extinction and the predicted climate apocalypse.
The statements in this series are from answers generated by ChatGPT, in response to the question “What will we miss most in the event of a climate apocalypse?” The works were created using laser-based engraving on paper.
Examining the role that data plays in enhancing our understanding of the environment, I contemplate how scientific and technological advances influence the way we see and experience the world. 
Language is central to my work. I have been intrigued by the role of Afrikaans, my mother tongue, in the shaping of my consciousness. Contemplating the theme of loss, I consider how the loss of one’s language could extend to the loss of the world. 
</t>
  </si>
  <si>
    <t>Eva</t>
  </si>
  <si>
    <t>Struble</t>
  </si>
  <si>
    <t>estruble@sdsu.edu</t>
  </si>
  <si>
    <t>Performance or Film</t>
  </si>
  <si>
    <t>Performance Arts</t>
  </si>
  <si>
    <t>Montezuma Theater</t>
  </si>
  <si>
    <t>Ebert</t>
  </si>
  <si>
    <t>jebert1136@sdsu.edu</t>
  </si>
  <si>
    <t>Television, Film, and New Media Production</t>
  </si>
  <si>
    <t>Tina Tina Bo Bina</t>
  </si>
  <si>
    <t xml:space="preserve">Throughout the summer, Jessica Ebert and Jordan Eichhorn worked through the multiple stages of pre-production, production, and post-production for the short film “Tina Tina Bo Bina” alongside acclaimed writer, director, and San Diego State University professor, Jessica McGaugh. Our project’s goal is to produce a film centered around female empowerment and social issues. Through “Tina Tina Bo Bina,” we shed light on the challenges women encounter as they endure societal pressure and expectations, pursue their ambitions, and overcome creative endeavors. Furthermore, we are examining how women are expected to navigate the balancing act of family life, child care, and life’s stressors while trying to make a name for themselves. 
We learned a lot of valuable skills that we will implement in the future of our filmmaking careers, such as how the independent filmmaking production process runs, how to acquire funding through grants and fundraising, and how to distribute a short film, all while gaining more experience that will strengthen and hone our skills as artists. During “Tina Tina Bo Bina,” Jessica Ebert acted as the production manager, coordinating the crew, handling catering and meals, keeping track of expenses and paperwork, and tackling other production logistics. Following production, we wrote expense reports, provided creative feedback, created timelines for film festival submissions, and even developed an email in order to raise festival and post-production funds. Our time consisted of applying for grants, searching for female filmmakers for season two of Womanhood: The Series, scouting locations, breaking down the script, and other organizational projects. All of this led to the creation of an outstanding short film. </t>
  </si>
  <si>
    <t>Eichhorn</t>
  </si>
  <si>
    <t>McGaugh</t>
  </si>
  <si>
    <t>jmcgaugh@sdsu.edu</t>
  </si>
  <si>
    <t>Heine</t>
  </si>
  <si>
    <t>mheine2239@sdsu.edu</t>
  </si>
  <si>
    <t>BSBA in Information Systems</t>
  </si>
  <si>
    <t>Clones</t>
  </si>
  <si>
    <t>The original music video, "Clones", which I created for SDSU student musical artist Ze66y (Zebediah Stiers) represents an effective collaboration of music and visual artistry/techniques.</t>
  </si>
  <si>
    <t>Not sure what to put here</t>
  </si>
  <si>
    <t>Still not sure</t>
  </si>
  <si>
    <t>Reed</t>
  </si>
  <si>
    <t>Funes Smith</t>
  </si>
  <si>
    <t>rsmith7@sdsu.edu</t>
  </si>
  <si>
    <t>MFA In Film and Television Production</t>
  </si>
  <si>
    <t>Overcoming</t>
  </si>
  <si>
    <t xml:space="preserve">A Paralympic swimmer works to overcome her disability of Arthrogryposis Multiplex Congenita with the full use of only one arm to swim the butterfly stroke, one of the hardest strokes in swimming, at an elite level. This documentary short film follows Nelya Schasfoort of SDSU Adapted Athletics and Team USA as she works with her physical therapists Olivia Zina and Madison Hurst to build strength and resilience as she sets her sights on her dream of competing at the 2024 Paralympic Games next summer in Paris. This is a story of defying the odds to pursue success through hard work, supportive relationships, and perseverance. </t>
  </si>
  <si>
    <t>Farnsley</t>
  </si>
  <si>
    <t>afarnsley@sdsu.edu</t>
  </si>
  <si>
    <t>rtaylor5496@sdsu.edu</t>
  </si>
  <si>
    <t>Masters of Arts in Liberal Arts and Science (focus in Dance, Queer, and Somatic Studies)</t>
  </si>
  <si>
    <t>The With;OUT Dance Project: Community Dancemaking</t>
  </si>
  <si>
    <t>Ohad Naharin, creator of the dance form Gaga and Artistic Director of the Batsheva Dance Company in Tel Aviv, Israel guides us in our practice by saying, “We never look at ourselves in a mirror, there are no mirrors. We become better aware of our form. We connect to the sense of the endless of possibilities”. When we think about how we teach and create dances here in the United States, we are met with the assumption that we will gather in front of the room mirrors and copy the choreographer and their movements. Let’s let go of that for just a moment. 
I argue that Ohad was onto something here in how we come together as a community to dance and to feel connected with our bodies--transforming how we present ourselves in the world. Some people identify with a certain faith, sexuality, nationality, or gender, but also some people have impairments. Some people struggle with mental and physical illnesses that hinder them from leaving their house, or to go be social, or even as vital as sleeping in a bed. 
I further explain the endless possibilities of moving together. What does it mean to have people come together and deviate from their daily lives? To step outside of their comfort zone to do something as shake, bounce, flick, tap, or breathe. I intend to invite anyone willing to try this extraordinary practice informed by Ohad Naharin’s dance form Gaga, to move together as one community. Following Robin Nelson’s Guide to Practice as Research in the Arts and Beyond I aspire to present something that isn’t just for mere entertainment but gives you the choice to try something new and discover ways of moving you didn’t think were possible. Gaga dance, created by Ohad Naharin, has even helped me rediscover my love for performing and my passion for dancemaking after an injury. Let’s break away from the mirror, let’s dance!</t>
  </si>
  <si>
    <t>TBD</t>
  </si>
  <si>
    <t>Dance</t>
  </si>
  <si>
    <t>Man, Queer</t>
  </si>
  <si>
    <t>Deskin</t>
  </si>
  <si>
    <t>edeskin4800@sdsu.edu</t>
  </si>
  <si>
    <t>Bachelor of Fine Arts in Dance</t>
  </si>
  <si>
    <t xml:space="preserve">Here With You </t>
  </si>
  <si>
    <t xml:space="preserve">Our research is an exploration of touch, desire, and desperation through the lense of our relationship. This exploration delves into our unique relationship as two female presenting artists who are co-collaborators, friends, dancers, and roommates. Our connection was built not only from verbal, but also through tactile communication. This has created a level of intimacy which is often misunderstood. We realized this through the comments from peers and strangers, thus sparking our inspiration for this research. Since the Spring of 2023 we have been researching desire, and how it shows up through our dancing. This led us to work with one of our faculty in a mentorship program, where we honed our understanding of techniques such as Authentic Movement and Contact Improvisation. Through this research we have developed a deeper understanding of relationships and how intimacy can be perceived in today’s society.
</t>
  </si>
  <si>
    <t xml:space="preserve">Julia </t>
  </si>
  <si>
    <t>Elbert</t>
  </si>
  <si>
    <t>Seiters</t>
  </si>
  <si>
    <t>lseiters@sdsu.edu</t>
  </si>
  <si>
    <t>Arwyn</t>
  </si>
  <si>
    <t>Higgins</t>
  </si>
  <si>
    <t>ahiggins9591@sdsu.edu</t>
  </si>
  <si>
    <t>Sync or Swim</t>
  </si>
  <si>
    <t>Our duet is thematically centered around contrast. The contrast between humans and animals, between quick and sustained movement, between dance and play, and even more relationships with contrast we are continuing to research. We explore these contrasting relationships by attending to space, the audience, as well as one another through our movement. With each of us growing up in the competitive dance circle, we are researching a piece that simultaneously has structure and ambiguity. We aim to seamlessly walk (or dance) between the line of concrete and abstract.</t>
  </si>
  <si>
    <t>Capri</t>
  </si>
  <si>
    <t>Carpenter</t>
  </si>
  <si>
    <t>Humphrey</t>
  </si>
  <si>
    <t>jhumphrey@sdsu.edu</t>
  </si>
  <si>
    <t>Chasle</t>
  </si>
  <si>
    <t>Schoettle</t>
  </si>
  <si>
    <t>cschoettle2462@sdsu.edu</t>
  </si>
  <si>
    <t>Dance &amp; Kinesiology Pre-PT</t>
  </si>
  <si>
    <t>Dancing Beyond Boundaries: Exploring Rules, Class Disparities, and Identity in Ballet and Breaking</t>
  </si>
  <si>
    <t xml:space="preserve">My research explores the rules and class disparities of two unique dance forms, ballet and breaking. As a late-blooming dancer with a hip hop background, I am interested in the cultural and political elements of these two forms of dance. Despite their historical separation, I intend to fuse ballet and breaking in order to have a better knowledge of my identity as a dancer. "What if my technical dance is fiction and my drama is the truth?" is the fundamental question that I will constantly be playing with during my process. Concurrent training helps me gain access to myself, resulting in a voyage of self-discovery and the integration of various dance elements that were previously unknown. </t>
  </si>
  <si>
    <t xml:space="preserve">Jess </t>
  </si>
  <si>
    <t xml:space="preserve">Humphrey </t>
  </si>
  <si>
    <t>Moreno</t>
  </si>
  <si>
    <t>amoreno0475@sdsu.edu</t>
  </si>
  <si>
    <t>Entremedio/ In between</t>
  </si>
  <si>
    <t xml:space="preserve">As a Mexican-American who has experienced life in its majority in Tijuana, México crossing the border to San Diego, CA often, I have always thought of myself as someone who is constantly between countries, cultures, languages, relationships, etc. I live here and there, on both sides of the border, speaking Spanish and English daily. After spending the past summer working with my teacher and mentor Jess Humphrey and friend Chazley Schoettle (Chazz) with the support of the Summer Undergraduate Research Program (SURP), the journey to questioning, acknowledging, losing, finding, and redefining myself began. The ability and privilege I have to exist in both places is the base and heart of my research.
I have realized that being part of two cultures has not been easy for me and discovered that although I am the same person anywhere I go, I do not always feel that way. I often feel like a part of myself is lost whenever I am in México, and vice versa. A part of me feels blocked/unavailable when I am in an English-speaking context. These blockages present themselves in distinct areas of my life, such as communication skills, body language, confidence, creativity, and the way I dance. My research consists of attempting to access and hold both sides of myself in their most absolute and complete form while dancing. Through dance, I explore and try to blur the divide between my Mexican and American selves. The process and result of this research cannot be measured or calculated, but its effect on me goes beyond dance. The goal is to explore the intricate reality of being a bicultural human. With dance as my research method, I have begun to discover what and how each culture influences my life.
</t>
  </si>
  <si>
    <t>Social Justice</t>
  </si>
  <si>
    <t>1st Author's First Name</t>
  </si>
  <si>
    <t>1st Author's Last Name</t>
  </si>
  <si>
    <t>Presentation Type</t>
  </si>
  <si>
    <t>What key words best describe your presentation?</t>
  </si>
  <si>
    <t>Select One</t>
  </si>
  <si>
    <t>Eligible</t>
  </si>
  <si>
    <t>Status</t>
  </si>
  <si>
    <t>Abstract (350 Max Word Count)</t>
  </si>
  <si>
    <t>To be considered for a Library Award, describe how you utilized library collections, services, and/or interacted with library staff for your research.</t>
  </si>
  <si>
    <t>Rank</t>
  </si>
  <si>
    <t>VALUE(LEFT((IMPORTRANGE("1pilKf78WzgzPH4B27K05FGs1iPr8IPL0NUT6Az6Q6M0","Responses!E:E")),1))</t>
  </si>
  <si>
    <t>ArrayFormula(VALUE(LEFT(E:E,1)))</t>
  </si>
  <si>
    <t>Arrayformula(VALUE(LEFT((IMPORTRANGE("1pilKf78WzgzPH4B27K05FGs1iPr8IPL0NUT6Az6Q6M0","Responses!E:E")),1)))</t>
  </si>
  <si>
    <t>Application</t>
  </si>
  <si>
    <t>caban2709@sdsu.edu</t>
  </si>
  <si>
    <t>Crisila</t>
  </si>
  <si>
    <t>Aban</t>
  </si>
  <si>
    <t>Yes</t>
  </si>
  <si>
    <t>nagtual5550@sdsu.edu</t>
  </si>
  <si>
    <t>Agtual</t>
  </si>
  <si>
    <t>ralvarado8093@sdsu.edu</t>
  </si>
  <si>
    <t>Rebekah</t>
  </si>
  <si>
    <t>Alvarado</t>
  </si>
  <si>
    <t>sanderson3554@sdsu.edu</t>
  </si>
  <si>
    <t>Shaylee</t>
  </si>
  <si>
    <t>bblotz9913@sdsu.edu</t>
  </si>
  <si>
    <t>Blotz</t>
  </si>
  <si>
    <t>mbotrous9239@sdsu.edu</t>
  </si>
  <si>
    <t>Botrous</t>
  </si>
  <si>
    <t>rcallado8582@sdsu.edu</t>
  </si>
  <si>
    <t>Rodolfo</t>
  </si>
  <si>
    <t>Callado</t>
  </si>
  <si>
    <t>fcardona9971@sdsu.edu</t>
  </si>
  <si>
    <t>Fernanda</t>
  </si>
  <si>
    <t>Cardona</t>
  </si>
  <si>
    <t>nchesnut1141@sdsu.edu</t>
  </si>
  <si>
    <t>Nina</t>
  </si>
  <si>
    <t>Chesnut</t>
  </si>
  <si>
    <t>hclavin6604@sdsu.edu</t>
  </si>
  <si>
    <t>Helena</t>
  </si>
  <si>
    <t>Clavin</t>
  </si>
  <si>
    <t>acoulson6926@sdsu.edu</t>
  </si>
  <si>
    <t>Abigail</t>
  </si>
  <si>
    <t>Coulson</t>
  </si>
  <si>
    <t>hdoan0394@sdsu.edu</t>
  </si>
  <si>
    <t>Halie Shea</t>
  </si>
  <si>
    <t>Doan</t>
  </si>
  <si>
    <t>bflores5254@sdsu.edu</t>
  </si>
  <si>
    <t>agalvezmcdonough@sdsu.edu</t>
  </si>
  <si>
    <t>Galvez-McDonough</t>
  </si>
  <si>
    <t>rggibert@sdsu.edu</t>
  </si>
  <si>
    <t>Gibert</t>
  </si>
  <si>
    <t>egutierrez3200@sdsu.edu</t>
  </si>
  <si>
    <t>Gutierrez</t>
  </si>
  <si>
    <t>lharrison9449@sdsu.edu</t>
  </si>
  <si>
    <t>Lily</t>
  </si>
  <si>
    <t>chunt1993@sdsu.edu</t>
  </si>
  <si>
    <t>Hunt</t>
  </si>
  <si>
    <t>akelley7228@sdsu.edu</t>
  </si>
  <si>
    <t>Kelley</t>
  </si>
  <si>
    <t>alaird6644@sdsu.edu</t>
  </si>
  <si>
    <t>Laird</t>
  </si>
  <si>
    <t>mleraas6589@sdsu.edu</t>
  </si>
  <si>
    <t>Maryhanna</t>
  </si>
  <si>
    <t>Leraas</t>
  </si>
  <si>
    <t>rlizerbram3932@sdsu.edu</t>
  </si>
  <si>
    <t>Lizerbram</t>
  </si>
  <si>
    <t>sllanes1019@sdsu.edu</t>
  </si>
  <si>
    <t>Selena</t>
  </si>
  <si>
    <t>Llanes</t>
  </si>
  <si>
    <t>cmiller5851@sdsu.edu</t>
  </si>
  <si>
    <t>Chelsie</t>
  </si>
  <si>
    <t>emora1073@sdsu.edu</t>
  </si>
  <si>
    <t>Mora</t>
  </si>
  <si>
    <t>iortizsandoval@sdsu.edu</t>
  </si>
  <si>
    <t>Ivan D</t>
  </si>
  <si>
    <t>Ortiz Sandoval</t>
  </si>
  <si>
    <t>losorio3939@sdsu.edu</t>
  </si>
  <si>
    <t>Loany</t>
  </si>
  <si>
    <t>Osorio</t>
  </si>
  <si>
    <t>lpadden5029@sdsu.edu</t>
  </si>
  <si>
    <t>Padden</t>
  </si>
  <si>
    <t>eramirez1003@sdsu.edu</t>
  </si>
  <si>
    <t>Ramirez</t>
  </si>
  <si>
    <t>arosario5524@sdsu.edu</t>
  </si>
  <si>
    <t>Abbey</t>
  </si>
  <si>
    <t>Rosario</t>
  </si>
  <si>
    <t>isardo9302@sdsu.edu</t>
  </si>
  <si>
    <t>Sardo</t>
  </si>
  <si>
    <t>fshahine8903@sdsu.edu</t>
  </si>
  <si>
    <t>Fatima</t>
  </si>
  <si>
    <t>Shahine</t>
  </si>
  <si>
    <t>msine8674@sdsu.edu</t>
  </si>
  <si>
    <t>Makenna</t>
  </si>
  <si>
    <t>Sine</t>
  </si>
  <si>
    <t>esowunmi0628@sdsu.edu</t>
  </si>
  <si>
    <t>ELIJAH</t>
  </si>
  <si>
    <t>SOWUNMI</t>
  </si>
  <si>
    <t>aspencer7406@sdsu.edu</t>
  </si>
  <si>
    <t>Spencer</t>
  </si>
  <si>
    <t>rsprague1913@sdsu.edu</t>
  </si>
  <si>
    <t>Remy</t>
  </si>
  <si>
    <t>Sprague</t>
  </si>
  <si>
    <t>astepp4456@sdsu.edu</t>
  </si>
  <si>
    <t>AprylHazle</t>
  </si>
  <si>
    <t>Stepp</t>
  </si>
  <si>
    <t>iurbano9597@sdsu.edu</t>
  </si>
  <si>
    <t>Ixchel</t>
  </si>
  <si>
    <t>Urbano</t>
  </si>
  <si>
    <t>Presenter Email</t>
  </si>
  <si>
    <t>Judge Name/Comments</t>
  </si>
  <si>
    <t>Comment: Tech and dress rehearsal are very important, but the film itself was pretty amazing
Comment: The student explained very clearly and gave us relevant information about her research behind the process. The video was understandable and meaningful 
Comment: I really like the concept of "organiced chaos"
Comment: Jessica connected extremely well with the audience. She was professional, informed and outgoing. She took us behind the scenes in managing the production of the video.</t>
  </si>
  <si>
    <t>No comments yet</t>
  </si>
  <si>
    <t>Comment: Like the dance speech. Maybe could be a good idea puting in a screen during the perfomance.
Comment: The presenter invited the audience to join them to experience the concept he was explaining about. He was really engaged and made people engage as well.</t>
  </si>
  <si>
    <t>Here With You</t>
  </si>
  <si>
    <t>Comment: Students have a clear plan for sharing performance with a broader community and engaged the audience and through demonstrating different types of touch.  In addition, students explored emotions and sensations through dance. 
Comment: Congratulations for your great work and performance!
Comment: The performance was great and the students did a great job showing the audience what their techniques were and the way they defined things. For me, I enjoyed watching the students do the performance and the knowledge they shared with everyone.
Comment: Performance explored themes of desperation and desire that could be expanded.</t>
  </si>
  <si>
    <t>Comment: Students explored 4 contrasting movements and analyzed differences between dance as competition and dance as art. Through a series of demonstrations students explored each of the 4 movements and their self-realization process. 
Comment: The students were very well organized and defined their movements in a simple manner. I liked how they explained things in the beginning then did their performance. Great choice of music and choice of outfits. Then they went into their evolution of their performance and worked out what they can improve. Great chemistry. Overall great performance. A few recommendations. One thing is to change the red from the background of the slides as it gets harder to see when the set lights are pointed at the screen. The second is to always thank the audience after they ask questions like “thank you for your question”,  “I appreciate you asking that question”, and “thank you for sharing that insight”. Overall great work again.
Comment: Great work!</t>
  </si>
  <si>
    <t xml:space="preserve">Comment: Student brilliantly engaged breaking and ballet and leveraged the music to shift between styles. Rooted her personal experiences into selections for movement. Student framed her research as an exploration of culture, movement and historical origins of breaking and ballet. A truly impactful and necessary performance for a much wider audience to see. 
Comment: Chasle performance piece was inspirational and poetic. She tied in her past to her dance experience at SDSU. Her history and technique connected well. I enjoyed her use of music and transition. Very elegant and profound performance. </t>
  </si>
  <si>
    <t>Comment: Student is exploring the idea of being “in-between,” as an extension of their identity of being Mexican and American. Through the use of language, dance and conceptions of the “borderlands,” student is bridging the gap between these 2 divided selves. 
Comment: Alyssa did a wonderful connection of existing with her performance drawing on her Mexican and American background. She acknowledged her upbringing which I loved. It allowed me to understand her creative process. Her dance making was very interesting and mindful of her authenticity and individuality. I liked the reference of Borderlands. If it’s possible, I would like to see more research on literature. Qualities of moment was also informative. Not sure if music would fit but perhaps the performance can evolve to have music. That’s just my thought and didnt change the performance. It was great with or without. Overall great work and thank you for sharing.</t>
  </si>
  <si>
    <t>Comment: This is a a critical and important project to embark on. I hope to see the results at the conference next year! 
Comment: Great and important project. The use of the google survey will be so important! I look forward to seeing results 
Comment: I thought the topic was really important. I recommend slowing down a little. The slides were really great! 
Comment: I was curious to know how student researchers’ experiences (positionality) influenced the research design and question. The research question is strong and important. I’m unaware of recent academic studies that explore gentrification specifically in San Diego. With anonymous surveys, what will the group do if there is a low response rate that does not yield significant data? Will there be fieldwork that involves the communities currently most impacted by gentrification, and where in SD are those communities?</t>
  </si>
  <si>
    <t xml:space="preserve">Comment: Great research project!
Comment: This is an important topic that matters! I’m exciting for you to do this work!
Comment: Interesting topic! I would love to learn how this affects their outcomes in athletic competition. 
Comment: Minor suggestion is to face the audience when presenting rather than the screen. Would have loved to see some images of Griner and Williams alongside some of the text. This project with the case studies is a great way to further explore the cultural politics of sports as  they relate to the portrayal and representation of queerness and power (Serena represents power to me as a fan of her performances). There is a lot of great sports theory out there to further develop the project. Assessing discourse of sportscasters might help too for cultural analysis or racialized context. Really liked this approach to research. </t>
  </si>
  <si>
    <t>Social Media Impact on black adolescent education</t>
  </si>
  <si>
    <t xml:space="preserve">Comment: I am excited for you to keep exploring this question! This is important work! </t>
  </si>
  <si>
    <t>Comment: Insightful project! 
Comment: Thank you for doing this important work! I am excited about the interviews that you are going to do! 
Comment: The slides were great. This is a really interesting topic. Would be interesting to see if this affected applications as well. 
Comment: I found the the simple transitions with the slides very helpful and that approach kept me intrigued with everything each speaker had to say. The historical context about Affirmative Action was excellent and helpful. Background on the research question was beautifully written. I wanted to know a little bit more about the quantitative approach. More time could have been spent unpacking the graph with important data. I am curious how the group will find research participants who graduated before 1998 or by 1999? I think an oral history-based approach would be fantastic and reveal important historical perspectives about the unaffordability of higher ed. The UC data was productive, and I wanted to know more about CSU stats too.</t>
  </si>
  <si>
    <t>Dr. Miguel</t>
  </si>
  <si>
    <t>Comment: Great explanation of methods. More descriptions on examples of implications. Great job at discussing problem statement. 
Comment: 
Comment: Great organization and delivery of content. Great handling of the questions. Could improve if more thoughts put on limitations of the study.
Comment: 1) Positive - Great at explaining to attendees what their research is about. Great at responding to inquiries.
2) Improvements - Expand Others. Consider geography/location in the study.</t>
  </si>
  <si>
    <t>Black Students experiences within higher education</t>
  </si>
  <si>
    <t xml:space="preserve">Comment: </t>
  </si>
  <si>
    <t>Olyad</t>
  </si>
  <si>
    <t>tduren@sdsu.edu</t>
  </si>
  <si>
    <t>Comment: Wonderful presentation skills, thoughtful discussion of her research, excellent ideas for next steps!
Comment: Christaysha, thank you for sharing your project. I think it's really important to evaluate programs that are meant to enrich the lives of underrepresented, minoritized identities. It's even better when it's being evaluated by those who are actually in it. You're truly doing your peers a service by helping to evaluate and inform the program. 
I don't understand why the conference coordinators placed you so far from the other education undergrads but that isn't on you. I had a hard time finding your poster. 
Looking forward to seeing what you accomplish in grad school</t>
  </si>
  <si>
    <t>Comment: I would like to see statistical analysis even though there is a sample selection issue and the sample size appears to be very small.  Need to obtain better data in the future and analyze the data statistically.
Comment: 
Comment: 
Comment: Emily's research project is very timely and relevant. She also handled herself very well after a somewhat hectic setup with the computer; something like that would have probably rattled my nerves when I was her age. I admire the way she was able to go through her presentation without notes. However, I do wish she would have shown us some of the results (I would have liked to see some excerpts from the interview).</t>
  </si>
  <si>
    <t>Comment: I would like see a larger data set and see more control variables such as family situations and peers.
Comment: 
Comment: 
Comment: I though Shefali's presentation was quite interesting and very important especially for this politically climate. I appreciate her ability to navigate her presentation without any assistance with notes. I did think some of the slides were a bit wordy (for example the slide on intersectional discrimination). A tool I learned for creating PowerPoints for class was to limit the amount of words you use. It can be distracting as the audience is trying to read and listen to you at the same time. There was one question about where the population/demographic was from that she was comparing her participants in San Diego with; I would be pretty surprised that that information would not be included in the article and seems like important information to know for comparative analysis to greater enhance the significance of her findings.</t>
  </si>
  <si>
    <t xml:space="preserve">Comment: I would like to see a more systematic literature review.  How many research articles did you consider, how did you choose them, and how did you synthesize the relevant research papers?  If you are familiar with your research, you should be able to present without looking at your your phone.
Comment: 
Comment: Lack of emotional thought regarding language use. Notes should be on a page or rehearsed. 
Comment: Alisson's presentation was pretty interesting. I would have liked to know why India and South America were chosen. I do think the definition provided for slums could have been more expansive because most areas would be considered a "slum" based on the definition provided. She seemed a bit nervous and seemed to fumble between the notes on her slide and transitioning to not using notes. Also, there was a question about the half houses that she seemed to struggle to answer. Still, presenting as a third year undergraduate is impressive. </t>
  </si>
  <si>
    <t>The unique effect of neglect on trajectories of speech problems in youth</t>
  </si>
  <si>
    <t>Comment: I suggest that you speak to the audience not to the slide.  I would like to see more control variables in your findings such as family conditions, school life, and peers.
Comment: 
Comment: Take a breath and just relax. 
Comment: I thought David's presentation was really interesting. However, he moved so fast through the slides that I had a hard time absorbing the information. So I think that was my biggest challenge with the presentation. But I found it to be interesting and important.</t>
  </si>
  <si>
    <t>Comment: I suggest that you collect more data with control variables even if this is a pilot study.
Comment: 
Comment: 
Comment: This is a timely project. I did think Emily spoke very fast which could just be her style of talking or nerves. I also wish that the color coded chart and the questions were on the slides with the results. I didn't really get a chance to absorb the results because the information was separated. I also wondered if her participants had a model or rubric for Chat GPT writing, would this impact the results? To put it another way, would the average person be able to even provide descriptors of or the differences between AI vs. human writing? I think this is an important factor to consider for at least one or two of the questions she asked her participants.</t>
  </si>
  <si>
    <t>Tanner</t>
  </si>
  <si>
    <t>Comment: Excellent speaker , challenged the audience and engaged . Suggestion is to clarify own contribution of work.
Comment: 
Comment: Excellent presentation, well organized slides, very good job explaining practical relevance of the project
Comment: Excellent Presentation Tanner, 
There were lots of abbreviations without introductions. For future presentations, Introduce abbreviations before the usage, this is really helpful for individuals who do not have ideas about the topic or field</t>
  </si>
  <si>
    <t>Comment: Passion of the student stands out! Providing the introductory background equipped the audience with the necessary tools to understand significance /methodology of research.
Comment: 
Comment: Great Presentation Erik - 
For future presentations, infuse more images and less words, try to use basic terminologies or give examples with real life scenario.  Great research work. 
Comment: Good work on this presentation. One suggestion for the future is to remember that your project has very compelling human implications (internet is a human right!) -  begin with that as a hook to get people excited about your work. Nice job!</t>
  </si>
  <si>
    <t xml:space="preserve">Comment: Very relevant work and intensive data collection and project activities. A suggestion could be on providing more specifics on how the quantitative results were measured.
Comment: 
Comment: Great job Alexi.
Notes: For subsequent presentation, add a link or QR code just incase people want to learn more about the research. 
Comment: Exceptional job on this presentation. Clear, well-organized slides, excellent and clear explanation of complex scientific concepts. Clear practical application of your work. </t>
  </si>
  <si>
    <t>Comment: 
Comment: Great job Paul.
Note: Make graphs less complex and easy to interpret by audience. 
Good work!
Comment: 
Comment: Good work! A suggestion could be in providing more background as well as future steps to provide the audience with more tools for understanding the methods and meaning of results.</t>
  </si>
  <si>
    <t xml:space="preserve">Comment: Great slides! I appreciated the fact that you only had talking points on the slides, not full sentences.
Comment: Presentation style was engaging; early stage project left much room for questions surrounding methodology
Comment: The idea is interesting to follow by the audience and he did great job delivering the message clearly. 
Comment: Fascinating area of study. Grounding is excellent and you have every right to present with confidence even though early in the inquiry. I would also have been interested in why this research is important to you.  </t>
  </si>
  <si>
    <t xml:space="preserve">Comment: 
Comment: 
Comment: The topic helps a lot to get audience engaged with the interviewer. She did great job explaining and answering most questions. 
Comment: Great mastery of content and procedure - we were also interested in human subjects aspects so learning more about enrollment and treatment would be interesting to highlight </t>
  </si>
  <si>
    <t>Exploring ethnic identification’s impact on Gen-Z Asian American beauty influencer marketing campaigns</t>
  </si>
  <si>
    <t>Comment: 
Comment: The topic drives from young inspiration that can be easily captured by many young people. She did great and almost 99% close to perfection on overall. 
Comment: Very poised and insightful. Great presence and confidence with subject matter 
Comment: Great presentation! A little rushed at times, but overall very clear</t>
  </si>
  <si>
    <t xml:space="preserve">Comment: 
Comment: Being calm was her most significant accomplishment today. She was reading out of the screen most than often that lead to some lack of audience awareness. 
Comment: This was an excellent presentation on a much-needed topic. The only potential area for improvement would be volume—it was hard to hear at times.
Comment: Important work! </t>
  </si>
  <si>
    <t>Testing the feasibility of a prenatal yoga mobile app in African American pregnant women: The Mindful Maternity Study</t>
  </si>
  <si>
    <t xml:space="preserve">Comment: 
Comment: Fabulous presence and exciting study 
Comment: 
Comment: Both are giving the best performance, engaging with their audience was world class. Well done </t>
  </si>
  <si>
    <t>Comment: Very knowledgeable of topic and clarity in presenting, would have liked to see more emphasis on the qualitative methods that they used and using more of the data they had collected. Great job in engaging with the questions that were asked. 
Comment: Great use of the Q&amp;A session. Demonstrated skill to answer questions.
Comment: Well organized and thoughtful approach to the research question. Well spoken and clearly presented and thank you for effort to understand and share these stories. Would love to see the data on the larger sample size. 
Comment: A very well presented study. Perhaps needs to expand survey subjects and refine demographics.</t>
  </si>
  <si>
    <t xml:space="preserve">Comment: Enjoyed the originality of the research question and agree with the importance of the study. Presentation did seem a little disorganized and  need to rush the finish of her presentation. Would love to know more about the approach. 
Comment: Very clear presenter and calm presence. Interesting project and has a clear impact. Would have liked to see a firmer grasp on the project ie being able to answer questions with more information. 
Comment: Vocal volume, at times difficult to hear.
Comment: Interesting study and would have really liked to learn more its future directions. </t>
  </si>
  <si>
    <t>Exploring Coparenting Strain and Outcomes</t>
  </si>
  <si>
    <t xml:space="preserve">Comment: Solid presentation. Clear in the data and well laid out methodology. Would love to learn more about the recruiting methods. Statistical analysis done very well from the presentation. In addition to looking at non traditional co parenting relationships, such as you mentioned (grandparents, etc.) I would be interested to see what this data shown on LGBTQ co-parenting dynamics.
Comment: Good job with bringing in additional information that was not included on the slides—it helped show their grasp on the material and that they knew their project well. Suggestion would be to slow down a little and go through more of the results since there were a lot of numbers. 
Comment: 
Comment: Excellent responses to Q&amp;A. Recommend including less data as part of slides. </t>
  </si>
  <si>
    <t>Comment: Really interesting topic that could be very impactful. Speaker did a great job of being clear and answering questions thoroughly. There was some mishap with the PowerPoint but the presentation was easy to read for the most part and was easy to follow. 
Comment: Good presentation, apricated the further explanation on specific elements such as EMA and how you described Phase 2. While we most of us work in research, these elements can make the difference between understanding and "getting lost" in presentation to those who don't live in research. 
Comment: Great research. Excellent presentation and ability to address Q&amp;A session 
Comment: Intervention model, continues to wrestle with ethical issues in terms of handling data collection from target age group.</t>
  </si>
  <si>
    <t>Intersectional Disparities in Breast Cancer Screening Mammographies in racial and gender minorities in the US before and during the COVID-19 pandemic.</t>
  </si>
  <si>
    <t xml:space="preserve">Comment: Interesting topic with seeing the difference between pre covid and post covid. Would like to see more or a discussion why this is important. The presenter was clearly knowledgeable about the topic and was able to answer questions well and showed their grasp on the literature. 
Comment: Good use of time. Encouraged to continue with this line of research.
Comment: 
Comment: Good presentation. The pace of the presentation seemed rushed. I would encourage you to slow your pace and clearly present the data. While the overall topic is great and important, but the data could be been explained a little clearer. </t>
  </si>
  <si>
    <t>Comment: 
Comment: 
Comment: Excellent presentation and response to questions!!!</t>
  </si>
  <si>
    <t xml:space="preserve">Comment: 
Comment: Nice presentation! When working with complex pathways that overlap it would be helpful to remind the audience of role of targeted steps. </t>
  </si>
  <si>
    <t xml:space="preserve">Comment: 
Comment: 
Comment: Very nice interaction with audience during Q&amp;A. Would be good to slow down a bit when discussing figures. </t>
  </si>
  <si>
    <t xml:space="preserve">Comment: 
Comment: 
Comment: Nice enthusiasm and audience engagement. Would love to see how correlation coefficients relate to sps survival. </t>
  </si>
  <si>
    <t>Comment: 
Comment: 
Comment: Important problem! Will be interesting to see results as they progress. Focused onsmall dips in methane in data analysis but are these data relevant?</t>
  </si>
  <si>
    <t xml:space="preserve">Comment: 
Comment: Interesting problem. Lots of work required to address problem. 
Comment: </t>
  </si>
  <si>
    <t xml:space="preserve">Comment: It would be great to not use prompt cards during presentations.
Comment: The presentation was given by 4students. The undergrads are not well prepared.
Comment: Oood approach on fundamental characterizations </t>
  </si>
  <si>
    <t>Comment: The presentation is great, but it would be even better if less long sentences are used.
Comment: Great presentation. The slides are organized well. The students answer audience's questions confidently and thoughtfully.</t>
  </si>
  <si>
    <t xml:space="preserve">Comment: Great talk. The student is well prepared. The animation in the presentation is very helpful to illustrate results.
Comment: Great start of the presentation with a funny animation. Excellent presentation and results.
Comment: </t>
  </si>
  <si>
    <t xml:space="preserve">Comment: The student should work with her advisor to practice presenting. I feel that the student can explain her slides, so no need to read the notes.
Comment: Nice presentation. It would be great if the presenter did not read the prompt notes during the presentation. 
Comment: </t>
  </si>
  <si>
    <t>Ahmad</t>
  </si>
  <si>
    <t>Abushanab</t>
  </si>
  <si>
    <t>Sam</t>
  </si>
  <si>
    <t xml:space="preserve">Comment: Great presentation. Flash cards are great but it would be even better if they are not used extensively.  I like the ChatGPT generated images, like work.
Comment: 
Comment: </t>
  </si>
  <si>
    <t>Marine Debris from River Margins: Wet and Dry Weathering Effects on the Fragmentation and Degradation of Discarded Plastic</t>
  </si>
  <si>
    <t>Comment: Almost perfect presentation, Great job! 
Comment: The student well explained her research. Maybe another slide about future work
Comment: Very interesting to see how the environment affects various stuff to produce microplastics and other contaminants</t>
  </si>
  <si>
    <t xml:space="preserve">Comment: 
Comment: Good job offering own definition
Organized well
Ethnographic work made arguments strong
Demographic may matter as many examples appear 'white'
Comment: Excellent and stimulating presentation! I would be curious to learn more about how you (and your interview subjects) interpret the “feelings” that are central to your analysis. 
Comment: 
Comment: </t>
  </si>
  <si>
    <t xml:space="preserve">Comment: Good job!
Greater theoretical framework needed
Maybe just focus in-depth on two or three examples as presentation can perhaps veer toward an overview, too brief superficial analysis
Comment: 
Comment: 
Comment: Presenter read much of their oral presentation from a cell phone giving me the impression that they did know their subject material or presentation all that well. 
Comment: </t>
  </si>
  <si>
    <t>Tawny</t>
  </si>
  <si>
    <t xml:space="preserve">Comment: 
Comment: Great job!
What philosophy do you agree with that says the other is not known?  I assume this will be developed in article
Comment: Excellent presentation (and a little terrifying)! It would have been instructive to have presented alternate interpretations of the issue.
Comment: 
Comment: </t>
  </si>
  <si>
    <t xml:space="preserve">Comment: Such an interesting topic! It would have been effective to include media examples of your own art and music.
Comment: Existentialism and art defined too broadly
Greater theoretical framework needed and connected to research (eg, not sure Existentialism is the only path or best path)
Thoughtful life question is a big too large for a research question
Meditation, body mind issues need deeper exploration
Comment: 
Comment: 
Comment: Overall knowledge of subject material was good. </t>
  </si>
  <si>
    <t xml:space="preserve">Comment: Good work on an interesting topic! I would like to have heard more about your own methods of data collection and anslysis.
Comment: 
Comment: Stronger theoretical framework needed
Clear argument but evidence needs to be centered (sometimes) on a community to make connections concrete
Comment: 
Comment: </t>
  </si>
  <si>
    <t xml:space="preserve">Comment: Excellent presentation on such an interesting topic! I would like to have heard more about your own process of collecting and interpreting data from contemporary Philippine culture.
Comment: Clearer lit review needed
More theoretical insights needed
Comment: 
Comment: Interesting and clear 
Comment: Went long which indicated to me that presenter needs to pull their thoughts together to stay within time guidelines. </t>
  </si>
  <si>
    <t>Madeline</t>
  </si>
  <si>
    <t xml:space="preserve">Comment: Important topic! Could you comment on the small sample size and whether the small cell responses  in some categories are meaningful?
Comment: Overall good, but small sample limited the meaning of frequencies. Could use clearer justification from the previous research literature (even if just a citation and mention the level of evidence from a presentation, such as "Prior work shows x. In a systematic review/meta-analysis, etc.,...."). 
Comment: Excelente presentation. You should think of increasing your sampling size.
Comment: Excellent presentation with great ppt. Well organized and succinct ppt. 
Comment: Students did an excellent job co-presenting the data on this important topic. They knew the data very well and slides were very clear. </t>
  </si>
  <si>
    <t xml:space="preserve">Comment: Presentation could use citations for frequencies/statistic reported &amp; editing for capitalization. The presentation had a lot of information, but as the presenter moves on in career, shifting to more of a story-telling approach to presentations will be a good skill to develop. Having so much information made it difficult to follow without the narrative piece (e.g., "The take-home point is [x].".
Comment: Great presentation on an important topic! Are there other measures of activity you might consider? How these vary over the course of a day? Unclear if activities by parents and children are happening concurrently?
Comment: The study design could be more in detail. 
Comment: Very nice presentation, keep up the good work. Think of all the sources of uncertainty in your methods and how to address them 
Comment: </t>
  </si>
  <si>
    <t>Navigating Cultural and Collaborative Dietary Strategies: An Ethnographic Approach to Understanding Dietary Behavior in Oaxaca, Mexico</t>
  </si>
  <si>
    <t xml:space="preserve">Comment: What is a key conclusion from this formative work?
Comment: Good learning from the presentation. Thank you!
Comment: Thanks for your presentation, keep up the good work. You may want to increase your data collection 
Comment: Had a strong framing of the nuances motivating the study, including cultural considerations, sociolinguistics considerations, and public health literature/information/tools. I strongly feel like this student (if no doing so already) should be applying to Fulbright, Ford Foundation, NIH, etc. I think this would hit well, and depending on how she shapes this type of work at the intersection of anthropology, public health, and perhaps clinical research (e.g., epidemiology, biomarkers), could potentially become a candidate for a MacArthur Award. I thought of Jason de Léon's Undocumented Migration Project when listening to her presentation.
Comment: </t>
  </si>
  <si>
    <t xml:space="preserve">Comment: What an important need to be addressed!  What types of activities are putting workers at highest risk?
Comment: Inspiring and heartbreaking information! Excellent job!
Comment: Very organized but talking speed could be slower - seemed like the presenter was very high energy, which may be less helpful for telling a story/creating a narrative. It might be nicer to decrease information in the talk to spend more time walking people through the research.
Comment: Very interesting and relevant work. You need to better define your hypothesis and design your study
Comment: </t>
  </si>
  <si>
    <t xml:space="preserve">Comment: Great job! It would be interesting to see a diaggregation by cancer types 
Comment: Too much information and description of methods for a 10-minute talk. A simpler statement would suffice (e.g., we used xxx methods to examine this question. Findings showed...). No need to talk about p-value. Focus should be on story-telling - it seems like a very well-done and thorough project, but that gets lost in the explanation of methodological details. Probably the methodological details are relevant for discipline-specific technical talks, thesis defense, etc., but perhaps not this forum.
Comment: Very relevant work. Curious what you will find with the whole data. Identify the sources of uncertainty and how to reduce them.
Comment: 
Comment: </t>
  </si>
  <si>
    <t xml:space="preserve">Comment: Very interesting! What about more of a focus on taste vs smell?
Comment: Much of the delivery of the presentation was not as cohesive as the PPT itself or methods seemed to be. Using some summary statements for each slide or part would help guide the narrative. The introductory slides could benefit from work for formatting and style for a scholarly presentation. One way to think about presenting a lot of information is with "bookend" sentences (e.g., Book-end: In this study, we were interested in x, because of y. [Prior work shows....] Book-end: This points to the importance of examining z.). Also, I would skip saying "I didn't have time to add..." - present it as a complete project and put the updated results under "future directions" or save it for Q+A in case someone asks about next steps.
Comment: Keep up the good work. 
Comment: </t>
  </si>
  <si>
    <t xml:space="preserve">Comment: Fairly good response to questions
Comment: </t>
  </si>
  <si>
    <t>Comment: Excellent organization, and answering of questions, particularly for undergraduate student. Could slow down the presentation speed and still fit within time.</t>
  </si>
  <si>
    <t xml:space="preserve">Comment: Solid presentation and content. </t>
  </si>
  <si>
    <t>Comment: Very clear presentation with solid organization. Excellent graphics</t>
  </si>
  <si>
    <t>Comment: Lot of material covered.</t>
  </si>
  <si>
    <t>Identification of Flavor Active Compounds in Micro- and Macro- Algae</t>
  </si>
  <si>
    <t>Comment: Delivery is great, too many jargons used, broader implications not clear
Comment: It was great that you gave this talk with no notes and had no problem answering questions. Maybe work on condensing methods section to spend more time on results and discussion of significance.  The flowchart of experiments was good but highlighting your track would make it easier. 
Comment: Very poised and prepared.  Good grasp of methods and technology. Informative presentation 
Comment: Relaxed.  A little awkward at the beginn8ng. Definr GCOMS at first use. Nice power point. Time 'intensive' not 'extensive'. Knowedgeable.</t>
  </si>
  <si>
    <t>Comment: Really impressed with how thoroughly you know your subject and work. You answered your questions with no problems and didn’t need notes, which is great. 
Comment: Excellent delivery, broader implications not clear
Comment: Enthusiastic about her work, understands context of the research, does good job of acknowledging her co workers and professor.  
Comment: Great starting interest grabber. Engaging. Chef over research background shows.</t>
  </si>
  <si>
    <t>Comment: Slower pace of delivery suggested, addresses a social problem
Comment: It would improve your delivery and question response if you read some more general background on health literacy and concussions. No need to read every research article, but a few general reviews would help. You don’t always need to provide citations when answering questions, just do the best you can. Don’t be afraid to have an opinion. 
Comment: Good grasp of the topic.  Highly relevant project.  Statistical analysis is in very preliminary state but understanding seemed good for undergraduate 
Comment: Nice slides.  Did not explain rationale for improving health literacy.</t>
  </si>
  <si>
    <t>Comment: Excellent delivery, Distribution of black on the left and red on the right may indicate bias, worth investigating further
Comment: Great comeback after technical issues. You could have taken more time to explain your full methodology and added more conclusions about what it means for athletes with red bars. Also, use two colours of red to distinguish right and left. 
Comment: Team  presentation.  Video presentation was very helpful to understanding of methods
Comment: Interesting and cool slides on method. Interpretation with red bars unclear. Data= plural. So say these data not this data.</t>
  </si>
  <si>
    <t>Asymmetry between non-dominant and dominant limbs in female collegiate lacrosse athletes during a drop vertical jump</t>
  </si>
  <si>
    <t xml:space="preserve">Comment: Great presentation 
Comment: You were both clear and enthusiastic presenters. I think you need to be clear about what the results mean for the athletes and future work when presenting. 
Comment: Team
Comment: Risk factors interesting.  Serious but nervous. Confusing conclusions. Too small sample size to compare sex differences. Should give rationale at beginning. Jade answered all the questions. </t>
  </si>
  <si>
    <t xml:space="preserve">Comment: Great research topic, Improve presentation clarity, highlight only the key results, no need to show the whole table and graph
Comment: Support for community health interventions. Methods good start but need to teawe out the highky correlated variables.
Comment: Team presentation.  too much data for time.  Bad data slide Need to simplify correlations round to 2 decimal point.  I would suggest focusing on heat graphs 
Comment: Please think about how slides will look when viewed at a larger size. Your results tables and graphs were almost unreadable. We couldn’t see what the variables are. Maybe colour code the p values table so we could see what’s significance. Although your analysis is good, this really didn’t seem like a research project, just the presentation of data. </t>
  </si>
  <si>
    <t xml:space="preserve">Comment: I would like to see more evidence e.g. quote in the presentation to support the themes. Would also encourage the researcher to continue on this research and interview more participants. I believe this will generate insightful findings on this topic!
Comment: You seemed to have excellent mastery of the content and theory that drove your project. You were well-versed, comfortable, and responded to questions with confidence. Great work!
Comment: Strong public speaker! great work. The n was very small; would have liked more discussion on the connection of the findings to the conceptual framework. 
Comment: The problem of 'n' in this research is a real obstacle. The subject matter appeared to be treated with requisite care and the presentation was very clear and smooth. </t>
  </si>
  <si>
    <t>Authoritarianism in the EU integration process</t>
  </si>
  <si>
    <t>Comment: Excellent job. Your presentation was very interesting and you have a clear understanding of the intricacies of the topic.
Comment: Very interesting topic! I really liked the visuals/ppt provided. Would have liked to heard more about methods on selecting articles, number, how they were organized, analyzed etc, as well as more direct implication discussion. 
Comment: It's impressive to build upon research to see how trends and politics have changed over the course of your studies. 
Comment: I can see that the researcher is very motivated on researching this topic. The proposal of the flatline as an addition to the existing theory is innovative. I would encourage the researcher to continue this research with different and mixed research methods to reveal more insights from different perspectives on this topic.</t>
  </si>
  <si>
    <t>Why Does Gender Matter? Student Perspectives on Leadership</t>
  </si>
  <si>
    <t xml:space="preserve">Comment: You did an excellent job sharing your research. The topic and the results are interesting and I enjoyed hearing the future directions that you identified based on your results.
Comment: This is a wonderful example of research that is begging for expansion and I hope you engage with it going forward. The extent research and the foundations of your project are very impressive, and will become even more so when you solve the sample size issues. 
Comment: This a very interesting research topic. I would encourage the researcher to continue this research project and think about how this research may bring new insights to the social ripple theory.
Comment: Thank you for your presentation and visuals- really helped tell the story. Would have liked to heard about how the researcher/student controlled for bias in the analysis. Controlling for bias was discussed in the data collection- but what about the analysis/findings. </t>
  </si>
  <si>
    <t>Fighting for Gaza: Assessing student mobilization movements and shifting foreign policy perspectives</t>
  </si>
  <si>
    <t>Comment: Excellent work! You clearly understand the nuances of this issue and did a great job sharing your research and responding to questions.
Comment: Interesting topic- and really liked how connected to SDSU events/students. Would have liked to seen more discussion of recommendations (policy and program) that SDSU should do in addressing this issue. 
Comment: This was the best presentation I saw all morning. There was clearly a lot of work put into it and I enjoyed the professionalism and flow. The information was interesting and current and I hope you continue with it. 
Comment: I think this is a very interesting and important topic for research. I would encourage the researcher to continue this project and adopt different research methods to explore this topic.</t>
  </si>
  <si>
    <t xml:space="preserve">Comment: Your topic was very interesting and you clarified your methodology when answering a questions; next time, be sure to include that in your presentation! Your passion for this area is very evident. Great work!
Comment: Helpful to have started with an agenda slide to set presentations goals. Note e.g.= for example; i.e.= in other words. I think should have used e.g. on one slide. Presentation went straight to results- what was the process/ how did student arrive at these findings. I found the visuals /images on the PPT very helpful and informative! 
Comment: The information presented was all very interesting and it linked together very nicely. Seeing the spread maps and specific word influences was very helpful to engage with the research. The speaking style was very frenetic and it took me out occasionally so maybe work on style in future presentations. 
Comment: </t>
  </si>
  <si>
    <t xml:space="preserve">Comment: Great presentation of history context and finding a connection to the U.S to makes this relatable. Very clear voice.
Comment: The presentation was great! The presenter was so clear and well-spoken. Their passion for the study came across so clearly and it was evident they put a lot of time into their work.  Next time it world be wonderful to hear what future directions the student envisions to further research this topic. 
Comment: </t>
  </si>
  <si>
    <t>he Interconnectedness of Love and Guilt: Discovering the Path to Conocimiento and Healing by Confronting Guilt with Love</t>
  </si>
  <si>
    <t xml:space="preserve">Comment: Great description of conocimiento and breaking it down for the audience. Interaction with audience was excellent.
Comment: If was a great presentation! The presenter had great stage presence and their passion for the project was very clear.  Given the wonderful cultural relevance of the study,  it would have been great to hear about the impact this work could have and how the student would envision using the platica methodology outside of their personal networks. 
Comment: Jenae's presentation was quite interesting. I appreciated the use of a culturally specific framework to approach her research. Wishing her the best of luck with grad school and hope to read her work in the future. Her last research question about love as a resource is really interesting.
Comment: </t>
  </si>
  <si>
    <t>Land Access, Gentrification, and Urban Agriculture In San Diego</t>
  </si>
  <si>
    <t xml:space="preserve">Comment: Great explanation of presentation. Good use of walking up to the board to point at specifics parts of presentation and further explanation.  Really good use of mixed methods.
Comment: The methodology of this study was so impressive! And it was evident the team put so much work into researching and producing results for the study. Would love the presenters to have had stronger engagement with the audience, as well as telling us how they would want these studies to give back to the community and the environment.  
Comment: Very interesting and important topic.
Comment: </t>
  </si>
  <si>
    <t>Cheek pouch use of Macaca maura in proximity to road in Bantimurung Bulusaraung National Park, Sulawesi, Indonesia</t>
  </si>
  <si>
    <t xml:space="preserve">Comment: Presenter seem like a natural. Great topic and had the audience think about the impact of feeding wildlife animals 
Comment: The study was so impressive and fascinating! The dedication, time and effort the student put into the study was so clear.  The commitment to scientific integrity The student discussed was also great to hear. Next time, some kind of visual or what the data collection process or procedures look like writings be a really nice component to add too.
Comment: Emily was very poised during her presentation. Very fascinating work. Wishing her the best in her future endeavors.
Comment: </t>
  </si>
  <si>
    <t>Aerobic Activity is Impaired by Vaping</t>
  </si>
  <si>
    <t xml:space="preserve">Comment: Very nice presentation and very interesting research. 
Comment: Good use of space and visuals. Figures nicely presented. And good ability to field audience questions. 
Comment: 
Comment: Very good presentation. Keep the hard work. </t>
  </si>
  <si>
    <t xml:space="preserve">Comment: Loads of enthusiasm for her research. Very interesting topic and nicely explained and delivered. 
Comment: Good presentation and good job fielding questions 
Comment: This topic is relevant because conect the plant cell biology and enviromental conditions. My suggestion for the future is just to improve more the methods technology </t>
  </si>
  <si>
    <t>Comment: Great presentation - shows good understanding of the material presented — the figures are dense however and should spend a little more time going through them
Comment: Very interesting and novel topic. Well presented and organized. 
Comment: Great research with advanced and power  techniques. I suggest more clarity in your scientific impact.</t>
  </si>
  <si>
    <t>Identification and functional analysis of ABC transporters in the planarian Schmidtea mediterranea</t>
  </si>
  <si>
    <t>Comment: N/a
Comment: Very in-depth research with important implications for drug discovery 
Nicely presented and informative 
Comment: Great presentation the graduate student is proficient in the research. My suggestion for the future is to show more the impact of the result in others parasites and correlate some results in humans comparing the differences between the species.</t>
  </si>
  <si>
    <t>Comment: Incredible work and research. Very nicely presented!!!
Comment: 
Comment: N/a</t>
  </si>
  <si>
    <t xml:space="preserve">Comment: Great Presentation Faith! you interacted with the audience which is great, Good job with your research. 
Comment: Very interesting work. Keep it up! Consider formulating a research hypothesis for your work </t>
  </si>
  <si>
    <t>Comment: Great job Jennifer, 
Note: Be confident, you know your work. It is your research and you have done exceedingly well. 
Comment: Nice work, keep it up. You may want to deep into the theory of your work</t>
  </si>
  <si>
    <t>Comment: Great Job Melanie
Note: Try to engage with your listeners and audience(eye contact) and avoid reading from the device instead use bullet points to help remember chain of thoughts and also use your slides and or presentations as a guide. 
Introduce terminologies- not everyone in the audience are conversant with some of the terminologies used because they are from different fields. 
Comment: Nice presentation, keep up the good work. I hope you enjoyed the research activities in your project</t>
  </si>
  <si>
    <t>Molly</t>
  </si>
  <si>
    <t>Comment: Great job Molly!
Your presentation skills are phenomenal, You interact with your audience and break down terminologies. Good job! I applaud your efforts
Comment: Great work, keep it up. Think about the future possibilities for applications</t>
  </si>
  <si>
    <t>McArthur</t>
  </si>
  <si>
    <t xml:space="preserve">Comment: Excellent presentation. Confident delivery, showed mastery in addressing questions. Navigated us through a lot of data swiftly. 
Comment: Good Presentation. </t>
  </si>
  <si>
    <t>From Enumeration to Empowerment: Visualizing and quantifying access to sanitation resources among San Diegans experiencing homelessness</t>
  </si>
  <si>
    <t>Welsh Carroll</t>
  </si>
  <si>
    <t xml:space="preserve">Comment: An important and potentially lifesaving issue deserving of rigorous scholarship and attention. The presenter was clear, confident, calm, and capable. I learned a great deal and thoroughly enjoyed it!
Comment: Interesting topic. I appreciate  the clarity on what your recommendations would be on both the improvement of assessing homelessness and the availability of sanitation. </t>
  </si>
  <si>
    <t xml:space="preserve">Comment: The presenter is clearly knowledgeable about this subject domain and demonstrated understanding of a wide array of extant literature. Given the substantial corpus of work in this arena, it isn’t clear how original or impactful this particular study is. This isn’t my field of expertise, so I can’t speak to those items. The lack of consent issue described sounds quite detrimental. Recognizing this was outside of the control of the presenter, I wonder if a second opportunity to present when she is further down the road would be beneficial. 
Comment: </t>
  </si>
  <si>
    <t xml:space="preserve">Comment: Phenomenal presentation. She was extremely well prepared, clear and confident. Her study appears well constructed and meaningful. This was one of the very best presentations of the day. Well done!
Comment: Very good presentation. While this is not my field of study I was able to follow along very easily. 
</t>
  </si>
  <si>
    <t xml:space="preserve">Comment: Great Presentation. Identifying a gap in the literature and finding a way to fill that gap. Well organized and clearly presented. </t>
  </si>
  <si>
    <t>Comment: Very interesting presentation. Look forward to results!
Comment: Overall an excellent talk. Might give a sentence upfront to clue audience that snakes will be the ultimate topic of research. Very poised and clear speaker. Look forward to your data analysis. 
Comment: 
Comment: Great job</t>
  </si>
  <si>
    <t xml:space="preserve">Comment: Very nice talk with wonderful images. Larger size and reduced length of text might improve slides. A little more detail on how assessment was done would be helpful. Excellent ability to answer questions. 
Comment: Try to use slides for prompts instead of reading from computer. Interesting problem. 
Comment: 
Comment: </t>
  </si>
  <si>
    <t xml:space="preserve">Comment: 
Comment: Very important problem. Surprising results. 
Comment: A lot of information for a short talk but very well presented and very interesting methodology. Would be good to think more deeply about the human implications and importance of the overall conclusions. 
Comment: </t>
  </si>
  <si>
    <t>Comment: 
Comment: Nice presentation!
Comment: Very impressive understanding and work!
Comment: Seemed very intuitive with problem solving purification issues</t>
  </si>
  <si>
    <t xml:space="preserve">Comment: 
Comment: Very well done. Only issue was timing. Also doing stats ahead of time would have been helpful. 
Comment: 
Comment: </t>
  </si>
  <si>
    <t xml:space="preserve">Comment: Wow! Such an excellent research that uses crucial theoretical frameworks to understand the activism of Black women regarding their involvement in press in Canada. My suggestion is about structural organization. For future revisions, presenting through the stories of these women would strengthen the argument more and would help the flow of the presentation.
Comment: 
Comment: Outstanding presentation on such an important topic! I would like to have heard a bit more about the data you collected and analyzed during your Fulbright fellowship.
Comment: Excellent. Clear and presented within time limit.
Comment: Very comprehensive subject material which was delivered very seamlessly. </t>
  </si>
  <si>
    <t xml:space="preserve">Comment: This is such an inspiring presentation that sheds light on some of the most pressing questions we experience. For future revisions, I would suggest spending less time on the background and more time on the actual research subject. 
Comment: 
Comment: Such a fascinating topic! I would like to have heard more about how your study of Manea has impacted your own creative writing.
Comment: 
Comment: </t>
  </si>
  <si>
    <t xml:space="preserve">Comment: An exemplary scholarship that offers conceptual tools for future scholarship! A fantastic way of bringing together theory and stories. 
Comment: Excellent presentation on a stimulating topic! I would like to have heard a bit more about how your studies of embodiment theory impact your interpretation of other primary sources.
Comment: 
Comment: An interesting view of a leader and personality. Well presented.
Comment: Read from note cards which I felt took away from direct eye contact from target audience. </t>
  </si>
  <si>
    <t xml:space="preserve">Comment: Excellent presentation on a fascinating topic!
Comment: 
Comment: I especially loved the clarity, the structure, and the interdisciplinary aspect of the presentation. Also, such a timely topic on a crucial subject! The presenter has a very deep understanding of their research subject. 
Comment: 
Comment: </t>
  </si>
  <si>
    <t xml:space="preserve">Comment: Compelling presentation!
Comment:  A very clear, timely, and sophisticated project! For future revisions, I would suggest a focus on the stories the presenter encountered in the archives (instead of pieces of information from these archives). Also, engaging with theories in interdisciplinary fields such as ethnic studies and black studies would help the project a lot.
Comment: 
Comment: 
Comment: </t>
  </si>
  <si>
    <t xml:space="preserve">Comment: Clear presentation and a great presenter.
Comment: 
Comment: Very knowledgeable! I think it could be helpful to know the audience (not all experts in this case), and don’t be afraid to simplify the topic where you can. Student was great at interacting with the audience, answering questions, and the visuals in the presentation were fabulous! 
Comment: I really enjoyed the visualizations on your slides and the clarity of your language around some really interesting (but difficult) topics. I am not an expert in this whatsoever, but from what I can tell with my mathematics background, the methodology and execution is sound. You really sound like you know what you're talking about, so take that for what it's worth! If I were to change anything, I think the Mario lettering was a bit fuzzy and the meme with the blue head with the spinning thought/buffering image were an attempt at a break for humor or a quick laugh-- which is totally fine (I appreciate when things aren't taken TOO serious) but perhaps these two in particular could be updated. Great Job!! Keep up the great work! </t>
  </si>
  <si>
    <t xml:space="preserve">Comment: Enthusiastic presentations.  Could be improved with making some if the slides have more readable content. 
Comment: Really excellent job at explaining the concepts! 
Comment: 
Comment: Great talk, thanks! I thought you did a great job fielding some tough questions. You're poise and attitude throughout the talk were great. I am not an expert in this field, so it was good to have plain and understandable language around your methodology and the motivation for this work. I think including some of the limitations of these results near the end of the slides could be an interesting thought-provoking moment for the audience-- for example, this 2.7% of planets you found do not take any atmospheric conditions into account! So the real amount of habitable planets is even less realistically. One note on your oral presentation skills is that you spoke clearly and I could understand you, but at times your voice was a bit low for the room we were in. This is an effect of the cement floors and undecorated walls. So speaking louder could be beneficial. Thanks and great job! Keep it up! </t>
  </si>
  <si>
    <t xml:space="preserve">Comment: The presentation could have been augmented by a more enthusiastic approach. 
Comment: 
Comment: Great talk, thank you! I found your slides very well organized and easy to follow and your speech was clear and understandable. The use of notecards for your presentation was fine in my case-- you had a lot of information to share in a short amount of time and you handled that well. You also did a great job fielding the questions in the room. My understanding of machine learning is not at an expert level, but your talk did not make me feel like I needed to know everything about it in order to understand the significance of your results. In the future, my one constructive comment would be to reduce the amount of text on the text-heavy slides. I found most of your slides to be nicely balanced but a few were relatively text-heavy and may be able to be cut down. Great job, keep it up! </t>
  </si>
  <si>
    <t xml:space="preserve">Comment: 
Comment: Great Talk! I appreciate the clarity and straight-forward presentation of what is likely very difficult topics to discuss to folks who do not have experience in this field. I am not an expert, but my background in mathematics gives me some intuition around your use and understanding of the methodology you used. You spoke clearly and loudly, which was nice. Your slides were clean and not too text-heavy, which is also great. One comment I have about what I would change is to add some more about the significance or your motivation for wanting to solve this problem-- what does humanity gain out of solving this problem?  Keep up the good work! 
Comment: The student clearly understands their research topic very well! I think the presentation could include more visuals depicting the actual process of creating the templates (e.g., show overlaying). Additionally, the significance and implications could be stated more clearly. The student answered questions very well and should be proud of the work! </t>
  </si>
  <si>
    <t>Comment: Good talk
Comment: Great talk overall! The intro section could be slower paced to include more background information on sperm function and the fertilization process. Also the zoo volunteer’s question answered the prior question about the goal of the project so keep an eye out for useful info like that. 
Comment: Great work in the presentation. Be sure to be prepared for answering questions about why your work is important and the significance. 
Comment: Great detailed methodology, presented clearly and easy to understand. Would like to know what the signification of the findings are in our society like helping for reproduction etc</t>
  </si>
  <si>
    <t>Comment: Great talk 
Comment: Your enthusiasm and presentation skills were great. There were several slides that were too crowded and the differences would be clearer if images were larger and separated. 
Comment: Good talk looking at the early development of primate brains! The results were well explained pointing out the differences in growth measurements. There was a slip in describing the studied primates as new world monkeys though neither bonobos or macaques are in that group. 
Comment: Well done, interesting findings on brain development and can see great significance to the field and human development in general.
Well presented and knowledgeable. Some slides can use laymen vocabulary instead to help those not in the field but not sure if that was a requirement</t>
  </si>
  <si>
    <t>Karina</t>
  </si>
  <si>
    <t xml:space="preserve">Comment: Great work. Solid preliminary work and results. 
Comment: Your work and presentation were excellent. The only thing I would suggest is putting the morphology of fungi after you clearly explain that the identification of the unknown fungi is the point. As an ecology person, I thought at first you were going to discuss the interactions between fungi and tree for nutrition more than systematics. 
Comment: Very clear and easy to follow, informative and very thorough methodology. Interesting to see how it all came together step by step explanation was great!  Maybe just as a slide on what thought result was and how it’s important to society in general
Comment: Excellent talk! The presentation is expertly paced with the points in the setup being relevant in the results. The speech itself was also very engaging and the questions were all handled confidently. </t>
  </si>
  <si>
    <t>Predictors of cattle milk productivity in Rondônia, Brazil</t>
  </si>
  <si>
    <t>Comment: Pros - Good sample size (data source), solid research direction. 
Cons - Qualitative analysis plan is not clear (might not address to the hypothesis). I suggest to have solid questions - survey (rather then open ended questions) to make the best out of the scheduled talks from the farmers. 
Comment: Excellent presentation and I’m very impressed with the depth of your background knowledge on the topic and the various data sources needed for your research. 
Comment: Great presentation of the background and results so far. Good luck with the interviews in Brazil!
Comment: Great research, unique in its own right, and interesting for the field. Can see cross disciplinary collaborations 
Presented well with much energy and passion 
Would long to know more about results and significance of them in the future</t>
  </si>
  <si>
    <t xml:space="preserve">Comment: 
Comment: 
Comment: very interesting and important topic. I hope you can move this research stream forward and it seems that there is a lot that needs to be done in this space. 
There is also an opportunity to explore more structured analysis of interviews to develop themes ideas for best practice on how to support the victims. 
Overall, you did a fantastic  job with your presentation. Good luck with your research and studies 
Comment: What went well: 
-Clearly passionate about the topic and dedicated to her research
-Provided surprising statistics that caught my attention
-Acknowledged current events/context connecting her research to the movement at large (Mar. 8th)
Future Directions: 
I would be interested to learn about a global comparison of gendered violence in different cultural regions of the world (Asia, the Middle East, Africa, Pacific Islanders, European and those of European descent) </t>
  </si>
  <si>
    <t>Comment: 
Comment: 
Comment: This is an interesting topic, and you had an engaging and high-energy presentation which is a great plus. 
To increase the contribution of your research, you need to carefully think about what is new and exciting about your research? your research shows that customers have negative response to a product when the influencer offers a negative evaluation of a product, which is not really a novel discovery. 
Also, what does the term de-influencer really mean? Is this an influencer who always speaks negatively of products? most influencers post a mix of positive and negative reviews of products, so who is considered a de-influencer? There is some work left to show that the topic of your study is novel. 
Overall, it was a great presentation. Good luck with your research and studies.   
Comment: What went well: 
-Culturally relevant and interesting topic
-Appreciate her dedication to on-campus research
-Identified other applications for the deinfluencing concept
-Provided key term definitions
Suggestions: 
-At times too much emphasis on methodology
-Slide organization could be improved (flipping back and forth)</t>
  </si>
  <si>
    <t>Predicting Crime Resolution in Los Angeles</t>
  </si>
  <si>
    <t xml:space="preserve">Comment: 
Comment: 
Comment: This is an interesting project, specially if you develop the app you mentioned it can have significant empirical/policy applications. 
Good luck with your research 
Comment: What went well: 
-Very original idea that has true real world applications 
-Appreciated the imagined scenario at the end which had closure towards the end 
-Interesting use of her Big Data Analytics major and tackling societal problems
Future Directions: 
Maybe you could reach out to one of the smaller cities in San Diego (for example La Mesa) and see what a smaller police force thinks of your idea. They may be more accessible. </t>
  </si>
  <si>
    <t xml:space="preserve">Comment: One tip for your job search, there are other factors to consider that are more important than the time of the application. you could consider the type of the job you're applying, industry, position, etc. That would be more helpful for you. 
Comment: What went well: 
It is apparent you have put a lot of thought into this topic
Interesting to look into one person's search for a job
Room for Improvement: 
Could be more research/theory based
Your presentation seemed a bit more casual than the other presenter's, I would suggest you adopt more professional phrasings (for example you laughed multiple times after discussing how you were rejected over and over). </t>
  </si>
  <si>
    <t>Improving Continuity and Scale: Introducing the Spanish Web-Based Computerized Comprehension Task</t>
  </si>
  <si>
    <t>Comment: Such an important area of work - we need more reliable assessments for Spanish speakers! Consider dissemination activities beyond academic audiences (conferences and publications), if you are not already. It may be helpful to define the psychometric terms (internal consistency, etc.) when presenting to audiences who may or may not be familiar with assessment. 
Comment: 
Comment: Nice presentation and data was presented very well. You can tell you passion from you presentation you interest in the topic of study. The data was present nicely in the charts but you could have elaborated little more on the data. You moved through it quickly. Perhaps looking at you whole presentation and shifting focus from background to findings. Or try and use the full amount of time you are given. 
Comment: Diego had excellent presence and pacing during his presentation. The slides were clear and visually appealing. I particularly appreciated the inclusion of citations and the way he mixed English and Spanish words in the explanation of vocabulary prompts. The research is interesting, and based on the background information provided, novel and important. He answered questions fully and with confidence. Well done!</t>
  </si>
  <si>
    <t>Comment: 
Comment: Good Presentation. It is clear you passion for this topic and I would strongly encourage you to continue your focus on this subject matter. Thank you. Make sure you are referencing the data that you are drawing you background information from. If you don't it looks like you are just drawing these points in your opinion. It would have been nice to see visual with some of the date you mentioned regarding demographics. Still a little unclear on how you made you final conclusions. Make sure to check for spelling errors on your slides.
Comment: I appreciated you sharing your personal connection to the topic and your highlighting of the differences between the traditional American narrative regarding conflict in Colombia and the facts in the country. You have clearly delved deeply into this topic and your knowledge and passion are clear. It may be helpful to provide an explicit picture of your overall thesis or argument at the beginning of the presentation, and/or a roadmap of the topics you plan to cover in the talk and briefly how they connect. You covered so much important and complex content, and a bit more priming in terms of the structure and methods may help to communicate it more clearly.
Comment: Max demonstrated clear passion for his topic. His presentation did a nice job of providing context and background information. Citations would add credibility. What didn’t come through was the research methods/process that informed the conclusion he described, although he was able to talk about methods when asked in the Q&amp;A. Kudos to Max for presenting when feeling under the weather, but more energy, eye contact and clearer enunciation would improve the presentation. The topic is novel and more research is clearly needed to fully understand what is happening and what needs to be done to support the people of Columbia.</t>
  </si>
  <si>
    <t>Sateyia</t>
  </si>
  <si>
    <t>Comment: Strong situating of the 'mini project' within the larger effort - it was very helpful in understanding your goal. The description of your methods was clear - I particularly appreciated the clear specification of the question in lay terms and when you made more informal statements regarding your content. 
Comment: Very good presentation. Your background premises for the presentation laid out very nicely. Laid out method clearly. Even with you preliminary data you drew logical and clear conclusions. Thank you for sharing your experiences with us. 
Comment: 
Comment: Matthew did a phenomenal job communicating his research via the photos he chose to include, the information provided in the slides and the oral presentation. The photos in particular were not only compelling, but with Matthew’s explanations, they deepened the audience understanding of context. I recommend he include the year of publication in slide citations. I really appreciated the detailed methods, particularly related to data collection. He also did an excellent job answering questions with clarity and confidence.</t>
  </si>
  <si>
    <t>Comment: Fantastic presentation. Best of luck with your project!
Comment: What a wonderful presentation and important topic. I appreciated the clear structuring of themes in reviewing the literature; your thorough exploration of this complex topic was clear from your review of the content. Great job including dissemination in the conceptualization of the methodology, and in situating your approach within the global context of talking circles. 
Comment: Thank you for sharing your story and your passion for this topic and study subject. I agree the clear connection and need for understanding this issue more. You clearly lay out the problem you are looking to tackle with your research. Lit Review appeared to include both text and research journal articles, a little unclear as to which is what. You communicated clearly the methodology and walked us through the frame work you intend to use. 
Comment: Tiffany provided clear information in her slides and oral presentation. I loved her interest in connecting the past to the present, as a way to provide future-focused insights. The methodology was clearly explained and well thought out. I particularly commend the inclusion of a dissemination plan in her research outline. She did a nice job of engaging with the audience. I think the selection of participants will be critical and suggest she develop a criteria or other way to ensure a broad array of group representation.</t>
  </si>
  <si>
    <t>Comment: 
Comment: 
Comment: The work presented is timely and important. We need to find new sources of protein for the planet so Selene is on the leading edge of valuable research. Her presentation could have been organized a bit better as some of the slides had misaligned text. Most importantly, a full description of the methods was needed to explain the word clouds that she used. She finished early so there was plenty of time. That said, these questions came up in the Q&amp;A and she handled them very well!  
Comment: N/a</t>
  </si>
  <si>
    <t xml:space="preserve">Comment: 
Comment: 
Comment: I was very impressed by the work being presented and Julio's enthusiasm spread to the audience. I really appreciated his "Goals" slide. It is always good to give the audience a clear sense of where things are going. The text on the slides with code was too small to read. Credit to Julio for calming speaking through the person who rudely opened the door and asked for directions during his talk!
Comment: </t>
  </si>
  <si>
    <t>Comment: 
Comment: 
Comment: A fantastic study. It is clear that a manuscript has been produced because Nicole's command of the information was evident. If there is one small critique, Nicole spoke a little too quickly and rushed over a few things. I think this may have been because many in the audience were also familiar with the study and she knew the material so well. For those of us that weren't, it was a challenge to follow in parts. Nonetheless, a fantastic job!</t>
  </si>
  <si>
    <t xml:space="preserve">Comment: 
Comment: An overall great presentation! First, the quality of the visuals on the slides was top notch. The slides were well organized and I really appreciated how Tatyana walked us through the materials and methods clearly. She also handled the Q&amp;A session very well. Well done!
Comment: 
Comment: </t>
  </si>
  <si>
    <t>Norah</t>
  </si>
  <si>
    <t xml:space="preserve">Comment: 
Comment: Simply a great presentation about such important research. I really appreciated the introduction to ALS and how it affects the body to remind those of us who know what ALS is, but don't think about it on a day to day basis. This gave it a very professional touch whereas others simply jumped into the technical details as if it were a class presentation. Chloe's delivery may have been a bit fast, but it did not detract from the overall message. I would have liked her to have walked us through the data plots in a little more detail to explain what each quadrant represented and how/why they differed. I know she was frustrated that she couldn't answer one of the questions more clearly, but these things happen and she handled it perfectly. Well done!
Comment: </t>
  </si>
  <si>
    <t xml:space="preserve">Comment: Very interesting topic, well presented with clear slides. Nice connections to theory throughout. 
Comment: Well-rehearsed, confident presentation style. Strong answers to audience questions. 
An extremely compelling topic with unique methodology.
The argument/thesis got a little lost in theory -- most clear and compelling claim is that "children are active in creating their reality." Foreground that point, and everything else falls into place as evidence to support your claim. 
Before jumping into the theoretical analysis of each case, which was compelling, it would be great to hear more of a brief introduction of each case and where their stories came from.
It would also be great to hear more reflection on what is available to know about these children, given that their stories are refracted through social worker interpretations.
Through the questions and answers, I learned a lot more about the methodology that was very helpful.
Comment: </t>
  </si>
  <si>
    <t xml:space="preserve">Comment: Very interesting topic and a good, clear presentation. The presenter conveyed his enthusiasm for the research topic. 
Comment: Well-rehearsed presentation, clearly this student has given many presentations before. 
Organized presentation with clear beginning, middle, and end.
Comfortable responses to audience questions.
This is a topic that many people are very interested and passionate in, it's a great path to go for a senior thesis. 
At least one concrete example from media treatment of women in sport would be very helpful to illustrate your model, otherwise the model is very abstract.
I encourage the student to revisit the idea that you can't challenge the "facts" about women's biology. In "fact," there is a lot of scholarship that challenges assumptions about women performing less well in sport than men. One point is that the average woman athlete is stronger, faster than the average man who is not an athlete. Professional women athletes can outperform the average guy on the street any day, but there are dominant discourses to the contrary. The question then becomes, how do messages about women and sport reinforce the assumption that women are less capable of athletics than men. 
Comment: </t>
  </si>
  <si>
    <t xml:space="preserve">Comment: Really interesting and important research. Beautiful slides. I encourage the presenter to share her study and findings with the museum. 
Comment: This was a really strong project, very clear methodology, and really original topic. 
Well-rehearsed and strongly organized presentation. 
Great job responding to audience questions.
Great abstract.
Impressed with inclusive language and the wide range of disabilities that were considered. 
Encourage the presenter to continue working on this topic, but to also consider community stakeholder involvement in determining museum accessiblity, as she mentioned during one the questions.
Comment: </t>
  </si>
  <si>
    <t>Joel</t>
  </si>
  <si>
    <t>An Exploration of the Incel</t>
  </si>
  <si>
    <t xml:space="preserve">Comment: Really interesting and important topic. Very impressive for a 1st year student! I can't want to see where he goes with this and what he presents next year. 
Comment: A really interesting topic and compelling argument. It is still a bit underdeveloped at this point. With some further research, and thinking through the methodology, this will be a great research project. 
There was a slide at the beginning that suggested that the presenter was going to "challenge the idea that incel culture is harmful/dangerous." I had a cringe moment before the presenter moved on and I realized that is not exactly what they meant. Work to clarify the point, as I understand it, that you are arguing that it is not a mental health issue, it is an issue of misogyny. 
Confident presentation and response to question. Clearly the presenter had done a lot of research and knew a lot about the topic. 
Comment: </t>
  </si>
  <si>
    <t xml:space="preserve">Comment: Very interesting work and great presentation. The presenter conveyed her enthusiam for the author and the work. It would have been good to start with a framework that explained more the purpose of the analysis. A lot of things came out in the Q&amp;A that would have been great to include in the presentation. Wonderful work!
Comment: Well-rehearsed presentation on a topic that the student clearly has thought a lot about. 
However, the methodology of the research is very unclear. The presentation at this point is like a book report, with the student having the beginnings of analysis and interpretation of the meaning of the book. I encourage the student to do some more thinking about what is the meaning of the novel, and how does the author convey that meaning through the symbols and other devices. 
Comment: </t>
  </si>
  <si>
    <t>“Aloha ߵOe”: The Music of Queen Liliߵuokalani as Cultural Preservation and Protest</t>
  </si>
  <si>
    <t xml:space="preserve">Comment: This was the best presentation I saw at the symposium. Well rehearsed, with strong presence. Visually strong slideshow and the music was a nice multimedia addition. Strong organization with clear thesis and evidence to support. Close reading of one song as a method is very compelling. Being familiar with this history, I was impressed that I learned knew things and learned about how to teach this topic from a new angle. The student was even able to respond to a very specific question I asked. Great job.
Comment: </t>
  </si>
  <si>
    <t>Comment: 
Comment: Thank you for the content warning prior to starting the presentation. having an agenda slide would have been helpful to set the tone of the presentation. More information on methods- recruitment strategies, n sought, planned analysis etc. I understand do not have results yet to present, but helpful to have what the plan was.  How was the study funded? 
Comment: Presenter was able to present and communicate on a heavy topic to the audience. Presenter could improve on the presentation style by standing in front on the audience instead of behind as desk to help remove any defenisve barrier with the audienece.</t>
  </si>
  <si>
    <t>Exploring Student-to-Student Confirmation, Communication Apprehension, and Academic Self-Efficacy in (Post) Carceral Education</t>
  </si>
  <si>
    <t>Comment: 
Comment: Great topic. Would have been helpful to present table of sample/participants etc. discussion on how programs like project rebound at SDSU could build upon these results. 
Comment: Presenter was great with the delivery of their presentation putting emphasis in the annunciation, tone, and mannerisms. The presenter could benefit from not relying too much on power point slides to create a deeper connection with the audience.</t>
  </si>
  <si>
    <t>Comment: Appreciated the terms defined at the beginning of the presentation. Presenter certainly understood the material however looked at slides often. Not necessarily reading though. Really important work and well done focusing your time here. 
Comment: Nicely done. Very interesting topic and love the community based research approach. 
Comment: 
Comment: Presenter did a great job with giving the audience context of the subject to allow a better understanding of the presented information. Presnter could benefit from slowing down and not rushing through the conclusion at the end.</t>
  </si>
  <si>
    <t xml:space="preserve">Comment: Well practiced. Appreciated the audience participation in asking questions. Slides helped presentation, did not distract. Took a long time to get to research questions though. I would have like to see a much shorter introduction, although it did help the audience set the stage as to why the problems is a problem. Good job identifying limitations
Comment: Nicely done. Very interesting topic! Would have liked to seen more visual data represented on the means of knowledge and attitude. 
Comment: </t>
  </si>
  <si>
    <t xml:space="preserve">Comment: Very interesting study and you set up the foundational components well, especially for someone not in your field. Relied on notes a bit. Trust the work you’ve done so far, clear you know a lot on the topic. The pictures supported and helped me keep track which what was, very helpful. Well done answering our questions. 
Comment: </t>
  </si>
  <si>
    <t xml:space="preserve">Comment: Well done setting the stage for us. Divided the presentation well. Often relied on slides instead of eye contact with the audience. It is clear you both know and understand the project well, rely on that knowledge. Very interesting and necessary work. 
Comment: </t>
  </si>
  <si>
    <t xml:space="preserve">Comment: Great work, keep it up. Look for genetic interactions 
Comment: 
Comment: Thank you for a well presented research project. The two students showed a professional stance and spoke well. I was impressed with the knowledge of their fields. 
Comment: Nice personal story at start! Font on initial slide too small to read from audience. 
Comment: Both presenters were excellent. Very clear and also showed excellent knowledge of project. Might include human relevance upfront to generate interest.  </t>
  </si>
  <si>
    <t xml:space="preserve">Comment: Great work! You may want to explore the use of ML
Comment: 
Comment: Great enthusiasm! Would be good to fully wait for audience question before answering.  
Comment: Very knowledgeable and well presented. Good effort at plant analogy. Still it was complex and perhaps less data and more focus would help the nonspecialist audience.  </t>
  </si>
  <si>
    <t xml:space="preserve">Comment: 
Comment: Great work, think of the next steps in your research.
Comment: Small fonts on some slides. Nice presentation. 
Comment: Overall very nice talk. Need to explain some technical aspects for the non specialist audience, eg imaginal disc, UAS sequence. </t>
  </si>
  <si>
    <t xml:space="preserve">Comment: Great work! You may want to increase your sampling size and see if the results change, particularly for genetic diversity 
Comment: 
Comment: Interesting question .  Some slide fonts are TOO small for audience to read! 
Comment: Generally well done and nice audience interaction. </t>
  </si>
  <si>
    <t xml:space="preserve">Comment: 
Comment: Great work, you may want to think on the next steps in your research 
Comment: 
Comment: Clearly knows the material and explains it very well. </t>
  </si>
  <si>
    <t xml:space="preserve">Comment: Wow! An exemplary presentation that answered all important questions a listener may wonder: Why is this research important? How did the presenter conduct the research, and more…. The presenter did a fabulous job of captivating the audience’s attention through a sophisticated approach to the interconnection between social conditions and music. 
Comment: 
Comment: Nice use of multimedia clips. Could have used a stronger argument about the significance of Wilson’s contributions. How would music today be different without him? Why does it matter? 
Comment: Speaker was able to present with confidence and to elaborate on his knowledge base during audience interaction
Comment: </t>
  </si>
  <si>
    <t xml:space="preserve">Comment: A very sophisticated presentation! I am truly impressed by theoretical richness of the project: “affect in action,” “affect accumulation,” and more. I have been reading about affect theory for the last few years, and I could say that the presenter has demonstrated a profound engagement with the previous scholarship! Truly amazing!
Comment: make text larger on slides please
Comment: Loved the recordings would have loved a live performance more! That would have more affect :) 
Comment: 
Comment: </t>
  </si>
  <si>
    <t>ALHENNAWY</t>
  </si>
  <si>
    <t>Ana Sofia</t>
  </si>
  <si>
    <t xml:space="preserve">Comment: A fabulous presentation about how different news outlets (English and Spanish) talk about women protesters (in Mexico city). This is very timely and crucial to ensure that news outlets recognize women’s agency. Also, the handouts that were distributed before the presentation were very helpful. The presentation was very clear and well-organized. For future revisions, I would encourage spending more time to interpret the data.
Comment: 
Comment: Lots of different directions this research could go in. You should continue to build this body of work 
Comment: </t>
  </si>
  <si>
    <t xml:space="preserve">Comment: You could write a whole book about how law and justice is represented on stage throughout American history. That would be fascinating 
Comment: very dramatic presentation!  very relevant topic
Comment: A very engaging and insightful presentation (a few images in the powerpoint would be good too). Also, spending a bit more time on different understandings of justice among different communities in melodramas would help as well. 
Comment: </t>
  </si>
  <si>
    <t>Comment: 
Comment: Interesting research, learned a good deal about quantum physics, fascinating about mass vs vibrations theory.  Well done, clear pwpt
For layman could have more laymen language 
Comment: Great talk, thank you! I found your presentation interesting and I felt like I learned something from it-- you are a good teacher too! This skill of being able to explain complex and dense topics in clear and understandable language to a crowd of folks who are not experts (like me) is very valuable. Your work sounds important and you are clearly poised to continue succeeding in this field. One comment to improve the talk is to try to reduce the relatively text-heavy slides-- I know this is difficult to do when you are explaining so much background detail in order to lend significance to your results, but it can be overwhelming to the audience when the slide has so much to read. Keep up the great work!  
Comment: Very good presenting style. Although the talk was a bit quick, it was easy to follow. The visuals were understandable. Suggest slowing down when speaking. Again, it was fast, but still able to follow.</t>
  </si>
  <si>
    <t>Comment: 
Comment: Very unique and significant way to change up for how things are done and for to think outside of the box to create new ways to better the field. Great presentation
Comment: Great talk, thank you! I appreciated your ability to convey very complex information and methods to an audience who might not be experts (like me!). You spoke clearly and demonstrated a mastery of the knowledge needed for this research. You fielded the questions of the room really well, too! One comment I have to improve the audience's experience during your talks would be to attempt to reduce the text-heavy slides. I know this is difficult to do when you are trying to fit in a lot of background information and motivation in a 10 minute talk, but it can be overwhelming to have so much text on certain slides-- as if we are supposed to read the details when the majority of what we are soaking in is what you are saying. If something flew by, there is always an opportunity for someone in the audience to ask more details about some particular aspect that was left off of a slide for the sake of visual aesthetic. Keep up the good work, it is wonderful to see you succeeding in this field and creating something that will help many other researchers (and eventually the entire human race if we need to find an exoplanet to move to). 
Comment: The presentation was good and the presenter clearly knew her topic and research. Speak more clearly. That would go a long way to better understanding the complexity of the study. Also, make it very clear in the beginning that the whole of the study is done with created data, meaning artificially created (generated) data. And if the sampling for experiments also used created data, make sure that is clear as well.</t>
  </si>
  <si>
    <t>A Search for Additional Planets in Kepler-16 and Kepler-34</t>
  </si>
  <si>
    <t>Comment: 
Comment: Fascinating findings, very good pwpt slides with great chart info. Not in the field so couldn’t understand some lingo.  Presenter spoke loud and clear, could use more eye contact and less “umms” but it don’t distract from the information
Comment: Great talk, thank you! I thought your presentation was clear, had the right amount of motivation, and you did a fine job at conveying complicated methods to an audience that mixed with experts and non-experts (like me!) 
I really appreciate the fact that you presented on data and work that actually did not result in "a candidate". The reason why this is important is because as researchers, we can often feel that presenting or publishing on work that didn't result in the big result we were looking for can feel disappointing-- but the result here is that you didn't find a candidate with the methods and data you used... there's nothing wrong with that! Disseminating these results ameliorates issues with "grey literature" and what is called "the file drawer problem". The file drawer problem is essentially the idea that "insignificant" results are often not published because they don't have "pizazz" or they are not "flashy" and they are sent to a file drawer to live forever, unread. The problem with this is that the lack of this data out there could imply to another researcher elsewhere interested in the same question to repeat the exact process to find similar results-- when they wouldn't have to if they had heard about this so-called "insignificant" result. 
Two comments I would have that might improve your talk is to reduce text-heavy slides and try not to allow yourself to fidget or repeat certain motions as much. I know it is nerve-wracking to be up there in front of professors and others you don't know. Just for your information, if you did not notice yourself, I noticed a few motions/actions that you repeated several times potentially subconsciously-- adjusting your glasses, moving your hair, saying "um" and putting your hands in and out of your pockets. I'm not saying this detracted from your talk all that much, but as a constructive criticism from someone who deals with anxiety in front of groups while public speaking, sometimes it is helpful to hear from someone what those motions were so that you might work on reducing them in the future. 
It was great to see you succeeding in this field and I want to motivate you to continue and build on the skills you already have-- keep up the great work!! 
Comment: The presentation slides were put together well. The presenter knew the material and could readily respond to questions. Needs much better eye contact with the audience. Spent a great deal of time talking to the slides instead of the audience. Also spoke very quickly and went very quickly through some key points in the methods and results.</t>
  </si>
  <si>
    <t>Comment: 
Comment: Very significant research to help first responders with forest fires in the future
Great charts and info on slides
Presenter spoke clearly, could more eye contact throughout the room versus one area only
Comment: Presenter answered questions very well. Needed to present to the whole room, not just one side of it. The presenter also needed to  project a little more. At times, she was difficult to hear. The organization of the slides was very good. 
Comment: Thanks for a great talk! I think you are not only a great researcher, but also a great teacher-- I learned something during your talk and that's more I can say for some others I saw today! I think this is important work because as I said in my comment/question after your talk, results from your work can save lives when this type of fire event inevitably occurs again. Your talk was clear and understandable with lots of information to convey in a short time, and you did a great job of speaking to the audience that was a mix of experts and non-experts (like me!) One thing I would comment on that might improve the experience of the audience in your talks is the reduction of text-heavy slides. This did not occur too often in your talk, but It can be overwhelming when there is a lot of text on a slide and it feels like we are meant to read all of it. In reality, it seems the audience soaks in a lot more of the information you are speaking rather than what we read on a slide. That being said, you can reduce the amount of detailed text information that is already being spoken and if anyone has any questions about it, there is always time for them to ask for clarification afterwards. It is a careful balance though, I know. It was great seeing you succeed in this field and I want to encourage you to keep up the great work! 
Comment: Very nice presentation. She knew her  material and was able to respond appropriately to audience questions. Consider indicating the area (size) of the study, meaning, how many acres the study covers. Also, include a little more detail on the process of differentiating between dead trees and new growth or live trees.</t>
  </si>
  <si>
    <t xml:space="preserve">Comment: Phenomenal presentation and very informative. 
Comment: </t>
  </si>
  <si>
    <t>Flow quality survey of the SDSU Low Speed Wind Tunnel test section using planar PIV</t>
  </si>
  <si>
    <t>Comment: Someone needs to take a course in public speaking! Too many "ahs".</t>
  </si>
  <si>
    <t>Comment: Her explanation was clear and the visual aids were very understandable 
Comment: Good work for identification of flaws in materials or structures 
Comment: Very clear and concise presentation. Work on more audience interaction to provide a more engaging presentation. Overall great job.</t>
  </si>
  <si>
    <t>Pruitt</t>
  </si>
  <si>
    <t>Atomization Feature Identification Tracking and Analysis</t>
  </si>
  <si>
    <t>Comment: 
Comment: Good work for identifying the automozation process of any liquids or fluids 
Comment: Great presentation and explanations. I would maybe include real world examples of the atomization process for your future presentations especially for audiences less familiar with the topic.</t>
  </si>
  <si>
    <t>Comment: This work is helpful to reduce the road accidents.
Comment: This project is very helpful for the society since there is projection to bring it up to real life scenarios 
Comment: Great job on the presentation. The pdf mode for presenting was slightly distracting and some things were difficult to see, but you described the research very well and it definitely seems like an interesting and necessary study.</t>
  </si>
  <si>
    <t xml:space="preserve">Comment: The explanation was clear and the distribution of data was proper. He answered all questions without hesitate 
Comment: Great work to manufacture any kund of nature inspire lattice structures.
Comment: Presentation was very well executed. Maybe include some research implications, like why your research will advance this field. </t>
  </si>
  <si>
    <t>Ramin</t>
  </si>
  <si>
    <t>Comment: The presenter did not manage the time well and overpassed the time limit. He needs to improve the way he organize and summarize the information.  Other than that, the topic was well explained and interesting 
Comment: Good presentation. Went a little long so maybe work on conciseness when describing the different aspects of your project.
Comment: This work is helpful to design of CLT structures.</t>
  </si>
  <si>
    <t xml:space="preserve">Comment: Great presentation. Very cool project, maybe save the video for the end if you have time or make it shorter, but it was a cool video.
Comment: The presentation was clear and the materials used were helpful to make people understand the research. 
Comment: Excellent manufacturing method to fabricate any complex fiber reinforced polymer composites which is most demanding materials in aerospace, automotive as well as any building materials. </t>
  </si>
  <si>
    <t xml:space="preserve">Comment: Thank you for your presentation. Nice work with laying out the problem in an engaging way. Very closely tied to the situation from personal experience. The passion for this issue come through in the presentation. Methods were outlined, but not very clear on how you recruited participants. While some of conclusions may be drawn from the interviews and your experience, it is still unclear with data how this policy implementations has direct effect on negative outcomes on the youth. 
Comment: Great background description of research presentation. Work on more description of policy and more in depth of problem statement. You are passionate about your research. Great stuff.
Comment: </t>
  </si>
  <si>
    <t xml:space="preserve">Comment:  interesting research.  Would like to see examples or the use of current life scenarios to support uour research. Great information shared. Great use of music and explaining what we listened to.  The breakdown of the audio was really interesting. 
Comment: Good presentation. Very interesting attempting to explain the musical accomplishments of composer that is not living and wasn't around when current diagnosis exist. In laying out your talking points to those in the audience, you could have dedicated some time to explain the various terms and phrases that might not have knowledge in this area.  Very interesting conceptualization on viewing mental health. This further move to a holistic approach would appear not just have impact on music and mental health, but mental health in general. 
Comment: </t>
  </si>
  <si>
    <t xml:space="preserve">Comment: Great explanation of deodorizing, racial capitalism and the impact it had in the black community. This is great in that it shows how far the African American community has come from in the U.S
Comment: Thank you for your presentation. I highly important subject matter that needs to be discussed. Appreciate the journey you took the group on to explain your topic, especially for those that might not know much about this topic other then what they hear in the news. I would encourage you to think about practical, on the ground, implications for this research and how it could benefit the community today.
Comment: </t>
  </si>
  <si>
    <t>Nix</t>
  </si>
  <si>
    <t>Does Fair Exist? - A Case Study on Ethics, Decision-Making, and Leadership in the 9/11 Victim Compensation Fund as Shown in the Film “Worth”</t>
  </si>
  <si>
    <t>Foad</t>
  </si>
  <si>
    <t xml:space="preserve">Comment: Thank you for your presentation. Clearly showed how your research will impact the current subject matter. Additionally, I would encourage you to lay your thoughts out a little more plainly. Great data set and I would be interested in seeing where you take this data.
Comment: Great job, your presentation was thoroughly enjoyable and important. I appreciated the way you presented...I know you were trying to speak verbatim to what you may have practiced, but a lot of it came out as if you were just speaking to us so that we could understand. For visuals, I would recommend breaking them into additional slides, providing more bullet points and clarity with charts, etc. Great job!
Comment: </t>
  </si>
  <si>
    <t xml:space="preserve">Comment: Great presentation.Great oral presentation skills, you had a clear passion for this subject and a depth of knowledge about the subject area. Be aware that not everyone understands the topic or discipline as deeply as you do - you clearly have spent a lot of time with this subject but in a few spots, I had trouble following your arguments because I got stuck on some of the terms.
Excellent discussion with the audience, helped to understand a lot more of what you meant by some of the terms and what the implications of the scoping review are. Your discussion with the audience was really engaging.
Comment: Very complex and compelling meta analysis - handled impressively with presence and conviction - wish I’d had a glossary of terms! </t>
  </si>
  <si>
    <t>Comment: 
Comment: Wonderful and inspiring ability to present with clarity and impact on a very timely and important topic. Hope more research is funded - 
Comment: Great presentation and very interesting topic. I appreciated the discussion of potential barriers to diagnoses and potential issues with using ACEs in research. 
A few things to think about - I think you know the material really well so just speak from the heart (you don't need the phone). A few of the slides had a lot of text on them so you could think about either providing more of a bullet point format or splitting on to two or more slides (e.g., slide about endo and about ACEs). Finally, try to identify the acronym for the audience the first time it's used  (e.g., EIC on your hypothesis slide). These are all minor, great job!</t>
  </si>
  <si>
    <t xml:space="preserve">Comment: 
Comment: Very interesting presentation. It was great to see the interaction between the presenters. Very dynamic presentation style. Interesting results and the methods were well-presented, especially related to your explanation of diphthongization. A few technical issues (e.g., trying to play the specific prompts from the survey) but you both recovered well. Great interaction with the audience and you both answered the questions really well. Great job!
Comment: Very well done and important work. Well presented as a team and with passion and clarity. </t>
  </si>
  <si>
    <t>Mayra</t>
  </si>
  <si>
    <t>Lianne</t>
  </si>
  <si>
    <t>Urada</t>
  </si>
  <si>
    <t>Comment: Great presentation style, clear that you know a lot about your subject. Be careful with the terms female and woman or male and man, they're not interchangeable (e.g., on your Results slide on BBB's impact on MH 1-3 month follow-up). 
Very interesting results, especially related to libraries as a potential source of support for the target population. Excellent knowledge of statistics and literature related to the unhoused population in San Diego. Great work!</t>
  </si>
  <si>
    <t>Comment: Great presentation and very interesting topic, especially in the first year of your master's program! You seemed a bit nervous during the presentation, but you seemed to get more comfortable as you went through. Try practicing a little more ahead of time and maybe ask others for some potential questions from presenters so that you can practice responses. But overall, great job!</t>
  </si>
  <si>
    <t>Comment: GREAT presentation! Clear knowledge and facility with research area, the data, methods, etc. Very strong presentation style. You showed a lot of passion for your subject and were prepared for audience questions. Excellent work.</t>
  </si>
  <si>
    <t>Comment: 
Comment: This was a very good presentation. Both presenters spoke to the audience and knew the material of their subject. The connection between brownfields and community perceptions of exposure to health hazards remained unclear. As mentioned during the presentation, if research continues, a Tagalog translator is a must. It is in this way a larger and more diverse sample size can be acheived for analysis.</t>
  </si>
  <si>
    <t>Comment: Powerpoints were too wordy but presentation was well-prepared.
Comment: An interesting topic. Beautiful presentation style, akin to teaching in a classroom. An important thing to note is the sample size. Eight is extremely small. To limit your sample population to the tutor staff and not seek a larger campus latinx population to gather additional data on which to base your conclusion may be considered bias, especially if using the conclusion to support or promote action. Just a thought.</t>
  </si>
  <si>
    <t>Comment: More infographics may be helpful
Comment: He did quite well with answering questions. And the research topic is an interesting one.  Unfortunately, the delivery of the presentation was not as polished as it could have been. Perhaps slowing down while speaking and using less slides may have helped. He went too fast through the data slides and there were no legends on the maps to show what the color scale was representing. The answer of "my biostatistician suggested it" is not a good response to the decision to use backwards stepwise regression over another regression method. Try the others to give a more authoritative response to such a  question in the future.</t>
  </si>
  <si>
    <t>Comment: Great knowledge. Delivery needs work
Comment: An interesting topic, especially given political events that coincided with the period of time being discussed. It was hugely  unfortunate that the presenter read her entire presentation instead of presenting the study. After the first few minutes it became difficult to stay engaged. The slides would have  been more useful with a mapped visualization of the region  of which she was speaking. And just as important, speak louder. If the presentation is being read and the presenter is speaking softly, the audience becomes disinterested.</t>
  </si>
  <si>
    <t>Comment: Excellent delivery and enthusiasm.
Comment: Very good presentation and an attention-grabbing topic, considering there is quite a bit of trash floating in our ocean waters. The organization of the slides had  a really good flow. Some things to consider: The riverbed is "home" to a large unsheltered population. As that was pointed to in the presentation, if it is not within the scope of the study,  make sure to indicate that fact. Meaning, if the intent of the study is only to identify those areas where trash is prevelant, make that very clear in the presentation. Also, make sure to present to the audience, not to the slides (or projector screen). It was evident that the content of the presentation was well rehearsed, which is great. Just make more eye contact with the audience. And the Q&amp;A session was quite well handled, including the questions that were clearly outside  the scope of the research.</t>
  </si>
  <si>
    <t>Comment: Very impressive presentation. The presenter did a great  job in conveying difficult health measurement concepts. And the slide with the examples of alcohol was helpful in understanding how the measurements (self-reported and otherwise) were quantified. Excellent  job in the Q&amp;A portion of the presentation. A suggestion  would be to  expound a little more on the correlation between heavy drinking and HIV as it relates to an increase or decrease in treatment/symptoms/mortality rates. That would be interesting to see, given the  involvement of alcohol and the affected population. Again, impressive presentation.</t>
  </si>
  <si>
    <t>Comment: Fascinating story and connection to the artist. For such a visual treat I would have loved more to look at. More slides and more examples 
Comment: Great inclusion of different media and strong imagery. Reading off pretension was ok but speaking of it would make it more personable.  The photos taken were viceral</t>
  </si>
  <si>
    <t xml:space="preserve">Comment: Interesting but very early in the research process. Would love to find what you uncover 
Comment: 
Comment: Interesting topic especially for the music but all other fields regarding gender conformity
One of the best presenters regarding public speaking and eye contact and clarity.  </t>
  </si>
  <si>
    <t>Comment: Very articulate and thoughtful presentation. Would love to see this theory extended to Jim Henson’s body of work 
Comment: 
Comment: Unique research on the film, I will never watch it the same again! Great easy to file pwpt with pics. Presented well, loud clear good pace, and good eye contact. Easy to follow with sounds points on topic</t>
  </si>
  <si>
    <t>Comment: Great monkey pictures. Well presented study that has a lot of potential for further research 
Comment: 
Comment: Research has significance on the effects with nature, will be great to continue use. Pwpt has great pics supporting presentation and easy to follow. Presenter spoke at good pace with annunciation and easy to follow.  Very energetic and smiled which helped keep the audience interested</t>
  </si>
  <si>
    <t>Comment: Professionally dressed and presenting skills were clearly at doctoral student level. Spoke at level appropriate to the audience. Topic especially significant today. Fielded questions with ease.
Comment: Great project.  Congratulations. You address questions very competently. 
Comment: Catherine provided a clear explanation of a complex analysis through her oral presentation and her visual. I would have liked to have seen the full model written out, but I understand the focus on the significant variables. Her answers to questions were clear and demonstrated her command of and passion for the topic. I am thrilled with the research topic, as more research is needed on rural education!
Comment: This was very well organized and the researcher clearly understands her materials and her methodology. She handled all of the questions well. It was a lot of information. She really understands her topic and how she conducted her research. It is unique that it focuses on rural first gen which we do not know as much about. It was hard to cover the whole dissertation in 10 minutes and might have been better to focus on one finding and expand upon it.</t>
  </si>
  <si>
    <t>Incorporating Culturally Relevant Pedagogy in Chemistry to Promote Success for Women of Color in STEM</t>
  </si>
  <si>
    <t>Comment: Professional appearance and delivery. Rational for selecting research topic current and relevant with drive for inclusion. Content on point. Well done.
Comment: Elizabeth is exploring a very important topic. Her problem statement presentation was particularly compelling. Her visuals really helped to illustrate her ideas. I would love to see more synthesis across the literature before she shares her conclusions and implications so the audience can get a better sense of the gap she wants to address and her rationale for future directions
Comment: This was a tremendous presentation. Extremely clear and very well presented. Having STEM educators incorporate culturally relevant pedagogy is critically important but also I think she'll learn that there is more being done than she may realize.  Again - this was a lit review in a session with a lot of doctoral dissertations well on their way. So a wonderful wonderful presentation but very early on. Looking forward to seeing it further down the road!</t>
  </si>
  <si>
    <t>Breaking the Beta: A Critical Inquiry into Problem-Solving</t>
  </si>
  <si>
    <t>Comment: Animated speaker started immediately involving the audience. Rationale for study great. 
Comment: Super creative project! I also had the same question about how to link the information gathered in your step one to the creation of math problems, but you clarified it. 
Comment: Absolutely brilliant idea and the presenter has an incredibly grasp of the theory and cutting edge theory. Very engaging presentation style. What was hard was to grasp where the research is going and I think that's because it's still in it's development stage and very grounded in its approach. So it was hard to get the ultimate impact. I think we got lost a bit and may have lost the potential of this potentially very very important work.
Comment: This was an outstanding presentation of a very original research project. The visuals and presence were excellent. I loved the infusion of humor. What I particularly valued was the way that Gabriela unapologetically brought her authentic self into both her research and her presentation. This authentic infusion of identity and research is needed to bring about meaningful change! The Q&amp;A conversation surfaced that the link between phases 1 &amp; 2 require more clarity. Great project</t>
  </si>
  <si>
    <t>Comment: Professional in appearance and delivery. Had more info than could be shared in 10 min. Great job.
Comment: Great project with fantastic potential to support math learning. I appreciate your finding about power imbalance as a reason for why NPM works. 
Comment: Solid work and solid presentation. We know a lot about near peer mentor programs and their efficacy but these are important elements. Similar to another presentation I think presenting the entirety of the work was problematic. This would have received excellents in some categories but the presenter had to rush (I was moderating and to be fair I was keeping a tight time limit). It's too much to present an entire dissertation in 10 minutes. But overall the presenter is well versed in this area and has a good understanding of the higher ed landscape.
Comment: Clearly identified gap.Slides clearly explained all important elements of the research project. One implication was regarding the importance of peer mentoring for an emerging Hispanic serving institution, and so more info on demographics of participants and those who used the program would have strengthened the presentation. Brinley was confident in her presentation and in audience interactions. Overall it was a very complete presentation and well designed study.</t>
  </si>
  <si>
    <t>Comment: Animated speaker at enjoyable level. Speaking very rapidly to offset time limitation.  Study needs further work, very valuable.
Comment: Great project! So interesting that students did not believe they were doing real programming. You addressed questions and comments beautifully!
Comment: This was a great presentation but, again, the presenter had to rush and it really impacted his style. The work is very important -- to me it may have the most significance for reducing equity gaps of any of the work I've seen lately. He was brought into someone else's class so I"m not sure how much of this is his idea, or hers; I wish I'd probed on that. It might make a difference in how I view it. But he really really understands his work and its implications and I really liked what they're doing.
Comment: Austin brought a lot of energy to his end-of-the-day presentation. The slides were well designed and the topic is one that needs more exploration. The methods appear solid and the findings have exciting implications for equity in STEM. I’m particularly interested in his future research ideas of exploring student perceptions of the legitimacy of the class coding instruction. I wonder if student identity (as a non-coder) plays a role.</t>
  </si>
  <si>
    <t>Comment: The presentation offered many ideas and methods for engagement, however, the presenter was trying to cram a lot of information into the presentation which led to a rushed feeling. Offering a bit more demographic information would be helpful to contextualize analysis and results. Clarifying the relationship between the music and the dialogue would help to clarify how others interpret the lyrics. 
Comment: 
Comment: 
Comment: The question of positionality is important but for a quick presentation should be much more concise, particularly as the rest of the information felt rushed. The presenter did not introduce the project by title, takes for granted that we will know who this artist is, and did not explain why they chose this artist (vs another one), what lyrics were meaningful, or how they met the participating subjects. The idea of using music to heal is not new, but the particular feminist/Latinx methodology can certainly revitalize and alter perspectives on what healing is, and how it can be enacted in community settings. To that end, the student should showcase their own interventions more clearly. Particularly novel in this kind of approach is its function/place in academia (as I believe the student commented that the other participants were also grad students). Curious about how the one participant who was not Mexican/Mex-Am. experienced this engagement. In the Q&amp;A project became clearer.  This is undoubtedly an important perspective to have in US education, and I would have liked for a conclusion to address broader implications, ideas for broader applicability/practice.</t>
  </si>
  <si>
    <t>Lexical Borrowings from english to spanish in Baja California (México) and Madrid (España)</t>
  </si>
  <si>
    <t xml:space="preserve">Comment: 
Comment: The presentation maintained a clear focus and student has a sense of direction for research left to complete. It will be exciting to revisit the project upon completion to get a better understanding of the process of translation and performance.
Comment: 
Comment: This was the mostly clearly organized presentation I attended. My only advice would be to have a clear explanation on whether the project has an original contribution to translation or theater studies, as it seemed to me to follow the conventions of translation practice. </t>
  </si>
  <si>
    <t>"Now, by my injuries, old man!” A Dramatic Presentation, In 5 acts. As altered for the SDSU Student Symposium.</t>
  </si>
  <si>
    <t xml:space="preserve">Comment: Throughly engaging. 
Comment: The presentation engaged important ideas about how these plays helped form a cultural response to the foundations of American society. I would encourage the student to proofread the presentation slides and provide a bit more context to some of the characters presented. 
Comment: 
Comment: Certainly an interesting topic, but while the student is clear in explaining that they are drawing together work on melodrama and the new context of a changing motion of democracy, it is unclear what their original contribution (even in the form of synthesis) might be. They began the presentation by alluding to the construction of a national identity, but since the previous presentations had been on Mexico, Japan, etc., and Bluebeard at least originated in Europe, I had no idea what country they were referring to until the presentation was halfway through. It is also meaningful that “national identity” is highly limited in their timeframe of interest to a few former colonies. Perhaps some over-reliance on a single secondary source, and the student may benefit from doing their own primary source research. The student rushed through the most meaningful slides. 10 minutes is indeed short but we are here to learn and enjoy — please slow down so we can savor your thoughts and build our own understandings of them. Mentions middle class, I was also curious about working/lower/begging classes, any mention of enslaved groups, etc. </t>
  </si>
  <si>
    <t xml:space="preserve">Comment: Presentation was clear and organized. It would be interesting to provide a bit more detail about selection of interviewees and how presenter is navigating notions of trauma. 
Comment: 
Comment: 
Comment: Excellent job at identifying an important gap and potential significance. However, the question of IRB is a crucial one, as it can take years for IRB approval regarding human subjects and trauma. It would be horrible for the research to end up being unusable due to this problem. Phenomenal presentation style in terms of professionalism, organization, hook; however, please be louder. </t>
  </si>
  <si>
    <t xml:space="preserve">Comment: 
Comment: Presentation was well organized, clear and offered a clear action plan for supporting conservation efforts. It would be interesting for student to present some ideas/models for better presentation of signage. 
Comment: 
Comment: The research questions are interesting and important, as is the takeaway that signs should be more accessible and have a clearer call to action. However, I am unclear why so much research had to be done to make those claims. In the humanities, the final takeaway from the project goes without saying. If there is something deeper here, it should be more clearly articulated. </t>
  </si>
  <si>
    <t>Comment: presenter was unable to present</t>
  </si>
  <si>
    <t>Comment: 
Comment: very nice: you use some terms like "colorway" that might want an explanation. Interesting presentation and question. The slides were very captivating and helped but also may have distracted us viewers. If you had more time, give time for audience to check out the slides and be sure to refer explicitly to this or that aspect of them. Overall, nice job.
Comment: 
Comment: Well-rehearsed and confident presentation. 
Clear research questions and methodology, but I would have liked to have a slide that matched what the presenter was saying.
Strongly grounded in academic literature.
Really interesting topic with lots of exciting examples.
Great response to questions, especially the question about methodology -- add your answer to that question to your presentation. 
Many people are going to be very interested in this.
Think more about gender and race!</t>
  </si>
  <si>
    <t>Comment: 
Comment: I'd like to see a more explicit connection between slides and talk, e.g., with "Indian Princess" troupe, it was difficult for me to connect what was said with the images. Otherwise, the presentation was energetic and original. Thanks.
Comment: 
Comment: Really interesting topic on one of my favorite movies. Compelling thesis with the application of decolonial concepts. The beginning was really strong -- making the case for why art matters! Over time, the points the presenter were making got a bit muddled, and I was a bit confused about how the presenter was applying the concepts of "relationality" and "assimilation." The presenter lost me a bit when she was equating Tupac with gang violence. I encourage the presenter to keep honing in on their main point and using evidence to back it up.</t>
  </si>
  <si>
    <t xml:space="preserve">Comment: 
Comment: Great presentation skills—projection and captivating the audience. I wish the research methodologies had been presented in a clearer fashion. 
Comment: The research contribution is poor. So the presenter should discuss their particular contribution in the presentation.  </t>
  </si>
  <si>
    <t xml:space="preserve">Comment: 
Comment: The presentation is well but the candidate should discuss more about research works. 
Comment: I thought Ryan’s projection and eye contact were great. Presentation did feel a but rushed and I think the methodologies and information about next steps could have been further expanded upon. </t>
  </si>
  <si>
    <t>Meysam</t>
  </si>
  <si>
    <t>Comment: Excellent presenter and very engaging with audience. As someone not from a STEM background, I did find it quite difficult to follow. 
Comment: 
Comment: Good technique to manufacture conductive  thin film</t>
  </si>
  <si>
    <t xml:space="preserve">Comment: Very interesting topic and could tell he is passionate about his research. Presentation felt a bit rushed and I think methodologies could have been better explained. Great at answering audience questions—very knowledgable 
Comment: Good presentation </t>
  </si>
  <si>
    <t>Maraliz</t>
  </si>
  <si>
    <t>Science-Based Art Activities Facilitate the Development of Scientific Knowledge and Techniques in Pre-Service Teachers</t>
  </si>
  <si>
    <t>Kathleen</t>
  </si>
  <si>
    <t xml:space="preserve">Comment: The research in this project was very relevant and impactful. The presentation was very clear in methodology, scope, and data. </t>
  </si>
  <si>
    <t>“So Someone Like Me Can Be in Academia?” The Role of Mentoring in a Community College Undergraduate Research Program</t>
  </si>
  <si>
    <t>Vasquez</t>
  </si>
  <si>
    <t xml:space="preserve">Comment: The research was interesting and valuable, but two of the four presenters seemed very disinterested especially during the Q&amp;A. Danielle led the Q&amp;A and the other presenters did not do much to aid her in answering audience questions. They relied a little too much on notecards but overall they still did a good job. </t>
  </si>
  <si>
    <t xml:space="preserve">Comment: The research was relevant and well presented. The presenters were knowledgable but relied a little too heavily on their notecards. </t>
  </si>
  <si>
    <t xml:space="preserve">Comment: Great presentation of a very timely topic. This presenter handled the Q&amp;A section especially well as some very tough questions were being asked. </t>
  </si>
  <si>
    <t>Estrada Silvestre</t>
  </si>
  <si>
    <t>Daniel</t>
  </si>
  <si>
    <t xml:space="preserve">Comment: This was the best presentation of the panel. The presenter was very well organized, the PowerPoint was extremely well done, and she was extremely knowledgable of her subject. The way she visualized her data in the PowerPoint was especially insightful and engaging. </t>
  </si>
  <si>
    <t>Magdalen</t>
  </si>
  <si>
    <t xml:space="preserve">Comment: Seemed very confident and passionate about their project. Exceptional delivery of content. Answered questions efficiently. Excellent job! 
Comment: Really clear presentation on an important topic!! Starts would have been nice to determine which results to pay more attention to, but great study!
Comment: This was an excellent presentation of a very interesting study. The presenters were poised, well versed in their topic, and answered questions confidently and clearly. 
Comment: Wonderful job on the research itself as well as presenting it. This is important research! Thanks for caring and doing a nice job. Enjoyable to listen to, you had a good command of the information you shared. Well done!
Comment: This work is so necessary especially when thinking about accessibility. Overall, the findings were interesting and relevant. Great immediate interaction and acknowledgement of the audience. Thorough knowledge of the topic. Some advice for future presentations is to go through the methodology to highlight the reliability and validity of the research approach. Great job discussing future research and community engagement with the purpose of this project. </t>
  </si>
  <si>
    <t>Comment: 
Comment: Very interesting study on Adverse Childhood Experiences and their long term consequences. The poster was a bit busy word wise and the bar graphs lacked error bars, but otherwise very clear presentation!
Comment: Thus was a well done presentation of an interesting study! The presenter did a nice job explaining the study and responding to questions. 
Comment: Wonderful job on the research itself as well as presenting it. This is important research! Thanks for caring and doing a nice job. Enjoyable to listen to, you had a good command of the information you shared. You addressed what I perceived as a potential limitation, which was the small variance in Shipley scores because of the audience (college students). Well done and good luck in the future!</t>
  </si>
  <si>
    <t>Simard</t>
  </si>
  <si>
    <t>Binge drinking is associated with altered neurobehavioral indices of cognitive control: Local and network - level fMRI analysis</t>
  </si>
  <si>
    <t>Comment: 
Comment: Interesting study on the effect of binge drinking on cognition. The presentation was a bit vague and colloquial, but good job otherwise.
Comment: Nice presentation of an interesting study. The methodology left me with some questions about how participant characteristics, such as recency of binge drinking, may influence outcomes; the presenter did a nice job handling questions about it. 
Comment: Wonderful job on the research itself as well as presenting it. This is important research! Thanks for caring and doing a great job. Enjoyable to listen to, you had a good command of the information you shared. I can see the potential for future research. Well done! Good luck in whatever you do after graduation!</t>
  </si>
  <si>
    <t>Comment: Did not seem as confident in her project but delivered content well. 
Comment: Interesting study on Hispanic,/Latine stroke survivors and sex differences. Many participants which is a big plus. It would have been nice to have more info on the participants if available, especially concerning risk factors for stroke. But great job overall!
Comment: Nice presentation on an interesting topic. The presenter engaged well with specific questions about the participants and how the minimal detail available about them (e.g., presence of language disorder after stroke, site/side of lesion) may influence the ability to interpret the data. It would have been good for her to have a clearer understanding of, and ability to interpret, the research results (e.g., why the vegetable fluency task was the only one highlighted when there were several other results with seemingly significant results). Overall, though, a good presentation! 
Comment: Wonderful job on the research itself as well as presenting it. Thanks for caring and doing a great job. Enjoyable to listen to, you had a good command of the information you shared. If I can give constructive advice - it would be great if you speak a little louder. As females, we need to be encouraged to speak up, be proud and confident of what we are saying/presenting. I will encourage you to know that you are saying important things and don’t hesitate to be a little louder. I can see the potential for future research. Well done! Good luck in whatever you do after graduation!</t>
  </si>
  <si>
    <t xml:space="preserve">Comment: 
Comment: Excellent presentation on a very important topic: how the time spent in social media influences body image and satisfaction. Great presentation by a very knowledgeable and personable student. Has good future directions identified. 
Comment: Wonderful job on the research itself as well as presenting it. This research is SO needed!! I want to shout it from the rooftops. Thanks for caring and doing a great job. Enjoyable to listen to, you had a good command of the information you shared. I can see the potential for future research…in fact, I want to be told when you extend it and what your findings are. :-)  Well done! Good luck in whatever you do after graduation!
Comment: Nice job with a very interesting project! Presentation was clear and well delivered. The presenter did fairly well responding to questions and considering factors that may have influenced outcomes. Well done! 
Comment: Great presentation, interaction, and engagement. The critical thinking and thoughts around future research were solid. Considerations for future would be to highlight previous literature a little more to discuss the gaps and contributions to scientific resarch and how this is significant, but overall, great job. </t>
  </si>
  <si>
    <t>The Influence of Phonetic Complexity on Speech Motor Control in Children with Cerebral Palsy</t>
  </si>
  <si>
    <t xml:space="preserve">Comment: 
Comment: Excellent presentation about cerebral palsy and its effect on switch articulation. The methodology is impressive and uses optical motion capture to measure the movements of different articulators. There were no differences between the typically developing children and those with CP but the presented potential reasons made sense. Great job!!
Comment: Wonderful job on the research itself as well as presenting it. Thanks for caring and doing a great job. Enjoyable to listen to, you had a good command of the information you shared. I can see the potential for future research and love that you were able to vocalize what could be done in future data collections. Also good to see that you have an understanding of how this research can be used to positively impact lives. Well done! Good luck in whatever you do after graduation!
Comment: Nice presentation on a complex project. The presenter answered most questions well and was confident in her presentation overall. </t>
  </si>
  <si>
    <t>Isaac</t>
  </si>
  <si>
    <t>Comment: 
Comment: Wonderful job presenting the research. I can see that this is important research! Thanks for caring and doing a great job. Enjoyable to listen to, you had a good command of the information you shared. I can see the potential for future research and how it can free up resources down the line. Well done! Good luck in whatever you do after graduation!
Comment: Excellent presentation on very interesting work! 
Comment: Very interesting presentation and original work! Motivated and convincing students. Great job!</t>
  </si>
  <si>
    <t xml:space="preserve">Comment: This researcher was clearly well versed in the project and passionate about the work. She did a great job addressing questions and acknowledging areas for further research. I suggest speaking louder, particularly when facing the poster to be better heard in this noisy environment. 
Comment: Great presentation and the content was organized well
Comment: I think that the research is very interesting, and the methods are pretty solid. It would have been helpful to include graphs related to other IVs (e.g., frequency of use), not just age
Comment: Presenter had strong communication skills and demonstrated a thorough understanding of the subject. </t>
  </si>
  <si>
    <t xml:space="preserve">Comment: Great energetic delivery, not reading from the poster as many others did. Confident and able to address questions. 
Comment: The content was presented well and I like that they had ideas about activate their findings, increased sample size would have helped but understandable given limitations of study period 
Comment: The purpose of the study is straightforward. The sample seems to be small. It would be better to employ a theoretical framework.
Comment: The presenter did a fantastic job clearly discussing the project and had strong communication skills. Also appreciated the visual diagram of the findings. Suggestions to enhance the innovation of the work is to either tailor the work specifically to the SDSU community or consider investigating differences in racial groups. </t>
  </si>
  <si>
    <t>Jacob</t>
  </si>
  <si>
    <t xml:space="preserve">Comment: Using social networks is an interesting lens through which to explore the efficacy of these protocols. This information could be highly beneficial to the communities who may have failed to include some of the most powerful participants shown to be common among other communities. Adding some specific examples of who the blue squares represent would ease understandability of the poster. 
Comment: The presentation was very clear and engaging. The study seems to be original, and the methods were solid. It would have been better to indicate a little more clearly why this study chose those actors (communities) among other variables
Comment: Presenter had strong presentation skills and demonstrated a thorough understanding on the subject. Suggestions for improvement include minimizing text included on poster. </t>
  </si>
  <si>
    <t xml:space="preserve">Comment: I think that there’re some practical values of the study, but the theoretical values seem lacking. I would suggest to employ a theory or framework to explain the results. 
Comment: Very strong team that highlighted an important problem in imperial county. They presented well as a team. I would have liked more on potential outcomes of this research as that was the smallest section on the poster instead of the large use of space to describe the patients. The balance of space could have been better. 
Comment: Group of presenters did a great job explaining the study. Suggestions for improvement include reducing amount of text on posters and example quotes. </t>
  </si>
  <si>
    <t xml:space="preserve">Comment: This research is out of my area of expertise, so I can’t opine as to its originality or impact. The presenter was knowledgeable and passionate about the topic. I enjoyed learning from her. 
Comment: The student was well versed in methods and findings to that came across well. I would have liked to hear more on the next steps of this research,  impacts of expanding this work and the implications of improved object recognition on society. 
Comment: This is an interesting study! However, as the study is in progress, I didn't find much theoretical value in it. The findings don't seem to be very original to me. I believe the study could be developed much more with a larger sample. 
Comment: Presenter demonstrated strong communications skills and understanding of the subject. </t>
  </si>
  <si>
    <t xml:space="preserve">Comment: Even with the small sample size, which was recognized, the student was able to able to develop conclusions and potential next steps. I would propose to include on the poster what social media means in the context of the findings, which platforms were most important and why, given the  blanket term does not provide enough specificity for potential actions / interventions
Comment: The study is timely and interesting, but the sample seems to be too small, and the theoretical framework is lacking. The study could be developed much more with a larger sample. 
Comment: Presenter did a great job explaining the study and methods used. </t>
  </si>
  <si>
    <t>Role of macrophages in the development of ovarian cancer stem-like cells during chemotherapy</t>
  </si>
  <si>
    <t>Comment: Really good job!! Very well practiced. Both presenters clearly knew what they were doing. The work is obviously challenging and meaningful. Some minor areas for improvement with visual presentation (affiliations missing from some authors, graphic resolution, etc. ) but those are all very nitpicky. Loved it!
Comment: Great presentation with each presenter working off the other allowing good flow of the presentation 
Comment: 
Comment: Really nice presentation.  Great research topic.  Don't be shy about engaging in conversations about your research questions, interpretation of results, implications, etc.  It is perfectly acceptable to pause and think over questions and sometimes the best answer is "I don't know."  If you try to hard to stay on a script then it really limits the opportunity for generating new ideas or observations.</t>
  </si>
  <si>
    <t>Comment: Really good job! Obviously important and very interesting. Clearly novel approach, with a ton of work. Some minor grammatical and clarity issues. 
Comment: Presenters excitement about the project was evident.  More details on methodology would be interesting 
Comment: Really good ideas.  This could be communicated better.  When answering a question, make sure that you have introduced enough background so that your answer will be understood in the proper context.  Otherwise, your answers just lead to more questions and things can get confusing.  The project is outstanding and the initial results seem very promising.</t>
  </si>
  <si>
    <t>Comment: Excellent job! Really interesting research. Good job connecting with the audience - stories about getting samples from campus were great. Only suggestion for improvement is a bit slower presentation style, with a little more detail about the (very cool) difference between old school microscopy and flow cytometeru. But this is very minor.    Good luck with the MCAT !
Comment: This was a great poster and very clear and laid out beautifully and cleanly. In the future it would be helpful to provide a bit more background about the gene for which you are studying the mutation. Otherwise, great.
Comment: Enthusiasm and interest in the research experience was high.  
Comment: 
Comment: Nice job describing the project and the experiments.  The gross phenomenological observation (adherence of fluorescent bacteria in lavaged worms) could likely have many disparate causes so it is important to pay close attention to details.  And quantitation of the extent and quality of adherence is likely going to be necessary to make certain you understanding exactly what is changing in your mutant worms.  Great presentation and very good response to questions.</t>
  </si>
  <si>
    <t>Comment: Great job! Super clear and comprehensible. Obviously meaningful for wildfires. Very cool results , well placed in context of expectations. Impressive amount of work - so many seeds to grow!
Comment: Presenters were infectiously enthusiastic about their work. This is an interesting problem to solve. In the future it would be helpful to show some potential solutions on the poster.
Comment: Presenters worked well together to share the information with the audience.  Interest in a very valuable project need was well communicated 
Comment: 
Comment: Really nice job putting context to a relatively simple experiment.  Great job answering questions and thinking about the bigger picture, alternative explanations, and even potential evolutionary biology.  Good work!</t>
  </si>
  <si>
    <t>Observational Study of Dorsal Abdomen Hairs: Micrathena vs. Gasteracantha and Their Differences Under SEM</t>
  </si>
  <si>
    <t>Comment: Really good job! Clearly a ton of work. Main suggestion would be a bit more refinement of the hypothesis. Compelling stories about the power outage!
Comment: Cool project. Great microscopy work. It would be helpful in the future to have more background and to have an idea of the future impact of the work.
Comment: 
Comment: Presenter was excited about the technical aspects of the EM.  Expansion on future goals or direction of the studies would have been valuable 
Comment: Just beautiful SEM images!  Great job!  Now is the time to begin thinking about how to turn these images into as many carefully, quantitative measures as are likely to help frame hypotheses that can be tested by controlled experiment.  This is where discoveries come from and, with your excellent SEM technical abilities, you are well on track.</t>
  </si>
  <si>
    <t>Comment: Excellent job! Really cool work. Crazy story about cells bleeding. Only minor suggestion is to make the font smaller and images larger - some of the pictures were cool, but a little hard to see. 
Comment: Fantastic issue to work on. Student has a good grasp of significance of work and is enthusiastic. Student needs to brush up on background knowledge of some simple basics of the genes they are discussing and how that impacts the work they are doing.
Comment: 
Comment: Enthusiasm and significance of the project was evident.  Motivation was reinforced by brief personal story.
Comment: Really, really nice job.  The presentation on the poster was very simple and easy to grasp.  Your discussion of the problem, the recent historical basis for the approach, the successes and limitations of its implementation, and future directions were outstanding.  It is clear you are personally invested in tackling this problem and that is what it is going to take.  Keep and open mind about other ways to activate Wnt signaling that might have fewer side effects than inhibition of GSK-3beta.</t>
  </si>
  <si>
    <t>Comment: Great job! Sounds like a really rewarding workshop. Very cool new types of bacteria. Would loved to have seen a bit more about broader implications of research and hypotheses. 
Comment: Great idea for a project. Poster was geared more toward basic pedagogy rather than biological or agricultural sciences, so might be better in a different section. However, I love the idea of this program and student was very enthusiastic and well-spoken about the work they are doing. In the future, student should be advised that they can ask questions from judges to gauge level of knowledge to know what kind of background info to give to people coming up to poster. Hope this student keeps up the research!
Comment: Enthusiasm for the opportunity to pass on research experience with high school students was clear.  Additional research experience on the project will be beneficial to this bright, enthusiastic student who hopes to continue with the research as her undergraduate career continues.
Comment: Really nice job describing the experience of engaging in sample acquisition for microbiological research studies in C. elegans roundworms.  It would be nice to see some original observations in the poster, which was really an overview of the whole program rather than results from your own investigations.  Keep up the work and don't hesitate to ask for opinions, advice, and help from your faculty and colleagues as you begin research work at SDSU!</t>
  </si>
  <si>
    <t xml:space="preserve">Comment: Reading from iPad all the time
Comment: </t>
  </si>
  <si>
    <t>Analysis of Dry and Wet Weathered Plastic Marine Debris using Scanning Electron Microscopy</t>
  </si>
  <si>
    <t xml:space="preserve">Comment: Very impressive
Comment: </t>
  </si>
  <si>
    <t xml:space="preserve">Comment: 
Comment: </t>
  </si>
  <si>
    <t>Development of Laboratory System for Engineering Guided Waves in Shear Wave Elastography for Enhanced Soft Tissue Diagnostics</t>
  </si>
  <si>
    <t/>
  </si>
  <si>
    <t>Comment: Some of the technical definitions were not explained well by the presenter.
Comment: Interesting application that extends the current usage of the technology. The presentation was very well done.
Comment: Knew your process and experiment well. Great job conveying compelx, multilevel information.
Comment: Excellent job</t>
  </si>
  <si>
    <t xml:space="preserve">Comment: Interesting application of quantum physics to a classical problems. The presenters had a good presentation about the topic matter.
Comment: Oral presentation need to be adequate for someone outside of the field. 
Comment: Great energy. Looking forward to applications of the science.
Comment: </t>
  </si>
  <si>
    <t xml:space="preserve">Comment: 
Comment: 
Comment: Interesting ML application with a lot of scaling up opportunities. Good amount of effort put in each step of the pipeline.
Comment: </t>
  </si>
  <si>
    <t xml:space="preserve">Comment: Looking forward to the next steps.
Comment: Still not clear how fiber glass would improve tensile strength due to bending!
Comment: Interesting application to look at alternatives of the currently used methods. 
Comment: </t>
  </si>
  <si>
    <t>Martha</t>
  </si>
  <si>
    <t xml:space="preserve">Comment: Should exhibit the definition of HF183:PMMoV!
Comment: 
Comment: Interesting project and extensive analysis was done to get the results. Nice work!
Comment: </t>
  </si>
  <si>
    <t xml:space="preserve">Comment: 
Comment: 
Comment: Interesting project with real world applications. Nice use of wearables to extend medical data to the doctors. 
Comment: </t>
  </si>
  <si>
    <t xml:space="preserve">Comment: Definitely follow up with the CDOM measurements. Great work.
Comment: Interesting project with potential real life usage. The use of charts to visualize was excellent for the poster. 
Comment: 
Comment: </t>
  </si>
  <si>
    <t>Comment: Interesting and important project with a lot of potentials.
Comment: Excellent research work in terms of future naval research as well as social transportation systems.
Comment: The student has a lot of demos which attracts a lot of audience
Comment: Very well presented and clarified any language used in the field. Also had product for observers to test which no one else had.  Showed enthusiasm and energy.  The research wasn’t original but very significant to the many industries. Presenter also very knowledgeable in subject.  Can work on streamlining presentation so flows smoothly but was still able to understand everything
Comment: Ansel asked my level of awareness with the subject then brought the presentation to that level. I didn't feel he spoke down to me and was able to understand the content.
He was poised and comfortable presenting. He knew his Subject, it's application and future value of the research. He had hands on so we could actually test his project while there. 
His poster shared equal space with graphics/pictures but the font was hard to read from 4ft.
Great job.</t>
  </si>
  <si>
    <t>Comment: Good research objective 
Comment: Great presentation! Keep up the passion!
Comment: 
Comment: Organized and kept things simple. Knowledgeable background in field. Answered questions well. Hands on method a plus.  Presented basic info needed.  Could include pics of how the method works to remove sediments like the sizes and correlate them to water quality? But good for an undergrad
Comment: Callie was so soft spoken I had a hard time hearing everything. She was able to define what she had done but was weak on the future use of the info. Her poster was equal with graphics and verbiage and able to read at 4 ft distance. Her appearance was very professional.
Good start but needs to speak out to demonstrate full comfort with presentation.</t>
  </si>
  <si>
    <t xml:space="preserve">Comment: The candidate was not present during session </t>
  </si>
  <si>
    <t>Comment: Important for measuring effective temperature of red supergiants
Comment: Great presentation! Nice project!
Comment: Very good charts and organized poster, student is very knowledgeable with field, answered questions well.  Interesting topic. Suggest using lamen language when presenting. Or explain specific language used in the field
Comment: TiO should be TiO2, otherwise, she did an excellent job.
Comment: Beatriz was very energetic with her presentation. She knew her Subject but was weak on what importance it had for application in today's world. I questioned why she had selected it and she referred to a Beatles song and lost me. Her appearance was not as professional as this environment would encourage. Suggest more mentoring before next year's symposium.</t>
  </si>
  <si>
    <t xml:space="preserve">Comment: Presenter provided exceptional detail on challenges experienced in gathering resources 
Comment: It was clear that the presenter had a solid command of the material. My only piece of advice would be to reference the poster more when discussing the intro/background info, but other than that, great job!!
Comment: 
Comment: Very organized presentation. The student was able to deliver the content clearly and logically. She was also excellent in the q&amp;a. Keep up with the good work. </t>
  </si>
  <si>
    <t>The Impact of Diet on Traumatic Brain Injury Responses of Adult Fruit Flies</t>
  </si>
  <si>
    <t xml:space="preserve">Comment: Great presentation and important work! I could tell the presenter was passionate about the research and was able to connect it to future goals. The only suggestion I have for improvement was in the results. They were a little hard to read and I wasn’t totally clear how it connected to research questions.
Comment: 
Comment: Job very well done. The student was able to present the content clearly and logically. The poster was very well organized and presented, so as the Q&amp;A session, keep up with the good work.
Comment: </t>
  </si>
  <si>
    <t xml:space="preserve">Comment: Really nice job organizing and presenting a large amount of data! My only suggestion is to focus on a few important metrics of interest as it is a lot to digest for a single poster, but again, the presenter did well managing the info!
Comment: 
Comment: Job very well done. The student was able to present the content in a very enthusiastic manner which shows that she understands her content and research very well. Kudos to that. She was able to answer all the questions very well. One little thing to pay attention to is the length of the presentation. The student is very passionate about her research and gives out a lot of detailed information during presentation, which could make the audience lose focus in the end. A more precise presentation with main points focused would make it perfect. 
Comment: </t>
  </si>
  <si>
    <t>Comment: Big kudos for having the student abstract info on the poster.  It was the only poster that had this info which is helpful for the judges. The graphics on the poster were clear and easy to understand given the topic. Very nicely done with the graphic depicting the muscle contraction device!
Comment: Decent pitch but too much jargon and acronyms. Did a good job of explaining real world application 
Comment: 
Comment: The presenter had a great command of complicated material and presented it well. My only suggestion would be to explain some of the more technical terms. Good job!
Comment: Drop very well done. The student was able to deliver the content in a very organized and clear manner which shows that he understands his research very well. Keep up with the good work.</t>
  </si>
  <si>
    <t xml:space="preserve">Comment: Very interesting study and nice delivery of information! My suggestion is to connect the hypotheses a little more to the discussion and results.
Comment: 
Comment: The student generally presented her work well. But more work needs to be done to improve the fluency in presentation, and also work on the Q&amp;A session.
Comment: </t>
  </si>
  <si>
    <t xml:space="preserve">Comment: 
Comment: The presenters did an excellent job of explaining the importance of their work for bilingual language learners. My only suggestion would be to clarify what they plan to do with the information they learned from their study.
Comment: Keep up with the good work! 
Comment: The layout and presentation of the poster was good. The statistical data was easy to read and both presenters did an excellent job of describing what the data meant. </t>
  </si>
  <si>
    <t xml:space="preserve">Comment: I interacted with a second author, but presentation was very clear and seemed like a good study. Well outside my area of expertise, but the presentation was clear enough for me to understand. 
Comment: Really interesting work and well presented!
Comment: Important research </t>
  </si>
  <si>
    <t>Noemi</t>
  </si>
  <si>
    <t>Comment: We'll thought out "next steps"
Comment: This was a really comprehensive and very interactive presentation. The study methods and results were very clearly communicated, and the q and a was exceptionally well handled. Excellent! 
Comment: Really excellent delivery of the poster and answering questions</t>
  </si>
  <si>
    <t>Investigating the Influence of Cardiovascular Risk Factors on White Matter Atrophy in the Parahippocampal Gyrus and Entorhinal Cortex</t>
  </si>
  <si>
    <t xml:space="preserve">Comment: Interesting study looking at education and other health factors on cortical thickness and white matter density in areas of the brain associated with dementia. Referencing the poster while discussing the study would be helpful. Two figures presented the same data which was a little confusing. More discussion in the intro (e.g., role of the brain area in dementia) and discussion (e.g., what do the results mean beyond that it was surprising) would be helpful in helping the listener fully grasp the significance of the research study
Comment: Very important study, several threads for extended study.
Comment: A very clear presentation with some clear significance of the research communicated well. The results were a bit inconclusive, but a good sense of how to move forward. Well done! </t>
  </si>
  <si>
    <t xml:space="preserve">Comment: Very important topic, and a nice oral presentation of the work. Oral presentation did not make reference to the poster graphics, which could have helped put the pints across more clearly. Overall great job, however! 
Comment: Really interesting project to highlight the need to support the science education of ELLs. I would suggest spending some more time talk about the methods (e.g., nature of survey, how the interviews were structured, etc.) Nice delivery overall!
Comment: Knowledgeable and clear presence </t>
  </si>
  <si>
    <t>Comment: I have to say that this was one of the most exceptional student presentations I've seen in a long while. Not only was the topic fascinating, but the personal experience of the researcher was brought to bear in a way that made the work really resonate. Phenomenal job. 
Comment: Very personable, clearly has counseling proficiency 
Comment: Great project with clear impact on the community! I look forward to hearing how the follow up study goes</t>
  </si>
  <si>
    <t>Comment: Very confident delivery and important topic. A little difficult to understand methods as someone not familiar with the discipline. Poster was text heavy -- more graphical content would have been welcome. Good job overall! 
Comment: Really interesting study! It would be helpful to note for the listener to talk about who was doing the reporting for all variables (control, Big 5j but that was clarifies well in the questions. Did a great job answering the questions!
Comment: Can't wait to read final paper!</t>
  </si>
  <si>
    <t>Comment: No poster</t>
  </si>
  <si>
    <t xml:space="preserve">Comment: The organization of the poster and the methodologies are impressive. This is a very novel way to study evolutionary biology. The student did a great job explaining a topic that is not mainstream. Eager to hear more about the analysis of polyploidy in plants.
Comment: Excellent concise and clear explanations, her passion shows!! 
Comment: Wonderful enthusiasm for an exciting topic
Comment: This presenters did a great job explaining their work to a non plant biologist. Very clear and knowledgeable </t>
  </si>
  <si>
    <t>Development of in vitro Raf activation assays on supported lipid bilayers</t>
  </si>
  <si>
    <t>Comment: Organization of the work was great! When asked for clarification they were able to reiterate their point across. When asked for future directions and troubleshooting the presenters were knowledgeable. 
Comment: Very interesting work, great job!! My only suggestion would be identifying some big picture impacts of the work
Comment: Interesting topic but could have used some more background understanding to explain the relevance of the research
Comment: Very interesting research topic. The students are gaining valuable research experience to study cancer triggers.  Very good job at explaining the significance and engaging the audience.</t>
  </si>
  <si>
    <t>Comment: Fabulous presentation and understanding of the research. Very impressed. 
Comment: Excellent job!! Very clear explanations and thoughtful answers to questions. Nice figures and flow of information on the poster!
Comment: The students delivered a very cohesive presentation. The methodology to study the toxicity of TCE is innovative and addresses the specific problem under conditions in the placenta. The experience of the students in the lab has been very productive for them and their PI. My main suggestion is to add metabolic data and analytical chemistry (e.g., LC) to fully characterize the toxicity and determine better DCVC concentrations.</t>
  </si>
  <si>
    <t xml:space="preserve">Comment: This is a very significant topic to understand the triggers of cancer. The methodology is helping better understand the mechanism of dimerization. The student was clear with her results but needed to provide a little more engagement at the beginning of the presentation. She eventually picked up and was able to explain a very significant research project.
Comment: Very interesting work!! Great job!! My only suggestion would be adding a statement of big picture impacts of the work.
Comment: 
Comment: Nice poster and presentation but needed a bit more work on understanding the background </t>
  </si>
  <si>
    <t xml:space="preserve">Comment: Great job!! Very impressive and clear explanation of your workflow methodology! The figures could be a bit larger in font so they are easier to read.
Comment: Incredibly impressive performance from a HS student. Understood his research and background well. Great job. 
Comment: Presenter was very knowledgeable and very clear. </t>
  </si>
  <si>
    <t>Yasaman</t>
  </si>
  <si>
    <t>Comment: 
Comment: Very nice and clear presentation. 
Interesting work with good conclusions. 
Suggest to better understand the clinical treatment of PT with CF. 
Comment: Excellent job- such clear explanations of everything in a very important field!!
Comment: The student is very passionate about the topic and effectively explained it's significance. The flow of the information was logical and well organized. The information from the DNA digestion gels will be nicely completed with LC data for example.</t>
  </si>
  <si>
    <t>Comment: Excellent poster and presentation! Beautiful figures and very clearly explained
Comment: Great work! Presenter had a great understanding of background rational and future directions 
Comment: High quality research and excellent understanding of topic. 
Very impressive presentation. 
Comment: Excellent work. This research is fully rounded and uses a variety of techniques to better understand the progression of ovarian cancer. The methodologies are accurate and innovative. The statistical analysis is well done and easy to follow. I wish the student to be very successful in her future doctoral studies.</t>
  </si>
  <si>
    <t>Comment: 
Comment: You're a great presenter! Thank you for sharing about this project. You did a great job providing background and making the project understandable to a wide audience. You are clearly excited to conduct this research, and I look forward to your poster next year discussing the results!
Comment: 
Comment: Interesting research question and clear overall study design.  The connection between landscape type and surface material to be used in the laboratory needs clarification.
Comment: Great job on the presentation. The student clearly had an understanding of the research from the small scale (was able to drill down into the technical details) to the large scale (was able to talk about the importance of the research and implications). Excellent delivery and interaction with audience. Only area that could have used some improvement is to better communicate the originality of the work and comparison to the state-of-the-art (for example, what has been found previously by other researchers and why is this study needed?). Otherwise, excellent job!</t>
  </si>
  <si>
    <t>Comment: You're clearly very passionate and knowledgeable about this work! You did a great job walking through every step of the project and poster. I would have appreciated more of an overview upfront: why is this work important on the big scale. The graphics on your poster were perfect. Each time I was about to ask about something, I saw it was already illustrated right there. Great job!
Comment: Very cool experimental setup.  Good articulation of the purpose and rationale for the study.  They were a few too many graphs for a poster, and some of the comparisons between your and NASA results could be clarified.  Very interesting study, and impact could be greater by selecting some highlighted results.  Good job!
Comment: 
Comment: 
Comment: The student did an exceptional job with the delivery of the research findings, and also did an excellent job explaining the originality of the research and benchmarking it against previous findings by NASA. The content was highly technical, but the presenter adequately explained concepts in a simpler way when asked. There was some room for improvement on the clarity of the presentation. There were a LOT of figures and it was a lot of information to process, many of the figure captions and legends had text with font size that was too small to be read. There may have been opportunities to combine multiple figures into one common figure that could have been made larger (like the figures that showed the student's results and the figures that showed NASA's previous results, they perhaps could have been plotted on a common figure to more easily see how the student's results compared to NASA's previous findings). Otherwise, the student did a great job and clearly had an in-depth understanding of the research methodology and fundamental engineering concepts.</t>
  </si>
  <si>
    <t xml:space="preserve">Comment: Excellent combination of experimental and numerical methods.  The motivation is a bit unclear and only emerged after questioning. Stating a research question and hypotheses might help. Interesting and publishable research, just needs a bit of organization for motivation and significance. 
Comment: 
Comment: 
Comment: Great job overall. The student adequately explained the importance of the research and related it to the previous work (development of a solar collector device and the need to provide some cooling for one of its components). When asked detailed and technical questions about the methodology, the student demonstrated excellent proficiency and understanding about what was done and how it was done and why. </t>
  </si>
  <si>
    <t>Comment: 
Comment: 
Comment: Excellent research question Good motivation, good contrast to previous studies.  Excellent maps!  Methods need to be clarified and inventory of data (locations, times, hydrologic conditions) more systematically documented.  
Comment: Really, the presentation was excellent/exceptional in almost all aspects. The student demonstrated a detailed understanding of the research approach, significance, and originality. She interacted very well with the audience, and presented the material in a way that was very clear, relatable and did not use excessive scientific jargon. The only area where I saw some room for improvement was the methodology. Clearly the research was in an earlier stage, so the main findings were not ready to present yet, but also, I didn't hear much detail about the proposed processes that would be used to collect information and data to really address the research question. I understood that community water quality reports would be gathered to collect water quality data to answer the overall research question, but it was not clear if this was referring to consumer confidence reports or NPDES water quality reports, and more importantly it was not clear what the hypothesis was regarding how the fires would specifically affect water quality. I'm sure the reasoning was there, I just did not really hear it. Otherwise, the work was very well presented and the presenter did an outstanding job!</t>
  </si>
  <si>
    <t xml:space="preserve">Comment: Not present </t>
  </si>
  <si>
    <t>Comment: This topic is very nuance so the ability to summarize in a digestible way was one of this presenter’s strengths. Granted given the complexity of the topic and how “far out” (in space), it was hard to follow the logistics of the poster but the organization of the poster overall was very well put together. I think if I had some additional background or was in the related field, I would have appreciated this poster much more. 
Comment: Knowledgeable and clear explanation
Comment: 
Comment: As a 1st-year Master's student the Presenter distinguished themselves through a calm, coherent delivery of information -- confident where appropriate, but not afraid to indicate the boundaries of their knowledge.  As a poster presentation, the oral delivery was particularly strong, both to the expert and non-expert.  The poster itself presented the information well enough, although I would encourage the Presenter to consider including a bit more about the context of the work - what has been done in the field prior?</t>
  </si>
  <si>
    <t>Comment: Poster had some nice summary text which was helpful because it established what the paragraph discussing hence easier to follow along. Speaker was clearly passionate about the topic which engaged me, but it got so specific I was having trouble towards the end. Presenter was able to establish not why this necessarily effects our earth at the moment, but able to connect to the significance of the field overall especially with the modeling potential capabilities.
Comment: 
Comment: 
Comment: As a 1st year Master's student, the Presenter comported themselves well to queries from those visiting the poster, giving competent responses to a range of questions.  The poster itself concerned a quite technical field, focusing on the interface of computational modeling/theory and observations that is a challenge to present to the non-expert while avoiding discipline-specific language.  Presenter did a good job with this, although I would encourage some thinking about how to best convey such complex material; the poster itself presented a lot of information, perhaps a bit much to take in quickly.  Again, some thought on how to present only the most important/relevant material could make for better absorption by the more casual viewer.  But overall a very nice start on a complex topic!</t>
  </si>
  <si>
    <t xml:space="preserve">Comment: This topic had a very descriptive title so grasping the essence of the topic at first was unclear, but the presenters gave a very clear summary of what “fluorescence based assay”, and “protein protein” meant. The center of the poster of images was not as clear to see of the workflow referred to the overall process or just the image above. 
Comment: 
Comment: 
Comment: Very technically challenging material to convey to the non-expert and I enjoyed interacting with both the Presenter, a Master's student, as well as the undergraduate student also involved in the work.  Both were able to discuss well the specific work they were doing on the project.  As a relative outsider to the field, I would encourage some more thought on the "big picture" of the research -- what "problem" is it trying to solve, how they are going about addressing it, and what the prognosis is at this point, since I struggled a bit in getting them to state this in broad terms that I could easily understand!  That said, it was clear they were deeply invested in the work and were looking forward to additional pursuits with it, complicated stuff to be sure.  </t>
  </si>
  <si>
    <t>Comment: One of the clearest and interesting topics I visited today. The speaker was engaging and aware of the acronyms used so it did not feel like I had to keep interrupting to ask for clarification. While there were two different models, it was clear how they intertwined speaker was able to expand on the limits of both. Overall poster was clean, but my eyes gravitated to the images and the descriptions were not as clear unless you were following the speaker. Very impressed with the implications of what this means to potential HIV treatments especially the effects given accessibility to drugs/treatments that are not as available in other countries.
Comment: 
Comment: 
Comment: A really impressive presentation, especially to an "outsider" in the field who learned  a fair amount about viral reservoirs through interaction with the Presenter!  The oral skills of the Presenter were evident and assisted in getting across the main points of the poster itself.  The work is quite interesting, and certainly seems significant as the lack of cure for HIV remains a longstanding problem.  One area I might suggest to look into a bit more is the background of the field -- what has been done before, and where precisely this new modeling work pushes that boundary?</t>
  </si>
  <si>
    <t>Comment: Excellent interaction with the audience
Comment: 
Comment: Speaker gave very in-depth description of what a protostar is which established the bounds of the presentation. Very knowledgeable and able to translate into digestible jargon especially when asked for clarification. While the graphs looked simple to understand as there was not so much “noise” on it, it gave the impression of being oversimplified.
Comment: Well done poster presentation and oral interaction for a 1st-year Master's student just starting work in a complex field.   Impressively pushing the limits of a computer code that wasn't specifically designed for the work the Presenter is attempting to carry out.  Presenter was clearly able to articulate thoughts well, despite some apparent nerves (understandable!); one area to dig a bit more on is the background of the field (what has been done theoretically and observationally) to set the context of the current work.  To be sure, this is all in the very early stages of the Presenter's graduate work, and impressive to be presenting so early on.  I look forward to checking in again in a year!</t>
  </si>
  <si>
    <t>Tereza</t>
  </si>
  <si>
    <t>Trejbolova</t>
  </si>
  <si>
    <t>Rubi</t>
  </si>
  <si>
    <t>Comment: The study design and the method seems clear. I wasn’t sure how much original the findings were. More discussion about the theoretical implications would be helpful. 
Comment: Very professional in presentation delivery! Encouraged to take more time describing methods including measures.</t>
  </si>
  <si>
    <t>MariaIsabel</t>
  </si>
  <si>
    <t>Examining Autistic Adults’ Driving Skills and Needs Through Driving Simulator Sessions.</t>
  </si>
  <si>
    <t>Comment: Great presentation! Encouraged to take more time to describe methods and participants.
Comment: The presenter was great delivering the research and interacting with the audiences. This study seems to be a good pilot study that requires additional experiment studies. The three themes were interesting and I suggest additional experiment studies based on the results.</t>
  </si>
  <si>
    <t>Comment: There were no presenters. The study seems well-designed.</t>
  </si>
  <si>
    <t>Armando</t>
  </si>
  <si>
    <t>Comment: Excellent presentation!
Comment: The results were unexpected but the presenter explained well about the potential factors. Future studies with these factors would be meaningful.</t>
  </si>
  <si>
    <t>Comment: The study includes only insignificant results, lacking implications or originality of the study. The study design and the methods were solid.
Comment: Well presented. Student encouraged to take more time describing study methods.</t>
  </si>
  <si>
    <t>Marian</t>
  </si>
  <si>
    <t>The Increase in Mother-Daughter Closeness After Participation in the Conmigo Program: An Intervention Program for Latina Mothers and Daughters</t>
  </si>
  <si>
    <t xml:space="preserve">Comment: Great job with Q&amp;A! 
Comment: The study was well-design and the methods was solid. The findings were very interesting. I would love to see if there's any difference between zoom participants and in-person participants. </t>
  </si>
  <si>
    <t xml:space="preserve">Comment: Great job with talking through the poster and showed a grasp on the material and literature and was able to speak to the limitations of the data. 
Comment: The data she is presenting is from 2016, so I suggested her to carry out future research showing the newst data and contrasting to this.
Comment: This was great research. Nice job on presenting it in an understandable way. You have good command of the findings and it seems you also can see the future potential and avenues for additional research. It seems you also understand the limitations of the current data set and have ideas for how to overcome that in the future.  Thank you for caring and for doing a nice job! I hope the research experience was fulfilling. Good luck in your future career. 
Comment: </t>
  </si>
  <si>
    <t xml:space="preserve">Comment: Interesting presentation and was able to speak on the lack of results and what relationships they were hoping to find. Operationalizing social support more could have been helpful. 
Comment: She understands her research and her objectives.  Her explanation was smooth and straightforward 
Comment: Presenter was exceptional. However, I was a bit confused with the data was collected in 2016-2017 rather than at an earlier year. Presenter seemed to be rehearsing a script and did not understand what the next steps with this data would be. </t>
  </si>
  <si>
    <t xml:space="preserve">Comment: Very knowledgeable about topic and methods used to answer the research question. Great job in communicating her findings and the importance of the work. 
Comment: The presenter is very interested in this research and her efforts are notable.  She explained very clearly and well paced
Comment: This was cool research. Nice job on presenting it in an understandable way. You have good command of the findings and it seems you also can see the future potential and avenues for additional research. I liked hearing your thoughts on how this research could be used to benefit relationships, counseling, etc. Thank you for caring and for doing a nice job! I hope the research experience was fulfilling. Good luck in your future career. 
Comment: </t>
  </si>
  <si>
    <t>Comment: Good grasp on topic and acknowledge the limitations of the study. Great job with the methods and operationalizing their variables. 
Comment: This research can have a huge impact if the presenters keep it up and gather more information to support assumptions. Many latino children will benefit from it
Comment: There was a lot of reading from the poster. Would recommend looking at the audience more. 
Comment: This was great research. Nice job on presenting it in an understandable way. You have good command of the findings and it seems you also can see the future potential and avenues for additional research. It seems you also understand the limitations of the current data set and have ideas for how to overcome that in the future. Thank you for caring and for doing a nice job! I hope the research experience was fulfilling. One piece of advice is to try to look at the person you’re presenting to, rather than to focus on the poster. It is a hard thing to do correctly….i still struggle sometimes, when lecturing. Trust your knowledge! :-) Good luck in your future career and enjoy!</t>
  </si>
  <si>
    <t>Comment: Very innovative idea and something new! The two presenters had a clear grasp on the topic and answered all questions thoroughly and in depth. Would love to see how they could use past research in other areas of the country to inform future findings. 
Comment: This was great research. Nice job on presenting it in an understandable way. It is easy to see your passion for the project and you have a good feel for of the findings.  It seems you also can see the future potential and avenues for additional research. I fear (?) there are many examples of this and resulting stigma and further behaviors to be studied. Thanks for getting started on an important topic. Thank you for caring and for doing a nice job! I hope the research experience was fulfilling. Good luck in your future career. 
Comment: Excellent poster and delivery of the content! My one suggestion is to lose the flashcards. You were very knowledgeable about the content on your poster, no need for flash cards. They were a bit distracting but not a deal breaker. 
Comment: Their research is very innovative and will benefit society if presented to the right audience.  They are very engaged en interested and the explanation was very digestible and clear</t>
  </si>
  <si>
    <t>Comment: Presenter was excited and passionate about the topic! Very knowledgeable and was able to speak to future directions and limitations. Had a strong grasp on the topic and lived experience that helped strengthen the presentation. 
Comment: She explained very clearly the research and looked highly interested in continuing working on it. 
Comment: 
Comment: This is such important research. Nice job on presenting it in very understandable way. I love the passion you have for the topic and it is great to hear your thoughts on how to further explore this. You have a solid understanding of the findings and it seems you also can see the future potential and avenues for additional research. Love that! Please keep exploring. Thank you for caring and for doing a nice job! It seems the research experience was fulfilling. I urge you to reach out to that high school teacher and thank them. ;-) Good luck in your future career!!</t>
  </si>
  <si>
    <t>Comment: 
Comment: Interesting real world study of local water phenomenon impacts on marine species.  Students enthusiasm was clearly evident</t>
  </si>
  <si>
    <t xml:space="preserve">Comment: 
Comment: Great enthusiasm for the project was clearly evident.  Ability to draw significance of some of the measures may have been in impacted by Small sample size </t>
  </si>
  <si>
    <t xml:space="preserve">Comment: 
Comment: Presenter was obviously enthusiastic about the research opportunity and project </t>
  </si>
  <si>
    <t>Comment: 
Comment: Project is in its early stages but presenter did an exceptional job of discussing the science and potential future directions</t>
  </si>
  <si>
    <t xml:space="preserve">Comment: 
Comment: Presenter was very enthusiastic about the research and presentation </t>
  </si>
  <si>
    <t xml:space="preserve">Comment: 
Comment: Unique and exciting field of study with high potential for future impacts.  Presenter did a great job of explaining a complex subject </t>
  </si>
  <si>
    <t xml:space="preserve">Comment: 
Comment: Enthusiasm for an impactful study was evident.  Motivation to move research into impactful public policy was appreciated </t>
  </si>
  <si>
    <t>Comment: 
Comment: Enthusiasm and interaction with audience was exceptional.  Presentation of a complex experiment was very well done</t>
  </si>
  <si>
    <t>Wenwu</t>
  </si>
  <si>
    <t xml:space="preserve">Comment: The presenter did an excellent job, explaining her project and the usefulness of the research on student learning. She was very knowledgeable about the process and outcomes. She answered questions confidently. The poster itself was well organized and showed the significant parts of the project. She may have benefited by including a few more details on the methodology, but overall super job 
Comment: 
Comment: Interesting approach to revising the introductory courses and hopefully implemented at SDSU given the impact it could have for later classes. 
Comment: Presenter did a great job explaining the research, methods and next steps. I would have liked to have seen a visual representation on how each of the 27 questions were-  replaced, rewritten, or modified, to have better clarity on the impact this analysis had on the overall structure of the assessment. </t>
  </si>
  <si>
    <t xml:space="preserve">Comment: Information was presented clearly. High-level of enthusiasm. Very knowledgeable about the subject area. Was able to answer all of my questions. maybe needs more clarity on the inputs for the AI model. Great project!
Comment: Interesting experiment to determine the accurate parameters for the printing process. Looks like a lot of effort was put in. 
Comment: 
Comment: The presenter did a great job of explaining what they found and the new method of keep consistent temperature in the bed, I thought the new heating element and the work that took could have been better highlighted on the paper instead of including the abstract. I really liked that the presenter focused on multidisciplinary collaboration as key takeaway. </t>
  </si>
  <si>
    <t xml:space="preserve">Comment: 
Comment: Incredible presentation. The presenter was extremely enthusiastic and knowledgeable. The impact of this research was well demonstrated and impactful. Future directions are laid out, and the practical application of this research is very evident. The poster itself was engaging and informative. Overall an excellent research project and presentation. Amazing job.
Comment: Interesting project and well presented across all the information in the poster. Nice work!
Comment: The presenter was well versed in the experiment design and outcomes and could speak about every aspect of the project including building the acoustic and thermal testing equipment, which was a highlight. I would have liked a little more on potential next steps now that it was determined that mechanical process improved with percentage but thermal and acoustic did not. </t>
  </si>
  <si>
    <t xml:space="preserve">Comment: Interesting work with a lot of information. The use of ML to gather more information on the subject was fascinating.
Comment: 
Comment: The presenters were very engaging and did a great job of exposing their roles and what they did in the project. The poster was a bit busy and could have used more images and key points rather than full sentences, but they presenters made up for that with verbal highlights. I would have liked to have seen more detail on next steps and insights on the poster as those were sort of lost in small space at the bottom, but again presenters did a better job at verbally explaining that. 
Comment: The presenters were very knowledgeable. They were very enthusiastic and answered questions thoroughly. The topic was interesting, and they were able to explain in layperson‘s terms, some of the technical aspects of their work. They demonstrated the applicability of their work, although that part could’ve been a bit more evident. Excellent work! </t>
  </si>
  <si>
    <t>Comment: 
Comment: 
Comment: 
Comment: Good work.</t>
  </si>
  <si>
    <t>Comment: Great tag team presentation.
Comment: 
Comment: 
Comment: Good work.</t>
  </si>
  <si>
    <t>Comment: 
Comment: Very nice job discussing your experimental design and interpretation of results.  Also, very good thinking about changes to the experiment that might improve the ability to detect a signal.  Keep up the great work!</t>
  </si>
  <si>
    <t>Comment: Great Job
Comment: 
Comment: Instead of thinking about the consequence of introducing point mutations like random events, try to use the available protein structural information and particularly the chemical environment surrounding the proposed mutations to direct your modifications.  This might suggest additional changes at other sites or even whole regions (domains, subdomains, etc.) that could relatively easily be swapped between IDH2 and IDH1 to test the source of differences in their respective activities.  Good looking poster.  Keep thinking about the bigger picture.</t>
  </si>
  <si>
    <t>DES as novel reaction media for the investigation of amino acids for detection of past life</t>
  </si>
  <si>
    <t>Comment: 
Comment: 
Comment: 
Comment: Excellent work.  Well organized and very well presented poster.  You have a good grasp of the problem and the significance of what you have measured.  You have also thought carefully about how this knowledge might be applied in astrobiology.  Really good work!</t>
  </si>
  <si>
    <t>Comment: Great to see your work.
Comment: 
Comment: Really nice poster and very good presentation.  You have a firm grasp on the background that frames your current research study questions.  Keep an open mind and think about the greater significance of what you are observing beyond simply improving selectivity and affinity of this inhibitor class for this particularly kinase.</t>
  </si>
  <si>
    <t>Determining the Best Practices for Providing End of Life care to Young adults with Terminal Cancer</t>
  </si>
  <si>
    <t xml:space="preserve">Comment: This is a great project, and I look forward to seeing its end results. For further searching, I would recommend using MeSH terms to find more articles specific to your research.
Comment: 
Comment: The student did a really great job presenting the information. I didn’t get a sense necessarily how the methods were done, but I could have asked additional questions to tease that information out on how exactly the findings were comprised in their narrative review. The student did a great job answering my questions especially as it relates to patient care. </t>
  </si>
  <si>
    <t xml:space="preserve">Comment: 
Comment: This is an important project that I am excited to see the final results of. For future posters, I would recommend using more white space and less text.
Comment: The presenter had a great summary of their work. Well organized that I could the presented information well. The student answered questions well, I think there could have been a little bit more thoughtfulness in answers, however it was still very proficient based on the students’ experience and background. </t>
  </si>
  <si>
    <t xml:space="preserve">Comment: 
Comment: This was well done. I look forward to seeing your future research.
Comment: I can tell that this student did a lot of work on this project. They did a great job describing the work and answering any follow up questions we had. I was slightly distracted sometimes from the postural sway, but that is a very easy fix and minor compared to everything else the student did well. I think the expanded version of these results will be great. </t>
  </si>
  <si>
    <t xml:space="preserve">Comment: 
Comment: You did a great job with presenting this research. I look forward to seeing your future research.
Comment: The students’ presentation was excellent. They did a great job describing their work and answering questions. I appreciated their insight too on what the next steps could be. </t>
  </si>
  <si>
    <t>Leached chemicals from secondhand blue and red cotton-polyester microfibers.</t>
  </si>
  <si>
    <t xml:space="preserve">Comment: 
Comment: This is a really interesting project that has the potential to lead to policy change. I recommend speaking with a librarian to see if there are additional resources about chemical toxicity.
Comment: They student’s presentation was great. I would have like to understand a little more how this information matters, however, I could have asked that and it like is there I just missed it. The student did a well at answering my questions for practical implications of the information. </t>
  </si>
  <si>
    <t xml:space="preserve">Comment: This is an important area of research, and I’m glad to see our students engaging in it. One thing to remember for future posters is color contrast; the white text on a light background was hard to read.
Comment: 
Comment: The student did a great job answering my questions. I appreciated their insight. I got a little confused during the methological presentation but when I asked my follow up questions the student answered them well. This topic was very interesting and I’m looking forward to this project making an impact. </t>
  </si>
  <si>
    <t>Comment: Excellent knowledge of topic
Comment: Poster is very clear with a good balance of text and photos. Audience interaction was fine, yet didn’t always incorporate everyone who is listening. 
Comment: Group presented finding in an engaging way and had some good transitions prepared to move between divided parts. Presentation could perhaps benefit, visually, from making direct comparisons with existing product and also test the perceptions of the products in a comparative design.
Comment: good concept, excellent market research, creative
Comment: Unique idea - - - students were enthusiastic and well-informed; images were helpful; consider bullets/bolding for heavy text areas</t>
  </si>
  <si>
    <t>Health Care System Changes to Receipt of Cervical Cancer Screening Among Women Living with HIV in India: A Qualitative Study</t>
  </si>
  <si>
    <t xml:space="preserve">Comment: Very clear responses to questions and good insights to limitations. Poster itself is very text heavy and hard to read. 
Comment: Had to prompt to present all aspects of research
Comment: Presenter had a great understanding of the topic and the methodology. Presenter knew a lot about the project and answered any questions really well. The presentation could have benefited from a more comprehensive approach to guide the audience through all the sections of the poster, and not just mostly limited to the background.
Comment: seems headed for journal publication with significant impact/importance
Comment: Student is truly committed to the project! Explained the benefits of the qualitative analyses well; great job answering questions. </t>
  </si>
  <si>
    <t>Comment: Almost too much info was given when being walked through the poster. Not clear why left and right lumbar was looked at independently until questioned. Otherwise clear and good communication with audience. 
Comment: Presenters had a great presentation prepared and spoke eloquently about their project. They highlighted all the important details and have put a lot of thought into the interpretation of their findings. Students could have expanded more on what the implications should be, in terms of practical solutions/interventions, etc.
Comment: disproving hypothesis - a significant finding with culture, labor and environment impacts
Comment: Students truly understood the project! Enthusiasm for serving the Latino community was contagious. In the future, I would encourage them to be able to better articulate the health implications of the work.</t>
  </si>
  <si>
    <t>Comment: Presenter was very knowledgeable and well spoken. Some information about methodology, like search strategy and exclusion process, but otherwise very comprehensive.
Comment: Your presentation was great, with lots of useful and important information shared. Moving forward, there’s a lot of poster space taken up with references which could be used to really emphasize the importance of this work. You handled questions well and interacted with those looking at your poster in a confident way. Nice job!
Comment: 
Comment: clear, concise, excellent poster and presentation
Comment: Wow! Student was so committed to the work and clearly linked the project to patient care. Great job answering the questions. One of the most enthusiastic and prepared presenters.</t>
  </si>
  <si>
    <t xml:space="preserve">Comment: Presenter was very knowledgeable on the topic, had a very clear presentation prepared, and spoke passionately about the project. Student could further elaborate on practical implications of the findings.
Comment: Excellent conduct, clear interaction with audience, seemed very confident and knowledgeable. Great job! Poster was very clear too.
Comment: Excellent knowledge, presentation and answers to questions 
Comment: impressive breadth of research, interesting concept with potentially important outcomes
Comment: Presenter was prepared and had a natural, easy, humorous presentation style! </t>
  </si>
  <si>
    <t xml:space="preserve">Comment: 
Comment: Interesting, exciing, important study.  Ecourage additional research as presentor referenced; looking at mathmatics and biology variables.  Also recommend continued evaluation of influencing variables for self identity and the interplay between the variables of efficacy, identity, and values.  
Comment: Great presentation of some advanced statistical methods dealing with an issue of high importance. Additional Information was needed to orient your listeners to what your different analyses allow you to conclude. Excellent job with the Q&amp;A. I was hoping to see more practical implications discussed in the main presentation but they did come up in your answers to the questions. Great job! 
Comment: Presenter did a great job explaining the project, statistical analysis, and translating the findings. </t>
  </si>
  <si>
    <t>Feasibility and Acceptability of Ecological Momentary Assessment (EMA) Methods among LGBTQ+ Adolescent Tobacco and Nicotine Users</t>
  </si>
  <si>
    <t xml:space="preserve">Comment: Clear reporting of an important project with a vulnerable population. A bit more background info was needed to feel confident about what the research question was addressing (what EMA means) but results and potential future direction were explained very clearly. Good job with Q&amp;A. 
Comment: 
Comment: Study very relavant and timely.  Exceedingly impressed with insights to strengthen research methods and focus of future studies.  Specifically, looking at the length and frequency of study, expanding questions to include broader set of stressors, and exploration of validity and reliability data collection instrument.  Excellent oral presentation.
Comment: Both presenters did a great job explaining the study and had strong communication skills. </t>
  </si>
  <si>
    <t>Beyond Borders: Understanding Cross-Cultural Variations in Implicit Skin Tone Preferences</t>
  </si>
  <si>
    <t>Comment: 
Comment: Really great presentation on an important topic. Very clear that presenter was knowledgeable about the significance. More detail about the methodology and practical implications of the work would strengthen the presentation. Overall, great job! 
Comment: Continued resarch would be vaulable seeking greater insight into what creates individual bias.  Agree with researcher that methodologically adding a qualitative component to future study.  Exploration of existing research about skin bias in african american populaton and learnings regarding intervention might be valuable.  Study very original.  
Comment: Presenter demonstrated strong communication skills and understanding of the subject.</t>
  </si>
  <si>
    <t xml:space="preserve">Comment: Very important work. Presenter had strong understanding of importance of work. Could improve on description of participants and methodology. Don’t forget to end with a strong statement of the importance of this work because it’s very important! 
Comment: 
Comment: Superb, interesting resarch study.  Focus on arab/muslim population is very timely and less researched.  Continued study using alternate research methods recommended.  Using a qualitative method with semi structured interviews could prove valuable.  Greater insights into drivers of explicit bias would be valuable.  Also encourage broad dissemination of research to create greater awareness and dialog.
Comment: Presenter did a great job explaining the study and methods used. </t>
  </si>
  <si>
    <t xml:space="preserve">Comment: Really nice presentation on an important topic. Lacking some detail about the methodology initially but did a great job responding to questions about the coding process. Very clear importance statement and conclusions about systems-level interventions. Great job! 
Comment: 
Comment: Interesting study and well presented.  I think the significance of the study was somewhat limited as value/importance of sleep is well known.  However, foccus on marines exclusively new may be new but no ah ha moments noted in results.  Variables identified of influencers of impaired sleep  could produce the most fruit  if pursued.  Identified influencers appear to be outside of the control of research subjects.  That may be an of further study and significance.   
Comment: Presenter had strong communication skills and demonstrated a clear understanding of the methods used. </t>
  </si>
  <si>
    <t>Lucyann</t>
  </si>
  <si>
    <t xml:space="preserve">Comment: Really great job by this team of women! They were very prepared although in the future I encourage them to favor un-memorized presentation without notecards. The significance of the topic was very clear and the methodology was well-described. They handled questions well. Great job overall! 
Comment: 
Comment: Very relevant significant study.  Findings produce many opportunities for future research seeking greater insight to attribution of results and interventions.  From a methods perspective a more heterogenous participant population could be value added......although potentially difficult.  Also insight into the influence of multiple foster children influences on results could be interesting.  Presentation was a little more difficult to follow.  Study variables may need a little more definition upfront.  
Comment: </t>
  </si>
  <si>
    <t xml:space="preserve">Comment: 
Comment: This was a great poster packed full of information. I could tell the presenter really knew her topic and results well. Some of the results were presented really quickly and I think the listeners could have used additional explanation of variables and graphs to understand conclusions. More I formation about practical implications of this work will strengthen the presentation. 
Comment: Unique, complex, innovative, significant study.  A complex study for presentation in such limited time.  Presentor did an excellent job displayed superior knowledge of study/content.  Well articulated future study opportunities.  No recommendations unfortunately except for more time for presentation.  A little like drinking from a fire hose and I know the general topic but not the study intervention.  
Comment: Presenter demonstrated strong presentation skills and a deep understanding of the subject matter and complex methods used. </t>
  </si>
  <si>
    <t xml:space="preserve">Comment: Strong presentation. Very interesting topic.  A little more discussion of the methodology and possible interpretations of the data was needed. 
Comment: 
Comment: Interesting study and very well presented.  Uncertain as to significance/impact of the study a bit and how researchers will build on the findings or suggest utilization of findings.  Researcher identified potential value in future study to have a qualitative design for increased value which I agree with.  Also, more insight/assessment into regional cultural influences on findings may be valuable.  
Comment: </t>
  </si>
  <si>
    <t>Comment: A beautiful job presenting and explaining th difficult concepts. The poster was well organized. Perhaps my only criticism is being on-time for the presentation time-frame. 
Comment: 
Comment: 
Comment: Original work that will have practical applications. The presenter is very natural and confident.</t>
  </si>
  <si>
    <t xml:space="preserve">Comment: 
Comment: Great foundamental research on an important topic.
Comment: </t>
  </si>
  <si>
    <t>Comment: 
Comment: 
Comment: The poster was well laid out and the presentation was very good. Suggest the presenter take a moment to acknowledge someone with a head nod or something while waiting to ask questions.
Comment: Great work with a large amount of data. The poster is vell organized and very clear. The presenter is very natural and confident. I am very impressed with the amount of work done in the short period time.</t>
  </si>
  <si>
    <t>Comment: 
Comment: 
Comment: Very good job answering some difficult questions regarding methods. The only critque would be to maybe consider adding information about the  outliers in the data and possible effects (skewness, etc.)
Comment: It is a trendy topic to use deep learning. Great pioneering work.</t>
  </si>
  <si>
    <t>Comment: 
Comment: 
Comment: A noteably remarkable poster presentation. Wondering why she did not do this as an oral presentation. She definitely knew her material well beyond what was on the text on the poster and was able to answer challenging questions. One critique, would be to use a different color scheme to make it easier to differentiate between the text and the images. Other than that, wonderful work.
Comment: The presenter is confident and knows the topic well. The poster could be improved.</t>
  </si>
  <si>
    <t>Nathen</t>
  </si>
  <si>
    <t>Waters</t>
  </si>
  <si>
    <t xml:space="preserve">Comment: 
Comment: The presenter presented the topic clearly. The slides could be improved.
Comment: </t>
  </si>
  <si>
    <t>Comment: 
Comment: The flow cytomotry work is interesting. The project is at the beginning stage. 
Comment: 
Comment: Such a great subject and though the presentation of the material was longer than anticipated, he did a very good job. A conderation would be to better illustrate the limitations of the findings, for example, the samples used were frozen and therefore may not have yielded the best results. Also, document the actual process  in the methods section, not the ideal process, unless it is shown in the further research section of the poster.</t>
  </si>
  <si>
    <t>Comment: 
Comment: 
Comment: Well designed poster. Very good at communicating the more complicated aspects of the subject. Good eye contact with audience. Would suggest making the poster a little bigger so the smaller images are larger and can be better identified.
Comment: The speaker is natural and professional. The poster layout/alignment could be improved.</t>
  </si>
  <si>
    <t>Dongye</t>
  </si>
  <si>
    <t xml:space="preserve">Comment: 
Comment: Delivery was exceptional, Student demonstrated great expertise and enthusiasm. The work is important and it was well presented, it looks publication ready. 
Comment: 
Comment: </t>
  </si>
  <si>
    <t xml:space="preserve">Comment: 
Comment: 
Comment: Students answered judges questions very well. The results and methodology could have been emphasized more, figures should be larger. 
Comment: </t>
  </si>
  <si>
    <t xml:space="preserve">Comment: Need more on results less on motivation 
Comment: Student had a great introduction and explanation of background and significance of the work. Wished the student would have emphasized the methodology of the research and mentioned more data points collected and results of the survey (such as how many participants surveyed/how many responded/etc). 
Comment: </t>
  </si>
  <si>
    <t xml:space="preserve">Comment: 
Comment: 
Comment: Student was very professional, described the significance methodology and results well. Would have been interesting to include more context via some literature review , ie how does the work compare to similar published work. 
Comment: </t>
  </si>
  <si>
    <t>In the Tijuana River Estuary, how do rates of fecal indicator bacteria reduction from the border to the estuary compare to the degradation rates of other wastewater surrogates?</t>
  </si>
  <si>
    <t xml:space="preserve">Comment: 
Comment: 
Comment: Poster is well organized and unique to grab audience attention. Student demonstrates exceptional independent and critical thinking, has own ideas of what she would like to investigate next. 
Comment: </t>
  </si>
  <si>
    <t xml:space="preserve">Comment: 
Comment: 
Comment: </t>
  </si>
  <si>
    <t>Yong</t>
  </si>
  <si>
    <t>Comment: Professional explanation and expressions about the poster. Knows clearly and sufficiently about the study to answer all my questions. Also possessed sense of humor :) There could be more explanation about the background of the study and the literature that indicated the necessity of the study. Look forward to the study being done on bugger and more diverse samples:)
Comment: 
Comment: 1) Positive - Glad to see students are interested/invested on how their peers are receiving support/services from academic advising 
2) Improvements - Responses only from COMM 103, which is a course for General Education Oral Communications requirement. Perhaps responses from other courses from one department, one College, etc. Also, share with Assistant Dean for Student Affairs in the College of Professional Studies and Fine Arts (PSFA) about this project since she oversees academic advising for her College
Comment: Very natural delivery. Great information on topic. More visuals on poster</t>
  </si>
  <si>
    <t>Comment: 
Comment: Great info on sound baths. Need more visuals and pister would benefit from more visuals and less vocabulary or paragraphs. 
Comment: 1) Positive - Since practice self-care is one of the six SDSU's Successful Students, sound baths would be a great addition at SDSU. Hopefully, student's research would lead it to become a reality at SDSU
2) Improvements - More sample sizes. Would it be possible to include staff and faculty?</t>
  </si>
  <si>
    <t>Comment: Great breakdown of data and relating information to real life.
Comment: 
Comment: 1) Positive - Appreciate the student willingness to respond to all my inquiries in a positive tone.                                                                                                                                                                                                                                       
2) Improvements - Larger sample size. Since career readiness is a top priority for many academic colleges, would love to see this study for it so Career Services, Career Management Center, etc. know how to improve or increase career readiness for SDSU students 
Comment: The delivery of content was great, and interaction with audience is very professional. Could be better if more thoughts on future direction are given.</t>
  </si>
  <si>
    <t>Marinkovic (principal investigator, last author)</t>
  </si>
  <si>
    <t>Comment: Interesting study and great delivery of the content. Showed sufficient understanding and knowledge about the methods and findings of the study. It would be great if more thoughts be put into considering the potential influence of the study and how to generalize the findings.
Comment: 
Comment: Great deliver of presentation. 
Comment: 1) Positive - Appreciate the student responding to my and another judge's inquiries with a positive tone. 
2) Improvements - Larger sample size. Curious about how identity plays a role.</t>
  </si>
  <si>
    <t>Comment: Great visuals and introduction of topic. 
Comment: 
Comment: 1) Positive - Great sample size. Appreciate the student responding to inquiries in a positive tone. 
2) Improvements - Collaboration is constantly being mentioned in a professional setting. If possible, other disciplines. Or, STEM in various geographic locations
Comment: Great presentation and highly familiar with the contents and findings. But would be better if methodology and implications of the study are explained.</t>
  </si>
  <si>
    <t>Comment: 
Comment: Great study and super meaningful! Presenters had informative presentations and thoughtful answers to my questions. Would be better if they had more knowledge of the statistics of the study. 
Comment: Great presentation. Great explanation of visuals. 
Comment: 1) Positive - Appreciate the students responding to inquiries in a positive tone. 
2) Improvements - Larger sample size. Expand outside of Southern California.</t>
  </si>
  <si>
    <t>Comment: The presenter did a great job, answering questions, and demonstrating her enthusiasm for the subject matter. The impact on the subjects in her research are twofold both to students and the community and she made that clear. As a second year student, this presentation was excellent. As she continues her studies and research, I suspect that her research will become even more refined And I look forward to seeing 
Comment: Research question is very interesting and meaningful, directly applicable to real world situations. Presentation could be clearer especially to audiences with limited knowledge of nursing and SLEs.
Comment: The student was comfortable presenting and communicated well with the audience. While the project itself was notable, and the goal of engaging student nurses in rural service learning opportunities would have a great impact on both the students and the communities, I was not able to get a good sense of the research methodology from the presentation. A sample of some of the questions asked of people, or even a survey of the nurses to gauge their perceptions of the interaction with the communities would have been impactful in communicating the study impact. Interesting work though and an exciting idea to build on.
Comment: This was a great study presentation and such an important research area! I appreciated the student's openness to questions! I would have loved some figures or a highlight of the important themes of social determinants of health that were surveyed to draw attention to the most important findings. 
Comment: try to do some further anlysis using OLS or Probit regression tools.</t>
  </si>
  <si>
    <t xml:space="preserve">Comment: The presenter was well prepared for questions. She explained her research project very clearly, and demonstrated the relationship and impact for the community. She was willing to discuss the drawbacks of some of the methodology, and the steps she would take to remedy these in the future. Her poster was engaging. Well organized, and thorough. Excellent work! 
Comment: 
Comment: The presenter was very comfortable engaging with the audience and presented the information very clearly. The poster itself was very clearly laid out and it was easy to understand the study methodology. The only critical feedback I might give is the reference to the small sample size, but the presenter was also well aware of this and the reasons for it. It was an interesting international look at an international issue. Nicely done.
Comment: 
The presenter was really engaging and their passion for the study and their work was wonderfully clear! The poster was very informative and interesting but maybe just adding some of the most important figures to highlight the most crucial findings will help draw attention to those findings even more next time.  
Comment: Glad to see you do survey in two contries and survey around a quite broad demographics. Would like to see more rigorous analysis using statistical tools such as OLS or Probit regressions. </t>
  </si>
  <si>
    <t>Comment: The presenter was very enthusiastic about her research topic. She was knowledgeable about the topic had conducted a thorough literature review and shared her field observations in detail. Her poster was well organized and engaging. She explained how her research could be used to improve the community. a well designed and executed research project. 
Comment: Great presentation! Very clear and highly interactive!
Comment: The presenter was very comfortable engaging with the audience and communicated the research methodology clearly. This is definitely research that could be built on and could be important in understanding how wildlife adjusts to human intervention. I think there where limitations outside of the researchers control that limited the data able to be collected, but it was still very interesting. The researcher suggested ways the community surrounding the habitat could be engaged with, which I thought were great ideas for a follow up study. Very interesting work.
Comment: The student's passion for the study and project was wonderful to see! And it was clear how they learned so much from having been involved in the study, as well as their motivation to do similarly important work in the future. Next time, I think highlighting why the methodology was chosen to answer their research question might help boost the poster's clarity. 
Comment: Very interesting topic. Would like see your next step:)</t>
  </si>
  <si>
    <t xml:space="preserve">Comment: The presenter did a great job explaining the process in her research project. While the results did not show what she had theorized, she laid out the next steps for her research very clearly. Her poster was well organized, and she answered questions thoroughly.
Comment: The presenter was very comfortable engaging with the audience to deliver the research findings. This is very interesting study and the researcher had some very good ideas for how to expand on the population reached by engaging different communities, and perhaps enhancing the instrument used to get at different data. I thought this was a great start on a larger initiative and I'd be very interested to see subsequent research based on this study. Very nicely done.
Comment: Clear presentation and explanation of research questions and process! Could have better understanding of the methodology and the big picture of the research question, great work!
Comment: It was great talking with this student! It was evident how they've been thinking critically about future directions for this work and how they would want to strengthen the methodology. Next time, adding more details explaining the tables and figures would further boost the poster! 
Comment: Overall, very good research as an undergraduate student. My suggestions :1) use other analysis tool (such as a simple OLS regression) instead of chi-square analysis. 2) try to enlarge your sample size. I look forward to your publication in the near future. </t>
  </si>
  <si>
    <t xml:space="preserve">Comment: The presenters shared their research question clearly to the audience. They explain technical terms, and summarized their research results well. They were engaging, knowledgeable and enthusiastic about their work. The results have a practical application and usefulness within higher education. Their poster was well organized and highlighted the aspects of the research. It would be great to know how they could put their research into action at San Diego State, or at any higher education institution. Great job!
Comment: I thought this was a very interesting project that was very nicely presented. All of the presenters were very comfortable engaging with the audience. Autoethnography seemed like a very interesting tool to reflect on the experiences as university students, and comparing the results with others a nice way to create understanding in a community. I would have liked to have seen more of the concepts that came out of these studies, but what was shared was very interesting. I was very engaged by this idea and wonder if the researchers couldn't develop a guide for other students to engage in autoethnography themselves? I hope that the researchers will communicate their experieces more broadly to the university community, perhaps during the open strategic planning sessions? Very nicely done!
Comment: Impressive work! Great to hear about the passion and efforts of all presenters/authors, best of luck to your incoming presentation and publication opportunities!
Comment: I really appreciated talking with the presenters, their enthusiasm for the project was so evident! They were very knowledgeable about their methodology and the significance of it.  Next time, adding less text to their poster would help draw further attention to the importance of their work and findings. 
Comment: Sample only includes five observations. </t>
  </si>
  <si>
    <t xml:space="preserve">Comment: 
Comment: This research project was well organized and well presented. The presenter was very enthusiastic and motivated to make a difference. She answered all my questions thoroughly and had great ideas for further exploration. The poster told the story well, and was engaging and clear. There are ways that she could Improve the analysis and she was very open to exploring those opportunities. Excellent work. 
Comment: The presenter was very comfortable engaging with the audience to present their results. This was a very interesting thesis, and although the results weren't conclusive the researcher had some interesting ideas to expand on the concepts and reach other  populations. I think this would be interesting research to see applied to other communities in different areas of San Diego and beyond. Definitely research that can be expanded on. Nice work!
Comment: The student's passion and enthusiasm for the study came across so clearly! They had clearly spent time reflecting on the results of their study and how they could improve this work in the future.  Next time, it would be great to hear how their work could be applied in three clinical setting. 
Comment: For next step, I would recommend run a probit/logit regression to see whether your results are statistically significant. </t>
  </si>
  <si>
    <t xml:space="preserve">Comment: 
Comment: A very clear and well-thought out poster, and very interesting work that has important implications 
Comment: </t>
  </si>
  <si>
    <t xml:space="preserve">Comment: The poster was exceptional and delivered with great passion. I highly enjoyed listening to Elora’s explanation of the data and the important of understanding aquatic taxicological hazards. I judged the posters from 9am until now, 1pm, and this is the best delivery/presentation I have seen so far. Great job!   
Comment: Excellent presentation and great grasp of project and its implications 
Comment: </t>
  </si>
  <si>
    <t xml:space="preserve">Comment: 
Comment: The student is very knowledgeable and passionate about their work! They may consider reducing their poster presentation time (quite long), but I appreciated learning about all of their work!
Comment: </t>
  </si>
  <si>
    <t xml:space="preserve">Comment: 
Comment: The student very good at explaining the concepts of their work and the implications. They use a variety of techniques and can discuss the future directions of work 
Comment: </t>
  </si>
  <si>
    <t xml:space="preserve">Comment: 
Comment: 
Comment: The students did a great job of presenting, although a bit more explanation on background could be helpful. They were knowledgeable about their work. </t>
  </si>
  <si>
    <t>Fetal Pancreatic Genetics in Lipogenesis and Type 2 Diabetes through Fetal Epigenomics</t>
  </si>
  <si>
    <t xml:space="preserve">Comment: The student was knowledgeable about their subject, but the poster could contain further information and data. 
Comment: 
Comment: </t>
  </si>
  <si>
    <t xml:space="preserve">Comment: 
Comment: The student was very good at answering questions and addressing limitations or challenges in their research. The explanations were clear. Well done!
Comment: </t>
  </si>
  <si>
    <t>Comment: Excellent presentation skills and ability to answer questions. Poster could have provided more clarity about the research methodology and why it was chosen. 
Comment: 
Comment: Regarding the research: if you are introducing a mutation as methionine amino acid - which is a start codon - will that impact where a Transcription factor will attach and start the transcription.
Great work overall. 
Comment: Darius presented his work with confidence and brought the personal connection for his drive to do cancer research, that was great. However, it is also important to zoom into the problem at hand and understand the relevance of his research for broader and better insights. I remember he had a very vague and generic answer for why he chose this problem, he addressed his interest and passion for Science, rather than focusing on the gap and significance of understanding IDH1 enzyme kinetics and functions. Overall, he appeared passionate for the work he is doing. 
Comment: Student had clear understanding of methodology and project goals and results. Student was clearly engaged with the topic and the findings and the bigger picture (therapeutic design). Only minor critique is to double check the figures (typos, titles).</t>
  </si>
  <si>
    <t>Esmeralda</t>
  </si>
  <si>
    <t>Salcedo</t>
  </si>
  <si>
    <t xml:space="preserve">Comment: Very exciting topic and research methodolgies. I wish the poster or presenter had given more background information and information on the importance of UNC-45 
Comment: 
Comment: Presentation could have been simplified. Applications of the work were unclear. Overall excellent work.
Comment: Interesting topic, student was very engaged and familiar with the project goals and future directions.
Comment: Esmeralda did a great job in explaining her experiments and the rationale for using mouse samples and need to use purified microtubules for understanding their organization when complexed with UNC-45. The results were very dramatic to miss. She also demonstrated a good knowledge of known literature on the forms of UNC45 in humans and flies. However, she was not very clear on how such results can impact biology or parts of it, and the bigger picture involved. I was also intrigued about altered fly behaviors if any, that she was not aware of whether known to lab or otherwise. </t>
  </si>
  <si>
    <t>Comment: I thought Ryan did a great job explaining, especially to someone not from a STEM background. He made an effort to understand what the audience’s level of understanding was before he presented. 
Comment: 
Comment: The work is very novel and has a wide array of applications. The methodology was little unclear. 
Comment: Excellent presentation, able to explain topic clearly and describe complex data to a layperson.
Comment: Ryan did a good job in explaining his research and the broad impact, and the relevance of the methods implemented. In general he appeared to understand the research process and possibilities. Also, he was very receptive to the Scientific and broader discussions. He was quick to understand how limiting concentrations of some compounds (Quinone, ~10 mg instead of 1000mg used for others), could be resulting in their inability to fluoresce, that they might fluoresce at higher concentrations. I enjoyed asking him where he would go to raise money for this study, and he was quick to answer to people who care. I think it would be nice for him to develop his awareness around sustainable business and how Tire manufactures might be interested in funding such research, if they function on sustainable business model.</t>
  </si>
  <si>
    <t>Mobile Farmers Market</t>
  </si>
  <si>
    <t>Isolation of Polar Trifluoroborates</t>
  </si>
  <si>
    <t xml:space="preserve">Comment: 
Comment: Alejandra was great at answering questions and simplifying her explanation for someone without a chemistry background. 
Comment: the significance of adding functional groups was not clear. The student could have dialed-down the methology of isolating borate - it was harder to understand the approach.  
Comment: Excellent presentation, gauged audience familiarity with the topic before speaking. Clear and descriptive presentation despite complexity of topic.
Comment: Alahandra did a nice job is explaining her research. I appreciate her asking me about my proficiency in Chemistry and was patient in answering all my questions, some were very basic due to lack of my own understanding of her subject. She explained the significance of her approach with great clarity, and how it is more efficient chemistry-wise. However, it would be nice for her to think on the broader implications of her research, like if she can think of existing drugs that would benefit from her research. </t>
  </si>
  <si>
    <t xml:space="preserve">Comment: 
Comment: Great job!
Note: sounded confident, explained in details and has an in depth knowledge. 
Comment: This is an interesting research. The poster is well organized. The presenter is very interactive and knowledgeable. 
Comment: 
Comment: </t>
  </si>
  <si>
    <t>The Catalytic Effects of Intercalation of Transition Metal Atoms into Metallic Molybdenum Disulfide</t>
  </si>
  <si>
    <t xml:space="preserve">Comment: Great job! 
Note: Great presentation and explaining of the research. 
Comment: 
Comment: Well organized. Great presenter very knowledgeable and very interactive with audience. 
Comment: 
Comment: </t>
  </si>
  <si>
    <t xml:space="preserve">Comment: 
Comment: Great job Carly! I can’t wait to see the paper strips on the counters at the store! 
Comment: Great presentation. Poster well designed and organized. The presenter is very knowledgeable. Great interaction with the audience. 
Comment: 
Comment: </t>
  </si>
  <si>
    <t>Gokhale</t>
  </si>
  <si>
    <t xml:space="preserve">Comment: Great job Shruti! 
Articulation and explanation were well done! 
Goodluck with the research! 
Comment: 
Comment: 
Comment: Very interesting research. The presenter is very knowledgeable, clear and professional. 
Comment: </t>
  </si>
  <si>
    <t xml:space="preserve">Comment: Great job with the presentation.
Note: Sound confident in subsequent presentations.
Comment: 
Comment: Silver nano triangle may have photocatalysis potential
Comment: 
Comment: </t>
  </si>
  <si>
    <t xml:space="preserve">Comment: Both presenters were very excited to describe their research which sometimes interrupted the flow of each other’s points as it was borderline interrupting at times. Their passion in the topic and ability to explain the nuances in at an elementary level kept me engaged and eager to ask follow-up questions. While they did not delved into what the plots on their poster described, I felt like I did not need it to understand their research and importance. 
Comment: 
Comment: </t>
  </si>
  <si>
    <t xml:space="preserve">Comment: 
Comment: 
Comment: Unfortunately due to time constraints as this was closer to the end of the session the presentation felt rushed but I believe that may have been more associated to the fact everyone was cleaning up around us. That said, their cadence was consistent and able to really walk me through the rudimentales of the definition they were trying to establish. </t>
  </si>
  <si>
    <t xml:space="preserve">Comment: The presenter appeared very concise and intentional with their point in terms of how it connected overall to the methodology used and why. While I was not familiar with the terminology I was able to follow their explanation of their use of images and such. I do wish they were able to elaborate on their conclusion further and where they wanted to go further in their research.
Comment: 
Comment: </t>
  </si>
  <si>
    <t xml:space="preserve">Comment: 
Comment: The speaker naturally talked at as higher cadence so it became harder to understand as they delved further into their presentation. That being said, they gave themselves moments to elaborate on the “why” rather than just focusing on the what which I followed very easily. Maintained good eye contact and was able to be proactive in where I needed further clarification.
Comment: </t>
  </si>
  <si>
    <t>How Specific Conductivity Analysis Can Aid in Identifying Peak Wastewater Outflow of the Tijuana Estuary</t>
  </si>
  <si>
    <t xml:space="preserve">Comment: 
Comment: Both presenters were able to ping pong between topics and the overall elevator pitch very smoothly. It did not feel choppy and they were able to elaborate on the “so what” of their research and where this can go further. They were honest about their limitations and appeared well prepared. 
Comment: </t>
  </si>
  <si>
    <t>Comment: Great job presenting.
Comment: Will be helpful to add explanation rather than formulas with subtitles.
Comment: One of the most passionate and infectious presenters I saw today. Their ability to revert back to the so what and their previous points was so well timed I felt like I was listening to a lecture. The images left room for them to speak to them rather than I just read the description. The flow was smooth, they did throw a few acronyms sporadically which left some of the previous statements a bite more nuance to comprehend but it was said with so much confidence I did not distract from the overall point. Very well done, I would have stayed longer if I did not have more posters to visit.</t>
  </si>
  <si>
    <t>Comment: This is a wonderful project with the potential for further research. I recommend using less text and more bullet points.
Comment: What went well: 
-Clear purpose/motivation/inspiration, 
-Passion for the project is clear
-was able to answer the questions I posed in a thoughtful manner
Suggestions: 
-Poster had a lot of text and could have been made more visually interesting with more images/symbols
Comment: Suggest collecting information about response rate to assess potential selection bias. Suggest adding figure titles in the poster.
Comment: Your study is very interesting but when describing the work don’t focus on the service learning work, unless in future you compare different service learning programs. You should focus on your work to look at student perceptions. Your work is interesting and important for the field. 
Comment: Very interesting findings and comprehension of information. Only critique would be of presentation of information on poster which was very text heavy, could present findings using more visuals to make more clear to audience.</t>
  </si>
  <si>
    <t>Comment: This is a well-designed research project. However, there was a lot of text on this poster, so I would remember to use more white space next time.
Comment: Organization and presentation  of data was excellent, research significance is clear and it is clear that presenter is well-knowledge in his area of research. Minor suggestions would be poster and presentation used complex concepts/methodology that could be defined for an audience not in their field. 
Comment: What went well: 
-As someone who's not usually in the scientific space, he did a great job of explaining his project in layman's terms
-He masterfully described his methodology and the step-by-step process
Suggestions: 
-I would make the connection between the tobacco disease sponsorship clear from the start. 
Comment: Neat and clear poster with good figures. Interesting research topic.
Comment: Good explanation and answers. Don’t forget to discuss not being not future research ideas but also applications to humans</t>
  </si>
  <si>
    <t xml:space="preserve">Comment: This a well designed research project with good potential for expansion. I recommend using less text and more blank space on future posters.
Comment: Incredible breakdown of complex information and concepts. Very interesting findings and graphics of muscle. Only suggestion would be to reduce text, was a lot of information and could use more visuals/space to further clarify methods.
Comment: The poster is clear and neat, and easy to follow. 
Comment: What went well: 
-Explanation of topic was clear and concise 
-Appreciated the additional close up images provided of the muscle fibers, etc. which did not fit on the poster
-Clearly is passionate about the project  
Suggestions: 
-Mouse to human applications for research were not entirely clear 
Comment: Really good overview and answers. Your knowledge and of the background research is good. </t>
  </si>
  <si>
    <t xml:space="preserve">Comment: This was a well-designed study. Your presentation was great and engaging. However, this poster had some text that was hard to read because of the colors that were chosen. With future posters, I recommend using a color contrast checker to ensure that text is easier to read.
Comment: What went well: 
-Amazing organization and coordination between the three presenters, the time and effort they put into their project really showed
-Defined key terms for me that I was unfamiliar with
-Answered all questions appropriately and enthusiastically
Suggestion: 
-The poster presentation was well laid out but could have used more images to make it more visually appealing 
Comment: Incredible presentation of research information, poster and presentation was clear and organized. Only critique was it was a relatively small sample size and a great number of interactions. Overall fantastic job!
Comment: Interesting topic. Clear presentation. Great interaction. Know the topic very well to address questions. 
Comment: Great job working together on the overview and answering questions. Very interesting research  </t>
  </si>
  <si>
    <t xml:space="preserve">Comment: Excellent overview of data, graphs, and results! Presenters were very knowledgeable and interactive with audience. Minor suggestion of thinking of longer term significance and impact of findings and research. 
Comment: This was a well-designed project with the potential for future research. For future posters, I recommend using less text and more blank space to allow for greater reading ability.
Comment: What went well: 
-Fascinating topic and emerging field of study (ear plugs are becoming more prevalent)
-Enthusiasm and passion for their topic was palpable 
-Methods were followed and communicated well 
Suggestions: 
-Poster was a little text heavy and there didn't seem to be a center focal point 
Comment: Very interesting project. Passionate what their work. Know well about this topic and can address audiences’ questions. Poster could have less words and can highlight the figures.
Comment: Good overview and answers. Good job working together. </t>
  </si>
  <si>
    <t>Comment: The presenters did a great job of highlighting how this research was inspired, and walked the viewer through their methodology and next steps. 
Comment: Color coding was helpful. The hand-drawn images distracted somewhat from the professionalism of the poster. 
Comment: interesting topic and well established dichotomy, some spelling/grammar errors on poster, topic is worthy of further research</t>
  </si>
  <si>
    <t xml:space="preserve">Comment: This was an interesting topic that involved exploration of the topic of burdensomeness. Student was engaging and passionate about the topic. One suggestion is to be sure to orient the viewer to the graphs/figures to clearly convey the key takeaways. Well done overall.
Comment: 
Comment: particularly difficult study design (complex), challenge to create benchmark, positive learnings and room for further exploration </t>
  </si>
  <si>
    <t>Comment: This was such an interesting look at the environment in which research is conducted, and has wide-scale relevance. The poster was very well organized and easy to understand. One suggestion I have for the student is to be more confident in their presentation. It is such great work and the student should be proud! 
Comment: well prepared and presented, clear takeaways, more on study design would have been helpful
Comment: Nice layout; facilitated quick comprehension of the topic &amp; findings</t>
  </si>
  <si>
    <t>Comment: This was an interesting look at a unique community. The student did a good job of walking through the rationale and methodology. They showed a strong understanding for limitations, strengths, and potential next steps.
Comment: clear understanding of limitations of research and opportunities for next steps</t>
  </si>
  <si>
    <t xml:space="preserve">Comment: This was an interesting concept looking at the delivery of a mental health intervention. The student demonstrated a passion and interest in the study topic, and noted the limitations and next steps for the study. One suggestion I have is to walk the viewer more slowly through the methodology, perhaps providing more background on the techniques measured (e.g., are these best practices, why were these included) to help give context to the results. Good work overall.
Comment: </t>
  </si>
  <si>
    <t>Comment: This was an interesting study, and the student had a strong grasp on ways to improve the methodology and next steps. One suggestion I have is on the visual representation - the poster was a bit text-heavy, so it was somewhat difficult to follow the methodology and results and to know where to focus. Well done overall
Comment: excellent preparation and explanation, poster was well organized with relevant content - may consider bulleting/consolidating poster info, well executed, showed depth of knowledge, impressive engagement with multi-disciplined approach.
Comment: There was a lot of text on the slide; suggest using bullet points &amp; reducing text amount. Would have been helpful to see a definition of brownfield. Nice job noting limitations.</t>
  </si>
  <si>
    <t>Comment: The student was engaging and knowledgeable, and was able to highlight key takeaways. The poster was well put together and easy to follow. 
Comment: polished presentation, clear identification of major factors, opportunity for identification of key takeaways and clear policy initiatives from further data analysis
Comment: Suggest using fewer colors; it was somewhat distracting. Nice job succinctly explaining key findings</t>
  </si>
  <si>
    <t>The Effects of Choline and Exercise Treatment on Anxiety-Like Behavior Following Prenatal Alcohol Exposure</t>
  </si>
  <si>
    <t xml:space="preserve">Comment: I was very impressed by this student. It was clear they had a strong grasp of the concept, including rationale for this research, interpretation of the findings, and important next steps. They showed a genuine curiosity for this topic and a research-minded approach to why they saw the results. Further, they did an excellent job of communicating these findings in a concise, clear, and engaging way. Very well done.
Comment: excellent methodology, clear presentation and explanation, good understanding of opportunities for further analysis and modification of test for future experiments
Comment: </t>
  </si>
  <si>
    <t xml:space="preserve">Comment: 
Comment: 
Comment: Great work in terms of cancer treatment </t>
  </si>
  <si>
    <t>Chemical leachates from microfibers perturb embryonic development in zebrafish</t>
  </si>
  <si>
    <t>Comment: 
Comment: 
Comment: Excellent work</t>
  </si>
  <si>
    <t xml:space="preserve">Comment: 
Comment: Very creative approach 
Comment: </t>
  </si>
  <si>
    <t>Improving Training Data for Machine Learning-Based Protein Function Prediction Tools</t>
  </si>
  <si>
    <t>Comment: Interesting and relevant work! Great interaction with audience and explanations. Suggestions could be on the organization of the content of the poster.
Comment: 
Comment: Poster organization was good but wordy. Methodology was accepted but did not highlight the significance of the proposed method.</t>
  </si>
  <si>
    <t>Effects of physical properties and binder chemistry on mechanical behaviour, and biocampatibility of hydroxyapetite bioceramic scaffolds using binder jet 3D printing</t>
  </si>
  <si>
    <t xml:space="preserve">Comment: 
Comment: Very relevant work!  A suggestion could be to have less words/long paragraphs and more key words or plots/tables.
Comment: </t>
  </si>
  <si>
    <t xml:space="preserve">Comment: 
Comment: My suggestion is to improve the visuals and add more quantitative details about your materials, methodology, results. Long paragraphs cannot usually be read by the audience . The work is interesting and we can appreciate it more with more plots/images/schemes than words.
Comment: </t>
  </si>
  <si>
    <t>Veronica</t>
  </si>
  <si>
    <t>Comment: 
Comment: 
Comment: The work is very relevant! Providing as much context and background information as possible would enable higher audience understanding.</t>
  </si>
  <si>
    <t xml:space="preserve">Comment: 
Comment: Excellent! 
Comment: </t>
  </si>
  <si>
    <t xml:space="preserve">Comment: 
Comment: Excellent study and you communicated your approach and findings in a clear, concise way. 
Comment: Excellent presentation of a fascinating study on an important topic! 
Comment: Did a fine job of explaining data that was gathered from project in Uganda.  Secondary data analysis so author did not have many choices. Seem to have done the best she could with very limited data.  She did have good ideas about other data that would be needed to improve this study.  However, given all the other problems of HIV care not sure that addition travel is too important (my opinion).  </t>
  </si>
  <si>
    <t>Sakshi</t>
  </si>
  <si>
    <t>Exploring WNT promoted chromosome missegregation in human pluripotent stem cells</t>
  </si>
  <si>
    <t>Dr. Marina</t>
  </si>
  <si>
    <t xml:space="preserve">Comment: 
Comment: I was blown away by the sophisticated communication and your ability to explain something complicated at a level a novice can understand. Truly exceptional, and I wish you luck on the rest of your project. This was the best explanation of research I heard all day.
Comment: Excellent, clear presentation, appropriately targeted to the knowledge level of the listener. So interesting! 
Comment: This is complicated work and the author took a lot of time to explain her project and technology.  Very basic research related to potential cancer treatments.  She seem to have a strong mastery of the technologies used in this complex study. </t>
  </si>
  <si>
    <t>Comment: So interesting! This was a clear presentation on a topic I'd never thought about before. The present was mostly clear and I appreciated the clear responses to questions. Nicely done! 
Comment: The motivation behind your study was not super clear, nor was why we should care about these findings. I think the work was well done, I love the poster visuals, but I was left thinking “so what?”. 
Comment: Interesting project for a student. It would have been good to have a photo of a chia plant and a little more context to understand the relevance of the project.  I was able to get good explanations from the author just looking at the poster was not enough</t>
  </si>
  <si>
    <t xml:space="preserve">Comment: 
Comment: What a great topic to be investigating! The presentation was clear and enthusiastic. The presenters did well responding to questions, even when they were uncertain. Nicely done! 
Comment: My favorite part of your work is your expertise as clinicians. What you’re doing is important and necessary, and while your poster could have been clearer for the “drive-by” observers, your knowledge and expertise shines in the verbal communication. Thanks for a great conversation!
Comment: MSN capstone project.  The student communicated her literature synthesis well.  </t>
  </si>
  <si>
    <t xml:space="preserve">Comment: 
Comment: Talk to the person rather than the poster. Your poster has a lot of text and not many visuals which can make it hard for people walking by to get the gist of what you’re presenting on.
Comment: This is an interesting idea. I know it was hypothetical but it would be great to see data in the future to see if it works! 
Comment: This presented a proposal for an intervention.  It was produced as a one semester class project so difficult to compare to other thesis and capstone presentations.  The project It seemed logical and relevant.  Quite good for a student in her second semester. </t>
  </si>
  <si>
    <t xml:space="preserve">Comment: Loved the inclusion of gender instead of sex. Very clear presentation. Great awareness of limitations of participant population. And wonderful understanding of field and practice based context
Comment: Excellent presentation of important, interesting work! 
Comment: 
Comment: Student seemed like she had a good grasp of all aspects of the research project which she was given.  Explained project will.  Not clear if she helped collect the data or just worked with a data set from the PI.  </t>
  </si>
  <si>
    <t xml:space="preserve">Comment: Great discussion about the importance of the work and the need. I also really appreciate the acknowledgement that ;figuring out the best way to present results is hard! Good job.
Comment: 
Comment: Excellent presentation on a really important topic! 
Comment: Student did give job of explaining research and its relevance. It was her small project and she understood it limitations.  Very unlike many other presentations which are spin offs of established projects. </t>
  </si>
  <si>
    <t xml:space="preserve">Comment: 
Comment: Excellent presentation of a really interesting program. 
Comment: Fine project evaluating an ongoing program that supports student live and health.  Student seem to have made good use of practical skills development in her MPH program.  </t>
  </si>
  <si>
    <t xml:space="preserve">Comment: 
Comment: 
Comment: 
Comment: Really interesting and important work! Would love to see more interviews or focus groups. Maybe think more about how what success would look like, how can we respect these practices and educate people without them getting “white washed”
Comment: Fantastic and innovative research on an important and under researched area! Great interaction with audience and pictures were such an important touch! Only recommendation would be that poster should share more information on focus group and interviews that were conducted. </t>
  </si>
  <si>
    <t xml:space="preserve">Comment: 
Comment: 
Comment: Presenter was very engaged with audience and went through graphic and results clearly. Great job breaking down a complex analysis in layman terms. Describing further the overall impact of the study would strengthen the presentation.
Comment: Your passion and investment shows! Good job! Would love a longitudinal study on how this impacts their development and language skills later on. </t>
  </si>
  <si>
    <t>Dr. Gregory Talavera</t>
  </si>
  <si>
    <t>Dr. Linda Gallo</t>
  </si>
  <si>
    <t xml:space="preserve">Comment: 
Comment: 
Comment: 
Comment: Excellent presentation of research methods and background! Research significance of the LUNA-D study is very clear. Only a few inconsistencies with what student was presenting and study results on poster but was quickly clarified!
Comment: Good job this is really important work! It sounds like you collected other data, maybe play with that a bit more to see if there are any differences (ex:age or gender). </t>
  </si>
  <si>
    <t>Comment: 
Comment: Great job! This work is so practically important and your passion shows! I think it would be interesting to also interview other generations so you can get more of a sense of how things have shifted over time. 
Comment: 
Comment: 
Comment: Great display of visuals and presentation of findings and significance. Methods (e.g., types of interviews and qualitative framework that informed the study) would strengthen the poster presentation!</t>
  </si>
  <si>
    <t xml:space="preserve">Comment: 
Comment: 
Comment: Loved your poster! You are all clearly well informed and passionate! We chatted about ideas, but maybe look at letters from other languages for a nonverbal alternative.
Comment: Fantastic poster and presentation of findings. Presenters were very knowledgeable about the research content matter and explained aphasia in a way that audience members could understand. 
Comment: </t>
  </si>
  <si>
    <t>Comment: Great overview of the research, presenter was clear and organized. It was also very clear that she was passionate about women’s health. Only recommendation would be to share more on the poster about the interview guide used and approach used to analyze the interviews.
Comment: 
Comment: 
Comment: 
Comment: Such important work! I would be curious to know why the doctors don’t offer Pap smears as part of routine care? If you can normalize it in the general population it won’t be so stigmatized in the HIV population</t>
  </si>
  <si>
    <t xml:space="preserve">Comment: 
Comment: 
Comment: 
Comment: Very relevant topic, presenters did a great job reviewing the content, visuals, and answering audience questions. Only suggestion was to simplify the findings/complex terms in layman terms for those who are not well-versed in this research. </t>
  </si>
  <si>
    <t xml:space="preserve">Comment: 
Comment: Very original! 
Comment: Great energy and clarity in the explanation of your research!
Comment: This was a fascinating study and the presenters did an amazing job explaining a lot of very complicated tasks. I was impressed by their ability to think about next steps and implications of the work.
Comment: Students were very friendly, spoke loud enough to clearly hear in a crowded room, and were very well rehearsed which made the presentation very understandable despite being a somewhat difficult concept to explain about dual language speakers and cognition. Not super clear what the importance/impact of this research would be, could have been more clear there. </t>
  </si>
  <si>
    <t>Comment: 
Comment: 
Comment: 
Comment: This was a fascinating study and the presenting did an excellent job describing the methods used. I especially liked the inclusion of pictures as that helped me understand everything better.
Comment: Really interesting study and methods for researching thirdhand smoke. Few participants in the study so far, but important implications for developing ways to potentially clean smoke residue from indoor settings. I learned about new research methods. Student did a good job at explaining the research in detail, but could have been more emotive/engaging.</t>
  </si>
  <si>
    <t>Comment: 
Comment: 
Comment: 
Comment: This was such a creative and interesting project! The presenter did an amazing job explaining it, and I love the pictures that were included. I was especially impressed by how the presenter answered questions and engaged with the audience.
Comment: Student did a great job describing the study, methods, and limitations. Very interesting methods and findings, but limitations preclude drawing definitive impactful results. Student was friendly and engaging and poster was clear.</t>
  </si>
  <si>
    <t>Comment: 
Comment: 
Comment: 
Comment: This was a fascinating project, and the presenters explained it extremely well. I appreciated how they included their hypotheses and expectations, and their theories about the reasons behind the results. I also loved the pictures!</t>
  </si>
  <si>
    <t>Comment: Student was enthusiastic about project. I would suggest a more substantial intervention rather than a hypothetical letter of support. Also, controlling for other variables like demographics or fraternity involvement. Perhaps qualitative inquiry would improve understanding of what level of support giving would have a more substantial impact on individual level beliefs (your outcomes). Great job and interesting hypothesis to test!
Comment: 
Comment: 
Comment: 
Comment: This was a really interesting project. The presenter explained it very well, and did an excellent job exploring the next steps and why the findings are important.</t>
  </si>
  <si>
    <t>Comment: 
Comment: 
Comment: 
Comment: This was an incredibly interesting project - I loved the use of publicly available data. The presenter explained the project very clearly, and I was impressed by their discussion of the issues. I also really liked the figures included.
Comment: Really important research with immediate, real-world implications on the enduring effects of redlining on community gardens. I would be interested to hear about the qualitative exploration student mentioned. Student seemed passionate about the research. Poster was too busy with words, suggest to reduce word count for overall poster clarity.</t>
  </si>
  <si>
    <t>Comment: 
Comment: 
Comment: 
Comment: This project was really interesting. I really liked the figures that were included, as it conveyed the information clearly. The presenter did an excellent job explaining the next steps in the study.
Comment: Student was an engaging presenter.  Research findings very, very preliminary but study sounds interesting and presenter still made the prelim findings seem somewhat interesting. Recruitment seems to be a struggle in this study but the research focus on lgbtq youth is important.</t>
  </si>
  <si>
    <t xml:space="preserve">Comment: Very interesting presentation on plant root exudate. 
Comment: 
Comment: Excellent presentation but was somewhat hard to hear in the noisy poster hall
Comment: Nice presentation. It was very loud, so you will have to get used to speaking louder. </t>
  </si>
  <si>
    <t>Transposon mutagenesis strategy to discover lipopolysaccharide mutants</t>
  </si>
  <si>
    <t>Comment: Very good presentation, clear and original idea. 
Comment: 
Comment: 
Comment: Great enthusiastic presentation.</t>
  </si>
  <si>
    <t>Comment: Excellent research and delivery of the presentation 
Comment: 
Comment: 
Comment: Nice presentation. Shorten abstract.</t>
  </si>
  <si>
    <t>Histological Assessment of Vaping-Induced Cardiopulmonary Injury</t>
  </si>
  <si>
    <t xml:space="preserve">Comment: Great presentation of the research
Comment: 
Comment: 
Comment: Nice enthusiastic presentation. Need to slow down your presentation a little. </t>
  </si>
  <si>
    <t xml:space="preserve">Comment: 
Comment: 
Comment: Nice enthusiastic presentation. Be prepared to answer questions about the models in a little more depth. </t>
  </si>
  <si>
    <t>Comment: 
Comment: Nice enthusiastic presentation</t>
  </si>
  <si>
    <t xml:space="preserve">Comment: 
Comment: 
Comment: 
Comment: Nice presentation. Don't be shy about answering questions about the how the placental data is collected. </t>
  </si>
  <si>
    <t>Soy de Aquí y Soy de Allá: Exploring Transfronteriza College Students’ Sense of Belonging at the Imperial Valley-Mexicali Borderlands</t>
  </si>
  <si>
    <t>Comment: Incredibly thoughtful, great choice of photos to represent their experiences, well designed. Wonderful!!!
Comment: Thank you for sharing your stories, I believe that narrative storytelling is very important.
I’m wondering what types of setbacks or criticisms you’ve received. 
Unfortunately, I was unable to speak with you for too long today. 
Would love to see you at the SACNAS conference in Phoenix this year!
Keep telling your stories and sharing your ideas. 
You are both very good public speakers. I didn’t have any feedback on the way you handle conversation. I’m impressed that you’ve just finished your first semester! Keep grabbing all the opportunities you can. 
I think the only suggestion for improvement I have is that you include some more qualitative analysis to inform your conclusions. 
I really enjoyed the photovoice autoethnography and believe decolonial methodologies are important. Keep boosting transfronterize voices. 
However, leaving out analysis can make it easier for people to undermine your idea or treat it as more of an art exhibit rather than a research project.</t>
  </si>
  <si>
    <t xml:space="preserve">Comment: Well described study. I’m curious about the results. Serbia research is in process. 
Comment: Thank you for a great oral accompaniment to your poster presentation. 
It is a very well delivered project and very interesting to think about. 
I understand that you were just working with the data you had available, so that's very impressive. I think the project would be enriched with the audio from both teachers or with other forms of qualitative data. However, I understand your limitations. Thank you for sharing. </t>
  </si>
  <si>
    <t xml:space="preserve">Comment: Impressive study with interesting findings! I deeply appreciated that the student researcher was able to explain the meaning of the odds ratios in terms of the findings. Well done!!
Comment: Great oral accompaniment to your poster presentation. 
Kenia was very knowledgeable about research related to the project which was a plus!
</t>
  </si>
  <si>
    <t xml:space="preserve">Comment: Exceptional! Each student understood their role and the research. They articulated their ideas well!
Comment: Anna was very knowledgeable about the project and suggested areas for future improvement of the CS class that was observed. 
There is room for improvement of professionalism for the other project partners. It's hard to take you seriously as researchers if your behavior doesn't match the setting. Be respectful of others when they're speaking. It was hard to hear Anna through all the noise. </t>
  </si>
  <si>
    <t>Light in the Darkness: Education for Afghan Women"</t>
  </si>
  <si>
    <t xml:space="preserve">Comment: Whoa! So impressive! The researcher connected the need for security and education for girls and women to national security and international security. She inspired my interest in learning more. Excellent and insightful work. 
Comment: Wahida, thank you so much for your project. 
I'm sure the work you did on it has already touched the lives of so many Afghan refugees. 
I don't have any suggestions for improvement as of yet. 
You identified so many areas that need work with just one short project. There are opportunities for a multitude of future programs and more research.  
I'm looking forward to seeing more of your work in the future. </t>
  </si>
  <si>
    <t xml:space="preserve">Comment: Great work! Really clear about the project, looking forward to hearing more. Great information on poster </t>
  </si>
  <si>
    <t>Liz</t>
  </si>
  <si>
    <t xml:space="preserve">Comment: Excellent presentation. Well-organized poster. Might want to distinguish results that follow from data analysis from ideas that might address findings . Great work! 
Comment: Shaye, you're a terrific public speaker. Thank you for sharing your project. 
</t>
  </si>
  <si>
    <t xml:space="preserve">Comment: 
Comment: Poster was very well organized and aesthetically pleasing. Presenter was very engaging and a great speaker. They also seemed passionate and I appreciated how they pointed out important areas for future research. 
Comment: Great work overall. The student was passionate and knowledgeable about the topic. They had ideas for next steps and highlighted the relevance of this work. One suggestion I have is to take time in the beginning to orient the viewer to the overall goal of the study before going into results/methods. </t>
  </si>
  <si>
    <t>Comment: Presenter had excellent presentation skills and did a nice job of explaining a topic that I was not familiar with. I would have liked more clarity on the sample and recruitment, though they answered my question about it well.
Comment: The student did a great job of clearly explaining the study, and highlighting the importance of this work and what was done. There was a strong understanding of the methodology and relevant next steps, limitations, etc. One suggestion I have is in the visual presentation of this work. It was a bit text heavy, which could be overwhelming to viewers. Great work overall.</t>
  </si>
  <si>
    <t>Comment: This research appears to have the capacity to lead to important policy changes. It also seems to inform how to conduct transborder research, which could be helpful for researchers across disciplines. The poster would have benefitted from bullet points instead of blocks of text. Additionally would have liked more details about the methodology (ie interview analysis).
Comment: Good work overall. The presenter had a passion for the project and was knowledgeable about the larger issue at hand. This work could be strengthened by creating a less text-heavy poster, as well as clearly guiding the viewer through each stage of the study, including methods, results, and conclusions. It was a bit difficult to follow at times just what was done and the specific results that were found.</t>
  </si>
  <si>
    <t>Athena</t>
  </si>
  <si>
    <t>Cisneroz</t>
  </si>
  <si>
    <t>Comment: This poster was very aesthetically pleasing and super organized! The presenter had great presentation skills and was very personable. They did a great job answering my questions and providing ideas for future research. I sometimes got a little lost during the explanation of the study, so I would suggest trying to tell a more linear story from background to method to results to implications. But you did a really great job overall!
Comment: The presenter did a great job of clearly presenting the research and walking the viewer through each stage of the study, including methods, results, and important next steps. The data were visually presented very well, clearly, and in an eye-catching way.</t>
  </si>
  <si>
    <t>Comment: Great work overall. The presenter did a great job of describing the methods and results, and paid particular attention to presenting these data in a clear and understandable way. One suggestion I have is to consider reducing the number of findings that were presented. Although it was done well, the number of results could be a bit overwhelming for a non-expert to follow.
Comment: Presenter  did a fantastic job explaining really complex research. The poster also had mostly figures which was nice for looking at it. Given that the audience for this conference is quite broad, I would have appreciated more labels on the figures (eg even just “control” and “affected” would have helped orient me). Presenter did a nice job connecting basic science to applications in humans.</t>
  </si>
  <si>
    <t>Comment: Presenter was very personable and made me feel like their research was important. I was impressed with their plans for future research. I wished they had explained the data source and described the data/methods in their  original spiel. Great work!
Comment: Great work overall. The presenter did a great job of highlighting what was done and the significance of this work. It was also evident that the presenter was passionate about the study and had a clear idea about its significance and the next steps. One suggestion I have is to be cautious about use of causal language (e.g., impact), particularly in the study purpose, given that this was a cross-sectional study.</t>
  </si>
  <si>
    <t>Comment: 
Comment: Great presentation with so much enthusiasm in the project.  It would be beneficial to have images of the signaling pathways. 
Comment: Excellent job explaining the details and relating it to the bigger picture. Student had a lot of data for being early on in the PhD degree, had a great vision of what direction the research was going to go in the future. Suggestions for improvement: focus on describing the findings using less scientific jargon. Overall great job!
Comment: Clear understanding of underlying biological pathways and research tools. Able to articulate experimental results and future directions clearly.</t>
  </si>
  <si>
    <t xml:space="preserve">Comment: 
Comment: Project has great potential but need more evidence to affirm conclusions such as what are markers for inflammation 
Comment: Really interesting presentation, the presenter did a great job using terminology that was easy to understand, even for people outside of the presenter's discipline. She did a great job describing the current results (gut dimension measurements) and also explaining how the future sequencing data would complement that. In terms of delivery, the voice mannerisms, body language, and communication skills were all very effective, except the presenter was looking, talking, and focusing much more on one person in the audience and not the other (would have been better to focus equally on all members of the audience). However, overall this was a very good presentation!
Comment: </t>
  </si>
  <si>
    <t>Timothaus</t>
  </si>
  <si>
    <t xml:space="preserve">Comment: 
Comment: The presentation was excellent. Both presenters demonstrated an understanding of the research. The information presented was high quality and complete, the layout/composition of the poster really made sense. There was sufficient detail to explain the purpose, analysis or discussion of the project and results. Images and graphs were well labeled/described. Here are some suggestions for improvement: it's great that both presenters were able to dig down into the details, understand, and explain highly technical concepts, but I suggest also working on explaining the research in a way that avoids technical jargon and abbreviations as much as possible, especially if presenting to someone who is outside of the field.
Comment: </t>
  </si>
  <si>
    <t xml:space="preserve">Comment: 
Comment: 
Comment: The presentation was excellent. The presenter demonstrated a thorough understanding of the research. The information presented was of high quality and complete, the layout/composition of the poster really made sense. I liked how the presenter put the research on vaping devices (e-cigarettes and the newer vaping device) in context with past studies on conventional cigarettes. There was sufficient detail to explain the purpose, analysis or discussion of the project and results. Images and graphs were well labeled/described. Here are some suggestions for improvement: I think it would have been effective to elaborate a bit more on what can be done for future work to mitigate the problem. However, overall, the presenter did a fabulous job!
Comment: </t>
  </si>
  <si>
    <t>Comment: I loved the enthusiasm of the student and props for doing research on a disease that's has few supportive information.  
One suggestion,  is to say "like" less.</t>
  </si>
  <si>
    <t>Comment: Great presentation and significance.  Love how pationate he is about his project 
Comment: 
Comment: Exceptional job on this presentation! The goal of the research was very clearly articulated, the presenter was also able to describe the cultural importance of preserving the specific type of oak trees being studied, and he was also able to dive into the technical details regarding the methodology (sequencing). The interaction with the audience was exceptional, and the presenter also did a great job explaining future steps (e.g., if the pathogen was a fungus, then the plan would be to find resistant trees to propagate). If anything, I would have liked to hear a little bit more detail about how specifically resistant trees could be identified? Like how would you go about doing that? Seems like it might be a difficult task. However, great job on the research and on the presentation!
Comment: Excellent intersection between experimental work and preservation work. Great Q&amp;A session.</t>
  </si>
  <si>
    <t>The role of ChrY in human microglia and neurodevelopment</t>
  </si>
  <si>
    <t xml:space="preserve">Comment: 
Comment: The presentation was excellent. The presenter demonstrated a thorough understanding of the research. The information presented was of high quality and complete, the layout/composition of the poster really made sense. I liked how the presenter explained the purpose for the different experiments/analyses that were performed, like the first three analyses were for confirmation and then the fourth analysis (showing the images from the XY, XYY, XYYY, and XYYYY) was the one that addressed the main objective of the research. There was sufficient detail to explain the purpose, analysis or discussion of the project and results. Images and graphs were well labeled/described. Here are some suggestions for improvement: it's great that the presenter was able to dig down real deep into the technical details. She clearly understood and was able to explain highly technical concepts. However, I suggest also working on explaining the research in a way that avoids technical jargon and abbreviations as much as possible, and explains the research in terms that a layperson could also understand, especially if presenting to someone who is outside of the field. Nevertheless, this was an excellent presentation and very impressive work! Congratulations!
Comment: </t>
  </si>
  <si>
    <t>Sol</t>
  </si>
  <si>
    <t>Alzheimer's Disease DNA Barcoding</t>
  </si>
  <si>
    <t>Ralph</t>
  </si>
  <si>
    <t xml:space="preserve">Comment: 
Comment: Great project and potential but had trouble hearing the presentation.
Comment: The presentation was very good. The presenter demonstrated a very thorough understanding of the research. The information presented was of high quality and complete, the layout/composition of the poster really made sense. I liked how the presenter was able to answer questions about the fundamental purpose of the cells being studied. There was sufficient detail to explain the purpose, analysis or discussion of the project and results. Images and graphs were well labeled/described. Here are some suggestions for improvement: it's great that the presenter was able to dig down real deep into the technical details. She clearly understood and was able to explain highly technical concepts. However, I suggest also working on explaining the research in a way that avoids technical jargon and abbreviations as much as possible, and explains the research in terms that a layperson could also understand, especially if presenting to someone who is outside of the field. Also, it may have just been me, but I had a very hard time hearing the presenter. Even after indicating that I was struggling to hear with body language, the volume and voice mannerisms of the presenter made it very hard for me to hear. Unfortunately, as a result, I was unable to really get a detailed grasp on what the major findings/implications were. Nevertheless, this was a very good presentation and impressive work! Congratulations!
Comment: </t>
  </si>
  <si>
    <t>A Mixed Methods Study on the Need for Gender-Responsive (GR) Drug Services in Tonga.</t>
  </si>
  <si>
    <t>Maria Luisa</t>
  </si>
  <si>
    <t xml:space="preserve">Comment: This research project looks like it will generate interesting and useful results.
Comment: </t>
  </si>
  <si>
    <t xml:space="preserve">Comment: Great layout. Good grasp of the content and data. Although it would’ve been great to see me of how the data was presented and how the conclusions were drawn. Excellent at speaking. Overall A material. 
Comment: This was an excellent project. I appreciated the use of boxes to call out findings. 
Comment: </t>
  </si>
  <si>
    <t xml:space="preserve">Comment: Very interesting project. Unique. Potentially very beneficial to medicine in the future. Stood in front of the poster most of presentation making it difficult to see. Some of the graphs too small to read. 
Comment: This project is interesting and has the potential for future research. For future posters, I would limit the number of graphs/data visualizations to allow for better clarity.
Comment: </t>
  </si>
  <si>
    <t xml:space="preserve">Comment: Excellent presentation over all
Comment: This was a great presentation. The research methodology was also well done. For future posters, I recommend using more blank space and less text.
Comment: </t>
  </si>
  <si>
    <t xml:space="preserve">Comment: You did a really great job explaining your research project. I appreciated the use of visuals on your poster. However, it would be better to use less text on future posters.
Comment: 
Comment: Great infographics. Very engaging presenter. Willing to answer my questions in depth. Was somewhat confused regarding totality of application purposes of the projects findings. Would like to see more regarding whether choline supplementation after birth could impact alcohol fetal syndrome (if you catch it too late, that the mother has been drinking). Overall, great. </t>
  </si>
  <si>
    <t xml:space="preserve">Comment: Great presentation with a great explanation of the project. The poster was very text-heavy, so it was difficult to understand it quickly. Using bullet points to convey key information may work better in the future.
Comment: </t>
  </si>
  <si>
    <t>Empowering Women's Well being: A Comprehensive Approach to Social Health Disparities</t>
  </si>
  <si>
    <t>Comment: This project is interesting and has the possibility to lead to future research and projects. However, the presentation delivery could be better structured.
Comment: 
Comment: Excellent idea for the future. Hope to see big things happen because of the research on this project!</t>
  </si>
  <si>
    <t xml:space="preserve">Comment: You did great jobs presenting this research and engaging with the audience. However, the graphs/data visualizations were small, making them hard to read.
Comment: </t>
  </si>
  <si>
    <t>Comment: Your poster was beautiful! You did a great job representing and communicating a really complex topic. This work is really important, and I'm glad you had the opportunity to present it at S3!
Comment: Presenter was concise with summary of research and the visual was very strategic as it was confusing to look at which was the main point. They maintained well eye contact and was able to speak to challenges and areas the research did not surprise them. Their passion was  some volumes in the presentation itself which made it that much easier to follow
Comment: The presenter did a wonderful job! This was really clear and compelling. The presenter was very well prepared and communicated their research fantastically. The images were great. The presenter was engaged and it felt very natural; they clearly have thought about the work a lot and worked hard to prepare. The poster had a lot of information on it, which I recommend cutting down a bit to make a bit more accessible which would also allow the audience to focus on the presentation and what the presenter is saying. Very nicely done. 
Comment: Well spoken</t>
  </si>
  <si>
    <t>Comment: The presenter did really well. They were passionate about their work and spoke with clarity and intention. They were very prepared for questions and had additional notes to help the audience members. The information on the poster was very well organized and had the perfect ration of empty space to important content. The presenter could benefit in the future about talking about future research or new questions to be explored. Very well done. 
Comment: This work is truly important and it's very clear you are passionate about this work. I think the poster itself could have been improved -- perhaps graphics, instead of words, could have been used for the frameworks. I'd also advise to summarize instead of directly read off the poster. More about how you got from your data to recommendations for educators could have also been useful to add or discuss.
Comment: Speaker was very concise and had a good flow and enunciation. Transitions were not as smooth, but it felt more like a conversation than a presentation which I did not mind. The so what’s could have been further elaborated on, but overall they established why this research is so important towards advancing the care and resources we provide to ELL students.
Comment: Important topic and its clear the student is passionate about the subject and next steps</t>
  </si>
  <si>
    <t>My Building Bridges Graduation Experience: A Photovoice Autoethnography Exploring the Right to Celebrate Graduation at the Imperial Valley-Mexicali Borderlands</t>
  </si>
  <si>
    <t>Comment: Great job anticipating questions and filling in important information. Presenter was incredibly comfortable and confident. This was original research witty enormous potential for impact. I recommend figuring out ways to remove some content from the poster so that there is more white space and it is less overwhelming for any observer. In other words, the presenter did such a good job presenting that some of the information/words on the poster weren’t as necessary. Very nicely done. 
Comment: Thanks for sharing your research at S3! I think the cause of addressing malnutrition is a noble pursuit. I'm concerned that the methods currently used do not adequately address the problem, and that a cute/fun app for NGOs and caregivers does not fit their needs. You presented the content well. There were some resolution issues with the images on your poster making them grainy, but I appreciated the balance of figures and text.
Comment: Given the severity of the topic the speaker was very in depth of the why and overall goal of the research. She was able to use visuals to point to the significance of malnutrition, but if there was more of an example of what nutrition meant than “no sugar” and other blanket statements. Their overall delivery was effective and concise.
Comment: Exceptional job! The student is passionate and knowledgeable about the topic and has clear next steps.</t>
  </si>
  <si>
    <t>Comment: 
Comment: 
Comment: 1) Positive - Very receptive of additional variables to consider as part of study
2) Improvements - Larger sample size. Additional comparisons such as what's the GPA, graduation rate, level of campus involvement, etc. between commuter public transportation versus personal vehicle</t>
  </si>
  <si>
    <t>Comment: 
Comment: 
Comment: 1) Positive - Expert subject matter. Thought of every possible scenario
2) Improvement - Ask attendee if they would prefer to know the research at a high or medium level. Some attendees love details; some want to be mindful of time and to ensure they review all assigned posters</t>
  </si>
  <si>
    <t xml:space="preserve">Comment: 
Comment: 
Comment: 1) Positive - Appreciate student willingness to respond to inquiries in a positive tone. Student already knows what to do next with their project (i.e. statistics) and what services the forsee being provided to the unsheltered population
2) Improvements - Larger sample size </t>
  </si>
  <si>
    <t>Binational Planning of The World Design Capital: San Diego-Tijuana</t>
  </si>
  <si>
    <t xml:space="preserve">Comment: 
Comment: 1) Positive - Great project! Can't wait to see it become a reality
2) Improvements - Poster needs to have consistent aesthetics </t>
  </si>
  <si>
    <t xml:space="preserve">Comment: 
Comment: 
Comment: 1) Positive - Allowed attendee to choose high, medium, etc. level of information to receive and process. Both presenters show their passion for the research and their hopes that their findings will be used as a solution
2) Improvements - Hope they'll continue their passion of finding feasible solutions for disadvantaged communities in their current or future professional setting </t>
  </si>
  <si>
    <t>Comment: Fascinating approach to understanding and exploring the trauma and trials of being undocumented in America. The explanation of the political equator was excellent. Participant was well-prepared. Organization of póster was effective, though the images disrupted the visual flow in their location. The coloring of the poster was beautiful and eye-catching. If the research is furthered in a doctoral setting, I think the methods can be developed to account for additional radical forms of auto-ethnographic approaches or even activist-based policies that aim to not only helped the undocumented population heal but also be legitimized and accepted.
Comment: 
Comment: What went well: 
-Clear that she is passionate about the subject and that it is very personal to her and her community
-Has clear actionable next steps for her thesis
-Appropriately answered questions and accepted suggestions
Suggestion: 
-There was a lot of text on the poster, I would deemphasize the text in lieu of larger images/bullet points
Comment: Thank you very much for your presentation! I appreciate how clearly and thoroughly you engage with Anzaldúa's work and also the third space of the borderlands. Your writing as exhibited on your poster was exquisite, balancing flow with fact; your presentation also held the balance between your passion for this work and the deep theoretical and scholarship you have done. 
I needed a bit more clarity as to how the figures of cosmology engaged with your research, do they offer a methodology, perspective, knowledge you would like to incorporate? Or do you see them as metaphor? Etc. 
As you continue with your project, I wonder how you might think through affect as you conduct interviews, what are the actual interviews telling you and is theory in conflict and complement with this? I also wonder how thinking through the particularities of the Tijuana/SD border can be done through looking at other borders or parts of the border? How does this part of the border differ not only in terms of number, but perhaps the culture of the third space (the Pacific Ocean is also part of this border)? How also does the particular politics and laws of CA operate and enforce the border specifically? Does this differ in Texas, in New Mexico, what about along the Canadian border?  
Thank you again, wonderful job!</t>
  </si>
  <si>
    <t>Justice</t>
  </si>
  <si>
    <t>Comment: Excellent research poster with clear layout and easy-to-follow research method. Absolutely loved the figure 1 that organized and incorporated themes of disclosure, job loss, and accommodations. This was visually stimulating, generated productive questions, and represented some very telling qualitative data. I am curious how this knowledge can help inform better, more transparent corporate practices to help protect autistic employees from wrongful termination. It is astounding that nearly 74% of participants disclosed their disability but did not receive accommodations. The conclusions based on this data were logical and realistic in scope.
Comment: 
Comment: What went well: 
Very organized and had a clear path of discussion 
Well researched and interesting findings that are relevant to me as a supervisor
I appreciated how the concepts were mapped out visually
Suggestions: 
I think the gendered elements of the research should be further explored (why the disparity between 90M and 12F)
Comment: Thank you very much for your fantastic presentation! This subject is one in need of deep consideration, and you've done so with wonderful nuance. You had a excellent way of presenting your research. You are clearly deeply versed in it yet also invited those of us from the outside to understand the complexity and significance of your work. That you not only asked if people disclosed, but what they disclosed, demonstrates such a care to specificity and understanding that the details reveal how change is needed. 
In talking with you, you offered that (and I agree) that institutions need to do more to support accommodations and also cultivate an environment in which people feel safe to disclose information. I'm wondering if there is someplace you can articulate this more clearly, that is the need to hold institutions more accountable (I know that can be scary). 
You've done incredible work that already can have such impact in articulating the need for action; really excellent job!</t>
  </si>
  <si>
    <t>Madeline Miller: "The Song of Achilies" &amp; "Circe"</t>
  </si>
  <si>
    <t xml:space="preserve">Comment: What went well: 
-Appreciated the visuals and clean look of the poster
-Her passion for the subject was palpable
-I liked how she is using more recent books that turn boring old tomes into relatable novels for 21st century consumption
Suggestions: 
-I would have liked to have seen a more deliberate comparison between the themes and motifs between the books and 1-2 sentences of summary for each novel
Comment: 
Comment: This presentation made me want to go out and buy Circe &amp; The Song of Achilles. I appreciated the content and organization of analysis. The literary techniques reminded me why books are so necessary and important. Talking with Kristen about her decision to select these two novels was enjoyable and helped me see people still read and analyze books. We had a productive conversation about the utility of social media in promoting books for youth as well. Perhaps the project could be extended in the future to account for past or comparable versions of Greek mythology to show how author Madeline Miller provided a contemporary twist with themes of feminism and the social politics of war. It is interesting visually how similar the aesthetics for both texts are. 
Comment: Thank you very much for your presentation! I appreciated how much deep work you have done into this writer's oeuvre and how their particular books have impact. Your knowledge and passion for these books was so clear and yet you also demonstrated deep methodological and analytical work. I also appreciated how you see these books as a gateway for interest in education for those who perhaps might not be always so excited to read.  
I'm curious how you see the work you are doing extend beyond these books. To me your work seems to suggest we reconsider assumptions about what interests students and ask what it is fundamentally in literature that they can connect with. I'm curious if this is what you feel and how you see this focused analysis intervening in larger conversations. 
Thank you again for sharing. Wonderful job!
</t>
  </si>
  <si>
    <t>Comment: What went well: 
-Poster was visually appealing
-Topic is relevant to today's discourse on television and film inclusivity (made the Little Mermaid connection)
Suggestions: 
The intro went a little long and felt as though it was a lecture class rather than a discussion
Comment: 
Comment: Thank you very much for your presentation! Your topic is a really interesting and important testament to the complexity of visual and media culture. You both interrogated representation, and how circulation can enforce stereotype, trope, and hegemonies. I appreciated that you focused your research on one specific episode and highlighted particular moments in that episode to demonstrate your argument.
I needed a bit more clarity in regards to the relation between the Black Panther party and Julia. You discussed the idea of the writers of Julia trying to diminish the clout of the Black Panthers for white audiences through the objectification of a Black male character; through the spectacularization of his body. I was intrigued by this and wanted to know more. Literature from dance studies and performance studies might offer you some interesting avenues to explore. 
Thank you again for sharing your work, wonderful job!</t>
  </si>
  <si>
    <t>Comment: Very well presented. She is only 21 and started this work ehe she was18. She wrote and produced the show. Very talented. Well-recognized in Union-Tribune, KUSI and KPBS, well-deserved, great job!
Comment: Writing a play at the intersection of personal family history and world history is a exceptional undertaking. I was immediately struck by Alexis' passion for the project, her originality, and er perseverance in actually getting something like this done from start to finish through interviewing family members, to workshopping the script, to putting it on with a cast of actors at the SD Fringe Festival. I was impressed by her willingness to self-reflect and respond to feedback when making revisions to turn the play from more of list of historical events to a story that the audience can relate to even if it is far from their own lived experience. I would encourage Alexis to question assumptions as she continues these endeavors, perhaps interrogating the meaning of "American Dream" and how it is perceived by many different communities, and whether it is something obtainable by some and not by others, and for what reasons. I was left really wanting to see the play and learn more about the history, which I think is the hallmark of successfully doing what Alexis set out to do.</t>
  </si>
  <si>
    <t>Kerry</t>
  </si>
  <si>
    <t xml:space="preserve">Comment: She did a great job in her poster presentation . In addition to the poster, she displayed a small scale of tranquil hub that helps to visualize het work. Looking forward to visiting her exhibition when she actually builds the unit. Nice job.
Comment: Presenting a conceptual idea for a real installation to be used by students is a challenging undertaking, and I feel Kerry met the challenge with creativity. It can be difficult to put all of these pieces of the puzzle together. I did feel a lack of clarify in figuring out what the central objective with the visuals/objects/oral explanations alone, but reading the poster otself did a good job of clarifying that for me. I was impressed that Kerry drew on research in psychology and cited it even though this isn't a science  paper. However, after reading the hypothesis and methods, I was left not really knowing how the data was collected or analyzed. Were surveys taken before and after? How did you come to the conclusion that everyone had an improvement? I think if you present a project in the way, laying out hypothesis, methods and results, readers will expect that some kind of scientific analysis of the data will take place, even if it is for an M.F
A. project. I did feel like a lot of energy went into the project. I wasn't quite sure how the printed cards, though lovely, fit into the whole of the project. The collective artwork was quite beautiful and perhaps could be made more central to the presentation or aesthetic. There wasn't enough space and it felt like the decluttering chart was obscured the visuals on the right side, and space limitations should be taken into account when doing presentations such as these, though it was refreshing to see a "poster" presentation using the 3-dimensional space rather than just being static on the wall. That made it more engaging. </t>
  </si>
  <si>
    <t>Iren</t>
  </si>
  <si>
    <t>Anisa</t>
  </si>
  <si>
    <t>Clare</t>
  </si>
  <si>
    <t xml:space="preserve">Comment: The combination of colors used are very emotional. Love it!
Comment: This was a unique presentation. Once we began interacting the presenter became much more comfortable, engaged, and clear. The work itself showcased her own digital work but this could have been enhanced. If possible I would have liked to have seen more background on the accompanying iPad. It also would have been useful to have, either on the iPad or an accompanying description on a small poster board, outlining the process. Overall a unique product that would have benefitted tremendously with some additions to the presentation.
Comment: Anisa provided an amazing exhibit about her grandmother’s artwork and how she went about creating the piece digitally. She points to the influence of her mother and grandmother, and how during the process, she developed a closer bond with her grandmother. Anisa spoke very clearly of her influences and her motivation, but she also provided the audience with a deeper and profound way of seeing her art piece. She did an amazing job. 
Comment: Presenter's art work expressed personal connection with family. The connection with family and the evolution of the experience in crafting kinship through art was expressed. Would have liked to hear how this approach to creating digital art could be adapted as service to others seeking to connect with loved ones. </t>
  </si>
  <si>
    <t>Comment: Congratulations! Love the concept!
Comment: Kieran showcased a wonderful exhibit relating to their work within National City and branding. Kieran was able to tie in their experiences of growing up in a similar community and piece together an artistic, thoughtful, and intricate exhibit. One that I believe will have a positive impact on the communities with National City and beyond. 
Comment: What an exceptional presentation and piece of work. Admittedly I have been involved in the overall project from which this graphic design was a part but I truly do not believe that impacts my scoring. The posters were beautifully designed, the artist was able to discuss every aspect of the work fully without prompting, and it is a blend of intellectual rigor and design that fits the needs of a community group. Kudos.
Comment: Presenter is a graphic design student whose exhibition work is active in the community of National City. The presenter's passion, planning, and staging were excellent. An explanation of the design elements and rationale were offered, as well as successfully illustrating how the work carves a stake in the community and its people.</t>
  </si>
  <si>
    <t>Comment: Well presented. It was clear that the student had prepared and was excited about their research.
Comment: Presenter spoke with enthusiasm and was very knowledgeable of topic. 
Comment: it's amazing to learn about the wide variety of talents at SDSU</t>
  </si>
  <si>
    <t>Comment: Great exhibit presentation. Very knowledgeable and organized and was able to answer questions throughly.
Comment: The presentation was organized and clear. The presenter was enthusiastic and well prepared to interact with the judges. They answered all questions well.
Comment: Cutting edge art use ChatGPT</t>
  </si>
  <si>
    <t>bantunez2396@sdsu.edu</t>
  </si>
  <si>
    <t>ecisneros5460@sdsu.edu</t>
  </si>
  <si>
    <t>edelatorre8483@sdsu.edu</t>
  </si>
  <si>
    <t>esagakova1912@sdsu.edu</t>
  </si>
  <si>
    <t>zachary.nasipak@nasa.gov</t>
  </si>
  <si>
    <t>pdestefano@sdsu.edu</t>
  </si>
  <si>
    <t>ppopova4095@sdsu.edu</t>
  </si>
  <si>
    <t>smusuvathy6040@sdsu.edu</t>
  </si>
  <si>
    <t>tnguyen9110@sdsu.edu</t>
  </si>
  <si>
    <t>vghavate3103@sdsu.edu</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</si>
</sst>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h:mm:ss am/pm"/>
    <numFmt numFmtId="165" formatCode="[$-409]h:mm\ AM/PM"/>
    <numFmt numFmtId="166" formatCode="m/d/yyyy h:mm:ss"/>
    <numFmt numFmtId="167" formatCode="h:mm am/pm"/>
    <numFmt numFmtId="168" formatCode="dddd, mmmm d, yyyy"/>
  </numFmts>
  <fonts count="48">
    <font>
      <sz val="11.0"/>
      <color rgb="FF000000"/>
      <name val="Calibri"/>
    </font>
    <font>
      <b/>
      <name val="Calibri"/>
    </font>
    <font>
      <b/>
      <sz val="11.0"/>
      <color rgb="FF000000"/>
      <name val="Calibri"/>
    </font>
    <font>
      <sz val="11.0"/>
      <name val="Arial"/>
    </font>
    <font>
      <name val="Calibri"/>
    </font>
    <font>
      <sz val="11.0"/>
      <name val="Calibri"/>
    </font>
    <font>
      <sz val="11.0"/>
      <color rgb="FF000000"/>
      <name val="Docs-Calibri"/>
    </font>
    <font>
      <strike/>
      <sz val="11.0"/>
      <name val="Arial"/>
    </font>
    <font>
      <sz val="11.0"/>
      <color/>
    </font>
    <font>
      <u/>
      <sz val="11.0"/>
      <color rgb="FF000000"/>
      <name val="Calibri"/>
    </font>
    <font>
      <sz val="12.0"/>
      <name val="Arial"/>
    </font>
    <font>
      <strike/>
      <sz val="11.0"/>
      <color rgb="FF000000"/>
      <name val="Calibri"/>
    </font>
    <font>
      <b/>
      <sz val="10.0"/>
      <name val="Arial"/>
    </font>
    <font>
      <sz val="10.0"/>
      <name val="Arial"/>
    </font>
    <font>
      <sz val="10.0"/>
      <color rgb="FF000000"/>
      <name val="Arial"/>
    </font>
    <font>
      <sz val="11.0"/>
      <color rgb="FF000000"/>
      <name val="Inconsolata"/>
    </font>
    <font>
      <sz val="11.0"/>
      <color rgb="FF777777"/>
      <name val="Inconsolata"/>
    </font>
    <font>
      <name val="Arial"/>
    </font>
    <font>
      <sz val="9.0"/>
      <color rgb="FF231F20"/>
      <name val="Arial"/>
    </font>
    <font>
      <b/>
      <sz val="11.0"/>
      <name val="Calibri"/>
    </font>
    <font>
      <b/>
      <sz val="10.0"/>
      <color rgb="FF000000"/>
      <name val="Arial"/>
    </font>
    <font>
      <b/>
      <sz val="11.0"/>
      <color rgb="FF000000"/>
      <name val="Arial"/>
    </font>
    <font>
      <b/>
      <sz val="12.0"/>
      <color rgb="FF000000"/>
      <name val="Calibri"/>
    </font>
    <font>
      <sz val="11.0"/>
      <color rgb="FF000000"/>
      <name val="Arial"/>
    </font>
    <font>
      <sz val="12.0"/>
      <color rgb="FF000000"/>
      <name val="Calibri"/>
    </font>
    <font>
      <color rgb="FF000000"/>
      <name val="Arial"/>
    </font>
    <font>
      <strike/>
      <name val="Arial"/>
    </font>
    <font>
      <strike/>
      <sz val="11.0"/>
      <color rgb="FF000000"/>
      <name val="Arial"/>
    </font>
    <font>
      <strike/>
      <sz val="12.0"/>
      <name val="Calibri"/>
    </font>
    <font>
      <strike/>
      <color rgb="FF222222"/>
      <name val="Arial"/>
    </font>
    <font>
      <strike/>
      <color rgb="FF000000"/>
      <name val="Arial"/>
    </font>
    <font>
      <u/>
      <sz val="11.0"/>
      <color rgb="FF000000"/>
      <name val="Arial"/>
    </font>
    <font>
      <u/>
      <color rgb="FF000000"/>
      <name val="Arial"/>
    </font>
    <font>
      <strike/>
      <sz val="12.0"/>
      <color rgb="FF000000"/>
      <name val="Calibri"/>
    </font>
    <font>
      <color rgb="FF000000"/>
    </font>
    <font>
      <strike/>
      <sz val="11.0"/>
      <color rgb="FF4A86E8"/>
      <name val="Arial"/>
    </font>
    <font>
      <strike/>
    </font>
    <font>
      <strike/>
      <color rgb="FF4A86E8"/>
      <name val="Arial"/>
    </font>
    <font>
      <strike/>
      <sz val="11.0"/>
      <name val="Calibri"/>
    </font>
    <font/>
    <font>
      <sz val="11.0"/>
      <color rgb="FF000000"/>
    </font>
    <font>
      <strike/>
      <name val="Calibri"/>
    </font>
    <font>
      <b/>
      <sz val="14.0"/>
      <name val="Arial"/>
    </font>
    <font>
      <b/>
    </font>
    <font>
      <sz val="11.0"/>
      <color rgb="FFECECEC"/>
      <name val="&quot;Söhne Mono&quot;"/>
    </font>
    <font>
      <u/>
      <sz val="11.0"/>
      <color rgb="FF000000"/>
      <name val="Calibri"/>
    </font>
    <font>
      <b/>
      <name val="Arial"/>
    </font>
    <font>
      <u/>
      <color rgb="FF1155CC"/>
      <name val="Arial"/>
    </font>
  </fonts>
  <fills count="21">
    <fill>
      <patternFill patternType="none"/>
    </fill>
    <fill>
      <patternFill patternType="lightGray"/>
    </fill>
    <fill>
      <patternFill patternType="solid">
        <fgColor rgb="FFB7B7B7"/>
        <bgColor rgb="FFB7B7B7"/>
      </patternFill>
    </fill>
    <fill>
      <patternFill patternType="solid">
        <fgColor rgb="FFD9D2E9"/>
        <bgColor rgb="FFD9D2E9"/>
      </patternFill>
    </fill>
    <fill>
      <patternFill patternType="solid">
        <fgColor rgb="FFF4CCCC"/>
        <bgColor rgb="FFF4CCCC"/>
      </patternFill>
    </fill>
    <fill>
      <patternFill patternType="solid">
        <fgColor rgb="FFFFF2CC"/>
        <bgColor rgb="FFFFF2CC"/>
      </patternFill>
    </fill>
    <fill>
      <patternFill patternType="solid">
        <fgColor rgb="FFC9DAF8"/>
        <bgColor rgb="FFC9DAF8"/>
      </patternFill>
    </fill>
    <fill>
      <patternFill patternType="solid">
        <fgColor rgb="FFCFE2F3"/>
        <bgColor rgb="FFCFE2F3"/>
      </patternFill>
    </fill>
    <fill>
      <patternFill patternType="solid">
        <fgColor rgb="FFFFFFFF"/>
        <bgColor rgb="FFFFFFFF"/>
      </patternFill>
    </fill>
    <fill>
      <patternFill patternType="solid">
        <fgColor rgb="FF93C47D"/>
        <bgColor rgb="FF93C47D"/>
      </patternFill>
    </fill>
    <fill>
      <patternFill patternType="solid">
        <fgColor rgb="FFB6D7A8"/>
        <bgColor rgb="FFB6D7A8"/>
      </patternFill>
    </fill>
    <fill>
      <patternFill patternType="solid">
        <fgColor rgb="FFFF00FF"/>
        <bgColor rgb="FFFF00FF"/>
      </patternFill>
    </fill>
    <fill>
      <patternFill patternType="solid">
        <fgColor rgb="FFA4C2F4"/>
        <bgColor rgb="FFA4C2F4"/>
      </patternFill>
    </fill>
    <fill>
      <patternFill patternType="solid">
        <fgColor rgb="FFCCCCCC"/>
        <bgColor rgb="FFCCCCCC"/>
      </patternFill>
    </fill>
    <fill>
      <patternFill patternType="solid">
        <fgColor rgb="FFFFE599"/>
        <bgColor rgb="FFFFE599"/>
      </patternFill>
    </fill>
    <fill>
      <patternFill patternType="solid">
        <fgColor rgb="FFBDD6EE"/>
        <bgColor rgb="FFBDD6EE"/>
      </patternFill>
    </fill>
    <fill>
      <patternFill patternType="solid">
        <fgColor rgb="FFF3F3F3"/>
        <bgColor rgb="FFF3F3F3"/>
      </patternFill>
    </fill>
    <fill>
      <patternFill patternType="solid">
        <fgColor rgb="FFBDBDBD"/>
        <bgColor rgb="FFBDBDBD"/>
      </patternFill>
    </fill>
    <fill>
      <patternFill patternType="solid">
        <fgColor rgb="FFBDD7EE"/>
        <bgColor rgb="FFBDD7EE"/>
      </patternFill>
    </fill>
    <fill>
      <patternFill patternType="solid">
        <fgColor rgb="FFB7E1CD"/>
        <bgColor rgb="FFB7E1CD"/>
      </patternFill>
    </fill>
    <fill>
      <patternFill patternType="solid">
        <fgColor rgb="FF212121"/>
        <bgColor rgb="FF212121"/>
      </patternFill>
    </fill>
  </fills>
  <borders count="13">
    <border/>
    <border>
      <top style="thin">
        <color rgb="FF000000"/>
      </top>
    </border>
    <border>
      <left style="thin">
        <color rgb="FF000000"/>
      </left>
      <right style="thin">
        <color rgb="FF000000"/>
      </right>
      <top style="thin">
        <color rgb="FF000000"/>
      </top>
      <bottom style="thin">
        <color rgb="FF000000"/>
      </bottom>
    </border>
    <border>
      <top/>
    </border>
    <border>
      <right/>
      <top/>
    </border>
    <border>
      <right/>
    </border>
    <border>
      <bottom style="thin">
        <color rgb="FF000000"/>
      </bottom>
    </border>
    <border>
      <right style="thin">
        <color rgb="FF000000"/>
      </right>
    </border>
    <border>
      <left style="thick">
        <color rgb="FF000000"/>
      </left>
      <right style="thick">
        <color rgb="FF000000"/>
      </right>
      <top style="thick">
        <color rgb="FF000000"/>
      </top>
      <bottom style="thick">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359">
    <xf borderId="0" fillId="0" fontId="0" numFmtId="0" xfId="0" applyAlignment="1" applyFont="1">
      <alignment readingOrder="0" shrinkToFit="0" vertical="bottom" wrapText="0"/>
    </xf>
    <xf borderId="0" fillId="2" fontId="1" numFmtId="49" xfId="0" applyAlignment="1" applyFill="1" applyFont="1" applyNumberFormat="1">
      <alignment horizontal="left" shrinkToFit="0" vertical="bottom" wrapText="0"/>
    </xf>
    <xf borderId="0" fillId="2" fontId="2" numFmtId="49" xfId="0" applyAlignment="1" applyFont="1" applyNumberFormat="1">
      <alignment horizontal="left" readingOrder="0" shrinkToFit="0" vertical="bottom" wrapText="0"/>
    </xf>
    <xf borderId="0" fillId="2" fontId="2" numFmtId="10" xfId="0" applyAlignment="1" applyFont="1" applyNumberFormat="1">
      <alignment horizontal="left" readingOrder="0" shrinkToFit="0" vertical="bottom" wrapText="0"/>
    </xf>
    <xf borderId="0" fillId="2" fontId="2" numFmtId="2" xfId="0" applyAlignment="1" applyFont="1" applyNumberFormat="1">
      <alignment horizontal="left" readingOrder="0" shrinkToFit="0" vertical="bottom" wrapText="0"/>
    </xf>
    <xf borderId="0" fillId="3" fontId="2" numFmtId="49" xfId="0" applyAlignment="1" applyFill="1" applyFont="1" applyNumberFormat="1">
      <alignment readingOrder="0" shrinkToFit="0" vertical="bottom" wrapText="0"/>
    </xf>
    <xf borderId="0" fillId="3" fontId="2" numFmtId="164" xfId="0" applyAlignment="1" applyFont="1" applyNumberFormat="1">
      <alignment readingOrder="0" shrinkToFit="0" vertical="bottom" wrapText="0"/>
    </xf>
    <xf borderId="0" fillId="4" fontId="2" numFmtId="49" xfId="0" applyAlignment="1" applyFill="1" applyFont="1" applyNumberFormat="1">
      <alignment readingOrder="0" shrinkToFit="0" vertical="bottom" wrapText="0"/>
    </xf>
    <xf borderId="0" fillId="5" fontId="2" numFmtId="49" xfId="0" applyAlignment="1" applyFill="1" applyFont="1" applyNumberFormat="1">
      <alignment readingOrder="0" shrinkToFit="0" vertical="bottom" wrapText="0"/>
    </xf>
    <xf borderId="0" fillId="5" fontId="2" numFmtId="49" xfId="0" applyAlignment="1" applyFont="1" applyNumberFormat="1">
      <alignment readingOrder="0" shrinkToFit="0" vertical="bottom" wrapText="1"/>
    </xf>
    <xf borderId="0" fillId="3" fontId="2" numFmtId="49" xfId="0" applyAlignment="1" applyFont="1" applyNumberFormat="1">
      <alignment horizontal="left" readingOrder="0" shrinkToFit="0" wrapText="0"/>
    </xf>
    <xf borderId="0" fillId="5" fontId="2" numFmtId="49" xfId="0" applyAlignment="1" applyFont="1" applyNumberFormat="1">
      <alignment readingOrder="0" shrinkToFit="0" vertical="bottom" wrapText="0"/>
    </xf>
    <xf borderId="0" fillId="6" fontId="2" numFmtId="49" xfId="0" applyAlignment="1" applyFill="1" applyFont="1" applyNumberFormat="1">
      <alignment readingOrder="0" shrinkToFit="0" vertical="bottom" wrapText="0"/>
    </xf>
    <xf borderId="0" fillId="6" fontId="2" numFmtId="49" xfId="0" applyAlignment="1" applyFont="1" applyNumberFormat="1">
      <alignment readingOrder="0" shrinkToFit="0" vertical="bottom" wrapText="0"/>
    </xf>
    <xf borderId="0" fillId="7" fontId="2" numFmtId="49" xfId="0" applyAlignment="1" applyFill="1" applyFont="1" applyNumberFormat="1">
      <alignment readingOrder="0" shrinkToFit="0" vertical="bottom" wrapText="0"/>
    </xf>
    <xf borderId="0" fillId="8" fontId="2" numFmtId="49" xfId="0" applyAlignment="1" applyFill="1" applyFont="1" applyNumberFormat="1">
      <alignment readingOrder="0" shrinkToFit="0" vertical="bottom" wrapText="0"/>
    </xf>
    <xf borderId="0" fillId="8" fontId="2" numFmtId="0" xfId="0" applyAlignment="1" applyFont="1">
      <alignment readingOrder="0" shrinkToFit="0" vertical="bottom" wrapText="0"/>
    </xf>
    <xf borderId="0" fillId="8" fontId="2" numFmtId="49" xfId="0" applyAlignment="1" applyFont="1" applyNumberFormat="1">
      <alignment readingOrder="0" shrinkToFit="0" vertical="bottom" wrapText="0"/>
    </xf>
    <xf borderId="0" fillId="8" fontId="2" numFmtId="49" xfId="0" applyAlignment="1" applyFont="1" applyNumberFormat="1">
      <alignment readingOrder="0" shrinkToFit="0" vertical="bottom" wrapText="0"/>
    </xf>
    <xf borderId="0" fillId="5" fontId="3" numFmtId="49" xfId="0" applyAlignment="1" applyFont="1" applyNumberFormat="1">
      <alignment shrinkToFit="0" vertical="bottom" wrapText="1"/>
    </xf>
    <xf borderId="0" fillId="9" fontId="4" numFmtId="49" xfId="0" applyAlignment="1" applyFill="1" applyFont="1" applyNumberFormat="1">
      <alignment horizontal="left" shrinkToFit="0" vertical="bottom" wrapText="0"/>
    </xf>
    <xf borderId="0" fillId="10" fontId="4" numFmtId="10" xfId="0" applyAlignment="1" applyFill="1" applyFont="1" applyNumberFormat="1">
      <alignment horizontal="left" shrinkToFit="0" vertical="bottom" wrapText="0"/>
    </xf>
    <xf borderId="0" fillId="9" fontId="4" numFmtId="2" xfId="0" applyAlignment="1" applyFont="1" applyNumberFormat="1">
      <alignment horizontal="left" shrinkToFit="0" vertical="bottom" wrapText="0"/>
    </xf>
    <xf borderId="0" fillId="3" fontId="0" numFmtId="49" xfId="0" applyAlignment="1" applyFont="1" applyNumberFormat="1">
      <alignment readingOrder="0"/>
    </xf>
    <xf borderId="0" fillId="3" fontId="0" numFmtId="164" xfId="0" applyAlignment="1" applyFont="1" applyNumberFormat="1">
      <alignment readingOrder="0"/>
    </xf>
    <xf borderId="0" fillId="4" fontId="5" numFmtId="49" xfId="0" applyAlignment="1" applyFont="1" applyNumberFormat="1">
      <alignment readingOrder="0" shrinkToFit="0" vertical="bottom" wrapText="0"/>
    </xf>
    <xf borderId="0" fillId="5" fontId="0" numFmtId="49" xfId="0" applyAlignment="1" applyFont="1" applyNumberFormat="1">
      <alignment readingOrder="0" shrinkToFit="0" vertical="bottom" wrapText="0"/>
    </xf>
    <xf borderId="0" fillId="5" fontId="0" numFmtId="49" xfId="0" applyAlignment="1" applyFont="1" applyNumberFormat="1">
      <alignment readingOrder="0" shrinkToFit="0" wrapText="1"/>
    </xf>
    <xf borderId="0" fillId="3" fontId="5" numFmtId="49" xfId="0" applyAlignment="1" applyFont="1" applyNumberFormat="1">
      <alignment horizontal="left" readingOrder="0"/>
    </xf>
    <xf borderId="0" fillId="5" fontId="0" numFmtId="49" xfId="0" applyAlignment="1" applyFont="1" applyNumberFormat="1">
      <alignment readingOrder="0"/>
    </xf>
    <xf borderId="0" fillId="5" fontId="0" numFmtId="49" xfId="0" applyAlignment="1" applyFont="1" applyNumberFormat="1">
      <alignment readingOrder="0" shrinkToFit="0" vertical="bottom" wrapText="0"/>
    </xf>
    <xf borderId="0" fillId="6" fontId="0" numFmtId="49" xfId="0" applyAlignment="1" applyFont="1" applyNumberFormat="1">
      <alignment readingOrder="0"/>
    </xf>
    <xf borderId="0" fillId="6" fontId="0" numFmtId="49" xfId="0" applyAlignment="1" applyFont="1" applyNumberFormat="1">
      <alignment readingOrder="0" shrinkToFit="0" vertical="bottom" wrapText="0"/>
    </xf>
    <xf borderId="0" fillId="7" fontId="0" numFmtId="49" xfId="0" applyAlignment="1" applyFont="1" applyNumberFormat="1">
      <alignment readingOrder="0" shrinkToFit="0" vertical="bottom" wrapText="0"/>
    </xf>
    <xf borderId="0" fillId="0" fontId="0" numFmtId="49" xfId="0" applyAlignment="1" applyFont="1" applyNumberFormat="1">
      <alignment readingOrder="0" shrinkToFit="0" vertical="bottom" wrapText="0"/>
    </xf>
    <xf borderId="0" fillId="0" fontId="0" numFmtId="49" xfId="0" applyAlignment="1" applyFont="1" applyNumberFormat="1">
      <alignment shrinkToFit="0" vertical="bottom" wrapText="0"/>
    </xf>
    <xf borderId="0" fillId="0" fontId="0" numFmtId="49" xfId="0" applyFont="1" applyNumberFormat="1"/>
    <xf borderId="0" fillId="0" fontId="0" numFmtId="49" xfId="0" applyAlignment="1" applyFont="1" applyNumberFormat="1">
      <alignment vertical="bottom"/>
    </xf>
    <xf borderId="0" fillId="0" fontId="5" numFmtId="49" xfId="0" applyFont="1" applyNumberFormat="1"/>
    <xf borderId="0" fillId="0" fontId="0" numFmtId="165" xfId="0" applyAlignment="1" applyFont="1" applyNumberFormat="1">
      <alignment horizontal="right"/>
    </xf>
    <xf borderId="0" fillId="0" fontId="0" numFmtId="3" xfId="0" applyAlignment="1" applyFont="1" applyNumberFormat="1">
      <alignment readingOrder="0" shrinkToFit="0" vertical="bottom" wrapText="0"/>
    </xf>
    <xf borderId="1" fillId="0" fontId="5" numFmtId="49" xfId="0" applyBorder="1" applyFont="1" applyNumberFormat="1"/>
    <xf borderId="1" fillId="0" fontId="5" numFmtId="49" xfId="0" applyAlignment="1" applyBorder="1" applyFont="1" applyNumberFormat="1">
      <alignment shrinkToFit="0" wrapText="0"/>
    </xf>
    <xf borderId="0" fillId="0" fontId="0" numFmtId="49" xfId="0" applyAlignment="1" applyFont="1" applyNumberFormat="1">
      <alignment readingOrder="0" shrinkToFit="0" vertical="bottom" wrapText="0"/>
    </xf>
    <xf borderId="0" fillId="0" fontId="0" numFmtId="49" xfId="0" applyAlignment="1" applyFont="1" applyNumberFormat="1">
      <alignment readingOrder="0" shrinkToFit="0" vertical="bottom" wrapText="0"/>
    </xf>
    <xf borderId="0" fillId="8" fontId="0" numFmtId="49" xfId="0" applyAlignment="1" applyFont="1" applyNumberFormat="1">
      <alignment readingOrder="0"/>
    </xf>
    <xf borderId="0" fillId="0" fontId="0" numFmtId="0" xfId="0" applyAlignment="1" applyFont="1">
      <alignment readingOrder="0" shrinkToFit="0" vertical="bottom" wrapText="0"/>
    </xf>
    <xf borderId="0" fillId="3" fontId="5" numFmtId="49" xfId="0" applyAlignment="1" applyFont="1" applyNumberFormat="1">
      <alignment horizontal="left"/>
    </xf>
    <xf borderId="0" fillId="0" fontId="0" numFmtId="49" xfId="0" applyAlignment="1" applyFont="1" applyNumberFormat="1">
      <alignment shrinkToFit="0" vertical="bottom" wrapText="0"/>
    </xf>
    <xf borderId="0" fillId="3" fontId="5" numFmtId="49" xfId="0" applyAlignment="1" applyFont="1" applyNumberFormat="1">
      <alignment readingOrder="0" vertical="bottom"/>
    </xf>
    <xf borderId="0" fillId="0" fontId="0" numFmtId="165" xfId="0" applyAlignment="1" applyFont="1" applyNumberFormat="1">
      <alignment vertical="bottom"/>
    </xf>
    <xf borderId="0" fillId="0" fontId="5" numFmtId="49" xfId="0" applyAlignment="1" applyFont="1" applyNumberFormat="1">
      <alignment shrinkToFit="0" wrapText="0"/>
    </xf>
    <xf borderId="0" fillId="3" fontId="6" numFmtId="49" xfId="0" applyAlignment="1" applyFont="1" applyNumberFormat="1">
      <alignment horizontal="left" readingOrder="0"/>
    </xf>
    <xf borderId="0" fillId="5" fontId="7" numFmtId="49" xfId="0" applyAlignment="1" applyFont="1" applyNumberFormat="1">
      <alignment readingOrder="0" shrinkToFit="0" vertical="bottom" wrapText="1"/>
    </xf>
    <xf borderId="0" fillId="11" fontId="3" numFmtId="49" xfId="0" applyAlignment="1" applyFill="1" applyFont="1" applyNumberFormat="1">
      <alignment shrinkToFit="0" vertical="bottom" wrapText="1"/>
    </xf>
    <xf borderId="0" fillId="11" fontId="4" numFmtId="49" xfId="0" applyAlignment="1" applyFont="1" applyNumberFormat="1">
      <alignment horizontal="left" shrinkToFit="0" vertical="bottom" wrapText="0"/>
    </xf>
    <xf borderId="0" fillId="11" fontId="4" numFmtId="10" xfId="0" applyAlignment="1" applyFont="1" applyNumberFormat="1">
      <alignment horizontal="left" shrinkToFit="0" vertical="bottom" wrapText="0"/>
    </xf>
    <xf borderId="0" fillId="11" fontId="4" numFmtId="2" xfId="0" applyAlignment="1" applyFont="1" applyNumberFormat="1">
      <alignment horizontal="left" shrinkToFit="0" vertical="bottom" wrapText="0"/>
    </xf>
    <xf borderId="0" fillId="11" fontId="0" numFmtId="49" xfId="0" applyAlignment="1" applyFont="1" applyNumberFormat="1">
      <alignment readingOrder="0"/>
    </xf>
    <xf borderId="0" fillId="11" fontId="0" numFmtId="164" xfId="0" applyAlignment="1" applyFont="1" applyNumberFormat="1">
      <alignment readingOrder="0"/>
    </xf>
    <xf borderId="0" fillId="11" fontId="5" numFmtId="49" xfId="0" applyAlignment="1" applyFont="1" applyNumberFormat="1">
      <alignment readingOrder="0" shrinkToFit="0" vertical="bottom" wrapText="0"/>
    </xf>
    <xf borderId="0" fillId="11" fontId="0" numFmtId="49" xfId="0" applyAlignment="1" applyFont="1" applyNumberFormat="1">
      <alignment readingOrder="0" shrinkToFit="0" vertical="bottom" wrapText="0"/>
    </xf>
    <xf borderId="0" fillId="11" fontId="0" numFmtId="49" xfId="0" applyAlignment="1" applyFont="1" applyNumberFormat="1">
      <alignment readingOrder="0" shrinkToFit="0" wrapText="1"/>
    </xf>
    <xf borderId="0" fillId="11" fontId="5" numFmtId="49" xfId="0" applyAlignment="1" applyFont="1" applyNumberFormat="1">
      <alignment horizontal="left" readingOrder="0"/>
    </xf>
    <xf borderId="0" fillId="11" fontId="0" numFmtId="49" xfId="0" applyAlignment="1" applyFont="1" applyNumberFormat="1">
      <alignment readingOrder="0" shrinkToFit="0" vertical="bottom" wrapText="0"/>
    </xf>
    <xf borderId="0" fillId="11" fontId="0" numFmtId="49" xfId="0" applyAlignment="1" applyFont="1" applyNumberFormat="1">
      <alignment shrinkToFit="0" vertical="bottom" wrapText="0"/>
    </xf>
    <xf borderId="0" fillId="11" fontId="0" numFmtId="49" xfId="0" applyAlignment="1" applyFont="1" applyNumberFormat="1">
      <alignment vertical="bottom"/>
    </xf>
    <xf borderId="0" fillId="11" fontId="0" numFmtId="165" xfId="0" applyAlignment="1" applyFont="1" applyNumberFormat="1">
      <alignment vertical="bottom"/>
    </xf>
    <xf borderId="0" fillId="11" fontId="0" numFmtId="3" xfId="0" applyAlignment="1" applyFont="1" applyNumberFormat="1">
      <alignment readingOrder="0" shrinkToFit="0" vertical="bottom" wrapText="0"/>
    </xf>
    <xf borderId="0" fillId="11" fontId="5" numFmtId="49" xfId="0" applyFont="1" applyNumberFormat="1"/>
    <xf borderId="0" fillId="11" fontId="0" numFmtId="49" xfId="0" applyAlignment="1" applyFont="1" applyNumberFormat="1">
      <alignment readingOrder="0" shrinkToFit="0" vertical="bottom" wrapText="0"/>
    </xf>
    <xf borderId="0" fillId="11" fontId="0" numFmtId="49" xfId="0" applyAlignment="1" applyFont="1" applyNumberFormat="1">
      <alignment shrinkToFit="0" vertical="bottom" wrapText="0"/>
    </xf>
    <xf borderId="0" fillId="11" fontId="0" numFmtId="49" xfId="0" applyAlignment="1" applyFont="1" applyNumberFormat="1">
      <alignment readingOrder="0" shrinkToFit="0" vertical="bottom" wrapText="0"/>
    </xf>
    <xf borderId="0" fillId="0" fontId="0" numFmtId="165" xfId="0" applyAlignment="1" applyFont="1" applyNumberFormat="1">
      <alignment horizontal="right" vertical="center"/>
    </xf>
    <xf borderId="0" fillId="0" fontId="8" numFmtId="3" xfId="0" applyAlignment="1" applyFont="1" applyNumberFormat="1">
      <alignment horizontal="right" readingOrder="0" vertical="center"/>
    </xf>
    <xf borderId="0" fillId="0" fontId="5" numFmtId="49" xfId="0" applyAlignment="1" applyFont="1" applyNumberFormat="1">
      <alignment vertical="bottom"/>
    </xf>
    <xf borderId="0" fillId="0" fontId="9" numFmtId="49" xfId="0" applyAlignment="1" applyFont="1" applyNumberFormat="1">
      <alignment readingOrder="0" shrinkToFit="0" vertical="bottom" wrapText="0"/>
    </xf>
    <xf borderId="0" fillId="0" fontId="0" numFmtId="3" xfId="0" applyAlignment="1" applyFont="1" applyNumberFormat="1">
      <alignment horizontal="right" readingOrder="0" shrinkToFit="0" vertical="bottom" wrapText="0"/>
    </xf>
    <xf borderId="0" fillId="5" fontId="7" numFmtId="49" xfId="0" applyAlignment="1" applyFont="1" applyNumberFormat="1">
      <alignment shrinkToFit="0" vertical="bottom" wrapText="1"/>
    </xf>
    <xf borderId="0" fillId="3" fontId="5" numFmtId="49" xfId="0" applyAlignment="1" applyFont="1" applyNumberFormat="1">
      <alignment horizontal="left" readingOrder="0" shrinkToFit="0" vertical="bottom" wrapText="0"/>
    </xf>
    <xf borderId="0" fillId="11" fontId="0" numFmtId="49" xfId="0" applyFont="1" applyNumberFormat="1"/>
    <xf borderId="0" fillId="11" fontId="0" numFmtId="165" xfId="0" applyAlignment="1" applyFont="1" applyNumberFormat="1">
      <alignment horizontal="right"/>
    </xf>
    <xf borderId="0" fillId="11" fontId="0" numFmtId="0" xfId="0" applyAlignment="1" applyFont="1">
      <alignment readingOrder="0" shrinkToFit="0" vertical="bottom" wrapText="0"/>
    </xf>
    <xf borderId="0" fillId="0" fontId="0" numFmtId="0" xfId="0" applyAlignment="1" applyFont="1">
      <alignment horizontal="left" vertical="center"/>
    </xf>
    <xf borderId="0" fillId="5" fontId="0" numFmtId="49" xfId="0" applyAlignment="1" applyFont="1" applyNumberFormat="1">
      <alignment shrinkToFit="0" vertical="bottom" wrapText="0"/>
    </xf>
    <xf borderId="2" fillId="0" fontId="0" numFmtId="49" xfId="0" applyAlignment="1" applyBorder="1" applyFont="1" applyNumberFormat="1">
      <alignment readingOrder="0" shrinkToFit="0" vertical="bottom" wrapText="0"/>
    </xf>
    <xf borderId="3" fillId="0" fontId="0" numFmtId="49" xfId="0" applyAlignment="1" applyBorder="1" applyFont="1" applyNumberFormat="1">
      <alignment readingOrder="0" shrinkToFit="0" vertical="bottom" wrapText="0"/>
    </xf>
    <xf borderId="4" fillId="0" fontId="0" numFmtId="49" xfId="0" applyAlignment="1" applyBorder="1" applyFont="1" applyNumberFormat="1">
      <alignment shrinkToFit="0" vertical="bottom" wrapText="0"/>
    </xf>
    <xf borderId="0" fillId="3" fontId="10" numFmtId="49" xfId="0" applyAlignment="1" applyFont="1" applyNumberFormat="1">
      <alignment vertical="bottom"/>
    </xf>
    <xf borderId="0" fillId="0" fontId="0" numFmtId="49" xfId="0" applyAlignment="1" applyFont="1" applyNumberFormat="1">
      <alignment horizontal="right" readingOrder="0" shrinkToFit="0" vertical="bottom" wrapText="0"/>
    </xf>
    <xf borderId="0" fillId="5" fontId="5" numFmtId="49" xfId="0" applyAlignment="1" applyFont="1" applyNumberFormat="1">
      <alignment shrinkToFit="0" vertical="bottom" wrapText="0"/>
    </xf>
    <xf borderId="0" fillId="0" fontId="0" numFmtId="49" xfId="0" applyAlignment="1" applyFont="1" applyNumberFormat="1">
      <alignment shrinkToFit="0" vertical="bottom" wrapText="0"/>
    </xf>
    <xf borderId="0" fillId="0" fontId="11" numFmtId="49" xfId="0" applyAlignment="1" applyFont="1" applyNumberFormat="1">
      <alignment readingOrder="0" shrinkToFit="0" vertical="bottom" wrapText="0"/>
    </xf>
    <xf borderId="0" fillId="0" fontId="11" numFmtId="0" xfId="0" applyAlignment="1" applyFont="1">
      <alignment readingOrder="0" shrinkToFit="0" vertical="bottom" wrapText="0"/>
    </xf>
    <xf borderId="0" fillId="0" fontId="11" numFmtId="49" xfId="0" applyAlignment="1" applyFont="1" applyNumberFormat="1">
      <alignment shrinkToFit="0" vertical="bottom" wrapText="0"/>
    </xf>
    <xf borderId="0" fillId="0" fontId="11" numFmtId="49" xfId="0" applyAlignment="1" applyFont="1" applyNumberFormat="1">
      <alignment readingOrder="0" shrinkToFit="0" vertical="bottom" wrapText="0"/>
    </xf>
    <xf borderId="0" fillId="0" fontId="11" numFmtId="49" xfId="0" applyAlignment="1" applyFont="1" applyNumberFormat="1">
      <alignment readingOrder="0" shrinkToFit="0" vertical="bottom" wrapText="0"/>
    </xf>
    <xf borderId="0" fillId="0" fontId="0" numFmtId="49" xfId="0" applyAlignment="1" applyFont="1" applyNumberFormat="1">
      <alignment horizontal="right" readingOrder="0" shrinkToFit="0" vertical="bottom" wrapText="0"/>
    </xf>
    <xf borderId="0" fillId="0" fontId="4" numFmtId="49" xfId="0" applyAlignment="1" applyFont="1" applyNumberFormat="1">
      <alignment horizontal="left" shrinkToFit="0" vertical="bottom" wrapText="0"/>
    </xf>
    <xf borderId="0" fillId="10" fontId="4" numFmtId="49" xfId="0" applyAlignment="1" applyFont="1" applyNumberFormat="1">
      <alignment horizontal="left" shrinkToFit="0" vertical="bottom" wrapText="0"/>
    </xf>
    <xf borderId="0" fillId="3" fontId="0" numFmtId="49" xfId="0" applyAlignment="1" applyFont="1" applyNumberFormat="1">
      <alignment readingOrder="0" shrinkToFit="0" vertical="bottom" wrapText="0"/>
    </xf>
    <xf borderId="0" fillId="3" fontId="0" numFmtId="164" xfId="0" applyAlignment="1" applyFont="1" applyNumberFormat="1">
      <alignment readingOrder="0" shrinkToFit="0" vertical="bottom" wrapText="0"/>
    </xf>
    <xf borderId="0" fillId="4" fontId="0" numFmtId="49" xfId="0" applyAlignment="1" applyFont="1" applyNumberFormat="1">
      <alignment readingOrder="0" shrinkToFit="0" vertical="bottom" wrapText="0"/>
    </xf>
    <xf borderId="0" fillId="5" fontId="0" numFmtId="49" xfId="0" applyAlignment="1" applyFont="1" applyNumberFormat="1">
      <alignment readingOrder="0" shrinkToFit="0" vertical="bottom" wrapText="1"/>
    </xf>
    <xf borderId="0" fillId="5" fontId="0" numFmtId="49" xfId="0" applyAlignment="1" applyFont="1" applyNumberFormat="1">
      <alignment shrinkToFit="0" vertical="bottom" wrapText="0"/>
    </xf>
    <xf borderId="0" fillId="6" fontId="0" numFmtId="0" xfId="0" applyAlignment="1" applyFont="1">
      <alignment readingOrder="0" shrinkToFit="0" vertical="bottom" wrapText="0"/>
    </xf>
    <xf borderId="0" fillId="6" fontId="0" numFmtId="0" xfId="0" applyAlignment="1" applyFont="1">
      <alignment readingOrder="0" shrinkToFit="0" vertical="bottom" wrapText="0"/>
    </xf>
    <xf borderId="0" fillId="0" fontId="5" numFmtId="0" xfId="0" applyFont="1"/>
    <xf borderId="0" fillId="0" fontId="12" numFmtId="49" xfId="0" applyAlignment="1" applyFont="1" applyNumberFormat="1">
      <alignment horizontal="left" vertical="bottom"/>
    </xf>
    <xf borderId="0" fillId="0" fontId="12" numFmtId="49" xfId="0" applyAlignment="1" applyFont="1" applyNumberFormat="1">
      <alignment vertical="bottom"/>
    </xf>
    <xf borderId="0" fillId="7" fontId="12" numFmtId="49" xfId="0" applyAlignment="1" applyFont="1" applyNumberFormat="1">
      <alignment vertical="bottom"/>
    </xf>
    <xf borderId="0" fillId="3" fontId="12" numFmtId="49" xfId="0" applyAlignment="1" applyFont="1" applyNumberFormat="1">
      <alignment vertical="bottom"/>
    </xf>
    <xf borderId="0" fillId="0" fontId="12" numFmtId="0" xfId="0" applyAlignment="1" applyFont="1">
      <alignment readingOrder="0"/>
    </xf>
    <xf borderId="0" fillId="0" fontId="13" numFmtId="0" xfId="0" applyFont="1"/>
    <xf borderId="0" fillId="0" fontId="3" numFmtId="49" xfId="0" applyAlignment="1" applyFont="1" applyNumberFormat="1">
      <alignment horizontal="left" vertical="bottom"/>
    </xf>
    <xf borderId="0" fillId="0" fontId="14" numFmtId="0" xfId="0" applyAlignment="1" applyFont="1">
      <alignment horizontal="right" readingOrder="0" shrinkToFit="0" wrapText="0"/>
    </xf>
    <xf borderId="0" fillId="8" fontId="15" numFmtId="0" xfId="0" applyFont="1"/>
    <xf borderId="0" fillId="7" fontId="13" numFmtId="0" xfId="0" applyFont="1"/>
    <xf borderId="0" fillId="3" fontId="14" numFmtId="0" xfId="0" applyFont="1"/>
    <xf borderId="0" fillId="0" fontId="13" numFmtId="10" xfId="0" applyFont="1" applyNumberFormat="1"/>
    <xf borderId="0" fillId="8" fontId="16" numFmtId="0" xfId="0" applyFont="1"/>
    <xf borderId="0" fillId="0" fontId="13" numFmtId="0" xfId="0" applyAlignment="1" applyFont="1">
      <alignment readingOrder="0"/>
    </xf>
    <xf borderId="0" fillId="8" fontId="17" numFmtId="49" xfId="0" applyAlignment="1" applyFont="1" applyNumberFormat="1">
      <alignment horizontal="left" vertical="top"/>
    </xf>
    <xf borderId="0" fillId="8" fontId="17" numFmtId="49" xfId="0" applyAlignment="1" applyFont="1" applyNumberFormat="1">
      <alignment horizontal="left" vertical="bottom"/>
    </xf>
    <xf borderId="0" fillId="8" fontId="18" numFmtId="49" xfId="0" applyAlignment="1" applyFont="1" applyNumberFormat="1">
      <alignment horizontal="left" vertical="top"/>
    </xf>
    <xf borderId="0" fillId="0" fontId="17" numFmtId="49" xfId="0" applyAlignment="1" applyFont="1" applyNumberFormat="1">
      <alignment horizontal="left" vertical="bottom"/>
    </xf>
    <xf borderId="0" fillId="0" fontId="17" numFmtId="49" xfId="0" applyAlignment="1" applyFont="1" applyNumberFormat="1">
      <alignment horizontal="left" readingOrder="0" vertical="bottom"/>
    </xf>
    <xf borderId="0" fillId="0" fontId="13" numFmtId="49" xfId="0" applyAlignment="1" applyFont="1" applyNumberFormat="1">
      <alignment horizontal="left"/>
    </xf>
    <xf borderId="0" fillId="0" fontId="1" numFmtId="0" xfId="0" applyAlignment="1" applyFont="1">
      <alignment horizontal="center" vertical="top"/>
    </xf>
    <xf borderId="0" fillId="0" fontId="1" numFmtId="49" xfId="0" applyAlignment="1" applyFont="1" applyNumberFormat="1">
      <alignment horizontal="center" vertical="top"/>
    </xf>
    <xf borderId="0" fillId="3" fontId="1" numFmtId="0" xfId="0" applyAlignment="1" applyFont="1">
      <alignment horizontal="center" vertical="top"/>
    </xf>
    <xf borderId="0" fillId="5" fontId="2" numFmtId="0" xfId="0" applyAlignment="1" applyFont="1">
      <alignment horizontal="center" vertical="top"/>
    </xf>
    <xf borderId="0" fillId="0" fontId="19" numFmtId="0" xfId="0" applyAlignment="1" applyFont="1">
      <alignment horizontal="center" vertical="top"/>
    </xf>
    <xf borderId="0" fillId="8" fontId="2" numFmtId="0" xfId="0" applyFont="1"/>
    <xf borderId="0" fillId="0" fontId="1" numFmtId="0" xfId="0" applyAlignment="1" applyFont="1">
      <alignment horizontal="center" readingOrder="0"/>
    </xf>
    <xf borderId="0" fillId="0" fontId="1" numFmtId="0" xfId="0" applyAlignment="1" applyFont="1">
      <alignment readingOrder="0"/>
    </xf>
    <xf borderId="0" fillId="0" fontId="1" numFmtId="0" xfId="0" applyAlignment="1" applyFont="1">
      <alignment horizontal="center" readingOrder="0" vertical="top"/>
    </xf>
    <xf borderId="0" fillId="0" fontId="4" numFmtId="166" xfId="0" applyAlignment="1" applyFont="1" applyNumberFormat="1">
      <alignment horizontal="center" vertical="top"/>
    </xf>
    <xf borderId="0" fillId="0" fontId="4" numFmtId="0" xfId="0" applyAlignment="1" applyFont="1">
      <alignment horizontal="center" vertical="top"/>
    </xf>
    <xf borderId="0" fillId="0" fontId="4" numFmtId="0" xfId="0" applyAlignment="1" applyFont="1">
      <alignment horizontal="center"/>
    </xf>
    <xf borderId="0" fillId="0" fontId="5" numFmtId="49" xfId="0" applyAlignment="1" applyFont="1" applyNumberFormat="1">
      <alignment horizontal="center" vertical="bottom"/>
    </xf>
    <xf borderId="0" fillId="8" fontId="0" numFmtId="0" xfId="0" applyFont="1"/>
    <xf borderId="0" fillId="8" fontId="0" numFmtId="0" xfId="0" applyAlignment="1" applyFont="1">
      <alignment horizontal="center" readingOrder="0"/>
    </xf>
    <xf borderId="0" fillId="8" fontId="0" numFmtId="0" xfId="0" applyAlignment="1" applyFont="1">
      <alignment horizontal="center"/>
    </xf>
    <xf borderId="0" fillId="8" fontId="0" numFmtId="0" xfId="0" applyAlignment="1" applyFont="1">
      <alignment readingOrder="0"/>
    </xf>
    <xf borderId="0" fillId="0" fontId="4" numFmtId="0" xfId="0" applyAlignment="1" applyFont="1">
      <alignment horizontal="center" readingOrder="0" vertical="top"/>
    </xf>
    <xf borderId="0" fillId="0" fontId="0" numFmtId="0" xfId="0" applyAlignment="1" applyFont="1">
      <alignment readingOrder="0"/>
    </xf>
    <xf borderId="0" fillId="8" fontId="6" numFmtId="0" xfId="0" applyAlignment="1" applyFont="1">
      <alignment horizontal="left" readingOrder="0"/>
    </xf>
    <xf borderId="0" fillId="0" fontId="20" numFmtId="49" xfId="0" applyAlignment="1" applyFont="1" applyNumberFormat="1">
      <alignment vertical="bottom"/>
    </xf>
    <xf borderId="0" fillId="0" fontId="20" numFmtId="0" xfId="0" applyAlignment="1" applyFont="1">
      <alignment vertical="bottom"/>
    </xf>
    <xf borderId="0" fillId="0" fontId="20" numFmtId="0" xfId="0" applyAlignment="1" applyFont="1">
      <alignment horizontal="left" vertical="bottom"/>
    </xf>
    <xf borderId="0" fillId="7" fontId="20" numFmtId="0" xfId="0" applyAlignment="1" applyFont="1">
      <alignment vertical="bottom"/>
    </xf>
    <xf borderId="0" fillId="12" fontId="20" numFmtId="0" xfId="0" applyAlignment="1" applyFill="1" applyFont="1">
      <alignment vertical="bottom"/>
    </xf>
    <xf borderId="0" fillId="13" fontId="20" numFmtId="10" xfId="0" applyAlignment="1" applyFill="1" applyFont="1" applyNumberFormat="1">
      <alignment readingOrder="0" vertical="bottom"/>
    </xf>
    <xf borderId="0" fillId="0" fontId="12" numFmtId="49" xfId="0" applyAlignment="1" applyFont="1" applyNumberFormat="1">
      <alignment readingOrder="0" vertical="bottom"/>
    </xf>
    <xf borderId="0" fillId="0" fontId="12" numFmtId="0" xfId="0" applyAlignment="1" applyFont="1">
      <alignment readingOrder="0" vertical="bottom"/>
    </xf>
    <xf borderId="5" fillId="0" fontId="12" numFmtId="0" xfId="0" applyAlignment="1" applyBorder="1" applyFont="1">
      <alignment shrinkToFit="0" vertical="bottom" wrapText="0"/>
    </xf>
    <xf borderId="0" fillId="0" fontId="13" numFmtId="0" xfId="0" applyAlignment="1" applyFont="1">
      <alignment horizontal="left" readingOrder="0"/>
    </xf>
    <xf borderId="0" fillId="0" fontId="13" numFmtId="0" xfId="0" applyAlignment="1" applyFont="1">
      <alignment horizontal="left"/>
    </xf>
    <xf borderId="0" fillId="0" fontId="13" numFmtId="49" xfId="0" applyFont="1" applyNumberFormat="1"/>
    <xf borderId="0" fillId="8" fontId="14" numFmtId="0" xfId="0" applyFont="1"/>
    <xf borderId="0" fillId="7" fontId="14" numFmtId="0" xfId="0" applyFont="1"/>
    <xf borderId="0" fillId="8" fontId="14" numFmtId="10" xfId="0" applyFont="1" applyNumberFormat="1"/>
    <xf borderId="0" fillId="0" fontId="14" numFmtId="49" xfId="0" applyAlignment="1" applyFont="1" applyNumberFormat="1">
      <alignment readingOrder="0" shrinkToFit="0" wrapText="0"/>
    </xf>
    <xf borderId="0" fillId="0" fontId="3" numFmtId="0" xfId="0" applyAlignment="1" applyFont="1">
      <alignment horizontal="center" vertical="bottom"/>
    </xf>
    <xf borderId="0" fillId="0" fontId="13" numFmtId="0" xfId="0" applyAlignment="1" applyFont="1">
      <alignment horizontal="left" readingOrder="0"/>
    </xf>
    <xf borderId="0" fillId="0" fontId="13" numFmtId="0" xfId="0" applyAlignment="1" applyFont="1">
      <alignment readingOrder="0"/>
    </xf>
    <xf borderId="0" fillId="8" fontId="17" numFmtId="0" xfId="0" applyAlignment="1" applyFont="1">
      <alignment horizontal="center" vertical="top"/>
    </xf>
    <xf borderId="0" fillId="8" fontId="17" numFmtId="0" xfId="0" applyAlignment="1" applyFont="1">
      <alignment horizontal="center" vertical="bottom"/>
    </xf>
    <xf borderId="0" fillId="8" fontId="18" numFmtId="0" xfId="0" applyAlignment="1" applyFont="1">
      <alignment horizontal="center" vertical="top"/>
    </xf>
    <xf borderId="0" fillId="0" fontId="17" numFmtId="0" xfId="0" applyAlignment="1" applyFont="1">
      <alignment horizontal="center" vertical="bottom"/>
    </xf>
    <xf borderId="0" fillId="0" fontId="17" numFmtId="0" xfId="0" applyAlignment="1" applyFont="1">
      <alignment horizontal="center" readingOrder="0" vertical="bottom"/>
    </xf>
    <xf borderId="0" fillId="0" fontId="17" numFmtId="0" xfId="0" applyAlignment="1" applyFont="1">
      <alignment horizontal="center" vertical="bottom"/>
    </xf>
    <xf borderId="0" fillId="5" fontId="2" numFmtId="49" xfId="0" applyAlignment="1" applyFont="1" applyNumberFormat="1">
      <alignment horizontal="left" shrinkToFit="0" vertical="bottom" wrapText="1"/>
    </xf>
    <xf borderId="0" fillId="5" fontId="21" numFmtId="49" xfId="0" applyAlignment="1" applyFont="1" applyNumberFormat="1">
      <alignment horizontal="left" shrinkToFit="0" vertical="bottom" wrapText="1"/>
    </xf>
    <xf borderId="0" fillId="5" fontId="21" numFmtId="0" xfId="0" applyAlignment="1" applyFont="1">
      <alignment horizontal="left" shrinkToFit="0" vertical="bottom" wrapText="1"/>
    </xf>
    <xf borderId="0" fillId="5" fontId="22" numFmtId="0" xfId="0" applyAlignment="1" applyFont="1">
      <alignment horizontal="left" shrinkToFit="0" vertical="bottom" wrapText="1"/>
    </xf>
    <xf borderId="0" fillId="5" fontId="2" numFmtId="0" xfId="0" applyAlignment="1" applyFont="1">
      <alignment horizontal="left" shrinkToFit="0" vertical="bottom" wrapText="1"/>
    </xf>
    <xf borderId="0" fillId="5" fontId="21" numFmtId="167" xfId="0" applyAlignment="1" applyFont="1" applyNumberFormat="1">
      <alignment horizontal="left" shrinkToFit="0" vertical="bottom" wrapText="1"/>
    </xf>
    <xf borderId="0" fillId="0" fontId="23" numFmtId="0" xfId="0" applyAlignment="1" applyFont="1">
      <alignment horizontal="left" shrinkToFit="0" vertical="bottom" wrapText="1"/>
    </xf>
    <xf borderId="0" fillId="0" fontId="23" numFmtId="168" xfId="0" applyAlignment="1" applyFont="1" applyNumberFormat="1">
      <alignment horizontal="left" shrinkToFit="0" vertical="bottom" wrapText="1"/>
    </xf>
    <xf borderId="0" fillId="0" fontId="23" numFmtId="167" xfId="0" applyAlignment="1" applyFont="1" applyNumberFormat="1">
      <alignment horizontal="left" shrinkToFit="0" vertical="bottom" wrapText="1"/>
    </xf>
    <xf borderId="0" fillId="0" fontId="2" numFmtId="0" xfId="0" applyAlignment="1" applyFont="1">
      <alignment horizontal="left" shrinkToFit="0" vertical="bottom" wrapText="1"/>
    </xf>
    <xf borderId="0" fillId="0" fontId="0" numFmtId="0" xfId="0" applyAlignment="1" applyFont="1">
      <alignment horizontal="left" vertical="bottom"/>
    </xf>
    <xf borderId="0" fillId="5" fontId="23" numFmtId="49" xfId="0" applyAlignment="1" applyFont="1" applyNumberFormat="1">
      <alignment horizontal="left" shrinkToFit="0" vertical="bottom" wrapText="1"/>
    </xf>
    <xf borderId="0" fillId="5" fontId="23" numFmtId="0" xfId="0" applyAlignment="1" applyFont="1">
      <alignment horizontal="left" shrinkToFit="0" vertical="bottom" wrapText="1"/>
    </xf>
    <xf borderId="0" fillId="5" fontId="24" numFmtId="0" xfId="0" applyAlignment="1" applyFont="1">
      <alignment horizontal="left" vertical="bottom"/>
    </xf>
    <xf borderId="0" fillId="5" fontId="23" numFmtId="0" xfId="0" applyAlignment="1" applyFont="1">
      <alignment horizontal="left" vertical="bottom"/>
    </xf>
    <xf borderId="0" fillId="5" fontId="23" numFmtId="167" xfId="0" applyAlignment="1" applyFont="1" applyNumberFormat="1">
      <alignment horizontal="left" shrinkToFit="0" vertical="bottom" wrapText="1"/>
    </xf>
    <xf borderId="0" fillId="5" fontId="23" numFmtId="0" xfId="0" applyAlignment="1" applyFont="1">
      <alignment horizontal="left" shrinkToFit="0" vertical="bottom" wrapText="1"/>
    </xf>
    <xf borderId="0" fillId="5" fontId="0" numFmtId="0" xfId="0" applyAlignment="1" applyFont="1">
      <alignment horizontal="left" vertical="bottom"/>
    </xf>
    <xf borderId="0" fillId="0" fontId="25" numFmtId="0" xfId="0" applyAlignment="1" applyFont="1">
      <alignment horizontal="left" shrinkToFit="0" vertical="bottom" wrapText="1"/>
    </xf>
    <xf borderId="0" fillId="0" fontId="25" numFmtId="0" xfId="0" applyAlignment="1" applyFont="1">
      <alignment horizontal="left" readingOrder="0" shrinkToFit="0" vertical="bottom" wrapText="1"/>
    </xf>
    <xf borderId="0" fillId="5" fontId="26" numFmtId="49" xfId="0" applyAlignment="1" applyFont="1" applyNumberFormat="1">
      <alignment horizontal="left" readingOrder="0" shrinkToFit="0" vertical="bottom" wrapText="1"/>
    </xf>
    <xf borderId="0" fillId="5" fontId="26" numFmtId="49" xfId="0" applyAlignment="1" applyFont="1" applyNumberFormat="1">
      <alignment horizontal="left" readingOrder="0" shrinkToFit="0" vertical="bottom" wrapText="1"/>
    </xf>
    <xf borderId="0" fillId="5" fontId="27" numFmtId="49" xfId="0" applyAlignment="1" applyFont="1" applyNumberFormat="1">
      <alignment horizontal="left" shrinkToFit="0" vertical="bottom" wrapText="1"/>
    </xf>
    <xf borderId="0" fillId="5" fontId="27" numFmtId="0" xfId="0" applyAlignment="1" applyFont="1">
      <alignment horizontal="left" readingOrder="0" shrinkToFit="0" vertical="bottom" wrapText="1"/>
    </xf>
    <xf borderId="0" fillId="5" fontId="28" numFmtId="0" xfId="0" applyAlignment="1" applyFont="1">
      <alignment horizontal="left" readingOrder="0" vertical="bottom"/>
    </xf>
    <xf borderId="0" fillId="5" fontId="29" numFmtId="0" xfId="0" applyAlignment="1" applyFont="1">
      <alignment horizontal="left" vertical="bottom"/>
    </xf>
    <xf borderId="0" fillId="5" fontId="26" numFmtId="167" xfId="0" applyAlignment="1" applyFont="1" applyNumberFormat="1">
      <alignment horizontal="left" readingOrder="0" shrinkToFit="0" vertical="bottom" wrapText="1"/>
    </xf>
    <xf borderId="0" fillId="5" fontId="26" numFmtId="0" xfId="0" applyAlignment="1" applyFont="1">
      <alignment horizontal="left" shrinkToFit="0" vertical="bottom" wrapText="1"/>
    </xf>
    <xf borderId="0" fillId="5" fontId="27" numFmtId="0" xfId="0" applyAlignment="1" applyFont="1">
      <alignment horizontal="left" shrinkToFit="0" vertical="bottom" wrapText="1"/>
    </xf>
    <xf borderId="0" fillId="5" fontId="26" numFmtId="0" xfId="0" applyAlignment="1" applyFont="1">
      <alignment horizontal="left" shrinkToFit="0" vertical="bottom" wrapText="1"/>
    </xf>
    <xf borderId="0" fillId="5" fontId="11" numFmtId="0" xfId="0" applyAlignment="1" applyFont="1">
      <alignment horizontal="left" vertical="bottom"/>
    </xf>
    <xf borderId="0" fillId="5" fontId="27" numFmtId="0" xfId="0" applyAlignment="1" applyFont="1">
      <alignment horizontal="left" shrinkToFit="0" vertical="bottom" wrapText="1"/>
    </xf>
    <xf borderId="0" fillId="5" fontId="30" numFmtId="0" xfId="0" applyAlignment="1" applyFont="1">
      <alignment horizontal="left" shrinkToFit="0" vertical="bottom" wrapText="1"/>
    </xf>
    <xf borderId="0" fillId="5" fontId="30" numFmtId="0" xfId="0" applyAlignment="1" applyFont="1">
      <alignment horizontal="left" readingOrder="0" shrinkToFit="0" vertical="bottom" wrapText="1"/>
    </xf>
    <xf borderId="0" fillId="5" fontId="23" numFmtId="0" xfId="0" applyAlignment="1" applyFont="1">
      <alignment horizontal="left" vertical="bottom"/>
    </xf>
    <xf borderId="0" fillId="5" fontId="23" numFmtId="166" xfId="0" applyAlignment="1" applyFont="1" applyNumberFormat="1">
      <alignment horizontal="left" shrinkToFit="0" vertical="bottom" wrapText="1"/>
    </xf>
    <xf borderId="0" fillId="5" fontId="0" numFmtId="0" xfId="0" applyAlignment="1" applyFont="1">
      <alignment horizontal="left" shrinkToFit="0" vertical="bottom" wrapText="1"/>
    </xf>
    <xf borderId="0" fillId="5" fontId="0" numFmtId="0" xfId="0" applyAlignment="1" applyFont="1">
      <alignment horizontal="left" vertical="bottom"/>
    </xf>
    <xf borderId="6" fillId="5" fontId="23" numFmtId="0" xfId="0" applyAlignment="1" applyBorder="1" applyFont="1">
      <alignment horizontal="left" vertical="bottom"/>
    </xf>
    <xf borderId="0" fillId="5" fontId="23" numFmtId="0" xfId="0" applyAlignment="1" applyFont="1">
      <alignment horizontal="left" vertical="bottom"/>
    </xf>
    <xf borderId="0" fillId="5" fontId="23" numFmtId="0" xfId="0" applyAlignment="1" applyFont="1">
      <alignment horizontal="left" shrinkToFit="0" vertical="bottom" wrapText="0"/>
    </xf>
    <xf borderId="0" fillId="5" fontId="31" numFmtId="166" xfId="0" applyAlignment="1" applyFont="1" applyNumberFormat="1">
      <alignment horizontal="left" vertical="bottom"/>
    </xf>
    <xf borderId="0" fillId="0" fontId="25" numFmtId="0" xfId="0" applyAlignment="1" applyFont="1">
      <alignment horizontal="left" vertical="bottom"/>
    </xf>
    <xf borderId="0" fillId="0" fontId="25" numFmtId="49" xfId="0" applyAlignment="1" applyFont="1" applyNumberFormat="1">
      <alignment horizontal="left" vertical="bottom"/>
    </xf>
    <xf borderId="0" fillId="0" fontId="32" numFmtId="0" xfId="0" applyAlignment="1" applyFont="1">
      <alignment horizontal="left" vertical="bottom"/>
    </xf>
    <xf borderId="7" fillId="0" fontId="25" numFmtId="0" xfId="0" applyAlignment="1" applyBorder="1" applyFont="1">
      <alignment horizontal="left" shrinkToFit="0" vertical="bottom" wrapText="1"/>
    </xf>
    <xf borderId="0" fillId="5" fontId="23" numFmtId="0" xfId="0" applyAlignment="1" applyFont="1">
      <alignment horizontal="left" readingOrder="0" shrinkToFit="0" vertical="bottom" wrapText="1"/>
    </xf>
    <xf borderId="0" fillId="5" fontId="27" numFmtId="49" xfId="0" applyAlignment="1" applyFont="1" applyNumberFormat="1">
      <alignment horizontal="left" shrinkToFit="0" vertical="bottom" wrapText="1"/>
    </xf>
    <xf borderId="0" fillId="5" fontId="33" numFmtId="0" xfId="0" applyAlignment="1" applyFont="1">
      <alignment horizontal="left" vertical="bottom"/>
    </xf>
    <xf borderId="0" fillId="5" fontId="27" numFmtId="0" xfId="0" applyAlignment="1" applyFont="1">
      <alignment horizontal="left" vertical="bottom"/>
    </xf>
    <xf borderId="0" fillId="5" fontId="27" numFmtId="167" xfId="0" applyAlignment="1" applyFont="1" applyNumberFormat="1">
      <alignment horizontal="left" shrinkToFit="0" vertical="bottom" wrapText="1"/>
    </xf>
    <xf borderId="0" fillId="5" fontId="27" numFmtId="0" xfId="0" applyAlignment="1" applyFont="1">
      <alignment horizontal="left" shrinkToFit="0" vertical="bottom" wrapText="1"/>
    </xf>
    <xf borderId="0" fillId="5" fontId="27" numFmtId="0" xfId="0" applyAlignment="1" applyFont="1">
      <alignment horizontal="left" shrinkToFit="0" vertical="bottom" wrapText="1"/>
    </xf>
    <xf borderId="0" fillId="5" fontId="27" numFmtId="166" xfId="0" applyAlignment="1" applyFont="1" applyNumberFormat="1">
      <alignment horizontal="left" shrinkToFit="0" vertical="bottom" wrapText="1"/>
    </xf>
    <xf borderId="0" fillId="5" fontId="23" numFmtId="0" xfId="0" applyAlignment="1" applyFont="1">
      <alignment horizontal="left" shrinkToFit="0" vertical="bottom" wrapText="0"/>
    </xf>
    <xf borderId="0" fillId="0" fontId="25" numFmtId="0" xfId="0" applyAlignment="1" applyFont="1">
      <alignment horizontal="left" shrinkToFit="0" vertical="bottom" wrapText="0"/>
    </xf>
    <xf borderId="6" fillId="5" fontId="27" numFmtId="0" xfId="0" applyAlignment="1" applyBorder="1" applyFont="1">
      <alignment horizontal="left" vertical="bottom"/>
    </xf>
    <xf borderId="0" fillId="5" fontId="23" numFmtId="20" xfId="0" applyAlignment="1" applyFont="1" applyNumberFormat="1">
      <alignment horizontal="left" shrinkToFit="0" vertical="bottom" wrapText="1"/>
    </xf>
    <xf borderId="0" fillId="0" fontId="34" numFmtId="0" xfId="0" applyAlignment="1" applyFont="1">
      <alignment horizontal="left" readingOrder="0" shrinkToFit="0" wrapText="1"/>
    </xf>
    <xf borderId="0" fillId="0" fontId="34" numFmtId="0" xfId="0" applyAlignment="1" applyFont="1">
      <alignment horizontal="left" shrinkToFit="0" wrapText="1"/>
    </xf>
    <xf borderId="0" fillId="0" fontId="34" numFmtId="0" xfId="0" applyAlignment="1" applyFont="1">
      <alignment horizontal="left" readingOrder="0" shrinkToFit="0" wrapText="1"/>
    </xf>
    <xf borderId="0" fillId="5" fontId="27" numFmtId="20" xfId="0" applyAlignment="1" applyFont="1" applyNumberFormat="1">
      <alignment horizontal="left" shrinkToFit="0" vertical="bottom" wrapText="1"/>
    </xf>
    <xf borderId="0" fillId="0" fontId="34" numFmtId="0" xfId="0" applyAlignment="1" applyFont="1">
      <alignment horizontal="left" readingOrder="0" shrinkToFit="0" wrapText="1"/>
    </xf>
    <xf borderId="0" fillId="5" fontId="24" numFmtId="0" xfId="0" applyAlignment="1" applyFont="1">
      <alignment horizontal="left" vertical="bottom"/>
    </xf>
    <xf borderId="0" fillId="5" fontId="0" numFmtId="0" xfId="0" applyAlignment="1" applyFont="1">
      <alignment horizontal="left" shrinkToFit="0" vertical="bottom" wrapText="1"/>
    </xf>
    <xf borderId="0" fillId="5" fontId="0" numFmtId="20" xfId="0" applyAlignment="1" applyFont="1" applyNumberFormat="1">
      <alignment horizontal="left" shrinkToFit="0" vertical="bottom" wrapText="1"/>
    </xf>
    <xf borderId="0" fillId="5" fontId="0" numFmtId="0" xfId="0" applyAlignment="1" applyFont="1">
      <alignment shrinkToFit="0" vertical="bottom" wrapText="1"/>
    </xf>
    <xf borderId="0" fillId="0" fontId="25" numFmtId="0" xfId="0" applyAlignment="1" applyFont="1">
      <alignment horizontal="left" vertical="bottom"/>
    </xf>
    <xf borderId="0" fillId="5" fontId="11" numFmtId="0" xfId="0" applyAlignment="1" applyFont="1">
      <alignment horizontal="left" shrinkToFit="0" vertical="bottom" wrapText="1"/>
    </xf>
    <xf borderId="0" fillId="5" fontId="11" numFmtId="20" xfId="0" applyAlignment="1" applyFont="1" applyNumberFormat="1">
      <alignment horizontal="left" shrinkToFit="0" vertical="bottom" wrapText="1"/>
    </xf>
    <xf borderId="0" fillId="5" fontId="11" numFmtId="0" xfId="0" applyAlignment="1" applyFont="1">
      <alignment shrinkToFit="0" vertical="bottom" wrapText="1"/>
    </xf>
    <xf borderId="0" fillId="5" fontId="11" numFmtId="0" xfId="0" applyAlignment="1" applyFont="1">
      <alignment horizontal="left" shrinkToFit="0" vertical="bottom" wrapText="1"/>
    </xf>
    <xf borderId="0" fillId="5" fontId="23" numFmtId="0" xfId="0" applyAlignment="1" applyFont="1">
      <alignment shrinkToFit="0" vertical="bottom" wrapText="1"/>
    </xf>
    <xf borderId="0" fillId="5" fontId="33" numFmtId="0" xfId="0" applyAlignment="1" applyFont="1">
      <alignment horizontal="left" vertical="bottom"/>
    </xf>
    <xf borderId="0" fillId="5" fontId="27" numFmtId="0" xfId="0" applyAlignment="1" applyFont="1">
      <alignment shrinkToFit="0" vertical="bottom" wrapText="1"/>
    </xf>
    <xf borderId="0" fillId="0" fontId="25" numFmtId="0" xfId="0" applyAlignment="1" applyFont="1">
      <alignment horizontal="left" shrinkToFit="0" vertical="bottom" wrapText="1"/>
    </xf>
    <xf borderId="0" fillId="0" fontId="25" numFmtId="0" xfId="0" applyAlignment="1" applyFont="1">
      <alignment horizontal="left" vertical="bottom"/>
    </xf>
    <xf borderId="0" fillId="0" fontId="34" numFmtId="0" xfId="0" applyAlignment="1" applyFont="1">
      <alignment horizontal="left"/>
    </xf>
    <xf borderId="0" fillId="0" fontId="25" numFmtId="0" xfId="0" applyAlignment="1" applyFont="1">
      <alignment horizontal="left" readingOrder="0" vertical="bottom"/>
    </xf>
    <xf borderId="0" fillId="5" fontId="23" numFmtId="20" xfId="0" applyAlignment="1" applyFont="1" applyNumberFormat="1">
      <alignment horizontal="left" vertical="bottom"/>
    </xf>
    <xf borderId="0" fillId="5" fontId="23" numFmtId="0" xfId="0" applyAlignment="1" applyFont="1">
      <alignment vertical="bottom"/>
    </xf>
    <xf borderId="0" fillId="5" fontId="5" numFmtId="0" xfId="0" applyAlignment="1" applyFont="1">
      <alignment vertical="bottom"/>
    </xf>
    <xf quotePrefix="1" borderId="0" fillId="5" fontId="23" numFmtId="0" xfId="0" applyAlignment="1" applyFont="1">
      <alignment horizontal="left" shrinkToFit="0" vertical="bottom" wrapText="1"/>
    </xf>
    <xf borderId="0" fillId="0" fontId="25" numFmtId="0" xfId="0" applyAlignment="1" applyFont="1">
      <alignment horizontal="left" shrinkToFit="0" vertical="bottom" wrapText="1"/>
    </xf>
    <xf borderId="0" fillId="0" fontId="25" numFmtId="168" xfId="0" applyAlignment="1" applyFont="1" applyNumberFormat="1">
      <alignment horizontal="left" readingOrder="0" shrinkToFit="0" vertical="bottom" wrapText="1"/>
    </xf>
    <xf borderId="0" fillId="0" fontId="25" numFmtId="167" xfId="0" applyAlignment="1" applyFont="1" applyNumberFormat="1">
      <alignment horizontal="left" shrinkToFit="0" vertical="bottom" wrapText="1"/>
    </xf>
    <xf borderId="0" fillId="0" fontId="25" numFmtId="167" xfId="0" applyAlignment="1" applyFont="1" applyNumberFormat="1">
      <alignment horizontal="left" readingOrder="0" shrinkToFit="0" vertical="bottom" wrapText="1"/>
    </xf>
    <xf borderId="0" fillId="5" fontId="0" numFmtId="166" xfId="0" applyAlignment="1" applyFont="1" applyNumberFormat="1">
      <alignment horizontal="left" shrinkToFit="0" vertical="bottom" wrapText="1"/>
    </xf>
    <xf borderId="0" fillId="0" fontId="7" numFmtId="0" xfId="0" applyAlignment="1" applyFont="1">
      <alignment horizontal="left" shrinkToFit="0" vertical="bottom" wrapText="1"/>
    </xf>
    <xf borderId="0" fillId="0" fontId="5" numFmtId="0" xfId="0" applyAlignment="1" applyFont="1">
      <alignment horizontal="left" vertical="bottom"/>
    </xf>
    <xf borderId="0" fillId="0" fontId="3" numFmtId="0" xfId="0" applyAlignment="1" applyFont="1">
      <alignment horizontal="left" shrinkToFit="0" vertical="bottom" wrapText="1"/>
    </xf>
    <xf borderId="0" fillId="0" fontId="35" numFmtId="0" xfId="0" applyAlignment="1" applyFont="1">
      <alignment horizontal="left" shrinkToFit="0" vertical="bottom" wrapText="1"/>
    </xf>
    <xf borderId="0" fillId="5" fontId="23" numFmtId="49" xfId="0" applyAlignment="1" applyFont="1" applyNumberFormat="1">
      <alignment horizontal="left" vertical="bottom"/>
    </xf>
    <xf borderId="0" fillId="0" fontId="36" numFmtId="0" xfId="0" applyAlignment="1" applyFont="1">
      <alignment horizontal="left" readingOrder="0" shrinkToFit="0" wrapText="1"/>
    </xf>
    <xf borderId="0" fillId="0" fontId="36" numFmtId="0" xfId="0" applyAlignment="1" applyFont="1">
      <alignment horizontal="left" shrinkToFit="0" wrapText="1"/>
    </xf>
    <xf borderId="0" fillId="0" fontId="26" numFmtId="0" xfId="0" applyAlignment="1" applyFont="1">
      <alignment horizontal="left" shrinkToFit="0" vertical="bottom" wrapText="1"/>
    </xf>
    <xf borderId="0" fillId="0" fontId="26" numFmtId="0" xfId="0" applyAlignment="1" applyFont="1">
      <alignment horizontal="left" vertical="bottom"/>
    </xf>
    <xf borderId="0" fillId="0" fontId="26" numFmtId="0" xfId="0" applyAlignment="1" applyFont="1">
      <alignment horizontal="left" readingOrder="0" vertical="bottom"/>
    </xf>
    <xf borderId="0" fillId="0" fontId="37" numFmtId="0" xfId="0" applyAlignment="1" applyFont="1">
      <alignment horizontal="left" shrinkToFit="0" vertical="bottom" wrapText="1"/>
    </xf>
    <xf borderId="0" fillId="0" fontId="26" numFmtId="0" xfId="0" applyAlignment="1" applyFont="1">
      <alignment horizontal="left" vertical="bottom"/>
    </xf>
    <xf borderId="0" fillId="0" fontId="36" numFmtId="0" xfId="0" applyAlignment="1" applyFont="1">
      <alignment horizontal="left" readingOrder="0" shrinkToFit="0" wrapText="1"/>
    </xf>
    <xf borderId="0" fillId="0" fontId="38" numFmtId="0" xfId="0" applyAlignment="1" applyFont="1">
      <alignment horizontal="left" shrinkToFit="0" vertical="bottom" wrapText="1"/>
    </xf>
    <xf borderId="0" fillId="5" fontId="23" numFmtId="49" xfId="0" applyAlignment="1" applyFont="1" applyNumberFormat="1">
      <alignment horizontal="left" readingOrder="0" shrinkToFit="0" vertical="bottom" wrapText="1"/>
    </xf>
    <xf borderId="0" fillId="0" fontId="5" numFmtId="0" xfId="0" applyAlignment="1" applyFont="1">
      <alignment horizontal="left" vertical="bottom"/>
    </xf>
    <xf borderId="0" fillId="0" fontId="7" numFmtId="0" xfId="0" applyAlignment="1" applyFont="1">
      <alignment horizontal="left" vertical="bottom"/>
    </xf>
    <xf borderId="0" fillId="5" fontId="27" numFmtId="49" xfId="0" applyAlignment="1" applyFont="1" applyNumberFormat="1">
      <alignment horizontal="left" readingOrder="0" shrinkToFit="0" vertical="bottom" wrapText="1"/>
    </xf>
    <xf borderId="0" fillId="0" fontId="26" numFmtId="0" xfId="0" applyAlignment="1" applyFont="1">
      <alignment horizontal="left" readingOrder="0" shrinkToFit="0" vertical="bottom" wrapText="1"/>
    </xf>
    <xf borderId="0" fillId="5" fontId="0" numFmtId="20" xfId="0" applyAlignment="1" applyFont="1" applyNumberFormat="1">
      <alignment horizontal="left" vertical="bottom"/>
    </xf>
    <xf borderId="0" fillId="14" fontId="26" numFmtId="0" xfId="0" applyAlignment="1" applyFill="1" applyFont="1">
      <alignment horizontal="left" shrinkToFit="0" vertical="bottom" wrapText="1"/>
    </xf>
    <xf borderId="0" fillId="14" fontId="17" numFmtId="0" xfId="0" applyAlignment="1" applyFont="1">
      <alignment horizontal="left" vertical="bottom"/>
    </xf>
    <xf borderId="0" fillId="0" fontId="39" numFmtId="0" xfId="0" applyAlignment="1" applyFont="1">
      <alignment horizontal="left"/>
    </xf>
    <xf borderId="0" fillId="0" fontId="26" numFmtId="0" xfId="0" applyAlignment="1" applyFont="1">
      <alignment horizontal="left" shrinkToFit="0" vertical="bottom" wrapText="1"/>
    </xf>
    <xf borderId="0" fillId="5" fontId="23" numFmtId="49" xfId="0" applyAlignment="1" applyFont="1" applyNumberFormat="1">
      <alignment shrinkToFit="0" vertical="bottom" wrapText="1"/>
    </xf>
    <xf borderId="0" fillId="0" fontId="25" numFmtId="0" xfId="0" applyAlignment="1" applyFont="1">
      <alignment horizontal="left" readingOrder="0" shrinkToFit="0" vertical="bottom" wrapText="1"/>
    </xf>
    <xf borderId="0" fillId="0" fontId="34" numFmtId="49" xfId="0" applyAlignment="1" applyFont="1" applyNumberFormat="1">
      <alignment horizontal="left" shrinkToFit="0" wrapText="1"/>
    </xf>
    <xf borderId="0" fillId="0" fontId="39" numFmtId="49" xfId="0" applyFont="1" applyNumberFormat="1"/>
    <xf borderId="0" fillId="5" fontId="34" numFmtId="0" xfId="0" applyAlignment="1" applyFont="1">
      <alignment horizontal="left" shrinkToFit="0" wrapText="1"/>
    </xf>
    <xf borderId="0" fillId="0" fontId="26" numFmtId="0" xfId="0" applyAlignment="1" applyFont="1">
      <alignment shrinkToFit="0" vertical="bottom" wrapText="1"/>
    </xf>
    <xf borderId="8" fillId="0" fontId="12" numFmtId="49" xfId="0" applyAlignment="1" applyBorder="1" applyFont="1" applyNumberFormat="1">
      <alignment horizontal="left" readingOrder="0"/>
    </xf>
    <xf borderId="8" fillId="0" fontId="12" numFmtId="49" xfId="0" applyAlignment="1" applyBorder="1" applyFont="1" applyNumberFormat="1">
      <alignment readingOrder="0"/>
    </xf>
    <xf borderId="0" fillId="0" fontId="13" numFmtId="49" xfId="0" applyAlignment="1" applyFont="1" applyNumberFormat="1">
      <alignment readingOrder="0"/>
    </xf>
    <xf borderId="0" fillId="0" fontId="13" numFmtId="49" xfId="0" applyAlignment="1" applyFont="1" applyNumberFormat="1">
      <alignment horizontal="left" readingOrder="0"/>
    </xf>
    <xf borderId="0" fillId="8" fontId="14" numFmtId="49" xfId="0" applyFont="1" applyNumberFormat="1"/>
    <xf borderId="0" fillId="8" fontId="15" numFmtId="0" xfId="0" applyFont="1"/>
    <xf borderId="0" fillId="0" fontId="17" numFmtId="49" xfId="0" applyAlignment="1" applyFont="1" applyNumberFormat="1">
      <alignment horizontal="left" readingOrder="0"/>
    </xf>
    <xf borderId="2" fillId="15" fontId="2" numFmtId="0" xfId="0" applyBorder="1" applyFill="1" applyFont="1"/>
    <xf borderId="9" fillId="15" fontId="2" numFmtId="0" xfId="0" applyBorder="1" applyFont="1"/>
    <xf borderId="0" fillId="0" fontId="2" numFmtId="0" xfId="0" applyAlignment="1" applyFont="1">
      <alignment vertical="bottom"/>
    </xf>
    <xf borderId="0" fillId="7" fontId="2" numFmtId="49" xfId="0" applyAlignment="1" applyFont="1" applyNumberFormat="1">
      <alignment readingOrder="0" shrinkToFit="0" vertical="bottom" wrapText="0"/>
    </xf>
    <xf borderId="0" fillId="6" fontId="2" numFmtId="49" xfId="0" applyAlignment="1" applyFont="1" applyNumberFormat="1">
      <alignment readingOrder="0" shrinkToFit="0" vertical="bottom" wrapText="0"/>
    </xf>
    <xf borderId="0" fillId="0" fontId="5" numFmtId="0" xfId="0" applyAlignment="1" applyFont="1">
      <alignment vertical="bottom"/>
    </xf>
    <xf borderId="10" fillId="8" fontId="0" numFmtId="0" xfId="0" applyBorder="1" applyFont="1"/>
    <xf borderId="11" fillId="8" fontId="0" numFmtId="0" xfId="0" applyBorder="1" applyFont="1"/>
    <xf borderId="0" fillId="8" fontId="5" numFmtId="0" xfId="0" applyAlignment="1" applyFont="1">
      <alignment vertical="bottom"/>
    </xf>
    <xf borderId="0" fillId="7" fontId="0" numFmtId="49" xfId="0" applyAlignment="1" applyFont="1" applyNumberFormat="1">
      <alignment readingOrder="0" shrinkToFit="0" vertical="bottom" wrapText="0"/>
    </xf>
    <xf borderId="0" fillId="0" fontId="4" numFmtId="49" xfId="0" applyAlignment="1" applyFont="1" applyNumberFormat="1">
      <alignment horizontal="left" readingOrder="0" shrinkToFit="0" vertical="bottom" wrapText="0"/>
    </xf>
    <xf borderId="0" fillId="6" fontId="0" numFmtId="49" xfId="0" applyAlignment="1" applyFont="1" applyNumberFormat="1">
      <alignment readingOrder="0" shrinkToFit="0" vertical="bottom" wrapText="0"/>
    </xf>
    <xf borderId="10" fillId="16" fontId="0" numFmtId="0" xfId="0" applyBorder="1" applyFill="1" applyFont="1"/>
    <xf borderId="11" fillId="16" fontId="0" numFmtId="0" xfId="0" applyBorder="1" applyFont="1"/>
    <xf borderId="0" fillId="16" fontId="5" numFmtId="0" xfId="0" applyAlignment="1" applyFont="1">
      <alignment vertical="bottom"/>
    </xf>
    <xf borderId="0" fillId="8" fontId="0" numFmtId="0" xfId="0" applyAlignment="1" applyFont="1">
      <alignment vertical="bottom"/>
    </xf>
    <xf borderId="0" fillId="16" fontId="0" numFmtId="0" xfId="0" applyAlignment="1" applyFont="1">
      <alignment vertical="bottom"/>
    </xf>
    <xf borderId="12" fillId="8" fontId="0" numFmtId="0" xfId="0" applyBorder="1" applyFont="1"/>
    <xf borderId="7" fillId="8" fontId="0" numFmtId="0" xfId="0" applyBorder="1" applyFont="1"/>
    <xf borderId="0" fillId="17" fontId="0" numFmtId="0" xfId="0" applyFill="1" applyFont="1"/>
    <xf borderId="0" fillId="17" fontId="5" numFmtId="0" xfId="0" applyAlignment="1" applyFont="1">
      <alignment vertical="bottom"/>
    </xf>
    <xf borderId="0" fillId="8" fontId="0" numFmtId="0" xfId="0" applyFont="1"/>
    <xf borderId="0" fillId="16" fontId="0" numFmtId="0" xfId="0" applyFont="1"/>
    <xf borderId="0" fillId="0" fontId="40" numFmtId="0" xfId="0" applyAlignment="1" applyFont="1">
      <alignment horizontal="left" readingOrder="0" vertical="center"/>
    </xf>
    <xf borderId="0" fillId="7" fontId="11" numFmtId="49" xfId="0" applyAlignment="1" applyFont="1" applyNumberFormat="1">
      <alignment readingOrder="0" shrinkToFit="0" vertical="bottom" wrapText="0"/>
    </xf>
    <xf borderId="0" fillId="0" fontId="41" numFmtId="49" xfId="0" applyAlignment="1" applyFont="1" applyNumberFormat="1">
      <alignment horizontal="left" shrinkToFit="0" vertical="bottom" wrapText="0"/>
    </xf>
    <xf borderId="0" fillId="6" fontId="11" numFmtId="49" xfId="0" applyAlignment="1" applyFont="1" applyNumberFormat="1">
      <alignment readingOrder="0" shrinkToFit="0" vertical="bottom" wrapText="0"/>
    </xf>
    <xf borderId="0" fillId="6" fontId="0" numFmtId="0" xfId="0" applyAlignment="1" applyFont="1">
      <alignment readingOrder="0" shrinkToFit="0" vertical="bottom" wrapText="0"/>
    </xf>
    <xf borderId="2" fillId="18" fontId="2" numFmtId="0" xfId="0" applyAlignment="1" applyBorder="1" applyFill="1" applyFont="1">
      <alignment shrinkToFit="0" vertical="bottom" wrapText="1"/>
    </xf>
    <xf borderId="9" fillId="18" fontId="2" numFmtId="0" xfId="0" applyAlignment="1" applyBorder="1" applyFont="1">
      <alignment shrinkToFit="0" vertical="bottom" wrapText="1"/>
    </xf>
    <xf borderId="9" fillId="18" fontId="2" numFmtId="0" xfId="0" applyAlignment="1" applyBorder="1" applyFont="1">
      <alignment shrinkToFit="0" vertical="top" wrapText="0"/>
    </xf>
    <xf borderId="9" fillId="18" fontId="2" numFmtId="0" xfId="0" applyAlignment="1" applyBorder="1" applyFont="1">
      <alignment shrinkToFit="0" vertical="bottom" wrapText="0"/>
    </xf>
    <xf borderId="0" fillId="19" fontId="42" numFmtId="0" xfId="0" applyAlignment="1" applyFill="1" applyFont="1">
      <alignment shrinkToFit="0" vertical="bottom" wrapText="1"/>
    </xf>
    <xf borderId="0" fillId="0" fontId="17" numFmtId="0" xfId="0" applyAlignment="1" applyFont="1">
      <alignment vertical="bottom"/>
    </xf>
    <xf borderId="10" fillId="0" fontId="0" numFmtId="0" xfId="0" applyAlignment="1" applyBorder="1" applyFont="1">
      <alignment vertical="bottom"/>
    </xf>
    <xf borderId="11" fillId="0" fontId="0" numFmtId="0" xfId="0" applyAlignment="1" applyBorder="1" applyFont="1">
      <alignment vertical="bottom"/>
    </xf>
    <xf borderId="11" fillId="0" fontId="0" numFmtId="0" xfId="0" applyAlignment="1" applyBorder="1" applyFont="1">
      <alignment shrinkToFit="0" vertical="bottom" wrapText="1"/>
    </xf>
    <xf borderId="11" fillId="0" fontId="0" numFmtId="0" xfId="0" applyAlignment="1" applyBorder="1" applyFont="1">
      <alignment shrinkToFit="0" vertical="top" wrapText="0"/>
    </xf>
    <xf borderId="11" fillId="0" fontId="0" numFmtId="0" xfId="0" applyAlignment="1" applyBorder="1" applyFont="1">
      <alignment shrinkToFit="0" vertical="bottom" wrapText="0"/>
    </xf>
    <xf borderId="0" fillId="19" fontId="42" numFmtId="0" xfId="0" applyAlignment="1" applyFont="1">
      <alignment horizontal="right" vertical="bottom"/>
    </xf>
    <xf borderId="0" fillId="0" fontId="17" numFmtId="0" xfId="0" applyAlignment="1" applyFont="1">
      <alignment shrinkToFit="0" vertical="top" wrapText="0"/>
    </xf>
    <xf borderId="0" fillId="0" fontId="17" numFmtId="0" xfId="0" applyAlignment="1" applyFont="1">
      <alignment shrinkToFit="0" vertical="bottom" wrapText="0"/>
    </xf>
    <xf borderId="0" fillId="0" fontId="39" numFmtId="0" xfId="0" applyAlignment="1" applyFont="1">
      <alignment readingOrder="0"/>
    </xf>
    <xf borderId="0" fillId="8" fontId="15" numFmtId="0" xfId="0" applyAlignment="1" applyFont="1">
      <alignment horizontal="left" readingOrder="0"/>
    </xf>
    <xf borderId="0" fillId="0" fontId="2" numFmtId="0" xfId="0" applyAlignment="1" applyFont="1">
      <alignment readingOrder="0" vertical="bottom"/>
    </xf>
    <xf borderId="0" fillId="0" fontId="43" numFmtId="0" xfId="0" applyAlignment="1" applyFont="1">
      <alignment readingOrder="0"/>
    </xf>
    <xf borderId="0" fillId="0" fontId="43" numFmtId="0" xfId="0" applyFont="1"/>
    <xf borderId="0" fillId="0" fontId="23" numFmtId="0" xfId="0" applyAlignment="1" applyFont="1">
      <alignment horizontal="right" readingOrder="0" vertical="bottom"/>
    </xf>
    <xf borderId="0" fillId="0" fontId="0" numFmtId="0" xfId="0" applyAlignment="1" applyFont="1">
      <alignment readingOrder="0" vertical="bottom"/>
    </xf>
    <xf borderId="0" fillId="0" fontId="0" numFmtId="0" xfId="0" applyAlignment="1" applyFont="1">
      <alignment readingOrder="0" shrinkToFit="0" wrapText="0"/>
    </xf>
    <xf borderId="0" fillId="0" fontId="0" numFmtId="0" xfId="0" applyAlignment="1" applyFont="1">
      <alignment vertical="bottom"/>
    </xf>
    <xf borderId="0" fillId="0" fontId="27" numFmtId="0" xfId="0" applyAlignment="1" applyFont="1">
      <alignment horizontal="right" readingOrder="0" vertical="bottom"/>
    </xf>
    <xf borderId="0" fillId="20" fontId="44" numFmtId="0" xfId="0" applyAlignment="1" applyFill="1" applyFont="1">
      <alignment horizontal="left"/>
    </xf>
    <xf borderId="0" fillId="0" fontId="45" numFmtId="0" xfId="0" applyAlignment="1" applyFont="1">
      <alignment readingOrder="0" vertical="bottom"/>
    </xf>
    <xf borderId="0" fillId="0" fontId="39" numFmtId="0" xfId="0" applyAlignment="1" applyFont="1">
      <alignment shrinkToFit="0" wrapText="1"/>
    </xf>
    <xf borderId="0" fillId="0" fontId="46" numFmtId="0" xfId="0" applyAlignment="1" applyFont="1">
      <alignment shrinkToFit="0" vertical="bottom" wrapText="1"/>
    </xf>
    <xf borderId="0" fillId="0" fontId="17" numFmtId="0" xfId="0" applyAlignment="1" applyFont="1">
      <alignment vertical="bottom"/>
    </xf>
    <xf borderId="0" fillId="0" fontId="39" numFmtId="0" xfId="0" applyAlignment="1" applyFont="1">
      <alignment readingOrder="0" shrinkToFit="0" wrapText="1"/>
    </xf>
    <xf borderId="0" fillId="0" fontId="17" numFmtId="0" xfId="0" applyAlignment="1" applyFont="1">
      <alignment shrinkToFit="0" vertical="bottom" wrapText="1"/>
    </xf>
    <xf borderId="0" fillId="8" fontId="47" numFmtId="0" xfId="0" applyAlignment="1" applyFont="1">
      <alignment vertical="bottom"/>
    </xf>
    <xf borderId="0" fillId="0" fontId="39" numFmtId="0" xfId="0" applyAlignment="1" applyFont="1">
      <alignment shrinkToFit="0" wrapText="1"/>
    </xf>
  </cellXfs>
  <cellStyles count="1">
    <cellStyle xfId="0" name="Normal" builtinId="0"/>
  </cellStyles>
  <dxfs count="18">
    <dxf>
      <font/>
      <fill>
        <patternFill patternType="solid">
          <fgColor rgb="FFEA9999"/>
          <bgColor rgb="FFEA9999"/>
        </patternFill>
      </fill>
      <border/>
    </dxf>
    <dxf>
      <font/>
      <fill>
        <patternFill patternType="solid">
          <fgColor rgb="FFFFF2CC"/>
          <bgColor rgb="FFFFF2CC"/>
        </patternFill>
      </fill>
      <border/>
    </dxf>
    <dxf>
      <font/>
      <fill>
        <patternFill patternType="solid">
          <fgColor rgb="FFD9EAD3"/>
          <bgColor rgb="FFD9EAD3"/>
        </patternFill>
      </fill>
      <border/>
    </dxf>
    <dxf>
      <font/>
      <fill>
        <patternFill patternType="solid">
          <fgColor rgb="FFC9DAF8"/>
          <bgColor rgb="FFC9DAF8"/>
        </patternFill>
      </fill>
      <border/>
    </dxf>
    <dxf>
      <font/>
      <fill>
        <patternFill patternType="solid">
          <fgColor rgb="FF741B47"/>
          <bgColor rgb="FF741B47"/>
        </patternFill>
      </fill>
      <border/>
    </dxf>
    <dxf>
      <font/>
      <fill>
        <patternFill patternType="solid">
          <fgColor rgb="FFF4CCCC"/>
          <bgColor rgb="FFF4CCCC"/>
        </patternFill>
      </fill>
      <border/>
    </dxf>
    <dxf>
      <font/>
      <fill>
        <patternFill patternType="solid">
          <fgColor rgb="FF674EA7"/>
          <bgColor rgb="FF674EA7"/>
        </patternFill>
      </fill>
      <border/>
    </dxf>
    <dxf>
      <font/>
      <fill>
        <patternFill patternType="solid">
          <fgColor rgb="FF3D85C6"/>
          <bgColor rgb="FF3D85C6"/>
        </patternFill>
      </fill>
      <border/>
    </dxf>
    <dxf>
      <font/>
      <fill>
        <patternFill patternType="solid">
          <fgColor rgb="FFE06666"/>
          <bgColor rgb="FFE06666"/>
        </patternFill>
      </fill>
      <border/>
    </dxf>
    <dxf>
      <font/>
      <fill>
        <patternFill patternType="solid">
          <fgColor rgb="FF6FA8DC"/>
          <bgColor rgb="FF6FA8DC"/>
        </patternFill>
      </fill>
      <border/>
    </dxf>
    <dxf>
      <font/>
      <fill>
        <patternFill patternType="solid">
          <fgColor rgb="FFBF9000"/>
          <bgColor rgb="FFBF9000"/>
        </patternFill>
      </fill>
      <border/>
    </dxf>
    <dxf>
      <font/>
      <fill>
        <patternFill patternType="solid">
          <fgColor rgb="FFB7E1CD"/>
          <bgColor rgb="FFB7E1CD"/>
        </patternFill>
      </fill>
      <border/>
    </dxf>
    <dxf>
      <font/>
      <fill>
        <patternFill patternType="solid">
          <fgColor rgb="FFE6B8AF"/>
          <bgColor rgb="FFE6B8AF"/>
        </patternFill>
      </fill>
      <border/>
    </dxf>
    <dxf>
      <font/>
      <fill>
        <patternFill patternType="solid">
          <fgColor rgb="FFFCE5CD"/>
          <bgColor rgb="FFFCE5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Sustainability-style">
      <tableStyleElement dxfId="15" type="headerRow"/>
      <tableStyleElement dxfId="16" type="firstRowStripe"/>
      <tableStyleElement dxfId="17" type="secondRowStripe"/>
    </tableStyle>
    <tableStyle count="3" pivot="0" name="Library-style">
      <tableStyleElement dxfId="15" type="headerRow"/>
      <tableStyleElement dxfId="16" type="firstRowStripe"/>
      <tableStyleElement dxfId="17"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T107" displayName="Table_1" name="Table_1" id="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ustainability-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N2:S107" displayName="Table_2" name="Table_2" id="2">
  <tableColumns count="6">
    <tableColumn name="Column1" id="1"/>
    <tableColumn name="Column2" id="2"/>
    <tableColumn name="Column3" id="3"/>
    <tableColumn name="Column4" id="4"/>
    <tableColumn name="Column5" id="5"/>
    <tableColumn name="Column6" id="6"/>
  </tableColumns>
  <tableStyleInfo name="Library-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epriley@sdsu.edu" TargetMode="External"/><Relationship Id="rId3" Type="http://schemas.openxmlformats.org/officeDocument/2006/relationships/drawing" Target="../drawings/drawing5.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mailto:epriley@sdsu.edu"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mailto:epriley@sdsu.edu" TargetMode="External"/><Relationship Id="rId3" Type="http://schemas.openxmlformats.org/officeDocument/2006/relationships/drawing" Target="../drawings/drawing12.xml"/><Relationship Id="rId4"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7.29" defaultRowHeight="15.0"/>
  <cols>
    <col customWidth="1" min="1" max="7" width="13.43"/>
    <col customWidth="1" min="8" max="8" width="39.14"/>
    <col customWidth="1" min="9" max="10" width="13.43"/>
    <col customWidth="1" min="11" max="11" width="19.29"/>
    <col customWidth="1" min="12" max="12" width="13.43"/>
    <col customWidth="1" min="13" max="13" width="85.29"/>
    <col customWidth="1" min="14" max="19" width="13.43"/>
    <col customWidth="1" hidden="1" min="20" max="21" width="13.43"/>
    <col customWidth="1" min="22" max="27" width="13.43"/>
    <col customWidth="1" min="28" max="28" width="16.86"/>
    <col customWidth="1" min="29" max="34" width="13.43"/>
    <col customWidth="1" hidden="1" min="35" max="38" width="13.43"/>
    <col customWidth="1" min="39" max="39" width="13.43"/>
    <col customWidth="1" hidden="1" min="40" max="59" width="13.43"/>
  </cols>
  <sheetData>
    <row r="1">
      <c r="A1" s="1" t="s">
        <v>0</v>
      </c>
      <c r="B1" s="2" t="s">
        <v>1</v>
      </c>
      <c r="C1" s="2" t="s">
        <v>2</v>
      </c>
      <c r="D1" s="3" t="s">
        <v>3</v>
      </c>
      <c r="E1" s="4" t="s">
        <v>4</v>
      </c>
      <c r="F1" s="5" t="s">
        <v>5</v>
      </c>
      <c r="G1" s="6" t="s">
        <v>6</v>
      </c>
      <c r="H1" s="5" t="s">
        <v>7</v>
      </c>
      <c r="I1" s="7" t="s">
        <v>8</v>
      </c>
      <c r="J1" s="8" t="s">
        <v>9</v>
      </c>
      <c r="K1" s="9" t="s">
        <v>10</v>
      </c>
      <c r="L1" s="10" t="s">
        <v>11</v>
      </c>
      <c r="M1" s="11" t="s">
        <v>12</v>
      </c>
      <c r="N1" s="8" t="s">
        <v>13</v>
      </c>
      <c r="O1" s="8" t="s">
        <v>14</v>
      </c>
      <c r="P1" s="8" t="s">
        <v>15</v>
      </c>
      <c r="Q1" s="8" t="s">
        <v>16</v>
      </c>
      <c r="R1" s="8" t="s">
        <v>17</v>
      </c>
      <c r="S1" s="11" t="s">
        <v>18</v>
      </c>
      <c r="T1" s="11" t="s">
        <v>19</v>
      </c>
      <c r="U1" s="11" t="s">
        <v>20</v>
      </c>
      <c r="V1" s="12" t="s">
        <v>21</v>
      </c>
      <c r="W1" s="13" t="s">
        <v>22</v>
      </c>
      <c r="X1" s="14" t="s">
        <v>23</v>
      </c>
      <c r="Y1" s="15" t="s">
        <v>24</v>
      </c>
      <c r="Z1" s="15" t="s">
        <v>25</v>
      </c>
      <c r="AA1" s="15" t="s">
        <v>26</v>
      </c>
      <c r="AB1" s="15" t="s">
        <v>27</v>
      </c>
      <c r="AC1" s="15" t="s">
        <v>28</v>
      </c>
      <c r="AD1" s="15" t="s">
        <v>29</v>
      </c>
      <c r="AE1" s="15" t="s">
        <v>30</v>
      </c>
      <c r="AF1" s="15" t="s">
        <v>31</v>
      </c>
      <c r="AG1" s="15" t="s">
        <v>32</v>
      </c>
      <c r="AH1" s="15" t="s">
        <v>33</v>
      </c>
      <c r="AI1" s="15" t="s">
        <v>34</v>
      </c>
      <c r="AJ1" s="15" t="s">
        <v>35</v>
      </c>
      <c r="AK1" s="15" t="s">
        <v>36</v>
      </c>
      <c r="AL1" s="15" t="s">
        <v>37</v>
      </c>
      <c r="AM1" s="15" t="s">
        <v>38</v>
      </c>
      <c r="AN1" s="16" t="s">
        <v>39</v>
      </c>
      <c r="AO1" s="17" t="s">
        <v>40</v>
      </c>
      <c r="AP1" s="17" t="s">
        <v>41</v>
      </c>
      <c r="AQ1" s="17" t="s">
        <v>42</v>
      </c>
      <c r="AR1" s="17" t="s">
        <v>43</v>
      </c>
      <c r="AS1" s="17" t="s">
        <v>44</v>
      </c>
      <c r="AT1" s="17" t="s">
        <v>45</v>
      </c>
      <c r="AU1" s="17" t="s">
        <v>46</v>
      </c>
      <c r="AV1" s="17" t="s">
        <v>47</v>
      </c>
      <c r="AW1" s="17" t="s">
        <v>48</v>
      </c>
      <c r="AX1" s="17" t="s">
        <v>49</v>
      </c>
      <c r="AY1" s="17" t="s">
        <v>50</v>
      </c>
      <c r="AZ1" s="17" t="s">
        <v>51</v>
      </c>
      <c r="BA1" s="17" t="s">
        <v>52</v>
      </c>
      <c r="BB1" s="17" t="s">
        <v>53</v>
      </c>
      <c r="BC1" s="17" t="s">
        <v>54</v>
      </c>
      <c r="BD1" s="17" t="s">
        <v>55</v>
      </c>
      <c r="BE1" s="18" t="s">
        <v>56</v>
      </c>
      <c r="BF1" s="17" t="s">
        <v>57</v>
      </c>
      <c r="BG1" s="17" t="s">
        <v>58</v>
      </c>
    </row>
    <row r="2">
      <c r="A2" s="19" t="s">
        <v>59</v>
      </c>
      <c r="B2" s="20">
        <f>VLOOKUP(F2,'Session Count DO NOT EDIT'!$A:$C,3,FALSE)</f>
        <v>5</v>
      </c>
      <c r="C2" s="20">
        <f>COUNTIFS('Scores Import DO NOT EDIT'!D:D,A2)</f>
        <v>4</v>
      </c>
      <c r="D2" s="21">
        <f t="shared" ref="D2:D524" si="1">C2/B2</f>
        <v>0.8</v>
      </c>
      <c r="E2" s="22">
        <f>AVERAGEIFS('Scores Import DO NOT EDIT'!L:L,'Scores Import DO NOT EDIT'!D:D,A2)</f>
        <v>23.25</v>
      </c>
      <c r="F2" s="23" t="str">
        <f>VLOOKUP(A2, 'Session Data'!A:M,3,false)</f>
        <v>A-1</v>
      </c>
      <c r="G2" s="24" t="str">
        <f>VLOOKUP(A2, 'Session Data'!A:I,2,false)</f>
        <v>9:00 AM</v>
      </c>
      <c r="H2" s="23" t="str">
        <f>VLOOKUP(A2, 'Session Data'!A:J,5,false)</f>
        <v>Behavioral and Social Sciences</v>
      </c>
      <c r="I2" s="25" t="str">
        <f>VLOOKUP(A2, 'Session Data'!A:H,4,false)</f>
        <v>Oral </v>
      </c>
      <c r="J2" s="26" t="str">
        <f>VLOOKUP(A2, 'Session Data'!A:AA,14,false)</f>
        <v>Undergraduate</v>
      </c>
      <c r="K2" s="27" t="str">
        <f>VLOOKUP(A2, 'Session Data'!A:AA,15,false)</f>
        <v>Arts and Letters</v>
      </c>
      <c r="L2" s="28"/>
      <c r="M2" s="29" t="str">
        <f>VLOOKUP(A2, 'Session Data'!A:K,11,false)</f>
        <v>Bachelor/International Security and Conflict Resolution</v>
      </c>
      <c r="N2" s="26" t="str">
        <f>IF(ISNA(VLOOKUP(A2, 'Award Abstract#'!C:C, 1, FALSE)), "No", "Yes")
</f>
        <v>No</v>
      </c>
      <c r="O2" s="29" t="str">
        <f>IF(ISNA(VLOOKUP(A2,'Award Abstract#'!B:B,1,FALSE)), "No", "Yes")</f>
        <v>Yes</v>
      </c>
      <c r="P2" s="29" t="str">
        <f>IF(ISNA(VLOOKUP(A2,'Award Abstract#'!E:E,1,FALSE)), "No", "Yes")</f>
        <v>No</v>
      </c>
      <c r="Q2" s="29" t="str">
        <f>IF(ISNA(VLOOKUP(A2,'Award Abstract#'!A:A,1,FALSE)), "No", "Yes")</f>
        <v>No</v>
      </c>
      <c r="R2" s="29" t="str">
        <f>IF(ISNA(VLOOKUP(A2,'Award Abstract#'!D:D,1,FALSE)), "No", "Yes")</f>
        <v>Yes</v>
      </c>
      <c r="S2" s="30" t="str">
        <f>VLOOKUP(A2, 'Session Data'!A:AA,27,false)</f>
        <v>Woman</v>
      </c>
      <c r="T2" s="30"/>
      <c r="U2" s="30"/>
      <c r="V2" s="31" t="str">
        <f>VLOOKUP(A2, 'Session Data'!A:AA,8,false)</f>
        <v>Alisson</v>
      </c>
      <c r="W2" s="32" t="str">
        <f>VLOOKUP(A2, 'Session Data'!A:AA,9,false)</f>
        <v>Ruballo Jimenez</v>
      </c>
      <c r="X2" s="33" t="str">
        <f>VLOOKUP(A2, 'Session Data'!A:AA,12,false)</f>
        <v>Sustainability as a tool for slum mitigation in the Indian subcontinent, Latin America, and Sub-Saharan Africa</v>
      </c>
      <c r="Y2" s="34" t="str">
        <f>VLOOKUP(A2, 'Session Data'!A:AA,22,false)</f>
        <v>Cheryl</v>
      </c>
      <c r="Z2" s="34" t="str">
        <f>VLOOKUP(A2, 'Session Data'!A:AA,23,false)</f>
        <v>O'Brien</v>
      </c>
      <c r="AA2" s="34" t="str">
        <f>VLOOKUP(A2, 'Session Data'!A:AA,25,false)</f>
        <v>Arts and Letters</v>
      </c>
      <c r="AB2" s="34" t="str">
        <f>VLOOKUP(A2, 'Session Data'!A:AA,24,false)</f>
        <v>cobrien@sdsu.edu</v>
      </c>
      <c r="AC2" s="34" t="str">
        <f>VLOOKUP(A2, 'Session Data'!A:AA,16,false)</f>
        <v/>
      </c>
      <c r="AD2" s="35" t="str">
        <f>VLOOKUP(A2, 'Session Data'!A:U,17,false)</f>
        <v/>
      </c>
      <c r="AE2" s="35" t="str">
        <f>VLOOKUP(A2, 'Session Data'!A:U,18,false)</f>
        <v/>
      </c>
      <c r="AF2" s="35" t="str">
        <f>VLOOKUP(A2, 'Session Data'!A:U,19,false)</f>
        <v/>
      </c>
      <c r="AG2" s="35" t="str">
        <f>VLOOKUP(A2, 'Session Data'!A:U,20,false)</f>
        <v/>
      </c>
      <c r="AH2" s="35" t="str">
        <f>VLOOKUP(A2, 'Session Data'!A:U,21,false)</f>
        <v/>
      </c>
      <c r="AI2" s="36"/>
      <c r="AJ2" s="37"/>
      <c r="AK2" s="38"/>
      <c r="AL2" s="39"/>
      <c r="AM2" s="34" t="str">
        <f>VLOOKUP(A2, 'Session Data'!A:AA,10,false)</f>
        <v>aruballojimene9245@sdsu.edu</v>
      </c>
      <c r="AN2" s="40"/>
      <c r="AO2" s="41"/>
      <c r="AP2" s="42"/>
      <c r="AQ2" s="41"/>
      <c r="AR2" s="41"/>
      <c r="AS2" s="41"/>
      <c r="AT2" s="41"/>
      <c r="AU2" s="41"/>
      <c r="AV2" s="41"/>
      <c r="AW2" s="41"/>
      <c r="AX2" s="41"/>
      <c r="AY2" s="43"/>
      <c r="AZ2" s="43"/>
      <c r="BA2" s="43"/>
      <c r="BB2" s="43"/>
      <c r="BC2" s="43"/>
      <c r="BD2" s="43"/>
      <c r="BE2" s="44"/>
      <c r="BF2" s="45"/>
      <c r="BG2" s="46"/>
    </row>
    <row r="3">
      <c r="A3" s="19" t="s">
        <v>60</v>
      </c>
      <c r="B3" s="20">
        <f>VLOOKUP(F3,'Session Count DO NOT EDIT'!$A:$C,3,FALSE)</f>
        <v>5</v>
      </c>
      <c r="C3" s="20">
        <f>COUNTIFS('Scores Import DO NOT EDIT'!D:D,A3)</f>
        <v>0</v>
      </c>
      <c r="D3" s="21">
        <f t="shared" si="1"/>
        <v>0</v>
      </c>
      <c r="E3" s="22" t="str">
        <f>AVERAGEIFS('Scores Import DO NOT EDIT'!L:L,'Scores Import DO NOT EDIT'!D:D,A3)</f>
        <v>#DIV/0!</v>
      </c>
      <c r="F3" s="23" t="str">
        <f>VLOOKUP(A3, 'Session Data'!A:M,3,false)</f>
        <v>A-1</v>
      </c>
      <c r="G3" s="24" t="str">
        <f>VLOOKUP(A3, 'Session Data'!A:I,2,false)</f>
        <v>9:00 AM</v>
      </c>
      <c r="H3" s="23" t="str">
        <f>VLOOKUP(A3, 'Session Data'!A:J,5,false)</f>
        <v>Behavioral and Social Sciences</v>
      </c>
      <c r="I3" s="25" t="str">
        <f>VLOOKUP(A3, 'Session Data'!A:H,4,false)</f>
        <v>Oral </v>
      </c>
      <c r="J3" s="26" t="str">
        <f>VLOOKUP(A3, 'Session Data'!A:AA,14,false)</f>
        <v>Undergraduate</v>
      </c>
      <c r="K3" s="27" t="str">
        <f>VLOOKUP(A3, 'Session Data'!A:AA,15,false)</f>
        <v>Engineering</v>
      </c>
      <c r="L3" s="47"/>
      <c r="M3" s="29" t="str">
        <f>VLOOKUP(A3, 'Session Data'!A:K,11,false)</f>
        <v>Bachelor of Science in Environmental Engineering</v>
      </c>
      <c r="N3" s="26" t="str">
        <f>IF(ISNA(VLOOKUP(A3, 'Award Abstract#'!C:C, 1, FALSE)), "No", "Yes")
</f>
        <v>No</v>
      </c>
      <c r="O3" s="29" t="str">
        <f>IF(ISNA(VLOOKUP(A3,'Award Abstract#'!B:B,1,FALSE)), "No", "Yes")</f>
        <v>No</v>
      </c>
      <c r="P3" s="29" t="str">
        <f>IF(ISNA(VLOOKUP(A3,'Award Abstract#'!E:E,1,FALSE)), "No", "Yes")</f>
        <v>No</v>
      </c>
      <c r="Q3" s="29" t="str">
        <f>IF(ISNA(VLOOKUP(A3,'Award Abstract#'!A:A,1,FALSE)), "No", "Yes")</f>
        <v>No</v>
      </c>
      <c r="R3" s="29" t="str">
        <f>IF(ISNA(VLOOKUP(A3,'Award Abstract#'!D:D,1,FALSE)), "No", "Yes")</f>
        <v>No</v>
      </c>
      <c r="S3" s="30" t="str">
        <f>VLOOKUP(A3, 'Session Data'!A:AA,27,false)</f>
        <v>Woman</v>
      </c>
      <c r="T3" s="30"/>
      <c r="U3" s="30"/>
      <c r="V3" s="31" t="str">
        <f>VLOOKUP(A3, 'Session Data'!A:AA,8,false)</f>
        <v>Emily</v>
      </c>
      <c r="W3" s="32" t="str">
        <f>VLOOKUP(A3, 'Session Data'!A:AA,9,false)</f>
        <v>Brown</v>
      </c>
      <c r="X3" s="33" t="str">
        <f>VLOOKUP(A3, 'Session Data'!A:AA,12,false)</f>
        <v>Fear Mapping</v>
      </c>
      <c r="Y3" s="34" t="str">
        <f>VLOOKUP(A3, 'Session Data'!A:AA,22,false)</f>
        <v>Bruce</v>
      </c>
      <c r="Z3" s="34" t="str">
        <f>VLOOKUP(A3, 'Session Data'!A:AA,23,false)</f>
        <v>Appleyard</v>
      </c>
      <c r="AA3" s="34" t="str">
        <f>VLOOKUP(A3, 'Session Data'!A:AA,25,false)</f>
        <v>Other</v>
      </c>
      <c r="AB3" s="34" t="str">
        <f>VLOOKUP(A3, 'Session Data'!A:AA,24,false)</f>
        <v>bappleyard@sdsu.edu</v>
      </c>
      <c r="AC3" s="34" t="str">
        <f>VLOOKUP(A3, 'Session Data'!A:AA,16,false)</f>
        <v/>
      </c>
      <c r="AD3" s="35" t="str">
        <f>VLOOKUP(A3, 'Session Data'!A:U,17,false)</f>
        <v/>
      </c>
      <c r="AE3" s="35" t="str">
        <f>VLOOKUP(A3, 'Session Data'!A:U,18,false)</f>
        <v/>
      </c>
      <c r="AF3" s="35" t="str">
        <f>VLOOKUP(A3, 'Session Data'!A:U,19,false)</f>
        <v/>
      </c>
      <c r="AG3" s="35" t="str">
        <f>VLOOKUP(A3, 'Session Data'!A:U,20,false)</f>
        <v/>
      </c>
      <c r="AH3" s="35" t="str">
        <f>VLOOKUP(A3, 'Session Data'!A:U,21,false)</f>
        <v/>
      </c>
      <c r="AI3" s="36"/>
      <c r="AJ3" s="38"/>
      <c r="AK3" s="38"/>
      <c r="AL3" s="39"/>
      <c r="AM3" s="34" t="str">
        <f>VLOOKUP(A3, 'Session Data'!A:AA,10,false)</f>
        <v>ebrown8488@sdsu.edu</v>
      </c>
      <c r="AN3" s="40"/>
      <c r="AO3" s="38"/>
      <c r="AP3" s="38"/>
      <c r="AQ3" s="38"/>
      <c r="AR3" s="38"/>
      <c r="AS3" s="38"/>
      <c r="AT3" s="38"/>
      <c r="AU3" s="38"/>
      <c r="AV3" s="38"/>
      <c r="AW3" s="38"/>
      <c r="AX3" s="38"/>
      <c r="AY3" s="43"/>
      <c r="AZ3" s="43"/>
      <c r="BA3" s="43"/>
      <c r="BB3" s="43"/>
      <c r="BC3" s="43"/>
      <c r="BD3" s="43"/>
      <c r="BE3" s="44"/>
      <c r="BF3" s="45"/>
      <c r="BG3" s="43"/>
    </row>
    <row r="4">
      <c r="A4" s="19" t="s">
        <v>61</v>
      </c>
      <c r="B4" s="20">
        <f>VLOOKUP(F4,'Session Count DO NOT EDIT'!$A:$C,3,FALSE)</f>
        <v>5</v>
      </c>
      <c r="C4" s="20">
        <f>COUNTIFS('Scores Import DO NOT EDIT'!D:D,A4)</f>
        <v>4</v>
      </c>
      <c r="D4" s="21">
        <f t="shared" si="1"/>
        <v>0.8</v>
      </c>
      <c r="E4" s="22">
        <f>AVERAGEIFS('Scores Import DO NOT EDIT'!L:L,'Scores Import DO NOT EDIT'!D:D,A4)</f>
        <v>27</v>
      </c>
      <c r="F4" s="23" t="str">
        <f>VLOOKUP(A4, 'Session Data'!A:M,3,false)</f>
        <v>A-1</v>
      </c>
      <c r="G4" s="24" t="str">
        <f>VLOOKUP(A4, 'Session Data'!A:I,2,false)</f>
        <v>9:00 AM</v>
      </c>
      <c r="H4" s="23" t="str">
        <f>VLOOKUP(A4, 'Session Data'!A:J,5,false)</f>
        <v>Behavioral and Social Sciences</v>
      </c>
      <c r="I4" s="25" t="str">
        <f>VLOOKUP(A4, 'Session Data'!A:H,4,false)</f>
        <v>Oral </v>
      </c>
      <c r="J4" s="26" t="str">
        <f>VLOOKUP(A4, 'Session Data'!A:AA,14,false)</f>
        <v>Undergraduate</v>
      </c>
      <c r="K4" s="27" t="str">
        <f>VLOOKUP(A4, 'Session Data'!A:AA,15,false)</f>
        <v>Professional Studies and Fine Arts</v>
      </c>
      <c r="L4" s="28"/>
      <c r="M4" s="29" t="str">
        <f>VLOOKUP(A4, 'Session Data'!A:AA,11,false)</f>
        <v>Bachelor of Arts in Communication</v>
      </c>
      <c r="N4" s="26" t="str">
        <f>IF(ISNA(VLOOKUP(A4, 'Award Abstract#'!C:C, 1, FALSE)), "No", "Yes")
</f>
        <v>No</v>
      </c>
      <c r="O4" s="29" t="str">
        <f>IF(ISNA(VLOOKUP(A4,'Award Abstract#'!B:B,1,FALSE)), "No", "Yes")</f>
        <v>No</v>
      </c>
      <c r="P4" s="29" t="str">
        <f>IF(ISNA(VLOOKUP(A4,'Award Abstract#'!E:E,1,FALSE)), "No", "Yes")</f>
        <v>No</v>
      </c>
      <c r="Q4" s="29" t="str">
        <f>IF(ISNA(VLOOKUP(A4,'Award Abstract#'!A:A,1,FALSE)), "No", "Yes")</f>
        <v>No</v>
      </c>
      <c r="R4" s="29" t="str">
        <f>IF(ISNA(VLOOKUP(A4,'Award Abstract#'!D:D,1,FALSE)), "No", "Yes")</f>
        <v>No</v>
      </c>
      <c r="S4" s="30" t="str">
        <f>VLOOKUP(A4, 'Session Data'!A:AA,27,false)</f>
        <v>Woman</v>
      </c>
      <c r="T4" s="30"/>
      <c r="U4" s="30"/>
      <c r="V4" s="31" t="str">
        <f>VLOOKUP(A4, 'Session Data'!A:AA,8,false)</f>
        <v>Emily</v>
      </c>
      <c r="W4" s="32" t="str">
        <f>VLOOKUP(A4, 'Session Data'!A:AA,9,false)</f>
        <v>Mooney</v>
      </c>
      <c r="X4" s="33" t="str">
        <f>VLOOKUP(A4, 'Session Data'!A:AA,12,false)</f>
        <v>No Academia without AI: Decoding College Student’s Perceptions of Artificial Intelligence</v>
      </c>
      <c r="Y4" s="34" t="str">
        <f>VLOOKUP(A4, 'Session Data'!A:AA,22,false)</f>
        <v>Tiffany</v>
      </c>
      <c r="Z4" s="34" t="str">
        <f>VLOOKUP(A4, 'Session Data'!A:AA,23,false)</f>
        <v>Dykstra-Devette</v>
      </c>
      <c r="AA4" s="34" t="str">
        <f>VLOOKUP(A4, 'Session Data'!A:AA,25,false)</f>
        <v>Professional Studies and Fine Arts</v>
      </c>
      <c r="AB4" s="34" t="str">
        <f>VLOOKUP(A4, 'Session Data'!A:AA,24,false)</f>
        <v>tdykstradevette@sdsu.edu</v>
      </c>
      <c r="AC4" s="34" t="str">
        <f>VLOOKUP(A4, 'Session Data'!A:AA,16,false)</f>
        <v/>
      </c>
      <c r="AD4" s="35" t="str">
        <f>VLOOKUP(A4, 'Session Data'!A:U,17,false)</f>
        <v/>
      </c>
      <c r="AE4" s="35" t="str">
        <f>VLOOKUP(A4, 'Session Data'!A:U,18,false)</f>
        <v/>
      </c>
      <c r="AF4" s="35" t="str">
        <f>VLOOKUP(A4, 'Session Data'!A:U,19,false)</f>
        <v/>
      </c>
      <c r="AG4" s="35" t="str">
        <f>VLOOKUP(A4, 'Session Data'!A:U,20,false)</f>
        <v/>
      </c>
      <c r="AH4" s="35" t="str">
        <f>VLOOKUP(A4, 'Session Data'!A:U,21,false)</f>
        <v/>
      </c>
      <c r="AI4" s="36"/>
      <c r="AJ4" s="38"/>
      <c r="AK4" s="38"/>
      <c r="AL4" s="39"/>
      <c r="AM4" s="34" t="str">
        <f>VLOOKUP(A4, 'Session Data'!A:AA,10,false)</f>
        <v>emooney0964@sdsu.edu</v>
      </c>
      <c r="AN4" s="40"/>
      <c r="AO4" s="38"/>
      <c r="AP4" s="38"/>
      <c r="AQ4" s="38"/>
      <c r="AR4" s="38"/>
      <c r="AS4" s="38"/>
      <c r="AT4" s="38"/>
      <c r="AU4" s="38"/>
      <c r="AV4" s="38"/>
      <c r="AW4" s="38"/>
      <c r="AX4" s="38"/>
      <c r="AY4" s="43"/>
      <c r="AZ4" s="43"/>
      <c r="BA4" s="48"/>
      <c r="BB4" s="48"/>
      <c r="BC4" s="43"/>
      <c r="BD4" s="43"/>
      <c r="BE4" s="44"/>
      <c r="BF4" s="45"/>
      <c r="BG4" s="43"/>
    </row>
    <row r="5">
      <c r="A5" s="19" t="s">
        <v>62</v>
      </c>
      <c r="B5" s="20">
        <f>VLOOKUP(F5,'Session Count DO NOT EDIT'!$A:$C,3,FALSE)</f>
        <v>5</v>
      </c>
      <c r="C5" s="20">
        <f>COUNTIFS('Scores Import DO NOT EDIT'!D:D,A5)</f>
        <v>4</v>
      </c>
      <c r="D5" s="21">
        <f t="shared" si="1"/>
        <v>0.8</v>
      </c>
      <c r="E5" s="22">
        <f>AVERAGEIFS('Scores Import DO NOT EDIT'!L:L,'Scores Import DO NOT EDIT'!D:D,A5)</f>
        <v>27</v>
      </c>
      <c r="F5" s="23" t="str">
        <f>VLOOKUP(A5, 'Session Data'!A:M,3,false)</f>
        <v>A-1</v>
      </c>
      <c r="G5" s="24" t="str">
        <f>VLOOKUP(A5, 'Session Data'!A:I,2,false)</f>
        <v>9:00 AM</v>
      </c>
      <c r="H5" s="23" t="str">
        <f>VLOOKUP(A5, 'Session Data'!A:J,5,false)</f>
        <v>Behavioral and Social Sciences</v>
      </c>
      <c r="I5" s="25" t="str">
        <f>VLOOKUP(A5, 'Session Data'!A:H,4,false)</f>
        <v>Oral </v>
      </c>
      <c r="J5" s="26" t="str">
        <f>VLOOKUP(A5, 'Session Data'!A:AA,14,false)</f>
        <v>Undergraduate</v>
      </c>
      <c r="K5" s="27" t="str">
        <f>VLOOKUP(A5, 'Session Data'!A:AA,15,false)</f>
        <v>Sciences</v>
      </c>
      <c r="L5" s="28"/>
      <c r="M5" s="29" t="str">
        <f>VLOOKUP(A5, 'Session Data'!A:K,11,false)</f>
        <v>Post-bac</v>
      </c>
      <c r="N5" s="26" t="str">
        <f>IF(ISNA(VLOOKUP(A5, 'Award Abstract#'!C:C, 1, FALSE)), "No", "Yes")
</f>
        <v>No</v>
      </c>
      <c r="O5" s="29" t="str">
        <f>IF(ISNA(VLOOKUP(A5,'Award Abstract#'!B:B,1,FALSE)), "No", "Yes")</f>
        <v>No</v>
      </c>
      <c r="P5" s="29" t="str">
        <f>IF(ISNA(VLOOKUP(A5,'Award Abstract#'!E:E,1,FALSE)), "No", "Yes")</f>
        <v>No</v>
      </c>
      <c r="Q5" s="29" t="str">
        <f>IF(ISNA(VLOOKUP(A5,'Award Abstract#'!A:A,1,FALSE)), "No", "Yes")</f>
        <v>No</v>
      </c>
      <c r="R5" s="29" t="str">
        <f>IF(ISNA(VLOOKUP(A5,'Award Abstract#'!D:D,1,FALSE)), "No", "Yes")</f>
        <v>Yes</v>
      </c>
      <c r="S5" s="30" t="str">
        <f>VLOOKUP(A5, 'Session Data'!A:AA,27,false)</f>
        <v>Man</v>
      </c>
      <c r="T5" s="30"/>
      <c r="U5" s="30"/>
      <c r="V5" s="31" t="str">
        <f>VLOOKUP(A5, 'Session Data'!A:AA,8,false)</f>
        <v>David</v>
      </c>
      <c r="W5" s="32" t="str">
        <f>VLOOKUP(A5, 'Session Data'!A:AA,9,false)</f>
        <v>Straub</v>
      </c>
      <c r="X5" s="33" t="str">
        <f>VLOOKUP(A5, 'Session Data'!A:AA,12,false)</f>
        <v>The unique effect of neglect on trajectories of speech problems in youth </v>
      </c>
      <c r="Y5" s="34" t="str">
        <f>VLOOKUP(A5, 'Session Data'!A:AA,22,false)</f>
        <v>Miguel</v>
      </c>
      <c r="Z5" s="34" t="str">
        <f>VLOOKUP(A5, 'Session Data'!A:AA,23,false)</f>
        <v>Villodas</v>
      </c>
      <c r="AA5" s="34" t="str">
        <f>VLOOKUP(A5, 'Session Data'!A:AA,25,false)</f>
        <v>Sciences</v>
      </c>
      <c r="AB5" s="34" t="str">
        <f>VLOOKUP(A5, 'Session Data'!A:AA,24,false)</f>
        <v>mvillodas@sdsu.edu</v>
      </c>
      <c r="AC5" s="34" t="str">
        <f>VLOOKUP(A5, 'Session Data'!A:AA,16,false)</f>
        <v/>
      </c>
      <c r="AD5" s="35" t="str">
        <f>VLOOKUP(A5, 'Session Data'!A:U,17,false)</f>
        <v/>
      </c>
      <c r="AE5" s="35" t="str">
        <f>VLOOKUP(A5, 'Session Data'!A:U,18,false)</f>
        <v/>
      </c>
      <c r="AF5" s="35" t="str">
        <f>VLOOKUP(A5, 'Session Data'!A:U,19,false)</f>
        <v/>
      </c>
      <c r="AG5" s="35" t="str">
        <f>VLOOKUP(A5, 'Session Data'!A:U,20,false)</f>
        <v/>
      </c>
      <c r="AH5" s="35" t="str">
        <f>VLOOKUP(A5, 'Session Data'!A:U,21,false)</f>
        <v/>
      </c>
      <c r="AI5" s="36"/>
      <c r="AJ5" s="38"/>
      <c r="AK5" s="38"/>
      <c r="AL5" s="39"/>
      <c r="AM5" s="34" t="str">
        <f>VLOOKUP(A5, 'Session Data'!A:AA,10,false)</f>
        <v>dstraub2620@sdsu.edu</v>
      </c>
      <c r="AN5" s="40"/>
      <c r="AO5" s="38"/>
      <c r="AP5" s="38"/>
      <c r="AQ5" s="38"/>
      <c r="AR5" s="38"/>
      <c r="AS5" s="38"/>
      <c r="AT5" s="38"/>
      <c r="AU5" s="38"/>
      <c r="AV5" s="38"/>
      <c r="AW5" s="38"/>
      <c r="AX5" s="38"/>
      <c r="AY5" s="43"/>
      <c r="AZ5" s="43"/>
      <c r="BA5" s="48"/>
      <c r="BB5" s="48"/>
      <c r="BC5" s="43"/>
      <c r="BD5" s="43"/>
      <c r="BE5" s="44"/>
      <c r="BF5" s="45"/>
      <c r="BG5" s="43"/>
    </row>
    <row r="6">
      <c r="A6" s="19" t="s">
        <v>63</v>
      </c>
      <c r="B6" s="20">
        <f>VLOOKUP(F6,'Session Count DO NOT EDIT'!$A:$C,3,FALSE)</f>
        <v>5</v>
      </c>
      <c r="C6" s="20">
        <f>COUNTIFS('Scores Import DO NOT EDIT'!D:D,A6)</f>
        <v>4</v>
      </c>
      <c r="D6" s="21">
        <f t="shared" si="1"/>
        <v>0.8</v>
      </c>
      <c r="E6" s="22">
        <f>AVERAGEIFS('Scores Import DO NOT EDIT'!L:L,'Scores Import DO NOT EDIT'!D:D,A6)</f>
        <v>26.75</v>
      </c>
      <c r="F6" s="23" t="str">
        <f>VLOOKUP(A6, 'Session Data'!A:M,3,false)</f>
        <v>A-1</v>
      </c>
      <c r="G6" s="24" t="str">
        <f>VLOOKUP(A6, 'Session Data'!A:I,2,false)</f>
        <v>9:00 AM</v>
      </c>
      <c r="H6" s="23" t="str">
        <f>VLOOKUP(A6, 'Session Data'!A:J,5,false)</f>
        <v>Behavioral and Social Sciences</v>
      </c>
      <c r="I6" s="25" t="str">
        <f>VLOOKUP(A6, 'Session Data'!A:H,4,false)</f>
        <v>Oral </v>
      </c>
      <c r="J6" s="26" t="str">
        <f>VLOOKUP(A6, 'Session Data'!A:AA,14,false)</f>
        <v>Undergraduate</v>
      </c>
      <c r="K6" s="27" t="str">
        <f>VLOOKUP(A6, 'Session Data'!A:AA,15,false)</f>
        <v>Sciences</v>
      </c>
      <c r="L6" s="49"/>
      <c r="M6" s="29" t="str">
        <f>VLOOKUP(A6, 'Session Data'!A:K,11,false)</f>
        <v>Bachelors of Arts in Psychology with an Emphasis in Neuroscience</v>
      </c>
      <c r="N6" s="26" t="str">
        <f>IF(ISNA(VLOOKUP(A6, 'Award Abstract#'!C:C, 1, FALSE)), "No", "Yes")
</f>
        <v>No</v>
      </c>
      <c r="O6" s="29" t="str">
        <f>IF(ISNA(VLOOKUP(A6,'Award Abstract#'!B:B,1,FALSE)), "No", "Yes")</f>
        <v>No</v>
      </c>
      <c r="P6" s="29" t="str">
        <f>IF(ISNA(VLOOKUP(A6,'Award Abstract#'!E:E,1,FALSE)), "No", "Yes")</f>
        <v>No</v>
      </c>
      <c r="Q6" s="29" t="str">
        <f>IF(ISNA(VLOOKUP(A6,'Award Abstract#'!A:A,1,FALSE)), "No", "Yes")</f>
        <v>No</v>
      </c>
      <c r="R6" s="29" t="str">
        <f>IF(ISNA(VLOOKUP(A6,'Award Abstract#'!D:D,1,FALSE)), "No", "Yes")</f>
        <v>Yes</v>
      </c>
      <c r="S6" s="30" t="str">
        <f>VLOOKUP(A6, 'Session Data'!A:AA,27,false)</f>
        <v>Woman</v>
      </c>
      <c r="T6" s="30"/>
      <c r="U6" s="30"/>
      <c r="V6" s="31" t="str">
        <f>VLOOKUP(A6, 'Session Data'!A:AA,8,false)</f>
        <v>Shefali</v>
      </c>
      <c r="W6" s="32" t="str">
        <f>VLOOKUP(A6, 'Session Data'!A:AA,9,false)</f>
        <v>Sharma</v>
      </c>
      <c r="X6" s="33" t="str">
        <f>VLOOKUP(A6, 'Session Data'!A:AA,12,false)</f>
        <v>Suicide Risk Factors and Types of Intersectional Discrimination Among Sexual and Gender Minority Youth at Risk for Repeat Suicide Attempts</v>
      </c>
      <c r="Y6" s="34" t="str">
        <f>VLOOKUP(A6, 'Session Data'!A:AA,22,false)</f>
        <v>Kristen J.</v>
      </c>
      <c r="Z6" s="34" t="str">
        <f>VLOOKUP(A6, 'Session Data'!A:AA,23,false)</f>
        <v>Wells</v>
      </c>
      <c r="AA6" s="34" t="str">
        <f>VLOOKUP(A6, 'Session Data'!A:AA,25,false)</f>
        <v>Sciences</v>
      </c>
      <c r="AB6" s="34" t="str">
        <f>VLOOKUP(A6, 'Session Data'!A:AA,24,false)</f>
        <v>kwells@sdsu.edu</v>
      </c>
      <c r="AC6" s="34" t="str">
        <f>VLOOKUP(A6, 'Session Data'!A:AA,16,false)</f>
        <v/>
      </c>
      <c r="AD6" s="35" t="str">
        <f>VLOOKUP(A6, 'Session Data'!A:U,17,false)</f>
        <v/>
      </c>
      <c r="AE6" s="35" t="str">
        <f>VLOOKUP(A6, 'Session Data'!A:U,18,false)</f>
        <v/>
      </c>
      <c r="AF6" s="35" t="str">
        <f>VLOOKUP(A6, 'Session Data'!A:U,19,false)</f>
        <v/>
      </c>
      <c r="AG6" s="35" t="str">
        <f>VLOOKUP(A6, 'Session Data'!A:U,20,false)</f>
        <v/>
      </c>
      <c r="AH6" s="35" t="str">
        <f>VLOOKUP(A6, 'Session Data'!A:U,21,false)</f>
        <v/>
      </c>
      <c r="AI6" s="37"/>
      <c r="AJ6" s="37"/>
      <c r="AK6" s="37"/>
      <c r="AL6" s="50"/>
      <c r="AM6" s="34" t="str">
        <f>VLOOKUP(A6, 'Session Data'!A:AA,10,false)</f>
        <v>ssharma3506@sdsu.edu</v>
      </c>
      <c r="AN6" s="40"/>
      <c r="AO6" s="38"/>
      <c r="AP6" s="38"/>
      <c r="AQ6" s="38"/>
      <c r="AR6" s="38"/>
      <c r="AS6" s="38"/>
      <c r="AT6" s="38"/>
      <c r="AU6" s="38"/>
      <c r="AV6" s="38"/>
      <c r="AW6" s="38"/>
      <c r="AX6" s="38"/>
      <c r="AY6" s="43"/>
      <c r="AZ6" s="43"/>
      <c r="BA6" s="48"/>
      <c r="BB6" s="48"/>
      <c r="BC6" s="43"/>
      <c r="BD6" s="43"/>
      <c r="BE6" s="44"/>
      <c r="BF6" s="45"/>
      <c r="BG6" s="43"/>
    </row>
    <row r="7">
      <c r="A7" s="19" t="s">
        <v>64</v>
      </c>
      <c r="B7" s="20">
        <f>VLOOKUP(F7,'Session Count DO NOT EDIT'!$A:$C,3,FALSE)</f>
        <v>5</v>
      </c>
      <c r="C7" s="20">
        <f>COUNTIFS('Scores Import DO NOT EDIT'!D:D,A7)</f>
        <v>4</v>
      </c>
      <c r="D7" s="21">
        <f t="shared" si="1"/>
        <v>0.8</v>
      </c>
      <c r="E7" s="22">
        <f>AVERAGEIFS('Scores Import DO NOT EDIT'!L:L,'Scores Import DO NOT EDIT'!D:D,A7)</f>
        <v>25.5</v>
      </c>
      <c r="F7" s="23" t="str">
        <f>VLOOKUP(A7, 'Session Data'!A:M,3,false)</f>
        <v>A-1</v>
      </c>
      <c r="G7" s="24" t="str">
        <f>VLOOKUP(A7, 'Session Data'!A:I,2,false)</f>
        <v>9:00 AM</v>
      </c>
      <c r="H7" s="23" t="str">
        <f>VLOOKUP(A7, 'Session Data'!A:J,5,false)</f>
        <v>Behavioral and Social Sciences</v>
      </c>
      <c r="I7" s="25" t="str">
        <f>VLOOKUP(A7, 'Session Data'!A:H,4,false)</f>
        <v>Oral </v>
      </c>
      <c r="J7" s="26" t="str">
        <f>VLOOKUP(A7, 'Session Data'!A:AA,14,false)</f>
        <v>Undergraduate</v>
      </c>
      <c r="K7" s="27" t="str">
        <f>VLOOKUP(A7, 'Session Data'!A:AA,15,false)</f>
        <v>Arts and Letters</v>
      </c>
      <c r="L7" s="47"/>
      <c r="M7" s="29" t="str">
        <f>VLOOKUP(A7, 'Session Data'!A:K,11,false)</f>
        <v>LInguistics and Spanish (SST)</v>
      </c>
      <c r="N7" s="26" t="str">
        <f>IF(ISNA(VLOOKUP(A7, 'Award Abstract#'!C:C, 1, FALSE)), "No", "Yes")
</f>
        <v>No</v>
      </c>
      <c r="O7" s="29" t="str">
        <f>IF(ISNA(VLOOKUP(A7,'Award Abstract#'!B:B,1,FALSE)), "No", "Yes")</f>
        <v>No</v>
      </c>
      <c r="P7" s="29" t="str">
        <f>IF(ISNA(VLOOKUP(A7,'Award Abstract#'!E:E,1,FALSE)), "No", "Yes")</f>
        <v>Yes</v>
      </c>
      <c r="Q7" s="29" t="str">
        <f>IF(ISNA(VLOOKUP(A7,'Award Abstract#'!A:A,1,FALSE)), "No", "Yes")</f>
        <v>No</v>
      </c>
      <c r="R7" s="29" t="str">
        <f>IF(ISNA(VLOOKUP(A7,'Award Abstract#'!D:D,1,FALSE)), "No", "Yes")</f>
        <v>No</v>
      </c>
      <c r="S7" s="30" t="str">
        <f>VLOOKUP(A7, 'Session Data'!A:AA,27,false)</f>
        <v>Woman</v>
      </c>
      <c r="T7" s="30"/>
      <c r="U7" s="30"/>
      <c r="V7" s="31" t="str">
        <f>VLOOKUP(A7, 'Session Data'!A:AA,8,false)</f>
        <v>Emily</v>
      </c>
      <c r="W7" s="32" t="str">
        <f>VLOOKUP(A7, 'Session Data'!A:AA,9,false)</f>
        <v>McHale</v>
      </c>
      <c r="X7" s="33" t="str">
        <f>VLOOKUP(A7, 'Session Data'!A:AA,12,false)</f>
        <v>Does ChatGPT Write Reviews that are Human-Like, Trustworthy, and Convincing, According to Readers?</v>
      </c>
      <c r="Y7" s="34" t="str">
        <f>VLOOKUP(A7, 'Session Data'!A:AA,22,false)</f>
        <v>Gabriel</v>
      </c>
      <c r="Z7" s="34" t="str">
        <f>VLOOKUP(A7, 'Session Data'!A:AA,23,false)</f>
        <v>Doyle</v>
      </c>
      <c r="AA7" s="34" t="str">
        <f>VLOOKUP(A7, 'Session Data'!A:AA,25,false)</f>
        <v>Arts and Letters</v>
      </c>
      <c r="AB7" s="34" t="str">
        <f>VLOOKUP(A7, 'Session Data'!A:AA,24,false)</f>
        <v>gdoyle@sdsu.edu</v>
      </c>
      <c r="AC7" s="34" t="str">
        <f>VLOOKUP(A7, 'Session Data'!A:AA,16,false)</f>
        <v/>
      </c>
      <c r="AD7" s="35" t="str">
        <f>VLOOKUP(A7, 'Session Data'!A:U,17,false)</f>
        <v/>
      </c>
      <c r="AE7" s="35" t="str">
        <f>VLOOKUP(A7, 'Session Data'!A:U,18,false)</f>
        <v/>
      </c>
      <c r="AF7" s="35" t="str">
        <f>VLOOKUP(A7, 'Session Data'!A:U,19,false)</f>
        <v/>
      </c>
      <c r="AG7" s="35" t="str">
        <f>VLOOKUP(A7, 'Session Data'!A:U,20,false)</f>
        <v/>
      </c>
      <c r="AH7" s="35" t="str">
        <f>VLOOKUP(A7, 'Session Data'!A:U,21,false)</f>
        <v/>
      </c>
      <c r="AI7" s="36"/>
      <c r="AJ7" s="38"/>
      <c r="AK7" s="38"/>
      <c r="AL7" s="39"/>
      <c r="AM7" s="34" t="str">
        <f>VLOOKUP(A7, 'Session Data'!A:AA,10,false)</f>
        <v>emchale6349@sdsu.edu</v>
      </c>
      <c r="AN7" s="40"/>
      <c r="AO7" s="38"/>
      <c r="AP7" s="38"/>
      <c r="AQ7" s="38"/>
      <c r="AR7" s="38"/>
      <c r="AS7" s="38"/>
      <c r="AT7" s="38"/>
      <c r="AU7" s="38"/>
      <c r="AV7" s="38"/>
      <c r="AW7" s="38"/>
      <c r="AX7" s="38"/>
      <c r="AY7" s="43"/>
      <c r="AZ7" s="43"/>
      <c r="BA7" s="48"/>
      <c r="BB7" s="48"/>
      <c r="BC7" s="43"/>
      <c r="BD7" s="43"/>
      <c r="BE7" s="44"/>
      <c r="BF7" s="45"/>
      <c r="BG7" s="46"/>
    </row>
    <row r="8">
      <c r="A8" s="19" t="s">
        <v>65</v>
      </c>
      <c r="B8" s="20">
        <f>VLOOKUP(F8,'Session Count DO NOT EDIT'!$A:$C,3,FALSE)</f>
        <v>4</v>
      </c>
      <c r="C8" s="20">
        <f>COUNTIFS('Scores Import DO NOT EDIT'!D:D,A8)</f>
        <v>4</v>
      </c>
      <c r="D8" s="21">
        <f t="shared" si="1"/>
        <v>1</v>
      </c>
      <c r="E8" s="22">
        <f>AVERAGEIFS('Scores Import DO NOT EDIT'!L:L,'Scores Import DO NOT EDIT'!D:D,A8)</f>
        <v>28.5</v>
      </c>
      <c r="F8" s="23" t="str">
        <f>VLOOKUP(A8, 'Session Data'!A:M,3,false)</f>
        <v>A-10</v>
      </c>
      <c r="G8" s="24" t="str">
        <f>VLOOKUP(A8, 'Session Data'!A:I,2,false)</f>
        <v>9:00 AM</v>
      </c>
      <c r="H8" s="23" t="str">
        <f>VLOOKUP(A8, 'Session Data'!A:J,5,false)</f>
        <v>Health Nutrition and Clinical Sciences</v>
      </c>
      <c r="I8" s="25" t="str">
        <f>VLOOKUP(A8, 'Session Data'!A:H,4,false)</f>
        <v>Oral </v>
      </c>
      <c r="J8" s="26" t="str">
        <f>VLOOKUP(A8, 'Session Data'!A:AA,14,false)</f>
        <v>Undergraduate</v>
      </c>
      <c r="K8" s="27" t="str">
        <f>VLOOKUP(A8, 'Session Data'!A:AA,15,false)</f>
        <v>Health and Human Services</v>
      </c>
      <c r="L8" s="47"/>
      <c r="M8" s="29" t="str">
        <f>VLOOKUP(A8, 'Session Data'!A:K,11,false)</f>
        <v>Foods and Nutrition</v>
      </c>
      <c r="N8" s="26" t="str">
        <f>IF(ISNA(VLOOKUP(A8, 'Award Abstract#'!C:C, 1, FALSE)), "No", "Yes")
</f>
        <v>No</v>
      </c>
      <c r="O8" s="29" t="str">
        <f>IF(ISNA(VLOOKUP(A8,'Award Abstract#'!B:B,1,FALSE)), "No", "Yes")</f>
        <v>No</v>
      </c>
      <c r="P8" s="29" t="str">
        <f>IF(ISNA(VLOOKUP(A8,'Award Abstract#'!E:E,1,FALSE)), "No", "Yes")</f>
        <v>No</v>
      </c>
      <c r="Q8" s="29" t="str">
        <f>IF(ISNA(VLOOKUP(A8,'Award Abstract#'!A:A,1,FALSE)), "No", "Yes")</f>
        <v>No</v>
      </c>
      <c r="R8" s="29" t="str">
        <f>IF(ISNA(VLOOKUP(A8,'Award Abstract#'!D:D,1,FALSE)), "No", "Yes")</f>
        <v>No</v>
      </c>
      <c r="S8" s="30" t="str">
        <f>VLOOKUP(A8, 'Session Data'!A:AA,27,false)</f>
        <v>Woman</v>
      </c>
      <c r="T8" s="30"/>
      <c r="U8" s="30"/>
      <c r="V8" s="31" t="str">
        <f>VLOOKUP(A8, 'Session Data'!A:AA,8,false)</f>
        <v>Rebecca</v>
      </c>
      <c r="W8" s="32" t="str">
        <f>VLOOKUP(A8, 'Session Data'!A:AA,9,false)</f>
        <v>Vernazza</v>
      </c>
      <c r="X8" s="33" t="str">
        <f>VLOOKUP(A8, 'Session Data'!A:AA,12,false)</f>
        <v>Better Space Parties with Algae-Enriched Guacamole</v>
      </c>
      <c r="Y8" s="34" t="str">
        <f>VLOOKUP(A8, 'Session Data'!A:AA,22,false)</f>
        <v>Jing</v>
      </c>
      <c r="Z8" s="34" t="str">
        <f>VLOOKUP(A8, 'Session Data'!A:AA,23,false)</f>
        <v>Zhao</v>
      </c>
      <c r="AA8" s="34" t="str">
        <f>VLOOKUP(A8, 'Session Data'!A:AA,25,false)</f>
        <v>Health and Human Services</v>
      </c>
      <c r="AB8" s="34" t="str">
        <f>VLOOKUP(A8, 'Session Data'!A:AA,24,false)</f>
        <v>jzhao2@sdsu.edu</v>
      </c>
      <c r="AC8" s="34" t="str">
        <f>VLOOKUP(A8, 'Session Data'!A:AA,16,false)</f>
        <v>Joanna</v>
      </c>
      <c r="AD8" s="35" t="str">
        <f>VLOOKUP(A8, 'Session Data'!A:U,17,false)</f>
        <v>Rockwell</v>
      </c>
      <c r="AE8" s="35" t="str">
        <f>VLOOKUP(A8, 'Session Data'!A:U,18,false)</f>
        <v/>
      </c>
      <c r="AF8" s="35" t="str">
        <f>VLOOKUP(A8, 'Session Data'!A:U,19,false)</f>
        <v/>
      </c>
      <c r="AG8" s="35" t="str">
        <f>VLOOKUP(A8, 'Session Data'!A:U,20,false)</f>
        <v/>
      </c>
      <c r="AH8" s="35" t="str">
        <f>VLOOKUP(A8, 'Session Data'!A:U,21,false)</f>
        <v/>
      </c>
      <c r="AI8" s="37"/>
      <c r="AJ8" s="37"/>
      <c r="AK8" s="37"/>
      <c r="AL8" s="50"/>
      <c r="AM8" s="34" t="str">
        <f>VLOOKUP(A8, 'Session Data'!A:AA,10,false)</f>
        <v>rvernazza1712@sdsu.edu</v>
      </c>
      <c r="AN8" s="40"/>
      <c r="AO8" s="51"/>
      <c r="AP8" s="38"/>
      <c r="AQ8" s="38"/>
      <c r="AR8" s="38"/>
      <c r="AS8" s="38"/>
      <c r="AT8" s="38"/>
      <c r="AU8" s="38"/>
      <c r="AV8" s="38"/>
      <c r="AW8" s="38"/>
      <c r="AX8" s="38"/>
      <c r="AY8" s="43"/>
      <c r="AZ8" s="43"/>
      <c r="BA8" s="43"/>
      <c r="BB8" s="43"/>
      <c r="BC8" s="43"/>
      <c r="BD8" s="43"/>
      <c r="BE8" s="44"/>
      <c r="BF8" s="45"/>
      <c r="BG8" s="43"/>
    </row>
    <row r="9">
      <c r="A9" s="19" t="s">
        <v>66</v>
      </c>
      <c r="B9" s="20">
        <f>VLOOKUP(F9,'Session Count DO NOT EDIT'!$A:$C,3,FALSE)</f>
        <v>4</v>
      </c>
      <c r="C9" s="20">
        <f>COUNTIFS('Scores Import DO NOT EDIT'!D:D,A9)</f>
        <v>4</v>
      </c>
      <c r="D9" s="21">
        <f t="shared" si="1"/>
        <v>1</v>
      </c>
      <c r="E9" s="22">
        <f>AVERAGEIFS('Scores Import DO NOT EDIT'!L:L,'Scores Import DO NOT EDIT'!D:D,A9)</f>
        <v>28.25</v>
      </c>
      <c r="F9" s="23" t="str">
        <f>VLOOKUP(A9, 'Session Data'!A:M,3,false)</f>
        <v>A-10</v>
      </c>
      <c r="G9" s="24" t="str">
        <f>VLOOKUP(A9, 'Session Data'!A:I,2,false)</f>
        <v>9:00 AM</v>
      </c>
      <c r="H9" s="23" t="str">
        <f>VLOOKUP(A9, 'Session Data'!A:J,5,false)</f>
        <v>Health Nutrition and Clinical Sciences</v>
      </c>
      <c r="I9" s="25" t="str">
        <f>VLOOKUP(A9, 'Session Data'!A:H,4,false)</f>
        <v>Oral </v>
      </c>
      <c r="J9" s="26" t="str">
        <f>VLOOKUP(A9, 'Session Data'!A:AA,14,false)</f>
        <v>Undergraduate</v>
      </c>
      <c r="K9" s="27" t="str">
        <f>VLOOKUP(A9, 'Session Data'!A:AA,15,false)</f>
        <v>Health and Human Services</v>
      </c>
      <c r="L9" s="47"/>
      <c r="M9" s="29" t="str">
        <f>VLOOKUP(A9, 'Session Data'!A:K,11,false)</f>
        <v>Bachelors of Foods and Nutrition </v>
      </c>
      <c r="N9" s="26" t="str">
        <f>IF(ISNA(VLOOKUP(A9, 'Award Abstract#'!C:C, 1, FALSE)), "No", "Yes")
</f>
        <v>No</v>
      </c>
      <c r="O9" s="29" t="str">
        <f>IF(ISNA(VLOOKUP(A9,'Award Abstract#'!B:B,1,FALSE)), "No", "Yes")</f>
        <v>No</v>
      </c>
      <c r="P9" s="29" t="str">
        <f>IF(ISNA(VLOOKUP(A9,'Award Abstract#'!E:E,1,FALSE)), "No", "Yes")</f>
        <v>No</v>
      </c>
      <c r="Q9" s="29" t="str">
        <f>IF(ISNA(VLOOKUP(A9,'Award Abstract#'!A:A,1,FALSE)), "No", "Yes")</f>
        <v>No</v>
      </c>
      <c r="R9" s="29" t="str">
        <f>IF(ISNA(VLOOKUP(A9,'Award Abstract#'!D:D,1,FALSE)), "No", "Yes")</f>
        <v>No</v>
      </c>
      <c r="S9" s="30" t="str">
        <f>VLOOKUP(A9, 'Session Data'!A:AA,27,false)</f>
        <v>Woman</v>
      </c>
      <c r="T9" s="30"/>
      <c r="U9" s="30"/>
      <c r="V9" s="31" t="str">
        <f>VLOOKUP(A9, 'Session Data'!A:AA,8,false)</f>
        <v>Ellie</v>
      </c>
      <c r="W9" s="32" t="str">
        <f>VLOOKUP(A9, 'Session Data'!A:AA,9,false)</f>
        <v>Cramton</v>
      </c>
      <c r="X9" s="33" t="str">
        <f>VLOOKUP(A9, 'Session Data'!A:AA,12,false)</f>
        <v> Identification of Flavor Active Compounds in Micro- and Macro- Algae </v>
      </c>
      <c r="Y9" s="34" t="str">
        <f>VLOOKUP(A9, 'Session Data'!A:AA,22,false)</f>
        <v>Jing </v>
      </c>
      <c r="Z9" s="34" t="str">
        <f>VLOOKUP(A9, 'Session Data'!A:AA,23,false)</f>
        <v>Zhao</v>
      </c>
      <c r="AA9" s="34" t="str">
        <f>VLOOKUP(A9, 'Session Data'!A:AA,25,false)</f>
        <v>Health and Human Services</v>
      </c>
      <c r="AB9" s="34" t="str">
        <f>VLOOKUP(A9, 'Session Data'!A:AA,24,false)</f>
        <v>jzhao2@sdsu.edu</v>
      </c>
      <c r="AC9" s="34" t="str">
        <f>VLOOKUP(A9, 'Session Data'!A:AA,16,false)</f>
        <v/>
      </c>
      <c r="AD9" s="35" t="str">
        <f>VLOOKUP(A9, 'Session Data'!A:U,17,false)</f>
        <v/>
      </c>
      <c r="AE9" s="35" t="str">
        <f>VLOOKUP(A9, 'Session Data'!A:U,18,false)</f>
        <v/>
      </c>
      <c r="AF9" s="35" t="str">
        <f>VLOOKUP(A9, 'Session Data'!A:U,19,false)</f>
        <v/>
      </c>
      <c r="AG9" s="35" t="str">
        <f>VLOOKUP(A9, 'Session Data'!A:U,20,false)</f>
        <v/>
      </c>
      <c r="AH9" s="35" t="str">
        <f>VLOOKUP(A9, 'Session Data'!A:U,21,false)</f>
        <v/>
      </c>
      <c r="AI9" s="37"/>
      <c r="AJ9" s="37"/>
      <c r="AK9" s="37"/>
      <c r="AL9" s="50"/>
      <c r="AM9" s="34" t="str">
        <f>VLOOKUP(A9, 'Session Data'!A:AA,10,false)</f>
        <v>ecramton5600@sdsu.edu</v>
      </c>
      <c r="AN9" s="40"/>
      <c r="AO9" s="38"/>
      <c r="AP9" s="38"/>
      <c r="AQ9" s="38"/>
      <c r="AR9" s="38"/>
      <c r="AS9" s="38"/>
      <c r="AT9" s="38"/>
      <c r="AU9" s="38"/>
      <c r="AV9" s="38"/>
      <c r="AW9" s="38"/>
      <c r="AX9" s="38"/>
      <c r="AY9" s="43"/>
      <c r="AZ9" s="43"/>
      <c r="BA9" s="43"/>
      <c r="BB9" s="43"/>
      <c r="BC9" s="43"/>
      <c r="BD9" s="43"/>
      <c r="BE9" s="44"/>
      <c r="BF9" s="45"/>
      <c r="BG9" s="43"/>
    </row>
    <row r="10" ht="14.25" customHeight="1">
      <c r="A10" s="19" t="s">
        <v>67</v>
      </c>
      <c r="B10" s="20">
        <f>VLOOKUP(F10,'Session Count DO NOT EDIT'!$A:$C,3,FALSE)</f>
        <v>4</v>
      </c>
      <c r="C10" s="20">
        <f>COUNTIFS('Scores Import DO NOT EDIT'!D:D,A10)</f>
        <v>4</v>
      </c>
      <c r="D10" s="21">
        <f t="shared" si="1"/>
        <v>1</v>
      </c>
      <c r="E10" s="22">
        <f>AVERAGEIFS('Scores Import DO NOT EDIT'!L:L,'Scores Import DO NOT EDIT'!D:D,A10)</f>
        <v>25.25</v>
      </c>
      <c r="F10" s="23" t="str">
        <f>VLOOKUP(A10, 'Session Data'!A:M,3,false)</f>
        <v>A-10</v>
      </c>
      <c r="G10" s="24" t="str">
        <f>VLOOKUP(A10, 'Session Data'!A:I,2,false)</f>
        <v>9:00 AM</v>
      </c>
      <c r="H10" s="23" t="str">
        <f>VLOOKUP(A10, 'Session Data'!A:J,5,false)</f>
        <v>Health Nutrition and Clinical Sciences</v>
      </c>
      <c r="I10" s="25" t="str">
        <f>VLOOKUP(A10, 'Session Data'!A:H,4,false)</f>
        <v>Oral </v>
      </c>
      <c r="J10" s="26" t="str">
        <f>VLOOKUP(A10, 'Session Data'!A:AA,14,false)</f>
        <v>Undergraduate</v>
      </c>
      <c r="K10" s="27" t="str">
        <f>VLOOKUP(A10, 'Session Data'!A:AA,15,false)</f>
        <v>Health and Human Services</v>
      </c>
      <c r="L10" s="28"/>
      <c r="M10" s="29" t="str">
        <f>VLOOKUP(A10, 'Session Data'!A:K,11,false)</f>
        <v>Kinesiology Pre- Physical Therapy</v>
      </c>
      <c r="N10" s="26" t="str">
        <f>IF(ISNA(VLOOKUP(A10, 'Award Abstract#'!C:C, 1, FALSE)), "No", "Yes")
</f>
        <v>No</v>
      </c>
      <c r="O10" s="29" t="str">
        <f>IF(ISNA(VLOOKUP(A10,'Award Abstract#'!B:B,1,FALSE)), "No", "Yes")</f>
        <v>No</v>
      </c>
      <c r="P10" s="29" t="str">
        <f>IF(ISNA(VLOOKUP(A10,'Award Abstract#'!E:E,1,FALSE)), "No", "Yes")</f>
        <v>No</v>
      </c>
      <c r="Q10" s="29" t="str">
        <f>IF(ISNA(VLOOKUP(A10,'Award Abstract#'!A:A,1,FALSE)), "No", "Yes")</f>
        <v>No</v>
      </c>
      <c r="R10" s="29" t="str">
        <f>IF(ISNA(VLOOKUP(A10,'Award Abstract#'!D:D,1,FALSE)), "No", "Yes")</f>
        <v>No</v>
      </c>
      <c r="S10" s="30" t="str">
        <f>VLOOKUP(A10, 'Session Data'!A:AA,27,false)</f>
        <v>Woman</v>
      </c>
      <c r="T10" s="30"/>
      <c r="U10" s="30"/>
      <c r="V10" s="31" t="str">
        <f>VLOOKUP(A10, 'Session Data'!A:AA,8,false)</f>
        <v>Sarah</v>
      </c>
      <c r="W10" s="32" t="str">
        <f>VLOOKUP(A10, 'Session Data'!A:AA,9,false)</f>
        <v>Konig</v>
      </c>
      <c r="X10" s="33" t="str">
        <f>VLOOKUP(A10, 'Session Data'!A:AA,12,false)</f>
        <v>Kinematics associated with patellar tendinopathy in collegiate basketball athletes.</v>
      </c>
      <c r="Y10" s="34" t="str">
        <f>VLOOKUP(A10, 'Session Data'!A:AA,22,false)</f>
        <v>Sara</v>
      </c>
      <c r="Z10" s="34" t="str">
        <f>VLOOKUP(A10, 'Session Data'!A:AA,23,false)</f>
        <v>Gombatto</v>
      </c>
      <c r="AA10" s="34" t="str">
        <f>VLOOKUP(A10, 'Session Data'!A:AA,25,false)</f>
        <v>Health and Human Services</v>
      </c>
      <c r="AB10" s="34" t="str">
        <f>VLOOKUP(A10, 'Session Data'!A:AA,24,false)</f>
        <v>sgombatto@sdsu.edu</v>
      </c>
      <c r="AC10" s="34" t="str">
        <f>VLOOKUP(A10, 'Session Data'!A:AA,16,false)</f>
        <v>Jay</v>
      </c>
      <c r="AD10" s="35" t="str">
        <f>VLOOKUP(A10, 'Session Data'!A:U,17,false)</f>
        <v>Barolo</v>
      </c>
      <c r="AE10" s="35" t="str">
        <f>VLOOKUP(A10, 'Session Data'!A:U,18,false)</f>
        <v/>
      </c>
      <c r="AF10" s="35" t="str">
        <f>VLOOKUP(A10, 'Session Data'!A:U,19,false)</f>
        <v/>
      </c>
      <c r="AG10" s="35" t="str">
        <f>VLOOKUP(A10, 'Session Data'!A:U,20,false)</f>
        <v/>
      </c>
      <c r="AH10" s="35" t="str">
        <f>VLOOKUP(A10, 'Session Data'!A:U,21,false)</f>
        <v/>
      </c>
      <c r="AI10" s="37"/>
      <c r="AJ10" s="37"/>
      <c r="AK10" s="37"/>
      <c r="AL10" s="50"/>
      <c r="AM10" s="34" t="str">
        <f>VLOOKUP(A10, 'Session Data'!A:AA,10,false)</f>
        <v>skonig3078@sdsu.edu</v>
      </c>
      <c r="AN10" s="40"/>
      <c r="AO10" s="38"/>
      <c r="AP10" s="51"/>
      <c r="AQ10" s="38"/>
      <c r="AR10" s="38"/>
      <c r="AS10" s="38"/>
      <c r="AT10" s="38"/>
      <c r="AU10" s="38"/>
      <c r="AV10" s="38"/>
      <c r="AW10" s="38"/>
      <c r="AX10" s="38"/>
      <c r="AY10" s="43"/>
      <c r="AZ10" s="43"/>
      <c r="BA10" s="48"/>
      <c r="BB10" s="48"/>
      <c r="BC10" s="43"/>
      <c r="BD10" s="43"/>
      <c r="BE10" s="44"/>
      <c r="BF10" s="45"/>
      <c r="BG10" s="43"/>
    </row>
    <row r="11">
      <c r="A11" s="19" t="s">
        <v>68</v>
      </c>
      <c r="B11" s="20">
        <f>VLOOKUP(F11,'Session Count DO NOT EDIT'!$A:$C,3,FALSE)</f>
        <v>4</v>
      </c>
      <c r="C11" s="20">
        <f>COUNTIFS('Scores Import DO NOT EDIT'!D:D,A11)</f>
        <v>4</v>
      </c>
      <c r="D11" s="21">
        <f t="shared" si="1"/>
        <v>1</v>
      </c>
      <c r="E11" s="22">
        <f>AVERAGEIFS('Scores Import DO NOT EDIT'!L:L,'Scores Import DO NOT EDIT'!D:D,A11)</f>
        <v>25</v>
      </c>
      <c r="F11" s="23" t="str">
        <f>VLOOKUP(A11, 'Session Data'!A:M,3,false)</f>
        <v>A-10</v>
      </c>
      <c r="G11" s="24" t="str">
        <f>VLOOKUP(A11, 'Session Data'!A:I,2,false)</f>
        <v>9:00 AM</v>
      </c>
      <c r="H11" s="23" t="str">
        <f>VLOOKUP(A11, 'Session Data'!A:J,5,false)</f>
        <v>Health Nutrition and Clinical Sciences</v>
      </c>
      <c r="I11" s="25" t="str">
        <f>VLOOKUP(A11, 'Session Data'!A:H,4,false)</f>
        <v>Oral </v>
      </c>
      <c r="J11" s="26" t="str">
        <f>VLOOKUP(A11, 'Session Data'!A:AA,14,false)</f>
        <v>Undergraduate</v>
      </c>
      <c r="K11" s="27" t="str">
        <f>VLOOKUP(A11, 'Session Data'!A:AA,15,false)</f>
        <v>Professional Studies and Fine Arts</v>
      </c>
      <c r="L11" s="28"/>
      <c r="M11" s="29" t="str">
        <f>VLOOKUP(A11, 'Session Data'!A:K,11,false)</f>
        <v>Interdisciplinary Studies in Three Departments (Biology, Chemistry, Psychology) + Public Health minor </v>
      </c>
      <c r="N11" s="26" t="str">
        <f>IF(ISNA(VLOOKUP(A11, 'Award Abstract#'!C:C, 1, FALSE)), "No", "Yes")
</f>
        <v>No</v>
      </c>
      <c r="O11" s="29" t="str">
        <f>IF(ISNA(VLOOKUP(A11,'Award Abstract#'!B:B,1,FALSE)), "No", "Yes")</f>
        <v>No</v>
      </c>
      <c r="P11" s="29" t="str">
        <f>IF(ISNA(VLOOKUP(A11,'Award Abstract#'!E:E,1,FALSE)), "No", "Yes")</f>
        <v>No</v>
      </c>
      <c r="Q11" s="29" t="str">
        <f>IF(ISNA(VLOOKUP(A11,'Award Abstract#'!A:A,1,FALSE)), "No", "Yes")</f>
        <v>No</v>
      </c>
      <c r="R11" s="29" t="str">
        <f>IF(ISNA(VLOOKUP(A11,'Award Abstract#'!D:D,1,FALSE)), "No", "Yes")</f>
        <v>No</v>
      </c>
      <c r="S11" s="30" t="str">
        <f>VLOOKUP(A11, 'Session Data'!A:AA,27,false)</f>
        <v>Woman</v>
      </c>
      <c r="T11" s="30"/>
      <c r="U11" s="30"/>
      <c r="V11" s="31" t="str">
        <f>VLOOKUP(A11, 'Session Data'!A:AA,8,false)</f>
        <v>Jade</v>
      </c>
      <c r="W11" s="32" t="str">
        <f>VLOOKUP(A11, 'Session Data'!A:AA,9,false)</f>
        <v>Jachim</v>
      </c>
      <c r="X11" s="33" t="str">
        <f>VLOOKUP(A11, 'Session Data'!A:AA,12,false)</f>
        <v>Asymmetry between non-dominant and dominant limbs in female collegiate lacrosse athletes during a drop vertical jump </v>
      </c>
      <c r="Y11" s="34" t="str">
        <f>VLOOKUP(A11, 'Session Data'!A:AA,22,false)</f>
        <v>Sara</v>
      </c>
      <c r="Z11" s="34" t="str">
        <f>VLOOKUP(A11, 'Session Data'!A:AA,23,false)</f>
        <v>Gombatto</v>
      </c>
      <c r="AA11" s="34" t="str">
        <f>VLOOKUP(A11, 'Session Data'!A:AA,25,false)</f>
        <v>Health and Human Services</v>
      </c>
      <c r="AB11" s="34" t="str">
        <f>VLOOKUP(A11, 'Session Data'!A:AA,24,false)</f>
        <v>sgombatto@sdsu.edu</v>
      </c>
      <c r="AC11" s="34" t="str">
        <f>VLOOKUP(A11, 'Session Data'!A:AA,16,false)</f>
        <v>Kayln</v>
      </c>
      <c r="AD11" s="35" t="str">
        <f>VLOOKUP(A11, 'Session Data'!A:U,17,false)</f>
        <v>Hazen</v>
      </c>
      <c r="AE11" s="35" t="str">
        <f>VLOOKUP(A11, 'Session Data'!A:U,18,false)</f>
        <v/>
      </c>
      <c r="AF11" s="35" t="str">
        <f>VLOOKUP(A11, 'Session Data'!A:U,19,false)</f>
        <v/>
      </c>
      <c r="AG11" s="35" t="str">
        <f>VLOOKUP(A11, 'Session Data'!A:U,20,false)</f>
        <v/>
      </c>
      <c r="AH11" s="35" t="str">
        <f>VLOOKUP(A11, 'Session Data'!A:U,21,false)</f>
        <v/>
      </c>
      <c r="AI11" s="37"/>
      <c r="AJ11" s="37"/>
      <c r="AK11" s="37"/>
      <c r="AL11" s="50"/>
      <c r="AM11" s="34" t="str">
        <f>VLOOKUP(A11, 'Session Data'!A:AA,10,false)</f>
        <v>jjachim7283@sdsu.edu</v>
      </c>
      <c r="AN11" s="40"/>
      <c r="AO11" s="38"/>
      <c r="AP11" s="38"/>
      <c r="AQ11" s="38"/>
      <c r="AR11" s="38"/>
      <c r="AS11" s="38"/>
      <c r="AT11" s="38"/>
      <c r="AU11" s="38"/>
      <c r="AV11" s="38"/>
      <c r="AW11" s="38"/>
      <c r="AX11" s="38"/>
      <c r="AY11" s="43"/>
      <c r="AZ11" s="43"/>
      <c r="BA11" s="48"/>
      <c r="BB11" s="48"/>
      <c r="BC11" s="43"/>
      <c r="BD11" s="43"/>
      <c r="BE11" s="44"/>
      <c r="BF11" s="45"/>
      <c r="BG11" s="46"/>
    </row>
    <row r="12">
      <c r="A12" s="19" t="s">
        <v>69</v>
      </c>
      <c r="B12" s="20">
        <f>VLOOKUP(F12,'Session Count DO NOT EDIT'!$A:$C,3,FALSE)</f>
        <v>4</v>
      </c>
      <c r="C12" s="20">
        <f>COUNTIFS('Scores Import DO NOT EDIT'!D:D,A12)</f>
        <v>4</v>
      </c>
      <c r="D12" s="21">
        <f t="shared" si="1"/>
        <v>1</v>
      </c>
      <c r="E12" s="22">
        <f>AVERAGEIFS('Scores Import DO NOT EDIT'!L:L,'Scores Import DO NOT EDIT'!D:D,A12)</f>
        <v>23.75</v>
      </c>
      <c r="F12" s="23" t="str">
        <f>VLOOKUP(A12, 'Session Data'!A:M,3,false)</f>
        <v>A-10</v>
      </c>
      <c r="G12" s="24" t="str">
        <f>VLOOKUP(A12, 'Session Data'!A:I,2,false)</f>
        <v>9:00 AM</v>
      </c>
      <c r="H12" s="23" t="str">
        <f>VLOOKUP(A12, 'Session Data'!A:J,5,false)</f>
        <v>Health Nutrition and Clinical Sciences</v>
      </c>
      <c r="I12" s="25" t="str">
        <f>VLOOKUP(A12, 'Session Data'!A:H,4,false)</f>
        <v>Oral </v>
      </c>
      <c r="J12" s="26" t="str">
        <f>VLOOKUP(A12, 'Session Data'!A:AA,14,false)</f>
        <v>Undergraduate</v>
      </c>
      <c r="K12" s="27" t="str">
        <f>VLOOKUP(A12, 'Session Data'!A:AA,15,false)</f>
        <v>Health and Human Services</v>
      </c>
      <c r="L12" s="28"/>
      <c r="M12" s="29" t="str">
        <f>VLOOKUP(A12, 'Session Data'!A:K,11,false)</f>
        <v>Bachelors of Science in Kinesiology, Pre-Physical Therapy</v>
      </c>
      <c r="N12" s="26" t="str">
        <f>IF(ISNA(VLOOKUP(A12, 'Award Abstract#'!C:C, 1, FALSE)), "No", "Yes")
</f>
        <v>No</v>
      </c>
      <c r="O12" s="29" t="str">
        <f>IF(ISNA(VLOOKUP(A12,'Award Abstract#'!B:B,1,FALSE)), "No", "Yes")</f>
        <v>No</v>
      </c>
      <c r="P12" s="29" t="str">
        <f>IF(ISNA(VLOOKUP(A12,'Award Abstract#'!E:E,1,FALSE)), "No", "Yes")</f>
        <v>No</v>
      </c>
      <c r="Q12" s="29" t="str">
        <f>IF(ISNA(VLOOKUP(A12,'Award Abstract#'!A:A,1,FALSE)), "No", "Yes")</f>
        <v>No</v>
      </c>
      <c r="R12" s="29" t="str">
        <f>IF(ISNA(VLOOKUP(A12,'Award Abstract#'!D:D,1,FALSE)), "No", "Yes")</f>
        <v>Yes</v>
      </c>
      <c r="S12" s="30" t="str">
        <f>VLOOKUP(A12, 'Session Data'!A:AA,27,false)</f>
        <v>Woman</v>
      </c>
      <c r="T12" s="30"/>
      <c r="U12" s="30"/>
      <c r="V12" s="31" t="str">
        <f>VLOOKUP(A12, 'Session Data'!A:AA,8,false)</f>
        <v>Julia</v>
      </c>
      <c r="W12" s="32" t="str">
        <f>VLOOKUP(A12, 'Session Data'!A:AA,9,false)</f>
        <v>Ng</v>
      </c>
      <c r="X12" s="33" t="str">
        <f>VLOOKUP(A12, 'Session Data'!A:AA,12,false)</f>
        <v>Is Health Literacy Associated with Concussion Care Seeking Intentions and Behavior in Collegiate Students?</v>
      </c>
      <c r="Y12" s="34" t="str">
        <f>VLOOKUP(A12, 'Session Data'!A:AA,22,false)</f>
        <v>Michelle </v>
      </c>
      <c r="Z12" s="34" t="str">
        <f>VLOOKUP(A12, 'Session Data'!A:AA,23,false)</f>
        <v>Weber Rawlins</v>
      </c>
      <c r="AA12" s="34" t="str">
        <f>VLOOKUP(A12, 'Session Data'!A:AA,25,false)</f>
        <v>Health and Human Services</v>
      </c>
      <c r="AB12" s="34" t="str">
        <f>VLOOKUP(A12, 'Session Data'!A:AA,24,false)</f>
        <v>mrawlins@sdsu.edu</v>
      </c>
      <c r="AC12" s="34" t="str">
        <f>VLOOKUP(A12, 'Session Data'!A:AA,16,false)</f>
        <v/>
      </c>
      <c r="AD12" s="35" t="str">
        <f>VLOOKUP(A12, 'Session Data'!A:U,17,false)</f>
        <v/>
      </c>
      <c r="AE12" s="35" t="str">
        <f>VLOOKUP(A12, 'Session Data'!A:U,18,false)</f>
        <v/>
      </c>
      <c r="AF12" s="35" t="str">
        <f>VLOOKUP(A12, 'Session Data'!A:U,19,false)</f>
        <v/>
      </c>
      <c r="AG12" s="35" t="str">
        <f>VLOOKUP(A12, 'Session Data'!A:U,20,false)</f>
        <v/>
      </c>
      <c r="AH12" s="35" t="str">
        <f>VLOOKUP(A12, 'Session Data'!A:U,21,false)</f>
        <v/>
      </c>
      <c r="AI12" s="37"/>
      <c r="AJ12" s="37"/>
      <c r="AK12" s="37"/>
      <c r="AL12" s="50"/>
      <c r="AM12" s="34" t="str">
        <f>VLOOKUP(A12, 'Session Data'!A:AA,10,false)</f>
        <v>jng3675@sdsu.edu</v>
      </c>
      <c r="AN12" s="40"/>
      <c r="AO12" s="51"/>
      <c r="AP12" s="38"/>
      <c r="AQ12" s="38"/>
      <c r="AR12" s="38"/>
      <c r="AS12" s="38"/>
      <c r="AT12" s="38"/>
      <c r="AU12" s="38"/>
      <c r="AV12" s="38"/>
      <c r="AW12" s="38"/>
      <c r="AX12" s="38"/>
      <c r="AY12" s="43"/>
      <c r="AZ12" s="43"/>
      <c r="BA12" s="43"/>
      <c r="BB12" s="43"/>
      <c r="BC12" s="43"/>
      <c r="BD12" s="43"/>
      <c r="BE12" s="44"/>
      <c r="BF12" s="45"/>
      <c r="BG12" s="43"/>
    </row>
    <row r="13">
      <c r="A13" s="19" t="s">
        <v>70</v>
      </c>
      <c r="B13" s="20">
        <f>VLOOKUP(F13,'Session Count DO NOT EDIT'!$A:$C,3,FALSE)</f>
        <v>4</v>
      </c>
      <c r="C13" s="20">
        <f>COUNTIFS('Scores Import DO NOT EDIT'!D:D,A13)</f>
        <v>4</v>
      </c>
      <c r="D13" s="21">
        <f t="shared" si="1"/>
        <v>1</v>
      </c>
      <c r="E13" s="22">
        <f>AVERAGEIFS('Scores Import DO NOT EDIT'!L:L,'Scores Import DO NOT EDIT'!D:D,A13)</f>
        <v>22.25</v>
      </c>
      <c r="F13" s="23" t="str">
        <f>VLOOKUP(A13, 'Session Data'!A:M,3,false)</f>
        <v>A-10</v>
      </c>
      <c r="G13" s="24" t="str">
        <f>VLOOKUP(A13, 'Session Data'!A:I,2,false)</f>
        <v>9:00 AM</v>
      </c>
      <c r="H13" s="23" t="str">
        <f>VLOOKUP(A13, 'Session Data'!A:J,5,false)</f>
        <v>Health Nutrition and Clinical Sciences</v>
      </c>
      <c r="I13" s="25" t="str">
        <f>VLOOKUP(A13, 'Session Data'!A:H,4,false)</f>
        <v>Oral </v>
      </c>
      <c r="J13" s="26" t="str">
        <f>VLOOKUP(A13, 'Session Data'!A:AA,14,false)</f>
        <v>Master's</v>
      </c>
      <c r="K13" s="27" t="str">
        <f>VLOOKUP(A13, 'Session Data'!A:AA,15,false)</f>
        <v>Health and Human Services</v>
      </c>
      <c r="L13" s="47"/>
      <c r="M13" s="29" t="str">
        <f>VLOOKUP(A13, 'Session Data'!A:K,11,false)</f>
        <v>MPH in Epidemiology and Biostatistics</v>
      </c>
      <c r="N13" s="26" t="str">
        <f>IF(ISNA(VLOOKUP(A13, 'Award Abstract#'!C:C, 1, FALSE)), "No", "Yes")
</f>
        <v>No</v>
      </c>
      <c r="O13" s="29" t="str">
        <f>IF(ISNA(VLOOKUP(A13,'Award Abstract#'!B:B,1,FALSE)), "No", "Yes")</f>
        <v>No</v>
      </c>
      <c r="P13" s="29" t="str">
        <f>IF(ISNA(VLOOKUP(A13,'Award Abstract#'!E:E,1,FALSE)), "No", "Yes")</f>
        <v>No</v>
      </c>
      <c r="Q13" s="29" t="str">
        <f>IF(ISNA(VLOOKUP(A13,'Award Abstract#'!A:A,1,FALSE)), "No", "Yes")</f>
        <v>No</v>
      </c>
      <c r="R13" s="29" t="str">
        <f>IF(ISNA(VLOOKUP(A13,'Award Abstract#'!D:D,1,FALSE)), "No", "Yes")</f>
        <v>No</v>
      </c>
      <c r="S13" s="30" t="str">
        <f>VLOOKUP(A13, 'Session Data'!A:AA,27,false)</f>
        <v>Woman</v>
      </c>
      <c r="T13" s="30"/>
      <c r="U13" s="30"/>
      <c r="V13" s="31" t="str">
        <f>VLOOKUP(A13, 'Session Data'!A:AA,8,false)</f>
        <v>Salma</v>
      </c>
      <c r="W13" s="32" t="str">
        <f>VLOOKUP(A13, 'Session Data'!A:AA,9,false)</f>
        <v>Iraqi</v>
      </c>
      <c r="X13" s="33" t="str">
        <f>VLOOKUP(A13, 'Session Data'!A:AA,12,false)</f>
        <v>Obesity and Socioeconomic Influences: A Geographic Analysis of the Hispanic Population in Los Angeles, California</v>
      </c>
      <c r="Y13" s="34" t="str">
        <f>VLOOKUP(A13, 'Session Data'!A:AA,22,false)</f>
        <v>Ming-Hsiang</v>
      </c>
      <c r="Z13" s="34" t="str">
        <f>VLOOKUP(A13, 'Session Data'!A:AA,23,false)</f>
        <v>Tsou</v>
      </c>
      <c r="AA13" s="34" t="str">
        <f>VLOOKUP(A13, 'Session Data'!A:AA,25,false)</f>
        <v>Other</v>
      </c>
      <c r="AB13" s="34" t="str">
        <f>VLOOKUP(A13, 'Session Data'!A:AA,24,false)</f>
        <v>mtsou@sdsu.edu</v>
      </c>
      <c r="AC13" s="34" t="str">
        <f>VLOOKUP(A13, 'Session Data'!A:AA,16,false)</f>
        <v>Jiachen</v>
      </c>
      <c r="AD13" s="35" t="str">
        <f>VLOOKUP(A13, 'Session Data'!A:U,17,false)</f>
        <v>Wang</v>
      </c>
      <c r="AE13" s="35" t="str">
        <f>VLOOKUP(A13, 'Session Data'!A:U,18,false)</f>
        <v/>
      </c>
      <c r="AF13" s="35" t="str">
        <f>VLOOKUP(A13, 'Session Data'!A:U,19,false)</f>
        <v/>
      </c>
      <c r="AG13" s="35" t="str">
        <f>VLOOKUP(A13, 'Session Data'!A:U,20,false)</f>
        <v/>
      </c>
      <c r="AH13" s="35" t="str">
        <f>VLOOKUP(A13, 'Session Data'!A:U,21,false)</f>
        <v/>
      </c>
      <c r="AI13" s="37"/>
      <c r="AJ13" s="37"/>
      <c r="AK13" s="37"/>
      <c r="AL13" s="50"/>
      <c r="AM13" s="34" t="str">
        <f>VLOOKUP(A13, 'Session Data'!A:AA,10,false)</f>
        <v>siraqi8749@sdsu.edu</v>
      </c>
      <c r="AN13" s="40"/>
      <c r="AO13" s="38"/>
      <c r="AP13" s="38"/>
      <c r="AQ13" s="38"/>
      <c r="AR13" s="38"/>
      <c r="AS13" s="38"/>
      <c r="AT13" s="38"/>
      <c r="AU13" s="38"/>
      <c r="AV13" s="38"/>
      <c r="AW13" s="38"/>
      <c r="AX13" s="38"/>
      <c r="AY13" s="43"/>
      <c r="AZ13" s="43"/>
      <c r="BA13" s="48"/>
      <c r="BB13" s="48"/>
      <c r="BC13" s="43"/>
      <c r="BD13" s="43"/>
      <c r="BE13" s="44"/>
      <c r="BF13" s="45"/>
      <c r="BG13" s="43"/>
    </row>
    <row r="14">
      <c r="A14" s="19" t="s">
        <v>71</v>
      </c>
      <c r="B14" s="20">
        <f>VLOOKUP(F14,'Session Count DO NOT EDIT'!$A:$C,3,FALSE)</f>
        <v>5</v>
      </c>
      <c r="C14" s="20">
        <f>COUNTIFS('Scores Import DO NOT EDIT'!D:D,A14)</f>
        <v>4</v>
      </c>
      <c r="D14" s="21">
        <f t="shared" si="1"/>
        <v>0.8</v>
      </c>
      <c r="E14" s="22">
        <f>AVERAGEIFS('Scores Import DO NOT EDIT'!L:L,'Scores Import DO NOT EDIT'!D:D,A14)</f>
        <v>31.5</v>
      </c>
      <c r="F14" s="23" t="str">
        <f>VLOOKUP(A14, 'Session Data'!A:M,3,false)</f>
        <v>A-2</v>
      </c>
      <c r="G14" s="24" t="str">
        <f>VLOOKUP(A14, 'Session Data'!A:I,2,false)</f>
        <v>9:00 AM</v>
      </c>
      <c r="H14" s="23" t="str">
        <f>VLOOKUP(A14, 'Session Data'!A:J,5,false)</f>
        <v>Engineering and Computer Science</v>
      </c>
      <c r="I14" s="25" t="str">
        <f>VLOOKUP(A14, 'Session Data'!A:H,4,false)</f>
        <v>Oral </v>
      </c>
      <c r="J14" s="26" t="str">
        <f>VLOOKUP(A14, 'Session Data'!A:AA,14,false)</f>
        <v>Undergraduate</v>
      </c>
      <c r="K14" s="27" t="str">
        <f>VLOOKUP(A14, 'Session Data'!A:AA,15,false)</f>
        <v>Sciences</v>
      </c>
      <c r="L14" s="28" t="s">
        <v>15</v>
      </c>
      <c r="M14" s="29" t="str">
        <f>VLOOKUP(A14, 'Session Data'!A:K,11,false)</f>
        <v>Bachelor of Science in Statistics with an emphasis in Data Science, Minor in Environmental Engineering</v>
      </c>
      <c r="N14" s="26" t="str">
        <f>IF(ISNA(VLOOKUP(A14, 'Award Abstract#'!C:C, 1, FALSE)), "No", "Yes")
</f>
        <v>No</v>
      </c>
      <c r="O14" s="29" t="str">
        <f>IF(ISNA(VLOOKUP(A14,'Award Abstract#'!B:B,1,FALSE)), "No", "Yes")</f>
        <v>Yes</v>
      </c>
      <c r="P14" s="29" t="str">
        <f>IF(ISNA(VLOOKUP(A14,'Award Abstract#'!E:E,1,FALSE)), "No", "Yes")</f>
        <v>Yes</v>
      </c>
      <c r="Q14" s="29" t="str">
        <f>IF(ISNA(VLOOKUP(A14,'Award Abstract#'!A:A,1,FALSE)), "No", "Yes")</f>
        <v>No</v>
      </c>
      <c r="R14" s="29" t="str">
        <f>IF(ISNA(VLOOKUP(A14,'Award Abstract#'!D:D,1,FALSE)), "No", "Yes")</f>
        <v>No</v>
      </c>
      <c r="S14" s="30" t="str">
        <f>VLOOKUP(A14, 'Session Data'!A:AA,27,false)</f>
        <v>Woman</v>
      </c>
      <c r="T14" s="30"/>
      <c r="U14" s="30"/>
      <c r="V14" s="31" t="str">
        <f>VLOOKUP(A14, 'Session Data'!A:AA,8,false)</f>
        <v>Alexi</v>
      </c>
      <c r="W14" s="32" t="str">
        <f>VLOOKUP(A14, 'Session Data'!A:AA,9,false)</f>
        <v>Olney</v>
      </c>
      <c r="X14" s="33" t="str">
        <f>VLOOKUP(A14, 'Session Data'!A:AA,12,false)</f>
        <v>Investigating the Environmental Fate of Marine Debris: Insights from Outdoor Exposure Experiments and Tumbling Simulations</v>
      </c>
      <c r="Y14" s="34" t="str">
        <f>VLOOKUP(A14, 'Session Data'!A:AA,22,false)</f>
        <v>Natalie</v>
      </c>
      <c r="Z14" s="34" t="str">
        <f>VLOOKUP(A14, 'Session Data'!A:AA,23,false)</f>
        <v>Mladenov</v>
      </c>
      <c r="AA14" s="34" t="str">
        <f>VLOOKUP(A14, 'Session Data'!A:AA,25,false)</f>
        <v>Engineering</v>
      </c>
      <c r="AB14" s="34" t="str">
        <f>VLOOKUP(A14, 'Session Data'!A:AA,24,false)</f>
        <v>nmladenov@sdsu.edu</v>
      </c>
      <c r="AC14" s="34" t="str">
        <f>VLOOKUP(A14, 'Session Data'!A:AA,16,false)</f>
        <v/>
      </c>
      <c r="AD14" s="35" t="str">
        <f>VLOOKUP(A14, 'Session Data'!A:U,17,false)</f>
        <v/>
      </c>
      <c r="AE14" s="35" t="str">
        <f>VLOOKUP(A14, 'Session Data'!A:U,18,false)</f>
        <v/>
      </c>
      <c r="AF14" s="35" t="str">
        <f>VLOOKUP(A14, 'Session Data'!A:U,19,false)</f>
        <v/>
      </c>
      <c r="AG14" s="35" t="str">
        <f>VLOOKUP(A14, 'Session Data'!A:U,20,false)</f>
        <v/>
      </c>
      <c r="AH14" s="35" t="str">
        <f>VLOOKUP(A14, 'Session Data'!A:U,21,false)</f>
        <v/>
      </c>
      <c r="AI14" s="37"/>
      <c r="AJ14" s="37"/>
      <c r="AK14" s="37"/>
      <c r="AL14" s="50"/>
      <c r="AM14" s="34" t="str">
        <f>VLOOKUP(A14, 'Session Data'!A:AA,10,false)</f>
        <v>aolney7221@sdsu.edu</v>
      </c>
      <c r="AN14" s="40"/>
      <c r="AO14" s="38"/>
      <c r="AP14" s="38"/>
      <c r="AQ14" s="38"/>
      <c r="AR14" s="38"/>
      <c r="AS14" s="38"/>
      <c r="AT14" s="38"/>
      <c r="AU14" s="38"/>
      <c r="AV14" s="38"/>
      <c r="AW14" s="38"/>
      <c r="AX14" s="38"/>
      <c r="AY14" s="43"/>
      <c r="AZ14" s="43"/>
      <c r="BA14" s="48"/>
      <c r="BB14" s="48"/>
      <c r="BC14" s="43"/>
      <c r="BD14" s="43"/>
      <c r="BE14" s="44"/>
      <c r="BF14" s="45"/>
      <c r="BG14" s="43"/>
    </row>
    <row r="15">
      <c r="A15" s="19" t="s">
        <v>72</v>
      </c>
      <c r="B15" s="20">
        <f>VLOOKUP(F15,'Session Count DO NOT EDIT'!$A:$C,3,FALSE)</f>
        <v>5</v>
      </c>
      <c r="C15" s="20">
        <f>COUNTIFS('Scores Import DO NOT EDIT'!D:D,A15)</f>
        <v>4</v>
      </c>
      <c r="D15" s="21">
        <f t="shared" si="1"/>
        <v>0.8</v>
      </c>
      <c r="E15" s="22">
        <f>AVERAGEIFS('Scores Import DO NOT EDIT'!L:L,'Scores Import DO NOT EDIT'!D:D,A15)</f>
        <v>32</v>
      </c>
      <c r="F15" s="23" t="str">
        <f>VLOOKUP(A15, 'Session Data'!A:M,3,false)</f>
        <v>A-2</v>
      </c>
      <c r="G15" s="24" t="str">
        <f>VLOOKUP(A15, 'Session Data'!A:I,2,false)</f>
        <v>9:00 AM</v>
      </c>
      <c r="H15" s="23" t="str">
        <f>VLOOKUP(A15, 'Session Data'!A:J,5,false)</f>
        <v>Engineering and Computer Science</v>
      </c>
      <c r="I15" s="25" t="str">
        <f>VLOOKUP(A15, 'Session Data'!A:H,4,false)</f>
        <v>Oral </v>
      </c>
      <c r="J15" s="26" t="str">
        <f>VLOOKUP(A15, 'Session Data'!A:AA,14,false)</f>
        <v>Undergraduate</v>
      </c>
      <c r="K15" s="27" t="str">
        <f>VLOOKUP(A15, 'Session Data'!A:AA,15,false)</f>
        <v>Sciences</v>
      </c>
      <c r="L15" s="52" t="s">
        <v>73</v>
      </c>
      <c r="M15" s="29" t="str">
        <f>VLOOKUP(A15, 'Session Data'!A:K,11,false)</f>
        <v>Bachelor of Science in Computer Science</v>
      </c>
      <c r="N15" s="26" t="str">
        <f>IF(ISNA(VLOOKUP(A15, 'Award Abstract#'!C:C, 1, FALSE)), "No", "Yes")
</f>
        <v>No</v>
      </c>
      <c r="O15" s="29" t="str">
        <f>IF(ISNA(VLOOKUP(A15,'Award Abstract#'!B:B,1,FALSE)), "No", "Yes")</f>
        <v>No</v>
      </c>
      <c r="P15" s="29" t="str">
        <f>IF(ISNA(VLOOKUP(A15,'Award Abstract#'!E:E,1,FALSE)), "No", "Yes")</f>
        <v>No</v>
      </c>
      <c r="Q15" s="29" t="str">
        <f>IF(ISNA(VLOOKUP(A15,'Award Abstract#'!A:A,1,FALSE)), "No", "Yes")</f>
        <v>No</v>
      </c>
      <c r="R15" s="29" t="str">
        <f>IF(ISNA(VLOOKUP(A15,'Award Abstract#'!D:D,1,FALSE)), "No", "Yes")</f>
        <v>No</v>
      </c>
      <c r="S15" s="30" t="str">
        <f>VLOOKUP(A15, 'Session Data'!A:AA,27,false)</f>
        <v>Man</v>
      </c>
      <c r="T15" s="30"/>
      <c r="U15" s="30"/>
      <c r="V15" s="31" t="str">
        <f>VLOOKUP(A15, 'Session Data'!A:AA,8,false)</f>
        <v>Tanner </v>
      </c>
      <c r="W15" s="32" t="str">
        <f>VLOOKUP(A15, 'Session Data'!A:AA,9,false)</f>
        <v>Kocher</v>
      </c>
      <c r="X15" s="33" t="str">
        <f>VLOOKUP(A15, 'Session Data'!A:AA,12,false)</f>
        <v>Quantum Algorithm for Resolving the Prisoner's Dilemma via Nash Equilibrium</v>
      </c>
      <c r="Y15" s="34" t="str">
        <f>VLOOKUP(A15, 'Session Data'!A:AA,22,false)</f>
        <v>Krishna</v>
      </c>
      <c r="Z15" s="34" t="str">
        <f>VLOOKUP(A15, 'Session Data'!A:AA,23,false)</f>
        <v>Ramamoorthy</v>
      </c>
      <c r="AA15" s="34" t="str">
        <f>VLOOKUP(A15, 'Session Data'!A:AA,25,false)</f>
        <v>Sciences</v>
      </c>
      <c r="AB15" s="34" t="str">
        <f>VLOOKUP(A15, 'Session Data'!A:AA,24,false)</f>
        <v>kkattiyanramamoort@sdsu.edu</v>
      </c>
      <c r="AC15" s="34" t="str">
        <f>VLOOKUP(A15, 'Session Data'!A:AA,16,false)</f>
        <v/>
      </c>
      <c r="AD15" s="35" t="str">
        <f>VLOOKUP(A15, 'Session Data'!A:U,17,false)</f>
        <v/>
      </c>
      <c r="AE15" s="35" t="str">
        <f>VLOOKUP(A15, 'Session Data'!A:U,18,false)</f>
        <v/>
      </c>
      <c r="AF15" s="35" t="str">
        <f>VLOOKUP(A15, 'Session Data'!A:U,19,false)</f>
        <v/>
      </c>
      <c r="AG15" s="35" t="str">
        <f>VLOOKUP(A15, 'Session Data'!A:U,20,false)</f>
        <v/>
      </c>
      <c r="AH15" s="35" t="str">
        <f>VLOOKUP(A15, 'Session Data'!A:U,21,false)</f>
        <v/>
      </c>
      <c r="AI15" s="37"/>
      <c r="AJ15" s="37"/>
      <c r="AK15" s="37"/>
      <c r="AL15" s="50"/>
      <c r="AM15" s="34" t="str">
        <f>VLOOKUP(A15, 'Session Data'!A:AA,10,false)</f>
        <v>tkocher2278@sdsu.edu</v>
      </c>
      <c r="AN15" s="40"/>
      <c r="AO15" s="38"/>
      <c r="AP15" s="38"/>
      <c r="AQ15" s="38"/>
      <c r="AR15" s="38"/>
      <c r="AS15" s="38"/>
      <c r="AT15" s="38"/>
      <c r="AU15" s="38"/>
      <c r="AV15" s="38"/>
      <c r="AW15" s="38"/>
      <c r="AX15" s="38"/>
      <c r="AY15" s="43"/>
      <c r="AZ15" s="43"/>
      <c r="BA15" s="43"/>
      <c r="BB15" s="43"/>
      <c r="BC15" s="43"/>
      <c r="BD15" s="43"/>
      <c r="BE15" s="44"/>
      <c r="BF15" s="45"/>
      <c r="BG15" s="43"/>
    </row>
    <row r="16">
      <c r="A16" s="19" t="s">
        <v>74</v>
      </c>
      <c r="B16" s="20">
        <f>VLOOKUP(F16,'Session Count DO NOT EDIT'!$A:$C,3,FALSE)</f>
        <v>5</v>
      </c>
      <c r="C16" s="20">
        <f>COUNTIFS('Scores Import DO NOT EDIT'!D:D,A16)</f>
        <v>4</v>
      </c>
      <c r="D16" s="21">
        <f t="shared" si="1"/>
        <v>0.8</v>
      </c>
      <c r="E16" s="22">
        <f>AVERAGEIFS('Scores Import DO NOT EDIT'!L:L,'Scores Import DO NOT EDIT'!D:D,A16)</f>
        <v>30.75</v>
      </c>
      <c r="F16" s="23" t="str">
        <f>VLOOKUP(A16, 'Session Data'!A:M,3,false)</f>
        <v>A-2</v>
      </c>
      <c r="G16" s="24" t="str">
        <f>VLOOKUP(A16, 'Session Data'!A:I,2,false)</f>
        <v>9:00 AM</v>
      </c>
      <c r="H16" s="23" t="str">
        <f>VLOOKUP(A16, 'Session Data'!A:J,5,false)</f>
        <v>Engineering and Computer Science</v>
      </c>
      <c r="I16" s="25" t="str">
        <f>VLOOKUP(A16, 'Session Data'!A:H,4,false)</f>
        <v>Oral </v>
      </c>
      <c r="J16" s="26" t="str">
        <f>VLOOKUP(A16, 'Session Data'!A:AA,14,false)</f>
        <v>Undergraduate</v>
      </c>
      <c r="K16" s="27" t="str">
        <f>VLOOKUP(A16, 'Session Data'!A:AA,15,false)</f>
        <v>Engineering</v>
      </c>
      <c r="L16" s="28" t="s">
        <v>75</v>
      </c>
      <c r="M16" s="29" t="str">
        <f>VLOOKUP(A16, 'Session Data'!A:K,11,false)</f>
        <v>Mechanical Engineering</v>
      </c>
      <c r="N16" s="26" t="str">
        <f>IF(ISNA(VLOOKUP(A16, 'Award Abstract#'!C:C, 1, FALSE)), "No", "Yes")
</f>
        <v>No</v>
      </c>
      <c r="O16" s="29" t="str">
        <f>IF(ISNA(VLOOKUP(A16,'Award Abstract#'!B:B,1,FALSE)), "No", "Yes")</f>
        <v>No</v>
      </c>
      <c r="P16" s="29" t="str">
        <f>IF(ISNA(VLOOKUP(A16,'Award Abstract#'!E:E,1,FALSE)), "No", "Yes")</f>
        <v>Yes</v>
      </c>
      <c r="Q16" s="29" t="str">
        <f>IF(ISNA(VLOOKUP(A16,'Award Abstract#'!A:A,1,FALSE)), "No", "Yes")</f>
        <v>No</v>
      </c>
      <c r="R16" s="29" t="str">
        <f>IF(ISNA(VLOOKUP(A16,'Award Abstract#'!D:D,1,FALSE)), "No", "Yes")</f>
        <v>No</v>
      </c>
      <c r="S16" s="30" t="str">
        <f>VLOOKUP(A16, 'Session Data'!A:AA,27,false)</f>
        <v>Man</v>
      </c>
      <c r="T16" s="30"/>
      <c r="U16" s="30"/>
      <c r="V16" s="31" t="str">
        <f>VLOOKUP(A16, 'Session Data'!A:AA,8,false)</f>
        <v>Paul</v>
      </c>
      <c r="W16" s="32" t="str">
        <f>VLOOKUP(A16, 'Session Data'!A:AA,9,false)</f>
        <v>Kauvaka</v>
      </c>
      <c r="X16" s="33" t="str">
        <f>VLOOKUP(A16, 'Session Data'!A:AA,12,false)</f>
        <v>Tensile Behavior of Density-graded Polyurea Elastomeric Foams</v>
      </c>
      <c r="Y16" s="34" t="str">
        <f>VLOOKUP(A16, 'Session Data'!A:AA,22,false)</f>
        <v>George</v>
      </c>
      <c r="Z16" s="34" t="str">
        <f>VLOOKUP(A16, 'Session Data'!A:AA,23,false)</f>
        <v>Youssef</v>
      </c>
      <c r="AA16" s="34" t="str">
        <f>VLOOKUP(A16, 'Session Data'!A:AA,25,false)</f>
        <v>Engineering</v>
      </c>
      <c r="AB16" s="34" t="str">
        <f>VLOOKUP(A16, 'Session Data'!A:AA,24,false)</f>
        <v>gyoussef@sdsu.edu</v>
      </c>
      <c r="AC16" s="34" t="str">
        <f>VLOOKUP(A16, 'Session Data'!A:AA,16,false)</f>
        <v/>
      </c>
      <c r="AD16" s="35" t="str">
        <f>VLOOKUP(A16, 'Session Data'!A:U,17,false)</f>
        <v/>
      </c>
      <c r="AE16" s="35" t="str">
        <f>VLOOKUP(A16, 'Session Data'!A:U,18,false)</f>
        <v/>
      </c>
      <c r="AF16" s="35" t="str">
        <f>VLOOKUP(A16, 'Session Data'!A:U,19,false)</f>
        <v/>
      </c>
      <c r="AG16" s="35" t="str">
        <f>VLOOKUP(A16, 'Session Data'!A:U,20,false)</f>
        <v/>
      </c>
      <c r="AH16" s="35" t="str">
        <f>VLOOKUP(A16, 'Session Data'!A:U,21,false)</f>
        <v/>
      </c>
      <c r="AI16" s="37"/>
      <c r="AJ16" s="37"/>
      <c r="AK16" s="37"/>
      <c r="AL16" s="50"/>
      <c r="AM16" s="34" t="str">
        <f>VLOOKUP(A16, 'Session Data'!A:AA,10,false)</f>
        <v>pkauvaka1878@sdsu.edu</v>
      </c>
      <c r="AN16" s="40"/>
      <c r="AO16" s="38"/>
      <c r="AP16" s="38"/>
      <c r="AQ16" s="38"/>
      <c r="AR16" s="38"/>
      <c r="AS16" s="38"/>
      <c r="AT16" s="38"/>
      <c r="AU16" s="38"/>
      <c r="AV16" s="38"/>
      <c r="AW16" s="38"/>
      <c r="AX16" s="38"/>
      <c r="AY16" s="43"/>
      <c r="AZ16" s="43"/>
      <c r="BA16" s="48"/>
      <c r="BB16" s="48"/>
      <c r="BC16" s="43"/>
      <c r="BD16" s="43"/>
      <c r="BE16" s="44"/>
      <c r="BF16" s="45"/>
      <c r="BG16" s="43"/>
    </row>
    <row r="17">
      <c r="A17" s="19" t="s">
        <v>76</v>
      </c>
      <c r="B17" s="20">
        <f>VLOOKUP(F17,'Session Count DO NOT EDIT'!$A:$C,3,FALSE)</f>
        <v>5</v>
      </c>
      <c r="C17" s="20">
        <f>COUNTIFS('Scores Import DO NOT EDIT'!D:D,A17)</f>
        <v>4</v>
      </c>
      <c r="D17" s="21">
        <f t="shared" si="1"/>
        <v>0.8</v>
      </c>
      <c r="E17" s="22">
        <f>AVERAGEIFS('Scores Import DO NOT EDIT'!L:L,'Scores Import DO NOT EDIT'!D:D,A17)</f>
        <v>27.5</v>
      </c>
      <c r="F17" s="23" t="str">
        <f>VLOOKUP(A17, 'Session Data'!A:M,3,false)</f>
        <v>A-2</v>
      </c>
      <c r="G17" s="24" t="str">
        <f>VLOOKUP(A17, 'Session Data'!A:I,2,false)</f>
        <v>9:00 AM</v>
      </c>
      <c r="H17" s="23" t="str">
        <f>VLOOKUP(A17, 'Session Data'!A:J,5,false)</f>
        <v>Engineering and Computer Science</v>
      </c>
      <c r="I17" s="25" t="str">
        <f>VLOOKUP(A17, 'Session Data'!A:H,4,false)</f>
        <v>Oral </v>
      </c>
      <c r="J17" s="26" t="str">
        <f>VLOOKUP(A17, 'Session Data'!A:AA,14,false)</f>
        <v>Undergraduate</v>
      </c>
      <c r="K17" s="27" t="str">
        <f>VLOOKUP(A17, 'Session Data'!A:AA,15,false)</f>
        <v>Engineering</v>
      </c>
      <c r="L17" s="28"/>
      <c r="M17" s="29" t="str">
        <f>VLOOKUP(A17, 'Session Data'!A:K,11,false)</f>
        <v>Bachelor of Science in Electrical Engineering</v>
      </c>
      <c r="N17" s="26" t="str">
        <f>IF(ISNA(VLOOKUP(A17, 'Award Abstract#'!C:C, 1, FALSE)), "No", "Yes")
</f>
        <v>No</v>
      </c>
      <c r="O17" s="29" t="str">
        <f>IF(ISNA(VLOOKUP(A17,'Award Abstract#'!B:B,1,FALSE)), "No", "Yes")</f>
        <v>No</v>
      </c>
      <c r="P17" s="29" t="str">
        <f>IF(ISNA(VLOOKUP(A17,'Award Abstract#'!E:E,1,FALSE)), "No", "Yes")</f>
        <v>No</v>
      </c>
      <c r="Q17" s="29" t="str">
        <f>IF(ISNA(VLOOKUP(A17,'Award Abstract#'!A:A,1,FALSE)), "No", "Yes")</f>
        <v>No</v>
      </c>
      <c r="R17" s="29" t="str">
        <f>IF(ISNA(VLOOKUP(A17,'Award Abstract#'!D:D,1,FALSE)), "No", "Yes")</f>
        <v>Yes</v>
      </c>
      <c r="S17" s="30" t="str">
        <f>VLOOKUP(A17, 'Session Data'!A:AA,27,false)</f>
        <v>Man</v>
      </c>
      <c r="T17" s="30"/>
      <c r="U17" s="30"/>
      <c r="V17" s="31" t="str">
        <f>VLOOKUP(A17, 'Session Data'!A:AA,8,false)</f>
        <v>Erik</v>
      </c>
      <c r="W17" s="32" t="str">
        <f>VLOOKUP(A17, 'Session Data'!A:AA,9,false)</f>
        <v>Chavarin</v>
      </c>
      <c r="X17" s="33" t="str">
        <f>VLOOKUP(A17, 'Session Data'!A:AA,12,false)</f>
        <v>Analysis and Interpretation of VLA RFI Monitoring Data From the SpaceX Pilot Installation</v>
      </c>
      <c r="Y17" s="34" t="str">
        <f>VLOOKUP(A17, 'Session Data'!A:AA,22,false)</f>
        <v>William</v>
      </c>
      <c r="Z17" s="34" t="str">
        <f>VLOOKUP(A17, 'Session Data'!A:AA,23,false)</f>
        <v>Welsh</v>
      </c>
      <c r="AA17" s="34" t="str">
        <f>VLOOKUP(A17, 'Session Data'!A:AA,25,false)</f>
        <v>Sciences</v>
      </c>
      <c r="AB17" s="34" t="str">
        <f>VLOOKUP(A17, 'Session Data'!A:AA,24,false)</f>
        <v>wwelsh@sdsu.edu</v>
      </c>
      <c r="AC17" s="34" t="str">
        <f>VLOOKUP(A17, 'Session Data'!A:AA,16,false)</f>
        <v/>
      </c>
      <c r="AD17" s="35" t="str">
        <f>VLOOKUP(A17, 'Session Data'!A:U,17,false)</f>
        <v/>
      </c>
      <c r="AE17" s="35" t="str">
        <f>VLOOKUP(A17, 'Session Data'!A:U,18,false)</f>
        <v/>
      </c>
      <c r="AF17" s="35" t="str">
        <f>VLOOKUP(A17, 'Session Data'!A:U,19,false)</f>
        <v/>
      </c>
      <c r="AG17" s="35" t="str">
        <f>VLOOKUP(A17, 'Session Data'!A:U,20,false)</f>
        <v/>
      </c>
      <c r="AH17" s="35" t="str">
        <f>VLOOKUP(A17, 'Session Data'!A:U,21,false)</f>
        <v/>
      </c>
      <c r="AI17" s="37"/>
      <c r="AJ17" s="37"/>
      <c r="AK17" s="37"/>
      <c r="AL17" s="50"/>
      <c r="AM17" s="34" t="str">
        <f>VLOOKUP(A17, 'Session Data'!A:AA,10,false)</f>
        <v>echavarin1720@sdsu.edu</v>
      </c>
      <c r="AN17" s="40"/>
      <c r="AO17" s="38"/>
      <c r="AP17" s="38"/>
      <c r="AQ17" s="38"/>
      <c r="AR17" s="38"/>
      <c r="AS17" s="38"/>
      <c r="AT17" s="38"/>
      <c r="AU17" s="38"/>
      <c r="AV17" s="38"/>
      <c r="AW17" s="38"/>
      <c r="AX17" s="38"/>
      <c r="AY17" s="43"/>
      <c r="AZ17" s="43"/>
      <c r="BA17" s="43"/>
      <c r="BB17" s="43"/>
      <c r="BC17" s="43"/>
      <c r="BD17" s="43"/>
      <c r="BE17" s="44"/>
      <c r="BF17" s="45"/>
      <c r="BG17" s="43"/>
    </row>
    <row r="18">
      <c r="A18" s="19" t="s">
        <v>77</v>
      </c>
      <c r="B18" s="20">
        <f>VLOOKUP(F18,'Session Count DO NOT EDIT'!$A:$C,3,FALSE)</f>
        <v>4</v>
      </c>
      <c r="C18" s="20">
        <f>COUNTIFS('Scores Import DO NOT EDIT'!D:D,A18)</f>
        <v>4</v>
      </c>
      <c r="D18" s="21">
        <f t="shared" si="1"/>
        <v>1</v>
      </c>
      <c r="E18" s="22">
        <f>AVERAGEIFS('Scores Import DO NOT EDIT'!L:L,'Scores Import DO NOT EDIT'!D:D,A18)</f>
        <v>25.75</v>
      </c>
      <c r="F18" s="23" t="str">
        <f>VLOOKUP(A18, 'Session Data'!A:M,3,false)</f>
        <v>A-3</v>
      </c>
      <c r="G18" s="24" t="str">
        <f>VLOOKUP(A18, 'Session Data'!A:I,2,false)</f>
        <v>9:00 AM</v>
      </c>
      <c r="H18" s="23" t="str">
        <f>VLOOKUP(A18, 'Session Data'!A:J,5,false)</f>
        <v>Behavioral and Social Sciences 1</v>
      </c>
      <c r="I18" s="25" t="str">
        <f>VLOOKUP(A18, 'Session Data'!A:H,4,false)</f>
        <v>Oral </v>
      </c>
      <c r="J18" s="26" t="str">
        <f>VLOOKUP(A18, 'Session Data'!A:AA,14,false)</f>
        <v>Master's</v>
      </c>
      <c r="K18" s="27" t="str">
        <f>VLOOKUP(A18, 'Session Data'!A:AA,15,false)</f>
        <v>Sciences</v>
      </c>
      <c r="L18" s="28"/>
      <c r="M18" s="29" t="str">
        <f>VLOOKUP(A18, 'Session Data'!A:K,11,false)</f>
        <v>Masters of Arts in Psychology</v>
      </c>
      <c r="N18" s="26" t="str">
        <f>IF(ISNA(VLOOKUP(A18, 'Award Abstract#'!C:C, 1, FALSE)), "No", "Yes")
</f>
        <v>No</v>
      </c>
      <c r="O18" s="29" t="str">
        <f>IF(ISNA(VLOOKUP(A18,'Award Abstract#'!B:B,1,FALSE)), "No", "Yes")</f>
        <v>Yes</v>
      </c>
      <c r="P18" s="29" t="str">
        <f>IF(ISNA(VLOOKUP(A18,'Award Abstract#'!E:E,1,FALSE)), "No", "Yes")</f>
        <v>No</v>
      </c>
      <c r="Q18" s="29" t="str">
        <f>IF(ISNA(VLOOKUP(A18,'Award Abstract#'!A:A,1,FALSE)), "No", "Yes")</f>
        <v>No</v>
      </c>
      <c r="R18" s="29" t="str">
        <f>IF(ISNA(VLOOKUP(A18,'Award Abstract#'!D:D,1,FALSE)), "No", "Yes")</f>
        <v>Yes</v>
      </c>
      <c r="S18" s="30" t="str">
        <f>VLOOKUP(A18, 'Session Data'!A:AA,27,false)</f>
        <v>Woman</v>
      </c>
      <c r="T18" s="30"/>
      <c r="U18" s="30"/>
      <c r="V18" s="31" t="str">
        <f>VLOOKUP(A18, 'Session Data'!A:AA,8,false)</f>
        <v>Melanie </v>
      </c>
      <c r="W18" s="32" t="str">
        <f>VLOOKUP(A18, 'Session Data'!A:AA,9,false)</f>
        <v>Gomez</v>
      </c>
      <c r="X18" s="33" t="str">
        <f>VLOOKUP(A18, 'Session Data'!A:AA,12,false)</f>
        <v>Identifying key strategies for program sustainment in faith-based settings through promotora perspectives</v>
      </c>
      <c r="Y18" s="34" t="str">
        <f>VLOOKUP(A18, 'Session Data'!A:AA,22,false)</f>
        <v>Elva</v>
      </c>
      <c r="Z18" s="34" t="str">
        <f>VLOOKUP(A18, 'Session Data'!A:AA,23,false)</f>
        <v>Arredondo</v>
      </c>
      <c r="AA18" s="34" t="str">
        <f>VLOOKUP(A18, 'Session Data'!A:AA,25,false)</f>
        <v>Sciences</v>
      </c>
      <c r="AB18" s="34"/>
      <c r="AC18" s="34" t="str">
        <f>VLOOKUP(A18, 'Session Data'!A:AA,16,false)</f>
        <v/>
      </c>
      <c r="AD18" s="35" t="str">
        <f>VLOOKUP(A18, 'Session Data'!A:U,17,false)</f>
        <v/>
      </c>
      <c r="AE18" s="35" t="str">
        <f>VLOOKUP(A18, 'Session Data'!A:U,18,false)</f>
        <v/>
      </c>
      <c r="AF18" s="35" t="str">
        <f>VLOOKUP(A18, 'Session Data'!A:U,19,false)</f>
        <v/>
      </c>
      <c r="AG18" s="35" t="str">
        <f>VLOOKUP(A18, 'Session Data'!A:U,20,false)</f>
        <v/>
      </c>
      <c r="AH18" s="35" t="str">
        <f>VLOOKUP(A18, 'Session Data'!A:U,21,false)</f>
        <v/>
      </c>
      <c r="AI18" s="37"/>
      <c r="AJ18" s="37"/>
      <c r="AK18" s="37"/>
      <c r="AL18" s="50"/>
      <c r="AM18" s="34" t="str">
        <f>VLOOKUP(A18, 'Session Data'!A:AA,10,false)</f>
        <v>mgomez6492@sdsu.edu</v>
      </c>
      <c r="AN18" s="40"/>
      <c r="AO18" s="38"/>
      <c r="AP18" s="38"/>
      <c r="AQ18" s="38"/>
      <c r="AR18" s="38"/>
      <c r="AS18" s="38"/>
      <c r="AT18" s="38"/>
      <c r="AU18" s="38"/>
      <c r="AV18" s="38"/>
      <c r="AW18" s="38"/>
      <c r="AX18" s="38"/>
      <c r="AY18" s="43"/>
      <c r="AZ18" s="43"/>
      <c r="BA18" s="48"/>
      <c r="BB18" s="48"/>
      <c r="BC18" s="43"/>
      <c r="BD18" s="43"/>
      <c r="BE18" s="44"/>
      <c r="BF18" s="45"/>
      <c r="BG18" s="43"/>
    </row>
    <row r="19">
      <c r="A19" s="53" t="s">
        <v>78</v>
      </c>
      <c r="B19" s="20">
        <f>VLOOKUP(F19,'Session Count DO NOT EDIT'!$A:$C,3,FALSE)</f>
        <v>4</v>
      </c>
      <c r="C19" s="20">
        <f>COUNTIFS('Scores Import DO NOT EDIT'!D:D,A19)</f>
        <v>0</v>
      </c>
      <c r="D19" s="21">
        <f t="shared" si="1"/>
        <v>0</v>
      </c>
      <c r="E19" s="22" t="str">
        <f>AVERAGEIFS('Scores Import DO NOT EDIT'!L:L,'Scores Import DO NOT EDIT'!D:D,A19)</f>
        <v>#DIV/0!</v>
      </c>
      <c r="F19" s="23" t="str">
        <f>VLOOKUP(A19, 'Session Data'!A:M,3,false)</f>
        <v>A-3</v>
      </c>
      <c r="G19" s="24" t="str">
        <f>VLOOKUP(A19, 'Session Data'!A:I,2,false)</f>
        <v>9:00 AM</v>
      </c>
      <c r="H19" s="23" t="str">
        <f>VLOOKUP(A19, 'Session Data'!A:J,5,false)</f>
        <v>Behavioral and Social Sciences 1</v>
      </c>
      <c r="I19" s="25" t="str">
        <f>VLOOKUP(A19, 'Session Data'!A:H,4,false)</f>
        <v>Oral </v>
      </c>
      <c r="J19" s="26" t="str">
        <f>VLOOKUP(A19, 'Session Data'!A:AA,14,false)</f>
        <v>Master's</v>
      </c>
      <c r="K19" s="27" t="str">
        <f>VLOOKUP(A19, 'Session Data'!A:AA,15,false)</f>
        <v>Arts and Letters</v>
      </c>
      <c r="L19" s="28"/>
      <c r="M19" s="29" t="str">
        <f>VLOOKUP(A19, 'Session Data'!A:K,11,false)</f>
        <v/>
      </c>
      <c r="N19" s="26" t="str">
        <f>IF(ISNA(VLOOKUP(A19, 'Award Abstract#'!C:C, 1, FALSE)), "No", "Yes")
</f>
        <v>No</v>
      </c>
      <c r="O19" s="29" t="str">
        <f>IF(ISNA(VLOOKUP(A19,'Award Abstract#'!B:B,1,FALSE)), "No", "Yes")</f>
        <v>No</v>
      </c>
      <c r="P19" s="29" t="str">
        <f>IF(ISNA(VLOOKUP(A19,'Award Abstract#'!E:E,1,FALSE)), "No", "Yes")</f>
        <v>No</v>
      </c>
      <c r="Q19" s="29" t="str">
        <f>IF(ISNA(VLOOKUP(A19,'Award Abstract#'!A:A,1,FALSE)), "No", "Yes")</f>
        <v>No</v>
      </c>
      <c r="R19" s="29" t="str">
        <f>IF(ISNA(VLOOKUP(A19,'Award Abstract#'!D:D,1,FALSE)), "No", "Yes")</f>
        <v>No</v>
      </c>
      <c r="S19" s="30" t="str">
        <f>VLOOKUP(A19, 'Session Data'!A:AA,27,false)</f>
        <v/>
      </c>
      <c r="T19" s="30"/>
      <c r="U19" s="30"/>
      <c r="V19" s="31" t="str">
        <f>VLOOKUP(A19, 'Session Data'!A:AA,8,false)</f>
        <v>Samuel</v>
      </c>
      <c r="W19" s="32" t="str">
        <f>VLOOKUP(A19, 'Session Data'!A:AA,9,false)</f>
        <v>Massey</v>
      </c>
      <c r="X19" s="33" t="str">
        <f>VLOOKUP(A19, 'Session Data'!A:AA,12,false)</f>
        <v/>
      </c>
      <c r="Y19" s="34" t="str">
        <f>VLOOKUP(A19, 'Session Data'!A:AA,22,false)</f>
        <v/>
      </c>
      <c r="Z19" s="34" t="str">
        <f>VLOOKUP(A19, 'Session Data'!A:AA,23,false)</f>
        <v/>
      </c>
      <c r="AA19" s="34" t="str">
        <f>VLOOKUP(A19, 'Session Data'!A:AA,25,false)</f>
        <v/>
      </c>
      <c r="AB19" s="34" t="str">
        <f>VLOOKUP(A19, 'Session Data'!A:AA,24,false)</f>
        <v/>
      </c>
      <c r="AC19" s="34"/>
      <c r="AD19" s="35"/>
      <c r="AE19" s="35"/>
      <c r="AF19" s="35"/>
      <c r="AG19" s="35"/>
      <c r="AH19" s="35"/>
      <c r="AI19" s="37"/>
      <c r="AJ19" s="37"/>
      <c r="AK19" s="37"/>
      <c r="AL19" s="50"/>
      <c r="AM19" s="34" t="str">
        <f>VLOOKUP(A19, 'Session Data'!A:AA,10,false)</f>
        <v>smassey8419@sdsu.edu</v>
      </c>
      <c r="AN19" s="40"/>
      <c r="AO19" s="38"/>
      <c r="AP19" s="38"/>
      <c r="AQ19" s="38"/>
      <c r="AR19" s="38"/>
      <c r="AS19" s="38"/>
      <c r="AT19" s="38"/>
      <c r="AU19" s="38"/>
      <c r="AV19" s="38"/>
      <c r="AW19" s="38"/>
      <c r="AX19" s="38"/>
      <c r="AY19" s="43"/>
      <c r="AZ19" s="43"/>
      <c r="BA19" s="48"/>
      <c r="BB19" s="48"/>
      <c r="BC19" s="43"/>
      <c r="BD19" s="43"/>
      <c r="BE19" s="44"/>
      <c r="BF19" s="45"/>
      <c r="BG19" s="43"/>
    </row>
    <row r="20">
      <c r="A20" s="19" t="s">
        <v>79</v>
      </c>
      <c r="B20" s="20">
        <f>VLOOKUP(F20,'Session Count DO NOT EDIT'!$A:$C,3,FALSE)</f>
        <v>4</v>
      </c>
      <c r="C20" s="20">
        <f>COUNTIFS('Scores Import DO NOT EDIT'!D:D,A20)</f>
        <v>4</v>
      </c>
      <c r="D20" s="21">
        <f t="shared" si="1"/>
        <v>1</v>
      </c>
      <c r="E20" s="22">
        <f>AVERAGEIFS('Scores Import DO NOT EDIT'!L:L,'Scores Import DO NOT EDIT'!D:D,A20)</f>
        <v>30.25</v>
      </c>
      <c r="F20" s="23" t="str">
        <f>VLOOKUP(A20, 'Session Data'!A:M,3,false)</f>
        <v>A-3</v>
      </c>
      <c r="G20" s="24" t="str">
        <f>VLOOKUP(A20, 'Session Data'!A:I,2,false)</f>
        <v>9:00 AM</v>
      </c>
      <c r="H20" s="23" t="str">
        <f>VLOOKUP(A20, 'Session Data'!A:J,5,false)</f>
        <v>Behavioral and Social Sciences 1</v>
      </c>
      <c r="I20" s="25" t="str">
        <f>VLOOKUP(A20, 'Session Data'!A:H,4,false)</f>
        <v>Oral </v>
      </c>
      <c r="J20" s="26" t="str">
        <f>VLOOKUP(A20, 'Session Data'!A:AA,14,false)</f>
        <v>Master's</v>
      </c>
      <c r="K20" s="27" t="str">
        <f>VLOOKUP(A20, 'Session Data'!A:AA,15,false)</f>
        <v>Health and Human Services</v>
      </c>
      <c r="L20" s="47"/>
      <c r="M20" s="29" t="str">
        <f>VLOOKUP(A20, 'Session Data'!A:K,11,false)</f>
        <v>MS Nutritional Sciences </v>
      </c>
      <c r="N20" s="26" t="str">
        <f>IF(ISNA(VLOOKUP(A20, 'Award Abstract#'!C:C, 1, FALSE)), "No", "Yes")
</f>
        <v>No</v>
      </c>
      <c r="O20" s="29" t="str">
        <f>IF(ISNA(VLOOKUP(A20,'Award Abstract#'!B:B,1,FALSE)), "No", "Yes")</f>
        <v>No</v>
      </c>
      <c r="P20" s="29" t="str">
        <f>IF(ISNA(VLOOKUP(A20,'Award Abstract#'!E:E,1,FALSE)), "No", "Yes")</f>
        <v>No</v>
      </c>
      <c r="Q20" s="29" t="str">
        <f>IF(ISNA(VLOOKUP(A20,'Award Abstract#'!A:A,1,FALSE)), "No", "Yes")</f>
        <v>No</v>
      </c>
      <c r="R20" s="29" t="str">
        <f>IF(ISNA(VLOOKUP(A20,'Award Abstract#'!D:D,1,FALSE)), "No", "Yes")</f>
        <v>Yes</v>
      </c>
      <c r="S20" s="30" t="str">
        <f>VLOOKUP(A20, 'Session Data'!A:AA,27,false)</f>
        <v>Woman</v>
      </c>
      <c r="T20" s="30"/>
      <c r="U20" s="30"/>
      <c r="V20" s="31" t="str">
        <f>VLOOKUP(A20, 'Session Data'!A:AA,8,false)</f>
        <v>Destiny</v>
      </c>
      <c r="W20" s="32" t="str">
        <f>VLOOKUP(A20, 'Session Data'!A:AA,9,false)</f>
        <v>Akins</v>
      </c>
      <c r="X20" s="33" t="str">
        <f>VLOOKUP(A20, 'Session Data'!A:AA,12,false)</f>
        <v>Testing the feasibility of a prenatal yoga mobile app in African American pregnant women: The Mindful Maternity Study </v>
      </c>
      <c r="Y20" s="34" t="str">
        <f>VLOOKUP(A20, 'Session Data'!A:AA,22,false)</f>
        <v>Jennifer </v>
      </c>
      <c r="Z20" s="34" t="str">
        <f>VLOOKUP(A20, 'Session Data'!A:AA,23,false)</f>
        <v>Green</v>
      </c>
      <c r="AA20" s="34" t="str">
        <f>VLOOKUP(A20, 'Session Data'!A:AA,25,false)</f>
        <v>Health and Human Services</v>
      </c>
      <c r="AB20" s="34" t="str">
        <f>VLOOKUP(A20, 'Session Data'!A:AA,24,false)</f>
        <v>jgreen5@sdsu.edu</v>
      </c>
      <c r="AC20" s="34" t="str">
        <f>VLOOKUP(A20, 'Session Data'!A:AA,16,false)</f>
        <v>Destiny </v>
      </c>
      <c r="AD20" s="35" t="str">
        <f>VLOOKUP(A20, 'Session Data'!A:U,17,false)</f>
        <v>Akins</v>
      </c>
      <c r="AE20" s="35" t="str">
        <f>VLOOKUP(A20, 'Session Data'!A:U,18,false)</f>
        <v>Kaylee</v>
      </c>
      <c r="AF20" s="35" t="str">
        <f>VLOOKUP(A20, 'Session Data'!A:U,19,false)</f>
        <v>Childers</v>
      </c>
      <c r="AG20" s="35" t="str">
        <f>VLOOKUP(A20, 'Session Data'!A:U,20,false)</f>
        <v/>
      </c>
      <c r="AH20" s="35" t="str">
        <f>VLOOKUP(A20, 'Session Data'!A:U,21,false)</f>
        <v/>
      </c>
      <c r="AI20" s="37"/>
      <c r="AJ20" s="37"/>
      <c r="AK20" s="37"/>
      <c r="AL20" s="50"/>
      <c r="AM20" s="34" t="str">
        <f>VLOOKUP(A20, 'Session Data'!A:AA,10,false)</f>
        <v>dakins6558@sdsu.edu</v>
      </c>
      <c r="AN20" s="40"/>
      <c r="AO20" s="38"/>
      <c r="AP20" s="38"/>
      <c r="AQ20" s="38"/>
      <c r="AR20" s="38"/>
      <c r="AS20" s="38"/>
      <c r="AT20" s="38"/>
      <c r="AU20" s="38"/>
      <c r="AV20" s="38"/>
      <c r="AW20" s="38"/>
      <c r="AX20" s="38"/>
      <c r="AY20" s="43"/>
      <c r="AZ20" s="43"/>
      <c r="BA20" s="48"/>
      <c r="BB20" s="48"/>
      <c r="BC20" s="43"/>
      <c r="BD20" s="43"/>
      <c r="BE20" s="44"/>
      <c r="BF20" s="45"/>
      <c r="BG20" s="43"/>
    </row>
    <row r="21">
      <c r="A21" s="19" t="s">
        <v>80</v>
      </c>
      <c r="B21" s="20">
        <f>VLOOKUP(F21,'Session Count DO NOT EDIT'!$A:$C,3,FALSE)</f>
        <v>4</v>
      </c>
      <c r="C21" s="20">
        <f>COUNTIFS('Scores Import DO NOT EDIT'!D:D,A21)</f>
        <v>4</v>
      </c>
      <c r="D21" s="21">
        <f t="shared" si="1"/>
        <v>1</v>
      </c>
      <c r="E21" s="22">
        <f>AVERAGEIFS('Scores Import DO NOT EDIT'!L:L,'Scores Import DO NOT EDIT'!D:D,A21)</f>
        <v>29</v>
      </c>
      <c r="F21" s="23" t="str">
        <f>VLOOKUP(A21, 'Session Data'!A:M,3,false)</f>
        <v>A-3</v>
      </c>
      <c r="G21" s="24" t="str">
        <f>VLOOKUP(A21, 'Session Data'!A:I,2,false)</f>
        <v>9:00 AM</v>
      </c>
      <c r="H21" s="23" t="str">
        <f>VLOOKUP(A21, 'Session Data'!A:J,5,false)</f>
        <v>Behavioral and Social Sciences 1</v>
      </c>
      <c r="I21" s="25" t="str">
        <f>VLOOKUP(A21, 'Session Data'!A:H,4,false)</f>
        <v>Oral </v>
      </c>
      <c r="J21" s="26" t="str">
        <f>VLOOKUP(A21, 'Session Data'!A:AA,14,false)</f>
        <v>Master's</v>
      </c>
      <c r="K21" s="27" t="str">
        <f>VLOOKUP(A21, 'Session Data'!A:AA,15,false)</f>
        <v>Professional Studies and Fine Arts</v>
      </c>
      <c r="L21" s="47"/>
      <c r="M21" s="29" t="str">
        <f>VLOOKUP(A21, 'Session Data'!A:K,11,false)</f>
        <v>Mass Communications/MA</v>
      </c>
      <c r="N21" s="26" t="str">
        <f>IF(ISNA(VLOOKUP(A21, 'Award Abstract#'!C:C, 1, FALSE)), "No", "Yes")
</f>
        <v>No</v>
      </c>
      <c r="O21" s="29" t="str">
        <f>IF(ISNA(VLOOKUP(A21,'Award Abstract#'!B:B,1,FALSE)), "No", "Yes")</f>
        <v>No</v>
      </c>
      <c r="P21" s="29" t="str">
        <f>IF(ISNA(VLOOKUP(A21,'Award Abstract#'!E:E,1,FALSE)), "No", "Yes")</f>
        <v>No</v>
      </c>
      <c r="Q21" s="29" t="str">
        <f>IF(ISNA(VLOOKUP(A21,'Award Abstract#'!A:A,1,FALSE)), "No", "Yes")</f>
        <v>No</v>
      </c>
      <c r="R21" s="29" t="str">
        <f>IF(ISNA(VLOOKUP(A21,'Award Abstract#'!D:D,1,FALSE)), "No", "Yes")</f>
        <v>Yes</v>
      </c>
      <c r="S21" s="30" t="str">
        <f>VLOOKUP(A21, 'Session Data'!A:AA,27,false)</f>
        <v>Woman</v>
      </c>
      <c r="T21" s="30"/>
      <c r="U21" s="30"/>
      <c r="V21" s="31" t="str">
        <f>VLOOKUP(A21, 'Session Data'!A:AA,8,false)</f>
        <v>Jessica</v>
      </c>
      <c r="W21" s="32" t="str">
        <f>VLOOKUP(A21, 'Session Data'!A:AA,9,false)</f>
        <v>Arguelles</v>
      </c>
      <c r="X21" s="33" t="str">
        <f>VLOOKUP(A21, 'Session Data'!A:AA,12,false)</f>
        <v> Exploring ethnic identification’s impact on Gen-Z Asian American beauty influencer marketing campaigns</v>
      </c>
      <c r="Y21" s="34" t="str">
        <f>VLOOKUP(A21, 'Session Data'!A:AA,22,false)</f>
        <v>Catherine</v>
      </c>
      <c r="Z21" s="34" t="str">
        <f>VLOOKUP(A21, 'Session Data'!A:AA,23,false)</f>
        <v>Hu</v>
      </c>
      <c r="AA21" s="34" t="str">
        <f>VLOOKUP(A21, 'Session Data'!A:AA,25,false)</f>
        <v>Professional Studies and Fine Arts</v>
      </c>
      <c r="AB21" s="34" t="str">
        <f>VLOOKUP(A21, 'Session Data'!A:AA,24,false)</f>
        <v>xhu4@sdsu.edu</v>
      </c>
      <c r="AC21" s="34" t="str">
        <f>VLOOKUP(A21, 'Session Data'!A:AA,16,false)</f>
        <v/>
      </c>
      <c r="AD21" s="35" t="str">
        <f>VLOOKUP(A21, 'Session Data'!A:U,17,false)</f>
        <v/>
      </c>
      <c r="AE21" s="35" t="str">
        <f>VLOOKUP(A21, 'Session Data'!A:U,18,false)</f>
        <v/>
      </c>
      <c r="AF21" s="35" t="str">
        <f>VLOOKUP(A21, 'Session Data'!A:U,19,false)</f>
        <v/>
      </c>
      <c r="AG21" s="35" t="str">
        <f>VLOOKUP(A21, 'Session Data'!A:U,20,false)</f>
        <v/>
      </c>
      <c r="AH21" s="35" t="str">
        <f>VLOOKUP(A21, 'Session Data'!A:U,21,false)</f>
        <v/>
      </c>
      <c r="AI21" s="37"/>
      <c r="AJ21" s="37"/>
      <c r="AK21" s="37"/>
      <c r="AL21" s="50"/>
      <c r="AM21" s="34" t="str">
        <f>VLOOKUP(A21, 'Session Data'!A:AA,10,false)</f>
        <v>jarguelles1941@sdsu.edu</v>
      </c>
      <c r="AN21" s="40"/>
      <c r="AO21" s="38"/>
      <c r="AP21" s="38"/>
      <c r="AQ21" s="38"/>
      <c r="AR21" s="38"/>
      <c r="AS21" s="38"/>
      <c r="AT21" s="38"/>
      <c r="AU21" s="38"/>
      <c r="AV21" s="38"/>
      <c r="AW21" s="38"/>
      <c r="AX21" s="38"/>
      <c r="AY21" s="43"/>
      <c r="AZ21" s="43"/>
      <c r="BA21" s="48"/>
      <c r="BB21" s="48"/>
      <c r="BC21" s="43"/>
      <c r="BD21" s="43"/>
      <c r="BE21" s="44"/>
      <c r="BF21" s="45"/>
      <c r="BG21" s="43"/>
    </row>
    <row r="22">
      <c r="A22" s="19" t="s">
        <v>81</v>
      </c>
      <c r="B22" s="20">
        <f>VLOOKUP(F22,'Session Count DO NOT EDIT'!$A:$C,3,FALSE)</f>
        <v>4</v>
      </c>
      <c r="C22" s="20">
        <f>COUNTIFS('Scores Import DO NOT EDIT'!D:D,A22)</f>
        <v>4</v>
      </c>
      <c r="D22" s="21">
        <f t="shared" si="1"/>
        <v>1</v>
      </c>
      <c r="E22" s="22">
        <f>AVERAGEIFS('Scores Import DO NOT EDIT'!L:L,'Scores Import DO NOT EDIT'!D:D,A22)</f>
        <v>29</v>
      </c>
      <c r="F22" s="23" t="str">
        <f>VLOOKUP(A22, 'Session Data'!A:M,3,false)</f>
        <v>A-3</v>
      </c>
      <c r="G22" s="24" t="str">
        <f>VLOOKUP(A22, 'Session Data'!A:I,2,false)</f>
        <v>9:00 AM</v>
      </c>
      <c r="H22" s="23" t="str">
        <f>VLOOKUP(A22, 'Session Data'!A:J,5,false)</f>
        <v>Behavioral and Social Sciences 1</v>
      </c>
      <c r="I22" s="25" t="str">
        <f>VLOOKUP(A22, 'Session Data'!A:H,4,false)</f>
        <v>Oral </v>
      </c>
      <c r="J22" s="26" t="str">
        <f>VLOOKUP(A22, 'Session Data'!A:AA,14,false)</f>
        <v>Master's</v>
      </c>
      <c r="K22" s="27" t="str">
        <f>VLOOKUP(A22, 'Session Data'!A:AA,15,false)</f>
        <v>Sciences</v>
      </c>
      <c r="L22" s="47"/>
      <c r="M22" s="29" t="str">
        <f>VLOOKUP(A22, 'Session Data'!A:K,11,false)</f>
        <v>Psychology</v>
      </c>
      <c r="N22" s="26" t="str">
        <f>IF(ISNA(VLOOKUP(A22, 'Award Abstract#'!C:C, 1, FALSE)), "No", "Yes")
</f>
        <v>No</v>
      </c>
      <c r="O22" s="29" t="str">
        <f>IF(ISNA(VLOOKUP(A22,'Award Abstract#'!B:B,1,FALSE)), "No", "Yes")</f>
        <v>No</v>
      </c>
      <c r="P22" s="29" t="str">
        <f>IF(ISNA(VLOOKUP(A22,'Award Abstract#'!E:E,1,FALSE)), "No", "Yes")</f>
        <v>No</v>
      </c>
      <c r="Q22" s="29" t="str">
        <f>IF(ISNA(VLOOKUP(A22,'Award Abstract#'!A:A,1,FALSE)), "No", "Yes")</f>
        <v>No</v>
      </c>
      <c r="R22" s="29" t="str">
        <f>IF(ISNA(VLOOKUP(A22,'Award Abstract#'!D:D,1,FALSE)), "No", "Yes")</f>
        <v>No</v>
      </c>
      <c r="S22" s="30" t="str">
        <f>VLOOKUP(A22, 'Session Data'!A:AA,27,false)</f>
        <v>Woman</v>
      </c>
      <c r="T22" s="30"/>
      <c r="U22" s="30"/>
      <c r="V22" s="31" t="str">
        <f>VLOOKUP(A22, 'Session Data'!A:AA,8,false)</f>
        <v>Vanessa</v>
      </c>
      <c r="W22" s="32" t="str">
        <f>VLOOKUP(A22, 'Session Data'!A:AA,9,false)</f>
        <v>Thomas</v>
      </c>
      <c r="X22" s="33" t="str">
        <f>VLOOKUP(A22, 'Session Data'!A:AA,12,false)</f>
        <v>Cognitive control dysregulation in young adult binge drinkers: behavioral indices and oscillatory neurodynamics</v>
      </c>
      <c r="Y22" s="34" t="str">
        <f>VLOOKUP(A22, 'Session Data'!A:AA,22,false)</f>
        <v>Ksenija</v>
      </c>
      <c r="Z22" s="34" t="str">
        <f>VLOOKUP(A22, 'Session Data'!A:AA,23,false)</f>
        <v>Marinkovic</v>
      </c>
      <c r="AA22" s="34" t="str">
        <f>VLOOKUP(A22, 'Session Data'!A:AA,25,false)</f>
        <v>Sciences</v>
      </c>
      <c r="AB22" s="34"/>
      <c r="AC22" s="34" t="str">
        <f>VLOOKUP(A22, 'Session Data'!A:AA,16,false)</f>
        <v/>
      </c>
      <c r="AD22" s="35" t="str">
        <f>VLOOKUP(A22, 'Session Data'!A:U,17,false)</f>
        <v/>
      </c>
      <c r="AE22" s="35" t="str">
        <f>VLOOKUP(A22, 'Session Data'!A:U,18,false)</f>
        <v/>
      </c>
      <c r="AF22" s="35" t="str">
        <f>VLOOKUP(A22, 'Session Data'!A:U,19,false)</f>
        <v/>
      </c>
      <c r="AG22" s="35" t="str">
        <f>VLOOKUP(A22, 'Session Data'!A:U,20,false)</f>
        <v/>
      </c>
      <c r="AH22" s="35" t="str">
        <f>VLOOKUP(A22, 'Session Data'!A:U,21,false)</f>
        <v/>
      </c>
      <c r="AI22" s="37"/>
      <c r="AJ22" s="37"/>
      <c r="AK22" s="37"/>
      <c r="AL22" s="50"/>
      <c r="AM22" s="34" t="str">
        <f>VLOOKUP(A22, 'Session Data'!A:AA,10,false)</f>
        <v>vthomas4396@sdsu.edu</v>
      </c>
      <c r="AN22" s="40"/>
      <c r="AO22" s="38"/>
      <c r="AP22" s="38"/>
      <c r="AQ22" s="38"/>
      <c r="AR22" s="38"/>
      <c r="AS22" s="38"/>
      <c r="AT22" s="38"/>
      <c r="AU22" s="38"/>
      <c r="AV22" s="38"/>
      <c r="AW22" s="38"/>
      <c r="AX22" s="38"/>
      <c r="AY22" s="43"/>
      <c r="AZ22" s="43"/>
      <c r="BA22" s="48"/>
      <c r="BB22" s="48"/>
      <c r="BC22" s="43"/>
      <c r="BD22" s="43"/>
      <c r="BE22" s="44"/>
      <c r="BF22" s="45"/>
      <c r="BG22" s="43"/>
    </row>
    <row r="23">
      <c r="A23" s="19" t="s">
        <v>82</v>
      </c>
      <c r="B23" s="20">
        <f>VLOOKUP(F23,'Session Count DO NOT EDIT'!$A:$C,3,FALSE)</f>
        <v>4</v>
      </c>
      <c r="C23" s="20">
        <f>COUNTIFS('Scores Import DO NOT EDIT'!D:D,A23)</f>
        <v>4</v>
      </c>
      <c r="D23" s="21">
        <f t="shared" si="1"/>
        <v>1</v>
      </c>
      <c r="E23" s="22">
        <f>AVERAGEIFS('Scores Import DO NOT EDIT'!L:L,'Scores Import DO NOT EDIT'!D:D,A23)</f>
        <v>28</v>
      </c>
      <c r="F23" s="23" t="str">
        <f>VLOOKUP(A23, 'Session Data'!A:M,3,false)</f>
        <v>A-3</v>
      </c>
      <c r="G23" s="24" t="str">
        <f>VLOOKUP(A23, 'Session Data'!A:I,2,false)</f>
        <v>9:00 AM</v>
      </c>
      <c r="H23" s="23" t="str">
        <f>VLOOKUP(A23, 'Session Data'!A:J,5,false)</f>
        <v>Behavioral and Social Sciences 1</v>
      </c>
      <c r="I23" s="25" t="str">
        <f>VLOOKUP(A23, 'Session Data'!A:H,4,false)</f>
        <v>Oral </v>
      </c>
      <c r="J23" s="26" t="str">
        <f>VLOOKUP(A23, 'Session Data'!A:AA,14,false)</f>
        <v>Master's</v>
      </c>
      <c r="K23" s="27" t="str">
        <f>VLOOKUP(A23, 'Session Data'!A:AA,15,false)</f>
        <v>Arts and Letters</v>
      </c>
      <c r="L23" s="28"/>
      <c r="M23" s="29" t="str">
        <f>VLOOKUP(A23, 'Session Data'!A:K,11,false)</f>
        <v>Masters of Arts in Anthropology</v>
      </c>
      <c r="N23" s="26" t="str">
        <f>IF(ISNA(VLOOKUP(A23, 'Award Abstract#'!C:C, 1, FALSE)), "No", "Yes")
</f>
        <v>No</v>
      </c>
      <c r="O23" s="29" t="str">
        <f>IF(ISNA(VLOOKUP(A23,'Award Abstract#'!B:B,1,FALSE)), "No", "Yes")</f>
        <v>No</v>
      </c>
      <c r="P23" s="29" t="str">
        <f>IF(ISNA(VLOOKUP(A23,'Award Abstract#'!E:E,1,FALSE)), "No", "Yes")</f>
        <v>No</v>
      </c>
      <c r="Q23" s="29" t="str">
        <f>IF(ISNA(VLOOKUP(A23,'Award Abstract#'!A:A,1,FALSE)), "No", "Yes")</f>
        <v>No</v>
      </c>
      <c r="R23" s="29" t="str">
        <f>IF(ISNA(VLOOKUP(A23,'Award Abstract#'!D:D,1,FALSE)), "No", "Yes")</f>
        <v>No</v>
      </c>
      <c r="S23" s="30" t="str">
        <f>VLOOKUP(A23, 'Session Data'!A:AA,27,false)</f>
        <v>Man</v>
      </c>
      <c r="T23" s="30"/>
      <c r="U23" s="30"/>
      <c r="V23" s="31" t="str">
        <f>VLOOKUP(A23, 'Session Data'!A:AA,8,false)</f>
        <v>Arturo</v>
      </c>
      <c r="W23" s="32" t="str">
        <f>VLOOKUP(A23, 'Session Data'!A:AA,9,false)</f>
        <v>Avalos</v>
      </c>
      <c r="X23" s="33" t="str">
        <f>VLOOKUP(A23, 'Session Data'!A:AA,12,false)</f>
        <v>Deutsch or Mexicana: German Investment and Identity in Mexico during the Porfiriato</v>
      </c>
      <c r="Y23" s="34" t="str">
        <f>VLOOKUP(A23, 'Session Data'!A:AA,22,false)</f>
        <v>Ramona</v>
      </c>
      <c r="Z23" s="34" t="str">
        <f>VLOOKUP(A23, 'Session Data'!A:AA,23,false)</f>
        <v>Perez</v>
      </c>
      <c r="AA23" s="34" t="str">
        <f>VLOOKUP(A23, 'Session Data'!A:AA,25,false)</f>
        <v>Arts and Letters</v>
      </c>
      <c r="AB23" s="34" t="str">
        <f>VLOOKUP(A23, 'Session Data'!A:AA,24,false)</f>
        <v>perez@sdsu.edu</v>
      </c>
      <c r="AC23" s="34" t="str">
        <f>VLOOKUP(A23, 'Session Data'!A:AA,16,false)</f>
        <v/>
      </c>
      <c r="AD23" s="35" t="str">
        <f>VLOOKUP(A23, 'Session Data'!A:U,17,false)</f>
        <v/>
      </c>
      <c r="AE23" s="35" t="str">
        <f>VLOOKUP(A23, 'Session Data'!A:U,18,false)</f>
        <v/>
      </c>
      <c r="AF23" s="35" t="str">
        <f>VLOOKUP(A23, 'Session Data'!A:U,19,false)</f>
        <v/>
      </c>
      <c r="AG23" s="35" t="str">
        <f>VLOOKUP(A23, 'Session Data'!A:U,20,false)</f>
        <v/>
      </c>
      <c r="AH23" s="35" t="str">
        <f>VLOOKUP(A23, 'Session Data'!A:U,21,false)</f>
        <v/>
      </c>
      <c r="AI23" s="36"/>
      <c r="AJ23" s="38"/>
      <c r="AK23" s="38"/>
      <c r="AL23" s="39"/>
      <c r="AM23" s="34" t="str">
        <f>VLOOKUP(A23, 'Session Data'!A:AA,10,false)</f>
        <v>aavalos6754@sdsu.edu</v>
      </c>
      <c r="AN23" s="40"/>
      <c r="AO23" s="38"/>
      <c r="AP23" s="38"/>
      <c r="AQ23" s="38"/>
      <c r="AR23" s="38"/>
      <c r="AS23" s="38"/>
      <c r="AT23" s="38"/>
      <c r="AU23" s="38"/>
      <c r="AV23" s="38"/>
      <c r="AW23" s="38"/>
      <c r="AX23" s="38"/>
      <c r="AY23" s="43"/>
      <c r="AZ23" s="43"/>
      <c r="BA23" s="48"/>
      <c r="BB23" s="48"/>
      <c r="BC23" s="43"/>
      <c r="BD23" s="43"/>
      <c r="BE23" s="44"/>
      <c r="BF23" s="45"/>
      <c r="BG23" s="43"/>
    </row>
    <row r="24">
      <c r="A24" s="19" t="s">
        <v>83</v>
      </c>
      <c r="B24" s="20">
        <f>VLOOKUP(F24,'Session Count DO NOT EDIT'!$A:$C,3,FALSE)</f>
        <v>5</v>
      </c>
      <c r="C24" s="20">
        <f>COUNTIFS('Scores Import DO NOT EDIT'!D:D,A24)</f>
        <v>4</v>
      </c>
      <c r="D24" s="21">
        <f t="shared" si="1"/>
        <v>0.8</v>
      </c>
      <c r="E24" s="22">
        <f>AVERAGEIFS('Scores Import DO NOT EDIT'!L:L,'Scores Import DO NOT EDIT'!D:D,A24)</f>
        <v>23</v>
      </c>
      <c r="F24" s="23" t="str">
        <f>VLOOKUP(A24, 'Session Data'!A:M,3,false)</f>
        <v>A-4</v>
      </c>
      <c r="G24" s="24" t="str">
        <f>VLOOKUP(A24, 'Session Data'!A:I,2,false)</f>
        <v>9:00 AM</v>
      </c>
      <c r="H24" s="23" t="str">
        <f>VLOOKUP(A24, 'Session Data'!A:J,5,false)</f>
        <v>Behavioral and Social Sciences 2</v>
      </c>
      <c r="I24" s="25" t="str">
        <f>VLOOKUP(A24, 'Session Data'!A:H,4,false)</f>
        <v>Oral </v>
      </c>
      <c r="J24" s="26" t="str">
        <f>VLOOKUP(A24, 'Session Data'!A:AA,14,false)</f>
        <v>Doctoral</v>
      </c>
      <c r="K24" s="27" t="str">
        <f>VLOOKUP(A24, 'Session Data'!A:AA,15,false)</f>
        <v>Sciences</v>
      </c>
      <c r="L24" s="47"/>
      <c r="M24" s="29" t="str">
        <f>VLOOKUP(A24, 'Session Data'!A:K,11,false)</f>
        <v>Doctorate in Clinical Psychology</v>
      </c>
      <c r="N24" s="26" t="str">
        <f>IF(ISNA(VLOOKUP(A24, 'Award Abstract#'!C:C, 1, FALSE)), "No", "Yes")
</f>
        <v>Yes</v>
      </c>
      <c r="O24" s="29" t="str">
        <f>IF(ISNA(VLOOKUP(A24,'Award Abstract#'!B:B,1,FALSE)), "No", "Yes")</f>
        <v>Yes</v>
      </c>
      <c r="P24" s="29" t="str">
        <f>IF(ISNA(VLOOKUP(A24,'Award Abstract#'!E:E,1,FALSE)), "No", "Yes")</f>
        <v>No</v>
      </c>
      <c r="Q24" s="29" t="str">
        <f>IF(ISNA(VLOOKUP(A24,'Award Abstract#'!A:A,1,FALSE)), "No", "Yes")</f>
        <v>No</v>
      </c>
      <c r="R24" s="29" t="str">
        <f>IF(ISNA(VLOOKUP(A24,'Award Abstract#'!D:D,1,FALSE)), "No", "Yes")</f>
        <v>Yes</v>
      </c>
      <c r="S24" s="30" t="str">
        <f>VLOOKUP(A24, 'Session Data'!A:AA,27,false)</f>
        <v>Woman</v>
      </c>
      <c r="T24" s="30"/>
      <c r="U24" s="30"/>
      <c r="V24" s="31" t="str">
        <f>VLOOKUP(A24, 'Session Data'!A:AA,8,false)</f>
        <v>Jackelyne</v>
      </c>
      <c r="W24" s="32" t="str">
        <f>VLOOKUP(A24, 'Session Data'!A:AA,9,false)</f>
        <v>Garcia</v>
      </c>
      <c r="X24" s="33" t="str">
        <f>VLOOKUP(A24, 'Session Data'!A:AA,12,false)</f>
        <v>Bridging Gaps in Physical Activity Promotion: Adapting Faith in Action for Rural Latinas Using the IM-Adapt Framework</v>
      </c>
      <c r="Y24" s="34" t="str">
        <f>VLOOKUP(A24, 'Session Data'!A:AA,22,false)</f>
        <v>Elva</v>
      </c>
      <c r="Z24" s="34" t="str">
        <f>VLOOKUP(A24, 'Session Data'!A:AA,23,false)</f>
        <v>Arredondo</v>
      </c>
      <c r="AA24" s="34" t="str">
        <f>VLOOKUP(A24, 'Session Data'!A:AA,25,false)</f>
        <v>Sciences</v>
      </c>
      <c r="AB24" s="34"/>
      <c r="AC24" s="34" t="str">
        <f>VLOOKUP(A24, 'Session Data'!A:AA,16,false)</f>
        <v/>
      </c>
      <c r="AD24" s="35" t="str">
        <f>VLOOKUP(A24, 'Session Data'!A:U,17,false)</f>
        <v/>
      </c>
      <c r="AE24" s="35" t="str">
        <f>VLOOKUP(A24, 'Session Data'!A:U,18,false)</f>
        <v/>
      </c>
      <c r="AF24" s="35" t="str">
        <f>VLOOKUP(A24, 'Session Data'!A:U,19,false)</f>
        <v/>
      </c>
      <c r="AG24" s="35" t="str">
        <f>VLOOKUP(A24, 'Session Data'!A:U,20,false)</f>
        <v/>
      </c>
      <c r="AH24" s="35" t="str">
        <f>VLOOKUP(A24, 'Session Data'!A:U,21,false)</f>
        <v/>
      </c>
      <c r="AI24" s="37"/>
      <c r="AJ24" s="37"/>
      <c r="AK24" s="37"/>
      <c r="AL24" s="50"/>
      <c r="AM24" s="34" t="str">
        <f>VLOOKUP(A24, 'Session Data'!A:AA,10,false)</f>
        <v>jzgarcia@sdsu.edu</v>
      </c>
      <c r="AN24" s="40"/>
      <c r="AO24" s="38"/>
      <c r="AP24" s="38"/>
      <c r="AQ24" s="38"/>
      <c r="AR24" s="38"/>
      <c r="AS24" s="38"/>
      <c r="AT24" s="38"/>
      <c r="AU24" s="38"/>
      <c r="AV24" s="38"/>
      <c r="AW24" s="38"/>
      <c r="AX24" s="38"/>
      <c r="AY24" s="43"/>
      <c r="AZ24" s="43"/>
      <c r="BA24" s="48"/>
      <c r="BB24" s="48"/>
      <c r="BC24" s="43"/>
      <c r="BD24" s="43"/>
      <c r="BE24" s="44"/>
      <c r="BF24" s="45"/>
      <c r="BG24" s="43"/>
    </row>
    <row r="25">
      <c r="A25" s="19" t="s">
        <v>84</v>
      </c>
      <c r="B25" s="20">
        <f>VLOOKUP(F25,'Session Count DO NOT EDIT'!$A:$C,3,FALSE)</f>
        <v>5</v>
      </c>
      <c r="C25" s="20">
        <f>COUNTIFS('Scores Import DO NOT EDIT'!D:D,A25)</f>
        <v>4</v>
      </c>
      <c r="D25" s="21">
        <f t="shared" si="1"/>
        <v>0.8</v>
      </c>
      <c r="E25" s="22">
        <f>AVERAGEIFS('Scores Import DO NOT EDIT'!L:L,'Scores Import DO NOT EDIT'!D:D,A25)</f>
        <v>28.25</v>
      </c>
      <c r="F25" s="23" t="str">
        <f>VLOOKUP(A25, 'Session Data'!A:M,3,false)</f>
        <v>A-4</v>
      </c>
      <c r="G25" s="24" t="str">
        <f>VLOOKUP(A25, 'Session Data'!A:I,2,false)</f>
        <v>9:00 AM</v>
      </c>
      <c r="H25" s="23" t="str">
        <f>VLOOKUP(A25, 'Session Data'!A:J,5,false)</f>
        <v>Behavioral and Social Sciences 2</v>
      </c>
      <c r="I25" s="25" t="str">
        <f>VLOOKUP(A25, 'Session Data'!A:H,4,false)</f>
        <v>Oral </v>
      </c>
      <c r="J25" s="26" t="str">
        <f>VLOOKUP(A25, 'Session Data'!A:AA,14,false)</f>
        <v>Doctoral</v>
      </c>
      <c r="K25" s="27" t="str">
        <f>VLOOKUP(A25, 'Session Data'!A:AA,15,false)</f>
        <v>Health and Human Services</v>
      </c>
      <c r="L25" s="28"/>
      <c r="M25" s="29" t="str">
        <f>VLOOKUP(A25, 'Session Data'!A:K,11,false)</f>
        <v>Joint Doctoral Program in Public Health - Health Behavior Concentration</v>
      </c>
      <c r="N25" s="26" t="str">
        <f>IF(ISNA(VLOOKUP(A25, 'Award Abstract#'!C:C, 1, FALSE)), "No", "Yes")
</f>
        <v>No</v>
      </c>
      <c r="O25" s="29" t="str">
        <f>IF(ISNA(VLOOKUP(A25,'Award Abstract#'!B:B,1,FALSE)), "No", "Yes")</f>
        <v>No</v>
      </c>
      <c r="P25" s="29" t="str">
        <f>IF(ISNA(VLOOKUP(A25,'Award Abstract#'!E:E,1,FALSE)), "No", "Yes")</f>
        <v>No</v>
      </c>
      <c r="Q25" s="29" t="str">
        <f>IF(ISNA(VLOOKUP(A25,'Award Abstract#'!A:A,1,FALSE)), "No", "Yes")</f>
        <v>No</v>
      </c>
      <c r="R25" s="29" t="str">
        <f>IF(ISNA(VLOOKUP(A25,'Award Abstract#'!D:D,1,FALSE)), "No", "Yes")</f>
        <v>No</v>
      </c>
      <c r="S25" s="30" t="str">
        <f>VLOOKUP(A25, 'Session Data'!A:AA,27,false)</f>
        <v>Transgender, Non-binary/non-conforming</v>
      </c>
      <c r="T25" s="30"/>
      <c r="U25" s="30"/>
      <c r="V25" s="31" t="str">
        <f>VLOOKUP(A25, 'Session Data'!A:AA,8,false)</f>
        <v>Andrew</v>
      </c>
      <c r="W25" s="32" t="str">
        <f>VLOOKUP(A25, 'Session Data'!A:AA,9,false)</f>
        <v>Lim</v>
      </c>
      <c r="X25" s="33" t="str">
        <f>VLOOKUP(A25, 'Session Data'!A:AA,12,false)</f>
        <v>Puff Break: Protocol for Adapting Ecological Momentary Assessment Methods to Measure Factors Associated with Tobacco, Nicotine, and Cannabis Use among LGBTQ+ Adolescents in California</v>
      </c>
      <c r="Y25" s="34" t="str">
        <f>VLOOKUP(A25, 'Session Data'!A:AA,22,false)</f>
        <v>Jerel</v>
      </c>
      <c r="Z25" s="34" t="str">
        <f>VLOOKUP(A25, 'Session Data'!A:AA,23,false)</f>
        <v>Calzo</v>
      </c>
      <c r="AA25" s="34" t="str">
        <f>VLOOKUP(A25, 'Session Data'!A:AA,25,false)</f>
        <v>Health and Human Services</v>
      </c>
      <c r="AB25" s="34" t="str">
        <f>VLOOKUP(A25, 'Session Data'!A:AA,24,false)</f>
        <v>jcalzo@sdsu.edu</v>
      </c>
      <c r="AC25" s="34" t="str">
        <f>VLOOKUP(A25, 'Session Data'!A:AA,16,false)</f>
        <v/>
      </c>
      <c r="AD25" s="35" t="str">
        <f>VLOOKUP(A25, 'Session Data'!A:U,17,false)</f>
        <v/>
      </c>
      <c r="AE25" s="35" t="str">
        <f>VLOOKUP(A25, 'Session Data'!A:U,18,false)</f>
        <v/>
      </c>
      <c r="AF25" s="35" t="str">
        <f>VLOOKUP(A25, 'Session Data'!A:U,19,false)</f>
        <v/>
      </c>
      <c r="AG25" s="35" t="str">
        <f>VLOOKUP(A25, 'Session Data'!A:U,20,false)</f>
        <v/>
      </c>
      <c r="AH25" s="35" t="str">
        <f>VLOOKUP(A25, 'Session Data'!A:U,21,false)</f>
        <v/>
      </c>
      <c r="AI25" s="37"/>
      <c r="AJ25" s="37"/>
      <c r="AK25" s="37"/>
      <c r="AL25" s="50"/>
      <c r="AM25" s="34" t="str">
        <f>VLOOKUP(A25, 'Session Data'!A:AA,10,false)</f>
        <v>alim8234@sdsu.edu</v>
      </c>
      <c r="AN25" s="40"/>
      <c r="AO25" s="38"/>
      <c r="AP25" s="38"/>
      <c r="AQ25" s="38"/>
      <c r="AR25" s="38"/>
      <c r="AS25" s="38"/>
      <c r="AT25" s="38"/>
      <c r="AU25" s="38"/>
      <c r="AV25" s="38"/>
      <c r="AW25" s="38"/>
      <c r="AX25" s="38"/>
      <c r="AY25" s="43"/>
      <c r="AZ25" s="43"/>
      <c r="BA25" s="43"/>
      <c r="BB25" s="43"/>
      <c r="BC25" s="43"/>
      <c r="BD25" s="43"/>
      <c r="BE25" s="44"/>
      <c r="BF25" s="45"/>
      <c r="BG25" s="46"/>
    </row>
    <row r="26">
      <c r="A26" s="19" t="s">
        <v>85</v>
      </c>
      <c r="B26" s="20">
        <f>VLOOKUP(F26,'Session Count DO NOT EDIT'!$A:$C,3,FALSE)</f>
        <v>5</v>
      </c>
      <c r="C26" s="20">
        <f>COUNTIFS('Scores Import DO NOT EDIT'!D:D,A26)</f>
        <v>4</v>
      </c>
      <c r="D26" s="21">
        <f t="shared" si="1"/>
        <v>0.8</v>
      </c>
      <c r="E26" s="22">
        <f>AVERAGEIFS('Scores Import DO NOT EDIT'!L:L,'Scores Import DO NOT EDIT'!D:D,A26)</f>
        <v>27.25</v>
      </c>
      <c r="F26" s="23" t="str">
        <f>VLOOKUP(A26, 'Session Data'!A:M,3,false)</f>
        <v>A-4</v>
      </c>
      <c r="G26" s="24" t="str">
        <f>VLOOKUP(A26, 'Session Data'!A:I,2,false)</f>
        <v>9:00 AM</v>
      </c>
      <c r="H26" s="23" t="str">
        <f>VLOOKUP(A26, 'Session Data'!A:J,5,false)</f>
        <v>Behavioral and Social Sciences 2</v>
      </c>
      <c r="I26" s="25" t="str">
        <f>VLOOKUP(A26, 'Session Data'!A:H,4,false)</f>
        <v>Oral </v>
      </c>
      <c r="J26" s="26" t="str">
        <f>VLOOKUP(A26, 'Session Data'!A:AA,14,false)</f>
        <v>Doctoral</v>
      </c>
      <c r="K26" s="27" t="str">
        <f>VLOOKUP(A26, 'Session Data'!A:AA,15,false)</f>
        <v>Health and Human Services</v>
      </c>
      <c r="L26" s="49"/>
      <c r="M26" s="29" t="str">
        <f>VLOOKUP(A26, 'Session Data'!A:K,11,false)</f>
        <v>Doctorate in Public Health - Health Behavior</v>
      </c>
      <c r="N26" s="26" t="str">
        <f>IF(ISNA(VLOOKUP(A26, 'Award Abstract#'!C:C, 1, FALSE)), "No", "Yes")
</f>
        <v>No</v>
      </c>
      <c r="O26" s="29" t="str">
        <f>IF(ISNA(VLOOKUP(A26,'Award Abstract#'!B:B,1,FALSE)), "No", "Yes")</f>
        <v>No</v>
      </c>
      <c r="P26" s="29" t="str">
        <f>IF(ISNA(VLOOKUP(A26,'Award Abstract#'!E:E,1,FALSE)), "No", "Yes")</f>
        <v>No</v>
      </c>
      <c r="Q26" s="29" t="str">
        <f>IF(ISNA(VLOOKUP(A26,'Award Abstract#'!A:A,1,FALSE)), "No", "Yes")</f>
        <v>No</v>
      </c>
      <c r="R26" s="29" t="str">
        <f>IF(ISNA(VLOOKUP(A26,'Award Abstract#'!D:D,1,FALSE)), "No", "Yes")</f>
        <v>Yes</v>
      </c>
      <c r="S26" s="30" t="str">
        <f>VLOOKUP(A26, 'Session Data'!A:AA,27,false)</f>
        <v>Woman</v>
      </c>
      <c r="T26" s="30"/>
      <c r="U26" s="30"/>
      <c r="V26" s="31" t="str">
        <f>VLOOKUP(A26, 'Session Data'!A:AA,8,false)</f>
        <v>Patricia </v>
      </c>
      <c r="W26" s="32" t="str">
        <f>VLOOKUP(A26, 'Session Data'!A:AA,9,false)</f>
        <v>Dionicio</v>
      </c>
      <c r="X26" s="33" t="str">
        <f>VLOOKUP(A26, 'Session Data'!A:AA,12,false)</f>
        <v>Exploring Multilevel Factors that Influence Physical Activity Among Latinos with Chronic Spine Pain</v>
      </c>
      <c r="Y26" s="34" t="str">
        <f>VLOOKUP(A26, 'Session Data'!A:AA,22,false)</f>
        <v>Sara</v>
      </c>
      <c r="Z26" s="34" t="str">
        <f>VLOOKUP(A26, 'Session Data'!A:AA,23,false)</f>
        <v>Gombatto</v>
      </c>
      <c r="AA26" s="34" t="str">
        <f>VLOOKUP(A26, 'Session Data'!A:AA,25,false)</f>
        <v>Health and Human Services</v>
      </c>
      <c r="AB26" s="34" t="str">
        <f>VLOOKUP(A26, 'Session Data'!A:AA,24,false)</f>
        <v>sgombatto@sdsu.edu</v>
      </c>
      <c r="AC26" s="34" t="str">
        <f>VLOOKUP(A26, 'Session Data'!A:AA,16,false)</f>
        <v>Patricia</v>
      </c>
      <c r="AD26" s="35" t="str">
        <f>VLOOKUP(A26, 'Session Data'!A:U,17,false)</f>
        <v>Dionicio</v>
      </c>
      <c r="AE26" s="35" t="str">
        <f>VLOOKUP(A26, 'Session Data'!A:U,18,false)</f>
        <v>Azael</v>
      </c>
      <c r="AF26" s="35" t="str">
        <f>VLOOKUP(A26, 'Session Data'!A:U,19,false)</f>
        <v>De La Torre</v>
      </c>
      <c r="AG26" s="35" t="str">
        <f>VLOOKUP(A26, 'Session Data'!A:U,20,false)</f>
        <v/>
      </c>
      <c r="AH26" s="35" t="str">
        <f>VLOOKUP(A26, 'Session Data'!A:U,21,false)</f>
        <v/>
      </c>
      <c r="AI26" s="37"/>
      <c r="AJ26" s="37"/>
      <c r="AK26" s="37"/>
      <c r="AL26" s="50"/>
      <c r="AM26" s="34" t="str">
        <f>VLOOKUP(A26, 'Session Data'!A:AA,10,false)</f>
        <v>pdionicio8044@sdsu.edu</v>
      </c>
      <c r="AN26" s="40"/>
      <c r="AO26" s="38"/>
      <c r="AP26" s="38"/>
      <c r="AQ26" s="38"/>
      <c r="AR26" s="38"/>
      <c r="AS26" s="38"/>
      <c r="AT26" s="38"/>
      <c r="AU26" s="38"/>
      <c r="AV26" s="38"/>
      <c r="AW26" s="38"/>
      <c r="AX26" s="38"/>
      <c r="AY26" s="43"/>
      <c r="AZ26" s="43"/>
      <c r="BA26" s="48"/>
      <c r="BB26" s="48"/>
      <c r="BC26" s="43"/>
      <c r="BD26" s="43"/>
      <c r="BE26" s="44"/>
      <c r="BF26" s="45"/>
      <c r="BG26" s="43"/>
    </row>
    <row r="27" ht="13.5" customHeight="1">
      <c r="A27" s="19" t="s">
        <v>86</v>
      </c>
      <c r="B27" s="20">
        <f>VLOOKUP(F27,'Session Count DO NOT EDIT'!$A:$C,3,FALSE)</f>
        <v>5</v>
      </c>
      <c r="C27" s="20">
        <f>COUNTIFS('Scores Import DO NOT EDIT'!D:D,A27)</f>
        <v>4</v>
      </c>
      <c r="D27" s="21">
        <f t="shared" si="1"/>
        <v>0.8</v>
      </c>
      <c r="E27" s="22">
        <f>AVERAGEIFS('Scores Import DO NOT EDIT'!L:L,'Scores Import DO NOT EDIT'!D:D,A27)</f>
        <v>26</v>
      </c>
      <c r="F27" s="23" t="str">
        <f>VLOOKUP(A27, 'Session Data'!A:M,3,false)</f>
        <v>A-4</v>
      </c>
      <c r="G27" s="24" t="str">
        <f>VLOOKUP(A27, 'Session Data'!A:I,2,false)</f>
        <v>9:00 AM</v>
      </c>
      <c r="H27" s="23" t="str">
        <f>VLOOKUP(A27, 'Session Data'!A:J,5,false)</f>
        <v>Behavioral and Social Sciences 2</v>
      </c>
      <c r="I27" s="25" t="str">
        <f>VLOOKUP(A27, 'Session Data'!A:H,4,false)</f>
        <v>Oral </v>
      </c>
      <c r="J27" s="26" t="str">
        <f>VLOOKUP(A27, 'Session Data'!A:AA,14,false)</f>
        <v>Master's</v>
      </c>
      <c r="K27" s="27" t="str">
        <f>VLOOKUP(A27, 'Session Data'!A:AA,15,false)</f>
        <v>Arts and Letters</v>
      </c>
      <c r="L27" s="47"/>
      <c r="M27" s="29" t="str">
        <f>VLOOKUP(A27, 'Session Data'!A:K,11,false)</f>
        <v>Masters of Arts in Sociology</v>
      </c>
      <c r="N27" s="26" t="str">
        <f>IF(ISNA(VLOOKUP(A27, 'Award Abstract#'!C:C, 1, FALSE)), "No", "Yes")
</f>
        <v>No</v>
      </c>
      <c r="O27" s="29" t="str">
        <f>IF(ISNA(VLOOKUP(A27,'Award Abstract#'!B:B,1,FALSE)), "No", "Yes")</f>
        <v>No</v>
      </c>
      <c r="P27" s="29" t="str">
        <f>IF(ISNA(VLOOKUP(A27,'Award Abstract#'!E:E,1,FALSE)), "No", "Yes")</f>
        <v>No</v>
      </c>
      <c r="Q27" s="29" t="str">
        <f>IF(ISNA(VLOOKUP(A27,'Award Abstract#'!A:A,1,FALSE)), "No", "Yes")</f>
        <v>No</v>
      </c>
      <c r="R27" s="29" t="str">
        <f>IF(ISNA(VLOOKUP(A27,'Award Abstract#'!D:D,1,FALSE)), "No", "Yes")</f>
        <v>No</v>
      </c>
      <c r="S27" s="30" t="str">
        <f>VLOOKUP(A27, 'Session Data'!A:AA,27,false)</f>
        <v>Woman</v>
      </c>
      <c r="T27" s="30"/>
      <c r="U27" s="30"/>
      <c r="V27" s="31" t="str">
        <f>VLOOKUP(A27, 'Session Data'!A:AA,8,false)</f>
        <v>Nicolé</v>
      </c>
      <c r="W27" s="32" t="str">
        <f>VLOOKUP(A27, 'Session Data'!A:AA,9,false)</f>
        <v>Mendoza</v>
      </c>
      <c r="X27" s="33" t="str">
        <f>VLOOKUP(A27, 'Session Data'!A:AA,12,false)</f>
        <v>Exploring Coparenting Strain and Outcomes </v>
      </c>
      <c r="Y27" s="34" t="str">
        <f>VLOOKUP(A27, 'Session Data'!A:AA,22,false)</f>
        <v>Audrey</v>
      </c>
      <c r="Z27" s="34" t="str">
        <f>VLOOKUP(A27, 'Session Data'!A:AA,23,false)</f>
        <v>Beck</v>
      </c>
      <c r="AA27" s="34" t="str">
        <f>VLOOKUP(A27, 'Session Data'!A:AA,25,false)</f>
        <v>Arts and Letters</v>
      </c>
      <c r="AB27" s="34" t="str">
        <f>VLOOKUP(A27, 'Session Data'!A:AA,24,false)</f>
        <v>abeck@sdsu.edu</v>
      </c>
      <c r="AC27" s="34" t="str">
        <f>VLOOKUP(A27, 'Session Data'!A:AA,16,false)</f>
        <v/>
      </c>
      <c r="AD27" s="35" t="str">
        <f>VLOOKUP(A27, 'Session Data'!A:U,17,false)</f>
        <v/>
      </c>
      <c r="AE27" s="35" t="str">
        <f>VLOOKUP(A27, 'Session Data'!A:U,18,false)</f>
        <v/>
      </c>
      <c r="AF27" s="35" t="str">
        <f>VLOOKUP(A27, 'Session Data'!A:U,19,false)</f>
        <v/>
      </c>
      <c r="AG27" s="35" t="str">
        <f>VLOOKUP(A27, 'Session Data'!A:U,20,false)</f>
        <v/>
      </c>
      <c r="AH27" s="35" t="str">
        <f>VLOOKUP(A27, 'Session Data'!A:U,21,false)</f>
        <v/>
      </c>
      <c r="AI27" s="37"/>
      <c r="AJ27" s="37"/>
      <c r="AK27" s="37"/>
      <c r="AL27" s="50"/>
      <c r="AM27" s="34" t="str">
        <f>VLOOKUP(A27, 'Session Data'!A:AA,10,false)</f>
        <v>nmendoza4852@sdsu.edu</v>
      </c>
      <c r="AN27" s="40"/>
      <c r="AO27" s="38"/>
      <c r="AP27" s="38"/>
      <c r="AQ27" s="38"/>
      <c r="AR27" s="38"/>
      <c r="AS27" s="38"/>
      <c r="AT27" s="38"/>
      <c r="AU27" s="38"/>
      <c r="AV27" s="38"/>
      <c r="AW27" s="38"/>
      <c r="AX27" s="38"/>
      <c r="AY27" s="43"/>
      <c r="AZ27" s="43"/>
      <c r="BA27" s="48"/>
      <c r="BB27" s="48"/>
      <c r="BC27" s="43"/>
      <c r="BD27" s="43"/>
      <c r="BE27" s="44"/>
      <c r="BF27" s="45"/>
      <c r="BG27" s="43"/>
    </row>
    <row r="28">
      <c r="A28" s="19" t="s">
        <v>87</v>
      </c>
      <c r="B28" s="20">
        <f>VLOOKUP(F28,'Session Count DO NOT EDIT'!$A:$C,3,FALSE)</f>
        <v>5</v>
      </c>
      <c r="C28" s="20">
        <f>COUNTIFS('Scores Import DO NOT EDIT'!D:D,A28)</f>
        <v>4</v>
      </c>
      <c r="D28" s="21">
        <f t="shared" si="1"/>
        <v>0.8</v>
      </c>
      <c r="E28" s="22">
        <f>AVERAGEIFS('Scores Import DO NOT EDIT'!L:L,'Scores Import DO NOT EDIT'!D:D,A28)</f>
        <v>25</v>
      </c>
      <c r="F28" s="23" t="str">
        <f>VLOOKUP(A28, 'Session Data'!A:M,3,false)</f>
        <v>A-4</v>
      </c>
      <c r="G28" s="24" t="str">
        <f>VLOOKUP(A28, 'Session Data'!A:I,2,false)</f>
        <v>9:00 AM</v>
      </c>
      <c r="H28" s="23" t="str">
        <f>VLOOKUP(A28, 'Session Data'!A:J,5,false)</f>
        <v>Behavioral and Social Sciences 2</v>
      </c>
      <c r="I28" s="25" t="str">
        <f>VLOOKUP(A28, 'Session Data'!A:H,4,false)</f>
        <v>Oral </v>
      </c>
      <c r="J28" s="26" t="str">
        <f>VLOOKUP(A28, 'Session Data'!A:AA,14,false)</f>
        <v>Master's</v>
      </c>
      <c r="K28" s="27" t="str">
        <f>VLOOKUP(A28, 'Session Data'!A:AA,15,false)</f>
        <v>Arts and Letters</v>
      </c>
      <c r="L28" s="47"/>
      <c r="M28" s="29" t="str">
        <f>VLOOKUP(A28, 'Session Data'!A:K,11,false)</f>
        <v>Masters of Arts in Sociology </v>
      </c>
      <c r="N28" s="26" t="str">
        <f>IF(ISNA(VLOOKUP(A28, 'Award Abstract#'!C:C, 1, FALSE)), "No", "Yes")
</f>
        <v>No</v>
      </c>
      <c r="O28" s="29" t="str">
        <f>IF(ISNA(VLOOKUP(A28,'Award Abstract#'!B:B,1,FALSE)), "No", "Yes")</f>
        <v>No</v>
      </c>
      <c r="P28" s="29" t="str">
        <f>IF(ISNA(VLOOKUP(A28,'Award Abstract#'!E:E,1,FALSE)), "No", "Yes")</f>
        <v>No</v>
      </c>
      <c r="Q28" s="29" t="str">
        <f>IF(ISNA(VLOOKUP(A28,'Award Abstract#'!A:A,1,FALSE)), "No", "Yes")</f>
        <v>No</v>
      </c>
      <c r="R28" s="29" t="str">
        <f>IF(ISNA(VLOOKUP(A28,'Award Abstract#'!D:D,1,FALSE)), "No", "Yes")</f>
        <v>Yes</v>
      </c>
      <c r="S28" s="30" t="str">
        <f>VLOOKUP(A28, 'Session Data'!A:AA,27,false)</f>
        <v>Woman</v>
      </c>
      <c r="T28" s="30"/>
      <c r="U28" s="30"/>
      <c r="V28" s="31" t="str">
        <f>VLOOKUP(A28, 'Session Data'!A:AA,8,false)</f>
        <v>Sara</v>
      </c>
      <c r="W28" s="32" t="str">
        <f>VLOOKUP(A28, 'Session Data'!A:AA,9,false)</f>
        <v>Liaquat</v>
      </c>
      <c r="X28" s="33" t="str">
        <f>VLOOKUP(A28, 'Session Data'!A:AA,12,false)</f>
        <v>Intersectional Disparities in Breast Cancer Screening Mammographies in racial and gender minorities in the US before and during the COVID-19 pandemic. </v>
      </c>
      <c r="Y28" s="34" t="str">
        <f>VLOOKUP(A28, 'Session Data'!A:AA,22,false)</f>
        <v>Dr. Audrey</v>
      </c>
      <c r="Z28" s="34" t="str">
        <f>VLOOKUP(A28, 'Session Data'!A:AA,23,false)</f>
        <v>Beck</v>
      </c>
      <c r="AA28" s="34" t="str">
        <f>VLOOKUP(A28, 'Session Data'!A:AA,25,false)</f>
        <v>Arts and Letters</v>
      </c>
      <c r="AB28" s="34" t="str">
        <f>VLOOKUP(A28, 'Session Data'!A:AA,24,false)</f>
        <v>abeck@sdsu.edu</v>
      </c>
      <c r="AC28" s="34" t="str">
        <f>VLOOKUP(A28, 'Session Data'!A:AA,16,false)</f>
        <v/>
      </c>
      <c r="AD28" s="35" t="str">
        <f>VLOOKUP(A28, 'Session Data'!A:U,17,false)</f>
        <v/>
      </c>
      <c r="AE28" s="35" t="str">
        <f>VLOOKUP(A28, 'Session Data'!A:U,18,false)</f>
        <v/>
      </c>
      <c r="AF28" s="35" t="str">
        <f>VLOOKUP(A28, 'Session Data'!A:U,19,false)</f>
        <v/>
      </c>
      <c r="AG28" s="35" t="str">
        <f>VLOOKUP(A28, 'Session Data'!A:U,20,false)</f>
        <v/>
      </c>
      <c r="AH28" s="35" t="str">
        <f>VLOOKUP(A28, 'Session Data'!A:U,21,false)</f>
        <v/>
      </c>
      <c r="AI28" s="37"/>
      <c r="AJ28" s="37"/>
      <c r="AK28" s="37"/>
      <c r="AL28" s="50"/>
      <c r="AM28" s="34" t="str">
        <f>VLOOKUP(A28, 'Session Data'!A:AA,10,false)</f>
        <v>sliaquat0925@sdsu.edu</v>
      </c>
      <c r="AN28" s="40"/>
      <c r="AO28" s="38"/>
      <c r="AP28" s="38"/>
      <c r="AQ28" s="38"/>
      <c r="AR28" s="38"/>
      <c r="AS28" s="38"/>
      <c r="AT28" s="38"/>
      <c r="AU28" s="38"/>
      <c r="AV28" s="38"/>
      <c r="AW28" s="38"/>
      <c r="AX28" s="38"/>
      <c r="AY28" s="43"/>
      <c r="AZ28" s="43"/>
      <c r="BA28" s="48"/>
      <c r="BB28" s="48"/>
      <c r="BC28" s="43"/>
      <c r="BD28" s="43"/>
      <c r="BE28" s="44"/>
      <c r="BF28" s="45"/>
      <c r="BG28" s="43"/>
    </row>
    <row r="29">
      <c r="A29" s="19" t="s">
        <v>88</v>
      </c>
      <c r="B29" s="20">
        <f>VLOOKUP(F29,'Session Count DO NOT EDIT'!$A:$C,3,FALSE)</f>
        <v>3</v>
      </c>
      <c r="C29" s="20">
        <f>COUNTIFS('Scores Import DO NOT EDIT'!D:D,A29)</f>
        <v>3</v>
      </c>
      <c r="D29" s="21">
        <f t="shared" si="1"/>
        <v>1</v>
      </c>
      <c r="E29" s="22">
        <f>AVERAGEIFS('Scores Import DO NOT EDIT'!L:L,'Scores Import DO NOT EDIT'!D:D,A29)</f>
        <v>30.33333333</v>
      </c>
      <c r="F29" s="23" t="str">
        <f>VLOOKUP(A29, 'Session Data'!A:M,3,false)</f>
        <v>A-5</v>
      </c>
      <c r="G29" s="24" t="str">
        <f>VLOOKUP(A29, 'Session Data'!A:I,2,false)</f>
        <v>9:00 AM</v>
      </c>
      <c r="H29" s="23" t="str">
        <f>VLOOKUP(A29, 'Session Data'!A:J,5,false)</f>
        <v>Biological and Agricultural Sciences</v>
      </c>
      <c r="I29" s="25" t="str">
        <f>VLOOKUP(A29, 'Session Data'!A:H,4,false)</f>
        <v>Oral </v>
      </c>
      <c r="J29" s="26" t="str">
        <f>VLOOKUP(A29, 'Session Data'!A:AA,14,false)</f>
        <v>Doctoral</v>
      </c>
      <c r="K29" s="27" t="str">
        <f>VLOOKUP(A29, 'Session Data'!A:AA,15,false)</f>
        <v>Sciences</v>
      </c>
      <c r="L29" s="28"/>
      <c r="M29" s="29" t="str">
        <f>VLOOKUP(A29, 'Session Data'!A:K,11,false)</f>
        <v>PhD/ Cell and Molecular Biology</v>
      </c>
      <c r="N29" s="26" t="str">
        <f>IF(ISNA(VLOOKUP(A29, 'Award Abstract#'!C:C, 1, FALSE)), "No", "Yes")
</f>
        <v>No</v>
      </c>
      <c r="O29" s="29" t="str">
        <f>IF(ISNA(VLOOKUP(A29,'Award Abstract#'!B:B,1,FALSE)), "No", "Yes")</f>
        <v>Yes</v>
      </c>
      <c r="P29" s="29" t="str">
        <f>IF(ISNA(VLOOKUP(A29,'Award Abstract#'!E:E,1,FALSE)), "No", "Yes")</f>
        <v>No</v>
      </c>
      <c r="Q29" s="29" t="str">
        <f>IF(ISNA(VLOOKUP(A29,'Award Abstract#'!A:A,1,FALSE)), "No", "Yes")</f>
        <v>No</v>
      </c>
      <c r="R29" s="29" t="str">
        <f>IF(ISNA(VLOOKUP(A29,'Award Abstract#'!D:D,1,FALSE)), "No", "Yes")</f>
        <v>No</v>
      </c>
      <c r="S29" s="30" t="str">
        <f>VLOOKUP(A29, 'Session Data'!A:AA,27,false)</f>
        <v>Woman</v>
      </c>
      <c r="T29" s="30"/>
      <c r="U29" s="30"/>
      <c r="V29" s="31" t="str">
        <f>VLOOKUP(A29, 'Session Data'!A:AA,8,false)</f>
        <v>Morgan</v>
      </c>
      <c r="W29" s="32" t="str">
        <f>VLOOKUP(A29, 'Session Data'!A:AA,9,false)</f>
        <v>Farrell</v>
      </c>
      <c r="X29" s="33" t="str">
        <f>VLOOKUP(A29, 'Session Data'!A:AA,12,false)</f>
        <v>Alphaproteobacteria lipopolysaccharide stimulates animal metamorphosis</v>
      </c>
      <c r="Y29" s="34" t="str">
        <f>VLOOKUP(A29, 'Session Data'!A:AA,22,false)</f>
        <v>Nicholas </v>
      </c>
      <c r="Z29" s="34" t="str">
        <f>VLOOKUP(A29, 'Session Data'!A:AA,23,false)</f>
        <v>Shikuma</v>
      </c>
      <c r="AA29" s="34" t="str">
        <f>VLOOKUP(A29, 'Session Data'!A:AA,25,false)</f>
        <v>Sciences</v>
      </c>
      <c r="AB29" s="34"/>
      <c r="AC29" s="34" t="str">
        <f>VLOOKUP(A29, 'Session Data'!A:AA,16,false)</f>
        <v/>
      </c>
      <c r="AD29" s="35" t="str">
        <f>VLOOKUP(A29, 'Session Data'!A:U,17,false)</f>
        <v/>
      </c>
      <c r="AE29" s="35" t="str">
        <f>VLOOKUP(A29, 'Session Data'!A:U,18,false)</f>
        <v/>
      </c>
      <c r="AF29" s="35" t="str">
        <f>VLOOKUP(A29, 'Session Data'!A:U,19,false)</f>
        <v/>
      </c>
      <c r="AG29" s="35" t="str">
        <f>VLOOKUP(A29, 'Session Data'!A:U,20,false)</f>
        <v/>
      </c>
      <c r="AH29" s="35" t="str">
        <f>VLOOKUP(A29, 'Session Data'!A:U,21,false)</f>
        <v/>
      </c>
      <c r="AI29" s="36"/>
      <c r="AJ29" s="37"/>
      <c r="AK29" s="38"/>
      <c r="AL29" s="39"/>
      <c r="AM29" s="34" t="str">
        <f>VLOOKUP(A29, 'Session Data'!A:AA,10,false)</f>
        <v>mfarrell2094@sdsu.edu</v>
      </c>
      <c r="AN29" s="40"/>
      <c r="AO29" s="38"/>
      <c r="AP29" s="38"/>
      <c r="AQ29" s="38"/>
      <c r="AR29" s="38"/>
      <c r="AS29" s="38"/>
      <c r="AT29" s="38"/>
      <c r="AU29" s="38"/>
      <c r="AV29" s="38"/>
      <c r="AW29" s="38"/>
      <c r="AX29" s="38"/>
      <c r="AY29" s="43"/>
      <c r="AZ29" s="43"/>
      <c r="BA29" s="48"/>
      <c r="BB29" s="48"/>
      <c r="BC29" s="43"/>
      <c r="BD29" s="43"/>
      <c r="BE29" s="44"/>
      <c r="BF29" s="45"/>
      <c r="BG29" s="46"/>
    </row>
    <row r="30">
      <c r="A30" s="19" t="s">
        <v>89</v>
      </c>
      <c r="B30" s="20">
        <f>VLOOKUP(F30,'Session Count DO NOT EDIT'!$A:$C,3,FALSE)</f>
        <v>3</v>
      </c>
      <c r="C30" s="20">
        <f>COUNTIFS('Scores Import DO NOT EDIT'!D:D,A30)</f>
        <v>3</v>
      </c>
      <c r="D30" s="21">
        <f t="shared" si="1"/>
        <v>1</v>
      </c>
      <c r="E30" s="22">
        <f>AVERAGEIFS('Scores Import DO NOT EDIT'!L:L,'Scores Import DO NOT EDIT'!D:D,A30)</f>
        <v>24.33333333</v>
      </c>
      <c r="F30" s="23" t="str">
        <f>VLOOKUP(A30, 'Session Data'!A:M,3,false)</f>
        <v>A-5</v>
      </c>
      <c r="G30" s="24" t="str">
        <f>VLOOKUP(A30, 'Session Data'!A:I,2,false)</f>
        <v>9:00 AM</v>
      </c>
      <c r="H30" s="23" t="str">
        <f>VLOOKUP(A30, 'Session Data'!A:J,5,false)</f>
        <v>Biological and Agricultural Sciences</v>
      </c>
      <c r="I30" s="25" t="str">
        <f>VLOOKUP(A30, 'Session Data'!A:H,4,false)</f>
        <v>Oral </v>
      </c>
      <c r="J30" s="26" t="str">
        <f>VLOOKUP(A30, 'Session Data'!A:AA,14,false)</f>
        <v>Master's</v>
      </c>
      <c r="K30" s="27" t="str">
        <f>VLOOKUP(A30, 'Session Data'!A:AA,15,false)</f>
        <v>Engineering</v>
      </c>
      <c r="L30" s="47"/>
      <c r="M30" s="29" t="str">
        <f>VLOOKUP(A30, 'Session Data'!A:K,11,false)</f>
        <v>M.S. Civil Engineering [Environmental Engineering]</v>
      </c>
      <c r="N30" s="26" t="str">
        <f>IF(ISNA(VLOOKUP(A30, 'Award Abstract#'!C:C, 1, FALSE)), "No", "Yes")
</f>
        <v>No</v>
      </c>
      <c r="O30" s="29" t="str">
        <f>IF(ISNA(VLOOKUP(A30,'Award Abstract#'!B:B,1,FALSE)), "No", "Yes")</f>
        <v>Yes</v>
      </c>
      <c r="P30" s="29" t="str">
        <f>IF(ISNA(VLOOKUP(A30,'Award Abstract#'!E:E,1,FALSE)), "No", "Yes")</f>
        <v>No</v>
      </c>
      <c r="Q30" s="29" t="str">
        <f>IF(ISNA(VLOOKUP(A30,'Award Abstract#'!A:A,1,FALSE)), "No", "Yes")</f>
        <v>No</v>
      </c>
      <c r="R30" s="29" t="str">
        <f>IF(ISNA(VLOOKUP(A30,'Award Abstract#'!D:D,1,FALSE)), "No", "Yes")</f>
        <v>No</v>
      </c>
      <c r="S30" s="30" t="str">
        <f>VLOOKUP(A30, 'Session Data'!A:AA,27,false)</f>
        <v>Woman</v>
      </c>
      <c r="T30" s="30"/>
      <c r="U30" s="30"/>
      <c r="V30" s="31" t="str">
        <f>VLOOKUP(A30, 'Session Data'!A:AA,8,false)</f>
        <v>Tommie</v>
      </c>
      <c r="W30" s="32" t="str">
        <f>VLOOKUP(A30, 'Session Data'!A:AA,9,false)</f>
        <v>Post</v>
      </c>
      <c r="X30" s="33" t="str">
        <f>VLOOKUP(A30, 'Session Data'!A:AA,12,false)</f>
        <v>Effects of ruminant bromoform supplementation on manure wastewater treatment</v>
      </c>
      <c r="Y30" s="34" t="str">
        <f>VLOOKUP(A30, 'Session Data'!A:AA,22,false)</f>
        <v>Christy</v>
      </c>
      <c r="Z30" s="34" t="str">
        <f>VLOOKUP(A30, 'Session Data'!A:AA,23,false)</f>
        <v>Dykstra</v>
      </c>
      <c r="AA30" s="34" t="str">
        <f>VLOOKUP(A30, 'Session Data'!A:AA,25,false)</f>
        <v>Engineering</v>
      </c>
      <c r="AB30" s="34" t="str">
        <f>VLOOKUP(A30, 'Session Data'!A:AA,24,false)</f>
        <v>cdykstra@sdsu.edu</v>
      </c>
      <c r="AC30" s="34" t="str">
        <f>VLOOKUP(A30, 'Session Data'!A:AA,16,false)</f>
        <v/>
      </c>
      <c r="AD30" s="35" t="str">
        <f>VLOOKUP(A30, 'Session Data'!A:U,17,false)</f>
        <v/>
      </c>
      <c r="AE30" s="35" t="str">
        <f>VLOOKUP(A30, 'Session Data'!A:U,18,false)</f>
        <v/>
      </c>
      <c r="AF30" s="35" t="str">
        <f>VLOOKUP(A30, 'Session Data'!A:U,19,false)</f>
        <v/>
      </c>
      <c r="AG30" s="35" t="str">
        <f>VLOOKUP(A30, 'Session Data'!A:U,20,false)</f>
        <v/>
      </c>
      <c r="AH30" s="35" t="str">
        <f>VLOOKUP(A30, 'Session Data'!A:U,21,false)</f>
        <v/>
      </c>
      <c r="AI30" s="37"/>
      <c r="AJ30" s="37"/>
      <c r="AK30" s="37"/>
      <c r="AL30" s="50"/>
      <c r="AM30" s="34" t="str">
        <f>VLOOKUP(A30, 'Session Data'!A:AA,10,false)</f>
        <v>tpost8715@sdsu.edu</v>
      </c>
      <c r="AN30" s="40"/>
      <c r="AO30" s="38"/>
      <c r="AP30" s="38"/>
      <c r="AQ30" s="38"/>
      <c r="AR30" s="38"/>
      <c r="AS30" s="38"/>
      <c r="AT30" s="38"/>
      <c r="AU30" s="38"/>
      <c r="AV30" s="38"/>
      <c r="AW30" s="38"/>
      <c r="AX30" s="38"/>
      <c r="AY30" s="43"/>
      <c r="AZ30" s="43"/>
      <c r="BA30" s="43"/>
      <c r="BB30" s="43"/>
      <c r="BC30" s="43"/>
      <c r="BD30" s="43"/>
      <c r="BE30" s="44"/>
      <c r="BF30" s="45"/>
      <c r="BG30" s="46"/>
    </row>
    <row r="31">
      <c r="A31" s="19" t="s">
        <v>90</v>
      </c>
      <c r="B31" s="20">
        <f>VLOOKUP(F31,'Session Count DO NOT EDIT'!$A:$C,3,FALSE)</f>
        <v>3</v>
      </c>
      <c r="C31" s="20">
        <f>COUNTIFS('Scores Import DO NOT EDIT'!D:D,A31)</f>
        <v>3</v>
      </c>
      <c r="D31" s="21">
        <f t="shared" si="1"/>
        <v>1</v>
      </c>
      <c r="E31" s="22">
        <f>AVERAGEIFS('Scores Import DO NOT EDIT'!L:L,'Scores Import DO NOT EDIT'!D:D,A31)</f>
        <v>23.33333333</v>
      </c>
      <c r="F31" s="23" t="str">
        <f>VLOOKUP(A31, 'Session Data'!A:M,3,false)</f>
        <v>A-5</v>
      </c>
      <c r="G31" s="24" t="str">
        <f>VLOOKUP(A31, 'Session Data'!A:I,2,false)</f>
        <v>9:00 AM</v>
      </c>
      <c r="H31" s="23" t="str">
        <f>VLOOKUP(A31, 'Session Data'!A:J,5,false)</f>
        <v>Biological and Agricultural Sciences</v>
      </c>
      <c r="I31" s="25" t="str">
        <f>VLOOKUP(A31, 'Session Data'!A:H,4,false)</f>
        <v>Oral </v>
      </c>
      <c r="J31" s="26" t="str">
        <f>VLOOKUP(A31, 'Session Data'!A:AA,14,false)</f>
        <v>Master's</v>
      </c>
      <c r="K31" s="27" t="str">
        <f>VLOOKUP(A31, 'Session Data'!A:AA,15,false)</f>
        <v>Sciences</v>
      </c>
      <c r="L31" s="28"/>
      <c r="M31" s="29" t="str">
        <f>VLOOKUP(A31, 'Session Data'!A:K,11,false)</f>
        <v>Masters of Science in Evolutionary Biology</v>
      </c>
      <c r="N31" s="26" t="str">
        <f>IF(ISNA(VLOOKUP(A31, 'Award Abstract#'!C:C, 1, FALSE)), "No", "Yes")
</f>
        <v>No</v>
      </c>
      <c r="O31" s="29" t="str">
        <f>IF(ISNA(VLOOKUP(A31,'Award Abstract#'!B:B,1,FALSE)), "No", "Yes")</f>
        <v>Yes</v>
      </c>
      <c r="P31" s="29" t="str">
        <f>IF(ISNA(VLOOKUP(A31,'Award Abstract#'!E:E,1,FALSE)), "No", "Yes")</f>
        <v>No</v>
      </c>
      <c r="Q31" s="29" t="str">
        <f>IF(ISNA(VLOOKUP(A31,'Award Abstract#'!A:A,1,FALSE)), "No", "Yes")</f>
        <v>No</v>
      </c>
      <c r="R31" s="29" t="str">
        <f>IF(ISNA(VLOOKUP(A31,'Award Abstract#'!D:D,1,FALSE)), "No", "Yes")</f>
        <v>No</v>
      </c>
      <c r="S31" s="30" t="str">
        <f>VLOOKUP(A31, 'Session Data'!A:AA,27,false)</f>
        <v>Man</v>
      </c>
      <c r="T31" s="30"/>
      <c r="U31" s="30"/>
      <c r="V31" s="31" t="str">
        <f>VLOOKUP(A31, 'Session Data'!A:AA,8,false)</f>
        <v>Jordan</v>
      </c>
      <c r="W31" s="32" t="str">
        <f>VLOOKUP(A31, 'Session Data'!A:AA,9,false)</f>
        <v>Waits</v>
      </c>
      <c r="X31" s="33" t="str">
        <f>VLOOKUP(A31, 'Session Data'!A:AA,12,false)</f>
        <v>Phenological variation and evolution across space and time in Scarlet Monkeyflowers</v>
      </c>
      <c r="Y31" s="34" t="str">
        <f>VLOOKUP(A31, 'Session Data'!A:AA,22,false)</f>
        <v>Lluvia</v>
      </c>
      <c r="Z31" s="34" t="str">
        <f>VLOOKUP(A31, 'Session Data'!A:AA,23,false)</f>
        <v>Flores-Renteria</v>
      </c>
      <c r="AA31" s="34" t="str">
        <f>VLOOKUP(A31, 'Session Data'!A:AA,25,false)</f>
        <v>Sciences</v>
      </c>
      <c r="AB31" s="34"/>
      <c r="AC31" s="34" t="str">
        <f>VLOOKUP(A31, 'Session Data'!A:AA,16,false)</f>
        <v/>
      </c>
      <c r="AD31" s="35" t="str">
        <f>VLOOKUP(A31, 'Session Data'!A:U,17,false)</f>
        <v/>
      </c>
      <c r="AE31" s="35" t="str">
        <f>VLOOKUP(A31, 'Session Data'!A:U,18,false)</f>
        <v/>
      </c>
      <c r="AF31" s="35" t="str">
        <f>VLOOKUP(A31, 'Session Data'!A:U,19,false)</f>
        <v/>
      </c>
      <c r="AG31" s="35" t="str">
        <f>VLOOKUP(A31, 'Session Data'!A:U,20,false)</f>
        <v/>
      </c>
      <c r="AH31" s="35" t="str">
        <f>VLOOKUP(A31, 'Session Data'!A:U,21,false)</f>
        <v/>
      </c>
      <c r="AI31" s="36"/>
      <c r="AJ31" s="38"/>
      <c r="AK31" s="38"/>
      <c r="AL31" s="39"/>
      <c r="AM31" s="34" t="str">
        <f>VLOOKUP(A31, 'Session Data'!A:AA,10,false)</f>
        <v>jwaits@sdsu.edu</v>
      </c>
      <c r="AN31" s="40"/>
      <c r="AO31" s="38"/>
      <c r="AP31" s="38"/>
      <c r="AQ31" s="38"/>
      <c r="AR31" s="38"/>
      <c r="AS31" s="38"/>
      <c r="AT31" s="38"/>
      <c r="AU31" s="38"/>
      <c r="AV31" s="38"/>
      <c r="AW31" s="38"/>
      <c r="AX31" s="38"/>
      <c r="AY31" s="43"/>
      <c r="AZ31" s="43"/>
      <c r="BA31" s="48"/>
      <c r="BB31" s="48"/>
      <c r="BC31" s="43"/>
      <c r="BD31" s="43"/>
      <c r="BE31" s="44"/>
      <c r="BF31" s="45"/>
      <c r="BG31" s="43"/>
    </row>
    <row r="32">
      <c r="A32" s="19" t="s">
        <v>91</v>
      </c>
      <c r="B32" s="20">
        <f>VLOOKUP(F32,'Session Count DO NOT EDIT'!$A:$C,3,FALSE)</f>
        <v>3</v>
      </c>
      <c r="C32" s="20">
        <f>COUNTIFS('Scores Import DO NOT EDIT'!D:D,A32)</f>
        <v>3</v>
      </c>
      <c r="D32" s="21">
        <f t="shared" si="1"/>
        <v>1</v>
      </c>
      <c r="E32" s="22">
        <f>AVERAGEIFS('Scores Import DO NOT EDIT'!L:L,'Scores Import DO NOT EDIT'!D:D,A32)</f>
        <v>27</v>
      </c>
      <c r="F32" s="23" t="str">
        <f>VLOOKUP(A32, 'Session Data'!A:M,3,false)</f>
        <v>A-5</v>
      </c>
      <c r="G32" s="24" t="str">
        <f>VLOOKUP(A32, 'Session Data'!A:I,2,false)</f>
        <v>9:00 AM</v>
      </c>
      <c r="H32" s="23" t="str">
        <f>VLOOKUP(A32, 'Session Data'!A:J,5,false)</f>
        <v>Biological and Agricultural Sciences</v>
      </c>
      <c r="I32" s="25" t="str">
        <f>VLOOKUP(A32, 'Session Data'!A:H,4,false)</f>
        <v>Oral </v>
      </c>
      <c r="J32" s="26" t="str">
        <f>VLOOKUP(A32, 'Session Data'!A:AA,14,false)</f>
        <v>Master's</v>
      </c>
      <c r="K32" s="27" t="str">
        <f>VLOOKUP(A32, 'Session Data'!A:AA,15,false)</f>
        <v>Sciences</v>
      </c>
      <c r="L32" s="47"/>
      <c r="M32" s="29" t="str">
        <f>VLOOKUP(A32, 'Session Data'!A:K,11,false)</f>
        <v>Evolutionary Biology/Master's of Science in Biology</v>
      </c>
      <c r="N32" s="26" t="str">
        <f>IF(ISNA(VLOOKUP(A32, 'Award Abstract#'!C:C, 1, FALSE)), "No", "Yes")
</f>
        <v>No</v>
      </c>
      <c r="O32" s="29" t="str">
        <f>IF(ISNA(VLOOKUP(A32,'Award Abstract#'!B:B,1,FALSE)), "No", "Yes")</f>
        <v>No</v>
      </c>
      <c r="P32" s="29" t="str">
        <f>IF(ISNA(VLOOKUP(A32,'Award Abstract#'!E:E,1,FALSE)), "No", "Yes")</f>
        <v>No</v>
      </c>
      <c r="Q32" s="29" t="str">
        <f>IF(ISNA(VLOOKUP(A32,'Award Abstract#'!A:A,1,FALSE)), "No", "Yes")</f>
        <v>No</v>
      </c>
      <c r="R32" s="29" t="str">
        <f>IF(ISNA(VLOOKUP(A32,'Award Abstract#'!D:D,1,FALSE)), "No", "Yes")</f>
        <v>No</v>
      </c>
      <c r="S32" s="30" t="str">
        <f>VLOOKUP(A32, 'Session Data'!A:AA,27,false)</f>
        <v>Woman</v>
      </c>
      <c r="T32" s="30"/>
      <c r="U32" s="30"/>
      <c r="V32" s="31" t="str">
        <f>VLOOKUP(A32, 'Session Data'!A:AA,8,false)</f>
        <v>Yazmín</v>
      </c>
      <c r="W32" s="32" t="str">
        <f>VLOOKUP(A32, 'Session Data'!A:AA,9,false)</f>
        <v>Lommel</v>
      </c>
      <c r="X32" s="33" t="str">
        <f>VLOOKUP(A32, 'Session Data'!A:AA,12,false)</f>
        <v>Evidence of Inbreeding and Low Genetic Diversity of a Rare Cactus (Ferocactus gatesii) in Baja California</v>
      </c>
      <c r="Y32" s="34" t="str">
        <f>VLOOKUP(A32, 'Session Data'!A:AA,22,false)</f>
        <v>Dr. Lluvia</v>
      </c>
      <c r="Z32" s="34" t="str">
        <f>VLOOKUP(A32, 'Session Data'!A:AA,23,false)</f>
        <v>Flores-Renteria</v>
      </c>
      <c r="AA32" s="34" t="str">
        <f>VLOOKUP(A32, 'Session Data'!A:AA,25,false)</f>
        <v>Sciences</v>
      </c>
      <c r="AB32" s="34"/>
      <c r="AC32" s="34" t="str">
        <f>VLOOKUP(A32, 'Session Data'!A:AA,16,false)</f>
        <v/>
      </c>
      <c r="AD32" s="35" t="str">
        <f>VLOOKUP(A32, 'Session Data'!A:U,17,false)</f>
        <v/>
      </c>
      <c r="AE32" s="35" t="str">
        <f>VLOOKUP(A32, 'Session Data'!A:U,18,false)</f>
        <v/>
      </c>
      <c r="AF32" s="35" t="str">
        <f>VLOOKUP(A32, 'Session Data'!A:U,19,false)</f>
        <v/>
      </c>
      <c r="AG32" s="35" t="str">
        <f>VLOOKUP(A32, 'Session Data'!A:U,20,false)</f>
        <v/>
      </c>
      <c r="AH32" s="35" t="str">
        <f>VLOOKUP(A32, 'Session Data'!A:U,21,false)</f>
        <v/>
      </c>
      <c r="AI32" s="37"/>
      <c r="AJ32" s="37"/>
      <c r="AK32" s="37"/>
      <c r="AL32" s="50"/>
      <c r="AM32" s="34" t="str">
        <f>VLOOKUP(A32, 'Session Data'!A:AA,10,false)</f>
        <v>ylommel5307@sdsu.edu</v>
      </c>
      <c r="AN32" s="40"/>
      <c r="AO32" s="38"/>
      <c r="AP32" s="38"/>
      <c r="AQ32" s="38"/>
      <c r="AR32" s="38"/>
      <c r="AS32" s="38"/>
      <c r="AT32" s="38"/>
      <c r="AU32" s="38"/>
      <c r="AV32" s="38"/>
      <c r="AW32" s="38"/>
      <c r="AX32" s="38"/>
      <c r="AY32" s="43"/>
      <c r="AZ32" s="43"/>
      <c r="BA32" s="43"/>
      <c r="BB32" s="43"/>
      <c r="BC32" s="43"/>
      <c r="BD32" s="43"/>
      <c r="BE32" s="44"/>
      <c r="BF32" s="45"/>
      <c r="BG32" s="46"/>
    </row>
    <row r="33">
      <c r="A33" s="19" t="s">
        <v>92</v>
      </c>
      <c r="B33" s="20">
        <f>VLOOKUP(F33,'Session Count DO NOT EDIT'!$A:$C,3,FALSE)</f>
        <v>3</v>
      </c>
      <c r="C33" s="20">
        <f>COUNTIFS('Scores Import DO NOT EDIT'!D:D,A33)</f>
        <v>3</v>
      </c>
      <c r="D33" s="21">
        <f t="shared" si="1"/>
        <v>1</v>
      </c>
      <c r="E33" s="22">
        <f>AVERAGEIFS('Scores Import DO NOT EDIT'!L:L,'Scores Import DO NOT EDIT'!D:D,A33)</f>
        <v>26.33333333</v>
      </c>
      <c r="F33" s="23" t="str">
        <f>VLOOKUP(A33, 'Session Data'!A:M,3,false)</f>
        <v>A-5</v>
      </c>
      <c r="G33" s="24" t="str">
        <f>VLOOKUP(A33, 'Session Data'!A:I,2,false)</f>
        <v>9:00 AM</v>
      </c>
      <c r="H33" s="23" t="str">
        <f>VLOOKUP(A33, 'Session Data'!A:J,5,false)</f>
        <v>Biological and Agricultural Sciences</v>
      </c>
      <c r="I33" s="25" t="str">
        <f>VLOOKUP(A33, 'Session Data'!A:H,4,false)</f>
        <v>Oral </v>
      </c>
      <c r="J33" s="26" t="str">
        <f>VLOOKUP(A33, 'Session Data'!A:AA,14,false)</f>
        <v>Doctoral</v>
      </c>
      <c r="K33" s="27" t="str">
        <f>VLOOKUP(A33, 'Session Data'!A:AA,15,false)</f>
        <v>Sciences</v>
      </c>
      <c r="L33" s="28"/>
      <c r="M33" s="29" t="str">
        <f>VLOOKUP(A33, 'Session Data'!A:K,11,false)</f>
        <v>PhD in Evolutionary Biology</v>
      </c>
      <c r="N33" s="26" t="str">
        <f>IF(ISNA(VLOOKUP(A33, 'Award Abstract#'!C:C, 1, FALSE)), "No", "Yes")
</f>
        <v>No</v>
      </c>
      <c r="O33" s="29" t="str">
        <f>IF(ISNA(VLOOKUP(A33,'Award Abstract#'!B:B,1,FALSE)), "No", "Yes")</f>
        <v>No</v>
      </c>
      <c r="P33" s="29" t="str">
        <f>IF(ISNA(VLOOKUP(A33,'Award Abstract#'!E:E,1,FALSE)), "No", "Yes")</f>
        <v>No</v>
      </c>
      <c r="Q33" s="29" t="str">
        <f>IF(ISNA(VLOOKUP(A33,'Award Abstract#'!A:A,1,FALSE)), "No", "Yes")</f>
        <v>No</v>
      </c>
      <c r="R33" s="29" t="str">
        <f>IF(ISNA(VLOOKUP(A33,'Award Abstract#'!D:D,1,FALSE)), "No", "Yes")</f>
        <v>No</v>
      </c>
      <c r="S33" s="30" t="str">
        <f>VLOOKUP(A33, 'Session Data'!A:AA,27,false)</f>
        <v>Woman</v>
      </c>
      <c r="T33" s="30"/>
      <c r="U33" s="30"/>
      <c r="V33" s="31" t="str">
        <f>VLOOKUP(A33, 'Session Data'!A:AA,8,false)</f>
        <v>Niveditha</v>
      </c>
      <c r="W33" s="32" t="str">
        <f>VLOOKUP(A33, 'Session Data'!A:AA,9,false)</f>
        <v>Ramadoss</v>
      </c>
      <c r="X33" s="33" t="str">
        <f>VLOOKUP(A33, 'Session Data'!A:AA,12,false)</f>
        <v>"Prickly Challenge to the Dead End Hypothesis from Native Cactus Cylindropuntia"</v>
      </c>
      <c r="Y33" s="34" t="str">
        <f>VLOOKUP(A33, 'Session Data'!A:AA,22,false)</f>
        <v>Lluvia</v>
      </c>
      <c r="Z33" s="34" t="str">
        <f>VLOOKUP(A33, 'Session Data'!A:AA,23,false)</f>
        <v>Flores-Renteria</v>
      </c>
      <c r="AA33" s="34" t="str">
        <f>VLOOKUP(A33, 'Session Data'!A:AA,25,false)</f>
        <v>Sciences</v>
      </c>
      <c r="AB33" s="34"/>
      <c r="AC33" s="34" t="str">
        <f>VLOOKUP(A33, 'Session Data'!A:AA,16,false)</f>
        <v/>
      </c>
      <c r="AD33" s="35" t="str">
        <f>VLOOKUP(A33, 'Session Data'!A:U,17,false)</f>
        <v/>
      </c>
      <c r="AE33" s="35" t="str">
        <f>VLOOKUP(A33, 'Session Data'!A:U,18,false)</f>
        <v/>
      </c>
      <c r="AF33" s="35" t="str">
        <f>VLOOKUP(A33, 'Session Data'!A:U,19,false)</f>
        <v/>
      </c>
      <c r="AG33" s="35" t="str">
        <f>VLOOKUP(A33, 'Session Data'!A:U,20,false)</f>
        <v/>
      </c>
      <c r="AH33" s="35" t="str">
        <f>VLOOKUP(A33, 'Session Data'!A:U,21,false)</f>
        <v/>
      </c>
      <c r="AI33" s="37"/>
      <c r="AJ33" s="37"/>
      <c r="AK33" s="37"/>
      <c r="AL33" s="50"/>
      <c r="AM33" s="34" t="str">
        <f>VLOOKUP(A33, 'Session Data'!A:AA,10,false)</f>
        <v>nramadoss@sdsu.edu</v>
      </c>
      <c r="AN33" s="40"/>
      <c r="AO33" s="38"/>
      <c r="AP33" s="38"/>
      <c r="AQ33" s="38"/>
      <c r="AR33" s="38"/>
      <c r="AS33" s="38"/>
      <c r="AT33" s="38"/>
      <c r="AU33" s="38"/>
      <c r="AV33" s="38"/>
      <c r="AW33" s="38"/>
      <c r="AX33" s="38"/>
      <c r="AY33" s="43"/>
      <c r="AZ33" s="43"/>
      <c r="BA33" s="43"/>
      <c r="BB33" s="43"/>
      <c r="BC33" s="43"/>
      <c r="BD33" s="43"/>
      <c r="BE33" s="44"/>
      <c r="BF33" s="45"/>
      <c r="BG33" s="43"/>
    </row>
    <row r="34">
      <c r="A34" s="19" t="s">
        <v>93</v>
      </c>
      <c r="B34" s="20">
        <f>VLOOKUP(F34,'Session Count DO NOT EDIT'!$A:$C,3,FALSE)</f>
        <v>3</v>
      </c>
      <c r="C34" s="20">
        <f>COUNTIFS('Scores Import DO NOT EDIT'!D:D,A34)</f>
        <v>2</v>
      </c>
      <c r="D34" s="21">
        <f t="shared" si="1"/>
        <v>0.6666666667</v>
      </c>
      <c r="E34" s="22">
        <f>AVERAGEIFS('Scores Import DO NOT EDIT'!L:L,'Scores Import DO NOT EDIT'!D:D,A34)</f>
        <v>26</v>
      </c>
      <c r="F34" s="23" t="str">
        <f>VLOOKUP(A34, 'Session Data'!A:M,3,false)</f>
        <v>A-5</v>
      </c>
      <c r="G34" s="24" t="str">
        <f>VLOOKUP(A34, 'Session Data'!A:I,2,false)</f>
        <v>9:00 AM</v>
      </c>
      <c r="H34" s="23" t="str">
        <f>VLOOKUP(A34, 'Session Data'!A:J,5,false)</f>
        <v>Biological and Agricultural Sciences</v>
      </c>
      <c r="I34" s="25" t="str">
        <f>VLOOKUP(A34, 'Session Data'!A:H,4,false)</f>
        <v>Oral </v>
      </c>
      <c r="J34" s="26" t="str">
        <f>VLOOKUP(A34, 'Session Data'!A:AA,14,false)</f>
        <v>Master's</v>
      </c>
      <c r="K34" s="27" t="str">
        <f>VLOOKUP(A34, 'Session Data'!A:AA,15,false)</f>
        <v>Sciences</v>
      </c>
      <c r="L34" s="47"/>
      <c r="M34" s="29" t="str">
        <f>VLOOKUP(A34, 'Session Data'!A:K,11,false)</f>
        <v>Master's in Cell and Molecular Biology</v>
      </c>
      <c r="N34" s="26" t="str">
        <f>IF(ISNA(VLOOKUP(A34, 'Award Abstract#'!C:C, 1, FALSE)), "No", "Yes")
</f>
        <v>No</v>
      </c>
      <c r="O34" s="29" t="str">
        <f>IF(ISNA(VLOOKUP(A34,'Award Abstract#'!B:B,1,FALSE)), "No", "Yes")</f>
        <v>No</v>
      </c>
      <c r="P34" s="29" t="str">
        <f>IF(ISNA(VLOOKUP(A34,'Award Abstract#'!E:E,1,FALSE)), "No", "Yes")</f>
        <v>No</v>
      </c>
      <c r="Q34" s="29" t="str">
        <f>IF(ISNA(VLOOKUP(A34,'Award Abstract#'!A:A,1,FALSE)), "No", "Yes")</f>
        <v>No</v>
      </c>
      <c r="R34" s="29" t="str">
        <f>IF(ISNA(VLOOKUP(A34,'Award Abstract#'!D:D,1,FALSE)), "No", "Yes")</f>
        <v>No</v>
      </c>
      <c r="S34" s="30" t="str">
        <f>VLOOKUP(A34, 'Session Data'!A:AA,27,false)</f>
        <v>Woman</v>
      </c>
      <c r="T34" s="30"/>
      <c r="U34" s="30"/>
      <c r="V34" s="31" t="str">
        <f>VLOOKUP(A34, 'Session Data'!A:AA,8,false)</f>
        <v>Cassidy</v>
      </c>
      <c r="W34" s="32" t="str">
        <f>VLOOKUP(A34, 'Session Data'!A:AA,9,false)</f>
        <v>Lucht</v>
      </c>
      <c r="X34" s="33" t="str">
        <f>VLOOKUP(A34, 'Session Data'!A:AA,12,false)</f>
        <v>The Role of Nuclear Factor κB-inducing Kinase (NIK) in Supporting Ovarian Cancer Stem-Like Cells</v>
      </c>
      <c r="Y34" s="34" t="str">
        <f>VLOOKUP(A34, 'Session Data'!A:AA,22,false)</f>
        <v>Carrie</v>
      </c>
      <c r="Z34" s="34" t="str">
        <f>VLOOKUP(A34, 'Session Data'!A:AA,23,false)</f>
        <v>House</v>
      </c>
      <c r="AA34" s="34" t="str">
        <f>VLOOKUP(A34, 'Session Data'!A:AA,25,false)</f>
        <v>Sciences</v>
      </c>
      <c r="AB34" s="34"/>
      <c r="AC34" s="34" t="str">
        <f>VLOOKUP(A34, 'Session Data'!A:AA,16,false)</f>
        <v/>
      </c>
      <c r="AD34" s="35" t="str">
        <f>VLOOKUP(A34, 'Session Data'!A:U,17,false)</f>
        <v/>
      </c>
      <c r="AE34" s="35" t="str">
        <f>VLOOKUP(A34, 'Session Data'!A:U,18,false)</f>
        <v/>
      </c>
      <c r="AF34" s="35" t="str">
        <f>VLOOKUP(A34, 'Session Data'!A:U,19,false)</f>
        <v/>
      </c>
      <c r="AG34" s="35" t="str">
        <f>VLOOKUP(A34, 'Session Data'!A:U,20,false)</f>
        <v/>
      </c>
      <c r="AH34" s="35" t="str">
        <f>VLOOKUP(A34, 'Session Data'!A:U,21,false)</f>
        <v/>
      </c>
      <c r="AI34" s="37"/>
      <c r="AJ34" s="37"/>
      <c r="AK34" s="37"/>
      <c r="AL34" s="50"/>
      <c r="AM34" s="34" t="str">
        <f>VLOOKUP(A34, 'Session Data'!A:AA,10,false)</f>
        <v>clucht0215@sdsu.edu</v>
      </c>
      <c r="AN34" s="40"/>
      <c r="AO34" s="38"/>
      <c r="AP34" s="38"/>
      <c r="AQ34" s="38"/>
      <c r="AR34" s="38"/>
      <c r="AS34" s="38"/>
      <c r="AT34" s="38"/>
      <c r="AU34" s="38"/>
      <c r="AV34" s="38"/>
      <c r="AW34" s="38"/>
      <c r="AX34" s="38"/>
      <c r="AY34" s="43"/>
      <c r="AZ34" s="43"/>
      <c r="BA34" s="48"/>
      <c r="BB34" s="48"/>
      <c r="BC34" s="43"/>
      <c r="BD34" s="43"/>
      <c r="BE34" s="44"/>
      <c r="BF34" s="45"/>
      <c r="BG34" s="43"/>
    </row>
    <row r="35">
      <c r="A35" s="19" t="s">
        <v>94</v>
      </c>
      <c r="B35" s="20">
        <f>VLOOKUP(F35,'Session Count DO NOT EDIT'!$A:$C,3,FALSE)</f>
        <v>5</v>
      </c>
      <c r="C35" s="20">
        <f>COUNTIFS('Scores Import DO NOT EDIT'!D:D,A35)</f>
        <v>3</v>
      </c>
      <c r="D35" s="21">
        <f t="shared" si="1"/>
        <v>0.6</v>
      </c>
      <c r="E35" s="22">
        <f>AVERAGEIFS('Scores Import DO NOT EDIT'!L:L,'Scores Import DO NOT EDIT'!D:D,A35)</f>
        <v>32.33333333</v>
      </c>
      <c r="F35" s="23" t="str">
        <f>VLOOKUP(A35, 'Session Data'!A:M,3,false)</f>
        <v>A-6</v>
      </c>
      <c r="G35" s="24" t="str">
        <f>VLOOKUP(A35, 'Session Data'!A:I,2,false)</f>
        <v>9:00 AM</v>
      </c>
      <c r="H35" s="23" t="str">
        <f>VLOOKUP(A35, 'Session Data'!A:J,5,false)</f>
        <v>Engineering and Computer Science</v>
      </c>
      <c r="I35" s="25" t="str">
        <f>VLOOKUP(A35, 'Session Data'!A:H,4,false)</f>
        <v>Oral </v>
      </c>
      <c r="J35" s="26" t="str">
        <f>VLOOKUP(A35, 'Session Data'!A:AA,14,false)</f>
        <v>Master's</v>
      </c>
      <c r="K35" s="27" t="str">
        <f>VLOOKUP(A35, 'Session Data'!A:AA,15,false)</f>
        <v>Engineering</v>
      </c>
      <c r="L35" s="28" t="s">
        <v>95</v>
      </c>
      <c r="M35" s="29" t="str">
        <f>VLOOKUP(A35, 'Session Data'!A:K,11,false)</f>
        <v>Masters of Science in Environmental Engineering</v>
      </c>
      <c r="N35" s="26" t="str">
        <f>IF(ISNA(VLOOKUP(A35, 'Award Abstract#'!C:C, 1, FALSE)), "No", "Yes")
</f>
        <v>No</v>
      </c>
      <c r="O35" s="29" t="str">
        <f>IF(ISNA(VLOOKUP(A35,'Award Abstract#'!B:B,1,FALSE)), "No", "Yes")</f>
        <v>Yes</v>
      </c>
      <c r="P35" s="29" t="str">
        <f>IF(ISNA(VLOOKUP(A35,'Award Abstract#'!E:E,1,FALSE)), "No", "Yes")</f>
        <v>No</v>
      </c>
      <c r="Q35" s="29" t="str">
        <f>IF(ISNA(VLOOKUP(A35,'Award Abstract#'!A:A,1,FALSE)), "No", "Yes")</f>
        <v>No</v>
      </c>
      <c r="R35" s="29" t="str">
        <f>IF(ISNA(VLOOKUP(A35,'Award Abstract#'!D:D,1,FALSE)), "No", "Yes")</f>
        <v>No</v>
      </c>
      <c r="S35" s="30" t="str">
        <f>VLOOKUP(A35, 'Session Data'!A:AA,27,false)</f>
        <v>Woman</v>
      </c>
      <c r="T35" s="30"/>
      <c r="U35" s="30"/>
      <c r="V35" s="31" t="str">
        <f>VLOOKUP(A35, 'Session Data'!A:AA,8,false)</f>
        <v>Ella</v>
      </c>
      <c r="W35" s="32" t="str">
        <f>VLOOKUP(A35, 'Session Data'!A:AA,9,false)</f>
        <v>Knight</v>
      </c>
      <c r="X35" s="33" t="str">
        <f>VLOOKUP(A35, 'Session Data'!A:AA,12,false)</f>
        <v> Marine Debris from River Margins: Wet and Dry Weathering Effects on the Fragmentation and Degradation of Discarded Plastic</v>
      </c>
      <c r="Y35" s="34" t="str">
        <f>VLOOKUP(A35, 'Session Data'!A:AA,22,false)</f>
        <v>Natalie</v>
      </c>
      <c r="Z35" s="34" t="str">
        <f>VLOOKUP(A35, 'Session Data'!A:AA,23,false)</f>
        <v>Mladenov</v>
      </c>
      <c r="AA35" s="34" t="str">
        <f>VLOOKUP(A35, 'Session Data'!A:AA,25,false)</f>
        <v>Engineering</v>
      </c>
      <c r="AB35" s="34" t="str">
        <f>VLOOKUP(A35, 'Session Data'!A:AA,24,false)</f>
        <v>nmladenov@sdsu.edu</v>
      </c>
      <c r="AC35" s="34" t="str">
        <f>VLOOKUP(A35, 'Session Data'!A:AA,16,false)</f>
        <v/>
      </c>
      <c r="AD35" s="35" t="str">
        <f>VLOOKUP(A35, 'Session Data'!A:U,17,false)</f>
        <v/>
      </c>
      <c r="AE35" s="35" t="str">
        <f>VLOOKUP(A35, 'Session Data'!A:U,18,false)</f>
        <v/>
      </c>
      <c r="AF35" s="35" t="str">
        <f>VLOOKUP(A35, 'Session Data'!A:U,19,false)</f>
        <v/>
      </c>
      <c r="AG35" s="35" t="str">
        <f>VLOOKUP(A35, 'Session Data'!A:U,20,false)</f>
        <v/>
      </c>
      <c r="AH35" s="35" t="str">
        <f>VLOOKUP(A35, 'Session Data'!A:U,21,false)</f>
        <v/>
      </c>
      <c r="AI35" s="37"/>
      <c r="AJ35" s="37"/>
      <c r="AK35" s="37"/>
      <c r="AL35" s="50"/>
      <c r="AM35" s="34" t="str">
        <f>VLOOKUP(A35, 'Session Data'!A:AA,10,false)</f>
        <v>eknight2461@sdsu.edu</v>
      </c>
      <c r="AN35" s="40"/>
      <c r="AO35" s="38"/>
      <c r="AP35" s="38"/>
      <c r="AQ35" s="38"/>
      <c r="AR35" s="38"/>
      <c r="AS35" s="38"/>
      <c r="AT35" s="38"/>
      <c r="AU35" s="38"/>
      <c r="AV35" s="38"/>
      <c r="AW35" s="38"/>
      <c r="AX35" s="38"/>
      <c r="AY35" s="43"/>
      <c r="AZ35" s="43"/>
      <c r="BA35" s="43"/>
      <c r="BB35" s="43"/>
      <c r="BC35" s="43"/>
      <c r="BD35" s="43"/>
      <c r="BE35" s="44"/>
      <c r="BF35" s="45"/>
      <c r="BG35" s="46"/>
    </row>
    <row r="36">
      <c r="A36" s="19" t="s">
        <v>96</v>
      </c>
      <c r="B36" s="20">
        <f>VLOOKUP(F36,'Session Count DO NOT EDIT'!$A:$C,3,FALSE)</f>
        <v>5</v>
      </c>
      <c r="C36" s="20">
        <f>COUNTIFS('Scores Import DO NOT EDIT'!D:D,A36)</f>
        <v>2</v>
      </c>
      <c r="D36" s="21">
        <f t="shared" si="1"/>
        <v>0.4</v>
      </c>
      <c r="E36" s="22">
        <f>AVERAGEIFS('Scores Import DO NOT EDIT'!L:L,'Scores Import DO NOT EDIT'!D:D,A36)</f>
        <v>31.5</v>
      </c>
      <c r="F36" s="23" t="str">
        <f>VLOOKUP(A36, 'Session Data'!A:M,3,false)</f>
        <v>A-6</v>
      </c>
      <c r="G36" s="24" t="str">
        <f>VLOOKUP(A36, 'Session Data'!A:I,2,false)</f>
        <v>9:00 AM</v>
      </c>
      <c r="H36" s="23" t="str">
        <f>VLOOKUP(A36, 'Session Data'!A:J,5,false)</f>
        <v>Engineering and Computer Science</v>
      </c>
      <c r="I36" s="25" t="str">
        <f>VLOOKUP(A36, 'Session Data'!A:H,4,false)</f>
        <v>Oral </v>
      </c>
      <c r="J36" s="26" t="str">
        <f>VLOOKUP(A36, 'Session Data'!A:AA,14,false)</f>
        <v>Doctoral</v>
      </c>
      <c r="K36" s="27" t="str">
        <f>VLOOKUP(A36, 'Session Data'!A:AA,15,false)</f>
        <v>Engineering</v>
      </c>
      <c r="L36" s="28"/>
      <c r="M36" s="29" t="str">
        <f>VLOOKUP(A36, 'Session Data'!A:K,11,false)</f>
        <v>Phd in Electrical and Computer Engineering</v>
      </c>
      <c r="N36" s="26" t="str">
        <f>IF(ISNA(VLOOKUP(A36, 'Award Abstract#'!C:C, 1, FALSE)), "No", "Yes")
</f>
        <v>No</v>
      </c>
      <c r="O36" s="29" t="str">
        <f>IF(ISNA(VLOOKUP(A36,'Award Abstract#'!B:B,1,FALSE)), "No", "Yes")</f>
        <v>Yes</v>
      </c>
      <c r="P36" s="29" t="str">
        <f>IF(ISNA(VLOOKUP(A36,'Award Abstract#'!E:E,1,FALSE)), "No", "Yes")</f>
        <v>No</v>
      </c>
      <c r="Q36" s="29" t="str">
        <f>IF(ISNA(VLOOKUP(A36,'Award Abstract#'!A:A,1,FALSE)), "No", "Yes")</f>
        <v>No</v>
      </c>
      <c r="R36" s="29" t="str">
        <f>IF(ISNA(VLOOKUP(A36,'Award Abstract#'!D:D,1,FALSE)), "No", "Yes")</f>
        <v>Yes</v>
      </c>
      <c r="S36" s="30" t="str">
        <f>VLOOKUP(A36, 'Session Data'!A:AA,27,false)</f>
        <v>Man</v>
      </c>
      <c r="T36" s="30"/>
      <c r="U36" s="30"/>
      <c r="V36" s="31" t="str">
        <f>VLOOKUP(A36, 'Session Data'!A:AA,8,false)</f>
        <v>Tian</v>
      </c>
      <c r="W36" s="32" t="str">
        <f>VLOOKUP(A36, 'Session Data'!A:AA,9,false)</f>
        <v>Jingxiao</v>
      </c>
      <c r="X36" s="33" t="str">
        <f>VLOOKUP(A36, 'Session Data'!A:AA,12,false)</f>
        <v>Ultra low-power, wearable, accelerated shallow-learning fall detection for elderly at-risk persons</v>
      </c>
      <c r="Y36" s="34" t="str">
        <f>VLOOKUP(A36, 'Session Data'!A:AA,22,false)</f>
        <v>Christopher</v>
      </c>
      <c r="Z36" s="34" t="str">
        <f>VLOOKUP(A36, 'Session Data'!A:AA,23,false)</f>
        <v>Paolini</v>
      </c>
      <c r="AA36" s="34" t="str">
        <f>VLOOKUP(A36, 'Session Data'!A:AA,25,false)</f>
        <v>Engineering</v>
      </c>
      <c r="AB36" s="34" t="str">
        <f>VLOOKUP(A36, 'Session Data'!A:AA,24,false)</f>
        <v>paolini@engineering.sdsu.edu</v>
      </c>
      <c r="AC36" s="34" t="str">
        <f>VLOOKUP(A36, 'Session Data'!A:AA,16,false)</f>
        <v/>
      </c>
      <c r="AD36" s="35" t="str">
        <f>VLOOKUP(A36, 'Session Data'!A:U,17,false)</f>
        <v/>
      </c>
      <c r="AE36" s="35" t="str">
        <f>VLOOKUP(A36, 'Session Data'!A:U,18,false)</f>
        <v/>
      </c>
      <c r="AF36" s="35" t="str">
        <f>VLOOKUP(A36, 'Session Data'!A:U,19,false)</f>
        <v/>
      </c>
      <c r="AG36" s="35" t="str">
        <f>VLOOKUP(A36, 'Session Data'!A:U,20,false)</f>
        <v/>
      </c>
      <c r="AH36" s="35" t="str">
        <f>VLOOKUP(A36, 'Session Data'!A:U,21,false)</f>
        <v/>
      </c>
      <c r="AI36" s="36"/>
      <c r="AJ36" s="38"/>
      <c r="AK36" s="38"/>
      <c r="AL36" s="39"/>
      <c r="AM36" s="34" t="str">
        <f>VLOOKUP(A36, 'Session Data'!A:AA,10,false)</f>
        <v>jtian1125@sdsu.edu</v>
      </c>
      <c r="AN36" s="40"/>
      <c r="AO36" s="38"/>
      <c r="AP36" s="38"/>
      <c r="AQ36" s="38"/>
      <c r="AR36" s="38"/>
      <c r="AS36" s="38"/>
      <c r="AT36" s="38"/>
      <c r="AU36" s="38"/>
      <c r="AV36" s="38"/>
      <c r="AW36" s="38"/>
      <c r="AX36" s="38"/>
      <c r="AY36" s="43"/>
      <c r="AZ36" s="43"/>
      <c r="BA36" s="48"/>
      <c r="BB36" s="48"/>
      <c r="BC36" s="43"/>
      <c r="BD36" s="43"/>
      <c r="BE36" s="44"/>
      <c r="BF36" s="45"/>
      <c r="BG36" s="43"/>
    </row>
    <row r="37">
      <c r="A37" s="54" t="s">
        <v>97</v>
      </c>
      <c r="B37" s="55">
        <f>VLOOKUP(F37,'Session Count DO NOT EDIT'!$A:$C,3,FALSE)</f>
        <v>5</v>
      </c>
      <c r="C37" s="55">
        <f>COUNTIFS('Scores Import DO NOT EDIT'!D:D,A37)</f>
        <v>3</v>
      </c>
      <c r="D37" s="56">
        <f t="shared" si="1"/>
        <v>0.6</v>
      </c>
      <c r="E37" s="57">
        <f>AVERAGEIFS('Scores Import DO NOT EDIT'!L:L,'Scores Import DO NOT EDIT'!D:D,A37)</f>
        <v>28.33333333</v>
      </c>
      <c r="F37" s="58" t="str">
        <f>VLOOKUP(A37, 'Session Data'!A:M,3,false)</f>
        <v>A-6</v>
      </c>
      <c r="G37" s="59" t="str">
        <f>VLOOKUP(A37, 'Session Data'!A:I,2,false)</f>
        <v>9:00 AM</v>
      </c>
      <c r="H37" s="58" t="str">
        <f>VLOOKUP(A37, 'Session Data'!A:J,5,false)</f>
        <v>Engineering and Computer Science</v>
      </c>
      <c r="I37" s="60" t="str">
        <f>VLOOKUP(A37, 'Session Data'!A:H,4,false)</f>
        <v>Oral </v>
      </c>
      <c r="J37" s="61" t="str">
        <f>VLOOKUP(A37, 'Session Data'!A:AA,14,false)</f>
        <v>Master's</v>
      </c>
      <c r="K37" s="62" t="str">
        <f>VLOOKUP(A37, 'Session Data'!A:AA,15,false)</f>
        <v>Engineering</v>
      </c>
      <c r="L37" s="63" t="s">
        <v>98</v>
      </c>
      <c r="M37" s="58" t="str">
        <f>VLOOKUP(A37, 'Session Data'!A:K,11,false)</f>
        <v>Bioengineering </v>
      </c>
      <c r="N37" s="61" t="str">
        <f>IF(ISNA(VLOOKUP(A37, 'Award Abstract#'!C:C, 1, FALSE)), "No", "Yes")
</f>
        <v>No</v>
      </c>
      <c r="O37" s="58" t="str">
        <f>IF(ISNA(VLOOKUP(A37,'Award Abstract#'!B:B,1,FALSE)), "No", "Yes")</f>
        <v>Yes</v>
      </c>
      <c r="P37" s="58" t="str">
        <f>IF(ISNA(VLOOKUP(A37,'Award Abstract#'!E:E,1,FALSE)), "No", "Yes")</f>
        <v>No</v>
      </c>
      <c r="Q37" s="58" t="str">
        <f>IF(ISNA(VLOOKUP(A37,'Award Abstract#'!A:A,1,FALSE)), "No", "Yes")</f>
        <v>No</v>
      </c>
      <c r="R37" s="58" t="str">
        <f>IF(ISNA(VLOOKUP(A37,'Award Abstract#'!D:D,1,FALSE)), "No", "Yes")</f>
        <v>Yes</v>
      </c>
      <c r="S37" s="64" t="str">
        <f>VLOOKUP(A37, 'Session Data'!A:AA,27,false)</f>
        <v>Man</v>
      </c>
      <c r="T37" s="64"/>
      <c r="U37" s="64"/>
      <c r="V37" s="58" t="str">
        <f>VLOOKUP(A37, 'Session Data'!A:AA,8,false)</f>
        <v>Ahmad </v>
      </c>
      <c r="W37" s="64" t="str">
        <f>VLOOKUP(A37, 'Session Data'!A:AA,9,false)</f>
        <v>Abushanab </v>
      </c>
      <c r="X37" s="64" t="str">
        <f>VLOOKUP(A37, 'Session Data'!A:AA,12,false)</f>
        <v>A Novel Approach in Diabetes Management: The Development and Clinical Implications of a MEMS Cuff Electrode for Vagus Nerve Stimulation</v>
      </c>
      <c r="Y37" s="61" t="str">
        <f>VLOOKUP(A37, 'Session Data'!A:AA,22,false)</f>
        <v>Sam </v>
      </c>
      <c r="Z37" s="61" t="str">
        <f>VLOOKUP(A37, 'Session Data'!A:AA,23,false)</f>
        <v>Kassegne</v>
      </c>
      <c r="AA37" s="61" t="str">
        <f>VLOOKUP(A37, 'Session Data'!A:AA,25,false)</f>
        <v>Engineering</v>
      </c>
      <c r="AB37" s="61" t="str">
        <f>VLOOKUP(A37, 'Session Data'!A:AA,24,false)</f>
        <v>kassegne@sdsu.edu</v>
      </c>
      <c r="AC37" s="61" t="str">
        <f>VLOOKUP(A37, 'Session Data'!A:AA,16,false)</f>
        <v>Paulette </v>
      </c>
      <c r="AD37" s="65" t="str">
        <f>VLOOKUP(A37, 'Session Data'!A:U,17,false)</f>
        <v>Suro</v>
      </c>
      <c r="AE37" s="65" t="str">
        <f>VLOOKUP(A37, 'Session Data'!A:U,18,false)</f>
        <v>Neharika</v>
      </c>
      <c r="AF37" s="65" t="str">
        <f>VLOOKUP(A37, 'Session Data'!A:U,19,false)</f>
        <v>Ravichandran</v>
      </c>
      <c r="AG37" s="65" t="str">
        <f>VLOOKUP(A37, 'Session Data'!A:U,20,false)</f>
        <v>Saja</v>
      </c>
      <c r="AH37" s="65" t="str">
        <f>VLOOKUP(A37, 'Session Data'!A:U,21,false)</f>
        <v>Sinnawi</v>
      </c>
      <c r="AI37" s="66"/>
      <c r="AJ37" s="66"/>
      <c r="AK37" s="66"/>
      <c r="AL37" s="67"/>
      <c r="AM37" s="61" t="str">
        <f>VLOOKUP(A37, 'Session Data'!A:AA,10,false)</f>
        <v>aabushanab4068@sdsu.edu</v>
      </c>
      <c r="AN37" s="68"/>
      <c r="AO37" s="69"/>
      <c r="AP37" s="69"/>
      <c r="AQ37" s="69"/>
      <c r="AR37" s="69"/>
      <c r="AS37" s="69"/>
      <c r="AT37" s="69"/>
      <c r="AU37" s="69"/>
      <c r="AV37" s="69"/>
      <c r="AW37" s="69"/>
      <c r="AX37" s="69"/>
      <c r="AY37" s="70"/>
      <c r="AZ37" s="70"/>
      <c r="BA37" s="71"/>
      <c r="BB37" s="71"/>
      <c r="BC37" s="70"/>
      <c r="BD37" s="70"/>
      <c r="BE37" s="72"/>
      <c r="BF37" s="58"/>
      <c r="BG37" s="70"/>
    </row>
    <row r="38">
      <c r="A38" s="19" t="s">
        <v>99</v>
      </c>
      <c r="B38" s="20">
        <f>VLOOKUP(F38,'Session Count DO NOT EDIT'!$A:$C,3,FALSE)</f>
        <v>5</v>
      </c>
      <c r="C38" s="20">
        <f>COUNTIFS('Scores Import DO NOT EDIT'!D:D,A38)</f>
        <v>3</v>
      </c>
      <c r="D38" s="21">
        <f t="shared" si="1"/>
        <v>0.6</v>
      </c>
      <c r="E38" s="22">
        <f>AVERAGEIFS('Scores Import DO NOT EDIT'!L:L,'Scores Import DO NOT EDIT'!D:D,A38)</f>
        <v>27</v>
      </c>
      <c r="F38" s="23" t="str">
        <f>VLOOKUP(A38, 'Session Data'!A:M,3,false)</f>
        <v>A-6</v>
      </c>
      <c r="G38" s="24" t="str">
        <f>VLOOKUP(A38, 'Session Data'!A:I,2,false)</f>
        <v>9:00 AM</v>
      </c>
      <c r="H38" s="23" t="str">
        <f>VLOOKUP(A38, 'Session Data'!A:J,5,false)</f>
        <v>Engineering and Computer Science</v>
      </c>
      <c r="I38" s="25" t="str">
        <f>VLOOKUP(A38, 'Session Data'!A:H,4,false)</f>
        <v>Oral </v>
      </c>
      <c r="J38" s="26" t="str">
        <f>VLOOKUP(A38, 'Session Data'!A:AA,14,false)</f>
        <v>Master's</v>
      </c>
      <c r="K38" s="27" t="str">
        <f>VLOOKUP(A38, 'Session Data'!A:AA,15,false)</f>
        <v>Engineering</v>
      </c>
      <c r="L38" s="47"/>
      <c r="M38" s="29" t="str">
        <f>VLOOKUP(A38, 'Session Data'!A:K,11,false)</f>
        <v>Master of Science in Bioengineering</v>
      </c>
      <c r="N38" s="26" t="str">
        <f>IF(ISNA(VLOOKUP(A38, 'Award Abstract#'!C:C, 1, FALSE)), "No", "Yes")
</f>
        <v>No</v>
      </c>
      <c r="O38" s="29" t="str">
        <f>IF(ISNA(VLOOKUP(A38,'Award Abstract#'!B:B,1,FALSE)), "No", "Yes")</f>
        <v>Yes</v>
      </c>
      <c r="P38" s="29" t="str">
        <f>IF(ISNA(VLOOKUP(A38,'Award Abstract#'!E:E,1,FALSE)), "No", "Yes")</f>
        <v>No</v>
      </c>
      <c r="Q38" s="29" t="str">
        <f>IF(ISNA(VLOOKUP(A38,'Award Abstract#'!A:A,1,FALSE)), "No", "Yes")</f>
        <v>No</v>
      </c>
      <c r="R38" s="29" t="str">
        <f>IF(ISNA(VLOOKUP(A38,'Award Abstract#'!D:D,1,FALSE)), "No", "Yes")</f>
        <v>Yes</v>
      </c>
      <c r="S38" s="30" t="str">
        <f>VLOOKUP(A38, 'Session Data'!A:AA,27,false)</f>
        <v>Woman</v>
      </c>
      <c r="T38" s="30"/>
      <c r="U38" s="30"/>
      <c r="V38" s="31" t="str">
        <f>VLOOKUP(A38, 'Session Data'!A:AA,8,false)</f>
        <v>Sara</v>
      </c>
      <c r="W38" s="32" t="str">
        <f>VLOOKUP(A38, 'Session Data'!A:AA,9,false)</f>
        <v>Herrera</v>
      </c>
      <c r="X38" s="33" t="str">
        <f>VLOOKUP(A38, 'Session Data'!A:AA,12,false)</f>
        <v>Can Bio-Analyte Detection Be Enhanced Through Optimization of Glassy Carbon Functionalization Techniques and Implementation of Field Effect Transistors?</v>
      </c>
      <c r="Y38" s="34" t="str">
        <f>VLOOKUP(A38, 'Session Data'!A:AA,22,false)</f>
        <v>Samuel</v>
      </c>
      <c r="Z38" s="34" t="str">
        <f>VLOOKUP(A38, 'Session Data'!A:AA,23,false)</f>
        <v>Kassegne</v>
      </c>
      <c r="AA38" s="34" t="str">
        <f>VLOOKUP(A38, 'Session Data'!A:AA,25,false)</f>
        <v>Engineering</v>
      </c>
      <c r="AB38" s="34" t="str">
        <f>VLOOKUP(A38, 'Session Data'!A:AA,24,false)</f>
        <v>kassegne@sdsu.edu</v>
      </c>
      <c r="AC38" s="34" t="str">
        <f>VLOOKUP(A38, 'Session Data'!A:AA,16,false)</f>
        <v>Bernice</v>
      </c>
      <c r="AD38" s="35" t="str">
        <f>VLOOKUP(A38, 'Session Data'!A:U,17,false)</f>
        <v>Gudino</v>
      </c>
      <c r="AE38" s="35" t="str">
        <f>VLOOKUP(A38, 'Session Data'!A:U,18,false)</f>
        <v>Samantha</v>
      </c>
      <c r="AF38" s="35" t="str">
        <f>VLOOKUP(A38, 'Session Data'!A:U,19,false)</f>
        <v>Omer</v>
      </c>
      <c r="AG38" s="35" t="str">
        <f>VLOOKUP(A38, 'Session Data'!A:U,20,false)</f>
        <v/>
      </c>
      <c r="AH38" s="35" t="str">
        <f>VLOOKUP(A38, 'Session Data'!A:U,21,false)</f>
        <v/>
      </c>
      <c r="AI38" s="37"/>
      <c r="AJ38" s="37"/>
      <c r="AK38" s="37"/>
      <c r="AL38" s="50"/>
      <c r="AM38" s="34" t="str">
        <f>VLOOKUP(A38, 'Session Data'!A:AA,10,false)</f>
        <v>sherrera8534@sdsu.edu</v>
      </c>
      <c r="AN38" s="40"/>
      <c r="AO38" s="38"/>
      <c r="AP38" s="38"/>
      <c r="AQ38" s="38"/>
      <c r="AR38" s="38"/>
      <c r="AS38" s="38"/>
      <c r="AT38" s="38"/>
      <c r="AU38" s="38"/>
      <c r="AV38" s="38"/>
      <c r="AW38" s="38"/>
      <c r="AX38" s="38"/>
      <c r="AY38" s="43"/>
      <c r="AZ38" s="43"/>
      <c r="BA38" s="43"/>
      <c r="BB38" s="43"/>
      <c r="BC38" s="43"/>
      <c r="BD38" s="43"/>
      <c r="BE38" s="44"/>
      <c r="BF38" s="45"/>
      <c r="BG38" s="43"/>
    </row>
    <row r="39">
      <c r="A39" s="19" t="s">
        <v>100</v>
      </c>
      <c r="B39" s="20">
        <f>VLOOKUP(F39,'Session Count DO NOT EDIT'!$A:$C,3,FALSE)</f>
        <v>5</v>
      </c>
      <c r="C39" s="20">
        <f>COUNTIFS('Scores Import DO NOT EDIT'!D:D,A39)</f>
        <v>3</v>
      </c>
      <c r="D39" s="21">
        <f t="shared" si="1"/>
        <v>0.6</v>
      </c>
      <c r="E39" s="22">
        <f>AVERAGEIFS('Scores Import DO NOT EDIT'!L:L,'Scores Import DO NOT EDIT'!D:D,A39)</f>
        <v>30.66666667</v>
      </c>
      <c r="F39" s="23" t="str">
        <f>VLOOKUP(A39, 'Session Data'!A:M,3,false)</f>
        <v>A-6</v>
      </c>
      <c r="G39" s="24" t="str">
        <f>VLOOKUP(A39, 'Session Data'!A:I,2,false)</f>
        <v>9:00 AM</v>
      </c>
      <c r="H39" s="23" t="str">
        <f>VLOOKUP(A39, 'Session Data'!A:J,5,false)</f>
        <v>Engineering and Computer Science</v>
      </c>
      <c r="I39" s="25" t="str">
        <f>VLOOKUP(A39, 'Session Data'!A:H,4,false)</f>
        <v>Oral </v>
      </c>
      <c r="J39" s="26" t="str">
        <f>VLOOKUP(A39, 'Session Data'!A:AA,14,false)</f>
        <v>Doctoral</v>
      </c>
      <c r="K39" s="27" t="str">
        <f>VLOOKUP(A39, 'Session Data'!A:AA,15,false)</f>
        <v>Engineering</v>
      </c>
      <c r="L39" s="28" t="s">
        <v>101</v>
      </c>
      <c r="M39" s="29" t="str">
        <f>VLOOKUP(A39, 'Session Data'!A:K,11,false)</f>
        <v>Ph.D. degree in Mechanical Engineering</v>
      </c>
      <c r="N39" s="26" t="str">
        <f>IF(ISNA(VLOOKUP(A39, 'Award Abstract#'!C:C, 1, FALSE)), "No", "Yes")
</f>
        <v>No</v>
      </c>
      <c r="O39" s="29" t="str">
        <f>IF(ISNA(VLOOKUP(A39,'Award Abstract#'!B:B,1,FALSE)), "No", "Yes")</f>
        <v>No</v>
      </c>
      <c r="P39" s="29" t="str">
        <f>IF(ISNA(VLOOKUP(A39,'Award Abstract#'!E:E,1,FALSE)), "No", "Yes")</f>
        <v>No</v>
      </c>
      <c r="Q39" s="29" t="str">
        <f>IF(ISNA(VLOOKUP(A39,'Award Abstract#'!A:A,1,FALSE)), "No", "Yes")</f>
        <v>No</v>
      </c>
      <c r="R39" s="29" t="str">
        <f>IF(ISNA(VLOOKUP(A39,'Award Abstract#'!D:D,1,FALSE)), "No", "Yes")</f>
        <v>Yes</v>
      </c>
      <c r="S39" s="30" t="str">
        <f>VLOOKUP(A39, 'Session Data'!A:AA,27,false)</f>
        <v>Woman</v>
      </c>
      <c r="T39" s="30"/>
      <c r="U39" s="30"/>
      <c r="V39" s="31" t="str">
        <f>VLOOKUP(A39, 'Session Data'!A:AA,8,false)</f>
        <v>Celia</v>
      </c>
      <c r="W39" s="32" t="str">
        <f>VLOOKUP(A39, 'Session Data'!A:AA,9,false)</f>
        <v>Rufo Martin</v>
      </c>
      <c r="X39" s="33" t="str">
        <f>VLOOKUP(A39, 'Session Data'!A:AA,12,false)</f>
        <v>Multi-faceted Mechanics Analysis of Novel Auxetic Meta-structures</v>
      </c>
      <c r="Y39" s="34" t="str">
        <f>VLOOKUP(A39, 'Session Data'!A:AA,22,false)</f>
        <v>George</v>
      </c>
      <c r="Z39" s="34" t="str">
        <f>VLOOKUP(A39, 'Session Data'!A:AA,23,false)</f>
        <v>Youssef</v>
      </c>
      <c r="AA39" s="34" t="str">
        <f>VLOOKUP(A39, 'Session Data'!A:AA,25,false)</f>
        <v>Engineering</v>
      </c>
      <c r="AB39" s="34" t="str">
        <f>VLOOKUP(A39, 'Session Data'!A:AA,24,false)</f>
        <v>gyoussef@sdsu.edu</v>
      </c>
      <c r="AC39" s="34" t="str">
        <f>VLOOKUP(A39, 'Session Data'!A:AA,16,false)</f>
        <v/>
      </c>
      <c r="AD39" s="35" t="str">
        <f>VLOOKUP(A39, 'Session Data'!A:U,17,false)</f>
        <v/>
      </c>
      <c r="AE39" s="35" t="str">
        <f>VLOOKUP(A39, 'Session Data'!A:U,18,false)</f>
        <v/>
      </c>
      <c r="AF39" s="35" t="str">
        <f>VLOOKUP(A39, 'Session Data'!A:U,19,false)</f>
        <v/>
      </c>
      <c r="AG39" s="35" t="str">
        <f>VLOOKUP(A39, 'Session Data'!A:U,20,false)</f>
        <v/>
      </c>
      <c r="AH39" s="35" t="str">
        <f>VLOOKUP(A39, 'Session Data'!A:U,21,false)</f>
        <v/>
      </c>
      <c r="AI39" s="37"/>
      <c r="AJ39" s="37"/>
      <c r="AK39" s="37"/>
      <c r="AL39" s="50"/>
      <c r="AM39" s="34" t="str">
        <f>VLOOKUP(A39, 'Session Data'!A:AA,10,false)</f>
        <v>crufomartin@sdsu.edu</v>
      </c>
      <c r="AN39" s="40"/>
      <c r="AO39" s="38"/>
      <c r="AP39" s="38"/>
      <c r="AQ39" s="38"/>
      <c r="AR39" s="38"/>
      <c r="AS39" s="38"/>
      <c r="AT39" s="38"/>
      <c r="AU39" s="38"/>
      <c r="AV39" s="38"/>
      <c r="AW39" s="38"/>
      <c r="AX39" s="38"/>
      <c r="AY39" s="43"/>
      <c r="AZ39" s="43"/>
      <c r="BA39" s="43"/>
      <c r="BB39" s="43"/>
      <c r="BC39" s="43"/>
      <c r="BD39" s="43"/>
      <c r="BE39" s="44"/>
      <c r="BF39" s="45"/>
      <c r="BG39" s="43"/>
    </row>
    <row r="40">
      <c r="A40" s="19" t="s">
        <v>102</v>
      </c>
      <c r="B40" s="20">
        <f>VLOOKUP(F40,'Session Count DO NOT EDIT'!$A:$C,3,FALSE)</f>
        <v>5</v>
      </c>
      <c r="C40" s="20">
        <f>COUNTIFS('Scores Import DO NOT EDIT'!D:D,A40)</f>
        <v>3</v>
      </c>
      <c r="D40" s="21">
        <f t="shared" si="1"/>
        <v>0.6</v>
      </c>
      <c r="E40" s="22">
        <f>AVERAGEIFS('Scores Import DO NOT EDIT'!L:L,'Scores Import DO NOT EDIT'!D:D,A40)</f>
        <v>23.33333333</v>
      </c>
      <c r="F40" s="23" t="str">
        <f>VLOOKUP(A40, 'Session Data'!A:M,3,false)</f>
        <v>A-6</v>
      </c>
      <c r="G40" s="24" t="str">
        <f>VLOOKUP(A40, 'Session Data'!A:I,2,false)</f>
        <v>9:00 AM</v>
      </c>
      <c r="H40" s="23" t="str">
        <f>VLOOKUP(A40, 'Session Data'!A:J,5,false)</f>
        <v>Engineering and Computer Science</v>
      </c>
      <c r="I40" s="25" t="str">
        <f>VLOOKUP(A40, 'Session Data'!A:H,4,false)</f>
        <v>Oral </v>
      </c>
      <c r="J40" s="26" t="str">
        <f>VLOOKUP(A40, 'Session Data'!A:AA,14,false)</f>
        <v>Doctoral</v>
      </c>
      <c r="K40" s="27" t="str">
        <f>VLOOKUP(A40, 'Session Data'!A:AA,15,false)</f>
        <v>Engineering</v>
      </c>
      <c r="L40" s="47"/>
      <c r="M40" s="29" t="str">
        <f>VLOOKUP(A40, 'Session Data'!A:K,11,false)</f>
        <v>PhD Electrical and Computer Engineering </v>
      </c>
      <c r="N40" s="26" t="str">
        <f>IF(ISNA(VLOOKUP(A40, 'Award Abstract#'!C:C, 1, FALSE)), "No", "Yes")
</f>
        <v>No</v>
      </c>
      <c r="O40" s="29" t="str">
        <f>IF(ISNA(VLOOKUP(A40,'Award Abstract#'!B:B,1,FALSE)), "No", "Yes")</f>
        <v>No</v>
      </c>
      <c r="P40" s="29" t="str">
        <f>IF(ISNA(VLOOKUP(A40,'Award Abstract#'!E:E,1,FALSE)), "No", "Yes")</f>
        <v>No</v>
      </c>
      <c r="Q40" s="29" t="str">
        <f>IF(ISNA(VLOOKUP(A40,'Award Abstract#'!A:A,1,FALSE)), "No", "Yes")</f>
        <v>No</v>
      </c>
      <c r="R40" s="29" t="str">
        <f>IF(ISNA(VLOOKUP(A40,'Award Abstract#'!D:D,1,FALSE)), "No", "Yes")</f>
        <v>No</v>
      </c>
      <c r="S40" s="30" t="str">
        <f>VLOOKUP(A40, 'Session Data'!A:AA,27,false)</f>
        <v>Woman</v>
      </c>
      <c r="T40" s="30"/>
      <c r="U40" s="30"/>
      <c r="V40" s="31" t="str">
        <f>VLOOKUP(A40, 'Session Data'!A:AA,8,false)</f>
        <v>Somayeh</v>
      </c>
      <c r="W40" s="32" t="str">
        <f>VLOOKUP(A40, 'Session Data'!A:AA,9,false)</f>
        <v>Komeylian</v>
      </c>
      <c r="X40" s="33" t="str">
        <f>VLOOKUP(A40, 'Session Data'!A:AA,12,false)</f>
        <v>A Wideband Hemispherical Metasurface (MTS) Antenna with Circular Fractal Elements for 6G Communications</v>
      </c>
      <c r="Y40" s="34" t="str">
        <f>VLOOKUP(A40, 'Session Data'!A:AA,22,false)</f>
        <v>Christopher</v>
      </c>
      <c r="Z40" s="34" t="str">
        <f>VLOOKUP(A40, 'Session Data'!A:AA,23,false)</f>
        <v>Paolini</v>
      </c>
      <c r="AA40" s="34" t="str">
        <f>VLOOKUP(A40, 'Session Data'!A:AA,25,false)</f>
        <v>Engineering</v>
      </c>
      <c r="AB40" s="34" t="str">
        <f>VLOOKUP(A40, 'Session Data'!A:AA,24,false)</f>
        <v>paolini@engineering.sdsu.edu</v>
      </c>
      <c r="AC40" s="34" t="str">
        <f>VLOOKUP(A40, 'Session Data'!A:AA,16,false)</f>
        <v/>
      </c>
      <c r="AD40" s="35" t="str">
        <f>VLOOKUP(A40, 'Session Data'!A:U,17,false)</f>
        <v/>
      </c>
      <c r="AE40" s="35" t="str">
        <f>VLOOKUP(A40, 'Session Data'!A:U,18,false)</f>
        <v/>
      </c>
      <c r="AF40" s="35" t="str">
        <f>VLOOKUP(A40, 'Session Data'!A:U,19,false)</f>
        <v/>
      </c>
      <c r="AG40" s="35" t="str">
        <f>VLOOKUP(A40, 'Session Data'!A:U,20,false)</f>
        <v/>
      </c>
      <c r="AH40" s="35" t="str">
        <f>VLOOKUP(A40, 'Session Data'!A:U,21,false)</f>
        <v/>
      </c>
      <c r="AI40" s="36"/>
      <c r="AJ40" s="38"/>
      <c r="AK40" s="38"/>
      <c r="AL40" s="73"/>
      <c r="AM40" s="34" t="str">
        <f>VLOOKUP(A40, 'Session Data'!A:AA,10,false)</f>
        <v>skomeylian6934@sdsu.edu</v>
      </c>
      <c r="AN40" s="74"/>
      <c r="AO40" s="38"/>
      <c r="AP40" s="38"/>
      <c r="AQ40" s="38"/>
      <c r="AR40" s="38"/>
      <c r="AS40" s="38"/>
      <c r="AT40" s="38"/>
      <c r="AU40" s="38"/>
      <c r="AV40" s="38"/>
      <c r="AW40" s="38"/>
      <c r="AX40" s="38"/>
      <c r="AY40" s="38"/>
      <c r="AZ40" s="51"/>
      <c r="BA40" s="48"/>
      <c r="BB40" s="48"/>
      <c r="BC40" s="43"/>
      <c r="BD40" s="43"/>
      <c r="BE40" s="44"/>
      <c r="BF40" s="45"/>
      <c r="BG40" s="46"/>
    </row>
    <row r="41">
      <c r="A41" s="19" t="s">
        <v>103</v>
      </c>
      <c r="B41" s="20">
        <f>VLOOKUP(F41,'Session Count DO NOT EDIT'!$A:$C,3,FALSE)</f>
        <v>5</v>
      </c>
      <c r="C41" s="20">
        <f>COUNTIFS('Scores Import DO NOT EDIT'!D:D,A41)</f>
        <v>5</v>
      </c>
      <c r="D41" s="21">
        <f t="shared" si="1"/>
        <v>1</v>
      </c>
      <c r="E41" s="22">
        <f>AVERAGEIFS('Scores Import DO NOT EDIT'!L:L,'Scores Import DO NOT EDIT'!D:D,A41)</f>
        <v>24.2</v>
      </c>
      <c r="F41" s="23" t="str">
        <f>VLOOKUP(A41, 'Session Data'!A:M,3,false)</f>
        <v>A-7</v>
      </c>
      <c r="G41" s="24" t="str">
        <f>VLOOKUP(A41, 'Session Data'!A:I,2,false)</f>
        <v>9:00 AM</v>
      </c>
      <c r="H41" s="23" t="str">
        <f>VLOOKUP(A41, 'Session Data'!A:J,5,false)</f>
        <v>Humanities, History, Literature, Philosophy</v>
      </c>
      <c r="I41" s="25" t="str">
        <f>VLOOKUP(A41, 'Session Data'!A:H,4,false)</f>
        <v>Oral </v>
      </c>
      <c r="J41" s="26" t="str">
        <f>VLOOKUP(A41, 'Session Data'!A:AA,14,false)</f>
        <v>Master's</v>
      </c>
      <c r="K41" s="27" t="str">
        <f>VLOOKUP(A41, 'Session Data'!A:AA,15,false)</f>
        <v>Arts and Letters</v>
      </c>
      <c r="L41" s="47"/>
      <c r="M41" s="29" t="str">
        <f>VLOOKUP(A41, 'Session Data'!A:K,11,false)</f>
        <v>Masters of Arts in Philosophy</v>
      </c>
      <c r="N41" s="26" t="str">
        <f>IF(ISNA(VLOOKUP(A41, 'Award Abstract#'!C:C, 1, FALSE)), "No", "Yes")
</f>
        <v>No</v>
      </c>
      <c r="O41" s="29" t="str">
        <f>IF(ISNA(VLOOKUP(A41,'Award Abstract#'!B:B,1,FALSE)), "No", "Yes")</f>
        <v>Yes</v>
      </c>
      <c r="P41" s="29" t="str">
        <f>IF(ISNA(VLOOKUP(A41,'Award Abstract#'!E:E,1,FALSE)), "No", "Yes")</f>
        <v>No</v>
      </c>
      <c r="Q41" s="29" t="str">
        <f>IF(ISNA(VLOOKUP(A41,'Award Abstract#'!A:A,1,FALSE)), "No", "Yes")</f>
        <v>No</v>
      </c>
      <c r="R41" s="29" t="str">
        <f>IF(ISNA(VLOOKUP(A41,'Award Abstract#'!D:D,1,FALSE)), "No", "Yes")</f>
        <v>Yes</v>
      </c>
      <c r="S41" s="30" t="str">
        <f>VLOOKUP(A41, 'Session Data'!A:AA,27,false)</f>
        <v>Man</v>
      </c>
      <c r="T41" s="30"/>
      <c r="U41" s="30"/>
      <c r="V41" s="31" t="str">
        <f>VLOOKUP(A41, 'Session Data'!A:AA,8,false)</f>
        <v>Matthew</v>
      </c>
      <c r="W41" s="32" t="str">
        <f>VLOOKUP(A41, 'Session Data'!A:AA,9,false)</f>
        <v>Brown</v>
      </c>
      <c r="X41" s="33" t="str">
        <f>VLOOKUP(A41, 'Session Data'!A:AA,12,false)</f>
        <v>Effects of Ancient Texts on Modern Attitudes: Comparing Traditional Western and Asian Animal Imagery and Contemporary Motivations for Vegetarianism</v>
      </c>
      <c r="Y41" s="34" t="str">
        <f>VLOOKUP(A41, 'Session Data'!A:AA,22,false)</f>
        <v>Sandra</v>
      </c>
      <c r="Z41" s="34" t="str">
        <f>VLOOKUP(A41, 'Session Data'!A:AA,23,false)</f>
        <v>Wawrytko</v>
      </c>
      <c r="AA41" s="34" t="str">
        <f>VLOOKUP(A41, 'Session Data'!A:AA,25,false)</f>
        <v>Arts and Letters</v>
      </c>
      <c r="AB41" s="34" t="str">
        <f>VLOOKUP(A41, 'Session Data'!A:AA,24,false)</f>
        <v>wawrytko@sdsu.edu</v>
      </c>
      <c r="AC41" s="34" t="str">
        <f>VLOOKUP(A41, 'Session Data'!A:AA,16,false)</f>
        <v/>
      </c>
      <c r="AD41" s="35" t="str">
        <f>VLOOKUP(A41, 'Session Data'!A:U,17,false)</f>
        <v/>
      </c>
      <c r="AE41" s="35" t="str">
        <f>VLOOKUP(A41, 'Session Data'!A:U,18,false)</f>
        <v/>
      </c>
      <c r="AF41" s="35" t="str">
        <f>VLOOKUP(A41, 'Session Data'!A:U,19,false)</f>
        <v/>
      </c>
      <c r="AG41" s="35" t="str">
        <f>VLOOKUP(A41, 'Session Data'!A:U,20,false)</f>
        <v/>
      </c>
      <c r="AH41" s="35" t="str">
        <f>VLOOKUP(A41, 'Session Data'!A:U,21,false)</f>
        <v/>
      </c>
      <c r="AI41" s="36"/>
      <c r="AJ41" s="38"/>
      <c r="AK41" s="38"/>
      <c r="AL41" s="39"/>
      <c r="AM41" s="34" t="str">
        <f>VLOOKUP(A41, 'Session Data'!A:AA,10,false)</f>
        <v>mbrown3467@sdsu.edu</v>
      </c>
      <c r="AN41" s="40"/>
      <c r="AO41" s="38"/>
      <c r="AP41" s="38"/>
      <c r="AQ41" s="38"/>
      <c r="AR41" s="38"/>
      <c r="AS41" s="38"/>
      <c r="AT41" s="38"/>
      <c r="AU41" s="38"/>
      <c r="AV41" s="38"/>
      <c r="AW41" s="38"/>
      <c r="AX41" s="38"/>
      <c r="AY41" s="43"/>
      <c r="AZ41" s="43"/>
      <c r="BA41" s="43"/>
      <c r="BB41" s="43"/>
      <c r="BC41" s="43"/>
      <c r="BD41" s="43"/>
      <c r="BE41" s="44"/>
      <c r="BF41" s="45"/>
      <c r="BG41" s="43"/>
    </row>
    <row r="42">
      <c r="A42" s="19" t="s">
        <v>104</v>
      </c>
      <c r="B42" s="20">
        <f>VLOOKUP(F42,'Session Count DO NOT EDIT'!$A:$C,3,FALSE)</f>
        <v>5</v>
      </c>
      <c r="C42" s="20">
        <f>COUNTIFS('Scores Import DO NOT EDIT'!D:D,A42)</f>
        <v>5</v>
      </c>
      <c r="D42" s="21">
        <f t="shared" si="1"/>
        <v>1</v>
      </c>
      <c r="E42" s="22">
        <f>AVERAGEIFS('Scores Import DO NOT EDIT'!L:L,'Scores Import DO NOT EDIT'!D:D,A42)</f>
        <v>27</v>
      </c>
      <c r="F42" s="23" t="str">
        <f>VLOOKUP(A42, 'Session Data'!A:M,3,false)</f>
        <v>A-7</v>
      </c>
      <c r="G42" s="24" t="str">
        <f>VLOOKUP(A42, 'Session Data'!A:I,2,false)</f>
        <v>9:00 AM</v>
      </c>
      <c r="H42" s="23" t="str">
        <f>VLOOKUP(A42, 'Session Data'!A:J,5,false)</f>
        <v>Humanities, History, Literature, Philosophy</v>
      </c>
      <c r="I42" s="25" t="str">
        <f>VLOOKUP(A42, 'Session Data'!A:H,4,false)</f>
        <v>Oral </v>
      </c>
      <c r="J42" s="26" t="str">
        <f>VLOOKUP(A42, 'Session Data'!A:AA,14,false)</f>
        <v>Master's</v>
      </c>
      <c r="K42" s="27" t="str">
        <f>VLOOKUP(A42, 'Session Data'!A:AA,15,false)</f>
        <v>Arts and Letters</v>
      </c>
      <c r="L42" s="28" t="s">
        <v>105</v>
      </c>
      <c r="M42" s="29" t="str">
        <f>VLOOKUP(A42, 'Session Data'!A:K,11,false)</f>
        <v>MA Philosophy</v>
      </c>
      <c r="N42" s="26" t="str">
        <f>IF(ISNA(VLOOKUP(A42, 'Award Abstract#'!C:C, 1, FALSE)), "No", "Yes")
</f>
        <v>No</v>
      </c>
      <c r="O42" s="29" t="str">
        <f>IF(ISNA(VLOOKUP(A42,'Award Abstract#'!B:B,1,FALSE)), "No", "Yes")</f>
        <v>No</v>
      </c>
      <c r="P42" s="29" t="str">
        <f>IF(ISNA(VLOOKUP(A42,'Award Abstract#'!E:E,1,FALSE)), "No", "Yes")</f>
        <v>No</v>
      </c>
      <c r="Q42" s="29" t="str">
        <f>IF(ISNA(VLOOKUP(A42,'Award Abstract#'!A:A,1,FALSE)), "No", "Yes")</f>
        <v>No</v>
      </c>
      <c r="R42" s="29" t="str">
        <f>IF(ISNA(VLOOKUP(A42,'Award Abstract#'!D:D,1,FALSE)), "No", "Yes")</f>
        <v>No</v>
      </c>
      <c r="S42" s="30" t="str">
        <f>VLOOKUP(A42, 'Session Data'!A:AA,27,false)</f>
        <v>Woman</v>
      </c>
      <c r="T42" s="30"/>
      <c r="U42" s="30"/>
      <c r="V42" s="31" t="str">
        <f>VLOOKUP(A42, 'Session Data'!A:AA,8,false)</f>
        <v>Chiara</v>
      </c>
      <c r="W42" s="32" t="str">
        <f>VLOOKUP(A42, 'Session Data'!A:AA,9,false)</f>
        <v>Malvestiti</v>
      </c>
      <c r="X42" s="33" t="str">
        <f>VLOOKUP(A42, 'Session Data'!A:AA,12,false)</f>
        <v>The hypocrisy of the homo economicus. Surveillance capitalism and the law of profit.</v>
      </c>
      <c r="Y42" s="34" t="str">
        <f>VLOOKUP(A42, 'Session Data'!A:AA,22,false)</f>
        <v>Tawny </v>
      </c>
      <c r="Z42" s="34" t="str">
        <f>VLOOKUP(A42, 'Session Data'!A:AA,23,false)</f>
        <v>Whaley</v>
      </c>
      <c r="AA42" s="34" t="str">
        <f>VLOOKUP(A42, 'Session Data'!A:AA,25,false)</f>
        <v>Arts and Letters</v>
      </c>
      <c r="AB42" s="34" t="str">
        <f>VLOOKUP(A42, 'Session Data'!A:AA,24,false)</f>
        <v>tmwhaley@sdsu.edu</v>
      </c>
      <c r="AC42" s="34" t="str">
        <f>VLOOKUP(A42, 'Session Data'!A:AA,16,false)</f>
        <v/>
      </c>
      <c r="AD42" s="35" t="str">
        <f>VLOOKUP(A42, 'Session Data'!A:U,17,false)</f>
        <v/>
      </c>
      <c r="AE42" s="35" t="str">
        <f>VLOOKUP(A42, 'Session Data'!A:U,18,false)</f>
        <v/>
      </c>
      <c r="AF42" s="35" t="str">
        <f>VLOOKUP(A42, 'Session Data'!A:U,19,false)</f>
        <v/>
      </c>
      <c r="AG42" s="35" t="str">
        <f>VLOOKUP(A42, 'Session Data'!A:U,20,false)</f>
        <v/>
      </c>
      <c r="AH42" s="35" t="str">
        <f>VLOOKUP(A42, 'Session Data'!A:U,21,false)</f>
        <v/>
      </c>
      <c r="AI42" s="36"/>
      <c r="AJ42" s="38"/>
      <c r="AK42" s="38"/>
      <c r="AL42" s="39"/>
      <c r="AM42" s="34" t="str">
        <f>VLOOKUP(A42, 'Session Data'!A:AA,10,false)</f>
        <v>cmalvestiti6804@sdsu.edu</v>
      </c>
      <c r="AN42" s="40"/>
      <c r="AO42" s="38"/>
      <c r="AP42" s="38"/>
      <c r="AQ42" s="38"/>
      <c r="AR42" s="38"/>
      <c r="AS42" s="38"/>
      <c r="AT42" s="38"/>
      <c r="AU42" s="38"/>
      <c r="AV42" s="38"/>
      <c r="AW42" s="38"/>
      <c r="AX42" s="38"/>
      <c r="AY42" s="43"/>
      <c r="AZ42" s="43"/>
      <c r="BA42" s="48"/>
      <c r="BB42" s="48"/>
      <c r="BC42" s="43"/>
      <c r="BD42" s="43"/>
      <c r="BE42" s="44"/>
      <c r="BF42" s="45"/>
      <c r="BG42" s="43"/>
    </row>
    <row r="43">
      <c r="A43" s="19" t="s">
        <v>106</v>
      </c>
      <c r="B43" s="20">
        <f>VLOOKUP(F43,'Session Count DO NOT EDIT'!$A:$C,3,FALSE)</f>
        <v>5</v>
      </c>
      <c r="C43" s="20">
        <f>COUNTIFS('Scores Import DO NOT EDIT'!D:D,A43)</f>
        <v>5</v>
      </c>
      <c r="D43" s="21">
        <f t="shared" si="1"/>
        <v>1</v>
      </c>
      <c r="E43" s="22">
        <f>AVERAGEIFS('Scores Import DO NOT EDIT'!L:L,'Scores Import DO NOT EDIT'!D:D,A43)</f>
        <v>26</v>
      </c>
      <c r="F43" s="23" t="str">
        <f>VLOOKUP(A43, 'Session Data'!A:M,3,false)</f>
        <v>A-7</v>
      </c>
      <c r="G43" s="24" t="str">
        <f>VLOOKUP(A43, 'Session Data'!A:I,2,false)</f>
        <v>9:00 AM</v>
      </c>
      <c r="H43" s="23" t="str">
        <f>VLOOKUP(A43, 'Session Data'!A:J,5,false)</f>
        <v>Humanities, History, Literature, Philosophy</v>
      </c>
      <c r="I43" s="25" t="str">
        <f>VLOOKUP(A43, 'Session Data'!A:H,4,false)</f>
        <v>Oral </v>
      </c>
      <c r="J43" s="26" t="str">
        <f>VLOOKUP(A43, 'Session Data'!A:AA,14,false)</f>
        <v>Master's</v>
      </c>
      <c r="K43" s="27" t="str">
        <f>VLOOKUP(A43, 'Session Data'!A:AA,15,false)</f>
        <v>Arts and Letters</v>
      </c>
      <c r="L43" s="47"/>
      <c r="M43" s="29" t="str">
        <f>VLOOKUP(A43, 'Session Data'!A:K,11,false)</f>
        <v>Anthropology</v>
      </c>
      <c r="N43" s="26" t="str">
        <f>IF(ISNA(VLOOKUP(A43, 'Award Abstract#'!C:C, 1, FALSE)), "No", "Yes")
</f>
        <v>No</v>
      </c>
      <c r="O43" s="29" t="str">
        <f>IF(ISNA(VLOOKUP(A43,'Award Abstract#'!B:B,1,FALSE)), "No", "Yes")</f>
        <v>No</v>
      </c>
      <c r="P43" s="29" t="str">
        <f>IF(ISNA(VLOOKUP(A43,'Award Abstract#'!E:E,1,FALSE)), "No", "Yes")</f>
        <v>No</v>
      </c>
      <c r="Q43" s="29" t="str">
        <f>IF(ISNA(VLOOKUP(A43,'Award Abstract#'!A:A,1,FALSE)), "No", "Yes")</f>
        <v>No</v>
      </c>
      <c r="R43" s="29" t="str">
        <f>IF(ISNA(VLOOKUP(A43,'Award Abstract#'!D:D,1,FALSE)), "No", "Yes")</f>
        <v>Yes</v>
      </c>
      <c r="S43" s="30" t="str">
        <f>VLOOKUP(A43, 'Session Data'!A:AA,27,false)</f>
        <v>Man</v>
      </c>
      <c r="T43" s="30"/>
      <c r="U43" s="30"/>
      <c r="V43" s="31" t="str">
        <f>VLOOKUP(A43, 'Session Data'!A:AA,8,false)</f>
        <v>Micah</v>
      </c>
      <c r="W43" s="32" t="str">
        <f>VLOOKUP(A43, 'Session Data'!A:AA,9,false)</f>
        <v>Sakado</v>
      </c>
      <c r="X43" s="33" t="str">
        <f>VLOOKUP(A43, 'Session Data'!A:AA,12,false)</f>
        <v>“Bordering on Parasocial”: Personhood and Parasocial Relationships in VTubing</v>
      </c>
      <c r="Y43" s="34" t="str">
        <f>VLOOKUP(A43, 'Session Data'!A:AA,22,false)</f>
        <v>Vijayanka</v>
      </c>
      <c r="Z43" s="34" t="str">
        <f>VLOOKUP(A43, 'Session Data'!A:AA,23,false)</f>
        <v>Nair</v>
      </c>
      <c r="AA43" s="34" t="str">
        <f>VLOOKUP(A43, 'Session Data'!A:AA,25,false)</f>
        <v>Arts and Letters</v>
      </c>
      <c r="AB43" s="34" t="str">
        <f>VLOOKUP(A43, 'Session Data'!A:AA,24,false)</f>
        <v>vnair@sdsu.edu</v>
      </c>
      <c r="AC43" s="34" t="str">
        <f>VLOOKUP(A43, 'Session Data'!A:AA,16,false)</f>
        <v/>
      </c>
      <c r="AD43" s="35" t="str">
        <f>VLOOKUP(A43, 'Session Data'!A:U,17,false)</f>
        <v/>
      </c>
      <c r="AE43" s="35" t="str">
        <f>VLOOKUP(A43, 'Session Data'!A:U,18,false)</f>
        <v/>
      </c>
      <c r="AF43" s="35" t="str">
        <f>VLOOKUP(A43, 'Session Data'!A:U,19,false)</f>
        <v/>
      </c>
      <c r="AG43" s="35" t="str">
        <f>VLOOKUP(A43, 'Session Data'!A:U,20,false)</f>
        <v/>
      </c>
      <c r="AH43" s="35" t="str">
        <f>VLOOKUP(A43, 'Session Data'!A:U,21,false)</f>
        <v/>
      </c>
      <c r="AI43" s="37"/>
      <c r="AJ43" s="37"/>
      <c r="AK43" s="37"/>
      <c r="AL43" s="50"/>
      <c r="AM43" s="34" t="str">
        <f>VLOOKUP(A43, 'Session Data'!A:AA,10,false)</f>
        <v>msakado0828@sdsu.edu</v>
      </c>
      <c r="AN43" s="40"/>
      <c r="AO43" s="38"/>
      <c r="AP43" s="38"/>
      <c r="AQ43" s="38"/>
      <c r="AR43" s="38"/>
      <c r="AS43" s="38"/>
      <c r="AT43" s="38"/>
      <c r="AU43" s="38"/>
      <c r="AV43" s="38"/>
      <c r="AW43" s="38"/>
      <c r="AX43" s="38"/>
      <c r="AY43" s="43"/>
      <c r="AZ43" s="43"/>
      <c r="BA43" s="48"/>
      <c r="BB43" s="48"/>
      <c r="BC43" s="43"/>
      <c r="BD43" s="43"/>
      <c r="BE43" s="44"/>
      <c r="BF43" s="45"/>
      <c r="BG43" s="43"/>
    </row>
    <row r="44">
      <c r="A44" s="19" t="s">
        <v>107</v>
      </c>
      <c r="B44" s="20">
        <f>VLOOKUP(F44,'Session Count DO NOT EDIT'!$A:$C,3,FALSE)</f>
        <v>5</v>
      </c>
      <c r="C44" s="20">
        <f>COUNTIFS('Scores Import DO NOT EDIT'!D:D,A44)</f>
        <v>5</v>
      </c>
      <c r="D44" s="21">
        <f t="shared" si="1"/>
        <v>1</v>
      </c>
      <c r="E44" s="22">
        <f>AVERAGEIFS('Scores Import DO NOT EDIT'!L:L,'Scores Import DO NOT EDIT'!D:D,A44)</f>
        <v>22.6</v>
      </c>
      <c r="F44" s="23" t="str">
        <f>VLOOKUP(A44, 'Session Data'!A:M,3,false)</f>
        <v>A-7</v>
      </c>
      <c r="G44" s="24" t="str">
        <f>VLOOKUP(A44, 'Session Data'!A:I,2,false)</f>
        <v>9:00 AM</v>
      </c>
      <c r="H44" s="23" t="str">
        <f>VLOOKUP(A44, 'Session Data'!A:J,5,false)</f>
        <v>Humanities, History, Literature, Philosophy</v>
      </c>
      <c r="I44" s="25" t="str">
        <f>VLOOKUP(A44, 'Session Data'!A:H,4,false)</f>
        <v>Oral </v>
      </c>
      <c r="J44" s="26" t="str">
        <f>VLOOKUP(A44, 'Session Data'!A:AA,14,false)</f>
        <v>Master's</v>
      </c>
      <c r="K44" s="27" t="str">
        <f>VLOOKUP(A44, 'Session Data'!A:AA,15,false)</f>
        <v>Arts and Letters</v>
      </c>
      <c r="L44" s="47"/>
      <c r="M44" s="29" t="str">
        <f>VLOOKUP(A44, 'Session Data'!A:K,11,false)</f>
        <v>Masters of Arts in History</v>
      </c>
      <c r="N44" s="26" t="str">
        <f>IF(ISNA(VLOOKUP(A44, 'Award Abstract#'!C:C, 1, FALSE)), "No", "Yes")
</f>
        <v>No</v>
      </c>
      <c r="O44" s="29" t="str">
        <f>IF(ISNA(VLOOKUP(A44,'Award Abstract#'!B:B,1,FALSE)), "No", "Yes")</f>
        <v>No</v>
      </c>
      <c r="P44" s="29" t="str">
        <f>IF(ISNA(VLOOKUP(A44,'Award Abstract#'!E:E,1,FALSE)), "No", "Yes")</f>
        <v>No</v>
      </c>
      <c r="Q44" s="29" t="str">
        <f>IF(ISNA(VLOOKUP(A44,'Award Abstract#'!A:A,1,FALSE)), "No", "Yes")</f>
        <v>No</v>
      </c>
      <c r="R44" s="29" t="str">
        <f>IF(ISNA(VLOOKUP(A44,'Award Abstract#'!D:D,1,FALSE)), "No", "Yes")</f>
        <v>No</v>
      </c>
      <c r="S44" s="30" t="str">
        <f>VLOOKUP(A44, 'Session Data'!A:AA,27,false)</f>
        <v>Woman</v>
      </c>
      <c r="T44" s="30"/>
      <c r="U44" s="30"/>
      <c r="V44" s="31" t="str">
        <f>VLOOKUP(A44, 'Session Data'!A:AA,8,false)</f>
        <v>Anissa</v>
      </c>
      <c r="W44" s="32" t="str">
        <f>VLOOKUP(A44, 'Session Data'!A:AA,9,false)</f>
        <v>Zuniga</v>
      </c>
      <c r="X44" s="33" t="str">
        <f>VLOOKUP(A44, 'Session Data'!A:AA,12,false)</f>
        <v>Unveiling the Impact of Gloria Calderon Kellet</v>
      </c>
      <c r="Y44" s="34" t="str">
        <f>VLOOKUP(A44, 'Session Data'!A:AA,22,false)</f>
        <v>Eve</v>
      </c>
      <c r="Z44" s="34" t="str">
        <f>VLOOKUP(A44, 'Session Data'!A:AA,23,false)</f>
        <v>Kornfeld</v>
      </c>
      <c r="AA44" s="34" t="str">
        <f>VLOOKUP(A44, 'Session Data'!A:AA,25,false)</f>
        <v>Arts and Letters</v>
      </c>
      <c r="AB44" s="34" t="str">
        <f>VLOOKUP(A44, 'Session Data'!A:AA,24,false)</f>
        <v>kornfeld@sdsu.edu</v>
      </c>
      <c r="AC44" s="34" t="str">
        <f>VLOOKUP(A44, 'Session Data'!A:AA,16,false)</f>
        <v/>
      </c>
      <c r="AD44" s="35" t="str">
        <f>VLOOKUP(A44, 'Session Data'!A:U,17,false)</f>
        <v/>
      </c>
      <c r="AE44" s="35" t="str">
        <f>VLOOKUP(A44, 'Session Data'!A:U,18,false)</f>
        <v/>
      </c>
      <c r="AF44" s="35" t="str">
        <f>VLOOKUP(A44, 'Session Data'!A:U,19,false)</f>
        <v/>
      </c>
      <c r="AG44" s="35" t="str">
        <f>VLOOKUP(A44, 'Session Data'!A:U,20,false)</f>
        <v/>
      </c>
      <c r="AH44" s="35" t="str">
        <f>VLOOKUP(A44, 'Session Data'!A:U,21,false)</f>
        <v/>
      </c>
      <c r="AI44" s="37"/>
      <c r="AJ44" s="37"/>
      <c r="AK44" s="37"/>
      <c r="AL44" s="50"/>
      <c r="AM44" s="34" t="str">
        <f>VLOOKUP(A44, 'Session Data'!A:AA,10,false)</f>
        <v>azuniga5414@sdsu.edu</v>
      </c>
      <c r="AN44" s="40"/>
      <c r="AO44" s="38"/>
      <c r="AP44" s="38"/>
      <c r="AQ44" s="38"/>
      <c r="AR44" s="38"/>
      <c r="AS44" s="38"/>
      <c r="AT44" s="38"/>
      <c r="AU44" s="38"/>
      <c r="AV44" s="38"/>
      <c r="AW44" s="38"/>
      <c r="AX44" s="38"/>
      <c r="AY44" s="43"/>
      <c r="AZ44" s="43"/>
      <c r="BA44" s="43"/>
      <c r="BB44" s="43"/>
      <c r="BC44" s="43"/>
      <c r="BD44" s="43"/>
      <c r="BE44" s="44"/>
      <c r="BF44" s="45"/>
      <c r="BG44" s="43"/>
    </row>
    <row r="45">
      <c r="A45" s="19" t="s">
        <v>108</v>
      </c>
      <c r="B45" s="20">
        <f>VLOOKUP(F45,'Session Count DO NOT EDIT'!$A:$C,3,FALSE)</f>
        <v>5</v>
      </c>
      <c r="C45" s="20">
        <f>COUNTIFS('Scores Import DO NOT EDIT'!D:D,A45)</f>
        <v>5</v>
      </c>
      <c r="D45" s="21">
        <f t="shared" si="1"/>
        <v>1</v>
      </c>
      <c r="E45" s="22">
        <f>AVERAGEIFS('Scores Import DO NOT EDIT'!L:L,'Scores Import DO NOT EDIT'!D:D,A45)</f>
        <v>22.4</v>
      </c>
      <c r="F45" s="23" t="str">
        <f>VLOOKUP(A45, 'Session Data'!A:M,3,false)</f>
        <v>A-7</v>
      </c>
      <c r="G45" s="24" t="str">
        <f>VLOOKUP(A45, 'Session Data'!A:I,2,false)</f>
        <v>9:00 AM</v>
      </c>
      <c r="H45" s="23" t="str">
        <f>VLOOKUP(A45, 'Session Data'!A:J,5,false)</f>
        <v>Humanities, History, Literature, Philosophy</v>
      </c>
      <c r="I45" s="25" t="str">
        <f>VLOOKUP(A45, 'Session Data'!A:H,4,false)</f>
        <v>Oral </v>
      </c>
      <c r="J45" s="26" t="str">
        <f>VLOOKUP(A45, 'Session Data'!A:AA,14,false)</f>
        <v>Master's</v>
      </c>
      <c r="K45" s="27" t="str">
        <f>VLOOKUP(A45, 'Session Data'!A:AA,15,false)</f>
        <v>Arts and Letters</v>
      </c>
      <c r="L45" s="47"/>
      <c r="M45" s="29" t="str">
        <f>VLOOKUP(A45, 'Session Data'!A:K,11,false)</f>
        <v>Masters of Arts in History</v>
      </c>
      <c r="N45" s="26" t="str">
        <f>IF(ISNA(VLOOKUP(A45, 'Award Abstract#'!C:C, 1, FALSE)), "No", "Yes")
</f>
        <v>No</v>
      </c>
      <c r="O45" s="29" t="str">
        <f>IF(ISNA(VLOOKUP(A45,'Award Abstract#'!B:B,1,FALSE)), "No", "Yes")</f>
        <v>No</v>
      </c>
      <c r="P45" s="29" t="str">
        <f>IF(ISNA(VLOOKUP(A45,'Award Abstract#'!E:E,1,FALSE)), "No", "Yes")</f>
        <v>No</v>
      </c>
      <c r="Q45" s="29" t="str">
        <f>IF(ISNA(VLOOKUP(A45,'Award Abstract#'!A:A,1,FALSE)), "No", "Yes")</f>
        <v>No</v>
      </c>
      <c r="R45" s="29" t="str">
        <f>IF(ISNA(VLOOKUP(A45,'Award Abstract#'!D:D,1,FALSE)), "No", "Yes")</f>
        <v>No</v>
      </c>
      <c r="S45" s="30" t="str">
        <f>VLOOKUP(A45, 'Session Data'!A:AA,27,false)</f>
        <v>Man</v>
      </c>
      <c r="T45" s="30"/>
      <c r="U45" s="30"/>
      <c r="V45" s="31" t="str">
        <f>VLOOKUP(A45, 'Session Data'!A:AA,8,false)</f>
        <v>Rustico</v>
      </c>
      <c r="W45" s="32" t="str">
        <f>VLOOKUP(A45, 'Session Data'!A:AA,9,false)</f>
        <v>Rasing</v>
      </c>
      <c r="X45" s="33" t="str">
        <f>VLOOKUP(A45, 'Session Data'!A:AA,12,false)</f>
        <v>Emnity to Affinity and Beyond: Filipino Eternal Indebtedness</v>
      </c>
      <c r="Y45" s="34" t="str">
        <f>VLOOKUP(A45, 'Session Data'!A:AA,22,false)</f>
        <v>Paula</v>
      </c>
      <c r="Z45" s="34" t="str">
        <f>VLOOKUP(A45, 'Session Data'!A:AA,23,false)</f>
        <v>Devos</v>
      </c>
      <c r="AA45" s="34" t="str">
        <f>VLOOKUP(A45, 'Session Data'!A:AA,25,false)</f>
        <v>Arts and Letters</v>
      </c>
      <c r="AB45" s="34" t="str">
        <f>VLOOKUP(A45, 'Session Data'!A:AA,24,false)</f>
        <v>pdevos@sdsu.edu</v>
      </c>
      <c r="AC45" s="34" t="str">
        <f>VLOOKUP(A45, 'Session Data'!A:AA,16,false)</f>
        <v/>
      </c>
      <c r="AD45" s="35" t="str">
        <f>VLOOKUP(A45, 'Session Data'!A:U,17,false)</f>
        <v/>
      </c>
      <c r="AE45" s="35" t="str">
        <f>VLOOKUP(A45, 'Session Data'!A:U,18,false)</f>
        <v/>
      </c>
      <c r="AF45" s="35" t="str">
        <f>VLOOKUP(A45, 'Session Data'!A:U,19,false)</f>
        <v/>
      </c>
      <c r="AG45" s="35" t="str">
        <f>VLOOKUP(A45, 'Session Data'!A:U,20,false)</f>
        <v/>
      </c>
      <c r="AH45" s="35" t="str">
        <f>VLOOKUP(A45, 'Session Data'!A:U,21,false)</f>
        <v/>
      </c>
      <c r="AI45" s="36"/>
      <c r="AJ45" s="38"/>
      <c r="AK45" s="38"/>
      <c r="AL45" s="39"/>
      <c r="AM45" s="34" t="str">
        <f>VLOOKUP(A45, 'Session Data'!A:AA,10,false)</f>
        <v>rrasing4116@sdsu.edu</v>
      </c>
      <c r="AN45" s="40"/>
      <c r="AO45" s="38"/>
      <c r="AP45" s="38"/>
      <c r="AQ45" s="38"/>
      <c r="AR45" s="38"/>
      <c r="AS45" s="38"/>
      <c r="AT45" s="38"/>
      <c r="AU45" s="38"/>
      <c r="AV45" s="38"/>
      <c r="AW45" s="38"/>
      <c r="AX45" s="38"/>
      <c r="AY45" s="43"/>
      <c r="AZ45" s="43"/>
      <c r="BA45" s="43"/>
      <c r="BB45" s="43"/>
      <c r="BC45" s="43"/>
      <c r="BD45" s="43"/>
      <c r="BE45" s="44"/>
      <c r="BF45" s="45"/>
      <c r="BG45" s="43"/>
    </row>
    <row r="46">
      <c r="A46" s="19" t="s">
        <v>109</v>
      </c>
      <c r="B46" s="20">
        <f>VLOOKUP(F46,'Session Count DO NOT EDIT'!$A:$C,3,FALSE)</f>
        <v>5</v>
      </c>
      <c r="C46" s="20">
        <f>COUNTIFS('Scores Import DO NOT EDIT'!D:D,A46)</f>
        <v>5</v>
      </c>
      <c r="D46" s="21">
        <f t="shared" si="1"/>
        <v>1</v>
      </c>
      <c r="E46" s="22">
        <f>AVERAGEIFS('Scores Import DO NOT EDIT'!L:L,'Scores Import DO NOT EDIT'!D:D,A46)</f>
        <v>21.4</v>
      </c>
      <c r="F46" s="23" t="str">
        <f>VLOOKUP(A46, 'Session Data'!A:M,3,false)</f>
        <v>A-7</v>
      </c>
      <c r="G46" s="24" t="str">
        <f>VLOOKUP(A46, 'Session Data'!A:I,2,false)</f>
        <v>9:00 AM</v>
      </c>
      <c r="H46" s="23" t="str">
        <f>VLOOKUP(A46, 'Session Data'!A:J,5,false)</f>
        <v>Humanities, History, Literature, Philosophy</v>
      </c>
      <c r="I46" s="25" t="str">
        <f>VLOOKUP(A46, 'Session Data'!A:H,4,false)</f>
        <v>Oral </v>
      </c>
      <c r="J46" s="26" t="str">
        <f>VLOOKUP(A46, 'Session Data'!A:AA,14,false)</f>
        <v>Master's</v>
      </c>
      <c r="K46" s="27" t="str">
        <f>VLOOKUP(A46, 'Session Data'!A:AA,15,false)</f>
        <v>Arts and Letters</v>
      </c>
      <c r="L46" s="47"/>
      <c r="M46" s="29" t="str">
        <f>VLOOKUP(A46, 'Session Data'!A:K,11,false)</f>
        <v>Master of Arts in Liberal Arts and Sciences</v>
      </c>
      <c r="N46" s="26" t="str">
        <f>IF(ISNA(VLOOKUP(A46, 'Award Abstract#'!C:C, 1, FALSE)), "No", "Yes")
</f>
        <v>No</v>
      </c>
      <c r="O46" s="29" t="str">
        <f>IF(ISNA(VLOOKUP(A46,'Award Abstract#'!B:B,1,FALSE)), "No", "Yes")</f>
        <v>No</v>
      </c>
      <c r="P46" s="29" t="str">
        <f>IF(ISNA(VLOOKUP(A46,'Award Abstract#'!E:E,1,FALSE)), "No", "Yes")</f>
        <v>No</v>
      </c>
      <c r="Q46" s="29" t="str">
        <f>IF(ISNA(VLOOKUP(A46,'Award Abstract#'!A:A,1,FALSE)), "No", "Yes")</f>
        <v>No</v>
      </c>
      <c r="R46" s="29" t="str">
        <f>IF(ISNA(VLOOKUP(A46,'Award Abstract#'!D:D,1,FALSE)), "No", "Yes")</f>
        <v>No</v>
      </c>
      <c r="S46" s="30" t="str">
        <f>VLOOKUP(A46, 'Session Data'!A:AA,27,false)</f>
        <v>Non-binary/non-conforming</v>
      </c>
      <c r="T46" s="30"/>
      <c r="U46" s="30"/>
      <c r="V46" s="31" t="str">
        <f>VLOOKUP(A46, 'Session Data'!A:AA,8,false)</f>
        <v>Carla Marian</v>
      </c>
      <c r="W46" s="32" t="str">
        <f>VLOOKUP(A46, 'Session Data'!A:AA,9,false)</f>
        <v>Cuevas Morales</v>
      </c>
      <c r="X46" s="33" t="str">
        <f>VLOOKUP(A46, 'Session Data'!A:AA,12,false)</f>
        <v>Escaping the Confinement of the Self Through Art: Existential Anxiety, Authenticity, and Encountering the Aesthetic in the Quotidian, or How to Live a Thoughtful Life</v>
      </c>
      <c r="Y46" s="34" t="str">
        <f>VLOOKUP(A46, 'Session Data'!A:AA,22,false)</f>
        <v>Steven</v>
      </c>
      <c r="Z46" s="34" t="str">
        <f>VLOOKUP(A46, 'Session Data'!A:AA,23,false)</f>
        <v>Barbone</v>
      </c>
      <c r="AA46" s="34" t="str">
        <f>VLOOKUP(A46, 'Session Data'!A:AA,25,false)</f>
        <v>Arts and Letters</v>
      </c>
      <c r="AB46" s="34" t="str">
        <f>VLOOKUP(A46, 'Session Data'!A:AA,24,false)</f>
        <v>sbarbone@sdsu.edu</v>
      </c>
      <c r="AC46" s="34" t="str">
        <f>VLOOKUP(A46, 'Session Data'!A:AA,16,false)</f>
        <v>Cuevas Morales</v>
      </c>
      <c r="AD46" s="35" t="str">
        <f>VLOOKUP(A46, 'Session Data'!A:U,17,false)</f>
        <v/>
      </c>
      <c r="AE46" s="35" t="str">
        <f>VLOOKUP(A46, 'Session Data'!A:U,18,false)</f>
        <v/>
      </c>
      <c r="AF46" s="35" t="str">
        <f>VLOOKUP(A46, 'Session Data'!A:U,19,false)</f>
        <v/>
      </c>
      <c r="AG46" s="35" t="str">
        <f>VLOOKUP(A46, 'Session Data'!A:U,20,false)</f>
        <v/>
      </c>
      <c r="AH46" s="35" t="str">
        <f>VLOOKUP(A46, 'Session Data'!A:U,21,false)</f>
        <v/>
      </c>
      <c r="AI46" s="36"/>
      <c r="AJ46" s="38"/>
      <c r="AK46" s="38"/>
      <c r="AL46" s="39"/>
      <c r="AM46" s="34" t="str">
        <f>VLOOKUP(A46, 'Session Data'!A:AA,10,false)</f>
        <v>ccuevasmorales0126@sdsu.edu</v>
      </c>
      <c r="AN46" s="40"/>
      <c r="AO46" s="38"/>
      <c r="AP46" s="38"/>
      <c r="AQ46" s="38"/>
      <c r="AR46" s="38"/>
      <c r="AS46" s="38"/>
      <c r="AT46" s="38"/>
      <c r="AU46" s="38"/>
      <c r="AV46" s="38"/>
      <c r="AW46" s="38"/>
      <c r="AX46" s="38"/>
      <c r="AY46" s="43"/>
      <c r="AZ46" s="43"/>
      <c r="BA46" s="43"/>
      <c r="BB46" s="43"/>
      <c r="BC46" s="43"/>
      <c r="BD46" s="43"/>
      <c r="BE46" s="44"/>
      <c r="BF46" s="45"/>
      <c r="BG46" s="46"/>
    </row>
    <row r="47">
      <c r="A47" s="19" t="s">
        <v>110</v>
      </c>
      <c r="B47" s="20">
        <f>VLOOKUP(F47,'Session Count DO NOT EDIT'!$A:$C,3,FALSE)</f>
        <v>5</v>
      </c>
      <c r="C47" s="20">
        <f>COUNTIFS('Scores Import DO NOT EDIT'!D:D,A47)</f>
        <v>5</v>
      </c>
      <c r="D47" s="21">
        <f t="shared" si="1"/>
        <v>1</v>
      </c>
      <c r="E47" s="22">
        <f>AVERAGEIFS('Scores Import DO NOT EDIT'!L:L,'Scores Import DO NOT EDIT'!D:D,A47)</f>
        <v>25.4</v>
      </c>
      <c r="F47" s="23" t="str">
        <f>VLOOKUP(A47, 'Session Data'!A:M,3,false)</f>
        <v>A-8</v>
      </c>
      <c r="G47" s="24" t="str">
        <f>VLOOKUP(A47, 'Session Data'!A:I,2,false)</f>
        <v>9:00 AM</v>
      </c>
      <c r="H47" s="23" t="str">
        <f>VLOOKUP(A47, 'Session Data'!A:J,5,false)</f>
        <v>Health Nutrition and Clinical Sciences</v>
      </c>
      <c r="I47" s="25" t="str">
        <f>VLOOKUP(A47, 'Session Data'!A:H,4,false)</f>
        <v>Oral </v>
      </c>
      <c r="J47" s="26" t="str">
        <f>VLOOKUP(A47, 'Session Data'!A:AA,14,false)</f>
        <v>Master's</v>
      </c>
      <c r="K47" s="27" t="str">
        <f>VLOOKUP(A47, 'Session Data'!A:AA,15,false)</f>
        <v>Health and Human Services</v>
      </c>
      <c r="L47" s="47"/>
      <c r="M47" s="29" t="str">
        <f>VLOOKUP(A47, 'Session Data'!A:K,11,false)</f>
        <v>Master of Science in Epidemiology</v>
      </c>
      <c r="N47" s="26" t="str">
        <f>IF(ISNA(VLOOKUP(A47, 'Award Abstract#'!C:C, 1, FALSE)), "No", "Yes")
</f>
        <v>No</v>
      </c>
      <c r="O47" s="29" t="str">
        <f>IF(ISNA(VLOOKUP(A47,'Award Abstract#'!B:B,1,FALSE)), "No", "Yes")</f>
        <v>Yes</v>
      </c>
      <c r="P47" s="29" t="str">
        <f>IF(ISNA(VLOOKUP(A47,'Award Abstract#'!E:E,1,FALSE)), "No", "Yes")</f>
        <v>No</v>
      </c>
      <c r="Q47" s="29" t="str">
        <f>IF(ISNA(VLOOKUP(A47,'Award Abstract#'!A:A,1,FALSE)), "No", "Yes")</f>
        <v>No</v>
      </c>
      <c r="R47" s="29" t="str">
        <f>IF(ISNA(VLOOKUP(A47,'Award Abstract#'!D:D,1,FALSE)), "No", "Yes")</f>
        <v>Yes</v>
      </c>
      <c r="S47" s="30" t="str">
        <f>VLOOKUP(A47, 'Session Data'!A:AA,27,false)</f>
        <v>Woman</v>
      </c>
      <c r="T47" s="30"/>
      <c r="U47" s="30"/>
      <c r="V47" s="31" t="str">
        <f>VLOOKUP(A47, 'Session Data'!A:AA,8,false)</f>
        <v>Savannah</v>
      </c>
      <c r="W47" s="32" t="str">
        <f>VLOOKUP(A47, 'Session Data'!A:AA,9,false)</f>
        <v>Shifflett</v>
      </c>
      <c r="X47" s="33" t="str">
        <f>VLOOKUP(A47, 'Session Data'!A:AA,12,false)</f>
        <v>Association Between Latino Parent and Child Total Physical Activity and Sedentary Behavior</v>
      </c>
      <c r="Y47" s="34" t="str">
        <f>VLOOKUP(A47, 'Session Data'!A:AA,22,false)</f>
        <v>Noe</v>
      </c>
      <c r="Z47" s="34" t="str">
        <f>VLOOKUP(A47, 'Session Data'!A:AA,23,false)</f>
        <v>Crespo</v>
      </c>
      <c r="AA47" s="34" t="str">
        <f>VLOOKUP(A47, 'Session Data'!A:AA,25,false)</f>
        <v>Health and Human Services</v>
      </c>
      <c r="AB47" s="34" t="str">
        <f>VLOOKUP(A47, 'Session Data'!A:AA,24,false)</f>
        <v>ncrespo@sdsu.edu</v>
      </c>
      <c r="AC47" s="34" t="str">
        <f>VLOOKUP(A47, 'Session Data'!A:AA,16,false)</f>
        <v/>
      </c>
      <c r="AD47" s="35" t="str">
        <f>VLOOKUP(A47, 'Session Data'!A:U,17,false)</f>
        <v/>
      </c>
      <c r="AE47" s="35" t="str">
        <f>VLOOKUP(A47, 'Session Data'!A:U,18,false)</f>
        <v/>
      </c>
      <c r="AF47" s="35" t="str">
        <f>VLOOKUP(A47, 'Session Data'!A:U,19,false)</f>
        <v/>
      </c>
      <c r="AG47" s="35" t="str">
        <f>VLOOKUP(A47, 'Session Data'!A:U,20,false)</f>
        <v/>
      </c>
      <c r="AH47" s="35" t="str">
        <f>VLOOKUP(A47, 'Session Data'!A:U,21,false)</f>
        <v/>
      </c>
      <c r="AI47" s="36"/>
      <c r="AJ47" s="38"/>
      <c r="AK47" s="38"/>
      <c r="AL47" s="39"/>
      <c r="AM47" s="34" t="str">
        <f>VLOOKUP(A47, 'Session Data'!A:AA,10,false)</f>
        <v>sshifflett4309@sdsu.edu</v>
      </c>
      <c r="AN47" s="40"/>
      <c r="AO47" s="38"/>
      <c r="AP47" s="38"/>
      <c r="AQ47" s="38"/>
      <c r="AR47" s="38"/>
      <c r="AS47" s="38"/>
      <c r="AT47" s="38"/>
      <c r="AU47" s="38"/>
      <c r="AV47" s="38"/>
      <c r="AW47" s="38"/>
      <c r="AX47" s="38"/>
      <c r="AY47" s="43"/>
      <c r="AZ47" s="43"/>
      <c r="BA47" s="48"/>
      <c r="BB47" s="48"/>
      <c r="BC47" s="43"/>
      <c r="BD47" s="43"/>
      <c r="BE47" s="44"/>
      <c r="BF47" s="45"/>
      <c r="BG47" s="43"/>
    </row>
    <row r="48">
      <c r="A48" s="19" t="s">
        <v>111</v>
      </c>
      <c r="B48" s="20">
        <f>VLOOKUP(F48,'Session Count DO NOT EDIT'!$A:$C,3,FALSE)</f>
        <v>5</v>
      </c>
      <c r="C48" s="20">
        <f>COUNTIFS('Scores Import DO NOT EDIT'!D:D,A48)</f>
        <v>4</v>
      </c>
      <c r="D48" s="21">
        <f t="shared" si="1"/>
        <v>0.8</v>
      </c>
      <c r="E48" s="22">
        <f>AVERAGEIFS('Scores Import DO NOT EDIT'!L:L,'Scores Import DO NOT EDIT'!D:D,A48)</f>
        <v>23.75</v>
      </c>
      <c r="F48" s="23" t="str">
        <f>VLOOKUP(A48, 'Session Data'!A:M,3,false)</f>
        <v>A-8</v>
      </c>
      <c r="G48" s="24" t="str">
        <f>VLOOKUP(A48, 'Session Data'!A:I,2,false)</f>
        <v>9:00 AM</v>
      </c>
      <c r="H48" s="23" t="str">
        <f>VLOOKUP(A48, 'Session Data'!A:J,5,false)</f>
        <v>Health Nutrition and Clinical Sciences</v>
      </c>
      <c r="I48" s="25" t="str">
        <f>VLOOKUP(A48, 'Session Data'!A:H,4,false)</f>
        <v>Oral </v>
      </c>
      <c r="J48" s="26" t="str">
        <f>VLOOKUP(A48, 'Session Data'!A:AA,14,false)</f>
        <v>Master's</v>
      </c>
      <c r="K48" s="27" t="str">
        <f>VLOOKUP(A48, 'Session Data'!A:AA,15,false)</f>
        <v>Sciences</v>
      </c>
      <c r="L48" s="28"/>
      <c r="M48" s="29" t="str">
        <f>VLOOKUP(A48, 'Session Data'!A:K,11,false)</f>
        <v>Masters of Nutritional Science &amp; DPD program</v>
      </c>
      <c r="N48" s="26" t="str">
        <f>IF(ISNA(VLOOKUP(A48, 'Award Abstract#'!C:C, 1, FALSE)), "No", "Yes")
</f>
        <v>No</v>
      </c>
      <c r="O48" s="29" t="str">
        <f>IF(ISNA(VLOOKUP(A48,'Award Abstract#'!B:B,1,FALSE)), "No", "Yes")</f>
        <v>Yes</v>
      </c>
      <c r="P48" s="29" t="str">
        <f>IF(ISNA(VLOOKUP(A48,'Award Abstract#'!E:E,1,FALSE)), "No", "Yes")</f>
        <v>No</v>
      </c>
      <c r="Q48" s="29" t="str">
        <f>IF(ISNA(VLOOKUP(A48,'Award Abstract#'!A:A,1,FALSE)), "No", "Yes")</f>
        <v>No</v>
      </c>
      <c r="R48" s="29" t="str">
        <f>IF(ISNA(VLOOKUP(A48,'Award Abstract#'!D:D,1,FALSE)), "No", "Yes")</f>
        <v>No</v>
      </c>
      <c r="S48" s="30" t="str">
        <f>VLOOKUP(A48, 'Session Data'!A:AA,27,false)</f>
        <v>Woman</v>
      </c>
      <c r="T48" s="30"/>
      <c r="U48" s="30"/>
      <c r="V48" s="31" t="str">
        <f>VLOOKUP(A48, 'Session Data'!A:AA,8,false)</f>
        <v>Jesse</v>
      </c>
      <c r="W48" s="32" t="str">
        <f>VLOOKUP(A48, 'Session Data'!A:AA,9,false)</f>
        <v>Baker</v>
      </c>
      <c r="X48" s="33" t="str">
        <f>VLOOKUP(A48, 'Session Data'!A:AA,12,false)</f>
        <v>Unlocking Seafood Flavors from Macroalgae: A Sustainable, Vegan Approach</v>
      </c>
      <c r="Y48" s="34" t="str">
        <f>VLOOKUP(A48, 'Session Data'!A:AA,22,false)</f>
        <v>Jing</v>
      </c>
      <c r="Z48" s="34" t="str">
        <f>VLOOKUP(A48, 'Session Data'!A:AA,23,false)</f>
        <v>Zhao</v>
      </c>
      <c r="AA48" s="34" t="str">
        <f>VLOOKUP(A48, 'Session Data'!A:AA,25,false)</f>
        <v>Sciences</v>
      </c>
      <c r="AB48" s="34"/>
      <c r="AC48" s="34" t="str">
        <f>VLOOKUP(A48, 'Session Data'!A:AA,16,false)</f>
        <v/>
      </c>
      <c r="AD48" s="35" t="str">
        <f>VLOOKUP(A48, 'Session Data'!A:U,17,false)</f>
        <v/>
      </c>
      <c r="AE48" s="35" t="str">
        <f>VLOOKUP(A48, 'Session Data'!A:U,18,false)</f>
        <v/>
      </c>
      <c r="AF48" s="35" t="str">
        <f>VLOOKUP(A48, 'Session Data'!A:U,19,false)</f>
        <v/>
      </c>
      <c r="AG48" s="35" t="str">
        <f>VLOOKUP(A48, 'Session Data'!A:U,20,false)</f>
        <v/>
      </c>
      <c r="AH48" s="35" t="str">
        <f>VLOOKUP(A48, 'Session Data'!A:U,21,false)</f>
        <v/>
      </c>
      <c r="AI48" s="37"/>
      <c r="AJ48" s="37"/>
      <c r="AK48" s="37"/>
      <c r="AL48" s="50"/>
      <c r="AM48" s="34" t="str">
        <f>VLOOKUP(A48, 'Session Data'!A:AA,10,false)</f>
        <v>jbaker2610@sdsu.edu</v>
      </c>
      <c r="AN48" s="40"/>
      <c r="AO48" s="38"/>
      <c r="AP48" s="38"/>
      <c r="AQ48" s="38"/>
      <c r="AR48" s="38"/>
      <c r="AS48" s="38"/>
      <c r="AT48" s="38"/>
      <c r="AU48" s="38"/>
      <c r="AV48" s="38"/>
      <c r="AW48" s="38"/>
      <c r="AX48" s="38"/>
      <c r="AY48" s="43"/>
      <c r="AZ48" s="43"/>
      <c r="BA48" s="48"/>
      <c r="BB48" s="48"/>
      <c r="BC48" s="43"/>
      <c r="BD48" s="43"/>
      <c r="BE48" s="44"/>
      <c r="BF48" s="45"/>
      <c r="BG48" s="43"/>
    </row>
    <row r="49">
      <c r="A49" s="19" t="s">
        <v>112</v>
      </c>
      <c r="B49" s="20">
        <f>VLOOKUP(F49,'Session Count DO NOT EDIT'!$A:$C,3,FALSE)</f>
        <v>5</v>
      </c>
      <c r="C49" s="20">
        <f>COUNTIFS('Scores Import DO NOT EDIT'!D:D,A49)</f>
        <v>5</v>
      </c>
      <c r="D49" s="21">
        <f t="shared" si="1"/>
        <v>1</v>
      </c>
      <c r="E49" s="22">
        <f>AVERAGEIFS('Scores Import DO NOT EDIT'!L:L,'Scores Import DO NOT EDIT'!D:D,A49)</f>
        <v>31.8</v>
      </c>
      <c r="F49" s="23" t="str">
        <f>VLOOKUP(A49, 'Session Data'!A:M,3,false)</f>
        <v>A-8</v>
      </c>
      <c r="G49" s="24" t="str">
        <f>VLOOKUP(A49, 'Session Data'!A:I,2,false)</f>
        <v>9:00 AM</v>
      </c>
      <c r="H49" s="23" t="str">
        <f>VLOOKUP(A49, 'Session Data'!A:J,5,false)</f>
        <v>Health Nutrition and Clinical Sciences</v>
      </c>
      <c r="I49" s="25" t="str">
        <f>VLOOKUP(A49, 'Session Data'!A:H,4,false)</f>
        <v>Oral </v>
      </c>
      <c r="J49" s="26" t="str">
        <f>VLOOKUP(A49, 'Session Data'!A:AA,14,false)</f>
        <v>Doctoral</v>
      </c>
      <c r="K49" s="27" t="str">
        <f>VLOOKUP(A49, 'Session Data'!A:AA,15,false)</f>
        <v>Health and Human Services</v>
      </c>
      <c r="L49" s="52" t="s">
        <v>17</v>
      </c>
      <c r="M49" s="29" t="str">
        <f>VLOOKUP(A49, 'Session Data'!A:K,11,false)</f>
        <v>Doctor of Audiology (Au.D.)</v>
      </c>
      <c r="N49" s="26" t="str">
        <f>IF(ISNA(VLOOKUP(A49, 'Award Abstract#'!C:C, 1, FALSE)), "No", "Yes")
</f>
        <v>No</v>
      </c>
      <c r="O49" s="29" t="str">
        <f>IF(ISNA(VLOOKUP(A49,'Award Abstract#'!B:B,1,FALSE)), "No", "Yes")</f>
        <v>No</v>
      </c>
      <c r="P49" s="29" t="str">
        <f>IF(ISNA(VLOOKUP(A49,'Award Abstract#'!E:E,1,FALSE)), "No", "Yes")</f>
        <v>No</v>
      </c>
      <c r="Q49" s="29" t="str">
        <f>IF(ISNA(VLOOKUP(A49,'Award Abstract#'!A:A,1,FALSE)), "No", "Yes")</f>
        <v>No</v>
      </c>
      <c r="R49" s="29" t="str">
        <f>IF(ISNA(VLOOKUP(A49,'Award Abstract#'!D:D,1,FALSE)), "No", "Yes")</f>
        <v>Yes</v>
      </c>
      <c r="S49" s="30" t="str">
        <f>VLOOKUP(A49, 'Session Data'!A:AA,27,false)</f>
        <v>Man</v>
      </c>
      <c r="T49" s="30"/>
      <c r="U49" s="30"/>
      <c r="V49" s="31" t="str">
        <f>VLOOKUP(A49, 'Session Data'!A:AA,8,false)</f>
        <v>Christen</v>
      </c>
      <c r="W49" s="32" t="str">
        <f>VLOOKUP(A49, 'Session Data'!A:AA,9,false)</f>
        <v>Rodriguez</v>
      </c>
      <c r="X49" s="33" t="str">
        <f>VLOOKUP(A49, 'Session Data'!A:AA,12,false)</f>
        <v>Hearing Loss in US/Mexico Border Farmworkers</v>
      </c>
      <c r="Y49" s="34" t="str">
        <f>VLOOKUP(A49, 'Session Data'!A:AA,22,false)</f>
        <v>Laura</v>
      </c>
      <c r="Z49" s="34" t="str">
        <f>VLOOKUP(A49, 'Session Data'!A:AA,23,false)</f>
        <v>Coco</v>
      </c>
      <c r="AA49" s="34" t="str">
        <f>VLOOKUP(A49, 'Session Data'!A:AA,25,false)</f>
        <v>Health and Human Services</v>
      </c>
      <c r="AB49" s="34" t="str">
        <f>VLOOKUP(A49, 'Session Data'!A:AA,24,false)</f>
        <v>lcoco@sdsu.edu</v>
      </c>
      <c r="AC49" s="34" t="str">
        <f>VLOOKUP(A49, 'Session Data'!A:AA,16,false)</f>
        <v/>
      </c>
      <c r="AD49" s="35" t="str">
        <f>VLOOKUP(A49, 'Session Data'!A:U,17,false)</f>
        <v/>
      </c>
      <c r="AE49" s="35" t="str">
        <f>VLOOKUP(A49, 'Session Data'!A:U,18,false)</f>
        <v/>
      </c>
      <c r="AF49" s="35" t="str">
        <f>VLOOKUP(A49, 'Session Data'!A:U,19,false)</f>
        <v/>
      </c>
      <c r="AG49" s="35" t="str">
        <f>VLOOKUP(A49, 'Session Data'!A:U,20,false)</f>
        <v/>
      </c>
      <c r="AH49" s="35" t="str">
        <f>VLOOKUP(A49, 'Session Data'!A:U,21,false)</f>
        <v/>
      </c>
      <c r="AI49" s="36"/>
      <c r="AJ49" s="38"/>
      <c r="AK49" s="38"/>
      <c r="AL49" s="39"/>
      <c r="AM49" s="34" t="str">
        <f>VLOOKUP(A49, 'Session Data'!A:AA,10,false)</f>
        <v>crodriguez0998@sdsu.edu</v>
      </c>
      <c r="AN49" s="40"/>
      <c r="AO49" s="38"/>
      <c r="AP49" s="38"/>
      <c r="AQ49" s="38"/>
      <c r="AR49" s="38"/>
      <c r="AS49" s="38"/>
      <c r="AT49" s="38"/>
      <c r="AU49" s="38"/>
      <c r="AV49" s="38"/>
      <c r="AW49" s="38"/>
      <c r="AX49" s="38"/>
      <c r="AY49" s="43"/>
      <c r="AZ49" s="43"/>
      <c r="BA49" s="43"/>
      <c r="BB49" s="43"/>
      <c r="BC49" s="43"/>
      <c r="BD49" s="43"/>
      <c r="BE49" s="44"/>
      <c r="BF49" s="45"/>
      <c r="BG49" s="46"/>
    </row>
    <row r="50">
      <c r="A50" s="19" t="s">
        <v>113</v>
      </c>
      <c r="B50" s="20">
        <f>VLOOKUP(F50,'Session Count DO NOT EDIT'!$A:$C,3,FALSE)</f>
        <v>5</v>
      </c>
      <c r="C50" s="20">
        <f>COUNTIFS('Scores Import DO NOT EDIT'!D:D,A50)</f>
        <v>5</v>
      </c>
      <c r="D50" s="21">
        <f t="shared" si="1"/>
        <v>1</v>
      </c>
      <c r="E50" s="22">
        <f>AVERAGEIFS('Scores Import DO NOT EDIT'!L:L,'Scores Import DO NOT EDIT'!D:D,A50)</f>
        <v>28.6</v>
      </c>
      <c r="F50" s="23" t="str">
        <f>VLOOKUP(A50, 'Session Data'!A:M,3,false)</f>
        <v>A-8</v>
      </c>
      <c r="G50" s="24" t="str">
        <f>VLOOKUP(A50, 'Session Data'!A:I,2,false)</f>
        <v>9:00 AM</v>
      </c>
      <c r="H50" s="23" t="str">
        <f>VLOOKUP(A50, 'Session Data'!A:J,5,false)</f>
        <v>Health Nutrition and Clinical Sciences</v>
      </c>
      <c r="I50" s="25" t="str">
        <f>VLOOKUP(A50, 'Session Data'!A:H,4,false)</f>
        <v>Oral </v>
      </c>
      <c r="J50" s="26" t="str">
        <f>VLOOKUP(A50, 'Session Data'!A:AA,14,false)</f>
        <v>Doctoral</v>
      </c>
      <c r="K50" s="27" t="str">
        <f>VLOOKUP(A50, 'Session Data'!A:AA,15,false)</f>
        <v>Health and Human Services</v>
      </c>
      <c r="L50" s="28"/>
      <c r="M50" s="29" t="str">
        <f>VLOOKUP(A50, 'Session Data'!A:K,11,false)</f>
        <v>JDP in Global Health </v>
      </c>
      <c r="N50" s="26" t="str">
        <f>IF(ISNA(VLOOKUP(A50, 'Award Abstract#'!C:C, 1, FALSE)), "No", "Yes")
</f>
        <v>No</v>
      </c>
      <c r="O50" s="29" t="str">
        <f>IF(ISNA(VLOOKUP(A50,'Award Abstract#'!B:B,1,FALSE)), "No", "Yes")</f>
        <v>No</v>
      </c>
      <c r="P50" s="29" t="str">
        <f>IF(ISNA(VLOOKUP(A50,'Award Abstract#'!E:E,1,FALSE)), "No", "Yes")</f>
        <v>No</v>
      </c>
      <c r="Q50" s="29" t="str">
        <f>IF(ISNA(VLOOKUP(A50,'Award Abstract#'!A:A,1,FALSE)), "No", "Yes")</f>
        <v>No</v>
      </c>
      <c r="R50" s="29" t="str">
        <f>IF(ISNA(VLOOKUP(A50,'Award Abstract#'!D:D,1,FALSE)), "No", "Yes")</f>
        <v>No</v>
      </c>
      <c r="S50" s="30" t="str">
        <f>VLOOKUP(A50, 'Session Data'!A:AA,27,false)</f>
        <v>Woman</v>
      </c>
      <c r="T50" s="30"/>
      <c r="U50" s="30"/>
      <c r="V50" s="31" t="str">
        <f>VLOOKUP(A50, 'Session Data'!A:AA,8,false)</f>
        <v>Lucia</v>
      </c>
      <c r="W50" s="32" t="str">
        <f>VLOOKUP(A50, 'Session Data'!A:AA,9,false)</f>
        <v>Canul</v>
      </c>
      <c r="X50" s="33" t="str">
        <f>VLOOKUP(A50, 'Session Data'!A:AA,12,false)</f>
        <v>Navigating Cultural and Collaborative Dietary Strategies: An Ethnographic Approach to Understanding Dietary Behavior in Oaxaca, Mexico </v>
      </c>
      <c r="Y50" s="34" t="str">
        <f>VLOOKUP(A50, 'Session Data'!A:AA,22,false)</f>
        <v>Ramona</v>
      </c>
      <c r="Z50" s="34" t="str">
        <f>VLOOKUP(A50, 'Session Data'!A:AA,23,false)</f>
        <v>Perez</v>
      </c>
      <c r="AA50" s="34" t="str">
        <f>VLOOKUP(A50, 'Session Data'!A:AA,25,false)</f>
        <v>Arts and Letters</v>
      </c>
      <c r="AB50" s="34" t="str">
        <f>VLOOKUP(A50, 'Session Data'!A:AA,24,false)</f>
        <v>perez@sdsu.edu</v>
      </c>
      <c r="AC50" s="34" t="str">
        <f>VLOOKUP(A50, 'Session Data'!A:AA,16,false)</f>
        <v/>
      </c>
      <c r="AD50" s="35" t="str">
        <f>VLOOKUP(A50, 'Session Data'!A:U,17,false)</f>
        <v/>
      </c>
      <c r="AE50" s="35" t="str">
        <f>VLOOKUP(A50, 'Session Data'!A:U,18,false)</f>
        <v/>
      </c>
      <c r="AF50" s="35" t="str">
        <f>VLOOKUP(A50, 'Session Data'!A:U,19,false)</f>
        <v/>
      </c>
      <c r="AG50" s="35" t="str">
        <f>VLOOKUP(A50, 'Session Data'!A:U,20,false)</f>
        <v/>
      </c>
      <c r="AH50" s="35" t="str">
        <f>VLOOKUP(A50, 'Session Data'!A:U,21,false)</f>
        <v/>
      </c>
      <c r="AI50" s="36"/>
      <c r="AJ50" s="38"/>
      <c r="AK50" s="38"/>
      <c r="AL50" s="39"/>
      <c r="AM50" s="34" t="str">
        <f>VLOOKUP(A50, 'Session Data'!A:AA,10,false)</f>
        <v>lcanul7603@sdsu.edu</v>
      </c>
      <c r="AN50" s="40"/>
      <c r="AO50" s="38"/>
      <c r="AP50" s="38"/>
      <c r="AQ50" s="38"/>
      <c r="AR50" s="38"/>
      <c r="AS50" s="38"/>
      <c r="AT50" s="38"/>
      <c r="AU50" s="38"/>
      <c r="AV50" s="38"/>
      <c r="AW50" s="38"/>
      <c r="AX50" s="38"/>
      <c r="AY50" s="43"/>
      <c r="AZ50" s="43"/>
      <c r="BA50" s="43"/>
      <c r="BB50" s="43"/>
      <c r="BC50" s="43"/>
      <c r="BD50" s="43"/>
      <c r="BE50" s="44"/>
      <c r="BF50" s="45"/>
      <c r="BG50" s="46"/>
    </row>
    <row r="51">
      <c r="A51" s="19" t="s">
        <v>114</v>
      </c>
      <c r="B51" s="20">
        <f>VLOOKUP(F51,'Session Count DO NOT EDIT'!$A:$C,3,FALSE)</f>
        <v>5</v>
      </c>
      <c r="C51" s="20">
        <f>COUNTIFS('Scores Import DO NOT EDIT'!D:D,A51)</f>
        <v>5</v>
      </c>
      <c r="D51" s="21">
        <f t="shared" si="1"/>
        <v>1</v>
      </c>
      <c r="E51" s="22">
        <f>AVERAGEIFS('Scores Import DO NOT EDIT'!L:L,'Scores Import DO NOT EDIT'!D:D,A51)</f>
        <v>28.4</v>
      </c>
      <c r="F51" s="23" t="str">
        <f>VLOOKUP(A51, 'Session Data'!A:M,3,false)</f>
        <v>A-8</v>
      </c>
      <c r="G51" s="24" t="str">
        <f>VLOOKUP(A51, 'Session Data'!A:I,2,false)</f>
        <v>9:00 AM</v>
      </c>
      <c r="H51" s="23" t="str">
        <f>VLOOKUP(A51, 'Session Data'!A:J,5,false)</f>
        <v>Health Nutrition and Clinical Sciences</v>
      </c>
      <c r="I51" s="25" t="str">
        <f>VLOOKUP(A51, 'Session Data'!A:H,4,false)</f>
        <v>Oral </v>
      </c>
      <c r="J51" s="26" t="str">
        <f>VLOOKUP(A51, 'Session Data'!A:AA,14,false)</f>
        <v>Master's</v>
      </c>
      <c r="K51" s="27" t="str">
        <f>VLOOKUP(A51, 'Session Data'!A:AA,15,false)</f>
        <v>Health and Human Services</v>
      </c>
      <c r="L51" s="47"/>
      <c r="M51" s="29" t="str">
        <f>VLOOKUP(A51, 'Session Data'!A:K,11,false)</f>
        <v>Master of Science in Athletic Training </v>
      </c>
      <c r="N51" s="26" t="str">
        <f>IF(ISNA(VLOOKUP(A51, 'Award Abstract#'!C:C, 1, FALSE)), "No", "Yes")
</f>
        <v>No</v>
      </c>
      <c r="O51" s="29" t="str">
        <f>IF(ISNA(VLOOKUP(A51,'Award Abstract#'!B:B,1,FALSE)), "No", "Yes")</f>
        <v>No</v>
      </c>
      <c r="P51" s="29" t="str">
        <f>IF(ISNA(VLOOKUP(A51,'Award Abstract#'!E:E,1,FALSE)), "No", "Yes")</f>
        <v>No</v>
      </c>
      <c r="Q51" s="29" t="str">
        <f>IF(ISNA(VLOOKUP(A51,'Award Abstract#'!A:A,1,FALSE)), "No", "Yes")</f>
        <v>No</v>
      </c>
      <c r="R51" s="29" t="str">
        <f>IF(ISNA(VLOOKUP(A51,'Award Abstract#'!D:D,1,FALSE)), "No", "Yes")</f>
        <v>Yes</v>
      </c>
      <c r="S51" s="30" t="str">
        <f>VLOOKUP(A51, 'Session Data'!A:AA,27,false)</f>
        <v>Non-binary/non-conforming</v>
      </c>
      <c r="T51" s="30"/>
      <c r="U51" s="30"/>
      <c r="V51" s="31" t="str">
        <f>VLOOKUP(A51, 'Session Data'!A:AA,8,false)</f>
        <v>Madeline </v>
      </c>
      <c r="W51" s="32" t="str">
        <f>VLOOKUP(A51, 'Session Data'!A:AA,9,false)</f>
        <v>Strom</v>
      </c>
      <c r="X51" s="33" t="str">
        <f>VLOOKUP(A51, 'Session Data'!A:AA,12,false)</f>
        <v>Bridging the Gaps within Concussion Education: A Preliminary Analysis into Proposed Improvements from Student-Athletes</v>
      </c>
      <c r="Y51" s="34" t="str">
        <f>VLOOKUP(A51, 'Session Data'!A:AA,22,false)</f>
        <v>Michelle </v>
      </c>
      <c r="Z51" s="34" t="str">
        <f>VLOOKUP(A51, 'Session Data'!A:AA,23,false)</f>
        <v>Weber Rawlins </v>
      </c>
      <c r="AA51" s="34" t="str">
        <f>VLOOKUP(A51, 'Session Data'!A:AA,25,false)</f>
        <v>Health and Human Services</v>
      </c>
      <c r="AB51" s="34" t="str">
        <f>VLOOKUP(A51, 'Session Data'!A:AA,24,false)</f>
        <v>mrawlins@sdsu.edu</v>
      </c>
      <c r="AC51" s="34" t="str">
        <f>VLOOKUP(A51, 'Session Data'!A:AA,16,false)</f>
        <v>Anna </v>
      </c>
      <c r="AD51" s="35" t="str">
        <f>VLOOKUP(A51, 'Session Data'!A:U,17,false)</f>
        <v>La Fontaine </v>
      </c>
      <c r="AE51" s="35" t="str">
        <f>VLOOKUP(A51, 'Session Data'!A:U,18,false)</f>
        <v>Monica </v>
      </c>
      <c r="AF51" s="35" t="str">
        <f>VLOOKUP(A51, 'Session Data'!A:U,19,false)</f>
        <v>Lopez</v>
      </c>
      <c r="AG51" s="35" t="str">
        <f>VLOOKUP(A51, 'Session Data'!A:U,20,false)</f>
        <v/>
      </c>
      <c r="AH51" s="35" t="str">
        <f>VLOOKUP(A51, 'Session Data'!A:U,21,false)</f>
        <v/>
      </c>
      <c r="AI51" s="37"/>
      <c r="AJ51" s="37"/>
      <c r="AK51" s="37"/>
      <c r="AL51" s="50"/>
      <c r="AM51" s="34" t="str">
        <f>VLOOKUP(A51, 'Session Data'!A:AA,10,false)</f>
        <v>mstrom4712@sdsu.edu</v>
      </c>
      <c r="AN51" s="40"/>
      <c r="AO51" s="38"/>
      <c r="AP51" s="38"/>
      <c r="AQ51" s="38"/>
      <c r="AR51" s="38"/>
      <c r="AS51" s="38"/>
      <c r="AT51" s="38"/>
      <c r="AU51" s="38"/>
      <c r="AV51" s="38"/>
      <c r="AW51" s="38"/>
      <c r="AX51" s="38"/>
      <c r="AY51" s="43"/>
      <c r="AZ51" s="43"/>
      <c r="BA51" s="48"/>
      <c r="BB51" s="48"/>
      <c r="BC51" s="43"/>
      <c r="BD51" s="43"/>
      <c r="BE51" s="44"/>
      <c r="BF51" s="45"/>
      <c r="BG51" s="43"/>
    </row>
    <row r="52">
      <c r="A52" s="19" t="s">
        <v>115</v>
      </c>
      <c r="B52" s="20">
        <f>VLOOKUP(F52,'Session Count DO NOT EDIT'!$A:$C,3,FALSE)</f>
        <v>5</v>
      </c>
      <c r="C52" s="20">
        <f>COUNTIFS('Scores Import DO NOT EDIT'!D:D,A52)</f>
        <v>5</v>
      </c>
      <c r="D52" s="21">
        <f t="shared" si="1"/>
        <v>1</v>
      </c>
      <c r="E52" s="22">
        <f>AVERAGEIFS('Scores Import DO NOT EDIT'!L:L,'Scores Import DO NOT EDIT'!D:D,A52)</f>
        <v>25.6</v>
      </c>
      <c r="F52" s="23" t="str">
        <f>VLOOKUP(A52, 'Session Data'!A:M,3,false)</f>
        <v>A-8</v>
      </c>
      <c r="G52" s="24" t="str">
        <f>VLOOKUP(A52, 'Session Data'!A:I,2,false)</f>
        <v>9:00 AM</v>
      </c>
      <c r="H52" s="23" t="str">
        <f>VLOOKUP(A52, 'Session Data'!A:J,5,false)</f>
        <v>Health Nutrition and Clinical Sciences</v>
      </c>
      <c r="I52" s="25" t="str">
        <f>VLOOKUP(A52, 'Session Data'!A:H,4,false)</f>
        <v>Oral </v>
      </c>
      <c r="J52" s="26" t="str">
        <f>VLOOKUP(A52, 'Session Data'!A:AA,14,false)</f>
        <v>Master's</v>
      </c>
      <c r="K52" s="27" t="str">
        <f>VLOOKUP(A52, 'Session Data'!A:AA,15,false)</f>
        <v>Health and Human Services</v>
      </c>
      <c r="L52" s="47"/>
      <c r="M52" s="29" t="str">
        <f>VLOOKUP(A52, 'Session Data'!A:K,11,false)</f>
        <v>MS in Epidemiology</v>
      </c>
      <c r="N52" s="26" t="str">
        <f>IF(ISNA(VLOOKUP(A52, 'Award Abstract#'!C:C, 1, FALSE)), "No", "Yes")
</f>
        <v>No</v>
      </c>
      <c r="O52" s="29" t="str">
        <f>IF(ISNA(VLOOKUP(A52,'Award Abstract#'!B:B,1,FALSE)), "No", "Yes")</f>
        <v>No</v>
      </c>
      <c r="P52" s="29" t="str">
        <f>IF(ISNA(VLOOKUP(A52,'Award Abstract#'!E:E,1,FALSE)), "No", "Yes")</f>
        <v>No</v>
      </c>
      <c r="Q52" s="29" t="str">
        <f>IF(ISNA(VLOOKUP(A52,'Award Abstract#'!A:A,1,FALSE)), "No", "Yes")</f>
        <v>No</v>
      </c>
      <c r="R52" s="29" t="str">
        <f>IF(ISNA(VLOOKUP(A52,'Award Abstract#'!D:D,1,FALSE)), "No", "Yes")</f>
        <v>Yes</v>
      </c>
      <c r="S52" s="30" t="str">
        <f>VLOOKUP(A52, 'Session Data'!A:AA,27,false)</f>
        <v>Woman</v>
      </c>
      <c r="T52" s="30"/>
      <c r="U52" s="30"/>
      <c r="V52" s="31" t="str">
        <f>VLOOKUP(A52, 'Session Data'!A:AA,8,false)</f>
        <v>Pragnya</v>
      </c>
      <c r="W52" s="32" t="str">
        <f>VLOOKUP(A52, 'Session Data'!A:AA,9,false)</f>
        <v>Wanjerkhede</v>
      </c>
      <c r="X52" s="33" t="str">
        <f>VLOOKUP(A52, 'Session Data'!A:AA,12,false)</f>
        <v>Body composition and incidence of obesity-related cancers among adults in the Hispanic Community Health Study/Study of Latinos (HCHS/SOL).</v>
      </c>
      <c r="Y52" s="34" t="str">
        <f>VLOOKUP(A52, 'Session Data'!A:AA,22,false)</f>
        <v>Humberto</v>
      </c>
      <c r="Z52" s="34" t="str">
        <f>VLOOKUP(A52, 'Session Data'!A:AA,23,false)</f>
        <v>Parada</v>
      </c>
      <c r="AA52" s="34" t="str">
        <f>VLOOKUP(A52, 'Session Data'!A:AA,25,false)</f>
        <v>Health and Human Services</v>
      </c>
      <c r="AB52" s="34" t="str">
        <f>VLOOKUP(A52, 'Session Data'!A:AA,24,false)</f>
        <v>hparada@sdsu.edu</v>
      </c>
      <c r="AC52" s="34" t="str">
        <f>VLOOKUP(A52, 'Session Data'!A:AA,16,false)</f>
        <v/>
      </c>
      <c r="AD52" s="35" t="str">
        <f>VLOOKUP(A52, 'Session Data'!A:U,17,false)</f>
        <v/>
      </c>
      <c r="AE52" s="35" t="str">
        <f>VLOOKUP(A52, 'Session Data'!A:U,18,false)</f>
        <v/>
      </c>
      <c r="AF52" s="35" t="str">
        <f>VLOOKUP(A52, 'Session Data'!A:U,19,false)</f>
        <v/>
      </c>
      <c r="AG52" s="35" t="str">
        <f>VLOOKUP(A52, 'Session Data'!A:U,20,false)</f>
        <v/>
      </c>
      <c r="AH52" s="35" t="str">
        <f>VLOOKUP(A52, 'Session Data'!A:U,21,false)</f>
        <v/>
      </c>
      <c r="AI52" s="36"/>
      <c r="AJ52" s="38"/>
      <c r="AK52" s="38"/>
      <c r="AL52" s="39"/>
      <c r="AM52" s="34" t="str">
        <f>VLOOKUP(A52, 'Session Data'!A:AA,10,false)</f>
        <v>pwanjerkhede3340@sdsu.edu</v>
      </c>
      <c r="AN52" s="40"/>
      <c r="AO52" s="38"/>
      <c r="AP52" s="38"/>
      <c r="AQ52" s="38"/>
      <c r="AR52" s="38"/>
      <c r="AS52" s="38"/>
      <c r="AT52" s="38"/>
      <c r="AU52" s="38"/>
      <c r="AV52" s="38"/>
      <c r="AW52" s="38"/>
      <c r="AX52" s="38"/>
      <c r="AY52" s="43"/>
      <c r="AZ52" s="43"/>
      <c r="BA52" s="48"/>
      <c r="BB52" s="48"/>
      <c r="BC52" s="43"/>
      <c r="BD52" s="43"/>
      <c r="BE52" s="44"/>
      <c r="BF52" s="45"/>
      <c r="BG52" s="46"/>
    </row>
    <row r="53">
      <c r="A53" s="19" t="s">
        <v>116</v>
      </c>
      <c r="B53" s="20">
        <f>VLOOKUP(F53,'Session Count DO NOT EDIT'!$A:$C,3,FALSE)</f>
        <v>5</v>
      </c>
      <c r="C53" s="20">
        <f>COUNTIFS('Scores Import DO NOT EDIT'!D:D,A53)</f>
        <v>1</v>
      </c>
      <c r="D53" s="21">
        <f t="shared" si="1"/>
        <v>0.2</v>
      </c>
      <c r="E53" s="22">
        <f>AVERAGEIFS('Scores Import DO NOT EDIT'!L:L,'Scores Import DO NOT EDIT'!D:D,A53)</f>
        <v>24</v>
      </c>
      <c r="F53" s="23" t="str">
        <f>VLOOKUP(A53, 'Session Data'!A:M,3,false)</f>
        <v>A-9</v>
      </c>
      <c r="G53" s="24" t="str">
        <f>VLOOKUP(A53, 'Session Data'!A:I,2,false)</f>
        <v>9:00 AM</v>
      </c>
      <c r="H53" s="23" t="str">
        <f>VLOOKUP(A53, 'Session Data'!A:J,5,false)</f>
        <v>Engineering and Computer Science</v>
      </c>
      <c r="I53" s="25" t="str">
        <f>VLOOKUP(A53, 'Session Data'!A:H,4,false)</f>
        <v>Oral </v>
      </c>
      <c r="J53" s="26" t="str">
        <f>VLOOKUP(A53, 'Session Data'!A:AA,14,false)</f>
        <v>Master's</v>
      </c>
      <c r="K53" s="27" t="str">
        <f>VLOOKUP(A53, 'Session Data'!A:AA,15,false)</f>
        <v>Arts and Letters</v>
      </c>
      <c r="L53" s="28"/>
      <c r="M53" s="29" t="str">
        <f>VLOOKUP(A53, 'Session Data'!A:K,11,false)</f>
        <v>Master of Science in Big Data Analytics</v>
      </c>
      <c r="N53" s="26" t="str">
        <f>IF(ISNA(VLOOKUP(A53, 'Award Abstract#'!C:C, 1, FALSE)), "No", "Yes")
</f>
        <v>No</v>
      </c>
      <c r="O53" s="29" t="str">
        <f>IF(ISNA(VLOOKUP(A53,'Award Abstract#'!B:B,1,FALSE)), "No", "Yes")</f>
        <v>Yes</v>
      </c>
      <c r="P53" s="29" t="str">
        <f>IF(ISNA(VLOOKUP(A53,'Award Abstract#'!E:E,1,FALSE)), "No", "Yes")</f>
        <v>No</v>
      </c>
      <c r="Q53" s="29" t="str">
        <f>IF(ISNA(VLOOKUP(A53,'Award Abstract#'!A:A,1,FALSE)), "No", "Yes")</f>
        <v>No</v>
      </c>
      <c r="R53" s="29" t="str">
        <f>IF(ISNA(VLOOKUP(A53,'Award Abstract#'!D:D,1,FALSE)), "No", "Yes")</f>
        <v>Yes</v>
      </c>
      <c r="S53" s="30" t="str">
        <f>VLOOKUP(A53, 'Session Data'!A:AA,27,false)</f>
        <v>Woman</v>
      </c>
      <c r="T53" s="30"/>
      <c r="U53" s="30"/>
      <c r="V53" s="31" t="str">
        <f>VLOOKUP(A53, 'Session Data'!A:AA,8,false)</f>
        <v>Shravani</v>
      </c>
      <c r="W53" s="32" t="str">
        <f>VLOOKUP(A53, 'Session Data'!A:AA,9,false)</f>
        <v>Hariprasad</v>
      </c>
      <c r="X53" s="33" t="str">
        <f>VLOOKUP(A53, 'Session Data'!A:AA,12,false)</f>
        <v>Spatiotemporal Analysis and Deep Learning Image Classification with Google Street View (GSV) of the Homelessness Problem</v>
      </c>
      <c r="Y53" s="34" t="str">
        <f>VLOOKUP(A53, 'Session Data'!A:AA,22,false)</f>
        <v>Ming</v>
      </c>
      <c r="Z53" s="34" t="str">
        <f>VLOOKUP(A53, 'Session Data'!A:AA,23,false)</f>
        <v>Tsou</v>
      </c>
      <c r="AA53" s="34" t="str">
        <f>VLOOKUP(A53, 'Session Data'!A:AA,25,false)</f>
        <v>Arts and Letters</v>
      </c>
      <c r="AB53" s="34" t="str">
        <f>VLOOKUP(A53, 'Session Data'!A:AA,24,false)</f>
        <v>mtsou@sdsu.edu</v>
      </c>
      <c r="AC53" s="34" t="str">
        <f>VLOOKUP(A53, 'Session Data'!A:AA,16,false)</f>
        <v>Emma </v>
      </c>
      <c r="AD53" s="35" t="str">
        <f>VLOOKUP(A53, 'Session Data'!A:U,17,false)</f>
        <v>De La Torre</v>
      </c>
      <c r="AE53" s="35" t="str">
        <f>VLOOKUP(A53, 'Session Data'!A:U,18,false)</f>
        <v>Manisha</v>
      </c>
      <c r="AF53" s="35" t="str">
        <f>VLOOKUP(A53, 'Session Data'!A:U,19,false)</f>
        <v>Matta</v>
      </c>
      <c r="AG53" s="35" t="str">
        <f>VLOOKUP(A53, 'Session Data'!A:U,20,false)</f>
        <v/>
      </c>
      <c r="AH53" s="35" t="str">
        <f>VLOOKUP(A53, 'Session Data'!A:U,21,false)</f>
        <v/>
      </c>
      <c r="AI53" s="36"/>
      <c r="AJ53" s="38"/>
      <c r="AK53" s="38"/>
      <c r="AL53" s="39"/>
      <c r="AM53" s="34" t="str">
        <f>VLOOKUP(A53, 'Session Data'!A:AA,10,false)</f>
        <v>shariprasad3296@sdsu.edu</v>
      </c>
      <c r="AN53" s="40"/>
      <c r="AO53" s="38"/>
      <c r="AP53" s="38"/>
      <c r="AQ53" s="38"/>
      <c r="AR53" s="38"/>
      <c r="AS53" s="38"/>
      <c r="AT53" s="38"/>
      <c r="AU53" s="38"/>
      <c r="AV53" s="38"/>
      <c r="AW53" s="38"/>
      <c r="AX53" s="38"/>
      <c r="AY53" s="43"/>
      <c r="AZ53" s="43"/>
      <c r="BA53" s="43"/>
      <c r="BB53" s="43"/>
      <c r="BC53" s="43"/>
      <c r="BD53" s="43"/>
      <c r="BE53" s="44"/>
      <c r="BF53" s="45"/>
      <c r="BG53" s="43"/>
    </row>
    <row r="54">
      <c r="A54" s="19" t="s">
        <v>117</v>
      </c>
      <c r="B54" s="20">
        <f>VLOOKUP(F54,'Session Count DO NOT EDIT'!$A:$C,3,FALSE)</f>
        <v>5</v>
      </c>
      <c r="C54" s="20">
        <f>COUNTIFS('Scores Import DO NOT EDIT'!D:D,A54)</f>
        <v>0</v>
      </c>
      <c r="D54" s="21">
        <f t="shared" si="1"/>
        <v>0</v>
      </c>
      <c r="E54" s="22" t="str">
        <f>AVERAGEIFS('Scores Import DO NOT EDIT'!L:L,'Scores Import DO NOT EDIT'!D:D,A54)</f>
        <v>#DIV/0!</v>
      </c>
      <c r="F54" s="23" t="str">
        <f>VLOOKUP(A54, 'Session Data'!A:M,3,false)</f>
        <v>A-9</v>
      </c>
      <c r="G54" s="24" t="str">
        <f>VLOOKUP(A54, 'Session Data'!A:I,2,false)</f>
        <v>9:00 AM</v>
      </c>
      <c r="H54" s="23" t="str">
        <f>VLOOKUP(A54, 'Session Data'!A:J,5,false)</f>
        <v>Engineering and Computer Science</v>
      </c>
      <c r="I54" s="25" t="str">
        <f>VLOOKUP(A54, 'Session Data'!A:H,4,false)</f>
        <v>Oral </v>
      </c>
      <c r="J54" s="26" t="str">
        <f>VLOOKUP(A54, 'Session Data'!A:AA,14,false)</f>
        <v>Master's</v>
      </c>
      <c r="K54" s="27" t="str">
        <f>VLOOKUP(A54, 'Session Data'!A:AA,15,false)</f>
        <v>Engineering</v>
      </c>
      <c r="L54" s="28"/>
      <c r="M54" s="29" t="str">
        <f>VLOOKUP(A54, 'Session Data'!A:K,11,false)</f>
        <v>Master of Science in Aerospace Engineering</v>
      </c>
      <c r="N54" s="26" t="str">
        <f>IF(ISNA(VLOOKUP(A54, 'Award Abstract#'!C:C, 1, FALSE)), "No", "Yes")
</f>
        <v>No</v>
      </c>
      <c r="O54" s="29" t="str">
        <f>IF(ISNA(VLOOKUP(A54,'Award Abstract#'!B:B,1,FALSE)), "No", "Yes")</f>
        <v>No</v>
      </c>
      <c r="P54" s="29" t="str">
        <f>IF(ISNA(VLOOKUP(A54,'Award Abstract#'!E:E,1,FALSE)), "No", "Yes")</f>
        <v>No</v>
      </c>
      <c r="Q54" s="29" t="str">
        <f>IF(ISNA(VLOOKUP(A54,'Award Abstract#'!A:A,1,FALSE)), "No", "Yes")</f>
        <v>No</v>
      </c>
      <c r="R54" s="29" t="str">
        <f>IF(ISNA(VLOOKUP(A54,'Award Abstract#'!D:D,1,FALSE)), "No", "Yes")</f>
        <v>No</v>
      </c>
      <c r="S54" s="30" t="str">
        <f>VLOOKUP(A54, 'Session Data'!A:AA,27,false)</f>
        <v>Man</v>
      </c>
      <c r="T54" s="30"/>
      <c r="U54" s="30"/>
      <c r="V54" s="31" t="str">
        <f>VLOOKUP(A54, 'Session Data'!A:AA,8,false)</f>
        <v>Thomas</v>
      </c>
      <c r="W54" s="32" t="str">
        <f>VLOOKUP(A54, 'Session Data'!A:AA,9,false)</f>
        <v>Ridgeway</v>
      </c>
      <c r="X54" s="33" t="str">
        <f>VLOOKUP(A54, 'Session Data'!A:AA,12,false)</f>
        <v>Simulations of Acoustic Instability in a Pintle Injector Rocket Engine</v>
      </c>
      <c r="Y54" s="34" t="str">
        <f>VLOOKUP(A54, 'Session Data'!A:AA,22,false)</f>
        <v>Pavel</v>
      </c>
      <c r="Z54" s="34" t="str">
        <f>VLOOKUP(A54, 'Session Data'!A:AA,23,false)</f>
        <v>Popov</v>
      </c>
      <c r="AA54" s="34" t="str">
        <f>VLOOKUP(A54, 'Session Data'!A:AA,25,false)</f>
        <v>Engineering</v>
      </c>
      <c r="AB54" s="34" t="str">
        <f>VLOOKUP(A54, 'Session Data'!A:AA,24,false)</f>
        <v>ppopov@sdsu.edu</v>
      </c>
      <c r="AC54" s="34" t="str">
        <f>VLOOKUP(A54, 'Session Data'!A:AA,16,false)</f>
        <v/>
      </c>
      <c r="AD54" s="35" t="str">
        <f>VLOOKUP(A54, 'Session Data'!A:U,17,false)</f>
        <v/>
      </c>
      <c r="AE54" s="35" t="str">
        <f>VLOOKUP(A54, 'Session Data'!A:U,18,false)</f>
        <v/>
      </c>
      <c r="AF54" s="35" t="str">
        <f>VLOOKUP(A54, 'Session Data'!A:U,19,false)</f>
        <v/>
      </c>
      <c r="AG54" s="35" t="str">
        <f>VLOOKUP(A54, 'Session Data'!A:U,20,false)</f>
        <v/>
      </c>
      <c r="AH54" s="35" t="str">
        <f>VLOOKUP(A54, 'Session Data'!A:U,21,false)</f>
        <v/>
      </c>
      <c r="AI54" s="37"/>
      <c r="AJ54" s="37"/>
      <c r="AK54" s="37"/>
      <c r="AL54" s="50"/>
      <c r="AM54" s="34" t="str">
        <f>VLOOKUP(A54, 'Session Data'!A:AA,10,false)</f>
        <v>tridgeway3168@sdsu.edu</v>
      </c>
      <c r="AN54" s="40"/>
      <c r="AO54" s="38"/>
      <c r="AP54" s="38"/>
      <c r="AQ54" s="38"/>
      <c r="AR54" s="38"/>
      <c r="AS54" s="38"/>
      <c r="AT54" s="38"/>
      <c r="AU54" s="38"/>
      <c r="AV54" s="38"/>
      <c r="AW54" s="38"/>
      <c r="AX54" s="38"/>
      <c r="AY54" s="43"/>
      <c r="AZ54" s="43"/>
      <c r="BA54" s="43"/>
      <c r="BB54" s="43"/>
      <c r="BC54" s="43"/>
      <c r="BD54" s="43"/>
      <c r="BE54" s="44"/>
      <c r="BF54" s="45"/>
      <c r="BG54" s="43"/>
    </row>
    <row r="55">
      <c r="A55" s="19" t="s">
        <v>118</v>
      </c>
      <c r="B55" s="20">
        <f>VLOOKUP(F55,'Session Count DO NOT EDIT'!$A:$C,3,FALSE)</f>
        <v>5</v>
      </c>
      <c r="C55" s="20">
        <f>COUNTIFS('Scores Import DO NOT EDIT'!D:D,A55)</f>
        <v>1</v>
      </c>
      <c r="D55" s="21">
        <f t="shared" si="1"/>
        <v>0.2</v>
      </c>
      <c r="E55" s="22">
        <f>AVERAGEIFS('Scores Import DO NOT EDIT'!L:L,'Scores Import DO NOT EDIT'!D:D,A55)</f>
        <v>29</v>
      </c>
      <c r="F55" s="23" t="str">
        <f>VLOOKUP(A55, 'Session Data'!A:M,3,false)</f>
        <v>A-9</v>
      </c>
      <c r="G55" s="24" t="str">
        <f>VLOOKUP(A55, 'Session Data'!A:I,2,false)</f>
        <v>9:00 AM</v>
      </c>
      <c r="H55" s="23" t="str">
        <f>VLOOKUP(A55, 'Session Data'!A:J,5,false)</f>
        <v>Engineering and Computer Science</v>
      </c>
      <c r="I55" s="25" t="str">
        <f>VLOOKUP(A55, 'Session Data'!A:H,4,false)</f>
        <v>Oral </v>
      </c>
      <c r="J55" s="26" t="str">
        <f>VLOOKUP(A55, 'Session Data'!A:AA,14,false)</f>
        <v>Master's</v>
      </c>
      <c r="K55" s="27" t="str">
        <f>VLOOKUP(A55, 'Session Data'!A:AA,15,false)</f>
        <v>Engineering</v>
      </c>
      <c r="L55" s="28"/>
      <c r="M55" s="29" t="str">
        <f>VLOOKUP(A55, 'Session Data'!A:K,11,false)</f>
        <v>Masters of Science in Bioengineering</v>
      </c>
      <c r="N55" s="26" t="str">
        <f>IF(ISNA(VLOOKUP(A55, 'Award Abstract#'!C:C, 1, FALSE)), "No", "Yes")
</f>
        <v>No</v>
      </c>
      <c r="O55" s="29" t="str">
        <f>IF(ISNA(VLOOKUP(A55,'Award Abstract#'!B:B,1,FALSE)), "No", "Yes")</f>
        <v>No</v>
      </c>
      <c r="P55" s="29" t="str">
        <f>IF(ISNA(VLOOKUP(A55,'Award Abstract#'!E:E,1,FALSE)), "No", "Yes")</f>
        <v>No</v>
      </c>
      <c r="Q55" s="29" t="str">
        <f>IF(ISNA(VLOOKUP(A55,'Award Abstract#'!A:A,1,FALSE)), "No", "Yes")</f>
        <v>No</v>
      </c>
      <c r="R55" s="29" t="str">
        <f>IF(ISNA(VLOOKUP(A55,'Award Abstract#'!D:D,1,FALSE)), "No", "Yes")</f>
        <v>No</v>
      </c>
      <c r="S55" s="30" t="str">
        <f>VLOOKUP(A55, 'Session Data'!A:AA,27,false)</f>
        <v>Woman</v>
      </c>
      <c r="T55" s="30"/>
      <c r="U55" s="30"/>
      <c r="V55" s="31" t="str">
        <f>VLOOKUP(A55, 'Session Data'!A:AA,8,false)</f>
        <v>Hailey</v>
      </c>
      <c r="W55" s="32" t="str">
        <f>VLOOKUP(A55, 'Session Data'!A:AA,9,false)</f>
        <v>Harkness</v>
      </c>
      <c r="X55" s="33" t="str">
        <f>VLOOKUP(A55, 'Session Data'!A:AA,12,false)</f>
        <v>Three-Dimensional Flow Studies of the Aortic Root During Mechanical Circulatory Support</v>
      </c>
      <c r="Y55" s="34" t="str">
        <f>VLOOKUP(A55, 'Session Data'!A:AA,22,false)</f>
        <v>Karen </v>
      </c>
      <c r="Z55" s="34" t="str">
        <f>VLOOKUP(A55, 'Session Data'!A:AA,23,false)</f>
        <v>May-Newman</v>
      </c>
      <c r="AA55" s="34" t="str">
        <f>VLOOKUP(A55, 'Session Data'!A:AA,25,false)</f>
        <v>Engineering</v>
      </c>
      <c r="AB55" s="34" t="str">
        <f>VLOOKUP(A55, 'Session Data'!A:AA,24,false)</f>
        <v>kmaynewm@sdsu.edu</v>
      </c>
      <c r="AC55" s="34" t="str">
        <f>VLOOKUP(A55, 'Session Data'!A:AA,16,false)</f>
        <v/>
      </c>
      <c r="AD55" s="35" t="str">
        <f>VLOOKUP(A55, 'Session Data'!A:U,17,false)</f>
        <v/>
      </c>
      <c r="AE55" s="35" t="str">
        <f>VLOOKUP(A55, 'Session Data'!A:U,18,false)</f>
        <v/>
      </c>
      <c r="AF55" s="35" t="str">
        <f>VLOOKUP(A55, 'Session Data'!A:U,19,false)</f>
        <v/>
      </c>
      <c r="AG55" s="35" t="str">
        <f>VLOOKUP(A55, 'Session Data'!A:U,20,false)</f>
        <v/>
      </c>
      <c r="AH55" s="35" t="str">
        <f>VLOOKUP(A55, 'Session Data'!A:U,21,false)</f>
        <v/>
      </c>
      <c r="AI55" s="36"/>
      <c r="AJ55" s="38"/>
      <c r="AK55" s="38"/>
      <c r="AL55" s="39"/>
      <c r="AM55" s="34" t="str">
        <f>VLOOKUP(A55, 'Session Data'!A:AA,10,false)</f>
        <v>hharkness2657@sdsu.edu</v>
      </c>
      <c r="AN55" s="40"/>
      <c r="AO55" s="38"/>
      <c r="AP55" s="38"/>
      <c r="AQ55" s="38"/>
      <c r="AR55" s="38"/>
      <c r="AS55" s="38"/>
      <c r="AT55" s="38"/>
      <c r="AU55" s="38"/>
      <c r="AV55" s="38"/>
      <c r="AW55" s="38"/>
      <c r="AX55" s="38"/>
      <c r="AY55" s="43"/>
      <c r="AZ55" s="43"/>
      <c r="BA55" s="48"/>
      <c r="BB55" s="48"/>
      <c r="BC55" s="43"/>
      <c r="BD55" s="43"/>
      <c r="BE55" s="44"/>
      <c r="BF55" s="45"/>
      <c r="BG55" s="43"/>
    </row>
    <row r="56">
      <c r="A56" s="19" t="s">
        <v>119</v>
      </c>
      <c r="B56" s="20">
        <f>VLOOKUP(F56,'Session Count DO NOT EDIT'!$A:$C,3,FALSE)</f>
        <v>5</v>
      </c>
      <c r="C56" s="20">
        <f>COUNTIFS('Scores Import DO NOT EDIT'!D:D,A56)</f>
        <v>1</v>
      </c>
      <c r="D56" s="21">
        <f t="shared" si="1"/>
        <v>0.2</v>
      </c>
      <c r="E56" s="22">
        <f>AVERAGEIFS('Scores Import DO NOT EDIT'!L:L,'Scores Import DO NOT EDIT'!D:D,A56)</f>
        <v>28</v>
      </c>
      <c r="F56" s="23" t="str">
        <f>VLOOKUP(A56, 'Session Data'!A:M,3,false)</f>
        <v>A-9</v>
      </c>
      <c r="G56" s="24" t="str">
        <f>VLOOKUP(A56, 'Session Data'!A:I,2,false)</f>
        <v>9:00 AM</v>
      </c>
      <c r="H56" s="23" t="str">
        <f>VLOOKUP(A56, 'Session Data'!A:J,5,false)</f>
        <v>Engineering and Computer Science</v>
      </c>
      <c r="I56" s="25" t="str">
        <f>VLOOKUP(A56, 'Session Data'!A:H,4,false)</f>
        <v>Oral </v>
      </c>
      <c r="J56" s="26" t="str">
        <f>VLOOKUP(A56, 'Session Data'!A:AA,14,false)</f>
        <v>Master's</v>
      </c>
      <c r="K56" s="27" t="str">
        <f>VLOOKUP(A56, 'Session Data'!A:AA,15,false)</f>
        <v>Engineering</v>
      </c>
      <c r="L56" s="28"/>
      <c r="M56" s="29" t="str">
        <f>VLOOKUP(A56, 'Session Data'!A:K,11,false)</f>
        <v>Master of Science in Bioengineering</v>
      </c>
      <c r="N56" s="26" t="str">
        <f>IF(ISNA(VLOOKUP(A56, 'Award Abstract#'!C:C, 1, FALSE)), "No", "Yes")
</f>
        <v>No</v>
      </c>
      <c r="O56" s="29" t="str">
        <f>IF(ISNA(VLOOKUP(A56,'Award Abstract#'!B:B,1,FALSE)), "No", "Yes")</f>
        <v>No</v>
      </c>
      <c r="P56" s="29" t="str">
        <f>IF(ISNA(VLOOKUP(A56,'Award Abstract#'!E:E,1,FALSE)), "No", "Yes")</f>
        <v>No</v>
      </c>
      <c r="Q56" s="29" t="str">
        <f>IF(ISNA(VLOOKUP(A56,'Award Abstract#'!A:A,1,FALSE)), "No", "Yes")</f>
        <v>No</v>
      </c>
      <c r="R56" s="29" t="str">
        <f>IF(ISNA(VLOOKUP(A56,'Award Abstract#'!D:D,1,FALSE)), "No", "Yes")</f>
        <v>No</v>
      </c>
      <c r="S56" s="30" t="str">
        <f>VLOOKUP(A56, 'Session Data'!A:AA,27,false)</f>
        <v>Man</v>
      </c>
      <c r="T56" s="30"/>
      <c r="U56" s="30"/>
      <c r="V56" s="31" t="str">
        <f>VLOOKUP(A56, 'Session Data'!A:AA,8,false)</f>
        <v>Pourya</v>
      </c>
      <c r="W56" s="32" t="str">
        <f>VLOOKUP(A56, 'Session Data'!A:AA,9,false)</f>
        <v>Bayzaie</v>
      </c>
      <c r="X56" s="33" t="str">
        <f>VLOOKUP(A56, 'Session Data'!A:AA,12,false)</f>
        <v>Analysis of graphene derived via photolithographically-patterned C-MEMS and incorporation into implantable bioelectronic devices</v>
      </c>
      <c r="Y56" s="34" t="str">
        <f>VLOOKUP(A56, 'Session Data'!A:AA,22,false)</f>
        <v>Samuel</v>
      </c>
      <c r="Z56" s="34" t="str">
        <f>VLOOKUP(A56, 'Session Data'!A:AA,23,false)</f>
        <v>Kassegne</v>
      </c>
      <c r="AA56" s="34" t="str">
        <f>VLOOKUP(A56, 'Session Data'!A:AA,25,false)</f>
        <v>Engineering</v>
      </c>
      <c r="AB56" s="34" t="str">
        <f>VLOOKUP(A56, 'Session Data'!A:AA,24,false)</f>
        <v>kassegne@sdsu.edu</v>
      </c>
      <c r="AC56" s="34" t="str">
        <f>VLOOKUP(A56, 'Session Data'!A:AA,16,false)</f>
        <v>Pourya</v>
      </c>
      <c r="AD56" s="35" t="str">
        <f>VLOOKUP(A56, 'Session Data'!A:U,17,false)</f>
        <v>Bayzaie</v>
      </c>
      <c r="AE56" s="35" t="str">
        <f>VLOOKUP(A56, 'Session Data'!A:U,18,false)</f>
        <v/>
      </c>
      <c r="AF56" s="35" t="str">
        <f>VLOOKUP(A56, 'Session Data'!A:U,19,false)</f>
        <v/>
      </c>
      <c r="AG56" s="35" t="str">
        <f>VLOOKUP(A56, 'Session Data'!A:U,20,false)</f>
        <v/>
      </c>
      <c r="AH56" s="35" t="str">
        <f>VLOOKUP(A56, 'Session Data'!A:U,21,false)</f>
        <v/>
      </c>
      <c r="AI56" s="37"/>
      <c r="AJ56" s="37"/>
      <c r="AK56" s="37"/>
      <c r="AL56" s="50"/>
      <c r="AM56" s="34" t="str">
        <f>VLOOKUP(A56, 'Session Data'!A:AA,10,false)</f>
        <v>pbayzaie1390@sdsu.edu</v>
      </c>
      <c r="AN56" s="40"/>
      <c r="AO56" s="38"/>
      <c r="AP56" s="38"/>
      <c r="AQ56" s="38"/>
      <c r="AR56" s="38"/>
      <c r="AS56" s="38"/>
      <c r="AT56" s="38"/>
      <c r="AU56" s="38"/>
      <c r="AV56" s="38"/>
      <c r="AW56" s="38"/>
      <c r="AX56" s="38"/>
      <c r="AY56" s="43"/>
      <c r="AZ56" s="43"/>
      <c r="BA56" s="43"/>
      <c r="BB56" s="43"/>
      <c r="BC56" s="43"/>
      <c r="BD56" s="43"/>
      <c r="BE56" s="44"/>
      <c r="BF56" s="45"/>
      <c r="BG56" s="43"/>
    </row>
    <row r="57" ht="18.75" customHeight="1">
      <c r="A57" s="19" t="s">
        <v>120</v>
      </c>
      <c r="B57" s="20">
        <f>VLOOKUP(F57,'Session Count DO NOT EDIT'!$A:$C,3,FALSE)</f>
        <v>5</v>
      </c>
      <c r="C57" s="20">
        <f>COUNTIFS('Scores Import DO NOT EDIT'!D:D,A57)</f>
        <v>1</v>
      </c>
      <c r="D57" s="21">
        <f t="shared" si="1"/>
        <v>0.2</v>
      </c>
      <c r="E57" s="22">
        <f>AVERAGEIFS('Scores Import DO NOT EDIT'!L:L,'Scores Import DO NOT EDIT'!D:D,A57)</f>
        <v>28</v>
      </c>
      <c r="F57" s="23" t="str">
        <f>VLOOKUP(A57, 'Session Data'!A:M,3,false)</f>
        <v>A-9</v>
      </c>
      <c r="G57" s="24" t="str">
        <f>VLOOKUP(A57, 'Session Data'!A:I,2,false)</f>
        <v>9:00 AM</v>
      </c>
      <c r="H57" s="23" t="str">
        <f>VLOOKUP(A57, 'Session Data'!A:J,5,false)</f>
        <v>Engineering and Computer Science</v>
      </c>
      <c r="I57" s="25" t="str">
        <f>VLOOKUP(A57, 'Session Data'!A:H,4,false)</f>
        <v>Oral </v>
      </c>
      <c r="J57" s="26" t="str">
        <f>VLOOKUP(A57, 'Session Data'!A:AA,14,false)</f>
        <v>Undergraduate</v>
      </c>
      <c r="K57" s="27" t="str">
        <f>VLOOKUP(A57, 'Session Data'!A:AA,15,false)</f>
        <v>Engineering</v>
      </c>
      <c r="L57" s="28"/>
      <c r="M57" s="29" t="str">
        <f>VLOOKUP(A57, 'Session Data'!A:K,11,false)</f>
        <v>Biomechanical engineering </v>
      </c>
      <c r="N57" s="26" t="str">
        <f>IF(ISNA(VLOOKUP(A57, 'Award Abstract#'!C:C, 1, FALSE)), "No", "Yes")
</f>
        <v>No</v>
      </c>
      <c r="O57" s="29" t="str">
        <f>IF(ISNA(VLOOKUP(A57,'Award Abstract#'!B:B,1,FALSE)), "No", "Yes")</f>
        <v>No</v>
      </c>
      <c r="P57" s="29" t="str">
        <f>IF(ISNA(VLOOKUP(A57,'Award Abstract#'!E:E,1,FALSE)), "No", "Yes")</f>
        <v>No</v>
      </c>
      <c r="Q57" s="29" t="str">
        <f>IF(ISNA(VLOOKUP(A57,'Award Abstract#'!A:A,1,FALSE)), "No", "Yes")</f>
        <v>No</v>
      </c>
      <c r="R57" s="29" t="str">
        <f>IF(ISNA(VLOOKUP(A57,'Award Abstract#'!D:D,1,FALSE)), "No", "Yes")</f>
        <v>No</v>
      </c>
      <c r="S57" s="30" t="str">
        <f>VLOOKUP(A57, 'Session Data'!A:AA,27,false)</f>
        <v>Woman</v>
      </c>
      <c r="T57" s="30"/>
      <c r="U57" s="30"/>
      <c r="V57" s="31" t="str">
        <f>VLOOKUP(A57, 'Session Data'!A:AA,8,false)</f>
        <v>Britton</v>
      </c>
      <c r="W57" s="32" t="str">
        <f>VLOOKUP(A57, 'Session Data'!A:AA,9,false)</f>
        <v>Mennie</v>
      </c>
      <c r="X57" s="33" t="str">
        <f>VLOOKUP(A57, 'Session Data'!A:AA,12,false)</f>
        <v>3-D Flow Visualization of Vortex Rings in the Left Ventricle</v>
      </c>
      <c r="Y57" s="34" t="str">
        <f>VLOOKUP(A57, 'Session Data'!A:AA,22,false)</f>
        <v>Karen</v>
      </c>
      <c r="Z57" s="34" t="str">
        <f>VLOOKUP(A57, 'Session Data'!A:AA,23,false)</f>
        <v>May-Newman</v>
      </c>
      <c r="AA57" s="34" t="str">
        <f>VLOOKUP(A57, 'Session Data'!A:AA,25,false)</f>
        <v>Engineering</v>
      </c>
      <c r="AB57" s="34" t="str">
        <f>VLOOKUP(A57, 'Session Data'!A:AA,24,false)</f>
        <v>kmaynewm@sdsu.edu</v>
      </c>
      <c r="AC57" s="34" t="str">
        <f>VLOOKUP(A57, 'Session Data'!A:AA,16,false)</f>
        <v/>
      </c>
      <c r="AD57" s="35" t="str">
        <f>VLOOKUP(A57, 'Session Data'!A:U,17,false)</f>
        <v/>
      </c>
      <c r="AE57" s="35" t="str">
        <f>VLOOKUP(A57, 'Session Data'!A:U,18,false)</f>
        <v/>
      </c>
      <c r="AF57" s="35" t="str">
        <f>VLOOKUP(A57, 'Session Data'!A:U,19,false)</f>
        <v/>
      </c>
      <c r="AG57" s="35" t="str">
        <f>VLOOKUP(A57, 'Session Data'!A:U,20,false)</f>
        <v/>
      </c>
      <c r="AH57" s="35" t="str">
        <f>VLOOKUP(A57, 'Session Data'!A:U,21,false)</f>
        <v/>
      </c>
      <c r="AI57" s="37"/>
      <c r="AJ57" s="37"/>
      <c r="AK57" s="37"/>
      <c r="AL57" s="50"/>
      <c r="AM57" s="34" t="str">
        <f>VLOOKUP(A57, 'Session Data'!A:AA,10,false)</f>
        <v>bmennie2707@sdsu.edu</v>
      </c>
      <c r="AN57" s="40"/>
      <c r="AO57" s="38"/>
      <c r="AP57" s="38"/>
      <c r="AQ57" s="38"/>
      <c r="AR57" s="38"/>
      <c r="AS57" s="38"/>
      <c r="AT57" s="38"/>
      <c r="AU57" s="38"/>
      <c r="AV57" s="38"/>
      <c r="AW57" s="38"/>
      <c r="AX57" s="38"/>
      <c r="AY57" s="43"/>
      <c r="AZ57" s="43"/>
      <c r="BA57" s="48"/>
      <c r="BB57" s="48"/>
      <c r="BC57" s="43"/>
      <c r="BD57" s="43"/>
      <c r="BE57" s="44"/>
      <c r="BF57" s="45"/>
      <c r="BG57" s="43"/>
    </row>
    <row r="58">
      <c r="A58" s="19" t="s">
        <v>121</v>
      </c>
      <c r="B58" s="20">
        <f>VLOOKUP(F58,'Session Count DO NOT EDIT'!$A:$C,3,FALSE)</f>
        <v>5</v>
      </c>
      <c r="C58" s="20">
        <f>COUNTIFS('Scores Import DO NOT EDIT'!D:D,A58)</f>
        <v>2</v>
      </c>
      <c r="D58" s="21">
        <f t="shared" si="1"/>
        <v>0.4</v>
      </c>
      <c r="E58" s="22">
        <f>AVERAGEIFS('Scores Import DO NOT EDIT'!L:L,'Scores Import DO NOT EDIT'!D:D,A58)</f>
        <v>24.5</v>
      </c>
      <c r="F58" s="23" t="str">
        <f>VLOOKUP(A58, 'Session Data'!A:M,3,false)</f>
        <v>A-9</v>
      </c>
      <c r="G58" s="24" t="str">
        <f>VLOOKUP(A58, 'Session Data'!A:I,2,false)</f>
        <v>9:00 AM</v>
      </c>
      <c r="H58" s="23" t="str">
        <f>VLOOKUP(A58, 'Session Data'!A:J,5,false)</f>
        <v>Engineering and Computer Science</v>
      </c>
      <c r="I58" s="25" t="str">
        <f>VLOOKUP(A58, 'Session Data'!A:H,4,false)</f>
        <v>Oral </v>
      </c>
      <c r="J58" s="26" t="str">
        <f>VLOOKUP(A58, 'Session Data'!A:AA,14,false)</f>
        <v>Undergraduate</v>
      </c>
      <c r="K58" s="27" t="str">
        <f>VLOOKUP(A58, 'Session Data'!A:AA,15,false)</f>
        <v>Engineering</v>
      </c>
      <c r="L58" s="28"/>
      <c r="M58" s="29" t="str">
        <f>VLOOKUP(A58, 'Session Data'!A:K,11,false)</f>
        <v>Mechanical Engineering</v>
      </c>
      <c r="N58" s="26" t="str">
        <f>IF(ISNA(VLOOKUP(A58, 'Award Abstract#'!C:C, 1, FALSE)), "No", "Yes")
</f>
        <v>No</v>
      </c>
      <c r="O58" s="29" t="str">
        <f>IF(ISNA(VLOOKUP(A58,'Award Abstract#'!B:B,1,FALSE)), "No", "Yes")</f>
        <v>No</v>
      </c>
      <c r="P58" s="29" t="str">
        <f>IF(ISNA(VLOOKUP(A58,'Award Abstract#'!E:E,1,FALSE)), "No", "Yes")</f>
        <v>No</v>
      </c>
      <c r="Q58" s="29" t="str">
        <f>IF(ISNA(VLOOKUP(A58,'Award Abstract#'!A:A,1,FALSE)), "No", "Yes")</f>
        <v>No</v>
      </c>
      <c r="R58" s="29" t="str">
        <f>IF(ISNA(VLOOKUP(A58,'Award Abstract#'!D:D,1,FALSE)), "No", "Yes")</f>
        <v>No</v>
      </c>
      <c r="S58" s="30" t="str">
        <f>VLOOKUP(A58, 'Session Data'!A:AA,27,false)</f>
        <v>Man</v>
      </c>
      <c r="T58" s="30"/>
      <c r="U58" s="30"/>
      <c r="V58" s="31" t="str">
        <f>VLOOKUP(A58, 'Session Data'!A:AA,8,false)</f>
        <v>Jack</v>
      </c>
      <c r="W58" s="32" t="str">
        <f>VLOOKUP(A58, 'Session Data'!A:AA,9,false)</f>
        <v>Volponi</v>
      </c>
      <c r="X58" s="33" t="str">
        <f>VLOOKUP(A58, 'Session Data'!A:AA,12,false)</f>
        <v>SoFIE Flow Duct Sensor Calibration associated with Development of new N.A.S.A. Materials Combustibility Standards for Flight Material Choices</v>
      </c>
      <c r="Y58" s="34" t="str">
        <f>VLOOKUP(A58, 'Session Data'!A:AA,22,false)</f>
        <v>Fletcher</v>
      </c>
      <c r="Z58" s="34" t="str">
        <f>VLOOKUP(A58, 'Session Data'!A:AA,23,false)</f>
        <v>Miller</v>
      </c>
      <c r="AA58" s="34" t="str">
        <f>VLOOKUP(A58, 'Session Data'!A:AA,25,false)</f>
        <v>Engineering</v>
      </c>
      <c r="AB58" s="34" t="str">
        <f>VLOOKUP(A58, 'Session Data'!A:AA,24,false)</f>
        <v>fmiller@sdsu.edu</v>
      </c>
      <c r="AC58" s="34" t="str">
        <f>VLOOKUP(A58, 'Session Data'!A:AA,16,false)</f>
        <v/>
      </c>
      <c r="AD58" s="35" t="str">
        <f>VLOOKUP(A58, 'Session Data'!A:U,17,false)</f>
        <v/>
      </c>
      <c r="AE58" s="35" t="str">
        <f>VLOOKUP(A58, 'Session Data'!A:U,18,false)</f>
        <v/>
      </c>
      <c r="AF58" s="35" t="str">
        <f>VLOOKUP(A58, 'Session Data'!A:U,19,false)</f>
        <v/>
      </c>
      <c r="AG58" s="35" t="str">
        <f>VLOOKUP(A58, 'Session Data'!A:U,20,false)</f>
        <v/>
      </c>
      <c r="AH58" s="35" t="str">
        <f>VLOOKUP(A58, 'Session Data'!A:U,21,false)</f>
        <v/>
      </c>
      <c r="AI58" s="37"/>
      <c r="AJ58" s="37"/>
      <c r="AK58" s="37"/>
      <c r="AL58" s="50"/>
      <c r="AM58" s="34" t="str">
        <f>VLOOKUP(A58, 'Session Data'!A:AA,10,false)</f>
        <v>jvolponi0552@sdsu.edu</v>
      </c>
      <c r="AN58" s="40"/>
      <c r="AO58" s="75"/>
      <c r="AP58" s="75"/>
      <c r="AQ58" s="75"/>
      <c r="AR58" s="75"/>
      <c r="AS58" s="75"/>
      <c r="AT58" s="75"/>
      <c r="AU58" s="75"/>
      <c r="AV58" s="75"/>
      <c r="AW58" s="75"/>
      <c r="AX58" s="75"/>
      <c r="AY58" s="43"/>
      <c r="AZ58" s="43"/>
      <c r="BA58" s="43"/>
      <c r="BB58" s="43"/>
      <c r="BC58" s="43"/>
      <c r="BD58" s="43"/>
      <c r="BE58" s="44"/>
      <c r="BF58" s="45"/>
      <c r="BG58" s="43"/>
    </row>
    <row r="59">
      <c r="A59" s="19" t="s">
        <v>122</v>
      </c>
      <c r="B59" s="20">
        <f>VLOOKUP(F59,'Session Count DO NOT EDIT'!$A:$C,3,FALSE)</f>
        <v>4</v>
      </c>
      <c r="C59" s="20">
        <f>COUNTIFS('Scores Import DO NOT EDIT'!D:D,A59)</f>
        <v>4</v>
      </c>
      <c r="D59" s="21">
        <f t="shared" si="1"/>
        <v>1</v>
      </c>
      <c r="E59" s="22">
        <f>AVERAGEIFS('Scores Import DO NOT EDIT'!L:L,'Scores Import DO NOT EDIT'!D:D,A59)</f>
        <v>31</v>
      </c>
      <c r="F59" s="23" t="str">
        <f>VLOOKUP(A59, 'Session Data'!A:M,3,false)</f>
        <v>B-1</v>
      </c>
      <c r="G59" s="24" t="str">
        <f>VLOOKUP(A59, 'Session Data'!A:I,2,false)</f>
        <v>11:00 AM</v>
      </c>
      <c r="H59" s="23" t="str">
        <f>VLOOKUP(A59, 'Session Data'!A:J,5,false)</f>
        <v>Behavioral and Social Sciences 1</v>
      </c>
      <c r="I59" s="25" t="str">
        <f>VLOOKUP(A59, 'Session Data'!A:H,4,false)</f>
        <v>Oral </v>
      </c>
      <c r="J59" s="26" t="str">
        <f>VLOOKUP(A59, 'Session Data'!A:AA,14,false)</f>
        <v>Undergraduate</v>
      </c>
      <c r="K59" s="27" t="str">
        <f>VLOOKUP(A59, 'Session Data'!A:AA,15,false)</f>
        <v>Arts and Letters</v>
      </c>
      <c r="L59" s="52" t="s">
        <v>73</v>
      </c>
      <c r="M59" s="29" t="str">
        <f>VLOOKUP(A59, 'Session Data'!A:K,11,false)</f>
        <v>Bachelor Political Science</v>
      </c>
      <c r="N59" s="26" t="str">
        <f>IF(ISNA(VLOOKUP(A59, 'Award Abstract#'!C:C, 1, FALSE)), "No", "Yes")
</f>
        <v>No</v>
      </c>
      <c r="O59" s="29" t="str">
        <f>IF(ISNA(VLOOKUP(A59,'Award Abstract#'!B:B,1,FALSE)), "No", "Yes")</f>
        <v>No</v>
      </c>
      <c r="P59" s="29" t="str">
        <f>IF(ISNA(VLOOKUP(A59,'Award Abstract#'!E:E,1,FALSE)), "No", "Yes")</f>
        <v>No</v>
      </c>
      <c r="Q59" s="29" t="str">
        <f>IF(ISNA(VLOOKUP(A59,'Award Abstract#'!A:A,1,FALSE)), "No", "Yes")</f>
        <v>No</v>
      </c>
      <c r="R59" s="29" t="str">
        <f>IF(ISNA(VLOOKUP(A59,'Award Abstract#'!D:D,1,FALSE)), "No", "Yes")</f>
        <v>Yes</v>
      </c>
      <c r="S59" s="30" t="str">
        <f>VLOOKUP(A59, 'Session Data'!A:AA,27,false)</f>
        <v>Woman</v>
      </c>
      <c r="T59" s="30"/>
      <c r="U59" s="30"/>
      <c r="V59" s="31" t="str">
        <f>VLOOKUP(A59, 'Session Data'!A:AA,8,false)</f>
        <v>Allison</v>
      </c>
      <c r="W59" s="32" t="str">
        <f>VLOOKUP(A59, 'Session Data'!A:AA,9,false)</f>
        <v>Gallant</v>
      </c>
      <c r="X59" s="33" t="str">
        <f>VLOOKUP(A59, 'Session Data'!A:AA,12,false)</f>
        <v> Fighting for Gaza: Assessing student mobilization movements and shifting foreign policy perspectives</v>
      </c>
      <c r="Y59" s="34" t="str">
        <f>VLOOKUP(A59, 'Session Data'!A:AA,22,false)</f>
        <v>Jonathan</v>
      </c>
      <c r="Z59" s="34" t="str">
        <f>VLOOKUP(A59, 'Session Data'!A:AA,23,false)</f>
        <v>Graubart</v>
      </c>
      <c r="AA59" s="34" t="str">
        <f>VLOOKUP(A59, 'Session Data'!A:AA,25,false)</f>
        <v>Arts and Letters</v>
      </c>
      <c r="AB59" s="34" t="str">
        <f>VLOOKUP(A59, 'Session Data'!A:AA,24,false)</f>
        <v>graubart@sdsu.edu</v>
      </c>
      <c r="AC59" s="34" t="str">
        <f>VLOOKUP(A59, 'Session Data'!A:AA,16,false)</f>
        <v/>
      </c>
      <c r="AD59" s="35" t="str">
        <f>VLOOKUP(A59, 'Session Data'!A:U,17,false)</f>
        <v/>
      </c>
      <c r="AE59" s="35" t="str">
        <f>VLOOKUP(A59, 'Session Data'!A:U,18,false)</f>
        <v/>
      </c>
      <c r="AF59" s="35" t="str">
        <f>VLOOKUP(A59, 'Session Data'!A:U,19,false)</f>
        <v/>
      </c>
      <c r="AG59" s="35" t="str">
        <f>VLOOKUP(A59, 'Session Data'!A:U,20,false)</f>
        <v/>
      </c>
      <c r="AH59" s="35" t="str">
        <f>VLOOKUP(A59, 'Session Data'!A:U,21,false)</f>
        <v/>
      </c>
      <c r="AI59" s="37"/>
      <c r="AJ59" s="37"/>
      <c r="AK59" s="37"/>
      <c r="AL59" s="50"/>
      <c r="AM59" s="34" t="str">
        <f>VLOOKUP(A59, 'Session Data'!A:AA,10,false)</f>
        <v>agallant4266@sdsu.edu</v>
      </c>
      <c r="AN59" s="40"/>
      <c r="AO59" s="38"/>
      <c r="AP59" s="38"/>
      <c r="AQ59" s="38"/>
      <c r="AR59" s="38"/>
      <c r="AS59" s="38"/>
      <c r="AT59" s="38"/>
      <c r="AU59" s="38"/>
      <c r="AV59" s="38"/>
      <c r="AW59" s="38"/>
      <c r="AX59" s="38"/>
      <c r="AY59" s="43"/>
      <c r="AZ59" s="43"/>
      <c r="BA59" s="43"/>
      <c r="BB59" s="43"/>
      <c r="BC59" s="43"/>
      <c r="BD59" s="43"/>
      <c r="BE59" s="44"/>
      <c r="BF59" s="45"/>
      <c r="BG59" s="43"/>
    </row>
    <row r="60">
      <c r="A60" s="19" t="s">
        <v>123</v>
      </c>
      <c r="B60" s="20">
        <f>VLOOKUP(F60,'Session Count DO NOT EDIT'!$A:$C,3,FALSE)</f>
        <v>4</v>
      </c>
      <c r="C60" s="20">
        <f>COUNTIFS('Scores Import DO NOT EDIT'!D:D,A60)</f>
        <v>4</v>
      </c>
      <c r="D60" s="21">
        <f t="shared" si="1"/>
        <v>1</v>
      </c>
      <c r="E60" s="22">
        <f>AVERAGEIFS('Scores Import DO NOT EDIT'!L:L,'Scores Import DO NOT EDIT'!D:D,A60)</f>
        <v>30.25</v>
      </c>
      <c r="F60" s="23" t="str">
        <f>VLOOKUP(A60, 'Session Data'!A:M,3,false)</f>
        <v>B-1</v>
      </c>
      <c r="G60" s="24" t="str">
        <f>VLOOKUP(A60, 'Session Data'!A:I,2,false)</f>
        <v>11:00 AM</v>
      </c>
      <c r="H60" s="23" t="str">
        <f>VLOOKUP(A60, 'Session Data'!A:J,5,false)</f>
        <v>Behavioral and Social Sciences 1</v>
      </c>
      <c r="I60" s="25" t="str">
        <f>VLOOKUP(A60, 'Session Data'!A:H,4,false)</f>
        <v>Oral </v>
      </c>
      <c r="J60" s="26" t="str">
        <f>VLOOKUP(A60, 'Session Data'!A:AA,14,false)</f>
        <v>Undergraduate</v>
      </c>
      <c r="K60" s="27" t="str">
        <f>VLOOKUP(A60, 'Session Data'!A:AA,15,false)</f>
        <v>Professional Studies and Fine Arts</v>
      </c>
      <c r="L60" s="28" t="s">
        <v>95</v>
      </c>
      <c r="M60" s="29" t="str">
        <f>VLOOKUP(A60, 'Session Data'!A:K,11,false)</f>
        <v>Bachelor of Arts in Communication</v>
      </c>
      <c r="N60" s="26" t="str">
        <f>IF(ISNA(VLOOKUP(A60, 'Award Abstract#'!C:C, 1, FALSE)), "No", "Yes")
</f>
        <v>No</v>
      </c>
      <c r="O60" s="29" t="str">
        <f>IF(ISNA(VLOOKUP(A60,'Award Abstract#'!B:B,1,FALSE)), "No", "Yes")</f>
        <v>No</v>
      </c>
      <c r="P60" s="29" t="str">
        <f>IF(ISNA(VLOOKUP(A60,'Award Abstract#'!E:E,1,FALSE)), "No", "Yes")</f>
        <v>No</v>
      </c>
      <c r="Q60" s="29" t="str">
        <f>IF(ISNA(VLOOKUP(A60,'Award Abstract#'!A:A,1,FALSE)), "No", "Yes")</f>
        <v>No</v>
      </c>
      <c r="R60" s="29" t="str">
        <f>IF(ISNA(VLOOKUP(A60,'Award Abstract#'!D:D,1,FALSE)), "No", "Yes")</f>
        <v>Yes</v>
      </c>
      <c r="S60" s="30" t="str">
        <f>VLOOKUP(A60, 'Session Data'!A:AA,27,false)</f>
        <v>Woman</v>
      </c>
      <c r="T60" s="30"/>
      <c r="U60" s="30"/>
      <c r="V60" s="31" t="str">
        <f>VLOOKUP(A60, 'Session Data'!A:AA,8,false)</f>
        <v>Sydney</v>
      </c>
      <c r="W60" s="32" t="str">
        <f>VLOOKUP(A60, 'Session Data'!A:AA,9,false)</f>
        <v>Stafford</v>
      </c>
      <c r="X60" s="33" t="str">
        <f>VLOOKUP(A60, 'Session Data'!A:AA,12,false)</f>
        <v>Why Does Gender Matter? Student Perspectives on Leadership </v>
      </c>
      <c r="Y60" s="34" t="str">
        <f>VLOOKUP(A60, 'Session Data'!A:AA,22,false)</f>
        <v>Tiffany</v>
      </c>
      <c r="Z60" s="34" t="str">
        <f>VLOOKUP(A60, 'Session Data'!A:AA,23,false)</f>
        <v>Dykstra-Devette</v>
      </c>
      <c r="AA60" s="34" t="str">
        <f>VLOOKUP(A60, 'Session Data'!A:AA,25,false)</f>
        <v>Professional Studies and Fine Arts</v>
      </c>
      <c r="AB60" s="34" t="str">
        <f>VLOOKUP(A60, 'Session Data'!A:AA,24,false)</f>
        <v>tdykstradevette@sdsu.edu</v>
      </c>
      <c r="AC60" s="34" t="str">
        <f>VLOOKUP(A60, 'Session Data'!A:AA,16,false)</f>
        <v/>
      </c>
      <c r="AD60" s="35" t="str">
        <f>VLOOKUP(A60, 'Session Data'!A:U,17,false)</f>
        <v/>
      </c>
      <c r="AE60" s="35" t="str">
        <f>VLOOKUP(A60, 'Session Data'!A:U,18,false)</f>
        <v/>
      </c>
      <c r="AF60" s="35" t="str">
        <f>VLOOKUP(A60, 'Session Data'!A:U,19,false)</f>
        <v/>
      </c>
      <c r="AG60" s="35" t="str">
        <f>VLOOKUP(A60, 'Session Data'!A:U,20,false)</f>
        <v/>
      </c>
      <c r="AH60" s="35" t="str">
        <f>VLOOKUP(A60, 'Session Data'!A:U,21,false)</f>
        <v/>
      </c>
      <c r="AI60" s="36"/>
      <c r="AJ60" s="38"/>
      <c r="AK60" s="38"/>
      <c r="AL60" s="39"/>
      <c r="AM60" s="34" t="str">
        <f>VLOOKUP(A60, 'Session Data'!A:AA,10,false)</f>
        <v>sstafford2158@sdsu.edu</v>
      </c>
      <c r="AN60" s="40"/>
      <c r="AO60" s="38"/>
      <c r="AP60" s="38"/>
      <c r="AQ60" s="38"/>
      <c r="AR60" s="38"/>
      <c r="AS60" s="38"/>
      <c r="AT60" s="38"/>
      <c r="AU60" s="38"/>
      <c r="AV60" s="38"/>
      <c r="AW60" s="38"/>
      <c r="AX60" s="38"/>
      <c r="AY60" s="43"/>
      <c r="AZ60" s="43"/>
      <c r="BA60" s="48"/>
      <c r="BB60" s="48"/>
      <c r="BC60" s="43"/>
      <c r="BD60" s="43"/>
      <c r="BE60" s="44"/>
      <c r="BF60" s="45"/>
      <c r="BG60" s="46"/>
    </row>
    <row r="61">
      <c r="A61" s="19" t="s">
        <v>124</v>
      </c>
      <c r="B61" s="20">
        <f>VLOOKUP(F61,'Session Count DO NOT EDIT'!$A:$C,3,FALSE)</f>
        <v>4</v>
      </c>
      <c r="C61" s="20">
        <f>COUNTIFS('Scores Import DO NOT EDIT'!D:D,A61)</f>
        <v>4</v>
      </c>
      <c r="D61" s="21">
        <f t="shared" si="1"/>
        <v>1</v>
      </c>
      <c r="E61" s="22">
        <f>AVERAGEIFS('Scores Import DO NOT EDIT'!L:L,'Scores Import DO NOT EDIT'!D:D,A61)</f>
        <v>29.25</v>
      </c>
      <c r="F61" s="23" t="str">
        <f>VLOOKUP(A61, 'Session Data'!A:M,3,false)</f>
        <v>B-1</v>
      </c>
      <c r="G61" s="24" t="str">
        <f>VLOOKUP(A61, 'Session Data'!A:I,2,false)</f>
        <v>11:00 AM</v>
      </c>
      <c r="H61" s="23" t="str">
        <f>VLOOKUP(A61, 'Session Data'!A:J,5,false)</f>
        <v>Behavioral and Social Sciences 1</v>
      </c>
      <c r="I61" s="25" t="str">
        <f>VLOOKUP(A61, 'Session Data'!A:H,4,false)</f>
        <v>Oral </v>
      </c>
      <c r="J61" s="26" t="str">
        <f>VLOOKUP(A61, 'Session Data'!A:AA,14,false)</f>
        <v>Undergraduate</v>
      </c>
      <c r="K61" s="27" t="str">
        <f>VLOOKUP(A61, 'Session Data'!A:AA,15,false)</f>
        <v>Arts and Letters</v>
      </c>
      <c r="L61" s="28"/>
      <c r="M61" s="29" t="str">
        <f>VLOOKUP(A61, 'Session Data'!A:K,11,false)</f>
        <v>Undeclared </v>
      </c>
      <c r="N61" s="26" t="str">
        <f>IF(ISNA(VLOOKUP(A61, 'Award Abstract#'!C:C, 1, FALSE)), "No", "Yes")
</f>
        <v>No</v>
      </c>
      <c r="O61" s="29" t="str">
        <f>IF(ISNA(VLOOKUP(A61,'Award Abstract#'!B:B,1,FALSE)), "No", "Yes")</f>
        <v>No</v>
      </c>
      <c r="P61" s="29" t="str">
        <f>IF(ISNA(VLOOKUP(A61,'Award Abstract#'!E:E,1,FALSE)), "No", "Yes")</f>
        <v>No</v>
      </c>
      <c r="Q61" s="29" t="str">
        <f>IF(ISNA(VLOOKUP(A61,'Award Abstract#'!A:A,1,FALSE)), "No", "Yes")</f>
        <v>No</v>
      </c>
      <c r="R61" s="29" t="str">
        <f>IF(ISNA(VLOOKUP(A61,'Award Abstract#'!D:D,1,FALSE)), "No", "Yes")</f>
        <v>Yes</v>
      </c>
      <c r="S61" s="30" t="str">
        <f>VLOOKUP(A61, 'Session Data'!A:AA,27,false)</f>
        <v>Man</v>
      </c>
      <c r="T61" s="30"/>
      <c r="U61" s="30"/>
      <c r="V61" s="31" t="str">
        <f>VLOOKUP(A61, 'Session Data'!A:AA,8,false)</f>
        <v>Gianni Louis</v>
      </c>
      <c r="W61" s="32" t="str">
        <f>VLOOKUP(A61, 'Session Data'!A:AA,9,false)</f>
        <v>Fungipani</v>
      </c>
      <c r="X61" s="33" t="str">
        <f>VLOOKUP(A61, 'Session Data'!A:AA,12,false)</f>
        <v> Authoritarianism in the EU integration process </v>
      </c>
      <c r="Y61" s="34" t="str">
        <f>VLOOKUP(A61, 'Session Data'!A:AA,22,false)</f>
        <v>Cheryl</v>
      </c>
      <c r="Z61" s="34" t="str">
        <f>VLOOKUP(A61, 'Session Data'!A:AA,23,false)</f>
        <v>O'Brien</v>
      </c>
      <c r="AA61" s="34" t="str">
        <f>VLOOKUP(A61, 'Session Data'!A:AA,25,false)</f>
        <v>Arts and Letters</v>
      </c>
      <c r="AB61" s="34" t="str">
        <f>VLOOKUP(A61, 'Session Data'!A:AA,24,false)</f>
        <v>cobrien@sdsu.edu</v>
      </c>
      <c r="AC61" s="34" t="str">
        <f>VLOOKUP(A61, 'Session Data'!A:AA,16,false)</f>
        <v/>
      </c>
      <c r="AD61" s="35" t="str">
        <f>VLOOKUP(A61, 'Session Data'!A:U,17,false)</f>
        <v/>
      </c>
      <c r="AE61" s="35" t="str">
        <f>VLOOKUP(A61, 'Session Data'!A:U,18,false)</f>
        <v/>
      </c>
      <c r="AF61" s="35" t="str">
        <f>VLOOKUP(A61, 'Session Data'!A:U,19,false)</f>
        <v/>
      </c>
      <c r="AG61" s="35" t="str">
        <f>VLOOKUP(A61, 'Session Data'!A:U,20,false)</f>
        <v/>
      </c>
      <c r="AH61" s="35" t="str">
        <f>VLOOKUP(A61, 'Session Data'!A:U,21,false)</f>
        <v/>
      </c>
      <c r="AI61" s="36"/>
      <c r="AJ61" s="38"/>
      <c r="AK61" s="38"/>
      <c r="AL61" s="39"/>
      <c r="AM61" s="34" t="str">
        <f>VLOOKUP(A61, 'Session Data'!A:AA,10,false)</f>
        <v>gfungipani6939@sdsu.edu</v>
      </c>
      <c r="AN61" s="40"/>
      <c r="AO61" s="38"/>
      <c r="AP61" s="38"/>
      <c r="AQ61" s="38"/>
      <c r="AR61" s="38"/>
      <c r="AS61" s="38"/>
      <c r="AT61" s="38"/>
      <c r="AU61" s="38"/>
      <c r="AV61" s="38"/>
      <c r="AW61" s="38"/>
      <c r="AX61" s="38"/>
      <c r="AY61" s="43"/>
      <c r="AZ61" s="43"/>
      <c r="BA61" s="48"/>
      <c r="BB61" s="48"/>
      <c r="BC61" s="43"/>
      <c r="BD61" s="43"/>
      <c r="BE61" s="44"/>
      <c r="BF61" s="45"/>
      <c r="BG61" s="46"/>
    </row>
    <row r="62">
      <c r="A62" s="19" t="s">
        <v>125</v>
      </c>
      <c r="B62" s="20">
        <f>VLOOKUP(F62,'Session Count DO NOT EDIT'!$A:$C,3,FALSE)</f>
        <v>4</v>
      </c>
      <c r="C62" s="20">
        <f>COUNTIFS('Scores Import DO NOT EDIT'!D:D,A62)</f>
        <v>4</v>
      </c>
      <c r="D62" s="21">
        <f t="shared" si="1"/>
        <v>1</v>
      </c>
      <c r="E62" s="22">
        <f>AVERAGEIFS('Scores Import DO NOT EDIT'!L:L,'Scores Import DO NOT EDIT'!D:D,A62)</f>
        <v>28.75</v>
      </c>
      <c r="F62" s="23" t="str">
        <f>VLOOKUP(A62, 'Session Data'!A:M,3,false)</f>
        <v>B-1</v>
      </c>
      <c r="G62" s="24" t="str">
        <f>VLOOKUP(A62, 'Session Data'!A:I,2,false)</f>
        <v>11:00 AM</v>
      </c>
      <c r="H62" s="23" t="str">
        <f>VLOOKUP(A62, 'Session Data'!A:J,5,false)</f>
        <v>Behavioral and Social Sciences 1</v>
      </c>
      <c r="I62" s="25" t="str">
        <f>VLOOKUP(A62, 'Session Data'!A:H,4,false)</f>
        <v>Oral </v>
      </c>
      <c r="J62" s="26" t="str">
        <f>VLOOKUP(A62, 'Session Data'!A:AA,14,false)</f>
        <v>Undergraduate</v>
      </c>
      <c r="K62" s="27" t="str">
        <f>VLOOKUP(A62, 'Session Data'!A:AA,15,false)</f>
        <v>Professional Studies and Fine Arts</v>
      </c>
      <c r="L62" s="28"/>
      <c r="M62" s="29" t="str">
        <f>VLOOKUP(A62, 'Session Data'!A:K,11,false)</f>
        <v>Bachelor of Arts in Communication</v>
      </c>
      <c r="N62" s="26" t="str">
        <f>IF(ISNA(VLOOKUP(A62, 'Award Abstract#'!C:C, 1, FALSE)), "No", "Yes")
</f>
        <v>No</v>
      </c>
      <c r="O62" s="29" t="str">
        <f>IF(ISNA(VLOOKUP(A62,'Award Abstract#'!B:B,1,FALSE)), "No", "Yes")</f>
        <v>No</v>
      </c>
      <c r="P62" s="29" t="str">
        <f>IF(ISNA(VLOOKUP(A62,'Award Abstract#'!E:E,1,FALSE)), "No", "Yes")</f>
        <v>No</v>
      </c>
      <c r="Q62" s="29" t="str">
        <f>IF(ISNA(VLOOKUP(A62,'Award Abstract#'!A:A,1,FALSE)), "No", "Yes")</f>
        <v>No</v>
      </c>
      <c r="R62" s="29" t="str">
        <f>IF(ISNA(VLOOKUP(A62,'Award Abstract#'!D:D,1,FALSE)), "No", "Yes")</f>
        <v>No</v>
      </c>
      <c r="S62" s="30" t="str">
        <f>VLOOKUP(A62, 'Session Data'!A:AA,27,false)</f>
        <v>Woman</v>
      </c>
      <c r="T62" s="30"/>
      <c r="U62" s="30"/>
      <c r="V62" s="31" t="str">
        <f>VLOOKUP(A62, 'Session Data'!A:AA,8,false)</f>
        <v>Isabel</v>
      </c>
      <c r="W62" s="32" t="str">
        <f>VLOOKUP(A62, 'Session Data'!A:AA,9,false)</f>
        <v>Villegas-Glang</v>
      </c>
      <c r="X62" s="33" t="str">
        <f>VLOOKUP(A62, 'Session Data'!A:AA,12,false)</f>
        <v>Rejoicing, Rewarding, and Rejecting: An Investigation of Affection in Intimate College-Aged Relationships</v>
      </c>
      <c r="Y62" s="34" t="str">
        <f>VLOOKUP(A62, 'Session Data'!A:AA,22,false)</f>
        <v>Tiffany</v>
      </c>
      <c r="Z62" s="34" t="str">
        <f>VLOOKUP(A62, 'Session Data'!A:AA,23,false)</f>
        <v>Dykstra-DeVette</v>
      </c>
      <c r="AA62" s="34" t="str">
        <f>VLOOKUP(A62, 'Session Data'!A:AA,25,false)</f>
        <v>Professional Studies and Fine Arts</v>
      </c>
      <c r="AB62" s="34" t="str">
        <f>VLOOKUP(A62, 'Session Data'!A:AA,24,false)</f>
        <v>tdykstradevette@sdsu.edu</v>
      </c>
      <c r="AC62" s="34" t="str">
        <f>VLOOKUP(A62, 'Session Data'!A:AA,16,false)</f>
        <v/>
      </c>
      <c r="AD62" s="35" t="str">
        <f>VLOOKUP(A62, 'Session Data'!A:U,17,false)</f>
        <v/>
      </c>
      <c r="AE62" s="35" t="str">
        <f>VLOOKUP(A62, 'Session Data'!A:U,18,false)</f>
        <v/>
      </c>
      <c r="AF62" s="35" t="str">
        <f>VLOOKUP(A62, 'Session Data'!A:U,19,false)</f>
        <v/>
      </c>
      <c r="AG62" s="35" t="str">
        <f>VLOOKUP(A62, 'Session Data'!A:U,20,false)</f>
        <v/>
      </c>
      <c r="AH62" s="35" t="str">
        <f>VLOOKUP(A62, 'Session Data'!A:U,21,false)</f>
        <v/>
      </c>
      <c r="AI62" s="36"/>
      <c r="AJ62" s="38"/>
      <c r="AK62" s="38"/>
      <c r="AL62" s="39"/>
      <c r="AM62" s="34" t="str">
        <f>VLOOKUP(A62, 'Session Data'!A:AA,10,false)</f>
        <v>ivillegasglang2346@sdsu.edu</v>
      </c>
      <c r="AN62" s="40"/>
      <c r="AO62" s="38"/>
      <c r="AP62" s="38"/>
      <c r="AQ62" s="38"/>
      <c r="AR62" s="38"/>
      <c r="AS62" s="38"/>
      <c r="AT62" s="38"/>
      <c r="AU62" s="38"/>
      <c r="AV62" s="38"/>
      <c r="AW62" s="38"/>
      <c r="AX62" s="38"/>
      <c r="AY62" s="43"/>
      <c r="AZ62" s="43"/>
      <c r="BA62" s="48"/>
      <c r="BB62" s="48"/>
      <c r="BC62" s="43"/>
      <c r="BD62" s="43"/>
      <c r="BE62" s="44"/>
      <c r="BF62" s="45"/>
      <c r="BG62" s="46"/>
    </row>
    <row r="63">
      <c r="A63" s="19" t="s">
        <v>126</v>
      </c>
      <c r="B63" s="20">
        <f>VLOOKUP(F63,'Session Count DO NOT EDIT'!$A:$C,3,FALSE)</f>
        <v>4</v>
      </c>
      <c r="C63" s="20">
        <f>COUNTIFS('Scores Import DO NOT EDIT'!D:D,A63)</f>
        <v>4</v>
      </c>
      <c r="D63" s="21">
        <f t="shared" si="1"/>
        <v>1</v>
      </c>
      <c r="E63" s="22">
        <f>AVERAGEIFS('Scores Import DO NOT EDIT'!L:L,'Scores Import DO NOT EDIT'!D:D,A63)</f>
        <v>26</v>
      </c>
      <c r="F63" s="23" t="str">
        <f>VLOOKUP(A63, 'Session Data'!A:M,3,false)</f>
        <v>B-1</v>
      </c>
      <c r="G63" s="24" t="str">
        <f>VLOOKUP(A63, 'Session Data'!A:I,2,false)</f>
        <v>11:00 AM</v>
      </c>
      <c r="H63" s="23" t="str">
        <f>VLOOKUP(A63, 'Session Data'!A:J,5,false)</f>
        <v>Behavioral and Social Sciences 1</v>
      </c>
      <c r="I63" s="25" t="str">
        <f>VLOOKUP(A63, 'Session Data'!A:H,4,false)</f>
        <v>Oral </v>
      </c>
      <c r="J63" s="26" t="str">
        <f>VLOOKUP(A63, 'Session Data'!A:AA,14,false)</f>
        <v>Undergraduate</v>
      </c>
      <c r="K63" s="27" t="str">
        <f>VLOOKUP(A63, 'Session Data'!A:AA,15,false)</f>
        <v>Arts and Letters</v>
      </c>
      <c r="L63" s="47"/>
      <c r="M63" s="29" t="str">
        <f>VLOOKUP(A63, 'Session Data'!A:K,11,false)</f>
        <v>Language Culture and Society major and Italian minor</v>
      </c>
      <c r="N63" s="26" t="str">
        <f>IF(ISNA(VLOOKUP(A63, 'Award Abstract#'!C:C, 1, FALSE)), "No", "Yes")
</f>
        <v>No</v>
      </c>
      <c r="O63" s="29" t="str">
        <f>IF(ISNA(VLOOKUP(A63,'Award Abstract#'!B:B,1,FALSE)), "No", "Yes")</f>
        <v>No</v>
      </c>
      <c r="P63" s="29" t="str">
        <f>IF(ISNA(VLOOKUP(A63,'Award Abstract#'!E:E,1,FALSE)), "No", "Yes")</f>
        <v>No</v>
      </c>
      <c r="Q63" s="29" t="str">
        <f>IF(ISNA(VLOOKUP(A63,'Award Abstract#'!A:A,1,FALSE)), "No", "Yes")</f>
        <v>No</v>
      </c>
      <c r="R63" s="29" t="str">
        <f>IF(ISNA(VLOOKUP(A63,'Award Abstract#'!D:D,1,FALSE)), "No", "Yes")</f>
        <v>No</v>
      </c>
      <c r="S63" s="30" t="str">
        <f>VLOOKUP(A63, 'Session Data'!A:AA,27,false)</f>
        <v>Prefer not to respond</v>
      </c>
      <c r="T63" s="30"/>
      <c r="U63" s="30"/>
      <c r="V63" s="31" t="str">
        <f>VLOOKUP(A63, 'Session Data'!A:AA,8,false)</f>
        <v>Devi</v>
      </c>
      <c r="W63" s="32" t="str">
        <f>VLOOKUP(A63, 'Session Data'!A:AA,9,false)</f>
        <v>Garnero</v>
      </c>
      <c r="X63" s="33" t="str">
        <f>VLOOKUP(A63, 'Session Data'!A:AA,12,false)</f>
        <v>Exploration of the Slavic Impact on Romanian Language Change</v>
      </c>
      <c r="Y63" s="34" t="str">
        <f>VLOOKUP(A63, 'Session Data'!A:AA,22,false)</f>
        <v>Aaron</v>
      </c>
      <c r="Z63" s="34" t="str">
        <f>VLOOKUP(A63, 'Session Data'!A:AA,23,false)</f>
        <v>Dinkin</v>
      </c>
      <c r="AA63" s="34" t="str">
        <f>VLOOKUP(A63, 'Session Data'!A:AA,25,false)</f>
        <v>Arts and Letters</v>
      </c>
      <c r="AB63" s="34" t="str">
        <f>VLOOKUP(A63, 'Session Data'!A:AA,24,false)</f>
        <v>adinkin@sdsu.edu</v>
      </c>
      <c r="AC63" s="34" t="str">
        <f>VLOOKUP(A63, 'Session Data'!A:AA,16,false)</f>
        <v/>
      </c>
      <c r="AD63" s="35" t="str">
        <f>VLOOKUP(A63, 'Session Data'!A:U,17,false)</f>
        <v/>
      </c>
      <c r="AE63" s="35" t="str">
        <f>VLOOKUP(A63, 'Session Data'!A:U,18,false)</f>
        <v/>
      </c>
      <c r="AF63" s="35" t="str">
        <f>VLOOKUP(A63, 'Session Data'!A:U,19,false)</f>
        <v/>
      </c>
      <c r="AG63" s="35" t="str">
        <f>VLOOKUP(A63, 'Session Data'!A:U,20,false)</f>
        <v/>
      </c>
      <c r="AH63" s="35" t="str">
        <f>VLOOKUP(A63, 'Session Data'!A:U,21,false)</f>
        <v/>
      </c>
      <c r="AI63" s="37"/>
      <c r="AJ63" s="37"/>
      <c r="AK63" s="37"/>
      <c r="AL63" s="50"/>
      <c r="AM63" s="34" t="str">
        <f>VLOOKUP(A63, 'Session Data'!A:AA,10,false)</f>
        <v>dgarnero3716@sdsu.edu</v>
      </c>
      <c r="AN63" s="40"/>
      <c r="AO63" s="38"/>
      <c r="AP63" s="38"/>
      <c r="AQ63" s="38"/>
      <c r="AR63" s="38"/>
      <c r="AS63" s="38"/>
      <c r="AT63" s="38"/>
      <c r="AU63" s="38"/>
      <c r="AV63" s="38"/>
      <c r="AW63" s="38"/>
      <c r="AX63" s="38"/>
      <c r="AY63" s="43"/>
      <c r="AZ63" s="43"/>
      <c r="BA63" s="43"/>
      <c r="BB63" s="43"/>
      <c r="BC63" s="43"/>
      <c r="BD63" s="43"/>
      <c r="BE63" s="44"/>
      <c r="BF63" s="45"/>
      <c r="BG63" s="43"/>
    </row>
    <row r="64">
      <c r="A64" s="19" t="s">
        <v>127</v>
      </c>
      <c r="B64" s="20">
        <f>VLOOKUP(F64,'Session Count DO NOT EDIT'!$A:$C,3,FALSE)</f>
        <v>5</v>
      </c>
      <c r="C64" s="20">
        <f>COUNTIFS('Scores Import DO NOT EDIT'!D:D,A64)</f>
        <v>0</v>
      </c>
      <c r="D64" s="21">
        <f t="shared" si="1"/>
        <v>0</v>
      </c>
      <c r="E64" s="22" t="str">
        <f>AVERAGEIFS('Scores Import DO NOT EDIT'!L:L,'Scores Import DO NOT EDIT'!D:D,A64)</f>
        <v>#DIV/0!</v>
      </c>
      <c r="F64" s="23" t="str">
        <f>VLOOKUP(A64, 'Session Data'!A:M,3,false)</f>
        <v>B-10</v>
      </c>
      <c r="G64" s="24" t="str">
        <f>VLOOKUP(A64, 'Session Data'!A:I,2,false)</f>
        <v>11:00 AM</v>
      </c>
      <c r="H64" s="23" t="str">
        <f>VLOOKUP(A64, 'Session Data'!A:J,5,false)</f>
        <v>Business Economics and Public Administration</v>
      </c>
      <c r="I64" s="25" t="str">
        <f>VLOOKUP(A64, 'Session Data'!A:H,4,false)</f>
        <v>Oral </v>
      </c>
      <c r="J64" s="26" t="str">
        <f>VLOOKUP(A64, 'Session Data'!A:AA,14,false)</f>
        <v>Undergraduate</v>
      </c>
      <c r="K64" s="27" t="str">
        <f>VLOOKUP(A64, 'Session Data'!A:AA,15,false)</f>
        <v>Arts and Letters</v>
      </c>
      <c r="L64" s="28"/>
      <c r="M64" s="29" t="str">
        <f>VLOOKUP(A64, 'Session Data'!A:K,11,false)</f>
        <v>Bachelor of Science in Statistics, Bachelor of Liberal Arts Economics emphasis in Public Policy, Minor in Interdisciplinary Studies</v>
      </c>
      <c r="N64" s="26" t="str">
        <f>IF(ISNA(VLOOKUP(A64, 'Award Abstract#'!C:C, 1, FALSE)), "No", "Yes")
</f>
        <v>No</v>
      </c>
      <c r="O64" s="29" t="str">
        <f>IF(ISNA(VLOOKUP(A64,'Award Abstract#'!B:B,1,FALSE)), "No", "Yes")</f>
        <v>Yes</v>
      </c>
      <c r="P64" s="29" t="str">
        <f>IF(ISNA(VLOOKUP(A64,'Award Abstract#'!E:E,1,FALSE)), "No", "Yes")</f>
        <v>Yes</v>
      </c>
      <c r="Q64" s="29" t="str">
        <f>IF(ISNA(VLOOKUP(A64,'Award Abstract#'!A:A,1,FALSE)), "No", "Yes")</f>
        <v>No</v>
      </c>
      <c r="R64" s="29" t="str">
        <f>IF(ISNA(VLOOKUP(A64,'Award Abstract#'!D:D,1,FALSE)), "No", "Yes")</f>
        <v>No</v>
      </c>
      <c r="S64" s="30" t="str">
        <f>VLOOKUP(A64, 'Session Data'!A:AA,27,false)</f>
        <v>Woman, Cisgender</v>
      </c>
      <c r="T64" s="30"/>
      <c r="U64" s="30"/>
      <c r="V64" s="31" t="str">
        <f>VLOOKUP(A64, 'Session Data'!A:AA,8,false)</f>
        <v>Hattie</v>
      </c>
      <c r="W64" s="32" t="str">
        <f>VLOOKUP(A64, 'Session Data'!A:AA,9,false)</f>
        <v>Jenkins</v>
      </c>
      <c r="X64" s="33" t="str">
        <f>VLOOKUP(A64, 'Session Data'!A:AA,12,false)</f>
        <v>The Economic and Ecological Impacts of Forest Management Reform: Evidence from the Forest Law Enforcement Governance and Trade Program</v>
      </c>
      <c r="Y64" s="34" t="str">
        <f>VLOOKUP(A64, 'Session Data'!A:AA,22,false)</f>
        <v>Ryan</v>
      </c>
      <c r="Z64" s="34" t="str">
        <f>VLOOKUP(A64, 'Session Data'!A:AA,23,false)</f>
        <v>Abman</v>
      </c>
      <c r="AA64" s="34" t="str">
        <f>VLOOKUP(A64, 'Session Data'!A:AA,25,false)</f>
        <v>Arts and Letters</v>
      </c>
      <c r="AB64" s="34" t="str">
        <f>VLOOKUP(A64, 'Session Data'!A:AA,24,false)</f>
        <v>rabman@sdsu.edu</v>
      </c>
      <c r="AC64" s="34" t="str">
        <f>VLOOKUP(A64, 'Session Data'!A:AA,16,false)</f>
        <v/>
      </c>
      <c r="AD64" s="35" t="str">
        <f>VLOOKUP(A64, 'Session Data'!A:U,17,false)</f>
        <v/>
      </c>
      <c r="AE64" s="35" t="str">
        <f>VLOOKUP(A64, 'Session Data'!A:U,18,false)</f>
        <v/>
      </c>
      <c r="AF64" s="35" t="str">
        <f>VLOOKUP(A64, 'Session Data'!A:U,19,false)</f>
        <v/>
      </c>
      <c r="AG64" s="35" t="str">
        <f>VLOOKUP(A64, 'Session Data'!A:U,20,false)</f>
        <v/>
      </c>
      <c r="AH64" s="35" t="str">
        <f>VLOOKUP(A64, 'Session Data'!A:U,21,false)</f>
        <v/>
      </c>
      <c r="AI64" s="36"/>
      <c r="AJ64" s="37"/>
      <c r="AK64" s="38"/>
      <c r="AL64" s="39"/>
      <c r="AM64" s="34" t="str">
        <f>VLOOKUP(A64, 'Session Data'!A:AA,10,false)</f>
        <v>hjenkins6508@sdsu.edu</v>
      </c>
      <c r="AN64" s="40"/>
      <c r="AO64" s="38"/>
      <c r="AP64" s="38"/>
      <c r="AQ64" s="38"/>
      <c r="AR64" s="38"/>
      <c r="AS64" s="38"/>
      <c r="AT64" s="38"/>
      <c r="AU64" s="38"/>
      <c r="AV64" s="38"/>
      <c r="AW64" s="38"/>
      <c r="AX64" s="38"/>
      <c r="AY64" s="43"/>
      <c r="AZ64" s="43"/>
      <c r="BA64" s="43"/>
      <c r="BB64" s="43"/>
      <c r="BC64" s="43"/>
      <c r="BD64" s="43"/>
      <c r="BE64" s="44"/>
      <c r="BF64" s="45"/>
      <c r="BG64" s="46"/>
    </row>
    <row r="65">
      <c r="A65" s="19" t="s">
        <v>128</v>
      </c>
      <c r="B65" s="20">
        <f>VLOOKUP(F65,'Session Count DO NOT EDIT'!$A:$C,3,FALSE)</f>
        <v>5</v>
      </c>
      <c r="C65" s="20">
        <f>COUNTIFS('Scores Import DO NOT EDIT'!D:D,A65)</f>
        <v>4</v>
      </c>
      <c r="D65" s="21">
        <f t="shared" si="1"/>
        <v>0.8</v>
      </c>
      <c r="E65" s="22">
        <f>AVERAGEIFS('Scores Import DO NOT EDIT'!L:L,'Scores Import DO NOT EDIT'!D:D,A65)</f>
        <v>30</v>
      </c>
      <c r="F65" s="23" t="str">
        <f>VLOOKUP(A65, 'Session Data'!A:M,3,false)</f>
        <v>B-10</v>
      </c>
      <c r="G65" s="24" t="str">
        <f>VLOOKUP(A65, 'Session Data'!A:I,2,false)</f>
        <v>11:00 AM</v>
      </c>
      <c r="H65" s="23" t="str">
        <f>VLOOKUP(A65, 'Session Data'!A:J,5,false)</f>
        <v>Business Economics and Public Administration</v>
      </c>
      <c r="I65" s="25" t="str">
        <f>VLOOKUP(A65, 'Session Data'!A:H,4,false)</f>
        <v>Oral </v>
      </c>
      <c r="J65" s="26" t="str">
        <f>VLOOKUP(A65, 'Session Data'!A:AA,14,false)</f>
        <v>Master's</v>
      </c>
      <c r="K65" s="27" t="str">
        <f>VLOOKUP(A65, 'Session Data'!A:AA,15,false)</f>
        <v>Arts and Letters</v>
      </c>
      <c r="L65" s="47"/>
      <c r="M65" s="29" t="str">
        <f>VLOOKUP(A65, 'Session Data'!A:K,11,false)</f>
        <v>MA Public Administration &amp; MA Latin American Studies</v>
      </c>
      <c r="N65" s="26" t="str">
        <f>IF(ISNA(VLOOKUP(A65, 'Award Abstract#'!C:C, 1, FALSE)), "No", "Yes")
</f>
        <v>No</v>
      </c>
      <c r="O65" s="29" t="str">
        <f>IF(ISNA(VLOOKUP(A65,'Award Abstract#'!B:B,1,FALSE)), "No", "Yes")</f>
        <v>Yes</v>
      </c>
      <c r="P65" s="29" t="str">
        <f>IF(ISNA(VLOOKUP(A65,'Award Abstract#'!E:E,1,FALSE)), "No", "Yes")</f>
        <v>No</v>
      </c>
      <c r="Q65" s="29" t="str">
        <f>IF(ISNA(VLOOKUP(A65,'Award Abstract#'!A:A,1,FALSE)), "No", "Yes")</f>
        <v>No</v>
      </c>
      <c r="R65" s="29" t="str">
        <f>IF(ISNA(VLOOKUP(A65,'Award Abstract#'!D:D,1,FALSE)), "No", "Yes")</f>
        <v>Yes</v>
      </c>
      <c r="S65" s="30" t="str">
        <f>VLOOKUP(A65, 'Session Data'!A:AA,27,false)</f>
        <v>Woman</v>
      </c>
      <c r="T65" s="30"/>
      <c r="U65" s="30"/>
      <c r="V65" s="31" t="str">
        <f>VLOOKUP(A65, 'Session Data'!A:AA,8,false)</f>
        <v>Jazmin</v>
      </c>
      <c r="W65" s="32" t="str">
        <f>VLOOKUP(A65, 'Session Data'!A:AA,9,false)</f>
        <v>Luna</v>
      </c>
      <c r="X65" s="33" t="str">
        <f>VLOOKUP(A65, 'Session Data'!A:AA,12,false)</f>
        <v>Mujeres en Lucha: Leadership and Political Participation of Indigenous Women Addressing Gendered Violence in Oaxaca, Mexico</v>
      </c>
      <c r="Y65" s="34" t="str">
        <f>VLOOKUP(A65, 'Session Data'!A:AA,22,false)</f>
        <v>Shawn</v>
      </c>
      <c r="Z65" s="34" t="str">
        <f>VLOOKUP(A65, 'Session Data'!A:AA,23,false)</f>
        <v>Flanigan</v>
      </c>
      <c r="AA65" s="34" t="str">
        <f>VLOOKUP(A65, 'Session Data'!A:AA,25,false)</f>
        <v>Other</v>
      </c>
      <c r="AB65" s="34" t="str">
        <f>VLOOKUP(A65, 'Session Data'!A:AA,24,false)</f>
        <v>sflaniga@sdsu.edu</v>
      </c>
      <c r="AC65" s="34" t="str">
        <f>VLOOKUP(A65, 'Session Data'!A:AA,16,false)</f>
        <v/>
      </c>
      <c r="AD65" s="35" t="str">
        <f>VLOOKUP(A65, 'Session Data'!A:U,17,false)</f>
        <v/>
      </c>
      <c r="AE65" s="35" t="str">
        <f>VLOOKUP(A65, 'Session Data'!A:U,18,false)</f>
        <v/>
      </c>
      <c r="AF65" s="35" t="str">
        <f>VLOOKUP(A65, 'Session Data'!A:U,19,false)</f>
        <v/>
      </c>
      <c r="AG65" s="35" t="str">
        <f>VLOOKUP(A65, 'Session Data'!A:U,20,false)</f>
        <v/>
      </c>
      <c r="AH65" s="35" t="str">
        <f>VLOOKUP(A65, 'Session Data'!A:U,21,false)</f>
        <v/>
      </c>
      <c r="AI65" s="36"/>
      <c r="AJ65" s="37"/>
      <c r="AK65" s="38"/>
      <c r="AL65" s="39"/>
      <c r="AM65" s="34" t="str">
        <f>VLOOKUP(A65, 'Session Data'!A:AA,10,false)</f>
        <v>jluna8049@sdsu.edu</v>
      </c>
      <c r="AN65" s="40"/>
      <c r="AO65" s="38"/>
      <c r="AP65" s="38"/>
      <c r="AQ65" s="38"/>
      <c r="AR65" s="38"/>
      <c r="AS65" s="38"/>
      <c r="AT65" s="38"/>
      <c r="AU65" s="38"/>
      <c r="AV65" s="38"/>
      <c r="AW65" s="38"/>
      <c r="AX65" s="38"/>
      <c r="AY65" s="43"/>
      <c r="AZ65" s="43"/>
      <c r="BA65" s="48"/>
      <c r="BB65" s="48"/>
      <c r="BC65" s="43"/>
      <c r="BD65" s="43"/>
      <c r="BE65" s="44"/>
      <c r="BF65" s="45"/>
      <c r="BG65" s="46"/>
    </row>
    <row r="66">
      <c r="A66" s="19" t="s">
        <v>129</v>
      </c>
      <c r="B66" s="20">
        <f>VLOOKUP(F66,'Session Count DO NOT EDIT'!$A:$C,3,FALSE)</f>
        <v>5</v>
      </c>
      <c r="C66" s="20">
        <f>COUNTIFS('Scores Import DO NOT EDIT'!D:D,A66)</f>
        <v>0</v>
      </c>
      <c r="D66" s="21">
        <f t="shared" si="1"/>
        <v>0</v>
      </c>
      <c r="E66" s="22" t="str">
        <f>AVERAGEIFS('Scores Import DO NOT EDIT'!L:L,'Scores Import DO NOT EDIT'!D:D,A66)</f>
        <v>#DIV/0!</v>
      </c>
      <c r="F66" s="23" t="str">
        <f>VLOOKUP(A66, 'Session Data'!A:M,3,false)</f>
        <v>B-10</v>
      </c>
      <c r="G66" s="24" t="str">
        <f>VLOOKUP(A66, 'Session Data'!A:I,2,false)</f>
        <v>11:00 AM</v>
      </c>
      <c r="H66" s="23" t="str">
        <f>VLOOKUP(A66, 'Session Data'!A:J,5,false)</f>
        <v>Business Economics and Public Administration</v>
      </c>
      <c r="I66" s="25" t="str">
        <f>VLOOKUP(A66, 'Session Data'!A:H,4,false)</f>
        <v>Oral </v>
      </c>
      <c r="J66" s="26" t="str">
        <f>VLOOKUP(A66, 'Session Data'!A:AA,14,false)</f>
        <v>Master's</v>
      </c>
      <c r="K66" s="27" t="str">
        <f>VLOOKUP(A66, 'Session Data'!A:AA,15,false)</f>
        <v>Education</v>
      </c>
      <c r="L66" s="28"/>
      <c r="M66" s="29" t="str">
        <f>VLOOKUP(A66, 'Session Data'!A:K,11,false)</f>
        <v>Masters program in Dual Language Education and Critical Literacy</v>
      </c>
      <c r="N66" s="26" t="str">
        <f>IF(ISNA(VLOOKUP(A66, 'Award Abstract#'!C:C, 1, FALSE)), "No", "Yes")
</f>
        <v>No</v>
      </c>
      <c r="O66" s="29" t="str">
        <f>IF(ISNA(VLOOKUP(A66,'Award Abstract#'!B:B,1,FALSE)), "No", "Yes")</f>
        <v>No</v>
      </c>
      <c r="P66" s="29" t="str">
        <f>IF(ISNA(VLOOKUP(A66,'Award Abstract#'!E:E,1,FALSE)), "No", "Yes")</f>
        <v>No</v>
      </c>
      <c r="Q66" s="29" t="str">
        <f>IF(ISNA(VLOOKUP(A66,'Award Abstract#'!A:A,1,FALSE)), "No", "Yes")</f>
        <v>Yes</v>
      </c>
      <c r="R66" s="29" t="str">
        <f>IF(ISNA(VLOOKUP(A66,'Award Abstract#'!D:D,1,FALSE)), "No", "Yes")</f>
        <v>Yes</v>
      </c>
      <c r="S66" s="30" t="str">
        <f>VLOOKUP(A66, 'Session Data'!A:AA,27,false)</f>
        <v>Man</v>
      </c>
      <c r="T66" s="30"/>
      <c r="U66" s="30"/>
      <c r="V66" s="31" t="str">
        <f>VLOOKUP(A66, 'Session Data'!A:AA,8,false)</f>
        <v>Carlos</v>
      </c>
      <c r="W66" s="32" t="str">
        <f>VLOOKUP(A66, 'Session Data'!A:AA,9,false)</f>
        <v>Carlos Pineda</v>
      </c>
      <c r="X66" s="33" t="str">
        <f>VLOOKUP(A66, 'Session Data'!A:AA,12,false)</f>
        <v>The Unheard Outcry: Feelings of Safety and Connectedness of Latinx, 2SLGBTQ+, and 2SLGBTQ+ Latinx Middle and High School Students in San Diego County Schools.</v>
      </c>
      <c r="Y66" s="34" t="str">
        <f>VLOOKUP(A66, 'Session Data'!A:AA,22,false)</f>
        <v>Claudia</v>
      </c>
      <c r="Z66" s="34" t="str">
        <f>VLOOKUP(A66, 'Session Data'!A:AA,23,false)</f>
        <v>Dunn</v>
      </c>
      <c r="AA66" s="34" t="str">
        <f>VLOOKUP(A66, 'Session Data'!A:AA,25,false)</f>
        <v>Education</v>
      </c>
      <c r="AB66" s="34" t="str">
        <f>VLOOKUP(A66, 'Session Data'!A:AA,24,false)</f>
        <v>cmdunn@sdsu.edu</v>
      </c>
      <c r="AC66" s="34" t="str">
        <f>VLOOKUP(A66, 'Session Data'!A:AA,16,false)</f>
        <v/>
      </c>
      <c r="AD66" s="35" t="str">
        <f>VLOOKUP(A66, 'Session Data'!A:U,17,false)</f>
        <v/>
      </c>
      <c r="AE66" s="35" t="str">
        <f>VLOOKUP(A66, 'Session Data'!A:U,18,false)</f>
        <v/>
      </c>
      <c r="AF66" s="35" t="str">
        <f>VLOOKUP(A66, 'Session Data'!A:U,19,false)</f>
        <v/>
      </c>
      <c r="AG66" s="35" t="str">
        <f>VLOOKUP(A66, 'Session Data'!A:U,20,false)</f>
        <v/>
      </c>
      <c r="AH66" s="35" t="str">
        <f>VLOOKUP(A66, 'Session Data'!A:U,21,false)</f>
        <v/>
      </c>
      <c r="AI66" s="36"/>
      <c r="AJ66" s="38"/>
      <c r="AK66" s="38"/>
      <c r="AL66" s="39"/>
      <c r="AM66" s="34" t="str">
        <f>VLOOKUP(A66, 'Session Data'!A:AA,10,false)</f>
        <v>cpineda0542@sdsu.edu</v>
      </c>
      <c r="AN66" s="40"/>
      <c r="AO66" s="38"/>
      <c r="AP66" s="38"/>
      <c r="AQ66" s="38"/>
      <c r="AR66" s="38"/>
      <c r="AS66" s="38"/>
      <c r="AT66" s="38"/>
      <c r="AU66" s="38"/>
      <c r="AV66" s="38"/>
      <c r="AW66" s="38"/>
      <c r="AX66" s="38"/>
      <c r="AY66" s="43"/>
      <c r="AZ66" s="43"/>
      <c r="BA66" s="48"/>
      <c r="BB66" s="48"/>
      <c r="BC66" s="43"/>
      <c r="BD66" s="43"/>
      <c r="BE66" s="44"/>
      <c r="BF66" s="45"/>
      <c r="BG66" s="43"/>
    </row>
    <row r="67">
      <c r="A67" s="19" t="s">
        <v>130</v>
      </c>
      <c r="B67" s="20">
        <f>VLOOKUP(F67,'Session Count DO NOT EDIT'!$A:$C,3,FALSE)</f>
        <v>5</v>
      </c>
      <c r="C67" s="20">
        <f>COUNTIFS('Scores Import DO NOT EDIT'!D:D,A67)</f>
        <v>4</v>
      </c>
      <c r="D67" s="21">
        <f t="shared" si="1"/>
        <v>0.8</v>
      </c>
      <c r="E67" s="22">
        <f>AVERAGEIFS('Scores Import DO NOT EDIT'!L:L,'Scores Import DO NOT EDIT'!D:D,A67)</f>
        <v>31.5</v>
      </c>
      <c r="F67" s="23" t="str">
        <f>VLOOKUP(A67, 'Session Data'!A:M,3,false)</f>
        <v>B-10</v>
      </c>
      <c r="G67" s="24" t="str">
        <f>VLOOKUP(A67, 'Session Data'!A:I,2,false)</f>
        <v>11:00 AM</v>
      </c>
      <c r="H67" s="23" t="str">
        <f>VLOOKUP(A67, 'Session Data'!A:J,5,false)</f>
        <v>Business Economics and Public Administration</v>
      </c>
      <c r="I67" s="25" t="str">
        <f>VLOOKUP(A67, 'Session Data'!A:H,4,false)</f>
        <v>Oral </v>
      </c>
      <c r="J67" s="26" t="str">
        <f>VLOOKUP(A67, 'Session Data'!A:AA,14,false)</f>
        <v>Master's</v>
      </c>
      <c r="K67" s="27" t="str">
        <f>VLOOKUP(A67, 'Session Data'!A:AA,15,false)</f>
        <v>Arts and Letters</v>
      </c>
      <c r="L67" s="28" t="s">
        <v>98</v>
      </c>
      <c r="M67" s="29" t="str">
        <f>VLOOKUP(A67, 'Session Data'!A:K,11,false)</f>
        <v>Big Data Analytics</v>
      </c>
      <c r="N67" s="26" t="str">
        <f>IF(ISNA(VLOOKUP(A67, 'Award Abstract#'!C:C, 1, FALSE)), "No", "Yes")
</f>
        <v>No</v>
      </c>
      <c r="O67" s="29" t="str">
        <f>IF(ISNA(VLOOKUP(A67,'Award Abstract#'!B:B,1,FALSE)), "No", "Yes")</f>
        <v>No</v>
      </c>
      <c r="P67" s="29" t="str">
        <f>IF(ISNA(VLOOKUP(A67,'Award Abstract#'!E:E,1,FALSE)), "No", "Yes")</f>
        <v>No</v>
      </c>
      <c r="Q67" s="29" t="str">
        <f>IF(ISNA(VLOOKUP(A67,'Award Abstract#'!A:A,1,FALSE)), "No", "Yes")</f>
        <v>No</v>
      </c>
      <c r="R67" s="29" t="str">
        <f>IF(ISNA(VLOOKUP(A67,'Award Abstract#'!D:D,1,FALSE)), "No", "Yes")</f>
        <v>Yes</v>
      </c>
      <c r="S67" s="30" t="str">
        <f>VLOOKUP(A67, 'Session Data'!A:AA,27,false)</f>
        <v>Woman</v>
      </c>
      <c r="T67" s="30"/>
      <c r="U67" s="30"/>
      <c r="V67" s="31" t="str">
        <f>VLOOKUP(A67, 'Session Data'!A:AA,8,false)</f>
        <v>Anurima</v>
      </c>
      <c r="W67" s="32" t="str">
        <f>VLOOKUP(A67, 'Session Data'!A:AA,9,false)</f>
        <v>Saha</v>
      </c>
      <c r="X67" s="33" t="str">
        <f>VLOOKUP(A67, 'Session Data'!A:AA,12,false)</f>
        <v>Predicting Crime Resolution in Los Angeles </v>
      </c>
      <c r="Y67" s="34" t="str">
        <f>VLOOKUP(A67, 'Session Data'!A:AA,22,false)</f>
        <v>Ming</v>
      </c>
      <c r="Z67" s="34" t="str">
        <f>VLOOKUP(A67, 'Session Data'!A:AA,23,false)</f>
        <v>Tsou</v>
      </c>
      <c r="AA67" s="34" t="str">
        <f>VLOOKUP(A67, 'Session Data'!A:AA,25,false)</f>
        <v>Arts and Letters</v>
      </c>
      <c r="AB67" s="34" t="str">
        <f>VLOOKUP(A67, 'Session Data'!A:AA,24,false)</f>
        <v>mtsou@sdsu.edu</v>
      </c>
      <c r="AC67" s="34" t="str">
        <f>VLOOKUP(A67, 'Session Data'!A:AA,16,false)</f>
        <v/>
      </c>
      <c r="AD67" s="35" t="str">
        <f>VLOOKUP(A67, 'Session Data'!A:U,17,false)</f>
        <v/>
      </c>
      <c r="AE67" s="35" t="str">
        <f>VLOOKUP(A67, 'Session Data'!A:U,18,false)</f>
        <v/>
      </c>
      <c r="AF67" s="35" t="str">
        <f>VLOOKUP(A67, 'Session Data'!A:U,19,false)</f>
        <v/>
      </c>
      <c r="AG67" s="35" t="str">
        <f>VLOOKUP(A67, 'Session Data'!A:U,20,false)</f>
        <v/>
      </c>
      <c r="AH67" s="35" t="str">
        <f>VLOOKUP(A67, 'Session Data'!A:U,21,false)</f>
        <v/>
      </c>
      <c r="AI67" s="36"/>
      <c r="AJ67" s="38"/>
      <c r="AK67" s="38"/>
      <c r="AL67" s="39"/>
      <c r="AM67" s="34" t="str">
        <f>VLOOKUP(A67, 'Session Data'!A:AA,10,false)</f>
        <v>asaha8669@sdsu.edu</v>
      </c>
      <c r="AN67" s="40"/>
      <c r="AO67" s="38"/>
      <c r="AP67" s="38"/>
      <c r="AQ67" s="38"/>
      <c r="AR67" s="38"/>
      <c r="AS67" s="38"/>
      <c r="AT67" s="38"/>
      <c r="AU67" s="38"/>
      <c r="AV67" s="38"/>
      <c r="AW67" s="38"/>
      <c r="AX67" s="38"/>
      <c r="AY67" s="43"/>
      <c r="AZ67" s="43"/>
      <c r="BA67" s="48"/>
      <c r="BB67" s="48"/>
      <c r="BC67" s="43"/>
      <c r="BD67" s="43"/>
      <c r="BE67" s="44"/>
      <c r="BF67" s="45"/>
      <c r="BG67" s="43"/>
    </row>
    <row r="68">
      <c r="A68" s="19" t="s">
        <v>131</v>
      </c>
      <c r="B68" s="20">
        <f>VLOOKUP(F68,'Session Count DO NOT EDIT'!$A:$C,3,FALSE)</f>
        <v>5</v>
      </c>
      <c r="C68" s="20">
        <f>COUNTIFS('Scores Import DO NOT EDIT'!D:D,A68)</f>
        <v>4</v>
      </c>
      <c r="D68" s="21">
        <f t="shared" si="1"/>
        <v>0.8</v>
      </c>
      <c r="E68" s="22">
        <f>AVERAGEIFS('Scores Import DO NOT EDIT'!L:L,'Scores Import DO NOT EDIT'!D:D,A68)</f>
        <v>29.75</v>
      </c>
      <c r="F68" s="23" t="str">
        <f>VLOOKUP(A68, 'Session Data'!A:M,3,false)</f>
        <v>B-10</v>
      </c>
      <c r="G68" s="24" t="str">
        <f>VLOOKUP(A68, 'Session Data'!A:I,2,false)</f>
        <v>11:00 AM</v>
      </c>
      <c r="H68" s="23" t="str">
        <f>VLOOKUP(A68, 'Session Data'!A:J,5,false)</f>
        <v>Business Economics and Public Administration</v>
      </c>
      <c r="I68" s="25" t="str">
        <f>VLOOKUP(A68, 'Session Data'!A:H,4,false)</f>
        <v>Oral </v>
      </c>
      <c r="J68" s="26" t="str">
        <f>VLOOKUP(A68, 'Session Data'!A:AA,14,false)</f>
        <v>Master's</v>
      </c>
      <c r="K68" s="27" t="str">
        <f>VLOOKUP(A68, 'Session Data'!A:AA,15,false)</f>
        <v>Professional Studies and Fine Arts</v>
      </c>
      <c r="L68" s="28" t="s">
        <v>95</v>
      </c>
      <c r="M68" s="29" t="str">
        <f>VLOOKUP(A68, 'Session Data'!A:K,11,false)</f>
        <v>M.A. Mass Communication and Media Studies</v>
      </c>
      <c r="N68" s="26" t="str">
        <f>IF(ISNA(VLOOKUP(A68, 'Award Abstract#'!C:C, 1, FALSE)), "No", "Yes")
</f>
        <v>No</v>
      </c>
      <c r="O68" s="29" t="str">
        <f>IF(ISNA(VLOOKUP(A68,'Award Abstract#'!B:B,1,FALSE)), "No", "Yes")</f>
        <v>No</v>
      </c>
      <c r="P68" s="29" t="str">
        <f>IF(ISNA(VLOOKUP(A68,'Award Abstract#'!E:E,1,FALSE)), "No", "Yes")</f>
        <v>No</v>
      </c>
      <c r="Q68" s="29" t="str">
        <f>IF(ISNA(VLOOKUP(A68,'Award Abstract#'!A:A,1,FALSE)), "No", "Yes")</f>
        <v>No</v>
      </c>
      <c r="R68" s="29" t="str">
        <f>IF(ISNA(VLOOKUP(A68,'Award Abstract#'!D:D,1,FALSE)), "No", "Yes")</f>
        <v>No</v>
      </c>
      <c r="S68" s="30" t="str">
        <f>VLOOKUP(A68, 'Session Data'!A:AA,27,false)</f>
        <v>Woman</v>
      </c>
      <c r="T68" s="30"/>
      <c r="U68" s="30"/>
      <c r="V68" s="31" t="str">
        <f>VLOOKUP(A68, 'Session Data'!A:AA,8,false)</f>
        <v>Allison</v>
      </c>
      <c r="W68" s="32" t="str">
        <f>VLOOKUP(A68, 'Session Data'!A:AA,9,false)</f>
        <v>Gennette</v>
      </c>
      <c r="X68" s="33" t="str">
        <f>VLOOKUP(A68, 'Session Data'!A:AA,12,false)</f>
        <v>Buying was so last season: persuasive effects of deinfluencers versus influencers on purchase intentions</v>
      </c>
      <c r="Y68" s="34" t="str">
        <f>VLOOKUP(A68, 'Session Data'!A:AA,22,false)</f>
        <v>Arthur</v>
      </c>
      <c r="Z68" s="34" t="str">
        <f>VLOOKUP(A68, 'Session Data'!A:AA,23,false)</f>
        <v>Santana</v>
      </c>
      <c r="AA68" s="34" t="str">
        <f>VLOOKUP(A68, 'Session Data'!A:AA,25,false)</f>
        <v>Other</v>
      </c>
      <c r="AB68" s="34" t="str">
        <f>VLOOKUP(A68, 'Session Data'!A:AA,24,false)</f>
        <v>asantana@sdsu.edu</v>
      </c>
      <c r="AC68" s="34" t="str">
        <f>VLOOKUP(A68, 'Session Data'!A:AA,16,false)</f>
        <v/>
      </c>
      <c r="AD68" s="35" t="str">
        <f>VLOOKUP(A68, 'Session Data'!A:U,17,false)</f>
        <v/>
      </c>
      <c r="AE68" s="35" t="str">
        <f>VLOOKUP(A68, 'Session Data'!A:U,18,false)</f>
        <v/>
      </c>
      <c r="AF68" s="35" t="str">
        <f>VLOOKUP(A68, 'Session Data'!A:U,19,false)</f>
        <v/>
      </c>
      <c r="AG68" s="35" t="str">
        <f>VLOOKUP(A68, 'Session Data'!A:U,20,false)</f>
        <v/>
      </c>
      <c r="AH68" s="35" t="str">
        <f>VLOOKUP(A68, 'Session Data'!A:U,21,false)</f>
        <v/>
      </c>
      <c r="AI68" s="37"/>
      <c r="AJ68" s="37"/>
      <c r="AK68" s="37"/>
      <c r="AL68" s="50"/>
      <c r="AM68" s="34" t="str">
        <f>VLOOKUP(A68, 'Session Data'!A:AA,10,false)</f>
        <v>agennette8363@sdsu.edu</v>
      </c>
      <c r="AN68" s="40"/>
      <c r="AO68" s="38"/>
      <c r="AP68" s="38"/>
      <c r="AQ68" s="38"/>
      <c r="AR68" s="38"/>
      <c r="AS68" s="38"/>
      <c r="AT68" s="38"/>
      <c r="AU68" s="38"/>
      <c r="AV68" s="38"/>
      <c r="AW68" s="38"/>
      <c r="AX68" s="38"/>
      <c r="AY68" s="43"/>
      <c r="AZ68" s="43"/>
      <c r="BA68" s="48"/>
      <c r="BB68" s="48"/>
      <c r="BC68" s="43"/>
      <c r="BD68" s="43"/>
      <c r="BE68" s="44"/>
      <c r="BF68" s="45"/>
      <c r="BG68" s="43"/>
    </row>
    <row r="69">
      <c r="A69" s="19" t="s">
        <v>132</v>
      </c>
      <c r="B69" s="20">
        <f>VLOOKUP(F69,'Session Count DO NOT EDIT'!$A:$C,3,FALSE)</f>
        <v>5</v>
      </c>
      <c r="C69" s="20">
        <f>COUNTIFS('Scores Import DO NOT EDIT'!D:D,A69)</f>
        <v>2</v>
      </c>
      <c r="D69" s="21">
        <f t="shared" si="1"/>
        <v>0.4</v>
      </c>
      <c r="E69" s="22">
        <f>AVERAGEIFS('Scores Import DO NOT EDIT'!L:L,'Scores Import DO NOT EDIT'!D:D,A69)</f>
        <v>16.5</v>
      </c>
      <c r="F69" s="23" t="str">
        <f>VLOOKUP(A69, 'Session Data'!A:M,3,false)</f>
        <v>B-10</v>
      </c>
      <c r="G69" s="24" t="str">
        <f>VLOOKUP(A69, 'Session Data'!A:I,2,false)</f>
        <v>11:00 AM</v>
      </c>
      <c r="H69" s="23" t="str">
        <f>VLOOKUP(A69, 'Session Data'!A:J,5,false)</f>
        <v>Business Economics and Public Administration</v>
      </c>
      <c r="I69" s="25" t="str">
        <f>VLOOKUP(A69, 'Session Data'!A:H,4,false)</f>
        <v>Oral </v>
      </c>
      <c r="J69" s="26" t="str">
        <f>VLOOKUP(A69, 'Session Data'!A:AA,14,false)</f>
        <v>Undergraduate</v>
      </c>
      <c r="K69" s="27" t="str">
        <f>VLOOKUP(A69, 'Session Data'!A:AA,15,false)</f>
        <v>Fowler College of Business</v>
      </c>
      <c r="L69" s="28"/>
      <c r="M69" s="29" t="str">
        <f>VLOOKUP(A69, 'Session Data'!A:K,11,false)</f>
        <v>Bachelor's of Science in Business Administration: General Business</v>
      </c>
      <c r="N69" s="26" t="str">
        <f>IF(ISNA(VLOOKUP(A69, 'Award Abstract#'!C:C, 1, FALSE)), "No", "Yes")
</f>
        <v>No</v>
      </c>
      <c r="O69" s="29" t="str">
        <f>IF(ISNA(VLOOKUP(A69,'Award Abstract#'!B:B,1,FALSE)), "No", "Yes")</f>
        <v>No</v>
      </c>
      <c r="P69" s="29" t="str">
        <f>IF(ISNA(VLOOKUP(A69,'Award Abstract#'!E:E,1,FALSE)), "No", "Yes")</f>
        <v>No</v>
      </c>
      <c r="Q69" s="29" t="str">
        <f>IF(ISNA(VLOOKUP(A69,'Award Abstract#'!A:A,1,FALSE)), "No", "Yes")</f>
        <v>No</v>
      </c>
      <c r="R69" s="29" t="str">
        <f>IF(ISNA(VLOOKUP(A69,'Award Abstract#'!D:D,1,FALSE)), "No", "Yes")</f>
        <v>Yes</v>
      </c>
      <c r="S69" s="30" t="str">
        <f>VLOOKUP(A69, 'Session Data'!A:AA,27,false)</f>
        <v>Woman, Cisgender</v>
      </c>
      <c r="T69" s="30"/>
      <c r="U69" s="30"/>
      <c r="V69" s="31" t="str">
        <f>VLOOKUP(A69, 'Session Data'!A:AA,8,false)</f>
        <v>Talia</v>
      </c>
      <c r="W69" s="32" t="str">
        <f>VLOOKUP(A69, 'Session Data'!A:AA,9,false)</f>
        <v>Finburgh</v>
      </c>
      <c r="X69" s="33" t="str">
        <f>VLOOKUP(A69, 'Session Data'!A:AA,12,false)</f>
        <v>Exploring Employment: A Personalized Empirical Analysis of Application Tactics</v>
      </c>
      <c r="Y69" s="34" t="str">
        <f>VLOOKUP(A69, 'Session Data'!A:AA,22,false)</f>
        <v>Erlinde</v>
      </c>
      <c r="Z69" s="34" t="str">
        <f>VLOOKUP(A69, 'Session Data'!A:AA,23,false)</f>
        <v>Cornelis</v>
      </c>
      <c r="AA69" s="34" t="str">
        <f>VLOOKUP(A69, 'Session Data'!A:AA,25,false)</f>
        <v>Fowler College of Business</v>
      </c>
      <c r="AB69" s="34" t="str">
        <f>VLOOKUP(A69, 'Session Data'!A:AA,24,false)</f>
        <v>ecornelis@sdsu.edu</v>
      </c>
      <c r="AC69" s="34" t="str">
        <f>VLOOKUP(A69, 'Session Data'!A:AA,16,false)</f>
        <v/>
      </c>
      <c r="AD69" s="35" t="str">
        <f>VLOOKUP(A69, 'Session Data'!A:U,17,false)</f>
        <v/>
      </c>
      <c r="AE69" s="35" t="str">
        <f>VLOOKUP(A69, 'Session Data'!A:U,18,false)</f>
        <v/>
      </c>
      <c r="AF69" s="35" t="str">
        <f>VLOOKUP(A69, 'Session Data'!A:U,19,false)</f>
        <v/>
      </c>
      <c r="AG69" s="35" t="str">
        <f>VLOOKUP(A69, 'Session Data'!A:U,20,false)</f>
        <v/>
      </c>
      <c r="AH69" s="35" t="str">
        <f>VLOOKUP(A69, 'Session Data'!A:U,21,false)</f>
        <v/>
      </c>
      <c r="AI69" s="36"/>
      <c r="AJ69" s="38"/>
      <c r="AK69" s="38"/>
      <c r="AL69" s="39"/>
      <c r="AM69" s="34" t="str">
        <f>VLOOKUP(A69, 'Session Data'!A:AA,10,false)</f>
        <v>tfinburgh8892@sdsu.edu</v>
      </c>
      <c r="AN69" s="40"/>
      <c r="AO69" s="38"/>
      <c r="AP69" s="38"/>
      <c r="AQ69" s="38"/>
      <c r="AR69" s="38"/>
      <c r="AS69" s="38"/>
      <c r="AT69" s="38"/>
      <c r="AU69" s="38"/>
      <c r="AV69" s="38"/>
      <c r="AW69" s="38"/>
      <c r="AX69" s="38"/>
      <c r="AY69" s="43"/>
      <c r="AZ69" s="43"/>
      <c r="BA69" s="48"/>
      <c r="BB69" s="48"/>
      <c r="BC69" s="43"/>
      <c r="BD69" s="43"/>
      <c r="BE69" s="44"/>
      <c r="BF69" s="45"/>
      <c r="BG69" s="43"/>
    </row>
    <row r="70">
      <c r="A70" s="19" t="s">
        <v>133</v>
      </c>
      <c r="B70" s="20">
        <f>VLOOKUP(F70,'Session Count DO NOT EDIT'!$A:$C,3,FALSE)</f>
        <v>5</v>
      </c>
      <c r="C70" s="20">
        <f>COUNTIFS('Scores Import DO NOT EDIT'!D:D,A70)</f>
        <v>4</v>
      </c>
      <c r="D70" s="21">
        <f t="shared" si="1"/>
        <v>0.8</v>
      </c>
      <c r="E70" s="22">
        <f>AVERAGEIFS('Scores Import DO NOT EDIT'!L:L,'Scores Import DO NOT EDIT'!D:D,A70)</f>
        <v>27.5</v>
      </c>
      <c r="F70" s="23" t="str">
        <f>VLOOKUP(A70, 'Session Data'!A:M,3,false)</f>
        <v>B-2</v>
      </c>
      <c r="G70" s="24" t="str">
        <f>VLOOKUP(A70, 'Session Data'!A:I,2,false)</f>
        <v>11:00 AM</v>
      </c>
      <c r="H70" s="23" t="str">
        <f>VLOOKUP(A70, 'Session Data'!A:J,5,false)</f>
        <v>Behavioral and Social Sciences 2</v>
      </c>
      <c r="I70" s="25" t="str">
        <f>VLOOKUP(A70, 'Session Data'!A:H,4,false)</f>
        <v>Oral </v>
      </c>
      <c r="J70" s="26" t="str">
        <f>VLOOKUP(A70, 'Session Data'!A:AA,14,false)</f>
        <v>Undergraduate</v>
      </c>
      <c r="K70" s="27" t="str">
        <f>VLOOKUP(A70, 'Session Data'!A:AA,15,false)</f>
        <v>Sciences</v>
      </c>
      <c r="L70" s="28"/>
      <c r="M70" s="29" t="str">
        <f>VLOOKUP(A70, 'Session Data'!A:K,11,false)</f>
        <v>Environmental Science</v>
      </c>
      <c r="N70" s="26" t="str">
        <f>IF(ISNA(VLOOKUP(A70, 'Award Abstract#'!C:C, 1, FALSE)), "No", "Yes")
</f>
        <v>No</v>
      </c>
      <c r="O70" s="29" t="str">
        <f>IF(ISNA(VLOOKUP(A70,'Award Abstract#'!B:B,1,FALSE)), "No", "Yes")</f>
        <v>Yes</v>
      </c>
      <c r="P70" s="29" t="str">
        <f>IF(ISNA(VLOOKUP(A70,'Award Abstract#'!E:E,1,FALSE)), "No", "Yes")</f>
        <v>No</v>
      </c>
      <c r="Q70" s="29" t="str">
        <f>IF(ISNA(VLOOKUP(A70,'Award Abstract#'!A:A,1,FALSE)), "No", "Yes")</f>
        <v>No</v>
      </c>
      <c r="R70" s="29" t="str">
        <f>IF(ISNA(VLOOKUP(A70,'Award Abstract#'!D:D,1,FALSE)), "No", "Yes")</f>
        <v>Yes</v>
      </c>
      <c r="S70" s="30" t="str">
        <f>VLOOKUP(A70, 'Session Data'!A:AA,27,false)</f>
        <v>Woman</v>
      </c>
      <c r="T70" s="30"/>
      <c r="U70" s="30"/>
      <c r="V70" s="31" t="str">
        <f>VLOOKUP(A70, 'Session Data'!A:AA,8,false)</f>
        <v>Tyana</v>
      </c>
      <c r="W70" s="32" t="str">
        <f>VLOOKUP(A70, 'Session Data'!A:AA,9,false)</f>
        <v>Ortiz</v>
      </c>
      <c r="X70" s="33" t="str">
        <f>VLOOKUP(A70, 'Session Data'!A:AA,12,false)</f>
        <v>   Land Access, Gentrification, and Urban Agriculture In San Diego</v>
      </c>
      <c r="Y70" s="34" t="str">
        <f>VLOOKUP(A70, 'Session Data'!A:AA,22,false)</f>
        <v>Pascale</v>
      </c>
      <c r="Z70" s="34" t="str">
        <f>VLOOKUP(A70, 'Session Data'!A:AA,23,false)</f>
        <v>Joassart-Marcelli</v>
      </c>
      <c r="AA70" s="34" t="str">
        <f>VLOOKUP(A70, 'Session Data'!A:AA,25,false)</f>
        <v>Arts and Letters</v>
      </c>
      <c r="AB70" s="34" t="str">
        <f>VLOOKUP(A70, 'Session Data'!A:AA,24,false)</f>
        <v>pmarcell@sdsu.edu</v>
      </c>
      <c r="AC70" s="34" t="str">
        <f>VLOOKUP(A70, 'Session Data'!A:AA,16,false)</f>
        <v>Esteban</v>
      </c>
      <c r="AD70" s="35" t="str">
        <f>VLOOKUP(A70, 'Session Data'!A:U,17,false)</f>
        <v>Cisneros</v>
      </c>
      <c r="AE70" s="35" t="str">
        <f>VLOOKUP(A70, 'Session Data'!A:U,18,false)</f>
        <v/>
      </c>
      <c r="AF70" s="35" t="str">
        <f>VLOOKUP(A70, 'Session Data'!A:U,19,false)</f>
        <v/>
      </c>
      <c r="AG70" s="35" t="str">
        <f>VLOOKUP(A70, 'Session Data'!A:U,20,false)</f>
        <v/>
      </c>
      <c r="AH70" s="35" t="str">
        <f>VLOOKUP(A70, 'Session Data'!A:U,21,false)</f>
        <v/>
      </c>
      <c r="AI70" s="36"/>
      <c r="AJ70" s="38"/>
      <c r="AK70" s="38"/>
      <c r="AL70" s="39"/>
      <c r="AM70" s="34" t="str">
        <f>VLOOKUP(A70, 'Session Data'!A:AA,10,false)</f>
        <v>tortiz4127@sdsu.edu</v>
      </c>
      <c r="AN70" s="40"/>
      <c r="AO70" s="38"/>
      <c r="AP70" s="38"/>
      <c r="AQ70" s="38"/>
      <c r="AR70" s="38"/>
      <c r="AS70" s="38"/>
      <c r="AT70" s="38"/>
      <c r="AU70" s="38"/>
      <c r="AV70" s="38"/>
      <c r="AW70" s="38"/>
      <c r="AX70" s="38"/>
      <c r="AY70" s="43"/>
      <c r="AZ70" s="43"/>
      <c r="BA70" s="43"/>
      <c r="BB70" s="43"/>
      <c r="BC70" s="43"/>
      <c r="BD70" s="43"/>
      <c r="BE70" s="44"/>
      <c r="BF70" s="45"/>
      <c r="BG70" s="43"/>
    </row>
    <row r="71">
      <c r="A71" s="19" t="s">
        <v>134</v>
      </c>
      <c r="B71" s="20">
        <f>VLOOKUP(F71,'Session Count DO NOT EDIT'!$A:$C,3,FALSE)</f>
        <v>5</v>
      </c>
      <c r="C71" s="20">
        <f>COUNTIFS('Scores Import DO NOT EDIT'!D:D,A71)</f>
        <v>4</v>
      </c>
      <c r="D71" s="21">
        <f t="shared" si="1"/>
        <v>0.8</v>
      </c>
      <c r="E71" s="22">
        <f>AVERAGEIFS('Scores Import DO NOT EDIT'!L:L,'Scores Import DO NOT EDIT'!D:D,A71)</f>
        <v>31.75</v>
      </c>
      <c r="F71" s="23" t="str">
        <f>VLOOKUP(A71, 'Session Data'!A:M,3,false)</f>
        <v>B-2</v>
      </c>
      <c r="G71" s="24" t="str">
        <f>VLOOKUP(A71, 'Session Data'!A:I,2,false)</f>
        <v>11:00 AM</v>
      </c>
      <c r="H71" s="23" t="str">
        <f>VLOOKUP(A71, 'Session Data'!A:J,5,false)</f>
        <v>Behavioral and Social Sciences 2</v>
      </c>
      <c r="I71" s="25" t="str">
        <f>VLOOKUP(A71, 'Session Data'!A:H,4,false)</f>
        <v>Oral </v>
      </c>
      <c r="J71" s="26" t="str">
        <f>VLOOKUP(A71, 'Session Data'!A:AA,14,false)</f>
        <v>Undergraduate</v>
      </c>
      <c r="K71" s="27" t="str">
        <f>VLOOKUP(A71, 'Session Data'!A:AA,15,false)</f>
        <v>College of Sciences</v>
      </c>
      <c r="L71" s="28"/>
      <c r="M71" s="29" t="str">
        <f>VLOOKUP(A71, 'Session Data'!A:K,11,false)</f>
        <v>Environmental Sciences B.S.</v>
      </c>
      <c r="N71" s="26" t="str">
        <f>IF(ISNA(VLOOKUP(A71, 'Award Abstract#'!C:C, 1, FALSE)), "No", "Yes")
</f>
        <v>No</v>
      </c>
      <c r="O71" s="29" t="str">
        <f>IF(ISNA(VLOOKUP(A71,'Award Abstract#'!B:B,1,FALSE)), "No", "Yes")</f>
        <v>No</v>
      </c>
      <c r="P71" s="29" t="str">
        <f>IF(ISNA(VLOOKUP(A71,'Award Abstract#'!E:E,1,FALSE)), "No", "Yes")</f>
        <v>Yes</v>
      </c>
      <c r="Q71" s="29" t="str">
        <f>IF(ISNA(VLOOKUP(A71,'Award Abstract#'!A:A,1,FALSE)), "No", "Yes")</f>
        <v>No</v>
      </c>
      <c r="R71" s="29" t="str">
        <f>IF(ISNA(VLOOKUP(A71,'Award Abstract#'!D:D,1,FALSE)), "No", "Yes")</f>
        <v>No</v>
      </c>
      <c r="S71" s="30" t="str">
        <f>VLOOKUP(A71, 'Session Data'!A:AA,27,false)</f>
        <v>Woman</v>
      </c>
      <c r="T71" s="30"/>
      <c r="U71" s="30"/>
      <c r="V71" s="31" t="str">
        <f>VLOOKUP(A71, 'Session Data'!A:AA,8,false)</f>
        <v>Emily</v>
      </c>
      <c r="W71" s="32" t="str">
        <f>VLOOKUP(A71, 'Session Data'!A:AA,9,false)</f>
        <v>Rapp</v>
      </c>
      <c r="X71" s="33" t="str">
        <f>VLOOKUP(A71, 'Session Data'!A:AA,12,false)</f>
        <v>Cheek pouch use of Macaca maura in proximity to road in Bantimurung Bulusaraung National Park, Sulawesi, Indonesia </v>
      </c>
      <c r="Y71" s="34" t="str">
        <f>VLOOKUP(A71, 'Session Data'!A:AA,22,false)</f>
        <v>Erin</v>
      </c>
      <c r="Z71" s="34" t="str">
        <f>VLOOKUP(A71, 'Session Data'!A:AA,23,false)</f>
        <v>Riley</v>
      </c>
      <c r="AA71" s="34" t="str">
        <f>VLOOKUP(A71, 'Session Data'!A:AA,25,false)</f>
        <v>Arts and Letters</v>
      </c>
      <c r="AB71" s="76" t="str">
        <f>VLOOKUP(A71, 'Session Data'!A:AA,24,false)</f>
        <v>epriley@sdsu.edu</v>
      </c>
      <c r="AC71" s="34" t="str">
        <f>VLOOKUP(A71, 'Session Data'!A:AA,16,false)</f>
        <v/>
      </c>
      <c r="AD71" s="35" t="str">
        <f>VLOOKUP(A71, 'Session Data'!A:U,17,false)</f>
        <v/>
      </c>
      <c r="AE71" s="35" t="str">
        <f>VLOOKUP(A71, 'Session Data'!A:U,18,false)</f>
        <v/>
      </c>
      <c r="AF71" s="35" t="str">
        <f>VLOOKUP(A71, 'Session Data'!A:U,19,false)</f>
        <v/>
      </c>
      <c r="AG71" s="35" t="str">
        <f>VLOOKUP(A71, 'Session Data'!A:U,20,false)</f>
        <v/>
      </c>
      <c r="AH71" s="35" t="str">
        <f>VLOOKUP(A71, 'Session Data'!A:U,21,false)</f>
        <v/>
      </c>
      <c r="AI71" s="36"/>
      <c r="AJ71" s="38"/>
      <c r="AK71" s="38"/>
      <c r="AL71" s="39"/>
      <c r="AM71" s="34" t="str">
        <f>VLOOKUP(A71, 'Session Data'!A:AA,10,false)</f>
        <v>erapp5130@sdsu.edu</v>
      </c>
      <c r="AN71" s="40"/>
      <c r="AO71" s="38"/>
      <c r="AP71" s="38"/>
      <c r="AQ71" s="38"/>
      <c r="AR71" s="38"/>
      <c r="AS71" s="38"/>
      <c r="AT71" s="38"/>
      <c r="AU71" s="38"/>
      <c r="AV71" s="38"/>
      <c r="AW71" s="38"/>
      <c r="AX71" s="38"/>
      <c r="AY71" s="43"/>
      <c r="AZ71" s="43"/>
      <c r="BA71" s="48"/>
      <c r="BB71" s="48"/>
      <c r="BC71" s="43"/>
      <c r="BD71" s="43"/>
      <c r="BE71" s="44"/>
      <c r="BF71" s="45"/>
      <c r="BG71" s="43"/>
    </row>
    <row r="72">
      <c r="A72" s="19" t="s">
        <v>135</v>
      </c>
      <c r="B72" s="20">
        <f>VLOOKUP(F72,'Session Count DO NOT EDIT'!$A:$C,3,FALSE)</f>
        <v>5</v>
      </c>
      <c r="C72" s="20">
        <f>COUNTIFS('Scores Import DO NOT EDIT'!D:D,A72)</f>
        <v>4</v>
      </c>
      <c r="D72" s="21">
        <f t="shared" si="1"/>
        <v>0.8</v>
      </c>
      <c r="E72" s="22">
        <f>AVERAGEIFS('Scores Import DO NOT EDIT'!L:L,'Scores Import DO NOT EDIT'!D:D,A72)</f>
        <v>28.25</v>
      </c>
      <c r="F72" s="23" t="str">
        <f>VLOOKUP(A72, 'Session Data'!A:M,3,false)</f>
        <v>B-2</v>
      </c>
      <c r="G72" s="24" t="str">
        <f>VLOOKUP(A72, 'Session Data'!A:I,2,false)</f>
        <v>11:00 AM</v>
      </c>
      <c r="H72" s="23" t="str">
        <f>VLOOKUP(A72, 'Session Data'!A:J,5,false)</f>
        <v>Behavioral and Social Sciences 2</v>
      </c>
      <c r="I72" s="25" t="str">
        <f>VLOOKUP(A72, 'Session Data'!A:H,4,false)</f>
        <v>Oral </v>
      </c>
      <c r="J72" s="26" t="str">
        <f>VLOOKUP(A72, 'Session Data'!A:AA,14,false)</f>
        <v>Undergraduate</v>
      </c>
      <c r="K72" s="27" t="str">
        <f>VLOOKUP(A72, 'Session Data'!A:AA,15,false)</f>
        <v>Arts and Letters</v>
      </c>
      <c r="L72" s="47"/>
      <c r="M72" s="29" t="str">
        <f>VLOOKUP(A72, 'Session Data'!A:K,11,false)</f>
        <v>Bachelor of Arts in Sociology</v>
      </c>
      <c r="N72" s="26" t="str">
        <f>IF(ISNA(VLOOKUP(A72, 'Award Abstract#'!C:C, 1, FALSE)), "No", "Yes")
</f>
        <v>No</v>
      </c>
      <c r="O72" s="29" t="str">
        <f>IF(ISNA(VLOOKUP(A72,'Award Abstract#'!B:B,1,FALSE)), "No", "Yes")</f>
        <v>No</v>
      </c>
      <c r="P72" s="29" t="str">
        <f>IF(ISNA(VLOOKUP(A72,'Award Abstract#'!E:E,1,FALSE)), "No", "Yes")</f>
        <v>No</v>
      </c>
      <c r="Q72" s="29" t="str">
        <f>IF(ISNA(VLOOKUP(A72,'Award Abstract#'!A:A,1,FALSE)), "No", "Yes")</f>
        <v>Yes</v>
      </c>
      <c r="R72" s="29" t="str">
        <f>IF(ISNA(VLOOKUP(A72,'Award Abstract#'!D:D,1,FALSE)), "No", "Yes")</f>
        <v>Yes</v>
      </c>
      <c r="S72" s="30" t="str">
        <f>VLOOKUP(A72, 'Session Data'!A:AA,27,false)</f>
        <v>Woman</v>
      </c>
      <c r="T72" s="30"/>
      <c r="U72" s="30"/>
      <c r="V72" s="31" t="str">
        <f>VLOOKUP(A72, 'Session Data'!A:AA,8,false)</f>
        <v>Jenae</v>
      </c>
      <c r="W72" s="32" t="str">
        <f>VLOOKUP(A72, 'Session Data'!A:AA,9,false)</f>
        <v>Dellafosse</v>
      </c>
      <c r="X72" s="33" t="str">
        <f>VLOOKUP(A72, 'Session Data'!A:AA,12,false)</f>
        <v>he Interconnectedness of Love and Guilt: Discovering the Path to Conocimiento and Healing by  Confronting Guilt with Love </v>
      </c>
      <c r="Y72" s="34" t="str">
        <f>VLOOKUP(A72, 'Session Data'!A:AA,22,false)</f>
        <v>Irene</v>
      </c>
      <c r="Z72" s="34" t="str">
        <f>VLOOKUP(A72, 'Session Data'!A:AA,23,false)</f>
        <v>Lara</v>
      </c>
      <c r="AA72" s="34" t="str">
        <f>VLOOKUP(A72, 'Session Data'!A:AA,25,false)</f>
        <v>Arts and Letters</v>
      </c>
      <c r="AB72" s="34" t="str">
        <f>VLOOKUP(A72, 'Session Data'!A:AA,24,false)</f>
        <v>ilara@sdsu.edu</v>
      </c>
      <c r="AC72" s="34" t="str">
        <f>VLOOKUP(A72, 'Session Data'!A:AA,16,false)</f>
        <v/>
      </c>
      <c r="AD72" s="35" t="str">
        <f>VLOOKUP(A72, 'Session Data'!A:U,17,false)</f>
        <v/>
      </c>
      <c r="AE72" s="35" t="str">
        <f>VLOOKUP(A72, 'Session Data'!A:U,18,false)</f>
        <v/>
      </c>
      <c r="AF72" s="35" t="str">
        <f>VLOOKUP(A72, 'Session Data'!A:U,19,false)</f>
        <v/>
      </c>
      <c r="AG72" s="35" t="str">
        <f>VLOOKUP(A72, 'Session Data'!A:U,20,false)</f>
        <v/>
      </c>
      <c r="AH72" s="35" t="str">
        <f>VLOOKUP(A72, 'Session Data'!A:U,21,false)</f>
        <v/>
      </c>
      <c r="AI72" s="36"/>
      <c r="AJ72" s="38"/>
      <c r="AK72" s="38"/>
      <c r="AL72" s="39"/>
      <c r="AM72" s="34" t="str">
        <f>VLOOKUP(A72, 'Session Data'!A:AA,10,false)</f>
        <v>jdellafosse5015@sdsu.edu</v>
      </c>
      <c r="AN72" s="40"/>
      <c r="AO72" s="38"/>
      <c r="AP72" s="38"/>
      <c r="AQ72" s="38"/>
      <c r="AR72" s="38"/>
      <c r="AS72" s="38"/>
      <c r="AT72" s="38"/>
      <c r="AU72" s="38"/>
      <c r="AV72" s="38"/>
      <c r="AW72" s="38"/>
      <c r="AX72" s="38"/>
      <c r="AY72" s="43"/>
      <c r="AZ72" s="43"/>
      <c r="BA72" s="48"/>
      <c r="BB72" s="48"/>
      <c r="BC72" s="43"/>
      <c r="BD72" s="43"/>
      <c r="BE72" s="44"/>
      <c r="BF72" s="45"/>
      <c r="BG72" s="43"/>
    </row>
    <row r="73">
      <c r="A73" s="19" t="s">
        <v>136</v>
      </c>
      <c r="B73" s="20">
        <f>VLOOKUP(F73,'Session Count DO NOT EDIT'!$A:$C,3,FALSE)</f>
        <v>5</v>
      </c>
      <c r="C73" s="20">
        <f>COUNTIFS('Scores Import DO NOT EDIT'!D:D,A73)</f>
        <v>3</v>
      </c>
      <c r="D73" s="21">
        <f t="shared" si="1"/>
        <v>0.6</v>
      </c>
      <c r="E73" s="22">
        <f>AVERAGEIFS('Scores Import DO NOT EDIT'!L:L,'Scores Import DO NOT EDIT'!D:D,A73)</f>
        <v>27.33333333</v>
      </c>
      <c r="F73" s="23" t="str">
        <f>VLOOKUP(A73, 'Session Data'!A:M,3,false)</f>
        <v>B-2</v>
      </c>
      <c r="G73" s="24" t="str">
        <f>VLOOKUP(A73, 'Session Data'!A:I,2,false)</f>
        <v>11:00 AM</v>
      </c>
      <c r="H73" s="23" t="str">
        <f>VLOOKUP(A73, 'Session Data'!A:J,5,false)</f>
        <v>Behavioral and Social Sciences 2</v>
      </c>
      <c r="I73" s="25" t="str">
        <f>VLOOKUP(A73, 'Session Data'!A:H,4,false)</f>
        <v>Oral </v>
      </c>
      <c r="J73" s="26" t="str">
        <f>VLOOKUP(A73, 'Session Data'!A:AA,14,false)</f>
        <v>Undergraduate</v>
      </c>
      <c r="K73" s="27" t="str">
        <f>VLOOKUP(A73, 'Session Data'!A:AA,15,false)</f>
        <v>Arts and Letters</v>
      </c>
      <c r="L73" s="47"/>
      <c r="M73" s="29" t="str">
        <f>VLOOKUP(A73, 'Session Data'!A:K,11,false)</f>
        <v>Bachelor of Arts in political science</v>
      </c>
      <c r="N73" s="26" t="str">
        <f>IF(ISNA(VLOOKUP(A73, 'Award Abstract#'!C:C, 1, FALSE)), "No", "Yes")
</f>
        <v>No</v>
      </c>
      <c r="O73" s="29" t="str">
        <f>IF(ISNA(VLOOKUP(A73,'Award Abstract#'!B:B,1,FALSE)), "No", "Yes")</f>
        <v>No</v>
      </c>
      <c r="P73" s="29" t="str">
        <f>IF(ISNA(VLOOKUP(A73,'Award Abstract#'!E:E,1,FALSE)), "No", "Yes")</f>
        <v>No</v>
      </c>
      <c r="Q73" s="29" t="str">
        <f>IF(ISNA(VLOOKUP(A73,'Award Abstract#'!A:A,1,FALSE)), "No", "Yes")</f>
        <v>No</v>
      </c>
      <c r="R73" s="29" t="str">
        <f>IF(ISNA(VLOOKUP(A73,'Award Abstract#'!D:D,1,FALSE)), "No", "Yes")</f>
        <v>Yes</v>
      </c>
      <c r="S73" s="30" t="str">
        <f>VLOOKUP(A73, 'Session Data'!A:AA,27,false)</f>
        <v>Woman</v>
      </c>
      <c r="T73" s="30"/>
      <c r="U73" s="30"/>
      <c r="V73" s="31" t="str">
        <f>VLOOKUP(A73, 'Session Data'!A:AA,8,false)</f>
        <v>Samantha </v>
      </c>
      <c r="W73" s="32" t="str">
        <f>VLOOKUP(A73, 'Session Data'!A:AA,9,false)</f>
        <v>DiDomenico</v>
      </c>
      <c r="X73" s="33" t="str">
        <f>VLOOKUP(A73, 'Session Data'!A:AA,12,false)</f>
        <v>Complications of Brexit: The Troubles and Northern Ireland’s Identity Politics</v>
      </c>
      <c r="Y73" s="34" t="str">
        <f>VLOOKUP(A73, 'Session Data'!A:AA,22,false)</f>
        <v>Kimberly</v>
      </c>
      <c r="Z73" s="34" t="str">
        <f>VLOOKUP(A73, 'Session Data'!A:AA,23,false)</f>
        <v>Twist</v>
      </c>
      <c r="AA73" s="34" t="str">
        <f>VLOOKUP(A73, 'Session Data'!A:AA,25,false)</f>
        <v>Arts and Letters</v>
      </c>
      <c r="AB73" s="34" t="str">
        <f>VLOOKUP(A73, 'Session Data'!A:AA,24,false)</f>
        <v>ktwist@sdsu.edu</v>
      </c>
      <c r="AC73" s="34" t="str">
        <f>VLOOKUP(A73, 'Session Data'!A:AA,16,false)</f>
        <v/>
      </c>
      <c r="AD73" s="35" t="str">
        <f>VLOOKUP(A73, 'Session Data'!A:U,17,false)</f>
        <v/>
      </c>
      <c r="AE73" s="35" t="str">
        <f>VLOOKUP(A73, 'Session Data'!A:U,18,false)</f>
        <v/>
      </c>
      <c r="AF73" s="35" t="str">
        <f>VLOOKUP(A73, 'Session Data'!A:U,19,false)</f>
        <v/>
      </c>
      <c r="AG73" s="35" t="str">
        <f>VLOOKUP(A73, 'Session Data'!A:U,20,false)</f>
        <v/>
      </c>
      <c r="AH73" s="35" t="str">
        <f>VLOOKUP(A73, 'Session Data'!A:U,21,false)</f>
        <v/>
      </c>
      <c r="AI73" s="36"/>
      <c r="AJ73" s="38"/>
      <c r="AK73" s="38"/>
      <c r="AL73" s="39"/>
      <c r="AM73" s="34" t="str">
        <f>VLOOKUP(A73, 'Session Data'!A:AA,10,false)</f>
        <v>sdidomenico7200@sdsu.edu</v>
      </c>
      <c r="AN73" s="40"/>
      <c r="AO73" s="38"/>
      <c r="AP73" s="38"/>
      <c r="AQ73" s="38"/>
      <c r="AR73" s="38"/>
      <c r="AS73" s="38"/>
      <c r="AT73" s="38"/>
      <c r="AU73" s="38"/>
      <c r="AV73" s="38"/>
      <c r="AW73" s="38"/>
      <c r="AX73" s="38"/>
      <c r="AY73" s="43"/>
      <c r="AZ73" s="43"/>
      <c r="BA73" s="48"/>
      <c r="BB73" s="48"/>
      <c r="BC73" s="43"/>
      <c r="BD73" s="43"/>
      <c r="BE73" s="44"/>
      <c r="BF73" s="45"/>
      <c r="BG73" s="46"/>
    </row>
    <row r="74">
      <c r="A74" s="19" t="s">
        <v>137</v>
      </c>
      <c r="B74" s="20">
        <f>VLOOKUP(F74,'Session Count DO NOT EDIT'!$A:$C,3,FALSE)</f>
        <v>4</v>
      </c>
      <c r="C74" s="20">
        <f>COUNTIFS('Scores Import DO NOT EDIT'!D:D,A74)</f>
        <v>3</v>
      </c>
      <c r="D74" s="21">
        <f t="shared" si="1"/>
        <v>0.75</v>
      </c>
      <c r="E74" s="22">
        <f>AVERAGEIFS('Scores Import DO NOT EDIT'!L:L,'Scores Import DO NOT EDIT'!D:D,A74)</f>
        <v>30.33333333</v>
      </c>
      <c r="F74" s="23" t="str">
        <f>VLOOKUP(A74, 'Session Data'!A:M,3,false)</f>
        <v>B-3</v>
      </c>
      <c r="G74" s="24" t="str">
        <f>VLOOKUP(A74, 'Session Data'!A:I,2,false)</f>
        <v>11:00 AM</v>
      </c>
      <c r="H74" s="23" t="str">
        <f>VLOOKUP(A74, 'Session Data'!A:J,5,false)</f>
        <v>Biological and Agricultural Sciences</v>
      </c>
      <c r="I74" s="25" t="str">
        <f>VLOOKUP(A74, 'Session Data'!A:H,4,false)</f>
        <v>Oral </v>
      </c>
      <c r="J74" s="26" t="str">
        <f>VLOOKUP(A74, 'Session Data'!A:AA,14,false)</f>
        <v>Undergraduate</v>
      </c>
      <c r="K74" s="27" t="str">
        <f>VLOOKUP(A74, 'Session Data'!A:AA,15,false)</f>
        <v>Sciences</v>
      </c>
      <c r="L74" s="28" t="s">
        <v>73</v>
      </c>
      <c r="M74" s="29" t="str">
        <f>VLOOKUP(A74, 'Session Data'!A:K,11,false)</f>
        <v>Bachelor of Science in Biology </v>
      </c>
      <c r="N74" s="26" t="str">
        <f>IF(ISNA(VLOOKUP(A74, 'Award Abstract#'!C:C, 1, FALSE)), "No", "Yes")
</f>
        <v>No</v>
      </c>
      <c r="O74" s="29" t="str">
        <f>IF(ISNA(VLOOKUP(A74,'Award Abstract#'!B:B,1,FALSE)), "No", "Yes")</f>
        <v>No</v>
      </c>
      <c r="P74" s="29" t="str">
        <f>IF(ISNA(VLOOKUP(A74,'Award Abstract#'!E:E,1,FALSE)), "No", "Yes")</f>
        <v>Yes</v>
      </c>
      <c r="Q74" s="29" t="str">
        <f>IF(ISNA(VLOOKUP(A74,'Award Abstract#'!A:A,1,FALSE)), "No", "Yes")</f>
        <v>No</v>
      </c>
      <c r="R74" s="29" t="str">
        <f>IF(ISNA(VLOOKUP(A74,'Award Abstract#'!D:D,1,FALSE)), "No", "Yes")</f>
        <v>No</v>
      </c>
      <c r="S74" s="30" t="str">
        <f>VLOOKUP(A74, 'Session Data'!A:AA,27,false)</f>
        <v>Woman</v>
      </c>
      <c r="T74" s="30"/>
      <c r="U74" s="30"/>
      <c r="V74" s="31" t="str">
        <f>VLOOKUP(A74, 'Session Data'!A:AA,8,false)</f>
        <v>Camille</v>
      </c>
      <c r="W74" s="32" t="str">
        <f>VLOOKUP(A74, 'Session Data'!A:AA,9,false)</f>
        <v>Movafagian</v>
      </c>
      <c r="X74" s="33" t="str">
        <f>VLOOKUP(A74, 'Session Data'!A:AA,12,false)</f>
        <v>Determining Cloning in Native Succulent Population</v>
      </c>
      <c r="Y74" s="34" t="str">
        <f>VLOOKUP(A74, 'Session Data'!A:AA,22,false)</f>
        <v>Lluvia</v>
      </c>
      <c r="Z74" s="34" t="str">
        <f>VLOOKUP(A74, 'Session Data'!A:AA,23,false)</f>
        <v>Flores-Renteria</v>
      </c>
      <c r="AA74" s="34" t="str">
        <f>VLOOKUP(A74, 'Session Data'!A:AA,25,false)</f>
        <v>Sciences</v>
      </c>
      <c r="AB74" s="34" t="str">
        <f>VLOOKUP(A74, 'Session Data'!A:AA,24,false)</f>
        <v>lfloresrenteria@sdsu.edu</v>
      </c>
      <c r="AC74" s="34" t="str">
        <f>VLOOKUP(A74, 'Session Data'!A:AA,16,false)</f>
        <v/>
      </c>
      <c r="AD74" s="35" t="str">
        <f>VLOOKUP(A74, 'Session Data'!A:U,17,false)</f>
        <v/>
      </c>
      <c r="AE74" s="35" t="str">
        <f>VLOOKUP(A74, 'Session Data'!A:U,18,false)</f>
        <v/>
      </c>
      <c r="AF74" s="35" t="str">
        <f>VLOOKUP(A74, 'Session Data'!A:U,19,false)</f>
        <v/>
      </c>
      <c r="AG74" s="35" t="str">
        <f>VLOOKUP(A74, 'Session Data'!A:U,20,false)</f>
        <v/>
      </c>
      <c r="AH74" s="35" t="str">
        <f>VLOOKUP(A74, 'Session Data'!A:U,21,false)</f>
        <v/>
      </c>
      <c r="AI74" s="37"/>
      <c r="AJ74" s="37"/>
      <c r="AK74" s="37"/>
      <c r="AL74" s="50"/>
      <c r="AM74" s="34" t="str">
        <f>VLOOKUP(A74, 'Session Data'!A:AA,10,false)</f>
        <v>cmovafagian7855@sdsu.edu</v>
      </c>
      <c r="AN74" s="40"/>
      <c r="AO74" s="38"/>
      <c r="AP74" s="38"/>
      <c r="AQ74" s="38"/>
      <c r="AR74" s="38"/>
      <c r="AS74" s="38"/>
      <c r="AT74" s="38"/>
      <c r="AU74" s="38"/>
      <c r="AV74" s="38"/>
      <c r="AW74" s="38"/>
      <c r="AX74" s="38"/>
      <c r="AY74" s="43"/>
      <c r="AZ74" s="43"/>
      <c r="BA74" s="48"/>
      <c r="BB74" s="48"/>
      <c r="BC74" s="43"/>
      <c r="BD74" s="43"/>
      <c r="BE74" s="44"/>
      <c r="BF74" s="45"/>
      <c r="BG74" s="43"/>
    </row>
    <row r="75">
      <c r="A75" s="19" t="s">
        <v>138</v>
      </c>
      <c r="B75" s="20">
        <f>VLOOKUP(F75,'Session Count DO NOT EDIT'!$A:$C,3,FALSE)</f>
        <v>4</v>
      </c>
      <c r="C75" s="20">
        <f>COUNTIFS('Scores Import DO NOT EDIT'!D:D,A75)</f>
        <v>4</v>
      </c>
      <c r="D75" s="21">
        <f t="shared" si="1"/>
        <v>1</v>
      </c>
      <c r="E75" s="22">
        <f>AVERAGEIFS('Scores Import DO NOT EDIT'!L:L,'Scores Import DO NOT EDIT'!D:D,A75)</f>
        <v>30</v>
      </c>
      <c r="F75" s="23" t="str">
        <f>VLOOKUP(A75, 'Session Data'!A:M,3,false)</f>
        <v>B-3</v>
      </c>
      <c r="G75" s="24" t="str">
        <f>VLOOKUP(A75, 'Session Data'!A:I,2,false)</f>
        <v>11:00 AM</v>
      </c>
      <c r="H75" s="23" t="str">
        <f>VLOOKUP(A75, 'Session Data'!A:J,5,false)</f>
        <v>Biological and Agricultural Sciences</v>
      </c>
      <c r="I75" s="25" t="str">
        <f>VLOOKUP(A75, 'Session Data'!A:H,4,false)</f>
        <v>Oral </v>
      </c>
      <c r="J75" s="26" t="str">
        <f>VLOOKUP(A75, 'Session Data'!A:AA,14,false)</f>
        <v>Undergraduate</v>
      </c>
      <c r="K75" s="27" t="str">
        <f>VLOOKUP(A75, 'Session Data'!A:AA,15,false)</f>
        <v>Sciences</v>
      </c>
      <c r="L75" s="47"/>
      <c r="M75" s="29" t="str">
        <f>VLOOKUP(A75, 'Session Data'!A:K,11,false)</f>
        <v>Bachelor of Science in Microbiology</v>
      </c>
      <c r="N75" s="26" t="str">
        <f>IF(ISNA(VLOOKUP(A75, 'Award Abstract#'!C:C, 1, FALSE)), "No", "Yes")
</f>
        <v>No</v>
      </c>
      <c r="O75" s="29" t="str">
        <f>IF(ISNA(VLOOKUP(A75,'Award Abstract#'!B:B,1,FALSE)), "No", "Yes")</f>
        <v>No</v>
      </c>
      <c r="P75" s="29" t="str">
        <f>IF(ISNA(VLOOKUP(A75,'Award Abstract#'!E:E,1,FALSE)), "No", "Yes")</f>
        <v>No</v>
      </c>
      <c r="Q75" s="29" t="str">
        <f>IF(ISNA(VLOOKUP(A75,'Award Abstract#'!A:A,1,FALSE)), "No", "Yes")</f>
        <v>No</v>
      </c>
      <c r="R75" s="29" t="str">
        <f>IF(ISNA(VLOOKUP(A75,'Award Abstract#'!D:D,1,FALSE)), "No", "Yes")</f>
        <v>No</v>
      </c>
      <c r="S75" s="30" t="str">
        <f>VLOOKUP(A75, 'Session Data'!A:AA,27,false)</f>
        <v>Woman</v>
      </c>
      <c r="T75" s="30"/>
      <c r="U75" s="30"/>
      <c r="V75" s="31" t="str">
        <f>VLOOKUP(A75, 'Session Data'!A:AA,8,false)</f>
        <v>Sama</v>
      </c>
      <c r="W75" s="32" t="str">
        <f>VLOOKUP(A75, 'Session Data'!A:AA,9,false)</f>
        <v>Mikhail</v>
      </c>
      <c r="X75" s="33" t="str">
        <f>VLOOKUP(A75, 'Session Data'!A:AA,12,false)</f>
        <v> Aerobic Activity is Impaired by Vaping</v>
      </c>
      <c r="Y75" s="34" t="str">
        <f>VLOOKUP(A75, 'Session Data'!A:AA,22,false)</f>
        <v>Mark </v>
      </c>
      <c r="Z75" s="34" t="str">
        <f>VLOOKUP(A75, 'Session Data'!A:AA,23,false)</f>
        <v>Sussman</v>
      </c>
      <c r="AA75" s="34" t="str">
        <f>VLOOKUP(A75, 'Session Data'!A:AA,25,false)</f>
        <v>Sciences</v>
      </c>
      <c r="AB75" s="34" t="str">
        <f>VLOOKUP(A75, 'Session Data'!A:AA,24,false)</f>
        <v>heartman4ever@icloud.com</v>
      </c>
      <c r="AC75" s="34" t="str">
        <f>VLOOKUP(A75, 'Session Data'!A:AA,16,false)</f>
        <v/>
      </c>
      <c r="AD75" s="35" t="str">
        <f>VLOOKUP(A75, 'Session Data'!A:U,17,false)</f>
        <v/>
      </c>
      <c r="AE75" s="35" t="str">
        <f>VLOOKUP(A75, 'Session Data'!A:U,18,false)</f>
        <v/>
      </c>
      <c r="AF75" s="35" t="str">
        <f>VLOOKUP(A75, 'Session Data'!A:U,19,false)</f>
        <v/>
      </c>
      <c r="AG75" s="35" t="str">
        <f>VLOOKUP(A75, 'Session Data'!A:U,20,false)</f>
        <v/>
      </c>
      <c r="AH75" s="35" t="str">
        <f>VLOOKUP(A75, 'Session Data'!A:U,21,false)</f>
        <v/>
      </c>
      <c r="AI75" s="37"/>
      <c r="AJ75" s="37"/>
      <c r="AK75" s="37"/>
      <c r="AL75" s="50"/>
      <c r="AM75" s="34" t="str">
        <f>VLOOKUP(A75, 'Session Data'!A:AA,10,false)</f>
        <v>smichael6198@sdsu.edu</v>
      </c>
      <c r="AN75" s="40"/>
      <c r="AO75" s="38"/>
      <c r="AP75" s="38"/>
      <c r="AQ75" s="38"/>
      <c r="AR75" s="38"/>
      <c r="AS75" s="38"/>
      <c r="AT75" s="38"/>
      <c r="AU75" s="38"/>
      <c r="AV75" s="38"/>
      <c r="AW75" s="38"/>
      <c r="AX75" s="38"/>
      <c r="AY75" s="43"/>
      <c r="AZ75" s="43"/>
      <c r="BA75" s="43"/>
      <c r="BB75" s="43"/>
      <c r="BC75" s="43"/>
      <c r="BD75" s="43"/>
      <c r="BE75" s="44"/>
      <c r="BF75" s="45"/>
      <c r="BG75" s="43"/>
    </row>
    <row r="76">
      <c r="A76" s="19" t="s">
        <v>139</v>
      </c>
      <c r="B76" s="20">
        <f>VLOOKUP(F76,'Session Count DO NOT EDIT'!$A:$C,3,FALSE)</f>
        <v>4</v>
      </c>
      <c r="C76" s="20">
        <f>COUNTIFS('Scores Import DO NOT EDIT'!D:D,A76)</f>
        <v>3</v>
      </c>
      <c r="D76" s="21">
        <f t="shared" si="1"/>
        <v>0.75</v>
      </c>
      <c r="E76" s="22">
        <f>AVERAGEIFS('Scores Import DO NOT EDIT'!L:L,'Scores Import DO NOT EDIT'!D:D,A76)</f>
        <v>29.33333333</v>
      </c>
      <c r="F76" s="23" t="str">
        <f>VLOOKUP(A76, 'Session Data'!A:M,3,false)</f>
        <v>B-3</v>
      </c>
      <c r="G76" s="24" t="str">
        <f>VLOOKUP(A76, 'Session Data'!A:I,2,false)</f>
        <v>11:00 AM</v>
      </c>
      <c r="H76" s="23" t="str">
        <f>VLOOKUP(A76, 'Session Data'!A:J,5,false)</f>
        <v>Biological and Agricultural Sciences</v>
      </c>
      <c r="I76" s="25" t="str">
        <f>VLOOKUP(A76, 'Session Data'!A:H,4,false)</f>
        <v>Oral </v>
      </c>
      <c r="J76" s="26" t="str">
        <f>VLOOKUP(A76, 'Session Data'!A:AA,14,false)</f>
        <v>Undergraduate</v>
      </c>
      <c r="K76" s="27" t="str">
        <f>VLOOKUP(A76, 'Session Data'!A:AA,15,false)</f>
        <v>Sciences</v>
      </c>
      <c r="L76" s="28"/>
      <c r="M76" s="29" t="str">
        <f>VLOOKUP(A76, 'Session Data'!A:K,11,false)</f>
        <v>Bachelor in Microbiology</v>
      </c>
      <c r="N76" s="26" t="str">
        <f>IF(ISNA(VLOOKUP(A76, 'Award Abstract#'!C:C, 1, FALSE)), "No", "Yes")
</f>
        <v>No</v>
      </c>
      <c r="O76" s="29" t="str">
        <f>IF(ISNA(VLOOKUP(A76,'Award Abstract#'!B:B,1,FALSE)), "No", "Yes")</f>
        <v>No</v>
      </c>
      <c r="P76" s="29" t="str">
        <f>IF(ISNA(VLOOKUP(A76,'Award Abstract#'!E:E,1,FALSE)), "No", "Yes")</f>
        <v>No</v>
      </c>
      <c r="Q76" s="29" t="str">
        <f>IF(ISNA(VLOOKUP(A76,'Award Abstract#'!A:A,1,FALSE)), "No", "Yes")</f>
        <v>No</v>
      </c>
      <c r="R76" s="29" t="str">
        <f>IF(ISNA(VLOOKUP(A76,'Award Abstract#'!D:D,1,FALSE)), "No", "Yes")</f>
        <v>No</v>
      </c>
      <c r="S76" s="30" t="str">
        <f>VLOOKUP(A76, 'Session Data'!A:AA,27,false)</f>
        <v>Woman</v>
      </c>
      <c r="T76" s="30"/>
      <c r="U76" s="30"/>
      <c r="V76" s="31" t="str">
        <f>VLOOKUP(A76, 'Session Data'!A:AA,8,false)</f>
        <v>Rania</v>
      </c>
      <c r="W76" s="32" t="str">
        <f>VLOOKUP(A76, 'Session Data'!A:AA,9,false)</f>
        <v>Atto</v>
      </c>
      <c r="X76" s="33" t="str">
        <f>VLOOKUP(A76, 'Session Data'!A:AA,12,false)</f>
        <v> Identification and functional analysis of ABC transporters in the planarian Schmidtea mediterranea</v>
      </c>
      <c r="Y76" s="34" t="str">
        <f>VLOOKUP(A76, 'Session Data'!A:AA,22,false)</f>
        <v>Ricardo</v>
      </c>
      <c r="Z76" s="34" t="str">
        <f>VLOOKUP(A76, 'Session Data'!A:AA,23,false)</f>
        <v>Zayas</v>
      </c>
      <c r="AA76" s="34" t="str">
        <f>VLOOKUP(A76, 'Session Data'!A:AA,25,false)</f>
        <v>Sciences</v>
      </c>
      <c r="AB76" s="34" t="str">
        <f>VLOOKUP(A76, 'Session Data'!A:AA,24,false)</f>
        <v>rzayas@sdsu.edu</v>
      </c>
      <c r="AC76" s="34" t="str">
        <f>VLOOKUP(A76, 'Session Data'!A:AA,16,false)</f>
        <v/>
      </c>
      <c r="AD76" s="35" t="str">
        <f>VLOOKUP(A76, 'Session Data'!A:U,17,false)</f>
        <v/>
      </c>
      <c r="AE76" s="35" t="str">
        <f>VLOOKUP(A76, 'Session Data'!A:U,18,false)</f>
        <v/>
      </c>
      <c r="AF76" s="35" t="str">
        <f>VLOOKUP(A76, 'Session Data'!A:U,19,false)</f>
        <v/>
      </c>
      <c r="AG76" s="35" t="str">
        <f>VLOOKUP(A76, 'Session Data'!A:U,20,false)</f>
        <v/>
      </c>
      <c r="AH76" s="35" t="str">
        <f>VLOOKUP(A76, 'Session Data'!A:U,21,false)</f>
        <v/>
      </c>
      <c r="AI76" s="36"/>
      <c r="AJ76" s="38"/>
      <c r="AK76" s="38"/>
      <c r="AL76" s="39"/>
      <c r="AM76" s="34" t="str">
        <f>VLOOKUP(A76, 'Session Data'!A:AA,10,false)</f>
        <v>ratto8236@sdsu.edu</v>
      </c>
      <c r="AN76" s="40"/>
      <c r="AO76" s="38"/>
      <c r="AP76" s="38"/>
      <c r="AQ76" s="38"/>
      <c r="AR76" s="38"/>
      <c r="AS76" s="38"/>
      <c r="AT76" s="38"/>
      <c r="AU76" s="38"/>
      <c r="AV76" s="38"/>
      <c r="AW76" s="38"/>
      <c r="AX76" s="38"/>
      <c r="AY76" s="43"/>
      <c r="AZ76" s="43"/>
      <c r="BA76" s="48"/>
      <c r="BB76" s="48"/>
      <c r="BC76" s="43"/>
      <c r="BD76" s="43"/>
      <c r="BE76" s="44"/>
      <c r="BF76" s="45"/>
      <c r="BG76" s="46"/>
    </row>
    <row r="77">
      <c r="A77" s="19" t="s">
        <v>140</v>
      </c>
      <c r="B77" s="20">
        <f>VLOOKUP(F77,'Session Count DO NOT EDIT'!$A:$C,3,FALSE)</f>
        <v>4</v>
      </c>
      <c r="C77" s="20">
        <f>COUNTIFS('Scores Import DO NOT EDIT'!D:D,A77)</f>
        <v>3</v>
      </c>
      <c r="D77" s="21">
        <f t="shared" si="1"/>
        <v>0.75</v>
      </c>
      <c r="E77" s="22">
        <f>AVERAGEIFS('Scores Import DO NOT EDIT'!L:L,'Scores Import DO NOT EDIT'!D:D,A77)</f>
        <v>29</v>
      </c>
      <c r="F77" s="23" t="str">
        <f>VLOOKUP(A77, 'Session Data'!A:M,3,false)</f>
        <v>B-3</v>
      </c>
      <c r="G77" s="24" t="str">
        <f>VLOOKUP(A77, 'Session Data'!A:I,2,false)</f>
        <v>11:00 AM</v>
      </c>
      <c r="H77" s="23" t="str">
        <f>VLOOKUP(A77, 'Session Data'!A:J,5,false)</f>
        <v>Biological and Agricultural Sciences</v>
      </c>
      <c r="I77" s="25" t="str">
        <f>VLOOKUP(A77, 'Session Data'!A:H,4,false)</f>
        <v>Oral </v>
      </c>
      <c r="J77" s="26" t="str">
        <f>VLOOKUP(A77, 'Session Data'!A:AA,14,false)</f>
        <v>Undergraduate</v>
      </c>
      <c r="K77" s="27" t="str">
        <f>VLOOKUP(A77, 'Session Data'!A:AA,15,false)</f>
        <v>Sciences</v>
      </c>
      <c r="L77" s="28"/>
      <c r="M77" s="29" t="str">
        <f>VLOOKUP(A77, 'Session Data'!A:K,11,false)</f>
        <v>Bachelor of Sciences in Biology</v>
      </c>
      <c r="N77" s="26" t="str">
        <f>IF(ISNA(VLOOKUP(A77, 'Award Abstract#'!C:C, 1, FALSE)), "No", "Yes")
</f>
        <v>No</v>
      </c>
      <c r="O77" s="29" t="str">
        <f>IF(ISNA(VLOOKUP(A77,'Award Abstract#'!B:B,1,FALSE)), "No", "Yes")</f>
        <v>No</v>
      </c>
      <c r="P77" s="29" t="str">
        <f>IF(ISNA(VLOOKUP(A77,'Award Abstract#'!E:E,1,FALSE)), "No", "Yes")</f>
        <v>No</v>
      </c>
      <c r="Q77" s="29" t="str">
        <f>IF(ISNA(VLOOKUP(A77,'Award Abstract#'!A:A,1,FALSE)), "No", "Yes")</f>
        <v>No</v>
      </c>
      <c r="R77" s="29" t="str">
        <f>IF(ISNA(VLOOKUP(A77,'Award Abstract#'!D:D,1,FALSE)), "No", "Yes")</f>
        <v>No</v>
      </c>
      <c r="S77" s="30" t="str">
        <f>VLOOKUP(A77, 'Session Data'!A:AA,27,false)</f>
        <v>Woman</v>
      </c>
      <c r="T77" s="30"/>
      <c r="U77" s="30"/>
      <c r="V77" s="31" t="str">
        <f>VLOOKUP(A77, 'Session Data'!A:AA,8,false)</f>
        <v>Angelyn</v>
      </c>
      <c r="W77" s="32" t="str">
        <f>VLOOKUP(A77, 'Session Data'!A:AA,9,false)</f>
        <v>Solis</v>
      </c>
      <c r="X77" s="33" t="str">
        <f>VLOOKUP(A77, 'Session Data'!A:AA,12,false)</f>
        <v>Stem Cell and Gene Therapy for Friedreich's Ataxia</v>
      </c>
      <c r="Y77" s="34" t="str">
        <f>VLOOKUP(A77, 'Session Data'!A:AA,22,false)</f>
        <v>Anusha</v>
      </c>
      <c r="Z77" s="34" t="str">
        <f>VLOOKUP(A77, 'Session Data'!A:AA,23,false)</f>
        <v>Sivakumar</v>
      </c>
      <c r="AA77" s="34" t="str">
        <f>VLOOKUP(A77, 'Session Data'!A:AA,25,false)</f>
        <v>UCSD</v>
      </c>
      <c r="AB77" s="34" t="str">
        <f>VLOOKUP(A77, 'Session Data'!A:AA,24,false)</f>
        <v>asivakumar@health.ucsd.edu</v>
      </c>
      <c r="AC77" s="34" t="str">
        <f>VLOOKUP(A77, 'Session Data'!A:AA,16,false)</f>
        <v/>
      </c>
      <c r="AD77" s="35" t="str">
        <f>VLOOKUP(A77, 'Session Data'!A:U,17,false)</f>
        <v/>
      </c>
      <c r="AE77" s="35" t="str">
        <f>VLOOKUP(A77, 'Session Data'!A:U,18,false)</f>
        <v/>
      </c>
      <c r="AF77" s="35" t="str">
        <f>VLOOKUP(A77, 'Session Data'!A:U,19,false)</f>
        <v/>
      </c>
      <c r="AG77" s="35" t="str">
        <f>VLOOKUP(A77, 'Session Data'!A:U,20,false)</f>
        <v/>
      </c>
      <c r="AH77" s="35" t="str">
        <f>VLOOKUP(A77, 'Session Data'!A:U,21,false)</f>
        <v/>
      </c>
      <c r="AI77" s="36"/>
      <c r="AJ77" s="38"/>
      <c r="AK77" s="38"/>
      <c r="AL77" s="39"/>
      <c r="AM77" s="34" t="str">
        <f>VLOOKUP(A77, 'Session Data'!A:AA,10,false)</f>
        <v>asolis6010@sdsu.edu</v>
      </c>
      <c r="AN77" s="40"/>
      <c r="AO77" s="38"/>
      <c r="AP77" s="38"/>
      <c r="AQ77" s="38"/>
      <c r="AR77" s="38"/>
      <c r="AS77" s="38"/>
      <c r="AT77" s="38"/>
      <c r="AU77" s="38"/>
      <c r="AV77" s="38"/>
      <c r="AW77" s="38"/>
      <c r="AX77" s="38"/>
      <c r="AY77" s="43"/>
      <c r="AZ77" s="43"/>
      <c r="BA77" s="43"/>
      <c r="BB77" s="43"/>
      <c r="BC77" s="43"/>
      <c r="BD77" s="43"/>
      <c r="BE77" s="44"/>
      <c r="BF77" s="45"/>
      <c r="BG77" s="43"/>
    </row>
    <row r="78">
      <c r="A78" s="19" t="s">
        <v>141</v>
      </c>
      <c r="B78" s="20">
        <f>VLOOKUP(F78,'Session Count DO NOT EDIT'!$A:$C,3,FALSE)</f>
        <v>4</v>
      </c>
      <c r="C78" s="20">
        <f>COUNTIFS('Scores Import DO NOT EDIT'!D:D,A78)</f>
        <v>3</v>
      </c>
      <c r="D78" s="21">
        <f t="shared" si="1"/>
        <v>0.75</v>
      </c>
      <c r="E78" s="22">
        <f>AVERAGEIFS('Scores Import DO NOT EDIT'!L:L,'Scores Import DO NOT EDIT'!D:D,A78)</f>
        <v>28</v>
      </c>
      <c r="F78" s="23" t="str">
        <f>VLOOKUP(A78, 'Session Data'!A:M,3,false)</f>
        <v>B-3</v>
      </c>
      <c r="G78" s="24" t="str">
        <f>VLOOKUP(A78, 'Session Data'!A:I,2,false)</f>
        <v>11:00 AM</v>
      </c>
      <c r="H78" s="23" t="str">
        <f>VLOOKUP(A78, 'Session Data'!A:J,5,false)</f>
        <v>Biological and Agricultural Sciences</v>
      </c>
      <c r="I78" s="25" t="str">
        <f>VLOOKUP(A78, 'Session Data'!A:H,4,false)</f>
        <v>Oral </v>
      </c>
      <c r="J78" s="26" t="str">
        <f>VLOOKUP(A78, 'Session Data'!A:AA,14,false)</f>
        <v>Undergraduate</v>
      </c>
      <c r="K78" s="27" t="str">
        <f>VLOOKUP(A78, 'Session Data'!A:AA,15,false)</f>
        <v>Sciences</v>
      </c>
      <c r="L78" s="47"/>
      <c r="M78" s="29" t="str">
        <f>VLOOKUP(A78, 'Session Data'!A:K,11,false)</f>
        <v>Bachelors of Science in Microbiology with emphasis in CLS and minor in Chemistry</v>
      </c>
      <c r="N78" s="26" t="str">
        <f>IF(ISNA(VLOOKUP(A78, 'Award Abstract#'!C:C, 1, FALSE)), "No", "Yes")
</f>
        <v>No</v>
      </c>
      <c r="O78" s="29" t="str">
        <f>IF(ISNA(VLOOKUP(A78,'Award Abstract#'!B:B,1,FALSE)), "No", "Yes")</f>
        <v>No</v>
      </c>
      <c r="P78" s="29" t="str">
        <f>IF(ISNA(VLOOKUP(A78,'Award Abstract#'!E:E,1,FALSE)), "No", "Yes")</f>
        <v>No</v>
      </c>
      <c r="Q78" s="29" t="str">
        <f>IF(ISNA(VLOOKUP(A78,'Award Abstract#'!A:A,1,FALSE)), "No", "Yes")</f>
        <v>No</v>
      </c>
      <c r="R78" s="29" t="str">
        <f>IF(ISNA(VLOOKUP(A78,'Award Abstract#'!D:D,1,FALSE)), "No", "Yes")</f>
        <v>Yes</v>
      </c>
      <c r="S78" s="30" t="str">
        <f>VLOOKUP(A78, 'Session Data'!A:AA,27,false)</f>
        <v>Woman</v>
      </c>
      <c r="T78" s="30"/>
      <c r="U78" s="30"/>
      <c r="V78" s="31" t="str">
        <f>VLOOKUP(A78, 'Session Data'!A:AA,8,false)</f>
        <v>Shaila</v>
      </c>
      <c r="W78" s="32" t="str">
        <f>VLOOKUP(A78, 'Session Data'!A:AA,9,false)</f>
        <v>Prasad</v>
      </c>
      <c r="X78" s="33" t="str">
        <f>VLOOKUP(A78, 'Session Data'!A:AA,12,false)</f>
        <v>Accurate growth kinetics and biochemical composition characterization enable smart cultivation of nutritious marine Dunaliella salina biomass to enhance space food</v>
      </c>
      <c r="Y78" s="34" t="str">
        <f>VLOOKUP(A78, 'Session Data'!A:AA,22,false)</f>
        <v>Cristal</v>
      </c>
      <c r="Z78" s="34" t="str">
        <f>VLOOKUP(A78, 'Session Data'!A:AA,23,false)</f>
        <v>Zuniga</v>
      </c>
      <c r="AA78" s="34" t="str">
        <f>VLOOKUP(A78, 'Session Data'!A:AA,25,false)</f>
        <v>Sciences</v>
      </c>
      <c r="AB78" s="34" t="str">
        <f>VLOOKUP(A78, 'Session Data'!A:AA,24,false)</f>
        <v>czuniga2@sdsu.edu</v>
      </c>
      <c r="AC78" s="34" t="str">
        <f>VLOOKUP(A78, 'Session Data'!A:AA,16,false)</f>
        <v/>
      </c>
      <c r="AD78" s="35" t="str">
        <f>VLOOKUP(A78, 'Session Data'!A:U,17,false)</f>
        <v/>
      </c>
      <c r="AE78" s="35" t="str">
        <f>VLOOKUP(A78, 'Session Data'!A:U,18,false)</f>
        <v/>
      </c>
      <c r="AF78" s="35" t="str">
        <f>VLOOKUP(A78, 'Session Data'!A:U,19,false)</f>
        <v/>
      </c>
      <c r="AG78" s="35" t="str">
        <f>VLOOKUP(A78, 'Session Data'!A:U,20,false)</f>
        <v/>
      </c>
      <c r="AH78" s="35" t="str">
        <f>VLOOKUP(A78, 'Session Data'!A:U,21,false)</f>
        <v/>
      </c>
      <c r="AI78" s="36"/>
      <c r="AJ78" s="38"/>
      <c r="AK78" s="38"/>
      <c r="AL78" s="39"/>
      <c r="AM78" s="34" t="str">
        <f>VLOOKUP(A78, 'Session Data'!A:AA,10,false)</f>
        <v>sprasad4074@sdsu.edu</v>
      </c>
      <c r="AN78" s="77"/>
      <c r="AO78" s="38"/>
      <c r="AP78" s="38"/>
      <c r="AQ78" s="38"/>
      <c r="AR78" s="38"/>
      <c r="AS78" s="38"/>
      <c r="AT78" s="38"/>
      <c r="AU78" s="38"/>
      <c r="AV78" s="38"/>
      <c r="AW78" s="38"/>
      <c r="AX78" s="38"/>
      <c r="AY78" s="43"/>
      <c r="AZ78" s="43"/>
      <c r="BA78" s="48"/>
      <c r="BB78" s="48"/>
      <c r="BC78" s="43"/>
      <c r="BD78" s="43"/>
      <c r="BE78" s="44"/>
      <c r="BF78" s="45"/>
      <c r="BG78" s="43"/>
    </row>
    <row r="79">
      <c r="A79" s="19" t="s">
        <v>142</v>
      </c>
      <c r="B79" s="20">
        <f>VLOOKUP(F79,'Session Count DO NOT EDIT'!$A:$C,3,FALSE)</f>
        <v>5</v>
      </c>
      <c r="C79" s="20">
        <f>COUNTIFS('Scores Import DO NOT EDIT'!D:D,A79)</f>
        <v>2</v>
      </c>
      <c r="D79" s="21">
        <f t="shared" si="1"/>
        <v>0.4</v>
      </c>
      <c r="E79" s="22">
        <f>AVERAGEIFS('Scores Import DO NOT EDIT'!L:L,'Scores Import DO NOT EDIT'!D:D,A79)</f>
        <v>26</v>
      </c>
      <c r="F79" s="23" t="str">
        <f>VLOOKUP(A79, 'Session Data'!A:M,3,false)</f>
        <v>B-4</v>
      </c>
      <c r="G79" s="24" t="str">
        <f>VLOOKUP(A79, 'Session Data'!A:I,2,false)</f>
        <v>11:00 AM</v>
      </c>
      <c r="H79" s="23" t="str">
        <f>VLOOKUP(A79, 'Session Data'!A:J,5,false)</f>
        <v>Physical and Mathematical Sciences 1</v>
      </c>
      <c r="I79" s="25" t="str">
        <f>VLOOKUP(A79, 'Session Data'!A:H,4,false)</f>
        <v>Oral </v>
      </c>
      <c r="J79" s="26" t="str">
        <f>VLOOKUP(A79, 'Session Data'!A:AA,14,false)</f>
        <v>Undergraduate</v>
      </c>
      <c r="K79" s="27" t="str">
        <f>VLOOKUP(A79, 'Session Data'!A:AA,15,false)</f>
        <v>Sciences</v>
      </c>
      <c r="L79" s="47"/>
      <c r="M79" s="29" t="str">
        <f>VLOOKUP(A79, 'Session Data'!A:K,11,false)</f>
        <v>Bachelor of Science in Chemistry</v>
      </c>
      <c r="N79" s="26" t="str">
        <f>IF(ISNA(VLOOKUP(A79, 'Award Abstract#'!C:C, 1, FALSE)), "No", "Yes")
</f>
        <v>No</v>
      </c>
      <c r="O79" s="29" t="str">
        <f>IF(ISNA(VLOOKUP(A79,'Award Abstract#'!B:B,1,FALSE)), "No", "Yes")</f>
        <v>Yes</v>
      </c>
      <c r="P79" s="29" t="str">
        <f>IF(ISNA(VLOOKUP(A79,'Award Abstract#'!E:E,1,FALSE)), "No", "Yes")</f>
        <v>No</v>
      </c>
      <c r="Q79" s="29" t="str">
        <f>IF(ISNA(VLOOKUP(A79,'Award Abstract#'!A:A,1,FALSE)), "No", "Yes")</f>
        <v>No</v>
      </c>
      <c r="R79" s="29" t="str">
        <f>IF(ISNA(VLOOKUP(A79,'Award Abstract#'!D:D,1,FALSE)), "No", "Yes")</f>
        <v>No</v>
      </c>
      <c r="S79" s="30" t="str">
        <f>VLOOKUP(A79, 'Session Data'!A:AA,27,false)</f>
        <v>Woman</v>
      </c>
      <c r="T79" s="30"/>
      <c r="U79" s="30"/>
      <c r="V79" s="31" t="str">
        <f>VLOOKUP(A79, 'Session Data'!A:AA,8,false)</f>
        <v>Melanie</v>
      </c>
      <c r="W79" s="32" t="str">
        <f>VLOOKUP(A79, 'Session Data'!A:AA,9,false)</f>
        <v>Weed</v>
      </c>
      <c r="X79" s="33" t="str">
        <f>VLOOKUP(A79, 'Session Data'!A:AA,12,false)</f>
        <v>Plastic Wastes Upcycling via Electrocatalytic C-N Coupling Reaction</v>
      </c>
      <c r="Y79" s="34" t="str">
        <f>VLOOKUP(A79, 'Session Data'!A:AA,22,false)</f>
        <v>Jing</v>
      </c>
      <c r="Z79" s="34" t="str">
        <f>VLOOKUP(A79, 'Session Data'!A:AA,23,false)</f>
        <v>Gu</v>
      </c>
      <c r="AA79" s="34" t="str">
        <f>VLOOKUP(A79, 'Session Data'!A:AA,25,false)</f>
        <v>Sciences</v>
      </c>
      <c r="AB79" s="34" t="str">
        <f>VLOOKUP(A79, 'Session Data'!A:AA,24,false)</f>
        <v>jgu@sdsu.edu</v>
      </c>
      <c r="AC79" s="34" t="str">
        <f>VLOOKUP(A79, 'Session Data'!A:AA,16,false)</f>
        <v/>
      </c>
      <c r="AD79" s="35" t="str">
        <f>VLOOKUP(A79, 'Session Data'!A:U,17,false)</f>
        <v/>
      </c>
      <c r="AE79" s="35" t="str">
        <f>VLOOKUP(A79, 'Session Data'!A:U,18,false)</f>
        <v/>
      </c>
      <c r="AF79" s="35" t="str">
        <f>VLOOKUP(A79, 'Session Data'!A:U,19,false)</f>
        <v/>
      </c>
      <c r="AG79" s="35" t="str">
        <f>VLOOKUP(A79, 'Session Data'!A:U,20,false)</f>
        <v/>
      </c>
      <c r="AH79" s="35" t="str">
        <f>VLOOKUP(A79, 'Session Data'!A:U,21,false)</f>
        <v/>
      </c>
      <c r="AI79" s="37"/>
      <c r="AJ79" s="37"/>
      <c r="AK79" s="37"/>
      <c r="AL79" s="50"/>
      <c r="AM79" s="34" t="str">
        <f>VLOOKUP(A79, 'Session Data'!A:AA,10,false)</f>
        <v>mweed7161@sdsu.edu</v>
      </c>
      <c r="AN79" s="40"/>
      <c r="AO79" s="38"/>
      <c r="AP79" s="38"/>
      <c r="AQ79" s="38"/>
      <c r="AR79" s="38"/>
      <c r="AS79" s="38"/>
      <c r="AT79" s="38"/>
      <c r="AU79" s="38"/>
      <c r="AV79" s="38"/>
      <c r="AW79" s="38"/>
      <c r="AX79" s="38"/>
      <c r="AY79" s="43"/>
      <c r="AZ79" s="43"/>
      <c r="BA79" s="48"/>
      <c r="BB79" s="48"/>
      <c r="BC79" s="43"/>
      <c r="BD79" s="43"/>
      <c r="BE79" s="44"/>
      <c r="BF79" s="45"/>
      <c r="BG79" s="43"/>
    </row>
    <row r="80">
      <c r="A80" s="19" t="s">
        <v>143</v>
      </c>
      <c r="B80" s="20">
        <f>VLOOKUP(F80,'Session Count DO NOT EDIT'!$A:$C,3,FALSE)</f>
        <v>5</v>
      </c>
      <c r="C80" s="20">
        <f>COUNTIFS('Scores Import DO NOT EDIT'!D:D,A80)</f>
        <v>2</v>
      </c>
      <c r="D80" s="21">
        <f t="shared" si="1"/>
        <v>0.4</v>
      </c>
      <c r="E80" s="22">
        <f>AVERAGEIFS('Scores Import DO NOT EDIT'!L:L,'Scores Import DO NOT EDIT'!D:D,A80)</f>
        <v>32</v>
      </c>
      <c r="F80" s="23" t="str">
        <f>VLOOKUP(A80, 'Session Data'!A:M,3,false)</f>
        <v>B-4</v>
      </c>
      <c r="G80" s="24" t="str">
        <f>VLOOKUP(A80, 'Session Data'!A:I,2,false)</f>
        <v>11:00 AM</v>
      </c>
      <c r="H80" s="23" t="str">
        <f>VLOOKUP(A80, 'Session Data'!A:J,5,false)</f>
        <v>Physical and Mathematical Sciences 1</v>
      </c>
      <c r="I80" s="25" t="str">
        <f>VLOOKUP(A80, 'Session Data'!A:H,4,false)</f>
        <v>Oral </v>
      </c>
      <c r="J80" s="26" t="str">
        <f>VLOOKUP(A80, 'Session Data'!A:AA,14,false)</f>
        <v>Undergraduate</v>
      </c>
      <c r="K80" s="27" t="str">
        <f>VLOOKUP(A80, 'Session Data'!A:AA,15,false)</f>
        <v>Sciences</v>
      </c>
      <c r="L80" s="28" t="s">
        <v>73</v>
      </c>
      <c r="M80" s="29" t="str">
        <f>VLOOKUP(A80, 'Session Data'!A:K,11,false)</f>
        <v>Biochemistry</v>
      </c>
      <c r="N80" s="26" t="str">
        <f>IF(ISNA(VLOOKUP(A80, 'Award Abstract#'!C:C, 1, FALSE)), "No", "Yes")
</f>
        <v>No</v>
      </c>
      <c r="O80" s="29" t="str">
        <f>IF(ISNA(VLOOKUP(A80,'Award Abstract#'!B:B,1,FALSE)), "No", "Yes")</f>
        <v>No</v>
      </c>
      <c r="P80" s="29" t="str">
        <f>IF(ISNA(VLOOKUP(A80,'Award Abstract#'!E:E,1,FALSE)), "No", "Yes")</f>
        <v>No</v>
      </c>
      <c r="Q80" s="29" t="str">
        <f>IF(ISNA(VLOOKUP(A80,'Award Abstract#'!A:A,1,FALSE)), "No", "Yes")</f>
        <v>No</v>
      </c>
      <c r="R80" s="29" t="str">
        <f>IF(ISNA(VLOOKUP(A80,'Award Abstract#'!D:D,1,FALSE)), "No", "Yes")</f>
        <v>No</v>
      </c>
      <c r="S80" s="30" t="str">
        <f>VLOOKUP(A80, 'Session Data'!A:AA,27,false)</f>
        <v>Woman</v>
      </c>
      <c r="T80" s="30"/>
      <c r="U80" s="30"/>
      <c r="V80" s="31" t="str">
        <f>VLOOKUP(A80, 'Session Data'!A:AA,8,false)</f>
        <v>Molly </v>
      </c>
      <c r="W80" s="32" t="str">
        <f>VLOOKUP(A80, 'Session Data'!A:AA,9,false)</f>
        <v>Hedin</v>
      </c>
      <c r="X80" s="33" t="str">
        <f>VLOOKUP(A80, 'Session Data'!A:AA,12,false)</f>
        <v>An ab initio investigation of the energetic properties of HC3O radicals</v>
      </c>
      <c r="Y80" s="34" t="str">
        <f>VLOOKUP(A80, 'Session Data'!A:AA,22,false)</f>
        <v>Andrew </v>
      </c>
      <c r="Z80" s="34" t="str">
        <f>VLOOKUP(A80, 'Session Data'!A:AA,23,false)</f>
        <v>Cooksy</v>
      </c>
      <c r="AA80" s="34" t="str">
        <f>VLOOKUP(A80, 'Session Data'!A:AA,25,false)</f>
        <v>Sciences</v>
      </c>
      <c r="AB80" s="34" t="str">
        <f>VLOOKUP(A80, 'Session Data'!A:AA,24,false)</f>
        <v>acooksy@sdsu.edu</v>
      </c>
      <c r="AC80" s="34" t="str">
        <f>VLOOKUP(A80, 'Session Data'!A:AA,16,false)</f>
        <v/>
      </c>
      <c r="AD80" s="35" t="str">
        <f>VLOOKUP(A80, 'Session Data'!A:U,17,false)</f>
        <v/>
      </c>
      <c r="AE80" s="35" t="str">
        <f>VLOOKUP(A80, 'Session Data'!A:U,18,false)</f>
        <v/>
      </c>
      <c r="AF80" s="35" t="str">
        <f>VLOOKUP(A80, 'Session Data'!A:U,19,false)</f>
        <v/>
      </c>
      <c r="AG80" s="35" t="str">
        <f>VLOOKUP(A80, 'Session Data'!A:U,20,false)</f>
        <v/>
      </c>
      <c r="AH80" s="35" t="str">
        <f>VLOOKUP(A80, 'Session Data'!A:U,21,false)</f>
        <v/>
      </c>
      <c r="AI80" s="37"/>
      <c r="AJ80" s="37"/>
      <c r="AK80" s="37"/>
      <c r="AL80" s="50"/>
      <c r="AM80" s="34" t="str">
        <f>VLOOKUP(A80, 'Session Data'!A:AA,10,false)</f>
        <v>mhedin4456@sdsu.edu</v>
      </c>
      <c r="AN80" s="40"/>
      <c r="AO80" s="38"/>
      <c r="AP80" s="38"/>
      <c r="AQ80" s="38"/>
      <c r="AR80" s="38"/>
      <c r="AS80" s="38"/>
      <c r="AT80" s="38"/>
      <c r="AU80" s="38"/>
      <c r="AV80" s="38"/>
      <c r="AW80" s="38"/>
      <c r="AX80" s="38"/>
      <c r="AY80" s="43"/>
      <c r="AZ80" s="43"/>
      <c r="BA80" s="48"/>
      <c r="BB80" s="48"/>
      <c r="BC80" s="43"/>
      <c r="BD80" s="43"/>
      <c r="BE80" s="44"/>
      <c r="BF80" s="45"/>
      <c r="BG80" s="46"/>
    </row>
    <row r="81">
      <c r="A81" s="19" t="s">
        <v>144</v>
      </c>
      <c r="B81" s="20">
        <f>VLOOKUP(F81,'Session Count DO NOT EDIT'!$A:$C,3,FALSE)</f>
        <v>5</v>
      </c>
      <c r="C81" s="20">
        <f>COUNTIFS('Scores Import DO NOT EDIT'!D:D,A81)</f>
        <v>2</v>
      </c>
      <c r="D81" s="21">
        <f t="shared" si="1"/>
        <v>0.4</v>
      </c>
      <c r="E81" s="22">
        <f>AVERAGEIFS('Scores Import DO NOT EDIT'!L:L,'Scores Import DO NOT EDIT'!D:D,A81)</f>
        <v>29.5</v>
      </c>
      <c r="F81" s="23" t="str">
        <f>VLOOKUP(A81, 'Session Data'!A:M,3,false)</f>
        <v>B-4</v>
      </c>
      <c r="G81" s="24" t="str">
        <f>VLOOKUP(A81, 'Session Data'!A:I,2,false)</f>
        <v>11:00 AM</v>
      </c>
      <c r="H81" s="23" t="str">
        <f>VLOOKUP(A81, 'Session Data'!A:J,5,false)</f>
        <v>Physical and Mathematical Sciences 1</v>
      </c>
      <c r="I81" s="25" t="str">
        <f>VLOOKUP(A81, 'Session Data'!A:H,4,false)</f>
        <v>Oral </v>
      </c>
      <c r="J81" s="26" t="str">
        <f>VLOOKUP(A81, 'Session Data'!A:AA,14,false)</f>
        <v>Undergraduate</v>
      </c>
      <c r="K81" s="27" t="str">
        <f>VLOOKUP(A81, 'Session Data'!A:AA,15,false)</f>
        <v>Sciences</v>
      </c>
      <c r="L81" s="28"/>
      <c r="M81" s="29" t="str">
        <f>VLOOKUP(A81, 'Session Data'!A:K,11,false)</f>
        <v>Physics</v>
      </c>
      <c r="N81" s="26" t="str">
        <f>IF(ISNA(VLOOKUP(A81, 'Award Abstract#'!C:C, 1, FALSE)), "No", "Yes")
</f>
        <v>No</v>
      </c>
      <c r="O81" s="29" t="str">
        <f>IF(ISNA(VLOOKUP(A81,'Award Abstract#'!B:B,1,FALSE)), "No", "Yes")</f>
        <v>No</v>
      </c>
      <c r="P81" s="29" t="str">
        <f>IF(ISNA(VLOOKUP(A81,'Award Abstract#'!E:E,1,FALSE)), "No", "Yes")</f>
        <v>Yes</v>
      </c>
      <c r="Q81" s="29" t="str">
        <f>IF(ISNA(VLOOKUP(A81,'Award Abstract#'!A:A,1,FALSE)), "No", "Yes")</f>
        <v>No</v>
      </c>
      <c r="R81" s="29" t="str">
        <f>IF(ISNA(VLOOKUP(A81,'Award Abstract#'!D:D,1,FALSE)), "No", "Yes")</f>
        <v>No</v>
      </c>
      <c r="S81" s="30" t="str">
        <f>VLOOKUP(A81, 'Session Data'!A:AA,27,false)</f>
        <v>Woman</v>
      </c>
      <c r="T81" s="30"/>
      <c r="U81" s="30"/>
      <c r="V81" s="31" t="str">
        <f>VLOOKUP(A81, 'Session Data'!A:AA,8,false)</f>
        <v>Faith</v>
      </c>
      <c r="W81" s="32" t="str">
        <f>VLOOKUP(A81, 'Session Data'!A:AA,9,false)</f>
        <v>Poutoa</v>
      </c>
      <c r="X81" s="33" t="str">
        <f>VLOOKUP(A81, 'Session Data'!A:AA,12,false)</f>
        <v>Developing a Long-Range Optical Oil Spill Detector Using Fluorescence</v>
      </c>
      <c r="Y81" s="34" t="str">
        <f>VLOOKUP(A81, 'Session Data'!A:AA,22,false)</f>
        <v>Matthew</v>
      </c>
      <c r="Z81" s="34" t="str">
        <f>VLOOKUP(A81, 'Session Data'!A:AA,23,false)</f>
        <v>Anderson</v>
      </c>
      <c r="AA81" s="34" t="str">
        <f>VLOOKUP(A81, 'Session Data'!A:AA,25,false)</f>
        <v>Sciences</v>
      </c>
      <c r="AB81" s="34" t="str">
        <f>VLOOKUP(A81, 'Session Data'!A:AA,24,false)</f>
        <v>manderson@sdsu.edu</v>
      </c>
      <c r="AC81" s="34" t="str">
        <f>VLOOKUP(A81, 'Session Data'!A:AA,16,false)</f>
        <v/>
      </c>
      <c r="AD81" s="35" t="str">
        <f>VLOOKUP(A81, 'Session Data'!A:U,17,false)</f>
        <v/>
      </c>
      <c r="AE81" s="35" t="str">
        <f>VLOOKUP(A81, 'Session Data'!A:U,18,false)</f>
        <v/>
      </c>
      <c r="AF81" s="35" t="str">
        <f>VLOOKUP(A81, 'Session Data'!A:U,19,false)</f>
        <v/>
      </c>
      <c r="AG81" s="35" t="str">
        <f>VLOOKUP(A81, 'Session Data'!A:U,20,false)</f>
        <v/>
      </c>
      <c r="AH81" s="35" t="str">
        <f>VLOOKUP(A81, 'Session Data'!A:U,21,false)</f>
        <v/>
      </c>
      <c r="AI81" s="37"/>
      <c r="AJ81" s="37"/>
      <c r="AK81" s="37"/>
      <c r="AL81" s="50"/>
      <c r="AM81" s="34" t="str">
        <f>VLOOKUP(A81, 'Session Data'!A:AA,10,false)</f>
        <v>fpoutoa0822@sdsu.edu</v>
      </c>
      <c r="AN81" s="40"/>
      <c r="AO81" s="38"/>
      <c r="AP81" s="38"/>
      <c r="AQ81" s="38"/>
      <c r="AR81" s="38"/>
      <c r="AS81" s="38"/>
      <c r="AT81" s="38"/>
      <c r="AU81" s="38"/>
      <c r="AV81" s="38"/>
      <c r="AW81" s="38"/>
      <c r="AX81" s="38"/>
      <c r="AY81" s="43"/>
      <c r="AZ81" s="43"/>
      <c r="BA81" s="48"/>
      <c r="BB81" s="48"/>
      <c r="BC81" s="43"/>
      <c r="BD81" s="43"/>
      <c r="BE81" s="44"/>
      <c r="BF81" s="45"/>
      <c r="BG81" s="43"/>
    </row>
    <row r="82">
      <c r="A82" s="19" t="s">
        <v>145</v>
      </c>
      <c r="B82" s="20">
        <f>VLOOKUP(F82,'Session Count DO NOT EDIT'!$A:$C,3,FALSE)</f>
        <v>5</v>
      </c>
      <c r="C82" s="20">
        <f>COUNTIFS('Scores Import DO NOT EDIT'!D:D,A82)</f>
        <v>2</v>
      </c>
      <c r="D82" s="21">
        <f t="shared" si="1"/>
        <v>0.4</v>
      </c>
      <c r="E82" s="22">
        <f>AVERAGEIFS('Scores Import DO NOT EDIT'!L:L,'Scores Import DO NOT EDIT'!D:D,A82)</f>
        <v>27</v>
      </c>
      <c r="F82" s="23" t="str">
        <f>VLOOKUP(A82, 'Session Data'!A:M,3,false)</f>
        <v>B-4</v>
      </c>
      <c r="G82" s="24" t="str">
        <f>VLOOKUP(A82, 'Session Data'!A:I,2,false)</f>
        <v>11:00 AM</v>
      </c>
      <c r="H82" s="23" t="str">
        <f>VLOOKUP(A82, 'Session Data'!A:J,5,false)</f>
        <v>Physical and Mathematical Sciences 1</v>
      </c>
      <c r="I82" s="25" t="str">
        <f>VLOOKUP(A82, 'Session Data'!A:H,4,false)</f>
        <v>Oral </v>
      </c>
      <c r="J82" s="26" t="str">
        <f>VLOOKUP(A82, 'Session Data'!A:AA,14,false)</f>
        <v>Undergraduate</v>
      </c>
      <c r="K82" s="27" t="str">
        <f>VLOOKUP(A82, 'Session Data'!A:AA,15,false)</f>
        <v>Sciences</v>
      </c>
      <c r="L82" s="28"/>
      <c r="M82" s="29" t="str">
        <f>VLOOKUP(A82, 'Session Data'!A:K,11,false)</f>
        <v>Bachelors of Science/Physics</v>
      </c>
      <c r="N82" s="26" t="str">
        <f>IF(ISNA(VLOOKUP(A82, 'Award Abstract#'!C:C, 1, FALSE)), "No", "Yes")
</f>
        <v>No</v>
      </c>
      <c r="O82" s="29" t="str">
        <f>IF(ISNA(VLOOKUP(A82,'Award Abstract#'!B:B,1,FALSE)), "No", "Yes")</f>
        <v>No</v>
      </c>
      <c r="P82" s="29" t="str">
        <f>IF(ISNA(VLOOKUP(A82,'Award Abstract#'!E:E,1,FALSE)), "No", "Yes")</f>
        <v>No</v>
      </c>
      <c r="Q82" s="29" t="str">
        <f>IF(ISNA(VLOOKUP(A82,'Award Abstract#'!A:A,1,FALSE)), "No", "Yes")</f>
        <v>No</v>
      </c>
      <c r="R82" s="29" t="str">
        <f>IF(ISNA(VLOOKUP(A82,'Award Abstract#'!D:D,1,FALSE)), "No", "Yes")</f>
        <v>No</v>
      </c>
      <c r="S82" s="30" t="str">
        <f>VLOOKUP(A82, 'Session Data'!A:AA,27,false)</f>
        <v>Woman</v>
      </c>
      <c r="T82" s="30"/>
      <c r="U82" s="30"/>
      <c r="V82" s="31" t="str">
        <f>VLOOKUP(A82, 'Session Data'!A:AA,8,false)</f>
        <v>Jennifer</v>
      </c>
      <c r="W82" s="32" t="str">
        <f>VLOOKUP(A82, 'Session Data'!A:AA,9,false)</f>
        <v>Brumley</v>
      </c>
      <c r="X82" s="33" t="str">
        <f>VLOOKUP(A82, 'Session Data'!A:AA,12,false)</f>
        <v>Plasmonics and hBN</v>
      </c>
      <c r="Y82" s="34" t="str">
        <f>VLOOKUP(A82, 'Session Data'!A:AA,22,false)</f>
        <v>Sanjay</v>
      </c>
      <c r="Z82" s="34" t="str">
        <f>VLOOKUP(A82, 'Session Data'!A:AA,23,false)</f>
        <v>Behura</v>
      </c>
      <c r="AA82" s="34" t="str">
        <f>VLOOKUP(A82, 'Session Data'!A:AA,25,false)</f>
        <v>Sciences</v>
      </c>
      <c r="AB82" s="34" t="str">
        <f>VLOOKUP(A82, 'Session Data'!A:AA,24,false)</f>
        <v>sbehura@sdsu.edu</v>
      </c>
      <c r="AC82" s="34" t="str">
        <f>VLOOKUP(A82, 'Session Data'!A:AA,16,false)</f>
        <v/>
      </c>
      <c r="AD82" s="35" t="str">
        <f>VLOOKUP(A82, 'Session Data'!A:U,17,false)</f>
        <v/>
      </c>
      <c r="AE82" s="35" t="str">
        <f>VLOOKUP(A82, 'Session Data'!A:U,18,false)</f>
        <v/>
      </c>
      <c r="AF82" s="35" t="str">
        <f>VLOOKUP(A82, 'Session Data'!A:U,19,false)</f>
        <v/>
      </c>
      <c r="AG82" s="35" t="str">
        <f>VLOOKUP(A82, 'Session Data'!A:U,20,false)</f>
        <v/>
      </c>
      <c r="AH82" s="35" t="str">
        <f>VLOOKUP(A82, 'Session Data'!A:U,21,false)</f>
        <v/>
      </c>
      <c r="AI82" s="36"/>
      <c r="AJ82" s="38"/>
      <c r="AK82" s="38"/>
      <c r="AL82" s="39"/>
      <c r="AM82" s="34" t="str">
        <f>VLOOKUP(A82, 'Session Data'!A:AA,10,false)</f>
        <v>jbrumley1134@sdsu.edu</v>
      </c>
      <c r="AN82" s="40"/>
      <c r="AO82" s="38"/>
      <c r="AP82" s="38"/>
      <c r="AQ82" s="38"/>
      <c r="AR82" s="38"/>
      <c r="AS82" s="38"/>
      <c r="AT82" s="38"/>
      <c r="AU82" s="38"/>
      <c r="AV82" s="38"/>
      <c r="AW82" s="38"/>
      <c r="AX82" s="38"/>
      <c r="AY82" s="43"/>
      <c r="AZ82" s="43"/>
      <c r="BA82" s="43"/>
      <c r="BB82" s="43"/>
      <c r="BC82" s="43"/>
      <c r="BD82" s="43"/>
      <c r="BE82" s="44"/>
      <c r="BF82" s="45"/>
      <c r="BG82" s="43"/>
    </row>
    <row r="83">
      <c r="A83" s="19" t="s">
        <v>146</v>
      </c>
      <c r="B83" s="20">
        <f>VLOOKUP(F83,'Session Count DO NOT EDIT'!$A:$C,3,FALSE)</f>
        <v>5</v>
      </c>
      <c r="C83" s="20">
        <f>COUNTIFS('Scores Import DO NOT EDIT'!D:D,A83)</f>
        <v>2</v>
      </c>
      <c r="D83" s="21">
        <f t="shared" si="1"/>
        <v>0.4</v>
      </c>
      <c r="E83" s="22">
        <f>AVERAGEIFS('Scores Import DO NOT EDIT'!L:L,'Scores Import DO NOT EDIT'!D:D,A83)</f>
        <v>27.5</v>
      </c>
      <c r="F83" s="23" t="str">
        <f>VLOOKUP(A83, 'Session Data'!A:M,3,false)</f>
        <v>B-5</v>
      </c>
      <c r="G83" s="24" t="str">
        <f>VLOOKUP(A83, 'Session Data'!A:I,2,false)</f>
        <v>11:00 AM</v>
      </c>
      <c r="H83" s="23" t="str">
        <f>VLOOKUP(A83, 'Session Data'!A:J,5,false)</f>
        <v>Behavioral and Social Sciences</v>
      </c>
      <c r="I83" s="25" t="str">
        <f>VLOOKUP(A83, 'Session Data'!A:H,4,false)</f>
        <v>Oral </v>
      </c>
      <c r="J83" s="26" t="str">
        <f>VLOOKUP(A83, 'Session Data'!A:AA,14,false)</f>
        <v>Master's</v>
      </c>
      <c r="K83" s="27" t="str">
        <f>VLOOKUP(A83, 'Session Data'!A:AA,15,false)</f>
        <v>Sciences</v>
      </c>
      <c r="L83" s="47"/>
      <c r="M83" s="29" t="str">
        <f>VLOOKUP(A83, 'Session Data'!A:K,11,false)</f>
        <v>M.A in Psychology </v>
      </c>
      <c r="N83" s="26" t="str">
        <f>IF(ISNA(VLOOKUP(A83, 'Award Abstract#'!C:C, 1, FALSE)), "No", "Yes")
</f>
        <v>No</v>
      </c>
      <c r="O83" s="29" t="str">
        <f>IF(ISNA(VLOOKUP(A83,'Award Abstract#'!B:B,1,FALSE)), "No", "Yes")</f>
        <v>Yes</v>
      </c>
      <c r="P83" s="29" t="str">
        <f>IF(ISNA(VLOOKUP(A83,'Award Abstract#'!E:E,1,FALSE)), "No", "Yes")</f>
        <v>No</v>
      </c>
      <c r="Q83" s="29" t="str">
        <f>IF(ISNA(VLOOKUP(A83,'Award Abstract#'!A:A,1,FALSE)), "No", "Yes")</f>
        <v>No</v>
      </c>
      <c r="R83" s="29" t="str">
        <f>IF(ISNA(VLOOKUP(A83,'Award Abstract#'!D:D,1,FALSE)), "No", "Yes")</f>
        <v>Yes</v>
      </c>
      <c r="S83" s="30" t="str">
        <f>VLOOKUP(A83, 'Session Data'!A:AA,27,false)</f>
        <v>Woman</v>
      </c>
      <c r="T83" s="30"/>
      <c r="U83" s="30"/>
      <c r="V83" s="31" t="str">
        <f>VLOOKUP(A83, 'Session Data'!A:AA,8,false)</f>
        <v>Adriana</v>
      </c>
      <c r="W83" s="32" t="str">
        <f>VLOOKUP(A83, 'Session Data'!A:AA,9,false)</f>
        <v>Rios</v>
      </c>
      <c r="X83" s="33" t="str">
        <f>VLOOKUP(A83, 'Session Data'!A:AA,12,false)</f>
        <v>From Enumeration to Empowerment: Visualizing and quantifying access to sanitation resources among San Diegans experiencing homelessness </v>
      </c>
      <c r="Y83" s="34" t="str">
        <f>VLOOKUP(A83, 'Session Data'!A:AA,22,false)</f>
        <v>Megan</v>
      </c>
      <c r="Z83" s="34" t="str">
        <f>VLOOKUP(A83, 'Session Data'!A:AA,23,false)</f>
        <v>Welsh Carroll </v>
      </c>
      <c r="AA83" s="34" t="str">
        <f>VLOOKUP(A83, 'Session Data'!A:AA,25,false)</f>
        <v>Professional Studies and Fine Arts</v>
      </c>
      <c r="AB83" s="34"/>
      <c r="AC83" s="34" t="str">
        <f>VLOOKUP(A83, 'Session Data'!A:AA,16,false)</f>
        <v/>
      </c>
      <c r="AD83" s="35" t="str">
        <f>VLOOKUP(A83, 'Session Data'!A:U,17,false)</f>
        <v/>
      </c>
      <c r="AE83" s="35" t="str">
        <f>VLOOKUP(A83, 'Session Data'!A:U,18,false)</f>
        <v/>
      </c>
      <c r="AF83" s="35" t="str">
        <f>VLOOKUP(A83, 'Session Data'!A:U,19,false)</f>
        <v/>
      </c>
      <c r="AG83" s="35" t="str">
        <f>VLOOKUP(A83, 'Session Data'!A:U,20,false)</f>
        <v/>
      </c>
      <c r="AH83" s="35" t="str">
        <f>VLOOKUP(A83, 'Session Data'!A:U,21,false)</f>
        <v/>
      </c>
      <c r="AI83" s="36"/>
      <c r="AJ83" s="38"/>
      <c r="AK83" s="38"/>
      <c r="AL83" s="39"/>
      <c r="AM83" s="34" t="str">
        <f>VLOOKUP(A83, 'Session Data'!A:AA,10,false)</f>
        <v>arios8883@sdsu.edu</v>
      </c>
      <c r="AN83" s="40"/>
      <c r="AO83" s="38"/>
      <c r="AP83" s="51"/>
      <c r="AQ83" s="38"/>
      <c r="AR83" s="38"/>
      <c r="AS83" s="38"/>
      <c r="AT83" s="38"/>
      <c r="AU83" s="38"/>
      <c r="AV83" s="38"/>
      <c r="AW83" s="38"/>
      <c r="AX83" s="38"/>
      <c r="AY83" s="43"/>
      <c r="AZ83" s="43"/>
      <c r="BA83" s="48"/>
      <c r="BB83" s="48"/>
      <c r="BC83" s="43"/>
      <c r="BD83" s="43"/>
      <c r="BE83" s="44"/>
      <c r="BF83" s="45"/>
      <c r="BG83" s="43"/>
    </row>
    <row r="84">
      <c r="A84" s="19" t="s">
        <v>147</v>
      </c>
      <c r="B84" s="20">
        <f>VLOOKUP(F84,'Session Count DO NOT EDIT'!$A:$C,3,FALSE)</f>
        <v>5</v>
      </c>
      <c r="C84" s="20">
        <f>COUNTIFS('Scores Import DO NOT EDIT'!D:D,A84)</f>
        <v>2</v>
      </c>
      <c r="D84" s="21">
        <f t="shared" si="1"/>
        <v>0.4</v>
      </c>
      <c r="E84" s="22">
        <f>AVERAGEIFS('Scores Import DO NOT EDIT'!L:L,'Scores Import DO NOT EDIT'!D:D,A84)</f>
        <v>31</v>
      </c>
      <c r="F84" s="23" t="str">
        <f>VLOOKUP(A84, 'Session Data'!A:M,3,false)</f>
        <v>B-5</v>
      </c>
      <c r="G84" s="24" t="str">
        <f>VLOOKUP(A84, 'Session Data'!A:I,2,false)</f>
        <v>11:00 AM</v>
      </c>
      <c r="H84" s="23" t="str">
        <f>VLOOKUP(A84, 'Session Data'!A:J,5,false)</f>
        <v>Behavioral and Social Sciences</v>
      </c>
      <c r="I84" s="25" t="str">
        <f>VLOOKUP(A84, 'Session Data'!A:H,4,false)</f>
        <v>Oral </v>
      </c>
      <c r="J84" s="26" t="str">
        <f>VLOOKUP(A84, 'Session Data'!A:AA,14,false)</f>
        <v>Doctoral</v>
      </c>
      <c r="K84" s="27" t="str">
        <f>VLOOKUP(A84, 'Session Data'!A:AA,15,false)</f>
        <v>Health and Human Services</v>
      </c>
      <c r="L84" s="47"/>
      <c r="M84" s="29" t="str">
        <f>VLOOKUP(A84, 'Session Data'!A:K,11,false)</f>
        <v>PhD in Language And Communicative Disorders</v>
      </c>
      <c r="N84" s="26" t="str">
        <f>IF(ISNA(VLOOKUP(A84, 'Award Abstract#'!C:C, 1, FALSE)), "No", "Yes")
</f>
        <v>No</v>
      </c>
      <c r="O84" s="29" t="str">
        <f>IF(ISNA(VLOOKUP(A84,'Award Abstract#'!B:B,1,FALSE)), "No", "Yes")</f>
        <v>No</v>
      </c>
      <c r="P84" s="29" t="str">
        <f>IF(ISNA(VLOOKUP(A84,'Award Abstract#'!E:E,1,FALSE)), "No", "Yes")</f>
        <v>No</v>
      </c>
      <c r="Q84" s="29" t="str">
        <f>IF(ISNA(VLOOKUP(A84,'Award Abstract#'!A:A,1,FALSE)), "No", "Yes")</f>
        <v>No</v>
      </c>
      <c r="R84" s="29" t="str">
        <f>IF(ISNA(VLOOKUP(A84,'Award Abstract#'!D:D,1,FALSE)), "No", "Yes")</f>
        <v>No</v>
      </c>
      <c r="S84" s="30" t="str">
        <f>VLOOKUP(A84, 'Session Data'!A:AA,27,false)</f>
        <v>Woman</v>
      </c>
      <c r="T84" s="30"/>
      <c r="U84" s="30"/>
      <c r="V84" s="31" t="str">
        <f>VLOOKUP(A84, 'Session Data'!A:AA,8,false)</f>
        <v>Preeti</v>
      </c>
      <c r="W84" s="32" t="str">
        <f>VLOOKUP(A84, 'Session Data'!A:AA,9,false)</f>
        <v>Rishi</v>
      </c>
      <c r="X84" s="33" t="str">
        <f>VLOOKUP(A84, 'Session Data'!A:AA,12,false)</f>
        <v>Facilitating picture naming in people with aphasia: Not all semantic cues are created equal</v>
      </c>
      <c r="Y84" s="34" t="str">
        <f>VLOOKUP(A84, 'Session Data'!A:AA,22,false)</f>
        <v>Stephanie</v>
      </c>
      <c r="Z84" s="34" t="str">
        <f>VLOOKUP(A84, 'Session Data'!A:AA,23,false)</f>
        <v>Riès</v>
      </c>
      <c r="AA84" s="34" t="str">
        <f>VLOOKUP(A84, 'Session Data'!A:AA,25,false)</f>
        <v>Health and Human Services</v>
      </c>
      <c r="AB84" s="34" t="str">
        <f>VLOOKUP(A84, 'Session Data'!A:AA,24,false)</f>
        <v>sries@sdsu.edu</v>
      </c>
      <c r="AC84" s="34" t="str">
        <f>VLOOKUP(A84, 'Session Data'!A:AA,16,false)</f>
        <v/>
      </c>
      <c r="AD84" s="35" t="str">
        <f>VLOOKUP(A84, 'Session Data'!A:U,17,false)</f>
        <v/>
      </c>
      <c r="AE84" s="35" t="str">
        <f>VLOOKUP(A84, 'Session Data'!A:U,18,false)</f>
        <v/>
      </c>
      <c r="AF84" s="35" t="str">
        <f>VLOOKUP(A84, 'Session Data'!A:U,19,false)</f>
        <v/>
      </c>
      <c r="AG84" s="35" t="str">
        <f>VLOOKUP(A84, 'Session Data'!A:U,20,false)</f>
        <v/>
      </c>
      <c r="AH84" s="35" t="str">
        <f>VLOOKUP(A84, 'Session Data'!A:U,21,false)</f>
        <v/>
      </c>
      <c r="AI84" s="37"/>
      <c r="AJ84" s="37"/>
      <c r="AK84" s="37"/>
      <c r="AL84" s="50"/>
      <c r="AM84" s="34" t="str">
        <f>VLOOKUP(A84, 'Session Data'!A:AA,10,false)</f>
        <v>prishi3933@sdsu.edu</v>
      </c>
      <c r="AN84" s="40"/>
      <c r="AO84" s="38"/>
      <c r="AP84" s="38"/>
      <c r="AQ84" s="51"/>
      <c r="AR84" s="38"/>
      <c r="AS84" s="38"/>
      <c r="AT84" s="38"/>
      <c r="AU84" s="38"/>
      <c r="AV84" s="38"/>
      <c r="AW84" s="38"/>
      <c r="AX84" s="38"/>
      <c r="AY84" s="43"/>
      <c r="AZ84" s="43"/>
      <c r="BA84" s="48"/>
      <c r="BB84" s="48"/>
      <c r="BC84" s="43"/>
      <c r="BD84" s="43"/>
      <c r="BE84" s="44"/>
      <c r="BF84" s="45"/>
      <c r="BG84" s="46"/>
    </row>
    <row r="85">
      <c r="A85" s="19" t="s">
        <v>148</v>
      </c>
      <c r="B85" s="20">
        <f>VLOOKUP(F85,'Session Count DO NOT EDIT'!$A:$C,3,FALSE)</f>
        <v>5</v>
      </c>
      <c r="C85" s="20">
        <f>COUNTIFS('Scores Import DO NOT EDIT'!D:D,A85)</f>
        <v>1</v>
      </c>
      <c r="D85" s="21">
        <f t="shared" si="1"/>
        <v>0.2</v>
      </c>
      <c r="E85" s="22">
        <f>AVERAGEIFS('Scores Import DO NOT EDIT'!L:L,'Scores Import DO NOT EDIT'!D:D,A85)</f>
        <v>30</v>
      </c>
      <c r="F85" s="23" t="str">
        <f>VLOOKUP(A85, 'Session Data'!A:M,3,false)</f>
        <v>B-5</v>
      </c>
      <c r="G85" s="24" t="str">
        <f>VLOOKUP(A85, 'Session Data'!A:I,2,false)</f>
        <v>11:00 AM</v>
      </c>
      <c r="H85" s="23" t="str">
        <f>VLOOKUP(A85, 'Session Data'!A:J,5,false)</f>
        <v>Behavioral and Social Sciences</v>
      </c>
      <c r="I85" s="25" t="str">
        <f>VLOOKUP(A85, 'Session Data'!A:H,4,false)</f>
        <v>Oral </v>
      </c>
      <c r="J85" s="26" t="str">
        <f>VLOOKUP(A85, 'Session Data'!A:AA,14,false)</f>
        <v>Doctoral</v>
      </c>
      <c r="K85" s="27" t="str">
        <f>VLOOKUP(A85, 'Session Data'!A:AA,15,false)</f>
        <v>Education</v>
      </c>
      <c r="L85" s="28"/>
      <c r="M85" s="29" t="str">
        <f>VLOOKUP(A85, 'Session Data'!A:K,11,false)</f>
        <v>Ph.D. in Education with CGU &amp; SDSU</v>
      </c>
      <c r="N85" s="26" t="str">
        <f>IF(ISNA(VLOOKUP(A85, 'Award Abstract#'!C:C, 1, FALSE)), "No", "Yes")
</f>
        <v>No</v>
      </c>
      <c r="O85" s="29" t="str">
        <f>IF(ISNA(VLOOKUP(A85,'Award Abstract#'!B:B,1,FALSE)), "No", "Yes")</f>
        <v>No</v>
      </c>
      <c r="P85" s="29" t="str">
        <f>IF(ISNA(VLOOKUP(A85,'Award Abstract#'!E:E,1,FALSE)), "No", "Yes")</f>
        <v>No</v>
      </c>
      <c r="Q85" s="29" t="str">
        <f>IF(ISNA(VLOOKUP(A85,'Award Abstract#'!A:A,1,FALSE)), "No", "Yes")</f>
        <v>Yes</v>
      </c>
      <c r="R85" s="29" t="str">
        <f>IF(ISNA(VLOOKUP(A85,'Award Abstract#'!D:D,1,FALSE)), "No", "Yes")</f>
        <v>Yes</v>
      </c>
      <c r="S85" s="30" t="str">
        <f>VLOOKUP(A85, 'Session Data'!A:AA,27,false)</f>
        <v>Woman</v>
      </c>
      <c r="T85" s="30"/>
      <c r="U85" s="30"/>
      <c r="V85" s="31" t="str">
        <f>VLOOKUP(A85, 'Session Data'!A:AA,8,false)</f>
        <v>Griselda</v>
      </c>
      <c r="W85" s="32" t="str">
        <f>VLOOKUP(A85, 'Session Data'!A:AA,9,false)</f>
        <v>Paredes</v>
      </c>
      <c r="X85" s="33" t="str">
        <f>VLOOKUP(A85, 'Session Data'!A:AA,12,false)</f>
        <v>Student Leadership: Institutional Agents at Hispanic Serving Institutions</v>
      </c>
      <c r="Y85" s="34" t="str">
        <f>VLOOKUP(A85, 'Session Data'!A:AA,22,false)</f>
        <v>Felisha</v>
      </c>
      <c r="Z85" s="34" t="str">
        <f>VLOOKUP(A85, 'Session Data'!A:AA,23,false)</f>
        <v>Herrera Villarreal</v>
      </c>
      <c r="AA85" s="34" t="str">
        <f>VLOOKUP(A85, 'Session Data'!A:AA,25,false)</f>
        <v>Education</v>
      </c>
      <c r="AB85" s="34" t="str">
        <f>VLOOKUP(A85, 'Session Data'!A:AA,24,false)</f>
        <v>felisha.herrera@sdsu.edu</v>
      </c>
      <c r="AC85" s="34" t="str">
        <f>VLOOKUP(A85, 'Session Data'!A:AA,16,false)</f>
        <v>Melissa Lara</v>
      </c>
      <c r="AD85" s="35" t="str">
        <f>VLOOKUP(A85, 'Session Data'!A:U,17,false)</f>
        <v>Cabrera</v>
      </c>
      <c r="AE85" s="35" t="str">
        <f>VLOOKUP(A85, 'Session Data'!A:U,18,false)</f>
        <v/>
      </c>
      <c r="AF85" s="35" t="str">
        <f>VLOOKUP(A85, 'Session Data'!A:U,19,false)</f>
        <v/>
      </c>
      <c r="AG85" s="35" t="str">
        <f>VLOOKUP(A85, 'Session Data'!A:U,20,false)</f>
        <v/>
      </c>
      <c r="AH85" s="35" t="str">
        <f>VLOOKUP(A85, 'Session Data'!A:U,21,false)</f>
        <v/>
      </c>
      <c r="AI85" s="37"/>
      <c r="AJ85" s="37"/>
      <c r="AK85" s="37"/>
      <c r="AL85" s="50"/>
      <c r="AM85" s="34" t="str">
        <f>VLOOKUP(A85, 'Session Data'!A:AA,10,false)</f>
        <v>gparedes1447@sdsu.edu</v>
      </c>
      <c r="AN85" s="40"/>
      <c r="AO85" s="38"/>
      <c r="AP85" s="38"/>
      <c r="AQ85" s="38"/>
      <c r="AR85" s="38"/>
      <c r="AS85" s="38"/>
      <c r="AT85" s="38"/>
      <c r="AU85" s="38"/>
      <c r="AV85" s="38"/>
      <c r="AW85" s="38"/>
      <c r="AX85" s="38"/>
      <c r="AY85" s="43"/>
      <c r="AZ85" s="43"/>
      <c r="BA85" s="48"/>
      <c r="BB85" s="48"/>
      <c r="BC85" s="43"/>
      <c r="BD85" s="43"/>
      <c r="BE85" s="44"/>
      <c r="BF85" s="45"/>
      <c r="BG85" s="46"/>
    </row>
    <row r="86">
      <c r="A86" s="19" t="s">
        <v>149</v>
      </c>
      <c r="B86" s="20">
        <f>VLOOKUP(F86,'Session Count DO NOT EDIT'!$A:$C,3,FALSE)</f>
        <v>5</v>
      </c>
      <c r="C86" s="20">
        <f>COUNTIFS('Scores Import DO NOT EDIT'!D:D,A86)</f>
        <v>2</v>
      </c>
      <c r="D86" s="21">
        <f t="shared" si="1"/>
        <v>0.4</v>
      </c>
      <c r="E86" s="22">
        <f>AVERAGEIFS('Scores Import DO NOT EDIT'!L:L,'Scores Import DO NOT EDIT'!D:D,A86)</f>
        <v>29</v>
      </c>
      <c r="F86" s="23" t="str">
        <f>VLOOKUP(A86, 'Session Data'!A:M,3,false)</f>
        <v>B-5</v>
      </c>
      <c r="G86" s="24" t="str">
        <f>VLOOKUP(A86, 'Session Data'!A:I,2,false)</f>
        <v>11:00 AM</v>
      </c>
      <c r="H86" s="23" t="str">
        <f>VLOOKUP(A86, 'Session Data'!A:J,5,false)</f>
        <v>Behavioral and Social Sciences</v>
      </c>
      <c r="I86" s="25" t="str">
        <f>VLOOKUP(A86, 'Session Data'!A:H,4,false)</f>
        <v>Oral </v>
      </c>
      <c r="J86" s="26" t="str">
        <f>VLOOKUP(A86, 'Session Data'!A:AA,14,false)</f>
        <v>Master's</v>
      </c>
      <c r="K86" s="27" t="str">
        <f>VLOOKUP(A86, 'Session Data'!A:AA,15,false)</f>
        <v>Sciences</v>
      </c>
      <c r="L86" s="28"/>
      <c r="M86" s="29" t="str">
        <f>VLOOKUP(A86, 'Session Data'!A:K,11,false)</f>
        <v>Masters of Arts in Psychology</v>
      </c>
      <c r="N86" s="26" t="str">
        <f>IF(ISNA(VLOOKUP(A86, 'Award Abstract#'!C:C, 1, FALSE)), "No", "Yes")
</f>
        <v>No</v>
      </c>
      <c r="O86" s="29" t="str">
        <f>IF(ISNA(VLOOKUP(A86,'Award Abstract#'!B:B,1,FALSE)), "No", "Yes")</f>
        <v>No</v>
      </c>
      <c r="P86" s="29" t="str">
        <f>IF(ISNA(VLOOKUP(A86,'Award Abstract#'!E:E,1,FALSE)), "No", "Yes")</f>
        <v>No</v>
      </c>
      <c r="Q86" s="29" t="str">
        <f>IF(ISNA(VLOOKUP(A86,'Award Abstract#'!A:A,1,FALSE)), "No", "Yes")</f>
        <v>No</v>
      </c>
      <c r="R86" s="29" t="str">
        <f>IF(ISNA(VLOOKUP(A86,'Award Abstract#'!D:D,1,FALSE)), "No", "Yes")</f>
        <v>Yes</v>
      </c>
      <c r="S86" s="30" t="str">
        <f>VLOOKUP(A86, 'Session Data'!A:AA,27,false)</f>
        <v>Man</v>
      </c>
      <c r="T86" s="30"/>
      <c r="U86" s="30"/>
      <c r="V86" s="31" t="str">
        <f>VLOOKUP(A86, 'Session Data'!A:AA,8,false)</f>
        <v>Matthew</v>
      </c>
      <c r="W86" s="32" t="str">
        <f>VLOOKUP(A86, 'Session Data'!A:AA,9,false)</f>
        <v>McArthur </v>
      </c>
      <c r="X86" s="33" t="str">
        <f>VLOOKUP(A86, 'Session Data'!A:AA,12,false)</f>
        <v>Caregiver Conflict, Screen Time, and Childcare Challenges: Unraveling The Effects of the Pandemic on Children’s Vocabulary</v>
      </c>
      <c r="Y86" s="34" t="str">
        <f>VLOOKUP(A86, 'Session Data'!A:AA,22,false)</f>
        <v>Margaret </v>
      </c>
      <c r="Z86" s="34" t="str">
        <f>VLOOKUP(A86, 'Session Data'!A:AA,23,false)</f>
        <v>Friend </v>
      </c>
      <c r="AA86" s="34" t="str">
        <f>VLOOKUP(A86, 'Session Data'!A:AA,25,false)</f>
        <v>Sciences</v>
      </c>
      <c r="AB86" s="34"/>
      <c r="AC86" s="34" t="str">
        <f>VLOOKUP(A86, 'Session Data'!A:AA,16,false)</f>
        <v/>
      </c>
      <c r="AD86" s="35" t="str">
        <f>VLOOKUP(A86, 'Session Data'!A:U,17,false)</f>
        <v/>
      </c>
      <c r="AE86" s="35" t="str">
        <f>VLOOKUP(A86, 'Session Data'!A:U,18,false)</f>
        <v/>
      </c>
      <c r="AF86" s="35" t="str">
        <f>VLOOKUP(A86, 'Session Data'!A:U,19,false)</f>
        <v/>
      </c>
      <c r="AG86" s="35" t="str">
        <f>VLOOKUP(A86, 'Session Data'!A:U,20,false)</f>
        <v/>
      </c>
      <c r="AH86" s="35" t="str">
        <f>VLOOKUP(A86, 'Session Data'!A:U,21,false)</f>
        <v/>
      </c>
      <c r="AI86" s="37"/>
      <c r="AJ86" s="37"/>
      <c r="AK86" s="37"/>
      <c r="AL86" s="50"/>
      <c r="AM86" s="34" t="str">
        <f>VLOOKUP(A86, 'Session Data'!A:AA,10,false)</f>
        <v>mmcarthur0659@sdsu.edu</v>
      </c>
      <c r="AN86" s="40"/>
      <c r="AO86" s="38"/>
      <c r="AP86" s="38"/>
      <c r="AQ86" s="38"/>
      <c r="AR86" s="38"/>
      <c r="AS86" s="38"/>
      <c r="AT86" s="38"/>
      <c r="AU86" s="38"/>
      <c r="AV86" s="38"/>
      <c r="AW86" s="38"/>
      <c r="AX86" s="38"/>
      <c r="AY86" s="43"/>
      <c r="AZ86" s="43"/>
      <c r="BA86" s="48"/>
      <c r="BB86" s="48"/>
      <c r="BC86" s="43"/>
      <c r="BD86" s="43"/>
      <c r="BE86" s="44"/>
      <c r="BF86" s="45"/>
      <c r="BG86" s="43"/>
    </row>
    <row r="87">
      <c r="A87" s="19" t="s">
        <v>150</v>
      </c>
      <c r="B87" s="20">
        <f>VLOOKUP(F87,'Session Count DO NOT EDIT'!$A:$C,3,FALSE)</f>
        <v>5</v>
      </c>
      <c r="C87" s="20">
        <f>COUNTIFS('Scores Import DO NOT EDIT'!D:D,A87)</f>
        <v>1</v>
      </c>
      <c r="D87" s="21">
        <f t="shared" si="1"/>
        <v>0.2</v>
      </c>
      <c r="E87" s="22">
        <f>AVERAGEIFS('Scores Import DO NOT EDIT'!L:L,'Scores Import DO NOT EDIT'!D:D,A87)</f>
        <v>28</v>
      </c>
      <c r="F87" s="23" t="str">
        <f>VLOOKUP(A87, 'Session Data'!A:M,3,false)</f>
        <v>B-5</v>
      </c>
      <c r="G87" s="24" t="str">
        <f>VLOOKUP(A87, 'Session Data'!A:I,2,false)</f>
        <v>11:00 AM</v>
      </c>
      <c r="H87" s="23" t="str">
        <f>VLOOKUP(A87, 'Session Data'!A:J,5,false)</f>
        <v>Behavioral and Social Sciences</v>
      </c>
      <c r="I87" s="25" t="str">
        <f>VLOOKUP(A87, 'Session Data'!A:H,4,false)</f>
        <v>Oral </v>
      </c>
      <c r="J87" s="26" t="str">
        <f>VLOOKUP(A87, 'Session Data'!A:AA,14,false)</f>
        <v>Master's</v>
      </c>
      <c r="K87" s="27" t="str">
        <f>VLOOKUP(A87, 'Session Data'!A:AA,15,false)</f>
        <v>Arts and Letters</v>
      </c>
      <c r="L87" s="28"/>
      <c r="M87" s="29" t="str">
        <f>VLOOKUP(A87, 'Session Data'!A:K,11,false)</f>
        <v>Masters of Arts in Anthropology</v>
      </c>
      <c r="N87" s="26" t="str">
        <f>IF(ISNA(VLOOKUP(A87, 'Award Abstract#'!C:C, 1, FALSE)), "No", "Yes")
</f>
        <v>No</v>
      </c>
      <c r="O87" s="29" t="str">
        <f>IF(ISNA(VLOOKUP(A87,'Award Abstract#'!B:B,1,FALSE)), "No", "Yes")</f>
        <v>No</v>
      </c>
      <c r="P87" s="29" t="str">
        <f>IF(ISNA(VLOOKUP(A87,'Award Abstract#'!E:E,1,FALSE)), "No", "Yes")</f>
        <v>No</v>
      </c>
      <c r="Q87" s="29" t="str">
        <f>IF(ISNA(VLOOKUP(A87,'Award Abstract#'!A:A,1,FALSE)), "No", "Yes")</f>
        <v>No</v>
      </c>
      <c r="R87" s="29" t="str">
        <f>IF(ISNA(VLOOKUP(A87,'Award Abstract#'!D:D,1,FALSE)), "No", "Yes")</f>
        <v>No</v>
      </c>
      <c r="S87" s="30" t="str">
        <f>VLOOKUP(A87, 'Session Data'!A:AA,27,false)</f>
        <v>Woman</v>
      </c>
      <c r="T87" s="30"/>
      <c r="U87" s="30"/>
      <c r="V87" s="31" t="str">
        <f>VLOOKUP(A87, 'Session Data'!A:AA,8,false)</f>
        <v>Elena</v>
      </c>
      <c r="W87" s="32" t="str">
        <f>VLOOKUP(A87, 'Session Data'!A:AA,9,false)</f>
        <v>Williams-Moreiras</v>
      </c>
      <c r="X87" s="33" t="str">
        <f>VLOOKUP(A87, 'Session Data'!A:AA,12,false)</f>
        <v>Seed-handling behaviors of the endangered moor macaque (Macaca maura) in Sulawesi, Indonesia</v>
      </c>
      <c r="Y87" s="34" t="str">
        <f>VLOOKUP(A87, 'Session Data'!A:AA,22,false)</f>
        <v>Erin</v>
      </c>
      <c r="Z87" s="34" t="str">
        <f>VLOOKUP(A87, 'Session Data'!A:AA,23,false)</f>
        <v>Riley</v>
      </c>
      <c r="AA87" s="34" t="str">
        <f>VLOOKUP(A87, 'Session Data'!A:AA,25,false)</f>
        <v>Arts and Letters</v>
      </c>
      <c r="AB87" s="34" t="str">
        <f>VLOOKUP(A87, 'Session Data'!A:AA,24,false)</f>
        <v>epriley@sdsu.edu</v>
      </c>
      <c r="AC87" s="34" t="str">
        <f>VLOOKUP(A87, 'Session Data'!A:AA,16,false)</f>
        <v/>
      </c>
      <c r="AD87" s="35" t="str">
        <f>VLOOKUP(A87, 'Session Data'!A:U,17,false)</f>
        <v/>
      </c>
      <c r="AE87" s="35" t="str">
        <f>VLOOKUP(A87, 'Session Data'!A:U,18,false)</f>
        <v/>
      </c>
      <c r="AF87" s="35" t="str">
        <f>VLOOKUP(A87, 'Session Data'!A:U,19,false)</f>
        <v/>
      </c>
      <c r="AG87" s="35" t="str">
        <f>VLOOKUP(A87, 'Session Data'!A:U,20,false)</f>
        <v/>
      </c>
      <c r="AH87" s="35" t="str">
        <f>VLOOKUP(A87, 'Session Data'!A:U,21,false)</f>
        <v/>
      </c>
      <c r="AI87" s="37"/>
      <c r="AJ87" s="37"/>
      <c r="AK87" s="37"/>
      <c r="AL87" s="50"/>
      <c r="AM87" s="34" t="str">
        <f>VLOOKUP(A87, 'Session Data'!A:AA,10,false)</f>
        <v>ewilliamsmorei3790@sdsu.edu</v>
      </c>
      <c r="AN87" s="40"/>
      <c r="AO87" s="38"/>
      <c r="AP87" s="38"/>
      <c r="AQ87" s="38"/>
      <c r="AR87" s="38"/>
      <c r="AS87" s="38"/>
      <c r="AT87" s="38"/>
      <c r="AU87" s="38"/>
      <c r="AV87" s="38"/>
      <c r="AW87" s="38"/>
      <c r="AX87" s="38"/>
      <c r="AY87" s="43"/>
      <c r="AZ87" s="43"/>
      <c r="BA87" s="43"/>
      <c r="BB87" s="43"/>
      <c r="BC87" s="43"/>
      <c r="BD87" s="43"/>
      <c r="BE87" s="44"/>
      <c r="BF87" s="45"/>
      <c r="BG87" s="43"/>
    </row>
    <row r="88">
      <c r="A88" s="19" t="s">
        <v>151</v>
      </c>
      <c r="B88" s="20">
        <f>VLOOKUP(F88,'Session Count DO NOT EDIT'!$A:$C,3,FALSE)</f>
        <v>5</v>
      </c>
      <c r="C88" s="20">
        <f>COUNTIFS('Scores Import DO NOT EDIT'!D:D,A88)</f>
        <v>2</v>
      </c>
      <c r="D88" s="21">
        <f t="shared" si="1"/>
        <v>0.4</v>
      </c>
      <c r="E88" s="22">
        <f>AVERAGEIFS('Scores Import DO NOT EDIT'!L:L,'Scores Import DO NOT EDIT'!D:D,A88)</f>
        <v>23</v>
      </c>
      <c r="F88" s="23" t="str">
        <f>VLOOKUP(A88, 'Session Data'!A:M,3,false)</f>
        <v>B-5</v>
      </c>
      <c r="G88" s="24" t="str">
        <f>VLOOKUP(A88, 'Session Data'!A:I,2,false)</f>
        <v>11:00 AM</v>
      </c>
      <c r="H88" s="23" t="str">
        <f>VLOOKUP(A88, 'Session Data'!A:J,5,false)</f>
        <v>Behavioral and Social Sciences</v>
      </c>
      <c r="I88" s="25" t="str">
        <f>VLOOKUP(A88, 'Session Data'!A:H,4,false)</f>
        <v>Oral </v>
      </c>
      <c r="J88" s="26" t="str">
        <f>VLOOKUP(A88, 'Session Data'!A:AA,14,false)</f>
        <v>Master's</v>
      </c>
      <c r="K88" s="27" t="str">
        <f>VLOOKUP(A88, 'Session Data'!A:AA,15,false)</f>
        <v>Health and Human Services</v>
      </c>
      <c r="L88" s="47"/>
      <c r="M88" s="29" t="str">
        <f>VLOOKUP(A88, 'Session Data'!A:K,11,false)</f>
        <v>Master of Social Work</v>
      </c>
      <c r="N88" s="26" t="str">
        <f>IF(ISNA(VLOOKUP(A88, 'Award Abstract#'!C:C, 1, FALSE)), "No", "Yes")
</f>
        <v>No</v>
      </c>
      <c r="O88" s="29" t="str">
        <f>IF(ISNA(VLOOKUP(A88,'Award Abstract#'!B:B,1,FALSE)), "No", "Yes")</f>
        <v>No</v>
      </c>
      <c r="P88" s="29" t="str">
        <f>IF(ISNA(VLOOKUP(A88,'Award Abstract#'!E:E,1,FALSE)), "No", "Yes")</f>
        <v>No</v>
      </c>
      <c r="Q88" s="29" t="str">
        <f>IF(ISNA(VLOOKUP(A88,'Award Abstract#'!A:A,1,FALSE)), "No", "Yes")</f>
        <v>No</v>
      </c>
      <c r="R88" s="29" t="str">
        <f>IF(ISNA(VLOOKUP(A88,'Award Abstract#'!D:D,1,FALSE)), "No", "Yes")</f>
        <v>No</v>
      </c>
      <c r="S88" s="30" t="str">
        <f>VLOOKUP(A88, 'Session Data'!A:AA,27,false)</f>
        <v>Woman</v>
      </c>
      <c r="T88" s="30"/>
      <c r="U88" s="30"/>
      <c r="V88" s="31" t="str">
        <f>VLOOKUP(A88, 'Session Data'!A:AA,8,false)</f>
        <v>Anna</v>
      </c>
      <c r="W88" s="32" t="str">
        <f>VLOOKUP(A88, 'Session Data'!A:AA,9,false)</f>
        <v>Disser</v>
      </c>
      <c r="X88" s="33" t="str">
        <f>VLOOKUP(A88, 'Session Data'!A:AA,12,false)</f>
        <v>Where Are They Now? Reflections of Former Diverted Youth</v>
      </c>
      <c r="Y88" s="34" t="str">
        <f>VLOOKUP(A88, 'Session Data'!A:AA,22,false)</f>
        <v>Adrianne</v>
      </c>
      <c r="Z88" s="34" t="str">
        <f>VLOOKUP(A88, 'Session Data'!A:AA,23,false)</f>
        <v>Keeney</v>
      </c>
      <c r="AA88" s="34" t="str">
        <f>VLOOKUP(A88, 'Session Data'!A:AA,25,false)</f>
        <v>Health and Human Services</v>
      </c>
      <c r="AB88" s="34" t="str">
        <f>VLOOKUP(A88, 'Session Data'!A:AA,24,false)</f>
        <v>akeeney@sdsu.edu</v>
      </c>
      <c r="AC88" s="34" t="str">
        <f>VLOOKUP(A88, 'Session Data'!A:AA,16,false)</f>
        <v/>
      </c>
      <c r="AD88" s="35" t="str">
        <f>VLOOKUP(A88, 'Session Data'!A:U,17,false)</f>
        <v/>
      </c>
      <c r="AE88" s="35" t="str">
        <f>VLOOKUP(A88, 'Session Data'!A:U,18,false)</f>
        <v/>
      </c>
      <c r="AF88" s="35" t="str">
        <f>VLOOKUP(A88, 'Session Data'!A:U,19,false)</f>
        <v/>
      </c>
      <c r="AG88" s="35" t="str">
        <f>VLOOKUP(A88, 'Session Data'!A:U,20,false)</f>
        <v/>
      </c>
      <c r="AH88" s="35" t="str">
        <f>VLOOKUP(A88, 'Session Data'!A:U,21,false)</f>
        <v/>
      </c>
      <c r="AI88" s="37"/>
      <c r="AJ88" s="37"/>
      <c r="AK88" s="37"/>
      <c r="AL88" s="50"/>
      <c r="AM88" s="34" t="str">
        <f>VLOOKUP(A88, 'Session Data'!A:AA,10,false)</f>
        <v>adisser5982@sdsu.edu</v>
      </c>
      <c r="AN88" s="40"/>
      <c r="AO88" s="38"/>
      <c r="AP88" s="38"/>
      <c r="AQ88" s="38"/>
      <c r="AR88" s="38"/>
      <c r="AS88" s="38"/>
      <c r="AT88" s="38"/>
      <c r="AU88" s="38"/>
      <c r="AV88" s="38"/>
      <c r="AW88" s="38"/>
      <c r="AX88" s="38"/>
      <c r="AY88" s="43"/>
      <c r="AZ88" s="43"/>
      <c r="BA88" s="43"/>
      <c r="BB88" s="43"/>
      <c r="BC88" s="43"/>
      <c r="BD88" s="43"/>
      <c r="BE88" s="44"/>
      <c r="BF88" s="45"/>
      <c r="BG88" s="43"/>
    </row>
    <row r="89">
      <c r="A89" s="78" t="s">
        <v>152</v>
      </c>
      <c r="B89" s="20">
        <f>VLOOKUP(F89,'Session Count DO NOT EDIT'!$A:$C,3,FALSE)</f>
        <v>5</v>
      </c>
      <c r="C89" s="20">
        <f>COUNTIFS('Scores Import DO NOT EDIT'!D:D,A89)</f>
        <v>0</v>
      </c>
      <c r="D89" s="21">
        <f t="shared" si="1"/>
        <v>0</v>
      </c>
      <c r="E89" s="22" t="str">
        <f>AVERAGEIFS('Scores Import DO NOT EDIT'!L:L,'Scores Import DO NOT EDIT'!D:D,A89)</f>
        <v>#DIV/0!</v>
      </c>
      <c r="F89" s="23" t="str">
        <f>VLOOKUP(A89, 'Session Data'!A:M,3,false)</f>
        <v>B-6</v>
      </c>
      <c r="G89" s="24" t="str">
        <f>VLOOKUP(A89, 'Session Data'!A:I,2,false)</f>
        <v>11:00 AM</v>
      </c>
      <c r="H89" s="23" t="str">
        <f>VLOOKUP(A89, 'Session Data'!A:J,5,false)</f>
        <v>Biological and Agricultural Sciences</v>
      </c>
      <c r="I89" s="25" t="str">
        <f>VLOOKUP(A89, 'Session Data'!A:H,4,false)</f>
        <v>Oral </v>
      </c>
      <c r="J89" s="26" t="str">
        <f>VLOOKUP(A89, 'Session Data'!A:AA,14,false)</f>
        <v>Master's</v>
      </c>
      <c r="K89" s="27" t="str">
        <f>VLOOKUP(A89, 'Session Data'!A:AA,15,false)</f>
        <v>Arts and Letters</v>
      </c>
      <c r="L89" s="47"/>
      <c r="M89" s="29" t="str">
        <f>VLOOKUP(A89, 'Session Data'!A:K,11,false)</f>
        <v>Masters of Arts in History </v>
      </c>
      <c r="N89" s="26" t="str">
        <f>IF(ISNA(VLOOKUP(A89, 'Award Abstract#'!C:C, 1, FALSE)), "No", "Yes")
</f>
        <v>No</v>
      </c>
      <c r="O89" s="29" t="str">
        <f>IF(ISNA(VLOOKUP(A89,'Award Abstract#'!B:B,1,FALSE)), "No", "Yes")</f>
        <v>No</v>
      </c>
      <c r="P89" s="29" t="str">
        <f>IF(ISNA(VLOOKUP(A89,'Award Abstract#'!E:E,1,FALSE)), "No", "Yes")</f>
        <v>No</v>
      </c>
      <c r="Q89" s="29" t="str">
        <f>IF(ISNA(VLOOKUP(A89,'Award Abstract#'!A:A,1,FALSE)), "No", "Yes")</f>
        <v>No</v>
      </c>
      <c r="R89" s="29" t="str">
        <f>IF(ISNA(VLOOKUP(A89,'Award Abstract#'!D:D,1,FALSE)), "No", "Yes")</f>
        <v>No</v>
      </c>
      <c r="S89" s="30" t="str">
        <f>VLOOKUP(A89, 'Session Data'!A:AA,27,false)</f>
        <v>Man</v>
      </c>
      <c r="T89" s="30"/>
      <c r="U89" s="30"/>
      <c r="V89" s="31" t="str">
        <f>VLOOKUP(A89, 'Session Data'!A:AA,8,false)</f>
        <v>Maximus</v>
      </c>
      <c r="W89" s="32" t="str">
        <f>VLOOKUP(A89, 'Session Data'!A:AA,9,false)</f>
        <v>Miesner</v>
      </c>
      <c r="X89" s="33" t="str">
        <f>VLOOKUP(A89, 'Session Data'!A:AA,12,false)</f>
        <v>“What’s My Age Again ?”: Masculinity in blink-182’s Pop-Punk</v>
      </c>
      <c r="Y89" s="34" t="str">
        <f>VLOOKUP(A89, 'Session Data'!A:AA,22,false)</f>
        <v>David</v>
      </c>
      <c r="Z89" s="34" t="str">
        <f>VLOOKUP(A89, 'Session Data'!A:AA,23,false)</f>
        <v>Cline</v>
      </c>
      <c r="AA89" s="34" t="str">
        <f>VLOOKUP(A89, 'Session Data'!A:AA,25,false)</f>
        <v>Arts and Letters</v>
      </c>
      <c r="AB89" s="34" t="str">
        <f>VLOOKUP(A89, 'Session Data'!A:AA,24,false)</f>
        <v>dpcline@sdsu.edu</v>
      </c>
      <c r="AC89" s="34" t="str">
        <f>VLOOKUP(A89, 'Session Data'!A:AA,16,false)</f>
        <v/>
      </c>
      <c r="AD89" s="35" t="str">
        <f>VLOOKUP(A89, 'Session Data'!A:U,17,false)</f>
        <v/>
      </c>
      <c r="AE89" s="35" t="str">
        <f>VLOOKUP(A89, 'Session Data'!A:U,18,false)</f>
        <v/>
      </c>
      <c r="AF89" s="35" t="str">
        <f>VLOOKUP(A89, 'Session Data'!A:U,19,false)</f>
        <v/>
      </c>
      <c r="AG89" s="35" t="str">
        <f>VLOOKUP(A89, 'Session Data'!A:U,20,false)</f>
        <v/>
      </c>
      <c r="AH89" s="35" t="str">
        <f>VLOOKUP(A89, 'Session Data'!A:U,21,false)</f>
        <v/>
      </c>
      <c r="AI89" s="37"/>
      <c r="AJ89" s="37"/>
      <c r="AK89" s="37"/>
      <c r="AL89" s="50"/>
      <c r="AM89" s="34" t="str">
        <f>VLOOKUP(A89, 'Session Data'!A:AA,10,false)</f>
        <v>mmiesner8009@sdsu.edu</v>
      </c>
      <c r="AN89" s="40"/>
      <c r="AO89" s="38"/>
      <c r="AP89" s="38"/>
      <c r="AQ89" s="38"/>
      <c r="AR89" s="38"/>
      <c r="AS89" s="38"/>
      <c r="AT89" s="38"/>
      <c r="AU89" s="38"/>
      <c r="AV89" s="38"/>
      <c r="AW89" s="38"/>
      <c r="AX89" s="38"/>
      <c r="AY89" s="43"/>
      <c r="AZ89" s="43"/>
      <c r="BA89" s="43"/>
      <c r="BB89" s="43"/>
      <c r="BC89" s="43"/>
      <c r="BD89" s="43"/>
      <c r="BE89" s="44"/>
      <c r="BF89" s="45"/>
      <c r="BG89" s="43"/>
    </row>
    <row r="90">
      <c r="A90" s="19" t="s">
        <v>153</v>
      </c>
      <c r="B90" s="20">
        <f>VLOOKUP(F90,'Session Count DO NOT EDIT'!$A:$C,3,FALSE)</f>
        <v>5</v>
      </c>
      <c r="C90" s="20">
        <f>COUNTIFS('Scores Import DO NOT EDIT'!D:D,A90)</f>
        <v>4</v>
      </c>
      <c r="D90" s="21">
        <f t="shared" si="1"/>
        <v>0.8</v>
      </c>
      <c r="E90" s="22">
        <f>AVERAGEIFS('Scores Import DO NOT EDIT'!L:L,'Scores Import DO NOT EDIT'!D:D,A90)</f>
        <v>29.25</v>
      </c>
      <c r="F90" s="23" t="str">
        <f>VLOOKUP(A90, 'Session Data'!A:M,3,false)</f>
        <v>B-6</v>
      </c>
      <c r="G90" s="24" t="str">
        <f>VLOOKUP(A90, 'Session Data'!A:I,2,false)</f>
        <v>11:00 AM</v>
      </c>
      <c r="H90" s="23" t="str">
        <f>VLOOKUP(A90, 'Session Data'!A:J,5,false)</f>
        <v>Biological and Agricultural Sciences</v>
      </c>
      <c r="I90" s="25" t="str">
        <f>VLOOKUP(A90, 'Session Data'!A:H,4,false)</f>
        <v>Oral </v>
      </c>
      <c r="J90" s="26" t="str">
        <f>VLOOKUP(A90, 'Session Data'!A:AA,14,false)</f>
        <v>Master's</v>
      </c>
      <c r="K90" s="27" t="str">
        <f>VLOOKUP(A90, 'Session Data'!A:AA,15,false)</f>
        <v>Sciences</v>
      </c>
      <c r="L90" s="47"/>
      <c r="M90" s="29" t="str">
        <f>VLOOKUP(A90, 'Session Data'!A:K,11,false)</f>
        <v>MS in Chemistry</v>
      </c>
      <c r="N90" s="26" t="str">
        <f>IF(ISNA(VLOOKUP(A90, 'Award Abstract#'!C:C, 1, FALSE)), "No", "Yes")
</f>
        <v>No</v>
      </c>
      <c r="O90" s="29" t="str">
        <f>IF(ISNA(VLOOKUP(A90,'Award Abstract#'!B:B,1,FALSE)), "No", "Yes")</f>
        <v>No</v>
      </c>
      <c r="P90" s="29" t="str">
        <f>IF(ISNA(VLOOKUP(A90,'Award Abstract#'!E:E,1,FALSE)), "No", "Yes")</f>
        <v>No</v>
      </c>
      <c r="Q90" s="29" t="str">
        <f>IF(ISNA(VLOOKUP(A90,'Award Abstract#'!A:A,1,FALSE)), "No", "Yes")</f>
        <v>No</v>
      </c>
      <c r="R90" s="29" t="str">
        <f>IF(ISNA(VLOOKUP(A90,'Award Abstract#'!D:D,1,FALSE)), "No", "Yes")</f>
        <v>Yes</v>
      </c>
      <c r="S90" s="30" t="str">
        <f>VLOOKUP(A90, 'Session Data'!A:AA,27,false)</f>
        <v>Woman</v>
      </c>
      <c r="T90" s="30"/>
      <c r="U90" s="30"/>
      <c r="V90" s="31" t="str">
        <f>VLOOKUP(A90, 'Session Data'!A:AA,8,false)</f>
        <v>Ashfeen</v>
      </c>
      <c r="W90" s="32" t="str">
        <f>VLOOKUP(A90, 'Session Data'!A:AA,9,false)</f>
        <v>Nawar</v>
      </c>
      <c r="X90" s="33" t="str">
        <f>VLOOKUP(A90, 'Session Data'!A:AA,12,false)</f>
        <v>In-depth Exploration: Purification and Kinetic Study of WT and Mutant Human DNA Polymerase ε</v>
      </c>
      <c r="Y90" s="34" t="str">
        <f>VLOOKUP(A90, 'Session Data'!A:AA,22,false)</f>
        <v>Christal</v>
      </c>
      <c r="Z90" s="34" t="str">
        <f>VLOOKUP(A90, 'Session Data'!A:AA,23,false)</f>
        <v>Sohl</v>
      </c>
      <c r="AA90" s="34" t="str">
        <f>VLOOKUP(A90, 'Session Data'!A:AA,25,false)</f>
        <v>Sciences</v>
      </c>
      <c r="AB90" s="34"/>
      <c r="AC90" s="34" t="str">
        <f>VLOOKUP(A90, 'Session Data'!A:AA,16,false)</f>
        <v/>
      </c>
      <c r="AD90" s="35" t="str">
        <f>VLOOKUP(A90, 'Session Data'!A:U,17,false)</f>
        <v/>
      </c>
      <c r="AE90" s="35" t="str">
        <f>VLOOKUP(A90, 'Session Data'!A:U,18,false)</f>
        <v/>
      </c>
      <c r="AF90" s="35" t="str">
        <f>VLOOKUP(A90, 'Session Data'!A:U,19,false)</f>
        <v/>
      </c>
      <c r="AG90" s="35" t="str">
        <f>VLOOKUP(A90, 'Session Data'!A:U,20,false)</f>
        <v/>
      </c>
      <c r="AH90" s="35" t="str">
        <f>VLOOKUP(A90, 'Session Data'!A:U,21,false)</f>
        <v/>
      </c>
      <c r="AI90" s="37"/>
      <c r="AJ90" s="37"/>
      <c r="AK90" s="37"/>
      <c r="AL90" s="50"/>
      <c r="AM90" s="34" t="str">
        <f>VLOOKUP(A90, 'Session Data'!A:AA,10,false)</f>
        <v>anawar9960@sdsu.edu</v>
      </c>
      <c r="AN90" s="40"/>
      <c r="AO90" s="38"/>
      <c r="AP90" s="38"/>
      <c r="AQ90" s="38"/>
      <c r="AR90" s="38"/>
      <c r="AS90" s="38"/>
      <c r="AT90" s="38"/>
      <c r="AU90" s="38"/>
      <c r="AV90" s="38"/>
      <c r="AW90" s="38"/>
      <c r="AX90" s="38"/>
      <c r="AY90" s="43"/>
      <c r="AZ90" s="43"/>
      <c r="BA90" s="43"/>
      <c r="BB90" s="43"/>
      <c r="BC90" s="43"/>
      <c r="BD90" s="43"/>
      <c r="BE90" s="44"/>
      <c r="BF90" s="45"/>
      <c r="BG90" s="43"/>
    </row>
    <row r="91">
      <c r="A91" s="19" t="s">
        <v>154</v>
      </c>
      <c r="B91" s="20">
        <f>VLOOKUP(F91,'Session Count DO NOT EDIT'!$A:$C,3,FALSE)</f>
        <v>5</v>
      </c>
      <c r="C91" s="20">
        <f>COUNTIFS('Scores Import DO NOT EDIT'!D:D,A91)</f>
        <v>4</v>
      </c>
      <c r="D91" s="21">
        <f t="shared" si="1"/>
        <v>0.8</v>
      </c>
      <c r="E91" s="22">
        <f>AVERAGEIFS('Scores Import DO NOT EDIT'!L:L,'Scores Import DO NOT EDIT'!D:D,A91)</f>
        <v>28.75</v>
      </c>
      <c r="F91" s="23" t="str">
        <f>VLOOKUP(A91, 'Session Data'!A:M,3,false)</f>
        <v>B-6</v>
      </c>
      <c r="G91" s="24" t="str">
        <f>VLOOKUP(A91, 'Session Data'!A:I,2,false)</f>
        <v>11:00 AM</v>
      </c>
      <c r="H91" s="23" t="str">
        <f>VLOOKUP(A91, 'Session Data'!A:J,5,false)</f>
        <v>Biological and Agricultural Sciences</v>
      </c>
      <c r="I91" s="25" t="str">
        <f>VLOOKUP(A91, 'Session Data'!A:H,4,false)</f>
        <v>Oral </v>
      </c>
      <c r="J91" s="26" t="str">
        <f>VLOOKUP(A91, 'Session Data'!A:AA,14,false)</f>
        <v>Master's</v>
      </c>
      <c r="K91" s="27" t="str">
        <f>VLOOKUP(A91, 'Session Data'!A:AA,15,false)</f>
        <v>Sciences</v>
      </c>
      <c r="L91" s="28"/>
      <c r="M91" s="29" t="str">
        <f>VLOOKUP(A91, 'Session Data'!A:K,11,false)</f>
        <v>Ecology</v>
      </c>
      <c r="N91" s="26" t="str">
        <f>IF(ISNA(VLOOKUP(A91, 'Award Abstract#'!C:C, 1, FALSE)), "No", "Yes")
</f>
        <v>No</v>
      </c>
      <c r="O91" s="29" t="str">
        <f>IF(ISNA(VLOOKUP(A91,'Award Abstract#'!B:B,1,FALSE)), "No", "Yes")</f>
        <v>No</v>
      </c>
      <c r="P91" s="29" t="str">
        <f>IF(ISNA(VLOOKUP(A91,'Award Abstract#'!E:E,1,FALSE)), "No", "Yes")</f>
        <v>No</v>
      </c>
      <c r="Q91" s="29" t="str">
        <f>IF(ISNA(VLOOKUP(A91,'Award Abstract#'!A:A,1,FALSE)), "No", "Yes")</f>
        <v>No</v>
      </c>
      <c r="R91" s="29" t="str">
        <f>IF(ISNA(VLOOKUP(A91,'Award Abstract#'!D:D,1,FALSE)), "No", "Yes")</f>
        <v>Yes</v>
      </c>
      <c r="S91" s="30" t="str">
        <f>VLOOKUP(A91, 'Session Data'!A:AA,27,false)</f>
        <v>Woman</v>
      </c>
      <c r="T91" s="30"/>
      <c r="U91" s="30"/>
      <c r="V91" s="31" t="str">
        <f>VLOOKUP(A91, 'Session Data'!A:AA,8,false)</f>
        <v>Emma</v>
      </c>
      <c r="W91" s="32" t="str">
        <f>VLOOKUP(A91, 'Session Data'!A:AA,9,false)</f>
        <v>McAndrews</v>
      </c>
      <c r="X91" s="33" t="str">
        <f>VLOOKUP(A91, 'Session Data'!A:AA,12,false)</f>
        <v>Developing Animal Borne Accelerometry Tools to Quantify the Movement and Behavior of Crotalus ruber within the Coastal Sage Scrub</v>
      </c>
      <c r="Y91" s="34" t="str">
        <f>VLOOKUP(A91, 'Session Data'!A:AA,22,false)</f>
        <v>Rulon</v>
      </c>
      <c r="Z91" s="34" t="str">
        <f>VLOOKUP(A91, 'Session Data'!A:AA,23,false)</f>
        <v>Clark</v>
      </c>
      <c r="AA91" s="34" t="str">
        <f>VLOOKUP(A91, 'Session Data'!A:AA,25,false)</f>
        <v>Sciences</v>
      </c>
      <c r="AB91" s="34"/>
      <c r="AC91" s="34" t="str">
        <f>VLOOKUP(A91, 'Session Data'!A:AA,16,false)</f>
        <v/>
      </c>
      <c r="AD91" s="35" t="str">
        <f>VLOOKUP(A91, 'Session Data'!A:U,17,false)</f>
        <v/>
      </c>
      <c r="AE91" s="35" t="str">
        <f>VLOOKUP(A91, 'Session Data'!A:U,18,false)</f>
        <v/>
      </c>
      <c r="AF91" s="35" t="str">
        <f>VLOOKUP(A91, 'Session Data'!A:U,19,false)</f>
        <v/>
      </c>
      <c r="AG91" s="35" t="str">
        <f>VLOOKUP(A91, 'Session Data'!A:U,20,false)</f>
        <v/>
      </c>
      <c r="AH91" s="35" t="str">
        <f>VLOOKUP(A91, 'Session Data'!A:U,21,false)</f>
        <v/>
      </c>
      <c r="AI91" s="37"/>
      <c r="AJ91" s="37"/>
      <c r="AK91" s="37"/>
      <c r="AL91" s="50"/>
      <c r="AM91" s="34" t="str">
        <f>VLOOKUP(A91, 'Session Data'!A:AA,10,false)</f>
        <v>emcandrews9826@sdsu.edu</v>
      </c>
      <c r="AN91" s="40"/>
      <c r="AO91" s="38"/>
      <c r="AP91" s="38"/>
      <c r="AQ91" s="38"/>
      <c r="AR91" s="38"/>
      <c r="AS91" s="38"/>
      <c r="AT91" s="38"/>
      <c r="AU91" s="38"/>
      <c r="AV91" s="38"/>
      <c r="AW91" s="38"/>
      <c r="AX91" s="38"/>
      <c r="AY91" s="43"/>
      <c r="AZ91" s="43"/>
      <c r="BA91" s="48"/>
      <c r="BB91" s="48"/>
      <c r="BC91" s="43"/>
      <c r="BD91" s="43"/>
      <c r="BE91" s="44"/>
      <c r="BF91" s="45"/>
      <c r="BG91" s="43"/>
    </row>
    <row r="92">
      <c r="A92" s="19" t="s">
        <v>155</v>
      </c>
      <c r="B92" s="20">
        <f>VLOOKUP(F92,'Session Count DO NOT EDIT'!$A:$C,3,FALSE)</f>
        <v>5</v>
      </c>
      <c r="C92" s="20">
        <f>COUNTIFS('Scores Import DO NOT EDIT'!D:D,A92)</f>
        <v>4</v>
      </c>
      <c r="D92" s="21">
        <f t="shared" si="1"/>
        <v>0.8</v>
      </c>
      <c r="E92" s="22">
        <f>AVERAGEIFS('Scores Import DO NOT EDIT'!L:L,'Scores Import DO NOT EDIT'!D:D,A92)</f>
        <v>23.5</v>
      </c>
      <c r="F92" s="23" t="str">
        <f>VLOOKUP(A92, 'Session Data'!A:M,3,false)</f>
        <v>B-6</v>
      </c>
      <c r="G92" s="24" t="str">
        <f>VLOOKUP(A92, 'Session Data'!A:I,2,false)</f>
        <v>11:00 AM</v>
      </c>
      <c r="H92" s="23" t="str">
        <f>VLOOKUP(A92, 'Session Data'!A:J,5,false)</f>
        <v>Biological and Agricultural Sciences</v>
      </c>
      <c r="I92" s="25" t="str">
        <f>VLOOKUP(A92, 'Session Data'!A:H,4,false)</f>
        <v>Oral </v>
      </c>
      <c r="J92" s="26" t="str">
        <f>VLOOKUP(A92, 'Session Data'!A:AA,14,false)</f>
        <v>Master's</v>
      </c>
      <c r="K92" s="27" t="str">
        <f>VLOOKUP(A92, 'Session Data'!A:AA,15,false)</f>
        <v>College of Science</v>
      </c>
      <c r="L92" s="47"/>
      <c r="M92" s="29" t="str">
        <f>VLOOKUP(A92, 'Session Data'!A:K,11,false)</f>
        <v>Bioinformatics</v>
      </c>
      <c r="N92" s="26" t="str">
        <f>IF(ISNA(VLOOKUP(A92, 'Award Abstract#'!C:C, 1, FALSE)), "No", "Yes")
</f>
        <v>No</v>
      </c>
      <c r="O92" s="29" t="str">
        <f>IF(ISNA(VLOOKUP(A92,'Award Abstract#'!B:B,1,FALSE)), "No", "Yes")</f>
        <v>No</v>
      </c>
      <c r="P92" s="29" t="str">
        <f>IF(ISNA(VLOOKUP(A92,'Award Abstract#'!E:E,1,FALSE)), "No", "Yes")</f>
        <v>Yes</v>
      </c>
      <c r="Q92" s="29" t="str">
        <f>IF(ISNA(VLOOKUP(A92,'Award Abstract#'!A:A,1,FALSE)), "No", "Yes")</f>
        <v>No</v>
      </c>
      <c r="R92" s="29" t="str">
        <f>IF(ISNA(VLOOKUP(A92,'Award Abstract#'!D:D,1,FALSE)), "No", "Yes")</f>
        <v>No</v>
      </c>
      <c r="S92" s="30" t="str">
        <f>VLOOKUP(A92, 'Session Data'!A:AA,27,false)</f>
        <v>Woman</v>
      </c>
      <c r="T92" s="30"/>
      <c r="U92" s="30"/>
      <c r="V92" s="31" t="str">
        <f>VLOOKUP(A92, 'Session Data'!A:AA,8,false)</f>
        <v>Rosalinda</v>
      </c>
      <c r="W92" s="32" t="str">
        <f>VLOOKUP(A92, 'Session Data'!A:AA,9,false)</f>
        <v>Diaz</v>
      </c>
      <c r="X92" s="33" t="str">
        <f>VLOOKUP(A92, 'Session Data'!A:AA,12,false)</f>
        <v>Investigating the Biogeographic Barriers on the genetic landscape of Eucalyptus moluccana</v>
      </c>
      <c r="Y92" s="34" t="str">
        <f>VLOOKUP(A92, 'Session Data'!A:AA,22,false)</f>
        <v>Lluvia</v>
      </c>
      <c r="Z92" s="34" t="str">
        <f>VLOOKUP(A92, 'Session Data'!A:AA,23,false)</f>
        <v>Flores-Renteria</v>
      </c>
      <c r="AA92" s="34" t="str">
        <f>VLOOKUP(A92, 'Session Data'!A:AA,25,false)</f>
        <v>Sciences</v>
      </c>
      <c r="AB92" s="34" t="str">
        <f>VLOOKUP(A92, 'Session Data'!A:AA,24,false)</f>
        <v>lfloresrenteria@sdsu.edu</v>
      </c>
      <c r="AC92" s="34" t="str">
        <f>VLOOKUP(A92, 'Session Data'!A:AA,16,false)</f>
        <v/>
      </c>
      <c r="AD92" s="35" t="str">
        <f>VLOOKUP(A92, 'Session Data'!A:U,17,false)</f>
        <v/>
      </c>
      <c r="AE92" s="35" t="str">
        <f>VLOOKUP(A92, 'Session Data'!A:U,18,false)</f>
        <v/>
      </c>
      <c r="AF92" s="35" t="str">
        <f>VLOOKUP(A92, 'Session Data'!A:U,19,false)</f>
        <v/>
      </c>
      <c r="AG92" s="35" t="str">
        <f>VLOOKUP(A92, 'Session Data'!A:U,20,false)</f>
        <v/>
      </c>
      <c r="AH92" s="35" t="str">
        <f>VLOOKUP(A92, 'Session Data'!A:U,21,false)</f>
        <v/>
      </c>
      <c r="AI92" s="37"/>
      <c r="AJ92" s="37"/>
      <c r="AK92" s="37"/>
      <c r="AL92" s="50"/>
      <c r="AM92" s="34" t="str">
        <f>VLOOKUP(A92, 'Session Data'!A:AA,10,false)</f>
        <v>rosalindadz@gmail.com</v>
      </c>
      <c r="AN92" s="40"/>
      <c r="AO92" s="38"/>
      <c r="AP92" s="38"/>
      <c r="AQ92" s="38"/>
      <c r="AR92" s="38"/>
      <c r="AS92" s="38"/>
      <c r="AT92" s="38"/>
      <c r="AU92" s="38"/>
      <c r="AV92" s="38"/>
      <c r="AW92" s="38"/>
      <c r="AX92" s="38"/>
      <c r="AY92" s="43"/>
      <c r="AZ92" s="43"/>
      <c r="BA92" s="43"/>
      <c r="BB92" s="43"/>
      <c r="BC92" s="43"/>
      <c r="BD92" s="43"/>
      <c r="BE92" s="44"/>
      <c r="BF92" s="45"/>
      <c r="BG92" s="43"/>
    </row>
    <row r="93">
      <c r="A93" s="19" t="s">
        <v>156</v>
      </c>
      <c r="B93" s="20">
        <f>VLOOKUP(F93,'Session Count DO NOT EDIT'!$A:$C,3,FALSE)</f>
        <v>5</v>
      </c>
      <c r="C93" s="20">
        <f>COUNTIFS('Scores Import DO NOT EDIT'!D:D,A93)</f>
        <v>4</v>
      </c>
      <c r="D93" s="21">
        <f t="shared" si="1"/>
        <v>0.8</v>
      </c>
      <c r="E93" s="22">
        <f>AVERAGEIFS('Scores Import DO NOT EDIT'!L:L,'Scores Import DO NOT EDIT'!D:D,A93)</f>
        <v>22</v>
      </c>
      <c r="F93" s="23" t="str">
        <f>VLOOKUP(A93, 'Session Data'!A:M,3,false)</f>
        <v>B-6</v>
      </c>
      <c r="G93" s="24" t="str">
        <f>VLOOKUP(A93, 'Session Data'!A:I,2,false)</f>
        <v>11:00 AM</v>
      </c>
      <c r="H93" s="23" t="str">
        <f>VLOOKUP(A93, 'Session Data'!A:J,5,false)</f>
        <v>Biological and Agricultural Sciences</v>
      </c>
      <c r="I93" s="25" t="str">
        <f>VLOOKUP(A93, 'Session Data'!A:H,4,false)</f>
        <v>Oral </v>
      </c>
      <c r="J93" s="26" t="str">
        <f>VLOOKUP(A93, 'Session Data'!A:AA,14,false)</f>
        <v>Master's</v>
      </c>
      <c r="K93" s="27" t="str">
        <f>VLOOKUP(A93, 'Session Data'!A:AA,15,false)</f>
        <v>Arts and Letters</v>
      </c>
      <c r="L93" s="47"/>
      <c r="M93" s="29" t="str">
        <f>VLOOKUP(A93, 'Session Data'!A:K,11,false)</f>
        <v>Masters of Arts in Anthropology</v>
      </c>
      <c r="N93" s="26" t="str">
        <f>IF(ISNA(VLOOKUP(A93, 'Award Abstract#'!C:C, 1, FALSE)), "No", "Yes")
</f>
        <v>No</v>
      </c>
      <c r="O93" s="29" t="str">
        <f>IF(ISNA(VLOOKUP(A93,'Award Abstract#'!B:B,1,FALSE)), "No", "Yes")</f>
        <v>No</v>
      </c>
      <c r="P93" s="29" t="str">
        <f>IF(ISNA(VLOOKUP(A93,'Award Abstract#'!E:E,1,FALSE)), "No", "Yes")</f>
        <v>No</v>
      </c>
      <c r="Q93" s="29" t="str">
        <f>IF(ISNA(VLOOKUP(A93,'Award Abstract#'!A:A,1,FALSE)), "No", "Yes")</f>
        <v>No</v>
      </c>
      <c r="R93" s="29" t="str">
        <f>IF(ISNA(VLOOKUP(A93,'Award Abstract#'!D:D,1,FALSE)), "No", "Yes")</f>
        <v>No</v>
      </c>
      <c r="S93" s="30" t="str">
        <f>VLOOKUP(A93, 'Session Data'!A:AA,27,false)</f>
        <v>Man</v>
      </c>
      <c r="T93" s="30"/>
      <c r="U93" s="30"/>
      <c r="V93" s="31" t="str">
        <f>VLOOKUP(A93, 'Session Data'!A:AA,8,false)</f>
        <v>Trinidad</v>
      </c>
      <c r="W93" s="32" t="str">
        <f>VLOOKUP(A93, 'Session Data'!A:AA,9,false)</f>
        <v>Joshua</v>
      </c>
      <c r="X93" s="33" t="str">
        <f>VLOOKUP(A93, 'Session Data'!A:AA,12,false)</f>
        <v>The Collective Movement Behavior of Sulawesi Moor Macaques (Macaca maura) in an Anthropogenic Environment</v>
      </c>
      <c r="Y93" s="34" t="str">
        <f>VLOOKUP(A93, 'Session Data'!A:AA,22,false)</f>
        <v>Erin</v>
      </c>
      <c r="Z93" s="34" t="str">
        <f>VLOOKUP(A93, 'Session Data'!A:AA,23,false)</f>
        <v>Riley</v>
      </c>
      <c r="AA93" s="34" t="str">
        <f>VLOOKUP(A93, 'Session Data'!A:AA,25,false)</f>
        <v>Arts and Letters</v>
      </c>
      <c r="AB93" s="34" t="str">
        <f>VLOOKUP(A93, 'Session Data'!A:AA,24,false)</f>
        <v>epriley@sdsu.edu</v>
      </c>
      <c r="AC93" s="34" t="str">
        <f>VLOOKUP(A93, 'Session Data'!A:AA,16,false)</f>
        <v/>
      </c>
      <c r="AD93" s="35" t="str">
        <f>VLOOKUP(A93, 'Session Data'!A:U,17,false)</f>
        <v/>
      </c>
      <c r="AE93" s="35" t="str">
        <f>VLOOKUP(A93, 'Session Data'!A:U,18,false)</f>
        <v/>
      </c>
      <c r="AF93" s="35" t="str">
        <f>VLOOKUP(A93, 'Session Data'!A:U,19,false)</f>
        <v/>
      </c>
      <c r="AG93" s="35" t="str">
        <f>VLOOKUP(A93, 'Session Data'!A:U,20,false)</f>
        <v/>
      </c>
      <c r="AH93" s="35" t="str">
        <f>VLOOKUP(A93, 'Session Data'!A:U,21,false)</f>
        <v/>
      </c>
      <c r="AI93" s="37"/>
      <c r="AJ93" s="37"/>
      <c r="AK93" s="37"/>
      <c r="AL93" s="50"/>
      <c r="AM93" s="34" t="str">
        <f>VLOOKUP(A93, 'Session Data'!A:AA,10,false)</f>
        <v>jtrinidad5928@sdsu.edu</v>
      </c>
      <c r="AN93" s="40"/>
      <c r="AO93" s="51"/>
      <c r="AP93" s="38"/>
      <c r="AQ93" s="38"/>
      <c r="AR93" s="38"/>
      <c r="AS93" s="38"/>
      <c r="AT93" s="38"/>
      <c r="AU93" s="38"/>
      <c r="AV93" s="38"/>
      <c r="AW93" s="38"/>
      <c r="AX93" s="38"/>
      <c r="AY93" s="43"/>
      <c r="AZ93" s="43"/>
      <c r="BA93" s="48"/>
      <c r="BB93" s="48"/>
      <c r="BC93" s="43"/>
      <c r="BD93" s="43"/>
      <c r="BE93" s="44"/>
      <c r="BF93" s="45"/>
      <c r="BG93" s="43"/>
    </row>
    <row r="94">
      <c r="A94" s="19" t="s">
        <v>157</v>
      </c>
      <c r="B94" s="20">
        <f>VLOOKUP(F94,'Session Count DO NOT EDIT'!$A:$C,3,FALSE)</f>
        <v>5</v>
      </c>
      <c r="C94" s="20">
        <f>COUNTIFS('Scores Import DO NOT EDIT'!D:D,A94)</f>
        <v>4</v>
      </c>
      <c r="D94" s="21">
        <f t="shared" si="1"/>
        <v>0.8</v>
      </c>
      <c r="E94" s="22">
        <f>AVERAGEIFS('Scores Import DO NOT EDIT'!L:L,'Scores Import DO NOT EDIT'!D:D,A94)</f>
        <v>22</v>
      </c>
      <c r="F94" s="23" t="str">
        <f>VLOOKUP(A94, 'Session Data'!A:M,3,false)</f>
        <v>B-6</v>
      </c>
      <c r="G94" s="24" t="str">
        <f>VLOOKUP(A94, 'Session Data'!A:I,2,false)</f>
        <v>11:00 AM</v>
      </c>
      <c r="H94" s="23" t="str">
        <f>VLOOKUP(A94, 'Session Data'!A:J,5,false)</f>
        <v>Biological and Agricultural Sciences</v>
      </c>
      <c r="I94" s="25" t="str">
        <f>VLOOKUP(A94, 'Session Data'!A:H,4,false)</f>
        <v>Oral </v>
      </c>
      <c r="J94" s="26" t="str">
        <f>VLOOKUP(A94, 'Session Data'!A:AA,14,false)</f>
        <v>Doctoral</v>
      </c>
      <c r="K94" s="27" t="str">
        <f>VLOOKUP(A94, 'Session Data'!A:AA,15,false)</f>
        <v>Sciences</v>
      </c>
      <c r="L94" s="47"/>
      <c r="M94" s="29" t="str">
        <f>VLOOKUP(A94, 'Session Data'!A:K,11,false)</f>
        <v>Doctor of Philosophy in Biochemistry</v>
      </c>
      <c r="N94" s="26" t="str">
        <f>IF(ISNA(VLOOKUP(A94, 'Award Abstract#'!C:C, 1, FALSE)), "No", "Yes")
</f>
        <v>No</v>
      </c>
      <c r="O94" s="29" t="str">
        <f>IF(ISNA(VLOOKUP(A94,'Award Abstract#'!B:B,1,FALSE)), "No", "Yes")</f>
        <v>No</v>
      </c>
      <c r="P94" s="29" t="str">
        <f>IF(ISNA(VLOOKUP(A94,'Award Abstract#'!E:E,1,FALSE)), "No", "Yes")</f>
        <v>No</v>
      </c>
      <c r="Q94" s="29" t="str">
        <f>IF(ISNA(VLOOKUP(A94,'Award Abstract#'!A:A,1,FALSE)), "No", "Yes")</f>
        <v>No</v>
      </c>
      <c r="R94" s="29" t="str">
        <f>IF(ISNA(VLOOKUP(A94,'Award Abstract#'!D:D,1,FALSE)), "No", "Yes")</f>
        <v>No</v>
      </c>
      <c r="S94" s="30" t="str">
        <f>VLOOKUP(A94, 'Session Data'!A:AA,27,false)</f>
        <v>Woman</v>
      </c>
      <c r="T94" s="30"/>
      <c r="U94" s="30"/>
      <c r="V94" s="31" t="str">
        <f>VLOOKUP(A94, 'Session Data'!A:AA,8,false)</f>
        <v>Caitlyn</v>
      </c>
      <c r="W94" s="32" t="str">
        <f>VLOOKUP(A94, 'Session Data'!A:AA,9,false)</f>
        <v>Middleton</v>
      </c>
      <c r="X94" s="33" t="str">
        <f>VLOOKUP(A94, 'Session Data'!A:AA,12,false)</f>
        <v>Assessing the metabolic impact of toxoplasmosis correlating to immune response, parasite burden and the microbiome</v>
      </c>
      <c r="Y94" s="34" t="str">
        <f>VLOOKUP(A94, 'Session Data'!A:AA,22,false)</f>
        <v>Laura-Isobel</v>
      </c>
      <c r="Z94" s="34" t="str">
        <f>VLOOKUP(A94, 'Session Data'!A:AA,23,false)</f>
        <v>McCall</v>
      </c>
      <c r="AA94" s="34" t="str">
        <f>VLOOKUP(A94, 'Session Data'!A:AA,25,false)</f>
        <v>Sciences</v>
      </c>
      <c r="AB94" s="34"/>
      <c r="AC94" s="34" t="str">
        <f>VLOOKUP(A94, 'Session Data'!A:AA,16,false)</f>
        <v/>
      </c>
      <c r="AD94" s="35" t="str">
        <f>VLOOKUP(A94, 'Session Data'!A:U,17,false)</f>
        <v/>
      </c>
      <c r="AE94" s="35" t="str">
        <f>VLOOKUP(A94, 'Session Data'!A:U,18,false)</f>
        <v/>
      </c>
      <c r="AF94" s="35" t="str">
        <f>VLOOKUP(A94, 'Session Data'!A:U,19,false)</f>
        <v/>
      </c>
      <c r="AG94" s="35" t="str">
        <f>VLOOKUP(A94, 'Session Data'!A:U,20,false)</f>
        <v/>
      </c>
      <c r="AH94" s="35" t="str">
        <f>VLOOKUP(A94, 'Session Data'!A:U,21,false)</f>
        <v/>
      </c>
      <c r="AI94" s="37"/>
      <c r="AJ94" s="37"/>
      <c r="AK94" s="37"/>
      <c r="AL94" s="50"/>
      <c r="AM94" s="34" t="str">
        <f>VLOOKUP(A94, 'Session Data'!A:AA,10,false)</f>
        <v>cmiddleton3806@sdsu.edu</v>
      </c>
      <c r="AN94" s="40"/>
      <c r="AO94" s="38"/>
      <c r="AP94" s="38"/>
      <c r="AQ94" s="38"/>
      <c r="AR94" s="38"/>
      <c r="AS94" s="38"/>
      <c r="AT94" s="38"/>
      <c r="AU94" s="38"/>
      <c r="AV94" s="38"/>
      <c r="AW94" s="38"/>
      <c r="AX94" s="38"/>
      <c r="AY94" s="43"/>
      <c r="AZ94" s="43"/>
      <c r="BA94" s="48"/>
      <c r="BB94" s="48"/>
      <c r="BC94" s="43"/>
      <c r="BD94" s="43"/>
      <c r="BE94" s="44"/>
      <c r="BF94" s="45"/>
      <c r="BG94" s="43"/>
    </row>
    <row r="95">
      <c r="A95" s="19" t="s">
        <v>158</v>
      </c>
      <c r="B95" s="20">
        <f>VLOOKUP(F95,'Session Count DO NOT EDIT'!$A:$C,3,FALSE)</f>
        <v>5</v>
      </c>
      <c r="C95" s="20">
        <f>COUNTIFS('Scores Import DO NOT EDIT'!D:D,A95)</f>
        <v>5</v>
      </c>
      <c r="D95" s="21">
        <f t="shared" si="1"/>
        <v>1</v>
      </c>
      <c r="E95" s="22">
        <f>AVERAGEIFS('Scores Import DO NOT EDIT'!L:L,'Scores Import DO NOT EDIT'!D:D,A95)</f>
        <v>29.6</v>
      </c>
      <c r="F95" s="23" t="str">
        <f>VLOOKUP(A95, 'Session Data'!A:M,3,false)</f>
        <v>B-7</v>
      </c>
      <c r="G95" s="24" t="str">
        <f>VLOOKUP(A95, 'Session Data'!A:I,2,false)</f>
        <v>11:00 AM</v>
      </c>
      <c r="H95" s="23" t="str">
        <f>VLOOKUP(A95, 'Session Data'!A:J,5,false)</f>
        <v>Humanities, History, Literature, Philosophy</v>
      </c>
      <c r="I95" s="25" t="str">
        <f>VLOOKUP(A95, 'Session Data'!A:H,4,false)</f>
        <v>Oral </v>
      </c>
      <c r="J95" s="26" t="str">
        <f>VLOOKUP(A95, 'Session Data'!A:AA,14,false)</f>
        <v>Master's</v>
      </c>
      <c r="K95" s="27" t="str">
        <f>VLOOKUP(A95, 'Session Data'!A:AA,15,false)</f>
        <v>Arts and Letters</v>
      </c>
      <c r="L95" s="28"/>
      <c r="M95" s="29" t="str">
        <f>VLOOKUP(A95, 'Session Data'!A:K,11,false)</f>
        <v>Masters of Arts in History</v>
      </c>
      <c r="N95" s="26" t="str">
        <f>IF(ISNA(VLOOKUP(A95, 'Award Abstract#'!C:C, 1, FALSE)), "No", "Yes")
</f>
        <v>No</v>
      </c>
      <c r="O95" s="29" t="str">
        <f>IF(ISNA(VLOOKUP(A95,'Award Abstract#'!B:B,1,FALSE)), "No", "Yes")</f>
        <v>No</v>
      </c>
      <c r="P95" s="29" t="str">
        <f>IF(ISNA(VLOOKUP(A95,'Award Abstract#'!E:E,1,FALSE)), "No", "Yes")</f>
        <v>No</v>
      </c>
      <c r="Q95" s="29" t="str">
        <f>IF(ISNA(VLOOKUP(A95,'Award Abstract#'!A:A,1,FALSE)), "No", "Yes")</f>
        <v>No</v>
      </c>
      <c r="R95" s="29" t="str">
        <f>IF(ISNA(VLOOKUP(A95,'Award Abstract#'!D:D,1,FALSE)), "No", "Yes")</f>
        <v>No</v>
      </c>
      <c r="S95" s="30" t="str">
        <f>VLOOKUP(A95, 'Session Data'!A:AA,27,false)</f>
        <v>Woman</v>
      </c>
      <c r="T95" s="30"/>
      <c r="U95" s="30"/>
      <c r="V95" s="31" t="str">
        <f>VLOOKUP(A95, 'Session Data'!A:AA,8,false)</f>
        <v>Kayla</v>
      </c>
      <c r="W95" s="32" t="str">
        <f>VLOOKUP(A95, 'Session Data'!A:AA,9,false)</f>
        <v>Daniels</v>
      </c>
      <c r="X95" s="33" t="str">
        <f>VLOOKUP(A95, 'Session Data'!A:AA,12,false)</f>
        <v>To Make a Better World: Black Canadian Women’s Transnational Activism in Print, 1986-1989</v>
      </c>
      <c r="Y95" s="34" t="str">
        <f>VLOOKUP(A95, 'Session Data'!A:AA,22,false)</f>
        <v>Eve</v>
      </c>
      <c r="Z95" s="34" t="str">
        <f>VLOOKUP(A95, 'Session Data'!A:AA,23,false)</f>
        <v>Kornfeld</v>
      </c>
      <c r="AA95" s="34" t="str">
        <f>VLOOKUP(A95, 'Session Data'!A:AA,25,false)</f>
        <v>Arts and Letters</v>
      </c>
      <c r="AB95" s="34" t="str">
        <f>VLOOKUP(A95, 'Session Data'!A:AA,24,false)</f>
        <v>kornfeld@sdsu.edu</v>
      </c>
      <c r="AC95" s="34" t="str">
        <f>VLOOKUP(A95, 'Session Data'!A:AA,16,false)</f>
        <v/>
      </c>
      <c r="AD95" s="35" t="str">
        <f>VLOOKUP(A95, 'Session Data'!A:U,17,false)</f>
        <v/>
      </c>
      <c r="AE95" s="35" t="str">
        <f>VLOOKUP(A95, 'Session Data'!A:U,18,false)</f>
        <v/>
      </c>
      <c r="AF95" s="35" t="str">
        <f>VLOOKUP(A95, 'Session Data'!A:U,19,false)</f>
        <v/>
      </c>
      <c r="AG95" s="35" t="str">
        <f>VLOOKUP(A95, 'Session Data'!A:U,20,false)</f>
        <v/>
      </c>
      <c r="AH95" s="35" t="str">
        <f>VLOOKUP(A95, 'Session Data'!A:U,21,false)</f>
        <v/>
      </c>
      <c r="AI95" s="36"/>
      <c r="AJ95" s="38"/>
      <c r="AK95" s="38"/>
      <c r="AL95" s="39"/>
      <c r="AM95" s="34" t="str">
        <f>VLOOKUP(A95, 'Session Data'!A:AA,10,false)</f>
        <v>kdaniels8822@sdsu.edu</v>
      </c>
      <c r="AN95" s="40"/>
      <c r="AO95" s="38"/>
      <c r="AP95" s="38"/>
      <c r="AQ95" s="38"/>
      <c r="AR95" s="38"/>
      <c r="AS95" s="38"/>
      <c r="AT95" s="38"/>
      <c r="AU95" s="38"/>
      <c r="AV95" s="38"/>
      <c r="AW95" s="38"/>
      <c r="AX95" s="38"/>
      <c r="AY95" s="43"/>
      <c r="AZ95" s="43"/>
      <c r="BA95" s="48"/>
      <c r="BB95" s="48"/>
      <c r="BC95" s="43"/>
      <c r="BD95" s="43"/>
      <c r="BE95" s="44"/>
      <c r="BF95" s="45"/>
      <c r="BG95" s="43"/>
    </row>
    <row r="96">
      <c r="A96" s="19" t="s">
        <v>159</v>
      </c>
      <c r="B96" s="20">
        <f>VLOOKUP(F96,'Session Count DO NOT EDIT'!$A:$C,3,FALSE)</f>
        <v>5</v>
      </c>
      <c r="C96" s="20">
        <f>COUNTIFS('Scores Import DO NOT EDIT'!D:D,A96)</f>
        <v>5</v>
      </c>
      <c r="D96" s="21">
        <f t="shared" si="1"/>
        <v>1</v>
      </c>
      <c r="E96" s="22">
        <f>AVERAGEIFS('Scores Import DO NOT EDIT'!L:L,'Scores Import DO NOT EDIT'!D:D,A96)</f>
        <v>29.4</v>
      </c>
      <c r="F96" s="23" t="str">
        <f>VLOOKUP(A96, 'Session Data'!A:M,3,false)</f>
        <v>B-7</v>
      </c>
      <c r="G96" s="24" t="str">
        <f>VLOOKUP(A96, 'Session Data'!A:I,2,false)</f>
        <v>11:00 AM</v>
      </c>
      <c r="H96" s="23" t="str">
        <f>VLOOKUP(A96, 'Session Data'!A:J,5,false)</f>
        <v>Humanities, History, Literature, Philosophy</v>
      </c>
      <c r="I96" s="25" t="str">
        <f>VLOOKUP(A96, 'Session Data'!A:H,4,false)</f>
        <v>Oral </v>
      </c>
      <c r="J96" s="26" t="str">
        <f>VLOOKUP(A96, 'Session Data'!A:AA,14,false)</f>
        <v>Master's</v>
      </c>
      <c r="K96" s="27" t="str">
        <f>VLOOKUP(A96, 'Session Data'!A:AA,15,false)</f>
        <v>Arts and Letters</v>
      </c>
      <c r="L96" s="28"/>
      <c r="M96" s="29" t="str">
        <f>VLOOKUP(A96, 'Session Data'!A:K,11,false)</f>
        <v>Masters of Art in History</v>
      </c>
      <c r="N96" s="26" t="str">
        <f>IF(ISNA(VLOOKUP(A96, 'Award Abstract#'!C:C, 1, FALSE)), "No", "Yes")
</f>
        <v>No</v>
      </c>
      <c r="O96" s="29" t="str">
        <f>IF(ISNA(VLOOKUP(A96,'Award Abstract#'!B:B,1,FALSE)), "No", "Yes")</f>
        <v>No</v>
      </c>
      <c r="P96" s="29" t="str">
        <f>IF(ISNA(VLOOKUP(A96,'Award Abstract#'!E:E,1,FALSE)), "No", "Yes")</f>
        <v>No</v>
      </c>
      <c r="Q96" s="29" t="str">
        <f>IF(ISNA(VLOOKUP(A96,'Award Abstract#'!A:A,1,FALSE)), "No", "Yes")</f>
        <v>Yes</v>
      </c>
      <c r="R96" s="29" t="str">
        <f>IF(ISNA(VLOOKUP(A96,'Award Abstract#'!D:D,1,FALSE)), "No", "Yes")</f>
        <v>Yes</v>
      </c>
      <c r="S96" s="30" t="str">
        <f>VLOOKUP(A96, 'Session Data'!A:AA,27,false)</f>
        <v>Woman</v>
      </c>
      <c r="T96" s="30"/>
      <c r="U96" s="30"/>
      <c r="V96" s="31" t="str">
        <f>VLOOKUP(A96, 'Session Data'!A:AA,8,false)</f>
        <v>Briana</v>
      </c>
      <c r="W96" s="32" t="str">
        <f>VLOOKUP(A96, 'Session Data'!A:AA,9,false)</f>
        <v>Betschart</v>
      </c>
      <c r="X96" s="33" t="str">
        <f>VLOOKUP(A96, 'Session Data'!A:AA,12,false)</f>
        <v>Dolores Huerta: Embodying Change</v>
      </c>
      <c r="Y96" s="34" t="str">
        <f>VLOOKUP(A96, 'Session Data'!A:AA,22,false)</f>
        <v>Eve </v>
      </c>
      <c r="Z96" s="34" t="str">
        <f>VLOOKUP(A96, 'Session Data'!A:AA,23,false)</f>
        <v>Kornfeld</v>
      </c>
      <c r="AA96" s="34" t="str">
        <f>VLOOKUP(A96, 'Session Data'!A:AA,25,false)</f>
        <v>Arts and Letters</v>
      </c>
      <c r="AB96" s="34" t="str">
        <f>VLOOKUP(A96, 'Session Data'!A:AA,24,false)</f>
        <v>kornfeld@sdsu.edu</v>
      </c>
      <c r="AC96" s="34" t="str">
        <f>VLOOKUP(A96, 'Session Data'!A:AA,16,false)</f>
        <v/>
      </c>
      <c r="AD96" s="35" t="str">
        <f>VLOOKUP(A96, 'Session Data'!A:U,17,false)</f>
        <v/>
      </c>
      <c r="AE96" s="35" t="str">
        <f>VLOOKUP(A96, 'Session Data'!A:U,18,false)</f>
        <v/>
      </c>
      <c r="AF96" s="35" t="str">
        <f>VLOOKUP(A96, 'Session Data'!A:U,19,false)</f>
        <v/>
      </c>
      <c r="AG96" s="35" t="str">
        <f>VLOOKUP(A96, 'Session Data'!A:U,20,false)</f>
        <v/>
      </c>
      <c r="AH96" s="35" t="str">
        <f>VLOOKUP(A96, 'Session Data'!A:U,21,false)</f>
        <v/>
      </c>
      <c r="AI96" s="36"/>
      <c r="AJ96" s="38"/>
      <c r="AK96" s="38"/>
      <c r="AL96" s="39"/>
      <c r="AM96" s="34" t="str">
        <f>VLOOKUP(A96, 'Session Data'!A:AA,10,false)</f>
        <v>bbetschart1346@sdsu.edu</v>
      </c>
      <c r="AN96" s="40"/>
      <c r="AO96" s="38"/>
      <c r="AP96" s="38"/>
      <c r="AQ96" s="38"/>
      <c r="AR96" s="38"/>
      <c r="AS96" s="38"/>
      <c r="AT96" s="38"/>
      <c r="AU96" s="38"/>
      <c r="AV96" s="38"/>
      <c r="AW96" s="38"/>
      <c r="AX96" s="38"/>
      <c r="AY96" s="43"/>
      <c r="AZ96" s="43"/>
      <c r="BA96" s="48"/>
      <c r="BB96" s="48"/>
      <c r="BC96" s="43"/>
      <c r="BD96" s="43"/>
      <c r="BE96" s="44"/>
      <c r="BF96" s="45"/>
      <c r="BG96" s="43"/>
    </row>
    <row r="97">
      <c r="A97" s="19" t="s">
        <v>160</v>
      </c>
      <c r="B97" s="20">
        <f>VLOOKUP(F97,'Session Count DO NOT EDIT'!$A:$C,3,FALSE)</f>
        <v>5</v>
      </c>
      <c r="C97" s="20">
        <f>COUNTIFS('Scores Import DO NOT EDIT'!D:D,A97)</f>
        <v>5</v>
      </c>
      <c r="D97" s="21">
        <f t="shared" si="1"/>
        <v>1</v>
      </c>
      <c r="E97" s="22">
        <f>AVERAGEIFS('Scores Import DO NOT EDIT'!L:L,'Scores Import DO NOT EDIT'!D:D,A97)</f>
        <v>29.2</v>
      </c>
      <c r="F97" s="23" t="str">
        <f>VLOOKUP(A97, 'Session Data'!A:M,3,false)</f>
        <v>B-7</v>
      </c>
      <c r="G97" s="24" t="str">
        <f>VLOOKUP(A97, 'Session Data'!A:I,2,false)</f>
        <v>11:00 AM</v>
      </c>
      <c r="H97" s="23" t="str">
        <f>VLOOKUP(A97, 'Session Data'!A:J,5,false)</f>
        <v>Humanities, History, Literature, Philosophy</v>
      </c>
      <c r="I97" s="25" t="str">
        <f>VLOOKUP(A97, 'Session Data'!A:H,4,false)</f>
        <v>Oral </v>
      </c>
      <c r="J97" s="26" t="str">
        <f>VLOOKUP(A97, 'Session Data'!A:AA,14,false)</f>
        <v>Master's</v>
      </c>
      <c r="K97" s="27" t="str">
        <f>VLOOKUP(A97, 'Session Data'!A:AA,15,false)</f>
        <v>Arts and Letters</v>
      </c>
      <c r="L97" s="28"/>
      <c r="M97" s="29" t="str">
        <f>VLOOKUP(A97, 'Session Data'!A:K,11,false)</f>
        <v>Masters of Arts in Liberal Arts and Sciences </v>
      </c>
      <c r="N97" s="26" t="str">
        <f>IF(ISNA(VLOOKUP(A97, 'Award Abstract#'!C:C, 1, FALSE)), "No", "Yes")
</f>
        <v>No</v>
      </c>
      <c r="O97" s="29" t="str">
        <f>IF(ISNA(VLOOKUP(A97,'Award Abstract#'!B:B,1,FALSE)), "No", "Yes")</f>
        <v>No</v>
      </c>
      <c r="P97" s="29" t="str">
        <f>IF(ISNA(VLOOKUP(A97,'Award Abstract#'!E:E,1,FALSE)), "No", "Yes")</f>
        <v>No</v>
      </c>
      <c r="Q97" s="29" t="str">
        <f>IF(ISNA(VLOOKUP(A97,'Award Abstract#'!A:A,1,FALSE)), "No", "Yes")</f>
        <v>No</v>
      </c>
      <c r="R97" s="29" t="str">
        <f>IF(ISNA(VLOOKUP(A97,'Award Abstract#'!D:D,1,FALSE)), "No", "Yes")</f>
        <v>No</v>
      </c>
      <c r="S97" s="30" t="str">
        <f>VLOOKUP(A97, 'Session Data'!A:AA,27,false)</f>
        <v>Woman</v>
      </c>
      <c r="T97" s="30"/>
      <c r="U97" s="30"/>
      <c r="V97" s="31" t="str">
        <f>VLOOKUP(A97, 'Session Data'!A:AA,8,false)</f>
        <v>Sara</v>
      </c>
      <c r="W97" s="32" t="str">
        <f>VLOOKUP(A97, 'Session Data'!A:AA,9,false)</f>
        <v>Romano</v>
      </c>
      <c r="X97" s="33" t="str">
        <f>VLOOKUP(A97, 'Session Data'!A:AA,12,false)</f>
        <v>Sontag in Sarajevo: Regarding the Age of Mass-Mediated Atrocity</v>
      </c>
      <c r="Y97" s="34" t="str">
        <f>VLOOKUP(A97, 'Session Data'!A:AA,22,false)</f>
        <v>Eve</v>
      </c>
      <c r="Z97" s="34" t="str">
        <f>VLOOKUP(A97, 'Session Data'!A:AA,23,false)</f>
        <v>Kornfeld</v>
      </c>
      <c r="AA97" s="34" t="str">
        <f>VLOOKUP(A97, 'Session Data'!A:AA,25,false)</f>
        <v>Arts and Letters</v>
      </c>
      <c r="AB97" s="34" t="str">
        <f>VLOOKUP(A97, 'Session Data'!A:AA,24,false)</f>
        <v>kornfeld@sdsu.edu</v>
      </c>
      <c r="AC97" s="34" t="str">
        <f>VLOOKUP(A97, 'Session Data'!A:AA,16,false)</f>
        <v/>
      </c>
      <c r="AD97" s="35" t="str">
        <f>VLOOKUP(A97, 'Session Data'!A:U,17,false)</f>
        <v/>
      </c>
      <c r="AE97" s="35" t="str">
        <f>VLOOKUP(A97, 'Session Data'!A:U,18,false)</f>
        <v/>
      </c>
      <c r="AF97" s="35" t="str">
        <f>VLOOKUP(A97, 'Session Data'!A:U,19,false)</f>
        <v/>
      </c>
      <c r="AG97" s="35" t="str">
        <f>VLOOKUP(A97, 'Session Data'!A:U,20,false)</f>
        <v/>
      </c>
      <c r="AH97" s="35" t="str">
        <f>VLOOKUP(A97, 'Session Data'!A:U,21,false)</f>
        <v/>
      </c>
      <c r="AI97" s="36"/>
      <c r="AJ97" s="38"/>
      <c r="AK97" s="38"/>
      <c r="AL97" s="39"/>
      <c r="AM97" s="34" t="str">
        <f>VLOOKUP(A97, 'Session Data'!A:AA,10,false)</f>
        <v>sromano1558@sdsu.edu</v>
      </c>
      <c r="AN97" s="40"/>
      <c r="AO97" s="38"/>
      <c r="AP97" s="38"/>
      <c r="AQ97" s="38"/>
      <c r="AR97" s="38"/>
      <c r="AS97" s="38"/>
      <c r="AT97" s="38"/>
      <c r="AU97" s="38"/>
      <c r="AV97" s="38"/>
      <c r="AW97" s="38"/>
      <c r="AX97" s="38"/>
      <c r="AY97" s="43"/>
      <c r="AZ97" s="43"/>
      <c r="BA97" s="48"/>
      <c r="BB97" s="48"/>
      <c r="BC97" s="43"/>
      <c r="BD97" s="43"/>
      <c r="BE97" s="44"/>
      <c r="BF97" s="45"/>
      <c r="BG97" s="46"/>
    </row>
    <row r="98">
      <c r="A98" s="19" t="s">
        <v>161</v>
      </c>
      <c r="B98" s="20">
        <f>VLOOKUP(F98,'Session Count DO NOT EDIT'!$A:$C,3,FALSE)</f>
        <v>5</v>
      </c>
      <c r="C98" s="20">
        <f>COUNTIFS('Scores Import DO NOT EDIT'!D:D,A98)</f>
        <v>5</v>
      </c>
      <c r="D98" s="21">
        <f t="shared" si="1"/>
        <v>1</v>
      </c>
      <c r="E98" s="22">
        <f>AVERAGEIFS('Scores Import DO NOT EDIT'!L:L,'Scores Import DO NOT EDIT'!D:D,A98)</f>
        <v>27.6</v>
      </c>
      <c r="F98" s="23" t="str">
        <f>VLOOKUP(A98, 'Session Data'!A:M,3,false)</f>
        <v>B-7</v>
      </c>
      <c r="G98" s="24" t="str">
        <f>VLOOKUP(A98, 'Session Data'!A:I,2,false)</f>
        <v>11:00 AM</v>
      </c>
      <c r="H98" s="23" t="str">
        <f>VLOOKUP(A98, 'Session Data'!A:J,5,false)</f>
        <v>Humanities, History, Literature, Philosophy</v>
      </c>
      <c r="I98" s="25" t="str">
        <f>VLOOKUP(A98, 'Session Data'!A:H,4,false)</f>
        <v>Oral </v>
      </c>
      <c r="J98" s="26" t="str">
        <f>VLOOKUP(A98, 'Session Data'!A:AA,14,false)</f>
        <v>Master's</v>
      </c>
      <c r="K98" s="27" t="str">
        <f>VLOOKUP(A98, 'Session Data'!A:AA,15,false)</f>
        <v>Arts and Letters</v>
      </c>
      <c r="L98" s="28"/>
      <c r="M98" s="29" t="str">
        <f>VLOOKUP(A98, 'Session Data'!A:K,11,false)</f>
        <v>Masters of Arts in History</v>
      </c>
      <c r="N98" s="26" t="str">
        <f>IF(ISNA(VLOOKUP(A98, 'Award Abstract#'!C:C, 1, FALSE)), "No", "Yes")
</f>
        <v>No</v>
      </c>
      <c r="O98" s="29" t="str">
        <f>IF(ISNA(VLOOKUP(A98,'Award Abstract#'!B:B,1,FALSE)), "No", "Yes")</f>
        <v>No</v>
      </c>
      <c r="P98" s="29" t="str">
        <f>IF(ISNA(VLOOKUP(A98,'Award Abstract#'!E:E,1,FALSE)), "No", "Yes")</f>
        <v>No</v>
      </c>
      <c r="Q98" s="29" t="str">
        <f>IF(ISNA(VLOOKUP(A98,'Award Abstract#'!A:A,1,FALSE)), "No", "Yes")</f>
        <v>No</v>
      </c>
      <c r="R98" s="29" t="str">
        <f>IF(ISNA(VLOOKUP(A98,'Award Abstract#'!D:D,1,FALSE)), "No", "Yes")</f>
        <v>Yes</v>
      </c>
      <c r="S98" s="30" t="str">
        <f>VLOOKUP(A98, 'Session Data'!A:AA,27,false)</f>
        <v>Man</v>
      </c>
      <c r="T98" s="30"/>
      <c r="U98" s="30"/>
      <c r="V98" s="31" t="str">
        <f>VLOOKUP(A98, 'Session Data'!A:AA,8,false)</f>
        <v>Thomas</v>
      </c>
      <c r="W98" s="32" t="str">
        <f>VLOOKUP(A98, 'Session Data'!A:AA,9,false)</f>
        <v>Pugh</v>
      </c>
      <c r="X98" s="33" t="str">
        <f>VLOOKUP(A98, 'Session Data'!A:AA,12,false)</f>
        <v>Illicit People vs. Illicit Acts: Vagrancy as a Social Constraint in Early American San Diego</v>
      </c>
      <c r="Y98" s="34" t="str">
        <f>VLOOKUP(A98, 'Session Data'!A:AA,22,false)</f>
        <v>Paula</v>
      </c>
      <c r="Z98" s="34" t="str">
        <f>VLOOKUP(A98, 'Session Data'!A:AA,23,false)</f>
        <v>De Vos</v>
      </c>
      <c r="AA98" s="34" t="str">
        <f>VLOOKUP(A98, 'Session Data'!A:AA,25,false)</f>
        <v>Arts and Letters</v>
      </c>
      <c r="AB98" s="34" t="str">
        <f>VLOOKUP(A98, 'Session Data'!A:AA,24,false)</f>
        <v>pdevos@sdsu.edu</v>
      </c>
      <c r="AC98" s="34" t="str">
        <f>VLOOKUP(A98, 'Session Data'!A:AA,16,false)</f>
        <v/>
      </c>
      <c r="AD98" s="35" t="str">
        <f>VLOOKUP(A98, 'Session Data'!A:U,17,false)</f>
        <v/>
      </c>
      <c r="AE98" s="35" t="str">
        <f>VLOOKUP(A98, 'Session Data'!A:U,18,false)</f>
        <v/>
      </c>
      <c r="AF98" s="35" t="str">
        <f>VLOOKUP(A98, 'Session Data'!A:U,19,false)</f>
        <v/>
      </c>
      <c r="AG98" s="35" t="str">
        <f>VLOOKUP(A98, 'Session Data'!A:U,20,false)</f>
        <v/>
      </c>
      <c r="AH98" s="35" t="str">
        <f>VLOOKUP(A98, 'Session Data'!A:U,21,false)</f>
        <v/>
      </c>
      <c r="AI98" s="37"/>
      <c r="AJ98" s="37"/>
      <c r="AK98" s="37"/>
      <c r="AL98" s="50"/>
      <c r="AM98" s="34" t="str">
        <f>VLOOKUP(A98, 'Session Data'!A:AA,10,false)</f>
        <v>tpugh7287@sdsu.edu</v>
      </c>
      <c r="AN98" s="40"/>
      <c r="AO98" s="38"/>
      <c r="AP98" s="38"/>
      <c r="AQ98" s="38"/>
      <c r="AR98" s="38"/>
      <c r="AS98" s="38"/>
      <c r="AT98" s="38"/>
      <c r="AU98" s="38"/>
      <c r="AV98" s="38"/>
      <c r="AW98" s="38"/>
      <c r="AX98" s="38"/>
      <c r="AY98" s="43"/>
      <c r="AZ98" s="43"/>
      <c r="BA98" s="43"/>
      <c r="BB98" s="43"/>
      <c r="BC98" s="43"/>
      <c r="BD98" s="43"/>
      <c r="BE98" s="44"/>
      <c r="BF98" s="45"/>
      <c r="BG98" s="43"/>
    </row>
    <row r="99">
      <c r="A99" s="19" t="s">
        <v>162</v>
      </c>
      <c r="B99" s="20">
        <f>VLOOKUP(F99,'Session Count DO NOT EDIT'!$A:$C,3,FALSE)</f>
        <v>5</v>
      </c>
      <c r="C99" s="20">
        <f>COUNTIFS('Scores Import DO NOT EDIT'!D:D,A99)</f>
        <v>5</v>
      </c>
      <c r="D99" s="21">
        <f t="shared" si="1"/>
        <v>1</v>
      </c>
      <c r="E99" s="22">
        <f>AVERAGEIFS('Scores Import DO NOT EDIT'!L:L,'Scores Import DO NOT EDIT'!D:D,A99)</f>
        <v>25.6</v>
      </c>
      <c r="F99" s="23" t="str">
        <f>VLOOKUP(A99, 'Session Data'!A:M,3,false)</f>
        <v>B-7</v>
      </c>
      <c r="G99" s="24" t="str">
        <f>VLOOKUP(A99, 'Session Data'!A:I,2,false)</f>
        <v>11:00 AM</v>
      </c>
      <c r="H99" s="23" t="str">
        <f>VLOOKUP(A99, 'Session Data'!A:J,5,false)</f>
        <v>Humanities, History, Literature, Philosophy</v>
      </c>
      <c r="I99" s="25" t="str">
        <f>VLOOKUP(A99, 'Session Data'!A:H,4,false)</f>
        <v>Oral </v>
      </c>
      <c r="J99" s="26" t="str">
        <f>VLOOKUP(A99, 'Session Data'!A:AA,14,false)</f>
        <v>Master's</v>
      </c>
      <c r="K99" s="27" t="str">
        <f>VLOOKUP(A99, 'Session Data'!A:AA,15,false)</f>
        <v>Arts and Letters</v>
      </c>
      <c r="L99" s="28"/>
      <c r="M99" s="29" t="str">
        <f>VLOOKUP(A99, 'Session Data'!A:K,11,false)</f>
        <v>MFA / English (Creativer Writing)</v>
      </c>
      <c r="N99" s="26" t="str">
        <f>IF(ISNA(VLOOKUP(A99, 'Award Abstract#'!C:C, 1, FALSE)), "No", "Yes")
</f>
        <v>No</v>
      </c>
      <c r="O99" s="29" t="str">
        <f>IF(ISNA(VLOOKUP(A99,'Award Abstract#'!B:B,1,FALSE)), "No", "Yes")</f>
        <v>No</v>
      </c>
      <c r="P99" s="29" t="str">
        <f>IF(ISNA(VLOOKUP(A99,'Award Abstract#'!E:E,1,FALSE)), "No", "Yes")</f>
        <v>No</v>
      </c>
      <c r="Q99" s="29" t="str">
        <f>IF(ISNA(VLOOKUP(A99,'Award Abstract#'!A:A,1,FALSE)), "No", "Yes")</f>
        <v>No</v>
      </c>
      <c r="R99" s="29" t="str">
        <f>IF(ISNA(VLOOKUP(A99,'Award Abstract#'!D:D,1,FALSE)), "No", "Yes")</f>
        <v>Yes</v>
      </c>
      <c r="S99" s="30" t="str">
        <f>VLOOKUP(A99, 'Session Data'!A:AA,27,false)</f>
        <v>Woman</v>
      </c>
      <c r="T99" s="30"/>
      <c r="U99" s="30"/>
      <c r="V99" s="31" t="str">
        <f>VLOOKUP(A99, 'Session Data'!A:AA,8,false)</f>
        <v>Anca</v>
      </c>
      <c r="W99" s="32" t="str">
        <f>VLOOKUP(A99, 'Session Data'!A:AA,9,false)</f>
        <v>Segall</v>
      </c>
      <c r="X99" s="33" t="str">
        <f>VLOOKUP(A99, 'Session Data'!A:AA,12,false)</f>
        <v>Exile and Language: A Personal Appreciation of the Romanian Writer Norman Manea</v>
      </c>
      <c r="Y99" s="34" t="str">
        <f>VLOOKUP(A99, 'Session Data'!A:AA,22,false)</f>
        <v>Eve</v>
      </c>
      <c r="Z99" s="34" t="str">
        <f>VLOOKUP(A99, 'Session Data'!A:AA,23,false)</f>
        <v>Kornfeld</v>
      </c>
      <c r="AA99" s="34" t="str">
        <f>VLOOKUP(A99, 'Session Data'!A:AA,25,false)</f>
        <v>Arts and Letters</v>
      </c>
      <c r="AB99" s="34" t="str">
        <f>VLOOKUP(A99, 'Session Data'!A:AA,24,false)</f>
        <v>kornfeld@sdsu.edu</v>
      </c>
      <c r="AC99" s="34" t="str">
        <f>VLOOKUP(A99, 'Session Data'!A:AA,16,false)</f>
        <v/>
      </c>
      <c r="AD99" s="35" t="str">
        <f>VLOOKUP(A99, 'Session Data'!A:U,17,false)</f>
        <v/>
      </c>
      <c r="AE99" s="35" t="str">
        <f>VLOOKUP(A99, 'Session Data'!A:U,18,false)</f>
        <v/>
      </c>
      <c r="AF99" s="35" t="str">
        <f>VLOOKUP(A99, 'Session Data'!A:U,19,false)</f>
        <v/>
      </c>
      <c r="AG99" s="35" t="str">
        <f>VLOOKUP(A99, 'Session Data'!A:U,20,false)</f>
        <v/>
      </c>
      <c r="AH99" s="35" t="str">
        <f>VLOOKUP(A99, 'Session Data'!A:U,21,false)</f>
        <v/>
      </c>
      <c r="AI99" s="37"/>
      <c r="AJ99" s="37"/>
      <c r="AK99" s="37"/>
      <c r="AL99" s="50"/>
      <c r="AM99" s="34" t="str">
        <f>VLOOKUP(A99, 'Session Data'!A:AA,10,false)</f>
        <v>asegall@sdsu.edu</v>
      </c>
      <c r="AN99" s="40"/>
      <c r="AO99" s="75"/>
      <c r="AP99" s="75"/>
      <c r="AQ99" s="75"/>
      <c r="AR99" s="75"/>
      <c r="AS99" s="75"/>
      <c r="AT99" s="75"/>
      <c r="AU99" s="75"/>
      <c r="AV99" s="75"/>
      <c r="AW99" s="75"/>
      <c r="AX99" s="75"/>
      <c r="AY99" s="43"/>
      <c r="AZ99" s="43"/>
      <c r="BA99" s="48"/>
      <c r="BB99" s="48"/>
      <c r="BC99" s="43"/>
      <c r="BD99" s="43"/>
      <c r="BE99" s="44"/>
      <c r="BF99" s="45"/>
      <c r="BG99" s="46"/>
    </row>
    <row r="100">
      <c r="A100" s="19" t="s">
        <v>163</v>
      </c>
      <c r="B100" s="20">
        <f>VLOOKUP(F100,'Session Count DO NOT EDIT'!$A:$C,3,FALSE)</f>
        <v>5</v>
      </c>
      <c r="C100" s="20">
        <f>COUNTIFS('Scores Import DO NOT EDIT'!D:D,A100)</f>
        <v>1</v>
      </c>
      <c r="D100" s="21">
        <f t="shared" si="1"/>
        <v>0.2</v>
      </c>
      <c r="E100" s="22">
        <f>AVERAGEIFS('Scores Import DO NOT EDIT'!L:L,'Scores Import DO NOT EDIT'!D:D,A100)</f>
        <v>22</v>
      </c>
      <c r="F100" s="23" t="str">
        <f>VLOOKUP(A100, 'Session Data'!A:M,3,false)</f>
        <v>B-7</v>
      </c>
      <c r="G100" s="24" t="str">
        <f>VLOOKUP(A100, 'Session Data'!A:I,2,false)</f>
        <v>11:00 AM</v>
      </c>
      <c r="H100" s="23" t="str">
        <f>VLOOKUP(A100, 'Session Data'!A:J,5,false)</f>
        <v>Humanities, History, Literature, Philosophy</v>
      </c>
      <c r="I100" s="25" t="str">
        <f>VLOOKUP(A100, 'Session Data'!A:H,4,false)</f>
        <v>Oral </v>
      </c>
      <c r="J100" s="26" t="str">
        <f>VLOOKUP(A100, 'Session Data'!A:AA,14,false)</f>
        <v>Master's</v>
      </c>
      <c r="K100" s="27" t="str">
        <f>VLOOKUP(A100, 'Session Data'!A:AA,15,false)</f>
        <v>Arts and Letters</v>
      </c>
      <c r="L100" s="28"/>
      <c r="M100" s="29" t="str">
        <f>VLOOKUP(A100, 'Session Data'!A:K,11,false)</f>
        <v>Masters of Arts in Philosophy</v>
      </c>
      <c r="N100" s="26" t="str">
        <f>IF(ISNA(VLOOKUP(A100, 'Award Abstract#'!C:C, 1, FALSE)), "No", "Yes")
</f>
        <v>No</v>
      </c>
      <c r="O100" s="29" t="str">
        <f>IF(ISNA(VLOOKUP(A100,'Award Abstract#'!B:B,1,FALSE)), "No", "Yes")</f>
        <v>No</v>
      </c>
      <c r="P100" s="29" t="str">
        <f>IF(ISNA(VLOOKUP(A100,'Award Abstract#'!E:E,1,FALSE)), "No", "Yes")</f>
        <v>No</v>
      </c>
      <c r="Q100" s="29" t="str">
        <f>IF(ISNA(VLOOKUP(A100,'Award Abstract#'!A:A,1,FALSE)), "No", "Yes")</f>
        <v>No</v>
      </c>
      <c r="R100" s="29" t="str">
        <f>IF(ISNA(VLOOKUP(A100,'Award Abstract#'!D:D,1,FALSE)), "No", "Yes")</f>
        <v>Yes</v>
      </c>
      <c r="S100" s="30" t="str">
        <f>VLOOKUP(A100, 'Session Data'!A:AA,27,false)</f>
        <v>Man</v>
      </c>
      <c r="T100" s="30"/>
      <c r="U100" s="30"/>
      <c r="V100" s="31" t="str">
        <f>VLOOKUP(A100, 'Session Data'!A:AA,8,false)</f>
        <v>Hector</v>
      </c>
      <c r="W100" s="32" t="str">
        <f>VLOOKUP(A100, 'Session Data'!A:AA,9,false)</f>
        <v>Quintero</v>
      </c>
      <c r="X100" s="33" t="str">
        <f>VLOOKUP(A100, 'Session Data'!A:AA,12,false)</f>
        <v>The Aesthetics of Skateboarding</v>
      </c>
      <c r="Y100" s="34" t="str">
        <f>VLOOKUP(A100, 'Session Data'!A:AA,22,false)</f>
        <v>Steven</v>
      </c>
      <c r="Z100" s="34" t="str">
        <f>VLOOKUP(A100, 'Session Data'!A:AA,23,false)</f>
        <v>Barbone</v>
      </c>
      <c r="AA100" s="34" t="str">
        <f>VLOOKUP(A100, 'Session Data'!A:AA,25,false)</f>
        <v>Arts and Letters</v>
      </c>
      <c r="AB100" s="34" t="str">
        <f>VLOOKUP(A100, 'Session Data'!A:AA,24,false)</f>
        <v>sbarbone@sdsu.edu</v>
      </c>
      <c r="AC100" s="34" t="str">
        <f>VLOOKUP(A100, 'Session Data'!A:AA,16,false)</f>
        <v/>
      </c>
      <c r="AD100" s="35" t="str">
        <f>VLOOKUP(A100, 'Session Data'!A:U,17,false)</f>
        <v/>
      </c>
      <c r="AE100" s="35" t="str">
        <f>VLOOKUP(A100, 'Session Data'!A:U,18,false)</f>
        <v/>
      </c>
      <c r="AF100" s="35" t="str">
        <f>VLOOKUP(A100, 'Session Data'!A:U,19,false)</f>
        <v/>
      </c>
      <c r="AG100" s="35" t="str">
        <f>VLOOKUP(A100, 'Session Data'!A:U,20,false)</f>
        <v/>
      </c>
      <c r="AH100" s="35" t="str">
        <f>VLOOKUP(A100, 'Session Data'!A:U,21,false)</f>
        <v/>
      </c>
      <c r="AI100" s="37"/>
      <c r="AJ100" s="37"/>
      <c r="AK100" s="37"/>
      <c r="AL100" s="50"/>
      <c r="AM100" s="34" t="str">
        <f>VLOOKUP(A100, 'Session Data'!A:AA,10,false)</f>
        <v>hquintero9528@sdsu.edu</v>
      </c>
      <c r="AN100" s="40"/>
      <c r="AO100" s="38"/>
      <c r="AP100" s="38"/>
      <c r="AQ100" s="38"/>
      <c r="AR100" s="38"/>
      <c r="AS100" s="38"/>
      <c r="AT100" s="38"/>
      <c r="AU100" s="38"/>
      <c r="AV100" s="38"/>
      <c r="AW100" s="38"/>
      <c r="AX100" s="38"/>
      <c r="AY100" s="43"/>
      <c r="AZ100" s="43"/>
      <c r="BA100" s="43"/>
      <c r="BB100" s="43"/>
      <c r="BC100" s="43"/>
      <c r="BD100" s="43"/>
      <c r="BE100" s="44"/>
      <c r="BF100" s="45"/>
      <c r="BG100" s="43"/>
    </row>
    <row r="101">
      <c r="A101" s="19" t="s">
        <v>164</v>
      </c>
      <c r="B101" s="20">
        <f>VLOOKUP(F101,'Session Count DO NOT EDIT'!$A:$C,3,FALSE)</f>
        <v>5</v>
      </c>
      <c r="C101" s="20">
        <f>COUNTIFS('Scores Import DO NOT EDIT'!D:D,A101)</f>
        <v>0</v>
      </c>
      <c r="D101" s="21">
        <f t="shared" si="1"/>
        <v>0</v>
      </c>
      <c r="E101" s="22" t="str">
        <f>AVERAGEIFS('Scores Import DO NOT EDIT'!L:L,'Scores Import DO NOT EDIT'!D:D,A101)</f>
        <v>#DIV/0!</v>
      </c>
      <c r="F101" s="23" t="str">
        <f>VLOOKUP(A101, 'Session Data'!A:M,3,false)</f>
        <v>B-8</v>
      </c>
      <c r="G101" s="24" t="str">
        <f>VLOOKUP(A101, 'Session Data'!A:I,2,false)</f>
        <v>11:00 AM</v>
      </c>
      <c r="H101" s="23" t="str">
        <f>VLOOKUP(A101, 'Session Data'!A:J,5,false)</f>
        <v>Physical and Mathematical Sciences</v>
      </c>
      <c r="I101" s="25" t="str">
        <f>VLOOKUP(A101, 'Session Data'!A:H,4,false)</f>
        <v>Oral </v>
      </c>
      <c r="J101" s="26" t="str">
        <f>VLOOKUP(A101, 'Session Data'!A:AA,14,false)</f>
        <v>Master's</v>
      </c>
      <c r="K101" s="27" t="str">
        <f>VLOOKUP(A101, 'Session Data'!A:AA,15,false)</f>
        <v>Sciences</v>
      </c>
      <c r="L101" s="28"/>
      <c r="M101" s="29" t="str">
        <f>VLOOKUP(A101, 'Session Data'!A:K,11,false)</f>
        <v>Master's of Science in Physics</v>
      </c>
      <c r="N101" s="26" t="str">
        <f>IF(ISNA(VLOOKUP(A101, 'Award Abstract#'!C:C, 1, FALSE)), "No", "Yes")
</f>
        <v>No</v>
      </c>
      <c r="O101" s="29" t="str">
        <f>IF(ISNA(VLOOKUP(A101,'Award Abstract#'!B:B,1,FALSE)), "No", "Yes")</f>
        <v>No</v>
      </c>
      <c r="P101" s="29" t="str">
        <f>IF(ISNA(VLOOKUP(A101,'Award Abstract#'!E:E,1,FALSE)), "No", "Yes")</f>
        <v>No</v>
      </c>
      <c r="Q101" s="29" t="str">
        <f>IF(ISNA(VLOOKUP(A101,'Award Abstract#'!A:A,1,FALSE)), "No", "Yes")</f>
        <v>No</v>
      </c>
      <c r="R101" s="29" t="str">
        <f>IF(ISNA(VLOOKUP(A101,'Award Abstract#'!D:D,1,FALSE)), "No", "Yes")</f>
        <v>No</v>
      </c>
      <c r="S101" s="30" t="str">
        <f>VLOOKUP(A101, 'Session Data'!A:AA,27,false)</f>
        <v>Woman</v>
      </c>
      <c r="T101" s="30"/>
      <c r="U101" s="30"/>
      <c r="V101" s="31" t="str">
        <f>VLOOKUP(A101, 'Session Data'!A:AA,8,false)</f>
        <v>Alekhya</v>
      </c>
      <c r="W101" s="32" t="str">
        <f>VLOOKUP(A101, 'Session Data'!A:AA,9,false)</f>
        <v>Nagulapally Alekhya</v>
      </c>
      <c r="X101" s="33" t="str">
        <f>VLOOKUP(A101, 'Session Data'!A:AA,12,false)</f>
        <v>Light Travel</v>
      </c>
      <c r="Y101" s="34" t="str">
        <f>VLOOKUP(A101, 'Session Data'!A:AA,22,false)</f>
        <v>NA</v>
      </c>
      <c r="Z101" s="34" t="str">
        <f>VLOOKUP(A101, 'Session Data'!A:AA,23,false)</f>
        <v>NA</v>
      </c>
      <c r="AA101" s="34" t="str">
        <f>VLOOKUP(A101, 'Session Data'!A:AA,25,false)</f>
        <v>Other</v>
      </c>
      <c r="AB101" s="34"/>
      <c r="AC101" s="34" t="str">
        <f>VLOOKUP(A101, 'Session Data'!A:AA,16,false)</f>
        <v/>
      </c>
      <c r="AD101" s="35" t="str">
        <f>VLOOKUP(A101, 'Session Data'!A:U,17,false)</f>
        <v/>
      </c>
      <c r="AE101" s="35" t="str">
        <f>VLOOKUP(A101, 'Session Data'!A:U,18,false)</f>
        <v/>
      </c>
      <c r="AF101" s="35" t="str">
        <f>VLOOKUP(A101, 'Session Data'!A:U,19,false)</f>
        <v/>
      </c>
      <c r="AG101" s="35" t="str">
        <f>VLOOKUP(A101, 'Session Data'!A:U,20,false)</f>
        <v/>
      </c>
      <c r="AH101" s="35" t="str">
        <f>VLOOKUP(A101, 'Session Data'!A:U,21,false)</f>
        <v/>
      </c>
      <c r="AI101" s="36"/>
      <c r="AJ101" s="38"/>
      <c r="AK101" s="38"/>
      <c r="AL101" s="39"/>
      <c r="AM101" s="34" t="str">
        <f>VLOOKUP(A101, 'Session Data'!A:AA,10,false)</f>
        <v>anagulapally9746@sdsu.edu</v>
      </c>
      <c r="AN101" s="40"/>
      <c r="AO101" s="38"/>
      <c r="AP101" s="38"/>
      <c r="AQ101" s="38"/>
      <c r="AR101" s="38"/>
      <c r="AS101" s="38"/>
      <c r="AT101" s="38"/>
      <c r="AU101" s="38"/>
      <c r="AV101" s="38"/>
      <c r="AW101" s="38"/>
      <c r="AX101" s="38"/>
      <c r="AY101" s="43"/>
      <c r="AZ101" s="43"/>
      <c r="BA101" s="48"/>
      <c r="BB101" s="48"/>
      <c r="BC101" s="43"/>
      <c r="BD101" s="43"/>
      <c r="BE101" s="44"/>
      <c r="BF101" s="45"/>
      <c r="BG101" s="46"/>
    </row>
    <row r="102">
      <c r="A102" s="19" t="s">
        <v>165</v>
      </c>
      <c r="B102" s="20">
        <f>VLOOKUP(F102,'Session Count DO NOT EDIT'!$A:$C,3,FALSE)</f>
        <v>5</v>
      </c>
      <c r="C102" s="20">
        <f>COUNTIFS('Scores Import DO NOT EDIT'!D:D,A102)</f>
        <v>4</v>
      </c>
      <c r="D102" s="21">
        <f t="shared" si="1"/>
        <v>0.8</v>
      </c>
      <c r="E102" s="22">
        <f>AVERAGEIFS('Scores Import DO NOT EDIT'!L:L,'Scores Import DO NOT EDIT'!D:D,A102)</f>
        <v>31.5</v>
      </c>
      <c r="F102" s="23" t="str">
        <f>VLOOKUP(A102, 'Session Data'!A:M,3,false)</f>
        <v>B-8</v>
      </c>
      <c r="G102" s="24" t="str">
        <f>VLOOKUP(A102, 'Session Data'!A:I,2,false)</f>
        <v>11:00 AM</v>
      </c>
      <c r="H102" s="23" t="str">
        <f>VLOOKUP(A102, 'Session Data'!A:J,5,false)</f>
        <v>Physical and Mathematical Sciences</v>
      </c>
      <c r="I102" s="25" t="str">
        <f>VLOOKUP(A102, 'Session Data'!A:H,4,false)</f>
        <v>Oral </v>
      </c>
      <c r="J102" s="26" t="str">
        <f>VLOOKUP(A102, 'Session Data'!A:AA,14,false)</f>
        <v>Master's</v>
      </c>
      <c r="K102" s="27" t="str">
        <f>VLOOKUP(A102, 'Session Data'!A:AA,15,false)</f>
        <v>Sciences</v>
      </c>
      <c r="L102" s="28"/>
      <c r="M102" s="29" t="str">
        <f>VLOOKUP(A102, 'Session Data'!A:K,11,false)</f>
        <v>Astronomy/Master's</v>
      </c>
      <c r="N102" s="26" t="str">
        <f>IF(ISNA(VLOOKUP(A102, 'Award Abstract#'!C:C, 1, FALSE)), "No", "Yes")
</f>
        <v>No</v>
      </c>
      <c r="O102" s="29" t="str">
        <f>IF(ISNA(VLOOKUP(A102,'Award Abstract#'!B:B,1,FALSE)), "No", "Yes")</f>
        <v>No</v>
      </c>
      <c r="P102" s="29" t="str">
        <f>IF(ISNA(VLOOKUP(A102,'Award Abstract#'!E:E,1,FALSE)), "No", "Yes")</f>
        <v>No</v>
      </c>
      <c r="Q102" s="29" t="str">
        <f>IF(ISNA(VLOOKUP(A102,'Award Abstract#'!A:A,1,FALSE)), "No", "Yes")</f>
        <v>No</v>
      </c>
      <c r="R102" s="29" t="str">
        <f>IF(ISNA(VLOOKUP(A102,'Award Abstract#'!D:D,1,FALSE)), "No", "Yes")</f>
        <v>No</v>
      </c>
      <c r="S102" s="30" t="str">
        <f>VLOOKUP(A102, 'Session Data'!A:AA,27,false)</f>
        <v>Man</v>
      </c>
      <c r="T102" s="30"/>
      <c r="U102" s="30"/>
      <c r="V102" s="31" t="str">
        <f>VLOOKUP(A102, 'Session Data'!A:AA,8,false)</f>
        <v>Joshua</v>
      </c>
      <c r="W102" s="32" t="str">
        <f>VLOOKUP(A102, 'Session Data'!A:AA,9,false)</f>
        <v>Bardwell</v>
      </c>
      <c r="X102" s="33" t="str">
        <f>VLOOKUP(A102, 'Session Data'!A:AA,12,false)</f>
        <v>Gravitational Waveforms of EMRI’s with Eccentricity and Supermassive Black Hole Spin</v>
      </c>
      <c r="Y102" s="34" t="str">
        <f>VLOOKUP(A102, 'Session Data'!A:AA,22,false)</f>
        <v>Robert</v>
      </c>
      <c r="Z102" s="34" t="str">
        <f>VLOOKUP(A102, 'Session Data'!A:AA,23,false)</f>
        <v>Quimby</v>
      </c>
      <c r="AA102" s="34" t="str">
        <f>VLOOKUP(A102, 'Session Data'!A:AA,25,false)</f>
        <v>Sciences</v>
      </c>
      <c r="AB102" s="34"/>
      <c r="AC102" s="34" t="str">
        <f>VLOOKUP(A102, 'Session Data'!A:AA,16,false)</f>
        <v/>
      </c>
      <c r="AD102" s="35" t="str">
        <f>VLOOKUP(A102, 'Session Data'!A:U,17,false)</f>
        <v/>
      </c>
      <c r="AE102" s="35" t="str">
        <f>VLOOKUP(A102, 'Session Data'!A:U,18,false)</f>
        <v/>
      </c>
      <c r="AF102" s="35" t="str">
        <f>VLOOKUP(A102, 'Session Data'!A:U,19,false)</f>
        <v/>
      </c>
      <c r="AG102" s="35" t="str">
        <f>VLOOKUP(A102, 'Session Data'!A:U,20,false)</f>
        <v/>
      </c>
      <c r="AH102" s="35" t="str">
        <f>VLOOKUP(A102, 'Session Data'!A:U,21,false)</f>
        <v/>
      </c>
      <c r="AI102" s="36"/>
      <c r="AJ102" s="38"/>
      <c r="AK102" s="38"/>
      <c r="AL102" s="39"/>
      <c r="AM102" s="34" t="str">
        <f>VLOOKUP(A102, 'Session Data'!A:AA,10,false)</f>
        <v>jbardwell3131@sdsu.edu</v>
      </c>
      <c r="AN102" s="40"/>
      <c r="AO102" s="38"/>
      <c r="AP102" s="38"/>
      <c r="AQ102" s="38"/>
      <c r="AR102" s="38"/>
      <c r="AS102" s="38"/>
      <c r="AT102" s="38"/>
      <c r="AU102" s="38"/>
      <c r="AV102" s="38"/>
      <c r="AW102" s="38"/>
      <c r="AX102" s="38"/>
      <c r="AY102" s="43"/>
      <c r="AZ102" s="43"/>
      <c r="BA102" s="43"/>
      <c r="BB102" s="43"/>
      <c r="BC102" s="43"/>
      <c r="BD102" s="43"/>
      <c r="BE102" s="44"/>
      <c r="BF102" s="45"/>
      <c r="BG102" s="43"/>
    </row>
    <row r="103">
      <c r="A103" s="19" t="s">
        <v>166</v>
      </c>
      <c r="B103" s="20">
        <f>VLOOKUP(F103,'Session Count DO NOT EDIT'!$A:$C,3,FALSE)</f>
        <v>5</v>
      </c>
      <c r="C103" s="20">
        <f>COUNTIFS('Scores Import DO NOT EDIT'!D:D,A103)</f>
        <v>3</v>
      </c>
      <c r="D103" s="21">
        <f t="shared" si="1"/>
        <v>0.6</v>
      </c>
      <c r="E103" s="22">
        <f>AVERAGEIFS('Scores Import DO NOT EDIT'!L:L,'Scores Import DO NOT EDIT'!D:D,A103)</f>
        <v>29</v>
      </c>
      <c r="F103" s="23" t="str">
        <f>VLOOKUP(A103, 'Session Data'!A:M,3,false)</f>
        <v>B-8</v>
      </c>
      <c r="G103" s="24" t="str">
        <f>VLOOKUP(A103, 'Session Data'!A:I,2,false)</f>
        <v>11:00 AM</v>
      </c>
      <c r="H103" s="23" t="str">
        <f>VLOOKUP(A103, 'Session Data'!A:J,5,false)</f>
        <v>Physical and Mathematical Sciences</v>
      </c>
      <c r="I103" s="25" t="str">
        <f>VLOOKUP(A103, 'Session Data'!A:H,4,false)</f>
        <v>Oral </v>
      </c>
      <c r="J103" s="26" t="str">
        <f>VLOOKUP(A103, 'Session Data'!A:AA,14,false)</f>
        <v>Master's</v>
      </c>
      <c r="K103" s="27" t="str">
        <f>VLOOKUP(A103, 'Session Data'!A:AA,15,false)</f>
        <v>Sciences</v>
      </c>
      <c r="L103" s="28"/>
      <c r="M103" s="29" t="str">
        <f>VLOOKUP(A103, 'Session Data'!A:K,11,false)</f>
        <v>Masters of Science in Astronomy</v>
      </c>
      <c r="N103" s="26" t="str">
        <f>IF(ISNA(VLOOKUP(A103, 'Award Abstract#'!C:C, 1, FALSE)), "No", "Yes")
</f>
        <v>No</v>
      </c>
      <c r="O103" s="29" t="str">
        <f>IF(ISNA(VLOOKUP(A103,'Award Abstract#'!B:B,1,FALSE)), "No", "Yes")</f>
        <v>No</v>
      </c>
      <c r="P103" s="29" t="str">
        <f>IF(ISNA(VLOOKUP(A103,'Award Abstract#'!E:E,1,FALSE)), "No", "Yes")</f>
        <v>No</v>
      </c>
      <c r="Q103" s="29" t="str">
        <f>IF(ISNA(VLOOKUP(A103,'Award Abstract#'!A:A,1,FALSE)), "No", "Yes")</f>
        <v>No</v>
      </c>
      <c r="R103" s="29" t="str">
        <f>IF(ISNA(VLOOKUP(A103,'Award Abstract#'!D:D,1,FALSE)), "No", "Yes")</f>
        <v>No</v>
      </c>
      <c r="S103" s="30" t="str">
        <f>VLOOKUP(A103, 'Session Data'!A:AA,27,false)</f>
        <v>Woman</v>
      </c>
      <c r="T103" s="30"/>
      <c r="U103" s="30"/>
      <c r="V103" s="31" t="str">
        <f>VLOOKUP(A103, 'Session Data'!A:AA,8,false)</f>
        <v>Margo</v>
      </c>
      <c r="W103" s="32" t="str">
        <f>VLOOKUP(A103, 'Session Data'!A:AA,9,false)</f>
        <v>Thornton</v>
      </c>
      <c r="X103" s="33" t="str">
        <f>VLOOKUP(A103, 'Session Data'!A:AA,12,false)</f>
        <v>A Search for Circumbinary Planets in Kepler Short-Period Binary Star Light Curves</v>
      </c>
      <c r="Y103" s="34" t="str">
        <f>VLOOKUP(A103, 'Session Data'!A:AA,22,false)</f>
        <v>William</v>
      </c>
      <c r="Z103" s="34" t="str">
        <f>VLOOKUP(A103, 'Session Data'!A:AA,23,false)</f>
        <v>Welsh</v>
      </c>
      <c r="AA103" s="34" t="str">
        <f>VLOOKUP(A103, 'Session Data'!A:AA,25,false)</f>
        <v>Sciences</v>
      </c>
      <c r="AB103" s="34"/>
      <c r="AC103" s="34" t="str">
        <f>VLOOKUP(A103, 'Session Data'!A:AA,16,false)</f>
        <v/>
      </c>
      <c r="AD103" s="35" t="str">
        <f>VLOOKUP(A103, 'Session Data'!A:U,17,false)</f>
        <v/>
      </c>
      <c r="AE103" s="35" t="str">
        <f>VLOOKUP(A103, 'Session Data'!A:U,18,false)</f>
        <v/>
      </c>
      <c r="AF103" s="35" t="str">
        <f>VLOOKUP(A103, 'Session Data'!A:U,19,false)</f>
        <v/>
      </c>
      <c r="AG103" s="35" t="str">
        <f>VLOOKUP(A103, 'Session Data'!A:U,20,false)</f>
        <v/>
      </c>
      <c r="AH103" s="35" t="str">
        <f>VLOOKUP(A103, 'Session Data'!A:U,21,false)</f>
        <v/>
      </c>
      <c r="AI103" s="36"/>
      <c r="AJ103" s="38"/>
      <c r="AK103" s="38"/>
      <c r="AL103" s="39"/>
      <c r="AM103" s="34" t="str">
        <f>VLOOKUP(A103, 'Session Data'!A:AA,10,false)</f>
        <v>mthornton4414@sdsu.edu</v>
      </c>
      <c r="AN103" s="40"/>
      <c r="AO103" s="38"/>
      <c r="AP103" s="38"/>
      <c r="AQ103" s="38"/>
      <c r="AR103" s="38"/>
      <c r="AS103" s="38"/>
      <c r="AT103" s="38"/>
      <c r="AU103" s="38"/>
      <c r="AV103" s="38"/>
      <c r="AW103" s="38"/>
      <c r="AX103" s="38"/>
      <c r="AY103" s="43"/>
      <c r="AZ103" s="43"/>
      <c r="BA103" s="48"/>
      <c r="BB103" s="48"/>
      <c r="BC103" s="43"/>
      <c r="BD103" s="43"/>
      <c r="BE103" s="44"/>
      <c r="BF103" s="45"/>
      <c r="BG103" s="43"/>
    </row>
    <row r="104">
      <c r="A104" s="19" t="s">
        <v>167</v>
      </c>
      <c r="B104" s="20">
        <f>VLOOKUP(F104,'Session Count DO NOT EDIT'!$A:$C,3,FALSE)</f>
        <v>5</v>
      </c>
      <c r="C104" s="20">
        <f>COUNTIFS('Scores Import DO NOT EDIT'!D:D,A104)</f>
        <v>4</v>
      </c>
      <c r="D104" s="21">
        <f t="shared" si="1"/>
        <v>0.8</v>
      </c>
      <c r="E104" s="22">
        <f>AVERAGEIFS('Scores Import DO NOT EDIT'!L:L,'Scores Import DO NOT EDIT'!D:D,A104)</f>
        <v>26.5</v>
      </c>
      <c r="F104" s="23" t="str">
        <f>VLOOKUP(A104, 'Session Data'!A:M,3,false)</f>
        <v>B-8</v>
      </c>
      <c r="G104" s="24" t="str">
        <f>VLOOKUP(A104, 'Session Data'!A:I,2,false)</f>
        <v>11:00 AM</v>
      </c>
      <c r="H104" s="23" t="str">
        <f>VLOOKUP(A104, 'Session Data'!A:J,5,false)</f>
        <v>Physical and Mathematical Sciences</v>
      </c>
      <c r="I104" s="25" t="str">
        <f>VLOOKUP(A104, 'Session Data'!A:H,4,false)</f>
        <v>Oral </v>
      </c>
      <c r="J104" s="26" t="str">
        <f>VLOOKUP(A104, 'Session Data'!A:AA,14,false)</f>
        <v>Master's</v>
      </c>
      <c r="K104" s="27" t="str">
        <f>VLOOKUP(A104, 'Session Data'!A:AA,15,false)</f>
        <v>Sciences</v>
      </c>
      <c r="L104" s="47"/>
      <c r="M104" s="29" t="str">
        <f>VLOOKUP(A104, 'Session Data'!A:K,11,false)</f>
        <v>M.S. in Astronomy</v>
      </c>
      <c r="N104" s="26" t="str">
        <f>IF(ISNA(VLOOKUP(A104, 'Award Abstract#'!C:C, 1, FALSE)), "No", "Yes")
</f>
        <v>No</v>
      </c>
      <c r="O104" s="29" t="str">
        <f>IF(ISNA(VLOOKUP(A104,'Award Abstract#'!B:B,1,FALSE)), "No", "Yes")</f>
        <v>No</v>
      </c>
      <c r="P104" s="29" t="str">
        <f>IF(ISNA(VLOOKUP(A104,'Award Abstract#'!E:E,1,FALSE)), "No", "Yes")</f>
        <v>No</v>
      </c>
      <c r="Q104" s="29" t="str">
        <f>IF(ISNA(VLOOKUP(A104,'Award Abstract#'!A:A,1,FALSE)), "No", "Yes")</f>
        <v>No</v>
      </c>
      <c r="R104" s="29" t="str">
        <f>IF(ISNA(VLOOKUP(A104,'Award Abstract#'!D:D,1,FALSE)), "No", "Yes")</f>
        <v>No</v>
      </c>
      <c r="S104" s="30" t="str">
        <f>VLOOKUP(A104, 'Session Data'!A:AA,27,false)</f>
        <v>Man</v>
      </c>
      <c r="T104" s="30"/>
      <c r="U104" s="30"/>
      <c r="V104" s="31" t="str">
        <f>VLOOKUP(A104, 'Session Data'!A:AA,8,false)</f>
        <v>Vladimir</v>
      </c>
      <c r="W104" s="32" t="str">
        <f>VLOOKUP(A104, 'Session Data'!A:AA,9,false)</f>
        <v>Bautista</v>
      </c>
      <c r="X104" s="33" t="str">
        <f>VLOOKUP(A104, 'Session Data'!A:AA,12,false)</f>
        <v>Limits on Circumbinary Planet Habitable Zones</v>
      </c>
      <c r="Y104" s="34" t="str">
        <f>VLOOKUP(A104, 'Session Data'!A:AA,22,false)</f>
        <v>William</v>
      </c>
      <c r="Z104" s="34" t="str">
        <f>VLOOKUP(A104, 'Session Data'!A:AA,23,false)</f>
        <v>Welsh</v>
      </c>
      <c r="AA104" s="34" t="str">
        <f>VLOOKUP(A104, 'Session Data'!A:AA,25,false)</f>
        <v>Sciences</v>
      </c>
      <c r="AB104" s="34"/>
      <c r="AC104" s="34" t="str">
        <f>VLOOKUP(A104, 'Session Data'!A:AA,16,false)</f>
        <v/>
      </c>
      <c r="AD104" s="35" t="str">
        <f>VLOOKUP(A104, 'Session Data'!A:U,17,false)</f>
        <v/>
      </c>
      <c r="AE104" s="35" t="str">
        <f>VLOOKUP(A104, 'Session Data'!A:U,18,false)</f>
        <v/>
      </c>
      <c r="AF104" s="35" t="str">
        <f>VLOOKUP(A104, 'Session Data'!A:U,19,false)</f>
        <v/>
      </c>
      <c r="AG104" s="35" t="str">
        <f>VLOOKUP(A104, 'Session Data'!A:U,20,false)</f>
        <v/>
      </c>
      <c r="AH104" s="35" t="str">
        <f>VLOOKUP(A104, 'Session Data'!A:U,21,false)</f>
        <v/>
      </c>
      <c r="AI104" s="36"/>
      <c r="AJ104" s="38"/>
      <c r="AK104" s="38"/>
      <c r="AL104" s="39"/>
      <c r="AM104" s="34" t="str">
        <f>VLOOKUP(A104, 'Session Data'!A:AA,10,false)</f>
        <v>vbautista3185@sdsu.edu</v>
      </c>
      <c r="AN104" s="40"/>
      <c r="AO104" s="38"/>
      <c r="AP104" s="38"/>
      <c r="AQ104" s="38"/>
      <c r="AR104" s="38"/>
      <c r="AS104" s="38"/>
      <c r="AT104" s="38"/>
      <c r="AU104" s="38"/>
      <c r="AV104" s="38"/>
      <c r="AW104" s="38"/>
      <c r="AX104" s="38"/>
      <c r="AY104" s="43"/>
      <c r="AZ104" s="43"/>
      <c r="BA104" s="43"/>
      <c r="BB104" s="43"/>
      <c r="BC104" s="43"/>
      <c r="BD104" s="43"/>
      <c r="BE104" s="44"/>
      <c r="BF104" s="45"/>
      <c r="BG104" s="43"/>
    </row>
    <row r="105">
      <c r="A105" s="19" t="s">
        <v>168</v>
      </c>
      <c r="B105" s="20">
        <f>VLOOKUP(F105,'Session Count DO NOT EDIT'!$A:$C,3,FALSE)</f>
        <v>5</v>
      </c>
      <c r="C105" s="20">
        <f>COUNTIFS('Scores Import DO NOT EDIT'!D:D,A105)</f>
        <v>3</v>
      </c>
      <c r="D105" s="21">
        <f t="shared" si="1"/>
        <v>0.6</v>
      </c>
      <c r="E105" s="22">
        <f>AVERAGEIFS('Scores Import DO NOT EDIT'!L:L,'Scores Import DO NOT EDIT'!D:D,A105)</f>
        <v>26</v>
      </c>
      <c r="F105" s="23" t="str">
        <f>VLOOKUP(A105, 'Session Data'!A:M,3,false)</f>
        <v>B-8</v>
      </c>
      <c r="G105" s="24" t="str">
        <f>VLOOKUP(A105, 'Session Data'!A:I,2,false)</f>
        <v>11:00 AM</v>
      </c>
      <c r="H105" s="23" t="str">
        <f>VLOOKUP(A105, 'Session Data'!A:J,5,false)</f>
        <v>Physical and Mathematical Sciences</v>
      </c>
      <c r="I105" s="25" t="str">
        <f>VLOOKUP(A105, 'Session Data'!A:H,4,false)</f>
        <v>Oral </v>
      </c>
      <c r="J105" s="26" t="str">
        <f>VLOOKUP(A105, 'Session Data'!A:AA,14,false)</f>
        <v>Master's</v>
      </c>
      <c r="K105" s="27" t="str">
        <f>VLOOKUP(A105, 'Session Data'!A:AA,15,false)</f>
        <v>Sciences</v>
      </c>
      <c r="L105" s="28" t="s">
        <v>169</v>
      </c>
      <c r="M105" s="29" t="str">
        <f>VLOOKUP(A105, 'Session Data'!A:K,11,false)</f>
        <v>Master of Science in Statistics</v>
      </c>
      <c r="N105" s="26" t="str">
        <f>IF(ISNA(VLOOKUP(A105, 'Award Abstract#'!C:C, 1, FALSE)), "No", "Yes")
</f>
        <v>Yes</v>
      </c>
      <c r="O105" s="29" t="str">
        <f>IF(ISNA(VLOOKUP(A105,'Award Abstract#'!B:B,1,FALSE)), "No", "Yes")</f>
        <v>No</v>
      </c>
      <c r="P105" s="29" t="str">
        <f>IF(ISNA(VLOOKUP(A105,'Award Abstract#'!E:E,1,FALSE)), "No", "Yes")</f>
        <v>No</v>
      </c>
      <c r="Q105" s="29" t="str">
        <f>IF(ISNA(VLOOKUP(A105,'Award Abstract#'!A:A,1,FALSE)), "No", "Yes")</f>
        <v>No</v>
      </c>
      <c r="R105" s="29" t="str">
        <f>IF(ISNA(VLOOKUP(A105,'Award Abstract#'!D:D,1,FALSE)), "No", "Yes")</f>
        <v>No</v>
      </c>
      <c r="S105" s="30" t="str">
        <f>VLOOKUP(A105, 'Session Data'!A:AA,27,false)</f>
        <v>Man</v>
      </c>
      <c r="T105" s="30"/>
      <c r="U105" s="30"/>
      <c r="V105" s="31" t="str">
        <f>VLOOKUP(A105, 'Session Data'!A:AA,8,false)</f>
        <v>David</v>
      </c>
      <c r="W105" s="32" t="str">
        <f>VLOOKUP(A105, 'Session Data'!A:AA,9,false)</f>
        <v>Neuhaeusler</v>
      </c>
      <c r="X105" s="33" t="str">
        <f>VLOOKUP(A105, 'Session Data'!A:AA,12,false)</f>
        <v>Prediction of Delisting using a Machine Learning Ensemble</v>
      </c>
      <c r="Y105" s="34" t="str">
        <f>VLOOKUP(A105, 'Session Data'!A:AA,22,false)</f>
        <v>Junanjuan</v>
      </c>
      <c r="Z105" s="34" t="str">
        <f>VLOOKUP(A105, 'Session Data'!A:AA,23,false)</f>
        <v>Fan</v>
      </c>
      <c r="AA105" s="34" t="str">
        <f>VLOOKUP(A105, 'Session Data'!A:AA,25,false)</f>
        <v>Sciences</v>
      </c>
      <c r="AB105" s="34" t="str">
        <f>VLOOKUP(A105, 'Session Data'!A:AA,24,false)</f>
        <v>jjfan@sdsu.edu</v>
      </c>
      <c r="AC105" s="34" t="str">
        <f>VLOOKUP(A105, 'Session Data'!A:AA,16,false)</f>
        <v/>
      </c>
      <c r="AD105" s="35" t="str">
        <f>VLOOKUP(A105, 'Session Data'!A:U,17,false)</f>
        <v/>
      </c>
      <c r="AE105" s="35" t="str">
        <f>VLOOKUP(A105, 'Session Data'!A:U,18,false)</f>
        <v/>
      </c>
      <c r="AF105" s="35" t="str">
        <f>VLOOKUP(A105, 'Session Data'!A:U,19,false)</f>
        <v/>
      </c>
      <c r="AG105" s="35" t="str">
        <f>VLOOKUP(A105, 'Session Data'!A:U,20,false)</f>
        <v/>
      </c>
      <c r="AH105" s="35" t="str">
        <f>VLOOKUP(A105, 'Session Data'!A:U,21,false)</f>
        <v/>
      </c>
      <c r="AI105" s="36"/>
      <c r="AJ105" s="38"/>
      <c r="AK105" s="38"/>
      <c r="AL105" s="39"/>
      <c r="AM105" s="34" t="str">
        <f>VLOOKUP(A105, 'Session Data'!A:AA,10,false)</f>
        <v>dneuhaeusler2839@sdsu.edu</v>
      </c>
      <c r="AN105" s="40"/>
      <c r="AO105" s="38"/>
      <c r="AP105" s="38"/>
      <c r="AQ105" s="38"/>
      <c r="AR105" s="38"/>
      <c r="AS105" s="38"/>
      <c r="AT105" s="38"/>
      <c r="AU105" s="38"/>
      <c r="AV105" s="38"/>
      <c r="AW105" s="38"/>
      <c r="AX105" s="38"/>
      <c r="AY105" s="43"/>
      <c r="AZ105" s="43"/>
      <c r="BA105" s="43"/>
      <c r="BB105" s="43"/>
      <c r="BC105" s="43"/>
      <c r="BD105" s="43"/>
      <c r="BE105" s="44"/>
      <c r="BF105" s="45"/>
      <c r="BG105" s="46"/>
    </row>
    <row r="106">
      <c r="A106" s="19" t="s">
        <v>170</v>
      </c>
      <c r="B106" s="20">
        <f>VLOOKUP(F106,'Session Count DO NOT EDIT'!$A:$C,3,FALSE)</f>
        <v>5</v>
      </c>
      <c r="C106" s="20">
        <f>COUNTIFS('Scores Import DO NOT EDIT'!D:D,A106)</f>
        <v>4</v>
      </c>
      <c r="D106" s="21">
        <f t="shared" si="1"/>
        <v>0.8</v>
      </c>
      <c r="E106" s="22">
        <f>AVERAGEIFS('Scores Import DO NOT EDIT'!L:L,'Scores Import DO NOT EDIT'!D:D,A106)</f>
        <v>32</v>
      </c>
      <c r="F106" s="23" t="str">
        <f>VLOOKUP(A106, 'Session Data'!A:M,3,false)</f>
        <v>B-9</v>
      </c>
      <c r="G106" s="24" t="str">
        <f>VLOOKUP(A106, 'Session Data'!A:I,2,false)</f>
        <v>11:00 AM</v>
      </c>
      <c r="H106" s="23" t="str">
        <f>VLOOKUP(A106, 'Session Data'!A:J,5,false)</f>
        <v>Biological and Agricultural Sciences</v>
      </c>
      <c r="I106" s="25" t="str">
        <f>VLOOKUP(A106, 'Session Data'!A:H,4,false)</f>
        <v>Oral </v>
      </c>
      <c r="J106" s="26" t="str">
        <f>VLOOKUP(A106, 'Session Data'!A:AA,14,false)</f>
        <v>Doctoral</v>
      </c>
      <c r="K106" s="27" t="str">
        <f>VLOOKUP(A106, 'Session Data'!A:AA,15,false)</f>
        <v>Sciences</v>
      </c>
      <c r="L106" s="28" t="s">
        <v>98</v>
      </c>
      <c r="M106" s="29" t="str">
        <f>VLOOKUP(A106, 'Session Data'!A:K,11,false)</f>
        <v>PhD</v>
      </c>
      <c r="N106" s="26" t="str">
        <f>IF(ISNA(VLOOKUP(A106, 'Award Abstract#'!C:C, 1, FALSE)), "No", "Yes")
</f>
        <v>No</v>
      </c>
      <c r="O106" s="29" t="str">
        <f>IF(ISNA(VLOOKUP(A106,'Award Abstract#'!B:B,1,FALSE)), "No", "Yes")</f>
        <v>No</v>
      </c>
      <c r="P106" s="29" t="str">
        <f>IF(ISNA(VLOOKUP(A106,'Award Abstract#'!E:E,1,FALSE)), "No", "Yes")</f>
        <v>No</v>
      </c>
      <c r="Q106" s="29" t="str">
        <f>IF(ISNA(VLOOKUP(A106,'Award Abstract#'!A:A,1,FALSE)), "No", "Yes")</f>
        <v>No</v>
      </c>
      <c r="R106" s="29" t="str">
        <f>IF(ISNA(VLOOKUP(A106,'Award Abstract#'!D:D,1,FALSE)), "No", "Yes")</f>
        <v>No</v>
      </c>
      <c r="S106" s="30" t="str">
        <f>VLOOKUP(A106, 'Session Data'!A:AA,27,false)</f>
        <v>Woman</v>
      </c>
      <c r="T106" s="30"/>
      <c r="U106" s="30"/>
      <c r="V106" s="31" t="str">
        <f>VLOOKUP(A106, 'Session Data'!A:AA,8,false)</f>
        <v>Karina </v>
      </c>
      <c r="W106" s="32" t="str">
        <f>VLOOKUP(A106, 'Session Data'!A:AA,9,false)</f>
        <v>Cerda</v>
      </c>
      <c r="X106" s="33" t="str">
        <f>VLOOKUP(A106, 'Session Data'!A:AA,12,false)</f>
        <v>Tri-trophic interaction: Two fungis and a pine tree.</v>
      </c>
      <c r="Y106" s="34" t="str">
        <f>VLOOKUP(A106, 'Session Data'!A:AA,22,false)</f>
        <v>Lluvia </v>
      </c>
      <c r="Z106" s="34" t="str">
        <f>VLOOKUP(A106, 'Session Data'!A:AA,23,false)</f>
        <v>Flores-Renteria</v>
      </c>
      <c r="AA106" s="34" t="str">
        <f>VLOOKUP(A106, 'Session Data'!A:AA,25,false)</f>
        <v>Sciences</v>
      </c>
      <c r="AB106" s="34"/>
      <c r="AC106" s="34" t="str">
        <f>VLOOKUP(A106, 'Session Data'!A:AA,16,false)</f>
        <v/>
      </c>
      <c r="AD106" s="35" t="str">
        <f>VLOOKUP(A106, 'Session Data'!A:U,17,false)</f>
        <v/>
      </c>
      <c r="AE106" s="35" t="str">
        <f>VLOOKUP(A106, 'Session Data'!A:U,18,false)</f>
        <v/>
      </c>
      <c r="AF106" s="35" t="str">
        <f>VLOOKUP(A106, 'Session Data'!A:U,19,false)</f>
        <v/>
      </c>
      <c r="AG106" s="35" t="str">
        <f>VLOOKUP(A106, 'Session Data'!A:U,20,false)</f>
        <v/>
      </c>
      <c r="AH106" s="35" t="str">
        <f>VLOOKUP(A106, 'Session Data'!A:U,21,false)</f>
        <v/>
      </c>
      <c r="AI106" s="37"/>
      <c r="AJ106" s="37"/>
      <c r="AK106" s="37"/>
      <c r="AL106" s="50"/>
      <c r="AM106" s="34" t="str">
        <f>VLOOKUP(A106, 'Session Data'!A:AA,10,false)</f>
        <v>kcerda8346@sdsu.edu</v>
      </c>
      <c r="AN106" s="40"/>
      <c r="AO106" s="38"/>
      <c r="AP106" s="38"/>
      <c r="AQ106" s="38"/>
      <c r="AR106" s="38"/>
      <c r="AS106" s="38"/>
      <c r="AT106" s="38"/>
      <c r="AU106" s="38"/>
      <c r="AV106" s="38"/>
      <c r="AW106" s="38"/>
      <c r="AX106" s="38"/>
      <c r="AY106" s="43"/>
      <c r="AZ106" s="43"/>
      <c r="BA106" s="43"/>
      <c r="BB106" s="48"/>
      <c r="BC106" s="43"/>
      <c r="BD106" s="43"/>
      <c r="BE106" s="44"/>
      <c r="BF106" s="45"/>
      <c r="BG106" s="43"/>
    </row>
    <row r="107">
      <c r="A107" s="19" t="s">
        <v>171</v>
      </c>
      <c r="B107" s="20">
        <f>VLOOKUP(F107,'Session Count DO NOT EDIT'!$A:$C,3,FALSE)</f>
        <v>5</v>
      </c>
      <c r="C107" s="20">
        <f>COUNTIFS('Scores Import DO NOT EDIT'!D:D,A107)</f>
        <v>4</v>
      </c>
      <c r="D107" s="21">
        <f t="shared" si="1"/>
        <v>0.8</v>
      </c>
      <c r="E107" s="22">
        <f>AVERAGEIFS('Scores Import DO NOT EDIT'!L:L,'Scores Import DO NOT EDIT'!D:D,A107)</f>
        <v>29.5</v>
      </c>
      <c r="F107" s="23" t="str">
        <f>VLOOKUP(A107, 'Session Data'!A:M,3,false)</f>
        <v>B-9</v>
      </c>
      <c r="G107" s="24" t="str">
        <f>VLOOKUP(A107, 'Session Data'!A:I,2,false)</f>
        <v>11:00 AM</v>
      </c>
      <c r="H107" s="23" t="str">
        <f>VLOOKUP(A107, 'Session Data'!A:J,5,false)</f>
        <v>Biological and Agricultural Sciences</v>
      </c>
      <c r="I107" s="25" t="str">
        <f>VLOOKUP(A107, 'Session Data'!A:H,4,false)</f>
        <v>Oral </v>
      </c>
      <c r="J107" s="26" t="str">
        <f>VLOOKUP(A107, 'Session Data'!A:AA,14,false)</f>
        <v>Master's</v>
      </c>
      <c r="K107" s="27" t="str">
        <f>VLOOKUP(A107, 'Session Data'!A:AA,15,false)</f>
        <v>Arts and Letters</v>
      </c>
      <c r="L107" s="47"/>
      <c r="M107" s="29" t="str">
        <f>VLOOKUP(A107, 'Session Data'!A:K,11,false)</f>
        <v>Master of Science in Geography</v>
      </c>
      <c r="N107" s="26" t="str">
        <f>IF(ISNA(VLOOKUP(A107, 'Award Abstract#'!C:C, 1, FALSE)), "No", "Yes")
</f>
        <v>No</v>
      </c>
      <c r="O107" s="29" t="str">
        <f>IF(ISNA(VLOOKUP(A107,'Award Abstract#'!B:B,1,FALSE)), "No", "Yes")</f>
        <v>No</v>
      </c>
      <c r="P107" s="29" t="str">
        <f>IF(ISNA(VLOOKUP(A107,'Award Abstract#'!E:E,1,FALSE)), "No", "Yes")</f>
        <v>No</v>
      </c>
      <c r="Q107" s="29" t="str">
        <f>IF(ISNA(VLOOKUP(A107,'Award Abstract#'!A:A,1,FALSE)), "No", "Yes")</f>
        <v>No</v>
      </c>
      <c r="R107" s="29" t="str">
        <f>IF(ISNA(VLOOKUP(A107,'Award Abstract#'!D:D,1,FALSE)), "No", "Yes")</f>
        <v>No</v>
      </c>
      <c r="S107" s="30" t="str">
        <f>VLOOKUP(A107, 'Session Data'!A:AA,27,false)</f>
        <v>Woman</v>
      </c>
      <c r="T107" s="30"/>
      <c r="U107" s="30"/>
      <c r="V107" s="31" t="str">
        <f>VLOOKUP(A107, 'Session Data'!A:AA,8,false)</f>
        <v>Elise</v>
      </c>
      <c r="W107" s="32" t="str">
        <f>VLOOKUP(A107, 'Session Data'!A:AA,9,false)</f>
        <v>Piazza</v>
      </c>
      <c r="X107" s="33" t="str">
        <f>VLOOKUP(A107, 'Session Data'!A:AA,12,false)</f>
        <v> Predictors of cattle milk productivity in Rondônia, Brazil</v>
      </c>
      <c r="Y107" s="34" t="str">
        <f>VLOOKUP(A107, 'Session Data'!A:AA,22,false)</f>
        <v>Trent</v>
      </c>
      <c r="Z107" s="34" t="str">
        <f>VLOOKUP(A107, 'Session Data'!A:AA,23,false)</f>
        <v>Biggs</v>
      </c>
      <c r="AA107" s="34" t="str">
        <f>VLOOKUP(A107, 'Session Data'!A:AA,25,false)</f>
        <v>Arts and Letters</v>
      </c>
      <c r="AB107" s="34" t="str">
        <f>VLOOKUP(A107, 'Session Data'!A:AA,24,false)</f>
        <v>tbiggs@sdsu.edu</v>
      </c>
      <c r="AC107" s="34" t="str">
        <f>VLOOKUP(A107, 'Session Data'!A:AA,16,false)</f>
        <v/>
      </c>
      <c r="AD107" s="35" t="str">
        <f>VLOOKUP(A107, 'Session Data'!A:U,17,false)</f>
        <v/>
      </c>
      <c r="AE107" s="35" t="str">
        <f>VLOOKUP(A107, 'Session Data'!A:U,18,false)</f>
        <v/>
      </c>
      <c r="AF107" s="35" t="str">
        <f>VLOOKUP(A107, 'Session Data'!A:U,19,false)</f>
        <v/>
      </c>
      <c r="AG107" s="35" t="str">
        <f>VLOOKUP(A107, 'Session Data'!A:U,20,false)</f>
        <v/>
      </c>
      <c r="AH107" s="35" t="str">
        <f>VLOOKUP(A107, 'Session Data'!A:U,21,false)</f>
        <v/>
      </c>
      <c r="AI107" s="36"/>
      <c r="AJ107" s="38"/>
      <c r="AK107" s="38"/>
      <c r="AL107" s="39"/>
      <c r="AM107" s="34" t="str">
        <f>VLOOKUP(A107, 'Session Data'!A:AA,10,false)</f>
        <v>epiazza4984@sdsu.edu</v>
      </c>
      <c r="AN107" s="40"/>
      <c r="AO107" s="38"/>
      <c r="AP107" s="38"/>
      <c r="AQ107" s="38"/>
      <c r="AR107" s="38"/>
      <c r="AS107" s="38"/>
      <c r="AT107" s="38"/>
      <c r="AU107" s="38"/>
      <c r="AV107" s="38"/>
      <c r="AW107" s="38"/>
      <c r="AX107" s="38"/>
      <c r="AY107" s="43"/>
      <c r="AZ107" s="43"/>
      <c r="BA107" s="43"/>
      <c r="BB107" s="43"/>
      <c r="BC107" s="43"/>
      <c r="BD107" s="43"/>
      <c r="BE107" s="44"/>
      <c r="BF107" s="45"/>
      <c r="BG107" s="43"/>
    </row>
    <row r="108">
      <c r="A108" s="19" t="s">
        <v>172</v>
      </c>
      <c r="B108" s="20">
        <f>VLOOKUP(F108,'Session Count DO NOT EDIT'!$A:$C,3,FALSE)</f>
        <v>5</v>
      </c>
      <c r="C108" s="20">
        <f>COUNTIFS('Scores Import DO NOT EDIT'!D:D,A108)</f>
        <v>4</v>
      </c>
      <c r="D108" s="21">
        <f t="shared" si="1"/>
        <v>0.8</v>
      </c>
      <c r="E108" s="22">
        <f>AVERAGEIFS('Scores Import DO NOT EDIT'!L:L,'Scores Import DO NOT EDIT'!D:D,A108)</f>
        <v>28</v>
      </c>
      <c r="F108" s="23" t="str">
        <f>VLOOKUP(A108, 'Session Data'!A:M,3,false)</f>
        <v>B-9</v>
      </c>
      <c r="G108" s="24" t="str">
        <f>VLOOKUP(A108, 'Session Data'!A:I,2,false)</f>
        <v>11:00 AM</v>
      </c>
      <c r="H108" s="23" t="str">
        <f>VLOOKUP(A108, 'Session Data'!A:J,5,false)</f>
        <v>Biological and Agricultural Sciences</v>
      </c>
      <c r="I108" s="25" t="str">
        <f>VLOOKUP(A108, 'Session Data'!A:H,4,false)</f>
        <v>Oral </v>
      </c>
      <c r="J108" s="26" t="str">
        <f>VLOOKUP(A108, 'Session Data'!A:AA,14,false)</f>
        <v>Undergraduate</v>
      </c>
      <c r="K108" s="27" t="str">
        <f>VLOOKUP(A108, 'Session Data'!A:AA,15,false)</f>
        <v>Sciences</v>
      </c>
      <c r="L108" s="28"/>
      <c r="M108" s="29" t="str">
        <f>VLOOKUP(A108, 'Session Data'!A:K,11,false)</f>
        <v>Bachelor of Science in Biology</v>
      </c>
      <c r="N108" s="26" t="str">
        <f>IF(ISNA(VLOOKUP(A108, 'Award Abstract#'!C:C, 1, FALSE)), "No", "Yes")
</f>
        <v>No</v>
      </c>
      <c r="O108" s="29" t="str">
        <f>IF(ISNA(VLOOKUP(A108,'Award Abstract#'!B:B,1,FALSE)), "No", "Yes")</f>
        <v>No</v>
      </c>
      <c r="P108" s="29" t="str">
        <f>IF(ISNA(VLOOKUP(A108,'Award Abstract#'!E:E,1,FALSE)), "No", "Yes")</f>
        <v>No</v>
      </c>
      <c r="Q108" s="29" t="str">
        <f>IF(ISNA(VLOOKUP(A108,'Award Abstract#'!A:A,1,FALSE)), "No", "Yes")</f>
        <v>No</v>
      </c>
      <c r="R108" s="29" t="str">
        <f>IF(ISNA(VLOOKUP(A108,'Award Abstract#'!D:D,1,FALSE)), "No", "Yes")</f>
        <v>No</v>
      </c>
      <c r="S108" s="30" t="str">
        <f>VLOOKUP(A108, 'Session Data'!A:AA,27,false)</f>
        <v>Man</v>
      </c>
      <c r="T108" s="30"/>
      <c r="U108" s="30"/>
      <c r="V108" s="31" t="str">
        <f>VLOOKUP(A108, 'Session Data'!A:AA,8,false)</f>
        <v>Joshua</v>
      </c>
      <c r="W108" s="32" t="str">
        <f>VLOOKUP(A108, 'Session Data'!A:AA,9,false)</f>
        <v>Pratt</v>
      </c>
      <c r="X108" s="33" t="str">
        <f>VLOOKUP(A108, 'Session Data'!A:AA,12,false)</f>
        <v>Investigating Neoteny in Human vs Non-human Primate Derived Forebrain Organoids</v>
      </c>
      <c r="Y108" s="34" t="str">
        <f>VLOOKUP(A108, 'Session Data'!A:AA,22,false)</f>
        <v>Sarah</v>
      </c>
      <c r="Z108" s="34" t="str">
        <f>VLOOKUP(A108, 'Session Data'!A:AA,23,false)</f>
        <v>Fernandes</v>
      </c>
      <c r="AA108" s="34" t="str">
        <f>VLOOKUP(A108, 'Session Data'!A:AA,25,false)</f>
        <v>Other</v>
      </c>
      <c r="AB108" s="34" t="str">
        <f>VLOOKUP(A108, 'Session Data'!A:AA,24,false)</f>
        <v>sfernandes@salk.edu</v>
      </c>
      <c r="AC108" s="34" t="str">
        <f>VLOOKUP(A108, 'Session Data'!A:AA,16,false)</f>
        <v/>
      </c>
      <c r="AD108" s="35" t="str">
        <f>VLOOKUP(A108, 'Session Data'!A:U,17,false)</f>
        <v/>
      </c>
      <c r="AE108" s="35" t="str">
        <f>VLOOKUP(A108, 'Session Data'!A:U,18,false)</f>
        <v/>
      </c>
      <c r="AF108" s="35" t="str">
        <f>VLOOKUP(A108, 'Session Data'!A:U,19,false)</f>
        <v/>
      </c>
      <c r="AG108" s="35" t="str">
        <f>VLOOKUP(A108, 'Session Data'!A:U,20,false)</f>
        <v/>
      </c>
      <c r="AH108" s="35" t="str">
        <f>VLOOKUP(A108, 'Session Data'!A:U,21,false)</f>
        <v/>
      </c>
      <c r="AI108" s="36"/>
      <c r="AJ108" s="38"/>
      <c r="AK108" s="38"/>
      <c r="AL108" s="39"/>
      <c r="AM108" s="34" t="str">
        <f>VLOOKUP(A108, 'Session Data'!A:AA,10,false)</f>
        <v>jpratt7361@sdsu.edu</v>
      </c>
      <c r="AN108" s="40"/>
      <c r="AO108" s="38"/>
      <c r="AP108" s="38"/>
      <c r="AQ108" s="38"/>
      <c r="AR108" s="38"/>
      <c r="AS108" s="38"/>
      <c r="AT108" s="38"/>
      <c r="AU108" s="38"/>
      <c r="AV108" s="38"/>
      <c r="AW108" s="38"/>
      <c r="AX108" s="38"/>
      <c r="AY108" s="43"/>
      <c r="AZ108" s="43"/>
      <c r="BA108" s="48"/>
      <c r="BB108" s="48"/>
      <c r="BC108" s="43"/>
      <c r="BD108" s="43"/>
      <c r="BE108" s="44"/>
      <c r="BF108" s="45"/>
      <c r="BG108" s="43"/>
    </row>
    <row r="109">
      <c r="A109" s="19" t="s">
        <v>173</v>
      </c>
      <c r="B109" s="20">
        <f>VLOOKUP(F109,'Session Count DO NOT EDIT'!$A:$C,3,FALSE)</f>
        <v>5</v>
      </c>
      <c r="C109" s="20">
        <f>COUNTIFS('Scores Import DO NOT EDIT'!D:D,A109)</f>
        <v>4</v>
      </c>
      <c r="D109" s="21">
        <f t="shared" si="1"/>
        <v>0.8</v>
      </c>
      <c r="E109" s="22">
        <f>AVERAGEIFS('Scores Import DO NOT EDIT'!L:L,'Scores Import DO NOT EDIT'!D:D,A109)</f>
        <v>26.75</v>
      </c>
      <c r="F109" s="23" t="str">
        <f>VLOOKUP(A109, 'Session Data'!A:M,3,false)</f>
        <v>B-9</v>
      </c>
      <c r="G109" s="24" t="str">
        <f>VLOOKUP(A109, 'Session Data'!A:I,2,false)</f>
        <v>11:00 AM</v>
      </c>
      <c r="H109" s="23" t="str">
        <f>VLOOKUP(A109, 'Session Data'!A:J,5,false)</f>
        <v>Biological and Agricultural Sciences</v>
      </c>
      <c r="I109" s="25" t="str">
        <f>VLOOKUP(A109, 'Session Data'!A:H,4,false)</f>
        <v>Oral </v>
      </c>
      <c r="J109" s="26" t="str">
        <f>VLOOKUP(A109, 'Session Data'!A:AA,14,false)</f>
        <v>Undergraduate</v>
      </c>
      <c r="K109" s="27" t="str">
        <f>VLOOKUP(A109, 'Session Data'!A:AA,15,false)</f>
        <v>Engineering</v>
      </c>
      <c r="L109" s="47"/>
      <c r="M109" s="29" t="str">
        <f>VLOOKUP(A109, 'Session Data'!A:K,11,false)</f>
        <v>Bachelor/Mechanical Engineering</v>
      </c>
      <c r="N109" s="26" t="str">
        <f>IF(ISNA(VLOOKUP(A109, 'Award Abstract#'!C:C, 1, FALSE)), "No", "Yes")
</f>
        <v>No</v>
      </c>
      <c r="O109" s="29" t="str">
        <f>IF(ISNA(VLOOKUP(A109,'Award Abstract#'!B:B,1,FALSE)), "No", "Yes")</f>
        <v>No</v>
      </c>
      <c r="P109" s="29" t="str">
        <f>IF(ISNA(VLOOKUP(A109,'Award Abstract#'!E:E,1,FALSE)), "No", "Yes")</f>
        <v>No</v>
      </c>
      <c r="Q109" s="29" t="str">
        <f>IF(ISNA(VLOOKUP(A109,'Award Abstract#'!A:A,1,FALSE)), "No", "Yes")</f>
        <v>No</v>
      </c>
      <c r="R109" s="29" t="str">
        <f>IF(ISNA(VLOOKUP(A109,'Award Abstract#'!D:D,1,FALSE)), "No", "Yes")</f>
        <v>No</v>
      </c>
      <c r="S109" s="30" t="str">
        <f>VLOOKUP(A109, 'Session Data'!A:AA,27,false)</f>
        <v>Man</v>
      </c>
      <c r="T109" s="30"/>
      <c r="U109" s="30"/>
      <c r="V109" s="31" t="str">
        <f>VLOOKUP(A109, 'Session Data'!A:AA,8,false)</f>
        <v>Alexander</v>
      </c>
      <c r="W109" s="32" t="str">
        <f>VLOOKUP(A109, 'Session Data'!A:AA,9,false)</f>
        <v>Price</v>
      </c>
      <c r="X109" s="33" t="str">
        <f>VLOOKUP(A109, 'Session Data'!A:AA,12,false)</f>
        <v>Quantifying structural differences between diverse species sperm midpiece segments using electron microscopy</v>
      </c>
      <c r="Y109" s="34" t="str">
        <f>VLOOKUP(A109, 'Session Data'!A:AA,22,false)</f>
        <v>Ingrid</v>
      </c>
      <c r="Z109" s="34" t="str">
        <f>VLOOKUP(A109, 'Session Data'!A:AA,23,false)</f>
        <v>Niesman</v>
      </c>
      <c r="AA109" s="34" t="str">
        <f>VLOOKUP(A109, 'Session Data'!A:AA,25,false)</f>
        <v>Sciences</v>
      </c>
      <c r="AB109" s="34" t="str">
        <f>VLOOKUP(A109, 'Session Data'!A:AA,24,false)</f>
        <v>iniesman@sdsu.edu</v>
      </c>
      <c r="AC109" s="34" t="str">
        <f>VLOOKUP(A109, 'Session Data'!A:AA,16,false)</f>
        <v/>
      </c>
      <c r="AD109" s="35" t="str">
        <f>VLOOKUP(A109, 'Session Data'!A:U,17,false)</f>
        <v/>
      </c>
      <c r="AE109" s="35" t="str">
        <f>VLOOKUP(A109, 'Session Data'!A:U,18,false)</f>
        <v/>
      </c>
      <c r="AF109" s="35" t="str">
        <f>VLOOKUP(A109, 'Session Data'!A:U,19,false)</f>
        <v/>
      </c>
      <c r="AG109" s="35" t="str">
        <f>VLOOKUP(A109, 'Session Data'!A:U,20,false)</f>
        <v/>
      </c>
      <c r="AH109" s="35" t="str">
        <f>VLOOKUP(A109, 'Session Data'!A:U,21,false)</f>
        <v/>
      </c>
      <c r="AI109" s="37"/>
      <c r="AJ109" s="37"/>
      <c r="AK109" s="37"/>
      <c r="AL109" s="50"/>
      <c r="AM109" s="34" t="str">
        <f>VLOOKUP(A109, 'Session Data'!A:AA,10,false)</f>
        <v>ajprice@sdsu.edu</v>
      </c>
      <c r="AN109" s="40"/>
      <c r="AO109" s="38"/>
      <c r="AP109" s="38"/>
      <c r="AQ109" s="38"/>
      <c r="AR109" s="38"/>
      <c r="AS109" s="38"/>
      <c r="AT109" s="38"/>
      <c r="AU109" s="38"/>
      <c r="AV109" s="38"/>
      <c r="AW109" s="38"/>
      <c r="AX109" s="38"/>
      <c r="AY109" s="43"/>
      <c r="AZ109" s="43"/>
      <c r="BA109" s="48"/>
      <c r="BB109" s="48"/>
      <c r="BC109" s="43"/>
      <c r="BD109" s="43"/>
      <c r="BE109" s="44"/>
      <c r="BF109" s="45"/>
      <c r="BG109" s="43"/>
    </row>
    <row r="110">
      <c r="A110" s="19" t="s">
        <v>174</v>
      </c>
      <c r="B110" s="20">
        <f>VLOOKUP(F110,'Session Count DO NOT EDIT'!$A:$C,3,FALSE)</f>
        <v>5</v>
      </c>
      <c r="C110" s="20">
        <f>COUNTIFS('Scores Import DO NOT EDIT'!D:D,A110)</f>
        <v>4</v>
      </c>
      <c r="D110" s="21">
        <f t="shared" si="1"/>
        <v>0.8</v>
      </c>
      <c r="E110" s="22">
        <f>AVERAGEIFS('Scores Import DO NOT EDIT'!L:L,'Scores Import DO NOT EDIT'!D:D,A110)</f>
        <v>28.5</v>
      </c>
      <c r="F110" s="23" t="str">
        <f>VLOOKUP(A110, 'Session Data'!A:M,3,false)</f>
        <v>C-1</v>
      </c>
      <c r="G110" s="24" t="str">
        <f>VLOOKUP(A110, 'Session Data'!A:I,2,false)</f>
        <v>1:00 PM</v>
      </c>
      <c r="H110" s="23" t="str">
        <f>VLOOKUP(A110, 'Session Data'!A:J,5,false)</f>
        <v>Behavioral and Social Sciences </v>
      </c>
      <c r="I110" s="25" t="str">
        <f>VLOOKUP(A110, 'Session Data'!A:H,4,false)</f>
        <v>Oral </v>
      </c>
      <c r="J110" s="26" t="str">
        <f>VLOOKUP(A110, 'Session Data'!A:AA,14,false)</f>
        <v>Undergraduate</v>
      </c>
      <c r="K110" s="27" t="str">
        <f>VLOOKUP(A110, 'Session Data'!A:AA,15,false)</f>
        <v>Arts and Letters</v>
      </c>
      <c r="L110" s="28"/>
      <c r="M110" s="29" t="str">
        <f>VLOOKUP(A110, 'Session Data'!A:K,11,false)</f>
        <v>Bachelor of Arts in Anthropology</v>
      </c>
      <c r="N110" s="26" t="str">
        <f>IF(ISNA(VLOOKUP(A110, 'Award Abstract#'!C:C, 1, FALSE)), "No", "Yes")
</f>
        <v>No</v>
      </c>
      <c r="O110" s="29" t="str">
        <f>IF(ISNA(VLOOKUP(A110,'Award Abstract#'!B:B,1,FALSE)), "No", "Yes")</f>
        <v>Yes</v>
      </c>
      <c r="P110" s="29" t="str">
        <f>IF(ISNA(VLOOKUP(A110,'Award Abstract#'!E:E,1,FALSE)), "No", "Yes")</f>
        <v>No</v>
      </c>
      <c r="Q110" s="29" t="str">
        <f>IF(ISNA(VLOOKUP(A110,'Award Abstract#'!A:A,1,FALSE)), "No", "Yes")</f>
        <v>No</v>
      </c>
      <c r="R110" s="29" t="str">
        <f>IF(ISNA(VLOOKUP(A110,'Award Abstract#'!D:D,1,FALSE)), "No", "Yes")</f>
        <v>No</v>
      </c>
      <c r="S110" s="30" t="str">
        <f>VLOOKUP(A110, 'Session Data'!A:AA,27,false)</f>
        <v>Man</v>
      </c>
      <c r="T110" s="30"/>
      <c r="U110" s="30"/>
      <c r="V110" s="31" t="str">
        <f>VLOOKUP(A110, 'Session Data'!A:AA,8,false)</f>
        <v>Matthew</v>
      </c>
      <c r="W110" s="32" t="str">
        <f>VLOOKUP(A110, 'Session Data'!A:AA,9,false)</f>
        <v>Hall</v>
      </c>
      <c r="X110" s="33" t="str">
        <f>VLOOKUP(A110, 'Session Data'!A:AA,12,false)</f>
        <v>Exploring multispecies associations among moor macaques, birds, and cows in Sulawesi, Indonesia.</v>
      </c>
      <c r="Y110" s="34" t="str">
        <f>VLOOKUP(A110, 'Session Data'!A:AA,22,false)</f>
        <v>Erin</v>
      </c>
      <c r="Z110" s="34" t="str">
        <f>VLOOKUP(A110, 'Session Data'!A:AA,23,false)</f>
        <v>Riley</v>
      </c>
      <c r="AA110" s="34" t="str">
        <f>VLOOKUP(A110, 'Session Data'!A:AA,25,false)</f>
        <v>Arts and Letters</v>
      </c>
      <c r="AB110" s="34" t="str">
        <f>VLOOKUP(A110, 'Session Data'!A:AA,24,false)</f>
        <v>epriley@sdsu.edu</v>
      </c>
      <c r="AC110" s="34" t="str">
        <f>VLOOKUP(A110, 'Session Data'!A:AA,16,false)</f>
        <v/>
      </c>
      <c r="AD110" s="35" t="str">
        <f>VLOOKUP(A110, 'Session Data'!A:U,17,false)</f>
        <v/>
      </c>
      <c r="AE110" s="35" t="str">
        <f>VLOOKUP(A110, 'Session Data'!A:U,18,false)</f>
        <v/>
      </c>
      <c r="AF110" s="35" t="str">
        <f>VLOOKUP(A110, 'Session Data'!A:U,19,false)</f>
        <v/>
      </c>
      <c r="AG110" s="35" t="str">
        <f>VLOOKUP(A110, 'Session Data'!A:U,20,false)</f>
        <v/>
      </c>
      <c r="AH110" s="35" t="str">
        <f>VLOOKUP(A110, 'Session Data'!A:U,21,false)</f>
        <v/>
      </c>
      <c r="AI110" s="36"/>
      <c r="AJ110" s="38"/>
      <c r="AK110" s="38"/>
      <c r="AL110" s="39"/>
      <c r="AM110" s="34" t="str">
        <f>VLOOKUP(A110, 'Session Data'!A:AA,10,false)</f>
        <v>mhall0736@sdsu.edu</v>
      </c>
      <c r="AN110" s="40"/>
      <c r="AO110" s="38"/>
      <c r="AP110" s="38"/>
      <c r="AQ110" s="38"/>
      <c r="AR110" s="38"/>
      <c r="AS110" s="38"/>
      <c r="AT110" s="38"/>
      <c r="AU110" s="38"/>
      <c r="AV110" s="38"/>
      <c r="AW110" s="38"/>
      <c r="AX110" s="38"/>
      <c r="AY110" s="43"/>
      <c r="AZ110" s="43"/>
      <c r="BA110" s="48"/>
      <c r="BB110" s="48"/>
      <c r="BC110" s="43"/>
      <c r="BD110" s="43"/>
      <c r="BE110" s="44"/>
      <c r="BF110" s="45"/>
      <c r="BG110" s="43"/>
    </row>
    <row r="111">
      <c r="A111" s="19" t="s">
        <v>175</v>
      </c>
      <c r="B111" s="20">
        <f>VLOOKUP(F111,'Session Count DO NOT EDIT'!$A:$C,3,FALSE)</f>
        <v>5</v>
      </c>
      <c r="C111" s="20">
        <f>COUNTIFS('Scores Import DO NOT EDIT'!D:D,A111)</f>
        <v>0</v>
      </c>
      <c r="D111" s="21">
        <f t="shared" si="1"/>
        <v>0</v>
      </c>
      <c r="E111" s="22" t="str">
        <f>AVERAGEIFS('Scores Import DO NOT EDIT'!L:L,'Scores Import DO NOT EDIT'!D:D,A111)</f>
        <v>#DIV/0!</v>
      </c>
      <c r="F111" s="23" t="str">
        <f>VLOOKUP(A111, 'Session Data'!A:M,3,false)</f>
        <v>C-1</v>
      </c>
      <c r="G111" s="24" t="str">
        <f>VLOOKUP(A111, 'Session Data'!A:I,2,false)</f>
        <v>1:00 PM</v>
      </c>
      <c r="H111" s="23" t="str">
        <f>VLOOKUP(A111, 'Session Data'!A:J,5,false)</f>
        <v>Behavioral and Social Sciences </v>
      </c>
      <c r="I111" s="25" t="str">
        <f>VLOOKUP(A111, 'Session Data'!A:H,4,false)</f>
        <v>Oral </v>
      </c>
      <c r="J111" s="26" t="str">
        <f>VLOOKUP(A111, 'Session Data'!A:AA,14,false)</f>
        <v>Undergraduate</v>
      </c>
      <c r="K111" s="27" t="str">
        <f>VLOOKUP(A111, 'Session Data'!A:AA,15,false)</f>
        <v>Professional Studies and Fine Arts</v>
      </c>
      <c r="L111" s="47"/>
      <c r="M111" s="29" t="str">
        <f>VLOOKUP(A111, 'Session Data'!A:K,11,false)</f>
        <v>Criminal justice </v>
      </c>
      <c r="N111" s="26" t="str">
        <f>IF(ISNA(VLOOKUP(A111, 'Award Abstract#'!C:C, 1, FALSE)), "No", "Yes")
</f>
        <v>No</v>
      </c>
      <c r="O111" s="29" t="str">
        <f>IF(ISNA(VLOOKUP(A111,'Award Abstract#'!B:B,1,FALSE)), "No", "Yes")</f>
        <v>No</v>
      </c>
      <c r="P111" s="29" t="str">
        <f>IF(ISNA(VLOOKUP(A111,'Award Abstract#'!E:E,1,FALSE)), "No", "Yes")</f>
        <v>No</v>
      </c>
      <c r="Q111" s="29" t="str">
        <f>IF(ISNA(VLOOKUP(A111,'Award Abstract#'!A:A,1,FALSE)), "No", "Yes")</f>
        <v>No</v>
      </c>
      <c r="R111" s="29" t="str">
        <f>IF(ISNA(VLOOKUP(A111,'Award Abstract#'!D:D,1,FALSE)), "No", "Yes")</f>
        <v>Yes</v>
      </c>
      <c r="S111" s="30" t="str">
        <f>VLOOKUP(A111, 'Session Data'!A:AA,27,false)</f>
        <v>Man</v>
      </c>
      <c r="T111" s="30"/>
      <c r="U111" s="30"/>
      <c r="V111" s="31" t="str">
        <f>VLOOKUP(A111, 'Session Data'!A:AA,8,false)</f>
        <v>Malachi</v>
      </c>
      <c r="W111" s="32" t="str">
        <f>VLOOKUP(A111, 'Session Data'!A:AA,9,false)</f>
        <v>Lee</v>
      </c>
      <c r="X111" s="33" t="str">
        <f>VLOOKUP(A111, 'Session Data'!A:AA,12,false)</f>
        <v>How does the fentanyl epidemic affect college students in the United States</v>
      </c>
      <c r="Y111" s="34" t="str">
        <f>VLOOKUP(A111, 'Session Data'!A:AA,22,false)</f>
        <v>Sateyia </v>
      </c>
      <c r="Z111" s="34" t="str">
        <f>VLOOKUP(A111, 'Session Data'!A:AA,23,false)</f>
        <v>Taqui Kanu</v>
      </c>
      <c r="AA111" s="34" t="str">
        <f>VLOOKUP(A111, 'Session Data'!A:AA,25,false)</f>
        <v>Professional Studies and Fine Arts</v>
      </c>
      <c r="AB111" s="34" t="str">
        <f>VLOOKUP(A111, 'Session Data'!A:AA,24,false)</f>
        <v>staqikanu@sdsu.edu</v>
      </c>
      <c r="AC111" s="34" t="str">
        <f>VLOOKUP(A111, 'Session Data'!A:AA,16,false)</f>
        <v/>
      </c>
      <c r="AD111" s="35" t="str">
        <f>VLOOKUP(A111, 'Session Data'!A:U,17,false)</f>
        <v/>
      </c>
      <c r="AE111" s="35" t="str">
        <f>VLOOKUP(A111, 'Session Data'!A:U,18,false)</f>
        <v/>
      </c>
      <c r="AF111" s="35" t="str">
        <f>VLOOKUP(A111, 'Session Data'!A:U,19,false)</f>
        <v/>
      </c>
      <c r="AG111" s="35" t="str">
        <f>VLOOKUP(A111, 'Session Data'!A:U,20,false)</f>
        <v/>
      </c>
      <c r="AH111" s="35" t="str">
        <f>VLOOKUP(A111, 'Session Data'!A:U,21,false)</f>
        <v/>
      </c>
      <c r="AI111" s="37"/>
      <c r="AJ111" s="37"/>
      <c r="AK111" s="37"/>
      <c r="AL111" s="50"/>
      <c r="AM111" s="34" t="str">
        <f>VLOOKUP(A111, 'Session Data'!A:AA,10,false)</f>
        <v>mlee9244@sdsu.edu</v>
      </c>
      <c r="AN111" s="40"/>
      <c r="AO111" s="38"/>
      <c r="AP111" s="38"/>
      <c r="AQ111" s="38"/>
      <c r="AR111" s="38"/>
      <c r="AS111" s="38"/>
      <c r="AT111" s="38"/>
      <c r="AU111" s="38"/>
      <c r="AV111" s="38"/>
      <c r="AW111" s="38"/>
      <c r="AX111" s="38"/>
      <c r="AY111" s="43"/>
      <c r="AZ111" s="43"/>
      <c r="BA111" s="43"/>
      <c r="BB111" s="43"/>
      <c r="BC111" s="43"/>
      <c r="BD111" s="43"/>
      <c r="BE111" s="44"/>
      <c r="BF111" s="45"/>
      <c r="BG111" s="43"/>
    </row>
    <row r="112">
      <c r="A112" s="19" t="s">
        <v>176</v>
      </c>
      <c r="B112" s="20">
        <f>VLOOKUP(F112,'Session Count DO NOT EDIT'!$A:$C,3,FALSE)</f>
        <v>5</v>
      </c>
      <c r="C112" s="20">
        <f>COUNTIFS('Scores Import DO NOT EDIT'!D:D,A112)</f>
        <v>4</v>
      </c>
      <c r="D112" s="21">
        <f t="shared" si="1"/>
        <v>0.8</v>
      </c>
      <c r="E112" s="22">
        <f>AVERAGEIFS('Scores Import DO NOT EDIT'!L:L,'Scores Import DO NOT EDIT'!D:D,A112)</f>
        <v>30.5</v>
      </c>
      <c r="F112" s="23" t="str">
        <f>VLOOKUP(A112, 'Session Data'!A:M,3,false)</f>
        <v>C-1</v>
      </c>
      <c r="G112" s="24" t="str">
        <f>VLOOKUP(A112, 'Session Data'!A:I,2,false)</f>
        <v>1:00 PM</v>
      </c>
      <c r="H112" s="23" t="str">
        <f>VLOOKUP(A112, 'Session Data'!A:J,5,false)</f>
        <v>Behavioral and Social Sciences </v>
      </c>
      <c r="I112" s="25" t="str">
        <f>VLOOKUP(A112, 'Session Data'!A:H,4,false)</f>
        <v>Oral </v>
      </c>
      <c r="J112" s="26" t="str">
        <f>VLOOKUP(A112, 'Session Data'!A:AA,14,false)</f>
        <v>Undergraduate</v>
      </c>
      <c r="K112" s="27" t="str">
        <f>VLOOKUP(A112, 'Session Data'!A:AA,15,false)</f>
        <v>Arts and Letters</v>
      </c>
      <c r="L112" s="47"/>
      <c r="M112" s="29" t="str">
        <f>VLOOKUP(A112, 'Session Data'!A:K,11,false)</f>
        <v>Africana Studies, B.A. in Liberal Arts and Sciences</v>
      </c>
      <c r="N112" s="26" t="str">
        <f>IF(ISNA(VLOOKUP(A112, 'Award Abstract#'!C:C, 1, FALSE)), "No", "Yes")
</f>
        <v>No</v>
      </c>
      <c r="O112" s="29" t="str">
        <f>IF(ISNA(VLOOKUP(A112,'Award Abstract#'!B:B,1,FALSE)), "No", "Yes")</f>
        <v>No</v>
      </c>
      <c r="P112" s="29" t="str">
        <f>IF(ISNA(VLOOKUP(A112,'Award Abstract#'!E:E,1,FALSE)), "No", "Yes")</f>
        <v>No</v>
      </c>
      <c r="Q112" s="29" t="str">
        <f>IF(ISNA(VLOOKUP(A112,'Award Abstract#'!A:A,1,FALSE)), "No", "Yes")</f>
        <v>No</v>
      </c>
      <c r="R112" s="29" t="str">
        <f>IF(ISNA(VLOOKUP(A112,'Award Abstract#'!D:D,1,FALSE)), "No", "Yes")</f>
        <v>Yes</v>
      </c>
      <c r="S112" s="30" t="str">
        <f>VLOOKUP(A112, 'Session Data'!A:AA,27,false)</f>
        <v>Woman</v>
      </c>
      <c r="T112" s="30"/>
      <c r="U112" s="30"/>
      <c r="V112" s="31" t="str">
        <f>VLOOKUP(A112, 'Session Data'!A:AA,8,false)</f>
        <v>Tiffany</v>
      </c>
      <c r="W112" s="32" t="str">
        <f>VLOOKUP(A112, 'Session Data'!A:AA,9,false)</f>
        <v>Hungerford</v>
      </c>
      <c r="X112" s="33" t="str">
        <f>VLOOKUP(A112, 'Session Data'!A:AA,12,false)</f>
        <v>Liberating the Spirit: Queer Inclusion in African Diaspora Religions</v>
      </c>
      <c r="Y112" s="34" t="str">
        <f>VLOOKUP(A112, 'Session Data'!A:AA,22,false)</f>
        <v>Sureshi</v>
      </c>
      <c r="Z112" s="34" t="str">
        <f>VLOOKUP(A112, 'Session Data'!A:AA,23,false)</f>
        <v>Jayawardene</v>
      </c>
      <c r="AA112" s="34" t="str">
        <f>VLOOKUP(A112, 'Session Data'!A:AA,25,false)</f>
        <v>Arts and Letters</v>
      </c>
      <c r="AB112" s="34" t="str">
        <f>VLOOKUP(A112, 'Session Data'!A:AA,24,false)</f>
        <v>sjayawardene@sdsu.edu</v>
      </c>
      <c r="AC112" s="34" t="str">
        <f>VLOOKUP(A112, 'Session Data'!A:AA,16,false)</f>
        <v/>
      </c>
      <c r="AD112" s="35" t="str">
        <f>VLOOKUP(A112, 'Session Data'!A:U,17,false)</f>
        <v/>
      </c>
      <c r="AE112" s="35" t="str">
        <f>VLOOKUP(A112, 'Session Data'!A:U,18,false)</f>
        <v/>
      </c>
      <c r="AF112" s="35" t="str">
        <f>VLOOKUP(A112, 'Session Data'!A:U,19,false)</f>
        <v/>
      </c>
      <c r="AG112" s="35" t="str">
        <f>VLOOKUP(A112, 'Session Data'!A:U,20,false)</f>
        <v/>
      </c>
      <c r="AH112" s="35" t="str">
        <f>VLOOKUP(A112, 'Session Data'!A:U,21,false)</f>
        <v/>
      </c>
      <c r="AI112" s="37"/>
      <c r="AJ112" s="37"/>
      <c r="AK112" s="37"/>
      <c r="AL112" s="50"/>
      <c r="AM112" s="34" t="str">
        <f>VLOOKUP(A112, 'Session Data'!A:AA,10,false)</f>
        <v>thungerford8303@sdsu.edu</v>
      </c>
      <c r="AN112" s="40"/>
      <c r="AO112" s="38"/>
      <c r="AP112" s="38"/>
      <c r="AQ112" s="38"/>
      <c r="AR112" s="38"/>
      <c r="AS112" s="38"/>
      <c r="AT112" s="38"/>
      <c r="AU112" s="38"/>
      <c r="AV112" s="38"/>
      <c r="AW112" s="38"/>
      <c r="AX112" s="38"/>
      <c r="AY112" s="43"/>
      <c r="AZ112" s="43"/>
      <c r="BA112" s="43"/>
      <c r="BB112" s="43"/>
      <c r="BC112" s="43"/>
      <c r="BD112" s="43"/>
      <c r="BE112" s="44"/>
      <c r="BF112" s="45"/>
      <c r="BG112" s="43"/>
    </row>
    <row r="113">
      <c r="A113" s="19" t="s">
        <v>177</v>
      </c>
      <c r="B113" s="20">
        <f>VLOOKUP(F113,'Session Count DO NOT EDIT'!$A:$C,3,FALSE)</f>
        <v>5</v>
      </c>
      <c r="C113" s="20">
        <f>COUNTIFS('Scores Import DO NOT EDIT'!D:D,A113)</f>
        <v>4</v>
      </c>
      <c r="D113" s="21">
        <f t="shared" si="1"/>
        <v>0.8</v>
      </c>
      <c r="E113" s="22">
        <f>AVERAGEIFS('Scores Import DO NOT EDIT'!L:L,'Scores Import DO NOT EDIT'!D:D,A113)</f>
        <v>28.5</v>
      </c>
      <c r="F113" s="23" t="str">
        <f>VLOOKUP(A113, 'Session Data'!A:M,3,false)</f>
        <v>C-1</v>
      </c>
      <c r="G113" s="24" t="str">
        <f>VLOOKUP(A113, 'Session Data'!A:I,2,false)</f>
        <v>1:00 PM</v>
      </c>
      <c r="H113" s="23" t="str">
        <f>VLOOKUP(A113, 'Session Data'!A:J,5,false)</f>
        <v>Behavioral and Social Sciences </v>
      </c>
      <c r="I113" s="25" t="str">
        <f>VLOOKUP(A113, 'Session Data'!A:H,4,false)</f>
        <v>Oral </v>
      </c>
      <c r="J113" s="26" t="str">
        <f>VLOOKUP(A113, 'Session Data'!A:AA,14,false)</f>
        <v>Undergraduate</v>
      </c>
      <c r="K113" s="27" t="str">
        <f>VLOOKUP(A113, 'Session Data'!A:AA,15,false)</f>
        <v>Sciences</v>
      </c>
      <c r="L113" s="28"/>
      <c r="M113" s="29" t="str">
        <f>VLOOKUP(A113, 'Session Data'!A:K,11,false)</f>
        <v> Bachelor of Arts in Psychology </v>
      </c>
      <c r="N113" s="26" t="str">
        <f>IF(ISNA(VLOOKUP(A113, 'Award Abstract#'!C:C, 1, FALSE)), "No", "Yes")
</f>
        <v>No</v>
      </c>
      <c r="O113" s="29" t="str">
        <f>IF(ISNA(VLOOKUP(A113,'Award Abstract#'!B:B,1,FALSE)), "No", "Yes")</f>
        <v>No</v>
      </c>
      <c r="P113" s="29" t="str">
        <f>IF(ISNA(VLOOKUP(A113,'Award Abstract#'!E:E,1,FALSE)), "No", "Yes")</f>
        <v>No</v>
      </c>
      <c r="Q113" s="29" t="str">
        <f>IF(ISNA(VLOOKUP(A113,'Award Abstract#'!A:A,1,FALSE)), "No", "Yes")</f>
        <v>No</v>
      </c>
      <c r="R113" s="29" t="str">
        <f>IF(ISNA(VLOOKUP(A113,'Award Abstract#'!D:D,1,FALSE)), "No", "Yes")</f>
        <v>No</v>
      </c>
      <c r="S113" s="30" t="str">
        <f>VLOOKUP(A113, 'Session Data'!A:AA,27,false)</f>
        <v>Man</v>
      </c>
      <c r="T113" s="30"/>
      <c r="U113" s="30"/>
      <c r="V113" s="31" t="str">
        <f>VLOOKUP(A113, 'Session Data'!A:AA,8,false)</f>
        <v>Diego</v>
      </c>
      <c r="W113" s="32" t="str">
        <f>VLOOKUP(A113, 'Session Data'!A:AA,9,false)</f>
        <v>Leon</v>
      </c>
      <c r="X113" s="33" t="str">
        <f>VLOOKUP(A113, 'Session Data'!A:AA,12,false)</f>
        <v> Improving Continuity and Scale: Introducing the Spanish Web-Based Computerized Comprehension Task </v>
      </c>
      <c r="Y113" s="34" t="str">
        <f>VLOOKUP(A113, 'Session Data'!A:AA,22,false)</f>
        <v>Margaret</v>
      </c>
      <c r="Z113" s="34" t="str">
        <f>VLOOKUP(A113, 'Session Data'!A:AA,23,false)</f>
        <v>Friend</v>
      </c>
      <c r="AA113" s="34" t="str">
        <f>VLOOKUP(A113, 'Session Data'!A:AA,25,false)</f>
        <v>Sciences</v>
      </c>
      <c r="AB113" s="34" t="str">
        <f>VLOOKUP(A113, 'Session Data'!A:AA,24,false)</f>
        <v>mfriend@sdsu.edu</v>
      </c>
      <c r="AC113" s="34" t="str">
        <f>VLOOKUP(A113, 'Session Data'!A:AA,16,false)</f>
        <v/>
      </c>
      <c r="AD113" s="35" t="str">
        <f>VLOOKUP(A113, 'Session Data'!A:U,17,false)</f>
        <v/>
      </c>
      <c r="AE113" s="35" t="str">
        <f>VLOOKUP(A113, 'Session Data'!A:U,18,false)</f>
        <v/>
      </c>
      <c r="AF113" s="35" t="str">
        <f>VLOOKUP(A113, 'Session Data'!A:U,19,false)</f>
        <v/>
      </c>
      <c r="AG113" s="35" t="str">
        <f>VLOOKUP(A113, 'Session Data'!A:U,20,false)</f>
        <v/>
      </c>
      <c r="AH113" s="35" t="str">
        <f>VLOOKUP(A113, 'Session Data'!A:U,21,false)</f>
        <v/>
      </c>
      <c r="AI113" s="37"/>
      <c r="AJ113" s="37"/>
      <c r="AK113" s="37"/>
      <c r="AL113" s="50"/>
      <c r="AM113" s="34" t="str">
        <f>VLOOKUP(A113, 'Session Data'!A:AA,10,false)</f>
        <v>dleon0069@sdsu.edu</v>
      </c>
      <c r="AN113" s="40"/>
      <c r="AO113" s="38"/>
      <c r="AP113" s="38"/>
      <c r="AQ113" s="38"/>
      <c r="AR113" s="38"/>
      <c r="AS113" s="38"/>
      <c r="AT113" s="38"/>
      <c r="AU113" s="38"/>
      <c r="AV113" s="38"/>
      <c r="AW113" s="38"/>
      <c r="AX113" s="38"/>
      <c r="AY113" s="43"/>
      <c r="AZ113" s="43"/>
      <c r="BA113" s="48"/>
      <c r="BB113" s="48"/>
      <c r="BC113" s="43"/>
      <c r="BD113" s="43"/>
      <c r="BE113" s="44"/>
      <c r="BF113" s="45"/>
      <c r="BG113" s="46"/>
    </row>
    <row r="114">
      <c r="A114" s="19" t="s">
        <v>178</v>
      </c>
      <c r="B114" s="20">
        <f>VLOOKUP(F114,'Session Count DO NOT EDIT'!$A:$C,3,FALSE)</f>
        <v>5</v>
      </c>
      <c r="C114" s="20">
        <f>COUNTIFS('Scores Import DO NOT EDIT'!D:D,A114)</f>
        <v>4</v>
      </c>
      <c r="D114" s="21">
        <f t="shared" si="1"/>
        <v>0.8</v>
      </c>
      <c r="E114" s="22">
        <f>AVERAGEIFS('Scores Import DO NOT EDIT'!L:L,'Scores Import DO NOT EDIT'!D:D,A114)</f>
        <v>24.25</v>
      </c>
      <c r="F114" s="23" t="str">
        <f>VLOOKUP(A114, 'Session Data'!A:M,3,false)</f>
        <v>C-1</v>
      </c>
      <c r="G114" s="24" t="str">
        <f>VLOOKUP(A114, 'Session Data'!A:I,2,false)</f>
        <v>1:00 PM</v>
      </c>
      <c r="H114" s="23" t="str">
        <f>VLOOKUP(A114, 'Session Data'!A:J,5,false)</f>
        <v>Behavioral and Social Sciences </v>
      </c>
      <c r="I114" s="25" t="str">
        <f>VLOOKUP(A114, 'Session Data'!A:H,4,false)</f>
        <v>Oral </v>
      </c>
      <c r="J114" s="26" t="str">
        <f>VLOOKUP(A114, 'Session Data'!A:AA,14,false)</f>
        <v>Undergraduate</v>
      </c>
      <c r="K114" s="27" t="str">
        <f>VLOOKUP(A114, 'Session Data'!A:AA,15,false)</f>
        <v>Arts and Letters</v>
      </c>
      <c r="L114" s="47"/>
      <c r="M114" s="29" t="str">
        <f>VLOOKUP(A114, 'Session Data'!A:K,11,false)</f>
        <v>Bachelor of Arts in International Security and Conflict Resolution</v>
      </c>
      <c r="N114" s="26" t="str">
        <f>IF(ISNA(VLOOKUP(A114, 'Award Abstract#'!C:C, 1, FALSE)), "No", "Yes")
</f>
        <v>No</v>
      </c>
      <c r="O114" s="29" t="str">
        <f>IF(ISNA(VLOOKUP(A114,'Award Abstract#'!B:B,1,FALSE)), "No", "Yes")</f>
        <v>No</v>
      </c>
      <c r="P114" s="29" t="str">
        <f>IF(ISNA(VLOOKUP(A114,'Award Abstract#'!E:E,1,FALSE)), "No", "Yes")</f>
        <v>No</v>
      </c>
      <c r="Q114" s="29" t="str">
        <f>IF(ISNA(VLOOKUP(A114,'Award Abstract#'!A:A,1,FALSE)), "No", "Yes")</f>
        <v>No</v>
      </c>
      <c r="R114" s="29" t="str">
        <f>IF(ISNA(VLOOKUP(A114,'Award Abstract#'!D:D,1,FALSE)), "No", "Yes")</f>
        <v>Yes</v>
      </c>
      <c r="S114" s="30" t="str">
        <f>VLOOKUP(A114, 'Session Data'!A:AA,27,false)</f>
        <v>Man</v>
      </c>
      <c r="T114" s="30"/>
      <c r="U114" s="30"/>
      <c r="V114" s="31" t="str">
        <f>VLOOKUP(A114, 'Session Data'!A:AA,8,false)</f>
        <v>Max</v>
      </c>
      <c r="W114" s="32" t="str">
        <f>VLOOKUP(A114, 'Session Data'!A:AA,9,false)</f>
        <v>Moore</v>
      </c>
      <c r="X114" s="33" t="str">
        <f>VLOOKUP(A114, 'Session Data'!A:AA,12,false)</f>
        <v>Land Reform and Conflict: A Case Study of Colombia</v>
      </c>
      <c r="Y114" s="34" t="str">
        <f>VLOOKUP(A114, 'Session Data'!A:AA,22,false)</f>
        <v>Cheryl</v>
      </c>
      <c r="Z114" s="34" t="str">
        <f>VLOOKUP(A114, 'Session Data'!A:AA,23,false)</f>
        <v>O'Brien</v>
      </c>
      <c r="AA114" s="34" t="str">
        <f>VLOOKUP(A114, 'Session Data'!A:AA,25,false)</f>
        <v>Arts and Letters</v>
      </c>
      <c r="AB114" s="34" t="str">
        <f>VLOOKUP(A114, 'Session Data'!A:AA,24,false)</f>
        <v>cobrien@sdsu.ed</v>
      </c>
      <c r="AC114" s="34" t="str">
        <f>VLOOKUP(A114, 'Session Data'!A:AA,16,false)</f>
        <v/>
      </c>
      <c r="AD114" s="35" t="str">
        <f>VLOOKUP(A114, 'Session Data'!A:U,17,false)</f>
        <v/>
      </c>
      <c r="AE114" s="35" t="str">
        <f>VLOOKUP(A114, 'Session Data'!A:U,18,false)</f>
        <v/>
      </c>
      <c r="AF114" s="35" t="str">
        <f>VLOOKUP(A114, 'Session Data'!A:U,19,false)</f>
        <v/>
      </c>
      <c r="AG114" s="35" t="str">
        <f>VLOOKUP(A114, 'Session Data'!A:U,20,false)</f>
        <v/>
      </c>
      <c r="AH114" s="35" t="str">
        <f>VLOOKUP(A114, 'Session Data'!A:U,21,false)</f>
        <v/>
      </c>
      <c r="AI114" s="37"/>
      <c r="AJ114" s="37"/>
      <c r="AK114" s="37"/>
      <c r="AL114" s="50"/>
      <c r="AM114" s="34" t="str">
        <f>VLOOKUP(A114, 'Session Data'!A:AA,10,false)</f>
        <v>mmoore4396@sdsu.edu</v>
      </c>
      <c r="AN114" s="40"/>
      <c r="AO114" s="38"/>
      <c r="AP114" s="38"/>
      <c r="AQ114" s="38"/>
      <c r="AR114" s="38"/>
      <c r="AS114" s="38"/>
      <c r="AT114" s="38"/>
      <c r="AU114" s="38"/>
      <c r="AV114" s="38"/>
      <c r="AW114" s="38"/>
      <c r="AX114" s="38"/>
      <c r="AY114" s="43"/>
      <c r="AZ114" s="43"/>
      <c r="BA114" s="48"/>
      <c r="BB114" s="48"/>
      <c r="BC114" s="43"/>
      <c r="BD114" s="43"/>
      <c r="BE114" s="44"/>
      <c r="BF114" s="45"/>
      <c r="BG114" s="43"/>
    </row>
    <row r="115">
      <c r="A115" s="78" t="s">
        <v>179</v>
      </c>
      <c r="B115" s="20">
        <f>VLOOKUP(F115,'Session Count DO NOT EDIT'!$A:$C,3,FALSE)</f>
        <v>4</v>
      </c>
      <c r="C115" s="20">
        <f>COUNTIFS('Scores Import DO NOT EDIT'!D:D,A115)</f>
        <v>0</v>
      </c>
      <c r="D115" s="21">
        <f t="shared" si="1"/>
        <v>0</v>
      </c>
      <c r="E115" s="22" t="str">
        <f>AVERAGEIFS('Scores Import DO NOT EDIT'!L:L,'Scores Import DO NOT EDIT'!D:D,A115)</f>
        <v>#DIV/0!</v>
      </c>
      <c r="F115" s="23" t="str">
        <f>VLOOKUP(A115, 'Session Data'!A:M,3,false)</f>
        <v>C-2</v>
      </c>
      <c r="G115" s="24" t="str">
        <f>VLOOKUP(A115, 'Session Data'!A:I,2,false)</f>
        <v>1:00 PM</v>
      </c>
      <c r="H115" s="23" t="str">
        <f>VLOOKUP(A115, 'Session Data'!A:J,5,false)</f>
        <v>Biological and Agricultural Sciences</v>
      </c>
      <c r="I115" s="25" t="str">
        <f>VLOOKUP(A115, 'Session Data'!A:H,4,false)</f>
        <v>Oral </v>
      </c>
      <c r="J115" s="26" t="str">
        <f>VLOOKUP(A115, 'Session Data'!A:AA,14,false)</f>
        <v>Undergraduate</v>
      </c>
      <c r="K115" s="27" t="str">
        <f>VLOOKUP(A115, 'Session Data'!A:AA,15,false)</f>
        <v>Sciences</v>
      </c>
      <c r="L115" s="28"/>
      <c r="M115" s="29" t="str">
        <f>VLOOKUP(A115, 'Session Data'!A:K,11,false)</f>
        <v>Bachelor of Science in Biology </v>
      </c>
      <c r="N115" s="26" t="str">
        <f>IF(ISNA(VLOOKUP(A115, 'Award Abstract#'!C:C, 1, FALSE)), "No", "Yes")
</f>
        <v>No</v>
      </c>
      <c r="O115" s="29" t="str">
        <f>IF(ISNA(VLOOKUP(A115,'Award Abstract#'!B:B,1,FALSE)), "No", "Yes")</f>
        <v>No</v>
      </c>
      <c r="P115" s="29" t="str">
        <f>IF(ISNA(VLOOKUP(A115,'Award Abstract#'!E:E,1,FALSE)), "No", "Yes")</f>
        <v>No</v>
      </c>
      <c r="Q115" s="29" t="str">
        <f>IF(ISNA(VLOOKUP(A115,'Award Abstract#'!A:A,1,FALSE)), "No", "Yes")</f>
        <v>No</v>
      </c>
      <c r="R115" s="29" t="str">
        <f>IF(ISNA(VLOOKUP(A115,'Award Abstract#'!D:D,1,FALSE)), "No", "Yes")</f>
        <v>No</v>
      </c>
      <c r="S115" s="30" t="str">
        <f>VLOOKUP(A115, 'Session Data'!A:AA,27,false)</f>
        <v>Man</v>
      </c>
      <c r="T115" s="30"/>
      <c r="U115" s="30"/>
      <c r="V115" s="31" t="str">
        <f>VLOOKUP(A115, 'Session Data'!A:AA,8,false)</f>
        <v>Scott</v>
      </c>
      <c r="W115" s="32" t="str">
        <f>VLOOKUP(A115, 'Session Data'!A:AA,9,false)</f>
        <v>Monahan</v>
      </c>
      <c r="X115" s="33" t="str">
        <f>VLOOKUP(A115, 'Session Data'!A:AA,12,false)</f>
        <v>Herbivore-Induced Plant Volatiles Mediate Belowground Tritrophic Interactions</v>
      </c>
      <c r="Y115" s="34" t="str">
        <f>VLOOKUP(A115, 'Session Data'!A:AA,22,false)</f>
        <v>Anjel</v>
      </c>
      <c r="Z115" s="34" t="str">
        <f>VLOOKUP(A115, 'Session Data'!A:AA,23,false)</f>
        <v>Helms</v>
      </c>
      <c r="AA115" s="34" t="str">
        <f>VLOOKUP(A115, 'Session Data'!A:AA,25,false)</f>
        <v>Other</v>
      </c>
      <c r="AB115" s="34" t="str">
        <f>VLOOKUP(A115, 'Session Data'!A:AA,24,false)</f>
        <v>anjel.helms@ag.tamu.edu</v>
      </c>
      <c r="AC115" s="34" t="str">
        <f>VLOOKUP(A115, 'Session Data'!A:AA,16,false)</f>
        <v/>
      </c>
      <c r="AD115" s="35" t="str">
        <f>VLOOKUP(A115, 'Session Data'!A:U,17,false)</f>
        <v/>
      </c>
      <c r="AE115" s="35" t="str">
        <f>VLOOKUP(A115, 'Session Data'!A:U,18,false)</f>
        <v/>
      </c>
      <c r="AF115" s="35" t="str">
        <f>VLOOKUP(A115, 'Session Data'!A:U,19,false)</f>
        <v/>
      </c>
      <c r="AG115" s="35" t="str">
        <f>VLOOKUP(A115, 'Session Data'!A:U,20,false)</f>
        <v/>
      </c>
      <c r="AH115" s="35" t="str">
        <f>VLOOKUP(A115, 'Session Data'!A:U,21,false)</f>
        <v/>
      </c>
      <c r="AI115" s="37"/>
      <c r="AJ115" s="37"/>
      <c r="AK115" s="37"/>
      <c r="AL115" s="50"/>
      <c r="AM115" s="34" t="str">
        <f>VLOOKUP(A115, 'Session Data'!A:AA,10,false)</f>
        <v>smonahan5010@sdsu.edu</v>
      </c>
      <c r="AN115" s="40"/>
      <c r="AO115" s="38"/>
      <c r="AP115" s="38"/>
      <c r="AQ115" s="38"/>
      <c r="AR115" s="38"/>
      <c r="AS115" s="38"/>
      <c r="AT115" s="38"/>
      <c r="AU115" s="38"/>
      <c r="AV115" s="38"/>
      <c r="AW115" s="38"/>
      <c r="AX115" s="38"/>
      <c r="AY115" s="43"/>
      <c r="AZ115" s="43"/>
      <c r="BA115" s="43"/>
      <c r="BB115" s="43"/>
      <c r="BC115" s="43"/>
      <c r="BD115" s="43"/>
      <c r="BE115" s="44"/>
      <c r="BF115" s="45"/>
      <c r="BG115" s="43"/>
    </row>
    <row r="116">
      <c r="A116" s="19" t="s">
        <v>180</v>
      </c>
      <c r="B116" s="20">
        <f>VLOOKUP(F116,'Session Count DO NOT EDIT'!$A:$C,3,FALSE)</f>
        <v>4</v>
      </c>
      <c r="C116" s="20">
        <f>COUNTIFS('Scores Import DO NOT EDIT'!D:D,A116)</f>
        <v>3</v>
      </c>
      <c r="D116" s="21">
        <f t="shared" si="1"/>
        <v>0.75</v>
      </c>
      <c r="E116" s="22">
        <f>AVERAGEIFS('Scores Import DO NOT EDIT'!L:L,'Scores Import DO NOT EDIT'!D:D,A116)</f>
        <v>27.33333333</v>
      </c>
      <c r="F116" s="23" t="str">
        <f>VLOOKUP(A116, 'Session Data'!A:M,3,false)</f>
        <v>C-2</v>
      </c>
      <c r="G116" s="24" t="str">
        <f>VLOOKUP(A116, 'Session Data'!A:I,2,false)</f>
        <v>1:00 PM</v>
      </c>
      <c r="H116" s="23" t="str">
        <f>VLOOKUP(A116, 'Session Data'!A:J,5,false)</f>
        <v>Biological and Agricultural Sciences</v>
      </c>
      <c r="I116" s="25" t="str">
        <f>VLOOKUP(A116, 'Session Data'!A:H,4,false)</f>
        <v>Oral </v>
      </c>
      <c r="J116" s="26" t="str">
        <f>VLOOKUP(A116, 'Session Data'!A:AA,14,false)</f>
        <v>Undergraduate</v>
      </c>
      <c r="K116" s="27" t="str">
        <f>VLOOKUP(A116, 'Session Data'!A:AA,15,false)</f>
        <v>Sciences</v>
      </c>
      <c r="L116" s="28"/>
      <c r="M116" s="29" t="str">
        <f>VLOOKUP(A116, 'Session Data'!A:K,11,false)</f>
        <v>Bachelor of Science in Biology</v>
      </c>
      <c r="N116" s="26" t="str">
        <f>IF(ISNA(VLOOKUP(A116, 'Award Abstract#'!C:C, 1, FALSE)), "No", "Yes")
</f>
        <v>No</v>
      </c>
      <c r="O116" s="29" t="str">
        <f>IF(ISNA(VLOOKUP(A116,'Award Abstract#'!B:B,1,FALSE)), "No", "Yes")</f>
        <v>No</v>
      </c>
      <c r="P116" s="29" t="str">
        <f>IF(ISNA(VLOOKUP(A116,'Award Abstract#'!E:E,1,FALSE)), "No", "Yes")</f>
        <v>No</v>
      </c>
      <c r="Q116" s="29" t="str">
        <f>IF(ISNA(VLOOKUP(A116,'Award Abstract#'!A:A,1,FALSE)), "No", "Yes")</f>
        <v>No</v>
      </c>
      <c r="R116" s="29" t="str">
        <f>IF(ISNA(VLOOKUP(A116,'Award Abstract#'!D:D,1,FALSE)), "No", "Yes")</f>
        <v>No</v>
      </c>
      <c r="S116" s="30" t="str">
        <f>VLOOKUP(A116, 'Session Data'!A:AA,27,false)</f>
        <v>Woman</v>
      </c>
      <c r="T116" s="30"/>
      <c r="U116" s="30"/>
      <c r="V116" s="31" t="str">
        <f>VLOOKUP(A116, 'Session Data'!A:AA,8,false)</f>
        <v>Chloe</v>
      </c>
      <c r="W116" s="32" t="str">
        <f>VLOOKUP(A116, 'Session Data'!A:AA,9,false)</f>
        <v>Ferguson</v>
      </c>
      <c r="X116" s="33" t="str">
        <f>VLOOKUP(A116, 'Session Data'!A:AA,12,false)</f>
        <v>Identification of novel proteins that directly control TDP-43 Mislocalization in ALS</v>
      </c>
      <c r="Y116" s="34" t="str">
        <f>VLOOKUP(A116, 'Session Data'!A:AA,22,false)</f>
        <v>Norah </v>
      </c>
      <c r="Z116" s="34" t="str">
        <f>VLOOKUP(A116, 'Session Data'!A:AA,23,false)</f>
        <v>Al-azzam</v>
      </c>
      <c r="AA116" s="34" t="str">
        <f>VLOOKUP(A116, 'Session Data'!A:AA,25,false)</f>
        <v>UCSD</v>
      </c>
      <c r="AB116" s="34" t="str">
        <f>VLOOKUP(A116, 'Session Data'!A:AA,24,false)</f>
        <v>nhoussie@health.ucsd.edu</v>
      </c>
      <c r="AC116" s="34" t="str">
        <f>VLOOKUP(A116, 'Session Data'!A:AA,16,false)</f>
        <v/>
      </c>
      <c r="AD116" s="35" t="str">
        <f>VLOOKUP(A116, 'Session Data'!A:U,17,false)</f>
        <v/>
      </c>
      <c r="AE116" s="35" t="str">
        <f>VLOOKUP(A116, 'Session Data'!A:U,18,false)</f>
        <v/>
      </c>
      <c r="AF116" s="35" t="str">
        <f>VLOOKUP(A116, 'Session Data'!A:U,19,false)</f>
        <v/>
      </c>
      <c r="AG116" s="35" t="str">
        <f>VLOOKUP(A116, 'Session Data'!A:U,20,false)</f>
        <v/>
      </c>
      <c r="AH116" s="35" t="str">
        <f>VLOOKUP(A116, 'Session Data'!A:U,21,false)</f>
        <v/>
      </c>
      <c r="AI116" s="37"/>
      <c r="AJ116" s="37"/>
      <c r="AK116" s="37"/>
      <c r="AL116" s="50"/>
      <c r="AM116" s="34" t="str">
        <f>VLOOKUP(A116, 'Session Data'!A:AA,10,false)</f>
        <v>cferguson4476@sdsu.edu</v>
      </c>
      <c r="AN116" s="40"/>
      <c r="AO116" s="38"/>
      <c r="AP116" s="38"/>
      <c r="AQ116" s="38"/>
      <c r="AR116" s="38"/>
      <c r="AS116" s="38"/>
      <c r="AT116" s="38"/>
      <c r="AU116" s="38"/>
      <c r="AV116" s="38"/>
      <c r="AW116" s="38"/>
      <c r="AX116" s="38"/>
      <c r="AY116" s="43"/>
      <c r="AZ116" s="43"/>
      <c r="BA116" s="48"/>
      <c r="BB116" s="48"/>
      <c r="BC116" s="43"/>
      <c r="BD116" s="43"/>
      <c r="BE116" s="44"/>
      <c r="BF116" s="45"/>
      <c r="BG116" s="43"/>
    </row>
    <row r="117">
      <c r="A117" s="19" t="s">
        <v>181</v>
      </c>
      <c r="B117" s="20">
        <f>VLOOKUP(F117,'Session Count DO NOT EDIT'!$A:$C,3,FALSE)</f>
        <v>4</v>
      </c>
      <c r="C117" s="20">
        <f>COUNTIFS('Scores Import DO NOT EDIT'!D:D,A117)</f>
        <v>3</v>
      </c>
      <c r="D117" s="21">
        <f t="shared" si="1"/>
        <v>0.75</v>
      </c>
      <c r="E117" s="22">
        <f>AVERAGEIFS('Scores Import DO NOT EDIT'!L:L,'Scores Import DO NOT EDIT'!D:D,A117)</f>
        <v>27</v>
      </c>
      <c r="F117" s="23" t="str">
        <f>VLOOKUP(A117, 'Session Data'!A:M,3,false)</f>
        <v>C-2</v>
      </c>
      <c r="G117" s="24" t="str">
        <f>VLOOKUP(A117, 'Session Data'!A:I,2,false)</f>
        <v>1:00 PM</v>
      </c>
      <c r="H117" s="23" t="str">
        <f>VLOOKUP(A117, 'Session Data'!A:J,5,false)</f>
        <v>Biological and Agricultural Sciences</v>
      </c>
      <c r="I117" s="25" t="str">
        <f>VLOOKUP(A117, 'Session Data'!A:H,4,false)</f>
        <v>Oral </v>
      </c>
      <c r="J117" s="26" t="str">
        <f>VLOOKUP(A117, 'Session Data'!A:AA,14,false)</f>
        <v>Undergraduate</v>
      </c>
      <c r="K117" s="27" t="str">
        <f>VLOOKUP(A117, 'Session Data'!A:AA,15,false)</f>
        <v>Sciences</v>
      </c>
      <c r="L117" s="47"/>
      <c r="M117" s="29" t="str">
        <f>VLOOKUP(A117, 'Session Data'!A:K,11,false)</f>
        <v>Biochemistry/Bachelor</v>
      </c>
      <c r="N117" s="26" t="str">
        <f>IF(ISNA(VLOOKUP(A117, 'Award Abstract#'!C:C, 1, FALSE)), "No", "Yes")
</f>
        <v>No</v>
      </c>
      <c r="O117" s="29" t="str">
        <f>IF(ISNA(VLOOKUP(A117,'Award Abstract#'!B:B,1,FALSE)), "No", "Yes")</f>
        <v>No</v>
      </c>
      <c r="P117" s="29" t="str">
        <f>IF(ISNA(VLOOKUP(A117,'Award Abstract#'!E:E,1,FALSE)), "No", "Yes")</f>
        <v>No</v>
      </c>
      <c r="Q117" s="29" t="str">
        <f>IF(ISNA(VLOOKUP(A117,'Award Abstract#'!A:A,1,FALSE)), "No", "Yes")</f>
        <v>No</v>
      </c>
      <c r="R117" s="29" t="str">
        <f>IF(ISNA(VLOOKUP(A117,'Award Abstract#'!D:D,1,FALSE)), "No", "Yes")</f>
        <v>No</v>
      </c>
      <c r="S117" s="30" t="str">
        <f>VLOOKUP(A117, 'Session Data'!A:AA,27,false)</f>
        <v>Woman</v>
      </c>
      <c r="T117" s="30"/>
      <c r="U117" s="30"/>
      <c r="V117" s="31" t="str">
        <f>VLOOKUP(A117, 'Session Data'!A:AA,8,false)</f>
        <v>Nicole</v>
      </c>
      <c r="W117" s="32" t="str">
        <f>VLOOKUP(A117, 'Session Data'!A:AA,9,false)</f>
        <v>Sierra</v>
      </c>
      <c r="X117" s="33" t="str">
        <f>VLOOKUP(A117, 'Session Data'!A:AA,12,false)</f>
        <v>R132Q IDH1 sensitivity to reducing agents</v>
      </c>
      <c r="Y117" s="34" t="str">
        <f>VLOOKUP(A117, 'Session Data'!A:AA,22,false)</f>
        <v>Christal</v>
      </c>
      <c r="Z117" s="34" t="str">
        <f>VLOOKUP(A117, 'Session Data'!A:AA,23,false)</f>
        <v>Sohl</v>
      </c>
      <c r="AA117" s="34" t="str">
        <f>VLOOKUP(A117, 'Session Data'!A:AA,25,false)</f>
        <v>Sciences</v>
      </c>
      <c r="AB117" s="34" t="str">
        <f>VLOOKUP(A117, 'Session Data'!A:AA,24,false)</f>
        <v>csohl@sdsu.edu</v>
      </c>
      <c r="AC117" s="34" t="str">
        <f>VLOOKUP(A117, 'Session Data'!A:AA,16,false)</f>
        <v/>
      </c>
      <c r="AD117" s="35" t="str">
        <f>VLOOKUP(A117, 'Session Data'!A:U,17,false)</f>
        <v/>
      </c>
      <c r="AE117" s="35" t="str">
        <f>VLOOKUP(A117, 'Session Data'!A:U,18,false)</f>
        <v/>
      </c>
      <c r="AF117" s="35" t="str">
        <f>VLOOKUP(A117, 'Session Data'!A:U,19,false)</f>
        <v/>
      </c>
      <c r="AG117" s="35" t="str">
        <f>VLOOKUP(A117, 'Session Data'!A:U,20,false)</f>
        <v/>
      </c>
      <c r="AH117" s="35" t="str">
        <f>VLOOKUP(A117, 'Session Data'!A:U,21,false)</f>
        <v/>
      </c>
      <c r="AI117" s="37"/>
      <c r="AJ117" s="37"/>
      <c r="AK117" s="37"/>
      <c r="AL117" s="50"/>
      <c r="AM117" s="34" t="str">
        <f>VLOOKUP(A117, 'Session Data'!A:AA,10,false)</f>
        <v>nsierra9652@sdsu.edu</v>
      </c>
      <c r="AN117" s="40"/>
      <c r="AO117" s="38"/>
      <c r="AP117" s="38"/>
      <c r="AQ117" s="38"/>
      <c r="AR117" s="38"/>
      <c r="AS117" s="38"/>
      <c r="AT117" s="38"/>
      <c r="AU117" s="38"/>
      <c r="AV117" s="38"/>
      <c r="AW117" s="38"/>
      <c r="AX117" s="38"/>
      <c r="AY117" s="43"/>
      <c r="AZ117" s="43"/>
      <c r="BA117" s="48"/>
      <c r="BB117" s="48"/>
      <c r="BC117" s="43"/>
      <c r="BD117" s="43"/>
      <c r="BE117" s="44"/>
      <c r="BF117" s="45"/>
      <c r="BG117" s="43"/>
    </row>
    <row r="118">
      <c r="A118" s="19" t="s">
        <v>182</v>
      </c>
      <c r="B118" s="20">
        <f>VLOOKUP(F118,'Session Count DO NOT EDIT'!$A:$C,3,FALSE)</f>
        <v>4</v>
      </c>
      <c r="C118" s="20">
        <f>COUNTIFS('Scores Import DO NOT EDIT'!D:D,A118)</f>
        <v>4</v>
      </c>
      <c r="D118" s="21">
        <f t="shared" si="1"/>
        <v>1</v>
      </c>
      <c r="E118" s="22">
        <f>AVERAGEIFS('Scores Import DO NOT EDIT'!L:L,'Scores Import DO NOT EDIT'!D:D,A118)</f>
        <v>25.75</v>
      </c>
      <c r="F118" s="23" t="str">
        <f>VLOOKUP(A118, 'Session Data'!A:M,3,false)</f>
        <v>C-2</v>
      </c>
      <c r="G118" s="24" t="str">
        <f>VLOOKUP(A118, 'Session Data'!A:I,2,false)</f>
        <v>1:00 PM</v>
      </c>
      <c r="H118" s="23" t="str">
        <f>VLOOKUP(A118, 'Session Data'!A:J,5,false)</f>
        <v>Biological and Agricultural Sciences</v>
      </c>
      <c r="I118" s="25" t="str">
        <f>VLOOKUP(A118, 'Session Data'!A:H,4,false)</f>
        <v>Oral </v>
      </c>
      <c r="J118" s="26" t="str">
        <f>VLOOKUP(A118, 'Session Data'!A:AA,14,false)</f>
        <v>Undergraduate</v>
      </c>
      <c r="K118" s="27" t="str">
        <f>VLOOKUP(A118, 'Session Data'!A:AA,15,false)</f>
        <v>Sciences</v>
      </c>
      <c r="L118" s="28"/>
      <c r="M118" s="29" t="str">
        <f>VLOOKUP(A118, 'Session Data'!A:K,11,false)</f>
        <v>Biology/ Bachelor of Science</v>
      </c>
      <c r="N118" s="26" t="str">
        <f>IF(ISNA(VLOOKUP(A118, 'Award Abstract#'!C:C, 1, FALSE)), "No", "Yes")
</f>
        <v>No</v>
      </c>
      <c r="O118" s="29" t="str">
        <f>IF(ISNA(VLOOKUP(A118,'Award Abstract#'!B:B,1,FALSE)), "No", "Yes")</f>
        <v>No</v>
      </c>
      <c r="P118" s="29" t="str">
        <f>IF(ISNA(VLOOKUP(A118,'Award Abstract#'!E:E,1,FALSE)), "No", "Yes")</f>
        <v>No</v>
      </c>
      <c r="Q118" s="29" t="str">
        <f>IF(ISNA(VLOOKUP(A118,'Award Abstract#'!A:A,1,FALSE)), "No", "Yes")</f>
        <v>No</v>
      </c>
      <c r="R118" s="29" t="str">
        <f>IF(ISNA(VLOOKUP(A118,'Award Abstract#'!D:D,1,FALSE)), "No", "Yes")</f>
        <v>Yes</v>
      </c>
      <c r="S118" s="30" t="str">
        <f>VLOOKUP(A118, 'Session Data'!A:AA,27,false)</f>
        <v>Woman</v>
      </c>
      <c r="T118" s="30"/>
      <c r="U118" s="30"/>
      <c r="V118" s="31" t="str">
        <f>VLOOKUP(A118, 'Session Data'!A:AA,8,false)</f>
        <v>Tatyana</v>
      </c>
      <c r="W118" s="32" t="str">
        <f>VLOOKUP(A118, 'Session Data'!A:AA,9,false)</f>
        <v>Ali</v>
      </c>
      <c r="X118" s="33" t="str">
        <f>VLOOKUP(A118, 'Session Data'!A:AA,12,false)</f>
        <v>Investigating the role of immune and developmental genes during bacterial-stimulated metamorphosis in the marine tubeworm Hydroides elegans</v>
      </c>
      <c r="Y118" s="34" t="str">
        <f>VLOOKUP(A118, 'Session Data'!A:AA,22,false)</f>
        <v>Nicholas </v>
      </c>
      <c r="Z118" s="34" t="str">
        <f>VLOOKUP(A118, 'Session Data'!A:AA,23,false)</f>
        <v>Shikuma</v>
      </c>
      <c r="AA118" s="34" t="str">
        <f>VLOOKUP(A118, 'Session Data'!A:AA,25,false)</f>
        <v>Sciences</v>
      </c>
      <c r="AB118" s="34"/>
      <c r="AC118" s="34" t="str">
        <f>VLOOKUP(A118, 'Session Data'!A:AA,16,false)</f>
        <v/>
      </c>
      <c r="AD118" s="35" t="str">
        <f>VLOOKUP(A118, 'Session Data'!A:U,17,false)</f>
        <v/>
      </c>
      <c r="AE118" s="35" t="str">
        <f>VLOOKUP(A118, 'Session Data'!A:U,18,false)</f>
        <v/>
      </c>
      <c r="AF118" s="35" t="str">
        <f>VLOOKUP(A118, 'Session Data'!A:U,19,false)</f>
        <v/>
      </c>
      <c r="AG118" s="35" t="str">
        <f>VLOOKUP(A118, 'Session Data'!A:U,20,false)</f>
        <v/>
      </c>
      <c r="AH118" s="35" t="str">
        <f>VLOOKUP(A118, 'Session Data'!A:U,21,false)</f>
        <v/>
      </c>
      <c r="AI118" s="37"/>
      <c r="AJ118" s="37"/>
      <c r="AK118" s="37"/>
      <c r="AL118" s="50"/>
      <c r="AM118" s="34" t="str">
        <f>VLOOKUP(A118, 'Session Data'!A:AA,10,false)</f>
        <v>tali5835@sdsu.edu</v>
      </c>
      <c r="AN118" s="40"/>
      <c r="AO118" s="38"/>
      <c r="AP118" s="38"/>
      <c r="AQ118" s="38"/>
      <c r="AR118" s="38"/>
      <c r="AS118" s="38"/>
      <c r="AT118" s="38"/>
      <c r="AU118" s="38"/>
      <c r="AV118" s="38"/>
      <c r="AW118" s="38"/>
      <c r="AX118" s="38"/>
      <c r="AY118" s="43"/>
      <c r="AZ118" s="43"/>
      <c r="BA118" s="43"/>
      <c r="BB118" s="43"/>
      <c r="BC118" s="43"/>
      <c r="BD118" s="43"/>
      <c r="BE118" s="44"/>
      <c r="BF118" s="45"/>
      <c r="BG118" s="43"/>
    </row>
    <row r="119">
      <c r="A119" s="19" t="s">
        <v>183</v>
      </c>
      <c r="B119" s="20">
        <f>VLOOKUP(F119,'Session Count DO NOT EDIT'!$A:$C,3,FALSE)</f>
        <v>4</v>
      </c>
      <c r="C119" s="20">
        <f>COUNTIFS('Scores Import DO NOT EDIT'!D:D,A119)</f>
        <v>4</v>
      </c>
      <c r="D119" s="21">
        <f t="shared" si="1"/>
        <v>1</v>
      </c>
      <c r="E119" s="22">
        <f>AVERAGEIFS('Scores Import DO NOT EDIT'!L:L,'Scores Import DO NOT EDIT'!D:D,A119)</f>
        <v>25.25</v>
      </c>
      <c r="F119" s="23" t="str">
        <f>VLOOKUP(A119, 'Session Data'!A:M,3,false)</f>
        <v>C-2</v>
      </c>
      <c r="G119" s="24" t="str">
        <f>VLOOKUP(A119, 'Session Data'!A:I,2,false)</f>
        <v>1:00 PM</v>
      </c>
      <c r="H119" s="23" t="str">
        <f>VLOOKUP(A119, 'Session Data'!A:J,5,false)</f>
        <v>Biological and Agricultural Sciences</v>
      </c>
      <c r="I119" s="25" t="str">
        <f>VLOOKUP(A119, 'Session Data'!A:H,4,false)</f>
        <v>Oral </v>
      </c>
      <c r="J119" s="26" t="str">
        <f>VLOOKUP(A119, 'Session Data'!A:AA,14,false)</f>
        <v>Undergraduate</v>
      </c>
      <c r="K119" s="27" t="str">
        <f>VLOOKUP(A119, 'Session Data'!A:AA,15,false)</f>
        <v>Sciences</v>
      </c>
      <c r="L119" s="47"/>
      <c r="M119" s="29" t="str">
        <f>VLOOKUP(A119, 'Session Data'!A:K,11,false)</f>
        <v>Computer Science</v>
      </c>
      <c r="N119" s="26" t="str">
        <f>IF(ISNA(VLOOKUP(A119, 'Award Abstract#'!C:C, 1, FALSE)), "No", "Yes")
</f>
        <v>No</v>
      </c>
      <c r="O119" s="29" t="str">
        <f>IF(ISNA(VLOOKUP(A119,'Award Abstract#'!B:B,1,FALSE)), "No", "Yes")</f>
        <v>No</v>
      </c>
      <c r="P119" s="29" t="str">
        <f>IF(ISNA(VLOOKUP(A119,'Award Abstract#'!E:E,1,FALSE)), "No", "Yes")</f>
        <v>No</v>
      </c>
      <c r="Q119" s="29" t="str">
        <f>IF(ISNA(VLOOKUP(A119,'Award Abstract#'!A:A,1,FALSE)), "No", "Yes")</f>
        <v>No</v>
      </c>
      <c r="R119" s="29" t="str">
        <f>IF(ISNA(VLOOKUP(A119,'Award Abstract#'!D:D,1,FALSE)), "No", "Yes")</f>
        <v>Yes</v>
      </c>
      <c r="S119" s="30" t="str">
        <f>VLOOKUP(A119, 'Session Data'!A:AA,27,false)</f>
        <v>Man</v>
      </c>
      <c r="T119" s="30"/>
      <c r="U119" s="30"/>
      <c r="V119" s="31" t="str">
        <f>VLOOKUP(A119, 'Session Data'!A:AA,8,false)</f>
        <v>Julio</v>
      </c>
      <c r="W119" s="32" t="str">
        <f>VLOOKUP(A119, 'Session Data'!A:AA,9,false)</f>
        <v>Nunez Garcia</v>
      </c>
      <c r="X119" s="33" t="str">
        <f>VLOOKUP(A119, 'Session Data'!A:AA,12,false)</f>
        <v>Advancing Escher Web Tools for Dynamic Genome-Scale Metabolic Model Visualization</v>
      </c>
      <c r="Y119" s="34" t="str">
        <f>VLOOKUP(A119, 'Session Data'!A:AA,22,false)</f>
        <v>Cristal</v>
      </c>
      <c r="Z119" s="34" t="str">
        <f>VLOOKUP(A119, 'Session Data'!A:AA,23,false)</f>
        <v>Zuniga</v>
      </c>
      <c r="AA119" s="34" t="str">
        <f>VLOOKUP(A119, 'Session Data'!A:AA,25,false)</f>
        <v>Sciences</v>
      </c>
      <c r="AB119" s="34"/>
      <c r="AC119" s="34" t="str">
        <f>VLOOKUP(A119, 'Session Data'!A:AA,16,false)</f>
        <v/>
      </c>
      <c r="AD119" s="35" t="str">
        <f>VLOOKUP(A119, 'Session Data'!A:U,17,false)</f>
        <v/>
      </c>
      <c r="AE119" s="35" t="str">
        <f>VLOOKUP(A119, 'Session Data'!A:U,18,false)</f>
        <v/>
      </c>
      <c r="AF119" s="35" t="str">
        <f>VLOOKUP(A119, 'Session Data'!A:U,19,false)</f>
        <v/>
      </c>
      <c r="AG119" s="35" t="str">
        <f>VLOOKUP(A119, 'Session Data'!A:U,20,false)</f>
        <v/>
      </c>
      <c r="AH119" s="35" t="str">
        <f>VLOOKUP(A119, 'Session Data'!A:U,21,false)</f>
        <v/>
      </c>
      <c r="AI119" s="37"/>
      <c r="AJ119" s="37"/>
      <c r="AK119" s="37"/>
      <c r="AL119" s="50"/>
      <c r="AM119" s="34" t="str">
        <f>VLOOKUP(A119, 'Session Data'!A:AA,10,false)</f>
        <v>jnunezgarcia7735@sdsu.edu</v>
      </c>
      <c r="AN119" s="40"/>
      <c r="AO119" s="38"/>
      <c r="AP119" s="38"/>
      <c r="AQ119" s="38"/>
      <c r="AR119" s="38"/>
      <c r="AS119" s="38"/>
      <c r="AT119" s="38"/>
      <c r="AU119" s="38"/>
      <c r="AV119" s="38"/>
      <c r="AW119" s="38"/>
      <c r="AX119" s="38"/>
      <c r="AY119" s="43"/>
      <c r="AZ119" s="43"/>
      <c r="BA119" s="48"/>
      <c r="BB119" s="48"/>
      <c r="BC119" s="43"/>
      <c r="BD119" s="43"/>
      <c r="BE119" s="44"/>
      <c r="BF119" s="45"/>
      <c r="BG119" s="43"/>
    </row>
    <row r="120">
      <c r="A120" s="19" t="s">
        <v>184</v>
      </c>
      <c r="B120" s="20">
        <f>VLOOKUP(F120,'Session Count DO NOT EDIT'!$A:$C,3,FALSE)</f>
        <v>4</v>
      </c>
      <c r="C120" s="20">
        <f>COUNTIFS('Scores Import DO NOT EDIT'!D:D,A120)</f>
        <v>4</v>
      </c>
      <c r="D120" s="21">
        <f t="shared" si="1"/>
        <v>1</v>
      </c>
      <c r="E120" s="22">
        <f>AVERAGEIFS('Scores Import DO NOT EDIT'!L:L,'Scores Import DO NOT EDIT'!D:D,A120)</f>
        <v>24.25</v>
      </c>
      <c r="F120" s="23" t="str">
        <f>VLOOKUP(A120, 'Session Data'!A:M,3,false)</f>
        <v>C-2</v>
      </c>
      <c r="G120" s="24" t="str">
        <f>VLOOKUP(A120, 'Session Data'!A:I,2,false)</f>
        <v>1:00 PM</v>
      </c>
      <c r="H120" s="23" t="str">
        <f>VLOOKUP(A120, 'Session Data'!A:J,5,false)</f>
        <v>Biological and Agricultural Sciences</v>
      </c>
      <c r="I120" s="25" t="str">
        <f>VLOOKUP(A120, 'Session Data'!A:H,4,false)</f>
        <v>Oral </v>
      </c>
      <c r="J120" s="26" t="str">
        <f>VLOOKUP(A120, 'Session Data'!A:AA,14,false)</f>
        <v>Undergraduate</v>
      </c>
      <c r="K120" s="27" t="str">
        <f>VLOOKUP(A120, 'Session Data'!A:AA,15,false)</f>
        <v>Health and Human Services</v>
      </c>
      <c r="L120" s="47"/>
      <c r="M120" s="29" t="str">
        <f>VLOOKUP(A120, 'Session Data'!A:K,11,false)</f>
        <v>Bachelor of Science in Foods and Nutrition</v>
      </c>
      <c r="N120" s="26" t="str">
        <f>IF(ISNA(VLOOKUP(A120, 'Award Abstract#'!C:C, 1, FALSE)), "No", "Yes")
</f>
        <v>No</v>
      </c>
      <c r="O120" s="29" t="str">
        <f>IF(ISNA(VLOOKUP(A120,'Award Abstract#'!B:B,1,FALSE)), "No", "Yes")</f>
        <v>No</v>
      </c>
      <c r="P120" s="29" t="str">
        <f>IF(ISNA(VLOOKUP(A120,'Award Abstract#'!E:E,1,FALSE)), "No", "Yes")</f>
        <v>No</v>
      </c>
      <c r="Q120" s="29" t="str">
        <f>IF(ISNA(VLOOKUP(A120,'Award Abstract#'!A:A,1,FALSE)), "No", "Yes")</f>
        <v>No</v>
      </c>
      <c r="R120" s="29" t="str">
        <f>IF(ISNA(VLOOKUP(A120,'Award Abstract#'!D:D,1,FALSE)), "No", "Yes")</f>
        <v>No</v>
      </c>
      <c r="S120" s="30" t="str">
        <f>VLOOKUP(A120, 'Session Data'!A:AA,27,false)</f>
        <v>Woman</v>
      </c>
      <c r="T120" s="30"/>
      <c r="U120" s="30"/>
      <c r="V120" s="31" t="str">
        <f>VLOOKUP(A120, 'Session Data'!A:AA,8,false)</f>
        <v>Selene</v>
      </c>
      <c r="W120" s="32" t="str">
        <f>VLOOKUP(A120, 'Session Data'!A:AA,9,false)</f>
        <v>Alvarado Martinez</v>
      </c>
      <c r="X120" s="33" t="str">
        <f>VLOOKUP(A120, 'Session Data'!A:AA,12,false)</f>
        <v>Exploring flavors of edible ants: A path to sustainable gastronomy and consumer acceptance</v>
      </c>
      <c r="Y120" s="34" t="str">
        <f>VLOOKUP(A120, 'Session Data'!A:AA,22,false)</f>
        <v>Changqi</v>
      </c>
      <c r="Z120" s="34" t="str">
        <f>VLOOKUP(A120, 'Session Data'!A:AA,23,false)</f>
        <v>Liu</v>
      </c>
      <c r="AA120" s="34" t="str">
        <f>VLOOKUP(A120, 'Session Data'!A:AA,25,false)</f>
        <v>Health and Human Services</v>
      </c>
      <c r="AB120" s="34" t="str">
        <f>VLOOKUP(A120, 'Session Data'!A:AA,24,false)</f>
        <v>changqi.liu@sdsu.edu</v>
      </c>
      <c r="AC120" s="34" t="str">
        <f>VLOOKUP(A120, 'Session Data'!A:AA,16,false)</f>
        <v>Victoria </v>
      </c>
      <c r="AD120" s="35" t="str">
        <f>VLOOKUP(A120, 'Session Data'!A:U,17,false)</f>
        <v>Esparza</v>
      </c>
      <c r="AE120" s="35" t="str">
        <f>VLOOKUP(A120, 'Session Data'!A:U,18,false)</f>
        <v>Daisy</v>
      </c>
      <c r="AF120" s="35" t="str">
        <f>VLOOKUP(A120, 'Session Data'!A:U,19,false)</f>
        <v>Lopez</v>
      </c>
      <c r="AG120" s="35" t="str">
        <f>VLOOKUP(A120, 'Session Data'!A:U,20,false)</f>
        <v/>
      </c>
      <c r="AH120" s="35" t="str">
        <f>VLOOKUP(A120, 'Session Data'!A:U,21,false)</f>
        <v/>
      </c>
      <c r="AI120" s="36"/>
      <c r="AJ120" s="38"/>
      <c r="AK120" s="38"/>
      <c r="AL120" s="39"/>
      <c r="AM120" s="34" t="str">
        <f>VLOOKUP(A120, 'Session Data'!A:AA,10,false)</f>
        <v>salvaradomarti8855@sdsu.edu</v>
      </c>
      <c r="AN120" s="40"/>
      <c r="AO120" s="38"/>
      <c r="AP120" s="38"/>
      <c r="AQ120" s="38"/>
      <c r="AR120" s="38"/>
      <c r="AS120" s="38"/>
      <c r="AT120" s="38"/>
      <c r="AU120" s="38"/>
      <c r="AV120" s="38"/>
      <c r="AW120" s="38"/>
      <c r="AX120" s="38"/>
      <c r="AY120" s="43"/>
      <c r="AZ120" s="43"/>
      <c r="BA120" s="48"/>
      <c r="BB120" s="48"/>
      <c r="BC120" s="43"/>
      <c r="BD120" s="43"/>
      <c r="BE120" s="44"/>
      <c r="BF120" s="45"/>
      <c r="BG120" s="43"/>
    </row>
    <row r="121">
      <c r="A121" s="19" t="s">
        <v>185</v>
      </c>
      <c r="B121" s="20">
        <f>VLOOKUP(F121,'Session Count DO NOT EDIT'!$A:$C,3,FALSE)</f>
        <v>5</v>
      </c>
      <c r="C121" s="20">
        <f>COUNTIFS('Scores Import DO NOT EDIT'!D:D,A121)</f>
        <v>2</v>
      </c>
      <c r="D121" s="21">
        <f t="shared" si="1"/>
        <v>0.4</v>
      </c>
      <c r="E121" s="22">
        <f>AVERAGEIFS('Scores Import DO NOT EDIT'!L:L,'Scores Import DO NOT EDIT'!D:D,A121)</f>
        <v>33.5</v>
      </c>
      <c r="F121" s="23" t="str">
        <f>VLOOKUP(A121, 'Session Data'!A:M,3,false)</f>
        <v>C-3</v>
      </c>
      <c r="G121" s="24" t="str">
        <f>VLOOKUP(A121, 'Session Data'!A:I,2,false)</f>
        <v>1:00 PM</v>
      </c>
      <c r="H121" s="23" t="str">
        <f>VLOOKUP(A121, 'Session Data'!A:J,5,false)</f>
        <v>Humanities, History, Literature, Philosophy</v>
      </c>
      <c r="I121" s="25" t="str">
        <f>VLOOKUP(A121, 'Session Data'!A:H,4,false)</f>
        <v>Oral </v>
      </c>
      <c r="J121" s="26" t="str">
        <f>VLOOKUP(A121, 'Session Data'!A:AA,14,false)</f>
        <v>Undergraduate</v>
      </c>
      <c r="K121" s="27" t="str">
        <f>VLOOKUP(A121, 'Session Data'!A:AA,15,false)</f>
        <v>Engineering</v>
      </c>
      <c r="L121" s="28"/>
      <c r="M121" s="29" t="str">
        <f>VLOOKUP(A121, 'Session Data'!A:K,11,false)</f>
        <v>Bachelor of Science in Mechanical Engineering</v>
      </c>
      <c r="N121" s="26" t="str">
        <f>IF(ISNA(VLOOKUP(A121, 'Award Abstract#'!C:C, 1, FALSE)), "No", "Yes")
</f>
        <v>No</v>
      </c>
      <c r="O121" s="29" t="str">
        <f>IF(ISNA(VLOOKUP(A121,'Award Abstract#'!B:B,1,FALSE)), "No", "Yes")</f>
        <v>No</v>
      </c>
      <c r="P121" s="29" t="str">
        <f>IF(ISNA(VLOOKUP(A121,'Award Abstract#'!E:E,1,FALSE)), "No", "Yes")</f>
        <v>No</v>
      </c>
      <c r="Q121" s="29" t="str">
        <f>IF(ISNA(VLOOKUP(A121,'Award Abstract#'!A:A,1,FALSE)), "No", "Yes")</f>
        <v>No</v>
      </c>
      <c r="R121" s="29" t="str">
        <f>IF(ISNA(VLOOKUP(A121,'Award Abstract#'!D:D,1,FALSE)), "No", "Yes")</f>
        <v>Yes</v>
      </c>
      <c r="S121" s="30" t="str">
        <f>VLOOKUP(A121, 'Session Data'!A:AA,27,false)</f>
        <v>Woman</v>
      </c>
      <c r="T121" s="30"/>
      <c r="U121" s="30"/>
      <c r="V121" s="31" t="str">
        <f>VLOOKUP(A121, 'Session Data'!A:AA,8,false)</f>
        <v>Melia</v>
      </c>
      <c r="W121" s="32" t="str">
        <f>VLOOKUP(A121, 'Session Data'!A:AA,9,false)</f>
        <v>Miner</v>
      </c>
      <c r="X121" s="33" t="str">
        <f>VLOOKUP(A121, 'Session Data'!A:AA,12,false)</f>
        <v> “Aloha ߵOe”: The Music of Queen Liliߵuokalani as Cultural Preservation and Protest</v>
      </c>
      <c r="Y121" s="34" t="str">
        <f>VLOOKUP(A121, 'Session Data'!A:AA,22,false)</f>
        <v>Maya</v>
      </c>
      <c r="Z121" s="34" t="str">
        <f>VLOOKUP(A121, 'Session Data'!A:AA,23,false)</f>
        <v>Ginsberg</v>
      </c>
      <c r="AA121" s="34" t="str">
        <f>VLOOKUP(A121, 'Session Data'!A:AA,25,false)</f>
        <v>Professional Studies and Fine Arts</v>
      </c>
      <c r="AB121" s="34" t="str">
        <f>VLOOKUP(A121, 'Session Data'!A:AA,24,false)</f>
        <v>mginsberg@sdsu.edu</v>
      </c>
      <c r="AC121" s="34" t="str">
        <f>VLOOKUP(A121, 'Session Data'!A:AA,16,false)</f>
        <v/>
      </c>
      <c r="AD121" s="35" t="str">
        <f>VLOOKUP(A121, 'Session Data'!A:U,17,false)</f>
        <v/>
      </c>
      <c r="AE121" s="35" t="str">
        <f>VLOOKUP(A121, 'Session Data'!A:U,18,false)</f>
        <v/>
      </c>
      <c r="AF121" s="35" t="str">
        <f>VLOOKUP(A121, 'Session Data'!A:U,19,false)</f>
        <v/>
      </c>
      <c r="AG121" s="35" t="str">
        <f>VLOOKUP(A121, 'Session Data'!A:U,20,false)</f>
        <v/>
      </c>
      <c r="AH121" s="35" t="str">
        <f>VLOOKUP(A121, 'Session Data'!A:U,21,false)</f>
        <v/>
      </c>
      <c r="AI121" s="37"/>
      <c r="AJ121" s="37"/>
      <c r="AK121" s="37"/>
      <c r="AL121" s="50"/>
      <c r="AM121" s="34" t="str">
        <f>VLOOKUP(A121, 'Session Data'!A:AA,10,false)</f>
        <v>mminer7871@sdsu.edu</v>
      </c>
      <c r="AN121" s="40"/>
      <c r="AO121" s="38"/>
      <c r="AP121" s="38"/>
      <c r="AQ121" s="38"/>
      <c r="AR121" s="38"/>
      <c r="AS121" s="38"/>
      <c r="AT121" s="38"/>
      <c r="AU121" s="38"/>
      <c r="AV121" s="38"/>
      <c r="AW121" s="38"/>
      <c r="AX121" s="38"/>
      <c r="AY121" s="43"/>
      <c r="AZ121" s="43"/>
      <c r="BA121" s="43"/>
      <c r="BB121" s="43"/>
      <c r="BC121" s="43"/>
      <c r="BD121" s="43"/>
      <c r="BE121" s="44"/>
      <c r="BF121" s="45"/>
      <c r="BG121" s="43"/>
    </row>
    <row r="122">
      <c r="A122" s="19" t="s">
        <v>186</v>
      </c>
      <c r="B122" s="20">
        <f>VLOOKUP(F122,'Session Count DO NOT EDIT'!$A:$C,3,FALSE)</f>
        <v>5</v>
      </c>
      <c r="C122" s="20">
        <f>COUNTIFS('Scores Import DO NOT EDIT'!D:D,A122)</f>
        <v>3</v>
      </c>
      <c r="D122" s="21">
        <f t="shared" si="1"/>
        <v>0.6</v>
      </c>
      <c r="E122" s="22">
        <f>AVERAGEIFS('Scores Import DO NOT EDIT'!L:L,'Scores Import DO NOT EDIT'!D:D,A122)</f>
        <v>30.33333333</v>
      </c>
      <c r="F122" s="23" t="str">
        <f>VLOOKUP(A122, 'Session Data'!A:M,3,false)</f>
        <v>C-3</v>
      </c>
      <c r="G122" s="24" t="str">
        <f>VLOOKUP(A122, 'Session Data'!A:I,2,false)</f>
        <v>1:00 PM</v>
      </c>
      <c r="H122" s="23" t="str">
        <f>VLOOKUP(A122, 'Session Data'!A:J,5,false)</f>
        <v>Humanities, History, Literature, Philosophy</v>
      </c>
      <c r="I122" s="25" t="str">
        <f>VLOOKUP(A122, 'Session Data'!A:H,4,false)</f>
        <v>Oral </v>
      </c>
      <c r="J122" s="26" t="str">
        <f>VLOOKUP(A122, 'Session Data'!A:AA,14,false)</f>
        <v>Undergraduate</v>
      </c>
      <c r="K122" s="27" t="str">
        <f>VLOOKUP(A122, 'Session Data'!A:AA,15,false)</f>
        <v>Professional Studies and Fine Arts</v>
      </c>
      <c r="L122" s="28" t="s">
        <v>187</v>
      </c>
      <c r="M122" s="29" t="str">
        <f>VLOOKUP(A122, 'Session Data'!A:K,11,false)</f>
        <v>Bachelor of Art with an Emphasis in Art History</v>
      </c>
      <c r="N122" s="26" t="str">
        <f>IF(ISNA(VLOOKUP(A122, 'Award Abstract#'!C:C, 1, FALSE)), "No", "Yes")
</f>
        <v>No</v>
      </c>
      <c r="O122" s="29" t="str">
        <f>IF(ISNA(VLOOKUP(A122,'Award Abstract#'!B:B,1,FALSE)), "No", "Yes")</f>
        <v>No</v>
      </c>
      <c r="P122" s="29" t="str">
        <f>IF(ISNA(VLOOKUP(A122,'Award Abstract#'!E:E,1,FALSE)), "No", "Yes")</f>
        <v>No</v>
      </c>
      <c r="Q122" s="29" t="str">
        <f>IF(ISNA(VLOOKUP(A122,'Award Abstract#'!A:A,1,FALSE)), "No", "Yes")</f>
        <v>No</v>
      </c>
      <c r="R122" s="29" t="str">
        <f>IF(ISNA(VLOOKUP(A122,'Award Abstract#'!D:D,1,FALSE)), "No", "Yes")</f>
        <v>No</v>
      </c>
      <c r="S122" s="30" t="str">
        <f>VLOOKUP(A122, 'Session Data'!A:AA,27,false)</f>
        <v>Woman</v>
      </c>
      <c r="T122" s="30"/>
      <c r="U122" s="30"/>
      <c r="V122" s="31" t="str">
        <f>VLOOKUP(A122, 'Session Data'!A:AA,8,false)</f>
        <v>Crystal</v>
      </c>
      <c r="W122" s="32" t="str">
        <f>VLOOKUP(A122, 'Session Data'!A:AA,9,false)</f>
        <v>Choi</v>
      </c>
      <c r="X122" s="33" t="str">
        <f>VLOOKUP(A122, 'Session Data'!A:AA,12,false)</f>
        <v>Making Art Museums More Accessible: The Laguna Art Museum, A Case Study</v>
      </c>
      <c r="Y122" s="34" t="str">
        <f>VLOOKUP(A122, 'Session Data'!A:AA,22,false)</f>
        <v>Gillian</v>
      </c>
      <c r="Z122" s="34" t="str">
        <f>VLOOKUP(A122, 'Session Data'!A:AA,23,false)</f>
        <v>Sneed</v>
      </c>
      <c r="AA122" s="34" t="str">
        <f>VLOOKUP(A122, 'Session Data'!A:AA,25,false)</f>
        <v>Professional Studies and Fine Arts</v>
      </c>
      <c r="AB122" s="34" t="str">
        <f>VLOOKUP(A122, 'Session Data'!A:AA,24,false)</f>
        <v>gsneed@sdsu.edu</v>
      </c>
      <c r="AC122" s="34" t="str">
        <f>VLOOKUP(A122, 'Session Data'!A:AA,16,false)</f>
        <v/>
      </c>
      <c r="AD122" s="35" t="str">
        <f>VLOOKUP(A122, 'Session Data'!A:U,17,false)</f>
        <v/>
      </c>
      <c r="AE122" s="35" t="str">
        <f>VLOOKUP(A122, 'Session Data'!A:U,18,false)</f>
        <v/>
      </c>
      <c r="AF122" s="35" t="str">
        <f>VLOOKUP(A122, 'Session Data'!A:U,19,false)</f>
        <v/>
      </c>
      <c r="AG122" s="35" t="str">
        <f>VLOOKUP(A122, 'Session Data'!A:U,20,false)</f>
        <v/>
      </c>
      <c r="AH122" s="35" t="str">
        <f>VLOOKUP(A122, 'Session Data'!A:U,21,false)</f>
        <v/>
      </c>
      <c r="AI122" s="37"/>
      <c r="AJ122" s="37"/>
      <c r="AK122" s="37"/>
      <c r="AL122" s="50"/>
      <c r="AM122" s="34" t="str">
        <f>VLOOKUP(A122, 'Session Data'!A:AA,10,false)</f>
        <v>cchoi2782@sdsu.edu</v>
      </c>
      <c r="AN122" s="40"/>
      <c r="AO122" s="38"/>
      <c r="AP122" s="38"/>
      <c r="AQ122" s="38"/>
      <c r="AR122" s="38"/>
      <c r="AS122" s="38"/>
      <c r="AT122" s="38"/>
      <c r="AU122" s="38"/>
      <c r="AV122" s="38"/>
      <c r="AW122" s="38"/>
      <c r="AX122" s="38"/>
      <c r="AY122" s="43"/>
      <c r="AZ122" s="43"/>
      <c r="BA122" s="43"/>
      <c r="BB122" s="43"/>
      <c r="BC122" s="43"/>
      <c r="BD122" s="43"/>
      <c r="BE122" s="44"/>
      <c r="BF122" s="45"/>
      <c r="BG122" s="43"/>
    </row>
    <row r="123">
      <c r="A123" s="19" t="s">
        <v>188</v>
      </c>
      <c r="B123" s="20">
        <f>VLOOKUP(F123,'Session Count DO NOT EDIT'!$A:$C,3,FALSE)</f>
        <v>5</v>
      </c>
      <c r="C123" s="20">
        <f>COUNTIFS('Scores Import DO NOT EDIT'!D:D,A123)</f>
        <v>3</v>
      </c>
      <c r="D123" s="21">
        <f t="shared" si="1"/>
        <v>0.6</v>
      </c>
      <c r="E123" s="22">
        <f>AVERAGEIFS('Scores Import DO NOT EDIT'!L:L,'Scores Import DO NOT EDIT'!D:D,A123)</f>
        <v>28</v>
      </c>
      <c r="F123" s="23" t="str">
        <f>VLOOKUP(A123, 'Session Data'!A:M,3,false)</f>
        <v>C-3</v>
      </c>
      <c r="G123" s="24" t="str">
        <f>VLOOKUP(A123, 'Session Data'!A:I,2,false)</f>
        <v>1:00 PM</v>
      </c>
      <c r="H123" s="23" t="str">
        <f>VLOOKUP(A123, 'Session Data'!A:J,5,false)</f>
        <v>Humanities, History, Literature, Philosophy</v>
      </c>
      <c r="I123" s="25" t="str">
        <f>VLOOKUP(A123, 'Session Data'!A:H,4,false)</f>
        <v>Oral </v>
      </c>
      <c r="J123" s="26" t="str">
        <f>VLOOKUP(A123, 'Session Data'!A:AA,14,false)</f>
        <v>Undergraduate</v>
      </c>
      <c r="K123" s="27" t="str">
        <f>VLOOKUP(A123, 'Session Data'!A:AA,15,false)</f>
        <v>Arts and Letters</v>
      </c>
      <c r="L123" s="47"/>
      <c r="M123" s="29" t="str">
        <f>VLOOKUP(A123, 'Session Data'!A:K,11,false)</f>
        <v>Triple Major: History, Sociology, Social Work</v>
      </c>
      <c r="N123" s="26" t="str">
        <f>IF(ISNA(VLOOKUP(A123, 'Award Abstract#'!C:C, 1, FALSE)), "No", "Yes")
</f>
        <v>No</v>
      </c>
      <c r="O123" s="29" t="str">
        <f>IF(ISNA(VLOOKUP(A123,'Award Abstract#'!B:B,1,FALSE)), "No", "Yes")</f>
        <v>No</v>
      </c>
      <c r="P123" s="29" t="str">
        <f>IF(ISNA(VLOOKUP(A123,'Award Abstract#'!E:E,1,FALSE)), "No", "Yes")</f>
        <v>No</v>
      </c>
      <c r="Q123" s="29" t="str">
        <f>IF(ISNA(VLOOKUP(A123,'Award Abstract#'!A:A,1,FALSE)), "No", "Yes")</f>
        <v>No</v>
      </c>
      <c r="R123" s="29" t="str">
        <f>IF(ISNA(VLOOKUP(A123,'Award Abstract#'!D:D,1,FALSE)), "No", "Yes")</f>
        <v>No</v>
      </c>
      <c r="S123" s="30" t="str">
        <f>VLOOKUP(A123, 'Session Data'!A:AA,27,false)</f>
        <v>Non-binary/non-conforming</v>
      </c>
      <c r="T123" s="30"/>
      <c r="U123" s="30"/>
      <c r="V123" s="31" t="str">
        <f>VLOOKUP(A123, 'Session Data'!A:AA,8,false)</f>
        <v>Joseph</v>
      </c>
      <c r="W123" s="32" t="str">
        <f>VLOOKUP(A123, 'Session Data'!A:AA,9,false)</f>
        <v>Wiese</v>
      </c>
      <c r="X123" s="33" t="str">
        <f>VLOOKUP(A123, 'Session Data'!A:AA,12,false)</f>
        <v>Stories of Foster Children: Issues of Identity, Liminality, and Struggle (Mid-20th Century New York City)</v>
      </c>
      <c r="Y123" s="34" t="str">
        <f>VLOOKUP(A123, 'Session Data'!A:AA,22,false)</f>
        <v>Eve</v>
      </c>
      <c r="Z123" s="34" t="str">
        <f>VLOOKUP(A123, 'Session Data'!A:AA,23,false)</f>
        <v>Kornfeld</v>
      </c>
      <c r="AA123" s="34" t="str">
        <f>VLOOKUP(A123, 'Session Data'!A:AA,25,false)</f>
        <v>Arts and Letters</v>
      </c>
      <c r="AB123" s="34" t="str">
        <f>VLOOKUP(A123, 'Session Data'!A:AA,24,false)</f>
        <v>kornfeld@sdsu.edu</v>
      </c>
      <c r="AC123" s="34" t="str">
        <f>VLOOKUP(A123, 'Session Data'!A:AA,16,false)</f>
        <v/>
      </c>
      <c r="AD123" s="35" t="str">
        <f>VLOOKUP(A123, 'Session Data'!A:U,17,false)</f>
        <v/>
      </c>
      <c r="AE123" s="35" t="str">
        <f>VLOOKUP(A123, 'Session Data'!A:U,18,false)</f>
        <v/>
      </c>
      <c r="AF123" s="35" t="str">
        <f>VLOOKUP(A123, 'Session Data'!A:U,19,false)</f>
        <v/>
      </c>
      <c r="AG123" s="35" t="str">
        <f>VLOOKUP(A123, 'Session Data'!A:U,20,false)</f>
        <v/>
      </c>
      <c r="AH123" s="35" t="str">
        <f>VLOOKUP(A123, 'Session Data'!A:U,21,false)</f>
        <v/>
      </c>
      <c r="AI123" s="37"/>
      <c r="AJ123" s="37"/>
      <c r="AK123" s="37"/>
      <c r="AL123" s="50"/>
      <c r="AM123" s="34" t="str">
        <f>VLOOKUP(A123, 'Session Data'!A:AA,10,false)</f>
        <v>jwiese5676@sdsu.edu</v>
      </c>
      <c r="AN123" s="40"/>
      <c r="AO123" s="38"/>
      <c r="AP123" s="38"/>
      <c r="AQ123" s="38"/>
      <c r="AR123" s="38"/>
      <c r="AS123" s="38"/>
      <c r="AT123" s="38"/>
      <c r="AU123" s="38"/>
      <c r="AV123" s="38"/>
      <c r="AW123" s="38"/>
      <c r="AX123" s="38"/>
      <c r="AY123" s="43"/>
      <c r="AZ123" s="43"/>
      <c r="BA123" s="43"/>
      <c r="BB123" s="43"/>
      <c r="BC123" s="43"/>
      <c r="BD123" s="43"/>
      <c r="BE123" s="44"/>
      <c r="BF123" s="45"/>
      <c r="BG123" s="43"/>
    </row>
    <row r="124">
      <c r="A124" s="19" t="s">
        <v>189</v>
      </c>
      <c r="B124" s="20">
        <f>VLOOKUP(F124,'Session Count DO NOT EDIT'!$A:$C,3,FALSE)</f>
        <v>5</v>
      </c>
      <c r="C124" s="20">
        <f>COUNTIFS('Scores Import DO NOT EDIT'!D:D,A124)</f>
        <v>3</v>
      </c>
      <c r="D124" s="21">
        <f t="shared" si="1"/>
        <v>0.6</v>
      </c>
      <c r="E124" s="22">
        <f>AVERAGEIFS('Scores Import DO NOT EDIT'!L:L,'Scores Import DO NOT EDIT'!D:D,A124)</f>
        <v>25</v>
      </c>
      <c r="F124" s="23" t="str">
        <f>VLOOKUP(A124, 'Session Data'!A:M,3,false)</f>
        <v>C-3</v>
      </c>
      <c r="G124" s="24" t="str">
        <f>VLOOKUP(A124, 'Session Data'!A:I,2,false)</f>
        <v>1:00 PM</v>
      </c>
      <c r="H124" s="23" t="str">
        <f>VLOOKUP(A124, 'Session Data'!A:J,5,false)</f>
        <v>Humanities, History, Literature, Philosophy</v>
      </c>
      <c r="I124" s="25" t="str">
        <f>VLOOKUP(A124, 'Session Data'!A:H,4,false)</f>
        <v>Oral </v>
      </c>
      <c r="J124" s="26" t="str">
        <f>VLOOKUP(A124, 'Session Data'!A:AA,14,false)</f>
        <v>Undergraduate</v>
      </c>
      <c r="K124" s="27" t="str">
        <f>VLOOKUP(A124, 'Session Data'!A:AA,15,false)</f>
        <v>Professional Studies and Fine Arts</v>
      </c>
      <c r="L124" s="47"/>
      <c r="M124" s="29" t="str">
        <f>VLOOKUP(A124, 'Session Data'!A:K,11,false)</f>
        <v>Communication Studies</v>
      </c>
      <c r="N124" s="26" t="str">
        <f>IF(ISNA(VLOOKUP(A124, 'Award Abstract#'!C:C, 1, FALSE)), "No", "Yes")
</f>
        <v>No</v>
      </c>
      <c r="O124" s="29" t="str">
        <f>IF(ISNA(VLOOKUP(A124,'Award Abstract#'!B:B,1,FALSE)), "No", "Yes")</f>
        <v>No</v>
      </c>
      <c r="P124" s="29" t="str">
        <f>IF(ISNA(VLOOKUP(A124,'Award Abstract#'!E:E,1,FALSE)), "No", "Yes")</f>
        <v>No</v>
      </c>
      <c r="Q124" s="29" t="str">
        <f>IF(ISNA(VLOOKUP(A124,'Award Abstract#'!A:A,1,FALSE)), "No", "Yes")</f>
        <v>No</v>
      </c>
      <c r="R124" s="29" t="str">
        <f>IF(ISNA(VLOOKUP(A124,'Award Abstract#'!D:D,1,FALSE)), "No", "Yes")</f>
        <v>No</v>
      </c>
      <c r="S124" s="30" t="str">
        <f>VLOOKUP(A124, 'Session Data'!A:AA,27,false)</f>
        <v>Man</v>
      </c>
      <c r="T124" s="30"/>
      <c r="U124" s="30"/>
      <c r="V124" s="31" t="str">
        <f>VLOOKUP(A124, 'Session Data'!A:AA,8,false)</f>
        <v>Alexander</v>
      </c>
      <c r="W124" s="32" t="str">
        <f>VLOOKUP(A124, 'Session Data'!A:AA,9,false)</f>
        <v>Tran</v>
      </c>
      <c r="X124" s="33" t="str">
        <f>VLOOKUP(A124, 'Session Data'!A:AA,12,false)</f>
        <v>Understanding the Elliptical Nature of Gender Discrimination, Sports, and Media: A Communication-Oriented State of the Literature</v>
      </c>
      <c r="Y124" s="34" t="str">
        <f>VLOOKUP(A124, 'Session Data'!A:AA,22,false)</f>
        <v>Kyle</v>
      </c>
      <c r="Z124" s="34" t="str">
        <f>VLOOKUP(A124, 'Session Data'!A:AA,23,false)</f>
        <v>Gutzmer</v>
      </c>
      <c r="AA124" s="34" t="str">
        <f>VLOOKUP(A124, 'Session Data'!A:AA,25,false)</f>
        <v>Professional Studies and Fine Arts</v>
      </c>
      <c r="AB124" s="34" t="str">
        <f>VLOOKUP(A124, 'Session Data'!A:AA,24,false)</f>
        <v>kgutzmer@sdsu.edu</v>
      </c>
      <c r="AC124" s="34" t="str">
        <f>VLOOKUP(A124, 'Session Data'!A:AA,16,false)</f>
        <v/>
      </c>
      <c r="AD124" s="35" t="str">
        <f>VLOOKUP(A124, 'Session Data'!A:U,17,false)</f>
        <v/>
      </c>
      <c r="AE124" s="35" t="str">
        <f>VLOOKUP(A124, 'Session Data'!A:U,18,false)</f>
        <v/>
      </c>
      <c r="AF124" s="35" t="str">
        <f>VLOOKUP(A124, 'Session Data'!A:U,19,false)</f>
        <v/>
      </c>
      <c r="AG124" s="35" t="str">
        <f>VLOOKUP(A124, 'Session Data'!A:U,20,false)</f>
        <v/>
      </c>
      <c r="AH124" s="35" t="str">
        <f>VLOOKUP(A124, 'Session Data'!A:U,21,false)</f>
        <v/>
      </c>
      <c r="AI124" s="37"/>
      <c r="AJ124" s="37"/>
      <c r="AK124" s="37"/>
      <c r="AL124" s="50"/>
      <c r="AM124" s="34" t="str">
        <f>VLOOKUP(A124, 'Session Data'!A:AA,10,false)</f>
        <v>atran4581@sdsu.edu</v>
      </c>
      <c r="AN124" s="40"/>
      <c r="AO124" s="38"/>
      <c r="AP124" s="38"/>
      <c r="AQ124" s="38"/>
      <c r="AR124" s="38"/>
      <c r="AS124" s="38"/>
      <c r="AT124" s="38"/>
      <c r="AU124" s="38"/>
      <c r="AV124" s="38"/>
      <c r="AW124" s="38"/>
      <c r="AX124" s="38"/>
      <c r="AY124" s="43"/>
      <c r="AZ124" s="43"/>
      <c r="BA124" s="43"/>
      <c r="BB124" s="43"/>
      <c r="BC124" s="43"/>
      <c r="BD124" s="43"/>
      <c r="BE124" s="44"/>
      <c r="BF124" s="45"/>
      <c r="BG124" s="43"/>
    </row>
    <row r="125">
      <c r="A125" s="19" t="s">
        <v>190</v>
      </c>
      <c r="B125" s="20">
        <f>VLOOKUP(F125,'Session Count DO NOT EDIT'!$A:$C,3,FALSE)</f>
        <v>5</v>
      </c>
      <c r="C125" s="20">
        <f>COUNTIFS('Scores Import DO NOT EDIT'!D:D,A125)</f>
        <v>3</v>
      </c>
      <c r="D125" s="21">
        <f t="shared" si="1"/>
        <v>0.6</v>
      </c>
      <c r="E125" s="22">
        <f>AVERAGEIFS('Scores Import DO NOT EDIT'!L:L,'Scores Import DO NOT EDIT'!D:D,A125)</f>
        <v>24.66666667</v>
      </c>
      <c r="F125" s="23" t="str">
        <f>VLOOKUP(A125, 'Session Data'!A:M,3,false)</f>
        <v>C-3</v>
      </c>
      <c r="G125" s="24" t="str">
        <f>VLOOKUP(A125, 'Session Data'!A:I,2,false)</f>
        <v>1:00 PM</v>
      </c>
      <c r="H125" s="23" t="str">
        <f>VLOOKUP(A125, 'Session Data'!A:J,5,false)</f>
        <v>Humanities, History, Literature, Philosophy</v>
      </c>
      <c r="I125" s="25" t="str">
        <f>VLOOKUP(A125, 'Session Data'!A:H,4,false)</f>
        <v>Oral </v>
      </c>
      <c r="J125" s="26" t="str">
        <f>VLOOKUP(A125, 'Session Data'!A:AA,14,false)</f>
        <v>Undergraduate</v>
      </c>
      <c r="K125" s="27" t="str">
        <f>VLOOKUP(A125, 'Session Data'!A:AA,15,false)</f>
        <v>Arts and Letters</v>
      </c>
      <c r="L125" s="47"/>
      <c r="M125" s="29" t="str">
        <f>VLOOKUP(A125, 'Session Data'!A:K,11,false)</f>
        <v>Philosophy </v>
      </c>
      <c r="N125" s="26" t="str">
        <f>IF(ISNA(VLOOKUP(A125, 'Award Abstract#'!C:C, 1, FALSE)), "No", "Yes")
</f>
        <v>No</v>
      </c>
      <c r="O125" s="29" t="str">
        <f>IF(ISNA(VLOOKUP(A125,'Award Abstract#'!B:B,1,FALSE)), "No", "Yes")</f>
        <v>No</v>
      </c>
      <c r="P125" s="29" t="str">
        <f>IF(ISNA(VLOOKUP(A125,'Award Abstract#'!E:E,1,FALSE)), "No", "Yes")</f>
        <v>No</v>
      </c>
      <c r="Q125" s="29" t="str">
        <f>IF(ISNA(VLOOKUP(A125,'Award Abstract#'!A:A,1,FALSE)), "No", "Yes")</f>
        <v>No</v>
      </c>
      <c r="R125" s="29" t="str">
        <f>IF(ISNA(VLOOKUP(A125,'Award Abstract#'!D:D,1,FALSE)), "No", "Yes")</f>
        <v>Yes</v>
      </c>
      <c r="S125" s="30" t="str">
        <f>VLOOKUP(A125, 'Session Data'!A:AA,27,false)</f>
        <v>Man, Non-binary/non-conforming</v>
      </c>
      <c r="T125" s="30"/>
      <c r="U125" s="30"/>
      <c r="V125" s="31" t="str">
        <f>VLOOKUP(A125, 'Session Data'!A:AA,8,false)</f>
        <v>Joel </v>
      </c>
      <c r="W125" s="32" t="str">
        <f>VLOOKUP(A125, 'Session Data'!A:AA,9,false)</f>
        <v>Varon</v>
      </c>
      <c r="X125" s="33" t="str">
        <f>VLOOKUP(A125, 'Session Data'!A:AA,12,false)</f>
        <v>An Exploration of the Incel </v>
      </c>
      <c r="Y125" s="34" t="str">
        <f>VLOOKUP(A125, 'Session Data'!A:AA,22,false)</f>
        <v>Rutger</v>
      </c>
      <c r="Z125" s="34" t="str">
        <f>VLOOKUP(A125, 'Session Data'!A:AA,23,false)</f>
        <v>Hadge</v>
      </c>
      <c r="AA125" s="34" t="str">
        <f>VLOOKUP(A125, 'Session Data'!A:AA,25,false)</f>
        <v>Arts and Letters</v>
      </c>
      <c r="AB125" s="34" t="str">
        <f>VLOOKUP(A125, 'Session Data'!A:AA,24,false)</f>
        <v>rjhadge@sdsu.edu</v>
      </c>
      <c r="AC125" s="34" t="str">
        <f>VLOOKUP(A125, 'Session Data'!A:AA,16,false)</f>
        <v/>
      </c>
      <c r="AD125" s="35" t="str">
        <f>VLOOKUP(A125, 'Session Data'!A:U,17,false)</f>
        <v/>
      </c>
      <c r="AE125" s="35" t="str">
        <f>VLOOKUP(A125, 'Session Data'!A:U,18,false)</f>
        <v/>
      </c>
      <c r="AF125" s="35" t="str">
        <f>VLOOKUP(A125, 'Session Data'!A:U,19,false)</f>
        <v/>
      </c>
      <c r="AG125" s="35" t="str">
        <f>VLOOKUP(A125, 'Session Data'!A:U,20,false)</f>
        <v/>
      </c>
      <c r="AH125" s="35" t="str">
        <f>VLOOKUP(A125, 'Session Data'!A:U,21,false)</f>
        <v/>
      </c>
      <c r="AI125" s="37"/>
      <c r="AJ125" s="37"/>
      <c r="AK125" s="37"/>
      <c r="AL125" s="50"/>
      <c r="AM125" s="34" t="str">
        <f>VLOOKUP(A125, 'Session Data'!A:AA,10,false)</f>
        <v>jvaron8651@sdsu.edu</v>
      </c>
      <c r="AN125" s="40"/>
      <c r="AO125" s="38"/>
      <c r="AP125" s="38"/>
      <c r="AQ125" s="38"/>
      <c r="AR125" s="38"/>
      <c r="AS125" s="38"/>
      <c r="AT125" s="38"/>
      <c r="AU125" s="38"/>
      <c r="AV125" s="38"/>
      <c r="AW125" s="38"/>
      <c r="AX125" s="38"/>
      <c r="AY125" s="43"/>
      <c r="AZ125" s="43"/>
      <c r="BA125" s="43"/>
      <c r="BB125" s="43"/>
      <c r="BC125" s="43"/>
      <c r="BD125" s="43"/>
      <c r="BE125" s="44"/>
      <c r="BF125" s="45"/>
      <c r="BG125" s="43"/>
    </row>
    <row r="126">
      <c r="A126" s="19" t="s">
        <v>191</v>
      </c>
      <c r="B126" s="20">
        <f>VLOOKUP(F126,'Session Count DO NOT EDIT'!$A:$C,3,FALSE)</f>
        <v>5</v>
      </c>
      <c r="C126" s="20">
        <f>COUNTIFS('Scores Import DO NOT EDIT'!D:D,A126)</f>
        <v>3</v>
      </c>
      <c r="D126" s="21">
        <f t="shared" si="1"/>
        <v>0.6</v>
      </c>
      <c r="E126" s="22">
        <f>AVERAGEIFS('Scores Import DO NOT EDIT'!L:L,'Scores Import DO NOT EDIT'!D:D,A126)</f>
        <v>22.66666667</v>
      </c>
      <c r="F126" s="23" t="str">
        <f>VLOOKUP(A126, 'Session Data'!A:M,3,false)</f>
        <v>C-3</v>
      </c>
      <c r="G126" s="24" t="str">
        <f>VLOOKUP(A126, 'Session Data'!A:I,2,false)</f>
        <v>1:00 PM</v>
      </c>
      <c r="H126" s="23" t="str">
        <f>VLOOKUP(A126, 'Session Data'!A:J,5,false)</f>
        <v>Humanities, History, Literature, Philosophy</v>
      </c>
      <c r="I126" s="25" t="str">
        <f>VLOOKUP(A126, 'Session Data'!A:H,4,false)</f>
        <v>Oral </v>
      </c>
      <c r="J126" s="26" t="str">
        <f>VLOOKUP(A126, 'Session Data'!A:AA,14,false)</f>
        <v>Undergraduate</v>
      </c>
      <c r="K126" s="27" t="str">
        <f>VLOOKUP(A126, 'Session Data'!A:AA,15,false)</f>
        <v>SDSU Imperial Valley</v>
      </c>
      <c r="L126" s="28" t="s">
        <v>95</v>
      </c>
      <c r="M126" s="29" t="str">
        <f>VLOOKUP(A126, 'Session Data'!A:K,11,false)</f>
        <v>Liberal Studies Elementary Education</v>
      </c>
      <c r="N126" s="26" t="str">
        <f>IF(ISNA(VLOOKUP(A126, 'Award Abstract#'!C:C, 1, FALSE)), "No", "Yes")
</f>
        <v>No</v>
      </c>
      <c r="O126" s="29" t="str">
        <f>IF(ISNA(VLOOKUP(A126,'Award Abstract#'!B:B,1,FALSE)), "No", "Yes")</f>
        <v>No</v>
      </c>
      <c r="P126" s="29" t="str">
        <f>IF(ISNA(VLOOKUP(A126,'Award Abstract#'!E:E,1,FALSE)), "No", "Yes")</f>
        <v>No</v>
      </c>
      <c r="Q126" s="29" t="str">
        <f>IF(ISNA(VLOOKUP(A126,'Award Abstract#'!A:A,1,FALSE)), "No", "Yes")</f>
        <v>No</v>
      </c>
      <c r="R126" s="29" t="str">
        <f>IF(ISNA(VLOOKUP(A126,'Award Abstract#'!D:D,1,FALSE)), "No", "Yes")</f>
        <v>Yes</v>
      </c>
      <c r="S126" s="30" t="str">
        <f>VLOOKUP(A126, 'Session Data'!A:AA,27,false)</f>
        <v>Woman</v>
      </c>
      <c r="T126" s="30"/>
      <c r="U126" s="30"/>
      <c r="V126" s="31" t="str">
        <f>VLOOKUP(A126, 'Session Data'!A:AA,8,false)</f>
        <v>Sabine</v>
      </c>
      <c r="W126" s="32" t="str">
        <f>VLOOKUP(A126, 'Session Data'!A:AA,9,false)</f>
        <v>Ruiz</v>
      </c>
      <c r="X126" s="33" t="str">
        <f>VLOOKUP(A126, 'Session Data'!A:AA,12,false)</f>
        <v>Book Talk: My Brilliant Friend</v>
      </c>
      <c r="Y126" s="34" t="str">
        <f>VLOOKUP(A126, 'Session Data'!A:AA,22,false)</f>
        <v>Jeannette</v>
      </c>
      <c r="Z126" s="34" t="str">
        <f>VLOOKUP(A126, 'Session Data'!A:AA,23,false)</f>
        <v>Shumaker </v>
      </c>
      <c r="AA126" s="34" t="str">
        <f>VLOOKUP(A126, 'Session Data'!A:AA,25,false)</f>
        <v>SDSU Imperial Valley</v>
      </c>
      <c r="AB126" s="34" t="str">
        <f>VLOOKUP(A126, 'Session Data'!A:AA,24,false)</f>
        <v>jshumake@sdsu.edu</v>
      </c>
      <c r="AC126" s="34" t="str">
        <f>VLOOKUP(A126, 'Session Data'!A:AA,16,false)</f>
        <v/>
      </c>
      <c r="AD126" s="35" t="str">
        <f>VLOOKUP(A126, 'Session Data'!A:U,17,false)</f>
        <v/>
      </c>
      <c r="AE126" s="35" t="str">
        <f>VLOOKUP(A126, 'Session Data'!A:U,18,false)</f>
        <v/>
      </c>
      <c r="AF126" s="35" t="str">
        <f>VLOOKUP(A126, 'Session Data'!A:U,19,false)</f>
        <v/>
      </c>
      <c r="AG126" s="35" t="str">
        <f>VLOOKUP(A126, 'Session Data'!A:U,20,false)</f>
        <v/>
      </c>
      <c r="AH126" s="35" t="str">
        <f>VLOOKUP(A126, 'Session Data'!A:U,21,false)</f>
        <v/>
      </c>
      <c r="AI126" s="37"/>
      <c r="AJ126" s="37"/>
      <c r="AK126" s="37"/>
      <c r="AL126" s="50"/>
      <c r="AM126" s="34" t="str">
        <f>VLOOKUP(A126, 'Session Data'!A:AA,10,false)</f>
        <v>sruiz1471@sdsu.edu</v>
      </c>
      <c r="AN126" s="40"/>
      <c r="AO126" s="38"/>
      <c r="AP126" s="38"/>
      <c r="AQ126" s="38"/>
      <c r="AR126" s="38"/>
      <c r="AS126" s="38"/>
      <c r="AT126" s="38"/>
      <c r="AU126" s="38"/>
      <c r="AV126" s="38"/>
      <c r="AW126" s="38"/>
      <c r="AX126" s="38"/>
      <c r="AY126" s="43"/>
      <c r="AZ126" s="43"/>
      <c r="BA126" s="48"/>
      <c r="BB126" s="48"/>
      <c r="BC126" s="43"/>
      <c r="BD126" s="43"/>
      <c r="BE126" s="44"/>
      <c r="BF126" s="45"/>
      <c r="BG126" s="43"/>
    </row>
    <row r="127">
      <c r="A127" s="19" t="s">
        <v>192</v>
      </c>
      <c r="B127" s="20">
        <f>VLOOKUP(F127,'Session Count DO NOT EDIT'!$A:$C,3,FALSE)</f>
        <v>3</v>
      </c>
      <c r="C127" s="20">
        <f>COUNTIFS('Scores Import DO NOT EDIT'!D:D,A127)</f>
        <v>4</v>
      </c>
      <c r="D127" s="21">
        <f t="shared" si="1"/>
        <v>1.333333333</v>
      </c>
      <c r="E127" s="22">
        <f>AVERAGEIFS('Scores Import DO NOT EDIT'!L:L,'Scores Import DO NOT EDIT'!D:D,A127)</f>
        <v>29.25</v>
      </c>
      <c r="F127" s="23" t="str">
        <f>VLOOKUP(A127, 'Session Data'!A:M,3,false)</f>
        <v>C-4</v>
      </c>
      <c r="G127" s="24" t="str">
        <f>VLOOKUP(A127, 'Session Data'!A:I,2,false)</f>
        <v>1:00 PM</v>
      </c>
      <c r="H127" s="23" t="str">
        <f>VLOOKUP(A127, 'Session Data'!A:J,5,false)</f>
        <v>Behavioral and Social Sciences</v>
      </c>
      <c r="I127" s="25" t="str">
        <f>VLOOKUP(A127, 'Session Data'!A:H,4,false)</f>
        <v>Oral </v>
      </c>
      <c r="J127" s="26" t="str">
        <f>VLOOKUP(A127, 'Session Data'!A:AA,14,false)</f>
        <v>Master's</v>
      </c>
      <c r="K127" s="27" t="str">
        <f>VLOOKUP(A127, 'Session Data'!A:AA,15,false)</f>
        <v>Health and Human Services</v>
      </c>
      <c r="L127" s="28"/>
      <c r="M127" s="29" t="str">
        <f>VLOOKUP(A127, 'Session Data'!A:K,11,false)</f>
        <v>Masters of Public Health</v>
      </c>
      <c r="N127" s="26" t="str">
        <f>IF(ISNA(VLOOKUP(A127, 'Award Abstract#'!C:C, 1, FALSE)), "No", "Yes")
</f>
        <v>No</v>
      </c>
      <c r="O127" s="29" t="str">
        <f>IF(ISNA(VLOOKUP(A127,'Award Abstract#'!B:B,1,FALSE)), "No", "Yes")</f>
        <v>Yes</v>
      </c>
      <c r="P127" s="29" t="str">
        <f>IF(ISNA(VLOOKUP(A127,'Award Abstract#'!E:E,1,FALSE)), "No", "Yes")</f>
        <v>No</v>
      </c>
      <c r="Q127" s="29" t="str">
        <f>IF(ISNA(VLOOKUP(A127,'Award Abstract#'!A:A,1,FALSE)), "No", "Yes")</f>
        <v>No</v>
      </c>
      <c r="R127" s="29" t="str">
        <f>IF(ISNA(VLOOKUP(A127,'Award Abstract#'!D:D,1,FALSE)), "No", "Yes")</f>
        <v>Yes</v>
      </c>
      <c r="S127" s="30" t="str">
        <f>VLOOKUP(A127, 'Session Data'!A:AA,27,false)</f>
        <v>Woman</v>
      </c>
      <c r="T127" s="30"/>
      <c r="U127" s="30"/>
      <c r="V127" s="31" t="str">
        <f>VLOOKUP(A127, 'Session Data'!A:AA,8,false)</f>
        <v>Hannah</v>
      </c>
      <c r="W127" s="32" t="str">
        <f>VLOOKUP(A127, 'Session Data'!A:AA,9,false)</f>
        <v>Reynolds</v>
      </c>
      <c r="X127" s="33" t="str">
        <f>VLOOKUP(A127, 'Session Data'!A:AA,12,false)</f>
        <v>Exploring how Trust and Social Support Shape Housing-Insecure Youth’s Health-Related Experiences During COVID-19</v>
      </c>
      <c r="Y127" s="34" t="str">
        <f>VLOOKUP(A127, 'Session Data'!A:AA,22,false)</f>
        <v>Jennifer</v>
      </c>
      <c r="Z127" s="34" t="str">
        <f>VLOOKUP(A127, 'Session Data'!A:AA,23,false)</f>
        <v>Felner</v>
      </c>
      <c r="AA127" s="34" t="str">
        <f>VLOOKUP(A127, 'Session Data'!A:AA,25,false)</f>
        <v>Health and Human Services</v>
      </c>
      <c r="AB127" s="34" t="str">
        <f>VLOOKUP(A127, 'Session Data'!A:AA,24,false)</f>
        <v>jfelner@sdsu.edu</v>
      </c>
      <c r="AC127" s="34" t="str">
        <f>VLOOKUP(A127, 'Session Data'!A:AA,16,false)</f>
        <v/>
      </c>
      <c r="AD127" s="35" t="str">
        <f>VLOOKUP(A127, 'Session Data'!A:U,17,false)</f>
        <v/>
      </c>
      <c r="AE127" s="35" t="str">
        <f>VLOOKUP(A127, 'Session Data'!A:U,18,false)</f>
        <v/>
      </c>
      <c r="AF127" s="35" t="str">
        <f>VLOOKUP(A127, 'Session Data'!A:U,19,false)</f>
        <v/>
      </c>
      <c r="AG127" s="35" t="str">
        <f>VLOOKUP(A127, 'Session Data'!A:U,20,false)</f>
        <v/>
      </c>
      <c r="AH127" s="35" t="str">
        <f>VLOOKUP(A127, 'Session Data'!A:U,21,false)</f>
        <v/>
      </c>
      <c r="AI127" s="37"/>
      <c r="AJ127" s="37"/>
      <c r="AK127" s="37"/>
      <c r="AL127" s="50"/>
      <c r="AM127" s="34" t="str">
        <f>VLOOKUP(A127, 'Session Data'!A:AA,10,false)</f>
        <v>hreynolds7166@sdsu.edu</v>
      </c>
      <c r="AN127" s="40"/>
      <c r="AO127" s="38"/>
      <c r="AP127" s="38"/>
      <c r="AQ127" s="38"/>
      <c r="AR127" s="38"/>
      <c r="AS127" s="38"/>
      <c r="AT127" s="38"/>
      <c r="AU127" s="38"/>
      <c r="AV127" s="38"/>
      <c r="AW127" s="38"/>
      <c r="AX127" s="38"/>
      <c r="AY127" s="43"/>
      <c r="AZ127" s="43"/>
      <c r="BA127" s="43"/>
      <c r="BB127" s="43"/>
      <c r="BC127" s="43"/>
      <c r="BD127" s="43"/>
      <c r="BE127" s="44"/>
      <c r="BF127" s="45"/>
      <c r="BG127" s="43"/>
    </row>
    <row r="128">
      <c r="A128" s="19" t="s">
        <v>193</v>
      </c>
      <c r="B128" s="20">
        <f>VLOOKUP(F128,'Session Count DO NOT EDIT'!$A:$C,3,FALSE)</f>
        <v>3</v>
      </c>
      <c r="C128" s="20">
        <f>COUNTIFS('Scores Import DO NOT EDIT'!D:D,A128)</f>
        <v>3</v>
      </c>
      <c r="D128" s="21">
        <f t="shared" si="1"/>
        <v>1</v>
      </c>
      <c r="E128" s="22">
        <f>AVERAGEIFS('Scores Import DO NOT EDIT'!L:L,'Scores Import DO NOT EDIT'!D:D,A128)</f>
        <v>33.66666667</v>
      </c>
      <c r="F128" s="23" t="str">
        <f>VLOOKUP(A128, 'Session Data'!A:M,3,false)</f>
        <v>C-4</v>
      </c>
      <c r="G128" s="24" t="str">
        <f>VLOOKUP(A128, 'Session Data'!A:I,2,false)</f>
        <v>1:00 PM</v>
      </c>
      <c r="H128" s="23" t="str">
        <f>VLOOKUP(A128, 'Session Data'!A:J,5,false)</f>
        <v>Behavioral and Social Sciences</v>
      </c>
      <c r="I128" s="25" t="str">
        <f>VLOOKUP(A128, 'Session Data'!A:H,4,false)</f>
        <v>Oral </v>
      </c>
      <c r="J128" s="26" t="str">
        <f>VLOOKUP(A128, 'Session Data'!A:AA,14,false)</f>
        <v>Master's</v>
      </c>
      <c r="K128" s="27" t="str">
        <f>VLOOKUP(A128, 'Session Data'!A:AA,15,false)</f>
        <v>Professional Studies and Fine Arts</v>
      </c>
      <c r="L128" s="28" t="s">
        <v>187</v>
      </c>
      <c r="M128" s="29" t="str">
        <f>VLOOKUP(A128, 'Session Data'!A:K,11,false)</f>
        <v>Masters of Arts in Communication Studies</v>
      </c>
      <c r="N128" s="26" t="str">
        <f>IF(ISNA(VLOOKUP(A128, 'Award Abstract#'!C:C, 1, FALSE)), "No", "Yes")
</f>
        <v>No</v>
      </c>
      <c r="O128" s="29" t="str">
        <f>IF(ISNA(VLOOKUP(A128,'Award Abstract#'!B:B,1,FALSE)), "No", "Yes")</f>
        <v>No</v>
      </c>
      <c r="P128" s="29" t="str">
        <f>IF(ISNA(VLOOKUP(A128,'Award Abstract#'!E:E,1,FALSE)), "No", "Yes")</f>
        <v>No</v>
      </c>
      <c r="Q128" s="29" t="str">
        <f>IF(ISNA(VLOOKUP(A128,'Award Abstract#'!A:A,1,FALSE)), "No", "Yes")</f>
        <v>No</v>
      </c>
      <c r="R128" s="29" t="str">
        <f>IF(ISNA(VLOOKUP(A128,'Award Abstract#'!D:D,1,FALSE)), "No", "Yes")</f>
        <v>Yes</v>
      </c>
      <c r="S128" s="30" t="str">
        <f>VLOOKUP(A128, 'Session Data'!A:AA,27,false)</f>
        <v>Woman</v>
      </c>
      <c r="T128" s="30"/>
      <c r="U128" s="30"/>
      <c r="V128" s="31" t="str">
        <f>VLOOKUP(A128, 'Session Data'!A:AA,8,false)</f>
        <v>Annika</v>
      </c>
      <c r="W128" s="32" t="str">
        <f>VLOOKUP(A128, 'Session Data'!A:AA,9,false)</f>
        <v>Wong</v>
      </c>
      <c r="X128" s="33" t="str">
        <f>VLOOKUP(A128, 'Session Data'!A:AA,12,false)</f>
        <v>Exploring Student-to-Student Confirmation, Communication Apprehension, and Academic Self-Efficacy in (Post) Carceral Education </v>
      </c>
      <c r="Y128" s="34" t="str">
        <f>VLOOKUP(A128, 'Session Data'!A:AA,22,false)</f>
        <v>Tiffany</v>
      </c>
      <c r="Z128" s="34" t="str">
        <f>VLOOKUP(A128, 'Session Data'!A:AA,23,false)</f>
        <v>Dykstra-DeVette</v>
      </c>
      <c r="AA128" s="34" t="str">
        <f>VLOOKUP(A128, 'Session Data'!A:AA,25,false)</f>
        <v>Professional Studies and Fine Arts</v>
      </c>
      <c r="AB128" s="34" t="str">
        <f>VLOOKUP(A128, 'Session Data'!A:AA,24,false)</f>
        <v>tdykstradevette@sdsu.edu</v>
      </c>
      <c r="AC128" s="34" t="str">
        <f>VLOOKUP(A128, 'Session Data'!A:AA,16,false)</f>
        <v/>
      </c>
      <c r="AD128" s="35" t="str">
        <f>VLOOKUP(A128, 'Session Data'!A:U,17,false)</f>
        <v/>
      </c>
      <c r="AE128" s="35" t="str">
        <f>VLOOKUP(A128, 'Session Data'!A:U,18,false)</f>
        <v/>
      </c>
      <c r="AF128" s="35" t="str">
        <f>VLOOKUP(A128, 'Session Data'!A:U,19,false)</f>
        <v/>
      </c>
      <c r="AG128" s="35" t="str">
        <f>VLOOKUP(A128, 'Session Data'!A:U,20,false)</f>
        <v/>
      </c>
      <c r="AH128" s="35" t="str">
        <f>VLOOKUP(A128, 'Session Data'!A:U,21,false)</f>
        <v/>
      </c>
      <c r="AI128" s="37"/>
      <c r="AJ128" s="37"/>
      <c r="AK128" s="37"/>
      <c r="AL128" s="50"/>
      <c r="AM128" s="34" t="str">
        <f>VLOOKUP(A128, 'Session Data'!A:AA,10,false)</f>
        <v>awong4867@sdsu.edu</v>
      </c>
      <c r="AN128" s="40"/>
      <c r="AO128" s="38"/>
      <c r="AP128" s="38"/>
      <c r="AQ128" s="38"/>
      <c r="AR128" s="38"/>
      <c r="AS128" s="38"/>
      <c r="AT128" s="38"/>
      <c r="AU128" s="38"/>
      <c r="AV128" s="38"/>
      <c r="AW128" s="38"/>
      <c r="AX128" s="38"/>
      <c r="AY128" s="43"/>
      <c r="AZ128" s="43"/>
      <c r="BA128" s="43"/>
      <c r="BB128" s="43"/>
      <c r="BC128" s="43"/>
      <c r="BD128" s="43"/>
      <c r="BE128" s="44"/>
      <c r="BF128" s="45"/>
      <c r="BG128" s="43"/>
    </row>
    <row r="129">
      <c r="A129" s="19" t="s">
        <v>194</v>
      </c>
      <c r="B129" s="20">
        <f>VLOOKUP(F129,'Session Count DO NOT EDIT'!$A:$C,3,FALSE)</f>
        <v>3</v>
      </c>
      <c r="C129" s="20">
        <f>COUNTIFS('Scores Import DO NOT EDIT'!D:D,A129)</f>
        <v>3</v>
      </c>
      <c r="D129" s="21">
        <f t="shared" si="1"/>
        <v>1</v>
      </c>
      <c r="E129" s="22">
        <f>AVERAGEIFS('Scores Import DO NOT EDIT'!L:L,'Scores Import DO NOT EDIT'!D:D,A129)</f>
        <v>29.66666667</v>
      </c>
      <c r="F129" s="23" t="str">
        <f>VLOOKUP(A129, 'Session Data'!A:M,3,false)</f>
        <v>C-4</v>
      </c>
      <c r="G129" s="24" t="str">
        <f>VLOOKUP(A129, 'Session Data'!A:I,2,false)</f>
        <v>1:00 PM</v>
      </c>
      <c r="H129" s="23" t="str">
        <f>VLOOKUP(A129, 'Session Data'!A:J,5,false)</f>
        <v>Behavioral and Social Sciences</v>
      </c>
      <c r="I129" s="25" t="str">
        <f>VLOOKUP(A129, 'Session Data'!A:H,4,false)</f>
        <v>Oral </v>
      </c>
      <c r="J129" s="26" t="str">
        <f>VLOOKUP(A129, 'Session Data'!A:AA,14,false)</f>
        <v>Master's</v>
      </c>
      <c r="K129" s="27" t="str">
        <f>VLOOKUP(A129, 'Session Data'!A:AA,15,false)</f>
        <v>Health and Human Services</v>
      </c>
      <c r="L129" s="28" t="s">
        <v>169</v>
      </c>
      <c r="M129" s="29" t="str">
        <f>VLOOKUP(A129, 'Session Data'!A:K,11,false)</f>
        <v>Master of Social Work &amp; Master of Public Health with a concentration in Health Management and Policy Major</v>
      </c>
      <c r="N129" s="26" t="str">
        <f>IF(ISNA(VLOOKUP(A129, 'Award Abstract#'!C:C, 1, FALSE)), "No", "Yes")
</f>
        <v>Yes</v>
      </c>
      <c r="O129" s="29" t="str">
        <f>IF(ISNA(VLOOKUP(A129,'Award Abstract#'!B:B,1,FALSE)), "No", "Yes")</f>
        <v>No</v>
      </c>
      <c r="P129" s="29" t="str">
        <f>IF(ISNA(VLOOKUP(A129,'Award Abstract#'!E:E,1,FALSE)), "No", "Yes")</f>
        <v>No</v>
      </c>
      <c r="Q129" s="29" t="str">
        <f>IF(ISNA(VLOOKUP(A129,'Award Abstract#'!A:A,1,FALSE)), "No", "Yes")</f>
        <v>No</v>
      </c>
      <c r="R129" s="29" t="str">
        <f>IF(ISNA(VLOOKUP(A129,'Award Abstract#'!D:D,1,FALSE)), "No", "Yes")</f>
        <v>Yes</v>
      </c>
      <c r="S129" s="30" t="str">
        <f>VLOOKUP(A129, 'Session Data'!A:AA,27,false)</f>
        <v>Woman, Cisgender</v>
      </c>
      <c r="T129" s="30"/>
      <c r="U129" s="30"/>
      <c r="V129" s="31" t="str">
        <f>VLOOKUP(A129, 'Session Data'!A:AA,8,false)</f>
        <v>Jocelyn</v>
      </c>
      <c r="W129" s="32" t="str">
        <f>VLOOKUP(A129, 'Session Data'!A:AA,9,false)</f>
        <v>Smith</v>
      </c>
      <c r="X129" s="33" t="str">
        <f>VLOOKUP(A129, 'Session Data'!A:AA,12,false)</f>
        <v>Exploring the Knowledge and Attitudes of Emerging Health and Human Service Professionals Regarding Sexuality and Older Adults</v>
      </c>
      <c r="Y129" s="34" t="str">
        <f>VLOOKUP(A129, 'Session Data'!A:AA,22,false)</f>
        <v>Megan</v>
      </c>
      <c r="Z129" s="34" t="str">
        <f>VLOOKUP(A129, 'Session Data'!A:AA,23,false)</f>
        <v>Ebor</v>
      </c>
      <c r="AA129" s="34" t="str">
        <f>VLOOKUP(A129, 'Session Data'!A:AA,25,false)</f>
        <v>Health and Human Services</v>
      </c>
      <c r="AB129" s="34" t="str">
        <f>VLOOKUP(A129, 'Session Data'!A:AA,24,false)</f>
        <v>mebor@sdsu.edu</v>
      </c>
      <c r="AC129" s="34" t="str">
        <f>VLOOKUP(A129, 'Session Data'!A:AA,16,false)</f>
        <v/>
      </c>
      <c r="AD129" s="35" t="str">
        <f>VLOOKUP(A129, 'Session Data'!A:U,17,false)</f>
        <v/>
      </c>
      <c r="AE129" s="35" t="str">
        <f>VLOOKUP(A129, 'Session Data'!A:U,18,false)</f>
        <v/>
      </c>
      <c r="AF129" s="35" t="str">
        <f>VLOOKUP(A129, 'Session Data'!A:U,19,false)</f>
        <v/>
      </c>
      <c r="AG129" s="35" t="str">
        <f>VLOOKUP(A129, 'Session Data'!A:U,20,false)</f>
        <v/>
      </c>
      <c r="AH129" s="35" t="str">
        <f>VLOOKUP(A129, 'Session Data'!A:U,21,false)</f>
        <v/>
      </c>
      <c r="AI129" s="37"/>
      <c r="AJ129" s="37"/>
      <c r="AK129" s="37"/>
      <c r="AL129" s="50"/>
      <c r="AM129" s="34" t="str">
        <f>VLOOKUP(A129, 'Session Data'!A:AA,10,false)</f>
        <v>jsmith7576@sdsu.edu</v>
      </c>
      <c r="AN129" s="40"/>
      <c r="AO129" s="38"/>
      <c r="AP129" s="38"/>
      <c r="AQ129" s="38"/>
      <c r="AR129" s="38"/>
      <c r="AS129" s="38"/>
      <c r="AT129" s="38"/>
      <c r="AU129" s="38"/>
      <c r="AV129" s="38"/>
      <c r="AW129" s="38"/>
      <c r="AX129" s="38"/>
      <c r="AY129" s="43"/>
      <c r="AZ129" s="43"/>
      <c r="BA129" s="48"/>
      <c r="BB129" s="48"/>
      <c r="BC129" s="43"/>
      <c r="BD129" s="43"/>
      <c r="BE129" s="44"/>
      <c r="BF129" s="45"/>
      <c r="BG129" s="43"/>
    </row>
    <row r="130">
      <c r="A130" s="19" t="s">
        <v>195</v>
      </c>
      <c r="B130" s="20">
        <f>VLOOKUP(F130,'Session Count DO NOT EDIT'!$A:$C,3,FALSE)</f>
        <v>3</v>
      </c>
      <c r="C130" s="20">
        <f>COUNTIFS('Scores Import DO NOT EDIT'!D:D,A130)</f>
        <v>3</v>
      </c>
      <c r="D130" s="21">
        <f t="shared" si="1"/>
        <v>1</v>
      </c>
      <c r="E130" s="22">
        <f>AVERAGEIFS('Scores Import DO NOT EDIT'!L:L,'Scores Import DO NOT EDIT'!D:D,A130)</f>
        <v>27.66666667</v>
      </c>
      <c r="F130" s="23" t="str">
        <f>VLOOKUP(A130, 'Session Data'!A:M,3,false)</f>
        <v>C-4</v>
      </c>
      <c r="G130" s="24" t="str">
        <f>VLOOKUP(A130, 'Session Data'!A:I,2,false)</f>
        <v>1:00 PM</v>
      </c>
      <c r="H130" s="23" t="str">
        <f>VLOOKUP(A130, 'Session Data'!A:J,5,false)</f>
        <v>Behavioral and Social Sciences</v>
      </c>
      <c r="I130" s="25" t="str">
        <f>VLOOKUP(A130, 'Session Data'!A:H,4,false)</f>
        <v>Oral </v>
      </c>
      <c r="J130" s="26" t="str">
        <f>VLOOKUP(A130, 'Session Data'!A:AA,14,false)</f>
        <v>Master's</v>
      </c>
      <c r="K130" s="27" t="str">
        <f>VLOOKUP(A130, 'Session Data'!A:AA,15,false)</f>
        <v>Arts and Letters</v>
      </c>
      <c r="L130" s="28"/>
      <c r="M130" s="29" t="str">
        <f>VLOOKUP(A130, 'Session Data'!A:K,11,false)</f>
        <v>Masters of Arts in Women's Studies</v>
      </c>
      <c r="N130" s="26" t="str">
        <f>IF(ISNA(VLOOKUP(A130, 'Award Abstract#'!C:C, 1, FALSE)), "No", "Yes")
</f>
        <v>No</v>
      </c>
      <c r="O130" s="29" t="str">
        <f>IF(ISNA(VLOOKUP(A130,'Award Abstract#'!B:B,1,FALSE)), "No", "Yes")</f>
        <v>No</v>
      </c>
      <c r="P130" s="29" t="str">
        <f>IF(ISNA(VLOOKUP(A130,'Award Abstract#'!E:E,1,FALSE)), "No", "Yes")</f>
        <v>No</v>
      </c>
      <c r="Q130" s="29" t="str">
        <f>IF(ISNA(VLOOKUP(A130,'Award Abstract#'!A:A,1,FALSE)), "No", "Yes")</f>
        <v>No</v>
      </c>
      <c r="R130" s="29" t="str">
        <f>IF(ISNA(VLOOKUP(A130,'Award Abstract#'!D:D,1,FALSE)), "No", "Yes")</f>
        <v>No</v>
      </c>
      <c r="S130" s="30" t="str">
        <f>VLOOKUP(A130, 'Session Data'!A:AA,27,false)</f>
        <v>Non-binary/non-conforming</v>
      </c>
      <c r="T130" s="30"/>
      <c r="U130" s="30"/>
      <c r="V130" s="31" t="str">
        <f>VLOOKUP(A130, 'Session Data'!A:AA,8,false)</f>
        <v>Vale</v>
      </c>
      <c r="W130" s="32" t="str">
        <f>VLOOKUP(A130, 'Session Data'!A:AA,9,false)</f>
        <v>Magana</v>
      </c>
      <c r="X130" s="33" t="str">
        <f>VLOOKUP(A130, 'Session Data'!A:AA,12,false)</f>
        <v>Towards Transformative Justice: Envisioning Survivor-Centric Approaches Beyond Title IX for Addressing Campus Sexualized Violence at San Diego State University</v>
      </c>
      <c r="Y130" s="34" t="str">
        <f>VLOOKUP(A130, 'Session Data'!A:AA,22,false)</f>
        <v>Jess</v>
      </c>
      <c r="Z130" s="34" t="str">
        <f>VLOOKUP(A130, 'Session Data'!A:AA,23,false)</f>
        <v>Whatcott</v>
      </c>
      <c r="AA130" s="34" t="str">
        <f>VLOOKUP(A130, 'Session Data'!A:AA,25,false)</f>
        <v>Arts and Letters</v>
      </c>
      <c r="AB130" s="34" t="str">
        <f>VLOOKUP(A130, 'Session Data'!A:AA,24,false)</f>
        <v>jwhatcott@sdsu.edu</v>
      </c>
      <c r="AC130" s="34" t="str">
        <f>VLOOKUP(A130, 'Session Data'!A:AA,16,false)</f>
        <v/>
      </c>
      <c r="AD130" s="35" t="str">
        <f>VLOOKUP(A130, 'Session Data'!A:U,17,false)</f>
        <v/>
      </c>
      <c r="AE130" s="35" t="str">
        <f>VLOOKUP(A130, 'Session Data'!A:U,18,false)</f>
        <v/>
      </c>
      <c r="AF130" s="35" t="str">
        <f>VLOOKUP(A130, 'Session Data'!A:U,19,false)</f>
        <v/>
      </c>
      <c r="AG130" s="35" t="str">
        <f>VLOOKUP(A130, 'Session Data'!A:U,20,false)</f>
        <v/>
      </c>
      <c r="AH130" s="35" t="str">
        <f>VLOOKUP(A130, 'Session Data'!A:U,21,false)</f>
        <v/>
      </c>
      <c r="AI130" s="37"/>
      <c r="AJ130" s="37"/>
      <c r="AK130" s="37"/>
      <c r="AL130" s="50"/>
      <c r="AM130" s="34" t="str">
        <f>VLOOKUP(A130, 'Session Data'!A:AA,10,false)</f>
        <v>vmagana3692@sdsu.edu</v>
      </c>
      <c r="AN130" s="40"/>
      <c r="AO130" s="38"/>
      <c r="AP130" s="38"/>
      <c r="AQ130" s="38"/>
      <c r="AR130" s="38"/>
      <c r="AS130" s="38"/>
      <c r="AT130" s="38"/>
      <c r="AU130" s="38"/>
      <c r="AV130" s="38"/>
      <c r="AW130" s="38"/>
      <c r="AX130" s="38"/>
      <c r="AY130" s="43"/>
      <c r="AZ130" s="43"/>
      <c r="BA130" s="48"/>
      <c r="BB130" s="48"/>
      <c r="BC130" s="43"/>
      <c r="BD130" s="43"/>
      <c r="BE130" s="44"/>
      <c r="BF130" s="45"/>
      <c r="BG130" s="46"/>
    </row>
    <row r="131">
      <c r="A131" s="19" t="s">
        <v>196</v>
      </c>
      <c r="B131" s="20">
        <f>VLOOKUP(F131,'Session Count DO NOT EDIT'!$A:$C,3,FALSE)</f>
        <v>3</v>
      </c>
      <c r="C131" s="20">
        <f>COUNTIFS('Scores Import DO NOT EDIT'!D:D,A131)</f>
        <v>2</v>
      </c>
      <c r="D131" s="21">
        <f t="shared" si="1"/>
        <v>0.6666666667</v>
      </c>
      <c r="E131" s="22">
        <f>AVERAGEIFS('Scores Import DO NOT EDIT'!L:L,'Scores Import DO NOT EDIT'!D:D,A131)</f>
        <v>27</v>
      </c>
      <c r="F131" s="23" t="str">
        <f>VLOOKUP(A131, 'Session Data'!A:M,3,false)</f>
        <v>C-4</v>
      </c>
      <c r="G131" s="24" t="str">
        <f>VLOOKUP(A131, 'Session Data'!A:I,2,false)</f>
        <v>1:00 PM</v>
      </c>
      <c r="H131" s="23" t="str">
        <f>VLOOKUP(A131, 'Session Data'!A:J,5,false)</f>
        <v>Behavioral and Social Sciences</v>
      </c>
      <c r="I131" s="25" t="str">
        <f>VLOOKUP(A131, 'Session Data'!A:H,4,false)</f>
        <v>Oral </v>
      </c>
      <c r="J131" s="26" t="str">
        <f>VLOOKUP(A131, 'Session Data'!A:AA,14,false)</f>
        <v>Master's</v>
      </c>
      <c r="K131" s="27" t="str">
        <f>VLOOKUP(A131, 'Session Data'!A:AA,15,false)</f>
        <v>Arts and Letters</v>
      </c>
      <c r="L131" s="28"/>
      <c r="M131" s="29" t="str">
        <f>VLOOKUP(A131, 'Session Data'!A:K,11,false)</f>
        <v>Master of Arts in Linguistics</v>
      </c>
      <c r="N131" s="26" t="str">
        <f>IF(ISNA(VLOOKUP(A131, 'Award Abstract#'!C:C, 1, FALSE)), "No", "Yes")
</f>
        <v>No</v>
      </c>
      <c r="O131" s="29" t="str">
        <f>IF(ISNA(VLOOKUP(A131,'Award Abstract#'!B:B,1,FALSE)), "No", "Yes")</f>
        <v>No</v>
      </c>
      <c r="P131" s="29" t="str">
        <f>IF(ISNA(VLOOKUP(A131,'Award Abstract#'!E:E,1,FALSE)), "No", "Yes")</f>
        <v>No</v>
      </c>
      <c r="Q131" s="29" t="str">
        <f>IF(ISNA(VLOOKUP(A131,'Award Abstract#'!A:A,1,FALSE)), "No", "Yes")</f>
        <v>Yes</v>
      </c>
      <c r="R131" s="29" t="str">
        <f>IF(ISNA(VLOOKUP(A131,'Award Abstract#'!D:D,1,FALSE)), "No", "Yes")</f>
        <v>No</v>
      </c>
      <c r="S131" s="30" t="str">
        <f>VLOOKUP(A131, 'Session Data'!A:AA,27,false)</f>
        <v>Woman</v>
      </c>
      <c r="T131" s="30"/>
      <c r="U131" s="30"/>
      <c r="V131" s="31" t="str">
        <f>VLOOKUP(A131, 'Session Data'!A:AA,8,false)</f>
        <v>Laura</v>
      </c>
      <c r="W131" s="32" t="str">
        <f>VLOOKUP(A131, 'Session Data'!A:AA,9,false)</f>
        <v>Fitzgerald</v>
      </c>
      <c r="X131" s="33" t="str">
        <f>VLOOKUP(A131, 'Session Data'!A:AA,12,false)</f>
        <v>When words collide: Impact of top-down and bottom-up input during bilingual picture-word matching</v>
      </c>
      <c r="Y131" s="34" t="str">
        <f>VLOOKUP(A131, 'Session Data'!A:AA,22,false)</f>
        <v>Henrike</v>
      </c>
      <c r="Z131" s="34" t="str">
        <f>VLOOKUP(A131, 'Session Data'!A:AA,23,false)</f>
        <v>Blumenfeld</v>
      </c>
      <c r="AA131" s="34" t="str">
        <f>VLOOKUP(A131, 'Session Data'!A:AA,25,false)</f>
        <v>Health and Human Services</v>
      </c>
      <c r="AB131" s="34" t="str">
        <f>VLOOKUP(A131, 'Session Data'!A:AA,24,false)</f>
        <v>hblumenf@sdsu.edu</v>
      </c>
      <c r="AC131" s="34" t="str">
        <f>VLOOKUP(A131, 'Session Data'!A:AA,16,false)</f>
        <v/>
      </c>
      <c r="AD131" s="35" t="str">
        <f>VLOOKUP(A131, 'Session Data'!A:U,17,false)</f>
        <v/>
      </c>
      <c r="AE131" s="35" t="str">
        <f>VLOOKUP(A131, 'Session Data'!A:U,18,false)</f>
        <v/>
      </c>
      <c r="AF131" s="35" t="str">
        <f>VLOOKUP(A131, 'Session Data'!A:U,19,false)</f>
        <v/>
      </c>
      <c r="AG131" s="35" t="str">
        <f>VLOOKUP(A131, 'Session Data'!A:U,20,false)</f>
        <v/>
      </c>
      <c r="AH131" s="35" t="str">
        <f>VLOOKUP(A131, 'Session Data'!A:U,21,false)</f>
        <v/>
      </c>
      <c r="AI131" s="37"/>
      <c r="AJ131" s="37"/>
      <c r="AK131" s="37"/>
      <c r="AL131" s="50"/>
      <c r="AM131" s="34" t="str">
        <f>VLOOKUP(A131, 'Session Data'!A:AA,10,false)</f>
        <v>lfitzgerald8161@sdsu.edu</v>
      </c>
      <c r="AN131" s="40"/>
      <c r="AO131" s="38"/>
      <c r="AP131" s="38"/>
      <c r="AQ131" s="38"/>
      <c r="AR131" s="38"/>
      <c r="AS131" s="38"/>
      <c r="AT131" s="38"/>
      <c r="AU131" s="38"/>
      <c r="AV131" s="38"/>
      <c r="AW131" s="38"/>
      <c r="AX131" s="38"/>
      <c r="AY131" s="43"/>
      <c r="AZ131" s="43"/>
      <c r="BA131" s="48"/>
      <c r="BB131" s="48"/>
      <c r="BC131" s="43"/>
      <c r="BD131" s="43"/>
      <c r="BE131" s="44"/>
      <c r="BF131" s="45"/>
      <c r="BG131" s="43"/>
    </row>
    <row r="132">
      <c r="A132" s="19" t="s">
        <v>197</v>
      </c>
      <c r="B132" s="20">
        <f>VLOOKUP(F132,'Session Count DO NOT EDIT'!$A:$C,3,FALSE)</f>
        <v>3</v>
      </c>
      <c r="C132" s="20">
        <f>COUNTIFS('Scores Import DO NOT EDIT'!D:D,A132)</f>
        <v>2</v>
      </c>
      <c r="D132" s="21">
        <f t="shared" si="1"/>
        <v>0.6666666667</v>
      </c>
      <c r="E132" s="22">
        <f>AVERAGEIFS('Scores Import DO NOT EDIT'!L:L,'Scores Import DO NOT EDIT'!D:D,A132)</f>
        <v>27</v>
      </c>
      <c r="F132" s="23" t="str">
        <f>VLOOKUP(A132, 'Session Data'!A:M,3,false)</f>
        <v>C-4</v>
      </c>
      <c r="G132" s="24" t="str">
        <f>VLOOKUP(A132, 'Session Data'!A:I,2,false)</f>
        <v>1:00 PM</v>
      </c>
      <c r="H132" s="23" t="str">
        <f>VLOOKUP(A132, 'Session Data'!A:J,5,false)</f>
        <v>Behavioral and Social Sciences</v>
      </c>
      <c r="I132" s="25" t="str">
        <f>VLOOKUP(A132, 'Session Data'!A:H,4,false)</f>
        <v>Oral </v>
      </c>
      <c r="J132" s="26" t="str">
        <f>VLOOKUP(A132, 'Session Data'!A:AA,14,false)</f>
        <v>Doctoral</v>
      </c>
      <c r="K132" s="27" t="str">
        <f>VLOOKUP(A132, 'Session Data'!A:AA,15,false)</f>
        <v>Sciences</v>
      </c>
      <c r="L132" s="47"/>
      <c r="M132" s="29" t="str">
        <f>VLOOKUP(A132, 'Session Data'!A:K,11,false)</f>
        <v>PhD Math and Science Education</v>
      </c>
      <c r="N132" s="26" t="str">
        <f>IF(ISNA(VLOOKUP(A132, 'Award Abstract#'!C:C, 1, FALSE)), "No", "Yes")
</f>
        <v>No</v>
      </c>
      <c r="O132" s="29" t="str">
        <f>IF(ISNA(VLOOKUP(A132,'Award Abstract#'!B:B,1,FALSE)), "No", "Yes")</f>
        <v>No</v>
      </c>
      <c r="P132" s="29" t="str">
        <f>IF(ISNA(VLOOKUP(A132,'Award Abstract#'!E:E,1,FALSE)), "No", "Yes")</f>
        <v>No</v>
      </c>
      <c r="Q132" s="29" t="str">
        <f>IF(ISNA(VLOOKUP(A132,'Award Abstract#'!A:A,1,FALSE)), "No", "Yes")</f>
        <v>No</v>
      </c>
      <c r="R132" s="29" t="str">
        <f>IF(ISNA(VLOOKUP(A132,'Award Abstract#'!D:D,1,FALSE)), "No", "Yes")</f>
        <v>Yes</v>
      </c>
      <c r="S132" s="30" t="str">
        <f>VLOOKUP(A132, 'Session Data'!A:AA,27,false)</f>
        <v>Man</v>
      </c>
      <c r="T132" s="30"/>
      <c r="U132" s="30"/>
      <c r="V132" s="31" t="str">
        <f>VLOOKUP(A132, 'Session Data'!A:AA,8,false)</f>
        <v>Matthew</v>
      </c>
      <c r="W132" s="32" t="str">
        <f>VLOOKUP(A132, 'Session Data'!A:AA,9,false)</f>
        <v>Taylor</v>
      </c>
      <c r="X132" s="33" t="str">
        <f>VLOOKUP(A132, 'Session Data'!A:AA,12,false)</f>
        <v>Exploring Graduate TAs' Perspectives on Equity in Professional Development</v>
      </c>
      <c r="Y132" s="34" t="str">
        <f>VLOOKUP(A132, 'Session Data'!A:AA,22,false)</f>
        <v>Mary</v>
      </c>
      <c r="Z132" s="34" t="str">
        <f>VLOOKUP(A132, 'Session Data'!A:AA,23,false)</f>
        <v>Pilgrim</v>
      </c>
      <c r="AA132" s="34" t="str">
        <f>VLOOKUP(A132, 'Session Data'!A:AA,25,false)</f>
        <v>Sciences</v>
      </c>
      <c r="AB132" s="34"/>
      <c r="AC132" s="34" t="str">
        <f>VLOOKUP(A132, 'Session Data'!A:AA,16,false)</f>
        <v>Mariah</v>
      </c>
      <c r="AD132" s="35" t="str">
        <f>VLOOKUP(A132, 'Session Data'!A:U,17,false)</f>
        <v>Moschetti</v>
      </c>
      <c r="AE132" s="35" t="str">
        <f>VLOOKUP(A132, 'Session Data'!A:U,18,false)</f>
        <v/>
      </c>
      <c r="AF132" s="35" t="str">
        <f>VLOOKUP(A132, 'Session Data'!A:U,19,false)</f>
        <v/>
      </c>
      <c r="AG132" s="35" t="str">
        <f>VLOOKUP(A132, 'Session Data'!A:U,20,false)</f>
        <v/>
      </c>
      <c r="AH132" s="35" t="str">
        <f>VLOOKUP(A132, 'Session Data'!A:U,21,false)</f>
        <v/>
      </c>
      <c r="AI132" s="36"/>
      <c r="AJ132" s="38"/>
      <c r="AK132" s="38"/>
      <c r="AL132" s="39"/>
      <c r="AM132" s="34" t="str">
        <f>VLOOKUP(A132, 'Session Data'!A:AA,10,false)</f>
        <v>btaylor2523@sdsu.edu</v>
      </c>
      <c r="AN132" s="40"/>
      <c r="AO132" s="38"/>
      <c r="AP132" s="38"/>
      <c r="AQ132" s="38"/>
      <c r="AR132" s="38"/>
      <c r="AS132" s="38"/>
      <c r="AT132" s="38"/>
      <c r="AU132" s="38"/>
      <c r="AV132" s="38"/>
      <c r="AW132" s="38"/>
      <c r="AX132" s="38"/>
      <c r="AY132" s="43"/>
      <c r="AZ132" s="43"/>
      <c r="BA132" s="48"/>
      <c r="BB132" s="43"/>
      <c r="BC132" s="43"/>
      <c r="BD132" s="43"/>
      <c r="BE132" s="44"/>
      <c r="BF132" s="45"/>
      <c r="BG132" s="43"/>
    </row>
    <row r="133">
      <c r="A133" s="19" t="s">
        <v>198</v>
      </c>
      <c r="B133" s="20">
        <f>VLOOKUP(F133,'Session Count DO NOT EDIT'!$A:$C,3,FALSE)</f>
        <v>5</v>
      </c>
      <c r="C133" s="20">
        <f>COUNTIFS('Scores Import DO NOT EDIT'!D:D,A133)</f>
        <v>4</v>
      </c>
      <c r="D133" s="21">
        <f t="shared" si="1"/>
        <v>0.8</v>
      </c>
      <c r="E133" s="22">
        <f>AVERAGEIFS('Scores Import DO NOT EDIT'!L:L,'Scores Import DO NOT EDIT'!D:D,A133)</f>
        <v>27</v>
      </c>
      <c r="F133" s="23" t="str">
        <f>VLOOKUP(A133, 'Session Data'!A:M,3,false)</f>
        <v>C-5</v>
      </c>
      <c r="G133" s="24" t="str">
        <f>VLOOKUP(A133, 'Session Data'!A:I,2,false)</f>
        <v>1:00 PM</v>
      </c>
      <c r="H133" s="23" t="str">
        <f>VLOOKUP(A133, 'Session Data'!A:J,5,false)</f>
        <v>Biological and Agricultural Sciences</v>
      </c>
      <c r="I133" s="25" t="str">
        <f>VLOOKUP(A133, 'Session Data'!A:H,4,false)</f>
        <v>Oral </v>
      </c>
      <c r="J133" s="26" t="str">
        <f>VLOOKUP(A133, 'Session Data'!A:AA,14,false)</f>
        <v>Master's</v>
      </c>
      <c r="K133" s="27" t="str">
        <f>VLOOKUP(A133, 'Session Data'!A:AA,15,false)</f>
        <v>Sciences</v>
      </c>
      <c r="L133" s="28"/>
      <c r="M133" s="29" t="str">
        <f>VLOOKUP(A133, 'Session Data'!A:K,11,false)</f>
        <v>Masters of Science in Biology</v>
      </c>
      <c r="N133" s="26" t="str">
        <f>IF(ISNA(VLOOKUP(A133, 'Award Abstract#'!C:C, 1, FALSE)), "No", "Yes")
</f>
        <v>No</v>
      </c>
      <c r="O133" s="29" t="str">
        <f>IF(ISNA(VLOOKUP(A133,'Award Abstract#'!B:B,1,FALSE)), "No", "Yes")</f>
        <v>Yes</v>
      </c>
      <c r="P133" s="29" t="str">
        <f>IF(ISNA(VLOOKUP(A133,'Award Abstract#'!E:E,1,FALSE)), "No", "Yes")</f>
        <v>No</v>
      </c>
      <c r="Q133" s="29" t="str">
        <f>IF(ISNA(VLOOKUP(A133,'Award Abstract#'!A:A,1,FALSE)), "No", "Yes")</f>
        <v>No</v>
      </c>
      <c r="R133" s="29" t="str">
        <f>IF(ISNA(VLOOKUP(A133,'Award Abstract#'!D:D,1,FALSE)), "No", "Yes")</f>
        <v>Yes</v>
      </c>
      <c r="S133" s="30" t="str">
        <f>VLOOKUP(A133, 'Session Data'!A:AA,27,false)</f>
        <v>Woman</v>
      </c>
      <c r="T133" s="30"/>
      <c r="U133" s="30"/>
      <c r="V133" s="31" t="str">
        <f>VLOOKUP(A133, 'Session Data'!A:AA,8,false)</f>
        <v>Alexandra</v>
      </c>
      <c r="W133" s="32" t="str">
        <f>VLOOKUP(A133, 'Session Data'!A:AA,9,false)</f>
        <v>Hoff</v>
      </c>
      <c r="X133" s="33" t="str">
        <f>VLOOKUP(A133, 'Session Data'!A:AA,12,false)</f>
        <v>Resilient Restoration: Drought Resilience Amongst Southern California Coast Live Oak Populations on Tribal Lands</v>
      </c>
      <c r="Y133" s="34" t="str">
        <f>VLOOKUP(A133, 'Session Data'!A:AA,22,false)</f>
        <v>Lluvia</v>
      </c>
      <c r="Z133" s="34" t="str">
        <f>VLOOKUP(A133, 'Session Data'!A:AA,23,false)</f>
        <v>Flores-Renteria</v>
      </c>
      <c r="AA133" s="34" t="str">
        <f>VLOOKUP(A133, 'Session Data'!A:AA,25,false)</f>
        <v>Sciences</v>
      </c>
      <c r="AB133" s="34"/>
      <c r="AC133" s="34" t="str">
        <f>VLOOKUP(A133, 'Session Data'!A:AA,16,false)</f>
        <v/>
      </c>
      <c r="AD133" s="35" t="str">
        <f>VLOOKUP(A133, 'Session Data'!A:U,17,false)</f>
        <v/>
      </c>
      <c r="AE133" s="35" t="str">
        <f>VLOOKUP(A133, 'Session Data'!A:U,18,false)</f>
        <v/>
      </c>
      <c r="AF133" s="35" t="str">
        <f>VLOOKUP(A133, 'Session Data'!A:U,19,false)</f>
        <v/>
      </c>
      <c r="AG133" s="35" t="str">
        <f>VLOOKUP(A133, 'Session Data'!A:U,20,false)</f>
        <v/>
      </c>
      <c r="AH133" s="35" t="str">
        <f>VLOOKUP(A133, 'Session Data'!A:U,21,false)</f>
        <v/>
      </c>
      <c r="AI133" s="36"/>
      <c r="AJ133" s="38"/>
      <c r="AK133" s="38"/>
      <c r="AL133" s="39"/>
      <c r="AM133" s="34" t="str">
        <f>VLOOKUP(A133, 'Session Data'!A:AA,10,false)</f>
        <v>ahoff9409@sdsu.edu</v>
      </c>
      <c r="AN133" s="40"/>
      <c r="AO133" s="38"/>
      <c r="AP133" s="38"/>
      <c r="AQ133" s="38"/>
      <c r="AR133" s="38"/>
      <c r="AS133" s="38"/>
      <c r="AT133" s="38"/>
      <c r="AU133" s="38"/>
      <c r="AV133" s="38"/>
      <c r="AW133" s="38"/>
      <c r="AX133" s="38"/>
      <c r="AY133" s="43"/>
      <c r="AZ133" s="43"/>
      <c r="BA133" s="43"/>
      <c r="BB133" s="43"/>
      <c r="BC133" s="43"/>
      <c r="BD133" s="43"/>
      <c r="BE133" s="44"/>
      <c r="BF133" s="45"/>
      <c r="BG133" s="43"/>
    </row>
    <row r="134">
      <c r="A134" s="78" t="s">
        <v>199</v>
      </c>
      <c r="B134" s="20">
        <f>VLOOKUP(F134,'Session Count DO NOT EDIT'!$A:$C,3,FALSE)</f>
        <v>5</v>
      </c>
      <c r="C134" s="20">
        <f>COUNTIFS('Scores Import DO NOT EDIT'!D:D,A134)</f>
        <v>0</v>
      </c>
      <c r="D134" s="21">
        <f t="shared" si="1"/>
        <v>0</v>
      </c>
      <c r="E134" s="22" t="str">
        <f>AVERAGEIFS('Scores Import DO NOT EDIT'!L:L,'Scores Import DO NOT EDIT'!D:D,A134)</f>
        <v>#DIV/0!</v>
      </c>
      <c r="F134" s="23" t="str">
        <f>VLOOKUP(A134, 'Session Data'!A:M,3,false)</f>
        <v>C-5</v>
      </c>
      <c r="G134" s="24" t="str">
        <f>VLOOKUP(A134, 'Session Data'!A:I,2,false)</f>
        <v>1:00 PM</v>
      </c>
      <c r="H134" s="23" t="str">
        <f>VLOOKUP(A134, 'Session Data'!A:J,5,false)</f>
        <v>Biological and Agricultural Sciences</v>
      </c>
      <c r="I134" s="25" t="str">
        <f>VLOOKUP(A134, 'Session Data'!A:H,4,false)</f>
        <v>Oral </v>
      </c>
      <c r="J134" s="26" t="str">
        <f>VLOOKUP(A134, 'Session Data'!A:AA,14,false)</f>
        <v>Doctoral</v>
      </c>
      <c r="K134" s="27" t="str">
        <f>VLOOKUP(A134, 'Session Data'!A:AA,15,false)</f>
        <v>Sciences</v>
      </c>
      <c r="L134" s="28"/>
      <c r="M134" s="29" t="str">
        <f>VLOOKUP(A134, 'Session Data'!A:K,11,false)</f>
        <v>PhD in Evolutionary Biology</v>
      </c>
      <c r="N134" s="26" t="str">
        <f>IF(ISNA(VLOOKUP(A134, 'Award Abstract#'!C:C, 1, FALSE)), "No", "Yes")
</f>
        <v>No</v>
      </c>
      <c r="O134" s="29" t="str">
        <f>IF(ISNA(VLOOKUP(A134,'Award Abstract#'!B:B,1,FALSE)), "No", "Yes")</f>
        <v>No</v>
      </c>
      <c r="P134" s="29" t="str">
        <f>IF(ISNA(VLOOKUP(A134,'Award Abstract#'!E:E,1,FALSE)), "No", "Yes")</f>
        <v>No</v>
      </c>
      <c r="Q134" s="29" t="str">
        <f>IF(ISNA(VLOOKUP(A134,'Award Abstract#'!A:A,1,FALSE)), "No", "Yes")</f>
        <v>No</v>
      </c>
      <c r="R134" s="29" t="str">
        <f>IF(ISNA(VLOOKUP(A134,'Award Abstract#'!D:D,1,FALSE)), "No", "Yes")</f>
        <v>No</v>
      </c>
      <c r="S134" s="30" t="str">
        <f>VLOOKUP(A134, 'Session Data'!A:AA,27,false)</f>
        <v>Woman</v>
      </c>
      <c r="T134" s="30"/>
      <c r="U134" s="30"/>
      <c r="V134" s="31" t="str">
        <f>VLOOKUP(A134, 'Session Data'!A:AA,8,false)</f>
        <v>Wanjiku</v>
      </c>
      <c r="W134" s="32" t="str">
        <f>VLOOKUP(A134, 'Session Data'!A:AA,9,false)</f>
        <v>Wanjiku</v>
      </c>
      <c r="X134" s="33" t="str">
        <f>VLOOKUP(A134, 'Session Data'!A:AA,12,false)</f>
        <v>Tests of Ghost Introgression into Extant Lineages</v>
      </c>
      <c r="Y134" s="34" t="str">
        <f>VLOOKUP(A134, 'Session Data'!A:AA,22,false)</f>
        <v>Arun </v>
      </c>
      <c r="Z134" s="34" t="str">
        <f>VLOOKUP(A134, 'Session Data'!A:AA,23,false)</f>
        <v>Sethuraman</v>
      </c>
      <c r="AA134" s="34" t="str">
        <f>VLOOKUP(A134, 'Session Data'!A:AA,25,false)</f>
        <v>Sciences</v>
      </c>
      <c r="AB134" s="34"/>
      <c r="AC134" s="34" t="str">
        <f>VLOOKUP(A134, 'Session Data'!A:AA,16,false)</f>
        <v/>
      </c>
      <c r="AD134" s="35" t="str">
        <f>VLOOKUP(A134, 'Session Data'!A:U,17,false)</f>
        <v/>
      </c>
      <c r="AE134" s="35" t="str">
        <f>VLOOKUP(A134, 'Session Data'!A:U,18,false)</f>
        <v/>
      </c>
      <c r="AF134" s="35" t="str">
        <f>VLOOKUP(A134, 'Session Data'!A:U,19,false)</f>
        <v/>
      </c>
      <c r="AG134" s="35" t="str">
        <f>VLOOKUP(A134, 'Session Data'!A:U,20,false)</f>
        <v/>
      </c>
      <c r="AH134" s="35" t="str">
        <f>VLOOKUP(A134, 'Session Data'!A:U,21,false)</f>
        <v/>
      </c>
      <c r="AI134" s="37"/>
      <c r="AJ134" s="37"/>
      <c r="AK134" s="37"/>
      <c r="AL134" s="50"/>
      <c r="AM134" s="34" t="str">
        <f>VLOOKUP(A134, 'Session Data'!A:AA,10,false)</f>
        <v>mwanjiku5135@sdsu.edu</v>
      </c>
      <c r="AN134" s="40"/>
      <c r="AO134" s="38"/>
      <c r="AP134" s="38"/>
      <c r="AQ134" s="38"/>
      <c r="AR134" s="38"/>
      <c r="AS134" s="38"/>
      <c r="AT134" s="38"/>
      <c r="AU134" s="38"/>
      <c r="AV134" s="38"/>
      <c r="AW134" s="38"/>
      <c r="AX134" s="38"/>
      <c r="AY134" s="43"/>
      <c r="AZ134" s="43"/>
      <c r="BA134" s="43"/>
      <c r="BB134" s="43"/>
      <c r="BC134" s="43"/>
      <c r="BD134" s="43"/>
      <c r="BE134" s="44"/>
      <c r="BF134" s="45"/>
      <c r="BG134" s="46"/>
    </row>
    <row r="135">
      <c r="A135" s="19" t="s">
        <v>200</v>
      </c>
      <c r="B135" s="20">
        <f>VLOOKUP(F135,'Session Count DO NOT EDIT'!$A:$C,3,FALSE)</f>
        <v>5</v>
      </c>
      <c r="C135" s="20">
        <f>COUNTIFS('Scores Import DO NOT EDIT'!D:D,A135)</f>
        <v>4</v>
      </c>
      <c r="D135" s="21">
        <f t="shared" si="1"/>
        <v>0.8</v>
      </c>
      <c r="E135" s="22">
        <f>AVERAGEIFS('Scores Import DO NOT EDIT'!L:L,'Scores Import DO NOT EDIT'!D:D,A135)</f>
        <v>33</v>
      </c>
      <c r="F135" s="23" t="str">
        <f>VLOOKUP(A135, 'Session Data'!A:M,3,false)</f>
        <v>C-5</v>
      </c>
      <c r="G135" s="24" t="str">
        <f>VLOOKUP(A135, 'Session Data'!A:I,2,false)</f>
        <v>1:00 PM</v>
      </c>
      <c r="H135" s="23" t="str">
        <f>VLOOKUP(A135, 'Session Data'!A:J,5,false)</f>
        <v>Biological and Agricultural Sciences</v>
      </c>
      <c r="I135" s="25" t="str">
        <f>VLOOKUP(A135, 'Session Data'!A:H,4,false)</f>
        <v>Oral </v>
      </c>
      <c r="J135" s="26" t="str">
        <f>VLOOKUP(A135, 'Session Data'!A:AA,14,false)</f>
        <v>Doctoral</v>
      </c>
      <c r="K135" s="27" t="str">
        <f>VLOOKUP(A135, 'Session Data'!A:AA,15,false)</f>
        <v>Sciences</v>
      </c>
      <c r="L135" s="28" t="s">
        <v>95</v>
      </c>
      <c r="M135" s="29" t="str">
        <f>VLOOKUP(A135, 'Session Data'!A:K,11,false)</f>
        <v>JDP PhD Biology</v>
      </c>
      <c r="N135" s="26" t="str">
        <f>IF(ISNA(VLOOKUP(A135, 'Award Abstract#'!C:C, 1, FALSE)), "No", "Yes")
</f>
        <v>No</v>
      </c>
      <c r="O135" s="29" t="str">
        <f>IF(ISNA(VLOOKUP(A135,'Award Abstract#'!B:B,1,FALSE)), "No", "Yes")</f>
        <v>No</v>
      </c>
      <c r="P135" s="29" t="str">
        <f>IF(ISNA(VLOOKUP(A135,'Award Abstract#'!E:E,1,FALSE)), "No", "Yes")</f>
        <v>No</v>
      </c>
      <c r="Q135" s="29" t="str">
        <f>IF(ISNA(VLOOKUP(A135,'Award Abstract#'!A:A,1,FALSE)), "No", "Yes")</f>
        <v>No</v>
      </c>
      <c r="R135" s="29" t="str">
        <f>IF(ISNA(VLOOKUP(A135,'Award Abstract#'!D:D,1,FALSE)), "No", "Yes")</f>
        <v>No</v>
      </c>
      <c r="S135" s="30" t="str">
        <f>VLOOKUP(A135, 'Session Data'!A:AA,27,false)</f>
        <v>Man</v>
      </c>
      <c r="T135" s="30"/>
      <c r="U135" s="30"/>
      <c r="V135" s="31" t="str">
        <f>VLOOKUP(A135, 'Session Data'!A:AA,8,false)</f>
        <v>Omar</v>
      </c>
      <c r="W135" s="32" t="str">
        <f>VLOOKUP(A135, 'Session Data'!A:AA,9,false)</f>
        <v>Lujano Olazaba</v>
      </c>
      <c r="X135" s="33" t="str">
        <f>VLOOKUP(A135, 'Session Data'!A:AA,12,false)</f>
        <v>The TWEAK-Fn14-NF-κB signaling axis enhances expression of integrin ɑVβ3 in a post-chemotherapy tumor microenvironment.</v>
      </c>
      <c r="Y135" s="34" t="str">
        <f>VLOOKUP(A135, 'Session Data'!A:AA,22,false)</f>
        <v>Carrie </v>
      </c>
      <c r="Z135" s="34" t="str">
        <f>VLOOKUP(A135, 'Session Data'!A:AA,23,false)</f>
        <v>House</v>
      </c>
      <c r="AA135" s="34" t="str">
        <f>VLOOKUP(A135, 'Session Data'!A:AA,25,false)</f>
        <v>Sciences</v>
      </c>
      <c r="AB135" s="34" t="str">
        <f>VLOOKUP(A135, 'Session Data'!A:AA,24,false)</f>
        <v>cdhouse@sdsu.edu</v>
      </c>
      <c r="AC135" s="34" t="str">
        <f>VLOOKUP(A135, 'Session Data'!A:AA,16,false)</f>
        <v/>
      </c>
      <c r="AD135" s="35" t="str">
        <f>VLOOKUP(A135, 'Session Data'!A:U,17,false)</f>
        <v/>
      </c>
      <c r="AE135" s="35" t="str">
        <f>VLOOKUP(A135, 'Session Data'!A:U,18,false)</f>
        <v/>
      </c>
      <c r="AF135" s="35" t="str">
        <f>VLOOKUP(A135, 'Session Data'!A:U,19,false)</f>
        <v/>
      </c>
      <c r="AG135" s="35" t="str">
        <f>VLOOKUP(A135, 'Session Data'!A:U,20,false)</f>
        <v/>
      </c>
      <c r="AH135" s="35" t="str">
        <f>VLOOKUP(A135, 'Session Data'!A:U,21,false)</f>
        <v/>
      </c>
      <c r="AI135" s="37"/>
      <c r="AJ135" s="37"/>
      <c r="AK135" s="37"/>
      <c r="AL135" s="50"/>
      <c r="AM135" s="34" t="str">
        <f>VLOOKUP(A135, 'Session Data'!A:AA,10,false)</f>
        <v>olujano3108@sdsu.edu</v>
      </c>
      <c r="AN135" s="40"/>
      <c r="AO135" s="38"/>
      <c r="AP135" s="38"/>
      <c r="AQ135" s="38"/>
      <c r="AR135" s="38"/>
      <c r="AS135" s="38"/>
      <c r="AT135" s="38"/>
      <c r="AU135" s="38"/>
      <c r="AV135" s="38"/>
      <c r="AW135" s="38"/>
      <c r="AX135" s="38"/>
      <c r="AY135" s="43"/>
      <c r="AZ135" s="43"/>
      <c r="BA135" s="48"/>
      <c r="BB135" s="48"/>
      <c r="BC135" s="43"/>
      <c r="BD135" s="43"/>
      <c r="BE135" s="44"/>
      <c r="BF135" s="45"/>
      <c r="BG135" s="43"/>
    </row>
    <row r="136">
      <c r="A136" s="19" t="s">
        <v>201</v>
      </c>
      <c r="B136" s="20">
        <f>VLOOKUP(F136,'Session Count DO NOT EDIT'!$A:$C,3,FALSE)</f>
        <v>5</v>
      </c>
      <c r="C136" s="20">
        <f>COUNTIFS('Scores Import DO NOT EDIT'!D:D,A136)</f>
        <v>5</v>
      </c>
      <c r="D136" s="21">
        <f t="shared" si="1"/>
        <v>1</v>
      </c>
      <c r="E136" s="22">
        <f>AVERAGEIFS('Scores Import DO NOT EDIT'!L:L,'Scores Import DO NOT EDIT'!D:D,A136)</f>
        <v>30.4</v>
      </c>
      <c r="F136" s="23" t="str">
        <f>VLOOKUP(A136, 'Session Data'!A:M,3,false)</f>
        <v>C-5</v>
      </c>
      <c r="G136" s="24" t="str">
        <f>VLOOKUP(A136, 'Session Data'!A:I,2,false)</f>
        <v>1:00 PM</v>
      </c>
      <c r="H136" s="23" t="str">
        <f>VLOOKUP(A136, 'Session Data'!A:J,5,false)</f>
        <v>Biological and Agricultural Sciences</v>
      </c>
      <c r="I136" s="25" t="str">
        <f>VLOOKUP(A136, 'Session Data'!A:H,4,false)</f>
        <v>Oral </v>
      </c>
      <c r="J136" s="26" t="str">
        <f>VLOOKUP(A136, 'Session Data'!A:AA,14,false)</f>
        <v>Master's</v>
      </c>
      <c r="K136" s="27" t="str">
        <f>VLOOKUP(A136, 'Session Data'!A:AA,15,false)</f>
        <v>Sciences</v>
      </c>
      <c r="L136" s="28"/>
      <c r="M136" s="29" t="str">
        <f>VLOOKUP(A136, 'Session Data'!A:K,11,false)</f>
        <v>Cell and Molecular Biology</v>
      </c>
      <c r="N136" s="26" t="str">
        <f>IF(ISNA(VLOOKUP(A136, 'Award Abstract#'!C:C, 1, FALSE)), "No", "Yes")
</f>
        <v>No</v>
      </c>
      <c r="O136" s="29" t="str">
        <f>IF(ISNA(VLOOKUP(A136,'Award Abstract#'!B:B,1,FALSE)), "No", "Yes")</f>
        <v>No</v>
      </c>
      <c r="P136" s="29" t="str">
        <f>IF(ISNA(VLOOKUP(A136,'Award Abstract#'!E:E,1,FALSE)), "No", "Yes")</f>
        <v>No</v>
      </c>
      <c r="Q136" s="29" t="str">
        <f>IF(ISNA(VLOOKUP(A136,'Award Abstract#'!A:A,1,FALSE)), "No", "Yes")</f>
        <v>No</v>
      </c>
      <c r="R136" s="29" t="str">
        <f>IF(ISNA(VLOOKUP(A136,'Award Abstract#'!D:D,1,FALSE)), "No", "Yes")</f>
        <v>Yes</v>
      </c>
      <c r="S136" s="30" t="str">
        <f>VLOOKUP(A136, 'Session Data'!A:AA,27,false)</f>
        <v>Woman</v>
      </c>
      <c r="T136" s="30"/>
      <c r="U136" s="30"/>
      <c r="V136" s="31" t="str">
        <f>VLOOKUP(A136, 'Session Data'!A:AA,8,false)</f>
        <v>Ebru</v>
      </c>
      <c r="W136" s="32" t="str">
        <f>VLOOKUP(A136, 'Session Data'!A:AA,9,false)</f>
        <v>Robinson</v>
      </c>
      <c r="X136" s="33" t="str">
        <f>VLOOKUP(A136, 'Session Data'!A:AA,12,false)</f>
        <v>The Role of the Drosophila Muscle Gene CG42319 in Muscle Development and Function</v>
      </c>
      <c r="Y136" s="34" t="str">
        <f>VLOOKUP(A136, 'Session Data'!A:AA,22,false)</f>
        <v>Richard M.</v>
      </c>
      <c r="Z136" s="34" t="str">
        <f>VLOOKUP(A136, 'Session Data'!A:AA,23,false)</f>
        <v>Cripps</v>
      </c>
      <c r="AA136" s="34" t="str">
        <f>VLOOKUP(A136, 'Session Data'!A:AA,25,false)</f>
        <v>Sciences</v>
      </c>
      <c r="AB136" s="34"/>
      <c r="AC136" s="34" t="str">
        <f>VLOOKUP(A136, 'Session Data'!A:AA,16,false)</f>
        <v>Sarah</v>
      </c>
      <c r="AD136" s="35" t="str">
        <f>VLOOKUP(A136, 'Session Data'!A:U,17,false)</f>
        <v>Mason</v>
      </c>
      <c r="AE136" s="35" t="str">
        <f>VLOOKUP(A136, 'Session Data'!A:U,18,false)</f>
        <v/>
      </c>
      <c r="AF136" s="35" t="str">
        <f>VLOOKUP(A136, 'Session Data'!A:U,19,false)</f>
        <v/>
      </c>
      <c r="AG136" s="35" t="str">
        <f>VLOOKUP(A136, 'Session Data'!A:U,20,false)</f>
        <v/>
      </c>
      <c r="AH136" s="35" t="str">
        <f>VLOOKUP(A136, 'Session Data'!A:U,21,false)</f>
        <v/>
      </c>
      <c r="AI136" s="37"/>
      <c r="AJ136" s="37"/>
      <c r="AK136" s="37"/>
      <c r="AL136" s="50"/>
      <c r="AM136" s="34" t="str">
        <f>VLOOKUP(A136, 'Session Data'!A:AA,10,false)</f>
        <v>eyildiz@sdsu.edu</v>
      </c>
      <c r="AN136" s="40"/>
      <c r="AO136" s="38"/>
      <c r="AP136" s="38"/>
      <c r="AQ136" s="38"/>
      <c r="AR136" s="38"/>
      <c r="AS136" s="38"/>
      <c r="AT136" s="38"/>
      <c r="AU136" s="38"/>
      <c r="AV136" s="38"/>
      <c r="AW136" s="38"/>
      <c r="AX136" s="38"/>
      <c r="AY136" s="43"/>
      <c r="AZ136" s="43"/>
      <c r="BA136" s="43"/>
      <c r="BB136" s="43"/>
      <c r="BC136" s="43"/>
      <c r="BD136" s="43"/>
      <c r="BE136" s="44"/>
      <c r="BF136" s="45"/>
      <c r="BG136" s="43"/>
    </row>
    <row r="137">
      <c r="A137" s="19" t="s">
        <v>202</v>
      </c>
      <c r="B137" s="20">
        <f>VLOOKUP(F137,'Session Count DO NOT EDIT'!$A:$C,3,FALSE)</f>
        <v>5</v>
      </c>
      <c r="C137" s="20">
        <f>COUNTIFS('Scores Import DO NOT EDIT'!D:D,A137)</f>
        <v>4</v>
      </c>
      <c r="D137" s="21">
        <f t="shared" si="1"/>
        <v>0.8</v>
      </c>
      <c r="E137" s="22">
        <f>AVERAGEIFS('Scores Import DO NOT EDIT'!L:L,'Scores Import DO NOT EDIT'!D:D,A137)</f>
        <v>28</v>
      </c>
      <c r="F137" s="23" t="str">
        <f>VLOOKUP(A137, 'Session Data'!A:M,3,false)</f>
        <v>C-5</v>
      </c>
      <c r="G137" s="24" t="str">
        <f>VLOOKUP(A137, 'Session Data'!A:I,2,false)</f>
        <v>1:00 PM</v>
      </c>
      <c r="H137" s="23" t="str">
        <f>VLOOKUP(A137, 'Session Data'!A:J,5,false)</f>
        <v>Biological and Agricultural Sciences</v>
      </c>
      <c r="I137" s="25" t="str">
        <f>VLOOKUP(A137, 'Session Data'!A:H,4,false)</f>
        <v>Oral </v>
      </c>
      <c r="J137" s="26" t="str">
        <f>VLOOKUP(A137, 'Session Data'!A:AA,14,false)</f>
        <v>Doctoral</v>
      </c>
      <c r="K137" s="27" t="str">
        <f>VLOOKUP(A137, 'Session Data'!A:AA,15,false)</f>
        <v>Sciences</v>
      </c>
      <c r="L137" s="28"/>
      <c r="M137" s="29" t="str">
        <f>VLOOKUP(A137, 'Session Data'!A:K,11,false)</f>
        <v>PhD/PhD Cell and Molecular Biology</v>
      </c>
      <c r="N137" s="26" t="str">
        <f>IF(ISNA(VLOOKUP(A137, 'Award Abstract#'!C:C, 1, FALSE)), "No", "Yes")
</f>
        <v>No</v>
      </c>
      <c r="O137" s="29" t="str">
        <f>IF(ISNA(VLOOKUP(A137,'Award Abstract#'!B:B,1,FALSE)), "No", "Yes")</f>
        <v>No</v>
      </c>
      <c r="P137" s="29" t="str">
        <f>IF(ISNA(VLOOKUP(A137,'Award Abstract#'!E:E,1,FALSE)), "No", "Yes")</f>
        <v>No</v>
      </c>
      <c r="Q137" s="29" t="str">
        <f>IF(ISNA(VLOOKUP(A137,'Award Abstract#'!A:A,1,FALSE)), "No", "Yes")</f>
        <v>No</v>
      </c>
      <c r="R137" s="29" t="str">
        <f>IF(ISNA(VLOOKUP(A137,'Award Abstract#'!D:D,1,FALSE)), "No", "Yes")</f>
        <v>No</v>
      </c>
      <c r="S137" s="30" t="str">
        <f>VLOOKUP(A137, 'Session Data'!A:AA,27,false)</f>
        <v>Woman</v>
      </c>
      <c r="T137" s="30"/>
      <c r="U137" s="30"/>
      <c r="V137" s="31" t="str">
        <f>VLOOKUP(A137, 'Session Data'!A:AA,8,false)</f>
        <v>Elizabeth</v>
      </c>
      <c r="W137" s="32" t="str">
        <f>VLOOKUP(A137, 'Session Data'!A:AA,9,false)</f>
        <v>Trujillo</v>
      </c>
      <c r="X137" s="33" t="str">
        <f>VLOOKUP(A137, 'Session Data'!A:AA,12,false)</f>
        <v>Enhanced expression of the myogenic factor Myocyte enhancer factor-2 in imaginal disc myoblasts activates a partial, but incomplete, muscle development program</v>
      </c>
      <c r="Y137" s="34" t="str">
        <f>VLOOKUP(A137, 'Session Data'!A:AA,22,false)</f>
        <v>Richard</v>
      </c>
      <c r="Z137" s="34" t="str">
        <f>VLOOKUP(A137, 'Session Data'!A:AA,23,false)</f>
        <v>Cripps</v>
      </c>
      <c r="AA137" s="34" t="str">
        <f>VLOOKUP(A137, 'Session Data'!A:AA,25,false)</f>
        <v>Sciences</v>
      </c>
      <c r="AB137" s="34"/>
      <c r="AC137" s="34" t="str">
        <f>VLOOKUP(A137, 'Session Data'!A:AA,16,false)</f>
        <v/>
      </c>
      <c r="AD137" s="35" t="str">
        <f>VLOOKUP(A137, 'Session Data'!A:U,17,false)</f>
        <v/>
      </c>
      <c r="AE137" s="35" t="str">
        <f>VLOOKUP(A137, 'Session Data'!A:U,18,false)</f>
        <v/>
      </c>
      <c r="AF137" s="35" t="str">
        <f>VLOOKUP(A137, 'Session Data'!A:U,19,false)</f>
        <v/>
      </c>
      <c r="AG137" s="35" t="str">
        <f>VLOOKUP(A137, 'Session Data'!A:U,20,false)</f>
        <v/>
      </c>
      <c r="AH137" s="35" t="str">
        <f>VLOOKUP(A137, 'Session Data'!A:U,21,false)</f>
        <v/>
      </c>
      <c r="AI137" s="37"/>
      <c r="AJ137" s="37"/>
      <c r="AK137" s="37"/>
      <c r="AL137" s="50"/>
      <c r="AM137" s="34" t="str">
        <f>VLOOKUP(A137, 'Session Data'!A:AA,10,false)</f>
        <v>emunguia5921@sdsu.edu</v>
      </c>
      <c r="AN137" s="40"/>
      <c r="AO137" s="38"/>
      <c r="AP137" s="38"/>
      <c r="AQ137" s="38"/>
      <c r="AR137" s="38"/>
      <c r="AS137" s="38"/>
      <c r="AT137" s="38"/>
      <c r="AU137" s="38"/>
      <c r="AV137" s="38"/>
      <c r="AW137" s="38"/>
      <c r="AX137" s="38"/>
      <c r="AY137" s="43"/>
      <c r="AZ137" s="43"/>
      <c r="BA137" s="43"/>
      <c r="BB137" s="43"/>
      <c r="BC137" s="43"/>
      <c r="BD137" s="43"/>
      <c r="BE137" s="44"/>
      <c r="BF137" s="45"/>
      <c r="BG137" s="43"/>
    </row>
    <row r="138">
      <c r="A138" s="19" t="s">
        <v>203</v>
      </c>
      <c r="B138" s="20">
        <f>VLOOKUP(F138,'Session Count DO NOT EDIT'!$A:$C,3,FALSE)</f>
        <v>5</v>
      </c>
      <c r="C138" s="20">
        <f>COUNTIFS('Scores Import DO NOT EDIT'!D:D,A138)</f>
        <v>4</v>
      </c>
      <c r="D138" s="21">
        <f t="shared" si="1"/>
        <v>0.8</v>
      </c>
      <c r="E138" s="22">
        <f>AVERAGEIFS('Scores Import DO NOT EDIT'!L:L,'Scores Import DO NOT EDIT'!D:D,A138)</f>
        <v>27.5</v>
      </c>
      <c r="F138" s="23" t="str">
        <f>VLOOKUP(A138, 'Session Data'!A:M,3,false)</f>
        <v>C-5</v>
      </c>
      <c r="G138" s="24" t="str">
        <f>VLOOKUP(A138, 'Session Data'!A:I,2,false)</f>
        <v>1:00 PM</v>
      </c>
      <c r="H138" s="23" t="str">
        <f>VLOOKUP(A138, 'Session Data'!A:J,5,false)</f>
        <v>Biological and Agricultural Sciences</v>
      </c>
      <c r="I138" s="25" t="str">
        <f>VLOOKUP(A138, 'Session Data'!A:H,4,false)</f>
        <v>Oral </v>
      </c>
      <c r="J138" s="26" t="str">
        <f>VLOOKUP(A138, 'Session Data'!A:AA,14,false)</f>
        <v>Doctoral</v>
      </c>
      <c r="K138" s="27" t="str">
        <f>VLOOKUP(A138, 'Session Data'!A:AA,15,false)</f>
        <v>Sciences</v>
      </c>
      <c r="L138" s="28"/>
      <c r="M138" s="29" t="str">
        <f>VLOOKUP(A138, 'Session Data'!A:K,11,false)</f>
        <v> Doctor of Philosophy in Chemistry</v>
      </c>
      <c r="N138" s="26" t="str">
        <f>IF(ISNA(VLOOKUP(A138, 'Award Abstract#'!C:C, 1, FALSE)), "No", "Yes")
</f>
        <v>No</v>
      </c>
      <c r="O138" s="29" t="str">
        <f>IF(ISNA(VLOOKUP(A138,'Award Abstract#'!B:B,1,FALSE)), "No", "Yes")</f>
        <v>No</v>
      </c>
      <c r="P138" s="29" t="str">
        <f>IF(ISNA(VLOOKUP(A138,'Award Abstract#'!E:E,1,FALSE)), "No", "Yes")</f>
        <v>No</v>
      </c>
      <c r="Q138" s="29" t="str">
        <f>IF(ISNA(VLOOKUP(A138,'Award Abstract#'!A:A,1,FALSE)), "No", "Yes")</f>
        <v>No</v>
      </c>
      <c r="R138" s="29" t="str">
        <f>IF(ISNA(VLOOKUP(A138,'Award Abstract#'!D:D,1,FALSE)), "No", "Yes")</f>
        <v>No</v>
      </c>
      <c r="S138" s="30" t="str">
        <f>VLOOKUP(A138, 'Session Data'!A:AA,27,false)</f>
        <v>Woman</v>
      </c>
      <c r="T138" s="30"/>
      <c r="U138" s="30"/>
      <c r="V138" s="31" t="str">
        <f>VLOOKUP(A138, 'Session Data'!A:AA,8,false)</f>
        <v>Sally</v>
      </c>
      <c r="W138" s="32" t="str">
        <f>VLOOKUP(A138, 'Session Data'!A:AA,9,false)</f>
        <v>Luong</v>
      </c>
      <c r="X138" s="33" t="str">
        <f>VLOOKUP(A138, 'Session Data'!A:AA,12,false)</f>
        <v>The generation of an engineered HEK293T cell line bearing mutant NEMO incapable of binding to secondary binding site</v>
      </c>
      <c r="Y138" s="34" t="str">
        <f>VLOOKUP(A138, 'Session Data'!A:AA,22,false)</f>
        <v>Tom</v>
      </c>
      <c r="Z138" s="34" t="str">
        <f>VLOOKUP(A138, 'Session Data'!A:AA,23,false)</f>
        <v>Huxford</v>
      </c>
      <c r="AA138" s="34" t="str">
        <f>VLOOKUP(A138, 'Session Data'!A:AA,25,false)</f>
        <v>Sciences</v>
      </c>
      <c r="AB138" s="34"/>
      <c r="AC138" s="34" t="str">
        <f>VLOOKUP(A138, 'Session Data'!A:AA,16,false)</f>
        <v/>
      </c>
      <c r="AD138" s="35" t="str">
        <f>VLOOKUP(A138, 'Session Data'!A:U,17,false)</f>
        <v/>
      </c>
      <c r="AE138" s="35" t="str">
        <f>VLOOKUP(A138, 'Session Data'!A:U,18,false)</f>
        <v/>
      </c>
      <c r="AF138" s="35" t="str">
        <f>VLOOKUP(A138, 'Session Data'!A:U,19,false)</f>
        <v/>
      </c>
      <c r="AG138" s="35" t="str">
        <f>VLOOKUP(A138, 'Session Data'!A:U,20,false)</f>
        <v/>
      </c>
      <c r="AH138" s="35" t="str">
        <f>VLOOKUP(A138, 'Session Data'!A:U,21,false)</f>
        <v/>
      </c>
      <c r="AI138" s="37"/>
      <c r="AJ138" s="37"/>
      <c r="AK138" s="37"/>
      <c r="AL138" s="50"/>
      <c r="AM138" s="34" t="str">
        <f>VLOOKUP(A138, 'Session Data'!A:AA,10,false)</f>
        <v>sluong@sdsu.edu</v>
      </c>
      <c r="AN138" s="40"/>
      <c r="AO138" s="38"/>
      <c r="AP138" s="38"/>
      <c r="AQ138" s="38"/>
      <c r="AR138" s="38"/>
      <c r="AS138" s="38"/>
      <c r="AT138" s="38"/>
      <c r="AU138" s="38"/>
      <c r="AV138" s="38"/>
      <c r="AW138" s="38"/>
      <c r="AX138" s="38"/>
      <c r="AY138" s="43"/>
      <c r="AZ138" s="43"/>
      <c r="BA138" s="48"/>
      <c r="BB138" s="48"/>
      <c r="BC138" s="43"/>
      <c r="BD138" s="43"/>
      <c r="BE138" s="44"/>
      <c r="BF138" s="45"/>
      <c r="BG138" s="43"/>
    </row>
    <row r="139">
      <c r="A139" s="19" t="s">
        <v>204</v>
      </c>
      <c r="B139" s="20">
        <f>VLOOKUP(F139,'Session Count DO NOT EDIT'!$A:$C,3,FALSE)</f>
        <v>5</v>
      </c>
      <c r="C139" s="20">
        <f>COUNTIFS('Scores Import DO NOT EDIT'!D:D,A139)</f>
        <v>4</v>
      </c>
      <c r="D139" s="21">
        <f t="shared" si="1"/>
        <v>0.8</v>
      </c>
      <c r="E139" s="22">
        <f>AVERAGEIFS('Scores Import DO NOT EDIT'!L:L,'Scores Import DO NOT EDIT'!D:D,A139)</f>
        <v>27.25</v>
      </c>
      <c r="F139" s="23" t="str">
        <f>VLOOKUP(A139, 'Session Data'!A:M,3,false)</f>
        <v>C-6</v>
      </c>
      <c r="G139" s="24" t="str">
        <f>VLOOKUP(A139, 'Session Data'!A:I,2,false)</f>
        <v>1:00 PM</v>
      </c>
      <c r="H139" s="23" t="str">
        <f>VLOOKUP(A139, 'Session Data'!A:J,5,false)</f>
        <v>Humanities, History, Literature, Philosophy</v>
      </c>
      <c r="I139" s="25" t="str">
        <f>VLOOKUP(A139, 'Session Data'!A:H,4,false)</f>
        <v>Oral </v>
      </c>
      <c r="J139" s="26" t="str">
        <f>VLOOKUP(A139, 'Session Data'!A:AA,14,false)</f>
        <v>Master's</v>
      </c>
      <c r="K139" s="27" t="str">
        <f>VLOOKUP(A139, 'Session Data'!A:AA,15,false)</f>
        <v>Arts and Letters</v>
      </c>
      <c r="L139" s="79"/>
      <c r="M139" s="29" t="str">
        <f>VLOOKUP(A139, 'Session Data'!A:K,11,false)</f>
        <v>Applied Linguistics</v>
      </c>
      <c r="N139" s="26" t="str">
        <f>IF(ISNA(VLOOKUP(A139, 'Award Abstract#'!C:C, 1, FALSE)), "No", "Yes")
</f>
        <v>No</v>
      </c>
      <c r="O139" s="29" t="str">
        <f>IF(ISNA(VLOOKUP(A139,'Award Abstract#'!B:B,1,FALSE)), "No", "Yes")</f>
        <v>Yes</v>
      </c>
      <c r="P139" s="29" t="str">
        <f>IF(ISNA(VLOOKUP(A139,'Award Abstract#'!E:E,1,FALSE)), "No", "Yes")</f>
        <v>No</v>
      </c>
      <c r="Q139" s="29" t="str">
        <f>IF(ISNA(VLOOKUP(A139,'Award Abstract#'!A:A,1,FALSE)), "No", "Yes")</f>
        <v>No</v>
      </c>
      <c r="R139" s="29" t="str">
        <f>IF(ISNA(VLOOKUP(A139,'Award Abstract#'!D:D,1,FALSE)), "No", "Yes")</f>
        <v>Yes</v>
      </c>
      <c r="S139" s="30" t="str">
        <f>VLOOKUP(A139, 'Session Data'!A:AA,27,false)</f>
        <v>Woman</v>
      </c>
      <c r="T139" s="30"/>
      <c r="U139" s="30"/>
      <c r="V139" s="31" t="str">
        <f>VLOOKUP(A139, 'Session Data'!A:AA,8,false)</f>
        <v>Ana Sofia </v>
      </c>
      <c r="W139" s="32" t="str">
        <f>VLOOKUP(A139, 'Session Data'!A:AA,9,false)</f>
        <v>Ana Sofia Montes Aguila</v>
      </c>
      <c r="X139" s="33" t="str">
        <f>VLOOKUP(A139, 'Session Data'!A:AA,12,false)</f>
        <v>Representation of Mexican protests and protesters against attacks on women: a CDA and transitivity analysis to uncover ideology conveyed by news outlets</v>
      </c>
      <c r="Y139" s="34" t="str">
        <f>VLOOKUP(A139, 'Session Data'!A:AA,22,false)</f>
        <v>Betty</v>
      </c>
      <c r="Z139" s="34" t="str">
        <f>VLOOKUP(A139, 'Session Data'!A:AA,23,false)</f>
        <v>Samraj</v>
      </c>
      <c r="AA139" s="34" t="str">
        <f>VLOOKUP(A139, 'Session Data'!A:AA,25,false)</f>
        <v>Arts and Letters</v>
      </c>
      <c r="AB139" s="34" t="str">
        <f>VLOOKUP(A139, 'Session Data'!A:AA,24,false)</f>
        <v>bsamraj@sdsu.edu</v>
      </c>
      <c r="AC139" s="34" t="str">
        <f>VLOOKUP(A139, 'Session Data'!A:AA,16,false)</f>
        <v/>
      </c>
      <c r="AD139" s="35" t="str">
        <f>VLOOKUP(A139, 'Session Data'!A:U,17,false)</f>
        <v/>
      </c>
      <c r="AE139" s="35" t="str">
        <f>VLOOKUP(A139, 'Session Data'!A:U,18,false)</f>
        <v/>
      </c>
      <c r="AF139" s="35" t="str">
        <f>VLOOKUP(A139, 'Session Data'!A:U,19,false)</f>
        <v/>
      </c>
      <c r="AG139" s="35" t="str">
        <f>VLOOKUP(A139, 'Session Data'!A:U,20,false)</f>
        <v/>
      </c>
      <c r="AH139" s="35" t="str">
        <f>VLOOKUP(A139, 'Session Data'!A:U,21,false)</f>
        <v/>
      </c>
      <c r="AI139" s="37"/>
      <c r="AJ139" s="37"/>
      <c r="AK139" s="37"/>
      <c r="AL139" s="50"/>
      <c r="AM139" s="34" t="str">
        <f>VLOOKUP(A139, 'Session Data'!A:AA,10,false)</f>
        <v>amontesaguila4874@sdsu.edu</v>
      </c>
      <c r="AN139" s="40"/>
      <c r="AO139" s="38"/>
      <c r="AP139" s="38"/>
      <c r="AQ139" s="38"/>
      <c r="AR139" s="38"/>
      <c r="AS139" s="38"/>
      <c r="AT139" s="38"/>
      <c r="AU139" s="38"/>
      <c r="AV139" s="38"/>
      <c r="AW139" s="38"/>
      <c r="AX139" s="38"/>
      <c r="AY139" s="43"/>
      <c r="AZ139" s="43"/>
      <c r="BA139" s="43"/>
      <c r="BB139" s="43"/>
      <c r="BC139" s="43"/>
      <c r="BD139" s="43"/>
      <c r="BE139" s="44"/>
      <c r="BF139" s="45"/>
      <c r="BG139" s="43"/>
    </row>
    <row r="140">
      <c r="A140" s="19" t="s">
        <v>205</v>
      </c>
      <c r="B140" s="20">
        <f>VLOOKUP(F140,'Session Count DO NOT EDIT'!$A:$C,3,FALSE)</f>
        <v>5</v>
      </c>
      <c r="C140" s="20">
        <f>COUNTIFS('Scores Import DO NOT EDIT'!D:D,A140)</f>
        <v>5</v>
      </c>
      <c r="D140" s="21">
        <f t="shared" si="1"/>
        <v>1</v>
      </c>
      <c r="E140" s="22">
        <f>AVERAGEIFS('Scores Import DO NOT EDIT'!L:L,'Scores Import DO NOT EDIT'!D:D,A140)</f>
        <v>27.8</v>
      </c>
      <c r="F140" s="23" t="str">
        <f>VLOOKUP(A140, 'Session Data'!A:M,3,false)</f>
        <v>C-6</v>
      </c>
      <c r="G140" s="24" t="str">
        <f>VLOOKUP(A140, 'Session Data'!A:I,2,false)</f>
        <v>1:00 PM</v>
      </c>
      <c r="H140" s="23" t="str">
        <f>VLOOKUP(A140, 'Session Data'!A:J,5,false)</f>
        <v>Humanities, History, Literature, Philosophy</v>
      </c>
      <c r="I140" s="25" t="str">
        <f>VLOOKUP(A140, 'Session Data'!A:H,4,false)</f>
        <v>Oral </v>
      </c>
      <c r="J140" s="26" t="str">
        <f>VLOOKUP(A140, 'Session Data'!A:AA,14,false)</f>
        <v>Master's</v>
      </c>
      <c r="K140" s="27" t="str">
        <f>VLOOKUP(A140, 'Session Data'!A:AA,15,false)</f>
        <v>Arts and Letters</v>
      </c>
      <c r="L140" s="28"/>
      <c r="M140" s="29" t="str">
        <f>VLOOKUP(A140, 'Session Data'!A:K,11,false)</f>
        <v>Master of Music in Vocal Performance</v>
      </c>
      <c r="N140" s="26" t="str">
        <f>IF(ISNA(VLOOKUP(A140, 'Award Abstract#'!C:C, 1, FALSE)), "No", "Yes")
</f>
        <v>No</v>
      </c>
      <c r="O140" s="29" t="str">
        <f>IF(ISNA(VLOOKUP(A140,'Award Abstract#'!B:B,1,FALSE)), "No", "Yes")</f>
        <v>No</v>
      </c>
      <c r="P140" s="29" t="str">
        <f>IF(ISNA(VLOOKUP(A140,'Award Abstract#'!E:E,1,FALSE)), "No", "Yes")</f>
        <v>No</v>
      </c>
      <c r="Q140" s="29" t="str">
        <f>IF(ISNA(VLOOKUP(A140,'Award Abstract#'!A:A,1,FALSE)), "No", "Yes")</f>
        <v>No</v>
      </c>
      <c r="R140" s="29" t="str">
        <f>IF(ISNA(VLOOKUP(A140,'Award Abstract#'!D:D,1,FALSE)), "No", "Yes")</f>
        <v>No</v>
      </c>
      <c r="S140" s="30" t="str">
        <f>VLOOKUP(A140, 'Session Data'!A:AA,27,false)</f>
        <v>Man</v>
      </c>
      <c r="T140" s="30"/>
      <c r="U140" s="30"/>
      <c r="V140" s="31" t="str">
        <f>VLOOKUP(A140, 'Session Data'!A:AA,8,false)</f>
        <v>Nathan</v>
      </c>
      <c r="W140" s="32" t="str">
        <f>VLOOKUP(A140, 'Session Data'!A:AA,9,false)</f>
        <v>Villamor</v>
      </c>
      <c r="X140" s="33" t="str">
        <f>VLOOKUP(A140, 'Session Data'!A:AA,12,false)</f>
        <v>The Shining Nights of High Summer: Affect in the Composition and Performance of Art Song</v>
      </c>
      <c r="Y140" s="34" t="str">
        <f>VLOOKUP(A140, 'Session Data'!A:AA,22,false)</f>
        <v>Eric</v>
      </c>
      <c r="Z140" s="34" t="str">
        <f>VLOOKUP(A140, 'Session Data'!A:AA,23,false)</f>
        <v>Smigel</v>
      </c>
      <c r="AA140" s="34" t="str">
        <f>VLOOKUP(A140, 'Session Data'!A:AA,25,false)</f>
        <v>Arts and Letters</v>
      </c>
      <c r="AB140" s="34" t="str">
        <f>VLOOKUP(A140, 'Session Data'!A:AA,24,false)</f>
        <v>esmigel@sdsu.edu</v>
      </c>
      <c r="AC140" s="34" t="str">
        <f>VLOOKUP(A140, 'Session Data'!A:AA,16,false)</f>
        <v/>
      </c>
      <c r="AD140" s="35" t="str">
        <f>VLOOKUP(A140, 'Session Data'!A:U,17,false)</f>
        <v/>
      </c>
      <c r="AE140" s="35" t="str">
        <f>VLOOKUP(A140, 'Session Data'!A:U,18,false)</f>
        <v/>
      </c>
      <c r="AF140" s="35" t="str">
        <f>VLOOKUP(A140, 'Session Data'!A:U,19,false)</f>
        <v/>
      </c>
      <c r="AG140" s="35" t="str">
        <f>VLOOKUP(A140, 'Session Data'!A:U,20,false)</f>
        <v/>
      </c>
      <c r="AH140" s="35" t="str">
        <f>VLOOKUP(A140, 'Session Data'!A:U,21,false)</f>
        <v/>
      </c>
      <c r="AI140" s="37"/>
      <c r="AJ140" s="37"/>
      <c r="AK140" s="37"/>
      <c r="AL140" s="50"/>
      <c r="AM140" s="34" t="str">
        <f>VLOOKUP(A140, 'Session Data'!A:AA,10,false)</f>
        <v>nvillamor8205@sdsu.edu</v>
      </c>
      <c r="AN140" s="40"/>
      <c r="AO140" s="38"/>
      <c r="AP140" s="38"/>
      <c r="AQ140" s="38"/>
      <c r="AR140" s="38"/>
      <c r="AS140" s="38"/>
      <c r="AT140" s="38"/>
      <c r="AU140" s="38"/>
      <c r="AV140" s="38"/>
      <c r="AW140" s="38"/>
      <c r="AX140" s="38"/>
      <c r="AY140" s="43"/>
      <c r="AZ140" s="43"/>
      <c r="BA140" s="48"/>
      <c r="BB140" s="48"/>
      <c r="BC140" s="43"/>
      <c r="BD140" s="43"/>
      <c r="BE140" s="44"/>
      <c r="BF140" s="45"/>
      <c r="BG140" s="43"/>
    </row>
    <row r="141">
      <c r="A141" s="19" t="s">
        <v>206</v>
      </c>
      <c r="B141" s="20">
        <f>VLOOKUP(F141,'Session Count DO NOT EDIT'!$A:$C,3,FALSE)</f>
        <v>5</v>
      </c>
      <c r="C141" s="20">
        <f>COUNTIFS('Scores Import DO NOT EDIT'!D:D,A141)</f>
        <v>4</v>
      </c>
      <c r="D141" s="21">
        <f t="shared" si="1"/>
        <v>0.8</v>
      </c>
      <c r="E141" s="22">
        <f>AVERAGEIFS('Scores Import DO NOT EDIT'!L:L,'Scores Import DO NOT EDIT'!D:D,A141)</f>
        <v>27.75</v>
      </c>
      <c r="F141" s="23" t="str">
        <f>VLOOKUP(A141, 'Session Data'!A:M,3,false)</f>
        <v>C-6</v>
      </c>
      <c r="G141" s="24" t="str">
        <f>VLOOKUP(A141, 'Session Data'!A:I,2,false)</f>
        <v>1:00 PM</v>
      </c>
      <c r="H141" s="23" t="str">
        <f>VLOOKUP(A141, 'Session Data'!A:J,5,false)</f>
        <v>Humanities, History, Literature, Philosophy</v>
      </c>
      <c r="I141" s="25" t="str">
        <f>VLOOKUP(A141, 'Session Data'!A:H,4,false)</f>
        <v>Oral </v>
      </c>
      <c r="J141" s="26" t="str">
        <f>VLOOKUP(A141, 'Session Data'!A:AA,14,false)</f>
        <v>Master's</v>
      </c>
      <c r="K141" s="27" t="str">
        <f>VLOOKUP(A141, 'Session Data'!A:AA,15,false)</f>
        <v>Professional Studies and Fine Arts</v>
      </c>
      <c r="L141" s="47"/>
      <c r="M141" s="29" t="str">
        <f>VLOOKUP(A141, 'Session Data'!A:K,11,false)</f>
        <v>Masters of Arts in Theatre Arts</v>
      </c>
      <c r="N141" s="26" t="str">
        <f>IF(ISNA(VLOOKUP(A141, 'Award Abstract#'!C:C, 1, FALSE)), "No", "Yes")
</f>
        <v>No</v>
      </c>
      <c r="O141" s="29" t="str">
        <f>IF(ISNA(VLOOKUP(A141,'Award Abstract#'!B:B,1,FALSE)), "No", "Yes")</f>
        <v>No</v>
      </c>
      <c r="P141" s="29" t="str">
        <f>IF(ISNA(VLOOKUP(A141,'Award Abstract#'!E:E,1,FALSE)), "No", "Yes")</f>
        <v>No</v>
      </c>
      <c r="Q141" s="29" t="str">
        <f>IF(ISNA(VLOOKUP(A141,'Award Abstract#'!A:A,1,FALSE)), "No", "Yes")</f>
        <v>No</v>
      </c>
      <c r="R141" s="29" t="str">
        <f>IF(ISNA(VLOOKUP(A141,'Award Abstract#'!D:D,1,FALSE)), "No", "Yes")</f>
        <v>Yes</v>
      </c>
      <c r="S141" s="30" t="str">
        <f>VLOOKUP(A141, 'Session Data'!A:AA,27,false)</f>
        <v>Woman, Non-binary/non-conforming</v>
      </c>
      <c r="T141" s="30"/>
      <c r="U141" s="30"/>
      <c r="V141" s="31" t="str">
        <f>VLOOKUP(A141, 'Session Data'!A:AA,8,false)</f>
        <v>Robyn</v>
      </c>
      <c r="W141" s="32" t="str">
        <f>VLOOKUP(A141, 'Session Data'!A:AA,9,false)</f>
        <v>Wilkinson</v>
      </c>
      <c r="X141" s="33" t="str">
        <f>VLOOKUP(A141, 'Session Data'!A:AA,12,false)</f>
        <v>Melodrama Meltdown: How National Tensions over Legal Slavery Influenced the Characterization of Law and Justice in 1800s Melodrama.</v>
      </c>
      <c r="Y141" s="34" t="str">
        <f>VLOOKUP(A141, 'Session Data'!A:AA,22,false)</f>
        <v>Shelley</v>
      </c>
      <c r="Z141" s="34" t="str">
        <f>VLOOKUP(A141, 'Session Data'!A:AA,23,false)</f>
        <v>Orr</v>
      </c>
      <c r="AA141" s="34" t="str">
        <f>VLOOKUP(A141, 'Session Data'!A:AA,25,false)</f>
        <v>Professional Studies and Fine Arts</v>
      </c>
      <c r="AB141" s="34" t="str">
        <f>VLOOKUP(A141, 'Session Data'!A:AA,24,false)</f>
        <v>morr@sdsu.edu</v>
      </c>
      <c r="AC141" s="34" t="str">
        <f>VLOOKUP(A141, 'Session Data'!A:AA,16,false)</f>
        <v/>
      </c>
      <c r="AD141" s="35" t="str">
        <f>VLOOKUP(A141, 'Session Data'!A:U,17,false)</f>
        <v/>
      </c>
      <c r="AE141" s="35" t="str">
        <f>VLOOKUP(A141, 'Session Data'!A:U,18,false)</f>
        <v/>
      </c>
      <c r="AF141" s="35" t="str">
        <f>VLOOKUP(A141, 'Session Data'!A:U,19,false)</f>
        <v/>
      </c>
      <c r="AG141" s="35" t="str">
        <f>VLOOKUP(A141, 'Session Data'!A:U,20,false)</f>
        <v/>
      </c>
      <c r="AH141" s="35" t="str">
        <f>VLOOKUP(A141, 'Session Data'!A:U,21,false)</f>
        <v/>
      </c>
      <c r="AI141" s="37"/>
      <c r="AJ141" s="37"/>
      <c r="AK141" s="37"/>
      <c r="AL141" s="50"/>
      <c r="AM141" s="34" t="str">
        <f>VLOOKUP(A141, 'Session Data'!A:AA,10,false)</f>
        <v>rwilkinson2626@sdsu.edu</v>
      </c>
      <c r="AN141" s="40"/>
      <c r="AO141" s="38"/>
      <c r="AP141" s="38"/>
      <c r="AQ141" s="38"/>
      <c r="AR141" s="38"/>
      <c r="AS141" s="38"/>
      <c r="AT141" s="38"/>
      <c r="AU141" s="38"/>
      <c r="AV141" s="38"/>
      <c r="AW141" s="38"/>
      <c r="AX141" s="38"/>
      <c r="AY141" s="43"/>
      <c r="AZ141" s="43"/>
      <c r="BA141" s="48"/>
      <c r="BB141" s="48"/>
      <c r="BC141" s="43"/>
      <c r="BD141" s="43"/>
      <c r="BE141" s="44"/>
      <c r="BF141" s="45"/>
      <c r="BG141" s="43"/>
    </row>
    <row r="142">
      <c r="A142" s="19" t="s">
        <v>207</v>
      </c>
      <c r="B142" s="20">
        <f>VLOOKUP(F142,'Session Count DO NOT EDIT'!$A:$C,3,FALSE)</f>
        <v>5</v>
      </c>
      <c r="C142" s="20">
        <f>COUNTIFS('Scores Import DO NOT EDIT'!D:D,A142)</f>
        <v>5</v>
      </c>
      <c r="D142" s="21">
        <f t="shared" si="1"/>
        <v>1</v>
      </c>
      <c r="E142" s="22">
        <f>AVERAGEIFS('Scores Import DO NOT EDIT'!L:L,'Scores Import DO NOT EDIT'!D:D,A142)</f>
        <v>27</v>
      </c>
      <c r="F142" s="23" t="str">
        <f>VLOOKUP(A142, 'Session Data'!A:M,3,false)</f>
        <v>C-6</v>
      </c>
      <c r="G142" s="24" t="str">
        <f>VLOOKUP(A142, 'Session Data'!A:I,2,false)</f>
        <v>1:00 PM</v>
      </c>
      <c r="H142" s="23" t="str">
        <f>VLOOKUP(A142, 'Session Data'!A:J,5,false)</f>
        <v>Humanities, History, Literature, Philosophy</v>
      </c>
      <c r="I142" s="25" t="str">
        <f>VLOOKUP(A142, 'Session Data'!A:H,4,false)</f>
        <v>Oral </v>
      </c>
      <c r="J142" s="26" t="str">
        <f>VLOOKUP(A142, 'Session Data'!A:AA,14,false)</f>
        <v>Master's</v>
      </c>
      <c r="K142" s="27" t="str">
        <f>VLOOKUP(A142, 'Session Data'!A:AA,15,false)</f>
        <v>Professional Studies and Fine Arts</v>
      </c>
      <c r="L142" s="28"/>
      <c r="M142" s="29" t="str">
        <f>VLOOKUP(A142, 'Session Data'!A:K,11,false)</f>
        <v>Critical Studies in Music</v>
      </c>
      <c r="N142" s="26" t="str">
        <f>IF(ISNA(VLOOKUP(A142, 'Award Abstract#'!C:C, 1, FALSE)), "No", "Yes")
</f>
        <v>No</v>
      </c>
      <c r="O142" s="29" t="str">
        <f>IF(ISNA(VLOOKUP(A142,'Award Abstract#'!B:B,1,FALSE)), "No", "Yes")</f>
        <v>No</v>
      </c>
      <c r="P142" s="29" t="str">
        <f>IF(ISNA(VLOOKUP(A142,'Award Abstract#'!E:E,1,FALSE)), "No", "Yes")</f>
        <v>No</v>
      </c>
      <c r="Q142" s="29" t="str">
        <f>IF(ISNA(VLOOKUP(A142,'Award Abstract#'!A:A,1,FALSE)), "No", "Yes")</f>
        <v>No</v>
      </c>
      <c r="R142" s="29" t="str">
        <f>IF(ISNA(VLOOKUP(A142,'Award Abstract#'!D:D,1,FALSE)), "No", "Yes")</f>
        <v>No</v>
      </c>
      <c r="S142" s="30" t="str">
        <f>VLOOKUP(A142, 'Session Data'!A:AA,27,false)</f>
        <v>Man</v>
      </c>
      <c r="T142" s="30"/>
      <c r="U142" s="30"/>
      <c r="V142" s="31" t="str">
        <f>VLOOKUP(A142, 'Session Data'!A:AA,8,false)</f>
        <v>Andrew</v>
      </c>
      <c r="W142" s="32" t="str">
        <f>VLOOKUP(A142, 'Session Data'!A:AA,9,false)</f>
        <v>Ginzel</v>
      </c>
      <c r="X142" s="33" t="str">
        <f>VLOOKUP(A142, 'Session Data'!A:AA,12,false)</f>
        <v>A Postmodern SMiLE</v>
      </c>
      <c r="Y142" s="34" t="str">
        <f>VLOOKUP(A142, 'Session Data'!A:AA,22,false)</f>
        <v>Eve</v>
      </c>
      <c r="Z142" s="34" t="str">
        <f>VLOOKUP(A142, 'Session Data'!A:AA,23,false)</f>
        <v>Kornfeld</v>
      </c>
      <c r="AA142" s="34" t="str">
        <f>VLOOKUP(A142, 'Session Data'!A:AA,25,false)</f>
        <v>Arts and Letters</v>
      </c>
      <c r="AB142" s="34" t="str">
        <f>VLOOKUP(A142, 'Session Data'!A:AA,24,false)</f>
        <v>kornfeld@sdsu.edu</v>
      </c>
      <c r="AC142" s="34" t="str">
        <f>VLOOKUP(A142, 'Session Data'!A:AA,16,false)</f>
        <v/>
      </c>
      <c r="AD142" s="35" t="str">
        <f>VLOOKUP(A142, 'Session Data'!A:U,17,false)</f>
        <v/>
      </c>
      <c r="AE142" s="35" t="str">
        <f>VLOOKUP(A142, 'Session Data'!A:U,18,false)</f>
        <v/>
      </c>
      <c r="AF142" s="35" t="str">
        <f>VLOOKUP(A142, 'Session Data'!A:U,19,false)</f>
        <v/>
      </c>
      <c r="AG142" s="35" t="str">
        <f>VLOOKUP(A142, 'Session Data'!A:U,20,false)</f>
        <v/>
      </c>
      <c r="AH142" s="35" t="str">
        <f>VLOOKUP(A142, 'Session Data'!A:U,21,false)</f>
        <v/>
      </c>
      <c r="AI142" s="37"/>
      <c r="AJ142" s="37"/>
      <c r="AK142" s="37"/>
      <c r="AL142" s="50"/>
      <c r="AM142" s="34" t="str">
        <f>VLOOKUP(A142, 'Session Data'!A:AA,10,false)</f>
        <v>aginzel7033@sdsu.edu</v>
      </c>
      <c r="AN142" s="40"/>
      <c r="AO142" s="38"/>
      <c r="AP142" s="38"/>
      <c r="AQ142" s="38"/>
      <c r="AR142" s="38"/>
      <c r="AS142" s="38"/>
      <c r="AT142" s="38"/>
      <c r="AU142" s="38"/>
      <c r="AV142" s="38"/>
      <c r="AW142" s="38"/>
      <c r="AX142" s="38"/>
      <c r="AY142" s="43"/>
      <c r="AZ142" s="43"/>
      <c r="BA142" s="43"/>
      <c r="BB142" s="43"/>
      <c r="BC142" s="43"/>
      <c r="BD142" s="43"/>
      <c r="BE142" s="44"/>
      <c r="BF142" s="45"/>
      <c r="BG142" s="43"/>
    </row>
    <row r="143">
      <c r="A143" s="19" t="s">
        <v>208</v>
      </c>
      <c r="B143" s="20">
        <f>VLOOKUP(F143,'Session Count DO NOT EDIT'!$A:$C,3,FALSE)</f>
        <v>5</v>
      </c>
      <c r="C143" s="20">
        <f>COUNTIFS('Scores Import DO NOT EDIT'!D:D,A143)</f>
        <v>1</v>
      </c>
      <c r="D143" s="21">
        <f t="shared" si="1"/>
        <v>0.2</v>
      </c>
      <c r="E143" s="22">
        <f>AVERAGEIFS('Scores Import DO NOT EDIT'!L:L,'Scores Import DO NOT EDIT'!D:D,A143)</f>
        <v>23</v>
      </c>
      <c r="F143" s="23" t="str">
        <f>VLOOKUP(A143, 'Session Data'!A:M,3,false)</f>
        <v>C-6</v>
      </c>
      <c r="G143" s="24" t="str">
        <f>VLOOKUP(A143, 'Session Data'!A:I,2,false)</f>
        <v>1:00 PM</v>
      </c>
      <c r="H143" s="23" t="str">
        <f>VLOOKUP(A143, 'Session Data'!A:J,5,false)</f>
        <v>Humanities, History, Literature, Philosophy</v>
      </c>
      <c r="I143" s="25" t="str">
        <f>VLOOKUP(A143, 'Session Data'!A:H,4,false)</f>
        <v>Oral </v>
      </c>
      <c r="J143" s="26" t="str">
        <f>VLOOKUP(A143, 'Session Data'!A:AA,14,false)</f>
        <v>Master's</v>
      </c>
      <c r="K143" s="27" t="str">
        <f>VLOOKUP(A143, 'Session Data'!A:AA,15,false)</f>
        <v>Arts and Letters</v>
      </c>
      <c r="L143" s="47"/>
      <c r="M143" s="29" t="str">
        <f>VLOOKUP(A143, 'Session Data'!A:K,11,false)</f>
        <v>General Linguistics /Masters of Arts </v>
      </c>
      <c r="N143" s="26" t="str">
        <f>IF(ISNA(VLOOKUP(A143, 'Award Abstract#'!C:C, 1, FALSE)), "No", "Yes")
</f>
        <v>No</v>
      </c>
      <c r="O143" s="29" t="str">
        <f>IF(ISNA(VLOOKUP(A143,'Award Abstract#'!B:B,1,FALSE)), "No", "Yes")</f>
        <v>No</v>
      </c>
      <c r="P143" s="29" t="str">
        <f>IF(ISNA(VLOOKUP(A143,'Award Abstract#'!E:E,1,FALSE)), "No", "Yes")</f>
        <v>No</v>
      </c>
      <c r="Q143" s="29" t="str">
        <f>IF(ISNA(VLOOKUP(A143,'Award Abstract#'!A:A,1,FALSE)), "No", "Yes")</f>
        <v>No</v>
      </c>
      <c r="R143" s="29" t="str">
        <f>IF(ISNA(VLOOKUP(A143,'Award Abstract#'!D:D,1,FALSE)), "No", "Yes")</f>
        <v>Yes</v>
      </c>
      <c r="S143" s="30" t="str">
        <f>VLOOKUP(A143, 'Session Data'!A:AA,27,false)</f>
        <v>Man</v>
      </c>
      <c r="T143" s="30"/>
      <c r="U143" s="30"/>
      <c r="V143" s="31" t="str">
        <f>VLOOKUP(A143, 'Session Data'!A:AA,8,false)</f>
        <v>Yassin</v>
      </c>
      <c r="W143" s="32" t="str">
        <f>VLOOKUP(A143, 'Session Data'!A:AA,9,false)</f>
        <v>ALHENNAWY </v>
      </c>
      <c r="X143" s="33" t="str">
        <f>VLOOKUP(A143, 'Session Data'!A:AA,12,false)</f>
        <v>Voices in Harmony: Exploring Parental Dialectal Variations and First-Generation Children's Language Development in Multicultural Contexts</v>
      </c>
      <c r="Y143" s="34" t="str">
        <f>VLOOKUP(A143, 'Session Data'!A:AA,22,false)</f>
        <v>Prof. Eniko</v>
      </c>
      <c r="Z143" s="34" t="str">
        <f>VLOOKUP(A143, 'Session Data'!A:AA,23,false)</f>
        <v>Csomay</v>
      </c>
      <c r="AA143" s="34" t="str">
        <f>VLOOKUP(A143, 'Session Data'!A:AA,25,false)</f>
        <v>Arts and Letters</v>
      </c>
      <c r="AB143" s="34" t="str">
        <f>VLOOKUP(A143, 'Session Data'!A:AA,24,false)</f>
        <v>ecsomay@sdsu.edu</v>
      </c>
      <c r="AC143" s="34" t="str">
        <f>VLOOKUP(A143, 'Session Data'!A:AA,16,false)</f>
        <v/>
      </c>
      <c r="AD143" s="35" t="str">
        <f>VLOOKUP(A143, 'Session Data'!A:U,17,false)</f>
        <v/>
      </c>
      <c r="AE143" s="35" t="str">
        <f>VLOOKUP(A143, 'Session Data'!A:U,18,false)</f>
        <v/>
      </c>
      <c r="AF143" s="35" t="str">
        <f>VLOOKUP(A143, 'Session Data'!A:U,19,false)</f>
        <v/>
      </c>
      <c r="AG143" s="35" t="str">
        <f>VLOOKUP(A143, 'Session Data'!A:U,20,false)</f>
        <v/>
      </c>
      <c r="AH143" s="35" t="str">
        <f>VLOOKUP(A143, 'Session Data'!A:U,21,false)</f>
        <v/>
      </c>
      <c r="AI143" s="37"/>
      <c r="AJ143" s="37"/>
      <c r="AK143" s="37"/>
      <c r="AL143" s="50"/>
      <c r="AM143" s="34" t="str">
        <f>VLOOKUP(A143, 'Session Data'!A:AA,10,false)</f>
        <v>yalhennawy4407@sdsu.edu</v>
      </c>
      <c r="AN143" s="40"/>
      <c r="AO143" s="38"/>
      <c r="AP143" s="38"/>
      <c r="AQ143" s="38"/>
      <c r="AR143" s="38"/>
      <c r="AS143" s="38"/>
      <c r="AT143" s="38"/>
      <c r="AU143" s="38"/>
      <c r="AV143" s="38"/>
      <c r="AW143" s="38"/>
      <c r="AX143" s="38"/>
      <c r="AY143" s="43"/>
      <c r="AZ143" s="43"/>
      <c r="BA143" s="43"/>
      <c r="BB143" s="43"/>
      <c r="BC143" s="43"/>
      <c r="BD143" s="43"/>
      <c r="BE143" s="44"/>
      <c r="BF143" s="45"/>
      <c r="BG143" s="46"/>
    </row>
    <row r="144">
      <c r="A144" s="19" t="s">
        <v>209</v>
      </c>
      <c r="B144" s="20">
        <f>VLOOKUP(F144,'Session Count DO NOT EDIT'!$A:$C,3,FALSE)</f>
        <v>5</v>
      </c>
      <c r="C144" s="20">
        <f>COUNTIFS('Scores Import DO NOT EDIT'!D:D,A144)</f>
        <v>1</v>
      </c>
      <c r="D144" s="21">
        <f t="shared" si="1"/>
        <v>0.2</v>
      </c>
      <c r="E144" s="22">
        <f>AVERAGEIFS('Scores Import DO NOT EDIT'!L:L,'Scores Import DO NOT EDIT'!D:D,A144)</f>
        <v>19</v>
      </c>
      <c r="F144" s="23" t="str">
        <f>VLOOKUP(A144, 'Session Data'!A:M,3,false)</f>
        <v>C-6</v>
      </c>
      <c r="G144" s="24" t="str">
        <f>VLOOKUP(A144, 'Session Data'!A:I,2,false)</f>
        <v>1:00 PM</v>
      </c>
      <c r="H144" s="23" t="str">
        <f>VLOOKUP(A144, 'Session Data'!A:J,5,false)</f>
        <v>Humanities, History, Literature, Philosophy</v>
      </c>
      <c r="I144" s="25" t="str">
        <f>VLOOKUP(A144, 'Session Data'!A:H,4,false)</f>
        <v>Oral </v>
      </c>
      <c r="J144" s="26" t="str">
        <f>VLOOKUP(A144, 'Session Data'!A:AA,14,false)</f>
        <v>Master's</v>
      </c>
      <c r="K144" s="27" t="str">
        <f>VLOOKUP(A144, 'Session Data'!A:AA,15,false)</f>
        <v>Arts and Letters</v>
      </c>
      <c r="L144" s="28"/>
      <c r="M144" s="29" t="str">
        <f>VLOOKUP(A144, 'Session Data'!A:K,11,false)</f>
        <v>Masters of Arts in Sociology </v>
      </c>
      <c r="N144" s="26" t="str">
        <f>IF(ISNA(VLOOKUP(A144, 'Award Abstract#'!C:C, 1, FALSE)), "No", "Yes")
</f>
        <v>No</v>
      </c>
      <c r="O144" s="29" t="str">
        <f>IF(ISNA(VLOOKUP(A144,'Award Abstract#'!B:B,1,FALSE)), "No", "Yes")</f>
        <v>No</v>
      </c>
      <c r="P144" s="29" t="str">
        <f>IF(ISNA(VLOOKUP(A144,'Award Abstract#'!E:E,1,FALSE)), "No", "Yes")</f>
        <v>No</v>
      </c>
      <c r="Q144" s="29" t="str">
        <f>IF(ISNA(VLOOKUP(A144,'Award Abstract#'!A:A,1,FALSE)), "No", "Yes")</f>
        <v>No</v>
      </c>
      <c r="R144" s="29" t="str">
        <f>IF(ISNA(VLOOKUP(A144,'Award Abstract#'!D:D,1,FALSE)), "No", "Yes")</f>
        <v>No</v>
      </c>
      <c r="S144" s="30" t="str">
        <f>VLOOKUP(A144, 'Session Data'!A:AA,27,false)</f>
        <v>Woman</v>
      </c>
      <c r="T144" s="30"/>
      <c r="U144" s="30"/>
      <c r="V144" s="31" t="str">
        <f>VLOOKUP(A144, 'Session Data'!A:AA,8,false)</f>
        <v>Sara</v>
      </c>
      <c r="W144" s="32" t="str">
        <f>VLOOKUP(A144, 'Session Data'!A:AA,9,false)</f>
        <v>Liaquat</v>
      </c>
      <c r="X144" s="33" t="str">
        <f>VLOOKUP(A144, 'Session Data'!A:AA,12,false)</f>
        <v>The State of Affairs Surrounding Intersex Genital Mutilation &amp; Gender Affirming Services in Karachi, Pakistan.</v>
      </c>
      <c r="Y144" s="34" t="str">
        <f>VLOOKUP(A144, 'Session Data'!A:AA,22,false)</f>
        <v>Dr. Audrey </v>
      </c>
      <c r="Z144" s="34" t="str">
        <f>VLOOKUP(A144, 'Session Data'!A:AA,23,false)</f>
        <v>Beck</v>
      </c>
      <c r="AA144" s="34" t="str">
        <f>VLOOKUP(A144, 'Session Data'!A:AA,25,false)</f>
        <v>Arts and Letters</v>
      </c>
      <c r="AB144" s="34" t="str">
        <f>VLOOKUP(A144, 'Session Data'!A:AA,24,false)</f>
        <v>abeck@sdsu.edu</v>
      </c>
      <c r="AC144" s="34" t="str">
        <f>VLOOKUP(A144, 'Session Data'!A:AA,16,false)</f>
        <v/>
      </c>
      <c r="AD144" s="35" t="str">
        <f>VLOOKUP(A144, 'Session Data'!A:U,17,false)</f>
        <v/>
      </c>
      <c r="AE144" s="35" t="str">
        <f>VLOOKUP(A144, 'Session Data'!A:U,18,false)</f>
        <v/>
      </c>
      <c r="AF144" s="35" t="str">
        <f>VLOOKUP(A144, 'Session Data'!A:U,19,false)</f>
        <v/>
      </c>
      <c r="AG144" s="35" t="str">
        <f>VLOOKUP(A144, 'Session Data'!A:U,20,false)</f>
        <v/>
      </c>
      <c r="AH144" s="35" t="str">
        <f>VLOOKUP(A144, 'Session Data'!A:U,21,false)</f>
        <v/>
      </c>
      <c r="AI144" s="36"/>
      <c r="AJ144" s="38"/>
      <c r="AK144" s="38"/>
      <c r="AL144" s="39"/>
      <c r="AM144" s="34" t="str">
        <f>VLOOKUP(A144, 'Session Data'!A:AA,10,false)</f>
        <v>sliaquat0925@sdsu.edu</v>
      </c>
      <c r="AN144" s="40"/>
      <c r="AO144" s="38"/>
      <c r="AP144" s="38"/>
      <c r="AQ144" s="38"/>
      <c r="AR144" s="38"/>
      <c r="AS144" s="38"/>
      <c r="AT144" s="38"/>
      <c r="AU144" s="38"/>
      <c r="AV144" s="38"/>
      <c r="AW144" s="38"/>
      <c r="AX144" s="38"/>
      <c r="AY144" s="43"/>
      <c r="AZ144" s="43"/>
      <c r="BA144" s="48"/>
      <c r="BB144" s="48"/>
      <c r="BC144" s="43"/>
      <c r="BD144" s="43"/>
      <c r="BE144" s="44"/>
      <c r="BF144" s="45"/>
      <c r="BG144" s="43"/>
    </row>
    <row r="145">
      <c r="A145" s="19" t="s">
        <v>210</v>
      </c>
      <c r="B145" s="20">
        <f>VLOOKUP(F145,'Session Count DO NOT EDIT'!$A:$C,3,FALSE)</f>
        <v>5</v>
      </c>
      <c r="C145" s="20">
        <f>COUNTIFS('Scores Import DO NOT EDIT'!D:D,A145)</f>
        <v>4</v>
      </c>
      <c r="D145" s="21">
        <f t="shared" si="1"/>
        <v>0.8</v>
      </c>
      <c r="E145" s="22">
        <f>AVERAGEIFS('Scores Import DO NOT EDIT'!L:L,'Scores Import DO NOT EDIT'!D:D,A145)</f>
        <v>29</v>
      </c>
      <c r="F145" s="23" t="str">
        <f>VLOOKUP(A145, 'Session Data'!A:M,3,false)</f>
        <v>C-7</v>
      </c>
      <c r="G145" s="24" t="str">
        <f>VLOOKUP(A145, 'Session Data'!A:I,2,false)</f>
        <v>1:00 PM</v>
      </c>
      <c r="H145" s="23" t="str">
        <f>VLOOKUP(A145, 'Session Data'!A:J,5,false)</f>
        <v>Physical and Mathematical Sciences 1</v>
      </c>
      <c r="I145" s="25" t="str">
        <f>VLOOKUP(A145, 'Session Data'!A:H,4,false)</f>
        <v>Oral </v>
      </c>
      <c r="J145" s="26" t="str">
        <f>VLOOKUP(A145, 'Session Data'!A:AA,14,false)</f>
        <v>Master's</v>
      </c>
      <c r="K145" s="27" t="str">
        <f>VLOOKUP(A145, 'Session Data'!A:AA,15,false)</f>
        <v>Sciences</v>
      </c>
      <c r="L145" s="47"/>
      <c r="M145" s="29" t="str">
        <f>VLOOKUP(A145, 'Session Data'!A:K,11,false)</f>
        <v>Masters of Science in Physics</v>
      </c>
      <c r="N145" s="26" t="str">
        <f>IF(ISNA(VLOOKUP(A145, 'Award Abstract#'!C:C, 1, FALSE)), "No", "Yes")
</f>
        <v>No</v>
      </c>
      <c r="O145" s="29" t="str">
        <f>IF(ISNA(VLOOKUP(A145,'Award Abstract#'!B:B,1,FALSE)), "No", "Yes")</f>
        <v>No</v>
      </c>
      <c r="P145" s="29" t="str">
        <f>IF(ISNA(VLOOKUP(A145,'Award Abstract#'!E:E,1,FALSE)), "No", "Yes")</f>
        <v>No</v>
      </c>
      <c r="Q145" s="29" t="str">
        <f>IF(ISNA(VLOOKUP(A145,'Award Abstract#'!A:A,1,FALSE)), "No", "Yes")</f>
        <v>No</v>
      </c>
      <c r="R145" s="29" t="str">
        <f>IF(ISNA(VLOOKUP(A145,'Award Abstract#'!D:D,1,FALSE)), "No", "Yes")</f>
        <v>No</v>
      </c>
      <c r="S145" s="30" t="str">
        <f>VLOOKUP(A145, 'Session Data'!A:AA,27,false)</f>
        <v>Woman</v>
      </c>
      <c r="T145" s="30"/>
      <c r="U145" s="30"/>
      <c r="V145" s="31" t="str">
        <f>VLOOKUP(A145, 'Session Data'!A:AA,8,false)</f>
        <v>Sancia Michael</v>
      </c>
      <c r="W145" s="32" t="str">
        <f>VLOOKUP(A145, 'Session Data'!A:AA,9,false)</f>
        <v>Tauro</v>
      </c>
      <c r="X145" s="33" t="str">
        <f>VLOOKUP(A145, 'Session Data'!A:AA,12,false)</f>
        <v>Exploring Defects and Isotopes effects Through Raman Signal in Hexagonal Boron Nitride</v>
      </c>
      <c r="Y145" s="34" t="str">
        <f>VLOOKUP(A145, 'Session Data'!A:AA,22,false)</f>
        <v>Dr. Sanjay</v>
      </c>
      <c r="Z145" s="34" t="str">
        <f>VLOOKUP(A145, 'Session Data'!A:AA,23,false)</f>
        <v>Behura</v>
      </c>
      <c r="AA145" s="34" t="str">
        <f>VLOOKUP(A145, 'Session Data'!A:AA,25,false)</f>
        <v>Sciences</v>
      </c>
      <c r="AB145" s="34"/>
      <c r="AC145" s="34" t="str">
        <f>VLOOKUP(A145, 'Session Data'!A:AA,16,false)</f>
        <v/>
      </c>
      <c r="AD145" s="35" t="str">
        <f>VLOOKUP(A145, 'Session Data'!A:U,17,false)</f>
        <v/>
      </c>
      <c r="AE145" s="35" t="str">
        <f>VLOOKUP(A145, 'Session Data'!A:U,18,false)</f>
        <v/>
      </c>
      <c r="AF145" s="35" t="str">
        <f>VLOOKUP(A145, 'Session Data'!A:U,19,false)</f>
        <v/>
      </c>
      <c r="AG145" s="35" t="str">
        <f>VLOOKUP(A145, 'Session Data'!A:U,20,false)</f>
        <v/>
      </c>
      <c r="AH145" s="35" t="str">
        <f>VLOOKUP(A145, 'Session Data'!A:U,21,false)</f>
        <v/>
      </c>
      <c r="AI145" s="37"/>
      <c r="AJ145" s="37"/>
      <c r="AK145" s="37"/>
      <c r="AL145" s="50"/>
      <c r="AM145" s="34" t="str">
        <f>VLOOKUP(A145, 'Session Data'!A:AA,10,false)</f>
        <v>stauro0491@sdsu.edu</v>
      </c>
      <c r="AN145" s="40"/>
      <c r="AO145" s="38"/>
      <c r="AP145" s="38"/>
      <c r="AQ145" s="38"/>
      <c r="AR145" s="38"/>
      <c r="AS145" s="38"/>
      <c r="AT145" s="38"/>
      <c r="AU145" s="38"/>
      <c r="AV145" s="38"/>
      <c r="AW145" s="38"/>
      <c r="AX145" s="38"/>
      <c r="AY145" s="43"/>
      <c r="AZ145" s="43"/>
      <c r="BA145" s="43"/>
      <c r="BB145" s="43"/>
      <c r="BC145" s="43"/>
      <c r="BD145" s="43"/>
      <c r="BE145" s="44"/>
      <c r="BF145" s="45"/>
      <c r="BG145" s="43"/>
    </row>
    <row r="146">
      <c r="A146" s="19" t="s">
        <v>211</v>
      </c>
      <c r="B146" s="20">
        <f>VLOOKUP(F146,'Session Count DO NOT EDIT'!$A:$C,3,FALSE)</f>
        <v>5</v>
      </c>
      <c r="C146" s="20">
        <f>COUNTIFS('Scores Import DO NOT EDIT'!D:D,A146)</f>
        <v>5</v>
      </c>
      <c r="D146" s="21">
        <f t="shared" si="1"/>
        <v>1</v>
      </c>
      <c r="E146" s="22">
        <f>AVERAGEIFS('Scores Import DO NOT EDIT'!L:L,'Scores Import DO NOT EDIT'!D:D,A146)</f>
        <v>28.8</v>
      </c>
      <c r="F146" s="23" t="str">
        <f>VLOOKUP(A146, 'Session Data'!A:M,3,false)</f>
        <v>C-7</v>
      </c>
      <c r="G146" s="24" t="str">
        <f>VLOOKUP(A146, 'Session Data'!A:I,2,false)</f>
        <v>1:00 PM</v>
      </c>
      <c r="H146" s="23" t="str">
        <f>VLOOKUP(A146, 'Session Data'!A:J,5,false)</f>
        <v>Physical and Mathematical Sciences 1</v>
      </c>
      <c r="I146" s="25" t="str">
        <f>VLOOKUP(A146, 'Session Data'!A:H,4,false)</f>
        <v>Oral </v>
      </c>
      <c r="J146" s="26" t="str">
        <f>VLOOKUP(A146, 'Session Data'!A:AA,14,false)</f>
        <v>Master's</v>
      </c>
      <c r="K146" s="27" t="str">
        <f>VLOOKUP(A146, 'Session Data'!A:AA,15,false)</f>
        <v>Arts and Letters</v>
      </c>
      <c r="L146" s="47"/>
      <c r="M146" s="29" t="str">
        <f>VLOOKUP(A146, 'Session Data'!A:K,11,false)</f>
        <v>Geography</v>
      </c>
      <c r="N146" s="26" t="str">
        <f>IF(ISNA(VLOOKUP(A146, 'Award Abstract#'!C:C, 1, FALSE)), "No", "Yes")
</f>
        <v>No</v>
      </c>
      <c r="O146" s="29" t="str">
        <f>IF(ISNA(VLOOKUP(A146,'Award Abstract#'!B:B,1,FALSE)), "No", "Yes")</f>
        <v>No</v>
      </c>
      <c r="P146" s="29" t="str">
        <f>IF(ISNA(VLOOKUP(A146,'Award Abstract#'!E:E,1,FALSE)), "No", "Yes")</f>
        <v>No</v>
      </c>
      <c r="Q146" s="29" t="str">
        <f>IF(ISNA(VLOOKUP(A146,'Award Abstract#'!A:A,1,FALSE)), "No", "Yes")</f>
        <v>No</v>
      </c>
      <c r="R146" s="29" t="str">
        <f>IF(ISNA(VLOOKUP(A146,'Award Abstract#'!D:D,1,FALSE)), "No", "Yes")</f>
        <v>No</v>
      </c>
      <c r="S146" s="30" t="str">
        <f>VLOOKUP(A146, 'Session Data'!A:AA,27,false)</f>
        <v>Woman</v>
      </c>
      <c r="T146" s="30"/>
      <c r="U146" s="30"/>
      <c r="V146" s="31" t="str">
        <f>VLOOKUP(A146, 'Session Data'!A:AA,8,false)</f>
        <v>Nowshin</v>
      </c>
      <c r="W146" s="32" t="str">
        <f>VLOOKUP(A146, 'Session Data'!A:AA,9,false)</f>
        <v>Nawar</v>
      </c>
      <c r="X146" s="33" t="str">
        <f>VLOOKUP(A146, 'Session Data'!A:AA,12,false)</f>
        <v>Influences of Tree Mortality on Fire Intensity and Burn Severity for a Southern California Forest Using Airborne and Satellite Imagery</v>
      </c>
      <c r="Y146" s="34" t="str">
        <f>VLOOKUP(A146, 'Session Data'!A:AA,22,false)</f>
        <v>Douglas</v>
      </c>
      <c r="Z146" s="34" t="str">
        <f>VLOOKUP(A146, 'Session Data'!A:AA,23,false)</f>
        <v>Stow</v>
      </c>
      <c r="AA146" s="34" t="str">
        <f>VLOOKUP(A146, 'Session Data'!A:AA,25,false)</f>
        <v>Arts and Letters</v>
      </c>
      <c r="AB146" s="34" t="str">
        <f>VLOOKUP(A146, 'Session Data'!A:AA,24,false)</f>
        <v>stow@sdsu.edu</v>
      </c>
      <c r="AC146" s="34" t="str">
        <f>VLOOKUP(A146, 'Session Data'!A:AA,16,false)</f>
        <v/>
      </c>
      <c r="AD146" s="35" t="str">
        <f>VLOOKUP(A146, 'Session Data'!A:U,17,false)</f>
        <v/>
      </c>
      <c r="AE146" s="35" t="str">
        <f>VLOOKUP(A146, 'Session Data'!A:U,18,false)</f>
        <v/>
      </c>
      <c r="AF146" s="35" t="str">
        <f>VLOOKUP(A146, 'Session Data'!A:U,19,false)</f>
        <v/>
      </c>
      <c r="AG146" s="35" t="str">
        <f>VLOOKUP(A146, 'Session Data'!A:U,20,false)</f>
        <v/>
      </c>
      <c r="AH146" s="35" t="str">
        <f>VLOOKUP(A146, 'Session Data'!A:U,21,false)</f>
        <v/>
      </c>
      <c r="AI146" s="37"/>
      <c r="AJ146" s="37"/>
      <c r="AK146" s="37"/>
      <c r="AL146" s="50"/>
      <c r="AM146" s="34" t="str">
        <f>VLOOKUP(A146, 'Session Data'!A:AA,10,false)</f>
        <v>nnawar5805@sdsu.edu</v>
      </c>
      <c r="AN146" s="40"/>
      <c r="AO146" s="38"/>
      <c r="AP146" s="38"/>
      <c r="AQ146" s="38"/>
      <c r="AR146" s="38"/>
      <c r="AS146" s="38"/>
      <c r="AT146" s="38"/>
      <c r="AU146" s="38"/>
      <c r="AV146" s="38"/>
      <c r="AW146" s="38"/>
      <c r="AX146" s="38"/>
      <c r="AY146" s="43"/>
      <c r="AZ146" s="43"/>
      <c r="BA146" s="48"/>
      <c r="BB146" s="48"/>
      <c r="BC146" s="43"/>
      <c r="BD146" s="43"/>
      <c r="BE146" s="44"/>
      <c r="BF146" s="45"/>
      <c r="BG146" s="43"/>
    </row>
    <row r="147">
      <c r="A147" s="19" t="s">
        <v>212</v>
      </c>
      <c r="B147" s="20">
        <f>VLOOKUP(F147,'Session Count DO NOT EDIT'!$A:$C,3,FALSE)</f>
        <v>5</v>
      </c>
      <c r="C147" s="20">
        <f>COUNTIFS('Scores Import DO NOT EDIT'!D:D,A147)</f>
        <v>4</v>
      </c>
      <c r="D147" s="21">
        <f t="shared" si="1"/>
        <v>0.8</v>
      </c>
      <c r="E147" s="22">
        <f>AVERAGEIFS('Scores Import DO NOT EDIT'!L:L,'Scores Import DO NOT EDIT'!D:D,A147)</f>
        <v>27</v>
      </c>
      <c r="F147" s="23" t="str">
        <f>VLOOKUP(A147, 'Session Data'!A:M,3,false)</f>
        <v>C-7</v>
      </c>
      <c r="G147" s="24" t="str">
        <f>VLOOKUP(A147, 'Session Data'!A:I,2,false)</f>
        <v>1:00 PM</v>
      </c>
      <c r="H147" s="23" t="str">
        <f>VLOOKUP(A147, 'Session Data'!A:J,5,false)</f>
        <v>Physical and Mathematical Sciences 1</v>
      </c>
      <c r="I147" s="25" t="str">
        <f>VLOOKUP(A147, 'Session Data'!A:H,4,false)</f>
        <v>Oral </v>
      </c>
      <c r="J147" s="26" t="str">
        <f>VLOOKUP(A147, 'Session Data'!A:AA,14,false)</f>
        <v>Master's</v>
      </c>
      <c r="K147" s="27" t="str">
        <f>VLOOKUP(A147, 'Session Data'!A:AA,15,false)</f>
        <v>Sciences</v>
      </c>
      <c r="L147" s="47"/>
      <c r="M147" s="29" t="str">
        <f>VLOOKUP(A147, 'Session Data'!A:K,11,false)</f>
        <v>Master's of Science in Astronomy </v>
      </c>
      <c r="N147" s="26" t="str">
        <f>IF(ISNA(VLOOKUP(A147, 'Award Abstract#'!C:C, 1, FALSE)), "No", "Yes")
</f>
        <v>No</v>
      </c>
      <c r="O147" s="29" t="str">
        <f>IF(ISNA(VLOOKUP(A147,'Award Abstract#'!B:B,1,FALSE)), "No", "Yes")</f>
        <v>No</v>
      </c>
      <c r="P147" s="29" t="str">
        <f>IF(ISNA(VLOOKUP(A147,'Award Abstract#'!E:E,1,FALSE)), "No", "Yes")</f>
        <v>No</v>
      </c>
      <c r="Q147" s="29" t="str">
        <f>IF(ISNA(VLOOKUP(A147,'Award Abstract#'!A:A,1,FALSE)), "No", "Yes")</f>
        <v>No</v>
      </c>
      <c r="R147" s="29" t="str">
        <f>IF(ISNA(VLOOKUP(A147,'Award Abstract#'!D:D,1,FALSE)), "No", "Yes")</f>
        <v>No</v>
      </c>
      <c r="S147" s="30" t="str">
        <f>VLOOKUP(A147, 'Session Data'!A:AA,27,false)</f>
        <v>Woman</v>
      </c>
      <c r="T147" s="30"/>
      <c r="U147" s="30"/>
      <c r="V147" s="31" t="str">
        <f>VLOOKUP(A147, 'Session Data'!A:AA,8,false)</f>
        <v>Samantha </v>
      </c>
      <c r="W147" s="32" t="str">
        <f>VLOOKUP(A147, 'Session Data'!A:AA,9,false)</f>
        <v>Anger</v>
      </c>
      <c r="X147" s="33" t="str">
        <f>VLOOKUP(A147, 'Session Data'!A:AA,12,false)</f>
        <v>Exploring an Amalgam of Period Finding Techniques</v>
      </c>
      <c r="Y147" s="34" t="str">
        <f>VLOOKUP(A147, 'Session Data'!A:AA,22,false)</f>
        <v>William</v>
      </c>
      <c r="Z147" s="34" t="str">
        <f>VLOOKUP(A147, 'Session Data'!A:AA,23,false)</f>
        <v>Welsh</v>
      </c>
      <c r="AA147" s="34" t="str">
        <f>VLOOKUP(A147, 'Session Data'!A:AA,25,false)</f>
        <v>Sciences</v>
      </c>
      <c r="AB147" s="34"/>
      <c r="AC147" s="34" t="str">
        <f>VLOOKUP(A147, 'Session Data'!A:AA,16,false)</f>
        <v/>
      </c>
      <c r="AD147" s="35" t="str">
        <f>VLOOKUP(A147, 'Session Data'!A:U,17,false)</f>
        <v/>
      </c>
      <c r="AE147" s="35" t="str">
        <f>VLOOKUP(A147, 'Session Data'!A:U,18,false)</f>
        <v/>
      </c>
      <c r="AF147" s="35" t="str">
        <f>VLOOKUP(A147, 'Session Data'!A:U,19,false)</f>
        <v/>
      </c>
      <c r="AG147" s="35" t="str">
        <f>VLOOKUP(A147, 'Session Data'!A:U,20,false)</f>
        <v/>
      </c>
      <c r="AH147" s="35" t="str">
        <f>VLOOKUP(A147, 'Session Data'!A:U,21,false)</f>
        <v/>
      </c>
      <c r="AI147" s="37"/>
      <c r="AJ147" s="37"/>
      <c r="AK147" s="37"/>
      <c r="AL147" s="50"/>
      <c r="AM147" s="34" t="str">
        <f>VLOOKUP(A147, 'Session Data'!A:AA,10,false)</f>
        <v>sanger9164@sdsu.edu</v>
      </c>
      <c r="AN147" s="40"/>
      <c r="AO147" s="38"/>
      <c r="AP147" s="38"/>
      <c r="AQ147" s="38"/>
      <c r="AR147" s="38"/>
      <c r="AS147" s="38"/>
      <c r="AT147" s="38"/>
      <c r="AU147" s="38"/>
      <c r="AV147" s="38"/>
      <c r="AW147" s="38"/>
      <c r="AX147" s="38"/>
      <c r="AY147" s="43"/>
      <c r="AZ147" s="43"/>
      <c r="BA147" s="43"/>
      <c r="BB147" s="43"/>
      <c r="BC147" s="43"/>
      <c r="BD147" s="43"/>
      <c r="BE147" s="44"/>
      <c r="BF147" s="45"/>
      <c r="BG147" s="43"/>
    </row>
    <row r="148">
      <c r="A148" s="19" t="s">
        <v>213</v>
      </c>
      <c r="B148" s="20">
        <f>VLOOKUP(F148,'Session Count DO NOT EDIT'!$A:$C,3,FALSE)</f>
        <v>5</v>
      </c>
      <c r="C148" s="20">
        <f>COUNTIFS('Scores Import DO NOT EDIT'!D:D,A148)</f>
        <v>4</v>
      </c>
      <c r="D148" s="21">
        <f t="shared" si="1"/>
        <v>0.8</v>
      </c>
      <c r="E148" s="22">
        <f>AVERAGEIFS('Scores Import DO NOT EDIT'!L:L,'Scores Import DO NOT EDIT'!D:D,A148)</f>
        <v>25.25</v>
      </c>
      <c r="F148" s="23" t="str">
        <f>VLOOKUP(A148, 'Session Data'!A:M,3,false)</f>
        <v>C-7</v>
      </c>
      <c r="G148" s="24" t="str">
        <f>VLOOKUP(A148, 'Session Data'!A:I,2,false)</f>
        <v>1:00 PM</v>
      </c>
      <c r="H148" s="23" t="str">
        <f>VLOOKUP(A148, 'Session Data'!A:J,5,false)</f>
        <v>Physical and Mathematical Sciences 1</v>
      </c>
      <c r="I148" s="25" t="str">
        <f>VLOOKUP(A148, 'Session Data'!A:H,4,false)</f>
        <v>Oral </v>
      </c>
      <c r="J148" s="26" t="str">
        <f>VLOOKUP(A148, 'Session Data'!A:AA,14,false)</f>
        <v>Master's</v>
      </c>
      <c r="K148" s="27" t="str">
        <f>VLOOKUP(A148, 'Session Data'!A:AA,15,false)</f>
        <v>Sciences</v>
      </c>
      <c r="L148" s="28"/>
      <c r="M148" s="29" t="str">
        <f>VLOOKUP(A148, 'Session Data'!A:K,11,false)</f>
        <v>Master of Science in Astronomy</v>
      </c>
      <c r="N148" s="26" t="str">
        <f>IF(ISNA(VLOOKUP(A148, 'Award Abstract#'!C:C, 1, FALSE)), "No", "Yes")
</f>
        <v>No</v>
      </c>
      <c r="O148" s="29" t="str">
        <f>IF(ISNA(VLOOKUP(A148,'Award Abstract#'!B:B,1,FALSE)), "No", "Yes")</f>
        <v>No</v>
      </c>
      <c r="P148" s="29" t="str">
        <f>IF(ISNA(VLOOKUP(A148,'Award Abstract#'!E:E,1,FALSE)), "No", "Yes")</f>
        <v>No</v>
      </c>
      <c r="Q148" s="29" t="str">
        <f>IF(ISNA(VLOOKUP(A148,'Award Abstract#'!A:A,1,FALSE)), "No", "Yes")</f>
        <v>No</v>
      </c>
      <c r="R148" s="29" t="str">
        <f>IF(ISNA(VLOOKUP(A148,'Award Abstract#'!D:D,1,FALSE)), "No", "Yes")</f>
        <v>No</v>
      </c>
      <c r="S148" s="30" t="str">
        <f>VLOOKUP(A148, 'Session Data'!A:AA,27,false)</f>
        <v>Non-binary/non-conforming</v>
      </c>
      <c r="T148" s="30"/>
      <c r="U148" s="30"/>
      <c r="V148" s="31" t="str">
        <f>VLOOKUP(A148, 'Session Data'!A:AA,8,false)</f>
        <v>Patricia</v>
      </c>
      <c r="W148" s="32" t="str">
        <f>VLOOKUP(A148, 'Session Data'!A:AA,9,false)</f>
        <v>Spalding</v>
      </c>
      <c r="X148" s="33" t="str">
        <f>VLOOKUP(A148, 'Session Data'!A:AA,12,false)</f>
        <v> A Search for Additional Planets in Kepler-16 and Kepler-34</v>
      </c>
      <c r="Y148" s="34" t="str">
        <f>VLOOKUP(A148, 'Session Data'!A:AA,22,false)</f>
        <v>Jerome</v>
      </c>
      <c r="Z148" s="34" t="str">
        <f>VLOOKUP(A148, 'Session Data'!A:AA,23,false)</f>
        <v>Orosz</v>
      </c>
      <c r="AA148" s="34" t="str">
        <f>VLOOKUP(A148, 'Session Data'!A:AA,25,false)</f>
        <v>Sciences</v>
      </c>
      <c r="AB148" s="34"/>
      <c r="AC148" s="34" t="str">
        <f>VLOOKUP(A148, 'Session Data'!A:AA,16,false)</f>
        <v/>
      </c>
      <c r="AD148" s="35" t="str">
        <f>VLOOKUP(A148, 'Session Data'!A:U,17,false)</f>
        <v/>
      </c>
      <c r="AE148" s="35" t="str">
        <f>VLOOKUP(A148, 'Session Data'!A:U,18,false)</f>
        <v/>
      </c>
      <c r="AF148" s="35" t="str">
        <f>VLOOKUP(A148, 'Session Data'!A:U,19,false)</f>
        <v/>
      </c>
      <c r="AG148" s="35" t="str">
        <f>VLOOKUP(A148, 'Session Data'!A:U,20,false)</f>
        <v/>
      </c>
      <c r="AH148" s="35" t="str">
        <f>VLOOKUP(A148, 'Session Data'!A:U,21,false)</f>
        <v/>
      </c>
      <c r="AI148" s="37"/>
      <c r="AJ148" s="37"/>
      <c r="AK148" s="37"/>
      <c r="AL148" s="50"/>
      <c r="AM148" s="34" t="str">
        <f>VLOOKUP(A148, 'Session Data'!A:AA,10,false)</f>
        <v>pspalding3084@sdsu.edu</v>
      </c>
      <c r="AN148" s="40"/>
      <c r="AO148" s="38"/>
      <c r="AP148" s="38"/>
      <c r="AQ148" s="38"/>
      <c r="AR148" s="38"/>
      <c r="AS148" s="38"/>
      <c r="AT148" s="38"/>
      <c r="AU148" s="38"/>
      <c r="AV148" s="38"/>
      <c r="AW148" s="38"/>
      <c r="AX148" s="38"/>
      <c r="AY148" s="43"/>
      <c r="AZ148" s="43"/>
      <c r="BA148" s="43"/>
      <c r="BB148" s="43"/>
      <c r="BC148" s="43"/>
      <c r="BD148" s="43"/>
      <c r="BE148" s="44"/>
      <c r="BF148" s="45"/>
      <c r="BG148" s="43"/>
    </row>
    <row r="149">
      <c r="A149" s="19" t="s">
        <v>214</v>
      </c>
      <c r="B149" s="20">
        <f>VLOOKUP(F149,'Session Count DO NOT EDIT'!$A:$C,3,FALSE)</f>
        <v>5</v>
      </c>
      <c r="C149" s="20">
        <f>COUNTIFS('Scores Import DO NOT EDIT'!D:D,A149)</f>
        <v>1</v>
      </c>
      <c r="D149" s="21">
        <f t="shared" si="1"/>
        <v>0.2</v>
      </c>
      <c r="E149" s="22">
        <f>AVERAGEIFS('Scores Import DO NOT EDIT'!L:L,'Scores Import DO NOT EDIT'!D:D,A149)</f>
        <v>35</v>
      </c>
      <c r="F149" s="23" t="str">
        <f>VLOOKUP(A149, 'Session Data'!A:M,3,false)</f>
        <v>C-8</v>
      </c>
      <c r="G149" s="24" t="str">
        <f>VLOOKUP(A149, 'Session Data'!A:I,2,false)</f>
        <v>1:00 PM</v>
      </c>
      <c r="H149" s="23" t="str">
        <f>VLOOKUP(A149, 'Session Data'!A:J,5,false)</f>
        <v>Physical and Mathematical Sciences 2</v>
      </c>
      <c r="I149" s="25" t="str">
        <f>VLOOKUP(A149, 'Session Data'!A:H,4,false)</f>
        <v>Oral </v>
      </c>
      <c r="J149" s="26" t="str">
        <f>VLOOKUP(A149, 'Session Data'!A:AA,14,false)</f>
        <v>Doctoral</v>
      </c>
      <c r="K149" s="27" t="str">
        <f>VLOOKUP(A149, 'Session Data'!A:AA,15,false)</f>
        <v>Sciences</v>
      </c>
      <c r="L149" s="28"/>
      <c r="M149" s="29" t="str">
        <f>VLOOKUP(A149, 'Session Data'!A:K,11,false)</f>
        <v>Doctoral/Chemistry</v>
      </c>
      <c r="N149" s="26" t="str">
        <f>IF(ISNA(VLOOKUP(A149, 'Award Abstract#'!C:C, 1, FALSE)), "No", "Yes")
</f>
        <v>No</v>
      </c>
      <c r="O149" s="29" t="str">
        <f>IF(ISNA(VLOOKUP(A149,'Award Abstract#'!B:B,1,FALSE)), "No", "Yes")</f>
        <v>Yes</v>
      </c>
      <c r="P149" s="29" t="str">
        <f>IF(ISNA(VLOOKUP(A149,'Award Abstract#'!E:E,1,FALSE)), "No", "Yes")</f>
        <v>No</v>
      </c>
      <c r="Q149" s="29" t="str">
        <f>IF(ISNA(VLOOKUP(A149,'Award Abstract#'!A:A,1,FALSE)), "No", "Yes")</f>
        <v>No</v>
      </c>
      <c r="R149" s="29" t="str">
        <f>IF(ISNA(VLOOKUP(A149,'Award Abstract#'!D:D,1,FALSE)), "No", "Yes")</f>
        <v>No</v>
      </c>
      <c r="S149" s="30" t="str">
        <f>VLOOKUP(A149, 'Session Data'!A:AA,27,false)</f>
        <v>Man</v>
      </c>
      <c r="T149" s="30"/>
      <c r="U149" s="30"/>
      <c r="V149" s="31" t="str">
        <f>VLOOKUP(A149, 'Session Data'!A:AA,8,false)</f>
        <v>Christopher</v>
      </c>
      <c r="W149" s="32" t="str">
        <f>VLOOKUP(A149, 'Session Data'!A:AA,9,false)</f>
        <v>Turchiano</v>
      </c>
      <c r="X149" s="33" t="str">
        <f>VLOOKUP(A149, 'Session Data'!A:AA,12,false)</f>
        <v>Plasmon-promoted CO2 reduction in amine-CO2 adducts</v>
      </c>
      <c r="Y149" s="34" t="str">
        <f>VLOOKUP(A149, 'Session Data'!A:AA,22,false)</f>
        <v>David</v>
      </c>
      <c r="Z149" s="34" t="str">
        <f>VLOOKUP(A149, 'Session Data'!A:AA,23,false)</f>
        <v>Pullman</v>
      </c>
      <c r="AA149" s="34" t="str">
        <f>VLOOKUP(A149, 'Session Data'!A:AA,25,false)</f>
        <v>Sciences</v>
      </c>
      <c r="AB149" s="34"/>
      <c r="AC149" s="34" t="str">
        <f>VLOOKUP(A149, 'Session Data'!A:AA,16,false)</f>
        <v/>
      </c>
      <c r="AD149" s="35" t="str">
        <f>VLOOKUP(A149, 'Session Data'!A:U,17,false)</f>
        <v/>
      </c>
      <c r="AE149" s="35" t="str">
        <f>VLOOKUP(A149, 'Session Data'!A:U,18,false)</f>
        <v/>
      </c>
      <c r="AF149" s="35" t="str">
        <f>VLOOKUP(A149, 'Session Data'!A:U,19,false)</f>
        <v/>
      </c>
      <c r="AG149" s="35" t="str">
        <f>VLOOKUP(A149, 'Session Data'!A:U,20,false)</f>
        <v/>
      </c>
      <c r="AH149" s="35" t="str">
        <f>VLOOKUP(A149, 'Session Data'!A:U,21,false)</f>
        <v/>
      </c>
      <c r="AI149" s="37"/>
      <c r="AJ149" s="37"/>
      <c r="AK149" s="37"/>
      <c r="AL149" s="50"/>
      <c r="AM149" s="34" t="str">
        <f>VLOOKUP(A149, 'Session Data'!A:AA,10,false)</f>
        <v>cturchiano1590@sdsu.edu</v>
      </c>
      <c r="AN149" s="40"/>
      <c r="AO149" s="38"/>
      <c r="AP149" s="38"/>
      <c r="AQ149" s="38"/>
      <c r="AR149" s="38"/>
      <c r="AS149" s="38"/>
      <c r="AT149" s="38"/>
      <c r="AU149" s="38"/>
      <c r="AV149" s="38"/>
      <c r="AW149" s="38"/>
      <c r="AX149" s="38"/>
      <c r="AY149" s="43"/>
      <c r="AZ149" s="43"/>
      <c r="BA149" s="43"/>
      <c r="BB149" s="43"/>
      <c r="BC149" s="43"/>
      <c r="BD149" s="43"/>
      <c r="BE149" s="44"/>
      <c r="BF149" s="45"/>
      <c r="BG149" s="43"/>
    </row>
    <row r="150">
      <c r="A150" s="19" t="s">
        <v>215</v>
      </c>
      <c r="B150" s="20">
        <f>VLOOKUP(F150,'Session Count DO NOT EDIT'!$A:$C,3,FALSE)</f>
        <v>5</v>
      </c>
      <c r="C150" s="20">
        <f>COUNTIFS('Scores Import DO NOT EDIT'!D:D,A150)</f>
        <v>2</v>
      </c>
      <c r="D150" s="21">
        <f t="shared" si="1"/>
        <v>0.4</v>
      </c>
      <c r="E150" s="22">
        <f>AVERAGEIFS('Scores Import DO NOT EDIT'!L:L,'Scores Import DO NOT EDIT'!D:D,A150)</f>
        <v>32.5</v>
      </c>
      <c r="F150" s="23" t="str">
        <f>VLOOKUP(A150, 'Session Data'!A:M,3,false)</f>
        <v>C-8</v>
      </c>
      <c r="G150" s="24" t="str">
        <f>VLOOKUP(A150, 'Session Data'!A:I,2,false)</f>
        <v>1:00 PM</v>
      </c>
      <c r="H150" s="23" t="str">
        <f>VLOOKUP(A150, 'Session Data'!A:J,5,false)</f>
        <v>Physical and Mathematical Sciences 2</v>
      </c>
      <c r="I150" s="25" t="str">
        <f>VLOOKUP(A150, 'Session Data'!A:H,4,false)</f>
        <v>Oral </v>
      </c>
      <c r="J150" s="26" t="str">
        <f>VLOOKUP(A150, 'Session Data'!A:AA,14,false)</f>
        <v>Master's</v>
      </c>
      <c r="K150" s="27" t="str">
        <f>VLOOKUP(A150, 'Session Data'!A:AA,15,false)</f>
        <v>Engineering</v>
      </c>
      <c r="L150" s="28" t="s">
        <v>95</v>
      </c>
      <c r="M150" s="29" t="str">
        <f>VLOOKUP(A150, 'Session Data'!A:K,11,false)</f>
        <v>Masters of Science in Civil Engineering with a concentration in Environmental Engineering</v>
      </c>
      <c r="N150" s="26" t="str">
        <f>IF(ISNA(VLOOKUP(A150, 'Award Abstract#'!C:C, 1, FALSE)), "No", "Yes")
</f>
        <v>No</v>
      </c>
      <c r="O150" s="29" t="str">
        <f>IF(ISNA(VLOOKUP(A150,'Award Abstract#'!B:B,1,FALSE)), "No", "Yes")</f>
        <v>Yes</v>
      </c>
      <c r="P150" s="29" t="str">
        <f>IF(ISNA(VLOOKUP(A150,'Award Abstract#'!E:E,1,FALSE)), "No", "Yes")</f>
        <v>No</v>
      </c>
      <c r="Q150" s="29" t="str">
        <f>IF(ISNA(VLOOKUP(A150,'Award Abstract#'!A:A,1,FALSE)), "No", "Yes")</f>
        <v>No</v>
      </c>
      <c r="R150" s="29" t="str">
        <f>IF(ISNA(VLOOKUP(A150,'Award Abstract#'!D:D,1,FALSE)), "No", "Yes")</f>
        <v>Yes</v>
      </c>
      <c r="S150" s="30" t="str">
        <f>VLOOKUP(A150, 'Session Data'!A:AA,27,false)</f>
        <v>Woman</v>
      </c>
      <c r="T150" s="30"/>
      <c r="U150" s="30"/>
      <c r="V150" s="31" t="str">
        <f>VLOOKUP(A150, 'Session Data'!A:AA,8,false)</f>
        <v>Glorya</v>
      </c>
      <c r="W150" s="32" t="str">
        <f>VLOOKUP(A150, 'Session Data'!A:AA,9,false)</f>
        <v>Escobar</v>
      </c>
      <c r="X150" s="33" t="str">
        <f>VLOOKUP(A150, 'Session Data'!A:AA,12,false)</f>
        <v>Assessing the Capabilities of a Real-time, Portable Fluorometer to Track Sewage Inputs in Urban Creeks</v>
      </c>
      <c r="Y150" s="34" t="str">
        <f>VLOOKUP(A150, 'Session Data'!A:AA,22,false)</f>
        <v>Natalie</v>
      </c>
      <c r="Z150" s="34" t="str">
        <f>VLOOKUP(A150, 'Session Data'!A:AA,23,false)</f>
        <v>Mladenov</v>
      </c>
      <c r="AA150" s="34" t="str">
        <f>VLOOKUP(A150, 'Session Data'!A:AA,25,false)</f>
        <v>Engineering</v>
      </c>
      <c r="AB150" s="34" t="str">
        <f>VLOOKUP(A150, 'Session Data'!A:AA,24,false)</f>
        <v>nmladenov@sdsu.edu</v>
      </c>
      <c r="AC150" s="34" t="str">
        <f>VLOOKUP(A150, 'Session Data'!A:AA,16,false)</f>
        <v/>
      </c>
      <c r="AD150" s="35" t="str">
        <f>VLOOKUP(A150, 'Session Data'!A:U,17,false)</f>
        <v/>
      </c>
      <c r="AE150" s="35" t="str">
        <f>VLOOKUP(A150, 'Session Data'!A:U,18,false)</f>
        <v/>
      </c>
      <c r="AF150" s="35" t="str">
        <f>VLOOKUP(A150, 'Session Data'!A:U,19,false)</f>
        <v/>
      </c>
      <c r="AG150" s="35" t="str">
        <f>VLOOKUP(A150, 'Session Data'!A:U,20,false)</f>
        <v/>
      </c>
      <c r="AH150" s="35" t="str">
        <f>VLOOKUP(A150, 'Session Data'!A:U,21,false)</f>
        <v/>
      </c>
      <c r="AI150" s="37"/>
      <c r="AJ150" s="37"/>
      <c r="AK150" s="37"/>
      <c r="AL150" s="50"/>
      <c r="AM150" s="34" t="str">
        <f>VLOOKUP(A150, 'Session Data'!A:AA,10,false)</f>
        <v>gescobar7938@sdsu.edu</v>
      </c>
      <c r="AN150" s="40"/>
      <c r="AO150" s="38"/>
      <c r="AP150" s="38"/>
      <c r="AQ150" s="38"/>
      <c r="AR150" s="38"/>
      <c r="AS150" s="38"/>
      <c r="AT150" s="38"/>
      <c r="AU150" s="38"/>
      <c r="AV150" s="38"/>
      <c r="AW150" s="38"/>
      <c r="AX150" s="38"/>
      <c r="AY150" s="43"/>
      <c r="AZ150" s="43"/>
      <c r="BA150" s="43"/>
      <c r="BB150" s="43"/>
      <c r="BC150" s="43"/>
      <c r="BD150" s="43"/>
      <c r="BE150" s="44"/>
      <c r="BF150" s="45"/>
      <c r="BG150" s="43"/>
    </row>
    <row r="151">
      <c r="A151" s="19" t="s">
        <v>216</v>
      </c>
      <c r="B151" s="20">
        <f>VLOOKUP(F151,'Session Count DO NOT EDIT'!$A:$C,3,FALSE)</f>
        <v>5</v>
      </c>
      <c r="C151" s="20">
        <f>COUNTIFS('Scores Import DO NOT EDIT'!D:D,A151)</f>
        <v>0</v>
      </c>
      <c r="D151" s="21">
        <f t="shared" si="1"/>
        <v>0</v>
      </c>
      <c r="E151" s="22" t="str">
        <f>AVERAGEIFS('Scores Import DO NOT EDIT'!L:L,'Scores Import DO NOT EDIT'!D:D,A151)</f>
        <v>#DIV/0!</v>
      </c>
      <c r="F151" s="23" t="str">
        <f>VLOOKUP(A151, 'Session Data'!A:M,3,false)</f>
        <v>C-8</v>
      </c>
      <c r="G151" s="24" t="str">
        <f>VLOOKUP(A151, 'Session Data'!A:I,2,false)</f>
        <v>1:00 PM</v>
      </c>
      <c r="H151" s="23" t="str">
        <f>VLOOKUP(A151, 'Session Data'!A:J,5,false)</f>
        <v>Physical and Mathematical Sciences 2</v>
      </c>
      <c r="I151" s="25" t="str">
        <f>VLOOKUP(A151, 'Session Data'!A:H,4,false)</f>
        <v>Oral </v>
      </c>
      <c r="J151" s="26" t="str">
        <f>VLOOKUP(A151, 'Session Data'!A:AA,14,false)</f>
        <v>Doctoral</v>
      </c>
      <c r="K151" s="27" t="str">
        <f>VLOOKUP(A151, 'Session Data'!A:AA,15,false)</f>
        <v>Sciences</v>
      </c>
      <c r="L151" s="28"/>
      <c r="M151" s="29" t="str">
        <f>VLOOKUP(A151, 'Session Data'!A:K,11,false)</f>
        <v>Joint Doctoral Program/Chemistry</v>
      </c>
      <c r="N151" s="26" t="str">
        <f>IF(ISNA(VLOOKUP(A151, 'Award Abstract#'!C:C, 1, FALSE)), "No", "Yes")
</f>
        <v>No</v>
      </c>
      <c r="O151" s="29" t="str">
        <f>IF(ISNA(VLOOKUP(A151,'Award Abstract#'!B:B,1,FALSE)), "No", "Yes")</f>
        <v>No</v>
      </c>
      <c r="P151" s="29" t="str">
        <f>IF(ISNA(VLOOKUP(A151,'Award Abstract#'!E:E,1,FALSE)), "No", "Yes")</f>
        <v>No</v>
      </c>
      <c r="Q151" s="29" t="str">
        <f>IF(ISNA(VLOOKUP(A151,'Award Abstract#'!A:A,1,FALSE)), "No", "Yes")</f>
        <v>No</v>
      </c>
      <c r="R151" s="29" t="str">
        <f>IF(ISNA(VLOOKUP(A151,'Award Abstract#'!D:D,1,FALSE)), "No", "Yes")</f>
        <v>No</v>
      </c>
      <c r="S151" s="30" t="str">
        <f>VLOOKUP(A151, 'Session Data'!A:AA,27,false)</f>
        <v>Man</v>
      </c>
      <c r="T151" s="30"/>
      <c r="U151" s="30"/>
      <c r="V151" s="31" t="str">
        <f>VLOOKUP(A151, 'Session Data'!A:AA,8,false)</f>
        <v>Harrison</v>
      </c>
      <c r="W151" s="32" t="str">
        <f>VLOOKUP(A151, 'Session Data'!A:AA,9,false)</f>
        <v>Pearce</v>
      </c>
      <c r="X151" s="33" t="str">
        <f>VLOOKUP(A151, 'Session Data'!A:AA,12,false)</f>
        <v>TDDFT study of the absorption spectra of tricyclic cytosine derivatives</v>
      </c>
      <c r="Y151" s="34" t="str">
        <f>VLOOKUP(A151, 'Session Data'!A:AA,22,false)</f>
        <v>Andrew</v>
      </c>
      <c r="Z151" s="34" t="str">
        <f>VLOOKUP(A151, 'Session Data'!A:AA,23,false)</f>
        <v>Cooksy</v>
      </c>
      <c r="AA151" s="34" t="str">
        <f>VLOOKUP(A151, 'Session Data'!A:AA,25,false)</f>
        <v>Sciences</v>
      </c>
      <c r="AB151" s="34"/>
      <c r="AC151" s="34" t="str">
        <f>VLOOKUP(A151, 'Session Data'!A:AA,16,false)</f>
        <v/>
      </c>
      <c r="AD151" s="35" t="str">
        <f>VLOOKUP(A151, 'Session Data'!A:U,17,false)</f>
        <v/>
      </c>
      <c r="AE151" s="35" t="str">
        <f>VLOOKUP(A151, 'Session Data'!A:U,18,false)</f>
        <v/>
      </c>
      <c r="AF151" s="35" t="str">
        <f>VLOOKUP(A151, 'Session Data'!A:U,19,false)</f>
        <v/>
      </c>
      <c r="AG151" s="35" t="str">
        <f>VLOOKUP(A151, 'Session Data'!A:U,20,false)</f>
        <v/>
      </c>
      <c r="AH151" s="35" t="str">
        <f>VLOOKUP(A151, 'Session Data'!A:U,21,false)</f>
        <v/>
      </c>
      <c r="AI151" s="37"/>
      <c r="AJ151" s="37"/>
      <c r="AK151" s="37"/>
      <c r="AL151" s="50"/>
      <c r="AM151" s="34" t="str">
        <f>VLOOKUP(A151, 'Session Data'!A:AA,10,false)</f>
        <v>hpearce@sdsu.edu</v>
      </c>
      <c r="AN151" s="40"/>
      <c r="AO151" s="38"/>
      <c r="AP151" s="38"/>
      <c r="AQ151" s="38"/>
      <c r="AR151" s="38"/>
      <c r="AS151" s="38"/>
      <c r="AT151" s="38"/>
      <c r="AU151" s="38"/>
      <c r="AV151" s="38"/>
      <c r="AW151" s="38"/>
      <c r="AX151" s="38"/>
      <c r="AY151" s="43"/>
      <c r="AZ151" s="43"/>
      <c r="BA151" s="48"/>
      <c r="BB151" s="48"/>
      <c r="BC151" s="43"/>
      <c r="BD151" s="43"/>
      <c r="BE151" s="44"/>
      <c r="BF151" s="45"/>
      <c r="BG151" s="43"/>
    </row>
    <row r="152">
      <c r="A152" s="19" t="s">
        <v>217</v>
      </c>
      <c r="B152" s="20">
        <f>VLOOKUP(F152,'Session Count DO NOT EDIT'!$A:$C,3,FALSE)</f>
        <v>5</v>
      </c>
      <c r="C152" s="20">
        <f>COUNTIFS('Scores Import DO NOT EDIT'!D:D,A152)</f>
        <v>0</v>
      </c>
      <c r="D152" s="21">
        <f t="shared" si="1"/>
        <v>0</v>
      </c>
      <c r="E152" s="22" t="str">
        <f>AVERAGEIFS('Scores Import DO NOT EDIT'!L:L,'Scores Import DO NOT EDIT'!D:D,A152)</f>
        <v>#DIV/0!</v>
      </c>
      <c r="F152" s="23" t="str">
        <f>VLOOKUP(A152, 'Session Data'!A:M,3,false)</f>
        <v>C-8</v>
      </c>
      <c r="G152" s="24" t="str">
        <f>VLOOKUP(A152, 'Session Data'!A:I,2,false)</f>
        <v>1:00 PM</v>
      </c>
      <c r="H152" s="23" t="str">
        <f>VLOOKUP(A152, 'Session Data'!A:J,5,false)</f>
        <v>Physical and Mathematical Sciences 2</v>
      </c>
      <c r="I152" s="25" t="str">
        <f>VLOOKUP(A152, 'Session Data'!A:H,4,false)</f>
        <v>Oral </v>
      </c>
      <c r="J152" s="26" t="str">
        <f>VLOOKUP(A152, 'Session Data'!A:AA,14,false)</f>
        <v>Master's</v>
      </c>
      <c r="K152" s="27" t="str">
        <f>VLOOKUP(A152, 'Session Data'!A:AA,15,false)</f>
        <v>Sciences</v>
      </c>
      <c r="L152" s="28"/>
      <c r="M152" s="29" t="str">
        <f>VLOOKUP(A152, 'Session Data'!A:K,11,false)</f>
        <v>Masters of Science in Astronomy</v>
      </c>
      <c r="N152" s="26" t="str">
        <f>IF(ISNA(VLOOKUP(A152, 'Award Abstract#'!C:C, 1, FALSE)), "No", "Yes")
</f>
        <v>No</v>
      </c>
      <c r="O152" s="29" t="str">
        <f>IF(ISNA(VLOOKUP(A152,'Award Abstract#'!B:B,1,FALSE)), "No", "Yes")</f>
        <v>No</v>
      </c>
      <c r="P152" s="29" t="str">
        <f>IF(ISNA(VLOOKUP(A152,'Award Abstract#'!E:E,1,FALSE)), "No", "Yes")</f>
        <v>No</v>
      </c>
      <c r="Q152" s="29" t="str">
        <f>IF(ISNA(VLOOKUP(A152,'Award Abstract#'!A:A,1,FALSE)), "No", "Yes")</f>
        <v>No</v>
      </c>
      <c r="R152" s="29" t="str">
        <f>IF(ISNA(VLOOKUP(A152,'Award Abstract#'!D:D,1,FALSE)), "No", "Yes")</f>
        <v>No</v>
      </c>
      <c r="S152" s="30" t="str">
        <f>VLOOKUP(A152, 'Session Data'!A:AA,27,false)</f>
        <v>Prefer not to respond</v>
      </c>
      <c r="T152" s="30"/>
      <c r="U152" s="30"/>
      <c r="V152" s="31" t="str">
        <f>VLOOKUP(A152, 'Session Data'!A:AA,8,false)</f>
        <v>JT</v>
      </c>
      <c r="W152" s="32" t="str">
        <f>VLOOKUP(A152, 'Session Data'!A:AA,9,false)</f>
        <v>Markham-Adkison</v>
      </c>
      <c r="X152" s="33" t="str">
        <f>VLOOKUP(A152, 'Session Data'!A:AA,12,false)</f>
        <v>Spectropolarimetry of Type Ia Supernovae: An investigation of the Si II 6355 Feature in SN 2018gv</v>
      </c>
      <c r="Y152" s="34" t="str">
        <f>VLOOKUP(A152, 'Session Data'!A:AA,22,false)</f>
        <v>Douglas</v>
      </c>
      <c r="Z152" s="34" t="str">
        <f>VLOOKUP(A152, 'Session Data'!A:AA,23,false)</f>
        <v>Leonard</v>
      </c>
      <c r="AA152" s="34" t="str">
        <f>VLOOKUP(A152, 'Session Data'!A:AA,25,false)</f>
        <v>Sciences</v>
      </c>
      <c r="AB152" s="34"/>
      <c r="AC152" s="34" t="str">
        <f>VLOOKUP(A152, 'Session Data'!A:AA,16,false)</f>
        <v/>
      </c>
      <c r="AD152" s="35" t="str">
        <f>VLOOKUP(A152, 'Session Data'!A:U,17,false)</f>
        <v/>
      </c>
      <c r="AE152" s="35" t="str">
        <f>VLOOKUP(A152, 'Session Data'!A:U,18,false)</f>
        <v/>
      </c>
      <c r="AF152" s="35" t="str">
        <f>VLOOKUP(A152, 'Session Data'!A:U,19,false)</f>
        <v/>
      </c>
      <c r="AG152" s="35" t="str">
        <f>VLOOKUP(A152, 'Session Data'!A:U,20,false)</f>
        <v/>
      </c>
      <c r="AH152" s="35" t="str">
        <f>VLOOKUP(A152, 'Session Data'!A:U,21,false)</f>
        <v/>
      </c>
      <c r="AI152" s="37"/>
      <c r="AJ152" s="37"/>
      <c r="AK152" s="37"/>
      <c r="AL152" s="50"/>
      <c r="AM152" s="34" t="str">
        <f>VLOOKUP(A152, 'Session Data'!A:AA,10,false)</f>
        <v>jmarkhamadkiso0597@sdsu.edu</v>
      </c>
      <c r="AN152" s="40"/>
      <c r="AO152" s="38"/>
      <c r="AP152" s="38"/>
      <c r="AQ152" s="38"/>
      <c r="AR152" s="38"/>
      <c r="AS152" s="38"/>
      <c r="AT152" s="38"/>
      <c r="AU152" s="38"/>
      <c r="AV152" s="38"/>
      <c r="AW152" s="38"/>
      <c r="AX152" s="38"/>
      <c r="AY152" s="43"/>
      <c r="AZ152" s="43"/>
      <c r="BA152" s="48"/>
      <c r="BB152" s="48"/>
      <c r="BC152" s="43"/>
      <c r="BD152" s="43"/>
      <c r="BE152" s="44"/>
      <c r="BF152" s="45"/>
      <c r="BG152" s="46"/>
    </row>
    <row r="153">
      <c r="A153" s="19" t="s">
        <v>218</v>
      </c>
      <c r="B153" s="20">
        <f>VLOOKUP(F153,'Session Count DO NOT EDIT'!$A:$C,3,FALSE)</f>
        <v>5</v>
      </c>
      <c r="C153" s="20">
        <f>COUNTIFS('Scores Import DO NOT EDIT'!D:D,A153)</f>
        <v>1</v>
      </c>
      <c r="D153" s="21">
        <f t="shared" si="1"/>
        <v>0.2</v>
      </c>
      <c r="E153" s="22">
        <f>AVERAGEIFS('Scores Import DO NOT EDIT'!L:L,'Scores Import DO NOT EDIT'!D:D,A153)</f>
        <v>33</v>
      </c>
      <c r="F153" s="23" t="str">
        <f>VLOOKUP(A153, 'Session Data'!A:M,3,false)</f>
        <v>C-8</v>
      </c>
      <c r="G153" s="24" t="str">
        <f>VLOOKUP(A153, 'Session Data'!A:I,2,false)</f>
        <v>1:00 PM</v>
      </c>
      <c r="H153" s="23" t="str">
        <f>VLOOKUP(A153, 'Session Data'!A:J,5,false)</f>
        <v>Physical and Mathematical Sciences 2</v>
      </c>
      <c r="I153" s="25" t="str">
        <f>VLOOKUP(A153, 'Session Data'!A:H,4,false)</f>
        <v>Oral </v>
      </c>
      <c r="J153" s="26" t="str">
        <f>VLOOKUP(A153, 'Session Data'!A:AA,14,false)</f>
        <v>Master's</v>
      </c>
      <c r="K153" s="27" t="str">
        <f>VLOOKUP(A153, 'Session Data'!A:AA,15,false)</f>
        <v>Sciences</v>
      </c>
      <c r="L153" s="47"/>
      <c r="M153" s="29" t="str">
        <f>VLOOKUP(A153, 'Session Data'!A:K,11,false)</f>
        <v>Masters of Science in Astronomy</v>
      </c>
      <c r="N153" s="26" t="str">
        <f>IF(ISNA(VLOOKUP(A153, 'Award Abstract#'!C:C, 1, FALSE)), "No", "Yes")
</f>
        <v>No</v>
      </c>
      <c r="O153" s="29" t="str">
        <f>IF(ISNA(VLOOKUP(A153,'Award Abstract#'!B:B,1,FALSE)), "No", "Yes")</f>
        <v>No</v>
      </c>
      <c r="P153" s="29" t="str">
        <f>IF(ISNA(VLOOKUP(A153,'Award Abstract#'!E:E,1,FALSE)), "No", "Yes")</f>
        <v>No</v>
      </c>
      <c r="Q153" s="29" t="str">
        <f>IF(ISNA(VLOOKUP(A153,'Award Abstract#'!A:A,1,FALSE)), "No", "Yes")</f>
        <v>No</v>
      </c>
      <c r="R153" s="29" t="str">
        <f>IF(ISNA(VLOOKUP(A153,'Award Abstract#'!D:D,1,FALSE)), "No", "Yes")</f>
        <v>No</v>
      </c>
      <c r="S153" s="30" t="str">
        <f>VLOOKUP(A153, 'Session Data'!A:AA,27,false)</f>
        <v>Woman</v>
      </c>
      <c r="T153" s="30"/>
      <c r="U153" s="30"/>
      <c r="V153" s="31" t="str">
        <f>VLOOKUP(A153, 'Session Data'!A:AA,8,false)</f>
        <v>Erika</v>
      </c>
      <c r="W153" s="32" t="str">
        <f>VLOOKUP(A153, 'Session Data'!A:AA,9,false)</f>
        <v>Dunning</v>
      </c>
      <c r="X153" s="33" t="str">
        <f>VLOOKUP(A153, 'Session Data'!A:AA,12,false)</f>
        <v>A Search for Circumbinary Planets Using Recent TESS Data</v>
      </c>
      <c r="Y153" s="34" t="str">
        <f>VLOOKUP(A153, 'Session Data'!A:AA,22,false)</f>
        <v>Jerome</v>
      </c>
      <c r="Z153" s="34" t="str">
        <f>VLOOKUP(A153, 'Session Data'!A:AA,23,false)</f>
        <v>Orosz</v>
      </c>
      <c r="AA153" s="34" t="str">
        <f>VLOOKUP(A153, 'Session Data'!A:AA,25,false)</f>
        <v>Sciences</v>
      </c>
      <c r="AB153" s="34"/>
      <c r="AC153" s="34" t="str">
        <f>VLOOKUP(A153, 'Session Data'!A:AA,16,false)</f>
        <v/>
      </c>
      <c r="AD153" s="35" t="str">
        <f>VLOOKUP(A153, 'Session Data'!A:U,17,false)</f>
        <v/>
      </c>
      <c r="AE153" s="35" t="str">
        <f>VLOOKUP(A153, 'Session Data'!A:U,18,false)</f>
        <v/>
      </c>
      <c r="AF153" s="35" t="str">
        <f>VLOOKUP(A153, 'Session Data'!A:U,19,false)</f>
        <v/>
      </c>
      <c r="AG153" s="35" t="str">
        <f>VLOOKUP(A153, 'Session Data'!A:U,20,false)</f>
        <v/>
      </c>
      <c r="AH153" s="35" t="str">
        <f>VLOOKUP(A153, 'Session Data'!A:U,21,false)</f>
        <v/>
      </c>
      <c r="AI153" s="37"/>
      <c r="AJ153" s="37"/>
      <c r="AK153" s="37"/>
      <c r="AL153" s="50"/>
      <c r="AM153" s="34" t="str">
        <f>VLOOKUP(A153, 'Session Data'!A:AA,10,false)</f>
        <v>edunning6450@sdsu.edu</v>
      </c>
      <c r="AN153" s="40"/>
      <c r="AO153" s="38"/>
      <c r="AP153" s="38"/>
      <c r="AQ153" s="38"/>
      <c r="AR153" s="38"/>
      <c r="AS153" s="38"/>
      <c r="AT153" s="38"/>
      <c r="AU153" s="38"/>
      <c r="AV153" s="38"/>
      <c r="AW153" s="38"/>
      <c r="AX153" s="38"/>
      <c r="AY153" s="43"/>
      <c r="AZ153" s="43"/>
      <c r="BA153" s="43"/>
      <c r="BB153" s="43"/>
      <c r="BC153" s="43"/>
      <c r="BD153" s="43"/>
      <c r="BE153" s="44"/>
      <c r="BF153" s="45"/>
      <c r="BG153" s="46"/>
    </row>
    <row r="154">
      <c r="A154" s="19" t="s">
        <v>219</v>
      </c>
      <c r="B154" s="20">
        <f>VLOOKUP(F154,'Session Count DO NOT EDIT'!$A:$C,3,FALSE)</f>
        <v>5</v>
      </c>
      <c r="C154" s="20">
        <f>COUNTIFS('Scores Import DO NOT EDIT'!D:D,A154)</f>
        <v>1</v>
      </c>
      <c r="D154" s="21">
        <f t="shared" si="1"/>
        <v>0.2</v>
      </c>
      <c r="E154" s="22">
        <f>AVERAGEIFS('Scores Import DO NOT EDIT'!L:L,'Scores Import DO NOT EDIT'!D:D,A154)</f>
        <v>26</v>
      </c>
      <c r="F154" s="23" t="str">
        <f>VLOOKUP(A154, 'Session Data'!A:M,3,false)</f>
        <v>C-8</v>
      </c>
      <c r="G154" s="24" t="str">
        <f>VLOOKUP(A154, 'Session Data'!A:I,2,false)</f>
        <v>1:00 PM</v>
      </c>
      <c r="H154" s="23" t="str">
        <f>VLOOKUP(A154, 'Session Data'!A:J,5,false)</f>
        <v>Physical and Mathematical Sciences 2</v>
      </c>
      <c r="I154" s="25" t="str">
        <f>VLOOKUP(A154, 'Session Data'!A:H,4,false)</f>
        <v>Oral </v>
      </c>
      <c r="J154" s="26" t="str">
        <f>VLOOKUP(A154, 'Session Data'!A:AA,14,false)</f>
        <v>Master's</v>
      </c>
      <c r="K154" s="27" t="str">
        <f>VLOOKUP(A154, 'Session Data'!A:AA,15,false)</f>
        <v>Engineering</v>
      </c>
      <c r="L154" s="47"/>
      <c r="M154" s="29" t="str">
        <f>VLOOKUP(A154, 'Session Data'!A:K,11,false)</f>
        <v>Masters of Science Aerospace Engineering, Aerodynamics</v>
      </c>
      <c r="N154" s="26" t="str">
        <f>IF(ISNA(VLOOKUP(A154, 'Award Abstract#'!C:C, 1, FALSE)), "No", "Yes")
</f>
        <v>No</v>
      </c>
      <c r="O154" s="29" t="str">
        <f>IF(ISNA(VLOOKUP(A154,'Award Abstract#'!B:B,1,FALSE)), "No", "Yes")</f>
        <v>No</v>
      </c>
      <c r="P154" s="29" t="str">
        <f>IF(ISNA(VLOOKUP(A154,'Award Abstract#'!E:E,1,FALSE)), "No", "Yes")</f>
        <v>No</v>
      </c>
      <c r="Q154" s="29" t="str">
        <f>IF(ISNA(VLOOKUP(A154,'Award Abstract#'!A:A,1,FALSE)), "No", "Yes")</f>
        <v>No</v>
      </c>
      <c r="R154" s="29" t="str">
        <f>IF(ISNA(VLOOKUP(A154,'Award Abstract#'!D:D,1,FALSE)), "No", "Yes")</f>
        <v>No</v>
      </c>
      <c r="S154" s="30" t="str">
        <f>VLOOKUP(A154, 'Session Data'!A:AA,27,false)</f>
        <v>Man</v>
      </c>
      <c r="T154" s="30"/>
      <c r="U154" s="30"/>
      <c r="V154" s="31" t="str">
        <f>VLOOKUP(A154, 'Session Data'!A:AA,8,false)</f>
        <v>Yuichiro</v>
      </c>
      <c r="W154" s="32" t="str">
        <f>VLOOKUP(A154, 'Session Data'!A:AA,9,false)</f>
        <v>Tobita</v>
      </c>
      <c r="X154" s="33" t="str">
        <f>VLOOKUP(A154, 'Session Data'!A:AA,12,false)</f>
        <v>Flow quality survey of the SDSU Low Speed Wind Tunnel test section using planar PIV </v>
      </c>
      <c r="Y154" s="34" t="str">
        <f>VLOOKUP(A154, 'Session Data'!A:AA,22,false)</f>
        <v>Xiaofeng</v>
      </c>
      <c r="Z154" s="34" t="str">
        <f>VLOOKUP(A154, 'Session Data'!A:AA,23,false)</f>
        <v>Liu</v>
      </c>
      <c r="AA154" s="34" t="str">
        <f>VLOOKUP(A154, 'Session Data'!A:AA,25,false)</f>
        <v>Engineering</v>
      </c>
      <c r="AB154" s="34" t="str">
        <f>VLOOKUP(A154, 'Session Data'!A:AA,24,false)</f>
        <v>xiaofeng.liu@sdsu.edu</v>
      </c>
      <c r="AC154" s="34" t="str">
        <f>VLOOKUP(A154, 'Session Data'!A:AA,16,false)</f>
        <v/>
      </c>
      <c r="AD154" s="35" t="str">
        <f>VLOOKUP(A154, 'Session Data'!A:U,17,false)</f>
        <v/>
      </c>
      <c r="AE154" s="35" t="str">
        <f>VLOOKUP(A154, 'Session Data'!A:U,18,false)</f>
        <v/>
      </c>
      <c r="AF154" s="35" t="str">
        <f>VLOOKUP(A154, 'Session Data'!A:U,19,false)</f>
        <v/>
      </c>
      <c r="AG154" s="35" t="str">
        <f>VLOOKUP(A154, 'Session Data'!A:U,20,false)</f>
        <v/>
      </c>
      <c r="AH154" s="35" t="str">
        <f>VLOOKUP(A154, 'Session Data'!A:U,21,false)</f>
        <v/>
      </c>
      <c r="AI154" s="37"/>
      <c r="AJ154" s="37"/>
      <c r="AK154" s="37"/>
      <c r="AL154" s="50"/>
      <c r="AM154" s="34" t="str">
        <f>VLOOKUP(A154, 'Session Data'!A:AA,10,false)</f>
        <v>ytobita@sdsu.edu</v>
      </c>
      <c r="AN154" s="40"/>
      <c r="AO154" s="38"/>
      <c r="AP154" s="38"/>
      <c r="AQ154" s="38"/>
      <c r="AR154" s="38"/>
      <c r="AS154" s="38"/>
      <c r="AT154" s="38"/>
      <c r="AU154" s="38"/>
      <c r="AV154" s="51"/>
      <c r="AW154" s="38"/>
      <c r="AX154" s="38"/>
      <c r="AY154" s="43"/>
      <c r="AZ154" s="43"/>
      <c r="BA154" s="43"/>
      <c r="BB154" s="43"/>
      <c r="BC154" s="43"/>
      <c r="BD154" s="43"/>
      <c r="BE154" s="44"/>
      <c r="BF154" s="45"/>
      <c r="BG154" s="43"/>
    </row>
    <row r="155">
      <c r="A155" s="19" t="s">
        <v>220</v>
      </c>
      <c r="B155" s="20">
        <f>VLOOKUP(F155,'Session Count DO NOT EDIT'!$A:$C,3,FALSE)</f>
        <v>5</v>
      </c>
      <c r="C155" s="20">
        <f>COUNTIFS('Scores Import DO NOT EDIT'!D:D,A155)</f>
        <v>3</v>
      </c>
      <c r="D155" s="21">
        <f t="shared" si="1"/>
        <v>0.6</v>
      </c>
      <c r="E155" s="22">
        <f>AVERAGEIFS('Scores Import DO NOT EDIT'!L:L,'Scores Import DO NOT EDIT'!D:D,A155)</f>
        <v>22.66666667</v>
      </c>
      <c r="F155" s="23" t="str">
        <f>VLOOKUP(A155, 'Session Data'!A:M,3,false)</f>
        <v>C-9</v>
      </c>
      <c r="G155" s="24" t="str">
        <f>VLOOKUP(A155, 'Session Data'!A:I,2,false)</f>
        <v>1:00 PM</v>
      </c>
      <c r="H155" s="23" t="str">
        <f>VLOOKUP(A155, 'Session Data'!A:J,5,false)</f>
        <v>Engineering and Computer Science</v>
      </c>
      <c r="I155" s="25" t="str">
        <f>VLOOKUP(A155, 'Session Data'!A:H,4,false)</f>
        <v>Oral </v>
      </c>
      <c r="J155" s="26" t="str">
        <f>VLOOKUP(A155, 'Session Data'!A:AA,14,false)</f>
        <v>Doctoral</v>
      </c>
      <c r="K155" s="27" t="str">
        <f>VLOOKUP(A155, 'Session Data'!A:AA,15,false)</f>
        <v>Engineering</v>
      </c>
      <c r="L155" s="47"/>
      <c r="M155" s="29" t="str">
        <f>VLOOKUP(A155, 'Session Data'!A:K,11,false)</f>
        <v>PhD in Structural Engineering Sciences (JDP)</v>
      </c>
      <c r="N155" s="26" t="str">
        <f>IF(ISNA(VLOOKUP(A155, 'Award Abstract#'!C:C, 1, FALSE)), "No", "Yes")
</f>
        <v>No</v>
      </c>
      <c r="O155" s="29" t="str">
        <f>IF(ISNA(VLOOKUP(A155,'Award Abstract#'!B:B,1,FALSE)), "No", "Yes")</f>
        <v>Yes</v>
      </c>
      <c r="P155" s="29" t="str">
        <f>IF(ISNA(VLOOKUP(A155,'Award Abstract#'!E:E,1,FALSE)), "No", "Yes")</f>
        <v>No</v>
      </c>
      <c r="Q155" s="29" t="str">
        <f>IF(ISNA(VLOOKUP(A155,'Award Abstract#'!A:A,1,FALSE)), "No", "Yes")</f>
        <v>No</v>
      </c>
      <c r="R155" s="29" t="str">
        <f>IF(ISNA(VLOOKUP(A155,'Award Abstract#'!D:D,1,FALSE)), "No", "Yes")</f>
        <v>No</v>
      </c>
      <c r="S155" s="30" t="str">
        <f>VLOOKUP(A155, 'Session Data'!A:AA,27,false)</f>
        <v>Man</v>
      </c>
      <c r="T155" s="30"/>
      <c r="U155" s="30"/>
      <c r="V155" s="31" t="str">
        <f>VLOOKUP(A155, 'Session Data'!A:AA,8,false)</f>
        <v>Ramin </v>
      </c>
      <c r="W155" s="32" t="str">
        <f>VLOOKUP(A155, 'Session Data'!A:AA,9,false)</f>
        <v>Sarange</v>
      </c>
      <c r="X155" s="33" t="str">
        <f>VLOOKUP(A155, 'Session Data'!A:AA,12,false)</f>
        <v>Mass Timber-Concrete Footing Connections with Ductility</v>
      </c>
      <c r="Y155" s="34" t="str">
        <f>VLOOKUP(A155, 'Session Data'!A:AA,22,false)</f>
        <v>Gloria</v>
      </c>
      <c r="Z155" s="34" t="str">
        <f>VLOOKUP(A155, 'Session Data'!A:AA,23,false)</f>
        <v>Faraone</v>
      </c>
      <c r="AA155" s="34" t="str">
        <f>VLOOKUP(A155, 'Session Data'!A:AA,25,false)</f>
        <v>Engineering</v>
      </c>
      <c r="AB155" s="34" t="str">
        <f>VLOOKUP(A155, 'Session Data'!A:AA,24,false)</f>
        <v>gfaraone@sdsu.edu</v>
      </c>
      <c r="AC155" s="34" t="str">
        <f>VLOOKUP(A155, 'Session Data'!A:AA,16,false)</f>
        <v/>
      </c>
      <c r="AD155" s="35" t="str">
        <f>VLOOKUP(A155, 'Session Data'!A:U,17,false)</f>
        <v/>
      </c>
      <c r="AE155" s="35" t="str">
        <f>VLOOKUP(A155, 'Session Data'!A:U,18,false)</f>
        <v/>
      </c>
      <c r="AF155" s="35" t="str">
        <f>VLOOKUP(A155, 'Session Data'!A:U,19,false)</f>
        <v/>
      </c>
      <c r="AG155" s="35" t="str">
        <f>VLOOKUP(A155, 'Session Data'!A:U,20,false)</f>
        <v/>
      </c>
      <c r="AH155" s="35" t="str">
        <f>VLOOKUP(A155, 'Session Data'!A:U,21,false)</f>
        <v/>
      </c>
      <c r="AI155" s="37"/>
      <c r="AJ155" s="37"/>
      <c r="AK155" s="37"/>
      <c r="AL155" s="50"/>
      <c r="AM155" s="34" t="str">
        <f>VLOOKUP(A155, 'Session Data'!A:AA,10,false)</f>
        <v>rsarange3987@sdsu.edu</v>
      </c>
      <c r="AN155" s="40"/>
      <c r="AO155" s="38"/>
      <c r="AP155" s="38"/>
      <c r="AQ155" s="38"/>
      <c r="AR155" s="38"/>
      <c r="AS155" s="38"/>
      <c r="AT155" s="38"/>
      <c r="AU155" s="38"/>
      <c r="AV155" s="38"/>
      <c r="AW155" s="38"/>
      <c r="AX155" s="38"/>
      <c r="AY155" s="43"/>
      <c r="AZ155" s="43"/>
      <c r="BA155" s="48"/>
      <c r="BB155" s="48"/>
      <c r="BC155" s="43"/>
      <c r="BD155" s="43"/>
      <c r="BE155" s="44"/>
      <c r="BF155" s="45"/>
      <c r="BG155" s="43"/>
    </row>
    <row r="156">
      <c r="A156" s="54" t="s">
        <v>221</v>
      </c>
      <c r="B156" s="55">
        <f>VLOOKUP(F156,'Session Count DO NOT EDIT'!$A:$C,3,FALSE)</f>
        <v>5</v>
      </c>
      <c r="C156" s="55">
        <f>COUNTIFS('Scores Import DO NOT EDIT'!D:D,A156)</f>
        <v>3</v>
      </c>
      <c r="D156" s="56">
        <f t="shared" si="1"/>
        <v>0.6</v>
      </c>
      <c r="E156" s="57">
        <f>AVERAGEIFS('Scores Import DO NOT EDIT'!L:L,'Scores Import DO NOT EDIT'!D:D,A156)</f>
        <v>31.33333333</v>
      </c>
      <c r="F156" s="58" t="str">
        <f>VLOOKUP(A156, 'Session Data'!A:M,3,false)</f>
        <v>C-9</v>
      </c>
      <c r="G156" s="59" t="str">
        <f>VLOOKUP(A156, 'Session Data'!A:I,2,false)</f>
        <v>1:00 PM</v>
      </c>
      <c r="H156" s="58" t="str">
        <f>VLOOKUP(A156, 'Session Data'!A:J,5,false)</f>
        <v>Engineering and Computer Science</v>
      </c>
      <c r="I156" s="60" t="str">
        <f>VLOOKUP(A156, 'Session Data'!A:H,4,false)</f>
        <v>Oral </v>
      </c>
      <c r="J156" s="61" t="str">
        <f>VLOOKUP(A156, 'Session Data'!A:AA,14,false)</f>
        <v>Master's</v>
      </c>
      <c r="K156" s="62" t="str">
        <f>VLOOKUP(A156, 'Session Data'!A:AA,15,false)</f>
        <v>Engineering</v>
      </c>
      <c r="L156" s="63" t="s">
        <v>98</v>
      </c>
      <c r="M156" s="58" t="str">
        <f>VLOOKUP(A156, 'Session Data'!A:K,11,false)</f>
        <v>MSME</v>
      </c>
      <c r="N156" s="61" t="str">
        <f>IF(ISNA(VLOOKUP(A156, 'Award Abstract#'!C:C, 1, FALSE)), "No", "Yes")
</f>
        <v>No</v>
      </c>
      <c r="O156" s="58" t="str">
        <f>IF(ISNA(VLOOKUP(A156,'Award Abstract#'!B:B,1,FALSE)), "No", "Yes")</f>
        <v>No</v>
      </c>
      <c r="P156" s="58" t="str">
        <f>IF(ISNA(VLOOKUP(A156,'Award Abstract#'!E:E,1,FALSE)), "No", "Yes")</f>
        <v>No</v>
      </c>
      <c r="Q156" s="58" t="str">
        <f>IF(ISNA(VLOOKUP(A156,'Award Abstract#'!A:A,1,FALSE)), "No", "Yes")</f>
        <v>No</v>
      </c>
      <c r="R156" s="58" t="str">
        <f>IF(ISNA(VLOOKUP(A156,'Award Abstract#'!D:D,1,FALSE)), "No", "Yes")</f>
        <v>No</v>
      </c>
      <c r="S156" s="64" t="str">
        <f>VLOOKUP(A156, 'Session Data'!A:AA,27,false)</f>
        <v>Man</v>
      </c>
      <c r="T156" s="64"/>
      <c r="U156" s="64"/>
      <c r="V156" s="58" t="str">
        <f>VLOOKUP(A156, 'Session Data'!A:AA,8,false)</f>
        <v>Anil</v>
      </c>
      <c r="W156" s="64" t="str">
        <f>VLOOKUP(A156, 'Session Data'!A:AA,9,false)</f>
        <v>Singh</v>
      </c>
      <c r="X156" s="64" t="str">
        <f>VLOOKUP(A156, 'Session Data'!A:AA,12,false)</f>
        <v>Mechanical Properties of Additively Manufactured Fiber-Reinforced Composites</v>
      </c>
      <c r="Y156" s="61" t="str">
        <f>VLOOKUP(A156, 'Session Data'!A:AA,22,false)</f>
        <v>George</v>
      </c>
      <c r="Z156" s="61" t="str">
        <f>VLOOKUP(A156, 'Session Data'!A:AA,23,false)</f>
        <v>Youssef</v>
      </c>
      <c r="AA156" s="61" t="str">
        <f>VLOOKUP(A156, 'Session Data'!A:AA,25,false)</f>
        <v>Engineering</v>
      </c>
      <c r="AB156" s="61" t="str">
        <f>VLOOKUP(A156, 'Session Data'!A:AA,24,false)</f>
        <v>gyoussef@sdsu.edu</v>
      </c>
      <c r="AC156" s="61" t="str">
        <f>VLOOKUP(A156, 'Session Data'!A:AA,16,false)</f>
        <v/>
      </c>
      <c r="AD156" s="65" t="str">
        <f>VLOOKUP(A156, 'Session Data'!A:U,17,false)</f>
        <v/>
      </c>
      <c r="AE156" s="65" t="str">
        <f>VLOOKUP(A156, 'Session Data'!A:U,18,false)</f>
        <v/>
      </c>
      <c r="AF156" s="65" t="str">
        <f>VLOOKUP(A156, 'Session Data'!A:U,19,false)</f>
        <v/>
      </c>
      <c r="AG156" s="65" t="str">
        <f>VLOOKUP(A156, 'Session Data'!A:U,20,false)</f>
        <v/>
      </c>
      <c r="AH156" s="65" t="str">
        <f>VLOOKUP(A156, 'Session Data'!A:U,21,false)</f>
        <v/>
      </c>
      <c r="AI156" s="66"/>
      <c r="AJ156" s="66"/>
      <c r="AK156" s="66"/>
      <c r="AL156" s="67"/>
      <c r="AM156" s="61" t="str">
        <f>VLOOKUP(A156, 'Session Data'!A:AA,10,false)</f>
        <v>asingh0362@sdsu.edu</v>
      </c>
      <c r="AN156" s="68"/>
      <c r="AO156" s="69"/>
      <c r="AP156" s="69"/>
      <c r="AQ156" s="69"/>
      <c r="AR156" s="69"/>
      <c r="AS156" s="69"/>
      <c r="AT156" s="69"/>
      <c r="AU156" s="69"/>
      <c r="AV156" s="69"/>
      <c r="AW156" s="69"/>
      <c r="AX156" s="69"/>
      <c r="AY156" s="70"/>
      <c r="AZ156" s="70"/>
      <c r="BA156" s="71"/>
      <c r="BB156" s="71"/>
      <c r="BC156" s="70"/>
      <c r="BD156" s="70"/>
      <c r="BE156" s="72"/>
      <c r="BF156" s="58"/>
      <c r="BG156" s="70"/>
    </row>
    <row r="157">
      <c r="A157" s="54" t="s">
        <v>222</v>
      </c>
      <c r="B157" s="55">
        <f>VLOOKUP(F157,'Session Count DO NOT EDIT'!$A:$C,3,FALSE)</f>
        <v>5</v>
      </c>
      <c r="C157" s="55">
        <f>COUNTIFS('Scores Import DO NOT EDIT'!D:D,A157)</f>
        <v>3</v>
      </c>
      <c r="D157" s="56">
        <f t="shared" si="1"/>
        <v>0.6</v>
      </c>
      <c r="E157" s="57">
        <f>AVERAGEIFS('Scores Import DO NOT EDIT'!L:L,'Scores Import DO NOT EDIT'!D:D,A157)</f>
        <v>29</v>
      </c>
      <c r="F157" s="58" t="str">
        <f>VLOOKUP(A157, 'Session Data'!A:M,3,false)</f>
        <v>C-9</v>
      </c>
      <c r="G157" s="59" t="str">
        <f>VLOOKUP(A157, 'Session Data'!A:I,2,false)</f>
        <v>1:00 PM</v>
      </c>
      <c r="H157" s="58" t="str">
        <f>VLOOKUP(A157, 'Session Data'!A:J,5,false)</f>
        <v>Engineering and Computer Science</v>
      </c>
      <c r="I157" s="60" t="str">
        <f>VLOOKUP(A157, 'Session Data'!A:H,4,false)</f>
        <v>Oral </v>
      </c>
      <c r="J157" s="61" t="str">
        <f>VLOOKUP(A157, 'Session Data'!A:AA,14,false)</f>
        <v>Master's</v>
      </c>
      <c r="K157" s="62" t="str">
        <f>VLOOKUP(A157, 'Session Data'!A:AA,15,false)</f>
        <v>Engineering</v>
      </c>
      <c r="L157" s="63" t="s">
        <v>98</v>
      </c>
      <c r="M157" s="58" t="str">
        <f>VLOOKUP(A157, 'Session Data'!A:K,11,false)</f>
        <v>Masters of Science in Mechanical Engineering</v>
      </c>
      <c r="N157" s="61" t="str">
        <f>IF(ISNA(VLOOKUP(A157, 'Award Abstract#'!C:C, 1, FALSE)), "No", "Yes")
</f>
        <v>No</v>
      </c>
      <c r="O157" s="58" t="str">
        <f>IF(ISNA(VLOOKUP(A157,'Award Abstract#'!B:B,1,FALSE)), "No", "Yes")</f>
        <v>No</v>
      </c>
      <c r="P157" s="58" t="str">
        <f>IF(ISNA(VLOOKUP(A157,'Award Abstract#'!E:E,1,FALSE)), "No", "Yes")</f>
        <v>No</v>
      </c>
      <c r="Q157" s="58" t="str">
        <f>IF(ISNA(VLOOKUP(A157,'Award Abstract#'!A:A,1,FALSE)), "No", "Yes")</f>
        <v>No</v>
      </c>
      <c r="R157" s="58" t="str">
        <f>IF(ISNA(VLOOKUP(A157,'Award Abstract#'!D:D,1,FALSE)), "No", "Yes")</f>
        <v>No</v>
      </c>
      <c r="S157" s="64" t="str">
        <f>VLOOKUP(A157, 'Session Data'!A:AA,27,false)</f>
        <v>Man</v>
      </c>
      <c r="T157" s="64"/>
      <c r="U157" s="64"/>
      <c r="V157" s="58" t="str">
        <f>VLOOKUP(A157, 'Session Data'!A:AA,8,false)</f>
        <v>Brandon</v>
      </c>
      <c r="W157" s="64" t="str">
        <f>VLOOKUP(A157, 'Session Data'!A:AA,9,false)</f>
        <v>Huffman</v>
      </c>
      <c r="X157" s="64" t="str">
        <f>VLOOKUP(A157, 'Session Data'!A:AA,12,false)</f>
        <v>Material Hybridization for Tunable Performance of 3D Printed Lattice Structures</v>
      </c>
      <c r="Y157" s="61" t="str">
        <f>VLOOKUP(A157, 'Session Data'!A:AA,22,false)</f>
        <v>George</v>
      </c>
      <c r="Z157" s="61" t="str">
        <f>VLOOKUP(A157, 'Session Data'!A:AA,23,false)</f>
        <v>Youssef</v>
      </c>
      <c r="AA157" s="61" t="str">
        <f>VLOOKUP(A157, 'Session Data'!A:AA,25,false)</f>
        <v>Engineering</v>
      </c>
      <c r="AB157" s="61" t="str">
        <f>VLOOKUP(A157, 'Session Data'!A:AA,24,false)</f>
        <v>gyoussef@sdsu.edu</v>
      </c>
      <c r="AC157" s="61" t="str">
        <f>VLOOKUP(A157, 'Session Data'!A:AA,16,false)</f>
        <v/>
      </c>
      <c r="AD157" s="65" t="str">
        <f>VLOOKUP(A157, 'Session Data'!A:U,17,false)</f>
        <v/>
      </c>
      <c r="AE157" s="65" t="str">
        <f>VLOOKUP(A157, 'Session Data'!A:U,18,false)</f>
        <v/>
      </c>
      <c r="AF157" s="65" t="str">
        <f>VLOOKUP(A157, 'Session Data'!A:U,19,false)</f>
        <v/>
      </c>
      <c r="AG157" s="65" t="str">
        <f>VLOOKUP(A157, 'Session Data'!A:U,20,false)</f>
        <v/>
      </c>
      <c r="AH157" s="65" t="str">
        <f>VLOOKUP(A157, 'Session Data'!A:U,21,false)</f>
        <v/>
      </c>
      <c r="AI157" s="80"/>
      <c r="AJ157" s="69"/>
      <c r="AK157" s="69"/>
      <c r="AL157" s="81"/>
      <c r="AM157" s="61" t="str">
        <f>VLOOKUP(A157, 'Session Data'!A:AA,10,false)</f>
        <v>bhuffman@sdsu.edu</v>
      </c>
      <c r="AN157" s="68"/>
      <c r="AO157" s="69"/>
      <c r="AP157" s="69"/>
      <c r="AQ157" s="69"/>
      <c r="AR157" s="69"/>
      <c r="AS157" s="69"/>
      <c r="AT157" s="69"/>
      <c r="AU157" s="69"/>
      <c r="AV157" s="69"/>
      <c r="AW157" s="69"/>
      <c r="AX157" s="69"/>
      <c r="AY157" s="70"/>
      <c r="AZ157" s="70"/>
      <c r="BA157" s="71"/>
      <c r="BB157" s="71"/>
      <c r="BC157" s="70"/>
      <c r="BD157" s="70"/>
      <c r="BE157" s="72"/>
      <c r="BF157" s="58"/>
      <c r="BG157" s="82"/>
    </row>
    <row r="158">
      <c r="A158" s="19" t="s">
        <v>223</v>
      </c>
      <c r="B158" s="20">
        <f>VLOOKUP(F158,'Session Count DO NOT EDIT'!$A:$C,3,FALSE)</f>
        <v>5</v>
      </c>
      <c r="C158" s="20">
        <f>COUNTIFS('Scores Import DO NOT EDIT'!D:D,A158)</f>
        <v>3</v>
      </c>
      <c r="D158" s="21">
        <f t="shared" si="1"/>
        <v>0.6</v>
      </c>
      <c r="E158" s="22">
        <f>AVERAGEIFS('Scores Import DO NOT EDIT'!L:L,'Scores Import DO NOT EDIT'!D:D,A158)</f>
        <v>28</v>
      </c>
      <c r="F158" s="23" t="str">
        <f>VLOOKUP(A158, 'Session Data'!A:M,3,false)</f>
        <v>C-9</v>
      </c>
      <c r="G158" s="24" t="str">
        <f>VLOOKUP(A158, 'Session Data'!A:I,2,false)</f>
        <v>1:00 PM</v>
      </c>
      <c r="H158" s="23" t="str">
        <f>VLOOKUP(A158, 'Session Data'!A:J,5,false)</f>
        <v>Engineering and Computer Science</v>
      </c>
      <c r="I158" s="25" t="str">
        <f>VLOOKUP(A158, 'Session Data'!A:H,4,false)</f>
        <v>Oral </v>
      </c>
      <c r="J158" s="26" t="str">
        <f>VLOOKUP(A158, 'Session Data'!A:AA,14,false)</f>
        <v>Master's</v>
      </c>
      <c r="K158" s="27" t="str">
        <f>VLOOKUP(A158, 'Session Data'!A:AA,15,false)</f>
        <v>Engineering</v>
      </c>
      <c r="L158" s="47"/>
      <c r="M158" s="29" t="str">
        <f>VLOOKUP(A158, 'Session Data'!A:K,11,false)</f>
        <v>Masters of Science Aerospace Engineering </v>
      </c>
      <c r="N158" s="26" t="str">
        <f>IF(ISNA(VLOOKUP(A158, 'Award Abstract#'!C:C, 1, FALSE)), "No", "Yes")
</f>
        <v>No</v>
      </c>
      <c r="O158" s="29" t="str">
        <f>IF(ISNA(VLOOKUP(A158,'Award Abstract#'!B:B,1,FALSE)), "No", "Yes")</f>
        <v>No</v>
      </c>
      <c r="P158" s="29" t="str">
        <f>IF(ISNA(VLOOKUP(A158,'Award Abstract#'!E:E,1,FALSE)), "No", "Yes")</f>
        <v>No</v>
      </c>
      <c r="Q158" s="29" t="str">
        <f>IF(ISNA(VLOOKUP(A158,'Award Abstract#'!A:A,1,FALSE)), "No", "Yes")</f>
        <v>No</v>
      </c>
      <c r="R158" s="29" t="str">
        <f>IF(ISNA(VLOOKUP(A158,'Award Abstract#'!D:D,1,FALSE)), "No", "Yes")</f>
        <v>No</v>
      </c>
      <c r="S158" s="30" t="str">
        <f>VLOOKUP(A158, 'Session Data'!A:AA,27,false)</f>
        <v>Man</v>
      </c>
      <c r="T158" s="30"/>
      <c r="U158" s="30"/>
      <c r="V158" s="31" t="str">
        <f>VLOOKUP(A158, 'Session Data'!A:AA,8,false)</f>
        <v>Evan</v>
      </c>
      <c r="W158" s="32" t="str">
        <f>VLOOKUP(A158, 'Session Data'!A:AA,9,false)</f>
        <v>Pruitt </v>
      </c>
      <c r="X158" s="33" t="str">
        <f>VLOOKUP(A158, 'Session Data'!A:AA,12,false)</f>
        <v>Atomization Feature Identification Tracking and Analysis </v>
      </c>
      <c r="Y158" s="34" t="str">
        <f>VLOOKUP(A158, 'Session Data'!A:AA,22,false)</f>
        <v>Xiaofeng</v>
      </c>
      <c r="Z158" s="34" t="str">
        <f>VLOOKUP(A158, 'Session Data'!A:AA,23,false)</f>
        <v>Liu</v>
      </c>
      <c r="AA158" s="34" t="str">
        <f>VLOOKUP(A158, 'Session Data'!A:AA,25,false)</f>
        <v>Engineering</v>
      </c>
      <c r="AB158" s="34" t="str">
        <f>VLOOKUP(A158, 'Session Data'!A:AA,24,false)</f>
        <v>xiaofeng.liu@sdsu.edu</v>
      </c>
      <c r="AC158" s="34" t="str">
        <f>VLOOKUP(A158, 'Session Data'!A:AA,16,false)</f>
        <v/>
      </c>
      <c r="AD158" s="35" t="str">
        <f>VLOOKUP(A158, 'Session Data'!A:U,17,false)</f>
        <v/>
      </c>
      <c r="AE158" s="35" t="str">
        <f>VLOOKUP(A158, 'Session Data'!A:U,18,false)</f>
        <v/>
      </c>
      <c r="AF158" s="35" t="str">
        <f>VLOOKUP(A158, 'Session Data'!A:U,19,false)</f>
        <v/>
      </c>
      <c r="AG158" s="35" t="str">
        <f>VLOOKUP(A158, 'Session Data'!A:U,20,false)</f>
        <v/>
      </c>
      <c r="AH158" s="35" t="str">
        <f>VLOOKUP(A158, 'Session Data'!A:U,21,false)</f>
        <v/>
      </c>
      <c r="AI158" s="37"/>
      <c r="AJ158" s="37"/>
      <c r="AK158" s="37"/>
      <c r="AL158" s="50"/>
      <c r="AM158" s="34" t="str">
        <f>VLOOKUP(A158, 'Session Data'!A:AA,10,false)</f>
        <v>epruitt2406@sdsu.edu</v>
      </c>
      <c r="AN158" s="40"/>
      <c r="AO158" s="38"/>
      <c r="AP158" s="38"/>
      <c r="AQ158" s="38"/>
      <c r="AR158" s="38"/>
      <c r="AS158" s="38"/>
      <c r="AT158" s="38"/>
      <c r="AU158" s="38"/>
      <c r="AV158" s="38"/>
      <c r="AW158" s="38"/>
      <c r="AX158" s="38"/>
      <c r="AY158" s="43"/>
      <c r="AZ158" s="43"/>
      <c r="BA158" s="48"/>
      <c r="BB158" s="48"/>
      <c r="BC158" s="43"/>
      <c r="BD158" s="43"/>
      <c r="BE158" s="44"/>
      <c r="BF158" s="45"/>
      <c r="BG158" s="43"/>
    </row>
    <row r="159">
      <c r="A159" s="19" t="s">
        <v>224</v>
      </c>
      <c r="B159" s="20">
        <f>VLOOKUP(F159,'Session Count DO NOT EDIT'!$A:$C,3,FALSE)</f>
        <v>5</v>
      </c>
      <c r="C159" s="20">
        <f>COUNTIFS('Scores Import DO NOT EDIT'!D:D,A159)</f>
        <v>3</v>
      </c>
      <c r="D159" s="21">
        <f t="shared" si="1"/>
        <v>0.6</v>
      </c>
      <c r="E159" s="22">
        <f>AVERAGEIFS('Scores Import DO NOT EDIT'!L:L,'Scores Import DO NOT EDIT'!D:D,A159)</f>
        <v>26.66666667</v>
      </c>
      <c r="F159" s="23" t="str">
        <f>VLOOKUP(A159, 'Session Data'!A:M,3,false)</f>
        <v>C-9</v>
      </c>
      <c r="G159" s="24" t="str">
        <f>VLOOKUP(A159, 'Session Data'!A:I,2,false)</f>
        <v>1:00 PM</v>
      </c>
      <c r="H159" s="23" t="str">
        <f>VLOOKUP(A159, 'Session Data'!A:J,5,false)</f>
        <v>Engineering and Computer Science</v>
      </c>
      <c r="I159" s="25" t="str">
        <f>VLOOKUP(A159, 'Session Data'!A:H,4,false)</f>
        <v>Oral </v>
      </c>
      <c r="J159" s="26" t="str">
        <f>VLOOKUP(A159, 'Session Data'!A:AA,14,false)</f>
        <v>Master's</v>
      </c>
      <c r="K159" s="27" t="str">
        <f>VLOOKUP(A159, 'Session Data'!A:AA,15,false)</f>
        <v>Sciences</v>
      </c>
      <c r="L159" s="28"/>
      <c r="M159" s="29" t="str">
        <f>VLOOKUP(A159, 'Session Data'!A:K,11,false)</f>
        <v>Masters in Computational Science</v>
      </c>
      <c r="N159" s="26" t="str">
        <f>IF(ISNA(VLOOKUP(A159, 'Award Abstract#'!C:C, 1, FALSE)), "No", "Yes")
</f>
        <v>No</v>
      </c>
      <c r="O159" s="29" t="str">
        <f>IF(ISNA(VLOOKUP(A159,'Award Abstract#'!B:B,1,FALSE)), "No", "Yes")</f>
        <v>No</v>
      </c>
      <c r="P159" s="29" t="str">
        <f>IF(ISNA(VLOOKUP(A159,'Award Abstract#'!E:E,1,FALSE)), "No", "Yes")</f>
        <v>No</v>
      </c>
      <c r="Q159" s="29" t="str">
        <f>IF(ISNA(VLOOKUP(A159,'Award Abstract#'!A:A,1,FALSE)), "No", "Yes")</f>
        <v>No</v>
      </c>
      <c r="R159" s="29" t="str">
        <f>IF(ISNA(VLOOKUP(A159,'Award Abstract#'!D:D,1,FALSE)), "No", "Yes")</f>
        <v>No</v>
      </c>
      <c r="S159" s="30" t="str">
        <f>VLOOKUP(A159, 'Session Data'!A:AA,27,false)</f>
        <v>Woman</v>
      </c>
      <c r="T159" s="30"/>
      <c r="U159" s="30"/>
      <c r="V159" s="31" t="str">
        <f>VLOOKUP(A159, 'Session Data'!A:AA,8,false)</f>
        <v>Zainab</v>
      </c>
      <c r="W159" s="32" t="str">
        <f>VLOOKUP(A159, 'Session Data'!A:AA,9,false)</f>
        <v>Afzali Kusha</v>
      </c>
      <c r="X159" s="33" t="str">
        <f>VLOOKUP(A159, 'Session Data'!A:AA,12,false)</f>
        <v>Evaluation Of Unmanned Aerial Systems (UAS)-Related Drivers’ Distraction Using Eye Tracker Data And EEG Signals</v>
      </c>
      <c r="Y159" s="34" t="str">
        <f>VLOOKUP(A159, 'Session Data'!A:AA,22,false)</f>
        <v>Reza</v>
      </c>
      <c r="Z159" s="34" t="str">
        <f>VLOOKUP(A159, 'Session Data'!A:AA,23,false)</f>
        <v>Akhavian</v>
      </c>
      <c r="AA159" s="34" t="str">
        <f>VLOOKUP(A159, 'Session Data'!A:AA,25,false)</f>
        <v>Engineering</v>
      </c>
      <c r="AB159" s="34"/>
      <c r="AC159" s="34" t="str">
        <f>VLOOKUP(A159, 'Session Data'!A:AA,16,false)</f>
        <v/>
      </c>
      <c r="AD159" s="35" t="str">
        <f>VLOOKUP(A159, 'Session Data'!A:U,17,false)</f>
        <v/>
      </c>
      <c r="AE159" s="35" t="str">
        <f>VLOOKUP(A159, 'Session Data'!A:U,18,false)</f>
        <v/>
      </c>
      <c r="AF159" s="35" t="str">
        <f>VLOOKUP(A159, 'Session Data'!A:U,19,false)</f>
        <v/>
      </c>
      <c r="AG159" s="35" t="str">
        <f>VLOOKUP(A159, 'Session Data'!A:U,20,false)</f>
        <v/>
      </c>
      <c r="AH159" s="35" t="str">
        <f>VLOOKUP(A159, 'Session Data'!A:U,21,false)</f>
        <v/>
      </c>
      <c r="AI159" s="37"/>
      <c r="AJ159" s="37"/>
      <c r="AK159" s="37"/>
      <c r="AL159" s="50"/>
      <c r="AM159" s="34" t="str">
        <f>VLOOKUP(A159, 'Session Data'!A:AA,10,false)</f>
        <v>zafzalikusha@sdsu.edu</v>
      </c>
      <c r="AN159" s="40"/>
      <c r="AO159" s="75"/>
      <c r="AP159" s="75"/>
      <c r="AQ159" s="75"/>
      <c r="AR159" s="75"/>
      <c r="AS159" s="75"/>
      <c r="AT159" s="75"/>
      <c r="AU159" s="75"/>
      <c r="AV159" s="75"/>
      <c r="AW159" s="75"/>
      <c r="AX159" s="75"/>
      <c r="AY159" s="43"/>
      <c r="AZ159" s="43"/>
      <c r="BA159" s="48"/>
      <c r="BB159" s="48"/>
      <c r="BC159" s="43"/>
      <c r="BD159" s="43"/>
      <c r="BE159" s="44"/>
      <c r="BF159" s="45"/>
      <c r="BG159" s="43"/>
    </row>
    <row r="160">
      <c r="A160" s="19" t="s">
        <v>225</v>
      </c>
      <c r="B160" s="20">
        <f>VLOOKUP(F160,'Session Count DO NOT EDIT'!$A:$C,3,FALSE)</f>
        <v>5</v>
      </c>
      <c r="C160" s="20">
        <f>COUNTIFS('Scores Import DO NOT EDIT'!D:D,A160)</f>
        <v>3</v>
      </c>
      <c r="D160" s="21">
        <f t="shared" si="1"/>
        <v>0.6</v>
      </c>
      <c r="E160" s="22">
        <f>AVERAGEIFS('Scores Import DO NOT EDIT'!L:L,'Scores Import DO NOT EDIT'!D:D,A160)</f>
        <v>25</v>
      </c>
      <c r="F160" s="23" t="str">
        <f>VLOOKUP(A160, 'Session Data'!A:M,3,false)</f>
        <v>C-9</v>
      </c>
      <c r="G160" s="24" t="str">
        <f>VLOOKUP(A160, 'Session Data'!A:I,2,false)</f>
        <v>1:00 PM</v>
      </c>
      <c r="H160" s="23" t="str">
        <f>VLOOKUP(A160, 'Session Data'!A:J,5,false)</f>
        <v>Engineering and Computer Science</v>
      </c>
      <c r="I160" s="25" t="str">
        <f>VLOOKUP(A160, 'Session Data'!A:H,4,false)</f>
        <v>Oral </v>
      </c>
      <c r="J160" s="26" t="str">
        <f>VLOOKUP(A160, 'Session Data'!A:AA,14,false)</f>
        <v>Doctoral</v>
      </c>
      <c r="K160" s="27" t="str">
        <f>VLOOKUP(A160, 'Session Data'!A:AA,15,false)</f>
        <v>Engineering</v>
      </c>
      <c r="L160" s="47"/>
      <c r="M160" s="29" t="str">
        <f>VLOOKUP(A160, 'Session Data'!A:K,11,false)</f>
        <v>PhD/JDP of Structrual Engineering</v>
      </c>
      <c r="N160" s="26" t="str">
        <f>IF(ISNA(VLOOKUP(A160, 'Award Abstract#'!C:C, 1, FALSE)), "No", "Yes")
</f>
        <v>No</v>
      </c>
      <c r="O160" s="29" t="str">
        <f>IF(ISNA(VLOOKUP(A160,'Award Abstract#'!B:B,1,FALSE)), "No", "Yes")</f>
        <v>No</v>
      </c>
      <c r="P160" s="29" t="str">
        <f>IF(ISNA(VLOOKUP(A160,'Award Abstract#'!E:E,1,FALSE)), "No", "Yes")</f>
        <v>No</v>
      </c>
      <c r="Q160" s="29" t="str">
        <f>IF(ISNA(VLOOKUP(A160,'Award Abstract#'!A:A,1,FALSE)), "No", "Yes")</f>
        <v>No</v>
      </c>
      <c r="R160" s="29" t="str">
        <f>IF(ISNA(VLOOKUP(A160,'Award Abstract#'!D:D,1,FALSE)), "No", "Yes")</f>
        <v>Yes</v>
      </c>
      <c r="S160" s="30" t="str">
        <f>VLOOKUP(A160, 'Session Data'!A:AA,27,false)</f>
        <v>Woman</v>
      </c>
      <c r="T160" s="30"/>
      <c r="U160" s="30"/>
      <c r="V160" s="31" t="str">
        <f>VLOOKUP(A160, 'Session Data'!A:AA,8,false)</f>
        <v>MINGYUE</v>
      </c>
      <c r="W160" s="32" t="str">
        <f>VLOOKUP(A160, 'Session Data'!A:AA,9,false)</f>
        <v>ZHANG</v>
      </c>
      <c r="X160" s="33" t="str">
        <f>VLOOKUP(A160, 'Session Data'!A:AA,12,false)</f>
        <v>Ultrasonic Guided Waves Scattering Spectra by Hybrid Global-Local Modeling for NDE in Composites with Varying Defect Features</v>
      </c>
      <c r="Y160" s="34" t="str">
        <f>VLOOKUP(A160, 'Session Data'!A:AA,22,false)</f>
        <v>Margherita</v>
      </c>
      <c r="Z160" s="34" t="str">
        <f>VLOOKUP(A160, 'Session Data'!A:AA,23,false)</f>
        <v>Capriotti</v>
      </c>
      <c r="AA160" s="34" t="str">
        <f>VLOOKUP(A160, 'Session Data'!A:AA,25,false)</f>
        <v>Engineering</v>
      </c>
      <c r="AB160" s="34" t="str">
        <f>VLOOKUP(A160, 'Session Data'!A:AA,24,false)</f>
        <v>mcapriotti@sdsu.edu</v>
      </c>
      <c r="AC160" s="34" t="str">
        <f>VLOOKUP(A160, 'Session Data'!A:AA,16,false)</f>
        <v/>
      </c>
      <c r="AD160" s="35" t="str">
        <f>VLOOKUP(A160, 'Session Data'!A:U,17,false)</f>
        <v/>
      </c>
      <c r="AE160" s="35" t="str">
        <f>VLOOKUP(A160, 'Session Data'!A:U,18,false)</f>
        <v/>
      </c>
      <c r="AF160" s="35" t="str">
        <f>VLOOKUP(A160, 'Session Data'!A:U,19,false)</f>
        <v/>
      </c>
      <c r="AG160" s="35" t="str">
        <f>VLOOKUP(A160, 'Session Data'!A:U,20,false)</f>
        <v/>
      </c>
      <c r="AH160" s="35" t="str">
        <f>VLOOKUP(A160, 'Session Data'!A:U,21,false)</f>
        <v/>
      </c>
      <c r="AI160" s="37"/>
      <c r="AJ160" s="37"/>
      <c r="AK160" s="37"/>
      <c r="AL160" s="50"/>
      <c r="AM160" s="34" t="str">
        <f>VLOOKUP(A160, 'Session Data'!A:AA,10,false)</f>
        <v>mzhang4113@sdsu.edu</v>
      </c>
      <c r="AN160" s="40"/>
      <c r="AO160" s="38"/>
      <c r="AP160" s="38"/>
      <c r="AQ160" s="38"/>
      <c r="AR160" s="38"/>
      <c r="AS160" s="38"/>
      <c r="AT160" s="38"/>
      <c r="AU160" s="38"/>
      <c r="AV160" s="38"/>
      <c r="AW160" s="38"/>
      <c r="AX160" s="38"/>
      <c r="AY160" s="43"/>
      <c r="AZ160" s="43"/>
      <c r="BA160" s="48"/>
      <c r="BB160" s="48"/>
      <c r="BC160" s="43"/>
      <c r="BD160" s="43"/>
      <c r="BE160" s="44"/>
      <c r="BF160" s="45"/>
      <c r="BG160" s="43"/>
    </row>
    <row r="161">
      <c r="A161" s="19" t="s">
        <v>226</v>
      </c>
      <c r="B161" s="20">
        <f>VLOOKUP(F161,'Session Count DO NOT EDIT'!$A:$C,3,FALSE)</f>
        <v>5</v>
      </c>
      <c r="C161" s="20">
        <f>COUNTIFS('Scores Import DO NOT EDIT'!D:D,A161)</f>
        <v>0</v>
      </c>
      <c r="D161" s="21">
        <f t="shared" si="1"/>
        <v>0</v>
      </c>
      <c r="E161" s="22" t="str">
        <f>AVERAGEIFS('Scores Import DO NOT EDIT'!L:L,'Scores Import DO NOT EDIT'!D:D,A161)</f>
        <v>#DIV/0!</v>
      </c>
      <c r="F161" s="23" t="str">
        <f>VLOOKUP(A161, 'Session Data'!A:M,3,false)</f>
        <v>D-1</v>
      </c>
      <c r="G161" s="24" t="str">
        <f>VLOOKUP(A161, 'Session Data'!A:I,2,false)</f>
        <v>3:00 PM</v>
      </c>
      <c r="H161" s="23" t="str">
        <f>VLOOKUP(A161, 'Session Data'!A:J,5,false)</f>
        <v>Behavioral and Social Sciences</v>
      </c>
      <c r="I161" s="25" t="str">
        <f>VLOOKUP(A161, 'Session Data'!A:H,4,false)</f>
        <v>Oral </v>
      </c>
      <c r="J161" s="26" t="str">
        <f>VLOOKUP(A161, 'Session Data'!A:AA,14,false)</f>
        <v>Undergraduate</v>
      </c>
      <c r="K161" s="27" t="str">
        <f>VLOOKUP(A161, 'Session Data'!A:AA,15,false)</f>
        <v>Professional Studies and Fine Arts</v>
      </c>
      <c r="L161" s="47"/>
      <c r="M161" s="29" t="str">
        <f>VLOOKUP(A161, 'Session Data'!A:K,11,false)</f>
        <v>Communication</v>
      </c>
      <c r="N161" s="26" t="str">
        <f>IF(ISNA(VLOOKUP(A161, 'Award Abstract#'!C:C, 1, FALSE)), "No", "Yes")
</f>
        <v>No</v>
      </c>
      <c r="O161" s="29" t="str">
        <f>IF(ISNA(VLOOKUP(A161,'Award Abstract#'!B:B,1,FALSE)), "No", "Yes")</f>
        <v>No</v>
      </c>
      <c r="P161" s="29" t="str">
        <f>IF(ISNA(VLOOKUP(A161,'Award Abstract#'!E:E,1,FALSE)), "No", "Yes")</f>
        <v>No</v>
      </c>
      <c r="Q161" s="29" t="str">
        <f>IF(ISNA(VLOOKUP(A161,'Award Abstract#'!A:A,1,FALSE)), "No", "Yes")</f>
        <v>No</v>
      </c>
      <c r="R161" s="29" t="str">
        <f>IF(ISNA(VLOOKUP(A161,'Award Abstract#'!D:D,1,FALSE)), "No", "Yes")</f>
        <v>Yes</v>
      </c>
      <c r="S161" s="30" t="str">
        <f>VLOOKUP(A161, 'Session Data'!A:AA,27,false)</f>
        <v>Woman</v>
      </c>
      <c r="T161" s="30"/>
      <c r="U161" s="30"/>
      <c r="V161" s="31" t="str">
        <f>VLOOKUP(A161, 'Session Data'!A:AA,8,false)</f>
        <v>Savannah</v>
      </c>
      <c r="W161" s="32" t="str">
        <f>VLOOKUP(A161, 'Session Data'!A:AA,9,false)</f>
        <v>Nix </v>
      </c>
      <c r="X161" s="33" t="str">
        <f>VLOOKUP(A161, 'Session Data'!A:AA,12,false)</f>
        <v>Does Fair Exist? - A Case Study on Ethics, Decision-Making, and Leadership in the 9/11 Victim Compensation Fund as Shown in the Film “Worth” </v>
      </c>
      <c r="Y161" s="34" t="str">
        <f>VLOOKUP(A161, 'Session Data'!A:AA,22,false)</f>
        <v>Tiffany </v>
      </c>
      <c r="Z161" s="34" t="str">
        <f>VLOOKUP(A161, 'Session Data'!A:AA,23,false)</f>
        <v>Dykstra-DeVette, PhD</v>
      </c>
      <c r="AA161" s="34" t="str">
        <f>VLOOKUP(A161, 'Session Data'!A:AA,25,false)</f>
        <v>Professional Studies and Fine Arts</v>
      </c>
      <c r="AB161" s="34" t="str">
        <f>VLOOKUP(A161, 'Session Data'!A:AA,24,false)</f>
        <v>tdykstradevette@sdsu.edu</v>
      </c>
      <c r="AC161" s="34" t="str">
        <f>VLOOKUP(A161, 'Session Data'!A:AA,16,false)</f>
        <v/>
      </c>
      <c r="AD161" s="35" t="str">
        <f>VLOOKUP(A161, 'Session Data'!A:U,17,false)</f>
        <v/>
      </c>
      <c r="AE161" s="35" t="str">
        <f>VLOOKUP(A161, 'Session Data'!A:U,18,false)</f>
        <v/>
      </c>
      <c r="AF161" s="35" t="str">
        <f>VLOOKUP(A161, 'Session Data'!A:U,19,false)</f>
        <v/>
      </c>
      <c r="AG161" s="35" t="str">
        <f>VLOOKUP(A161, 'Session Data'!A:U,20,false)</f>
        <v/>
      </c>
      <c r="AH161" s="35" t="str">
        <f>VLOOKUP(A161, 'Session Data'!A:U,21,false)</f>
        <v/>
      </c>
      <c r="AI161" s="37"/>
      <c r="AJ161" s="37"/>
      <c r="AK161" s="37"/>
      <c r="AL161" s="50"/>
      <c r="AM161" s="34" t="str">
        <f>VLOOKUP(A161, 'Session Data'!A:AA,10,false)</f>
        <v>snix2808@sdsu.edu</v>
      </c>
      <c r="AN161" s="40"/>
      <c r="AO161" s="38"/>
      <c r="AP161" s="38"/>
      <c r="AQ161" s="38"/>
      <c r="AR161" s="38"/>
      <c r="AS161" s="38"/>
      <c r="AT161" s="38"/>
      <c r="AU161" s="38"/>
      <c r="AV161" s="38"/>
      <c r="AW161" s="38"/>
      <c r="AX161" s="38"/>
      <c r="AY161" s="43"/>
      <c r="AZ161" s="43"/>
      <c r="BA161" s="43"/>
      <c r="BB161" s="43"/>
      <c r="BC161" s="43"/>
      <c r="BD161" s="43"/>
      <c r="BE161" s="44"/>
      <c r="BF161" s="45"/>
      <c r="BG161" s="43"/>
    </row>
    <row r="162">
      <c r="A162" s="19" t="s">
        <v>227</v>
      </c>
      <c r="B162" s="20">
        <f>VLOOKUP(F162,'Session Count DO NOT EDIT'!$A:$C,3,FALSE)</f>
        <v>5</v>
      </c>
      <c r="C162" s="20">
        <f>COUNTIFS('Scores Import DO NOT EDIT'!D:D,A162)</f>
        <v>3</v>
      </c>
      <c r="D162" s="21">
        <f t="shared" si="1"/>
        <v>0.6</v>
      </c>
      <c r="E162" s="22">
        <f>AVERAGEIFS('Scores Import DO NOT EDIT'!L:L,'Scores Import DO NOT EDIT'!D:D,A162)</f>
        <v>29</v>
      </c>
      <c r="F162" s="23" t="str">
        <f>VLOOKUP(A162, 'Session Data'!A:M,3,false)</f>
        <v>D-1</v>
      </c>
      <c r="G162" s="24" t="str">
        <f>VLOOKUP(A162, 'Session Data'!A:I,2,false)</f>
        <v>3:00 PM</v>
      </c>
      <c r="H162" s="23" t="str">
        <f>VLOOKUP(A162, 'Session Data'!A:J,5,false)</f>
        <v>Behavioral and Social Sciences</v>
      </c>
      <c r="I162" s="25" t="str">
        <f>VLOOKUP(A162, 'Session Data'!A:H,4,false)</f>
        <v>Oral </v>
      </c>
      <c r="J162" s="26" t="str">
        <f>VLOOKUP(A162, 'Session Data'!A:AA,14,false)</f>
        <v>Undergraduate</v>
      </c>
      <c r="K162" s="27" t="str">
        <f>VLOOKUP(A162, 'Session Data'!A:AA,15,false)</f>
        <v>Arts and Letters</v>
      </c>
      <c r="L162" s="28"/>
      <c r="M162" s="29" t="str">
        <f>VLOOKUP(A162, 'Session Data'!A:K,11,false)</f>
        <v>Mathematical Economics</v>
      </c>
      <c r="N162" s="26" t="str">
        <f>IF(ISNA(VLOOKUP(A162, 'Award Abstract#'!C:C, 1, FALSE)), "No", "Yes")
</f>
        <v>No</v>
      </c>
      <c r="O162" s="29" t="str">
        <f>IF(ISNA(VLOOKUP(A162,'Award Abstract#'!B:B,1,FALSE)), "No", "Yes")</f>
        <v>No</v>
      </c>
      <c r="P162" s="29" t="str">
        <f>IF(ISNA(VLOOKUP(A162,'Award Abstract#'!E:E,1,FALSE)), "No", "Yes")</f>
        <v>Yes</v>
      </c>
      <c r="Q162" s="29" t="str">
        <f>IF(ISNA(VLOOKUP(A162,'Award Abstract#'!A:A,1,FALSE)), "No", "Yes")</f>
        <v>No</v>
      </c>
      <c r="R162" s="29" t="str">
        <f>IF(ISNA(VLOOKUP(A162,'Award Abstract#'!D:D,1,FALSE)), "No", "Yes")</f>
        <v>Yes</v>
      </c>
      <c r="S162" s="30" t="str">
        <f>VLOOKUP(A162, 'Session Data'!A:AA,27,false)</f>
        <v>Woman</v>
      </c>
      <c r="T162" s="30"/>
      <c r="U162" s="30"/>
      <c r="V162" s="31" t="str">
        <f>VLOOKUP(A162, 'Session Data'!A:AA,8,false)</f>
        <v>Audrey</v>
      </c>
      <c r="W162" s="32" t="str">
        <f>VLOOKUP(A162, 'Session Data'!A:AA,9,false)</f>
        <v>Lacher</v>
      </c>
      <c r="X162" s="33" t="str">
        <f>VLOOKUP(A162, 'Session Data'!A:AA,12,false)</f>
        <v>The Effect of Ethnic Discernment on Exogamy in the US</v>
      </c>
      <c r="Y162" s="34" t="str">
        <f>VLOOKUP(A162, 'Session Data'!A:AA,22,false)</f>
        <v>Hisham</v>
      </c>
      <c r="Z162" s="34" t="str">
        <f>VLOOKUP(A162, 'Session Data'!A:AA,23,false)</f>
        <v>Foad </v>
      </c>
      <c r="AA162" s="34" t="str">
        <f>VLOOKUP(A162, 'Session Data'!A:AA,25,false)</f>
        <v>Arts and Letters</v>
      </c>
      <c r="AB162" s="34" t="str">
        <f>VLOOKUP(A162, 'Session Data'!A:AA,24,false)</f>
        <v>hfoad@sdsu.edu</v>
      </c>
      <c r="AC162" s="34" t="str">
        <f>VLOOKUP(A162, 'Session Data'!A:AA,16,false)</f>
        <v/>
      </c>
      <c r="AD162" s="35" t="str">
        <f>VLOOKUP(A162, 'Session Data'!A:U,17,false)</f>
        <v/>
      </c>
      <c r="AE162" s="35" t="str">
        <f>VLOOKUP(A162, 'Session Data'!A:U,18,false)</f>
        <v/>
      </c>
      <c r="AF162" s="35" t="str">
        <f>VLOOKUP(A162, 'Session Data'!A:U,19,false)</f>
        <v/>
      </c>
      <c r="AG162" s="35" t="str">
        <f>VLOOKUP(A162, 'Session Data'!A:U,20,false)</f>
        <v/>
      </c>
      <c r="AH162" s="35" t="str">
        <f>VLOOKUP(A162, 'Session Data'!A:U,21,false)</f>
        <v/>
      </c>
      <c r="AI162" s="37"/>
      <c r="AJ162" s="37"/>
      <c r="AK162" s="37"/>
      <c r="AL162" s="50"/>
      <c r="AM162" s="34" t="str">
        <f>VLOOKUP(A162, 'Session Data'!A:AA,10,false)</f>
        <v>alacher7414@sdsu.edu</v>
      </c>
      <c r="AN162" s="40"/>
      <c r="AO162" s="38"/>
      <c r="AP162" s="38"/>
      <c r="AQ162" s="38"/>
      <c r="AR162" s="38"/>
      <c r="AS162" s="38"/>
      <c r="AT162" s="38"/>
      <c r="AU162" s="38"/>
      <c r="AV162" s="38"/>
      <c r="AW162" s="38"/>
      <c r="AX162" s="38"/>
      <c r="AY162" s="43"/>
      <c r="AZ162" s="43"/>
      <c r="BA162" s="43"/>
      <c r="BB162" s="43"/>
      <c r="BC162" s="43"/>
      <c r="BD162" s="43"/>
      <c r="BE162" s="44"/>
      <c r="BF162" s="45"/>
      <c r="BG162" s="43"/>
    </row>
    <row r="163">
      <c r="A163" s="19" t="s">
        <v>228</v>
      </c>
      <c r="B163" s="20">
        <f>VLOOKUP(F163,'Session Count DO NOT EDIT'!$A:$C,3,FALSE)</f>
        <v>5</v>
      </c>
      <c r="C163" s="20">
        <f>COUNTIFS('Scores Import DO NOT EDIT'!D:D,A163)</f>
        <v>3</v>
      </c>
      <c r="D163" s="21">
        <f t="shared" si="1"/>
        <v>0.6</v>
      </c>
      <c r="E163" s="22">
        <f>AVERAGEIFS('Scores Import DO NOT EDIT'!L:L,'Scores Import DO NOT EDIT'!D:D,A163)</f>
        <v>26.33333333</v>
      </c>
      <c r="F163" s="23" t="str">
        <f>VLOOKUP(A163, 'Session Data'!A:M,3,false)</f>
        <v>D-1</v>
      </c>
      <c r="G163" s="24" t="str">
        <f>VLOOKUP(A163, 'Session Data'!A:I,2,false)</f>
        <v>3:00 PM</v>
      </c>
      <c r="H163" s="23" t="str">
        <f>VLOOKUP(A163, 'Session Data'!A:J,5,false)</f>
        <v>Behavioral and Social Sciences</v>
      </c>
      <c r="I163" s="25" t="str">
        <f>VLOOKUP(A163, 'Session Data'!A:H,4,false)</f>
        <v>Oral </v>
      </c>
      <c r="J163" s="26" t="str">
        <f>VLOOKUP(A163, 'Session Data'!A:AA,14,false)</f>
        <v>Undergraduate</v>
      </c>
      <c r="K163" s="27" t="str">
        <f>VLOOKUP(A163, 'Session Data'!A:AA,15,false)</f>
        <v>Professional Studies and Fine Arts</v>
      </c>
      <c r="L163" s="28"/>
      <c r="M163" s="29" t="str">
        <f>VLOOKUP(A163, 'Session Data'!A:K,11,false)</f>
        <v>Bachelor of Arts in Music and Bachelor of Arts in Psychology</v>
      </c>
      <c r="N163" s="26" t="str">
        <f>IF(ISNA(VLOOKUP(A163, 'Award Abstract#'!C:C, 1, FALSE)), "No", "Yes")
</f>
        <v>No</v>
      </c>
      <c r="O163" s="29" t="str">
        <f>IF(ISNA(VLOOKUP(A163,'Award Abstract#'!B:B,1,FALSE)), "No", "Yes")</f>
        <v>No</v>
      </c>
      <c r="P163" s="29" t="str">
        <f>IF(ISNA(VLOOKUP(A163,'Award Abstract#'!E:E,1,FALSE)), "No", "Yes")</f>
        <v>No</v>
      </c>
      <c r="Q163" s="29" t="str">
        <f>IF(ISNA(VLOOKUP(A163,'Award Abstract#'!A:A,1,FALSE)), "No", "Yes")</f>
        <v>No</v>
      </c>
      <c r="R163" s="29" t="str">
        <f>IF(ISNA(VLOOKUP(A163,'Award Abstract#'!D:D,1,FALSE)), "No", "Yes")</f>
        <v>Yes</v>
      </c>
      <c r="S163" s="30" t="str">
        <f>VLOOKUP(A163, 'Session Data'!A:AA,27,false)</f>
        <v>Woman</v>
      </c>
      <c r="T163" s="30"/>
      <c r="U163" s="30"/>
      <c r="V163" s="31" t="str">
        <f>VLOOKUP(A163, 'Session Data'!A:AA,8,false)</f>
        <v>Hannah</v>
      </c>
      <c r="W163" s="32" t="str">
        <f>VLOOKUP(A163, 'Session Data'!A:AA,9,false)</f>
        <v>Freed</v>
      </c>
      <c r="X163" s="33" t="str">
        <f>VLOOKUP(A163, 'Session Data'!A:AA,12,false)</f>
        <v>Robert Schumann: Mental Health and Musical Creations</v>
      </c>
      <c r="Y163" s="34" t="str">
        <f>VLOOKUP(A163, 'Session Data'!A:AA,22,false)</f>
        <v>Maya</v>
      </c>
      <c r="Z163" s="34" t="str">
        <f>VLOOKUP(A163, 'Session Data'!A:AA,23,false)</f>
        <v>Ginsberg</v>
      </c>
      <c r="AA163" s="34" t="str">
        <f>VLOOKUP(A163, 'Session Data'!A:AA,25,false)</f>
        <v>Professional Studies and Fine Arts</v>
      </c>
      <c r="AB163" s="34" t="str">
        <f>VLOOKUP(A163, 'Session Data'!A:AA,24,false)</f>
        <v>mginsberg@sdsu.edu</v>
      </c>
      <c r="AC163" s="34" t="str">
        <f>VLOOKUP(A163, 'Session Data'!A:AA,16,false)</f>
        <v/>
      </c>
      <c r="AD163" s="35" t="str">
        <f>VLOOKUP(A163, 'Session Data'!A:U,17,false)</f>
        <v/>
      </c>
      <c r="AE163" s="35" t="str">
        <f>VLOOKUP(A163, 'Session Data'!A:U,18,false)</f>
        <v/>
      </c>
      <c r="AF163" s="35" t="str">
        <f>VLOOKUP(A163, 'Session Data'!A:U,19,false)</f>
        <v/>
      </c>
      <c r="AG163" s="35" t="str">
        <f>VLOOKUP(A163, 'Session Data'!A:U,20,false)</f>
        <v/>
      </c>
      <c r="AH163" s="35" t="str">
        <f>VLOOKUP(A163, 'Session Data'!A:U,21,false)</f>
        <v/>
      </c>
      <c r="AI163" s="37"/>
      <c r="AJ163" s="37"/>
      <c r="AK163" s="37"/>
      <c r="AL163" s="50"/>
      <c r="AM163" s="34" t="str">
        <f>VLOOKUP(A163, 'Session Data'!A:AA,10,false)</f>
        <v>hfreed8311@sdsu.edu</v>
      </c>
      <c r="AN163" s="40"/>
      <c r="AO163" s="38"/>
      <c r="AP163" s="38"/>
      <c r="AQ163" s="38"/>
      <c r="AR163" s="38"/>
      <c r="AS163" s="38"/>
      <c r="AT163" s="38"/>
      <c r="AU163" s="38"/>
      <c r="AV163" s="38"/>
      <c r="AW163" s="38"/>
      <c r="AX163" s="38"/>
      <c r="AY163" s="43"/>
      <c r="AZ163" s="43"/>
      <c r="BA163" s="43"/>
      <c r="BB163" s="43"/>
      <c r="BC163" s="43"/>
      <c r="BD163" s="43"/>
      <c r="BE163" s="44"/>
      <c r="BF163" s="45"/>
      <c r="BG163" s="43"/>
    </row>
    <row r="164">
      <c r="A164" s="19" t="s">
        <v>229</v>
      </c>
      <c r="B164" s="20">
        <f>VLOOKUP(F164,'Session Count DO NOT EDIT'!$A:$C,3,FALSE)</f>
        <v>5</v>
      </c>
      <c r="C164" s="20">
        <f>COUNTIFS('Scores Import DO NOT EDIT'!D:D,A164)</f>
        <v>3</v>
      </c>
      <c r="D164" s="21">
        <f t="shared" si="1"/>
        <v>0.6</v>
      </c>
      <c r="E164" s="22">
        <f>AVERAGEIFS('Scores Import DO NOT EDIT'!L:L,'Scores Import DO NOT EDIT'!D:D,A164)</f>
        <v>25</v>
      </c>
      <c r="F164" s="23" t="str">
        <f>VLOOKUP(A164, 'Session Data'!A:M,3,false)</f>
        <v>D-1</v>
      </c>
      <c r="G164" s="24" t="str">
        <f>VLOOKUP(A164, 'Session Data'!A:I,2,false)</f>
        <v>3:00 PM</v>
      </c>
      <c r="H164" s="23" t="str">
        <f>VLOOKUP(A164, 'Session Data'!A:J,5,false)</f>
        <v>Behavioral and Social Sciences</v>
      </c>
      <c r="I164" s="25" t="str">
        <f>VLOOKUP(A164, 'Session Data'!A:H,4,false)</f>
        <v>Oral </v>
      </c>
      <c r="J164" s="26" t="str">
        <f>VLOOKUP(A164, 'Session Data'!A:AA,14,false)</f>
        <v>Undergraduate</v>
      </c>
      <c r="K164" s="27" t="str">
        <f>VLOOKUP(A164, 'Session Data'!A:AA,15,false)</f>
        <v>Arts and Letters</v>
      </c>
      <c r="L164" s="47"/>
      <c r="M164" s="29" t="str">
        <f>VLOOKUP(A164, 'Session Data'!A:K,11,false)</f>
        <v>Africana Studies, B.A. in Liberal Arts and Sciences</v>
      </c>
      <c r="N164" s="26" t="str">
        <f>IF(ISNA(VLOOKUP(A164, 'Award Abstract#'!C:C, 1, FALSE)), "No", "Yes")
</f>
        <v>No</v>
      </c>
      <c r="O164" s="29" t="str">
        <f>IF(ISNA(VLOOKUP(A164,'Award Abstract#'!B:B,1,FALSE)), "No", "Yes")</f>
        <v>No</v>
      </c>
      <c r="P164" s="29" t="str">
        <f>IF(ISNA(VLOOKUP(A164,'Award Abstract#'!E:E,1,FALSE)), "No", "Yes")</f>
        <v>No</v>
      </c>
      <c r="Q164" s="29" t="str">
        <f>IF(ISNA(VLOOKUP(A164,'Award Abstract#'!A:A,1,FALSE)), "No", "Yes")</f>
        <v>No</v>
      </c>
      <c r="R164" s="29" t="str">
        <f>IF(ISNA(VLOOKUP(A164,'Award Abstract#'!D:D,1,FALSE)), "No", "Yes")</f>
        <v>Yes</v>
      </c>
      <c r="S164" s="30" t="str">
        <f>VLOOKUP(A164, 'Session Data'!A:AA,27,false)</f>
        <v>Woman</v>
      </c>
      <c r="T164" s="30"/>
      <c r="U164" s="30"/>
      <c r="V164" s="31" t="str">
        <f>VLOOKUP(A164, 'Session Data'!A:AA,8,false)</f>
        <v>Hungerford</v>
      </c>
      <c r="W164" s="32" t="str">
        <f>VLOOKUP(A164, 'Session Data'!A:AA,9,false)</f>
        <v>Tiffany</v>
      </c>
      <c r="X164" s="33" t="str">
        <f>VLOOKUP(A164, 'Session Data'!A:AA,12,false)</f>
        <v>Reinterpreting Narratives about Black Power: Racism, Resistance, and Survival</v>
      </c>
      <c r="Y164" s="34" t="str">
        <f>VLOOKUP(A164, 'Session Data'!A:AA,22,false)</f>
        <v>Esra</v>
      </c>
      <c r="Z164" s="34" t="str">
        <f>VLOOKUP(A164, 'Session Data'!A:AA,23,false)</f>
        <v>Tunc</v>
      </c>
      <c r="AA164" s="34" t="str">
        <f>VLOOKUP(A164, 'Session Data'!A:AA,25,false)</f>
        <v>Arts and Letters</v>
      </c>
      <c r="AB164" s="34" t="str">
        <f>VLOOKUP(A164, 'Session Data'!A:AA,24,false)</f>
        <v>etunc@sdsu.edu</v>
      </c>
      <c r="AC164" s="34" t="str">
        <f>VLOOKUP(A164, 'Session Data'!A:AA,16,false)</f>
        <v/>
      </c>
      <c r="AD164" s="35" t="str">
        <f>VLOOKUP(A164, 'Session Data'!A:U,17,false)</f>
        <v/>
      </c>
      <c r="AE164" s="35" t="str">
        <f>VLOOKUP(A164, 'Session Data'!A:U,18,false)</f>
        <v/>
      </c>
      <c r="AF164" s="35" t="str">
        <f>VLOOKUP(A164, 'Session Data'!A:U,19,false)</f>
        <v/>
      </c>
      <c r="AG164" s="35" t="str">
        <f>VLOOKUP(A164, 'Session Data'!A:U,20,false)</f>
        <v/>
      </c>
      <c r="AH164" s="35" t="str">
        <f>VLOOKUP(A164, 'Session Data'!A:U,21,false)</f>
        <v/>
      </c>
      <c r="AI164" s="37"/>
      <c r="AJ164" s="37"/>
      <c r="AK164" s="37"/>
      <c r="AL164" s="50"/>
      <c r="AM164" s="34" t="str">
        <f>VLOOKUP(A164, 'Session Data'!A:AA,10,false)</f>
        <v>thungerford8303@sdsu.edu</v>
      </c>
      <c r="AN164" s="40"/>
      <c r="AO164" s="38"/>
      <c r="AP164" s="38"/>
      <c r="AQ164" s="38"/>
      <c r="AR164" s="38"/>
      <c r="AS164" s="38"/>
      <c r="AT164" s="38"/>
      <c r="AU164" s="38"/>
      <c r="AV164" s="38"/>
      <c r="AW164" s="38"/>
      <c r="AX164" s="38"/>
      <c r="AY164" s="43"/>
      <c r="AZ164" s="43"/>
      <c r="BA164" s="48"/>
      <c r="BB164" s="48"/>
      <c r="BC164" s="43"/>
      <c r="BD164" s="43"/>
      <c r="BE164" s="44"/>
      <c r="BF164" s="45"/>
      <c r="BG164" s="46"/>
    </row>
    <row r="165">
      <c r="A165" s="19" t="s">
        <v>230</v>
      </c>
      <c r="B165" s="20">
        <f>VLOOKUP(F165,'Session Count DO NOT EDIT'!$A:$C,3,FALSE)</f>
        <v>5</v>
      </c>
      <c r="C165" s="20">
        <f>COUNTIFS('Scores Import DO NOT EDIT'!D:D,A165)</f>
        <v>3</v>
      </c>
      <c r="D165" s="21">
        <f t="shared" si="1"/>
        <v>0.6</v>
      </c>
      <c r="E165" s="22">
        <f>AVERAGEIFS('Scores Import DO NOT EDIT'!L:L,'Scores Import DO NOT EDIT'!D:D,A165)</f>
        <v>23.33333333</v>
      </c>
      <c r="F165" s="23" t="str">
        <f>VLOOKUP(A165, 'Session Data'!A:M,3,false)</f>
        <v>D-1</v>
      </c>
      <c r="G165" s="24" t="str">
        <f>VLOOKUP(A165, 'Session Data'!A:I,2,false)</f>
        <v>3:00 PM</v>
      </c>
      <c r="H165" s="23" t="str">
        <f>VLOOKUP(A165, 'Session Data'!A:J,5,false)</f>
        <v>Behavioral and Social Sciences</v>
      </c>
      <c r="I165" s="25" t="str">
        <f>VLOOKUP(A165, 'Session Data'!A:H,4,false)</f>
        <v>Oral </v>
      </c>
      <c r="J165" s="26" t="str">
        <f>VLOOKUP(A165, 'Session Data'!A:AA,14,false)</f>
        <v>Undergraduate</v>
      </c>
      <c r="K165" s="27" t="str">
        <f>VLOOKUP(A165, 'Session Data'!A:AA,15,false)</f>
        <v>Sciences</v>
      </c>
      <c r="L165" s="28"/>
      <c r="M165" s="29" t="str">
        <f>VLOOKUP(A165, 'Session Data'!A:K,11,false)</f>
        <v>Bachelor of Arts in Psychology</v>
      </c>
      <c r="N165" s="26" t="str">
        <f>IF(ISNA(VLOOKUP(A165, 'Award Abstract#'!C:C, 1, FALSE)), "No", "Yes")
</f>
        <v>Yes</v>
      </c>
      <c r="O165" s="29" t="str">
        <f>IF(ISNA(VLOOKUP(A165,'Award Abstract#'!B:B,1,FALSE)), "No", "Yes")</f>
        <v>No</v>
      </c>
      <c r="P165" s="29" t="str">
        <f>IF(ISNA(VLOOKUP(A165,'Award Abstract#'!E:E,1,FALSE)), "No", "Yes")</f>
        <v>No</v>
      </c>
      <c r="Q165" s="29" t="str">
        <f>IF(ISNA(VLOOKUP(A165,'Award Abstract#'!A:A,1,FALSE)), "No", "Yes")</f>
        <v>No</v>
      </c>
      <c r="R165" s="29" t="str">
        <f>IF(ISNA(VLOOKUP(A165,'Award Abstract#'!D:D,1,FALSE)), "No", "Yes")</f>
        <v>Yes</v>
      </c>
      <c r="S165" s="30" t="str">
        <f>VLOOKUP(A165, 'Session Data'!A:AA,27,false)</f>
        <v>Man</v>
      </c>
      <c r="T165" s="30"/>
      <c r="U165" s="30"/>
      <c r="V165" s="31" t="str">
        <f>VLOOKUP(A165, 'Session Data'!A:AA,8,false)</f>
        <v>Matalino</v>
      </c>
      <c r="W165" s="32" t="str">
        <f>VLOOKUP(A165, 'Session Data'!A:AA,9,false)</f>
        <v>Lorenzo</v>
      </c>
      <c r="X165" s="33" t="str">
        <f>VLOOKUP(A165, 'Session Data'!A:AA,12,false)</f>
        <v>THE AFTERMATH OF ‘SCOUT ME IN’ - What Happened After the Inclusion of Girls in the Boy Scouts of America (BSA)? - An Ethnographic Case Study of Organizational Change</v>
      </c>
      <c r="Y165" s="34" t="str">
        <f>VLOOKUP(A165, 'Session Data'!A:AA,22,false)</f>
        <v>Tiffany</v>
      </c>
      <c r="Z165" s="34" t="str">
        <f>VLOOKUP(A165, 'Session Data'!A:AA,23,false)</f>
        <v>Dykstra-Devette</v>
      </c>
      <c r="AA165" s="34" t="str">
        <f>VLOOKUP(A165, 'Session Data'!A:AA,25,false)</f>
        <v>Professional Studies and Fine Arts</v>
      </c>
      <c r="AB165" s="34"/>
      <c r="AC165" s="34" t="str">
        <f>VLOOKUP(A165, 'Session Data'!A:AA,16,false)</f>
        <v/>
      </c>
      <c r="AD165" s="35" t="str">
        <f>VLOOKUP(A165, 'Session Data'!A:U,17,false)</f>
        <v/>
      </c>
      <c r="AE165" s="35" t="str">
        <f>VLOOKUP(A165, 'Session Data'!A:U,18,false)</f>
        <v/>
      </c>
      <c r="AF165" s="35" t="str">
        <f>VLOOKUP(A165, 'Session Data'!A:U,19,false)</f>
        <v/>
      </c>
      <c r="AG165" s="35" t="str">
        <f>VLOOKUP(A165, 'Session Data'!A:U,20,false)</f>
        <v/>
      </c>
      <c r="AH165" s="35" t="str">
        <f>VLOOKUP(A165, 'Session Data'!A:U,21,false)</f>
        <v/>
      </c>
      <c r="AI165" s="36"/>
      <c r="AJ165" s="38"/>
      <c r="AK165" s="38"/>
      <c r="AL165" s="39"/>
      <c r="AM165" s="34" t="str">
        <f>VLOOKUP(A165, 'Session Data'!A:AA,10,false)</f>
        <v>mlorenzo9968@sdsu.edu</v>
      </c>
      <c r="AN165" s="40"/>
      <c r="AO165" s="38"/>
      <c r="AP165" s="38"/>
      <c r="AQ165" s="38"/>
      <c r="AR165" s="38"/>
      <c r="AS165" s="38"/>
      <c r="AT165" s="38"/>
      <c r="AU165" s="38"/>
      <c r="AV165" s="38"/>
      <c r="AW165" s="38"/>
      <c r="AX165" s="38"/>
      <c r="AY165" s="43"/>
      <c r="AZ165" s="43"/>
      <c r="BA165" s="43"/>
      <c r="BB165" s="43"/>
      <c r="BC165" s="43"/>
      <c r="BD165" s="43"/>
      <c r="BE165" s="44"/>
      <c r="BF165" s="45"/>
      <c r="BG165" s="43"/>
    </row>
    <row r="166">
      <c r="A166" s="19" t="s">
        <v>231</v>
      </c>
      <c r="B166" s="20">
        <f>VLOOKUP(F166,'Session Count DO NOT EDIT'!$A:$C,3,FALSE)</f>
        <v>5</v>
      </c>
      <c r="C166" s="20">
        <f>COUNTIFS('Scores Import DO NOT EDIT'!D:D,A166)</f>
        <v>1</v>
      </c>
      <c r="D166" s="21">
        <f t="shared" si="1"/>
        <v>0.2</v>
      </c>
      <c r="E166" s="22">
        <f>AVERAGEIFS('Scores Import DO NOT EDIT'!L:L,'Scores Import DO NOT EDIT'!D:D,A166)</f>
        <v>20</v>
      </c>
      <c r="F166" s="23" t="str">
        <f>VLOOKUP(A166, 'Session Data'!A:M,3,false)</f>
        <v>D-1</v>
      </c>
      <c r="G166" s="24" t="str">
        <f>VLOOKUP(A166, 'Session Data'!A:I,2,false)</f>
        <v>3:00 PM</v>
      </c>
      <c r="H166" s="23" t="str">
        <f>VLOOKUP(A166, 'Session Data'!A:J,5,false)</f>
        <v>Behavioral and Social Sciences</v>
      </c>
      <c r="I166" s="25" t="str">
        <f>VLOOKUP(A166, 'Session Data'!A:H,4,false)</f>
        <v>Oral </v>
      </c>
      <c r="J166" s="26" t="str">
        <f>VLOOKUP(A166, 'Session Data'!A:AA,14,false)</f>
        <v>Undergraduate</v>
      </c>
      <c r="K166" s="27" t="str">
        <f>VLOOKUP(A166, 'Session Data'!A:AA,15,false)</f>
        <v>SDSU Imperial Valley</v>
      </c>
      <c r="L166" s="28"/>
      <c r="M166" s="29" t="str">
        <f>VLOOKUP(A166, 'Session Data'!A:K,11,false)</f>
        <v>Criminal Justice</v>
      </c>
      <c r="N166" s="26" t="str">
        <f>IF(ISNA(VLOOKUP(A166, 'Award Abstract#'!C:C, 1, FALSE)), "No", "Yes")
</f>
        <v>No</v>
      </c>
      <c r="O166" s="29" t="str">
        <f>IF(ISNA(VLOOKUP(A166,'Award Abstract#'!B:B,1,FALSE)), "No", "Yes")</f>
        <v>No</v>
      </c>
      <c r="P166" s="29" t="str">
        <f>IF(ISNA(VLOOKUP(A166,'Award Abstract#'!E:E,1,FALSE)), "No", "Yes")</f>
        <v>No</v>
      </c>
      <c r="Q166" s="29" t="str">
        <f>IF(ISNA(VLOOKUP(A166,'Award Abstract#'!A:A,1,FALSE)), "No", "Yes")</f>
        <v>No</v>
      </c>
      <c r="R166" s="29" t="str">
        <f>IF(ISNA(VLOOKUP(A166,'Award Abstract#'!D:D,1,FALSE)), "No", "Yes")</f>
        <v>Yes</v>
      </c>
      <c r="S166" s="30" t="str">
        <f>VLOOKUP(A166, 'Session Data'!A:AA,27,false)</f>
        <v>Man</v>
      </c>
      <c r="T166" s="30"/>
      <c r="U166" s="30"/>
      <c r="V166" s="31" t="str">
        <f>VLOOKUP(A166, 'Session Data'!A:AA,8,false)</f>
        <v>Eric</v>
      </c>
      <c r="W166" s="32" t="str">
        <f>VLOOKUP(A166, 'Session Data'!A:AA,9,false)</f>
        <v>Curiel</v>
      </c>
      <c r="X166" s="33" t="str">
        <f>VLOOKUP(A166, 'Session Data'!A:AA,12,false)</f>
        <v>The Phenomenon of Deviance</v>
      </c>
      <c r="Y166" s="34" t="str">
        <f>VLOOKUP(A166, 'Session Data'!A:AA,22,false)</f>
        <v>Sambuddha</v>
      </c>
      <c r="Z166" s="34" t="str">
        <f>VLOOKUP(A166, 'Session Data'!A:AA,23,false)</f>
        <v>Ghatak</v>
      </c>
      <c r="AA166" s="34" t="str">
        <f>VLOOKUP(A166, 'Session Data'!A:AA,25,false)</f>
        <v>SDSU Imperial Valley</v>
      </c>
      <c r="AB166" s="34"/>
      <c r="AC166" s="34" t="str">
        <f>VLOOKUP(A166, 'Session Data'!A:AA,16,false)</f>
        <v/>
      </c>
      <c r="AD166" s="35" t="str">
        <f>VLOOKUP(A166, 'Session Data'!A:U,17,false)</f>
        <v/>
      </c>
      <c r="AE166" s="35" t="str">
        <f>VLOOKUP(A166, 'Session Data'!A:U,18,false)</f>
        <v/>
      </c>
      <c r="AF166" s="35" t="str">
        <f>VLOOKUP(A166, 'Session Data'!A:U,19,false)</f>
        <v/>
      </c>
      <c r="AG166" s="35" t="str">
        <f>VLOOKUP(A166, 'Session Data'!A:U,20,false)</f>
        <v/>
      </c>
      <c r="AH166" s="35" t="str">
        <f>VLOOKUP(A166, 'Session Data'!A:U,21,false)</f>
        <v/>
      </c>
      <c r="AI166" s="37"/>
      <c r="AJ166" s="37"/>
      <c r="AK166" s="37"/>
      <c r="AL166" s="50"/>
      <c r="AM166" s="34" t="str">
        <f>VLOOKUP(A166, 'Session Data'!A:AA,10,false)</f>
        <v>ecuriel8550@sdsu.edu</v>
      </c>
      <c r="AN166" s="40"/>
      <c r="AO166" s="38"/>
      <c r="AP166" s="38"/>
      <c r="AQ166" s="38"/>
      <c r="AR166" s="38"/>
      <c r="AS166" s="38"/>
      <c r="AT166" s="38"/>
      <c r="AU166" s="38"/>
      <c r="AV166" s="38"/>
      <c r="AW166" s="38"/>
      <c r="AX166" s="38"/>
      <c r="AY166" s="43"/>
      <c r="AZ166" s="43"/>
      <c r="BA166" s="48"/>
      <c r="BB166" s="48"/>
      <c r="BC166" s="43"/>
      <c r="BD166" s="43"/>
      <c r="BE166" s="44"/>
      <c r="BF166" s="45"/>
      <c r="BG166" s="43"/>
    </row>
    <row r="167">
      <c r="A167" s="19" t="s">
        <v>232</v>
      </c>
      <c r="B167" s="20">
        <f>VLOOKUP(F167,'Session Count DO NOT EDIT'!$A:$C,3,FALSE)</f>
        <v>4</v>
      </c>
      <c r="C167" s="20">
        <f>COUNTIFS('Scores Import DO NOT EDIT'!D:D,A167)</f>
        <v>1</v>
      </c>
      <c r="D167" s="21">
        <f t="shared" si="1"/>
        <v>0.25</v>
      </c>
      <c r="E167" s="22">
        <f>AVERAGEIFS('Scores Import DO NOT EDIT'!L:L,'Scores Import DO NOT EDIT'!D:D,A167)</f>
        <v>32</v>
      </c>
      <c r="F167" s="23" t="str">
        <f>VLOOKUP(A167, 'Session Data'!A:M,3,false)</f>
        <v>D-2</v>
      </c>
      <c r="G167" s="24" t="str">
        <f>VLOOKUP(A167, 'Session Data'!A:I,2,false)</f>
        <v>3:00 PM</v>
      </c>
      <c r="H167" s="23" t="str">
        <f>VLOOKUP(A167, 'Session Data'!A:J,5,false)</f>
        <v>Behavioral and Social Sciences 1</v>
      </c>
      <c r="I167" s="25" t="str">
        <f>VLOOKUP(A167, 'Session Data'!A:H,4,false)</f>
        <v>Oral </v>
      </c>
      <c r="J167" s="26" t="str">
        <f>VLOOKUP(A167, 'Session Data'!A:AA,14,false)</f>
        <v>Master's</v>
      </c>
      <c r="K167" s="27" t="str">
        <f>VLOOKUP(A167, 'Session Data'!A:AA,15,false)</f>
        <v>Health and Human Services</v>
      </c>
      <c r="L167" s="47"/>
      <c r="M167" s="29" t="str">
        <f>VLOOKUP(A167, 'Session Data'!A:K,11,false)</f>
        <v>Masters of Social Work </v>
      </c>
      <c r="N167" s="26" t="str">
        <f>IF(ISNA(VLOOKUP(A167, 'Award Abstract#'!C:C, 1, FALSE)), "No", "Yes")
</f>
        <v>No</v>
      </c>
      <c r="O167" s="29" t="str">
        <f>IF(ISNA(VLOOKUP(A167,'Award Abstract#'!B:B,1,FALSE)), "No", "Yes")</f>
        <v>Yes</v>
      </c>
      <c r="P167" s="29" t="str">
        <f>IF(ISNA(VLOOKUP(A167,'Award Abstract#'!E:E,1,FALSE)), "No", "Yes")</f>
        <v>No</v>
      </c>
      <c r="Q167" s="29" t="str">
        <f>IF(ISNA(VLOOKUP(A167,'Award Abstract#'!A:A,1,FALSE)), "No", "Yes")</f>
        <v>No</v>
      </c>
      <c r="R167" s="29" t="str">
        <f>IF(ISNA(VLOOKUP(A167,'Award Abstract#'!D:D,1,FALSE)), "No", "Yes")</f>
        <v>Yes</v>
      </c>
      <c r="S167" s="30" t="str">
        <f>VLOOKUP(A167, 'Session Data'!A:AA,27,false)</f>
        <v>Woman</v>
      </c>
      <c r="T167" s="30"/>
      <c r="U167" s="30"/>
      <c r="V167" s="31" t="str">
        <f>VLOOKUP(A167, 'Session Data'!A:AA,8,false)</f>
        <v>Mayra </v>
      </c>
      <c r="W167" s="32" t="str">
        <f>VLOOKUP(A167, 'Session Data'!A:AA,9,false)</f>
        <v>Lam Yuen</v>
      </c>
      <c r="X167" s="33" t="str">
        <f>VLOOKUP(A167, 'Session Data'!A:AA,12,false)</f>
        <v>Title “Bupe by the Book”: An exploration of mental health and social support among unhoused individuals using opioids around San Diego public libraries</v>
      </c>
      <c r="Y167" s="34" t="str">
        <f>VLOOKUP(A167, 'Session Data'!A:AA,22,false)</f>
        <v>Lianne </v>
      </c>
      <c r="Z167" s="34" t="str">
        <f>VLOOKUP(A167, 'Session Data'!A:AA,23,false)</f>
        <v>Urada </v>
      </c>
      <c r="AA167" s="34" t="str">
        <f>VLOOKUP(A167, 'Session Data'!A:AA,25,false)</f>
        <v>Health and Human Services</v>
      </c>
      <c r="AB167" s="34" t="str">
        <f>VLOOKUP(A167, 'Session Data'!A:AA,24,false)</f>
        <v>lurada@sdsu.edu</v>
      </c>
      <c r="AC167" s="34" t="str">
        <f>VLOOKUP(A167, 'Session Data'!A:AA,16,false)</f>
        <v>Jordan </v>
      </c>
      <c r="AD167" s="35" t="str">
        <f>VLOOKUP(A167, 'Session Data'!A:U,17,false)</f>
        <v>Jump </v>
      </c>
      <c r="AE167" s="35" t="str">
        <f>VLOOKUP(A167, 'Session Data'!A:U,18,false)</f>
        <v/>
      </c>
      <c r="AF167" s="35" t="str">
        <f>VLOOKUP(A167, 'Session Data'!A:U,19,false)</f>
        <v/>
      </c>
      <c r="AG167" s="35" t="str">
        <f>VLOOKUP(A167, 'Session Data'!A:U,20,false)</f>
        <v/>
      </c>
      <c r="AH167" s="35" t="str">
        <f>VLOOKUP(A167, 'Session Data'!A:U,21,false)</f>
        <v/>
      </c>
      <c r="AI167" s="36"/>
      <c r="AJ167" s="37"/>
      <c r="AK167" s="38"/>
      <c r="AL167" s="39"/>
      <c r="AM167" s="34" t="str">
        <f>VLOOKUP(A167, 'Session Data'!A:AA,10,false)</f>
        <v>mlamyuen4319@sdsu.edu</v>
      </c>
      <c r="AN167" s="40"/>
      <c r="AO167" s="38"/>
      <c r="AP167" s="38"/>
      <c r="AQ167" s="38"/>
      <c r="AR167" s="38"/>
      <c r="AS167" s="38"/>
      <c r="AT167" s="38"/>
      <c r="AU167" s="38"/>
      <c r="AV167" s="38"/>
      <c r="AW167" s="38"/>
      <c r="AX167" s="38"/>
      <c r="AY167" s="43"/>
      <c r="AZ167" s="43"/>
      <c r="BA167" s="48"/>
      <c r="BB167" s="48"/>
      <c r="BC167" s="43"/>
      <c r="BD167" s="43"/>
      <c r="BE167" s="44"/>
      <c r="BF167" s="45"/>
      <c r="BG167" s="43"/>
    </row>
    <row r="168">
      <c r="A168" s="19" t="s">
        <v>233</v>
      </c>
      <c r="B168" s="20">
        <f>VLOOKUP(F168,'Session Count DO NOT EDIT'!$A:$C,3,FALSE)</f>
        <v>4</v>
      </c>
      <c r="C168" s="20">
        <f>COUNTIFS('Scores Import DO NOT EDIT'!D:D,A168)</f>
        <v>1</v>
      </c>
      <c r="D168" s="21">
        <f t="shared" si="1"/>
        <v>0.25</v>
      </c>
      <c r="E168" s="22">
        <f>AVERAGEIFS('Scores Import DO NOT EDIT'!L:L,'Scores Import DO NOT EDIT'!D:D,A168)</f>
        <v>33</v>
      </c>
      <c r="F168" s="23" t="str">
        <f>VLOOKUP(A168, 'Session Data'!A:M,3,false)</f>
        <v>D-2</v>
      </c>
      <c r="G168" s="24" t="str">
        <f>VLOOKUP(A168, 'Session Data'!A:I,2,false)</f>
        <v>3:00 PM</v>
      </c>
      <c r="H168" s="23" t="str">
        <f>VLOOKUP(A168, 'Session Data'!A:J,5,false)</f>
        <v>Behavioral and Social Sciences 1</v>
      </c>
      <c r="I168" s="25" t="str">
        <f>VLOOKUP(A168, 'Session Data'!A:H,4,false)</f>
        <v>Oral </v>
      </c>
      <c r="J168" s="26" t="str">
        <f>VLOOKUP(A168, 'Session Data'!A:AA,14,false)</f>
        <v>Master's</v>
      </c>
      <c r="K168" s="27" t="str">
        <f>VLOOKUP(A168, 'Session Data'!A:AA,15,false)</f>
        <v>Arts and Letters</v>
      </c>
      <c r="L168" s="28"/>
      <c r="M168" s="29" t="str">
        <f>VLOOKUP(A168, 'Session Data'!A:K,11,false)</f>
        <v>Master of Arts in Sociology</v>
      </c>
      <c r="N168" s="26" t="str">
        <f>IF(ISNA(VLOOKUP(A168, 'Award Abstract#'!C:C, 1, FALSE)), "No", "Yes")
</f>
        <v>No</v>
      </c>
      <c r="O168" s="29" t="str">
        <f>IF(ISNA(VLOOKUP(A168,'Award Abstract#'!B:B,1,FALSE)), "No", "Yes")</f>
        <v>No</v>
      </c>
      <c r="P168" s="29" t="str">
        <f>IF(ISNA(VLOOKUP(A168,'Award Abstract#'!E:E,1,FALSE)), "No", "Yes")</f>
        <v>No</v>
      </c>
      <c r="Q168" s="29" t="str">
        <f>IF(ISNA(VLOOKUP(A168,'Award Abstract#'!A:A,1,FALSE)), "No", "Yes")</f>
        <v>No</v>
      </c>
      <c r="R168" s="29" t="str">
        <f>IF(ISNA(VLOOKUP(A168,'Award Abstract#'!D:D,1,FALSE)), "No", "Yes")</f>
        <v>Yes</v>
      </c>
      <c r="S168" s="30" t="str">
        <f>VLOOKUP(A168, 'Session Data'!A:AA,27,false)</f>
        <v>Woman</v>
      </c>
      <c r="T168" s="30"/>
      <c r="U168" s="30"/>
      <c r="V168" s="31" t="str">
        <f>VLOOKUP(A168, 'Session Data'!A:AA,8,false)</f>
        <v>Avery</v>
      </c>
      <c r="W168" s="32" t="str">
        <f>VLOOKUP(A168, 'Session Data'!A:AA,9,false)</f>
        <v>Cardosi</v>
      </c>
      <c r="X168" s="33" t="str">
        <f>VLOOKUP(A168, 'Session Data'!A:AA,12,false)</f>
        <v>The Impact of Parental Stress on Child Internalizing and Externalizing Behaviors by Gender</v>
      </c>
      <c r="Y168" s="34" t="str">
        <f>VLOOKUP(A168, 'Session Data'!A:AA,22,false)</f>
        <v>Audrey</v>
      </c>
      <c r="Z168" s="34" t="str">
        <f>VLOOKUP(A168, 'Session Data'!A:AA,23,false)</f>
        <v>Beck </v>
      </c>
      <c r="AA168" s="34" t="str">
        <f>VLOOKUP(A168, 'Session Data'!A:AA,25,false)</f>
        <v>Arts and Letters</v>
      </c>
      <c r="AB168" s="34" t="str">
        <f>VLOOKUP(A168, 'Session Data'!A:AA,24,false)</f>
        <v>abeck@sdsu.edu</v>
      </c>
      <c r="AC168" s="34" t="str">
        <f>VLOOKUP(A168, 'Session Data'!A:AA,16,false)</f>
        <v/>
      </c>
      <c r="AD168" s="35" t="str">
        <f>VLOOKUP(A168, 'Session Data'!A:U,17,false)</f>
        <v/>
      </c>
      <c r="AE168" s="35" t="str">
        <f>VLOOKUP(A168, 'Session Data'!A:U,18,false)</f>
        <v/>
      </c>
      <c r="AF168" s="35" t="str">
        <f>VLOOKUP(A168, 'Session Data'!A:U,19,false)</f>
        <v/>
      </c>
      <c r="AG168" s="35" t="str">
        <f>VLOOKUP(A168, 'Session Data'!A:U,20,false)</f>
        <v/>
      </c>
      <c r="AH168" s="35" t="str">
        <f>VLOOKUP(A168, 'Session Data'!A:U,21,false)</f>
        <v/>
      </c>
      <c r="AI168" s="37"/>
      <c r="AJ168" s="37"/>
      <c r="AK168" s="37"/>
      <c r="AL168" s="50"/>
      <c r="AM168" s="34" t="str">
        <f>VLOOKUP(A168, 'Session Data'!A:AA,10,false)</f>
        <v>acardosi4581@sdsu.edu</v>
      </c>
      <c r="AN168" s="40"/>
      <c r="AO168" s="38"/>
      <c r="AP168" s="38"/>
      <c r="AQ168" s="38"/>
      <c r="AR168" s="38"/>
      <c r="AS168" s="38"/>
      <c r="AT168" s="38"/>
      <c r="AU168" s="38"/>
      <c r="AV168" s="38"/>
      <c r="AW168" s="38"/>
      <c r="AX168" s="38"/>
      <c r="AY168" s="43"/>
      <c r="AZ168" s="43"/>
      <c r="BA168" s="48"/>
      <c r="BB168" s="48"/>
      <c r="BC168" s="43"/>
      <c r="BD168" s="43"/>
      <c r="BE168" s="44"/>
      <c r="BF168" s="45"/>
      <c r="BG168" s="43"/>
    </row>
    <row r="169">
      <c r="A169" s="19" t="s">
        <v>234</v>
      </c>
      <c r="B169" s="20">
        <f>VLOOKUP(F169,'Session Count DO NOT EDIT'!$A:$C,3,FALSE)</f>
        <v>4</v>
      </c>
      <c r="C169" s="20">
        <f>COUNTIFS('Scores Import DO NOT EDIT'!D:D,A169)</f>
        <v>2</v>
      </c>
      <c r="D169" s="21">
        <f t="shared" si="1"/>
        <v>0.5</v>
      </c>
      <c r="E169" s="22">
        <f>AVERAGEIFS('Scores Import DO NOT EDIT'!L:L,'Scores Import DO NOT EDIT'!D:D,A169)</f>
        <v>32</v>
      </c>
      <c r="F169" s="23" t="str">
        <f>VLOOKUP(A169, 'Session Data'!A:M,3,false)</f>
        <v>D-2</v>
      </c>
      <c r="G169" s="24" t="str">
        <f>VLOOKUP(A169, 'Session Data'!A:I,2,false)</f>
        <v>3:00 PM</v>
      </c>
      <c r="H169" s="23" t="str">
        <f>VLOOKUP(A169, 'Session Data'!A:J,5,false)</f>
        <v>Behavioral and Social Sciences 1</v>
      </c>
      <c r="I169" s="25" t="str">
        <f>VLOOKUP(A169, 'Session Data'!A:H,4,false)</f>
        <v>Oral </v>
      </c>
      <c r="J169" s="26" t="str">
        <f>VLOOKUP(A169, 'Session Data'!A:AA,14,false)</f>
        <v>Master's</v>
      </c>
      <c r="K169" s="27" t="str">
        <f>VLOOKUP(A169, 'Session Data'!A:AA,15,false)</f>
        <v>Arts and Letters</v>
      </c>
      <c r="L169" s="28" t="s">
        <v>95</v>
      </c>
      <c r="M169" s="29" t="str">
        <f>VLOOKUP(A169, 'Session Data'!A:K,11,false)</f>
        <v>MA in English</v>
      </c>
      <c r="N169" s="26" t="str">
        <f>IF(ISNA(VLOOKUP(A169, 'Award Abstract#'!C:C, 1, FALSE)), "No", "Yes")
</f>
        <v>No</v>
      </c>
      <c r="O169" s="29" t="str">
        <f>IF(ISNA(VLOOKUP(A169,'Award Abstract#'!B:B,1,FALSE)), "No", "Yes")</f>
        <v>No</v>
      </c>
      <c r="P169" s="29" t="str">
        <f>IF(ISNA(VLOOKUP(A169,'Award Abstract#'!E:E,1,FALSE)), "No", "Yes")</f>
        <v>No</v>
      </c>
      <c r="Q169" s="29" t="str">
        <f>IF(ISNA(VLOOKUP(A169,'Award Abstract#'!A:A,1,FALSE)), "No", "Yes")</f>
        <v>No</v>
      </c>
      <c r="R169" s="29" t="str">
        <f>IF(ISNA(VLOOKUP(A169,'Award Abstract#'!D:D,1,FALSE)), "No", "Yes")</f>
        <v>No</v>
      </c>
      <c r="S169" s="30" t="str">
        <f>VLOOKUP(A169, 'Session Data'!A:AA,27,false)</f>
        <v>Man</v>
      </c>
      <c r="T169" s="30"/>
      <c r="U169" s="30"/>
      <c r="V169" s="31" t="str">
        <f>VLOOKUP(A169, 'Session Data'!A:AA,8,false)</f>
        <v>Jorge</v>
      </c>
      <c r="W169" s="32" t="str">
        <f>VLOOKUP(A169, 'Session Data'!A:AA,9,false)</f>
        <v>Arana</v>
      </c>
      <c r="X169" s="33" t="str">
        <f>VLOOKUP(A169, 'Session Data'!A:AA,12,false)</f>
        <v>Cognitive Approaches to Literature</v>
      </c>
      <c r="Y169" s="34" t="str">
        <f>VLOOKUP(A169, 'Session Data'!A:AA,22,false)</f>
        <v>Jeanette</v>
      </c>
      <c r="Z169" s="34" t="str">
        <f>VLOOKUP(A169, 'Session Data'!A:AA,23,false)</f>
        <v>Shumaker</v>
      </c>
      <c r="AA169" s="34" t="str">
        <f>VLOOKUP(A169, 'Session Data'!A:AA,25,false)</f>
        <v>SDSU Imperial Valley</v>
      </c>
      <c r="AB169" s="34" t="str">
        <f>VLOOKUP(A169, 'Session Data'!A:AA,24,false)</f>
        <v>jshumake@sdsu.edu</v>
      </c>
      <c r="AC169" s="34" t="str">
        <f>VLOOKUP(A169, 'Session Data'!A:AA,16,false)</f>
        <v/>
      </c>
      <c r="AD169" s="35" t="str">
        <f>VLOOKUP(A169, 'Session Data'!A:U,17,false)</f>
        <v/>
      </c>
      <c r="AE169" s="35" t="str">
        <f>VLOOKUP(A169, 'Session Data'!A:U,18,false)</f>
        <v/>
      </c>
      <c r="AF169" s="35" t="str">
        <f>VLOOKUP(A169, 'Session Data'!A:U,19,false)</f>
        <v/>
      </c>
      <c r="AG169" s="35" t="str">
        <f>VLOOKUP(A169, 'Session Data'!A:U,20,false)</f>
        <v/>
      </c>
      <c r="AH169" s="35" t="str">
        <f>VLOOKUP(A169, 'Session Data'!A:U,21,false)</f>
        <v/>
      </c>
      <c r="AI169" s="36"/>
      <c r="AJ169" s="38"/>
      <c r="AK169" s="38"/>
      <c r="AL169" s="39"/>
      <c r="AM169" s="34" t="str">
        <f>VLOOKUP(A169, 'Session Data'!A:AA,10,false)</f>
        <v>jarana5332@sdsu.edu</v>
      </c>
      <c r="AN169" s="40"/>
      <c r="AO169" s="38"/>
      <c r="AP169" s="38"/>
      <c r="AQ169" s="38"/>
      <c r="AR169" s="38"/>
      <c r="AS169" s="38"/>
      <c r="AT169" s="38"/>
      <c r="AU169" s="38"/>
      <c r="AV169" s="38"/>
      <c r="AW169" s="38"/>
      <c r="AX169" s="38"/>
      <c r="AY169" s="43"/>
      <c r="AZ169" s="43"/>
      <c r="BA169" s="48"/>
      <c r="BB169" s="48"/>
      <c r="BC169" s="43"/>
      <c r="BD169" s="43"/>
      <c r="BE169" s="44"/>
      <c r="BF169" s="45"/>
      <c r="BG169" s="46"/>
    </row>
    <row r="170">
      <c r="A170" s="19" t="s">
        <v>235</v>
      </c>
      <c r="B170" s="20">
        <f>VLOOKUP(F170,'Session Count DO NOT EDIT'!$A:$C,3,FALSE)</f>
        <v>4</v>
      </c>
      <c r="C170" s="20">
        <f>COUNTIFS('Scores Import DO NOT EDIT'!D:D,A170)</f>
        <v>3</v>
      </c>
      <c r="D170" s="21">
        <f t="shared" si="1"/>
        <v>0.75</v>
      </c>
      <c r="E170" s="22">
        <f>AVERAGEIFS('Scores Import DO NOT EDIT'!L:L,'Scores Import DO NOT EDIT'!D:D,A170)</f>
        <v>31</v>
      </c>
      <c r="F170" s="23" t="str">
        <f>VLOOKUP(A170, 'Session Data'!A:M,3,false)</f>
        <v>D-2</v>
      </c>
      <c r="G170" s="24" t="str">
        <f>VLOOKUP(A170, 'Session Data'!A:I,2,false)</f>
        <v>3:00 PM</v>
      </c>
      <c r="H170" s="23" t="str">
        <f>VLOOKUP(A170, 'Session Data'!A:J,5,false)</f>
        <v>Behavioral and Social Sciences 1</v>
      </c>
      <c r="I170" s="25" t="str">
        <f>VLOOKUP(A170, 'Session Data'!A:H,4,false)</f>
        <v>Oral </v>
      </c>
      <c r="J170" s="26" t="str">
        <f>VLOOKUP(A170, 'Session Data'!A:AA,14,false)</f>
        <v>Master's</v>
      </c>
      <c r="K170" s="27" t="str">
        <f>VLOOKUP(A170, 'Session Data'!A:AA,15,false)</f>
        <v>Sciences</v>
      </c>
      <c r="L170" s="47"/>
      <c r="M170" s="29" t="str">
        <f>VLOOKUP(A170, 'Session Data'!A:K,11,false)</f>
        <v>Master of Arts in Psychology</v>
      </c>
      <c r="N170" s="26" t="str">
        <f>IF(ISNA(VLOOKUP(A170, 'Award Abstract#'!C:C, 1, FALSE)), "No", "Yes")
</f>
        <v>No</v>
      </c>
      <c r="O170" s="29" t="str">
        <f>IF(ISNA(VLOOKUP(A170,'Award Abstract#'!B:B,1,FALSE)), "No", "Yes")</f>
        <v>No</v>
      </c>
      <c r="P170" s="29" t="str">
        <f>IF(ISNA(VLOOKUP(A170,'Award Abstract#'!E:E,1,FALSE)), "No", "Yes")</f>
        <v>No</v>
      </c>
      <c r="Q170" s="29" t="str">
        <f>IF(ISNA(VLOOKUP(A170,'Award Abstract#'!A:A,1,FALSE)), "No", "Yes")</f>
        <v>No</v>
      </c>
      <c r="R170" s="29" t="str">
        <f>IF(ISNA(VLOOKUP(A170,'Award Abstract#'!D:D,1,FALSE)), "No", "Yes")</f>
        <v>No</v>
      </c>
      <c r="S170" s="30" t="str">
        <f>VLOOKUP(A170, 'Session Data'!A:AA,27,false)</f>
        <v>Non-binary/non-conforming</v>
      </c>
      <c r="T170" s="30"/>
      <c r="U170" s="30"/>
      <c r="V170" s="31" t="str">
        <f>VLOOKUP(A170, 'Session Data'!A:AA,8,false)</f>
        <v>Shea</v>
      </c>
      <c r="W170" s="32" t="str">
        <f>VLOOKUP(A170, 'Session Data'!A:AA,9,false)</f>
        <v>O'Donnell</v>
      </c>
      <c r="X170" s="33" t="str">
        <f>VLOOKUP(A170, 'Session Data'!A:AA,12,false)</f>
        <v>The Impact of Adverse Childhood Experiences on the Experience of Living with Endometriosis</v>
      </c>
      <c r="Y170" s="34" t="str">
        <f>VLOOKUP(A170, 'Session Data'!A:AA,22,false)</f>
        <v>Linda</v>
      </c>
      <c r="Z170" s="34" t="str">
        <f>VLOOKUP(A170, 'Session Data'!A:AA,23,false)</f>
        <v>Abarbanell</v>
      </c>
      <c r="AA170" s="34" t="str">
        <f>VLOOKUP(A170, 'Session Data'!A:AA,25,false)</f>
        <v>SDSU Imperial Valley</v>
      </c>
      <c r="AB170" s="34"/>
      <c r="AC170" s="34" t="str">
        <f>VLOOKUP(A170, 'Session Data'!A:AA,16,false)</f>
        <v/>
      </c>
      <c r="AD170" s="35" t="str">
        <f>VLOOKUP(A170, 'Session Data'!A:U,17,false)</f>
        <v/>
      </c>
      <c r="AE170" s="35" t="str">
        <f>VLOOKUP(A170, 'Session Data'!A:U,18,false)</f>
        <v/>
      </c>
      <c r="AF170" s="35" t="str">
        <f>VLOOKUP(A170, 'Session Data'!A:U,19,false)</f>
        <v/>
      </c>
      <c r="AG170" s="35" t="str">
        <f>VLOOKUP(A170, 'Session Data'!A:U,20,false)</f>
        <v/>
      </c>
      <c r="AH170" s="35" t="str">
        <f>VLOOKUP(A170, 'Session Data'!A:U,21,false)</f>
        <v/>
      </c>
      <c r="AI170" s="37"/>
      <c r="AJ170" s="37"/>
      <c r="AK170" s="37"/>
      <c r="AL170" s="50"/>
      <c r="AM170" s="34" t="str">
        <f>VLOOKUP(A170, 'Session Data'!A:AA,10,false)</f>
        <v>sodonnell3153@sdsu.edu</v>
      </c>
      <c r="AN170" s="40"/>
      <c r="AO170" s="38"/>
      <c r="AP170" s="38"/>
      <c r="AQ170" s="38"/>
      <c r="AR170" s="38"/>
      <c r="AS170" s="38"/>
      <c r="AT170" s="38"/>
      <c r="AU170" s="38"/>
      <c r="AV170" s="38"/>
      <c r="AW170" s="38"/>
      <c r="AX170" s="38"/>
      <c r="AY170" s="43"/>
      <c r="AZ170" s="43"/>
      <c r="BA170" s="43"/>
      <c r="BB170" s="43"/>
      <c r="BC170" s="43"/>
      <c r="BD170" s="43"/>
      <c r="BE170" s="44"/>
      <c r="BF170" s="45"/>
      <c r="BG170" s="43"/>
    </row>
    <row r="171">
      <c r="A171" s="19" t="s">
        <v>236</v>
      </c>
      <c r="B171" s="20">
        <f>VLOOKUP(F171,'Session Count DO NOT EDIT'!$A:$C,3,FALSE)</f>
        <v>4</v>
      </c>
      <c r="C171" s="20">
        <f>COUNTIFS('Scores Import DO NOT EDIT'!D:D,A171)</f>
        <v>3</v>
      </c>
      <c r="D171" s="21">
        <f t="shared" si="1"/>
        <v>0.75</v>
      </c>
      <c r="E171" s="22">
        <f>AVERAGEIFS('Scores Import DO NOT EDIT'!L:L,'Scores Import DO NOT EDIT'!D:D,A171)</f>
        <v>28.66666667</v>
      </c>
      <c r="F171" s="23" t="str">
        <f>VLOOKUP(A171, 'Session Data'!A:M,3,false)</f>
        <v>D-2</v>
      </c>
      <c r="G171" s="24" t="str">
        <f>VLOOKUP(A171, 'Session Data'!A:I,2,false)</f>
        <v>3:00 PM</v>
      </c>
      <c r="H171" s="23" t="str">
        <f>VLOOKUP(A171, 'Session Data'!A:J,5,false)</f>
        <v>Behavioral and Social Sciences 1</v>
      </c>
      <c r="I171" s="25" t="str">
        <f>VLOOKUP(A171, 'Session Data'!A:H,4,false)</f>
        <v>Oral </v>
      </c>
      <c r="J171" s="26" t="str">
        <f>VLOOKUP(A171, 'Session Data'!A:AA,14,false)</f>
        <v>Master's</v>
      </c>
      <c r="K171" s="27" t="str">
        <f>VLOOKUP(A171, 'Session Data'!A:AA,15,false)</f>
        <v>Arts and Letters</v>
      </c>
      <c r="L171" s="47"/>
      <c r="M171" s="29" t="str">
        <f>VLOOKUP(A171, 'Session Data'!A:K,11,false)</f>
        <v>Masters of Arts in Spanish</v>
      </c>
      <c r="N171" s="26" t="str">
        <f>IF(ISNA(VLOOKUP(A171, 'Award Abstract#'!C:C, 1, FALSE)), "No", "Yes")
</f>
        <v>No</v>
      </c>
      <c r="O171" s="29" t="str">
        <f>IF(ISNA(VLOOKUP(A171,'Award Abstract#'!B:B,1,FALSE)), "No", "Yes")</f>
        <v>No</v>
      </c>
      <c r="P171" s="29" t="str">
        <f>IF(ISNA(VLOOKUP(A171,'Award Abstract#'!E:E,1,FALSE)), "No", "Yes")</f>
        <v>No</v>
      </c>
      <c r="Q171" s="29" t="str">
        <f>IF(ISNA(VLOOKUP(A171,'Award Abstract#'!A:A,1,FALSE)), "No", "Yes")</f>
        <v>Yes</v>
      </c>
      <c r="R171" s="29" t="str">
        <f>IF(ISNA(VLOOKUP(A171,'Award Abstract#'!D:D,1,FALSE)), "No", "Yes")</f>
        <v>Yes</v>
      </c>
      <c r="S171" s="30" t="str">
        <f>VLOOKUP(A171, 'Session Data'!A:AA,27,false)</f>
        <v>Woman</v>
      </c>
      <c r="T171" s="30"/>
      <c r="U171" s="30"/>
      <c r="V171" s="31" t="str">
        <f>VLOOKUP(A171, 'Session Data'!A:AA,8,false)</f>
        <v>Carolina </v>
      </c>
      <c r="W171" s="32" t="str">
        <f>VLOOKUP(A171, 'Session Data'!A:AA,9,false)</f>
        <v>Vargas</v>
      </c>
      <c r="X171" s="33" t="str">
        <f>VLOOKUP(A171, 'Session Data'!A:AA,12,false)</f>
        <v>Advantages of early linguistic exposure: variation in the perception of Spanish diphthongs by L2 and heritage learners of Spanish</v>
      </c>
      <c r="Y171" s="34" t="str">
        <f>VLOOKUP(A171, 'Session Data'!A:AA,22,false)</f>
        <v>Lauren</v>
      </c>
      <c r="Z171" s="34" t="str">
        <f>VLOOKUP(A171, 'Session Data'!A:AA,23,false)</f>
        <v>Schmidt</v>
      </c>
      <c r="AA171" s="34" t="str">
        <f>VLOOKUP(A171, 'Session Data'!A:AA,25,false)</f>
        <v>Arts and Letters</v>
      </c>
      <c r="AB171" s="34" t="str">
        <f>VLOOKUP(A171, 'Session Data'!A:AA,24,false)</f>
        <v>lschmidt@sdsu.edu</v>
      </c>
      <c r="AC171" s="34" t="str">
        <f>VLOOKUP(A171, 'Session Data'!A:AA,16,false)</f>
        <v>Edwin</v>
      </c>
      <c r="AD171" s="35" t="str">
        <f>VLOOKUP(A171, 'Session Data'!A:U,17,false)</f>
        <v>Rodriguez Munoz</v>
      </c>
      <c r="AE171" s="35" t="str">
        <f>VLOOKUP(A171, 'Session Data'!A:U,18,false)</f>
        <v/>
      </c>
      <c r="AF171" s="35" t="str">
        <f>VLOOKUP(A171, 'Session Data'!A:U,19,false)</f>
        <v/>
      </c>
      <c r="AG171" s="35" t="str">
        <f>VLOOKUP(A171, 'Session Data'!A:U,20,false)</f>
        <v/>
      </c>
      <c r="AH171" s="35" t="str">
        <f>VLOOKUP(A171, 'Session Data'!A:U,21,false)</f>
        <v/>
      </c>
      <c r="AI171" s="37"/>
      <c r="AJ171" s="37"/>
      <c r="AK171" s="37"/>
      <c r="AL171" s="50"/>
      <c r="AM171" s="34" t="str">
        <f>VLOOKUP(A171, 'Session Data'!A:AA,10,false)</f>
        <v>cvargas7077@sdsu.edu</v>
      </c>
      <c r="AN171" s="40"/>
      <c r="AO171" s="38"/>
      <c r="AP171" s="38"/>
      <c r="AQ171" s="38"/>
      <c r="AR171" s="38"/>
      <c r="AS171" s="38"/>
      <c r="AT171" s="38"/>
      <c r="AU171" s="38"/>
      <c r="AV171" s="38"/>
      <c r="AW171" s="38"/>
      <c r="AX171" s="38"/>
      <c r="AY171" s="43"/>
      <c r="AZ171" s="43"/>
      <c r="BA171" s="48"/>
      <c r="BB171" s="48"/>
      <c r="BC171" s="43"/>
      <c r="BD171" s="43"/>
      <c r="BE171" s="44"/>
      <c r="BF171" s="45"/>
      <c r="BG171" s="43"/>
    </row>
    <row r="172">
      <c r="A172" s="19" t="s">
        <v>237</v>
      </c>
      <c r="B172" s="20">
        <f>VLOOKUP(F172,'Session Count DO NOT EDIT'!$A:$C,3,FALSE)</f>
        <v>4</v>
      </c>
      <c r="C172" s="20">
        <f>COUNTIFS('Scores Import DO NOT EDIT'!D:D,A172)</f>
        <v>1</v>
      </c>
      <c r="D172" s="21">
        <f t="shared" si="1"/>
        <v>0.25</v>
      </c>
      <c r="E172" s="22">
        <f>AVERAGEIFS('Scores Import DO NOT EDIT'!L:L,'Scores Import DO NOT EDIT'!D:D,A172)</f>
        <v>26</v>
      </c>
      <c r="F172" s="23" t="str">
        <f>VLOOKUP(A172, 'Session Data'!A:M,3,false)</f>
        <v>D-2</v>
      </c>
      <c r="G172" s="24" t="str">
        <f>VLOOKUP(A172, 'Session Data'!A:I,2,false)</f>
        <v>3:00 PM</v>
      </c>
      <c r="H172" s="23" t="str">
        <f>VLOOKUP(A172, 'Session Data'!A:J,5,false)</f>
        <v>Behavioral and Social Sciences 1</v>
      </c>
      <c r="I172" s="25" t="str">
        <f>VLOOKUP(A172, 'Session Data'!A:H,4,false)</f>
        <v>Oral </v>
      </c>
      <c r="J172" s="26" t="str">
        <f>VLOOKUP(A172, 'Session Data'!A:AA,14,false)</f>
        <v>Master's</v>
      </c>
      <c r="K172" s="27" t="str">
        <f>VLOOKUP(A172, 'Session Data'!A:AA,15,false)</f>
        <v>Professional Studies and Fine Arts</v>
      </c>
      <c r="L172" s="47"/>
      <c r="M172" s="29" t="str">
        <f>VLOOKUP(A172, 'Session Data'!A:K,11,false)</f>
        <v>Masters of Criminal Justice &amp; Criminology</v>
      </c>
      <c r="N172" s="26" t="str">
        <f>IF(ISNA(VLOOKUP(A172, 'Award Abstract#'!C:C, 1, FALSE)), "No", "Yes")
</f>
        <v>No</v>
      </c>
      <c r="O172" s="29" t="str">
        <f>IF(ISNA(VLOOKUP(A172,'Award Abstract#'!B:B,1,FALSE)), "No", "Yes")</f>
        <v>No</v>
      </c>
      <c r="P172" s="29" t="str">
        <f>IF(ISNA(VLOOKUP(A172,'Award Abstract#'!E:E,1,FALSE)), "No", "Yes")</f>
        <v>No</v>
      </c>
      <c r="Q172" s="29" t="str">
        <f>IF(ISNA(VLOOKUP(A172,'Award Abstract#'!A:A,1,FALSE)), "No", "Yes")</f>
        <v>No</v>
      </c>
      <c r="R172" s="29" t="str">
        <f>IF(ISNA(VLOOKUP(A172,'Award Abstract#'!D:D,1,FALSE)), "No", "Yes")</f>
        <v>Yes</v>
      </c>
      <c r="S172" s="30" t="str">
        <f>VLOOKUP(A172, 'Session Data'!A:AA,27,false)</f>
        <v>Woman, Cisgender</v>
      </c>
      <c r="T172" s="30"/>
      <c r="U172" s="30"/>
      <c r="V172" s="31" t="str">
        <f>VLOOKUP(A172, 'Session Data'!A:AA,8,false)</f>
        <v>Samara</v>
      </c>
      <c r="W172" s="32" t="str">
        <f>VLOOKUP(A172, 'Session Data'!A:AA,9,false)</f>
        <v>Camarillo</v>
      </c>
      <c r="X172" s="33" t="str">
        <f>VLOOKUP(A172, 'Session Data'!A:AA,12,false)</f>
        <v>Sexual Assault Prevention: How California Institutions of Higher Education Currently Respond Compared to Previous Review</v>
      </c>
      <c r="Y172" s="34" t="str">
        <f>VLOOKUP(A172, 'Session Data'!A:AA,22,false)</f>
        <v>Joshua</v>
      </c>
      <c r="Z172" s="34" t="str">
        <f>VLOOKUP(A172, 'Session Data'!A:AA,23,false)</f>
        <v>Chanin</v>
      </c>
      <c r="AA172" s="34" t="str">
        <f>VLOOKUP(A172, 'Session Data'!A:AA,25,false)</f>
        <v>Professional Studies and Fine Arts</v>
      </c>
      <c r="AB172" s="34" t="str">
        <f>VLOOKUP(A172, 'Session Data'!A:AA,24,false)</f>
        <v>jchanin@sdsu.edu</v>
      </c>
      <c r="AC172" s="34" t="str">
        <f>VLOOKUP(A172, 'Session Data'!A:AA,16,false)</f>
        <v/>
      </c>
      <c r="AD172" s="35" t="str">
        <f>VLOOKUP(A172, 'Session Data'!A:U,17,false)</f>
        <v/>
      </c>
      <c r="AE172" s="35" t="str">
        <f>VLOOKUP(A172, 'Session Data'!A:U,18,false)</f>
        <v/>
      </c>
      <c r="AF172" s="35" t="str">
        <f>VLOOKUP(A172, 'Session Data'!A:U,19,false)</f>
        <v/>
      </c>
      <c r="AG172" s="35" t="str">
        <f>VLOOKUP(A172, 'Session Data'!A:U,20,false)</f>
        <v/>
      </c>
      <c r="AH172" s="35" t="str">
        <f>VLOOKUP(A172, 'Session Data'!A:U,21,false)</f>
        <v/>
      </c>
      <c r="AI172" s="37"/>
      <c r="AJ172" s="37"/>
      <c r="AK172" s="37"/>
      <c r="AL172" s="50"/>
      <c r="AM172" s="34" t="str">
        <f>VLOOKUP(A172, 'Session Data'!A:AA,10,false)</f>
        <v>scamarillo7619@sdsu.edu</v>
      </c>
      <c r="AN172" s="40"/>
      <c r="AO172" s="38"/>
      <c r="AP172" s="38"/>
      <c r="AQ172" s="38"/>
      <c r="AR172" s="38"/>
      <c r="AS172" s="38"/>
      <c r="AT172" s="38"/>
      <c r="AU172" s="38"/>
      <c r="AV172" s="38"/>
      <c r="AW172" s="38"/>
      <c r="AX172" s="38"/>
      <c r="AY172" s="43"/>
      <c r="AZ172" s="43"/>
      <c r="BA172" s="48"/>
      <c r="BB172" s="48"/>
      <c r="BC172" s="43"/>
      <c r="BD172" s="43"/>
      <c r="BE172" s="44"/>
      <c r="BF172" s="45"/>
      <c r="BG172" s="43"/>
    </row>
    <row r="173">
      <c r="A173" s="19" t="s">
        <v>238</v>
      </c>
      <c r="B173" s="20">
        <f>VLOOKUP(F173,'Session Count DO NOT EDIT'!$A:$C,3,FALSE)</f>
        <v>5</v>
      </c>
      <c r="C173" s="20">
        <f>COUNTIFS('Scores Import DO NOT EDIT'!D:D,A173)</f>
        <v>2</v>
      </c>
      <c r="D173" s="21">
        <f t="shared" si="1"/>
        <v>0.4</v>
      </c>
      <c r="E173" s="22">
        <f>AVERAGEIFS('Scores Import DO NOT EDIT'!L:L,'Scores Import DO NOT EDIT'!D:D,A173)</f>
        <v>30.5</v>
      </c>
      <c r="F173" s="23" t="str">
        <f>VLOOKUP(A173, 'Session Data'!A:M,3,false)</f>
        <v>D-3</v>
      </c>
      <c r="G173" s="24" t="str">
        <f>VLOOKUP(A173, 'Session Data'!A:I,2,false)</f>
        <v>3:00 PM</v>
      </c>
      <c r="H173" s="23" t="str">
        <f>VLOOKUP(A173, 'Session Data'!A:J,5,false)</f>
        <v>Behavioral and Social Sciences 2</v>
      </c>
      <c r="I173" s="25" t="str">
        <f>VLOOKUP(A173, 'Session Data'!A:H,4,false)</f>
        <v>Oral </v>
      </c>
      <c r="J173" s="26" t="str">
        <f>VLOOKUP(A173, 'Session Data'!A:AA,14,false)</f>
        <v>Master's</v>
      </c>
      <c r="K173" s="27" t="str">
        <f>VLOOKUP(A173, 'Session Data'!A:AA,15,false)</f>
        <v>Arts and Letters</v>
      </c>
      <c r="L173" s="47"/>
      <c r="M173" s="29" t="str">
        <f>VLOOKUP(A173, 'Session Data'!A:K,11,false)</f>
        <v>Masters of Science in Geography </v>
      </c>
      <c r="N173" s="26" t="str">
        <f>IF(ISNA(VLOOKUP(A173, 'Award Abstract#'!C:C, 1, FALSE)), "No", "Yes")
</f>
        <v>No</v>
      </c>
      <c r="O173" s="29" t="str">
        <f>IF(ISNA(VLOOKUP(A173,'Award Abstract#'!B:B,1,FALSE)), "No", "Yes")</f>
        <v>Yes</v>
      </c>
      <c r="P173" s="29" t="str">
        <f>IF(ISNA(VLOOKUP(A173,'Award Abstract#'!E:E,1,FALSE)), "No", "Yes")</f>
        <v>No</v>
      </c>
      <c r="Q173" s="29" t="str">
        <f>IF(ISNA(VLOOKUP(A173,'Award Abstract#'!A:A,1,FALSE)), "No", "Yes")</f>
        <v>No</v>
      </c>
      <c r="R173" s="29" t="str">
        <f>IF(ISNA(VLOOKUP(A173,'Award Abstract#'!D:D,1,FALSE)), "No", "Yes")</f>
        <v>No</v>
      </c>
      <c r="S173" s="30" t="str">
        <f>VLOOKUP(A173, 'Session Data'!A:AA,27,false)</f>
        <v>Woman</v>
      </c>
      <c r="T173" s="30"/>
      <c r="U173" s="30"/>
      <c r="V173" s="31" t="str">
        <f>VLOOKUP(A173, 'Session Data'!A:AA,8,false)</f>
        <v>Peaceibisia</v>
      </c>
      <c r="W173" s="32" t="str">
        <f>VLOOKUP(A173, 'Session Data'!A:AA,9,false)</f>
        <v>Jack</v>
      </c>
      <c r="X173" s="33" t="str">
        <f>VLOOKUP(A173, 'Session Data'!A:AA,12,false)</f>
        <v>Machine learning detection of anthropogenic debris in complex floodplain environment</v>
      </c>
      <c r="Y173" s="34" t="str">
        <f>VLOOKUP(A173, 'Session Data'!A:AA,22,false)</f>
        <v>Trent</v>
      </c>
      <c r="Z173" s="34" t="str">
        <f>VLOOKUP(A173, 'Session Data'!A:AA,23,false)</f>
        <v>Biggs</v>
      </c>
      <c r="AA173" s="34" t="str">
        <f>VLOOKUP(A173, 'Session Data'!A:AA,25,false)</f>
        <v>Arts and Letters</v>
      </c>
      <c r="AB173" s="34" t="str">
        <f>VLOOKUP(A173, 'Session Data'!A:AA,24,false)</f>
        <v>tbiggs@sdsu.edu</v>
      </c>
      <c r="AC173" s="34" t="str">
        <f>VLOOKUP(A173, 'Session Data'!A:AA,16,false)</f>
        <v/>
      </c>
      <c r="AD173" s="35" t="str">
        <f>VLOOKUP(A173, 'Session Data'!A:U,17,false)</f>
        <v/>
      </c>
      <c r="AE173" s="35" t="str">
        <f>VLOOKUP(A173, 'Session Data'!A:U,18,false)</f>
        <v/>
      </c>
      <c r="AF173" s="35" t="str">
        <f>VLOOKUP(A173, 'Session Data'!A:U,19,false)</f>
        <v/>
      </c>
      <c r="AG173" s="35" t="str">
        <f>VLOOKUP(A173, 'Session Data'!A:U,20,false)</f>
        <v/>
      </c>
      <c r="AH173" s="35" t="str">
        <f>VLOOKUP(A173, 'Session Data'!A:U,21,false)</f>
        <v/>
      </c>
      <c r="AI173" s="37"/>
      <c r="AJ173" s="37"/>
      <c r="AK173" s="37"/>
      <c r="AL173" s="50"/>
      <c r="AM173" s="34" t="str">
        <f>VLOOKUP(A173, 'Session Data'!A:AA,10,false)</f>
        <v>pjack1220@sdsu.edu</v>
      </c>
      <c r="AN173" s="40"/>
      <c r="AO173" s="38"/>
      <c r="AP173" s="38"/>
      <c r="AQ173" s="38"/>
      <c r="AR173" s="38"/>
      <c r="AS173" s="38"/>
      <c r="AT173" s="38"/>
      <c r="AU173" s="38"/>
      <c r="AV173" s="38"/>
      <c r="AW173" s="38"/>
      <c r="AX173" s="38"/>
      <c r="AY173" s="43"/>
      <c r="AZ173" s="43"/>
      <c r="BA173" s="48"/>
      <c r="BB173" s="48"/>
      <c r="BC173" s="43"/>
      <c r="BD173" s="43"/>
      <c r="BE173" s="44"/>
      <c r="BF173" s="45"/>
      <c r="BG173" s="46"/>
    </row>
    <row r="174">
      <c r="A174" s="19" t="s">
        <v>239</v>
      </c>
      <c r="B174" s="20">
        <f>VLOOKUP(F174,'Session Count DO NOT EDIT'!$A:$C,3,FALSE)</f>
        <v>5</v>
      </c>
      <c r="C174" s="20">
        <f>COUNTIFS('Scores Import DO NOT EDIT'!D:D,A174)</f>
        <v>2</v>
      </c>
      <c r="D174" s="21">
        <f t="shared" si="1"/>
        <v>0.4</v>
      </c>
      <c r="E174" s="22">
        <f>AVERAGEIFS('Scores Import DO NOT EDIT'!L:L,'Scores Import DO NOT EDIT'!D:D,A174)</f>
        <v>27.5</v>
      </c>
      <c r="F174" s="23" t="str">
        <f>VLOOKUP(A174, 'Session Data'!A:M,3,false)</f>
        <v>D-3</v>
      </c>
      <c r="G174" s="24" t="str">
        <f>VLOOKUP(A174, 'Session Data'!A:I,2,false)</f>
        <v>3:00 PM</v>
      </c>
      <c r="H174" s="23" t="str">
        <f>VLOOKUP(A174, 'Session Data'!A:J,5,false)</f>
        <v>Behavioral and Social Sciences 2</v>
      </c>
      <c r="I174" s="25" t="str">
        <f>VLOOKUP(A174, 'Session Data'!A:H,4,false)</f>
        <v>Oral </v>
      </c>
      <c r="J174" s="26" t="str">
        <f>VLOOKUP(A174, 'Session Data'!A:AA,14,false)</f>
        <v>Master's</v>
      </c>
      <c r="K174" s="27" t="str">
        <f>VLOOKUP(A174, 'Session Data'!A:AA,15,false)</f>
        <v>Professional Studies and Fine Arts</v>
      </c>
      <c r="L174" s="28"/>
      <c r="M174" s="29" t="str">
        <f>VLOOKUP(A174, 'Session Data'!A:K,11,false)</f>
        <v>Master of Arts in Communication Studies</v>
      </c>
      <c r="N174" s="26" t="str">
        <f>IF(ISNA(VLOOKUP(A174, 'Award Abstract#'!C:C, 1, FALSE)), "No", "Yes")
</f>
        <v>No</v>
      </c>
      <c r="O174" s="29" t="str">
        <f>IF(ISNA(VLOOKUP(A174,'Award Abstract#'!B:B,1,FALSE)), "No", "Yes")</f>
        <v>Yes</v>
      </c>
      <c r="P174" s="29" t="str">
        <f>IF(ISNA(VLOOKUP(A174,'Award Abstract#'!E:E,1,FALSE)), "No", "Yes")</f>
        <v>No</v>
      </c>
      <c r="Q174" s="29" t="str">
        <f>IF(ISNA(VLOOKUP(A174,'Award Abstract#'!A:A,1,FALSE)), "No", "Yes")</f>
        <v>No</v>
      </c>
      <c r="R174" s="29" t="str">
        <f>IF(ISNA(VLOOKUP(A174,'Award Abstract#'!D:D,1,FALSE)), "No", "Yes")</f>
        <v>Yes</v>
      </c>
      <c r="S174" s="30" t="str">
        <f>VLOOKUP(A174, 'Session Data'!A:AA,27,false)</f>
        <v>Woman</v>
      </c>
      <c r="T174" s="30"/>
      <c r="U174" s="30"/>
      <c r="V174" s="31" t="str">
        <f>VLOOKUP(A174, 'Session Data'!A:AA,8,false)</f>
        <v>Brianna </v>
      </c>
      <c r="W174" s="32" t="str">
        <f>VLOOKUP(A174, 'Session Data'!A:AA,9,false)</f>
        <v>Pham</v>
      </c>
      <c r="X174" s="33" t="str">
        <f>VLOOKUP(A174, 'Session Data'!A:AA,12,false)</f>
        <v>A Culture-Centered Approach to Meanings of Health and Understandings of Environmental Risks Associated with Brownfields Exposure in National City</v>
      </c>
      <c r="Y174" s="34" t="str">
        <f>VLOOKUP(A174, 'Session Data'!A:AA,22,false)</f>
        <v>Rati</v>
      </c>
      <c r="Z174" s="34" t="str">
        <f>VLOOKUP(A174, 'Session Data'!A:AA,23,false)</f>
        <v>Kumar</v>
      </c>
      <c r="AA174" s="34" t="str">
        <f>VLOOKUP(A174, 'Session Data'!A:AA,25,false)</f>
        <v>Professional Studies and Fine Arts</v>
      </c>
      <c r="AB174" s="34" t="str">
        <f>VLOOKUP(A174, 'Session Data'!A:AA,24,false)</f>
        <v>rkumar@sdsu.edu</v>
      </c>
      <c r="AC174" s="34" t="str">
        <f>VLOOKUP(A174, 'Session Data'!A:AA,16,false)</f>
        <v>Katya</v>
      </c>
      <c r="AD174" s="35" t="str">
        <f>VLOOKUP(A174, 'Session Data'!A:U,17,false)</f>
        <v>Azzam</v>
      </c>
      <c r="AE174" s="35" t="str">
        <f>VLOOKUP(A174, 'Session Data'!A:U,18,false)</f>
        <v>Crystal</v>
      </c>
      <c r="AF174" s="35" t="str">
        <f>VLOOKUP(A174, 'Session Data'!A:U,19,false)</f>
        <v>Nguyen</v>
      </c>
      <c r="AG174" s="35" t="str">
        <f>VLOOKUP(A174, 'Session Data'!A:U,20,false)</f>
        <v/>
      </c>
      <c r="AH174" s="35" t="str">
        <f>VLOOKUP(A174, 'Session Data'!A:U,21,false)</f>
        <v/>
      </c>
      <c r="AI174" s="36"/>
      <c r="AJ174" s="38"/>
      <c r="AK174" s="38"/>
      <c r="AL174" s="39"/>
      <c r="AM174" s="34" t="str">
        <f>VLOOKUP(A174, 'Session Data'!A:AA,10,false)</f>
        <v>bpham3949@sdsu.edu</v>
      </c>
      <c r="AN174" s="40"/>
      <c r="AO174" s="38"/>
      <c r="AP174" s="38"/>
      <c r="AQ174" s="38"/>
      <c r="AR174" s="38"/>
      <c r="AS174" s="38"/>
      <c r="AT174" s="38"/>
      <c r="AU174" s="38"/>
      <c r="AV174" s="38"/>
      <c r="AW174" s="38"/>
      <c r="AX174" s="38"/>
      <c r="AY174" s="43"/>
      <c r="AZ174" s="43"/>
      <c r="BA174" s="43"/>
      <c r="BB174" s="43"/>
      <c r="BC174" s="43"/>
      <c r="BD174" s="43"/>
      <c r="BE174" s="44"/>
      <c r="BF174" s="45"/>
      <c r="BG174" s="43"/>
    </row>
    <row r="175">
      <c r="A175" s="19" t="s">
        <v>240</v>
      </c>
      <c r="B175" s="20">
        <f>VLOOKUP(F175,'Session Count DO NOT EDIT'!$A:$C,3,FALSE)</f>
        <v>5</v>
      </c>
      <c r="C175" s="20">
        <f>COUNTIFS('Scores Import DO NOT EDIT'!D:D,A175)</f>
        <v>2</v>
      </c>
      <c r="D175" s="21">
        <f t="shared" si="1"/>
        <v>0.4</v>
      </c>
      <c r="E175" s="22">
        <f>AVERAGEIFS('Scores Import DO NOT EDIT'!L:L,'Scores Import DO NOT EDIT'!D:D,A175)</f>
        <v>21</v>
      </c>
      <c r="F175" s="23" t="str">
        <f>VLOOKUP(A175, 'Session Data'!A:M,3,false)</f>
        <v>D-3</v>
      </c>
      <c r="G175" s="24" t="str">
        <f>VLOOKUP(A175, 'Session Data'!A:I,2,false)</f>
        <v>3:00 PM</v>
      </c>
      <c r="H175" s="23" t="str">
        <f>VLOOKUP(A175, 'Session Data'!A:J,5,false)</f>
        <v>Behavioral and Social Sciences 2</v>
      </c>
      <c r="I175" s="25" t="str">
        <f>VLOOKUP(A175, 'Session Data'!A:H,4,false)</f>
        <v>Oral </v>
      </c>
      <c r="J175" s="26" t="str">
        <f>VLOOKUP(A175, 'Session Data'!A:AA,14,false)</f>
        <v>Master's</v>
      </c>
      <c r="K175" s="27" t="str">
        <f>VLOOKUP(A175, 'Session Data'!A:AA,15,false)</f>
        <v>Health and Human Services</v>
      </c>
      <c r="L175" s="28"/>
      <c r="M175" s="29" t="str">
        <f>VLOOKUP(A175, 'Session Data'!A:K,11,false)</f>
        <v>Master of Public Health in Epidemiology</v>
      </c>
      <c r="N175" s="26" t="str">
        <f>IF(ISNA(VLOOKUP(A175, 'Award Abstract#'!C:C, 1, FALSE)), "No", "Yes")
</f>
        <v>No</v>
      </c>
      <c r="O175" s="29" t="str">
        <f>IF(ISNA(VLOOKUP(A175,'Award Abstract#'!B:B,1,FALSE)), "No", "Yes")</f>
        <v>Yes</v>
      </c>
      <c r="P175" s="29" t="str">
        <f>IF(ISNA(VLOOKUP(A175,'Award Abstract#'!E:E,1,FALSE)), "No", "Yes")</f>
        <v>No</v>
      </c>
      <c r="Q175" s="29" t="str">
        <f>IF(ISNA(VLOOKUP(A175,'Award Abstract#'!A:A,1,FALSE)), "No", "Yes")</f>
        <v>No</v>
      </c>
      <c r="R175" s="29" t="str">
        <f>IF(ISNA(VLOOKUP(A175,'Award Abstract#'!D:D,1,FALSE)), "No", "Yes")</f>
        <v>Yes</v>
      </c>
      <c r="S175" s="30" t="str">
        <f>VLOOKUP(A175, 'Session Data'!A:AA,27,false)</f>
        <v>Man</v>
      </c>
      <c r="T175" s="30"/>
      <c r="U175" s="30"/>
      <c r="V175" s="31" t="str">
        <f>VLOOKUP(A175, 'Session Data'!A:AA,8,false)</f>
        <v>Enrick Kyle</v>
      </c>
      <c r="W175" s="32" t="str">
        <f>VLOOKUP(A175, 'Session Data'!A:AA,9,false)</f>
        <v>Fontelera</v>
      </c>
      <c r="X175" s="33" t="str">
        <f>VLOOKUP(A175, 'Session Data'!A:AA,12,false)</f>
        <v>Analyzing the association between starting cancer treatment and the COVID-19 lockdown protocols.</v>
      </c>
      <c r="Y175" s="34" t="str">
        <f>VLOOKUP(A175, 'Session Data'!A:AA,22,false)</f>
        <v>Susan</v>
      </c>
      <c r="Z175" s="34" t="str">
        <f>VLOOKUP(A175, 'Session Data'!A:AA,23,false)</f>
        <v>Kiene</v>
      </c>
      <c r="AA175" s="34" t="str">
        <f>VLOOKUP(A175, 'Session Data'!A:AA,25,false)</f>
        <v>Health and Human Services</v>
      </c>
      <c r="AB175" s="34" t="str">
        <f>VLOOKUP(A175, 'Session Data'!A:AA,24,false)</f>
        <v>Skiene@sdsu.edu</v>
      </c>
      <c r="AC175" s="34" t="str">
        <f>VLOOKUP(A175, 'Session Data'!A:AA,16,false)</f>
        <v/>
      </c>
      <c r="AD175" s="35" t="str">
        <f>VLOOKUP(A175, 'Session Data'!A:U,17,false)</f>
        <v/>
      </c>
      <c r="AE175" s="35" t="str">
        <f>VLOOKUP(A175, 'Session Data'!A:U,18,false)</f>
        <v/>
      </c>
      <c r="AF175" s="35" t="str">
        <f>VLOOKUP(A175, 'Session Data'!A:U,19,false)</f>
        <v/>
      </c>
      <c r="AG175" s="35" t="str">
        <f>VLOOKUP(A175, 'Session Data'!A:U,20,false)</f>
        <v/>
      </c>
      <c r="AH175" s="35" t="str">
        <f>VLOOKUP(A175, 'Session Data'!A:U,21,false)</f>
        <v/>
      </c>
      <c r="AI175" s="36"/>
      <c r="AJ175" s="38"/>
      <c r="AK175" s="38"/>
      <c r="AL175" s="39"/>
      <c r="AM175" s="34" t="str">
        <f>VLOOKUP(A175, 'Session Data'!A:AA,10,false)</f>
        <v>kfontelera8740@sdsu.edu</v>
      </c>
      <c r="AN175" s="40"/>
      <c r="AO175" s="38"/>
      <c r="AP175" s="38"/>
      <c r="AQ175" s="38"/>
      <c r="AR175" s="38"/>
      <c r="AS175" s="38"/>
      <c r="AT175" s="38"/>
      <c r="AU175" s="38"/>
      <c r="AV175" s="38"/>
      <c r="AW175" s="38"/>
      <c r="AX175" s="38"/>
      <c r="AY175" s="43"/>
      <c r="AZ175" s="43"/>
      <c r="BA175" s="43"/>
      <c r="BB175" s="43"/>
      <c r="BC175" s="43"/>
      <c r="BD175" s="43"/>
      <c r="BE175" s="44"/>
      <c r="BF175" s="45"/>
      <c r="BG175" s="43"/>
    </row>
    <row r="176">
      <c r="A176" s="19" t="s">
        <v>241</v>
      </c>
      <c r="B176" s="20">
        <f>VLOOKUP(F176,'Session Count DO NOT EDIT'!$A:$C,3,FALSE)</f>
        <v>5</v>
      </c>
      <c r="C176" s="20">
        <f>COUNTIFS('Scores Import DO NOT EDIT'!D:D,A176)</f>
        <v>1</v>
      </c>
      <c r="D176" s="21">
        <f t="shared" si="1"/>
        <v>0.2</v>
      </c>
      <c r="E176" s="22">
        <f>AVERAGEIFS('Scores Import DO NOT EDIT'!L:L,'Scores Import DO NOT EDIT'!D:D,A176)</f>
        <v>32</v>
      </c>
      <c r="F176" s="23" t="str">
        <f>VLOOKUP(A176, 'Session Data'!A:M,3,false)</f>
        <v>D-3</v>
      </c>
      <c r="G176" s="24" t="str">
        <f>VLOOKUP(A176, 'Session Data'!A:I,2,false)</f>
        <v>3:00 PM</v>
      </c>
      <c r="H176" s="23" t="str">
        <f>VLOOKUP(A176, 'Session Data'!A:J,5,false)</f>
        <v>Behavioral and Social Sciences 2</v>
      </c>
      <c r="I176" s="25" t="str">
        <f>VLOOKUP(A176, 'Session Data'!A:H,4,false)</f>
        <v>Oral </v>
      </c>
      <c r="J176" s="26" t="str">
        <f>VLOOKUP(A176, 'Session Data'!A:AA,14,false)</f>
        <v>Doctoral</v>
      </c>
      <c r="K176" s="27" t="str">
        <f>VLOOKUP(A176, 'Session Data'!A:AA,15,false)</f>
        <v>Health and Human Services</v>
      </c>
      <c r="L176" s="47"/>
      <c r="M176" s="29" t="str">
        <f>VLOOKUP(A176, 'Session Data'!A:K,11,false)</f>
        <v>Public Health</v>
      </c>
      <c r="N176" s="26" t="str">
        <f>IF(ISNA(VLOOKUP(A176, 'Award Abstract#'!C:C, 1, FALSE)), "No", "Yes")
</f>
        <v>No</v>
      </c>
      <c r="O176" s="29" t="str">
        <f>IF(ISNA(VLOOKUP(A176,'Award Abstract#'!B:B,1,FALSE)), "No", "Yes")</f>
        <v>No</v>
      </c>
      <c r="P176" s="29" t="str">
        <f>IF(ISNA(VLOOKUP(A176,'Award Abstract#'!E:E,1,FALSE)), "No", "Yes")</f>
        <v>No</v>
      </c>
      <c r="Q176" s="29" t="str">
        <f>IF(ISNA(VLOOKUP(A176,'Award Abstract#'!A:A,1,FALSE)), "No", "Yes")</f>
        <v>No</v>
      </c>
      <c r="R176" s="29" t="str">
        <f>IF(ISNA(VLOOKUP(A176,'Award Abstract#'!D:D,1,FALSE)), "No", "Yes")</f>
        <v>Yes</v>
      </c>
      <c r="S176" s="30" t="str">
        <f>VLOOKUP(A176, 'Session Data'!A:AA,27,false)</f>
        <v>Woman</v>
      </c>
      <c r="T176" s="30"/>
      <c r="U176" s="30"/>
      <c r="V176" s="31" t="str">
        <f>VLOOKUP(A176, 'Session Data'!A:AA,8,false)</f>
        <v>Doreen</v>
      </c>
      <c r="W176" s="32" t="str">
        <f>VLOOKUP(A176, 'Session Data'!A:AA,9,false)</f>
        <v>Tuhebwe</v>
      </c>
      <c r="X176" s="33" t="str">
        <f>VLOOKUP(A176, 'Session Data'!A:AA,12,false)</f>
        <v>Concordance between self-reported hazardous alcohol use by the audit-c and phosphatidylethanol (PETH) among heavy drinking fisherfolk men living with HIV in Uganda</v>
      </c>
      <c r="Y176" s="34" t="str">
        <f>VLOOKUP(A176, 'Session Data'!A:AA,22,false)</f>
        <v>Susan</v>
      </c>
      <c r="Z176" s="34" t="str">
        <f>VLOOKUP(A176, 'Session Data'!A:AA,23,false)</f>
        <v>Kiene</v>
      </c>
      <c r="AA176" s="34" t="str">
        <f>VLOOKUP(A176, 'Session Data'!A:AA,25,false)</f>
        <v>Health and Human Services</v>
      </c>
      <c r="AB176" s="34" t="str">
        <f>VLOOKUP(A176, 'Session Data'!A:AA,24,false)</f>
        <v>skiene@sdsu.edu</v>
      </c>
      <c r="AC176" s="34" t="str">
        <f>VLOOKUP(A176, 'Session Data'!A:AA,16,false)</f>
        <v/>
      </c>
      <c r="AD176" s="35" t="str">
        <f>VLOOKUP(A176, 'Session Data'!A:U,17,false)</f>
        <v/>
      </c>
      <c r="AE176" s="35" t="str">
        <f>VLOOKUP(A176, 'Session Data'!A:U,18,false)</f>
        <v/>
      </c>
      <c r="AF176" s="35" t="str">
        <f>VLOOKUP(A176, 'Session Data'!A:U,19,false)</f>
        <v/>
      </c>
      <c r="AG176" s="35" t="str">
        <f>VLOOKUP(A176, 'Session Data'!A:U,20,false)</f>
        <v/>
      </c>
      <c r="AH176" s="35" t="str">
        <f>VLOOKUP(A176, 'Session Data'!A:U,21,false)</f>
        <v/>
      </c>
      <c r="AI176" s="37"/>
      <c r="AJ176" s="37"/>
      <c r="AK176" s="37"/>
      <c r="AL176" s="50"/>
      <c r="AM176" s="34" t="str">
        <f>VLOOKUP(A176, 'Session Data'!A:AA,10,false)</f>
        <v>dtuhebwe3974@sdsu.edu</v>
      </c>
      <c r="AN176" s="40"/>
      <c r="AO176" s="38"/>
      <c r="AP176" s="38"/>
      <c r="AQ176" s="38"/>
      <c r="AR176" s="38"/>
      <c r="AS176" s="38"/>
      <c r="AT176" s="38"/>
      <c r="AU176" s="38"/>
      <c r="AV176" s="38"/>
      <c r="AW176" s="38"/>
      <c r="AX176" s="38"/>
      <c r="AY176" s="43"/>
      <c r="AZ176" s="43"/>
      <c r="BA176" s="43"/>
      <c r="BB176" s="43"/>
      <c r="BC176" s="43"/>
      <c r="BD176" s="43"/>
      <c r="BE176" s="44"/>
      <c r="BF176" s="45"/>
      <c r="BG176" s="43"/>
    </row>
    <row r="177">
      <c r="A177" s="19" t="s">
        <v>242</v>
      </c>
      <c r="B177" s="20">
        <f>VLOOKUP(F177,'Session Count DO NOT EDIT'!$A:$C,3,FALSE)</f>
        <v>5</v>
      </c>
      <c r="C177" s="20">
        <f>COUNTIFS('Scores Import DO NOT EDIT'!D:D,A177)</f>
        <v>2</v>
      </c>
      <c r="D177" s="21">
        <f t="shared" si="1"/>
        <v>0.4</v>
      </c>
      <c r="E177" s="22">
        <f>AVERAGEIFS('Scores Import DO NOT EDIT'!L:L,'Scores Import DO NOT EDIT'!D:D,A177)</f>
        <v>27</v>
      </c>
      <c r="F177" s="23" t="str">
        <f>VLOOKUP(A177, 'Session Data'!A:M,3,false)</f>
        <v>D-3</v>
      </c>
      <c r="G177" s="24" t="str">
        <f>VLOOKUP(A177, 'Session Data'!A:I,2,false)</f>
        <v>3:00 PM</v>
      </c>
      <c r="H177" s="23" t="str">
        <f>VLOOKUP(A177, 'Session Data'!A:J,5,false)</f>
        <v>Behavioral and Social Sciences 2</v>
      </c>
      <c r="I177" s="25" t="str">
        <f>VLOOKUP(A177, 'Session Data'!A:H,4,false)</f>
        <v>Oral </v>
      </c>
      <c r="J177" s="26" t="str">
        <f>VLOOKUP(A177, 'Session Data'!A:AA,14,false)</f>
        <v>Master's</v>
      </c>
      <c r="K177" s="27" t="str">
        <f>VLOOKUP(A177, 'Session Data'!A:AA,15,false)</f>
        <v>Professional Studies and Fine Arts</v>
      </c>
      <c r="L177" s="28"/>
      <c r="M177" s="29" t="str">
        <f>VLOOKUP(A177, 'Session Data'!A:K,11,false)</f>
        <v>Masters of Communication</v>
      </c>
      <c r="N177" s="26" t="str">
        <f>IF(ISNA(VLOOKUP(A177, 'Award Abstract#'!C:C, 1, FALSE)), "No", "Yes")
</f>
        <v>No</v>
      </c>
      <c r="O177" s="29" t="str">
        <f>IF(ISNA(VLOOKUP(A177,'Award Abstract#'!B:B,1,FALSE)), "No", "Yes")</f>
        <v>No</v>
      </c>
      <c r="P177" s="29" t="str">
        <f>IF(ISNA(VLOOKUP(A177,'Award Abstract#'!E:E,1,FALSE)), "No", "Yes")</f>
        <v>No</v>
      </c>
      <c r="Q177" s="29" t="str">
        <f>IF(ISNA(VLOOKUP(A177,'Award Abstract#'!A:A,1,FALSE)), "No", "Yes")</f>
        <v>Yes</v>
      </c>
      <c r="R177" s="29" t="str">
        <f>IF(ISNA(VLOOKUP(A177,'Award Abstract#'!D:D,1,FALSE)), "No", "Yes")</f>
        <v>Yes</v>
      </c>
      <c r="S177" s="30" t="str">
        <f>VLOOKUP(A177, 'Session Data'!A:AA,27,false)</f>
        <v>Woman</v>
      </c>
      <c r="T177" s="30"/>
      <c r="U177" s="30"/>
      <c r="V177" s="31" t="str">
        <f>VLOOKUP(A177, 'Session Data'!A:AA,8,false)</f>
        <v>Rebeca</v>
      </c>
      <c r="W177" s="32" t="str">
        <f>VLOOKUP(A177, 'Session Data'!A:AA,9,false)</f>
        <v>Navarrete</v>
      </c>
      <c r="X177" s="33" t="str">
        <f>VLOOKUP(A177, 'Session Data'!A:AA,12,false)</f>
        <v>¿QUÉ ES LA PERTENENCIA?: social constructions of belonging among latinx tutors at a hispanic-serving institution</v>
      </c>
      <c r="Y177" s="34" t="str">
        <f>VLOOKUP(A177, 'Session Data'!A:AA,22,false)</f>
        <v>Tiffany</v>
      </c>
      <c r="Z177" s="34" t="str">
        <f>VLOOKUP(A177, 'Session Data'!A:AA,23,false)</f>
        <v>Dykstra-DeVette</v>
      </c>
      <c r="AA177" s="34" t="str">
        <f>VLOOKUP(A177, 'Session Data'!A:AA,25,false)</f>
        <v>Professional Studies and Fine Arts</v>
      </c>
      <c r="AB177" s="34" t="str">
        <f>VLOOKUP(A177, 'Session Data'!A:AA,24,false)</f>
        <v>tdykstradevette@sdsu.edu</v>
      </c>
      <c r="AC177" s="34" t="str">
        <f>VLOOKUP(A177, 'Session Data'!A:AA,16,false)</f>
        <v/>
      </c>
      <c r="AD177" s="35" t="str">
        <f>VLOOKUP(A177, 'Session Data'!A:U,17,false)</f>
        <v/>
      </c>
      <c r="AE177" s="35" t="str">
        <f>VLOOKUP(A177, 'Session Data'!A:U,18,false)</f>
        <v/>
      </c>
      <c r="AF177" s="35" t="str">
        <f>VLOOKUP(A177, 'Session Data'!A:U,19,false)</f>
        <v/>
      </c>
      <c r="AG177" s="35" t="str">
        <f>VLOOKUP(A177, 'Session Data'!A:U,20,false)</f>
        <v/>
      </c>
      <c r="AH177" s="35" t="str">
        <f>VLOOKUP(A177, 'Session Data'!A:U,21,false)</f>
        <v/>
      </c>
      <c r="AI177" s="36"/>
      <c r="AJ177" s="38"/>
      <c r="AK177" s="38"/>
      <c r="AL177" s="39"/>
      <c r="AM177" s="34" t="str">
        <f>VLOOKUP(A177, 'Session Data'!A:AA,10,false)</f>
        <v>rnavarrete@sdsu.edu</v>
      </c>
      <c r="AN177" s="40"/>
      <c r="AO177" s="38"/>
      <c r="AP177" s="38"/>
      <c r="AQ177" s="38"/>
      <c r="AR177" s="38"/>
      <c r="AS177" s="38"/>
      <c r="AT177" s="38"/>
      <c r="AU177" s="38"/>
      <c r="AV177" s="38"/>
      <c r="AW177" s="38"/>
      <c r="AX177" s="38"/>
      <c r="AY177" s="43"/>
      <c r="AZ177" s="43"/>
      <c r="BA177" s="43"/>
      <c r="BB177" s="43"/>
      <c r="BC177" s="43"/>
      <c r="BD177" s="43"/>
      <c r="BE177" s="44"/>
      <c r="BF177" s="45"/>
      <c r="BG177" s="46"/>
    </row>
    <row r="178">
      <c r="A178" s="19" t="s">
        <v>243</v>
      </c>
      <c r="B178" s="20">
        <f>VLOOKUP(F178,'Session Count DO NOT EDIT'!$A:$C,3,FALSE)</f>
        <v>5</v>
      </c>
      <c r="C178" s="20">
        <f>COUNTIFS('Scores Import DO NOT EDIT'!D:D,A178)</f>
        <v>2</v>
      </c>
      <c r="D178" s="21">
        <f t="shared" si="1"/>
        <v>0.4</v>
      </c>
      <c r="E178" s="22">
        <f>AVERAGEIFS('Scores Import DO NOT EDIT'!L:L,'Scores Import DO NOT EDIT'!D:D,A178)</f>
        <v>23</v>
      </c>
      <c r="F178" s="23" t="str">
        <f>VLOOKUP(A178, 'Session Data'!A:M,3,false)</f>
        <v>D-3</v>
      </c>
      <c r="G178" s="24" t="str">
        <f>VLOOKUP(A178, 'Session Data'!A:I,2,false)</f>
        <v>3:00 PM</v>
      </c>
      <c r="H178" s="23" t="str">
        <f>VLOOKUP(A178, 'Session Data'!A:J,5,false)</f>
        <v>Behavioral and Social Sciences 2</v>
      </c>
      <c r="I178" s="25" t="str">
        <f>VLOOKUP(A178, 'Session Data'!A:H,4,false)</f>
        <v>Oral </v>
      </c>
      <c r="J178" s="26" t="str">
        <f>VLOOKUP(A178, 'Session Data'!A:AA,14,false)</f>
        <v>Master's</v>
      </c>
      <c r="K178" s="27" t="str">
        <f>VLOOKUP(A178, 'Session Data'!A:AA,15,false)</f>
        <v>Professional Studies and Fine Arts</v>
      </c>
      <c r="L178" s="47"/>
      <c r="M178" s="29" t="str">
        <f>VLOOKUP(A178, 'Session Data'!A:K,11,false)</f>
        <v>Master of Public Administration/Master of Arts in Latin American Studies</v>
      </c>
      <c r="N178" s="26" t="str">
        <f>IF(ISNA(VLOOKUP(A178, 'Award Abstract#'!C:C, 1, FALSE)), "No", "Yes")
</f>
        <v>Yes</v>
      </c>
      <c r="O178" s="29" t="str">
        <f>IF(ISNA(VLOOKUP(A178,'Award Abstract#'!B:B,1,FALSE)), "No", "Yes")</f>
        <v>No</v>
      </c>
      <c r="P178" s="29" t="str">
        <f>IF(ISNA(VLOOKUP(A178,'Award Abstract#'!E:E,1,FALSE)), "No", "Yes")</f>
        <v>No</v>
      </c>
      <c r="Q178" s="29" t="str">
        <f>IF(ISNA(VLOOKUP(A178,'Award Abstract#'!A:A,1,FALSE)), "No", "Yes")</f>
        <v>No</v>
      </c>
      <c r="R178" s="29" t="str">
        <f>IF(ISNA(VLOOKUP(A178,'Award Abstract#'!D:D,1,FALSE)), "No", "Yes")</f>
        <v>Yes</v>
      </c>
      <c r="S178" s="30" t="str">
        <f>VLOOKUP(A178, 'Session Data'!A:AA,27,false)</f>
        <v>Woman</v>
      </c>
      <c r="T178" s="30"/>
      <c r="U178" s="30"/>
      <c r="V178" s="31" t="str">
        <f>VLOOKUP(A178, 'Session Data'!A:AA,8,false)</f>
        <v>Cassandra</v>
      </c>
      <c r="W178" s="32" t="str">
        <f>VLOOKUP(A178, 'Session Data'!A:AA,9,false)</f>
        <v>Garcia </v>
      </c>
      <c r="X178" s="33" t="str">
        <f>VLOOKUP(A178, 'Session Data'!A:AA,12,false)</f>
        <v>Mexican Labor in a Changing Landscape: The Mexicali, Baja California Labor Movement in the 1990s</v>
      </c>
      <c r="Y178" s="34" t="str">
        <f>VLOOKUP(A178, 'Session Data'!A:AA,22,false)</f>
        <v>David</v>
      </c>
      <c r="Z178" s="34" t="str">
        <f>VLOOKUP(A178, 'Session Data'!A:AA,23,false)</f>
        <v>Carruthers</v>
      </c>
      <c r="AA178" s="34" t="str">
        <f>VLOOKUP(A178, 'Session Data'!A:AA,25,false)</f>
        <v>Arts and Letters</v>
      </c>
      <c r="AB178" s="34" t="str">
        <f>VLOOKUP(A178, 'Session Data'!A:AA,24,false)</f>
        <v>dcarruth@sdsu.edu</v>
      </c>
      <c r="AC178" s="34" t="str">
        <f>VLOOKUP(A178, 'Session Data'!A:AA,16,false)</f>
        <v/>
      </c>
      <c r="AD178" s="35" t="str">
        <f>VLOOKUP(A178, 'Session Data'!A:U,17,false)</f>
        <v/>
      </c>
      <c r="AE178" s="35" t="str">
        <f>VLOOKUP(A178, 'Session Data'!A:U,18,false)</f>
        <v/>
      </c>
      <c r="AF178" s="35" t="str">
        <f>VLOOKUP(A178, 'Session Data'!A:U,19,false)</f>
        <v/>
      </c>
      <c r="AG178" s="35" t="str">
        <f>VLOOKUP(A178, 'Session Data'!A:U,20,false)</f>
        <v/>
      </c>
      <c r="AH178" s="35" t="str">
        <f>VLOOKUP(A178, 'Session Data'!A:U,21,false)</f>
        <v/>
      </c>
      <c r="AI178" s="37"/>
      <c r="AJ178" s="37"/>
      <c r="AK178" s="37"/>
      <c r="AL178" s="50"/>
      <c r="AM178" s="34" t="str">
        <f>VLOOKUP(A178, 'Session Data'!A:AA,10,false)</f>
        <v>cgarcia3608@sdsu.edu</v>
      </c>
      <c r="AN178" s="40"/>
      <c r="AO178" s="38"/>
      <c r="AP178" s="38"/>
      <c r="AQ178" s="38"/>
      <c r="AR178" s="38"/>
      <c r="AS178" s="38"/>
      <c r="AT178" s="38"/>
      <c r="AU178" s="38"/>
      <c r="AV178" s="38"/>
      <c r="AW178" s="38"/>
      <c r="AX178" s="38"/>
      <c r="AY178" s="43"/>
      <c r="AZ178" s="43"/>
      <c r="BA178" s="48"/>
      <c r="BB178" s="48"/>
      <c r="BC178" s="43"/>
      <c r="BD178" s="43"/>
      <c r="BE178" s="44"/>
      <c r="BF178" s="45"/>
      <c r="BG178" s="43"/>
    </row>
    <row r="179">
      <c r="A179" s="19" t="s">
        <v>244</v>
      </c>
      <c r="B179" s="20">
        <f>VLOOKUP(F179,'Session Count DO NOT EDIT'!$A:$C,3,FALSE)</f>
        <v>4</v>
      </c>
      <c r="C179" s="20">
        <f>COUNTIFS('Scores Import DO NOT EDIT'!D:D,A179)</f>
        <v>3</v>
      </c>
      <c r="D179" s="21">
        <f t="shared" si="1"/>
        <v>0.75</v>
      </c>
      <c r="E179" s="22">
        <f>AVERAGEIFS('Scores Import DO NOT EDIT'!L:L,'Scores Import DO NOT EDIT'!D:D,A179)</f>
        <v>26.66666667</v>
      </c>
      <c r="F179" s="23" t="str">
        <f>VLOOKUP(A179, 'Session Data'!A:M,3,false)</f>
        <v>D-4</v>
      </c>
      <c r="G179" s="24" t="str">
        <f>VLOOKUP(A179, 'Session Data'!A:I,2,false)</f>
        <v>3:00 PM</v>
      </c>
      <c r="H179" s="23" t="str">
        <f>VLOOKUP(A179, 'Session Data'!A:J,5,false)</f>
        <v>Visual and Creative Arts</v>
      </c>
      <c r="I179" s="25" t="str">
        <f>VLOOKUP(A179, 'Session Data'!A:H,4,false)</f>
        <v>Oral </v>
      </c>
      <c r="J179" s="26" t="str">
        <f>VLOOKUP(A179, 'Session Data'!A:AA,14,false)</f>
        <v>Master's</v>
      </c>
      <c r="K179" s="27" t="str">
        <f>VLOOKUP(A179, 'Session Data'!A:AA,15,false)</f>
        <v>Arts and Letters</v>
      </c>
      <c r="L179" s="47"/>
      <c r="M179" s="29" t="str">
        <f>VLOOKUP(A179, 'Session Data'!A:K,11,false)</f>
        <v>Master of Arts in Anthropology</v>
      </c>
      <c r="N179" s="26" t="str">
        <f>IF(ISNA(VLOOKUP(A179, 'Award Abstract#'!C:C, 1, FALSE)), "No", "Yes")
</f>
        <v>No</v>
      </c>
      <c r="O179" s="29" t="str">
        <f>IF(ISNA(VLOOKUP(A179,'Award Abstract#'!B:B,1,FALSE)), "No", "Yes")</f>
        <v>Yes</v>
      </c>
      <c r="P179" s="29" t="str">
        <f>IF(ISNA(VLOOKUP(A179,'Award Abstract#'!E:E,1,FALSE)), "No", "Yes")</f>
        <v>No</v>
      </c>
      <c r="Q179" s="29" t="str">
        <f>IF(ISNA(VLOOKUP(A179,'Award Abstract#'!A:A,1,FALSE)), "No", "Yes")</f>
        <v>No</v>
      </c>
      <c r="R179" s="29" t="str">
        <f>IF(ISNA(VLOOKUP(A179,'Award Abstract#'!D:D,1,FALSE)), "No", "Yes")</f>
        <v>Yes</v>
      </c>
      <c r="S179" s="30" t="str">
        <f>VLOOKUP(A179, 'Session Data'!A:AA,27,false)</f>
        <v>Woman</v>
      </c>
      <c r="T179" s="30"/>
      <c r="U179" s="30"/>
      <c r="V179" s="31" t="str">
        <f>VLOOKUP(A179, 'Session Data'!A:AA,8,false)</f>
        <v>Dania</v>
      </c>
      <c r="W179" s="32" t="str">
        <f>VLOOKUP(A179, 'Session Data'!A:AA,9,false)</f>
        <v>Abizaid-Herrera</v>
      </c>
      <c r="X179" s="33" t="str">
        <f>VLOOKUP(A179, 'Session Data'!A:AA,12,false)</f>
        <v>Roadside juveniles: Understanding how interfacing with humans affects juvenile moor macaque (Macaca maura) behavior</v>
      </c>
      <c r="Y179" s="34" t="str">
        <f>VLOOKUP(A179, 'Session Data'!A:AA,22,false)</f>
        <v>Erin P.</v>
      </c>
      <c r="Z179" s="34" t="str">
        <f>VLOOKUP(A179, 'Session Data'!A:AA,23,false)</f>
        <v>Riley</v>
      </c>
      <c r="AA179" s="34" t="str">
        <f>VLOOKUP(A179, 'Session Data'!A:AA,25,false)</f>
        <v>Arts and Letters</v>
      </c>
      <c r="AB179" s="34" t="str">
        <f>VLOOKUP(A179, 'Session Data'!A:AA,24,false)</f>
        <v>epriley@sdsu.edu</v>
      </c>
      <c r="AC179" s="34" t="str">
        <f>VLOOKUP(A179, 'Session Data'!A:AA,16,false)</f>
        <v/>
      </c>
      <c r="AD179" s="35" t="str">
        <f>VLOOKUP(A179, 'Session Data'!A:U,17,false)</f>
        <v/>
      </c>
      <c r="AE179" s="35" t="str">
        <f>VLOOKUP(A179, 'Session Data'!A:U,18,false)</f>
        <v/>
      </c>
      <c r="AF179" s="35" t="str">
        <f>VLOOKUP(A179, 'Session Data'!A:U,19,false)</f>
        <v/>
      </c>
      <c r="AG179" s="35" t="str">
        <f>VLOOKUP(A179, 'Session Data'!A:U,20,false)</f>
        <v/>
      </c>
      <c r="AH179" s="35" t="str">
        <f>VLOOKUP(A179, 'Session Data'!A:U,21,false)</f>
        <v/>
      </c>
      <c r="AI179" s="37"/>
      <c r="AJ179" s="37"/>
      <c r="AK179" s="37"/>
      <c r="AL179" s="50"/>
      <c r="AM179" s="34" t="str">
        <f>VLOOKUP(A179, 'Session Data'!A:AA,10,false)</f>
        <v>dabizaidherrer3326@sdsu.edu</v>
      </c>
      <c r="AN179" s="40"/>
      <c r="AO179" s="38"/>
      <c r="AP179" s="38"/>
      <c r="AQ179" s="38"/>
      <c r="AR179" s="38"/>
      <c r="AS179" s="38"/>
      <c r="AT179" s="38"/>
      <c r="AU179" s="38"/>
      <c r="AV179" s="38"/>
      <c r="AW179" s="38"/>
      <c r="AX179" s="38"/>
      <c r="AY179" s="43"/>
      <c r="AZ179" s="43"/>
      <c r="BA179" s="48"/>
      <c r="BB179" s="48"/>
      <c r="BC179" s="43"/>
      <c r="BD179" s="43"/>
      <c r="BE179" s="44"/>
      <c r="BF179" s="45"/>
      <c r="BG179" s="43"/>
    </row>
    <row r="180">
      <c r="A180" s="19" t="s">
        <v>245</v>
      </c>
      <c r="B180" s="20">
        <f>VLOOKUP(F180,'Session Count DO NOT EDIT'!$A:$C,3,FALSE)</f>
        <v>4</v>
      </c>
      <c r="C180" s="20">
        <f>COUNTIFS('Scores Import DO NOT EDIT'!D:D,A180)</f>
        <v>2</v>
      </c>
      <c r="D180" s="21">
        <f t="shared" si="1"/>
        <v>0.5</v>
      </c>
      <c r="E180" s="22">
        <f>AVERAGEIFS('Scores Import DO NOT EDIT'!L:L,'Scores Import DO NOT EDIT'!D:D,A180)</f>
        <v>27</v>
      </c>
      <c r="F180" s="23" t="str">
        <f>VLOOKUP(A180, 'Session Data'!A:M,3,false)</f>
        <v>D-4</v>
      </c>
      <c r="G180" s="24" t="str">
        <f>VLOOKUP(A180, 'Session Data'!A:I,2,false)</f>
        <v>3:00 PM</v>
      </c>
      <c r="H180" s="23" t="str">
        <f>VLOOKUP(A180, 'Session Data'!A:J,5,false)</f>
        <v>Visual and Creative Arts</v>
      </c>
      <c r="I180" s="25" t="str">
        <f>VLOOKUP(A180, 'Session Data'!A:H,4,false)</f>
        <v>Oral </v>
      </c>
      <c r="J180" s="26" t="str">
        <f>VLOOKUP(A180, 'Session Data'!A:AA,14,false)</f>
        <v>Master's</v>
      </c>
      <c r="K180" s="27" t="str">
        <f>VLOOKUP(A180, 'Session Data'!A:AA,15,false)</f>
        <v>Professional Studies and Fine Arts</v>
      </c>
      <c r="L180" s="28"/>
      <c r="M180" s="29" t="str">
        <f>VLOOKUP(A180, 'Session Data'!A:K,11,false)</f>
        <v>Masters of Fine Art </v>
      </c>
      <c r="N180" s="26" t="str">
        <f>IF(ISNA(VLOOKUP(A180, 'Award Abstract#'!C:C, 1, FALSE)), "No", "Yes")
</f>
        <v>No</v>
      </c>
      <c r="O180" s="29" t="str">
        <f>IF(ISNA(VLOOKUP(A180,'Award Abstract#'!B:B,1,FALSE)), "No", "Yes")</f>
        <v>No</v>
      </c>
      <c r="P180" s="29" t="str">
        <f>IF(ISNA(VLOOKUP(A180,'Award Abstract#'!E:E,1,FALSE)), "No", "Yes")</f>
        <v>No</v>
      </c>
      <c r="Q180" s="29" t="str">
        <f>IF(ISNA(VLOOKUP(A180,'Award Abstract#'!A:A,1,FALSE)), "No", "Yes")</f>
        <v>No</v>
      </c>
      <c r="R180" s="29" t="str">
        <f>IF(ISNA(VLOOKUP(A180,'Award Abstract#'!D:D,1,FALSE)), "No", "Yes")</f>
        <v>Yes</v>
      </c>
      <c r="S180" s="30" t="str">
        <f>VLOOKUP(A180, 'Session Data'!A:AA,27,false)</f>
        <v>Man</v>
      </c>
      <c r="T180" s="30"/>
      <c r="U180" s="30"/>
      <c r="V180" s="31" t="str">
        <f>VLOOKUP(A180, 'Session Data'!A:AA,8,false)</f>
        <v>Robin</v>
      </c>
      <c r="W180" s="32" t="str">
        <f>VLOOKUP(A180, 'Session Data'!A:AA,9,false)</f>
        <v>North</v>
      </c>
      <c r="X180" s="33" t="str">
        <f>VLOOKUP(A180, 'Session Data'!A:AA,12,false)</f>
        <v>Visualizing Resistance: Decolonized Aesthetics and Subverting Dominant Narratives</v>
      </c>
      <c r="Y180" s="34" t="str">
        <f>VLOOKUP(A180, 'Session Data'!A:AA,22,false)</f>
        <v>Gillian</v>
      </c>
      <c r="Z180" s="34" t="str">
        <f>VLOOKUP(A180, 'Session Data'!A:AA,23,false)</f>
        <v>Sneed</v>
      </c>
      <c r="AA180" s="34" t="str">
        <f>VLOOKUP(A180, 'Session Data'!A:AA,25,false)</f>
        <v>Professional Studies and Fine Arts</v>
      </c>
      <c r="AB180" s="34" t="str">
        <f>VLOOKUP(A180, 'Session Data'!A:AA,24,false)</f>
        <v>gsneed@sdsu.edu</v>
      </c>
      <c r="AC180" s="34" t="str">
        <f>VLOOKUP(A180, 'Session Data'!A:AA,16,false)</f>
        <v/>
      </c>
      <c r="AD180" s="35" t="str">
        <f>VLOOKUP(A180, 'Session Data'!A:U,17,false)</f>
        <v/>
      </c>
      <c r="AE180" s="35" t="str">
        <f>VLOOKUP(A180, 'Session Data'!A:U,18,false)</f>
        <v/>
      </c>
      <c r="AF180" s="35" t="str">
        <f>VLOOKUP(A180, 'Session Data'!A:U,19,false)</f>
        <v/>
      </c>
      <c r="AG180" s="35" t="str">
        <f>VLOOKUP(A180, 'Session Data'!A:U,20,false)</f>
        <v/>
      </c>
      <c r="AH180" s="35" t="str">
        <f>VLOOKUP(A180, 'Session Data'!A:U,21,false)</f>
        <v/>
      </c>
      <c r="AI180" s="37"/>
      <c r="AJ180" s="37"/>
      <c r="AK180" s="37"/>
      <c r="AL180" s="50"/>
      <c r="AM180" s="34" t="str">
        <f>VLOOKUP(A180, 'Session Data'!A:AA,10,false)</f>
        <v>rnorth4089@sdsu.edu</v>
      </c>
      <c r="AN180" s="40"/>
      <c r="AO180" s="38"/>
      <c r="AP180" s="38"/>
      <c r="AQ180" s="38"/>
      <c r="AR180" s="38"/>
      <c r="AS180" s="38"/>
      <c r="AT180" s="38"/>
      <c r="AU180" s="38"/>
      <c r="AV180" s="38"/>
      <c r="AW180" s="38"/>
      <c r="AX180" s="38"/>
      <c r="AY180" s="43"/>
      <c r="AZ180" s="43"/>
      <c r="BA180" s="48"/>
      <c r="BB180" s="48"/>
      <c r="BC180" s="43"/>
      <c r="BD180" s="43"/>
      <c r="BE180" s="44"/>
      <c r="BF180" s="45"/>
      <c r="BG180" s="46"/>
    </row>
    <row r="181">
      <c r="A181" s="19" t="s">
        <v>246</v>
      </c>
      <c r="B181" s="20">
        <f>VLOOKUP(F181,'Session Count DO NOT EDIT'!$A:$C,3,FALSE)</f>
        <v>4</v>
      </c>
      <c r="C181" s="20">
        <f>COUNTIFS('Scores Import DO NOT EDIT'!D:D,A181)</f>
        <v>3</v>
      </c>
      <c r="D181" s="21">
        <f t="shared" si="1"/>
        <v>0.75</v>
      </c>
      <c r="E181" s="22">
        <f>AVERAGEIFS('Scores Import DO NOT EDIT'!L:L,'Scores Import DO NOT EDIT'!D:D,A181)</f>
        <v>26</v>
      </c>
      <c r="F181" s="23" t="str">
        <f>VLOOKUP(A181, 'Session Data'!A:M,3,false)</f>
        <v>D-4</v>
      </c>
      <c r="G181" s="24" t="str">
        <f>VLOOKUP(A181, 'Session Data'!A:I,2,false)</f>
        <v>3:00 PM</v>
      </c>
      <c r="H181" s="23" t="str">
        <f>VLOOKUP(A181, 'Session Data'!A:J,5,false)</f>
        <v>Visual and Creative Arts</v>
      </c>
      <c r="I181" s="25" t="str">
        <f>VLOOKUP(A181, 'Session Data'!A:H,4,false)</f>
        <v>Oral </v>
      </c>
      <c r="J181" s="26" t="str">
        <f>VLOOKUP(A181, 'Session Data'!A:AA,14,false)</f>
        <v>Master's</v>
      </c>
      <c r="K181" s="27" t="str">
        <f>VLOOKUP(A181, 'Session Data'!A:AA,15,false)</f>
        <v>Arts and Letters</v>
      </c>
      <c r="L181" s="28"/>
      <c r="M181" s="29" t="str">
        <f>VLOOKUP(A181, 'Session Data'!A:K,11,false)</f>
        <v>Master of Arts in English</v>
      </c>
      <c r="N181" s="26" t="str">
        <f>IF(ISNA(VLOOKUP(A181, 'Award Abstract#'!C:C, 1, FALSE)), "No", "Yes")
</f>
        <v>No</v>
      </c>
      <c r="O181" s="29" t="str">
        <f>IF(ISNA(VLOOKUP(A181,'Award Abstract#'!B:B,1,FALSE)), "No", "Yes")</f>
        <v>No</v>
      </c>
      <c r="P181" s="29" t="str">
        <f>IF(ISNA(VLOOKUP(A181,'Award Abstract#'!E:E,1,FALSE)), "No", "Yes")</f>
        <v>No</v>
      </c>
      <c r="Q181" s="29" t="str">
        <f>IF(ISNA(VLOOKUP(A181,'Award Abstract#'!A:A,1,FALSE)), "No", "Yes")</f>
        <v>No</v>
      </c>
      <c r="R181" s="29" t="str">
        <f>IF(ISNA(VLOOKUP(A181,'Award Abstract#'!D:D,1,FALSE)), "No", "Yes")</f>
        <v>No</v>
      </c>
      <c r="S181" s="30" t="str">
        <f>VLOOKUP(A181, 'Session Data'!A:AA,27,false)</f>
        <v>Woman</v>
      </c>
      <c r="T181" s="30"/>
      <c r="U181" s="30"/>
      <c r="V181" s="31" t="str">
        <f>VLOOKUP(A181, 'Session Data'!A:AA,8,false)</f>
        <v>Daisy</v>
      </c>
      <c r="W181" s="32" t="str">
        <f>VLOOKUP(A181, 'Session Data'!A:AA,9,false)</f>
        <v>Scott</v>
      </c>
      <c r="X181" s="33" t="str">
        <f>VLOOKUP(A181, 'Session Data'!A:AA,12,false)</f>
        <v>A Kingdom as Great: Navigating Girlhood in "Labyrinth"</v>
      </c>
      <c r="Y181" s="34" t="str">
        <f>VLOOKUP(A181, 'Session Data'!A:AA,22,false)</f>
        <v>Phillip</v>
      </c>
      <c r="Z181" s="34" t="str">
        <f>VLOOKUP(A181, 'Session Data'!A:AA,23,false)</f>
        <v>Serrato</v>
      </c>
      <c r="AA181" s="34" t="str">
        <f>VLOOKUP(A181, 'Session Data'!A:AA,25,false)</f>
        <v>Arts and Letters</v>
      </c>
      <c r="AB181" s="34" t="str">
        <f>VLOOKUP(A181, 'Session Data'!A:AA,24,false)</f>
        <v>pserrato@sdsu.edu</v>
      </c>
      <c r="AC181" s="34" t="str">
        <f>VLOOKUP(A181, 'Session Data'!A:AA,16,false)</f>
        <v/>
      </c>
      <c r="AD181" s="35" t="str">
        <f>VLOOKUP(A181, 'Session Data'!A:U,17,false)</f>
        <v/>
      </c>
      <c r="AE181" s="35" t="str">
        <f>VLOOKUP(A181, 'Session Data'!A:U,18,false)</f>
        <v/>
      </c>
      <c r="AF181" s="35" t="str">
        <f>VLOOKUP(A181, 'Session Data'!A:U,19,false)</f>
        <v/>
      </c>
      <c r="AG181" s="35" t="str">
        <f>VLOOKUP(A181, 'Session Data'!A:U,20,false)</f>
        <v/>
      </c>
      <c r="AH181" s="35" t="str">
        <f>VLOOKUP(A181, 'Session Data'!A:U,21,false)</f>
        <v/>
      </c>
      <c r="AI181" s="37"/>
      <c r="AJ181" s="37"/>
      <c r="AK181" s="37"/>
      <c r="AL181" s="50"/>
      <c r="AM181" s="34" t="str">
        <f>VLOOKUP(A181, 'Session Data'!A:AA,10,false)</f>
        <v>dscott7129@sdsu.edu</v>
      </c>
      <c r="AN181" s="40"/>
      <c r="AO181" s="38"/>
      <c r="AP181" s="38"/>
      <c r="AQ181" s="38"/>
      <c r="AR181" s="38"/>
      <c r="AS181" s="38"/>
      <c r="AT181" s="38"/>
      <c r="AU181" s="38"/>
      <c r="AV181" s="38"/>
      <c r="AW181" s="38"/>
      <c r="AX181" s="38"/>
      <c r="AY181" s="43"/>
      <c r="AZ181" s="43"/>
      <c r="BA181" s="43"/>
      <c r="BB181" s="43"/>
      <c r="BC181" s="43"/>
      <c r="BD181" s="43"/>
      <c r="BE181" s="44"/>
      <c r="BF181" s="45"/>
      <c r="BG181" s="43"/>
    </row>
    <row r="182">
      <c r="A182" s="19" t="s">
        <v>247</v>
      </c>
      <c r="B182" s="20">
        <f>VLOOKUP(F182,'Session Count DO NOT EDIT'!$A:$C,3,FALSE)</f>
        <v>4</v>
      </c>
      <c r="C182" s="20">
        <f>COUNTIFS('Scores Import DO NOT EDIT'!D:D,A182)</f>
        <v>3</v>
      </c>
      <c r="D182" s="21">
        <f t="shared" si="1"/>
        <v>0.75</v>
      </c>
      <c r="E182" s="22">
        <f>AVERAGEIFS('Scores Import DO NOT EDIT'!L:L,'Scores Import DO NOT EDIT'!D:D,A182)</f>
        <v>24.33333333</v>
      </c>
      <c r="F182" s="23" t="str">
        <f>VLOOKUP(A182, 'Session Data'!A:M,3,false)</f>
        <v>D-4</v>
      </c>
      <c r="G182" s="24" t="str">
        <f>VLOOKUP(A182, 'Session Data'!A:I,2,false)</f>
        <v>3:00 PM</v>
      </c>
      <c r="H182" s="23" t="str">
        <f>VLOOKUP(A182, 'Session Data'!A:J,5,false)</f>
        <v>Visual and Creative Arts</v>
      </c>
      <c r="I182" s="25" t="str">
        <f>VLOOKUP(A182, 'Session Data'!A:H,4,false)</f>
        <v>Oral </v>
      </c>
      <c r="J182" s="26" t="str">
        <f>VLOOKUP(A182, 'Session Data'!A:AA,14,false)</f>
        <v>Master's</v>
      </c>
      <c r="K182" s="27" t="str">
        <f>VLOOKUP(A182, 'Session Data'!A:AA,15,false)</f>
        <v>Professional Studies and Fine Arts</v>
      </c>
      <c r="L182" s="28"/>
      <c r="M182" s="29" t="str">
        <f>VLOOKUP(A182, 'Session Data'!A:K,11,false)</f>
        <v>Masters of Music in Jazz Studies</v>
      </c>
      <c r="N182" s="26" t="str">
        <f>IF(ISNA(VLOOKUP(A182, 'Award Abstract#'!C:C, 1, FALSE)), "No", "Yes")
</f>
        <v>No</v>
      </c>
      <c r="O182" s="29" t="str">
        <f>IF(ISNA(VLOOKUP(A182,'Award Abstract#'!B:B,1,FALSE)), "No", "Yes")</f>
        <v>No</v>
      </c>
      <c r="P182" s="29" t="str">
        <f>IF(ISNA(VLOOKUP(A182,'Award Abstract#'!E:E,1,FALSE)), "No", "Yes")</f>
        <v>No</v>
      </c>
      <c r="Q182" s="29" t="str">
        <f>IF(ISNA(VLOOKUP(A182,'Award Abstract#'!A:A,1,FALSE)), "No", "Yes")</f>
        <v>No</v>
      </c>
      <c r="R182" s="29" t="str">
        <f>IF(ISNA(VLOOKUP(A182,'Award Abstract#'!D:D,1,FALSE)), "No", "Yes")</f>
        <v>Yes</v>
      </c>
      <c r="S182" s="30" t="str">
        <f>VLOOKUP(A182, 'Session Data'!A:AA,27,false)</f>
        <v>Woman</v>
      </c>
      <c r="T182" s="30"/>
      <c r="U182" s="30"/>
      <c r="V182" s="31" t="str">
        <f>VLOOKUP(A182, 'Session Data'!A:AA,8,false)</f>
        <v>Sarah</v>
      </c>
      <c r="W182" s="32" t="str">
        <f>VLOOKUP(A182, 'Session Data'!A:AA,9,false)</f>
        <v>Irvin</v>
      </c>
      <c r="X182" s="33" t="str">
        <f>VLOOKUP(A182, 'Session Data'!A:AA,12,false)</f>
        <v>Man She's Really Cookin': An Analysis of Gender Performativity in Women Instrumentalists During Jazz Improvisation</v>
      </c>
      <c r="Y182" s="34" t="str">
        <f>VLOOKUP(A182, 'Session Data'!A:AA,22,false)</f>
        <v>Eric</v>
      </c>
      <c r="Z182" s="34" t="str">
        <f>VLOOKUP(A182, 'Session Data'!A:AA,23,false)</f>
        <v>Smigel</v>
      </c>
      <c r="AA182" s="34" t="str">
        <f>VLOOKUP(A182, 'Session Data'!A:AA,25,false)</f>
        <v>Professional Studies and Fine Arts</v>
      </c>
      <c r="AB182" s="34" t="str">
        <f>VLOOKUP(A182, 'Session Data'!A:AA,24,false)</f>
        <v>esmigel@sdsu.edu</v>
      </c>
      <c r="AC182" s="34" t="str">
        <f>VLOOKUP(A182, 'Session Data'!A:AA,16,false)</f>
        <v/>
      </c>
      <c r="AD182" s="35" t="str">
        <f>VLOOKUP(A182, 'Session Data'!A:U,17,false)</f>
        <v/>
      </c>
      <c r="AE182" s="35" t="str">
        <f>VLOOKUP(A182, 'Session Data'!A:U,18,false)</f>
        <v/>
      </c>
      <c r="AF182" s="35" t="str">
        <f>VLOOKUP(A182, 'Session Data'!A:U,19,false)</f>
        <v/>
      </c>
      <c r="AG182" s="35" t="str">
        <f>VLOOKUP(A182, 'Session Data'!A:U,20,false)</f>
        <v/>
      </c>
      <c r="AH182" s="35" t="str">
        <f>VLOOKUP(A182, 'Session Data'!A:U,21,false)</f>
        <v/>
      </c>
      <c r="AI182" s="37"/>
      <c r="AJ182" s="37"/>
      <c r="AK182" s="37"/>
      <c r="AL182" s="50"/>
      <c r="AM182" s="34" t="str">
        <f>VLOOKUP(A182, 'Session Data'!A:AA,10,false)</f>
        <v>sirvin9325@sdsu.edu</v>
      </c>
      <c r="AN182" s="40"/>
      <c r="AO182" s="38"/>
      <c r="AP182" s="38"/>
      <c r="AQ182" s="38"/>
      <c r="AR182" s="38"/>
      <c r="AS182" s="38"/>
      <c r="AT182" s="38"/>
      <c r="AU182" s="38"/>
      <c r="AV182" s="38"/>
      <c r="AW182" s="38"/>
      <c r="AX182" s="38"/>
      <c r="AY182" s="43"/>
      <c r="AZ182" s="43"/>
      <c r="BA182" s="48"/>
      <c r="BB182" s="48"/>
      <c r="BC182" s="43"/>
      <c r="BD182" s="43"/>
      <c r="BE182" s="44"/>
      <c r="BF182" s="45"/>
      <c r="BG182" s="46"/>
    </row>
    <row r="183">
      <c r="A183" s="19" t="s">
        <v>248</v>
      </c>
      <c r="B183" s="20">
        <f>VLOOKUP(F183,'Session Count DO NOT EDIT'!$A:$C,3,FALSE)</f>
        <v>4</v>
      </c>
      <c r="C183" s="20">
        <f>COUNTIFS('Scores Import DO NOT EDIT'!D:D,A183)</f>
        <v>1</v>
      </c>
      <c r="D183" s="21">
        <f t="shared" si="1"/>
        <v>0.25</v>
      </c>
      <c r="E183" s="22">
        <f>AVERAGEIFS('Scores Import DO NOT EDIT'!L:L,'Scores Import DO NOT EDIT'!D:D,A183)</f>
        <v>23</v>
      </c>
      <c r="F183" s="23" t="str">
        <f>VLOOKUP(A183, 'Session Data'!A:M,3,false)</f>
        <v>D-4</v>
      </c>
      <c r="G183" s="24" t="str">
        <f>VLOOKUP(A183, 'Session Data'!A:I,2,false)</f>
        <v>3:00 PM</v>
      </c>
      <c r="H183" s="23" t="str">
        <f>VLOOKUP(A183, 'Session Data'!A:J,5,false)</f>
        <v>Visual and Creative Arts</v>
      </c>
      <c r="I183" s="25" t="str">
        <f>VLOOKUP(A183, 'Session Data'!A:H,4,false)</f>
        <v>Oral </v>
      </c>
      <c r="J183" s="26" t="str">
        <f>VLOOKUP(A183, 'Session Data'!A:AA,14,false)</f>
        <v>Master's</v>
      </c>
      <c r="K183" s="27" t="str">
        <f>VLOOKUP(A183, 'Session Data'!A:AA,15,false)</f>
        <v>Professional Studies and Fine Arts</v>
      </c>
      <c r="L183" s="47"/>
      <c r="M183" s="29" t="str">
        <f>VLOOKUP(A183, 'Session Data'!A:K,11,false)</f>
        <v>Masters of Fine Arts</v>
      </c>
      <c r="N183" s="26" t="str">
        <f>IF(ISNA(VLOOKUP(A183, 'Award Abstract#'!C:C, 1, FALSE)), "No", "Yes")
</f>
        <v>No</v>
      </c>
      <c r="O183" s="29" t="str">
        <f>IF(ISNA(VLOOKUP(A183,'Award Abstract#'!B:B,1,FALSE)), "No", "Yes")</f>
        <v>No</v>
      </c>
      <c r="P183" s="29" t="str">
        <f>IF(ISNA(VLOOKUP(A183,'Award Abstract#'!E:E,1,FALSE)), "No", "Yes")</f>
        <v>No</v>
      </c>
      <c r="Q183" s="29" t="str">
        <f>IF(ISNA(VLOOKUP(A183,'Award Abstract#'!A:A,1,FALSE)), "No", "Yes")</f>
        <v>No</v>
      </c>
      <c r="R183" s="29" t="str">
        <f>IF(ISNA(VLOOKUP(A183,'Award Abstract#'!D:D,1,FALSE)), "No", "Yes")</f>
        <v>No</v>
      </c>
      <c r="S183" s="30" t="str">
        <f>VLOOKUP(A183, 'Session Data'!A:AA,27,false)</f>
        <v>Woman</v>
      </c>
      <c r="T183" s="30"/>
      <c r="U183" s="30"/>
      <c r="V183" s="31" t="str">
        <f>VLOOKUP(A183, 'Session Data'!A:AA,8,false)</f>
        <v>Gabrielle</v>
      </c>
      <c r="W183" s="32" t="str">
        <f>VLOOKUP(A183, 'Session Data'!A:AA,9,false)</f>
        <v>Berens</v>
      </c>
      <c r="X183" s="33" t="str">
        <f>VLOOKUP(A183, 'Session Data'!A:AA,12,false)</f>
        <v>Yinka Shonibare’s Use of African Wax Print Fabrics Question Cultural Identity</v>
      </c>
      <c r="Y183" s="34" t="str">
        <f>VLOOKUP(A183, 'Session Data'!A:AA,22,false)</f>
        <v>Gillian</v>
      </c>
      <c r="Z183" s="34" t="str">
        <f>VLOOKUP(A183, 'Session Data'!A:AA,23,false)</f>
        <v>Sneed</v>
      </c>
      <c r="AA183" s="34" t="str">
        <f>VLOOKUP(A183, 'Session Data'!A:AA,25,false)</f>
        <v>Professional Studies and Fine Arts</v>
      </c>
      <c r="AB183" s="34" t="str">
        <f>VLOOKUP(A183, 'Session Data'!A:AA,24,false)</f>
        <v>gsneed@sdsu.edu</v>
      </c>
      <c r="AC183" s="34" t="str">
        <f>VLOOKUP(A183, 'Session Data'!A:AA,16,false)</f>
        <v/>
      </c>
      <c r="AD183" s="35" t="str">
        <f>VLOOKUP(A183, 'Session Data'!A:U,17,false)</f>
        <v/>
      </c>
      <c r="AE183" s="35" t="str">
        <f>VLOOKUP(A183, 'Session Data'!A:U,18,false)</f>
        <v/>
      </c>
      <c r="AF183" s="35" t="str">
        <f>VLOOKUP(A183, 'Session Data'!A:U,19,false)</f>
        <v/>
      </c>
      <c r="AG183" s="35" t="str">
        <f>VLOOKUP(A183, 'Session Data'!A:U,20,false)</f>
        <v/>
      </c>
      <c r="AH183" s="35" t="str">
        <f>VLOOKUP(A183, 'Session Data'!A:U,21,false)</f>
        <v/>
      </c>
      <c r="AI183" s="37"/>
      <c r="AJ183" s="37"/>
      <c r="AK183" s="37"/>
      <c r="AL183" s="50"/>
      <c r="AM183" s="34" t="str">
        <f>VLOOKUP(A183, 'Session Data'!A:AA,10,false)</f>
        <v>gberens2410@sdsu.edu</v>
      </c>
      <c r="AN183" s="40"/>
      <c r="AO183" s="38"/>
      <c r="AP183" s="38"/>
      <c r="AQ183" s="38"/>
      <c r="AR183" s="38"/>
      <c r="AS183" s="38"/>
      <c r="AT183" s="38"/>
      <c r="AU183" s="38"/>
      <c r="AV183" s="38"/>
      <c r="AW183" s="38"/>
      <c r="AX183" s="38"/>
      <c r="AY183" s="43"/>
      <c r="AZ183" s="43"/>
      <c r="BA183" s="48"/>
      <c r="BB183" s="48"/>
      <c r="BC183" s="43"/>
      <c r="BD183" s="43"/>
      <c r="BE183" s="44"/>
      <c r="BF183" s="45"/>
      <c r="BG183" s="43"/>
    </row>
    <row r="184">
      <c r="A184" s="78" t="s">
        <v>249</v>
      </c>
      <c r="B184" s="20">
        <f>VLOOKUP(F184,'Session Count DO NOT EDIT'!$A:$C,3,FALSE)</f>
        <v>4</v>
      </c>
      <c r="C184" s="20">
        <f>COUNTIFS('Scores Import DO NOT EDIT'!D:D,A184)</f>
        <v>0</v>
      </c>
      <c r="D184" s="21">
        <f t="shared" si="1"/>
        <v>0</v>
      </c>
      <c r="E184" s="22" t="str">
        <f>AVERAGEIFS('Scores Import DO NOT EDIT'!L:L,'Scores Import DO NOT EDIT'!D:D,A184)</f>
        <v>#DIV/0!</v>
      </c>
      <c r="F184" s="23" t="str">
        <f>VLOOKUP(A184, 'Session Data'!A:M,3,false)</f>
        <v>D-5</v>
      </c>
      <c r="G184" s="24" t="str">
        <f>VLOOKUP(A184, 'Session Data'!A:I,2,false)</f>
        <v>3:00 PM</v>
      </c>
      <c r="H184" s="23" t="str">
        <f>VLOOKUP(A184, 'Session Data'!A:J,5,false)</f>
        <v>Education</v>
      </c>
      <c r="I184" s="25" t="str">
        <f>VLOOKUP(A184, 'Session Data'!A:H,4,false)</f>
        <v>Oral </v>
      </c>
      <c r="J184" s="26" t="str">
        <f>VLOOKUP(A184, 'Session Data'!A:AA,14,false)</f>
        <v>Doctoral</v>
      </c>
      <c r="K184" s="27" t="str">
        <f>VLOOKUP(A184, 'Session Data'!A:AA,15,false)</f>
        <v>Education</v>
      </c>
      <c r="L184" s="28"/>
      <c r="M184" s="29" t="str">
        <f>VLOOKUP(A184, 'Session Data'!A:K,11,false)</f>
        <v>Doctorate of Philospphy - Education</v>
      </c>
      <c r="N184" s="26" t="str">
        <f>IF(ISNA(VLOOKUP(A184, 'Award Abstract#'!C:C, 1, FALSE)), "No", "Yes")
</f>
        <v>No</v>
      </c>
      <c r="O184" s="29" t="str">
        <f>IF(ISNA(VLOOKUP(A184,'Award Abstract#'!B:B,1,FALSE)), "No", "Yes")</f>
        <v>No</v>
      </c>
      <c r="P184" s="29" t="str">
        <f>IF(ISNA(VLOOKUP(A184,'Award Abstract#'!E:E,1,FALSE)), "No", "Yes")</f>
        <v>No</v>
      </c>
      <c r="Q184" s="29" t="str">
        <f>IF(ISNA(VLOOKUP(A184,'Award Abstract#'!A:A,1,FALSE)), "No", "Yes")</f>
        <v>No</v>
      </c>
      <c r="R184" s="29" t="str">
        <f>IF(ISNA(VLOOKUP(A184,'Award Abstract#'!D:D,1,FALSE)), "No", "Yes")</f>
        <v>No</v>
      </c>
      <c r="S184" s="30" t="str">
        <f>VLOOKUP(A184, 'Session Data'!A:AA,27,false)</f>
        <v>Woman</v>
      </c>
      <c r="T184" s="30"/>
      <c r="U184" s="30"/>
      <c r="V184" s="31" t="str">
        <f>VLOOKUP(A184, 'Session Data'!A:AA,8,false)</f>
        <v>Esperanza</v>
      </c>
      <c r="W184" s="32" t="str">
        <f>VLOOKUP(A184, 'Session Data'!A:AA,9,false)</f>
        <v>Ochoa</v>
      </c>
      <c r="X184" s="33" t="str">
        <f>VLOOKUP(A184, 'Session Data'!A:AA,12,false)</f>
        <v>Parents’ Roles and Involvement in an Urban Secondary School’s Ambitious Mathematics Program</v>
      </c>
      <c r="Y184" s="34" t="str">
        <f>VLOOKUP(A184, 'Session Data'!A:AA,22,false)</f>
        <v>William </v>
      </c>
      <c r="Z184" s="34" t="str">
        <f>VLOOKUP(A184, 'Session Data'!A:AA,23,false)</f>
        <v>Zahner</v>
      </c>
      <c r="AA184" s="34" t="str">
        <f>VLOOKUP(A184, 'Session Data'!A:AA,25,false)</f>
        <v>Education</v>
      </c>
      <c r="AB184" s="34" t="str">
        <f>VLOOKUP(A184, 'Session Data'!A:AA,24,false)</f>
        <v>bzahner@sdsu.edu</v>
      </c>
      <c r="AC184" s="34" t="str">
        <f>VLOOKUP(A184, 'Session Data'!A:AA,16,false)</f>
        <v/>
      </c>
      <c r="AD184" s="35" t="str">
        <f>VLOOKUP(A184, 'Session Data'!A:U,17,false)</f>
        <v/>
      </c>
      <c r="AE184" s="35" t="str">
        <f>VLOOKUP(A184, 'Session Data'!A:U,18,false)</f>
        <v/>
      </c>
      <c r="AF184" s="35" t="str">
        <f>VLOOKUP(A184, 'Session Data'!A:U,19,false)</f>
        <v/>
      </c>
      <c r="AG184" s="35" t="str">
        <f>VLOOKUP(A184, 'Session Data'!A:U,20,false)</f>
        <v/>
      </c>
      <c r="AH184" s="35" t="str">
        <f>VLOOKUP(A184, 'Session Data'!A:U,21,false)</f>
        <v/>
      </c>
      <c r="AI184" s="37"/>
      <c r="AJ184" s="37"/>
      <c r="AK184" s="37"/>
      <c r="AL184" s="50"/>
      <c r="AM184" s="34" t="str">
        <f>VLOOKUP(A184, 'Session Data'!A:AA,10,false)</f>
        <v>eochoa4940@sdsu.edu</v>
      </c>
      <c r="AN184" s="40"/>
      <c r="AO184" s="38"/>
      <c r="AP184" s="38"/>
      <c r="AQ184" s="38"/>
      <c r="AR184" s="38"/>
      <c r="AS184" s="38"/>
      <c r="AT184" s="38"/>
      <c r="AU184" s="38"/>
      <c r="AV184" s="38"/>
      <c r="AW184" s="38"/>
      <c r="AX184" s="38"/>
      <c r="AY184" s="43"/>
      <c r="AZ184" s="43"/>
      <c r="BA184" s="48"/>
      <c r="BB184" s="48"/>
      <c r="BC184" s="43"/>
      <c r="BD184" s="43"/>
      <c r="BE184" s="44"/>
      <c r="BF184" s="45"/>
      <c r="BG184" s="43"/>
    </row>
    <row r="185">
      <c r="A185" s="19" t="s">
        <v>250</v>
      </c>
      <c r="B185" s="20">
        <f>VLOOKUP(F185,'Session Count DO NOT EDIT'!$A:$C,3,FALSE)</f>
        <v>4</v>
      </c>
      <c r="C185" s="20">
        <f>COUNTIFS('Scores Import DO NOT EDIT'!D:D,A185)</f>
        <v>3</v>
      </c>
      <c r="D185" s="21">
        <f t="shared" si="1"/>
        <v>0.75</v>
      </c>
      <c r="E185" s="22">
        <f>AVERAGEIFS('Scores Import DO NOT EDIT'!L:L,'Scores Import DO NOT EDIT'!D:D,A185)</f>
        <v>29</v>
      </c>
      <c r="F185" s="23" t="str">
        <f>VLOOKUP(A185, 'Session Data'!A:M,3,false)</f>
        <v>D-5</v>
      </c>
      <c r="G185" s="24" t="str">
        <f>VLOOKUP(A185, 'Session Data'!A:I,2,false)</f>
        <v>3:00 PM</v>
      </c>
      <c r="H185" s="23" t="str">
        <f>VLOOKUP(A185, 'Session Data'!A:J,5,false)</f>
        <v>Education</v>
      </c>
      <c r="I185" s="25" t="str">
        <f>VLOOKUP(A185, 'Session Data'!A:H,4,false)</f>
        <v>Oral </v>
      </c>
      <c r="J185" s="26" t="str">
        <f>VLOOKUP(A185, 'Session Data'!A:AA,14,false)</f>
        <v>Doctoral</v>
      </c>
      <c r="K185" s="27" t="str">
        <f>VLOOKUP(A185, 'Session Data'!A:AA,15,false)</f>
        <v>Education</v>
      </c>
      <c r="L185" s="28" t="s">
        <v>95</v>
      </c>
      <c r="M185" s="29" t="str">
        <f>VLOOKUP(A185, 'Session Data'!A:K,11,false)</f>
        <v>Bachelors/Chemistry and Masters/Organic Chemistry</v>
      </c>
      <c r="N185" s="26" t="str">
        <f>IF(ISNA(VLOOKUP(A185, 'Award Abstract#'!C:C, 1, FALSE)), "No", "Yes")
</f>
        <v>Yes</v>
      </c>
      <c r="O185" s="29" t="str">
        <f>IF(ISNA(VLOOKUP(A185,'Award Abstract#'!B:B,1,FALSE)), "No", "Yes")</f>
        <v>No</v>
      </c>
      <c r="P185" s="29" t="str">
        <f>IF(ISNA(VLOOKUP(A185,'Award Abstract#'!E:E,1,FALSE)), "No", "Yes")</f>
        <v>No</v>
      </c>
      <c r="Q185" s="29" t="str">
        <f>IF(ISNA(VLOOKUP(A185,'Award Abstract#'!A:A,1,FALSE)), "No", "Yes")</f>
        <v>No</v>
      </c>
      <c r="R185" s="29" t="str">
        <f>IF(ISNA(VLOOKUP(A185,'Award Abstract#'!D:D,1,FALSE)), "No", "Yes")</f>
        <v>Yes</v>
      </c>
      <c r="S185" s="30" t="str">
        <f>VLOOKUP(A185, 'Session Data'!A:AA,27,false)</f>
        <v>Woman</v>
      </c>
      <c r="T185" s="30"/>
      <c r="U185" s="30"/>
      <c r="V185" s="31" t="str">
        <f>VLOOKUP(A185, 'Session Data'!A:AA,8,false)</f>
        <v>Elizabeth</v>
      </c>
      <c r="W185" s="32" t="str">
        <f>VLOOKUP(A185, 'Session Data'!A:AA,9,false)</f>
        <v>Nguyen</v>
      </c>
      <c r="X185" s="33" t="str">
        <f>VLOOKUP(A185, 'Session Data'!A:AA,12,false)</f>
        <v> Incorporating Culturally Relevant Pedagogy in Chemistry to Promote Success for Women of Color in STEM</v>
      </c>
      <c r="Y185" s="34" t="str">
        <f>VLOOKUP(A185, 'Session Data'!A:AA,22,false)</f>
        <v>Dr. Felisha</v>
      </c>
      <c r="Z185" s="34" t="str">
        <f>VLOOKUP(A185, 'Session Data'!A:AA,23,false)</f>
        <v>Herrera Villareal</v>
      </c>
      <c r="AA185" s="34" t="str">
        <f>VLOOKUP(A185, 'Session Data'!A:AA,25,false)</f>
        <v>Education</v>
      </c>
      <c r="AB185" s="34" t="str">
        <f>VLOOKUP(A185, 'Session Data'!A:AA,24,false)</f>
        <v>felisha.herrera@sdsu.edu</v>
      </c>
      <c r="AC185" s="34" t="str">
        <f>VLOOKUP(A185, 'Session Data'!A:AA,16,false)</f>
        <v/>
      </c>
      <c r="AD185" s="35" t="str">
        <f>VLOOKUP(A185, 'Session Data'!A:U,17,false)</f>
        <v/>
      </c>
      <c r="AE185" s="35" t="str">
        <f>VLOOKUP(A185, 'Session Data'!A:U,18,false)</f>
        <v/>
      </c>
      <c r="AF185" s="35" t="str">
        <f>VLOOKUP(A185, 'Session Data'!A:U,19,false)</f>
        <v/>
      </c>
      <c r="AG185" s="35" t="str">
        <f>VLOOKUP(A185, 'Session Data'!A:U,20,false)</f>
        <v/>
      </c>
      <c r="AH185" s="35" t="str">
        <f>VLOOKUP(A185, 'Session Data'!A:U,21,false)</f>
        <v/>
      </c>
      <c r="AI185" s="37"/>
      <c r="AJ185" s="37"/>
      <c r="AK185" s="37"/>
      <c r="AL185" s="50"/>
      <c r="AM185" s="34" t="str">
        <f>VLOOKUP(A185, 'Session Data'!A:AA,10,false)</f>
        <v>enguyen4538@sdsu.edu</v>
      </c>
      <c r="AN185" s="40"/>
      <c r="AO185" s="38"/>
      <c r="AP185" s="38"/>
      <c r="AQ185" s="38"/>
      <c r="AR185" s="38"/>
      <c r="AS185" s="38"/>
      <c r="AT185" s="38"/>
      <c r="AU185" s="38"/>
      <c r="AV185" s="38"/>
      <c r="AW185" s="38"/>
      <c r="AX185" s="38"/>
      <c r="AY185" s="43"/>
      <c r="AZ185" s="43"/>
      <c r="BA185" s="48"/>
      <c r="BB185" s="43"/>
      <c r="BC185" s="43"/>
      <c r="BD185" s="43"/>
      <c r="BE185" s="44"/>
      <c r="BF185" s="45"/>
      <c r="BG185" s="43"/>
    </row>
    <row r="186">
      <c r="A186" s="19" t="s">
        <v>251</v>
      </c>
      <c r="B186" s="20">
        <f>VLOOKUP(F186,'Session Count DO NOT EDIT'!$A:$C,3,FALSE)</f>
        <v>4</v>
      </c>
      <c r="C186" s="20">
        <f>COUNTIFS('Scores Import DO NOT EDIT'!D:D,A186)</f>
        <v>4</v>
      </c>
      <c r="D186" s="21">
        <f t="shared" si="1"/>
        <v>1</v>
      </c>
      <c r="E186" s="22">
        <f>AVERAGEIFS('Scores Import DO NOT EDIT'!L:L,'Scores Import DO NOT EDIT'!D:D,A186)</f>
        <v>28.75</v>
      </c>
      <c r="F186" s="23" t="str">
        <f>VLOOKUP(A186, 'Session Data'!A:M,3,false)</f>
        <v>D-5</v>
      </c>
      <c r="G186" s="24" t="str">
        <f>VLOOKUP(A186, 'Session Data'!A:I,2,false)</f>
        <v>3:00 PM</v>
      </c>
      <c r="H186" s="23" t="str">
        <f>VLOOKUP(A186, 'Session Data'!A:J,5,false)</f>
        <v>Education</v>
      </c>
      <c r="I186" s="25" t="str">
        <f>VLOOKUP(A186, 'Session Data'!A:H,4,false)</f>
        <v>Oral </v>
      </c>
      <c r="J186" s="26" t="str">
        <f>VLOOKUP(A186, 'Session Data'!A:AA,14,false)</f>
        <v>Doctoral</v>
      </c>
      <c r="K186" s="27" t="str">
        <f>VLOOKUP(A186, 'Session Data'!A:AA,15,false)</f>
        <v>Education</v>
      </c>
      <c r="L186" s="28"/>
      <c r="M186" s="29" t="str">
        <f>VLOOKUP(A186, 'Session Data'!A:K,11,false)</f>
        <v>Joint Doctoral Program in Education</v>
      </c>
      <c r="N186" s="26" t="str">
        <f>IF(ISNA(VLOOKUP(A186, 'Award Abstract#'!C:C, 1, FALSE)), "No", "Yes")
</f>
        <v>No</v>
      </c>
      <c r="O186" s="29" t="str">
        <f>IF(ISNA(VLOOKUP(A186,'Award Abstract#'!B:B,1,FALSE)), "No", "Yes")</f>
        <v>No</v>
      </c>
      <c r="P186" s="29" t="str">
        <f>IF(ISNA(VLOOKUP(A186,'Award Abstract#'!E:E,1,FALSE)), "No", "Yes")</f>
        <v>No</v>
      </c>
      <c r="Q186" s="29" t="str">
        <f>IF(ISNA(VLOOKUP(A186,'Award Abstract#'!A:A,1,FALSE)), "No", "Yes")</f>
        <v>No</v>
      </c>
      <c r="R186" s="29" t="str">
        <f>IF(ISNA(VLOOKUP(A186,'Award Abstract#'!D:D,1,FALSE)), "No", "Yes")</f>
        <v>Yes</v>
      </c>
      <c r="S186" s="30" t="str">
        <f>VLOOKUP(A186, 'Session Data'!A:AA,27,false)</f>
        <v>Woman</v>
      </c>
      <c r="T186" s="30"/>
      <c r="U186" s="30"/>
      <c r="V186" s="31" t="str">
        <f>VLOOKUP(A186, 'Session Data'!A:AA,8,false)</f>
        <v>Catherine</v>
      </c>
      <c r="W186" s="32" t="str">
        <f>VLOOKUP(A186, 'Session Data'!A:AA,9,false)</f>
        <v>Longstreet</v>
      </c>
      <c r="X186" s="33" t="str">
        <f>VLOOKUP(A186, 'Session Data'!A:AA,12,false)</f>
        <v>Enhancing Rural Students' College Pathways: Incorporating Academic Match and Student Fit Preferences as an Alternative to Undermatch Theory</v>
      </c>
      <c r="Y186" s="34" t="str">
        <f>VLOOKUP(A186, 'Session Data'!A:AA,22,false)</f>
        <v>Aaron</v>
      </c>
      <c r="Z186" s="34" t="str">
        <f>VLOOKUP(A186, 'Session Data'!A:AA,23,false)</f>
        <v>Iffland</v>
      </c>
      <c r="AA186" s="34" t="str">
        <f>VLOOKUP(A186, 'Session Data'!A:AA,25,false)</f>
        <v>Education</v>
      </c>
      <c r="AB186" s="34" t="str">
        <f>VLOOKUP(A186, 'Session Data'!A:AA,24,false)</f>
        <v>aiffland@sdsu.edu</v>
      </c>
      <c r="AC186" s="34" t="str">
        <f>VLOOKUP(A186, 'Session Data'!A:AA,16,false)</f>
        <v/>
      </c>
      <c r="AD186" s="35" t="str">
        <f>VLOOKUP(A186, 'Session Data'!A:U,17,false)</f>
        <v/>
      </c>
      <c r="AE186" s="35" t="str">
        <f>VLOOKUP(A186, 'Session Data'!A:U,18,false)</f>
        <v/>
      </c>
      <c r="AF186" s="35" t="str">
        <f>VLOOKUP(A186, 'Session Data'!A:U,19,false)</f>
        <v/>
      </c>
      <c r="AG186" s="35" t="str">
        <f>VLOOKUP(A186, 'Session Data'!A:U,20,false)</f>
        <v/>
      </c>
      <c r="AH186" s="35" t="str">
        <f>VLOOKUP(A186, 'Session Data'!A:U,21,false)</f>
        <v/>
      </c>
      <c r="AI186" s="37"/>
      <c r="AJ186" s="37"/>
      <c r="AK186" s="37"/>
      <c r="AL186" s="50"/>
      <c r="AM186" s="34" t="str">
        <f>VLOOKUP(A186, 'Session Data'!A:AA,10,false)</f>
        <v>clongstreet5060@sdsu.edu</v>
      </c>
      <c r="AN186" s="40"/>
      <c r="AO186" s="38"/>
      <c r="AP186" s="38"/>
      <c r="AQ186" s="38"/>
      <c r="AR186" s="38"/>
      <c r="AS186" s="38"/>
      <c r="AT186" s="38"/>
      <c r="AU186" s="38"/>
      <c r="AV186" s="38"/>
      <c r="AW186" s="38"/>
      <c r="AX186" s="38"/>
      <c r="AY186" s="43"/>
      <c r="AZ186" s="43"/>
      <c r="BA186" s="48"/>
      <c r="BB186" s="48"/>
      <c r="BC186" s="43"/>
      <c r="BD186" s="43"/>
      <c r="BE186" s="44"/>
      <c r="BF186" s="45"/>
      <c r="BG186" s="43"/>
    </row>
    <row r="187">
      <c r="A187" s="19" t="s">
        <v>252</v>
      </c>
      <c r="B187" s="20">
        <f>VLOOKUP(F187,'Session Count DO NOT EDIT'!$A:$C,3,FALSE)</f>
        <v>4</v>
      </c>
      <c r="C187" s="20">
        <f>COUNTIFS('Scores Import DO NOT EDIT'!D:D,A187)</f>
        <v>4</v>
      </c>
      <c r="D187" s="21">
        <f t="shared" si="1"/>
        <v>1</v>
      </c>
      <c r="E187" s="22">
        <f>AVERAGEIFS('Scores Import DO NOT EDIT'!L:L,'Scores Import DO NOT EDIT'!D:D,A187)</f>
        <v>28.75</v>
      </c>
      <c r="F187" s="23" t="str">
        <f>VLOOKUP(A187, 'Session Data'!A:M,3,false)</f>
        <v>D-5</v>
      </c>
      <c r="G187" s="24" t="str">
        <f>VLOOKUP(A187, 'Session Data'!A:I,2,false)</f>
        <v>3:00 PM</v>
      </c>
      <c r="H187" s="23" t="str">
        <f>VLOOKUP(A187, 'Session Data'!A:J,5,false)</f>
        <v>Education</v>
      </c>
      <c r="I187" s="25" t="str">
        <f>VLOOKUP(A187, 'Session Data'!A:H,4,false)</f>
        <v>Oral </v>
      </c>
      <c r="J187" s="26" t="str">
        <f>VLOOKUP(A187, 'Session Data'!A:AA,14,false)</f>
        <v>Doctoral</v>
      </c>
      <c r="K187" s="27" t="str">
        <f>VLOOKUP(A187, 'Session Data'!A:AA,15,false)</f>
        <v>Education</v>
      </c>
      <c r="L187" s="47"/>
      <c r="M187" s="29" t="str">
        <f>VLOOKUP(A187, 'Session Data'!A:K,11,false)</f>
        <v>Ph.D. Mathematics and Science Education</v>
      </c>
      <c r="N187" s="26" t="str">
        <f>IF(ISNA(VLOOKUP(A187, 'Award Abstract#'!C:C, 1, FALSE)), "No", "Yes")
</f>
        <v>No</v>
      </c>
      <c r="O187" s="29" t="str">
        <f>IF(ISNA(VLOOKUP(A187,'Award Abstract#'!B:B,1,FALSE)), "No", "Yes")</f>
        <v>No</v>
      </c>
      <c r="P187" s="29" t="str">
        <f>IF(ISNA(VLOOKUP(A187,'Award Abstract#'!E:E,1,FALSE)), "No", "Yes")</f>
        <v>No</v>
      </c>
      <c r="Q187" s="29" t="str">
        <f>IF(ISNA(VLOOKUP(A187,'Award Abstract#'!A:A,1,FALSE)), "No", "Yes")</f>
        <v>No</v>
      </c>
      <c r="R187" s="29" t="str">
        <f>IF(ISNA(VLOOKUP(A187,'Award Abstract#'!D:D,1,FALSE)), "No", "Yes")</f>
        <v>No</v>
      </c>
      <c r="S187" s="30" t="str">
        <f>VLOOKUP(A187, 'Session Data'!A:AA,27,false)</f>
        <v>Man</v>
      </c>
      <c r="T187" s="30"/>
      <c r="U187" s="30"/>
      <c r="V187" s="31" t="str">
        <f>VLOOKUP(A187, 'Session Data'!A:AA,8,false)</f>
        <v>Austin</v>
      </c>
      <c r="W187" s="32" t="str">
        <f>VLOOKUP(A187, 'Session Data'!A:AA,9,false)</f>
        <v>Zuckerman</v>
      </c>
      <c r="X187" s="33" t="str">
        <f>VLOOKUP(A187, 'Session Data'!A:AA,12,false)</f>
        <v>When Coding Meets Biology: Student Attitudes, Motivations, and Expectations in a Discipline-Based Coding Class</v>
      </c>
      <c r="Y187" s="34" t="str">
        <f>VLOOKUP(A187, 'Session Data'!A:AA,22,false)</f>
        <v>Ashley</v>
      </c>
      <c r="Z187" s="34" t="str">
        <f>VLOOKUP(A187, 'Session Data'!A:AA,23,false)</f>
        <v>Juavinett</v>
      </c>
      <c r="AA187" s="34" t="str">
        <f>VLOOKUP(A187, 'Session Data'!A:AA,25,false)</f>
        <v>UCSD</v>
      </c>
      <c r="AB187" s="34" t="str">
        <f>VLOOKUP(A187, 'Session Data'!A:AA,24,false)</f>
        <v>ajuavinett@ucsd.edu</v>
      </c>
      <c r="AC187" s="34" t="str">
        <f>VLOOKUP(A187, 'Session Data'!A:AA,16,false)</f>
        <v/>
      </c>
      <c r="AD187" s="35" t="str">
        <f>VLOOKUP(A187, 'Session Data'!A:U,17,false)</f>
        <v/>
      </c>
      <c r="AE187" s="35" t="str">
        <f>VLOOKUP(A187, 'Session Data'!A:U,18,false)</f>
        <v/>
      </c>
      <c r="AF187" s="35" t="str">
        <f>VLOOKUP(A187, 'Session Data'!A:U,19,false)</f>
        <v/>
      </c>
      <c r="AG187" s="35" t="str">
        <f>VLOOKUP(A187, 'Session Data'!A:U,20,false)</f>
        <v/>
      </c>
      <c r="AH187" s="35" t="str">
        <f>VLOOKUP(A187, 'Session Data'!A:U,21,false)</f>
        <v/>
      </c>
      <c r="AI187" s="37"/>
      <c r="AJ187" s="37"/>
      <c r="AK187" s="37"/>
      <c r="AL187" s="50"/>
      <c r="AM187" s="34" t="str">
        <f>VLOOKUP(A187, 'Session Data'!A:AA,10,false)</f>
        <v>azuckerman2762@sdsu.edu</v>
      </c>
      <c r="AN187" s="40"/>
      <c r="AO187" s="38"/>
      <c r="AP187" s="38"/>
      <c r="AQ187" s="38"/>
      <c r="AR187" s="38"/>
      <c r="AS187" s="38"/>
      <c r="AT187" s="38"/>
      <c r="AU187" s="38"/>
      <c r="AV187" s="38"/>
      <c r="AW187" s="38"/>
      <c r="AX187" s="38"/>
      <c r="AY187" s="43"/>
      <c r="AZ187" s="43"/>
      <c r="BA187" s="48"/>
      <c r="BB187" s="48"/>
      <c r="BC187" s="43"/>
      <c r="BD187" s="43"/>
      <c r="BE187" s="44"/>
      <c r="BF187" s="45"/>
      <c r="BG187" s="43"/>
    </row>
    <row r="188">
      <c r="A188" s="19" t="s">
        <v>253</v>
      </c>
      <c r="B188" s="20">
        <f>VLOOKUP(F188,'Session Count DO NOT EDIT'!$A:$C,3,FALSE)</f>
        <v>4</v>
      </c>
      <c r="C188" s="20">
        <f>COUNTIFS('Scores Import DO NOT EDIT'!D:D,A188)</f>
        <v>4</v>
      </c>
      <c r="D188" s="21">
        <f t="shared" si="1"/>
        <v>1</v>
      </c>
      <c r="E188" s="22">
        <f>AVERAGEIFS('Scores Import DO NOT EDIT'!L:L,'Scores Import DO NOT EDIT'!D:D,A188)</f>
        <v>28.75</v>
      </c>
      <c r="F188" s="23" t="str">
        <f>VLOOKUP(A188, 'Session Data'!A:M,3,false)</f>
        <v>D-5</v>
      </c>
      <c r="G188" s="24" t="str">
        <f>VLOOKUP(A188, 'Session Data'!A:I,2,false)</f>
        <v>3:00 PM</v>
      </c>
      <c r="H188" s="23" t="str">
        <f>VLOOKUP(A188, 'Session Data'!A:J,5,false)</f>
        <v>Education</v>
      </c>
      <c r="I188" s="25" t="str">
        <f>VLOOKUP(A188, 'Session Data'!A:H,4,false)</f>
        <v>Oral </v>
      </c>
      <c r="J188" s="26" t="str">
        <f>VLOOKUP(A188, 'Session Data'!A:AA,14,false)</f>
        <v>Doctoral</v>
      </c>
      <c r="K188" s="27" t="str">
        <f>VLOOKUP(A188, 'Session Data'!A:AA,15,false)</f>
        <v>Sciences</v>
      </c>
      <c r="L188" s="28"/>
      <c r="M188" s="29" t="str">
        <f>VLOOKUP(A188, 'Session Data'!A:K,11,false)</f>
        <v>PhD in Math Education</v>
      </c>
      <c r="N188" s="26" t="str">
        <f>IF(ISNA(VLOOKUP(A188, 'Award Abstract#'!C:C, 1, FALSE)), "No", "Yes")
</f>
        <v>No</v>
      </c>
      <c r="O188" s="29" t="str">
        <f>IF(ISNA(VLOOKUP(A188,'Award Abstract#'!B:B,1,FALSE)), "No", "Yes")</f>
        <v>No</v>
      </c>
      <c r="P188" s="29" t="str">
        <f>IF(ISNA(VLOOKUP(A188,'Award Abstract#'!E:E,1,FALSE)), "No", "Yes")</f>
        <v>No</v>
      </c>
      <c r="Q188" s="29" t="str">
        <f>IF(ISNA(VLOOKUP(A188,'Award Abstract#'!A:A,1,FALSE)), "No", "Yes")</f>
        <v>Yes</v>
      </c>
      <c r="R188" s="29" t="str">
        <f>IF(ISNA(VLOOKUP(A188,'Award Abstract#'!D:D,1,FALSE)), "No", "Yes")</f>
        <v>Yes</v>
      </c>
      <c r="S188" s="30" t="str">
        <f>VLOOKUP(A188, 'Session Data'!A:AA,27,false)</f>
        <v>Woman</v>
      </c>
      <c r="T188" s="30"/>
      <c r="U188" s="30"/>
      <c r="V188" s="31" t="str">
        <f>VLOOKUP(A188, 'Session Data'!A:AA,8,false)</f>
        <v>Brinley</v>
      </c>
      <c r="W188" s="32" t="str">
        <f>VLOOKUP(A188, 'Session Data'!A:AA,9,false)</f>
        <v>Stringer</v>
      </c>
      <c r="X188" s="33" t="str">
        <f>VLOOKUP(A188, 'Session Data'!A:AA,12,false)</f>
        <v>The Departmental Impact of Near-Peer Mentors</v>
      </c>
      <c r="Y188" s="34" t="str">
        <f>VLOOKUP(A188, 'Session Data'!A:AA,22,false)</f>
        <v>Mary</v>
      </c>
      <c r="Z188" s="34" t="str">
        <f>VLOOKUP(A188, 'Session Data'!A:AA,23,false)</f>
        <v>Pilgrim</v>
      </c>
      <c r="AA188" s="34" t="str">
        <f>VLOOKUP(A188, 'Session Data'!A:AA,25,false)</f>
        <v>Sciences</v>
      </c>
      <c r="AB188" s="34"/>
      <c r="AC188" s="34" t="str">
        <f>VLOOKUP(A188, 'Session Data'!A:AA,16,false)</f>
        <v/>
      </c>
      <c r="AD188" s="35" t="str">
        <f>VLOOKUP(A188, 'Session Data'!A:U,17,false)</f>
        <v/>
      </c>
      <c r="AE188" s="35" t="str">
        <f>VLOOKUP(A188, 'Session Data'!A:U,18,false)</f>
        <v/>
      </c>
      <c r="AF188" s="35" t="str">
        <f>VLOOKUP(A188, 'Session Data'!A:U,19,false)</f>
        <v/>
      </c>
      <c r="AG188" s="35" t="str">
        <f>VLOOKUP(A188, 'Session Data'!A:U,20,false)</f>
        <v/>
      </c>
      <c r="AH188" s="35" t="str">
        <f>VLOOKUP(A188, 'Session Data'!A:U,21,false)</f>
        <v/>
      </c>
      <c r="AI188" s="37"/>
      <c r="AJ188" s="37"/>
      <c r="AK188" s="37"/>
      <c r="AL188" s="50"/>
      <c r="AM188" s="34" t="str">
        <f>VLOOKUP(A188, 'Session Data'!A:AA,10,false)</f>
        <v>bstringer8642@sdsu.edu</v>
      </c>
      <c r="AN188" s="40"/>
      <c r="AO188" s="38"/>
      <c r="AP188" s="38"/>
      <c r="AQ188" s="38"/>
      <c r="AR188" s="38"/>
      <c r="AS188" s="38"/>
      <c r="AT188" s="38"/>
      <c r="AU188" s="38"/>
      <c r="AV188" s="38"/>
      <c r="AW188" s="38"/>
      <c r="AX188" s="38"/>
      <c r="AY188" s="43"/>
      <c r="AZ188" s="43"/>
      <c r="BA188" s="43"/>
      <c r="BB188" s="43"/>
      <c r="BC188" s="43"/>
      <c r="BD188" s="43"/>
      <c r="BE188" s="44"/>
      <c r="BF188" s="45"/>
      <c r="BG188" s="43"/>
    </row>
    <row r="189">
      <c r="A189" s="19" t="s">
        <v>254</v>
      </c>
      <c r="B189" s="20">
        <f>VLOOKUP(F189,'Session Count DO NOT EDIT'!$A:$C,3,FALSE)</f>
        <v>4</v>
      </c>
      <c r="C189" s="20">
        <f>COUNTIFS('Scores Import DO NOT EDIT'!D:D,A189)</f>
        <v>4</v>
      </c>
      <c r="D189" s="21">
        <f t="shared" si="1"/>
        <v>1</v>
      </c>
      <c r="E189" s="22">
        <f>AVERAGEIFS('Scores Import DO NOT EDIT'!L:L,'Scores Import DO NOT EDIT'!D:D,A189)</f>
        <v>28.25</v>
      </c>
      <c r="F189" s="23" t="str">
        <f>VLOOKUP(A189, 'Session Data'!A:M,3,false)</f>
        <v>D-5</v>
      </c>
      <c r="G189" s="24" t="str">
        <f>VLOOKUP(A189, 'Session Data'!A:I,2,false)</f>
        <v>3:00 PM</v>
      </c>
      <c r="H189" s="23" t="str">
        <f>VLOOKUP(A189, 'Session Data'!A:J,5,false)</f>
        <v>Education</v>
      </c>
      <c r="I189" s="25" t="str">
        <f>VLOOKUP(A189, 'Session Data'!A:H,4,false)</f>
        <v>Oral </v>
      </c>
      <c r="J189" s="26" t="str">
        <f>VLOOKUP(A189, 'Session Data'!A:AA,14,false)</f>
        <v>Doctoral</v>
      </c>
      <c r="K189" s="27" t="str">
        <f>VLOOKUP(A189, 'Session Data'!A:AA,15,false)</f>
        <v>Education</v>
      </c>
      <c r="L189" s="28"/>
      <c r="M189" s="29" t="str">
        <f>VLOOKUP(A189, 'Session Data'!A:K,11,false)</f>
        <v>MSED program  (Math &amp; Science Ed Doctoral) </v>
      </c>
      <c r="N189" s="26" t="str">
        <f>IF(ISNA(VLOOKUP(A189, 'Award Abstract#'!C:C, 1, FALSE)), "No", "Yes")
</f>
        <v>No</v>
      </c>
      <c r="O189" s="29" t="str">
        <f>IF(ISNA(VLOOKUP(A189,'Award Abstract#'!B:B,1,FALSE)), "No", "Yes")</f>
        <v>No</v>
      </c>
      <c r="P189" s="29" t="str">
        <f>IF(ISNA(VLOOKUP(A189,'Award Abstract#'!E:E,1,FALSE)), "No", "Yes")</f>
        <v>No</v>
      </c>
      <c r="Q189" s="29" t="str">
        <f>IF(ISNA(VLOOKUP(A189,'Award Abstract#'!A:A,1,FALSE)), "No", "Yes")</f>
        <v>No</v>
      </c>
      <c r="R189" s="29" t="str">
        <f>IF(ISNA(VLOOKUP(A189,'Award Abstract#'!D:D,1,FALSE)), "No", "Yes")</f>
        <v>Yes</v>
      </c>
      <c r="S189" s="30" t="str">
        <f>VLOOKUP(A189, 'Session Data'!A:AA,27,false)</f>
        <v>Woman</v>
      </c>
      <c r="T189" s="30"/>
      <c r="U189" s="30"/>
      <c r="V189" s="31" t="str">
        <f>VLOOKUP(A189, 'Session Data'!A:AA,8,false)</f>
        <v>Gabriela</v>
      </c>
      <c r="W189" s="32" t="str">
        <f>VLOOKUP(A189, 'Session Data'!A:AA,9,false)</f>
        <v>Hernandez</v>
      </c>
      <c r="X189" s="33" t="str">
        <f>VLOOKUP(A189, 'Session Data'!A:AA,12,false)</f>
        <v>Breaking the Beta: A Critical Inquiry into Problem-Solving </v>
      </c>
      <c r="Y189" s="34" t="str">
        <f>VLOOKUP(A189, 'Session Data'!A:AA,22,false)</f>
        <v>Mary </v>
      </c>
      <c r="Z189" s="34" t="str">
        <f>VLOOKUP(A189, 'Session Data'!A:AA,23,false)</f>
        <v>Pilgrim </v>
      </c>
      <c r="AA189" s="34" t="str">
        <f>VLOOKUP(A189, 'Session Data'!A:AA,25,false)</f>
        <v>Sciences</v>
      </c>
      <c r="AB189" s="34" t="str">
        <f>VLOOKUP(A189, 'Session Data'!A:AA,24,false)</f>
        <v>mpilgrim@sdsu.edu</v>
      </c>
      <c r="AC189" s="34" t="str">
        <f>VLOOKUP(A189, 'Session Data'!A:AA,16,false)</f>
        <v/>
      </c>
      <c r="AD189" s="35" t="str">
        <f>VLOOKUP(A189, 'Session Data'!A:U,17,false)</f>
        <v/>
      </c>
      <c r="AE189" s="35" t="str">
        <f>VLOOKUP(A189, 'Session Data'!A:U,18,false)</f>
        <v/>
      </c>
      <c r="AF189" s="35" t="str">
        <f>VLOOKUP(A189, 'Session Data'!A:U,19,false)</f>
        <v/>
      </c>
      <c r="AG189" s="35" t="str">
        <f>VLOOKUP(A189, 'Session Data'!A:U,20,false)</f>
        <v/>
      </c>
      <c r="AH189" s="35" t="str">
        <f>VLOOKUP(A189, 'Session Data'!A:U,21,false)</f>
        <v/>
      </c>
      <c r="AI189" s="36"/>
      <c r="AJ189" s="38"/>
      <c r="AK189" s="38"/>
      <c r="AL189" s="39"/>
      <c r="AM189" s="34" t="str">
        <f>VLOOKUP(A189, 'Session Data'!A:AA,10,false)</f>
        <v>ghernandez5629@sdsu.edu</v>
      </c>
      <c r="AN189" s="40"/>
      <c r="AO189" s="38"/>
      <c r="AP189" s="38"/>
      <c r="AQ189" s="38"/>
      <c r="AR189" s="38"/>
      <c r="AS189" s="38"/>
      <c r="AT189" s="38"/>
      <c r="AU189" s="38"/>
      <c r="AV189" s="38"/>
      <c r="AW189" s="38"/>
      <c r="AX189" s="38"/>
      <c r="AY189" s="43"/>
      <c r="AZ189" s="43"/>
      <c r="BA189" s="48"/>
      <c r="BB189" s="48"/>
      <c r="BC189" s="43"/>
      <c r="BD189" s="43"/>
      <c r="BE189" s="44"/>
      <c r="BF189" s="45"/>
      <c r="BG189" s="43"/>
    </row>
    <row r="190">
      <c r="A190" s="19" t="s">
        <v>255</v>
      </c>
      <c r="B190" s="20">
        <f>VLOOKUP(F190,'Session Count DO NOT EDIT'!$A:$C,3,FALSE)</f>
        <v>5</v>
      </c>
      <c r="C190" s="20">
        <f>COUNTIFS('Scores Import DO NOT EDIT'!D:D,A190)</f>
        <v>4</v>
      </c>
      <c r="D190" s="21">
        <f t="shared" si="1"/>
        <v>0.8</v>
      </c>
      <c r="E190" s="22">
        <f>AVERAGEIFS('Scores Import DO NOT EDIT'!L:L,'Scores Import DO NOT EDIT'!D:D,A190)</f>
        <v>25.75</v>
      </c>
      <c r="F190" s="23" t="str">
        <f>VLOOKUP(A190, 'Session Data'!A:M,3,false)</f>
        <v>D-6</v>
      </c>
      <c r="G190" s="24" t="str">
        <f>VLOOKUP(A190, 'Session Data'!A:I,2,false)</f>
        <v>3:00 PM</v>
      </c>
      <c r="H190" s="23" t="str">
        <f>VLOOKUP(A190, 'Session Data'!A:J,5,false)</f>
        <v>Humanities, History, Literature, Philosophy</v>
      </c>
      <c r="I190" s="25" t="str">
        <f>VLOOKUP(A190, 'Session Data'!A:H,4,false)</f>
        <v>Oral </v>
      </c>
      <c r="J190" s="26" t="str">
        <f>VLOOKUP(A190, 'Session Data'!A:AA,14,false)</f>
        <v>Master's</v>
      </c>
      <c r="K190" s="27" t="str">
        <f>VLOOKUP(A190, 'Session Data'!A:AA,15,false)</f>
        <v>Arts and Letters</v>
      </c>
      <c r="L190" s="47"/>
      <c r="M190" s="29" t="str">
        <f>VLOOKUP(A190, 'Session Data'!A:K,11,false)</f>
        <v>Masters of Arts in Anthropology</v>
      </c>
      <c r="N190" s="26" t="str">
        <f>IF(ISNA(VLOOKUP(A190, 'Award Abstract#'!C:C, 1, FALSE)), "No", "Yes")
</f>
        <v>No</v>
      </c>
      <c r="O190" s="29" t="str">
        <f>IF(ISNA(VLOOKUP(A190,'Award Abstract#'!B:B,1,FALSE)), "No", "Yes")</f>
        <v>No</v>
      </c>
      <c r="P190" s="29" t="str">
        <f>IF(ISNA(VLOOKUP(A190,'Award Abstract#'!E:E,1,FALSE)), "No", "Yes")</f>
        <v>No</v>
      </c>
      <c r="Q190" s="29" t="str">
        <f>IF(ISNA(VLOOKUP(A190,'Award Abstract#'!A:A,1,FALSE)), "No", "Yes")</f>
        <v>No</v>
      </c>
      <c r="R190" s="29" t="str">
        <f>IF(ISNA(VLOOKUP(A190,'Award Abstract#'!D:D,1,FALSE)), "No", "Yes")</f>
        <v>No</v>
      </c>
      <c r="S190" s="30" t="str">
        <f>VLOOKUP(A190, 'Session Data'!A:AA,27,false)</f>
        <v>Woman</v>
      </c>
      <c r="T190" s="30"/>
      <c r="U190" s="30"/>
      <c r="V190" s="31" t="str">
        <f>VLOOKUP(A190, 'Session Data'!A:AA,8,false)</f>
        <v>Nancy</v>
      </c>
      <c r="W190" s="32" t="str">
        <f>VLOOKUP(A190, 'Session Data'!A:AA,9,false)</f>
        <v>Quidachay</v>
      </c>
      <c r="X190" s="33" t="str">
        <f>VLOOKUP(A190, 'Session Data'!A:AA,12,false)</f>
        <v>People’s engagement with primate habitat signage at the San Diego Zoo</v>
      </c>
      <c r="Y190" s="34" t="str">
        <f>VLOOKUP(A190, 'Session Data'!A:AA,22,false)</f>
        <v>Erin </v>
      </c>
      <c r="Z190" s="34" t="str">
        <f>VLOOKUP(A190, 'Session Data'!A:AA,23,false)</f>
        <v>Riley</v>
      </c>
      <c r="AA190" s="34" t="str">
        <f>VLOOKUP(A190, 'Session Data'!A:AA,25,false)</f>
        <v>Arts and Letters</v>
      </c>
      <c r="AB190" s="34" t="str">
        <f>VLOOKUP(A190, 'Session Data'!A:AA,24,false)</f>
        <v>epriley@sdsu.edu</v>
      </c>
      <c r="AC190" s="34" t="str">
        <f>VLOOKUP(A190, 'Session Data'!A:AA,16,false)</f>
        <v/>
      </c>
      <c r="AD190" s="35" t="str">
        <f>VLOOKUP(A190, 'Session Data'!A:U,17,false)</f>
        <v/>
      </c>
      <c r="AE190" s="35" t="str">
        <f>VLOOKUP(A190, 'Session Data'!A:U,18,false)</f>
        <v/>
      </c>
      <c r="AF190" s="35" t="str">
        <f>VLOOKUP(A190, 'Session Data'!A:U,19,false)</f>
        <v/>
      </c>
      <c r="AG190" s="35" t="str">
        <f>VLOOKUP(A190, 'Session Data'!A:U,20,false)</f>
        <v/>
      </c>
      <c r="AH190" s="35" t="str">
        <f>VLOOKUP(A190, 'Session Data'!A:U,21,false)</f>
        <v/>
      </c>
      <c r="AI190" s="37"/>
      <c r="AJ190" s="37"/>
      <c r="AK190" s="37"/>
      <c r="AL190" s="50"/>
      <c r="AM190" s="34" t="str">
        <f>VLOOKUP(A190, 'Session Data'!A:AA,10,false)</f>
        <v>nguzman3678@sdsu.edu</v>
      </c>
      <c r="AN190" s="40"/>
      <c r="AO190" s="38"/>
      <c r="AP190" s="38"/>
      <c r="AQ190" s="38"/>
      <c r="AR190" s="38"/>
      <c r="AS190" s="38"/>
      <c r="AT190" s="38"/>
      <c r="AU190" s="38"/>
      <c r="AV190" s="38"/>
      <c r="AW190" s="38"/>
      <c r="AX190" s="38"/>
      <c r="AY190" s="43"/>
      <c r="AZ190" s="43"/>
      <c r="BA190" s="43"/>
      <c r="BB190" s="43"/>
      <c r="BC190" s="43"/>
      <c r="BD190" s="43"/>
      <c r="BE190" s="44"/>
      <c r="BF190" s="45"/>
      <c r="BG190" s="43"/>
    </row>
    <row r="191">
      <c r="A191" s="19" t="s">
        <v>256</v>
      </c>
      <c r="B191" s="20">
        <f>VLOOKUP(F191,'Session Count DO NOT EDIT'!$A:$C,3,FALSE)</f>
        <v>5</v>
      </c>
      <c r="C191" s="20">
        <f>COUNTIFS('Scores Import DO NOT EDIT'!D:D,A191)</f>
        <v>4</v>
      </c>
      <c r="D191" s="21">
        <f t="shared" si="1"/>
        <v>0.8</v>
      </c>
      <c r="E191" s="22">
        <f>AVERAGEIFS('Scores Import DO NOT EDIT'!L:L,'Scores Import DO NOT EDIT'!D:D,A191)</f>
        <v>25</v>
      </c>
      <c r="F191" s="23" t="str">
        <f>VLOOKUP(A191, 'Session Data'!A:M,3,false)</f>
        <v>D-6</v>
      </c>
      <c r="G191" s="24" t="str">
        <f>VLOOKUP(A191, 'Session Data'!A:I,2,false)</f>
        <v>3:00 PM</v>
      </c>
      <c r="H191" s="23" t="str">
        <f>VLOOKUP(A191, 'Session Data'!A:J,5,false)</f>
        <v>Humanities, History, Literature, Philosophy</v>
      </c>
      <c r="I191" s="25" t="str">
        <f>VLOOKUP(A191, 'Session Data'!A:H,4,false)</f>
        <v>Oral </v>
      </c>
      <c r="J191" s="26" t="str">
        <f>VLOOKUP(A191, 'Session Data'!A:AA,14,false)</f>
        <v>Master's</v>
      </c>
      <c r="K191" s="27" t="str">
        <f>VLOOKUP(A191, 'Session Data'!A:AA,15,false)</f>
        <v>Professional Studies and Fine Arts</v>
      </c>
      <c r="L191" s="28"/>
      <c r="M191" s="29" t="str">
        <f>VLOOKUP(A191, 'Session Data'!A:K,11,false)</f>
        <v>Master of Arts in Theatre Arts </v>
      </c>
      <c r="N191" s="26" t="str">
        <f>IF(ISNA(VLOOKUP(A191, 'Award Abstract#'!C:C, 1, FALSE)), "No", "Yes")
</f>
        <v>No</v>
      </c>
      <c r="O191" s="29" t="str">
        <f>IF(ISNA(VLOOKUP(A191,'Award Abstract#'!B:B,1,FALSE)), "No", "Yes")</f>
        <v>No</v>
      </c>
      <c r="P191" s="29" t="str">
        <f>IF(ISNA(VLOOKUP(A191,'Award Abstract#'!E:E,1,FALSE)), "No", "Yes")</f>
        <v>No</v>
      </c>
      <c r="Q191" s="29" t="str">
        <f>IF(ISNA(VLOOKUP(A191,'Award Abstract#'!A:A,1,FALSE)), "No", "Yes")</f>
        <v>No</v>
      </c>
      <c r="R191" s="29" t="str">
        <f>IF(ISNA(VLOOKUP(A191,'Award Abstract#'!D:D,1,FALSE)), "No", "Yes")</f>
        <v>Yes</v>
      </c>
      <c r="S191" s="30" t="str">
        <f>VLOOKUP(A191, 'Session Data'!A:AA,27,false)</f>
        <v>Woman</v>
      </c>
      <c r="T191" s="30"/>
      <c r="U191" s="30"/>
      <c r="V191" s="31" t="str">
        <f>VLOOKUP(A191, 'Session Data'!A:AA,8,false)</f>
        <v>Aika</v>
      </c>
      <c r="W191" s="32" t="str">
        <f>VLOOKUP(A191, 'Session Data'!A:AA,9,false)</f>
        <v>Tsuda</v>
      </c>
      <c r="X191" s="33" t="str">
        <f>VLOOKUP(A191, 'Session Data'!A:AA,12,false)</f>
        <v>How to Translate a Musical?: Translating Play a Life by Ikko Ueda</v>
      </c>
      <c r="Y191" s="34" t="str">
        <f>VLOOKUP(A191, 'Session Data'!A:AA,22,false)</f>
        <v>Shelley</v>
      </c>
      <c r="Z191" s="34" t="str">
        <f>VLOOKUP(A191, 'Session Data'!A:AA,23,false)</f>
        <v>Orr</v>
      </c>
      <c r="AA191" s="34" t="str">
        <f>VLOOKUP(A191, 'Session Data'!A:AA,25,false)</f>
        <v>Professional Studies and Fine Arts</v>
      </c>
      <c r="AB191" s="34" t="str">
        <f>VLOOKUP(A191, 'Session Data'!A:AA,24,false)</f>
        <v>morr@sdsu.edu</v>
      </c>
      <c r="AC191" s="34" t="str">
        <f>VLOOKUP(A191, 'Session Data'!A:AA,16,false)</f>
        <v/>
      </c>
      <c r="AD191" s="35" t="str">
        <f>VLOOKUP(A191, 'Session Data'!A:U,17,false)</f>
        <v/>
      </c>
      <c r="AE191" s="35" t="str">
        <f>VLOOKUP(A191, 'Session Data'!A:U,18,false)</f>
        <v/>
      </c>
      <c r="AF191" s="35" t="str">
        <f>VLOOKUP(A191, 'Session Data'!A:U,19,false)</f>
        <v/>
      </c>
      <c r="AG191" s="35" t="str">
        <f>VLOOKUP(A191, 'Session Data'!A:U,20,false)</f>
        <v/>
      </c>
      <c r="AH191" s="35" t="str">
        <f>VLOOKUP(A191, 'Session Data'!A:U,21,false)</f>
        <v/>
      </c>
      <c r="AI191" s="37"/>
      <c r="AJ191" s="37"/>
      <c r="AK191" s="37"/>
      <c r="AL191" s="50"/>
      <c r="AM191" s="34" t="str">
        <f>VLOOKUP(A191, 'Session Data'!A:AA,10,false)</f>
        <v>atsuda9842@sdsu.edu</v>
      </c>
      <c r="AN191" s="40"/>
      <c r="AO191" s="38"/>
      <c r="AP191" s="38"/>
      <c r="AQ191" s="38"/>
      <c r="AR191" s="38"/>
      <c r="AS191" s="38"/>
      <c r="AT191" s="38"/>
      <c r="AU191" s="38"/>
      <c r="AV191" s="38"/>
      <c r="AW191" s="38"/>
      <c r="AX191" s="38"/>
      <c r="AY191" s="43"/>
      <c r="AZ191" s="43"/>
      <c r="BA191" s="43"/>
      <c r="BB191" s="43"/>
      <c r="BC191" s="43"/>
      <c r="BD191" s="43"/>
      <c r="BE191" s="44"/>
      <c r="BF191" s="45"/>
      <c r="BG191" s="43"/>
    </row>
    <row r="192">
      <c r="A192" s="19" t="s">
        <v>257</v>
      </c>
      <c r="B192" s="20">
        <f>VLOOKUP(F192,'Session Count DO NOT EDIT'!$A:$C,3,FALSE)</f>
        <v>5</v>
      </c>
      <c r="C192" s="20">
        <f>COUNTIFS('Scores Import DO NOT EDIT'!D:D,A192)</f>
        <v>4</v>
      </c>
      <c r="D192" s="21">
        <f t="shared" si="1"/>
        <v>0.8</v>
      </c>
      <c r="E192" s="22">
        <f>AVERAGEIFS('Scores Import DO NOT EDIT'!L:L,'Scores Import DO NOT EDIT'!D:D,A192)</f>
        <v>22.75</v>
      </c>
      <c r="F192" s="23" t="str">
        <f>VLOOKUP(A192, 'Session Data'!A:M,3,false)</f>
        <v>D-6</v>
      </c>
      <c r="G192" s="24" t="str">
        <f>VLOOKUP(A192, 'Session Data'!A:I,2,false)</f>
        <v>3:00 PM</v>
      </c>
      <c r="H192" s="23" t="str">
        <f>VLOOKUP(A192, 'Session Data'!A:J,5,false)</f>
        <v>Humanities, History, Literature, Philosophy</v>
      </c>
      <c r="I192" s="25" t="str">
        <f>VLOOKUP(A192, 'Session Data'!A:H,4,false)</f>
        <v>Oral </v>
      </c>
      <c r="J192" s="26" t="str">
        <f>VLOOKUP(A192, 'Session Data'!A:AA,14,false)</f>
        <v>Master's</v>
      </c>
      <c r="K192" s="27" t="str">
        <f>VLOOKUP(A192, 'Session Data'!A:AA,15,false)</f>
        <v>Arts and Letters</v>
      </c>
      <c r="L192" s="47"/>
      <c r="M192" s="29" t="str">
        <f>VLOOKUP(A192, 'Session Data'!A:K,11,false)</f>
        <v>Master of Arts in Latin American Studies</v>
      </c>
      <c r="N192" s="26" t="str">
        <f>IF(ISNA(VLOOKUP(A192, 'Award Abstract#'!C:C, 1, FALSE)), "No", "Yes")
</f>
        <v>No</v>
      </c>
      <c r="O192" s="29" t="str">
        <f>IF(ISNA(VLOOKUP(A192,'Award Abstract#'!B:B,1,FALSE)), "No", "Yes")</f>
        <v>No</v>
      </c>
      <c r="P192" s="29" t="str">
        <f>IF(ISNA(VLOOKUP(A192,'Award Abstract#'!E:E,1,FALSE)), "No", "Yes")</f>
        <v>No</v>
      </c>
      <c r="Q192" s="29" t="str">
        <f>IF(ISNA(VLOOKUP(A192,'Award Abstract#'!A:A,1,FALSE)), "No", "Yes")</f>
        <v>No</v>
      </c>
      <c r="R192" s="29" t="str">
        <f>IF(ISNA(VLOOKUP(A192,'Award Abstract#'!D:D,1,FALSE)), "No", "Yes")</f>
        <v>Yes</v>
      </c>
      <c r="S192" s="30" t="str">
        <f>VLOOKUP(A192, 'Session Data'!A:AA,27,false)</f>
        <v>Woman</v>
      </c>
      <c r="T192" s="30"/>
      <c r="U192" s="30"/>
      <c r="V192" s="31" t="str">
        <f>VLOOKUP(A192, 'Session Data'!A:AA,8,false)</f>
        <v>Katia</v>
      </c>
      <c r="W192" s="32" t="str">
        <f>VLOOKUP(A192, 'Session Data'!A:AA,9,false)</f>
        <v>Ayala</v>
      </c>
      <c r="X192" s="33" t="str">
        <f>VLOOKUP(A192, 'Session Data'!A:AA,12,false)</f>
        <v>Lost Voices: The 1954 Guatemalan Coup Revisited Through Oral History</v>
      </c>
      <c r="Y192" s="34" t="str">
        <f>VLOOKUP(A192, 'Session Data'!A:AA,22,false)</f>
        <v>Haley</v>
      </c>
      <c r="Z192" s="34" t="str">
        <f>VLOOKUP(A192, 'Session Data'!A:AA,23,false)</f>
        <v>Ciborowski</v>
      </c>
      <c r="AA192" s="34" t="str">
        <f>VLOOKUP(A192, 'Session Data'!A:AA,25,false)</f>
        <v>Arts and Letters</v>
      </c>
      <c r="AB192" s="34" t="str">
        <f>VLOOKUP(A192, 'Session Data'!A:AA,24,false)</f>
        <v>hmciborowski@sdsu.edu</v>
      </c>
      <c r="AC192" s="34" t="str">
        <f>VLOOKUP(A192, 'Session Data'!A:AA,16,false)</f>
        <v/>
      </c>
      <c r="AD192" s="35" t="str">
        <f>VLOOKUP(A192, 'Session Data'!A:U,17,false)</f>
        <v/>
      </c>
      <c r="AE192" s="35" t="str">
        <f>VLOOKUP(A192, 'Session Data'!A:U,18,false)</f>
        <v/>
      </c>
      <c r="AF192" s="35" t="str">
        <f>VLOOKUP(A192, 'Session Data'!A:U,19,false)</f>
        <v/>
      </c>
      <c r="AG192" s="35" t="str">
        <f>VLOOKUP(A192, 'Session Data'!A:U,20,false)</f>
        <v/>
      </c>
      <c r="AH192" s="35" t="str">
        <f>VLOOKUP(A192, 'Session Data'!A:U,21,false)</f>
        <v/>
      </c>
      <c r="AI192" s="37"/>
      <c r="AJ192" s="37"/>
      <c r="AK192" s="37"/>
      <c r="AL192" s="50"/>
      <c r="AM192" s="34" t="str">
        <f>VLOOKUP(A192, 'Session Data'!A:AA,10,false)</f>
        <v>kayala0441@sdsu.edu</v>
      </c>
      <c r="AN192" s="40"/>
      <c r="AO192" s="38"/>
      <c r="AP192" s="38"/>
      <c r="AQ192" s="38"/>
      <c r="AR192" s="38"/>
      <c r="AS192" s="38"/>
      <c r="AT192" s="38"/>
      <c r="AU192" s="38"/>
      <c r="AV192" s="38"/>
      <c r="AW192" s="38"/>
      <c r="AX192" s="38"/>
      <c r="AY192" s="43"/>
      <c r="AZ192" s="43"/>
      <c r="BA192" s="48"/>
      <c r="BB192" s="48"/>
      <c r="BC192" s="43"/>
      <c r="BD192" s="43"/>
      <c r="BE192" s="44"/>
      <c r="BF192" s="45"/>
      <c r="BG192" s="43"/>
    </row>
    <row r="193">
      <c r="A193" s="19" t="s">
        <v>258</v>
      </c>
      <c r="B193" s="20">
        <f>VLOOKUP(F193,'Session Count DO NOT EDIT'!$A:$C,3,FALSE)</f>
        <v>5</v>
      </c>
      <c r="C193" s="20">
        <f>COUNTIFS('Scores Import DO NOT EDIT'!D:D,A193)</f>
        <v>4</v>
      </c>
      <c r="D193" s="21">
        <f t="shared" si="1"/>
        <v>0.8</v>
      </c>
      <c r="E193" s="22">
        <f>AVERAGEIFS('Scores Import DO NOT EDIT'!L:L,'Scores Import DO NOT EDIT'!D:D,A193)</f>
        <v>20</v>
      </c>
      <c r="F193" s="23" t="str">
        <f>VLOOKUP(A193, 'Session Data'!A:M,3,false)</f>
        <v>D-6</v>
      </c>
      <c r="G193" s="24" t="str">
        <f>VLOOKUP(A193, 'Session Data'!A:I,2,false)</f>
        <v>3:00 PM</v>
      </c>
      <c r="H193" s="23" t="str">
        <f>VLOOKUP(A193, 'Session Data'!A:J,5,false)</f>
        <v>Humanities, History, Literature, Philosophy</v>
      </c>
      <c r="I193" s="25" t="str">
        <f>VLOOKUP(A193, 'Session Data'!A:H,4,false)</f>
        <v>Oral </v>
      </c>
      <c r="J193" s="26" t="str">
        <f>VLOOKUP(A193, 'Session Data'!A:AA,14,false)</f>
        <v>Master's</v>
      </c>
      <c r="K193" s="27" t="str">
        <f>VLOOKUP(A193, 'Session Data'!A:AA,15,false)</f>
        <v>Arts and Letters</v>
      </c>
      <c r="L193" s="28"/>
      <c r="M193" s="29" t="str">
        <f>VLOOKUP(A193, 'Session Data'!A:K,11,false)</f>
        <v>Masters of Arts in Women's Studies </v>
      </c>
      <c r="N193" s="26" t="str">
        <f>IF(ISNA(VLOOKUP(A193, 'Award Abstract#'!C:C, 1, FALSE)), "No", "Yes")
</f>
        <v>No</v>
      </c>
      <c r="O193" s="29" t="str">
        <f>IF(ISNA(VLOOKUP(A193,'Award Abstract#'!B:B,1,FALSE)), "No", "Yes")</f>
        <v>No</v>
      </c>
      <c r="P193" s="29" t="str">
        <f>IF(ISNA(VLOOKUP(A193,'Award Abstract#'!E:E,1,FALSE)), "No", "Yes")</f>
        <v>No</v>
      </c>
      <c r="Q193" s="29" t="str">
        <f>IF(ISNA(VLOOKUP(A193,'Award Abstract#'!A:A,1,FALSE)), "No", "Yes")</f>
        <v>Yes</v>
      </c>
      <c r="R193" s="29" t="str">
        <f>IF(ISNA(VLOOKUP(A193,'Award Abstract#'!D:D,1,FALSE)), "No", "Yes")</f>
        <v>Yes</v>
      </c>
      <c r="S193" s="30" t="str">
        <f>VLOOKUP(A193, 'Session Data'!A:AA,27,false)</f>
        <v>Woman</v>
      </c>
      <c r="T193" s="30"/>
      <c r="U193" s="30"/>
      <c r="V193" s="31" t="str">
        <f>VLOOKUP(A193, 'Session Data'!A:AA,8,false)</f>
        <v>Jennifer</v>
      </c>
      <c r="W193" s="32" t="str">
        <f>VLOOKUP(A193, 'Session Data'!A:AA,9,false)</f>
        <v>Barajas</v>
      </c>
      <c r="X193" s="33" t="str">
        <f>VLOOKUP(A193, 'Session Data'!A:AA,12,false)</f>
        <v>Harmony of Resilience: Hip-Hop, Platicas, and the Collective Narratives of Graduate Latina Friends</v>
      </c>
      <c r="Y193" s="34" t="str">
        <f>VLOOKUP(A193, 'Session Data'!A:AA,22,false)</f>
        <v>Irene </v>
      </c>
      <c r="Z193" s="34" t="str">
        <f>VLOOKUP(A193, 'Session Data'!A:AA,23,false)</f>
        <v>Lara</v>
      </c>
      <c r="AA193" s="34" t="str">
        <f>VLOOKUP(A193, 'Session Data'!A:AA,25,false)</f>
        <v>Arts and Letters</v>
      </c>
      <c r="AB193" s="34" t="str">
        <f>VLOOKUP(A193, 'Session Data'!A:AA,24,false)</f>
        <v>ilara@sdsu.edu</v>
      </c>
      <c r="AC193" s="34" t="str">
        <f>VLOOKUP(A193, 'Session Data'!A:AA,16,false)</f>
        <v/>
      </c>
      <c r="AD193" s="35" t="str">
        <f>VLOOKUP(A193, 'Session Data'!A:U,17,false)</f>
        <v/>
      </c>
      <c r="AE193" s="35" t="str">
        <f>VLOOKUP(A193, 'Session Data'!A:U,18,false)</f>
        <v/>
      </c>
      <c r="AF193" s="35" t="str">
        <f>VLOOKUP(A193, 'Session Data'!A:U,19,false)</f>
        <v/>
      </c>
      <c r="AG193" s="35" t="str">
        <f>VLOOKUP(A193, 'Session Data'!A:U,20,false)</f>
        <v/>
      </c>
      <c r="AH193" s="35" t="str">
        <f>VLOOKUP(A193, 'Session Data'!A:U,21,false)</f>
        <v/>
      </c>
      <c r="AI193" s="37"/>
      <c r="AJ193" s="37"/>
      <c r="AK193" s="37"/>
      <c r="AL193" s="50"/>
      <c r="AM193" s="34" t="str">
        <f>VLOOKUP(A193, 'Session Data'!A:AA,10,false)</f>
        <v>jbarajas3180@sdsu.edu</v>
      </c>
      <c r="AN193" s="40"/>
      <c r="AO193" s="38"/>
      <c r="AP193" s="38"/>
      <c r="AQ193" s="38"/>
      <c r="AR193" s="38"/>
      <c r="AS193" s="38"/>
      <c r="AT193" s="38"/>
      <c r="AU193" s="38"/>
      <c r="AV193" s="38"/>
      <c r="AW193" s="38"/>
      <c r="AX193" s="38"/>
      <c r="AY193" s="43"/>
      <c r="AZ193" s="43"/>
      <c r="BA193" s="48"/>
      <c r="BB193" s="48"/>
      <c r="BC193" s="43"/>
      <c r="BD193" s="43"/>
      <c r="BE193" s="44"/>
      <c r="BF193" s="45"/>
      <c r="BG193" s="43"/>
    </row>
    <row r="194">
      <c r="A194" s="19" t="s">
        <v>259</v>
      </c>
      <c r="B194" s="20">
        <f>VLOOKUP(F194,'Session Count DO NOT EDIT'!$A:$C,3,FALSE)</f>
        <v>5</v>
      </c>
      <c r="C194" s="20">
        <f>COUNTIFS('Scores Import DO NOT EDIT'!D:D,A194)</f>
        <v>4</v>
      </c>
      <c r="D194" s="21">
        <f t="shared" si="1"/>
        <v>0.8</v>
      </c>
      <c r="E194" s="22">
        <f>AVERAGEIFS('Scores Import DO NOT EDIT'!L:L,'Scores Import DO NOT EDIT'!D:D,A194)</f>
        <v>20</v>
      </c>
      <c r="F194" s="23" t="str">
        <f>VLOOKUP(A194, 'Session Data'!A:M,3,false)</f>
        <v>D-6</v>
      </c>
      <c r="G194" s="24" t="str">
        <f>VLOOKUP(A194, 'Session Data'!A:I,2,false)</f>
        <v>3:00 PM</v>
      </c>
      <c r="H194" s="23" t="str">
        <f>VLOOKUP(A194, 'Session Data'!A:J,5,false)</f>
        <v>Humanities, History, Literature, Philosophy</v>
      </c>
      <c r="I194" s="25" t="str">
        <f>VLOOKUP(A194, 'Session Data'!A:H,4,false)</f>
        <v>Oral </v>
      </c>
      <c r="J194" s="26" t="str">
        <f>VLOOKUP(A194, 'Session Data'!A:AA,14,false)</f>
        <v>Master's</v>
      </c>
      <c r="K194" s="27" t="str">
        <f>VLOOKUP(A194, 'Session Data'!A:AA,15,false)</f>
        <v>Professional Studies and Fine Arts</v>
      </c>
      <c r="L194" s="28"/>
      <c r="M194" s="29" t="str">
        <f>VLOOKUP(A194, 'Session Data'!A:K,11,false)</f>
        <v>Master of Arts in Theatre</v>
      </c>
      <c r="N194" s="26" t="str">
        <f>IF(ISNA(VLOOKUP(A194, 'Award Abstract#'!C:C, 1, FALSE)), "No", "Yes")
</f>
        <v>Yes</v>
      </c>
      <c r="O194" s="29" t="str">
        <f>IF(ISNA(VLOOKUP(A194,'Award Abstract#'!B:B,1,FALSE)), "No", "Yes")</f>
        <v>No</v>
      </c>
      <c r="P194" s="29" t="str">
        <f>IF(ISNA(VLOOKUP(A194,'Award Abstract#'!E:E,1,FALSE)), "No", "Yes")</f>
        <v>No</v>
      </c>
      <c r="Q194" s="29" t="str">
        <f>IF(ISNA(VLOOKUP(A194,'Award Abstract#'!A:A,1,FALSE)), "No", "Yes")</f>
        <v>No</v>
      </c>
      <c r="R194" s="29" t="str">
        <f>IF(ISNA(VLOOKUP(A194,'Award Abstract#'!D:D,1,FALSE)), "No", "Yes")</f>
        <v>Yes</v>
      </c>
      <c r="S194" s="30" t="str">
        <f>VLOOKUP(A194, 'Session Data'!A:AA,27,false)</f>
        <v>Prefer not to respond</v>
      </c>
      <c r="T194" s="30"/>
      <c r="U194" s="30"/>
      <c r="V194" s="31" t="str">
        <f>VLOOKUP(A194, 'Session Data'!A:AA,8,false)</f>
        <v>Karen</v>
      </c>
      <c r="W194" s="32" t="str">
        <f>VLOOKUP(A194, 'Session Data'!A:AA,9,false)</f>
        <v>Diaz de Regules</v>
      </c>
      <c r="X194" s="33" t="str">
        <f>VLOOKUP(A194, 'Session Data'!A:AA,12,false)</f>
        <v>"Now, by my injuries, old man!” A Dramatic Presentation, In 5 acts. As altered for the SDSU Student Symposium. </v>
      </c>
      <c r="Y194" s="34" t="str">
        <f>VLOOKUP(A194, 'Session Data'!A:AA,22,false)</f>
        <v>Shelley</v>
      </c>
      <c r="Z194" s="34" t="str">
        <f>VLOOKUP(A194, 'Session Data'!A:AA,23,false)</f>
        <v>Orr</v>
      </c>
      <c r="AA194" s="34" t="str">
        <f>VLOOKUP(A194, 'Session Data'!A:AA,25,false)</f>
        <v>Other</v>
      </c>
      <c r="AB194" s="34" t="str">
        <f>VLOOKUP(A194, 'Session Data'!A:AA,24,false)</f>
        <v>morr@sdsu.edu</v>
      </c>
      <c r="AC194" s="34" t="str">
        <f>VLOOKUP(A194, 'Session Data'!A:AA,16,false)</f>
        <v/>
      </c>
      <c r="AD194" s="35" t="str">
        <f>VLOOKUP(A194, 'Session Data'!A:U,17,false)</f>
        <v/>
      </c>
      <c r="AE194" s="35" t="str">
        <f>VLOOKUP(A194, 'Session Data'!A:U,18,false)</f>
        <v/>
      </c>
      <c r="AF194" s="35" t="str">
        <f>VLOOKUP(A194, 'Session Data'!A:U,19,false)</f>
        <v/>
      </c>
      <c r="AG194" s="35" t="str">
        <f>VLOOKUP(A194, 'Session Data'!A:U,20,false)</f>
        <v/>
      </c>
      <c r="AH194" s="35" t="str">
        <f>VLOOKUP(A194, 'Session Data'!A:U,21,false)</f>
        <v/>
      </c>
      <c r="AI194" s="37"/>
      <c r="AJ194" s="37"/>
      <c r="AK194" s="37"/>
      <c r="AL194" s="50"/>
      <c r="AM194" s="34" t="str">
        <f>VLOOKUP(A194, 'Session Data'!A:AA,10,false)</f>
        <v>kdiazderegules6436@sdsu.edu</v>
      </c>
      <c r="AN194" s="40"/>
      <c r="AO194" s="38"/>
      <c r="AP194" s="38"/>
      <c r="AQ194" s="38"/>
      <c r="AR194" s="38"/>
      <c r="AS194" s="38"/>
      <c r="AT194" s="38"/>
      <c r="AU194" s="38"/>
      <c r="AV194" s="38"/>
      <c r="AW194" s="38"/>
      <c r="AX194" s="38"/>
      <c r="AY194" s="43"/>
      <c r="AZ194" s="43"/>
      <c r="BA194" s="43"/>
      <c r="BB194" s="43"/>
      <c r="BC194" s="43"/>
      <c r="BD194" s="43"/>
      <c r="BE194" s="44"/>
      <c r="BF194" s="45"/>
      <c r="BG194" s="43"/>
    </row>
    <row r="195">
      <c r="A195" s="78" t="s">
        <v>260</v>
      </c>
      <c r="B195" s="20">
        <f>VLOOKUP(F195,'Session Count DO NOT EDIT'!$A:$C,3,FALSE)</f>
        <v>5</v>
      </c>
      <c r="C195" s="20">
        <f>COUNTIFS('Scores Import DO NOT EDIT'!D:D,A195)</f>
        <v>1</v>
      </c>
      <c r="D195" s="21">
        <f t="shared" si="1"/>
        <v>0.2</v>
      </c>
      <c r="E195" s="22">
        <f>AVERAGEIFS('Scores Import DO NOT EDIT'!L:L,'Scores Import DO NOT EDIT'!D:D,A195)</f>
        <v>19</v>
      </c>
      <c r="F195" s="23" t="str">
        <f>VLOOKUP(A195, 'Session Data'!A:M,3,false)</f>
        <v>D-6</v>
      </c>
      <c r="G195" s="24" t="str">
        <f>VLOOKUP(A195, 'Session Data'!A:I,2,false)</f>
        <v>3:00 PM</v>
      </c>
      <c r="H195" s="23" t="str">
        <f>VLOOKUP(A195, 'Session Data'!A:J,5,false)</f>
        <v>Humanities, History, Literature, Philosophy</v>
      </c>
      <c r="I195" s="25" t="str">
        <f>VLOOKUP(A195, 'Session Data'!A:H,4,false)</f>
        <v>Oral </v>
      </c>
      <c r="J195" s="26" t="str">
        <f>VLOOKUP(A195, 'Session Data'!A:AA,14,false)</f>
        <v>Master's</v>
      </c>
      <c r="K195" s="27" t="str">
        <f>VLOOKUP(A195, 'Session Data'!A:AA,15,false)</f>
        <v>Arts and Letters</v>
      </c>
      <c r="L195" s="47"/>
      <c r="M195" s="29" t="str">
        <f>VLOOKUP(A195, 'Session Data'!A:K,11,false)</f>
        <v>Master of Arts in Spanish</v>
      </c>
      <c r="N195" s="26" t="str">
        <f>IF(ISNA(VLOOKUP(A195, 'Award Abstract#'!C:C, 1, FALSE)), "No", "Yes")
</f>
        <v>No</v>
      </c>
      <c r="O195" s="29" t="str">
        <f>IF(ISNA(VLOOKUP(A195,'Award Abstract#'!B:B,1,FALSE)), "No", "Yes")</f>
        <v>No</v>
      </c>
      <c r="P195" s="29" t="str">
        <f>IF(ISNA(VLOOKUP(A195,'Award Abstract#'!E:E,1,FALSE)), "No", "Yes")</f>
        <v>No</v>
      </c>
      <c r="Q195" s="29" t="str">
        <f>IF(ISNA(VLOOKUP(A195,'Award Abstract#'!A:A,1,FALSE)), "No", "Yes")</f>
        <v>Yes</v>
      </c>
      <c r="R195" s="29" t="str">
        <f>IF(ISNA(VLOOKUP(A195,'Award Abstract#'!D:D,1,FALSE)), "No", "Yes")</f>
        <v>Yes</v>
      </c>
      <c r="S195" s="30" t="str">
        <f>VLOOKUP(A195, 'Session Data'!A:AA,27,false)</f>
        <v>Woman, Man</v>
      </c>
      <c r="T195" s="30"/>
      <c r="U195" s="30"/>
      <c r="V195" s="31" t="str">
        <f>VLOOKUP(A195, 'Session Data'!A:AA,8,false)</f>
        <v>Vanessa</v>
      </c>
      <c r="W195" s="32" t="str">
        <f>VLOOKUP(A195, 'Session Data'!A:AA,9,false)</f>
        <v>Castro</v>
      </c>
      <c r="X195" s="33" t="str">
        <f>VLOOKUP(A195, 'Session Data'!A:AA,12,false)</f>
        <v>Lexical Borrowings from english to spanish in  Baja California (México) and Madrid (España)</v>
      </c>
      <c r="Y195" s="34" t="str">
        <f>VLOOKUP(A195, 'Session Data'!A:AA,22,false)</f>
        <v>Lauren</v>
      </c>
      <c r="Z195" s="34" t="str">
        <f>VLOOKUP(A195, 'Session Data'!A:AA,23,false)</f>
        <v>Schmidt</v>
      </c>
      <c r="AA195" s="34" t="str">
        <f>VLOOKUP(A195, 'Session Data'!A:AA,25,false)</f>
        <v>Arts and Letters</v>
      </c>
      <c r="AB195" s="34" t="str">
        <f>VLOOKUP(A195, 'Session Data'!A:AA,24,false)</f>
        <v>lschmidt@sdsu.edu</v>
      </c>
      <c r="AC195" s="34" t="str">
        <f>VLOOKUP(A195, 'Session Data'!A:AA,16,false)</f>
        <v>Eva </v>
      </c>
      <c r="AD195" s="35" t="str">
        <f>VLOOKUP(A195, 'Session Data'!A:U,17,false)</f>
        <v>Corregidor </v>
      </c>
      <c r="AE195" s="35" t="str">
        <f>VLOOKUP(A195, 'Session Data'!A:U,18,false)</f>
        <v/>
      </c>
      <c r="AF195" s="35" t="str">
        <f>VLOOKUP(A195, 'Session Data'!A:U,19,false)</f>
        <v/>
      </c>
      <c r="AG195" s="35" t="str">
        <f>VLOOKUP(A195, 'Session Data'!A:U,20,false)</f>
        <v/>
      </c>
      <c r="AH195" s="35" t="str">
        <f>VLOOKUP(A195, 'Session Data'!A:U,21,false)</f>
        <v/>
      </c>
      <c r="AI195" s="37"/>
      <c r="AJ195" s="37"/>
      <c r="AK195" s="37"/>
      <c r="AL195" s="50"/>
      <c r="AM195" s="34" t="str">
        <f>VLOOKUP(A195, 'Session Data'!A:AA,10,false)</f>
        <v>vcastro6832@sdsu.edu</v>
      </c>
      <c r="AN195" s="40"/>
      <c r="AO195" s="38"/>
      <c r="AP195" s="38"/>
      <c r="AQ195" s="38"/>
      <c r="AR195" s="38"/>
      <c r="AS195" s="38"/>
      <c r="AT195" s="38"/>
      <c r="AU195" s="38"/>
      <c r="AV195" s="38"/>
      <c r="AW195" s="38"/>
      <c r="AX195" s="38"/>
      <c r="AY195" s="43"/>
      <c r="AZ195" s="43"/>
      <c r="BA195" s="43"/>
      <c r="BB195" s="43"/>
      <c r="BC195" s="43"/>
      <c r="BD195" s="43"/>
      <c r="BE195" s="44"/>
      <c r="BF195" s="45"/>
      <c r="BG195" s="43"/>
    </row>
    <row r="196">
      <c r="A196" s="19" t="s">
        <v>261</v>
      </c>
      <c r="B196" s="20">
        <f>VLOOKUP(F196,'Session Count DO NOT EDIT'!$A:$C,3,FALSE)</f>
        <v>5</v>
      </c>
      <c r="C196" s="20">
        <f>COUNTIFS('Scores Import DO NOT EDIT'!D:D,A196)</f>
        <v>0</v>
      </c>
      <c r="D196" s="21">
        <f t="shared" si="1"/>
        <v>0</v>
      </c>
      <c r="E196" s="22" t="str">
        <f>AVERAGEIFS('Scores Import DO NOT EDIT'!L:L,'Scores Import DO NOT EDIT'!D:D,A196)</f>
        <v>#DIV/0!</v>
      </c>
      <c r="F196" s="23" t="str">
        <f>VLOOKUP(A196, 'Session Data'!A:M,3,false)</f>
        <v>D-7</v>
      </c>
      <c r="G196" s="24" t="str">
        <f>VLOOKUP(A196, 'Session Data'!A:I,2,false)</f>
        <v>3:00 PM</v>
      </c>
      <c r="H196" s="23" t="str">
        <f>VLOOKUP(A196, 'Session Data'!A:J,5,false)</f>
        <v>Humanities, History, Literature, Philosophy</v>
      </c>
      <c r="I196" s="25" t="str">
        <f>VLOOKUP(A196, 'Session Data'!A:H,4,false)</f>
        <v>Oral </v>
      </c>
      <c r="J196" s="26" t="str">
        <f>VLOOKUP(A196, 'Session Data'!A:AA,14,false)</f>
        <v>Master's</v>
      </c>
      <c r="K196" s="27" t="str">
        <f>VLOOKUP(A196, 'Session Data'!A:AA,15,false)</f>
        <v>Arts and Letters</v>
      </c>
      <c r="L196" s="28"/>
      <c r="M196" s="29" t="str">
        <f>VLOOKUP(A196, 'Session Data'!A:K,11,false)</f>
        <v>Masters of Arts in Linguistics</v>
      </c>
      <c r="N196" s="26" t="str">
        <f>IF(ISNA(VLOOKUP(A196, 'Award Abstract#'!C:C, 1, FALSE)), "No", "Yes")
</f>
        <v>No</v>
      </c>
      <c r="O196" s="29" t="str">
        <f>IF(ISNA(VLOOKUP(A196,'Award Abstract#'!B:B,1,FALSE)), "No", "Yes")</f>
        <v>No</v>
      </c>
      <c r="P196" s="29" t="str">
        <f>IF(ISNA(VLOOKUP(A196,'Award Abstract#'!E:E,1,FALSE)), "No", "Yes")</f>
        <v>No</v>
      </c>
      <c r="Q196" s="29" t="str">
        <f>IF(ISNA(VLOOKUP(A196,'Award Abstract#'!A:A,1,FALSE)), "No", "Yes")</f>
        <v>No</v>
      </c>
      <c r="R196" s="29" t="str">
        <f>IF(ISNA(VLOOKUP(A196,'Award Abstract#'!D:D,1,FALSE)), "No", "Yes")</f>
        <v>No</v>
      </c>
      <c r="S196" s="30" t="str">
        <f>VLOOKUP(A196, 'Session Data'!A:AA,27,false)</f>
        <v>Woman</v>
      </c>
      <c r="T196" s="30"/>
      <c r="U196" s="30"/>
      <c r="V196" s="31" t="str">
        <f>VLOOKUP(A196, 'Session Data'!A:AA,8,false)</f>
        <v>Brianna</v>
      </c>
      <c r="W196" s="32" t="str">
        <f>VLOOKUP(A196, 'Session Data'!A:AA,9,false)</f>
        <v>O'Boyle</v>
      </c>
      <c r="X196" s="33" t="str">
        <f>VLOOKUP(A196, 'Session Data'!A:AA,12,false)</f>
        <v>Are there really Pirates in Beijing? Perceptual Dialectology of Rhoticization in Mandarin</v>
      </c>
      <c r="Y196" s="34" t="str">
        <f>VLOOKUP(A196, 'Session Data'!A:AA,22,false)</f>
        <v>Aaron</v>
      </c>
      <c r="Z196" s="34" t="str">
        <f>VLOOKUP(A196, 'Session Data'!A:AA,23,false)</f>
        <v>Dinkin</v>
      </c>
      <c r="AA196" s="34" t="str">
        <f>VLOOKUP(A196, 'Session Data'!A:AA,25,false)</f>
        <v>Arts and Letters</v>
      </c>
      <c r="AB196" s="34" t="str">
        <f>VLOOKUP(A196, 'Session Data'!A:AA,24,false)</f>
        <v>adinkin@sdsu.edu</v>
      </c>
      <c r="AC196" s="34" t="str">
        <f>VLOOKUP(A196, 'Session Data'!A:AA,16,false)</f>
        <v/>
      </c>
      <c r="AD196" s="35" t="str">
        <f>VLOOKUP(A196, 'Session Data'!A:U,17,false)</f>
        <v/>
      </c>
      <c r="AE196" s="35" t="str">
        <f>VLOOKUP(A196, 'Session Data'!A:U,18,false)</f>
        <v/>
      </c>
      <c r="AF196" s="35" t="str">
        <f>VLOOKUP(A196, 'Session Data'!A:U,19,false)</f>
        <v/>
      </c>
      <c r="AG196" s="35" t="str">
        <f>VLOOKUP(A196, 'Session Data'!A:U,20,false)</f>
        <v/>
      </c>
      <c r="AH196" s="35" t="str">
        <f>VLOOKUP(A196, 'Session Data'!A:U,21,false)</f>
        <v/>
      </c>
      <c r="AI196" s="37"/>
      <c r="AJ196" s="37"/>
      <c r="AK196" s="37"/>
      <c r="AL196" s="50"/>
      <c r="AM196" s="34" t="str">
        <f>VLOOKUP(A196, 'Session Data'!A:AA,10,false)</f>
        <v>boboyle3381@sdsu.edu</v>
      </c>
      <c r="AN196" s="40"/>
      <c r="AO196" s="38"/>
      <c r="AP196" s="38"/>
      <c r="AQ196" s="38"/>
      <c r="AR196" s="38"/>
      <c r="AS196" s="38"/>
      <c r="AT196" s="38"/>
      <c r="AU196" s="38"/>
      <c r="AV196" s="38"/>
      <c r="AW196" s="38"/>
      <c r="AX196" s="38"/>
      <c r="AY196" s="43"/>
      <c r="AZ196" s="43"/>
      <c r="BA196" s="48"/>
      <c r="BB196" s="48"/>
      <c r="BC196" s="43"/>
      <c r="BD196" s="43"/>
      <c r="BE196" s="44"/>
      <c r="BF196" s="45"/>
      <c r="BG196" s="43"/>
    </row>
    <row r="197">
      <c r="A197" s="19" t="s">
        <v>262</v>
      </c>
      <c r="B197" s="20">
        <f>VLOOKUP(F197,'Session Count DO NOT EDIT'!$A:$C,3,FALSE)</f>
        <v>5</v>
      </c>
      <c r="C197" s="20">
        <f>COUNTIFS('Scores Import DO NOT EDIT'!D:D,A197)</f>
        <v>4</v>
      </c>
      <c r="D197" s="21">
        <f t="shared" si="1"/>
        <v>0.8</v>
      </c>
      <c r="E197" s="22">
        <f>AVERAGEIFS('Scores Import DO NOT EDIT'!L:L,'Scores Import DO NOT EDIT'!D:D,A197)</f>
        <v>28</v>
      </c>
      <c r="F197" s="23" t="str">
        <f>VLOOKUP(A197, 'Session Data'!A:M,3,false)</f>
        <v>D-7</v>
      </c>
      <c r="G197" s="24" t="str">
        <f>VLOOKUP(A197, 'Session Data'!A:I,2,false)</f>
        <v>3:00 PM</v>
      </c>
      <c r="H197" s="23" t="str">
        <f>VLOOKUP(A197, 'Session Data'!A:J,5,false)</f>
        <v>Humanities, History, Literature, Philosophy</v>
      </c>
      <c r="I197" s="25" t="str">
        <f>VLOOKUP(A197, 'Session Data'!A:H,4,false)</f>
        <v>Oral </v>
      </c>
      <c r="J197" s="26" t="str">
        <f>VLOOKUP(A197, 'Session Data'!A:AA,14,false)</f>
        <v>Undergraduate</v>
      </c>
      <c r="K197" s="27" t="str">
        <f>VLOOKUP(A197, 'Session Data'!A:AA,15,false)</f>
        <v>Arts and Letters</v>
      </c>
      <c r="L197" s="28" t="s">
        <v>169</v>
      </c>
      <c r="M197" s="29" t="str">
        <f>VLOOKUP(A197, 'Session Data'!A:K,11,false)</f>
        <v>Bachelor of Arts in History</v>
      </c>
      <c r="N197" s="26" t="str">
        <f>IF(ISNA(VLOOKUP(A197, 'Award Abstract#'!C:C, 1, FALSE)), "No", "Yes")
</f>
        <v>Yes</v>
      </c>
      <c r="O197" s="29" t="str">
        <f>IF(ISNA(VLOOKUP(A197,'Award Abstract#'!B:B,1,FALSE)), "No", "Yes")</f>
        <v>No</v>
      </c>
      <c r="P197" s="29" t="str">
        <f>IF(ISNA(VLOOKUP(A197,'Award Abstract#'!E:E,1,FALSE)), "No", "Yes")</f>
        <v>No</v>
      </c>
      <c r="Q197" s="29" t="str">
        <f>IF(ISNA(VLOOKUP(A197,'Award Abstract#'!A:A,1,FALSE)), "No", "Yes")</f>
        <v>No</v>
      </c>
      <c r="R197" s="29" t="str">
        <f>IF(ISNA(VLOOKUP(A197,'Award Abstract#'!D:D,1,FALSE)), "No", "Yes")</f>
        <v>Yes</v>
      </c>
      <c r="S197" s="30" t="str">
        <f>VLOOKUP(A197, 'Session Data'!A:AA,27,false)</f>
        <v>Woman</v>
      </c>
      <c r="T197" s="30"/>
      <c r="U197" s="30"/>
      <c r="V197" s="31" t="str">
        <f>VLOOKUP(A197, 'Session Data'!A:AA,8,false)</f>
        <v>Grace</v>
      </c>
      <c r="W197" s="32" t="str">
        <f>VLOOKUP(A197, 'Session Data'!A:AA,9,false)</f>
        <v>Dearborn</v>
      </c>
      <c r="X197" s="33" t="str">
        <f>VLOOKUP(A197, 'Session Data'!A:AA,12,false)</f>
        <v>E.C. and the Nuclear Unit: What a Difference a Code Makes!</v>
      </c>
      <c r="Y197" s="34" t="str">
        <f>VLOOKUP(A197, 'Session Data'!A:AA,22,false)</f>
        <v>Elizabeth</v>
      </c>
      <c r="Z197" s="34" t="str">
        <f>VLOOKUP(A197, 'Session Data'!A:AA,23,false)</f>
        <v>Pollard</v>
      </c>
      <c r="AA197" s="34" t="str">
        <f>VLOOKUP(A197, 'Session Data'!A:AA,25,false)</f>
        <v>Arts and Letters</v>
      </c>
      <c r="AB197" s="34" t="str">
        <f>VLOOKUP(A197, 'Session Data'!A:AA,24,false)</f>
        <v>epollard@sdsu.edu</v>
      </c>
      <c r="AC197" s="34" t="str">
        <f>VLOOKUP(A197, 'Session Data'!A:AA,16,false)</f>
        <v/>
      </c>
      <c r="AD197" s="35" t="str">
        <f>VLOOKUP(A197, 'Session Data'!A:U,17,false)</f>
        <v/>
      </c>
      <c r="AE197" s="35" t="str">
        <f>VLOOKUP(A197, 'Session Data'!A:U,18,false)</f>
        <v/>
      </c>
      <c r="AF197" s="35" t="str">
        <f>VLOOKUP(A197, 'Session Data'!A:U,19,false)</f>
        <v/>
      </c>
      <c r="AG197" s="35" t="str">
        <f>VLOOKUP(A197, 'Session Data'!A:U,20,false)</f>
        <v/>
      </c>
      <c r="AH197" s="35" t="str">
        <f>VLOOKUP(A197, 'Session Data'!A:U,21,false)</f>
        <v/>
      </c>
      <c r="AI197" s="36"/>
      <c r="AJ197" s="38"/>
      <c r="AK197" s="38"/>
      <c r="AL197" s="39"/>
      <c r="AM197" s="34" t="str">
        <f>VLOOKUP(A197, 'Session Data'!A:AA,10,false)</f>
        <v>gdearborn6828@sdsu.edu</v>
      </c>
      <c r="AN197" s="40"/>
      <c r="AO197" s="38"/>
      <c r="AP197" s="38"/>
      <c r="AQ197" s="38"/>
      <c r="AR197" s="38"/>
      <c r="AS197" s="38"/>
      <c r="AT197" s="38"/>
      <c r="AU197" s="38"/>
      <c r="AV197" s="38"/>
      <c r="AW197" s="38"/>
      <c r="AX197" s="38"/>
      <c r="AY197" s="43"/>
      <c r="AZ197" s="43"/>
      <c r="BA197" s="43"/>
      <c r="BB197" s="43"/>
      <c r="BC197" s="43"/>
      <c r="BD197" s="43"/>
      <c r="BE197" s="44"/>
      <c r="BF197" s="83"/>
      <c r="BG197" s="43"/>
    </row>
    <row r="198">
      <c r="A198" s="19" t="s">
        <v>263</v>
      </c>
      <c r="B198" s="20">
        <f>VLOOKUP(F198,'Session Count DO NOT EDIT'!$A:$C,3,FALSE)</f>
        <v>5</v>
      </c>
      <c r="C198" s="20">
        <f>COUNTIFS('Scores Import DO NOT EDIT'!D:D,A198)</f>
        <v>4</v>
      </c>
      <c r="D198" s="21">
        <f t="shared" si="1"/>
        <v>0.8</v>
      </c>
      <c r="E198" s="22">
        <f>AVERAGEIFS('Scores Import DO NOT EDIT'!L:L,'Scores Import DO NOT EDIT'!D:D,A198)</f>
        <v>27</v>
      </c>
      <c r="F198" s="23" t="str">
        <f>VLOOKUP(A198, 'Session Data'!A:M,3,false)</f>
        <v>D-7</v>
      </c>
      <c r="G198" s="24" t="str">
        <f>VLOOKUP(A198, 'Session Data'!A:I,2,false)</f>
        <v>3:00 PM</v>
      </c>
      <c r="H198" s="23" t="str">
        <f>VLOOKUP(A198, 'Session Data'!A:J,5,false)</f>
        <v>Humanities, History, Literature, Philosophy</v>
      </c>
      <c r="I198" s="25" t="str">
        <f>VLOOKUP(A198, 'Session Data'!A:H,4,false)</f>
        <v>Oral </v>
      </c>
      <c r="J198" s="26" t="str">
        <f>VLOOKUP(A198, 'Session Data'!A:AA,14,false)</f>
        <v>Undergraduate</v>
      </c>
      <c r="K198" s="27" t="str">
        <f>VLOOKUP(A198, 'Session Data'!A:AA,15,false)</f>
        <v>Arts and Letters</v>
      </c>
      <c r="L198" s="28" t="s">
        <v>169</v>
      </c>
      <c r="M198" s="29" t="str">
        <f>VLOOKUP(A198, 'Session Data'!A:K,11,false)</f>
        <v>Bachelor of Arts in Global Humanities</v>
      </c>
      <c r="N198" s="26" t="str">
        <f>IF(ISNA(VLOOKUP(A198, 'Award Abstract#'!C:C, 1, FALSE)), "No", "Yes")
</f>
        <v>Yes</v>
      </c>
      <c r="O198" s="29" t="str">
        <f>IF(ISNA(VLOOKUP(A198,'Award Abstract#'!B:B,1,FALSE)), "No", "Yes")</f>
        <v>No</v>
      </c>
      <c r="P198" s="29" t="str">
        <f>IF(ISNA(VLOOKUP(A198,'Award Abstract#'!E:E,1,FALSE)), "No", "Yes")</f>
        <v>No</v>
      </c>
      <c r="Q198" s="29" t="str">
        <f>IF(ISNA(VLOOKUP(A198,'Award Abstract#'!A:A,1,FALSE)), "No", "Yes")</f>
        <v>No</v>
      </c>
      <c r="R198" s="29" t="str">
        <f>IF(ISNA(VLOOKUP(A198,'Award Abstract#'!D:D,1,FALSE)), "No", "Yes")</f>
        <v>Yes</v>
      </c>
      <c r="S198" s="30" t="str">
        <f>VLOOKUP(A198, 'Session Data'!A:AA,27,false)</f>
        <v>Woman</v>
      </c>
      <c r="T198" s="30"/>
      <c r="U198" s="30"/>
      <c r="V198" s="31" t="str">
        <f>VLOOKUP(A198, 'Session Data'!A:AA,8,false)</f>
        <v>Darya</v>
      </c>
      <c r="W198" s="32" t="str">
        <f>VLOOKUP(A198, 'Session Data'!A:AA,9,false)</f>
        <v>Ardehali</v>
      </c>
      <c r="X198" s="33" t="str">
        <f>VLOOKUP(A198, 'Session Data'!A:AA,12,false)</f>
        <v>Indigenous Art for Perspective</v>
      </c>
      <c r="Y198" s="34" t="str">
        <f>VLOOKUP(A198, 'Session Data'!A:AA,22,false)</f>
        <v>Desmond</v>
      </c>
      <c r="Z198" s="34" t="str">
        <f>VLOOKUP(A198, 'Session Data'!A:AA,23,false)</f>
        <v>Hassing</v>
      </c>
      <c r="AA198" s="34" t="str">
        <f>VLOOKUP(A198, 'Session Data'!A:AA,25,false)</f>
        <v>Arts and Letters</v>
      </c>
      <c r="AB198" s="34" t="str">
        <f>VLOOKUP(A198, 'Session Data'!A:AA,24,false)</f>
        <v>dmhassing@sdsu.edu</v>
      </c>
      <c r="AC198" s="34" t="str">
        <f>VLOOKUP(A198, 'Session Data'!A:AA,16,false)</f>
        <v/>
      </c>
      <c r="AD198" s="35" t="str">
        <f>VLOOKUP(A198, 'Session Data'!A:U,17,false)</f>
        <v/>
      </c>
      <c r="AE198" s="35" t="str">
        <f>VLOOKUP(A198, 'Session Data'!A:U,18,false)</f>
        <v/>
      </c>
      <c r="AF198" s="35" t="str">
        <f>VLOOKUP(A198, 'Session Data'!A:U,19,false)</f>
        <v/>
      </c>
      <c r="AG198" s="35" t="str">
        <f>VLOOKUP(A198, 'Session Data'!A:U,20,false)</f>
        <v/>
      </c>
      <c r="AH198" s="35" t="str">
        <f>VLOOKUP(A198, 'Session Data'!A:U,21,false)</f>
        <v/>
      </c>
      <c r="AI198" s="37"/>
      <c r="AJ198" s="37"/>
      <c r="AK198" s="37"/>
      <c r="AL198" s="50"/>
      <c r="AM198" s="34" t="str">
        <f>VLOOKUP(A198, 'Session Data'!A:AA,10,false)</f>
        <v>dardehali6446@sdsu.edu</v>
      </c>
      <c r="AN198" s="40"/>
      <c r="AO198" s="38"/>
      <c r="AP198" s="38"/>
      <c r="AQ198" s="38"/>
      <c r="AR198" s="38"/>
      <c r="AS198" s="38"/>
      <c r="AT198" s="38"/>
      <c r="AU198" s="38"/>
      <c r="AV198" s="38"/>
      <c r="AW198" s="38"/>
      <c r="AX198" s="38"/>
      <c r="AY198" s="43"/>
      <c r="AZ198" s="43"/>
      <c r="BA198" s="43"/>
      <c r="BB198" s="43"/>
      <c r="BC198" s="43"/>
      <c r="BD198" s="43"/>
      <c r="BE198" s="44"/>
      <c r="BF198" s="45"/>
      <c r="BG198" s="43"/>
    </row>
    <row r="199">
      <c r="A199" s="19" t="s">
        <v>264</v>
      </c>
      <c r="B199" s="20">
        <f>VLOOKUP(F199,'Session Count DO NOT EDIT'!$A:$C,3,FALSE)</f>
        <v>5</v>
      </c>
      <c r="C199" s="20">
        <f>COUNTIFS('Scores Import DO NOT EDIT'!D:D,A199)</f>
        <v>1</v>
      </c>
      <c r="D199" s="21">
        <f t="shared" si="1"/>
        <v>0.2</v>
      </c>
      <c r="E199" s="22">
        <f>AVERAGEIFS('Scores Import DO NOT EDIT'!L:L,'Scores Import DO NOT EDIT'!D:D,A199)</f>
        <v>7</v>
      </c>
      <c r="F199" s="23" t="str">
        <f>VLOOKUP(A199, 'Session Data'!A:M,3,false)</f>
        <v>D-7</v>
      </c>
      <c r="G199" s="24" t="str">
        <f>VLOOKUP(A199, 'Session Data'!A:I,2,false)</f>
        <v>3:00 PM</v>
      </c>
      <c r="H199" s="23" t="str">
        <f>VLOOKUP(A199, 'Session Data'!A:J,5,false)</f>
        <v>Humanities, History, Literature, Philosophy</v>
      </c>
      <c r="I199" s="25" t="str">
        <f>VLOOKUP(A199, 'Session Data'!A:H,4,false)</f>
        <v>Oral </v>
      </c>
      <c r="J199" s="26" t="str">
        <f>VLOOKUP(A199, 'Session Data'!A:AA,14,false)</f>
        <v>Undergraduate</v>
      </c>
      <c r="K199" s="27" t="str">
        <f>VLOOKUP(A199, 'Session Data'!A:AA,15,false)</f>
        <v>Arts and Letters</v>
      </c>
      <c r="L199" s="47"/>
      <c r="M199" s="29" t="str">
        <f>VLOOKUP(A199, 'Session Data'!A:K,11,false)</f>
        <v>Bachelor of Arts in History</v>
      </c>
      <c r="N199" s="26" t="str">
        <f>IF(ISNA(VLOOKUP(A199, 'Award Abstract#'!C:C, 1, FALSE)), "No", "Yes")
</f>
        <v>No</v>
      </c>
      <c r="O199" s="29" t="str">
        <f>IF(ISNA(VLOOKUP(A199,'Award Abstract#'!B:B,1,FALSE)), "No", "Yes")</f>
        <v>No</v>
      </c>
      <c r="P199" s="29" t="str">
        <f>IF(ISNA(VLOOKUP(A199,'Award Abstract#'!E:E,1,FALSE)), "No", "Yes")</f>
        <v>No</v>
      </c>
      <c r="Q199" s="29" t="str">
        <f>IF(ISNA(VLOOKUP(A199,'Award Abstract#'!A:A,1,FALSE)), "No", "Yes")</f>
        <v>No</v>
      </c>
      <c r="R199" s="29" t="str">
        <f>IF(ISNA(VLOOKUP(A199,'Award Abstract#'!D:D,1,FALSE)), "No", "Yes")</f>
        <v>Yes</v>
      </c>
      <c r="S199" s="30" t="str">
        <f>VLOOKUP(A199, 'Session Data'!A:AA,27,false)</f>
        <v>Man</v>
      </c>
      <c r="T199" s="30"/>
      <c r="U199" s="30"/>
      <c r="V199" s="31" t="str">
        <f>VLOOKUP(A199, 'Session Data'!A:AA,8,false)</f>
        <v>Eric</v>
      </c>
      <c r="W199" s="32" t="str">
        <f>VLOOKUP(A199, 'Session Data'!A:AA,9,false)</f>
        <v>Vizcarra</v>
      </c>
      <c r="X199" s="33" t="str">
        <f>VLOOKUP(A199, 'Session Data'!A:AA,12,false)</f>
        <v>The Chinese American League of Justice</v>
      </c>
      <c r="Y199" s="34" t="str">
        <f>VLOOKUP(A199, 'Session Data'!A:AA,22,false)</f>
        <v>Chiou-Ling</v>
      </c>
      <c r="Z199" s="34" t="str">
        <f>VLOOKUP(A199, 'Session Data'!A:AA,23,false)</f>
        <v>Yeh</v>
      </c>
      <c r="AA199" s="34" t="str">
        <f>VLOOKUP(A199, 'Session Data'!A:AA,25,false)</f>
        <v>Arts and Letters</v>
      </c>
      <c r="AB199" s="34" t="str">
        <f>VLOOKUP(A199, 'Session Data'!A:AA,24,false)</f>
        <v>cyeh@sdsu.edu</v>
      </c>
      <c r="AC199" s="34" t="str">
        <f>VLOOKUP(A199, 'Session Data'!A:AA,16,false)</f>
        <v/>
      </c>
      <c r="AD199" s="35" t="str">
        <f>VLOOKUP(A199, 'Session Data'!A:U,17,false)</f>
        <v/>
      </c>
      <c r="AE199" s="35" t="str">
        <f>VLOOKUP(A199, 'Session Data'!A:U,18,false)</f>
        <v/>
      </c>
      <c r="AF199" s="35" t="str">
        <f>VLOOKUP(A199, 'Session Data'!A:U,19,false)</f>
        <v/>
      </c>
      <c r="AG199" s="35" t="str">
        <f>VLOOKUP(A199, 'Session Data'!A:U,20,false)</f>
        <v/>
      </c>
      <c r="AH199" s="35" t="str">
        <f>VLOOKUP(A199, 'Session Data'!A:U,21,false)</f>
        <v/>
      </c>
      <c r="AI199" s="37"/>
      <c r="AJ199" s="37"/>
      <c r="AK199" s="37"/>
      <c r="AL199" s="50"/>
      <c r="AM199" s="34" t="str">
        <f>VLOOKUP(A199, 'Session Data'!A:AA,10,false)</f>
        <v>evizcarra5696@sdsu.edu</v>
      </c>
      <c r="AN199" s="40"/>
      <c r="AO199" s="38"/>
      <c r="AP199" s="38"/>
      <c r="AQ199" s="38"/>
      <c r="AR199" s="38"/>
      <c r="AS199" s="38"/>
      <c r="AT199" s="38"/>
      <c r="AU199" s="38"/>
      <c r="AV199" s="38"/>
      <c r="AW199" s="38"/>
      <c r="AX199" s="38"/>
      <c r="AY199" s="43"/>
      <c r="AZ199" s="43"/>
      <c r="BA199" s="43"/>
      <c r="BB199" s="43"/>
      <c r="BC199" s="43"/>
      <c r="BD199" s="43"/>
      <c r="BE199" s="44"/>
      <c r="BF199" s="45"/>
      <c r="BG199" s="43"/>
    </row>
    <row r="200">
      <c r="A200" s="19" t="s">
        <v>265</v>
      </c>
      <c r="B200" s="20">
        <f>VLOOKUP(F200,'Session Count DO NOT EDIT'!$A:$C,3,FALSE)</f>
        <v>5</v>
      </c>
      <c r="C200" s="20">
        <f>COUNTIFS('Scores Import DO NOT EDIT'!D:D,A200)</f>
        <v>0</v>
      </c>
      <c r="D200" s="21">
        <f t="shared" si="1"/>
        <v>0</v>
      </c>
      <c r="E200" s="22" t="str">
        <f>AVERAGEIFS('Scores Import DO NOT EDIT'!L:L,'Scores Import DO NOT EDIT'!D:D,A200)</f>
        <v>#DIV/0!</v>
      </c>
      <c r="F200" s="23" t="str">
        <f>VLOOKUP(A200, 'Session Data'!A:M,3,false)</f>
        <v>D-8</v>
      </c>
      <c r="G200" s="24" t="str">
        <f>VLOOKUP(A200, 'Session Data'!A:I,2,false)</f>
        <v>1:00 PM</v>
      </c>
      <c r="H200" s="23" t="str">
        <f>VLOOKUP(A200, 'Session Data'!A:J,5,false)</f>
        <v>Physical and Mathematical Sciences</v>
      </c>
      <c r="I200" s="25" t="str">
        <f>VLOOKUP(A200, 'Session Data'!A:H,4,false)</f>
        <v>Oral </v>
      </c>
      <c r="J200" s="26" t="str">
        <f>VLOOKUP(A200, 'Session Data'!A:AA,14,false)</f>
        <v>Master's</v>
      </c>
      <c r="K200" s="27" t="str">
        <f>VLOOKUP(A200, 'Session Data'!A:AA,15,false)</f>
        <v>Sciences</v>
      </c>
      <c r="L200" s="28"/>
      <c r="M200" s="29" t="str">
        <f>VLOOKUP(A200, 'Session Data'!A:K,11,false)</f>
        <v>Masters of Science in Chemistry</v>
      </c>
      <c r="N200" s="26" t="str">
        <f>IF(ISNA(VLOOKUP(A200, 'Award Abstract#'!C:C, 1, FALSE)), "No", "Yes")
</f>
        <v>No</v>
      </c>
      <c r="O200" s="29" t="str">
        <f>IF(ISNA(VLOOKUP(A200,'Award Abstract#'!B:B,1,FALSE)), "No", "Yes")</f>
        <v>No</v>
      </c>
      <c r="P200" s="29" t="str">
        <f>IF(ISNA(VLOOKUP(A200,'Award Abstract#'!E:E,1,FALSE)), "No", "Yes")</f>
        <v>No</v>
      </c>
      <c r="Q200" s="29" t="str">
        <f>IF(ISNA(VLOOKUP(A200,'Award Abstract#'!A:A,1,FALSE)), "No", "Yes")</f>
        <v>No</v>
      </c>
      <c r="R200" s="29" t="str">
        <f>IF(ISNA(VLOOKUP(A200,'Award Abstract#'!D:D,1,FALSE)), "No", "Yes")</f>
        <v>No</v>
      </c>
      <c r="S200" s="30" t="str">
        <f>VLOOKUP(A200, 'Session Data'!A:AA,27,false)</f>
        <v>Man, Non-binary/non-conforming</v>
      </c>
      <c r="T200" s="30"/>
      <c r="U200" s="30"/>
      <c r="V200" s="31" t="str">
        <f>VLOOKUP(A200, 'Session Data'!A:AA,8,false)</f>
        <v>Joseph</v>
      </c>
      <c r="W200" s="32" t="str">
        <f>VLOOKUP(A200, 'Session Data'!A:AA,9,false)</f>
        <v>Charlonis</v>
      </c>
      <c r="X200" s="33" t="str">
        <f>VLOOKUP(A200, 'Session Data'!A:AA,12,false)</f>
        <v>The Role Iron in the Photoinitiated Growth of Silver Nanoparticles</v>
      </c>
      <c r="Y200" s="34" t="str">
        <f>VLOOKUP(A200, 'Session Data'!A:AA,22,false)</f>
        <v>David</v>
      </c>
      <c r="Z200" s="34" t="str">
        <f>VLOOKUP(A200, 'Session Data'!A:AA,23,false)</f>
        <v>Pullman</v>
      </c>
      <c r="AA200" s="34" t="str">
        <f>VLOOKUP(A200, 'Session Data'!A:AA,25,false)</f>
        <v>Sciences</v>
      </c>
      <c r="AB200" s="34"/>
      <c r="AC200" s="34" t="str">
        <f>VLOOKUP(A200, 'Session Data'!A:AA,16,false)</f>
        <v>N/A</v>
      </c>
      <c r="AD200" s="35" t="str">
        <f>VLOOKUP(A200, 'Session Data'!A:U,17,false)</f>
        <v>N/A</v>
      </c>
      <c r="AE200" s="35" t="str">
        <f>VLOOKUP(A200, 'Session Data'!A:U,18,false)</f>
        <v>N/A</v>
      </c>
      <c r="AF200" s="35" t="str">
        <f>VLOOKUP(A200, 'Session Data'!A:U,19,false)</f>
        <v/>
      </c>
      <c r="AG200" s="35" t="str">
        <f>VLOOKUP(A200, 'Session Data'!A:U,20,false)</f>
        <v/>
      </c>
      <c r="AH200" s="35" t="str">
        <f>VLOOKUP(A200, 'Session Data'!A:U,21,false)</f>
        <v/>
      </c>
      <c r="AI200" s="37"/>
      <c r="AJ200" s="37"/>
      <c r="AK200" s="37"/>
      <c r="AL200" s="50"/>
      <c r="AM200" s="34" t="str">
        <f>VLOOKUP(A200, 'Session Data'!A:AA,10,false)</f>
        <v>jcharlonis3584@sdsu.edu</v>
      </c>
      <c r="AN200" s="40"/>
      <c r="AO200" s="38"/>
      <c r="AP200" s="38"/>
      <c r="AQ200" s="38"/>
      <c r="AR200" s="38"/>
      <c r="AS200" s="38"/>
      <c r="AT200" s="38"/>
      <c r="AU200" s="38"/>
      <c r="AV200" s="38"/>
      <c r="AW200" s="38"/>
      <c r="AX200" s="38"/>
      <c r="AY200" s="43"/>
      <c r="AZ200" s="43"/>
      <c r="BA200" s="43"/>
      <c r="BB200" s="43"/>
      <c r="BC200" s="43"/>
      <c r="BD200" s="43"/>
      <c r="BE200" s="44"/>
      <c r="BF200" s="45"/>
      <c r="BG200" s="43"/>
    </row>
    <row r="201">
      <c r="A201" s="19" t="s">
        <v>266</v>
      </c>
      <c r="B201" s="20">
        <f>VLOOKUP(F201,'Session Count DO NOT EDIT'!$A:$C,3,FALSE)</f>
        <v>5</v>
      </c>
      <c r="C201" s="20">
        <f>COUNTIFS('Scores Import DO NOT EDIT'!D:D,A201)</f>
        <v>3</v>
      </c>
      <c r="D201" s="21">
        <f t="shared" si="1"/>
        <v>0.6</v>
      </c>
      <c r="E201" s="22">
        <f>AVERAGEIFS('Scores Import DO NOT EDIT'!L:L,'Scores Import DO NOT EDIT'!D:D,A201)</f>
        <v>25.66666667</v>
      </c>
      <c r="F201" s="23" t="str">
        <f>VLOOKUP(A201, 'Session Data'!A:M,3,false)</f>
        <v>D-8</v>
      </c>
      <c r="G201" s="24" t="str">
        <f>VLOOKUP(A201, 'Session Data'!A:I,2,false)</f>
        <v>3:00 PM</v>
      </c>
      <c r="H201" s="23" t="str">
        <f>VLOOKUP(A201, 'Session Data'!A:J,5,false)</f>
        <v>Physical and Mathematical Sciences </v>
      </c>
      <c r="I201" s="25" t="str">
        <f>VLOOKUP(A201, 'Session Data'!A:H,4,false)</f>
        <v>Oral </v>
      </c>
      <c r="J201" s="26" t="str">
        <f>VLOOKUP(A201, 'Session Data'!A:AA,14,false)</f>
        <v>Undergraduate</v>
      </c>
      <c r="K201" s="27" t="str">
        <f>VLOOKUP(A201, 'Session Data'!A:AA,15,false)</f>
        <v>Sciences</v>
      </c>
      <c r="L201" s="28"/>
      <c r="M201" s="29" t="str">
        <f>VLOOKUP(A201, 'Session Data'!A:K,11,false)</f>
        <v>Bachelors of Science in Physics</v>
      </c>
      <c r="N201" s="26" t="str">
        <f>IF(ISNA(VLOOKUP(A201, 'Award Abstract#'!C:C, 1, FALSE)), "No", "Yes")
</f>
        <v>No</v>
      </c>
      <c r="O201" s="29" t="str">
        <f>IF(ISNA(VLOOKUP(A201,'Award Abstract#'!B:B,1,FALSE)), "No", "Yes")</f>
        <v>No</v>
      </c>
      <c r="P201" s="29" t="str">
        <f>IF(ISNA(VLOOKUP(A201,'Award Abstract#'!E:E,1,FALSE)), "No", "Yes")</f>
        <v>No</v>
      </c>
      <c r="Q201" s="29" t="str">
        <f>IF(ISNA(VLOOKUP(A201,'Award Abstract#'!A:A,1,FALSE)), "No", "Yes")</f>
        <v>No</v>
      </c>
      <c r="R201" s="29" t="str">
        <f>IF(ISNA(VLOOKUP(A201,'Award Abstract#'!D:D,1,FALSE)), "No", "Yes")</f>
        <v>No</v>
      </c>
      <c r="S201" s="30" t="str">
        <f>VLOOKUP(A201, 'Session Data'!A:AA,27,false)</f>
        <v>Woman</v>
      </c>
      <c r="T201" s="30"/>
      <c r="U201" s="30"/>
      <c r="V201" s="31" t="str">
        <f>VLOOKUP(A201, 'Session Data'!A:AA,8,false)</f>
        <v>Mary </v>
      </c>
      <c r="W201" s="32" t="str">
        <f>VLOOKUP(A201, 'Session Data'!A:AA,9,false)</f>
        <v>Becker</v>
      </c>
      <c r="X201" s="33" t="str">
        <f>VLOOKUP(A201, 'Session Data'!A:AA,12,false)</f>
        <v>Material Characterization of Novel PEDOT Thin Films Produced via oxidative Chemical Vapor Deposition using Volatile Liquid Oxidants</v>
      </c>
      <c r="Y201" s="34" t="str">
        <f>VLOOKUP(A201, 'Session Data'!A:AA,22,false)</f>
        <v>Meysam </v>
      </c>
      <c r="Z201" s="34" t="str">
        <f>VLOOKUP(A201, 'Session Data'!A:AA,23,false)</f>
        <v>Heydari Gharahcheshmeh</v>
      </c>
      <c r="AA201" s="34" t="str">
        <f>VLOOKUP(A201, 'Session Data'!A:AA,25,false)</f>
        <v>Engineering</v>
      </c>
      <c r="AB201" s="34"/>
      <c r="AC201" s="34" t="str">
        <f>VLOOKUP(A201, 'Session Data'!A:AA,16,false)</f>
        <v/>
      </c>
      <c r="AD201" s="35" t="str">
        <f>VLOOKUP(A201, 'Session Data'!A:U,17,false)</f>
        <v/>
      </c>
      <c r="AE201" s="35" t="str">
        <f>VLOOKUP(A201, 'Session Data'!A:U,18,false)</f>
        <v/>
      </c>
      <c r="AF201" s="35" t="str">
        <f>VLOOKUP(A201, 'Session Data'!A:U,19,false)</f>
        <v/>
      </c>
      <c r="AG201" s="35" t="str">
        <f>VLOOKUP(A201, 'Session Data'!A:U,20,false)</f>
        <v/>
      </c>
      <c r="AH201" s="35" t="str">
        <f>VLOOKUP(A201, 'Session Data'!A:U,21,false)</f>
        <v/>
      </c>
      <c r="AI201" s="36"/>
      <c r="AJ201" s="38"/>
      <c r="AK201" s="38"/>
      <c r="AL201" s="39"/>
      <c r="AM201" s="34" t="str">
        <f>VLOOKUP(A201, 'Session Data'!A:AA,10,false)</f>
        <v>mbecker9777@sdsu.edu</v>
      </c>
      <c r="AN201" s="40"/>
      <c r="AO201" s="38"/>
      <c r="AP201" s="38"/>
      <c r="AQ201" s="38"/>
      <c r="AR201" s="38"/>
      <c r="AS201" s="38"/>
      <c r="AT201" s="38"/>
      <c r="AU201" s="38"/>
      <c r="AV201" s="38"/>
      <c r="AW201" s="38"/>
      <c r="AX201" s="38"/>
      <c r="AY201" s="43"/>
      <c r="AZ201" s="43"/>
      <c r="BA201" s="48"/>
      <c r="BB201" s="48"/>
      <c r="BC201" s="43"/>
      <c r="BD201" s="43"/>
      <c r="BE201" s="44"/>
      <c r="BF201" s="45"/>
      <c r="BG201" s="46"/>
    </row>
    <row r="202">
      <c r="A202" s="19" t="s">
        <v>267</v>
      </c>
      <c r="B202" s="20">
        <f>VLOOKUP(F202,'Session Count DO NOT EDIT'!$A:$C,3,FALSE)</f>
        <v>5</v>
      </c>
      <c r="C202" s="20">
        <f>COUNTIFS('Scores Import DO NOT EDIT'!D:D,A202)</f>
        <v>3</v>
      </c>
      <c r="D202" s="21">
        <f t="shared" si="1"/>
        <v>0.6</v>
      </c>
      <c r="E202" s="22">
        <f>AVERAGEIFS('Scores Import DO NOT EDIT'!L:L,'Scores Import DO NOT EDIT'!D:D,A202)</f>
        <v>25.66666667</v>
      </c>
      <c r="F202" s="23" t="str">
        <f>VLOOKUP(A202, 'Session Data'!A:M,3,false)</f>
        <v>D-8</v>
      </c>
      <c r="G202" s="24" t="str">
        <f>VLOOKUP(A202, 'Session Data'!A:I,2,false)</f>
        <v>3:00 PM</v>
      </c>
      <c r="H202" s="23" t="str">
        <f>VLOOKUP(A202, 'Session Data'!A:J,5,false)</f>
        <v>Physical and Mathematical Sciences </v>
      </c>
      <c r="I202" s="25" t="str">
        <f>VLOOKUP(A202, 'Session Data'!A:H,4,false)</f>
        <v>Oral </v>
      </c>
      <c r="J202" s="26" t="str">
        <f>VLOOKUP(A202, 'Session Data'!A:AA,14,false)</f>
        <v>Undergraduate</v>
      </c>
      <c r="K202" s="27" t="str">
        <f>VLOOKUP(A202, 'Session Data'!A:AA,15,false)</f>
        <v>Sciences</v>
      </c>
      <c r="L202" s="28"/>
      <c r="M202" s="29" t="str">
        <f>VLOOKUP(A202, 'Session Data'!A:K,11,false)</f>
        <v>Computer Science/Mathematics</v>
      </c>
      <c r="N202" s="26" t="str">
        <f>IF(ISNA(VLOOKUP(A202, 'Award Abstract#'!C:C, 1, FALSE)), "No", "Yes")
</f>
        <v>No</v>
      </c>
      <c r="O202" s="29" t="str">
        <f>IF(ISNA(VLOOKUP(A202,'Award Abstract#'!B:B,1,FALSE)), "No", "Yes")</f>
        <v>No</v>
      </c>
      <c r="P202" s="29" t="str">
        <f>IF(ISNA(VLOOKUP(A202,'Award Abstract#'!E:E,1,FALSE)), "No", "Yes")</f>
        <v>No</v>
      </c>
      <c r="Q202" s="29" t="str">
        <f>IF(ISNA(VLOOKUP(A202,'Award Abstract#'!A:A,1,FALSE)), "No", "Yes")</f>
        <v>No</v>
      </c>
      <c r="R202" s="29" t="str">
        <f>IF(ISNA(VLOOKUP(A202,'Award Abstract#'!D:D,1,FALSE)), "No", "Yes")</f>
        <v>No</v>
      </c>
      <c r="S202" s="30" t="str">
        <f>VLOOKUP(A202, 'Session Data'!A:AA,27,false)</f>
        <v>Man</v>
      </c>
      <c r="T202" s="30"/>
      <c r="U202" s="30"/>
      <c r="V202" s="31" t="str">
        <f>VLOOKUP(A202, 'Session Data'!A:AA,8,false)</f>
        <v>David</v>
      </c>
      <c r="W202" s="32" t="str">
        <f>VLOOKUP(A202, 'Session Data'!A:AA,9,false)</f>
        <v>Kaauwai</v>
      </c>
      <c r="X202" s="33" t="str">
        <f>VLOOKUP(A202, 'Session Data'!A:AA,12,false)</f>
        <v>SCS1++: A Tool for Assessing Learning Outcomes of Computer Science Students</v>
      </c>
      <c r="Y202" s="34" t="str">
        <f>VLOOKUP(A202, 'Session Data'!A:AA,22,false)</f>
        <v>Miranda</v>
      </c>
      <c r="Z202" s="34" t="str">
        <f>VLOOKUP(A202, 'Session Data'!A:AA,23,false)</f>
        <v>Parker</v>
      </c>
      <c r="AA202" s="34" t="str">
        <f>VLOOKUP(A202, 'Session Data'!A:AA,25,false)</f>
        <v>Sciences</v>
      </c>
      <c r="AB202" s="34"/>
      <c r="AC202" s="34" t="str">
        <f>VLOOKUP(A202, 'Session Data'!A:AA,16,false)</f>
        <v/>
      </c>
      <c r="AD202" s="35" t="str">
        <f>VLOOKUP(A202, 'Session Data'!A:U,17,false)</f>
        <v/>
      </c>
      <c r="AE202" s="35" t="str">
        <f>VLOOKUP(A202, 'Session Data'!A:U,18,false)</f>
        <v/>
      </c>
      <c r="AF202" s="35" t="str">
        <f>VLOOKUP(A202, 'Session Data'!A:U,19,false)</f>
        <v/>
      </c>
      <c r="AG202" s="35" t="str">
        <f>VLOOKUP(A202, 'Session Data'!A:U,20,false)</f>
        <v/>
      </c>
      <c r="AH202" s="35" t="str">
        <f>VLOOKUP(A202, 'Session Data'!A:U,21,false)</f>
        <v/>
      </c>
      <c r="AI202" s="37"/>
      <c r="AJ202" s="37"/>
      <c r="AK202" s="37"/>
      <c r="AL202" s="50"/>
      <c r="AM202" s="34" t="str">
        <f>VLOOKUP(A202, 'Session Data'!A:AA,10,false)</f>
        <v>dkaauwai0821@sdsu.edu</v>
      </c>
      <c r="AN202" s="40"/>
      <c r="AO202" s="38"/>
      <c r="AP202" s="38"/>
      <c r="AQ202" s="38"/>
      <c r="AR202" s="38"/>
      <c r="AS202" s="38"/>
      <c r="AT202" s="38"/>
      <c r="AU202" s="38"/>
      <c r="AV202" s="38"/>
      <c r="AW202" s="38"/>
      <c r="AX202" s="38"/>
      <c r="AY202" s="43"/>
      <c r="AZ202" s="43"/>
      <c r="BA202" s="48"/>
      <c r="BB202" s="48"/>
      <c r="BC202" s="43"/>
      <c r="BD202" s="43"/>
      <c r="BE202" s="44"/>
      <c r="BF202" s="45"/>
      <c r="BG202" s="43"/>
    </row>
    <row r="203">
      <c r="A203" s="19" t="s">
        <v>268</v>
      </c>
      <c r="B203" s="20">
        <f>VLOOKUP(F203,'Session Count DO NOT EDIT'!$A:$C,3,FALSE)</f>
        <v>5</v>
      </c>
      <c r="C203" s="20">
        <f>COUNTIFS('Scores Import DO NOT EDIT'!D:D,A203)</f>
        <v>2</v>
      </c>
      <c r="D203" s="21">
        <f t="shared" si="1"/>
        <v>0.4</v>
      </c>
      <c r="E203" s="22">
        <f>AVERAGEIFS('Scores Import DO NOT EDIT'!L:L,'Scores Import DO NOT EDIT'!D:D,A203)</f>
        <v>24.5</v>
      </c>
      <c r="F203" s="23" t="str">
        <f>VLOOKUP(A203, 'Session Data'!A:M,3,false)</f>
        <v>D-8</v>
      </c>
      <c r="G203" s="24" t="str">
        <f>VLOOKUP(A203, 'Session Data'!A:I,2,false)</f>
        <v>1:00 PM</v>
      </c>
      <c r="H203" s="23" t="str">
        <f>VLOOKUP(A203, 'Session Data'!A:J,5,false)</f>
        <v>Physical and Mathematical Sciences</v>
      </c>
      <c r="I203" s="25" t="str">
        <f>VLOOKUP(A203, 'Session Data'!A:H,4,false)</f>
        <v>Oral </v>
      </c>
      <c r="J203" s="26" t="str">
        <f>VLOOKUP(A203, 'Session Data'!A:AA,14,false)</f>
        <v>Master's</v>
      </c>
      <c r="K203" s="27" t="str">
        <f>VLOOKUP(A203, 'Session Data'!A:AA,15,false)</f>
        <v>Sciences</v>
      </c>
      <c r="L203" s="47"/>
      <c r="M203" s="29" t="str">
        <f>VLOOKUP(A203, 'Session Data'!A:K,11,false)</f>
        <v>Masters of Astronomy</v>
      </c>
      <c r="N203" s="26" t="str">
        <f>IF(ISNA(VLOOKUP(A203, 'Award Abstract#'!C:C, 1, FALSE)), "No", "Yes")
</f>
        <v>No</v>
      </c>
      <c r="O203" s="29" t="str">
        <f>IF(ISNA(VLOOKUP(A203,'Award Abstract#'!B:B,1,FALSE)), "No", "Yes")</f>
        <v>No</v>
      </c>
      <c r="P203" s="29" t="str">
        <f>IF(ISNA(VLOOKUP(A203,'Award Abstract#'!E:E,1,FALSE)), "No", "Yes")</f>
        <v>No</v>
      </c>
      <c r="Q203" s="29" t="str">
        <f>IF(ISNA(VLOOKUP(A203,'Award Abstract#'!A:A,1,FALSE)), "No", "Yes")</f>
        <v>No</v>
      </c>
      <c r="R203" s="29" t="str">
        <f>IF(ISNA(VLOOKUP(A203,'Award Abstract#'!D:D,1,FALSE)), "No", "Yes")</f>
        <v>No</v>
      </c>
      <c r="S203" s="30" t="str">
        <f>VLOOKUP(A203, 'Session Data'!A:AA,27,false)</f>
        <v>Man, Cisgender</v>
      </c>
      <c r="T203" s="30"/>
      <c r="U203" s="30"/>
      <c r="V203" s="31" t="str">
        <f>VLOOKUP(A203, 'Session Data'!A:AA,8,false)</f>
        <v>Christopher</v>
      </c>
      <c r="W203" s="32" t="str">
        <f>VLOOKUP(A203, 'Session Data'!A:AA,9,false)</f>
        <v>Christopher Chase Martin</v>
      </c>
      <c r="X203" s="33" t="str">
        <f>VLOOKUP(A203, 'Session Data'!A:AA,12,false)</f>
        <v>Kepler-8610483b: The First Potential High-Inclination Circumbinary Planet</v>
      </c>
      <c r="Y203" s="34" t="str">
        <f>VLOOKUP(A203, 'Session Data'!A:AA,22,false)</f>
        <v>William</v>
      </c>
      <c r="Z203" s="34" t="str">
        <f>VLOOKUP(A203, 'Session Data'!A:AA,23,false)</f>
        <v>Welsh</v>
      </c>
      <c r="AA203" s="34" t="str">
        <f>VLOOKUP(A203, 'Session Data'!A:AA,25,false)</f>
        <v>Sciences</v>
      </c>
      <c r="AB203" s="34"/>
      <c r="AC203" s="34" t="str">
        <f>VLOOKUP(A203, 'Session Data'!A:AA,16,false)</f>
        <v/>
      </c>
      <c r="AD203" s="35" t="str">
        <f>VLOOKUP(A203, 'Session Data'!A:U,17,false)</f>
        <v/>
      </c>
      <c r="AE203" s="35" t="str">
        <f>VLOOKUP(A203, 'Session Data'!A:U,18,false)</f>
        <v/>
      </c>
      <c r="AF203" s="35" t="str">
        <f>VLOOKUP(A203, 'Session Data'!A:U,19,false)</f>
        <v/>
      </c>
      <c r="AG203" s="35" t="str">
        <f>VLOOKUP(A203, 'Session Data'!A:U,20,false)</f>
        <v/>
      </c>
      <c r="AH203" s="35" t="str">
        <f>VLOOKUP(A203, 'Session Data'!A:U,21,false)</f>
        <v/>
      </c>
      <c r="AI203" s="36"/>
      <c r="AJ203" s="38"/>
      <c r="AK203" s="38"/>
      <c r="AL203" s="39"/>
      <c r="AM203" s="34" t="str">
        <f>VLOOKUP(A203, 'Session Data'!A:AA,10,false)</f>
        <v>cmartin5842@sdsu.edu</v>
      </c>
      <c r="AN203" s="40"/>
      <c r="AO203" s="38"/>
      <c r="AP203" s="38"/>
      <c r="AQ203" s="38"/>
      <c r="AR203" s="38"/>
      <c r="AS203" s="38"/>
      <c r="AT203" s="38"/>
      <c r="AU203" s="38"/>
      <c r="AV203" s="38"/>
      <c r="AW203" s="38"/>
      <c r="AX203" s="38"/>
      <c r="AY203" s="43"/>
      <c r="AZ203" s="43"/>
      <c r="BA203" s="48"/>
      <c r="BB203" s="48"/>
      <c r="BC203" s="43"/>
      <c r="BD203" s="43"/>
      <c r="BE203" s="44"/>
      <c r="BF203" s="45"/>
      <c r="BG203" s="43"/>
    </row>
    <row r="204">
      <c r="A204" s="19" t="s">
        <v>269</v>
      </c>
      <c r="B204" s="20">
        <f>VLOOKUP(F204,'Session Count DO NOT EDIT'!$A:$C,3,FALSE)</f>
        <v>5</v>
      </c>
      <c r="C204" s="20">
        <f>COUNTIFS('Scores Import DO NOT EDIT'!D:D,A204)</f>
        <v>3</v>
      </c>
      <c r="D204" s="21">
        <f t="shared" si="1"/>
        <v>0.6</v>
      </c>
      <c r="E204" s="22">
        <f>AVERAGEIFS('Scores Import DO NOT EDIT'!L:L,'Scores Import DO NOT EDIT'!D:D,A204)</f>
        <v>22</v>
      </c>
      <c r="F204" s="23" t="str">
        <f>VLOOKUP(A204, 'Session Data'!A:M,3,false)</f>
        <v>D-8</v>
      </c>
      <c r="G204" s="24" t="str">
        <f>VLOOKUP(A204, 'Session Data'!A:I,2,false)</f>
        <v>3:00 PM</v>
      </c>
      <c r="H204" s="23" t="str">
        <f>VLOOKUP(A204, 'Session Data'!A:J,5,false)</f>
        <v>Physical and Mathematical Sciences </v>
      </c>
      <c r="I204" s="25" t="str">
        <f>VLOOKUP(A204, 'Session Data'!A:H,4,false)</f>
        <v>Oral </v>
      </c>
      <c r="J204" s="26" t="str">
        <f>VLOOKUP(A204, 'Session Data'!A:AA,14,false)</f>
        <v>Undergraduate</v>
      </c>
      <c r="K204" s="27" t="str">
        <f>VLOOKUP(A204, 'Session Data'!A:AA,15,false)</f>
        <v>Sciences</v>
      </c>
      <c r="L204" s="28"/>
      <c r="M204" s="29" t="str">
        <f>VLOOKUP(A204, 'Session Data'!A:K,11,false)</f>
        <v>Bachelors of Science in Physics</v>
      </c>
      <c r="N204" s="26" t="str">
        <f>IF(ISNA(VLOOKUP(A204, 'Award Abstract#'!C:C, 1, FALSE)), "No", "Yes")
</f>
        <v>No</v>
      </c>
      <c r="O204" s="29" t="str">
        <f>IF(ISNA(VLOOKUP(A204,'Award Abstract#'!B:B,1,FALSE)), "No", "Yes")</f>
        <v>No</v>
      </c>
      <c r="P204" s="29" t="str">
        <f>IF(ISNA(VLOOKUP(A204,'Award Abstract#'!E:E,1,FALSE)), "No", "Yes")</f>
        <v>No</v>
      </c>
      <c r="Q204" s="29" t="str">
        <f>IF(ISNA(VLOOKUP(A204,'Award Abstract#'!A:A,1,FALSE)), "No", "Yes")</f>
        <v>No</v>
      </c>
      <c r="R204" s="29" t="str">
        <f>IF(ISNA(VLOOKUP(A204,'Award Abstract#'!D:D,1,FALSE)), "No", "Yes")</f>
        <v>No</v>
      </c>
      <c r="S204" s="30" t="str">
        <f>VLOOKUP(A204, 'Session Data'!A:AA,27,false)</f>
        <v>Man</v>
      </c>
      <c r="T204" s="30"/>
      <c r="U204" s="30"/>
      <c r="V204" s="31" t="str">
        <f>VLOOKUP(A204, 'Session Data'!A:AA,8,false)</f>
        <v>Ryan</v>
      </c>
      <c r="W204" s="32" t="str">
        <f>VLOOKUP(A204, 'Session Data'!A:AA,9,false)</f>
        <v>Palmares</v>
      </c>
      <c r="X204" s="33" t="str">
        <f>VLOOKUP(A204, 'Session Data'!A:AA,12,false)</f>
        <v>Localized Strained Moiré Material in TMD Hybrid Monolayer-Nanotube Interfaces</v>
      </c>
      <c r="Y204" s="34" t="str">
        <f>VLOOKUP(A204, 'Session Data'!A:AA,22,false)</f>
        <v>Sanjay</v>
      </c>
      <c r="Z204" s="34" t="str">
        <f>VLOOKUP(A204, 'Session Data'!A:AA,23,false)</f>
        <v>Behura</v>
      </c>
      <c r="AA204" s="34" t="str">
        <f>VLOOKUP(A204, 'Session Data'!A:AA,25,false)</f>
        <v>Sciences</v>
      </c>
      <c r="AB204" s="34"/>
      <c r="AC204" s="34" t="str">
        <f>VLOOKUP(A204, 'Session Data'!A:AA,16,false)</f>
        <v/>
      </c>
      <c r="AD204" s="35" t="str">
        <f>VLOOKUP(A204, 'Session Data'!A:U,17,false)</f>
        <v/>
      </c>
      <c r="AE204" s="35" t="str">
        <f>VLOOKUP(A204, 'Session Data'!A:U,18,false)</f>
        <v/>
      </c>
      <c r="AF204" s="35" t="str">
        <f>VLOOKUP(A204, 'Session Data'!A:U,19,false)</f>
        <v/>
      </c>
      <c r="AG204" s="35" t="str">
        <f>VLOOKUP(A204, 'Session Data'!A:U,20,false)</f>
        <v/>
      </c>
      <c r="AH204" s="35" t="str">
        <f>VLOOKUP(A204, 'Session Data'!A:U,21,false)</f>
        <v/>
      </c>
      <c r="AI204" s="36"/>
      <c r="AJ204" s="38"/>
      <c r="AK204" s="38"/>
      <c r="AL204" s="39"/>
      <c r="AM204" s="34" t="str">
        <f>VLOOKUP(A204, 'Session Data'!A:AA,10,false)</f>
        <v>rpalmares8640@sdsu.edu</v>
      </c>
      <c r="AN204" s="40"/>
      <c r="AO204" s="38"/>
      <c r="AP204" s="38"/>
      <c r="AQ204" s="38"/>
      <c r="AR204" s="38"/>
      <c r="AS204" s="38"/>
      <c r="AT204" s="38"/>
      <c r="AU204" s="38"/>
      <c r="AV204" s="38"/>
      <c r="AW204" s="38"/>
      <c r="AX204" s="38"/>
      <c r="AY204" s="43"/>
      <c r="AZ204" s="43"/>
      <c r="BA204" s="48"/>
      <c r="BB204" s="48"/>
      <c r="BC204" s="43"/>
      <c r="BD204" s="43"/>
      <c r="BE204" s="44"/>
      <c r="BF204" s="45"/>
      <c r="BG204" s="46"/>
    </row>
    <row r="205">
      <c r="A205" s="19" t="s">
        <v>270</v>
      </c>
      <c r="B205" s="20">
        <f>VLOOKUP(F205,'Session Count DO NOT EDIT'!$A:$C,3,FALSE)</f>
        <v>4</v>
      </c>
      <c r="C205" s="20">
        <f>COUNTIFS('Scores Import DO NOT EDIT'!D:D,A205)</f>
        <v>1</v>
      </c>
      <c r="D205" s="21">
        <f t="shared" si="1"/>
        <v>0.25</v>
      </c>
      <c r="E205" s="22">
        <f>AVERAGEIFS('Scores Import DO NOT EDIT'!L:L,'Scores Import DO NOT EDIT'!D:D,A205)</f>
        <v>29</v>
      </c>
      <c r="F205" s="23" t="str">
        <f>VLOOKUP(A205, 'Session Data'!A:M,3,false)</f>
        <v>D-9</v>
      </c>
      <c r="G205" s="24" t="str">
        <f>VLOOKUP(A205, 'Session Data'!A:I,2,false)</f>
        <v>3:00 PM</v>
      </c>
      <c r="H205" s="23" t="str">
        <f>VLOOKUP(A205, 'Session Data'!A:J,5,false)</f>
        <v>Education</v>
      </c>
      <c r="I205" s="25" t="str">
        <f>VLOOKUP(A205, 'Session Data'!A:H,4,false)</f>
        <v>Oral </v>
      </c>
      <c r="J205" s="26" t="str">
        <f>VLOOKUP(A205, 'Session Data'!A:AA,14,false)</f>
        <v>Undergraduate</v>
      </c>
      <c r="K205" s="27" t="str">
        <f>VLOOKUP(A205, 'Session Data'!A:AA,15,false)</f>
        <v>Education</v>
      </c>
      <c r="L205" s="28"/>
      <c r="M205" s="29" t="str">
        <f>VLOOKUP(A205, 'Session Data'!A:K,11,false)</f>
        <v>Bachelor of Arts in Interdisciplinary Studies</v>
      </c>
      <c r="N205" s="26" t="str">
        <f>IF(ISNA(VLOOKUP(A205, 'Award Abstract#'!C:C, 1, FALSE)), "No", "Yes")
</f>
        <v>No</v>
      </c>
      <c r="O205" s="29" t="str">
        <f>IF(ISNA(VLOOKUP(A205,'Award Abstract#'!B:B,1,FALSE)), "No", "Yes")</f>
        <v>Yes</v>
      </c>
      <c r="P205" s="29" t="str">
        <f>IF(ISNA(VLOOKUP(A205,'Award Abstract#'!E:E,1,FALSE)), "No", "Yes")</f>
        <v>Yes</v>
      </c>
      <c r="Q205" s="29" t="str">
        <f>IF(ISNA(VLOOKUP(A205,'Award Abstract#'!A:A,1,FALSE)), "No", "Yes")</f>
        <v>Yes</v>
      </c>
      <c r="R205" s="29" t="str">
        <f>IF(ISNA(VLOOKUP(A205,'Award Abstract#'!D:D,1,FALSE)), "No", "Yes")</f>
        <v>Yes</v>
      </c>
      <c r="S205" s="30" t="str">
        <f>VLOOKUP(A205, 'Session Data'!A:AA,27,false)</f>
        <v>Woman, Cisgender</v>
      </c>
      <c r="T205" s="30"/>
      <c r="U205" s="30"/>
      <c r="V205" s="31" t="str">
        <f>VLOOKUP(A205, 'Session Data'!A:AA,8,false)</f>
        <v>Daniela</v>
      </c>
      <c r="W205" s="32" t="str">
        <f>VLOOKUP(A205, 'Session Data'!A:AA,9,false)</f>
        <v>Hernandez</v>
      </c>
      <c r="X205" s="33" t="str">
        <f>VLOOKUP(A205, 'Session Data'!A:AA,12,false)</f>
        <v>Empty promises, broken policies: How State and Federal legislation affects servingness at Hispanic Serving Institutions in STEM.</v>
      </c>
      <c r="Y205" s="34" t="str">
        <f>VLOOKUP(A205, 'Session Data'!A:AA,22,false)</f>
        <v>Felisha</v>
      </c>
      <c r="Z205" s="34" t="str">
        <f>VLOOKUP(A205, 'Session Data'!A:AA,23,false)</f>
        <v>Herrera Villarreal</v>
      </c>
      <c r="AA205" s="34" t="str">
        <f>VLOOKUP(A205, 'Session Data'!A:AA,25,false)</f>
        <v>Education</v>
      </c>
      <c r="AB205" s="34" t="str">
        <f>VLOOKUP(A205, 'Session Data'!A:AA,24,false)</f>
        <v>felisha.herrera@sdsu.edu</v>
      </c>
      <c r="AC205" s="34" t="str">
        <f>VLOOKUP(A205, 'Session Data'!A:AA,16,false)</f>
        <v>Alexis</v>
      </c>
      <c r="AD205" s="35" t="str">
        <f>VLOOKUP(A205, 'Session Data'!A:U,17,false)</f>
        <v>Reynoso</v>
      </c>
      <c r="AE205" s="35" t="str">
        <f>VLOOKUP(A205, 'Session Data'!A:U,18,false)</f>
        <v/>
      </c>
      <c r="AF205" s="35" t="str">
        <f>VLOOKUP(A205, 'Session Data'!A:U,19,false)</f>
        <v/>
      </c>
      <c r="AG205" s="35" t="str">
        <f>VLOOKUP(A205, 'Session Data'!A:U,20,false)</f>
        <v/>
      </c>
      <c r="AH205" s="35" t="str">
        <f>VLOOKUP(A205, 'Session Data'!A:U,21,false)</f>
        <v/>
      </c>
      <c r="AI205" s="37"/>
      <c r="AJ205" s="37"/>
      <c r="AK205" s="37"/>
      <c r="AL205" s="50"/>
      <c r="AM205" s="34" t="str">
        <f>VLOOKUP(A205, 'Session Data'!A:AA,10,false)</f>
        <v>dphernandez@sdsu.edu</v>
      </c>
      <c r="AN205" s="40"/>
      <c r="AO205" s="38"/>
      <c r="AP205" s="38"/>
      <c r="AQ205" s="38"/>
      <c r="AR205" s="38"/>
      <c r="AS205" s="38"/>
      <c r="AT205" s="38"/>
      <c r="AU205" s="38"/>
      <c r="AV205" s="38"/>
      <c r="AW205" s="38"/>
      <c r="AX205" s="38"/>
      <c r="AY205" s="43"/>
      <c r="AZ205" s="43"/>
      <c r="BA205" s="43"/>
      <c r="BB205" s="43"/>
      <c r="BC205" s="43"/>
      <c r="BD205" s="43"/>
      <c r="BE205" s="44"/>
      <c r="BF205" s="45"/>
      <c r="BG205" s="43"/>
    </row>
    <row r="206">
      <c r="A206" s="78" t="s">
        <v>271</v>
      </c>
      <c r="B206" s="20">
        <f>VLOOKUP(F206,'Session Count DO NOT EDIT'!$A:$C,3,FALSE)</f>
        <v>4</v>
      </c>
      <c r="C206" s="20">
        <f>COUNTIFS('Scores Import DO NOT EDIT'!D:D,A206)</f>
        <v>0</v>
      </c>
      <c r="D206" s="21">
        <f t="shared" si="1"/>
        <v>0</v>
      </c>
      <c r="E206" s="22" t="str">
        <f>AVERAGEIFS('Scores Import DO NOT EDIT'!L:L,'Scores Import DO NOT EDIT'!D:D,A206)</f>
        <v>#DIV/0!</v>
      </c>
      <c r="F206" s="23" t="str">
        <f>VLOOKUP(A206, 'Session Data'!A:M,3,false)</f>
        <v>D-9</v>
      </c>
      <c r="G206" s="24" t="str">
        <f>VLOOKUP(A206, 'Session Data'!A:I,2,false)</f>
        <v>3:00 PM</v>
      </c>
      <c r="H206" s="23" t="str">
        <f>VLOOKUP(A206, 'Session Data'!A:J,5,false)</f>
        <v>Education</v>
      </c>
      <c r="I206" s="25" t="str">
        <f>VLOOKUP(A206, 'Session Data'!A:H,4,false)</f>
        <v>Oral </v>
      </c>
      <c r="J206" s="26" t="str">
        <f>VLOOKUP(A206, 'Session Data'!A:AA,14,false)</f>
        <v>Undergraduate</v>
      </c>
      <c r="K206" s="27" t="str">
        <f>VLOOKUP(A206, 'Session Data'!A:AA,15,false)</f>
        <v>Arts and Letters</v>
      </c>
      <c r="L206" s="28"/>
      <c r="M206" s="29" t="str">
        <f>VLOOKUP(A206, 'Session Data'!A:K,11,false)</f>
        <v>Bachelor of Arts in English for Single Subject Teaching + B.A. in Comparative International Studies</v>
      </c>
      <c r="N206" s="26" t="str">
        <f>IF(ISNA(VLOOKUP(A206, 'Award Abstract#'!C:C, 1, FALSE)), "No", "Yes")
</f>
        <v>No</v>
      </c>
      <c r="O206" s="29" t="str">
        <f>IF(ISNA(VLOOKUP(A206,'Award Abstract#'!B:B,1,FALSE)), "No", "Yes")</f>
        <v>No</v>
      </c>
      <c r="P206" s="29" t="str">
        <f>IF(ISNA(VLOOKUP(A206,'Award Abstract#'!E:E,1,FALSE)), "No", "Yes")</f>
        <v>No</v>
      </c>
      <c r="Q206" s="29" t="str">
        <f>IF(ISNA(VLOOKUP(A206,'Award Abstract#'!A:A,1,FALSE)), "No", "Yes")</f>
        <v>No</v>
      </c>
      <c r="R206" s="29" t="str">
        <f>IF(ISNA(VLOOKUP(A206,'Award Abstract#'!D:D,1,FALSE)), "No", "Yes")</f>
        <v>No</v>
      </c>
      <c r="S206" s="30" t="str">
        <f>VLOOKUP(A206, 'Session Data'!A:AA,27,false)</f>
        <v>Woman</v>
      </c>
      <c r="T206" s="30"/>
      <c r="U206" s="30"/>
      <c r="V206" s="31" t="str">
        <f>VLOOKUP(A206, 'Session Data'!A:AA,8,false)</f>
        <v>Gabrielle</v>
      </c>
      <c r="W206" s="32" t="str">
        <f>VLOOKUP(A206, 'Session Data'!A:AA,9,false)</f>
        <v>Jose</v>
      </c>
      <c r="X206" s="33" t="str">
        <f>VLOOKUP(A206, 'Session Data'!A:AA,12,false)</f>
        <v>Educational Frontiers: A Comparative Study of K-12 Experiences in San Diego's Diverse Neighborhoods</v>
      </c>
      <c r="Y206" s="34" t="str">
        <f>VLOOKUP(A206, 'Session Data'!A:AA,22,false)</f>
        <v>Juan</v>
      </c>
      <c r="Z206" s="34" t="str">
        <f>VLOOKUP(A206, 'Session Data'!A:AA,23,false)</f>
        <v>Estrada Silvestre </v>
      </c>
      <c r="AA206" s="34" t="str">
        <f>VLOOKUP(A206, 'Session Data'!A:AA,25,false)</f>
        <v>Health and Human Services</v>
      </c>
      <c r="AB206" s="34" t="str">
        <f>VLOOKUP(A206, 'Session Data'!A:AA,24,false)</f>
        <v>jestradasilves3314@sdsu.edu</v>
      </c>
      <c r="AC206" s="34" t="str">
        <f>VLOOKUP(A206, 'Session Data'!A:AA,16,false)</f>
        <v/>
      </c>
      <c r="AD206" s="35" t="str">
        <f>VLOOKUP(A206, 'Session Data'!A:U,17,false)</f>
        <v/>
      </c>
      <c r="AE206" s="35" t="str">
        <f>VLOOKUP(A206, 'Session Data'!A:U,18,false)</f>
        <v/>
      </c>
      <c r="AF206" s="35" t="str">
        <f>VLOOKUP(A206, 'Session Data'!A:U,19,false)</f>
        <v/>
      </c>
      <c r="AG206" s="35" t="str">
        <f>VLOOKUP(A206, 'Session Data'!A:U,20,false)</f>
        <v/>
      </c>
      <c r="AH206" s="35" t="str">
        <f>VLOOKUP(A206, 'Session Data'!A:U,21,false)</f>
        <v/>
      </c>
      <c r="AI206" s="37"/>
      <c r="AJ206" s="37"/>
      <c r="AK206" s="37"/>
      <c r="AL206" s="50"/>
      <c r="AM206" s="34" t="str">
        <f>VLOOKUP(A206, 'Session Data'!A:AA,10,false)</f>
        <v>gjose4369@sdsu.edu</v>
      </c>
      <c r="AN206" s="40"/>
      <c r="AO206" s="38"/>
      <c r="AP206" s="38"/>
      <c r="AQ206" s="38"/>
      <c r="AR206" s="38"/>
      <c r="AS206" s="38"/>
      <c r="AT206" s="38"/>
      <c r="AU206" s="38"/>
      <c r="AV206" s="38"/>
      <c r="AW206" s="38"/>
      <c r="AX206" s="38"/>
      <c r="AY206" s="43"/>
      <c r="AZ206" s="43"/>
      <c r="BA206" s="48"/>
      <c r="BB206" s="48"/>
      <c r="BC206" s="43"/>
      <c r="BD206" s="43"/>
      <c r="BE206" s="44"/>
      <c r="BF206" s="45"/>
      <c r="BG206" s="43"/>
    </row>
    <row r="207">
      <c r="A207" s="19" t="s">
        <v>272</v>
      </c>
      <c r="B207" s="20">
        <f>VLOOKUP(F207,'Session Count DO NOT EDIT'!$A:$C,3,FALSE)</f>
        <v>4</v>
      </c>
      <c r="C207" s="20">
        <f>COUNTIFS('Scores Import DO NOT EDIT'!D:D,A207)</f>
        <v>1</v>
      </c>
      <c r="D207" s="21">
        <f t="shared" si="1"/>
        <v>0.25</v>
      </c>
      <c r="E207" s="22">
        <f>AVERAGEIFS('Scores Import DO NOT EDIT'!L:L,'Scores Import DO NOT EDIT'!D:D,A207)</f>
        <v>35</v>
      </c>
      <c r="F207" s="23" t="str">
        <f>VLOOKUP(A207, 'Session Data'!A:M,3,false)</f>
        <v>D-9</v>
      </c>
      <c r="G207" s="24" t="str">
        <f>VLOOKUP(A207, 'Session Data'!A:I,2,false)</f>
        <v>3:00 PM</v>
      </c>
      <c r="H207" s="23" t="str">
        <f>VLOOKUP(A207, 'Session Data'!A:J,5,false)</f>
        <v>Education</v>
      </c>
      <c r="I207" s="25" t="str">
        <f>VLOOKUP(A207, 'Session Data'!A:H,4,false)</f>
        <v>Oral </v>
      </c>
      <c r="J207" s="26" t="str">
        <f>VLOOKUP(A207, 'Session Data'!A:AA,14,false)</f>
        <v>Undergraduate</v>
      </c>
      <c r="K207" s="27" t="str">
        <f>VLOOKUP(A207, 'Session Data'!A:AA,15,false)</f>
        <v>Arts and Letters</v>
      </c>
      <c r="L207" s="47"/>
      <c r="M207" s="29" t="str">
        <f>VLOOKUP(A207, 'Session Data'!A:K,11,false)</f>
        <v>Bachelor of Arts in Sociology </v>
      </c>
      <c r="N207" s="26" t="str">
        <f>IF(ISNA(VLOOKUP(A207, 'Award Abstract#'!C:C, 1, FALSE)), "No", "Yes")
</f>
        <v>No</v>
      </c>
      <c r="O207" s="29" t="str">
        <f>IF(ISNA(VLOOKUP(A207,'Award Abstract#'!B:B,1,FALSE)), "No", "Yes")</f>
        <v>No</v>
      </c>
      <c r="P207" s="29" t="str">
        <f>IF(ISNA(VLOOKUP(A207,'Award Abstract#'!E:E,1,FALSE)), "No", "Yes")</f>
        <v>Yes</v>
      </c>
      <c r="Q207" s="29" t="str">
        <f>IF(ISNA(VLOOKUP(A207,'Award Abstract#'!A:A,1,FALSE)), "No", "Yes")</f>
        <v>Yes</v>
      </c>
      <c r="R207" s="29" t="str">
        <f>IF(ISNA(VLOOKUP(A207,'Award Abstract#'!D:D,1,FALSE)), "No", "Yes")</f>
        <v>No</v>
      </c>
      <c r="S207" s="30" t="str">
        <f>VLOOKUP(A207, 'Session Data'!A:AA,27,false)</f>
        <v>Woman</v>
      </c>
      <c r="T207" s="30"/>
      <c r="U207" s="30"/>
      <c r="V207" s="31" t="str">
        <f>VLOOKUP(A207, 'Session Data'!A:AA,8,false)</f>
        <v>Hazel</v>
      </c>
      <c r="W207" s="32" t="str">
        <f>VLOOKUP(A207, 'Session Data'!A:AA,9,false)</f>
        <v>Fernandez</v>
      </c>
      <c r="X207" s="33" t="str">
        <f>VLOOKUP(A207, 'Session Data'!A:AA,12,false)</f>
        <v>Beyond Excited and Anxious: Student Influences and Emotions Towards Their Career Search</v>
      </c>
      <c r="Y207" s="34" t="str">
        <f>VLOOKUP(A207, 'Session Data'!A:AA,22,false)</f>
        <v>Daniel </v>
      </c>
      <c r="Z207" s="34" t="str">
        <f>VLOOKUP(A207, 'Session Data'!A:AA,23,false)</f>
        <v>Davis</v>
      </c>
      <c r="AA207" s="34" t="str">
        <f>VLOOKUP(A207, 'Session Data'!A:AA,25,false)</f>
        <v>Arts and Letters</v>
      </c>
      <c r="AB207" s="34" t="str">
        <f>VLOOKUP(A207, 'Session Data'!A:AA,24,false)</f>
        <v>ddavis@sdsu.edu</v>
      </c>
      <c r="AC207" s="34" t="str">
        <f>VLOOKUP(A207, 'Session Data'!A:AA,16,false)</f>
        <v/>
      </c>
      <c r="AD207" s="35" t="str">
        <f>VLOOKUP(A207, 'Session Data'!A:U,17,false)</f>
        <v/>
      </c>
      <c r="AE207" s="35" t="str">
        <f>VLOOKUP(A207, 'Session Data'!A:U,18,false)</f>
        <v/>
      </c>
      <c r="AF207" s="35" t="str">
        <f>VLOOKUP(A207, 'Session Data'!A:U,19,false)</f>
        <v/>
      </c>
      <c r="AG207" s="35" t="str">
        <f>VLOOKUP(A207, 'Session Data'!A:U,20,false)</f>
        <v/>
      </c>
      <c r="AH207" s="35" t="str">
        <f>VLOOKUP(A207, 'Session Data'!A:U,21,false)</f>
        <v/>
      </c>
      <c r="AI207" s="37"/>
      <c r="AJ207" s="37"/>
      <c r="AK207" s="37"/>
      <c r="AL207" s="50"/>
      <c r="AM207" s="34" t="str">
        <f>VLOOKUP(A207, 'Session Data'!A:AA,10,false)</f>
        <v>hfernandez6433@sdsu.edu</v>
      </c>
      <c r="AN207" s="40"/>
      <c r="AO207" s="75"/>
      <c r="AP207" s="75"/>
      <c r="AQ207" s="75"/>
      <c r="AR207" s="75"/>
      <c r="AS207" s="75"/>
      <c r="AT207" s="75"/>
      <c r="AU207" s="75"/>
      <c r="AV207" s="75"/>
      <c r="AW207" s="75"/>
      <c r="AX207" s="75"/>
      <c r="AY207" s="43"/>
      <c r="AZ207" s="43"/>
      <c r="BA207" s="43"/>
      <c r="BB207" s="43"/>
      <c r="BC207" s="43"/>
      <c r="BD207" s="43"/>
      <c r="BE207" s="44"/>
      <c r="BF207" s="45"/>
      <c r="BG207" s="43"/>
    </row>
    <row r="208">
      <c r="A208" s="19" t="s">
        <v>273</v>
      </c>
      <c r="B208" s="20">
        <f>VLOOKUP(F208,'Session Count DO NOT EDIT'!$A:$C,3,FALSE)</f>
        <v>4</v>
      </c>
      <c r="C208" s="20">
        <f>COUNTIFS('Scores Import DO NOT EDIT'!D:D,A208)</f>
        <v>1</v>
      </c>
      <c r="D208" s="21">
        <f t="shared" si="1"/>
        <v>0.25</v>
      </c>
      <c r="E208" s="22">
        <f>AVERAGEIFS('Scores Import DO NOT EDIT'!L:L,'Scores Import DO NOT EDIT'!D:D,A208)</f>
        <v>33</v>
      </c>
      <c r="F208" s="23" t="str">
        <f>VLOOKUP(A208, 'Session Data'!A:M,3,false)</f>
        <v>D-9</v>
      </c>
      <c r="G208" s="24" t="str">
        <f>VLOOKUP(A208, 'Session Data'!A:I,2,false)</f>
        <v>3:00 PM</v>
      </c>
      <c r="H208" s="23" t="str">
        <f>VLOOKUP(A208, 'Session Data'!A:J,5,false)</f>
        <v>Education</v>
      </c>
      <c r="I208" s="25" t="str">
        <f>VLOOKUP(A208, 'Session Data'!A:H,4,false)</f>
        <v>Oral </v>
      </c>
      <c r="J208" s="26" t="str">
        <f>VLOOKUP(A208, 'Session Data'!A:AA,14,false)</f>
        <v>Undergraduate</v>
      </c>
      <c r="K208" s="27" t="str">
        <f>VLOOKUP(A208, 'Session Data'!A:AA,15,false)</f>
        <v>Sciences</v>
      </c>
      <c r="L208" s="28"/>
      <c r="M208" s="29" t="str">
        <f>VLOOKUP(A208, 'Session Data'!A:K,11,false)</f>
        <v>Bachelor of Arts in Psychology and Philosophy</v>
      </c>
      <c r="N208" s="26" t="str">
        <f>IF(ISNA(VLOOKUP(A208, 'Award Abstract#'!C:C, 1, FALSE)), "No", "Yes")
</f>
        <v>No</v>
      </c>
      <c r="O208" s="29" t="str">
        <f>IF(ISNA(VLOOKUP(A208,'Award Abstract#'!B:B,1,FALSE)), "No", "Yes")</f>
        <v>No</v>
      </c>
      <c r="P208" s="29" t="str">
        <f>IF(ISNA(VLOOKUP(A208,'Award Abstract#'!E:E,1,FALSE)), "No", "Yes")</f>
        <v>No</v>
      </c>
      <c r="Q208" s="29" t="str">
        <f>IF(ISNA(VLOOKUP(A208,'Award Abstract#'!A:A,1,FALSE)), "No", "Yes")</f>
        <v>No</v>
      </c>
      <c r="R208" s="29" t="str">
        <f>IF(ISNA(VLOOKUP(A208,'Award Abstract#'!D:D,1,FALSE)), "No", "Yes")</f>
        <v>No</v>
      </c>
      <c r="S208" s="30" t="str">
        <f>VLOOKUP(A208, 'Session Data'!A:AA,27,false)</f>
        <v>Woman</v>
      </c>
      <c r="T208" s="30"/>
      <c r="U208" s="30"/>
      <c r="V208" s="31" t="str">
        <f>VLOOKUP(A208, 'Session Data'!A:AA,8,false)</f>
        <v>Alana</v>
      </c>
      <c r="W208" s="32" t="str">
        <f>VLOOKUP(A208, 'Session Data'!A:AA,9,false)</f>
        <v>Rio</v>
      </c>
      <c r="X208" s="33" t="str">
        <f>VLOOKUP(A208, 'Session Data'!A:AA,12,false)</f>
        <v>Cultivating genuine learning: Instruction and incentives for students to constructively use artificial intelligence tools</v>
      </c>
      <c r="Y208" s="34" t="str">
        <f>VLOOKUP(A208, 'Session Data'!A:AA,22,false)</f>
        <v>Rutger</v>
      </c>
      <c r="Z208" s="34" t="str">
        <f>VLOOKUP(A208, 'Session Data'!A:AA,23,false)</f>
        <v>Hadge</v>
      </c>
      <c r="AA208" s="34" t="str">
        <f>VLOOKUP(A208, 'Session Data'!A:AA,25,false)</f>
        <v>Arts and Letters</v>
      </c>
      <c r="AB208" s="34" t="str">
        <f>VLOOKUP(A208, 'Session Data'!A:AA,24,false)</f>
        <v>rjhadge@sdsu.edu</v>
      </c>
      <c r="AC208" s="34" t="str">
        <f>VLOOKUP(A208, 'Session Data'!A:AA,16,false)</f>
        <v/>
      </c>
      <c r="AD208" s="35" t="str">
        <f>VLOOKUP(A208, 'Session Data'!A:U,17,false)</f>
        <v/>
      </c>
      <c r="AE208" s="35" t="str">
        <f>VLOOKUP(A208, 'Session Data'!A:U,18,false)</f>
        <v/>
      </c>
      <c r="AF208" s="35" t="str">
        <f>VLOOKUP(A208, 'Session Data'!A:U,19,false)</f>
        <v/>
      </c>
      <c r="AG208" s="35" t="str">
        <f>VLOOKUP(A208, 'Session Data'!A:U,20,false)</f>
        <v/>
      </c>
      <c r="AH208" s="35" t="str">
        <f>VLOOKUP(A208, 'Session Data'!A:U,21,false)</f>
        <v/>
      </c>
      <c r="AI208" s="37"/>
      <c r="AJ208" s="37"/>
      <c r="AK208" s="37"/>
      <c r="AL208" s="50"/>
      <c r="AM208" s="34" t="str">
        <f>VLOOKUP(A208, 'Session Data'!A:AA,10,false)</f>
        <v>ario8462@sdsu.edu</v>
      </c>
      <c r="AN208" s="40"/>
      <c r="AO208" s="38"/>
      <c r="AP208" s="38"/>
      <c r="AQ208" s="38"/>
      <c r="AR208" s="38"/>
      <c r="AS208" s="38"/>
      <c r="AT208" s="38"/>
      <c r="AU208" s="38"/>
      <c r="AV208" s="38"/>
      <c r="AW208" s="38"/>
      <c r="AX208" s="38"/>
      <c r="AY208" s="43"/>
      <c r="AZ208" s="43"/>
      <c r="BA208" s="43"/>
      <c r="BB208" s="43"/>
      <c r="BC208" s="43"/>
      <c r="BD208" s="43"/>
      <c r="BE208" s="44"/>
      <c r="BF208" s="45"/>
      <c r="BG208" s="43"/>
    </row>
    <row r="209">
      <c r="A209" s="19" t="s">
        <v>274</v>
      </c>
      <c r="B209" s="20">
        <f>VLOOKUP(F209,'Session Count DO NOT EDIT'!$A:$C,3,FALSE)</f>
        <v>4</v>
      </c>
      <c r="C209" s="20">
        <f>COUNTIFS('Scores Import DO NOT EDIT'!D:D,A209)</f>
        <v>1</v>
      </c>
      <c r="D209" s="21">
        <f t="shared" si="1"/>
        <v>0.25</v>
      </c>
      <c r="E209" s="22">
        <f>AVERAGEIFS('Scores Import DO NOT EDIT'!L:L,'Scores Import DO NOT EDIT'!D:D,A209)</f>
        <v>30</v>
      </c>
      <c r="F209" s="23" t="str">
        <f>VLOOKUP(A209, 'Session Data'!A:M,3,false)</f>
        <v>D-9</v>
      </c>
      <c r="G209" s="24" t="str">
        <f>VLOOKUP(A209, 'Session Data'!A:I,2,false)</f>
        <v>3:00 PM</v>
      </c>
      <c r="H209" s="23" t="str">
        <f>VLOOKUP(A209, 'Session Data'!A:J,5,false)</f>
        <v>Education</v>
      </c>
      <c r="I209" s="25" t="str">
        <f>VLOOKUP(A209, 'Session Data'!A:H,4,false)</f>
        <v>Oral </v>
      </c>
      <c r="J209" s="26" t="str">
        <f>VLOOKUP(A209, 'Session Data'!A:AA,14,false)</f>
        <v>Doctoral</v>
      </c>
      <c r="K209" s="27" t="str">
        <f>VLOOKUP(A209, 'Session Data'!A:AA,15,false)</f>
        <v>Sciences</v>
      </c>
      <c r="L209" s="47"/>
      <c r="M209" s="29" t="str">
        <f>VLOOKUP(A209, 'Session Data'!A:K,11,false)</f>
        <v>Math, and Science Education Joint Doctoral Program</v>
      </c>
      <c r="N209" s="26" t="str">
        <f>IF(ISNA(VLOOKUP(A209, 'Award Abstract#'!C:C, 1, FALSE)), "No", "Yes")
</f>
        <v>No</v>
      </c>
      <c r="O209" s="29" t="str">
        <f>IF(ISNA(VLOOKUP(A209,'Award Abstract#'!B:B,1,FALSE)), "No", "Yes")</f>
        <v>No</v>
      </c>
      <c r="P209" s="29" t="str">
        <f>IF(ISNA(VLOOKUP(A209,'Award Abstract#'!E:E,1,FALSE)), "No", "Yes")</f>
        <v>No</v>
      </c>
      <c r="Q209" s="29" t="str">
        <f>IF(ISNA(VLOOKUP(A209,'Award Abstract#'!A:A,1,FALSE)), "No", "Yes")</f>
        <v>No</v>
      </c>
      <c r="R209" s="29" t="str">
        <f>IF(ISNA(VLOOKUP(A209,'Award Abstract#'!D:D,1,FALSE)), "No", "Yes")</f>
        <v>No</v>
      </c>
      <c r="S209" s="30" t="str">
        <f>VLOOKUP(A209, 'Session Data'!A:AA,27,false)</f>
        <v>Woman</v>
      </c>
      <c r="T209" s="30"/>
      <c r="U209" s="30"/>
      <c r="V209" s="31" t="str">
        <f>VLOOKUP(A209, 'Session Data'!A:AA,8,false)</f>
        <v>Maraliz </v>
      </c>
      <c r="W209" s="32" t="str">
        <f>VLOOKUP(A209, 'Session Data'!A:AA,9,false)</f>
        <v>Fischler-Barraza</v>
      </c>
      <c r="X209" s="33" t="str">
        <f>VLOOKUP(A209, 'Session Data'!A:AA,12,false)</f>
        <v>Science-Based Art Activities Facilitate the Development of Scientific Knowledge  and Techniques in Pre-Service Teachers</v>
      </c>
      <c r="Y209" s="34" t="str">
        <f>VLOOKUP(A209, 'Session Data'!A:AA,22,false)</f>
        <v>Kathleen </v>
      </c>
      <c r="Z209" s="34" t="str">
        <f>VLOOKUP(A209, 'Session Data'!A:AA,23,false)</f>
        <v>Schenkel</v>
      </c>
      <c r="AA209" s="34" t="str">
        <f>VLOOKUP(A209, 'Session Data'!A:AA,25,false)</f>
        <v>Education</v>
      </c>
      <c r="AB209" s="34"/>
      <c r="AC209" s="34" t="str">
        <f>VLOOKUP(A209, 'Session Data'!A:AA,16,false)</f>
        <v/>
      </c>
      <c r="AD209" s="35" t="str">
        <f>VLOOKUP(A209, 'Session Data'!A:U,17,false)</f>
        <v/>
      </c>
      <c r="AE209" s="35" t="str">
        <f>VLOOKUP(A209, 'Session Data'!A:U,18,false)</f>
        <v/>
      </c>
      <c r="AF209" s="35" t="str">
        <f>VLOOKUP(A209, 'Session Data'!A:U,19,false)</f>
        <v/>
      </c>
      <c r="AG209" s="35" t="str">
        <f>VLOOKUP(A209, 'Session Data'!A:U,20,false)</f>
        <v/>
      </c>
      <c r="AH209" s="35" t="str">
        <f>VLOOKUP(A209, 'Session Data'!A:U,21,false)</f>
        <v/>
      </c>
      <c r="AI209" s="36"/>
      <c r="AJ209" s="38"/>
      <c r="AK209" s="38"/>
      <c r="AL209" s="39"/>
      <c r="AM209" s="34" t="str">
        <f>VLOOKUP(A209, 'Session Data'!A:AA,10,false)</f>
        <v>mfischlerbarra7956@sdsu.edu</v>
      </c>
      <c r="AN209" s="40"/>
      <c r="AO209" s="38"/>
      <c r="AP209" s="38"/>
      <c r="AQ209" s="38"/>
      <c r="AR209" s="38"/>
      <c r="AS209" s="38"/>
      <c r="AT209" s="38"/>
      <c r="AU209" s="38"/>
      <c r="AV209" s="38"/>
      <c r="AW209" s="38"/>
      <c r="AX209" s="38"/>
      <c r="AY209" s="43"/>
      <c r="AZ209" s="43"/>
      <c r="BA209" s="48"/>
      <c r="BB209" s="48"/>
      <c r="BC209" s="43"/>
      <c r="BD209" s="43"/>
      <c r="BE209" s="44"/>
      <c r="BF209" s="45"/>
      <c r="BG209" s="43"/>
    </row>
    <row r="210">
      <c r="A210" s="19" t="s">
        <v>275</v>
      </c>
      <c r="B210" s="20">
        <f>VLOOKUP(F210,'Session Count DO NOT EDIT'!$A:$C,3,FALSE)</f>
        <v>4</v>
      </c>
      <c r="C210" s="20">
        <f>COUNTIFS('Scores Import DO NOT EDIT'!D:D,A210)</f>
        <v>1</v>
      </c>
      <c r="D210" s="21">
        <f t="shared" si="1"/>
        <v>0.25</v>
      </c>
      <c r="E210" s="22">
        <f>AVERAGEIFS('Scores Import DO NOT EDIT'!L:L,'Scores Import DO NOT EDIT'!D:D,A210)</f>
        <v>25</v>
      </c>
      <c r="F210" s="23" t="str">
        <f>VLOOKUP(A210, 'Session Data'!A:M,3,false)</f>
        <v>D-9</v>
      </c>
      <c r="G210" s="24" t="str">
        <f>VLOOKUP(A210, 'Session Data'!A:I,2,false)</f>
        <v>3:00 PM</v>
      </c>
      <c r="H210" s="23" t="str">
        <f>VLOOKUP(A210, 'Session Data'!A:J,5,false)</f>
        <v>Education</v>
      </c>
      <c r="I210" s="25" t="str">
        <f>VLOOKUP(A210, 'Session Data'!A:H,4,false)</f>
        <v>Oral </v>
      </c>
      <c r="J210" s="26" t="str">
        <f>VLOOKUP(A210, 'Session Data'!A:AA,14,false)</f>
        <v>Doctoral</v>
      </c>
      <c r="K210" s="27" t="str">
        <f>VLOOKUP(A210, 'Session Data'!A:AA,15,false)</f>
        <v>Education</v>
      </c>
      <c r="L210" s="47"/>
      <c r="M210" s="29" t="str">
        <f>VLOOKUP(A210, 'Session Data'!A:K,11,false)</f>
        <v>Joint Doctoral Program in Education</v>
      </c>
      <c r="N210" s="26" t="str">
        <f>IF(ISNA(VLOOKUP(A210, 'Award Abstract#'!C:C, 1, FALSE)), "No", "Yes")
</f>
        <v>No</v>
      </c>
      <c r="O210" s="29" t="str">
        <f>IF(ISNA(VLOOKUP(A210,'Award Abstract#'!B:B,1,FALSE)), "No", "Yes")</f>
        <v>No</v>
      </c>
      <c r="P210" s="29" t="str">
        <f>IF(ISNA(VLOOKUP(A210,'Award Abstract#'!E:E,1,FALSE)), "No", "Yes")</f>
        <v>No</v>
      </c>
      <c r="Q210" s="29" t="str">
        <f>IF(ISNA(VLOOKUP(A210,'Award Abstract#'!A:A,1,FALSE)), "No", "Yes")</f>
        <v>No</v>
      </c>
      <c r="R210" s="29" t="str">
        <f>IF(ISNA(VLOOKUP(A210,'Award Abstract#'!D:D,1,FALSE)), "No", "Yes")</f>
        <v>No</v>
      </c>
      <c r="S210" s="30" t="str">
        <f>VLOOKUP(A210, 'Session Data'!A:AA,27,false)</f>
        <v>Woman</v>
      </c>
      <c r="T210" s="30"/>
      <c r="U210" s="30"/>
      <c r="V210" s="31" t="str">
        <f>VLOOKUP(A210, 'Session Data'!A:AA,8,false)</f>
        <v>Danielle</v>
      </c>
      <c r="W210" s="32" t="str">
        <f>VLOOKUP(A210, 'Session Data'!A:AA,9,false)</f>
        <v>Huddlestun</v>
      </c>
      <c r="X210" s="33" t="str">
        <f>VLOOKUP(A210, 'Session Data'!A:AA,12,false)</f>
        <v> “So Someone Like Me Can Be in Academia?” The Role of Mentoring in a Community College Undergraduate Research Program</v>
      </c>
      <c r="Y210" s="34" t="str">
        <f>VLOOKUP(A210, 'Session Data'!A:AA,22,false)</f>
        <v>Marissa</v>
      </c>
      <c r="Z210" s="34" t="str">
        <f>VLOOKUP(A210, 'Session Data'!A:AA,23,false)</f>
        <v>Vasquez </v>
      </c>
      <c r="AA210" s="34" t="str">
        <f>VLOOKUP(A210, 'Session Data'!A:AA,25,false)</f>
        <v>Education</v>
      </c>
      <c r="AB210" s="34" t="str">
        <f>VLOOKUP(A210, 'Session Data'!A:AA,24,false)</f>
        <v>mvasquez@sdsu.edu</v>
      </c>
      <c r="AC210" s="34" t="str">
        <f>VLOOKUP(A210, 'Session Data'!A:AA,16,false)</f>
        <v>Brayan</v>
      </c>
      <c r="AD210" s="35" t="str">
        <f>VLOOKUP(A210, 'Session Data'!A:U,17,false)</f>
        <v>Astorga Palomar</v>
      </c>
      <c r="AE210" s="35" t="str">
        <f>VLOOKUP(A210, 'Session Data'!A:U,18,false)</f>
        <v>Jahaziel </v>
      </c>
      <c r="AF210" s="35" t="str">
        <f>VLOOKUP(A210, 'Session Data'!A:U,19,false)</f>
        <v>Sanchez</v>
      </c>
      <c r="AG210" s="35" t="str">
        <f>VLOOKUP(A210, 'Session Data'!A:U,20,false)</f>
        <v>Ben</v>
      </c>
      <c r="AH210" s="35" t="str">
        <f>VLOOKUP(A210, 'Session Data'!A:U,21,false)</f>
        <v>Mendoza </v>
      </c>
      <c r="AI210" s="36"/>
      <c r="AJ210" s="38"/>
      <c r="AK210" s="38"/>
      <c r="AL210" s="39"/>
      <c r="AM210" s="34" t="str">
        <f>VLOOKUP(A210, 'Session Data'!A:AA,10,false)</f>
        <v>dhuddlestun1980@sdsu.edu</v>
      </c>
      <c r="AN210" s="40"/>
      <c r="AO210" s="38"/>
      <c r="AP210" s="38"/>
      <c r="AQ210" s="38"/>
      <c r="AR210" s="38"/>
      <c r="AS210" s="38"/>
      <c r="AT210" s="38"/>
      <c r="AU210" s="38"/>
      <c r="AV210" s="38"/>
      <c r="AW210" s="38"/>
      <c r="AX210" s="38"/>
      <c r="AY210" s="43"/>
      <c r="AZ210" s="43"/>
      <c r="BA210" s="43"/>
      <c r="BB210" s="43"/>
      <c r="BC210" s="43"/>
      <c r="BD210" s="43"/>
      <c r="BE210" s="44"/>
      <c r="BF210" s="45"/>
      <c r="BG210" s="46"/>
    </row>
    <row r="211">
      <c r="A211" s="19" t="s">
        <v>276</v>
      </c>
      <c r="B211" s="20">
        <f>VLOOKUP(F211,'Session Count DO NOT EDIT'!$A:$C,3,FALSE)</f>
        <v>4</v>
      </c>
      <c r="C211" s="20">
        <f>COUNTIFS('Scores Import DO NOT EDIT'!D:D,A211)</f>
        <v>4</v>
      </c>
      <c r="D211" s="21">
        <f t="shared" si="1"/>
        <v>1</v>
      </c>
      <c r="E211" s="22">
        <f>AVERAGEIFS('Scores Import DO NOT EDIT'!L:L,'Scores Import DO NOT EDIT'!D:D,A211)</f>
        <v>27.25</v>
      </c>
      <c r="F211" s="23" t="str">
        <f>VLOOKUP(A211, 'Session Data'!A:M,3,false)</f>
        <v>E-1</v>
      </c>
      <c r="G211" s="24" t="str">
        <f>VLOOKUP(A211, 'Session Data'!A:I,2,false)</f>
        <v>1:00 PM</v>
      </c>
      <c r="H211" s="23" t="str">
        <f>VLOOKUP(A211, 'Session Data'!A:J,5,false)</f>
        <v>Henrietta Goodwin Scholars Session</v>
      </c>
      <c r="I211" s="25" t="str">
        <f>VLOOKUP(A211, 'Session Data'!A:H,4,false)</f>
        <v>Oral</v>
      </c>
      <c r="J211" s="26" t="str">
        <f>VLOOKUP(A211, 'Session Data'!A:AA,14,false)</f>
        <v>Undergraduate</v>
      </c>
      <c r="K211" s="27" t="str">
        <f>VLOOKUP(A211, 'Session Data'!A:AA,15,false)</f>
        <v>Education</v>
      </c>
      <c r="L211" s="47"/>
      <c r="M211" s="29" t="str">
        <f>VLOOKUP(A211, 'Session Data'!A:K,11,false)</f>
        <v>Child Development</v>
      </c>
      <c r="N211" s="26" t="str">
        <f>IF(ISNA(VLOOKUP(A211, 'Award Abstract#'!C:C, 1, FALSE)), "No", "Yes")
</f>
        <v>No</v>
      </c>
      <c r="O211" s="29" t="str">
        <f>IF(ISNA(VLOOKUP(A211,'Award Abstract#'!B:B,1,FALSE)), "No", "Yes")</f>
        <v>Yes</v>
      </c>
      <c r="P211" s="29" t="str">
        <f>IF(ISNA(VLOOKUP(A211,'Award Abstract#'!E:E,1,FALSE)), "No", "Yes")</f>
        <v>No</v>
      </c>
      <c r="Q211" s="29" t="str">
        <f>IF(ISNA(VLOOKUP(A211,'Award Abstract#'!A:A,1,FALSE)), "No", "Yes")</f>
        <v>No</v>
      </c>
      <c r="R211" s="29" t="str">
        <f>IF(ISNA(VLOOKUP(A211,'Award Abstract#'!D:D,1,FALSE)), "No", "Yes")</f>
        <v>Yes</v>
      </c>
      <c r="S211" s="30" t="str">
        <f>VLOOKUP(A211, 'Session Data'!A:AA,27,false)</f>
        <v>Woman</v>
      </c>
      <c r="T211" s="84"/>
      <c r="U211" s="84"/>
      <c r="V211" s="31" t="str">
        <f>VLOOKUP(A211, 'Session Data'!A:AA,8,false)</f>
        <v>DeAnza</v>
      </c>
      <c r="W211" s="32" t="str">
        <f>VLOOKUP(A211, 'Session Data'!A:AA,9,false)</f>
        <v>Palmer</v>
      </c>
      <c r="X211" s="33" t="str">
        <f>VLOOKUP(A211, 'Session Data'!A:AA,12,false)</f>
        <v>Affects of Gentrification in San Diego</v>
      </c>
      <c r="Y211" s="34" t="str">
        <f>VLOOKUP(A211, 'Session Data'!A:AA,22,false)</f>
        <v>Rachel</v>
      </c>
      <c r="Z211" s="34" t="str">
        <f>VLOOKUP(A211, 'Session Data'!A:AA,23,false)</f>
        <v>Stewart </v>
      </c>
      <c r="AA211" s="34" t="str">
        <f>VLOOKUP(A211, 'Session Data'!A:AA,25,false)</f>
        <v>Education</v>
      </c>
      <c r="AB211" s="34" t="str">
        <f>VLOOKUP(A211, 'Session Data'!A:AA,24,false)</f>
        <v>rstewart@sdsu.edu</v>
      </c>
      <c r="AC211" s="34" t="str">
        <f>VLOOKUP(A211, 'Session Data'!A:AA,16,false)</f>
        <v>Jahkoyah</v>
      </c>
      <c r="AD211" s="35" t="str">
        <f>VLOOKUP(A211, 'Session Data'!A:U,17,false)</f>
        <v>Boyce</v>
      </c>
      <c r="AE211" s="35" t="str">
        <f>VLOOKUP(A211, 'Session Data'!A:U,18,false)</f>
        <v>aysia</v>
      </c>
      <c r="AF211" s="35" t="str">
        <f>VLOOKUP(A211, 'Session Data'!A:U,19,false)</f>
        <v>mcWhorter</v>
      </c>
      <c r="AG211" s="35" t="str">
        <f>VLOOKUP(A211, 'Session Data'!A:U,20,false)</f>
        <v>xavier </v>
      </c>
      <c r="AH211" s="35" t="str">
        <f>VLOOKUP(A211, 'Session Data'!A:U,21,false)</f>
        <v>wells</v>
      </c>
      <c r="AI211" s="34"/>
      <c r="AJ211" s="35"/>
      <c r="AK211" s="35"/>
      <c r="AL211" s="85"/>
      <c r="AM211" s="34" t="str">
        <f>VLOOKUP(A211, 'Session Data'!A:AA,10,false)</f>
        <v>dpalmer4808@sdsu.edu</v>
      </c>
      <c r="AN211" s="46"/>
      <c r="AO211" s="48"/>
      <c r="AP211" s="48"/>
      <c r="AQ211" s="48"/>
      <c r="AR211" s="48"/>
      <c r="AS211" s="48"/>
      <c r="AT211" s="48"/>
      <c r="AU211" s="48"/>
      <c r="AV211" s="48"/>
      <c r="AW211" s="48"/>
      <c r="AX211" s="48"/>
      <c r="AY211" s="86"/>
      <c r="AZ211" s="87"/>
      <c r="BA211" s="48"/>
      <c r="BB211" s="48"/>
      <c r="BC211" s="43"/>
      <c r="BD211" s="43"/>
      <c r="BE211" s="44"/>
      <c r="BF211" s="48"/>
      <c r="BG211" s="43"/>
    </row>
    <row r="212">
      <c r="A212" s="19" t="s">
        <v>277</v>
      </c>
      <c r="B212" s="20">
        <f>VLOOKUP(F212,'Session Count DO NOT EDIT'!$A:$C,3,FALSE)</f>
        <v>4</v>
      </c>
      <c r="C212" s="20">
        <f>COUNTIFS('Scores Import DO NOT EDIT'!D:D,A212)</f>
        <v>1</v>
      </c>
      <c r="D212" s="21">
        <f t="shared" si="1"/>
        <v>0.25</v>
      </c>
      <c r="E212" s="22">
        <f>AVERAGEIFS('Scores Import DO NOT EDIT'!L:L,'Scores Import DO NOT EDIT'!D:D,A212)</f>
        <v>29</v>
      </c>
      <c r="F212" s="23" t="str">
        <f>VLOOKUP(A212, 'Session Data'!A:M,3,false)</f>
        <v>E-1</v>
      </c>
      <c r="G212" s="24" t="str">
        <f>VLOOKUP(A212, 'Session Data'!A:I,2,false)</f>
        <v>1:00 PM</v>
      </c>
      <c r="H212" s="23" t="str">
        <f>VLOOKUP(A212, 'Session Data'!A:J,5,false)</f>
        <v>Henrietta Goodwin Scholars Session</v>
      </c>
      <c r="I212" s="25" t="str">
        <f>VLOOKUP(A212, 'Session Data'!A:H,4,false)</f>
        <v>Oral</v>
      </c>
      <c r="J212" s="26" t="str">
        <f>VLOOKUP(A212, 'Session Data'!A:AA,14,false)</f>
        <v>Undergraduate</v>
      </c>
      <c r="K212" s="27" t="str">
        <f>VLOOKUP(A212, 'Session Data'!A:AA,15,false)</f>
        <v>Health and Human Services</v>
      </c>
      <c r="L212" s="47"/>
      <c r="M212" s="29" t="str">
        <f>VLOOKUP(A212, 'Session Data'!A:K,11,false)</f>
        <v>Kinesiology pre-pt</v>
      </c>
      <c r="N212" s="26" t="str">
        <f>IF(ISNA(VLOOKUP(A212, 'Award Abstract#'!C:C, 1, FALSE)), "No", "Yes")
</f>
        <v>No</v>
      </c>
      <c r="O212" s="29" t="str">
        <f>IF(ISNA(VLOOKUP(A212,'Award Abstract#'!B:B,1,FALSE)), "No", "Yes")</f>
        <v>No</v>
      </c>
      <c r="P212" s="29" t="str">
        <f>IF(ISNA(VLOOKUP(A212,'Award Abstract#'!E:E,1,FALSE)), "No", "Yes")</f>
        <v>No</v>
      </c>
      <c r="Q212" s="29" t="str">
        <f>IF(ISNA(VLOOKUP(A212,'Award Abstract#'!A:A,1,FALSE)), "No", "Yes")</f>
        <v>No</v>
      </c>
      <c r="R212" s="29" t="str">
        <f>IF(ISNA(VLOOKUP(A212,'Award Abstract#'!D:D,1,FALSE)), "No", "Yes")</f>
        <v>Yes</v>
      </c>
      <c r="S212" s="30" t="str">
        <f>VLOOKUP(A212, 'Session Data'!A:AA,27,false)</f>
        <v>Man</v>
      </c>
      <c r="T212" s="84"/>
      <c r="U212" s="84"/>
      <c r="V212" s="31" t="str">
        <f>VLOOKUP(A212, 'Session Data'!A:AA,8,false)</f>
        <v>Theodore</v>
      </c>
      <c r="W212" s="32" t="str">
        <f>VLOOKUP(A212, 'Session Data'!A:AA,9,false)</f>
        <v>Godfrey</v>
      </c>
      <c r="X212" s="33" t="str">
        <f>VLOOKUP(A212, 'Session Data'!A:AA,12,false)</f>
        <v>Social Media Impact on black adolescent education </v>
      </c>
      <c r="Y212" s="34" t="str">
        <f>VLOOKUP(A212, 'Session Data'!A:AA,22,false)</f>
        <v>Cheyenne</v>
      </c>
      <c r="Z212" s="34" t="str">
        <f>VLOOKUP(A212, 'Session Data'!A:AA,23,false)</f>
        <v>Thomas</v>
      </c>
      <c r="AA212" s="34" t="str">
        <f>VLOOKUP(A212, 'Session Data'!A:AA,25,false)</f>
        <v>Education</v>
      </c>
      <c r="AB212" s="34" t="str">
        <f>VLOOKUP(A212, 'Session Data'!A:AA,24,false)</f>
        <v>cthomas5843@sdsu.edu</v>
      </c>
      <c r="AC212" s="34" t="str">
        <f>VLOOKUP(A212, 'Session Data'!A:AA,16,false)</f>
        <v>Abigail </v>
      </c>
      <c r="AD212" s="35" t="str">
        <f>VLOOKUP(A212, 'Session Data'!A:U,17,false)</f>
        <v>Wright </v>
      </c>
      <c r="AE212" s="35" t="str">
        <f>VLOOKUP(A212, 'Session Data'!A:U,18,false)</f>
        <v>Leah </v>
      </c>
      <c r="AF212" s="35" t="str">
        <f>VLOOKUP(A212, 'Session Data'!A:U,19,false)</f>
        <v>Eshete</v>
      </c>
      <c r="AG212" s="35" t="str">
        <f>VLOOKUP(A212, 'Session Data'!A:U,20,false)</f>
        <v>Jada </v>
      </c>
      <c r="AH212" s="35" t="str">
        <f>VLOOKUP(A212, 'Session Data'!A:U,21,false)</f>
        <v>Stewart </v>
      </c>
      <c r="AI212" s="34"/>
      <c r="AJ212" s="35"/>
      <c r="AK212" s="35"/>
      <c r="AL212" s="34"/>
      <c r="AM212" s="34" t="str">
        <f>VLOOKUP(A212, 'Session Data'!A:AA,10,false)</f>
        <v>tgodfrey6905@sdsu.edu</v>
      </c>
      <c r="AN212" s="46"/>
      <c r="AO212" s="48"/>
      <c r="AP212" s="48"/>
      <c r="AQ212" s="48"/>
      <c r="AR212" s="48"/>
      <c r="AS212" s="48"/>
      <c r="AT212" s="48"/>
      <c r="AU212" s="48"/>
      <c r="AV212" s="48"/>
      <c r="AW212" s="48"/>
      <c r="AX212" s="48"/>
      <c r="AY212" s="43"/>
      <c r="AZ212" s="48"/>
      <c r="BA212" s="48"/>
      <c r="BB212" s="48"/>
      <c r="BC212" s="43"/>
      <c r="BD212" s="43"/>
      <c r="BE212" s="44"/>
      <c r="BF212" s="48"/>
      <c r="BG212" s="43"/>
    </row>
    <row r="213">
      <c r="A213" s="19" t="s">
        <v>278</v>
      </c>
      <c r="B213" s="20">
        <f>VLOOKUP(F213,'Session Count DO NOT EDIT'!$A:$C,3,FALSE)</f>
        <v>4</v>
      </c>
      <c r="C213" s="20">
        <f>COUNTIFS('Scores Import DO NOT EDIT'!D:D,A213)</f>
        <v>4</v>
      </c>
      <c r="D213" s="21">
        <f t="shared" si="1"/>
        <v>1</v>
      </c>
      <c r="E213" s="22">
        <f>AVERAGEIFS('Scores Import DO NOT EDIT'!L:L,'Scores Import DO NOT EDIT'!D:D,A213)</f>
        <v>28.25</v>
      </c>
      <c r="F213" s="23" t="str">
        <f>VLOOKUP(A213, 'Session Data'!A:M,3,false)</f>
        <v>E-1</v>
      </c>
      <c r="G213" s="24" t="str">
        <f>VLOOKUP(A213, 'Session Data'!A:I,2,false)</f>
        <v>1:00 PM</v>
      </c>
      <c r="H213" s="23" t="str">
        <f>VLOOKUP(A213, 'Session Data'!A:J,5,false)</f>
        <v>Henrietta Goodwin Scholars Session</v>
      </c>
      <c r="I213" s="25" t="str">
        <f>VLOOKUP(A213, 'Session Data'!A:H,4,false)</f>
        <v>Oral</v>
      </c>
      <c r="J213" s="26" t="str">
        <f>VLOOKUP(A213, 'Session Data'!A:AA,14,false)</f>
        <v>Undergraduate</v>
      </c>
      <c r="K213" s="27" t="str">
        <f>VLOOKUP(A213, 'Session Data'!A:AA,15,false)</f>
        <v>Sciences</v>
      </c>
      <c r="L213" s="47"/>
      <c r="M213" s="29" t="str">
        <f>VLOOKUP(A213, 'Session Data'!A:K,11,false)</f>
        <v>Cellular and Molecular Biology</v>
      </c>
      <c r="N213" s="26" t="str">
        <f>IF(ISNA(VLOOKUP(A213, 'Award Abstract#'!C:C, 1, FALSE)), "No", "Yes")
</f>
        <v>No</v>
      </c>
      <c r="O213" s="29" t="str">
        <f>IF(ISNA(VLOOKUP(A213,'Award Abstract#'!B:B,1,FALSE)), "No", "Yes")</f>
        <v>No</v>
      </c>
      <c r="P213" s="29" t="str">
        <f>IF(ISNA(VLOOKUP(A213,'Award Abstract#'!E:E,1,FALSE)), "No", "Yes")</f>
        <v>No</v>
      </c>
      <c r="Q213" s="29" t="str">
        <f>IF(ISNA(VLOOKUP(A213,'Award Abstract#'!A:A,1,FALSE)), "No", "Yes")</f>
        <v>No</v>
      </c>
      <c r="R213" s="29" t="str">
        <f>IF(ISNA(VLOOKUP(A213,'Award Abstract#'!D:D,1,FALSE)), "No", "Yes")</f>
        <v>Yes</v>
      </c>
      <c r="S213" s="30" t="str">
        <f>VLOOKUP(A213, 'Session Data'!A:AA,27,false)</f>
        <v>Woman</v>
      </c>
      <c r="T213" s="84"/>
      <c r="U213" s="84"/>
      <c r="V213" s="31" t="str">
        <f>VLOOKUP(A213, 'Session Data'!A:AA,8,false)</f>
        <v>Milanarafa</v>
      </c>
      <c r="W213" s="32" t="str">
        <f>VLOOKUP(A213, 'Session Data'!A:AA,9,false)</f>
        <v>Abdalla</v>
      </c>
      <c r="X213" s="33" t="str">
        <f>VLOOKUP(A213, 'Session Data'!A:AA,12,false)</f>
        <v>Affirmative Action: Equity not Equality</v>
      </c>
      <c r="Y213" s="34" t="str">
        <f>VLOOKUP(A213, 'Session Data'!A:AA,22,false)</f>
        <v>Rachel</v>
      </c>
      <c r="Z213" s="34" t="str">
        <f>VLOOKUP(A213, 'Session Data'!A:AA,23,false)</f>
        <v>Stewart</v>
      </c>
      <c r="AA213" s="34" t="str">
        <f>VLOOKUP(A213, 'Session Data'!A:AA,25,false)</f>
        <v>Other</v>
      </c>
      <c r="AB213" s="34" t="str">
        <f>VLOOKUP(A213, 'Session Data'!A:AA,24,false)</f>
        <v>rstewart@sdsu.edu</v>
      </c>
      <c r="AC213" s="34" t="str">
        <f>VLOOKUP(A213, 'Session Data'!A:AA,16,false)</f>
        <v>naiyah</v>
      </c>
      <c r="AD213" s="35" t="str">
        <f>VLOOKUP(A213, 'Session Data'!A:U,17,false)</f>
        <v>harris</v>
      </c>
      <c r="AE213" s="35" t="str">
        <f>VLOOKUP(A213, 'Session Data'!A:U,18,false)</f>
        <v>Vanessa</v>
      </c>
      <c r="AF213" s="35" t="str">
        <f>VLOOKUP(A213, 'Session Data'!A:U,19,false)</f>
        <v>Chadwick</v>
      </c>
      <c r="AG213" s="35" t="str">
        <f>VLOOKUP(A213, 'Session Data'!A:U,20,false)</f>
        <v>Kai</v>
      </c>
      <c r="AH213" s="35" t="str">
        <f>VLOOKUP(A213, 'Session Data'!A:U,21,false)</f>
        <v>Howell</v>
      </c>
      <c r="AI213" s="34"/>
      <c r="AJ213" s="35"/>
      <c r="AK213" s="35"/>
      <c r="AL213" s="34"/>
      <c r="AM213" s="34" t="str">
        <f>VLOOKUP(A213, 'Session Data'!A:AA,10,false)</f>
        <v>mabdalla8167@sdsu.edu</v>
      </c>
      <c r="AN213" s="46"/>
      <c r="AO213" s="48"/>
      <c r="AP213" s="48"/>
      <c r="AQ213" s="48"/>
      <c r="AR213" s="48"/>
      <c r="AS213" s="48"/>
      <c r="AT213" s="48"/>
      <c r="AU213" s="48"/>
      <c r="AV213" s="48"/>
      <c r="AW213" s="48"/>
      <c r="AX213" s="48"/>
      <c r="AY213" s="43"/>
      <c r="AZ213" s="48"/>
      <c r="BA213" s="48"/>
      <c r="BB213" s="48"/>
      <c r="BC213" s="43"/>
      <c r="BD213" s="43"/>
      <c r="BE213" s="44"/>
      <c r="BF213" s="48"/>
      <c r="BG213" s="43"/>
    </row>
    <row r="214">
      <c r="A214" s="19" t="s">
        <v>279</v>
      </c>
      <c r="B214" s="20">
        <f>VLOOKUP(F214,'Session Count DO NOT EDIT'!$A:$C,3,FALSE)</f>
        <v>4</v>
      </c>
      <c r="C214" s="20">
        <f>COUNTIFS('Scores Import DO NOT EDIT'!D:D,A214)</f>
        <v>4</v>
      </c>
      <c r="D214" s="21">
        <f t="shared" si="1"/>
        <v>1</v>
      </c>
      <c r="E214" s="22">
        <f>AVERAGEIFS('Scores Import DO NOT EDIT'!L:L,'Scores Import DO NOT EDIT'!D:D,A214)</f>
        <v>27.25</v>
      </c>
      <c r="F214" s="23" t="str">
        <f>VLOOKUP(A214, 'Session Data'!A:M,3,false)</f>
        <v>E-1</v>
      </c>
      <c r="G214" s="24" t="str">
        <f>VLOOKUP(A214, 'Session Data'!A:I,2,false)</f>
        <v>1:00 PM</v>
      </c>
      <c r="H214" s="23" t="str">
        <f>VLOOKUP(A214, 'Session Data'!A:J,5,false)</f>
        <v>Henrietta Goodwin Scholars Session</v>
      </c>
      <c r="I214" s="25" t="str">
        <f>VLOOKUP(A214, 'Session Data'!A:H,4,false)</f>
        <v>Oral</v>
      </c>
      <c r="J214" s="26" t="str">
        <f>VLOOKUP(A214, 'Session Data'!A:AA,14,false)</f>
        <v>Undergraduate</v>
      </c>
      <c r="K214" s="27" t="str">
        <f>VLOOKUP(A214, 'Session Data'!A:AA,15,false)</f>
        <v>Fowler College of Business</v>
      </c>
      <c r="L214" s="28" t="s">
        <v>95</v>
      </c>
      <c r="M214" s="29" t="str">
        <f>VLOOKUP(A214, 'Session Data'!A:K,11,false)</f>
        <v>Bachelors </v>
      </c>
      <c r="N214" s="26" t="str">
        <f>IF(ISNA(VLOOKUP(A214, 'Award Abstract#'!C:C, 1, FALSE)), "No", "Yes")
</f>
        <v>No</v>
      </c>
      <c r="O214" s="29" t="str">
        <f>IF(ISNA(VLOOKUP(A214,'Award Abstract#'!B:B,1,FALSE)), "No", "Yes")</f>
        <v>No</v>
      </c>
      <c r="P214" s="29" t="str">
        <f>IF(ISNA(VLOOKUP(A214,'Award Abstract#'!E:E,1,FALSE)), "No", "Yes")</f>
        <v>No</v>
      </c>
      <c r="Q214" s="29" t="str">
        <f>IF(ISNA(VLOOKUP(A214,'Award Abstract#'!A:A,1,FALSE)), "No", "Yes")</f>
        <v>No</v>
      </c>
      <c r="R214" s="29" t="str">
        <f>IF(ISNA(VLOOKUP(A214,'Award Abstract#'!D:D,1,FALSE)), "No", "Yes")</f>
        <v>Yes</v>
      </c>
      <c r="S214" s="30" t="str">
        <f>VLOOKUP(A214, 'Session Data'!A:AA,27,false)</f>
        <v>Woman</v>
      </c>
      <c r="T214" s="84"/>
      <c r="U214" s="84"/>
      <c r="V214" s="31" t="str">
        <f>VLOOKUP(A214, 'Session Data'!A:AA,8,false)</f>
        <v>Brenna</v>
      </c>
      <c r="W214" s="32" t="str">
        <f>VLOOKUP(A214, 'Session Data'!A:AA,9,false)</f>
        <v>Barnes</v>
      </c>
      <c r="X214" s="33" t="str">
        <f>VLOOKUP(A214, 'Session Data'!A:AA,12,false)</f>
        <v>Why are Black Women in Sports are Perceived Badly in The Media?</v>
      </c>
      <c r="Y214" s="34" t="str">
        <f>VLOOKUP(A214, 'Session Data'!A:AA,22,false)</f>
        <v>Rachael</v>
      </c>
      <c r="Z214" s="34" t="str">
        <f>VLOOKUP(A214, 'Session Data'!A:AA,23,false)</f>
        <v>Stewart</v>
      </c>
      <c r="AA214" s="34" t="str">
        <f>VLOOKUP(A214, 'Session Data'!A:AA,25,false)</f>
        <v>Other</v>
      </c>
      <c r="AB214" s="34" t="str">
        <f>VLOOKUP(A214, 'Session Data'!A:AA,24,false)</f>
        <v>rstewart@navigate.sdsu.edu</v>
      </c>
      <c r="AC214" s="34" t="str">
        <f>VLOOKUP(A214, 'Session Data'!A:AA,16,false)</f>
        <v>Angelina </v>
      </c>
      <c r="AD214" s="35" t="str">
        <f>VLOOKUP(A214, 'Session Data'!A:U,17,false)</f>
        <v>Thomas</v>
      </c>
      <c r="AE214" s="35" t="str">
        <f>VLOOKUP(A214, 'Session Data'!A:U,18,false)</f>
        <v>Chuck </v>
      </c>
      <c r="AF214" s="35" t="str">
        <f>VLOOKUP(A214, 'Session Data'!A:U,19,false)</f>
        <v>Thompson</v>
      </c>
      <c r="AG214" s="35" t="str">
        <f>VLOOKUP(A214, 'Session Data'!A:U,20,false)</f>
        <v>Isis</v>
      </c>
      <c r="AH214" s="35" t="str">
        <f>VLOOKUP(A214, 'Session Data'!A:U,21,false)</f>
        <v>Sylve</v>
      </c>
      <c r="AI214" s="34"/>
      <c r="AJ214" s="35"/>
      <c r="AK214" s="35"/>
      <c r="AL214" s="34"/>
      <c r="AM214" s="34" t="str">
        <f>VLOOKUP(A214, 'Session Data'!A:AA,10,false)</f>
        <v>bbarnes9396@sdsu.edu</v>
      </c>
      <c r="AN214" s="46"/>
      <c r="AO214" s="48"/>
      <c r="AP214" s="48"/>
      <c r="AQ214" s="48"/>
      <c r="AR214" s="48"/>
      <c r="AS214" s="48"/>
      <c r="AT214" s="48"/>
      <c r="AU214" s="48"/>
      <c r="AV214" s="48"/>
      <c r="AW214" s="48"/>
      <c r="AX214" s="48"/>
      <c r="AY214" s="43"/>
      <c r="AZ214" s="48"/>
      <c r="BA214" s="48"/>
      <c r="BB214" s="48"/>
      <c r="BC214" s="43"/>
      <c r="BD214" s="43"/>
      <c r="BE214" s="44"/>
      <c r="BF214" s="48"/>
      <c r="BG214" s="43"/>
    </row>
    <row r="215">
      <c r="A215" s="19" t="s">
        <v>280</v>
      </c>
      <c r="B215" s="20">
        <f>VLOOKUP(F215,'Session Count DO NOT EDIT'!$A:$C,3,FALSE)</f>
        <v>4</v>
      </c>
      <c r="C215" s="20">
        <f>COUNTIFS('Scores Import DO NOT EDIT'!D:D,A215)</f>
        <v>1</v>
      </c>
      <c r="D215" s="21">
        <f t="shared" si="1"/>
        <v>0.25</v>
      </c>
      <c r="E215" s="22">
        <f>AVERAGEIFS('Scores Import DO NOT EDIT'!L:L,'Scores Import DO NOT EDIT'!D:D,A215)</f>
        <v>28</v>
      </c>
      <c r="F215" s="23" t="str">
        <f>VLOOKUP(A215, 'Session Data'!A:M,3,false)</f>
        <v>E-2</v>
      </c>
      <c r="G215" s="24" t="str">
        <f>VLOOKUP(A215, 'Session Data'!A:I,2,false)</f>
        <v>3:00 PM</v>
      </c>
      <c r="H215" s="23" t="str">
        <f>VLOOKUP(A215, 'Session Data'!A:J,5,false)</f>
        <v>Henrietta Goodwin Scholars Session</v>
      </c>
      <c r="I215" s="25" t="str">
        <f>VLOOKUP(A215, 'Session Data'!A:H,4,false)</f>
        <v>Oral</v>
      </c>
      <c r="J215" s="26" t="str">
        <f>VLOOKUP(A215, 'Session Data'!A:AA,14,false)</f>
        <v>Undergraduate</v>
      </c>
      <c r="K215" s="27" t="str">
        <f>VLOOKUP(A215, 'Session Data'!A:AA,15,false)</f>
        <v>Sciences</v>
      </c>
      <c r="L215" s="47"/>
      <c r="M215" s="29" t="str">
        <f>VLOOKUP(A215, 'Session Data'!A:K,11,false)</f>
        <v>Bachelor/Psychology</v>
      </c>
      <c r="N215" s="26" t="str">
        <f>IF(ISNA(VLOOKUP(A215, 'Award Abstract#'!C:C, 1, FALSE)), "No", "Yes")
</f>
        <v>No</v>
      </c>
      <c r="O215" s="29" t="str">
        <f>IF(ISNA(VLOOKUP(A215,'Award Abstract#'!B:B,1,FALSE)), "No", "Yes")</f>
        <v>No</v>
      </c>
      <c r="P215" s="29" t="str">
        <f>IF(ISNA(VLOOKUP(A215,'Award Abstract#'!E:E,1,FALSE)), "No", "Yes")</f>
        <v>No</v>
      </c>
      <c r="Q215" s="29" t="str">
        <f>IF(ISNA(VLOOKUP(A215,'Award Abstract#'!A:A,1,FALSE)), "No", "Yes")</f>
        <v>No</v>
      </c>
      <c r="R215" s="29" t="str">
        <f>IF(ISNA(VLOOKUP(A215,'Award Abstract#'!D:D,1,FALSE)), "No", "Yes")</f>
        <v>Yes</v>
      </c>
      <c r="S215" s="30" t="str">
        <f>VLOOKUP(A215, 'Session Data'!A:AA,27,false)</f>
        <v>Woman</v>
      </c>
      <c r="T215" s="84"/>
      <c r="U215" s="84"/>
      <c r="V215" s="31" t="str">
        <f>VLOOKUP(A215, 'Session Data'!A:AA,8,false)</f>
        <v>Layla</v>
      </c>
      <c r="W215" s="32" t="str">
        <f>VLOOKUP(A215, 'Session Data'!A:AA,9,false)</f>
        <v>Jones</v>
      </c>
      <c r="X215" s="33" t="str">
        <f>VLOOKUP(A215, 'Session Data'!A:AA,12,false)</f>
        <v>Credit Where Credit is Due: Exploring the Factors of Misrepresentation of African Americans in Media and Pop Culture</v>
      </c>
      <c r="Y215" s="34" t="str">
        <f>VLOOKUP(A215, 'Session Data'!A:AA,22,false)</f>
        <v>Rachael </v>
      </c>
      <c r="Z215" s="34" t="str">
        <f>VLOOKUP(A215, 'Session Data'!A:AA,23,false)</f>
        <v>Stewart</v>
      </c>
      <c r="AA215" s="34" t="str">
        <f>VLOOKUP(A215, 'Session Data'!A:AA,25,false)</f>
        <v>Education</v>
      </c>
      <c r="AB215" s="34" t="str">
        <f>VLOOKUP(A215, 'Session Data'!A:AA,24,false)</f>
        <v>rstewart@sdsu.edu</v>
      </c>
      <c r="AC215" s="34" t="str">
        <f>VLOOKUP(A215, 'Session Data'!A:AA,16,false)</f>
        <v>Ben</v>
      </c>
      <c r="AD215" s="35" t="str">
        <f>VLOOKUP(A215, 'Session Data'!A:U,17,false)</f>
        <v>Ekejiuba</v>
      </c>
      <c r="AE215" s="35" t="str">
        <f>VLOOKUP(A215, 'Session Data'!A:U,18,false)</f>
        <v>Lynda</v>
      </c>
      <c r="AF215" s="35" t="str">
        <f>VLOOKUP(A215, 'Session Data'!A:U,19,false)</f>
        <v>Fulton </v>
      </c>
      <c r="AG215" s="35" t="str">
        <f>VLOOKUP(A215, 'Session Data'!A:U,20,false)</f>
        <v>Zay</v>
      </c>
      <c r="AH215" s="35" t="str">
        <f>VLOOKUP(A215, 'Session Data'!A:U,21,false)</f>
        <v>Gordon</v>
      </c>
      <c r="AI215" s="34"/>
      <c r="AJ215" s="35"/>
      <c r="AK215" s="35"/>
      <c r="AL215" s="34"/>
      <c r="AM215" s="34" t="str">
        <f>VLOOKUP(A215, 'Session Data'!A:AA,10,false)</f>
        <v>rstewart@sdsu.edu</v>
      </c>
      <c r="AN215" s="46"/>
      <c r="AO215" s="48"/>
      <c r="AP215" s="48"/>
      <c r="AQ215" s="48"/>
      <c r="AR215" s="48"/>
      <c r="AS215" s="48"/>
      <c r="AT215" s="48"/>
      <c r="AU215" s="48"/>
      <c r="AV215" s="48"/>
      <c r="AW215" s="48"/>
      <c r="AX215" s="48"/>
      <c r="AY215" s="43"/>
      <c r="AZ215" s="48"/>
      <c r="BA215" s="48"/>
      <c r="BB215" s="48"/>
      <c r="BC215" s="43"/>
      <c r="BD215" s="43"/>
      <c r="BE215" s="44"/>
      <c r="BF215" s="48"/>
      <c r="BG215" s="43"/>
    </row>
    <row r="216">
      <c r="A216" s="19" t="s">
        <v>281</v>
      </c>
      <c r="B216" s="20">
        <f>VLOOKUP(F216,'Session Count DO NOT EDIT'!$A:$C,3,FALSE)</f>
        <v>4</v>
      </c>
      <c r="C216" s="20">
        <f>COUNTIFS('Scores Import DO NOT EDIT'!D:D,A216)</f>
        <v>1</v>
      </c>
      <c r="D216" s="21">
        <f t="shared" si="1"/>
        <v>0.25</v>
      </c>
      <c r="E216" s="22">
        <f>AVERAGEIFS('Scores Import DO NOT EDIT'!L:L,'Scores Import DO NOT EDIT'!D:D,A216)</f>
        <v>21</v>
      </c>
      <c r="F216" s="23" t="str">
        <f>VLOOKUP(A216, 'Session Data'!A:M,3,false)</f>
        <v>E-2</v>
      </c>
      <c r="G216" s="24" t="str">
        <f>VLOOKUP(A216, 'Session Data'!A:I,2,false)</f>
        <v>3:00 PM</v>
      </c>
      <c r="H216" s="23" t="str">
        <f>VLOOKUP(A216, 'Session Data'!A:J,5,false)</f>
        <v>Henrietta Goodwin Scholars Session</v>
      </c>
      <c r="I216" s="25" t="str">
        <f>VLOOKUP(A216, 'Session Data'!A:H,4,false)</f>
        <v>Oral</v>
      </c>
      <c r="J216" s="26" t="str">
        <f>VLOOKUP(A216, 'Session Data'!A:AA,14,false)</f>
        <v>Undergraduate</v>
      </c>
      <c r="K216" s="27" t="str">
        <f>VLOOKUP(A216, 'Session Data'!A:AA,15,false)</f>
        <v>Health and Human Services</v>
      </c>
      <c r="L216" s="47"/>
      <c r="M216" s="29" t="str">
        <f>VLOOKUP(A216, 'Session Data'!A:K,11,false)</f>
        <v>Undeclared - Planning to enter Public Health</v>
      </c>
      <c r="N216" s="26" t="str">
        <f>IF(ISNA(VLOOKUP(A216, 'Award Abstract#'!C:C, 1, FALSE)), "No", "Yes")
</f>
        <v>No</v>
      </c>
      <c r="O216" s="29" t="str">
        <f>IF(ISNA(VLOOKUP(A216,'Award Abstract#'!B:B,1,FALSE)), "No", "Yes")</f>
        <v>No</v>
      </c>
      <c r="P216" s="29" t="str">
        <f>IF(ISNA(VLOOKUP(A216,'Award Abstract#'!E:E,1,FALSE)), "No", "Yes")</f>
        <v>No</v>
      </c>
      <c r="Q216" s="29" t="str">
        <f>IF(ISNA(VLOOKUP(A216,'Award Abstract#'!A:A,1,FALSE)), "No", "Yes")</f>
        <v>No</v>
      </c>
      <c r="R216" s="29" t="str">
        <f>IF(ISNA(VLOOKUP(A216,'Award Abstract#'!D:D,1,FALSE)), "No", "Yes")</f>
        <v>No</v>
      </c>
      <c r="S216" s="30" t="str">
        <f>VLOOKUP(A216, 'Session Data'!A:AA,27,false)</f>
        <v>Woman</v>
      </c>
      <c r="T216" s="84"/>
      <c r="U216" s="84"/>
      <c r="V216" s="31" t="str">
        <f>VLOOKUP(A216, 'Session Data'!A:AA,8,false)</f>
        <v>Camryn</v>
      </c>
      <c r="W216" s="32" t="str">
        <f>VLOOKUP(A216, 'Session Data'!A:AA,9,false)</f>
        <v>Cabine</v>
      </c>
      <c r="X216" s="33" t="str">
        <f>VLOOKUP(A216, 'Session Data'!A:AA,12,false)</f>
        <v>Increasing the Enrollment of Black Students at San Diego State University</v>
      </c>
      <c r="Y216" s="34" t="str">
        <f>VLOOKUP(A216, 'Session Data'!A:AA,22,false)</f>
        <v>Rachel</v>
      </c>
      <c r="Z216" s="34" t="str">
        <f>VLOOKUP(A216, 'Session Data'!A:AA,23,false)</f>
        <v>Stewart</v>
      </c>
      <c r="AA216" s="34" t="str">
        <f>VLOOKUP(A216, 'Session Data'!A:AA,25,false)</f>
        <v>Other</v>
      </c>
      <c r="AB216" s="34" t="str">
        <f>VLOOKUP(A216, 'Session Data'!A:AA,24,false)</f>
        <v>rstewart@sdsu.edu</v>
      </c>
      <c r="AC216" s="34" t="str">
        <f>VLOOKUP(A216, 'Session Data'!A:AA,16,false)</f>
        <v>Jaya</v>
      </c>
      <c r="AD216" s="35" t="str">
        <f>VLOOKUP(A216, 'Session Data'!A:U,17,false)</f>
        <v>Davis</v>
      </c>
      <c r="AE216" s="35" t="str">
        <f>VLOOKUP(A216, 'Session Data'!A:U,18,false)</f>
        <v>Max </v>
      </c>
      <c r="AF216" s="35" t="str">
        <f>VLOOKUP(A216, 'Session Data'!A:U,19,false)</f>
        <v>Jones</v>
      </c>
      <c r="AG216" s="35" t="str">
        <f>VLOOKUP(A216, 'Session Data'!A:U,20,false)</f>
        <v>Nayeli</v>
      </c>
      <c r="AH216" s="35" t="str">
        <f>VLOOKUP(A216, 'Session Data'!A:U,21,false)</f>
        <v>Reyna</v>
      </c>
      <c r="AI216" s="34"/>
      <c r="AJ216" s="35"/>
      <c r="AK216" s="35"/>
      <c r="AL216" s="34"/>
      <c r="AM216" s="34" t="str">
        <f>VLOOKUP(A216, 'Session Data'!A:AA,10,false)</f>
        <v>ccabine1034@sdsu.edu</v>
      </c>
      <c r="AN216" s="46"/>
      <c r="AO216" s="48"/>
      <c r="AP216" s="48"/>
      <c r="AQ216" s="48"/>
      <c r="AR216" s="48"/>
      <c r="AS216" s="48"/>
      <c r="AT216" s="48"/>
      <c r="AU216" s="48"/>
      <c r="AV216" s="48"/>
      <c r="AW216" s="48"/>
      <c r="AX216" s="48"/>
      <c r="AY216" s="43"/>
      <c r="AZ216" s="48"/>
      <c r="BA216" s="48"/>
      <c r="BB216" s="48"/>
      <c r="BC216" s="43"/>
      <c r="BD216" s="43"/>
      <c r="BE216" s="44"/>
      <c r="BF216" s="48"/>
      <c r="BG216" s="43"/>
    </row>
    <row r="217">
      <c r="A217" s="19" t="s">
        <v>282</v>
      </c>
      <c r="B217" s="20">
        <f>VLOOKUP(F217,'Session Count DO NOT EDIT'!$A:$C,3,FALSE)</f>
        <v>4</v>
      </c>
      <c r="C217" s="20">
        <f>COUNTIFS('Scores Import DO NOT EDIT'!D:D,A217)</f>
        <v>1</v>
      </c>
      <c r="D217" s="21">
        <f t="shared" si="1"/>
        <v>0.25</v>
      </c>
      <c r="E217" s="22">
        <f>AVERAGEIFS('Scores Import DO NOT EDIT'!L:L,'Scores Import DO NOT EDIT'!D:D,A217)</f>
        <v>19</v>
      </c>
      <c r="F217" s="23" t="str">
        <f>VLOOKUP(A217, 'Session Data'!A:M,3,false)</f>
        <v>E-2</v>
      </c>
      <c r="G217" s="24" t="str">
        <f>VLOOKUP(A217, 'Session Data'!A:I,2,false)</f>
        <v>3:00 PM</v>
      </c>
      <c r="H217" s="23" t="str">
        <f>VLOOKUP(A217, 'Session Data'!A:J,5,false)</f>
        <v>Henrietta Goodwin Scholars Session</v>
      </c>
      <c r="I217" s="25" t="str">
        <f>VLOOKUP(A217, 'Session Data'!A:H,4,false)</f>
        <v>Oral</v>
      </c>
      <c r="J217" s="26" t="str">
        <f>VLOOKUP(A217, 'Session Data'!A:AA,14,false)</f>
        <v>Undergraduate</v>
      </c>
      <c r="K217" s="27" t="str">
        <f>VLOOKUP(A217, 'Session Data'!A:AA,15,false)</f>
        <v>Sciences</v>
      </c>
      <c r="L217" s="47"/>
      <c r="M217" s="29" t="str">
        <f>VLOOKUP(A217, 'Session Data'!A:K,11,false)</f>
        <v>Biology</v>
      </c>
      <c r="N217" s="26" t="str">
        <f>IF(ISNA(VLOOKUP(A217, 'Award Abstract#'!C:C, 1, FALSE)), "No", "Yes")
</f>
        <v>No</v>
      </c>
      <c r="O217" s="29" t="str">
        <f>IF(ISNA(VLOOKUP(A217,'Award Abstract#'!B:B,1,FALSE)), "No", "Yes")</f>
        <v>No</v>
      </c>
      <c r="P217" s="29" t="str">
        <f>IF(ISNA(VLOOKUP(A217,'Award Abstract#'!E:E,1,FALSE)), "No", "Yes")</f>
        <v>No</v>
      </c>
      <c r="Q217" s="29" t="str">
        <f>IF(ISNA(VLOOKUP(A217,'Award Abstract#'!A:A,1,FALSE)), "No", "Yes")</f>
        <v>No</v>
      </c>
      <c r="R217" s="29" t="str">
        <f>IF(ISNA(VLOOKUP(A217,'Award Abstract#'!D:D,1,FALSE)), "No", "Yes")</f>
        <v>Yes</v>
      </c>
      <c r="S217" s="30" t="str">
        <f>VLOOKUP(A217, 'Session Data'!A:AA,27,false)</f>
        <v>Woman</v>
      </c>
      <c r="T217" s="84"/>
      <c r="U217" s="84"/>
      <c r="V217" s="31" t="str">
        <f>VLOOKUP(A217, 'Session Data'!A:AA,8,false)</f>
        <v>Nyana</v>
      </c>
      <c r="W217" s="32" t="str">
        <f>VLOOKUP(A217, 'Session Data'!A:AA,9,false)</f>
        <v>Martin</v>
      </c>
      <c r="X217" s="33" t="str">
        <f>VLOOKUP(A217, 'Session Data'!A:AA,12,false)</f>
        <v>Black Students experiences within higher education  </v>
      </c>
      <c r="Y217" s="34" t="str">
        <f>VLOOKUP(A217, 'Session Data'!A:AA,22,false)</f>
        <v>aiden</v>
      </c>
      <c r="Z217" s="34" t="str">
        <f>VLOOKUP(A217, 'Session Data'!A:AA,23,false)</f>
        <v>hunter</v>
      </c>
      <c r="AA217" s="34" t="str">
        <f>VLOOKUP(A217, 'Session Data'!A:AA,25,false)</f>
        <v>Sciences</v>
      </c>
      <c r="AB217" s="34"/>
      <c r="AC217" s="34" t="str">
        <f>VLOOKUP(A217, 'Session Data'!A:AA,16,false)</f>
        <v>Dea</v>
      </c>
      <c r="AD217" s="35" t="str">
        <f>VLOOKUP(A217, 'Session Data'!A:U,17,false)</f>
        <v>Lampkins</v>
      </c>
      <c r="AE217" s="35" t="str">
        <f>VLOOKUP(A217, 'Session Data'!A:U,18,false)</f>
        <v>Jasper</v>
      </c>
      <c r="AF217" s="35" t="str">
        <f>VLOOKUP(A217, 'Session Data'!A:U,19,false)</f>
        <v>Felder</v>
      </c>
      <c r="AG217" s="35" t="str">
        <f>VLOOKUP(A217, 'Session Data'!A:U,20,false)</f>
        <v>Nameel</v>
      </c>
      <c r="AH217" s="35" t="str">
        <f>VLOOKUP(A217, 'Session Data'!A:U,21,false)</f>
        <v>Abye </v>
      </c>
      <c r="AI217" s="34"/>
      <c r="AJ217" s="35"/>
      <c r="AK217" s="35"/>
      <c r="AL217" s="34"/>
      <c r="AM217" s="34" t="str">
        <f>VLOOKUP(A217, 'Session Data'!A:AA,10,false)</f>
        <v>nmartin1305@sdsu.edu</v>
      </c>
      <c r="AN217" s="46"/>
      <c r="AO217" s="48"/>
      <c r="AP217" s="48"/>
      <c r="AQ217" s="48"/>
      <c r="AR217" s="48"/>
      <c r="AS217" s="48"/>
      <c r="AT217" s="48"/>
      <c r="AU217" s="48"/>
      <c r="AV217" s="48"/>
      <c r="AW217" s="48"/>
      <c r="AX217" s="48"/>
      <c r="AY217" s="43"/>
      <c r="AZ217" s="48"/>
      <c r="BA217" s="48"/>
      <c r="BB217" s="48"/>
      <c r="BC217" s="43"/>
      <c r="BD217" s="43"/>
      <c r="BE217" s="44"/>
      <c r="BF217" s="48"/>
      <c r="BG217" s="43"/>
    </row>
    <row r="218">
      <c r="A218" s="19" t="s">
        <v>283</v>
      </c>
      <c r="B218" s="20">
        <f>VLOOKUP(F218,'Session Count DO NOT EDIT'!$A:$C,3,FALSE)</f>
        <v>4</v>
      </c>
      <c r="C218" s="20">
        <f>COUNTIFS('Scores Import DO NOT EDIT'!D:D,A218)</f>
        <v>1</v>
      </c>
      <c r="D218" s="21">
        <f t="shared" si="1"/>
        <v>0.25</v>
      </c>
      <c r="E218" s="22">
        <f>AVERAGEIFS('Scores Import DO NOT EDIT'!L:L,'Scores Import DO NOT EDIT'!D:D,A218)</f>
        <v>17</v>
      </c>
      <c r="F218" s="23" t="str">
        <f>VLOOKUP(A218, 'Session Data'!A:M,3,false)</f>
        <v>E-2</v>
      </c>
      <c r="G218" s="24" t="str">
        <f>VLOOKUP(A218, 'Session Data'!A:I,2,false)</f>
        <v>3:00 PM</v>
      </c>
      <c r="H218" s="23" t="str">
        <f>VLOOKUP(A218, 'Session Data'!A:J,5,false)</f>
        <v>Henrietta Goodwin Scholars Session</v>
      </c>
      <c r="I218" s="25" t="str">
        <f>VLOOKUP(A218, 'Session Data'!A:H,4,false)</f>
        <v>Oral</v>
      </c>
      <c r="J218" s="26" t="str">
        <f>VLOOKUP(A218, 'Session Data'!A:AA,14,false)</f>
        <v>Undergraduate</v>
      </c>
      <c r="K218" s="27" t="str">
        <f>VLOOKUP(A218, 'Session Data'!A:AA,15,false)</f>
        <v>Sciences</v>
      </c>
      <c r="L218" s="47"/>
      <c r="M218" s="29" t="str">
        <f>VLOOKUP(A218, 'Session Data'!A:K,11,false)</f>
        <v>Kinesiology</v>
      </c>
      <c r="N218" s="26" t="str">
        <f>IF(ISNA(VLOOKUP(A218, 'Award Abstract#'!C:C, 1, FALSE)), "No", "Yes")
</f>
        <v>No</v>
      </c>
      <c r="O218" s="29" t="str">
        <f>IF(ISNA(VLOOKUP(A218,'Award Abstract#'!B:B,1,FALSE)), "No", "Yes")</f>
        <v>No</v>
      </c>
      <c r="P218" s="29" t="str">
        <f>IF(ISNA(VLOOKUP(A218,'Award Abstract#'!E:E,1,FALSE)), "No", "Yes")</f>
        <v>No</v>
      </c>
      <c r="Q218" s="29" t="str">
        <f>IF(ISNA(VLOOKUP(A218,'Award Abstract#'!A:A,1,FALSE)), "No", "Yes")</f>
        <v>No</v>
      </c>
      <c r="R218" s="29" t="str">
        <f>IF(ISNA(VLOOKUP(A218,'Award Abstract#'!D:D,1,FALSE)), "No", "Yes")</f>
        <v>Yes</v>
      </c>
      <c r="S218" s="30" t="str">
        <f>VLOOKUP(A218, 'Session Data'!A:AA,27,false)</f>
        <v>Man</v>
      </c>
      <c r="T218" s="84"/>
      <c r="U218" s="84"/>
      <c r="V218" s="31" t="str">
        <f>VLOOKUP(A218, 'Session Data'!A:AA,8,false)</f>
        <v>Jhacib</v>
      </c>
      <c r="W218" s="32" t="str">
        <f>VLOOKUP(A218, 'Session Data'!A:AA,9,false)</f>
        <v>Blenman</v>
      </c>
      <c r="X218" s="33" t="str">
        <f>VLOOKUP(A218, 'Session Data'!A:AA,12,false)</f>
        <v>Is there a stigma to mental health for Black students?</v>
      </c>
      <c r="Y218" s="34" t="str">
        <f>VLOOKUP(A218, 'Session Data'!A:AA,22,false)</f>
        <v>Fraol</v>
      </c>
      <c r="Z218" s="34" t="str">
        <f>VLOOKUP(A218, 'Session Data'!A:AA,23,false)</f>
        <v>Olyad </v>
      </c>
      <c r="AA218" s="34" t="str">
        <f>VLOOKUP(A218, 'Session Data'!A:AA,25,false)</f>
        <v>Education</v>
      </c>
      <c r="AB218" s="34"/>
      <c r="AC218" s="34" t="str">
        <f>VLOOKUP(A218, 'Session Data'!A:AA,16,false)</f>
        <v>Mia</v>
      </c>
      <c r="AD218" s="35" t="str">
        <f>VLOOKUP(A218, 'Session Data'!A:U,17,false)</f>
        <v>Savage</v>
      </c>
      <c r="AE218" s="35" t="str">
        <f>VLOOKUP(A218, 'Session Data'!A:U,18,false)</f>
        <v>Nevaeha</v>
      </c>
      <c r="AF218" s="35" t="str">
        <f>VLOOKUP(A218, 'Session Data'!A:U,19,false)</f>
        <v>Crisp</v>
      </c>
      <c r="AG218" s="35" t="str">
        <f>VLOOKUP(A218, 'Session Data'!A:U,20,false)</f>
        <v>Renija </v>
      </c>
      <c r="AH218" s="35" t="str">
        <f>VLOOKUP(A218, 'Session Data'!A:U,21,false)</f>
        <v>Howard</v>
      </c>
      <c r="AI218" s="34"/>
      <c r="AJ218" s="35"/>
      <c r="AK218" s="35"/>
      <c r="AL218" s="34"/>
      <c r="AM218" s="34" t="str">
        <f>VLOOKUP(A218, 'Session Data'!A:AA,10,false)</f>
        <v>jblenman0675@sdsu.edu</v>
      </c>
      <c r="AN218" s="46"/>
      <c r="AO218" s="48"/>
      <c r="AP218" s="48"/>
      <c r="AQ218" s="48"/>
      <c r="AR218" s="48"/>
      <c r="AS218" s="48"/>
      <c r="AT218" s="48"/>
      <c r="AU218" s="48"/>
      <c r="AV218" s="48"/>
      <c r="AW218" s="48"/>
      <c r="AX218" s="48"/>
      <c r="AY218" s="43"/>
      <c r="AZ218" s="48"/>
      <c r="BA218" s="48"/>
      <c r="BB218" s="48"/>
      <c r="BC218" s="43"/>
      <c r="BD218" s="43"/>
      <c r="BE218" s="44"/>
      <c r="BF218" s="48"/>
      <c r="BG218" s="43"/>
    </row>
    <row r="219">
      <c r="A219" s="19" t="s">
        <v>284</v>
      </c>
      <c r="B219" s="20">
        <f>VLOOKUP(F219,'Session Count DO NOT EDIT'!$A:$C,3,FALSE)</f>
        <v>5</v>
      </c>
      <c r="C219" s="20">
        <f>COUNTIFS('Scores Import DO NOT EDIT'!D:D,A219)</f>
        <v>5</v>
      </c>
      <c r="D219" s="21">
        <f t="shared" si="1"/>
        <v>1</v>
      </c>
      <c r="E219" s="22">
        <f>AVERAGEIFS('Scores Import DO NOT EDIT'!L:L,'Scores Import DO NOT EDIT'!D:D,A219)</f>
        <v>32.2</v>
      </c>
      <c r="F219" s="23" t="str">
        <f>VLOOKUP(A219, 'Session Data'!A:M,3,false)</f>
        <v>F-1</v>
      </c>
      <c r="G219" s="24" t="str">
        <f>VLOOKUP(A219, 'Session Data'!A:I,2,false)</f>
        <v>9:00 AM</v>
      </c>
      <c r="H219" s="23" t="str">
        <f>VLOOKUP(A219, 'Session Data'!A:J,5,false)</f>
        <v>Behavioral and Social Sciences 1</v>
      </c>
      <c r="I219" s="25" t="str">
        <f>VLOOKUP(A219, 'Session Data'!A:H,4,false)</f>
        <v>Poster</v>
      </c>
      <c r="J219" s="26" t="str">
        <f>VLOOKUP(A219, 'Session Data'!A:AA,14,false)</f>
        <v>Undergraduate</v>
      </c>
      <c r="K219" s="27" t="str">
        <f>VLOOKUP(A219, 'Session Data'!A:AA,15,false)</f>
        <v>Health and Human Services</v>
      </c>
      <c r="L219" s="28" t="s">
        <v>73</v>
      </c>
      <c r="M219" s="29" t="str">
        <f>VLOOKUP(A219, 'Session Data'!A:K,11,false)</f>
        <v>Speech Language and Hearing Sciences </v>
      </c>
      <c r="N219" s="26" t="str">
        <f>IF(ISNA(VLOOKUP(A219, 'Award Abstract#'!C:C, 1, FALSE)), "No", "Yes")
</f>
        <v>No</v>
      </c>
      <c r="O219" s="29" t="str">
        <f>IF(ISNA(VLOOKUP(A219,'Award Abstract#'!B:B,1,FALSE)), "No", "Yes")</f>
        <v>No</v>
      </c>
      <c r="P219" s="29" t="str">
        <f>IF(ISNA(VLOOKUP(A219,'Award Abstract#'!E:E,1,FALSE)), "No", "Yes")</f>
        <v>No</v>
      </c>
      <c r="Q219" s="29" t="str">
        <f>IF(ISNA(VLOOKUP(A219,'Award Abstract#'!A:A,1,FALSE)), "No", "Yes")</f>
        <v>No</v>
      </c>
      <c r="R219" s="29" t="str">
        <f>IF(ISNA(VLOOKUP(A219,'Award Abstract#'!D:D,1,FALSE)), "No", "Yes")</f>
        <v>No</v>
      </c>
      <c r="S219" s="30" t="str">
        <f>VLOOKUP(A219, 'Session Data'!A:AA,27,false)</f>
        <v>Woman</v>
      </c>
      <c r="T219" s="30"/>
      <c r="U219" s="30"/>
      <c r="V219" s="31" t="str">
        <f>VLOOKUP(A219, 'Session Data'!A:AA,8,false)</f>
        <v>Magdalen </v>
      </c>
      <c r="W219" s="32" t="str">
        <f>VLOOKUP(A219, 'Session Data'!A:AA,9,false)</f>
        <v>Acker</v>
      </c>
      <c r="X219" s="33" t="str">
        <f>VLOOKUP(A219, 'Session Data'!A:AA,12,false)</f>
        <v>Over-the-Counter Hearing Aids: How user-friendly are they?</v>
      </c>
      <c r="Y219" s="34" t="str">
        <f>VLOOKUP(A219, 'Session Data'!A:AA,22,false)</f>
        <v>Laura</v>
      </c>
      <c r="Z219" s="34" t="str">
        <f>VLOOKUP(A219, 'Session Data'!A:AA,23,false)</f>
        <v>Coco</v>
      </c>
      <c r="AA219" s="34" t="str">
        <f>VLOOKUP(A219, 'Session Data'!A:AA,25,false)</f>
        <v>Health and Human Services</v>
      </c>
      <c r="AB219" s="34" t="str">
        <f>VLOOKUP(A219, 'Session Data'!A:AA,24,false)</f>
        <v>lcoco@sdsu.edu</v>
      </c>
      <c r="AC219" s="34" t="str">
        <f>VLOOKUP(A219, 'Session Data'!A:AA,16,false)</f>
        <v>Tiana</v>
      </c>
      <c r="AD219" s="35" t="str">
        <f>VLOOKUP(A219, 'Session Data'!A:U,17,false)</f>
        <v>Weeks</v>
      </c>
      <c r="AE219" s="35" t="str">
        <f>VLOOKUP(A219, 'Session Data'!A:U,18,false)</f>
        <v/>
      </c>
      <c r="AF219" s="35" t="str">
        <f>VLOOKUP(A219, 'Session Data'!A:U,19,false)</f>
        <v/>
      </c>
      <c r="AG219" s="35" t="str">
        <f>VLOOKUP(A219, 'Session Data'!A:U,20,false)</f>
        <v/>
      </c>
      <c r="AH219" s="35" t="str">
        <f>VLOOKUP(A219, 'Session Data'!A:U,21,false)</f>
        <v/>
      </c>
      <c r="AI219" s="36"/>
      <c r="AJ219" s="38"/>
      <c r="AK219" s="38"/>
      <c r="AL219" s="39"/>
      <c r="AM219" s="34" t="str">
        <f>VLOOKUP(A219, 'Session Data'!A:AA,10,false)</f>
        <v>macker5757@sdsu.edu</v>
      </c>
      <c r="AN219" s="40"/>
      <c r="AO219" s="38"/>
      <c r="AP219" s="38"/>
      <c r="AQ219" s="38"/>
      <c r="AR219" s="38"/>
      <c r="AS219" s="38"/>
      <c r="AT219" s="38"/>
      <c r="AU219" s="38"/>
      <c r="AV219" s="38"/>
      <c r="AW219" s="38"/>
      <c r="AX219" s="38"/>
      <c r="AY219" s="43"/>
      <c r="AZ219" s="43"/>
      <c r="BA219" s="48"/>
      <c r="BB219" s="48"/>
      <c r="BC219" s="43"/>
      <c r="BD219" s="43"/>
      <c r="BE219" s="44"/>
      <c r="BF219" s="45"/>
      <c r="BG219" s="43"/>
    </row>
    <row r="220">
      <c r="A220" s="19" t="s">
        <v>285</v>
      </c>
      <c r="B220" s="20">
        <f>VLOOKUP(F220,'Session Count DO NOT EDIT'!$A:$C,3,FALSE)</f>
        <v>5</v>
      </c>
      <c r="C220" s="20">
        <f>COUNTIFS('Scores Import DO NOT EDIT'!D:D,A220)</f>
        <v>5</v>
      </c>
      <c r="D220" s="21">
        <f t="shared" si="1"/>
        <v>1</v>
      </c>
      <c r="E220" s="22">
        <f>AVERAGEIFS('Scores Import DO NOT EDIT'!L:L,'Scores Import DO NOT EDIT'!D:D,A220)</f>
        <v>30.2</v>
      </c>
      <c r="F220" s="23" t="str">
        <f>VLOOKUP(A220, 'Session Data'!A:M,3,false)</f>
        <v>F-1</v>
      </c>
      <c r="G220" s="24" t="str">
        <f>VLOOKUP(A220, 'Session Data'!A:I,2,false)</f>
        <v>9:00 AM</v>
      </c>
      <c r="H220" s="23" t="str">
        <f>VLOOKUP(A220, 'Session Data'!A:J,5,false)</f>
        <v>Behavioral and Social Sciences 1</v>
      </c>
      <c r="I220" s="25" t="str">
        <f>VLOOKUP(A220, 'Session Data'!A:H,4,false)</f>
        <v>Poster</v>
      </c>
      <c r="J220" s="26" t="str">
        <f>VLOOKUP(A220, 'Session Data'!A:AA,14,false)</f>
        <v>Undergraduate</v>
      </c>
      <c r="K220" s="27" t="str">
        <f>VLOOKUP(A220, 'Session Data'!A:AA,15,false)</f>
        <v>Sciences</v>
      </c>
      <c r="L220" s="47"/>
      <c r="M220" s="29" t="str">
        <f>VLOOKUP(A220, 'Session Data'!A:K,11,false)</f>
        <v>Bachelor of Arts in Psychology (Emphasis in Industrial Organizational Psychology)</v>
      </c>
      <c r="N220" s="26" t="str">
        <f>IF(ISNA(VLOOKUP(A220, 'Award Abstract#'!C:C, 1, FALSE)), "No", "Yes")
</f>
        <v>No</v>
      </c>
      <c r="O220" s="29" t="str">
        <f>IF(ISNA(VLOOKUP(A220,'Award Abstract#'!B:B,1,FALSE)), "No", "Yes")</f>
        <v>No</v>
      </c>
      <c r="P220" s="29" t="str">
        <f>IF(ISNA(VLOOKUP(A220,'Award Abstract#'!E:E,1,FALSE)), "No", "Yes")</f>
        <v>No</v>
      </c>
      <c r="Q220" s="29" t="str">
        <f>IF(ISNA(VLOOKUP(A220,'Award Abstract#'!A:A,1,FALSE)), "No", "Yes")</f>
        <v>No</v>
      </c>
      <c r="R220" s="29" t="str">
        <f>IF(ISNA(VLOOKUP(A220,'Award Abstract#'!D:D,1,FALSE)), "No", "Yes")</f>
        <v>No</v>
      </c>
      <c r="S220" s="30" t="str">
        <f>VLOOKUP(A220, 'Session Data'!A:AA,27,false)</f>
        <v>Woman</v>
      </c>
      <c r="T220" s="30"/>
      <c r="U220" s="30"/>
      <c r="V220" s="31" t="str">
        <f>VLOOKUP(A220, 'Session Data'!A:AA,8,false)</f>
        <v>Drew</v>
      </c>
      <c r="W220" s="32" t="str">
        <f>VLOOKUP(A220, 'Session Data'!A:AA,9,false)</f>
        <v>Curley</v>
      </c>
      <c r="X220" s="33" t="str">
        <f>VLOOKUP(A220, 'Session Data'!A:AA,12,false)</f>
        <v>Time Spent on Social Media and Its Impact on Body Satisfaction</v>
      </c>
      <c r="Y220" s="34" t="str">
        <f>VLOOKUP(A220, 'Session Data'!A:AA,22,false)</f>
        <v>Dr. Katherine</v>
      </c>
      <c r="Z220" s="34" t="str">
        <f>VLOOKUP(A220, 'Session Data'!A:AA,23,false)</f>
        <v>Turner</v>
      </c>
      <c r="AA220" s="34" t="str">
        <f>VLOOKUP(A220, 'Session Data'!A:AA,25,false)</f>
        <v>Sciences</v>
      </c>
      <c r="AB220" s="34" t="str">
        <f>VLOOKUP(A220, 'Session Data'!A:AA,24,false)</f>
        <v>katherine.turner@sdsu.edu</v>
      </c>
      <c r="AC220" s="34" t="str">
        <f>VLOOKUP(A220, 'Session Data'!A:AA,16,false)</f>
        <v/>
      </c>
      <c r="AD220" s="35" t="str">
        <f>VLOOKUP(A220, 'Session Data'!A:U,17,false)</f>
        <v/>
      </c>
      <c r="AE220" s="35" t="str">
        <f>VLOOKUP(A220, 'Session Data'!A:U,18,false)</f>
        <v/>
      </c>
      <c r="AF220" s="35" t="str">
        <f>VLOOKUP(A220, 'Session Data'!A:U,19,false)</f>
        <v/>
      </c>
      <c r="AG220" s="35" t="str">
        <f>VLOOKUP(A220, 'Session Data'!A:U,20,false)</f>
        <v/>
      </c>
      <c r="AH220" s="35" t="str">
        <f>VLOOKUP(A220, 'Session Data'!A:U,21,false)</f>
        <v/>
      </c>
      <c r="AI220" s="37"/>
      <c r="AJ220" s="37"/>
      <c r="AK220" s="37"/>
      <c r="AL220" s="50"/>
      <c r="AM220" s="34" t="str">
        <f>VLOOKUP(A220, 'Session Data'!A:AA,10,false)</f>
        <v>dcurley4398@sdsu.edu</v>
      </c>
      <c r="AN220" s="40"/>
      <c r="AO220" s="38"/>
      <c r="AP220" s="38"/>
      <c r="AQ220" s="38"/>
      <c r="AR220" s="38"/>
      <c r="AS220" s="38"/>
      <c r="AT220" s="38"/>
      <c r="AU220" s="38"/>
      <c r="AV220" s="38"/>
      <c r="AW220" s="38"/>
      <c r="AX220" s="38"/>
      <c r="AY220" s="43"/>
      <c r="AZ220" s="43"/>
      <c r="BA220" s="43"/>
      <c r="BB220" s="43"/>
      <c r="BC220" s="43"/>
      <c r="BD220" s="43"/>
      <c r="BE220" s="44"/>
      <c r="BF220" s="45"/>
      <c r="BG220" s="43"/>
    </row>
    <row r="221">
      <c r="A221" s="19" t="s">
        <v>286</v>
      </c>
      <c r="B221" s="20">
        <f>VLOOKUP(F221,'Session Count DO NOT EDIT'!$A:$C,3,FALSE)</f>
        <v>5</v>
      </c>
      <c r="C221" s="20">
        <f>COUNTIFS('Scores Import DO NOT EDIT'!D:D,A221)</f>
        <v>4</v>
      </c>
      <c r="D221" s="21">
        <f t="shared" si="1"/>
        <v>0.8</v>
      </c>
      <c r="E221" s="22">
        <f>AVERAGEIFS('Scores Import DO NOT EDIT'!L:L,'Scores Import DO NOT EDIT'!D:D,A221)</f>
        <v>29.75</v>
      </c>
      <c r="F221" s="23" t="str">
        <f>VLOOKUP(A221, 'Session Data'!A:M,3,false)</f>
        <v>F-1</v>
      </c>
      <c r="G221" s="24" t="str">
        <f>VLOOKUP(A221, 'Session Data'!A:I,2,false)</f>
        <v>9:00 AM</v>
      </c>
      <c r="H221" s="23" t="str">
        <f>VLOOKUP(A221, 'Session Data'!A:J,5,false)</f>
        <v>Behavioral and Social Sciences 1</v>
      </c>
      <c r="I221" s="25" t="str">
        <f>VLOOKUP(A221, 'Session Data'!A:H,4,false)</f>
        <v>Poster</v>
      </c>
      <c r="J221" s="26" t="str">
        <f>VLOOKUP(A221, 'Session Data'!A:AA,14,false)</f>
        <v>Undergraduate</v>
      </c>
      <c r="K221" s="27" t="str">
        <f>VLOOKUP(A221, 'Session Data'!A:AA,15,false)</f>
        <v>Arts and Letters</v>
      </c>
      <c r="L221" s="28"/>
      <c r="M221" s="29" t="str">
        <f>VLOOKUP(A221, 'Session Data'!A:K,11,false)</f>
        <v>Anthropology</v>
      </c>
      <c r="N221" s="26" t="str">
        <f>IF(ISNA(VLOOKUP(A221, 'Award Abstract#'!C:C, 1, FALSE)), "No", "Yes")
</f>
        <v>No</v>
      </c>
      <c r="O221" s="29" t="str">
        <f>IF(ISNA(VLOOKUP(A221,'Award Abstract#'!B:B,1,FALSE)), "No", "Yes")</f>
        <v>No</v>
      </c>
      <c r="P221" s="29" t="str">
        <f>IF(ISNA(VLOOKUP(A221,'Award Abstract#'!E:E,1,FALSE)), "No", "Yes")</f>
        <v>No</v>
      </c>
      <c r="Q221" s="29" t="str">
        <f>IF(ISNA(VLOOKUP(A221,'Award Abstract#'!A:A,1,FALSE)), "No", "Yes")</f>
        <v>No</v>
      </c>
      <c r="R221" s="29" t="str">
        <f>IF(ISNA(VLOOKUP(A221,'Award Abstract#'!D:D,1,FALSE)), "No", "Yes")</f>
        <v>No</v>
      </c>
      <c r="S221" s="30" t="str">
        <f>VLOOKUP(A221, 'Session Data'!A:AA,27,false)</f>
        <v>Woman</v>
      </c>
      <c r="T221" s="30"/>
      <c r="U221" s="30"/>
      <c r="V221" s="31" t="str">
        <f>VLOOKUP(A221, 'Session Data'!A:AA,8,false)</f>
        <v>Kylie</v>
      </c>
      <c r="W221" s="32" t="str">
        <f>VLOOKUP(A221, 'Session Data'!A:AA,9,false)</f>
        <v>Coughlin</v>
      </c>
      <c r="X221" s="33" t="str">
        <f>VLOOKUP(A221, 'Session Data'!A:AA,12,false)</f>
        <v>Automated Detection of Archaeological Sites from Satellite Imagery</v>
      </c>
      <c r="Y221" s="34" t="str">
        <f>VLOOKUP(A221, 'Session Data'!A:AA,22,false)</f>
        <v>Isaac </v>
      </c>
      <c r="Z221" s="34" t="str">
        <f>VLOOKUP(A221, 'Session Data'!A:AA,23,false)</f>
        <v>Ullah</v>
      </c>
      <c r="AA221" s="34" t="str">
        <f>VLOOKUP(A221, 'Session Data'!A:AA,25,false)</f>
        <v>Arts and Letters</v>
      </c>
      <c r="AB221" s="34" t="str">
        <f>VLOOKUP(A221, 'Session Data'!A:AA,24,false)</f>
        <v>iullah@sdsu.edu</v>
      </c>
      <c r="AC221" s="34" t="str">
        <f>VLOOKUP(A221, 'Session Data'!A:AA,16,false)</f>
        <v>Ace  </v>
      </c>
      <c r="AD221" s="35" t="str">
        <f>VLOOKUP(A221, 'Session Data'!A:U,17,false)</f>
        <v>Boyle</v>
      </c>
      <c r="AE221" s="35" t="str">
        <f>VLOOKUP(A221, 'Session Data'!A:U,18,false)</f>
        <v/>
      </c>
      <c r="AF221" s="35" t="str">
        <f>VLOOKUP(A221, 'Session Data'!A:U,19,false)</f>
        <v/>
      </c>
      <c r="AG221" s="35" t="str">
        <f>VLOOKUP(A221, 'Session Data'!A:U,20,false)</f>
        <v/>
      </c>
      <c r="AH221" s="35" t="str">
        <f>VLOOKUP(A221, 'Session Data'!A:U,21,false)</f>
        <v/>
      </c>
      <c r="AI221" s="37"/>
      <c r="AJ221" s="37"/>
      <c r="AK221" s="37"/>
      <c r="AL221" s="50"/>
      <c r="AM221" s="34" t="str">
        <f>VLOOKUP(A221, 'Session Data'!A:AA,10,false)</f>
        <v>kcoughlin3399@sdsu.edu</v>
      </c>
      <c r="AN221" s="40"/>
      <c r="AO221" s="38"/>
      <c r="AP221" s="38"/>
      <c r="AQ221" s="38"/>
      <c r="AR221" s="38"/>
      <c r="AS221" s="38"/>
      <c r="AT221" s="38"/>
      <c r="AU221" s="38"/>
      <c r="AV221" s="38"/>
      <c r="AW221" s="38"/>
      <c r="AX221" s="38"/>
      <c r="AY221" s="43"/>
      <c r="AZ221" s="43"/>
      <c r="BA221" s="48"/>
      <c r="BB221" s="48"/>
      <c r="BC221" s="43"/>
      <c r="BD221" s="43"/>
      <c r="BE221" s="44"/>
      <c r="BF221" s="45"/>
      <c r="BG221" s="43"/>
    </row>
    <row r="222">
      <c r="A222" s="19" t="s">
        <v>287</v>
      </c>
      <c r="B222" s="20">
        <f>VLOOKUP(F222,'Session Count DO NOT EDIT'!$A:$C,3,FALSE)</f>
        <v>5</v>
      </c>
      <c r="C222" s="20">
        <f>COUNTIFS('Scores Import DO NOT EDIT'!D:D,A222)</f>
        <v>4</v>
      </c>
      <c r="D222" s="21">
        <f t="shared" si="1"/>
        <v>0.8</v>
      </c>
      <c r="E222" s="22">
        <f>AVERAGEIFS('Scores Import DO NOT EDIT'!L:L,'Scores Import DO NOT EDIT'!D:D,A222)</f>
        <v>29.5</v>
      </c>
      <c r="F222" s="23" t="str">
        <f>VLOOKUP(A222, 'Session Data'!A:M,3,false)</f>
        <v>F-1</v>
      </c>
      <c r="G222" s="24" t="str">
        <f>VLOOKUP(A222, 'Session Data'!A:I,2,false)</f>
        <v>9:00 AM</v>
      </c>
      <c r="H222" s="23" t="str">
        <f>VLOOKUP(A222, 'Session Data'!A:J,5,false)</f>
        <v>Behavioral and Social Sciences 1</v>
      </c>
      <c r="I222" s="25" t="str">
        <f>VLOOKUP(A222, 'Session Data'!A:H,4,false)</f>
        <v>Poster</v>
      </c>
      <c r="J222" s="26" t="str">
        <f>VLOOKUP(A222, 'Session Data'!A:AA,14,false)</f>
        <v>Undergraduate</v>
      </c>
      <c r="K222" s="27" t="str">
        <f>VLOOKUP(A222, 'Session Data'!A:AA,15,false)</f>
        <v>Sciences</v>
      </c>
      <c r="L222" s="47"/>
      <c r="M222" s="29" t="str">
        <f>VLOOKUP(A222, 'Session Data'!A:K,11,false)</f>
        <v>Bachelor of Arts in Psychology</v>
      </c>
      <c r="N222" s="26" t="str">
        <f>IF(ISNA(VLOOKUP(A222, 'Award Abstract#'!C:C, 1, FALSE)), "No", "Yes")
</f>
        <v>No</v>
      </c>
      <c r="O222" s="29" t="str">
        <f>IF(ISNA(VLOOKUP(A222,'Award Abstract#'!B:B,1,FALSE)), "No", "Yes")</f>
        <v>No</v>
      </c>
      <c r="P222" s="29" t="str">
        <f>IF(ISNA(VLOOKUP(A222,'Award Abstract#'!E:E,1,FALSE)), "No", "Yes")</f>
        <v>No</v>
      </c>
      <c r="Q222" s="29" t="str">
        <f>IF(ISNA(VLOOKUP(A222,'Award Abstract#'!A:A,1,FALSE)), "No", "Yes")</f>
        <v>No</v>
      </c>
      <c r="R222" s="29" t="str">
        <f>IF(ISNA(VLOOKUP(A222,'Award Abstract#'!D:D,1,FALSE)), "No", "Yes")</f>
        <v>Yes</v>
      </c>
      <c r="S222" s="30" t="str">
        <f>VLOOKUP(A222, 'Session Data'!A:AA,27,false)</f>
        <v>Woman</v>
      </c>
      <c r="T222" s="30"/>
      <c r="U222" s="30"/>
      <c r="V222" s="31" t="str">
        <f>VLOOKUP(A222, 'Session Data'!A:AA,8,false)</f>
        <v>Kerris</v>
      </c>
      <c r="W222" s="32" t="str">
        <f>VLOOKUP(A222, 'Session Data'!A:AA,9,false)</f>
        <v>Woods</v>
      </c>
      <c r="X222" s="33" t="str">
        <f>VLOOKUP(A222, 'Session Data'!A:AA,12,false)</f>
        <v>Exploring the Predictive Role of ACEs and Cognitive Ability in Posttraumatic Cognitions</v>
      </c>
      <c r="Y222" s="34" t="str">
        <f>VLOOKUP(A222, 'Session Data'!A:AA,22,false)</f>
        <v>Katherine</v>
      </c>
      <c r="Z222" s="34" t="str">
        <f>VLOOKUP(A222, 'Session Data'!A:AA,23,false)</f>
        <v>Turner</v>
      </c>
      <c r="AA222" s="34" t="str">
        <f>VLOOKUP(A222, 'Session Data'!A:AA,25,false)</f>
        <v>Sciences</v>
      </c>
      <c r="AB222" s="34" t="str">
        <f>VLOOKUP(A222, 'Session Data'!A:AA,24,false)</f>
        <v>katherine.turner@sdsu.edu</v>
      </c>
      <c r="AC222" s="34" t="str">
        <f>VLOOKUP(A222, 'Session Data'!A:AA,16,false)</f>
        <v/>
      </c>
      <c r="AD222" s="35" t="str">
        <f>VLOOKUP(A222, 'Session Data'!A:U,17,false)</f>
        <v/>
      </c>
      <c r="AE222" s="35" t="str">
        <f>VLOOKUP(A222, 'Session Data'!A:U,18,false)</f>
        <v/>
      </c>
      <c r="AF222" s="35" t="str">
        <f>VLOOKUP(A222, 'Session Data'!A:U,19,false)</f>
        <v/>
      </c>
      <c r="AG222" s="35" t="str">
        <f>VLOOKUP(A222, 'Session Data'!A:U,20,false)</f>
        <v/>
      </c>
      <c r="AH222" s="35" t="str">
        <f>VLOOKUP(A222, 'Session Data'!A:U,21,false)</f>
        <v/>
      </c>
      <c r="AI222" s="37"/>
      <c r="AJ222" s="37"/>
      <c r="AK222" s="37"/>
      <c r="AL222" s="50"/>
      <c r="AM222" s="34" t="str">
        <f>VLOOKUP(A222, 'Session Data'!A:AA,10,false)</f>
        <v>kwoods3515@sdsu.edu</v>
      </c>
      <c r="AN222" s="40"/>
      <c r="AO222" s="38"/>
      <c r="AP222" s="38"/>
      <c r="AQ222" s="38"/>
      <c r="AR222" s="38"/>
      <c r="AS222" s="38"/>
      <c r="AT222" s="38"/>
      <c r="AU222" s="38"/>
      <c r="AV222" s="38"/>
      <c r="AW222" s="38"/>
      <c r="AX222" s="38"/>
      <c r="AY222" s="43"/>
      <c r="AZ222" s="43"/>
      <c r="BA222" s="48"/>
      <c r="BB222" s="48"/>
      <c r="BC222" s="43"/>
      <c r="BD222" s="43"/>
      <c r="BE222" s="44"/>
      <c r="BF222" s="45"/>
      <c r="BG222" s="46"/>
    </row>
    <row r="223">
      <c r="A223" s="19" t="s">
        <v>288</v>
      </c>
      <c r="B223" s="20">
        <f>VLOOKUP(F223,'Session Count DO NOT EDIT'!$A:$C,3,FALSE)</f>
        <v>5</v>
      </c>
      <c r="C223" s="20">
        <f>COUNTIFS('Scores Import DO NOT EDIT'!D:D,A223)</f>
        <v>4</v>
      </c>
      <c r="D223" s="21">
        <f t="shared" si="1"/>
        <v>0.8</v>
      </c>
      <c r="E223" s="22">
        <f>AVERAGEIFS('Scores Import DO NOT EDIT'!L:L,'Scores Import DO NOT EDIT'!D:D,A223)</f>
        <v>29</v>
      </c>
      <c r="F223" s="23" t="str">
        <f>VLOOKUP(A223, 'Session Data'!A:M,3,false)</f>
        <v>F-1</v>
      </c>
      <c r="G223" s="24" t="str">
        <f>VLOOKUP(A223, 'Session Data'!A:I,2,false)</f>
        <v>9:00 AM</v>
      </c>
      <c r="H223" s="23" t="str">
        <f>VLOOKUP(A223, 'Session Data'!A:J,5,false)</f>
        <v>Behavioral and Social Sciences 1</v>
      </c>
      <c r="I223" s="25" t="str">
        <f>VLOOKUP(A223, 'Session Data'!A:H,4,false)</f>
        <v>Poster</v>
      </c>
      <c r="J223" s="26" t="str">
        <f>VLOOKUP(A223, 'Session Data'!A:AA,14,false)</f>
        <v>Undergraduate</v>
      </c>
      <c r="K223" s="27" t="str">
        <f>VLOOKUP(A223, 'Session Data'!A:AA,15,false)</f>
        <v>Health and Human Services</v>
      </c>
      <c r="L223" s="28"/>
      <c r="M223" s="29" t="str">
        <f>VLOOKUP(A223, 'Session Data'!A:K,11,false)</f>
        <v>Speech, Language, and Hearing Sciences</v>
      </c>
      <c r="N223" s="26" t="str">
        <f>IF(ISNA(VLOOKUP(A223, 'Award Abstract#'!C:C, 1, FALSE)), "No", "Yes")
</f>
        <v>No</v>
      </c>
      <c r="O223" s="29" t="str">
        <f>IF(ISNA(VLOOKUP(A223,'Award Abstract#'!B:B,1,FALSE)), "No", "Yes")</f>
        <v>No</v>
      </c>
      <c r="P223" s="29" t="str">
        <f>IF(ISNA(VLOOKUP(A223,'Award Abstract#'!E:E,1,FALSE)), "No", "Yes")</f>
        <v>No</v>
      </c>
      <c r="Q223" s="29" t="str">
        <f>IF(ISNA(VLOOKUP(A223,'Award Abstract#'!A:A,1,FALSE)), "No", "Yes")</f>
        <v>No</v>
      </c>
      <c r="R223" s="29" t="str">
        <f>IF(ISNA(VLOOKUP(A223,'Award Abstract#'!D:D,1,FALSE)), "No", "Yes")</f>
        <v>Yes</v>
      </c>
      <c r="S223" s="30" t="str">
        <f>VLOOKUP(A223, 'Session Data'!A:AA,27,false)</f>
        <v>Woman</v>
      </c>
      <c r="T223" s="30"/>
      <c r="U223" s="30"/>
      <c r="V223" s="31" t="str">
        <f>VLOOKUP(A223, 'Session Data'!A:AA,8,false)</f>
        <v>Maya</v>
      </c>
      <c r="W223" s="32" t="str">
        <f>VLOOKUP(A223, 'Session Data'!A:AA,9,false)</f>
        <v>Elden</v>
      </c>
      <c r="X223" s="33" t="str">
        <f>VLOOKUP(A223, 'Session Data'!A:AA,12,false)</f>
        <v> The Influence of Phonetic Complexity on Speech Motor Control in Children with Cerebral Palsy</v>
      </c>
      <c r="Y223" s="34" t="str">
        <f>VLOOKUP(A223, 'Session Data'!A:AA,22,false)</f>
        <v>Ignatius</v>
      </c>
      <c r="Z223" s="34" t="str">
        <f>VLOOKUP(A223, 'Session Data'!A:AA,23,false)</f>
        <v>Nip</v>
      </c>
      <c r="AA223" s="34" t="str">
        <f>VLOOKUP(A223, 'Session Data'!A:AA,25,false)</f>
        <v>Health and Human Services</v>
      </c>
      <c r="AB223" s="34" t="str">
        <f>VLOOKUP(A223, 'Session Data'!A:AA,24,false)</f>
        <v>inip@sdsu.edu</v>
      </c>
      <c r="AC223" s="34" t="str">
        <f>VLOOKUP(A223, 'Session Data'!A:AA,16,false)</f>
        <v/>
      </c>
      <c r="AD223" s="35" t="str">
        <f>VLOOKUP(A223, 'Session Data'!A:U,17,false)</f>
        <v/>
      </c>
      <c r="AE223" s="35" t="str">
        <f>VLOOKUP(A223, 'Session Data'!A:U,18,false)</f>
        <v/>
      </c>
      <c r="AF223" s="35" t="str">
        <f>VLOOKUP(A223, 'Session Data'!A:U,19,false)</f>
        <v/>
      </c>
      <c r="AG223" s="35" t="str">
        <f>VLOOKUP(A223, 'Session Data'!A:U,20,false)</f>
        <v/>
      </c>
      <c r="AH223" s="35" t="str">
        <f>VLOOKUP(A223, 'Session Data'!A:U,21,false)</f>
        <v/>
      </c>
      <c r="AI223" s="37"/>
      <c r="AJ223" s="37"/>
      <c r="AK223" s="37"/>
      <c r="AL223" s="50"/>
      <c r="AM223" s="34" t="str">
        <f>VLOOKUP(A223, 'Session Data'!A:AA,10,false)</f>
        <v>melden4813@sdsu.edu</v>
      </c>
      <c r="AN223" s="40"/>
      <c r="AO223" s="38"/>
      <c r="AP223" s="38"/>
      <c r="AQ223" s="38"/>
      <c r="AR223" s="38"/>
      <c r="AS223" s="38"/>
      <c r="AT223" s="38"/>
      <c r="AU223" s="38"/>
      <c r="AV223" s="38"/>
      <c r="AW223" s="38"/>
      <c r="AX223" s="38"/>
      <c r="AY223" s="43"/>
      <c r="AZ223" s="43"/>
      <c r="BA223" s="43"/>
      <c r="BB223" s="48"/>
      <c r="BC223" s="43"/>
      <c r="BD223" s="43"/>
      <c r="BE223" s="44"/>
      <c r="BF223" s="45"/>
      <c r="BG223" s="43"/>
    </row>
    <row r="224">
      <c r="A224" s="19" t="s">
        <v>289</v>
      </c>
      <c r="B224" s="20">
        <f>VLOOKUP(F224,'Session Count DO NOT EDIT'!$A:$C,3,FALSE)</f>
        <v>5</v>
      </c>
      <c r="C224" s="20">
        <f>COUNTIFS('Scores Import DO NOT EDIT'!D:D,A224)</f>
        <v>4</v>
      </c>
      <c r="D224" s="21">
        <f t="shared" si="1"/>
        <v>0.8</v>
      </c>
      <c r="E224" s="22">
        <f>AVERAGEIFS('Scores Import DO NOT EDIT'!L:L,'Scores Import DO NOT EDIT'!D:D,A224)</f>
        <v>26.75</v>
      </c>
      <c r="F224" s="23" t="str">
        <f>VLOOKUP(A224, 'Session Data'!A:M,3,false)</f>
        <v>F-1</v>
      </c>
      <c r="G224" s="24" t="str">
        <f>VLOOKUP(A224, 'Session Data'!A:I,2,false)</f>
        <v>9:00 AM</v>
      </c>
      <c r="H224" s="23" t="str">
        <f>VLOOKUP(A224, 'Session Data'!A:J,5,false)</f>
        <v>Behavioral and Social Sciences 1</v>
      </c>
      <c r="I224" s="25" t="str">
        <f>VLOOKUP(A224, 'Session Data'!A:H,4,false)</f>
        <v>Poster</v>
      </c>
      <c r="J224" s="26" t="str">
        <f>VLOOKUP(A224, 'Session Data'!A:AA,14,false)</f>
        <v>Undergraduate</v>
      </c>
      <c r="K224" s="27" t="str">
        <f>VLOOKUP(A224, 'Session Data'!A:AA,15,false)</f>
        <v>Sciences</v>
      </c>
      <c r="L224" s="47"/>
      <c r="M224" s="29" t="str">
        <f>VLOOKUP(A224, 'Session Data'!A:K,11,false)</f>
        <v>Bachelors of Sciences in Psychology </v>
      </c>
      <c r="N224" s="26" t="str">
        <f>IF(ISNA(VLOOKUP(A224, 'Award Abstract#'!C:C, 1, FALSE)), "No", "Yes")
</f>
        <v>No</v>
      </c>
      <c r="O224" s="29" t="str">
        <f>IF(ISNA(VLOOKUP(A224,'Award Abstract#'!B:B,1,FALSE)), "No", "Yes")</f>
        <v>No</v>
      </c>
      <c r="P224" s="29" t="str">
        <f>IF(ISNA(VLOOKUP(A224,'Award Abstract#'!E:E,1,FALSE)), "No", "Yes")</f>
        <v>Yes</v>
      </c>
      <c r="Q224" s="29" t="str">
        <f>IF(ISNA(VLOOKUP(A224,'Award Abstract#'!A:A,1,FALSE)), "No", "Yes")</f>
        <v>No</v>
      </c>
      <c r="R224" s="29" t="str">
        <f>IF(ISNA(VLOOKUP(A224,'Award Abstract#'!D:D,1,FALSE)), "No", "Yes")</f>
        <v>No</v>
      </c>
      <c r="S224" s="30" t="str">
        <f>VLOOKUP(A224, 'Session Data'!A:AA,27,false)</f>
        <v>Woman</v>
      </c>
      <c r="T224" s="30"/>
      <c r="U224" s="30"/>
      <c r="V224" s="31" t="str">
        <f>VLOOKUP(A224, 'Session Data'!A:AA,8,false)</f>
        <v>Ashley </v>
      </c>
      <c r="W224" s="32" t="str">
        <f>VLOOKUP(A224, 'Session Data'!A:AA,9,false)</f>
        <v>Simard </v>
      </c>
      <c r="X224" s="33" t="str">
        <f>VLOOKUP(A224, 'Session Data'!A:AA,12,false)</f>
        <v>Binge drinking is associated with altered neurobehavioral indices of cognitive control: Local and network - level fMRI analysis  </v>
      </c>
      <c r="Y224" s="34" t="str">
        <f>VLOOKUP(A224, 'Session Data'!A:AA,22,false)</f>
        <v>Ksenija </v>
      </c>
      <c r="Z224" s="34" t="str">
        <f>VLOOKUP(A224, 'Session Data'!A:AA,23,false)</f>
        <v>Marinkovic</v>
      </c>
      <c r="AA224" s="34" t="str">
        <f>VLOOKUP(A224, 'Session Data'!A:AA,25,false)</f>
        <v>Sciences</v>
      </c>
      <c r="AB224" s="34" t="str">
        <f>VLOOKUP(A224, 'Session Data'!A:AA,24,false)</f>
        <v>kmarinkovic@sdsu.edu</v>
      </c>
      <c r="AC224" s="34" t="str">
        <f>VLOOKUP(A224, 'Session Data'!A:AA,16,false)</f>
        <v/>
      </c>
      <c r="AD224" s="35" t="str">
        <f>VLOOKUP(A224, 'Session Data'!A:U,17,false)</f>
        <v/>
      </c>
      <c r="AE224" s="35" t="str">
        <f>VLOOKUP(A224, 'Session Data'!A:U,18,false)</f>
        <v/>
      </c>
      <c r="AF224" s="35" t="str">
        <f>VLOOKUP(A224, 'Session Data'!A:U,19,false)</f>
        <v/>
      </c>
      <c r="AG224" s="35" t="str">
        <f>VLOOKUP(A224, 'Session Data'!A:U,20,false)</f>
        <v/>
      </c>
      <c r="AH224" s="35" t="str">
        <f>VLOOKUP(A224, 'Session Data'!A:U,21,false)</f>
        <v/>
      </c>
      <c r="AI224" s="37"/>
      <c r="AJ224" s="37"/>
      <c r="AK224" s="37"/>
      <c r="AL224" s="50"/>
      <c r="AM224" s="34" t="str">
        <f>VLOOKUP(A224, 'Session Data'!A:AA,10,false)</f>
        <v>asimard4312@sdsu.edu</v>
      </c>
      <c r="AN224" s="40"/>
      <c r="AO224" s="38"/>
      <c r="AP224" s="38"/>
      <c r="AQ224" s="38"/>
      <c r="AR224" s="38"/>
      <c r="AS224" s="38"/>
      <c r="AT224" s="38"/>
      <c r="AU224" s="38"/>
      <c r="AV224" s="38"/>
      <c r="AW224" s="38"/>
      <c r="AX224" s="38"/>
      <c r="AY224" s="43"/>
      <c r="AZ224" s="43"/>
      <c r="BA224" s="48"/>
      <c r="BB224" s="48"/>
      <c r="BC224" s="43"/>
      <c r="BD224" s="43"/>
      <c r="BE224" s="44"/>
      <c r="BF224" s="45"/>
      <c r="BG224" s="43"/>
    </row>
    <row r="225">
      <c r="A225" s="19" t="s">
        <v>290</v>
      </c>
      <c r="B225" s="20">
        <f>VLOOKUP(F225,'Session Count DO NOT EDIT'!$A:$C,3,FALSE)</f>
        <v>5</v>
      </c>
      <c r="C225" s="20">
        <f>COUNTIFS('Scores Import DO NOT EDIT'!D:D,A225)</f>
        <v>4</v>
      </c>
      <c r="D225" s="21">
        <f t="shared" si="1"/>
        <v>0.8</v>
      </c>
      <c r="E225" s="22">
        <f>AVERAGEIFS('Scores Import DO NOT EDIT'!L:L,'Scores Import DO NOT EDIT'!D:D,A225)</f>
        <v>25.5</v>
      </c>
      <c r="F225" s="23" t="str">
        <f>VLOOKUP(A225, 'Session Data'!A:M,3,false)</f>
        <v>F-1</v>
      </c>
      <c r="G225" s="24" t="str">
        <f>VLOOKUP(A225, 'Session Data'!A:I,2,false)</f>
        <v>9:00 AM</v>
      </c>
      <c r="H225" s="23" t="str">
        <f>VLOOKUP(A225, 'Session Data'!A:J,5,false)</f>
        <v>Behavioral and Social Sciences 1</v>
      </c>
      <c r="I225" s="25" t="str">
        <f>VLOOKUP(A225, 'Session Data'!A:H,4,false)</f>
        <v>Poster</v>
      </c>
      <c r="J225" s="26" t="str">
        <f>VLOOKUP(A225, 'Session Data'!A:AA,14,false)</f>
        <v>Undergraduate</v>
      </c>
      <c r="K225" s="27" t="str">
        <f>VLOOKUP(A225, 'Session Data'!A:AA,15,false)</f>
        <v>Sciences</v>
      </c>
      <c r="L225" s="28"/>
      <c r="M225" s="29" t="str">
        <f>VLOOKUP(A225, 'Session Data'!A:K,11,false)</f>
        <v>Bachelor's of Art in Psychology </v>
      </c>
      <c r="N225" s="26" t="str">
        <f>IF(ISNA(VLOOKUP(A225, 'Award Abstract#'!C:C, 1, FALSE)), "No", "Yes")
</f>
        <v>No</v>
      </c>
      <c r="O225" s="29" t="str">
        <f>IF(ISNA(VLOOKUP(A225,'Award Abstract#'!B:B,1,FALSE)), "No", "Yes")</f>
        <v>No</v>
      </c>
      <c r="P225" s="29" t="str">
        <f>IF(ISNA(VLOOKUP(A225,'Award Abstract#'!E:E,1,FALSE)), "No", "Yes")</f>
        <v>No</v>
      </c>
      <c r="Q225" s="29" t="str">
        <f>IF(ISNA(VLOOKUP(A225,'Award Abstract#'!A:A,1,FALSE)), "No", "Yes")</f>
        <v>No</v>
      </c>
      <c r="R225" s="29" t="str">
        <f>IF(ISNA(VLOOKUP(A225,'Award Abstract#'!D:D,1,FALSE)), "No", "Yes")</f>
        <v>No</v>
      </c>
      <c r="S225" s="30" t="str">
        <f>VLOOKUP(A225, 'Session Data'!A:AA,27,false)</f>
        <v>Woman</v>
      </c>
      <c r="T225" s="30"/>
      <c r="U225" s="30"/>
      <c r="V225" s="31" t="str">
        <f>VLOOKUP(A225, 'Session Data'!A:AA,8,false)</f>
        <v>Rachel</v>
      </c>
      <c r="W225" s="32" t="str">
        <f>VLOOKUP(A225, 'Session Data'!A:AA,9,false)</f>
        <v>Membreno Almendares</v>
      </c>
      <c r="X225" s="33" t="str">
        <f>VLOOKUP(A225, 'Session Data'!A:AA,12,false)</f>
        <v>Verbal fluency varies by sex among Hispanic/Latino stroke survivors</v>
      </c>
      <c r="Y225" s="34" t="str">
        <f>VLOOKUP(A225, 'Session Data'!A:AA,22,false)</f>
        <v>Ariana</v>
      </c>
      <c r="Z225" s="34" t="str">
        <f>VLOOKUP(A225, 'Session Data'!A:AA,23,false)</f>
        <v>Stickel</v>
      </c>
      <c r="AA225" s="34" t="str">
        <f>VLOOKUP(A225, 'Session Data'!A:AA,25,false)</f>
        <v>Sciences</v>
      </c>
      <c r="AB225" s="34"/>
      <c r="AC225" s="34" t="str">
        <f>VLOOKUP(A225, 'Session Data'!A:AA,16,false)</f>
        <v/>
      </c>
      <c r="AD225" s="35" t="str">
        <f>VLOOKUP(A225, 'Session Data'!A:U,17,false)</f>
        <v/>
      </c>
      <c r="AE225" s="35" t="str">
        <f>VLOOKUP(A225, 'Session Data'!A:U,18,false)</f>
        <v/>
      </c>
      <c r="AF225" s="35" t="str">
        <f>VLOOKUP(A225, 'Session Data'!A:U,19,false)</f>
        <v/>
      </c>
      <c r="AG225" s="35" t="str">
        <f>VLOOKUP(A225, 'Session Data'!A:U,20,false)</f>
        <v/>
      </c>
      <c r="AH225" s="35" t="str">
        <f>VLOOKUP(A225, 'Session Data'!A:U,21,false)</f>
        <v/>
      </c>
      <c r="AI225" s="37"/>
      <c r="AJ225" s="37"/>
      <c r="AK225" s="37"/>
      <c r="AL225" s="50"/>
      <c r="AM225" s="34" t="str">
        <f>VLOOKUP(A225, 'Session Data'!A:AA,10,false)</f>
        <v>rmembrenoalmen6444@sdsu.edu</v>
      </c>
      <c r="AN225" s="40"/>
      <c r="AO225" s="38"/>
      <c r="AP225" s="38"/>
      <c r="AQ225" s="38"/>
      <c r="AR225" s="38"/>
      <c r="AS225" s="38"/>
      <c r="AT225" s="38"/>
      <c r="AU225" s="38"/>
      <c r="AV225" s="38"/>
      <c r="AW225" s="38"/>
      <c r="AX225" s="38"/>
      <c r="AY225" s="43"/>
      <c r="AZ225" s="43"/>
      <c r="BA225" s="48"/>
      <c r="BB225" s="48"/>
      <c r="BC225" s="43"/>
      <c r="BD225" s="43"/>
      <c r="BE225" s="44"/>
      <c r="BF225" s="45"/>
      <c r="BG225" s="46"/>
    </row>
    <row r="226">
      <c r="A226" s="78" t="s">
        <v>291</v>
      </c>
      <c r="B226" s="20">
        <f>VLOOKUP(F226,'Session Count DO NOT EDIT'!$A:$C,3,FALSE)</f>
        <v>5</v>
      </c>
      <c r="C226" s="20">
        <f>COUNTIFS('Scores Import DO NOT EDIT'!D:D,A226)</f>
        <v>0</v>
      </c>
      <c r="D226" s="21">
        <f t="shared" si="1"/>
        <v>0</v>
      </c>
      <c r="E226" s="22" t="str">
        <f>AVERAGEIFS('Scores Import DO NOT EDIT'!L:L,'Scores Import DO NOT EDIT'!D:D,A226)</f>
        <v>#DIV/0!</v>
      </c>
      <c r="F226" s="23" t="str">
        <f>VLOOKUP(A226, 'Session Data'!A:M,3,false)</f>
        <v>F-10</v>
      </c>
      <c r="G226" s="24" t="str">
        <f>VLOOKUP(A226, 'Session Data'!A:I,2,false)</f>
        <v>9:00 AM</v>
      </c>
      <c r="H226" s="23" t="str">
        <f>VLOOKUP(A226, 'Session Data'!A:J,5,false)</f>
        <v>Engineering and Computer Science</v>
      </c>
      <c r="I226" s="25" t="str">
        <f>VLOOKUP(A226, 'Session Data'!A:H,4,false)</f>
        <v>Poster</v>
      </c>
      <c r="J226" s="26" t="str">
        <f>VLOOKUP(A226, 'Session Data'!A:AA,14,false)</f>
        <v>Master's</v>
      </c>
      <c r="K226" s="27" t="str">
        <f>VLOOKUP(A226, 'Session Data'!A:AA,15,false)</f>
        <v>Engineering</v>
      </c>
      <c r="L226" s="28"/>
      <c r="M226" s="29" t="str">
        <f>VLOOKUP(A226, 'Session Data'!A:K,11,false)</f>
        <v>M.S. in Civil Engineering</v>
      </c>
      <c r="N226" s="26" t="str">
        <f>IF(ISNA(VLOOKUP(A226, 'Award Abstract#'!C:C, 1, FALSE)), "No", "Yes")
</f>
        <v>No</v>
      </c>
      <c r="O226" s="29" t="str">
        <f>IF(ISNA(VLOOKUP(A226,'Award Abstract#'!B:B,1,FALSE)), "No", "Yes")</f>
        <v>No</v>
      </c>
      <c r="P226" s="29" t="str">
        <f>IF(ISNA(VLOOKUP(A226,'Award Abstract#'!E:E,1,FALSE)), "No", "Yes")</f>
        <v>No</v>
      </c>
      <c r="Q226" s="29" t="str">
        <f>IF(ISNA(VLOOKUP(A226,'Award Abstract#'!A:A,1,FALSE)), "No", "Yes")</f>
        <v>No</v>
      </c>
      <c r="R226" s="29" t="str">
        <f>IF(ISNA(VLOOKUP(A226,'Award Abstract#'!D:D,1,FALSE)), "No", "Yes")</f>
        <v>No</v>
      </c>
      <c r="S226" s="30" t="str">
        <f>VLOOKUP(A226, 'Session Data'!A:AA,27,false)</f>
        <v>Man</v>
      </c>
      <c r="T226" s="30"/>
      <c r="U226" s="30"/>
      <c r="V226" s="31" t="str">
        <f>VLOOKUP(A226, 'Session Data'!A:AA,8,false)</f>
        <v>Patrick</v>
      </c>
      <c r="W226" s="32" t="str">
        <f>VLOOKUP(A226, 'Session Data'!A:AA,9,false)</f>
        <v>Fassell</v>
      </c>
      <c r="X226" s="33" t="str">
        <f>VLOOKUP(A226, 'Session Data'!A:AA,12,false)</f>
        <v>Modeling Sediment Transport and Sedimentation in the Lower Alvarado Creek Watershed</v>
      </c>
      <c r="Y226" s="34" t="str">
        <f>VLOOKUP(A226, 'Session Data'!A:AA,22,false)</f>
        <v>Alicia</v>
      </c>
      <c r="Z226" s="34" t="str">
        <f>VLOOKUP(A226, 'Session Data'!A:AA,23,false)</f>
        <v>Kinoshita</v>
      </c>
      <c r="AA226" s="34" t="str">
        <f>VLOOKUP(A226, 'Session Data'!A:AA,25,false)</f>
        <v>Engineering</v>
      </c>
      <c r="AB226" s="34" t="str">
        <f>VLOOKUP(A226, 'Session Data'!A:AA,24,false)</f>
        <v>akinoshita@sdsu.edu</v>
      </c>
      <c r="AC226" s="34" t="str">
        <f>VLOOKUP(A226, 'Session Data'!A:AA,16,false)</f>
        <v/>
      </c>
      <c r="AD226" s="35" t="str">
        <f>VLOOKUP(A226, 'Session Data'!A:U,17,false)</f>
        <v/>
      </c>
      <c r="AE226" s="35" t="str">
        <f>VLOOKUP(A226, 'Session Data'!A:U,18,false)</f>
        <v/>
      </c>
      <c r="AF226" s="35" t="str">
        <f>VLOOKUP(A226, 'Session Data'!A:U,19,false)</f>
        <v/>
      </c>
      <c r="AG226" s="35" t="str">
        <f>VLOOKUP(A226, 'Session Data'!A:U,20,false)</f>
        <v/>
      </c>
      <c r="AH226" s="35" t="str">
        <f>VLOOKUP(A226, 'Session Data'!A:U,21,false)</f>
        <v/>
      </c>
      <c r="AI226" s="37"/>
      <c r="AJ226" s="37"/>
      <c r="AK226" s="37"/>
      <c r="AL226" s="50"/>
      <c r="AM226" s="34" t="str">
        <f>VLOOKUP(A226, 'Session Data'!A:AA,10,false)</f>
        <v>pfassell0302@sdsu.edu</v>
      </c>
      <c r="AN226" s="40"/>
      <c r="AO226" s="38"/>
      <c r="AP226" s="38"/>
      <c r="AQ226" s="38"/>
      <c r="AR226" s="38"/>
      <c r="AS226" s="38"/>
      <c r="AT226" s="38"/>
      <c r="AU226" s="38"/>
      <c r="AV226" s="38"/>
      <c r="AW226" s="38"/>
      <c r="AX226" s="38"/>
      <c r="AY226" s="43"/>
      <c r="AZ226" s="43"/>
      <c r="BA226" s="48"/>
      <c r="BB226" s="48"/>
      <c r="BC226" s="43"/>
      <c r="BD226" s="43"/>
      <c r="BE226" s="44"/>
      <c r="BF226" s="45"/>
      <c r="BG226" s="43"/>
    </row>
    <row r="227">
      <c r="A227" s="19" t="s">
        <v>292</v>
      </c>
      <c r="B227" s="20">
        <f>VLOOKUP(F227,'Session Count DO NOT EDIT'!$A:$C,3,FALSE)</f>
        <v>5</v>
      </c>
      <c r="C227" s="20">
        <f>COUNTIFS('Scores Import DO NOT EDIT'!D:D,A227)</f>
        <v>5</v>
      </c>
      <c r="D227" s="21">
        <f t="shared" si="1"/>
        <v>1</v>
      </c>
      <c r="E227" s="22">
        <f>AVERAGEIFS('Scores Import DO NOT EDIT'!L:L,'Scores Import DO NOT EDIT'!D:D,A227)</f>
        <v>27.8</v>
      </c>
      <c r="F227" s="23" t="str">
        <f>VLOOKUP(A227, 'Session Data'!A:M,3,false)</f>
        <v>F-10</v>
      </c>
      <c r="G227" s="24" t="str">
        <f>VLOOKUP(A227, 'Session Data'!A:I,2,false)</f>
        <v>9:00 AM</v>
      </c>
      <c r="H227" s="23" t="str">
        <f>VLOOKUP(A227, 'Session Data'!A:J,5,false)</f>
        <v>Engineering and Computer Science</v>
      </c>
      <c r="I227" s="25" t="str">
        <f>VLOOKUP(A227, 'Session Data'!A:H,4,false)</f>
        <v>Poster</v>
      </c>
      <c r="J227" s="26" t="str">
        <f>VLOOKUP(A227, 'Session Data'!A:AA,14,false)</f>
        <v>Master's</v>
      </c>
      <c r="K227" s="27" t="str">
        <f>VLOOKUP(A227, 'Session Data'!A:AA,15,false)</f>
        <v>Engineering</v>
      </c>
      <c r="L227" s="28" t="s">
        <v>293</v>
      </c>
      <c r="M227" s="29" t="str">
        <f>VLOOKUP(A227, 'Session Data'!A:K,11,false)</f>
        <v>Graduate/Civil Engineering</v>
      </c>
      <c r="N227" s="26" t="str">
        <f>IF(ISNA(VLOOKUP(A227, 'Award Abstract#'!C:C, 1, FALSE)), "No", "Yes")
</f>
        <v>No</v>
      </c>
      <c r="O227" s="29" t="str">
        <f>IF(ISNA(VLOOKUP(A227,'Award Abstract#'!B:B,1,FALSE)), "No", "Yes")</f>
        <v>No</v>
      </c>
      <c r="P227" s="29" t="str">
        <f>IF(ISNA(VLOOKUP(A227,'Award Abstract#'!E:E,1,FALSE)), "No", "Yes")</f>
        <v>No</v>
      </c>
      <c r="Q227" s="29" t="str">
        <f>IF(ISNA(VLOOKUP(A227,'Award Abstract#'!A:A,1,FALSE)), "No", "Yes")</f>
        <v>No</v>
      </c>
      <c r="R227" s="29" t="str">
        <f>IF(ISNA(VLOOKUP(A227,'Award Abstract#'!D:D,1,FALSE)), "No", "Yes")</f>
        <v>No</v>
      </c>
      <c r="S227" s="30" t="str">
        <f>VLOOKUP(A227, 'Session Data'!A:AA,27,false)</f>
        <v>Woman</v>
      </c>
      <c r="T227" s="30"/>
      <c r="U227" s="30"/>
      <c r="V227" s="31" t="str">
        <f>VLOOKUP(A227, 'Session Data'!A:AA,8,false)</f>
        <v>Ramya</v>
      </c>
      <c r="W227" s="32" t="str">
        <f>VLOOKUP(A227, 'Session Data'!A:AA,9,false)</f>
        <v>Chandrasekaran</v>
      </c>
      <c r="X227" s="33" t="str">
        <f>VLOOKUP(A227, 'Session Data'!A:AA,12,false)</f>
        <v>Surface and subsurface flows in different wildfire-affected landscapes</v>
      </c>
      <c r="Y227" s="34" t="str">
        <f>VLOOKUP(A227, 'Session Data'!A:AA,22,false)</f>
        <v>Alicia</v>
      </c>
      <c r="Z227" s="34" t="str">
        <f>VLOOKUP(A227, 'Session Data'!A:AA,23,false)</f>
        <v>Kinoshita</v>
      </c>
      <c r="AA227" s="34" t="str">
        <f>VLOOKUP(A227, 'Session Data'!A:AA,25,false)</f>
        <v>Engineering</v>
      </c>
      <c r="AB227" s="34" t="str">
        <f>VLOOKUP(A227, 'Session Data'!A:AA,24,false)</f>
        <v>akinoshita@sdsu.edu</v>
      </c>
      <c r="AC227" s="34" t="str">
        <f>VLOOKUP(A227, 'Session Data'!A:AA,16,false)</f>
        <v/>
      </c>
      <c r="AD227" s="35" t="str">
        <f>VLOOKUP(A227, 'Session Data'!A:U,17,false)</f>
        <v/>
      </c>
      <c r="AE227" s="35" t="str">
        <f>VLOOKUP(A227, 'Session Data'!A:U,18,false)</f>
        <v/>
      </c>
      <c r="AF227" s="35" t="str">
        <f>VLOOKUP(A227, 'Session Data'!A:U,19,false)</f>
        <v/>
      </c>
      <c r="AG227" s="35" t="str">
        <f>VLOOKUP(A227, 'Session Data'!A:U,20,false)</f>
        <v/>
      </c>
      <c r="AH227" s="35" t="str">
        <f>VLOOKUP(A227, 'Session Data'!A:U,21,false)</f>
        <v/>
      </c>
      <c r="AI227" s="37"/>
      <c r="AJ227" s="37"/>
      <c r="AK227" s="37"/>
      <c r="AL227" s="50"/>
      <c r="AM227" s="34" t="str">
        <f>VLOOKUP(A227, 'Session Data'!A:AA,10,false)</f>
        <v>rchandrasekara1597@sdsu.edu</v>
      </c>
      <c r="AN227" s="40"/>
      <c r="AO227" s="38"/>
      <c r="AP227" s="38"/>
      <c r="AQ227" s="38"/>
      <c r="AR227" s="38"/>
      <c r="AS227" s="38"/>
      <c r="AT227" s="38"/>
      <c r="AU227" s="38"/>
      <c r="AV227" s="38"/>
      <c r="AW227" s="38"/>
      <c r="AX227" s="38"/>
      <c r="AY227" s="43"/>
      <c r="AZ227" s="43"/>
      <c r="BA227" s="48"/>
      <c r="BB227" s="48"/>
      <c r="BC227" s="43"/>
      <c r="BD227" s="43"/>
      <c r="BE227" s="44"/>
      <c r="BF227" s="45"/>
      <c r="BG227" s="43"/>
    </row>
    <row r="228">
      <c r="A228" s="19" t="s">
        <v>294</v>
      </c>
      <c r="B228" s="20">
        <f>VLOOKUP(F228,'Session Count DO NOT EDIT'!$A:$C,3,FALSE)</f>
        <v>5</v>
      </c>
      <c r="C228" s="20">
        <f>COUNTIFS('Scores Import DO NOT EDIT'!D:D,A228)</f>
        <v>4</v>
      </c>
      <c r="D228" s="21">
        <f t="shared" si="1"/>
        <v>0.8</v>
      </c>
      <c r="E228" s="22">
        <f>AVERAGEIFS('Scores Import DO NOT EDIT'!L:L,'Scores Import DO NOT EDIT'!D:D,A228)</f>
        <v>27</v>
      </c>
      <c r="F228" s="23" t="str">
        <f>VLOOKUP(A228, 'Session Data'!A:M,3,false)</f>
        <v>F-10</v>
      </c>
      <c r="G228" s="24" t="str">
        <f>VLOOKUP(A228, 'Session Data'!A:I,2,false)</f>
        <v>9:00 AM</v>
      </c>
      <c r="H228" s="23" t="str">
        <f>VLOOKUP(A228, 'Session Data'!A:J,5,false)</f>
        <v>Engineering and Computer Science</v>
      </c>
      <c r="I228" s="25" t="str">
        <f>VLOOKUP(A228, 'Session Data'!A:H,4,false)</f>
        <v>Poster</v>
      </c>
      <c r="J228" s="26" t="str">
        <f>VLOOKUP(A228, 'Session Data'!A:AA,14,false)</f>
        <v>Master's</v>
      </c>
      <c r="K228" s="27" t="str">
        <f>VLOOKUP(A228, 'Session Data'!A:AA,15,false)</f>
        <v>Engineering</v>
      </c>
      <c r="L228" s="28"/>
      <c r="M228" s="29" t="str">
        <f>VLOOKUP(A228, 'Session Data'!A:K,11,false)</f>
        <v>Master of Science in Mechanical Engineering</v>
      </c>
      <c r="N228" s="26" t="str">
        <f>IF(ISNA(VLOOKUP(A228, 'Award Abstract#'!C:C, 1, FALSE)), "No", "Yes")
</f>
        <v>No</v>
      </c>
      <c r="O228" s="29" t="str">
        <f>IF(ISNA(VLOOKUP(A228,'Award Abstract#'!B:B,1,FALSE)), "No", "Yes")</f>
        <v>No</v>
      </c>
      <c r="P228" s="29" t="str">
        <f>IF(ISNA(VLOOKUP(A228,'Award Abstract#'!E:E,1,FALSE)), "No", "Yes")</f>
        <v>No</v>
      </c>
      <c r="Q228" s="29" t="str">
        <f>IF(ISNA(VLOOKUP(A228,'Award Abstract#'!A:A,1,FALSE)), "No", "Yes")</f>
        <v>No</v>
      </c>
      <c r="R228" s="29" t="str">
        <f>IF(ISNA(VLOOKUP(A228,'Award Abstract#'!D:D,1,FALSE)), "No", "Yes")</f>
        <v>No</v>
      </c>
      <c r="S228" s="30" t="str">
        <f>VLOOKUP(A228, 'Session Data'!A:AA,27,false)</f>
        <v>Man</v>
      </c>
      <c r="T228" s="30"/>
      <c r="U228" s="30"/>
      <c r="V228" s="31" t="str">
        <f>VLOOKUP(A228, 'Session Data'!A:AA,8,false)</f>
        <v>Bryan</v>
      </c>
      <c r="W228" s="32" t="str">
        <f>VLOOKUP(A228, 'Session Data'!A:AA,9,false)</f>
        <v>Tan</v>
      </c>
      <c r="X228" s="33" t="str">
        <f>VLOOKUP(A228, 'Session Data'!A:AA,12,false)</f>
        <v>Characteristics of a Two-Dimensional Turbulent Wall Jet over a Convex Surface of a Constant Radius</v>
      </c>
      <c r="Y228" s="34" t="str">
        <f>VLOOKUP(A228, 'Session Data'!A:AA,22,false)</f>
        <v>Fletcher</v>
      </c>
      <c r="Z228" s="34" t="str">
        <f>VLOOKUP(A228, 'Session Data'!A:AA,23,false)</f>
        <v>Miller</v>
      </c>
      <c r="AA228" s="34" t="str">
        <f>VLOOKUP(A228, 'Session Data'!A:AA,25,false)</f>
        <v>Engineering</v>
      </c>
      <c r="AB228" s="34" t="str">
        <f>VLOOKUP(A228, 'Session Data'!A:AA,24,false)</f>
        <v>fmiller@sdsu.edu</v>
      </c>
      <c r="AC228" s="34" t="str">
        <f>VLOOKUP(A228, 'Session Data'!A:AA,16,false)</f>
        <v/>
      </c>
      <c r="AD228" s="35" t="str">
        <f>VLOOKUP(A228, 'Session Data'!A:U,17,false)</f>
        <v/>
      </c>
      <c r="AE228" s="35" t="str">
        <f>VLOOKUP(A228, 'Session Data'!A:U,18,false)</f>
        <v/>
      </c>
      <c r="AF228" s="35" t="str">
        <f>VLOOKUP(A228, 'Session Data'!A:U,19,false)</f>
        <v/>
      </c>
      <c r="AG228" s="35" t="str">
        <f>VLOOKUP(A228, 'Session Data'!A:U,20,false)</f>
        <v/>
      </c>
      <c r="AH228" s="35" t="str">
        <f>VLOOKUP(A228, 'Session Data'!A:U,21,false)</f>
        <v/>
      </c>
      <c r="AI228" s="37"/>
      <c r="AJ228" s="37"/>
      <c r="AK228" s="37"/>
      <c r="AL228" s="50"/>
      <c r="AM228" s="34" t="str">
        <f>VLOOKUP(A228, 'Session Data'!A:AA,10,false)</f>
        <v>btan@sdsu.edu</v>
      </c>
      <c r="AN228" s="40"/>
      <c r="AO228" s="38"/>
      <c r="AP228" s="38"/>
      <c r="AQ228" s="38"/>
      <c r="AR228" s="38"/>
      <c r="AS228" s="38"/>
      <c r="AT228" s="38"/>
      <c r="AU228" s="38"/>
      <c r="AV228" s="38"/>
      <c r="AW228" s="38"/>
      <c r="AX228" s="38"/>
      <c r="AY228" s="43"/>
      <c r="AZ228" s="43"/>
      <c r="BA228" s="48"/>
      <c r="BB228" s="48"/>
      <c r="BC228" s="43"/>
      <c r="BD228" s="43"/>
      <c r="BE228" s="44"/>
      <c r="BF228" s="45"/>
      <c r="BG228" s="43"/>
    </row>
    <row r="229">
      <c r="A229" s="19" t="s">
        <v>295</v>
      </c>
      <c r="B229" s="20">
        <f>VLOOKUP(F229,'Session Count DO NOT EDIT'!$A:$C,3,FALSE)</f>
        <v>5</v>
      </c>
      <c r="C229" s="20">
        <f>COUNTIFS('Scores Import DO NOT EDIT'!D:D,A229)</f>
        <v>5</v>
      </c>
      <c r="D229" s="21">
        <f t="shared" si="1"/>
        <v>1</v>
      </c>
      <c r="E229" s="22">
        <f>AVERAGEIFS('Scores Import DO NOT EDIT'!L:L,'Scores Import DO NOT EDIT'!D:D,A229)</f>
        <v>26.8</v>
      </c>
      <c r="F229" s="23" t="str">
        <f>VLOOKUP(A229, 'Session Data'!A:M,3,false)</f>
        <v>F-10</v>
      </c>
      <c r="G229" s="24" t="str">
        <f>VLOOKUP(A229, 'Session Data'!A:I,2,false)</f>
        <v>9:00 AM</v>
      </c>
      <c r="H229" s="23" t="str">
        <f>VLOOKUP(A229, 'Session Data'!A:J,5,false)</f>
        <v>Engineering and Computer Science</v>
      </c>
      <c r="I229" s="25" t="str">
        <f>VLOOKUP(A229, 'Session Data'!A:H,4,false)</f>
        <v>Poster</v>
      </c>
      <c r="J229" s="26" t="str">
        <f>VLOOKUP(A229, 'Session Data'!A:AA,14,false)</f>
        <v>Master's</v>
      </c>
      <c r="K229" s="27" t="str">
        <f>VLOOKUP(A229, 'Session Data'!A:AA,15,false)</f>
        <v>Engineering</v>
      </c>
      <c r="L229" s="28"/>
      <c r="M229" s="29" t="str">
        <f>VLOOKUP(A229, 'Session Data'!A:K,11,false)</f>
        <v>Masters of Science in Mechanical Engineering</v>
      </c>
      <c r="N229" s="26" t="str">
        <f>IF(ISNA(VLOOKUP(A229, 'Award Abstract#'!C:C, 1, FALSE)), "No", "Yes")
</f>
        <v>No</v>
      </c>
      <c r="O229" s="29" t="str">
        <f>IF(ISNA(VLOOKUP(A229,'Award Abstract#'!B:B,1,FALSE)), "No", "Yes")</f>
        <v>No</v>
      </c>
      <c r="P229" s="29" t="str">
        <f>IF(ISNA(VLOOKUP(A229,'Award Abstract#'!E:E,1,FALSE)), "No", "Yes")</f>
        <v>No</v>
      </c>
      <c r="Q229" s="29" t="str">
        <f>IF(ISNA(VLOOKUP(A229,'Award Abstract#'!A:A,1,FALSE)), "No", "Yes")</f>
        <v>No</v>
      </c>
      <c r="R229" s="29" t="str">
        <f>IF(ISNA(VLOOKUP(A229,'Award Abstract#'!D:D,1,FALSE)), "No", "Yes")</f>
        <v>No</v>
      </c>
      <c r="S229" s="30" t="str">
        <f>VLOOKUP(A229, 'Session Data'!A:AA,27,false)</f>
        <v>Man</v>
      </c>
      <c r="T229" s="30"/>
      <c r="U229" s="30"/>
      <c r="V229" s="31" t="str">
        <f>VLOOKUP(A229, 'Session Data'!A:AA,8,false)</f>
        <v>Jarred</v>
      </c>
      <c r="W229" s="32" t="str">
        <f>VLOOKUP(A229, 'Session Data'!A:AA,9,false)</f>
        <v>Druzynski</v>
      </c>
      <c r="X229" s="33" t="str">
        <f>VLOOKUP(A229, 'Session Data'!A:AA,12,false)</f>
        <v>Development and Validation of an Apparatus to Improve the Efficiency of NASA-STD-6001B Test 1 Flammability Test</v>
      </c>
      <c r="Y229" s="34" t="str">
        <f>VLOOKUP(A229, 'Session Data'!A:AA,22,false)</f>
        <v>Fletcher</v>
      </c>
      <c r="Z229" s="34" t="str">
        <f>VLOOKUP(A229, 'Session Data'!A:AA,23,false)</f>
        <v>Miller</v>
      </c>
      <c r="AA229" s="34" t="str">
        <f>VLOOKUP(A229, 'Session Data'!A:AA,25,false)</f>
        <v>Engineering</v>
      </c>
      <c r="AB229" s="34" t="str">
        <f>VLOOKUP(A229, 'Session Data'!A:AA,24,false)</f>
        <v>fmiller@sdsu.edu</v>
      </c>
      <c r="AC229" s="34" t="str">
        <f>VLOOKUP(A229, 'Session Data'!A:AA,16,false)</f>
        <v/>
      </c>
      <c r="AD229" s="35" t="str">
        <f>VLOOKUP(A229, 'Session Data'!A:U,17,false)</f>
        <v/>
      </c>
      <c r="AE229" s="35" t="str">
        <f>VLOOKUP(A229, 'Session Data'!A:U,18,false)</f>
        <v/>
      </c>
      <c r="AF229" s="35" t="str">
        <f>VLOOKUP(A229, 'Session Data'!A:U,19,false)</f>
        <v/>
      </c>
      <c r="AG229" s="35" t="str">
        <f>VLOOKUP(A229, 'Session Data'!A:U,20,false)</f>
        <v/>
      </c>
      <c r="AH229" s="35" t="str">
        <f>VLOOKUP(A229, 'Session Data'!A:U,21,false)</f>
        <v/>
      </c>
      <c r="AI229" s="37"/>
      <c r="AJ229" s="37"/>
      <c r="AK229" s="37"/>
      <c r="AL229" s="50"/>
      <c r="AM229" s="34" t="str">
        <f>VLOOKUP(A229, 'Session Data'!A:AA,10,false)</f>
        <v>jdruzynski@sdsu.edu</v>
      </c>
      <c r="AN229" s="40"/>
      <c r="AO229" s="38"/>
      <c r="AP229" s="38"/>
      <c r="AQ229" s="38"/>
      <c r="AR229" s="38"/>
      <c r="AS229" s="38"/>
      <c r="AT229" s="38"/>
      <c r="AU229" s="38"/>
      <c r="AV229" s="38"/>
      <c r="AW229" s="38"/>
      <c r="AX229" s="38"/>
      <c r="AY229" s="43"/>
      <c r="AZ229" s="43"/>
      <c r="BA229" s="48"/>
      <c r="BB229" s="48"/>
      <c r="BC229" s="43"/>
      <c r="BD229" s="43"/>
      <c r="BE229" s="44"/>
      <c r="BF229" s="45"/>
      <c r="BG229" s="43"/>
    </row>
    <row r="230">
      <c r="A230" s="19" t="s">
        <v>296</v>
      </c>
      <c r="B230" s="20">
        <f>VLOOKUP(F230,'Session Count DO NOT EDIT'!$A:$C,3,FALSE)</f>
        <v>5</v>
      </c>
      <c r="C230" s="20">
        <f>COUNTIFS('Scores Import DO NOT EDIT'!D:D,A230)</f>
        <v>4</v>
      </c>
      <c r="D230" s="21">
        <f t="shared" si="1"/>
        <v>0.8</v>
      </c>
      <c r="E230" s="22">
        <f>AVERAGEIFS('Scores Import DO NOT EDIT'!L:L,'Scores Import DO NOT EDIT'!D:D,A230)</f>
        <v>25</v>
      </c>
      <c r="F230" s="23" t="str">
        <f>VLOOKUP(A230, 'Session Data'!A:M,3,false)</f>
        <v>F-10</v>
      </c>
      <c r="G230" s="24" t="str">
        <f>VLOOKUP(A230, 'Session Data'!A:I,2,false)</f>
        <v>9:00 AM</v>
      </c>
      <c r="H230" s="23" t="str">
        <f>VLOOKUP(A230, 'Session Data'!A:J,5,false)</f>
        <v>Engineering and Computer Science</v>
      </c>
      <c r="I230" s="25" t="str">
        <f>VLOOKUP(A230, 'Session Data'!A:H,4,false)</f>
        <v>Poster</v>
      </c>
      <c r="J230" s="26" t="str">
        <f>VLOOKUP(A230, 'Session Data'!A:AA,14,false)</f>
        <v>Master's</v>
      </c>
      <c r="K230" s="27" t="str">
        <f>VLOOKUP(A230, 'Session Data'!A:AA,15,false)</f>
        <v>Engineering</v>
      </c>
      <c r="L230" s="28"/>
      <c r="M230" s="29" t="str">
        <f>VLOOKUP(A230, 'Session Data'!A:K,11,false)</f>
        <v>Masters of Science Water Resources Engineering</v>
      </c>
      <c r="N230" s="26" t="str">
        <f>IF(ISNA(VLOOKUP(A230, 'Award Abstract#'!C:C, 1, FALSE)), "No", "Yes")
</f>
        <v>No</v>
      </c>
      <c r="O230" s="29" t="str">
        <f>IF(ISNA(VLOOKUP(A230,'Award Abstract#'!B:B,1,FALSE)), "No", "Yes")</f>
        <v>No</v>
      </c>
      <c r="P230" s="29" t="str">
        <f>IF(ISNA(VLOOKUP(A230,'Award Abstract#'!E:E,1,FALSE)), "No", "Yes")</f>
        <v>No</v>
      </c>
      <c r="Q230" s="29" t="str">
        <f>IF(ISNA(VLOOKUP(A230,'Award Abstract#'!A:A,1,FALSE)), "No", "Yes")</f>
        <v>No</v>
      </c>
      <c r="R230" s="29" t="str">
        <f>IF(ISNA(VLOOKUP(A230,'Award Abstract#'!D:D,1,FALSE)), "No", "Yes")</f>
        <v>No</v>
      </c>
      <c r="S230" s="30" t="str">
        <f>VLOOKUP(A230, 'Session Data'!A:AA,27,false)</f>
        <v>Woman</v>
      </c>
      <c r="T230" s="30"/>
      <c r="U230" s="30"/>
      <c r="V230" s="31" t="str">
        <f>VLOOKUP(A230, 'Session Data'!A:AA,8,false)</f>
        <v>Savannah</v>
      </c>
      <c r="W230" s="32" t="str">
        <f>VLOOKUP(A230, 'Session Data'!A:AA,9,false)</f>
        <v>Regan</v>
      </c>
      <c r="X230" s="33" t="str">
        <f>VLOOKUP(A230, 'Session Data'!A:AA,12,false)</f>
        <v>The Impact of Structure Loss on Water Quality and Supply After Wildfires in California</v>
      </c>
      <c r="Y230" s="34" t="str">
        <f>VLOOKUP(A230, 'Session Data'!A:AA,22,false)</f>
        <v>Alicia</v>
      </c>
      <c r="Z230" s="34" t="str">
        <f>VLOOKUP(A230, 'Session Data'!A:AA,23,false)</f>
        <v>Kinoshita</v>
      </c>
      <c r="AA230" s="34" t="str">
        <f>VLOOKUP(A230, 'Session Data'!A:AA,25,false)</f>
        <v>Engineering</v>
      </c>
      <c r="AB230" s="34" t="str">
        <f>VLOOKUP(A230, 'Session Data'!A:AA,24,false)</f>
        <v>akinoshita@sdsu.edu</v>
      </c>
      <c r="AC230" s="34" t="str">
        <f>VLOOKUP(A230, 'Session Data'!A:AA,16,false)</f>
        <v/>
      </c>
      <c r="AD230" s="35" t="str">
        <f>VLOOKUP(A230, 'Session Data'!A:U,17,false)</f>
        <v/>
      </c>
      <c r="AE230" s="35" t="str">
        <f>VLOOKUP(A230, 'Session Data'!A:U,18,false)</f>
        <v/>
      </c>
      <c r="AF230" s="35" t="str">
        <f>VLOOKUP(A230, 'Session Data'!A:U,19,false)</f>
        <v/>
      </c>
      <c r="AG230" s="35" t="str">
        <f>VLOOKUP(A230, 'Session Data'!A:U,20,false)</f>
        <v/>
      </c>
      <c r="AH230" s="35" t="str">
        <f>VLOOKUP(A230, 'Session Data'!A:U,21,false)</f>
        <v/>
      </c>
      <c r="AI230" s="37"/>
      <c r="AJ230" s="37"/>
      <c r="AK230" s="37"/>
      <c r="AL230" s="50"/>
      <c r="AM230" s="34" t="str">
        <f>VLOOKUP(A230, 'Session Data'!A:AA,10,false)</f>
        <v>sregan@sdsu.edu</v>
      </c>
      <c r="AN230" s="40"/>
      <c r="AO230" s="38"/>
      <c r="AP230" s="38"/>
      <c r="AQ230" s="38"/>
      <c r="AR230" s="38"/>
      <c r="AS230" s="38"/>
      <c r="AT230" s="38"/>
      <c r="AU230" s="38"/>
      <c r="AV230" s="38"/>
      <c r="AW230" s="38"/>
      <c r="AX230" s="38"/>
      <c r="AY230" s="43"/>
      <c r="AZ230" s="43"/>
      <c r="BA230" s="43"/>
      <c r="BB230" s="43"/>
      <c r="BC230" s="43"/>
      <c r="BD230" s="43"/>
      <c r="BE230" s="44"/>
      <c r="BF230" s="45"/>
      <c r="BG230" s="43"/>
    </row>
    <row r="231">
      <c r="A231" s="19" t="s">
        <v>297</v>
      </c>
      <c r="B231" s="20">
        <f>VLOOKUP(F231,'Session Count DO NOT EDIT'!$A:$C,3,FALSE)</f>
        <v>4</v>
      </c>
      <c r="C231" s="20">
        <f>COUNTIFS('Scores Import DO NOT EDIT'!D:D,A231)</f>
        <v>0</v>
      </c>
      <c r="D231" s="21">
        <f t="shared" si="1"/>
        <v>0</v>
      </c>
      <c r="E231" s="22" t="str">
        <f>AVERAGEIFS('Scores Import DO NOT EDIT'!L:L,'Scores Import DO NOT EDIT'!D:D,A231)</f>
        <v>#DIV/0!</v>
      </c>
      <c r="F231" s="23" t="str">
        <f>VLOOKUP(A231, 'Session Data'!A:M,3,false)</f>
        <v>F-11</v>
      </c>
      <c r="G231" s="24" t="str">
        <f>VLOOKUP(A231, 'Session Data'!A:I,2,false)</f>
        <v>9:00 AM</v>
      </c>
      <c r="H231" s="23" t="str">
        <f>VLOOKUP(A231, 'Session Data'!A:J,5,false)</f>
        <v>Physical and Mathematical Sciences</v>
      </c>
      <c r="I231" s="25" t="str">
        <f>VLOOKUP(A231, 'Session Data'!A:H,4,false)</f>
        <v>Poster</v>
      </c>
      <c r="J231" s="26" t="str">
        <f>VLOOKUP(A231, 'Session Data'!A:AA,14,false)</f>
        <v>Master's</v>
      </c>
      <c r="K231" s="27" t="str">
        <f>VLOOKUP(A231, 'Session Data'!A:AA,15,false)</f>
        <v>Sciences</v>
      </c>
      <c r="L231" s="47"/>
      <c r="M231" s="29" t="str">
        <f>VLOOKUP(A231, 'Session Data'!A:K,11,false)</f>
        <v>Masters of Science Chemistry</v>
      </c>
      <c r="N231" s="26" t="str">
        <f>IF(ISNA(VLOOKUP(A231, 'Award Abstract#'!C:C, 1, FALSE)), "No", "Yes")
</f>
        <v>No</v>
      </c>
      <c r="O231" s="29" t="str">
        <f>IF(ISNA(VLOOKUP(A231,'Award Abstract#'!B:B,1,FALSE)), "No", "Yes")</f>
        <v>No</v>
      </c>
      <c r="P231" s="29" t="str">
        <f>IF(ISNA(VLOOKUP(A231,'Award Abstract#'!E:E,1,FALSE)), "No", "Yes")</f>
        <v>No</v>
      </c>
      <c r="Q231" s="29" t="str">
        <f>IF(ISNA(VLOOKUP(A231,'Award Abstract#'!A:A,1,FALSE)), "No", "Yes")</f>
        <v>No</v>
      </c>
      <c r="R231" s="29" t="str">
        <f>IF(ISNA(VLOOKUP(A231,'Award Abstract#'!D:D,1,FALSE)), "No", "Yes")</f>
        <v>No</v>
      </c>
      <c r="S231" s="30" t="str">
        <f>VLOOKUP(A231, 'Session Data'!A:AA,27,false)</f>
        <v>Woman</v>
      </c>
      <c r="T231" s="30"/>
      <c r="U231" s="30"/>
      <c r="V231" s="31" t="str">
        <f>VLOOKUP(A231, 'Session Data'!A:AA,8,false)</f>
        <v>Sierra</v>
      </c>
      <c r="W231" s="32" t="str">
        <f>VLOOKUP(A231, 'Session Data'!A:AA,9,false)</f>
        <v>Murrell</v>
      </c>
      <c r="X231" s="33" t="str">
        <f>VLOOKUP(A231, 'Session Data'!A:AA,12,false)</f>
        <v>Bioconjugation of Gold Nanoparticles to Rare Earth Element Binding Proteins</v>
      </c>
      <c r="Y231" s="34" t="str">
        <f>VLOOKUP(A231, 'Session Data'!A:AA,22,false)</f>
        <v>John</v>
      </c>
      <c r="Z231" s="34" t="str">
        <f>VLOOKUP(A231, 'Session Data'!A:AA,23,false)</f>
        <v>Love</v>
      </c>
      <c r="AA231" s="34" t="str">
        <f>VLOOKUP(A231, 'Session Data'!A:AA,25,false)</f>
        <v>Sciences</v>
      </c>
      <c r="AB231" s="34"/>
      <c r="AC231" s="34" t="str">
        <f>VLOOKUP(A231, 'Session Data'!A:AA,16,false)</f>
        <v/>
      </c>
      <c r="AD231" s="35" t="str">
        <f>VLOOKUP(A231, 'Session Data'!A:U,17,false)</f>
        <v/>
      </c>
      <c r="AE231" s="35" t="str">
        <f>VLOOKUP(A231, 'Session Data'!A:U,18,false)</f>
        <v/>
      </c>
      <c r="AF231" s="35" t="str">
        <f>VLOOKUP(A231, 'Session Data'!A:U,19,false)</f>
        <v/>
      </c>
      <c r="AG231" s="35" t="str">
        <f>VLOOKUP(A231, 'Session Data'!A:U,20,false)</f>
        <v/>
      </c>
      <c r="AH231" s="35" t="str">
        <f>VLOOKUP(A231, 'Session Data'!A:U,21,false)</f>
        <v/>
      </c>
      <c r="AI231" s="37"/>
      <c r="AJ231" s="37"/>
      <c r="AK231" s="37"/>
      <c r="AL231" s="50"/>
      <c r="AM231" s="34" t="str">
        <f>VLOOKUP(A231, 'Session Data'!A:AA,10,false)</f>
        <v>smurrell3782@sdsu.edu</v>
      </c>
      <c r="AN231" s="40"/>
      <c r="AO231" s="38"/>
      <c r="AP231" s="38"/>
      <c r="AQ231" s="38"/>
      <c r="AR231" s="38"/>
      <c r="AS231" s="38"/>
      <c r="AT231" s="38"/>
      <c r="AU231" s="38"/>
      <c r="AV231" s="38"/>
      <c r="AW231" s="38"/>
      <c r="AX231" s="38"/>
      <c r="AY231" s="43"/>
      <c r="AZ231" s="43"/>
      <c r="BA231" s="43"/>
      <c r="BB231" s="43"/>
      <c r="BC231" s="43"/>
      <c r="BD231" s="43"/>
      <c r="BE231" s="44"/>
      <c r="BF231" s="45"/>
      <c r="BG231" s="43"/>
    </row>
    <row r="232">
      <c r="A232" s="19" t="s">
        <v>298</v>
      </c>
      <c r="B232" s="20">
        <f>VLOOKUP(F232,'Session Count DO NOT EDIT'!$A:$C,3,FALSE)</f>
        <v>4</v>
      </c>
      <c r="C232" s="20">
        <f>COUNTIFS('Scores Import DO NOT EDIT'!D:D,A232)</f>
        <v>4</v>
      </c>
      <c r="D232" s="21">
        <f t="shared" si="1"/>
        <v>1</v>
      </c>
      <c r="E232" s="22">
        <f>AVERAGEIFS('Scores Import DO NOT EDIT'!L:L,'Scores Import DO NOT EDIT'!D:D,A232)</f>
        <v>30.5</v>
      </c>
      <c r="F232" s="23" t="str">
        <f>VLOOKUP(A232, 'Session Data'!A:M,3,false)</f>
        <v>F-11</v>
      </c>
      <c r="G232" s="24" t="str">
        <f>VLOOKUP(A232, 'Session Data'!A:I,2,false)</f>
        <v>9:00 AM</v>
      </c>
      <c r="H232" s="23" t="str">
        <f>VLOOKUP(A232, 'Session Data'!A:J,5,false)</f>
        <v>Physical and Mathematical Sciences</v>
      </c>
      <c r="I232" s="25" t="str">
        <f>VLOOKUP(A232, 'Session Data'!A:H,4,false)</f>
        <v>Poster</v>
      </c>
      <c r="J232" s="26" t="str">
        <f>VLOOKUP(A232, 'Session Data'!A:AA,14,false)</f>
        <v>Master's</v>
      </c>
      <c r="K232" s="27" t="str">
        <f>VLOOKUP(A232, 'Session Data'!A:AA,15,false)</f>
        <v>Sciences</v>
      </c>
      <c r="L232" s="47"/>
      <c r="M232" s="29" t="str">
        <f>VLOOKUP(A232, 'Session Data'!A:K,11,false)</f>
        <v>Master of Science in Computational Science</v>
      </c>
      <c r="N232" s="26" t="str">
        <f>IF(ISNA(VLOOKUP(A232, 'Award Abstract#'!C:C, 1, FALSE)), "No", "Yes")
</f>
        <v>No</v>
      </c>
      <c r="O232" s="29" t="str">
        <f>IF(ISNA(VLOOKUP(A232,'Award Abstract#'!B:B,1,FALSE)), "No", "Yes")</f>
        <v>No</v>
      </c>
      <c r="P232" s="29" t="str">
        <f>IF(ISNA(VLOOKUP(A232,'Award Abstract#'!E:E,1,FALSE)), "No", "Yes")</f>
        <v>No</v>
      </c>
      <c r="Q232" s="29" t="str">
        <f>IF(ISNA(VLOOKUP(A232,'Award Abstract#'!A:A,1,FALSE)), "No", "Yes")</f>
        <v>No</v>
      </c>
      <c r="R232" s="29" t="str">
        <f>IF(ISNA(VLOOKUP(A232,'Award Abstract#'!D:D,1,FALSE)), "No", "Yes")</f>
        <v>No</v>
      </c>
      <c r="S232" s="30" t="str">
        <f>VLOOKUP(A232, 'Session Data'!A:AA,27,false)</f>
        <v>Woman</v>
      </c>
      <c r="T232" s="30"/>
      <c r="U232" s="30"/>
      <c r="V232" s="31" t="str">
        <f>VLOOKUP(A232, 'Session Data'!A:AA,8,false)</f>
        <v>Audrey</v>
      </c>
      <c r="W232" s="32" t="str">
        <f>VLOOKUP(A232, 'Session Data'!A:AA,9,false)</f>
        <v>Oliver</v>
      </c>
      <c r="X232" s="33" t="str">
        <f>VLOOKUP(A232, 'Session Data'!A:AA,12,false)</f>
        <v>Mathematical Models of HIV Infection in the Brain: Implication to Effective Treatment Regimens</v>
      </c>
      <c r="Y232" s="34" t="str">
        <f>VLOOKUP(A232, 'Session Data'!A:AA,22,false)</f>
        <v>Naveen</v>
      </c>
      <c r="Z232" s="34" t="str">
        <f>VLOOKUP(A232, 'Session Data'!A:AA,23,false)</f>
        <v>Vaidya</v>
      </c>
      <c r="AA232" s="34" t="str">
        <f>VLOOKUP(A232, 'Session Data'!A:AA,25,false)</f>
        <v>Sciences</v>
      </c>
      <c r="AB232" s="34"/>
      <c r="AC232" s="34" t="str">
        <f>VLOOKUP(A232, 'Session Data'!A:AA,16,false)</f>
        <v/>
      </c>
      <c r="AD232" s="35" t="str">
        <f>VLOOKUP(A232, 'Session Data'!A:U,17,false)</f>
        <v/>
      </c>
      <c r="AE232" s="35" t="str">
        <f>VLOOKUP(A232, 'Session Data'!A:U,18,false)</f>
        <v/>
      </c>
      <c r="AF232" s="35" t="str">
        <f>VLOOKUP(A232, 'Session Data'!A:U,19,false)</f>
        <v/>
      </c>
      <c r="AG232" s="35" t="str">
        <f>VLOOKUP(A232, 'Session Data'!A:U,20,false)</f>
        <v/>
      </c>
      <c r="AH232" s="35" t="str">
        <f>VLOOKUP(A232, 'Session Data'!A:U,21,false)</f>
        <v/>
      </c>
      <c r="AI232" s="37"/>
      <c r="AJ232" s="37"/>
      <c r="AK232" s="37"/>
      <c r="AL232" s="50"/>
      <c r="AM232" s="34" t="str">
        <f>VLOOKUP(A232, 'Session Data'!A:AA,10,false)</f>
        <v>akoliver@sdsu.edu</v>
      </c>
      <c r="AN232" s="40"/>
      <c r="AO232" s="38"/>
      <c r="AP232" s="38"/>
      <c r="AQ232" s="38"/>
      <c r="AR232" s="38"/>
      <c r="AS232" s="38"/>
      <c r="AT232" s="38"/>
      <c r="AU232" s="38"/>
      <c r="AV232" s="38"/>
      <c r="AW232" s="38"/>
      <c r="AX232" s="38"/>
      <c r="AY232" s="43"/>
      <c r="AZ232" s="43"/>
      <c r="BA232" s="43"/>
      <c r="BB232" s="43"/>
      <c r="BC232" s="43"/>
      <c r="BD232" s="43"/>
      <c r="BE232" s="44"/>
      <c r="BF232" s="45"/>
      <c r="BG232" s="43"/>
    </row>
    <row r="233">
      <c r="A233" s="19" t="s">
        <v>299</v>
      </c>
      <c r="B233" s="20">
        <f>VLOOKUP(F233,'Session Count DO NOT EDIT'!$A:$C,3,FALSE)</f>
        <v>4</v>
      </c>
      <c r="C233" s="20">
        <f>COUNTIFS('Scores Import DO NOT EDIT'!D:D,A233)</f>
        <v>4</v>
      </c>
      <c r="D233" s="21">
        <f t="shared" si="1"/>
        <v>1</v>
      </c>
      <c r="E233" s="22">
        <f>AVERAGEIFS('Scores Import DO NOT EDIT'!L:L,'Scores Import DO NOT EDIT'!D:D,A233)</f>
        <v>28.5</v>
      </c>
      <c r="F233" s="23" t="str">
        <f>VLOOKUP(A233, 'Session Data'!A:M,3,false)</f>
        <v>F-11</v>
      </c>
      <c r="G233" s="24" t="str">
        <f>VLOOKUP(A233, 'Session Data'!A:I,2,false)</f>
        <v>9:00 AM</v>
      </c>
      <c r="H233" s="23" t="str">
        <f>VLOOKUP(A233, 'Session Data'!A:J,5,false)</f>
        <v>Physical and Mathematical Sciences</v>
      </c>
      <c r="I233" s="25" t="str">
        <f>VLOOKUP(A233, 'Session Data'!A:H,4,false)</f>
        <v>Poster</v>
      </c>
      <c r="J233" s="26" t="str">
        <f>VLOOKUP(A233, 'Session Data'!A:AA,14,false)</f>
        <v>Master's</v>
      </c>
      <c r="K233" s="27" t="str">
        <f>VLOOKUP(A233, 'Session Data'!A:AA,15,false)</f>
        <v>Sciences</v>
      </c>
      <c r="L233" s="28"/>
      <c r="M233" s="29" t="str">
        <f>VLOOKUP(A233, 'Session Data'!A:K,11,false)</f>
        <v>Masters of Science in Astronomy</v>
      </c>
      <c r="N233" s="26" t="str">
        <f>IF(ISNA(VLOOKUP(A233, 'Award Abstract#'!C:C, 1, FALSE)), "No", "Yes")
</f>
        <v>No</v>
      </c>
      <c r="O233" s="29" t="str">
        <f>IF(ISNA(VLOOKUP(A233,'Award Abstract#'!B:B,1,FALSE)), "No", "Yes")</f>
        <v>No</v>
      </c>
      <c r="P233" s="29" t="str">
        <f>IF(ISNA(VLOOKUP(A233,'Award Abstract#'!E:E,1,FALSE)), "No", "Yes")</f>
        <v>No</v>
      </c>
      <c r="Q233" s="29" t="str">
        <f>IF(ISNA(VLOOKUP(A233,'Award Abstract#'!A:A,1,FALSE)), "No", "Yes")</f>
        <v>No</v>
      </c>
      <c r="R233" s="29" t="str">
        <f>IF(ISNA(VLOOKUP(A233,'Award Abstract#'!D:D,1,FALSE)), "No", "Yes")</f>
        <v>No</v>
      </c>
      <c r="S233" s="30" t="str">
        <f>VLOOKUP(A233, 'Session Data'!A:AA,27,false)</f>
        <v>Man</v>
      </c>
      <c r="T233" s="30"/>
      <c r="U233" s="30"/>
      <c r="V233" s="31" t="str">
        <f>VLOOKUP(A233, 'Session Data'!A:AA,8,false)</f>
        <v>Andrew</v>
      </c>
      <c r="W233" s="32" t="str">
        <f>VLOOKUP(A233, 'Session Data'!A:AA,9,false)</f>
        <v>Pitts</v>
      </c>
      <c r="X233" s="33" t="str">
        <f>VLOOKUP(A233, 'Session Data'!A:AA,12,false)</f>
        <v>The Direct Detection of Gas Inflow onto Galaxies between z ~ 0.65 and z ~ 2.35.</v>
      </c>
      <c r="Y233" s="34" t="str">
        <f>VLOOKUP(A233, 'Session Data'!A:AA,22,false)</f>
        <v>Kate</v>
      </c>
      <c r="Z233" s="34" t="str">
        <f>VLOOKUP(A233, 'Session Data'!A:AA,23,false)</f>
        <v>Rubin</v>
      </c>
      <c r="AA233" s="34" t="str">
        <f>VLOOKUP(A233, 'Session Data'!A:AA,25,false)</f>
        <v>Sciences</v>
      </c>
      <c r="AB233" s="34"/>
      <c r="AC233" s="34" t="str">
        <f>VLOOKUP(A233, 'Session Data'!A:AA,16,false)</f>
        <v/>
      </c>
      <c r="AD233" s="35" t="str">
        <f>VLOOKUP(A233, 'Session Data'!A:U,17,false)</f>
        <v/>
      </c>
      <c r="AE233" s="35" t="str">
        <f>VLOOKUP(A233, 'Session Data'!A:U,18,false)</f>
        <v/>
      </c>
      <c r="AF233" s="35" t="str">
        <f>VLOOKUP(A233, 'Session Data'!A:U,19,false)</f>
        <v/>
      </c>
      <c r="AG233" s="35" t="str">
        <f>VLOOKUP(A233, 'Session Data'!A:U,20,false)</f>
        <v/>
      </c>
      <c r="AH233" s="35" t="str">
        <f>VLOOKUP(A233, 'Session Data'!A:U,21,false)</f>
        <v/>
      </c>
      <c r="AI233" s="37"/>
      <c r="AJ233" s="37"/>
      <c r="AK233" s="37"/>
      <c r="AL233" s="50"/>
      <c r="AM233" s="34" t="str">
        <f>VLOOKUP(A233, 'Session Data'!A:AA,10,false)</f>
        <v>apitts4030@sdsu.edu</v>
      </c>
      <c r="AN233" s="40"/>
      <c r="AO233" s="38"/>
      <c r="AP233" s="38"/>
      <c r="AQ233" s="38"/>
      <c r="AR233" s="38"/>
      <c r="AS233" s="38"/>
      <c r="AT233" s="38"/>
      <c r="AU233" s="38"/>
      <c r="AV233" s="38"/>
      <c r="AW233" s="38"/>
      <c r="AX233" s="38"/>
      <c r="AY233" s="43"/>
      <c r="AZ233" s="43"/>
      <c r="BA233" s="48"/>
      <c r="BB233" s="48"/>
      <c r="BC233" s="43"/>
      <c r="BD233" s="43"/>
      <c r="BE233" s="44"/>
      <c r="BF233" s="45"/>
      <c r="BG233" s="43"/>
    </row>
    <row r="234">
      <c r="A234" s="19" t="s">
        <v>300</v>
      </c>
      <c r="B234" s="20">
        <f>VLOOKUP(F234,'Session Count DO NOT EDIT'!$A:$C,3,FALSE)</f>
        <v>4</v>
      </c>
      <c r="C234" s="20">
        <f>COUNTIFS('Scores Import DO NOT EDIT'!D:D,A234)</f>
        <v>4</v>
      </c>
      <c r="D234" s="21">
        <f t="shared" si="1"/>
        <v>1</v>
      </c>
      <c r="E234" s="22">
        <f>AVERAGEIFS('Scores Import DO NOT EDIT'!L:L,'Scores Import DO NOT EDIT'!D:D,A234)</f>
        <v>25.25</v>
      </c>
      <c r="F234" s="23" t="str">
        <f>VLOOKUP(A234, 'Session Data'!A:M,3,false)</f>
        <v>F-11</v>
      </c>
      <c r="G234" s="24" t="str">
        <f>VLOOKUP(A234, 'Session Data'!A:I,2,false)</f>
        <v>9:00 AM</v>
      </c>
      <c r="H234" s="23" t="str">
        <f>VLOOKUP(A234, 'Session Data'!A:J,5,false)</f>
        <v>Physical and Mathematical Sciences</v>
      </c>
      <c r="I234" s="25" t="str">
        <f>VLOOKUP(A234, 'Session Data'!A:H,4,false)</f>
        <v>Poster</v>
      </c>
      <c r="J234" s="26" t="str">
        <f>VLOOKUP(A234, 'Session Data'!A:AA,14,false)</f>
        <v>Master's</v>
      </c>
      <c r="K234" s="27" t="str">
        <f>VLOOKUP(A234, 'Session Data'!A:AA,15,false)</f>
        <v>Sciences</v>
      </c>
      <c r="L234" s="28"/>
      <c r="M234" s="29" t="str">
        <f>VLOOKUP(A234, 'Session Data'!A:K,11,false)</f>
        <v>Masters of Science in Astronomy</v>
      </c>
      <c r="N234" s="26" t="str">
        <f>IF(ISNA(VLOOKUP(A234, 'Award Abstract#'!C:C, 1, FALSE)), "No", "Yes")
</f>
        <v>No</v>
      </c>
      <c r="O234" s="29" t="str">
        <f>IF(ISNA(VLOOKUP(A234,'Award Abstract#'!B:B,1,FALSE)), "No", "Yes")</f>
        <v>No</v>
      </c>
      <c r="P234" s="29" t="str">
        <f>IF(ISNA(VLOOKUP(A234,'Award Abstract#'!E:E,1,FALSE)), "No", "Yes")</f>
        <v>No</v>
      </c>
      <c r="Q234" s="29" t="str">
        <f>IF(ISNA(VLOOKUP(A234,'Award Abstract#'!A:A,1,FALSE)), "No", "Yes")</f>
        <v>No</v>
      </c>
      <c r="R234" s="29" t="str">
        <f>IF(ISNA(VLOOKUP(A234,'Award Abstract#'!D:D,1,FALSE)), "No", "Yes")</f>
        <v>No</v>
      </c>
      <c r="S234" s="30" t="str">
        <f>VLOOKUP(A234, 'Session Data'!A:AA,27,false)</f>
        <v>Prefer not to respond</v>
      </c>
      <c r="T234" s="30"/>
      <c r="U234" s="30"/>
      <c r="V234" s="31" t="str">
        <f>VLOOKUP(A234, 'Session Data'!A:AA,8,false)</f>
        <v>Zoe</v>
      </c>
      <c r="W234" s="32" t="str">
        <f>VLOOKUP(A234, 'Session Data'!A:AA,9,false)</f>
        <v>Bozich</v>
      </c>
      <c r="X234" s="33" t="str">
        <f>VLOOKUP(A234, 'Session Data'!A:AA,12,false)</f>
        <v>Modelling Protostars with Variable Accretion Rates</v>
      </c>
      <c r="Y234" s="34" t="str">
        <f>VLOOKUP(A234, 'Session Data'!A:AA,22,false)</f>
        <v>Anna</v>
      </c>
      <c r="Z234" s="34" t="str">
        <f>VLOOKUP(A234, 'Session Data'!A:AA,23,false)</f>
        <v>Rosen</v>
      </c>
      <c r="AA234" s="34" t="str">
        <f>VLOOKUP(A234, 'Session Data'!A:AA,25,false)</f>
        <v>Sciences</v>
      </c>
      <c r="AB234" s="34"/>
      <c r="AC234" s="34" t="str">
        <f>VLOOKUP(A234, 'Session Data'!A:AA,16,false)</f>
        <v/>
      </c>
      <c r="AD234" s="35" t="str">
        <f>VLOOKUP(A234, 'Session Data'!A:U,17,false)</f>
        <v/>
      </c>
      <c r="AE234" s="35" t="str">
        <f>VLOOKUP(A234, 'Session Data'!A:U,18,false)</f>
        <v/>
      </c>
      <c r="AF234" s="35" t="str">
        <f>VLOOKUP(A234, 'Session Data'!A:U,19,false)</f>
        <v/>
      </c>
      <c r="AG234" s="35" t="str">
        <f>VLOOKUP(A234, 'Session Data'!A:U,20,false)</f>
        <v/>
      </c>
      <c r="AH234" s="35" t="str">
        <f>VLOOKUP(A234, 'Session Data'!A:U,21,false)</f>
        <v/>
      </c>
      <c r="AI234" s="37"/>
      <c r="AJ234" s="37"/>
      <c r="AK234" s="37"/>
      <c r="AL234" s="50"/>
      <c r="AM234" s="34" t="str">
        <f>VLOOKUP(A234, 'Session Data'!A:AA,10,false)</f>
        <v>zbozich7544@sdsu.edu</v>
      </c>
      <c r="AN234" s="40"/>
      <c r="AO234" s="38"/>
      <c r="AP234" s="38"/>
      <c r="AQ234" s="38"/>
      <c r="AR234" s="38"/>
      <c r="AS234" s="38"/>
      <c r="AT234" s="38"/>
      <c r="AU234" s="38"/>
      <c r="AV234" s="38"/>
      <c r="AW234" s="38"/>
      <c r="AX234" s="38"/>
      <c r="AY234" s="43"/>
      <c r="AZ234" s="43"/>
      <c r="BA234" s="43"/>
      <c r="BB234" s="43"/>
      <c r="BC234" s="43"/>
      <c r="BD234" s="43"/>
      <c r="BE234" s="44"/>
      <c r="BF234" s="45"/>
      <c r="BG234" s="43"/>
    </row>
    <row r="235">
      <c r="A235" s="19" t="s">
        <v>301</v>
      </c>
      <c r="B235" s="20">
        <f>VLOOKUP(F235,'Session Count DO NOT EDIT'!$A:$C,3,FALSE)</f>
        <v>4</v>
      </c>
      <c r="C235" s="20">
        <f>COUNTIFS('Scores Import DO NOT EDIT'!D:D,A235)</f>
        <v>4</v>
      </c>
      <c r="D235" s="21">
        <f t="shared" si="1"/>
        <v>1</v>
      </c>
      <c r="E235" s="22">
        <f>AVERAGEIFS('Scores Import DO NOT EDIT'!L:L,'Scores Import DO NOT EDIT'!D:D,A235)</f>
        <v>24.5</v>
      </c>
      <c r="F235" s="23" t="str">
        <f>VLOOKUP(A235, 'Session Data'!A:M,3,false)</f>
        <v>F-11</v>
      </c>
      <c r="G235" s="24" t="str">
        <f>VLOOKUP(A235, 'Session Data'!A:I,2,false)</f>
        <v>9:00 AM</v>
      </c>
      <c r="H235" s="23" t="str">
        <f>VLOOKUP(A235, 'Session Data'!A:J,5,false)</f>
        <v>Physical and Mathematical Sciences</v>
      </c>
      <c r="I235" s="25" t="str">
        <f>VLOOKUP(A235, 'Session Data'!A:H,4,false)</f>
        <v>Poster</v>
      </c>
      <c r="J235" s="26" t="str">
        <f>VLOOKUP(A235, 'Session Data'!A:AA,14,false)</f>
        <v>Master's</v>
      </c>
      <c r="K235" s="27" t="str">
        <f>VLOOKUP(A235, 'Session Data'!A:AA,15,false)</f>
        <v>Sciences</v>
      </c>
      <c r="L235" s="47"/>
      <c r="M235" s="29" t="str">
        <f>VLOOKUP(A235, 'Session Data'!A:K,11,false)</f>
        <v>Master's/Master of Science in Chemistry</v>
      </c>
      <c r="N235" s="26" t="str">
        <f>IF(ISNA(VLOOKUP(A235, 'Award Abstract#'!C:C, 1, FALSE)), "No", "Yes")
</f>
        <v>No</v>
      </c>
      <c r="O235" s="29" t="str">
        <f>IF(ISNA(VLOOKUP(A235,'Award Abstract#'!B:B,1,FALSE)), "No", "Yes")</f>
        <v>No</v>
      </c>
      <c r="P235" s="29" t="str">
        <f>IF(ISNA(VLOOKUP(A235,'Award Abstract#'!E:E,1,FALSE)), "No", "Yes")</f>
        <v>No</v>
      </c>
      <c r="Q235" s="29" t="str">
        <f>IF(ISNA(VLOOKUP(A235,'Award Abstract#'!A:A,1,FALSE)), "No", "Yes")</f>
        <v>No</v>
      </c>
      <c r="R235" s="29" t="str">
        <f>IF(ISNA(VLOOKUP(A235,'Award Abstract#'!D:D,1,FALSE)), "No", "Yes")</f>
        <v>No</v>
      </c>
      <c r="S235" s="30" t="str">
        <f>VLOOKUP(A235, 'Session Data'!A:AA,27,false)</f>
        <v>Man</v>
      </c>
      <c r="T235" s="30"/>
      <c r="U235" s="30"/>
      <c r="V235" s="31" t="str">
        <f>VLOOKUP(A235, 'Session Data'!A:AA,8,false)</f>
        <v>Caden</v>
      </c>
      <c r="W235" s="32" t="str">
        <f>VLOOKUP(A235, 'Session Data'!A:AA,9,false)</f>
        <v>Unholz</v>
      </c>
      <c r="X235" s="33" t="str">
        <f>VLOOKUP(A235, 'Session Data'!A:AA,12,false)</f>
        <v>Development of a fluorescence-based assay to visualize protein-protein interactions implicated in inflammatory-based diseases</v>
      </c>
      <c r="Y235" s="34" t="str">
        <f>VLOOKUP(A235, 'Session Data'!A:AA,22,false)</f>
        <v>Tom</v>
      </c>
      <c r="Z235" s="34" t="str">
        <f>VLOOKUP(A235, 'Session Data'!A:AA,23,false)</f>
        <v>Huxford</v>
      </c>
      <c r="AA235" s="34" t="str">
        <f>VLOOKUP(A235, 'Session Data'!A:AA,25,false)</f>
        <v>Sciences</v>
      </c>
      <c r="AB235" s="34"/>
      <c r="AC235" s="34" t="str">
        <f>VLOOKUP(A235, 'Session Data'!A:AA,16,false)</f>
        <v>Josselyn</v>
      </c>
      <c r="AD235" s="35" t="str">
        <f>VLOOKUP(A235, 'Session Data'!A:U,17,false)</f>
        <v>Jacobo</v>
      </c>
      <c r="AE235" s="35" t="str">
        <f>VLOOKUP(A235, 'Session Data'!A:U,18,false)</f>
        <v/>
      </c>
      <c r="AF235" s="35" t="str">
        <f>VLOOKUP(A235, 'Session Data'!A:U,19,false)</f>
        <v/>
      </c>
      <c r="AG235" s="35" t="str">
        <f>VLOOKUP(A235, 'Session Data'!A:U,20,false)</f>
        <v/>
      </c>
      <c r="AH235" s="35" t="str">
        <f>VLOOKUP(A235, 'Session Data'!A:U,21,false)</f>
        <v/>
      </c>
      <c r="AI235" s="37"/>
      <c r="AJ235" s="37"/>
      <c r="AK235" s="37"/>
      <c r="AL235" s="50"/>
      <c r="AM235" s="34" t="str">
        <f>VLOOKUP(A235, 'Session Data'!A:AA,10,false)</f>
        <v>jjacobo6353@sdsu.edu</v>
      </c>
      <c r="AN235" s="40"/>
      <c r="AO235" s="38"/>
      <c r="AP235" s="51"/>
      <c r="AQ235" s="38"/>
      <c r="AR235" s="38"/>
      <c r="AS235" s="38"/>
      <c r="AT235" s="38"/>
      <c r="AU235" s="38"/>
      <c r="AV235" s="38"/>
      <c r="AW235" s="38"/>
      <c r="AX235" s="38"/>
      <c r="AY235" s="43"/>
      <c r="AZ235" s="43"/>
      <c r="BA235" s="48"/>
      <c r="BB235" s="48"/>
      <c r="BC235" s="43"/>
      <c r="BD235" s="43"/>
      <c r="BE235" s="44"/>
      <c r="BF235" s="45"/>
      <c r="BG235" s="43"/>
    </row>
    <row r="236">
      <c r="A236" s="19" t="s">
        <v>302</v>
      </c>
      <c r="B236" s="20">
        <f>VLOOKUP(F236,'Session Count DO NOT EDIT'!$A:$C,3,FALSE)</f>
        <v>4</v>
      </c>
      <c r="C236" s="20">
        <f>COUNTIFS('Scores Import DO NOT EDIT'!D:D,A236)</f>
        <v>4</v>
      </c>
      <c r="D236" s="21">
        <f t="shared" si="1"/>
        <v>1</v>
      </c>
      <c r="E236" s="22">
        <f>AVERAGEIFS('Scores Import DO NOT EDIT'!L:L,'Scores Import DO NOT EDIT'!D:D,A236)</f>
        <v>23.75</v>
      </c>
      <c r="F236" s="23" t="str">
        <f>VLOOKUP(A236, 'Session Data'!A:M,3,false)</f>
        <v>F-11</v>
      </c>
      <c r="G236" s="24" t="str">
        <f>VLOOKUP(A236, 'Session Data'!A:I,2,false)</f>
        <v>9:00 AM</v>
      </c>
      <c r="H236" s="23" t="str">
        <f>VLOOKUP(A236, 'Session Data'!A:J,5,false)</f>
        <v>Physical and Mathematical Sciences</v>
      </c>
      <c r="I236" s="25" t="str">
        <f>VLOOKUP(A236, 'Session Data'!A:H,4,false)</f>
        <v>Poster</v>
      </c>
      <c r="J236" s="26" t="str">
        <f>VLOOKUP(A236, 'Session Data'!A:AA,14,false)</f>
        <v>Master's</v>
      </c>
      <c r="K236" s="27" t="str">
        <f>VLOOKUP(A236, 'Session Data'!A:AA,15,false)</f>
        <v>Sciences</v>
      </c>
      <c r="L236" s="28"/>
      <c r="M236" s="29" t="str">
        <f>VLOOKUP(A236, 'Session Data'!A:K,11,false)</f>
        <v>Masters of Science in Astronomy</v>
      </c>
      <c r="N236" s="26" t="str">
        <f>IF(ISNA(VLOOKUP(A236, 'Award Abstract#'!C:C, 1, FALSE)), "No", "Yes")
</f>
        <v>No</v>
      </c>
      <c r="O236" s="29" t="str">
        <f>IF(ISNA(VLOOKUP(A236,'Award Abstract#'!B:B,1,FALSE)), "No", "Yes")</f>
        <v>No</v>
      </c>
      <c r="P236" s="29" t="str">
        <f>IF(ISNA(VLOOKUP(A236,'Award Abstract#'!E:E,1,FALSE)), "No", "Yes")</f>
        <v>No</v>
      </c>
      <c r="Q236" s="29" t="str">
        <f>IF(ISNA(VLOOKUP(A236,'Award Abstract#'!A:A,1,FALSE)), "No", "Yes")</f>
        <v>No</v>
      </c>
      <c r="R236" s="29" t="str">
        <f>IF(ISNA(VLOOKUP(A236,'Award Abstract#'!D:D,1,FALSE)), "No", "Yes")</f>
        <v>No</v>
      </c>
      <c r="S236" s="30" t="str">
        <f>VLOOKUP(A236, 'Session Data'!A:AA,27,false)</f>
        <v>Prefer not to respond</v>
      </c>
      <c r="T236" s="30"/>
      <c r="U236" s="30"/>
      <c r="V236" s="31" t="str">
        <f>VLOOKUP(A236, 'Session Data'!A:AA,8,false)</f>
        <v>Nissia</v>
      </c>
      <c r="W236" s="32" t="str">
        <f>VLOOKUP(A236, 'Session Data'!A:AA,9,false)</f>
        <v>Indradjaja</v>
      </c>
      <c r="X236" s="33" t="str">
        <f>VLOOKUP(A236, 'Session Data'!A:AA,12,false)</f>
        <v>Constraining Properties of the Cool Disk-Halo Interface using CloudFlex</v>
      </c>
      <c r="Y236" s="34" t="str">
        <f>VLOOKUP(A236, 'Session Data'!A:AA,22,false)</f>
        <v>Kate</v>
      </c>
      <c r="Z236" s="34" t="str">
        <f>VLOOKUP(A236, 'Session Data'!A:AA,23,false)</f>
        <v>Rubin</v>
      </c>
      <c r="AA236" s="34" t="str">
        <f>VLOOKUP(A236, 'Session Data'!A:AA,25,false)</f>
        <v>Sciences</v>
      </c>
      <c r="AB236" s="34"/>
      <c r="AC236" s="34" t="str">
        <f>VLOOKUP(A236, 'Session Data'!A:AA,16,false)</f>
        <v/>
      </c>
      <c r="AD236" s="35" t="str">
        <f>VLOOKUP(A236, 'Session Data'!A:U,17,false)</f>
        <v/>
      </c>
      <c r="AE236" s="35" t="str">
        <f>VLOOKUP(A236, 'Session Data'!A:U,18,false)</f>
        <v/>
      </c>
      <c r="AF236" s="35" t="str">
        <f>VLOOKUP(A236, 'Session Data'!A:U,19,false)</f>
        <v/>
      </c>
      <c r="AG236" s="35" t="str">
        <f>VLOOKUP(A236, 'Session Data'!A:U,20,false)</f>
        <v/>
      </c>
      <c r="AH236" s="35" t="str">
        <f>VLOOKUP(A236, 'Session Data'!A:U,21,false)</f>
        <v/>
      </c>
      <c r="AI236" s="37"/>
      <c r="AJ236" s="37"/>
      <c r="AK236" s="37"/>
      <c r="AL236" s="50"/>
      <c r="AM236" s="34" t="str">
        <f>VLOOKUP(A236, 'Session Data'!A:AA,10,false)</f>
        <v>nindradjaja2870@sdsu.edu</v>
      </c>
      <c r="AN236" s="40"/>
      <c r="AO236" s="38"/>
      <c r="AP236" s="38"/>
      <c r="AQ236" s="38"/>
      <c r="AR236" s="38"/>
      <c r="AS236" s="38"/>
      <c r="AT236" s="38"/>
      <c r="AU236" s="38"/>
      <c r="AV236" s="38"/>
      <c r="AW236" s="38"/>
      <c r="AX236" s="38"/>
      <c r="AY236" s="43"/>
      <c r="AZ236" s="43"/>
      <c r="BA236" s="43"/>
      <c r="BB236" s="43"/>
      <c r="BC236" s="43"/>
      <c r="BD236" s="43"/>
      <c r="BE236" s="44"/>
      <c r="BF236" s="45"/>
      <c r="BG236" s="43"/>
    </row>
    <row r="237">
      <c r="A237" s="19" t="s">
        <v>303</v>
      </c>
      <c r="B237" s="20">
        <f>VLOOKUP(F237,'Session Count DO NOT EDIT'!$A:$C,3,FALSE)</f>
        <v>4</v>
      </c>
      <c r="C237" s="20">
        <f>COUNTIFS('Scores Import DO NOT EDIT'!D:D,A237)</f>
        <v>1</v>
      </c>
      <c r="D237" s="21">
        <f t="shared" si="1"/>
        <v>0.25</v>
      </c>
      <c r="E237" s="22">
        <f>AVERAGEIFS('Scores Import DO NOT EDIT'!L:L,'Scores Import DO NOT EDIT'!D:D,A237)</f>
        <v>7</v>
      </c>
      <c r="F237" s="23" t="str">
        <f>VLOOKUP(A237, 'Session Data'!A:M,3,false)</f>
        <v>F-11</v>
      </c>
      <c r="G237" s="24" t="str">
        <f>VLOOKUP(A237, 'Session Data'!A:I,2,false)</f>
        <v>9:00 AM</v>
      </c>
      <c r="H237" s="23" t="str">
        <f>VLOOKUP(A237, 'Session Data'!A:J,5,false)</f>
        <v>Physical and Mathematical Sciences</v>
      </c>
      <c r="I237" s="25" t="str">
        <f>VLOOKUP(A237, 'Session Data'!A:H,4,false)</f>
        <v>Poster</v>
      </c>
      <c r="J237" s="26" t="str">
        <f>VLOOKUP(A237, 'Session Data'!A:AA,14,false)</f>
        <v>Master's</v>
      </c>
      <c r="K237" s="27" t="str">
        <f>VLOOKUP(A237, 'Session Data'!A:AA,15,false)</f>
        <v>Arts and Letters</v>
      </c>
      <c r="L237" s="47"/>
      <c r="M237" s="29" t="str">
        <f>VLOOKUP(A237, 'Session Data'!A:K,11,false)</f>
        <v>MS Watershed Science</v>
      </c>
      <c r="N237" s="26" t="str">
        <f>IF(ISNA(VLOOKUP(A237, 'Award Abstract#'!C:C, 1, FALSE)), "No", "Yes")
</f>
        <v>No</v>
      </c>
      <c r="O237" s="29" t="str">
        <f>IF(ISNA(VLOOKUP(A237,'Award Abstract#'!B:B,1,FALSE)), "No", "Yes")</f>
        <v>No</v>
      </c>
      <c r="P237" s="29" t="str">
        <f>IF(ISNA(VLOOKUP(A237,'Award Abstract#'!E:E,1,FALSE)), "No", "Yes")</f>
        <v>No</v>
      </c>
      <c r="Q237" s="29" t="str">
        <f>IF(ISNA(VLOOKUP(A237,'Award Abstract#'!A:A,1,FALSE)), "No", "Yes")</f>
        <v>No</v>
      </c>
      <c r="R237" s="29" t="str">
        <f>IF(ISNA(VLOOKUP(A237,'Award Abstract#'!D:D,1,FALSE)), "No", "Yes")</f>
        <v>No</v>
      </c>
      <c r="S237" s="30" t="str">
        <f>VLOOKUP(A237, 'Session Data'!A:AA,27,false)</f>
        <v>Woman, Transgender</v>
      </c>
      <c r="T237" s="30"/>
      <c r="U237" s="30"/>
      <c r="V237" s="31" t="str">
        <f>VLOOKUP(A237, 'Session Data'!A:AA,8,false)</f>
        <v>Coty</v>
      </c>
      <c r="W237" s="32" t="str">
        <f>VLOOKUP(A237, 'Session Data'!A:AA,9,false)</f>
        <v>Huneau</v>
      </c>
      <c r="X237" s="33" t="str">
        <f>VLOOKUP(A237, 'Session Data'!A:AA,12,false)</f>
        <v>Modeling Water Quality Dynamics in the Tijuana Estuary: A CE-QUAL-W2 Approach</v>
      </c>
      <c r="Y237" s="34" t="str">
        <f>VLOOKUP(A237, 'Session Data'!A:AA,22,false)</f>
        <v>Trent</v>
      </c>
      <c r="Z237" s="34" t="str">
        <f>VLOOKUP(A237, 'Session Data'!A:AA,23,false)</f>
        <v>Biggs</v>
      </c>
      <c r="AA237" s="34" t="str">
        <f>VLOOKUP(A237, 'Session Data'!A:AA,25,false)</f>
        <v>Arts and Letters</v>
      </c>
      <c r="AB237" s="34" t="str">
        <f>VLOOKUP(A237, 'Session Data'!A:AA,24,false)</f>
        <v>Tbiggs@sdsu.edu</v>
      </c>
      <c r="AC237" s="34" t="str">
        <f>VLOOKUP(A237, 'Session Data'!A:AA,16,false)</f>
        <v/>
      </c>
      <c r="AD237" s="35" t="str">
        <f>VLOOKUP(A237, 'Session Data'!A:U,17,false)</f>
        <v/>
      </c>
      <c r="AE237" s="35" t="str">
        <f>VLOOKUP(A237, 'Session Data'!A:U,18,false)</f>
        <v/>
      </c>
      <c r="AF237" s="35" t="str">
        <f>VLOOKUP(A237, 'Session Data'!A:U,19,false)</f>
        <v/>
      </c>
      <c r="AG237" s="35" t="str">
        <f>VLOOKUP(A237, 'Session Data'!A:U,20,false)</f>
        <v/>
      </c>
      <c r="AH237" s="35" t="str">
        <f>VLOOKUP(A237, 'Session Data'!A:U,21,false)</f>
        <v/>
      </c>
      <c r="AI237" s="37"/>
      <c r="AJ237" s="37"/>
      <c r="AK237" s="37"/>
      <c r="AL237" s="50"/>
      <c r="AM237" s="34" t="str">
        <f>VLOOKUP(A237, 'Session Data'!A:AA,10,false)</f>
        <v>chuneau0169@sdsu.edu</v>
      </c>
      <c r="AN237" s="40"/>
      <c r="AO237" s="38"/>
      <c r="AP237" s="38"/>
      <c r="AQ237" s="38"/>
      <c r="AR237" s="38"/>
      <c r="AS237" s="38"/>
      <c r="AT237" s="38"/>
      <c r="AU237" s="38"/>
      <c r="AV237" s="38"/>
      <c r="AW237" s="38"/>
      <c r="AX237" s="38"/>
      <c r="AY237" s="43"/>
      <c r="AZ237" s="43"/>
      <c r="BA237" s="48"/>
      <c r="BB237" s="48"/>
      <c r="BC237" s="43"/>
      <c r="BD237" s="43"/>
      <c r="BE237" s="44"/>
      <c r="BF237" s="45"/>
      <c r="BG237" s="43"/>
    </row>
    <row r="238">
      <c r="A238" s="19" t="s">
        <v>304</v>
      </c>
      <c r="B238" s="20">
        <f>VLOOKUP(F238,'Session Count DO NOT EDIT'!$A:$C,3,FALSE)</f>
        <v>5</v>
      </c>
      <c r="C238" s="20">
        <f>COUNTIFS('Scores Import DO NOT EDIT'!D:D,A238)</f>
        <v>3</v>
      </c>
      <c r="D238" s="21">
        <f t="shared" si="1"/>
        <v>0.6</v>
      </c>
      <c r="E238" s="22">
        <f>AVERAGEIFS('Scores Import DO NOT EDIT'!L:L,'Scores Import DO NOT EDIT'!D:D,A238)</f>
        <v>28</v>
      </c>
      <c r="F238" s="23" t="str">
        <f>VLOOKUP(A238, 'Session Data'!A:M,3,false)</f>
        <v>F-2</v>
      </c>
      <c r="G238" s="24" t="str">
        <f>VLOOKUP(A238, 'Session Data'!A:I,2,false)</f>
        <v>9:00 AM</v>
      </c>
      <c r="H238" s="23" t="str">
        <f>VLOOKUP(A238, 'Session Data'!A:J,5,false)</f>
        <v>Behavioral and Social Sciences 2</v>
      </c>
      <c r="I238" s="25" t="str">
        <f>VLOOKUP(A238, 'Session Data'!A:H,4,false)</f>
        <v>Poster</v>
      </c>
      <c r="J238" s="26" t="str">
        <f>VLOOKUP(A238, 'Session Data'!A:AA,14,false)</f>
        <v>Undergraduate</v>
      </c>
      <c r="K238" s="27" t="str">
        <f>VLOOKUP(A238, 'Session Data'!A:AA,15,false)</f>
        <v>Sciences</v>
      </c>
      <c r="L238" s="28"/>
      <c r="M238" s="29" t="str">
        <f>VLOOKUP(A238, 'Session Data'!A:K,11,false)</f>
        <v>Bachelor of Arts in Psychology</v>
      </c>
      <c r="N238" s="26" t="str">
        <f>IF(ISNA(VLOOKUP(A238, 'Award Abstract#'!C:C, 1, FALSE)), "No", "Yes")
</f>
        <v>No</v>
      </c>
      <c r="O238" s="29" t="str">
        <f>IF(ISNA(VLOOKUP(A238,'Award Abstract#'!B:B,1,FALSE)), "No", "Yes")</f>
        <v>Yes</v>
      </c>
      <c r="P238" s="29" t="str">
        <f>IF(ISNA(VLOOKUP(A238,'Award Abstract#'!E:E,1,FALSE)), "No", "Yes")</f>
        <v>No</v>
      </c>
      <c r="Q238" s="29" t="str">
        <f>IF(ISNA(VLOOKUP(A238,'Award Abstract#'!A:A,1,FALSE)), "No", "Yes")</f>
        <v>No</v>
      </c>
      <c r="R238" s="29" t="str">
        <f>IF(ISNA(VLOOKUP(A238,'Award Abstract#'!D:D,1,FALSE)), "No", "Yes")</f>
        <v>Yes</v>
      </c>
      <c r="S238" s="30" t="str">
        <f>VLOOKUP(A238, 'Session Data'!A:AA,27,false)</f>
        <v>Man, Cisgender</v>
      </c>
      <c r="T238" s="30"/>
      <c r="U238" s="30"/>
      <c r="V238" s="31" t="str">
        <f>VLOOKUP(A238, 'Session Data'!A:AA,8,false)</f>
        <v>Jacob </v>
      </c>
      <c r="W238" s="32" t="str">
        <f>VLOOKUP(A238, 'Session Data'!A:AA,9,false)</f>
        <v>Gallardo</v>
      </c>
      <c r="X238" s="33" t="str">
        <f>VLOOKUP(A238, 'Session Data'!A:AA,12,false)</f>
        <v>Consultation Protocols as a Strategy for Indigenous Groups in Latin America to Protect their Rights and Territories</v>
      </c>
      <c r="Y238" s="34" t="str">
        <f>VLOOKUP(A238, 'Session Data'!A:AA,22,false)</f>
        <v>Miranda</v>
      </c>
      <c r="Z238" s="34" t="str">
        <f>VLOOKUP(A238, 'Session Data'!A:AA,23,false)</f>
        <v>Chase</v>
      </c>
      <c r="AA238" s="34" t="str">
        <f>VLOOKUP(A238, 'Session Data'!A:AA,25,false)</f>
        <v>Arts and Letters</v>
      </c>
      <c r="AB238" s="34" t="str">
        <f>VLOOKUP(A238, 'Session Data'!A:AA,24,false)</f>
        <v>mchase@sdsu.edu</v>
      </c>
      <c r="AC238" s="34" t="str">
        <f>VLOOKUP(A238, 'Session Data'!A:AA,16,false)</f>
        <v/>
      </c>
      <c r="AD238" s="35" t="str">
        <f>VLOOKUP(A238, 'Session Data'!A:U,17,false)</f>
        <v/>
      </c>
      <c r="AE238" s="35" t="str">
        <f>VLOOKUP(A238, 'Session Data'!A:U,18,false)</f>
        <v/>
      </c>
      <c r="AF238" s="35" t="str">
        <f>VLOOKUP(A238, 'Session Data'!A:U,19,false)</f>
        <v/>
      </c>
      <c r="AG238" s="35" t="str">
        <f>VLOOKUP(A238, 'Session Data'!A:U,20,false)</f>
        <v/>
      </c>
      <c r="AH238" s="35" t="str">
        <f>VLOOKUP(A238, 'Session Data'!A:U,21,false)</f>
        <v/>
      </c>
      <c r="AI238" s="36"/>
      <c r="AJ238" s="38"/>
      <c r="AK238" s="38"/>
      <c r="AL238" s="39"/>
      <c r="AM238" s="34" t="str">
        <f>VLOOKUP(A238, 'Session Data'!A:AA,10,false)</f>
        <v>jgallardo7741@sdsu.edu</v>
      </c>
      <c r="AN238" s="40"/>
      <c r="AO238" s="38"/>
      <c r="AP238" s="38"/>
      <c r="AQ238" s="38"/>
      <c r="AR238" s="38"/>
      <c r="AS238" s="38"/>
      <c r="AT238" s="38"/>
      <c r="AU238" s="38"/>
      <c r="AV238" s="38"/>
      <c r="AW238" s="38"/>
      <c r="AX238" s="38"/>
      <c r="AY238" s="43"/>
      <c r="AZ238" s="43"/>
      <c r="BA238" s="48"/>
      <c r="BB238" s="48"/>
      <c r="BC238" s="43"/>
      <c r="BD238" s="43"/>
      <c r="BE238" s="44"/>
      <c r="BF238" s="45"/>
      <c r="BG238" s="43"/>
    </row>
    <row r="239">
      <c r="A239" s="19" t="s">
        <v>305</v>
      </c>
      <c r="B239" s="20">
        <f>VLOOKUP(F239,'Session Count DO NOT EDIT'!$A:$C,3,FALSE)</f>
        <v>5</v>
      </c>
      <c r="C239" s="20">
        <f>COUNTIFS('Scores Import DO NOT EDIT'!D:D,A239)</f>
        <v>4</v>
      </c>
      <c r="D239" s="21">
        <f t="shared" si="1"/>
        <v>0.8</v>
      </c>
      <c r="E239" s="22">
        <f>AVERAGEIFS('Scores Import DO NOT EDIT'!L:L,'Scores Import DO NOT EDIT'!D:D,A239)</f>
        <v>27.75</v>
      </c>
      <c r="F239" s="23" t="str">
        <f>VLOOKUP(A239, 'Session Data'!A:M,3,false)</f>
        <v>F-2</v>
      </c>
      <c r="G239" s="24" t="str">
        <f>VLOOKUP(A239, 'Session Data'!A:I,2,false)</f>
        <v>9:00 AM</v>
      </c>
      <c r="H239" s="23" t="str">
        <f>VLOOKUP(A239, 'Session Data'!A:J,5,false)</f>
        <v>Behavioral and Social Sciences 2</v>
      </c>
      <c r="I239" s="25" t="str">
        <f>VLOOKUP(A239, 'Session Data'!A:H,4,false)</f>
        <v>Poster</v>
      </c>
      <c r="J239" s="26" t="str">
        <f>VLOOKUP(A239, 'Session Data'!A:AA,14,false)</f>
        <v>Undergraduate</v>
      </c>
      <c r="K239" s="27" t="str">
        <f>VLOOKUP(A239, 'Session Data'!A:AA,15,false)</f>
        <v>Health and Human Services</v>
      </c>
      <c r="L239" s="47"/>
      <c r="M239" s="29" t="str">
        <f>VLOOKUP(A239, 'Session Data'!A:K,11,false)</f>
        <v>Bachelor of Arts in Speech, Language and Hearing Sciences</v>
      </c>
      <c r="N239" s="26" t="str">
        <f>IF(ISNA(VLOOKUP(A239, 'Award Abstract#'!C:C, 1, FALSE)), "No", "Yes")
</f>
        <v>No</v>
      </c>
      <c r="O239" s="29" t="str">
        <f>IF(ISNA(VLOOKUP(A239,'Award Abstract#'!B:B,1,FALSE)), "No", "Yes")</f>
        <v>Yes</v>
      </c>
      <c r="P239" s="29" t="str">
        <f>IF(ISNA(VLOOKUP(A239,'Award Abstract#'!E:E,1,FALSE)), "No", "Yes")</f>
        <v>No</v>
      </c>
      <c r="Q239" s="29" t="str">
        <f>IF(ISNA(VLOOKUP(A239,'Award Abstract#'!A:A,1,FALSE)), "No", "Yes")</f>
        <v>No</v>
      </c>
      <c r="R239" s="29" t="str">
        <f>IF(ISNA(VLOOKUP(A239,'Award Abstract#'!D:D,1,FALSE)), "No", "Yes")</f>
        <v>Yes</v>
      </c>
      <c r="S239" s="30" t="str">
        <f>VLOOKUP(A239, 'Session Data'!A:AA,27,false)</f>
        <v>Woman, Cisgender</v>
      </c>
      <c r="T239" s="30"/>
      <c r="U239" s="30"/>
      <c r="V239" s="31" t="str">
        <f>VLOOKUP(A239, 'Session Data'!A:AA,8,false)</f>
        <v>Ayden</v>
      </c>
      <c r="W239" s="32" t="str">
        <f>VLOOKUP(A239, 'Session Data'!A:AA,9,false)</f>
        <v>Kpormegbey</v>
      </c>
      <c r="X239" s="33" t="str">
        <f>VLOOKUP(A239, 'Session Data'!A:AA,12,false)</f>
        <v>Age of acquisition and hearing status impact proficiency in American Sign Language</v>
      </c>
      <c r="Y239" s="34" t="str">
        <f>VLOOKUP(A239, 'Session Data'!A:AA,22,false)</f>
        <v>Karen</v>
      </c>
      <c r="Z239" s="34" t="str">
        <f>VLOOKUP(A239, 'Session Data'!A:AA,23,false)</f>
        <v>Emmorey</v>
      </c>
      <c r="AA239" s="34" t="str">
        <f>VLOOKUP(A239, 'Session Data'!A:AA,25,false)</f>
        <v>Health and Human Services</v>
      </c>
      <c r="AB239" s="34" t="str">
        <f>VLOOKUP(A239, 'Session Data'!A:AA,24,false)</f>
        <v>kemmorey@sdsu.edu</v>
      </c>
      <c r="AC239" s="34" t="str">
        <f>VLOOKUP(A239, 'Session Data'!A:AA,16,false)</f>
        <v/>
      </c>
      <c r="AD239" s="35" t="str">
        <f>VLOOKUP(A239, 'Session Data'!A:U,17,false)</f>
        <v/>
      </c>
      <c r="AE239" s="35" t="str">
        <f>VLOOKUP(A239, 'Session Data'!A:U,18,false)</f>
        <v/>
      </c>
      <c r="AF239" s="35" t="str">
        <f>VLOOKUP(A239, 'Session Data'!A:U,19,false)</f>
        <v/>
      </c>
      <c r="AG239" s="35" t="str">
        <f>VLOOKUP(A239, 'Session Data'!A:U,20,false)</f>
        <v/>
      </c>
      <c r="AH239" s="35" t="str">
        <f>VLOOKUP(A239, 'Session Data'!A:U,21,false)</f>
        <v/>
      </c>
      <c r="AI239" s="37"/>
      <c r="AJ239" s="37"/>
      <c r="AK239" s="37"/>
      <c r="AL239" s="50"/>
      <c r="AM239" s="34" t="str">
        <f>VLOOKUP(A239, 'Session Data'!A:AA,10,false)</f>
        <v>akpormegbey3123@sdsu.edu</v>
      </c>
      <c r="AN239" s="40"/>
      <c r="AO239" s="38"/>
      <c r="AP239" s="38"/>
      <c r="AQ239" s="38"/>
      <c r="AR239" s="38"/>
      <c r="AS239" s="38"/>
      <c r="AT239" s="38"/>
      <c r="AU239" s="38"/>
      <c r="AV239" s="38"/>
      <c r="AW239" s="38"/>
      <c r="AX239" s="38"/>
      <c r="AY239" s="43"/>
      <c r="AZ239" s="43"/>
      <c r="BA239" s="43"/>
      <c r="BB239" s="43"/>
      <c r="BC239" s="43"/>
      <c r="BD239" s="43"/>
      <c r="BE239" s="44"/>
      <c r="BF239" s="45"/>
      <c r="BG239" s="43"/>
    </row>
    <row r="240">
      <c r="A240" s="19" t="s">
        <v>306</v>
      </c>
      <c r="B240" s="20">
        <f>VLOOKUP(F240,'Session Count DO NOT EDIT'!$A:$C,3,FALSE)</f>
        <v>5</v>
      </c>
      <c r="C240" s="20">
        <f>COUNTIFS('Scores Import DO NOT EDIT'!D:D,A240)</f>
        <v>3</v>
      </c>
      <c r="D240" s="21">
        <f t="shared" si="1"/>
        <v>0.6</v>
      </c>
      <c r="E240" s="22">
        <f>AVERAGEIFS('Scores Import DO NOT EDIT'!L:L,'Scores Import DO NOT EDIT'!D:D,A240)</f>
        <v>26.33333333</v>
      </c>
      <c r="F240" s="23" t="str">
        <f>VLOOKUP(A240, 'Session Data'!A:M,3,false)</f>
        <v>F-2</v>
      </c>
      <c r="G240" s="24" t="str">
        <f>VLOOKUP(A240, 'Session Data'!A:I,2,false)</f>
        <v>9:00 AM</v>
      </c>
      <c r="H240" s="23" t="str">
        <f>VLOOKUP(A240, 'Session Data'!A:J,5,false)</f>
        <v>Behavioral and Social Sciences 2</v>
      </c>
      <c r="I240" s="25" t="str">
        <f>VLOOKUP(A240, 'Session Data'!A:H,4,false)</f>
        <v>Poster</v>
      </c>
      <c r="J240" s="26" t="str">
        <f>VLOOKUP(A240, 'Session Data'!A:AA,14,false)</f>
        <v>Undergraduate</v>
      </c>
      <c r="K240" s="27" t="str">
        <f>VLOOKUP(A240, 'Session Data'!A:AA,15,false)</f>
        <v>Education</v>
      </c>
      <c r="L240" s="47"/>
      <c r="M240" s="29" t="str">
        <f>VLOOKUP(A240, 'Session Data'!A:K,11,false)</f>
        <v>Major bachelor's in child and Family Develpoment Minor Counsling and Social Change </v>
      </c>
      <c r="N240" s="26" t="str">
        <f>IF(ISNA(VLOOKUP(A240, 'Award Abstract#'!C:C, 1, FALSE)), "No", "Yes")
</f>
        <v>No</v>
      </c>
      <c r="O240" s="29" t="str">
        <f>IF(ISNA(VLOOKUP(A240,'Award Abstract#'!B:B,1,FALSE)), "No", "Yes")</f>
        <v>No</v>
      </c>
      <c r="P240" s="29" t="str">
        <f>IF(ISNA(VLOOKUP(A240,'Award Abstract#'!E:E,1,FALSE)), "No", "Yes")</f>
        <v>No</v>
      </c>
      <c r="Q240" s="29" t="str">
        <f>IF(ISNA(VLOOKUP(A240,'Award Abstract#'!A:A,1,FALSE)), "No", "Yes")</f>
        <v>No</v>
      </c>
      <c r="R240" s="29" t="str">
        <f>IF(ISNA(VLOOKUP(A240,'Award Abstract#'!D:D,1,FALSE)), "No", "Yes")</f>
        <v>Yes</v>
      </c>
      <c r="S240" s="30" t="str">
        <f>VLOOKUP(A240, 'Session Data'!A:AA,27,false)</f>
        <v>Woman</v>
      </c>
      <c r="T240" s="30"/>
      <c r="U240" s="30"/>
      <c r="V240" s="31" t="str">
        <f>VLOOKUP(A240, 'Session Data'!A:AA,8,false)</f>
        <v>Marquita</v>
      </c>
      <c r="W240" s="32" t="str">
        <f>VLOOKUP(A240, 'Session Data'!A:AA,9,false)</f>
        <v>Scott</v>
      </c>
      <c r="X240" s="33" t="str">
        <f>VLOOKUP(A240, 'Session Data'!A:AA,12,false)</f>
        <v>How do Latine Mothers Use Social Media to Support their Parenting and Children’s Learning?</v>
      </c>
      <c r="Y240" s="34" t="str">
        <f>VLOOKUP(A240, 'Session Data'!A:AA,22,false)</f>
        <v>Wendy </v>
      </c>
      <c r="Z240" s="34" t="str">
        <f>VLOOKUP(A240, 'Session Data'!A:AA,23,false)</f>
        <v>Ochoa</v>
      </c>
      <c r="AA240" s="34" t="str">
        <f>VLOOKUP(A240, 'Session Data'!A:AA,25,false)</f>
        <v>Education</v>
      </c>
      <c r="AB240" s="34" t="str">
        <f>VLOOKUP(A240, 'Session Data'!A:AA,24,false)</f>
        <v>Wochoa@sdsu.edu</v>
      </c>
      <c r="AC240" s="34" t="str">
        <f>VLOOKUP(A240, 'Session Data'!A:AA,16,false)</f>
        <v>Nancy</v>
      </c>
      <c r="AD240" s="35" t="str">
        <f>VLOOKUP(A240, 'Session Data'!A:U,17,false)</f>
        <v>Barboza</v>
      </c>
      <c r="AE240" s="35" t="str">
        <f>VLOOKUP(A240, 'Session Data'!A:U,18,false)</f>
        <v>Madelyn</v>
      </c>
      <c r="AF240" s="35" t="str">
        <f>VLOOKUP(A240, 'Session Data'!A:U,19,false)</f>
        <v>Goley</v>
      </c>
      <c r="AG240" s="35" t="str">
        <f>VLOOKUP(A240, 'Session Data'!A:U,20,false)</f>
        <v>Meighan</v>
      </c>
      <c r="AH240" s="35" t="str">
        <f>VLOOKUP(A240, 'Session Data'!A:U,21,false)</f>
        <v>Cheung </v>
      </c>
      <c r="AI240" s="36"/>
      <c r="AJ240" s="38"/>
      <c r="AK240" s="38"/>
      <c r="AL240" s="39"/>
      <c r="AM240" s="34" t="str">
        <f>VLOOKUP(A240, 'Session Data'!A:AA,10,false)</f>
        <v>mscott4597@sdsu.edu</v>
      </c>
      <c r="AN240" s="40"/>
      <c r="AO240" s="38"/>
      <c r="AP240" s="38"/>
      <c r="AQ240" s="38"/>
      <c r="AR240" s="38"/>
      <c r="AS240" s="38"/>
      <c r="AT240" s="38"/>
      <c r="AU240" s="38"/>
      <c r="AV240" s="38"/>
      <c r="AW240" s="38"/>
      <c r="AX240" s="38"/>
      <c r="AY240" s="43"/>
      <c r="AZ240" s="43"/>
      <c r="BA240" s="48"/>
      <c r="BB240" s="48"/>
      <c r="BC240" s="43"/>
      <c r="BD240" s="43"/>
      <c r="BE240" s="44"/>
      <c r="BF240" s="45"/>
      <c r="BG240" s="43"/>
    </row>
    <row r="241">
      <c r="A241" s="19" t="s">
        <v>307</v>
      </c>
      <c r="B241" s="20">
        <f>VLOOKUP(F241,'Session Count DO NOT EDIT'!$A:$C,3,FALSE)</f>
        <v>5</v>
      </c>
      <c r="C241" s="20">
        <f>COUNTIFS('Scores Import DO NOT EDIT'!D:D,A241)</f>
        <v>3</v>
      </c>
      <c r="D241" s="21">
        <f t="shared" si="1"/>
        <v>0.6</v>
      </c>
      <c r="E241" s="22">
        <f>AVERAGEIFS('Scores Import DO NOT EDIT'!L:L,'Scores Import DO NOT EDIT'!D:D,A241)</f>
        <v>26</v>
      </c>
      <c r="F241" s="23" t="str">
        <f>VLOOKUP(A241, 'Session Data'!A:M,3,false)</f>
        <v>F-2</v>
      </c>
      <c r="G241" s="24" t="str">
        <f>VLOOKUP(A241, 'Session Data'!A:I,2,false)</f>
        <v>9:00 AM</v>
      </c>
      <c r="H241" s="23" t="str">
        <f>VLOOKUP(A241, 'Session Data'!A:J,5,false)</f>
        <v>Behavioral and Social Sciences 2</v>
      </c>
      <c r="I241" s="25" t="str">
        <f>VLOOKUP(A241, 'Session Data'!A:H,4,false)</f>
        <v>Poster</v>
      </c>
      <c r="J241" s="26" t="str">
        <f>VLOOKUP(A241, 'Session Data'!A:AA,14,false)</f>
        <v>Undergraduate</v>
      </c>
      <c r="K241" s="27" t="str">
        <f>VLOOKUP(A241, 'Session Data'!A:AA,15,false)</f>
        <v>SDSU Imperial Valley</v>
      </c>
      <c r="L241" s="28" t="s">
        <v>95</v>
      </c>
      <c r="M241" s="29" t="str">
        <f>VLOOKUP(A241, 'Session Data'!A:K,11,false)</f>
        <v>Psychology</v>
      </c>
      <c r="N241" s="26" t="str">
        <f>IF(ISNA(VLOOKUP(A241, 'Award Abstract#'!C:C, 1, FALSE)), "No", "Yes")
</f>
        <v>No</v>
      </c>
      <c r="O241" s="29" t="str">
        <f>IF(ISNA(VLOOKUP(A241,'Award Abstract#'!B:B,1,FALSE)), "No", "Yes")</f>
        <v>No</v>
      </c>
      <c r="P241" s="29" t="str">
        <f>IF(ISNA(VLOOKUP(A241,'Award Abstract#'!E:E,1,FALSE)), "No", "Yes")</f>
        <v>No</v>
      </c>
      <c r="Q241" s="29" t="str">
        <f>IF(ISNA(VLOOKUP(A241,'Award Abstract#'!A:A,1,FALSE)), "No", "Yes")</f>
        <v>No</v>
      </c>
      <c r="R241" s="29" t="str">
        <f>IF(ISNA(VLOOKUP(A241,'Award Abstract#'!D:D,1,FALSE)), "No", "Yes")</f>
        <v>Yes</v>
      </c>
      <c r="S241" s="30" t="str">
        <f>VLOOKUP(A241, 'Session Data'!A:AA,27,false)</f>
        <v>Man</v>
      </c>
      <c r="T241" s="30"/>
      <c r="U241" s="30"/>
      <c r="V241" s="31" t="str">
        <f>VLOOKUP(A241, 'Session Data'!A:AA,8,false)</f>
        <v>Julio</v>
      </c>
      <c r="W241" s="32" t="str">
        <f>VLOOKUP(A241, 'Session Data'!A:AA,9,false)</f>
        <v>Agulilar</v>
      </c>
      <c r="X241" s="33" t="str">
        <f>VLOOKUP(A241, 'Session Data'!A:AA,12,false)</f>
        <v>Navigating Cancer Care at the US-Mexico Border</v>
      </c>
      <c r="Y241" s="34" t="str">
        <f>VLOOKUP(A241, 'Session Data'!A:AA,22,false)</f>
        <v>Linda </v>
      </c>
      <c r="Z241" s="34" t="str">
        <f>VLOOKUP(A241, 'Session Data'!A:AA,23,false)</f>
        <v>Abarbanell</v>
      </c>
      <c r="AA241" s="34" t="str">
        <f>VLOOKUP(A241, 'Session Data'!A:AA,25,false)</f>
        <v>SDSU Imperial Valley</v>
      </c>
      <c r="AB241" s="34" t="str">
        <f>VLOOKUP(A241, 'Session Data'!A:AA,24,false)</f>
        <v>Labarbanell@sdsu.edu</v>
      </c>
      <c r="AC241" s="34" t="str">
        <f>VLOOKUP(A241, 'Session Data'!A:AA,16,false)</f>
        <v>Emilia</v>
      </c>
      <c r="AD241" s="35" t="str">
        <f>VLOOKUP(A241, 'Session Data'!A:U,17,false)</f>
        <v>Alcala</v>
      </c>
      <c r="AE241" s="35" t="str">
        <f>VLOOKUP(A241, 'Session Data'!A:U,18,false)</f>
        <v>Camila</v>
      </c>
      <c r="AF241" s="35" t="str">
        <f>VLOOKUP(A241, 'Session Data'!A:U,19,false)</f>
        <v>Castro-Garcia</v>
      </c>
      <c r="AG241" s="35" t="str">
        <f>VLOOKUP(A241, 'Session Data'!A:U,20,false)</f>
        <v/>
      </c>
      <c r="AH241" s="35" t="str">
        <f>VLOOKUP(A241, 'Session Data'!A:U,21,false)</f>
        <v/>
      </c>
      <c r="AI241" s="37"/>
      <c r="AJ241" s="37"/>
      <c r="AK241" s="37"/>
      <c r="AL241" s="50"/>
      <c r="AM241" s="34" t="str">
        <f>VLOOKUP(A241, 'Session Data'!A:AA,10,false)</f>
        <v>jaguilar7954@sdsu.edu</v>
      </c>
      <c r="AN241" s="40"/>
      <c r="AO241" s="38"/>
      <c r="AP241" s="38"/>
      <c r="AQ241" s="38"/>
      <c r="AR241" s="38"/>
      <c r="AS241" s="38"/>
      <c r="AT241" s="38"/>
      <c r="AU241" s="38"/>
      <c r="AV241" s="38"/>
      <c r="AW241" s="38"/>
      <c r="AX241" s="38"/>
      <c r="AY241" s="43"/>
      <c r="AZ241" s="43"/>
      <c r="BA241" s="48"/>
      <c r="BB241" s="48"/>
      <c r="BC241" s="43"/>
      <c r="BD241" s="43"/>
      <c r="BE241" s="44"/>
      <c r="BF241" s="45"/>
      <c r="BG241" s="43"/>
    </row>
    <row r="242">
      <c r="A242" s="19" t="s">
        <v>308</v>
      </c>
      <c r="B242" s="20">
        <f>VLOOKUP(F242,'Session Count DO NOT EDIT'!$A:$C,3,FALSE)</f>
        <v>5</v>
      </c>
      <c r="C242" s="20">
        <f>COUNTIFS('Scores Import DO NOT EDIT'!D:D,A242)</f>
        <v>4</v>
      </c>
      <c r="D242" s="21">
        <f t="shared" si="1"/>
        <v>0.8</v>
      </c>
      <c r="E242" s="22">
        <f>AVERAGEIFS('Scores Import DO NOT EDIT'!L:L,'Scores Import DO NOT EDIT'!D:D,A242)</f>
        <v>25</v>
      </c>
      <c r="F242" s="23" t="str">
        <f>VLOOKUP(A242, 'Session Data'!A:M,3,false)</f>
        <v>F-2</v>
      </c>
      <c r="G242" s="24" t="str">
        <f>VLOOKUP(A242, 'Session Data'!A:I,2,false)</f>
        <v>9:00 AM</v>
      </c>
      <c r="H242" s="23" t="str">
        <f>VLOOKUP(A242, 'Session Data'!A:J,5,false)</f>
        <v>Behavioral and Social Sciences 2</v>
      </c>
      <c r="I242" s="25" t="str">
        <f>VLOOKUP(A242, 'Session Data'!A:H,4,false)</f>
        <v>Poster</v>
      </c>
      <c r="J242" s="26" t="str">
        <f>VLOOKUP(A242, 'Session Data'!A:AA,14,false)</f>
        <v>Undergraduate</v>
      </c>
      <c r="K242" s="27" t="str">
        <f>VLOOKUP(A242, 'Session Data'!A:AA,15,false)</f>
        <v>Sciences</v>
      </c>
      <c r="L242" s="79"/>
      <c r="M242" s="29" t="str">
        <f>VLOOKUP(A242, 'Session Data'!A:K,11,false)</f>
        <v>Bachelor of Arts in Psychology</v>
      </c>
      <c r="N242" s="26" t="str">
        <f>IF(ISNA(VLOOKUP(A242, 'Award Abstract#'!C:C, 1, FALSE)), "No", "Yes")
</f>
        <v>No</v>
      </c>
      <c r="O242" s="29" t="str">
        <f>IF(ISNA(VLOOKUP(A242,'Award Abstract#'!B:B,1,FALSE)), "No", "Yes")</f>
        <v>No</v>
      </c>
      <c r="P242" s="29" t="str">
        <f>IF(ISNA(VLOOKUP(A242,'Award Abstract#'!E:E,1,FALSE)), "No", "Yes")</f>
        <v>No</v>
      </c>
      <c r="Q242" s="29" t="str">
        <f>IF(ISNA(VLOOKUP(A242,'Award Abstract#'!A:A,1,FALSE)), "No", "Yes")</f>
        <v>No</v>
      </c>
      <c r="R242" s="29" t="str">
        <f>IF(ISNA(VLOOKUP(A242,'Award Abstract#'!D:D,1,FALSE)), "No", "Yes")</f>
        <v>No</v>
      </c>
      <c r="S242" s="30" t="str">
        <f>VLOOKUP(A242, 'Session Data'!A:AA,27,false)</f>
        <v>Woman</v>
      </c>
      <c r="T242" s="30"/>
      <c r="U242" s="30"/>
      <c r="V242" s="31" t="str">
        <f>VLOOKUP(A242, 'Session Data'!A:AA,8,false)</f>
        <v>Lauren</v>
      </c>
      <c r="W242" s="32" t="str">
        <f>VLOOKUP(A242, 'Session Data'!A:AA,9,false)</f>
        <v>Magliocco</v>
      </c>
      <c r="X242" s="33" t="str">
        <f>VLOOKUP(A242, 'Session Data'!A:AA,12,false)</f>
        <v>Investigating the Behavioral Response to Visual Object Stimuli (“In Progress”)</v>
      </c>
      <c r="Y242" s="34" t="str">
        <f>VLOOKUP(A242, 'Session Data'!A:AA,22,false)</f>
        <v>Philip J.</v>
      </c>
      <c r="Z242" s="34" t="str">
        <f>VLOOKUP(A242, 'Session Data'!A:AA,23,false)</f>
        <v>Holcomb</v>
      </c>
      <c r="AA242" s="34" t="str">
        <f>VLOOKUP(A242, 'Session Data'!A:AA,25,false)</f>
        <v>Sciences</v>
      </c>
      <c r="AB242" s="34"/>
      <c r="AC242" s="34" t="str">
        <f>VLOOKUP(A242, 'Session Data'!A:AA,16,false)</f>
        <v/>
      </c>
      <c r="AD242" s="35" t="str">
        <f>VLOOKUP(A242, 'Session Data'!A:U,17,false)</f>
        <v/>
      </c>
      <c r="AE242" s="35" t="str">
        <f>VLOOKUP(A242, 'Session Data'!A:U,18,false)</f>
        <v/>
      </c>
      <c r="AF242" s="35" t="str">
        <f>VLOOKUP(A242, 'Session Data'!A:U,19,false)</f>
        <v/>
      </c>
      <c r="AG242" s="35" t="str">
        <f>VLOOKUP(A242, 'Session Data'!A:U,20,false)</f>
        <v/>
      </c>
      <c r="AH242" s="35" t="str">
        <f>VLOOKUP(A242, 'Session Data'!A:U,21,false)</f>
        <v/>
      </c>
      <c r="AI242" s="37"/>
      <c r="AJ242" s="37"/>
      <c r="AK242" s="37"/>
      <c r="AL242" s="50"/>
      <c r="AM242" s="34" t="str">
        <f>VLOOKUP(A242, 'Session Data'!A:AA,10,false)</f>
        <v>lmagliocco4596@sdsu.edu</v>
      </c>
      <c r="AN242" s="40"/>
      <c r="AO242" s="38"/>
      <c r="AP242" s="38"/>
      <c r="AQ242" s="38"/>
      <c r="AR242" s="38"/>
      <c r="AS242" s="38"/>
      <c r="AT242" s="38"/>
      <c r="AU242" s="38"/>
      <c r="AV242" s="38"/>
      <c r="AW242" s="38"/>
      <c r="AX242" s="38"/>
      <c r="AY242" s="43"/>
      <c r="AZ242" s="43"/>
      <c r="BA242" s="43"/>
      <c r="BB242" s="43"/>
      <c r="BC242" s="43"/>
      <c r="BD242" s="43"/>
      <c r="BE242" s="44"/>
      <c r="BF242" s="45"/>
      <c r="BG242" s="43"/>
    </row>
    <row r="243">
      <c r="A243" s="78" t="s">
        <v>309</v>
      </c>
      <c r="B243" s="20">
        <f>VLOOKUP(F243,'Session Count DO NOT EDIT'!$A:$C,3,FALSE)</f>
        <v>5</v>
      </c>
      <c r="C243" s="20">
        <f>COUNTIFS('Scores Import DO NOT EDIT'!D:D,A243)</f>
        <v>1</v>
      </c>
      <c r="D243" s="21">
        <f t="shared" si="1"/>
        <v>0.2</v>
      </c>
      <c r="E243" s="22">
        <f>AVERAGEIFS('Scores Import DO NOT EDIT'!L:L,'Scores Import DO NOT EDIT'!D:D,A243)</f>
        <v>25</v>
      </c>
      <c r="F243" s="23" t="str">
        <f>VLOOKUP(A243, 'Session Data'!A:M,3,false)</f>
        <v>F-2</v>
      </c>
      <c r="G243" s="24" t="str">
        <f>VLOOKUP(A243, 'Session Data'!A:I,2,false)</f>
        <v>9:00 AM</v>
      </c>
      <c r="H243" s="23" t="str">
        <f>VLOOKUP(A243, 'Session Data'!A:J,5,false)</f>
        <v>Behavioral and Social Sciences 2</v>
      </c>
      <c r="I243" s="25" t="str">
        <f>VLOOKUP(A243, 'Session Data'!A:H,4,false)</f>
        <v>Poster</v>
      </c>
      <c r="J243" s="26" t="str">
        <f>VLOOKUP(A243, 'Session Data'!A:AA,14,false)</f>
        <v>Undergraduate</v>
      </c>
      <c r="K243" s="27" t="str">
        <f>VLOOKUP(A243, 'Session Data'!A:AA,15,false)</f>
        <v>Sciences</v>
      </c>
      <c r="L243" s="28"/>
      <c r="M243" s="29" t="str">
        <f>VLOOKUP(A243, 'Session Data'!A:K,11,false)</f>
        <v>Psychology</v>
      </c>
      <c r="N243" s="26" t="str">
        <f>IF(ISNA(VLOOKUP(A243, 'Award Abstract#'!C:C, 1, FALSE)), "No", "Yes")
</f>
        <v>No</v>
      </c>
      <c r="O243" s="29" t="str">
        <f>IF(ISNA(VLOOKUP(A243,'Award Abstract#'!B:B,1,FALSE)), "No", "Yes")</f>
        <v>No</v>
      </c>
      <c r="P243" s="29" t="str">
        <f>IF(ISNA(VLOOKUP(A243,'Award Abstract#'!E:E,1,FALSE)), "No", "Yes")</f>
        <v>No</v>
      </c>
      <c r="Q243" s="29" t="str">
        <f>IF(ISNA(VLOOKUP(A243,'Award Abstract#'!A:A,1,FALSE)), "No", "Yes")</f>
        <v>No</v>
      </c>
      <c r="R243" s="29" t="str">
        <f>IF(ISNA(VLOOKUP(A243,'Award Abstract#'!D:D,1,FALSE)), "No", "Yes")</f>
        <v>No</v>
      </c>
      <c r="S243" s="30" t="str">
        <f>VLOOKUP(A243, 'Session Data'!A:AA,27,false)</f>
        <v>Woman, Cisgender</v>
      </c>
      <c r="T243" s="30"/>
      <c r="U243" s="30"/>
      <c r="V243" s="31" t="str">
        <f>VLOOKUP(A243, 'Session Data'!A:AA,8,false)</f>
        <v>Hayley</v>
      </c>
      <c r="W243" s="32" t="str">
        <f>VLOOKUP(A243, 'Session Data'!A:AA,9,false)</f>
        <v>Myers</v>
      </c>
      <c r="X243" s="33" t="str">
        <f>VLOOKUP(A243, 'Session Data'!A:AA,12,false)</f>
        <v>Veteran Military Leaders' Perceptions of Their Subordinates' Mental Health Care Use: A Qualitative Investigation</v>
      </c>
      <c r="Y243" s="34" t="str">
        <f>VLOOKUP(A243, 'Session Data'!A:AA,22,false)</f>
        <v>Ariel</v>
      </c>
      <c r="Z243" s="34" t="str">
        <f>VLOOKUP(A243, 'Session Data'!A:AA,23,false)</f>
        <v>Lang</v>
      </c>
      <c r="AA243" s="34" t="str">
        <f>VLOOKUP(A243, 'Session Data'!A:AA,25,false)</f>
        <v>UCSD</v>
      </c>
      <c r="AB243" s="34"/>
      <c r="AC243" s="34" t="str">
        <f>VLOOKUP(A243, 'Session Data'!A:AA,16,false)</f>
        <v/>
      </c>
      <c r="AD243" s="35" t="str">
        <f>VLOOKUP(A243, 'Session Data'!A:U,17,false)</f>
        <v/>
      </c>
      <c r="AE243" s="35" t="str">
        <f>VLOOKUP(A243, 'Session Data'!A:U,18,false)</f>
        <v/>
      </c>
      <c r="AF243" s="35" t="str">
        <f>VLOOKUP(A243, 'Session Data'!A:U,19,false)</f>
        <v/>
      </c>
      <c r="AG243" s="35" t="str">
        <f>VLOOKUP(A243, 'Session Data'!A:U,20,false)</f>
        <v/>
      </c>
      <c r="AH243" s="35" t="str">
        <f>VLOOKUP(A243, 'Session Data'!A:U,21,false)</f>
        <v/>
      </c>
      <c r="AI243" s="37"/>
      <c r="AJ243" s="37"/>
      <c r="AK243" s="37"/>
      <c r="AL243" s="50"/>
      <c r="AM243" s="34" t="str">
        <f>VLOOKUP(A243, 'Session Data'!A:AA,10,false)</f>
        <v>hmyers3009@sdsu.edu</v>
      </c>
      <c r="AN243" s="40"/>
      <c r="AO243" s="38"/>
      <c r="AP243" s="38"/>
      <c r="AQ243" s="38"/>
      <c r="AR243" s="38"/>
      <c r="AS243" s="38"/>
      <c r="AT243" s="38"/>
      <c r="AU243" s="38"/>
      <c r="AV243" s="38"/>
      <c r="AW243" s="38"/>
      <c r="AX243" s="38"/>
      <c r="AY243" s="43"/>
      <c r="AZ243" s="43"/>
      <c r="BA243" s="43"/>
      <c r="BB243" s="43"/>
      <c r="BC243" s="43"/>
      <c r="BD243" s="43"/>
      <c r="BE243" s="44"/>
      <c r="BF243" s="45"/>
      <c r="BG243" s="43"/>
    </row>
    <row r="244">
      <c r="A244" s="19" t="s">
        <v>310</v>
      </c>
      <c r="B244" s="20">
        <f>VLOOKUP(F244,'Session Count DO NOT EDIT'!$A:$C,3,FALSE)</f>
        <v>5</v>
      </c>
      <c r="C244" s="20">
        <f>COUNTIFS('Scores Import DO NOT EDIT'!D:D,A244)</f>
        <v>4</v>
      </c>
      <c r="D244" s="21">
        <f t="shared" si="1"/>
        <v>0.8</v>
      </c>
      <c r="E244" s="22">
        <f>AVERAGEIFS('Scores Import DO NOT EDIT'!L:L,'Scores Import DO NOT EDIT'!D:D,A244)</f>
        <v>24.25</v>
      </c>
      <c r="F244" s="23" t="str">
        <f>VLOOKUP(A244, 'Session Data'!A:M,3,false)</f>
        <v>F-2</v>
      </c>
      <c r="G244" s="24" t="str">
        <f>VLOOKUP(A244, 'Session Data'!A:I,2,false)</f>
        <v>9:00 AM</v>
      </c>
      <c r="H244" s="23" t="str">
        <f>VLOOKUP(A244, 'Session Data'!A:J,5,false)</f>
        <v>Behavioral and Social Sciences 2</v>
      </c>
      <c r="I244" s="25" t="str">
        <f>VLOOKUP(A244, 'Session Data'!A:H,4,false)</f>
        <v>Poster</v>
      </c>
      <c r="J244" s="26" t="str">
        <f>VLOOKUP(A244, 'Session Data'!A:AA,14,false)</f>
        <v>Undergraduate</v>
      </c>
      <c r="K244" s="27" t="str">
        <f>VLOOKUP(A244, 'Session Data'!A:AA,15,false)</f>
        <v>Sciences</v>
      </c>
      <c r="L244" s="28"/>
      <c r="M244" s="29" t="str">
        <f>VLOOKUP(A244, 'Session Data'!A:K,11,false)</f>
        <v>BS Biology</v>
      </c>
      <c r="N244" s="26" t="str">
        <f>IF(ISNA(VLOOKUP(A244, 'Award Abstract#'!C:C, 1, FALSE)), "No", "Yes")
</f>
        <v>No</v>
      </c>
      <c r="O244" s="29" t="str">
        <f>IF(ISNA(VLOOKUP(A244,'Award Abstract#'!B:B,1,FALSE)), "No", "Yes")</f>
        <v>No</v>
      </c>
      <c r="P244" s="29" t="str">
        <f>IF(ISNA(VLOOKUP(A244,'Award Abstract#'!E:E,1,FALSE)), "No", "Yes")</f>
        <v>Yes</v>
      </c>
      <c r="Q244" s="29" t="str">
        <f>IF(ISNA(VLOOKUP(A244,'Award Abstract#'!A:A,1,FALSE)), "No", "Yes")</f>
        <v>No</v>
      </c>
      <c r="R244" s="29" t="str">
        <f>IF(ISNA(VLOOKUP(A244,'Award Abstract#'!D:D,1,FALSE)), "No", "Yes")</f>
        <v>No</v>
      </c>
      <c r="S244" s="30" t="str">
        <f>VLOOKUP(A244, 'Session Data'!A:AA,27,false)</f>
        <v>Woman</v>
      </c>
      <c r="T244" s="30"/>
      <c r="U244" s="30"/>
      <c r="V244" s="31" t="str">
        <f>VLOOKUP(A244, 'Session Data'!A:AA,8,false)</f>
        <v>Sofia</v>
      </c>
      <c r="W244" s="32" t="str">
        <f>VLOOKUP(A244, 'Session Data'!A:AA,9,false)</f>
        <v>Spies</v>
      </c>
      <c r="X244" s="33" t="str">
        <f>VLOOKUP(A244, 'Session Data'!A:AA,12,false)</f>
        <v>ActiveU</v>
      </c>
      <c r="Y244" s="34" t="str">
        <f>VLOOKUP(A244, 'Session Data'!A:AA,22,false)</f>
        <v>Ashleigh</v>
      </c>
      <c r="Z244" s="34" t="str">
        <f>VLOOKUP(A244, 'Session Data'!A:AA,23,false)</f>
        <v>Johnson</v>
      </c>
      <c r="AA244" s="34" t="str">
        <f>VLOOKUP(A244, 'Session Data'!A:AA,25,false)</f>
        <v>Health and Human Services</v>
      </c>
      <c r="AB244" s="34"/>
      <c r="AC244" s="34" t="str">
        <f>VLOOKUP(A244, 'Session Data'!A:AA,16,false)</f>
        <v>Ana</v>
      </c>
      <c r="AD244" s="35" t="str">
        <f>VLOOKUP(A244, 'Session Data'!A:U,17,false)</f>
        <v>Santos-Olea</v>
      </c>
      <c r="AE244" s="35" t="str">
        <f>VLOOKUP(A244, 'Session Data'!A:U,18,false)</f>
        <v/>
      </c>
      <c r="AF244" s="35" t="str">
        <f>VLOOKUP(A244, 'Session Data'!A:U,19,false)</f>
        <v/>
      </c>
      <c r="AG244" s="35" t="str">
        <f>VLOOKUP(A244, 'Session Data'!A:U,20,false)</f>
        <v/>
      </c>
      <c r="AH244" s="35" t="str">
        <f>VLOOKUP(A244, 'Session Data'!A:U,21,false)</f>
        <v/>
      </c>
      <c r="AI244" s="37"/>
      <c r="AJ244" s="37"/>
      <c r="AK244" s="37"/>
      <c r="AL244" s="50"/>
      <c r="AM244" s="34" t="str">
        <f>VLOOKUP(A244, 'Session Data'!A:AA,10,false)</f>
        <v>sspies2404@sdsu.edu</v>
      </c>
      <c r="AN244" s="40"/>
      <c r="AO244" s="38"/>
      <c r="AP244" s="38"/>
      <c r="AQ244" s="38"/>
      <c r="AR244" s="38"/>
      <c r="AS244" s="38"/>
      <c r="AT244" s="38"/>
      <c r="AU244" s="38"/>
      <c r="AV244" s="38"/>
      <c r="AW244" s="38"/>
      <c r="AX244" s="38"/>
      <c r="AY244" s="43"/>
      <c r="AZ244" s="43"/>
      <c r="BA244" s="48"/>
      <c r="BB244" s="48"/>
      <c r="BC244" s="43"/>
      <c r="BD244" s="43"/>
      <c r="BE244" s="44"/>
      <c r="BF244" s="45"/>
      <c r="BG244" s="43"/>
    </row>
    <row r="245">
      <c r="A245" s="19" t="s">
        <v>311</v>
      </c>
      <c r="B245" s="20">
        <f>VLOOKUP(F245,'Session Count DO NOT EDIT'!$A:$C,3,FALSE)</f>
        <v>5</v>
      </c>
      <c r="C245" s="20">
        <f>COUNTIFS('Scores Import DO NOT EDIT'!D:D,A245)</f>
        <v>3</v>
      </c>
      <c r="D245" s="21">
        <f t="shared" si="1"/>
        <v>0.6</v>
      </c>
      <c r="E245" s="22">
        <f>AVERAGEIFS('Scores Import DO NOT EDIT'!L:L,'Scores Import DO NOT EDIT'!D:D,A245)</f>
        <v>26.33333333</v>
      </c>
      <c r="F245" s="23" t="str">
        <f>VLOOKUP(A245, 'Session Data'!A:M,3,false)</f>
        <v>F-3</v>
      </c>
      <c r="G245" s="24" t="str">
        <f>VLOOKUP(A245, 'Session Data'!A:I,2,false)</f>
        <v>9:00 AM</v>
      </c>
      <c r="H245" s="23" t="str">
        <f>VLOOKUP(A245, 'Session Data'!A:J,5,false)</f>
        <v>Biological and Agricultural Sciences</v>
      </c>
      <c r="I245" s="25" t="str">
        <f>VLOOKUP(A245, 'Session Data'!A:H,4,false)</f>
        <v>Poster</v>
      </c>
      <c r="J245" s="26" t="str">
        <f>VLOOKUP(A245, 'Session Data'!A:AA,14,false)</f>
        <v>Undergraduate</v>
      </c>
      <c r="K245" s="27" t="str">
        <f>VLOOKUP(A245, 'Session Data'!A:AA,15,false)</f>
        <v>Sciences</v>
      </c>
      <c r="L245" s="28"/>
      <c r="M245" s="29" t="str">
        <f>VLOOKUP(A245, 'Session Data'!A:K,11,false)</f>
        <v>Bachelor of Biochemistry in Chemistry</v>
      </c>
      <c r="N245" s="26" t="str">
        <f>IF(ISNA(VLOOKUP(A245, 'Award Abstract#'!C:C, 1, FALSE)), "No", "Yes")
</f>
        <v>No</v>
      </c>
      <c r="O245" s="29" t="str">
        <f>IF(ISNA(VLOOKUP(A245,'Award Abstract#'!B:B,1,FALSE)), "No", "Yes")</f>
        <v>Yes</v>
      </c>
      <c r="P245" s="29" t="str">
        <f>IF(ISNA(VLOOKUP(A245,'Award Abstract#'!E:E,1,FALSE)), "No", "Yes")</f>
        <v>No</v>
      </c>
      <c r="Q245" s="29" t="str">
        <f>IF(ISNA(VLOOKUP(A245,'Award Abstract#'!A:A,1,FALSE)), "No", "Yes")</f>
        <v>No</v>
      </c>
      <c r="R245" s="29" t="str">
        <f>IF(ISNA(VLOOKUP(A245,'Award Abstract#'!D:D,1,FALSE)), "No", "Yes")</f>
        <v>Yes</v>
      </c>
      <c r="S245" s="30" t="str">
        <f>VLOOKUP(A245, 'Session Data'!A:AA,27,false)</f>
        <v>Woman</v>
      </c>
      <c r="T245" s="30"/>
      <c r="U245" s="30"/>
      <c r="V245" s="31" t="str">
        <f>VLOOKUP(A245, 'Session Data'!A:AA,8,false)</f>
        <v>Jingtong</v>
      </c>
      <c r="W245" s="32" t="str">
        <f>VLOOKUP(A245, 'Session Data'!A:AA,9,false)</f>
        <v>Chai</v>
      </c>
      <c r="X245" s="33" t="str">
        <f>VLOOKUP(A245, 'Session Data'!A:AA,12,false)</f>
        <v>Visible Light-mediated Quantum Dot Photocatalysis for Plastic Wastes Upcycling</v>
      </c>
      <c r="Y245" s="34" t="str">
        <f>VLOOKUP(A245, 'Session Data'!A:AA,22,false)</f>
        <v>Jing</v>
      </c>
      <c r="Z245" s="34" t="str">
        <f>VLOOKUP(A245, 'Session Data'!A:AA,23,false)</f>
        <v>Gu</v>
      </c>
      <c r="AA245" s="34" t="str">
        <f>VLOOKUP(A245, 'Session Data'!A:AA,25,false)</f>
        <v>Sciences</v>
      </c>
      <c r="AB245" s="34" t="str">
        <f>VLOOKUP(A245, 'Session Data'!A:AA,24,false)</f>
        <v>jgu@sdsu.edu</v>
      </c>
      <c r="AC245" s="34" t="str">
        <f>VLOOKUP(A245, 'Session Data'!A:AA,16,false)</f>
        <v/>
      </c>
      <c r="AD245" s="35" t="str">
        <f>VLOOKUP(A245, 'Session Data'!A:U,17,false)</f>
        <v/>
      </c>
      <c r="AE245" s="35" t="str">
        <f>VLOOKUP(A245, 'Session Data'!A:U,18,false)</f>
        <v/>
      </c>
      <c r="AF245" s="35" t="str">
        <f>VLOOKUP(A245, 'Session Data'!A:U,19,false)</f>
        <v/>
      </c>
      <c r="AG245" s="35" t="str">
        <f>VLOOKUP(A245, 'Session Data'!A:U,20,false)</f>
        <v/>
      </c>
      <c r="AH245" s="35" t="str">
        <f>VLOOKUP(A245, 'Session Data'!A:U,21,false)</f>
        <v/>
      </c>
      <c r="AI245" s="37"/>
      <c r="AJ245" s="37"/>
      <c r="AK245" s="37"/>
      <c r="AL245" s="50"/>
      <c r="AM245" s="34" t="str">
        <f>VLOOKUP(A245, 'Session Data'!A:AA,10,false)</f>
        <v>echai6930@sdsu.edu</v>
      </c>
      <c r="AN245" s="40"/>
      <c r="AO245" s="38"/>
      <c r="AP245" s="38"/>
      <c r="AQ245" s="38"/>
      <c r="AR245" s="38"/>
      <c r="AS245" s="38"/>
      <c r="AT245" s="38"/>
      <c r="AU245" s="38"/>
      <c r="AV245" s="38"/>
      <c r="AW245" s="38"/>
      <c r="AX245" s="38"/>
      <c r="AY245" s="43"/>
      <c r="AZ245" s="43"/>
      <c r="BA245" s="43"/>
      <c r="BB245" s="43"/>
      <c r="BC245" s="43"/>
      <c r="BD245" s="43"/>
      <c r="BE245" s="44"/>
      <c r="BF245" s="45"/>
      <c r="BG245" s="43"/>
    </row>
    <row r="246">
      <c r="A246" s="19" t="s">
        <v>312</v>
      </c>
      <c r="B246" s="20">
        <f>VLOOKUP(F246,'Session Count DO NOT EDIT'!$A:$C,3,FALSE)</f>
        <v>5</v>
      </c>
      <c r="C246" s="20">
        <f>COUNTIFS('Scores Import DO NOT EDIT'!D:D,A246)</f>
        <v>5</v>
      </c>
      <c r="D246" s="21">
        <f t="shared" si="1"/>
        <v>1</v>
      </c>
      <c r="E246" s="22">
        <f>AVERAGEIFS('Scores Import DO NOT EDIT'!L:L,'Scores Import DO NOT EDIT'!D:D,A246)</f>
        <v>31</v>
      </c>
      <c r="F246" s="23" t="str">
        <f>VLOOKUP(A246, 'Session Data'!A:M,3,false)</f>
        <v>F-3</v>
      </c>
      <c r="G246" s="24" t="str">
        <f>VLOOKUP(A246, 'Session Data'!A:I,2,false)</f>
        <v>9:00 AM</v>
      </c>
      <c r="H246" s="23" t="str">
        <f>VLOOKUP(A246, 'Session Data'!A:J,5,false)</f>
        <v>Biological and Agricultural Sciences</v>
      </c>
      <c r="I246" s="25" t="str">
        <f>VLOOKUP(A246, 'Session Data'!A:H,4,false)</f>
        <v>Poster</v>
      </c>
      <c r="J246" s="26" t="str">
        <f>VLOOKUP(A246, 'Session Data'!A:AA,14,false)</f>
        <v>Undergraduate</v>
      </c>
      <c r="K246" s="27" t="str">
        <f>VLOOKUP(A246, 'Session Data'!A:AA,15,false)</f>
        <v>Sciences</v>
      </c>
      <c r="L246" s="28" t="s">
        <v>73</v>
      </c>
      <c r="M246" s="29" t="str">
        <f>VLOOKUP(A246, 'Session Data'!A:K,11,false)</f>
        <v>BS - Biology</v>
      </c>
      <c r="N246" s="26" t="str">
        <f>IF(ISNA(VLOOKUP(A246, 'Award Abstract#'!C:C, 1, FALSE)), "No", "Yes")
</f>
        <v>No</v>
      </c>
      <c r="O246" s="29" t="str">
        <f>IF(ISNA(VLOOKUP(A246,'Award Abstract#'!B:B,1,FALSE)), "No", "Yes")</f>
        <v>No</v>
      </c>
      <c r="P246" s="29" t="str">
        <f>IF(ISNA(VLOOKUP(A246,'Award Abstract#'!E:E,1,FALSE)), "No", "Yes")</f>
        <v>No</v>
      </c>
      <c r="Q246" s="29" t="str">
        <f>IF(ISNA(VLOOKUP(A246,'Award Abstract#'!A:A,1,FALSE)), "No", "Yes")</f>
        <v>No</v>
      </c>
      <c r="R246" s="29" t="str">
        <f>IF(ISNA(VLOOKUP(A246,'Award Abstract#'!D:D,1,FALSE)), "No", "Yes")</f>
        <v>No</v>
      </c>
      <c r="S246" s="30" t="str">
        <f>VLOOKUP(A246, 'Session Data'!A:AA,27,false)</f>
        <v>Man, Transgender</v>
      </c>
      <c r="T246" s="30"/>
      <c r="U246" s="30"/>
      <c r="V246" s="31" t="str">
        <f>VLOOKUP(A246, 'Session Data'!A:AA,8,false)</f>
        <v>Allison</v>
      </c>
      <c r="W246" s="32" t="str">
        <f>VLOOKUP(A246, 'Session Data'!A:AA,9,false)</f>
        <v>Allain</v>
      </c>
      <c r="X246" s="33" t="str">
        <f>VLOOKUP(A246, 'Session Data'!A:AA,12,false)</f>
        <v>Seed depth limits emergence of an invasive shrub in Southern California</v>
      </c>
      <c r="Y246" s="34" t="str">
        <f>VLOOKUP(A246, 'Session Data'!A:AA,22,false)</f>
        <v>Nicholas</v>
      </c>
      <c r="Z246" s="34" t="str">
        <f>VLOOKUP(A246, 'Session Data'!A:AA,23,false)</f>
        <v>Barber</v>
      </c>
      <c r="AA246" s="34" t="str">
        <f>VLOOKUP(A246, 'Session Data'!A:AA,25,false)</f>
        <v>Sciences</v>
      </c>
      <c r="AB246" s="34" t="str">
        <f>VLOOKUP(A246, 'Session Data'!A:AA,24,false)</f>
        <v>nbarber@sdsu.edu</v>
      </c>
      <c r="AC246" s="34" t="str">
        <f>VLOOKUP(A246, 'Session Data'!A:AA,16,false)</f>
        <v>Travis</v>
      </c>
      <c r="AD246" s="35" t="str">
        <f>VLOOKUP(A246, 'Session Data'!A:U,17,false)</f>
        <v>Johnson</v>
      </c>
      <c r="AE246" s="35" t="str">
        <f>VLOOKUP(A246, 'Session Data'!A:U,18,false)</f>
        <v/>
      </c>
      <c r="AF246" s="35" t="str">
        <f>VLOOKUP(A246, 'Session Data'!A:U,19,false)</f>
        <v/>
      </c>
      <c r="AG246" s="35" t="str">
        <f>VLOOKUP(A246, 'Session Data'!A:U,20,false)</f>
        <v/>
      </c>
      <c r="AH246" s="35" t="str">
        <f>VLOOKUP(A246, 'Session Data'!A:U,21,false)</f>
        <v/>
      </c>
      <c r="AI246" s="37"/>
      <c r="AJ246" s="37"/>
      <c r="AK246" s="37"/>
      <c r="AL246" s="50"/>
      <c r="AM246" s="34" t="str">
        <f>VLOOKUP(A246, 'Session Data'!A:AA,10,false)</f>
        <v>aallain8338@sdsu.edu</v>
      </c>
      <c r="AN246" s="40"/>
      <c r="AO246" s="38"/>
      <c r="AP246" s="38"/>
      <c r="AQ246" s="38"/>
      <c r="AR246" s="38"/>
      <c r="AS246" s="38"/>
      <c r="AT246" s="38"/>
      <c r="AU246" s="38"/>
      <c r="AV246" s="38"/>
      <c r="AW246" s="38"/>
      <c r="AX246" s="38"/>
      <c r="AY246" s="43"/>
      <c r="AZ246" s="43"/>
      <c r="BA246" s="48"/>
      <c r="BB246" s="48"/>
      <c r="BC246" s="43"/>
      <c r="BD246" s="43"/>
      <c r="BE246" s="44"/>
      <c r="BF246" s="45"/>
      <c r="BG246" s="43"/>
    </row>
    <row r="247">
      <c r="A247" s="19" t="s">
        <v>313</v>
      </c>
      <c r="B247" s="20">
        <f>VLOOKUP(F247,'Session Count DO NOT EDIT'!$A:$C,3,FALSE)</f>
        <v>5</v>
      </c>
      <c r="C247" s="20">
        <f>COUNTIFS('Scores Import DO NOT EDIT'!D:D,A247)</f>
        <v>5</v>
      </c>
      <c r="D247" s="21">
        <f t="shared" si="1"/>
        <v>1</v>
      </c>
      <c r="E247" s="22">
        <f>AVERAGEIFS('Scores Import DO NOT EDIT'!L:L,'Scores Import DO NOT EDIT'!D:D,A247)</f>
        <v>30.2</v>
      </c>
      <c r="F247" s="23" t="str">
        <f>VLOOKUP(A247, 'Session Data'!A:M,3,false)</f>
        <v>F-3</v>
      </c>
      <c r="G247" s="24" t="str">
        <f>VLOOKUP(A247, 'Session Data'!A:I,2,false)</f>
        <v>9:00 AM</v>
      </c>
      <c r="H247" s="23" t="str">
        <f>VLOOKUP(A247, 'Session Data'!A:J,5,false)</f>
        <v>Biological and Agricultural Sciences</v>
      </c>
      <c r="I247" s="25" t="str">
        <f>VLOOKUP(A247, 'Session Data'!A:H,4,false)</f>
        <v>Poster</v>
      </c>
      <c r="J247" s="26" t="str">
        <f>VLOOKUP(A247, 'Session Data'!A:AA,14,false)</f>
        <v>Undergraduate</v>
      </c>
      <c r="K247" s="27" t="str">
        <f>VLOOKUP(A247, 'Session Data'!A:AA,15,false)</f>
        <v>Sciences</v>
      </c>
      <c r="L247" s="47"/>
      <c r="M247" s="29" t="str">
        <f>VLOOKUP(A247, 'Session Data'!A:K,11,false)</f>
        <v>Bachelor of Cellular and molecular biology</v>
      </c>
      <c r="N247" s="26" t="str">
        <f>IF(ISNA(VLOOKUP(A247, 'Award Abstract#'!C:C, 1, FALSE)), "No", "Yes")
</f>
        <v>No</v>
      </c>
      <c r="O247" s="29" t="str">
        <f>IF(ISNA(VLOOKUP(A247,'Award Abstract#'!B:B,1,FALSE)), "No", "Yes")</f>
        <v>No</v>
      </c>
      <c r="P247" s="29" t="str">
        <f>IF(ISNA(VLOOKUP(A247,'Award Abstract#'!E:E,1,FALSE)), "No", "Yes")</f>
        <v>No</v>
      </c>
      <c r="Q247" s="29" t="str">
        <f>IF(ISNA(VLOOKUP(A247,'Award Abstract#'!A:A,1,FALSE)), "No", "Yes")</f>
        <v>No</v>
      </c>
      <c r="R247" s="29" t="str">
        <f>IF(ISNA(VLOOKUP(A247,'Award Abstract#'!D:D,1,FALSE)), "No", "Yes")</f>
        <v>No</v>
      </c>
      <c r="S247" s="30" t="str">
        <f>VLOOKUP(A247, 'Session Data'!A:AA,27,false)</f>
        <v>Man</v>
      </c>
      <c r="T247" s="30"/>
      <c r="U247" s="30"/>
      <c r="V247" s="31" t="str">
        <f>VLOOKUP(A247, 'Session Data'!A:AA,8,false)</f>
        <v>Xuefan</v>
      </c>
      <c r="W247" s="32" t="str">
        <f>VLOOKUP(A247, 'Session Data'!A:AA,9,false)</f>
        <v>Shi</v>
      </c>
      <c r="X247" s="33" t="str">
        <f>VLOOKUP(A247, 'Session Data'!A:AA,12,false)</f>
        <v>Generation of patient specific and transplantable hematopoietic stem and progenitor cells</v>
      </c>
      <c r="Y247" s="34" t="str">
        <f>VLOOKUP(A247, 'Session Data'!A:AA,22,false)</f>
        <v>Karl</v>
      </c>
      <c r="Z247" s="34" t="str">
        <f>VLOOKUP(A247, 'Session Data'!A:AA,23,false)</f>
        <v>Willert</v>
      </c>
      <c r="AA247" s="34" t="str">
        <f>VLOOKUP(A247, 'Session Data'!A:AA,25,false)</f>
        <v>UCSD</v>
      </c>
      <c r="AB247" s="34" t="str">
        <f>VLOOKUP(A247, 'Session Data'!A:AA,24,false)</f>
        <v>kwillert@health.ucsd.edu</v>
      </c>
      <c r="AC247" s="34" t="str">
        <f>VLOOKUP(A247, 'Session Data'!A:AA,16,false)</f>
        <v/>
      </c>
      <c r="AD247" s="35" t="str">
        <f>VLOOKUP(A247, 'Session Data'!A:U,17,false)</f>
        <v/>
      </c>
      <c r="AE247" s="35" t="str">
        <f>VLOOKUP(A247, 'Session Data'!A:U,18,false)</f>
        <v/>
      </c>
      <c r="AF247" s="35" t="str">
        <f>VLOOKUP(A247, 'Session Data'!A:U,19,false)</f>
        <v/>
      </c>
      <c r="AG247" s="35" t="str">
        <f>VLOOKUP(A247, 'Session Data'!A:U,20,false)</f>
        <v/>
      </c>
      <c r="AH247" s="35" t="str">
        <f>VLOOKUP(A247, 'Session Data'!A:U,21,false)</f>
        <v/>
      </c>
      <c r="AI247" s="36"/>
      <c r="AJ247" s="38"/>
      <c r="AK247" s="38"/>
      <c r="AL247" s="39"/>
      <c r="AM247" s="34" t="str">
        <f>VLOOKUP(A247, 'Session Data'!A:AA,10,false)</f>
        <v>xshi0032@sdsu.edu</v>
      </c>
      <c r="AN247" s="40"/>
      <c r="AO247" s="38"/>
      <c r="AP247" s="38"/>
      <c r="AQ247" s="38"/>
      <c r="AR247" s="38"/>
      <c r="AS247" s="38"/>
      <c r="AT247" s="38"/>
      <c r="AU247" s="38"/>
      <c r="AV247" s="38"/>
      <c r="AW247" s="38"/>
      <c r="AX247" s="38"/>
      <c r="AY247" s="43"/>
      <c r="AZ247" s="43"/>
      <c r="BA247" s="48"/>
      <c r="BB247" s="48"/>
      <c r="BC247" s="43"/>
      <c r="BD247" s="48"/>
      <c r="BE247" s="44"/>
      <c r="BF247" s="45"/>
      <c r="BG247" s="43"/>
    </row>
    <row r="248">
      <c r="A248" s="19" t="s">
        <v>314</v>
      </c>
      <c r="B248" s="20">
        <f>VLOOKUP(F248,'Session Count DO NOT EDIT'!$A:$C,3,FALSE)</f>
        <v>5</v>
      </c>
      <c r="C248" s="20">
        <f>COUNTIFS('Scores Import DO NOT EDIT'!D:D,A248)</f>
        <v>4</v>
      </c>
      <c r="D248" s="21">
        <f t="shared" si="1"/>
        <v>0.8</v>
      </c>
      <c r="E248" s="22">
        <f>AVERAGEIFS('Scores Import DO NOT EDIT'!L:L,'Scores Import DO NOT EDIT'!D:D,A248)</f>
        <v>29.5</v>
      </c>
      <c r="F248" s="23" t="str">
        <f>VLOOKUP(A248, 'Session Data'!A:M,3,false)</f>
        <v>F-3</v>
      </c>
      <c r="G248" s="24" t="str">
        <f>VLOOKUP(A248, 'Session Data'!A:I,2,false)</f>
        <v>9:00 AM</v>
      </c>
      <c r="H248" s="23" t="str">
        <f>VLOOKUP(A248, 'Session Data'!A:J,5,false)</f>
        <v>Biological and Agricultural Sciences</v>
      </c>
      <c r="I248" s="25" t="str">
        <f>VLOOKUP(A248, 'Session Data'!A:H,4,false)</f>
        <v>Poster</v>
      </c>
      <c r="J248" s="26" t="str">
        <f>VLOOKUP(A248, 'Session Data'!A:AA,14,false)</f>
        <v>Undergraduate</v>
      </c>
      <c r="K248" s="27" t="str">
        <f>VLOOKUP(A248, 'Session Data'!A:AA,15,false)</f>
        <v>Sciences</v>
      </c>
      <c r="L248" s="28"/>
      <c r="M248" s="29" t="str">
        <f>VLOOKUP(A248, 'Session Data'!A:K,11,false)</f>
        <v>Biology</v>
      </c>
      <c r="N248" s="26" t="str">
        <f>IF(ISNA(VLOOKUP(A248, 'Award Abstract#'!C:C, 1, FALSE)), "No", "Yes")
</f>
        <v>No</v>
      </c>
      <c r="O248" s="29" t="str">
        <f>IF(ISNA(VLOOKUP(A248,'Award Abstract#'!B:B,1,FALSE)), "No", "Yes")</f>
        <v>No</v>
      </c>
      <c r="P248" s="29" t="str">
        <f>IF(ISNA(VLOOKUP(A248,'Award Abstract#'!E:E,1,FALSE)), "No", "Yes")</f>
        <v>No</v>
      </c>
      <c r="Q248" s="29" t="str">
        <f>IF(ISNA(VLOOKUP(A248,'Award Abstract#'!A:A,1,FALSE)), "No", "Yes")</f>
        <v>No</v>
      </c>
      <c r="R248" s="29" t="str">
        <f>IF(ISNA(VLOOKUP(A248,'Award Abstract#'!D:D,1,FALSE)), "No", "Yes")</f>
        <v>Yes</v>
      </c>
      <c r="S248" s="30" t="str">
        <f>VLOOKUP(A248, 'Session Data'!A:AA,27,false)</f>
        <v>Woman</v>
      </c>
      <c r="T248" s="30"/>
      <c r="U248" s="30"/>
      <c r="V248" s="31" t="str">
        <f>VLOOKUP(A248, 'Session Data'!A:AA,8,false)</f>
        <v>Isabella</v>
      </c>
      <c r="W248" s="32" t="str">
        <f>VLOOKUP(A248, 'Session Data'!A:AA,9,false)</f>
        <v>Amador</v>
      </c>
      <c r="X248" s="33" t="str">
        <f>VLOOKUP(A248, 'Session Data'!A:AA,12,false)</f>
        <v> Role of macrophages in the development of ovarian cancer stem-like cells during chemotherapy</v>
      </c>
      <c r="Y248" s="34" t="str">
        <f>VLOOKUP(A248, 'Session Data'!A:AA,22,false)</f>
        <v>Carrie </v>
      </c>
      <c r="Z248" s="34" t="str">
        <f>VLOOKUP(A248, 'Session Data'!A:AA,23,false)</f>
        <v>House</v>
      </c>
      <c r="AA248" s="34" t="str">
        <f>VLOOKUP(A248, 'Session Data'!A:AA,25,false)</f>
        <v>Sciences</v>
      </c>
      <c r="AB248" s="34" t="str">
        <f>VLOOKUP(A248, 'Session Data'!A:AA,24,false)</f>
        <v>cdhouse@sdsu.edu</v>
      </c>
      <c r="AC248" s="34" t="str">
        <f>VLOOKUP(A248, 'Session Data'!A:AA,16,false)</f>
        <v>Sofia</v>
      </c>
      <c r="AD248" s="35" t="str">
        <f>VLOOKUP(A248, 'Session Data'!A:U,17,false)</f>
        <v>Valencia</v>
      </c>
      <c r="AE248" s="35" t="str">
        <f>VLOOKUP(A248, 'Session Data'!A:U,18,false)</f>
        <v/>
      </c>
      <c r="AF248" s="35" t="str">
        <f>VLOOKUP(A248, 'Session Data'!A:U,19,false)</f>
        <v/>
      </c>
      <c r="AG248" s="35" t="str">
        <f>VLOOKUP(A248, 'Session Data'!A:U,20,false)</f>
        <v/>
      </c>
      <c r="AH248" s="35" t="str">
        <f>VLOOKUP(A248, 'Session Data'!A:U,21,false)</f>
        <v/>
      </c>
      <c r="AI248" s="37"/>
      <c r="AJ248" s="37"/>
      <c r="AK248" s="37"/>
      <c r="AL248" s="50"/>
      <c r="AM248" s="34" t="str">
        <f>VLOOKUP(A248, 'Session Data'!A:AA,10,false)</f>
        <v>iamador4084@sdsu.edu</v>
      </c>
      <c r="AN248" s="40"/>
      <c r="AO248" s="38"/>
      <c r="AP248" s="38"/>
      <c r="AQ248" s="38"/>
      <c r="AR248" s="38"/>
      <c r="AS248" s="38"/>
      <c r="AT248" s="38"/>
      <c r="AU248" s="38"/>
      <c r="AV248" s="38"/>
      <c r="AW248" s="38"/>
      <c r="AX248" s="38"/>
      <c r="AY248" s="43"/>
      <c r="AZ248" s="43"/>
      <c r="BA248" s="43"/>
      <c r="BB248" s="43"/>
      <c r="BC248" s="43"/>
      <c r="BD248" s="43"/>
      <c r="BE248" s="44"/>
      <c r="BF248" s="45"/>
      <c r="BG248" s="43"/>
    </row>
    <row r="249">
      <c r="A249" s="19" t="s">
        <v>315</v>
      </c>
      <c r="B249" s="20">
        <f>VLOOKUP(F249,'Session Count DO NOT EDIT'!$A:$C,3,FALSE)</f>
        <v>5</v>
      </c>
      <c r="C249" s="20">
        <f>COUNTIFS('Scores Import DO NOT EDIT'!D:D,A249)</f>
        <v>5</v>
      </c>
      <c r="D249" s="21">
        <f t="shared" si="1"/>
        <v>1</v>
      </c>
      <c r="E249" s="22">
        <f>AVERAGEIFS('Scores Import DO NOT EDIT'!L:L,'Scores Import DO NOT EDIT'!D:D,A249)</f>
        <v>28.4</v>
      </c>
      <c r="F249" s="23" t="str">
        <f>VLOOKUP(A249, 'Session Data'!A:M,3,false)</f>
        <v>F-3</v>
      </c>
      <c r="G249" s="24" t="str">
        <f>VLOOKUP(A249, 'Session Data'!A:I,2,false)</f>
        <v>9:00 AM</v>
      </c>
      <c r="H249" s="23" t="str">
        <f>VLOOKUP(A249, 'Session Data'!A:J,5,false)</f>
        <v>Biological and Agricultural Sciences</v>
      </c>
      <c r="I249" s="25" t="str">
        <f>VLOOKUP(A249, 'Session Data'!A:H,4,false)</f>
        <v>Poster</v>
      </c>
      <c r="J249" s="26" t="str">
        <f>VLOOKUP(A249, 'Session Data'!A:AA,14,false)</f>
        <v>Undergraduate</v>
      </c>
      <c r="K249" s="27" t="str">
        <f>VLOOKUP(A249, 'Session Data'!A:AA,15,false)</f>
        <v>Sciences</v>
      </c>
      <c r="L249" s="47"/>
      <c r="M249" s="29" t="str">
        <f>VLOOKUP(A249, 'Session Data'!A:K,11,false)</f>
        <v>Cellular and Molecular Biology</v>
      </c>
      <c r="N249" s="26" t="str">
        <f>IF(ISNA(VLOOKUP(A249, 'Award Abstract#'!C:C, 1, FALSE)), "No", "Yes")
</f>
        <v>No</v>
      </c>
      <c r="O249" s="29" t="str">
        <f>IF(ISNA(VLOOKUP(A249,'Award Abstract#'!B:B,1,FALSE)), "No", "Yes")</f>
        <v>No</v>
      </c>
      <c r="P249" s="29" t="str">
        <f>IF(ISNA(VLOOKUP(A249,'Award Abstract#'!E:E,1,FALSE)), "No", "Yes")</f>
        <v>No</v>
      </c>
      <c r="Q249" s="29" t="str">
        <f>IF(ISNA(VLOOKUP(A249,'Award Abstract#'!A:A,1,FALSE)), "No", "Yes")</f>
        <v>No</v>
      </c>
      <c r="R249" s="29" t="str">
        <f>IF(ISNA(VLOOKUP(A249,'Award Abstract#'!D:D,1,FALSE)), "No", "Yes")</f>
        <v>No</v>
      </c>
      <c r="S249" s="30" t="str">
        <f>VLOOKUP(A249, 'Session Data'!A:AA,27,false)</f>
        <v>Man, Cisgender</v>
      </c>
      <c r="T249" s="30"/>
      <c r="U249" s="30"/>
      <c r="V249" s="31" t="str">
        <f>VLOOKUP(A249, 'Session Data'!A:AA,8,false)</f>
        <v>Jace</v>
      </c>
      <c r="W249" s="32" t="str">
        <f>VLOOKUP(A249, 'Session Data'!A:AA,9,false)</f>
        <v>Buxbaum</v>
      </c>
      <c r="X249" s="33" t="str">
        <f>VLOOKUP(A249, 'Session Data'!A:AA,12,false)</f>
        <v>Understanding gut colonization and adherence by a microbiome bacteria in the Caenorhabditis elegans model</v>
      </c>
      <c r="Y249" s="34" t="str">
        <f>VLOOKUP(A249, 'Session Data'!A:AA,22,false)</f>
        <v>Robert</v>
      </c>
      <c r="Z249" s="34" t="str">
        <f>VLOOKUP(A249, 'Session Data'!A:AA,23,false)</f>
        <v>Luallen</v>
      </c>
      <c r="AA249" s="34" t="str">
        <f>VLOOKUP(A249, 'Session Data'!A:AA,25,false)</f>
        <v>Sciences</v>
      </c>
      <c r="AB249" s="34" t="str">
        <f>VLOOKUP(A249, 'Session Data'!A:AA,24,false)</f>
        <v>rluallen@sdsu.edu</v>
      </c>
      <c r="AC249" s="34" t="str">
        <f>VLOOKUP(A249, 'Session Data'!A:AA,16,false)</f>
        <v/>
      </c>
      <c r="AD249" s="35" t="str">
        <f>VLOOKUP(A249, 'Session Data'!A:U,17,false)</f>
        <v/>
      </c>
      <c r="AE249" s="35" t="str">
        <f>VLOOKUP(A249, 'Session Data'!A:U,18,false)</f>
        <v/>
      </c>
      <c r="AF249" s="35" t="str">
        <f>VLOOKUP(A249, 'Session Data'!A:U,19,false)</f>
        <v/>
      </c>
      <c r="AG249" s="35" t="str">
        <f>VLOOKUP(A249, 'Session Data'!A:U,20,false)</f>
        <v/>
      </c>
      <c r="AH249" s="35" t="str">
        <f>VLOOKUP(A249, 'Session Data'!A:U,21,false)</f>
        <v/>
      </c>
      <c r="AI249" s="37"/>
      <c r="AJ249" s="37"/>
      <c r="AK249" s="37"/>
      <c r="AL249" s="50"/>
      <c r="AM249" s="34" t="str">
        <f>VLOOKUP(A249, 'Session Data'!A:AA,10,false)</f>
        <v>jbuxbaum7418@sdsu.edu</v>
      </c>
      <c r="AN249" s="40"/>
      <c r="AO249" s="38"/>
      <c r="AP249" s="38"/>
      <c r="AQ249" s="38"/>
      <c r="AR249" s="38"/>
      <c r="AS249" s="38"/>
      <c r="AT249" s="38"/>
      <c r="AU249" s="38"/>
      <c r="AV249" s="38"/>
      <c r="AW249" s="38"/>
      <c r="AX249" s="38"/>
      <c r="AY249" s="43"/>
      <c r="AZ249" s="43"/>
      <c r="BA249" s="43"/>
      <c r="BB249" s="43"/>
      <c r="BC249" s="43"/>
      <c r="BD249" s="43"/>
      <c r="BE249" s="44"/>
      <c r="BF249" s="45"/>
      <c r="BG249" s="43"/>
    </row>
    <row r="250">
      <c r="A250" s="19" t="s">
        <v>316</v>
      </c>
      <c r="B250" s="20">
        <f>VLOOKUP(F250,'Session Count DO NOT EDIT'!$A:$C,3,FALSE)</f>
        <v>5</v>
      </c>
      <c r="C250" s="20">
        <f>COUNTIFS('Scores Import DO NOT EDIT'!D:D,A250)</f>
        <v>4</v>
      </c>
      <c r="D250" s="21">
        <f t="shared" si="1"/>
        <v>0.8</v>
      </c>
      <c r="E250" s="22">
        <f>AVERAGEIFS('Scores Import DO NOT EDIT'!L:L,'Scores Import DO NOT EDIT'!D:D,A250)</f>
        <v>27.5</v>
      </c>
      <c r="F250" s="23" t="str">
        <f>VLOOKUP(A250, 'Session Data'!A:M,3,false)</f>
        <v>F-3</v>
      </c>
      <c r="G250" s="24" t="str">
        <f>VLOOKUP(A250, 'Session Data'!A:I,2,false)</f>
        <v>9:00 AM</v>
      </c>
      <c r="H250" s="23" t="str">
        <f>VLOOKUP(A250, 'Session Data'!A:J,5,false)</f>
        <v>Biological and Agricultural Sciences</v>
      </c>
      <c r="I250" s="25" t="str">
        <f>VLOOKUP(A250, 'Session Data'!A:H,4,false)</f>
        <v>Poster</v>
      </c>
      <c r="J250" s="26" t="str">
        <f>VLOOKUP(A250, 'Session Data'!A:AA,14,false)</f>
        <v>Undergraduate</v>
      </c>
      <c r="K250" s="27" t="str">
        <f>VLOOKUP(A250, 'Session Data'!A:AA,15,false)</f>
        <v>Sciences</v>
      </c>
      <c r="L250" s="47"/>
      <c r="M250" s="29" t="str">
        <f>VLOOKUP(A250, 'Session Data'!A:K,11,false)</f>
        <v>Chemistry with an emphasis in Biochemistry</v>
      </c>
      <c r="N250" s="26" t="str">
        <f>IF(ISNA(VLOOKUP(A250, 'Award Abstract#'!C:C, 1, FALSE)), "No", "Yes")
</f>
        <v>No</v>
      </c>
      <c r="O250" s="29" t="str">
        <f>IF(ISNA(VLOOKUP(A250,'Award Abstract#'!B:B,1,FALSE)), "No", "Yes")</f>
        <v>No</v>
      </c>
      <c r="P250" s="29" t="str">
        <f>IF(ISNA(VLOOKUP(A250,'Award Abstract#'!E:E,1,FALSE)), "No", "Yes")</f>
        <v>No</v>
      </c>
      <c r="Q250" s="29" t="str">
        <f>IF(ISNA(VLOOKUP(A250,'Award Abstract#'!A:A,1,FALSE)), "No", "Yes")</f>
        <v>No</v>
      </c>
      <c r="R250" s="29" t="str">
        <f>IF(ISNA(VLOOKUP(A250,'Award Abstract#'!D:D,1,FALSE)), "No", "Yes")</f>
        <v>No</v>
      </c>
      <c r="S250" s="30" t="str">
        <f>VLOOKUP(A250, 'Session Data'!A:AA,27,false)</f>
        <v>Woman</v>
      </c>
      <c r="T250" s="30"/>
      <c r="U250" s="30"/>
      <c r="V250" s="31" t="str">
        <f>VLOOKUP(A250, 'Session Data'!A:AA,8,false)</f>
        <v>Yesenia</v>
      </c>
      <c r="W250" s="32" t="str">
        <f>VLOOKUP(A250, 'Session Data'!A:AA,9,false)</f>
        <v>Rodriguez</v>
      </c>
      <c r="X250" s="33" t="str">
        <f>VLOOKUP(A250, 'Session Data'!A:AA,12,false)</f>
        <v>Searching for new bacterial pathogen with a Host-Bacteria Interactions Workshop</v>
      </c>
      <c r="Y250" s="34" t="str">
        <f>VLOOKUP(A250, 'Session Data'!A:AA,22,false)</f>
        <v>Robert</v>
      </c>
      <c r="Z250" s="34" t="str">
        <f>VLOOKUP(A250, 'Session Data'!A:AA,23,false)</f>
        <v>Luallen</v>
      </c>
      <c r="AA250" s="34" t="str">
        <f>VLOOKUP(A250, 'Session Data'!A:AA,25,false)</f>
        <v>Sciences</v>
      </c>
      <c r="AB250" s="34" t="str">
        <f>VLOOKUP(A250, 'Session Data'!A:AA,24,false)</f>
        <v>rluallen@sdsu.edu</v>
      </c>
      <c r="AC250" s="34" t="str">
        <f>VLOOKUP(A250, 'Session Data'!A:AA,16,false)</f>
        <v/>
      </c>
      <c r="AD250" s="35" t="str">
        <f>VLOOKUP(A250, 'Session Data'!A:U,17,false)</f>
        <v/>
      </c>
      <c r="AE250" s="35" t="str">
        <f>VLOOKUP(A250, 'Session Data'!A:U,18,false)</f>
        <v/>
      </c>
      <c r="AF250" s="35" t="str">
        <f>VLOOKUP(A250, 'Session Data'!A:U,19,false)</f>
        <v/>
      </c>
      <c r="AG250" s="35" t="str">
        <f>VLOOKUP(A250, 'Session Data'!A:U,20,false)</f>
        <v/>
      </c>
      <c r="AH250" s="35" t="str">
        <f>VLOOKUP(A250, 'Session Data'!A:U,21,false)</f>
        <v/>
      </c>
      <c r="AI250" s="36"/>
      <c r="AJ250" s="38"/>
      <c r="AK250" s="38"/>
      <c r="AL250" s="39"/>
      <c r="AM250" s="34" t="str">
        <f>VLOOKUP(A250, 'Session Data'!A:AA,10,false)</f>
        <v>yrodriguezreye6560@sdsu.edu</v>
      </c>
      <c r="AN250" s="40"/>
      <c r="AO250" s="38"/>
      <c r="AP250" s="38"/>
      <c r="AQ250" s="38"/>
      <c r="AR250" s="38"/>
      <c r="AS250" s="38"/>
      <c r="AT250" s="38"/>
      <c r="AU250" s="38"/>
      <c r="AV250" s="38"/>
      <c r="AW250" s="38"/>
      <c r="AX250" s="38"/>
      <c r="AY250" s="43"/>
      <c r="AZ250" s="43"/>
      <c r="BA250" s="43"/>
      <c r="BB250" s="43"/>
      <c r="BC250" s="43"/>
      <c r="BD250" s="43"/>
      <c r="BE250" s="44"/>
      <c r="BF250" s="45"/>
      <c r="BG250" s="43"/>
    </row>
    <row r="251">
      <c r="A251" s="19" t="s">
        <v>317</v>
      </c>
      <c r="B251" s="20">
        <f>VLOOKUP(F251,'Session Count DO NOT EDIT'!$A:$C,3,FALSE)</f>
        <v>5</v>
      </c>
      <c r="C251" s="20">
        <f>COUNTIFS('Scores Import DO NOT EDIT'!D:D,A251)</f>
        <v>5</v>
      </c>
      <c r="D251" s="21">
        <f t="shared" si="1"/>
        <v>1</v>
      </c>
      <c r="E251" s="22">
        <f>AVERAGEIFS('Scores Import DO NOT EDIT'!L:L,'Scores Import DO NOT EDIT'!D:D,A251)</f>
        <v>27</v>
      </c>
      <c r="F251" s="23" t="str">
        <f>VLOOKUP(A251, 'Session Data'!A:M,3,false)</f>
        <v>F-3</v>
      </c>
      <c r="G251" s="24" t="str">
        <f>VLOOKUP(A251, 'Session Data'!A:I,2,false)</f>
        <v>9:00 AM</v>
      </c>
      <c r="H251" s="23" t="str">
        <f>VLOOKUP(A251, 'Session Data'!A:J,5,false)</f>
        <v>Biological and Agricultural Sciences</v>
      </c>
      <c r="I251" s="25" t="str">
        <f>VLOOKUP(A251, 'Session Data'!A:H,4,false)</f>
        <v>Poster</v>
      </c>
      <c r="J251" s="26" t="str">
        <f>VLOOKUP(A251, 'Session Data'!A:AA,14,false)</f>
        <v>Undergraduate</v>
      </c>
      <c r="K251" s="27" t="str">
        <f>VLOOKUP(A251, 'Session Data'!A:AA,15,false)</f>
        <v>Sciences</v>
      </c>
      <c r="L251" s="28"/>
      <c r="M251" s="29" t="str">
        <f>VLOOKUP(A251, 'Session Data'!A:K,11,false)</f>
        <v>Bachelors in Applied Arts and Sciences (B.S.), Microbiology</v>
      </c>
      <c r="N251" s="26" t="str">
        <f>IF(ISNA(VLOOKUP(A251, 'Award Abstract#'!C:C, 1, FALSE)), "No", "Yes")
</f>
        <v>No</v>
      </c>
      <c r="O251" s="29" t="str">
        <f>IF(ISNA(VLOOKUP(A251,'Award Abstract#'!B:B,1,FALSE)), "No", "Yes")</f>
        <v>No</v>
      </c>
      <c r="P251" s="29" t="str">
        <f>IF(ISNA(VLOOKUP(A251,'Award Abstract#'!E:E,1,FALSE)), "No", "Yes")</f>
        <v>No</v>
      </c>
      <c r="Q251" s="29" t="str">
        <f>IF(ISNA(VLOOKUP(A251,'Award Abstract#'!A:A,1,FALSE)), "No", "Yes")</f>
        <v>No</v>
      </c>
      <c r="R251" s="29" t="str">
        <f>IF(ISNA(VLOOKUP(A251,'Award Abstract#'!D:D,1,FALSE)), "No", "Yes")</f>
        <v>No</v>
      </c>
      <c r="S251" s="30" t="str">
        <f>VLOOKUP(A251, 'Session Data'!A:AA,27,false)</f>
        <v>Woman</v>
      </c>
      <c r="T251" s="30"/>
      <c r="U251" s="30"/>
      <c r="V251" s="31" t="str">
        <f>VLOOKUP(A251, 'Session Data'!A:AA,8,false)</f>
        <v>Francesca</v>
      </c>
      <c r="W251" s="32" t="str">
        <f>VLOOKUP(A251, 'Session Data'!A:AA,9,false)</f>
        <v>Hoang</v>
      </c>
      <c r="X251" s="33" t="str">
        <f>VLOOKUP(A251, 'Session Data'!A:AA,12,false)</f>
        <v>Observational Study of Dorsal Abdomen Hairs: Micrathena vs. Gasteracantha and Their Differences Under SEM </v>
      </c>
      <c r="Y251" s="34" t="str">
        <f>VLOOKUP(A251, 'Session Data'!A:AA,22,false)</f>
        <v>Ingrid</v>
      </c>
      <c r="Z251" s="34" t="str">
        <f>VLOOKUP(A251, 'Session Data'!A:AA,23,false)</f>
        <v>Niesman</v>
      </c>
      <c r="AA251" s="34" t="str">
        <f>VLOOKUP(A251, 'Session Data'!A:AA,25,false)</f>
        <v>Sciences</v>
      </c>
      <c r="AB251" s="34" t="str">
        <f>VLOOKUP(A251, 'Session Data'!A:AA,24,false)</f>
        <v>iniesman@sdsu.edu</v>
      </c>
      <c r="AC251" s="34" t="str">
        <f>VLOOKUP(A251, 'Session Data'!A:AA,16,false)</f>
        <v/>
      </c>
      <c r="AD251" s="35" t="str">
        <f>VLOOKUP(A251, 'Session Data'!A:U,17,false)</f>
        <v/>
      </c>
      <c r="AE251" s="35" t="str">
        <f>VLOOKUP(A251, 'Session Data'!A:U,18,false)</f>
        <v/>
      </c>
      <c r="AF251" s="35" t="str">
        <f>VLOOKUP(A251, 'Session Data'!A:U,19,false)</f>
        <v/>
      </c>
      <c r="AG251" s="35" t="str">
        <f>VLOOKUP(A251, 'Session Data'!A:U,20,false)</f>
        <v/>
      </c>
      <c r="AH251" s="35" t="str">
        <f>VLOOKUP(A251, 'Session Data'!A:U,21,false)</f>
        <v/>
      </c>
      <c r="AI251" s="36"/>
      <c r="AJ251" s="38"/>
      <c r="AK251" s="38"/>
      <c r="AL251" s="39"/>
      <c r="AM251" s="34" t="str">
        <f>VLOOKUP(A251, 'Session Data'!A:AA,10,false)</f>
        <v>fhoang1491@sdsu.edu</v>
      </c>
      <c r="AN251" s="40"/>
      <c r="AO251" s="38"/>
      <c r="AP251" s="38"/>
      <c r="AQ251" s="38"/>
      <c r="AR251" s="38"/>
      <c r="AS251" s="38"/>
      <c r="AT251" s="38"/>
      <c r="AU251" s="38"/>
      <c r="AV251" s="38"/>
      <c r="AW251" s="38"/>
      <c r="AX251" s="38"/>
      <c r="AY251" s="43"/>
      <c r="AZ251" s="43"/>
      <c r="BA251" s="48"/>
      <c r="BB251" s="48"/>
      <c r="BC251" s="43"/>
      <c r="BD251" s="43"/>
      <c r="BE251" s="44"/>
      <c r="BF251" s="45"/>
      <c r="BG251" s="43"/>
    </row>
    <row r="252">
      <c r="A252" s="19" t="s">
        <v>318</v>
      </c>
      <c r="B252" s="20">
        <f>VLOOKUP(F252,'Session Count DO NOT EDIT'!$A:$C,3,FALSE)</f>
        <v>4</v>
      </c>
      <c r="C252" s="20">
        <f>COUNTIFS('Scores Import DO NOT EDIT'!D:D,A252)</f>
        <v>2</v>
      </c>
      <c r="D252" s="21">
        <f t="shared" si="1"/>
        <v>0.5</v>
      </c>
      <c r="E252" s="22">
        <f>AVERAGEIFS('Scores Import DO NOT EDIT'!L:L,'Scores Import DO NOT EDIT'!D:D,A252)</f>
        <v>34</v>
      </c>
      <c r="F252" s="23" t="str">
        <f>VLOOKUP(A252, 'Session Data'!A:M,3,false)</f>
        <v>F-4</v>
      </c>
      <c r="G252" s="24" t="str">
        <f>VLOOKUP(A252, 'Session Data'!A:I,2,false)</f>
        <v>9:00 AM</v>
      </c>
      <c r="H252" s="23" t="str">
        <f>VLOOKUP(A252, 'Session Data'!A:J,5,false)</f>
        <v>Engineering and Computer Science 1</v>
      </c>
      <c r="I252" s="25" t="str">
        <f>VLOOKUP(A252, 'Session Data'!A:H,4,false)</f>
        <v>Poster</v>
      </c>
      <c r="J252" s="26" t="str">
        <f>VLOOKUP(A252, 'Session Data'!A:AA,14,false)</f>
        <v>Undergraduate</v>
      </c>
      <c r="K252" s="27" t="str">
        <f>VLOOKUP(A252, 'Session Data'!A:AA,15,false)</f>
        <v>Engineering</v>
      </c>
      <c r="L252" s="28" t="s">
        <v>187</v>
      </c>
      <c r="M252" s="29" t="str">
        <f>VLOOKUP(A252, 'Session Data'!A:K,11,false)</f>
        <v>B.S. Environmental Engineering</v>
      </c>
      <c r="N252" s="26" t="str">
        <f>IF(ISNA(VLOOKUP(A252, 'Award Abstract#'!C:C, 1, FALSE)), "No", "Yes")
</f>
        <v>No</v>
      </c>
      <c r="O252" s="29" t="str">
        <f>IF(ISNA(VLOOKUP(A252,'Award Abstract#'!B:B,1,FALSE)), "No", "Yes")</f>
        <v>Yes</v>
      </c>
      <c r="P252" s="29" t="str">
        <f>IF(ISNA(VLOOKUP(A252,'Award Abstract#'!E:E,1,FALSE)), "No", "Yes")</f>
        <v>Yes</v>
      </c>
      <c r="Q252" s="29" t="str">
        <f>IF(ISNA(VLOOKUP(A252,'Award Abstract#'!A:A,1,FALSE)), "No", "Yes")</f>
        <v>No</v>
      </c>
      <c r="R252" s="29" t="str">
        <f>IF(ISNA(VLOOKUP(A252,'Award Abstract#'!D:D,1,FALSE)), "No", "Yes")</f>
        <v>No</v>
      </c>
      <c r="S252" s="30" t="str">
        <f>VLOOKUP(A252, 'Session Data'!A:AA,27,false)</f>
        <v>Woman</v>
      </c>
      <c r="T252" s="30"/>
      <c r="U252" s="30"/>
      <c r="V252" s="31" t="str">
        <f>VLOOKUP(A252, 'Session Data'!A:AA,8,false)</f>
        <v>Trinity</v>
      </c>
      <c r="W252" s="32" t="str">
        <f>VLOOKUP(A252, 'Session Data'!A:AA,9,false)</f>
        <v>Magdalena-Weary</v>
      </c>
      <c r="X252" s="33" t="str">
        <f>VLOOKUP(A252, 'Session Data'!A:AA,12,false)</f>
        <v>Analysis of Dry and Wet Weathered Plastic Marine Debris  using Scanning Electron Microscopy</v>
      </c>
      <c r="Y252" s="34" t="str">
        <f>VLOOKUP(A252, 'Session Data'!A:AA,22,false)</f>
        <v>Natalie </v>
      </c>
      <c r="Z252" s="34" t="str">
        <f>VLOOKUP(A252, 'Session Data'!A:AA,23,false)</f>
        <v>Mladenov</v>
      </c>
      <c r="AA252" s="34" t="str">
        <f>VLOOKUP(A252, 'Session Data'!A:AA,25,false)</f>
        <v>Engineering</v>
      </c>
      <c r="AB252" s="34" t="str">
        <f>VLOOKUP(A252, 'Session Data'!A:AA,24,false)</f>
        <v>nmladenov@sdsu.edu</v>
      </c>
      <c r="AC252" s="34" t="str">
        <f>VLOOKUP(A252, 'Session Data'!A:AA,16,false)</f>
        <v/>
      </c>
      <c r="AD252" s="35" t="str">
        <f>VLOOKUP(A252, 'Session Data'!A:U,17,false)</f>
        <v/>
      </c>
      <c r="AE252" s="35" t="str">
        <f>VLOOKUP(A252, 'Session Data'!A:U,18,false)</f>
        <v/>
      </c>
      <c r="AF252" s="35" t="str">
        <f>VLOOKUP(A252, 'Session Data'!A:U,19,false)</f>
        <v/>
      </c>
      <c r="AG252" s="35" t="str">
        <f>VLOOKUP(A252, 'Session Data'!A:U,20,false)</f>
        <v/>
      </c>
      <c r="AH252" s="35" t="str">
        <f>VLOOKUP(A252, 'Session Data'!A:U,21,false)</f>
        <v/>
      </c>
      <c r="AI252" s="36"/>
      <c r="AJ252" s="38"/>
      <c r="AK252" s="38"/>
      <c r="AL252" s="39"/>
      <c r="AM252" s="34" t="str">
        <f>VLOOKUP(A252, 'Session Data'!A:AA,10,false)</f>
        <v>tmagdalena9226@sdsu.edu</v>
      </c>
      <c r="AN252" s="40"/>
      <c r="AO252" s="38"/>
      <c r="AP252" s="38"/>
      <c r="AQ252" s="38"/>
      <c r="AR252" s="38"/>
      <c r="AS252" s="38"/>
      <c r="AT252" s="38"/>
      <c r="AU252" s="38"/>
      <c r="AV252" s="38"/>
      <c r="AW252" s="38"/>
      <c r="AX252" s="38"/>
      <c r="AY252" s="43"/>
      <c r="AZ252" s="43"/>
      <c r="BA252" s="43"/>
      <c r="BB252" s="43"/>
      <c r="BC252" s="43"/>
      <c r="BD252" s="43"/>
      <c r="BE252" s="44"/>
      <c r="BF252" s="45"/>
      <c r="BG252" s="43"/>
    </row>
    <row r="253">
      <c r="A253" s="19" t="s">
        <v>319</v>
      </c>
      <c r="B253" s="20">
        <f>VLOOKUP(F253,'Session Count DO NOT EDIT'!$A:$C,3,FALSE)</f>
        <v>4</v>
      </c>
      <c r="C253" s="20">
        <f>COUNTIFS('Scores Import DO NOT EDIT'!D:D,A253)</f>
        <v>2</v>
      </c>
      <c r="D253" s="21">
        <f t="shared" si="1"/>
        <v>0.5</v>
      </c>
      <c r="E253" s="22">
        <f>AVERAGEIFS('Scores Import DO NOT EDIT'!L:L,'Scores Import DO NOT EDIT'!D:D,A253)</f>
        <v>24.5</v>
      </c>
      <c r="F253" s="23" t="str">
        <f>VLOOKUP(A253, 'Session Data'!A:M,3,false)</f>
        <v>F-4</v>
      </c>
      <c r="G253" s="24" t="str">
        <f>VLOOKUP(A253, 'Session Data'!A:I,2,false)</f>
        <v>9:00 AM</v>
      </c>
      <c r="H253" s="23" t="str">
        <f>VLOOKUP(A253, 'Session Data'!A:J,5,false)</f>
        <v>Engineering and Computer Science 1</v>
      </c>
      <c r="I253" s="25" t="str">
        <f>VLOOKUP(A253, 'Session Data'!A:H,4,false)</f>
        <v>Poster</v>
      </c>
      <c r="J253" s="26" t="str">
        <f>VLOOKUP(A253, 'Session Data'!A:AA,14,false)</f>
        <v>Undergraduate</v>
      </c>
      <c r="K253" s="27" t="str">
        <f>VLOOKUP(A253, 'Session Data'!A:AA,15,false)</f>
        <v>Engineering</v>
      </c>
      <c r="L253" s="47"/>
      <c r="M253" s="29" t="str">
        <f>VLOOKUP(A253, 'Session Data'!A:K,11,false)</f>
        <v>Aerospace Engineering</v>
      </c>
      <c r="N253" s="26" t="str">
        <f>IF(ISNA(VLOOKUP(A253, 'Award Abstract#'!C:C, 1, FALSE)), "No", "Yes")
</f>
        <v>No</v>
      </c>
      <c r="O253" s="29" t="str">
        <f>IF(ISNA(VLOOKUP(A253,'Award Abstract#'!B:B,1,FALSE)), "No", "Yes")</f>
        <v>Yes</v>
      </c>
      <c r="P253" s="29" t="str">
        <f>IF(ISNA(VLOOKUP(A253,'Award Abstract#'!E:E,1,FALSE)), "No", "Yes")</f>
        <v>No</v>
      </c>
      <c r="Q253" s="29" t="str">
        <f>IF(ISNA(VLOOKUP(A253,'Award Abstract#'!A:A,1,FALSE)), "No", "Yes")</f>
        <v>No</v>
      </c>
      <c r="R253" s="29" t="str">
        <f>IF(ISNA(VLOOKUP(A253,'Award Abstract#'!D:D,1,FALSE)), "No", "Yes")</f>
        <v>No</v>
      </c>
      <c r="S253" s="30" t="str">
        <f>VLOOKUP(A253, 'Session Data'!A:AA,27,false)</f>
        <v>Woman</v>
      </c>
      <c r="T253" s="30"/>
      <c r="U253" s="30"/>
      <c r="V253" s="31" t="str">
        <f>VLOOKUP(A253, 'Session Data'!A:AA,8,false)</f>
        <v>Shezreen</v>
      </c>
      <c r="W253" s="32" t="str">
        <f>VLOOKUP(A253, 'Session Data'!A:AA,9,false)</f>
        <v>Khan</v>
      </c>
      <c r="X253" s="33" t="str">
        <f>VLOOKUP(A253, 'Session Data'!A:AA,12,false)</f>
        <v>Comparative Evaluation of Lunar Regolith-Based Tiles for Lunar and Launching Pads: Static Load and Thermal Performance Analysis</v>
      </c>
      <c r="Y253" s="34" t="str">
        <f>VLOOKUP(A253, 'Session Data'!A:AA,22,false)</f>
        <v>Marta</v>
      </c>
      <c r="Z253" s="34" t="str">
        <f>VLOOKUP(A253, 'Session Data'!A:AA,23,false)</f>
        <v>Miletic</v>
      </c>
      <c r="AA253" s="34" t="str">
        <f>VLOOKUP(A253, 'Session Data'!A:AA,25,false)</f>
        <v>Engineering</v>
      </c>
      <c r="AB253" s="34" t="str">
        <f>VLOOKUP(A253, 'Session Data'!A:AA,24,false)</f>
        <v>mmiletic@sdsu.edu</v>
      </c>
      <c r="AC253" s="34" t="str">
        <f>VLOOKUP(A253, 'Session Data'!A:AA,16,false)</f>
        <v/>
      </c>
      <c r="AD253" s="35" t="str">
        <f>VLOOKUP(A253, 'Session Data'!A:U,17,false)</f>
        <v/>
      </c>
      <c r="AE253" s="35" t="str">
        <f>VLOOKUP(A253, 'Session Data'!A:U,18,false)</f>
        <v/>
      </c>
      <c r="AF253" s="35" t="str">
        <f>VLOOKUP(A253, 'Session Data'!A:U,19,false)</f>
        <v/>
      </c>
      <c r="AG253" s="35" t="str">
        <f>VLOOKUP(A253, 'Session Data'!A:U,20,false)</f>
        <v/>
      </c>
      <c r="AH253" s="35" t="str">
        <f>VLOOKUP(A253, 'Session Data'!A:U,21,false)</f>
        <v/>
      </c>
      <c r="AI253" s="36"/>
      <c r="AJ253" s="38"/>
      <c r="AK253" s="38"/>
      <c r="AL253" s="39"/>
      <c r="AM253" s="34" t="str">
        <f>VLOOKUP(A253, 'Session Data'!A:AA,10,false)</f>
        <v>skhan7086@sdsu.edu</v>
      </c>
      <c r="AN253" s="40"/>
      <c r="AO253" s="38"/>
      <c r="AP253" s="38"/>
      <c r="AQ253" s="38"/>
      <c r="AR253" s="38"/>
      <c r="AS253" s="38"/>
      <c r="AT253" s="38"/>
      <c r="AU253" s="38"/>
      <c r="AV253" s="38"/>
      <c r="AW253" s="38"/>
      <c r="AX253" s="38"/>
      <c r="AY253" s="43"/>
      <c r="AZ253" s="43"/>
      <c r="BA253" s="48"/>
      <c r="BB253" s="48"/>
      <c r="BC253" s="43"/>
      <c r="BD253" s="43"/>
      <c r="BE253" s="44"/>
      <c r="BF253" s="45"/>
      <c r="BG253" s="43"/>
    </row>
    <row r="254">
      <c r="A254" s="19" t="s">
        <v>320</v>
      </c>
      <c r="B254" s="20">
        <f>VLOOKUP(F254,'Session Count DO NOT EDIT'!$A:$C,3,FALSE)</f>
        <v>4</v>
      </c>
      <c r="C254" s="20">
        <f>COUNTIFS('Scores Import DO NOT EDIT'!D:D,A254)</f>
        <v>2</v>
      </c>
      <c r="D254" s="21">
        <f t="shared" si="1"/>
        <v>0.5</v>
      </c>
      <c r="E254" s="22">
        <f>AVERAGEIFS('Scores Import DO NOT EDIT'!L:L,'Scores Import DO NOT EDIT'!D:D,A254)</f>
        <v>29.5</v>
      </c>
      <c r="F254" s="23" t="str">
        <f>VLOOKUP(A254, 'Session Data'!A:M,3,false)</f>
        <v>F-4</v>
      </c>
      <c r="G254" s="24" t="str">
        <f>VLOOKUP(A254, 'Session Data'!A:I,2,false)</f>
        <v>9:00 AM</v>
      </c>
      <c r="H254" s="23" t="str">
        <f>VLOOKUP(A254, 'Session Data'!A:J,5,false)</f>
        <v>Engineering and Computer Science 1</v>
      </c>
      <c r="I254" s="25" t="str">
        <f>VLOOKUP(A254, 'Session Data'!A:H,4,false)</f>
        <v>Poster</v>
      </c>
      <c r="J254" s="26" t="str">
        <f>VLOOKUP(A254, 'Session Data'!A:AA,14,false)</f>
        <v>Undergraduate</v>
      </c>
      <c r="K254" s="27" t="str">
        <f>VLOOKUP(A254, 'Session Data'!A:AA,15,false)</f>
        <v>Engineering</v>
      </c>
      <c r="L254" s="47"/>
      <c r="M254" s="29" t="str">
        <f>VLOOKUP(A254, 'Session Data'!A:K,11,false)</f>
        <v>Bachelor of Science in Mechanical Engineering (BSME)</v>
      </c>
      <c r="N254" s="26" t="str">
        <f>IF(ISNA(VLOOKUP(A254, 'Award Abstract#'!C:C, 1, FALSE)), "No", "Yes")
</f>
        <v>No</v>
      </c>
      <c r="O254" s="29" t="str">
        <f>IF(ISNA(VLOOKUP(A254,'Award Abstract#'!B:B,1,FALSE)), "No", "Yes")</f>
        <v>No</v>
      </c>
      <c r="P254" s="29" t="str">
        <f>IF(ISNA(VLOOKUP(A254,'Award Abstract#'!E:E,1,FALSE)), "No", "Yes")</f>
        <v>No</v>
      </c>
      <c r="Q254" s="29" t="str">
        <f>IF(ISNA(VLOOKUP(A254,'Award Abstract#'!A:A,1,FALSE)), "No", "Yes")</f>
        <v>No</v>
      </c>
      <c r="R254" s="29" t="str">
        <f>IF(ISNA(VLOOKUP(A254,'Award Abstract#'!D:D,1,FALSE)), "No", "Yes")</f>
        <v>No</v>
      </c>
      <c r="S254" s="30" t="str">
        <f>VLOOKUP(A254, 'Session Data'!A:AA,27,false)</f>
        <v>Man</v>
      </c>
      <c r="T254" s="30"/>
      <c r="U254" s="30"/>
      <c r="V254" s="31" t="str">
        <f>VLOOKUP(A254, 'Session Data'!A:AA,8,false)</f>
        <v>Oscar</v>
      </c>
      <c r="W254" s="32" t="str">
        <f>VLOOKUP(A254, 'Session Data'!A:AA,9,false)</f>
        <v>Osuna</v>
      </c>
      <c r="X254" s="33" t="str">
        <f>VLOOKUP(A254, 'Session Data'!A:AA,12,false)</f>
        <v>Machine Learning Models for Predicting the Yield Strength and Young's Modulus of High Entropy Alloys</v>
      </c>
      <c r="Y254" s="34" t="str">
        <f>VLOOKUP(A254, 'Session Data'!A:AA,22,false)</f>
        <v>Sara</v>
      </c>
      <c r="Z254" s="34" t="str">
        <f>VLOOKUP(A254, 'Session Data'!A:AA,23,false)</f>
        <v>Adibi</v>
      </c>
      <c r="AA254" s="34" t="str">
        <f>VLOOKUP(A254, 'Session Data'!A:AA,25,false)</f>
        <v>Engineering</v>
      </c>
      <c r="AB254" s="34" t="str">
        <f>VLOOKUP(A254, 'Session Data'!A:AA,24,false)</f>
        <v>sadibi@sdsu.edu</v>
      </c>
      <c r="AC254" s="34" t="str">
        <f>VLOOKUP(A254, 'Session Data'!A:AA,16,false)</f>
        <v/>
      </c>
      <c r="AD254" s="35" t="str">
        <f>VLOOKUP(A254, 'Session Data'!A:U,17,false)</f>
        <v/>
      </c>
      <c r="AE254" s="35" t="str">
        <f>VLOOKUP(A254, 'Session Data'!A:U,18,false)</f>
        <v/>
      </c>
      <c r="AF254" s="35" t="str">
        <f>VLOOKUP(A254, 'Session Data'!A:U,19,false)</f>
        <v/>
      </c>
      <c r="AG254" s="35" t="str">
        <f>VLOOKUP(A254, 'Session Data'!A:U,20,false)</f>
        <v/>
      </c>
      <c r="AH254" s="35" t="str">
        <f>VLOOKUP(A254, 'Session Data'!A:U,21,false)</f>
        <v/>
      </c>
      <c r="AI254" s="37"/>
      <c r="AJ254" s="37"/>
      <c r="AK254" s="37"/>
      <c r="AL254" s="50"/>
      <c r="AM254" s="34" t="str">
        <f>VLOOKUP(A254, 'Session Data'!A:AA,10,false)</f>
        <v>oosuna7346@sdsu.edu</v>
      </c>
      <c r="AN254" s="40"/>
      <c r="AO254" s="38"/>
      <c r="AP254" s="38"/>
      <c r="AQ254" s="38"/>
      <c r="AR254" s="38"/>
      <c r="AS254" s="38"/>
      <c r="AT254" s="38"/>
      <c r="AU254" s="38"/>
      <c r="AV254" s="38"/>
      <c r="AW254" s="38"/>
      <c r="AX254" s="38"/>
      <c r="AY254" s="43"/>
      <c r="AZ254" s="43"/>
      <c r="BA254" s="43"/>
      <c r="BB254" s="43"/>
      <c r="BC254" s="43"/>
      <c r="BD254" s="43"/>
      <c r="BE254" s="44"/>
      <c r="BF254" s="45"/>
      <c r="BG254" s="43"/>
    </row>
    <row r="255">
      <c r="A255" s="19" t="s">
        <v>321</v>
      </c>
      <c r="B255" s="20">
        <f>VLOOKUP(F255,'Session Count DO NOT EDIT'!$A:$C,3,FALSE)</f>
        <v>4</v>
      </c>
      <c r="C255" s="20">
        <f>COUNTIFS('Scores Import DO NOT EDIT'!D:D,A255)</f>
        <v>2</v>
      </c>
      <c r="D255" s="21">
        <f t="shared" si="1"/>
        <v>0.5</v>
      </c>
      <c r="E255" s="22">
        <f>AVERAGEIFS('Scores Import DO NOT EDIT'!L:L,'Scores Import DO NOT EDIT'!D:D,A255)</f>
        <v>27.5</v>
      </c>
      <c r="F255" s="23" t="str">
        <f>VLOOKUP(A255, 'Session Data'!A:M,3,false)</f>
        <v>F-4</v>
      </c>
      <c r="G255" s="24" t="str">
        <f>VLOOKUP(A255, 'Session Data'!A:I,2,false)</f>
        <v>9:00 AM</v>
      </c>
      <c r="H255" s="23" t="str">
        <f>VLOOKUP(A255, 'Session Data'!A:J,5,false)</f>
        <v>Engineering and Computer Science 1</v>
      </c>
      <c r="I255" s="25" t="str">
        <f>VLOOKUP(A255, 'Session Data'!A:H,4,false)</f>
        <v>Poster</v>
      </c>
      <c r="J255" s="26" t="str">
        <f>VLOOKUP(A255, 'Session Data'!A:AA,14,false)</f>
        <v>Undergraduate</v>
      </c>
      <c r="K255" s="27" t="str">
        <f>VLOOKUP(A255, 'Session Data'!A:AA,15,false)</f>
        <v>Engineering</v>
      </c>
      <c r="L255" s="28"/>
      <c r="M255" s="29" t="str">
        <f>VLOOKUP(A255, 'Session Data'!A:K,11,false)</f>
        <v>Mechanical Engineering Bioengineering Emphasis</v>
      </c>
      <c r="N255" s="26" t="str">
        <f>IF(ISNA(VLOOKUP(A255, 'Award Abstract#'!C:C, 1, FALSE)), "No", "Yes")
</f>
        <v>No</v>
      </c>
      <c r="O255" s="29" t="str">
        <f>IF(ISNA(VLOOKUP(A255,'Award Abstract#'!B:B,1,FALSE)), "No", "Yes")</f>
        <v>No</v>
      </c>
      <c r="P255" s="29" t="str">
        <f>IF(ISNA(VLOOKUP(A255,'Award Abstract#'!E:E,1,FALSE)), "No", "Yes")</f>
        <v>No</v>
      </c>
      <c r="Q255" s="29" t="str">
        <f>IF(ISNA(VLOOKUP(A255,'Award Abstract#'!A:A,1,FALSE)), "No", "Yes")</f>
        <v>No</v>
      </c>
      <c r="R255" s="29" t="str">
        <f>IF(ISNA(VLOOKUP(A255,'Award Abstract#'!D:D,1,FALSE)), "No", "Yes")</f>
        <v>No</v>
      </c>
      <c r="S255" s="30" t="str">
        <f>VLOOKUP(A255, 'Session Data'!A:AA,27,false)</f>
        <v>Woman</v>
      </c>
      <c r="T255" s="30"/>
      <c r="U255" s="30"/>
      <c r="V255" s="31" t="str">
        <f>VLOOKUP(A255, 'Session Data'!A:AA,8,false)</f>
        <v>Audrey</v>
      </c>
      <c r="W255" s="32" t="str">
        <f>VLOOKUP(A255, 'Session Data'!A:AA,9,false)</f>
        <v>Meador</v>
      </c>
      <c r="X255" s="33" t="str">
        <f>VLOOKUP(A255, 'Session Data'!A:AA,12,false)</f>
        <v>Fabrication of Patient-Specific Aorta Models for Flow Visualization</v>
      </c>
      <c r="Y255" s="34" t="str">
        <f>VLOOKUP(A255, 'Session Data'!A:AA,22,false)</f>
        <v>Dr. Karen</v>
      </c>
      <c r="Z255" s="34" t="str">
        <f>VLOOKUP(A255, 'Session Data'!A:AA,23,false)</f>
        <v>May-Newman</v>
      </c>
      <c r="AA255" s="34" t="str">
        <f>VLOOKUP(A255, 'Session Data'!A:AA,25,false)</f>
        <v>Engineering</v>
      </c>
      <c r="AB255" s="34" t="str">
        <f>VLOOKUP(A255, 'Session Data'!A:AA,24,false)</f>
        <v>kmaynewm@sdsu.edu</v>
      </c>
      <c r="AC255" s="34" t="str">
        <f>VLOOKUP(A255, 'Session Data'!A:AA,16,false)</f>
        <v/>
      </c>
      <c r="AD255" s="35" t="str">
        <f>VLOOKUP(A255, 'Session Data'!A:U,17,false)</f>
        <v/>
      </c>
      <c r="AE255" s="35" t="str">
        <f>VLOOKUP(A255, 'Session Data'!A:U,18,false)</f>
        <v/>
      </c>
      <c r="AF255" s="35" t="str">
        <f>VLOOKUP(A255, 'Session Data'!A:U,19,false)</f>
        <v/>
      </c>
      <c r="AG255" s="35" t="str">
        <f>VLOOKUP(A255, 'Session Data'!A:U,20,false)</f>
        <v/>
      </c>
      <c r="AH255" s="35" t="str">
        <f>VLOOKUP(A255, 'Session Data'!A:U,21,false)</f>
        <v/>
      </c>
      <c r="AI255" s="36"/>
      <c r="AJ255" s="38"/>
      <c r="AK255" s="38"/>
      <c r="AL255" s="39"/>
      <c r="AM255" s="34" t="str">
        <f>VLOOKUP(A255, 'Session Data'!A:AA,10,false)</f>
        <v>ameador6526@sdsu.edu</v>
      </c>
      <c r="AN255" s="40"/>
      <c r="AO255" s="38"/>
      <c r="AP255" s="38"/>
      <c r="AQ255" s="38"/>
      <c r="AR255" s="38"/>
      <c r="AS255" s="38"/>
      <c r="AT255" s="38"/>
      <c r="AU255" s="38"/>
      <c r="AV255" s="38"/>
      <c r="AW255" s="38"/>
      <c r="AX255" s="38"/>
      <c r="AY255" s="43"/>
      <c r="AZ255" s="43"/>
      <c r="BA255" s="43"/>
      <c r="BB255" s="43"/>
      <c r="BC255" s="43"/>
      <c r="BD255" s="43"/>
      <c r="BE255" s="44"/>
      <c r="BF255" s="45"/>
      <c r="BG255" s="43"/>
    </row>
    <row r="256">
      <c r="A256" s="19" t="s">
        <v>322</v>
      </c>
      <c r="B256" s="20">
        <f>VLOOKUP(F256,'Session Count DO NOT EDIT'!$A:$C,3,FALSE)</f>
        <v>4</v>
      </c>
      <c r="C256" s="20">
        <f>COUNTIFS('Scores Import DO NOT EDIT'!D:D,A256)</f>
        <v>2</v>
      </c>
      <c r="D256" s="21">
        <f t="shared" si="1"/>
        <v>0.5</v>
      </c>
      <c r="E256" s="22">
        <f>AVERAGEIFS('Scores Import DO NOT EDIT'!L:L,'Scores Import DO NOT EDIT'!D:D,A256)</f>
        <v>25.5</v>
      </c>
      <c r="F256" s="23" t="str">
        <f>VLOOKUP(A256, 'Session Data'!A:M,3,false)</f>
        <v>F-4</v>
      </c>
      <c r="G256" s="24" t="str">
        <f>VLOOKUP(A256, 'Session Data'!A:I,2,false)</f>
        <v>9:00 AM</v>
      </c>
      <c r="H256" s="23" t="str">
        <f>VLOOKUP(A256, 'Session Data'!A:J,5,false)</f>
        <v>Engineering and Computer Science 1</v>
      </c>
      <c r="I256" s="25" t="str">
        <f>VLOOKUP(A256, 'Session Data'!A:H,4,false)</f>
        <v>Poster</v>
      </c>
      <c r="J256" s="26" t="str">
        <f>VLOOKUP(A256, 'Session Data'!A:AA,14,false)</f>
        <v>Undergraduate</v>
      </c>
      <c r="K256" s="27" t="str">
        <f>VLOOKUP(A256, 'Session Data'!A:AA,15,false)</f>
        <v>Engineering</v>
      </c>
      <c r="L256" s="47"/>
      <c r="M256" s="29" t="str">
        <f>VLOOKUP(A256, 'Session Data'!A:K,11,false)</f>
        <v>Bachelors of Engineering in Mechanical Engineering (Bioengineering)</v>
      </c>
      <c r="N256" s="26" t="str">
        <f>IF(ISNA(VLOOKUP(A256, 'Award Abstract#'!C:C, 1, FALSE)), "No", "Yes")
</f>
        <v>No</v>
      </c>
      <c r="O256" s="29" t="str">
        <f>IF(ISNA(VLOOKUP(A256,'Award Abstract#'!B:B,1,FALSE)), "No", "Yes")</f>
        <v>No</v>
      </c>
      <c r="P256" s="29" t="str">
        <f>IF(ISNA(VLOOKUP(A256,'Award Abstract#'!E:E,1,FALSE)), "No", "Yes")</f>
        <v>No</v>
      </c>
      <c r="Q256" s="29" t="str">
        <f>IF(ISNA(VLOOKUP(A256,'Award Abstract#'!A:A,1,FALSE)), "No", "Yes")</f>
        <v>No</v>
      </c>
      <c r="R256" s="29" t="str">
        <f>IF(ISNA(VLOOKUP(A256,'Award Abstract#'!D:D,1,FALSE)), "No", "Yes")</f>
        <v>No</v>
      </c>
      <c r="S256" s="30" t="str">
        <f>VLOOKUP(A256, 'Session Data'!A:AA,27,false)</f>
        <v>Man</v>
      </c>
      <c r="T256" s="30"/>
      <c r="U256" s="30"/>
      <c r="V256" s="31" t="str">
        <f>VLOOKUP(A256, 'Session Data'!A:AA,8,false)</f>
        <v>Roberto</v>
      </c>
      <c r="W256" s="32" t="str">
        <f>VLOOKUP(A256, 'Session Data'!A:AA,9,false)</f>
        <v>Burciaga</v>
      </c>
      <c r="X256" s="33" t="str">
        <f>VLOOKUP(A256, 'Session Data'!A:AA,12,false)</f>
        <v>Creating an Automated Water Current Setup to Assay Rheotaxis in Planarians</v>
      </c>
      <c r="Y256" s="34" t="str">
        <f>VLOOKUP(A256, 'Session Data'!A:AA,22,false)</f>
        <v>Kelly</v>
      </c>
      <c r="Z256" s="34" t="str">
        <f>VLOOKUP(A256, 'Session Data'!A:AA,23,false)</f>
        <v>Ross</v>
      </c>
      <c r="AA256" s="34" t="str">
        <f>VLOOKUP(A256, 'Session Data'!A:AA,25,false)</f>
        <v>Sciences</v>
      </c>
      <c r="AB256" s="34" t="str">
        <f>VLOOKUP(A256, 'Session Data'!A:AA,24,false)</f>
        <v>kross@sdsu.edu</v>
      </c>
      <c r="AC256" s="34" t="str">
        <f>VLOOKUP(A256, 'Session Data'!A:AA,16,false)</f>
        <v/>
      </c>
      <c r="AD256" s="35" t="str">
        <f>VLOOKUP(A256, 'Session Data'!A:U,17,false)</f>
        <v/>
      </c>
      <c r="AE256" s="35" t="str">
        <f>VLOOKUP(A256, 'Session Data'!A:U,18,false)</f>
        <v/>
      </c>
      <c r="AF256" s="35" t="str">
        <f>VLOOKUP(A256, 'Session Data'!A:U,19,false)</f>
        <v/>
      </c>
      <c r="AG256" s="35" t="str">
        <f>VLOOKUP(A256, 'Session Data'!A:U,20,false)</f>
        <v/>
      </c>
      <c r="AH256" s="35" t="str">
        <f>VLOOKUP(A256, 'Session Data'!A:U,21,false)</f>
        <v/>
      </c>
      <c r="AI256" s="37"/>
      <c r="AJ256" s="37"/>
      <c r="AK256" s="37"/>
      <c r="AL256" s="50"/>
      <c r="AM256" s="34" t="str">
        <f>VLOOKUP(A256, 'Session Data'!A:AA,10,false)</f>
        <v>rburciaga4858@sdsu.edu</v>
      </c>
      <c r="AN256" s="40"/>
      <c r="AO256" s="38"/>
      <c r="AP256" s="38"/>
      <c r="AQ256" s="38"/>
      <c r="AR256" s="38"/>
      <c r="AS256" s="38"/>
      <c r="AT256" s="38"/>
      <c r="AU256" s="38"/>
      <c r="AV256" s="38"/>
      <c r="AW256" s="38"/>
      <c r="AX256" s="38"/>
      <c r="AY256" s="43"/>
      <c r="AZ256" s="43"/>
      <c r="BA256" s="48"/>
      <c r="BB256" s="48"/>
      <c r="BC256" s="43"/>
      <c r="BD256" s="43"/>
      <c r="BE256" s="44"/>
      <c r="BF256" s="45"/>
      <c r="BG256" s="43"/>
    </row>
    <row r="257">
      <c r="A257" s="19" t="s">
        <v>323</v>
      </c>
      <c r="B257" s="20">
        <f>VLOOKUP(F257,'Session Count DO NOT EDIT'!$A:$C,3,FALSE)</f>
        <v>4</v>
      </c>
      <c r="C257" s="20">
        <f>COUNTIFS('Scores Import DO NOT EDIT'!D:D,A257)</f>
        <v>2</v>
      </c>
      <c r="D257" s="21">
        <f t="shared" si="1"/>
        <v>0.5</v>
      </c>
      <c r="E257" s="22">
        <f>AVERAGEIFS('Scores Import DO NOT EDIT'!L:L,'Scores Import DO NOT EDIT'!D:D,A257)</f>
        <v>23.5</v>
      </c>
      <c r="F257" s="23" t="str">
        <f>VLOOKUP(A257, 'Session Data'!A:M,3,false)</f>
        <v>F-4</v>
      </c>
      <c r="G257" s="24" t="str">
        <f>VLOOKUP(A257, 'Session Data'!A:I,2,false)</f>
        <v>9:00 AM</v>
      </c>
      <c r="H257" s="23" t="str">
        <f>VLOOKUP(A257, 'Session Data'!A:J,5,false)</f>
        <v>Engineering and Computer Science 1</v>
      </c>
      <c r="I257" s="25" t="str">
        <f>VLOOKUP(A257, 'Session Data'!A:H,4,false)</f>
        <v>Poster</v>
      </c>
      <c r="J257" s="26" t="str">
        <f>VLOOKUP(A257, 'Session Data'!A:AA,14,false)</f>
        <v>Undergraduate</v>
      </c>
      <c r="K257" s="27" t="str">
        <f>VLOOKUP(A257, 'Session Data'!A:AA,15,false)</f>
        <v>Fowler College of Business</v>
      </c>
      <c r="L257" s="28" t="s">
        <v>324</v>
      </c>
      <c r="M257" s="29" t="str">
        <f>VLOOKUP(A257, 'Session Data'!A:K,11,false)</f>
        <v>Bachelor of Science in Business Administration - Marketing: Specialization in Integrated Marketing Communications (IMC)</v>
      </c>
      <c r="N257" s="26" t="str">
        <f>IF(ISNA(VLOOKUP(A257, 'Award Abstract#'!C:C, 1, FALSE)), "No", "Yes")
</f>
        <v>No</v>
      </c>
      <c r="O257" s="29" t="str">
        <f>IF(ISNA(VLOOKUP(A257,'Award Abstract#'!B:B,1,FALSE)), "No", "Yes")</f>
        <v>No</v>
      </c>
      <c r="P257" s="29" t="str">
        <f>IF(ISNA(VLOOKUP(A257,'Award Abstract#'!E:E,1,FALSE)), "No", "Yes")</f>
        <v>No</v>
      </c>
      <c r="Q257" s="29" t="str">
        <f>IF(ISNA(VLOOKUP(A257,'Award Abstract#'!A:A,1,FALSE)), "No", "Yes")</f>
        <v>No</v>
      </c>
      <c r="R257" s="29" t="str">
        <f>IF(ISNA(VLOOKUP(A257,'Award Abstract#'!D:D,1,FALSE)), "No", "Yes")</f>
        <v>Yes</v>
      </c>
      <c r="S257" s="30" t="str">
        <f>VLOOKUP(A257, 'Session Data'!A:AA,27,false)</f>
        <v>Woman</v>
      </c>
      <c r="T257" s="30"/>
      <c r="U257" s="30"/>
      <c r="V257" s="31" t="str">
        <f>VLOOKUP(A257, 'Session Data'!A:AA,8,false)</f>
        <v>Alyssa</v>
      </c>
      <c r="W257" s="32" t="str">
        <f>VLOOKUP(A257, 'Session Data'!A:AA,9,false)</f>
        <v>Yearick</v>
      </c>
      <c r="X257" s="33" t="str">
        <f>VLOOKUP(A257, 'Session Data'!A:AA,12,false)</f>
        <v>Bridging the gap between engineering and society: communicating earthquake risk via media</v>
      </c>
      <c r="Y257" s="34" t="str">
        <f>VLOOKUP(A257, 'Session Data'!A:AA,22,false)</f>
        <v>Gloria </v>
      </c>
      <c r="Z257" s="34" t="str">
        <f>VLOOKUP(A257, 'Session Data'!A:AA,23,false)</f>
        <v>Faraone</v>
      </c>
      <c r="AA257" s="34" t="str">
        <f>VLOOKUP(A257, 'Session Data'!A:AA,25,false)</f>
        <v>Engineering</v>
      </c>
      <c r="AB257" s="34" t="str">
        <f>VLOOKUP(A257, 'Session Data'!A:AA,24,false)</f>
        <v>gfaraone@sdsu.edu</v>
      </c>
      <c r="AC257" s="34" t="str">
        <f>VLOOKUP(A257, 'Session Data'!A:AA,16,false)</f>
        <v>Phillip </v>
      </c>
      <c r="AD257" s="35" t="str">
        <f>VLOOKUP(A257, 'Session Data'!A:U,17,false)</f>
        <v>Scott</v>
      </c>
      <c r="AE257" s="35" t="str">
        <f>VLOOKUP(A257, 'Session Data'!A:U,18,false)</f>
        <v/>
      </c>
      <c r="AF257" s="35" t="str">
        <f>VLOOKUP(A257, 'Session Data'!A:U,19,false)</f>
        <v/>
      </c>
      <c r="AG257" s="35" t="str">
        <f>VLOOKUP(A257, 'Session Data'!A:U,20,false)</f>
        <v/>
      </c>
      <c r="AH257" s="35" t="str">
        <f>VLOOKUP(A257, 'Session Data'!A:U,21,false)</f>
        <v/>
      </c>
      <c r="AI257" s="37"/>
      <c r="AJ257" s="37"/>
      <c r="AK257" s="37"/>
      <c r="AL257" s="50"/>
      <c r="AM257" s="34" t="str">
        <f>VLOOKUP(A257, 'Session Data'!A:AA,10,false)</f>
        <v>ayearick5160@sdsu.edu</v>
      </c>
      <c r="AN257" s="40"/>
      <c r="AO257" s="38"/>
      <c r="AP257" s="38"/>
      <c r="AQ257" s="38"/>
      <c r="AR257" s="38"/>
      <c r="AS257" s="38"/>
      <c r="AT257" s="38"/>
      <c r="AU257" s="38"/>
      <c r="AV257" s="38"/>
      <c r="AW257" s="38"/>
      <c r="AX257" s="38"/>
      <c r="AY257" s="43"/>
      <c r="AZ257" s="43"/>
      <c r="BA257" s="48"/>
      <c r="BB257" s="48"/>
      <c r="BC257" s="43"/>
      <c r="BD257" s="43"/>
      <c r="BE257" s="44"/>
      <c r="BF257" s="45"/>
      <c r="BG257" s="43"/>
    </row>
    <row r="258">
      <c r="A258" s="19" t="s">
        <v>325</v>
      </c>
      <c r="B258" s="20">
        <f>VLOOKUP(F258,'Session Count DO NOT EDIT'!$A:$C,3,FALSE)</f>
        <v>4</v>
      </c>
      <c r="C258" s="20">
        <f>COUNTIFS('Scores Import DO NOT EDIT'!D:D,A258)</f>
        <v>4</v>
      </c>
      <c r="D258" s="21">
        <f t="shared" si="1"/>
        <v>1</v>
      </c>
      <c r="E258" s="22">
        <f>AVERAGEIFS('Scores Import DO NOT EDIT'!L:L,'Scores Import DO NOT EDIT'!D:D,A258)</f>
        <v>26</v>
      </c>
      <c r="F258" s="23" t="str">
        <f>VLOOKUP(A258, 'Session Data'!A:M,3,false)</f>
        <v>F-5</v>
      </c>
      <c r="G258" s="24" t="str">
        <f>VLOOKUP(A258, 'Session Data'!A:I,2,false)</f>
        <v>9:00 AM</v>
      </c>
      <c r="H258" s="23" t="str">
        <f>VLOOKUP(A258, 'Session Data'!A:J,5,false)</f>
        <v>Engineering and Computer Science 2</v>
      </c>
      <c r="I258" s="25" t="str">
        <f>VLOOKUP(A258, 'Session Data'!A:H,4,false)</f>
        <v>Poster</v>
      </c>
      <c r="J258" s="26" t="str">
        <f>VLOOKUP(A258, 'Session Data'!A:AA,14,false)</f>
        <v>Undergraduate</v>
      </c>
      <c r="K258" s="27" t="str">
        <f>VLOOKUP(A258, 'Session Data'!A:AA,15,false)</f>
        <v>Engineering</v>
      </c>
      <c r="L258" s="28"/>
      <c r="M258" s="29" t="str">
        <f>VLOOKUP(A258, 'Session Data'!A:K,11,false)</f>
        <v>Bachelor of Science in Environmental Engineering</v>
      </c>
      <c r="N258" s="26" t="str">
        <f>IF(ISNA(VLOOKUP(A258, 'Award Abstract#'!C:C, 1, FALSE)), "No", "Yes")
</f>
        <v>No</v>
      </c>
      <c r="O258" s="29" t="str">
        <f>IF(ISNA(VLOOKUP(A258,'Award Abstract#'!B:B,1,FALSE)), "No", "Yes")</f>
        <v>Yes</v>
      </c>
      <c r="P258" s="29" t="str">
        <f>IF(ISNA(VLOOKUP(A258,'Award Abstract#'!E:E,1,FALSE)), "No", "Yes")</f>
        <v>No</v>
      </c>
      <c r="Q258" s="29" t="str">
        <f>IF(ISNA(VLOOKUP(A258,'Award Abstract#'!A:A,1,FALSE)), "No", "Yes")</f>
        <v>No</v>
      </c>
      <c r="R258" s="29" t="str">
        <f>IF(ISNA(VLOOKUP(A258,'Award Abstract#'!D:D,1,FALSE)), "No", "Yes")</f>
        <v>No</v>
      </c>
      <c r="S258" s="30" t="str">
        <f>VLOOKUP(A258, 'Session Data'!A:AA,27,false)</f>
        <v>Woman</v>
      </c>
      <c r="T258" s="30"/>
      <c r="U258" s="30"/>
      <c r="V258" s="31" t="str">
        <f>VLOOKUP(A258, 'Session Data'!A:AA,8,false)</f>
        <v>Selin</v>
      </c>
      <c r="W258" s="32" t="str">
        <f>VLOOKUP(A258, 'Session Data'!A:AA,9,false)</f>
        <v>Childs</v>
      </c>
      <c r="X258" s="33" t="str">
        <f>VLOOKUP(A258, 'Session Data'!A:AA,12,false)</f>
        <v>Temporal Wastewater Degradation of TRP &amp; CDOM</v>
      </c>
      <c r="Y258" s="34" t="str">
        <f>VLOOKUP(A258, 'Session Data'!A:AA,22,false)</f>
        <v>Natalie</v>
      </c>
      <c r="Z258" s="34" t="str">
        <f>VLOOKUP(A258, 'Session Data'!A:AA,23,false)</f>
        <v>Mladenov</v>
      </c>
      <c r="AA258" s="34" t="str">
        <f>VLOOKUP(A258, 'Session Data'!A:AA,25,false)</f>
        <v>Engineering</v>
      </c>
      <c r="AB258" s="34" t="str">
        <f>VLOOKUP(A258, 'Session Data'!A:AA,24,false)</f>
        <v>nmladenov@sdsu.edu</v>
      </c>
      <c r="AC258" s="34" t="str">
        <f>VLOOKUP(A258, 'Session Data'!A:AA,16,false)</f>
        <v/>
      </c>
      <c r="AD258" s="35" t="str">
        <f>VLOOKUP(A258, 'Session Data'!A:U,17,false)</f>
        <v/>
      </c>
      <c r="AE258" s="35" t="str">
        <f>VLOOKUP(A258, 'Session Data'!A:U,18,false)</f>
        <v/>
      </c>
      <c r="AF258" s="35" t="str">
        <f>VLOOKUP(A258, 'Session Data'!A:U,19,false)</f>
        <v/>
      </c>
      <c r="AG258" s="35" t="str">
        <f>VLOOKUP(A258, 'Session Data'!A:U,20,false)</f>
        <v/>
      </c>
      <c r="AH258" s="35" t="str">
        <f>VLOOKUP(A258, 'Session Data'!A:U,21,false)</f>
        <v/>
      </c>
      <c r="AI258" s="36"/>
      <c r="AJ258" s="38"/>
      <c r="AK258" s="38"/>
      <c r="AL258" s="39"/>
      <c r="AM258" s="34" t="str">
        <f>VLOOKUP(A258, 'Session Data'!A:AA,10,false)</f>
        <v>schilds9070@sdsu.edu</v>
      </c>
      <c r="AN258" s="40"/>
      <c r="AO258" s="38"/>
      <c r="AP258" s="38"/>
      <c r="AQ258" s="38"/>
      <c r="AR258" s="38"/>
      <c r="AS258" s="38"/>
      <c r="AT258" s="38"/>
      <c r="AU258" s="38"/>
      <c r="AV258" s="38"/>
      <c r="AW258" s="38"/>
      <c r="AX258" s="38"/>
      <c r="AY258" s="43"/>
      <c r="AZ258" s="43"/>
      <c r="BA258" s="43"/>
      <c r="BB258" s="43"/>
      <c r="BC258" s="43"/>
      <c r="BD258" s="43"/>
      <c r="BE258" s="44"/>
      <c r="BF258" s="45"/>
      <c r="BG258" s="43"/>
    </row>
    <row r="259">
      <c r="A259" s="19" t="s">
        <v>326</v>
      </c>
      <c r="B259" s="20">
        <f>VLOOKUP(F259,'Session Count DO NOT EDIT'!$A:$C,3,FALSE)</f>
        <v>4</v>
      </c>
      <c r="C259" s="20">
        <f>COUNTIFS('Scores Import DO NOT EDIT'!D:D,A259)</f>
        <v>4</v>
      </c>
      <c r="D259" s="21">
        <f t="shared" si="1"/>
        <v>1</v>
      </c>
      <c r="E259" s="22">
        <f>AVERAGEIFS('Scores Import DO NOT EDIT'!L:L,'Scores Import DO NOT EDIT'!D:D,A259)</f>
        <v>25.5</v>
      </c>
      <c r="F259" s="23" t="str">
        <f>VLOOKUP(A259, 'Session Data'!A:M,3,false)</f>
        <v>F-5</v>
      </c>
      <c r="G259" s="24" t="str">
        <f>VLOOKUP(A259, 'Session Data'!A:I,2,false)</f>
        <v>9:00 AM</v>
      </c>
      <c r="H259" s="23" t="str">
        <f>VLOOKUP(A259, 'Session Data'!A:J,5,false)</f>
        <v>Engineering and Computer Science 2</v>
      </c>
      <c r="I259" s="25" t="str">
        <f>VLOOKUP(A259, 'Session Data'!A:H,4,false)</f>
        <v>Poster</v>
      </c>
      <c r="J259" s="26" t="str">
        <f>VLOOKUP(A259, 'Session Data'!A:AA,14,false)</f>
        <v>Undergraduate</v>
      </c>
      <c r="K259" s="27" t="str">
        <f>VLOOKUP(A259, 'Session Data'!A:AA,15,false)</f>
        <v>Engineering</v>
      </c>
      <c r="L259" s="47"/>
      <c r="M259" s="29" t="str">
        <f>VLOOKUP(A259, 'Session Data'!A:K,11,false)</f>
        <v>civil engineering</v>
      </c>
      <c r="N259" s="26" t="str">
        <f>IF(ISNA(VLOOKUP(A259, 'Award Abstract#'!C:C, 1, FALSE)), "No", "Yes")
</f>
        <v>No</v>
      </c>
      <c r="O259" s="29" t="str">
        <f>IF(ISNA(VLOOKUP(A259,'Award Abstract#'!B:B,1,FALSE)), "No", "Yes")</f>
        <v>Yes</v>
      </c>
      <c r="P259" s="29" t="str">
        <f>IF(ISNA(VLOOKUP(A259,'Award Abstract#'!E:E,1,FALSE)), "No", "Yes")</f>
        <v>No</v>
      </c>
      <c r="Q259" s="29" t="str">
        <f>IF(ISNA(VLOOKUP(A259,'Award Abstract#'!A:A,1,FALSE)), "No", "Yes")</f>
        <v>No</v>
      </c>
      <c r="R259" s="29" t="str">
        <f>IF(ISNA(VLOOKUP(A259,'Award Abstract#'!D:D,1,FALSE)), "No", "Yes")</f>
        <v>No</v>
      </c>
      <c r="S259" s="30" t="str">
        <f>VLOOKUP(A259, 'Session Data'!A:AA,27,false)</f>
        <v>Man</v>
      </c>
      <c r="T259" s="30"/>
      <c r="U259" s="30"/>
      <c r="V259" s="31" t="str">
        <f>VLOOKUP(A259, 'Session Data'!A:AA,8,false)</f>
        <v>Timothy</v>
      </c>
      <c r="W259" s="32" t="str">
        <f>VLOOKUP(A259, 'Session Data'!A:AA,9,false)</f>
        <v>Park</v>
      </c>
      <c r="X259" s="33" t="str">
        <f>VLOOKUP(A259, 'Session Data'!A:AA,12,false)</f>
        <v>Mechanical properties of seawater glass fiber polymer reinforced concrete</v>
      </c>
      <c r="Y259" s="34" t="str">
        <f>VLOOKUP(A259, 'Session Data'!A:AA,22,false)</f>
        <v>Gloria </v>
      </c>
      <c r="Z259" s="34" t="str">
        <f>VLOOKUP(A259, 'Session Data'!A:AA,23,false)</f>
        <v>Faraone</v>
      </c>
      <c r="AA259" s="34" t="str">
        <f>VLOOKUP(A259, 'Session Data'!A:AA,25,false)</f>
        <v>Engineering</v>
      </c>
      <c r="AB259" s="34" t="str">
        <f>VLOOKUP(A259, 'Session Data'!A:AA,24,false)</f>
        <v>gfaraone@sdsu.edu</v>
      </c>
      <c r="AC259" s="34" t="str">
        <f>VLOOKUP(A259, 'Session Data'!A:AA,16,false)</f>
        <v/>
      </c>
      <c r="AD259" s="35" t="str">
        <f>VLOOKUP(A259, 'Session Data'!A:U,17,false)</f>
        <v/>
      </c>
      <c r="AE259" s="35" t="str">
        <f>VLOOKUP(A259, 'Session Data'!A:U,18,false)</f>
        <v/>
      </c>
      <c r="AF259" s="35" t="str">
        <f>VLOOKUP(A259, 'Session Data'!A:U,19,false)</f>
        <v/>
      </c>
      <c r="AG259" s="35" t="str">
        <f>VLOOKUP(A259, 'Session Data'!A:U,20,false)</f>
        <v/>
      </c>
      <c r="AH259" s="35" t="str">
        <f>VLOOKUP(A259, 'Session Data'!A:U,21,false)</f>
        <v/>
      </c>
      <c r="AI259" s="37"/>
      <c r="AJ259" s="37"/>
      <c r="AK259" s="37"/>
      <c r="AL259" s="50"/>
      <c r="AM259" s="34" t="str">
        <f>VLOOKUP(A259, 'Session Data'!A:AA,10,false)</f>
        <v>tpark9928@sdsu.edu</v>
      </c>
      <c r="AN259" s="40"/>
      <c r="AO259" s="38"/>
      <c r="AP259" s="38"/>
      <c r="AQ259" s="38"/>
      <c r="AR259" s="38"/>
      <c r="AS259" s="38"/>
      <c r="AT259" s="38"/>
      <c r="AU259" s="38"/>
      <c r="AV259" s="38"/>
      <c r="AW259" s="38"/>
      <c r="AX259" s="38"/>
      <c r="AY259" s="43"/>
      <c r="AZ259" s="43"/>
      <c r="BA259" s="43"/>
      <c r="BB259" s="43"/>
      <c r="BC259" s="43"/>
      <c r="BD259" s="43"/>
      <c r="BE259" s="44"/>
      <c r="BF259" s="45"/>
      <c r="BG259" s="43"/>
    </row>
    <row r="260">
      <c r="A260" s="19" t="s">
        <v>327</v>
      </c>
      <c r="B260" s="20">
        <f>VLOOKUP(F260,'Session Count DO NOT EDIT'!$A:$C,3,FALSE)</f>
        <v>4</v>
      </c>
      <c r="C260" s="20">
        <f>COUNTIFS('Scores Import DO NOT EDIT'!D:D,A260)</f>
        <v>4</v>
      </c>
      <c r="D260" s="21">
        <f t="shared" si="1"/>
        <v>1</v>
      </c>
      <c r="E260" s="22">
        <f>AVERAGEIFS('Scores Import DO NOT EDIT'!L:L,'Scores Import DO NOT EDIT'!D:D,A260)</f>
        <v>28.75</v>
      </c>
      <c r="F260" s="23" t="str">
        <f>VLOOKUP(A260, 'Session Data'!A:M,3,false)</f>
        <v>F-5</v>
      </c>
      <c r="G260" s="24" t="str">
        <f>VLOOKUP(A260, 'Session Data'!A:I,2,false)</f>
        <v>9:00 AM</v>
      </c>
      <c r="H260" s="23" t="str">
        <f>VLOOKUP(A260, 'Session Data'!A:J,5,false)</f>
        <v>Engineering and Computer Science 2</v>
      </c>
      <c r="I260" s="25" t="str">
        <f>VLOOKUP(A260, 'Session Data'!A:H,4,false)</f>
        <v>Poster</v>
      </c>
      <c r="J260" s="26" t="str">
        <f>VLOOKUP(A260, 'Session Data'!A:AA,14,false)</f>
        <v>Undergraduate</v>
      </c>
      <c r="K260" s="27" t="str">
        <f>VLOOKUP(A260, 'Session Data'!A:AA,15,false)</f>
        <v>Sciences</v>
      </c>
      <c r="L260" s="28"/>
      <c r="M260" s="29" t="str">
        <f>VLOOKUP(A260, 'Session Data'!A:K,11,false)</f>
        <v>B.S. Molecular and Cell Biology</v>
      </c>
      <c r="N260" s="26" t="str">
        <f>IF(ISNA(VLOOKUP(A260, 'Award Abstract#'!C:C, 1, FALSE)), "No", "Yes")
</f>
        <v>No</v>
      </c>
      <c r="O260" s="29" t="str">
        <f>IF(ISNA(VLOOKUP(A260,'Award Abstract#'!B:B,1,FALSE)), "No", "Yes")</f>
        <v>No</v>
      </c>
      <c r="P260" s="29" t="str">
        <f>IF(ISNA(VLOOKUP(A260,'Award Abstract#'!E:E,1,FALSE)), "No", "Yes")</f>
        <v>No</v>
      </c>
      <c r="Q260" s="29" t="str">
        <f>IF(ISNA(VLOOKUP(A260,'Award Abstract#'!A:A,1,FALSE)), "No", "Yes")</f>
        <v>No</v>
      </c>
      <c r="R260" s="29" t="str">
        <f>IF(ISNA(VLOOKUP(A260,'Award Abstract#'!D:D,1,FALSE)), "No", "Yes")</f>
        <v>No</v>
      </c>
      <c r="S260" s="30" t="str">
        <f>VLOOKUP(A260, 'Session Data'!A:AA,27,false)</f>
        <v>Man</v>
      </c>
      <c r="T260" s="30"/>
      <c r="U260" s="30"/>
      <c r="V260" s="31" t="str">
        <f>VLOOKUP(A260, 'Session Data'!A:AA,8,false)</f>
        <v>Paul</v>
      </c>
      <c r="W260" s="32" t="str">
        <f>VLOOKUP(A260, 'Session Data'!A:AA,9,false)</f>
        <v>DeStefano</v>
      </c>
      <c r="X260" s="33" t="str">
        <f>VLOOKUP(A260, 'Session Data'!A:AA,12,false)</f>
        <v>Development of Laboratory System for Engineering Guided Waves in Shear Wave Elastography for Enhanced Soft Tissue Diagnostics </v>
      </c>
      <c r="Y260" s="34" t="str">
        <f>VLOOKUP(A260, 'Session Data'!A:AA,22,false)</f>
        <v>Dr. Margherita</v>
      </c>
      <c r="Z260" s="34" t="str">
        <f>VLOOKUP(A260, 'Session Data'!A:AA,23,false)</f>
        <v>Capriotti</v>
      </c>
      <c r="AA260" s="34" t="str">
        <f>VLOOKUP(A260, 'Session Data'!A:AA,25,false)</f>
        <v>Engineering</v>
      </c>
      <c r="AB260" s="34" t="str">
        <f>VLOOKUP(A260, 'Session Data'!A:AA,24,false)</f>
        <v>mcapriotti@sdsu.edu</v>
      </c>
      <c r="AC260" s="34" t="str">
        <f>VLOOKUP(A260, 'Session Data'!A:AA,16,false)</f>
        <v/>
      </c>
      <c r="AD260" s="35" t="str">
        <f>VLOOKUP(A260, 'Session Data'!A:U,17,false)</f>
        <v/>
      </c>
      <c r="AE260" s="35" t="str">
        <f>VLOOKUP(A260, 'Session Data'!A:U,18,false)</f>
        <v/>
      </c>
      <c r="AF260" s="35" t="str">
        <f>VLOOKUP(A260, 'Session Data'!A:U,19,false)</f>
        <v/>
      </c>
      <c r="AG260" s="35" t="str">
        <f>VLOOKUP(A260, 'Session Data'!A:U,20,false)</f>
        <v/>
      </c>
      <c r="AH260" s="35" t="str">
        <f>VLOOKUP(A260, 'Session Data'!A:U,21,false)</f>
        <v/>
      </c>
      <c r="AI260" s="37"/>
      <c r="AJ260" s="37"/>
      <c r="AK260" s="37"/>
      <c r="AL260" s="50"/>
      <c r="AM260" s="34" t="str">
        <f>VLOOKUP(A260, 'Session Data'!A:AA,10,false)</f>
        <v>pdestefano6342@sdsu.edu</v>
      </c>
      <c r="AN260" s="40"/>
      <c r="AO260" s="38"/>
      <c r="AP260" s="38"/>
      <c r="AQ260" s="38"/>
      <c r="AR260" s="38"/>
      <c r="AS260" s="38"/>
      <c r="AT260" s="38"/>
      <c r="AU260" s="38"/>
      <c r="AV260" s="38"/>
      <c r="AW260" s="38"/>
      <c r="AX260" s="38"/>
      <c r="AY260" s="43"/>
      <c r="AZ260" s="43"/>
      <c r="BA260" s="48"/>
      <c r="BB260" s="48"/>
      <c r="BC260" s="43"/>
      <c r="BD260" s="43"/>
      <c r="BE260" s="44"/>
      <c r="BF260" s="45"/>
      <c r="BG260" s="43"/>
    </row>
    <row r="261">
      <c r="A261" s="19" t="s">
        <v>328</v>
      </c>
      <c r="B261" s="20">
        <f>VLOOKUP(F261,'Session Count DO NOT EDIT'!$A:$C,3,FALSE)</f>
        <v>4</v>
      </c>
      <c r="C261" s="20">
        <f>COUNTIFS('Scores Import DO NOT EDIT'!D:D,A261)</f>
        <v>4</v>
      </c>
      <c r="D261" s="21">
        <f t="shared" si="1"/>
        <v>1</v>
      </c>
      <c r="E261" s="22">
        <f>AVERAGEIFS('Scores Import DO NOT EDIT'!L:L,'Scores Import DO NOT EDIT'!D:D,A261)</f>
        <v>27.5</v>
      </c>
      <c r="F261" s="23" t="str">
        <f>VLOOKUP(A261, 'Session Data'!A:M,3,false)</f>
        <v>F-5</v>
      </c>
      <c r="G261" s="24" t="str">
        <f>VLOOKUP(A261, 'Session Data'!A:I,2,false)</f>
        <v>9:00 AM</v>
      </c>
      <c r="H261" s="23" t="str">
        <f>VLOOKUP(A261, 'Session Data'!A:J,5,false)</f>
        <v>Engineering and Computer Science 2</v>
      </c>
      <c r="I261" s="25" t="str">
        <f>VLOOKUP(A261, 'Session Data'!A:H,4,false)</f>
        <v>Poster</v>
      </c>
      <c r="J261" s="26" t="str">
        <f>VLOOKUP(A261, 'Session Data'!A:AA,14,false)</f>
        <v>Undergraduate</v>
      </c>
      <c r="K261" s="27" t="str">
        <f>VLOOKUP(A261, 'Session Data'!A:AA,15,false)</f>
        <v>Sciences</v>
      </c>
      <c r="L261" s="28"/>
      <c r="M261" s="29" t="str">
        <f>VLOOKUP(A261, 'Session Data'!A:K,11,false)</f>
        <v>Computer Science</v>
      </c>
      <c r="N261" s="26" t="str">
        <f>IF(ISNA(VLOOKUP(A261, 'Award Abstract#'!C:C, 1, FALSE)), "No", "Yes")
</f>
        <v>No</v>
      </c>
      <c r="O261" s="29" t="str">
        <f>IF(ISNA(VLOOKUP(A261,'Award Abstract#'!B:B,1,FALSE)), "No", "Yes")</f>
        <v>No</v>
      </c>
      <c r="P261" s="29" t="str">
        <f>IF(ISNA(VLOOKUP(A261,'Award Abstract#'!E:E,1,FALSE)), "No", "Yes")</f>
        <v>No</v>
      </c>
      <c r="Q261" s="29" t="str">
        <f>IF(ISNA(VLOOKUP(A261,'Award Abstract#'!A:A,1,FALSE)), "No", "Yes")</f>
        <v>No</v>
      </c>
      <c r="R261" s="29" t="str">
        <f>IF(ISNA(VLOOKUP(A261,'Award Abstract#'!D:D,1,FALSE)), "No", "Yes")</f>
        <v>No</v>
      </c>
      <c r="S261" s="30" t="str">
        <f>VLOOKUP(A261, 'Session Data'!A:AA,27,false)</f>
        <v>Man</v>
      </c>
      <c r="T261" s="30"/>
      <c r="U261" s="30"/>
      <c r="V261" s="31" t="str">
        <f>VLOOKUP(A261, 'Session Data'!A:AA,8,false)</f>
        <v>Samuel</v>
      </c>
      <c r="W261" s="32" t="str">
        <f>VLOOKUP(A261, 'Session Data'!A:AA,9,false)</f>
        <v>Braude</v>
      </c>
      <c r="X261" s="33" t="str">
        <f>VLOOKUP(A261, 'Session Data'!A:AA,12,false)</f>
        <v>Quantum Leap in Strategy: Reshaping Arms Races and Advertising with Quantum Game Theory</v>
      </c>
      <c r="Y261" s="34" t="str">
        <f>VLOOKUP(A261, 'Session Data'!A:AA,22,false)</f>
        <v>Krishna Murthy</v>
      </c>
      <c r="Z261" s="34" t="str">
        <f>VLOOKUP(A261, 'Session Data'!A:AA,23,false)</f>
        <v>Kattiyan Ramamoorthy</v>
      </c>
      <c r="AA261" s="34" t="str">
        <f>VLOOKUP(A261, 'Session Data'!A:AA,25,false)</f>
        <v>Sciences</v>
      </c>
      <c r="AB261" s="34" t="str">
        <f>VLOOKUP(A261, 'Session Data'!A:AA,24,false)</f>
        <v>kkattiyanramamoort@sdsu.edu</v>
      </c>
      <c r="AC261" s="34" t="str">
        <f>VLOOKUP(A261, 'Session Data'!A:AA,16,false)</f>
        <v>Riley</v>
      </c>
      <c r="AD261" s="35" t="str">
        <f>VLOOKUP(A261, 'Session Data'!A:U,17,false)</f>
        <v>Thompson</v>
      </c>
      <c r="AE261" s="35" t="str">
        <f>VLOOKUP(A261, 'Session Data'!A:U,18,false)</f>
        <v/>
      </c>
      <c r="AF261" s="35" t="str">
        <f>VLOOKUP(A261, 'Session Data'!A:U,19,false)</f>
        <v/>
      </c>
      <c r="AG261" s="35" t="str">
        <f>VLOOKUP(A261, 'Session Data'!A:U,20,false)</f>
        <v/>
      </c>
      <c r="AH261" s="35" t="str">
        <f>VLOOKUP(A261, 'Session Data'!A:U,21,false)</f>
        <v/>
      </c>
      <c r="AI261" s="37"/>
      <c r="AJ261" s="37"/>
      <c r="AK261" s="37"/>
      <c r="AL261" s="50"/>
      <c r="AM261" s="34" t="str">
        <f>VLOOKUP(A261, 'Session Data'!A:AA,10,false)</f>
        <v>sbraude1069@sdsu.edu</v>
      </c>
      <c r="AN261" s="40"/>
      <c r="AO261" s="38"/>
      <c r="AP261" s="38"/>
      <c r="AQ261" s="38"/>
      <c r="AR261" s="38"/>
      <c r="AS261" s="38"/>
      <c r="AT261" s="38"/>
      <c r="AU261" s="38"/>
      <c r="AV261" s="38"/>
      <c r="AW261" s="38"/>
      <c r="AX261" s="38"/>
      <c r="AY261" s="43"/>
      <c r="AZ261" s="43"/>
      <c r="BA261" s="48"/>
      <c r="BB261" s="48"/>
      <c r="BC261" s="43"/>
      <c r="BD261" s="43"/>
      <c r="BE261" s="44"/>
      <c r="BF261" s="45"/>
      <c r="BG261" s="43"/>
    </row>
    <row r="262">
      <c r="A262" s="19" t="s">
        <v>329</v>
      </c>
      <c r="B262" s="20">
        <f>VLOOKUP(F262,'Session Count DO NOT EDIT'!$A:$C,3,FALSE)</f>
        <v>4</v>
      </c>
      <c r="C262" s="20">
        <f>COUNTIFS('Scores Import DO NOT EDIT'!D:D,A262)</f>
        <v>4</v>
      </c>
      <c r="D262" s="21">
        <f t="shared" si="1"/>
        <v>1</v>
      </c>
      <c r="E262" s="22">
        <f>AVERAGEIFS('Scores Import DO NOT EDIT'!L:L,'Scores Import DO NOT EDIT'!D:D,A262)</f>
        <v>26.5</v>
      </c>
      <c r="F262" s="23" t="str">
        <f>VLOOKUP(A262, 'Session Data'!A:M,3,false)</f>
        <v>F-5</v>
      </c>
      <c r="G262" s="24" t="str">
        <f>VLOOKUP(A262, 'Session Data'!A:I,2,false)</f>
        <v>9:00 AM</v>
      </c>
      <c r="H262" s="23" t="str">
        <f>VLOOKUP(A262, 'Session Data'!A:J,5,false)</f>
        <v>Engineering and Computer Science 2</v>
      </c>
      <c r="I262" s="25" t="str">
        <f>VLOOKUP(A262, 'Session Data'!A:H,4,false)</f>
        <v>Poster</v>
      </c>
      <c r="J262" s="26" t="str">
        <f>VLOOKUP(A262, 'Session Data'!A:AA,14,false)</f>
        <v>Undergraduate</v>
      </c>
      <c r="K262" s="27" t="str">
        <f>VLOOKUP(A262, 'Session Data'!A:AA,15,false)</f>
        <v>Engineering</v>
      </c>
      <c r="L262" s="47"/>
      <c r="M262" s="29" t="str">
        <f>VLOOKUP(A262, 'Session Data'!A:K,11,false)</f>
        <v>Environmental Engineering</v>
      </c>
      <c r="N262" s="26" t="str">
        <f>IF(ISNA(VLOOKUP(A262, 'Award Abstract#'!C:C, 1, FALSE)), "No", "Yes")
</f>
        <v>No</v>
      </c>
      <c r="O262" s="29" t="str">
        <f>IF(ISNA(VLOOKUP(A262,'Award Abstract#'!B:B,1,FALSE)), "No", "Yes")</f>
        <v>No</v>
      </c>
      <c r="P262" s="29" t="str">
        <f>IF(ISNA(VLOOKUP(A262,'Award Abstract#'!E:E,1,FALSE)), "No", "Yes")</f>
        <v>Yes</v>
      </c>
      <c r="Q262" s="29" t="str">
        <f>IF(ISNA(VLOOKUP(A262,'Award Abstract#'!A:A,1,FALSE)), "No", "Yes")</f>
        <v>No</v>
      </c>
      <c r="R262" s="29" t="str">
        <f>IF(ISNA(VLOOKUP(A262,'Award Abstract#'!D:D,1,FALSE)), "No", "Yes")</f>
        <v>No</v>
      </c>
      <c r="S262" s="30" t="str">
        <f>VLOOKUP(A262, 'Session Data'!A:AA,27,false)</f>
        <v>Woman</v>
      </c>
      <c r="T262" s="30"/>
      <c r="U262" s="30"/>
      <c r="V262" s="31" t="str">
        <f>VLOOKUP(A262, 'Session Data'!A:AA,8,false)</f>
        <v>Tanaka-Herrera</v>
      </c>
      <c r="W262" s="32" t="str">
        <f>VLOOKUP(A262, 'Session Data'!A:AA,9,false)</f>
        <v>Charisma</v>
      </c>
      <c r="X262" s="33" t="str">
        <f>VLOOKUP(A262, 'Session Data'!A:AA,12,false)</f>
        <v>An Assessment of the Use of Multiple Human-Associated Fecal Source Tracking Markers to Monitor Fecal Pollution Moving Through Subsurface Soils</v>
      </c>
      <c r="Y262" s="34" t="str">
        <f>VLOOKUP(A262, 'Session Data'!A:AA,22,false)</f>
        <v>Miletic </v>
      </c>
      <c r="Z262" s="34" t="str">
        <f>VLOOKUP(A262, 'Session Data'!A:AA,23,false)</f>
        <v>Martha </v>
      </c>
      <c r="AA262" s="34" t="str">
        <f>VLOOKUP(A262, 'Session Data'!A:AA,25,false)</f>
        <v>Engineering</v>
      </c>
      <c r="AB262" s="34" t="str">
        <f>VLOOKUP(A262, 'Session Data'!A:AA,24,false)</f>
        <v>mmiletic@sdsu.edu</v>
      </c>
      <c r="AC262" s="34" t="str">
        <f>VLOOKUP(A262, 'Session Data'!A:AA,16,false)</f>
        <v>Aaliyah </v>
      </c>
      <c r="AD262" s="35" t="str">
        <f>VLOOKUP(A262, 'Session Data'!A:U,17,false)</f>
        <v>Ringor </v>
      </c>
      <c r="AE262" s="35" t="str">
        <f>VLOOKUP(A262, 'Session Data'!A:U,18,false)</f>
        <v/>
      </c>
      <c r="AF262" s="35" t="str">
        <f>VLOOKUP(A262, 'Session Data'!A:U,19,false)</f>
        <v/>
      </c>
      <c r="AG262" s="35" t="str">
        <f>VLOOKUP(A262, 'Session Data'!A:U,20,false)</f>
        <v/>
      </c>
      <c r="AH262" s="35" t="str">
        <f>VLOOKUP(A262, 'Session Data'!A:U,21,false)</f>
        <v/>
      </c>
      <c r="AI262" s="36"/>
      <c r="AJ262" s="38"/>
      <c r="AK262" s="38"/>
      <c r="AL262" s="39"/>
      <c r="AM262" s="34" t="str">
        <f>VLOOKUP(A262, 'Session Data'!A:AA,10,false)</f>
        <v>ctanakaherrera2072@sdsu.edu</v>
      </c>
      <c r="AN262" s="40"/>
      <c r="AO262" s="38"/>
      <c r="AP262" s="38"/>
      <c r="AQ262" s="38"/>
      <c r="AR262" s="38"/>
      <c r="AS262" s="38"/>
      <c r="AT262" s="38"/>
      <c r="AU262" s="38"/>
      <c r="AV262" s="38"/>
      <c r="AW262" s="38"/>
      <c r="AX262" s="38"/>
      <c r="AY262" s="43"/>
      <c r="AZ262" s="43"/>
      <c r="BA262" s="48"/>
      <c r="BB262" s="48"/>
      <c r="BC262" s="43"/>
      <c r="BD262" s="43"/>
      <c r="BE262" s="44"/>
      <c r="BF262" s="45"/>
      <c r="BG262" s="43"/>
    </row>
    <row r="263">
      <c r="A263" s="19" t="s">
        <v>330</v>
      </c>
      <c r="B263" s="20">
        <f>VLOOKUP(F263,'Session Count DO NOT EDIT'!$A:$C,3,FALSE)</f>
        <v>4</v>
      </c>
      <c r="C263" s="20">
        <f>COUNTIFS('Scores Import DO NOT EDIT'!D:D,A263)</f>
        <v>4</v>
      </c>
      <c r="D263" s="21">
        <f t="shared" si="1"/>
        <v>1</v>
      </c>
      <c r="E263" s="22">
        <f>AVERAGEIFS('Scores Import DO NOT EDIT'!L:L,'Scores Import DO NOT EDIT'!D:D,A263)</f>
        <v>25</v>
      </c>
      <c r="F263" s="23" t="str">
        <f>VLOOKUP(A263, 'Session Data'!A:M,3,false)</f>
        <v>F-5</v>
      </c>
      <c r="G263" s="24" t="str">
        <f>VLOOKUP(A263, 'Session Data'!A:I,2,false)</f>
        <v>9:00 AM</v>
      </c>
      <c r="H263" s="23" t="str">
        <f>VLOOKUP(A263, 'Session Data'!A:J,5,false)</f>
        <v>Engineering and Computer Science 2</v>
      </c>
      <c r="I263" s="25" t="str">
        <f>VLOOKUP(A263, 'Session Data'!A:H,4,false)</f>
        <v>Poster</v>
      </c>
      <c r="J263" s="26" t="str">
        <f>VLOOKUP(A263, 'Session Data'!A:AA,14,false)</f>
        <v>Undergraduate</v>
      </c>
      <c r="K263" s="27" t="str">
        <f>VLOOKUP(A263, 'Session Data'!A:AA,15,false)</f>
        <v>Engineering</v>
      </c>
      <c r="L263" s="47"/>
      <c r="M263" s="29" t="str">
        <f>VLOOKUP(A263, 'Session Data'!A:K,11,false)</f>
        <v>Bachelor of Science, Mechanical Engineering</v>
      </c>
      <c r="N263" s="26" t="str">
        <f>IF(ISNA(VLOOKUP(A263, 'Award Abstract#'!C:C, 1, FALSE)), "No", "Yes")
</f>
        <v>No</v>
      </c>
      <c r="O263" s="29" t="str">
        <f>IF(ISNA(VLOOKUP(A263,'Award Abstract#'!B:B,1,FALSE)), "No", "Yes")</f>
        <v>No</v>
      </c>
      <c r="P263" s="29" t="str">
        <f>IF(ISNA(VLOOKUP(A263,'Award Abstract#'!E:E,1,FALSE)), "No", "Yes")</f>
        <v>Yes</v>
      </c>
      <c r="Q263" s="29" t="str">
        <f>IF(ISNA(VLOOKUP(A263,'Award Abstract#'!A:A,1,FALSE)), "No", "Yes")</f>
        <v>No</v>
      </c>
      <c r="R263" s="29" t="str">
        <f>IF(ISNA(VLOOKUP(A263,'Award Abstract#'!D:D,1,FALSE)), "No", "Yes")</f>
        <v>No</v>
      </c>
      <c r="S263" s="30" t="str">
        <f>VLOOKUP(A263, 'Session Data'!A:AA,27,false)</f>
        <v>Man</v>
      </c>
      <c r="T263" s="30"/>
      <c r="U263" s="30"/>
      <c r="V263" s="31" t="str">
        <f>VLOOKUP(A263, 'Session Data'!A:AA,8,false)</f>
        <v>Alexander</v>
      </c>
      <c r="W263" s="32" t="str">
        <f>VLOOKUP(A263, 'Session Data'!A:AA,9,false)</f>
        <v>Cherry</v>
      </c>
      <c r="X263" s="33" t="str">
        <f>VLOOKUP(A263, 'Session Data'!A:AA,12,false)</f>
        <v>Collection of sEMG dataset for Silent Speech Recognition</v>
      </c>
      <c r="Y263" s="34" t="str">
        <f>VLOOKUP(A263, 'Session Data'!A:AA,22,false)</f>
        <v>John </v>
      </c>
      <c r="Z263" s="34" t="str">
        <f>VLOOKUP(A263, 'Session Data'!A:AA,23,false)</f>
        <v>Kang </v>
      </c>
      <c r="AA263" s="34" t="str">
        <f>VLOOKUP(A263, 'Session Data'!A:AA,25,false)</f>
        <v>Engineering</v>
      </c>
      <c r="AB263" s="34" t="str">
        <f>VLOOKUP(A263, 'Session Data'!A:AA,24,false)</f>
        <v>jkang4@sdsu.edu</v>
      </c>
      <c r="AC263" s="34" t="str">
        <f>VLOOKUP(A263, 'Session Data'!A:AA,16,false)</f>
        <v/>
      </c>
      <c r="AD263" s="35" t="str">
        <f>VLOOKUP(A263, 'Session Data'!A:U,17,false)</f>
        <v/>
      </c>
      <c r="AE263" s="35" t="str">
        <f>VLOOKUP(A263, 'Session Data'!A:U,18,false)</f>
        <v/>
      </c>
      <c r="AF263" s="35" t="str">
        <f>VLOOKUP(A263, 'Session Data'!A:U,19,false)</f>
        <v/>
      </c>
      <c r="AG263" s="35" t="str">
        <f>VLOOKUP(A263, 'Session Data'!A:U,20,false)</f>
        <v/>
      </c>
      <c r="AH263" s="35" t="str">
        <f>VLOOKUP(A263, 'Session Data'!A:U,21,false)</f>
        <v/>
      </c>
      <c r="AI263" s="36"/>
      <c r="AJ263" s="38"/>
      <c r="AK263" s="38"/>
      <c r="AL263" s="39"/>
      <c r="AM263" s="34" t="str">
        <f>VLOOKUP(A263, 'Session Data'!A:AA,10,false)</f>
        <v>acherry0531@sdsu.edu</v>
      </c>
      <c r="AN263" s="40"/>
      <c r="AO263" s="38"/>
      <c r="AP263" s="38"/>
      <c r="AQ263" s="38"/>
      <c r="AR263" s="38"/>
      <c r="AS263" s="38"/>
      <c r="AT263" s="38"/>
      <c r="AU263" s="38"/>
      <c r="AV263" s="38"/>
      <c r="AW263" s="38"/>
      <c r="AX263" s="38"/>
      <c r="AY263" s="43"/>
      <c r="AZ263" s="43"/>
      <c r="BA263" s="43"/>
      <c r="BB263" s="43"/>
      <c r="BC263" s="43"/>
      <c r="BD263" s="43"/>
      <c r="BE263" s="44"/>
      <c r="BF263" s="45"/>
      <c r="BG263" s="46"/>
    </row>
    <row r="264">
      <c r="A264" s="19" t="s">
        <v>331</v>
      </c>
      <c r="B264" s="20">
        <f>VLOOKUP(F264,'Session Count DO NOT EDIT'!$A:$C,3,FALSE)</f>
        <v>4</v>
      </c>
      <c r="C264" s="20">
        <f>COUNTIFS('Scores Import DO NOT EDIT'!D:D,A264)</f>
        <v>4</v>
      </c>
      <c r="D264" s="21">
        <f t="shared" si="1"/>
        <v>1</v>
      </c>
      <c r="E264" s="22">
        <f>AVERAGEIFS('Scores Import DO NOT EDIT'!L:L,'Scores Import DO NOT EDIT'!D:D,A264)</f>
        <v>24.25</v>
      </c>
      <c r="F264" s="23" t="str">
        <f>VLOOKUP(A264, 'Session Data'!A:M,3,false)</f>
        <v>F-5</v>
      </c>
      <c r="G264" s="24" t="str">
        <f>VLOOKUP(A264, 'Session Data'!A:I,2,false)</f>
        <v>9:00 AM</v>
      </c>
      <c r="H264" s="23" t="str">
        <f>VLOOKUP(A264, 'Session Data'!A:J,5,false)</f>
        <v>Engineering and Computer Science 2</v>
      </c>
      <c r="I264" s="25" t="str">
        <f>VLOOKUP(A264, 'Session Data'!A:H,4,false)</f>
        <v>Poster</v>
      </c>
      <c r="J264" s="26" t="str">
        <f>VLOOKUP(A264, 'Session Data'!A:AA,14,false)</f>
        <v>Undergraduate</v>
      </c>
      <c r="K264" s="27" t="str">
        <f>VLOOKUP(A264, 'Session Data'!A:AA,15,false)</f>
        <v>Sciences</v>
      </c>
      <c r="L264" s="47"/>
      <c r="M264" s="29" t="str">
        <f>VLOOKUP(A264, 'Session Data'!A:K,11,false)</f>
        <v>Bachelor of Science in Computer Science</v>
      </c>
      <c r="N264" s="26" t="str">
        <f>IF(ISNA(VLOOKUP(A264, 'Award Abstract#'!C:C, 1, FALSE)), "No", "Yes")
</f>
        <v>No</v>
      </c>
      <c r="O264" s="29" t="str">
        <f>IF(ISNA(VLOOKUP(A264,'Award Abstract#'!B:B,1,FALSE)), "No", "Yes")</f>
        <v>No</v>
      </c>
      <c r="P264" s="29" t="str">
        <f>IF(ISNA(VLOOKUP(A264,'Award Abstract#'!E:E,1,FALSE)), "No", "Yes")</f>
        <v>No</v>
      </c>
      <c r="Q264" s="29" t="str">
        <f>IF(ISNA(VLOOKUP(A264,'Award Abstract#'!A:A,1,FALSE)), "No", "Yes")</f>
        <v>No</v>
      </c>
      <c r="R264" s="29" t="str">
        <f>IF(ISNA(VLOOKUP(A264,'Award Abstract#'!D:D,1,FALSE)), "No", "Yes")</f>
        <v>Yes</v>
      </c>
      <c r="S264" s="30" t="str">
        <f>VLOOKUP(A264, 'Session Data'!A:AA,27,false)</f>
        <v>Man</v>
      </c>
      <c r="T264" s="30"/>
      <c r="U264" s="30"/>
      <c r="V264" s="31" t="str">
        <f>VLOOKUP(A264, 'Session Data'!A:AA,8,false)</f>
        <v>Hector</v>
      </c>
      <c r="W264" s="32" t="str">
        <f>VLOOKUP(A264, 'Session Data'!A:AA,9,false)</f>
        <v>Anaya</v>
      </c>
      <c r="X264" s="33" t="str">
        <f>VLOOKUP(A264, 'Session Data'!A:AA,12,false)</f>
        <v>Creating an App for Medical Data Collection</v>
      </c>
      <c r="Y264" s="34" t="str">
        <f>VLOOKUP(A264, 'Session Data'!A:AA,22,false)</f>
        <v>Shangping</v>
      </c>
      <c r="Z264" s="34" t="str">
        <f>VLOOKUP(A264, 'Session Data'!A:AA,23,false)</f>
        <v>Ren</v>
      </c>
      <c r="AA264" s="34" t="str">
        <f>VLOOKUP(A264, 'Session Data'!A:AA,25,false)</f>
        <v>Sciences</v>
      </c>
      <c r="AB264" s="34"/>
      <c r="AC264" s="34" t="str">
        <f>VLOOKUP(A264, 'Session Data'!A:AA,16,false)</f>
        <v/>
      </c>
      <c r="AD264" s="35" t="str">
        <f>VLOOKUP(A264, 'Session Data'!A:U,17,false)</f>
        <v/>
      </c>
      <c r="AE264" s="35" t="str">
        <f>VLOOKUP(A264, 'Session Data'!A:U,18,false)</f>
        <v/>
      </c>
      <c r="AF264" s="35" t="str">
        <f>VLOOKUP(A264, 'Session Data'!A:U,19,false)</f>
        <v/>
      </c>
      <c r="AG264" s="35" t="str">
        <f>VLOOKUP(A264, 'Session Data'!A:U,20,false)</f>
        <v/>
      </c>
      <c r="AH264" s="35" t="str">
        <f>VLOOKUP(A264, 'Session Data'!A:U,21,false)</f>
        <v/>
      </c>
      <c r="AI264" s="37"/>
      <c r="AJ264" s="37"/>
      <c r="AK264" s="37"/>
      <c r="AL264" s="50"/>
      <c r="AM264" s="34" t="str">
        <f>VLOOKUP(A264, 'Session Data'!A:AA,10,false)</f>
        <v>hanaya7270@sdsu.edu</v>
      </c>
      <c r="AN264" s="40"/>
      <c r="AO264" s="38"/>
      <c r="AP264" s="38"/>
      <c r="AQ264" s="38"/>
      <c r="AR264" s="38"/>
      <c r="AS264" s="38"/>
      <c r="AT264" s="38"/>
      <c r="AU264" s="38"/>
      <c r="AV264" s="38"/>
      <c r="AW264" s="38"/>
      <c r="AX264" s="38"/>
      <c r="AY264" s="43"/>
      <c r="AZ264" s="43"/>
      <c r="BA264" s="48"/>
      <c r="BB264" s="48"/>
      <c r="BC264" s="43"/>
      <c r="BD264" s="43"/>
      <c r="BE264" s="44"/>
      <c r="BF264" s="45"/>
      <c r="BG264" s="43"/>
    </row>
    <row r="265">
      <c r="A265" s="78" t="s">
        <v>332</v>
      </c>
      <c r="B265" s="20">
        <f>VLOOKUP(F265,'Session Count DO NOT EDIT'!$A:$C,3,FALSE)</f>
        <v>5</v>
      </c>
      <c r="C265" s="20">
        <f>COUNTIFS('Scores Import DO NOT EDIT'!D:D,A265)</f>
        <v>0</v>
      </c>
      <c r="D265" s="21">
        <f t="shared" si="1"/>
        <v>0</v>
      </c>
      <c r="E265" s="22" t="str">
        <f>AVERAGEIFS('Scores Import DO NOT EDIT'!L:L,'Scores Import DO NOT EDIT'!D:D,A265)</f>
        <v>#DIV/0!</v>
      </c>
      <c r="F265" s="23" t="str">
        <f>VLOOKUP(A265, 'Session Data'!A:M,3,false)</f>
        <v>F-6</v>
      </c>
      <c r="G265" s="24" t="str">
        <f>VLOOKUP(A265, 'Session Data'!A:I,2,false)</f>
        <v>9:00 AM</v>
      </c>
      <c r="H265" s="23" t="str">
        <f>VLOOKUP(A265, 'Session Data'!A:J,5,false)</f>
        <v>Physical and Mathematical Sciences</v>
      </c>
      <c r="I265" s="25" t="str">
        <f>VLOOKUP(A265, 'Session Data'!A:H,4,false)</f>
        <v>Poster</v>
      </c>
      <c r="J265" s="26" t="str">
        <f>VLOOKUP(A265, 'Session Data'!A:AA,14,false)</f>
        <v>Undergraduate</v>
      </c>
      <c r="K265" s="27" t="str">
        <f>VLOOKUP(A265, 'Session Data'!A:AA,15,false)</f>
        <v>Sciences</v>
      </c>
      <c r="L265" s="47"/>
      <c r="M265" s="29" t="str">
        <f>VLOOKUP(A265, 'Session Data'!A:K,11,false)</f>
        <v>Bachelor of Science in Chemistry</v>
      </c>
      <c r="N265" s="26" t="str">
        <f>IF(ISNA(VLOOKUP(A265, 'Award Abstract#'!C:C, 1, FALSE)), "No", "Yes")
</f>
        <v>No</v>
      </c>
      <c r="O265" s="29" t="str">
        <f>IF(ISNA(VLOOKUP(A265,'Award Abstract#'!B:B,1,FALSE)), "No", "Yes")</f>
        <v>Yes</v>
      </c>
      <c r="P265" s="29" t="str">
        <f>IF(ISNA(VLOOKUP(A265,'Award Abstract#'!E:E,1,FALSE)), "No", "Yes")</f>
        <v>Yes</v>
      </c>
      <c r="Q265" s="29" t="str">
        <f>IF(ISNA(VLOOKUP(A265,'Award Abstract#'!A:A,1,FALSE)), "No", "Yes")</f>
        <v>No</v>
      </c>
      <c r="R265" s="29" t="str">
        <f>IF(ISNA(VLOOKUP(A265,'Award Abstract#'!D:D,1,FALSE)), "No", "Yes")</f>
        <v>No</v>
      </c>
      <c r="S265" s="30" t="str">
        <f>VLOOKUP(A265, 'Session Data'!A:AA,27,false)</f>
        <v>Woman</v>
      </c>
      <c r="T265" s="30"/>
      <c r="U265" s="30"/>
      <c r="V265" s="31" t="str">
        <f>VLOOKUP(A265, 'Session Data'!A:AA,8,false)</f>
        <v>Claire</v>
      </c>
      <c r="W265" s="32" t="str">
        <f>VLOOKUP(A265, 'Session Data'!A:AA,9,false)</f>
        <v>Baeriswyl</v>
      </c>
      <c r="X265" s="33" t="str">
        <f>VLOOKUP(A265, 'Session Data'!A:AA,12,false)</f>
        <v>Converting biomass-derived compounds to value-added products by electrochemical oxidation</v>
      </c>
      <c r="Y265" s="34" t="str">
        <f>VLOOKUP(A265, 'Session Data'!A:AA,22,false)</f>
        <v>Jing </v>
      </c>
      <c r="Z265" s="34" t="str">
        <f>VLOOKUP(A265, 'Session Data'!A:AA,23,false)</f>
        <v>Gu</v>
      </c>
      <c r="AA265" s="34" t="str">
        <f>VLOOKUP(A265, 'Session Data'!A:AA,25,false)</f>
        <v>Sciences</v>
      </c>
      <c r="AB265" s="34" t="str">
        <f>VLOOKUP(A265, 'Session Data'!A:AA,24,false)</f>
        <v>jgu@sdsu.edu</v>
      </c>
      <c r="AC265" s="34" t="str">
        <f>VLOOKUP(A265, 'Session Data'!A:AA,16,false)</f>
        <v/>
      </c>
      <c r="AD265" s="35" t="str">
        <f>VLOOKUP(A265, 'Session Data'!A:U,17,false)</f>
        <v/>
      </c>
      <c r="AE265" s="35" t="str">
        <f>VLOOKUP(A265, 'Session Data'!A:U,18,false)</f>
        <v/>
      </c>
      <c r="AF265" s="35" t="str">
        <f>VLOOKUP(A265, 'Session Data'!A:U,19,false)</f>
        <v/>
      </c>
      <c r="AG265" s="35" t="str">
        <f>VLOOKUP(A265, 'Session Data'!A:U,20,false)</f>
        <v/>
      </c>
      <c r="AH265" s="35" t="str">
        <f>VLOOKUP(A265, 'Session Data'!A:U,21,false)</f>
        <v/>
      </c>
      <c r="AI265" s="37"/>
      <c r="AJ265" s="37"/>
      <c r="AK265" s="37"/>
      <c r="AL265" s="50"/>
      <c r="AM265" s="34" t="str">
        <f>VLOOKUP(A265, 'Session Data'!A:AA,10,false)</f>
        <v>cbaeriswyl4237@sdsu.edu</v>
      </c>
      <c r="AN265" s="40"/>
      <c r="AO265" s="38"/>
      <c r="AP265" s="38"/>
      <c r="AQ265" s="38"/>
      <c r="AR265" s="38"/>
      <c r="AS265" s="38"/>
      <c r="AT265" s="38"/>
      <c r="AU265" s="38"/>
      <c r="AV265" s="38"/>
      <c r="AW265" s="38"/>
      <c r="AX265" s="38"/>
      <c r="AY265" s="43"/>
      <c r="AZ265" s="43"/>
      <c r="BA265" s="43"/>
      <c r="BB265" s="43"/>
      <c r="BC265" s="43"/>
      <c r="BD265" s="43"/>
      <c r="BE265" s="44"/>
      <c r="BF265" s="45"/>
      <c r="BG265" s="43"/>
    </row>
    <row r="266">
      <c r="A266" s="19" t="s">
        <v>333</v>
      </c>
      <c r="B266" s="20">
        <f>VLOOKUP(F266,'Session Count DO NOT EDIT'!$A:$C,3,FALSE)</f>
        <v>5</v>
      </c>
      <c r="C266" s="20">
        <f>COUNTIFS('Scores Import DO NOT EDIT'!D:D,A266)</f>
        <v>5</v>
      </c>
      <c r="D266" s="21">
        <f t="shared" si="1"/>
        <v>1</v>
      </c>
      <c r="E266" s="22">
        <f>AVERAGEIFS('Scores Import DO NOT EDIT'!L:L,'Scores Import DO NOT EDIT'!D:D,A266)</f>
        <v>29.2</v>
      </c>
      <c r="F266" s="23" t="str">
        <f>VLOOKUP(A266, 'Session Data'!A:M,3,false)</f>
        <v>F-6</v>
      </c>
      <c r="G266" s="24" t="str">
        <f>VLOOKUP(A266, 'Session Data'!A:I,2,false)</f>
        <v>9:00 AM</v>
      </c>
      <c r="H266" s="23" t="str">
        <f>VLOOKUP(A266, 'Session Data'!A:J,5,false)</f>
        <v>Physical and Mathematical Sciences</v>
      </c>
      <c r="I266" s="25" t="str">
        <f>VLOOKUP(A266, 'Session Data'!A:H,4,false)</f>
        <v>Poster</v>
      </c>
      <c r="J266" s="26" t="str">
        <f>VLOOKUP(A266, 'Session Data'!A:AA,14,false)</f>
        <v>Undergraduate</v>
      </c>
      <c r="K266" s="27" t="str">
        <f>VLOOKUP(A266, 'Session Data'!A:AA,15,false)</f>
        <v>Engineering</v>
      </c>
      <c r="L266" s="28" t="s">
        <v>334</v>
      </c>
      <c r="M266" s="29" t="str">
        <f>VLOOKUP(A266, 'Session Data'!A:K,11,false)</f>
        <v>Aerospace Engineering</v>
      </c>
      <c r="N266" s="26" t="str">
        <f>IF(ISNA(VLOOKUP(A266, 'Award Abstract#'!C:C, 1, FALSE)), "No", "Yes")
</f>
        <v>No</v>
      </c>
      <c r="O266" s="29" t="str">
        <f>IF(ISNA(VLOOKUP(A266,'Award Abstract#'!B:B,1,FALSE)), "No", "Yes")</f>
        <v>No</v>
      </c>
      <c r="P266" s="29" t="str">
        <f>IF(ISNA(VLOOKUP(A266,'Award Abstract#'!E:E,1,FALSE)), "No", "Yes")</f>
        <v>No</v>
      </c>
      <c r="Q266" s="29" t="str">
        <f>IF(ISNA(VLOOKUP(A266,'Award Abstract#'!A:A,1,FALSE)), "No", "Yes")</f>
        <v>No</v>
      </c>
      <c r="R266" s="29" t="str">
        <f>IF(ISNA(VLOOKUP(A266,'Award Abstract#'!D:D,1,FALSE)), "No", "Yes")</f>
        <v>No</v>
      </c>
      <c r="S266" s="30" t="str">
        <f>VLOOKUP(A266, 'Session Data'!A:AA,27,false)</f>
        <v>Man</v>
      </c>
      <c r="T266" s="30"/>
      <c r="U266" s="30"/>
      <c r="V266" s="31" t="str">
        <f>VLOOKUP(A266, 'Session Data'!A:AA,8,false)</f>
        <v>Ansel</v>
      </c>
      <c r="W266" s="32" t="str">
        <f>VLOOKUP(A266, 'Session Data'!A:AA,9,false)</f>
        <v>Flanagan</v>
      </c>
      <c r="X266" s="33" t="str">
        <f>VLOOKUP(A266, 'Session Data'!A:AA,12,false)</f>
        <v>Characterization of 3D Printed Fiber-Reinforced Composites</v>
      </c>
      <c r="Y266" s="34" t="str">
        <f>VLOOKUP(A266, 'Session Data'!A:AA,22,false)</f>
        <v>George</v>
      </c>
      <c r="Z266" s="34" t="str">
        <f>VLOOKUP(A266, 'Session Data'!A:AA,23,false)</f>
        <v>Youssef</v>
      </c>
      <c r="AA266" s="34" t="str">
        <f>VLOOKUP(A266, 'Session Data'!A:AA,25,false)</f>
        <v>Engineering</v>
      </c>
      <c r="AB266" s="34" t="str">
        <f>VLOOKUP(A266, 'Session Data'!A:AA,24,false)</f>
        <v>gyoussef@sdsu.edu</v>
      </c>
      <c r="AC266" s="34" t="str">
        <f>VLOOKUP(A266, 'Session Data'!A:AA,16,false)</f>
        <v/>
      </c>
      <c r="AD266" s="35" t="str">
        <f>VLOOKUP(A266, 'Session Data'!A:U,17,false)</f>
        <v/>
      </c>
      <c r="AE266" s="35" t="str">
        <f>VLOOKUP(A266, 'Session Data'!A:U,18,false)</f>
        <v/>
      </c>
      <c r="AF266" s="35" t="str">
        <f>VLOOKUP(A266, 'Session Data'!A:U,19,false)</f>
        <v/>
      </c>
      <c r="AG266" s="35" t="str">
        <f>VLOOKUP(A266, 'Session Data'!A:U,20,false)</f>
        <v/>
      </c>
      <c r="AH266" s="35" t="str">
        <f>VLOOKUP(A266, 'Session Data'!A:U,21,false)</f>
        <v/>
      </c>
      <c r="AI266" s="36"/>
      <c r="AJ266" s="38"/>
      <c r="AK266" s="38"/>
      <c r="AL266" s="39"/>
      <c r="AM266" s="34" t="str">
        <f>VLOOKUP(A266, 'Session Data'!A:AA,10,false)</f>
        <v>aflanagan8081@sdsu.edu</v>
      </c>
      <c r="AN266" s="40"/>
      <c r="AO266" s="38"/>
      <c r="AP266" s="38"/>
      <c r="AQ266" s="38"/>
      <c r="AR266" s="38"/>
      <c r="AS266" s="38"/>
      <c r="AT266" s="38"/>
      <c r="AU266" s="38"/>
      <c r="AV266" s="38"/>
      <c r="AW266" s="38"/>
      <c r="AX266" s="38"/>
      <c r="AY266" s="43"/>
      <c r="AZ266" s="43"/>
      <c r="BA266" s="48"/>
      <c r="BB266" s="48"/>
      <c r="BC266" s="43"/>
      <c r="BD266" s="43"/>
      <c r="BE266" s="44"/>
      <c r="BF266" s="45"/>
      <c r="BG266" s="43"/>
    </row>
    <row r="267">
      <c r="A267" s="19" t="s">
        <v>335</v>
      </c>
      <c r="B267" s="20">
        <f>VLOOKUP(F267,'Session Count DO NOT EDIT'!$A:$C,3,FALSE)</f>
        <v>5</v>
      </c>
      <c r="C267" s="20">
        <f>COUNTIFS('Scores Import DO NOT EDIT'!D:D,A267)</f>
        <v>5</v>
      </c>
      <c r="D267" s="21">
        <f t="shared" si="1"/>
        <v>1</v>
      </c>
      <c r="E267" s="22">
        <f>AVERAGEIFS('Scores Import DO NOT EDIT'!L:L,'Scores Import DO NOT EDIT'!D:D,A267)</f>
        <v>24.8</v>
      </c>
      <c r="F267" s="23" t="str">
        <f>VLOOKUP(A267, 'Session Data'!A:M,3,false)</f>
        <v>F-6</v>
      </c>
      <c r="G267" s="24" t="str">
        <f>VLOOKUP(A267, 'Session Data'!A:I,2,false)</f>
        <v>9:00 AM</v>
      </c>
      <c r="H267" s="23" t="str">
        <f>VLOOKUP(A267, 'Session Data'!A:J,5,false)</f>
        <v>Physical and Mathematical Sciences</v>
      </c>
      <c r="I267" s="25" t="str">
        <f>VLOOKUP(A267, 'Session Data'!A:H,4,false)</f>
        <v>Poster</v>
      </c>
      <c r="J267" s="26" t="str">
        <f>VLOOKUP(A267, 'Session Data'!A:AA,14,false)</f>
        <v>Undergraduate</v>
      </c>
      <c r="K267" s="27" t="str">
        <f>VLOOKUP(A267, 'Session Data'!A:AA,15,false)</f>
        <v>Sciences</v>
      </c>
      <c r="L267" s="47"/>
      <c r="M267" s="29" t="str">
        <f>VLOOKUP(A267, 'Session Data'!A:K,11,false)</f>
        <v>Bachelor of Sciences in Astronomy</v>
      </c>
      <c r="N267" s="26" t="str">
        <f>IF(ISNA(VLOOKUP(A267, 'Award Abstract#'!C:C, 1, FALSE)), "No", "Yes")
</f>
        <v>No</v>
      </c>
      <c r="O267" s="29" t="str">
        <f>IF(ISNA(VLOOKUP(A267,'Award Abstract#'!B:B,1,FALSE)), "No", "Yes")</f>
        <v>No</v>
      </c>
      <c r="P267" s="29" t="str">
        <f>IF(ISNA(VLOOKUP(A267,'Award Abstract#'!E:E,1,FALSE)), "No", "Yes")</f>
        <v>No</v>
      </c>
      <c r="Q267" s="29" t="str">
        <f>IF(ISNA(VLOOKUP(A267,'Award Abstract#'!A:A,1,FALSE)), "No", "Yes")</f>
        <v>No</v>
      </c>
      <c r="R267" s="29" t="str">
        <f>IF(ISNA(VLOOKUP(A267,'Award Abstract#'!D:D,1,FALSE)), "No", "Yes")</f>
        <v>No</v>
      </c>
      <c r="S267" s="30" t="str">
        <f>VLOOKUP(A267, 'Session Data'!A:AA,27,false)</f>
        <v>Woman</v>
      </c>
      <c r="T267" s="30"/>
      <c r="U267" s="30"/>
      <c r="V267" s="31" t="str">
        <f>VLOOKUP(A267, 'Session Data'!A:AA,8,false)</f>
        <v>Beatriz</v>
      </c>
      <c r="W267" s="32" t="str">
        <f>VLOOKUP(A267, 'Session Data'!A:AA,9,false)</f>
        <v>Miranda Abreu</v>
      </c>
      <c r="X267" s="33" t="str">
        <f>VLOOKUP(A267, 'Session Data'!A:AA,12,false)</f>
        <v>Investigating the effective temperature of red supergiants</v>
      </c>
      <c r="Y267" s="34" t="str">
        <f>VLOOKUP(A267, 'Session Data'!A:AA,22,false)</f>
        <v>Douglas</v>
      </c>
      <c r="Z267" s="34" t="str">
        <f>VLOOKUP(A267, 'Session Data'!A:AA,23,false)</f>
        <v>Leonard</v>
      </c>
      <c r="AA267" s="34" t="str">
        <f>VLOOKUP(A267, 'Session Data'!A:AA,25,false)</f>
        <v>Sciences</v>
      </c>
      <c r="AB267" s="34"/>
      <c r="AC267" s="34" t="str">
        <f>VLOOKUP(A267, 'Session Data'!A:AA,16,false)</f>
        <v/>
      </c>
      <c r="AD267" s="35" t="str">
        <f>VLOOKUP(A267, 'Session Data'!A:U,17,false)</f>
        <v/>
      </c>
      <c r="AE267" s="35" t="str">
        <f>VLOOKUP(A267, 'Session Data'!A:U,18,false)</f>
        <v/>
      </c>
      <c r="AF267" s="35" t="str">
        <f>VLOOKUP(A267, 'Session Data'!A:U,19,false)</f>
        <v/>
      </c>
      <c r="AG267" s="35" t="str">
        <f>VLOOKUP(A267, 'Session Data'!A:U,20,false)</f>
        <v/>
      </c>
      <c r="AH267" s="35" t="str">
        <f>VLOOKUP(A267, 'Session Data'!A:U,21,false)</f>
        <v/>
      </c>
      <c r="AI267" s="36"/>
      <c r="AJ267" s="38"/>
      <c r="AK267" s="38"/>
      <c r="AL267" s="39"/>
      <c r="AM267" s="34" t="str">
        <f>VLOOKUP(A267, 'Session Data'!A:AA,10,false)</f>
        <v>babreu4165@sdsu.edu</v>
      </c>
      <c r="AN267" s="40"/>
      <c r="AO267" s="38"/>
      <c r="AP267" s="38"/>
      <c r="AQ267" s="38"/>
      <c r="AR267" s="38"/>
      <c r="AS267" s="38"/>
      <c r="AT267" s="38"/>
      <c r="AU267" s="38"/>
      <c r="AV267" s="38"/>
      <c r="AW267" s="38"/>
      <c r="AX267" s="38"/>
      <c r="AY267" s="43"/>
      <c r="AZ267" s="43"/>
      <c r="BA267" s="48"/>
      <c r="BB267" s="48"/>
      <c r="BC267" s="43"/>
      <c r="BD267" s="43"/>
      <c r="BE267" s="44"/>
      <c r="BF267" s="45"/>
      <c r="BG267" s="46"/>
    </row>
    <row r="268">
      <c r="A268" s="19" t="s">
        <v>336</v>
      </c>
      <c r="B268" s="20">
        <f>VLOOKUP(F268,'Session Count DO NOT EDIT'!$A:$C,3,FALSE)</f>
        <v>5</v>
      </c>
      <c r="C268" s="20">
        <f>COUNTIFS('Scores Import DO NOT EDIT'!D:D,A268)</f>
        <v>5</v>
      </c>
      <c r="D268" s="21">
        <f t="shared" si="1"/>
        <v>1</v>
      </c>
      <c r="E268" s="22">
        <f>AVERAGEIFS('Scores Import DO NOT EDIT'!L:L,'Scores Import DO NOT EDIT'!D:D,A268)</f>
        <v>22.8</v>
      </c>
      <c r="F268" s="23" t="str">
        <f>VLOOKUP(A268, 'Session Data'!A:M,3,false)</f>
        <v>F-6</v>
      </c>
      <c r="G268" s="24" t="str">
        <f>VLOOKUP(A268, 'Session Data'!A:I,2,false)</f>
        <v>9:00 AM</v>
      </c>
      <c r="H268" s="23" t="str">
        <f>VLOOKUP(A268, 'Session Data'!A:J,5,false)</f>
        <v>Physical and Mathematical Sciences</v>
      </c>
      <c r="I268" s="25" t="str">
        <f>VLOOKUP(A268, 'Session Data'!A:H,4,false)</f>
        <v>Poster</v>
      </c>
      <c r="J268" s="26" t="str">
        <f>VLOOKUP(A268, 'Session Data'!A:AA,14,false)</f>
        <v>Undergraduate</v>
      </c>
      <c r="K268" s="27" t="str">
        <f>VLOOKUP(A268, 'Session Data'!A:AA,15,false)</f>
        <v>Sciences</v>
      </c>
      <c r="L268" s="47"/>
      <c r="M268" s="29" t="str">
        <f>VLOOKUP(A268, 'Session Data'!A:K,11,false)</f>
        <v>Environmental sciences</v>
      </c>
      <c r="N268" s="26" t="str">
        <f>IF(ISNA(VLOOKUP(A268, 'Award Abstract#'!C:C, 1, FALSE)), "No", "Yes")
</f>
        <v>No</v>
      </c>
      <c r="O268" s="29" t="str">
        <f>IF(ISNA(VLOOKUP(A268,'Award Abstract#'!B:B,1,FALSE)), "No", "Yes")</f>
        <v>No</v>
      </c>
      <c r="P268" s="29" t="str">
        <f>IF(ISNA(VLOOKUP(A268,'Award Abstract#'!E:E,1,FALSE)), "No", "Yes")</f>
        <v>Yes</v>
      </c>
      <c r="Q268" s="29" t="str">
        <f>IF(ISNA(VLOOKUP(A268,'Award Abstract#'!A:A,1,FALSE)), "No", "Yes")</f>
        <v>No</v>
      </c>
      <c r="R268" s="29" t="str">
        <f>IF(ISNA(VLOOKUP(A268,'Award Abstract#'!D:D,1,FALSE)), "No", "Yes")</f>
        <v>No</v>
      </c>
      <c r="S268" s="30" t="str">
        <f>VLOOKUP(A268, 'Session Data'!A:AA,27,false)</f>
        <v>Woman</v>
      </c>
      <c r="T268" s="30"/>
      <c r="U268" s="30"/>
      <c r="V268" s="31" t="str">
        <f>VLOOKUP(A268, 'Session Data'!A:AA,8,false)</f>
        <v>Callie</v>
      </c>
      <c r="W268" s="32" t="str">
        <f>VLOOKUP(A268, 'Session Data'!A:AA,9,false)</f>
        <v>Summerlin</v>
      </c>
      <c r="X268" s="33" t="str">
        <f>VLOOKUP(A268, 'Session Data'!A:AA,12,false)</f>
        <v>Analysis of Grain Size and Organic Matter Content in the Benthic Zone of Tijuana River Estuary</v>
      </c>
      <c r="Y268" s="34" t="str">
        <f>VLOOKUP(A268, 'Session Data'!A:AA,22,false)</f>
        <v>Trent</v>
      </c>
      <c r="Z268" s="34" t="str">
        <f>VLOOKUP(A268, 'Session Data'!A:AA,23,false)</f>
        <v>Biggs</v>
      </c>
      <c r="AA268" s="34" t="str">
        <f>VLOOKUP(A268, 'Session Data'!A:AA,25,false)</f>
        <v>Arts and Letters</v>
      </c>
      <c r="AB268" s="34"/>
      <c r="AC268" s="34" t="str">
        <f>VLOOKUP(A268, 'Session Data'!A:AA,16,false)</f>
        <v/>
      </c>
      <c r="AD268" s="35" t="str">
        <f>VLOOKUP(A268, 'Session Data'!A:U,17,false)</f>
        <v/>
      </c>
      <c r="AE268" s="35" t="str">
        <f>VLOOKUP(A268, 'Session Data'!A:U,18,false)</f>
        <v/>
      </c>
      <c r="AF268" s="35" t="str">
        <f>VLOOKUP(A268, 'Session Data'!A:U,19,false)</f>
        <v/>
      </c>
      <c r="AG268" s="35" t="str">
        <f>VLOOKUP(A268, 'Session Data'!A:U,20,false)</f>
        <v/>
      </c>
      <c r="AH268" s="35" t="str">
        <f>VLOOKUP(A268, 'Session Data'!A:U,21,false)</f>
        <v/>
      </c>
      <c r="AI268" s="37"/>
      <c r="AJ268" s="37"/>
      <c r="AK268" s="37"/>
      <c r="AL268" s="50"/>
      <c r="AM268" s="34" t="str">
        <f>VLOOKUP(A268, 'Session Data'!A:AA,10,false)</f>
        <v>csummerlin7662@sdsu.edu</v>
      </c>
      <c r="AN268" s="40"/>
      <c r="AO268" s="38"/>
      <c r="AP268" s="38"/>
      <c r="AQ268" s="38"/>
      <c r="AR268" s="38"/>
      <c r="AS268" s="38"/>
      <c r="AT268" s="38"/>
      <c r="AU268" s="38"/>
      <c r="AV268" s="38"/>
      <c r="AW268" s="38"/>
      <c r="AX268" s="38"/>
      <c r="AY268" s="43"/>
      <c r="AZ268" s="43"/>
      <c r="BA268" s="48"/>
      <c r="BB268" s="48"/>
      <c r="BC268" s="43"/>
      <c r="BD268" s="43"/>
      <c r="BE268" s="44"/>
      <c r="BF268" s="45"/>
      <c r="BG268" s="43"/>
    </row>
    <row r="269">
      <c r="A269" s="19" t="s">
        <v>337</v>
      </c>
      <c r="B269" s="20">
        <f>VLOOKUP(F269,'Session Count DO NOT EDIT'!$A:$C,3,FALSE)</f>
        <v>5</v>
      </c>
      <c r="C269" s="20">
        <f>COUNTIFS('Scores Import DO NOT EDIT'!D:D,A269)</f>
        <v>1</v>
      </c>
      <c r="D269" s="21">
        <f t="shared" si="1"/>
        <v>0.2</v>
      </c>
      <c r="E269" s="22">
        <f>AVERAGEIFS('Scores Import DO NOT EDIT'!L:L,'Scores Import DO NOT EDIT'!D:D,A269)</f>
        <v>7</v>
      </c>
      <c r="F269" s="23" t="str">
        <f>VLOOKUP(A269, 'Session Data'!A:M,3,false)</f>
        <v>F-6</v>
      </c>
      <c r="G269" s="24" t="str">
        <f>VLOOKUP(A269, 'Session Data'!A:I,2,false)</f>
        <v>9:00 AM</v>
      </c>
      <c r="H269" s="23" t="str">
        <f>VLOOKUP(A269, 'Session Data'!A:J,5,false)</f>
        <v>Physical and Mathematical Sciences</v>
      </c>
      <c r="I269" s="25" t="str">
        <f>VLOOKUP(A269, 'Session Data'!A:H,4,false)</f>
        <v>Poster</v>
      </c>
      <c r="J269" s="26" t="str">
        <f>VLOOKUP(A269, 'Session Data'!A:AA,14,false)</f>
        <v>Undergraduate</v>
      </c>
      <c r="K269" s="27" t="str">
        <f>VLOOKUP(A269, 'Session Data'!A:AA,15,false)</f>
        <v>Sciences</v>
      </c>
      <c r="L269" s="28"/>
      <c r="M269" s="29" t="str">
        <f>VLOOKUP(A269, 'Session Data'!A:K,11,false)</f>
        <v>Bachelor of science in Chemistry emphasis in Biochemistry</v>
      </c>
      <c r="N269" s="26" t="str">
        <f>IF(ISNA(VLOOKUP(A269, 'Award Abstract#'!C:C, 1, FALSE)), "No", "Yes")
</f>
        <v>No</v>
      </c>
      <c r="O269" s="29" t="str">
        <f>IF(ISNA(VLOOKUP(A269,'Award Abstract#'!B:B,1,FALSE)), "No", "Yes")</f>
        <v>No</v>
      </c>
      <c r="P269" s="29" t="str">
        <f>IF(ISNA(VLOOKUP(A269,'Award Abstract#'!E:E,1,FALSE)), "No", "Yes")</f>
        <v>No</v>
      </c>
      <c r="Q269" s="29" t="str">
        <f>IF(ISNA(VLOOKUP(A269,'Award Abstract#'!A:A,1,FALSE)), "No", "Yes")</f>
        <v>No</v>
      </c>
      <c r="R269" s="29" t="str">
        <f>IF(ISNA(VLOOKUP(A269,'Award Abstract#'!D:D,1,FALSE)), "No", "Yes")</f>
        <v>No</v>
      </c>
      <c r="S269" s="30" t="str">
        <f>VLOOKUP(A269, 'Session Data'!A:AA,27,false)</f>
        <v>Man, Cisgender</v>
      </c>
      <c r="T269" s="30"/>
      <c r="U269" s="30"/>
      <c r="V269" s="31" t="str">
        <f>VLOOKUP(A269, 'Session Data'!A:AA,8,false)</f>
        <v>Brandon Ismael</v>
      </c>
      <c r="W269" s="32" t="str">
        <f>VLOOKUP(A269, 'Session Data'!A:AA,9,false)</f>
        <v>Gonzalez</v>
      </c>
      <c r="X269" s="33" t="str">
        <f>VLOOKUP(A269, 'Session Data'!A:AA,12,false)</f>
        <v>Biological Evaluation and Chemical Synthesis of Carmaphycin “War-heads” as Potential Treatments Against Trichomonas Vaginalis and Various Cancers</v>
      </c>
      <c r="Y269" s="34" t="str">
        <f>VLOOKUP(A269, 'Session Data'!A:AA,22,false)</f>
        <v>Bernt Mikael</v>
      </c>
      <c r="Z269" s="34" t="str">
        <f>VLOOKUP(A269, 'Session Data'!A:AA,23,false)</f>
        <v>Bergdahl</v>
      </c>
      <c r="AA269" s="34" t="str">
        <f>VLOOKUP(A269, 'Session Data'!A:AA,25,false)</f>
        <v>Sciences</v>
      </c>
      <c r="AB269" s="34"/>
      <c r="AC269" s="34" t="str">
        <f>VLOOKUP(A269, 'Session Data'!A:AA,16,false)</f>
        <v/>
      </c>
      <c r="AD269" s="35" t="str">
        <f>VLOOKUP(A269, 'Session Data'!A:U,17,false)</f>
        <v/>
      </c>
      <c r="AE269" s="35" t="str">
        <f>VLOOKUP(A269, 'Session Data'!A:U,18,false)</f>
        <v/>
      </c>
      <c r="AF269" s="35" t="str">
        <f>VLOOKUP(A269, 'Session Data'!A:U,19,false)</f>
        <v/>
      </c>
      <c r="AG269" s="35" t="str">
        <f>VLOOKUP(A269, 'Session Data'!A:U,20,false)</f>
        <v/>
      </c>
      <c r="AH269" s="35" t="str">
        <f>VLOOKUP(A269, 'Session Data'!A:U,21,false)</f>
        <v/>
      </c>
      <c r="AI269" s="37"/>
      <c r="AJ269" s="37"/>
      <c r="AK269" s="37"/>
      <c r="AL269" s="50"/>
      <c r="AM269" s="34" t="str">
        <f>VLOOKUP(A269, 'Session Data'!A:AA,10,false)</f>
        <v>bgonzalez6134@sdsu.edu</v>
      </c>
      <c r="AN269" s="40"/>
      <c r="AO269" s="38"/>
      <c r="AP269" s="38"/>
      <c r="AQ269" s="38"/>
      <c r="AR269" s="38"/>
      <c r="AS269" s="38"/>
      <c r="AT269" s="38"/>
      <c r="AU269" s="38"/>
      <c r="AV269" s="38"/>
      <c r="AW269" s="38"/>
      <c r="AX269" s="38"/>
      <c r="AY269" s="43"/>
      <c r="AZ269" s="43"/>
      <c r="BA269" s="48"/>
      <c r="BB269" s="48"/>
      <c r="BC269" s="43"/>
      <c r="BD269" s="43"/>
      <c r="BE269" s="44"/>
      <c r="BF269" s="45"/>
      <c r="BG269" s="43"/>
    </row>
    <row r="270">
      <c r="A270" s="19" t="s">
        <v>338</v>
      </c>
      <c r="B270" s="20">
        <f>VLOOKUP(F270,'Session Count DO NOT EDIT'!$A:$C,3,FALSE)</f>
        <v>5</v>
      </c>
      <c r="C270" s="20">
        <f>COUNTIFS('Scores Import DO NOT EDIT'!D:D,A270)</f>
        <v>4</v>
      </c>
      <c r="D270" s="21">
        <f t="shared" si="1"/>
        <v>0.8</v>
      </c>
      <c r="E270" s="22">
        <f>AVERAGEIFS('Scores Import DO NOT EDIT'!L:L,'Scores Import DO NOT EDIT'!D:D,A270)</f>
        <v>28.75</v>
      </c>
      <c r="F270" s="23" t="str">
        <f>VLOOKUP(A270, 'Session Data'!A:M,3,false)</f>
        <v>F-7</v>
      </c>
      <c r="G270" s="24" t="str">
        <f>VLOOKUP(A270, 'Session Data'!A:I,2,false)</f>
        <v>9:00 AM</v>
      </c>
      <c r="H270" s="23" t="str">
        <f>VLOOKUP(A270, 'Session Data'!A:J,5,false)</f>
        <v>Health Nutrition and Clinical Sciences</v>
      </c>
      <c r="I270" s="25" t="str">
        <f>VLOOKUP(A270, 'Session Data'!A:H,4,false)</f>
        <v>Poster</v>
      </c>
      <c r="J270" s="26" t="str">
        <f>VLOOKUP(A270, 'Session Data'!A:AA,14,false)</f>
        <v>Undergraduate</v>
      </c>
      <c r="K270" s="27" t="str">
        <f>VLOOKUP(A270, 'Session Data'!A:AA,15,false)</f>
        <v>Health and Human Services</v>
      </c>
      <c r="L270" s="47"/>
      <c r="M270" s="29" t="str">
        <f>VLOOKUP(A270, 'Session Data'!A:K,11,false)</f>
        <v>Bachelor of Science in Public Health</v>
      </c>
      <c r="N270" s="26" t="str">
        <f>IF(ISNA(VLOOKUP(A270, 'Award Abstract#'!C:C, 1, FALSE)), "No", "Yes")
</f>
        <v>No</v>
      </c>
      <c r="O270" s="29" t="str">
        <f>IF(ISNA(VLOOKUP(A270,'Award Abstract#'!B:B,1,FALSE)), "No", "Yes")</f>
        <v>Yes</v>
      </c>
      <c r="P270" s="29" t="str">
        <f>IF(ISNA(VLOOKUP(A270,'Award Abstract#'!E:E,1,FALSE)), "No", "Yes")</f>
        <v>Yes</v>
      </c>
      <c r="Q270" s="29" t="str">
        <f>IF(ISNA(VLOOKUP(A270,'Award Abstract#'!A:A,1,FALSE)), "No", "Yes")</f>
        <v>No</v>
      </c>
      <c r="R270" s="29" t="str">
        <f>IF(ISNA(VLOOKUP(A270,'Award Abstract#'!D:D,1,FALSE)), "No", "Yes")</f>
        <v>Yes</v>
      </c>
      <c r="S270" s="30" t="str">
        <f>VLOOKUP(A270, 'Session Data'!A:AA,27,false)</f>
        <v>Woman</v>
      </c>
      <c r="T270" s="30"/>
      <c r="U270" s="30"/>
      <c r="V270" s="31" t="str">
        <f>VLOOKUP(A270, 'Session Data'!A:AA,8,false)</f>
        <v>Andrea</v>
      </c>
      <c r="W270" s="32" t="str">
        <f>VLOOKUP(A270, 'Session Data'!A:AA,9,false)</f>
        <v>Meza</v>
      </c>
      <c r="X270" s="33" t="str">
        <f>VLOOKUP(A270, 'Session Data'!A:AA,12,false)</f>
        <v>People’s Produce Mobile Farmers’ Market: Addressing Food Apartheid in Southeastern San Diego</v>
      </c>
      <c r="Y270" s="34" t="str">
        <f>VLOOKUP(A270, 'Session Data'!A:AA,22,false)</f>
        <v>Amanda</v>
      </c>
      <c r="Z270" s="34" t="str">
        <f>VLOOKUP(A270, 'Session Data'!A:AA,23,false)</f>
        <v>McClain</v>
      </c>
      <c r="AA270" s="34" t="str">
        <f>VLOOKUP(A270, 'Session Data'!A:AA,25,false)</f>
        <v>Health and Human Services</v>
      </c>
      <c r="AB270" s="34" t="str">
        <f>VLOOKUP(A270, 'Session Data'!A:AA,24,false)</f>
        <v>amcclain@sdsu.edu</v>
      </c>
      <c r="AC270" s="34" t="str">
        <f>VLOOKUP(A270, 'Session Data'!A:AA,16,false)</f>
        <v/>
      </c>
      <c r="AD270" s="35" t="str">
        <f>VLOOKUP(A270, 'Session Data'!A:U,17,false)</f>
        <v/>
      </c>
      <c r="AE270" s="35" t="str">
        <f>VLOOKUP(A270, 'Session Data'!A:U,18,false)</f>
        <v/>
      </c>
      <c r="AF270" s="35" t="str">
        <f>VLOOKUP(A270, 'Session Data'!A:U,19,false)</f>
        <v/>
      </c>
      <c r="AG270" s="35" t="str">
        <f>VLOOKUP(A270, 'Session Data'!A:U,20,false)</f>
        <v/>
      </c>
      <c r="AH270" s="35" t="str">
        <f>VLOOKUP(A270, 'Session Data'!A:U,21,false)</f>
        <v/>
      </c>
      <c r="AI270" s="36"/>
      <c r="AJ270" s="38"/>
      <c r="AK270" s="38"/>
      <c r="AL270" s="39"/>
      <c r="AM270" s="34" t="str">
        <f>VLOOKUP(A270, 'Session Data'!A:AA,10,false)</f>
        <v>ameza8436@sdsu.edu</v>
      </c>
      <c r="AN270" s="40"/>
      <c r="AO270" s="38"/>
      <c r="AP270" s="38"/>
      <c r="AQ270" s="38"/>
      <c r="AR270" s="38"/>
      <c r="AS270" s="38"/>
      <c r="AT270" s="38"/>
      <c r="AU270" s="38"/>
      <c r="AV270" s="38"/>
      <c r="AW270" s="38"/>
      <c r="AX270" s="38"/>
      <c r="AY270" s="43"/>
      <c r="AZ270" s="43"/>
      <c r="BA270" s="43"/>
      <c r="BB270" s="43"/>
      <c r="BC270" s="43"/>
      <c r="BD270" s="43"/>
      <c r="BE270" s="44"/>
      <c r="BF270" s="45"/>
      <c r="BG270" s="43"/>
    </row>
    <row r="271">
      <c r="A271" s="19" t="s">
        <v>339</v>
      </c>
      <c r="B271" s="20">
        <f>VLOOKUP(F271,'Session Count DO NOT EDIT'!$A:$C,3,FALSE)</f>
        <v>5</v>
      </c>
      <c r="C271" s="20">
        <f>COUNTIFS('Scores Import DO NOT EDIT'!D:D,A271)</f>
        <v>0</v>
      </c>
      <c r="D271" s="21">
        <f t="shared" si="1"/>
        <v>0</v>
      </c>
      <c r="E271" s="22" t="str">
        <f>AVERAGEIFS('Scores Import DO NOT EDIT'!L:L,'Scores Import DO NOT EDIT'!D:D,A271)</f>
        <v>#DIV/0!</v>
      </c>
      <c r="F271" s="23" t="str">
        <f>VLOOKUP(A271, 'Session Data'!A:M,3,false)</f>
        <v>F-7</v>
      </c>
      <c r="G271" s="24" t="str">
        <f>VLOOKUP(A271, 'Session Data'!A:I,2,false)</f>
        <v>9:00 AM</v>
      </c>
      <c r="H271" s="23" t="str">
        <f>VLOOKUP(A271, 'Session Data'!A:J,5,false)</f>
        <v>Health Nutrition and Clinical Sciences</v>
      </c>
      <c r="I271" s="25" t="str">
        <f>VLOOKUP(A271, 'Session Data'!A:H,4,false)</f>
        <v>Poster</v>
      </c>
      <c r="J271" s="26" t="str">
        <f>VLOOKUP(A271, 'Session Data'!A:AA,14,false)</f>
        <v>Undergraduate</v>
      </c>
      <c r="K271" s="27" t="str">
        <f>VLOOKUP(A271, 'Session Data'!A:AA,15,false)</f>
        <v>Sciences</v>
      </c>
      <c r="L271" s="47"/>
      <c r="M271" s="29" t="str">
        <f>VLOOKUP(A271, 'Session Data'!A:K,11,false)</f>
        <v>Bachelor of Science in Microbiology</v>
      </c>
      <c r="N271" s="26" t="str">
        <f>IF(ISNA(VLOOKUP(A271, 'Award Abstract#'!C:C, 1, FALSE)), "No", "Yes")
</f>
        <v>No</v>
      </c>
      <c r="O271" s="29" t="str">
        <f>IF(ISNA(VLOOKUP(A271,'Award Abstract#'!B:B,1,FALSE)), "No", "Yes")</f>
        <v>No</v>
      </c>
      <c r="P271" s="29" t="str">
        <f>IF(ISNA(VLOOKUP(A271,'Award Abstract#'!E:E,1,FALSE)), "No", "Yes")</f>
        <v>No</v>
      </c>
      <c r="Q271" s="29" t="str">
        <f>IF(ISNA(VLOOKUP(A271,'Award Abstract#'!A:A,1,FALSE)), "No", "Yes")</f>
        <v>No</v>
      </c>
      <c r="R271" s="29" t="str">
        <f>IF(ISNA(VLOOKUP(A271,'Award Abstract#'!D:D,1,FALSE)), "No", "Yes")</f>
        <v>No</v>
      </c>
      <c r="S271" s="30" t="str">
        <f>VLOOKUP(A271, 'Session Data'!A:AA,27,false)</f>
        <v>Man</v>
      </c>
      <c r="T271" s="30"/>
      <c r="U271" s="30"/>
      <c r="V271" s="31" t="str">
        <f>VLOOKUP(A271, 'Session Data'!A:AA,8,false)</f>
        <v>Robert</v>
      </c>
      <c r="W271" s="32" t="str">
        <f>VLOOKUP(A271, 'Session Data'!A:AA,9,false)</f>
        <v>Squier</v>
      </c>
      <c r="X271" s="33" t="str">
        <f>VLOOKUP(A271, 'Session Data'!A:AA,12,false)</f>
        <v>The Impact of Diet on Traumatic Brain Injury Responses of Adult Fruit Flies </v>
      </c>
      <c r="Y271" s="34" t="str">
        <f>VLOOKUP(A271, 'Session Data'!A:AA,22,false)</f>
        <v>Kim</v>
      </c>
      <c r="Z271" s="34" t="str">
        <f>VLOOKUP(A271, 'Session Data'!A:AA,23,false)</f>
        <v>Finley</v>
      </c>
      <c r="AA271" s="34" t="str">
        <f>VLOOKUP(A271, 'Session Data'!A:AA,25,false)</f>
        <v>Sciences</v>
      </c>
      <c r="AB271" s="34" t="str">
        <f>VLOOKUP(A271, 'Session Data'!A:AA,24,false)</f>
        <v>kfinley@sdsu.edu</v>
      </c>
      <c r="AC271" s="34" t="str">
        <f>VLOOKUP(A271, 'Session Data'!A:AA,16,false)</f>
        <v>Elizabeth</v>
      </c>
      <c r="AD271" s="35" t="str">
        <f>VLOOKUP(A271, 'Session Data'!A:U,17,false)</f>
        <v>Chai</v>
      </c>
      <c r="AE271" s="35" t="str">
        <f>VLOOKUP(A271, 'Session Data'!A:U,18,false)</f>
        <v/>
      </c>
      <c r="AF271" s="35" t="str">
        <f>VLOOKUP(A271, 'Session Data'!A:U,19,false)</f>
        <v/>
      </c>
      <c r="AG271" s="35" t="str">
        <f>VLOOKUP(A271, 'Session Data'!A:U,20,false)</f>
        <v/>
      </c>
      <c r="AH271" s="35" t="str">
        <f>VLOOKUP(A271, 'Session Data'!A:U,21,false)</f>
        <v/>
      </c>
      <c r="AI271" s="37"/>
      <c r="AJ271" s="37"/>
      <c r="AK271" s="37"/>
      <c r="AL271" s="50"/>
      <c r="AM271" s="34" t="str">
        <f>VLOOKUP(A271, 'Session Data'!A:AA,10,false)</f>
        <v>rsquier0351@sdsu.edu</v>
      </c>
      <c r="AN271" s="40"/>
      <c r="AO271" s="38"/>
      <c r="AP271" s="38"/>
      <c r="AQ271" s="38"/>
      <c r="AR271" s="38"/>
      <c r="AS271" s="38"/>
      <c r="AT271" s="38"/>
      <c r="AU271" s="38"/>
      <c r="AV271" s="38"/>
      <c r="AW271" s="38"/>
      <c r="AX271" s="38"/>
      <c r="AY271" s="43"/>
      <c r="AZ271" s="43"/>
      <c r="BA271" s="48"/>
      <c r="BB271" s="48"/>
      <c r="BC271" s="43"/>
      <c r="BD271" s="43"/>
      <c r="BE271" s="44"/>
      <c r="BF271" s="45"/>
      <c r="BG271" s="43"/>
    </row>
    <row r="272">
      <c r="A272" s="19" t="s">
        <v>340</v>
      </c>
      <c r="B272" s="20">
        <f>VLOOKUP(F272,'Session Count DO NOT EDIT'!$A:$C,3,FALSE)</f>
        <v>5</v>
      </c>
      <c r="C272" s="20">
        <f>COUNTIFS('Scores Import DO NOT EDIT'!D:D,A272)</f>
        <v>5</v>
      </c>
      <c r="D272" s="21">
        <f t="shared" si="1"/>
        <v>1</v>
      </c>
      <c r="E272" s="22">
        <f>AVERAGEIFS('Scores Import DO NOT EDIT'!L:L,'Scores Import DO NOT EDIT'!D:D,A272)</f>
        <v>29.6</v>
      </c>
      <c r="F272" s="23" t="str">
        <f>VLOOKUP(A272, 'Session Data'!A:M,3,false)</f>
        <v>F-7</v>
      </c>
      <c r="G272" s="24" t="str">
        <f>VLOOKUP(A272, 'Session Data'!A:I,2,false)</f>
        <v>9:00 AM</v>
      </c>
      <c r="H272" s="23" t="str">
        <f>VLOOKUP(A272, 'Session Data'!A:J,5,false)</f>
        <v>Health Nutrition and Clinical Sciences</v>
      </c>
      <c r="I272" s="25" t="str">
        <f>VLOOKUP(A272, 'Session Data'!A:H,4,false)</f>
        <v>Poster</v>
      </c>
      <c r="J272" s="26" t="str">
        <f>VLOOKUP(A272, 'Session Data'!A:AA,14,false)</f>
        <v>Undergraduate</v>
      </c>
      <c r="K272" s="27" t="str">
        <f>VLOOKUP(A272, 'Session Data'!A:AA,15,false)</f>
        <v>Health and Human Services</v>
      </c>
      <c r="L272" s="28"/>
      <c r="M272" s="29" t="str">
        <f>VLOOKUP(A272, 'Session Data'!A:K,11,false)</f>
        <v>Bachelor of Science Kinesiology Emphasis in Pre Physical Therapy</v>
      </c>
      <c r="N272" s="26" t="str">
        <f>IF(ISNA(VLOOKUP(A272, 'Award Abstract#'!C:C, 1, FALSE)), "No", "Yes")
</f>
        <v>No</v>
      </c>
      <c r="O272" s="29" t="str">
        <f>IF(ISNA(VLOOKUP(A272,'Award Abstract#'!B:B,1,FALSE)), "No", "Yes")</f>
        <v>No</v>
      </c>
      <c r="P272" s="29" t="str">
        <f>IF(ISNA(VLOOKUP(A272,'Award Abstract#'!E:E,1,FALSE)), "No", "Yes")</f>
        <v>No</v>
      </c>
      <c r="Q272" s="29" t="str">
        <f>IF(ISNA(VLOOKUP(A272,'Award Abstract#'!A:A,1,FALSE)), "No", "Yes")</f>
        <v>No</v>
      </c>
      <c r="R272" s="29" t="str">
        <f>IF(ISNA(VLOOKUP(A272,'Award Abstract#'!D:D,1,FALSE)), "No", "Yes")</f>
        <v>Yes</v>
      </c>
      <c r="S272" s="30" t="str">
        <f>VLOOKUP(A272, 'Session Data'!A:AA,27,false)</f>
        <v>Man</v>
      </c>
      <c r="T272" s="30"/>
      <c r="U272" s="30"/>
      <c r="V272" s="31" t="str">
        <f>VLOOKUP(A272, 'Session Data'!A:AA,8,false)</f>
        <v>Tyler</v>
      </c>
      <c r="W272" s="32" t="str">
        <f>VLOOKUP(A272, 'Session Data'!A:AA,9,false)</f>
        <v>McClure Kent</v>
      </c>
      <c r="X272" s="33" t="str">
        <f>VLOOKUP(A272, 'Session Data'!A:AA,12,false)</f>
        <v>Recovery of muscle torque after lengthening contraction injury in cigarette smoke-exposed mice.</v>
      </c>
      <c r="Y272" s="34" t="str">
        <f>VLOOKUP(A272, 'Session Data'!A:AA,22,false)</f>
        <v>Leonardo </v>
      </c>
      <c r="Z272" s="34" t="str">
        <f>VLOOKUP(A272, 'Session Data'!A:AA,23,false)</f>
        <v>Nogueira </v>
      </c>
      <c r="AA272" s="34" t="str">
        <f>VLOOKUP(A272, 'Session Data'!A:AA,25,false)</f>
        <v>Health and Human Services</v>
      </c>
      <c r="AB272" s="34" t="str">
        <f>VLOOKUP(A272, 'Session Data'!A:AA,24,false)</f>
        <v>lnogueira@sdsu.edu</v>
      </c>
      <c r="AC272" s="34" t="str">
        <f>VLOOKUP(A272, 'Session Data'!A:AA,16,false)</f>
        <v/>
      </c>
      <c r="AD272" s="35" t="str">
        <f>VLOOKUP(A272, 'Session Data'!A:U,17,false)</f>
        <v/>
      </c>
      <c r="AE272" s="35" t="str">
        <f>VLOOKUP(A272, 'Session Data'!A:U,18,false)</f>
        <v/>
      </c>
      <c r="AF272" s="35" t="str">
        <f>VLOOKUP(A272, 'Session Data'!A:U,19,false)</f>
        <v/>
      </c>
      <c r="AG272" s="35" t="str">
        <f>VLOOKUP(A272, 'Session Data'!A:U,20,false)</f>
        <v/>
      </c>
      <c r="AH272" s="35" t="str">
        <f>VLOOKUP(A272, 'Session Data'!A:U,21,false)</f>
        <v/>
      </c>
      <c r="AI272" s="36"/>
      <c r="AJ272" s="38"/>
      <c r="AK272" s="38"/>
      <c r="AL272" s="39"/>
      <c r="AM272" s="34" t="str">
        <f>VLOOKUP(A272, 'Session Data'!A:AA,10,false)</f>
        <v>tmcclurekent0849@sdsu.edu</v>
      </c>
      <c r="AN272" s="40"/>
      <c r="AO272" s="38"/>
      <c r="AP272" s="38"/>
      <c r="AQ272" s="38"/>
      <c r="AR272" s="38"/>
      <c r="AS272" s="38"/>
      <c r="AT272" s="38"/>
      <c r="AU272" s="38"/>
      <c r="AV272" s="38"/>
      <c r="AW272" s="38"/>
      <c r="AX272" s="38"/>
      <c r="AY272" s="43"/>
      <c r="AZ272" s="43"/>
      <c r="BA272" s="43"/>
      <c r="BB272" s="43"/>
      <c r="BC272" s="43"/>
      <c r="BD272" s="43"/>
      <c r="BE272" s="44"/>
      <c r="BF272" s="45"/>
      <c r="BG272" s="43"/>
    </row>
    <row r="273">
      <c r="A273" s="19" t="s">
        <v>341</v>
      </c>
      <c r="B273" s="20">
        <f>VLOOKUP(F273,'Session Count DO NOT EDIT'!$A:$C,3,FALSE)</f>
        <v>5</v>
      </c>
      <c r="C273" s="20">
        <f>COUNTIFS('Scores Import DO NOT EDIT'!D:D,A273)</f>
        <v>4</v>
      </c>
      <c r="D273" s="21">
        <f t="shared" si="1"/>
        <v>0.8</v>
      </c>
      <c r="E273" s="22">
        <f>AVERAGEIFS('Scores Import DO NOT EDIT'!L:L,'Scores Import DO NOT EDIT'!D:D,A273)</f>
        <v>28</v>
      </c>
      <c r="F273" s="23" t="str">
        <f>VLOOKUP(A273, 'Session Data'!A:M,3,false)</f>
        <v>F-7</v>
      </c>
      <c r="G273" s="24" t="str">
        <f>VLOOKUP(A273, 'Session Data'!A:I,2,false)</f>
        <v>9:00 AM</v>
      </c>
      <c r="H273" s="23" t="str">
        <f>VLOOKUP(A273, 'Session Data'!A:J,5,false)</f>
        <v>Health Nutrition and Clinical Sciences</v>
      </c>
      <c r="I273" s="25" t="str">
        <f>VLOOKUP(A273, 'Session Data'!A:H,4,false)</f>
        <v>Poster</v>
      </c>
      <c r="J273" s="26" t="str">
        <f>VLOOKUP(A273, 'Session Data'!A:AA,14,false)</f>
        <v>Undergraduate</v>
      </c>
      <c r="K273" s="27" t="str">
        <f>VLOOKUP(A273, 'Session Data'!A:AA,15,false)</f>
        <v>Health and Human Services</v>
      </c>
      <c r="L273" s="28"/>
      <c r="M273" s="29" t="str">
        <f>VLOOKUP(A273, 'Session Data'!A:K,11,false)</f>
        <v>Bachelor of Public Health</v>
      </c>
      <c r="N273" s="26" t="str">
        <f>IF(ISNA(VLOOKUP(A273, 'Award Abstract#'!C:C, 1, FALSE)), "No", "Yes")
</f>
        <v>No</v>
      </c>
      <c r="O273" s="29" t="str">
        <f>IF(ISNA(VLOOKUP(A273,'Award Abstract#'!B:B,1,FALSE)), "No", "Yes")</f>
        <v>No</v>
      </c>
      <c r="P273" s="29" t="str">
        <f>IF(ISNA(VLOOKUP(A273,'Award Abstract#'!E:E,1,FALSE)), "No", "Yes")</f>
        <v>No</v>
      </c>
      <c r="Q273" s="29" t="str">
        <f>IF(ISNA(VLOOKUP(A273,'Award Abstract#'!A:A,1,FALSE)), "No", "Yes")</f>
        <v>No</v>
      </c>
      <c r="R273" s="29" t="str">
        <f>IF(ISNA(VLOOKUP(A273,'Award Abstract#'!D:D,1,FALSE)), "No", "Yes")</f>
        <v>No</v>
      </c>
      <c r="S273" s="30" t="str">
        <f>VLOOKUP(A273, 'Session Data'!A:AA,27,false)</f>
        <v>Woman</v>
      </c>
      <c r="T273" s="30"/>
      <c r="U273" s="30"/>
      <c r="V273" s="31" t="str">
        <f>VLOOKUP(A273, 'Session Data'!A:AA,8,false)</f>
        <v>Amelia</v>
      </c>
      <c r="W273" s="32" t="str">
        <f>VLOOKUP(A273, 'Session Data'!A:AA,9,false)</f>
        <v>Allison</v>
      </c>
      <c r="X273" s="33" t="str">
        <f>VLOOKUP(A273, 'Session Data'!A:AA,12,false)</f>
        <v>Smoke Exposure in Various Public Locations</v>
      </c>
      <c r="Y273" s="34" t="str">
        <f>VLOOKUP(A273, 'Session Data'!A:AA,22,false)</f>
        <v>Nicolas</v>
      </c>
      <c r="Z273" s="34" t="str">
        <f>VLOOKUP(A273, 'Session Data'!A:AA,23,false)</f>
        <v> Lopez-Galvez</v>
      </c>
      <c r="AA273" s="34" t="str">
        <f>VLOOKUP(A273, 'Session Data'!A:AA,25,false)</f>
        <v>Health and Human Services</v>
      </c>
      <c r="AB273" s="34" t="str">
        <f>VLOOKUP(A273, 'Session Data'!A:AA,24,false)</f>
        <v>nilopez@sdsu.edu</v>
      </c>
      <c r="AC273" s="34" t="str">
        <f>VLOOKUP(A273, 'Session Data'!A:AA,16,false)</f>
        <v/>
      </c>
      <c r="AD273" s="35" t="str">
        <f>VLOOKUP(A273, 'Session Data'!A:U,17,false)</f>
        <v/>
      </c>
      <c r="AE273" s="35" t="str">
        <f>VLOOKUP(A273, 'Session Data'!A:U,18,false)</f>
        <v/>
      </c>
      <c r="AF273" s="35" t="str">
        <f>VLOOKUP(A273, 'Session Data'!A:U,19,false)</f>
        <v/>
      </c>
      <c r="AG273" s="35" t="str">
        <f>VLOOKUP(A273, 'Session Data'!A:U,20,false)</f>
        <v/>
      </c>
      <c r="AH273" s="35" t="str">
        <f>VLOOKUP(A273, 'Session Data'!A:U,21,false)</f>
        <v/>
      </c>
      <c r="AI273" s="36"/>
      <c r="AJ273" s="38"/>
      <c r="AK273" s="38"/>
      <c r="AL273" s="39"/>
      <c r="AM273" s="34" t="str">
        <f>VLOOKUP(A273, 'Session Data'!A:AA,10,false)</f>
        <v>aallison9614@sdsu.edu</v>
      </c>
      <c r="AN273" s="40"/>
      <c r="AO273" s="38"/>
      <c r="AP273" s="38"/>
      <c r="AQ273" s="38"/>
      <c r="AR273" s="38"/>
      <c r="AS273" s="38"/>
      <c r="AT273" s="38"/>
      <c r="AU273" s="38"/>
      <c r="AV273" s="38"/>
      <c r="AW273" s="38"/>
      <c r="AX273" s="38"/>
      <c r="AY273" s="43"/>
      <c r="AZ273" s="43"/>
      <c r="BA273" s="43"/>
      <c r="BB273" s="43"/>
      <c r="BC273" s="43"/>
      <c r="BD273" s="43"/>
      <c r="BE273" s="44"/>
      <c r="BF273" s="45"/>
      <c r="BG273" s="43"/>
    </row>
    <row r="274">
      <c r="A274" s="19" t="s">
        <v>342</v>
      </c>
      <c r="B274" s="20">
        <f>VLOOKUP(F274,'Session Count DO NOT EDIT'!$A:$C,3,FALSE)</f>
        <v>5</v>
      </c>
      <c r="C274" s="20">
        <f>COUNTIFS('Scores Import DO NOT EDIT'!D:D,A274)</f>
        <v>4</v>
      </c>
      <c r="D274" s="21">
        <f t="shared" si="1"/>
        <v>0.8</v>
      </c>
      <c r="E274" s="22">
        <f>AVERAGEIFS('Scores Import DO NOT EDIT'!L:L,'Scores Import DO NOT EDIT'!D:D,A274)</f>
        <v>27.75</v>
      </c>
      <c r="F274" s="23" t="str">
        <f>VLOOKUP(A274, 'Session Data'!A:M,3,false)</f>
        <v>F-7</v>
      </c>
      <c r="G274" s="24" t="str">
        <f>VLOOKUP(A274, 'Session Data'!A:I,2,false)</f>
        <v>9:00 AM</v>
      </c>
      <c r="H274" s="23" t="str">
        <f>VLOOKUP(A274, 'Session Data'!A:J,5,false)</f>
        <v>Health Nutrition and Clinical Sciences</v>
      </c>
      <c r="I274" s="25" t="str">
        <f>VLOOKUP(A274, 'Session Data'!A:H,4,false)</f>
        <v>Poster</v>
      </c>
      <c r="J274" s="26" t="str">
        <f>VLOOKUP(A274, 'Session Data'!A:AA,14,false)</f>
        <v>Undergraduate</v>
      </c>
      <c r="K274" s="27" t="str">
        <f>VLOOKUP(A274, 'Session Data'!A:AA,15,false)</f>
        <v>Sciences</v>
      </c>
      <c r="L274" s="47"/>
      <c r="M274" s="29" t="str">
        <f>VLOOKUP(A274, 'Session Data'!A:K,11,false)</f>
        <v>Bachelor of Arts in Psychology Neuroscience Emphasis</v>
      </c>
      <c r="N274" s="26" t="str">
        <f>IF(ISNA(VLOOKUP(A274, 'Award Abstract#'!C:C, 1, FALSE)), "No", "Yes")
</f>
        <v>No</v>
      </c>
      <c r="O274" s="29" t="str">
        <f>IF(ISNA(VLOOKUP(A274,'Award Abstract#'!B:B,1,FALSE)), "No", "Yes")</f>
        <v>No</v>
      </c>
      <c r="P274" s="29" t="str">
        <f>IF(ISNA(VLOOKUP(A274,'Award Abstract#'!E:E,1,FALSE)), "No", "Yes")</f>
        <v>No</v>
      </c>
      <c r="Q274" s="29" t="str">
        <f>IF(ISNA(VLOOKUP(A274,'Award Abstract#'!A:A,1,FALSE)), "No", "Yes")</f>
        <v>No</v>
      </c>
      <c r="R274" s="29" t="str">
        <f>IF(ISNA(VLOOKUP(A274,'Award Abstract#'!D:D,1,FALSE)), "No", "Yes")</f>
        <v>No</v>
      </c>
      <c r="S274" s="30" t="str">
        <f>VLOOKUP(A274, 'Session Data'!A:AA,27,false)</f>
        <v>Woman</v>
      </c>
      <c r="T274" s="30"/>
      <c r="U274" s="30"/>
      <c r="V274" s="31" t="str">
        <f>VLOOKUP(A274, 'Session Data'!A:AA,8,false)</f>
        <v>Carolina</v>
      </c>
      <c r="W274" s="32" t="str">
        <f>VLOOKUP(A274, 'Session Data'!A:AA,9,false)</f>
        <v>Costa</v>
      </c>
      <c r="X274" s="33" t="str">
        <f>VLOOKUP(A274, 'Session Data'!A:AA,12,false)</f>
        <v>Faith in Motion: Collaborative Strategies with Church Staff for Implementing Physical Activity Programs</v>
      </c>
      <c r="Y274" s="34" t="str">
        <f>VLOOKUP(A274, 'Session Data'!A:AA,22,false)</f>
        <v>Elva</v>
      </c>
      <c r="Z274" s="34" t="str">
        <f>VLOOKUP(A274, 'Session Data'!A:AA,23,false)</f>
        <v>Arredondo</v>
      </c>
      <c r="AA274" s="34" t="str">
        <f>VLOOKUP(A274, 'Session Data'!A:AA,25,false)</f>
        <v>Sciences</v>
      </c>
      <c r="AB274" s="34" t="str">
        <f>VLOOKUP(A274, 'Session Data'!A:AA,24,false)</f>
        <v>earredon@sdsu.edu</v>
      </c>
      <c r="AC274" s="34" t="str">
        <f>VLOOKUP(A274, 'Session Data'!A:AA,16,false)</f>
        <v/>
      </c>
      <c r="AD274" s="35" t="str">
        <f>VLOOKUP(A274, 'Session Data'!A:U,17,false)</f>
        <v/>
      </c>
      <c r="AE274" s="35" t="str">
        <f>VLOOKUP(A274, 'Session Data'!A:U,18,false)</f>
        <v/>
      </c>
      <c r="AF274" s="35" t="str">
        <f>VLOOKUP(A274, 'Session Data'!A:U,19,false)</f>
        <v/>
      </c>
      <c r="AG274" s="35" t="str">
        <f>VLOOKUP(A274, 'Session Data'!A:U,20,false)</f>
        <v/>
      </c>
      <c r="AH274" s="35" t="str">
        <f>VLOOKUP(A274, 'Session Data'!A:U,21,false)</f>
        <v/>
      </c>
      <c r="AI274" s="36"/>
      <c r="AJ274" s="38"/>
      <c r="AK274" s="38"/>
      <c r="AL274" s="39"/>
      <c r="AM274" s="34" t="str">
        <f>VLOOKUP(A274, 'Session Data'!A:AA,10,false)</f>
        <v>ccosta5240@sdsu.edu</v>
      </c>
      <c r="AN274" s="40"/>
      <c r="AO274" s="38"/>
      <c r="AP274" s="38"/>
      <c r="AQ274" s="38"/>
      <c r="AR274" s="38"/>
      <c r="AS274" s="38"/>
      <c r="AT274" s="38"/>
      <c r="AU274" s="38"/>
      <c r="AV274" s="38"/>
      <c r="AW274" s="38"/>
      <c r="AX274" s="38"/>
      <c r="AY274" s="43"/>
      <c r="AZ274" s="43"/>
      <c r="BA274" s="43"/>
      <c r="BB274" s="43"/>
      <c r="BC274" s="43"/>
      <c r="BD274" s="43"/>
      <c r="BE274" s="44"/>
      <c r="BF274" s="45"/>
      <c r="BG274" s="43"/>
    </row>
    <row r="275">
      <c r="A275" s="19" t="s">
        <v>343</v>
      </c>
      <c r="B275" s="20">
        <f>VLOOKUP(F275,'Session Count DO NOT EDIT'!$A:$C,3,FALSE)</f>
        <v>5</v>
      </c>
      <c r="C275" s="20">
        <f>COUNTIFS('Scores Import DO NOT EDIT'!D:D,A275)</f>
        <v>4</v>
      </c>
      <c r="D275" s="21">
        <f t="shared" si="1"/>
        <v>0.8</v>
      </c>
      <c r="E275" s="22">
        <f>AVERAGEIFS('Scores Import DO NOT EDIT'!L:L,'Scores Import DO NOT EDIT'!D:D,A275)</f>
        <v>26.5</v>
      </c>
      <c r="F275" s="23" t="str">
        <f>VLOOKUP(A275, 'Session Data'!A:M,3,false)</f>
        <v>F-7</v>
      </c>
      <c r="G275" s="24" t="str">
        <f>VLOOKUP(A275, 'Session Data'!A:I,2,false)</f>
        <v>9:00 AM</v>
      </c>
      <c r="H275" s="23" t="str">
        <f>VLOOKUP(A275, 'Session Data'!A:J,5,false)</f>
        <v>Health Nutrition and Clinical Sciences</v>
      </c>
      <c r="I275" s="25" t="str">
        <f>VLOOKUP(A275, 'Session Data'!A:H,4,false)</f>
        <v>Poster</v>
      </c>
      <c r="J275" s="26" t="str">
        <f>VLOOKUP(A275, 'Session Data'!A:AA,14,false)</f>
        <v>Undergraduate</v>
      </c>
      <c r="K275" s="27" t="str">
        <f>VLOOKUP(A275, 'Session Data'!A:AA,15,false)</f>
        <v>Health and Human Services</v>
      </c>
      <c r="L275" s="28"/>
      <c r="M275" s="29" t="str">
        <f>VLOOKUP(A275, 'Session Data'!A:K,11,false)</f>
        <v>Bachelor of Arts in Speech, Language, and Hearing Sciences</v>
      </c>
      <c r="N275" s="26" t="str">
        <f>IF(ISNA(VLOOKUP(A275, 'Award Abstract#'!C:C, 1, FALSE)), "No", "Yes")
</f>
        <v>No</v>
      </c>
      <c r="O275" s="29" t="str">
        <f>IF(ISNA(VLOOKUP(A275,'Award Abstract#'!B:B,1,FALSE)), "No", "Yes")</f>
        <v>No</v>
      </c>
      <c r="P275" s="29" t="str">
        <f>IF(ISNA(VLOOKUP(A275,'Award Abstract#'!E:E,1,FALSE)), "No", "Yes")</f>
        <v>No</v>
      </c>
      <c r="Q275" s="29" t="str">
        <f>IF(ISNA(VLOOKUP(A275,'Award Abstract#'!A:A,1,FALSE)), "No", "Yes")</f>
        <v>No</v>
      </c>
      <c r="R275" s="29" t="str">
        <f>IF(ISNA(VLOOKUP(A275,'Award Abstract#'!D:D,1,FALSE)), "No", "Yes")</f>
        <v>No</v>
      </c>
      <c r="S275" s="30" t="str">
        <f>VLOOKUP(A275, 'Session Data'!A:AA,27,false)</f>
        <v>Woman</v>
      </c>
      <c r="T275" s="30"/>
      <c r="U275" s="30"/>
      <c r="V275" s="31" t="str">
        <f>VLOOKUP(A275, 'Session Data'!A:AA,8,false)</f>
        <v>Viridiana </v>
      </c>
      <c r="W275" s="32" t="str">
        <f>VLOOKUP(A275, 'Session Data'!A:AA,9,false)</f>
        <v>Apodaca</v>
      </c>
      <c r="X275" s="33" t="str">
        <f>VLOOKUP(A275, 'Session Data'!A:AA,12,false)</f>
        <v>Bilingual elementary students' awareness and self-report of their language proficiency</v>
      </c>
      <c r="Y275" s="34" t="str">
        <f>VLOOKUP(A275, 'Session Data'!A:AA,22,false)</f>
        <v>Ashley </v>
      </c>
      <c r="Z275" s="34" t="str">
        <f>VLOOKUP(A275, 'Session Data'!A:AA,23,false)</f>
        <v>Sanabria </v>
      </c>
      <c r="AA275" s="34" t="str">
        <f>VLOOKUP(A275, 'Session Data'!A:AA,25,false)</f>
        <v>Health and Human Services</v>
      </c>
      <c r="AB275" s="34" t="str">
        <f>VLOOKUP(A275, 'Session Data'!A:AA,24,false)</f>
        <v>aadams2@sdsu.edu</v>
      </c>
      <c r="AC275" s="34" t="str">
        <f>VLOOKUP(A275, 'Session Data'!A:AA,16,false)</f>
        <v>Makenna </v>
      </c>
      <c r="AD275" s="35" t="str">
        <f>VLOOKUP(A275, 'Session Data'!A:U,17,false)</f>
        <v>Fisher</v>
      </c>
      <c r="AE275" s="35" t="str">
        <f>VLOOKUP(A275, 'Session Data'!A:U,18,false)</f>
        <v/>
      </c>
      <c r="AF275" s="35" t="str">
        <f>VLOOKUP(A275, 'Session Data'!A:U,19,false)</f>
        <v/>
      </c>
      <c r="AG275" s="35" t="str">
        <f>VLOOKUP(A275, 'Session Data'!A:U,20,false)</f>
        <v/>
      </c>
      <c r="AH275" s="35" t="str">
        <f>VLOOKUP(A275, 'Session Data'!A:U,21,false)</f>
        <v/>
      </c>
      <c r="AI275" s="37"/>
      <c r="AJ275" s="37"/>
      <c r="AK275" s="37"/>
      <c r="AL275" s="50"/>
      <c r="AM275" s="34" t="str">
        <f>VLOOKUP(A275, 'Session Data'!A:AA,10,false)</f>
        <v>vapodaca5677@sdsu.edu</v>
      </c>
      <c r="AN275" s="40"/>
      <c r="AO275" s="38"/>
      <c r="AP275" s="38"/>
      <c r="AQ275" s="38"/>
      <c r="AR275" s="38"/>
      <c r="AS275" s="38"/>
      <c r="AT275" s="38"/>
      <c r="AU275" s="38"/>
      <c r="AV275" s="38"/>
      <c r="AW275" s="38"/>
      <c r="AX275" s="38"/>
      <c r="AY275" s="43"/>
      <c r="AZ275" s="43"/>
      <c r="BA275" s="43"/>
      <c r="BB275" s="43"/>
      <c r="BC275" s="43"/>
      <c r="BD275" s="43"/>
      <c r="BE275" s="44"/>
      <c r="BF275" s="45"/>
      <c r="BG275" s="43"/>
    </row>
    <row r="276">
      <c r="A276" s="19" t="s">
        <v>344</v>
      </c>
      <c r="B276" s="20">
        <f>VLOOKUP(F276,'Session Count DO NOT EDIT'!$A:$C,3,FALSE)</f>
        <v>5</v>
      </c>
      <c r="C276" s="20">
        <f>COUNTIFS('Scores Import DO NOT EDIT'!D:D,A276)</f>
        <v>4</v>
      </c>
      <c r="D276" s="21">
        <f t="shared" si="1"/>
        <v>0.8</v>
      </c>
      <c r="E276" s="22">
        <f>AVERAGEIFS('Scores Import DO NOT EDIT'!L:L,'Scores Import DO NOT EDIT'!D:D,A276)</f>
        <v>25.75</v>
      </c>
      <c r="F276" s="23" t="str">
        <f>VLOOKUP(A276, 'Session Data'!A:M,3,false)</f>
        <v>F-7</v>
      </c>
      <c r="G276" s="24" t="str">
        <f>VLOOKUP(A276, 'Session Data'!A:I,2,false)</f>
        <v>9:00 AM</v>
      </c>
      <c r="H276" s="23" t="str">
        <f>VLOOKUP(A276, 'Session Data'!A:J,5,false)</f>
        <v>Health Nutrition and Clinical Sciences</v>
      </c>
      <c r="I276" s="25" t="str">
        <f>VLOOKUP(A276, 'Session Data'!A:H,4,false)</f>
        <v>Poster</v>
      </c>
      <c r="J276" s="26" t="str">
        <f>VLOOKUP(A276, 'Session Data'!A:AA,14,false)</f>
        <v>Undergraduate</v>
      </c>
      <c r="K276" s="27" t="str">
        <f>VLOOKUP(A276, 'Session Data'!A:AA,15,false)</f>
        <v>Sciences</v>
      </c>
      <c r="L276" s="28"/>
      <c r="M276" s="29" t="str">
        <f>VLOOKUP(A276, 'Session Data'!A:K,11,false)</f>
        <v>B.A. in Psychology, Emphasis in Neuroscience; B.S. in Kinesiology, Emphasis in Pre-Physical Therapy</v>
      </c>
      <c r="N276" s="26" t="str">
        <f>IF(ISNA(VLOOKUP(A276, 'Award Abstract#'!C:C, 1, FALSE)), "No", "Yes")
</f>
        <v>No</v>
      </c>
      <c r="O276" s="29" t="str">
        <f>IF(ISNA(VLOOKUP(A276,'Award Abstract#'!B:B,1,FALSE)), "No", "Yes")</f>
        <v>No</v>
      </c>
      <c r="P276" s="29" t="str">
        <f>IF(ISNA(VLOOKUP(A276,'Award Abstract#'!E:E,1,FALSE)), "No", "Yes")</f>
        <v>No</v>
      </c>
      <c r="Q276" s="29" t="str">
        <f>IF(ISNA(VLOOKUP(A276,'Award Abstract#'!A:A,1,FALSE)), "No", "Yes")</f>
        <v>No</v>
      </c>
      <c r="R276" s="29" t="str">
        <f>IF(ISNA(VLOOKUP(A276,'Award Abstract#'!D:D,1,FALSE)), "No", "Yes")</f>
        <v>No</v>
      </c>
      <c r="S276" s="30" t="str">
        <f>VLOOKUP(A276, 'Session Data'!A:AA,27,false)</f>
        <v>Woman</v>
      </c>
      <c r="T276" s="30"/>
      <c r="U276" s="30"/>
      <c r="V276" s="31" t="str">
        <f>VLOOKUP(A276, 'Session Data'!A:AA,8,false)</f>
        <v>Mia</v>
      </c>
      <c r="W276" s="32" t="str">
        <f>VLOOKUP(A276, 'Session Data'!A:AA,9,false)</f>
        <v>Naranjo</v>
      </c>
      <c r="X276" s="33" t="str">
        <f>VLOOKUP(A276, 'Session Data'!A:AA,12,false)</f>
        <v>Relationship between unintentional finger force drifts and surface texture</v>
      </c>
      <c r="Y276" s="34" t="str">
        <f>VLOOKUP(A276, 'Session Data'!A:AA,22,false)</f>
        <v>Sasha</v>
      </c>
      <c r="Z276" s="34" t="str">
        <f>VLOOKUP(A276, 'Session Data'!A:AA,23,false)</f>
        <v>Reschechtko</v>
      </c>
      <c r="AA276" s="34" t="str">
        <f>VLOOKUP(A276, 'Session Data'!A:AA,25,false)</f>
        <v>Health and Human Services</v>
      </c>
      <c r="AB276" s="34"/>
      <c r="AC276" s="34" t="str">
        <f>VLOOKUP(A276, 'Session Data'!A:AA,16,false)</f>
        <v/>
      </c>
      <c r="AD276" s="35" t="str">
        <f>VLOOKUP(A276, 'Session Data'!A:U,17,false)</f>
        <v/>
      </c>
      <c r="AE276" s="35" t="str">
        <f>VLOOKUP(A276, 'Session Data'!A:U,18,false)</f>
        <v/>
      </c>
      <c r="AF276" s="35" t="str">
        <f>VLOOKUP(A276, 'Session Data'!A:U,19,false)</f>
        <v/>
      </c>
      <c r="AG276" s="35" t="str">
        <f>VLOOKUP(A276, 'Session Data'!A:U,20,false)</f>
        <v/>
      </c>
      <c r="AH276" s="35" t="str">
        <f>VLOOKUP(A276, 'Session Data'!A:U,21,false)</f>
        <v/>
      </c>
      <c r="AI276" s="37"/>
      <c r="AJ276" s="37"/>
      <c r="AK276" s="37"/>
      <c r="AL276" s="50"/>
      <c r="AM276" s="34" t="str">
        <f>VLOOKUP(A276, 'Session Data'!A:AA,10,false)</f>
        <v>mnaranjo8936@sdsu.edu</v>
      </c>
      <c r="AN276" s="40"/>
      <c r="AO276" s="38"/>
      <c r="AP276" s="38"/>
      <c r="AQ276" s="38"/>
      <c r="AR276" s="38"/>
      <c r="AS276" s="38"/>
      <c r="AT276" s="38"/>
      <c r="AU276" s="38"/>
      <c r="AV276" s="38"/>
      <c r="AW276" s="38"/>
      <c r="AX276" s="38"/>
      <c r="AY276" s="43"/>
      <c r="AZ276" s="43"/>
      <c r="BA276" s="48"/>
      <c r="BB276" s="48"/>
      <c r="BC276" s="43"/>
      <c r="BD276" s="43"/>
      <c r="BE276" s="44"/>
      <c r="BF276" s="45"/>
      <c r="BG276" s="43"/>
    </row>
    <row r="277">
      <c r="A277" s="19" t="s">
        <v>345</v>
      </c>
      <c r="B277" s="20">
        <f>VLOOKUP(F277,'Session Count DO NOT EDIT'!$A:$C,3,FALSE)</f>
        <v>4</v>
      </c>
      <c r="C277" s="20">
        <f>COUNTIFS('Scores Import DO NOT EDIT'!D:D,A277)</f>
        <v>0</v>
      </c>
      <c r="D277" s="21">
        <f t="shared" si="1"/>
        <v>0</v>
      </c>
      <c r="E277" s="22" t="str">
        <f>AVERAGEIFS('Scores Import DO NOT EDIT'!L:L,'Scores Import DO NOT EDIT'!D:D,A277)</f>
        <v>#DIV/0!</v>
      </c>
      <c r="F277" s="23" t="str">
        <f>VLOOKUP(A277, 'Session Data'!A:M,3,false)</f>
        <v>F-8</v>
      </c>
      <c r="G277" s="24" t="str">
        <f>VLOOKUP(A277, 'Session Data'!A:I,2,false)</f>
        <v>9:00 AM</v>
      </c>
      <c r="H277" s="23" t="str">
        <f>VLOOKUP(A277, 'Session Data'!A:J,5,false)</f>
        <v>Behavioral and Social Sciences</v>
      </c>
      <c r="I277" s="25" t="str">
        <f>VLOOKUP(A277, 'Session Data'!A:H,4,false)</f>
        <v>Poster</v>
      </c>
      <c r="J277" s="26" t="str">
        <f>VLOOKUP(A277, 'Session Data'!A:AA,14,false)</f>
        <v>Master's</v>
      </c>
      <c r="K277" s="27" t="str">
        <f>VLOOKUP(A277, 'Session Data'!A:AA,15,false)</f>
        <v>Arts and Letters</v>
      </c>
      <c r="L277" s="47"/>
      <c r="M277" s="29" t="str">
        <f>VLOOKUP(A277, 'Session Data'!A:K,11,false)</f>
        <v>Masters of Arts in Anthropology</v>
      </c>
      <c r="N277" s="26" t="str">
        <f>IF(ISNA(VLOOKUP(A277, 'Award Abstract#'!C:C, 1, FALSE)), "No", "Yes")
</f>
        <v>No</v>
      </c>
      <c r="O277" s="29" t="str">
        <f>IF(ISNA(VLOOKUP(A277,'Award Abstract#'!B:B,1,FALSE)), "No", "Yes")</f>
        <v>No</v>
      </c>
      <c r="P277" s="29" t="str">
        <f>IF(ISNA(VLOOKUP(A277,'Award Abstract#'!E:E,1,FALSE)), "No", "Yes")</f>
        <v>No</v>
      </c>
      <c r="Q277" s="29" t="str">
        <f>IF(ISNA(VLOOKUP(A277,'Award Abstract#'!A:A,1,FALSE)), "No", "Yes")</f>
        <v>No</v>
      </c>
      <c r="R277" s="29" t="str">
        <f>IF(ISNA(VLOOKUP(A277,'Award Abstract#'!D:D,1,FALSE)), "No", "Yes")</f>
        <v>Yes</v>
      </c>
      <c r="S277" s="30" t="str">
        <f>VLOOKUP(A277, 'Session Data'!A:AA,27,false)</f>
        <v>Man</v>
      </c>
      <c r="T277" s="30"/>
      <c r="U277" s="30"/>
      <c r="V277" s="31" t="str">
        <f>VLOOKUP(A277, 'Session Data'!A:AA,8,false)</f>
        <v>Zachery</v>
      </c>
      <c r="W277" s="32" t="str">
        <f>VLOOKUP(A277, 'Session Data'!A:AA,9,false)</f>
        <v>Clow</v>
      </c>
      <c r="X277" s="33" t="str">
        <f>VLOOKUP(A277, 'Session Data'!A:AA,12,false)</f>
        <v>Untangling Ancient Health: Comparative study of Dental and Skeletal Markers of Disease in Lower Río Verde Valley, Oaxaca, Mexico</v>
      </c>
      <c r="Y277" s="34" t="str">
        <f>VLOOKUP(A277, 'Session Data'!A:AA,22,false)</f>
        <v>Arion</v>
      </c>
      <c r="Z277" s="34" t="str">
        <f>VLOOKUP(A277, 'Session Data'!A:AA,23,false)</f>
        <v>Mayes</v>
      </c>
      <c r="AA277" s="34" t="str">
        <f>VLOOKUP(A277, 'Session Data'!A:AA,25,false)</f>
        <v>Arts and Letters</v>
      </c>
      <c r="AB277" s="34" t="str">
        <f>VLOOKUP(A277, 'Session Data'!A:AA,24,false)</f>
        <v>amayes@sdsu.edu</v>
      </c>
      <c r="AC277" s="34" t="str">
        <f>VLOOKUP(A277, 'Session Data'!A:AA,16,false)</f>
        <v/>
      </c>
      <c r="AD277" s="35" t="str">
        <f>VLOOKUP(A277, 'Session Data'!A:U,17,false)</f>
        <v/>
      </c>
      <c r="AE277" s="35" t="str">
        <f>VLOOKUP(A277, 'Session Data'!A:U,18,false)</f>
        <v/>
      </c>
      <c r="AF277" s="35" t="str">
        <f>VLOOKUP(A277, 'Session Data'!A:U,19,false)</f>
        <v/>
      </c>
      <c r="AG277" s="35" t="str">
        <f>VLOOKUP(A277, 'Session Data'!A:U,20,false)</f>
        <v/>
      </c>
      <c r="AH277" s="35" t="str">
        <f>VLOOKUP(A277, 'Session Data'!A:U,21,false)</f>
        <v/>
      </c>
      <c r="AI277" s="37"/>
      <c r="AJ277" s="37"/>
      <c r="AK277" s="37"/>
      <c r="AL277" s="50"/>
      <c r="AM277" s="34" t="str">
        <f>VLOOKUP(A277, 'Session Data'!A:AA,10,false)</f>
        <v>zclow@sdsu.edu</v>
      </c>
      <c r="AN277" s="40"/>
      <c r="AO277" s="38"/>
      <c r="AP277" s="38"/>
      <c r="AQ277" s="38"/>
      <c r="AR277" s="38"/>
      <c r="AS277" s="38"/>
      <c r="AT277" s="38"/>
      <c r="AU277" s="38"/>
      <c r="AV277" s="38"/>
      <c r="AW277" s="38"/>
      <c r="AX277" s="38"/>
      <c r="AY277" s="43"/>
      <c r="AZ277" s="43"/>
      <c r="BA277" s="48"/>
      <c r="BB277" s="48"/>
      <c r="BC277" s="43"/>
      <c r="BD277" s="43"/>
      <c r="BE277" s="44"/>
      <c r="BF277" s="45"/>
      <c r="BG277" s="46"/>
    </row>
    <row r="278">
      <c r="A278" s="19" t="s">
        <v>346</v>
      </c>
      <c r="B278" s="20">
        <f>VLOOKUP(F278,'Session Count DO NOT EDIT'!$A:$C,3,FALSE)</f>
        <v>4</v>
      </c>
      <c r="C278" s="20">
        <f>COUNTIFS('Scores Import DO NOT EDIT'!D:D,A278)</f>
        <v>0</v>
      </c>
      <c r="D278" s="21">
        <f t="shared" si="1"/>
        <v>0</v>
      </c>
      <c r="E278" s="22" t="str">
        <f>AVERAGEIFS('Scores Import DO NOT EDIT'!L:L,'Scores Import DO NOT EDIT'!D:D,A278)</f>
        <v>#DIV/0!</v>
      </c>
      <c r="F278" s="23" t="str">
        <f>VLOOKUP(A278, 'Session Data'!A:M,3,false)</f>
        <v>F-8</v>
      </c>
      <c r="G278" s="24" t="str">
        <f>VLOOKUP(A278, 'Session Data'!A:I,2,false)</f>
        <v>9:00 AM</v>
      </c>
      <c r="H278" s="23" t="str">
        <f>VLOOKUP(A278, 'Session Data'!A:J,5,false)</f>
        <v>Behavioral and Social Sciences</v>
      </c>
      <c r="I278" s="25" t="str">
        <f>VLOOKUP(A278, 'Session Data'!A:H,4,false)</f>
        <v>Poster</v>
      </c>
      <c r="J278" s="26" t="str">
        <f>VLOOKUP(A278, 'Session Data'!A:AA,14,false)</f>
        <v>Master's</v>
      </c>
      <c r="K278" s="27" t="str">
        <f>VLOOKUP(A278, 'Session Data'!A:AA,15,false)</f>
        <v>Sciences</v>
      </c>
      <c r="L278" s="28"/>
      <c r="M278" s="29" t="str">
        <f>VLOOKUP(A278, 'Session Data'!A:K,11,false)</f>
        <v>MA in Psychology</v>
      </c>
      <c r="N278" s="26" t="str">
        <f>IF(ISNA(VLOOKUP(A278, 'Award Abstract#'!C:C, 1, FALSE)), "No", "Yes")
</f>
        <v>No</v>
      </c>
      <c r="O278" s="29" t="str">
        <f>IF(ISNA(VLOOKUP(A278,'Award Abstract#'!B:B,1,FALSE)), "No", "Yes")</f>
        <v>No</v>
      </c>
      <c r="P278" s="29" t="str">
        <f>IF(ISNA(VLOOKUP(A278,'Award Abstract#'!E:E,1,FALSE)), "No", "Yes")</f>
        <v>No</v>
      </c>
      <c r="Q278" s="29" t="str">
        <f>IF(ISNA(VLOOKUP(A278,'Award Abstract#'!A:A,1,FALSE)), "No", "Yes")</f>
        <v>No</v>
      </c>
      <c r="R278" s="29" t="str">
        <f>IF(ISNA(VLOOKUP(A278,'Award Abstract#'!D:D,1,FALSE)), "No", "Yes")</f>
        <v>No</v>
      </c>
      <c r="S278" s="30" t="str">
        <f>VLOOKUP(A278, 'Session Data'!A:AA,27,false)</f>
        <v>Man</v>
      </c>
      <c r="T278" s="30"/>
      <c r="U278" s="30"/>
      <c r="V278" s="31" t="str">
        <f>VLOOKUP(A278, 'Session Data'!A:AA,8,false)</f>
        <v>Ryan</v>
      </c>
      <c r="W278" s="32" t="str">
        <f>VLOOKUP(A278, 'Session Data'!A:AA,9,false)</f>
        <v>Shriver</v>
      </c>
      <c r="X278" s="33" t="str">
        <f>VLOOKUP(A278, 'Session Data'!A:AA,12,false)</f>
        <v>Transient and Continuous Neural Indices of Attention Selection and Suppression in Anxiety</v>
      </c>
      <c r="Y278" s="34" t="str">
        <f>VLOOKUP(A278, 'Session Data'!A:AA,22,false)</f>
        <v>Emily</v>
      </c>
      <c r="Z278" s="34" t="str">
        <f>VLOOKUP(A278, 'Session Data'!A:AA,23,false)</f>
        <v>Kappenman</v>
      </c>
      <c r="AA278" s="34" t="str">
        <f>VLOOKUP(A278, 'Session Data'!A:AA,25,false)</f>
        <v>Sciences</v>
      </c>
      <c r="AB278" s="34"/>
      <c r="AC278" s="34" t="str">
        <f>VLOOKUP(A278, 'Session Data'!A:AA,16,false)</f>
        <v>Sophia</v>
      </c>
      <c r="AD278" s="35" t="str">
        <f>VLOOKUP(A278, 'Session Data'!A:U,17,false)</f>
        <v>Fugazzotto</v>
      </c>
      <c r="AE278" s="35" t="str">
        <f>VLOOKUP(A278, 'Session Data'!A:U,18,false)</f>
        <v>Sidney</v>
      </c>
      <c r="AF278" s="35" t="str">
        <f>VLOOKUP(A278, 'Session Data'!A:U,19,false)</f>
        <v>Horne</v>
      </c>
      <c r="AG278" s="35" t="str">
        <f>VLOOKUP(A278, 'Session Data'!A:U,20,false)</f>
        <v/>
      </c>
      <c r="AH278" s="35" t="str">
        <f>VLOOKUP(A278, 'Session Data'!A:U,21,false)</f>
        <v/>
      </c>
      <c r="AI278" s="37"/>
      <c r="AJ278" s="37"/>
      <c r="AK278" s="37"/>
      <c r="AL278" s="50"/>
      <c r="AM278" s="34" t="str">
        <f>VLOOKUP(A278, 'Session Data'!A:AA,10,false)</f>
        <v>rshriver0914@sdsu.edu</v>
      </c>
      <c r="AN278" s="40"/>
      <c r="AO278" s="38"/>
      <c r="AP278" s="38"/>
      <c r="AQ278" s="38"/>
      <c r="AR278" s="38"/>
      <c r="AS278" s="38"/>
      <c r="AT278" s="38"/>
      <c r="AU278" s="38"/>
      <c r="AV278" s="38"/>
      <c r="AW278" s="38"/>
      <c r="AX278" s="38"/>
      <c r="AY278" s="43"/>
      <c r="AZ278" s="43"/>
      <c r="BA278" s="48"/>
      <c r="BB278" s="48"/>
      <c r="BC278" s="43"/>
      <c r="BD278" s="43"/>
      <c r="BE278" s="44"/>
      <c r="BF278" s="45"/>
      <c r="BG278" s="43"/>
    </row>
    <row r="279">
      <c r="A279" s="19" t="s">
        <v>347</v>
      </c>
      <c r="B279" s="20">
        <f>VLOOKUP(F279,'Session Count DO NOT EDIT'!$A:$C,3,FALSE)</f>
        <v>4</v>
      </c>
      <c r="C279" s="20">
        <f>COUNTIFS('Scores Import DO NOT EDIT'!D:D,A279)</f>
        <v>3</v>
      </c>
      <c r="D279" s="21">
        <f t="shared" si="1"/>
        <v>0.75</v>
      </c>
      <c r="E279" s="22">
        <f>AVERAGEIFS('Scores Import DO NOT EDIT'!L:L,'Scores Import DO NOT EDIT'!D:D,A279)</f>
        <v>33.33333333</v>
      </c>
      <c r="F279" s="23" t="str">
        <f>VLOOKUP(A279, 'Session Data'!A:M,3,false)</f>
        <v>F-8</v>
      </c>
      <c r="G279" s="24" t="str">
        <f>VLOOKUP(A279, 'Session Data'!A:I,2,false)</f>
        <v>9:00 AM</v>
      </c>
      <c r="H279" s="23" t="str">
        <f>VLOOKUP(A279, 'Session Data'!A:J,5,false)</f>
        <v>Behavioral and Social Sciences</v>
      </c>
      <c r="I279" s="25" t="str">
        <f>VLOOKUP(A279, 'Session Data'!A:H,4,false)</f>
        <v>Poster</v>
      </c>
      <c r="J279" s="26" t="str">
        <f>VLOOKUP(A279, 'Session Data'!A:AA,14,false)</f>
        <v>Master's</v>
      </c>
      <c r="K279" s="27" t="str">
        <f>VLOOKUP(A279, 'Session Data'!A:AA,15,false)</f>
        <v>Health and Human Services</v>
      </c>
      <c r="L279" s="52" t="s">
        <v>17</v>
      </c>
      <c r="M279" s="29" t="str">
        <f>VLOOKUP(A279, 'Session Data'!A:K,11,false)</f>
        <v>Masters of Social Work</v>
      </c>
      <c r="N279" s="26" t="str">
        <f>IF(ISNA(VLOOKUP(A279, 'Award Abstract#'!C:C, 1, FALSE)), "No", "Yes")
</f>
        <v>No</v>
      </c>
      <c r="O279" s="29" t="str">
        <f>IF(ISNA(VLOOKUP(A279,'Award Abstract#'!B:B,1,FALSE)), "No", "Yes")</f>
        <v>No</v>
      </c>
      <c r="P279" s="29" t="str">
        <f>IF(ISNA(VLOOKUP(A279,'Award Abstract#'!E:E,1,FALSE)), "No", "Yes")</f>
        <v>No</v>
      </c>
      <c r="Q279" s="29" t="str">
        <f>IF(ISNA(VLOOKUP(A279,'Award Abstract#'!A:A,1,FALSE)), "No", "Yes")</f>
        <v>No</v>
      </c>
      <c r="R279" s="29" t="str">
        <f>IF(ISNA(VLOOKUP(A279,'Award Abstract#'!D:D,1,FALSE)), "No", "Yes")</f>
        <v>Yes</v>
      </c>
      <c r="S279" s="30" t="str">
        <f>VLOOKUP(A279, 'Session Data'!A:AA,27,false)</f>
        <v>Man</v>
      </c>
      <c r="T279" s="30"/>
      <c r="U279" s="30"/>
      <c r="V279" s="31" t="str">
        <f>VLOOKUP(A279, 'Session Data'!A:AA,8,false)</f>
        <v>John William</v>
      </c>
      <c r="W279" s="32" t="str">
        <f>VLOOKUP(A279, 'Session Data'!A:AA,9,false)</f>
        <v>Edwards, III</v>
      </c>
      <c r="X279" s="33" t="str">
        <f>VLOOKUP(A279, 'Session Data'!A:AA,12,false)</f>
        <v>“My Barber is Like a Therapist”: The Influence of Trauma-Informed Advocacy on Psychological Openness and Help-Seeking Behaviors Among African American Males During a Barber Visit</v>
      </c>
      <c r="Y279" s="34" t="str">
        <f>VLOOKUP(A279, 'Session Data'!A:AA,22,false)</f>
        <v>Megan</v>
      </c>
      <c r="Z279" s="34" t="str">
        <f>VLOOKUP(A279, 'Session Data'!A:AA,23,false)</f>
        <v>Ebor</v>
      </c>
      <c r="AA279" s="34" t="str">
        <f>VLOOKUP(A279, 'Session Data'!A:AA,25,false)</f>
        <v>Other</v>
      </c>
      <c r="AB279" s="34" t="str">
        <f>VLOOKUP(A279, 'Session Data'!A:AA,24,false)</f>
        <v>mebor@sdsu.edu</v>
      </c>
      <c r="AC279" s="34" t="str">
        <f>VLOOKUP(A279, 'Session Data'!A:AA,16,false)</f>
        <v/>
      </c>
      <c r="AD279" s="35" t="str">
        <f>VLOOKUP(A279, 'Session Data'!A:U,17,false)</f>
        <v/>
      </c>
      <c r="AE279" s="35" t="str">
        <f>VLOOKUP(A279, 'Session Data'!A:U,18,false)</f>
        <v/>
      </c>
      <c r="AF279" s="35" t="str">
        <f>VLOOKUP(A279, 'Session Data'!A:U,19,false)</f>
        <v/>
      </c>
      <c r="AG279" s="35" t="str">
        <f>VLOOKUP(A279, 'Session Data'!A:U,20,false)</f>
        <v/>
      </c>
      <c r="AH279" s="35" t="str">
        <f>VLOOKUP(A279, 'Session Data'!A:U,21,false)</f>
        <v/>
      </c>
      <c r="AI279" s="37"/>
      <c r="AJ279" s="37"/>
      <c r="AK279" s="37"/>
      <c r="AL279" s="50"/>
      <c r="AM279" s="34" t="str">
        <f>VLOOKUP(A279, 'Session Data'!A:AA,10,false)</f>
        <v>jedwards1254@sdsu.edu</v>
      </c>
      <c r="AN279" s="40"/>
      <c r="AO279" s="38"/>
      <c r="AP279" s="38"/>
      <c r="AQ279" s="38"/>
      <c r="AR279" s="38"/>
      <c r="AS279" s="38"/>
      <c r="AT279" s="38"/>
      <c r="AU279" s="38"/>
      <c r="AV279" s="38"/>
      <c r="AW279" s="38"/>
      <c r="AX279" s="38"/>
      <c r="AY279" s="43"/>
      <c r="AZ279" s="43"/>
      <c r="BA279" s="43"/>
      <c r="BB279" s="43"/>
      <c r="BC279" s="43"/>
      <c r="BD279" s="43"/>
      <c r="BE279" s="44"/>
      <c r="BF279" s="45"/>
      <c r="BG279" s="46"/>
    </row>
    <row r="280">
      <c r="A280" s="19" t="s">
        <v>348</v>
      </c>
      <c r="B280" s="20">
        <f>VLOOKUP(F280,'Session Count DO NOT EDIT'!$A:$C,3,FALSE)</f>
        <v>4</v>
      </c>
      <c r="C280" s="20">
        <f>COUNTIFS('Scores Import DO NOT EDIT'!D:D,A280)</f>
        <v>3</v>
      </c>
      <c r="D280" s="21">
        <f t="shared" si="1"/>
        <v>0.75</v>
      </c>
      <c r="E280" s="22">
        <f>AVERAGEIFS('Scores Import DO NOT EDIT'!L:L,'Scores Import DO NOT EDIT'!D:D,A280)</f>
        <v>33</v>
      </c>
      <c r="F280" s="23" t="str">
        <f>VLOOKUP(A280, 'Session Data'!A:M,3,false)</f>
        <v>F-8</v>
      </c>
      <c r="G280" s="24" t="str">
        <f>VLOOKUP(A280, 'Session Data'!A:I,2,false)</f>
        <v>9:00 AM</v>
      </c>
      <c r="H280" s="23" t="str">
        <f>VLOOKUP(A280, 'Session Data'!A:J,5,false)</f>
        <v>Behavioral and Social Sciences</v>
      </c>
      <c r="I280" s="25" t="str">
        <f>VLOOKUP(A280, 'Session Data'!A:H,4,false)</f>
        <v>Poster</v>
      </c>
      <c r="J280" s="26" t="str">
        <f>VLOOKUP(A280, 'Session Data'!A:AA,14,false)</f>
        <v>Master's</v>
      </c>
      <c r="K280" s="27" t="str">
        <f>VLOOKUP(A280, 'Session Data'!A:AA,15,false)</f>
        <v>Sciences</v>
      </c>
      <c r="L280" s="28" t="s">
        <v>324</v>
      </c>
      <c r="M280" s="29" t="str">
        <f>VLOOKUP(A280, 'Session Data'!A:K,11,false)</f>
        <v>Masters of Arts in Psychology </v>
      </c>
      <c r="N280" s="26" t="str">
        <f>IF(ISNA(VLOOKUP(A280, 'Award Abstract#'!C:C, 1, FALSE)), "No", "Yes")
</f>
        <v>No</v>
      </c>
      <c r="O280" s="29" t="str">
        <f>IF(ISNA(VLOOKUP(A280,'Award Abstract#'!B:B,1,FALSE)), "No", "Yes")</f>
        <v>No</v>
      </c>
      <c r="P280" s="29" t="str">
        <f>IF(ISNA(VLOOKUP(A280,'Award Abstract#'!E:E,1,FALSE)), "No", "Yes")</f>
        <v>No</v>
      </c>
      <c r="Q280" s="29" t="str">
        <f>IF(ISNA(VLOOKUP(A280,'Award Abstract#'!A:A,1,FALSE)), "No", "Yes")</f>
        <v>No</v>
      </c>
      <c r="R280" s="29" t="str">
        <f>IF(ISNA(VLOOKUP(A280,'Award Abstract#'!D:D,1,FALSE)), "No", "Yes")</f>
        <v>Yes</v>
      </c>
      <c r="S280" s="30" t="str">
        <f>VLOOKUP(A280, 'Session Data'!A:AA,27,false)</f>
        <v>Woman</v>
      </c>
      <c r="T280" s="30"/>
      <c r="U280" s="30"/>
      <c r="V280" s="31" t="str">
        <f>VLOOKUP(A280, 'Session Data'!A:AA,8,false)</f>
        <v>Noemi </v>
      </c>
      <c r="W280" s="32" t="str">
        <f>VLOOKUP(A280, 'Session Data'!A:AA,9,false)</f>
        <v>Garcia Rodriguez</v>
      </c>
      <c r="X280" s="33" t="str">
        <f>VLOOKUP(A280, 'Session Data'!A:AA,12,false)</f>
        <v>Investigating the Effects of Family Structure on Early Language Acquisition</v>
      </c>
      <c r="Y280" s="34" t="str">
        <f>VLOOKUP(A280, 'Session Data'!A:AA,22,false)</f>
        <v>Margaret</v>
      </c>
      <c r="Z280" s="34" t="str">
        <f>VLOOKUP(A280, 'Session Data'!A:AA,23,false)</f>
        <v>Friend</v>
      </c>
      <c r="AA280" s="34" t="str">
        <f>VLOOKUP(A280, 'Session Data'!A:AA,25,false)</f>
        <v>Sciences</v>
      </c>
      <c r="AB280" s="34" t="str">
        <f>VLOOKUP(A280, 'Session Data'!A:AA,24,false)</f>
        <v>mfriend@sdsu.edu</v>
      </c>
      <c r="AC280" s="34" t="str">
        <f>VLOOKUP(A280, 'Session Data'!A:AA,16,false)</f>
        <v/>
      </c>
      <c r="AD280" s="35" t="str">
        <f>VLOOKUP(A280, 'Session Data'!A:U,17,false)</f>
        <v/>
      </c>
      <c r="AE280" s="35" t="str">
        <f>VLOOKUP(A280, 'Session Data'!A:U,18,false)</f>
        <v/>
      </c>
      <c r="AF280" s="35" t="str">
        <f>VLOOKUP(A280, 'Session Data'!A:U,19,false)</f>
        <v/>
      </c>
      <c r="AG280" s="35" t="str">
        <f>VLOOKUP(A280, 'Session Data'!A:U,20,false)</f>
        <v/>
      </c>
      <c r="AH280" s="35" t="str">
        <f>VLOOKUP(A280, 'Session Data'!A:U,21,false)</f>
        <v/>
      </c>
      <c r="AI280" s="36"/>
      <c r="AJ280" s="38"/>
      <c r="AK280" s="38"/>
      <c r="AL280" s="39"/>
      <c r="AM280" s="34" t="str">
        <f>VLOOKUP(A280, 'Session Data'!A:AA,10,false)</f>
        <v>ngarcia1684@sdsu.edu</v>
      </c>
      <c r="AN280" s="40"/>
      <c r="AO280" s="38"/>
      <c r="AP280" s="38"/>
      <c r="AQ280" s="38"/>
      <c r="AR280" s="38"/>
      <c r="AS280" s="38"/>
      <c r="AT280" s="38"/>
      <c r="AU280" s="38"/>
      <c r="AV280" s="38"/>
      <c r="AW280" s="38"/>
      <c r="AX280" s="38"/>
      <c r="AY280" s="43"/>
      <c r="AZ280" s="43"/>
      <c r="BA280" s="43"/>
      <c r="BB280" s="43"/>
      <c r="BC280" s="43"/>
      <c r="BD280" s="43"/>
      <c r="BE280" s="44"/>
      <c r="BF280" s="45"/>
      <c r="BG280" s="46"/>
    </row>
    <row r="281">
      <c r="A281" s="19" t="s">
        <v>349</v>
      </c>
      <c r="B281" s="20">
        <f>VLOOKUP(F281,'Session Count DO NOT EDIT'!$A:$C,3,FALSE)</f>
        <v>4</v>
      </c>
      <c r="C281" s="20">
        <f>COUNTIFS('Scores Import DO NOT EDIT'!D:D,A281)</f>
        <v>3</v>
      </c>
      <c r="D281" s="21">
        <f t="shared" si="1"/>
        <v>0.75</v>
      </c>
      <c r="E281" s="22">
        <f>AVERAGEIFS('Scores Import DO NOT EDIT'!L:L,'Scores Import DO NOT EDIT'!D:D,A281)</f>
        <v>31.66666667</v>
      </c>
      <c r="F281" s="23" t="str">
        <f>VLOOKUP(A281, 'Session Data'!A:M,3,false)</f>
        <v>F-8</v>
      </c>
      <c r="G281" s="24" t="str">
        <f>VLOOKUP(A281, 'Session Data'!A:I,2,false)</f>
        <v>9:00 AM</v>
      </c>
      <c r="H281" s="23" t="str">
        <f>VLOOKUP(A281, 'Session Data'!A:J,5,false)</f>
        <v>Behavioral and Social Sciences</v>
      </c>
      <c r="I281" s="25" t="str">
        <f>VLOOKUP(A281, 'Session Data'!A:H,4,false)</f>
        <v>Poster</v>
      </c>
      <c r="J281" s="26" t="str">
        <f>VLOOKUP(A281, 'Session Data'!A:AA,14,false)</f>
        <v>Doctoral</v>
      </c>
      <c r="K281" s="27" t="str">
        <f>VLOOKUP(A281, 'Session Data'!A:AA,15,false)</f>
        <v>Sciences</v>
      </c>
      <c r="L281" s="28"/>
      <c r="M281" s="29" t="str">
        <f>VLOOKUP(A281, 'Session Data'!A:K,11,false)</f>
        <v>Chemistry</v>
      </c>
      <c r="N281" s="26" t="str">
        <f>IF(ISNA(VLOOKUP(A281, 'Award Abstract#'!C:C, 1, FALSE)), "No", "Yes")
</f>
        <v>No</v>
      </c>
      <c r="O281" s="29" t="str">
        <f>IF(ISNA(VLOOKUP(A281,'Award Abstract#'!B:B,1,FALSE)), "No", "Yes")</f>
        <v>No</v>
      </c>
      <c r="P281" s="29" t="str">
        <f>IF(ISNA(VLOOKUP(A281,'Award Abstract#'!E:E,1,FALSE)), "No", "Yes")</f>
        <v>No</v>
      </c>
      <c r="Q281" s="29" t="str">
        <f>IF(ISNA(VLOOKUP(A281,'Award Abstract#'!A:A,1,FALSE)), "No", "Yes")</f>
        <v>No</v>
      </c>
      <c r="R281" s="29" t="str">
        <f>IF(ISNA(VLOOKUP(A281,'Award Abstract#'!D:D,1,FALSE)), "No", "Yes")</f>
        <v>No</v>
      </c>
      <c r="S281" s="30" t="str">
        <f>VLOOKUP(A281, 'Session Data'!A:AA,27,false)</f>
        <v>Woman</v>
      </c>
      <c r="T281" s="30"/>
      <c r="U281" s="30"/>
      <c r="V281" s="31" t="str">
        <f>VLOOKUP(A281, 'Session Data'!A:AA,8,false)</f>
        <v>Nino</v>
      </c>
      <c r="W281" s="32" t="str">
        <f>VLOOKUP(A281, 'Session Data'!A:AA,9,false)</f>
        <v>Shatirishvili</v>
      </c>
      <c r="X281" s="33" t="str">
        <f>VLOOKUP(A281, 'Session Data'!A:AA,12,false)</f>
        <v>Sensitive early detection of chronic traumatic encephalopathy related biomarkers using nonlinear multi-photon laser wave-mixing spectroscopy</v>
      </c>
      <c r="Y281" s="34" t="str">
        <f>VLOOKUP(A281, 'Session Data'!A:AA,22,false)</f>
        <v>William</v>
      </c>
      <c r="Z281" s="34" t="str">
        <f>VLOOKUP(A281, 'Session Data'!A:AA,23,false)</f>
        <v>Tong</v>
      </c>
      <c r="AA281" s="34" t="str">
        <f>VLOOKUP(A281, 'Session Data'!A:AA,25,false)</f>
        <v>Sciences</v>
      </c>
      <c r="AB281" s="34"/>
      <c r="AC281" s="34" t="str">
        <f>VLOOKUP(A281, 'Session Data'!A:AA,16,false)</f>
        <v/>
      </c>
      <c r="AD281" s="35" t="str">
        <f>VLOOKUP(A281, 'Session Data'!A:U,17,false)</f>
        <v/>
      </c>
      <c r="AE281" s="35" t="str">
        <f>VLOOKUP(A281, 'Session Data'!A:U,18,false)</f>
        <v/>
      </c>
      <c r="AF281" s="35" t="str">
        <f>VLOOKUP(A281, 'Session Data'!A:U,19,false)</f>
        <v/>
      </c>
      <c r="AG281" s="35" t="str">
        <f>VLOOKUP(A281, 'Session Data'!A:U,20,false)</f>
        <v/>
      </c>
      <c r="AH281" s="35" t="str">
        <f>VLOOKUP(A281, 'Session Data'!A:U,21,false)</f>
        <v/>
      </c>
      <c r="AI281" s="37"/>
      <c r="AJ281" s="37"/>
      <c r="AK281" s="37"/>
      <c r="AL281" s="50"/>
      <c r="AM281" s="34" t="str">
        <f>VLOOKUP(A281, 'Session Data'!A:AA,10,false)</f>
        <v>nshatirishvili@sdsu.edu</v>
      </c>
      <c r="AN281" s="40"/>
      <c r="AO281" s="38"/>
      <c r="AP281" s="38"/>
      <c r="AQ281" s="38"/>
      <c r="AR281" s="38"/>
      <c r="AS281" s="38"/>
      <c r="AT281" s="38"/>
      <c r="AU281" s="38"/>
      <c r="AV281" s="38"/>
      <c r="AW281" s="38"/>
      <c r="AX281" s="38"/>
      <c r="AY281" s="43"/>
      <c r="AZ281" s="43"/>
      <c r="BA281" s="43"/>
      <c r="BB281" s="43"/>
      <c r="BC281" s="43"/>
      <c r="BD281" s="43"/>
      <c r="BE281" s="44"/>
      <c r="BF281" s="45"/>
      <c r="BG281" s="43"/>
    </row>
    <row r="282">
      <c r="A282" s="19" t="s">
        <v>350</v>
      </c>
      <c r="B282" s="20">
        <f>VLOOKUP(F282,'Session Count DO NOT EDIT'!$A:$C,3,FALSE)</f>
        <v>4</v>
      </c>
      <c r="C282" s="20">
        <f>COUNTIFS('Scores Import DO NOT EDIT'!D:D,A282)</f>
        <v>3</v>
      </c>
      <c r="D282" s="21">
        <f t="shared" si="1"/>
        <v>0.75</v>
      </c>
      <c r="E282" s="22">
        <f>AVERAGEIFS('Scores Import DO NOT EDIT'!L:L,'Scores Import DO NOT EDIT'!D:D,A282)</f>
        <v>30.66666667</v>
      </c>
      <c r="F282" s="23" t="str">
        <f>VLOOKUP(A282, 'Session Data'!A:M,3,false)</f>
        <v>F-8</v>
      </c>
      <c r="G282" s="24" t="str">
        <f>VLOOKUP(A282, 'Session Data'!A:I,2,false)</f>
        <v>9:00 AM</v>
      </c>
      <c r="H282" s="23" t="str">
        <f>VLOOKUP(A282, 'Session Data'!A:J,5,false)</f>
        <v>Behavioral and Social Sciences</v>
      </c>
      <c r="I282" s="25" t="str">
        <f>VLOOKUP(A282, 'Session Data'!A:H,4,false)</f>
        <v>Poster</v>
      </c>
      <c r="J282" s="26" t="str">
        <f>VLOOKUP(A282, 'Session Data'!A:AA,14,false)</f>
        <v>Master's</v>
      </c>
      <c r="K282" s="27" t="str">
        <f>VLOOKUP(A282, 'Session Data'!A:AA,15,false)</f>
        <v>Arts and Letters</v>
      </c>
      <c r="L282" s="28"/>
      <c r="M282" s="29" t="str">
        <f>VLOOKUP(A282, 'Session Data'!A:K,11,false)</f>
        <v>Masters of Science in Industrial-Organizational Psychology</v>
      </c>
      <c r="N282" s="26" t="str">
        <f>IF(ISNA(VLOOKUP(A282, 'Award Abstract#'!C:C, 1, FALSE)), "No", "Yes")
</f>
        <v>No</v>
      </c>
      <c r="O282" s="29" t="str">
        <f>IF(ISNA(VLOOKUP(A282,'Award Abstract#'!B:B,1,FALSE)), "No", "Yes")</f>
        <v>No</v>
      </c>
      <c r="P282" s="29" t="str">
        <f>IF(ISNA(VLOOKUP(A282,'Award Abstract#'!E:E,1,FALSE)), "No", "Yes")</f>
        <v>No</v>
      </c>
      <c r="Q282" s="29" t="str">
        <f>IF(ISNA(VLOOKUP(A282,'Award Abstract#'!A:A,1,FALSE)), "No", "Yes")</f>
        <v>No</v>
      </c>
      <c r="R282" s="29" t="str">
        <f>IF(ISNA(VLOOKUP(A282,'Award Abstract#'!D:D,1,FALSE)), "No", "Yes")</f>
        <v>Yes</v>
      </c>
      <c r="S282" s="30" t="str">
        <f>VLOOKUP(A282, 'Session Data'!A:AA,27,false)</f>
        <v>Woman</v>
      </c>
      <c r="T282" s="30"/>
      <c r="U282" s="30"/>
      <c r="V282" s="31" t="str">
        <f>VLOOKUP(A282, 'Session Data'!A:AA,8,false)</f>
        <v>Hannah</v>
      </c>
      <c r="W282" s="32" t="str">
        <f>VLOOKUP(A282, 'Session Data'!A:AA,9,false)</f>
        <v>Valley</v>
      </c>
      <c r="X282" s="33" t="str">
        <f>VLOOKUP(A282, 'Session Data'!A:AA,12,false)</f>
        <v>The Control Conundrum: Unpacking the Relationship between Personality Traits and Policing Effectiveness</v>
      </c>
      <c r="Y282" s="34" t="str">
        <f>VLOOKUP(A282, 'Session Data'!A:AA,22,false)</f>
        <v>Jeff</v>
      </c>
      <c r="Z282" s="34" t="str">
        <f>VLOOKUP(A282, 'Session Data'!A:AA,23,false)</f>
        <v>Conte</v>
      </c>
      <c r="AA282" s="34" t="str">
        <f>VLOOKUP(A282, 'Session Data'!A:AA,25,false)</f>
        <v>Arts and Letters</v>
      </c>
      <c r="AB282" s="34" t="str">
        <f>VLOOKUP(A282, 'Session Data'!A:AA,24,false)</f>
        <v>jeff.conte@sdsu.edu</v>
      </c>
      <c r="AC282" s="34" t="str">
        <f>VLOOKUP(A282, 'Session Data'!A:AA,16,false)</f>
        <v/>
      </c>
      <c r="AD282" s="35" t="str">
        <f>VLOOKUP(A282, 'Session Data'!A:U,17,false)</f>
        <v/>
      </c>
      <c r="AE282" s="35" t="str">
        <f>VLOOKUP(A282, 'Session Data'!A:U,18,false)</f>
        <v/>
      </c>
      <c r="AF282" s="35" t="str">
        <f>VLOOKUP(A282, 'Session Data'!A:U,19,false)</f>
        <v/>
      </c>
      <c r="AG282" s="35" t="str">
        <f>VLOOKUP(A282, 'Session Data'!A:U,20,false)</f>
        <v/>
      </c>
      <c r="AH282" s="35" t="str">
        <f>VLOOKUP(A282, 'Session Data'!A:U,21,false)</f>
        <v/>
      </c>
      <c r="AI282" s="37"/>
      <c r="AJ282" s="37"/>
      <c r="AK282" s="37"/>
      <c r="AL282" s="50"/>
      <c r="AM282" s="34" t="str">
        <f>VLOOKUP(A282, 'Session Data'!A:AA,10,false)</f>
        <v>hvalley5854@sdsu.edu</v>
      </c>
      <c r="AN282" s="40"/>
      <c r="AO282" s="38"/>
      <c r="AP282" s="38"/>
      <c r="AQ282" s="38"/>
      <c r="AR282" s="38"/>
      <c r="AS282" s="38"/>
      <c r="AT282" s="38"/>
      <c r="AU282" s="38"/>
      <c r="AV282" s="38"/>
      <c r="AW282" s="38"/>
      <c r="AX282" s="38"/>
      <c r="AY282" s="43"/>
      <c r="AZ282" s="43"/>
      <c r="BA282" s="43"/>
      <c r="BB282" s="43"/>
      <c r="BC282" s="43"/>
      <c r="BD282" s="43"/>
      <c r="BE282" s="44"/>
      <c r="BF282" s="45"/>
      <c r="BG282" s="43"/>
    </row>
    <row r="283">
      <c r="A283" s="19" t="s">
        <v>351</v>
      </c>
      <c r="B283" s="20">
        <f>VLOOKUP(F283,'Session Count DO NOT EDIT'!$A:$C,3,FALSE)</f>
        <v>4</v>
      </c>
      <c r="C283" s="20">
        <f>COUNTIFS('Scores Import DO NOT EDIT'!D:D,A283)</f>
        <v>3</v>
      </c>
      <c r="D283" s="21">
        <f t="shared" si="1"/>
        <v>0.75</v>
      </c>
      <c r="E283" s="22">
        <f>AVERAGEIFS('Scores Import DO NOT EDIT'!L:L,'Scores Import DO NOT EDIT'!D:D,A283)</f>
        <v>29</v>
      </c>
      <c r="F283" s="23" t="str">
        <f>VLOOKUP(A283, 'Session Data'!A:M,3,false)</f>
        <v>F-8</v>
      </c>
      <c r="G283" s="24" t="str">
        <f>VLOOKUP(A283, 'Session Data'!A:I,2,false)</f>
        <v>9:00 AM</v>
      </c>
      <c r="H283" s="23" t="str">
        <f>VLOOKUP(A283, 'Session Data'!A:J,5,false)</f>
        <v>Behavioral and Social Sciences</v>
      </c>
      <c r="I283" s="25" t="str">
        <f>VLOOKUP(A283, 'Session Data'!A:H,4,false)</f>
        <v>Poster</v>
      </c>
      <c r="J283" s="26" t="str">
        <f>VLOOKUP(A283, 'Session Data'!A:AA,14,false)</f>
        <v>Master's</v>
      </c>
      <c r="K283" s="27" t="str">
        <f>VLOOKUP(A283, 'Session Data'!A:AA,15,false)</f>
        <v>Education</v>
      </c>
      <c r="L283" s="28" t="s">
        <v>324</v>
      </c>
      <c r="M283" s="29" t="str">
        <f>VLOOKUP(A283, 'Session Data'!A:K,11,false)</f>
        <v>M.A. Education - Dual Language &amp; English Learner Education (Outside Specialization)</v>
      </c>
      <c r="N283" s="26" t="str">
        <f>IF(ISNA(VLOOKUP(A283, 'Award Abstract#'!C:C, 1, FALSE)), "No", "Yes")
</f>
        <v>No</v>
      </c>
      <c r="O283" s="29" t="str">
        <f>IF(ISNA(VLOOKUP(A283,'Award Abstract#'!B:B,1,FALSE)), "No", "Yes")</f>
        <v>No</v>
      </c>
      <c r="P283" s="29" t="str">
        <f>IF(ISNA(VLOOKUP(A283,'Award Abstract#'!E:E,1,FALSE)), "No", "Yes")</f>
        <v>No</v>
      </c>
      <c r="Q283" s="29" t="str">
        <f>IF(ISNA(VLOOKUP(A283,'Award Abstract#'!A:A,1,FALSE)), "No", "Yes")</f>
        <v>Yes</v>
      </c>
      <c r="R283" s="29" t="str">
        <f>IF(ISNA(VLOOKUP(A283,'Award Abstract#'!D:D,1,FALSE)), "No", "Yes")</f>
        <v>Yes</v>
      </c>
      <c r="S283" s="30" t="str">
        <f>VLOOKUP(A283, 'Session Data'!A:AA,27,false)</f>
        <v>Woman</v>
      </c>
      <c r="T283" s="30"/>
      <c r="U283" s="30"/>
      <c r="V283" s="31" t="str">
        <f>VLOOKUP(A283, 'Session Data'!A:AA,8,false)</f>
        <v>Rose Anh</v>
      </c>
      <c r="W283" s="32" t="str">
        <f>VLOOKUP(A283, 'Session Data'!A:AA,9,false)</f>
        <v>Do</v>
      </c>
      <c r="X283" s="33" t="str">
        <f>VLOOKUP(A283, 'Session Data'!A:AA,12,false)</f>
        <v>Supporting Emergent Multilingual Learners' Informal Science Education Experience</v>
      </c>
      <c r="Y283" s="34" t="str">
        <f>VLOOKUP(A283, 'Session Data'!A:AA,22,false)</f>
        <v>Tamara</v>
      </c>
      <c r="Z283" s="34" t="str">
        <f>VLOOKUP(A283, 'Session Data'!A:AA,23,false)</f>
        <v>Collins-Parks</v>
      </c>
      <c r="AA283" s="34" t="str">
        <f>VLOOKUP(A283, 'Session Data'!A:AA,25,false)</f>
        <v>Education</v>
      </c>
      <c r="AB283" s="34" t="str">
        <f>VLOOKUP(A283, 'Session Data'!A:AA,24,false)</f>
        <v>TCollins-Parks@sdsu.edu</v>
      </c>
      <c r="AC283" s="34" t="str">
        <f>VLOOKUP(A283, 'Session Data'!A:AA,16,false)</f>
        <v/>
      </c>
      <c r="AD283" s="35" t="str">
        <f>VLOOKUP(A283, 'Session Data'!A:U,17,false)</f>
        <v/>
      </c>
      <c r="AE283" s="35" t="str">
        <f>VLOOKUP(A283, 'Session Data'!A:U,18,false)</f>
        <v/>
      </c>
      <c r="AF283" s="35" t="str">
        <f>VLOOKUP(A283, 'Session Data'!A:U,19,false)</f>
        <v/>
      </c>
      <c r="AG283" s="35" t="str">
        <f>VLOOKUP(A283, 'Session Data'!A:U,20,false)</f>
        <v/>
      </c>
      <c r="AH283" s="35" t="str">
        <f>VLOOKUP(A283, 'Session Data'!A:U,21,false)</f>
        <v/>
      </c>
      <c r="AI283" s="37"/>
      <c r="AJ283" s="37"/>
      <c r="AK283" s="37"/>
      <c r="AL283" s="50"/>
      <c r="AM283" s="34" t="str">
        <f>VLOOKUP(A283, 'Session Data'!A:AA,10,false)</f>
        <v>rdo5932@sdsu.edu</v>
      </c>
      <c r="AN283" s="40"/>
      <c r="AO283" s="38"/>
      <c r="AP283" s="38"/>
      <c r="AQ283" s="38"/>
      <c r="AR283" s="38"/>
      <c r="AS283" s="38"/>
      <c r="AT283" s="38"/>
      <c r="AU283" s="38"/>
      <c r="AV283" s="38"/>
      <c r="AW283" s="38"/>
      <c r="AX283" s="38"/>
      <c r="AY283" s="43"/>
      <c r="AZ283" s="43"/>
      <c r="BA283" s="43"/>
      <c r="BB283" s="43"/>
      <c r="BC283" s="43"/>
      <c r="BD283" s="43"/>
      <c r="BE283" s="44"/>
      <c r="BF283" s="45"/>
      <c r="BG283" s="43"/>
    </row>
    <row r="284">
      <c r="A284" s="19" t="s">
        <v>352</v>
      </c>
      <c r="B284" s="20">
        <f>VLOOKUP(F284,'Session Count DO NOT EDIT'!$A:$C,3,FALSE)</f>
        <v>4</v>
      </c>
      <c r="C284" s="20">
        <f>COUNTIFS('Scores Import DO NOT EDIT'!D:D,A284)</f>
        <v>3</v>
      </c>
      <c r="D284" s="21">
        <f t="shared" si="1"/>
        <v>0.75</v>
      </c>
      <c r="E284" s="22">
        <f>AVERAGEIFS('Scores Import DO NOT EDIT'!L:L,'Scores Import DO NOT EDIT'!D:D,A284)</f>
        <v>28.66666667</v>
      </c>
      <c r="F284" s="23" t="str">
        <f>VLOOKUP(A284, 'Session Data'!A:M,3,false)</f>
        <v>F-8</v>
      </c>
      <c r="G284" s="24" t="str">
        <f>VLOOKUP(A284, 'Session Data'!A:I,2,false)</f>
        <v>9:00 AM</v>
      </c>
      <c r="H284" s="23" t="str">
        <f>VLOOKUP(A284, 'Session Data'!A:J,5,false)</f>
        <v>Behavioral and Social Sciences</v>
      </c>
      <c r="I284" s="25" t="str">
        <f>VLOOKUP(A284, 'Session Data'!A:H,4,false)</f>
        <v>Poster</v>
      </c>
      <c r="J284" s="26" t="str">
        <f>VLOOKUP(A284, 'Session Data'!A:AA,14,false)</f>
        <v>Master's</v>
      </c>
      <c r="K284" s="27" t="str">
        <f>VLOOKUP(A284, 'Session Data'!A:AA,15,false)</f>
        <v>Sciences</v>
      </c>
      <c r="L284" s="28"/>
      <c r="M284" s="29" t="str">
        <f>VLOOKUP(A284, 'Session Data'!A:K,11,false)</f>
        <v>Masters of Arts in Psychology</v>
      </c>
      <c r="N284" s="26" t="str">
        <f>IF(ISNA(VLOOKUP(A284, 'Award Abstract#'!C:C, 1, FALSE)), "No", "Yes")
</f>
        <v>No</v>
      </c>
      <c r="O284" s="29" t="str">
        <f>IF(ISNA(VLOOKUP(A284,'Award Abstract#'!B:B,1,FALSE)), "No", "Yes")</f>
        <v>No</v>
      </c>
      <c r="P284" s="29" t="str">
        <f>IF(ISNA(VLOOKUP(A284,'Award Abstract#'!E:E,1,FALSE)), "No", "Yes")</f>
        <v>No</v>
      </c>
      <c r="Q284" s="29" t="str">
        <f>IF(ISNA(VLOOKUP(A284,'Award Abstract#'!A:A,1,FALSE)), "No", "Yes")</f>
        <v>No</v>
      </c>
      <c r="R284" s="29" t="str">
        <f>IF(ISNA(VLOOKUP(A284,'Award Abstract#'!D:D,1,FALSE)), "No", "Yes")</f>
        <v>No</v>
      </c>
      <c r="S284" s="30" t="str">
        <f>VLOOKUP(A284, 'Session Data'!A:AA,27,false)</f>
        <v>Man</v>
      </c>
      <c r="T284" s="30"/>
      <c r="U284" s="30"/>
      <c r="V284" s="31" t="str">
        <f>VLOOKUP(A284, 'Session Data'!A:AA,8,false)</f>
        <v>Hector</v>
      </c>
      <c r="W284" s="32" t="str">
        <f>VLOOKUP(A284, 'Session Data'!A:AA,9,false)</f>
        <v>Reyes</v>
      </c>
      <c r="X284" s="33" t="str">
        <f>VLOOKUP(A284, 'Session Data'!A:AA,12,false)</f>
        <v>Investigating the Influence of Cardiovascular Risk Factors on White Matter Atrophy in the Parahippocampal Gyrus and Entorhinal Cortex </v>
      </c>
      <c r="Y284" s="34" t="str">
        <f>VLOOKUP(A284, 'Session Data'!A:AA,22,false)</f>
        <v>Claire</v>
      </c>
      <c r="Z284" s="34" t="str">
        <f>VLOOKUP(A284, 'Session Data'!A:AA,23,false)</f>
        <v>Murphy</v>
      </c>
      <c r="AA284" s="34" t="str">
        <f>VLOOKUP(A284, 'Session Data'!A:AA,25,false)</f>
        <v>Sciences</v>
      </c>
      <c r="AB284" s="34"/>
      <c r="AC284" s="34" t="str">
        <f>VLOOKUP(A284, 'Session Data'!A:AA,16,false)</f>
        <v/>
      </c>
      <c r="AD284" s="35" t="str">
        <f>VLOOKUP(A284, 'Session Data'!A:U,17,false)</f>
        <v/>
      </c>
      <c r="AE284" s="35" t="str">
        <f>VLOOKUP(A284, 'Session Data'!A:U,18,false)</f>
        <v/>
      </c>
      <c r="AF284" s="35" t="str">
        <f>VLOOKUP(A284, 'Session Data'!A:U,19,false)</f>
        <v/>
      </c>
      <c r="AG284" s="35" t="str">
        <f>VLOOKUP(A284, 'Session Data'!A:U,20,false)</f>
        <v/>
      </c>
      <c r="AH284" s="35" t="str">
        <f>VLOOKUP(A284, 'Session Data'!A:U,21,false)</f>
        <v/>
      </c>
      <c r="AI284" s="36"/>
      <c r="AJ284" s="38"/>
      <c r="AK284" s="38"/>
      <c r="AL284" s="39"/>
      <c r="AM284" s="34" t="str">
        <f>VLOOKUP(A284, 'Session Data'!A:AA,10,false)</f>
        <v>hreyes0762@sdsu.edu</v>
      </c>
      <c r="AN284" s="40"/>
      <c r="AO284" s="38"/>
      <c r="AP284" s="38"/>
      <c r="AQ284" s="38"/>
      <c r="AR284" s="38"/>
      <c r="AS284" s="38"/>
      <c r="AT284" s="38"/>
      <c r="AU284" s="38"/>
      <c r="AV284" s="38"/>
      <c r="AW284" s="38"/>
      <c r="AX284" s="38"/>
      <c r="AY284" s="43"/>
      <c r="AZ284" s="43"/>
      <c r="BA284" s="48"/>
      <c r="BB284" s="48"/>
      <c r="BC284" s="43"/>
      <c r="BD284" s="43"/>
      <c r="BE284" s="44"/>
      <c r="BF284" s="45"/>
      <c r="BG284" s="43"/>
    </row>
    <row r="285">
      <c r="A285" s="19" t="s">
        <v>353</v>
      </c>
      <c r="B285" s="20">
        <f>VLOOKUP(F285,'Session Count DO NOT EDIT'!$A:$C,3,FALSE)</f>
        <v>4</v>
      </c>
      <c r="C285" s="20">
        <f>COUNTIFS('Scores Import DO NOT EDIT'!D:D,A285)</f>
        <v>4</v>
      </c>
      <c r="D285" s="21">
        <f t="shared" si="1"/>
        <v>1</v>
      </c>
      <c r="E285" s="22">
        <f>AVERAGEIFS('Scores Import DO NOT EDIT'!L:L,'Scores Import DO NOT EDIT'!D:D,A285)</f>
        <v>31.75</v>
      </c>
      <c r="F285" s="23" t="str">
        <f>VLOOKUP(A285, 'Session Data'!A:M,3,false)</f>
        <v>F-9</v>
      </c>
      <c r="G285" s="24" t="str">
        <f>VLOOKUP(A285, 'Session Data'!A:I,2,false)</f>
        <v>9:00 AM</v>
      </c>
      <c r="H285" s="23" t="str">
        <f>VLOOKUP(A285, 'Session Data'!A:J,5,false)</f>
        <v>Biological and Agricultural Sciences</v>
      </c>
      <c r="I285" s="25" t="str">
        <f>VLOOKUP(A285, 'Session Data'!A:H,4,false)</f>
        <v>Poster</v>
      </c>
      <c r="J285" s="26" t="str">
        <f>VLOOKUP(A285, 'Session Data'!A:AA,14,false)</f>
        <v>Doctoral</v>
      </c>
      <c r="K285" s="27" t="str">
        <f>VLOOKUP(A285, 'Session Data'!A:AA,15,false)</f>
        <v>Sciences</v>
      </c>
      <c r="L285" s="28" t="s">
        <v>98</v>
      </c>
      <c r="M285" s="29" t="str">
        <f>VLOOKUP(A285, 'Session Data'!A:K,11,false)</f>
        <v>PhD in Evolutionary Biology</v>
      </c>
      <c r="N285" s="26" t="str">
        <f>IF(ISNA(VLOOKUP(A285, 'Award Abstract#'!C:C, 1, FALSE)), "No", "Yes")
</f>
        <v>No</v>
      </c>
      <c r="O285" s="29" t="str">
        <f>IF(ISNA(VLOOKUP(A285,'Award Abstract#'!B:B,1,FALSE)), "No", "Yes")</f>
        <v>Yes</v>
      </c>
      <c r="P285" s="29" t="str">
        <f>IF(ISNA(VLOOKUP(A285,'Award Abstract#'!E:E,1,FALSE)), "No", "Yes")</f>
        <v>No</v>
      </c>
      <c r="Q285" s="29" t="str">
        <f>IF(ISNA(VLOOKUP(A285,'Award Abstract#'!A:A,1,FALSE)), "No", "Yes")</f>
        <v>No</v>
      </c>
      <c r="R285" s="29" t="str">
        <f>IF(ISNA(VLOOKUP(A285,'Award Abstract#'!D:D,1,FALSE)), "No", "Yes")</f>
        <v>No</v>
      </c>
      <c r="S285" s="30" t="str">
        <f>VLOOKUP(A285, 'Session Data'!A:AA,27,false)</f>
        <v>Woman</v>
      </c>
      <c r="T285" s="30"/>
      <c r="U285" s="30"/>
      <c r="V285" s="31" t="str">
        <f>VLOOKUP(A285, 'Session Data'!A:AA,8,false)</f>
        <v>Tamsen</v>
      </c>
      <c r="W285" s="32" t="str">
        <f>VLOOKUP(A285, 'Session Data'!A:AA,9,false)</f>
        <v>Dunn</v>
      </c>
      <c r="X285" s="33" t="str">
        <f>VLOOKUP(A285, 'Session Data'!A:AA,12,false)</f>
        <v>Hunting for genomic fossils: Inferring the characteristics of ancient polyploidization events from modern plant genomes</v>
      </c>
      <c r="Y285" s="34" t="str">
        <f>VLOOKUP(A285, 'Session Data'!A:AA,22,false)</f>
        <v>Arun</v>
      </c>
      <c r="Z285" s="34" t="str">
        <f>VLOOKUP(A285, 'Session Data'!A:AA,23,false)</f>
        <v>Sethuraman</v>
      </c>
      <c r="AA285" s="34" t="str">
        <f>VLOOKUP(A285, 'Session Data'!A:AA,25,false)</f>
        <v>Sciences</v>
      </c>
      <c r="AB285" s="34"/>
      <c r="AC285" s="34" t="str">
        <f>VLOOKUP(A285, 'Session Data'!A:AA,16,false)</f>
        <v/>
      </c>
      <c r="AD285" s="35" t="str">
        <f>VLOOKUP(A285, 'Session Data'!A:U,17,false)</f>
        <v/>
      </c>
      <c r="AE285" s="35" t="str">
        <f>VLOOKUP(A285, 'Session Data'!A:U,18,false)</f>
        <v/>
      </c>
      <c r="AF285" s="35" t="str">
        <f>VLOOKUP(A285, 'Session Data'!A:U,19,false)</f>
        <v/>
      </c>
      <c r="AG285" s="35" t="str">
        <f>VLOOKUP(A285, 'Session Data'!A:U,20,false)</f>
        <v/>
      </c>
      <c r="AH285" s="35" t="str">
        <f>VLOOKUP(A285, 'Session Data'!A:U,21,false)</f>
        <v/>
      </c>
      <c r="AI285" s="37"/>
      <c r="AJ285" s="37"/>
      <c r="AK285" s="37"/>
      <c r="AL285" s="50"/>
      <c r="AM285" s="34" t="str">
        <f>VLOOKUP(A285, 'Session Data'!A:AA,10,false)</f>
        <v>tdunn3966@sdsu.edu</v>
      </c>
      <c r="AN285" s="40"/>
      <c r="AO285" s="38"/>
      <c r="AP285" s="38"/>
      <c r="AQ285" s="38"/>
      <c r="AR285" s="38"/>
      <c r="AS285" s="38"/>
      <c r="AT285" s="38"/>
      <c r="AU285" s="38"/>
      <c r="AV285" s="38"/>
      <c r="AW285" s="38"/>
      <c r="AX285" s="38"/>
      <c r="AY285" s="43"/>
      <c r="AZ285" s="43"/>
      <c r="BA285" s="43"/>
      <c r="BB285" s="43"/>
      <c r="BC285" s="43"/>
      <c r="BD285" s="43"/>
      <c r="BE285" s="44"/>
      <c r="BF285" s="45"/>
      <c r="BG285" s="46"/>
    </row>
    <row r="286">
      <c r="A286" s="19" t="s">
        <v>354</v>
      </c>
      <c r="B286" s="20">
        <f>VLOOKUP(F286,'Session Count DO NOT EDIT'!$A:$C,3,FALSE)</f>
        <v>4</v>
      </c>
      <c r="C286" s="20">
        <f>COUNTIFS('Scores Import DO NOT EDIT'!D:D,A286)</f>
        <v>3</v>
      </c>
      <c r="D286" s="21">
        <f t="shared" si="1"/>
        <v>0.75</v>
      </c>
      <c r="E286" s="22">
        <f>AVERAGEIFS('Scores Import DO NOT EDIT'!L:L,'Scores Import DO NOT EDIT'!D:D,A286)</f>
        <v>31</v>
      </c>
      <c r="F286" s="23" t="str">
        <f>VLOOKUP(A286, 'Session Data'!A:M,3,false)</f>
        <v>F-9</v>
      </c>
      <c r="G286" s="24" t="str">
        <f>VLOOKUP(A286, 'Session Data'!A:I,2,false)</f>
        <v>9:00 AM</v>
      </c>
      <c r="H286" s="23" t="str">
        <f>VLOOKUP(A286, 'Session Data'!A:J,5,false)</f>
        <v>Biological and Agricultural Sciences</v>
      </c>
      <c r="I286" s="25" t="str">
        <f>VLOOKUP(A286, 'Session Data'!A:H,4,false)</f>
        <v>Poster</v>
      </c>
      <c r="J286" s="26" t="str">
        <f>VLOOKUP(A286, 'Session Data'!A:AA,14,false)</f>
        <v>Master's</v>
      </c>
      <c r="K286" s="27" t="str">
        <f>VLOOKUP(A286, 'Session Data'!A:AA,15,false)</f>
        <v>Sciences</v>
      </c>
      <c r="L286" s="79"/>
      <c r="M286" s="29" t="str">
        <f>VLOOKUP(A286, 'Session Data'!A:K,11,false)</f>
        <v>Mechatronics</v>
      </c>
      <c r="N286" s="26" t="str">
        <f>IF(ISNA(VLOOKUP(A286, 'Award Abstract#'!C:C, 1, FALSE)), "No", "Yes")
</f>
        <v>No</v>
      </c>
      <c r="O286" s="29" t="str">
        <f>IF(ISNA(VLOOKUP(A286,'Award Abstract#'!B:B,1,FALSE)), "No", "Yes")</f>
        <v>Yes</v>
      </c>
      <c r="P286" s="29" t="str">
        <f>IF(ISNA(VLOOKUP(A286,'Award Abstract#'!E:E,1,FALSE)), "No", "Yes")</f>
        <v>No</v>
      </c>
      <c r="Q286" s="29" t="str">
        <f>IF(ISNA(VLOOKUP(A286,'Award Abstract#'!A:A,1,FALSE)), "No", "Yes")</f>
        <v>No</v>
      </c>
      <c r="R286" s="29" t="str">
        <f>IF(ISNA(VLOOKUP(A286,'Award Abstract#'!D:D,1,FALSE)), "No", "Yes")</f>
        <v>No</v>
      </c>
      <c r="S286" s="30" t="str">
        <f>VLOOKUP(A286, 'Session Data'!A:AA,27,false)</f>
        <v>Man</v>
      </c>
      <c r="T286" s="30"/>
      <c r="U286" s="30"/>
      <c r="V286" s="31" t="str">
        <f>VLOOKUP(A286, 'Session Data'!A:AA,8,false)</f>
        <v>Salatiel</v>
      </c>
      <c r="W286" s="32" t="str">
        <f>VLOOKUP(A286, 'Session Data'!A:AA,9,false)</f>
        <v>Garcia Nava</v>
      </c>
      <c r="X286" s="33" t="str">
        <f>VLOOKUP(A286, 'Session Data'!A:AA,12,false)</f>
        <v>Design and implementation of a photobioreactor for the cultivation of microalgae results in increased growth rates and productivities</v>
      </c>
      <c r="Y286" s="34" t="str">
        <f>VLOOKUP(A286, 'Session Data'!A:AA,22,false)</f>
        <v>Cristal</v>
      </c>
      <c r="Z286" s="34" t="str">
        <f>VLOOKUP(A286, 'Session Data'!A:AA,23,false)</f>
        <v>Zuniga</v>
      </c>
      <c r="AA286" s="34" t="str">
        <f>VLOOKUP(A286, 'Session Data'!A:AA,25,false)</f>
        <v>Sciences</v>
      </c>
      <c r="AB286" s="34"/>
      <c r="AC286" s="34" t="str">
        <f>VLOOKUP(A286, 'Session Data'!A:AA,16,false)</f>
        <v>Juan</v>
      </c>
      <c r="AD286" s="35" t="str">
        <f>VLOOKUP(A286, 'Session Data'!A:U,17,false)</f>
        <v>Cabello Robles</v>
      </c>
      <c r="AE286" s="35" t="str">
        <f>VLOOKUP(A286, 'Session Data'!A:U,18,false)</f>
        <v/>
      </c>
      <c r="AF286" s="35" t="str">
        <f>VLOOKUP(A286, 'Session Data'!A:U,19,false)</f>
        <v/>
      </c>
      <c r="AG286" s="35" t="str">
        <f>VLOOKUP(A286, 'Session Data'!A:U,20,false)</f>
        <v/>
      </c>
      <c r="AH286" s="35" t="str">
        <f>VLOOKUP(A286, 'Session Data'!A:U,21,false)</f>
        <v/>
      </c>
      <c r="AI286" s="37"/>
      <c r="AJ286" s="37"/>
      <c r="AK286" s="37"/>
      <c r="AL286" s="50"/>
      <c r="AM286" s="34" t="str">
        <f>VLOOKUP(A286, 'Session Data'!A:AA,10,false)</f>
        <v>czuniga2@sdsu.edu</v>
      </c>
      <c r="AN286" s="40"/>
      <c r="AO286" s="38"/>
      <c r="AP286" s="38"/>
      <c r="AQ286" s="38"/>
      <c r="AR286" s="38"/>
      <c r="AS286" s="38"/>
      <c r="AT286" s="38"/>
      <c r="AU286" s="38"/>
      <c r="AV286" s="38"/>
      <c r="AW286" s="38"/>
      <c r="AX286" s="38"/>
      <c r="AY286" s="43"/>
      <c r="AZ286" s="43"/>
      <c r="BA286" s="48"/>
      <c r="BB286" s="48"/>
      <c r="BC286" s="43"/>
      <c r="BD286" s="43"/>
      <c r="BE286" s="44"/>
      <c r="BF286" s="45"/>
      <c r="BG286" s="43"/>
    </row>
    <row r="287">
      <c r="A287" s="19" t="s">
        <v>355</v>
      </c>
      <c r="B287" s="20">
        <f>VLOOKUP(F287,'Session Count DO NOT EDIT'!$A:$C,3,FALSE)</f>
        <v>4</v>
      </c>
      <c r="C287" s="20">
        <f>COUNTIFS('Scores Import DO NOT EDIT'!D:D,A287)</f>
        <v>4</v>
      </c>
      <c r="D287" s="21">
        <f t="shared" si="1"/>
        <v>1</v>
      </c>
      <c r="E287" s="22">
        <f>AVERAGEIFS('Scores Import DO NOT EDIT'!L:L,'Scores Import DO NOT EDIT'!D:D,A287)</f>
        <v>33.5</v>
      </c>
      <c r="F287" s="23" t="str">
        <f>VLOOKUP(A287, 'Session Data'!A:M,3,false)</f>
        <v>F-9</v>
      </c>
      <c r="G287" s="24" t="str">
        <f>VLOOKUP(A287, 'Session Data'!A:I,2,false)</f>
        <v>9:00 AM</v>
      </c>
      <c r="H287" s="23" t="str">
        <f>VLOOKUP(A287, 'Session Data'!A:J,5,false)</f>
        <v>Biological and Agricultural Sciences</v>
      </c>
      <c r="I287" s="25" t="str">
        <f>VLOOKUP(A287, 'Session Data'!A:H,4,false)</f>
        <v>Poster</v>
      </c>
      <c r="J287" s="26" t="str">
        <f>VLOOKUP(A287, 'Session Data'!A:AA,14,false)</f>
        <v>Master's</v>
      </c>
      <c r="K287" s="27" t="str">
        <f>VLOOKUP(A287, 'Session Data'!A:AA,15,false)</f>
        <v>Sciences</v>
      </c>
      <c r="L287" s="28" t="s">
        <v>187</v>
      </c>
      <c r="M287" s="29" t="str">
        <f>VLOOKUP(A287, 'Session Data'!A:K,11,false)</f>
        <v>Cell and Molecular Biology</v>
      </c>
      <c r="N287" s="26" t="str">
        <f>IF(ISNA(VLOOKUP(A287, 'Award Abstract#'!C:C, 1, FALSE)), "No", "Yes")
</f>
        <v>No</v>
      </c>
      <c r="O287" s="29" t="str">
        <f>IF(ISNA(VLOOKUP(A287,'Award Abstract#'!B:B,1,FALSE)), "No", "Yes")</f>
        <v>No</v>
      </c>
      <c r="P287" s="29" t="str">
        <f>IF(ISNA(VLOOKUP(A287,'Award Abstract#'!E:E,1,FALSE)), "No", "Yes")</f>
        <v>No</v>
      </c>
      <c r="Q287" s="29" t="str">
        <f>IF(ISNA(VLOOKUP(A287,'Award Abstract#'!A:A,1,FALSE)), "No", "Yes")</f>
        <v>No</v>
      </c>
      <c r="R287" s="29" t="str">
        <f>IF(ISNA(VLOOKUP(A287,'Award Abstract#'!D:D,1,FALSE)), "No", "Yes")</f>
        <v>No</v>
      </c>
      <c r="S287" s="30" t="str">
        <f>VLOOKUP(A287, 'Session Data'!A:AA,27,false)</f>
        <v>Woman</v>
      </c>
      <c r="T287" s="30"/>
      <c r="U287" s="30"/>
      <c r="V287" s="31" t="str">
        <f>VLOOKUP(A287, 'Session Data'!A:AA,8,false)</f>
        <v>Sofia</v>
      </c>
      <c r="W287" s="32" t="str">
        <f>VLOOKUP(A287, 'Session Data'!A:AA,9,false)</f>
        <v>Howe</v>
      </c>
      <c r="X287" s="33" t="str">
        <f>VLOOKUP(A287, 'Session Data'!A:AA,12,false)</f>
        <v>The role of obese preadipocytes in the ovarian cancer tumor microenvironment</v>
      </c>
      <c r="Y287" s="34" t="str">
        <f>VLOOKUP(A287, 'Session Data'!A:AA,22,false)</f>
        <v>Carrie</v>
      </c>
      <c r="Z287" s="34" t="str">
        <f>VLOOKUP(A287, 'Session Data'!A:AA,23,false)</f>
        <v>House</v>
      </c>
      <c r="AA287" s="34" t="str">
        <f>VLOOKUP(A287, 'Session Data'!A:AA,25,false)</f>
        <v>Sciences</v>
      </c>
      <c r="AB287" s="34" t="str">
        <f>VLOOKUP(A287, 'Session Data'!A:AA,24,false)</f>
        <v>cdhouse@sdsu.edu</v>
      </c>
      <c r="AC287" s="34" t="str">
        <f>VLOOKUP(A287, 'Session Data'!A:AA,16,false)</f>
        <v/>
      </c>
      <c r="AD287" s="35" t="str">
        <f>VLOOKUP(A287, 'Session Data'!A:U,17,false)</f>
        <v/>
      </c>
      <c r="AE287" s="35" t="str">
        <f>VLOOKUP(A287, 'Session Data'!A:U,18,false)</f>
        <v/>
      </c>
      <c r="AF287" s="35" t="str">
        <f>VLOOKUP(A287, 'Session Data'!A:U,19,false)</f>
        <v/>
      </c>
      <c r="AG287" s="35" t="str">
        <f>VLOOKUP(A287, 'Session Data'!A:U,20,false)</f>
        <v/>
      </c>
      <c r="AH287" s="35" t="str">
        <f>VLOOKUP(A287, 'Session Data'!A:U,21,false)</f>
        <v/>
      </c>
      <c r="AI287" s="36"/>
      <c r="AJ287" s="37"/>
      <c r="AK287" s="38"/>
      <c r="AL287" s="39"/>
      <c r="AM287" s="34" t="str">
        <f>VLOOKUP(A287, 'Session Data'!A:AA,10,false)</f>
        <v>showe4775@sdsu.edu</v>
      </c>
      <c r="AN287" s="40"/>
      <c r="AO287" s="38"/>
      <c r="AP287" s="38"/>
      <c r="AQ287" s="38"/>
      <c r="AR287" s="38"/>
      <c r="AS287" s="38"/>
      <c r="AT287" s="38"/>
      <c r="AU287" s="38"/>
      <c r="AV287" s="38"/>
      <c r="AW287" s="38"/>
      <c r="AX287" s="38"/>
      <c r="AY287" s="43"/>
      <c r="AZ287" s="43"/>
      <c r="BA287" s="43"/>
      <c r="BB287" s="43"/>
      <c r="BC287" s="43"/>
      <c r="BD287" s="43"/>
      <c r="BE287" s="44"/>
      <c r="BF287" s="45"/>
      <c r="BG287" s="43"/>
    </row>
    <row r="288">
      <c r="A288" s="19" t="s">
        <v>356</v>
      </c>
      <c r="B288" s="20">
        <f>VLOOKUP(F288,'Session Count DO NOT EDIT'!$A:$C,3,FALSE)</f>
        <v>4</v>
      </c>
      <c r="C288" s="20">
        <f>COUNTIFS('Scores Import DO NOT EDIT'!D:D,A288)</f>
        <v>3</v>
      </c>
      <c r="D288" s="21">
        <f t="shared" si="1"/>
        <v>0.75</v>
      </c>
      <c r="E288" s="22">
        <f>AVERAGEIFS('Scores Import DO NOT EDIT'!L:L,'Scores Import DO NOT EDIT'!D:D,A288)</f>
        <v>31.33333333</v>
      </c>
      <c r="F288" s="23" t="str">
        <f>VLOOKUP(A288, 'Session Data'!A:M,3,false)</f>
        <v>F-9</v>
      </c>
      <c r="G288" s="24" t="str">
        <f>VLOOKUP(A288, 'Session Data'!A:I,2,false)</f>
        <v>9:00 AM</v>
      </c>
      <c r="H288" s="23" t="str">
        <f>VLOOKUP(A288, 'Session Data'!A:J,5,false)</f>
        <v>Biological and Agricultural Sciences</v>
      </c>
      <c r="I288" s="25" t="str">
        <f>VLOOKUP(A288, 'Session Data'!A:H,4,false)</f>
        <v>Poster</v>
      </c>
      <c r="J288" s="26" t="str">
        <f>VLOOKUP(A288, 'Session Data'!A:AA,14,false)</f>
        <v>Master's</v>
      </c>
      <c r="K288" s="27" t="str">
        <f>VLOOKUP(A288, 'Session Data'!A:AA,15,false)</f>
        <v>Health and Human Services</v>
      </c>
      <c r="L288" s="47"/>
      <c r="M288" s="29" t="str">
        <f>VLOOKUP(A288, 'Session Data'!A:K,11,false)</f>
        <v>Masters of Science in Environmental Health</v>
      </c>
      <c r="N288" s="26" t="str">
        <f>IF(ISNA(VLOOKUP(A288, 'Award Abstract#'!C:C, 1, FALSE)), "No", "Yes")
</f>
        <v>No</v>
      </c>
      <c r="O288" s="29" t="str">
        <f>IF(ISNA(VLOOKUP(A288,'Award Abstract#'!B:B,1,FALSE)), "No", "Yes")</f>
        <v>No</v>
      </c>
      <c r="P288" s="29" t="str">
        <f>IF(ISNA(VLOOKUP(A288,'Award Abstract#'!E:E,1,FALSE)), "No", "Yes")</f>
        <v>No</v>
      </c>
      <c r="Q288" s="29" t="str">
        <f>IF(ISNA(VLOOKUP(A288,'Award Abstract#'!A:A,1,FALSE)), "No", "Yes")</f>
        <v>No</v>
      </c>
      <c r="R288" s="29" t="str">
        <f>IF(ISNA(VLOOKUP(A288,'Award Abstract#'!D:D,1,FALSE)), "No", "Yes")</f>
        <v>No</v>
      </c>
      <c r="S288" s="30" t="str">
        <f>VLOOKUP(A288, 'Session Data'!A:AA,27,false)</f>
        <v>Woman</v>
      </c>
      <c r="T288" s="30"/>
      <c r="U288" s="30"/>
      <c r="V288" s="31" t="str">
        <f>VLOOKUP(A288, 'Session Data'!A:AA,8,false)</f>
        <v>Frances</v>
      </c>
      <c r="W288" s="32" t="str">
        <f>VLOOKUP(A288, 'Session Data'!A:AA,9,false)</f>
        <v>Stein</v>
      </c>
      <c r="X288" s="33" t="str">
        <f>VLOOKUP(A288, 'Session Data'!A:AA,12,false)</f>
        <v>Effects of trichloroethylene metabolite S-(1,2-dichlorovinyl)-L-cysteine on extravillous trophoblast viability and invasion capacity under hypoxic and normoxic conditions</v>
      </c>
      <c r="Y288" s="34" t="str">
        <f>VLOOKUP(A288, 'Session Data'!A:AA,22,false)</f>
        <v>Elana</v>
      </c>
      <c r="Z288" s="34" t="str">
        <f>VLOOKUP(A288, 'Session Data'!A:AA,23,false)</f>
        <v>Elkin</v>
      </c>
      <c r="AA288" s="34" t="str">
        <f>VLOOKUP(A288, 'Session Data'!A:AA,25,false)</f>
        <v>Health and Human Services</v>
      </c>
      <c r="AB288" s="34" t="str">
        <f>VLOOKUP(A288, 'Session Data'!A:AA,24,false)</f>
        <v>eelkin@sdsu.edu</v>
      </c>
      <c r="AC288" s="34" t="str">
        <f>VLOOKUP(A288, 'Session Data'!A:AA,16,false)</f>
        <v>Nora</v>
      </c>
      <c r="AD288" s="35" t="str">
        <f>VLOOKUP(A288, 'Session Data'!A:U,17,false)</f>
        <v>Le</v>
      </c>
      <c r="AE288" s="35" t="str">
        <f>VLOOKUP(A288, 'Session Data'!A:U,18,false)</f>
        <v/>
      </c>
      <c r="AF288" s="35" t="str">
        <f>VLOOKUP(A288, 'Session Data'!A:U,19,false)</f>
        <v/>
      </c>
      <c r="AG288" s="35" t="str">
        <f>VLOOKUP(A288, 'Session Data'!A:U,20,false)</f>
        <v/>
      </c>
      <c r="AH288" s="35" t="str">
        <f>VLOOKUP(A288, 'Session Data'!A:U,21,false)</f>
        <v/>
      </c>
      <c r="AI288" s="37"/>
      <c r="AJ288" s="37"/>
      <c r="AK288" s="37"/>
      <c r="AL288" s="50"/>
      <c r="AM288" s="34" t="str">
        <f>VLOOKUP(A288, 'Session Data'!A:AA,10,false)</f>
        <v>fstein4569@sdsu.edu</v>
      </c>
      <c r="AN288" s="40"/>
      <c r="AO288" s="38"/>
      <c r="AP288" s="38"/>
      <c r="AQ288" s="38"/>
      <c r="AR288" s="38"/>
      <c r="AS288" s="38"/>
      <c r="AT288" s="38"/>
      <c r="AU288" s="38"/>
      <c r="AV288" s="38"/>
      <c r="AW288" s="38"/>
      <c r="AX288" s="38"/>
      <c r="AY288" s="43"/>
      <c r="AZ288" s="43"/>
      <c r="BA288" s="48"/>
      <c r="BB288" s="48"/>
      <c r="BC288" s="43"/>
      <c r="BD288" s="43"/>
      <c r="BE288" s="44"/>
      <c r="BF288" s="45"/>
      <c r="BG288" s="46"/>
    </row>
    <row r="289">
      <c r="A289" s="19" t="s">
        <v>357</v>
      </c>
      <c r="B289" s="20">
        <f>VLOOKUP(F289,'Session Count DO NOT EDIT'!$A:$C,3,FALSE)</f>
        <v>4</v>
      </c>
      <c r="C289" s="20">
        <f>COUNTIFS('Scores Import DO NOT EDIT'!D:D,A289)</f>
        <v>4</v>
      </c>
      <c r="D289" s="21">
        <f t="shared" si="1"/>
        <v>1</v>
      </c>
      <c r="E289" s="22">
        <f>AVERAGEIFS('Scores Import DO NOT EDIT'!L:L,'Scores Import DO NOT EDIT'!D:D,A289)</f>
        <v>29</v>
      </c>
      <c r="F289" s="23" t="str">
        <f>VLOOKUP(A289, 'Session Data'!A:M,3,false)</f>
        <v>F-9</v>
      </c>
      <c r="G289" s="24" t="str">
        <f>VLOOKUP(A289, 'Session Data'!A:I,2,false)</f>
        <v>9:00 AM</v>
      </c>
      <c r="H289" s="23" t="str">
        <f>VLOOKUP(A289, 'Session Data'!A:J,5,false)</f>
        <v>Biological and Agricultural Sciences</v>
      </c>
      <c r="I289" s="25" t="str">
        <f>VLOOKUP(A289, 'Session Data'!A:H,4,false)</f>
        <v>Poster</v>
      </c>
      <c r="J289" s="26" t="str">
        <f>VLOOKUP(A289, 'Session Data'!A:AA,14,false)</f>
        <v>Master's</v>
      </c>
      <c r="K289" s="27" t="str">
        <f>VLOOKUP(A289, 'Session Data'!A:AA,15,false)</f>
        <v>Sciences</v>
      </c>
      <c r="L289" s="47"/>
      <c r="M289" s="29" t="str">
        <f>VLOOKUP(A289, 'Session Data'!A:K,11,false)</f>
        <v>Master of Science in Chemistry and Biochemistry </v>
      </c>
      <c r="N289" s="26" t="str">
        <f>IF(ISNA(VLOOKUP(A289, 'Award Abstract#'!C:C, 1, FALSE)), "No", "Yes")
</f>
        <v>No</v>
      </c>
      <c r="O289" s="29" t="str">
        <f>IF(ISNA(VLOOKUP(A289,'Award Abstract#'!B:B,1,FALSE)), "No", "Yes")</f>
        <v>No</v>
      </c>
      <c r="P289" s="29" t="str">
        <f>IF(ISNA(VLOOKUP(A289,'Award Abstract#'!E:E,1,FALSE)), "No", "Yes")</f>
        <v>No</v>
      </c>
      <c r="Q289" s="29" t="str">
        <f>IF(ISNA(VLOOKUP(A289,'Award Abstract#'!A:A,1,FALSE)), "No", "Yes")</f>
        <v>No</v>
      </c>
      <c r="R289" s="29" t="str">
        <f>IF(ISNA(VLOOKUP(A289,'Award Abstract#'!D:D,1,FALSE)), "No", "Yes")</f>
        <v>Yes</v>
      </c>
      <c r="S289" s="30" t="str">
        <f>VLOOKUP(A289, 'Session Data'!A:AA,27,false)</f>
        <v>Woman</v>
      </c>
      <c r="T289" s="30"/>
      <c r="U289" s="30"/>
      <c r="V289" s="31" t="str">
        <f>VLOOKUP(A289, 'Session Data'!A:AA,8,false)</f>
        <v>Yasaman </v>
      </c>
      <c r="W289" s="32" t="str">
        <f>VLOOKUP(A289, 'Session Data'!A:AA,9,false)</f>
        <v>Farokhi Soofi</v>
      </c>
      <c r="X289" s="33" t="str">
        <f>VLOOKUP(A289, 'Session Data'!A:AA,12,false)</f>
        <v>Investigating DNA Modifications That Determine the Host Range of Achromobacter Bacteriophages</v>
      </c>
      <c r="Y289" s="34" t="str">
        <f>VLOOKUP(A289, 'Session Data'!A:AA,22,false)</f>
        <v>Anca</v>
      </c>
      <c r="Z289" s="34" t="str">
        <f>VLOOKUP(A289, 'Session Data'!A:AA,23,false)</f>
        <v>Segall</v>
      </c>
      <c r="AA289" s="34" t="str">
        <f>VLOOKUP(A289, 'Session Data'!A:AA,25,false)</f>
        <v>Sciences</v>
      </c>
      <c r="AB289" s="34"/>
      <c r="AC289" s="34" t="str">
        <f>VLOOKUP(A289, 'Session Data'!A:AA,16,false)</f>
        <v/>
      </c>
      <c r="AD289" s="35" t="str">
        <f>VLOOKUP(A289, 'Session Data'!A:U,17,false)</f>
        <v/>
      </c>
      <c r="AE289" s="35" t="str">
        <f>VLOOKUP(A289, 'Session Data'!A:U,18,false)</f>
        <v/>
      </c>
      <c r="AF289" s="35" t="str">
        <f>VLOOKUP(A289, 'Session Data'!A:U,19,false)</f>
        <v/>
      </c>
      <c r="AG289" s="35" t="str">
        <f>VLOOKUP(A289, 'Session Data'!A:U,20,false)</f>
        <v/>
      </c>
      <c r="AH289" s="35" t="str">
        <f>VLOOKUP(A289, 'Session Data'!A:U,21,false)</f>
        <v/>
      </c>
      <c r="AI289" s="37"/>
      <c r="AJ289" s="37"/>
      <c r="AK289" s="37"/>
      <c r="AL289" s="50"/>
      <c r="AM289" s="34" t="str">
        <f>VLOOKUP(A289, 'Session Data'!A:AA,10,false)</f>
        <v>yfarokhisoofi0010@sdsu.edu</v>
      </c>
      <c r="AN289" s="40"/>
      <c r="AO289" s="38"/>
      <c r="AP289" s="38"/>
      <c r="AQ289" s="38"/>
      <c r="AR289" s="38"/>
      <c r="AS289" s="38"/>
      <c r="AT289" s="38"/>
      <c r="AU289" s="38"/>
      <c r="AV289" s="38"/>
      <c r="AW289" s="38"/>
      <c r="AX289" s="38"/>
      <c r="AY289" s="43"/>
      <c r="AZ289" s="43"/>
      <c r="BA289" s="48"/>
      <c r="BB289" s="48"/>
      <c r="BC289" s="43"/>
      <c r="BD289" s="43"/>
      <c r="BE289" s="44"/>
      <c r="BF289" s="45"/>
      <c r="BG289" s="43"/>
    </row>
    <row r="290">
      <c r="A290" s="19" t="s">
        <v>358</v>
      </c>
      <c r="B290" s="20">
        <f>VLOOKUP(F290,'Session Count DO NOT EDIT'!$A:$C,3,FALSE)</f>
        <v>4</v>
      </c>
      <c r="C290" s="20">
        <f>COUNTIFS('Scores Import DO NOT EDIT'!D:D,A290)</f>
        <v>4</v>
      </c>
      <c r="D290" s="21">
        <f t="shared" si="1"/>
        <v>1</v>
      </c>
      <c r="E290" s="22">
        <f>AVERAGEIFS('Scores Import DO NOT EDIT'!L:L,'Scores Import DO NOT EDIT'!D:D,A290)</f>
        <v>28.25</v>
      </c>
      <c r="F290" s="23" t="str">
        <f>VLOOKUP(A290, 'Session Data'!A:M,3,false)</f>
        <v>F-9</v>
      </c>
      <c r="G290" s="24" t="str">
        <f>VLOOKUP(A290, 'Session Data'!A:I,2,false)</f>
        <v>9:00 AM</v>
      </c>
      <c r="H290" s="23" t="str">
        <f>VLOOKUP(A290, 'Session Data'!A:J,5,false)</f>
        <v>Biological and Agricultural Sciences</v>
      </c>
      <c r="I290" s="25" t="str">
        <f>VLOOKUP(A290, 'Session Data'!A:H,4,false)</f>
        <v>Poster</v>
      </c>
      <c r="J290" s="26" t="str">
        <f>VLOOKUP(A290, 'Session Data'!A:AA,14,false)</f>
        <v>Master's</v>
      </c>
      <c r="K290" s="27" t="str">
        <f>VLOOKUP(A290, 'Session Data'!A:AA,15,false)</f>
        <v>Sciences</v>
      </c>
      <c r="L290" s="47"/>
      <c r="M290" s="29" t="str">
        <f>VLOOKUP(A290, 'Session Data'!A:K,11,false)</f>
        <v>Masters in Chemistry </v>
      </c>
      <c r="N290" s="26" t="str">
        <f>IF(ISNA(VLOOKUP(A290, 'Award Abstract#'!C:C, 1, FALSE)), "No", "Yes")
</f>
        <v>No</v>
      </c>
      <c r="O290" s="29" t="str">
        <f>IF(ISNA(VLOOKUP(A290,'Award Abstract#'!B:B,1,FALSE)), "No", "Yes")</f>
        <v>No</v>
      </c>
      <c r="P290" s="29" t="str">
        <f>IF(ISNA(VLOOKUP(A290,'Award Abstract#'!E:E,1,FALSE)), "No", "Yes")</f>
        <v>No</v>
      </c>
      <c r="Q290" s="29" t="str">
        <f>IF(ISNA(VLOOKUP(A290,'Award Abstract#'!A:A,1,FALSE)), "No", "Yes")</f>
        <v>No</v>
      </c>
      <c r="R290" s="29" t="str">
        <f>IF(ISNA(VLOOKUP(A290,'Award Abstract#'!D:D,1,FALSE)), "No", "Yes")</f>
        <v>No</v>
      </c>
      <c r="S290" s="30" t="str">
        <f>VLOOKUP(A290, 'Session Data'!A:AA,27,false)</f>
        <v>Woman</v>
      </c>
      <c r="T290" s="30"/>
      <c r="U290" s="30"/>
      <c r="V290" s="31" t="str">
        <f>VLOOKUP(A290, 'Session Data'!A:AA,8,false)</f>
        <v>Kesaria</v>
      </c>
      <c r="W290" s="32" t="str">
        <f>VLOOKUP(A290, 'Session Data'!A:AA,9,false)</f>
        <v>Tevdorashvili</v>
      </c>
      <c r="X290" s="33" t="str">
        <f>VLOOKUP(A290, 'Session Data'!A:AA,12,false)</f>
        <v>A single-molecule recruitment rate of Raf on Ras-membranes</v>
      </c>
      <c r="Y290" s="34" t="str">
        <f>VLOOKUP(A290, 'Session Data'!A:AA,22,false)</f>
        <v>Youngkwang </v>
      </c>
      <c r="Z290" s="34" t="str">
        <f>VLOOKUP(A290, 'Session Data'!A:AA,23,false)</f>
        <v>Lee</v>
      </c>
      <c r="AA290" s="34" t="str">
        <f>VLOOKUP(A290, 'Session Data'!A:AA,25,false)</f>
        <v>Sciences</v>
      </c>
      <c r="AB290" s="34"/>
      <c r="AC290" s="34" t="str">
        <f>VLOOKUP(A290, 'Session Data'!A:AA,16,false)</f>
        <v/>
      </c>
      <c r="AD290" s="35" t="str">
        <f>VLOOKUP(A290, 'Session Data'!A:U,17,false)</f>
        <v/>
      </c>
      <c r="AE290" s="35" t="str">
        <f>VLOOKUP(A290, 'Session Data'!A:U,18,false)</f>
        <v/>
      </c>
      <c r="AF290" s="35" t="str">
        <f>VLOOKUP(A290, 'Session Data'!A:U,19,false)</f>
        <v/>
      </c>
      <c r="AG290" s="35" t="str">
        <f>VLOOKUP(A290, 'Session Data'!A:U,20,false)</f>
        <v/>
      </c>
      <c r="AH290" s="35" t="str">
        <f>VLOOKUP(A290, 'Session Data'!A:U,21,false)</f>
        <v/>
      </c>
      <c r="AI290" s="37"/>
      <c r="AJ290" s="37"/>
      <c r="AK290" s="37"/>
      <c r="AL290" s="50"/>
      <c r="AM290" s="34" t="str">
        <f>VLOOKUP(A290, 'Session Data'!A:AA,10,false)</f>
        <v>ktevdorashvili8423@sdsu.edu</v>
      </c>
      <c r="AN290" s="40"/>
      <c r="AO290" s="38"/>
      <c r="AP290" s="38"/>
      <c r="AQ290" s="38"/>
      <c r="AR290" s="38"/>
      <c r="AS290" s="38"/>
      <c r="AT290" s="38"/>
      <c r="AU290" s="38"/>
      <c r="AV290" s="38"/>
      <c r="AW290" s="38"/>
      <c r="AX290" s="38"/>
      <c r="AY290" s="43"/>
      <c r="AZ290" s="43"/>
      <c r="BA290" s="43"/>
      <c r="BB290" s="43"/>
      <c r="BC290" s="43"/>
      <c r="BD290" s="43"/>
      <c r="BE290" s="44"/>
      <c r="BF290" s="45"/>
      <c r="BG290" s="43"/>
    </row>
    <row r="291">
      <c r="A291" s="19" t="s">
        <v>359</v>
      </c>
      <c r="B291" s="20">
        <f>VLOOKUP(F291,'Session Count DO NOT EDIT'!$A:$C,3,FALSE)</f>
        <v>4</v>
      </c>
      <c r="C291" s="20">
        <f>COUNTIFS('Scores Import DO NOT EDIT'!D:D,A291)</f>
        <v>4</v>
      </c>
      <c r="D291" s="21">
        <f t="shared" si="1"/>
        <v>1</v>
      </c>
      <c r="E291" s="22">
        <f>AVERAGEIFS('Scores Import DO NOT EDIT'!L:L,'Scores Import DO NOT EDIT'!D:D,A291)</f>
        <v>25</v>
      </c>
      <c r="F291" s="23" t="str">
        <f>VLOOKUP(A291, 'Session Data'!A:M,3,false)</f>
        <v>F-9</v>
      </c>
      <c r="G291" s="24" t="str">
        <f>VLOOKUP(A291, 'Session Data'!A:I,2,false)</f>
        <v>9:00 AM</v>
      </c>
      <c r="H291" s="23" t="str">
        <f>VLOOKUP(A291, 'Session Data'!A:J,5,false)</f>
        <v>Biological and Agricultural Sciences</v>
      </c>
      <c r="I291" s="25" t="str">
        <f>VLOOKUP(A291, 'Session Data'!A:H,4,false)</f>
        <v>Poster</v>
      </c>
      <c r="J291" s="26" t="str">
        <f>VLOOKUP(A291, 'Session Data'!A:AA,14,false)</f>
        <v>Master's</v>
      </c>
      <c r="K291" s="27" t="str">
        <f>VLOOKUP(A291, 'Session Data'!A:AA,15,false)</f>
        <v>Sciences</v>
      </c>
      <c r="L291" s="47"/>
      <c r="M291" s="29" t="str">
        <f>VLOOKUP(A291, 'Session Data'!A:K,11,false)</f>
        <v>Masters of Science in Chemistry</v>
      </c>
      <c r="N291" s="26" t="str">
        <f>IF(ISNA(VLOOKUP(A291, 'Award Abstract#'!C:C, 1, FALSE)), "No", "Yes")
</f>
        <v>No</v>
      </c>
      <c r="O291" s="29" t="str">
        <f>IF(ISNA(VLOOKUP(A291,'Award Abstract#'!B:B,1,FALSE)), "No", "Yes")</f>
        <v>No</v>
      </c>
      <c r="P291" s="29" t="str">
        <f>IF(ISNA(VLOOKUP(A291,'Award Abstract#'!E:E,1,FALSE)), "No", "Yes")</f>
        <v>No</v>
      </c>
      <c r="Q291" s="29" t="str">
        <f>IF(ISNA(VLOOKUP(A291,'Award Abstract#'!A:A,1,FALSE)), "No", "Yes")</f>
        <v>No</v>
      </c>
      <c r="R291" s="29" t="str">
        <f>IF(ISNA(VLOOKUP(A291,'Award Abstract#'!D:D,1,FALSE)), "No", "Yes")</f>
        <v>No</v>
      </c>
      <c r="S291" s="30" t="str">
        <f>VLOOKUP(A291, 'Session Data'!A:AA,27,false)</f>
        <v>Woman</v>
      </c>
      <c r="T291" s="30"/>
      <c r="U291" s="30"/>
      <c r="V291" s="31" t="str">
        <f>VLOOKUP(A291, 'Session Data'!A:AA,8,false)</f>
        <v>Alexia</v>
      </c>
      <c r="W291" s="32" t="str">
        <f>VLOOKUP(A291, 'Session Data'!A:AA,9,false)</f>
        <v>Morales</v>
      </c>
      <c r="X291" s="33" t="str">
        <f>VLOOKUP(A291, 'Session Data'!A:AA,12,false)</f>
        <v> Development of in vitro Raf activation assays on supported lipid bilayers</v>
      </c>
      <c r="Y291" s="34" t="str">
        <f>VLOOKUP(A291, 'Session Data'!A:AA,22,false)</f>
        <v>Youngkwang </v>
      </c>
      <c r="Z291" s="34" t="str">
        <f>VLOOKUP(A291, 'Session Data'!A:AA,23,false)</f>
        <v>Lee</v>
      </c>
      <c r="AA291" s="34" t="str">
        <f>VLOOKUP(A291, 'Session Data'!A:AA,25,false)</f>
        <v>Sciences</v>
      </c>
      <c r="AB291" s="34"/>
      <c r="AC291" s="34" t="str">
        <f>VLOOKUP(A291, 'Session Data'!A:AA,16,false)</f>
        <v>Brianna </v>
      </c>
      <c r="AD291" s="35" t="str">
        <f>VLOOKUP(A291, 'Session Data'!A:U,17,false)</f>
        <v>Antunez</v>
      </c>
      <c r="AE291" s="35" t="str">
        <f>VLOOKUP(A291, 'Session Data'!A:U,18,false)</f>
        <v>Julian </v>
      </c>
      <c r="AF291" s="35" t="str">
        <f>VLOOKUP(A291, 'Session Data'!A:U,19,false)</f>
        <v>Grim</v>
      </c>
      <c r="AG291" s="35" t="str">
        <f>VLOOKUP(A291, 'Session Data'!A:U,20,false)</f>
        <v/>
      </c>
      <c r="AH291" s="35" t="str">
        <f>VLOOKUP(A291, 'Session Data'!A:U,21,false)</f>
        <v/>
      </c>
      <c r="AI291" s="37"/>
      <c r="AJ291" s="37"/>
      <c r="AK291" s="37"/>
      <c r="AL291" s="50"/>
      <c r="AM291" s="34" t="str">
        <f>VLOOKUP(A291, 'Session Data'!A:AA,10,false)</f>
        <v>amorales1710@sdsu.edu</v>
      </c>
      <c r="AN291" s="40"/>
      <c r="AO291" s="38"/>
      <c r="AP291" s="38"/>
      <c r="AQ291" s="38"/>
      <c r="AR291" s="38"/>
      <c r="AS291" s="38"/>
      <c r="AT291" s="38"/>
      <c r="AU291" s="38"/>
      <c r="AV291" s="38"/>
      <c r="AW291" s="38"/>
      <c r="AX291" s="38"/>
      <c r="AY291" s="43"/>
      <c r="AZ291" s="43"/>
      <c r="BA291" s="43"/>
      <c r="BB291" s="43"/>
      <c r="BC291" s="43"/>
      <c r="BD291" s="43"/>
      <c r="BE291" s="44"/>
      <c r="BF291" s="45"/>
      <c r="BG291" s="43"/>
    </row>
    <row r="292">
      <c r="A292" s="78" t="s">
        <v>360</v>
      </c>
      <c r="B292" s="20">
        <f>VLOOKUP(F292,'Session Count DO NOT EDIT'!$A:$C,3,FALSE)</f>
        <v>4</v>
      </c>
      <c r="C292" s="20">
        <f>COUNTIFS('Scores Import DO NOT EDIT'!D:D,A292)</f>
        <v>1</v>
      </c>
      <c r="D292" s="21">
        <f t="shared" si="1"/>
        <v>0.25</v>
      </c>
      <c r="E292" s="22">
        <f>AVERAGEIFS('Scores Import DO NOT EDIT'!L:L,'Scores Import DO NOT EDIT'!D:D,A292)</f>
        <v>7</v>
      </c>
      <c r="F292" s="23" t="str">
        <f>VLOOKUP(A292, 'Session Data'!A:M,3,false)</f>
        <v>F-9</v>
      </c>
      <c r="G292" s="24" t="str">
        <f>VLOOKUP(A292, 'Session Data'!A:I,2,false)</f>
        <v>9:00 AM</v>
      </c>
      <c r="H292" s="23" t="str">
        <f>VLOOKUP(A292, 'Session Data'!A:J,5,false)</f>
        <v>Biological and Agricultural Sciences</v>
      </c>
      <c r="I292" s="25" t="str">
        <f>VLOOKUP(A292, 'Session Data'!A:H,4,false)</f>
        <v>Poster</v>
      </c>
      <c r="J292" s="26" t="str">
        <f>VLOOKUP(A292, 'Session Data'!A:AA,14,false)</f>
        <v>Doctoral</v>
      </c>
      <c r="K292" s="27" t="str">
        <f>VLOOKUP(A292, 'Session Data'!A:AA,15,false)</f>
        <v>Sciences</v>
      </c>
      <c r="L292" s="28"/>
      <c r="M292" s="29" t="str">
        <f>VLOOKUP(A292, 'Session Data'!A:K,11,false)</f>
        <v>JDP/PhD Biochemistry</v>
      </c>
      <c r="N292" s="26" t="str">
        <f>IF(ISNA(VLOOKUP(A292, 'Award Abstract#'!C:C, 1, FALSE)), "No", "Yes")
</f>
        <v>No</v>
      </c>
      <c r="O292" s="29" t="str">
        <f>IF(ISNA(VLOOKUP(A292,'Award Abstract#'!B:B,1,FALSE)), "No", "Yes")</f>
        <v>No</v>
      </c>
      <c r="P292" s="29" t="str">
        <f>IF(ISNA(VLOOKUP(A292,'Award Abstract#'!E:E,1,FALSE)), "No", "Yes")</f>
        <v>No</v>
      </c>
      <c r="Q292" s="29" t="str">
        <f>IF(ISNA(VLOOKUP(A292,'Award Abstract#'!A:A,1,FALSE)), "No", "Yes")</f>
        <v>No</v>
      </c>
      <c r="R292" s="29" t="str">
        <f>IF(ISNA(VLOOKUP(A292,'Award Abstract#'!D:D,1,FALSE)), "No", "Yes")</f>
        <v>No</v>
      </c>
      <c r="S292" s="30" t="str">
        <f>VLOOKUP(A292, 'Session Data'!A:AA,27,false)</f>
        <v>Woman</v>
      </c>
      <c r="T292" s="30"/>
      <c r="U292" s="30"/>
      <c r="V292" s="31" t="str">
        <f>VLOOKUP(A292, 'Session Data'!A:AA,8,false)</f>
        <v>Brittany</v>
      </c>
      <c r="W292" s="32" t="str">
        <f>VLOOKUP(A292, 'Session Data'!A:AA,9,false)</f>
        <v>Conley</v>
      </c>
      <c r="X292" s="33" t="str">
        <f>VLOOKUP(A292, 'Session Data'!A:AA,12,false)</f>
        <v>Catalytic dependence on K72 electrostatic contribution in isocitrate dehydrogenase 1</v>
      </c>
      <c r="Y292" s="34" t="str">
        <f>VLOOKUP(A292, 'Session Data'!A:AA,22,false)</f>
        <v>Christal</v>
      </c>
      <c r="Z292" s="34" t="str">
        <f>VLOOKUP(A292, 'Session Data'!A:AA,23,false)</f>
        <v>Sohl</v>
      </c>
      <c r="AA292" s="34" t="str">
        <f>VLOOKUP(A292, 'Session Data'!A:AA,25,false)</f>
        <v>Sciences</v>
      </c>
      <c r="AB292" s="34"/>
      <c r="AC292" s="34" t="str">
        <f>VLOOKUP(A292, 'Session Data'!A:AA,16,false)</f>
        <v/>
      </c>
      <c r="AD292" s="35" t="str">
        <f>VLOOKUP(A292, 'Session Data'!A:U,17,false)</f>
        <v/>
      </c>
      <c r="AE292" s="35" t="str">
        <f>VLOOKUP(A292, 'Session Data'!A:U,18,false)</f>
        <v/>
      </c>
      <c r="AF292" s="35" t="str">
        <f>VLOOKUP(A292, 'Session Data'!A:U,19,false)</f>
        <v/>
      </c>
      <c r="AG292" s="35" t="str">
        <f>VLOOKUP(A292, 'Session Data'!A:U,20,false)</f>
        <v/>
      </c>
      <c r="AH292" s="35" t="str">
        <f>VLOOKUP(A292, 'Session Data'!A:U,21,false)</f>
        <v/>
      </c>
      <c r="AI292" s="37"/>
      <c r="AJ292" s="37"/>
      <c r="AK292" s="37"/>
      <c r="AL292" s="50"/>
      <c r="AM292" s="34" t="str">
        <f>VLOOKUP(A292, 'Session Data'!A:AA,10,false)</f>
        <v>bbermoy@sdsu.edu</v>
      </c>
      <c r="AN292" s="40"/>
      <c r="AO292" s="38"/>
      <c r="AP292" s="38"/>
      <c r="AQ292" s="38"/>
      <c r="AR292" s="38"/>
      <c r="AS292" s="38"/>
      <c r="AT292" s="38"/>
      <c r="AU292" s="38"/>
      <c r="AV292" s="38"/>
      <c r="AW292" s="38"/>
      <c r="AX292" s="38"/>
      <c r="AY292" s="43"/>
      <c r="AZ292" s="43"/>
      <c r="BA292" s="43"/>
      <c r="BB292" s="43"/>
      <c r="BC292" s="43"/>
      <c r="BD292" s="43"/>
      <c r="BE292" s="44"/>
      <c r="BF292" s="45"/>
      <c r="BG292" s="43"/>
    </row>
    <row r="293">
      <c r="A293" s="78" t="s">
        <v>361</v>
      </c>
      <c r="B293" s="20">
        <f>VLOOKUP(F293,'Session Count DO NOT EDIT'!$A:$C,3,FALSE)</f>
        <v>5</v>
      </c>
      <c r="C293" s="20">
        <f>COUNTIFS('Scores Import DO NOT EDIT'!D:D,A293)</f>
        <v>0</v>
      </c>
      <c r="D293" s="21">
        <f t="shared" si="1"/>
        <v>0</v>
      </c>
      <c r="E293" s="22" t="str">
        <f>AVERAGEIFS('Scores Import DO NOT EDIT'!L:L,'Scores Import DO NOT EDIT'!D:D,A293)</f>
        <v>#DIV/0!</v>
      </c>
      <c r="F293" s="23" t="str">
        <f>VLOOKUP(A293, 'Session Data'!A:M,3,false)</f>
        <v>G-1</v>
      </c>
      <c r="G293" s="24" t="str">
        <f>VLOOKUP(A293, 'Session Data'!A:I,2,false)</f>
        <v>11:00 AM</v>
      </c>
      <c r="H293" s="23" t="str">
        <f>VLOOKUP(A293, 'Session Data'!A:J,5,false)</f>
        <v>Behavioral and Social Sciences 1</v>
      </c>
      <c r="I293" s="25" t="str">
        <f>VLOOKUP(A293, 'Session Data'!A:H,4,false)</f>
        <v>Poster</v>
      </c>
      <c r="J293" s="26" t="str">
        <f>VLOOKUP(A293, 'Session Data'!A:AA,14,false)</f>
        <v>Undergraduate</v>
      </c>
      <c r="K293" s="27" t="str">
        <f>VLOOKUP(A293, 'Session Data'!A:AA,15,false)</f>
        <v>Arts and Letters</v>
      </c>
      <c r="L293" s="47"/>
      <c r="M293" s="29" t="str">
        <f>VLOOKUP(A293, 'Session Data'!A:K,11,false)</f>
        <v>Bachelors of Arts Political Science </v>
      </c>
      <c r="N293" s="26" t="str">
        <f>IF(ISNA(VLOOKUP(A293, 'Award Abstract#'!C:C, 1, FALSE)), "No", "Yes")
</f>
        <v>No</v>
      </c>
      <c r="O293" s="29" t="str">
        <f>IF(ISNA(VLOOKUP(A293,'Award Abstract#'!B:B,1,FALSE)), "No", "Yes")</f>
        <v>No</v>
      </c>
      <c r="P293" s="29" t="str">
        <f>IF(ISNA(VLOOKUP(A293,'Award Abstract#'!E:E,1,FALSE)), "No", "Yes")</f>
        <v>Yes</v>
      </c>
      <c r="Q293" s="29" t="str">
        <f>IF(ISNA(VLOOKUP(A293,'Award Abstract#'!A:A,1,FALSE)), "No", "Yes")</f>
        <v>No</v>
      </c>
      <c r="R293" s="29" t="str">
        <f>IF(ISNA(VLOOKUP(A293,'Award Abstract#'!D:D,1,FALSE)), "No", "Yes")</f>
        <v>No</v>
      </c>
      <c r="S293" s="30" t="str">
        <f>VLOOKUP(A293, 'Session Data'!A:AA,27,false)</f>
        <v>Woman</v>
      </c>
      <c r="T293" s="30"/>
      <c r="U293" s="30"/>
      <c r="V293" s="31" t="str">
        <f>VLOOKUP(A293, 'Session Data'!A:AA,8,false)</f>
        <v>Isabella </v>
      </c>
      <c r="W293" s="32" t="str">
        <f>VLOOKUP(A293, 'Session Data'!A:AA,9,false)</f>
        <v>Todd</v>
      </c>
      <c r="X293" s="33" t="str">
        <f>VLOOKUP(A293, 'Session Data'!A:AA,12,false)</f>
        <v>Making a Fresh Start: The Impact of California Resentencing Policies in San Diego County</v>
      </c>
      <c r="Y293" s="34" t="str">
        <f>VLOOKUP(A293, 'Session Data'!A:AA,22,false)</f>
        <v>Tereza </v>
      </c>
      <c r="Z293" s="34" t="str">
        <f>VLOOKUP(A293, 'Session Data'!A:AA,23,false)</f>
        <v>Trejbolova </v>
      </c>
      <c r="AA293" s="34" t="str">
        <f>VLOOKUP(A293, 'Session Data'!A:AA,25,false)</f>
        <v>Professional Studies and Fine Arts</v>
      </c>
      <c r="AB293" s="34" t="str">
        <f>VLOOKUP(A293, 'Session Data'!A:AA,24,false)</f>
        <v>ttrejbalova@sdsu.edu</v>
      </c>
      <c r="AC293" s="34" t="str">
        <f>VLOOKUP(A293, 'Session Data'!A:AA,16,false)</f>
        <v>Vu</v>
      </c>
      <c r="AD293" s="35" t="str">
        <f>VLOOKUP(A293, 'Session Data'!A:U,17,false)</f>
        <v>Huynh</v>
      </c>
      <c r="AE293" s="35" t="str">
        <f>VLOOKUP(A293, 'Session Data'!A:U,18,false)</f>
        <v>Toya </v>
      </c>
      <c r="AF293" s="35" t="str">
        <f>VLOOKUP(A293, 'Session Data'!A:U,19,false)</f>
        <v>Smith-Baker</v>
      </c>
      <c r="AG293" s="35" t="str">
        <f>VLOOKUP(A293, 'Session Data'!A:U,20,false)</f>
        <v>Lauren </v>
      </c>
      <c r="AH293" s="35" t="str">
        <f>VLOOKUP(A293, 'Session Data'!A:U,21,false)</f>
        <v>Koeing </v>
      </c>
      <c r="AI293" s="37"/>
      <c r="AJ293" s="37"/>
      <c r="AK293" s="37"/>
      <c r="AL293" s="50"/>
      <c r="AM293" s="34" t="str">
        <f>VLOOKUP(A293, 'Session Data'!A:AA,10,false)</f>
        <v>itodd9800@sdsu.edu</v>
      </c>
      <c r="AN293" s="40"/>
      <c r="AO293" s="51"/>
      <c r="AP293" s="38"/>
      <c r="AQ293" s="38"/>
      <c r="AR293" s="38"/>
      <c r="AS293" s="38"/>
      <c r="AT293" s="38"/>
      <c r="AU293" s="38"/>
      <c r="AV293" s="38"/>
      <c r="AW293" s="38"/>
      <c r="AX293" s="38"/>
      <c r="AY293" s="43"/>
      <c r="AZ293" s="43"/>
      <c r="BA293" s="48"/>
      <c r="BB293" s="48"/>
      <c r="BC293" s="43"/>
      <c r="BD293" s="43"/>
      <c r="BE293" s="44"/>
      <c r="BF293" s="45"/>
      <c r="BG293" s="46"/>
    </row>
    <row r="294">
      <c r="A294" s="19" t="s">
        <v>362</v>
      </c>
      <c r="B294" s="20">
        <f>VLOOKUP(F294,'Session Count DO NOT EDIT'!$A:$C,3,FALSE)</f>
        <v>5</v>
      </c>
      <c r="C294" s="20">
        <f>COUNTIFS('Scores Import DO NOT EDIT'!D:D,A294)</f>
        <v>2</v>
      </c>
      <c r="D294" s="21">
        <f t="shared" si="1"/>
        <v>0.4</v>
      </c>
      <c r="E294" s="22">
        <f>AVERAGEIFS('Scores Import DO NOT EDIT'!L:L,'Scores Import DO NOT EDIT'!D:D,A294)</f>
        <v>32</v>
      </c>
      <c r="F294" s="23" t="str">
        <f>VLOOKUP(A294, 'Session Data'!A:M,3,false)</f>
        <v>G-1</v>
      </c>
      <c r="G294" s="24" t="str">
        <f>VLOOKUP(A294, 'Session Data'!A:I,2,false)</f>
        <v>11:00 AM</v>
      </c>
      <c r="H294" s="23" t="str">
        <f>VLOOKUP(A294, 'Session Data'!A:J,5,false)</f>
        <v>Behavioral and Social Sciences 1</v>
      </c>
      <c r="I294" s="25" t="str">
        <f>VLOOKUP(A294, 'Session Data'!A:H,4,false)</f>
        <v>Poster</v>
      </c>
      <c r="J294" s="26" t="str">
        <f>VLOOKUP(A294, 'Session Data'!A:AA,14,false)</f>
        <v>Undergraduate</v>
      </c>
      <c r="K294" s="27" t="str">
        <f>VLOOKUP(A294, 'Session Data'!A:AA,15,false)</f>
        <v>Sciences</v>
      </c>
      <c r="L294" s="28" t="s">
        <v>363</v>
      </c>
      <c r="M294" s="29" t="str">
        <f>VLOOKUP(A294, 'Session Data'!A:K,11,false)</f>
        <v>Bachelor of Arts in Psychology </v>
      </c>
      <c r="N294" s="26" t="str">
        <f>IF(ISNA(VLOOKUP(A294, 'Award Abstract#'!C:C, 1, FALSE)), "No", "Yes")
</f>
        <v>No</v>
      </c>
      <c r="O294" s="29" t="str">
        <f>IF(ISNA(VLOOKUP(A294,'Award Abstract#'!B:B,1,FALSE)), "No", "Yes")</f>
        <v>No</v>
      </c>
      <c r="P294" s="29" t="str">
        <f>IF(ISNA(VLOOKUP(A294,'Award Abstract#'!E:E,1,FALSE)), "No", "Yes")</f>
        <v>Yes</v>
      </c>
      <c r="Q294" s="29" t="str">
        <f>IF(ISNA(VLOOKUP(A294,'Award Abstract#'!A:A,1,FALSE)), "No", "Yes")</f>
        <v>No</v>
      </c>
      <c r="R294" s="29" t="str">
        <f>IF(ISNA(VLOOKUP(A294,'Award Abstract#'!D:D,1,FALSE)), "No", "Yes")</f>
        <v>Yes</v>
      </c>
      <c r="S294" s="30" t="str">
        <f>VLOOKUP(A294, 'Session Data'!A:AA,27,false)</f>
        <v>Woman</v>
      </c>
      <c r="T294" s="30"/>
      <c r="U294" s="30"/>
      <c r="V294" s="31" t="str">
        <f>VLOOKUP(A294, 'Session Data'!A:AA,8,false)</f>
        <v>MariaIsabel </v>
      </c>
      <c r="W294" s="32" t="str">
        <f>VLOOKUP(A294, 'Session Data'!A:AA,9,false)</f>
        <v>Miller</v>
      </c>
      <c r="X294" s="33" t="str">
        <f>VLOOKUP(A294, 'Session Data'!A:AA,12,false)</f>
        <v>Examining Autistic Adults’ Driving Skills and Needs Through Driving Simulator Sessions.  </v>
      </c>
      <c r="Y294" s="34" t="str">
        <f>VLOOKUP(A294, 'Session Data'!A:AA,22,false)</f>
        <v>Mary</v>
      </c>
      <c r="Z294" s="34" t="str">
        <f>VLOOKUP(A294, 'Session Data'!A:AA,23,false)</f>
        <v>Baker-Ericzen </v>
      </c>
      <c r="AA294" s="34" t="str">
        <f>VLOOKUP(A294, 'Session Data'!A:AA,25,false)</f>
        <v>Education</v>
      </c>
      <c r="AB294" s="34" t="str">
        <f>VLOOKUP(A294, 'Session Data'!A:AA,24,false)</f>
        <v>mbakerericzen@sdsu.edu</v>
      </c>
      <c r="AC294" s="34" t="str">
        <f>VLOOKUP(A294, 'Session Data'!A:AA,16,false)</f>
        <v/>
      </c>
      <c r="AD294" s="35" t="str">
        <f>VLOOKUP(A294, 'Session Data'!A:U,17,false)</f>
        <v/>
      </c>
      <c r="AE294" s="35" t="str">
        <f>VLOOKUP(A294, 'Session Data'!A:U,18,false)</f>
        <v/>
      </c>
      <c r="AF294" s="35" t="str">
        <f>VLOOKUP(A294, 'Session Data'!A:U,19,false)</f>
        <v/>
      </c>
      <c r="AG294" s="35" t="str">
        <f>VLOOKUP(A294, 'Session Data'!A:U,20,false)</f>
        <v/>
      </c>
      <c r="AH294" s="35" t="str">
        <f>VLOOKUP(A294, 'Session Data'!A:U,21,false)</f>
        <v/>
      </c>
      <c r="AI294" s="37"/>
      <c r="AJ294" s="37"/>
      <c r="AK294" s="37"/>
      <c r="AL294" s="50"/>
      <c r="AM294" s="34" t="str">
        <f>VLOOKUP(A294, 'Session Data'!A:AA,10,false)</f>
        <v>imiller9336@sdsu.edu</v>
      </c>
      <c r="AN294" s="40"/>
      <c r="AO294" s="38"/>
      <c r="AP294" s="38"/>
      <c r="AQ294" s="38"/>
      <c r="AR294" s="38"/>
      <c r="AS294" s="38"/>
      <c r="AT294" s="38"/>
      <c r="AU294" s="38"/>
      <c r="AV294" s="38"/>
      <c r="AW294" s="38"/>
      <c r="AX294" s="38"/>
      <c r="AY294" s="43"/>
      <c r="AZ294" s="43"/>
      <c r="BA294" s="48"/>
      <c r="BB294" s="48"/>
      <c r="BC294" s="43"/>
      <c r="BD294" s="43"/>
      <c r="BE294" s="44"/>
      <c r="BF294" s="45"/>
      <c r="BG294" s="43"/>
    </row>
    <row r="295">
      <c r="A295" s="19" t="s">
        <v>364</v>
      </c>
      <c r="B295" s="20">
        <f>VLOOKUP(F295,'Session Count DO NOT EDIT'!$A:$C,3,FALSE)</f>
        <v>5</v>
      </c>
      <c r="C295" s="20">
        <f>COUNTIFS('Scores Import DO NOT EDIT'!D:D,A295)</f>
        <v>2</v>
      </c>
      <c r="D295" s="21">
        <f t="shared" si="1"/>
        <v>0.4</v>
      </c>
      <c r="E295" s="22">
        <f>AVERAGEIFS('Scores Import DO NOT EDIT'!L:L,'Scores Import DO NOT EDIT'!D:D,A295)</f>
        <v>30</v>
      </c>
      <c r="F295" s="23" t="str">
        <f>VLOOKUP(A295, 'Session Data'!A:M,3,false)</f>
        <v>G-1</v>
      </c>
      <c r="G295" s="24" t="str">
        <f>VLOOKUP(A295, 'Session Data'!A:I,2,false)</f>
        <v>11:00 AM</v>
      </c>
      <c r="H295" s="23" t="str">
        <f>VLOOKUP(A295, 'Session Data'!A:J,5,false)</f>
        <v>Behavioral and Social Sciences 1</v>
      </c>
      <c r="I295" s="25" t="str">
        <f>VLOOKUP(A295, 'Session Data'!A:H,4,false)</f>
        <v>Poster</v>
      </c>
      <c r="J295" s="26" t="str">
        <f>VLOOKUP(A295, 'Session Data'!A:AA,14,false)</f>
        <v>Undergraduate</v>
      </c>
      <c r="K295" s="27" t="str">
        <f>VLOOKUP(A295, 'Session Data'!A:AA,15,false)</f>
        <v>Sciences</v>
      </c>
      <c r="L295" s="88" t="s">
        <v>365</v>
      </c>
      <c r="M295" s="29" t="str">
        <f>VLOOKUP(A295, 'Session Data'!A:K,11,false)</f>
        <v>Undergraduate - Psychology, B.A.  </v>
      </c>
      <c r="N295" s="26" t="str">
        <f>IF(ISNA(VLOOKUP(A295, 'Award Abstract#'!C:C, 1, FALSE)), "No", "Yes")
</f>
        <v>No</v>
      </c>
      <c r="O295" s="29" t="str">
        <f>IF(ISNA(VLOOKUP(A295,'Award Abstract#'!B:B,1,FALSE)), "No", "Yes")</f>
        <v>No</v>
      </c>
      <c r="P295" s="29" t="str">
        <f>IF(ISNA(VLOOKUP(A295,'Award Abstract#'!E:E,1,FALSE)), "No", "Yes")</f>
        <v>Yes</v>
      </c>
      <c r="Q295" s="29" t="str">
        <f>IF(ISNA(VLOOKUP(A295,'Award Abstract#'!A:A,1,FALSE)), "No", "Yes")</f>
        <v>Yes</v>
      </c>
      <c r="R295" s="29" t="str">
        <f>IF(ISNA(VLOOKUP(A295,'Award Abstract#'!D:D,1,FALSE)), "No", "Yes")</f>
        <v>Yes</v>
      </c>
      <c r="S295" s="30" t="str">
        <f>VLOOKUP(A295, 'Session Data'!A:AA,27,false)</f>
        <v>Woman</v>
      </c>
      <c r="T295" s="30"/>
      <c r="U295" s="30"/>
      <c r="V295" s="31" t="str">
        <f>VLOOKUP(A295, 'Session Data'!A:AA,8,false)</f>
        <v>Marian </v>
      </c>
      <c r="W295" s="32" t="str">
        <f>VLOOKUP(A295, 'Session Data'!A:AA,9,false)</f>
        <v>Carbajal</v>
      </c>
      <c r="X295" s="33" t="str">
        <f>VLOOKUP(A295, 'Session Data'!A:AA,12,false)</f>
        <v>The Increase in Mother-Daughter Closeness After Participation in the Conmigo Program: An Intervention Program for Latina Mothers and Daughters </v>
      </c>
      <c r="Y295" s="34" t="str">
        <f>VLOOKUP(A295, 'Session Data'!A:AA,22,false)</f>
        <v>Elva</v>
      </c>
      <c r="Z295" s="34" t="str">
        <f>VLOOKUP(A295, 'Session Data'!A:AA,23,false)</f>
        <v>Arredondo </v>
      </c>
      <c r="AA295" s="34" t="str">
        <f>VLOOKUP(A295, 'Session Data'!A:AA,25,false)</f>
        <v>Sciences</v>
      </c>
      <c r="AB295" s="34" t="str">
        <f>VLOOKUP(A295, 'Session Data'!A:AA,24,false)</f>
        <v>earredon@sdsu.edu</v>
      </c>
      <c r="AC295" s="34" t="str">
        <f>VLOOKUP(A295, 'Session Data'!A:AA,16,false)</f>
        <v/>
      </c>
      <c r="AD295" s="35" t="str">
        <f>VLOOKUP(A295, 'Session Data'!A:U,17,false)</f>
        <v/>
      </c>
      <c r="AE295" s="35" t="str">
        <f>VLOOKUP(A295, 'Session Data'!A:U,18,false)</f>
        <v/>
      </c>
      <c r="AF295" s="35" t="str">
        <f>VLOOKUP(A295, 'Session Data'!A:U,19,false)</f>
        <v/>
      </c>
      <c r="AG295" s="35" t="str">
        <f>VLOOKUP(A295, 'Session Data'!A:U,20,false)</f>
        <v/>
      </c>
      <c r="AH295" s="35" t="str">
        <f>VLOOKUP(A295, 'Session Data'!A:U,21,false)</f>
        <v/>
      </c>
      <c r="AI295" s="36"/>
      <c r="AJ295" s="38"/>
      <c r="AK295" s="38"/>
      <c r="AL295" s="39"/>
      <c r="AM295" s="34" t="str">
        <f>VLOOKUP(A295, 'Session Data'!A:AA,10,false)</f>
        <v>mcarbajal2612@sdsu.edu</v>
      </c>
      <c r="AN295" s="40"/>
      <c r="AO295" s="38"/>
      <c r="AP295" s="38"/>
      <c r="AQ295" s="38"/>
      <c r="AR295" s="38"/>
      <c r="AS295" s="38"/>
      <c r="AT295" s="38"/>
      <c r="AU295" s="38"/>
      <c r="AV295" s="38"/>
      <c r="AW295" s="38"/>
      <c r="AX295" s="38"/>
      <c r="AY295" s="43"/>
      <c r="AZ295" s="43"/>
      <c r="BA295" s="48"/>
      <c r="BB295" s="48"/>
      <c r="BC295" s="43"/>
      <c r="BD295" s="43"/>
      <c r="BE295" s="44"/>
      <c r="BF295" s="45"/>
      <c r="BG295" s="43"/>
    </row>
    <row r="296">
      <c r="A296" s="19" t="s">
        <v>366</v>
      </c>
      <c r="B296" s="20">
        <f>VLOOKUP(F296,'Session Count DO NOT EDIT'!$A:$C,3,FALSE)</f>
        <v>5</v>
      </c>
      <c r="C296" s="20">
        <f>COUNTIFS('Scores Import DO NOT EDIT'!D:D,A296)</f>
        <v>2</v>
      </c>
      <c r="D296" s="21">
        <f t="shared" si="1"/>
        <v>0.4</v>
      </c>
      <c r="E296" s="22">
        <f>AVERAGEIFS('Scores Import DO NOT EDIT'!L:L,'Scores Import DO NOT EDIT'!D:D,A296)</f>
        <v>29.5</v>
      </c>
      <c r="F296" s="23" t="str">
        <f>VLOOKUP(A296, 'Session Data'!A:M,3,false)</f>
        <v>G-1</v>
      </c>
      <c r="G296" s="24" t="str">
        <f>VLOOKUP(A296, 'Session Data'!A:I,2,false)</f>
        <v>11:00 AM</v>
      </c>
      <c r="H296" s="23" t="str">
        <f>VLOOKUP(A296, 'Session Data'!A:J,5,false)</f>
        <v>Behavioral and Social Sciences 1</v>
      </c>
      <c r="I296" s="25" t="str">
        <f>VLOOKUP(A296, 'Session Data'!A:H,4,false)</f>
        <v>Poster</v>
      </c>
      <c r="J296" s="26" t="str">
        <f>VLOOKUP(A296, 'Session Data'!A:AA,14,false)</f>
        <v>Undergraduate</v>
      </c>
      <c r="K296" s="27" t="str">
        <f>VLOOKUP(A296, 'Session Data'!A:AA,15,false)</f>
        <v>Sciences</v>
      </c>
      <c r="L296" s="28"/>
      <c r="M296" s="29" t="str">
        <f>VLOOKUP(A296, 'Session Data'!A:K,11,false)</f>
        <v>Bachelor of Arts in Psychology: Emphasis in Neuroscience </v>
      </c>
      <c r="N296" s="26" t="str">
        <f>IF(ISNA(VLOOKUP(A296, 'Award Abstract#'!C:C, 1, FALSE)), "No", "Yes")
</f>
        <v>No</v>
      </c>
      <c r="O296" s="29" t="str">
        <f>IF(ISNA(VLOOKUP(A296,'Award Abstract#'!B:B,1,FALSE)), "No", "Yes")</f>
        <v>No</v>
      </c>
      <c r="P296" s="29" t="str">
        <f>IF(ISNA(VLOOKUP(A296,'Award Abstract#'!E:E,1,FALSE)), "No", "Yes")</f>
        <v>No</v>
      </c>
      <c r="Q296" s="29" t="str">
        <f>IF(ISNA(VLOOKUP(A296,'Award Abstract#'!A:A,1,FALSE)), "No", "Yes")</f>
        <v>No</v>
      </c>
      <c r="R296" s="29" t="str">
        <f>IF(ISNA(VLOOKUP(A296,'Award Abstract#'!D:D,1,FALSE)), "No", "Yes")</f>
        <v>Yes</v>
      </c>
      <c r="S296" s="30" t="str">
        <f>VLOOKUP(A296, 'Session Data'!A:AA,27,false)</f>
        <v>Woman</v>
      </c>
      <c r="T296" s="30"/>
      <c r="U296" s="30"/>
      <c r="V296" s="31" t="str">
        <f>VLOOKUP(A296, 'Session Data'!A:AA,8,false)</f>
        <v>Rubi </v>
      </c>
      <c r="W296" s="32" t="str">
        <f>VLOOKUP(A296, 'Session Data'!A:AA,9,false)</f>
        <v>Carpio Flores</v>
      </c>
      <c r="X296" s="33" t="str">
        <f>VLOOKUP(A296, 'Session Data'!A:AA,12,false)</f>
        <v>Interactions between History of Traumatic Brain Injury and Sex on Cognition among Hispanic/Latino Adults</v>
      </c>
      <c r="Y296" s="34" t="str">
        <f>VLOOKUP(A296, 'Session Data'!A:AA,22,false)</f>
        <v>Ariana</v>
      </c>
      <c r="Z296" s="34" t="str">
        <f>VLOOKUP(A296, 'Session Data'!A:AA,23,false)</f>
        <v>Stickel</v>
      </c>
      <c r="AA296" s="34" t="str">
        <f>VLOOKUP(A296, 'Session Data'!A:AA,25,false)</f>
        <v>Sciences</v>
      </c>
      <c r="AB296" s="34" t="str">
        <f>VLOOKUP(A296, 'Session Data'!A:AA,24,false)</f>
        <v>astickel@sdsu.edu</v>
      </c>
      <c r="AC296" s="34" t="str">
        <f>VLOOKUP(A296, 'Session Data'!A:AA,16,false)</f>
        <v/>
      </c>
      <c r="AD296" s="35" t="str">
        <f>VLOOKUP(A296, 'Session Data'!A:U,17,false)</f>
        <v/>
      </c>
      <c r="AE296" s="35" t="str">
        <f>VLOOKUP(A296, 'Session Data'!A:U,18,false)</f>
        <v/>
      </c>
      <c r="AF296" s="35" t="str">
        <f>VLOOKUP(A296, 'Session Data'!A:U,19,false)</f>
        <v/>
      </c>
      <c r="AG296" s="35" t="str">
        <f>VLOOKUP(A296, 'Session Data'!A:U,20,false)</f>
        <v/>
      </c>
      <c r="AH296" s="35" t="str">
        <f>VLOOKUP(A296, 'Session Data'!A:U,21,false)</f>
        <v/>
      </c>
      <c r="AI296" s="37"/>
      <c r="AJ296" s="37"/>
      <c r="AK296" s="37"/>
      <c r="AL296" s="50"/>
      <c r="AM296" s="34" t="str">
        <f>VLOOKUP(A296, 'Session Data'!A:AA,10,false)</f>
        <v>rcarpioflores5450@sdsu.edu</v>
      </c>
      <c r="AN296" s="40"/>
      <c r="AO296" s="38"/>
      <c r="AP296" s="38"/>
      <c r="AQ296" s="38"/>
      <c r="AR296" s="38"/>
      <c r="AS296" s="38"/>
      <c r="AT296" s="38"/>
      <c r="AU296" s="38"/>
      <c r="AV296" s="38"/>
      <c r="AW296" s="38"/>
      <c r="AX296" s="38"/>
      <c r="AY296" s="43"/>
      <c r="AZ296" s="43"/>
      <c r="BA296" s="48"/>
      <c r="BB296" s="48"/>
      <c r="BC296" s="43"/>
      <c r="BD296" s="43"/>
      <c r="BE296" s="44"/>
      <c r="BF296" s="45"/>
      <c r="BG296" s="46"/>
    </row>
    <row r="297">
      <c r="A297" s="19" t="s">
        <v>367</v>
      </c>
      <c r="B297" s="20">
        <f>VLOOKUP(F297,'Session Count DO NOT EDIT'!$A:$C,3,FALSE)</f>
        <v>5</v>
      </c>
      <c r="C297" s="20">
        <f>COUNTIFS('Scores Import DO NOT EDIT'!D:D,A297)</f>
        <v>2</v>
      </c>
      <c r="D297" s="21">
        <f t="shared" si="1"/>
        <v>0.4</v>
      </c>
      <c r="E297" s="22">
        <f>AVERAGEIFS('Scores Import DO NOT EDIT'!L:L,'Scores Import DO NOT EDIT'!D:D,A297)</f>
        <v>25.5</v>
      </c>
      <c r="F297" s="23" t="str">
        <f>VLOOKUP(A297, 'Session Data'!A:M,3,false)</f>
        <v>G-1</v>
      </c>
      <c r="G297" s="24" t="str">
        <f>VLOOKUP(A297, 'Session Data'!A:I,2,false)</f>
        <v>11:00 AM</v>
      </c>
      <c r="H297" s="23" t="str">
        <f>VLOOKUP(A297, 'Session Data'!A:J,5,false)</f>
        <v>Behavioral and Social Sciences 1</v>
      </c>
      <c r="I297" s="25" t="str">
        <f>VLOOKUP(A297, 'Session Data'!A:H,4,false)</f>
        <v>Poster</v>
      </c>
      <c r="J297" s="26" t="str">
        <f>VLOOKUP(A297, 'Session Data'!A:AA,14,false)</f>
        <v>Undergraduate</v>
      </c>
      <c r="K297" s="27" t="str">
        <f>VLOOKUP(A297, 'Session Data'!A:AA,15,false)</f>
        <v>Sciences</v>
      </c>
      <c r="L297" s="28"/>
      <c r="M297" s="29" t="str">
        <f>VLOOKUP(A297, 'Session Data'!A:K,11,false)</f>
        <v>Psychology </v>
      </c>
      <c r="N297" s="26" t="str">
        <f>IF(ISNA(VLOOKUP(A297, 'Award Abstract#'!C:C, 1, FALSE)), "No", "Yes")
</f>
        <v>No</v>
      </c>
      <c r="O297" s="29" t="str">
        <f>IF(ISNA(VLOOKUP(A297,'Award Abstract#'!B:B,1,FALSE)), "No", "Yes")</f>
        <v>No</v>
      </c>
      <c r="P297" s="29" t="str">
        <f>IF(ISNA(VLOOKUP(A297,'Award Abstract#'!E:E,1,FALSE)), "No", "Yes")</f>
        <v>No</v>
      </c>
      <c r="Q297" s="29" t="str">
        <f>IF(ISNA(VLOOKUP(A297,'Award Abstract#'!A:A,1,FALSE)), "No", "Yes")</f>
        <v>No</v>
      </c>
      <c r="R297" s="29" t="str">
        <f>IF(ISNA(VLOOKUP(A297,'Award Abstract#'!D:D,1,FALSE)), "No", "Yes")</f>
        <v>Yes</v>
      </c>
      <c r="S297" s="30" t="str">
        <f>VLOOKUP(A297, 'Session Data'!A:AA,27,false)</f>
        <v>Man</v>
      </c>
      <c r="T297" s="30"/>
      <c r="U297" s="30"/>
      <c r="V297" s="31" t="str">
        <f>VLOOKUP(A297, 'Session Data'!A:AA,8,false)</f>
        <v>Armando </v>
      </c>
      <c r="W297" s="32" t="str">
        <f>VLOOKUP(A297, 'Session Data'!A:AA,9,false)</f>
        <v>Lemus</v>
      </c>
      <c r="X297" s="33" t="str">
        <f>VLOOKUP(A297, 'Session Data'!A:AA,12,false)</f>
        <v>The Associations between Alcohol Usage and Cognitive Performance amongst Adults in the Hispanic/Latino Community.</v>
      </c>
      <c r="Y297" s="34" t="str">
        <f>VLOOKUP(A297, 'Session Data'!A:AA,22,false)</f>
        <v>Ariana</v>
      </c>
      <c r="Z297" s="34" t="str">
        <f>VLOOKUP(A297, 'Session Data'!A:AA,23,false)</f>
        <v>Stickel</v>
      </c>
      <c r="AA297" s="34" t="str">
        <f>VLOOKUP(A297, 'Session Data'!A:AA,25,false)</f>
        <v>Sciences</v>
      </c>
      <c r="AB297" s="34"/>
      <c r="AC297" s="34" t="str">
        <f>VLOOKUP(A297, 'Session Data'!A:AA,16,false)</f>
        <v/>
      </c>
      <c r="AD297" s="35" t="str">
        <f>VLOOKUP(A297, 'Session Data'!A:U,17,false)</f>
        <v/>
      </c>
      <c r="AE297" s="35" t="str">
        <f>VLOOKUP(A297, 'Session Data'!A:U,18,false)</f>
        <v/>
      </c>
      <c r="AF297" s="35" t="str">
        <f>VLOOKUP(A297, 'Session Data'!A:U,19,false)</f>
        <v/>
      </c>
      <c r="AG297" s="35" t="str">
        <f>VLOOKUP(A297, 'Session Data'!A:U,20,false)</f>
        <v/>
      </c>
      <c r="AH297" s="35" t="str">
        <f>VLOOKUP(A297, 'Session Data'!A:U,21,false)</f>
        <v>Carlos</v>
      </c>
      <c r="AI297" s="37"/>
      <c r="AJ297" s="37"/>
      <c r="AK297" s="37"/>
      <c r="AL297" s="50"/>
      <c r="AM297" s="34" t="str">
        <f>VLOOKUP(A297, 'Session Data'!A:AA,10,false)</f>
        <v>alemus9726@sdsu.edu</v>
      </c>
      <c r="AN297" s="40"/>
      <c r="AO297" s="38"/>
      <c r="AP297" s="38"/>
      <c r="AQ297" s="38"/>
      <c r="AR297" s="38"/>
      <c r="AS297" s="38"/>
      <c r="AT297" s="38"/>
      <c r="AU297" s="38"/>
      <c r="AV297" s="38"/>
      <c r="AW297" s="38"/>
      <c r="AX297" s="38"/>
      <c r="AY297" s="43"/>
      <c r="AZ297" s="43"/>
      <c r="BA297" s="48"/>
      <c r="BB297" s="48"/>
      <c r="BC297" s="43"/>
      <c r="BD297" s="43"/>
      <c r="BE297" s="44"/>
      <c r="BF297" s="45"/>
      <c r="BG297" s="43"/>
    </row>
    <row r="298">
      <c r="A298" s="19" t="s">
        <v>368</v>
      </c>
      <c r="B298" s="20">
        <f>VLOOKUP(F298,'Session Count DO NOT EDIT'!$A:$C,3,FALSE)</f>
        <v>5</v>
      </c>
      <c r="C298" s="20">
        <f>COUNTIFS('Scores Import DO NOT EDIT'!D:D,A298)</f>
        <v>2</v>
      </c>
      <c r="D298" s="21">
        <f t="shared" si="1"/>
        <v>0.4</v>
      </c>
      <c r="E298" s="22">
        <f>AVERAGEIFS('Scores Import DO NOT EDIT'!L:L,'Scores Import DO NOT EDIT'!D:D,A298)</f>
        <v>25</v>
      </c>
      <c r="F298" s="23" t="str">
        <f>VLOOKUP(A298, 'Session Data'!A:M,3,false)</f>
        <v>G-1</v>
      </c>
      <c r="G298" s="24" t="str">
        <f>VLOOKUP(A298, 'Session Data'!A:I,2,false)</f>
        <v>11:00 AM</v>
      </c>
      <c r="H298" s="23" t="str">
        <f>VLOOKUP(A298, 'Session Data'!A:J,5,false)</f>
        <v>Behavioral and Social Sciences 1</v>
      </c>
      <c r="I298" s="25" t="str">
        <f>VLOOKUP(A298, 'Session Data'!A:H,4,false)</f>
        <v>Poster</v>
      </c>
      <c r="J298" s="26" t="str">
        <f>VLOOKUP(A298, 'Session Data'!A:AA,14,false)</f>
        <v>Undergraduate</v>
      </c>
      <c r="K298" s="27" t="str">
        <f>VLOOKUP(A298, 'Session Data'!A:AA,15,false)</f>
        <v>Education</v>
      </c>
      <c r="L298" s="28"/>
      <c r="M298" s="29" t="str">
        <f>VLOOKUP(A298, 'Session Data'!A:K,11,false)</f>
        <v>Bachelor's of Science in Child Development</v>
      </c>
      <c r="N298" s="26" t="str">
        <f>IF(ISNA(VLOOKUP(A298, 'Award Abstract#'!C:C, 1, FALSE)), "No", "Yes")
</f>
        <v>No</v>
      </c>
      <c r="O298" s="29" t="str">
        <f>IF(ISNA(VLOOKUP(A298,'Award Abstract#'!B:B,1,FALSE)), "No", "Yes")</f>
        <v>No</v>
      </c>
      <c r="P298" s="29" t="str">
        <f>IF(ISNA(VLOOKUP(A298,'Award Abstract#'!E:E,1,FALSE)), "No", "Yes")</f>
        <v>Yes</v>
      </c>
      <c r="Q298" s="29" t="str">
        <f>IF(ISNA(VLOOKUP(A298,'Award Abstract#'!A:A,1,FALSE)), "No", "Yes")</f>
        <v>No</v>
      </c>
      <c r="R298" s="29" t="str">
        <f>IF(ISNA(VLOOKUP(A298,'Award Abstract#'!D:D,1,FALSE)), "No", "Yes")</f>
        <v>Yes</v>
      </c>
      <c r="S298" s="30" t="str">
        <f>VLOOKUP(A298, 'Session Data'!A:AA,27,false)</f>
        <v>Woman</v>
      </c>
      <c r="T298" s="30"/>
      <c r="U298" s="30"/>
      <c r="V298" s="31" t="str">
        <f>VLOOKUP(A298, 'Session Data'!A:AA,8,false)</f>
        <v>Aoi</v>
      </c>
      <c r="W298" s="32" t="str">
        <f>VLOOKUP(A298, 'Session Data'!A:AA,9,false)</f>
        <v>Mori</v>
      </c>
      <c r="X298" s="33" t="str">
        <f>VLOOKUP(A298, 'Session Data'!A:AA,12,false)</f>
        <v>The Impact of Early Intervention Services on Communication Development of Children with Autism</v>
      </c>
      <c r="Y298" s="34" t="str">
        <f>VLOOKUP(A298, 'Session Data'!A:AA,22,false)</f>
        <v>Sarah</v>
      </c>
      <c r="Z298" s="34" t="str">
        <f>VLOOKUP(A298, 'Session Data'!A:AA,23,false)</f>
        <v>Rieth</v>
      </c>
      <c r="AA298" s="34" t="str">
        <f>VLOOKUP(A298, 'Session Data'!A:AA,25,false)</f>
        <v>Education</v>
      </c>
      <c r="AB298" s="34" t="str">
        <f>VLOOKUP(A298, 'Session Data'!A:AA,24,false)</f>
        <v>srieth@sdsu.edu</v>
      </c>
      <c r="AC298" s="34" t="str">
        <f>VLOOKUP(A298, 'Session Data'!A:AA,16,false)</f>
        <v/>
      </c>
      <c r="AD298" s="35" t="str">
        <f>VLOOKUP(A298, 'Session Data'!A:U,17,false)</f>
        <v/>
      </c>
      <c r="AE298" s="35" t="str">
        <f>VLOOKUP(A298, 'Session Data'!A:U,18,false)</f>
        <v/>
      </c>
      <c r="AF298" s="35" t="str">
        <f>VLOOKUP(A298, 'Session Data'!A:U,19,false)</f>
        <v/>
      </c>
      <c r="AG298" s="35" t="str">
        <f>VLOOKUP(A298, 'Session Data'!A:U,20,false)</f>
        <v/>
      </c>
      <c r="AH298" s="35" t="str">
        <f>VLOOKUP(A298, 'Session Data'!A:U,21,false)</f>
        <v/>
      </c>
      <c r="AI298" s="36"/>
      <c r="AJ298" s="37"/>
      <c r="AK298" s="38"/>
      <c r="AL298" s="39"/>
      <c r="AM298" s="34" t="str">
        <f>VLOOKUP(A298, 'Session Data'!A:AA,10,false)</f>
        <v>amori@sdsu.edu</v>
      </c>
      <c r="AN298" s="40"/>
      <c r="AO298" s="38"/>
      <c r="AP298" s="38"/>
      <c r="AQ298" s="38"/>
      <c r="AR298" s="38"/>
      <c r="AS298" s="38"/>
      <c r="AT298" s="38"/>
      <c r="AU298" s="38"/>
      <c r="AV298" s="38"/>
      <c r="AW298" s="38"/>
      <c r="AX298" s="38"/>
      <c r="AY298" s="43"/>
      <c r="AZ298" s="43"/>
      <c r="BA298" s="48"/>
      <c r="BB298" s="48"/>
      <c r="BC298" s="43"/>
      <c r="BD298" s="43"/>
      <c r="BE298" s="44"/>
      <c r="BF298" s="45"/>
      <c r="BG298" s="43"/>
    </row>
    <row r="299">
      <c r="A299" s="19" t="s">
        <v>369</v>
      </c>
      <c r="B299" s="20">
        <f>VLOOKUP(F299,'Session Count DO NOT EDIT'!$A:$C,3,FALSE)</f>
        <v>5</v>
      </c>
      <c r="C299" s="20">
        <f>COUNTIFS('Scores Import DO NOT EDIT'!D:D,A299)</f>
        <v>1</v>
      </c>
      <c r="D299" s="21">
        <f t="shared" si="1"/>
        <v>0.2</v>
      </c>
      <c r="E299" s="22">
        <f>AVERAGEIFS('Scores Import DO NOT EDIT'!L:L,'Scores Import DO NOT EDIT'!D:D,A299)</f>
        <v>17</v>
      </c>
      <c r="F299" s="23" t="str">
        <f>VLOOKUP(A299, 'Session Data'!A:M,3,false)</f>
        <v>G-1</v>
      </c>
      <c r="G299" s="24" t="str">
        <f>VLOOKUP(A299, 'Session Data'!A:I,2,false)</f>
        <v>11:00 AM</v>
      </c>
      <c r="H299" s="23" t="str">
        <f>VLOOKUP(A299, 'Session Data'!A:J,5,false)</f>
        <v>Behavioral and Social Sciences 1</v>
      </c>
      <c r="I299" s="25" t="str">
        <f>VLOOKUP(A299, 'Session Data'!A:H,4,false)</f>
        <v>Poster</v>
      </c>
      <c r="J299" s="26" t="str">
        <f>VLOOKUP(A299, 'Session Data'!A:AA,14,false)</f>
        <v>Undergraduate</v>
      </c>
      <c r="K299" s="27" t="str">
        <f>VLOOKUP(A299, 'Session Data'!A:AA,15,false)</f>
        <v>Sciences</v>
      </c>
      <c r="L299" s="28"/>
      <c r="M299" s="29" t="str">
        <f>VLOOKUP(A299, 'Session Data'!A:K,11,false)</f>
        <v>Bachelor of Arts in Psychology</v>
      </c>
      <c r="N299" s="26" t="str">
        <f>IF(ISNA(VLOOKUP(A299, 'Award Abstract#'!C:C, 1, FALSE)), "No", "Yes")
</f>
        <v>No</v>
      </c>
      <c r="O299" s="29" t="str">
        <f>IF(ISNA(VLOOKUP(A299,'Award Abstract#'!B:B,1,FALSE)), "No", "Yes")</f>
        <v>No</v>
      </c>
      <c r="P299" s="29" t="str">
        <f>IF(ISNA(VLOOKUP(A299,'Award Abstract#'!E:E,1,FALSE)), "No", "Yes")</f>
        <v>No</v>
      </c>
      <c r="Q299" s="29" t="str">
        <f>IF(ISNA(VLOOKUP(A299,'Award Abstract#'!A:A,1,FALSE)), "No", "Yes")</f>
        <v>No</v>
      </c>
      <c r="R299" s="29" t="str">
        <f>IF(ISNA(VLOOKUP(A299,'Award Abstract#'!D:D,1,FALSE)), "No", "Yes")</f>
        <v>Yes</v>
      </c>
      <c r="S299" s="30" t="str">
        <f>VLOOKUP(A299, 'Session Data'!A:AA,27,false)</f>
        <v>Man</v>
      </c>
      <c r="T299" s="30"/>
      <c r="U299" s="30"/>
      <c r="V299" s="31" t="str">
        <f>VLOOKUP(A299, 'Session Data'!A:AA,8,false)</f>
        <v>Shaun</v>
      </c>
      <c r="W299" s="32" t="str">
        <f>VLOOKUP(A299, 'Session Data'!A:AA,9,false)</f>
        <v>Goycoochea</v>
      </c>
      <c r="X299" s="33" t="str">
        <f>VLOOKUP(A299, 'Session Data'!A:AA,12,false)</f>
        <v>Education moderates the associations of family history of cognitive impairment with cognition among Hispanic/Latino adults.</v>
      </c>
      <c r="Y299" s="34" t="str">
        <f>VLOOKUP(A299, 'Session Data'!A:AA,22,false)</f>
        <v>Ariana</v>
      </c>
      <c r="Z299" s="34" t="str">
        <f>VLOOKUP(A299, 'Session Data'!A:AA,23,false)</f>
        <v>Stickel</v>
      </c>
      <c r="AA299" s="34" t="str">
        <f>VLOOKUP(A299, 'Session Data'!A:AA,25,false)</f>
        <v>Sciences</v>
      </c>
      <c r="AB299" s="34"/>
      <c r="AC299" s="34" t="str">
        <f>VLOOKUP(A299, 'Session Data'!A:AA,16,false)</f>
        <v>Armando </v>
      </c>
      <c r="AD299" s="35" t="str">
        <f>VLOOKUP(A299, 'Session Data'!A:U,17,false)</f>
        <v>Lemuse</v>
      </c>
      <c r="AE299" s="35" t="str">
        <f>VLOOKUP(A299, 'Session Data'!A:U,18,false)</f>
        <v/>
      </c>
      <c r="AF299" s="35" t="str">
        <f>VLOOKUP(A299, 'Session Data'!A:U,19,false)</f>
        <v/>
      </c>
      <c r="AG299" s="35" t="str">
        <f>VLOOKUP(A299, 'Session Data'!A:U,20,false)</f>
        <v/>
      </c>
      <c r="AH299" s="35" t="str">
        <f>VLOOKUP(A299, 'Session Data'!A:U,21,false)</f>
        <v/>
      </c>
      <c r="AI299" s="37"/>
      <c r="AJ299" s="37"/>
      <c r="AK299" s="37"/>
      <c r="AL299" s="50"/>
      <c r="AM299" s="34" t="str">
        <f>VLOOKUP(A299, 'Session Data'!A:AA,10,false)</f>
        <v>sgoycoochea3184@sdsu.edu</v>
      </c>
      <c r="AN299" s="40"/>
      <c r="AO299" s="38"/>
      <c r="AP299" s="38"/>
      <c r="AQ299" s="38"/>
      <c r="AR299" s="38"/>
      <c r="AS299" s="38"/>
      <c r="AT299" s="38"/>
      <c r="AU299" s="38"/>
      <c r="AV299" s="38"/>
      <c r="AW299" s="38"/>
      <c r="AX299" s="38"/>
      <c r="AY299" s="43"/>
      <c r="AZ299" s="43"/>
      <c r="BA299" s="48"/>
      <c r="BB299" s="48"/>
      <c r="BC299" s="43"/>
      <c r="BD299" s="43"/>
      <c r="BE299" s="44"/>
      <c r="BF299" s="45"/>
      <c r="BG299" s="46"/>
    </row>
    <row r="300">
      <c r="A300" s="19" t="s">
        <v>370</v>
      </c>
      <c r="B300" s="20">
        <f>VLOOKUP(F300,'Session Count DO NOT EDIT'!$A:$C,3,FALSE)</f>
        <v>5</v>
      </c>
      <c r="C300" s="20">
        <f>COUNTIFS('Scores Import DO NOT EDIT'!D:D,A300)</f>
        <v>4</v>
      </c>
      <c r="D300" s="21">
        <f t="shared" si="1"/>
        <v>0.8</v>
      </c>
      <c r="E300" s="22">
        <f>AVERAGEIFS('Scores Import DO NOT EDIT'!L:L,'Scores Import DO NOT EDIT'!D:D,A300)</f>
        <v>31.5</v>
      </c>
      <c r="F300" s="23" t="str">
        <f>VLOOKUP(A300, 'Session Data'!A:M,3,false)</f>
        <v>G-10</v>
      </c>
      <c r="G300" s="24" t="str">
        <f>VLOOKUP(A300, 'Session Data'!A:I,2,false)</f>
        <v>11:00 AM</v>
      </c>
      <c r="H300" s="23" t="str">
        <f>VLOOKUP(A300, 'Session Data'!A:J,5,false)</f>
        <v>Engineering and Computer Science</v>
      </c>
      <c r="I300" s="25" t="str">
        <f>VLOOKUP(A300, 'Session Data'!A:H,4,false)</f>
        <v>Poster</v>
      </c>
      <c r="J300" s="26" t="str">
        <f>VLOOKUP(A300, 'Session Data'!A:AA,14,false)</f>
        <v>Master's</v>
      </c>
      <c r="K300" s="27" t="str">
        <f>VLOOKUP(A300, 'Session Data'!A:AA,15,false)</f>
        <v>Engineering</v>
      </c>
      <c r="L300" s="28" t="s">
        <v>324</v>
      </c>
      <c r="M300" s="29" t="str">
        <f>VLOOKUP(A300, 'Session Data'!A:K,11,false)</f>
        <v>Masters in Civil Engineering</v>
      </c>
      <c r="N300" s="26" t="str">
        <f>IF(ISNA(VLOOKUP(A300, 'Award Abstract#'!C:C, 1, FALSE)), "No", "Yes")
</f>
        <v>No</v>
      </c>
      <c r="O300" s="29" t="str">
        <f>IF(ISNA(VLOOKUP(A300,'Award Abstract#'!B:B,1,FALSE)), "No", "Yes")</f>
        <v>Yes</v>
      </c>
      <c r="P300" s="29" t="str">
        <f>IF(ISNA(VLOOKUP(A300,'Award Abstract#'!E:E,1,FALSE)), "No", "Yes")</f>
        <v>No</v>
      </c>
      <c r="Q300" s="29" t="str">
        <f>IF(ISNA(VLOOKUP(A300,'Award Abstract#'!A:A,1,FALSE)), "No", "Yes")</f>
        <v>No</v>
      </c>
      <c r="R300" s="29" t="str">
        <f>IF(ISNA(VLOOKUP(A300,'Award Abstract#'!D:D,1,FALSE)), "No", "Yes")</f>
        <v>No</v>
      </c>
      <c r="S300" s="30" t="str">
        <f>VLOOKUP(A300, 'Session Data'!A:AA,27,false)</f>
        <v>Woman</v>
      </c>
      <c r="T300" s="30"/>
      <c r="U300" s="30"/>
      <c r="V300" s="31" t="str">
        <f>VLOOKUP(A300, 'Session Data'!A:AA,8,false)</f>
        <v>Alexandra</v>
      </c>
      <c r="W300" s="32" t="str">
        <f>VLOOKUP(A300, 'Session Data'!A:AA,9,false)</f>
        <v>Grant</v>
      </c>
      <c r="X300" s="33" t="str">
        <f>VLOOKUP(A300, 'Session Data'!A:AA,12,false)</f>
        <v>In the Tijuana River Estuary, how do rates of fecal indicator bacteria reduction from the border to the estuary compare to the degradation rates of other wastewater surrogates? </v>
      </c>
      <c r="Y300" s="34" t="str">
        <f>VLOOKUP(A300, 'Session Data'!A:AA,22,false)</f>
        <v>Natalie</v>
      </c>
      <c r="Z300" s="34" t="str">
        <f>VLOOKUP(A300, 'Session Data'!A:AA,23,false)</f>
        <v>Mladenov</v>
      </c>
      <c r="AA300" s="34" t="str">
        <f>VLOOKUP(A300, 'Session Data'!A:AA,25,false)</f>
        <v>Engineering</v>
      </c>
      <c r="AB300" s="34" t="str">
        <f>VLOOKUP(A300, 'Session Data'!A:AA,24,false)</f>
        <v>nmladenov@sdsu.edu</v>
      </c>
      <c r="AC300" s="34" t="str">
        <f>VLOOKUP(A300, 'Session Data'!A:AA,16,false)</f>
        <v/>
      </c>
      <c r="AD300" s="35" t="str">
        <f>VLOOKUP(A300, 'Session Data'!A:U,17,false)</f>
        <v/>
      </c>
      <c r="AE300" s="35" t="str">
        <f>VLOOKUP(A300, 'Session Data'!A:U,18,false)</f>
        <v/>
      </c>
      <c r="AF300" s="35" t="str">
        <f>VLOOKUP(A300, 'Session Data'!A:U,19,false)</f>
        <v/>
      </c>
      <c r="AG300" s="35" t="str">
        <f>VLOOKUP(A300, 'Session Data'!A:U,20,false)</f>
        <v/>
      </c>
      <c r="AH300" s="35" t="str">
        <f>VLOOKUP(A300, 'Session Data'!A:U,21,false)</f>
        <v/>
      </c>
      <c r="AI300" s="37"/>
      <c r="AJ300" s="37"/>
      <c r="AK300" s="37"/>
      <c r="AL300" s="50"/>
      <c r="AM300" s="34" t="str">
        <f>VLOOKUP(A300, 'Session Data'!A:AA,10,false)</f>
        <v>agrant9156@sdsu.edu</v>
      </c>
      <c r="AN300" s="40"/>
      <c r="AO300" s="38"/>
      <c r="AP300" s="38"/>
      <c r="AQ300" s="38"/>
      <c r="AR300" s="38"/>
      <c r="AS300" s="38"/>
      <c r="AT300" s="38"/>
      <c r="AU300" s="38"/>
      <c r="AV300" s="38"/>
      <c r="AW300" s="38"/>
      <c r="AX300" s="38"/>
      <c r="AY300" s="43"/>
      <c r="AZ300" s="43"/>
      <c r="BA300" s="43"/>
      <c r="BB300" s="43"/>
      <c r="BC300" s="43"/>
      <c r="BD300" s="43"/>
      <c r="BE300" s="44"/>
      <c r="BF300" s="45"/>
      <c r="BG300" s="43"/>
    </row>
    <row r="301">
      <c r="A301" s="19" t="s">
        <v>371</v>
      </c>
      <c r="B301" s="20">
        <f>VLOOKUP(F301,'Session Count DO NOT EDIT'!$A:$C,3,FALSE)</f>
        <v>5</v>
      </c>
      <c r="C301" s="20">
        <f>COUNTIFS('Scores Import DO NOT EDIT'!D:D,A301)</f>
        <v>4</v>
      </c>
      <c r="D301" s="21">
        <f t="shared" si="1"/>
        <v>0.8</v>
      </c>
      <c r="E301" s="22">
        <f>AVERAGEIFS('Scores Import DO NOT EDIT'!L:L,'Scores Import DO NOT EDIT'!D:D,A301)</f>
        <v>29.25</v>
      </c>
      <c r="F301" s="23" t="str">
        <f>VLOOKUP(A301, 'Session Data'!A:M,3,false)</f>
        <v>G-10</v>
      </c>
      <c r="G301" s="24" t="str">
        <f>VLOOKUP(A301, 'Session Data'!A:I,2,false)</f>
        <v>11:00 AM</v>
      </c>
      <c r="H301" s="23" t="str">
        <f>VLOOKUP(A301, 'Session Data'!A:J,5,false)</f>
        <v>Engineering and Computer Science</v>
      </c>
      <c r="I301" s="25" t="str">
        <f>VLOOKUP(A301, 'Session Data'!A:H,4,false)</f>
        <v>Poster</v>
      </c>
      <c r="J301" s="26" t="str">
        <f>VLOOKUP(A301, 'Session Data'!A:AA,14,false)</f>
        <v>Doctoral</v>
      </c>
      <c r="K301" s="27" t="str">
        <f>VLOOKUP(A301, 'Session Data'!A:AA,15,false)</f>
        <v>Engineering</v>
      </c>
      <c r="L301" s="28"/>
      <c r="M301" s="29" t="str">
        <f>VLOOKUP(A301, 'Session Data'!A:K,11,false)</f>
        <v>Joint Doctoral Program Engineering Science (Mechanical and Aerospace)</v>
      </c>
      <c r="N301" s="26" t="str">
        <f>IF(ISNA(VLOOKUP(A301, 'Award Abstract#'!C:C, 1, FALSE)), "No", "Yes")
</f>
        <v>No</v>
      </c>
      <c r="O301" s="29" t="str">
        <f>IF(ISNA(VLOOKUP(A301,'Award Abstract#'!B:B,1,FALSE)), "No", "Yes")</f>
        <v>Yes</v>
      </c>
      <c r="P301" s="29" t="str">
        <f>IF(ISNA(VLOOKUP(A301,'Award Abstract#'!E:E,1,FALSE)), "No", "Yes")</f>
        <v>No</v>
      </c>
      <c r="Q301" s="29" t="str">
        <f>IF(ISNA(VLOOKUP(A301,'Award Abstract#'!A:A,1,FALSE)), "No", "Yes")</f>
        <v>No</v>
      </c>
      <c r="R301" s="29" t="str">
        <f>IF(ISNA(VLOOKUP(A301,'Award Abstract#'!D:D,1,FALSE)), "No", "Yes")</f>
        <v>No</v>
      </c>
      <c r="S301" s="30" t="str">
        <f>VLOOKUP(A301, 'Session Data'!A:AA,27,false)</f>
        <v>Man</v>
      </c>
      <c r="T301" s="30"/>
      <c r="U301" s="30"/>
      <c r="V301" s="31" t="str">
        <f>VLOOKUP(A301, 'Session Data'!A:AA,8,false)</f>
        <v>Rodney</v>
      </c>
      <c r="W301" s="32" t="str">
        <f>VLOOKUP(A301, 'Session Data'!A:AA,9,false)</f>
        <v>Leary</v>
      </c>
      <c r="X301" s="33" t="str">
        <f>VLOOKUP(A301, 'Session Data'!A:AA,12,false)</f>
        <v>A ‘Trap-and-Zap’ Technology for Cost-Effective Removal and Destruction of Aqueous Phase Per- and Polyfluoroalkyl Substances (PFAS) at DoD Sites</v>
      </c>
      <c r="Y301" s="34" t="str">
        <f>VLOOKUP(A301, 'Session Data'!A:AA,22,false)</f>
        <v>Dongye </v>
      </c>
      <c r="Z301" s="34" t="str">
        <f>VLOOKUP(A301, 'Session Data'!A:AA,23,false)</f>
        <v>Zhao</v>
      </c>
      <c r="AA301" s="34" t="str">
        <f>VLOOKUP(A301, 'Session Data'!A:AA,25,false)</f>
        <v>Engineering</v>
      </c>
      <c r="AB301" s="34" t="str">
        <f>VLOOKUP(A301, 'Session Data'!A:AA,24,false)</f>
        <v>dzhao2@sdsu.edu</v>
      </c>
      <c r="AC301" s="34" t="str">
        <f>VLOOKUP(A301, 'Session Data'!A:AA,16,false)</f>
        <v/>
      </c>
      <c r="AD301" s="35" t="str">
        <f>VLOOKUP(A301, 'Session Data'!A:U,17,false)</f>
        <v/>
      </c>
      <c r="AE301" s="35" t="str">
        <f>VLOOKUP(A301, 'Session Data'!A:U,18,false)</f>
        <v/>
      </c>
      <c r="AF301" s="35" t="str">
        <f>VLOOKUP(A301, 'Session Data'!A:U,19,false)</f>
        <v/>
      </c>
      <c r="AG301" s="35" t="str">
        <f>VLOOKUP(A301, 'Session Data'!A:U,20,false)</f>
        <v/>
      </c>
      <c r="AH301" s="35" t="str">
        <f>VLOOKUP(A301, 'Session Data'!A:U,21,false)</f>
        <v/>
      </c>
      <c r="AI301" s="36"/>
      <c r="AJ301" s="38"/>
      <c r="AK301" s="38"/>
      <c r="AL301" s="39"/>
      <c r="AM301" s="34" t="str">
        <f>VLOOKUP(A301, 'Session Data'!A:AA,10,false)</f>
        <v>rleary6052@sdsu.edu</v>
      </c>
      <c r="AN301" s="89"/>
      <c r="AO301" s="38"/>
      <c r="AP301" s="38"/>
      <c r="AQ301" s="38"/>
      <c r="AR301" s="38"/>
      <c r="AS301" s="38"/>
      <c r="AT301" s="38"/>
      <c r="AU301" s="38"/>
      <c r="AV301" s="38"/>
      <c r="AW301" s="38"/>
      <c r="AX301" s="38"/>
      <c r="AY301" s="43"/>
      <c r="AZ301" s="46"/>
      <c r="BA301" s="43"/>
      <c r="BB301" s="43"/>
      <c r="BC301" s="43"/>
      <c r="BD301" s="43"/>
      <c r="BE301" s="44"/>
      <c r="BF301" s="45"/>
      <c r="BG301" s="46"/>
    </row>
    <row r="302">
      <c r="A302" s="19" t="s">
        <v>372</v>
      </c>
      <c r="B302" s="20">
        <f>VLOOKUP(F302,'Session Count DO NOT EDIT'!$A:$C,3,FALSE)</f>
        <v>5</v>
      </c>
      <c r="C302" s="20">
        <f>COUNTIFS('Scores Import DO NOT EDIT'!D:D,A302)</f>
        <v>3</v>
      </c>
      <c r="D302" s="21">
        <f t="shared" si="1"/>
        <v>0.6</v>
      </c>
      <c r="E302" s="22">
        <f>AVERAGEIFS('Scores Import DO NOT EDIT'!L:L,'Scores Import DO NOT EDIT'!D:D,A302)</f>
        <v>23.33333333</v>
      </c>
      <c r="F302" s="23" t="str">
        <f>VLOOKUP(A302, 'Session Data'!A:M,3,false)</f>
        <v>G-10</v>
      </c>
      <c r="G302" s="24" t="str">
        <f>VLOOKUP(A302, 'Session Data'!A:I,2,false)</f>
        <v>11:00 AM</v>
      </c>
      <c r="H302" s="23" t="str">
        <f>VLOOKUP(A302, 'Session Data'!A:J,5,false)</f>
        <v>Engineering and Computer Science</v>
      </c>
      <c r="I302" s="25" t="str">
        <f>VLOOKUP(A302, 'Session Data'!A:H,4,false)</f>
        <v>Poster</v>
      </c>
      <c r="J302" s="26" t="str">
        <f>VLOOKUP(A302, 'Session Data'!A:AA,14,false)</f>
        <v>Master's</v>
      </c>
      <c r="K302" s="27" t="str">
        <f>VLOOKUP(A302, 'Session Data'!A:AA,15,false)</f>
        <v>Fowler College of Business</v>
      </c>
      <c r="L302" s="47"/>
      <c r="M302" s="29" t="str">
        <f>VLOOKUP(A302, 'Session Data'!A:K,11,false)</f>
        <v>Master of Business Administration</v>
      </c>
      <c r="N302" s="26" t="str">
        <f>IF(ISNA(VLOOKUP(A302, 'Award Abstract#'!C:C, 1, FALSE)), "No", "Yes")
</f>
        <v>No</v>
      </c>
      <c r="O302" s="29" t="str">
        <f>IF(ISNA(VLOOKUP(A302,'Award Abstract#'!B:B,1,FALSE)), "No", "Yes")</f>
        <v>Yes</v>
      </c>
      <c r="P302" s="29" t="str">
        <f>IF(ISNA(VLOOKUP(A302,'Award Abstract#'!E:E,1,FALSE)), "No", "Yes")</f>
        <v>No</v>
      </c>
      <c r="Q302" s="29" t="str">
        <f>IF(ISNA(VLOOKUP(A302,'Award Abstract#'!A:A,1,FALSE)), "No", "Yes")</f>
        <v>No</v>
      </c>
      <c r="R302" s="29" t="str">
        <f>IF(ISNA(VLOOKUP(A302,'Award Abstract#'!D:D,1,FALSE)), "No", "Yes")</f>
        <v>Yes</v>
      </c>
      <c r="S302" s="30" t="str">
        <f>VLOOKUP(A302, 'Session Data'!A:AA,27,false)</f>
        <v>Man</v>
      </c>
      <c r="T302" s="30"/>
      <c r="U302" s="30"/>
      <c r="V302" s="31" t="str">
        <f>VLOOKUP(A302, 'Session Data'!A:AA,8,false)</f>
        <v>David</v>
      </c>
      <c r="W302" s="32" t="str">
        <f>VLOOKUP(A302, 'Session Data'!A:AA,9,false)</f>
        <v>Elizondo</v>
      </c>
      <c r="X302" s="33" t="str">
        <f>VLOOKUP(A302, 'Session Data'!A:AA,12,false)</f>
        <v>Inspiring Mindful Consumption with Compassionate AI</v>
      </c>
      <c r="Y302" s="34" t="str">
        <f>VLOOKUP(A302, 'Session Data'!A:AA,22,false)</f>
        <v>Heather</v>
      </c>
      <c r="Z302" s="34" t="str">
        <f>VLOOKUP(A302, 'Session Data'!A:AA,23,false)</f>
        <v>Honea</v>
      </c>
      <c r="AA302" s="34" t="str">
        <f>VLOOKUP(A302, 'Session Data'!A:AA,25,false)</f>
        <v>Fowler College of Business</v>
      </c>
      <c r="AB302" s="34" t="str">
        <f>VLOOKUP(A302, 'Session Data'!A:AA,24,false)</f>
        <v>hhonea@sdsu.edu</v>
      </c>
      <c r="AC302" s="34" t="str">
        <f>VLOOKUP(A302, 'Session Data'!A:AA,16,false)</f>
        <v/>
      </c>
      <c r="AD302" s="35" t="str">
        <f>VLOOKUP(A302, 'Session Data'!A:U,17,false)</f>
        <v/>
      </c>
      <c r="AE302" s="35" t="str">
        <f>VLOOKUP(A302, 'Session Data'!A:U,18,false)</f>
        <v/>
      </c>
      <c r="AF302" s="35" t="str">
        <f>VLOOKUP(A302, 'Session Data'!A:U,19,false)</f>
        <v/>
      </c>
      <c r="AG302" s="35" t="str">
        <f>VLOOKUP(A302, 'Session Data'!A:U,20,false)</f>
        <v/>
      </c>
      <c r="AH302" s="35" t="str">
        <f>VLOOKUP(A302, 'Session Data'!A:U,21,false)</f>
        <v/>
      </c>
      <c r="AI302" s="36"/>
      <c r="AJ302" s="38"/>
      <c r="AK302" s="38"/>
      <c r="AL302" s="39"/>
      <c r="AM302" s="34" t="str">
        <f>VLOOKUP(A302, 'Session Data'!A:AA,10,false)</f>
        <v>delizondo9283@sdsu.edu</v>
      </c>
      <c r="AN302" s="40"/>
      <c r="AO302" s="38"/>
      <c r="AP302" s="38"/>
      <c r="AQ302" s="38"/>
      <c r="AR302" s="38"/>
      <c r="AS302" s="38"/>
      <c r="AT302" s="38"/>
      <c r="AU302" s="38"/>
      <c r="AV302" s="38"/>
      <c r="AW302" s="38"/>
      <c r="AX302" s="38"/>
      <c r="AY302" s="43"/>
      <c r="AZ302" s="43"/>
      <c r="BA302" s="43"/>
      <c r="BB302" s="43"/>
      <c r="BC302" s="43"/>
      <c r="BD302" s="43"/>
      <c r="BE302" s="44"/>
      <c r="BF302" s="45"/>
      <c r="BG302" s="46"/>
    </row>
    <row r="303">
      <c r="A303" s="19" t="s">
        <v>373</v>
      </c>
      <c r="B303" s="20">
        <f>VLOOKUP(F303,'Session Count DO NOT EDIT'!$A:$C,3,FALSE)</f>
        <v>5</v>
      </c>
      <c r="C303" s="20">
        <f>COUNTIFS('Scores Import DO NOT EDIT'!D:D,A303)</f>
        <v>4</v>
      </c>
      <c r="D303" s="21">
        <f t="shared" si="1"/>
        <v>0.8</v>
      </c>
      <c r="E303" s="22">
        <f>AVERAGEIFS('Scores Import DO NOT EDIT'!L:L,'Scores Import DO NOT EDIT'!D:D,A303)</f>
        <v>27.75</v>
      </c>
      <c r="F303" s="23" t="str">
        <f>VLOOKUP(A303, 'Session Data'!A:M,3,false)</f>
        <v>G-10</v>
      </c>
      <c r="G303" s="24" t="str">
        <f>VLOOKUP(A303, 'Session Data'!A:I,2,false)</f>
        <v>11:00 AM</v>
      </c>
      <c r="H303" s="23" t="str">
        <f>VLOOKUP(A303, 'Session Data'!A:J,5,false)</f>
        <v>Engineering and Computer Science</v>
      </c>
      <c r="I303" s="25" t="str">
        <f>VLOOKUP(A303, 'Session Data'!A:H,4,false)</f>
        <v>Poster</v>
      </c>
      <c r="J303" s="26" t="str">
        <f>VLOOKUP(A303, 'Session Data'!A:AA,14,false)</f>
        <v>Master's</v>
      </c>
      <c r="K303" s="27" t="str">
        <f>VLOOKUP(A303, 'Session Data'!A:AA,15,false)</f>
        <v>Engineering</v>
      </c>
      <c r="L303" s="47"/>
      <c r="M303" s="29" t="str">
        <f>VLOOKUP(A303, 'Session Data'!A:K,11,false)</f>
        <v>Masters of Science in Mechanical Engineering</v>
      </c>
      <c r="N303" s="26" t="str">
        <f>IF(ISNA(VLOOKUP(A303, 'Award Abstract#'!C:C, 1, FALSE)), "No", "Yes")
</f>
        <v>No</v>
      </c>
      <c r="O303" s="29" t="str">
        <f>IF(ISNA(VLOOKUP(A303,'Award Abstract#'!B:B,1,FALSE)), "No", "Yes")</f>
        <v>No</v>
      </c>
      <c r="P303" s="29" t="str">
        <f>IF(ISNA(VLOOKUP(A303,'Award Abstract#'!E:E,1,FALSE)), "No", "Yes")</f>
        <v>No</v>
      </c>
      <c r="Q303" s="29" t="str">
        <f>IF(ISNA(VLOOKUP(A303,'Award Abstract#'!A:A,1,FALSE)), "No", "Yes")</f>
        <v>No</v>
      </c>
      <c r="R303" s="29" t="str">
        <f>IF(ISNA(VLOOKUP(A303,'Award Abstract#'!D:D,1,FALSE)), "No", "Yes")</f>
        <v>No</v>
      </c>
      <c r="S303" s="30" t="str">
        <f>VLOOKUP(A303, 'Session Data'!A:AA,27,false)</f>
        <v>Man</v>
      </c>
      <c r="T303" s="30"/>
      <c r="U303" s="30"/>
      <c r="V303" s="31" t="str">
        <f>VLOOKUP(A303, 'Session Data'!A:AA,8,false)</f>
        <v>Sean</v>
      </c>
      <c r="W303" s="32" t="str">
        <f>VLOOKUP(A303, 'Session Data'!A:AA,9,false)</f>
        <v>Eckstein</v>
      </c>
      <c r="X303" s="33" t="str">
        <f>VLOOKUP(A303, 'Session Data'!A:AA,12,false)</f>
        <v>Thermomechanical Properties of Polyurea Elastomeric Foam</v>
      </c>
      <c r="Y303" s="34" t="str">
        <f>VLOOKUP(A303, 'Session Data'!A:AA,22,false)</f>
        <v>George</v>
      </c>
      <c r="Z303" s="34" t="str">
        <f>VLOOKUP(A303, 'Session Data'!A:AA,23,false)</f>
        <v>Youssef</v>
      </c>
      <c r="AA303" s="34" t="str">
        <f>VLOOKUP(A303, 'Session Data'!A:AA,25,false)</f>
        <v>Engineering</v>
      </c>
      <c r="AB303" s="34" t="str">
        <f>VLOOKUP(A303, 'Session Data'!A:AA,24,false)</f>
        <v>gyoussef@sdsu.edu</v>
      </c>
      <c r="AC303" s="34" t="str">
        <f>VLOOKUP(A303, 'Session Data'!A:AA,16,false)</f>
        <v/>
      </c>
      <c r="AD303" s="35" t="str">
        <f>VLOOKUP(A303, 'Session Data'!A:U,17,false)</f>
        <v/>
      </c>
      <c r="AE303" s="35" t="str">
        <f>VLOOKUP(A303, 'Session Data'!A:U,18,false)</f>
        <v/>
      </c>
      <c r="AF303" s="35" t="str">
        <f>VLOOKUP(A303, 'Session Data'!A:U,19,false)</f>
        <v/>
      </c>
      <c r="AG303" s="35" t="str">
        <f>VLOOKUP(A303, 'Session Data'!A:U,20,false)</f>
        <v/>
      </c>
      <c r="AH303" s="35" t="str">
        <f>VLOOKUP(A303, 'Session Data'!A:U,21,false)</f>
        <v/>
      </c>
      <c r="AI303" s="37"/>
      <c r="AJ303" s="37"/>
      <c r="AK303" s="37"/>
      <c r="AL303" s="50"/>
      <c r="AM303" s="34" t="str">
        <f>VLOOKUP(A303, 'Session Data'!A:AA,10,false)</f>
        <v>seckstein1798@sdsu.edu</v>
      </c>
      <c r="AN303" s="40"/>
      <c r="AO303" s="38"/>
      <c r="AP303" s="38"/>
      <c r="AQ303" s="38"/>
      <c r="AR303" s="38"/>
      <c r="AS303" s="38"/>
      <c r="AT303" s="38"/>
      <c r="AU303" s="38"/>
      <c r="AV303" s="38"/>
      <c r="AW303" s="38"/>
      <c r="AX303" s="38"/>
      <c r="AY303" s="43"/>
      <c r="AZ303" s="43"/>
      <c r="BA303" s="48"/>
      <c r="BB303" s="48"/>
      <c r="BC303" s="43"/>
      <c r="BD303" s="43"/>
      <c r="BE303" s="44"/>
      <c r="BF303" s="45"/>
      <c r="BG303" s="46"/>
    </row>
    <row r="304">
      <c r="A304" s="19" t="s">
        <v>374</v>
      </c>
      <c r="B304" s="20">
        <f>VLOOKUP(F304,'Session Count DO NOT EDIT'!$A:$C,3,FALSE)</f>
        <v>5</v>
      </c>
      <c r="C304" s="20">
        <f>COUNTIFS('Scores Import DO NOT EDIT'!D:D,A304)</f>
        <v>4</v>
      </c>
      <c r="D304" s="21">
        <f t="shared" si="1"/>
        <v>0.8</v>
      </c>
      <c r="E304" s="22">
        <f>AVERAGEIFS('Scores Import DO NOT EDIT'!L:L,'Scores Import DO NOT EDIT'!D:D,A304)</f>
        <v>21</v>
      </c>
      <c r="F304" s="23" t="str">
        <f>VLOOKUP(A304, 'Session Data'!A:M,3,false)</f>
        <v>G-10</v>
      </c>
      <c r="G304" s="24" t="str">
        <f>VLOOKUP(A304, 'Session Data'!A:I,2,false)</f>
        <v>11:00 AM</v>
      </c>
      <c r="H304" s="23" t="str">
        <f>VLOOKUP(A304, 'Session Data'!A:J,5,false)</f>
        <v>Engineering and Computer Science</v>
      </c>
      <c r="I304" s="25" t="str">
        <f>VLOOKUP(A304, 'Session Data'!A:H,4,false)</f>
        <v>Poster</v>
      </c>
      <c r="J304" s="26" t="str">
        <f>VLOOKUP(A304, 'Session Data'!A:AA,14,false)</f>
        <v>Master's</v>
      </c>
      <c r="K304" s="27" t="str">
        <f>VLOOKUP(A304, 'Session Data'!A:AA,15,false)</f>
        <v>Sciences</v>
      </c>
      <c r="L304" s="28"/>
      <c r="M304" s="29" t="str">
        <f>VLOOKUP(A304, 'Session Data'!A:K,11,false)</f>
        <v>Homeland Security</v>
      </c>
      <c r="N304" s="26" t="str">
        <f>IF(ISNA(VLOOKUP(A304, 'Award Abstract#'!C:C, 1, FALSE)), "No", "Yes")
</f>
        <v>No</v>
      </c>
      <c r="O304" s="29" t="str">
        <f>IF(ISNA(VLOOKUP(A304,'Award Abstract#'!B:B,1,FALSE)), "No", "Yes")</f>
        <v>No</v>
      </c>
      <c r="P304" s="29" t="str">
        <f>IF(ISNA(VLOOKUP(A304,'Award Abstract#'!E:E,1,FALSE)), "No", "Yes")</f>
        <v>No</v>
      </c>
      <c r="Q304" s="29" t="str">
        <f>IF(ISNA(VLOOKUP(A304,'Award Abstract#'!A:A,1,FALSE)), "No", "Yes")</f>
        <v>No</v>
      </c>
      <c r="R304" s="29" t="str">
        <f>IF(ISNA(VLOOKUP(A304,'Award Abstract#'!D:D,1,FALSE)), "No", "Yes")</f>
        <v>No</v>
      </c>
      <c r="S304" s="30" t="str">
        <f>VLOOKUP(A304, 'Session Data'!A:AA,27,false)</f>
        <v>Man</v>
      </c>
      <c r="T304" s="30"/>
      <c r="U304" s="30"/>
      <c r="V304" s="31" t="str">
        <f>VLOOKUP(A304, 'Session Data'!A:AA,8,false)</f>
        <v>Anthony</v>
      </c>
      <c r="W304" s="32" t="str">
        <f>VLOOKUP(A304, 'Session Data'!A:AA,9,false)</f>
        <v>Tanay</v>
      </c>
      <c r="X304" s="33" t="str">
        <f>VLOOKUP(A304, 'Session Data'!A:AA,12,false)</f>
        <v>Cyber Vulnerabilities San Diego</v>
      </c>
      <c r="Y304" s="34" t="str">
        <f>VLOOKUP(A304, 'Session Data'!A:AA,22,false)</f>
        <v>Robert</v>
      </c>
      <c r="Z304" s="34" t="str">
        <f>VLOOKUP(A304, 'Session Data'!A:AA,23,false)</f>
        <v>Harkins</v>
      </c>
      <c r="AA304" s="34" t="str">
        <f>VLOOKUP(A304, 'Session Data'!A:AA,25,false)</f>
        <v>Sciences</v>
      </c>
      <c r="AB304" s="34"/>
      <c r="AC304" s="34" t="str">
        <f>VLOOKUP(A304, 'Session Data'!A:AA,16,false)</f>
        <v>Darren</v>
      </c>
      <c r="AD304" s="35" t="str">
        <f>VLOOKUP(A304, 'Session Data'!A:U,17,false)</f>
        <v>Famisan</v>
      </c>
      <c r="AE304" s="35" t="str">
        <f>VLOOKUP(A304, 'Session Data'!A:U,18,false)</f>
        <v>Jia</v>
      </c>
      <c r="AF304" s="35" t="str">
        <f>VLOOKUP(A304, 'Session Data'!A:U,19,false)</f>
        <v>Liu</v>
      </c>
      <c r="AG304" s="35" t="str">
        <f>VLOOKUP(A304, 'Session Data'!A:U,20,false)</f>
        <v>Sebastian</v>
      </c>
      <c r="AH304" s="35" t="str">
        <f>VLOOKUP(A304, 'Session Data'!A:U,21,false)</f>
        <v>Veron</v>
      </c>
      <c r="AI304" s="36"/>
      <c r="AJ304" s="37"/>
      <c r="AK304" s="38"/>
      <c r="AL304" s="39"/>
      <c r="AM304" s="34" t="str">
        <f>VLOOKUP(A304, 'Session Data'!A:AA,10,false)</f>
        <v>atanay8750@sdsu.edu</v>
      </c>
      <c r="AN304" s="40"/>
      <c r="AO304" s="38"/>
      <c r="AP304" s="38"/>
      <c r="AQ304" s="38"/>
      <c r="AR304" s="38"/>
      <c r="AS304" s="38"/>
      <c r="AT304" s="38"/>
      <c r="AU304" s="38"/>
      <c r="AV304" s="38"/>
      <c r="AW304" s="38"/>
      <c r="AX304" s="38"/>
      <c r="AY304" s="43"/>
      <c r="AZ304" s="43"/>
      <c r="BA304" s="43"/>
      <c r="BB304" s="43"/>
      <c r="BC304" s="43"/>
      <c r="BD304" s="43"/>
      <c r="BE304" s="44"/>
      <c r="BF304" s="45"/>
      <c r="BG304" s="46"/>
    </row>
    <row r="305">
      <c r="A305" s="19" t="s">
        <v>375</v>
      </c>
      <c r="B305" s="20">
        <f>VLOOKUP(F305,'Session Count DO NOT EDIT'!$A:$C,3,FALSE)</f>
        <v>4</v>
      </c>
      <c r="C305" s="20">
        <f>COUNTIFS('Scores Import DO NOT EDIT'!D:D,A305)</f>
        <v>3</v>
      </c>
      <c r="D305" s="21">
        <f t="shared" si="1"/>
        <v>0.75</v>
      </c>
      <c r="E305" s="22">
        <f>AVERAGEIFS('Scores Import DO NOT EDIT'!L:L,'Scores Import DO NOT EDIT'!D:D,A305)</f>
        <v>25</v>
      </c>
      <c r="F305" s="23" t="str">
        <f>VLOOKUP(A305, 'Session Data'!A:M,3,false)</f>
        <v>G-11</v>
      </c>
      <c r="G305" s="24" t="str">
        <f>VLOOKUP(A305, 'Session Data'!A:I,2,false)</f>
        <v>11:00 AM</v>
      </c>
      <c r="H305" s="23" t="str">
        <f>VLOOKUP(A305, 'Session Data'!A:J,5,false)</f>
        <v>Physical and Mathematical Sciences</v>
      </c>
      <c r="I305" s="25" t="str">
        <f>VLOOKUP(A305, 'Session Data'!A:H,4,false)</f>
        <v>Poster</v>
      </c>
      <c r="J305" s="26" t="str">
        <f>VLOOKUP(A305, 'Session Data'!A:AA,14,false)</f>
        <v>Master's</v>
      </c>
      <c r="K305" s="27" t="str">
        <f>VLOOKUP(A305, 'Session Data'!A:AA,15,false)</f>
        <v>Engineering</v>
      </c>
      <c r="L305" s="28"/>
      <c r="M305" s="29" t="str">
        <f>VLOOKUP(A305, 'Session Data'!A:K,11,false)</f>
        <v>Masters of Science in Civil Engineering [Environmental Engineering]</v>
      </c>
      <c r="N305" s="26" t="str">
        <f>IF(ISNA(VLOOKUP(A305, 'Award Abstract#'!C:C, 1, FALSE)), "No", "Yes")
</f>
        <v>No</v>
      </c>
      <c r="O305" s="29" t="str">
        <f>IF(ISNA(VLOOKUP(A305,'Award Abstract#'!B:B,1,FALSE)), "No", "Yes")</f>
        <v>Yes</v>
      </c>
      <c r="P305" s="29" t="str">
        <f>IF(ISNA(VLOOKUP(A305,'Award Abstract#'!E:E,1,FALSE)), "No", "Yes")</f>
        <v>No</v>
      </c>
      <c r="Q305" s="29" t="str">
        <f>IF(ISNA(VLOOKUP(A305,'Award Abstract#'!A:A,1,FALSE)), "No", "Yes")</f>
        <v>No</v>
      </c>
      <c r="R305" s="29" t="str">
        <f>IF(ISNA(VLOOKUP(A305,'Award Abstract#'!D:D,1,FALSE)), "No", "Yes")</f>
        <v>No</v>
      </c>
      <c r="S305" s="30" t="str">
        <f>VLOOKUP(A305, 'Session Data'!A:AA,27,false)</f>
        <v>Woman</v>
      </c>
      <c r="T305" s="30"/>
      <c r="U305" s="30"/>
      <c r="V305" s="31" t="str">
        <f>VLOOKUP(A305, 'Session Data'!A:AA,8,false)</f>
        <v>Tierney</v>
      </c>
      <c r="W305" s="32" t="str">
        <f>VLOOKUP(A305, 'Session Data'!A:AA,9,false)</f>
        <v>Kim</v>
      </c>
      <c r="X305" s="33" t="str">
        <f>VLOOKUP(A305, 'Session Data'!A:AA,12,false)</f>
        <v>Gotta Assess 'Em All: Evaluating the Ecological Health of Alvarado Creek With Multimetric Indices</v>
      </c>
      <c r="Y305" s="34" t="str">
        <f>VLOOKUP(A305, 'Session Data'!A:AA,22,false)</f>
        <v>Alicia</v>
      </c>
      <c r="Z305" s="34" t="str">
        <f>VLOOKUP(A305, 'Session Data'!A:AA,23,false)</f>
        <v>Kinoshita</v>
      </c>
      <c r="AA305" s="34" t="str">
        <f>VLOOKUP(A305, 'Session Data'!A:AA,25,false)</f>
        <v>Engineering</v>
      </c>
      <c r="AB305" s="34" t="str">
        <f>VLOOKUP(A305, 'Session Data'!A:AA,24,false)</f>
        <v>akinoshita@sdsu.edu</v>
      </c>
      <c r="AC305" s="34" t="str">
        <f>VLOOKUP(A305, 'Session Data'!A:AA,16,false)</f>
        <v>Farah</v>
      </c>
      <c r="AD305" s="35" t="str">
        <f>VLOOKUP(A305, 'Session Data'!A:U,17,false)</f>
        <v>Damlaj</v>
      </c>
      <c r="AE305" s="35" t="str">
        <f>VLOOKUP(A305, 'Session Data'!A:U,18,false)</f>
        <v/>
      </c>
      <c r="AF305" s="35" t="str">
        <f>VLOOKUP(A305, 'Session Data'!A:U,19,false)</f>
        <v/>
      </c>
      <c r="AG305" s="35" t="str">
        <f>VLOOKUP(A305, 'Session Data'!A:U,20,false)</f>
        <v/>
      </c>
      <c r="AH305" s="35" t="str">
        <f>VLOOKUP(A305, 'Session Data'!A:U,21,false)</f>
        <v/>
      </c>
      <c r="AI305" s="36"/>
      <c r="AJ305" s="38"/>
      <c r="AK305" s="38"/>
      <c r="AL305" s="39"/>
      <c r="AM305" s="34" t="str">
        <f>VLOOKUP(A305, 'Session Data'!A:AA,10,false)</f>
        <v>tkim8398@sdsu.edu</v>
      </c>
      <c r="AN305" s="40"/>
      <c r="AO305" s="38"/>
      <c r="AP305" s="38"/>
      <c r="AQ305" s="38"/>
      <c r="AR305" s="38"/>
      <c r="AS305" s="38"/>
      <c r="AT305" s="38"/>
      <c r="AU305" s="38"/>
      <c r="AV305" s="38"/>
      <c r="AW305" s="38"/>
      <c r="AX305" s="38"/>
      <c r="AY305" s="43"/>
      <c r="AZ305" s="43"/>
      <c r="BA305" s="43"/>
      <c r="BB305" s="43"/>
      <c r="BC305" s="43"/>
      <c r="BD305" s="43"/>
      <c r="BE305" s="44"/>
      <c r="BF305" s="45"/>
      <c r="BG305" s="43"/>
    </row>
    <row r="306">
      <c r="A306" s="19" t="s">
        <v>376</v>
      </c>
      <c r="B306" s="20">
        <f>VLOOKUP(F306,'Session Count DO NOT EDIT'!$A:$C,3,FALSE)</f>
        <v>4</v>
      </c>
      <c r="C306" s="20">
        <f>COUNTIFS('Scores Import DO NOT EDIT'!D:D,A306)</f>
        <v>3</v>
      </c>
      <c r="D306" s="21">
        <f t="shared" si="1"/>
        <v>0.75</v>
      </c>
      <c r="E306" s="22">
        <f>AVERAGEIFS('Scores Import DO NOT EDIT'!L:L,'Scores Import DO NOT EDIT'!D:D,A306)</f>
        <v>28.33333333</v>
      </c>
      <c r="F306" s="23" t="str">
        <f>VLOOKUP(A306, 'Session Data'!A:M,3,false)</f>
        <v>G-11</v>
      </c>
      <c r="G306" s="24" t="str">
        <f>VLOOKUP(A306, 'Session Data'!A:I,2,false)</f>
        <v>11:00 AM</v>
      </c>
      <c r="H306" s="23" t="str">
        <f>VLOOKUP(A306, 'Session Data'!A:J,5,false)</f>
        <v>Physical and Mathematical Sciences</v>
      </c>
      <c r="I306" s="25" t="str">
        <f>VLOOKUP(A306, 'Session Data'!A:H,4,false)</f>
        <v>Poster</v>
      </c>
      <c r="J306" s="26" t="str">
        <f>VLOOKUP(A306, 'Session Data'!A:AA,14,false)</f>
        <v>Doctoral</v>
      </c>
      <c r="K306" s="27" t="str">
        <f>VLOOKUP(A306, 'Session Data'!A:AA,15,false)</f>
        <v>Sciences</v>
      </c>
      <c r="L306" s="28"/>
      <c r="M306" s="29" t="str">
        <f>VLOOKUP(A306, 'Session Data'!A:K,11,false)</f>
        <v>Chemistry/Joint Doctoral Program</v>
      </c>
      <c r="N306" s="26" t="str">
        <f>IF(ISNA(VLOOKUP(A306, 'Award Abstract#'!C:C, 1, FALSE)), "No", "Yes")
</f>
        <v>No</v>
      </c>
      <c r="O306" s="29" t="str">
        <f>IF(ISNA(VLOOKUP(A306,'Award Abstract#'!B:B,1,FALSE)), "No", "Yes")</f>
        <v>No</v>
      </c>
      <c r="P306" s="29" t="str">
        <f>IF(ISNA(VLOOKUP(A306,'Award Abstract#'!E:E,1,FALSE)), "No", "Yes")</f>
        <v>No</v>
      </c>
      <c r="Q306" s="29" t="str">
        <f>IF(ISNA(VLOOKUP(A306,'Award Abstract#'!A:A,1,FALSE)), "No", "Yes")</f>
        <v>No</v>
      </c>
      <c r="R306" s="29" t="str">
        <f>IF(ISNA(VLOOKUP(A306,'Award Abstract#'!D:D,1,FALSE)), "No", "Yes")</f>
        <v>No</v>
      </c>
      <c r="S306" s="30" t="str">
        <f>VLOOKUP(A306, 'Session Data'!A:AA,27,false)</f>
        <v>Woman</v>
      </c>
      <c r="T306" s="30"/>
      <c r="U306" s="30"/>
      <c r="V306" s="31" t="str">
        <f>VLOOKUP(A306, 'Session Data'!A:AA,8,false)</f>
        <v>Ani</v>
      </c>
      <c r="W306" s="32" t="str">
        <f>VLOOKUP(A306, 'Session Data'!A:AA,9,false)</f>
        <v>Chakhrakia</v>
      </c>
      <c r="X306" s="33" t="str">
        <f>VLOOKUP(A306, 'Session Data'!A:AA,12,false)</f>
        <v>Phase Separation of Galectin-3 on the Lipid Membranes</v>
      </c>
      <c r="Y306" s="34" t="str">
        <f>VLOOKUP(A306, 'Session Data'!A:AA,22,false)</f>
        <v>Youngkwang</v>
      </c>
      <c r="Z306" s="34" t="str">
        <f>VLOOKUP(A306, 'Session Data'!A:AA,23,false)</f>
        <v>Lee</v>
      </c>
      <c r="AA306" s="34" t="str">
        <f>VLOOKUP(A306, 'Session Data'!A:AA,25,false)</f>
        <v>Sciences</v>
      </c>
      <c r="AB306" s="34"/>
      <c r="AC306" s="34" t="str">
        <f>VLOOKUP(A306, 'Session Data'!A:AA,16,false)</f>
        <v/>
      </c>
      <c r="AD306" s="35" t="str">
        <f>VLOOKUP(A306, 'Session Data'!A:U,17,false)</f>
        <v/>
      </c>
      <c r="AE306" s="35" t="str">
        <f>VLOOKUP(A306, 'Session Data'!A:U,18,false)</f>
        <v/>
      </c>
      <c r="AF306" s="35" t="str">
        <f>VLOOKUP(A306, 'Session Data'!A:U,19,false)</f>
        <v/>
      </c>
      <c r="AG306" s="35" t="str">
        <f>VLOOKUP(A306, 'Session Data'!A:U,20,false)</f>
        <v/>
      </c>
      <c r="AH306" s="35" t="str">
        <f>VLOOKUP(A306, 'Session Data'!A:U,21,false)</f>
        <v/>
      </c>
      <c r="AI306" s="37"/>
      <c r="AJ306" s="37"/>
      <c r="AK306" s="37"/>
      <c r="AL306" s="50"/>
      <c r="AM306" s="34" t="str">
        <f>VLOOKUP(A306, 'Session Data'!A:AA,10,false)</f>
        <v>achakhrakia2@sdsu.edu</v>
      </c>
      <c r="AN306" s="40"/>
      <c r="AO306" s="38"/>
      <c r="AP306" s="38"/>
      <c r="AQ306" s="38"/>
      <c r="AR306" s="51"/>
      <c r="AS306" s="38"/>
      <c r="AT306" s="38"/>
      <c r="AU306" s="38"/>
      <c r="AV306" s="38"/>
      <c r="AW306" s="38"/>
      <c r="AX306" s="38"/>
      <c r="AY306" s="43"/>
      <c r="AZ306" s="43"/>
      <c r="BA306" s="43"/>
      <c r="BB306" s="48"/>
      <c r="BC306" s="43"/>
      <c r="BD306" s="43"/>
      <c r="BE306" s="44"/>
      <c r="BF306" s="45"/>
      <c r="BG306" s="43"/>
    </row>
    <row r="307">
      <c r="A307" s="19" t="s">
        <v>377</v>
      </c>
      <c r="B307" s="20">
        <f>VLOOKUP(F307,'Session Count DO NOT EDIT'!$A:$C,3,FALSE)</f>
        <v>4</v>
      </c>
      <c r="C307" s="20">
        <f>COUNTIFS('Scores Import DO NOT EDIT'!D:D,A307)</f>
        <v>3</v>
      </c>
      <c r="D307" s="21">
        <f t="shared" si="1"/>
        <v>0.75</v>
      </c>
      <c r="E307" s="22">
        <f>AVERAGEIFS('Scores Import DO NOT EDIT'!L:L,'Scores Import DO NOT EDIT'!D:D,A307)</f>
        <v>27.66666667</v>
      </c>
      <c r="F307" s="23" t="str">
        <f>VLOOKUP(A307, 'Session Data'!A:M,3,false)</f>
        <v>G-11</v>
      </c>
      <c r="G307" s="24" t="str">
        <f>VLOOKUP(A307, 'Session Data'!A:I,2,false)</f>
        <v>11:00 AM</v>
      </c>
      <c r="H307" s="23" t="str">
        <f>VLOOKUP(A307, 'Session Data'!A:J,5,false)</f>
        <v>Physical and Mathematical Sciences</v>
      </c>
      <c r="I307" s="25" t="str">
        <f>VLOOKUP(A307, 'Session Data'!A:H,4,false)</f>
        <v>Poster</v>
      </c>
      <c r="J307" s="26" t="str">
        <f>VLOOKUP(A307, 'Session Data'!A:AA,14,false)</f>
        <v>Master's</v>
      </c>
      <c r="K307" s="27" t="str">
        <f>VLOOKUP(A307, 'Session Data'!A:AA,15,false)</f>
        <v>Sciences</v>
      </c>
      <c r="L307" s="28"/>
      <c r="M307" s="29" t="str">
        <f>VLOOKUP(A307, 'Session Data'!A:K,11,false)</f>
        <v>Masters of Science in Chemistry</v>
      </c>
      <c r="N307" s="26" t="str">
        <f>IF(ISNA(VLOOKUP(A307, 'Award Abstract#'!C:C, 1, FALSE)), "No", "Yes")
</f>
        <v>No</v>
      </c>
      <c r="O307" s="29" t="str">
        <f>IF(ISNA(VLOOKUP(A307,'Award Abstract#'!B:B,1,FALSE)), "No", "Yes")</f>
        <v>No</v>
      </c>
      <c r="P307" s="29" t="str">
        <f>IF(ISNA(VLOOKUP(A307,'Award Abstract#'!E:E,1,FALSE)), "No", "Yes")</f>
        <v>No</v>
      </c>
      <c r="Q307" s="29" t="str">
        <f>IF(ISNA(VLOOKUP(A307,'Award Abstract#'!A:A,1,FALSE)), "No", "Yes")</f>
        <v>No</v>
      </c>
      <c r="R307" s="29" t="str">
        <f>IF(ISNA(VLOOKUP(A307,'Award Abstract#'!D:D,1,FALSE)), "No", "Yes")</f>
        <v>No</v>
      </c>
      <c r="S307" s="30" t="str">
        <f>VLOOKUP(A307, 'Session Data'!A:AA,27,false)</f>
        <v>Woman</v>
      </c>
      <c r="T307" s="30"/>
      <c r="U307" s="30"/>
      <c r="V307" s="31" t="str">
        <f>VLOOKUP(A307, 'Session Data'!A:AA,8,false)</f>
        <v>Ariel</v>
      </c>
      <c r="W307" s="32" t="str">
        <f>VLOOKUP(A307, 'Session Data'!A:AA,9,false)</f>
        <v>Pernela</v>
      </c>
      <c r="X307" s="33" t="str">
        <f>VLOOKUP(A307, 'Session Data'!A:AA,12,false)</f>
        <v>Synthesis of atropisomeric selective RET kinase inhibitor</v>
      </c>
      <c r="Y307" s="34" t="str">
        <f>VLOOKUP(A307, 'Session Data'!A:AA,22,false)</f>
        <v>Jeff</v>
      </c>
      <c r="Z307" s="34" t="str">
        <f>VLOOKUP(A307, 'Session Data'!A:AA,23,false)</f>
        <v>Gustafson</v>
      </c>
      <c r="AA307" s="34" t="str">
        <f>VLOOKUP(A307, 'Session Data'!A:AA,25,false)</f>
        <v>Sciences</v>
      </c>
      <c r="AB307" s="34"/>
      <c r="AC307" s="34" t="str">
        <f>VLOOKUP(A307, 'Session Data'!A:AA,16,false)</f>
        <v>Vivian</v>
      </c>
      <c r="AD307" s="35" t="str">
        <f>VLOOKUP(A307, 'Session Data'!A:U,17,false)</f>
        <v>Ferrell</v>
      </c>
      <c r="AE307" s="35" t="str">
        <f>VLOOKUP(A307, 'Session Data'!A:U,18,false)</f>
        <v>Violet</v>
      </c>
      <c r="AF307" s="35" t="str">
        <f>VLOOKUP(A307, 'Session Data'!A:U,19,false)</f>
        <v>Mccaffrey-Pecher</v>
      </c>
      <c r="AG307" s="35" t="str">
        <f>VLOOKUP(A307, 'Session Data'!A:U,20,false)</f>
        <v/>
      </c>
      <c r="AH307" s="35" t="str">
        <f>VLOOKUP(A307, 'Session Data'!A:U,21,false)</f>
        <v/>
      </c>
      <c r="AI307" s="36"/>
      <c r="AJ307" s="38"/>
      <c r="AK307" s="38"/>
      <c r="AL307" s="39"/>
      <c r="AM307" s="34" t="str">
        <f>VLOOKUP(A307, 'Session Data'!A:AA,10,false)</f>
        <v>apernela4384@sdsu.edu</v>
      </c>
      <c r="AN307" s="40"/>
      <c r="AO307" s="38"/>
      <c r="AP307" s="38"/>
      <c r="AQ307" s="38"/>
      <c r="AR307" s="38"/>
      <c r="AS307" s="38"/>
      <c r="AT307" s="38"/>
      <c r="AU307" s="38"/>
      <c r="AV307" s="38"/>
      <c r="AW307" s="38"/>
      <c r="AX307" s="38"/>
      <c r="AY307" s="43"/>
      <c r="AZ307" s="43"/>
      <c r="BA307" s="43"/>
      <c r="BB307" s="43"/>
      <c r="BC307" s="43"/>
      <c r="BD307" s="43"/>
      <c r="BE307" s="44"/>
      <c r="BF307" s="45"/>
      <c r="BG307" s="43"/>
    </row>
    <row r="308">
      <c r="A308" s="19" t="s">
        <v>378</v>
      </c>
      <c r="B308" s="20">
        <f>VLOOKUP(F308,'Session Count DO NOT EDIT'!$A:$C,3,FALSE)</f>
        <v>4</v>
      </c>
      <c r="C308" s="20">
        <f>COUNTIFS('Scores Import DO NOT EDIT'!D:D,A308)</f>
        <v>3</v>
      </c>
      <c r="D308" s="21">
        <f t="shared" si="1"/>
        <v>0.75</v>
      </c>
      <c r="E308" s="22">
        <f>AVERAGEIFS('Scores Import DO NOT EDIT'!L:L,'Scores Import DO NOT EDIT'!D:D,A308)</f>
        <v>27.33333333</v>
      </c>
      <c r="F308" s="23" t="str">
        <f>VLOOKUP(A308, 'Session Data'!A:M,3,false)</f>
        <v>G-11</v>
      </c>
      <c r="G308" s="24" t="str">
        <f>VLOOKUP(A308, 'Session Data'!A:I,2,false)</f>
        <v>11:00 AM</v>
      </c>
      <c r="H308" s="23" t="str">
        <f>VLOOKUP(A308, 'Session Data'!A:J,5,false)</f>
        <v>Physical and Mathematical Sciences</v>
      </c>
      <c r="I308" s="25" t="str">
        <f>VLOOKUP(A308, 'Session Data'!A:H,4,false)</f>
        <v>Poster</v>
      </c>
      <c r="J308" s="26" t="str">
        <f>VLOOKUP(A308, 'Session Data'!A:AA,14,false)</f>
        <v>Doctoral</v>
      </c>
      <c r="K308" s="27" t="str">
        <f>VLOOKUP(A308, 'Session Data'!A:AA,15,false)</f>
        <v>Sciences</v>
      </c>
      <c r="L308" s="47"/>
      <c r="M308" s="29" t="str">
        <f>VLOOKUP(A308, 'Session Data'!A:K,11,false)</f>
        <v>Doctor of Philosophy in Chemistry</v>
      </c>
      <c r="N308" s="26" t="str">
        <f>IF(ISNA(VLOOKUP(A308, 'Award Abstract#'!C:C, 1, FALSE)), "No", "Yes")
</f>
        <v>No</v>
      </c>
      <c r="O308" s="29" t="str">
        <f>IF(ISNA(VLOOKUP(A308,'Award Abstract#'!B:B,1,FALSE)), "No", "Yes")</f>
        <v>No</v>
      </c>
      <c r="P308" s="29" t="str">
        <f>IF(ISNA(VLOOKUP(A308,'Award Abstract#'!E:E,1,FALSE)), "No", "Yes")</f>
        <v>No</v>
      </c>
      <c r="Q308" s="29" t="str">
        <f>IF(ISNA(VLOOKUP(A308,'Award Abstract#'!A:A,1,FALSE)), "No", "Yes")</f>
        <v>No</v>
      </c>
      <c r="R308" s="29" t="str">
        <f>IF(ISNA(VLOOKUP(A308,'Award Abstract#'!D:D,1,FALSE)), "No", "Yes")</f>
        <v>No</v>
      </c>
      <c r="S308" s="30" t="str">
        <f>VLOOKUP(A308, 'Session Data'!A:AA,27,false)</f>
        <v>Woman, Cisgender</v>
      </c>
      <c r="T308" s="30"/>
      <c r="U308" s="30"/>
      <c r="V308" s="31" t="str">
        <f>VLOOKUP(A308, 'Session Data'!A:AA,8,false)</f>
        <v>Elene</v>
      </c>
      <c r="W308" s="32" t="str">
        <f>VLOOKUP(A308, 'Session Data'!A:AA,9,false)</f>
        <v>Albekioni</v>
      </c>
      <c r="X308" s="33" t="str">
        <f>VLOOKUP(A308, 'Session Data'!A:AA,12,false)</f>
        <v>Kinetic and Structural Characterization of Human Isocitrate Dehydrogenase 1</v>
      </c>
      <c r="Y308" s="34" t="str">
        <f>VLOOKUP(A308, 'Session Data'!A:AA,22,false)</f>
        <v>Christal</v>
      </c>
      <c r="Z308" s="34" t="str">
        <f>VLOOKUP(A308, 'Session Data'!A:AA,23,false)</f>
        <v>Sohl</v>
      </c>
      <c r="AA308" s="34" t="str">
        <f>VLOOKUP(A308, 'Session Data'!A:AA,25,false)</f>
        <v>Sciences</v>
      </c>
      <c r="AB308" s="34"/>
      <c r="AC308" s="34" t="str">
        <f>VLOOKUP(A308, 'Session Data'!A:AA,16,false)</f>
        <v/>
      </c>
      <c r="AD308" s="35" t="str">
        <f>VLOOKUP(A308, 'Session Data'!A:U,17,false)</f>
        <v/>
      </c>
      <c r="AE308" s="35" t="str">
        <f>VLOOKUP(A308, 'Session Data'!A:U,18,false)</f>
        <v/>
      </c>
      <c r="AF308" s="35" t="str">
        <f>VLOOKUP(A308, 'Session Data'!A:U,19,false)</f>
        <v/>
      </c>
      <c r="AG308" s="35" t="str">
        <f>VLOOKUP(A308, 'Session Data'!A:U,20,false)</f>
        <v/>
      </c>
      <c r="AH308" s="35" t="str">
        <f>VLOOKUP(A308, 'Session Data'!A:U,21,false)</f>
        <v/>
      </c>
      <c r="AI308" s="37"/>
      <c r="AJ308" s="37"/>
      <c r="AK308" s="37"/>
      <c r="AL308" s="50"/>
      <c r="AM308" s="34" t="str">
        <f>VLOOKUP(A308, 'Session Data'!A:AA,10,false)</f>
        <v>ealbekioni2@sdsu.edu</v>
      </c>
      <c r="AN308" s="40"/>
      <c r="AO308" s="38"/>
      <c r="AP308" s="38"/>
      <c r="AQ308" s="38"/>
      <c r="AR308" s="38"/>
      <c r="AS308" s="38"/>
      <c r="AT308" s="38"/>
      <c r="AU308" s="38"/>
      <c r="AV308" s="38"/>
      <c r="AW308" s="38"/>
      <c r="AX308" s="38"/>
      <c r="AY308" s="43"/>
      <c r="AZ308" s="43"/>
      <c r="BA308" s="43"/>
      <c r="BB308" s="43"/>
      <c r="BC308" s="43"/>
      <c r="BD308" s="43"/>
      <c r="BE308" s="44"/>
      <c r="BF308" s="45"/>
      <c r="BG308" s="43"/>
    </row>
    <row r="309">
      <c r="A309" s="19" t="s">
        <v>379</v>
      </c>
      <c r="B309" s="20">
        <f>VLOOKUP(F309,'Session Count DO NOT EDIT'!$A:$C,3,FALSE)</f>
        <v>4</v>
      </c>
      <c r="C309" s="20">
        <f>COUNTIFS('Scores Import DO NOT EDIT'!D:D,A309)</f>
        <v>3</v>
      </c>
      <c r="D309" s="21">
        <f t="shared" si="1"/>
        <v>0.75</v>
      </c>
      <c r="E309" s="22">
        <f>AVERAGEIFS('Scores Import DO NOT EDIT'!L:L,'Scores Import DO NOT EDIT'!D:D,A309)</f>
        <v>27</v>
      </c>
      <c r="F309" s="23" t="str">
        <f>VLOOKUP(A309, 'Session Data'!A:M,3,false)</f>
        <v>G-11</v>
      </c>
      <c r="G309" s="24" t="str">
        <f>VLOOKUP(A309, 'Session Data'!A:I,2,false)</f>
        <v>11:00 AM</v>
      </c>
      <c r="H309" s="23" t="str">
        <f>VLOOKUP(A309, 'Session Data'!A:J,5,false)</f>
        <v>Physical and Mathematical Sciences</v>
      </c>
      <c r="I309" s="25" t="str">
        <f>VLOOKUP(A309, 'Session Data'!A:H,4,false)</f>
        <v>Poster</v>
      </c>
      <c r="J309" s="26" t="str">
        <f>VLOOKUP(A309, 'Session Data'!A:AA,14,false)</f>
        <v>Doctoral</v>
      </c>
      <c r="K309" s="27" t="str">
        <f>VLOOKUP(A309, 'Session Data'!A:AA,15,false)</f>
        <v>Sciences</v>
      </c>
      <c r="L309" s="28"/>
      <c r="M309" s="29" t="str">
        <f>VLOOKUP(A309, 'Session Data'!A:K,11,false)</f>
        <v>Chemistry</v>
      </c>
      <c r="N309" s="26" t="str">
        <f>IF(ISNA(VLOOKUP(A309, 'Award Abstract#'!C:C, 1, FALSE)), "No", "Yes")
</f>
        <v>No</v>
      </c>
      <c r="O309" s="29" t="str">
        <f>IF(ISNA(VLOOKUP(A309,'Award Abstract#'!B:B,1,FALSE)), "No", "Yes")</f>
        <v>No</v>
      </c>
      <c r="P309" s="29" t="str">
        <f>IF(ISNA(VLOOKUP(A309,'Award Abstract#'!E:E,1,FALSE)), "No", "Yes")</f>
        <v>No</v>
      </c>
      <c r="Q309" s="29" t="str">
        <f>IF(ISNA(VLOOKUP(A309,'Award Abstract#'!A:A,1,FALSE)), "No", "Yes")</f>
        <v>No</v>
      </c>
      <c r="R309" s="29" t="str">
        <f>IF(ISNA(VLOOKUP(A309,'Award Abstract#'!D:D,1,FALSE)), "No", "Yes")</f>
        <v>No</v>
      </c>
      <c r="S309" s="30" t="str">
        <f>VLOOKUP(A309, 'Session Data'!A:AA,27,false)</f>
        <v>Woman</v>
      </c>
      <c r="T309" s="30"/>
      <c r="U309" s="30"/>
      <c r="V309" s="31" t="str">
        <f>VLOOKUP(A309, 'Session Data'!A:AA,8,false)</f>
        <v>Nhu</v>
      </c>
      <c r="W309" s="32" t="str">
        <f>VLOOKUP(A309, 'Session Data'!A:AA,9,false)</f>
        <v>Dang</v>
      </c>
      <c r="X309" s="33" t="str">
        <f>VLOOKUP(A309, 'Session Data'!A:AA,12,false)</f>
        <v>Nickle-doped Perovskite Nanocrystals for Selective Allylation of Indoles</v>
      </c>
      <c r="Y309" s="34" t="str">
        <f>VLOOKUP(A309, 'Session Data'!A:AA,22,false)</f>
        <v>Yong </v>
      </c>
      <c r="Z309" s="34" t="str">
        <f>VLOOKUP(A309, 'Session Data'!A:AA,23,false)</f>
        <v>Yan</v>
      </c>
      <c r="AA309" s="34" t="str">
        <f>VLOOKUP(A309, 'Session Data'!A:AA,25,false)</f>
        <v>Sciences</v>
      </c>
      <c r="AB309" s="34"/>
      <c r="AC309" s="34" t="str">
        <f>VLOOKUP(A309, 'Session Data'!A:AA,16,false)</f>
        <v>Jovan</v>
      </c>
      <c r="AD309" s="35" t="str">
        <f>VLOOKUP(A309, 'Session Data'!A:U,17,false)</f>
        <v>San Martin</v>
      </c>
      <c r="AE309" s="35" t="str">
        <f>VLOOKUP(A309, 'Session Data'!A:U,18,false)</f>
        <v>Kevin</v>
      </c>
      <c r="AF309" s="35" t="str">
        <f>VLOOKUP(A309, 'Session Data'!A:U,19,false)</f>
        <v>Rubalcaba</v>
      </c>
      <c r="AG309" s="35" t="str">
        <f>VLOOKUP(A309, 'Session Data'!A:U,20,false)</f>
        <v/>
      </c>
      <c r="AH309" s="35" t="str">
        <f>VLOOKUP(A309, 'Session Data'!A:U,21,false)</f>
        <v/>
      </c>
      <c r="AI309" s="37"/>
      <c r="AJ309" s="37"/>
      <c r="AK309" s="37"/>
      <c r="AL309" s="50"/>
      <c r="AM309" s="34" t="str">
        <f>VLOOKUP(A309, 'Session Data'!A:AA,10,false)</f>
        <v>ndang9166@sdsu.edu</v>
      </c>
      <c r="AN309" s="40"/>
      <c r="AO309" s="38"/>
      <c r="AP309" s="38"/>
      <c r="AQ309" s="38"/>
      <c r="AR309" s="38"/>
      <c r="AS309" s="38"/>
      <c r="AT309" s="38"/>
      <c r="AU309" s="38"/>
      <c r="AV309" s="38"/>
      <c r="AW309" s="38"/>
      <c r="AX309" s="38"/>
      <c r="AY309" s="43"/>
      <c r="AZ309" s="43"/>
      <c r="BA309" s="43"/>
      <c r="BB309" s="43"/>
      <c r="BC309" s="43"/>
      <c r="BD309" s="43"/>
      <c r="BE309" s="44"/>
      <c r="BF309" s="45"/>
      <c r="BG309" s="43"/>
    </row>
    <row r="310">
      <c r="A310" s="19" t="s">
        <v>380</v>
      </c>
      <c r="B310" s="20">
        <f>VLOOKUP(F310,'Session Count DO NOT EDIT'!$A:$C,3,FALSE)</f>
        <v>4</v>
      </c>
      <c r="C310" s="20">
        <f>COUNTIFS('Scores Import DO NOT EDIT'!D:D,A310)</f>
        <v>2</v>
      </c>
      <c r="D310" s="21">
        <f t="shared" si="1"/>
        <v>0.5</v>
      </c>
      <c r="E310" s="22">
        <f>AVERAGEIFS('Scores Import DO NOT EDIT'!L:L,'Scores Import DO NOT EDIT'!D:D,A310)</f>
        <v>24.5</v>
      </c>
      <c r="F310" s="23" t="str">
        <f>VLOOKUP(A310, 'Session Data'!A:M,3,false)</f>
        <v>G-11</v>
      </c>
      <c r="G310" s="24" t="str">
        <f>VLOOKUP(A310, 'Session Data'!A:I,2,false)</f>
        <v>11:00 AM</v>
      </c>
      <c r="H310" s="23" t="str">
        <f>VLOOKUP(A310, 'Session Data'!A:J,5,false)</f>
        <v>Physical and Mathematical Sciences</v>
      </c>
      <c r="I310" s="25" t="str">
        <f>VLOOKUP(A310, 'Session Data'!A:H,4,false)</f>
        <v>Poster</v>
      </c>
      <c r="J310" s="26" t="str">
        <f>VLOOKUP(A310, 'Session Data'!A:AA,14,false)</f>
        <v>Master's</v>
      </c>
      <c r="K310" s="27" t="str">
        <f>VLOOKUP(A310, 'Session Data'!A:AA,15,false)</f>
        <v>Sciences</v>
      </c>
      <c r="L310" s="28"/>
      <c r="M310" s="29" t="str">
        <f>VLOOKUP(A310, 'Session Data'!A:K,11,false)</f>
        <v>Master of Science in Chemistry and Biochemistry </v>
      </c>
      <c r="N310" s="26" t="str">
        <f>IF(ISNA(VLOOKUP(A310, 'Award Abstract#'!C:C, 1, FALSE)), "No", "Yes")
</f>
        <v>No</v>
      </c>
      <c r="O310" s="29" t="str">
        <f>IF(ISNA(VLOOKUP(A310,'Award Abstract#'!B:B,1,FALSE)), "No", "Yes")</f>
        <v>No</v>
      </c>
      <c r="P310" s="29" t="str">
        <f>IF(ISNA(VLOOKUP(A310,'Award Abstract#'!E:E,1,FALSE)), "No", "Yes")</f>
        <v>No</v>
      </c>
      <c r="Q310" s="29" t="str">
        <f>IF(ISNA(VLOOKUP(A310,'Award Abstract#'!A:A,1,FALSE)), "No", "Yes")</f>
        <v>No</v>
      </c>
      <c r="R310" s="29" t="str">
        <f>IF(ISNA(VLOOKUP(A310,'Award Abstract#'!D:D,1,FALSE)), "No", "Yes")</f>
        <v>No</v>
      </c>
      <c r="S310" s="30" t="str">
        <f>VLOOKUP(A310, 'Session Data'!A:AA,27,false)</f>
        <v>Man</v>
      </c>
      <c r="T310" s="30"/>
      <c r="U310" s="30"/>
      <c r="V310" s="31" t="str">
        <f>VLOOKUP(A310, 'Session Data'!A:AA,8,false)</f>
        <v>Vasili</v>
      </c>
      <c r="W310" s="32" t="str">
        <f>VLOOKUP(A310, 'Session Data'!A:AA,9,false)</f>
        <v>Revazishvili</v>
      </c>
      <c r="X310" s="33" t="str">
        <f>VLOOKUP(A310, 'Session Data'!A:AA,12,false)</f>
        <v>Comparing membrane interactions of RAF isoforms</v>
      </c>
      <c r="Y310" s="34" t="str">
        <f>VLOOKUP(A310, 'Session Data'!A:AA,22,false)</f>
        <v>Youngkwang</v>
      </c>
      <c r="Z310" s="34" t="str">
        <f>VLOOKUP(A310, 'Session Data'!A:AA,23,false)</f>
        <v>Lee</v>
      </c>
      <c r="AA310" s="34" t="str">
        <f>VLOOKUP(A310, 'Session Data'!A:AA,25,false)</f>
        <v>Sciences</v>
      </c>
      <c r="AB310" s="34"/>
      <c r="AC310" s="34" t="str">
        <f>VLOOKUP(A310, 'Session Data'!A:AA,16,false)</f>
        <v/>
      </c>
      <c r="AD310" s="35" t="str">
        <f>VLOOKUP(A310, 'Session Data'!A:U,17,false)</f>
        <v/>
      </c>
      <c r="AE310" s="35" t="str">
        <f>VLOOKUP(A310, 'Session Data'!A:U,18,false)</f>
        <v/>
      </c>
      <c r="AF310" s="35" t="str">
        <f>VLOOKUP(A310, 'Session Data'!A:U,19,false)</f>
        <v/>
      </c>
      <c r="AG310" s="35" t="str">
        <f>VLOOKUP(A310, 'Session Data'!A:U,20,false)</f>
        <v/>
      </c>
      <c r="AH310" s="35" t="str">
        <f>VLOOKUP(A310, 'Session Data'!A:U,21,false)</f>
        <v/>
      </c>
      <c r="AI310" s="37"/>
      <c r="AJ310" s="37"/>
      <c r="AK310" s="37"/>
      <c r="AL310" s="50"/>
      <c r="AM310" s="34" t="str">
        <f>VLOOKUP(A310, 'Session Data'!A:AA,10,false)</f>
        <v>vrevazishvili5496@sdsu.edu</v>
      </c>
      <c r="AN310" s="40"/>
      <c r="AO310" s="38"/>
      <c r="AP310" s="38"/>
      <c r="AQ310" s="38"/>
      <c r="AR310" s="38"/>
      <c r="AS310" s="38"/>
      <c r="AT310" s="38"/>
      <c r="AU310" s="38"/>
      <c r="AV310" s="38"/>
      <c r="AW310" s="38"/>
      <c r="AX310" s="38"/>
      <c r="AY310" s="43"/>
      <c r="AZ310" s="43"/>
      <c r="BA310" s="43"/>
      <c r="BB310" s="43"/>
      <c r="BC310" s="43"/>
      <c r="BD310" s="43"/>
      <c r="BE310" s="44"/>
      <c r="BF310" s="45"/>
      <c r="BG310" s="43"/>
    </row>
    <row r="311">
      <c r="A311" s="19" t="s">
        <v>381</v>
      </c>
      <c r="B311" s="20">
        <f>VLOOKUP(F311,'Session Count DO NOT EDIT'!$A:$C,3,FALSE)</f>
        <v>4</v>
      </c>
      <c r="C311" s="20">
        <f>COUNTIFS('Scores Import DO NOT EDIT'!D:D,A311)</f>
        <v>3</v>
      </c>
      <c r="D311" s="21">
        <f t="shared" si="1"/>
        <v>0.75</v>
      </c>
      <c r="E311" s="22">
        <f>AVERAGEIFS('Scores Import DO NOT EDIT'!L:L,'Scores Import DO NOT EDIT'!D:D,A311)</f>
        <v>24</v>
      </c>
      <c r="F311" s="23" t="str">
        <f>VLOOKUP(A311, 'Session Data'!A:M,3,false)</f>
        <v>G-11</v>
      </c>
      <c r="G311" s="24" t="str">
        <f>VLOOKUP(A311, 'Session Data'!A:I,2,false)</f>
        <v>11:00 AM</v>
      </c>
      <c r="H311" s="23" t="str">
        <f>VLOOKUP(A311, 'Session Data'!A:J,5,false)</f>
        <v>Physical and Mathematical Sciences</v>
      </c>
      <c r="I311" s="25" t="str">
        <f>VLOOKUP(A311, 'Session Data'!A:H,4,false)</f>
        <v>Poster</v>
      </c>
      <c r="J311" s="26" t="str">
        <f>VLOOKUP(A311, 'Session Data'!A:AA,14,false)</f>
        <v>Doctoral</v>
      </c>
      <c r="K311" s="27" t="str">
        <f>VLOOKUP(A311, 'Session Data'!A:AA,15,false)</f>
        <v>Sciences</v>
      </c>
      <c r="L311" s="47"/>
      <c r="M311" s="29" t="str">
        <f>VLOOKUP(A311, 'Session Data'!A:K,11,false)</f>
        <v>Doctorate/Chemistry and Biochemistry</v>
      </c>
      <c r="N311" s="26" t="str">
        <f>IF(ISNA(VLOOKUP(A311, 'Award Abstract#'!C:C, 1, FALSE)), "No", "Yes")
</f>
        <v>No</v>
      </c>
      <c r="O311" s="29" t="str">
        <f>IF(ISNA(VLOOKUP(A311,'Award Abstract#'!B:B,1,FALSE)), "No", "Yes")</f>
        <v>No</v>
      </c>
      <c r="P311" s="29" t="str">
        <f>IF(ISNA(VLOOKUP(A311,'Award Abstract#'!E:E,1,FALSE)), "No", "Yes")</f>
        <v>No</v>
      </c>
      <c r="Q311" s="29" t="str">
        <f>IF(ISNA(VLOOKUP(A311,'Award Abstract#'!A:A,1,FALSE)), "No", "Yes")</f>
        <v>No</v>
      </c>
      <c r="R311" s="29" t="str">
        <f>IF(ISNA(VLOOKUP(A311,'Award Abstract#'!D:D,1,FALSE)), "No", "Yes")</f>
        <v>No</v>
      </c>
      <c r="S311" s="30" t="str">
        <f>VLOOKUP(A311, 'Session Data'!A:AA,27,false)</f>
        <v>Man</v>
      </c>
      <c r="T311" s="30"/>
      <c r="U311" s="30"/>
      <c r="V311" s="31" t="str">
        <f>VLOOKUP(A311, 'Session Data'!A:AA,8,false)</f>
        <v>Julian</v>
      </c>
      <c r="W311" s="32" t="str">
        <f>VLOOKUP(A311, 'Session Data'!A:AA,9,false)</f>
        <v>Grim</v>
      </c>
      <c r="X311" s="33" t="str">
        <f>VLOOKUP(A311, 'Session Data'!A:AA,12,false)</f>
        <v>BRAF binding specificity to KRAS4B on a lipid bilayer is controlled by specific regulatory domain interactions</v>
      </c>
      <c r="Y311" s="34" t="str">
        <f>VLOOKUP(A311, 'Session Data'!A:AA,22,false)</f>
        <v>Youngkwang</v>
      </c>
      <c r="Z311" s="34" t="str">
        <f>VLOOKUP(A311, 'Session Data'!A:AA,23,false)</f>
        <v>Lee</v>
      </c>
      <c r="AA311" s="34" t="str">
        <f>VLOOKUP(A311, 'Session Data'!A:AA,25,false)</f>
        <v>Sciences</v>
      </c>
      <c r="AB311" s="34"/>
      <c r="AC311" s="34" t="str">
        <f>VLOOKUP(A311, 'Session Data'!A:AA,16,false)</f>
        <v/>
      </c>
      <c r="AD311" s="35" t="str">
        <f>VLOOKUP(A311, 'Session Data'!A:U,17,false)</f>
        <v/>
      </c>
      <c r="AE311" s="35" t="str">
        <f>VLOOKUP(A311, 'Session Data'!A:U,18,false)</f>
        <v/>
      </c>
      <c r="AF311" s="35" t="str">
        <f>VLOOKUP(A311, 'Session Data'!A:U,19,false)</f>
        <v/>
      </c>
      <c r="AG311" s="35" t="str">
        <f>VLOOKUP(A311, 'Session Data'!A:U,20,false)</f>
        <v/>
      </c>
      <c r="AH311" s="35" t="str">
        <f>VLOOKUP(A311, 'Session Data'!A:U,21,false)</f>
        <v/>
      </c>
      <c r="AI311" s="37"/>
      <c r="AJ311" s="37"/>
      <c r="AK311" s="37"/>
      <c r="AL311" s="50"/>
      <c r="AM311" s="34" t="str">
        <f>VLOOKUP(A311, 'Session Data'!A:AA,10,false)</f>
        <v>jgrim9545@sdsu.edu</v>
      </c>
      <c r="AN311" s="40"/>
      <c r="AO311" s="38"/>
      <c r="AP311" s="38"/>
      <c r="AQ311" s="38"/>
      <c r="AR311" s="38"/>
      <c r="AS311" s="38"/>
      <c r="AT311" s="38"/>
      <c r="AU311" s="38"/>
      <c r="AV311" s="38"/>
      <c r="AW311" s="38"/>
      <c r="AX311" s="38"/>
      <c r="AY311" s="43"/>
      <c r="AZ311" s="43"/>
      <c r="BA311" s="48"/>
      <c r="BB311" s="48"/>
      <c r="BC311" s="43"/>
      <c r="BD311" s="43"/>
      <c r="BE311" s="44"/>
      <c r="BF311" s="45"/>
      <c r="BG311" s="46"/>
    </row>
    <row r="312">
      <c r="A312" s="19" t="s">
        <v>382</v>
      </c>
      <c r="B312" s="20">
        <f>VLOOKUP(F312,'Session Count DO NOT EDIT'!$A:$C,3,FALSE)</f>
        <v>4</v>
      </c>
      <c r="C312" s="20">
        <f>COUNTIFS('Scores Import DO NOT EDIT'!D:D,A312)</f>
        <v>4</v>
      </c>
      <c r="D312" s="21">
        <f t="shared" si="1"/>
        <v>1</v>
      </c>
      <c r="E312" s="22">
        <f>AVERAGEIFS('Scores Import DO NOT EDIT'!L:L,'Scores Import DO NOT EDIT'!D:D,A312)</f>
        <v>27.25</v>
      </c>
      <c r="F312" s="23" t="str">
        <f>VLOOKUP(A312, 'Session Data'!A:M,3,false)</f>
        <v>G-2</v>
      </c>
      <c r="G312" s="24" t="str">
        <f>VLOOKUP(A312, 'Session Data'!A:I,2,false)</f>
        <v>11:00 AM</v>
      </c>
      <c r="H312" s="23" t="str">
        <f>VLOOKUP(A312, 'Session Data'!A:J,5,false)</f>
        <v>Behavioral and Social Sciences 2</v>
      </c>
      <c r="I312" s="25" t="str">
        <f>VLOOKUP(A312, 'Session Data'!A:H,4,false)</f>
        <v>Poster</v>
      </c>
      <c r="J312" s="26" t="str">
        <f>VLOOKUP(A312, 'Session Data'!A:AA,14,false)</f>
        <v>Undergraduate</v>
      </c>
      <c r="K312" s="27" t="str">
        <f>VLOOKUP(A312, 'Session Data'!A:AA,15,false)</f>
        <v>Sciences</v>
      </c>
      <c r="L312" s="28"/>
      <c r="M312" s="29" t="str">
        <f>VLOOKUP(A312, 'Session Data'!A:K,11,false)</f>
        <v>BA Psychology </v>
      </c>
      <c r="N312" s="26" t="str">
        <f>IF(ISNA(VLOOKUP(A312, 'Award Abstract#'!C:C, 1, FALSE)), "No", "Yes")
</f>
        <v>No</v>
      </c>
      <c r="O312" s="29" t="str">
        <f>IF(ISNA(VLOOKUP(A312,'Award Abstract#'!B:B,1,FALSE)), "No", "Yes")</f>
        <v>Yes</v>
      </c>
      <c r="P312" s="29" t="str">
        <f>IF(ISNA(VLOOKUP(A312,'Award Abstract#'!E:E,1,FALSE)), "No", "Yes")</f>
        <v>No</v>
      </c>
      <c r="Q312" s="29" t="str">
        <f>IF(ISNA(VLOOKUP(A312,'Award Abstract#'!A:A,1,FALSE)), "No", "Yes")</f>
        <v>No</v>
      </c>
      <c r="R312" s="29" t="str">
        <f>IF(ISNA(VLOOKUP(A312,'Award Abstract#'!D:D,1,FALSE)), "No", "Yes")</f>
        <v>Yes</v>
      </c>
      <c r="S312" s="30" t="str">
        <f>VLOOKUP(A312, 'Session Data'!A:AA,27,false)</f>
        <v>Woman</v>
      </c>
      <c r="T312" s="30"/>
      <c r="U312" s="30"/>
      <c r="V312" s="31" t="str">
        <f>VLOOKUP(A312, 'Session Data'!A:AA,8,false)</f>
        <v>Anali</v>
      </c>
      <c r="W312" s="32" t="str">
        <f>VLOOKUP(A312, 'Session Data'!A:AA,9,false)</f>
        <v>Cruz</v>
      </c>
      <c r="X312" s="33" t="str">
        <f>VLOOKUP(A312, 'Session Data'!A:AA,12,false)</f>
        <v>Association of Adverse Childhood Experiences with Cigarette Smoking and Alcohol Use in a Low Income Migrant Community on the US-Mexico Border</v>
      </c>
      <c r="Y312" s="34" t="str">
        <f>VLOOKUP(A312, 'Session Data'!A:AA,22,false)</f>
        <v>Jessica </v>
      </c>
      <c r="Z312" s="34" t="str">
        <f>VLOOKUP(A312, 'Session Data'!A:AA,23,false)</f>
        <v>McCurley </v>
      </c>
      <c r="AA312" s="34" t="str">
        <f>VLOOKUP(A312, 'Session Data'!A:AA,25,false)</f>
        <v>Sciences</v>
      </c>
      <c r="AB312" s="34" t="str">
        <f>VLOOKUP(A312, 'Session Data'!A:AA,24,false)</f>
        <v>jlmccurley@sdsu.edu</v>
      </c>
      <c r="AC312" s="34" t="str">
        <f>VLOOKUP(A312, 'Session Data'!A:AA,16,false)</f>
        <v/>
      </c>
      <c r="AD312" s="35" t="str">
        <f>VLOOKUP(A312, 'Session Data'!A:U,17,false)</f>
        <v/>
      </c>
      <c r="AE312" s="35" t="str">
        <f>VLOOKUP(A312, 'Session Data'!A:U,18,false)</f>
        <v/>
      </c>
      <c r="AF312" s="35" t="str">
        <f>VLOOKUP(A312, 'Session Data'!A:U,19,false)</f>
        <v/>
      </c>
      <c r="AG312" s="35" t="str">
        <f>VLOOKUP(A312, 'Session Data'!A:U,20,false)</f>
        <v/>
      </c>
      <c r="AH312" s="35" t="str">
        <f>VLOOKUP(A312, 'Session Data'!A:U,21,false)</f>
        <v/>
      </c>
      <c r="AI312" s="36"/>
      <c r="AJ312" s="37"/>
      <c r="AK312" s="38"/>
      <c r="AL312" s="39"/>
      <c r="AM312" s="34" t="str">
        <f>VLOOKUP(A312, 'Session Data'!A:AA,10,false)</f>
        <v>acruz6849@sdsu.edu</v>
      </c>
      <c r="AN312" s="40"/>
      <c r="AO312" s="38"/>
      <c r="AP312" s="38"/>
      <c r="AQ312" s="38"/>
      <c r="AR312" s="38"/>
      <c r="AS312" s="38"/>
      <c r="AT312" s="38"/>
      <c r="AU312" s="38"/>
      <c r="AV312" s="38"/>
      <c r="AW312" s="38"/>
      <c r="AX312" s="38"/>
      <c r="AY312" s="43"/>
      <c r="AZ312" s="43"/>
      <c r="BA312" s="48"/>
      <c r="BB312" s="48"/>
      <c r="BC312" s="43"/>
      <c r="BD312" s="43"/>
      <c r="BE312" s="44"/>
      <c r="BF312" s="45"/>
      <c r="BG312" s="43"/>
    </row>
    <row r="313">
      <c r="A313" s="19" t="s">
        <v>383</v>
      </c>
      <c r="B313" s="20">
        <f>VLOOKUP(F313,'Session Count DO NOT EDIT'!$A:$C,3,FALSE)</f>
        <v>4</v>
      </c>
      <c r="C313" s="20">
        <f>COUNTIFS('Scores Import DO NOT EDIT'!D:D,A313)</f>
        <v>3</v>
      </c>
      <c r="D313" s="21">
        <f t="shared" si="1"/>
        <v>0.75</v>
      </c>
      <c r="E313" s="22">
        <f>AVERAGEIFS('Scores Import DO NOT EDIT'!L:L,'Scores Import DO NOT EDIT'!D:D,A313)</f>
        <v>26</v>
      </c>
      <c r="F313" s="23" t="str">
        <f>VLOOKUP(A313, 'Session Data'!A:M,3,false)</f>
        <v>G-2</v>
      </c>
      <c r="G313" s="24" t="str">
        <f>VLOOKUP(A313, 'Session Data'!A:I,2,false)</f>
        <v>11:00 AM</v>
      </c>
      <c r="H313" s="23" t="str">
        <f>VLOOKUP(A313, 'Session Data'!A:J,5,false)</f>
        <v>Behavioral and Social Sciences 2</v>
      </c>
      <c r="I313" s="25" t="str">
        <f>VLOOKUP(A313, 'Session Data'!A:H,4,false)</f>
        <v>Poster</v>
      </c>
      <c r="J313" s="26" t="str">
        <f>VLOOKUP(A313, 'Session Data'!A:AA,14,false)</f>
        <v>Undergraduate</v>
      </c>
      <c r="K313" s="27" t="str">
        <f>VLOOKUP(A313, 'Session Data'!A:AA,15,false)</f>
        <v>Sciences</v>
      </c>
      <c r="L313" s="28"/>
      <c r="M313" s="29" t="str">
        <f>VLOOKUP(A313, 'Session Data'!A:K,11,false)</f>
        <v>Bachelors in Psychology</v>
      </c>
      <c r="N313" s="26" t="str">
        <f>IF(ISNA(VLOOKUP(A313, 'Award Abstract#'!C:C, 1, FALSE)), "No", "Yes")
</f>
        <v>No</v>
      </c>
      <c r="O313" s="29" t="str">
        <f>IF(ISNA(VLOOKUP(A313,'Award Abstract#'!B:B,1,FALSE)), "No", "Yes")</f>
        <v>Yes</v>
      </c>
      <c r="P313" s="29" t="str">
        <f>IF(ISNA(VLOOKUP(A313,'Award Abstract#'!E:E,1,FALSE)), "No", "Yes")</f>
        <v>No</v>
      </c>
      <c r="Q313" s="29" t="str">
        <f>IF(ISNA(VLOOKUP(A313,'Award Abstract#'!A:A,1,FALSE)), "No", "Yes")</f>
        <v>No</v>
      </c>
      <c r="R313" s="29" t="str">
        <f>IF(ISNA(VLOOKUP(A313,'Award Abstract#'!D:D,1,FALSE)), "No", "Yes")</f>
        <v>No</v>
      </c>
      <c r="S313" s="30" t="str">
        <f>VLOOKUP(A313, 'Session Data'!A:AA,27,false)</f>
        <v>Woman</v>
      </c>
      <c r="T313" s="30"/>
      <c r="U313" s="30"/>
      <c r="V313" s="31" t="str">
        <f>VLOOKUP(A313, 'Session Data'!A:AA,8,false)</f>
        <v>Jasmine</v>
      </c>
      <c r="W313" s="32" t="str">
        <f>VLOOKUP(A313, 'Session Data'!A:AA,9,false)</f>
        <v>Rincon</v>
      </c>
      <c r="X313" s="33" t="str">
        <f>VLOOKUP(A313, 'Session Data'!A:AA,12,false)</f>
        <v>Association of Social Support with BMI and Obesity in a Low Income Migrant Community on the US-Mexico Border</v>
      </c>
      <c r="Y313" s="34" t="str">
        <f>VLOOKUP(A313, 'Session Data'!A:AA,22,false)</f>
        <v>Dr. Jessica McCurley</v>
      </c>
      <c r="Z313" s="34" t="str">
        <f>VLOOKUP(A313, 'Session Data'!A:AA,23,false)</f>
        <v>Dr. McCurley</v>
      </c>
      <c r="AA313" s="34" t="str">
        <f>VLOOKUP(A313, 'Session Data'!A:AA,25,false)</f>
        <v>Sciences</v>
      </c>
      <c r="AB313" s="34" t="str">
        <f>VLOOKUP(A313, 'Session Data'!A:AA,24,false)</f>
        <v>jlmccurley@sdsu.edu</v>
      </c>
      <c r="AC313" s="34" t="str">
        <f>VLOOKUP(A313, 'Session Data'!A:AA,16,false)</f>
        <v/>
      </c>
      <c r="AD313" s="35" t="str">
        <f>VLOOKUP(A313, 'Session Data'!A:U,17,false)</f>
        <v/>
      </c>
      <c r="AE313" s="35" t="str">
        <f>VLOOKUP(A313, 'Session Data'!A:U,18,false)</f>
        <v/>
      </c>
      <c r="AF313" s="35" t="str">
        <f>VLOOKUP(A313, 'Session Data'!A:U,19,false)</f>
        <v/>
      </c>
      <c r="AG313" s="35" t="str">
        <f>VLOOKUP(A313, 'Session Data'!A:U,20,false)</f>
        <v/>
      </c>
      <c r="AH313" s="35" t="str">
        <f>VLOOKUP(A313, 'Session Data'!A:U,21,false)</f>
        <v/>
      </c>
      <c r="AI313" s="36"/>
      <c r="AJ313" s="37"/>
      <c r="AK313" s="38"/>
      <c r="AL313" s="39"/>
      <c r="AM313" s="34" t="str">
        <f>VLOOKUP(A313, 'Session Data'!A:AA,10,false)</f>
        <v>jrincon4074@sdsu.edu</v>
      </c>
      <c r="AN313" s="40"/>
      <c r="AO313" s="38"/>
      <c r="AP313" s="38"/>
      <c r="AQ313" s="38"/>
      <c r="AR313" s="38"/>
      <c r="AS313" s="38"/>
      <c r="AT313" s="38"/>
      <c r="AU313" s="38"/>
      <c r="AV313" s="38"/>
      <c r="AW313" s="38"/>
      <c r="AX313" s="38"/>
      <c r="AY313" s="43"/>
      <c r="AZ313" s="43"/>
      <c r="BA313" s="43"/>
      <c r="BB313" s="43"/>
      <c r="BC313" s="43"/>
      <c r="BD313" s="43"/>
      <c r="BE313" s="44"/>
      <c r="BF313" s="45"/>
      <c r="BG313" s="46"/>
    </row>
    <row r="314">
      <c r="A314" s="19" t="s">
        <v>384</v>
      </c>
      <c r="B314" s="20">
        <f>VLOOKUP(F314,'Session Count DO NOT EDIT'!$A:$C,3,FALSE)</f>
        <v>4</v>
      </c>
      <c r="C314" s="20">
        <f>COUNTIFS('Scores Import DO NOT EDIT'!D:D,A314)</f>
        <v>4</v>
      </c>
      <c r="D314" s="21">
        <f t="shared" si="1"/>
        <v>1</v>
      </c>
      <c r="E314" s="22">
        <f>AVERAGEIFS('Scores Import DO NOT EDIT'!L:L,'Scores Import DO NOT EDIT'!D:D,A314)</f>
        <v>32.5</v>
      </c>
      <c r="F314" s="23" t="str">
        <f>VLOOKUP(A314, 'Session Data'!A:M,3,false)</f>
        <v>G-2</v>
      </c>
      <c r="G314" s="24" t="str">
        <f>VLOOKUP(A314, 'Session Data'!A:I,2,false)</f>
        <v>11:00 AM</v>
      </c>
      <c r="H314" s="23" t="str">
        <f>VLOOKUP(A314, 'Session Data'!A:J,5,false)</f>
        <v>Behavioral and Social Sciences 2</v>
      </c>
      <c r="I314" s="25" t="str">
        <f>VLOOKUP(A314, 'Session Data'!A:H,4,false)</f>
        <v>Poster</v>
      </c>
      <c r="J314" s="26" t="str">
        <f>VLOOKUP(A314, 'Session Data'!A:AA,14,false)</f>
        <v>Undergraduate</v>
      </c>
      <c r="K314" s="27" t="str">
        <f>VLOOKUP(A314, 'Session Data'!A:AA,15,false)</f>
        <v>Arts and Letters</v>
      </c>
      <c r="L314" s="79" t="s">
        <v>187</v>
      </c>
      <c r="M314" s="29" t="str">
        <f>VLOOKUP(A314, 'Session Data'!A:K,11,false)</f>
        <v>Sociology BA</v>
      </c>
      <c r="N314" s="26" t="str">
        <f>IF(ISNA(VLOOKUP(A314, 'Award Abstract#'!C:C, 1, FALSE)), "No", "Yes")
</f>
        <v>No</v>
      </c>
      <c r="O314" s="29" t="str">
        <f>IF(ISNA(VLOOKUP(A314,'Award Abstract#'!B:B,1,FALSE)), "No", "Yes")</f>
        <v>No</v>
      </c>
      <c r="P314" s="29" t="str">
        <f>IF(ISNA(VLOOKUP(A314,'Award Abstract#'!E:E,1,FALSE)), "No", "Yes")</f>
        <v>No</v>
      </c>
      <c r="Q314" s="29" t="str">
        <f>IF(ISNA(VLOOKUP(A314,'Award Abstract#'!A:A,1,FALSE)), "No", "Yes")</f>
        <v>No</v>
      </c>
      <c r="R314" s="29" t="str">
        <f>IF(ISNA(VLOOKUP(A314,'Award Abstract#'!D:D,1,FALSE)), "No", "Yes")</f>
        <v>Yes</v>
      </c>
      <c r="S314" s="30" t="str">
        <f>VLOOKUP(A314, 'Session Data'!A:AA,27,false)</f>
        <v>Woman</v>
      </c>
      <c r="T314" s="30"/>
      <c r="U314" s="30"/>
      <c r="V314" s="31" t="str">
        <f>VLOOKUP(A314, 'Session Data'!A:AA,8,false)</f>
        <v>Belen</v>
      </c>
      <c r="W314" s="32" t="str">
        <f>VLOOKUP(A314, 'Session Data'!A:AA,9,false)</f>
        <v>Rashidi</v>
      </c>
      <c r="X314" s="33" t="str">
        <f>VLOOKUP(A314, 'Session Data'!A:AA,12,false)</f>
        <v>Stigmatization of Public Housing: A Sociological Exploration of the Frontier Housing Project</v>
      </c>
      <c r="Y314" s="34" t="str">
        <f>VLOOKUP(A314, 'Session Data'!A:AA,22,false)</f>
        <v>Charlene</v>
      </c>
      <c r="Z314" s="34" t="str">
        <f>VLOOKUP(A314, 'Session Data'!A:AA,23,false)</f>
        <v>Holkenbrink-Monk</v>
      </c>
      <c r="AA314" s="34" t="str">
        <f>VLOOKUP(A314, 'Session Data'!A:AA,25,false)</f>
        <v>Arts and Letters</v>
      </c>
      <c r="AB314" s="34" t="str">
        <f>VLOOKUP(A314, 'Session Data'!A:AA,24,false)</f>
        <v>Cholkenbrinkmonk@sdsu.edu</v>
      </c>
      <c r="AC314" s="34" t="str">
        <f>VLOOKUP(A314, 'Session Data'!A:AA,16,false)</f>
        <v>Elena</v>
      </c>
      <c r="AD314" s="35" t="str">
        <f>VLOOKUP(A314, 'Session Data'!A:U,17,false)</f>
        <v>Miller</v>
      </c>
      <c r="AE314" s="35" t="str">
        <f>VLOOKUP(A314, 'Session Data'!A:U,18,false)</f>
        <v/>
      </c>
      <c r="AF314" s="35" t="str">
        <f>VLOOKUP(A314, 'Session Data'!A:U,19,false)</f>
        <v/>
      </c>
      <c r="AG314" s="35" t="str">
        <f>VLOOKUP(A314, 'Session Data'!A:U,20,false)</f>
        <v/>
      </c>
      <c r="AH314" s="35" t="str">
        <f>VLOOKUP(A314, 'Session Data'!A:U,21,false)</f>
        <v/>
      </c>
      <c r="AI314" s="37"/>
      <c r="AJ314" s="37"/>
      <c r="AK314" s="37"/>
      <c r="AL314" s="50"/>
      <c r="AM314" s="34" t="str">
        <f>VLOOKUP(A314, 'Session Data'!A:AA,10,false)</f>
        <v>brashidi9095@sdsu.edu</v>
      </c>
      <c r="AN314" s="40"/>
      <c r="AO314" s="38"/>
      <c r="AP314" s="38"/>
      <c r="AQ314" s="38"/>
      <c r="AR314" s="38"/>
      <c r="AS314" s="38"/>
      <c r="AT314" s="38"/>
      <c r="AU314" s="38"/>
      <c r="AV314" s="38"/>
      <c r="AW314" s="38"/>
      <c r="AX314" s="38"/>
      <c r="AY314" s="43"/>
      <c r="AZ314" s="43"/>
      <c r="BA314" s="43"/>
      <c r="BB314" s="43"/>
      <c r="BC314" s="43"/>
      <c r="BD314" s="43"/>
      <c r="BE314" s="44"/>
      <c r="BF314" s="45"/>
      <c r="BG314" s="43"/>
    </row>
    <row r="315">
      <c r="A315" s="19" t="s">
        <v>385</v>
      </c>
      <c r="B315" s="20">
        <f>VLOOKUP(F315,'Session Count DO NOT EDIT'!$A:$C,3,FALSE)</f>
        <v>4</v>
      </c>
      <c r="C315" s="20">
        <f>COUNTIFS('Scores Import DO NOT EDIT'!D:D,A315)</f>
        <v>4</v>
      </c>
      <c r="D315" s="21">
        <f t="shared" si="1"/>
        <v>1</v>
      </c>
      <c r="E315" s="22">
        <f>AVERAGEIFS('Scores Import DO NOT EDIT'!L:L,'Scores Import DO NOT EDIT'!D:D,A315)</f>
        <v>31</v>
      </c>
      <c r="F315" s="23" t="str">
        <f>VLOOKUP(A315, 'Session Data'!A:M,3,false)</f>
        <v>G-2</v>
      </c>
      <c r="G315" s="24" t="str">
        <f>VLOOKUP(A315, 'Session Data'!A:I,2,false)</f>
        <v>11:00 AM</v>
      </c>
      <c r="H315" s="23" t="str">
        <f>VLOOKUP(A315, 'Session Data'!A:J,5,false)</f>
        <v>Behavioral and Social Sciences 2</v>
      </c>
      <c r="I315" s="25" t="str">
        <f>VLOOKUP(A315, 'Session Data'!A:H,4,false)</f>
        <v>Poster</v>
      </c>
      <c r="J315" s="26" t="str">
        <f>VLOOKUP(A315, 'Session Data'!A:AA,14,false)</f>
        <v>Undergraduate</v>
      </c>
      <c r="K315" s="27" t="str">
        <f>VLOOKUP(A315, 'Session Data'!A:AA,15,false)</f>
        <v>Health and Human Services</v>
      </c>
      <c r="L315" s="52" t="s">
        <v>73</v>
      </c>
      <c r="M315" s="29" t="str">
        <f>VLOOKUP(A315, 'Session Data'!A:K,11,false)</f>
        <v>Kinesiology, Pre-Physical Therapy</v>
      </c>
      <c r="N315" s="26" t="str">
        <f>IF(ISNA(VLOOKUP(A315, 'Award Abstract#'!C:C, 1, FALSE)), "No", "Yes")
</f>
        <v>No</v>
      </c>
      <c r="O315" s="29" t="str">
        <f>IF(ISNA(VLOOKUP(A315,'Award Abstract#'!B:B,1,FALSE)), "No", "Yes")</f>
        <v>No</v>
      </c>
      <c r="P315" s="29" t="str">
        <f>IF(ISNA(VLOOKUP(A315,'Award Abstract#'!E:E,1,FALSE)), "No", "Yes")</f>
        <v>No</v>
      </c>
      <c r="Q315" s="29" t="str">
        <f>IF(ISNA(VLOOKUP(A315,'Award Abstract#'!A:A,1,FALSE)), "No", "Yes")</f>
        <v>No</v>
      </c>
      <c r="R315" s="29" t="str">
        <f>IF(ISNA(VLOOKUP(A315,'Award Abstract#'!D:D,1,FALSE)), "No", "Yes")</f>
        <v>Yes</v>
      </c>
      <c r="S315" s="30" t="str">
        <f>VLOOKUP(A315, 'Session Data'!A:AA,27,false)</f>
        <v>Woman</v>
      </c>
      <c r="T315" s="30"/>
      <c r="U315" s="30"/>
      <c r="V315" s="31" t="str">
        <f>VLOOKUP(A315, 'Session Data'!A:AA,8,false)</f>
        <v>Mikaela</v>
      </c>
      <c r="W315" s="32" t="str">
        <f>VLOOKUP(A315, 'Session Data'!A:AA,9,false)</f>
        <v>Garcia</v>
      </c>
      <c r="X315" s="33" t="str">
        <f>VLOOKUP(A315, 'Session Data'!A:AA,12,false)</f>
        <v>Concussion Care Seeking Intentions and Behavior Does Not Differ Between Ethnicities in Collegiate Athletes</v>
      </c>
      <c r="Y315" s="34" t="str">
        <f>VLOOKUP(A315, 'Session Data'!A:AA,22,false)</f>
        <v>Michelle</v>
      </c>
      <c r="Z315" s="34" t="str">
        <f>VLOOKUP(A315, 'Session Data'!A:AA,23,false)</f>
        <v>Weber-Rawlins</v>
      </c>
      <c r="AA315" s="34" t="str">
        <f>VLOOKUP(A315, 'Session Data'!A:AA,25,false)</f>
        <v>Health and Human Services</v>
      </c>
      <c r="AB315" s="34" t="str">
        <f>VLOOKUP(A315, 'Session Data'!A:AA,24,false)</f>
        <v>mrawlins@sdsu.edu</v>
      </c>
      <c r="AC315" s="34" t="str">
        <f>VLOOKUP(A315, 'Session Data'!A:AA,16,false)</f>
        <v/>
      </c>
      <c r="AD315" s="35" t="str">
        <f>VLOOKUP(A315, 'Session Data'!A:U,17,false)</f>
        <v/>
      </c>
      <c r="AE315" s="35" t="str">
        <f>VLOOKUP(A315, 'Session Data'!A:U,18,false)</f>
        <v/>
      </c>
      <c r="AF315" s="35" t="str">
        <f>VLOOKUP(A315, 'Session Data'!A:U,19,false)</f>
        <v/>
      </c>
      <c r="AG315" s="35" t="str">
        <f>VLOOKUP(A315, 'Session Data'!A:U,20,false)</f>
        <v/>
      </c>
      <c r="AH315" s="35" t="str">
        <f>VLOOKUP(A315, 'Session Data'!A:U,21,false)</f>
        <v/>
      </c>
      <c r="AI315" s="37"/>
      <c r="AJ315" s="37"/>
      <c r="AK315" s="37"/>
      <c r="AL315" s="50"/>
      <c r="AM315" s="34" t="str">
        <f>VLOOKUP(A315, 'Session Data'!A:AA,10,false)</f>
        <v>mgarcia0200@sdsu.edu</v>
      </c>
      <c r="AN315" s="40"/>
      <c r="AO315" s="38"/>
      <c r="AP315" s="38"/>
      <c r="AQ315" s="38"/>
      <c r="AR315" s="38"/>
      <c r="AS315" s="38"/>
      <c r="AT315" s="38"/>
      <c r="AU315" s="38"/>
      <c r="AV315" s="38"/>
      <c r="AW315" s="38"/>
      <c r="AX315" s="38"/>
      <c r="AY315" s="43"/>
      <c r="AZ315" s="43"/>
      <c r="BA315" s="43"/>
      <c r="BB315" s="43"/>
      <c r="BC315" s="43"/>
      <c r="BD315" s="43"/>
      <c r="BE315" s="44"/>
      <c r="BF315" s="45"/>
      <c r="BG315" s="43"/>
    </row>
    <row r="316">
      <c r="A316" s="19" t="s">
        <v>386</v>
      </c>
      <c r="B316" s="20">
        <f>VLOOKUP(F316,'Session Count DO NOT EDIT'!$A:$C,3,FALSE)</f>
        <v>4</v>
      </c>
      <c r="C316" s="20">
        <f>COUNTIFS('Scores Import DO NOT EDIT'!D:D,A316)</f>
        <v>4</v>
      </c>
      <c r="D316" s="21">
        <f t="shared" si="1"/>
        <v>1</v>
      </c>
      <c r="E316" s="22">
        <f>AVERAGEIFS('Scores Import DO NOT EDIT'!L:L,'Scores Import DO NOT EDIT'!D:D,A316)</f>
        <v>29.5</v>
      </c>
      <c r="F316" s="23" t="str">
        <f>VLOOKUP(A316, 'Session Data'!A:M,3,false)</f>
        <v>G-2</v>
      </c>
      <c r="G316" s="24" t="str">
        <f>VLOOKUP(A316, 'Session Data'!A:I,2,false)</f>
        <v>11:00 AM</v>
      </c>
      <c r="H316" s="23" t="str">
        <f>VLOOKUP(A316, 'Session Data'!A:J,5,false)</f>
        <v>Behavioral and Social Sciences 2</v>
      </c>
      <c r="I316" s="25" t="str">
        <f>VLOOKUP(A316, 'Session Data'!A:H,4,false)</f>
        <v>Poster</v>
      </c>
      <c r="J316" s="26" t="str">
        <f>VLOOKUP(A316, 'Session Data'!A:AA,14,false)</f>
        <v>Undergraduate</v>
      </c>
      <c r="K316" s="27" t="str">
        <f>VLOOKUP(A316, 'Session Data'!A:AA,15,false)</f>
        <v>Sciences</v>
      </c>
      <c r="L316" s="28"/>
      <c r="M316" s="29" t="str">
        <f>VLOOKUP(A316, 'Session Data'!A:K,11,false)</f>
        <v>Bachelor of Arts in Psychology </v>
      </c>
      <c r="N316" s="26" t="str">
        <f>IF(ISNA(VLOOKUP(A316, 'Award Abstract#'!C:C, 1, FALSE)), "No", "Yes")
</f>
        <v>No</v>
      </c>
      <c r="O316" s="29" t="str">
        <f>IF(ISNA(VLOOKUP(A316,'Award Abstract#'!B:B,1,FALSE)), "No", "Yes")</f>
        <v>No</v>
      </c>
      <c r="P316" s="29" t="str">
        <f>IF(ISNA(VLOOKUP(A316,'Award Abstract#'!E:E,1,FALSE)), "No", "Yes")</f>
        <v>No</v>
      </c>
      <c r="Q316" s="29" t="str">
        <f>IF(ISNA(VLOOKUP(A316,'Award Abstract#'!A:A,1,FALSE)), "No", "Yes")</f>
        <v>No</v>
      </c>
      <c r="R316" s="29" t="str">
        <f>IF(ISNA(VLOOKUP(A316,'Award Abstract#'!D:D,1,FALSE)), "No", "Yes")</f>
        <v>No</v>
      </c>
      <c r="S316" s="30" t="str">
        <f>VLOOKUP(A316, 'Session Data'!A:AA,27,false)</f>
        <v>Woman, Cisgender</v>
      </c>
      <c r="T316" s="30"/>
      <c r="U316" s="30"/>
      <c r="V316" s="31" t="str">
        <f>VLOOKUP(A316, 'Session Data'!A:AA,8,false)</f>
        <v>Kylie</v>
      </c>
      <c r="W316" s="32" t="str">
        <f>VLOOKUP(A316, 'Session Data'!A:AA,9,false)</f>
        <v>Hawkins</v>
      </c>
      <c r="X316" s="33" t="str">
        <f>VLOOKUP(A316, 'Session Data'!A:AA,12,false)</f>
        <v>Social Touch and Close Connections: The Effects of Warmth and Deep Pressure</v>
      </c>
      <c r="Y316" s="34" t="str">
        <f>VLOOKUP(A316, 'Session Data'!A:AA,22,false)</f>
        <v>Tristen</v>
      </c>
      <c r="Z316" s="34" t="str">
        <f>VLOOKUP(A316, 'Session Data'!A:AA,23,false)</f>
        <v>Inagaki</v>
      </c>
      <c r="AA316" s="34" t="str">
        <f>VLOOKUP(A316, 'Session Data'!A:AA,25,false)</f>
        <v>Sciences</v>
      </c>
      <c r="AB316" s="34" t="str">
        <f>VLOOKUP(A316, 'Session Data'!A:AA,24,false)</f>
        <v>tinagaki@sdsu.edu</v>
      </c>
      <c r="AC316" s="34" t="str">
        <f>VLOOKUP(A316, 'Session Data'!A:AA,16,false)</f>
        <v>Zoe</v>
      </c>
      <c r="AD316" s="35" t="str">
        <f>VLOOKUP(A316, 'Session Data'!A:U,17,false)</f>
        <v>Damon</v>
      </c>
      <c r="AE316" s="35" t="str">
        <f>VLOOKUP(A316, 'Session Data'!A:U,18,false)</f>
        <v/>
      </c>
      <c r="AF316" s="35" t="str">
        <f>VLOOKUP(A316, 'Session Data'!A:U,19,false)</f>
        <v/>
      </c>
      <c r="AG316" s="35" t="str">
        <f>VLOOKUP(A316, 'Session Data'!A:U,20,false)</f>
        <v/>
      </c>
      <c r="AH316" s="35" t="str">
        <f>VLOOKUP(A316, 'Session Data'!A:U,21,false)</f>
        <v/>
      </c>
      <c r="AI316" s="37"/>
      <c r="AJ316" s="37"/>
      <c r="AK316" s="37"/>
      <c r="AL316" s="50"/>
      <c r="AM316" s="34" t="str">
        <f>VLOOKUP(A316, 'Session Data'!A:AA,10,false)</f>
        <v>khawkins7672@sdsu.edu</v>
      </c>
      <c r="AN316" s="40"/>
      <c r="AO316" s="38"/>
      <c r="AP316" s="38"/>
      <c r="AQ316" s="38"/>
      <c r="AR316" s="38"/>
      <c r="AS316" s="38"/>
      <c r="AT316" s="38"/>
      <c r="AU316" s="38"/>
      <c r="AV316" s="38"/>
      <c r="AW316" s="38"/>
      <c r="AX316" s="38"/>
      <c r="AY316" s="43"/>
      <c r="AZ316" s="43"/>
      <c r="BA316" s="48"/>
      <c r="BB316" s="48"/>
      <c r="BC316" s="43"/>
      <c r="BD316" s="43"/>
      <c r="BE316" s="44"/>
      <c r="BF316" s="45"/>
      <c r="BG316" s="43"/>
    </row>
    <row r="317">
      <c r="A317" s="19" t="s">
        <v>387</v>
      </c>
      <c r="B317" s="20">
        <f>VLOOKUP(F317,'Session Count DO NOT EDIT'!$A:$C,3,FALSE)</f>
        <v>4</v>
      </c>
      <c r="C317" s="20">
        <f>COUNTIFS('Scores Import DO NOT EDIT'!D:D,A317)</f>
        <v>4</v>
      </c>
      <c r="D317" s="21">
        <f t="shared" si="1"/>
        <v>1</v>
      </c>
      <c r="E317" s="22">
        <f>AVERAGEIFS('Scores Import DO NOT EDIT'!L:L,'Scores Import DO NOT EDIT'!D:D,A317)</f>
        <v>27</v>
      </c>
      <c r="F317" s="23" t="str">
        <f>VLOOKUP(A317, 'Session Data'!A:M,3,false)</f>
        <v>G-2</v>
      </c>
      <c r="G317" s="24" t="str">
        <f>VLOOKUP(A317, 'Session Data'!A:I,2,false)</f>
        <v>11:00 AM</v>
      </c>
      <c r="H317" s="23" t="str">
        <f>VLOOKUP(A317, 'Session Data'!A:J,5,false)</f>
        <v>Behavioral and Social Sciences 2</v>
      </c>
      <c r="I317" s="25" t="str">
        <f>VLOOKUP(A317, 'Session Data'!A:H,4,false)</f>
        <v>Poster</v>
      </c>
      <c r="J317" s="26" t="str">
        <f>VLOOKUP(A317, 'Session Data'!A:AA,14,false)</f>
        <v>Undergraduate</v>
      </c>
      <c r="K317" s="27" t="str">
        <f>VLOOKUP(A317, 'Session Data'!A:AA,15,false)</f>
        <v>Education</v>
      </c>
      <c r="L317" s="28"/>
      <c r="M317" s="29" t="str">
        <f>VLOOKUP(A317, 'Session Data'!A:K,11,false)</f>
        <v>Bachelors of Science Child and Family Development</v>
      </c>
      <c r="N317" s="26" t="str">
        <f>IF(ISNA(VLOOKUP(A317, 'Award Abstract#'!C:C, 1, FALSE)), "No", "Yes")
</f>
        <v>No</v>
      </c>
      <c r="O317" s="29" t="str">
        <f>IF(ISNA(VLOOKUP(A317,'Award Abstract#'!B:B,1,FALSE)), "No", "Yes")</f>
        <v>No</v>
      </c>
      <c r="P317" s="29" t="str">
        <f>IF(ISNA(VLOOKUP(A317,'Award Abstract#'!E:E,1,FALSE)), "No", "Yes")</f>
        <v>No</v>
      </c>
      <c r="Q317" s="29" t="str">
        <f>IF(ISNA(VLOOKUP(A317,'Award Abstract#'!A:A,1,FALSE)), "No", "Yes")</f>
        <v>No</v>
      </c>
      <c r="R317" s="29" t="str">
        <f>IF(ISNA(VLOOKUP(A317,'Award Abstract#'!D:D,1,FALSE)), "No", "Yes")</f>
        <v>No</v>
      </c>
      <c r="S317" s="30" t="str">
        <f>VLOOKUP(A317, 'Session Data'!A:AA,27,false)</f>
        <v>Woman</v>
      </c>
      <c r="T317" s="30"/>
      <c r="U317" s="30"/>
      <c r="V317" s="31" t="str">
        <f>VLOOKUP(A317, 'Session Data'!A:AA,8,false)</f>
        <v>Jessica</v>
      </c>
      <c r="W317" s="32" t="str">
        <f>VLOOKUP(A317, 'Session Data'!A:AA,9,false)</f>
        <v>Lopez</v>
      </c>
      <c r="X317" s="33" t="str">
        <f>VLOOKUP(A317, 'Session Data'!A:AA,12,false)</f>
        <v>Parents engagement in their child's mental health services based on ethnicity</v>
      </c>
      <c r="Y317" s="34" t="str">
        <f>VLOOKUP(A317, 'Session Data'!A:AA,22,false)</f>
        <v>Kelsey</v>
      </c>
      <c r="Z317" s="34" t="str">
        <f>VLOOKUP(A317, 'Session Data'!A:AA,23,false)</f>
        <v>Dickson</v>
      </c>
      <c r="AA317" s="34" t="str">
        <f>VLOOKUP(A317, 'Session Data'!A:AA,25,false)</f>
        <v>Education</v>
      </c>
      <c r="AB317" s="34" t="str">
        <f>VLOOKUP(A317, 'Session Data'!A:AA,24,false)</f>
        <v>kdickson@sdsu.edu</v>
      </c>
      <c r="AC317" s="34" t="str">
        <f>VLOOKUP(A317, 'Session Data'!A:AA,16,false)</f>
        <v>Chloe</v>
      </c>
      <c r="AD317" s="35" t="str">
        <f>VLOOKUP(A317, 'Session Data'!A:U,17,false)</f>
        <v>Cleppe</v>
      </c>
      <c r="AE317" s="35" t="str">
        <f>VLOOKUP(A317, 'Session Data'!A:U,18,false)</f>
        <v/>
      </c>
      <c r="AF317" s="35" t="str">
        <f>VLOOKUP(A317, 'Session Data'!A:U,19,false)</f>
        <v/>
      </c>
      <c r="AG317" s="35" t="str">
        <f>VLOOKUP(A317, 'Session Data'!A:U,20,false)</f>
        <v/>
      </c>
      <c r="AH317" s="35" t="str">
        <f>VLOOKUP(A317, 'Session Data'!A:U,21,false)</f>
        <v/>
      </c>
      <c r="AI317" s="36"/>
      <c r="AJ317" s="38"/>
      <c r="AK317" s="38"/>
      <c r="AL317" s="39"/>
      <c r="AM317" s="34" t="str">
        <f>VLOOKUP(A317, 'Session Data'!A:AA,10,false)</f>
        <v>jlopez6146@sdsu.edu</v>
      </c>
      <c r="AN317" s="40"/>
      <c r="AO317" s="38"/>
      <c r="AP317" s="38"/>
      <c r="AQ317" s="38"/>
      <c r="AR317" s="38"/>
      <c r="AS317" s="38"/>
      <c r="AT317" s="38"/>
      <c r="AU317" s="38"/>
      <c r="AV317" s="38"/>
      <c r="AW317" s="38"/>
      <c r="AX317" s="38"/>
      <c r="AY317" s="43"/>
      <c r="AZ317" s="43"/>
      <c r="BA317" s="48"/>
      <c r="BB317" s="48"/>
      <c r="BC317" s="43"/>
      <c r="BD317" s="43"/>
      <c r="BE317" s="44"/>
      <c r="BF317" s="45"/>
      <c r="BG317" s="43"/>
    </row>
    <row r="318">
      <c r="A318" s="19" t="s">
        <v>388</v>
      </c>
      <c r="B318" s="20">
        <f>VLOOKUP(F318,'Session Count DO NOT EDIT'!$A:$C,3,FALSE)</f>
        <v>3</v>
      </c>
      <c r="C318" s="20">
        <f>COUNTIFS('Scores Import DO NOT EDIT'!D:D,A318)</f>
        <v>2</v>
      </c>
      <c r="D318" s="21">
        <f t="shared" si="1"/>
        <v>0.6666666667</v>
      </c>
      <c r="E318" s="22">
        <f>AVERAGEIFS('Scores Import DO NOT EDIT'!L:L,'Scores Import DO NOT EDIT'!D:D,A318)</f>
        <v>30</v>
      </c>
      <c r="F318" s="23" t="str">
        <f>VLOOKUP(A318, 'Session Data'!A:M,3,false)</f>
        <v>G-3</v>
      </c>
      <c r="G318" s="24" t="str">
        <f>VLOOKUP(A318, 'Session Data'!A:I,2,false)</f>
        <v>11:00 AM</v>
      </c>
      <c r="H318" s="23" t="str">
        <f>VLOOKUP(A318, 'Session Data'!A:J,5,false)</f>
        <v>Biological and Agricultural Sciences</v>
      </c>
      <c r="I318" s="25" t="str">
        <f>VLOOKUP(A318, 'Session Data'!A:H,4,false)</f>
        <v>Poster</v>
      </c>
      <c r="J318" s="26" t="str">
        <f>VLOOKUP(A318, 'Session Data'!A:AA,14,false)</f>
        <v>Undergraduate</v>
      </c>
      <c r="K318" s="27" t="str">
        <f>VLOOKUP(A318, 'Session Data'!A:AA,15,false)</f>
        <v>Sciences</v>
      </c>
      <c r="L318" s="28"/>
      <c r="M318" s="29" t="str">
        <f>VLOOKUP(A318, 'Session Data'!A:K,11,false)</f>
        <v>B.S. in Biology</v>
      </c>
      <c r="N318" s="26" t="str">
        <f>IF(ISNA(VLOOKUP(A318, 'Award Abstract#'!C:C, 1, FALSE)), "No", "Yes")
</f>
        <v>No</v>
      </c>
      <c r="O318" s="29" t="str">
        <f>IF(ISNA(VLOOKUP(A318,'Award Abstract#'!B:B,1,FALSE)), "No", "Yes")</f>
        <v>Yes</v>
      </c>
      <c r="P318" s="29" t="str">
        <f>IF(ISNA(VLOOKUP(A318,'Award Abstract#'!E:E,1,FALSE)), "No", "Yes")</f>
        <v>No</v>
      </c>
      <c r="Q318" s="29" t="str">
        <f>IF(ISNA(VLOOKUP(A318,'Award Abstract#'!A:A,1,FALSE)), "No", "Yes")</f>
        <v>No</v>
      </c>
      <c r="R318" s="29" t="str">
        <f>IF(ISNA(VLOOKUP(A318,'Award Abstract#'!D:D,1,FALSE)), "No", "Yes")</f>
        <v>No</v>
      </c>
      <c r="S318" s="30" t="str">
        <f>VLOOKUP(A318, 'Session Data'!A:AA,27,false)</f>
        <v>Man, Transgender</v>
      </c>
      <c r="T318" s="30"/>
      <c r="U318" s="30"/>
      <c r="V318" s="31" t="str">
        <f>VLOOKUP(A318, 'Session Data'!A:AA,8,false)</f>
        <v>Samantha</v>
      </c>
      <c r="W318" s="32" t="str">
        <f>VLOOKUP(A318, 'Session Data'!A:AA,9,false)</f>
        <v>Irwin</v>
      </c>
      <c r="X318" s="33" t="str">
        <f>VLOOKUP(A318, 'Session Data'!A:AA,12,false)</f>
        <v>The Role of Nutrients and Climate Change in Shallow Water Estuarine Dissolved Oxygen Dynamics</v>
      </c>
      <c r="Y318" s="34" t="str">
        <f>VLOOKUP(A318, 'Session Data'!A:AA,22,false)</f>
        <v>Nicholas</v>
      </c>
      <c r="Z318" s="34" t="str">
        <f>VLOOKUP(A318, 'Session Data'!A:AA,23,false)</f>
        <v>Barber</v>
      </c>
      <c r="AA318" s="34" t="str">
        <f>VLOOKUP(A318, 'Session Data'!A:AA,25,false)</f>
        <v>Sciences</v>
      </c>
      <c r="AB318" s="34" t="str">
        <f>VLOOKUP(A318, 'Session Data'!A:AA,24,false)</f>
        <v>nbarber@sdsu.edu</v>
      </c>
      <c r="AC318" s="34" t="str">
        <f>VLOOKUP(A318, 'Session Data'!A:AA,16,false)</f>
        <v/>
      </c>
      <c r="AD318" s="35" t="str">
        <f>VLOOKUP(A318, 'Session Data'!A:U,17,false)</f>
        <v/>
      </c>
      <c r="AE318" s="35" t="str">
        <f>VLOOKUP(A318, 'Session Data'!A:U,18,false)</f>
        <v/>
      </c>
      <c r="AF318" s="35" t="str">
        <f>VLOOKUP(A318, 'Session Data'!A:U,19,false)</f>
        <v/>
      </c>
      <c r="AG318" s="35" t="str">
        <f>VLOOKUP(A318, 'Session Data'!A:U,20,false)</f>
        <v/>
      </c>
      <c r="AH318" s="35" t="str">
        <f>VLOOKUP(A318, 'Session Data'!A:U,21,false)</f>
        <v/>
      </c>
      <c r="AI318" s="37"/>
      <c r="AJ318" s="37"/>
      <c r="AK318" s="37"/>
      <c r="AL318" s="50"/>
      <c r="AM318" s="34" t="str">
        <f>VLOOKUP(A318, 'Session Data'!A:AA,10,false)</f>
        <v>sirwin8129@sdsu.edu</v>
      </c>
      <c r="AN318" s="40"/>
      <c r="AO318" s="38"/>
      <c r="AP318" s="38"/>
      <c r="AQ318" s="38"/>
      <c r="AR318" s="38"/>
      <c r="AS318" s="38"/>
      <c r="AT318" s="38"/>
      <c r="AU318" s="38"/>
      <c r="AV318" s="38"/>
      <c r="AW318" s="38"/>
      <c r="AX318" s="38"/>
      <c r="AY318" s="43"/>
      <c r="AZ318" s="43"/>
      <c r="BA318" s="48"/>
      <c r="BB318" s="48"/>
      <c r="BC318" s="43"/>
      <c r="BD318" s="43"/>
      <c r="BE318" s="44"/>
      <c r="BF318" s="45"/>
      <c r="BG318" s="43"/>
    </row>
    <row r="319">
      <c r="A319" s="19" t="s">
        <v>389</v>
      </c>
      <c r="B319" s="20">
        <f>VLOOKUP(F319,'Session Count DO NOT EDIT'!$A:$C,3,FALSE)</f>
        <v>3</v>
      </c>
      <c r="C319" s="20">
        <f>COUNTIFS('Scores Import DO NOT EDIT'!D:D,A319)</f>
        <v>2</v>
      </c>
      <c r="D319" s="21">
        <f t="shared" si="1"/>
        <v>0.6666666667</v>
      </c>
      <c r="E319" s="22">
        <f>AVERAGEIFS('Scores Import DO NOT EDIT'!L:L,'Scores Import DO NOT EDIT'!D:D,A319)</f>
        <v>29</v>
      </c>
      <c r="F319" s="23" t="str">
        <f>VLOOKUP(A319, 'Session Data'!A:M,3,false)</f>
        <v>G-3</v>
      </c>
      <c r="G319" s="24" t="str">
        <f>VLOOKUP(A319, 'Session Data'!A:I,2,false)</f>
        <v>11:00 AM</v>
      </c>
      <c r="H319" s="23" t="str">
        <f>VLOOKUP(A319, 'Session Data'!A:J,5,false)</f>
        <v>Biological and Agricultural Sciences</v>
      </c>
      <c r="I319" s="25" t="str">
        <f>VLOOKUP(A319, 'Session Data'!A:H,4,false)</f>
        <v>Poster</v>
      </c>
      <c r="J319" s="26" t="str">
        <f>VLOOKUP(A319, 'Session Data'!A:AA,14,false)</f>
        <v>Undergraduate</v>
      </c>
      <c r="K319" s="27" t="str">
        <f>VLOOKUP(A319, 'Session Data'!A:AA,15,false)</f>
        <v>Sciences</v>
      </c>
      <c r="L319" s="28"/>
      <c r="M319" s="29" t="str">
        <f>VLOOKUP(A319, 'Session Data'!A:K,11,false)</f>
        <v>Bachelor of Science in Environmental Sciences</v>
      </c>
      <c r="N319" s="26" t="str">
        <f>IF(ISNA(VLOOKUP(A319, 'Award Abstract#'!C:C, 1, FALSE)), "No", "Yes")
</f>
        <v>No</v>
      </c>
      <c r="O319" s="29" t="str">
        <f>IF(ISNA(VLOOKUP(A319,'Award Abstract#'!B:B,1,FALSE)), "No", "Yes")</f>
        <v>Yes</v>
      </c>
      <c r="P319" s="29" t="str">
        <f>IF(ISNA(VLOOKUP(A319,'Award Abstract#'!E:E,1,FALSE)), "No", "Yes")</f>
        <v>No</v>
      </c>
      <c r="Q319" s="29" t="str">
        <f>IF(ISNA(VLOOKUP(A319,'Award Abstract#'!A:A,1,FALSE)), "No", "Yes")</f>
        <v>No</v>
      </c>
      <c r="R319" s="29" t="str">
        <f>IF(ISNA(VLOOKUP(A319,'Award Abstract#'!D:D,1,FALSE)), "No", "Yes")</f>
        <v>Yes</v>
      </c>
      <c r="S319" s="30" t="str">
        <f>VLOOKUP(A319, 'Session Data'!A:AA,27,false)</f>
        <v>Woman</v>
      </c>
      <c r="T319" s="30"/>
      <c r="U319" s="30"/>
      <c r="V319" s="31" t="str">
        <f>VLOOKUP(A319, 'Session Data'!A:AA,8,false)</f>
        <v>Samantha</v>
      </c>
      <c r="W319" s="32" t="str">
        <f>VLOOKUP(A319, 'Session Data'!A:AA,9,false)</f>
        <v>Madonia</v>
      </c>
      <c r="X319" s="33" t="str">
        <f>VLOOKUP(A319, 'Session Data'!A:AA,12,false)</f>
        <v>Understanding Changes in Temperature and Heat Index in Imperial Valley, CA</v>
      </c>
      <c r="Y319" s="34" t="str">
        <f>VLOOKUP(A319, 'Session Data'!A:AA,22,false)</f>
        <v>Trent</v>
      </c>
      <c r="Z319" s="34" t="str">
        <f>VLOOKUP(A319, 'Session Data'!A:AA,23,false)</f>
        <v>Biggs</v>
      </c>
      <c r="AA319" s="34" t="str">
        <f>VLOOKUP(A319, 'Session Data'!A:AA,25,false)</f>
        <v>Arts and Letters</v>
      </c>
      <c r="AB319" s="34" t="str">
        <f>VLOOKUP(A319, 'Session Data'!A:AA,24,false)</f>
        <v>tbiggs@sdsu.edu</v>
      </c>
      <c r="AC319" s="34" t="str">
        <f>VLOOKUP(A319, 'Session Data'!A:AA,16,false)</f>
        <v/>
      </c>
      <c r="AD319" s="35" t="str">
        <f>VLOOKUP(A319, 'Session Data'!A:U,17,false)</f>
        <v/>
      </c>
      <c r="AE319" s="35" t="str">
        <f>VLOOKUP(A319, 'Session Data'!A:U,18,false)</f>
        <v/>
      </c>
      <c r="AF319" s="35" t="str">
        <f>VLOOKUP(A319, 'Session Data'!A:U,19,false)</f>
        <v/>
      </c>
      <c r="AG319" s="35" t="str">
        <f>VLOOKUP(A319, 'Session Data'!A:U,20,false)</f>
        <v/>
      </c>
      <c r="AH319" s="35" t="str">
        <f>VLOOKUP(A319, 'Session Data'!A:U,21,false)</f>
        <v/>
      </c>
      <c r="AI319" s="37"/>
      <c r="AJ319" s="37"/>
      <c r="AK319" s="37"/>
      <c r="AL319" s="50"/>
      <c r="AM319" s="34" t="str">
        <f>VLOOKUP(A319, 'Session Data'!A:AA,10,false)</f>
        <v>smadonia5517@sdsu.edu</v>
      </c>
      <c r="AN319" s="40"/>
      <c r="AO319" s="38"/>
      <c r="AP319" s="38"/>
      <c r="AQ319" s="38"/>
      <c r="AR319" s="38"/>
      <c r="AS319" s="38"/>
      <c r="AT319" s="38"/>
      <c r="AU319" s="38"/>
      <c r="AV319" s="38"/>
      <c r="AW319" s="38"/>
      <c r="AX319" s="38"/>
      <c r="AY319" s="43"/>
      <c r="AZ319" s="43"/>
      <c r="BA319" s="48"/>
      <c r="BB319" s="48"/>
      <c r="BC319" s="43"/>
      <c r="BD319" s="43"/>
      <c r="BE319" s="44"/>
      <c r="BF319" s="45"/>
      <c r="BG319" s="46"/>
    </row>
    <row r="320">
      <c r="A320" s="19" t="s">
        <v>390</v>
      </c>
      <c r="B320" s="20">
        <f>VLOOKUP(F320,'Session Count DO NOT EDIT'!$A:$C,3,FALSE)</f>
        <v>3</v>
      </c>
      <c r="C320" s="20">
        <f>COUNTIFS('Scores Import DO NOT EDIT'!D:D,A320)</f>
        <v>2</v>
      </c>
      <c r="D320" s="21">
        <f t="shared" si="1"/>
        <v>0.6666666667</v>
      </c>
      <c r="E320" s="22">
        <f>AVERAGEIFS('Scores Import DO NOT EDIT'!L:L,'Scores Import DO NOT EDIT'!D:D,A320)</f>
        <v>28.5</v>
      </c>
      <c r="F320" s="23" t="str">
        <f>VLOOKUP(A320, 'Session Data'!A:M,3,false)</f>
        <v>G-3</v>
      </c>
      <c r="G320" s="24" t="str">
        <f>VLOOKUP(A320, 'Session Data'!A:I,2,false)</f>
        <v>11:00 AM</v>
      </c>
      <c r="H320" s="23" t="str">
        <f>VLOOKUP(A320, 'Session Data'!A:J,5,false)</f>
        <v>Biological and Agricultural Sciences</v>
      </c>
      <c r="I320" s="25" t="str">
        <f>VLOOKUP(A320, 'Session Data'!A:H,4,false)</f>
        <v>Poster</v>
      </c>
      <c r="J320" s="26" t="str">
        <f>VLOOKUP(A320, 'Session Data'!A:AA,14,false)</f>
        <v>Undergraduate</v>
      </c>
      <c r="K320" s="27" t="str">
        <f>VLOOKUP(A320, 'Session Data'!A:AA,15,false)</f>
        <v>Sciences</v>
      </c>
      <c r="L320" s="47"/>
      <c r="M320" s="29" t="str">
        <f>VLOOKUP(A320, 'Session Data'!A:K,11,false)</f>
        <v>Bachelor of Science in Biology with Emphasis in Cellular and Molecular Biology</v>
      </c>
      <c r="N320" s="26" t="str">
        <f>IF(ISNA(VLOOKUP(A320, 'Award Abstract#'!C:C, 1, FALSE)), "No", "Yes")
</f>
        <v>No</v>
      </c>
      <c r="O320" s="29" t="str">
        <f>IF(ISNA(VLOOKUP(A320,'Award Abstract#'!B:B,1,FALSE)), "No", "Yes")</f>
        <v>No</v>
      </c>
      <c r="P320" s="29" t="str">
        <f>IF(ISNA(VLOOKUP(A320,'Award Abstract#'!E:E,1,FALSE)), "No", "Yes")</f>
        <v>No</v>
      </c>
      <c r="Q320" s="29" t="str">
        <f>IF(ISNA(VLOOKUP(A320,'Award Abstract#'!A:A,1,FALSE)), "No", "Yes")</f>
        <v>No</v>
      </c>
      <c r="R320" s="29" t="str">
        <f>IF(ISNA(VLOOKUP(A320,'Award Abstract#'!D:D,1,FALSE)), "No", "Yes")</f>
        <v>No</v>
      </c>
      <c r="S320" s="30" t="str">
        <f>VLOOKUP(A320, 'Session Data'!A:AA,27,false)</f>
        <v>Man</v>
      </c>
      <c r="T320" s="30"/>
      <c r="U320" s="30"/>
      <c r="V320" s="31" t="str">
        <f>VLOOKUP(A320, 'Session Data'!A:AA,8,false)</f>
        <v>Tristan</v>
      </c>
      <c r="W320" s="32" t="str">
        <f>VLOOKUP(A320, 'Session Data'!A:AA,9,false)</f>
        <v>McDonnell</v>
      </c>
      <c r="X320" s="33" t="str">
        <f>VLOOKUP(A320, 'Session Data'!A:AA,12,false)</f>
        <v>Behind the Basket: Investigating the Nuclear Pore Complex Localization Domain of Megator in Drosophila</v>
      </c>
      <c r="Y320" s="34" t="str">
        <f>VLOOKUP(A320, 'Session Data'!A:AA,22,false)</f>
        <v>Maya</v>
      </c>
      <c r="Z320" s="34" t="str">
        <f>VLOOKUP(A320, 'Session Data'!A:AA,23,false)</f>
        <v>Capelson</v>
      </c>
      <c r="AA320" s="34" t="str">
        <f>VLOOKUP(A320, 'Session Data'!A:AA,25,false)</f>
        <v>Sciences</v>
      </c>
      <c r="AB320" s="34" t="str">
        <f>VLOOKUP(A320, 'Session Data'!A:AA,24,false)</f>
        <v>mcapelson@sdsu.edu</v>
      </c>
      <c r="AC320" s="34" t="str">
        <f>VLOOKUP(A320, 'Session Data'!A:AA,16,false)</f>
        <v/>
      </c>
      <c r="AD320" s="35" t="str">
        <f>VLOOKUP(A320, 'Session Data'!A:U,17,false)</f>
        <v/>
      </c>
      <c r="AE320" s="35" t="str">
        <f>VLOOKUP(A320, 'Session Data'!A:U,18,false)</f>
        <v/>
      </c>
      <c r="AF320" s="35" t="str">
        <f>VLOOKUP(A320, 'Session Data'!A:U,19,false)</f>
        <v/>
      </c>
      <c r="AG320" s="35" t="str">
        <f>VLOOKUP(A320, 'Session Data'!A:U,20,false)</f>
        <v/>
      </c>
      <c r="AH320" s="35" t="str">
        <f>VLOOKUP(A320, 'Session Data'!A:U,21,false)</f>
        <v/>
      </c>
      <c r="AI320" s="37"/>
      <c r="AJ320" s="37"/>
      <c r="AK320" s="37"/>
      <c r="AL320" s="50"/>
      <c r="AM320" s="34" t="str">
        <f>VLOOKUP(A320, 'Session Data'!A:AA,10,false)</f>
        <v>tmcdonnell9238@sdsu.edu</v>
      </c>
      <c r="AN320" s="40"/>
      <c r="AO320" s="38"/>
      <c r="AP320" s="38"/>
      <c r="AQ320" s="38"/>
      <c r="AR320" s="38"/>
      <c r="AS320" s="38"/>
      <c r="AT320" s="38"/>
      <c r="AU320" s="38"/>
      <c r="AV320" s="38"/>
      <c r="AW320" s="38"/>
      <c r="AX320" s="38"/>
      <c r="AY320" s="43"/>
      <c r="AZ320" s="43"/>
      <c r="BA320" s="43"/>
      <c r="BB320" s="43"/>
      <c r="BC320" s="43"/>
      <c r="BD320" s="43"/>
      <c r="BE320" s="44"/>
      <c r="BF320" s="45"/>
      <c r="BG320" s="43"/>
    </row>
    <row r="321">
      <c r="A321" s="19" t="s">
        <v>391</v>
      </c>
      <c r="B321" s="20">
        <f>VLOOKUP(F321,'Session Count DO NOT EDIT'!$A:$C,3,FALSE)</f>
        <v>3</v>
      </c>
      <c r="C321" s="20">
        <f>COUNTIFS('Scores Import DO NOT EDIT'!D:D,A321)</f>
        <v>2</v>
      </c>
      <c r="D321" s="21">
        <f t="shared" si="1"/>
        <v>0.6666666667</v>
      </c>
      <c r="E321" s="22">
        <f>AVERAGEIFS('Scores Import DO NOT EDIT'!L:L,'Scores Import DO NOT EDIT'!D:D,A321)</f>
        <v>28</v>
      </c>
      <c r="F321" s="23" t="str">
        <f>VLOOKUP(A321, 'Session Data'!A:M,3,false)</f>
        <v>G-3</v>
      </c>
      <c r="G321" s="24" t="str">
        <f>VLOOKUP(A321, 'Session Data'!A:I,2,false)</f>
        <v>11:00 AM</v>
      </c>
      <c r="H321" s="23" t="str">
        <f>VLOOKUP(A321, 'Session Data'!A:J,5,false)</f>
        <v>Biological and Agricultural Sciences</v>
      </c>
      <c r="I321" s="25" t="str">
        <f>VLOOKUP(A321, 'Session Data'!A:H,4,false)</f>
        <v>Poster</v>
      </c>
      <c r="J321" s="26" t="str">
        <f>VLOOKUP(A321, 'Session Data'!A:AA,14,false)</f>
        <v>Undergraduate</v>
      </c>
      <c r="K321" s="27" t="str">
        <f>VLOOKUP(A321, 'Session Data'!A:AA,15,false)</f>
        <v>Sciences</v>
      </c>
      <c r="L321" s="47"/>
      <c r="M321" s="29" t="str">
        <f>VLOOKUP(A321, 'Session Data'!A:K,11,false)</f>
        <v>Bachelor of Science in Cell and Molecular Biology</v>
      </c>
      <c r="N321" s="26" t="str">
        <f>IF(ISNA(VLOOKUP(A321, 'Award Abstract#'!C:C, 1, FALSE)), "No", "Yes")
</f>
        <v>No</v>
      </c>
      <c r="O321" s="29" t="str">
        <f>IF(ISNA(VLOOKUP(A321,'Award Abstract#'!B:B,1,FALSE)), "No", "Yes")</f>
        <v>No</v>
      </c>
      <c r="P321" s="29" t="str">
        <f>IF(ISNA(VLOOKUP(A321,'Award Abstract#'!E:E,1,FALSE)), "No", "Yes")</f>
        <v>No</v>
      </c>
      <c r="Q321" s="29" t="str">
        <f>IF(ISNA(VLOOKUP(A321,'Award Abstract#'!A:A,1,FALSE)), "No", "Yes")</f>
        <v>No</v>
      </c>
      <c r="R321" s="29" t="str">
        <f>IF(ISNA(VLOOKUP(A321,'Award Abstract#'!D:D,1,FALSE)), "No", "Yes")</f>
        <v>No</v>
      </c>
      <c r="S321" s="30" t="str">
        <f>VLOOKUP(A321, 'Session Data'!A:AA,27,false)</f>
        <v>Man</v>
      </c>
      <c r="T321" s="30"/>
      <c r="U321" s="30"/>
      <c r="V321" s="31" t="str">
        <f>VLOOKUP(A321, 'Session Data'!A:AA,8,false)</f>
        <v>Alpher</v>
      </c>
      <c r="W321" s="32" t="str">
        <f>VLOOKUP(A321, 'Session Data'!A:AA,9,false)</f>
        <v>Alpher Aspiras</v>
      </c>
      <c r="X321" s="33" t="str">
        <f>VLOOKUP(A321, 'Session Data'!A:AA,12,false)</f>
        <v>A Gene Regulator (MacR) Controlling the Production of Molecular Syringes and their Application for Biotechnology</v>
      </c>
      <c r="Y321" s="34" t="str">
        <f>VLOOKUP(A321, 'Session Data'!A:AA,22,false)</f>
        <v>Nicholas</v>
      </c>
      <c r="Z321" s="34" t="str">
        <f>VLOOKUP(A321, 'Session Data'!A:AA,23,false)</f>
        <v>Shikuma</v>
      </c>
      <c r="AA321" s="34" t="str">
        <f>VLOOKUP(A321, 'Session Data'!A:AA,25,false)</f>
        <v>Sciences</v>
      </c>
      <c r="AB321" s="34" t="str">
        <f>VLOOKUP(A321, 'Session Data'!A:AA,24,false)</f>
        <v>nshikuma@sdsu.edu</v>
      </c>
      <c r="AC321" s="34" t="str">
        <f>VLOOKUP(A321, 'Session Data'!A:AA,16,false)</f>
        <v/>
      </c>
      <c r="AD321" s="35" t="str">
        <f>VLOOKUP(A321, 'Session Data'!A:U,17,false)</f>
        <v/>
      </c>
      <c r="AE321" s="35" t="str">
        <f>VLOOKUP(A321, 'Session Data'!A:U,18,false)</f>
        <v/>
      </c>
      <c r="AF321" s="35" t="str">
        <f>VLOOKUP(A321, 'Session Data'!A:U,19,false)</f>
        <v/>
      </c>
      <c r="AG321" s="35" t="str">
        <f>VLOOKUP(A321, 'Session Data'!A:U,20,false)</f>
        <v/>
      </c>
      <c r="AH321" s="35" t="str">
        <f>VLOOKUP(A321, 'Session Data'!A:U,21,false)</f>
        <v/>
      </c>
      <c r="AI321" s="37"/>
      <c r="AJ321" s="37"/>
      <c r="AK321" s="37"/>
      <c r="AL321" s="50"/>
      <c r="AM321" s="34" t="str">
        <f>VLOOKUP(A321, 'Session Data'!A:AA,10,false)</f>
        <v>aaspiras1712@sdsu.edu</v>
      </c>
      <c r="AN321" s="40"/>
      <c r="AO321" s="38"/>
      <c r="AP321" s="38"/>
      <c r="AQ321" s="38"/>
      <c r="AR321" s="38"/>
      <c r="AS321" s="38"/>
      <c r="AT321" s="38"/>
      <c r="AU321" s="38"/>
      <c r="AV321" s="38"/>
      <c r="AW321" s="38"/>
      <c r="AX321" s="38"/>
      <c r="AY321" s="43"/>
      <c r="AZ321" s="43"/>
      <c r="BA321" s="43"/>
      <c r="BB321" s="43"/>
      <c r="BC321" s="43"/>
      <c r="BD321" s="43"/>
      <c r="BE321" s="44"/>
      <c r="BF321" s="45"/>
      <c r="BG321" s="46"/>
    </row>
    <row r="322">
      <c r="A322" s="19" t="s">
        <v>392</v>
      </c>
      <c r="B322" s="20">
        <f>VLOOKUP(F322,'Session Count DO NOT EDIT'!$A:$C,3,FALSE)</f>
        <v>3</v>
      </c>
      <c r="C322" s="20">
        <f>COUNTIFS('Scores Import DO NOT EDIT'!D:D,A322)</f>
        <v>2</v>
      </c>
      <c r="D322" s="21">
        <f t="shared" si="1"/>
        <v>0.6666666667</v>
      </c>
      <c r="E322" s="22">
        <f>AVERAGEIFS('Scores Import DO NOT EDIT'!L:L,'Scores Import DO NOT EDIT'!D:D,A322)</f>
        <v>28</v>
      </c>
      <c r="F322" s="23" t="str">
        <f>VLOOKUP(A322, 'Session Data'!A:M,3,false)</f>
        <v>G-3</v>
      </c>
      <c r="G322" s="24" t="str">
        <f>VLOOKUP(A322, 'Session Data'!A:I,2,false)</f>
        <v>11:00 AM</v>
      </c>
      <c r="H322" s="23" t="str">
        <f>VLOOKUP(A322, 'Session Data'!A:J,5,false)</f>
        <v>Biological and Agricultural Sciences</v>
      </c>
      <c r="I322" s="25" t="str">
        <f>VLOOKUP(A322, 'Session Data'!A:H,4,false)</f>
        <v>Poster</v>
      </c>
      <c r="J322" s="26" t="str">
        <f>VLOOKUP(A322, 'Session Data'!A:AA,14,false)</f>
        <v>Undergraduate</v>
      </c>
      <c r="K322" s="27" t="str">
        <f>VLOOKUP(A322, 'Session Data'!A:AA,15,false)</f>
        <v>Sciences</v>
      </c>
      <c r="L322" s="28"/>
      <c r="M322" s="29" t="str">
        <f>VLOOKUP(A322, 'Session Data'!A:K,11,false)</f>
        <v>Bachelor of Science in Microbiology</v>
      </c>
      <c r="N322" s="26" t="str">
        <f>IF(ISNA(VLOOKUP(A322, 'Award Abstract#'!C:C, 1, FALSE)), "No", "Yes")
</f>
        <v>No</v>
      </c>
      <c r="O322" s="29" t="str">
        <f>IF(ISNA(VLOOKUP(A322,'Award Abstract#'!B:B,1,FALSE)), "No", "Yes")</f>
        <v>No</v>
      </c>
      <c r="P322" s="29" t="str">
        <f>IF(ISNA(VLOOKUP(A322,'Award Abstract#'!E:E,1,FALSE)), "No", "Yes")</f>
        <v>No</v>
      </c>
      <c r="Q322" s="29" t="str">
        <f>IF(ISNA(VLOOKUP(A322,'Award Abstract#'!A:A,1,FALSE)), "No", "Yes")</f>
        <v>No</v>
      </c>
      <c r="R322" s="29" t="str">
        <f>IF(ISNA(VLOOKUP(A322,'Award Abstract#'!D:D,1,FALSE)), "No", "Yes")</f>
        <v>No</v>
      </c>
      <c r="S322" s="30" t="str">
        <f>VLOOKUP(A322, 'Session Data'!A:AA,27,false)</f>
        <v>Man</v>
      </c>
      <c r="T322" s="30"/>
      <c r="U322" s="30"/>
      <c r="V322" s="31" t="str">
        <f>VLOOKUP(A322, 'Session Data'!A:AA,8,false)</f>
        <v>Robert</v>
      </c>
      <c r="W322" s="32" t="str">
        <f>VLOOKUP(A322, 'Session Data'!A:AA,9,false)</f>
        <v>Squier</v>
      </c>
      <c r="X322" s="33" t="str">
        <f>VLOOKUP(A322, 'Session Data'!A:AA,12,false)</f>
        <v>The Impact of Diet on Traumatic Brain Injury Responses of Adult Fruit Flies </v>
      </c>
      <c r="Y322" s="34" t="str">
        <f>VLOOKUP(A322, 'Session Data'!A:AA,22,false)</f>
        <v>Kim</v>
      </c>
      <c r="Z322" s="34" t="str">
        <f>VLOOKUP(A322, 'Session Data'!A:AA,23,false)</f>
        <v>Finley</v>
      </c>
      <c r="AA322" s="34" t="str">
        <f>VLOOKUP(A322, 'Session Data'!A:AA,25,false)</f>
        <v>Sciences</v>
      </c>
      <c r="AB322" s="34" t="str">
        <f>VLOOKUP(A322, 'Session Data'!A:AA,24,false)</f>
        <v>kfinley@sdsu.edu</v>
      </c>
      <c r="AC322" s="34" t="str">
        <f>VLOOKUP(A322, 'Session Data'!A:AA,16,false)</f>
        <v>Elizabeth</v>
      </c>
      <c r="AD322" s="35" t="str">
        <f>VLOOKUP(A322, 'Session Data'!A:U,17,false)</f>
        <v>Chai</v>
      </c>
      <c r="AE322" s="35" t="str">
        <f>VLOOKUP(A322, 'Session Data'!A:U,18,false)</f>
        <v/>
      </c>
      <c r="AF322" s="35" t="str">
        <f>VLOOKUP(A322, 'Session Data'!A:U,19,false)</f>
        <v/>
      </c>
      <c r="AG322" s="35" t="str">
        <f>VLOOKUP(A322, 'Session Data'!A:U,20,false)</f>
        <v/>
      </c>
      <c r="AH322" s="35" t="str">
        <f>VLOOKUP(A322, 'Session Data'!A:U,21,false)</f>
        <v/>
      </c>
      <c r="AI322" s="37"/>
      <c r="AJ322" s="37"/>
      <c r="AK322" s="37"/>
      <c r="AL322" s="50"/>
      <c r="AM322" s="34" t="str">
        <f>VLOOKUP(A322, 'Session Data'!A:AA,10,false)</f>
        <v>rsquier0351@sdsu.edu</v>
      </c>
      <c r="AN322" s="40"/>
      <c r="AO322" s="38"/>
      <c r="AP322" s="51"/>
      <c r="AQ322" s="38"/>
      <c r="AR322" s="38"/>
      <c r="AS322" s="38"/>
      <c r="AT322" s="38"/>
      <c r="AU322" s="38"/>
      <c r="AV322" s="38"/>
      <c r="AW322" s="38"/>
      <c r="AX322" s="38"/>
      <c r="AY322" s="43"/>
      <c r="AZ322" s="43"/>
      <c r="BA322" s="43"/>
      <c r="BB322" s="43"/>
      <c r="BC322" s="43"/>
      <c r="BD322" s="43"/>
      <c r="BE322" s="44"/>
      <c r="BF322" s="45"/>
      <c r="BG322" s="43"/>
    </row>
    <row r="323">
      <c r="A323" s="19" t="s">
        <v>393</v>
      </c>
      <c r="B323" s="20">
        <f>VLOOKUP(F323,'Session Count DO NOT EDIT'!$A:$C,3,FALSE)</f>
        <v>3</v>
      </c>
      <c r="C323" s="20">
        <f>COUNTIFS('Scores Import DO NOT EDIT'!D:D,A323)</f>
        <v>2</v>
      </c>
      <c r="D323" s="21">
        <f t="shared" si="1"/>
        <v>0.6666666667</v>
      </c>
      <c r="E323" s="22">
        <f>AVERAGEIFS('Scores Import DO NOT EDIT'!L:L,'Scores Import DO NOT EDIT'!D:D,A323)</f>
        <v>27.5</v>
      </c>
      <c r="F323" s="23" t="str">
        <f>VLOOKUP(A323, 'Session Data'!A:M,3,false)</f>
        <v>G-3</v>
      </c>
      <c r="G323" s="24" t="str">
        <f>VLOOKUP(A323, 'Session Data'!A:I,2,false)</f>
        <v>11:00 AM</v>
      </c>
      <c r="H323" s="23" t="str">
        <f>VLOOKUP(A323, 'Session Data'!A:J,5,false)</f>
        <v>Biological and Agricultural Sciences</v>
      </c>
      <c r="I323" s="25" t="str">
        <f>VLOOKUP(A323, 'Session Data'!A:H,4,false)</f>
        <v>Poster</v>
      </c>
      <c r="J323" s="26" t="str">
        <f>VLOOKUP(A323, 'Session Data'!A:AA,14,false)</f>
        <v>Undergraduate</v>
      </c>
      <c r="K323" s="27" t="str">
        <f>VLOOKUP(A323, 'Session Data'!A:AA,15,false)</f>
        <v>Sciences</v>
      </c>
      <c r="L323" s="28"/>
      <c r="M323" s="29" t="str">
        <f>VLOOKUP(A323, 'Session Data'!A:K,11,false)</f>
        <v>Biology with an emphasis in marine biology</v>
      </c>
      <c r="N323" s="26" t="str">
        <f>IF(ISNA(VLOOKUP(A323, 'Award Abstract#'!C:C, 1, FALSE)), "No", "Yes")
</f>
        <v>No</v>
      </c>
      <c r="O323" s="29" t="str">
        <f>IF(ISNA(VLOOKUP(A323,'Award Abstract#'!B:B,1,FALSE)), "No", "Yes")</f>
        <v>No</v>
      </c>
      <c r="P323" s="29" t="str">
        <f>IF(ISNA(VLOOKUP(A323,'Award Abstract#'!E:E,1,FALSE)), "No", "Yes")</f>
        <v>No</v>
      </c>
      <c r="Q323" s="29" t="str">
        <f>IF(ISNA(VLOOKUP(A323,'Award Abstract#'!A:A,1,FALSE)), "No", "Yes")</f>
        <v>No</v>
      </c>
      <c r="R323" s="29" t="str">
        <f>IF(ISNA(VLOOKUP(A323,'Award Abstract#'!D:D,1,FALSE)), "No", "Yes")</f>
        <v>No</v>
      </c>
      <c r="S323" s="30" t="str">
        <f>VLOOKUP(A323, 'Session Data'!A:AA,27,false)</f>
        <v>Man, Transgender</v>
      </c>
      <c r="T323" s="30"/>
      <c r="U323" s="30"/>
      <c r="V323" s="31" t="str">
        <f>VLOOKUP(A323, 'Session Data'!A:AA,8,false)</f>
        <v>Miles</v>
      </c>
      <c r="W323" s="32" t="str">
        <f>VLOOKUP(A323, 'Session Data'!A:AA,9,false)</f>
        <v>Ghannadian</v>
      </c>
      <c r="X323" s="33" t="str">
        <f>VLOOKUP(A323, 'Session Data'!A:AA,12,false)</f>
        <v>Mytilus Galloprovincialis heart rate and valve-gaping behavior in response to acute salinity stress</v>
      </c>
      <c r="Y323" s="34" t="str">
        <f>VLOOKUP(A323, 'Session Data'!A:AA,22,false)</f>
        <v>Luke</v>
      </c>
      <c r="Z323" s="34" t="str">
        <f>VLOOKUP(A323, 'Session Data'!A:AA,23,false)</f>
        <v>Miller</v>
      </c>
      <c r="AA323" s="34" t="str">
        <f>VLOOKUP(A323, 'Session Data'!A:AA,25,false)</f>
        <v>Sciences</v>
      </c>
      <c r="AB323" s="34" t="str">
        <f>VLOOKUP(A323, 'Session Data'!A:AA,24,false)</f>
        <v>luke.miller@sdsu.edu</v>
      </c>
      <c r="AC323" s="34" t="str">
        <f>VLOOKUP(A323, 'Session Data'!A:AA,16,false)</f>
        <v/>
      </c>
      <c r="AD323" s="35" t="str">
        <f>VLOOKUP(A323, 'Session Data'!A:U,17,false)</f>
        <v/>
      </c>
      <c r="AE323" s="35" t="str">
        <f>VLOOKUP(A323, 'Session Data'!A:U,18,false)</f>
        <v/>
      </c>
      <c r="AF323" s="35" t="str">
        <f>VLOOKUP(A323, 'Session Data'!A:U,19,false)</f>
        <v/>
      </c>
      <c r="AG323" s="35" t="str">
        <f>VLOOKUP(A323, 'Session Data'!A:U,20,false)</f>
        <v/>
      </c>
      <c r="AH323" s="35" t="str">
        <f>VLOOKUP(A323, 'Session Data'!A:U,21,false)</f>
        <v/>
      </c>
      <c r="AI323" s="37"/>
      <c r="AJ323" s="37"/>
      <c r="AK323" s="37"/>
      <c r="AL323" s="50"/>
      <c r="AM323" s="34" t="str">
        <f>VLOOKUP(A323, 'Session Data'!A:AA,10,false)</f>
        <v>sghannadian4764@sdsu.edu</v>
      </c>
      <c r="AN323" s="40"/>
      <c r="AO323" s="38"/>
      <c r="AP323" s="38"/>
      <c r="AQ323" s="38"/>
      <c r="AR323" s="38"/>
      <c r="AS323" s="38"/>
      <c r="AT323" s="38"/>
      <c r="AU323" s="38"/>
      <c r="AV323" s="38"/>
      <c r="AW323" s="38"/>
      <c r="AX323" s="38"/>
      <c r="AY323" s="43"/>
      <c r="AZ323" s="43"/>
      <c r="BA323" s="43"/>
      <c r="BB323" s="43"/>
      <c r="BC323" s="43"/>
      <c r="BD323" s="43"/>
      <c r="BE323" s="44"/>
      <c r="BF323" s="45"/>
      <c r="BG323" s="43"/>
    </row>
    <row r="324">
      <c r="A324" s="19" t="s">
        <v>394</v>
      </c>
      <c r="B324" s="20">
        <f>VLOOKUP(F324,'Session Count DO NOT EDIT'!$A:$C,3,FALSE)</f>
        <v>3</v>
      </c>
      <c r="C324" s="20">
        <f>COUNTIFS('Scores Import DO NOT EDIT'!D:D,A324)</f>
        <v>2</v>
      </c>
      <c r="D324" s="21">
        <f t="shared" si="1"/>
        <v>0.6666666667</v>
      </c>
      <c r="E324" s="22">
        <f>AVERAGEIFS('Scores Import DO NOT EDIT'!L:L,'Scores Import DO NOT EDIT'!D:D,A324)</f>
        <v>27</v>
      </c>
      <c r="F324" s="23" t="str">
        <f>VLOOKUP(A324, 'Session Data'!A:M,3,false)</f>
        <v>G-3</v>
      </c>
      <c r="G324" s="24" t="str">
        <f>VLOOKUP(A324, 'Session Data'!A:I,2,false)</f>
        <v>11:00 AM</v>
      </c>
      <c r="H324" s="23" t="str">
        <f>VLOOKUP(A324, 'Session Data'!A:J,5,false)</f>
        <v>Biological and Agricultural Sciences</v>
      </c>
      <c r="I324" s="25" t="str">
        <f>VLOOKUP(A324, 'Session Data'!A:H,4,false)</f>
        <v>Poster</v>
      </c>
      <c r="J324" s="26" t="str">
        <f>VLOOKUP(A324, 'Session Data'!A:AA,14,false)</f>
        <v>Undergraduate</v>
      </c>
      <c r="K324" s="27" t="str">
        <f>VLOOKUP(A324, 'Session Data'!A:AA,15,false)</f>
        <v>Sciences</v>
      </c>
      <c r="L324" s="28"/>
      <c r="M324" s="29" t="str">
        <f>VLOOKUP(A324, 'Session Data'!A:K,11,false)</f>
        <v>Microbiology</v>
      </c>
      <c r="N324" s="26" t="str">
        <f>IF(ISNA(VLOOKUP(A324, 'Award Abstract#'!C:C, 1, FALSE)), "No", "Yes")
</f>
        <v>No</v>
      </c>
      <c r="O324" s="29" t="str">
        <f>IF(ISNA(VLOOKUP(A324,'Award Abstract#'!B:B,1,FALSE)), "No", "Yes")</f>
        <v>No</v>
      </c>
      <c r="P324" s="29" t="str">
        <f>IF(ISNA(VLOOKUP(A324,'Award Abstract#'!E:E,1,FALSE)), "No", "Yes")</f>
        <v>Yes</v>
      </c>
      <c r="Q324" s="29" t="str">
        <f>IF(ISNA(VLOOKUP(A324,'Award Abstract#'!A:A,1,FALSE)), "No", "Yes")</f>
        <v>No</v>
      </c>
      <c r="R324" s="29" t="str">
        <f>IF(ISNA(VLOOKUP(A324,'Award Abstract#'!D:D,1,FALSE)), "No", "Yes")</f>
        <v>Yes</v>
      </c>
      <c r="S324" s="30" t="str">
        <f>VLOOKUP(A324, 'Session Data'!A:AA,27,false)</f>
        <v>Woman</v>
      </c>
      <c r="T324" s="30"/>
      <c r="U324" s="30"/>
      <c r="V324" s="31" t="str">
        <f>VLOOKUP(A324, 'Session Data'!A:AA,8,false)</f>
        <v>Aaliyah</v>
      </c>
      <c r="W324" s="32" t="str">
        <f>VLOOKUP(A324, 'Session Data'!A:AA,9,false)</f>
        <v>Ringor</v>
      </c>
      <c r="X324" s="33" t="str">
        <f>VLOOKUP(A324, 'Session Data'!A:AA,12,false)</f>
        <v>Understanding the role of conjugative plasmids in commensal-like bacterial adherence to the intestinal epithelium of C. elegans</v>
      </c>
      <c r="Y324" s="34" t="str">
        <f>VLOOKUP(A324, 'Session Data'!A:AA,22,false)</f>
        <v>Robert</v>
      </c>
      <c r="Z324" s="34" t="str">
        <f>VLOOKUP(A324, 'Session Data'!A:AA,23,false)</f>
        <v>Luallen</v>
      </c>
      <c r="AA324" s="34" t="str">
        <f>VLOOKUP(A324, 'Session Data'!A:AA,25,false)</f>
        <v>Sciences</v>
      </c>
      <c r="AB324" s="34" t="str">
        <f>VLOOKUP(A324, 'Session Data'!A:AA,24,false)</f>
        <v>rluallen@sdsu.edu</v>
      </c>
      <c r="AC324" s="34" t="str">
        <f>VLOOKUP(A324, 'Session Data'!A:AA,16,false)</f>
        <v/>
      </c>
      <c r="AD324" s="35" t="str">
        <f>VLOOKUP(A324, 'Session Data'!A:U,17,false)</f>
        <v/>
      </c>
      <c r="AE324" s="35" t="str">
        <f>VLOOKUP(A324, 'Session Data'!A:U,18,false)</f>
        <v/>
      </c>
      <c r="AF324" s="35" t="str">
        <f>VLOOKUP(A324, 'Session Data'!A:U,19,false)</f>
        <v/>
      </c>
      <c r="AG324" s="35" t="str">
        <f>VLOOKUP(A324, 'Session Data'!A:U,20,false)</f>
        <v/>
      </c>
      <c r="AH324" s="35" t="str">
        <f>VLOOKUP(A324, 'Session Data'!A:U,21,false)</f>
        <v/>
      </c>
      <c r="AI324" s="36"/>
      <c r="AJ324" s="38"/>
      <c r="AK324" s="38"/>
      <c r="AL324" s="39"/>
      <c r="AM324" s="34" t="str">
        <f>VLOOKUP(A324, 'Session Data'!A:AA,10,false)</f>
        <v>aringor9018@sdsu.edu</v>
      </c>
      <c r="AN324" s="40"/>
      <c r="AO324" s="38"/>
      <c r="AP324" s="38"/>
      <c r="AQ324" s="38"/>
      <c r="AR324" s="38"/>
      <c r="AS324" s="38"/>
      <c r="AT324" s="38"/>
      <c r="AU324" s="38"/>
      <c r="AV324" s="38"/>
      <c r="AW324" s="38"/>
      <c r="AX324" s="38"/>
      <c r="AY324" s="43"/>
      <c r="AZ324" s="43"/>
      <c r="BA324" s="48"/>
      <c r="BB324" s="48"/>
      <c r="BC324" s="43"/>
      <c r="BD324" s="43"/>
      <c r="BE324" s="44"/>
      <c r="BF324" s="45"/>
      <c r="BG324" s="43"/>
    </row>
    <row r="325">
      <c r="A325" s="19" t="s">
        <v>395</v>
      </c>
      <c r="B325" s="20">
        <f>VLOOKUP(F325,'Session Count DO NOT EDIT'!$A:$C,3,FALSE)</f>
        <v>3</v>
      </c>
      <c r="C325" s="20">
        <f>COUNTIFS('Scores Import DO NOT EDIT'!D:D,A325)</f>
        <v>2</v>
      </c>
      <c r="D325" s="21">
        <f t="shared" si="1"/>
        <v>0.6666666667</v>
      </c>
      <c r="E325" s="22">
        <f>AVERAGEIFS('Scores Import DO NOT EDIT'!L:L,'Scores Import DO NOT EDIT'!D:D,A325)</f>
        <v>25.5</v>
      </c>
      <c r="F325" s="23" t="str">
        <f>VLOOKUP(A325, 'Session Data'!A:M,3,false)</f>
        <v>G-3</v>
      </c>
      <c r="G325" s="24" t="str">
        <f>VLOOKUP(A325, 'Session Data'!A:I,2,false)</f>
        <v>11:00 AM</v>
      </c>
      <c r="H325" s="23" t="str">
        <f>VLOOKUP(A325, 'Session Data'!A:J,5,false)</f>
        <v>Biological and Agricultural Sciences</v>
      </c>
      <c r="I325" s="25" t="str">
        <f>VLOOKUP(A325, 'Session Data'!A:H,4,false)</f>
        <v>Poster</v>
      </c>
      <c r="J325" s="26" t="str">
        <f>VLOOKUP(A325, 'Session Data'!A:AA,14,false)</f>
        <v>Undergraduate</v>
      </c>
      <c r="K325" s="27" t="str">
        <f>VLOOKUP(A325, 'Session Data'!A:AA,15,false)</f>
        <v>Sciences</v>
      </c>
      <c r="L325" s="28"/>
      <c r="M325" s="29" t="str">
        <f>VLOOKUP(A325, 'Session Data'!A:K,11,false)</f>
        <v>Bachelor of Science</v>
      </c>
      <c r="N325" s="26" t="str">
        <f>IF(ISNA(VLOOKUP(A325, 'Award Abstract#'!C:C, 1, FALSE)), "No", "Yes")
</f>
        <v>No</v>
      </c>
      <c r="O325" s="29" t="str">
        <f>IF(ISNA(VLOOKUP(A325,'Award Abstract#'!B:B,1,FALSE)), "No", "Yes")</f>
        <v>No</v>
      </c>
      <c r="P325" s="29" t="str">
        <f>IF(ISNA(VLOOKUP(A325,'Award Abstract#'!E:E,1,FALSE)), "No", "Yes")</f>
        <v>No</v>
      </c>
      <c r="Q325" s="29" t="str">
        <f>IF(ISNA(VLOOKUP(A325,'Award Abstract#'!A:A,1,FALSE)), "No", "Yes")</f>
        <v>No</v>
      </c>
      <c r="R325" s="29" t="str">
        <f>IF(ISNA(VLOOKUP(A325,'Award Abstract#'!D:D,1,FALSE)), "No", "Yes")</f>
        <v>No</v>
      </c>
      <c r="S325" s="30" t="str">
        <f>VLOOKUP(A325, 'Session Data'!A:AA,27,false)</f>
        <v>Man</v>
      </c>
      <c r="T325" s="30"/>
      <c r="U325" s="30"/>
      <c r="V325" s="31" t="str">
        <f>VLOOKUP(A325, 'Session Data'!A:AA,8,false)</f>
        <v>Branden</v>
      </c>
      <c r="W325" s="32" t="str">
        <f>VLOOKUP(A325, 'Session Data'!A:AA,9,false)</f>
        <v>La Madrid</v>
      </c>
      <c r="X325" s="33" t="str">
        <f>VLOOKUP(A325, 'Session Data'!A:AA,12,false)</f>
        <v>Mutations in targeted Achromobacter xylosoxidans selected in response to phage therapy in the lungs of a cystic fibrosis patient</v>
      </c>
      <c r="Y325" s="34" t="str">
        <f>VLOOKUP(A325, 'Session Data'!A:AA,22,false)</f>
        <v>Anca</v>
      </c>
      <c r="Z325" s="34" t="str">
        <f>VLOOKUP(A325, 'Session Data'!A:AA,23,false)</f>
        <v>Segall</v>
      </c>
      <c r="AA325" s="34" t="str">
        <f>VLOOKUP(A325, 'Session Data'!A:AA,25,false)</f>
        <v>Sciences</v>
      </c>
      <c r="AB325" s="34"/>
      <c r="AC325" s="34" t="str">
        <f>VLOOKUP(A325, 'Session Data'!A:AA,16,false)</f>
        <v/>
      </c>
      <c r="AD325" s="35" t="str">
        <f>VLOOKUP(A325, 'Session Data'!A:U,17,false)</f>
        <v/>
      </c>
      <c r="AE325" s="35" t="str">
        <f>VLOOKUP(A325, 'Session Data'!A:U,18,false)</f>
        <v/>
      </c>
      <c r="AF325" s="35" t="str">
        <f>VLOOKUP(A325, 'Session Data'!A:U,19,false)</f>
        <v/>
      </c>
      <c r="AG325" s="35" t="str">
        <f>VLOOKUP(A325, 'Session Data'!A:U,20,false)</f>
        <v/>
      </c>
      <c r="AH325" s="35" t="str">
        <f>VLOOKUP(A325, 'Session Data'!A:U,21,false)</f>
        <v/>
      </c>
      <c r="AI325" s="37"/>
      <c r="AJ325" s="37"/>
      <c r="AK325" s="37"/>
      <c r="AL325" s="50"/>
      <c r="AM325" s="34" t="str">
        <f>VLOOKUP(A325, 'Session Data'!A:AA,10,false)</f>
        <v>blamadrid4849@sdsu.edu</v>
      </c>
      <c r="AN325" s="40"/>
      <c r="AO325" s="38"/>
      <c r="AP325" s="38"/>
      <c r="AQ325" s="38"/>
      <c r="AR325" s="38"/>
      <c r="AS325" s="38"/>
      <c r="AT325" s="38"/>
      <c r="AU325" s="38"/>
      <c r="AV325" s="38"/>
      <c r="AW325" s="38"/>
      <c r="AX325" s="38"/>
      <c r="AY325" s="43"/>
      <c r="AZ325" s="43"/>
      <c r="BA325" s="43"/>
      <c r="BB325" s="43"/>
      <c r="BC325" s="43"/>
      <c r="BD325" s="43"/>
      <c r="BE325" s="44"/>
      <c r="BF325" s="45"/>
      <c r="BG325" s="43"/>
    </row>
    <row r="326">
      <c r="A326" s="19" t="s">
        <v>396</v>
      </c>
      <c r="B326" s="20">
        <f>VLOOKUP(F326,'Session Count DO NOT EDIT'!$A:$C,3,FALSE)</f>
        <v>5</v>
      </c>
      <c r="C326" s="20">
        <f>COUNTIFS('Scores Import DO NOT EDIT'!D:D,A326)</f>
        <v>4</v>
      </c>
      <c r="D326" s="21">
        <f t="shared" si="1"/>
        <v>0.8</v>
      </c>
      <c r="E326" s="22">
        <f>AVERAGEIFS('Scores Import DO NOT EDIT'!L:L,'Scores Import DO NOT EDIT'!D:D,A326)</f>
        <v>27.5</v>
      </c>
      <c r="F326" s="23" t="str">
        <f>VLOOKUP(A326, 'Session Data'!A:M,3,false)</f>
        <v>G-4</v>
      </c>
      <c r="G326" s="24" t="str">
        <f>VLOOKUP(A326, 'Session Data'!A:I,2,false)</f>
        <v>11:00 AM</v>
      </c>
      <c r="H326" s="23" t="str">
        <f>VLOOKUP(A326, 'Session Data'!A:J,5,false)</f>
        <v>Engineering and Computer Science</v>
      </c>
      <c r="I326" s="25" t="str">
        <f>VLOOKUP(A326, 'Session Data'!A:H,4,false)</f>
        <v>Poster</v>
      </c>
      <c r="J326" s="26" t="str">
        <f>VLOOKUP(A326, 'Session Data'!A:AA,14,false)</f>
        <v>Undergraduate</v>
      </c>
      <c r="K326" s="27" t="str">
        <f>VLOOKUP(A326, 'Session Data'!A:AA,15,false)</f>
        <v>Engineering</v>
      </c>
      <c r="L326" s="47"/>
      <c r="M326" s="29" t="str">
        <f>VLOOKUP(A326, 'Session Data'!A:K,11,false)</f>
        <v>Civil Engineering/ Bachelors</v>
      </c>
      <c r="N326" s="26" t="str">
        <f>IF(ISNA(VLOOKUP(A326, 'Award Abstract#'!C:C, 1, FALSE)), "No", "Yes")
</f>
        <v>No</v>
      </c>
      <c r="O326" s="29" t="str">
        <f>IF(ISNA(VLOOKUP(A326,'Award Abstract#'!B:B,1,FALSE)), "No", "Yes")</f>
        <v>Yes</v>
      </c>
      <c r="P326" s="29" t="str">
        <f>IF(ISNA(VLOOKUP(A326,'Award Abstract#'!E:E,1,FALSE)), "No", "Yes")</f>
        <v>Yes</v>
      </c>
      <c r="Q326" s="29" t="str">
        <f>IF(ISNA(VLOOKUP(A326,'Award Abstract#'!A:A,1,FALSE)), "No", "Yes")</f>
        <v>No</v>
      </c>
      <c r="R326" s="29" t="str">
        <f>IF(ISNA(VLOOKUP(A326,'Award Abstract#'!D:D,1,FALSE)), "No", "Yes")</f>
        <v>No</v>
      </c>
      <c r="S326" s="30" t="str">
        <f>VLOOKUP(A326, 'Session Data'!A:AA,27,false)</f>
        <v>Woman</v>
      </c>
      <c r="T326" s="30"/>
      <c r="U326" s="30"/>
      <c r="V326" s="31" t="str">
        <f>VLOOKUP(A326, 'Session Data'!A:AA,8,false)</f>
        <v>Sama</v>
      </c>
      <c r="W326" s="32" t="str">
        <f>VLOOKUP(A326, 'Session Data'!A:AA,9,false)</f>
        <v>Ahmed</v>
      </c>
      <c r="X326" s="33" t="str">
        <f>VLOOKUP(A326, 'Session Data'!A:AA,12,false)</f>
        <v>Study of Thermal, Acoustical and Mechanical Properties of Xanthan Gum and Hemp Building Materials</v>
      </c>
      <c r="Y326" s="34" t="str">
        <f>VLOOKUP(A326, 'Session Data'!A:AA,22,false)</f>
        <v>Marta</v>
      </c>
      <c r="Z326" s="34" t="str">
        <f>VLOOKUP(A326, 'Session Data'!A:AA,23,false)</f>
        <v>Miletic</v>
      </c>
      <c r="AA326" s="34" t="str">
        <f>VLOOKUP(A326, 'Session Data'!A:AA,25,false)</f>
        <v>Engineering</v>
      </c>
      <c r="AB326" s="34" t="str">
        <f>VLOOKUP(A326, 'Session Data'!A:AA,24,false)</f>
        <v>mmiletic@sdsu.edu</v>
      </c>
      <c r="AC326" s="34" t="str">
        <f>VLOOKUP(A326, 'Session Data'!A:AA,16,false)</f>
        <v/>
      </c>
      <c r="AD326" s="35" t="str">
        <f>VLOOKUP(A326, 'Session Data'!A:U,17,false)</f>
        <v/>
      </c>
      <c r="AE326" s="35" t="str">
        <f>VLOOKUP(A326, 'Session Data'!A:U,18,false)</f>
        <v/>
      </c>
      <c r="AF326" s="35" t="str">
        <f>VLOOKUP(A326, 'Session Data'!A:U,19,false)</f>
        <v/>
      </c>
      <c r="AG326" s="35" t="str">
        <f>VLOOKUP(A326, 'Session Data'!A:U,20,false)</f>
        <v/>
      </c>
      <c r="AH326" s="35" t="str">
        <f>VLOOKUP(A326, 'Session Data'!A:U,21,false)</f>
        <v/>
      </c>
      <c r="AI326" s="37"/>
      <c r="AJ326" s="37"/>
      <c r="AK326" s="37"/>
      <c r="AL326" s="50"/>
      <c r="AM326" s="34" t="str">
        <f>VLOOKUP(A326, 'Session Data'!A:AA,10,false)</f>
        <v>sahmed1114@sdsu.edu</v>
      </c>
      <c r="AN326" s="40"/>
      <c r="AO326" s="38"/>
      <c r="AP326" s="38"/>
      <c r="AQ326" s="38"/>
      <c r="AR326" s="38"/>
      <c r="AS326" s="38"/>
      <c r="AT326" s="38"/>
      <c r="AU326" s="38"/>
      <c r="AV326" s="38"/>
      <c r="AW326" s="38"/>
      <c r="AX326" s="38"/>
      <c r="AY326" s="43"/>
      <c r="AZ326" s="43"/>
      <c r="BA326" s="43"/>
      <c r="BB326" s="43"/>
      <c r="BC326" s="43"/>
      <c r="BD326" s="43"/>
      <c r="BE326" s="44"/>
      <c r="BF326" s="45"/>
      <c r="BG326" s="43"/>
    </row>
    <row r="327">
      <c r="A327" s="78" t="s">
        <v>397</v>
      </c>
      <c r="B327" s="20">
        <f>VLOOKUP(F327,'Session Count DO NOT EDIT'!$A:$C,3,FALSE)</f>
        <v>5</v>
      </c>
      <c r="C327" s="20">
        <f>COUNTIFS('Scores Import DO NOT EDIT'!D:D,A327)</f>
        <v>0</v>
      </c>
      <c r="D327" s="21">
        <f t="shared" si="1"/>
        <v>0</v>
      </c>
      <c r="E327" s="22" t="str">
        <f>AVERAGEIFS('Scores Import DO NOT EDIT'!L:L,'Scores Import DO NOT EDIT'!D:D,A327)</f>
        <v>#DIV/0!</v>
      </c>
      <c r="F327" s="23" t="str">
        <f>VLOOKUP(A327, 'Session Data'!A:M,3,false)</f>
        <v>G-4</v>
      </c>
      <c r="G327" s="24" t="str">
        <f>VLOOKUP(A327, 'Session Data'!A:I,2,false)</f>
        <v>11:00 AM</v>
      </c>
      <c r="H327" s="23" t="str">
        <f>VLOOKUP(A327, 'Session Data'!A:J,5,false)</f>
        <v>Engineering and Computer Science</v>
      </c>
      <c r="I327" s="25" t="str">
        <f>VLOOKUP(A327, 'Session Data'!A:H,4,false)</f>
        <v>Poster</v>
      </c>
      <c r="J327" s="26" t="str">
        <f>VLOOKUP(A327, 'Session Data'!A:AA,14,false)</f>
        <v>Undergraduate</v>
      </c>
      <c r="K327" s="27" t="str">
        <f>VLOOKUP(A327, 'Session Data'!A:AA,15,false)</f>
        <v>Engineering</v>
      </c>
      <c r="L327" s="28"/>
      <c r="M327" s="29" t="str">
        <f>VLOOKUP(A327, 'Session Data'!A:K,11,false)</f>
        <v>Bachelor of Science in Mechanical Engineering</v>
      </c>
      <c r="N327" s="26" t="str">
        <f>IF(ISNA(VLOOKUP(A327, 'Award Abstract#'!C:C, 1, FALSE)), "No", "Yes")
</f>
        <v>No</v>
      </c>
      <c r="O327" s="29" t="str">
        <f>IF(ISNA(VLOOKUP(A327,'Award Abstract#'!B:B,1,FALSE)), "No", "Yes")</f>
        <v>No</v>
      </c>
      <c r="P327" s="29" t="str">
        <f>IF(ISNA(VLOOKUP(A327,'Award Abstract#'!E:E,1,FALSE)), "No", "Yes")</f>
        <v>Yes</v>
      </c>
      <c r="Q327" s="29" t="str">
        <f>IF(ISNA(VLOOKUP(A327,'Award Abstract#'!A:A,1,FALSE)), "No", "Yes")</f>
        <v>No</v>
      </c>
      <c r="R327" s="29" t="str">
        <f>IF(ISNA(VLOOKUP(A327,'Award Abstract#'!D:D,1,FALSE)), "No", "Yes")</f>
        <v>Yes</v>
      </c>
      <c r="S327" s="30" t="str">
        <f>VLOOKUP(A327, 'Session Data'!A:AA,27,false)</f>
        <v>Man, Cisgender</v>
      </c>
      <c r="T327" s="30"/>
      <c r="U327" s="30"/>
      <c r="V327" s="31" t="str">
        <f>VLOOKUP(A327, 'Session Data'!A:AA,8,false)</f>
        <v>Luis</v>
      </c>
      <c r="W327" s="32" t="str">
        <f>VLOOKUP(A327, 'Session Data'!A:AA,9,false)</f>
        <v>Laurean</v>
      </c>
      <c r="X327" s="33" t="str">
        <f>VLOOKUP(A327, 'Session Data'!A:AA,12,false)</f>
        <v>Exploring the Utility of Machine Learning Enhanced FEA in the Field of Metal Additive Manufacturing</v>
      </c>
      <c r="Y327" s="34" t="str">
        <f>VLOOKUP(A327, 'Session Data'!A:AA,22,false)</f>
        <v>Sara</v>
      </c>
      <c r="Z327" s="34" t="str">
        <f>VLOOKUP(A327, 'Session Data'!A:AA,23,false)</f>
        <v>Adibi</v>
      </c>
      <c r="AA327" s="34" t="str">
        <f>VLOOKUP(A327, 'Session Data'!A:AA,25,false)</f>
        <v>Engineering</v>
      </c>
      <c r="AB327" s="34" t="str">
        <f>VLOOKUP(A327, 'Session Data'!A:AA,24,false)</f>
        <v>sadibi@sdsu.edu</v>
      </c>
      <c r="AC327" s="34" t="str">
        <f>VLOOKUP(A327, 'Session Data'!A:AA,16,false)</f>
        <v>Karam</v>
      </c>
      <c r="AD327" s="35" t="str">
        <f>VLOOKUP(A327, 'Session Data'!A:U,17,false)</f>
        <v>Alshaikh</v>
      </c>
      <c r="AE327" s="35" t="str">
        <f>VLOOKUP(A327, 'Session Data'!A:U,18,false)</f>
        <v/>
      </c>
      <c r="AF327" s="35" t="str">
        <f>VLOOKUP(A327, 'Session Data'!A:U,19,false)</f>
        <v/>
      </c>
      <c r="AG327" s="35" t="str">
        <f>VLOOKUP(A327, 'Session Data'!A:U,20,false)</f>
        <v/>
      </c>
      <c r="AH327" s="35" t="str">
        <f>VLOOKUP(A327, 'Session Data'!A:U,21,false)</f>
        <v/>
      </c>
      <c r="AI327" s="37"/>
      <c r="AJ327" s="37"/>
      <c r="AK327" s="37"/>
      <c r="AL327" s="50"/>
      <c r="AM327" s="34" t="str">
        <f>VLOOKUP(A327, 'Session Data'!A:AA,10,false)</f>
        <v>llaurean3501@sdsu.edu</v>
      </c>
      <c r="AN327" s="40"/>
      <c r="AO327" s="38"/>
      <c r="AP327" s="38"/>
      <c r="AQ327" s="38"/>
      <c r="AR327" s="38"/>
      <c r="AS327" s="38"/>
      <c r="AT327" s="38"/>
      <c r="AU327" s="38"/>
      <c r="AV327" s="38"/>
      <c r="AW327" s="38"/>
      <c r="AX327" s="38"/>
      <c r="AY327" s="43"/>
      <c r="AZ327" s="43"/>
      <c r="BA327" s="48"/>
      <c r="BB327" s="48"/>
      <c r="BC327" s="43"/>
      <c r="BD327" s="43"/>
      <c r="BE327" s="44"/>
      <c r="BF327" s="45"/>
      <c r="BG327" s="43"/>
    </row>
    <row r="328">
      <c r="A328" s="19" t="s">
        <v>398</v>
      </c>
      <c r="B328" s="20">
        <f>VLOOKUP(F328,'Session Count DO NOT EDIT'!$A:$C,3,FALSE)</f>
        <v>5</v>
      </c>
      <c r="C328" s="20">
        <f>COUNTIFS('Scores Import DO NOT EDIT'!D:D,A328)</f>
        <v>0</v>
      </c>
      <c r="D328" s="21">
        <f t="shared" si="1"/>
        <v>0</v>
      </c>
      <c r="E328" s="22" t="str">
        <f>AVERAGEIFS('Scores Import DO NOT EDIT'!L:L,'Scores Import DO NOT EDIT'!D:D,A328)</f>
        <v>#DIV/0!</v>
      </c>
      <c r="F328" s="23" t="str">
        <f>VLOOKUP(A328, 'Session Data'!A:M,3,false)</f>
        <v>G-4</v>
      </c>
      <c r="G328" s="24" t="str">
        <f>VLOOKUP(A328, 'Session Data'!A:I,2,false)</f>
        <v>11:00 AM</v>
      </c>
      <c r="H328" s="23" t="str">
        <f>VLOOKUP(A328, 'Session Data'!A:J,5,false)</f>
        <v>Engineering and Computer Science</v>
      </c>
      <c r="I328" s="25" t="str">
        <f>VLOOKUP(A328, 'Session Data'!A:H,4,false)</f>
        <v>Poster</v>
      </c>
      <c r="J328" s="26" t="str">
        <f>VLOOKUP(A328, 'Session Data'!A:AA,14,false)</f>
        <v>Undergraduate</v>
      </c>
      <c r="K328" s="27" t="str">
        <f>VLOOKUP(A328, 'Session Data'!A:AA,15,false)</f>
        <v>Engineering</v>
      </c>
      <c r="L328" s="47"/>
      <c r="M328" s="29" t="str">
        <f>VLOOKUP(A328, 'Session Data'!A:K,11,false)</f>
        <v>Mechanical Engineering with Emphasis in Bioengineering</v>
      </c>
      <c r="N328" s="26" t="str">
        <f>IF(ISNA(VLOOKUP(A328, 'Award Abstract#'!C:C, 1, FALSE)), "No", "Yes")
</f>
        <v>No</v>
      </c>
      <c r="O328" s="29" t="str">
        <f>IF(ISNA(VLOOKUP(A328,'Award Abstract#'!B:B,1,FALSE)), "No", "Yes")</f>
        <v>No</v>
      </c>
      <c r="P328" s="29" t="str">
        <f>IF(ISNA(VLOOKUP(A328,'Award Abstract#'!E:E,1,FALSE)), "No", "Yes")</f>
        <v>No</v>
      </c>
      <c r="Q328" s="29" t="str">
        <f>IF(ISNA(VLOOKUP(A328,'Award Abstract#'!A:A,1,FALSE)), "No", "Yes")</f>
        <v>No</v>
      </c>
      <c r="R328" s="29" t="str">
        <f>IF(ISNA(VLOOKUP(A328,'Award Abstract#'!D:D,1,FALSE)), "No", "Yes")</f>
        <v>No</v>
      </c>
      <c r="S328" s="30" t="str">
        <f>VLOOKUP(A328, 'Session Data'!A:AA,27,false)</f>
        <v>Woman</v>
      </c>
      <c r="T328" s="30"/>
      <c r="U328" s="30"/>
      <c r="V328" s="31" t="str">
        <f>VLOOKUP(A328, 'Session Data'!A:AA,8,false)</f>
        <v>Hadia</v>
      </c>
      <c r="W328" s="32" t="str">
        <f>VLOOKUP(A328, 'Session Data'!A:AA,9,false)</f>
        <v>Hadia Bayat</v>
      </c>
      <c r="X328" s="33" t="str">
        <f>VLOOKUP(A328, 'Session Data'!A:AA,12,false)</f>
        <v>Machine-Learned Interatomic Potential for Grain Boundary Segregation in a Nichrome Alloy</v>
      </c>
      <c r="Y328" s="34" t="str">
        <f>VLOOKUP(A328, 'Session Data'!A:AA,22,false)</f>
        <v>Wenwu </v>
      </c>
      <c r="Z328" s="34" t="str">
        <f>VLOOKUP(A328, 'Session Data'!A:AA,23,false)</f>
        <v>Xu</v>
      </c>
      <c r="AA328" s="34" t="str">
        <f>VLOOKUP(A328, 'Session Data'!A:AA,25,false)</f>
        <v>Engineering</v>
      </c>
      <c r="AB328" s="34" t="str">
        <f>VLOOKUP(A328, 'Session Data'!A:AA,24,false)</f>
        <v>wenwu.xu@sdsu.edu</v>
      </c>
      <c r="AC328" s="34" t="str">
        <f>VLOOKUP(A328, 'Session Data'!A:AA,16,false)</f>
        <v/>
      </c>
      <c r="AD328" s="35" t="str">
        <f>VLOOKUP(A328, 'Session Data'!A:U,17,false)</f>
        <v/>
      </c>
      <c r="AE328" s="35" t="str">
        <f>VLOOKUP(A328, 'Session Data'!A:U,18,false)</f>
        <v/>
      </c>
      <c r="AF328" s="35" t="str">
        <f>VLOOKUP(A328, 'Session Data'!A:U,19,false)</f>
        <v/>
      </c>
      <c r="AG328" s="35" t="str">
        <f>VLOOKUP(A328, 'Session Data'!A:U,20,false)</f>
        <v/>
      </c>
      <c r="AH328" s="35" t="str">
        <f>VLOOKUP(A328, 'Session Data'!A:U,21,false)</f>
        <v/>
      </c>
      <c r="AI328" s="37"/>
      <c r="AJ328" s="37"/>
      <c r="AK328" s="37"/>
      <c r="AL328" s="50"/>
      <c r="AM328" s="34" t="str">
        <f>VLOOKUP(A328, 'Session Data'!A:AA,10,false)</f>
        <v>hbayat7188@sdsu.edu</v>
      </c>
      <c r="AN328" s="40"/>
      <c r="AO328" s="38"/>
      <c r="AP328" s="38"/>
      <c r="AQ328" s="38"/>
      <c r="AR328" s="38"/>
      <c r="AS328" s="38"/>
      <c r="AT328" s="38"/>
      <c r="AU328" s="38"/>
      <c r="AV328" s="38"/>
      <c r="AW328" s="38"/>
      <c r="AX328" s="38"/>
      <c r="AY328" s="43"/>
      <c r="AZ328" s="43"/>
      <c r="BA328" s="48"/>
      <c r="BB328" s="48"/>
      <c r="BC328" s="43"/>
      <c r="BD328" s="43"/>
      <c r="BE328" s="44"/>
      <c r="BF328" s="45"/>
      <c r="BG328" s="43"/>
    </row>
    <row r="329">
      <c r="A329" s="19" t="s">
        <v>399</v>
      </c>
      <c r="B329" s="20">
        <f>VLOOKUP(F329,'Session Count DO NOT EDIT'!$A:$C,3,FALSE)</f>
        <v>5</v>
      </c>
      <c r="C329" s="20">
        <f>COUNTIFS('Scores Import DO NOT EDIT'!D:D,A329)</f>
        <v>4</v>
      </c>
      <c r="D329" s="21">
        <f t="shared" si="1"/>
        <v>0.8</v>
      </c>
      <c r="E329" s="22">
        <f>AVERAGEIFS('Scores Import DO NOT EDIT'!L:L,'Scores Import DO NOT EDIT'!D:D,A329)</f>
        <v>25.5</v>
      </c>
      <c r="F329" s="23" t="str">
        <f>VLOOKUP(A329, 'Session Data'!A:M,3,false)</f>
        <v>G-4</v>
      </c>
      <c r="G329" s="24" t="str">
        <f>VLOOKUP(A329, 'Session Data'!A:I,2,false)</f>
        <v>11:00 AM</v>
      </c>
      <c r="H329" s="23" t="str">
        <f>VLOOKUP(A329, 'Session Data'!A:J,5,false)</f>
        <v>Engineering and Computer Science</v>
      </c>
      <c r="I329" s="25" t="str">
        <f>VLOOKUP(A329, 'Session Data'!A:H,4,false)</f>
        <v>Poster</v>
      </c>
      <c r="J329" s="26" t="str">
        <f>VLOOKUP(A329, 'Session Data'!A:AA,14,false)</f>
        <v>Undergraduate</v>
      </c>
      <c r="K329" s="27" t="str">
        <f>VLOOKUP(A329, 'Session Data'!A:AA,15,false)</f>
        <v>Sciences</v>
      </c>
      <c r="L329" s="28"/>
      <c r="M329" s="29" t="str">
        <f>VLOOKUP(A329, 'Session Data'!A:K,11,false)</f>
        <v>Computer Science</v>
      </c>
      <c r="N329" s="26" t="str">
        <f>IF(ISNA(VLOOKUP(A329, 'Award Abstract#'!C:C, 1, FALSE)), "No", "Yes")
</f>
        <v>No</v>
      </c>
      <c r="O329" s="29" t="str">
        <f>IF(ISNA(VLOOKUP(A329,'Award Abstract#'!B:B,1,FALSE)), "No", "Yes")</f>
        <v>No</v>
      </c>
      <c r="P329" s="29" t="str">
        <f>IF(ISNA(VLOOKUP(A329,'Award Abstract#'!E:E,1,FALSE)), "No", "Yes")</f>
        <v>No</v>
      </c>
      <c r="Q329" s="29" t="str">
        <f>IF(ISNA(VLOOKUP(A329,'Award Abstract#'!A:A,1,FALSE)), "No", "Yes")</f>
        <v>No</v>
      </c>
      <c r="R329" s="29" t="str">
        <f>IF(ISNA(VLOOKUP(A329,'Award Abstract#'!D:D,1,FALSE)), "No", "Yes")</f>
        <v>No</v>
      </c>
      <c r="S329" s="30" t="str">
        <f>VLOOKUP(A329, 'Session Data'!A:AA,27,false)</f>
        <v>Woman, Cisgender</v>
      </c>
      <c r="T329" s="30"/>
      <c r="U329" s="30"/>
      <c r="V329" s="31" t="str">
        <f>VLOOKUP(A329, 'Session Data'!A:AA,8,false)</f>
        <v>Sophie</v>
      </c>
      <c r="W329" s="32" t="str">
        <f>VLOOKUP(A329, 'Session Data'!A:AA,9,false)</f>
        <v>Krivonosov</v>
      </c>
      <c r="X329" s="33" t="str">
        <f>VLOOKUP(A329, 'Session Data'!A:AA,12,false)</f>
        <v>Enhancing the SCS1 Assessment</v>
      </c>
      <c r="Y329" s="34" t="str">
        <f>VLOOKUP(A329, 'Session Data'!A:AA,22,false)</f>
        <v>Miranda</v>
      </c>
      <c r="Z329" s="34" t="str">
        <f>VLOOKUP(A329, 'Session Data'!A:AA,23,false)</f>
        <v>Parker</v>
      </c>
      <c r="AA329" s="34" t="str">
        <f>VLOOKUP(A329, 'Session Data'!A:AA,25,false)</f>
        <v>Sciences</v>
      </c>
      <c r="AB329" s="34"/>
      <c r="AC329" s="34" t="str">
        <f>VLOOKUP(A329, 'Session Data'!A:AA,16,false)</f>
        <v/>
      </c>
      <c r="AD329" s="35" t="str">
        <f>VLOOKUP(A329, 'Session Data'!A:U,17,false)</f>
        <v/>
      </c>
      <c r="AE329" s="35" t="str">
        <f>VLOOKUP(A329, 'Session Data'!A:U,18,false)</f>
        <v/>
      </c>
      <c r="AF329" s="35" t="str">
        <f>VLOOKUP(A329, 'Session Data'!A:U,19,false)</f>
        <v/>
      </c>
      <c r="AG329" s="35" t="str">
        <f>VLOOKUP(A329, 'Session Data'!A:U,20,false)</f>
        <v/>
      </c>
      <c r="AH329" s="35" t="str">
        <f>VLOOKUP(A329, 'Session Data'!A:U,21,false)</f>
        <v/>
      </c>
      <c r="AI329" s="37"/>
      <c r="AJ329" s="37"/>
      <c r="AK329" s="37"/>
      <c r="AL329" s="50"/>
      <c r="AM329" s="34" t="str">
        <f>VLOOKUP(A329, 'Session Data'!A:AA,10,false)</f>
        <v>skrivonosov7426@sdsu.edu</v>
      </c>
      <c r="AN329" s="40"/>
      <c r="AO329" s="38"/>
      <c r="AP329" s="38"/>
      <c r="AQ329" s="38"/>
      <c r="AR329" s="38"/>
      <c r="AS329" s="38"/>
      <c r="AT329" s="38"/>
      <c r="AU329" s="38"/>
      <c r="AV329" s="38"/>
      <c r="AW329" s="38"/>
      <c r="AX329" s="38"/>
      <c r="AY329" s="43"/>
      <c r="AZ329" s="43"/>
      <c r="BA329" s="48"/>
      <c r="BB329" s="48"/>
      <c r="BC329" s="43"/>
      <c r="BD329" s="43"/>
      <c r="BE329" s="44"/>
      <c r="BF329" s="45"/>
      <c r="BG329" s="43"/>
    </row>
    <row r="330">
      <c r="A330" s="19" t="s">
        <v>400</v>
      </c>
      <c r="B330" s="20">
        <f>VLOOKUP(F330,'Session Count DO NOT EDIT'!$A:$C,3,FALSE)</f>
        <v>5</v>
      </c>
      <c r="C330" s="20">
        <f>COUNTIFS('Scores Import DO NOT EDIT'!D:D,A330)</f>
        <v>4</v>
      </c>
      <c r="D330" s="21">
        <f t="shared" si="1"/>
        <v>0.8</v>
      </c>
      <c r="E330" s="22">
        <f>AVERAGEIFS('Scores Import DO NOT EDIT'!L:L,'Scores Import DO NOT EDIT'!D:D,A330)</f>
        <v>25</v>
      </c>
      <c r="F330" s="23" t="str">
        <f>VLOOKUP(A330, 'Session Data'!A:M,3,false)</f>
        <v>G-4</v>
      </c>
      <c r="G330" s="24" t="str">
        <f>VLOOKUP(A330, 'Session Data'!A:I,2,false)</f>
        <v>11:00 AM</v>
      </c>
      <c r="H330" s="23" t="str">
        <f>VLOOKUP(A330, 'Session Data'!A:J,5,false)</f>
        <v>Engineering and Computer Science</v>
      </c>
      <c r="I330" s="25" t="str">
        <f>VLOOKUP(A330, 'Session Data'!A:H,4,false)</f>
        <v>Poster</v>
      </c>
      <c r="J330" s="26" t="str">
        <f>VLOOKUP(A330, 'Session Data'!A:AA,14,false)</f>
        <v>Undergraduate</v>
      </c>
      <c r="K330" s="27" t="str">
        <f>VLOOKUP(A330, 'Session Data'!A:AA,15,false)</f>
        <v>Engineering</v>
      </c>
      <c r="L330" s="47"/>
      <c r="M330" s="29" t="str">
        <f>VLOOKUP(A330, 'Session Data'!A:K,11,false)</f>
        <v>Bachelor of Science in Mechanical Engineering</v>
      </c>
      <c r="N330" s="26" t="str">
        <f>IF(ISNA(VLOOKUP(A330, 'Award Abstract#'!C:C, 1, FALSE)), "No", "Yes")
</f>
        <v>No</v>
      </c>
      <c r="O330" s="29" t="str">
        <f>IF(ISNA(VLOOKUP(A330,'Award Abstract#'!B:B,1,FALSE)), "No", "Yes")</f>
        <v>No</v>
      </c>
      <c r="P330" s="29" t="str">
        <f>IF(ISNA(VLOOKUP(A330,'Award Abstract#'!E:E,1,FALSE)), "No", "Yes")</f>
        <v>Yes</v>
      </c>
      <c r="Q330" s="29" t="str">
        <f>IF(ISNA(VLOOKUP(A330,'Award Abstract#'!A:A,1,FALSE)), "No", "Yes")</f>
        <v>No</v>
      </c>
      <c r="R330" s="29" t="str">
        <f>IF(ISNA(VLOOKUP(A330,'Award Abstract#'!D:D,1,FALSE)), "No", "Yes")</f>
        <v>No</v>
      </c>
      <c r="S330" s="30" t="str">
        <f>VLOOKUP(A330, 'Session Data'!A:AA,27,false)</f>
        <v>Man</v>
      </c>
      <c r="T330" s="30"/>
      <c r="U330" s="30"/>
      <c r="V330" s="31" t="str">
        <f>VLOOKUP(A330, 'Session Data'!A:AA,8,false)</f>
        <v>Karam</v>
      </c>
      <c r="W330" s="32" t="str">
        <f>VLOOKUP(A330, 'Session Data'!A:AA,9,false)</f>
        <v>Alshaikh</v>
      </c>
      <c r="X330" s="33" t="str">
        <f>VLOOKUP(A330, 'Session Data'!A:AA,12,false)</f>
        <v>Exploring the Advancements in Additive Manufacturing through the Application of Artificial Intelligence</v>
      </c>
      <c r="Y330" s="34" t="str">
        <f>VLOOKUP(A330, 'Session Data'!A:AA,22,false)</f>
        <v>Sara</v>
      </c>
      <c r="Z330" s="34" t="str">
        <f>VLOOKUP(A330, 'Session Data'!A:AA,23,false)</f>
        <v>Adibi</v>
      </c>
      <c r="AA330" s="34" t="str">
        <f>VLOOKUP(A330, 'Session Data'!A:AA,25,false)</f>
        <v>Engineering</v>
      </c>
      <c r="AB330" s="34" t="str">
        <f>VLOOKUP(A330, 'Session Data'!A:AA,24,false)</f>
        <v>sadibi@sdsu.edu</v>
      </c>
      <c r="AC330" s="34" t="str">
        <f>VLOOKUP(A330, 'Session Data'!A:AA,16,false)</f>
        <v>Luis</v>
      </c>
      <c r="AD330" s="35" t="str">
        <f>VLOOKUP(A330, 'Session Data'!A:U,17,false)</f>
        <v>Laurean</v>
      </c>
      <c r="AE330" s="35" t="str">
        <f>VLOOKUP(A330, 'Session Data'!A:U,18,false)</f>
        <v/>
      </c>
      <c r="AF330" s="35" t="str">
        <f>VLOOKUP(A330, 'Session Data'!A:U,19,false)</f>
        <v/>
      </c>
      <c r="AG330" s="35" t="str">
        <f>VLOOKUP(A330, 'Session Data'!A:U,20,false)</f>
        <v/>
      </c>
      <c r="AH330" s="35" t="str">
        <f>VLOOKUP(A330, 'Session Data'!A:U,21,false)</f>
        <v/>
      </c>
      <c r="AI330" s="37"/>
      <c r="AJ330" s="37"/>
      <c r="AK330" s="37"/>
      <c r="AL330" s="50"/>
      <c r="AM330" s="34" t="str">
        <f>VLOOKUP(A330, 'Session Data'!A:AA,10,false)</f>
        <v>kalshaikh8136@sdsu.edu</v>
      </c>
      <c r="AN330" s="40"/>
      <c r="AO330" s="38"/>
      <c r="AP330" s="38"/>
      <c r="AQ330" s="38"/>
      <c r="AR330" s="38"/>
      <c r="AS330" s="38"/>
      <c r="AT330" s="38"/>
      <c r="AU330" s="38"/>
      <c r="AV330" s="38"/>
      <c r="AW330" s="38"/>
      <c r="AX330" s="38"/>
      <c r="AY330" s="43"/>
      <c r="AZ330" s="43"/>
      <c r="BA330" s="43"/>
      <c r="BB330" s="43"/>
      <c r="BC330" s="43"/>
      <c r="BD330" s="43"/>
      <c r="BE330" s="44"/>
      <c r="BF330" s="45"/>
      <c r="BG330" s="43"/>
    </row>
    <row r="331">
      <c r="A331" s="19" t="s">
        <v>401</v>
      </c>
      <c r="B331" s="20">
        <f>VLOOKUP(F331,'Session Count DO NOT EDIT'!$A:$C,3,FALSE)</f>
        <v>5</v>
      </c>
      <c r="C331" s="20">
        <f>COUNTIFS('Scores Import DO NOT EDIT'!D:D,A331)</f>
        <v>4</v>
      </c>
      <c r="D331" s="21">
        <f t="shared" si="1"/>
        <v>0.8</v>
      </c>
      <c r="E331" s="22">
        <f>AVERAGEIFS('Scores Import DO NOT EDIT'!L:L,'Scores Import DO NOT EDIT'!D:D,A331)</f>
        <v>22.25</v>
      </c>
      <c r="F331" s="23" t="str">
        <f>VLOOKUP(A331, 'Session Data'!A:M,3,false)</f>
        <v>G-4</v>
      </c>
      <c r="G331" s="24" t="str">
        <f>VLOOKUP(A331, 'Session Data'!A:I,2,false)</f>
        <v>11:00 AM</v>
      </c>
      <c r="H331" s="23" t="str">
        <f>VLOOKUP(A331, 'Session Data'!A:J,5,false)</f>
        <v>Engineering and Computer Science</v>
      </c>
      <c r="I331" s="25" t="str">
        <f>VLOOKUP(A331, 'Session Data'!A:H,4,false)</f>
        <v>Poster</v>
      </c>
      <c r="J331" s="26" t="str">
        <f>VLOOKUP(A331, 'Session Data'!A:AA,14,false)</f>
        <v>Undergraduate</v>
      </c>
      <c r="K331" s="27" t="str">
        <f>VLOOKUP(A331, 'Session Data'!A:AA,15,false)</f>
        <v>Engineering</v>
      </c>
      <c r="L331" s="28"/>
      <c r="M331" s="29" t="str">
        <f>VLOOKUP(A331, 'Session Data'!A:K,11,false)</f>
        <v>Bachelor of Electrical Engineering</v>
      </c>
      <c r="N331" s="26" t="str">
        <f>IF(ISNA(VLOOKUP(A331, 'Award Abstract#'!C:C, 1, FALSE)), "No", "Yes")
</f>
        <v>No</v>
      </c>
      <c r="O331" s="29" t="str">
        <f>IF(ISNA(VLOOKUP(A331,'Award Abstract#'!B:B,1,FALSE)), "No", "Yes")</f>
        <v>No</v>
      </c>
      <c r="P331" s="29" t="str">
        <f>IF(ISNA(VLOOKUP(A331,'Award Abstract#'!E:E,1,FALSE)), "No", "Yes")</f>
        <v>Yes</v>
      </c>
      <c r="Q331" s="29" t="str">
        <f>IF(ISNA(VLOOKUP(A331,'Award Abstract#'!A:A,1,FALSE)), "No", "Yes")</f>
        <v>No</v>
      </c>
      <c r="R331" s="29" t="str">
        <f>IF(ISNA(VLOOKUP(A331,'Award Abstract#'!D:D,1,FALSE)), "No", "Yes")</f>
        <v>No</v>
      </c>
      <c r="S331" s="30" t="str">
        <f>VLOOKUP(A331, 'Session Data'!A:AA,27,false)</f>
        <v>Man</v>
      </c>
      <c r="T331" s="30"/>
      <c r="U331" s="30"/>
      <c r="V331" s="31" t="str">
        <f>VLOOKUP(A331, 'Session Data'!A:AA,8,false)</f>
        <v>Kyler</v>
      </c>
      <c r="W331" s="32" t="str">
        <f>VLOOKUP(A331, 'Session Data'!A:AA,9,false)</f>
        <v>Brown</v>
      </c>
      <c r="X331" s="33" t="str">
        <f>VLOOKUP(A331, 'Session Data'!A:AA,12,false)</f>
        <v>The effect of temperature distribution of powder bed in selective laser sintering on the quality of 3D-printed parts</v>
      </c>
      <c r="Y331" s="34" t="str">
        <f>VLOOKUP(A331, 'Session Data'!A:AA,22,false)</f>
        <v>John</v>
      </c>
      <c r="Z331" s="34" t="str">
        <f>VLOOKUP(A331, 'Session Data'!A:AA,23,false)</f>
        <v>Kang</v>
      </c>
      <c r="AA331" s="34" t="str">
        <f>VLOOKUP(A331, 'Session Data'!A:AA,25,false)</f>
        <v>Engineering</v>
      </c>
      <c r="AB331" s="34" t="str">
        <f>VLOOKUP(A331, 'Session Data'!A:AA,24,false)</f>
        <v>jkang4@sdsu.edu</v>
      </c>
      <c r="AC331" s="34" t="str">
        <f>VLOOKUP(A331, 'Session Data'!A:AA,16,false)</f>
        <v/>
      </c>
      <c r="AD331" s="35" t="str">
        <f>VLOOKUP(A331, 'Session Data'!A:U,17,false)</f>
        <v/>
      </c>
      <c r="AE331" s="35" t="str">
        <f>VLOOKUP(A331, 'Session Data'!A:U,18,false)</f>
        <v/>
      </c>
      <c r="AF331" s="35" t="str">
        <f>VLOOKUP(A331, 'Session Data'!A:U,19,false)</f>
        <v/>
      </c>
      <c r="AG331" s="35" t="str">
        <f>VLOOKUP(A331, 'Session Data'!A:U,20,false)</f>
        <v/>
      </c>
      <c r="AH331" s="35" t="str">
        <f>VLOOKUP(A331, 'Session Data'!A:U,21,false)</f>
        <v/>
      </c>
      <c r="AI331" s="37"/>
      <c r="AJ331" s="37"/>
      <c r="AK331" s="37"/>
      <c r="AL331" s="50"/>
      <c r="AM331" s="34" t="str">
        <f>VLOOKUP(A331, 'Session Data'!A:AA,10,false)</f>
        <v>kbrown9836@sdsu.edu</v>
      </c>
      <c r="AN331" s="40"/>
      <c r="AO331" s="38"/>
      <c r="AP331" s="38"/>
      <c r="AQ331" s="38"/>
      <c r="AR331" s="38"/>
      <c r="AS331" s="38"/>
      <c r="AT331" s="38"/>
      <c r="AU331" s="38"/>
      <c r="AV331" s="38"/>
      <c r="AW331" s="38"/>
      <c r="AX331" s="38"/>
      <c r="AY331" s="43"/>
      <c r="AZ331" s="43"/>
      <c r="BA331" s="43"/>
      <c r="BB331" s="48"/>
      <c r="BC331" s="43"/>
      <c r="BD331" s="43"/>
      <c r="BE331" s="44"/>
      <c r="BF331" s="45"/>
      <c r="BG331" s="43"/>
    </row>
    <row r="332">
      <c r="A332" s="19" t="s">
        <v>402</v>
      </c>
      <c r="B332" s="20">
        <f>VLOOKUP(F332,'Session Count DO NOT EDIT'!$A:$C,3,FALSE)</f>
        <v>4</v>
      </c>
      <c r="C332" s="20">
        <f>COUNTIFS('Scores Import DO NOT EDIT'!D:D,A332)</f>
        <v>4</v>
      </c>
      <c r="D332" s="21">
        <f t="shared" si="1"/>
        <v>1</v>
      </c>
      <c r="E332" s="22">
        <f>AVERAGEIFS('Scores Import DO NOT EDIT'!L:L,'Scores Import DO NOT EDIT'!D:D,A332)</f>
        <v>24.75</v>
      </c>
      <c r="F332" s="23" t="str">
        <f>VLOOKUP(A332, 'Session Data'!A:M,3,false)</f>
        <v>G-5</v>
      </c>
      <c r="G332" s="24" t="str">
        <f>VLOOKUP(A332, 'Session Data'!A:I,2,false)</f>
        <v>11:00 AM</v>
      </c>
      <c r="H332" s="23" t="str">
        <f>VLOOKUP(A332, 'Session Data'!A:J,5,false)</f>
        <v>Physical and Mathematical Sciences</v>
      </c>
      <c r="I332" s="25" t="str">
        <f>VLOOKUP(A332, 'Session Data'!A:H,4,false)</f>
        <v>Poster</v>
      </c>
      <c r="J332" s="26" t="str">
        <f>VLOOKUP(A332, 'Session Data'!A:AA,14,false)</f>
        <v>Undergraduate</v>
      </c>
      <c r="K332" s="27" t="str">
        <f>VLOOKUP(A332, 'Session Data'!A:AA,15,false)</f>
        <v>Engineering</v>
      </c>
      <c r="L332" s="47"/>
      <c r="M332" s="29" t="str">
        <f>VLOOKUP(A332, 'Session Data'!A:K,11,false)</f>
        <v>Environmental Engineering</v>
      </c>
      <c r="N332" s="26" t="str">
        <f>IF(ISNA(VLOOKUP(A332, 'Award Abstract#'!C:C, 1, FALSE)), "No", "Yes")
</f>
        <v>No</v>
      </c>
      <c r="O332" s="29" t="str">
        <f>IF(ISNA(VLOOKUP(A332,'Award Abstract#'!B:B,1,FALSE)), "No", "Yes")</f>
        <v>Yes</v>
      </c>
      <c r="P332" s="29" t="str">
        <f>IF(ISNA(VLOOKUP(A332,'Award Abstract#'!E:E,1,FALSE)), "No", "Yes")</f>
        <v>No</v>
      </c>
      <c r="Q332" s="29" t="str">
        <f>IF(ISNA(VLOOKUP(A332,'Award Abstract#'!A:A,1,FALSE)), "No", "Yes")</f>
        <v>No</v>
      </c>
      <c r="R332" s="29" t="str">
        <f>IF(ISNA(VLOOKUP(A332,'Award Abstract#'!D:D,1,FALSE)), "No", "Yes")</f>
        <v>No</v>
      </c>
      <c r="S332" s="30" t="str">
        <f>VLOOKUP(A332, 'Session Data'!A:AA,27,false)</f>
        <v>Woman</v>
      </c>
      <c r="T332" s="30"/>
      <c r="U332" s="30"/>
      <c r="V332" s="31" t="str">
        <f>VLOOKUP(A332, 'Session Data'!A:AA,8,false)</f>
        <v>Anahi</v>
      </c>
      <c r="W332" s="32" t="str">
        <f>VLOOKUP(A332, 'Session Data'!A:AA,9,false)</f>
        <v>Mendez Lozano</v>
      </c>
      <c r="X332" s="33" t="str">
        <f>VLOOKUP(A332, 'Session Data'!A:AA,12,false)</f>
        <v>The impact of invasive plant species on fire patterns in Otay Valley Regional Park, San Diego</v>
      </c>
      <c r="Y332" s="34" t="str">
        <f>VLOOKUP(A332, 'Session Data'!A:AA,22,false)</f>
        <v>Alicia</v>
      </c>
      <c r="Z332" s="34" t="str">
        <f>VLOOKUP(A332, 'Session Data'!A:AA,23,false)</f>
        <v>Kinoshita</v>
      </c>
      <c r="AA332" s="34" t="str">
        <f>VLOOKUP(A332, 'Session Data'!A:AA,25,false)</f>
        <v>Engineering</v>
      </c>
      <c r="AB332" s="34" t="str">
        <f>VLOOKUP(A332, 'Session Data'!A:AA,24,false)</f>
        <v>akinoshita@sdsu.edu</v>
      </c>
      <c r="AC332" s="34" t="str">
        <f>VLOOKUP(A332, 'Session Data'!A:AA,16,false)</f>
        <v/>
      </c>
      <c r="AD332" s="35" t="str">
        <f>VLOOKUP(A332, 'Session Data'!A:U,17,false)</f>
        <v/>
      </c>
      <c r="AE332" s="35" t="str">
        <f>VLOOKUP(A332, 'Session Data'!A:U,18,false)</f>
        <v/>
      </c>
      <c r="AF332" s="35" t="str">
        <f>VLOOKUP(A332, 'Session Data'!A:U,19,false)</f>
        <v/>
      </c>
      <c r="AG332" s="35" t="str">
        <f>VLOOKUP(A332, 'Session Data'!A:U,20,false)</f>
        <v/>
      </c>
      <c r="AH332" s="35" t="str">
        <f>VLOOKUP(A332, 'Session Data'!A:U,21,false)</f>
        <v/>
      </c>
      <c r="AI332" s="37"/>
      <c r="AJ332" s="37"/>
      <c r="AK332" s="37"/>
      <c r="AL332" s="50"/>
      <c r="AM332" s="34" t="str">
        <f>VLOOKUP(A332, 'Session Data'!A:AA,10,false)</f>
        <v>amendezlozano5241@sdsu.edu</v>
      </c>
      <c r="AN332" s="40"/>
      <c r="AO332" s="38"/>
      <c r="AP332" s="38"/>
      <c r="AQ332" s="38"/>
      <c r="AR332" s="38"/>
      <c r="AS332" s="38"/>
      <c r="AT332" s="38"/>
      <c r="AU332" s="38"/>
      <c r="AV332" s="38"/>
      <c r="AW332" s="38"/>
      <c r="AX332" s="38"/>
      <c r="AY332" s="43"/>
      <c r="AZ332" s="43"/>
      <c r="BA332" s="43"/>
      <c r="BB332" s="43"/>
      <c r="BC332" s="43"/>
      <c r="BD332" s="43"/>
      <c r="BE332" s="44"/>
      <c r="BF332" s="45"/>
      <c r="BG332" s="43"/>
    </row>
    <row r="333">
      <c r="A333" s="78" t="s">
        <v>403</v>
      </c>
      <c r="B333" s="20">
        <f>VLOOKUP(F333,'Session Count DO NOT EDIT'!$A:$C,3,FALSE)</f>
        <v>4</v>
      </c>
      <c r="C333" s="20">
        <f>COUNTIFS('Scores Import DO NOT EDIT'!D:D,A333)</f>
        <v>1</v>
      </c>
      <c r="D333" s="21">
        <f t="shared" si="1"/>
        <v>0.25</v>
      </c>
      <c r="E333" s="22">
        <f>AVERAGEIFS('Scores Import DO NOT EDIT'!L:L,'Scores Import DO NOT EDIT'!D:D,A333)</f>
        <v>35</v>
      </c>
      <c r="F333" s="23" t="str">
        <f>VLOOKUP(A333, 'Session Data'!A:M,3,false)</f>
        <v>G-5</v>
      </c>
      <c r="G333" s="24" t="str">
        <f>VLOOKUP(A333, 'Session Data'!A:I,2,false)</f>
        <v>11:00 AM</v>
      </c>
      <c r="H333" s="23" t="str">
        <f>VLOOKUP(A333, 'Session Data'!A:J,5,false)</f>
        <v>Physical and Mathematical Sciences</v>
      </c>
      <c r="I333" s="25" t="str">
        <f>VLOOKUP(A333, 'Session Data'!A:H,4,false)</f>
        <v>Poster</v>
      </c>
      <c r="J333" s="26" t="str">
        <f>VLOOKUP(A333, 'Session Data'!A:AA,14,false)</f>
        <v>Undergraduate</v>
      </c>
      <c r="K333" s="27" t="str">
        <f>VLOOKUP(A333, 'Session Data'!A:AA,15,false)</f>
        <v>Sciences</v>
      </c>
      <c r="L333" s="28"/>
      <c r="M333" s="29" t="str">
        <f>VLOOKUP(A333, 'Session Data'!A:K,11,false)</f>
        <v>Physics</v>
      </c>
      <c r="N333" s="26" t="str">
        <f>IF(ISNA(VLOOKUP(A333, 'Award Abstract#'!C:C, 1, FALSE)), "No", "Yes")
</f>
        <v>No</v>
      </c>
      <c r="O333" s="29" t="str">
        <f>IF(ISNA(VLOOKUP(A333,'Award Abstract#'!B:B,1,FALSE)), "No", "Yes")</f>
        <v>No</v>
      </c>
      <c r="P333" s="29" t="str">
        <f>IF(ISNA(VLOOKUP(A333,'Award Abstract#'!E:E,1,FALSE)), "No", "Yes")</f>
        <v>No</v>
      </c>
      <c r="Q333" s="29" t="str">
        <f>IF(ISNA(VLOOKUP(A333,'Award Abstract#'!A:A,1,FALSE)), "No", "Yes")</f>
        <v>No</v>
      </c>
      <c r="R333" s="29" t="str">
        <f>IF(ISNA(VLOOKUP(A333,'Award Abstract#'!D:D,1,FALSE)), "No", "Yes")</f>
        <v>No</v>
      </c>
      <c r="S333" s="30" t="str">
        <f>VLOOKUP(A333, 'Session Data'!A:AA,27,false)</f>
        <v>Man</v>
      </c>
      <c r="T333" s="30"/>
      <c r="U333" s="30"/>
      <c r="V333" s="31" t="str">
        <f>VLOOKUP(A333, 'Session Data'!A:AA,8,false)</f>
        <v>Alberto</v>
      </c>
      <c r="W333" s="32" t="str">
        <f>VLOOKUP(A333, 'Session Data'!A:AA,9,false)</f>
        <v>Pulido</v>
      </c>
      <c r="X333" s="33" t="str">
        <f>VLOOKUP(A333, 'Session Data'!A:AA,12,false)</f>
        <v>Thermal Properties of Vb- Defect in hBn</v>
      </c>
      <c r="Y333" s="34" t="str">
        <f>VLOOKUP(A333, 'Session Data'!A:AA,22,false)</f>
        <v>Sanjay</v>
      </c>
      <c r="Z333" s="34" t="str">
        <f>VLOOKUP(A333, 'Session Data'!A:AA,23,false)</f>
        <v>Behura</v>
      </c>
      <c r="AA333" s="34" t="str">
        <f>VLOOKUP(A333, 'Session Data'!A:AA,25,false)</f>
        <v>Sciences</v>
      </c>
      <c r="AB333" s="34" t="str">
        <f>VLOOKUP(A333, 'Session Data'!A:AA,24,false)</f>
        <v>sbehura@sdsu.edu</v>
      </c>
      <c r="AC333" s="34" t="str">
        <f>VLOOKUP(A333, 'Session Data'!A:AA,16,false)</f>
        <v/>
      </c>
      <c r="AD333" s="35" t="str">
        <f>VLOOKUP(A333, 'Session Data'!A:U,17,false)</f>
        <v/>
      </c>
      <c r="AE333" s="35" t="str">
        <f>VLOOKUP(A333, 'Session Data'!A:U,18,false)</f>
        <v/>
      </c>
      <c r="AF333" s="35" t="str">
        <f>VLOOKUP(A333, 'Session Data'!A:U,19,false)</f>
        <v/>
      </c>
      <c r="AG333" s="35" t="str">
        <f>VLOOKUP(A333, 'Session Data'!A:U,20,false)</f>
        <v/>
      </c>
      <c r="AH333" s="35" t="str">
        <f>VLOOKUP(A333, 'Session Data'!A:U,21,false)</f>
        <v/>
      </c>
      <c r="AI333" s="37"/>
      <c r="AJ333" s="37"/>
      <c r="AK333" s="37"/>
      <c r="AL333" s="50"/>
      <c r="AM333" s="34" t="str">
        <f>VLOOKUP(A333, 'Session Data'!A:AA,10,false)</f>
        <v>apulido9725@sdsu.edu</v>
      </c>
      <c r="AN333" s="40"/>
      <c r="AO333" s="38"/>
      <c r="AP333" s="38"/>
      <c r="AQ333" s="38"/>
      <c r="AR333" s="38"/>
      <c r="AS333" s="38"/>
      <c r="AT333" s="38"/>
      <c r="AU333" s="38"/>
      <c r="AV333" s="38"/>
      <c r="AW333" s="38"/>
      <c r="AX333" s="38"/>
      <c r="AY333" s="43"/>
      <c r="AZ333" s="43"/>
      <c r="BA333" s="43"/>
      <c r="BB333" s="43"/>
      <c r="BC333" s="43"/>
      <c r="BD333" s="43"/>
      <c r="BE333" s="44"/>
      <c r="BF333" s="45"/>
      <c r="BG333" s="43"/>
    </row>
    <row r="334">
      <c r="A334" s="19" t="s">
        <v>404</v>
      </c>
      <c r="B334" s="20">
        <f>VLOOKUP(F334,'Session Count DO NOT EDIT'!$A:$C,3,FALSE)</f>
        <v>4</v>
      </c>
      <c r="C334" s="20">
        <f>COUNTIFS('Scores Import DO NOT EDIT'!D:D,A334)</f>
        <v>4</v>
      </c>
      <c r="D334" s="21">
        <f t="shared" si="1"/>
        <v>1</v>
      </c>
      <c r="E334" s="22">
        <f>AVERAGEIFS('Scores Import DO NOT EDIT'!L:L,'Scores Import DO NOT EDIT'!D:D,A334)</f>
        <v>26.5</v>
      </c>
      <c r="F334" s="23" t="str">
        <f>VLOOKUP(A334, 'Session Data'!A:M,3,false)</f>
        <v>G-5</v>
      </c>
      <c r="G334" s="24" t="str">
        <f>VLOOKUP(A334, 'Session Data'!A:I,2,false)</f>
        <v>11:00 AM</v>
      </c>
      <c r="H334" s="23" t="str">
        <f>VLOOKUP(A334, 'Session Data'!A:J,5,false)</f>
        <v>Physical and Mathematical Sciences</v>
      </c>
      <c r="I334" s="25" t="str">
        <f>VLOOKUP(A334, 'Session Data'!A:H,4,false)</f>
        <v>Poster</v>
      </c>
      <c r="J334" s="26" t="str">
        <f>VLOOKUP(A334, 'Session Data'!A:AA,14,false)</f>
        <v>Undergraduate</v>
      </c>
      <c r="K334" s="27" t="str">
        <f>VLOOKUP(A334, 'Session Data'!A:AA,15,false)</f>
        <v>Sciences</v>
      </c>
      <c r="L334" s="28"/>
      <c r="M334" s="29" t="str">
        <f>VLOOKUP(A334, 'Session Data'!A:K,11,false)</f>
        <v>Bachelor of Science in Environmental Sciences</v>
      </c>
      <c r="N334" s="26" t="str">
        <f>IF(ISNA(VLOOKUP(A334, 'Award Abstract#'!C:C, 1, FALSE)), "No", "Yes")
</f>
        <v>No</v>
      </c>
      <c r="O334" s="29" t="str">
        <f>IF(ISNA(VLOOKUP(A334,'Award Abstract#'!B:B,1,FALSE)), "No", "Yes")</f>
        <v>No</v>
      </c>
      <c r="P334" s="29" t="str">
        <f>IF(ISNA(VLOOKUP(A334,'Award Abstract#'!E:E,1,FALSE)), "No", "Yes")</f>
        <v>No</v>
      </c>
      <c r="Q334" s="29" t="str">
        <f>IF(ISNA(VLOOKUP(A334,'Award Abstract#'!A:A,1,FALSE)), "No", "Yes")</f>
        <v>No</v>
      </c>
      <c r="R334" s="29" t="str">
        <f>IF(ISNA(VLOOKUP(A334,'Award Abstract#'!D:D,1,FALSE)), "No", "Yes")</f>
        <v>No</v>
      </c>
      <c r="S334" s="30" t="str">
        <f>VLOOKUP(A334, 'Session Data'!A:AA,27,false)</f>
        <v>Woman</v>
      </c>
      <c r="T334" s="30"/>
      <c r="U334" s="30"/>
      <c r="V334" s="31" t="str">
        <f>VLOOKUP(A334, 'Session Data'!A:AA,8,false)</f>
        <v>Sirena</v>
      </c>
      <c r="W334" s="32" t="str">
        <f>VLOOKUP(A334, 'Session Data'!A:AA,9,false)</f>
        <v>Rodriguez</v>
      </c>
      <c r="X334" s="33" t="str">
        <f>VLOOKUP(A334, 'Session Data'!A:AA,12,false)</f>
        <v>Diel Cycles of Stem Water Potentials for Implications of Hydrological Connectivity between Hillslopes and Streams at the Angelo Coast Range Reserve</v>
      </c>
      <c r="Y334" s="34" t="str">
        <f>VLOOKUP(A334, 'Session Data'!A:AA,22,false)</f>
        <v>Hilary</v>
      </c>
      <c r="Z334" s="34" t="str">
        <f>VLOOKUP(A334, 'Session Data'!A:AA,23,false)</f>
        <v>McMillan</v>
      </c>
      <c r="AA334" s="34" t="str">
        <f>VLOOKUP(A334, 'Session Data'!A:AA,25,false)</f>
        <v>Sciences</v>
      </c>
      <c r="AB334" s="34" t="str">
        <f>VLOOKUP(A334, 'Session Data'!A:AA,24,false)</f>
        <v>hmcmillan@sdsu.edu</v>
      </c>
      <c r="AC334" s="34" t="str">
        <f>VLOOKUP(A334, 'Session Data'!A:AA,16,false)</f>
        <v>James</v>
      </c>
      <c r="AD334" s="35" t="str">
        <f>VLOOKUP(A334, 'Session Data'!A:U,17,false)</f>
        <v>Valencia</v>
      </c>
      <c r="AE334" s="35" t="str">
        <f>VLOOKUP(A334, 'Session Data'!A:U,18,false)</f>
        <v/>
      </c>
      <c r="AF334" s="35" t="str">
        <f>VLOOKUP(A334, 'Session Data'!A:U,19,false)</f>
        <v/>
      </c>
      <c r="AG334" s="35" t="str">
        <f>VLOOKUP(A334, 'Session Data'!A:U,20,false)</f>
        <v/>
      </c>
      <c r="AH334" s="35" t="str">
        <f>VLOOKUP(A334, 'Session Data'!A:U,21,false)</f>
        <v/>
      </c>
      <c r="AI334" s="36"/>
      <c r="AJ334" s="38"/>
      <c r="AK334" s="38"/>
      <c r="AL334" s="39"/>
      <c r="AM334" s="34" t="str">
        <f>VLOOKUP(A334, 'Session Data'!A:AA,10,false)</f>
        <v>srodriguez9223@sdsu.edu</v>
      </c>
      <c r="AN334" s="40"/>
      <c r="AO334" s="38"/>
      <c r="AP334" s="38"/>
      <c r="AQ334" s="38"/>
      <c r="AR334" s="38"/>
      <c r="AS334" s="38"/>
      <c r="AT334" s="38"/>
      <c r="AU334" s="38"/>
      <c r="AV334" s="38"/>
      <c r="AW334" s="38"/>
      <c r="AX334" s="38"/>
      <c r="AY334" s="43"/>
      <c r="AZ334" s="43"/>
      <c r="BA334" s="43"/>
      <c r="BB334" s="43"/>
      <c r="BC334" s="43"/>
      <c r="BD334" s="43"/>
      <c r="BE334" s="44"/>
      <c r="BF334" s="45"/>
      <c r="BG334" s="46"/>
    </row>
    <row r="335">
      <c r="A335" s="19" t="s">
        <v>405</v>
      </c>
      <c r="B335" s="20">
        <f>VLOOKUP(F335,'Session Count DO NOT EDIT'!$A:$C,3,FALSE)</f>
        <v>4</v>
      </c>
      <c r="C335" s="20">
        <f>COUNTIFS('Scores Import DO NOT EDIT'!D:D,A335)</f>
        <v>3</v>
      </c>
      <c r="D335" s="21">
        <f t="shared" si="1"/>
        <v>0.75</v>
      </c>
      <c r="E335" s="22">
        <f>AVERAGEIFS('Scores Import DO NOT EDIT'!L:L,'Scores Import DO NOT EDIT'!D:D,A335)</f>
        <v>26.33333333</v>
      </c>
      <c r="F335" s="23" t="str">
        <f>VLOOKUP(A335, 'Session Data'!A:M,3,false)</f>
        <v>G-5</v>
      </c>
      <c r="G335" s="24" t="str">
        <f>VLOOKUP(A335, 'Session Data'!A:I,2,false)</f>
        <v>11:00 AM</v>
      </c>
      <c r="H335" s="23" t="str">
        <f>VLOOKUP(A335, 'Session Data'!A:J,5,false)</f>
        <v>Physical and Mathematical Sciences</v>
      </c>
      <c r="I335" s="25" t="str">
        <f>VLOOKUP(A335, 'Session Data'!A:H,4,false)</f>
        <v>Poster</v>
      </c>
      <c r="J335" s="26" t="str">
        <f>VLOOKUP(A335, 'Session Data'!A:AA,14,false)</f>
        <v>Undergraduate</v>
      </c>
      <c r="K335" s="27" t="str">
        <f>VLOOKUP(A335, 'Session Data'!A:AA,15,false)</f>
        <v>Sciences</v>
      </c>
      <c r="L335" s="47"/>
      <c r="M335" s="29" t="str">
        <f>VLOOKUP(A335, 'Session Data'!A:K,11,false)</f>
        <v>B.S. in Cell and Molecular Biology</v>
      </c>
      <c r="N335" s="26" t="str">
        <f>IF(ISNA(VLOOKUP(A335, 'Award Abstract#'!C:C, 1, FALSE)), "No", "Yes")
</f>
        <v>No</v>
      </c>
      <c r="O335" s="29" t="str">
        <f>IF(ISNA(VLOOKUP(A335,'Award Abstract#'!B:B,1,FALSE)), "No", "Yes")</f>
        <v>No</v>
      </c>
      <c r="P335" s="29" t="str">
        <f>IF(ISNA(VLOOKUP(A335,'Award Abstract#'!E:E,1,FALSE)), "No", "Yes")</f>
        <v>No</v>
      </c>
      <c r="Q335" s="29" t="str">
        <f>IF(ISNA(VLOOKUP(A335,'Award Abstract#'!A:A,1,FALSE)), "No", "Yes")</f>
        <v>No</v>
      </c>
      <c r="R335" s="29" t="str">
        <f>IF(ISNA(VLOOKUP(A335,'Award Abstract#'!D:D,1,FALSE)), "No", "Yes")</f>
        <v>No</v>
      </c>
      <c r="S335" s="30" t="str">
        <f>VLOOKUP(A335, 'Session Data'!A:AA,27,false)</f>
        <v>Man</v>
      </c>
      <c r="T335" s="30"/>
      <c r="U335" s="30"/>
      <c r="V335" s="31" t="str">
        <f>VLOOKUP(A335, 'Session Data'!A:AA,8,false)</f>
        <v>Aaron</v>
      </c>
      <c r="W335" s="32" t="str">
        <f>VLOOKUP(A335, 'Session Data'!A:AA,9,false)</f>
        <v>Roberts</v>
      </c>
      <c r="X335" s="33" t="str">
        <f>VLOOKUP(A335, 'Session Data'!A:AA,12,false)</f>
        <v>Utilizing Conformational Control as a Filter to Obtain Selective 3-Aryl Pyridone Kinase Inhibitors</v>
      </c>
      <c r="Y335" s="34" t="str">
        <f>VLOOKUP(A335, 'Session Data'!A:AA,22,false)</f>
        <v>Jeff</v>
      </c>
      <c r="Z335" s="34" t="str">
        <f>VLOOKUP(A335, 'Session Data'!A:AA,23,false)</f>
        <v>Gustafson</v>
      </c>
      <c r="AA335" s="34" t="str">
        <f>VLOOKUP(A335, 'Session Data'!A:AA,25,false)</f>
        <v>Sciences</v>
      </c>
      <c r="AB335" s="34" t="str">
        <f>VLOOKUP(A335, 'Session Data'!A:AA,24,false)</f>
        <v>jgustafson@sdsu.edu</v>
      </c>
      <c r="AC335" s="34" t="str">
        <f>VLOOKUP(A335, 'Session Data'!A:AA,16,false)</f>
        <v/>
      </c>
      <c r="AD335" s="35" t="str">
        <f>VLOOKUP(A335, 'Session Data'!A:U,17,false)</f>
        <v/>
      </c>
      <c r="AE335" s="35" t="str">
        <f>VLOOKUP(A335, 'Session Data'!A:U,18,false)</f>
        <v/>
      </c>
      <c r="AF335" s="35" t="str">
        <f>VLOOKUP(A335, 'Session Data'!A:U,19,false)</f>
        <v/>
      </c>
      <c r="AG335" s="35" t="str">
        <f>VLOOKUP(A335, 'Session Data'!A:U,20,false)</f>
        <v/>
      </c>
      <c r="AH335" s="35" t="str">
        <f>VLOOKUP(A335, 'Session Data'!A:U,21,false)</f>
        <v/>
      </c>
      <c r="AI335" s="37"/>
      <c r="AJ335" s="37"/>
      <c r="AK335" s="37"/>
      <c r="AL335" s="50"/>
      <c r="AM335" s="34" t="str">
        <f>VLOOKUP(A335, 'Session Data'!A:AA,10,false)</f>
        <v>aroberts5512@sdsu.edu</v>
      </c>
      <c r="AN335" s="40"/>
      <c r="AO335" s="38"/>
      <c r="AP335" s="38"/>
      <c r="AQ335" s="38"/>
      <c r="AR335" s="38"/>
      <c r="AS335" s="38"/>
      <c r="AT335" s="38"/>
      <c r="AU335" s="38"/>
      <c r="AV335" s="38"/>
      <c r="AW335" s="38"/>
      <c r="AX335" s="38"/>
      <c r="AY335" s="43"/>
      <c r="AZ335" s="43"/>
      <c r="BA335" s="43"/>
      <c r="BB335" s="43"/>
      <c r="BC335" s="43"/>
      <c r="BD335" s="43"/>
      <c r="BE335" s="44"/>
      <c r="BF335" s="45"/>
      <c r="BG335" s="43"/>
    </row>
    <row r="336">
      <c r="A336" s="19" t="s">
        <v>406</v>
      </c>
      <c r="B336" s="20">
        <f>VLOOKUP(F336,'Session Count DO NOT EDIT'!$A:$C,3,FALSE)</f>
        <v>4</v>
      </c>
      <c r="C336" s="20">
        <f>COUNTIFS('Scores Import DO NOT EDIT'!D:D,A336)</f>
        <v>4</v>
      </c>
      <c r="D336" s="21">
        <f t="shared" si="1"/>
        <v>1</v>
      </c>
      <c r="E336" s="22">
        <f>AVERAGEIFS('Scores Import DO NOT EDIT'!L:L,'Scores Import DO NOT EDIT'!D:D,A336)</f>
        <v>26</v>
      </c>
      <c r="F336" s="23" t="str">
        <f>VLOOKUP(A336, 'Session Data'!A:M,3,false)</f>
        <v>G-5</v>
      </c>
      <c r="G336" s="24" t="str">
        <f>VLOOKUP(A336, 'Session Data'!A:I,2,false)</f>
        <v>11:00 AM</v>
      </c>
      <c r="H336" s="23" t="str">
        <f>VLOOKUP(A336, 'Session Data'!A:J,5,false)</f>
        <v>Physical and Mathematical Sciences</v>
      </c>
      <c r="I336" s="25" t="str">
        <f>VLOOKUP(A336, 'Session Data'!A:H,4,false)</f>
        <v>Poster</v>
      </c>
      <c r="J336" s="26" t="str">
        <f>VLOOKUP(A336, 'Session Data'!A:AA,14,false)</f>
        <v>Undergraduate</v>
      </c>
      <c r="K336" s="27" t="str">
        <f>VLOOKUP(A336, 'Session Data'!A:AA,15,false)</f>
        <v>Sciences</v>
      </c>
      <c r="L336" s="47"/>
      <c r="M336" s="29" t="str">
        <f>VLOOKUP(A336, 'Session Data'!A:K,11,false)</f>
        <v>Bachelor of Science Microbiology CLS</v>
      </c>
      <c r="N336" s="26" t="str">
        <f>IF(ISNA(VLOOKUP(A336, 'Award Abstract#'!C:C, 1, FALSE)), "No", "Yes")
</f>
        <v>No</v>
      </c>
      <c r="O336" s="29" t="str">
        <f>IF(ISNA(VLOOKUP(A336,'Award Abstract#'!B:B,1,FALSE)), "No", "Yes")</f>
        <v>No</v>
      </c>
      <c r="P336" s="29" t="str">
        <f>IF(ISNA(VLOOKUP(A336,'Award Abstract#'!E:E,1,FALSE)), "No", "Yes")</f>
        <v>No</v>
      </c>
      <c r="Q336" s="29" t="str">
        <f>IF(ISNA(VLOOKUP(A336,'Award Abstract#'!A:A,1,FALSE)), "No", "Yes")</f>
        <v>No</v>
      </c>
      <c r="R336" s="29" t="str">
        <f>IF(ISNA(VLOOKUP(A336,'Award Abstract#'!D:D,1,FALSE)), "No", "Yes")</f>
        <v>No</v>
      </c>
      <c r="S336" s="30" t="str">
        <f>VLOOKUP(A336, 'Session Data'!A:AA,27,false)</f>
        <v>Man</v>
      </c>
      <c r="T336" s="30"/>
      <c r="U336" s="30"/>
      <c r="V336" s="31" t="str">
        <f>VLOOKUP(A336, 'Session Data'!A:AA,8,false)</f>
        <v>Christian</v>
      </c>
      <c r="W336" s="32" t="str">
        <f>VLOOKUP(A336, 'Session Data'!A:AA,9,false)</f>
        <v>Sandoval</v>
      </c>
      <c r="X336" s="33" t="str">
        <f>VLOOKUP(A336, 'Session Data'!A:AA,12,false)</f>
        <v>DES as novel reaction media for the investigation of amino acids for detection of past life </v>
      </c>
      <c r="Y336" s="34" t="str">
        <f>VLOOKUP(A336, 'Session Data'!A:AA,22,false)</f>
        <v>Christopher</v>
      </c>
      <c r="Z336" s="34" t="str">
        <f>VLOOKUP(A336, 'Session Data'!A:AA,23,false)</f>
        <v>Harrison</v>
      </c>
      <c r="AA336" s="34" t="str">
        <f>VLOOKUP(A336, 'Session Data'!A:AA,25,false)</f>
        <v>Sciences</v>
      </c>
      <c r="AB336" s="34" t="str">
        <f>VLOOKUP(A336, 'Session Data'!A:AA,24,false)</f>
        <v>charrison@sdsu.edu</v>
      </c>
      <c r="AC336" s="34" t="str">
        <f>VLOOKUP(A336, 'Session Data'!A:AA,16,false)</f>
        <v/>
      </c>
      <c r="AD336" s="35" t="str">
        <f>VLOOKUP(A336, 'Session Data'!A:U,17,false)</f>
        <v/>
      </c>
      <c r="AE336" s="35" t="str">
        <f>VLOOKUP(A336, 'Session Data'!A:U,18,false)</f>
        <v/>
      </c>
      <c r="AF336" s="35" t="str">
        <f>VLOOKUP(A336, 'Session Data'!A:U,19,false)</f>
        <v/>
      </c>
      <c r="AG336" s="35" t="str">
        <f>VLOOKUP(A336, 'Session Data'!A:U,20,false)</f>
        <v/>
      </c>
      <c r="AH336" s="35" t="str">
        <f>VLOOKUP(A336, 'Session Data'!A:U,21,false)</f>
        <v/>
      </c>
      <c r="AI336" s="37"/>
      <c r="AJ336" s="37"/>
      <c r="AK336" s="37"/>
      <c r="AL336" s="50"/>
      <c r="AM336" s="34" t="str">
        <f>VLOOKUP(A336, 'Session Data'!A:AA,10,false)</f>
        <v>csandoval3701@sdsu.edu</v>
      </c>
      <c r="AN336" s="40"/>
      <c r="AO336" s="38"/>
      <c r="AP336" s="38"/>
      <c r="AQ336" s="38"/>
      <c r="AR336" s="38"/>
      <c r="AS336" s="38"/>
      <c r="AT336" s="38"/>
      <c r="AU336" s="38"/>
      <c r="AV336" s="38"/>
      <c r="AW336" s="38"/>
      <c r="AX336" s="38"/>
      <c r="AY336" s="43"/>
      <c r="AZ336" s="43"/>
      <c r="BA336" s="48"/>
      <c r="BB336" s="48"/>
      <c r="BC336" s="43"/>
      <c r="BD336" s="43"/>
      <c r="BE336" s="44"/>
      <c r="BF336" s="45"/>
      <c r="BG336" s="46"/>
    </row>
    <row r="337">
      <c r="A337" s="19" t="s">
        <v>407</v>
      </c>
      <c r="B337" s="20">
        <f>VLOOKUP(F337,'Session Count DO NOT EDIT'!$A:$C,3,FALSE)</f>
        <v>4</v>
      </c>
      <c r="C337" s="20">
        <f>COUNTIFS('Scores Import DO NOT EDIT'!D:D,A337)</f>
        <v>3</v>
      </c>
      <c r="D337" s="21">
        <f t="shared" si="1"/>
        <v>0.75</v>
      </c>
      <c r="E337" s="22">
        <f>AVERAGEIFS('Scores Import DO NOT EDIT'!L:L,'Scores Import DO NOT EDIT'!D:D,A337)</f>
        <v>25</v>
      </c>
      <c r="F337" s="23" t="str">
        <f>VLOOKUP(A337, 'Session Data'!A:M,3,false)</f>
        <v>G-5</v>
      </c>
      <c r="G337" s="24" t="str">
        <f>VLOOKUP(A337, 'Session Data'!A:I,2,false)</f>
        <v>11:00 AM</v>
      </c>
      <c r="H337" s="23" t="str">
        <f>VLOOKUP(A337, 'Session Data'!A:J,5,false)</f>
        <v>Physical and Mathematical Sciences</v>
      </c>
      <c r="I337" s="25" t="str">
        <f>VLOOKUP(A337, 'Session Data'!A:H,4,false)</f>
        <v>Poster</v>
      </c>
      <c r="J337" s="26" t="str">
        <f>VLOOKUP(A337, 'Session Data'!A:AA,14,false)</f>
        <v>Undergraduate</v>
      </c>
      <c r="K337" s="27" t="str">
        <f>VLOOKUP(A337, 'Session Data'!A:AA,15,false)</f>
        <v>Sciences</v>
      </c>
      <c r="L337" s="47"/>
      <c r="M337" s="29" t="str">
        <f>VLOOKUP(A337, 'Session Data'!A:K,11,false)</f>
        <v>Biochemistry</v>
      </c>
      <c r="N337" s="26" t="str">
        <f>IF(ISNA(VLOOKUP(A337, 'Award Abstract#'!C:C, 1, FALSE)), "No", "Yes")
</f>
        <v>No</v>
      </c>
      <c r="O337" s="29" t="str">
        <f>IF(ISNA(VLOOKUP(A337,'Award Abstract#'!B:B,1,FALSE)), "No", "Yes")</f>
        <v>No</v>
      </c>
      <c r="P337" s="29" t="str">
        <f>IF(ISNA(VLOOKUP(A337,'Award Abstract#'!E:E,1,FALSE)), "No", "Yes")</f>
        <v>No</v>
      </c>
      <c r="Q337" s="29" t="str">
        <f>IF(ISNA(VLOOKUP(A337,'Award Abstract#'!A:A,1,FALSE)), "No", "Yes")</f>
        <v>No</v>
      </c>
      <c r="R337" s="29" t="str">
        <f>IF(ISNA(VLOOKUP(A337,'Award Abstract#'!D:D,1,FALSE)), "No", "Yes")</f>
        <v>Yes</v>
      </c>
      <c r="S337" s="30" t="str">
        <f>VLOOKUP(A337, 'Session Data'!A:AA,27,false)</f>
        <v>Man</v>
      </c>
      <c r="T337" s="30"/>
      <c r="U337" s="30"/>
      <c r="V337" s="31" t="str">
        <f>VLOOKUP(A337, 'Session Data'!A:AA,8,false)</f>
        <v>Aaron </v>
      </c>
      <c r="W337" s="32" t="str">
        <f>VLOOKUP(A337, 'Session Data'!A:AA,9,false)</f>
        <v>Le</v>
      </c>
      <c r="X337" s="33" t="str">
        <f>VLOOKUP(A337, 'Session Data'!A:AA,12,false)</f>
        <v>R132H IDH1 mutant efficiency with modify ⍺10 helix</v>
      </c>
      <c r="Y337" s="34" t="str">
        <f>VLOOKUP(A337, 'Session Data'!A:AA,22,false)</f>
        <v>Christal </v>
      </c>
      <c r="Z337" s="34" t="str">
        <f>VLOOKUP(A337, 'Session Data'!A:AA,23,false)</f>
        <v>Sohl</v>
      </c>
      <c r="AA337" s="34" t="str">
        <f>VLOOKUP(A337, 'Session Data'!A:AA,25,false)</f>
        <v>Sciences</v>
      </c>
      <c r="AB337" s="34"/>
      <c r="AC337" s="34" t="str">
        <f>VLOOKUP(A337, 'Session Data'!A:AA,16,false)</f>
        <v/>
      </c>
      <c r="AD337" s="35" t="str">
        <f>VLOOKUP(A337, 'Session Data'!A:U,17,false)</f>
        <v/>
      </c>
      <c r="AE337" s="35" t="str">
        <f>VLOOKUP(A337, 'Session Data'!A:U,18,false)</f>
        <v/>
      </c>
      <c r="AF337" s="35" t="str">
        <f>VLOOKUP(A337, 'Session Data'!A:U,19,false)</f>
        <v/>
      </c>
      <c r="AG337" s="35" t="str">
        <f>VLOOKUP(A337, 'Session Data'!A:U,20,false)</f>
        <v/>
      </c>
      <c r="AH337" s="35" t="str">
        <f>VLOOKUP(A337, 'Session Data'!A:U,21,false)</f>
        <v/>
      </c>
      <c r="AI337" s="37"/>
      <c r="AJ337" s="37"/>
      <c r="AK337" s="37"/>
      <c r="AL337" s="50"/>
      <c r="AM337" s="34" t="str">
        <f>VLOOKUP(A337, 'Session Data'!A:AA,10,false)</f>
        <v>ale4652@sdsu.edu</v>
      </c>
      <c r="AN337" s="40"/>
      <c r="AO337" s="38"/>
      <c r="AP337" s="38"/>
      <c r="AQ337" s="38"/>
      <c r="AR337" s="38"/>
      <c r="AS337" s="38"/>
      <c r="AT337" s="38"/>
      <c r="AU337" s="38"/>
      <c r="AV337" s="38"/>
      <c r="AW337" s="38"/>
      <c r="AX337" s="38"/>
      <c r="AY337" s="43"/>
      <c r="AZ337" s="43"/>
      <c r="BA337" s="48"/>
      <c r="BB337" s="48"/>
      <c r="BC337" s="43"/>
      <c r="BD337" s="43"/>
      <c r="BE337" s="44"/>
      <c r="BF337" s="45"/>
      <c r="BG337" s="43"/>
    </row>
    <row r="338">
      <c r="A338" s="19" t="s">
        <v>408</v>
      </c>
      <c r="B338" s="20">
        <f>VLOOKUP(F338,'Session Count DO NOT EDIT'!$A:$C,3,FALSE)</f>
        <v>4</v>
      </c>
      <c r="C338" s="20">
        <f>COUNTIFS('Scores Import DO NOT EDIT'!D:D,A338)</f>
        <v>2</v>
      </c>
      <c r="D338" s="21">
        <f t="shared" si="1"/>
        <v>0.5</v>
      </c>
      <c r="E338" s="22">
        <f>AVERAGEIFS('Scores Import DO NOT EDIT'!L:L,'Scores Import DO NOT EDIT'!D:D,A338)</f>
        <v>22.5</v>
      </c>
      <c r="F338" s="23" t="str">
        <f>VLOOKUP(A338, 'Session Data'!A:M,3,false)</f>
        <v>G-5</v>
      </c>
      <c r="G338" s="24" t="str">
        <f>VLOOKUP(A338, 'Session Data'!A:I,2,false)</f>
        <v>11:00 AM</v>
      </c>
      <c r="H338" s="23" t="str">
        <f>VLOOKUP(A338, 'Session Data'!A:J,5,false)</f>
        <v>Physical and Mathematical Sciences</v>
      </c>
      <c r="I338" s="25" t="str">
        <f>VLOOKUP(A338, 'Session Data'!A:H,4,false)</f>
        <v>Poster</v>
      </c>
      <c r="J338" s="26" t="str">
        <f>VLOOKUP(A338, 'Session Data'!A:AA,14,false)</f>
        <v>Undergraduate</v>
      </c>
      <c r="K338" s="27" t="str">
        <f>VLOOKUP(A338, 'Session Data'!A:AA,15,false)</f>
        <v>Sciences</v>
      </c>
      <c r="L338" s="28"/>
      <c r="M338" s="29" t="str">
        <f>VLOOKUP(A338, 'Session Data'!A:K,11,false)</f>
        <v>Environmental Science </v>
      </c>
      <c r="N338" s="26" t="str">
        <f>IF(ISNA(VLOOKUP(A338, 'Award Abstract#'!C:C, 1, FALSE)), "No", "Yes")
</f>
        <v>No</v>
      </c>
      <c r="O338" s="29" t="str">
        <f>IF(ISNA(VLOOKUP(A338,'Award Abstract#'!B:B,1,FALSE)), "No", "Yes")</f>
        <v>No</v>
      </c>
      <c r="P338" s="29" t="str">
        <f>IF(ISNA(VLOOKUP(A338,'Award Abstract#'!E:E,1,FALSE)), "No", "Yes")</f>
        <v>No</v>
      </c>
      <c r="Q338" s="29" t="str">
        <f>IF(ISNA(VLOOKUP(A338,'Award Abstract#'!A:A,1,FALSE)), "No", "Yes")</f>
        <v>No</v>
      </c>
      <c r="R338" s="29" t="str">
        <f>IF(ISNA(VLOOKUP(A338,'Award Abstract#'!D:D,1,FALSE)), "No", "Yes")</f>
        <v>No</v>
      </c>
      <c r="S338" s="30" t="str">
        <f>VLOOKUP(A338, 'Session Data'!A:AA,27,false)</f>
        <v>Woman</v>
      </c>
      <c r="T338" s="30"/>
      <c r="U338" s="30"/>
      <c r="V338" s="31" t="str">
        <f>VLOOKUP(A338, 'Session Data'!A:AA,8,false)</f>
        <v>Jessica</v>
      </c>
      <c r="W338" s="32" t="str">
        <f>VLOOKUP(A338, 'Session Data'!A:AA,9,false)</f>
        <v>Keiser</v>
      </c>
      <c r="X338" s="33" t="str">
        <f>VLOOKUP(A338, 'Session Data'!A:AA,12,false)</f>
        <v>How Does Foliage Cover Affect Water Temperature and Thermal Microrefugia for Trout Populations in the South Fork of the Eel River?</v>
      </c>
      <c r="Y338" s="34" t="str">
        <f>VLOOKUP(A338, 'Session Data'!A:AA,22,false)</f>
        <v>Hilary</v>
      </c>
      <c r="Z338" s="34" t="str">
        <f>VLOOKUP(A338, 'Session Data'!A:AA,23,false)</f>
        <v>McMillan</v>
      </c>
      <c r="AA338" s="34" t="str">
        <f>VLOOKUP(A338, 'Session Data'!A:AA,25,false)</f>
        <v>Sciences</v>
      </c>
      <c r="AB338" s="34"/>
      <c r="AC338" s="34" t="str">
        <f>VLOOKUP(A338, 'Session Data'!A:AA,16,false)</f>
        <v>Natalie</v>
      </c>
      <c r="AD338" s="35" t="str">
        <f>VLOOKUP(A338, 'Session Data'!A:U,17,false)</f>
        <v>Farnell</v>
      </c>
      <c r="AE338" s="35" t="str">
        <f>VLOOKUP(A338, 'Session Data'!A:U,18,false)</f>
        <v>Emily</v>
      </c>
      <c r="AF338" s="35" t="str">
        <f>VLOOKUP(A338, 'Session Data'!A:U,19,false)</f>
        <v>Herriott</v>
      </c>
      <c r="AG338" s="35" t="str">
        <f>VLOOKUP(A338, 'Session Data'!A:U,20,false)</f>
        <v>Linkynn </v>
      </c>
      <c r="AH338" s="35" t="str">
        <f>VLOOKUP(A338, 'Session Data'!A:U,21,false)</f>
        <v>Garrett</v>
      </c>
      <c r="AI338" s="37"/>
      <c r="AJ338" s="37"/>
      <c r="AK338" s="37"/>
      <c r="AL338" s="50"/>
      <c r="AM338" s="34" t="str">
        <f>VLOOKUP(A338, 'Session Data'!A:AA,10,false)</f>
        <v>jkeiser6289@sdsu.edu</v>
      </c>
      <c r="AN338" s="40"/>
      <c r="AO338" s="38"/>
      <c r="AP338" s="38"/>
      <c r="AQ338" s="38"/>
      <c r="AR338" s="38"/>
      <c r="AS338" s="38"/>
      <c r="AT338" s="38"/>
      <c r="AU338" s="38"/>
      <c r="AV338" s="38"/>
      <c r="AW338" s="38"/>
      <c r="AX338" s="38"/>
      <c r="AY338" s="43"/>
      <c r="AZ338" s="43"/>
      <c r="BA338" s="48"/>
      <c r="BB338" s="48"/>
      <c r="BC338" s="43"/>
      <c r="BD338" s="43"/>
      <c r="BE338" s="44"/>
      <c r="BF338" s="45"/>
      <c r="BG338" s="46"/>
    </row>
    <row r="339">
      <c r="A339" s="19" t="s">
        <v>409</v>
      </c>
      <c r="B339" s="20">
        <f>VLOOKUP(F339,'Session Count DO NOT EDIT'!$A:$C,3,FALSE)</f>
        <v>4</v>
      </c>
      <c r="C339" s="20">
        <f>COUNTIFS('Scores Import DO NOT EDIT'!D:D,A339)</f>
        <v>3</v>
      </c>
      <c r="D339" s="21">
        <f t="shared" si="1"/>
        <v>0.75</v>
      </c>
      <c r="E339" s="22">
        <f>AVERAGEIFS('Scores Import DO NOT EDIT'!L:L,'Scores Import DO NOT EDIT'!D:D,A339)</f>
        <v>29.66666667</v>
      </c>
      <c r="F339" s="23" t="str">
        <f>VLOOKUP(A339, 'Session Data'!A:M,3,false)</f>
        <v>G-6</v>
      </c>
      <c r="G339" s="24" t="str">
        <f>VLOOKUP(A339, 'Session Data'!A:I,2,false)</f>
        <v>11:00 AM</v>
      </c>
      <c r="H339" s="23" t="str">
        <f>VLOOKUP(A339, 'Session Data'!A:J,5,false)</f>
        <v>Health Nutrition and Clinical Sciences 1</v>
      </c>
      <c r="I339" s="25" t="str">
        <f>VLOOKUP(A339, 'Session Data'!A:H,4,false)</f>
        <v>Poster</v>
      </c>
      <c r="J339" s="26" t="str">
        <f>VLOOKUP(A339, 'Session Data'!A:AA,14,false)</f>
        <v>Undergraduate</v>
      </c>
      <c r="K339" s="27" t="str">
        <f>VLOOKUP(A339, 'Session Data'!A:AA,15,false)</f>
        <v>Sciences</v>
      </c>
      <c r="L339" s="47"/>
      <c r="M339" s="29" t="str">
        <f>VLOOKUP(A339, 'Session Data'!A:K,11,false)</f>
        <v>Bachelor of Science in Environmental Sciences</v>
      </c>
      <c r="N339" s="26" t="str">
        <f>IF(ISNA(VLOOKUP(A339, 'Award Abstract#'!C:C, 1, FALSE)), "No", "Yes")
</f>
        <v>No</v>
      </c>
      <c r="O339" s="29" t="str">
        <f>IF(ISNA(VLOOKUP(A339,'Award Abstract#'!B:B,1,FALSE)), "No", "Yes")</f>
        <v>Yes</v>
      </c>
      <c r="P339" s="29" t="str">
        <f>IF(ISNA(VLOOKUP(A339,'Award Abstract#'!E:E,1,FALSE)), "No", "Yes")</f>
        <v>No</v>
      </c>
      <c r="Q339" s="29" t="str">
        <f>IF(ISNA(VLOOKUP(A339,'Award Abstract#'!A:A,1,FALSE)), "No", "Yes")</f>
        <v>No</v>
      </c>
      <c r="R339" s="29" t="str">
        <f>IF(ISNA(VLOOKUP(A339,'Award Abstract#'!D:D,1,FALSE)), "No", "Yes")</f>
        <v>No</v>
      </c>
      <c r="S339" s="30" t="str">
        <f>VLOOKUP(A339, 'Session Data'!A:AA,27,false)</f>
        <v>Woman</v>
      </c>
      <c r="T339" s="30"/>
      <c r="U339" s="30"/>
      <c r="V339" s="31" t="str">
        <f>VLOOKUP(A339, 'Session Data'!A:AA,8,false)</f>
        <v>Tina</v>
      </c>
      <c r="W339" s="32" t="str">
        <f>VLOOKUP(A339, 'Session Data'!A:AA,9,false)</f>
        <v>Tran</v>
      </c>
      <c r="X339" s="33" t="str">
        <f>VLOOKUP(A339, 'Session Data'!A:AA,12,false)</f>
        <v>Leached chemicals from secondhand blue and red cotton-polyester microfibers. </v>
      </c>
      <c r="Y339" s="34" t="str">
        <f>VLOOKUP(A339, 'Session Data'!A:AA,22,false)</f>
        <v>Eunha</v>
      </c>
      <c r="Z339" s="34" t="str">
        <f>VLOOKUP(A339, 'Session Data'!A:AA,23,false)</f>
        <v>Hoh</v>
      </c>
      <c r="AA339" s="34" t="str">
        <f>VLOOKUP(A339, 'Session Data'!A:AA,25,false)</f>
        <v>Health and Human Services</v>
      </c>
      <c r="AB339" s="34" t="str">
        <f>VLOOKUP(A339, 'Session Data'!A:AA,24,false)</f>
        <v>ehoh@sdsu.edu</v>
      </c>
      <c r="AC339" s="34" t="str">
        <f>VLOOKUP(A339, 'Session Data'!A:AA,16,false)</f>
        <v/>
      </c>
      <c r="AD339" s="35" t="str">
        <f>VLOOKUP(A339, 'Session Data'!A:U,17,false)</f>
        <v/>
      </c>
      <c r="AE339" s="35" t="str">
        <f>VLOOKUP(A339, 'Session Data'!A:U,18,false)</f>
        <v/>
      </c>
      <c r="AF339" s="35" t="str">
        <f>VLOOKUP(A339, 'Session Data'!A:U,19,false)</f>
        <v/>
      </c>
      <c r="AG339" s="35" t="str">
        <f>VLOOKUP(A339, 'Session Data'!A:U,20,false)</f>
        <v/>
      </c>
      <c r="AH339" s="35" t="str">
        <f>VLOOKUP(A339, 'Session Data'!A:U,21,false)</f>
        <v/>
      </c>
      <c r="AI339" s="37"/>
      <c r="AJ339" s="37"/>
      <c r="AK339" s="37"/>
      <c r="AL339" s="50"/>
      <c r="AM339" s="34" t="str">
        <f>VLOOKUP(A339, 'Session Data'!A:AA,10,false)</f>
        <v>ttran1842@sdsu.edu</v>
      </c>
      <c r="AN339" s="40"/>
      <c r="AO339" s="38"/>
      <c r="AP339" s="38"/>
      <c r="AQ339" s="38"/>
      <c r="AR339" s="38"/>
      <c r="AS339" s="38"/>
      <c r="AT339" s="38"/>
      <c r="AU339" s="38"/>
      <c r="AV339" s="38"/>
      <c r="AW339" s="38"/>
      <c r="AX339" s="38"/>
      <c r="AY339" s="43"/>
      <c r="AZ339" s="43"/>
      <c r="BA339" s="43"/>
      <c r="BB339" s="43"/>
      <c r="BC339" s="43"/>
      <c r="BD339" s="43"/>
      <c r="BE339" s="44"/>
      <c r="BF339" s="45"/>
      <c r="BG339" s="43"/>
    </row>
    <row r="340">
      <c r="A340" s="19" t="s">
        <v>410</v>
      </c>
      <c r="B340" s="20">
        <f>VLOOKUP(F340,'Session Count DO NOT EDIT'!$A:$C,3,FALSE)</f>
        <v>4</v>
      </c>
      <c r="C340" s="20">
        <f>COUNTIFS('Scores Import DO NOT EDIT'!D:D,A340)</f>
        <v>0</v>
      </c>
      <c r="D340" s="21">
        <f t="shared" si="1"/>
        <v>0</v>
      </c>
      <c r="E340" s="22" t="str">
        <f>AVERAGEIFS('Scores Import DO NOT EDIT'!L:L,'Scores Import DO NOT EDIT'!D:D,A340)</f>
        <v>#DIV/0!</v>
      </c>
      <c r="F340" s="23" t="str">
        <f>VLOOKUP(A340, 'Session Data'!A:M,3,false)</f>
        <v>G-6</v>
      </c>
      <c r="G340" s="24" t="str">
        <f>VLOOKUP(A340, 'Session Data'!A:I,2,false)</f>
        <v>11:00 AM</v>
      </c>
      <c r="H340" s="23" t="str">
        <f>VLOOKUP(A340, 'Session Data'!A:J,5,false)</f>
        <v>Health Nutrition and Clinical Sciences 1</v>
      </c>
      <c r="I340" s="25" t="str">
        <f>VLOOKUP(A340, 'Session Data'!A:H,4,false)</f>
        <v>Poster</v>
      </c>
      <c r="J340" s="26" t="str">
        <f>VLOOKUP(A340, 'Session Data'!A:AA,14,false)</f>
        <v>Undergraduate</v>
      </c>
      <c r="K340" s="27" t="str">
        <f>VLOOKUP(A340, 'Session Data'!A:AA,15,false)</f>
        <v>Health and Human Services</v>
      </c>
      <c r="L340" s="28"/>
      <c r="M340" s="29" t="str">
        <f>VLOOKUP(A340, 'Session Data'!A:K,11,false)</f>
        <v>Bachelors of Science in Nursing</v>
      </c>
      <c r="N340" s="26" t="str">
        <f>IF(ISNA(VLOOKUP(A340, 'Award Abstract#'!C:C, 1, FALSE)), "No", "Yes")
</f>
        <v>No</v>
      </c>
      <c r="O340" s="29" t="str">
        <f>IF(ISNA(VLOOKUP(A340,'Award Abstract#'!B:B,1,FALSE)), "No", "Yes")</f>
        <v>No</v>
      </c>
      <c r="P340" s="29" t="str">
        <f>IF(ISNA(VLOOKUP(A340,'Award Abstract#'!E:E,1,FALSE)), "No", "Yes")</f>
        <v>No</v>
      </c>
      <c r="Q340" s="29" t="str">
        <f>IF(ISNA(VLOOKUP(A340,'Award Abstract#'!A:A,1,FALSE)), "No", "Yes")</f>
        <v>No</v>
      </c>
      <c r="R340" s="29" t="str">
        <f>IF(ISNA(VLOOKUP(A340,'Award Abstract#'!D:D,1,FALSE)), "No", "Yes")</f>
        <v>No</v>
      </c>
      <c r="S340" s="30" t="str">
        <f>VLOOKUP(A340, 'Session Data'!A:AA,27,false)</f>
        <v>Man</v>
      </c>
      <c r="T340" s="30"/>
      <c r="U340" s="30"/>
      <c r="V340" s="31" t="str">
        <f>VLOOKUP(A340, 'Session Data'!A:AA,8,false)</f>
        <v>Christopher</v>
      </c>
      <c r="W340" s="32" t="str">
        <f>VLOOKUP(A340, 'Session Data'!A:AA,9,false)</f>
        <v>Le</v>
      </c>
      <c r="X340" s="33" t="str">
        <f>VLOOKUP(A340, 'Session Data'!A:AA,12,false)</f>
        <v>Tube Feeding in Dementia: A Literature Review on Nutritional Outcomes and Complications</v>
      </c>
      <c r="Y340" s="34" t="str">
        <f>VLOOKUP(A340, 'Session Data'!A:AA,22,false)</f>
        <v>Karen</v>
      </c>
      <c r="Z340" s="34" t="str">
        <f>VLOOKUP(A340, 'Session Data'!A:AA,23,false)</f>
        <v>Reavis </v>
      </c>
      <c r="AA340" s="34" t="str">
        <f>VLOOKUP(A340, 'Session Data'!A:AA,25,false)</f>
        <v>Health and Human Services</v>
      </c>
      <c r="AB340" s="34" t="str">
        <f>VLOOKUP(A340, 'Session Data'!A:AA,24,false)</f>
        <v>kreavis@sdsu.edu</v>
      </c>
      <c r="AC340" s="34" t="str">
        <f>VLOOKUP(A340, 'Session Data'!A:AA,16,false)</f>
        <v>Kayla </v>
      </c>
      <c r="AD340" s="35" t="str">
        <f>VLOOKUP(A340, 'Session Data'!A:U,17,false)</f>
        <v>Yu</v>
      </c>
      <c r="AE340" s="35" t="str">
        <f>VLOOKUP(A340, 'Session Data'!A:U,18,false)</f>
        <v/>
      </c>
      <c r="AF340" s="35" t="str">
        <f>VLOOKUP(A340, 'Session Data'!A:U,19,false)</f>
        <v/>
      </c>
      <c r="AG340" s="35" t="str">
        <f>VLOOKUP(A340, 'Session Data'!A:U,20,false)</f>
        <v/>
      </c>
      <c r="AH340" s="35" t="str">
        <f>VLOOKUP(A340, 'Session Data'!A:U,21,false)</f>
        <v/>
      </c>
      <c r="AI340" s="37"/>
      <c r="AJ340" s="37"/>
      <c r="AK340" s="37"/>
      <c r="AL340" s="50"/>
      <c r="AM340" s="34" t="str">
        <f>VLOOKUP(A340, 'Session Data'!A:AA,10,false)</f>
        <v>cle4136@sdsu.edu</v>
      </c>
      <c r="AN340" s="40"/>
      <c r="AO340" s="38"/>
      <c r="AP340" s="38"/>
      <c r="AQ340" s="38"/>
      <c r="AR340" s="38"/>
      <c r="AS340" s="38"/>
      <c r="AT340" s="38"/>
      <c r="AU340" s="38"/>
      <c r="AV340" s="38"/>
      <c r="AW340" s="38"/>
      <c r="AX340" s="38"/>
      <c r="AY340" s="43"/>
      <c r="AZ340" s="43"/>
      <c r="BA340" s="48"/>
      <c r="BB340" s="48"/>
      <c r="BC340" s="43"/>
      <c r="BD340" s="43"/>
      <c r="BE340" s="44"/>
      <c r="BF340" s="45"/>
      <c r="BG340" s="43"/>
    </row>
    <row r="341">
      <c r="A341" s="19" t="s">
        <v>411</v>
      </c>
      <c r="B341" s="20">
        <f>VLOOKUP(F341,'Session Count DO NOT EDIT'!$A:$C,3,FALSE)</f>
        <v>4</v>
      </c>
      <c r="C341" s="20">
        <f>COUNTIFS('Scores Import DO NOT EDIT'!D:D,A341)</f>
        <v>3</v>
      </c>
      <c r="D341" s="21">
        <f t="shared" si="1"/>
        <v>0.75</v>
      </c>
      <c r="E341" s="22">
        <f>AVERAGEIFS('Scores Import DO NOT EDIT'!L:L,'Scores Import DO NOT EDIT'!D:D,A341)</f>
        <v>31</v>
      </c>
      <c r="F341" s="23" t="str">
        <f>VLOOKUP(A341, 'Session Data'!A:M,3,false)</f>
        <v>G-6</v>
      </c>
      <c r="G341" s="24" t="str">
        <f>VLOOKUP(A341, 'Session Data'!A:I,2,false)</f>
        <v>11:00 AM</v>
      </c>
      <c r="H341" s="23" t="str">
        <f>VLOOKUP(A341, 'Session Data'!A:J,5,false)</f>
        <v>Health Nutrition and Clinical Sciences 1</v>
      </c>
      <c r="I341" s="25" t="str">
        <f>VLOOKUP(A341, 'Session Data'!A:H,4,false)</f>
        <v>Poster</v>
      </c>
      <c r="J341" s="26" t="str">
        <f>VLOOKUP(A341, 'Session Data'!A:AA,14,false)</f>
        <v>Undergraduate</v>
      </c>
      <c r="K341" s="27" t="str">
        <f>VLOOKUP(A341, 'Session Data'!A:AA,15,false)</f>
        <v>Arts and Letters</v>
      </c>
      <c r="L341" s="52" t="s">
        <v>73</v>
      </c>
      <c r="M341" s="29" t="str">
        <f>VLOOKUP(A341, 'Session Data'!A:K,11,false)</f>
        <v>Bachelor of Arts in Psychology</v>
      </c>
      <c r="N341" s="26" t="str">
        <f>IF(ISNA(VLOOKUP(A341, 'Award Abstract#'!C:C, 1, FALSE)), "No", "Yes")
</f>
        <v>No</v>
      </c>
      <c r="O341" s="29" t="str">
        <f>IF(ISNA(VLOOKUP(A341,'Award Abstract#'!B:B,1,FALSE)), "No", "Yes")</f>
        <v>No</v>
      </c>
      <c r="P341" s="29" t="str">
        <f>IF(ISNA(VLOOKUP(A341,'Award Abstract#'!E:E,1,FALSE)), "No", "Yes")</f>
        <v>Yes</v>
      </c>
      <c r="Q341" s="29" t="str">
        <f>IF(ISNA(VLOOKUP(A341,'Award Abstract#'!A:A,1,FALSE)), "No", "Yes")</f>
        <v>No</v>
      </c>
      <c r="R341" s="29" t="str">
        <f>IF(ISNA(VLOOKUP(A341,'Award Abstract#'!D:D,1,FALSE)), "No", "Yes")</f>
        <v>No</v>
      </c>
      <c r="S341" s="30" t="str">
        <f>VLOOKUP(A341, 'Session Data'!A:AA,27,false)</f>
        <v>Woman</v>
      </c>
      <c r="T341" s="30"/>
      <c r="U341" s="30"/>
      <c r="V341" s="31" t="str">
        <f>VLOOKUP(A341, 'Session Data'!A:AA,8,false)</f>
        <v>Mia</v>
      </c>
      <c r="W341" s="32" t="str">
        <f>VLOOKUP(A341, 'Session Data'!A:AA,9,false)</f>
        <v>Quintana</v>
      </c>
      <c r="X341" s="33" t="str">
        <f>VLOOKUP(A341, 'Session Data'!A:AA,12,false)</f>
        <v>The Role of Mother’s in Preadolescent Latinas Health and Eating Behaviors</v>
      </c>
      <c r="Y341" s="34" t="str">
        <f>VLOOKUP(A341, 'Session Data'!A:AA,22,false)</f>
        <v>Elva</v>
      </c>
      <c r="Z341" s="34" t="str">
        <f>VLOOKUP(A341, 'Session Data'!A:AA,23,false)</f>
        <v>Arredondo</v>
      </c>
      <c r="AA341" s="34" t="str">
        <f>VLOOKUP(A341, 'Session Data'!A:AA,25,false)</f>
        <v>Arts and Letters</v>
      </c>
      <c r="AB341" s="34" t="str">
        <f>VLOOKUP(A341, 'Session Data'!A:AA,24,false)</f>
        <v>earredon@sdsu.edu</v>
      </c>
      <c r="AC341" s="34" t="str">
        <f>VLOOKUP(A341, 'Session Data'!A:AA,16,false)</f>
        <v/>
      </c>
      <c r="AD341" s="35" t="str">
        <f>VLOOKUP(A341, 'Session Data'!A:U,17,false)</f>
        <v/>
      </c>
      <c r="AE341" s="35" t="str">
        <f>VLOOKUP(A341, 'Session Data'!A:U,18,false)</f>
        <v/>
      </c>
      <c r="AF341" s="35" t="str">
        <f>VLOOKUP(A341, 'Session Data'!A:U,19,false)</f>
        <v/>
      </c>
      <c r="AG341" s="35" t="str">
        <f>VLOOKUP(A341, 'Session Data'!A:U,20,false)</f>
        <v/>
      </c>
      <c r="AH341" s="35" t="str">
        <f>VLOOKUP(A341, 'Session Data'!A:U,21,false)</f>
        <v/>
      </c>
      <c r="AI341" s="37"/>
      <c r="AJ341" s="37"/>
      <c r="AK341" s="37"/>
      <c r="AL341" s="50"/>
      <c r="AM341" s="34" t="str">
        <f>VLOOKUP(A341, 'Session Data'!A:AA,10,false)</f>
        <v>mquintana6595@sdsu.edu</v>
      </c>
      <c r="AN341" s="40"/>
      <c r="AO341" s="38"/>
      <c r="AP341" s="38"/>
      <c r="AQ341" s="38"/>
      <c r="AR341" s="38"/>
      <c r="AS341" s="38"/>
      <c r="AT341" s="38"/>
      <c r="AU341" s="38"/>
      <c r="AV341" s="38"/>
      <c r="AW341" s="38"/>
      <c r="AX341" s="38"/>
      <c r="AY341" s="43"/>
      <c r="AZ341" s="43"/>
      <c r="BA341" s="43"/>
      <c r="BB341" s="43"/>
      <c r="BC341" s="43"/>
      <c r="BD341" s="43"/>
      <c r="BE341" s="44"/>
      <c r="BF341" s="45"/>
      <c r="BG341" s="43"/>
    </row>
    <row r="342">
      <c r="A342" s="19" t="s">
        <v>412</v>
      </c>
      <c r="B342" s="20">
        <f>VLOOKUP(F342,'Session Count DO NOT EDIT'!$A:$C,3,FALSE)</f>
        <v>4</v>
      </c>
      <c r="C342" s="20">
        <f>COUNTIFS('Scores Import DO NOT EDIT'!D:D,A342)</f>
        <v>3</v>
      </c>
      <c r="D342" s="21">
        <f t="shared" si="1"/>
        <v>0.75</v>
      </c>
      <c r="E342" s="22">
        <f>AVERAGEIFS('Scores Import DO NOT EDIT'!L:L,'Scores Import DO NOT EDIT'!D:D,A342)</f>
        <v>31</v>
      </c>
      <c r="F342" s="23" t="str">
        <f>VLOOKUP(A342, 'Session Data'!A:M,3,false)</f>
        <v>G-6</v>
      </c>
      <c r="G342" s="24" t="str">
        <f>VLOOKUP(A342, 'Session Data'!A:I,2,false)</f>
        <v>11:00 AM</v>
      </c>
      <c r="H342" s="23" t="str">
        <f>VLOOKUP(A342, 'Session Data'!A:J,5,false)</f>
        <v>Health Nutrition and Clinical Sciences 1</v>
      </c>
      <c r="I342" s="25" t="str">
        <f>VLOOKUP(A342, 'Session Data'!A:H,4,false)</f>
        <v>Poster</v>
      </c>
      <c r="J342" s="26" t="str">
        <f>VLOOKUP(A342, 'Session Data'!A:AA,14,false)</f>
        <v>Undergraduate</v>
      </c>
      <c r="K342" s="27" t="str">
        <f>VLOOKUP(A342, 'Session Data'!A:AA,15,false)</f>
        <v>Health and Human Services</v>
      </c>
      <c r="L342" s="47"/>
      <c r="M342" s="29" t="str">
        <f>VLOOKUP(A342, 'Session Data'!A:K,11,false)</f>
        <v>Foods and Nutrition </v>
      </c>
      <c r="N342" s="26" t="str">
        <f>IF(ISNA(VLOOKUP(A342, 'Award Abstract#'!C:C, 1, FALSE)), "No", "Yes")
</f>
        <v>No</v>
      </c>
      <c r="O342" s="29" t="str">
        <f>IF(ISNA(VLOOKUP(A342,'Award Abstract#'!B:B,1,FALSE)), "No", "Yes")</f>
        <v>No</v>
      </c>
      <c r="P342" s="29" t="str">
        <f>IF(ISNA(VLOOKUP(A342,'Award Abstract#'!E:E,1,FALSE)), "No", "Yes")</f>
        <v>No</v>
      </c>
      <c r="Q342" s="29" t="str">
        <f>IF(ISNA(VLOOKUP(A342,'Award Abstract#'!A:A,1,FALSE)), "No", "Yes")</f>
        <v>No</v>
      </c>
      <c r="R342" s="29" t="str">
        <f>IF(ISNA(VLOOKUP(A342,'Award Abstract#'!D:D,1,FALSE)), "No", "Yes")</f>
        <v>No</v>
      </c>
      <c r="S342" s="30" t="str">
        <f>VLOOKUP(A342, 'Session Data'!A:AA,27,false)</f>
        <v>Woman</v>
      </c>
      <c r="T342" s="30"/>
      <c r="U342" s="30"/>
      <c r="V342" s="31" t="str">
        <f>VLOOKUP(A342, 'Session Data'!A:AA,8,false)</f>
        <v>Victoria </v>
      </c>
      <c r="W342" s="32" t="str">
        <f>VLOOKUP(A342, 'Session Data'!A:AA,9,false)</f>
        <v>Esparza</v>
      </c>
      <c r="X342" s="33" t="str">
        <f>VLOOKUP(A342, 'Session Data'!A:AA,12,false)</f>
        <v>Olfactory Nudging promotes short-term weight loss</v>
      </c>
      <c r="Y342" s="34" t="str">
        <f>VLOOKUP(A342, 'Session Data'!A:AA,22,false)</f>
        <v>Surabhi</v>
      </c>
      <c r="Z342" s="34" t="str">
        <f>VLOOKUP(A342, 'Session Data'!A:AA,23,false)</f>
        <v>Bhutani</v>
      </c>
      <c r="AA342" s="34" t="str">
        <f>VLOOKUP(A342, 'Session Data'!A:AA,25,false)</f>
        <v>Health and Human Services</v>
      </c>
      <c r="AB342" s="34" t="str">
        <f>VLOOKUP(A342, 'Session Data'!A:AA,24,false)</f>
        <v>sbhutani@sdsu.edu</v>
      </c>
      <c r="AC342" s="34" t="str">
        <f>VLOOKUP(A342, 'Session Data'!A:AA,16,false)</f>
        <v/>
      </c>
      <c r="AD342" s="35" t="str">
        <f>VLOOKUP(A342, 'Session Data'!A:U,17,false)</f>
        <v/>
      </c>
      <c r="AE342" s="35" t="str">
        <f>VLOOKUP(A342, 'Session Data'!A:U,18,false)</f>
        <v/>
      </c>
      <c r="AF342" s="35" t="str">
        <f>VLOOKUP(A342, 'Session Data'!A:U,19,false)</f>
        <v/>
      </c>
      <c r="AG342" s="35" t="str">
        <f>VLOOKUP(A342, 'Session Data'!A:U,20,false)</f>
        <v/>
      </c>
      <c r="AH342" s="35" t="str">
        <f>VLOOKUP(A342, 'Session Data'!A:U,21,false)</f>
        <v/>
      </c>
      <c r="AI342" s="37"/>
      <c r="AJ342" s="37"/>
      <c r="AK342" s="37"/>
      <c r="AL342" s="50"/>
      <c r="AM342" s="34" t="str">
        <f>VLOOKUP(A342, 'Session Data'!A:AA,10,false)</f>
        <v>vesparza6312@sdsu.edu</v>
      </c>
      <c r="AN342" s="40"/>
      <c r="AO342" s="38"/>
      <c r="AP342" s="38"/>
      <c r="AQ342" s="38"/>
      <c r="AR342" s="38"/>
      <c r="AS342" s="38"/>
      <c r="AT342" s="38"/>
      <c r="AU342" s="38"/>
      <c r="AV342" s="38"/>
      <c r="AW342" s="38"/>
      <c r="AX342" s="38"/>
      <c r="AY342" s="43"/>
      <c r="AZ342" s="43"/>
      <c r="BA342" s="48"/>
      <c r="BB342" s="48"/>
      <c r="BC342" s="43"/>
      <c r="BD342" s="43"/>
      <c r="BE342" s="44"/>
      <c r="BF342" s="45"/>
      <c r="BG342" s="43"/>
    </row>
    <row r="343">
      <c r="A343" s="19" t="s">
        <v>413</v>
      </c>
      <c r="B343" s="20">
        <f>VLOOKUP(F343,'Session Count DO NOT EDIT'!$A:$C,3,FALSE)</f>
        <v>4</v>
      </c>
      <c r="C343" s="20">
        <f>COUNTIFS('Scores Import DO NOT EDIT'!D:D,A343)</f>
        <v>3</v>
      </c>
      <c r="D343" s="21">
        <f t="shared" si="1"/>
        <v>0.75</v>
      </c>
      <c r="E343" s="22">
        <f>AVERAGEIFS('Scores Import DO NOT EDIT'!L:L,'Scores Import DO NOT EDIT'!D:D,A343)</f>
        <v>30.66666667</v>
      </c>
      <c r="F343" s="23" t="str">
        <f>VLOOKUP(A343, 'Session Data'!A:M,3,false)</f>
        <v>G-6</v>
      </c>
      <c r="G343" s="24" t="str">
        <f>VLOOKUP(A343, 'Session Data'!A:I,2,false)</f>
        <v>11:00 AM</v>
      </c>
      <c r="H343" s="23" t="str">
        <f>VLOOKUP(A343, 'Session Data'!A:J,5,false)</f>
        <v>Health Nutrition and Clinical Sciences 1</v>
      </c>
      <c r="I343" s="25" t="str">
        <f>VLOOKUP(A343, 'Session Data'!A:H,4,false)</f>
        <v>Poster</v>
      </c>
      <c r="J343" s="26" t="str">
        <f>VLOOKUP(A343, 'Session Data'!A:AA,14,false)</f>
        <v>Undergraduate</v>
      </c>
      <c r="K343" s="27" t="str">
        <f>VLOOKUP(A343, 'Session Data'!A:AA,15,false)</f>
        <v>Health and Human Services</v>
      </c>
      <c r="L343" s="28"/>
      <c r="M343" s="29" t="str">
        <f>VLOOKUP(A343, 'Session Data'!A:K,11,false)</f>
        <v>Bachelor of Science in Nursing </v>
      </c>
      <c r="N343" s="26" t="str">
        <f>IF(ISNA(VLOOKUP(A343, 'Award Abstract#'!C:C, 1, FALSE)), "No", "Yes")
</f>
        <v>No</v>
      </c>
      <c r="O343" s="29" t="str">
        <f>IF(ISNA(VLOOKUP(A343,'Award Abstract#'!B:B,1,FALSE)), "No", "Yes")</f>
        <v>No</v>
      </c>
      <c r="P343" s="29" t="str">
        <f>IF(ISNA(VLOOKUP(A343,'Award Abstract#'!E:E,1,FALSE)), "No", "Yes")</f>
        <v>No</v>
      </c>
      <c r="Q343" s="29" t="str">
        <f>IF(ISNA(VLOOKUP(A343,'Award Abstract#'!A:A,1,FALSE)), "No", "Yes")</f>
        <v>No</v>
      </c>
      <c r="R343" s="29" t="str">
        <f>IF(ISNA(VLOOKUP(A343,'Award Abstract#'!D:D,1,FALSE)), "No", "Yes")</f>
        <v>No</v>
      </c>
      <c r="S343" s="30" t="str">
        <f>VLOOKUP(A343, 'Session Data'!A:AA,27,false)</f>
        <v>Woman</v>
      </c>
      <c r="T343" s="30"/>
      <c r="U343" s="30"/>
      <c r="V343" s="31" t="str">
        <f>VLOOKUP(A343, 'Session Data'!A:AA,8,false)</f>
        <v>Kaylee</v>
      </c>
      <c r="W343" s="32" t="str">
        <f>VLOOKUP(A343, 'Session Data'!A:AA,9,false)</f>
        <v>Chirgwin</v>
      </c>
      <c r="X343" s="33" t="str">
        <f>VLOOKUP(A343, 'Session Data'!A:AA,12,false)</f>
        <v>Determining the Best Practices for Providing End of Life care to Young adults with Terminal Cancer </v>
      </c>
      <c r="Y343" s="34" t="str">
        <f>VLOOKUP(A343, 'Session Data'!A:AA,22,false)</f>
        <v>Karen </v>
      </c>
      <c r="Z343" s="34" t="str">
        <f>VLOOKUP(A343, 'Session Data'!A:AA,23,false)</f>
        <v>Reavis </v>
      </c>
      <c r="AA343" s="34" t="str">
        <f>VLOOKUP(A343, 'Session Data'!A:AA,25,false)</f>
        <v>Health and Human Services</v>
      </c>
      <c r="AB343" s="34" t="str">
        <f>VLOOKUP(A343, 'Session Data'!A:AA,24,false)</f>
        <v>kreavis@sdsu.edu</v>
      </c>
      <c r="AC343" s="34" t="str">
        <f>VLOOKUP(A343, 'Session Data'!A:AA,16,false)</f>
        <v/>
      </c>
      <c r="AD343" s="35" t="str">
        <f>VLOOKUP(A343, 'Session Data'!A:U,17,false)</f>
        <v/>
      </c>
      <c r="AE343" s="35" t="str">
        <f>VLOOKUP(A343, 'Session Data'!A:U,18,false)</f>
        <v/>
      </c>
      <c r="AF343" s="35" t="str">
        <f>VLOOKUP(A343, 'Session Data'!A:U,19,false)</f>
        <v/>
      </c>
      <c r="AG343" s="35" t="str">
        <f>VLOOKUP(A343, 'Session Data'!A:U,20,false)</f>
        <v/>
      </c>
      <c r="AH343" s="35" t="str">
        <f>VLOOKUP(A343, 'Session Data'!A:U,21,false)</f>
        <v/>
      </c>
      <c r="AI343" s="37"/>
      <c r="AJ343" s="37"/>
      <c r="AK343" s="37"/>
      <c r="AL343" s="50"/>
      <c r="AM343" s="34" t="str">
        <f>VLOOKUP(A343, 'Session Data'!A:AA,10,false)</f>
        <v>kchirgwin8664@sdsu.edu</v>
      </c>
      <c r="AN343" s="40"/>
      <c r="AO343" s="38"/>
      <c r="AP343" s="38"/>
      <c r="AQ343" s="38"/>
      <c r="AR343" s="38"/>
      <c r="AS343" s="38"/>
      <c r="AT343" s="38"/>
      <c r="AU343" s="38"/>
      <c r="AV343" s="38"/>
      <c r="AW343" s="38"/>
      <c r="AX343" s="38"/>
      <c r="AY343" s="43"/>
      <c r="AZ343" s="43"/>
      <c r="BA343" s="48"/>
      <c r="BB343" s="48"/>
      <c r="BC343" s="43"/>
      <c r="BD343" s="43"/>
      <c r="BE343" s="44"/>
      <c r="BF343" s="45"/>
      <c r="BG343" s="43"/>
    </row>
    <row r="344">
      <c r="A344" s="19" t="s">
        <v>414</v>
      </c>
      <c r="B344" s="20">
        <f>VLOOKUP(F344,'Session Count DO NOT EDIT'!$A:$C,3,FALSE)</f>
        <v>4</v>
      </c>
      <c r="C344" s="20">
        <f>COUNTIFS('Scores Import DO NOT EDIT'!D:D,A344)</f>
        <v>3</v>
      </c>
      <c r="D344" s="21">
        <f t="shared" si="1"/>
        <v>0.75</v>
      </c>
      <c r="E344" s="22">
        <f>AVERAGEIFS('Scores Import DO NOT EDIT'!L:L,'Scores Import DO NOT EDIT'!D:D,A344)</f>
        <v>30.33333333</v>
      </c>
      <c r="F344" s="23" t="str">
        <f>VLOOKUP(A344, 'Session Data'!A:M,3,false)</f>
        <v>G-6</v>
      </c>
      <c r="G344" s="24" t="str">
        <f>VLOOKUP(A344, 'Session Data'!A:I,2,false)</f>
        <v>11:00 AM</v>
      </c>
      <c r="H344" s="23" t="str">
        <f>VLOOKUP(A344, 'Session Data'!A:J,5,false)</f>
        <v>Health Nutrition and Clinical Sciences 1</v>
      </c>
      <c r="I344" s="25" t="str">
        <f>VLOOKUP(A344, 'Session Data'!A:H,4,false)</f>
        <v>Poster</v>
      </c>
      <c r="J344" s="26" t="str">
        <f>VLOOKUP(A344, 'Session Data'!A:AA,14,false)</f>
        <v>Undergraduate</v>
      </c>
      <c r="K344" s="27" t="str">
        <f>VLOOKUP(A344, 'Session Data'!A:AA,15,false)</f>
        <v>Sciences</v>
      </c>
      <c r="L344" s="28" t="s">
        <v>73</v>
      </c>
      <c r="M344" s="29" t="str">
        <f>VLOOKUP(A344, 'Session Data'!A:K,11,false)</f>
        <v>Chemistry</v>
      </c>
      <c r="N344" s="26" t="str">
        <f>IF(ISNA(VLOOKUP(A344, 'Award Abstract#'!C:C, 1, FALSE)), "No", "Yes")
</f>
        <v>No</v>
      </c>
      <c r="O344" s="29" t="str">
        <f>IF(ISNA(VLOOKUP(A344,'Award Abstract#'!B:B,1,FALSE)), "No", "Yes")</f>
        <v>No</v>
      </c>
      <c r="P344" s="29" t="str">
        <f>IF(ISNA(VLOOKUP(A344,'Award Abstract#'!E:E,1,FALSE)), "No", "Yes")</f>
        <v>No</v>
      </c>
      <c r="Q344" s="29" t="str">
        <f>IF(ISNA(VLOOKUP(A344,'Award Abstract#'!A:A,1,FALSE)), "No", "Yes")</f>
        <v>No</v>
      </c>
      <c r="R344" s="29" t="str">
        <f>IF(ISNA(VLOOKUP(A344,'Award Abstract#'!D:D,1,FALSE)), "No", "Yes")</f>
        <v>Yes</v>
      </c>
      <c r="S344" s="30" t="str">
        <f>VLOOKUP(A344, 'Session Data'!A:AA,27,false)</f>
        <v>Woman, Cisgender</v>
      </c>
      <c r="T344" s="30"/>
      <c r="U344" s="30"/>
      <c r="V344" s="31" t="str">
        <f>VLOOKUP(A344, 'Session Data'!A:AA,8,false)</f>
        <v>Christina</v>
      </c>
      <c r="W344" s="32" t="str">
        <f>VLOOKUP(A344, 'Session Data'!A:AA,9,false)</f>
        <v>Vialva</v>
      </c>
      <c r="X344" s="33" t="str">
        <f>VLOOKUP(A344, 'Session Data'!A:AA,12,false)</f>
        <v>Designing Research Diets Using USDA Food Composition Tables and ICP-OES</v>
      </c>
      <c r="Y344" s="34" t="str">
        <f>VLOOKUP(A344, 'Session Data'!A:AA,22,false)</f>
        <v>Connie</v>
      </c>
      <c r="Z344" s="34" t="str">
        <f>VLOOKUP(A344, 'Session Data'!A:AA,23,false)</f>
        <v>Weaver</v>
      </c>
      <c r="AA344" s="34" t="str">
        <f>VLOOKUP(A344, 'Session Data'!A:AA,25,false)</f>
        <v>Professional Studies and Fine Arts</v>
      </c>
      <c r="AB344" s="34" t="str">
        <f>VLOOKUP(A344, 'Session Data'!A:AA,24,false)</f>
        <v>cmweaver@sdsu.edu</v>
      </c>
      <c r="AC344" s="34" t="str">
        <f>VLOOKUP(A344, 'Session Data'!A:AA,16,false)</f>
        <v/>
      </c>
      <c r="AD344" s="35" t="str">
        <f>VLOOKUP(A344, 'Session Data'!A:U,17,false)</f>
        <v/>
      </c>
      <c r="AE344" s="35" t="str">
        <f>VLOOKUP(A344, 'Session Data'!A:U,18,false)</f>
        <v/>
      </c>
      <c r="AF344" s="35" t="str">
        <f>VLOOKUP(A344, 'Session Data'!A:U,19,false)</f>
        <v/>
      </c>
      <c r="AG344" s="35" t="str">
        <f>VLOOKUP(A344, 'Session Data'!A:U,20,false)</f>
        <v/>
      </c>
      <c r="AH344" s="35" t="str">
        <f>VLOOKUP(A344, 'Session Data'!A:U,21,false)</f>
        <v/>
      </c>
      <c r="AI344" s="37"/>
      <c r="AJ344" s="37"/>
      <c r="AK344" s="37"/>
      <c r="AL344" s="50"/>
      <c r="AM344" s="34" t="str">
        <f>VLOOKUP(A344, 'Session Data'!A:AA,10,false)</f>
        <v>cvialva9227@sdsu.edu</v>
      </c>
      <c r="AN344" s="40"/>
      <c r="AO344" s="38"/>
      <c r="AP344" s="38"/>
      <c r="AQ344" s="38"/>
      <c r="AR344" s="38"/>
      <c r="AS344" s="38"/>
      <c r="AT344" s="38"/>
      <c r="AU344" s="38"/>
      <c r="AV344" s="38"/>
      <c r="AW344" s="38"/>
      <c r="AX344" s="38"/>
      <c r="AY344" s="43"/>
      <c r="AZ344" s="43"/>
      <c r="BA344" s="48"/>
      <c r="BB344" s="48"/>
      <c r="BC344" s="43"/>
      <c r="BD344" s="48"/>
      <c r="BE344" s="44"/>
      <c r="BF344" s="45"/>
      <c r="BG344" s="43"/>
    </row>
    <row r="345">
      <c r="A345" s="19" t="s">
        <v>415</v>
      </c>
      <c r="B345" s="20">
        <f>VLOOKUP(F345,'Session Count DO NOT EDIT'!$A:$C,3,FALSE)</f>
        <v>4</v>
      </c>
      <c r="C345" s="20">
        <f>COUNTIFS('Scores Import DO NOT EDIT'!D:D,A345)</f>
        <v>3</v>
      </c>
      <c r="D345" s="21">
        <f t="shared" si="1"/>
        <v>0.75</v>
      </c>
      <c r="E345" s="22">
        <f>AVERAGEIFS('Scores Import DO NOT EDIT'!L:L,'Scores Import DO NOT EDIT'!D:D,A345)</f>
        <v>29.66666667</v>
      </c>
      <c r="F345" s="23" t="str">
        <f>VLOOKUP(A345, 'Session Data'!A:M,3,false)</f>
        <v>G-6</v>
      </c>
      <c r="G345" s="24" t="str">
        <f>VLOOKUP(A345, 'Session Data'!A:I,2,false)</f>
        <v>11:00 AM</v>
      </c>
      <c r="H345" s="23" t="str">
        <f>VLOOKUP(A345, 'Session Data'!A:J,5,false)</f>
        <v>Health Nutrition and Clinical Sciences 1</v>
      </c>
      <c r="I345" s="25" t="str">
        <f>VLOOKUP(A345, 'Session Data'!A:H,4,false)</f>
        <v>Poster</v>
      </c>
      <c r="J345" s="26" t="str">
        <f>VLOOKUP(A345, 'Session Data'!A:AA,14,false)</f>
        <v>Undergraduate</v>
      </c>
      <c r="K345" s="27" t="str">
        <f>VLOOKUP(A345, 'Session Data'!A:AA,15,false)</f>
        <v>Health and Human Services</v>
      </c>
      <c r="L345" s="47"/>
      <c r="M345" s="29" t="str">
        <f>VLOOKUP(A345, 'Session Data'!A:K,11,false)</f>
        <v>Kinesiology</v>
      </c>
      <c r="N345" s="26" t="str">
        <f>IF(ISNA(VLOOKUP(A345, 'Award Abstract#'!C:C, 1, FALSE)), "No", "Yes")
</f>
        <v>No</v>
      </c>
      <c r="O345" s="29" t="str">
        <f>IF(ISNA(VLOOKUP(A345,'Award Abstract#'!B:B,1,FALSE)), "No", "Yes")</f>
        <v>No</v>
      </c>
      <c r="P345" s="29" t="str">
        <f>IF(ISNA(VLOOKUP(A345,'Award Abstract#'!E:E,1,FALSE)), "No", "Yes")</f>
        <v>No</v>
      </c>
      <c r="Q345" s="29" t="str">
        <f>IF(ISNA(VLOOKUP(A345,'Award Abstract#'!A:A,1,FALSE)), "No", "Yes")</f>
        <v>No</v>
      </c>
      <c r="R345" s="29" t="str">
        <f>IF(ISNA(VLOOKUP(A345,'Award Abstract#'!D:D,1,FALSE)), "No", "Yes")</f>
        <v>No</v>
      </c>
      <c r="S345" s="30" t="str">
        <f>VLOOKUP(A345, 'Session Data'!A:AA,27,false)</f>
        <v>Man</v>
      </c>
      <c r="T345" s="30"/>
      <c r="U345" s="30"/>
      <c r="V345" s="31" t="str">
        <f>VLOOKUP(A345, 'Session Data'!A:AA,8,false)</f>
        <v>Simon</v>
      </c>
      <c r="W345" s="32" t="str">
        <f>VLOOKUP(A345, 'Session Data'!A:AA,9,false)</f>
        <v>Pierce</v>
      </c>
      <c r="X345" s="33" t="str">
        <f>VLOOKUP(A345, 'Session Data'!A:AA,12,false)</f>
        <v>Diaphragm Force and Mitochondrial Function Ex Vivo Following GSNOR Inhibition In Vivo Preceding Mechanical Ventilation</v>
      </c>
      <c r="Y345" s="34" t="str">
        <f>VLOOKUP(A345, 'Session Data'!A:AA,22,false)</f>
        <v>Leonardo</v>
      </c>
      <c r="Z345" s="34" t="str">
        <f>VLOOKUP(A345, 'Session Data'!A:AA,23,false)</f>
        <v>Nogueira</v>
      </c>
      <c r="AA345" s="34" t="str">
        <f>VLOOKUP(A345, 'Session Data'!A:AA,25,false)</f>
        <v>Sciences</v>
      </c>
      <c r="AB345" s="34" t="str">
        <f>VLOOKUP(A345, 'Session Data'!A:AA,24,false)</f>
        <v>lnogueira@sdsu.edu</v>
      </c>
      <c r="AC345" s="34" t="str">
        <f>VLOOKUP(A345, 'Session Data'!A:AA,16,false)</f>
        <v/>
      </c>
      <c r="AD345" s="35" t="str">
        <f>VLOOKUP(A345, 'Session Data'!A:U,17,false)</f>
        <v/>
      </c>
      <c r="AE345" s="35" t="str">
        <f>VLOOKUP(A345, 'Session Data'!A:U,18,false)</f>
        <v/>
      </c>
      <c r="AF345" s="35" t="str">
        <f>VLOOKUP(A345, 'Session Data'!A:U,19,false)</f>
        <v/>
      </c>
      <c r="AG345" s="35" t="str">
        <f>VLOOKUP(A345, 'Session Data'!A:U,20,false)</f>
        <v/>
      </c>
      <c r="AH345" s="35" t="str">
        <f>VLOOKUP(A345, 'Session Data'!A:U,21,false)</f>
        <v/>
      </c>
      <c r="AI345" s="37"/>
      <c r="AJ345" s="37"/>
      <c r="AK345" s="37"/>
      <c r="AL345" s="50"/>
      <c r="AM345" s="34" t="str">
        <f>VLOOKUP(A345, 'Session Data'!A:AA,10,false)</f>
        <v>spierce7234@sdsu.edu</v>
      </c>
      <c r="AN345" s="40"/>
      <c r="AO345" s="38"/>
      <c r="AP345" s="38"/>
      <c r="AQ345" s="38"/>
      <c r="AR345" s="38"/>
      <c r="AS345" s="38"/>
      <c r="AT345" s="38"/>
      <c r="AU345" s="38"/>
      <c r="AV345" s="38"/>
      <c r="AW345" s="38"/>
      <c r="AX345" s="38"/>
      <c r="AY345" s="43"/>
      <c r="AZ345" s="43"/>
      <c r="BA345" s="48"/>
      <c r="BB345" s="48"/>
      <c r="BC345" s="43"/>
      <c r="BD345" s="43"/>
      <c r="BE345" s="44"/>
      <c r="BF345" s="45"/>
      <c r="BG345" s="43"/>
    </row>
    <row r="346">
      <c r="A346" s="19" t="s">
        <v>416</v>
      </c>
      <c r="B346" s="20">
        <f>VLOOKUP(F346,'Session Count DO NOT EDIT'!$A:$C,3,FALSE)</f>
        <v>5</v>
      </c>
      <c r="C346" s="20">
        <f>COUNTIFS('Scores Import DO NOT EDIT'!D:D,A346)</f>
        <v>5</v>
      </c>
      <c r="D346" s="21">
        <f t="shared" si="1"/>
        <v>1</v>
      </c>
      <c r="E346" s="22">
        <f>AVERAGEIFS('Scores Import DO NOT EDIT'!L:L,'Scores Import DO NOT EDIT'!D:D,A346)</f>
        <v>30.2</v>
      </c>
      <c r="F346" s="23" t="str">
        <f>VLOOKUP(A346, 'Session Data'!A:M,3,false)</f>
        <v>G-7</v>
      </c>
      <c r="G346" s="24" t="str">
        <f>VLOOKUP(A346, 'Session Data'!A:I,2,false)</f>
        <v>11:00 AM</v>
      </c>
      <c r="H346" s="23" t="str">
        <f>VLOOKUP(A346, 'Session Data'!A:J,5,false)</f>
        <v>Health Nutrition and Clinical Sciences 2</v>
      </c>
      <c r="I346" s="25" t="str">
        <f>VLOOKUP(A346, 'Session Data'!A:H,4,false)</f>
        <v>Poster</v>
      </c>
      <c r="J346" s="26" t="str">
        <f>VLOOKUP(A346, 'Session Data'!A:AA,14,false)</f>
        <v>Undergraduate</v>
      </c>
      <c r="K346" s="27" t="str">
        <f>VLOOKUP(A346, 'Session Data'!A:AA,15,false)</f>
        <v>Health and Human Services</v>
      </c>
      <c r="L346" s="47"/>
      <c r="M346" s="29" t="str">
        <f>VLOOKUP(A346, 'Session Data'!A:K,11,false)</f>
        <v>Bachelor of Science in Nursing</v>
      </c>
      <c r="N346" s="26" t="str">
        <f>IF(ISNA(VLOOKUP(A346, 'Award Abstract#'!C:C, 1, FALSE)), "No", "Yes")
</f>
        <v>No</v>
      </c>
      <c r="O346" s="29" t="str">
        <f>IF(ISNA(VLOOKUP(A346,'Award Abstract#'!B:B,1,FALSE)), "No", "Yes")</f>
        <v>Yes</v>
      </c>
      <c r="P346" s="29" t="str">
        <f>IF(ISNA(VLOOKUP(A346,'Award Abstract#'!E:E,1,FALSE)), "No", "Yes")</f>
        <v>No</v>
      </c>
      <c r="Q346" s="29" t="str">
        <f>IF(ISNA(VLOOKUP(A346,'Award Abstract#'!A:A,1,FALSE)), "No", "Yes")</f>
        <v>No</v>
      </c>
      <c r="R346" s="29" t="str">
        <f>IF(ISNA(VLOOKUP(A346,'Award Abstract#'!D:D,1,FALSE)), "No", "Yes")</f>
        <v>Yes</v>
      </c>
      <c r="S346" s="30" t="str">
        <f>VLOOKUP(A346, 'Session Data'!A:AA,27,false)</f>
        <v>Woman</v>
      </c>
      <c r="T346" s="30"/>
      <c r="U346" s="30"/>
      <c r="V346" s="31" t="str">
        <f>VLOOKUP(A346, 'Session Data'!A:AA,8,false)</f>
        <v>Dakotah</v>
      </c>
      <c r="W346" s="32" t="str">
        <f>VLOOKUP(A346, 'Session Data'!A:AA,9,false)</f>
        <v>Behrendt</v>
      </c>
      <c r="X346" s="33" t="str">
        <f>VLOOKUP(A346, 'Session Data'!A:AA,12,false)</f>
        <v>Implicit Bias, Nursing Competency, and Patient Satisfaction: A Literature Review</v>
      </c>
      <c r="Y346" s="34" t="str">
        <f>VLOOKUP(A346, 'Session Data'!A:AA,22,false)</f>
        <v>Karen</v>
      </c>
      <c r="Z346" s="34" t="str">
        <f>VLOOKUP(A346, 'Session Data'!A:AA,23,false)</f>
        <v>Reavis</v>
      </c>
      <c r="AA346" s="34" t="str">
        <f>VLOOKUP(A346, 'Session Data'!A:AA,25,false)</f>
        <v>Health and Human Services</v>
      </c>
      <c r="AB346" s="34" t="str">
        <f>VLOOKUP(A346, 'Session Data'!A:AA,24,false)</f>
        <v>kreavis@sdsu.edu</v>
      </c>
      <c r="AC346" s="34" t="str">
        <f>VLOOKUP(A346, 'Session Data'!A:AA,16,false)</f>
        <v/>
      </c>
      <c r="AD346" s="35" t="str">
        <f>VLOOKUP(A346, 'Session Data'!A:U,17,false)</f>
        <v/>
      </c>
      <c r="AE346" s="35" t="str">
        <f>VLOOKUP(A346, 'Session Data'!A:U,18,false)</f>
        <v/>
      </c>
      <c r="AF346" s="35" t="str">
        <f>VLOOKUP(A346, 'Session Data'!A:U,19,false)</f>
        <v/>
      </c>
      <c r="AG346" s="35" t="str">
        <f>VLOOKUP(A346, 'Session Data'!A:U,20,false)</f>
        <v/>
      </c>
      <c r="AH346" s="35" t="str">
        <f>VLOOKUP(A346, 'Session Data'!A:U,21,false)</f>
        <v/>
      </c>
      <c r="AI346" s="37"/>
      <c r="AJ346" s="37"/>
      <c r="AK346" s="37"/>
      <c r="AL346" s="50"/>
      <c r="AM346" s="34" t="str">
        <f>VLOOKUP(A346, 'Session Data'!A:AA,10,false)</f>
        <v>dbehrendt1353@sdsu.edu</v>
      </c>
      <c r="AN346" s="40"/>
      <c r="AO346" s="38"/>
      <c r="AP346" s="38"/>
      <c r="AQ346" s="38"/>
      <c r="AR346" s="38"/>
      <c r="AS346" s="38"/>
      <c r="AT346" s="38"/>
      <c r="AU346" s="38"/>
      <c r="AV346" s="38"/>
      <c r="AW346" s="38"/>
      <c r="AX346" s="38"/>
      <c r="AY346" s="43"/>
      <c r="AZ346" s="43"/>
      <c r="BA346" s="48"/>
      <c r="BB346" s="48"/>
      <c r="BC346" s="43"/>
      <c r="BD346" s="43"/>
      <c r="BE346" s="44"/>
      <c r="BF346" s="45"/>
      <c r="BG346" s="43"/>
    </row>
    <row r="347">
      <c r="A347" s="19" t="s">
        <v>417</v>
      </c>
      <c r="B347" s="20">
        <f>VLOOKUP(F347,'Session Count DO NOT EDIT'!$A:$C,3,FALSE)</f>
        <v>5</v>
      </c>
      <c r="C347" s="20">
        <f>COUNTIFS('Scores Import DO NOT EDIT'!D:D,A347)</f>
        <v>5</v>
      </c>
      <c r="D347" s="21">
        <f t="shared" si="1"/>
        <v>1</v>
      </c>
      <c r="E347" s="22">
        <f>AVERAGEIFS('Scores Import DO NOT EDIT'!L:L,'Scores Import DO NOT EDIT'!D:D,A347)</f>
        <v>29.2</v>
      </c>
      <c r="F347" s="23" t="str">
        <f>VLOOKUP(A347, 'Session Data'!A:M,3,false)</f>
        <v>G-7</v>
      </c>
      <c r="G347" s="24" t="str">
        <f>VLOOKUP(A347, 'Session Data'!A:I,2,false)</f>
        <v>11:00 AM</v>
      </c>
      <c r="H347" s="23" t="str">
        <f>VLOOKUP(A347, 'Session Data'!A:J,5,false)</f>
        <v>Health Nutrition and Clinical Sciences 2</v>
      </c>
      <c r="I347" s="25" t="str">
        <f>VLOOKUP(A347, 'Session Data'!A:H,4,false)</f>
        <v>Poster</v>
      </c>
      <c r="J347" s="26" t="str">
        <f>VLOOKUP(A347, 'Session Data'!A:AA,14,false)</f>
        <v>Undergraduate</v>
      </c>
      <c r="K347" s="27" t="str">
        <f>VLOOKUP(A347, 'Session Data'!A:AA,15,false)</f>
        <v>Health and Human Services</v>
      </c>
      <c r="L347" s="28"/>
      <c r="M347" s="29" t="str">
        <f>VLOOKUP(A347, 'Session Data'!A:K,11,false)</f>
        <v>Bachelor of Science Foods and Nutrition </v>
      </c>
      <c r="N347" s="26" t="str">
        <f>IF(ISNA(VLOOKUP(A347, 'Award Abstract#'!C:C, 1, FALSE)), "No", "Yes")
</f>
        <v>No</v>
      </c>
      <c r="O347" s="29" t="str">
        <f>IF(ISNA(VLOOKUP(A347,'Award Abstract#'!B:B,1,FALSE)), "No", "Yes")</f>
        <v>Yes</v>
      </c>
      <c r="P347" s="29" t="str">
        <f>IF(ISNA(VLOOKUP(A347,'Award Abstract#'!E:E,1,FALSE)), "No", "Yes")</f>
        <v>No</v>
      </c>
      <c r="Q347" s="29" t="str">
        <f>IF(ISNA(VLOOKUP(A347,'Award Abstract#'!A:A,1,FALSE)), "No", "Yes")</f>
        <v>No</v>
      </c>
      <c r="R347" s="29" t="str">
        <f>IF(ISNA(VLOOKUP(A347,'Award Abstract#'!D:D,1,FALSE)), "No", "Yes")</f>
        <v>Yes</v>
      </c>
      <c r="S347" s="30" t="str">
        <f>VLOOKUP(A347, 'Session Data'!A:AA,27,false)</f>
        <v>Woman</v>
      </c>
      <c r="T347" s="30"/>
      <c r="U347" s="30"/>
      <c r="V347" s="31" t="str">
        <f>VLOOKUP(A347, 'Session Data'!A:AA,8,false)</f>
        <v>Daisy</v>
      </c>
      <c r="W347" s="32" t="str">
        <f>VLOOKUP(A347, 'Session Data'!A:AA,9,false)</f>
        <v>Lopez</v>
      </c>
      <c r="X347" s="33" t="str">
        <f>VLOOKUP(A347, 'Session Data'!A:AA,12,false)</f>
        <v>Chipulines Cricket Chips: Jump to a More Sustainable Snack</v>
      </c>
      <c r="Y347" s="34" t="str">
        <f>VLOOKUP(A347, 'Session Data'!A:AA,22,false)</f>
        <v>Jing </v>
      </c>
      <c r="Z347" s="34" t="str">
        <f>VLOOKUP(A347, 'Session Data'!A:AA,23,false)</f>
        <v>Zhao</v>
      </c>
      <c r="AA347" s="34" t="str">
        <f>VLOOKUP(A347, 'Session Data'!A:AA,25,false)</f>
        <v>Health and Human Services</v>
      </c>
      <c r="AB347" s="34" t="str">
        <f>VLOOKUP(A347, 'Session Data'!A:AA,24,false)</f>
        <v>jzhao2@sdsu.edu</v>
      </c>
      <c r="AC347" s="34" t="str">
        <f>VLOOKUP(A347, 'Session Data'!A:AA,16,false)</f>
        <v>Ana </v>
      </c>
      <c r="AD347" s="35" t="str">
        <f>VLOOKUP(A347, 'Session Data'!A:U,17,false)</f>
        <v>Gaxiola Alvarez</v>
      </c>
      <c r="AE347" s="35" t="str">
        <f>VLOOKUP(A347, 'Session Data'!A:U,18,false)</f>
        <v>Jessica </v>
      </c>
      <c r="AF347" s="35" t="str">
        <f>VLOOKUP(A347, 'Session Data'!A:U,19,false)</f>
        <v>Borough</v>
      </c>
      <c r="AG347" s="35" t="str">
        <f>VLOOKUP(A347, 'Session Data'!A:U,20,false)</f>
        <v>Adriana</v>
      </c>
      <c r="AH347" s="35" t="str">
        <f>VLOOKUP(A347, 'Session Data'!A:U,21,false)</f>
        <v>Martinez</v>
      </c>
      <c r="AI347" s="37"/>
      <c r="AJ347" s="37"/>
      <c r="AK347" s="37"/>
      <c r="AL347" s="50"/>
      <c r="AM347" s="34" t="str">
        <f>VLOOKUP(A347, 'Session Data'!A:AA,10,false)</f>
        <v>dlopez1324@sdsu.edu</v>
      </c>
      <c r="AN347" s="40"/>
      <c r="AO347" s="38"/>
      <c r="AP347" s="38"/>
      <c r="AQ347" s="38"/>
      <c r="AR347" s="38"/>
      <c r="AS347" s="38"/>
      <c r="AT347" s="38"/>
      <c r="AU347" s="38"/>
      <c r="AV347" s="38"/>
      <c r="AW347" s="38"/>
      <c r="AX347" s="38"/>
      <c r="AY347" s="43"/>
      <c r="AZ347" s="43"/>
      <c r="BA347" s="48"/>
      <c r="BB347" s="48"/>
      <c r="BC347" s="43"/>
      <c r="BD347" s="43"/>
      <c r="BE347" s="44"/>
      <c r="BF347" s="45"/>
      <c r="BG347" s="43"/>
    </row>
    <row r="348">
      <c r="A348" s="19" t="s">
        <v>418</v>
      </c>
      <c r="B348" s="20">
        <f>VLOOKUP(F348,'Session Count DO NOT EDIT'!$A:$C,3,FALSE)</f>
        <v>5</v>
      </c>
      <c r="C348" s="20">
        <f>COUNTIFS('Scores Import DO NOT EDIT'!D:D,A348)</f>
        <v>5</v>
      </c>
      <c r="D348" s="21">
        <f t="shared" si="1"/>
        <v>1</v>
      </c>
      <c r="E348" s="22">
        <f>AVERAGEIFS('Scores Import DO NOT EDIT'!L:L,'Scores Import DO NOT EDIT'!D:D,A348)</f>
        <v>26.8</v>
      </c>
      <c r="F348" s="23" t="str">
        <f>VLOOKUP(A348, 'Session Data'!A:M,3,false)</f>
        <v>G-7</v>
      </c>
      <c r="G348" s="24" t="str">
        <f>VLOOKUP(A348, 'Session Data'!A:I,2,false)</f>
        <v>11:00 AM</v>
      </c>
      <c r="H348" s="23" t="str">
        <f>VLOOKUP(A348, 'Session Data'!A:J,5,false)</f>
        <v>Health Nutrition and Clinical Sciences 2</v>
      </c>
      <c r="I348" s="25" t="str">
        <f>VLOOKUP(A348, 'Session Data'!A:H,4,false)</f>
        <v>Poster</v>
      </c>
      <c r="J348" s="26" t="str">
        <f>VLOOKUP(A348, 'Session Data'!A:AA,14,false)</f>
        <v>Undergraduate</v>
      </c>
      <c r="K348" s="27" t="str">
        <f>VLOOKUP(A348, 'Session Data'!A:AA,15,false)</f>
        <v>Sciences</v>
      </c>
      <c r="L348" s="28"/>
      <c r="M348" s="29" t="str">
        <f>VLOOKUP(A348, 'Session Data'!A:K,11,false)</f>
        <v>Psychology with and Emphasis in Neuroscience</v>
      </c>
      <c r="N348" s="26" t="str">
        <f>IF(ISNA(VLOOKUP(A348, 'Award Abstract#'!C:C, 1, FALSE)), "No", "Yes")
</f>
        <v>No</v>
      </c>
      <c r="O348" s="29" t="str">
        <f>IF(ISNA(VLOOKUP(A348,'Award Abstract#'!B:B,1,FALSE)), "No", "Yes")</f>
        <v>Yes</v>
      </c>
      <c r="P348" s="29" t="str">
        <f>IF(ISNA(VLOOKUP(A348,'Award Abstract#'!E:E,1,FALSE)), "No", "Yes")</f>
        <v>No</v>
      </c>
      <c r="Q348" s="29" t="str">
        <f>IF(ISNA(VLOOKUP(A348,'Award Abstract#'!A:A,1,FALSE)), "No", "Yes")</f>
        <v>No</v>
      </c>
      <c r="R348" s="29" t="str">
        <f>IF(ISNA(VLOOKUP(A348,'Award Abstract#'!D:D,1,FALSE)), "No", "Yes")</f>
        <v>No</v>
      </c>
      <c r="S348" s="30" t="str">
        <f>VLOOKUP(A348, 'Session Data'!A:AA,27,false)</f>
        <v>Woman</v>
      </c>
      <c r="T348" s="30"/>
      <c r="U348" s="30"/>
      <c r="V348" s="31" t="str">
        <f>VLOOKUP(A348, 'Session Data'!A:AA,8,false)</f>
        <v>Emily </v>
      </c>
      <c r="W348" s="32" t="str">
        <f>VLOOKUP(A348, 'Session Data'!A:AA,9,false)</f>
        <v>Hernandez Rincon</v>
      </c>
      <c r="X348" s="33" t="str">
        <f>VLOOKUP(A348, 'Session Data'!A:AA,12,false)</f>
        <v>Health Care System Changes to  Receipt of Cervical Cancer Screening Among Women Living with HIV in India: A Qualitative Study  </v>
      </c>
      <c r="Y348" s="34" t="str">
        <f>VLOOKUP(A348, 'Session Data'!A:AA,22,false)</f>
        <v>Kristen </v>
      </c>
      <c r="Z348" s="34" t="str">
        <f>VLOOKUP(A348, 'Session Data'!A:AA,23,false)</f>
        <v>Wells </v>
      </c>
      <c r="AA348" s="34" t="str">
        <f>VLOOKUP(A348, 'Session Data'!A:AA,25,false)</f>
        <v>Sciences</v>
      </c>
      <c r="AB348" s="34" t="str">
        <f>VLOOKUP(A348, 'Session Data'!A:AA,24,false)</f>
        <v>kwells@sdsu.edu</v>
      </c>
      <c r="AC348" s="34" t="str">
        <f>VLOOKUP(A348, 'Session Data'!A:AA,16,false)</f>
        <v/>
      </c>
      <c r="AD348" s="35" t="str">
        <f>VLOOKUP(A348, 'Session Data'!A:U,17,false)</f>
        <v/>
      </c>
      <c r="AE348" s="35" t="str">
        <f>VLOOKUP(A348, 'Session Data'!A:U,18,false)</f>
        <v/>
      </c>
      <c r="AF348" s="35" t="str">
        <f>VLOOKUP(A348, 'Session Data'!A:U,19,false)</f>
        <v/>
      </c>
      <c r="AG348" s="35" t="str">
        <f>VLOOKUP(A348, 'Session Data'!A:U,20,false)</f>
        <v/>
      </c>
      <c r="AH348" s="35" t="str">
        <f>VLOOKUP(A348, 'Session Data'!A:U,21,false)</f>
        <v/>
      </c>
      <c r="AI348" s="37"/>
      <c r="AJ348" s="37"/>
      <c r="AK348" s="37"/>
      <c r="AL348" s="50"/>
      <c r="AM348" s="34" t="str">
        <f>VLOOKUP(A348, 'Session Data'!A:AA,10,false)</f>
        <v>ehernandezrinc9126@sdsu.edu</v>
      </c>
      <c r="AN348" s="40"/>
      <c r="AO348" s="38"/>
      <c r="AP348" s="38"/>
      <c r="AQ348" s="38"/>
      <c r="AR348" s="38"/>
      <c r="AS348" s="38"/>
      <c r="AT348" s="38"/>
      <c r="AU348" s="38"/>
      <c r="AV348" s="38"/>
      <c r="AW348" s="38"/>
      <c r="AX348" s="38"/>
      <c r="AY348" s="43"/>
      <c r="AZ348" s="43"/>
      <c r="BA348" s="43"/>
      <c r="BB348" s="43"/>
      <c r="BC348" s="43"/>
      <c r="BD348" s="43"/>
      <c r="BE348" s="44"/>
      <c r="BF348" s="45"/>
      <c r="BG348" s="46"/>
    </row>
    <row r="349">
      <c r="A349" s="19" t="s">
        <v>419</v>
      </c>
      <c r="B349" s="20">
        <f>VLOOKUP(F349,'Session Count DO NOT EDIT'!$A:$C,3,FALSE)</f>
        <v>5</v>
      </c>
      <c r="C349" s="20">
        <f>COUNTIFS('Scores Import DO NOT EDIT'!D:D,A349)</f>
        <v>0</v>
      </c>
      <c r="D349" s="21">
        <f t="shared" si="1"/>
        <v>0</v>
      </c>
      <c r="E349" s="22" t="str">
        <f>AVERAGEIFS('Scores Import DO NOT EDIT'!L:L,'Scores Import DO NOT EDIT'!D:D,A349)</f>
        <v>#DIV/0!</v>
      </c>
      <c r="F349" s="23" t="str">
        <f>VLOOKUP(A349, 'Session Data'!A:M,3,false)</f>
        <v>G-7</v>
      </c>
      <c r="G349" s="24" t="str">
        <f>VLOOKUP(A349, 'Session Data'!A:I,2,false)</f>
        <v>11:00 AM</v>
      </c>
      <c r="H349" s="23" t="str">
        <f>VLOOKUP(A349, 'Session Data'!A:J,5,false)</f>
        <v>Health Nutrition and Clinical Sciences 2</v>
      </c>
      <c r="I349" s="25" t="str">
        <f>VLOOKUP(A349, 'Session Data'!A:H,4,false)</f>
        <v>Poster</v>
      </c>
      <c r="J349" s="26" t="str">
        <f>VLOOKUP(A349, 'Session Data'!A:AA,14,false)</f>
        <v>Undergraduate</v>
      </c>
      <c r="K349" s="27" t="str">
        <f>VLOOKUP(A349, 'Session Data'!A:AA,15,false)</f>
        <v>Arts and Letters</v>
      </c>
      <c r="L349" s="47"/>
      <c r="M349" s="29" t="str">
        <f>VLOOKUP(A349, 'Session Data'!A:K,11,false)</f>
        <v>Bachelor of Psychology</v>
      </c>
      <c r="N349" s="26" t="str">
        <f>IF(ISNA(VLOOKUP(A349, 'Award Abstract#'!C:C, 1, FALSE)), "No", "Yes")
</f>
        <v>No</v>
      </c>
      <c r="O349" s="29" t="str">
        <f>IF(ISNA(VLOOKUP(A349,'Award Abstract#'!B:B,1,FALSE)), "No", "Yes")</f>
        <v>No</v>
      </c>
      <c r="P349" s="29" t="str">
        <f>IF(ISNA(VLOOKUP(A349,'Award Abstract#'!E:E,1,FALSE)), "No", "Yes")</f>
        <v>No</v>
      </c>
      <c r="Q349" s="29" t="str">
        <f>IF(ISNA(VLOOKUP(A349,'Award Abstract#'!A:A,1,FALSE)), "No", "Yes")</f>
        <v>No</v>
      </c>
      <c r="R349" s="29" t="str">
        <f>IF(ISNA(VLOOKUP(A349,'Award Abstract#'!D:D,1,FALSE)), "No", "Yes")</f>
        <v>No</v>
      </c>
      <c r="S349" s="30" t="str">
        <f>VLOOKUP(A349, 'Session Data'!A:AA,27,false)</f>
        <v>Woman</v>
      </c>
      <c r="T349" s="30"/>
      <c r="U349" s="30"/>
      <c r="V349" s="31" t="str">
        <f>VLOOKUP(A349, 'Session Data'!A:AA,8,false)</f>
        <v>Bailee</v>
      </c>
      <c r="W349" s="32" t="str">
        <f>VLOOKUP(A349, 'Session Data'!A:AA,9,false)</f>
        <v>Chynoweth</v>
      </c>
      <c r="X349" s="33" t="str">
        <f>VLOOKUP(A349, 'Session Data'!A:AA,12,false)</f>
        <v>Comparing Reporter Versions for Executive Functioning Skills</v>
      </c>
      <c r="Y349" s="34" t="str">
        <f>VLOOKUP(A349, 'Session Data'!A:AA,22,false)</f>
        <v>Dr. Mary</v>
      </c>
      <c r="Z349" s="34" t="str">
        <f>VLOOKUP(A349, 'Session Data'!A:AA,23,false)</f>
        <v>Baker-Ericzen</v>
      </c>
      <c r="AA349" s="34" t="str">
        <f>VLOOKUP(A349, 'Session Data'!A:AA,25,false)</f>
        <v>Education</v>
      </c>
      <c r="AB349" s="34" t="str">
        <f>VLOOKUP(A349, 'Session Data'!A:AA,24,false)</f>
        <v>mbakerericzen@sdsu.edu</v>
      </c>
      <c r="AC349" s="34" t="str">
        <f>VLOOKUP(A349, 'Session Data'!A:AA,16,false)</f>
        <v/>
      </c>
      <c r="AD349" s="35" t="str">
        <f>VLOOKUP(A349, 'Session Data'!A:U,17,false)</f>
        <v/>
      </c>
      <c r="AE349" s="35" t="str">
        <f>VLOOKUP(A349, 'Session Data'!A:U,18,false)</f>
        <v/>
      </c>
      <c r="AF349" s="35" t="str">
        <f>VLOOKUP(A349, 'Session Data'!A:U,19,false)</f>
        <v/>
      </c>
      <c r="AG349" s="35" t="str">
        <f>VLOOKUP(A349, 'Session Data'!A:U,20,false)</f>
        <v/>
      </c>
      <c r="AH349" s="35" t="str">
        <f>VLOOKUP(A349, 'Session Data'!A:U,21,false)</f>
        <v/>
      </c>
      <c r="AI349" s="37"/>
      <c r="AJ349" s="37"/>
      <c r="AK349" s="37"/>
      <c r="AL349" s="50"/>
      <c r="AM349" s="34" t="str">
        <f>VLOOKUP(A349, 'Session Data'!A:AA,10,false)</f>
        <v>bchynoweth0915@sdsu.edu</v>
      </c>
      <c r="AN349" s="40"/>
      <c r="AO349" s="38"/>
      <c r="AP349" s="38"/>
      <c r="AQ349" s="38"/>
      <c r="AR349" s="38"/>
      <c r="AS349" s="38"/>
      <c r="AT349" s="38"/>
      <c r="AU349" s="38"/>
      <c r="AV349" s="38"/>
      <c r="AW349" s="38"/>
      <c r="AX349" s="38"/>
      <c r="AY349" s="43"/>
      <c r="AZ349" s="43"/>
      <c r="BA349" s="48"/>
      <c r="BB349" s="48"/>
      <c r="BC349" s="43"/>
      <c r="BD349" s="43"/>
      <c r="BE349" s="44"/>
      <c r="BF349" s="45"/>
      <c r="BG349" s="43"/>
    </row>
    <row r="350">
      <c r="A350" s="19" t="s">
        <v>420</v>
      </c>
      <c r="B350" s="20">
        <f>VLOOKUP(F350,'Session Count DO NOT EDIT'!$A:$C,3,FALSE)</f>
        <v>5</v>
      </c>
      <c r="C350" s="20">
        <f>COUNTIFS('Scores Import DO NOT EDIT'!D:D,A350)</f>
        <v>5</v>
      </c>
      <c r="D350" s="21">
        <f t="shared" si="1"/>
        <v>1</v>
      </c>
      <c r="E350" s="22">
        <f>AVERAGEIFS('Scores Import DO NOT EDIT'!L:L,'Scores Import DO NOT EDIT'!D:D,A350)</f>
        <v>31</v>
      </c>
      <c r="F350" s="23" t="str">
        <f>VLOOKUP(A350, 'Session Data'!A:M,3,false)</f>
        <v>G-7</v>
      </c>
      <c r="G350" s="24" t="str">
        <f>VLOOKUP(A350, 'Session Data'!A:I,2,false)</f>
        <v>11:00 AM</v>
      </c>
      <c r="H350" s="23" t="str">
        <f>VLOOKUP(A350, 'Session Data'!A:J,5,false)</f>
        <v>Health Nutrition and Clinical Sciences 2</v>
      </c>
      <c r="I350" s="25" t="str">
        <f>VLOOKUP(A350, 'Session Data'!A:H,4,false)</f>
        <v>Poster</v>
      </c>
      <c r="J350" s="26" t="str">
        <f>VLOOKUP(A350, 'Session Data'!A:AA,14,false)</f>
        <v>Undergraduate</v>
      </c>
      <c r="K350" s="27" t="str">
        <f>VLOOKUP(A350, 'Session Data'!A:AA,15,false)</f>
        <v>Sciences</v>
      </c>
      <c r="L350" s="28" t="s">
        <v>169</v>
      </c>
      <c r="M350" s="29" t="str">
        <f>VLOOKUP(A350, 'Session Data'!A:K,11,false)</f>
        <v>Bachelor of Science in Foods and Nutrition </v>
      </c>
      <c r="N350" s="26" t="str">
        <f>IF(ISNA(VLOOKUP(A350, 'Award Abstract#'!C:C, 1, FALSE)), "No", "Yes")
</f>
        <v>Yes</v>
      </c>
      <c r="O350" s="29" t="str">
        <f>IF(ISNA(VLOOKUP(A350,'Award Abstract#'!B:B,1,FALSE)), "No", "Yes")</f>
        <v>No</v>
      </c>
      <c r="P350" s="29" t="str">
        <f>IF(ISNA(VLOOKUP(A350,'Award Abstract#'!E:E,1,FALSE)), "No", "Yes")</f>
        <v>No</v>
      </c>
      <c r="Q350" s="29" t="str">
        <f>IF(ISNA(VLOOKUP(A350,'Award Abstract#'!A:A,1,FALSE)), "No", "Yes")</f>
        <v>No</v>
      </c>
      <c r="R350" s="29" t="str">
        <f>IF(ISNA(VLOOKUP(A350,'Award Abstract#'!D:D,1,FALSE)), "No", "Yes")</f>
        <v>No</v>
      </c>
      <c r="S350" s="30" t="str">
        <f>VLOOKUP(A350, 'Session Data'!A:AA,27,false)</f>
        <v>Woman</v>
      </c>
      <c r="T350" s="30"/>
      <c r="U350" s="30"/>
      <c r="V350" s="31" t="str">
        <f>VLOOKUP(A350, 'Session Data'!A:AA,8,false)</f>
        <v>Kylie</v>
      </c>
      <c r="W350" s="32" t="str">
        <f>VLOOKUP(A350, 'Session Data'!A:AA,9,false)</f>
        <v>Macias</v>
      </c>
      <c r="X350" s="33" t="str">
        <f>VLOOKUP(A350, 'Session Data'!A:AA,12,false)</f>
        <v>Olfactory Training Wearables for Smell Loss - A Literature Review</v>
      </c>
      <c r="Y350" s="34" t="str">
        <f>VLOOKUP(A350, 'Session Data'!A:AA,22,false)</f>
        <v>Surabhi </v>
      </c>
      <c r="Z350" s="34" t="str">
        <f>VLOOKUP(A350, 'Session Data'!A:AA,23,false)</f>
        <v>Bhutani </v>
      </c>
      <c r="AA350" s="34" t="str">
        <f>VLOOKUP(A350, 'Session Data'!A:AA,25,false)</f>
        <v>Sciences</v>
      </c>
      <c r="AB350" s="34" t="str">
        <f>VLOOKUP(A350, 'Session Data'!A:AA,24,false)</f>
        <v>sbhutani@sdsu.edu</v>
      </c>
      <c r="AC350" s="34" t="str">
        <f>VLOOKUP(A350, 'Session Data'!A:AA,16,false)</f>
        <v/>
      </c>
      <c r="AD350" s="35" t="str">
        <f>VLOOKUP(A350, 'Session Data'!A:U,17,false)</f>
        <v/>
      </c>
      <c r="AE350" s="35" t="str">
        <f>VLOOKUP(A350, 'Session Data'!A:U,18,false)</f>
        <v/>
      </c>
      <c r="AF350" s="35" t="str">
        <f>VLOOKUP(A350, 'Session Data'!A:U,19,false)</f>
        <v/>
      </c>
      <c r="AG350" s="35" t="str">
        <f>VLOOKUP(A350, 'Session Data'!A:U,20,false)</f>
        <v/>
      </c>
      <c r="AH350" s="35" t="str">
        <f>VLOOKUP(A350, 'Session Data'!A:U,21,false)</f>
        <v/>
      </c>
      <c r="AI350" s="37"/>
      <c r="AJ350" s="37"/>
      <c r="AK350" s="37"/>
      <c r="AL350" s="50"/>
      <c r="AM350" s="34" t="str">
        <f>VLOOKUP(A350, 'Session Data'!A:AA,10,false)</f>
        <v>kmacias7915@sdsu.edu</v>
      </c>
      <c r="AN350" s="40"/>
      <c r="AO350" s="38"/>
      <c r="AP350" s="38"/>
      <c r="AQ350" s="38"/>
      <c r="AR350" s="38"/>
      <c r="AS350" s="38"/>
      <c r="AT350" s="38"/>
      <c r="AU350" s="38"/>
      <c r="AV350" s="38"/>
      <c r="AW350" s="38"/>
      <c r="AX350" s="38"/>
      <c r="AY350" s="43"/>
      <c r="AZ350" s="43"/>
      <c r="BA350" s="43"/>
      <c r="BB350" s="43"/>
      <c r="BC350" s="43"/>
      <c r="BD350" s="43"/>
      <c r="BE350" s="44"/>
      <c r="BF350" s="45"/>
      <c r="BG350" s="43"/>
    </row>
    <row r="351">
      <c r="A351" s="19" t="s">
        <v>421</v>
      </c>
      <c r="B351" s="20">
        <f>VLOOKUP(F351,'Session Count DO NOT EDIT'!$A:$C,3,FALSE)</f>
        <v>5</v>
      </c>
      <c r="C351" s="20">
        <f>COUNTIFS('Scores Import DO NOT EDIT'!D:D,A351)</f>
        <v>4</v>
      </c>
      <c r="D351" s="21">
        <f t="shared" si="1"/>
        <v>0.8</v>
      </c>
      <c r="E351" s="22">
        <f>AVERAGEIFS('Scores Import DO NOT EDIT'!L:L,'Scores Import DO NOT EDIT'!D:D,A351)</f>
        <v>29</v>
      </c>
      <c r="F351" s="23" t="str">
        <f>VLOOKUP(A351, 'Session Data'!A:M,3,false)</f>
        <v>G-7</v>
      </c>
      <c r="G351" s="24" t="str">
        <f>VLOOKUP(A351, 'Session Data'!A:I,2,false)</f>
        <v>11:00 AM</v>
      </c>
      <c r="H351" s="23" t="str">
        <f>VLOOKUP(A351, 'Session Data'!A:J,5,false)</f>
        <v>Health Nutrition and Clinical Sciences 2</v>
      </c>
      <c r="I351" s="25" t="str">
        <f>VLOOKUP(A351, 'Session Data'!A:H,4,false)</f>
        <v>Poster</v>
      </c>
      <c r="J351" s="26" t="str">
        <f>VLOOKUP(A351, 'Session Data'!A:AA,14,false)</f>
        <v>Undergraduate</v>
      </c>
      <c r="K351" s="27" t="str">
        <f>VLOOKUP(A351, 'Session Data'!A:AA,15,false)</f>
        <v>Sciences</v>
      </c>
      <c r="L351" s="28"/>
      <c r="M351" s="29" t="str">
        <f>VLOOKUP(A351, 'Session Data'!A:K,11,false)</f>
        <v>Bachelor of Arts in Psychology</v>
      </c>
      <c r="N351" s="26" t="str">
        <f>IF(ISNA(VLOOKUP(A351, 'Award Abstract#'!C:C, 1, FALSE)), "No", "Yes")
</f>
        <v>No</v>
      </c>
      <c r="O351" s="29" t="str">
        <f>IF(ISNA(VLOOKUP(A351,'Award Abstract#'!B:B,1,FALSE)), "No", "Yes")</f>
        <v>No</v>
      </c>
      <c r="P351" s="29" t="str">
        <f>IF(ISNA(VLOOKUP(A351,'Award Abstract#'!E:E,1,FALSE)), "No", "Yes")</f>
        <v>No</v>
      </c>
      <c r="Q351" s="29" t="str">
        <f>IF(ISNA(VLOOKUP(A351,'Award Abstract#'!A:A,1,FALSE)), "No", "Yes")</f>
        <v>No</v>
      </c>
      <c r="R351" s="29" t="str">
        <f>IF(ISNA(VLOOKUP(A351,'Award Abstract#'!D:D,1,FALSE)), "No", "Yes")</f>
        <v>Yes</v>
      </c>
      <c r="S351" s="30" t="str">
        <f>VLOOKUP(A351, 'Session Data'!A:AA,27,false)</f>
        <v>Woman</v>
      </c>
      <c r="T351" s="30"/>
      <c r="U351" s="30"/>
      <c r="V351" s="31" t="str">
        <f>VLOOKUP(A351, 'Session Data'!A:AA,8,false)</f>
        <v>Viridiana</v>
      </c>
      <c r="W351" s="32" t="str">
        <f>VLOOKUP(A351, 'Session Data'!A:AA,9,false)</f>
        <v>Holguin Solorio</v>
      </c>
      <c r="X351" s="33" t="str">
        <f>VLOOKUP(A351, 'Session Data'!A:AA,12,false)</f>
        <v>Association Between Pain Severity and Low Back Movement During Functional Activities in Latino People with Chronic Low Back Pain</v>
      </c>
      <c r="Y351" s="34" t="str">
        <f>VLOOKUP(A351, 'Session Data'!A:AA,22,false)</f>
        <v>Sara</v>
      </c>
      <c r="Z351" s="34" t="str">
        <f>VLOOKUP(A351, 'Session Data'!A:AA,23,false)</f>
        <v>Gombatto</v>
      </c>
      <c r="AA351" s="34" t="str">
        <f>VLOOKUP(A351, 'Session Data'!A:AA,25,false)</f>
        <v>Health and Human Services</v>
      </c>
      <c r="AB351" s="34" t="str">
        <f>VLOOKUP(A351, 'Session Data'!A:AA,24,false)</f>
        <v>sgombatto@sdsu.edu</v>
      </c>
      <c r="AC351" s="34" t="str">
        <f>VLOOKUP(A351, 'Session Data'!A:AA,16,false)</f>
        <v>Anthony</v>
      </c>
      <c r="AD351" s="35" t="str">
        <f>VLOOKUP(A351, 'Session Data'!A:U,17,false)</f>
        <v>Oviedo</v>
      </c>
      <c r="AE351" s="35" t="str">
        <f>VLOOKUP(A351, 'Session Data'!A:U,18,false)</f>
        <v/>
      </c>
      <c r="AF351" s="35" t="str">
        <f>VLOOKUP(A351, 'Session Data'!A:U,19,false)</f>
        <v/>
      </c>
      <c r="AG351" s="35" t="str">
        <f>VLOOKUP(A351, 'Session Data'!A:U,20,false)</f>
        <v/>
      </c>
      <c r="AH351" s="35" t="str">
        <f>VLOOKUP(A351, 'Session Data'!A:U,21,false)</f>
        <v/>
      </c>
      <c r="AI351" s="37"/>
      <c r="AJ351" s="37"/>
      <c r="AK351" s="37"/>
      <c r="AL351" s="50"/>
      <c r="AM351" s="34" t="str">
        <f>VLOOKUP(A351, 'Session Data'!A:AA,10,false)</f>
        <v>vholguinsolori2264@sdsu.edu</v>
      </c>
      <c r="AN351" s="40"/>
      <c r="AO351" s="38"/>
      <c r="AP351" s="38"/>
      <c r="AQ351" s="38"/>
      <c r="AR351" s="38"/>
      <c r="AS351" s="38"/>
      <c r="AT351" s="38"/>
      <c r="AU351" s="38"/>
      <c r="AV351" s="38"/>
      <c r="AW351" s="38"/>
      <c r="AX351" s="38"/>
      <c r="AY351" s="43"/>
      <c r="AZ351" s="43"/>
      <c r="BA351" s="43"/>
      <c r="BB351" s="43"/>
      <c r="BC351" s="43"/>
      <c r="BD351" s="43"/>
      <c r="BE351" s="44"/>
      <c r="BF351" s="45"/>
      <c r="BG351" s="43"/>
    </row>
    <row r="352">
      <c r="A352" s="19" t="s">
        <v>422</v>
      </c>
      <c r="B352" s="20">
        <f>VLOOKUP(F352,'Session Count DO NOT EDIT'!$A:$C,3,FALSE)</f>
        <v>5</v>
      </c>
      <c r="C352" s="20">
        <f>COUNTIFS('Scores Import DO NOT EDIT'!D:D,A352)</f>
        <v>4</v>
      </c>
      <c r="D352" s="21">
        <f t="shared" si="1"/>
        <v>0.8</v>
      </c>
      <c r="E352" s="22">
        <f>AVERAGEIFS('Scores Import DO NOT EDIT'!L:L,'Scores Import DO NOT EDIT'!D:D,A352)</f>
        <v>30.5</v>
      </c>
      <c r="F352" s="23" t="str">
        <f>VLOOKUP(A352, 'Session Data'!A:M,3,false)</f>
        <v>G-8</v>
      </c>
      <c r="G352" s="24" t="str">
        <f>VLOOKUP(A352, 'Session Data'!A:I,2,false)</f>
        <v>11:00 AM</v>
      </c>
      <c r="H352" s="23" t="str">
        <f>VLOOKUP(A352, 'Session Data'!A:J,5,false)</f>
        <v>Behavioral and Social Sciences</v>
      </c>
      <c r="I352" s="25" t="str">
        <f>VLOOKUP(A352, 'Session Data'!A:H,4,false)</f>
        <v>Poster</v>
      </c>
      <c r="J352" s="26" t="str">
        <f>VLOOKUP(A352, 'Session Data'!A:AA,14,false)</f>
        <v>Master's</v>
      </c>
      <c r="K352" s="27" t="str">
        <f>VLOOKUP(A352, 'Session Data'!A:AA,15,false)</f>
        <v>Sciences</v>
      </c>
      <c r="L352" s="28"/>
      <c r="M352" s="29" t="str">
        <f>VLOOKUP(A352, 'Session Data'!A:K,11,false)</f>
        <v>Masters of Arts in Psychology</v>
      </c>
      <c r="N352" s="26" t="str">
        <f>IF(ISNA(VLOOKUP(A352, 'Award Abstract#'!C:C, 1, FALSE)), "No", "Yes")
</f>
        <v>No</v>
      </c>
      <c r="O352" s="29" t="str">
        <f>IF(ISNA(VLOOKUP(A352,'Award Abstract#'!B:B,1,FALSE)), "No", "Yes")</f>
        <v>No</v>
      </c>
      <c r="P352" s="29" t="str">
        <f>IF(ISNA(VLOOKUP(A352,'Award Abstract#'!E:E,1,FALSE)), "No", "Yes")</f>
        <v>No</v>
      </c>
      <c r="Q352" s="29" t="str">
        <f>IF(ISNA(VLOOKUP(A352,'Award Abstract#'!A:A,1,FALSE)), "No", "Yes")</f>
        <v>No</v>
      </c>
      <c r="R352" s="29" t="str">
        <f>IF(ISNA(VLOOKUP(A352,'Award Abstract#'!D:D,1,FALSE)), "No", "Yes")</f>
        <v>No</v>
      </c>
      <c r="S352" s="30" t="str">
        <f>VLOOKUP(A352, 'Session Data'!A:AA,27,false)</f>
        <v>Woman</v>
      </c>
      <c r="T352" s="30"/>
      <c r="U352" s="30"/>
      <c r="V352" s="31" t="str">
        <f>VLOOKUP(A352, 'Session Data'!A:AA,8,false)</f>
        <v>Ilse</v>
      </c>
      <c r="W352" s="32" t="str">
        <f>VLOOKUP(A352, 'Session Data'!A:AA,9,false)</f>
        <v>Fleischer</v>
      </c>
      <c r="X352" s="33" t="str">
        <f>VLOOKUP(A352, 'Session Data'!A:AA,12,false)</f>
        <v>The Effects of Choline Supplementation and Exercise on Fetal Alcohol Spectrum Disorders</v>
      </c>
      <c r="Y352" s="34" t="str">
        <f>VLOOKUP(A352, 'Session Data'!A:AA,22,false)</f>
        <v>Jennifer</v>
      </c>
      <c r="Z352" s="34" t="str">
        <f>VLOOKUP(A352, 'Session Data'!A:AA,23,false)</f>
        <v>Thomas</v>
      </c>
      <c r="AA352" s="34" t="str">
        <f>VLOOKUP(A352, 'Session Data'!A:AA,25,false)</f>
        <v>Sciences</v>
      </c>
      <c r="AB352" s="34"/>
      <c r="AC352" s="34" t="str">
        <f>VLOOKUP(A352, 'Session Data'!A:AA,16,false)</f>
        <v/>
      </c>
      <c r="AD352" s="35" t="str">
        <f>VLOOKUP(A352, 'Session Data'!A:U,17,false)</f>
        <v/>
      </c>
      <c r="AE352" s="35" t="str">
        <f>VLOOKUP(A352, 'Session Data'!A:U,18,false)</f>
        <v/>
      </c>
      <c r="AF352" s="35" t="str">
        <f>VLOOKUP(A352, 'Session Data'!A:U,19,false)</f>
        <v/>
      </c>
      <c r="AG352" s="35" t="str">
        <f>VLOOKUP(A352, 'Session Data'!A:U,20,false)</f>
        <v/>
      </c>
      <c r="AH352" s="35" t="str">
        <f>VLOOKUP(A352, 'Session Data'!A:U,21,false)</f>
        <v/>
      </c>
      <c r="AI352" s="36"/>
      <c r="AJ352" s="37"/>
      <c r="AK352" s="38"/>
      <c r="AL352" s="39"/>
      <c r="AM352" s="34" t="str">
        <f>VLOOKUP(A352, 'Session Data'!A:AA,10,false)</f>
        <v>ifleischer8986@sdsu.edu</v>
      </c>
      <c r="AN352" s="40"/>
      <c r="AO352" s="38"/>
      <c r="AP352" s="38"/>
      <c r="AQ352" s="38"/>
      <c r="AR352" s="38"/>
      <c r="AS352" s="38"/>
      <c r="AT352" s="38"/>
      <c r="AU352" s="38"/>
      <c r="AV352" s="38"/>
      <c r="AW352" s="38"/>
      <c r="AX352" s="38"/>
      <c r="AY352" s="43"/>
      <c r="AZ352" s="43"/>
      <c r="BA352" s="48"/>
      <c r="BB352" s="48"/>
      <c r="BC352" s="43"/>
      <c r="BD352" s="43"/>
      <c r="BE352" s="44"/>
      <c r="BF352" s="45"/>
      <c r="BG352" s="46"/>
    </row>
    <row r="353">
      <c r="A353" s="19" t="s">
        <v>423</v>
      </c>
      <c r="B353" s="20">
        <f>VLOOKUP(F353,'Session Count DO NOT EDIT'!$A:$C,3,FALSE)</f>
        <v>5</v>
      </c>
      <c r="C353" s="20">
        <f>COUNTIFS('Scores Import DO NOT EDIT'!D:D,A353)</f>
        <v>4</v>
      </c>
      <c r="D353" s="21">
        <f t="shared" si="1"/>
        <v>0.8</v>
      </c>
      <c r="E353" s="22">
        <f>AVERAGEIFS('Scores Import DO NOT EDIT'!L:L,'Scores Import DO NOT EDIT'!D:D,A353)</f>
        <v>28.5</v>
      </c>
      <c r="F353" s="23" t="str">
        <f>VLOOKUP(A353, 'Session Data'!A:M,3,false)</f>
        <v>G-8</v>
      </c>
      <c r="G353" s="24" t="str">
        <f>VLOOKUP(A353, 'Session Data'!A:I,2,false)</f>
        <v>11:00 AM</v>
      </c>
      <c r="H353" s="23" t="str">
        <f>VLOOKUP(A353, 'Session Data'!A:J,5,false)</f>
        <v>Behavioral and Social Sciences</v>
      </c>
      <c r="I353" s="25" t="str">
        <f>VLOOKUP(A353, 'Session Data'!A:H,4,false)</f>
        <v>Poster</v>
      </c>
      <c r="J353" s="26" t="str">
        <f>VLOOKUP(A353, 'Session Data'!A:AA,14,false)</f>
        <v>Master's</v>
      </c>
      <c r="K353" s="27" t="str">
        <f>VLOOKUP(A353, 'Session Data'!A:AA,15,false)</f>
        <v>Arts and Letters</v>
      </c>
      <c r="L353" s="28"/>
      <c r="M353" s="29" t="str">
        <f>VLOOKUP(A353, 'Session Data'!A:K,11,false)</f>
        <v>Masters in Spanish</v>
      </c>
      <c r="N353" s="26" t="str">
        <f>IF(ISNA(VLOOKUP(A353, 'Award Abstract#'!C:C, 1, FALSE)), "No", "Yes")
</f>
        <v>No</v>
      </c>
      <c r="O353" s="29" t="str">
        <f>IF(ISNA(VLOOKUP(A353,'Award Abstract#'!B:B,1,FALSE)), "No", "Yes")</f>
        <v>No</v>
      </c>
      <c r="P353" s="29" t="str">
        <f>IF(ISNA(VLOOKUP(A353,'Award Abstract#'!E:E,1,FALSE)), "No", "Yes")</f>
        <v>No</v>
      </c>
      <c r="Q353" s="29" t="str">
        <f>IF(ISNA(VLOOKUP(A353,'Award Abstract#'!A:A,1,FALSE)), "No", "Yes")</f>
        <v>Yes</v>
      </c>
      <c r="R353" s="29" t="str">
        <f>IF(ISNA(VLOOKUP(A353,'Award Abstract#'!D:D,1,FALSE)), "No", "Yes")</f>
        <v>Yes</v>
      </c>
      <c r="S353" s="30" t="str">
        <f>VLOOKUP(A353, 'Session Data'!A:AA,27,false)</f>
        <v>Woman</v>
      </c>
      <c r="T353" s="30"/>
      <c r="U353" s="30"/>
      <c r="V353" s="31" t="str">
        <f>VLOOKUP(A353, 'Session Data'!A:AA,8,false)</f>
        <v>Corregidor Luna</v>
      </c>
      <c r="W353" s="32" t="str">
        <f>VLOOKUP(A353, 'Session Data'!A:AA,9,false)</f>
        <v>Eva Maria</v>
      </c>
      <c r="X353" s="33" t="str">
        <f>VLOOKUP(A353, 'Session Data'!A:AA,12,false)</f>
        <v>The Spanish Lexicon and New English Lexical Loans.</v>
      </c>
      <c r="Y353" s="34" t="str">
        <f>VLOOKUP(A353, 'Session Data'!A:AA,22,false)</f>
        <v>Lauren</v>
      </c>
      <c r="Z353" s="34" t="str">
        <f>VLOOKUP(A353, 'Session Data'!A:AA,23,false)</f>
        <v>Schmidt</v>
      </c>
      <c r="AA353" s="34" t="str">
        <f>VLOOKUP(A353, 'Session Data'!A:AA,25,false)</f>
        <v>Arts and Letters</v>
      </c>
      <c r="AB353" s="34" t="str">
        <f>VLOOKUP(A353, 'Session Data'!A:AA,24,false)</f>
        <v>lschmidt@sdsu.edu</v>
      </c>
      <c r="AC353" s="34" t="str">
        <f>VLOOKUP(A353, 'Session Data'!A:AA,16,false)</f>
        <v>Vanessa Castro</v>
      </c>
      <c r="AD353" s="35" t="str">
        <f>VLOOKUP(A353, 'Session Data'!A:U,17,false)</f>
        <v/>
      </c>
      <c r="AE353" s="35" t="str">
        <f>VLOOKUP(A353, 'Session Data'!A:U,18,false)</f>
        <v/>
      </c>
      <c r="AF353" s="35" t="str">
        <f>VLOOKUP(A353, 'Session Data'!A:U,19,false)</f>
        <v/>
      </c>
      <c r="AG353" s="35" t="str">
        <f>VLOOKUP(A353, 'Session Data'!A:U,20,false)</f>
        <v/>
      </c>
      <c r="AH353" s="35" t="str">
        <f>VLOOKUP(A353, 'Session Data'!A:U,21,false)</f>
        <v/>
      </c>
      <c r="AI353" s="37"/>
      <c r="AJ353" s="37"/>
      <c r="AK353" s="37"/>
      <c r="AL353" s="50"/>
      <c r="AM353" s="34" t="str">
        <f>VLOOKUP(A353, 'Session Data'!A:AA,10,false)</f>
        <v>ecorregidorlun1618@sdsu.edu</v>
      </c>
      <c r="AN353" s="40"/>
      <c r="AO353" s="38"/>
      <c r="AP353" s="38"/>
      <c r="AQ353" s="38"/>
      <c r="AR353" s="38"/>
      <c r="AS353" s="38"/>
      <c r="AT353" s="38"/>
      <c r="AU353" s="38"/>
      <c r="AV353" s="38"/>
      <c r="AW353" s="38"/>
      <c r="AX353" s="38"/>
      <c r="AY353" s="43"/>
      <c r="AZ353" s="43"/>
      <c r="BA353" s="48"/>
      <c r="BB353" s="48"/>
      <c r="BC353" s="43"/>
      <c r="BD353" s="43"/>
      <c r="BE353" s="44"/>
      <c r="BF353" s="45"/>
      <c r="BG353" s="43"/>
    </row>
    <row r="354">
      <c r="A354" s="19" t="s">
        <v>424</v>
      </c>
      <c r="B354" s="20">
        <f>VLOOKUP(F354,'Session Count DO NOT EDIT'!$A:$C,3,FALSE)</f>
        <v>5</v>
      </c>
      <c r="C354" s="20">
        <f>COUNTIFS('Scores Import DO NOT EDIT'!D:D,A354)</f>
        <v>4</v>
      </c>
      <c r="D354" s="21">
        <f t="shared" si="1"/>
        <v>0.8</v>
      </c>
      <c r="E354" s="22">
        <f>AVERAGEIFS('Scores Import DO NOT EDIT'!L:L,'Scores Import DO NOT EDIT'!D:D,A354)</f>
        <v>28.25</v>
      </c>
      <c r="F354" s="23" t="str">
        <f>VLOOKUP(A354, 'Session Data'!A:M,3,false)</f>
        <v>G-8</v>
      </c>
      <c r="G354" s="24" t="str">
        <f>VLOOKUP(A354, 'Session Data'!A:I,2,false)</f>
        <v>11:00 AM</v>
      </c>
      <c r="H354" s="23" t="str">
        <f>VLOOKUP(A354, 'Session Data'!A:J,5,false)</f>
        <v>Behavioral and Social Sciences</v>
      </c>
      <c r="I354" s="25" t="str">
        <f>VLOOKUP(A354, 'Session Data'!A:H,4,false)</f>
        <v>Poster</v>
      </c>
      <c r="J354" s="26" t="str">
        <f>VLOOKUP(A354, 'Session Data'!A:AA,14,false)</f>
        <v>Doctoral</v>
      </c>
      <c r="K354" s="27" t="str">
        <f>VLOOKUP(A354, 'Session Data'!A:AA,15,false)</f>
        <v>Sciences</v>
      </c>
      <c r="L354" s="47"/>
      <c r="M354" s="29" t="str">
        <f>VLOOKUP(A354, 'Session Data'!A:K,11,false)</f>
        <v>Doctor of Philosophy in Mathematics and Science Education</v>
      </c>
      <c r="N354" s="26" t="str">
        <f>IF(ISNA(VLOOKUP(A354, 'Award Abstract#'!C:C, 1, FALSE)), "No", "Yes")
</f>
        <v>No</v>
      </c>
      <c r="O354" s="29" t="str">
        <f>IF(ISNA(VLOOKUP(A354,'Award Abstract#'!B:B,1,FALSE)), "No", "Yes")</f>
        <v>No</v>
      </c>
      <c r="P354" s="29" t="str">
        <f>IF(ISNA(VLOOKUP(A354,'Award Abstract#'!E:E,1,FALSE)), "No", "Yes")</f>
        <v>No</v>
      </c>
      <c r="Q354" s="29" t="str">
        <f>IF(ISNA(VLOOKUP(A354,'Award Abstract#'!A:A,1,FALSE)), "No", "Yes")</f>
        <v>Yes</v>
      </c>
      <c r="R354" s="29" t="str">
        <f>IF(ISNA(VLOOKUP(A354,'Award Abstract#'!D:D,1,FALSE)), "No", "Yes")</f>
        <v>Yes</v>
      </c>
      <c r="S354" s="30" t="str">
        <f>VLOOKUP(A354, 'Session Data'!A:AA,27,false)</f>
        <v>Man</v>
      </c>
      <c r="T354" s="30"/>
      <c r="U354" s="30"/>
      <c r="V354" s="31" t="str">
        <f>VLOOKUP(A354, 'Session Data'!A:AA,8,false)</f>
        <v>Abel</v>
      </c>
      <c r="W354" s="32" t="str">
        <f>VLOOKUP(A354, 'Session Data'!A:AA,9,false)</f>
        <v>Sekone</v>
      </c>
      <c r="X354" s="33" t="str">
        <f>VLOOKUP(A354, 'Session Data'!A:AA,12,false)</f>
        <v>Using Structural Equation Modelling for Understanding Relationships Between Students’ Attitudes Towards Science and Science Career Choice</v>
      </c>
      <c r="Y354" s="34" t="str">
        <f>VLOOKUP(A354, 'Session Data'!A:AA,22,false)</f>
        <v>Regis</v>
      </c>
      <c r="Z354" s="34" t="str">
        <f>VLOOKUP(A354, 'Session Data'!A:AA,23,false)</f>
        <v>Komperda</v>
      </c>
      <c r="AA354" s="34" t="str">
        <f>VLOOKUP(A354, 'Session Data'!A:AA,25,false)</f>
        <v>Sciences</v>
      </c>
      <c r="AB354" s="34"/>
      <c r="AC354" s="34" t="str">
        <f>VLOOKUP(A354, 'Session Data'!A:AA,16,false)</f>
        <v/>
      </c>
      <c r="AD354" s="35" t="str">
        <f>VLOOKUP(A354, 'Session Data'!A:U,17,false)</f>
        <v/>
      </c>
      <c r="AE354" s="35" t="str">
        <f>VLOOKUP(A354, 'Session Data'!A:U,18,false)</f>
        <v/>
      </c>
      <c r="AF354" s="35" t="str">
        <f>VLOOKUP(A354, 'Session Data'!A:U,19,false)</f>
        <v/>
      </c>
      <c r="AG354" s="35" t="str">
        <f>VLOOKUP(A354, 'Session Data'!A:U,20,false)</f>
        <v/>
      </c>
      <c r="AH354" s="35" t="str">
        <f>VLOOKUP(A354, 'Session Data'!A:U,21,false)</f>
        <v/>
      </c>
      <c r="AI354" s="37"/>
      <c r="AJ354" s="37"/>
      <c r="AK354" s="37"/>
      <c r="AL354" s="50"/>
      <c r="AM354" s="34" t="str">
        <f>VLOOKUP(A354, 'Session Data'!A:AA,10,false)</f>
        <v>asekone4584@sdsu.edu</v>
      </c>
      <c r="AN354" s="40"/>
      <c r="AO354" s="38"/>
      <c r="AP354" s="38"/>
      <c r="AQ354" s="38"/>
      <c r="AR354" s="38"/>
      <c r="AS354" s="38"/>
      <c r="AT354" s="38"/>
      <c r="AU354" s="38"/>
      <c r="AV354" s="38"/>
      <c r="AW354" s="38"/>
      <c r="AX354" s="38"/>
      <c r="AY354" s="43"/>
      <c r="AZ354" s="43"/>
      <c r="BA354" s="43"/>
      <c r="BB354" s="43"/>
      <c r="BC354" s="43"/>
      <c r="BD354" s="43"/>
      <c r="BE354" s="44"/>
      <c r="BF354" s="45"/>
      <c r="BG354" s="46"/>
    </row>
    <row r="355">
      <c r="A355" s="19" t="s">
        <v>425</v>
      </c>
      <c r="B355" s="20">
        <f>VLOOKUP(F355,'Session Count DO NOT EDIT'!$A:$C,3,FALSE)</f>
        <v>5</v>
      </c>
      <c r="C355" s="20">
        <f>COUNTIFS('Scores Import DO NOT EDIT'!D:D,A355)</f>
        <v>4</v>
      </c>
      <c r="D355" s="21">
        <f t="shared" si="1"/>
        <v>0.8</v>
      </c>
      <c r="E355" s="22">
        <f>AVERAGEIFS('Scores Import DO NOT EDIT'!L:L,'Scores Import DO NOT EDIT'!D:D,A355)</f>
        <v>28.25</v>
      </c>
      <c r="F355" s="23" t="str">
        <f>VLOOKUP(A355, 'Session Data'!A:M,3,false)</f>
        <v>G-8</v>
      </c>
      <c r="G355" s="24" t="str">
        <f>VLOOKUP(A355, 'Session Data'!A:I,2,false)</f>
        <v>11:00 AM</v>
      </c>
      <c r="H355" s="23" t="str">
        <f>VLOOKUP(A355, 'Session Data'!A:J,5,false)</f>
        <v>Behavioral and Social Sciences</v>
      </c>
      <c r="I355" s="25" t="str">
        <f>VLOOKUP(A355, 'Session Data'!A:H,4,false)</f>
        <v>Poster</v>
      </c>
      <c r="J355" s="26" t="str">
        <f>VLOOKUP(A355, 'Session Data'!A:AA,14,false)</f>
        <v>Master's</v>
      </c>
      <c r="K355" s="27" t="str">
        <f>VLOOKUP(A355, 'Session Data'!A:AA,15,false)</f>
        <v>Sciences</v>
      </c>
      <c r="L355" s="47"/>
      <c r="M355" s="29" t="str">
        <f>VLOOKUP(A355, 'Session Data'!A:K,11,false)</f>
        <v>Masters of Arts in Psychology</v>
      </c>
      <c r="N355" s="26" t="str">
        <f>IF(ISNA(VLOOKUP(A355, 'Award Abstract#'!C:C, 1, FALSE)), "No", "Yes")
</f>
        <v>No</v>
      </c>
      <c r="O355" s="29" t="str">
        <f>IF(ISNA(VLOOKUP(A355,'Award Abstract#'!B:B,1,FALSE)), "No", "Yes")</f>
        <v>No</v>
      </c>
      <c r="P355" s="29" t="str">
        <f>IF(ISNA(VLOOKUP(A355,'Award Abstract#'!E:E,1,FALSE)), "No", "Yes")</f>
        <v>No</v>
      </c>
      <c r="Q355" s="29" t="str">
        <f>IF(ISNA(VLOOKUP(A355,'Award Abstract#'!A:A,1,FALSE)), "No", "Yes")</f>
        <v>No</v>
      </c>
      <c r="R355" s="29" t="str">
        <f>IF(ISNA(VLOOKUP(A355,'Award Abstract#'!D:D,1,FALSE)), "No", "Yes")</f>
        <v>No</v>
      </c>
      <c r="S355" s="30" t="str">
        <f>VLOOKUP(A355, 'Session Data'!A:AA,27,false)</f>
        <v>Woman</v>
      </c>
      <c r="T355" s="30"/>
      <c r="U355" s="30"/>
      <c r="V355" s="31" t="str">
        <f>VLOOKUP(A355, 'Session Data'!A:AA,8,false)</f>
        <v>Devanshi</v>
      </c>
      <c r="W355" s="32" t="str">
        <f>VLOOKUP(A355, 'Session Data'!A:AA,9,false)</f>
        <v>Upadhyaya</v>
      </c>
      <c r="X355" s="33" t="str">
        <f>VLOOKUP(A355, 'Session Data'!A:AA,12,false)</f>
        <v>Beyond Borders: Understanding Cross-Cultural Variations in Implicit Skin Tone Preferences </v>
      </c>
      <c r="Y355" s="34" t="str">
        <f>VLOOKUP(A355, 'Session Data'!A:AA,22,false)</f>
        <v>Thierry </v>
      </c>
      <c r="Z355" s="34" t="str">
        <f>VLOOKUP(A355, 'Session Data'!A:AA,23,false)</f>
        <v>Devos</v>
      </c>
      <c r="AA355" s="34" t="str">
        <f>VLOOKUP(A355, 'Session Data'!A:AA,25,false)</f>
        <v>Sciences</v>
      </c>
      <c r="AB355" s="34"/>
      <c r="AC355" s="34" t="str">
        <f>VLOOKUP(A355, 'Session Data'!A:AA,16,false)</f>
        <v/>
      </c>
      <c r="AD355" s="35" t="str">
        <f>VLOOKUP(A355, 'Session Data'!A:U,17,false)</f>
        <v/>
      </c>
      <c r="AE355" s="35" t="str">
        <f>VLOOKUP(A355, 'Session Data'!A:U,18,false)</f>
        <v/>
      </c>
      <c r="AF355" s="35" t="str">
        <f>VLOOKUP(A355, 'Session Data'!A:U,19,false)</f>
        <v/>
      </c>
      <c r="AG355" s="35" t="str">
        <f>VLOOKUP(A355, 'Session Data'!A:U,20,false)</f>
        <v/>
      </c>
      <c r="AH355" s="35" t="str">
        <f>VLOOKUP(A355, 'Session Data'!A:U,21,false)</f>
        <v/>
      </c>
      <c r="AI355" s="37"/>
      <c r="AJ355" s="37"/>
      <c r="AK355" s="37"/>
      <c r="AL355" s="50"/>
      <c r="AM355" s="34" t="str">
        <f>VLOOKUP(A355, 'Session Data'!A:AA,10,false)</f>
        <v>dupadhyaya8856@sdsu.edu</v>
      </c>
      <c r="AN355" s="40"/>
      <c r="AO355" s="38"/>
      <c r="AP355" s="38"/>
      <c r="AQ355" s="38"/>
      <c r="AR355" s="38"/>
      <c r="AS355" s="38"/>
      <c r="AT355" s="38"/>
      <c r="AU355" s="38"/>
      <c r="AV355" s="38"/>
      <c r="AW355" s="38"/>
      <c r="AX355" s="38"/>
      <c r="AY355" s="43"/>
      <c r="AZ355" s="43"/>
      <c r="BA355" s="43"/>
      <c r="BB355" s="43"/>
      <c r="BC355" s="43"/>
      <c r="BD355" s="43"/>
      <c r="BE355" s="44"/>
      <c r="BF355" s="45"/>
      <c r="BG355" s="43"/>
    </row>
    <row r="356">
      <c r="A356" s="19" t="s">
        <v>426</v>
      </c>
      <c r="B356" s="20">
        <f>VLOOKUP(F356,'Session Count DO NOT EDIT'!$A:$C,3,FALSE)</f>
        <v>5</v>
      </c>
      <c r="C356" s="20">
        <f>COUNTIFS('Scores Import DO NOT EDIT'!D:D,A356)</f>
        <v>4</v>
      </c>
      <c r="D356" s="21">
        <f t="shared" si="1"/>
        <v>0.8</v>
      </c>
      <c r="E356" s="22">
        <f>AVERAGEIFS('Scores Import DO NOT EDIT'!L:L,'Scores Import DO NOT EDIT'!D:D,A356)</f>
        <v>27.75</v>
      </c>
      <c r="F356" s="23" t="str">
        <f>VLOOKUP(A356, 'Session Data'!A:M,3,false)</f>
        <v>G-8</v>
      </c>
      <c r="G356" s="24" t="str">
        <f>VLOOKUP(A356, 'Session Data'!A:I,2,false)</f>
        <v>11:00 AM</v>
      </c>
      <c r="H356" s="23" t="str">
        <f>VLOOKUP(A356, 'Session Data'!A:J,5,false)</f>
        <v>Behavioral and Social Sciences</v>
      </c>
      <c r="I356" s="25" t="str">
        <f>VLOOKUP(A356, 'Session Data'!A:H,4,false)</f>
        <v>Poster</v>
      </c>
      <c r="J356" s="26" t="str">
        <f>VLOOKUP(A356, 'Session Data'!A:AA,14,false)</f>
        <v>Master's</v>
      </c>
      <c r="K356" s="27" t="str">
        <f>VLOOKUP(A356, 'Session Data'!A:AA,15,false)</f>
        <v>Education</v>
      </c>
      <c r="L356" s="28" t="s">
        <v>324</v>
      </c>
      <c r="M356" s="29" t="str">
        <f>VLOOKUP(A356, 'Session Data'!A:K,11,false)</f>
        <v>Masters of Science in Child Development with a concentration in Early Childhood Mental Health (LPCC)</v>
      </c>
      <c r="N356" s="26" t="str">
        <f>IF(ISNA(VLOOKUP(A356, 'Award Abstract#'!C:C, 1, FALSE)), "No", "Yes")
</f>
        <v>No</v>
      </c>
      <c r="O356" s="29" t="str">
        <f>IF(ISNA(VLOOKUP(A356,'Award Abstract#'!B:B,1,FALSE)), "No", "Yes")</f>
        <v>No</v>
      </c>
      <c r="P356" s="29" t="str">
        <f>IF(ISNA(VLOOKUP(A356,'Award Abstract#'!E:E,1,FALSE)), "No", "Yes")</f>
        <v>No</v>
      </c>
      <c r="Q356" s="29" t="str">
        <f>IF(ISNA(VLOOKUP(A356,'Award Abstract#'!A:A,1,FALSE)), "No", "Yes")</f>
        <v>No</v>
      </c>
      <c r="R356" s="29" t="str">
        <f>IF(ISNA(VLOOKUP(A356,'Award Abstract#'!D:D,1,FALSE)), "No", "Yes")</f>
        <v>Yes</v>
      </c>
      <c r="S356" s="30" t="str">
        <f>VLOOKUP(A356, 'Session Data'!A:AA,27,false)</f>
        <v>Woman</v>
      </c>
      <c r="T356" s="30"/>
      <c r="U356" s="30"/>
      <c r="V356" s="31" t="str">
        <f>VLOOKUP(A356, 'Session Data'!A:AA,8,false)</f>
        <v>Lucyann </v>
      </c>
      <c r="W356" s="32" t="str">
        <f>VLOOKUP(A356, 'Session Data'!A:AA,9,false)</f>
        <v>Atkins</v>
      </c>
      <c r="X356" s="33" t="str">
        <f>VLOOKUP(A356, 'Session Data'!A:AA,12,false)</f>
        <v>Caregiving History and Attachment State of Mind in Foster Caregivers</v>
      </c>
      <c r="Y356" s="34" t="str">
        <f>VLOOKUP(A356, 'Session Data'!A:AA,22,false)</f>
        <v>Teresa</v>
      </c>
      <c r="Z356" s="34" t="str">
        <f>VLOOKUP(A356, 'Session Data'!A:AA,23,false)</f>
        <v>Lind</v>
      </c>
      <c r="AA356" s="34" t="str">
        <f>VLOOKUP(A356, 'Session Data'!A:AA,25,false)</f>
        <v>Education</v>
      </c>
      <c r="AB356" s="34" t="str">
        <f>VLOOKUP(A356, 'Session Data'!A:AA,24,false)</f>
        <v>tlind@sdsu.edu</v>
      </c>
      <c r="AC356" s="34" t="str">
        <f>VLOOKUP(A356, 'Session Data'!A:AA,16,false)</f>
        <v>Elvan</v>
      </c>
      <c r="AD356" s="35" t="str">
        <f>VLOOKUP(A356, 'Session Data'!A:U,17,false)</f>
        <v>Guzman</v>
      </c>
      <c r="AE356" s="35" t="str">
        <f>VLOOKUP(A356, 'Session Data'!A:U,18,false)</f>
        <v>Nikki</v>
      </c>
      <c r="AF356" s="35" t="str">
        <f>VLOOKUP(A356, 'Session Data'!A:U,19,false)</f>
        <v>Lane</v>
      </c>
      <c r="AG356" s="35" t="str">
        <f>VLOOKUP(A356, 'Session Data'!A:U,20,false)</f>
        <v>Ayda</v>
      </c>
      <c r="AH356" s="35" t="str">
        <f>VLOOKUP(A356, 'Session Data'!A:U,21,false)</f>
        <v>Akkoyun</v>
      </c>
      <c r="AI356" s="36"/>
      <c r="AJ356" s="38"/>
      <c r="AK356" s="38"/>
      <c r="AL356" s="39"/>
      <c r="AM356" s="34" t="str">
        <f>VLOOKUP(A356, 'Session Data'!A:AA,10,false)</f>
        <v>latkins3816@sdsu.edu</v>
      </c>
      <c r="AN356" s="40"/>
      <c r="AO356" s="38"/>
      <c r="AP356" s="38"/>
      <c r="AQ356" s="38"/>
      <c r="AR356" s="38"/>
      <c r="AS356" s="38"/>
      <c r="AT356" s="38"/>
      <c r="AU356" s="38"/>
      <c r="AV356" s="38"/>
      <c r="AW356" s="38"/>
      <c r="AX356" s="38"/>
      <c r="AY356" s="43"/>
      <c r="AZ356" s="43"/>
      <c r="BA356" s="48"/>
      <c r="BB356" s="48"/>
      <c r="BC356" s="43"/>
      <c r="BD356" s="43"/>
      <c r="BE356" s="44"/>
      <c r="BF356" s="45"/>
      <c r="BG356" s="43"/>
    </row>
    <row r="357">
      <c r="A357" s="19" t="s">
        <v>427</v>
      </c>
      <c r="B357" s="20">
        <f>VLOOKUP(F357,'Session Count DO NOT EDIT'!$A:$C,3,FALSE)</f>
        <v>5</v>
      </c>
      <c r="C357" s="20">
        <f>COUNTIFS('Scores Import DO NOT EDIT'!D:D,A357)</f>
        <v>4</v>
      </c>
      <c r="D357" s="21">
        <f t="shared" si="1"/>
        <v>0.8</v>
      </c>
      <c r="E357" s="22">
        <f>AVERAGEIFS('Scores Import DO NOT EDIT'!L:L,'Scores Import DO NOT EDIT'!D:D,A357)</f>
        <v>27.25</v>
      </c>
      <c r="F357" s="23" t="str">
        <f>VLOOKUP(A357, 'Session Data'!A:M,3,false)</f>
        <v>G-8</v>
      </c>
      <c r="G357" s="24" t="str">
        <f>VLOOKUP(A357, 'Session Data'!A:I,2,false)</f>
        <v>11:00 AM</v>
      </c>
      <c r="H357" s="23" t="str">
        <f>VLOOKUP(A357, 'Session Data'!A:J,5,false)</f>
        <v>Behavioral and Social Sciences</v>
      </c>
      <c r="I357" s="25" t="str">
        <f>VLOOKUP(A357, 'Session Data'!A:H,4,false)</f>
        <v>Poster</v>
      </c>
      <c r="J357" s="26" t="str">
        <f>VLOOKUP(A357, 'Session Data'!A:AA,14,false)</f>
        <v>Doctoral</v>
      </c>
      <c r="K357" s="27" t="str">
        <f>VLOOKUP(A357, 'Session Data'!A:AA,15,false)</f>
        <v>Health and Human Services</v>
      </c>
      <c r="L357" s="47"/>
      <c r="M357" s="29" t="str">
        <f>VLOOKUP(A357, 'Session Data'!A:K,11,false)</f>
        <v>PhD Public Health - Health Behavior</v>
      </c>
      <c r="N357" s="26" t="str">
        <f>IF(ISNA(VLOOKUP(A357, 'Award Abstract#'!C:C, 1, FALSE)), "No", "Yes")
</f>
        <v>No</v>
      </c>
      <c r="O357" s="29" t="str">
        <f>IF(ISNA(VLOOKUP(A357,'Award Abstract#'!B:B,1,FALSE)), "No", "Yes")</f>
        <v>No</v>
      </c>
      <c r="P357" s="29" t="str">
        <f>IF(ISNA(VLOOKUP(A357,'Award Abstract#'!E:E,1,FALSE)), "No", "Yes")</f>
        <v>No</v>
      </c>
      <c r="Q357" s="29" t="str">
        <f>IF(ISNA(VLOOKUP(A357,'Award Abstract#'!A:A,1,FALSE)), "No", "Yes")</f>
        <v>No</v>
      </c>
      <c r="R357" s="29" t="str">
        <f>IF(ISNA(VLOOKUP(A357,'Award Abstract#'!D:D,1,FALSE)), "No", "Yes")</f>
        <v>Yes</v>
      </c>
      <c r="S357" s="30" t="str">
        <f>VLOOKUP(A357, 'Session Data'!A:AA,27,false)</f>
        <v>Woman</v>
      </c>
      <c r="T357" s="30"/>
      <c r="U357" s="30"/>
      <c r="V357" s="31" t="str">
        <f>VLOOKUP(A357, 'Session Data'!A:AA,8,false)</f>
        <v>Salgin</v>
      </c>
      <c r="W357" s="32" t="str">
        <f>VLOOKUP(A357, 'Session Data'!A:AA,9,false)</f>
        <v>Linda</v>
      </c>
      <c r="X357" s="33" t="str">
        <f>VLOOKUP(A357, 'Session Data'!A:AA,12,false)</f>
        <v>Feasibility and Acceptability of Ecological Momentary Assessment (EMA) Methods among LGBTQ+ Adolescent Tobacco and Nicotine Users </v>
      </c>
      <c r="Y357" s="34" t="str">
        <f>VLOOKUP(A357, 'Session Data'!A:AA,22,false)</f>
        <v>Jerel</v>
      </c>
      <c r="Z357" s="34" t="str">
        <f>VLOOKUP(A357, 'Session Data'!A:AA,23,false)</f>
        <v>Calzo</v>
      </c>
      <c r="AA357" s="34" t="str">
        <f>VLOOKUP(A357, 'Session Data'!A:AA,25,false)</f>
        <v>Health and Human Services</v>
      </c>
      <c r="AB357" s="34" t="str">
        <f>VLOOKUP(A357, 'Session Data'!A:AA,24,false)</f>
        <v>jcalzo@sdsu.edu</v>
      </c>
      <c r="AC357" s="34" t="str">
        <f>VLOOKUP(A357, 'Session Data'!A:AA,16,false)</f>
        <v>Alexus</v>
      </c>
      <c r="AD357" s="35" t="str">
        <f>VLOOKUP(A357, 'Session Data'!A:U,17,false)</f>
        <v>Shorter</v>
      </c>
      <c r="AE357" s="35" t="str">
        <f>VLOOKUP(A357, 'Session Data'!A:U,18,false)</f>
        <v/>
      </c>
      <c r="AF357" s="35" t="str">
        <f>VLOOKUP(A357, 'Session Data'!A:U,19,false)</f>
        <v/>
      </c>
      <c r="AG357" s="35" t="str">
        <f>VLOOKUP(A357, 'Session Data'!A:U,20,false)</f>
        <v/>
      </c>
      <c r="AH357" s="35" t="str">
        <f>VLOOKUP(A357, 'Session Data'!A:U,21,false)</f>
        <v/>
      </c>
      <c r="AI357" s="37"/>
      <c r="AJ357" s="37"/>
      <c r="AK357" s="37"/>
      <c r="AL357" s="50"/>
      <c r="AM357" s="34" t="str">
        <f>VLOOKUP(A357, 'Session Data'!A:AA,10,false)</f>
        <v>lsalgin8333@sdsu.edu</v>
      </c>
      <c r="AN357" s="40"/>
      <c r="AO357" s="38"/>
      <c r="AP357" s="38"/>
      <c r="AQ357" s="38"/>
      <c r="AR357" s="38"/>
      <c r="AS357" s="38"/>
      <c r="AT357" s="38"/>
      <c r="AU357" s="38"/>
      <c r="AV357" s="38"/>
      <c r="AW357" s="38"/>
      <c r="AX357" s="38"/>
      <c r="AY357" s="43"/>
      <c r="AZ357" s="43"/>
      <c r="BA357" s="43"/>
      <c r="BB357" s="43"/>
      <c r="BC357" s="43"/>
      <c r="BD357" s="43"/>
      <c r="BE357" s="44"/>
      <c r="BF357" s="45"/>
      <c r="BG357" s="43"/>
    </row>
    <row r="358">
      <c r="A358" s="19" t="s">
        <v>428</v>
      </c>
      <c r="B358" s="20">
        <f>VLOOKUP(F358,'Session Count DO NOT EDIT'!$A:$C,3,FALSE)</f>
        <v>5</v>
      </c>
      <c r="C358" s="20">
        <f>COUNTIFS('Scores Import DO NOT EDIT'!D:D,A358)</f>
        <v>4</v>
      </c>
      <c r="D358" s="21">
        <f t="shared" si="1"/>
        <v>0.8</v>
      </c>
      <c r="E358" s="22">
        <f>AVERAGEIFS('Scores Import DO NOT EDIT'!L:L,'Scores Import DO NOT EDIT'!D:D,A358)</f>
        <v>25.5</v>
      </c>
      <c r="F358" s="23" t="str">
        <f>VLOOKUP(A358, 'Session Data'!A:M,3,false)</f>
        <v>G-8</v>
      </c>
      <c r="G358" s="24" t="str">
        <f>VLOOKUP(A358, 'Session Data'!A:I,2,false)</f>
        <v>11:00 AM</v>
      </c>
      <c r="H358" s="23" t="str">
        <f>VLOOKUP(A358, 'Session Data'!A:J,5,false)</f>
        <v>Behavioral and Social Sciences</v>
      </c>
      <c r="I358" s="25" t="str">
        <f>VLOOKUP(A358, 'Session Data'!A:H,4,false)</f>
        <v>Poster</v>
      </c>
      <c r="J358" s="26" t="str">
        <f>VLOOKUP(A358, 'Session Data'!A:AA,14,false)</f>
        <v>Master's</v>
      </c>
      <c r="K358" s="27" t="str">
        <f>VLOOKUP(A358, 'Session Data'!A:AA,15,false)</f>
        <v>Health and Human Services</v>
      </c>
      <c r="L358" s="47"/>
      <c r="M358" s="29" t="str">
        <f>VLOOKUP(A358, 'Session Data'!A:K,11,false)</f>
        <v>MPH Health Promotion and Behavioral Sciences</v>
      </c>
      <c r="N358" s="26" t="str">
        <f>IF(ISNA(VLOOKUP(A358, 'Award Abstract#'!C:C, 1, FALSE)), "No", "Yes")
</f>
        <v>No</v>
      </c>
      <c r="O358" s="29" t="str">
        <f>IF(ISNA(VLOOKUP(A358,'Award Abstract#'!B:B,1,FALSE)), "No", "Yes")</f>
        <v>No</v>
      </c>
      <c r="P358" s="29" t="str">
        <f>IF(ISNA(VLOOKUP(A358,'Award Abstract#'!E:E,1,FALSE)), "No", "Yes")</f>
        <v>No</v>
      </c>
      <c r="Q358" s="29" t="str">
        <f>IF(ISNA(VLOOKUP(A358,'Award Abstract#'!A:A,1,FALSE)), "No", "Yes")</f>
        <v>No</v>
      </c>
      <c r="R358" s="29" t="str">
        <f>IF(ISNA(VLOOKUP(A358,'Award Abstract#'!D:D,1,FALSE)), "No", "Yes")</f>
        <v>No</v>
      </c>
      <c r="S358" s="30" t="str">
        <f>VLOOKUP(A358, 'Session Data'!A:AA,27,false)</f>
        <v>Woman</v>
      </c>
      <c r="T358" s="30"/>
      <c r="U358" s="30"/>
      <c r="V358" s="31" t="str">
        <f>VLOOKUP(A358, 'Session Data'!A:AA,8,false)</f>
        <v>Emily</v>
      </c>
      <c r="W358" s="32" t="str">
        <f>VLOOKUP(A358, 'Session Data'!A:AA,9,false)</f>
        <v>Leslie</v>
      </c>
      <c r="X358" s="33" t="str">
        <f>VLOOKUP(A358, 'Session Data'!A:AA,12,false)</f>
        <v>Opportunities to improve sleep and circadian health in active duty service members</v>
      </c>
      <c r="Y358" s="34" t="str">
        <f>VLOOKUP(A358, 'Session Data'!A:AA,22,false)</f>
        <v>Emily</v>
      </c>
      <c r="Z358" s="34" t="str">
        <f>VLOOKUP(A358, 'Session Data'!A:AA,23,false)</f>
        <v>Schmied</v>
      </c>
      <c r="AA358" s="34" t="str">
        <f>VLOOKUP(A358, 'Session Data'!A:AA,25,false)</f>
        <v>Health and Human Services</v>
      </c>
      <c r="AB358" s="34" t="str">
        <f>VLOOKUP(A358, 'Session Data'!A:AA,24,false)</f>
        <v>eschmied@sdsu.edu</v>
      </c>
      <c r="AC358" s="34" t="str">
        <f>VLOOKUP(A358, 'Session Data'!A:AA,16,false)</f>
        <v/>
      </c>
      <c r="AD358" s="35" t="str">
        <f>VLOOKUP(A358, 'Session Data'!A:U,17,false)</f>
        <v/>
      </c>
      <c r="AE358" s="35" t="str">
        <f>VLOOKUP(A358, 'Session Data'!A:U,18,false)</f>
        <v/>
      </c>
      <c r="AF358" s="35" t="str">
        <f>VLOOKUP(A358, 'Session Data'!A:U,19,false)</f>
        <v/>
      </c>
      <c r="AG358" s="35" t="str">
        <f>VLOOKUP(A358, 'Session Data'!A:U,20,false)</f>
        <v/>
      </c>
      <c r="AH358" s="35" t="str">
        <f>VLOOKUP(A358, 'Session Data'!A:U,21,false)</f>
        <v/>
      </c>
      <c r="AI358" s="37"/>
      <c r="AJ358" s="37"/>
      <c r="AK358" s="37"/>
      <c r="AL358" s="50"/>
      <c r="AM358" s="34" t="str">
        <f>VLOOKUP(A358, 'Session Data'!A:AA,10,false)</f>
        <v>eleslie5387@sdsu.edu</v>
      </c>
      <c r="AN358" s="40"/>
      <c r="AO358" s="38"/>
      <c r="AP358" s="38"/>
      <c r="AQ358" s="38"/>
      <c r="AR358" s="38"/>
      <c r="AS358" s="38"/>
      <c r="AT358" s="38"/>
      <c r="AU358" s="38"/>
      <c r="AV358" s="38"/>
      <c r="AW358" s="38"/>
      <c r="AX358" s="38"/>
      <c r="AY358" s="43"/>
      <c r="AZ358" s="43"/>
      <c r="BA358" s="43"/>
      <c r="BB358" s="43"/>
      <c r="BC358" s="43"/>
      <c r="BD358" s="43"/>
      <c r="BE358" s="44"/>
      <c r="BF358" s="45"/>
      <c r="BG358" s="43"/>
    </row>
    <row r="359">
      <c r="A359" s="19" t="s">
        <v>429</v>
      </c>
      <c r="B359" s="20">
        <f>VLOOKUP(F359,'Session Count DO NOT EDIT'!$A:$C,3,FALSE)</f>
        <v>5</v>
      </c>
      <c r="C359" s="20">
        <f>COUNTIFS('Scores Import DO NOT EDIT'!D:D,A359)</f>
        <v>4</v>
      </c>
      <c r="D359" s="21">
        <f t="shared" si="1"/>
        <v>0.8</v>
      </c>
      <c r="E359" s="22">
        <f>AVERAGEIFS('Scores Import DO NOT EDIT'!L:L,'Scores Import DO NOT EDIT'!D:D,A359)</f>
        <v>25</v>
      </c>
      <c r="F359" s="23" t="str">
        <f>VLOOKUP(A359, 'Session Data'!A:M,3,false)</f>
        <v>G-8</v>
      </c>
      <c r="G359" s="24" t="str">
        <f>VLOOKUP(A359, 'Session Data'!A:I,2,false)</f>
        <v>11:00 AM</v>
      </c>
      <c r="H359" s="23" t="str">
        <f>VLOOKUP(A359, 'Session Data'!A:J,5,false)</f>
        <v>Behavioral and Social Sciences</v>
      </c>
      <c r="I359" s="25" t="str">
        <f>VLOOKUP(A359, 'Session Data'!A:H,4,false)</f>
        <v>Poster</v>
      </c>
      <c r="J359" s="26" t="str">
        <f>VLOOKUP(A359, 'Session Data'!A:AA,14,false)</f>
        <v>Master's</v>
      </c>
      <c r="K359" s="27" t="str">
        <f>VLOOKUP(A359, 'Session Data'!A:AA,15,false)</f>
        <v>Sciences</v>
      </c>
      <c r="L359" s="28"/>
      <c r="M359" s="29" t="str">
        <f>VLOOKUP(A359, 'Session Data'!A:K,11,false)</f>
        <v>Masters of Arts in Social Psychology</v>
      </c>
      <c r="N359" s="26" t="str">
        <f>IF(ISNA(VLOOKUP(A359, 'Award Abstract#'!C:C, 1, FALSE)), "No", "Yes")
</f>
        <v>No</v>
      </c>
      <c r="O359" s="29" t="str">
        <f>IF(ISNA(VLOOKUP(A359,'Award Abstract#'!B:B,1,FALSE)), "No", "Yes")</f>
        <v>No</v>
      </c>
      <c r="P359" s="29" t="str">
        <f>IF(ISNA(VLOOKUP(A359,'Award Abstract#'!E:E,1,FALSE)), "No", "Yes")</f>
        <v>No</v>
      </c>
      <c r="Q359" s="29" t="str">
        <f>IF(ISNA(VLOOKUP(A359,'Award Abstract#'!A:A,1,FALSE)), "No", "Yes")</f>
        <v>No</v>
      </c>
      <c r="R359" s="29" t="str">
        <f>IF(ISNA(VLOOKUP(A359,'Award Abstract#'!D:D,1,FALSE)), "No", "Yes")</f>
        <v>Yes</v>
      </c>
      <c r="S359" s="30" t="str">
        <f>VLOOKUP(A359, 'Session Data'!A:AA,27,false)</f>
        <v>Woman</v>
      </c>
      <c r="T359" s="30"/>
      <c r="U359" s="30"/>
      <c r="V359" s="31" t="str">
        <f>VLOOKUP(A359, 'Session Data'!A:AA,8,false)</f>
        <v>Ashar</v>
      </c>
      <c r="W359" s="32" t="str">
        <f>VLOOKUP(A359, 'Session Data'!A:AA,9,false)</f>
        <v>Abdallah</v>
      </c>
      <c r="X359" s="33" t="str">
        <f>VLOOKUP(A359, 'Session Data'!A:AA,12,false)</f>
        <v>Exploration of the Motivation to Control Prejudice towards Arab/Muslims at Individual and County Levels</v>
      </c>
      <c r="Y359" s="34" t="str">
        <f>VLOOKUP(A359, 'Session Data'!A:AA,22,false)</f>
        <v>Thierry</v>
      </c>
      <c r="Z359" s="34" t="str">
        <f>VLOOKUP(A359, 'Session Data'!A:AA,23,false)</f>
        <v>Devos</v>
      </c>
      <c r="AA359" s="34" t="str">
        <f>VLOOKUP(A359, 'Session Data'!A:AA,25,false)</f>
        <v>Sciences</v>
      </c>
      <c r="AB359" s="34"/>
      <c r="AC359" s="34" t="str">
        <f>VLOOKUP(A359, 'Session Data'!A:AA,16,false)</f>
        <v>James</v>
      </c>
      <c r="AD359" s="35" t="str">
        <f>VLOOKUP(A359, 'Session Data'!A:U,17,false)</f>
        <v>Peterson</v>
      </c>
      <c r="AE359" s="35" t="str">
        <f>VLOOKUP(A359, 'Session Data'!A:U,18,false)</f>
        <v>Angelica</v>
      </c>
      <c r="AF359" s="35" t="str">
        <f>VLOOKUP(A359, 'Session Data'!A:U,19,false)</f>
        <v>Tharpe</v>
      </c>
      <c r="AG359" s="35" t="str">
        <f>VLOOKUP(A359, 'Session Data'!A:U,20,false)</f>
        <v/>
      </c>
      <c r="AH359" s="35" t="str">
        <f>VLOOKUP(A359, 'Session Data'!A:U,21,false)</f>
        <v/>
      </c>
      <c r="AI359" s="37"/>
      <c r="AJ359" s="37"/>
      <c r="AK359" s="37"/>
      <c r="AL359" s="50"/>
      <c r="AM359" s="34" t="str">
        <f>VLOOKUP(A359, 'Session Data'!A:AA,10,false)</f>
        <v>aabdallah2028@sdsu.edu</v>
      </c>
      <c r="AN359" s="40"/>
      <c r="AO359" s="38"/>
      <c r="AP359" s="38"/>
      <c r="AQ359" s="38"/>
      <c r="AR359" s="38"/>
      <c r="AS359" s="38"/>
      <c r="AT359" s="38"/>
      <c r="AU359" s="38"/>
      <c r="AV359" s="38"/>
      <c r="AW359" s="38"/>
      <c r="AX359" s="38"/>
      <c r="AY359" s="43"/>
      <c r="AZ359" s="43"/>
      <c r="BA359" s="48"/>
      <c r="BB359" s="48"/>
      <c r="BC359" s="43"/>
      <c r="BD359" s="43"/>
      <c r="BE359" s="44"/>
      <c r="BF359" s="45"/>
      <c r="BG359" s="46"/>
    </row>
    <row r="360">
      <c r="A360" s="19" t="s">
        <v>430</v>
      </c>
      <c r="B360" s="20">
        <f>VLOOKUP(F360,'Session Count DO NOT EDIT'!$A:$C,3,FALSE)</f>
        <v>5</v>
      </c>
      <c r="C360" s="20">
        <f>COUNTIFS('Scores Import DO NOT EDIT'!D:D,A360)</f>
        <v>4</v>
      </c>
      <c r="D360" s="21">
        <f t="shared" si="1"/>
        <v>0.8</v>
      </c>
      <c r="E360" s="22">
        <f>AVERAGEIFS('Scores Import DO NOT EDIT'!L:L,'Scores Import DO NOT EDIT'!D:D,A360)</f>
        <v>31.25</v>
      </c>
      <c r="F360" s="23" t="str">
        <f>VLOOKUP(A360, 'Session Data'!A:M,3,false)</f>
        <v>G-9</v>
      </c>
      <c r="G360" s="24" t="str">
        <f>VLOOKUP(A360, 'Session Data'!A:I,2,false)</f>
        <v>11:00 AM</v>
      </c>
      <c r="H360" s="23" t="str">
        <f>VLOOKUP(A360, 'Session Data'!A:J,5,false)</f>
        <v>Biological and Agricultural Sciences</v>
      </c>
      <c r="I360" s="25" t="str">
        <f>VLOOKUP(A360, 'Session Data'!A:H,4,false)</f>
        <v>Poster</v>
      </c>
      <c r="J360" s="26" t="str">
        <f>VLOOKUP(A360, 'Session Data'!A:AA,14,false)</f>
        <v>Master's</v>
      </c>
      <c r="K360" s="27" t="str">
        <f>VLOOKUP(A360, 'Session Data'!A:AA,15,false)</f>
        <v>Arts and Letters</v>
      </c>
      <c r="L360" s="28" t="s">
        <v>324</v>
      </c>
      <c r="M360" s="29" t="str">
        <f>VLOOKUP(A360, 'Session Data'!A:K,11,false)</f>
        <v>Masters of Science in Geography (GIS &amp; remote sensing pathway)</v>
      </c>
      <c r="N360" s="26" t="str">
        <f>IF(ISNA(VLOOKUP(A360, 'Award Abstract#'!C:C, 1, FALSE)), "No", "Yes")
</f>
        <v>No</v>
      </c>
      <c r="O360" s="29" t="str">
        <f>IF(ISNA(VLOOKUP(A360,'Award Abstract#'!B:B,1,FALSE)), "No", "Yes")</f>
        <v>Yes</v>
      </c>
      <c r="P360" s="29" t="str">
        <f>IF(ISNA(VLOOKUP(A360,'Award Abstract#'!E:E,1,FALSE)), "No", "Yes")</f>
        <v>No</v>
      </c>
      <c r="Q360" s="29" t="str">
        <f>IF(ISNA(VLOOKUP(A360,'Award Abstract#'!A:A,1,FALSE)), "No", "Yes")</f>
        <v>No</v>
      </c>
      <c r="R360" s="29" t="str">
        <f>IF(ISNA(VLOOKUP(A360,'Award Abstract#'!D:D,1,FALSE)), "No", "Yes")</f>
        <v>Yes</v>
      </c>
      <c r="S360" s="30" t="str">
        <f>VLOOKUP(A360, 'Session Data'!A:AA,27,false)</f>
        <v>Woman</v>
      </c>
      <c r="T360" s="30"/>
      <c r="U360" s="30"/>
      <c r="V360" s="31" t="str">
        <f>VLOOKUP(A360, 'Session Data'!A:AA,8,false)</f>
        <v>Elizabeth</v>
      </c>
      <c r="W360" s="32" t="str">
        <f>VLOOKUP(A360, 'Session Data'!A:AA,9,false)</f>
        <v>Bushnell</v>
      </c>
      <c r="X360" s="33" t="str">
        <f>VLOOKUP(A360, 'Session Data'!A:AA,12,false)</f>
        <v>Shrinking Coastlines: Use of Uncrewed Aerial Systems to Map and Monitor Rocky Intertidal Habitats</v>
      </c>
      <c r="Y360" s="34" t="str">
        <f>VLOOKUP(A360, 'Session Data'!A:AA,22,false)</f>
        <v>Doug</v>
      </c>
      <c r="Z360" s="34" t="str">
        <f>VLOOKUP(A360, 'Session Data'!A:AA,23,false)</f>
        <v>Stow</v>
      </c>
      <c r="AA360" s="34" t="str">
        <f>VLOOKUP(A360, 'Session Data'!A:AA,25,false)</f>
        <v>Arts and Letters</v>
      </c>
      <c r="AB360" s="34" t="str">
        <f>VLOOKUP(A360, 'Session Data'!A:AA,24,false)</f>
        <v>stow@sdsu.edu</v>
      </c>
      <c r="AC360" s="34" t="str">
        <f>VLOOKUP(A360, 'Session Data'!A:AA,16,false)</f>
        <v/>
      </c>
      <c r="AD360" s="35" t="str">
        <f>VLOOKUP(A360, 'Session Data'!A:U,17,false)</f>
        <v/>
      </c>
      <c r="AE360" s="35" t="str">
        <f>VLOOKUP(A360, 'Session Data'!A:U,18,false)</f>
        <v/>
      </c>
      <c r="AF360" s="35" t="str">
        <f>VLOOKUP(A360, 'Session Data'!A:U,19,false)</f>
        <v/>
      </c>
      <c r="AG360" s="35" t="str">
        <f>VLOOKUP(A360, 'Session Data'!A:U,20,false)</f>
        <v/>
      </c>
      <c r="AH360" s="35" t="str">
        <f>VLOOKUP(A360, 'Session Data'!A:U,21,false)</f>
        <v/>
      </c>
      <c r="AI360" s="37"/>
      <c r="AJ360" s="37"/>
      <c r="AK360" s="37"/>
      <c r="AL360" s="50"/>
      <c r="AM360" s="34" t="str">
        <f>VLOOKUP(A360, 'Session Data'!A:AA,10,false)</f>
        <v>ebushnell6311@sdsu.edu</v>
      </c>
      <c r="AN360" s="40"/>
      <c r="AO360" s="38"/>
      <c r="AP360" s="38"/>
      <c r="AQ360" s="38"/>
      <c r="AR360" s="38"/>
      <c r="AS360" s="38"/>
      <c r="AT360" s="38"/>
      <c r="AU360" s="38"/>
      <c r="AV360" s="38"/>
      <c r="AW360" s="38"/>
      <c r="AX360" s="38"/>
      <c r="AY360" s="43"/>
      <c r="AZ360" s="43"/>
      <c r="BA360" s="43"/>
      <c r="BB360" s="43"/>
      <c r="BC360" s="43"/>
      <c r="BD360" s="43"/>
      <c r="BE360" s="44"/>
      <c r="BF360" s="45"/>
      <c r="BG360" s="46"/>
    </row>
    <row r="361">
      <c r="A361" s="19" t="s">
        <v>431</v>
      </c>
      <c r="B361" s="20">
        <f>VLOOKUP(F361,'Session Count DO NOT EDIT'!$A:$C,3,FALSE)</f>
        <v>5</v>
      </c>
      <c r="C361" s="20">
        <f>COUNTIFS('Scores Import DO NOT EDIT'!D:D,A361)</f>
        <v>4</v>
      </c>
      <c r="D361" s="21">
        <f t="shared" si="1"/>
        <v>0.8</v>
      </c>
      <c r="E361" s="22">
        <f>AVERAGEIFS('Scores Import DO NOT EDIT'!L:L,'Scores Import DO NOT EDIT'!D:D,A361)</f>
        <v>30.75</v>
      </c>
      <c r="F361" s="23" t="str">
        <f>VLOOKUP(A361, 'Session Data'!A:M,3,false)</f>
        <v>G-9</v>
      </c>
      <c r="G361" s="24" t="str">
        <f>VLOOKUP(A361, 'Session Data'!A:I,2,false)</f>
        <v>11:00 AM</v>
      </c>
      <c r="H361" s="23" t="str">
        <f>VLOOKUP(A361, 'Session Data'!A:J,5,false)</f>
        <v>Biological and Agricultural Sciences</v>
      </c>
      <c r="I361" s="25" t="str">
        <f>VLOOKUP(A361, 'Session Data'!A:H,4,false)</f>
        <v>Poster</v>
      </c>
      <c r="J361" s="26" t="str">
        <f>VLOOKUP(A361, 'Session Data'!A:AA,14,false)</f>
        <v>Doctoral</v>
      </c>
      <c r="K361" s="27" t="str">
        <f>VLOOKUP(A361, 'Session Data'!A:AA,15,false)</f>
        <v>Sciences</v>
      </c>
      <c r="L361" s="47"/>
      <c r="M361" s="29" t="str">
        <f>VLOOKUP(A361, 'Session Data'!A:K,11,false)</f>
        <v>PhD in Evolutionary Biology</v>
      </c>
      <c r="N361" s="26" t="str">
        <f>IF(ISNA(VLOOKUP(A361, 'Award Abstract#'!C:C, 1, FALSE)), "No", "Yes")
</f>
        <v>No</v>
      </c>
      <c r="O361" s="29" t="str">
        <f>IF(ISNA(VLOOKUP(A361,'Award Abstract#'!B:B,1,FALSE)), "No", "Yes")</f>
        <v>Yes</v>
      </c>
      <c r="P361" s="29" t="str">
        <f>IF(ISNA(VLOOKUP(A361,'Award Abstract#'!E:E,1,FALSE)), "No", "Yes")</f>
        <v>No</v>
      </c>
      <c r="Q361" s="29" t="str">
        <f>IF(ISNA(VLOOKUP(A361,'Award Abstract#'!A:A,1,FALSE)), "No", "Yes")</f>
        <v>No</v>
      </c>
      <c r="R361" s="29" t="str">
        <f>IF(ISNA(VLOOKUP(A361,'Award Abstract#'!D:D,1,FALSE)), "No", "Yes")</f>
        <v>No</v>
      </c>
      <c r="S361" s="30" t="str">
        <f>VLOOKUP(A361, 'Session Data'!A:AA,27,false)</f>
        <v>Woman</v>
      </c>
      <c r="T361" s="30"/>
      <c r="U361" s="30"/>
      <c r="V361" s="31" t="str">
        <f>VLOOKUP(A361, 'Session Data'!A:AA,8,false)</f>
        <v>Raya</v>
      </c>
      <c r="W361" s="32" t="str">
        <f>VLOOKUP(A361, 'Session Data'!A:AA,9,false)</f>
        <v>Esplin</v>
      </c>
      <c r="X361" s="33" t="str">
        <f>VLOOKUP(A361, 'Session Data'!A:AA,12,false)</f>
        <v>A Speciel New Software to Fill in Deficiencies in Trout Identification</v>
      </c>
      <c r="Y361" s="34" t="str">
        <f>VLOOKUP(A361, 'Session Data'!A:AA,22,false)</f>
        <v>Arun</v>
      </c>
      <c r="Z361" s="34" t="str">
        <f>VLOOKUP(A361, 'Session Data'!A:AA,23,false)</f>
        <v>Sethuraman</v>
      </c>
      <c r="AA361" s="34" t="str">
        <f>VLOOKUP(A361, 'Session Data'!A:AA,25,false)</f>
        <v>Sciences</v>
      </c>
      <c r="AB361" s="34"/>
      <c r="AC361" s="34" t="str">
        <f>VLOOKUP(A361, 'Session Data'!A:AA,16,false)</f>
        <v/>
      </c>
      <c r="AD361" s="35" t="str">
        <f>VLOOKUP(A361, 'Session Data'!A:U,17,false)</f>
        <v/>
      </c>
      <c r="AE361" s="35" t="str">
        <f>VLOOKUP(A361, 'Session Data'!A:U,18,false)</f>
        <v/>
      </c>
      <c r="AF361" s="35" t="str">
        <f>VLOOKUP(A361, 'Session Data'!A:U,19,false)</f>
        <v/>
      </c>
      <c r="AG361" s="35" t="str">
        <f>VLOOKUP(A361, 'Session Data'!A:U,20,false)</f>
        <v/>
      </c>
      <c r="AH361" s="35" t="str">
        <f>VLOOKUP(A361, 'Session Data'!A:U,21,false)</f>
        <v/>
      </c>
      <c r="AI361" s="37"/>
      <c r="AJ361" s="37"/>
      <c r="AK361" s="37"/>
      <c r="AL361" s="50"/>
      <c r="AM361" s="34" t="str">
        <f>VLOOKUP(A361, 'Session Data'!A:AA,10,false)</f>
        <v>resplin5072@sdsu.edu</v>
      </c>
      <c r="AN361" s="40"/>
      <c r="AO361" s="38"/>
      <c r="AP361" s="38"/>
      <c r="AQ361" s="38"/>
      <c r="AR361" s="38"/>
      <c r="AS361" s="38"/>
      <c r="AT361" s="38"/>
      <c r="AU361" s="38"/>
      <c r="AV361" s="38"/>
      <c r="AW361" s="38"/>
      <c r="AX361" s="38"/>
      <c r="AY361" s="43"/>
      <c r="AZ361" s="43"/>
      <c r="BA361" s="43"/>
      <c r="BB361" s="43"/>
      <c r="BC361" s="43"/>
      <c r="BD361" s="43"/>
      <c r="BE361" s="44"/>
      <c r="BF361" s="45"/>
      <c r="BG361" s="43"/>
    </row>
    <row r="362">
      <c r="A362" s="19" t="s">
        <v>432</v>
      </c>
      <c r="B362" s="20">
        <f>VLOOKUP(F362,'Session Count DO NOT EDIT'!$A:$C,3,FALSE)</f>
        <v>5</v>
      </c>
      <c r="C362" s="20">
        <f>COUNTIFS('Scores Import DO NOT EDIT'!D:D,A362)</f>
        <v>4</v>
      </c>
      <c r="D362" s="21">
        <f t="shared" si="1"/>
        <v>0.8</v>
      </c>
      <c r="E362" s="22">
        <f>AVERAGEIFS('Scores Import DO NOT EDIT'!L:L,'Scores Import DO NOT EDIT'!D:D,A362)</f>
        <v>33</v>
      </c>
      <c r="F362" s="23" t="str">
        <f>VLOOKUP(A362, 'Session Data'!A:M,3,false)</f>
        <v>G-9</v>
      </c>
      <c r="G362" s="24" t="str">
        <f>VLOOKUP(A362, 'Session Data'!A:I,2,false)</f>
        <v>11:00 AM</v>
      </c>
      <c r="H362" s="23" t="str">
        <f>VLOOKUP(A362, 'Session Data'!A:J,5,false)</f>
        <v>Biological and Agricultural Sciences</v>
      </c>
      <c r="I362" s="25" t="str">
        <f>VLOOKUP(A362, 'Session Data'!A:H,4,false)</f>
        <v>Poster</v>
      </c>
      <c r="J362" s="26" t="str">
        <f>VLOOKUP(A362, 'Session Data'!A:AA,14,false)</f>
        <v>Master's</v>
      </c>
      <c r="K362" s="27" t="str">
        <f>VLOOKUP(A362, 'Session Data'!A:AA,15,false)</f>
        <v>Sciences</v>
      </c>
      <c r="L362" s="28" t="s">
        <v>324</v>
      </c>
      <c r="M362" s="29" t="str">
        <f>VLOOKUP(A362, 'Session Data'!A:K,11,false)</f>
        <v>Masters of Science in Bioinformatics and Medical Informatics</v>
      </c>
      <c r="N362" s="26" t="str">
        <f>IF(ISNA(VLOOKUP(A362, 'Award Abstract#'!C:C, 1, FALSE)), "No", "Yes")
</f>
        <v>No</v>
      </c>
      <c r="O362" s="29" t="str">
        <f>IF(ISNA(VLOOKUP(A362,'Award Abstract#'!B:B,1,FALSE)), "No", "Yes")</f>
        <v>No</v>
      </c>
      <c r="P362" s="29" t="str">
        <f>IF(ISNA(VLOOKUP(A362,'Award Abstract#'!E:E,1,FALSE)), "No", "Yes")</f>
        <v>No</v>
      </c>
      <c r="Q362" s="29" t="str">
        <f>IF(ISNA(VLOOKUP(A362,'Award Abstract#'!A:A,1,FALSE)), "No", "Yes")</f>
        <v>No</v>
      </c>
      <c r="R362" s="29" t="str">
        <f>IF(ISNA(VLOOKUP(A362,'Award Abstract#'!D:D,1,FALSE)), "No", "Yes")</f>
        <v>No</v>
      </c>
      <c r="S362" s="30" t="str">
        <f>VLOOKUP(A362, 'Session Data'!A:AA,27,false)</f>
        <v>Woman</v>
      </c>
      <c r="T362" s="30"/>
      <c r="U362" s="30"/>
      <c r="V362" s="31" t="str">
        <f>VLOOKUP(A362, 'Session Data'!A:AA,8,false)</f>
        <v>Priyanshi</v>
      </c>
      <c r="W362" s="32" t="str">
        <f>VLOOKUP(A362, 'Session Data'!A:AA,9,false)</f>
        <v>Shah</v>
      </c>
      <c r="X362" s="33" t="str">
        <f>VLOOKUP(A362, 'Session Data'!A:AA,12,false)</f>
        <v>"A Machine Learning Approach to Predicting Tumor Status through Telomere Length Variation (TLV) Analysis"</v>
      </c>
      <c r="Y362" s="34" t="str">
        <f>VLOOKUP(A362, 'Session Data'!A:AA,22,false)</f>
        <v>Arun</v>
      </c>
      <c r="Z362" s="34" t="str">
        <f>VLOOKUP(A362, 'Session Data'!A:AA,23,false)</f>
        <v>Sethuraman</v>
      </c>
      <c r="AA362" s="34" t="str">
        <f>VLOOKUP(A362, 'Session Data'!A:AA,25,false)</f>
        <v>Sciences</v>
      </c>
      <c r="AB362" s="34" t="str">
        <f>VLOOKUP(A362, 'Session Data'!A:AA,24,false)</f>
        <v>asethuraman@sdsu.edu</v>
      </c>
      <c r="AC362" s="34" t="str">
        <f>VLOOKUP(A362, 'Session Data'!A:AA,16,false)</f>
        <v/>
      </c>
      <c r="AD362" s="35" t="str">
        <f>VLOOKUP(A362, 'Session Data'!A:U,17,false)</f>
        <v/>
      </c>
      <c r="AE362" s="35" t="str">
        <f>VLOOKUP(A362, 'Session Data'!A:U,18,false)</f>
        <v/>
      </c>
      <c r="AF362" s="35" t="str">
        <f>VLOOKUP(A362, 'Session Data'!A:U,19,false)</f>
        <v/>
      </c>
      <c r="AG362" s="35" t="str">
        <f>VLOOKUP(A362, 'Session Data'!A:U,20,false)</f>
        <v/>
      </c>
      <c r="AH362" s="35" t="str">
        <f>VLOOKUP(A362, 'Session Data'!A:U,21,false)</f>
        <v/>
      </c>
      <c r="AI362" s="37"/>
      <c r="AJ362" s="37"/>
      <c r="AK362" s="37"/>
      <c r="AL362" s="50"/>
      <c r="AM362" s="34" t="str">
        <f>VLOOKUP(A362, 'Session Data'!A:AA,10,false)</f>
        <v>pshah4374@sdsu.edu</v>
      </c>
      <c r="AN362" s="40"/>
      <c r="AO362" s="38"/>
      <c r="AP362" s="38"/>
      <c r="AQ362" s="38"/>
      <c r="AR362" s="38"/>
      <c r="AS362" s="38"/>
      <c r="AT362" s="38"/>
      <c r="AU362" s="38"/>
      <c r="AV362" s="38"/>
      <c r="AW362" s="38"/>
      <c r="AX362" s="38"/>
      <c r="AY362" s="43"/>
      <c r="AZ362" s="43"/>
      <c r="BA362" s="48"/>
      <c r="BB362" s="48"/>
      <c r="BC362" s="43"/>
      <c r="BD362" s="43"/>
      <c r="BE362" s="44"/>
      <c r="BF362" s="45"/>
      <c r="BG362" s="43"/>
    </row>
    <row r="363">
      <c r="A363" s="19" t="s">
        <v>433</v>
      </c>
      <c r="B363" s="20">
        <f>VLOOKUP(F363,'Session Count DO NOT EDIT'!$A:$C,3,FALSE)</f>
        <v>5</v>
      </c>
      <c r="C363" s="20">
        <f>COUNTIFS('Scores Import DO NOT EDIT'!D:D,A363)</f>
        <v>4</v>
      </c>
      <c r="D363" s="21">
        <f t="shared" si="1"/>
        <v>0.8</v>
      </c>
      <c r="E363" s="22">
        <f>AVERAGEIFS('Scores Import DO NOT EDIT'!L:L,'Scores Import DO NOT EDIT'!D:D,A363)</f>
        <v>33</v>
      </c>
      <c r="F363" s="23" t="str">
        <f>VLOOKUP(A363, 'Session Data'!A:M,3,false)</f>
        <v>G-9</v>
      </c>
      <c r="G363" s="24" t="str">
        <f>VLOOKUP(A363, 'Session Data'!A:I,2,false)</f>
        <v>11:00 AM</v>
      </c>
      <c r="H363" s="23" t="str">
        <f>VLOOKUP(A363, 'Session Data'!A:J,5,false)</f>
        <v>Biological and Agricultural Sciences</v>
      </c>
      <c r="I363" s="25" t="str">
        <f>VLOOKUP(A363, 'Session Data'!A:H,4,false)</f>
        <v>Poster</v>
      </c>
      <c r="J363" s="26" t="str">
        <f>VLOOKUP(A363, 'Session Data'!A:AA,14,false)</f>
        <v>Doctoral</v>
      </c>
      <c r="K363" s="27" t="str">
        <f>VLOOKUP(A363, 'Session Data'!A:AA,15,false)</f>
        <v>Sciences</v>
      </c>
      <c r="L363" s="28" t="s">
        <v>95</v>
      </c>
      <c r="M363" s="29" t="str">
        <f>VLOOKUP(A363, 'Session Data'!A:K,11,false)</f>
        <v>Cell and Molecular Biology Joint Doctoral Program (CMB JDP)</v>
      </c>
      <c r="N363" s="26" t="str">
        <f>IF(ISNA(VLOOKUP(A363, 'Award Abstract#'!C:C, 1, FALSE)), "No", "Yes")
</f>
        <v>No</v>
      </c>
      <c r="O363" s="29" t="str">
        <f>IF(ISNA(VLOOKUP(A363,'Award Abstract#'!B:B,1,FALSE)), "No", "Yes")</f>
        <v>No</v>
      </c>
      <c r="P363" s="29" t="str">
        <f>IF(ISNA(VLOOKUP(A363,'Award Abstract#'!E:E,1,FALSE)), "No", "Yes")</f>
        <v>No</v>
      </c>
      <c r="Q363" s="29" t="str">
        <f>IF(ISNA(VLOOKUP(A363,'Award Abstract#'!A:A,1,FALSE)), "No", "Yes")</f>
        <v>No</v>
      </c>
      <c r="R363" s="29" t="str">
        <f>IF(ISNA(VLOOKUP(A363,'Award Abstract#'!D:D,1,FALSE)), "No", "Yes")</f>
        <v>Yes</v>
      </c>
      <c r="S363" s="30" t="str">
        <f>VLOOKUP(A363, 'Session Data'!A:AA,27,false)</f>
        <v>Woman</v>
      </c>
      <c r="T363" s="30"/>
      <c r="U363" s="30"/>
      <c r="V363" s="31" t="str">
        <f>VLOOKUP(A363, 'Session Data'!A:AA,8,false)</f>
        <v>Megan</v>
      </c>
      <c r="W363" s="32" t="str">
        <f>VLOOKUP(A363, 'Session Data'!A:AA,9,false)</f>
        <v>Keene</v>
      </c>
      <c r="X363" s="33" t="str">
        <f>VLOOKUP(A363, 'Session Data'!A:AA,12,false)</f>
        <v>Unveiling the Role of ID1-4 proteins in Cancer Stem-like Cell Maintenance and Contribution to Ovarian Cancer Recurrence Following Chemotherapy</v>
      </c>
      <c r="Y363" s="34" t="str">
        <f>VLOOKUP(A363, 'Session Data'!A:AA,22,false)</f>
        <v>Carrie</v>
      </c>
      <c r="Z363" s="34" t="str">
        <f>VLOOKUP(A363, 'Session Data'!A:AA,23,false)</f>
        <v>House</v>
      </c>
      <c r="AA363" s="34" t="str">
        <f>VLOOKUP(A363, 'Session Data'!A:AA,25,false)</f>
        <v>Sciences</v>
      </c>
      <c r="AB363" s="34" t="str">
        <f>VLOOKUP(A363, 'Session Data'!A:AA,24,false)</f>
        <v>cdhouse@sdsu.edu</v>
      </c>
      <c r="AC363" s="34" t="str">
        <f>VLOOKUP(A363, 'Session Data'!A:AA,16,false)</f>
        <v/>
      </c>
      <c r="AD363" s="35" t="str">
        <f>VLOOKUP(A363, 'Session Data'!A:U,17,false)</f>
        <v/>
      </c>
      <c r="AE363" s="35" t="str">
        <f>VLOOKUP(A363, 'Session Data'!A:U,18,false)</f>
        <v/>
      </c>
      <c r="AF363" s="35" t="str">
        <f>VLOOKUP(A363, 'Session Data'!A:U,19,false)</f>
        <v/>
      </c>
      <c r="AG363" s="35" t="str">
        <f>VLOOKUP(A363, 'Session Data'!A:U,20,false)</f>
        <v/>
      </c>
      <c r="AH363" s="35" t="str">
        <f>VLOOKUP(A363, 'Session Data'!A:U,21,false)</f>
        <v/>
      </c>
      <c r="AI363" s="37"/>
      <c r="AJ363" s="37"/>
      <c r="AK363" s="37"/>
      <c r="AL363" s="50"/>
      <c r="AM363" s="34" t="str">
        <f>VLOOKUP(A363, 'Session Data'!A:AA,10,false)</f>
        <v>mkeene5367@sdsu.edu</v>
      </c>
      <c r="AN363" s="40"/>
      <c r="AO363" s="38"/>
      <c r="AP363" s="38"/>
      <c r="AQ363" s="38"/>
      <c r="AR363" s="38"/>
      <c r="AS363" s="38"/>
      <c r="AT363" s="38"/>
      <c r="AU363" s="38"/>
      <c r="AV363" s="38"/>
      <c r="AW363" s="38"/>
      <c r="AX363" s="38"/>
      <c r="AY363" s="43"/>
      <c r="AZ363" s="43"/>
      <c r="BA363" s="43"/>
      <c r="BB363" s="43"/>
      <c r="BC363" s="43"/>
      <c r="BD363" s="43"/>
      <c r="BE363" s="44"/>
      <c r="BF363" s="45"/>
      <c r="BG363" s="43"/>
    </row>
    <row r="364">
      <c r="A364" s="19" t="s">
        <v>434</v>
      </c>
      <c r="B364" s="20">
        <f>VLOOKUP(F364,'Session Count DO NOT EDIT'!$A:$C,3,FALSE)</f>
        <v>5</v>
      </c>
      <c r="C364" s="20">
        <f>COUNTIFS('Scores Import DO NOT EDIT'!D:D,A364)</f>
        <v>4</v>
      </c>
      <c r="D364" s="21">
        <f t="shared" si="1"/>
        <v>0.8</v>
      </c>
      <c r="E364" s="22">
        <f>AVERAGEIFS('Scores Import DO NOT EDIT'!L:L,'Scores Import DO NOT EDIT'!D:D,A364)</f>
        <v>32</v>
      </c>
      <c r="F364" s="23" t="str">
        <f>VLOOKUP(A364, 'Session Data'!A:M,3,false)</f>
        <v>G-9</v>
      </c>
      <c r="G364" s="24" t="str">
        <f>VLOOKUP(A364, 'Session Data'!A:I,2,false)</f>
        <v>11:00 AM</v>
      </c>
      <c r="H364" s="23" t="str">
        <f>VLOOKUP(A364, 'Session Data'!A:J,5,false)</f>
        <v>Biological and Agricultural Sciences</v>
      </c>
      <c r="I364" s="25" t="str">
        <f>VLOOKUP(A364, 'Session Data'!A:H,4,false)</f>
        <v>Poster</v>
      </c>
      <c r="J364" s="26" t="str">
        <f>VLOOKUP(A364, 'Session Data'!A:AA,14,false)</f>
        <v>Master's</v>
      </c>
      <c r="K364" s="27" t="str">
        <f>VLOOKUP(A364, 'Session Data'!A:AA,15,false)</f>
        <v>Arts and Letters</v>
      </c>
      <c r="L364" s="28" t="s">
        <v>95</v>
      </c>
      <c r="M364" s="29" t="str">
        <f>VLOOKUP(A364, 'Session Data'!A:K,11,false)</f>
        <v>Master in Geography</v>
      </c>
      <c r="N364" s="26" t="str">
        <f>IF(ISNA(VLOOKUP(A364, 'Award Abstract#'!C:C, 1, FALSE)), "No", "Yes")
</f>
        <v>No</v>
      </c>
      <c r="O364" s="29" t="str">
        <f>IF(ISNA(VLOOKUP(A364,'Award Abstract#'!B:B,1,FALSE)), "No", "Yes")</f>
        <v>No</v>
      </c>
      <c r="P364" s="29" t="str">
        <f>IF(ISNA(VLOOKUP(A364,'Award Abstract#'!E:E,1,FALSE)), "No", "Yes")</f>
        <v>No</v>
      </c>
      <c r="Q364" s="29" t="str">
        <f>IF(ISNA(VLOOKUP(A364,'Award Abstract#'!A:A,1,FALSE)), "No", "Yes")</f>
        <v>No</v>
      </c>
      <c r="R364" s="29" t="str">
        <f>IF(ISNA(VLOOKUP(A364,'Award Abstract#'!D:D,1,FALSE)), "No", "Yes")</f>
        <v>No</v>
      </c>
      <c r="S364" s="30" t="str">
        <f>VLOOKUP(A364, 'Session Data'!A:AA,27,false)</f>
        <v>Woman</v>
      </c>
      <c r="T364" s="30"/>
      <c r="U364" s="30"/>
      <c r="V364" s="31" t="str">
        <f>VLOOKUP(A364, 'Session Data'!A:AA,8,false)</f>
        <v>Brenna</v>
      </c>
      <c r="W364" s="32" t="str">
        <f>VLOOKUP(A364, 'Session Data'!A:AA,9,false)</f>
        <v>Fowler</v>
      </c>
      <c r="X364" s="33" t="str">
        <f>VLOOKUP(A364, 'Session Data'!A:AA,12,false)</f>
        <v>Utilizing ultra-high spatial resolution drone imagery and satellite spectral vegetation indices (SVI) to study Payments for Ecosystem Services (PES) Zones in Chitwan, Nepal</v>
      </c>
      <c r="Y364" s="34" t="str">
        <f>VLOOKUP(A364, 'Session Data'!A:AA,22,false)</f>
        <v>Douglas</v>
      </c>
      <c r="Z364" s="34" t="str">
        <f>VLOOKUP(A364, 'Session Data'!A:AA,23,false)</f>
        <v>Stow</v>
      </c>
      <c r="AA364" s="34" t="str">
        <f>VLOOKUP(A364, 'Session Data'!A:AA,25,false)</f>
        <v>Arts and Letters</v>
      </c>
      <c r="AB364" s="34" t="str">
        <f>VLOOKUP(A364, 'Session Data'!A:AA,24,false)</f>
        <v>stow@sdsu.edu</v>
      </c>
      <c r="AC364" s="34" t="str">
        <f>VLOOKUP(A364, 'Session Data'!A:AA,16,false)</f>
        <v/>
      </c>
      <c r="AD364" s="35" t="str">
        <f>VLOOKUP(A364, 'Session Data'!A:U,17,false)</f>
        <v/>
      </c>
      <c r="AE364" s="35" t="str">
        <f>VLOOKUP(A364, 'Session Data'!A:U,18,false)</f>
        <v/>
      </c>
      <c r="AF364" s="35" t="str">
        <f>VLOOKUP(A364, 'Session Data'!A:U,19,false)</f>
        <v/>
      </c>
      <c r="AG364" s="35" t="str">
        <f>VLOOKUP(A364, 'Session Data'!A:U,20,false)</f>
        <v/>
      </c>
      <c r="AH364" s="35" t="str">
        <f>VLOOKUP(A364, 'Session Data'!A:U,21,false)</f>
        <v/>
      </c>
      <c r="AI364" s="36"/>
      <c r="AJ364" s="38"/>
      <c r="AK364" s="38"/>
      <c r="AL364" s="39"/>
      <c r="AM364" s="34" t="str">
        <f>VLOOKUP(A364, 'Session Data'!A:AA,10,false)</f>
        <v>bfowler3499@sdsu.edu</v>
      </c>
      <c r="AN364" s="40"/>
      <c r="AO364" s="38"/>
      <c r="AP364" s="38"/>
      <c r="AQ364" s="38"/>
      <c r="AR364" s="38"/>
      <c r="AS364" s="38"/>
      <c r="AT364" s="38"/>
      <c r="AU364" s="38"/>
      <c r="AV364" s="38"/>
      <c r="AW364" s="38"/>
      <c r="AX364" s="38"/>
      <c r="AY364" s="43"/>
      <c r="AZ364" s="43"/>
      <c r="BA364" s="43"/>
      <c r="BB364" s="43"/>
      <c r="BC364" s="43"/>
      <c r="BD364" s="43"/>
      <c r="BE364" s="44"/>
      <c r="BF364" s="45"/>
      <c r="BG364" s="43"/>
    </row>
    <row r="365">
      <c r="A365" s="19" t="s">
        <v>435</v>
      </c>
      <c r="B365" s="20">
        <f>VLOOKUP(F365,'Session Count DO NOT EDIT'!$A:$C,3,FALSE)</f>
        <v>5</v>
      </c>
      <c r="C365" s="20">
        <f>COUNTIFS('Scores Import DO NOT EDIT'!D:D,A365)</f>
        <v>3</v>
      </c>
      <c r="D365" s="21">
        <f t="shared" si="1"/>
        <v>0.6</v>
      </c>
      <c r="E365" s="22">
        <f>AVERAGEIFS('Scores Import DO NOT EDIT'!L:L,'Scores Import DO NOT EDIT'!D:D,A365)</f>
        <v>29</v>
      </c>
      <c r="F365" s="23" t="str">
        <f>VLOOKUP(A365, 'Session Data'!A:M,3,false)</f>
        <v>G-9</v>
      </c>
      <c r="G365" s="24" t="str">
        <f>VLOOKUP(A365, 'Session Data'!A:I,2,false)</f>
        <v>11:00 AM</v>
      </c>
      <c r="H365" s="23" t="str">
        <f>VLOOKUP(A365, 'Session Data'!A:J,5,false)</f>
        <v>Biological and Agricultural Sciences</v>
      </c>
      <c r="I365" s="25" t="str">
        <f>VLOOKUP(A365, 'Session Data'!A:H,4,false)</f>
        <v>Poster</v>
      </c>
      <c r="J365" s="26" t="str">
        <f>VLOOKUP(A365, 'Session Data'!A:AA,14,false)</f>
        <v>Doctoral</v>
      </c>
      <c r="K365" s="27" t="str">
        <f>VLOOKUP(A365, 'Session Data'!A:AA,15,false)</f>
        <v>Sciences</v>
      </c>
      <c r="L365" s="28"/>
      <c r="M365" s="29" t="str">
        <f>VLOOKUP(A365, 'Session Data'!A:K,11,false)</f>
        <v>PhD Cell and Molecular Biology</v>
      </c>
      <c r="N365" s="26" t="str">
        <f>IF(ISNA(VLOOKUP(A365, 'Award Abstract#'!C:C, 1, FALSE)), "No", "Yes")
</f>
        <v>No</v>
      </c>
      <c r="O365" s="29" t="str">
        <f>IF(ISNA(VLOOKUP(A365,'Award Abstract#'!B:B,1,FALSE)), "No", "Yes")</f>
        <v>No</v>
      </c>
      <c r="P365" s="29" t="str">
        <f>IF(ISNA(VLOOKUP(A365,'Award Abstract#'!E:E,1,FALSE)), "No", "Yes")</f>
        <v>No</v>
      </c>
      <c r="Q365" s="29" t="str">
        <f>IF(ISNA(VLOOKUP(A365,'Award Abstract#'!A:A,1,FALSE)), "No", "Yes")</f>
        <v>No</v>
      </c>
      <c r="R365" s="29" t="str">
        <f>IF(ISNA(VLOOKUP(A365,'Award Abstract#'!D:D,1,FALSE)), "No", "Yes")</f>
        <v>No</v>
      </c>
      <c r="S365" s="30" t="str">
        <f>VLOOKUP(A365, 'Session Data'!A:AA,27,false)</f>
        <v>Woman</v>
      </c>
      <c r="T365" s="30"/>
      <c r="U365" s="30"/>
      <c r="V365" s="31" t="str">
        <f>VLOOKUP(A365, 'Session Data'!A:AA,8,false)</f>
        <v>Grace</v>
      </c>
      <c r="W365" s="32" t="str">
        <f>VLOOKUP(A365, 'Session Data'!A:AA,9,false)</f>
        <v>Chao</v>
      </c>
      <c r="X365" s="33" t="str">
        <f>VLOOKUP(A365, 'Session Data'!A:AA,12,false)</f>
        <v>Intracellular Consequences of IDH1 Mutations in U87MG Cells</v>
      </c>
      <c r="Y365" s="34" t="str">
        <f>VLOOKUP(A365, 'Session Data'!A:AA,22,false)</f>
        <v>Christal</v>
      </c>
      <c r="Z365" s="34" t="str">
        <f>VLOOKUP(A365, 'Session Data'!A:AA,23,false)</f>
        <v>Sohl</v>
      </c>
      <c r="AA365" s="34" t="str">
        <f>VLOOKUP(A365, 'Session Data'!A:AA,25,false)</f>
        <v>Sciences</v>
      </c>
      <c r="AB365" s="34"/>
      <c r="AC365" s="34" t="str">
        <f>VLOOKUP(A365, 'Session Data'!A:AA,16,false)</f>
        <v/>
      </c>
      <c r="AD365" s="35" t="str">
        <f>VLOOKUP(A365, 'Session Data'!A:U,17,false)</f>
        <v/>
      </c>
      <c r="AE365" s="35" t="str">
        <f>VLOOKUP(A365, 'Session Data'!A:U,18,false)</f>
        <v/>
      </c>
      <c r="AF365" s="35" t="str">
        <f>VLOOKUP(A365, 'Session Data'!A:U,19,false)</f>
        <v/>
      </c>
      <c r="AG365" s="35" t="str">
        <f>VLOOKUP(A365, 'Session Data'!A:U,20,false)</f>
        <v/>
      </c>
      <c r="AH365" s="35" t="str">
        <f>VLOOKUP(A365, 'Session Data'!A:U,21,false)</f>
        <v/>
      </c>
      <c r="AI365" s="37"/>
      <c r="AJ365" s="37"/>
      <c r="AK365" s="37"/>
      <c r="AL365" s="50"/>
      <c r="AM365" s="34" t="str">
        <f>VLOOKUP(A365, 'Session Data'!A:AA,10,false)</f>
        <v>gchao2968@sdsu.edu</v>
      </c>
      <c r="AN365" s="40"/>
      <c r="AO365" s="38"/>
      <c r="AP365" s="38"/>
      <c r="AQ365" s="38"/>
      <c r="AR365" s="38"/>
      <c r="AS365" s="38"/>
      <c r="AT365" s="38"/>
      <c r="AU365" s="38"/>
      <c r="AV365" s="38"/>
      <c r="AW365" s="38"/>
      <c r="AX365" s="38"/>
      <c r="AY365" s="43"/>
      <c r="AZ365" s="43"/>
      <c r="BA365" s="48"/>
      <c r="BB365" s="48"/>
      <c r="BC365" s="43"/>
      <c r="BD365" s="43"/>
      <c r="BE365" s="44"/>
      <c r="BF365" s="45"/>
      <c r="BG365" s="43"/>
    </row>
    <row r="366">
      <c r="A366" s="19" t="s">
        <v>436</v>
      </c>
      <c r="B366" s="20">
        <f>VLOOKUP(F366,'Session Count DO NOT EDIT'!$A:$C,3,FALSE)</f>
        <v>5</v>
      </c>
      <c r="C366" s="20">
        <f>COUNTIFS('Scores Import DO NOT EDIT'!D:D,A366)</f>
        <v>4</v>
      </c>
      <c r="D366" s="21">
        <f t="shared" si="1"/>
        <v>0.8</v>
      </c>
      <c r="E366" s="22">
        <f>AVERAGEIFS('Scores Import DO NOT EDIT'!L:L,'Scores Import DO NOT EDIT'!D:D,A366)</f>
        <v>28</v>
      </c>
      <c r="F366" s="23" t="str">
        <f>VLOOKUP(A366, 'Session Data'!A:M,3,false)</f>
        <v>G-9</v>
      </c>
      <c r="G366" s="24" t="str">
        <f>VLOOKUP(A366, 'Session Data'!A:I,2,false)</f>
        <v>11:00 AM</v>
      </c>
      <c r="H366" s="23" t="str">
        <f>VLOOKUP(A366, 'Session Data'!A:J,5,false)</f>
        <v>Biological and Agricultural Sciences</v>
      </c>
      <c r="I366" s="25" t="str">
        <f>VLOOKUP(A366, 'Session Data'!A:H,4,false)</f>
        <v>Poster</v>
      </c>
      <c r="J366" s="26" t="str">
        <f>VLOOKUP(A366, 'Session Data'!A:AA,14,false)</f>
        <v>Master's</v>
      </c>
      <c r="K366" s="27" t="str">
        <f>VLOOKUP(A366, 'Session Data'!A:AA,15,false)</f>
        <v>Sciences</v>
      </c>
      <c r="L366" s="28"/>
      <c r="M366" s="29" t="str">
        <f>VLOOKUP(A366, 'Session Data'!A:K,11,false)</f>
        <v>Master of Science in Molecular Biology</v>
      </c>
      <c r="N366" s="26" t="str">
        <f>IF(ISNA(VLOOKUP(A366, 'Award Abstract#'!C:C, 1, FALSE)), "No", "Yes")
</f>
        <v>No</v>
      </c>
      <c r="O366" s="29" t="str">
        <f>IF(ISNA(VLOOKUP(A366,'Award Abstract#'!B:B,1,FALSE)), "No", "Yes")</f>
        <v>No</v>
      </c>
      <c r="P366" s="29" t="str">
        <f>IF(ISNA(VLOOKUP(A366,'Award Abstract#'!E:E,1,FALSE)), "No", "Yes")</f>
        <v>No</v>
      </c>
      <c r="Q366" s="29" t="str">
        <f>IF(ISNA(VLOOKUP(A366,'Award Abstract#'!A:A,1,FALSE)), "No", "Yes")</f>
        <v>No</v>
      </c>
      <c r="R366" s="29" t="str">
        <f>IF(ISNA(VLOOKUP(A366,'Award Abstract#'!D:D,1,FALSE)), "No", "Yes")</f>
        <v>Yes</v>
      </c>
      <c r="S366" s="30" t="str">
        <f>VLOOKUP(A366, 'Session Data'!A:AA,27,false)</f>
        <v>Man</v>
      </c>
      <c r="T366" s="30"/>
      <c r="U366" s="30"/>
      <c r="V366" s="31" t="str">
        <f>VLOOKUP(A366, 'Session Data'!A:AA,8,false)</f>
        <v>Omar</v>
      </c>
      <c r="W366" s="32" t="str">
        <f>VLOOKUP(A366, 'Session Data'!A:AA,9,false)</f>
        <v>Omar Shawn</v>
      </c>
      <c r="X366" s="33" t="str">
        <f>VLOOKUP(A366, 'Session Data'!A:AA,12,false)</f>
        <v>Characterizing Extracellular Vesicles Released by Differentiated Extravillous Trophoblasts</v>
      </c>
      <c r="Y366" s="34" t="str">
        <f>VLOOKUP(A366, 'Session Data'!A:AA,22,false)</f>
        <v>Luiza</v>
      </c>
      <c r="Z366" s="34" t="str">
        <f>VLOOKUP(A366, 'Session Data'!A:AA,23,false)</f>
        <v>Perucci </v>
      </c>
      <c r="AA366" s="34" t="str">
        <f>VLOOKUP(A366, 'Session Data'!A:AA,25,false)</f>
        <v>UCSD</v>
      </c>
      <c r="AB366" s="34"/>
      <c r="AC366" s="34" t="str">
        <f>VLOOKUP(A366, 'Session Data'!A:AA,16,false)</f>
        <v/>
      </c>
      <c r="AD366" s="35" t="str">
        <f>VLOOKUP(A366, 'Session Data'!A:U,17,false)</f>
        <v/>
      </c>
      <c r="AE366" s="35" t="str">
        <f>VLOOKUP(A366, 'Session Data'!A:U,18,false)</f>
        <v/>
      </c>
      <c r="AF366" s="35" t="str">
        <f>VLOOKUP(A366, 'Session Data'!A:U,19,false)</f>
        <v/>
      </c>
      <c r="AG366" s="35" t="str">
        <f>VLOOKUP(A366, 'Session Data'!A:U,20,false)</f>
        <v/>
      </c>
      <c r="AH366" s="35" t="str">
        <f>VLOOKUP(A366, 'Session Data'!A:U,21,false)</f>
        <v/>
      </c>
      <c r="AI366" s="37"/>
      <c r="AJ366" s="37"/>
      <c r="AK366" s="37"/>
      <c r="AL366" s="50"/>
      <c r="AM366" s="34" t="str">
        <f>VLOOKUP(A366, 'Session Data'!A:AA,10,false)</f>
        <v>oshahwan5584@sdsu.edu</v>
      </c>
      <c r="AN366" s="40"/>
      <c r="AO366" s="38"/>
      <c r="AP366" s="38"/>
      <c r="AQ366" s="38"/>
      <c r="AR366" s="38"/>
      <c r="AS366" s="38"/>
      <c r="AT366" s="38"/>
      <c r="AU366" s="38"/>
      <c r="AV366" s="38"/>
      <c r="AW366" s="38"/>
      <c r="AX366" s="38"/>
      <c r="AY366" s="43"/>
      <c r="AZ366" s="43"/>
      <c r="BA366" s="48"/>
      <c r="BB366" s="48"/>
      <c r="BC366" s="43"/>
      <c r="BD366" s="43"/>
      <c r="BE366" s="44"/>
      <c r="BF366" s="45"/>
      <c r="BG366" s="43"/>
    </row>
    <row r="367">
      <c r="A367" s="19" t="s">
        <v>437</v>
      </c>
      <c r="B367" s="20">
        <f>VLOOKUP(F367,'Session Count DO NOT EDIT'!$A:$C,3,FALSE)</f>
        <v>5</v>
      </c>
      <c r="C367" s="20">
        <f>COUNTIFS('Scores Import DO NOT EDIT'!D:D,A367)</f>
        <v>3</v>
      </c>
      <c r="D367" s="21">
        <f t="shared" si="1"/>
        <v>0.6</v>
      </c>
      <c r="E367" s="22">
        <f>AVERAGEIFS('Scores Import DO NOT EDIT'!L:L,'Scores Import DO NOT EDIT'!D:D,A367)</f>
        <v>28</v>
      </c>
      <c r="F367" s="23" t="str">
        <f>VLOOKUP(A367, 'Session Data'!A:M,3,false)</f>
        <v>G-9</v>
      </c>
      <c r="G367" s="24" t="str">
        <f>VLOOKUP(A367, 'Session Data'!A:I,2,false)</f>
        <v>11:00 AM</v>
      </c>
      <c r="H367" s="23" t="str">
        <f>VLOOKUP(A367, 'Session Data'!A:J,5,false)</f>
        <v>Biological and Agricultural Sciences</v>
      </c>
      <c r="I367" s="25" t="str">
        <f>VLOOKUP(A367, 'Session Data'!A:H,4,false)</f>
        <v>Poster</v>
      </c>
      <c r="J367" s="26" t="str">
        <f>VLOOKUP(A367, 'Session Data'!A:AA,14,false)</f>
        <v>Master's</v>
      </c>
      <c r="K367" s="27" t="str">
        <f>VLOOKUP(A367, 'Session Data'!A:AA,15,false)</f>
        <v>Sciences</v>
      </c>
      <c r="L367" s="28"/>
      <c r="M367" s="29" t="str">
        <f>VLOOKUP(A367, 'Session Data'!A:K,11,false)</f>
        <v>Masters of evolutionary biology</v>
      </c>
      <c r="N367" s="26" t="str">
        <f>IF(ISNA(VLOOKUP(A367, 'Award Abstract#'!C:C, 1, FALSE)), "No", "Yes")
</f>
        <v>No</v>
      </c>
      <c r="O367" s="29" t="str">
        <f>IF(ISNA(VLOOKUP(A367,'Award Abstract#'!B:B,1,FALSE)), "No", "Yes")</f>
        <v>No</v>
      </c>
      <c r="P367" s="29" t="str">
        <f>IF(ISNA(VLOOKUP(A367,'Award Abstract#'!E:E,1,FALSE)), "No", "Yes")</f>
        <v>No</v>
      </c>
      <c r="Q367" s="29" t="str">
        <f>IF(ISNA(VLOOKUP(A367,'Award Abstract#'!A:A,1,FALSE)), "No", "Yes")</f>
        <v>No</v>
      </c>
      <c r="R367" s="29" t="str">
        <f>IF(ISNA(VLOOKUP(A367,'Award Abstract#'!D:D,1,FALSE)), "No", "Yes")</f>
        <v>No</v>
      </c>
      <c r="S367" s="30" t="str">
        <f>VLOOKUP(A367, 'Session Data'!A:AA,27,false)</f>
        <v>Man, Transgender</v>
      </c>
      <c r="T367" s="30"/>
      <c r="U367" s="30"/>
      <c r="V367" s="31" t="str">
        <f>VLOOKUP(A367, 'Session Data'!A:AA,8,false)</f>
        <v>Nathen </v>
      </c>
      <c r="W367" s="32" t="str">
        <f>VLOOKUP(A367, 'Session Data'!A:AA,9,false)</f>
        <v>Walton</v>
      </c>
      <c r="X367" s="33" t="str">
        <f>VLOOKUP(A367, 'Session Data'!A:AA,12,false)</f>
        <v>Impact of Repeated Heat Stress on Boechera depauperata</v>
      </c>
      <c r="Y367" s="34" t="str">
        <f>VLOOKUP(A367, 'Session Data'!A:AA,22,false)</f>
        <v>Elizabeth </v>
      </c>
      <c r="Z367" s="34" t="str">
        <f>VLOOKUP(A367, 'Session Data'!A:AA,23,false)</f>
        <v>Waters </v>
      </c>
      <c r="AA367" s="34" t="str">
        <f>VLOOKUP(A367, 'Session Data'!A:AA,25,false)</f>
        <v>Sciences</v>
      </c>
      <c r="AB367" s="34"/>
      <c r="AC367" s="34" t="str">
        <f>VLOOKUP(A367, 'Session Data'!A:AA,16,false)</f>
        <v/>
      </c>
      <c r="AD367" s="35" t="str">
        <f>VLOOKUP(A367, 'Session Data'!A:U,17,false)</f>
        <v/>
      </c>
      <c r="AE367" s="35" t="str">
        <f>VLOOKUP(A367, 'Session Data'!A:U,18,false)</f>
        <v/>
      </c>
      <c r="AF367" s="35" t="str">
        <f>VLOOKUP(A367, 'Session Data'!A:U,19,false)</f>
        <v/>
      </c>
      <c r="AG367" s="35" t="str">
        <f>VLOOKUP(A367, 'Session Data'!A:U,20,false)</f>
        <v/>
      </c>
      <c r="AH367" s="35" t="str">
        <f>VLOOKUP(A367, 'Session Data'!A:U,21,false)</f>
        <v/>
      </c>
      <c r="AI367" s="37"/>
      <c r="AJ367" s="37"/>
      <c r="AK367" s="37"/>
      <c r="AL367" s="50"/>
      <c r="AM367" s="34" t="str">
        <f>VLOOKUP(A367, 'Session Data'!A:AA,10,false)</f>
        <v>nwalton1620@sdsu.edu</v>
      </c>
      <c r="AN367" s="40"/>
      <c r="AO367" s="38"/>
      <c r="AP367" s="38"/>
      <c r="AQ367" s="38"/>
      <c r="AR367" s="38"/>
      <c r="AS367" s="38"/>
      <c r="AT367" s="38"/>
      <c r="AU367" s="38"/>
      <c r="AV367" s="38"/>
      <c r="AW367" s="38"/>
      <c r="AX367" s="38"/>
      <c r="AY367" s="43"/>
      <c r="AZ367" s="43"/>
      <c r="BA367" s="48"/>
      <c r="BB367" s="48"/>
      <c r="BC367" s="43"/>
      <c r="BD367" s="43"/>
      <c r="BE367" s="44"/>
      <c r="BF367" s="45"/>
      <c r="BG367" s="43"/>
    </row>
    <row r="368">
      <c r="A368" s="19" t="s">
        <v>438</v>
      </c>
      <c r="B368" s="20">
        <f>VLOOKUP(F368,'Session Count DO NOT EDIT'!$A:$C,3,FALSE)</f>
        <v>5</v>
      </c>
      <c r="C368" s="20">
        <f>COUNTIFS('Scores Import DO NOT EDIT'!D:D,A368)</f>
        <v>4</v>
      </c>
      <c r="D368" s="21">
        <f t="shared" si="1"/>
        <v>0.8</v>
      </c>
      <c r="E368" s="22">
        <f>AVERAGEIFS('Scores Import DO NOT EDIT'!L:L,'Scores Import DO NOT EDIT'!D:D,A368)</f>
        <v>28.75</v>
      </c>
      <c r="F368" s="23" t="str">
        <f>VLOOKUP(A368, 'Session Data'!A:M,3,false)</f>
        <v>H-1</v>
      </c>
      <c r="G368" s="24" t="str">
        <f>VLOOKUP(A368, 'Session Data'!A:I,2,false)</f>
        <v>1:00 PM</v>
      </c>
      <c r="H368" s="23" t="str">
        <f>VLOOKUP(A368, 'Session Data'!A:J,5,false)</f>
        <v>Behavioral and Social Sciences 1</v>
      </c>
      <c r="I368" s="25" t="str">
        <f>VLOOKUP(A368, 'Session Data'!A:H,4,false)</f>
        <v>Poster</v>
      </c>
      <c r="J368" s="26" t="str">
        <f>VLOOKUP(A368, 'Session Data'!A:AA,14,false)</f>
        <v>Undergraduate</v>
      </c>
      <c r="K368" s="27" t="str">
        <f>VLOOKUP(A368, 'Session Data'!A:AA,15,false)</f>
        <v>Health and Human Services</v>
      </c>
      <c r="L368" s="47"/>
      <c r="M368" s="29" t="str">
        <f>VLOOKUP(A368, 'Session Data'!A:K,11,false)</f>
        <v>Speech, Language, and Hearing Sciences</v>
      </c>
      <c r="N368" s="26" t="str">
        <f>IF(ISNA(VLOOKUP(A368, 'Award Abstract#'!C:C, 1, FALSE)), "No", "Yes")
</f>
        <v>No</v>
      </c>
      <c r="O368" s="29" t="str">
        <f>IF(ISNA(VLOOKUP(A368,'Award Abstract#'!B:B,1,FALSE)), "No", "Yes")</f>
        <v>No</v>
      </c>
      <c r="P368" s="29" t="str">
        <f>IF(ISNA(VLOOKUP(A368,'Award Abstract#'!E:E,1,FALSE)), "No", "Yes")</f>
        <v>No</v>
      </c>
      <c r="Q368" s="29" t="str">
        <f>IF(ISNA(VLOOKUP(A368,'Award Abstract#'!A:A,1,FALSE)), "No", "Yes")</f>
        <v>No</v>
      </c>
      <c r="R368" s="29" t="str">
        <f>IF(ISNA(VLOOKUP(A368,'Award Abstract#'!D:D,1,FALSE)), "No", "Yes")</f>
        <v>Yes</v>
      </c>
      <c r="S368" s="30" t="str">
        <f>VLOOKUP(A368, 'Session Data'!A:AA,27,false)</f>
        <v>Woman</v>
      </c>
      <c r="T368" s="30"/>
      <c r="U368" s="30"/>
      <c r="V368" s="31" t="str">
        <f>VLOOKUP(A368, 'Session Data'!A:AA,8,false)</f>
        <v>Emily</v>
      </c>
      <c r="W368" s="32" t="str">
        <f>VLOOKUP(A368, 'Session Data'!A:AA,9,false)</f>
        <v>Mu</v>
      </c>
      <c r="X368" s="33" t="str">
        <f>VLOOKUP(A368, 'Session Data'!A:AA,12,false)</f>
        <v>Initial Validation of a Mandarin Sentence Comprehension Tool for Bilinguals With Aphasia: Evidence From Healthy Individuals</v>
      </c>
      <c r="Y368" s="34" t="str">
        <f>VLOOKUP(A368, 'Session Data'!A:AA,22,false)</f>
        <v>Henrike</v>
      </c>
      <c r="Z368" s="34" t="str">
        <f>VLOOKUP(A368, 'Session Data'!A:AA,23,false)</f>
        <v>Blumenfeld</v>
      </c>
      <c r="AA368" s="34" t="str">
        <f>VLOOKUP(A368, 'Session Data'!A:AA,25,false)</f>
        <v>Health and Human Services</v>
      </c>
      <c r="AB368" s="34" t="str">
        <f>VLOOKUP(A368, 'Session Data'!A:AA,24,false)</f>
        <v>hblumenf@sdsu.edu</v>
      </c>
      <c r="AC368" s="34" t="str">
        <f>VLOOKUP(A368, 'Session Data'!A:AA,16,false)</f>
        <v>Michelle</v>
      </c>
      <c r="AD368" s="35" t="str">
        <f>VLOOKUP(A368, 'Session Data'!A:U,17,false)</f>
        <v>Ng</v>
      </c>
      <c r="AE368" s="35" t="str">
        <f>VLOOKUP(A368, 'Session Data'!A:U,18,false)</f>
        <v>Preeti</v>
      </c>
      <c r="AF368" s="35" t="str">
        <f>VLOOKUP(A368, 'Session Data'!A:U,19,false)</f>
        <v>Rishi</v>
      </c>
      <c r="AG368" s="35" t="str">
        <f>VLOOKUP(A368, 'Session Data'!A:U,20,false)</f>
        <v/>
      </c>
      <c r="AH368" s="35" t="str">
        <f>VLOOKUP(A368, 'Session Data'!A:U,21,false)</f>
        <v/>
      </c>
      <c r="AI368" s="36"/>
      <c r="AJ368" s="38"/>
      <c r="AK368" s="38"/>
      <c r="AL368" s="39"/>
      <c r="AM368" s="34" t="str">
        <f>VLOOKUP(A368, 'Session Data'!A:AA,10,false)</f>
        <v>emu4742@sdsu.edu</v>
      </c>
      <c r="AN368" s="40"/>
      <c r="AO368" s="38"/>
      <c r="AP368" s="38"/>
      <c r="AQ368" s="38"/>
      <c r="AR368" s="38"/>
      <c r="AS368" s="38"/>
      <c r="AT368" s="38"/>
      <c r="AU368" s="38"/>
      <c r="AV368" s="38"/>
      <c r="AW368" s="38"/>
      <c r="AX368" s="38"/>
      <c r="AY368" s="43"/>
      <c r="AZ368" s="43"/>
      <c r="BA368" s="48"/>
      <c r="BB368" s="48"/>
      <c r="BC368" s="43"/>
      <c r="BD368" s="43"/>
      <c r="BE368" s="44"/>
      <c r="BF368" s="45"/>
      <c r="BG368" s="46"/>
    </row>
    <row r="369">
      <c r="A369" s="19" t="s">
        <v>439</v>
      </c>
      <c r="B369" s="20">
        <f>VLOOKUP(F369,'Session Count DO NOT EDIT'!$A:$C,3,FALSE)</f>
        <v>5</v>
      </c>
      <c r="C369" s="20">
        <f>COUNTIFS('Scores Import DO NOT EDIT'!D:D,A369)</f>
        <v>4</v>
      </c>
      <c r="D369" s="21">
        <f t="shared" si="1"/>
        <v>0.8</v>
      </c>
      <c r="E369" s="22">
        <f>AVERAGEIFS('Scores Import DO NOT EDIT'!L:L,'Scores Import DO NOT EDIT'!D:D,A369)</f>
        <v>28.25</v>
      </c>
      <c r="F369" s="23" t="str">
        <f>VLOOKUP(A369, 'Session Data'!A:M,3,false)</f>
        <v>H-1</v>
      </c>
      <c r="G369" s="24" t="str">
        <f>VLOOKUP(A369, 'Session Data'!A:I,2,false)</f>
        <v>1:00 PM</v>
      </c>
      <c r="H369" s="23" t="str">
        <f>VLOOKUP(A369, 'Session Data'!A:J,5,false)</f>
        <v>Behavioral and Social Sciences 1</v>
      </c>
      <c r="I369" s="25" t="str">
        <f>VLOOKUP(A369, 'Session Data'!A:H,4,false)</f>
        <v>Poster</v>
      </c>
      <c r="J369" s="26" t="str">
        <f>VLOOKUP(A369, 'Session Data'!A:AA,14,false)</f>
        <v>Undergraduate</v>
      </c>
      <c r="K369" s="27" t="str">
        <f>VLOOKUP(A369, 'Session Data'!A:AA,15,false)</f>
        <v>Black or African American</v>
      </c>
      <c r="L369" s="47"/>
      <c r="M369" s="29" t="str">
        <f>VLOOKUP(A369, 'Session Data'!A:K,11,false)</f>
        <v>Bachelor of Arts in Psychology</v>
      </c>
      <c r="N369" s="26" t="str">
        <f>IF(ISNA(VLOOKUP(A369, 'Award Abstract#'!C:C, 1, FALSE)), "No", "Yes")
</f>
        <v>No</v>
      </c>
      <c r="O369" s="29" t="str">
        <f>IF(ISNA(VLOOKUP(A369,'Award Abstract#'!B:B,1,FALSE)), "No", "Yes")</f>
        <v>No</v>
      </c>
      <c r="P369" s="29" t="str">
        <f>IF(ISNA(VLOOKUP(A369,'Award Abstract#'!E:E,1,FALSE)), "No", "Yes")</f>
        <v>No</v>
      </c>
      <c r="Q369" s="29" t="str">
        <f>IF(ISNA(VLOOKUP(A369,'Award Abstract#'!A:A,1,FALSE)), "No", "Yes")</f>
        <v>No</v>
      </c>
      <c r="R369" s="29" t="str">
        <f>IF(ISNA(VLOOKUP(A369,'Award Abstract#'!D:D,1,FALSE)), "No", "Yes")</f>
        <v>Yes</v>
      </c>
      <c r="S369" s="30" t="str">
        <f>VLOOKUP(A369, 'Session Data'!A:AA,27,false)</f>
        <v>Woman</v>
      </c>
      <c r="T369" s="30"/>
      <c r="U369" s="30"/>
      <c r="V369" s="31" t="str">
        <f>VLOOKUP(A369, 'Session Data'!A:AA,8,false)</f>
        <v>Liana</v>
      </c>
      <c r="W369" s="32" t="str">
        <f>VLOOKUP(A369, 'Session Data'!A:AA,9,false)</f>
        <v>Parrish</v>
      </c>
      <c r="X369" s="33" t="str">
        <f>VLOOKUP(A369, 'Session Data'!A:AA,12,false)</f>
        <v>Exploring the Role of Parental Monitoring and Peer Affiliation in Reducing Delinquency among At-Risk Adolescents</v>
      </c>
      <c r="Y369" s="34" t="str">
        <f>VLOOKUP(A369, 'Session Data'!A:AA,22,false)</f>
        <v>Dr. Miguel </v>
      </c>
      <c r="Z369" s="34" t="str">
        <f>VLOOKUP(A369, 'Session Data'!A:AA,23,false)</f>
        <v>Villodas </v>
      </c>
      <c r="AA369" s="34" t="str">
        <f>VLOOKUP(A369, 'Session Data'!A:AA,25,false)</f>
        <v/>
      </c>
      <c r="AB369" s="34" t="str">
        <f>VLOOKUP(A369, 'Session Data'!A:AA,24,false)</f>
        <v/>
      </c>
      <c r="AC369" s="34" t="str">
        <f>VLOOKUP(A369, 'Session Data'!A:AA,16,false)</f>
        <v/>
      </c>
      <c r="AD369" s="35" t="str">
        <f>VLOOKUP(A369, 'Session Data'!A:U,17,false)</f>
        <v/>
      </c>
      <c r="AE369" s="35" t="str">
        <f>VLOOKUP(A369, 'Session Data'!A:U,18,false)</f>
        <v/>
      </c>
      <c r="AF369" s="35" t="str">
        <f>VLOOKUP(A369, 'Session Data'!A:U,19,false)</f>
        <v/>
      </c>
      <c r="AG369" s="35" t="str">
        <f>VLOOKUP(A369, 'Session Data'!A:U,20,false)</f>
        <v/>
      </c>
      <c r="AH369" s="35" t="str">
        <f>VLOOKUP(A369, 'Session Data'!A:U,21,false)</f>
        <v/>
      </c>
      <c r="AI369" s="36"/>
      <c r="AJ369" s="38"/>
      <c r="AK369" s="38"/>
      <c r="AL369" s="39"/>
      <c r="AM369" s="34" t="str">
        <f>VLOOKUP(A369, 'Session Data'!A:AA,10,false)</f>
        <v>lparrish6537@sdsu.edu</v>
      </c>
      <c r="AN369" s="40"/>
      <c r="AO369" s="38"/>
      <c r="AP369" s="38"/>
      <c r="AQ369" s="38"/>
      <c r="AR369" s="38"/>
      <c r="AS369" s="38"/>
      <c r="AT369" s="38"/>
      <c r="AU369" s="38"/>
      <c r="AV369" s="38"/>
      <c r="AW369" s="38"/>
      <c r="AX369" s="38"/>
      <c r="AY369" s="43"/>
      <c r="AZ369" s="43"/>
      <c r="BA369" s="48"/>
      <c r="BB369" s="48"/>
      <c r="BC369" s="43"/>
      <c r="BD369" s="43"/>
      <c r="BE369" s="44"/>
      <c r="BF369" s="45"/>
      <c r="BG369" s="46"/>
    </row>
    <row r="370">
      <c r="A370" s="19" t="s">
        <v>440</v>
      </c>
      <c r="B370" s="20">
        <f>VLOOKUP(F370,'Session Count DO NOT EDIT'!$A:$C,3,FALSE)</f>
        <v>5</v>
      </c>
      <c r="C370" s="20">
        <f>COUNTIFS('Scores Import DO NOT EDIT'!D:D,A370)</f>
        <v>4</v>
      </c>
      <c r="D370" s="21">
        <f t="shared" si="1"/>
        <v>0.8</v>
      </c>
      <c r="E370" s="22">
        <f>AVERAGEIFS('Scores Import DO NOT EDIT'!L:L,'Scores Import DO NOT EDIT'!D:D,A370)</f>
        <v>27</v>
      </c>
      <c r="F370" s="23" t="str">
        <f>VLOOKUP(A370, 'Session Data'!A:M,3,false)</f>
        <v>H-1</v>
      </c>
      <c r="G370" s="24" t="str">
        <f>VLOOKUP(A370, 'Session Data'!A:I,2,false)</f>
        <v>1:00 PM</v>
      </c>
      <c r="H370" s="23" t="str">
        <f>VLOOKUP(A370, 'Session Data'!A:J,5,false)</f>
        <v>Behavioral and Social Sciences 1</v>
      </c>
      <c r="I370" s="25" t="str">
        <f>VLOOKUP(A370, 'Session Data'!A:H,4,false)</f>
        <v>Poster</v>
      </c>
      <c r="J370" s="26" t="str">
        <f>VLOOKUP(A370, 'Session Data'!A:AA,14,false)</f>
        <v>Undergraduate</v>
      </c>
      <c r="K370" s="27" t="str">
        <f>VLOOKUP(A370, 'Session Data'!A:AA,15,false)</f>
        <v>Sciences</v>
      </c>
      <c r="L370" s="28"/>
      <c r="M370" s="29" t="str">
        <f>VLOOKUP(A370, 'Session Data'!A:K,11,false)</f>
        <v>Bachelor of Arts in Psychology</v>
      </c>
      <c r="N370" s="26" t="str">
        <f>IF(ISNA(VLOOKUP(A370, 'Award Abstract#'!C:C, 1, FALSE)), "No", "Yes")
</f>
        <v>No</v>
      </c>
      <c r="O370" s="29" t="str">
        <f>IF(ISNA(VLOOKUP(A370,'Award Abstract#'!B:B,1,FALSE)), "No", "Yes")</f>
        <v>No</v>
      </c>
      <c r="P370" s="29" t="str">
        <f>IF(ISNA(VLOOKUP(A370,'Award Abstract#'!E:E,1,FALSE)), "No", "Yes")</f>
        <v>No</v>
      </c>
      <c r="Q370" s="29" t="str">
        <f>IF(ISNA(VLOOKUP(A370,'Award Abstract#'!A:A,1,FALSE)), "No", "Yes")</f>
        <v>No</v>
      </c>
      <c r="R370" s="29" t="str">
        <f>IF(ISNA(VLOOKUP(A370,'Award Abstract#'!D:D,1,FALSE)), "No", "Yes")</f>
        <v>No</v>
      </c>
      <c r="S370" s="30" t="str">
        <f>VLOOKUP(A370, 'Session Data'!A:AA,27,false)</f>
        <v>Woman</v>
      </c>
      <c r="T370" s="30"/>
      <c r="U370" s="30"/>
      <c r="V370" s="31" t="str">
        <f>VLOOKUP(A370, 'Session Data'!A:AA,8,false)</f>
        <v>Jenna</v>
      </c>
      <c r="W370" s="32" t="str">
        <f>VLOOKUP(A370, 'Session Data'!A:AA,9,false)</f>
        <v>Majors</v>
      </c>
      <c r="X370" s="33" t="str">
        <f>VLOOKUP(A370, 'Session Data'!A:AA,12,false)</f>
        <v>Cooperation in STEM labs benefits student competency and authenticity</v>
      </c>
      <c r="Y370" s="34" t="str">
        <f>VLOOKUP(A370, 'Session Data'!A:AA,22,false)</f>
        <v>Dustin</v>
      </c>
      <c r="Z370" s="34" t="str">
        <f>VLOOKUP(A370, 'Session Data'!A:AA,23,false)</f>
        <v>Thoman</v>
      </c>
      <c r="AA370" s="34" t="str">
        <f>VLOOKUP(A370, 'Session Data'!A:AA,25,false)</f>
        <v>Sciences</v>
      </c>
      <c r="AB370" s="34" t="str">
        <f>VLOOKUP(A370, 'Session Data'!A:AA,24,false)</f>
        <v>dthoman@sdsu.edu</v>
      </c>
      <c r="AC370" s="34" t="str">
        <f>VLOOKUP(A370, 'Session Data'!A:AA,16,false)</f>
        <v>Lilibeth</v>
      </c>
      <c r="AD370" s="35" t="str">
        <f>VLOOKUP(A370, 'Session Data'!A:U,17,false)</f>
        <v>Flores</v>
      </c>
      <c r="AE370" s="35" t="str">
        <f>VLOOKUP(A370, 'Session Data'!A:U,18,false)</f>
        <v/>
      </c>
      <c r="AF370" s="35" t="str">
        <f>VLOOKUP(A370, 'Session Data'!A:U,19,false)</f>
        <v/>
      </c>
      <c r="AG370" s="35" t="str">
        <f>VLOOKUP(A370, 'Session Data'!A:U,20,false)</f>
        <v/>
      </c>
      <c r="AH370" s="35" t="str">
        <f>VLOOKUP(A370, 'Session Data'!A:U,21,false)</f>
        <v/>
      </c>
      <c r="AI370" s="36"/>
      <c r="AJ370" s="38"/>
      <c r="AK370" s="38"/>
      <c r="AL370" s="39"/>
      <c r="AM370" s="34" t="str">
        <f>VLOOKUP(A370, 'Session Data'!A:AA,10,false)</f>
        <v>jmajors5097@sdsu.edu</v>
      </c>
      <c r="AN370" s="40"/>
      <c r="AO370" s="38"/>
      <c r="AP370" s="38"/>
      <c r="AQ370" s="38"/>
      <c r="AR370" s="38"/>
      <c r="AS370" s="38"/>
      <c r="AT370" s="38"/>
      <c r="AU370" s="38"/>
      <c r="AV370" s="38"/>
      <c r="AW370" s="38"/>
      <c r="AX370" s="38"/>
      <c r="AY370" s="43"/>
      <c r="AZ370" s="43"/>
      <c r="BA370" s="48"/>
      <c r="BB370" s="48"/>
      <c r="BC370" s="43"/>
      <c r="BD370" s="43"/>
      <c r="BE370" s="44"/>
      <c r="BF370" s="45"/>
      <c r="BG370" s="46"/>
    </row>
    <row r="371">
      <c r="A371" s="19" t="s">
        <v>441</v>
      </c>
      <c r="B371" s="20">
        <f>VLOOKUP(F371,'Session Count DO NOT EDIT'!$A:$C,3,FALSE)</f>
        <v>5</v>
      </c>
      <c r="C371" s="20">
        <f>COUNTIFS('Scores Import DO NOT EDIT'!D:D,A371)</f>
        <v>4</v>
      </c>
      <c r="D371" s="21">
        <f t="shared" si="1"/>
        <v>0.8</v>
      </c>
      <c r="E371" s="22">
        <f>AVERAGEIFS('Scores Import DO NOT EDIT'!L:L,'Scores Import DO NOT EDIT'!D:D,A371)</f>
        <v>26</v>
      </c>
      <c r="F371" s="23" t="str">
        <f>VLOOKUP(A371, 'Session Data'!A:M,3,false)</f>
        <v>H-1</v>
      </c>
      <c r="G371" s="24" t="str">
        <f>VLOOKUP(A371, 'Session Data'!A:I,2,false)</f>
        <v>1:00 PM</v>
      </c>
      <c r="H371" s="23" t="str">
        <f>VLOOKUP(A371, 'Session Data'!A:J,5,false)</f>
        <v>Behavioral and Social Sciences 1</v>
      </c>
      <c r="I371" s="25" t="str">
        <f>VLOOKUP(A371, 'Session Data'!A:H,4,false)</f>
        <v>Poster</v>
      </c>
      <c r="J371" s="26" t="str">
        <f>VLOOKUP(A371, 'Session Data'!A:AA,14,false)</f>
        <v>Undergraduate</v>
      </c>
      <c r="K371" s="27" t="str">
        <f>VLOOKUP(A371, 'Session Data'!A:AA,15,false)</f>
        <v>Sciences</v>
      </c>
      <c r="L371" s="49"/>
      <c r="M371" s="29" t="str">
        <f>VLOOKUP(A371, 'Session Data'!A:K,11,false)</f>
        <v>Bachelor of Arts in Psychology</v>
      </c>
      <c r="N371" s="26" t="str">
        <f>IF(ISNA(VLOOKUP(A371, 'Award Abstract#'!C:C, 1, FALSE)), "No", "Yes")
</f>
        <v>No</v>
      </c>
      <c r="O371" s="29" t="str">
        <f>IF(ISNA(VLOOKUP(A371,'Award Abstract#'!B:B,1,FALSE)), "No", "Yes")</f>
        <v>No</v>
      </c>
      <c r="P371" s="29" t="str">
        <f>IF(ISNA(VLOOKUP(A371,'Award Abstract#'!E:E,1,FALSE)), "No", "Yes")</f>
        <v>No</v>
      </c>
      <c r="Q371" s="29" t="str">
        <f>IF(ISNA(VLOOKUP(A371,'Award Abstract#'!A:A,1,FALSE)), "No", "Yes")</f>
        <v>No</v>
      </c>
      <c r="R371" s="29" t="str">
        <f>IF(ISNA(VLOOKUP(A371,'Award Abstract#'!D:D,1,FALSE)), "No", "Yes")</f>
        <v>Yes</v>
      </c>
      <c r="S371" s="30" t="str">
        <f>VLOOKUP(A371, 'Session Data'!A:AA,27,false)</f>
        <v>Man, Cisgender</v>
      </c>
      <c r="T371" s="30"/>
      <c r="U371" s="30"/>
      <c r="V371" s="31" t="str">
        <f>VLOOKUP(A371, 'Session Data'!A:AA,8,false)</f>
        <v>Elijah</v>
      </c>
      <c r="W371" s="32" t="str">
        <f>VLOOKUP(A371, 'Session Data'!A:AA,9,false)</f>
        <v>Bautista</v>
      </c>
      <c r="X371" s="33" t="str">
        <f>VLOOKUP(A371, 'Session Data'!A:AA,12,false)</f>
        <v>The Connections Between Interoceptive Sensibility to Thermoregulatory Symptoms and Social Anxiety</v>
      </c>
      <c r="Y371" s="34" t="str">
        <f>VLOOKUP(A371, 'Session Data'!A:AA,22,false)</f>
        <v>Tristen</v>
      </c>
      <c r="Z371" s="34" t="str">
        <f>VLOOKUP(A371, 'Session Data'!A:AA,23,false)</f>
        <v>Inagaki</v>
      </c>
      <c r="AA371" s="34" t="str">
        <f>VLOOKUP(A371, 'Session Data'!A:AA,25,false)</f>
        <v>Sciences</v>
      </c>
      <c r="AB371" s="34" t="str">
        <f>VLOOKUP(A371, 'Session Data'!A:AA,24,false)</f>
        <v>tinagaki@sdsu.edu</v>
      </c>
      <c r="AC371" s="34" t="str">
        <f>VLOOKUP(A371, 'Session Data'!A:AA,16,false)</f>
        <v/>
      </c>
      <c r="AD371" s="35" t="str">
        <f>VLOOKUP(A371, 'Session Data'!A:U,17,false)</f>
        <v/>
      </c>
      <c r="AE371" s="35" t="str">
        <f>VLOOKUP(A371, 'Session Data'!A:U,18,false)</f>
        <v/>
      </c>
      <c r="AF371" s="35" t="str">
        <f>VLOOKUP(A371, 'Session Data'!A:U,19,false)</f>
        <v/>
      </c>
      <c r="AG371" s="35" t="str">
        <f>VLOOKUP(A371, 'Session Data'!A:U,20,false)</f>
        <v/>
      </c>
      <c r="AH371" s="35" t="str">
        <f>VLOOKUP(A371, 'Session Data'!A:U,21,false)</f>
        <v/>
      </c>
      <c r="AI371" s="36"/>
      <c r="AJ371" s="38"/>
      <c r="AK371" s="38"/>
      <c r="AL371" s="39"/>
      <c r="AM371" s="34" t="str">
        <f>VLOOKUP(A371, 'Session Data'!A:AA,10,false)</f>
        <v>ebautista6718@sdsu.edu</v>
      </c>
      <c r="AN371" s="40"/>
      <c r="AO371" s="38"/>
      <c r="AP371" s="38"/>
      <c r="AQ371" s="38"/>
      <c r="AR371" s="38"/>
      <c r="AS371" s="38"/>
      <c r="AT371" s="38"/>
      <c r="AU371" s="38"/>
      <c r="AV371" s="38"/>
      <c r="AW371" s="38"/>
      <c r="AX371" s="38"/>
      <c r="AY371" s="43"/>
      <c r="AZ371" s="43"/>
      <c r="BA371" s="43"/>
      <c r="BB371" s="43"/>
      <c r="BC371" s="43"/>
      <c r="BD371" s="43"/>
      <c r="BE371" s="44"/>
      <c r="BF371" s="45"/>
      <c r="BG371" s="43"/>
    </row>
    <row r="372">
      <c r="A372" s="19" t="s">
        <v>442</v>
      </c>
      <c r="B372" s="20">
        <f>VLOOKUP(F372,'Session Count DO NOT EDIT'!$A:$C,3,FALSE)</f>
        <v>5</v>
      </c>
      <c r="C372" s="20">
        <f>COUNTIFS('Scores Import DO NOT EDIT'!D:D,A372)</f>
        <v>4</v>
      </c>
      <c r="D372" s="21">
        <f t="shared" si="1"/>
        <v>0.8</v>
      </c>
      <c r="E372" s="22">
        <f>AVERAGEIFS('Scores Import DO NOT EDIT'!L:L,'Scores Import DO NOT EDIT'!D:D,A372)</f>
        <v>25.75</v>
      </c>
      <c r="F372" s="23" t="str">
        <f>VLOOKUP(A372, 'Session Data'!A:M,3,false)</f>
        <v>H-1</v>
      </c>
      <c r="G372" s="24" t="str">
        <f>VLOOKUP(A372, 'Session Data'!A:I,2,false)</f>
        <v>1:00 PM</v>
      </c>
      <c r="H372" s="23" t="str">
        <f>VLOOKUP(A372, 'Session Data'!A:J,5,false)</f>
        <v>Behavioral and Social Sciences 1</v>
      </c>
      <c r="I372" s="25" t="str">
        <f>VLOOKUP(A372, 'Session Data'!A:H,4,false)</f>
        <v>Poster</v>
      </c>
      <c r="J372" s="26" t="str">
        <f>VLOOKUP(A372, 'Session Data'!A:AA,14,false)</f>
        <v>Undergraduate</v>
      </c>
      <c r="K372" s="27" t="str">
        <f>VLOOKUP(A372, 'Session Data'!A:AA,15,false)</f>
        <v>Sciences</v>
      </c>
      <c r="L372" s="47"/>
      <c r="M372" s="29" t="str">
        <f>VLOOKUP(A372, 'Session Data'!A:K,11,false)</f>
        <v>Bachelor of Arts in Psychology: Emphasis in Neuroscience</v>
      </c>
      <c r="N372" s="26" t="str">
        <f>IF(ISNA(VLOOKUP(A372, 'Award Abstract#'!C:C, 1, FALSE)), "No", "Yes")
</f>
        <v>No</v>
      </c>
      <c r="O372" s="29" t="str">
        <f>IF(ISNA(VLOOKUP(A372,'Award Abstract#'!B:B,1,FALSE)), "No", "Yes")</f>
        <v>No</v>
      </c>
      <c r="P372" s="29" t="str">
        <f>IF(ISNA(VLOOKUP(A372,'Award Abstract#'!E:E,1,FALSE)), "No", "Yes")</f>
        <v>No</v>
      </c>
      <c r="Q372" s="29" t="str">
        <f>IF(ISNA(VLOOKUP(A372,'Award Abstract#'!A:A,1,FALSE)), "No", "Yes")</f>
        <v>No</v>
      </c>
      <c r="R372" s="29" t="str">
        <f>IF(ISNA(VLOOKUP(A372,'Award Abstract#'!D:D,1,FALSE)), "No", "Yes")</f>
        <v>Yes</v>
      </c>
      <c r="S372" s="30" t="str">
        <f>VLOOKUP(A372, 'Session Data'!A:AA,27,false)</f>
        <v>Woman</v>
      </c>
      <c r="T372" s="30"/>
      <c r="U372" s="30"/>
      <c r="V372" s="31" t="str">
        <f>VLOOKUP(A372, 'Session Data'!A:AA,8,false)</f>
        <v>Sophie</v>
      </c>
      <c r="W372" s="32" t="str">
        <f>VLOOKUP(A372, 'Session Data'!A:AA,9,false)</f>
        <v>Gumanovski</v>
      </c>
      <c r="X372" s="33" t="str">
        <f>VLOOKUP(A372, 'Session Data'!A:AA,12,false)</f>
        <v>Chronic spine pain is associated with altered neural oscillatory dynamics during inhibitory control</v>
      </c>
      <c r="Y372" s="34" t="str">
        <f>VLOOKUP(A372, 'Session Data'!A:AA,22,false)</f>
        <v>Ksenija</v>
      </c>
      <c r="Z372" s="34" t="str">
        <f>VLOOKUP(A372, 'Session Data'!A:AA,23,false)</f>
        <v>Marinkovic (principal investigator, last author) </v>
      </c>
      <c r="AA372" s="34" t="str">
        <f>VLOOKUP(A372, 'Session Data'!A:AA,25,false)</f>
        <v>Sciences</v>
      </c>
      <c r="AB372" s="34"/>
      <c r="AC372" s="34" t="str">
        <f>VLOOKUP(A372, 'Session Data'!A:AA,16,false)</f>
        <v/>
      </c>
      <c r="AD372" s="35" t="str">
        <f>VLOOKUP(A372, 'Session Data'!A:U,17,false)</f>
        <v/>
      </c>
      <c r="AE372" s="35" t="str">
        <f>VLOOKUP(A372, 'Session Data'!A:U,18,false)</f>
        <v/>
      </c>
      <c r="AF372" s="35" t="str">
        <f>VLOOKUP(A372, 'Session Data'!A:U,19,false)</f>
        <v/>
      </c>
      <c r="AG372" s="35" t="str">
        <f>VLOOKUP(A372, 'Session Data'!A:U,20,false)</f>
        <v/>
      </c>
      <c r="AH372" s="35" t="str">
        <f>VLOOKUP(A372, 'Session Data'!A:U,21,false)</f>
        <v/>
      </c>
      <c r="AI372" s="36"/>
      <c r="AJ372" s="38"/>
      <c r="AK372" s="38"/>
      <c r="AL372" s="39"/>
      <c r="AM372" s="34" t="str">
        <f>VLOOKUP(A372, 'Session Data'!A:AA,10,false)</f>
        <v>sgumanovski1046@sdsu.edu</v>
      </c>
      <c r="AN372" s="40"/>
      <c r="AO372" s="38"/>
      <c r="AP372" s="38"/>
      <c r="AQ372" s="38"/>
      <c r="AR372" s="38"/>
      <c r="AS372" s="38"/>
      <c r="AT372" s="38"/>
      <c r="AU372" s="38"/>
      <c r="AV372" s="38"/>
      <c r="AW372" s="38"/>
      <c r="AX372" s="38"/>
      <c r="AY372" s="43"/>
      <c r="AZ372" s="43"/>
      <c r="BA372" s="43"/>
      <c r="BB372" s="43"/>
      <c r="BC372" s="43"/>
      <c r="BD372" s="43"/>
      <c r="BE372" s="44"/>
      <c r="BF372" s="45"/>
      <c r="BG372" s="43"/>
    </row>
    <row r="373">
      <c r="A373" s="19" t="s">
        <v>443</v>
      </c>
      <c r="B373" s="20">
        <f>VLOOKUP(F373,'Session Count DO NOT EDIT'!$A:$C,3,FALSE)</f>
        <v>5</v>
      </c>
      <c r="C373" s="20">
        <f>COUNTIFS('Scores Import DO NOT EDIT'!D:D,A373)</f>
        <v>3</v>
      </c>
      <c r="D373" s="21">
        <f t="shared" si="1"/>
        <v>0.6</v>
      </c>
      <c r="E373" s="22">
        <f>AVERAGEIFS('Scores Import DO NOT EDIT'!L:L,'Scores Import DO NOT EDIT'!D:D,A373)</f>
        <v>24</v>
      </c>
      <c r="F373" s="23" t="str">
        <f>VLOOKUP(A373, 'Session Data'!A:M,3,false)</f>
        <v>H-1</v>
      </c>
      <c r="G373" s="24" t="str">
        <f>VLOOKUP(A373, 'Session Data'!A:I,2,false)</f>
        <v>1:00 PM</v>
      </c>
      <c r="H373" s="23" t="str">
        <f>VLOOKUP(A373, 'Session Data'!A:J,5,false)</f>
        <v>Behavioral and Social Sciences 1</v>
      </c>
      <c r="I373" s="25" t="str">
        <f>VLOOKUP(A373, 'Session Data'!A:H,4,false)</f>
        <v>Poster</v>
      </c>
      <c r="J373" s="26" t="str">
        <f>VLOOKUP(A373, 'Session Data'!A:AA,14,false)</f>
        <v>Undergraduate</v>
      </c>
      <c r="K373" s="27" t="str">
        <f>VLOOKUP(A373, 'Session Data'!A:AA,15,false)</f>
        <v>Arts and Letters</v>
      </c>
      <c r="L373" s="28"/>
      <c r="M373" s="29" t="str">
        <f>VLOOKUP(A373, 'Session Data'!A:K,11,false)</f>
        <v>Anthropology</v>
      </c>
      <c r="N373" s="26" t="str">
        <f>IF(ISNA(VLOOKUP(A373, 'Award Abstract#'!C:C, 1, FALSE)), "No", "Yes")
</f>
        <v>No</v>
      </c>
      <c r="O373" s="29" t="str">
        <f>IF(ISNA(VLOOKUP(A373,'Award Abstract#'!B:B,1,FALSE)), "No", "Yes")</f>
        <v>No</v>
      </c>
      <c r="P373" s="29" t="str">
        <f>IF(ISNA(VLOOKUP(A373,'Award Abstract#'!E:E,1,FALSE)), "No", "Yes")</f>
        <v>No</v>
      </c>
      <c r="Q373" s="29" t="str">
        <f>IF(ISNA(VLOOKUP(A373,'Award Abstract#'!A:A,1,FALSE)), "No", "Yes")</f>
        <v>No</v>
      </c>
      <c r="R373" s="29" t="str">
        <f>IF(ISNA(VLOOKUP(A373,'Award Abstract#'!D:D,1,FALSE)), "No", "Yes")</f>
        <v>No</v>
      </c>
      <c r="S373" s="30" t="str">
        <f>VLOOKUP(A373, 'Session Data'!A:AA,27,false)</f>
        <v>Woman</v>
      </c>
      <c r="T373" s="30"/>
      <c r="U373" s="30"/>
      <c r="V373" s="31" t="str">
        <f>VLOOKUP(A373, 'Session Data'!A:AA,8,false)</f>
        <v>Emma</v>
      </c>
      <c r="W373" s="32" t="str">
        <f>VLOOKUP(A373, 'Session Data'!A:AA,9,false)</f>
        <v>Fitzpatrick</v>
      </c>
      <c r="X373" s="33" t="str">
        <f>VLOOKUP(A373, 'Session Data'!A:AA,12,false)</f>
        <v>Are Sound Baths an Answer to SDSU Student Stress? Lack of Access Suggests Not Yet</v>
      </c>
      <c r="Y373" s="34" t="str">
        <f>VLOOKUP(A373, 'Session Data'!A:AA,22,false)</f>
        <v>Elisa</v>
      </c>
      <c r="Z373" s="34" t="str">
        <f>VLOOKUP(A373, 'Session Data'!A:AA,23,false)</f>
        <v>Sobo</v>
      </c>
      <c r="AA373" s="34" t="str">
        <f>VLOOKUP(A373, 'Session Data'!A:AA,25,false)</f>
        <v>Arts and Letters</v>
      </c>
      <c r="AB373" s="34" t="str">
        <f>VLOOKUP(A373, 'Session Data'!A:AA,24,false)</f>
        <v>esobo@sdsu.edu</v>
      </c>
      <c r="AC373" s="34" t="str">
        <f>VLOOKUP(A373, 'Session Data'!A:AA,16,false)</f>
        <v/>
      </c>
      <c r="AD373" s="35" t="str">
        <f>VLOOKUP(A373, 'Session Data'!A:U,17,false)</f>
        <v/>
      </c>
      <c r="AE373" s="35" t="str">
        <f>VLOOKUP(A373, 'Session Data'!A:U,18,false)</f>
        <v/>
      </c>
      <c r="AF373" s="35" t="str">
        <f>VLOOKUP(A373, 'Session Data'!A:U,19,false)</f>
        <v/>
      </c>
      <c r="AG373" s="35" t="str">
        <f>VLOOKUP(A373, 'Session Data'!A:U,20,false)</f>
        <v/>
      </c>
      <c r="AH373" s="35" t="str">
        <f>VLOOKUP(A373, 'Session Data'!A:U,21,false)</f>
        <v/>
      </c>
      <c r="AI373" s="37"/>
      <c r="AJ373" s="37"/>
      <c r="AK373" s="37"/>
      <c r="AL373" s="50"/>
      <c r="AM373" s="34" t="str">
        <f>VLOOKUP(A373, 'Session Data'!A:AA,10,false)</f>
        <v>efitzpatrick7637@sdsu.edu</v>
      </c>
      <c r="AN373" s="40"/>
      <c r="AO373" s="38"/>
      <c r="AP373" s="38"/>
      <c r="AQ373" s="38"/>
      <c r="AR373" s="38"/>
      <c r="AS373" s="38"/>
      <c r="AT373" s="38"/>
      <c r="AU373" s="38"/>
      <c r="AV373" s="38"/>
      <c r="AW373" s="38"/>
      <c r="AX373" s="38"/>
      <c r="AY373" s="43"/>
      <c r="AZ373" s="43"/>
      <c r="BA373" s="43"/>
      <c r="BB373" s="43"/>
      <c r="BC373" s="43"/>
      <c r="BD373" s="43"/>
      <c r="BE373" s="44"/>
      <c r="BF373" s="45"/>
      <c r="BG373" s="43"/>
    </row>
    <row r="374">
      <c r="A374" s="19" t="s">
        <v>444</v>
      </c>
      <c r="B374" s="20">
        <f>VLOOKUP(F374,'Session Count DO NOT EDIT'!$A:$C,3,FALSE)</f>
        <v>5</v>
      </c>
      <c r="C374" s="20">
        <f>COUNTIFS('Scores Import DO NOT EDIT'!D:D,A374)</f>
        <v>4</v>
      </c>
      <c r="D374" s="21">
        <f t="shared" si="1"/>
        <v>0.8</v>
      </c>
      <c r="E374" s="22">
        <f>AVERAGEIFS('Scores Import DO NOT EDIT'!L:L,'Scores Import DO NOT EDIT'!D:D,A374)</f>
        <v>23.75</v>
      </c>
      <c r="F374" s="23" t="str">
        <f>VLOOKUP(A374, 'Session Data'!A:M,3,false)</f>
        <v>H-1</v>
      </c>
      <c r="G374" s="24" t="str">
        <f>VLOOKUP(A374, 'Session Data'!A:I,2,false)</f>
        <v>1:00 PM</v>
      </c>
      <c r="H374" s="23" t="str">
        <f>VLOOKUP(A374, 'Session Data'!A:J,5,false)</f>
        <v>Behavioral and Social Sciences 1</v>
      </c>
      <c r="I374" s="25" t="str">
        <f>VLOOKUP(A374, 'Session Data'!A:H,4,false)</f>
        <v>Poster</v>
      </c>
      <c r="J374" s="26" t="str">
        <f>VLOOKUP(A374, 'Session Data'!A:AA,14,false)</f>
        <v>Undergraduate</v>
      </c>
      <c r="K374" s="27" t="str">
        <f>VLOOKUP(A374, 'Session Data'!A:AA,15,false)</f>
        <v>Professional Studies and Fine Arts</v>
      </c>
      <c r="L374" s="28"/>
      <c r="M374" s="29" t="str">
        <f>VLOOKUP(A374, 'Session Data'!A:K,11,false)</f>
        <v>Bachelor of Science in Health Communication</v>
      </c>
      <c r="N374" s="26" t="str">
        <f>IF(ISNA(VLOOKUP(A374, 'Award Abstract#'!C:C, 1, FALSE)), "No", "Yes")
</f>
        <v>No</v>
      </c>
      <c r="O374" s="29" t="str">
        <f>IF(ISNA(VLOOKUP(A374,'Award Abstract#'!B:B,1,FALSE)), "No", "Yes")</f>
        <v>No</v>
      </c>
      <c r="P374" s="29" t="str">
        <f>IF(ISNA(VLOOKUP(A374,'Award Abstract#'!E:E,1,FALSE)), "No", "Yes")</f>
        <v>No</v>
      </c>
      <c r="Q374" s="29" t="str">
        <f>IF(ISNA(VLOOKUP(A374,'Award Abstract#'!A:A,1,FALSE)), "No", "Yes")</f>
        <v>No</v>
      </c>
      <c r="R374" s="29" t="str">
        <f>IF(ISNA(VLOOKUP(A374,'Award Abstract#'!D:D,1,FALSE)), "No", "Yes")</f>
        <v>No</v>
      </c>
      <c r="S374" s="30" t="str">
        <f>VLOOKUP(A374, 'Session Data'!A:AA,27,false)</f>
        <v>Woman</v>
      </c>
      <c r="T374" s="30"/>
      <c r="U374" s="30"/>
      <c r="V374" s="31" t="str">
        <f>VLOOKUP(A374, 'Session Data'!A:AA,8,false)</f>
        <v>Miranda</v>
      </c>
      <c r="W374" s="32" t="str">
        <f>VLOOKUP(A374, 'Session Data'!A:AA,9,false)</f>
        <v>Mergens</v>
      </c>
      <c r="X374" s="33" t="str">
        <f>VLOOKUP(A374, 'Session Data'!A:AA,12,false)</f>
        <v>Identifying Age Disparities in Student-Counselor Interactions: A Quantitative Communication Study on Feelings of Dismissal</v>
      </c>
      <c r="Y374" s="34" t="str">
        <f>VLOOKUP(A374, 'Session Data'!A:AA,22,false)</f>
        <v>Rachael</v>
      </c>
      <c r="Z374" s="34" t="str">
        <f>VLOOKUP(A374, 'Session Data'!A:AA,23,false)</f>
        <v>Record</v>
      </c>
      <c r="AA374" s="34" t="str">
        <f>VLOOKUP(A374, 'Session Data'!A:AA,25,false)</f>
        <v>Professional Studies and Fine Arts</v>
      </c>
      <c r="AB374" s="34" t="str">
        <f>VLOOKUP(A374, 'Session Data'!A:AA,24,false)</f>
        <v>rrecord@sdsu.edu</v>
      </c>
      <c r="AC374" s="34" t="str">
        <f>VLOOKUP(A374, 'Session Data'!A:AA,16,false)</f>
        <v>Alexander</v>
      </c>
      <c r="AD374" s="35" t="str">
        <f>VLOOKUP(A374, 'Session Data'!A:U,17,false)</f>
        <v>Tran</v>
      </c>
      <c r="AE374" s="35" t="str">
        <f>VLOOKUP(A374, 'Session Data'!A:U,18,false)</f>
        <v/>
      </c>
      <c r="AF374" s="35" t="str">
        <f>VLOOKUP(A374, 'Session Data'!A:U,19,false)</f>
        <v/>
      </c>
      <c r="AG374" s="35" t="str">
        <f>VLOOKUP(A374, 'Session Data'!A:U,20,false)</f>
        <v/>
      </c>
      <c r="AH374" s="35" t="str">
        <f>VLOOKUP(A374, 'Session Data'!A:U,21,false)</f>
        <v/>
      </c>
      <c r="AI374" s="36"/>
      <c r="AJ374" s="38"/>
      <c r="AK374" s="38"/>
      <c r="AL374" s="39"/>
      <c r="AM374" s="34" t="str">
        <f>VLOOKUP(A374, 'Session Data'!A:AA,10,false)</f>
        <v>mmergens1390@sdsu.edu</v>
      </c>
      <c r="AN374" s="40"/>
      <c r="AO374" s="38"/>
      <c r="AP374" s="38"/>
      <c r="AQ374" s="38"/>
      <c r="AR374" s="38"/>
      <c r="AS374" s="38"/>
      <c r="AT374" s="38"/>
      <c r="AU374" s="38"/>
      <c r="AV374" s="38"/>
      <c r="AW374" s="38"/>
      <c r="AX374" s="38"/>
      <c r="AY374" s="43"/>
      <c r="AZ374" s="43"/>
      <c r="BA374" s="48"/>
      <c r="BB374" s="48"/>
      <c r="BC374" s="43"/>
      <c r="BD374" s="43"/>
      <c r="BE374" s="44"/>
      <c r="BF374" s="45"/>
      <c r="BG374" s="43"/>
    </row>
    <row r="375">
      <c r="A375" s="19" t="s">
        <v>445</v>
      </c>
      <c r="B375" s="20">
        <f>VLOOKUP(F375,'Session Count DO NOT EDIT'!$A:$C,3,FALSE)</f>
        <v>5</v>
      </c>
      <c r="C375" s="20">
        <f>COUNTIFS('Scores Import DO NOT EDIT'!D:D,A375)</f>
        <v>3</v>
      </c>
      <c r="D375" s="21">
        <f t="shared" si="1"/>
        <v>0.6</v>
      </c>
      <c r="E375" s="22">
        <f>AVERAGEIFS('Scores Import DO NOT EDIT'!L:L,'Scores Import DO NOT EDIT'!D:D,A375)</f>
        <v>27.66666667</v>
      </c>
      <c r="F375" s="23" t="str">
        <f>VLOOKUP(A375, 'Session Data'!A:M,3,false)</f>
        <v>H-10</v>
      </c>
      <c r="G375" s="24" t="str">
        <f>VLOOKUP(A375, 'Session Data'!A:I,2,false)</f>
        <v>1:00 PM</v>
      </c>
      <c r="H375" s="23" t="str">
        <f>VLOOKUP(A375, 'Session Data'!A:J,5,false)</f>
        <v>Engineering and Computer Science</v>
      </c>
      <c r="I375" s="25" t="str">
        <f>VLOOKUP(A375, 'Session Data'!A:H,4,false)</f>
        <v>Poster</v>
      </c>
      <c r="J375" s="26" t="str">
        <f>VLOOKUP(A375, 'Session Data'!A:AA,14,false)</f>
        <v>Master's</v>
      </c>
      <c r="K375" s="27" t="str">
        <f>VLOOKUP(A375, 'Session Data'!A:AA,15,false)</f>
        <v>Engineering</v>
      </c>
      <c r="L375" s="79"/>
      <c r="M375" s="29" t="str">
        <f>VLOOKUP(A375, 'Session Data'!A:K,11,false)</f>
        <v>Master of Science in Mechanical Engineering</v>
      </c>
      <c r="N375" s="26" t="str">
        <f>IF(ISNA(VLOOKUP(A375, 'Award Abstract#'!C:C, 1, FALSE)), "No", "Yes")
</f>
        <v>No</v>
      </c>
      <c r="O375" s="29" t="str">
        <f>IF(ISNA(VLOOKUP(A375,'Award Abstract#'!B:B,1,FALSE)), "No", "Yes")</f>
        <v>Yes</v>
      </c>
      <c r="P375" s="29" t="str">
        <f>IF(ISNA(VLOOKUP(A375,'Award Abstract#'!E:E,1,FALSE)), "No", "Yes")</f>
        <v>No</v>
      </c>
      <c r="Q375" s="29" t="str">
        <f>IF(ISNA(VLOOKUP(A375,'Award Abstract#'!A:A,1,FALSE)), "No", "Yes")</f>
        <v>No</v>
      </c>
      <c r="R375" s="29" t="str">
        <f>IF(ISNA(VLOOKUP(A375,'Award Abstract#'!D:D,1,FALSE)), "No", "Yes")</f>
        <v>No</v>
      </c>
      <c r="S375" s="30" t="str">
        <f>VLOOKUP(A375, 'Session Data'!A:AA,27,false)</f>
        <v>Man</v>
      </c>
      <c r="T375" s="84"/>
      <c r="U375" s="30"/>
      <c r="V375" s="31" t="str">
        <f>VLOOKUP(A375, 'Session Data'!A:AA,8,false)</f>
        <v>Eric</v>
      </c>
      <c r="W375" s="32" t="str">
        <f>VLOOKUP(A375, 'Session Data'!A:AA,9,false)</f>
        <v>Wilkinson</v>
      </c>
      <c r="X375" s="33" t="str">
        <f>VLOOKUP(A375, 'Session Data'!A:AA,12,false)</f>
        <v>Preliminary Assessments of Cigarette Filter Properties</v>
      </c>
      <c r="Y375" s="34" t="str">
        <f>VLOOKUP(A375, 'Session Data'!A:AA,22,false)</f>
        <v>George</v>
      </c>
      <c r="Z375" s="34" t="str">
        <f>VLOOKUP(A375, 'Session Data'!A:AA,23,false)</f>
        <v>Youssef</v>
      </c>
      <c r="AA375" s="34" t="str">
        <f>VLOOKUP(A375, 'Session Data'!A:AA,25,false)</f>
        <v>Engineering</v>
      </c>
      <c r="AB375" s="34" t="str">
        <f>VLOOKUP(A375, 'Session Data'!A:AA,24,false)</f>
        <v>gyoussef@sdsu.edu</v>
      </c>
      <c r="AC375" s="34" t="str">
        <f>VLOOKUP(A375, 'Session Data'!A:AA,16,false)</f>
        <v/>
      </c>
      <c r="AD375" s="35" t="str">
        <f>VLOOKUP(A375, 'Session Data'!A:U,17,false)</f>
        <v/>
      </c>
      <c r="AE375" s="35" t="str">
        <f>VLOOKUP(A375, 'Session Data'!A:U,18,false)</f>
        <v/>
      </c>
      <c r="AF375" s="35" t="str">
        <f>VLOOKUP(A375, 'Session Data'!A:U,19,false)</f>
        <v/>
      </c>
      <c r="AG375" s="35" t="str">
        <f>VLOOKUP(A375, 'Session Data'!A:U,20,false)</f>
        <v/>
      </c>
      <c r="AH375" s="35" t="str">
        <f>VLOOKUP(A375, 'Session Data'!A:U,21,false)</f>
        <v/>
      </c>
      <c r="AI375" s="37"/>
      <c r="AJ375" s="37"/>
      <c r="AK375" s="37"/>
      <c r="AL375" s="50"/>
      <c r="AM375" s="34" t="str">
        <f>VLOOKUP(A375, 'Session Data'!A:AA,10,false)</f>
        <v>ewilkinson1605@sdsu.edu</v>
      </c>
      <c r="AN375" s="40"/>
      <c r="AO375" s="43"/>
      <c r="AP375" s="43"/>
      <c r="AQ375" s="43"/>
      <c r="AR375" s="43"/>
      <c r="AS375" s="43"/>
      <c r="AT375" s="43"/>
      <c r="AU375" s="43"/>
      <c r="AV375" s="43"/>
      <c r="AW375" s="43"/>
      <c r="AX375" s="43"/>
      <c r="AY375" s="43"/>
      <c r="AZ375" s="43"/>
      <c r="BA375" s="43"/>
      <c r="BB375" s="43"/>
      <c r="BC375" s="43"/>
      <c r="BD375" s="43"/>
      <c r="BE375" s="44"/>
      <c r="BF375" s="45"/>
      <c r="BG375" s="43"/>
    </row>
    <row r="376">
      <c r="A376" s="19" t="s">
        <v>446</v>
      </c>
      <c r="B376" s="20">
        <f>VLOOKUP(F376,'Session Count DO NOT EDIT'!$A:$C,3,FALSE)</f>
        <v>5</v>
      </c>
      <c r="C376" s="20">
        <f>COUNTIFS('Scores Import DO NOT EDIT'!D:D,A376)</f>
        <v>3</v>
      </c>
      <c r="D376" s="21">
        <f t="shared" si="1"/>
        <v>0.6</v>
      </c>
      <c r="E376" s="22">
        <f>AVERAGEIFS('Scores Import DO NOT EDIT'!L:L,'Scores Import DO NOT EDIT'!D:D,A376)</f>
        <v>27.66666667</v>
      </c>
      <c r="F376" s="23" t="str">
        <f>VLOOKUP(A376, 'Session Data'!A:M,3,false)</f>
        <v>H-10</v>
      </c>
      <c r="G376" s="24" t="str">
        <f>VLOOKUP(A376, 'Session Data'!A:I,2,false)</f>
        <v>1:00 PM</v>
      </c>
      <c r="H376" s="23" t="str">
        <f>VLOOKUP(A376, 'Session Data'!A:J,5,false)</f>
        <v>Engineering and Computer Science</v>
      </c>
      <c r="I376" s="25" t="str">
        <f>VLOOKUP(A376, 'Session Data'!A:H,4,false)</f>
        <v>Poster</v>
      </c>
      <c r="J376" s="26" t="str">
        <f>VLOOKUP(A376, 'Session Data'!A:AA,14,false)</f>
        <v>Doctoral</v>
      </c>
      <c r="K376" s="27" t="str">
        <f>VLOOKUP(A376, 'Session Data'!A:AA,15,false)</f>
        <v>Engineering</v>
      </c>
      <c r="L376" s="28" t="s">
        <v>447</v>
      </c>
      <c r="M376" s="29" t="str">
        <f>VLOOKUP(A376, 'Session Data'!A:K,11,false)</f>
        <v>Joint Doctoral Program in Mechanical Engineering</v>
      </c>
      <c r="N376" s="26" t="str">
        <f>IF(ISNA(VLOOKUP(A376, 'Award Abstract#'!C:C, 1, FALSE)), "No", "Yes")
</f>
        <v>No</v>
      </c>
      <c r="O376" s="29" t="str">
        <f>IF(ISNA(VLOOKUP(A376,'Award Abstract#'!B:B,1,FALSE)), "No", "Yes")</f>
        <v>No</v>
      </c>
      <c r="P376" s="29" t="str">
        <f>IF(ISNA(VLOOKUP(A376,'Award Abstract#'!E:E,1,FALSE)), "No", "Yes")</f>
        <v>No</v>
      </c>
      <c r="Q376" s="29" t="str">
        <f>IF(ISNA(VLOOKUP(A376,'Award Abstract#'!A:A,1,FALSE)), "No", "Yes")</f>
        <v>No</v>
      </c>
      <c r="R376" s="29" t="str">
        <f>IF(ISNA(VLOOKUP(A376,'Award Abstract#'!D:D,1,FALSE)), "No", "Yes")</f>
        <v>Yes</v>
      </c>
      <c r="S376" s="30" t="str">
        <f>VLOOKUP(A376, 'Session Data'!A:AA,27,false)</f>
        <v>Woman</v>
      </c>
      <c r="T376" s="84"/>
      <c r="U376" s="30"/>
      <c r="V376" s="31" t="str">
        <f>VLOOKUP(A376, 'Session Data'!A:AA,8,false)</f>
        <v>Maryam</v>
      </c>
      <c r="W376" s="32" t="str">
        <f>VLOOKUP(A376, 'Session Data'!A:AA,9,false)</f>
        <v>Ghorbani</v>
      </c>
      <c r="X376" s="33" t="str">
        <f>VLOOKUP(A376, 'Session Data'!A:AA,12,false)</f>
        <v>Effects of physical properties and binder chemistry on mechanical behaviour, and biocampatibility of hydroxyapetite bioceramic  scaffolds using binder jet 3D printing</v>
      </c>
      <c r="Y376" s="34" t="str">
        <f>VLOOKUP(A376, 'Session Data'!A:AA,22,false)</f>
        <v>Elisa</v>
      </c>
      <c r="Z376" s="34" t="str">
        <f>VLOOKUP(A376, 'Session Data'!A:AA,23,false)</f>
        <v>Torresani</v>
      </c>
      <c r="AA376" s="34" t="str">
        <f>VLOOKUP(A376, 'Session Data'!A:AA,25,false)</f>
        <v>Engineering</v>
      </c>
      <c r="AB376" s="34" t="str">
        <f>VLOOKUP(A376, 'Session Data'!A:AA,24,false)</f>
        <v>etorresani@sdsu.edu</v>
      </c>
      <c r="AC376" s="34" t="str">
        <f>VLOOKUP(A376, 'Session Data'!A:AA,16,false)</f>
        <v/>
      </c>
      <c r="AD376" s="35" t="str">
        <f>VLOOKUP(A376, 'Session Data'!A:U,17,false)</f>
        <v/>
      </c>
      <c r="AE376" s="35" t="str">
        <f>VLOOKUP(A376, 'Session Data'!A:U,18,false)</f>
        <v/>
      </c>
      <c r="AF376" s="35" t="str">
        <f>VLOOKUP(A376, 'Session Data'!A:U,19,false)</f>
        <v/>
      </c>
      <c r="AG376" s="35" t="str">
        <f>VLOOKUP(A376, 'Session Data'!A:U,20,false)</f>
        <v/>
      </c>
      <c r="AH376" s="35" t="str">
        <f>VLOOKUP(A376, 'Session Data'!A:U,21,false)</f>
        <v/>
      </c>
      <c r="AI376" s="37"/>
      <c r="AJ376" s="37"/>
      <c r="AK376" s="37"/>
      <c r="AL376" s="50"/>
      <c r="AM376" s="34" t="str">
        <f>VLOOKUP(A376, 'Session Data'!A:AA,10,false)</f>
        <v>mghorbani8919@sdsu.edu</v>
      </c>
      <c r="AN376" s="40"/>
      <c r="AO376" s="43"/>
      <c r="AP376" s="43"/>
      <c r="AQ376" s="43"/>
      <c r="AR376" s="43"/>
      <c r="AS376" s="43"/>
      <c r="AT376" s="43"/>
      <c r="AU376" s="43"/>
      <c r="AV376" s="43"/>
      <c r="AW376" s="43"/>
      <c r="AX376" s="43"/>
      <c r="AY376" s="43"/>
      <c r="AZ376" s="43"/>
      <c r="BA376" s="48"/>
      <c r="BB376" s="48"/>
      <c r="BC376" s="43"/>
      <c r="BD376" s="43"/>
      <c r="BE376" s="44"/>
      <c r="BF376" s="45"/>
      <c r="BG376" s="43"/>
    </row>
    <row r="377">
      <c r="A377" s="19" t="s">
        <v>448</v>
      </c>
      <c r="B377" s="20">
        <f>VLOOKUP(F377,'Session Count DO NOT EDIT'!$A:$C,3,FALSE)</f>
        <v>5</v>
      </c>
      <c r="C377" s="20">
        <f>COUNTIFS('Scores Import DO NOT EDIT'!D:D,A377)</f>
        <v>3</v>
      </c>
      <c r="D377" s="21">
        <f t="shared" si="1"/>
        <v>0.6</v>
      </c>
      <c r="E377" s="22">
        <f>AVERAGEIFS('Scores Import DO NOT EDIT'!L:L,'Scores Import DO NOT EDIT'!D:D,A377)</f>
        <v>25.33333333</v>
      </c>
      <c r="F377" s="23" t="str">
        <f>VLOOKUP(A377, 'Session Data'!A:M,3,false)</f>
        <v>H-10</v>
      </c>
      <c r="G377" s="24" t="str">
        <f>VLOOKUP(A377, 'Session Data'!A:I,2,false)</f>
        <v>1:00 PM</v>
      </c>
      <c r="H377" s="23" t="str">
        <f>VLOOKUP(A377, 'Session Data'!A:J,5,false)</f>
        <v>Engineering and Computer Science</v>
      </c>
      <c r="I377" s="25" t="str">
        <f>VLOOKUP(A377, 'Session Data'!A:H,4,false)</f>
        <v>Poster</v>
      </c>
      <c r="J377" s="26" t="str">
        <f>VLOOKUP(A377, 'Session Data'!A:AA,14,false)</f>
        <v>Doctoral</v>
      </c>
      <c r="K377" s="27" t="str">
        <f>VLOOKUP(A377, 'Session Data'!A:AA,15,false)</f>
        <v>Engineering</v>
      </c>
      <c r="L377" s="47"/>
      <c r="M377" s="29" t="str">
        <f>VLOOKUP(A377, 'Session Data'!A:K,11,false)</f>
        <v>PhD Engineering Sciences</v>
      </c>
      <c r="N377" s="26" t="str">
        <f>IF(ISNA(VLOOKUP(A377, 'Award Abstract#'!C:C, 1, FALSE)), "No", "Yes")
</f>
        <v>No</v>
      </c>
      <c r="O377" s="29" t="str">
        <f>IF(ISNA(VLOOKUP(A377,'Award Abstract#'!B:B,1,FALSE)), "No", "Yes")</f>
        <v>No</v>
      </c>
      <c r="P377" s="29" t="str">
        <f>IF(ISNA(VLOOKUP(A377,'Award Abstract#'!E:E,1,FALSE)), "No", "Yes")</f>
        <v>No</v>
      </c>
      <c r="Q377" s="29" t="str">
        <f>IF(ISNA(VLOOKUP(A377,'Award Abstract#'!A:A,1,FALSE)), "No", "Yes")</f>
        <v>No</v>
      </c>
      <c r="R377" s="29" t="str">
        <f>IF(ISNA(VLOOKUP(A377,'Award Abstract#'!D:D,1,FALSE)), "No", "Yes")</f>
        <v>No</v>
      </c>
      <c r="S377" s="30" t="str">
        <f>VLOOKUP(A377, 'Session Data'!A:AA,27,false)</f>
        <v>Woman</v>
      </c>
      <c r="T377" s="84"/>
      <c r="U377" s="30"/>
      <c r="V377" s="31" t="str">
        <f>VLOOKUP(A377, 'Session Data'!A:AA,8,false)</f>
        <v>Lilith</v>
      </c>
      <c r="W377" s="32" t="str">
        <f>VLOOKUP(A377, 'Session Data'!A:AA,9,false)</f>
        <v>Astete Vasquez</v>
      </c>
      <c r="X377" s="33" t="str">
        <f>VLOOKUP(A377, 'Session Data'!A:AA,12,false)</f>
        <v>Microbial abundance in response to varied waste introduction methods in onsite sanitation systems</v>
      </c>
      <c r="Y377" s="34" t="str">
        <f>VLOOKUP(A377, 'Session Data'!A:AA,22,false)</f>
        <v>Natalie</v>
      </c>
      <c r="Z377" s="34" t="str">
        <f>VLOOKUP(A377, 'Session Data'!A:AA,23,false)</f>
        <v>Mladenov</v>
      </c>
      <c r="AA377" s="34" t="str">
        <f>VLOOKUP(A377, 'Session Data'!A:AA,25,false)</f>
        <v>Engineering</v>
      </c>
      <c r="AB377" s="34" t="str">
        <f>VLOOKUP(A377, 'Session Data'!A:AA,24,false)</f>
        <v>nmladenov@sdsu.edu</v>
      </c>
      <c r="AC377" s="34" t="str">
        <f>VLOOKUP(A377, 'Session Data'!A:AA,16,false)</f>
        <v>Beatriz</v>
      </c>
      <c r="AD377" s="35" t="str">
        <f>VLOOKUP(A377, 'Session Data'!A:U,17,false)</f>
        <v>Velazquez Benitez</v>
      </c>
      <c r="AE377" s="35" t="str">
        <f>VLOOKUP(A377, 'Session Data'!A:U,18,false)</f>
        <v/>
      </c>
      <c r="AF377" s="35" t="str">
        <f>VLOOKUP(A377, 'Session Data'!A:U,19,false)</f>
        <v/>
      </c>
      <c r="AG377" s="35" t="str">
        <f>VLOOKUP(A377, 'Session Data'!A:U,20,false)</f>
        <v/>
      </c>
      <c r="AH377" s="35" t="str">
        <f>VLOOKUP(A377, 'Session Data'!A:U,21,false)</f>
        <v/>
      </c>
      <c r="AI377" s="37"/>
      <c r="AJ377" s="37"/>
      <c r="AK377" s="37"/>
      <c r="AL377" s="50"/>
      <c r="AM377" s="34" t="str">
        <f>VLOOKUP(A377, 'Session Data'!A:AA,10,false)</f>
        <v>rastetevasquez@sdsu.edu</v>
      </c>
      <c r="AN377" s="40"/>
      <c r="AO377" s="43"/>
      <c r="AP377" s="43"/>
      <c r="AQ377" s="48"/>
      <c r="AR377" s="48"/>
      <c r="AS377" s="48"/>
      <c r="AT377" s="48"/>
      <c r="AU377" s="48"/>
      <c r="AV377" s="48"/>
      <c r="AW377" s="48"/>
      <c r="AX377" s="48"/>
      <c r="AY377" s="43"/>
      <c r="AZ377" s="43"/>
      <c r="BA377" s="43"/>
      <c r="BB377" s="43"/>
      <c r="BC377" s="43"/>
      <c r="BD377" s="43"/>
      <c r="BE377" s="44"/>
      <c r="BF377" s="45"/>
      <c r="BG377" s="46"/>
    </row>
    <row r="378">
      <c r="A378" s="19" t="s">
        <v>449</v>
      </c>
      <c r="B378" s="20">
        <f>VLOOKUP(F378,'Session Count DO NOT EDIT'!$A:$C,3,FALSE)</f>
        <v>5</v>
      </c>
      <c r="C378" s="20">
        <f>COUNTIFS('Scores Import DO NOT EDIT'!D:D,A378)</f>
        <v>3</v>
      </c>
      <c r="D378" s="21">
        <f t="shared" si="1"/>
        <v>0.6</v>
      </c>
      <c r="E378" s="22">
        <f>AVERAGEIFS('Scores Import DO NOT EDIT'!L:L,'Scores Import DO NOT EDIT'!D:D,A378)</f>
        <v>24</v>
      </c>
      <c r="F378" s="23" t="str">
        <f>VLOOKUP(A378, 'Session Data'!A:M,3,false)</f>
        <v>H-10</v>
      </c>
      <c r="G378" s="24" t="str">
        <f>VLOOKUP(A378, 'Session Data'!A:I,2,false)</f>
        <v>1:00 PM</v>
      </c>
      <c r="H378" s="23" t="str">
        <f>VLOOKUP(A378, 'Session Data'!A:J,5,false)</f>
        <v>Engineering and Computer Science</v>
      </c>
      <c r="I378" s="25" t="str">
        <f>VLOOKUP(A378, 'Session Data'!A:H,4,false)</f>
        <v>Poster</v>
      </c>
      <c r="J378" s="26" t="str">
        <f>VLOOKUP(A378, 'Session Data'!A:AA,14,false)</f>
        <v>Master's</v>
      </c>
      <c r="K378" s="27" t="str">
        <f>VLOOKUP(A378, 'Session Data'!A:AA,15,false)</f>
        <v>Engineering</v>
      </c>
      <c r="L378" s="47"/>
      <c r="M378" s="29" t="str">
        <f>VLOOKUP(A378, 'Session Data'!A:K,11,false)</f>
        <v>Master of Science In Bioengineering</v>
      </c>
      <c r="N378" s="26" t="str">
        <f>IF(ISNA(VLOOKUP(A378, 'Award Abstract#'!C:C, 1, FALSE)), "No", "Yes")
</f>
        <v>No</v>
      </c>
      <c r="O378" s="29" t="str">
        <f>IF(ISNA(VLOOKUP(A378,'Award Abstract#'!B:B,1,FALSE)), "No", "Yes")</f>
        <v>No</v>
      </c>
      <c r="P378" s="29" t="str">
        <f>IF(ISNA(VLOOKUP(A378,'Award Abstract#'!E:E,1,FALSE)), "No", "Yes")</f>
        <v>No</v>
      </c>
      <c r="Q378" s="29" t="str">
        <f>IF(ISNA(VLOOKUP(A378,'Award Abstract#'!A:A,1,FALSE)), "No", "Yes")</f>
        <v>No</v>
      </c>
      <c r="R378" s="29" t="str">
        <f>IF(ISNA(VLOOKUP(A378,'Award Abstract#'!D:D,1,FALSE)), "No", "Yes")</f>
        <v>No</v>
      </c>
      <c r="S378" s="30" t="str">
        <f>VLOOKUP(A378, 'Session Data'!A:AA,27,false)</f>
        <v>Woman</v>
      </c>
      <c r="T378" s="84"/>
      <c r="U378" s="30"/>
      <c r="V378" s="31" t="str">
        <f>VLOOKUP(A378, 'Session Data'!A:AA,8,false)</f>
        <v>Veronica </v>
      </c>
      <c r="W378" s="32" t="str">
        <f>VLOOKUP(A378, 'Session Data'!A:AA,9,false)</f>
        <v>Zanahuria Santana</v>
      </c>
      <c r="X378" s="33" t="str">
        <f>VLOOKUP(A378, 'Session Data'!A:AA,12,false)</f>
        <v>Fundamental Investigation and Electrical/Electrochemical Characterizations of Glassy Carbon-Based Solution-Gated Field Effect Transistors</v>
      </c>
      <c r="Y378" s="34" t="str">
        <f>VLOOKUP(A378, 'Session Data'!A:AA,22,false)</f>
        <v>Samuel</v>
      </c>
      <c r="Z378" s="34" t="str">
        <f>VLOOKUP(A378, 'Session Data'!A:AA,23,false)</f>
        <v>Kassegne</v>
      </c>
      <c r="AA378" s="34" t="str">
        <f>VLOOKUP(A378, 'Session Data'!A:AA,25,false)</f>
        <v>Engineering</v>
      </c>
      <c r="AB378" s="34" t="str">
        <f>VLOOKUP(A378, 'Session Data'!A:AA,24,false)</f>
        <v>kassegne@sdsu.edu</v>
      </c>
      <c r="AC378" s="34" t="str">
        <f>VLOOKUP(A378, 'Session Data'!A:AA,16,false)</f>
        <v>Kathryn</v>
      </c>
      <c r="AD378" s="35" t="str">
        <f>VLOOKUP(A378, 'Session Data'!A:U,17,false)</f>
        <v> Naretto</v>
      </c>
      <c r="AE378" s="35" t="str">
        <f>VLOOKUP(A378, 'Session Data'!A:U,18,false)</f>
        <v>Samantha</v>
      </c>
      <c r="AF378" s="35" t="str">
        <f>VLOOKUP(A378, 'Session Data'!A:U,19,false)</f>
        <v> Omer</v>
      </c>
      <c r="AG378" s="35" t="str">
        <f>VLOOKUP(A378, 'Session Data'!A:U,20,false)</f>
        <v/>
      </c>
      <c r="AH378" s="35" t="str">
        <f>VLOOKUP(A378, 'Session Data'!A:U,21,false)</f>
        <v/>
      </c>
      <c r="AI378" s="37"/>
      <c r="AJ378" s="37"/>
      <c r="AK378" s="37"/>
      <c r="AL378" s="50"/>
      <c r="AM378" s="34" t="str">
        <f>VLOOKUP(A378, 'Session Data'!A:AA,10,false)</f>
        <v>vzanahuriasant5162@sdsu.edu</v>
      </c>
      <c r="AN378" s="40"/>
      <c r="AO378" s="48"/>
      <c r="AP378" s="48"/>
      <c r="AQ378" s="48"/>
      <c r="AR378" s="48"/>
      <c r="AS378" s="48"/>
      <c r="AT378" s="48"/>
      <c r="AU378" s="48"/>
      <c r="AV378" s="48"/>
      <c r="AW378" s="48"/>
      <c r="AX378" s="48"/>
      <c r="AY378" s="43"/>
      <c r="AZ378" s="43"/>
      <c r="BA378" s="48"/>
      <c r="BB378" s="48"/>
      <c r="BC378" s="43"/>
      <c r="BD378" s="43"/>
      <c r="BE378" s="44"/>
      <c r="BF378" s="45"/>
      <c r="BG378" s="46"/>
    </row>
    <row r="379">
      <c r="A379" s="19" t="s">
        <v>450</v>
      </c>
      <c r="B379" s="20">
        <f>VLOOKUP(F379,'Session Count DO NOT EDIT'!$A:$C,3,FALSE)</f>
        <v>5</v>
      </c>
      <c r="C379" s="20">
        <f>COUNTIFS('Scores Import DO NOT EDIT'!D:D,A379)</f>
        <v>3</v>
      </c>
      <c r="D379" s="21">
        <f t="shared" si="1"/>
        <v>0.6</v>
      </c>
      <c r="E379" s="22">
        <f>AVERAGEIFS('Scores Import DO NOT EDIT'!L:L,'Scores Import DO NOT EDIT'!D:D,A379)</f>
        <v>21.66666667</v>
      </c>
      <c r="F379" s="23" t="str">
        <f>VLOOKUP(A379, 'Session Data'!A:M,3,false)</f>
        <v>H-10</v>
      </c>
      <c r="G379" s="24" t="str">
        <f>VLOOKUP(A379, 'Session Data'!A:I,2,false)</f>
        <v>1:00 PM</v>
      </c>
      <c r="H379" s="23" t="str">
        <f>VLOOKUP(A379, 'Session Data'!A:J,5,false)</f>
        <v>Engineering and Computer Science</v>
      </c>
      <c r="I379" s="25" t="str">
        <f>VLOOKUP(A379, 'Session Data'!A:H,4,false)</f>
        <v>Poster</v>
      </c>
      <c r="J379" s="26" t="str">
        <f>VLOOKUP(A379, 'Session Data'!A:AA,14,false)</f>
        <v>Doctoral</v>
      </c>
      <c r="K379" s="27" t="str">
        <f>VLOOKUP(A379, 'Session Data'!A:AA,15,false)</f>
        <v>Engineering</v>
      </c>
      <c r="L379" s="47"/>
      <c r="M379" s="29" t="str">
        <f>VLOOKUP(A379, 'Session Data'!A:K,11,false)</f>
        <v>PhD in Mechanical and Aerospace engineering science</v>
      </c>
      <c r="N379" s="26" t="str">
        <f>IF(ISNA(VLOOKUP(A379, 'Award Abstract#'!C:C, 1, FALSE)), "No", "Yes")
</f>
        <v>No</v>
      </c>
      <c r="O379" s="29" t="str">
        <f>IF(ISNA(VLOOKUP(A379,'Award Abstract#'!B:B,1,FALSE)), "No", "Yes")</f>
        <v>No</v>
      </c>
      <c r="P379" s="29" t="str">
        <f>IF(ISNA(VLOOKUP(A379,'Award Abstract#'!E:E,1,FALSE)), "No", "Yes")</f>
        <v>No</v>
      </c>
      <c r="Q379" s="29" t="str">
        <f>IF(ISNA(VLOOKUP(A379,'Award Abstract#'!A:A,1,FALSE)), "No", "Yes")</f>
        <v>No</v>
      </c>
      <c r="R379" s="29" t="str">
        <f>IF(ISNA(VLOOKUP(A379,'Award Abstract#'!D:D,1,FALSE)), "No", "Yes")</f>
        <v>No</v>
      </c>
      <c r="S379" s="30" t="str">
        <f>VLOOKUP(A379, 'Session Data'!A:AA,27,false)</f>
        <v>Man</v>
      </c>
      <c r="T379" s="84"/>
      <c r="U379" s="30"/>
      <c r="V379" s="31" t="str">
        <f>VLOOKUP(A379, 'Session Data'!A:AA,8,false)</f>
        <v>Zackary</v>
      </c>
      <c r="W379" s="32" t="str">
        <f>VLOOKUP(A379, 'Session Data'!A:AA,9,false)</f>
        <v>Skinner</v>
      </c>
      <c r="X379" s="33" t="str">
        <f>VLOOKUP(A379, 'Session Data'!A:AA,12,false)</f>
        <v>Investigation into Alternative Methods of Binder Injection in Binder Jetting</v>
      </c>
      <c r="Y379" s="34" t="str">
        <f>VLOOKUP(A379, 'Session Data'!A:AA,22,false)</f>
        <v>Elisa</v>
      </c>
      <c r="Z379" s="34" t="str">
        <f>VLOOKUP(A379, 'Session Data'!A:AA,23,false)</f>
        <v>Torresani</v>
      </c>
      <c r="AA379" s="34" t="str">
        <f>VLOOKUP(A379, 'Session Data'!A:AA,25,false)</f>
        <v>Engineering</v>
      </c>
      <c r="AB379" s="34" t="str">
        <f>VLOOKUP(A379, 'Session Data'!A:AA,24,false)</f>
        <v>etorresani@sdsu.edu</v>
      </c>
      <c r="AC379" s="34" t="str">
        <f>VLOOKUP(A379, 'Session Data'!A:AA,16,false)</f>
        <v/>
      </c>
      <c r="AD379" s="35" t="str">
        <f>VLOOKUP(A379, 'Session Data'!A:U,17,false)</f>
        <v/>
      </c>
      <c r="AE379" s="35" t="str">
        <f>VLOOKUP(A379, 'Session Data'!A:U,18,false)</f>
        <v/>
      </c>
      <c r="AF379" s="35" t="str">
        <f>VLOOKUP(A379, 'Session Data'!A:U,19,false)</f>
        <v/>
      </c>
      <c r="AG379" s="35" t="str">
        <f>VLOOKUP(A379, 'Session Data'!A:U,20,false)</f>
        <v/>
      </c>
      <c r="AH379" s="35" t="str">
        <f>VLOOKUP(A379, 'Session Data'!A:U,21,false)</f>
        <v/>
      </c>
      <c r="AI379" s="37"/>
      <c r="AJ379" s="37"/>
      <c r="AK379" s="37"/>
      <c r="AL379" s="50"/>
      <c r="AM379" s="34" t="str">
        <f>VLOOKUP(A379, 'Session Data'!A:AA,10,false)</f>
        <v>zskinner4974@sdsu.edu</v>
      </c>
      <c r="AN379" s="40"/>
      <c r="AO379" s="48"/>
      <c r="AP379" s="48"/>
      <c r="AQ379" s="48"/>
      <c r="AR379" s="48"/>
      <c r="AS379" s="48"/>
      <c r="AT379" s="48"/>
      <c r="AU379" s="48"/>
      <c r="AV379" s="48"/>
      <c r="AW379" s="48"/>
      <c r="AX379" s="48"/>
      <c r="AY379" s="43"/>
      <c r="AZ379" s="43"/>
      <c r="BA379" s="43"/>
      <c r="BB379" s="48"/>
      <c r="BC379" s="43"/>
      <c r="BD379" s="43"/>
      <c r="BE379" s="44"/>
      <c r="BF379" s="45"/>
      <c r="BG379" s="43"/>
    </row>
    <row r="380">
      <c r="A380" s="19" t="s">
        <v>451</v>
      </c>
      <c r="B380" s="20">
        <f>VLOOKUP(F380,'Session Count DO NOT EDIT'!$A:$C,3,FALSE)</f>
        <v>5</v>
      </c>
      <c r="C380" s="20">
        <f>COUNTIFS('Scores Import DO NOT EDIT'!D:D,A380)</f>
        <v>4</v>
      </c>
      <c r="D380" s="21">
        <f t="shared" si="1"/>
        <v>0.8</v>
      </c>
      <c r="E380" s="22">
        <f>AVERAGEIFS('Scores Import DO NOT EDIT'!L:L,'Scores Import DO NOT EDIT'!D:D,A380)</f>
        <v>30.5</v>
      </c>
      <c r="F380" s="23" t="str">
        <f>VLOOKUP(A380, 'Session Data'!A:M,3,false)</f>
        <v>H-11</v>
      </c>
      <c r="G380" s="24" t="str">
        <f>VLOOKUP(A380, 'Session Data'!A:I,2,false)</f>
        <v>1:00 PM</v>
      </c>
      <c r="H380" s="23" t="str">
        <f>VLOOKUP(A380, 'Session Data'!A:J,5,false)</f>
        <v>Health Nutrition and Clinical Sciences</v>
      </c>
      <c r="I380" s="25" t="str">
        <f>VLOOKUP(A380, 'Session Data'!A:H,4,false)</f>
        <v>Poster</v>
      </c>
      <c r="J380" s="26" t="str">
        <f>VLOOKUP(A380, 'Session Data'!A:AA,14,false)</f>
        <v>Master's</v>
      </c>
      <c r="K380" s="27" t="str">
        <f>VLOOKUP(A380, 'Session Data'!A:AA,15,false)</f>
        <v>Sciences</v>
      </c>
      <c r="L380" s="79"/>
      <c r="M380" s="29" t="str">
        <f>VLOOKUP(A380, 'Session Data'!A:K,11,false)</f>
        <v>Master's In bioinformatics</v>
      </c>
      <c r="N380" s="26" t="str">
        <f>IF(ISNA(VLOOKUP(A380, 'Award Abstract#'!C:C, 1, FALSE)), "No", "Yes")
</f>
        <v>No</v>
      </c>
      <c r="O380" s="29" t="str">
        <f>IF(ISNA(VLOOKUP(A380,'Award Abstract#'!B:B,1,FALSE)), "No", "Yes")</f>
        <v>No</v>
      </c>
      <c r="P380" s="29" t="str">
        <f>IF(ISNA(VLOOKUP(A380,'Award Abstract#'!E:E,1,FALSE)), "No", "Yes")</f>
        <v>No</v>
      </c>
      <c r="Q380" s="29" t="str">
        <f>IF(ISNA(VLOOKUP(A380,'Award Abstract#'!A:A,1,FALSE)), "No", "Yes")</f>
        <v>No</v>
      </c>
      <c r="R380" s="29" t="str">
        <f>IF(ISNA(VLOOKUP(A380,'Award Abstract#'!D:D,1,FALSE)), "No", "Yes")</f>
        <v>No</v>
      </c>
      <c r="S380" s="30" t="str">
        <f>VLOOKUP(A380, 'Session Data'!A:AA,27,false)</f>
        <v>Woman</v>
      </c>
      <c r="T380" s="90"/>
      <c r="U380" s="90"/>
      <c r="V380" s="31" t="str">
        <f>VLOOKUP(A380, 'Session Data'!A:AA,8,false)</f>
        <v>Sakshi </v>
      </c>
      <c r="W380" s="32" t="str">
        <f>VLOOKUP(A380, 'Session Data'!A:AA,9,false)</f>
        <v>Pradhan</v>
      </c>
      <c r="X380" s="33" t="str">
        <f>VLOOKUP(A380, 'Session Data'!A:AA,12,false)</f>
        <v>Exploring WNT promoted chromosome missegregation in human pluripotent stem cells </v>
      </c>
      <c r="Y380" s="34" t="str">
        <f>VLOOKUP(A380, 'Session Data'!A:AA,22,false)</f>
        <v>Dr. Marina </v>
      </c>
      <c r="Z380" s="34" t="str">
        <f>VLOOKUP(A380, 'Session Data'!A:AA,23,false)</f>
        <v>Kalyuzhnaya</v>
      </c>
      <c r="AA380" s="34" t="str">
        <f>VLOOKUP(A380, 'Session Data'!A:AA,25,false)</f>
        <v>Sciences</v>
      </c>
      <c r="AB380" s="34"/>
      <c r="AC380" s="34" t="str">
        <f>VLOOKUP(A380, 'Session Data'!A:AA,16,false)</f>
        <v/>
      </c>
      <c r="AD380" s="35" t="str">
        <f>VLOOKUP(A380, 'Session Data'!A:U,17,false)</f>
        <v/>
      </c>
      <c r="AE380" s="35" t="str">
        <f>VLOOKUP(A380, 'Session Data'!A:U,18,false)</f>
        <v/>
      </c>
      <c r="AF380" s="35" t="str">
        <f>VLOOKUP(A380, 'Session Data'!A:U,19,false)</f>
        <v/>
      </c>
      <c r="AG380" s="35" t="str">
        <f>VLOOKUP(A380, 'Session Data'!A:U,20,false)</f>
        <v/>
      </c>
      <c r="AH380" s="35" t="str">
        <f>VLOOKUP(A380, 'Session Data'!A:U,21,false)</f>
        <v/>
      </c>
      <c r="AI380" s="34"/>
      <c r="AJ380" s="75"/>
      <c r="AK380" s="75"/>
      <c r="AL380" s="75"/>
      <c r="AM380" s="34" t="str">
        <f>VLOOKUP(A380, 'Session Data'!A:AA,10,false)</f>
        <v>spradhan3408@sdsu.edu</v>
      </c>
      <c r="AN380" s="46"/>
      <c r="AO380" s="48"/>
      <c r="AP380" s="48"/>
      <c r="AQ380" s="48"/>
      <c r="AR380" s="48"/>
      <c r="AS380" s="48"/>
      <c r="AT380" s="48"/>
      <c r="AU380" s="48"/>
      <c r="AV380" s="48"/>
      <c r="AW380" s="48"/>
      <c r="AX380" s="48"/>
      <c r="AY380" s="43"/>
      <c r="AZ380" s="48"/>
      <c r="BA380" s="48"/>
      <c r="BB380" s="48"/>
      <c r="BC380" s="43"/>
      <c r="BD380" s="43"/>
      <c r="BE380" s="91"/>
      <c r="BF380" s="48"/>
      <c r="BG380" s="43"/>
    </row>
    <row r="381">
      <c r="A381" s="19" t="s">
        <v>452</v>
      </c>
      <c r="B381" s="20">
        <f>VLOOKUP(F381,'Session Count DO NOT EDIT'!$A:$C,3,FALSE)</f>
        <v>5</v>
      </c>
      <c r="C381" s="20">
        <f>COUNTIFS('Scores Import DO NOT EDIT'!D:D,A381)</f>
        <v>4</v>
      </c>
      <c r="D381" s="21">
        <f t="shared" si="1"/>
        <v>0.8</v>
      </c>
      <c r="E381" s="22">
        <f>AVERAGEIFS('Scores Import DO NOT EDIT'!L:L,'Scores Import DO NOT EDIT'!D:D,A381)</f>
        <v>29</v>
      </c>
      <c r="F381" s="23" t="str">
        <f>VLOOKUP(A381, 'Session Data'!A:M,3,false)</f>
        <v>H-11</v>
      </c>
      <c r="G381" s="24" t="str">
        <f>VLOOKUP(A381, 'Session Data'!A:I,2,false)</f>
        <v>1:00 PM</v>
      </c>
      <c r="H381" s="23" t="str">
        <f>VLOOKUP(A381, 'Session Data'!A:J,5,false)</f>
        <v>Health Nutrition and Clinical Sciences</v>
      </c>
      <c r="I381" s="25" t="str">
        <f>VLOOKUP(A381, 'Session Data'!A:H,4,false)</f>
        <v>Poster</v>
      </c>
      <c r="J381" s="26" t="str">
        <f>VLOOKUP(A381, 'Session Data'!A:AA,14,false)</f>
        <v>Master's</v>
      </c>
      <c r="K381" s="27" t="str">
        <f>VLOOKUP(A381, 'Session Data'!A:AA,15,false)</f>
        <v>Sciences</v>
      </c>
      <c r="L381" s="47"/>
      <c r="M381" s="29" t="str">
        <f>VLOOKUP(A381, 'Session Data'!A:K,11,false)</f>
        <v>Masters of Science in Nursing Leadership</v>
      </c>
      <c r="N381" s="26" t="str">
        <f>IF(ISNA(VLOOKUP(A381, 'Award Abstract#'!C:C, 1, FALSE)), "No", "Yes")
</f>
        <v>No</v>
      </c>
      <c r="O381" s="29" t="str">
        <f>IF(ISNA(VLOOKUP(A381,'Award Abstract#'!B:B,1,FALSE)), "No", "Yes")</f>
        <v>No</v>
      </c>
      <c r="P381" s="29" t="str">
        <f>IF(ISNA(VLOOKUP(A381,'Award Abstract#'!E:E,1,FALSE)), "No", "Yes")</f>
        <v>No</v>
      </c>
      <c r="Q381" s="29" t="str">
        <f>IF(ISNA(VLOOKUP(A381,'Award Abstract#'!A:A,1,FALSE)), "No", "Yes")</f>
        <v>No</v>
      </c>
      <c r="R381" s="29" t="str">
        <f>IF(ISNA(VLOOKUP(A381,'Award Abstract#'!D:D,1,FALSE)), "No", "Yes")</f>
        <v>No</v>
      </c>
      <c r="S381" s="30" t="str">
        <f>VLOOKUP(A381, 'Session Data'!A:AA,27,false)</f>
        <v>Woman</v>
      </c>
      <c r="T381" s="84"/>
      <c r="U381" s="84"/>
      <c r="V381" s="31" t="str">
        <f>VLOOKUP(A381, 'Session Data'!A:AA,8,false)</f>
        <v>Kacie</v>
      </c>
      <c r="W381" s="32" t="str">
        <f>VLOOKUP(A381, 'Session Data'!A:AA,9,false)</f>
        <v>Wass</v>
      </c>
      <c r="X381" s="33" t="str">
        <f>VLOOKUP(A381, 'Session Data'!A:AA,12,false)</f>
        <v>Community-Based Human Papillomavirus Vaccine Education</v>
      </c>
      <c r="Y381" s="34" t="str">
        <f>VLOOKUP(A381, 'Session Data'!A:AA,22,false)</f>
        <v>Young-Shin </v>
      </c>
      <c r="Z381" s="34" t="str">
        <f>VLOOKUP(A381, 'Session Data'!A:AA,23,false)</f>
        <v>Lee</v>
      </c>
      <c r="AA381" s="34" t="str">
        <f>VLOOKUP(A381, 'Session Data'!A:AA,25,false)</f>
        <v>Health and Human Services</v>
      </c>
      <c r="AB381" s="34"/>
      <c r="AC381" s="34" t="str">
        <f>VLOOKUP(A381, 'Session Data'!A:AA,16,false)</f>
        <v/>
      </c>
      <c r="AD381" s="35" t="str">
        <f>VLOOKUP(A381, 'Session Data'!A:U,17,false)</f>
        <v/>
      </c>
      <c r="AE381" s="35" t="str">
        <f>VLOOKUP(A381, 'Session Data'!A:U,18,false)</f>
        <v/>
      </c>
      <c r="AF381" s="35" t="str">
        <f>VLOOKUP(A381, 'Session Data'!A:U,19,false)</f>
        <v/>
      </c>
      <c r="AG381" s="35" t="str">
        <f>VLOOKUP(A381, 'Session Data'!A:U,20,false)</f>
        <v/>
      </c>
      <c r="AH381" s="35" t="str">
        <f>VLOOKUP(A381, 'Session Data'!A:U,21,false)</f>
        <v/>
      </c>
      <c r="AI381" s="34"/>
      <c r="AJ381" s="75"/>
      <c r="AK381" s="75"/>
      <c r="AL381" s="75"/>
      <c r="AM381" s="34" t="str">
        <f>VLOOKUP(A381, 'Session Data'!A:AA,10,false)</f>
        <v>kmorton9127@sdsu.edu</v>
      </c>
      <c r="AN381" s="46"/>
      <c r="AO381" s="43"/>
      <c r="AP381" s="43"/>
      <c r="AQ381" s="43"/>
      <c r="AR381" s="43"/>
      <c r="AS381" s="43"/>
      <c r="AT381" s="43"/>
      <c r="AU381" s="43"/>
      <c r="AV381" s="43"/>
      <c r="AW381" s="43"/>
      <c r="AX381" s="43"/>
      <c r="AY381" s="43"/>
      <c r="AZ381" s="43"/>
      <c r="BA381" s="43"/>
      <c r="BB381" s="48"/>
      <c r="BC381" s="43"/>
      <c r="BD381" s="43"/>
      <c r="BE381" s="44"/>
      <c r="BF381" s="48"/>
      <c r="BG381" s="43"/>
    </row>
    <row r="382">
      <c r="A382" s="19" t="s">
        <v>453</v>
      </c>
      <c r="B382" s="20">
        <f>VLOOKUP(F382,'Session Count DO NOT EDIT'!$A:$C,3,FALSE)</f>
        <v>5</v>
      </c>
      <c r="C382" s="20">
        <f>COUNTIFS('Scores Import DO NOT EDIT'!D:D,A382)</f>
        <v>4</v>
      </c>
      <c r="D382" s="21">
        <f t="shared" si="1"/>
        <v>0.8</v>
      </c>
      <c r="E382" s="22">
        <f>AVERAGEIFS('Scores Import DO NOT EDIT'!L:L,'Scores Import DO NOT EDIT'!D:D,A382)</f>
        <v>28.75</v>
      </c>
      <c r="F382" s="23" t="str">
        <f>VLOOKUP(A382, 'Session Data'!A:M,3,false)</f>
        <v>H-11</v>
      </c>
      <c r="G382" s="24" t="str">
        <f>VLOOKUP(A382, 'Session Data'!A:I,2,false)</f>
        <v>1:00 PM</v>
      </c>
      <c r="H382" s="23" t="str">
        <f>VLOOKUP(A382, 'Session Data'!A:J,5,false)</f>
        <v>Health Nutrition and Clinical Sciences</v>
      </c>
      <c r="I382" s="25" t="str">
        <f>VLOOKUP(A382, 'Session Data'!A:H,4,false)</f>
        <v>Poster</v>
      </c>
      <c r="J382" s="26" t="str">
        <f>VLOOKUP(A382, 'Session Data'!A:AA,14,false)</f>
        <v>Doctoral</v>
      </c>
      <c r="K382" s="27" t="str">
        <f>VLOOKUP(A382, 'Session Data'!A:AA,15,false)</f>
        <v>Health and Human Services</v>
      </c>
      <c r="L382" s="47"/>
      <c r="M382" s="29" t="str">
        <f>VLOOKUP(A382, 'Session Data'!A:K,11,false)</f>
        <v>Joint Doctoral Program-Global Health</v>
      </c>
      <c r="N382" s="26" t="str">
        <f>IF(ISNA(VLOOKUP(A382, 'Award Abstract#'!C:C, 1, FALSE)), "No", "Yes")
</f>
        <v>No</v>
      </c>
      <c r="O382" s="29" t="str">
        <f>IF(ISNA(VLOOKUP(A382,'Award Abstract#'!B:B,1,FALSE)), "No", "Yes")</f>
        <v>No</v>
      </c>
      <c r="P382" s="29" t="str">
        <f>IF(ISNA(VLOOKUP(A382,'Award Abstract#'!E:E,1,FALSE)), "No", "Yes")</f>
        <v>No</v>
      </c>
      <c r="Q382" s="29" t="str">
        <f>IF(ISNA(VLOOKUP(A382,'Award Abstract#'!A:A,1,FALSE)), "No", "Yes")</f>
        <v>No</v>
      </c>
      <c r="R382" s="29" t="str">
        <f>IF(ISNA(VLOOKUP(A382,'Award Abstract#'!D:D,1,FALSE)), "No", "Yes")</f>
        <v>Yes</v>
      </c>
      <c r="S382" s="30" t="str">
        <f>VLOOKUP(A382, 'Session Data'!A:AA,27,false)</f>
        <v>Woman</v>
      </c>
      <c r="T382" s="84"/>
      <c r="U382" s="30"/>
      <c r="V382" s="31" t="str">
        <f>VLOOKUP(A382, 'Session Data'!A:AA,8,false)</f>
        <v>Elsa</v>
      </c>
      <c r="W382" s="32" t="str">
        <f>VLOOKUP(A382, 'Session Data'!A:AA,9,false)</f>
        <v>Ghebrendrias</v>
      </c>
      <c r="X382" s="33" t="str">
        <f>VLOOKUP(A382, 'Session Data'!A:AA,12,false)</f>
        <v>HIV-Related Stigma and Distance to Care in Uganda</v>
      </c>
      <c r="Y382" s="34" t="str">
        <f>VLOOKUP(A382, 'Session Data'!A:AA,22,false)</f>
        <v>Susan</v>
      </c>
      <c r="Z382" s="34" t="str">
        <f>VLOOKUP(A382, 'Session Data'!A:AA,23,false)</f>
        <v>Kiene</v>
      </c>
      <c r="AA382" s="34" t="str">
        <f>VLOOKUP(A382, 'Session Data'!A:AA,25,false)</f>
        <v>Health and Human Services</v>
      </c>
      <c r="AB382" s="34" t="str">
        <f>VLOOKUP(A382, 'Session Data'!A:AA,24,false)</f>
        <v>skiene@sdsu.edu</v>
      </c>
      <c r="AC382" s="34" t="str">
        <f>VLOOKUP(A382, 'Session Data'!A:AA,16,false)</f>
        <v/>
      </c>
      <c r="AD382" s="35" t="str">
        <f>VLOOKUP(A382, 'Session Data'!A:U,17,false)</f>
        <v/>
      </c>
      <c r="AE382" s="35" t="str">
        <f>VLOOKUP(A382, 'Session Data'!A:U,18,false)</f>
        <v/>
      </c>
      <c r="AF382" s="35" t="str">
        <f>VLOOKUP(A382, 'Session Data'!A:U,19,false)</f>
        <v/>
      </c>
      <c r="AG382" s="35" t="str">
        <f>VLOOKUP(A382, 'Session Data'!A:U,20,false)</f>
        <v/>
      </c>
      <c r="AH382" s="35" t="str">
        <f>VLOOKUP(A382, 'Session Data'!A:U,21,false)</f>
        <v/>
      </c>
      <c r="AI382" s="37"/>
      <c r="AJ382" s="37"/>
      <c r="AK382" s="37"/>
      <c r="AL382" s="50"/>
      <c r="AM382" s="34" t="str">
        <f>VLOOKUP(A382, 'Session Data'!A:AA,10,false)</f>
        <v>eghebrendrias8885@sdsu.edu</v>
      </c>
      <c r="AN382" s="40"/>
      <c r="AO382" s="43"/>
      <c r="AP382" s="43"/>
      <c r="AQ382" s="48"/>
      <c r="AR382" s="48"/>
      <c r="AS382" s="48"/>
      <c r="AT382" s="48"/>
      <c r="AU382" s="48"/>
      <c r="AV382" s="48"/>
      <c r="AW382" s="48"/>
      <c r="AX382" s="48"/>
      <c r="AY382" s="43"/>
      <c r="AZ382" s="43"/>
      <c r="BA382" s="43"/>
      <c r="BB382" s="43"/>
      <c r="BC382" s="43"/>
      <c r="BD382" s="43"/>
      <c r="BE382" s="44"/>
      <c r="BF382" s="45"/>
      <c r="BG382" s="43"/>
    </row>
    <row r="383">
      <c r="A383" s="19" t="s">
        <v>454</v>
      </c>
      <c r="B383" s="20">
        <f>VLOOKUP(F383,'Session Count DO NOT EDIT'!$A:$C,3,FALSE)</f>
        <v>5</v>
      </c>
      <c r="C383" s="20">
        <f>COUNTIFS('Scores Import DO NOT EDIT'!D:D,A383)</f>
        <v>3</v>
      </c>
      <c r="D383" s="21">
        <f t="shared" si="1"/>
        <v>0.6</v>
      </c>
      <c r="E383" s="22">
        <f>AVERAGEIFS('Scores Import DO NOT EDIT'!L:L,'Scores Import DO NOT EDIT'!D:D,A383)</f>
        <v>28.33333333</v>
      </c>
      <c r="F383" s="23" t="str">
        <f>VLOOKUP(A383, 'Session Data'!A:M,3,false)</f>
        <v>H-11</v>
      </c>
      <c r="G383" s="24" t="str">
        <f>VLOOKUP(A383, 'Session Data'!A:I,2,false)</f>
        <v>1:00 PM</v>
      </c>
      <c r="H383" s="23" t="str">
        <f>VLOOKUP(A383, 'Session Data'!A:J,5,false)</f>
        <v>Health Nutrition and Clinical Sciences</v>
      </c>
      <c r="I383" s="25" t="str">
        <f>VLOOKUP(A383, 'Session Data'!A:H,4,false)</f>
        <v>Poster</v>
      </c>
      <c r="J383" s="26" t="str">
        <f>VLOOKUP(A383, 'Session Data'!A:AA,14,false)</f>
        <v>Master's</v>
      </c>
      <c r="K383" s="27" t="str">
        <f>VLOOKUP(A383, 'Session Data'!A:AA,15,false)</f>
        <v>Health and Human Services</v>
      </c>
      <c r="L383" s="49"/>
      <c r="M383" s="29" t="str">
        <f>VLOOKUP(A383, 'Session Data'!A:K,11,false)</f>
        <v>Master of Public Health</v>
      </c>
      <c r="N383" s="26" t="str">
        <f>IF(ISNA(VLOOKUP(A383, 'Award Abstract#'!C:C, 1, FALSE)), "No", "Yes")
</f>
        <v>No</v>
      </c>
      <c r="O383" s="29" t="str">
        <f>IF(ISNA(VLOOKUP(A383,'Award Abstract#'!B:B,1,FALSE)), "No", "Yes")</f>
        <v>No</v>
      </c>
      <c r="P383" s="29" t="str">
        <f>IF(ISNA(VLOOKUP(A383,'Award Abstract#'!E:E,1,FALSE)), "No", "Yes")</f>
        <v>No</v>
      </c>
      <c r="Q383" s="29" t="str">
        <f>IF(ISNA(VLOOKUP(A383,'Award Abstract#'!A:A,1,FALSE)), "No", "Yes")</f>
        <v>No</v>
      </c>
      <c r="R383" s="29" t="str">
        <f>IF(ISNA(VLOOKUP(A383,'Award Abstract#'!D:D,1,FALSE)), "No", "Yes")</f>
        <v>Yes</v>
      </c>
      <c r="S383" s="30" t="str">
        <f>VLOOKUP(A383, 'Session Data'!A:AA,27,false)</f>
        <v>Woman</v>
      </c>
      <c r="T383" s="84"/>
      <c r="U383" s="84"/>
      <c r="V383" s="31" t="str">
        <f>VLOOKUP(A383, 'Session Data'!A:AA,8,false)</f>
        <v>Melanie</v>
      </c>
      <c r="W383" s="32" t="str">
        <f>VLOOKUP(A383, 'Session Data'!A:AA,9,false)</f>
        <v>Reilly</v>
      </c>
      <c r="X383" s="33" t="str">
        <f>VLOOKUP(A383, 'Session Data'!A:AA,12,false)</f>
        <v>The Effect of Hands-on Cooking Classes on SDSU Student's Ability to Navigate Barriers to Cooking Healthy</v>
      </c>
      <c r="Y383" s="34" t="str">
        <f>VLOOKUP(A383, 'Session Data'!A:AA,22,false)</f>
        <v>Sabrina</v>
      </c>
      <c r="Z383" s="34" t="str">
        <f>VLOOKUP(A383, 'Session Data'!A:AA,23,false)</f>
        <v>Smiley</v>
      </c>
      <c r="AA383" s="34" t="str">
        <f>VLOOKUP(A383, 'Session Data'!A:AA,25,false)</f>
        <v>Health and Human Services</v>
      </c>
      <c r="AB383" s="34" t="str">
        <f>VLOOKUP(A383, 'Session Data'!A:AA,24,false)</f>
        <v>ssmiley@sdsu.edu</v>
      </c>
      <c r="AC383" s="34" t="str">
        <f>VLOOKUP(A383, 'Session Data'!A:AA,16,false)</f>
        <v/>
      </c>
      <c r="AD383" s="35" t="str">
        <f>VLOOKUP(A383, 'Session Data'!A:U,17,false)</f>
        <v/>
      </c>
      <c r="AE383" s="35" t="str">
        <f>VLOOKUP(A383, 'Session Data'!A:U,18,false)</f>
        <v/>
      </c>
      <c r="AF383" s="35" t="str">
        <f>VLOOKUP(A383, 'Session Data'!A:U,19,false)</f>
        <v/>
      </c>
      <c r="AG383" s="35" t="str">
        <f>VLOOKUP(A383, 'Session Data'!A:U,20,false)</f>
        <v/>
      </c>
      <c r="AH383" s="35" t="str">
        <f>VLOOKUP(A383, 'Session Data'!A:U,21,false)</f>
        <v/>
      </c>
      <c r="AI383" s="34"/>
      <c r="AJ383" s="75"/>
      <c r="AK383" s="75"/>
      <c r="AL383" s="75"/>
      <c r="AM383" s="34" t="str">
        <f>VLOOKUP(A383, 'Session Data'!A:AA,10,false)</f>
        <v>mreilly8279@sdsu.edu</v>
      </c>
      <c r="AN383" s="46"/>
      <c r="AO383" s="48"/>
      <c r="AP383" s="48"/>
      <c r="AQ383" s="48"/>
      <c r="AR383" s="48"/>
      <c r="AS383" s="48"/>
      <c r="AT383" s="48"/>
      <c r="AU383" s="48"/>
      <c r="AV383" s="48"/>
      <c r="AW383" s="48"/>
      <c r="AX383" s="48"/>
      <c r="AY383" s="43"/>
      <c r="AZ383" s="48"/>
      <c r="BA383" s="48"/>
      <c r="BB383" s="48"/>
      <c r="BC383" s="43"/>
      <c r="BD383" s="43"/>
      <c r="BE383" s="44"/>
      <c r="BF383" s="48"/>
      <c r="BG383" s="46"/>
    </row>
    <row r="384">
      <c r="A384" s="19" t="s">
        <v>455</v>
      </c>
      <c r="B384" s="20">
        <f>VLOOKUP(F384,'Session Count DO NOT EDIT'!$A:$C,3,FALSE)</f>
        <v>5</v>
      </c>
      <c r="C384" s="20">
        <f>COUNTIFS('Scores Import DO NOT EDIT'!D:D,A384)</f>
        <v>4</v>
      </c>
      <c r="D384" s="21">
        <f t="shared" si="1"/>
        <v>0.8</v>
      </c>
      <c r="E384" s="22">
        <f>AVERAGEIFS('Scores Import DO NOT EDIT'!L:L,'Scores Import DO NOT EDIT'!D:D,A384)</f>
        <v>27.25</v>
      </c>
      <c r="F384" s="23" t="str">
        <f>VLOOKUP(A384, 'Session Data'!A:M,3,false)</f>
        <v>H-11</v>
      </c>
      <c r="G384" s="24" t="str">
        <f>VLOOKUP(A384, 'Session Data'!A:I,2,false)</f>
        <v>1:00 PM</v>
      </c>
      <c r="H384" s="23" t="str">
        <f>VLOOKUP(A384, 'Session Data'!A:J,5,false)</f>
        <v>Health Nutrition and Clinical Sciences</v>
      </c>
      <c r="I384" s="25" t="str">
        <f>VLOOKUP(A384, 'Session Data'!A:H,4,false)</f>
        <v>Poster</v>
      </c>
      <c r="J384" s="26" t="str">
        <f>VLOOKUP(A384, 'Session Data'!A:AA,14,false)</f>
        <v>Master's</v>
      </c>
      <c r="K384" s="27" t="str">
        <f>VLOOKUP(A384, 'Session Data'!A:AA,15,false)</f>
        <v>Health and Human Services</v>
      </c>
      <c r="L384" s="47"/>
      <c r="M384" s="29" t="str">
        <f>VLOOKUP(A384, 'Session Data'!A:K,11,false)</f>
        <v>Masters of Science in Athletic Training</v>
      </c>
      <c r="N384" s="26" t="str">
        <f>IF(ISNA(VLOOKUP(A384, 'Award Abstract#'!C:C, 1, FALSE)), "No", "Yes")
</f>
        <v>No</v>
      </c>
      <c r="O384" s="29" t="str">
        <f>IF(ISNA(VLOOKUP(A384,'Award Abstract#'!B:B,1,FALSE)), "No", "Yes")</f>
        <v>No</v>
      </c>
      <c r="P384" s="29" t="str">
        <f>IF(ISNA(VLOOKUP(A384,'Award Abstract#'!E:E,1,FALSE)), "No", "Yes")</f>
        <v>No</v>
      </c>
      <c r="Q384" s="29" t="str">
        <f>IF(ISNA(VLOOKUP(A384,'Award Abstract#'!A:A,1,FALSE)), "No", "Yes")</f>
        <v>No</v>
      </c>
      <c r="R384" s="29" t="str">
        <f>IF(ISNA(VLOOKUP(A384,'Award Abstract#'!D:D,1,FALSE)), "No", "Yes")</f>
        <v>Yes</v>
      </c>
      <c r="S384" s="30" t="str">
        <f>VLOOKUP(A384, 'Session Data'!A:AA,27,false)</f>
        <v>Woman</v>
      </c>
      <c r="T384" s="90"/>
      <c r="U384" s="90"/>
      <c r="V384" s="31" t="str">
        <f>VLOOKUP(A384, 'Session Data'!A:AA,8,false)</f>
        <v>Annaliese</v>
      </c>
      <c r="W384" s="32" t="str">
        <f>VLOOKUP(A384, 'Session Data'!A:AA,9,false)</f>
        <v>Andersen</v>
      </c>
      <c r="X384" s="33" t="str">
        <f>VLOOKUP(A384, 'Session Data'!A:AA,12,false)</f>
        <v>Does the Self-Reported Healthcare Access and Health Literacy Predict Concussion Care Seeking?</v>
      </c>
      <c r="Y384" s="34" t="str">
        <f>VLOOKUP(A384, 'Session Data'!A:AA,22,false)</f>
        <v>Michelle </v>
      </c>
      <c r="Z384" s="34" t="str">
        <f>VLOOKUP(A384, 'Session Data'!A:AA,23,false)</f>
        <v>Weber Rawlins</v>
      </c>
      <c r="AA384" s="34" t="str">
        <f>VLOOKUP(A384, 'Session Data'!A:AA,25,false)</f>
        <v>Health and Human Services</v>
      </c>
      <c r="AB384" s="34" t="str">
        <f>VLOOKUP(A384, 'Session Data'!A:AA,24,false)</f>
        <v>mrawlins@sdsu.edu</v>
      </c>
      <c r="AC384" s="34" t="str">
        <f>VLOOKUP(A384, 'Session Data'!A:AA,16,false)</f>
        <v/>
      </c>
      <c r="AD384" s="35" t="str">
        <f>VLOOKUP(A384, 'Session Data'!A:U,17,false)</f>
        <v/>
      </c>
      <c r="AE384" s="35" t="str">
        <f>VLOOKUP(A384, 'Session Data'!A:U,18,false)</f>
        <v/>
      </c>
      <c r="AF384" s="35" t="str">
        <f>VLOOKUP(A384, 'Session Data'!A:U,19,false)</f>
        <v/>
      </c>
      <c r="AG384" s="35" t="str">
        <f>VLOOKUP(A384, 'Session Data'!A:U,20,false)</f>
        <v/>
      </c>
      <c r="AH384" s="35" t="str">
        <f>VLOOKUP(A384, 'Session Data'!A:U,21,false)</f>
        <v/>
      </c>
      <c r="AI384" s="34"/>
      <c r="AJ384" s="75"/>
      <c r="AK384" s="75"/>
      <c r="AL384" s="75"/>
      <c r="AM384" s="34" t="str">
        <f>VLOOKUP(A384, 'Session Data'!A:AA,10,false)</f>
        <v>aandersen7120@sdsu.edu</v>
      </c>
      <c r="AN384" s="46"/>
      <c r="AO384" s="48"/>
      <c r="AP384" s="48"/>
      <c r="AQ384" s="48"/>
      <c r="AR384" s="48"/>
      <c r="AS384" s="48"/>
      <c r="AT384" s="48"/>
      <c r="AU384" s="48"/>
      <c r="AV384" s="48"/>
      <c r="AW384" s="48"/>
      <c r="AX384" s="48"/>
      <c r="AY384" s="43"/>
      <c r="AZ384" s="48"/>
      <c r="BA384" s="48"/>
      <c r="BB384" s="48"/>
      <c r="BC384" s="43"/>
      <c r="BD384" s="43"/>
      <c r="BE384" s="91"/>
      <c r="BF384" s="48"/>
      <c r="BG384" s="43"/>
    </row>
    <row r="385">
      <c r="A385" s="19" t="s">
        <v>456</v>
      </c>
      <c r="B385" s="20">
        <f>VLOOKUP(F385,'Session Count DO NOT EDIT'!$A:$C,3,FALSE)</f>
        <v>5</v>
      </c>
      <c r="C385" s="20">
        <f>COUNTIFS('Scores Import DO NOT EDIT'!D:D,A385)</f>
        <v>4</v>
      </c>
      <c r="D385" s="21">
        <f t="shared" si="1"/>
        <v>0.8</v>
      </c>
      <c r="E385" s="22">
        <f>AVERAGEIFS('Scores Import DO NOT EDIT'!L:L,'Scores Import DO NOT EDIT'!D:D,A385)</f>
        <v>27.25</v>
      </c>
      <c r="F385" s="23" t="str">
        <f>VLOOKUP(A385, 'Session Data'!A:M,3,false)</f>
        <v>H-11</v>
      </c>
      <c r="G385" s="24" t="str">
        <f>VLOOKUP(A385, 'Session Data'!A:I,2,false)</f>
        <v>1:00 PM</v>
      </c>
      <c r="H385" s="23" t="str">
        <f>VLOOKUP(A385, 'Session Data'!A:J,5,false)</f>
        <v>Health Nutrition and Clinical Sciences</v>
      </c>
      <c r="I385" s="25" t="str">
        <f>VLOOKUP(A385, 'Session Data'!A:H,4,false)</f>
        <v>Poster</v>
      </c>
      <c r="J385" s="26" t="str">
        <f>VLOOKUP(A385, 'Session Data'!A:AA,14,false)</f>
        <v>Master's</v>
      </c>
      <c r="K385" s="27" t="str">
        <f>VLOOKUP(A385, 'Session Data'!A:AA,15,false)</f>
        <v>Health and Human Services</v>
      </c>
      <c r="L385" s="47"/>
      <c r="M385" s="29" t="str">
        <f>VLOOKUP(A385, 'Session Data'!A:K,11,false)</f>
        <v>Masters of Science in Nursing</v>
      </c>
      <c r="N385" s="26" t="str">
        <f>IF(ISNA(VLOOKUP(A385, 'Award Abstract#'!C:C, 1, FALSE)), "No", "Yes")
</f>
        <v>No</v>
      </c>
      <c r="O385" s="29" t="str">
        <f>IF(ISNA(VLOOKUP(A385,'Award Abstract#'!B:B,1,FALSE)), "No", "Yes")</f>
        <v>No</v>
      </c>
      <c r="P385" s="29" t="str">
        <f>IF(ISNA(VLOOKUP(A385,'Award Abstract#'!E:E,1,FALSE)), "No", "Yes")</f>
        <v>No</v>
      </c>
      <c r="Q385" s="29" t="str">
        <f>IF(ISNA(VLOOKUP(A385,'Award Abstract#'!A:A,1,FALSE)), "No", "Yes")</f>
        <v>No</v>
      </c>
      <c r="R385" s="29" t="str">
        <f>IF(ISNA(VLOOKUP(A385,'Award Abstract#'!D:D,1,FALSE)), "No", "Yes")</f>
        <v>No</v>
      </c>
      <c r="S385" s="30" t="str">
        <f>VLOOKUP(A385, 'Session Data'!A:AA,27,false)</f>
        <v>Man</v>
      </c>
      <c r="T385" s="84"/>
      <c r="U385" s="84"/>
      <c r="V385" s="31" t="str">
        <f>VLOOKUP(A385, 'Session Data'!A:AA,8,false)</f>
        <v>Amu</v>
      </c>
      <c r="W385" s="32" t="str">
        <f>VLOOKUP(A385, 'Session Data'!A:AA,9,false)</f>
        <v>Darya</v>
      </c>
      <c r="X385" s="33" t="str">
        <f>VLOOKUP(A385, 'Session Data'!A:AA,12,false)</f>
        <v>A Critical Analysis of Metformin &amp; Physical Activity in Prediabetes</v>
      </c>
      <c r="Y385" s="34" t="str">
        <f>VLOOKUP(A385, 'Session Data'!A:AA,22,false)</f>
        <v>Young-Shin</v>
      </c>
      <c r="Z385" s="34" t="str">
        <f>VLOOKUP(A385, 'Session Data'!A:AA,23,false)</f>
        <v>Lee</v>
      </c>
      <c r="AA385" s="34" t="str">
        <f>VLOOKUP(A385, 'Session Data'!A:AA,25,false)</f>
        <v>Health and Human Services</v>
      </c>
      <c r="AB385" s="34" t="str">
        <f>VLOOKUP(A385, 'Session Data'!A:AA,24,false)</f>
        <v>ylee@sdsu.edu</v>
      </c>
      <c r="AC385" s="34" t="str">
        <f>VLOOKUP(A385, 'Session Data'!A:AA,16,false)</f>
        <v>Matilde</v>
      </c>
      <c r="AD385" s="35" t="str">
        <f>VLOOKUP(A385, 'Session Data'!A:U,17,false)</f>
        <v>Carrasco-Thomas</v>
      </c>
      <c r="AE385" s="35" t="str">
        <f>VLOOKUP(A385, 'Session Data'!A:U,18,false)</f>
        <v>Ara</v>
      </c>
      <c r="AF385" s="35" t="str">
        <f>VLOOKUP(A385, 'Session Data'!A:U,19,false)</f>
        <v>Jin</v>
      </c>
      <c r="AG385" s="35" t="str">
        <f>VLOOKUP(A385, 'Session Data'!A:U,20,false)</f>
        <v>Stacie</v>
      </c>
      <c r="AH385" s="35" t="str">
        <f>VLOOKUP(A385, 'Session Data'!A:U,21,false)</f>
        <v>Balelo Martin</v>
      </c>
      <c r="AI385" s="34"/>
      <c r="AJ385" s="75"/>
      <c r="AK385" s="75"/>
      <c r="AL385" s="75"/>
      <c r="AM385" s="34" t="str">
        <f>VLOOKUP(A385, 'Session Data'!A:AA,10,false)</f>
        <v>adarya8677@sdsu.edu</v>
      </c>
      <c r="AN385" s="46"/>
      <c r="AO385" s="48"/>
      <c r="AP385" s="48"/>
      <c r="AQ385" s="48"/>
      <c r="AR385" s="48"/>
      <c r="AS385" s="48"/>
      <c r="AT385" s="48"/>
      <c r="AU385" s="48"/>
      <c r="AV385" s="48"/>
      <c r="AW385" s="48"/>
      <c r="AX385" s="48"/>
      <c r="AY385" s="43"/>
      <c r="AZ385" s="48"/>
      <c r="BA385" s="48"/>
      <c r="BB385" s="48"/>
      <c r="BC385" s="43"/>
      <c r="BD385" s="43"/>
      <c r="BE385" s="44"/>
      <c r="BF385" s="48"/>
      <c r="BG385" s="46"/>
    </row>
    <row r="386">
      <c r="A386" s="19" t="s">
        <v>457</v>
      </c>
      <c r="B386" s="20">
        <f>VLOOKUP(F386,'Session Count DO NOT EDIT'!$A:$C,3,FALSE)</f>
        <v>5</v>
      </c>
      <c r="C386" s="20">
        <f>COUNTIFS('Scores Import DO NOT EDIT'!D:D,A386)</f>
        <v>4</v>
      </c>
      <c r="D386" s="21">
        <f t="shared" si="1"/>
        <v>0.8</v>
      </c>
      <c r="E386" s="22">
        <f>AVERAGEIFS('Scores Import DO NOT EDIT'!L:L,'Scores Import DO NOT EDIT'!D:D,A386)</f>
        <v>22.5</v>
      </c>
      <c r="F386" s="23" t="str">
        <f>VLOOKUP(A386, 'Session Data'!A:M,3,false)</f>
        <v>H-11</v>
      </c>
      <c r="G386" s="24" t="str">
        <f>VLOOKUP(A386, 'Session Data'!A:I,2,false)</f>
        <v>1:00 PM</v>
      </c>
      <c r="H386" s="23" t="str">
        <f>VLOOKUP(A386, 'Session Data'!A:J,5,false)</f>
        <v>Health Nutrition and Clinical Sciences</v>
      </c>
      <c r="I386" s="25" t="str">
        <f>VLOOKUP(A386, 'Session Data'!A:H,4,false)</f>
        <v>Poster</v>
      </c>
      <c r="J386" s="26" t="str">
        <f>VLOOKUP(A386, 'Session Data'!A:AA,14,false)</f>
        <v>Master's</v>
      </c>
      <c r="K386" s="27" t="str">
        <f>VLOOKUP(A386, 'Session Data'!A:AA,15,false)</f>
        <v>Arts and Letters</v>
      </c>
      <c r="L386" s="47"/>
      <c r="M386" s="29" t="str">
        <f>VLOOKUP(A386, 'Session Data'!A:K,11,false)</f>
        <v>Master's of Public Health</v>
      </c>
      <c r="N386" s="26" t="str">
        <f>IF(ISNA(VLOOKUP(A386, 'Award Abstract#'!C:C, 1, FALSE)), "No", "Yes")
</f>
        <v>No</v>
      </c>
      <c r="O386" s="29" t="str">
        <f>IF(ISNA(VLOOKUP(A386,'Award Abstract#'!B:B,1,FALSE)), "No", "Yes")</f>
        <v>No</v>
      </c>
      <c r="P386" s="29" t="str">
        <f>IF(ISNA(VLOOKUP(A386,'Award Abstract#'!E:E,1,FALSE)), "No", "Yes")</f>
        <v>No</v>
      </c>
      <c r="Q386" s="29" t="str">
        <f>IF(ISNA(VLOOKUP(A386,'Award Abstract#'!A:A,1,FALSE)), "No", "Yes")</f>
        <v>No</v>
      </c>
      <c r="R386" s="29" t="str">
        <f>IF(ISNA(VLOOKUP(A386,'Award Abstract#'!D:D,1,FALSE)), "No", "Yes")</f>
        <v>Yes</v>
      </c>
      <c r="S386" s="30" t="str">
        <f>VLOOKUP(A386, 'Session Data'!A:AA,27,false)</f>
        <v>Woman</v>
      </c>
      <c r="T386" s="84"/>
      <c r="U386" s="84"/>
      <c r="V386" s="31" t="str">
        <f>VLOOKUP(A386, 'Session Data'!A:AA,8,false)</f>
        <v>Kenya</v>
      </c>
      <c r="W386" s="32" t="str">
        <f>VLOOKUP(A386, 'Session Data'!A:AA,9,false)</f>
        <v>Benitez</v>
      </c>
      <c r="X386" s="33" t="str">
        <f>VLOOKUP(A386, 'Session Data'!A:AA,12,false)</f>
        <v>Training Elders Against Hypertension (TEAH) Initiative</v>
      </c>
      <c r="Y386" s="34" t="str">
        <f>VLOOKUP(A386, 'Session Data'!A:AA,22,false)</f>
        <v>Matthews</v>
      </c>
      <c r="Z386" s="34" t="str">
        <f>VLOOKUP(A386, 'Session Data'!A:AA,23,false)</f>
        <v>Charles</v>
      </c>
      <c r="AA386" s="34" t="str">
        <f>VLOOKUP(A386, 'Session Data'!A:AA,25,false)</f>
        <v>Health and Human Services</v>
      </c>
      <c r="AB386" s="34" t="str">
        <f>VLOOKUP(A386, 'Session Data'!A:AA,24,false)</f>
        <v>cmatthewsiii@sdsu.edu</v>
      </c>
      <c r="AC386" s="34" t="str">
        <f>VLOOKUP(A386, 'Session Data'!A:AA,16,false)</f>
        <v/>
      </c>
      <c r="AD386" s="35" t="str">
        <f>VLOOKUP(A386, 'Session Data'!A:U,17,false)</f>
        <v/>
      </c>
      <c r="AE386" s="35" t="str">
        <f>VLOOKUP(A386, 'Session Data'!A:U,18,false)</f>
        <v/>
      </c>
      <c r="AF386" s="35" t="str">
        <f>VLOOKUP(A386, 'Session Data'!A:U,19,false)</f>
        <v/>
      </c>
      <c r="AG386" s="35" t="str">
        <f>VLOOKUP(A386, 'Session Data'!A:U,20,false)</f>
        <v/>
      </c>
      <c r="AH386" s="35" t="str">
        <f>VLOOKUP(A386, 'Session Data'!A:U,21,false)</f>
        <v/>
      </c>
      <c r="AI386" s="34"/>
      <c r="AJ386" s="75"/>
      <c r="AK386" s="75"/>
      <c r="AL386" s="75"/>
      <c r="AM386" s="34" t="str">
        <f>VLOOKUP(A386, 'Session Data'!A:AA,10,false)</f>
        <v>kbenitez8541@sdsu.edu</v>
      </c>
      <c r="AN386" s="46"/>
      <c r="AO386" s="48"/>
      <c r="AP386" s="48"/>
      <c r="AQ386" s="48"/>
      <c r="AR386" s="48"/>
      <c r="AS386" s="48"/>
      <c r="AT386" s="48"/>
      <c r="AU386" s="48"/>
      <c r="AV386" s="48"/>
      <c r="AW386" s="48"/>
      <c r="AX386" s="48"/>
      <c r="AY386" s="43"/>
      <c r="AZ386" s="48"/>
      <c r="BA386" s="48"/>
      <c r="BB386" s="48"/>
      <c r="BC386" s="43"/>
      <c r="BD386" s="43"/>
      <c r="BE386" s="44"/>
      <c r="BF386" s="48"/>
      <c r="BG386" s="43"/>
    </row>
    <row r="387">
      <c r="A387" s="19" t="s">
        <v>458</v>
      </c>
      <c r="B387" s="20">
        <f>VLOOKUP(F387,'Session Count DO NOT EDIT'!$A:$C,3,FALSE)</f>
        <v>5</v>
      </c>
      <c r="C387" s="20">
        <f>COUNTIFS('Scores Import DO NOT EDIT'!D:D,A387)</f>
        <v>3</v>
      </c>
      <c r="D387" s="21">
        <f t="shared" si="1"/>
        <v>0.6</v>
      </c>
      <c r="E387" s="22">
        <f>AVERAGEIFS('Scores Import DO NOT EDIT'!L:L,'Scores Import DO NOT EDIT'!D:D,A387)</f>
        <v>21.33333333</v>
      </c>
      <c r="F387" s="23" t="str">
        <f>VLOOKUP(A387, 'Session Data'!A:M,3,false)</f>
        <v>H-11</v>
      </c>
      <c r="G387" s="24" t="str">
        <f>VLOOKUP(A387, 'Session Data'!A:I,2,false)</f>
        <v>1:00 PM</v>
      </c>
      <c r="H387" s="23" t="str">
        <f>VLOOKUP(A387, 'Session Data'!A:J,5,false)</f>
        <v>Health Nutrition and Clinical Sciences</v>
      </c>
      <c r="I387" s="25" t="str">
        <f>VLOOKUP(A387, 'Session Data'!A:H,4,false)</f>
        <v>Poster</v>
      </c>
      <c r="J387" s="26" t="str">
        <f>VLOOKUP(A387, 'Session Data'!A:AA,14,false)</f>
        <v>Master's</v>
      </c>
      <c r="K387" s="27" t="str">
        <f>VLOOKUP(A387, 'Session Data'!A:AA,15,false)</f>
        <v>Sciences</v>
      </c>
      <c r="L387" s="79"/>
      <c r="M387" s="29" t="str">
        <f>VLOOKUP(A387, 'Session Data'!A:K,11,false)</f>
        <v>Master in Nutritional Sciences </v>
      </c>
      <c r="N387" s="26" t="str">
        <f>IF(ISNA(VLOOKUP(A387, 'Award Abstract#'!C:C, 1, FALSE)), "No", "Yes")
</f>
        <v>No</v>
      </c>
      <c r="O387" s="29" t="str">
        <f>IF(ISNA(VLOOKUP(A387,'Award Abstract#'!B:B,1,FALSE)), "No", "Yes")</f>
        <v>No</v>
      </c>
      <c r="P387" s="29" t="str">
        <f>IF(ISNA(VLOOKUP(A387,'Award Abstract#'!E:E,1,FALSE)), "No", "Yes")</f>
        <v>Yes</v>
      </c>
      <c r="Q387" s="29" t="str">
        <f>IF(ISNA(VLOOKUP(A387,'Award Abstract#'!A:A,1,FALSE)), "No", "Yes")</f>
        <v>No</v>
      </c>
      <c r="R387" s="29" t="str">
        <f>IF(ISNA(VLOOKUP(A387,'Award Abstract#'!D:D,1,FALSE)), "No", "Yes")</f>
        <v>No</v>
      </c>
      <c r="S387" s="30" t="str">
        <f>VLOOKUP(A387, 'Session Data'!A:AA,27,false)</f>
        <v>Woman</v>
      </c>
      <c r="T387" s="84"/>
      <c r="U387" s="84"/>
      <c r="V387" s="31" t="str">
        <f>VLOOKUP(A387, 'Session Data'!A:AA,8,false)</f>
        <v>Marta</v>
      </c>
      <c r="W387" s="32" t="str">
        <f>VLOOKUP(A387, 'Session Data'!A:AA,9,false)</f>
        <v>Carrillo</v>
      </c>
      <c r="X387" s="33" t="str">
        <f>VLOOKUP(A387, 'Session Data'!A:AA,12,false)</f>
        <v>Nutrition Composition and Flavor Profile of Chia Seeds</v>
      </c>
      <c r="Y387" s="34" t="str">
        <f>VLOOKUP(A387, 'Session Data'!A:AA,22,false)</f>
        <v>Changqi</v>
      </c>
      <c r="Z387" s="34" t="str">
        <f>VLOOKUP(A387, 'Session Data'!A:AA,23,false)</f>
        <v>Liu</v>
      </c>
      <c r="AA387" s="34" t="str">
        <f>VLOOKUP(A387, 'Session Data'!A:AA,25,false)</f>
        <v>Sciences</v>
      </c>
      <c r="AB387" s="34"/>
      <c r="AC387" s="34" t="str">
        <f>VLOOKUP(A387, 'Session Data'!A:AA,16,false)</f>
        <v/>
      </c>
      <c r="AD387" s="35" t="str">
        <f>VLOOKUP(A387, 'Session Data'!A:U,17,false)</f>
        <v/>
      </c>
      <c r="AE387" s="35" t="str">
        <f>VLOOKUP(A387, 'Session Data'!A:U,18,false)</f>
        <v/>
      </c>
      <c r="AF387" s="35" t="str">
        <f>VLOOKUP(A387, 'Session Data'!A:U,19,false)</f>
        <v/>
      </c>
      <c r="AG387" s="35" t="str">
        <f>VLOOKUP(A387, 'Session Data'!A:U,20,false)</f>
        <v/>
      </c>
      <c r="AH387" s="35" t="str">
        <f>VLOOKUP(A387, 'Session Data'!A:U,21,false)</f>
        <v/>
      </c>
      <c r="AI387" s="34"/>
      <c r="AJ387" s="75"/>
      <c r="AK387" s="75"/>
      <c r="AL387" s="75"/>
      <c r="AM387" s="34" t="str">
        <f>VLOOKUP(A387, 'Session Data'!A:AA,10,false)</f>
        <v>mcarrillo4954@sdsu.edu</v>
      </c>
      <c r="AN387" s="46"/>
      <c r="AO387" s="48"/>
      <c r="AP387" s="48"/>
      <c r="AQ387" s="48"/>
      <c r="AR387" s="48"/>
      <c r="AS387" s="48"/>
      <c r="AT387" s="48"/>
      <c r="AU387" s="48"/>
      <c r="AV387" s="48"/>
      <c r="AW387" s="48"/>
      <c r="AX387" s="48"/>
      <c r="AY387" s="43"/>
      <c r="AZ387" s="48"/>
      <c r="BA387" s="48"/>
      <c r="BB387" s="48"/>
      <c r="BC387" s="43"/>
      <c r="BD387" s="43"/>
      <c r="BE387" s="44"/>
      <c r="BF387" s="48"/>
      <c r="BG387" s="43"/>
    </row>
    <row r="388">
      <c r="A388" s="19" t="s">
        <v>459</v>
      </c>
      <c r="B388" s="20">
        <f>VLOOKUP(F388,'Session Count DO NOT EDIT'!$A:$C,3,FALSE)</f>
        <v>5</v>
      </c>
      <c r="C388" s="20">
        <f>COUNTIFS('Scores Import DO NOT EDIT'!D:D,A388)</f>
        <v>5</v>
      </c>
      <c r="D388" s="21">
        <f t="shared" si="1"/>
        <v>1</v>
      </c>
      <c r="E388" s="22">
        <f>AVERAGEIFS('Scores Import DO NOT EDIT'!L:L,'Scores Import DO NOT EDIT'!D:D,A388)</f>
        <v>28.6</v>
      </c>
      <c r="F388" s="23" t="str">
        <f>VLOOKUP(A388, 'Session Data'!A:M,3,false)</f>
        <v>H-2</v>
      </c>
      <c r="G388" s="24" t="str">
        <f>VLOOKUP(A388, 'Session Data'!A:I,2,false)</f>
        <v>1:00 PM</v>
      </c>
      <c r="H388" s="23" t="str">
        <f>VLOOKUP(A388, 'Session Data'!A:J,5,false)</f>
        <v>Behavioral and Social Sciences 2</v>
      </c>
      <c r="I388" s="25" t="str">
        <f>VLOOKUP(A388, 'Session Data'!A:H,4,false)</f>
        <v>Poster</v>
      </c>
      <c r="J388" s="26" t="str">
        <f>VLOOKUP(A388, 'Session Data'!A:AA,14,false)</f>
        <v>Undergraduate</v>
      </c>
      <c r="K388" s="27" t="str">
        <f>VLOOKUP(A388, 'Session Data'!A:AA,15,false)</f>
        <v>Sciences</v>
      </c>
      <c r="L388" s="47"/>
      <c r="M388" s="29" t="str">
        <f>VLOOKUP(A388, 'Session Data'!A:K,11,false)</f>
        <v>BS- Environmental Science</v>
      </c>
      <c r="N388" s="26" t="str">
        <f>IF(ISNA(VLOOKUP(A388, 'Award Abstract#'!C:C, 1, FALSE)), "No", "Yes")
</f>
        <v>No</v>
      </c>
      <c r="O388" s="29" t="str">
        <f>IF(ISNA(VLOOKUP(A388,'Award Abstract#'!B:B,1,FALSE)), "No", "Yes")</f>
        <v>Yes</v>
      </c>
      <c r="P388" s="29" t="str">
        <f>IF(ISNA(VLOOKUP(A388,'Award Abstract#'!E:E,1,FALSE)), "No", "Yes")</f>
        <v>No</v>
      </c>
      <c r="Q388" s="29" t="str">
        <f>IF(ISNA(VLOOKUP(A388,'Award Abstract#'!A:A,1,FALSE)), "No", "Yes")</f>
        <v>No</v>
      </c>
      <c r="R388" s="29" t="str">
        <f>IF(ISNA(VLOOKUP(A388,'Award Abstract#'!D:D,1,FALSE)), "No", "Yes")</f>
        <v>Yes</v>
      </c>
      <c r="S388" s="30" t="str">
        <f>VLOOKUP(A388, 'Session Data'!A:AA,27,false)</f>
        <v>Woman</v>
      </c>
      <c r="T388" s="30"/>
      <c r="U388" s="30"/>
      <c r="V388" s="31" t="str">
        <f>VLOOKUP(A388, 'Session Data'!A:AA,8,false)</f>
        <v>Lillian</v>
      </c>
      <c r="W388" s="32" t="str">
        <f>VLOOKUP(A388, 'Session Data'!A:AA,9,false)</f>
        <v>Eckoff</v>
      </c>
      <c r="X388" s="33" t="str">
        <f>VLOOKUP(A388, 'Session Data'!A:AA,12,false)</f>
        <v>Youth 4 SDGs: Better Health, Brighter Future! Public Perception, Attitudes, and Behaviors Towards the United Nations Sustainable Development Goals in Youth of San Diego, California and Paris, France</v>
      </c>
      <c r="Y388" s="34" t="str">
        <f>VLOOKUP(A388, 'Session Data'!A:AA,22,false)</f>
        <v>Gabriela </v>
      </c>
      <c r="Z388" s="34" t="str">
        <f>VLOOKUP(A388, 'Session Data'!A:AA,23,false)</f>
        <v>Fernandez</v>
      </c>
      <c r="AA388" s="34" t="str">
        <f>VLOOKUP(A388, 'Session Data'!A:AA,25,false)</f>
        <v>Arts and Letters</v>
      </c>
      <c r="AB388" s="34" t="str">
        <f>VLOOKUP(A388, 'Session Data'!A:AA,24,false)</f>
        <v>gfernandez2@sdsu.edu</v>
      </c>
      <c r="AC388" s="34" t="str">
        <f>VLOOKUP(A388, 'Session Data'!A:AA,16,false)</f>
        <v/>
      </c>
      <c r="AD388" s="35" t="str">
        <f>VLOOKUP(A388, 'Session Data'!A:U,17,false)</f>
        <v/>
      </c>
      <c r="AE388" s="35" t="str">
        <f>VLOOKUP(A388, 'Session Data'!A:U,18,false)</f>
        <v/>
      </c>
      <c r="AF388" s="35" t="str">
        <f>VLOOKUP(A388, 'Session Data'!A:U,19,false)</f>
        <v/>
      </c>
      <c r="AG388" s="35" t="str">
        <f>VLOOKUP(A388, 'Session Data'!A:U,20,false)</f>
        <v/>
      </c>
      <c r="AH388" s="35" t="str">
        <f>VLOOKUP(A388, 'Session Data'!A:U,21,false)</f>
        <v/>
      </c>
      <c r="AI388" s="36"/>
      <c r="AJ388" s="38"/>
      <c r="AK388" s="38"/>
      <c r="AL388" s="39"/>
      <c r="AM388" s="34" t="str">
        <f>VLOOKUP(A388, 'Session Data'!A:AA,10,false)</f>
        <v>leckoff8273@sdsu.edu</v>
      </c>
      <c r="AN388" s="40"/>
      <c r="AO388" s="38"/>
      <c r="AP388" s="38"/>
      <c r="AQ388" s="38"/>
      <c r="AR388" s="38"/>
      <c r="AS388" s="38"/>
      <c r="AT388" s="38"/>
      <c r="AU388" s="38"/>
      <c r="AV388" s="38"/>
      <c r="AW388" s="38"/>
      <c r="AX388" s="38"/>
      <c r="AY388" s="43"/>
      <c r="AZ388" s="43"/>
      <c r="BA388" s="43"/>
      <c r="BB388" s="43"/>
      <c r="BC388" s="43"/>
      <c r="BD388" s="43"/>
      <c r="BE388" s="44"/>
      <c r="BF388" s="45"/>
      <c r="BG388" s="43"/>
    </row>
    <row r="389">
      <c r="A389" s="19" t="s">
        <v>460</v>
      </c>
      <c r="B389" s="20">
        <f>VLOOKUP(F389,'Session Count DO NOT EDIT'!$A:$C,3,FALSE)</f>
        <v>5</v>
      </c>
      <c r="C389" s="20">
        <f>COUNTIFS('Scores Import DO NOT EDIT'!D:D,A389)</f>
        <v>5</v>
      </c>
      <c r="D389" s="21">
        <f t="shared" si="1"/>
        <v>1</v>
      </c>
      <c r="E389" s="22">
        <f>AVERAGEIFS('Scores Import DO NOT EDIT'!L:L,'Scores Import DO NOT EDIT'!D:D,A389)</f>
        <v>26.8</v>
      </c>
      <c r="F389" s="23" t="str">
        <f>VLOOKUP(A389, 'Session Data'!A:M,3,false)</f>
        <v>H-2</v>
      </c>
      <c r="G389" s="24" t="str">
        <f>VLOOKUP(A389, 'Session Data'!A:I,2,false)</f>
        <v>1:00 PM</v>
      </c>
      <c r="H389" s="23" t="str">
        <f>VLOOKUP(A389, 'Session Data'!A:J,5,false)</f>
        <v>Behavioral and Social Sciences 2</v>
      </c>
      <c r="I389" s="25" t="str">
        <f>VLOOKUP(A389, 'Session Data'!A:H,4,false)</f>
        <v>Poster</v>
      </c>
      <c r="J389" s="26" t="str">
        <f>VLOOKUP(A389, 'Session Data'!A:AA,14,false)</f>
        <v>Undergraduate</v>
      </c>
      <c r="K389" s="27" t="str">
        <f>VLOOKUP(A389, 'Session Data'!A:AA,15,false)</f>
        <v>Sciences</v>
      </c>
      <c r="L389" s="28"/>
      <c r="M389" s="29" t="str">
        <f>VLOOKUP(A389, 'Session Data'!A:K,11,false)</f>
        <v>Environmental Sciences B.S.</v>
      </c>
      <c r="N389" s="26" t="str">
        <f>IF(ISNA(VLOOKUP(A389, 'Award Abstract#'!C:C, 1, FALSE)), "No", "Yes")
</f>
        <v>No</v>
      </c>
      <c r="O389" s="29" t="str">
        <f>IF(ISNA(VLOOKUP(A389,'Award Abstract#'!B:B,1,FALSE)), "No", "Yes")</f>
        <v>Yes</v>
      </c>
      <c r="P389" s="29" t="str">
        <f>IF(ISNA(VLOOKUP(A389,'Award Abstract#'!E:E,1,FALSE)), "No", "Yes")</f>
        <v>No</v>
      </c>
      <c r="Q389" s="29" t="str">
        <f>IF(ISNA(VLOOKUP(A389,'Award Abstract#'!A:A,1,FALSE)), "No", "Yes")</f>
        <v>No</v>
      </c>
      <c r="R389" s="29" t="str">
        <f>IF(ISNA(VLOOKUP(A389,'Award Abstract#'!D:D,1,FALSE)), "No", "Yes")</f>
        <v>No</v>
      </c>
      <c r="S389" s="30" t="str">
        <f>VLOOKUP(A389, 'Session Data'!A:AA,27,false)</f>
        <v>Woman</v>
      </c>
      <c r="T389" s="30"/>
      <c r="U389" s="30"/>
      <c r="V389" s="31" t="str">
        <f>VLOOKUP(A389, 'Session Data'!A:AA,8,false)</f>
        <v>Amaru</v>
      </c>
      <c r="W389" s="32" t="str">
        <f>VLOOKUP(A389, 'Session Data'!A:AA,9,false)</f>
        <v>Marchant Simonsen</v>
      </c>
      <c r="X389" s="33" t="str">
        <f>VLOOKUP(A389, 'Session Data'!A:AA,12,false)</f>
        <v>Understanding Unregulated Provisioning of Moor Macaques for Conservation Efforts in South Sulawesi, Indonesia</v>
      </c>
      <c r="Y389" s="34" t="str">
        <f>VLOOKUP(A389, 'Session Data'!A:AA,22,false)</f>
        <v>Erin</v>
      </c>
      <c r="Z389" s="34" t="str">
        <f>VLOOKUP(A389, 'Session Data'!A:AA,23,false)</f>
        <v>Riley</v>
      </c>
      <c r="AA389" s="34" t="str">
        <f>VLOOKUP(A389, 'Session Data'!A:AA,25,false)</f>
        <v>Arts and Letters</v>
      </c>
      <c r="AB389" s="34" t="str">
        <f>VLOOKUP(A389, 'Session Data'!A:AA,24,false)</f>
        <v>epriley@sdsu.edu</v>
      </c>
      <c r="AC389" s="34" t="str">
        <f>VLOOKUP(A389, 'Session Data'!A:AA,16,false)</f>
        <v/>
      </c>
      <c r="AD389" s="35" t="str">
        <f>VLOOKUP(A389, 'Session Data'!A:U,17,false)</f>
        <v/>
      </c>
      <c r="AE389" s="35" t="str">
        <f>VLOOKUP(A389, 'Session Data'!A:U,18,false)</f>
        <v/>
      </c>
      <c r="AF389" s="35" t="str">
        <f>VLOOKUP(A389, 'Session Data'!A:U,19,false)</f>
        <v/>
      </c>
      <c r="AG389" s="35" t="str">
        <f>VLOOKUP(A389, 'Session Data'!A:U,20,false)</f>
        <v/>
      </c>
      <c r="AH389" s="35" t="str">
        <f>VLOOKUP(A389, 'Session Data'!A:U,21,false)</f>
        <v/>
      </c>
      <c r="AI389" s="37"/>
      <c r="AJ389" s="37"/>
      <c r="AK389" s="37"/>
      <c r="AL389" s="50"/>
      <c r="AM389" s="34" t="str">
        <f>VLOOKUP(A389, 'Session Data'!A:AA,10,false)</f>
        <v>amarchantsimon2885@sdsu.edu</v>
      </c>
      <c r="AN389" s="40"/>
      <c r="AO389" s="38"/>
      <c r="AP389" s="38"/>
      <c r="AQ389" s="38"/>
      <c r="AR389" s="38"/>
      <c r="AS389" s="38"/>
      <c r="AT389" s="38"/>
      <c r="AU389" s="38"/>
      <c r="AV389" s="38"/>
      <c r="AW389" s="38"/>
      <c r="AX389" s="38"/>
      <c r="AY389" s="43"/>
      <c r="AZ389" s="43"/>
      <c r="BA389" s="48"/>
      <c r="BB389" s="48"/>
      <c r="BC389" s="43"/>
      <c r="BD389" s="43"/>
      <c r="BE389" s="44"/>
      <c r="BF389" s="45"/>
      <c r="BG389" s="43"/>
    </row>
    <row r="390">
      <c r="A390" s="78" t="s">
        <v>461</v>
      </c>
      <c r="B390" s="20">
        <f>VLOOKUP(F390,'Session Count DO NOT EDIT'!$A:$C,3,FALSE)</f>
        <v>5</v>
      </c>
      <c r="C390" s="20">
        <f>COUNTIFS('Scores Import DO NOT EDIT'!D:D,A390)</f>
        <v>0</v>
      </c>
      <c r="D390" s="21">
        <f t="shared" si="1"/>
        <v>0</v>
      </c>
      <c r="E390" s="22" t="str">
        <f>AVERAGEIFS('Scores Import DO NOT EDIT'!L:L,'Scores Import DO NOT EDIT'!D:D,A390)</f>
        <v>#DIV/0!</v>
      </c>
      <c r="F390" s="23" t="str">
        <f>VLOOKUP(A390, 'Session Data'!A:M,3,false)</f>
        <v>H-2</v>
      </c>
      <c r="G390" s="24" t="str">
        <f>VLOOKUP(A390, 'Session Data'!A:I,2,false)</f>
        <v>1:00 PM</v>
      </c>
      <c r="H390" s="23" t="str">
        <f>VLOOKUP(A390, 'Session Data'!A:J,5,false)</f>
        <v>Behavioral and Social Sciences 2</v>
      </c>
      <c r="I390" s="25" t="str">
        <f>VLOOKUP(A390, 'Session Data'!A:H,4,false)</f>
        <v>Poster</v>
      </c>
      <c r="J390" s="26" t="str">
        <f>VLOOKUP(A390, 'Session Data'!A:AA,14,false)</f>
        <v>Undergraduate</v>
      </c>
      <c r="K390" s="27" t="str">
        <f>VLOOKUP(A390, 'Session Data'!A:AA,15,false)</f>
        <v>Sciences</v>
      </c>
      <c r="L390" s="47"/>
      <c r="M390" s="29" t="str">
        <f>VLOOKUP(A390, 'Session Data'!A:K,11,false)</f>
        <v>Bachelor of Arts in Psychology</v>
      </c>
      <c r="N390" s="26" t="str">
        <f>IF(ISNA(VLOOKUP(A390, 'Award Abstract#'!C:C, 1, FALSE)), "No", "Yes")
</f>
        <v>No</v>
      </c>
      <c r="O390" s="29" t="str">
        <f>IF(ISNA(VLOOKUP(A390,'Award Abstract#'!B:B,1,FALSE)), "No", "Yes")</f>
        <v>No</v>
      </c>
      <c r="P390" s="29" t="str">
        <f>IF(ISNA(VLOOKUP(A390,'Award Abstract#'!E:E,1,FALSE)), "No", "Yes")</f>
        <v>No</v>
      </c>
      <c r="Q390" s="29" t="str">
        <f>IF(ISNA(VLOOKUP(A390,'Award Abstract#'!A:A,1,FALSE)), "No", "Yes")</f>
        <v>No</v>
      </c>
      <c r="R390" s="29" t="str">
        <f>IF(ISNA(VLOOKUP(A390,'Award Abstract#'!D:D,1,FALSE)), "No", "Yes")</f>
        <v>No</v>
      </c>
      <c r="S390" s="30" t="str">
        <f>VLOOKUP(A390, 'Session Data'!A:AA,27,false)</f>
        <v>Man</v>
      </c>
      <c r="T390" s="30"/>
      <c r="U390" s="30"/>
      <c r="V390" s="31" t="str">
        <f>VLOOKUP(A390, 'Session Data'!A:AA,8,false)</f>
        <v>Dylan</v>
      </c>
      <c r="W390" s="32" t="str">
        <f>VLOOKUP(A390, 'Session Data'!A:AA,9,false)</f>
        <v>Instone</v>
      </c>
      <c r="X390" s="33" t="str">
        <f>VLOOKUP(A390, 'Session Data'!A:AA,12,false)</f>
        <v>Investigating the Neural Dynamics of Face Processing: Comparison of Time-, Time-Frequency, and Frequency-Domain EEG Analysis Methods</v>
      </c>
      <c r="Y390" s="34" t="str">
        <f>VLOOKUP(A390, 'Session Data'!A:AA,22,false)</f>
        <v>Ksenija</v>
      </c>
      <c r="Z390" s="34" t="str">
        <f>VLOOKUP(A390, 'Session Data'!A:AA,23,false)</f>
        <v>Marinkovic</v>
      </c>
      <c r="AA390" s="34" t="str">
        <f>VLOOKUP(A390, 'Session Data'!A:AA,25,false)</f>
        <v>Sciences</v>
      </c>
      <c r="AB390" s="34" t="str">
        <f>VLOOKUP(A390, 'Session Data'!A:AA,24,false)</f>
        <v>kmarinkovic@sdsu.edu</v>
      </c>
      <c r="AC390" s="34" t="str">
        <f>VLOOKUP(A390, 'Session Data'!A:AA,16,false)</f>
        <v>Parker</v>
      </c>
      <c r="AD390" s="35" t="str">
        <f>VLOOKUP(A390, 'Session Data'!A:U,17,false)</f>
        <v>Thompson</v>
      </c>
      <c r="AE390" s="35" t="str">
        <f>VLOOKUP(A390, 'Session Data'!A:U,18,false)</f>
        <v>Evan</v>
      </c>
      <c r="AF390" s="35" t="str">
        <f>VLOOKUP(A390, 'Session Data'!A:U,19,false)</f>
        <v>Gittings</v>
      </c>
      <c r="AG390" s="35" t="str">
        <f>VLOOKUP(A390, 'Session Data'!A:U,20,false)</f>
        <v/>
      </c>
      <c r="AH390" s="35" t="str">
        <f>VLOOKUP(A390, 'Session Data'!A:U,21,false)</f>
        <v/>
      </c>
      <c r="AI390" s="36"/>
      <c r="AJ390" s="38"/>
      <c r="AK390" s="38"/>
      <c r="AL390" s="39"/>
      <c r="AM390" s="34" t="str">
        <f>VLOOKUP(A390, 'Session Data'!A:AA,10,false)</f>
        <v>dinstone8476@sdsu.edu</v>
      </c>
      <c r="AN390" s="40"/>
      <c r="AO390" s="38"/>
      <c r="AP390" s="38"/>
      <c r="AQ390" s="38"/>
      <c r="AR390" s="38"/>
      <c r="AS390" s="38"/>
      <c r="AT390" s="38"/>
      <c r="AU390" s="38"/>
      <c r="AV390" s="38"/>
      <c r="AW390" s="38"/>
      <c r="AX390" s="38"/>
      <c r="AY390" s="43"/>
      <c r="AZ390" s="43"/>
      <c r="BA390" s="48"/>
      <c r="BB390" s="48"/>
      <c r="BC390" s="43"/>
      <c r="BD390" s="43"/>
      <c r="BE390" s="44"/>
      <c r="BF390" s="45"/>
      <c r="BG390" s="43"/>
    </row>
    <row r="391">
      <c r="A391" s="19" t="s">
        <v>462</v>
      </c>
      <c r="B391" s="20">
        <f>VLOOKUP(F391,'Session Count DO NOT EDIT'!$A:$C,3,FALSE)</f>
        <v>5</v>
      </c>
      <c r="C391" s="20">
        <f>COUNTIFS('Scores Import DO NOT EDIT'!D:D,A391)</f>
        <v>5</v>
      </c>
      <c r="D391" s="21">
        <f t="shared" si="1"/>
        <v>1</v>
      </c>
      <c r="E391" s="22">
        <f>AVERAGEIFS('Scores Import DO NOT EDIT'!L:L,'Scores Import DO NOT EDIT'!D:D,A391)</f>
        <v>29.8</v>
      </c>
      <c r="F391" s="23" t="str">
        <f>VLOOKUP(A391, 'Session Data'!A:M,3,false)</f>
        <v>H-2</v>
      </c>
      <c r="G391" s="24" t="str">
        <f>VLOOKUP(A391, 'Session Data'!A:I,2,false)</f>
        <v>1:00 PM</v>
      </c>
      <c r="H391" s="23" t="str">
        <f>VLOOKUP(A391, 'Session Data'!A:J,5,false)</f>
        <v>Behavioral and Social Sciences 2</v>
      </c>
      <c r="I391" s="25" t="str">
        <f>VLOOKUP(A391, 'Session Data'!A:H,4,false)</f>
        <v>Poster</v>
      </c>
      <c r="J391" s="26" t="str">
        <f>VLOOKUP(A391, 'Session Data'!A:AA,14,false)</f>
        <v>Undergraduate</v>
      </c>
      <c r="K391" s="27" t="str">
        <f>VLOOKUP(A391, 'Session Data'!A:AA,15,false)</f>
        <v>Sciences</v>
      </c>
      <c r="L391" s="28"/>
      <c r="M391" s="29" t="str">
        <f>VLOOKUP(A391, 'Session Data'!A:K,11,false)</f>
        <v>Bachelor of Arts in Psychology with an emphasis in Neuroscience</v>
      </c>
      <c r="N391" s="26" t="str">
        <f>IF(ISNA(VLOOKUP(A391, 'Award Abstract#'!C:C, 1, FALSE)), "No", "Yes")
</f>
        <v>No</v>
      </c>
      <c r="O391" s="29" t="str">
        <f>IF(ISNA(VLOOKUP(A391,'Award Abstract#'!B:B,1,FALSE)), "No", "Yes")</f>
        <v>No</v>
      </c>
      <c r="P391" s="29" t="str">
        <f>IF(ISNA(VLOOKUP(A391,'Award Abstract#'!E:E,1,FALSE)), "No", "Yes")</f>
        <v>No</v>
      </c>
      <c r="Q391" s="29" t="str">
        <f>IF(ISNA(VLOOKUP(A391,'Award Abstract#'!A:A,1,FALSE)), "No", "Yes")</f>
        <v>No</v>
      </c>
      <c r="R391" s="29" t="str">
        <f>IF(ISNA(VLOOKUP(A391,'Award Abstract#'!D:D,1,FALSE)), "No", "Yes")</f>
        <v>Yes</v>
      </c>
      <c r="S391" s="30" t="str">
        <f>VLOOKUP(A391, 'Session Data'!A:AA,27,false)</f>
        <v>Woman</v>
      </c>
      <c r="T391" s="30"/>
      <c r="U391" s="30"/>
      <c r="V391" s="31" t="str">
        <f>VLOOKUP(A391, 'Session Data'!A:AA,8,false)</f>
        <v>Emily Christina</v>
      </c>
      <c r="W391" s="32" t="str">
        <f>VLOOKUP(A391, 'Session Data'!A:AA,9,false)</f>
        <v>Le</v>
      </c>
      <c r="X391" s="33" t="str">
        <f>VLOOKUP(A391, 'Session Data'!A:AA,12,false)</f>
        <v>Intersecting Identities: Empowerment through Undergraduate Autoethnographies</v>
      </c>
      <c r="Y391" s="34" t="str">
        <f>VLOOKUP(A391, 'Session Data'!A:AA,22,false)</f>
        <v>Cynthia</v>
      </c>
      <c r="Z391" s="34" t="str">
        <f>VLOOKUP(A391, 'Session Data'!A:AA,23,false)</f>
        <v>Park</v>
      </c>
      <c r="AA391" s="34" t="str">
        <f>VLOOKUP(A391, 'Session Data'!A:AA,25,false)</f>
        <v>Education</v>
      </c>
      <c r="AB391" s="34" t="str">
        <f>VLOOKUP(A391, 'Session Data'!A:AA,24,false)</f>
        <v>cpark@sdsu.edu</v>
      </c>
      <c r="AC391" s="34" t="str">
        <f>VLOOKUP(A391, 'Session Data'!A:AA,16,false)</f>
        <v>Ilse Natalie</v>
      </c>
      <c r="AD391" s="35" t="str">
        <f>VLOOKUP(A391, 'Session Data'!A:U,17,false)</f>
        <v>Lopez</v>
      </c>
      <c r="AE391" s="35" t="str">
        <f>VLOOKUP(A391, 'Session Data'!A:U,18,false)</f>
        <v>Viridiana </v>
      </c>
      <c r="AF391" s="35" t="str">
        <f>VLOOKUP(A391, 'Session Data'!A:U,19,false)</f>
        <v>Holguin Solorio</v>
      </c>
      <c r="AG391" s="35" t="str">
        <f>VLOOKUP(A391, 'Session Data'!A:U,20,false)</f>
        <v/>
      </c>
      <c r="AH391" s="35" t="str">
        <f>VLOOKUP(A391, 'Session Data'!A:U,21,false)</f>
        <v/>
      </c>
      <c r="AI391" s="36"/>
      <c r="AJ391" s="37"/>
      <c r="AK391" s="38"/>
      <c r="AL391" s="39"/>
      <c r="AM391" s="34" t="str">
        <f>VLOOKUP(A391, 'Session Data'!A:AA,10,false)</f>
        <v>ele6318@sdsu.edu</v>
      </c>
      <c r="AN391" s="40"/>
      <c r="AO391" s="38"/>
      <c r="AP391" s="38"/>
      <c r="AQ391" s="38"/>
      <c r="AR391" s="38"/>
      <c r="AS391" s="38"/>
      <c r="AT391" s="38"/>
      <c r="AU391" s="38"/>
      <c r="AV391" s="38"/>
      <c r="AW391" s="38"/>
      <c r="AX391" s="38"/>
      <c r="AY391" s="43"/>
      <c r="AZ391" s="43"/>
      <c r="BA391" s="43"/>
      <c r="BB391" s="43"/>
      <c r="BC391" s="43"/>
      <c r="BD391" s="43"/>
      <c r="BE391" s="44"/>
      <c r="BF391" s="45"/>
      <c r="BG391" s="43"/>
    </row>
    <row r="392">
      <c r="A392" s="19" t="s">
        <v>463</v>
      </c>
      <c r="B392" s="20">
        <f>VLOOKUP(F392,'Session Count DO NOT EDIT'!$A:$C,3,FALSE)</f>
        <v>5</v>
      </c>
      <c r="C392" s="20">
        <f>COUNTIFS('Scores Import DO NOT EDIT'!D:D,A392)</f>
        <v>5</v>
      </c>
      <c r="D392" s="21">
        <f t="shared" si="1"/>
        <v>1</v>
      </c>
      <c r="E392" s="22">
        <f>AVERAGEIFS('Scores Import DO NOT EDIT'!L:L,'Scores Import DO NOT EDIT'!D:D,A392)</f>
        <v>27.2</v>
      </c>
      <c r="F392" s="23" t="str">
        <f>VLOOKUP(A392, 'Session Data'!A:M,3,false)</f>
        <v>H-2</v>
      </c>
      <c r="G392" s="24" t="str">
        <f>VLOOKUP(A392, 'Session Data'!A:I,2,false)</f>
        <v>1:00 PM</v>
      </c>
      <c r="H392" s="23" t="str">
        <f>VLOOKUP(A392, 'Session Data'!A:J,5,false)</f>
        <v>Behavioral and Social Sciences 2</v>
      </c>
      <c r="I392" s="25" t="str">
        <f>VLOOKUP(A392, 'Session Data'!A:H,4,false)</f>
        <v>Poster</v>
      </c>
      <c r="J392" s="26" t="str">
        <f>VLOOKUP(A392, 'Session Data'!A:AA,14,false)</f>
        <v>Undergraduate</v>
      </c>
      <c r="K392" s="27" t="str">
        <f>VLOOKUP(A392, 'Session Data'!A:AA,15,false)</f>
        <v>Sciences</v>
      </c>
      <c r="L392" s="47"/>
      <c r="M392" s="29" t="str">
        <f>VLOOKUP(A392, 'Session Data'!A:K,11,false)</f>
        <v>Bachelor of Arts in Psychology </v>
      </c>
      <c r="N392" s="26" t="str">
        <f>IF(ISNA(VLOOKUP(A392, 'Award Abstract#'!C:C, 1, FALSE)), "No", "Yes")
</f>
        <v>No</v>
      </c>
      <c r="O392" s="29" t="str">
        <f>IF(ISNA(VLOOKUP(A392,'Award Abstract#'!B:B,1,FALSE)), "No", "Yes")</f>
        <v>No</v>
      </c>
      <c r="P392" s="29" t="str">
        <f>IF(ISNA(VLOOKUP(A392,'Award Abstract#'!E:E,1,FALSE)), "No", "Yes")</f>
        <v>No</v>
      </c>
      <c r="Q392" s="29" t="str">
        <f>IF(ISNA(VLOOKUP(A392,'Award Abstract#'!A:A,1,FALSE)), "No", "Yes")</f>
        <v>Yes</v>
      </c>
      <c r="R392" s="29" t="str">
        <f>IF(ISNA(VLOOKUP(A392,'Award Abstract#'!D:D,1,FALSE)), "No", "Yes")</f>
        <v>Yes</v>
      </c>
      <c r="S392" s="30" t="str">
        <f>VLOOKUP(A392, 'Session Data'!A:AA,27,false)</f>
        <v>Woman</v>
      </c>
      <c r="T392" s="30"/>
      <c r="U392" s="30"/>
      <c r="V392" s="31" t="str">
        <f>VLOOKUP(A392, 'Session Data'!A:AA,8,false)</f>
        <v>Ingrid Anna</v>
      </c>
      <c r="W392" s="32" t="str">
        <f>VLOOKUP(A392, 'Session Data'!A:AA,9,false)</f>
        <v>Yu</v>
      </c>
      <c r="X392" s="33" t="str">
        <f>VLOOKUP(A392, 'Session Data'!A:AA,12,false)</f>
        <v>An Exploratory Study on the Relationship between Adverse Childhood Experiences and Need for Closure</v>
      </c>
      <c r="Y392" s="34" t="str">
        <f>VLOOKUP(A392, 'Session Data'!A:AA,22,false)</f>
        <v>Jessica</v>
      </c>
      <c r="Z392" s="34" t="str">
        <f>VLOOKUP(A392, 'Session Data'!A:AA,23,false)</f>
        <v>Mueller-Coyne</v>
      </c>
      <c r="AA392" s="34" t="str">
        <f>VLOOKUP(A392, 'Session Data'!A:AA,25,false)</f>
        <v>Sciences</v>
      </c>
      <c r="AB392" s="34" t="str">
        <f>VLOOKUP(A392, 'Session Data'!A:AA,24,false)</f>
        <v>jmueller@sdsu.edu</v>
      </c>
      <c r="AC392" s="34" t="str">
        <f>VLOOKUP(A392, 'Session Data'!A:AA,16,false)</f>
        <v/>
      </c>
      <c r="AD392" s="35" t="str">
        <f>VLOOKUP(A392, 'Session Data'!A:U,17,false)</f>
        <v/>
      </c>
      <c r="AE392" s="35" t="str">
        <f>VLOOKUP(A392, 'Session Data'!A:U,18,false)</f>
        <v/>
      </c>
      <c r="AF392" s="35" t="str">
        <f>VLOOKUP(A392, 'Session Data'!A:U,19,false)</f>
        <v/>
      </c>
      <c r="AG392" s="35" t="str">
        <f>VLOOKUP(A392, 'Session Data'!A:U,20,false)</f>
        <v/>
      </c>
      <c r="AH392" s="35" t="str">
        <f>VLOOKUP(A392, 'Session Data'!A:U,21,false)</f>
        <v/>
      </c>
      <c r="AI392" s="36"/>
      <c r="AJ392" s="38"/>
      <c r="AK392" s="38"/>
      <c r="AL392" s="39"/>
      <c r="AM392" s="34" t="str">
        <f>VLOOKUP(A392, 'Session Data'!A:AA,10,false)</f>
        <v>iyu5439@sdsu.edu</v>
      </c>
      <c r="AN392" s="40"/>
      <c r="AO392" s="38"/>
      <c r="AP392" s="38"/>
      <c r="AQ392" s="38"/>
      <c r="AR392" s="38"/>
      <c r="AS392" s="38"/>
      <c r="AT392" s="38"/>
      <c r="AU392" s="38"/>
      <c r="AV392" s="38"/>
      <c r="AW392" s="38"/>
      <c r="AX392" s="38"/>
      <c r="AY392" s="43"/>
      <c r="AZ392" s="43"/>
      <c r="BA392" s="43"/>
      <c r="BB392" s="43"/>
      <c r="BC392" s="43"/>
      <c r="BD392" s="43"/>
      <c r="BE392" s="44"/>
      <c r="BF392" s="45"/>
      <c r="BG392" s="43"/>
    </row>
    <row r="393">
      <c r="A393" s="19" t="s">
        <v>464</v>
      </c>
      <c r="B393" s="20">
        <f>VLOOKUP(F393,'Session Count DO NOT EDIT'!$A:$C,3,FALSE)</f>
        <v>5</v>
      </c>
      <c r="C393" s="20">
        <f>COUNTIFS('Scores Import DO NOT EDIT'!D:D,A393)</f>
        <v>5</v>
      </c>
      <c r="D393" s="21">
        <f t="shared" si="1"/>
        <v>1</v>
      </c>
      <c r="E393" s="22">
        <f>AVERAGEIFS('Scores Import DO NOT EDIT'!L:L,'Scores Import DO NOT EDIT'!D:D,A393)</f>
        <v>26.8</v>
      </c>
      <c r="F393" s="23" t="str">
        <f>VLOOKUP(A393, 'Session Data'!A:M,3,false)</f>
        <v>H-2</v>
      </c>
      <c r="G393" s="24" t="str">
        <f>VLOOKUP(A393, 'Session Data'!A:I,2,false)</f>
        <v>1:00 PM</v>
      </c>
      <c r="H393" s="23" t="str">
        <f>VLOOKUP(A393, 'Session Data'!A:J,5,false)</f>
        <v>Behavioral and Social Sciences 2</v>
      </c>
      <c r="I393" s="25" t="str">
        <f>VLOOKUP(A393, 'Session Data'!A:H,4,false)</f>
        <v>Poster</v>
      </c>
      <c r="J393" s="26" t="str">
        <f>VLOOKUP(A393, 'Session Data'!A:AA,14,false)</f>
        <v>Undergraduate</v>
      </c>
      <c r="K393" s="27" t="str">
        <f>VLOOKUP(A393, 'Session Data'!A:AA,15,false)</f>
        <v>Education</v>
      </c>
      <c r="L393" s="28"/>
      <c r="M393" s="29" t="str">
        <f>VLOOKUP(A393, 'Session Data'!A:K,11,false)</f>
        <v>Child and Family Development</v>
      </c>
      <c r="N393" s="26" t="str">
        <f>IF(ISNA(VLOOKUP(A393, 'Award Abstract#'!C:C, 1, FALSE)), "No", "Yes")
</f>
        <v>No</v>
      </c>
      <c r="O393" s="29" t="str">
        <f>IF(ISNA(VLOOKUP(A393,'Award Abstract#'!B:B,1,FALSE)), "No", "Yes")</f>
        <v>No</v>
      </c>
      <c r="P393" s="29" t="str">
        <f>IF(ISNA(VLOOKUP(A393,'Award Abstract#'!E:E,1,FALSE)), "No", "Yes")</f>
        <v>Yes</v>
      </c>
      <c r="Q393" s="29" t="str">
        <f>IF(ISNA(VLOOKUP(A393,'Award Abstract#'!A:A,1,FALSE)), "No", "Yes")</f>
        <v>No</v>
      </c>
      <c r="R393" s="29" t="str">
        <f>IF(ISNA(VLOOKUP(A393,'Award Abstract#'!D:D,1,FALSE)), "No", "Yes")</f>
        <v>Yes</v>
      </c>
      <c r="S393" s="30" t="str">
        <f>VLOOKUP(A393, 'Session Data'!A:AA,27,false)</f>
        <v>Woman</v>
      </c>
      <c r="T393" s="30"/>
      <c r="U393" s="30"/>
      <c r="V393" s="31" t="str">
        <f>VLOOKUP(A393, 'Session Data'!A:AA,8,false)</f>
        <v>Brianna </v>
      </c>
      <c r="W393" s="32" t="str">
        <f>VLOOKUP(A393, 'Session Data'!A:AA,9,false)</f>
        <v>Maldonado</v>
      </c>
      <c r="X393" s="33" t="str">
        <f>VLOOKUP(A393, 'Session Data'!A:AA,12,false)</f>
        <v>Are There Differences in Motivation of Engagement in Services between Latino and Non-Latino Caregivers?</v>
      </c>
      <c r="Y393" s="34" t="str">
        <f>VLOOKUP(A393, 'Session Data'!A:AA,22,false)</f>
        <v>Sarah</v>
      </c>
      <c r="Z393" s="34" t="str">
        <f>VLOOKUP(A393, 'Session Data'!A:AA,23,false)</f>
        <v>Rieth</v>
      </c>
      <c r="AA393" s="34" t="str">
        <f>VLOOKUP(A393, 'Session Data'!A:AA,25,false)</f>
        <v>Education</v>
      </c>
      <c r="AB393" s="34" t="str">
        <f>VLOOKUP(A393, 'Session Data'!A:AA,24,false)</f>
        <v>srieth@sdsu.edu</v>
      </c>
      <c r="AC393" s="34" t="str">
        <f>VLOOKUP(A393, 'Session Data'!A:AA,16,false)</f>
        <v/>
      </c>
      <c r="AD393" s="35" t="str">
        <f>VLOOKUP(A393, 'Session Data'!A:U,17,false)</f>
        <v/>
      </c>
      <c r="AE393" s="35" t="str">
        <f>VLOOKUP(A393, 'Session Data'!A:U,18,false)</f>
        <v/>
      </c>
      <c r="AF393" s="35" t="str">
        <f>VLOOKUP(A393, 'Session Data'!A:U,19,false)</f>
        <v/>
      </c>
      <c r="AG393" s="35" t="str">
        <f>VLOOKUP(A393, 'Session Data'!A:U,20,false)</f>
        <v/>
      </c>
      <c r="AH393" s="35" t="str">
        <f>VLOOKUP(A393, 'Session Data'!A:U,21,false)</f>
        <v/>
      </c>
      <c r="AI393" s="37"/>
      <c r="AJ393" s="37"/>
      <c r="AK393" s="37"/>
      <c r="AL393" s="50"/>
      <c r="AM393" s="34" t="str">
        <f>VLOOKUP(A393, 'Session Data'!A:AA,10,false)</f>
        <v>bmaldonado4826@sdsu.edu</v>
      </c>
      <c r="AN393" s="40"/>
      <c r="AO393" s="38"/>
      <c r="AP393" s="38"/>
      <c r="AQ393" s="38"/>
      <c r="AR393" s="38"/>
      <c r="AS393" s="38"/>
      <c r="AT393" s="38"/>
      <c r="AU393" s="38"/>
      <c r="AV393" s="38"/>
      <c r="AW393" s="38"/>
      <c r="AX393" s="38"/>
      <c r="AY393" s="43"/>
      <c r="AZ393" s="43"/>
      <c r="BA393" s="48"/>
      <c r="BB393" s="48"/>
      <c r="BC393" s="43"/>
      <c r="BD393" s="43"/>
      <c r="BE393" s="44"/>
      <c r="BF393" s="45"/>
      <c r="BG393" s="43"/>
    </row>
    <row r="394">
      <c r="A394" s="19" t="s">
        <v>465</v>
      </c>
      <c r="B394" s="20">
        <f>VLOOKUP(F394,'Session Count DO NOT EDIT'!$A:$C,3,FALSE)</f>
        <v>5</v>
      </c>
      <c r="C394" s="20">
        <f>COUNTIFS('Scores Import DO NOT EDIT'!D:D,A394)</f>
        <v>5</v>
      </c>
      <c r="D394" s="21">
        <f t="shared" si="1"/>
        <v>1</v>
      </c>
      <c r="E394" s="22">
        <f>AVERAGEIFS('Scores Import DO NOT EDIT'!L:L,'Scores Import DO NOT EDIT'!D:D,A394)</f>
        <v>22.6</v>
      </c>
      <c r="F394" s="23" t="str">
        <f>VLOOKUP(A394, 'Session Data'!A:M,3,false)</f>
        <v>H-2</v>
      </c>
      <c r="G394" s="24" t="str">
        <f>VLOOKUP(A394, 'Session Data'!A:I,2,false)</f>
        <v>1:00 PM</v>
      </c>
      <c r="H394" s="23" t="str">
        <f>VLOOKUP(A394, 'Session Data'!A:J,5,false)</f>
        <v>Behavioral and Social Sciences 2</v>
      </c>
      <c r="I394" s="25" t="str">
        <f>VLOOKUP(A394, 'Session Data'!A:H,4,false)</f>
        <v>Poster</v>
      </c>
      <c r="J394" s="26" t="str">
        <f>VLOOKUP(A394, 'Session Data'!A:AA,14,false)</f>
        <v>Undergraduate</v>
      </c>
      <c r="K394" s="27" t="str">
        <f>VLOOKUP(A394, 'Session Data'!A:AA,15,false)</f>
        <v>SDSU Imperial Valley</v>
      </c>
      <c r="L394" s="28" t="s">
        <v>324</v>
      </c>
      <c r="M394" s="29" t="str">
        <f>VLOOKUP(A394, 'Session Data'!A:K,11,false)</f>
        <v>Bachelor of Sciences in Microbiology</v>
      </c>
      <c r="N394" s="26" t="str">
        <f>IF(ISNA(VLOOKUP(A394, 'Award Abstract#'!C:C, 1, FALSE)), "No", "Yes")
</f>
        <v>No</v>
      </c>
      <c r="O394" s="29" t="str">
        <f>IF(ISNA(VLOOKUP(A394,'Award Abstract#'!B:B,1,FALSE)), "No", "Yes")</f>
        <v>No</v>
      </c>
      <c r="P394" s="29" t="str">
        <f>IF(ISNA(VLOOKUP(A394,'Award Abstract#'!E:E,1,FALSE)), "No", "Yes")</f>
        <v>Yes</v>
      </c>
      <c r="Q394" s="29" t="str">
        <f>IF(ISNA(VLOOKUP(A394,'Award Abstract#'!A:A,1,FALSE)), "No", "Yes")</f>
        <v>No</v>
      </c>
      <c r="R394" s="29" t="str">
        <f>IF(ISNA(VLOOKUP(A394,'Award Abstract#'!D:D,1,FALSE)), "No", "Yes")</f>
        <v>Yes</v>
      </c>
      <c r="S394" s="30" t="str">
        <f>VLOOKUP(A394, 'Session Data'!A:AA,27,false)</f>
        <v>Prefer not to respond</v>
      </c>
      <c r="T394" s="30"/>
      <c r="U394" s="30"/>
      <c r="V394" s="31" t="str">
        <f>VLOOKUP(A394, 'Session Data'!A:AA,8,false)</f>
        <v>Malia</v>
      </c>
      <c r="W394" s="32" t="str">
        <f>VLOOKUP(A394, 'Session Data'!A:AA,9,false)</f>
        <v>Huff</v>
      </c>
      <c r="X394" s="33" t="str">
        <f>VLOOKUP(A394, 'Session Data'!A:AA,12,false)</f>
        <v>Engaging Nursing Students in Service Learning to Understand Rural Communities</v>
      </c>
      <c r="Y394" s="34" t="str">
        <f>VLOOKUP(A394, 'Session Data'!A:AA,22,false)</f>
        <v>Shiloh</v>
      </c>
      <c r="Z394" s="34" t="str">
        <f>VLOOKUP(A394, 'Session Data'!A:AA,23,false)</f>
        <v>Williams</v>
      </c>
      <c r="AA394" s="34" t="str">
        <f>VLOOKUP(A394, 'Session Data'!A:AA,25,false)</f>
        <v>SDSU Imperial Valley</v>
      </c>
      <c r="AB394" s="34" t="str">
        <f>VLOOKUP(A394, 'Session Data'!A:AA,24,false)</f>
        <v>shiloh.williams@sdsu.edu</v>
      </c>
      <c r="AC394" s="34" t="str">
        <f>VLOOKUP(A394, 'Session Data'!A:AA,16,false)</f>
        <v>Lauren</v>
      </c>
      <c r="AD394" s="35" t="str">
        <f>VLOOKUP(A394, 'Session Data'!A:U,17,false)</f>
        <v>Johnston</v>
      </c>
      <c r="AE394" s="35" t="str">
        <f>VLOOKUP(A394, 'Session Data'!A:U,18,false)</f>
        <v/>
      </c>
      <c r="AF394" s="35" t="str">
        <f>VLOOKUP(A394, 'Session Data'!A:U,19,false)</f>
        <v/>
      </c>
      <c r="AG394" s="35" t="str">
        <f>VLOOKUP(A394, 'Session Data'!A:U,20,false)</f>
        <v/>
      </c>
      <c r="AH394" s="35" t="str">
        <f>VLOOKUP(A394, 'Session Data'!A:U,21,false)</f>
        <v/>
      </c>
      <c r="AI394" s="36"/>
      <c r="AJ394" s="38"/>
      <c r="AK394" s="38"/>
      <c r="AL394" s="39"/>
      <c r="AM394" s="34" t="str">
        <f>VLOOKUP(A394, 'Session Data'!A:AA,10,false)</f>
        <v>mhuff7237@sdsu.edu</v>
      </c>
      <c r="AN394" s="40"/>
      <c r="AO394" s="38"/>
      <c r="AP394" s="38"/>
      <c r="AQ394" s="38"/>
      <c r="AR394" s="38"/>
      <c r="AS394" s="38"/>
      <c r="AT394" s="38"/>
      <c r="AU394" s="38"/>
      <c r="AV394" s="38"/>
      <c r="AW394" s="38"/>
      <c r="AX394" s="38"/>
      <c r="AY394" s="43"/>
      <c r="AZ394" s="43"/>
      <c r="BA394" s="43"/>
      <c r="BB394" s="43"/>
      <c r="BC394" s="43"/>
      <c r="BD394" s="43"/>
      <c r="BE394" s="44"/>
      <c r="BF394" s="45"/>
      <c r="BG394" s="43"/>
    </row>
    <row r="395">
      <c r="A395" s="19" t="s">
        <v>466</v>
      </c>
      <c r="B395" s="20">
        <f>VLOOKUP(F395,'Session Count DO NOT EDIT'!$A:$C,3,FALSE)</f>
        <v>4</v>
      </c>
      <c r="C395" s="20">
        <f>COUNTIFS('Scores Import DO NOT EDIT'!D:D,A395)</f>
        <v>0</v>
      </c>
      <c r="D395" s="21">
        <f t="shared" si="1"/>
        <v>0</v>
      </c>
      <c r="E395" s="22" t="str">
        <f>AVERAGEIFS('Scores Import DO NOT EDIT'!L:L,'Scores Import DO NOT EDIT'!D:D,A395)</f>
        <v>#DIV/0!</v>
      </c>
      <c r="F395" s="23" t="str">
        <f>VLOOKUP(A395, 'Session Data'!A:M,3,false)</f>
        <v>H-3</v>
      </c>
      <c r="G395" s="24" t="str">
        <f>VLOOKUP(A395, 'Session Data'!A:I,2,false)</f>
        <v>1:00 PM</v>
      </c>
      <c r="H395" s="23" t="str">
        <f>VLOOKUP(A395, 'Session Data'!A:J,5,false)</f>
        <v>Biological and Agricultural Sciences 1</v>
      </c>
      <c r="I395" s="25" t="str">
        <f>VLOOKUP(A395, 'Session Data'!A:H,4,false)</f>
        <v>Poster</v>
      </c>
      <c r="J395" s="26" t="str">
        <f>VLOOKUP(A395, 'Session Data'!A:AA,14,false)</f>
        <v>Undergraduate</v>
      </c>
      <c r="K395" s="27" t="str">
        <f>VLOOKUP(A395, 'Session Data'!A:AA,15,false)</f>
        <v>Sciences</v>
      </c>
      <c r="L395" s="28"/>
      <c r="M395" s="29" t="str">
        <f>VLOOKUP(A395, 'Session Data'!A:K,11,false)</f>
        <v>Bachelors of Science in Biology</v>
      </c>
      <c r="N395" s="26" t="str">
        <f>IF(ISNA(VLOOKUP(A395, 'Award Abstract#'!C:C, 1, FALSE)), "No", "Yes")
</f>
        <v>No</v>
      </c>
      <c r="O395" s="29" t="str">
        <f>IF(ISNA(VLOOKUP(A395,'Award Abstract#'!B:B,1,FALSE)), "No", "Yes")</f>
        <v>Yes</v>
      </c>
      <c r="P395" s="29" t="str">
        <f>IF(ISNA(VLOOKUP(A395,'Award Abstract#'!E:E,1,FALSE)), "No", "Yes")</f>
        <v>No</v>
      </c>
      <c r="Q395" s="29" t="str">
        <f>IF(ISNA(VLOOKUP(A395,'Award Abstract#'!A:A,1,FALSE)), "No", "Yes")</f>
        <v>No</v>
      </c>
      <c r="R395" s="29" t="str">
        <f>IF(ISNA(VLOOKUP(A395,'Award Abstract#'!D:D,1,FALSE)), "No", "Yes")</f>
        <v>No</v>
      </c>
      <c r="S395" s="30" t="str">
        <f>VLOOKUP(A395, 'Session Data'!A:AA,27,false)</f>
        <v>Man</v>
      </c>
      <c r="T395" s="30"/>
      <c r="U395" s="30"/>
      <c r="V395" s="31" t="str">
        <f>VLOOKUP(A395, 'Session Data'!A:AA,8,false)</f>
        <v>Nathan</v>
      </c>
      <c r="W395" s="32" t="str">
        <f>VLOOKUP(A395, 'Session Data'!A:AA,9,false)</f>
        <v>Bingham</v>
      </c>
      <c r="X395" s="33" t="str">
        <f>VLOOKUP(A395, 'Session Data'!A:AA,12,false)</f>
        <v>16S Microbial Alpha Diversity’s Negative Effect on Relative Growth Rates on US and Non-US Humulus lupulus L. cultivars</v>
      </c>
      <c r="Y395" s="34" t="str">
        <f>VLOOKUP(A395, 'Session Data'!A:AA,22,false)</f>
        <v>Arun</v>
      </c>
      <c r="Z395" s="34" t="str">
        <f>VLOOKUP(A395, 'Session Data'!A:AA,23,false)</f>
        <v>Sethuraman</v>
      </c>
      <c r="AA395" s="34" t="str">
        <f>VLOOKUP(A395, 'Session Data'!A:AA,25,false)</f>
        <v>Sciences</v>
      </c>
      <c r="AB395" s="34" t="str">
        <f>VLOOKUP(A395, 'Session Data'!A:AA,24,false)</f>
        <v>asethuraman@sdsu.edu</v>
      </c>
      <c r="AC395" s="34" t="str">
        <f>VLOOKUP(A395, 'Session Data'!A:AA,16,false)</f>
        <v>Giovanni</v>
      </c>
      <c r="AD395" s="35" t="str">
        <f>VLOOKUP(A395, 'Session Data'!A:U,17,false)</f>
        <v>Gil</v>
      </c>
      <c r="AE395" s="35" t="str">
        <f>VLOOKUP(A395, 'Session Data'!A:U,18,false)</f>
        <v/>
      </c>
      <c r="AF395" s="35" t="str">
        <f>VLOOKUP(A395, 'Session Data'!A:U,19,false)</f>
        <v/>
      </c>
      <c r="AG395" s="35" t="str">
        <f>VLOOKUP(A395, 'Session Data'!A:U,20,false)</f>
        <v/>
      </c>
      <c r="AH395" s="35" t="str">
        <f>VLOOKUP(A395, 'Session Data'!A:U,21,false)</f>
        <v/>
      </c>
      <c r="AI395" s="37"/>
      <c r="AJ395" s="37"/>
      <c r="AK395" s="37"/>
      <c r="AL395" s="50"/>
      <c r="AM395" s="34" t="str">
        <f>VLOOKUP(A395, 'Session Data'!A:AA,10,false)</f>
        <v>nbingham6740@sdsu.edu</v>
      </c>
      <c r="AN395" s="40"/>
      <c r="AO395" s="38"/>
      <c r="AP395" s="38"/>
      <c r="AQ395" s="38"/>
      <c r="AR395" s="38"/>
      <c r="AS395" s="38"/>
      <c r="AT395" s="38"/>
      <c r="AU395" s="38"/>
      <c r="AV395" s="38"/>
      <c r="AW395" s="38"/>
      <c r="AX395" s="38"/>
      <c r="AY395" s="43"/>
      <c r="AZ395" s="43"/>
      <c r="BA395" s="43"/>
      <c r="BB395" s="43"/>
      <c r="BC395" s="43"/>
      <c r="BD395" s="43"/>
      <c r="BE395" s="44"/>
      <c r="BF395" s="45"/>
      <c r="BG395" s="46"/>
    </row>
    <row r="396">
      <c r="A396" s="19" t="s">
        <v>467</v>
      </c>
      <c r="B396" s="20">
        <f>VLOOKUP(F396,'Session Count DO NOT EDIT'!$A:$C,3,FALSE)</f>
        <v>4</v>
      </c>
      <c r="C396" s="20">
        <f>COUNTIFS('Scores Import DO NOT EDIT'!D:D,A396)</f>
        <v>3</v>
      </c>
      <c r="D396" s="21">
        <f t="shared" si="1"/>
        <v>0.75</v>
      </c>
      <c r="E396" s="22">
        <f>AVERAGEIFS('Scores Import DO NOT EDIT'!L:L,'Scores Import DO NOT EDIT'!D:D,A396)</f>
        <v>34.33333333</v>
      </c>
      <c r="F396" s="23" t="str">
        <f>VLOOKUP(A396, 'Session Data'!A:M,3,false)</f>
        <v>H-3</v>
      </c>
      <c r="G396" s="24" t="str">
        <f>VLOOKUP(A396, 'Session Data'!A:I,2,false)</f>
        <v>1:00 PM</v>
      </c>
      <c r="H396" s="23" t="str">
        <f>VLOOKUP(A396, 'Session Data'!A:J,5,false)</f>
        <v>Biological and Agricultural Sciences 1</v>
      </c>
      <c r="I396" s="25" t="str">
        <f>VLOOKUP(A396, 'Session Data'!A:H,4,false)</f>
        <v>Poster</v>
      </c>
      <c r="J396" s="26" t="str">
        <f>VLOOKUP(A396, 'Session Data'!A:AA,14,false)</f>
        <v>Undergraduate</v>
      </c>
      <c r="K396" s="27" t="str">
        <f>VLOOKUP(A396, 'Session Data'!A:AA,15,false)</f>
        <v>Health and Human Services</v>
      </c>
      <c r="L396" s="28" t="s">
        <v>95</v>
      </c>
      <c r="M396" s="29" t="str">
        <f>VLOOKUP(A396, 'Session Data'!A:K,11,false)</f>
        <v>Bachelor of Science in Public Health</v>
      </c>
      <c r="N396" s="26" t="str">
        <f>IF(ISNA(VLOOKUP(A396, 'Award Abstract#'!C:C, 1, FALSE)), "No", "Yes")
</f>
        <v>No</v>
      </c>
      <c r="O396" s="29" t="str">
        <f>IF(ISNA(VLOOKUP(A396,'Award Abstract#'!B:B,1,FALSE)), "No", "Yes")</f>
        <v>Yes</v>
      </c>
      <c r="P396" s="29" t="str">
        <f>IF(ISNA(VLOOKUP(A396,'Award Abstract#'!E:E,1,FALSE)), "No", "Yes")</f>
        <v>Yes</v>
      </c>
      <c r="Q396" s="29" t="str">
        <f>IF(ISNA(VLOOKUP(A396,'Award Abstract#'!A:A,1,FALSE)), "No", "Yes")</f>
        <v>No</v>
      </c>
      <c r="R396" s="29" t="str">
        <f>IF(ISNA(VLOOKUP(A396,'Award Abstract#'!D:D,1,FALSE)), "No", "Yes")</f>
        <v>No</v>
      </c>
      <c r="S396" s="30" t="str">
        <f>VLOOKUP(A396, 'Session Data'!A:AA,27,false)</f>
        <v>Woman</v>
      </c>
      <c r="T396" s="30"/>
      <c r="U396" s="30"/>
      <c r="V396" s="31" t="str">
        <f>VLOOKUP(A396, 'Session Data'!A:AA,8,false)</f>
        <v>Elora</v>
      </c>
      <c r="W396" s="32" t="str">
        <f>VLOOKUP(A396, 'Session Data'!A:AA,9,false)</f>
        <v>Shakoor</v>
      </c>
      <c r="X396" s="33" t="str">
        <f>VLOOKUP(A396, 'Session Data'!A:AA,12,false)</f>
        <v>Aquatic Toxicological Assessment of Electronic Tobacco Products: Hazardous to California Wildlife</v>
      </c>
      <c r="Y396" s="34" t="str">
        <f>VLOOKUP(A396, 'Session Data'!A:AA,22,false)</f>
        <v>Karilyn</v>
      </c>
      <c r="Z396" s="34" t="str">
        <f>VLOOKUP(A396, 'Session Data'!A:AA,23,false)</f>
        <v>Sant</v>
      </c>
      <c r="AA396" s="34" t="str">
        <f>VLOOKUP(A396, 'Session Data'!A:AA,25,false)</f>
        <v>Health and Human Services</v>
      </c>
      <c r="AB396" s="34" t="str">
        <f>VLOOKUP(A396, 'Session Data'!A:AA,24,false)</f>
        <v>ksant@sdsu.edu</v>
      </c>
      <c r="AC396" s="34" t="str">
        <f>VLOOKUP(A396, 'Session Data'!A:AA,16,false)</f>
        <v/>
      </c>
      <c r="AD396" s="35" t="str">
        <f>VLOOKUP(A396, 'Session Data'!A:U,17,false)</f>
        <v/>
      </c>
      <c r="AE396" s="35" t="str">
        <f>VLOOKUP(A396, 'Session Data'!A:U,18,false)</f>
        <v/>
      </c>
      <c r="AF396" s="35" t="str">
        <f>VLOOKUP(A396, 'Session Data'!A:U,19,false)</f>
        <v/>
      </c>
      <c r="AG396" s="35" t="str">
        <f>VLOOKUP(A396, 'Session Data'!A:U,20,false)</f>
        <v/>
      </c>
      <c r="AH396" s="35" t="str">
        <f>VLOOKUP(A396, 'Session Data'!A:U,21,false)</f>
        <v/>
      </c>
      <c r="AI396" s="36"/>
      <c r="AJ396" s="38"/>
      <c r="AK396" s="38"/>
      <c r="AL396" s="39"/>
      <c r="AM396" s="34" t="str">
        <f>VLOOKUP(A396, 'Session Data'!A:AA,10,false)</f>
        <v>eshakoor6394@sdsu.edu</v>
      </c>
      <c r="AN396" s="40"/>
      <c r="AO396" s="38"/>
      <c r="AP396" s="38"/>
      <c r="AQ396" s="38"/>
      <c r="AR396" s="38"/>
      <c r="AS396" s="38"/>
      <c r="AT396" s="38"/>
      <c r="AU396" s="38"/>
      <c r="AV396" s="38"/>
      <c r="AW396" s="38"/>
      <c r="AX396" s="38"/>
      <c r="AY396" s="43"/>
      <c r="AZ396" s="43"/>
      <c r="BA396" s="48"/>
      <c r="BB396" s="48"/>
      <c r="BC396" s="43"/>
      <c r="BD396" s="43"/>
      <c r="BE396" s="44"/>
      <c r="BF396" s="45"/>
      <c r="BG396" s="43"/>
    </row>
    <row r="397">
      <c r="A397" s="19" t="s">
        <v>468</v>
      </c>
      <c r="B397" s="20">
        <f>VLOOKUP(F397,'Session Count DO NOT EDIT'!$A:$C,3,FALSE)</f>
        <v>4</v>
      </c>
      <c r="C397" s="20">
        <f>COUNTIFS('Scores Import DO NOT EDIT'!D:D,A397)</f>
        <v>3</v>
      </c>
      <c r="D397" s="21">
        <f t="shared" si="1"/>
        <v>0.75</v>
      </c>
      <c r="E397" s="22">
        <f>AVERAGEIFS('Scores Import DO NOT EDIT'!L:L,'Scores Import DO NOT EDIT'!D:D,A397)</f>
        <v>32.66666667</v>
      </c>
      <c r="F397" s="23" t="str">
        <f>VLOOKUP(A397, 'Session Data'!A:M,3,false)</f>
        <v>H-3</v>
      </c>
      <c r="G397" s="24" t="str">
        <f>VLOOKUP(A397, 'Session Data'!A:I,2,false)</f>
        <v>1:00 PM</v>
      </c>
      <c r="H397" s="23" t="str">
        <f>VLOOKUP(A397, 'Session Data'!A:J,5,false)</f>
        <v>Biological and Agricultural Sciences 1</v>
      </c>
      <c r="I397" s="25" t="str">
        <f>VLOOKUP(A397, 'Session Data'!A:H,4,false)</f>
        <v>Poster</v>
      </c>
      <c r="J397" s="26" t="str">
        <f>VLOOKUP(A397, 'Session Data'!A:AA,14,false)</f>
        <v>Undergraduate</v>
      </c>
      <c r="K397" s="27" t="str">
        <f>VLOOKUP(A397, 'Session Data'!A:AA,15,false)</f>
        <v>Sciences</v>
      </c>
      <c r="L397" s="28" t="s">
        <v>14</v>
      </c>
      <c r="M397" s="29" t="str">
        <f>VLOOKUP(A397, 'Session Data'!A:K,11,false)</f>
        <v>Biology, Emphasis in Ecology, B.S. in Applied Arts and Sciences</v>
      </c>
      <c r="N397" s="26" t="str">
        <f>IF(ISNA(VLOOKUP(A397, 'Award Abstract#'!C:C, 1, FALSE)), "No", "Yes")
</f>
        <v>No</v>
      </c>
      <c r="O397" s="29" t="str">
        <f>IF(ISNA(VLOOKUP(A397,'Award Abstract#'!B:B,1,FALSE)), "No", "Yes")</f>
        <v>Yes</v>
      </c>
      <c r="P397" s="29" t="str">
        <f>IF(ISNA(VLOOKUP(A397,'Award Abstract#'!E:E,1,FALSE)), "No", "Yes")</f>
        <v>No</v>
      </c>
      <c r="Q397" s="29" t="str">
        <f>IF(ISNA(VLOOKUP(A397,'Award Abstract#'!A:A,1,FALSE)), "No", "Yes")</f>
        <v>No</v>
      </c>
      <c r="R397" s="29" t="str">
        <f>IF(ISNA(VLOOKUP(A397,'Award Abstract#'!D:D,1,FALSE)), "No", "Yes")</f>
        <v>No</v>
      </c>
      <c r="S397" s="30" t="str">
        <f>VLOOKUP(A397, 'Session Data'!A:AA,27,false)</f>
        <v>Woman</v>
      </c>
      <c r="T397" s="30"/>
      <c r="U397" s="30"/>
      <c r="V397" s="31" t="str">
        <f>VLOOKUP(A397, 'Session Data'!A:AA,8,false)</f>
        <v>Kristine</v>
      </c>
      <c r="W397" s="32" t="str">
        <f>VLOOKUP(A397, 'Session Data'!A:AA,9,false)</f>
        <v>Bernabe</v>
      </c>
      <c r="X397" s="33" t="str">
        <f>VLOOKUP(A397, 'Session Data'!A:AA,12,false)</f>
        <v>Soil Temperature Profile Exploration of Thermokarst Features</v>
      </c>
      <c r="Y397" s="34" t="str">
        <f>VLOOKUP(A397, 'Session Data'!A:AA,22,false)</f>
        <v>Donatella</v>
      </c>
      <c r="Z397" s="34" t="str">
        <f>VLOOKUP(A397, 'Session Data'!A:AA,23,false)</f>
        <v>Zona</v>
      </c>
      <c r="AA397" s="34" t="str">
        <f>VLOOKUP(A397, 'Session Data'!A:AA,25,false)</f>
        <v>Sciences</v>
      </c>
      <c r="AB397" s="34" t="str">
        <f>VLOOKUP(A397, 'Session Data'!A:AA,24,false)</f>
        <v>dzona@sdsu.edu</v>
      </c>
      <c r="AC397" s="34" t="str">
        <f>VLOOKUP(A397, 'Session Data'!A:AA,16,false)</f>
        <v> Liliana</v>
      </c>
      <c r="AD397" s="35" t="str">
        <f>VLOOKUP(A397, 'Session Data'!A:U,17,false)</f>
        <v>Torres</v>
      </c>
      <c r="AE397" s="35" t="str">
        <f>VLOOKUP(A397, 'Session Data'!A:U,18,false)</f>
        <v/>
      </c>
      <c r="AF397" s="35" t="str">
        <f>VLOOKUP(A397, 'Session Data'!A:U,19,false)</f>
        <v/>
      </c>
      <c r="AG397" s="35" t="str">
        <f>VLOOKUP(A397, 'Session Data'!A:U,20,false)</f>
        <v/>
      </c>
      <c r="AH397" s="35" t="str">
        <f>VLOOKUP(A397, 'Session Data'!A:U,21,false)</f>
        <v/>
      </c>
      <c r="AI397" s="37"/>
      <c r="AJ397" s="37"/>
      <c r="AK397" s="37"/>
      <c r="AL397" s="50"/>
      <c r="AM397" s="34" t="str">
        <f>VLOOKUP(A397, 'Session Data'!A:AA,10,false)</f>
        <v>kbernabe5505@sdsu.edu</v>
      </c>
      <c r="AN397" s="40"/>
      <c r="AO397" s="38"/>
      <c r="AP397" s="38"/>
      <c r="AQ397" s="38"/>
      <c r="AR397" s="38"/>
      <c r="AS397" s="38"/>
      <c r="AT397" s="38"/>
      <c r="AU397" s="38"/>
      <c r="AV397" s="38"/>
      <c r="AW397" s="38"/>
      <c r="AX397" s="38"/>
      <c r="AY397" s="43"/>
      <c r="AZ397" s="43"/>
      <c r="BA397" s="48"/>
      <c r="BB397" s="48"/>
      <c r="BC397" s="43"/>
      <c r="BD397" s="43"/>
      <c r="BE397" s="44"/>
      <c r="BF397" s="45"/>
      <c r="BG397" s="43"/>
    </row>
    <row r="398">
      <c r="A398" s="19" t="s">
        <v>469</v>
      </c>
      <c r="B398" s="20">
        <f>VLOOKUP(F398,'Session Count DO NOT EDIT'!$A:$C,3,FALSE)</f>
        <v>4</v>
      </c>
      <c r="C398" s="20">
        <f>COUNTIFS('Scores Import DO NOT EDIT'!D:D,A398)</f>
        <v>3</v>
      </c>
      <c r="D398" s="21">
        <f t="shared" si="1"/>
        <v>0.75</v>
      </c>
      <c r="E398" s="22">
        <f>AVERAGEIFS('Scores Import DO NOT EDIT'!L:L,'Scores Import DO NOT EDIT'!D:D,A398)</f>
        <v>30.33333333</v>
      </c>
      <c r="F398" s="23" t="str">
        <f>VLOOKUP(A398, 'Session Data'!A:M,3,false)</f>
        <v>H-3</v>
      </c>
      <c r="G398" s="24" t="str">
        <f>VLOOKUP(A398, 'Session Data'!A:I,2,false)</f>
        <v>1:00 PM</v>
      </c>
      <c r="H398" s="23" t="str">
        <f>VLOOKUP(A398, 'Session Data'!A:J,5,false)</f>
        <v>Biological and Agricultural Sciences 1</v>
      </c>
      <c r="I398" s="25" t="str">
        <f>VLOOKUP(A398, 'Session Data'!A:H,4,false)</f>
        <v>Poster</v>
      </c>
      <c r="J398" s="26" t="str">
        <f>VLOOKUP(A398, 'Session Data'!A:AA,14,false)</f>
        <v>Undergraduate</v>
      </c>
      <c r="K398" s="27" t="str">
        <f>VLOOKUP(A398, 'Session Data'!A:AA,15,false)</f>
        <v>Engineering</v>
      </c>
      <c r="L398" s="28" t="s">
        <v>324</v>
      </c>
      <c r="M398" s="29" t="str">
        <f>VLOOKUP(A398, 'Session Data'!A:K,11,false)</f>
        <v>Bachelor of Science in Environmental Engineering</v>
      </c>
      <c r="N398" s="26" t="str">
        <f>IF(ISNA(VLOOKUP(A398, 'Award Abstract#'!C:C, 1, FALSE)), "No", "Yes")
</f>
        <v>No</v>
      </c>
      <c r="O398" s="29" t="str">
        <f>IF(ISNA(VLOOKUP(A398,'Award Abstract#'!B:B,1,FALSE)), "No", "Yes")</f>
        <v>Yes</v>
      </c>
      <c r="P398" s="29" t="str">
        <f>IF(ISNA(VLOOKUP(A398,'Award Abstract#'!E:E,1,FALSE)), "No", "Yes")</f>
        <v>No</v>
      </c>
      <c r="Q398" s="29" t="str">
        <f>IF(ISNA(VLOOKUP(A398,'Award Abstract#'!A:A,1,FALSE)), "No", "Yes")</f>
        <v>No</v>
      </c>
      <c r="R398" s="29" t="str">
        <f>IF(ISNA(VLOOKUP(A398,'Award Abstract#'!D:D,1,FALSE)), "No", "Yes")</f>
        <v>Yes</v>
      </c>
      <c r="S398" s="30" t="str">
        <f>VLOOKUP(A398, 'Session Data'!A:AA,27,false)</f>
        <v>Man</v>
      </c>
      <c r="T398" s="30"/>
      <c r="U398" s="30"/>
      <c r="V398" s="31" t="str">
        <f>VLOOKUP(A398, 'Session Data'!A:AA,8,false)</f>
        <v>Shiloh</v>
      </c>
      <c r="W398" s="32" t="str">
        <f>VLOOKUP(A398, 'Session Data'!A:AA,9,false)</f>
        <v>Bolden</v>
      </c>
      <c r="X398" s="33" t="str">
        <f>VLOOKUP(A398, 'Session Data'!A:AA,12,false)</f>
        <v>Removal of Sulfamethoxazole with a Novel Modified Anaerobic Baffled Reactor</v>
      </c>
      <c r="Y398" s="34" t="str">
        <f>VLOOKUP(A398, 'Session Data'!A:AA,22,false)</f>
        <v>Natalie</v>
      </c>
      <c r="Z398" s="34" t="str">
        <f>VLOOKUP(A398, 'Session Data'!A:AA,23,false)</f>
        <v>Mladenov</v>
      </c>
      <c r="AA398" s="34" t="str">
        <f>VLOOKUP(A398, 'Session Data'!A:AA,25,false)</f>
        <v>Engineering</v>
      </c>
      <c r="AB398" s="34" t="str">
        <f>VLOOKUP(A398, 'Session Data'!A:AA,24,false)</f>
        <v>nmladenov@sdsu.edu</v>
      </c>
      <c r="AC398" s="34" t="str">
        <f>VLOOKUP(A398, 'Session Data'!A:AA,16,false)</f>
        <v/>
      </c>
      <c r="AD398" s="35" t="str">
        <f>VLOOKUP(A398, 'Session Data'!A:U,17,false)</f>
        <v/>
      </c>
      <c r="AE398" s="35" t="str">
        <f>VLOOKUP(A398, 'Session Data'!A:U,18,false)</f>
        <v/>
      </c>
      <c r="AF398" s="35" t="str">
        <f>VLOOKUP(A398, 'Session Data'!A:U,19,false)</f>
        <v/>
      </c>
      <c r="AG398" s="35" t="str">
        <f>VLOOKUP(A398, 'Session Data'!A:U,20,false)</f>
        <v/>
      </c>
      <c r="AH398" s="35" t="str">
        <f>VLOOKUP(A398, 'Session Data'!A:U,21,false)</f>
        <v/>
      </c>
      <c r="AI398" s="37"/>
      <c r="AJ398" s="37"/>
      <c r="AK398" s="37"/>
      <c r="AL398" s="50"/>
      <c r="AM398" s="34" t="str">
        <f>VLOOKUP(A398, 'Session Data'!A:AA,10,false)</f>
        <v>sbolden8271@sdsu.edu</v>
      </c>
      <c r="AN398" s="40"/>
      <c r="AO398" s="38"/>
      <c r="AP398" s="38"/>
      <c r="AQ398" s="38"/>
      <c r="AR398" s="38"/>
      <c r="AS398" s="38"/>
      <c r="AT398" s="38"/>
      <c r="AU398" s="38"/>
      <c r="AV398" s="38"/>
      <c r="AW398" s="38"/>
      <c r="AX398" s="38"/>
      <c r="AY398" s="43"/>
      <c r="AZ398" s="43"/>
      <c r="BA398" s="48"/>
      <c r="BB398" s="48"/>
      <c r="BC398" s="43"/>
      <c r="BD398" s="43"/>
      <c r="BE398" s="44"/>
      <c r="BF398" s="45"/>
      <c r="BG398" s="46"/>
    </row>
    <row r="399">
      <c r="A399" s="19" t="s">
        <v>470</v>
      </c>
      <c r="B399" s="20">
        <f>VLOOKUP(F399,'Session Count DO NOT EDIT'!$A:$C,3,FALSE)</f>
        <v>4</v>
      </c>
      <c r="C399" s="20">
        <f>COUNTIFS('Scores Import DO NOT EDIT'!D:D,A399)</f>
        <v>3</v>
      </c>
      <c r="D399" s="21">
        <f t="shared" si="1"/>
        <v>0.75</v>
      </c>
      <c r="E399" s="22">
        <f>AVERAGEIFS('Scores Import DO NOT EDIT'!L:L,'Scores Import DO NOT EDIT'!D:D,A399)</f>
        <v>27.66666667</v>
      </c>
      <c r="F399" s="23" t="str">
        <f>VLOOKUP(A399, 'Session Data'!A:M,3,false)</f>
        <v>H-3</v>
      </c>
      <c r="G399" s="24" t="str">
        <f>VLOOKUP(A399, 'Session Data'!A:I,2,false)</f>
        <v>1:00 PM</v>
      </c>
      <c r="H399" s="23" t="str">
        <f>VLOOKUP(A399, 'Session Data'!A:J,5,false)</f>
        <v>Biological and Agricultural Sciences 1</v>
      </c>
      <c r="I399" s="25" t="str">
        <f>VLOOKUP(A399, 'Session Data'!A:H,4,false)</f>
        <v>Poster</v>
      </c>
      <c r="J399" s="26" t="str">
        <f>VLOOKUP(A399, 'Session Data'!A:AA,14,false)</f>
        <v>Undergraduate</v>
      </c>
      <c r="K399" s="27" t="str">
        <f>VLOOKUP(A399, 'Session Data'!A:AA,15,false)</f>
        <v>Sciences</v>
      </c>
      <c r="L399" s="28"/>
      <c r="M399" s="29" t="str">
        <f>VLOOKUP(A399, 'Session Data'!A:K,11,false)</f>
        <v>Bachelor of Science in Biology with an Emphasis in Ecology</v>
      </c>
      <c r="N399" s="26" t="str">
        <f>IF(ISNA(VLOOKUP(A399, 'Award Abstract#'!C:C, 1, FALSE)), "No", "Yes")
</f>
        <v>No</v>
      </c>
      <c r="O399" s="29" t="str">
        <f>IF(ISNA(VLOOKUP(A399,'Award Abstract#'!B:B,1,FALSE)), "No", "Yes")</f>
        <v>Yes</v>
      </c>
      <c r="P399" s="29" t="str">
        <f>IF(ISNA(VLOOKUP(A399,'Award Abstract#'!E:E,1,FALSE)), "No", "Yes")</f>
        <v>No</v>
      </c>
      <c r="Q399" s="29" t="str">
        <f>IF(ISNA(VLOOKUP(A399,'Award Abstract#'!A:A,1,FALSE)), "No", "Yes")</f>
        <v>No</v>
      </c>
      <c r="R399" s="29" t="str">
        <f>IF(ISNA(VLOOKUP(A399,'Award Abstract#'!D:D,1,FALSE)), "No", "Yes")</f>
        <v>No</v>
      </c>
      <c r="S399" s="30" t="str">
        <f>VLOOKUP(A399, 'Session Data'!A:AA,27,false)</f>
        <v>Prefer not to respond</v>
      </c>
      <c r="T399" s="30"/>
      <c r="U399" s="30"/>
      <c r="V399" s="31" t="str">
        <f>VLOOKUP(A399, 'Session Data'!A:AA,8,false)</f>
        <v>Alec</v>
      </c>
      <c r="W399" s="32" t="str">
        <f>VLOOKUP(A399, 'Session Data'!A:AA,9,false)</f>
        <v>Juliano</v>
      </c>
      <c r="X399" s="33" t="str">
        <f>VLOOKUP(A399, 'Session Data'!A:AA,12,false)</f>
        <v>Species richness does not predict phylogenetic or functional diversity in managed grassland plant communities</v>
      </c>
      <c r="Y399" s="34" t="str">
        <f>VLOOKUP(A399, 'Session Data'!A:AA,22,false)</f>
        <v>Nicholas</v>
      </c>
      <c r="Z399" s="34" t="str">
        <f>VLOOKUP(A399, 'Session Data'!A:AA,23,false)</f>
        <v>Barber</v>
      </c>
      <c r="AA399" s="34" t="str">
        <f>VLOOKUP(A399, 'Session Data'!A:AA,25,false)</f>
        <v>Sciences</v>
      </c>
      <c r="AB399" s="34" t="str">
        <f>VLOOKUP(A399, 'Session Data'!A:AA,24,false)</f>
        <v>nbarber@sdsu.edu</v>
      </c>
      <c r="AC399" s="34" t="str">
        <f>VLOOKUP(A399, 'Session Data'!A:AA,16,false)</f>
        <v/>
      </c>
      <c r="AD399" s="35" t="str">
        <f>VLOOKUP(A399, 'Session Data'!A:U,17,false)</f>
        <v/>
      </c>
      <c r="AE399" s="35" t="str">
        <f>VLOOKUP(A399, 'Session Data'!A:U,18,false)</f>
        <v/>
      </c>
      <c r="AF399" s="35" t="str">
        <f>VLOOKUP(A399, 'Session Data'!A:U,19,false)</f>
        <v/>
      </c>
      <c r="AG399" s="35" t="str">
        <f>VLOOKUP(A399, 'Session Data'!A:U,20,false)</f>
        <v/>
      </c>
      <c r="AH399" s="35" t="str">
        <f>VLOOKUP(A399, 'Session Data'!A:U,21,false)</f>
        <v/>
      </c>
      <c r="AI399" s="37"/>
      <c r="AJ399" s="37"/>
      <c r="AK399" s="37"/>
      <c r="AL399" s="50"/>
      <c r="AM399" s="34" t="str">
        <f>VLOOKUP(A399, 'Session Data'!A:AA,10,false)</f>
        <v>ajuliano7847@sdsu.edu</v>
      </c>
      <c r="AN399" s="40"/>
      <c r="AO399" s="38"/>
      <c r="AP399" s="38"/>
      <c r="AQ399" s="38"/>
      <c r="AR399" s="38"/>
      <c r="AS399" s="38"/>
      <c r="AT399" s="38"/>
      <c r="AU399" s="38"/>
      <c r="AV399" s="38"/>
      <c r="AW399" s="38"/>
      <c r="AX399" s="38"/>
      <c r="AY399" s="43"/>
      <c r="AZ399" s="43"/>
      <c r="BA399" s="43"/>
      <c r="BB399" s="43"/>
      <c r="BC399" s="43"/>
      <c r="BD399" s="43"/>
      <c r="BE399" s="44"/>
      <c r="BF399" s="45"/>
      <c r="BG399" s="43"/>
    </row>
    <row r="400">
      <c r="A400" s="19" t="s">
        <v>471</v>
      </c>
      <c r="B400" s="20">
        <f>VLOOKUP(F400,'Session Count DO NOT EDIT'!$A:$C,3,FALSE)</f>
        <v>4</v>
      </c>
      <c r="C400" s="20">
        <f>COUNTIFS('Scores Import DO NOT EDIT'!D:D,A400)</f>
        <v>3</v>
      </c>
      <c r="D400" s="21">
        <f t="shared" si="1"/>
        <v>0.75</v>
      </c>
      <c r="E400" s="22">
        <f>AVERAGEIFS('Scores Import DO NOT EDIT'!L:L,'Scores Import DO NOT EDIT'!D:D,A400)</f>
        <v>32.66666667</v>
      </c>
      <c r="F400" s="23" t="str">
        <f>VLOOKUP(A400, 'Session Data'!A:M,3,false)</f>
        <v>H-3</v>
      </c>
      <c r="G400" s="24" t="str">
        <f>VLOOKUP(A400, 'Session Data'!A:I,2,false)</f>
        <v>1:00 PM</v>
      </c>
      <c r="H400" s="23" t="str">
        <f>VLOOKUP(A400, 'Session Data'!A:J,5,false)</f>
        <v>Biological and Agricultural Sciences 1</v>
      </c>
      <c r="I400" s="25" t="str">
        <f>VLOOKUP(A400, 'Session Data'!A:H,4,false)</f>
        <v>Poster</v>
      </c>
      <c r="J400" s="26" t="str">
        <f>VLOOKUP(A400, 'Session Data'!A:AA,14,false)</f>
        <v>Undergraduate</v>
      </c>
      <c r="K400" s="27" t="str">
        <f>VLOOKUP(A400, 'Session Data'!A:AA,15,false)</f>
        <v>Sciences</v>
      </c>
      <c r="L400" s="28" t="s">
        <v>15</v>
      </c>
      <c r="M400" s="29" t="str">
        <f>VLOOKUP(A400, 'Session Data'!A:K,11,false)</f>
        <v>Bachelor of Science/Microbiology</v>
      </c>
      <c r="N400" s="26" t="str">
        <f>IF(ISNA(VLOOKUP(A400, 'Award Abstract#'!C:C, 1, FALSE)), "No", "Yes")
</f>
        <v>No</v>
      </c>
      <c r="O400" s="29" t="str">
        <f>IF(ISNA(VLOOKUP(A400,'Award Abstract#'!B:B,1,FALSE)), "No", "Yes")</f>
        <v>No</v>
      </c>
      <c r="P400" s="29" t="str">
        <f>IF(ISNA(VLOOKUP(A400,'Award Abstract#'!E:E,1,FALSE)), "No", "Yes")</f>
        <v>Yes</v>
      </c>
      <c r="Q400" s="29" t="str">
        <f>IF(ISNA(VLOOKUP(A400,'Award Abstract#'!A:A,1,FALSE)), "No", "Yes")</f>
        <v>No</v>
      </c>
      <c r="R400" s="29" t="str">
        <f>IF(ISNA(VLOOKUP(A400,'Award Abstract#'!D:D,1,FALSE)), "No", "Yes")</f>
        <v>No</v>
      </c>
      <c r="S400" s="30" t="str">
        <f>VLOOKUP(A400, 'Session Data'!A:AA,27,false)</f>
        <v>Woman</v>
      </c>
      <c r="T400" s="30"/>
      <c r="U400" s="30"/>
      <c r="V400" s="31" t="str">
        <f>VLOOKUP(A400, 'Session Data'!A:AA,8,false)</f>
        <v>Mena</v>
      </c>
      <c r="W400" s="32" t="str">
        <f>VLOOKUP(A400, 'Session Data'!A:AA,9,false)</f>
        <v>Shammas</v>
      </c>
      <c r="X400" s="33" t="str">
        <f>VLOOKUP(A400, 'Session Data'!A:AA,12,false)</f>
        <v>Understanding the Effects of Chemotherapy on a Fibroblast Cell-Derived Matrix</v>
      </c>
      <c r="Y400" s="34" t="str">
        <f>VLOOKUP(A400, 'Session Data'!A:AA,22,false)</f>
        <v>Carrie</v>
      </c>
      <c r="Z400" s="34" t="str">
        <f>VLOOKUP(A400, 'Session Data'!A:AA,23,false)</f>
        <v>House</v>
      </c>
      <c r="AA400" s="34" t="str">
        <f>VLOOKUP(A400, 'Session Data'!A:AA,25,false)</f>
        <v>Sciences</v>
      </c>
      <c r="AB400" s="34" t="str">
        <f>VLOOKUP(A400, 'Session Data'!A:AA,24,false)</f>
        <v>cdhouse@sdsu.edu</v>
      </c>
      <c r="AC400" s="34" t="str">
        <f>VLOOKUP(A400, 'Session Data'!A:AA,16,false)</f>
        <v/>
      </c>
      <c r="AD400" s="35" t="str">
        <f>VLOOKUP(A400, 'Session Data'!A:U,17,false)</f>
        <v/>
      </c>
      <c r="AE400" s="35" t="str">
        <f>VLOOKUP(A400, 'Session Data'!A:U,18,false)</f>
        <v/>
      </c>
      <c r="AF400" s="35" t="str">
        <f>VLOOKUP(A400, 'Session Data'!A:U,19,false)</f>
        <v/>
      </c>
      <c r="AG400" s="35" t="str">
        <f>VLOOKUP(A400, 'Session Data'!A:U,20,false)</f>
        <v/>
      </c>
      <c r="AH400" s="35" t="str">
        <f>VLOOKUP(A400, 'Session Data'!A:U,21,false)</f>
        <v/>
      </c>
      <c r="AI400" s="36"/>
      <c r="AJ400" s="38"/>
      <c r="AK400" s="38"/>
      <c r="AL400" s="39"/>
      <c r="AM400" s="34" t="str">
        <f>VLOOKUP(A400, 'Session Data'!A:AA,10,false)</f>
        <v>mshammas8679@sdsu.edu</v>
      </c>
      <c r="AN400" s="40"/>
      <c r="AO400" s="38"/>
      <c r="AP400" s="38"/>
      <c r="AQ400" s="38"/>
      <c r="AR400" s="38"/>
      <c r="AS400" s="38"/>
      <c r="AT400" s="38"/>
      <c r="AU400" s="38"/>
      <c r="AV400" s="38"/>
      <c r="AW400" s="38"/>
      <c r="AX400" s="38"/>
      <c r="AY400" s="43"/>
      <c r="AZ400" s="43"/>
      <c r="BA400" s="48"/>
      <c r="BB400" s="48"/>
      <c r="BC400" s="43"/>
      <c r="BD400" s="43"/>
      <c r="BE400" s="44"/>
      <c r="BF400" s="45"/>
      <c r="BG400" s="43"/>
    </row>
    <row r="401">
      <c r="A401" s="19" t="s">
        <v>472</v>
      </c>
      <c r="B401" s="20">
        <f>VLOOKUP(F401,'Session Count DO NOT EDIT'!$A:$C,3,FALSE)</f>
        <v>4</v>
      </c>
      <c r="C401" s="20">
        <f>COUNTIFS('Scores Import DO NOT EDIT'!D:D,A401)</f>
        <v>3</v>
      </c>
      <c r="D401" s="21">
        <f t="shared" si="1"/>
        <v>0.75</v>
      </c>
      <c r="E401" s="22">
        <f>AVERAGEIFS('Scores Import DO NOT EDIT'!L:L,'Scores Import DO NOT EDIT'!D:D,A401)</f>
        <v>29.66666667</v>
      </c>
      <c r="F401" s="23" t="str">
        <f>VLOOKUP(A401, 'Session Data'!A:M,3,false)</f>
        <v>H-3</v>
      </c>
      <c r="G401" s="24" t="str">
        <f>VLOOKUP(A401, 'Session Data'!A:I,2,false)</f>
        <v>1:00 PM</v>
      </c>
      <c r="H401" s="23" t="str">
        <f>VLOOKUP(A401, 'Session Data'!A:J,5,false)</f>
        <v>Biological and Agricultural Sciences 1</v>
      </c>
      <c r="I401" s="25" t="str">
        <f>VLOOKUP(A401, 'Session Data'!A:H,4,false)</f>
        <v>Poster</v>
      </c>
      <c r="J401" s="26" t="str">
        <f>VLOOKUP(A401, 'Session Data'!A:AA,14,false)</f>
        <v>Undergraduate</v>
      </c>
      <c r="K401" s="27" t="str">
        <f>VLOOKUP(A401, 'Session Data'!A:AA,15,false)</f>
        <v>Sciences</v>
      </c>
      <c r="L401" s="28"/>
      <c r="M401" s="29" t="str">
        <f>VLOOKUP(A401, 'Session Data'!A:K,11,false)</f>
        <v>Bachelor of Science in Biology</v>
      </c>
      <c r="N401" s="26" t="str">
        <f>IF(ISNA(VLOOKUP(A401, 'Award Abstract#'!C:C, 1, FALSE)), "No", "Yes")
</f>
        <v>No</v>
      </c>
      <c r="O401" s="29" t="str">
        <f>IF(ISNA(VLOOKUP(A401,'Award Abstract#'!B:B,1,FALSE)), "No", "Yes")</f>
        <v>No</v>
      </c>
      <c r="P401" s="29" t="str">
        <f>IF(ISNA(VLOOKUP(A401,'Award Abstract#'!E:E,1,FALSE)), "No", "Yes")</f>
        <v>No</v>
      </c>
      <c r="Q401" s="29" t="str">
        <f>IF(ISNA(VLOOKUP(A401,'Award Abstract#'!A:A,1,FALSE)), "No", "Yes")</f>
        <v>No</v>
      </c>
      <c r="R401" s="29" t="str">
        <f>IF(ISNA(VLOOKUP(A401,'Award Abstract#'!D:D,1,FALSE)), "No", "Yes")</f>
        <v>No</v>
      </c>
      <c r="S401" s="30" t="str">
        <f>VLOOKUP(A401, 'Session Data'!A:AA,27,false)</f>
        <v>Woman</v>
      </c>
      <c r="T401" s="30"/>
      <c r="U401" s="30"/>
      <c r="V401" s="31" t="str">
        <f>VLOOKUP(A401, 'Session Data'!A:AA,8,false)</f>
        <v>Tram</v>
      </c>
      <c r="W401" s="32" t="str">
        <f>VLOOKUP(A401, 'Session Data'!A:AA,9,false)</f>
        <v>Nguyen</v>
      </c>
      <c r="X401" s="33" t="str">
        <f>VLOOKUP(A401, 'Session Data'!A:AA,12,false)</f>
        <v>Factors required for Nuclear Pore Complex Rejuvenation in Drosophila Oogenesis</v>
      </c>
      <c r="Y401" s="34" t="str">
        <f>VLOOKUP(A401, 'Session Data'!A:AA,22,false)</f>
        <v>Maya </v>
      </c>
      <c r="Z401" s="34" t="str">
        <f>VLOOKUP(A401, 'Session Data'!A:AA,23,false)</f>
        <v>Capelson</v>
      </c>
      <c r="AA401" s="34" t="str">
        <f>VLOOKUP(A401, 'Session Data'!A:AA,25,false)</f>
        <v>Sciences</v>
      </c>
      <c r="AB401" s="34" t="str">
        <f>VLOOKUP(A401, 'Session Data'!A:AA,24,false)</f>
        <v>mcapelson@sdsu.edu</v>
      </c>
      <c r="AC401" s="34" t="str">
        <f>VLOOKUP(A401, 'Session Data'!A:AA,16,false)</f>
        <v/>
      </c>
      <c r="AD401" s="35" t="str">
        <f>VLOOKUP(A401, 'Session Data'!A:U,17,false)</f>
        <v/>
      </c>
      <c r="AE401" s="35" t="str">
        <f>VLOOKUP(A401, 'Session Data'!A:U,18,false)</f>
        <v/>
      </c>
      <c r="AF401" s="35" t="str">
        <f>VLOOKUP(A401, 'Session Data'!A:U,19,false)</f>
        <v/>
      </c>
      <c r="AG401" s="35" t="str">
        <f>VLOOKUP(A401, 'Session Data'!A:U,20,false)</f>
        <v/>
      </c>
      <c r="AH401" s="35" t="str">
        <f>VLOOKUP(A401, 'Session Data'!A:U,21,false)</f>
        <v/>
      </c>
      <c r="AI401" s="37"/>
      <c r="AJ401" s="37"/>
      <c r="AK401" s="37"/>
      <c r="AL401" s="50"/>
      <c r="AM401" s="34" t="str">
        <f>VLOOKUP(A401, 'Session Data'!A:AA,10,false)</f>
        <v>tnguyen2399@sdsu.edu</v>
      </c>
      <c r="AN401" s="40"/>
      <c r="AO401" s="38"/>
      <c r="AP401" s="38"/>
      <c r="AQ401" s="38"/>
      <c r="AR401" s="38"/>
      <c r="AS401" s="38"/>
      <c r="AT401" s="38"/>
      <c r="AU401" s="38"/>
      <c r="AV401" s="38"/>
      <c r="AW401" s="38"/>
      <c r="AX401" s="38"/>
      <c r="AY401" s="43"/>
      <c r="AZ401" s="43"/>
      <c r="BA401" s="48"/>
      <c r="BB401" s="48"/>
      <c r="BC401" s="43"/>
      <c r="BD401" s="43"/>
      <c r="BE401" s="44"/>
      <c r="BF401" s="45"/>
      <c r="BG401" s="43"/>
    </row>
    <row r="402">
      <c r="A402" s="19" t="s">
        <v>473</v>
      </c>
      <c r="B402" s="20">
        <f>VLOOKUP(F402,'Session Count DO NOT EDIT'!$A:$C,3,FALSE)</f>
        <v>4</v>
      </c>
      <c r="C402" s="20">
        <f>COUNTIFS('Scores Import DO NOT EDIT'!D:D,A402)</f>
        <v>3</v>
      </c>
      <c r="D402" s="21">
        <f t="shared" si="1"/>
        <v>0.75</v>
      </c>
      <c r="E402" s="22">
        <f>AVERAGEIFS('Scores Import DO NOT EDIT'!L:L,'Scores Import DO NOT EDIT'!D:D,A402)</f>
        <v>26</v>
      </c>
      <c r="F402" s="23" t="str">
        <f>VLOOKUP(A402, 'Session Data'!A:M,3,false)</f>
        <v>H-3</v>
      </c>
      <c r="G402" s="24" t="str">
        <f>VLOOKUP(A402, 'Session Data'!A:I,2,false)</f>
        <v>1:00 PM</v>
      </c>
      <c r="H402" s="23" t="str">
        <f>VLOOKUP(A402, 'Session Data'!A:J,5,false)</f>
        <v>Biological and Agricultural Sciences 1</v>
      </c>
      <c r="I402" s="25" t="str">
        <f>VLOOKUP(A402, 'Session Data'!A:H,4,false)</f>
        <v>Poster</v>
      </c>
      <c r="J402" s="26" t="str">
        <f>VLOOKUP(A402, 'Session Data'!A:AA,14,false)</f>
        <v>Undergraduate</v>
      </c>
      <c r="K402" s="27" t="str">
        <f>VLOOKUP(A402, 'Session Data'!A:AA,15,false)</f>
        <v>Sciences</v>
      </c>
      <c r="L402" s="28"/>
      <c r="M402" s="29" t="str">
        <f>VLOOKUP(A402, 'Session Data'!A:K,11,false)</f>
        <v>Biology </v>
      </c>
      <c r="N402" s="26" t="str">
        <f>IF(ISNA(VLOOKUP(A402, 'Award Abstract#'!C:C, 1, FALSE)), "No", "Yes")
</f>
        <v>No</v>
      </c>
      <c r="O402" s="29" t="str">
        <f>IF(ISNA(VLOOKUP(A402,'Award Abstract#'!B:B,1,FALSE)), "No", "Yes")</f>
        <v>No</v>
      </c>
      <c r="P402" s="29" t="str">
        <f>IF(ISNA(VLOOKUP(A402,'Award Abstract#'!E:E,1,FALSE)), "No", "Yes")</f>
        <v>No</v>
      </c>
      <c r="Q402" s="29" t="str">
        <f>IF(ISNA(VLOOKUP(A402,'Award Abstract#'!A:A,1,FALSE)), "No", "Yes")</f>
        <v>No</v>
      </c>
      <c r="R402" s="29" t="str">
        <f>IF(ISNA(VLOOKUP(A402,'Award Abstract#'!D:D,1,FALSE)), "No", "Yes")</f>
        <v>No</v>
      </c>
      <c r="S402" s="30" t="str">
        <f>VLOOKUP(A402, 'Session Data'!A:AA,27,false)</f>
        <v>Woman</v>
      </c>
      <c r="T402" s="30"/>
      <c r="U402" s="30"/>
      <c r="V402" s="31" t="str">
        <f>VLOOKUP(A402, 'Session Data'!A:AA,8,false)</f>
        <v>Aneesa</v>
      </c>
      <c r="W402" s="32" t="str">
        <f>VLOOKUP(A402, 'Session Data'!A:AA,9,false)</f>
        <v>Mahmood</v>
      </c>
      <c r="X402" s="33" t="str">
        <f>VLOOKUP(A402, 'Session Data'!A:AA,12,false)</f>
        <v>Fetal Pancreatic Genetics in Lipogenesis and Type 2 Diabetes through Fetal Epigenomics </v>
      </c>
      <c r="Y402" s="34" t="str">
        <f>VLOOKUP(A402, 'Session Data'!A:AA,22,false)</f>
        <v>Kelly</v>
      </c>
      <c r="Z402" s="34" t="str">
        <f>VLOOKUP(A402, 'Session Data'!A:AA,23,false)</f>
        <v>Frazer</v>
      </c>
      <c r="AA402" s="34" t="str">
        <f>VLOOKUP(A402, 'Session Data'!A:AA,25,false)</f>
        <v>UCSD</v>
      </c>
      <c r="AB402" s="34" t="str">
        <f>VLOOKUP(A402, 'Session Data'!A:AA,24,false)</f>
        <v>kafrazer@health.ucsd.edu</v>
      </c>
      <c r="AC402" s="34" t="str">
        <f>VLOOKUP(A402, 'Session Data'!A:AA,16,false)</f>
        <v/>
      </c>
      <c r="AD402" s="35" t="str">
        <f>VLOOKUP(A402, 'Session Data'!A:U,17,false)</f>
        <v/>
      </c>
      <c r="AE402" s="35" t="str">
        <f>VLOOKUP(A402, 'Session Data'!A:U,18,false)</f>
        <v/>
      </c>
      <c r="AF402" s="35" t="str">
        <f>VLOOKUP(A402, 'Session Data'!A:U,19,false)</f>
        <v/>
      </c>
      <c r="AG402" s="35" t="str">
        <f>VLOOKUP(A402, 'Session Data'!A:U,20,false)</f>
        <v/>
      </c>
      <c r="AH402" s="35" t="str">
        <f>VLOOKUP(A402, 'Session Data'!A:U,21,false)</f>
        <v/>
      </c>
      <c r="AI402" s="37"/>
      <c r="AJ402" s="37"/>
      <c r="AK402" s="37"/>
      <c r="AL402" s="50"/>
      <c r="AM402" s="34" t="str">
        <f>VLOOKUP(A402, 'Session Data'!A:AA,10,false)</f>
        <v>amahmood8528@sdsu.edu</v>
      </c>
      <c r="AN402" s="40"/>
      <c r="AO402" s="38"/>
      <c r="AP402" s="38"/>
      <c r="AQ402" s="38"/>
      <c r="AR402" s="38"/>
      <c r="AS402" s="38"/>
      <c r="AT402" s="38"/>
      <c r="AU402" s="38"/>
      <c r="AV402" s="38"/>
      <c r="AW402" s="38"/>
      <c r="AX402" s="38"/>
      <c r="AY402" s="43"/>
      <c r="AZ402" s="43"/>
      <c r="BA402" s="43"/>
      <c r="BB402" s="43"/>
      <c r="BC402" s="43"/>
      <c r="BD402" s="43"/>
      <c r="BE402" s="44"/>
      <c r="BF402" s="45"/>
      <c r="BG402" s="43"/>
    </row>
    <row r="403">
      <c r="A403" s="19" t="s">
        <v>474</v>
      </c>
      <c r="B403" s="20">
        <f>VLOOKUP(F403,'Session Count DO NOT EDIT'!$A:$C,3,FALSE)</f>
        <v>5</v>
      </c>
      <c r="C403" s="20">
        <f>COUNTIFS('Scores Import DO NOT EDIT'!D:D,A403)</f>
        <v>5</v>
      </c>
      <c r="D403" s="21">
        <f t="shared" si="1"/>
        <v>1</v>
      </c>
      <c r="E403" s="22">
        <f>AVERAGEIFS('Scores Import DO NOT EDIT'!L:L,'Scores Import DO NOT EDIT'!D:D,A403)</f>
        <v>28.4</v>
      </c>
      <c r="F403" s="23" t="str">
        <f>VLOOKUP(A403, 'Session Data'!A:M,3,false)</f>
        <v>H-4</v>
      </c>
      <c r="G403" s="24" t="str">
        <f>VLOOKUP(A403, 'Session Data'!A:I,2,false)</f>
        <v>1:00 PM</v>
      </c>
      <c r="H403" s="23" t="str">
        <f>VLOOKUP(A403, 'Session Data'!A:J,5,false)</f>
        <v>Biological and Agricultural Sciences 2</v>
      </c>
      <c r="I403" s="25" t="str">
        <f>VLOOKUP(A403, 'Session Data'!A:H,4,false)</f>
        <v>Poster</v>
      </c>
      <c r="J403" s="26" t="str">
        <f>VLOOKUP(A403, 'Session Data'!A:AA,14,false)</f>
        <v>Undergraduate</v>
      </c>
      <c r="K403" s="27" t="str">
        <f>VLOOKUP(A403, 'Session Data'!A:AA,15,false)</f>
        <v>Engineering</v>
      </c>
      <c r="L403" s="28" t="s">
        <v>334</v>
      </c>
      <c r="M403" s="29" t="str">
        <f>VLOOKUP(A403, 'Session Data'!A:K,11,false)</f>
        <v>Bachelor of Science in Environmental Engineering</v>
      </c>
      <c r="N403" s="26" t="str">
        <f>IF(ISNA(VLOOKUP(A403, 'Award Abstract#'!C:C, 1, FALSE)), "No", "Yes")
</f>
        <v>No</v>
      </c>
      <c r="O403" s="29" t="str">
        <f>IF(ISNA(VLOOKUP(A403,'Award Abstract#'!B:B,1,FALSE)), "No", "Yes")</f>
        <v>Yes</v>
      </c>
      <c r="P403" s="29" t="str">
        <f>IF(ISNA(VLOOKUP(A403,'Award Abstract#'!E:E,1,FALSE)), "No", "Yes")</f>
        <v>No</v>
      </c>
      <c r="Q403" s="29" t="str">
        <f>IF(ISNA(VLOOKUP(A403,'Award Abstract#'!A:A,1,FALSE)), "No", "Yes")</f>
        <v>No</v>
      </c>
      <c r="R403" s="29" t="str">
        <f>IF(ISNA(VLOOKUP(A403,'Award Abstract#'!D:D,1,FALSE)), "No", "Yes")</f>
        <v>No</v>
      </c>
      <c r="S403" s="30" t="str">
        <f>VLOOKUP(A403, 'Session Data'!A:AA,27,false)</f>
        <v>Man</v>
      </c>
      <c r="T403" s="30"/>
      <c r="U403" s="30"/>
      <c r="V403" s="31" t="str">
        <f>VLOOKUP(A403, 'Session Data'!A:AA,8,false)</f>
        <v>Ryan</v>
      </c>
      <c r="W403" s="32" t="str">
        <f>VLOOKUP(A403, 'Session Data'!A:AA,9,false)</f>
        <v>Spaulding</v>
      </c>
      <c r="X403" s="33" t="str">
        <f>VLOOKUP(A403, 'Session Data'!A:AA,12,false)</f>
        <v>Fluorescence Spectroscopy: A Rapid, Cost- Effective Method of Photo-Resistance Determination</v>
      </c>
      <c r="Y403" s="34" t="str">
        <f>VLOOKUP(A403, 'Session Data'!A:AA,22,false)</f>
        <v>Natalie</v>
      </c>
      <c r="Z403" s="34" t="str">
        <f>VLOOKUP(A403, 'Session Data'!A:AA,23,false)</f>
        <v>Mladenov</v>
      </c>
      <c r="AA403" s="34" t="str">
        <f>VLOOKUP(A403, 'Session Data'!A:AA,25,false)</f>
        <v>Engineering</v>
      </c>
      <c r="AB403" s="34" t="str">
        <f>VLOOKUP(A403, 'Session Data'!A:AA,24,false)</f>
        <v>nmladenov@sdsu.edu</v>
      </c>
      <c r="AC403" s="34" t="str">
        <f>VLOOKUP(A403, 'Session Data'!A:AA,16,false)</f>
        <v/>
      </c>
      <c r="AD403" s="35" t="str">
        <f>VLOOKUP(A403, 'Session Data'!A:U,17,false)</f>
        <v/>
      </c>
      <c r="AE403" s="35" t="str">
        <f>VLOOKUP(A403, 'Session Data'!A:U,18,false)</f>
        <v/>
      </c>
      <c r="AF403" s="35" t="str">
        <f>VLOOKUP(A403, 'Session Data'!A:U,19,false)</f>
        <v/>
      </c>
      <c r="AG403" s="35" t="str">
        <f>VLOOKUP(A403, 'Session Data'!A:U,20,false)</f>
        <v/>
      </c>
      <c r="AH403" s="35" t="str">
        <f>VLOOKUP(A403, 'Session Data'!A:U,21,false)</f>
        <v/>
      </c>
      <c r="AI403" s="37"/>
      <c r="AJ403" s="37"/>
      <c r="AK403" s="37"/>
      <c r="AL403" s="50"/>
      <c r="AM403" s="34" t="str">
        <f>VLOOKUP(A403, 'Session Data'!A:AA,10,false)</f>
        <v>rspaulding6441@sdsu.edu</v>
      </c>
      <c r="AN403" s="40"/>
      <c r="AO403" s="38"/>
      <c r="AP403" s="38"/>
      <c r="AQ403" s="38"/>
      <c r="AR403" s="38"/>
      <c r="AS403" s="38"/>
      <c r="AT403" s="38"/>
      <c r="AU403" s="38"/>
      <c r="AV403" s="38"/>
      <c r="AW403" s="38"/>
      <c r="AX403" s="38"/>
      <c r="AY403" s="43"/>
      <c r="AZ403" s="43"/>
      <c r="BA403" s="43"/>
      <c r="BB403" s="43"/>
      <c r="BC403" s="43"/>
      <c r="BD403" s="43"/>
      <c r="BE403" s="44"/>
      <c r="BF403" s="45"/>
      <c r="BG403" s="43"/>
    </row>
    <row r="404">
      <c r="A404" s="19" t="s">
        <v>475</v>
      </c>
      <c r="B404" s="20">
        <f>VLOOKUP(F404,'Session Count DO NOT EDIT'!$A:$C,3,FALSE)</f>
        <v>5</v>
      </c>
      <c r="C404" s="20">
        <f>COUNTIFS('Scores Import DO NOT EDIT'!D:D,A404)</f>
        <v>0</v>
      </c>
      <c r="D404" s="21">
        <f t="shared" si="1"/>
        <v>0</v>
      </c>
      <c r="E404" s="22" t="str">
        <f>AVERAGEIFS('Scores Import DO NOT EDIT'!L:L,'Scores Import DO NOT EDIT'!D:D,A404)</f>
        <v>#DIV/0!</v>
      </c>
      <c r="F404" s="23" t="str">
        <f>VLOOKUP(A404, 'Session Data'!A:M,3,false)</f>
        <v>H-4</v>
      </c>
      <c r="G404" s="24" t="str">
        <f>VLOOKUP(A404, 'Session Data'!A:I,2,false)</f>
        <v>1:00 PM</v>
      </c>
      <c r="H404" s="23" t="str">
        <f>VLOOKUP(A404, 'Session Data'!A:J,5,false)</f>
        <v>Biological and Agricultural Sciences 2</v>
      </c>
      <c r="I404" s="25" t="str">
        <f>VLOOKUP(A404, 'Session Data'!A:H,4,false)</f>
        <v>Poster</v>
      </c>
      <c r="J404" s="26" t="str">
        <f>VLOOKUP(A404, 'Session Data'!A:AA,14,false)</f>
        <v>Undergraduate</v>
      </c>
      <c r="K404" s="27" t="str">
        <f>VLOOKUP(A404, 'Session Data'!A:AA,15,false)</f>
        <v>Arts and Letters</v>
      </c>
      <c r="L404" s="47"/>
      <c r="M404" s="29" t="str">
        <f>VLOOKUP(A404, 'Session Data'!A:K,11,false)</f>
        <v>Bachelor of Social Science</v>
      </c>
      <c r="N404" s="26" t="str">
        <f>IF(ISNA(VLOOKUP(A404, 'Award Abstract#'!C:C, 1, FALSE)), "No", "Yes")
</f>
        <v>No</v>
      </c>
      <c r="O404" s="29" t="str">
        <f>IF(ISNA(VLOOKUP(A404,'Award Abstract#'!B:B,1,FALSE)), "No", "Yes")</f>
        <v>No</v>
      </c>
      <c r="P404" s="29" t="str">
        <f>IF(ISNA(VLOOKUP(A404,'Award Abstract#'!E:E,1,FALSE)), "No", "Yes")</f>
        <v>Yes</v>
      </c>
      <c r="Q404" s="29" t="str">
        <f>IF(ISNA(VLOOKUP(A404,'Award Abstract#'!A:A,1,FALSE)), "No", "Yes")</f>
        <v>No</v>
      </c>
      <c r="R404" s="29" t="str">
        <f>IF(ISNA(VLOOKUP(A404,'Award Abstract#'!D:D,1,FALSE)), "No", "Yes")</f>
        <v>Yes</v>
      </c>
      <c r="S404" s="30" t="str">
        <f>VLOOKUP(A404, 'Session Data'!A:AA,27,false)</f>
        <v>Woman, Non-binary/non-conforming</v>
      </c>
      <c r="T404" s="30"/>
      <c r="U404" s="30"/>
      <c r="V404" s="31" t="str">
        <f>VLOOKUP(A404, 'Session Data'!A:AA,8,false)</f>
        <v>Nyla</v>
      </c>
      <c r="W404" s="32" t="str">
        <f>VLOOKUP(A404, 'Session Data'!A:AA,9,false)</f>
        <v>McGlory</v>
      </c>
      <c r="X404" s="33" t="str">
        <f>VLOOKUP(A404, 'Session Data'!A:AA,12,false)</f>
        <v>Mobile Farmers Market </v>
      </c>
      <c r="Y404" s="34" t="str">
        <f>VLOOKUP(A404, 'Session Data'!A:AA,22,false)</f>
        <v>Amanda</v>
      </c>
      <c r="Z404" s="34" t="str">
        <f>VLOOKUP(A404, 'Session Data'!A:AA,23,false)</f>
        <v>McClain</v>
      </c>
      <c r="AA404" s="34" t="str">
        <f>VLOOKUP(A404, 'Session Data'!A:AA,25,false)</f>
        <v>Health and Human Services</v>
      </c>
      <c r="AB404" s="34" t="str">
        <f>VLOOKUP(A404, 'Session Data'!A:AA,24,false)</f>
        <v>amcclain@sdsu.edu</v>
      </c>
      <c r="AC404" s="34" t="str">
        <f>VLOOKUP(A404, 'Session Data'!A:AA,16,false)</f>
        <v>Andrea Meza</v>
      </c>
      <c r="AD404" s="35" t="str">
        <f>VLOOKUP(A404, 'Session Data'!A:U,17,false)</f>
        <v/>
      </c>
      <c r="AE404" s="35" t="str">
        <f>VLOOKUP(A404, 'Session Data'!A:U,18,false)</f>
        <v/>
      </c>
      <c r="AF404" s="35" t="str">
        <f>VLOOKUP(A404, 'Session Data'!A:U,19,false)</f>
        <v/>
      </c>
      <c r="AG404" s="35" t="str">
        <f>VLOOKUP(A404, 'Session Data'!A:U,20,false)</f>
        <v/>
      </c>
      <c r="AH404" s="35" t="str">
        <f>VLOOKUP(A404, 'Session Data'!A:U,21,false)</f>
        <v/>
      </c>
      <c r="AI404" s="37"/>
      <c r="AJ404" s="37"/>
      <c r="AK404" s="37"/>
      <c r="AL404" s="50"/>
      <c r="AM404" s="34" t="str">
        <f>VLOOKUP(A404, 'Session Data'!A:AA,10,false)</f>
        <v>nmcglory8625@sdsu.edu</v>
      </c>
      <c r="AN404" s="40"/>
      <c r="AO404" s="38"/>
      <c r="AP404" s="38"/>
      <c r="AQ404" s="38"/>
      <c r="AR404" s="38"/>
      <c r="AS404" s="38"/>
      <c r="AT404" s="38"/>
      <c r="AU404" s="38"/>
      <c r="AV404" s="38"/>
      <c r="AW404" s="38"/>
      <c r="AX404" s="38"/>
      <c r="AY404" s="43"/>
      <c r="AZ404" s="43"/>
      <c r="BA404" s="48"/>
      <c r="BB404" s="48"/>
      <c r="BC404" s="43"/>
      <c r="BD404" s="43"/>
      <c r="BE404" s="44"/>
      <c r="BF404" s="45"/>
      <c r="BG404" s="43"/>
    </row>
    <row r="405">
      <c r="A405" s="19" t="s">
        <v>476</v>
      </c>
      <c r="B405" s="20">
        <f>VLOOKUP(F405,'Session Count DO NOT EDIT'!$A:$C,3,FALSE)</f>
        <v>5</v>
      </c>
      <c r="C405" s="20">
        <f>COUNTIFS('Scores Import DO NOT EDIT'!D:D,A405)</f>
        <v>5</v>
      </c>
      <c r="D405" s="21">
        <f t="shared" si="1"/>
        <v>1</v>
      </c>
      <c r="E405" s="22">
        <f>AVERAGEIFS('Scores Import DO NOT EDIT'!L:L,'Scores Import DO NOT EDIT'!D:D,A405)</f>
        <v>27.8</v>
      </c>
      <c r="F405" s="23" t="str">
        <f>VLOOKUP(A405, 'Session Data'!A:M,3,false)</f>
        <v>H-4</v>
      </c>
      <c r="G405" s="24" t="str">
        <f>VLOOKUP(A405, 'Session Data'!A:I,2,false)</f>
        <v>1:00 PM</v>
      </c>
      <c r="H405" s="23" t="str">
        <f>VLOOKUP(A405, 'Session Data'!A:J,5,false)</f>
        <v>Biological and Agricultural Sciences 2</v>
      </c>
      <c r="I405" s="25" t="str">
        <f>VLOOKUP(A405, 'Session Data'!A:H,4,false)</f>
        <v>Poster</v>
      </c>
      <c r="J405" s="26" t="str">
        <f>VLOOKUP(A405, 'Session Data'!A:AA,14,false)</f>
        <v>Undergraduate</v>
      </c>
      <c r="K405" s="27" t="str">
        <f>VLOOKUP(A405, 'Session Data'!A:AA,15,false)</f>
        <v>Sciences</v>
      </c>
      <c r="L405" s="47"/>
      <c r="M405" s="29" t="str">
        <f>VLOOKUP(A405, 'Session Data'!A:K,11,false)</f>
        <v>bachelors of science in biochemistry</v>
      </c>
      <c r="N405" s="26" t="str">
        <f>IF(ISNA(VLOOKUP(A405, 'Award Abstract#'!C:C, 1, FALSE)), "No", "Yes")
</f>
        <v>No</v>
      </c>
      <c r="O405" s="29" t="str">
        <f>IF(ISNA(VLOOKUP(A405,'Award Abstract#'!B:B,1,FALSE)), "No", "Yes")</f>
        <v>No</v>
      </c>
      <c r="P405" s="29" t="str">
        <f>IF(ISNA(VLOOKUP(A405,'Award Abstract#'!E:E,1,FALSE)), "No", "Yes")</f>
        <v>No</v>
      </c>
      <c r="Q405" s="29" t="str">
        <f>IF(ISNA(VLOOKUP(A405,'Award Abstract#'!A:A,1,FALSE)), "No", "Yes")</f>
        <v>No</v>
      </c>
      <c r="R405" s="29" t="str">
        <f>IF(ISNA(VLOOKUP(A405,'Award Abstract#'!D:D,1,FALSE)), "No", "Yes")</f>
        <v>No</v>
      </c>
      <c r="S405" s="30" t="str">
        <f>VLOOKUP(A405, 'Session Data'!A:AA,27,false)</f>
        <v>Woman</v>
      </c>
      <c r="T405" s="30"/>
      <c r="U405" s="30"/>
      <c r="V405" s="31" t="str">
        <f>VLOOKUP(A405, 'Session Data'!A:AA,8,false)</f>
        <v>Dina</v>
      </c>
      <c r="W405" s="32" t="str">
        <f>VLOOKUP(A405, 'Session Data'!A:AA,9,false)</f>
        <v>Shehadeh</v>
      </c>
      <c r="X405" s="33" t="str">
        <f>VLOOKUP(A405, 'Session Data'!A:AA,12,false)</f>
        <v>Isolation of Polar Trifluoroborates </v>
      </c>
      <c r="Y405" s="34" t="str">
        <f>VLOOKUP(A405, 'Session Data'!A:AA,22,false)</f>
        <v>Thomas</v>
      </c>
      <c r="Z405" s="34" t="str">
        <f>VLOOKUP(A405, 'Session Data'!A:AA,23,false)</f>
        <v>Cole</v>
      </c>
      <c r="AA405" s="34" t="str">
        <f>VLOOKUP(A405, 'Session Data'!A:AA,25,false)</f>
        <v>Sciences</v>
      </c>
      <c r="AB405" s="34" t="str">
        <f>VLOOKUP(A405, 'Session Data'!A:AA,24,false)</f>
        <v>tcole@sdsu.edu</v>
      </c>
      <c r="AC405" s="34" t="str">
        <f>VLOOKUP(A405, 'Session Data'!A:AA,16,false)</f>
        <v>Avery </v>
      </c>
      <c r="AD405" s="35" t="str">
        <f>VLOOKUP(A405, 'Session Data'!A:U,17,false)</f>
        <v>Beilstein</v>
      </c>
      <c r="AE405" s="35" t="str">
        <f>VLOOKUP(A405, 'Session Data'!A:U,18,false)</f>
        <v>Alayna</v>
      </c>
      <c r="AF405" s="35" t="str">
        <f>VLOOKUP(A405, 'Session Data'!A:U,19,false)</f>
        <v>Perez</v>
      </c>
      <c r="AG405" s="35" t="str">
        <f>VLOOKUP(A405, 'Session Data'!A:U,20,false)</f>
        <v>Alejandra</v>
      </c>
      <c r="AH405" s="35" t="str">
        <f>VLOOKUP(A405, 'Session Data'!A:U,21,false)</f>
        <v>Hagewood</v>
      </c>
      <c r="AI405" s="37"/>
      <c r="AJ405" s="37"/>
      <c r="AK405" s="37"/>
      <c r="AL405" s="50"/>
      <c r="AM405" s="34" t="str">
        <f>VLOOKUP(A405, 'Session Data'!A:AA,10,false)</f>
        <v>dshehadeh9278@sdsu.edu</v>
      </c>
      <c r="AN405" s="40"/>
      <c r="AO405" s="38"/>
      <c r="AP405" s="38"/>
      <c r="AQ405" s="38"/>
      <c r="AR405" s="38"/>
      <c r="AS405" s="38"/>
      <c r="AT405" s="38"/>
      <c r="AU405" s="38"/>
      <c r="AV405" s="38"/>
      <c r="AW405" s="38"/>
      <c r="AX405" s="38"/>
      <c r="AY405" s="43"/>
      <c r="AZ405" s="43"/>
      <c r="BA405" s="48"/>
      <c r="BB405" s="48"/>
      <c r="BC405" s="43"/>
      <c r="BD405" s="43"/>
      <c r="BE405" s="44"/>
      <c r="BF405" s="45"/>
      <c r="BG405" s="46"/>
    </row>
    <row r="406">
      <c r="A406" s="19" t="s">
        <v>477</v>
      </c>
      <c r="B406" s="20">
        <f>VLOOKUP(F406,'Session Count DO NOT EDIT'!$A:$C,3,FALSE)</f>
        <v>5</v>
      </c>
      <c r="C406" s="20">
        <f>COUNTIFS('Scores Import DO NOT EDIT'!D:D,A406)</f>
        <v>5</v>
      </c>
      <c r="D406" s="21">
        <f t="shared" si="1"/>
        <v>1</v>
      </c>
      <c r="E406" s="22">
        <f>AVERAGEIFS('Scores Import DO NOT EDIT'!L:L,'Scores Import DO NOT EDIT'!D:D,A406)</f>
        <v>26.8</v>
      </c>
      <c r="F406" s="23" t="str">
        <f>VLOOKUP(A406, 'Session Data'!A:M,3,false)</f>
        <v>H-4</v>
      </c>
      <c r="G406" s="24" t="str">
        <f>VLOOKUP(A406, 'Session Data'!A:I,2,false)</f>
        <v>1:00 PM</v>
      </c>
      <c r="H406" s="23" t="str">
        <f>VLOOKUP(A406, 'Session Data'!A:J,5,false)</f>
        <v>Biological and Agricultural Sciences 2</v>
      </c>
      <c r="I406" s="25" t="str">
        <f>VLOOKUP(A406, 'Session Data'!A:H,4,false)</f>
        <v>Poster</v>
      </c>
      <c r="J406" s="26" t="str">
        <f>VLOOKUP(A406, 'Session Data'!A:AA,14,false)</f>
        <v>Undergraduate</v>
      </c>
      <c r="K406" s="27" t="str">
        <f>VLOOKUP(A406, 'Session Data'!A:AA,15,false)</f>
        <v>Sciences</v>
      </c>
      <c r="L406" s="28"/>
      <c r="M406" s="29" t="str">
        <f>VLOOKUP(A406, 'Session Data'!A:K,11,false)</f>
        <v>Chemistry with an Emphasis in Biochemistry </v>
      </c>
      <c r="N406" s="26" t="str">
        <f>IF(ISNA(VLOOKUP(A406, 'Award Abstract#'!C:C, 1, FALSE)), "No", "Yes")
</f>
        <v>No</v>
      </c>
      <c r="O406" s="29" t="str">
        <f>IF(ISNA(VLOOKUP(A406,'Award Abstract#'!B:B,1,FALSE)), "No", "Yes")</f>
        <v>No</v>
      </c>
      <c r="P406" s="29" t="str">
        <f>IF(ISNA(VLOOKUP(A406,'Award Abstract#'!E:E,1,FALSE)), "No", "Yes")</f>
        <v>Yes</v>
      </c>
      <c r="Q406" s="29" t="str">
        <f>IF(ISNA(VLOOKUP(A406,'Award Abstract#'!A:A,1,FALSE)), "No", "Yes")</f>
        <v>No</v>
      </c>
      <c r="R406" s="29" t="str">
        <f>IF(ISNA(VLOOKUP(A406,'Award Abstract#'!D:D,1,FALSE)), "No", "Yes")</f>
        <v>Yes</v>
      </c>
      <c r="S406" s="30" t="str">
        <f>VLOOKUP(A406, 'Session Data'!A:AA,27,false)</f>
        <v>Man</v>
      </c>
      <c r="T406" s="30"/>
      <c r="U406" s="30"/>
      <c r="V406" s="31" t="str">
        <f>VLOOKUP(A406, 'Session Data'!A:AA,8,false)</f>
        <v>Darius</v>
      </c>
      <c r="W406" s="32" t="str">
        <f>VLOOKUP(A406, 'Session Data'!A:AA,9,false)</f>
        <v>Hyde</v>
      </c>
      <c r="X406" s="33" t="str">
        <f>VLOOKUP(A406, 'Session Data'!A:AA,12,false)</f>
        <v>Site-directed mutagenesis and Kinetic analysis in the IDH1 enzyme</v>
      </c>
      <c r="Y406" s="34" t="str">
        <f>VLOOKUP(A406, 'Session Data'!A:AA,22,false)</f>
        <v>Christal</v>
      </c>
      <c r="Z406" s="34" t="str">
        <f>VLOOKUP(A406, 'Session Data'!A:AA,23,false)</f>
        <v>Sohl</v>
      </c>
      <c r="AA406" s="34" t="str">
        <f>VLOOKUP(A406, 'Session Data'!A:AA,25,false)</f>
        <v>Sciences</v>
      </c>
      <c r="AB406" s="34" t="str">
        <f>VLOOKUP(A406, 'Session Data'!A:AA,24,false)</f>
        <v>csohl@sdsu.edu</v>
      </c>
      <c r="AC406" s="34" t="str">
        <f>VLOOKUP(A406, 'Session Data'!A:AA,16,false)</f>
        <v/>
      </c>
      <c r="AD406" s="35" t="str">
        <f>VLOOKUP(A406, 'Session Data'!A:U,17,false)</f>
        <v/>
      </c>
      <c r="AE406" s="35" t="str">
        <f>VLOOKUP(A406, 'Session Data'!A:U,18,false)</f>
        <v/>
      </c>
      <c r="AF406" s="35" t="str">
        <f>VLOOKUP(A406, 'Session Data'!A:U,19,false)</f>
        <v/>
      </c>
      <c r="AG406" s="35" t="str">
        <f>VLOOKUP(A406, 'Session Data'!A:U,20,false)</f>
        <v/>
      </c>
      <c r="AH406" s="35" t="str">
        <f>VLOOKUP(A406, 'Session Data'!A:U,21,false)</f>
        <v/>
      </c>
      <c r="AI406" s="37"/>
      <c r="AJ406" s="37"/>
      <c r="AK406" s="37"/>
      <c r="AL406" s="50"/>
      <c r="AM406" s="34" t="str">
        <f>VLOOKUP(A406, 'Session Data'!A:AA,10,false)</f>
        <v>dhyde7954@sdsu.edu</v>
      </c>
      <c r="AN406" s="40"/>
      <c r="AO406" s="38"/>
      <c r="AP406" s="38"/>
      <c r="AQ406" s="38"/>
      <c r="AR406" s="38"/>
      <c r="AS406" s="38"/>
      <c r="AT406" s="38"/>
      <c r="AU406" s="38"/>
      <c r="AV406" s="38"/>
      <c r="AW406" s="38"/>
      <c r="AX406" s="38"/>
      <c r="AY406" s="43"/>
      <c r="AZ406" s="43"/>
      <c r="BA406" s="48"/>
      <c r="BB406" s="48"/>
      <c r="BC406" s="43"/>
      <c r="BD406" s="43"/>
      <c r="BE406" s="44"/>
      <c r="BF406" s="45"/>
      <c r="BG406" s="46"/>
    </row>
    <row r="407">
      <c r="A407" s="19" t="s">
        <v>478</v>
      </c>
      <c r="B407" s="20">
        <f>VLOOKUP(F407,'Session Count DO NOT EDIT'!$A:$C,3,FALSE)</f>
        <v>5</v>
      </c>
      <c r="C407" s="20">
        <f>COUNTIFS('Scores Import DO NOT EDIT'!D:D,A407)</f>
        <v>5</v>
      </c>
      <c r="D407" s="21">
        <f t="shared" si="1"/>
        <v>1</v>
      </c>
      <c r="E407" s="22">
        <f>AVERAGEIFS('Scores Import DO NOT EDIT'!L:L,'Scores Import DO NOT EDIT'!D:D,A407)</f>
        <v>25.8</v>
      </c>
      <c r="F407" s="23" t="str">
        <f>VLOOKUP(A407, 'Session Data'!A:M,3,false)</f>
        <v>H-4</v>
      </c>
      <c r="G407" s="24" t="str">
        <f>VLOOKUP(A407, 'Session Data'!A:I,2,false)</f>
        <v>1:00 PM</v>
      </c>
      <c r="H407" s="23" t="str">
        <f>VLOOKUP(A407, 'Session Data'!A:J,5,false)</f>
        <v>Biological and Agricultural Sciences 2</v>
      </c>
      <c r="I407" s="25" t="str">
        <f>VLOOKUP(A407, 'Session Data'!A:H,4,false)</f>
        <v>Poster</v>
      </c>
      <c r="J407" s="26" t="str">
        <f>VLOOKUP(A407, 'Session Data'!A:AA,14,false)</f>
        <v>Undergraduate</v>
      </c>
      <c r="K407" s="27" t="str">
        <f>VLOOKUP(A407, 'Session Data'!A:AA,15,false)</f>
        <v>Sciences</v>
      </c>
      <c r="L407" s="28"/>
      <c r="M407" s="29" t="str">
        <f>VLOOKUP(A407, 'Session Data'!A:K,11,false)</f>
        <v>Biology, Emphasis in Cellular and Molecular Biology, B.S. in Applied Arts and Sciences</v>
      </c>
      <c r="N407" s="26" t="str">
        <f>IF(ISNA(VLOOKUP(A407, 'Award Abstract#'!C:C, 1, FALSE)), "No", "Yes")
</f>
        <v>No</v>
      </c>
      <c r="O407" s="29" t="str">
        <f>IF(ISNA(VLOOKUP(A407,'Award Abstract#'!B:B,1,FALSE)), "No", "Yes")</f>
        <v>No</v>
      </c>
      <c r="P407" s="29" t="str">
        <f>IF(ISNA(VLOOKUP(A407,'Award Abstract#'!E:E,1,FALSE)), "No", "Yes")</f>
        <v>No</v>
      </c>
      <c r="Q407" s="29" t="str">
        <f>IF(ISNA(VLOOKUP(A407,'Award Abstract#'!A:A,1,FALSE)), "No", "Yes")</f>
        <v>No</v>
      </c>
      <c r="R407" s="29" t="str">
        <f>IF(ISNA(VLOOKUP(A407,'Award Abstract#'!D:D,1,FALSE)), "No", "Yes")</f>
        <v>No</v>
      </c>
      <c r="S407" s="30" t="str">
        <f>VLOOKUP(A407, 'Session Data'!A:AA,27,false)</f>
        <v>Woman</v>
      </c>
      <c r="T407" s="30"/>
      <c r="U407" s="30"/>
      <c r="V407" s="31" t="str">
        <f>VLOOKUP(A407, 'Session Data'!A:AA,8,false)</f>
        <v> Esmeralda</v>
      </c>
      <c r="W407" s="32" t="str">
        <f>VLOOKUP(A407, 'Session Data'!A:AA,9,false)</f>
        <v> Salcedo</v>
      </c>
      <c r="X407" s="33" t="str">
        <f>VLOOKUP(A407, 'Session Data'!A:AA,12,false)</f>
        <v>Purification of Microtubules to Understand Mechanism of Protein Chaperone UNC-45</v>
      </c>
      <c r="Y407" s="34" t="str">
        <f>VLOOKUP(A407, 'Session Data'!A:AA,22,false)</f>
        <v>Dr Sanford</v>
      </c>
      <c r="Z407" s="34" t="str">
        <f>VLOOKUP(A407, 'Session Data'!A:AA,23,false)</f>
        <v>Bernstein</v>
      </c>
      <c r="AA407" s="34" t="str">
        <f>VLOOKUP(A407, 'Session Data'!A:AA,25,false)</f>
        <v>Sciences</v>
      </c>
      <c r="AB407" s="34"/>
      <c r="AC407" s="34" t="str">
        <f>VLOOKUP(A407, 'Session Data'!A:AA,16,false)</f>
        <v/>
      </c>
      <c r="AD407" s="35" t="str">
        <f>VLOOKUP(A407, 'Session Data'!A:U,17,false)</f>
        <v/>
      </c>
      <c r="AE407" s="35" t="str">
        <f>VLOOKUP(A407, 'Session Data'!A:U,18,false)</f>
        <v/>
      </c>
      <c r="AF407" s="35" t="str">
        <f>VLOOKUP(A407, 'Session Data'!A:U,19,false)</f>
        <v/>
      </c>
      <c r="AG407" s="35" t="str">
        <f>VLOOKUP(A407, 'Session Data'!A:U,20,false)</f>
        <v/>
      </c>
      <c r="AH407" s="35" t="str">
        <f>VLOOKUP(A407, 'Session Data'!A:U,21,false)</f>
        <v/>
      </c>
      <c r="AI407" s="37"/>
      <c r="AJ407" s="37"/>
      <c r="AK407" s="37"/>
      <c r="AL407" s="50"/>
      <c r="AM407" s="34" t="str">
        <f>VLOOKUP(A407, 'Session Data'!A:AA,10,false)</f>
        <v>esalcedo7130@sdsu.edu</v>
      </c>
      <c r="AN407" s="40"/>
      <c r="AO407" s="38"/>
      <c r="AP407" s="38"/>
      <c r="AQ407" s="38"/>
      <c r="AR407" s="38"/>
      <c r="AS407" s="38"/>
      <c r="AT407" s="38"/>
      <c r="AU407" s="38"/>
      <c r="AV407" s="38"/>
      <c r="AW407" s="38"/>
      <c r="AX407" s="38"/>
      <c r="AY407" s="43"/>
      <c r="AZ407" s="43"/>
      <c r="BA407" s="43"/>
      <c r="BB407" s="43"/>
      <c r="BC407" s="43"/>
      <c r="BD407" s="43"/>
      <c r="BE407" s="44"/>
      <c r="BF407" s="45"/>
      <c r="BG407" s="43"/>
    </row>
    <row r="408">
      <c r="A408" s="19" t="s">
        <v>479</v>
      </c>
      <c r="B408" s="20">
        <f>VLOOKUP(F408,'Session Count DO NOT EDIT'!$A:$C,3,FALSE)</f>
        <v>5</v>
      </c>
      <c r="C408" s="20">
        <f>COUNTIFS('Scores Import DO NOT EDIT'!D:D,A408)</f>
        <v>5</v>
      </c>
      <c r="D408" s="21">
        <f t="shared" si="1"/>
        <v>1</v>
      </c>
      <c r="E408" s="22">
        <f>AVERAGEIFS('Scores Import DO NOT EDIT'!L:L,'Scores Import DO NOT EDIT'!D:D,A408)</f>
        <v>26.6</v>
      </c>
      <c r="F408" s="23" t="str">
        <f>VLOOKUP(A408, 'Session Data'!A:M,3,false)</f>
        <v>H-5</v>
      </c>
      <c r="G408" s="24" t="str">
        <f>VLOOKUP(A408, 'Session Data'!A:I,2,false)</f>
        <v>1:00 PM</v>
      </c>
      <c r="H408" s="23" t="str">
        <f>VLOOKUP(A408, 'Session Data'!A:J,5,false)</f>
        <v>Physical and Mathematical Sciences 1</v>
      </c>
      <c r="I408" s="25" t="str">
        <f>VLOOKUP(A408, 'Session Data'!A:H,4,false)</f>
        <v>Poster</v>
      </c>
      <c r="J408" s="26" t="str">
        <f>VLOOKUP(A408, 'Session Data'!A:AA,14,false)</f>
        <v>Undergraduate</v>
      </c>
      <c r="K408" s="27" t="str">
        <f>VLOOKUP(A408, 'Session Data'!A:AA,15,false)</f>
        <v>Engineering</v>
      </c>
      <c r="L408" s="28"/>
      <c r="M408" s="29" t="str">
        <f>VLOOKUP(A408, 'Session Data'!A:K,11,false)</f>
        <v>Environmental Engineering/Bachelor of Science</v>
      </c>
      <c r="N408" s="26" t="str">
        <f>IF(ISNA(VLOOKUP(A408, 'Award Abstract#'!C:C, 1, FALSE)), "No", "Yes")
</f>
        <v>No</v>
      </c>
      <c r="O408" s="29" t="str">
        <f>IF(ISNA(VLOOKUP(A408,'Award Abstract#'!B:B,1,FALSE)), "No", "Yes")</f>
        <v>Yes</v>
      </c>
      <c r="P408" s="29" t="str">
        <f>IF(ISNA(VLOOKUP(A408,'Award Abstract#'!E:E,1,FALSE)), "No", "Yes")</f>
        <v>No</v>
      </c>
      <c r="Q408" s="29" t="str">
        <f>IF(ISNA(VLOOKUP(A408,'Award Abstract#'!A:A,1,FALSE)), "No", "Yes")</f>
        <v>No</v>
      </c>
      <c r="R408" s="29" t="str">
        <f>IF(ISNA(VLOOKUP(A408,'Award Abstract#'!D:D,1,FALSE)), "No", "Yes")</f>
        <v>No</v>
      </c>
      <c r="S408" s="30" t="str">
        <f>VLOOKUP(A408, 'Session Data'!A:AA,27,false)</f>
        <v>Woman</v>
      </c>
      <c r="T408" s="30"/>
      <c r="U408" s="30"/>
      <c r="V408" s="31" t="str">
        <f>VLOOKUP(A408, 'Session Data'!A:AA,8,false)</f>
        <v>Shruti</v>
      </c>
      <c r="W408" s="32" t="str">
        <f>VLOOKUP(A408, 'Session Data'!A:AA,9,false)</f>
        <v>Gokhale </v>
      </c>
      <c r="X408" s="33" t="str">
        <f>VLOOKUP(A408, 'Session Data'!A:AA,12,false)</f>
        <v>Effects of Non-native Vegetation on Fires in the Urban Mediterranean Systems</v>
      </c>
      <c r="Y408" s="34" t="str">
        <f>VLOOKUP(A408, 'Session Data'!A:AA,22,false)</f>
        <v>Alicia</v>
      </c>
      <c r="Z408" s="34" t="str">
        <f>VLOOKUP(A408, 'Session Data'!A:AA,23,false)</f>
        <v>Kinoshita</v>
      </c>
      <c r="AA408" s="34" t="str">
        <f>VLOOKUP(A408, 'Session Data'!A:AA,25,false)</f>
        <v>Engineering</v>
      </c>
      <c r="AB408" s="34" t="str">
        <f>VLOOKUP(A408, 'Session Data'!A:AA,24,false)</f>
        <v>akinoshita@sdsu.edu</v>
      </c>
      <c r="AC408" s="34" t="str">
        <f>VLOOKUP(A408, 'Session Data'!A:AA,16,false)</f>
        <v/>
      </c>
      <c r="AD408" s="35" t="str">
        <f>VLOOKUP(A408, 'Session Data'!A:U,17,false)</f>
        <v/>
      </c>
      <c r="AE408" s="35" t="str">
        <f>VLOOKUP(A408, 'Session Data'!A:U,18,false)</f>
        <v/>
      </c>
      <c r="AF408" s="35" t="str">
        <f>VLOOKUP(A408, 'Session Data'!A:U,19,false)</f>
        <v/>
      </c>
      <c r="AG408" s="35" t="str">
        <f>VLOOKUP(A408, 'Session Data'!A:U,20,false)</f>
        <v/>
      </c>
      <c r="AH408" s="35" t="str">
        <f>VLOOKUP(A408, 'Session Data'!A:U,21,false)</f>
        <v/>
      </c>
      <c r="AI408" s="37"/>
      <c r="AJ408" s="37"/>
      <c r="AK408" s="37"/>
      <c r="AL408" s="50"/>
      <c r="AM408" s="34" t="str">
        <f>VLOOKUP(A408, 'Session Data'!A:AA,10,false)</f>
        <v>sgokhale2280@sdsu.edu</v>
      </c>
      <c r="AN408" s="40"/>
      <c r="AO408" s="38"/>
      <c r="AP408" s="38"/>
      <c r="AQ408" s="38"/>
      <c r="AR408" s="38"/>
      <c r="AS408" s="38"/>
      <c r="AT408" s="38"/>
      <c r="AU408" s="38"/>
      <c r="AV408" s="38"/>
      <c r="AW408" s="38"/>
      <c r="AX408" s="38"/>
      <c r="AY408" s="43"/>
      <c r="AZ408" s="43"/>
      <c r="BA408" s="43"/>
      <c r="BB408" s="43"/>
      <c r="BC408" s="43"/>
      <c r="BD408" s="43"/>
      <c r="BE408" s="44"/>
      <c r="BF408" s="45"/>
      <c r="BG408" s="43"/>
    </row>
    <row r="409">
      <c r="A409" s="78" t="s">
        <v>480</v>
      </c>
      <c r="B409" s="20">
        <f>VLOOKUP(F409,'Session Count DO NOT EDIT'!$A:$C,3,FALSE)</f>
        <v>5</v>
      </c>
      <c r="C409" s="20">
        <f>COUNTIFS('Scores Import DO NOT EDIT'!D:D,A409)</f>
        <v>0</v>
      </c>
      <c r="D409" s="21">
        <f t="shared" si="1"/>
        <v>0</v>
      </c>
      <c r="E409" s="22" t="str">
        <f>AVERAGEIFS('Scores Import DO NOT EDIT'!L:L,'Scores Import DO NOT EDIT'!D:D,A409)</f>
        <v>#DIV/0!</v>
      </c>
      <c r="F409" s="23" t="str">
        <f>VLOOKUP(A409, 'Session Data'!A:M,3,false)</f>
        <v>H-5</v>
      </c>
      <c r="G409" s="24" t="str">
        <f>VLOOKUP(A409, 'Session Data'!A:I,2,false)</f>
        <v>1:00 PM</v>
      </c>
      <c r="H409" s="23" t="str">
        <f>VLOOKUP(A409, 'Session Data'!A:J,5,false)</f>
        <v>Physical and Mathematical Sciences 1</v>
      </c>
      <c r="I409" s="25" t="str">
        <f>VLOOKUP(A409, 'Session Data'!A:H,4,false)</f>
        <v>Poster</v>
      </c>
      <c r="J409" s="26" t="str">
        <f>VLOOKUP(A409, 'Session Data'!A:AA,14,false)</f>
        <v>Undergraduate</v>
      </c>
      <c r="K409" s="27" t="str">
        <f>VLOOKUP(A409, 'Session Data'!A:AA,15,false)</f>
        <v>Arts and Letters</v>
      </c>
      <c r="L409" s="28"/>
      <c r="M409" s="29" t="str">
        <f>VLOOKUP(A409, 'Session Data'!A:K,11,false)</f>
        <v>Geography</v>
      </c>
      <c r="N409" s="26" t="str">
        <f>IF(ISNA(VLOOKUP(A409, 'Award Abstract#'!C:C, 1, FALSE)), "No", "Yes")
</f>
        <v>No</v>
      </c>
      <c r="O409" s="29" t="str">
        <f>IF(ISNA(VLOOKUP(A409,'Award Abstract#'!B:B,1,FALSE)), "No", "Yes")</f>
        <v>No</v>
      </c>
      <c r="P409" s="29" t="str">
        <f>IF(ISNA(VLOOKUP(A409,'Award Abstract#'!E:E,1,FALSE)), "No", "Yes")</f>
        <v>No</v>
      </c>
      <c r="Q409" s="29" t="str">
        <f>IF(ISNA(VLOOKUP(A409,'Award Abstract#'!A:A,1,FALSE)), "No", "Yes")</f>
        <v>No</v>
      </c>
      <c r="R409" s="29" t="str">
        <f>IF(ISNA(VLOOKUP(A409,'Award Abstract#'!D:D,1,FALSE)), "No", "Yes")</f>
        <v>No</v>
      </c>
      <c r="S409" s="30" t="str">
        <f>VLOOKUP(A409, 'Session Data'!A:AA,27,false)</f>
        <v>Man</v>
      </c>
      <c r="T409" s="30"/>
      <c r="U409" s="30"/>
      <c r="V409" s="31" t="str">
        <f>VLOOKUP(A409, 'Session Data'!A:AA,8,false)</f>
        <v>James</v>
      </c>
      <c r="W409" s="32" t="str">
        <f>VLOOKUP(A409, 'Session Data'!A:AA,9,false)</f>
        <v>Abbott</v>
      </c>
      <c r="X409" s="33" t="str">
        <f>VLOOKUP(A409, 'Session Data'!A:AA,12,false)</f>
        <v>Precipitation Effect on Groundwater Chemistry in the Angelo Coast Range Reserve ​</v>
      </c>
      <c r="Y409" s="34" t="str">
        <f>VLOOKUP(A409, 'Session Data'!A:AA,22,false)</f>
        <v>Hilary</v>
      </c>
      <c r="Z409" s="34" t="str">
        <f>VLOOKUP(A409, 'Session Data'!A:AA,23,false)</f>
        <v>McMillan</v>
      </c>
      <c r="AA409" s="34" t="str">
        <f>VLOOKUP(A409, 'Session Data'!A:AA,25,false)</f>
        <v>Arts and Letters</v>
      </c>
      <c r="AB409" s="34" t="str">
        <f>VLOOKUP(A409, 'Session Data'!A:AA,24,false)</f>
        <v>hmcmillan@sdsu.edu</v>
      </c>
      <c r="AC409" s="34" t="str">
        <f>VLOOKUP(A409, 'Session Data'!A:AA,16,false)</f>
        <v>NA</v>
      </c>
      <c r="AD409" s="35" t="str">
        <f>VLOOKUP(A409, 'Session Data'!A:U,17,false)</f>
        <v>NA</v>
      </c>
      <c r="AE409" s="35" t="str">
        <f>VLOOKUP(A409, 'Session Data'!A:U,18,false)</f>
        <v>NA</v>
      </c>
      <c r="AF409" s="35" t="str">
        <f>VLOOKUP(A409, 'Session Data'!A:U,19,false)</f>
        <v>NA</v>
      </c>
      <c r="AG409" s="35" t="str">
        <f>VLOOKUP(A409, 'Session Data'!A:U,20,false)</f>
        <v>NA</v>
      </c>
      <c r="AH409" s="35" t="str">
        <f>VLOOKUP(A409, 'Session Data'!A:U,21,false)</f>
        <v>NA</v>
      </c>
      <c r="AI409" s="36"/>
      <c r="AJ409" s="38"/>
      <c r="AK409" s="38"/>
      <c r="AL409" s="39"/>
      <c r="AM409" s="34" t="str">
        <f>VLOOKUP(A409, 'Session Data'!A:AA,10,false)</f>
        <v>jabbott6220@sdsu.edu</v>
      </c>
      <c r="AN409" s="40"/>
      <c r="AO409" s="38"/>
      <c r="AP409" s="38"/>
      <c r="AQ409" s="38"/>
      <c r="AR409" s="38"/>
      <c r="AS409" s="38"/>
      <c r="AT409" s="38"/>
      <c r="AU409" s="38"/>
      <c r="AV409" s="38"/>
      <c r="AW409" s="38"/>
      <c r="AX409" s="38"/>
      <c r="AY409" s="43"/>
      <c r="AZ409" s="43"/>
      <c r="BA409" s="48"/>
      <c r="BB409" s="48"/>
      <c r="BC409" s="43"/>
      <c r="BD409" s="43"/>
      <c r="BE409" s="44"/>
      <c r="BF409" s="45"/>
      <c r="BG409" s="46"/>
    </row>
    <row r="410">
      <c r="A410" s="19" t="s">
        <v>481</v>
      </c>
      <c r="B410" s="20">
        <f>VLOOKUP(F410,'Session Count DO NOT EDIT'!$A:$C,3,FALSE)</f>
        <v>5</v>
      </c>
      <c r="C410" s="20">
        <f>COUNTIFS('Scores Import DO NOT EDIT'!D:D,A410)</f>
        <v>5</v>
      </c>
      <c r="D410" s="21">
        <f t="shared" si="1"/>
        <v>1</v>
      </c>
      <c r="E410" s="22">
        <f>AVERAGEIFS('Scores Import DO NOT EDIT'!L:L,'Scores Import DO NOT EDIT'!D:D,A410)</f>
        <v>26.6</v>
      </c>
      <c r="F410" s="23" t="str">
        <f>VLOOKUP(A410, 'Session Data'!A:M,3,false)</f>
        <v>H-5</v>
      </c>
      <c r="G410" s="24" t="str">
        <f>VLOOKUP(A410, 'Session Data'!A:I,2,false)</f>
        <v>1:00 PM</v>
      </c>
      <c r="H410" s="23" t="str">
        <f>VLOOKUP(A410, 'Session Data'!A:J,5,false)</f>
        <v>Physical and Mathematical Sciences 1</v>
      </c>
      <c r="I410" s="25" t="str">
        <f>VLOOKUP(A410, 'Session Data'!A:H,4,false)</f>
        <v>Poster</v>
      </c>
      <c r="J410" s="26" t="str">
        <f>VLOOKUP(A410, 'Session Data'!A:AA,14,false)</f>
        <v>Undergraduate</v>
      </c>
      <c r="K410" s="27" t="str">
        <f>VLOOKUP(A410, 'Session Data'!A:AA,15,false)</f>
        <v>Engineering</v>
      </c>
      <c r="L410" s="47"/>
      <c r="M410" s="29" t="str">
        <f>VLOOKUP(A410, 'Session Data'!A:K,11,false)</f>
        <v>Aerospace Engineering </v>
      </c>
      <c r="N410" s="26" t="str">
        <f>IF(ISNA(VLOOKUP(A410, 'Award Abstract#'!C:C, 1, FALSE)), "No", "Yes")
</f>
        <v>No</v>
      </c>
      <c r="O410" s="29" t="str">
        <f>IF(ISNA(VLOOKUP(A410,'Award Abstract#'!B:B,1,FALSE)), "No", "Yes")</f>
        <v>No</v>
      </c>
      <c r="P410" s="29" t="str">
        <f>IF(ISNA(VLOOKUP(A410,'Award Abstract#'!E:E,1,FALSE)), "No", "Yes")</f>
        <v>No</v>
      </c>
      <c r="Q410" s="29" t="str">
        <f>IF(ISNA(VLOOKUP(A410,'Award Abstract#'!A:A,1,FALSE)), "No", "Yes")</f>
        <v>No</v>
      </c>
      <c r="R410" s="29" t="str">
        <f>IF(ISNA(VLOOKUP(A410,'Award Abstract#'!D:D,1,FALSE)), "No", "Yes")</f>
        <v>No</v>
      </c>
      <c r="S410" s="30" t="str">
        <f>VLOOKUP(A410, 'Session Data'!A:AA,27,false)</f>
        <v>Non-binary/non-conforming</v>
      </c>
      <c r="T410" s="30"/>
      <c r="U410" s="30"/>
      <c r="V410" s="31" t="str">
        <f>VLOOKUP(A410, 'Session Data'!A:AA,8,false)</f>
        <v>Shalayah-Naomi</v>
      </c>
      <c r="W410" s="32" t="str">
        <f>VLOOKUP(A410, 'Session Data'!A:AA,9,false)</f>
        <v>Webb</v>
      </c>
      <c r="X410" s="33" t="str">
        <f>VLOOKUP(A410, 'Session Data'!A:AA,12,false)</f>
        <v>Compression Response of Honeycomb Cores having Sinusoidal In-Plane Waviness Imperfections in Cell Walls</v>
      </c>
      <c r="Y410" s="34" t="str">
        <f>VLOOKUP(A410, 'Session Data'!A:AA,22,false)</f>
        <v>Satchi</v>
      </c>
      <c r="Z410" s="34" t="str">
        <f>VLOOKUP(A410, 'Session Data'!A:AA,23,false)</f>
        <v>Venkataraman</v>
      </c>
      <c r="AA410" s="34" t="str">
        <f>VLOOKUP(A410, 'Session Data'!A:AA,25,false)</f>
        <v>Engineering</v>
      </c>
      <c r="AB410" s="34" t="str">
        <f>VLOOKUP(A410, 'Session Data'!A:AA,24,false)</f>
        <v>satchi@sdsu.ed</v>
      </c>
      <c r="AC410" s="34" t="str">
        <f>VLOOKUP(A410, 'Session Data'!A:AA,16,false)</f>
        <v/>
      </c>
      <c r="AD410" s="35" t="str">
        <f>VLOOKUP(A410, 'Session Data'!A:U,17,false)</f>
        <v/>
      </c>
      <c r="AE410" s="35" t="str">
        <f>VLOOKUP(A410, 'Session Data'!A:U,18,false)</f>
        <v/>
      </c>
      <c r="AF410" s="35" t="str">
        <f>VLOOKUP(A410, 'Session Data'!A:U,19,false)</f>
        <v/>
      </c>
      <c r="AG410" s="35" t="str">
        <f>VLOOKUP(A410, 'Session Data'!A:U,20,false)</f>
        <v/>
      </c>
      <c r="AH410" s="35" t="str">
        <f>VLOOKUP(A410, 'Session Data'!A:U,21,false)</f>
        <v/>
      </c>
      <c r="AI410" s="37"/>
      <c r="AJ410" s="37"/>
      <c r="AK410" s="37"/>
      <c r="AL410" s="50"/>
      <c r="AM410" s="34" t="str">
        <f>VLOOKUP(A410, 'Session Data'!A:AA,10,false)</f>
        <v>nwebb2541@sdsu.edu</v>
      </c>
      <c r="AN410" s="40"/>
      <c r="AO410" s="38"/>
      <c r="AP410" s="38"/>
      <c r="AQ410" s="38"/>
      <c r="AR410" s="38"/>
      <c r="AS410" s="38"/>
      <c r="AT410" s="38"/>
      <c r="AU410" s="38"/>
      <c r="AV410" s="38"/>
      <c r="AW410" s="38"/>
      <c r="AX410" s="38"/>
      <c r="AY410" s="43"/>
      <c r="AZ410" s="43"/>
      <c r="BA410" s="48"/>
      <c r="BB410" s="48"/>
      <c r="BC410" s="43"/>
      <c r="BD410" s="43"/>
      <c r="BE410" s="44"/>
      <c r="BF410" s="45"/>
      <c r="BG410" s="43"/>
    </row>
    <row r="411">
      <c r="A411" s="19" t="s">
        <v>482</v>
      </c>
      <c r="B411" s="20">
        <f>VLOOKUP(F411,'Session Count DO NOT EDIT'!$A:$C,3,FALSE)</f>
        <v>5</v>
      </c>
      <c r="C411" s="20">
        <f>COUNTIFS('Scores Import DO NOT EDIT'!D:D,A411)</f>
        <v>5</v>
      </c>
      <c r="D411" s="21">
        <f t="shared" si="1"/>
        <v>1</v>
      </c>
      <c r="E411" s="22">
        <f>AVERAGEIFS('Scores Import DO NOT EDIT'!L:L,'Scores Import DO NOT EDIT'!D:D,A411)</f>
        <v>26.4</v>
      </c>
      <c r="F411" s="23" t="str">
        <f>VLOOKUP(A411, 'Session Data'!A:M,3,false)</f>
        <v>H-5</v>
      </c>
      <c r="G411" s="24" t="str">
        <f>VLOOKUP(A411, 'Session Data'!A:I,2,false)</f>
        <v>1:00 PM</v>
      </c>
      <c r="H411" s="23" t="str">
        <f>VLOOKUP(A411, 'Session Data'!A:J,5,false)</f>
        <v>Physical and Mathematical Sciences 1</v>
      </c>
      <c r="I411" s="25" t="str">
        <f>VLOOKUP(A411, 'Session Data'!A:H,4,false)</f>
        <v>Poster</v>
      </c>
      <c r="J411" s="26" t="str">
        <f>VLOOKUP(A411, 'Session Data'!A:AA,14,false)</f>
        <v>Undergraduate</v>
      </c>
      <c r="K411" s="27" t="str">
        <f>VLOOKUP(A411, 'Session Data'!A:AA,15,false)</f>
        <v>Sciences</v>
      </c>
      <c r="L411" s="28"/>
      <c r="M411" s="29" t="str">
        <f>VLOOKUP(A411, 'Session Data'!A:K,11,false)</f>
        <v>Bachelor of Science in Chemistry</v>
      </c>
      <c r="N411" s="26" t="str">
        <f>IF(ISNA(VLOOKUP(A411, 'Award Abstract#'!C:C, 1, FALSE)), "No", "Yes")
</f>
        <v>No</v>
      </c>
      <c r="O411" s="29" t="str">
        <f>IF(ISNA(VLOOKUP(A411,'Award Abstract#'!B:B,1,FALSE)), "No", "Yes")</f>
        <v>No</v>
      </c>
      <c r="P411" s="29" t="str">
        <f>IF(ISNA(VLOOKUP(A411,'Award Abstract#'!E:E,1,FALSE)), "No", "Yes")</f>
        <v>No</v>
      </c>
      <c r="Q411" s="29" t="str">
        <f>IF(ISNA(VLOOKUP(A411,'Award Abstract#'!A:A,1,FALSE)), "No", "Yes")</f>
        <v>No</v>
      </c>
      <c r="R411" s="29" t="str">
        <f>IF(ISNA(VLOOKUP(A411,'Award Abstract#'!D:D,1,FALSE)), "No", "Yes")</f>
        <v>No</v>
      </c>
      <c r="S411" s="30" t="str">
        <f>VLOOKUP(A411, 'Session Data'!A:AA,27,false)</f>
        <v>Woman</v>
      </c>
      <c r="T411" s="30"/>
      <c r="U411" s="30"/>
      <c r="V411" s="31" t="str">
        <f>VLOOKUP(A411, 'Session Data'!A:AA,8,false)</f>
        <v>Carly</v>
      </c>
      <c r="W411" s="32" t="str">
        <f>VLOOKUP(A411, 'Session Data'!A:AA,9,false)</f>
        <v>Nichols</v>
      </c>
      <c r="X411" s="33" t="str">
        <f>VLOOKUP(A411, 'Session Data'!A:AA,12,false)</f>
        <v>Creatinine Analysis through Schirmer Strips and Capillary Electrophoresis</v>
      </c>
      <c r="Y411" s="34" t="str">
        <f>VLOOKUP(A411, 'Session Data'!A:AA,22,false)</f>
        <v>Christopher</v>
      </c>
      <c r="Z411" s="34" t="str">
        <f>VLOOKUP(A411, 'Session Data'!A:AA,23,false)</f>
        <v>Harrison</v>
      </c>
      <c r="AA411" s="34" t="str">
        <f>VLOOKUP(A411, 'Session Data'!A:AA,25,false)</f>
        <v>Sciences</v>
      </c>
      <c r="AB411" s="34" t="str">
        <f>VLOOKUP(A411, 'Session Data'!A:AA,24,false)</f>
        <v>charrison@sdsu.edu</v>
      </c>
      <c r="AC411" s="34" t="str">
        <f>VLOOKUP(A411, 'Session Data'!A:AA,16,false)</f>
        <v/>
      </c>
      <c r="AD411" s="35" t="str">
        <f>VLOOKUP(A411, 'Session Data'!A:U,17,false)</f>
        <v/>
      </c>
      <c r="AE411" s="35" t="str">
        <f>VLOOKUP(A411, 'Session Data'!A:U,18,false)</f>
        <v/>
      </c>
      <c r="AF411" s="35" t="str">
        <f>VLOOKUP(A411, 'Session Data'!A:U,19,false)</f>
        <v/>
      </c>
      <c r="AG411" s="35" t="str">
        <f>VLOOKUP(A411, 'Session Data'!A:U,20,false)</f>
        <v/>
      </c>
      <c r="AH411" s="35" t="str">
        <f>VLOOKUP(A411, 'Session Data'!A:U,21,false)</f>
        <v/>
      </c>
      <c r="AI411" s="36"/>
      <c r="AJ411" s="38"/>
      <c r="AK411" s="38"/>
      <c r="AL411" s="39"/>
      <c r="AM411" s="34" t="str">
        <f>VLOOKUP(A411, 'Session Data'!A:AA,10,false)</f>
        <v>cnichols5107@sdsu.edu</v>
      </c>
      <c r="AN411" s="40"/>
      <c r="AO411" s="38"/>
      <c r="AP411" s="38"/>
      <c r="AQ411" s="38"/>
      <c r="AR411" s="38"/>
      <c r="AS411" s="38"/>
      <c r="AT411" s="38"/>
      <c r="AU411" s="38"/>
      <c r="AV411" s="38"/>
      <c r="AW411" s="38"/>
      <c r="AX411" s="38"/>
      <c r="AY411" s="43"/>
      <c r="AZ411" s="43"/>
      <c r="BA411" s="48"/>
      <c r="BB411" s="48"/>
      <c r="BC411" s="43"/>
      <c r="BD411" s="43"/>
      <c r="BE411" s="44"/>
      <c r="BF411" s="45"/>
      <c r="BG411" s="43"/>
    </row>
    <row r="412">
      <c r="A412" s="19" t="s">
        <v>483</v>
      </c>
      <c r="B412" s="20">
        <f>VLOOKUP(F412,'Session Count DO NOT EDIT'!$A:$C,3,FALSE)</f>
        <v>5</v>
      </c>
      <c r="C412" s="20">
        <f>COUNTIFS('Scores Import DO NOT EDIT'!D:D,A412)</f>
        <v>5</v>
      </c>
      <c r="D412" s="21">
        <f t="shared" si="1"/>
        <v>1</v>
      </c>
      <c r="E412" s="22">
        <f>AVERAGEIFS('Scores Import DO NOT EDIT'!L:L,'Scores Import DO NOT EDIT'!D:D,A412)</f>
        <v>26</v>
      </c>
      <c r="F412" s="23" t="str">
        <f>VLOOKUP(A412, 'Session Data'!A:M,3,false)</f>
        <v>H-5</v>
      </c>
      <c r="G412" s="24" t="str">
        <f>VLOOKUP(A412, 'Session Data'!A:I,2,false)</f>
        <v>1:00 PM</v>
      </c>
      <c r="H412" s="23" t="str">
        <f>VLOOKUP(A412, 'Session Data'!A:J,5,false)</f>
        <v>Physical and Mathematical Sciences 1</v>
      </c>
      <c r="I412" s="25" t="str">
        <f>VLOOKUP(A412, 'Session Data'!A:H,4,false)</f>
        <v>Poster</v>
      </c>
      <c r="J412" s="26" t="str">
        <f>VLOOKUP(A412, 'Session Data'!A:AA,14,false)</f>
        <v>Undergraduate</v>
      </c>
      <c r="K412" s="27" t="str">
        <f>VLOOKUP(A412, 'Session Data'!A:AA,15,false)</f>
        <v>Sciences</v>
      </c>
      <c r="L412" s="28"/>
      <c r="M412" s="29" t="str">
        <f>VLOOKUP(A412, 'Session Data'!A:K,11,false)</f>
        <v>Chemistry</v>
      </c>
      <c r="N412" s="26" t="str">
        <f>IF(ISNA(VLOOKUP(A412, 'Award Abstract#'!C:C, 1, FALSE)), "No", "Yes")
</f>
        <v>No</v>
      </c>
      <c r="O412" s="29" t="str">
        <f>IF(ISNA(VLOOKUP(A412,'Award Abstract#'!B:B,1,FALSE)), "No", "Yes")</f>
        <v>No</v>
      </c>
      <c r="P412" s="29" t="str">
        <f>IF(ISNA(VLOOKUP(A412,'Award Abstract#'!E:E,1,FALSE)), "No", "Yes")</f>
        <v>No</v>
      </c>
      <c r="Q412" s="29" t="str">
        <f>IF(ISNA(VLOOKUP(A412,'Award Abstract#'!A:A,1,FALSE)), "No", "Yes")</f>
        <v>No</v>
      </c>
      <c r="R412" s="29" t="str">
        <f>IF(ISNA(VLOOKUP(A412,'Award Abstract#'!D:D,1,FALSE)), "No", "Yes")</f>
        <v>No</v>
      </c>
      <c r="S412" s="30" t="str">
        <f>VLOOKUP(A412, 'Session Data'!A:AA,27,false)</f>
        <v>Woman</v>
      </c>
      <c r="T412" s="30"/>
      <c r="U412" s="30"/>
      <c r="V412" s="31" t="str">
        <f>VLOOKUP(A412, 'Session Data'!A:AA,8,false)</f>
        <v>Gabriella</v>
      </c>
      <c r="W412" s="32" t="str">
        <f>VLOOKUP(A412, 'Session Data'!A:AA,9,false)</f>
        <v>Trulson</v>
      </c>
      <c r="X412" s="33" t="str">
        <f>VLOOKUP(A412, 'Session Data'!A:AA,12,false)</f>
        <v>The Catalytic Effects of Intercalation of Transition Metal Atoms  into Metallic Molybdenum Disulfide</v>
      </c>
      <c r="Y412" s="34" t="str">
        <f>VLOOKUP(A412, 'Session Data'!A:AA,22,false)</f>
        <v>Jing</v>
      </c>
      <c r="Z412" s="34" t="str">
        <f>VLOOKUP(A412, 'Session Data'!A:AA,23,false)</f>
        <v>Gu</v>
      </c>
      <c r="AA412" s="34" t="str">
        <f>VLOOKUP(A412, 'Session Data'!A:AA,25,false)</f>
        <v>Sciences</v>
      </c>
      <c r="AB412" s="34" t="str">
        <f>VLOOKUP(A412, 'Session Data'!A:AA,24,false)</f>
        <v>Jgu@sdsu.edu</v>
      </c>
      <c r="AC412" s="34" t="str">
        <f>VLOOKUP(A412, 'Session Data'!A:AA,16,false)</f>
        <v/>
      </c>
      <c r="AD412" s="35" t="str">
        <f>VLOOKUP(A412, 'Session Data'!A:U,17,false)</f>
        <v/>
      </c>
      <c r="AE412" s="35" t="str">
        <f>VLOOKUP(A412, 'Session Data'!A:U,18,false)</f>
        <v/>
      </c>
      <c r="AF412" s="35" t="str">
        <f>VLOOKUP(A412, 'Session Data'!A:U,19,false)</f>
        <v/>
      </c>
      <c r="AG412" s="35" t="str">
        <f>VLOOKUP(A412, 'Session Data'!A:U,20,false)</f>
        <v/>
      </c>
      <c r="AH412" s="35" t="str">
        <f>VLOOKUP(A412, 'Session Data'!A:U,21,false)</f>
        <v/>
      </c>
      <c r="AI412" s="36"/>
      <c r="AJ412" s="38"/>
      <c r="AK412" s="38"/>
      <c r="AL412" s="39"/>
      <c r="AM412" s="34" t="str">
        <f>VLOOKUP(A412, 'Session Data'!A:AA,10,false)</f>
        <v>gtrulson8870@sdsu.edu</v>
      </c>
      <c r="AN412" s="40"/>
      <c r="AO412" s="38"/>
      <c r="AP412" s="38"/>
      <c r="AQ412" s="38"/>
      <c r="AR412" s="38"/>
      <c r="AS412" s="38"/>
      <c r="AT412" s="38"/>
      <c r="AU412" s="38"/>
      <c r="AV412" s="38"/>
      <c r="AW412" s="38"/>
      <c r="AX412" s="38"/>
      <c r="AY412" s="43"/>
      <c r="AZ412" s="43"/>
      <c r="BA412" s="48"/>
      <c r="BB412" s="48"/>
      <c r="BC412" s="43"/>
      <c r="BD412" s="43"/>
      <c r="BE412" s="44"/>
      <c r="BF412" s="45"/>
      <c r="BG412" s="46"/>
    </row>
    <row r="413">
      <c r="A413" s="19" t="s">
        <v>484</v>
      </c>
      <c r="B413" s="20">
        <f>VLOOKUP(F413,'Session Count DO NOT EDIT'!$A:$C,3,FALSE)</f>
        <v>5</v>
      </c>
      <c r="C413" s="20">
        <f>COUNTIFS('Scores Import DO NOT EDIT'!D:D,A413)</f>
        <v>5</v>
      </c>
      <c r="D413" s="21">
        <f t="shared" si="1"/>
        <v>1</v>
      </c>
      <c r="E413" s="22">
        <f>AVERAGEIFS('Scores Import DO NOT EDIT'!L:L,'Scores Import DO NOT EDIT'!D:D,A413)</f>
        <v>24.8</v>
      </c>
      <c r="F413" s="23" t="str">
        <f>VLOOKUP(A413, 'Session Data'!A:M,3,false)</f>
        <v>H-5</v>
      </c>
      <c r="G413" s="24" t="str">
        <f>VLOOKUP(A413, 'Session Data'!A:I,2,false)</f>
        <v>1:00 PM</v>
      </c>
      <c r="H413" s="23" t="str">
        <f>VLOOKUP(A413, 'Session Data'!A:J,5,false)</f>
        <v>Physical and Mathematical Sciences 1</v>
      </c>
      <c r="I413" s="25" t="str">
        <f>VLOOKUP(A413, 'Session Data'!A:H,4,false)</f>
        <v>Poster</v>
      </c>
      <c r="J413" s="26" t="str">
        <f>VLOOKUP(A413, 'Session Data'!A:AA,14,false)</f>
        <v>Undergraduate</v>
      </c>
      <c r="K413" s="27" t="str">
        <f>VLOOKUP(A413, 'Session Data'!A:AA,15,false)</f>
        <v>Sciences</v>
      </c>
      <c r="L413" s="28"/>
      <c r="M413" s="29" t="str">
        <f>VLOOKUP(A413, 'Session Data'!A:K,11,false)</f>
        <v>Bachelor of Science in Chemistry</v>
      </c>
      <c r="N413" s="26" t="str">
        <f>IF(ISNA(VLOOKUP(A413, 'Award Abstract#'!C:C, 1, FALSE)), "No", "Yes")
</f>
        <v>No</v>
      </c>
      <c r="O413" s="29" t="str">
        <f>IF(ISNA(VLOOKUP(A413,'Award Abstract#'!B:B,1,FALSE)), "No", "Yes")</f>
        <v>No</v>
      </c>
      <c r="P413" s="29" t="str">
        <f>IF(ISNA(VLOOKUP(A413,'Award Abstract#'!E:E,1,FALSE)), "No", "Yes")</f>
        <v>No</v>
      </c>
      <c r="Q413" s="29" t="str">
        <f>IF(ISNA(VLOOKUP(A413,'Award Abstract#'!A:A,1,FALSE)), "No", "Yes")</f>
        <v>No</v>
      </c>
      <c r="R413" s="29" t="str">
        <f>IF(ISNA(VLOOKUP(A413,'Award Abstract#'!D:D,1,FALSE)), "No", "Yes")</f>
        <v>No</v>
      </c>
      <c r="S413" s="30" t="str">
        <f>VLOOKUP(A413, 'Session Data'!A:AA,27,false)</f>
        <v>Woman</v>
      </c>
      <c r="T413" s="30"/>
      <c r="U413" s="30"/>
      <c r="V413" s="31" t="str">
        <f>VLOOKUP(A413, 'Session Data'!A:AA,8,false)</f>
        <v>Alyse</v>
      </c>
      <c r="W413" s="32" t="str">
        <f>VLOOKUP(A413, 'Session Data'!A:AA,9,false)</f>
        <v>Purdy</v>
      </c>
      <c r="X413" s="33" t="str">
        <f>VLOOKUP(A413, 'Session Data'!A:AA,12,false)</f>
        <v>Seedless, One-Pot Synthesis of Near-Infrared Absorbing Silver Nanotriangles</v>
      </c>
      <c r="Y413" s="34" t="str">
        <f>VLOOKUP(A413, 'Session Data'!A:AA,22,false)</f>
        <v>David</v>
      </c>
      <c r="Z413" s="34" t="str">
        <f>VLOOKUP(A413, 'Session Data'!A:AA,23,false)</f>
        <v>Pullman</v>
      </c>
      <c r="AA413" s="34" t="str">
        <f>VLOOKUP(A413, 'Session Data'!A:AA,25,false)</f>
        <v>Sciences</v>
      </c>
      <c r="AB413" s="34"/>
      <c r="AC413" s="34" t="str">
        <f>VLOOKUP(A413, 'Session Data'!A:AA,16,false)</f>
        <v>Jueun</v>
      </c>
      <c r="AD413" s="35" t="str">
        <f>VLOOKUP(A413, 'Session Data'!A:U,17,false)</f>
        <v>Kim</v>
      </c>
      <c r="AE413" s="35" t="str">
        <f>VLOOKUP(A413, 'Session Data'!A:U,18,false)</f>
        <v/>
      </c>
      <c r="AF413" s="35" t="str">
        <f>VLOOKUP(A413, 'Session Data'!A:U,19,false)</f>
        <v/>
      </c>
      <c r="AG413" s="35" t="str">
        <f>VLOOKUP(A413, 'Session Data'!A:U,20,false)</f>
        <v/>
      </c>
      <c r="AH413" s="35" t="str">
        <f>VLOOKUP(A413, 'Session Data'!A:U,21,false)</f>
        <v/>
      </c>
      <c r="AI413" s="37"/>
      <c r="AJ413" s="37"/>
      <c r="AK413" s="37"/>
      <c r="AL413" s="50"/>
      <c r="AM413" s="34" t="str">
        <f>VLOOKUP(A413, 'Session Data'!A:AA,10,false)</f>
        <v>apurdy1078@sdsu.edu</v>
      </c>
      <c r="AN413" s="40"/>
      <c r="AO413" s="38"/>
      <c r="AP413" s="38"/>
      <c r="AQ413" s="38"/>
      <c r="AR413" s="38"/>
      <c r="AS413" s="38"/>
      <c r="AT413" s="38"/>
      <c r="AU413" s="38"/>
      <c r="AV413" s="38"/>
      <c r="AW413" s="38"/>
      <c r="AX413" s="38"/>
      <c r="AY413" s="43"/>
      <c r="AZ413" s="43"/>
      <c r="BA413" s="48"/>
      <c r="BB413" s="48"/>
      <c r="BC413" s="43"/>
      <c r="BD413" s="43"/>
      <c r="BE413" s="44"/>
      <c r="BF413" s="45"/>
      <c r="BG413" s="43"/>
    </row>
    <row r="414">
      <c r="A414" s="19" t="s">
        <v>485</v>
      </c>
      <c r="B414" s="20">
        <f>VLOOKUP(F414,'Session Count DO NOT EDIT'!$A:$C,3,FALSE)</f>
        <v>4</v>
      </c>
      <c r="C414" s="20">
        <f>COUNTIFS('Scores Import DO NOT EDIT'!D:D,A414)</f>
        <v>3</v>
      </c>
      <c r="D414" s="21">
        <f t="shared" si="1"/>
        <v>0.75</v>
      </c>
      <c r="E414" s="22">
        <f>AVERAGEIFS('Scores Import DO NOT EDIT'!L:L,'Scores Import DO NOT EDIT'!D:D,A414)</f>
        <v>26.66666667</v>
      </c>
      <c r="F414" s="23" t="str">
        <f>VLOOKUP(A414, 'Session Data'!A:M,3,false)</f>
        <v>H-6</v>
      </c>
      <c r="G414" s="24" t="str">
        <f>VLOOKUP(A414, 'Session Data'!A:I,2,false)</f>
        <v>1:00 PM</v>
      </c>
      <c r="H414" s="23" t="str">
        <f>VLOOKUP(A414, 'Session Data'!A:J,5,false)</f>
        <v>Physical and Mathematical Sciences 2</v>
      </c>
      <c r="I414" s="25" t="str">
        <f>VLOOKUP(A414, 'Session Data'!A:H,4,false)</f>
        <v>Poster</v>
      </c>
      <c r="J414" s="26" t="str">
        <f>VLOOKUP(A414, 'Session Data'!A:AA,14,false)</f>
        <v>Undergraduate</v>
      </c>
      <c r="K414" s="27" t="str">
        <f>VLOOKUP(A414, 'Session Data'!A:AA,15,false)</f>
        <v>Sciences</v>
      </c>
      <c r="L414" s="47"/>
      <c r="M414" s="29" t="str">
        <f>VLOOKUP(A414, 'Session Data'!A:K,11,false)</f>
        <v>Bachelor of Science in Chemistry with an Emphasis in Biochemistry</v>
      </c>
      <c r="N414" s="26" t="str">
        <f>IF(ISNA(VLOOKUP(A414, 'Award Abstract#'!C:C, 1, FALSE)), "No", "Yes")
</f>
        <v>No</v>
      </c>
      <c r="O414" s="29" t="str">
        <f>IF(ISNA(VLOOKUP(A414,'Award Abstract#'!B:B,1,FALSE)), "No", "Yes")</f>
        <v>Yes</v>
      </c>
      <c r="P414" s="29" t="str">
        <f>IF(ISNA(VLOOKUP(A414,'Award Abstract#'!E:E,1,FALSE)), "No", "Yes")</f>
        <v>No</v>
      </c>
      <c r="Q414" s="29" t="str">
        <f>IF(ISNA(VLOOKUP(A414,'Award Abstract#'!A:A,1,FALSE)), "No", "Yes")</f>
        <v>No</v>
      </c>
      <c r="R414" s="29" t="str">
        <f>IF(ISNA(VLOOKUP(A414,'Award Abstract#'!D:D,1,FALSE)), "No", "Yes")</f>
        <v>No</v>
      </c>
      <c r="S414" s="30" t="str">
        <f>VLOOKUP(A414, 'Session Data'!A:AA,27,false)</f>
        <v>Woman</v>
      </c>
      <c r="T414" s="30"/>
      <c r="U414" s="30"/>
      <c r="V414" s="31" t="str">
        <f>VLOOKUP(A414, 'Session Data'!A:AA,8,false)</f>
        <v>Peyton</v>
      </c>
      <c r="W414" s="32" t="str">
        <f>VLOOKUP(A414, 'Session Data'!A:AA,9,false)</f>
        <v>Alvarez</v>
      </c>
      <c r="X414" s="33" t="str">
        <f>VLOOKUP(A414, 'Session Data'!A:AA,12,false)</f>
        <v>Photochemical production of silver nanoparticles in the environment via reduction of silver ions by humic acid and fulvic acid</v>
      </c>
      <c r="Y414" s="34" t="str">
        <f>VLOOKUP(A414, 'Session Data'!A:AA,22,false)</f>
        <v>David</v>
      </c>
      <c r="Z414" s="34" t="str">
        <f>VLOOKUP(A414, 'Session Data'!A:AA,23,false)</f>
        <v>Pullman</v>
      </c>
      <c r="AA414" s="34" t="str">
        <f>VLOOKUP(A414, 'Session Data'!A:AA,25,false)</f>
        <v>Sciences</v>
      </c>
      <c r="AB414" s="34" t="str">
        <f>VLOOKUP(A414, 'Session Data'!A:AA,24,false)</f>
        <v>dpullman@sdsu.edu</v>
      </c>
      <c r="AC414" s="34" t="str">
        <f>VLOOKUP(A414, 'Session Data'!A:AA,16,false)</f>
        <v/>
      </c>
      <c r="AD414" s="35" t="str">
        <f>VLOOKUP(A414, 'Session Data'!A:U,17,false)</f>
        <v/>
      </c>
      <c r="AE414" s="35" t="str">
        <f>VLOOKUP(A414, 'Session Data'!A:U,18,false)</f>
        <v/>
      </c>
      <c r="AF414" s="35" t="str">
        <f>VLOOKUP(A414, 'Session Data'!A:U,19,false)</f>
        <v/>
      </c>
      <c r="AG414" s="35" t="str">
        <f>VLOOKUP(A414, 'Session Data'!A:U,20,false)</f>
        <v/>
      </c>
      <c r="AH414" s="35" t="str">
        <f>VLOOKUP(A414, 'Session Data'!A:U,21,false)</f>
        <v/>
      </c>
      <c r="AI414" s="37"/>
      <c r="AJ414" s="37"/>
      <c r="AK414" s="37"/>
      <c r="AL414" s="50"/>
      <c r="AM414" s="34" t="str">
        <f>VLOOKUP(A414, 'Session Data'!A:AA,10,false)</f>
        <v>palvarez5609@sdsu.edu</v>
      </c>
      <c r="AN414" s="40"/>
      <c r="AO414" s="38"/>
      <c r="AP414" s="38"/>
      <c r="AQ414" s="38"/>
      <c r="AR414" s="38"/>
      <c r="AS414" s="38"/>
      <c r="AT414" s="38"/>
      <c r="AU414" s="38"/>
      <c r="AV414" s="38"/>
      <c r="AW414" s="38"/>
      <c r="AX414" s="38"/>
      <c r="AY414" s="43"/>
      <c r="AZ414" s="43"/>
      <c r="BA414" s="43"/>
      <c r="BB414" s="43"/>
      <c r="BC414" s="43"/>
      <c r="BD414" s="43"/>
      <c r="BE414" s="44"/>
      <c r="BF414" s="45"/>
      <c r="BG414" s="43"/>
    </row>
    <row r="415">
      <c r="A415" s="19" t="s">
        <v>486</v>
      </c>
      <c r="B415" s="20">
        <f>VLOOKUP(F415,'Session Count DO NOT EDIT'!$A:$C,3,FALSE)</f>
        <v>4</v>
      </c>
      <c r="C415" s="20">
        <f>COUNTIFS('Scores Import DO NOT EDIT'!D:D,A415)</f>
        <v>3</v>
      </c>
      <c r="D415" s="21">
        <f t="shared" si="1"/>
        <v>0.75</v>
      </c>
      <c r="E415" s="22">
        <f>AVERAGEIFS('Scores Import DO NOT EDIT'!L:L,'Scores Import DO NOT EDIT'!D:D,A415)</f>
        <v>25.33333333</v>
      </c>
      <c r="F415" s="23" t="str">
        <f>VLOOKUP(A415, 'Session Data'!A:M,3,false)</f>
        <v>H-6</v>
      </c>
      <c r="G415" s="24" t="str">
        <f>VLOOKUP(A415, 'Session Data'!A:I,2,false)</f>
        <v>1:00 PM</v>
      </c>
      <c r="H415" s="23" t="str">
        <f>VLOOKUP(A415, 'Session Data'!A:J,5,false)</f>
        <v>Physical and Mathematical Sciences 2</v>
      </c>
      <c r="I415" s="25" t="str">
        <f>VLOOKUP(A415, 'Session Data'!A:H,4,false)</f>
        <v>Poster</v>
      </c>
      <c r="J415" s="26" t="str">
        <f>VLOOKUP(A415, 'Session Data'!A:AA,14,false)</f>
        <v>Undergraduate</v>
      </c>
      <c r="K415" s="27" t="str">
        <f>VLOOKUP(A415, 'Session Data'!A:AA,15,false)</f>
        <v>Sciences</v>
      </c>
      <c r="L415" s="28"/>
      <c r="M415" s="29" t="str">
        <f>VLOOKUP(A415, 'Session Data'!A:K,11,false)</f>
        <v>Bachelors of Science in Physics</v>
      </c>
      <c r="N415" s="26" t="str">
        <f>IF(ISNA(VLOOKUP(A415, 'Award Abstract#'!C:C, 1, FALSE)), "No", "Yes")
</f>
        <v>No</v>
      </c>
      <c r="O415" s="29" t="str">
        <f>IF(ISNA(VLOOKUP(A415,'Award Abstract#'!B:B,1,FALSE)), "No", "Yes")</f>
        <v>Yes</v>
      </c>
      <c r="P415" s="29" t="str">
        <f>IF(ISNA(VLOOKUP(A415,'Award Abstract#'!E:E,1,FALSE)), "No", "Yes")</f>
        <v>No</v>
      </c>
      <c r="Q415" s="29" t="str">
        <f>IF(ISNA(VLOOKUP(A415,'Award Abstract#'!A:A,1,FALSE)), "No", "Yes")</f>
        <v>No</v>
      </c>
      <c r="R415" s="29" t="str">
        <f>IF(ISNA(VLOOKUP(A415,'Award Abstract#'!D:D,1,FALSE)), "No", "Yes")</f>
        <v>Yes</v>
      </c>
      <c r="S415" s="30" t="str">
        <f>VLOOKUP(A415, 'Session Data'!A:AA,27,false)</f>
        <v>Man</v>
      </c>
      <c r="T415" s="30"/>
      <c r="U415" s="30"/>
      <c r="V415" s="31" t="str">
        <f>VLOOKUP(A415, 'Session Data'!A:AA,8,false)</f>
        <v>Alexander</v>
      </c>
      <c r="W415" s="32" t="str">
        <f>VLOOKUP(A415, 'Session Data'!A:AA,9,false)</f>
        <v>McLintock</v>
      </c>
      <c r="X415" s="33" t="str">
        <f>VLOOKUP(A415, 'Session Data'!A:AA,12,false)</f>
        <v>UV-Based Optical System for the Fluorescence and Detection of Oceanic Oil Spills</v>
      </c>
      <c r="Y415" s="34" t="str">
        <f>VLOOKUP(A415, 'Session Data'!A:AA,22,false)</f>
        <v>Matthew</v>
      </c>
      <c r="Z415" s="34" t="str">
        <f>VLOOKUP(A415, 'Session Data'!A:AA,23,false)</f>
        <v>Anderson</v>
      </c>
      <c r="AA415" s="34" t="str">
        <f>VLOOKUP(A415, 'Session Data'!A:AA,25,false)</f>
        <v>Sciences</v>
      </c>
      <c r="AB415" s="34"/>
      <c r="AC415" s="34" t="str">
        <f>VLOOKUP(A415, 'Session Data'!A:AA,16,false)</f>
        <v>Waleed</v>
      </c>
      <c r="AD415" s="35" t="str">
        <f>VLOOKUP(A415, 'Session Data'!A:U,17,false)</f>
        <v>Alany</v>
      </c>
      <c r="AE415" s="35" t="str">
        <f>VLOOKUP(A415, 'Session Data'!A:U,18,false)</f>
        <v/>
      </c>
      <c r="AF415" s="35" t="str">
        <f>VLOOKUP(A415, 'Session Data'!A:U,19,false)</f>
        <v/>
      </c>
      <c r="AG415" s="35" t="str">
        <f>VLOOKUP(A415, 'Session Data'!A:U,20,false)</f>
        <v/>
      </c>
      <c r="AH415" s="35" t="str">
        <f>VLOOKUP(A415, 'Session Data'!A:U,21,false)</f>
        <v/>
      </c>
      <c r="AI415" s="36"/>
      <c r="AJ415" s="38"/>
      <c r="AK415" s="38"/>
      <c r="AL415" s="39"/>
      <c r="AM415" s="34" t="str">
        <f>VLOOKUP(A415, 'Session Data'!A:AA,10,false)</f>
        <v>amclintock2220@sdsu.edu</v>
      </c>
      <c r="AN415" s="40"/>
      <c r="AO415" s="38"/>
      <c r="AP415" s="38"/>
      <c r="AQ415" s="38"/>
      <c r="AR415" s="38"/>
      <c r="AS415" s="38"/>
      <c r="AT415" s="38"/>
      <c r="AU415" s="38"/>
      <c r="AV415" s="38"/>
      <c r="AW415" s="38"/>
      <c r="AX415" s="38"/>
      <c r="AY415" s="43"/>
      <c r="AZ415" s="43"/>
      <c r="BA415" s="48"/>
      <c r="BB415" s="48"/>
      <c r="BC415" s="43"/>
      <c r="BD415" s="43"/>
      <c r="BE415" s="44"/>
      <c r="BF415" s="45"/>
      <c r="BG415" s="43"/>
    </row>
    <row r="416">
      <c r="A416" s="19" t="s">
        <v>487</v>
      </c>
      <c r="B416" s="20">
        <f>VLOOKUP(F416,'Session Count DO NOT EDIT'!$A:$C,3,FALSE)</f>
        <v>4</v>
      </c>
      <c r="C416" s="20">
        <f>COUNTIFS('Scores Import DO NOT EDIT'!D:D,A416)</f>
        <v>3</v>
      </c>
      <c r="D416" s="21">
        <f t="shared" si="1"/>
        <v>0.75</v>
      </c>
      <c r="E416" s="22">
        <f>AVERAGEIFS('Scores Import DO NOT EDIT'!L:L,'Scores Import DO NOT EDIT'!D:D,A416)</f>
        <v>24.66666667</v>
      </c>
      <c r="F416" s="23" t="str">
        <f>VLOOKUP(A416, 'Session Data'!A:M,3,false)</f>
        <v>H-6</v>
      </c>
      <c r="G416" s="24" t="str">
        <f>VLOOKUP(A416, 'Session Data'!A:I,2,false)</f>
        <v>1:00 PM</v>
      </c>
      <c r="H416" s="23" t="str">
        <f>VLOOKUP(A416, 'Session Data'!A:J,5,false)</f>
        <v>Physical and Mathematical Sciences 2</v>
      </c>
      <c r="I416" s="25" t="str">
        <f>VLOOKUP(A416, 'Session Data'!A:H,4,false)</f>
        <v>Poster</v>
      </c>
      <c r="J416" s="26" t="str">
        <f>VLOOKUP(A416, 'Session Data'!A:AA,14,false)</f>
        <v>Undergraduate</v>
      </c>
      <c r="K416" s="27" t="str">
        <f>VLOOKUP(A416, 'Session Data'!A:AA,15,false)</f>
        <v>Sciences</v>
      </c>
      <c r="L416" s="28"/>
      <c r="M416" s="29" t="str">
        <f>VLOOKUP(A416, 'Session Data'!A:K,11,false)</f>
        <v>Bachelor of Science in Biology with a focus in Cellular and Molecular Biology</v>
      </c>
      <c r="N416" s="26" t="str">
        <f>IF(ISNA(VLOOKUP(A416, 'Award Abstract#'!C:C, 1, FALSE)), "No", "Yes")
</f>
        <v>No</v>
      </c>
      <c r="O416" s="29" t="str">
        <f>IF(ISNA(VLOOKUP(A416,'Award Abstract#'!B:B,1,FALSE)), "No", "Yes")</f>
        <v>Yes</v>
      </c>
      <c r="P416" s="29" t="str">
        <f>IF(ISNA(VLOOKUP(A416,'Award Abstract#'!E:E,1,FALSE)), "No", "Yes")</f>
        <v>Yes</v>
      </c>
      <c r="Q416" s="29" t="str">
        <f>IF(ISNA(VLOOKUP(A416,'Award Abstract#'!A:A,1,FALSE)), "No", "Yes")</f>
        <v>No</v>
      </c>
      <c r="R416" s="29" t="str">
        <f>IF(ISNA(VLOOKUP(A416,'Award Abstract#'!D:D,1,FALSE)), "No", "Yes")</f>
        <v>No</v>
      </c>
      <c r="S416" s="30" t="str">
        <f>VLOOKUP(A416, 'Session Data'!A:AA,27,false)</f>
        <v>Non-binary/non-conforming</v>
      </c>
      <c r="T416" s="30"/>
      <c r="U416" s="30"/>
      <c r="V416" s="31" t="str">
        <f>VLOOKUP(A416, 'Session Data'!A:AA,8,false)</f>
        <v>Max</v>
      </c>
      <c r="W416" s="32" t="str">
        <f>VLOOKUP(A416, 'Session Data'!A:AA,9,false)</f>
        <v>Root</v>
      </c>
      <c r="X416" s="33" t="str">
        <f>VLOOKUP(A416, 'Session Data'!A:AA,12,false)</f>
        <v>Electrochemical evaluation of solvents for analysis of Mn(II)(Pybox)Cl2</v>
      </c>
      <c r="Y416" s="34" t="str">
        <f>VLOOKUP(A416, 'Session Data'!A:AA,22,false)</f>
        <v>Jeffrey</v>
      </c>
      <c r="Z416" s="34" t="str">
        <f>VLOOKUP(A416, 'Session Data'!A:AA,23,false)</f>
        <v>Gustafson</v>
      </c>
      <c r="AA416" s="34" t="str">
        <f>VLOOKUP(A416, 'Session Data'!A:AA,25,false)</f>
        <v>Sciences</v>
      </c>
      <c r="AB416" s="34"/>
      <c r="AC416" s="34" t="str">
        <f>VLOOKUP(A416, 'Session Data'!A:AA,16,false)</f>
        <v/>
      </c>
      <c r="AD416" s="35" t="str">
        <f>VLOOKUP(A416, 'Session Data'!A:U,17,false)</f>
        <v/>
      </c>
      <c r="AE416" s="35" t="str">
        <f>VLOOKUP(A416, 'Session Data'!A:U,18,false)</f>
        <v/>
      </c>
      <c r="AF416" s="35" t="str">
        <f>VLOOKUP(A416, 'Session Data'!A:U,19,false)</f>
        <v/>
      </c>
      <c r="AG416" s="35" t="str">
        <f>VLOOKUP(A416, 'Session Data'!A:U,20,false)</f>
        <v/>
      </c>
      <c r="AH416" s="35" t="str">
        <f>VLOOKUP(A416, 'Session Data'!A:U,21,false)</f>
        <v/>
      </c>
      <c r="AI416" s="36"/>
      <c r="AJ416" s="38"/>
      <c r="AK416" s="38"/>
      <c r="AL416" s="39"/>
      <c r="AM416" s="34" t="str">
        <f>VLOOKUP(A416, 'Session Data'!A:AA,10,false)</f>
        <v>eroot5913@sdsu.edu</v>
      </c>
      <c r="AN416" s="40"/>
      <c r="AO416" s="38"/>
      <c r="AP416" s="38"/>
      <c r="AQ416" s="38"/>
      <c r="AR416" s="38"/>
      <c r="AS416" s="38"/>
      <c r="AT416" s="38"/>
      <c r="AU416" s="38"/>
      <c r="AV416" s="38"/>
      <c r="AW416" s="38"/>
      <c r="AX416" s="38"/>
      <c r="AY416" s="43"/>
      <c r="AZ416" s="43"/>
      <c r="BA416" s="48"/>
      <c r="BB416" s="48"/>
      <c r="BC416" s="43"/>
      <c r="BD416" s="43"/>
      <c r="BE416" s="44"/>
      <c r="BF416" s="45"/>
      <c r="BG416" s="46"/>
    </row>
    <row r="417">
      <c r="A417" s="19" t="s">
        <v>488</v>
      </c>
      <c r="B417" s="20">
        <f>VLOOKUP(F417,'Session Count DO NOT EDIT'!$A:$C,3,FALSE)</f>
        <v>4</v>
      </c>
      <c r="C417" s="20">
        <f>COUNTIFS('Scores Import DO NOT EDIT'!D:D,A417)</f>
        <v>3</v>
      </c>
      <c r="D417" s="21">
        <f t="shared" si="1"/>
        <v>0.75</v>
      </c>
      <c r="E417" s="22">
        <f>AVERAGEIFS('Scores Import DO NOT EDIT'!L:L,'Scores Import DO NOT EDIT'!D:D,A417)</f>
        <v>27.66666667</v>
      </c>
      <c r="F417" s="23" t="str">
        <f>VLOOKUP(A417, 'Session Data'!A:M,3,false)</f>
        <v>H-6</v>
      </c>
      <c r="G417" s="24" t="str">
        <f>VLOOKUP(A417, 'Session Data'!A:I,2,false)</f>
        <v>1:00 PM</v>
      </c>
      <c r="H417" s="23" t="str">
        <f>VLOOKUP(A417, 'Session Data'!A:J,5,false)</f>
        <v>Physical and Mathematical Sciences 2</v>
      </c>
      <c r="I417" s="25" t="str">
        <f>VLOOKUP(A417, 'Session Data'!A:H,4,false)</f>
        <v>Poster</v>
      </c>
      <c r="J417" s="26" t="str">
        <f>VLOOKUP(A417, 'Session Data'!A:AA,14,false)</f>
        <v>Undergraduate</v>
      </c>
      <c r="K417" s="27" t="str">
        <f>VLOOKUP(A417, 'Session Data'!A:AA,15,false)</f>
        <v>Sciences</v>
      </c>
      <c r="L417" s="47"/>
      <c r="M417" s="29" t="str">
        <f>VLOOKUP(A417, 'Session Data'!A:K,11,false)</f>
        <v>Bachelor in Chemistry, emphasis in biochemistry.</v>
      </c>
      <c r="N417" s="26" t="str">
        <f>IF(ISNA(VLOOKUP(A417, 'Award Abstract#'!C:C, 1, FALSE)), "No", "Yes")
</f>
        <v>No</v>
      </c>
      <c r="O417" s="29" t="str">
        <f>IF(ISNA(VLOOKUP(A417,'Award Abstract#'!B:B,1,FALSE)), "No", "Yes")</f>
        <v>No</v>
      </c>
      <c r="P417" s="29" t="str">
        <f>IF(ISNA(VLOOKUP(A417,'Award Abstract#'!E:E,1,FALSE)), "No", "Yes")</f>
        <v>No</v>
      </c>
      <c r="Q417" s="29" t="str">
        <f>IF(ISNA(VLOOKUP(A417,'Award Abstract#'!A:A,1,FALSE)), "No", "Yes")</f>
        <v>No</v>
      </c>
      <c r="R417" s="29" t="str">
        <f>IF(ISNA(VLOOKUP(A417,'Award Abstract#'!D:D,1,FALSE)), "No", "Yes")</f>
        <v>No</v>
      </c>
      <c r="S417" s="30" t="str">
        <f>VLOOKUP(A417, 'Session Data'!A:AA,27,false)</f>
        <v>Woman</v>
      </c>
      <c r="T417" s="30"/>
      <c r="U417" s="30"/>
      <c r="V417" s="31" t="str">
        <f>VLOOKUP(A417, 'Session Data'!A:AA,8,false)</f>
        <v>Alyssa</v>
      </c>
      <c r="W417" s="32" t="str">
        <f>VLOOKUP(A417, 'Session Data'!A:AA,9,false)</f>
        <v>Gomez</v>
      </c>
      <c r="X417" s="33" t="str">
        <f>VLOOKUP(A417, 'Session Data'!A:AA,12,false)</f>
        <v>Utilizing Dihedral Angle Control as a Strategy to Obtain Selective Diarylamine Kinase Inhibitors</v>
      </c>
      <c r="Y417" s="34" t="str">
        <f>VLOOKUP(A417, 'Session Data'!A:AA,22,false)</f>
        <v>Jeffrey </v>
      </c>
      <c r="Z417" s="34" t="str">
        <f>VLOOKUP(A417, 'Session Data'!A:AA,23,false)</f>
        <v>Gustafson</v>
      </c>
      <c r="AA417" s="34" t="str">
        <f>VLOOKUP(A417, 'Session Data'!A:AA,25,false)</f>
        <v>Sciences</v>
      </c>
      <c r="AB417" s="34" t="str">
        <f>VLOOKUP(A417, 'Session Data'!A:AA,24,false)</f>
        <v>jGustafson@sdsu.edu</v>
      </c>
      <c r="AC417" s="34" t="str">
        <f>VLOOKUP(A417, 'Session Data'!A:AA,16,false)</f>
        <v/>
      </c>
      <c r="AD417" s="35" t="str">
        <f>VLOOKUP(A417, 'Session Data'!A:U,17,false)</f>
        <v/>
      </c>
      <c r="AE417" s="35" t="str">
        <f>VLOOKUP(A417, 'Session Data'!A:U,18,false)</f>
        <v/>
      </c>
      <c r="AF417" s="35" t="str">
        <f>VLOOKUP(A417, 'Session Data'!A:U,19,false)</f>
        <v/>
      </c>
      <c r="AG417" s="35" t="str">
        <f>VLOOKUP(A417, 'Session Data'!A:U,20,false)</f>
        <v/>
      </c>
      <c r="AH417" s="35" t="str">
        <f>VLOOKUP(A417, 'Session Data'!A:U,21,false)</f>
        <v/>
      </c>
      <c r="AI417" s="36"/>
      <c r="AJ417" s="38"/>
      <c r="AK417" s="38"/>
      <c r="AL417" s="39"/>
      <c r="AM417" s="34" t="str">
        <f>VLOOKUP(A417, 'Session Data'!A:AA,10,false)</f>
        <v>agomez9302@sdsu.edu</v>
      </c>
      <c r="AN417" s="40"/>
      <c r="AO417" s="38"/>
      <c r="AP417" s="38"/>
      <c r="AQ417" s="38"/>
      <c r="AR417" s="38"/>
      <c r="AS417" s="38"/>
      <c r="AT417" s="38"/>
      <c r="AU417" s="38"/>
      <c r="AV417" s="38"/>
      <c r="AW417" s="38"/>
      <c r="AX417" s="38"/>
      <c r="AY417" s="43"/>
      <c r="AZ417" s="43"/>
      <c r="BA417" s="43"/>
      <c r="BB417" s="43"/>
      <c r="BC417" s="43"/>
      <c r="BD417" s="43"/>
      <c r="BE417" s="44"/>
      <c r="BF417" s="45"/>
      <c r="BG417" s="43"/>
    </row>
    <row r="418">
      <c r="A418" s="19" t="s">
        <v>489</v>
      </c>
      <c r="B418" s="20">
        <f>VLOOKUP(F418,'Session Count DO NOT EDIT'!$A:$C,3,FALSE)</f>
        <v>4</v>
      </c>
      <c r="C418" s="20">
        <f>COUNTIFS('Scores Import DO NOT EDIT'!D:D,A418)</f>
        <v>3</v>
      </c>
      <c r="D418" s="21">
        <f t="shared" si="1"/>
        <v>0.75</v>
      </c>
      <c r="E418" s="22">
        <f>AVERAGEIFS('Scores Import DO NOT EDIT'!L:L,'Scores Import DO NOT EDIT'!D:D,A418)</f>
        <v>26.33333333</v>
      </c>
      <c r="F418" s="23" t="str">
        <f>VLOOKUP(A418, 'Session Data'!A:M,3,false)</f>
        <v>H-6</v>
      </c>
      <c r="G418" s="24" t="str">
        <f>VLOOKUP(A418, 'Session Data'!A:I,2,false)</f>
        <v>1:00 PM</v>
      </c>
      <c r="H418" s="23" t="str">
        <f>VLOOKUP(A418, 'Session Data'!A:J,5,false)</f>
        <v>Physical and Mathematical Sciences 2</v>
      </c>
      <c r="I418" s="25" t="str">
        <f>VLOOKUP(A418, 'Session Data'!A:H,4,false)</f>
        <v>Poster</v>
      </c>
      <c r="J418" s="26" t="str">
        <f>VLOOKUP(A418, 'Session Data'!A:AA,14,false)</f>
        <v>Undergraduate</v>
      </c>
      <c r="K418" s="27" t="str">
        <f>VLOOKUP(A418, 'Session Data'!A:AA,15,false)</f>
        <v>Arts and Letters</v>
      </c>
      <c r="L418" s="28"/>
      <c r="M418" s="29" t="str">
        <f>VLOOKUP(A418, 'Session Data'!A:K,11,false)</f>
        <v>Bachelor of Arts in Geography</v>
      </c>
      <c r="N418" s="26" t="str">
        <f>IF(ISNA(VLOOKUP(A418, 'Award Abstract#'!C:C, 1, FALSE)), "No", "Yes")
</f>
        <v>No</v>
      </c>
      <c r="O418" s="29" t="str">
        <f>IF(ISNA(VLOOKUP(A418,'Award Abstract#'!B:B,1,FALSE)), "No", "Yes")</f>
        <v>No</v>
      </c>
      <c r="P418" s="29" t="str">
        <f>IF(ISNA(VLOOKUP(A418,'Award Abstract#'!E:E,1,FALSE)), "No", "Yes")</f>
        <v>Yes</v>
      </c>
      <c r="Q418" s="29" t="str">
        <f>IF(ISNA(VLOOKUP(A418,'Award Abstract#'!A:A,1,FALSE)), "No", "Yes")</f>
        <v>No</v>
      </c>
      <c r="R418" s="29" t="str">
        <f>IF(ISNA(VLOOKUP(A418,'Award Abstract#'!D:D,1,FALSE)), "No", "Yes")</f>
        <v>No</v>
      </c>
      <c r="S418" s="30" t="str">
        <f>VLOOKUP(A418, 'Session Data'!A:AA,27,false)</f>
        <v>Woman</v>
      </c>
      <c r="T418" s="30"/>
      <c r="U418" s="30"/>
      <c r="V418" s="31" t="str">
        <f>VLOOKUP(A418, 'Session Data'!A:AA,8,false)</f>
        <v>Cara</v>
      </c>
      <c r="W418" s="32" t="str">
        <f>VLOOKUP(A418, 'Session Data'!A:AA,9,false)</f>
        <v>Higashi</v>
      </c>
      <c r="X418" s="33" t="str">
        <f>VLOOKUP(A418, 'Session Data'!A:AA,12,false)</f>
        <v>How Specific Conductivity Analysis Can Aid in Identifying Peak Wastewater Outflow of the Tijuana Estuary </v>
      </c>
      <c r="Y418" s="34" t="str">
        <f>VLOOKUP(A418, 'Session Data'!A:AA,22,false)</f>
        <v>Trent</v>
      </c>
      <c r="Z418" s="34" t="str">
        <f>VLOOKUP(A418, 'Session Data'!A:AA,23,false)</f>
        <v>Biggs</v>
      </c>
      <c r="AA418" s="34" t="str">
        <f>VLOOKUP(A418, 'Session Data'!A:AA,25,false)</f>
        <v>Arts and Letters</v>
      </c>
      <c r="AB418" s="34" t="str">
        <f>VLOOKUP(A418, 'Session Data'!A:AA,24,false)</f>
        <v>tbiggs@sdsu.edu</v>
      </c>
      <c r="AC418" s="34" t="str">
        <f>VLOOKUP(A418, 'Session Data'!A:AA,16,false)</f>
        <v>David </v>
      </c>
      <c r="AD418" s="35" t="str">
        <f>VLOOKUP(A418, 'Session Data'!A:U,17,false)</f>
        <v>Penn</v>
      </c>
      <c r="AE418" s="35" t="str">
        <f>VLOOKUP(A418, 'Session Data'!A:U,18,false)</f>
        <v/>
      </c>
      <c r="AF418" s="35" t="str">
        <f>VLOOKUP(A418, 'Session Data'!A:U,19,false)</f>
        <v/>
      </c>
      <c r="AG418" s="35" t="str">
        <f>VLOOKUP(A418, 'Session Data'!A:U,20,false)</f>
        <v/>
      </c>
      <c r="AH418" s="35" t="str">
        <f>VLOOKUP(A418, 'Session Data'!A:U,21,false)</f>
        <v/>
      </c>
      <c r="AI418" s="36"/>
      <c r="AJ418" s="38"/>
      <c r="AK418" s="38"/>
      <c r="AL418" s="39"/>
      <c r="AM418" s="34" t="str">
        <f>VLOOKUP(A418, 'Session Data'!A:AA,10,false)</f>
        <v>chigashi1194@sdsu.edu</v>
      </c>
      <c r="AN418" s="40"/>
      <c r="AO418" s="38"/>
      <c r="AP418" s="38"/>
      <c r="AQ418" s="38"/>
      <c r="AR418" s="38"/>
      <c r="AS418" s="38"/>
      <c r="AT418" s="38"/>
      <c r="AU418" s="38"/>
      <c r="AV418" s="38"/>
      <c r="AW418" s="38"/>
      <c r="AX418" s="38"/>
      <c r="AY418" s="43"/>
      <c r="AZ418" s="43"/>
      <c r="BA418" s="48"/>
      <c r="BB418" s="48"/>
      <c r="BC418" s="43"/>
      <c r="BD418" s="43"/>
      <c r="BE418" s="44"/>
      <c r="BF418" s="45"/>
      <c r="BG418" s="46"/>
    </row>
    <row r="419">
      <c r="A419" s="19" t="s">
        <v>490</v>
      </c>
      <c r="B419" s="20">
        <f>VLOOKUP(F419,'Session Count DO NOT EDIT'!$A:$C,3,FALSE)</f>
        <v>4</v>
      </c>
      <c r="C419" s="20">
        <f>COUNTIFS('Scores Import DO NOT EDIT'!D:D,A419)</f>
        <v>3</v>
      </c>
      <c r="D419" s="21">
        <f t="shared" si="1"/>
        <v>0.75</v>
      </c>
      <c r="E419" s="22">
        <f>AVERAGEIFS('Scores Import DO NOT EDIT'!L:L,'Scores Import DO NOT EDIT'!D:D,A419)</f>
        <v>25</v>
      </c>
      <c r="F419" s="23" t="str">
        <f>VLOOKUP(A419, 'Session Data'!A:M,3,false)</f>
        <v>H-6</v>
      </c>
      <c r="G419" s="24" t="str">
        <f>VLOOKUP(A419, 'Session Data'!A:I,2,false)</f>
        <v>1:00 PM</v>
      </c>
      <c r="H419" s="23" t="str">
        <f>VLOOKUP(A419, 'Session Data'!A:J,5,false)</f>
        <v>Physical and Mathematical Sciences 2</v>
      </c>
      <c r="I419" s="25" t="str">
        <f>VLOOKUP(A419, 'Session Data'!A:H,4,false)</f>
        <v>Poster</v>
      </c>
      <c r="J419" s="26" t="str">
        <f>VLOOKUP(A419, 'Session Data'!A:AA,14,false)</f>
        <v>Undergraduate</v>
      </c>
      <c r="K419" s="27" t="str">
        <f>VLOOKUP(A419, 'Session Data'!A:AA,15,false)</f>
        <v>Sciences</v>
      </c>
      <c r="L419" s="28"/>
      <c r="M419" s="29" t="str">
        <f>VLOOKUP(A419, 'Session Data'!A:K,11,false)</f>
        <v>Chemical Physics</v>
      </c>
      <c r="N419" s="26" t="str">
        <f>IF(ISNA(VLOOKUP(A419, 'Award Abstract#'!C:C, 1, FALSE)), "No", "Yes")
</f>
        <v>No</v>
      </c>
      <c r="O419" s="29" t="str">
        <f>IF(ISNA(VLOOKUP(A419,'Award Abstract#'!B:B,1,FALSE)), "No", "Yes")</f>
        <v>No</v>
      </c>
      <c r="P419" s="29" t="str">
        <f>IF(ISNA(VLOOKUP(A419,'Award Abstract#'!E:E,1,FALSE)), "No", "Yes")</f>
        <v>No</v>
      </c>
      <c r="Q419" s="29" t="str">
        <f>IF(ISNA(VLOOKUP(A419,'Award Abstract#'!A:A,1,FALSE)), "No", "Yes")</f>
        <v>No</v>
      </c>
      <c r="R419" s="29" t="str">
        <f>IF(ISNA(VLOOKUP(A419,'Award Abstract#'!D:D,1,FALSE)), "No", "Yes")</f>
        <v>No</v>
      </c>
      <c r="S419" s="30" t="str">
        <f>VLOOKUP(A419, 'Session Data'!A:AA,27,false)</f>
        <v>Man</v>
      </c>
      <c r="T419" s="30"/>
      <c r="U419" s="30"/>
      <c r="V419" s="31" t="str">
        <f>VLOOKUP(A419, 'Session Data'!A:AA,8,false)</f>
        <v>David</v>
      </c>
      <c r="W419" s="32" t="str">
        <f>VLOOKUP(A419, 'Session Data'!A:AA,9,false)</f>
        <v>Roberts</v>
      </c>
      <c r="X419" s="33" t="str">
        <f>VLOOKUP(A419, 'Session Data'!A:AA,12,false)</f>
        <v>A Computational Study of Hydridic Hydrogen Bonds</v>
      </c>
      <c r="Y419" s="34" t="str">
        <f>VLOOKUP(A419, 'Session Data'!A:AA,22,false)</f>
        <v>Yuezhi</v>
      </c>
      <c r="Z419" s="34" t="str">
        <f>VLOOKUP(A419, 'Session Data'!A:AA,23,false)</f>
        <v>Mao</v>
      </c>
      <c r="AA419" s="34" t="str">
        <f>VLOOKUP(A419, 'Session Data'!A:AA,25,false)</f>
        <v>Sciences</v>
      </c>
      <c r="AB419" s="34"/>
      <c r="AC419" s="34" t="str">
        <f>VLOOKUP(A419, 'Session Data'!A:AA,16,false)</f>
        <v/>
      </c>
      <c r="AD419" s="35" t="str">
        <f>VLOOKUP(A419, 'Session Data'!A:U,17,false)</f>
        <v/>
      </c>
      <c r="AE419" s="35" t="str">
        <f>VLOOKUP(A419, 'Session Data'!A:U,18,false)</f>
        <v/>
      </c>
      <c r="AF419" s="35" t="str">
        <f>VLOOKUP(A419, 'Session Data'!A:U,19,false)</f>
        <v/>
      </c>
      <c r="AG419" s="35" t="str">
        <f>VLOOKUP(A419, 'Session Data'!A:U,20,false)</f>
        <v/>
      </c>
      <c r="AH419" s="35" t="str">
        <f>VLOOKUP(A419, 'Session Data'!A:U,21,false)</f>
        <v/>
      </c>
      <c r="AI419" s="36"/>
      <c r="AJ419" s="38"/>
      <c r="AK419" s="38"/>
      <c r="AL419" s="39"/>
      <c r="AM419" s="34" t="str">
        <f>VLOOKUP(A419, 'Session Data'!A:AA,10,false)</f>
        <v>droberts2216@sdsu.edu</v>
      </c>
      <c r="AN419" s="40"/>
      <c r="AO419" s="38"/>
      <c r="AP419" s="38"/>
      <c r="AQ419" s="38"/>
      <c r="AR419" s="38"/>
      <c r="AS419" s="38"/>
      <c r="AT419" s="38"/>
      <c r="AU419" s="38"/>
      <c r="AV419" s="38"/>
      <c r="AW419" s="38"/>
      <c r="AX419" s="38"/>
      <c r="AY419" s="43"/>
      <c r="AZ419" s="43"/>
      <c r="BA419" s="48"/>
      <c r="BB419" s="48"/>
      <c r="BC419" s="43"/>
      <c r="BD419" s="43"/>
      <c r="BE419" s="44"/>
      <c r="BF419" s="45"/>
      <c r="BG419" s="46"/>
    </row>
    <row r="420">
      <c r="A420" s="19" t="s">
        <v>491</v>
      </c>
      <c r="B420" s="20">
        <f>VLOOKUP(F420,'Session Count DO NOT EDIT'!$A:$C,3,FALSE)</f>
        <v>5</v>
      </c>
      <c r="C420" s="20">
        <f>COUNTIFS('Scores Import DO NOT EDIT'!D:D,A420)</f>
        <v>5</v>
      </c>
      <c r="D420" s="21">
        <f t="shared" si="1"/>
        <v>1</v>
      </c>
      <c r="E420" s="22">
        <f>AVERAGEIFS('Scores Import DO NOT EDIT'!L:L,'Scores Import DO NOT EDIT'!D:D,A420)</f>
        <v>31</v>
      </c>
      <c r="F420" s="23" t="str">
        <f>VLOOKUP(A420, 'Session Data'!A:M,3,false)</f>
        <v>H-7</v>
      </c>
      <c r="G420" s="24" t="str">
        <f>VLOOKUP(A420, 'Session Data'!A:I,2,false)</f>
        <v>1:00 PM</v>
      </c>
      <c r="H420" s="23" t="str">
        <f>VLOOKUP(A420, 'Session Data'!A:J,5,false)</f>
        <v>Health Nutrition and Clinical Sciences</v>
      </c>
      <c r="I420" s="25" t="str">
        <f>VLOOKUP(A420, 'Session Data'!A:H,4,false)</f>
        <v>Poster</v>
      </c>
      <c r="J420" s="26" t="str">
        <f>VLOOKUP(A420, 'Session Data'!A:AA,14,false)</f>
        <v>Undergraduate</v>
      </c>
      <c r="K420" s="27" t="str">
        <f>VLOOKUP(A420, 'Session Data'!A:AA,15,false)</f>
        <v>Health and Human Services</v>
      </c>
      <c r="L420" s="52" t="s">
        <v>73</v>
      </c>
      <c r="M420" s="29" t="str">
        <f>VLOOKUP(A420, 'Session Data'!A:K,11,false)</f>
        <v>Bachelor of Liberal Arts in Speech Language and Hearing Sciences</v>
      </c>
      <c r="N420" s="26" t="str">
        <f>IF(ISNA(VLOOKUP(A420, 'Award Abstract#'!C:C, 1, FALSE)), "No", "Yes")
</f>
        <v>No</v>
      </c>
      <c r="O420" s="29" t="str">
        <f>IF(ISNA(VLOOKUP(A420,'Award Abstract#'!B:B,1,FALSE)), "No", "Yes")</f>
        <v>No</v>
      </c>
      <c r="P420" s="29" t="str">
        <f>IF(ISNA(VLOOKUP(A420,'Award Abstract#'!E:E,1,FALSE)), "No", "Yes")</f>
        <v>Yes</v>
      </c>
      <c r="Q420" s="29" t="str">
        <f>IF(ISNA(VLOOKUP(A420,'Award Abstract#'!A:A,1,FALSE)), "No", "Yes")</f>
        <v>No</v>
      </c>
      <c r="R420" s="29" t="str">
        <f>IF(ISNA(VLOOKUP(A420,'Award Abstract#'!D:D,1,FALSE)), "No", "Yes")</f>
        <v>Yes</v>
      </c>
      <c r="S420" s="30" t="str">
        <f>VLOOKUP(A420, 'Session Data'!A:AA,27,false)</f>
        <v>Woman</v>
      </c>
      <c r="T420" s="84"/>
      <c r="U420" s="30"/>
      <c r="V420" s="31" t="str">
        <f>VLOOKUP(A420, 'Session Data'!A:AA,8,false)</f>
        <v>Noelle</v>
      </c>
      <c r="W420" s="32" t="str">
        <f>VLOOKUP(A420, 'Session Data'!A:AA,9,false)</f>
        <v>Villegas</v>
      </c>
      <c r="X420" s="33" t="str">
        <f>VLOOKUP(A420, 'Session Data'!A:AA,12,false)</f>
        <v>Semantic Abilities in Children and the Effects of SES</v>
      </c>
      <c r="Y420" s="34" t="str">
        <f>VLOOKUP(A420, 'Session Data'!A:AA,22,false)</f>
        <v>Alyson</v>
      </c>
      <c r="Z420" s="34" t="str">
        <f>VLOOKUP(A420, 'Session Data'!A:AA,23,false)</f>
        <v>Abel</v>
      </c>
      <c r="AA420" s="34" t="str">
        <f>VLOOKUP(A420, 'Session Data'!A:AA,25,false)</f>
        <v>Health and Human Services</v>
      </c>
      <c r="AB420" s="34" t="str">
        <f>VLOOKUP(A420, 'Session Data'!A:AA,24,false)</f>
        <v>amills@sdsu.edu</v>
      </c>
      <c r="AC420" s="34" t="str">
        <f>VLOOKUP(A420, 'Session Data'!A:AA,16,false)</f>
        <v>Abbie</v>
      </c>
      <c r="AD420" s="35" t="str">
        <f>VLOOKUP(A420, 'Session Data'!A:U,17,false)</f>
        <v>Brandt</v>
      </c>
      <c r="AE420" s="35" t="str">
        <f>VLOOKUP(A420, 'Session Data'!A:U,18,false)</f>
        <v>Alishba</v>
      </c>
      <c r="AF420" s="35" t="str">
        <f>VLOOKUP(A420, 'Session Data'!A:U,19,false)</f>
        <v>Chaudhary</v>
      </c>
      <c r="AG420" s="35" t="str">
        <f>VLOOKUP(A420, 'Session Data'!A:U,20,false)</f>
        <v/>
      </c>
      <c r="AH420" s="35" t="str">
        <f>VLOOKUP(A420, 'Session Data'!A:U,21,false)</f>
        <v/>
      </c>
      <c r="AI420" s="37"/>
      <c r="AJ420" s="37"/>
      <c r="AK420" s="37"/>
      <c r="AL420" s="50"/>
      <c r="AM420" s="34" t="str">
        <f>VLOOKUP(A420, 'Session Data'!A:AA,10,false)</f>
        <v>nvillegas3969@sdsu.edu</v>
      </c>
      <c r="AN420" s="40"/>
      <c r="AO420" s="48"/>
      <c r="AP420" s="48"/>
      <c r="AQ420" s="48"/>
      <c r="AR420" s="48"/>
      <c r="AS420" s="48"/>
      <c r="AT420" s="48"/>
      <c r="AU420" s="48"/>
      <c r="AV420" s="48"/>
      <c r="AW420" s="48"/>
      <c r="AX420" s="48"/>
      <c r="AY420" s="43"/>
      <c r="AZ420" s="43"/>
      <c r="BA420" s="43"/>
      <c r="BB420" s="43"/>
      <c r="BC420" s="43"/>
      <c r="BD420" s="43"/>
      <c r="BE420" s="44"/>
      <c r="BF420" s="45"/>
      <c r="BG420" s="43"/>
    </row>
    <row r="421">
      <c r="A421" s="19" t="s">
        <v>492</v>
      </c>
      <c r="B421" s="20">
        <f>VLOOKUP(F421,'Session Count DO NOT EDIT'!$A:$C,3,FALSE)</f>
        <v>5</v>
      </c>
      <c r="C421" s="20">
        <f>COUNTIFS('Scores Import DO NOT EDIT'!D:D,A421)</f>
        <v>5</v>
      </c>
      <c r="D421" s="21">
        <f t="shared" si="1"/>
        <v>1</v>
      </c>
      <c r="E421" s="22">
        <f>AVERAGEIFS('Scores Import DO NOT EDIT'!L:L,'Scores Import DO NOT EDIT'!D:D,A421)</f>
        <v>29.6</v>
      </c>
      <c r="F421" s="23" t="str">
        <f>VLOOKUP(A421, 'Session Data'!A:M,3,false)</f>
        <v>H-7</v>
      </c>
      <c r="G421" s="24" t="str">
        <f>VLOOKUP(A421, 'Session Data'!A:I,2,false)</f>
        <v>1:00 PM</v>
      </c>
      <c r="H421" s="23" t="str">
        <f>VLOOKUP(A421, 'Session Data'!A:J,5,false)</f>
        <v>Health Nutrition and Clinical Sciences</v>
      </c>
      <c r="I421" s="25" t="str">
        <f>VLOOKUP(A421, 'Session Data'!A:H,4,false)</f>
        <v>Poster</v>
      </c>
      <c r="J421" s="26" t="str">
        <f>VLOOKUP(A421, 'Session Data'!A:AA,14,false)</f>
        <v>Undergraduate</v>
      </c>
      <c r="K421" s="27" t="str">
        <f>VLOOKUP(A421, 'Session Data'!A:AA,15,false)</f>
        <v>Health and Human Services</v>
      </c>
      <c r="L421" s="47"/>
      <c r="M421" s="29" t="str">
        <f>VLOOKUP(A421, 'Session Data'!A:K,11,false)</f>
        <v>Bachelor of Science in Kinesiology</v>
      </c>
      <c r="N421" s="26" t="str">
        <f>IF(ISNA(VLOOKUP(A421, 'Award Abstract#'!C:C, 1, FALSE)), "No", "Yes")
</f>
        <v>No</v>
      </c>
      <c r="O421" s="29" t="str">
        <f>IF(ISNA(VLOOKUP(A421,'Award Abstract#'!B:B,1,FALSE)), "No", "Yes")</f>
        <v>No</v>
      </c>
      <c r="P421" s="29" t="str">
        <f>IF(ISNA(VLOOKUP(A421,'Award Abstract#'!E:E,1,FALSE)), "No", "Yes")</f>
        <v>No</v>
      </c>
      <c r="Q421" s="29" t="str">
        <f>IF(ISNA(VLOOKUP(A421,'Award Abstract#'!A:A,1,FALSE)), "No", "Yes")</f>
        <v>No</v>
      </c>
      <c r="R421" s="29" t="str">
        <f>IF(ISNA(VLOOKUP(A421,'Award Abstract#'!D:D,1,FALSE)), "No", "Yes")</f>
        <v>No</v>
      </c>
      <c r="S421" s="30" t="str">
        <f>VLOOKUP(A421, 'Session Data'!A:AA,27,false)</f>
        <v>Man</v>
      </c>
      <c r="T421" s="84"/>
      <c r="U421" s="30"/>
      <c r="V421" s="31" t="str">
        <f>VLOOKUP(A421, 'Session Data'!A:AA,8,false)</f>
        <v>Dylan</v>
      </c>
      <c r="W421" s="32" t="str">
        <f>VLOOKUP(A421, 'Session Data'!A:AA,9,false)</f>
        <v>Kasper</v>
      </c>
      <c r="X421" s="33" t="str">
        <f>VLOOKUP(A421, 'Session Data'!A:AA,12,false)</f>
        <v>Nitrate Supplementation Decreases In Vivo Muscle Torque Without Affecting Recovery From Injury in Mice</v>
      </c>
      <c r="Y421" s="34" t="str">
        <f>VLOOKUP(A421, 'Session Data'!A:AA,22,false)</f>
        <v>Leonardo</v>
      </c>
      <c r="Z421" s="34" t="str">
        <f>VLOOKUP(A421, 'Session Data'!A:AA,23,false)</f>
        <v>Nogueira</v>
      </c>
      <c r="AA421" s="34" t="str">
        <f>VLOOKUP(A421, 'Session Data'!A:AA,25,false)</f>
        <v>Health and Human Services</v>
      </c>
      <c r="AB421" s="34" t="str">
        <f>VLOOKUP(A421, 'Session Data'!A:AA,24,false)</f>
        <v>lnogueira@sdsu.edu</v>
      </c>
      <c r="AC421" s="34" t="str">
        <f>VLOOKUP(A421, 'Session Data'!A:AA,16,false)</f>
        <v/>
      </c>
      <c r="AD421" s="35" t="str">
        <f>VLOOKUP(A421, 'Session Data'!A:U,17,false)</f>
        <v/>
      </c>
      <c r="AE421" s="35" t="str">
        <f>VLOOKUP(A421, 'Session Data'!A:U,18,false)</f>
        <v/>
      </c>
      <c r="AF421" s="35" t="str">
        <f>VLOOKUP(A421, 'Session Data'!A:U,19,false)</f>
        <v/>
      </c>
      <c r="AG421" s="35" t="str">
        <f>VLOOKUP(A421, 'Session Data'!A:U,20,false)</f>
        <v/>
      </c>
      <c r="AH421" s="35" t="str">
        <f>VLOOKUP(A421, 'Session Data'!A:U,21,false)</f>
        <v/>
      </c>
      <c r="AI421" s="37"/>
      <c r="AJ421" s="37"/>
      <c r="AK421" s="37"/>
      <c r="AL421" s="50"/>
      <c r="AM421" s="34" t="str">
        <f>VLOOKUP(A421, 'Session Data'!A:AA,10,false)</f>
        <v>dkasper1276@sdsu.edu</v>
      </c>
      <c r="AN421" s="40"/>
      <c r="AO421" s="48"/>
      <c r="AP421" s="48"/>
      <c r="AQ421" s="48"/>
      <c r="AR421" s="48"/>
      <c r="AS421" s="48"/>
      <c r="AT421" s="48"/>
      <c r="AU421" s="48"/>
      <c r="AV421" s="48"/>
      <c r="AW421" s="48"/>
      <c r="AX421" s="48"/>
      <c r="AY421" s="43"/>
      <c r="AZ421" s="43"/>
      <c r="BA421" s="43"/>
      <c r="BB421" s="43"/>
      <c r="BC421" s="43"/>
      <c r="BD421" s="43"/>
      <c r="BE421" s="44"/>
      <c r="BF421" s="45"/>
      <c r="BG421" s="43"/>
    </row>
    <row r="422">
      <c r="A422" s="19" t="s">
        <v>493</v>
      </c>
      <c r="B422" s="20">
        <f>VLOOKUP(F422,'Session Count DO NOT EDIT'!$A:$C,3,FALSE)</f>
        <v>5</v>
      </c>
      <c r="C422" s="20">
        <f>COUNTIFS('Scores Import DO NOT EDIT'!D:D,A422)</f>
        <v>5</v>
      </c>
      <c r="D422" s="21">
        <f t="shared" si="1"/>
        <v>1</v>
      </c>
      <c r="E422" s="22">
        <f>AVERAGEIFS('Scores Import DO NOT EDIT'!L:L,'Scores Import DO NOT EDIT'!D:D,A422)</f>
        <v>28.8</v>
      </c>
      <c r="F422" s="23" t="str">
        <f>VLOOKUP(A422, 'Session Data'!A:M,3,false)</f>
        <v>H-7</v>
      </c>
      <c r="G422" s="24" t="str">
        <f>VLOOKUP(A422, 'Session Data'!A:I,2,false)</f>
        <v>1:00 PM</v>
      </c>
      <c r="H422" s="23" t="str">
        <f>VLOOKUP(A422, 'Session Data'!A:J,5,false)</f>
        <v>Health Nutrition and Clinical Sciences</v>
      </c>
      <c r="I422" s="25" t="str">
        <f>VLOOKUP(A422, 'Session Data'!A:H,4,false)</f>
        <v>Poster</v>
      </c>
      <c r="J422" s="26" t="str">
        <f>VLOOKUP(A422, 'Session Data'!A:AA,14,false)</f>
        <v>Undergraduate</v>
      </c>
      <c r="K422" s="27" t="str">
        <f>VLOOKUP(A422, 'Session Data'!A:AA,15,false)</f>
        <v>Health and Human Services</v>
      </c>
      <c r="L422" s="47"/>
      <c r="M422" s="29" t="str">
        <f>VLOOKUP(A422, 'Session Data'!A:K,11,false)</f>
        <v>Bachelor of Science in Kinesiology </v>
      </c>
      <c r="N422" s="26" t="str">
        <f>IF(ISNA(VLOOKUP(A422, 'Award Abstract#'!C:C, 1, FALSE)), "No", "Yes")
</f>
        <v>No</v>
      </c>
      <c r="O422" s="29" t="str">
        <f>IF(ISNA(VLOOKUP(A422,'Award Abstract#'!B:B,1,FALSE)), "No", "Yes")</f>
        <v>No</v>
      </c>
      <c r="P422" s="29" t="str">
        <f>IF(ISNA(VLOOKUP(A422,'Award Abstract#'!E:E,1,FALSE)), "No", "Yes")</f>
        <v>No</v>
      </c>
      <c r="Q422" s="29" t="str">
        <f>IF(ISNA(VLOOKUP(A422,'Award Abstract#'!A:A,1,FALSE)), "No", "Yes")</f>
        <v>No</v>
      </c>
      <c r="R422" s="29" t="str">
        <f>IF(ISNA(VLOOKUP(A422,'Award Abstract#'!D:D,1,FALSE)), "No", "Yes")</f>
        <v>No</v>
      </c>
      <c r="S422" s="30" t="str">
        <f>VLOOKUP(A422, 'Session Data'!A:AA,27,false)</f>
        <v>Man</v>
      </c>
      <c r="T422" s="84"/>
      <c r="U422" s="30"/>
      <c r="V422" s="31" t="str">
        <f>VLOOKUP(A422, 'Session Data'!A:AA,8,false)</f>
        <v>Lloyd Kane Thomas</v>
      </c>
      <c r="W422" s="32" t="str">
        <f>VLOOKUP(A422, 'Session Data'!A:AA,9,false)</f>
        <v>Marshall</v>
      </c>
      <c r="X422" s="33" t="str">
        <f>VLOOKUP(A422, 'Session Data'!A:AA,12,false)</f>
        <v>Single-leg Resistance Exercise Training in Mice Leads to a Decrease Followed by an Increase in In Vivo Torque of Anterior Crural Muscles</v>
      </c>
      <c r="Y422" s="34" t="str">
        <f>VLOOKUP(A422, 'Session Data'!A:AA,22,false)</f>
        <v>Leonardo </v>
      </c>
      <c r="Z422" s="34" t="str">
        <f>VLOOKUP(A422, 'Session Data'!A:AA,23,false)</f>
        <v>Nogueira, PhD</v>
      </c>
      <c r="AA422" s="34" t="str">
        <f>VLOOKUP(A422, 'Session Data'!A:AA,25,false)</f>
        <v>Health and Human Services</v>
      </c>
      <c r="AB422" s="34" t="str">
        <f>VLOOKUP(A422, 'Session Data'!A:AA,24,false)</f>
        <v>lnogueira@sdsu.edu</v>
      </c>
      <c r="AC422" s="34" t="str">
        <f>VLOOKUP(A422, 'Session Data'!A:AA,16,false)</f>
        <v/>
      </c>
      <c r="AD422" s="35" t="str">
        <f>VLOOKUP(A422, 'Session Data'!A:U,17,false)</f>
        <v/>
      </c>
      <c r="AE422" s="35" t="str">
        <f>VLOOKUP(A422, 'Session Data'!A:U,18,false)</f>
        <v/>
      </c>
      <c r="AF422" s="35" t="str">
        <f>VLOOKUP(A422, 'Session Data'!A:U,19,false)</f>
        <v/>
      </c>
      <c r="AG422" s="35" t="str">
        <f>VLOOKUP(A422, 'Session Data'!A:U,20,false)</f>
        <v/>
      </c>
      <c r="AH422" s="35" t="str">
        <f>VLOOKUP(A422, 'Session Data'!A:U,21,false)</f>
        <v/>
      </c>
      <c r="AI422" s="37"/>
      <c r="AJ422" s="37"/>
      <c r="AK422" s="37"/>
      <c r="AL422" s="50"/>
      <c r="AM422" s="34" t="str">
        <f>VLOOKUP(A422, 'Session Data'!A:AA,10,false)</f>
        <v>lmarshall0714@sdsu.edu</v>
      </c>
      <c r="AN422" s="40"/>
      <c r="AO422" s="48"/>
      <c r="AP422" s="48"/>
      <c r="AQ422" s="48"/>
      <c r="AR422" s="48"/>
      <c r="AS422" s="48"/>
      <c r="AT422" s="48"/>
      <c r="AU422" s="48"/>
      <c r="AV422" s="48"/>
      <c r="AW422" s="48"/>
      <c r="AX422" s="48"/>
      <c r="AY422" s="43"/>
      <c r="AZ422" s="43"/>
      <c r="BA422" s="48"/>
      <c r="BB422" s="48"/>
      <c r="BC422" s="43"/>
      <c r="BD422" s="43"/>
      <c r="BE422" s="44"/>
      <c r="BF422" s="45"/>
      <c r="BG422" s="43"/>
    </row>
    <row r="423">
      <c r="A423" s="19" t="s">
        <v>494</v>
      </c>
      <c r="B423" s="20">
        <f>VLOOKUP(F423,'Session Count DO NOT EDIT'!$A:$C,3,FALSE)</f>
        <v>5</v>
      </c>
      <c r="C423" s="20">
        <f>COUNTIFS('Scores Import DO NOT EDIT'!D:D,A423)</f>
        <v>5</v>
      </c>
      <c r="D423" s="21">
        <f t="shared" si="1"/>
        <v>1</v>
      </c>
      <c r="E423" s="22">
        <f>AVERAGEIFS('Scores Import DO NOT EDIT'!L:L,'Scores Import DO NOT EDIT'!D:D,A423)</f>
        <v>28.6</v>
      </c>
      <c r="F423" s="23" t="str">
        <f>VLOOKUP(A423, 'Session Data'!A:M,3,false)</f>
        <v>H-7</v>
      </c>
      <c r="G423" s="24" t="str">
        <f>VLOOKUP(A423, 'Session Data'!A:I,2,false)</f>
        <v>1:00 PM</v>
      </c>
      <c r="H423" s="23" t="str">
        <f>VLOOKUP(A423, 'Session Data'!A:J,5,false)</f>
        <v>Health Nutrition and Clinical Sciences</v>
      </c>
      <c r="I423" s="25" t="str">
        <f>VLOOKUP(A423, 'Session Data'!A:H,4,false)</f>
        <v>Poster</v>
      </c>
      <c r="J423" s="26" t="str">
        <f>VLOOKUP(A423, 'Session Data'!A:AA,14,false)</f>
        <v>Undergraduate</v>
      </c>
      <c r="K423" s="27" t="str">
        <f>VLOOKUP(A423, 'Session Data'!A:AA,15,false)</f>
        <v>Health and Human Services</v>
      </c>
      <c r="L423" s="47"/>
      <c r="M423" s="29" t="str">
        <f>VLOOKUP(A423, 'Session Data'!A:K,11,false)</f>
        <v>Bachelor of Arts in Speech, Language, and Hearing Sciences</v>
      </c>
      <c r="N423" s="26" t="str">
        <f>IF(ISNA(VLOOKUP(A423, 'Award Abstract#'!C:C, 1, FALSE)), "No", "Yes")
</f>
        <v>No</v>
      </c>
      <c r="O423" s="29" t="str">
        <f>IF(ISNA(VLOOKUP(A423,'Award Abstract#'!B:B,1,FALSE)), "No", "Yes")</f>
        <v>No</v>
      </c>
      <c r="P423" s="29" t="str">
        <f>IF(ISNA(VLOOKUP(A423,'Award Abstract#'!E:E,1,FALSE)), "No", "Yes")</f>
        <v>Yes</v>
      </c>
      <c r="Q423" s="29" t="str">
        <f>IF(ISNA(VLOOKUP(A423,'Award Abstract#'!A:A,1,FALSE)), "No", "Yes")</f>
        <v>No</v>
      </c>
      <c r="R423" s="29" t="str">
        <f>IF(ISNA(VLOOKUP(A423,'Award Abstract#'!D:D,1,FALSE)), "No", "Yes")</f>
        <v>No</v>
      </c>
      <c r="S423" s="30" t="str">
        <f>VLOOKUP(A423, 'Session Data'!A:AA,27,false)</f>
        <v>Woman</v>
      </c>
      <c r="T423" s="84"/>
      <c r="U423" s="30"/>
      <c r="V423" s="31" t="str">
        <f>VLOOKUP(A423, 'Session Data'!A:AA,8,false)</f>
        <v>Natalie </v>
      </c>
      <c r="W423" s="32" t="str">
        <f>VLOOKUP(A423, 'Session Data'!A:AA,9,false)</f>
        <v>Ybarrondo</v>
      </c>
      <c r="X423" s="33" t="str">
        <f>VLOOKUP(A423, 'Session Data'!A:AA,12,false)</f>
        <v>The Effects of Concert Noise Exposure on Hearing in Young Adults</v>
      </c>
      <c r="Y423" s="34" t="str">
        <f>VLOOKUP(A423, 'Session Data'!A:AA,22,false)</f>
        <v>Peter</v>
      </c>
      <c r="Z423" s="34" t="str">
        <f>VLOOKUP(A423, 'Session Data'!A:AA,23,false)</f>
        <v>Torre</v>
      </c>
      <c r="AA423" s="34" t="str">
        <f>VLOOKUP(A423, 'Session Data'!A:AA,25,false)</f>
        <v>Health and Human Services</v>
      </c>
      <c r="AB423" s="34" t="str">
        <f>VLOOKUP(A423, 'Session Data'!A:AA,24,false)</f>
        <v>ptorre@sdsu.edu</v>
      </c>
      <c r="AC423" s="34" t="str">
        <f>VLOOKUP(A423, 'Session Data'!A:AA,16,false)</f>
        <v>Ty </v>
      </c>
      <c r="AD423" s="35" t="str">
        <f>VLOOKUP(A423, 'Session Data'!A:U,17,false)</f>
        <v>Nguyen</v>
      </c>
      <c r="AE423" s="35" t="str">
        <f>VLOOKUP(A423, 'Session Data'!A:U,18,false)</f>
        <v/>
      </c>
      <c r="AF423" s="35" t="str">
        <f>VLOOKUP(A423, 'Session Data'!A:U,19,false)</f>
        <v/>
      </c>
      <c r="AG423" s="35" t="str">
        <f>VLOOKUP(A423, 'Session Data'!A:U,20,false)</f>
        <v/>
      </c>
      <c r="AH423" s="35" t="str">
        <f>VLOOKUP(A423, 'Session Data'!A:U,21,false)</f>
        <v/>
      </c>
      <c r="AI423" s="37"/>
      <c r="AJ423" s="37"/>
      <c r="AK423" s="37"/>
      <c r="AL423" s="50"/>
      <c r="AM423" s="34" t="str">
        <f>VLOOKUP(A423, 'Session Data'!A:AA,10,false)</f>
        <v>nybarrondo9385@sdsu.edu</v>
      </c>
      <c r="AN423" s="40"/>
      <c r="AO423" s="48"/>
      <c r="AP423" s="48"/>
      <c r="AQ423" s="48"/>
      <c r="AR423" s="48"/>
      <c r="AS423" s="48"/>
      <c r="AT423" s="48"/>
      <c r="AU423" s="48"/>
      <c r="AV423" s="48"/>
      <c r="AW423" s="48"/>
      <c r="AX423" s="48"/>
      <c r="AY423" s="43"/>
      <c r="AZ423" s="43"/>
      <c r="BA423" s="48"/>
      <c r="BB423" s="48"/>
      <c r="BC423" s="43"/>
      <c r="BD423" s="43"/>
      <c r="BE423" s="44"/>
      <c r="BF423" s="45"/>
      <c r="BG423" s="43"/>
    </row>
    <row r="424">
      <c r="A424" s="19" t="s">
        <v>495</v>
      </c>
      <c r="B424" s="20">
        <f>VLOOKUP(F424,'Session Count DO NOT EDIT'!$A:$C,3,FALSE)</f>
        <v>5</v>
      </c>
      <c r="C424" s="20">
        <f>COUNTIFS('Scores Import DO NOT EDIT'!D:D,A424)</f>
        <v>5</v>
      </c>
      <c r="D424" s="21">
        <f t="shared" si="1"/>
        <v>1</v>
      </c>
      <c r="E424" s="22">
        <f>AVERAGEIFS('Scores Import DO NOT EDIT'!L:L,'Scores Import DO NOT EDIT'!D:D,A424)</f>
        <v>26</v>
      </c>
      <c r="F424" s="23" t="str">
        <f>VLOOKUP(A424, 'Session Data'!A:M,3,false)</f>
        <v>H-7</v>
      </c>
      <c r="G424" s="24" t="str">
        <f>VLOOKUP(A424, 'Session Data'!A:I,2,false)</f>
        <v>1:00 PM</v>
      </c>
      <c r="H424" s="23" t="str">
        <f>VLOOKUP(A424, 'Session Data'!A:J,5,false)</f>
        <v>Health Nutrition and Clinical Sciences</v>
      </c>
      <c r="I424" s="25" t="str">
        <f>VLOOKUP(A424, 'Session Data'!A:H,4,false)</f>
        <v>Poster</v>
      </c>
      <c r="J424" s="26" t="str">
        <f>VLOOKUP(A424, 'Session Data'!A:AA,14,false)</f>
        <v>Undergraduate</v>
      </c>
      <c r="K424" s="27" t="str">
        <f>VLOOKUP(A424, 'Session Data'!A:AA,15,false)</f>
        <v>Health and Human Services</v>
      </c>
      <c r="L424" s="28"/>
      <c r="M424" s="29" t="str">
        <f>VLOOKUP(A424, 'Session Data'!A:K,11,false)</f>
        <v>Bachelor of Science in Nursing</v>
      </c>
      <c r="N424" s="26" t="str">
        <f>IF(ISNA(VLOOKUP(A424, 'Award Abstract#'!C:C, 1, FALSE)), "No", "Yes")
</f>
        <v>No</v>
      </c>
      <c r="O424" s="29" t="str">
        <f>IF(ISNA(VLOOKUP(A424,'Award Abstract#'!B:B,1,FALSE)), "No", "Yes")</f>
        <v>No</v>
      </c>
      <c r="P424" s="29" t="str">
        <f>IF(ISNA(VLOOKUP(A424,'Award Abstract#'!E:E,1,FALSE)), "No", "Yes")</f>
        <v>Yes</v>
      </c>
      <c r="Q424" s="29" t="str">
        <f>IF(ISNA(VLOOKUP(A424,'Award Abstract#'!A:A,1,FALSE)), "No", "Yes")</f>
        <v>No</v>
      </c>
      <c r="R424" s="29" t="str">
        <f>IF(ISNA(VLOOKUP(A424,'Award Abstract#'!D:D,1,FALSE)), "No", "Yes")</f>
        <v>No</v>
      </c>
      <c r="S424" s="30" t="str">
        <f>VLOOKUP(A424, 'Session Data'!A:AA,27,false)</f>
        <v>Woman</v>
      </c>
      <c r="T424" s="30"/>
      <c r="U424" s="30"/>
      <c r="V424" s="31" t="str">
        <f>VLOOKUP(A424, 'Session Data'!A:AA,8,false)</f>
        <v>Lauren</v>
      </c>
      <c r="W424" s="32" t="str">
        <f>VLOOKUP(A424, 'Session Data'!A:AA,9,false)</f>
        <v>Johnston</v>
      </c>
      <c r="X424" s="33" t="str">
        <f>VLOOKUP(A424, 'Session Data'!A:AA,12,false)</f>
        <v>Effect of Service Learning On Students’ Perceptions of Low Income Populations</v>
      </c>
      <c r="Y424" s="34" t="str">
        <f>VLOOKUP(A424, 'Session Data'!A:AA,22,false)</f>
        <v>Dr. Shiloh</v>
      </c>
      <c r="Z424" s="34" t="str">
        <f>VLOOKUP(A424, 'Session Data'!A:AA,23,false)</f>
        <v>Williams</v>
      </c>
      <c r="AA424" s="34" t="str">
        <f>VLOOKUP(A424, 'Session Data'!A:AA,25,false)</f>
        <v>SDSU Imperial Valley</v>
      </c>
      <c r="AB424" s="34" t="str">
        <f>VLOOKUP(A424, 'Session Data'!A:AA,24,false)</f>
        <v>shiloh.williams@sdsu.edu</v>
      </c>
      <c r="AC424" s="34" t="str">
        <f>VLOOKUP(A424, 'Session Data'!A:AA,16,false)</f>
        <v/>
      </c>
      <c r="AD424" s="35" t="str">
        <f>VLOOKUP(A424, 'Session Data'!A:U,17,false)</f>
        <v/>
      </c>
      <c r="AE424" s="35" t="str">
        <f>VLOOKUP(A424, 'Session Data'!A:U,18,false)</f>
        <v/>
      </c>
      <c r="AF424" s="35" t="str">
        <f>VLOOKUP(A424, 'Session Data'!A:U,19,false)</f>
        <v/>
      </c>
      <c r="AG424" s="35" t="str">
        <f>VLOOKUP(A424, 'Session Data'!A:U,20,false)</f>
        <v/>
      </c>
      <c r="AH424" s="35" t="str">
        <f>VLOOKUP(A424, 'Session Data'!A:U,21,false)</f>
        <v/>
      </c>
      <c r="AI424" s="36"/>
      <c r="AJ424" s="38"/>
      <c r="AK424" s="38"/>
      <c r="AL424" s="39"/>
      <c r="AM424" s="34" t="str">
        <f>VLOOKUP(A424, 'Session Data'!A:AA,10,false)</f>
        <v>ljohnston9722@sdsu.edu</v>
      </c>
      <c r="AN424" s="40"/>
      <c r="AO424" s="38"/>
      <c r="AP424" s="38"/>
      <c r="AQ424" s="38"/>
      <c r="AR424" s="38"/>
      <c r="AS424" s="38"/>
      <c r="AT424" s="38"/>
      <c r="AU424" s="38"/>
      <c r="AV424" s="38"/>
      <c r="AW424" s="38"/>
      <c r="AX424" s="38"/>
      <c r="AY424" s="43"/>
      <c r="AZ424" s="43"/>
      <c r="BA424" s="48"/>
      <c r="BB424" s="48"/>
      <c r="BC424" s="43"/>
      <c r="BD424" s="43"/>
      <c r="BE424" s="44"/>
      <c r="BF424" s="45"/>
      <c r="BG424" s="43"/>
    </row>
    <row r="425">
      <c r="A425" s="19" t="s">
        <v>496</v>
      </c>
      <c r="B425" s="20">
        <f>VLOOKUP(F425,'Session Count DO NOT EDIT'!$A:$C,3,FALSE)</f>
        <v>4</v>
      </c>
      <c r="C425" s="20">
        <f>COUNTIFS('Scores Import DO NOT EDIT'!D:D,A425)</f>
        <v>3</v>
      </c>
      <c r="D425" s="21">
        <f t="shared" si="1"/>
        <v>0.75</v>
      </c>
      <c r="E425" s="22">
        <f>AVERAGEIFS('Scores Import DO NOT EDIT'!L:L,'Scores Import DO NOT EDIT'!D:D,A425)</f>
        <v>24.33333333</v>
      </c>
      <c r="F425" s="23" t="str">
        <f>VLOOKUP(A425, 'Session Data'!A:M,3,false)</f>
        <v>H-8</v>
      </c>
      <c r="G425" s="24" t="str">
        <f>VLOOKUP(A425, 'Session Data'!A:I,2,false)</f>
        <v>1:00 PM</v>
      </c>
      <c r="H425" s="23" t="str">
        <f>VLOOKUP(A425, 'Session Data'!A:J,5,false)</f>
        <v>Behavioral and Social Sciences</v>
      </c>
      <c r="I425" s="25" t="str">
        <f>VLOOKUP(A425, 'Session Data'!A:H,4,false)</f>
        <v>Poster</v>
      </c>
      <c r="J425" s="26" t="str">
        <f>VLOOKUP(A425, 'Session Data'!A:AA,14,false)</f>
        <v>Doctoral</v>
      </c>
      <c r="K425" s="27" t="str">
        <f>VLOOKUP(A425, 'Session Data'!A:AA,15,false)</f>
        <v>Arts and Letters</v>
      </c>
      <c r="L425" s="47"/>
      <c r="M425" s="29" t="str">
        <f>VLOOKUP(A425, 'Session Data'!A:K,11,false)</f>
        <v>Doctorate in Philosophy in Geography </v>
      </c>
      <c r="N425" s="26" t="str">
        <f>IF(ISNA(VLOOKUP(A425, 'Award Abstract#'!C:C, 1, FALSE)), "No", "Yes")
</f>
        <v>No</v>
      </c>
      <c r="O425" s="29" t="str">
        <f>IF(ISNA(VLOOKUP(A425,'Award Abstract#'!B:B,1,FALSE)), "No", "Yes")</f>
        <v>Yes</v>
      </c>
      <c r="P425" s="29" t="str">
        <f>IF(ISNA(VLOOKUP(A425,'Award Abstract#'!E:E,1,FALSE)), "No", "Yes")</f>
        <v>No</v>
      </c>
      <c r="Q425" s="29" t="str">
        <f>IF(ISNA(VLOOKUP(A425,'Award Abstract#'!A:A,1,FALSE)), "No", "Yes")</f>
        <v>No</v>
      </c>
      <c r="R425" s="29" t="str">
        <f>IF(ISNA(VLOOKUP(A425,'Award Abstract#'!D:D,1,FALSE)), "No", "Yes")</f>
        <v>Yes</v>
      </c>
      <c r="S425" s="30" t="str">
        <f>VLOOKUP(A425, 'Session Data'!A:AA,27,false)</f>
        <v>Woman</v>
      </c>
      <c r="T425" s="84"/>
      <c r="U425" s="30"/>
      <c r="V425" s="31" t="str">
        <f>VLOOKUP(A425, 'Session Data'!A:AA,8,false)</f>
        <v>Joya Euceda</v>
      </c>
      <c r="W425" s="32" t="str">
        <f>VLOOKUP(A425, 'Session Data'!A:AA,9,false)</f>
        <v>Victoria </v>
      </c>
      <c r="X425" s="33" t="str">
        <f>VLOOKUP(A425, 'Session Data'!A:AA,12,false)</f>
        <v>Growing Together: The Production of Community in San Diego’s Urban Gardens</v>
      </c>
      <c r="Y425" s="34" t="str">
        <f>VLOOKUP(A425, 'Session Data'!A:AA,22,false)</f>
        <v>Pascale</v>
      </c>
      <c r="Z425" s="34" t="str">
        <f>VLOOKUP(A425, 'Session Data'!A:AA,23,false)</f>
        <v>Joassart-Marcelli</v>
      </c>
      <c r="AA425" s="34" t="str">
        <f>VLOOKUP(A425, 'Session Data'!A:AA,25,false)</f>
        <v>Arts and Letters</v>
      </c>
      <c r="AB425" s="34" t="str">
        <f>VLOOKUP(A425, 'Session Data'!A:AA,24,false)</f>
        <v>pmarcell@sdsu.edu</v>
      </c>
      <c r="AC425" s="34" t="str">
        <f>VLOOKUP(A425, 'Session Data'!A:AA,16,false)</f>
        <v>Osvaldo</v>
      </c>
      <c r="AD425" s="35" t="str">
        <f>VLOOKUP(A425, 'Session Data'!A:U,17,false)</f>
        <v>Napoles Robledo</v>
      </c>
      <c r="AE425" s="35" t="str">
        <f>VLOOKUP(A425, 'Session Data'!A:U,18,false)</f>
        <v/>
      </c>
      <c r="AF425" s="35" t="str">
        <f>VLOOKUP(A425, 'Session Data'!A:U,19,false)</f>
        <v/>
      </c>
      <c r="AG425" s="35" t="str">
        <f>VLOOKUP(A425, 'Session Data'!A:U,20,false)</f>
        <v/>
      </c>
      <c r="AH425" s="35" t="str">
        <f>VLOOKUP(A425, 'Session Data'!A:U,21,false)</f>
        <v/>
      </c>
      <c r="AI425" s="37"/>
      <c r="AJ425" s="37"/>
      <c r="AK425" s="37"/>
      <c r="AL425" s="50"/>
      <c r="AM425" s="34" t="str">
        <f>VLOOKUP(A425, 'Session Data'!A:AA,10,false)</f>
        <v>vjoyaeuceda8682@sdsu.edu</v>
      </c>
      <c r="AN425" s="40"/>
      <c r="AO425" s="48"/>
      <c r="AP425" s="48"/>
      <c r="AQ425" s="48"/>
      <c r="AR425" s="48"/>
      <c r="AS425" s="48"/>
      <c r="AT425" s="48"/>
      <c r="AU425" s="48"/>
      <c r="AV425" s="48"/>
      <c r="AW425" s="48"/>
      <c r="AX425" s="48"/>
      <c r="AY425" s="43"/>
      <c r="AZ425" s="43"/>
      <c r="BA425" s="48"/>
      <c r="BB425" s="48"/>
      <c r="BC425" s="43"/>
      <c r="BD425" s="43"/>
      <c r="BE425" s="44"/>
      <c r="BF425" s="45"/>
      <c r="BG425" s="43"/>
    </row>
    <row r="426">
      <c r="A426" s="19" t="s">
        <v>497</v>
      </c>
      <c r="B426" s="20">
        <f>VLOOKUP(F426,'Session Count DO NOT EDIT'!$A:$C,3,FALSE)</f>
        <v>4</v>
      </c>
      <c r="C426" s="20">
        <f>COUNTIFS('Scores Import DO NOT EDIT'!D:D,A426)</f>
        <v>3</v>
      </c>
      <c r="D426" s="21">
        <f t="shared" si="1"/>
        <v>0.75</v>
      </c>
      <c r="E426" s="22">
        <f>AVERAGEIFS('Scores Import DO NOT EDIT'!L:L,'Scores Import DO NOT EDIT'!D:D,A426)</f>
        <v>23.66666667</v>
      </c>
      <c r="F426" s="23" t="str">
        <f>VLOOKUP(A426, 'Session Data'!A:M,3,false)</f>
        <v>H-8</v>
      </c>
      <c r="G426" s="24" t="str">
        <f>VLOOKUP(A426, 'Session Data'!A:I,2,false)</f>
        <v>1:00 PM</v>
      </c>
      <c r="H426" s="23" t="str">
        <f>VLOOKUP(A426, 'Session Data'!A:J,5,false)</f>
        <v>Behavioral and Social Sciences</v>
      </c>
      <c r="I426" s="25" t="str">
        <f>VLOOKUP(A426, 'Session Data'!A:H,4,false)</f>
        <v>Poster</v>
      </c>
      <c r="J426" s="26" t="str">
        <f>VLOOKUP(A426, 'Session Data'!A:AA,14,false)</f>
        <v>Master's</v>
      </c>
      <c r="K426" s="27" t="str">
        <f>VLOOKUP(A426, 'Session Data'!A:AA,15,false)</f>
        <v>Arts and Letters</v>
      </c>
      <c r="L426" s="47"/>
      <c r="M426" s="29" t="str">
        <f>VLOOKUP(A426, 'Session Data'!A:K,11,false)</f>
        <v>Master of Arts in Geography</v>
      </c>
      <c r="N426" s="26" t="str">
        <f>IF(ISNA(VLOOKUP(A426, 'Award Abstract#'!C:C, 1, FALSE)), "No", "Yes")
</f>
        <v>No</v>
      </c>
      <c r="O426" s="29" t="str">
        <f>IF(ISNA(VLOOKUP(A426,'Award Abstract#'!B:B,1,FALSE)), "No", "Yes")</f>
        <v>Yes</v>
      </c>
      <c r="P426" s="29" t="str">
        <f>IF(ISNA(VLOOKUP(A426,'Award Abstract#'!E:E,1,FALSE)), "No", "Yes")</f>
        <v>No</v>
      </c>
      <c r="Q426" s="29" t="str">
        <f>IF(ISNA(VLOOKUP(A426,'Award Abstract#'!A:A,1,FALSE)), "No", "Yes")</f>
        <v>No</v>
      </c>
      <c r="R426" s="29" t="str">
        <f>IF(ISNA(VLOOKUP(A426,'Award Abstract#'!D:D,1,FALSE)), "No", "Yes")</f>
        <v>Yes</v>
      </c>
      <c r="S426" s="30" t="str">
        <f>VLOOKUP(A426, 'Session Data'!A:AA,27,false)</f>
        <v>Woman</v>
      </c>
      <c r="T426" s="84"/>
      <c r="U426" s="30"/>
      <c r="V426" s="31" t="str">
        <f>VLOOKUP(A426, 'Session Data'!A:AA,8,false)</f>
        <v>Jacqueleen</v>
      </c>
      <c r="W426" s="32" t="str">
        <f>VLOOKUP(A426, 'Session Data'!A:AA,9,false)</f>
        <v>Weeden</v>
      </c>
      <c r="X426" s="33" t="str">
        <f>VLOOKUP(A426, 'Session Data'!A:AA,12,false)</f>
        <v>Elders' perspectives on the environment: A collaborative exploration for brownfield revitalization in National City, CA</v>
      </c>
      <c r="Y426" s="34" t="str">
        <f>VLOOKUP(A426, 'Session Data'!A:AA,22,false)</f>
        <v>Madison</v>
      </c>
      <c r="Z426" s="34" t="str">
        <f>VLOOKUP(A426, 'Session Data'!A:AA,23,false)</f>
        <v>Swayne</v>
      </c>
      <c r="AA426" s="34" t="str">
        <f>VLOOKUP(A426, 'Session Data'!A:AA,25,false)</f>
        <v>Professional Studies and Fine Arts</v>
      </c>
      <c r="AB426" s="34" t="str">
        <f>VLOOKUP(A426, 'Session Data'!A:AA,24,false)</f>
        <v>mswayne@sdsu.edu</v>
      </c>
      <c r="AC426" s="34" t="str">
        <f>VLOOKUP(A426, 'Session Data'!A:AA,16,false)</f>
        <v/>
      </c>
      <c r="AD426" s="35" t="str">
        <f>VLOOKUP(A426, 'Session Data'!A:U,17,false)</f>
        <v/>
      </c>
      <c r="AE426" s="35" t="str">
        <f>VLOOKUP(A426, 'Session Data'!A:U,18,false)</f>
        <v/>
      </c>
      <c r="AF426" s="35" t="str">
        <f>VLOOKUP(A426, 'Session Data'!A:U,19,false)</f>
        <v/>
      </c>
      <c r="AG426" s="35" t="str">
        <f>VLOOKUP(A426, 'Session Data'!A:U,20,false)</f>
        <v/>
      </c>
      <c r="AH426" s="35" t="str">
        <f>VLOOKUP(A426, 'Session Data'!A:U,21,false)</f>
        <v/>
      </c>
      <c r="AI426" s="37"/>
      <c r="AJ426" s="37"/>
      <c r="AK426" s="37"/>
      <c r="AL426" s="50"/>
      <c r="AM426" s="34" t="str">
        <f>VLOOKUP(A426, 'Session Data'!A:AA,10,false)</f>
        <v>jweeden@sdsu.edu</v>
      </c>
      <c r="AN426" s="40"/>
      <c r="AO426" s="43"/>
      <c r="AP426" s="43"/>
      <c r="AQ426" s="48"/>
      <c r="AR426" s="48"/>
      <c r="AS426" s="48"/>
      <c r="AT426" s="48"/>
      <c r="AU426" s="48"/>
      <c r="AV426" s="48"/>
      <c r="AW426" s="48"/>
      <c r="AX426" s="48"/>
      <c r="AY426" s="43"/>
      <c r="AZ426" s="43"/>
      <c r="BA426" s="48"/>
      <c r="BB426" s="48"/>
      <c r="BC426" s="43"/>
      <c r="BD426" s="43"/>
      <c r="BE426" s="44"/>
      <c r="BF426" s="45"/>
      <c r="BG426" s="43"/>
    </row>
    <row r="427">
      <c r="A427" s="19" t="s">
        <v>498</v>
      </c>
      <c r="B427" s="20">
        <f>VLOOKUP(F427,'Session Count DO NOT EDIT'!$A:$C,3,FALSE)</f>
        <v>4</v>
      </c>
      <c r="C427" s="20">
        <f>COUNTIFS('Scores Import DO NOT EDIT'!D:D,A427)</f>
        <v>2</v>
      </c>
      <c r="D427" s="21">
        <f t="shared" si="1"/>
        <v>0.5</v>
      </c>
      <c r="E427" s="22">
        <f>AVERAGEIFS('Scores Import DO NOT EDIT'!L:L,'Scores Import DO NOT EDIT'!D:D,A427)</f>
        <v>19.5</v>
      </c>
      <c r="F427" s="23" t="str">
        <f>VLOOKUP(A427, 'Session Data'!A:M,3,false)</f>
        <v>H-8</v>
      </c>
      <c r="G427" s="24" t="str">
        <f>VLOOKUP(A427, 'Session Data'!A:I,2,false)</f>
        <v>1:00 PM</v>
      </c>
      <c r="H427" s="23" t="str">
        <f>VLOOKUP(A427, 'Session Data'!A:J,5,false)</f>
        <v>Behavioral and Social Sciences</v>
      </c>
      <c r="I427" s="25" t="str">
        <f>VLOOKUP(A427, 'Session Data'!A:H,4,false)</f>
        <v>Poster</v>
      </c>
      <c r="J427" s="26" t="str">
        <f>VLOOKUP(A427, 'Session Data'!A:AA,14,false)</f>
        <v>Master's</v>
      </c>
      <c r="K427" s="27" t="str">
        <f>VLOOKUP(A427, 'Session Data'!A:AA,15,false)</f>
        <v>Education</v>
      </c>
      <c r="L427" s="28"/>
      <c r="M427" s="29" t="str">
        <f>VLOOKUP(A427, 'Session Data'!A:K,11,false)</f>
        <v>M.S in Child Development with a Concentration in Early Childhood Mental Health</v>
      </c>
      <c r="N427" s="26" t="str">
        <f>IF(ISNA(VLOOKUP(A427, 'Award Abstract#'!C:C, 1, FALSE)), "No", "Yes")
</f>
        <v>No</v>
      </c>
      <c r="O427" s="29" t="str">
        <f>IF(ISNA(VLOOKUP(A427,'Award Abstract#'!B:B,1,FALSE)), "No", "Yes")</f>
        <v>Yes</v>
      </c>
      <c r="P427" s="29" t="str">
        <f>IF(ISNA(VLOOKUP(A427,'Award Abstract#'!E:E,1,FALSE)), "No", "Yes")</f>
        <v>No</v>
      </c>
      <c r="Q427" s="29" t="str">
        <f>IF(ISNA(VLOOKUP(A427,'Award Abstract#'!A:A,1,FALSE)), "No", "Yes")</f>
        <v>No</v>
      </c>
      <c r="R427" s="29" t="str">
        <f>IF(ISNA(VLOOKUP(A427,'Award Abstract#'!D:D,1,FALSE)), "No", "Yes")</f>
        <v>Yes</v>
      </c>
      <c r="S427" s="30" t="str">
        <f>VLOOKUP(A427, 'Session Data'!A:AA,27,false)</f>
        <v>Woman</v>
      </c>
      <c r="T427" s="84"/>
      <c r="U427" s="30"/>
      <c r="V427" s="31" t="str">
        <f>VLOOKUP(A427, 'Session Data'!A:AA,8,false)</f>
        <v>Jocelyn</v>
      </c>
      <c r="W427" s="32" t="str">
        <f>VLOOKUP(A427, 'Session Data'!A:AA,9,false)</f>
        <v>Dominguez</v>
      </c>
      <c r="X427" s="33" t="str">
        <f>VLOOKUP(A427, 'Session Data'!A:AA,12,false)</f>
        <v>Unstuck and On Target Therapists : A Cultural Lense on Delivering Mental Health Interventions</v>
      </c>
      <c r="Y427" s="34" t="str">
        <f>VLOOKUP(A427, 'Session Data'!A:AA,22,false)</f>
        <v>Kelsey </v>
      </c>
      <c r="Z427" s="34" t="str">
        <f>VLOOKUP(A427, 'Session Data'!A:AA,23,false)</f>
        <v>Dickson</v>
      </c>
      <c r="AA427" s="34" t="str">
        <f>VLOOKUP(A427, 'Session Data'!A:AA,25,false)</f>
        <v>Education</v>
      </c>
      <c r="AB427" s="34" t="str">
        <f>VLOOKUP(A427, 'Session Data'!A:AA,24,false)</f>
        <v>kdickson@sdsu.edu</v>
      </c>
      <c r="AC427" s="34" t="str">
        <f>VLOOKUP(A427, 'Session Data'!A:AA,16,false)</f>
        <v/>
      </c>
      <c r="AD427" s="35" t="str">
        <f>VLOOKUP(A427, 'Session Data'!A:U,17,false)</f>
        <v/>
      </c>
      <c r="AE427" s="35" t="str">
        <f>VLOOKUP(A427, 'Session Data'!A:U,18,false)</f>
        <v/>
      </c>
      <c r="AF427" s="35" t="str">
        <f>VLOOKUP(A427, 'Session Data'!A:U,19,false)</f>
        <v/>
      </c>
      <c r="AG427" s="35" t="str">
        <f>VLOOKUP(A427, 'Session Data'!A:U,20,false)</f>
        <v/>
      </c>
      <c r="AH427" s="35" t="str">
        <f>VLOOKUP(A427, 'Session Data'!A:U,21,false)</f>
        <v/>
      </c>
      <c r="AI427" s="37"/>
      <c r="AJ427" s="37"/>
      <c r="AK427" s="37"/>
      <c r="AL427" s="50"/>
      <c r="AM427" s="34" t="str">
        <f>VLOOKUP(A427, 'Session Data'!A:AA,10,false)</f>
        <v>jdominguez5368@sdsu.edu</v>
      </c>
      <c r="AN427" s="40"/>
      <c r="AO427" s="48"/>
      <c r="AP427" s="48"/>
      <c r="AQ427" s="48"/>
      <c r="AR427" s="48"/>
      <c r="AS427" s="48"/>
      <c r="AT427" s="48"/>
      <c r="AU427" s="48"/>
      <c r="AV427" s="48"/>
      <c r="AW427" s="48"/>
      <c r="AX427" s="48"/>
      <c r="AY427" s="43"/>
      <c r="AZ427" s="43"/>
      <c r="BA427" s="48"/>
      <c r="BB427" s="48"/>
      <c r="BC427" s="43"/>
      <c r="BD427" s="43"/>
      <c r="BE427" s="44"/>
      <c r="BF427" s="45"/>
      <c r="BG427" s="46"/>
    </row>
    <row r="428">
      <c r="A428" s="19" t="s">
        <v>499</v>
      </c>
      <c r="B428" s="20">
        <f>VLOOKUP(F428,'Session Count DO NOT EDIT'!$A:$C,3,FALSE)</f>
        <v>4</v>
      </c>
      <c r="C428" s="20">
        <f>COUNTIFS('Scores Import DO NOT EDIT'!D:D,A428)</f>
        <v>3</v>
      </c>
      <c r="D428" s="21">
        <f t="shared" si="1"/>
        <v>0.75</v>
      </c>
      <c r="E428" s="22">
        <f>AVERAGEIFS('Scores Import DO NOT EDIT'!L:L,'Scores Import DO NOT EDIT'!D:D,A428)</f>
        <v>27.33333333</v>
      </c>
      <c r="F428" s="23" t="str">
        <f>VLOOKUP(A428, 'Session Data'!A:M,3,false)</f>
        <v>H-8</v>
      </c>
      <c r="G428" s="24" t="str">
        <f>VLOOKUP(A428, 'Session Data'!A:I,2,false)</f>
        <v>1:00 PM</v>
      </c>
      <c r="H428" s="23" t="str">
        <f>VLOOKUP(A428, 'Session Data'!A:J,5,false)</f>
        <v>Behavioral and Social Sciences</v>
      </c>
      <c r="I428" s="25" t="str">
        <f>VLOOKUP(A428, 'Session Data'!A:H,4,false)</f>
        <v>Poster</v>
      </c>
      <c r="J428" s="26" t="str">
        <f>VLOOKUP(A428, 'Session Data'!A:AA,14,false)</f>
        <v>Master's</v>
      </c>
      <c r="K428" s="27" t="str">
        <f>VLOOKUP(A428, 'Session Data'!A:AA,15,false)</f>
        <v>Sciences</v>
      </c>
      <c r="L428" s="47"/>
      <c r="M428" s="29" t="str">
        <f>VLOOKUP(A428, 'Session Data'!A:K,11,false)</f>
        <v>Masters of Arts in Psychology</v>
      </c>
      <c r="N428" s="26" t="str">
        <f>IF(ISNA(VLOOKUP(A428, 'Award Abstract#'!C:C, 1, FALSE)), "No", "Yes")
</f>
        <v>No</v>
      </c>
      <c r="O428" s="29" t="str">
        <f>IF(ISNA(VLOOKUP(A428,'Award Abstract#'!B:B,1,FALSE)), "No", "Yes")</f>
        <v>No</v>
      </c>
      <c r="P428" s="29" t="str">
        <f>IF(ISNA(VLOOKUP(A428,'Award Abstract#'!E:E,1,FALSE)), "No", "Yes")</f>
        <v>No</v>
      </c>
      <c r="Q428" s="29" t="str">
        <f>IF(ISNA(VLOOKUP(A428,'Award Abstract#'!A:A,1,FALSE)), "No", "Yes")</f>
        <v>No</v>
      </c>
      <c r="R428" s="29" t="str">
        <f>IF(ISNA(VLOOKUP(A428,'Award Abstract#'!D:D,1,FALSE)), "No", "Yes")</f>
        <v>Yes</v>
      </c>
      <c r="S428" s="30" t="str">
        <f>VLOOKUP(A428, 'Session Data'!A:AA,27,false)</f>
        <v>Woman</v>
      </c>
      <c r="T428" s="84"/>
      <c r="U428" s="30"/>
      <c r="V428" s="31" t="str">
        <f>VLOOKUP(A428, 'Session Data'!A:AA,8,false)</f>
        <v>Liana</v>
      </c>
      <c r="W428" s="32" t="str">
        <f>VLOOKUP(A428, 'Session Data'!A:AA,9,false)</f>
        <v>Manriquez</v>
      </c>
      <c r="X428" s="33" t="str">
        <f>VLOOKUP(A428, 'Session Data'!A:AA,12,false)</f>
        <v>The Effects of Choline and Exercise Treatment on Anxiety-Like Behavior Following Prenatal Alcohol Exposure </v>
      </c>
      <c r="Y428" s="34" t="str">
        <f>VLOOKUP(A428, 'Session Data'!A:AA,22,false)</f>
        <v>Jennifer</v>
      </c>
      <c r="Z428" s="34" t="str">
        <f>VLOOKUP(A428, 'Session Data'!A:AA,23,false)</f>
        <v>Thomas</v>
      </c>
      <c r="AA428" s="34" t="str">
        <f>VLOOKUP(A428, 'Session Data'!A:AA,25,false)</f>
        <v>Sciences</v>
      </c>
      <c r="AB428" s="34"/>
      <c r="AC428" s="34" t="str">
        <f>VLOOKUP(A428, 'Session Data'!A:AA,16,false)</f>
        <v/>
      </c>
      <c r="AD428" s="35" t="str">
        <f>VLOOKUP(A428, 'Session Data'!A:U,17,false)</f>
        <v/>
      </c>
      <c r="AE428" s="35" t="str">
        <f>VLOOKUP(A428, 'Session Data'!A:U,18,false)</f>
        <v/>
      </c>
      <c r="AF428" s="35" t="str">
        <f>VLOOKUP(A428, 'Session Data'!A:U,19,false)</f>
        <v/>
      </c>
      <c r="AG428" s="35" t="str">
        <f>VLOOKUP(A428, 'Session Data'!A:U,20,false)</f>
        <v/>
      </c>
      <c r="AH428" s="35" t="str">
        <f>VLOOKUP(A428, 'Session Data'!A:U,21,false)</f>
        <v/>
      </c>
      <c r="AI428" s="37"/>
      <c r="AJ428" s="37"/>
      <c r="AK428" s="37"/>
      <c r="AL428" s="50"/>
      <c r="AM428" s="34" t="str">
        <f>VLOOKUP(A428, 'Session Data'!A:AA,10,false)</f>
        <v>lemanriquez@sdsu.edu</v>
      </c>
      <c r="AN428" s="40"/>
      <c r="AO428" s="43"/>
      <c r="AP428" s="48"/>
      <c r="AQ428" s="48"/>
      <c r="AR428" s="48"/>
      <c r="AS428" s="48"/>
      <c r="AT428" s="48"/>
      <c r="AU428" s="48"/>
      <c r="AV428" s="48"/>
      <c r="AW428" s="48"/>
      <c r="AX428" s="48"/>
      <c r="AY428" s="43"/>
      <c r="AZ428" s="43"/>
      <c r="BA428" s="43"/>
      <c r="BB428" s="43"/>
      <c r="BC428" s="43"/>
      <c r="BD428" s="43"/>
      <c r="BE428" s="44"/>
      <c r="BF428" s="45"/>
      <c r="BG428" s="43"/>
    </row>
    <row r="429">
      <c r="A429" s="19" t="s">
        <v>500</v>
      </c>
      <c r="B429" s="20">
        <f>VLOOKUP(F429,'Session Count DO NOT EDIT'!$A:$C,3,FALSE)</f>
        <v>4</v>
      </c>
      <c r="C429" s="20">
        <f>COUNTIFS('Scores Import DO NOT EDIT'!D:D,A429)</f>
        <v>3</v>
      </c>
      <c r="D429" s="21">
        <f t="shared" si="1"/>
        <v>0.75</v>
      </c>
      <c r="E429" s="22">
        <f>AVERAGEIFS('Scores Import DO NOT EDIT'!L:L,'Scores Import DO NOT EDIT'!D:D,A429)</f>
        <v>26.66666667</v>
      </c>
      <c r="F429" s="23" t="str">
        <f>VLOOKUP(A429, 'Session Data'!A:M,3,false)</f>
        <v>H-8</v>
      </c>
      <c r="G429" s="24" t="str">
        <f>VLOOKUP(A429, 'Session Data'!A:I,2,false)</f>
        <v>1:00 PM</v>
      </c>
      <c r="H429" s="23" t="str">
        <f>VLOOKUP(A429, 'Session Data'!A:J,5,false)</f>
        <v>Behavioral and Social Sciences</v>
      </c>
      <c r="I429" s="25" t="str">
        <f>VLOOKUP(A429, 'Session Data'!A:H,4,false)</f>
        <v>Poster</v>
      </c>
      <c r="J429" s="26" t="str">
        <f>VLOOKUP(A429, 'Session Data'!A:AA,14,false)</f>
        <v>Master's</v>
      </c>
      <c r="K429" s="27" t="str">
        <f>VLOOKUP(A429, 'Session Data'!A:AA,15,false)</f>
        <v>Sciences</v>
      </c>
      <c r="L429" s="47"/>
      <c r="M429" s="29" t="str">
        <f>VLOOKUP(A429, 'Session Data'!A:K,11,false)</f>
        <v>Masters of Arts in Psychology</v>
      </c>
      <c r="N429" s="26" t="str">
        <f>IF(ISNA(VLOOKUP(A429, 'Award Abstract#'!C:C, 1, FALSE)), "No", "Yes")
</f>
        <v>No</v>
      </c>
      <c r="O429" s="29" t="str">
        <f>IF(ISNA(VLOOKUP(A429,'Award Abstract#'!B:B,1,FALSE)), "No", "Yes")</f>
        <v>No</v>
      </c>
      <c r="P429" s="29" t="str">
        <f>IF(ISNA(VLOOKUP(A429,'Award Abstract#'!E:E,1,FALSE)), "No", "Yes")</f>
        <v>No</v>
      </c>
      <c r="Q429" s="29" t="str">
        <f>IF(ISNA(VLOOKUP(A429,'Award Abstract#'!A:A,1,FALSE)), "No", "Yes")</f>
        <v>No</v>
      </c>
      <c r="R429" s="29" t="str">
        <f>IF(ISNA(VLOOKUP(A429,'Award Abstract#'!D:D,1,FALSE)), "No", "Yes")</f>
        <v>Yes</v>
      </c>
      <c r="S429" s="30" t="str">
        <f>VLOOKUP(A429, 'Session Data'!A:AA,27,false)</f>
        <v>Woman</v>
      </c>
      <c r="T429" s="84"/>
      <c r="U429" s="30"/>
      <c r="V429" s="31" t="str">
        <f>VLOOKUP(A429, 'Session Data'!A:AA,8,false)</f>
        <v>Chih-An</v>
      </c>
      <c r="W429" s="32" t="str">
        <f>VLOOKUP(A429, 'Session Data'!A:AA,9,false)</f>
        <v>Bian</v>
      </c>
      <c r="X429" s="33" t="str">
        <f>VLOOKUP(A429, 'Session Data'!A:AA,12,false)</f>
        <v>Innovation Orchards: Can innovation-encouraged labs nurture the seedlings of students' motivation and interest in STEM?</v>
      </c>
      <c r="Y429" s="34" t="str">
        <f>VLOOKUP(A429, 'Session Data'!A:AA,22,false)</f>
        <v>Dustin</v>
      </c>
      <c r="Z429" s="34" t="str">
        <f>VLOOKUP(A429, 'Session Data'!A:AA,23,false)</f>
        <v>Thoman</v>
      </c>
      <c r="AA429" s="34" t="str">
        <f>VLOOKUP(A429, 'Session Data'!A:AA,25,false)</f>
        <v>Sciences</v>
      </c>
      <c r="AB429" s="34"/>
      <c r="AC429" s="34" t="str">
        <f>VLOOKUP(A429, 'Session Data'!A:AA,16,false)</f>
        <v/>
      </c>
      <c r="AD429" s="35" t="str">
        <f>VLOOKUP(A429, 'Session Data'!A:U,17,false)</f>
        <v/>
      </c>
      <c r="AE429" s="35" t="str">
        <f>VLOOKUP(A429, 'Session Data'!A:U,18,false)</f>
        <v/>
      </c>
      <c r="AF429" s="35" t="str">
        <f>VLOOKUP(A429, 'Session Data'!A:U,19,false)</f>
        <v/>
      </c>
      <c r="AG429" s="35" t="str">
        <f>VLOOKUP(A429, 'Session Data'!A:U,20,false)</f>
        <v/>
      </c>
      <c r="AH429" s="35" t="str">
        <f>VLOOKUP(A429, 'Session Data'!A:U,21,false)</f>
        <v/>
      </c>
      <c r="AI429" s="37"/>
      <c r="AJ429" s="37"/>
      <c r="AK429" s="37"/>
      <c r="AL429" s="50"/>
      <c r="AM429" s="34" t="str">
        <f>VLOOKUP(A429, 'Session Data'!A:AA,10,false)</f>
        <v>cbian2479@sdsu.edu</v>
      </c>
      <c r="AN429" s="40"/>
      <c r="AO429" s="43"/>
      <c r="AP429" s="43"/>
      <c r="AQ429" s="43"/>
      <c r="AR429" s="43"/>
      <c r="AS429" s="48"/>
      <c r="AT429" s="48"/>
      <c r="AU429" s="48"/>
      <c r="AV429" s="48"/>
      <c r="AW429" s="48"/>
      <c r="AX429" s="48"/>
      <c r="AY429" s="43"/>
      <c r="AZ429" s="43"/>
      <c r="BA429" s="48"/>
      <c r="BB429" s="48"/>
      <c r="BC429" s="43"/>
      <c r="BD429" s="43"/>
      <c r="BE429" s="44"/>
      <c r="BF429" s="45"/>
      <c r="BG429" s="43"/>
    </row>
    <row r="430">
      <c r="A430" s="19" t="s">
        <v>501</v>
      </c>
      <c r="B430" s="20">
        <f>VLOOKUP(F430,'Session Count DO NOT EDIT'!$A:$C,3,FALSE)</f>
        <v>4</v>
      </c>
      <c r="C430" s="20">
        <f>COUNTIFS('Scores Import DO NOT EDIT'!D:D,A430)</f>
        <v>2</v>
      </c>
      <c r="D430" s="21">
        <f t="shared" si="1"/>
        <v>0.5</v>
      </c>
      <c r="E430" s="22">
        <f>AVERAGEIFS('Scores Import DO NOT EDIT'!L:L,'Scores Import DO NOT EDIT'!D:D,A430)</f>
        <v>25</v>
      </c>
      <c r="F430" s="23" t="str">
        <f>VLOOKUP(A430, 'Session Data'!A:M,3,false)</f>
        <v>H-8</v>
      </c>
      <c r="G430" s="24" t="str">
        <f>VLOOKUP(A430, 'Session Data'!A:I,2,false)</f>
        <v>1:00 PM</v>
      </c>
      <c r="H430" s="23" t="str">
        <f>VLOOKUP(A430, 'Session Data'!A:J,5,false)</f>
        <v>Behavioral and Social Sciences</v>
      </c>
      <c r="I430" s="25" t="str">
        <f>VLOOKUP(A430, 'Session Data'!A:H,4,false)</f>
        <v>Poster</v>
      </c>
      <c r="J430" s="26" t="str">
        <f>VLOOKUP(A430, 'Session Data'!A:AA,14,false)</f>
        <v>Master's</v>
      </c>
      <c r="K430" s="27" t="str">
        <f>VLOOKUP(A430, 'Session Data'!A:AA,15,false)</f>
        <v>Sciences</v>
      </c>
      <c r="L430" s="47"/>
      <c r="M430" s="29" t="str">
        <f>VLOOKUP(A430, 'Session Data'!A:K,11,false)</f>
        <v>M.A. Psychology</v>
      </c>
      <c r="N430" s="26" t="str">
        <f>IF(ISNA(VLOOKUP(A430, 'Award Abstract#'!C:C, 1, FALSE)), "No", "Yes")
</f>
        <v>No</v>
      </c>
      <c r="O430" s="29" t="str">
        <f>IF(ISNA(VLOOKUP(A430,'Award Abstract#'!B:B,1,FALSE)), "No", "Yes")</f>
        <v>No</v>
      </c>
      <c r="P430" s="29" t="str">
        <f>IF(ISNA(VLOOKUP(A430,'Award Abstract#'!E:E,1,FALSE)), "No", "Yes")</f>
        <v>No</v>
      </c>
      <c r="Q430" s="29" t="str">
        <f>IF(ISNA(VLOOKUP(A430,'Award Abstract#'!A:A,1,FALSE)), "No", "Yes")</f>
        <v>No</v>
      </c>
      <c r="R430" s="29" t="str">
        <f>IF(ISNA(VLOOKUP(A430,'Award Abstract#'!D:D,1,FALSE)), "No", "Yes")</f>
        <v>No</v>
      </c>
      <c r="S430" s="30" t="str">
        <f>VLOOKUP(A430, 'Session Data'!A:AA,27,false)</f>
        <v>Woman</v>
      </c>
      <c r="T430" s="84"/>
      <c r="U430" s="30"/>
      <c r="V430" s="31" t="str">
        <f>VLOOKUP(A430, 'Session Data'!A:AA,8,false)</f>
        <v>Rebeca</v>
      </c>
      <c r="W430" s="32" t="str">
        <f>VLOOKUP(A430, 'Session Data'!A:AA,9,false)</f>
        <v>Jimenez</v>
      </c>
      <c r="X430" s="33" t="str">
        <f>VLOOKUP(A430, 'Session Data'!A:AA,12,false)</f>
        <v>Neighborhood adversity, social support, and depression and anxiety symptoms in a low-income migrant community on the U.S.-Mexico border</v>
      </c>
      <c r="Y430" s="34" t="str">
        <f>VLOOKUP(A430, 'Session Data'!A:AA,22,false)</f>
        <v>Jessica </v>
      </c>
      <c r="Z430" s="34" t="str">
        <f>VLOOKUP(A430, 'Session Data'!A:AA,23,false)</f>
        <v>McCurley</v>
      </c>
      <c r="AA430" s="34" t="str">
        <f>VLOOKUP(A430, 'Session Data'!A:AA,25,false)</f>
        <v>Sciences</v>
      </c>
      <c r="AB430" s="34"/>
      <c r="AC430" s="34" t="str">
        <f>VLOOKUP(A430, 'Session Data'!A:AA,16,false)</f>
        <v/>
      </c>
      <c r="AD430" s="35" t="str">
        <f>VLOOKUP(A430, 'Session Data'!A:U,17,false)</f>
        <v/>
      </c>
      <c r="AE430" s="35" t="str">
        <f>VLOOKUP(A430, 'Session Data'!A:U,18,false)</f>
        <v/>
      </c>
      <c r="AF430" s="35" t="str">
        <f>VLOOKUP(A430, 'Session Data'!A:U,19,false)</f>
        <v/>
      </c>
      <c r="AG430" s="35" t="str">
        <f>VLOOKUP(A430, 'Session Data'!A:U,20,false)</f>
        <v/>
      </c>
      <c r="AH430" s="35" t="str">
        <f>VLOOKUP(A430, 'Session Data'!A:U,21,false)</f>
        <v/>
      </c>
      <c r="AI430" s="37"/>
      <c r="AJ430" s="37"/>
      <c r="AK430" s="37"/>
      <c r="AL430" s="50"/>
      <c r="AM430" s="34" t="str">
        <f>VLOOKUP(A430, 'Session Data'!A:AA,10,false)</f>
        <v>rajimenez@sdsu.edu</v>
      </c>
      <c r="AN430" s="40"/>
      <c r="AO430" s="48"/>
      <c r="AP430" s="48"/>
      <c r="AQ430" s="48"/>
      <c r="AR430" s="48"/>
      <c r="AS430" s="48"/>
      <c r="AT430" s="48"/>
      <c r="AU430" s="48"/>
      <c r="AV430" s="48"/>
      <c r="AW430" s="48"/>
      <c r="AX430" s="48"/>
      <c r="AY430" s="43"/>
      <c r="AZ430" s="43"/>
      <c r="BA430" s="43"/>
      <c r="BB430" s="43"/>
      <c r="BC430" s="43"/>
      <c r="BD430" s="43"/>
      <c r="BE430" s="44"/>
      <c r="BF430" s="45"/>
      <c r="BG430" s="43"/>
    </row>
    <row r="431">
      <c r="A431" s="19" t="s">
        <v>502</v>
      </c>
      <c r="B431" s="20">
        <f>VLOOKUP(F431,'Session Count DO NOT EDIT'!$A:$C,3,FALSE)</f>
        <v>4</v>
      </c>
      <c r="C431" s="20">
        <f>COUNTIFS('Scores Import DO NOT EDIT'!D:D,A431)</f>
        <v>3</v>
      </c>
      <c r="D431" s="21">
        <f t="shared" si="1"/>
        <v>0.75</v>
      </c>
      <c r="E431" s="22">
        <f>AVERAGEIFS('Scores Import DO NOT EDIT'!L:L,'Scores Import DO NOT EDIT'!D:D,A431)</f>
        <v>24.33333333</v>
      </c>
      <c r="F431" s="23" t="str">
        <f>VLOOKUP(A431, 'Session Data'!A:M,3,false)</f>
        <v>H-8</v>
      </c>
      <c r="G431" s="24" t="str">
        <f>VLOOKUP(A431, 'Session Data'!A:I,2,false)</f>
        <v>1:00 PM</v>
      </c>
      <c r="H431" s="23" t="str">
        <f>VLOOKUP(A431, 'Session Data'!A:J,5,false)</f>
        <v>Behavioral and Social Sciences</v>
      </c>
      <c r="I431" s="25" t="str">
        <f>VLOOKUP(A431, 'Session Data'!A:H,4,false)</f>
        <v>Poster</v>
      </c>
      <c r="J431" s="26" t="str">
        <f>VLOOKUP(A431, 'Session Data'!A:AA,14,false)</f>
        <v>Master's</v>
      </c>
      <c r="K431" s="27" t="str">
        <f>VLOOKUP(A431, 'Session Data'!A:AA,15,false)</f>
        <v>Health and Human Services</v>
      </c>
      <c r="L431" s="47"/>
      <c r="M431" s="29" t="str">
        <f>VLOOKUP(A431, 'Session Data'!A:K,11,false)</f>
        <v>Master of Public Health (Health Promotion and Behavioral Science)</v>
      </c>
      <c r="N431" s="26" t="str">
        <f>IF(ISNA(VLOOKUP(A431, 'Award Abstract#'!C:C, 1, FALSE)), "No", "Yes")
</f>
        <v>No</v>
      </c>
      <c r="O431" s="29" t="str">
        <f>IF(ISNA(VLOOKUP(A431,'Award Abstract#'!B:B,1,FALSE)), "No", "Yes")</f>
        <v>No</v>
      </c>
      <c r="P431" s="29" t="str">
        <f>IF(ISNA(VLOOKUP(A431,'Award Abstract#'!E:E,1,FALSE)), "No", "Yes")</f>
        <v>No</v>
      </c>
      <c r="Q431" s="29" t="str">
        <f>IF(ISNA(VLOOKUP(A431,'Award Abstract#'!A:A,1,FALSE)), "No", "Yes")</f>
        <v>No</v>
      </c>
      <c r="R431" s="29" t="str">
        <f>IF(ISNA(VLOOKUP(A431,'Award Abstract#'!D:D,1,FALSE)), "No", "Yes")</f>
        <v>Yes</v>
      </c>
      <c r="S431" s="30" t="str">
        <f>VLOOKUP(A431, 'Session Data'!A:AA,27,false)</f>
        <v>Woman</v>
      </c>
      <c r="T431" s="84"/>
      <c r="U431" s="30"/>
      <c r="V431" s="31" t="str">
        <f>VLOOKUP(A431, 'Session Data'!A:AA,8,false)</f>
        <v>Malaya</v>
      </c>
      <c r="W431" s="32" t="str">
        <f>VLOOKUP(A431, 'Session Data'!A:AA,9,false)</f>
        <v>Cilley</v>
      </c>
      <c r="X431" s="33" t="str">
        <f>VLOOKUP(A431, 'Session Data'!A:AA,12,false)</f>
        <v>Community Views: A Study on Community Perspectives on Public Restrooms in San Diego County</v>
      </c>
      <c r="Y431" s="34" t="str">
        <f>VLOOKUP(A431, 'Session Data'!A:AA,22,false)</f>
        <v>Jennifer</v>
      </c>
      <c r="Z431" s="34" t="str">
        <f>VLOOKUP(A431, 'Session Data'!A:AA,23,false)</f>
        <v>Felner</v>
      </c>
      <c r="AA431" s="34" t="str">
        <f>VLOOKUP(A431, 'Session Data'!A:AA,25,false)</f>
        <v>Health and Human Services</v>
      </c>
      <c r="AB431" s="34" t="str">
        <f>VLOOKUP(A431, 'Session Data'!A:AA,24,false)</f>
        <v>jfelner@sdsu.edu</v>
      </c>
      <c r="AC431" s="34" t="str">
        <f>VLOOKUP(A431, 'Session Data'!A:AA,16,false)</f>
        <v/>
      </c>
      <c r="AD431" s="35" t="str">
        <f>VLOOKUP(A431, 'Session Data'!A:U,17,false)</f>
        <v/>
      </c>
      <c r="AE431" s="35" t="str">
        <f>VLOOKUP(A431, 'Session Data'!A:U,18,false)</f>
        <v/>
      </c>
      <c r="AF431" s="35" t="str">
        <f>VLOOKUP(A431, 'Session Data'!A:U,19,false)</f>
        <v/>
      </c>
      <c r="AG431" s="35" t="str">
        <f>VLOOKUP(A431, 'Session Data'!A:U,20,false)</f>
        <v/>
      </c>
      <c r="AH431" s="35" t="str">
        <f>VLOOKUP(A431, 'Session Data'!A:U,21,false)</f>
        <v/>
      </c>
      <c r="AI431" s="37"/>
      <c r="AJ431" s="37"/>
      <c r="AK431" s="37"/>
      <c r="AL431" s="50"/>
      <c r="AM431" s="34" t="str">
        <f>VLOOKUP(A431, 'Session Data'!A:AA,10,false)</f>
        <v>mcilley3416@sdsu.edu</v>
      </c>
      <c r="AN431" s="40"/>
      <c r="AO431" s="43"/>
      <c r="AP431" s="43"/>
      <c r="AQ431" s="43"/>
      <c r="AR431" s="43"/>
      <c r="AS431" s="48"/>
      <c r="AT431" s="48"/>
      <c r="AU431" s="48"/>
      <c r="AV431" s="48"/>
      <c r="AW431" s="48"/>
      <c r="AX431" s="48"/>
      <c r="AY431" s="43"/>
      <c r="AZ431" s="43"/>
      <c r="BA431" s="43"/>
      <c r="BB431" s="43"/>
      <c r="BC431" s="43"/>
      <c r="BD431" s="43"/>
      <c r="BE431" s="44"/>
      <c r="BF431" s="45"/>
      <c r="BG431" s="43"/>
    </row>
    <row r="432">
      <c r="A432" s="19" t="s">
        <v>503</v>
      </c>
      <c r="B432" s="20">
        <f>VLOOKUP(F432,'Session Count DO NOT EDIT'!$A:$C,3,FALSE)</f>
        <v>4</v>
      </c>
      <c r="C432" s="20">
        <f>COUNTIFS('Scores Import DO NOT EDIT'!D:D,A432)</f>
        <v>3</v>
      </c>
      <c r="D432" s="21">
        <f t="shared" si="1"/>
        <v>0.75</v>
      </c>
      <c r="E432" s="22">
        <f>AVERAGEIFS('Scores Import DO NOT EDIT'!L:L,'Scores Import DO NOT EDIT'!D:D,A432)</f>
        <v>23.66666667</v>
      </c>
      <c r="F432" s="23" t="str">
        <f>VLOOKUP(A432, 'Session Data'!A:M,3,false)</f>
        <v>H-8</v>
      </c>
      <c r="G432" s="24" t="str">
        <f>VLOOKUP(A432, 'Session Data'!A:I,2,false)</f>
        <v>1:00 PM</v>
      </c>
      <c r="H432" s="23" t="str">
        <f>VLOOKUP(A432, 'Session Data'!A:J,5,false)</f>
        <v>Behavioral and Social Sciences</v>
      </c>
      <c r="I432" s="25" t="str">
        <f>VLOOKUP(A432, 'Session Data'!A:H,4,false)</f>
        <v>Poster</v>
      </c>
      <c r="J432" s="26" t="str">
        <f>VLOOKUP(A432, 'Session Data'!A:AA,14,false)</f>
        <v>Master's</v>
      </c>
      <c r="K432" s="27" t="str">
        <f>VLOOKUP(A432, 'Session Data'!A:AA,15,false)</f>
        <v>Arts and Letters</v>
      </c>
      <c r="L432" s="47"/>
      <c r="M432" s="29" t="str">
        <f>VLOOKUP(A432, 'Session Data'!A:K,11,false)</f>
        <v>Masters of Arts in Psychology</v>
      </c>
      <c r="N432" s="26" t="str">
        <f>IF(ISNA(VLOOKUP(A432, 'Award Abstract#'!C:C, 1, FALSE)), "No", "Yes")
</f>
        <v>No</v>
      </c>
      <c r="O432" s="29" t="str">
        <f>IF(ISNA(VLOOKUP(A432,'Award Abstract#'!B:B,1,FALSE)), "No", "Yes")</f>
        <v>No</v>
      </c>
      <c r="P432" s="29" t="str">
        <f>IF(ISNA(VLOOKUP(A432,'Award Abstract#'!E:E,1,FALSE)), "No", "Yes")</f>
        <v>No</v>
      </c>
      <c r="Q432" s="29" t="str">
        <f>IF(ISNA(VLOOKUP(A432,'Award Abstract#'!A:A,1,FALSE)), "No", "Yes")</f>
        <v>No</v>
      </c>
      <c r="R432" s="29" t="str">
        <f>IF(ISNA(VLOOKUP(A432,'Award Abstract#'!D:D,1,FALSE)), "No", "Yes")</f>
        <v>No</v>
      </c>
      <c r="S432" s="30" t="str">
        <f>VLOOKUP(A432, 'Session Data'!A:AA,27,false)</f>
        <v>Woman</v>
      </c>
      <c r="T432" s="84"/>
      <c r="U432" s="30"/>
      <c r="V432" s="31" t="str">
        <f>VLOOKUP(A432, 'Session Data'!A:AA,8,false)</f>
        <v>Alicia Yee Lok</v>
      </c>
      <c r="W432" s="32" t="str">
        <f>VLOOKUP(A432, 'Session Data'!A:AA,9,false)</f>
        <v>Assang</v>
      </c>
      <c r="X432" s="33" t="str">
        <f>VLOOKUP(A432, 'Session Data'!A:AA,12,false)</f>
        <v>The Relationship between Burdensomeness and Social Motivation</v>
      </c>
      <c r="Y432" s="34" t="str">
        <f>VLOOKUP(A432, 'Session Data'!A:AA,22,false)</f>
        <v>Tristen</v>
      </c>
      <c r="Z432" s="34" t="str">
        <f>VLOOKUP(A432, 'Session Data'!A:AA,23,false)</f>
        <v>Inagaki</v>
      </c>
      <c r="AA432" s="34" t="str">
        <f>VLOOKUP(A432, 'Session Data'!A:AA,25,false)</f>
        <v>Sciences</v>
      </c>
      <c r="AB432" s="34" t="str">
        <f>VLOOKUP(A432, 'Session Data'!A:AA,24,false)</f>
        <v>tinagaki@sdsu.edu</v>
      </c>
      <c r="AC432" s="34" t="str">
        <f>VLOOKUP(A432, 'Session Data'!A:AA,16,false)</f>
        <v/>
      </c>
      <c r="AD432" s="35" t="str">
        <f>VLOOKUP(A432, 'Session Data'!A:U,17,false)</f>
        <v/>
      </c>
      <c r="AE432" s="35" t="str">
        <f>VLOOKUP(A432, 'Session Data'!A:U,18,false)</f>
        <v/>
      </c>
      <c r="AF432" s="35" t="str">
        <f>VLOOKUP(A432, 'Session Data'!A:U,19,false)</f>
        <v/>
      </c>
      <c r="AG432" s="35" t="str">
        <f>VLOOKUP(A432, 'Session Data'!A:U,20,false)</f>
        <v/>
      </c>
      <c r="AH432" s="35" t="str">
        <f>VLOOKUP(A432, 'Session Data'!A:U,21,false)</f>
        <v/>
      </c>
      <c r="AI432" s="37"/>
      <c r="AJ432" s="37"/>
      <c r="AK432" s="37"/>
      <c r="AL432" s="50"/>
      <c r="AM432" s="34" t="str">
        <f>VLOOKUP(A432, 'Session Data'!A:AA,10,false)</f>
        <v>aassang5760@sdsu.edu</v>
      </c>
      <c r="AN432" s="40"/>
      <c r="AO432" s="43"/>
      <c r="AP432" s="43"/>
      <c r="AQ432" s="43"/>
      <c r="AR432" s="43"/>
      <c r="AS432" s="43"/>
      <c r="AT432" s="43"/>
      <c r="AU432" s="43"/>
      <c r="AV432" s="43"/>
      <c r="AW432" s="48"/>
      <c r="AX432" s="48"/>
      <c r="AY432" s="43"/>
      <c r="AZ432" s="43"/>
      <c r="BA432" s="48"/>
      <c r="BB432" s="48"/>
      <c r="BC432" s="43"/>
      <c r="BD432" s="43"/>
      <c r="BE432" s="44"/>
      <c r="BF432" s="45"/>
      <c r="BG432" s="43"/>
    </row>
    <row r="433">
      <c r="A433" s="19" t="s">
        <v>504</v>
      </c>
      <c r="B433" s="20">
        <f>VLOOKUP(F433,'Session Count DO NOT EDIT'!$A:$C,3,FALSE)</f>
        <v>5</v>
      </c>
      <c r="C433" s="20">
        <f>COUNTIFS('Scores Import DO NOT EDIT'!D:D,A433)</f>
        <v>3</v>
      </c>
      <c r="D433" s="21">
        <f t="shared" si="1"/>
        <v>0.6</v>
      </c>
      <c r="E433" s="22">
        <f>AVERAGEIFS('Scores Import DO NOT EDIT'!L:L,'Scores Import DO NOT EDIT'!D:D,A433)</f>
        <v>32.66666667</v>
      </c>
      <c r="F433" s="23" t="str">
        <f>VLOOKUP(A433, 'Session Data'!A:M,3,false)</f>
        <v>H-9</v>
      </c>
      <c r="G433" s="24" t="str">
        <f>VLOOKUP(A433, 'Session Data'!A:I,2,false)</f>
        <v>1:00 PM</v>
      </c>
      <c r="H433" s="23" t="str">
        <f>VLOOKUP(A433, 'Session Data'!A:J,5,false)</f>
        <v>Biological and Agricultural Sciences</v>
      </c>
      <c r="I433" s="25" t="str">
        <f>VLOOKUP(A433, 'Session Data'!A:H,4,false)</f>
        <v>Poster</v>
      </c>
      <c r="J433" s="26" t="str">
        <f>VLOOKUP(A433, 'Session Data'!A:AA,14,false)</f>
        <v>Master's</v>
      </c>
      <c r="K433" s="27" t="str">
        <f>VLOOKUP(A433, 'Session Data'!A:AA,15,false)</f>
        <v>Sciences</v>
      </c>
      <c r="L433" s="52" t="s">
        <v>17</v>
      </c>
      <c r="M433" s="29" t="str">
        <f>VLOOKUP(A433, 'Session Data'!A:K,11,false)</f>
        <v>Cell and molecular biology, Microbiology</v>
      </c>
      <c r="N433" s="26" t="str">
        <f>IF(ISNA(VLOOKUP(A433, 'Award Abstract#'!C:C, 1, FALSE)), "No", "Yes")
</f>
        <v>No</v>
      </c>
      <c r="O433" s="29" t="str">
        <f>IF(ISNA(VLOOKUP(A433,'Award Abstract#'!B:B,1,FALSE)), "No", "Yes")</f>
        <v>Yes</v>
      </c>
      <c r="P433" s="29" t="str">
        <f>IF(ISNA(VLOOKUP(A433,'Award Abstract#'!E:E,1,FALSE)), "No", "Yes")</f>
        <v>No</v>
      </c>
      <c r="Q433" s="29" t="str">
        <f>IF(ISNA(VLOOKUP(A433,'Award Abstract#'!A:A,1,FALSE)), "No", "Yes")</f>
        <v>No</v>
      </c>
      <c r="R433" s="29" t="str">
        <f>IF(ISNA(VLOOKUP(A433,'Award Abstract#'!D:D,1,FALSE)), "No", "Yes")</f>
        <v>Yes</v>
      </c>
      <c r="S433" s="30" t="str">
        <f>VLOOKUP(A433, 'Session Data'!A:AA,27,false)</f>
        <v>Woman</v>
      </c>
      <c r="T433" s="84"/>
      <c r="U433" s="30"/>
      <c r="V433" s="31" t="str">
        <f>VLOOKUP(A433, 'Session Data'!A:AA,8,false)</f>
        <v>Jenna</v>
      </c>
      <c r="W433" s="32" t="str">
        <f>VLOOKUP(A433, 'Session Data'!A:AA,9,false)</f>
        <v>Luc</v>
      </c>
      <c r="X433" s="33" t="str">
        <f>VLOOKUP(A433, 'Session Data'!A:AA,12,false)</f>
        <v>Identifying the mode of microbial origin of black spot disease in sea urchin Lytechinus pictus</v>
      </c>
      <c r="Y433" s="34" t="str">
        <f>VLOOKUP(A433, 'Session Data'!A:AA,22,false)</f>
        <v>Catherine</v>
      </c>
      <c r="Z433" s="34" t="str">
        <f>VLOOKUP(A433, 'Session Data'!A:AA,23,false)</f>
        <v>Schrankel</v>
      </c>
      <c r="AA433" s="34" t="str">
        <f>VLOOKUP(A433, 'Session Data'!A:AA,25,false)</f>
        <v>Sciences</v>
      </c>
      <c r="AB433" s="34" t="str">
        <f>VLOOKUP(A433, 'Session Data'!A:AA,24,false)</f>
        <v>cschrankel@sdsu.edu</v>
      </c>
      <c r="AC433" s="34" t="str">
        <f>VLOOKUP(A433, 'Session Data'!A:AA,16,false)</f>
        <v/>
      </c>
      <c r="AD433" s="35" t="str">
        <f>VLOOKUP(A433, 'Session Data'!A:U,17,false)</f>
        <v/>
      </c>
      <c r="AE433" s="35" t="str">
        <f>VLOOKUP(A433, 'Session Data'!A:U,18,false)</f>
        <v/>
      </c>
      <c r="AF433" s="35" t="str">
        <f>VLOOKUP(A433, 'Session Data'!A:U,19,false)</f>
        <v/>
      </c>
      <c r="AG433" s="35" t="str">
        <f>VLOOKUP(A433, 'Session Data'!A:U,20,false)</f>
        <v/>
      </c>
      <c r="AH433" s="35" t="str">
        <f>VLOOKUP(A433, 'Session Data'!A:U,21,false)</f>
        <v/>
      </c>
      <c r="AI433" s="37"/>
      <c r="AJ433" s="37"/>
      <c r="AK433" s="37"/>
      <c r="AL433" s="50"/>
      <c r="AM433" s="34" t="str">
        <f>VLOOKUP(A433, 'Session Data'!A:AA,10,false)</f>
        <v>jluc4827@sdsu.edu</v>
      </c>
      <c r="AN433" s="40"/>
      <c r="AO433" s="48"/>
      <c r="AP433" s="48"/>
      <c r="AQ433" s="48"/>
      <c r="AR433" s="48"/>
      <c r="AS433" s="48"/>
      <c r="AT433" s="48"/>
      <c r="AU433" s="48"/>
      <c r="AV433" s="48"/>
      <c r="AW433" s="48"/>
      <c r="AX433" s="48"/>
      <c r="AY433" s="43"/>
      <c r="AZ433" s="43"/>
      <c r="BA433" s="48"/>
      <c r="BB433" s="48"/>
      <c r="BC433" s="43"/>
      <c r="BD433" s="43"/>
      <c r="BE433" s="44"/>
      <c r="BF433" s="45"/>
      <c r="BG433" s="43"/>
    </row>
    <row r="434">
      <c r="A434" s="19" t="s">
        <v>505</v>
      </c>
      <c r="B434" s="20">
        <f>VLOOKUP(F434,'Session Count DO NOT EDIT'!$A:$C,3,FALSE)</f>
        <v>5</v>
      </c>
      <c r="C434" s="20">
        <f>COUNTIFS('Scores Import DO NOT EDIT'!D:D,A434)</f>
        <v>3</v>
      </c>
      <c r="D434" s="21">
        <f t="shared" si="1"/>
        <v>0.6</v>
      </c>
      <c r="E434" s="22">
        <f>AVERAGEIFS('Scores Import DO NOT EDIT'!L:L,'Scores Import DO NOT EDIT'!D:D,A434)</f>
        <v>28.66666667</v>
      </c>
      <c r="F434" s="23" t="str">
        <f>VLOOKUP(A434, 'Session Data'!A:M,3,false)</f>
        <v>H-9</v>
      </c>
      <c r="G434" s="24" t="str">
        <f>VLOOKUP(A434, 'Session Data'!A:I,2,false)</f>
        <v>1:00 PM</v>
      </c>
      <c r="H434" s="23" t="str">
        <f>VLOOKUP(A434, 'Session Data'!A:J,5,false)</f>
        <v>Biological and Agricultural Sciences</v>
      </c>
      <c r="I434" s="25" t="str">
        <f>VLOOKUP(A434, 'Session Data'!A:H,4,false)</f>
        <v>Poster</v>
      </c>
      <c r="J434" s="26" t="str">
        <f>VLOOKUP(A434, 'Session Data'!A:AA,14,false)</f>
        <v>Master's</v>
      </c>
      <c r="K434" s="27" t="str">
        <f>VLOOKUP(A434, 'Session Data'!A:AA,15,false)</f>
        <v>Health and Human Services</v>
      </c>
      <c r="L434" s="47"/>
      <c r="M434" s="29" t="str">
        <f>VLOOKUP(A434, 'Session Data'!A:K,11,false)</f>
        <v>Masters Public Health - Environmental Health</v>
      </c>
      <c r="N434" s="26" t="str">
        <f>IF(ISNA(VLOOKUP(A434, 'Award Abstract#'!C:C, 1, FALSE)), "No", "Yes")
</f>
        <v>No</v>
      </c>
      <c r="O434" s="29" t="str">
        <f>IF(ISNA(VLOOKUP(A434,'Award Abstract#'!B:B,1,FALSE)), "No", "Yes")</f>
        <v>Yes</v>
      </c>
      <c r="P434" s="29" t="str">
        <f>IF(ISNA(VLOOKUP(A434,'Award Abstract#'!E:E,1,FALSE)), "No", "Yes")</f>
        <v>No</v>
      </c>
      <c r="Q434" s="29" t="str">
        <f>IF(ISNA(VLOOKUP(A434,'Award Abstract#'!A:A,1,FALSE)), "No", "Yes")</f>
        <v>No</v>
      </c>
      <c r="R434" s="29" t="str">
        <f>IF(ISNA(VLOOKUP(A434,'Award Abstract#'!D:D,1,FALSE)), "No", "Yes")</f>
        <v>No</v>
      </c>
      <c r="S434" s="30" t="str">
        <f>VLOOKUP(A434, 'Session Data'!A:AA,27,false)</f>
        <v>Man, Cisgender</v>
      </c>
      <c r="T434" s="84"/>
      <c r="U434" s="30"/>
      <c r="V434" s="31" t="str">
        <f>VLOOKUP(A434, 'Session Data'!A:AA,8,false)</f>
        <v>Alex</v>
      </c>
      <c r="W434" s="32" t="str">
        <f>VLOOKUP(A434, 'Session Data'!A:AA,9,false)</f>
        <v>Lee</v>
      </c>
      <c r="X434" s="33" t="str">
        <f>VLOOKUP(A434, 'Session Data'!A:AA,12,false)</f>
        <v>Non-targeted Analysis for Chemical Contaminants in Sediment near cannabis farms within Carpenteria county</v>
      </c>
      <c r="Y434" s="34" t="str">
        <f>VLOOKUP(A434, 'Session Data'!A:AA,22,false)</f>
        <v>Eunha</v>
      </c>
      <c r="Z434" s="34" t="str">
        <f>VLOOKUP(A434, 'Session Data'!A:AA,23,false)</f>
        <v>Hoh</v>
      </c>
      <c r="AA434" s="34" t="str">
        <f>VLOOKUP(A434, 'Session Data'!A:AA,25,false)</f>
        <v>Health and Human Services</v>
      </c>
      <c r="AB434" s="34" t="str">
        <f>VLOOKUP(A434, 'Session Data'!A:AA,24,false)</f>
        <v>ehoh@sdsu.edu</v>
      </c>
      <c r="AC434" s="34" t="str">
        <f>VLOOKUP(A434, 'Session Data'!A:AA,16,false)</f>
        <v>Ryan</v>
      </c>
      <c r="AD434" s="35" t="str">
        <f>VLOOKUP(A434, 'Session Data'!A:U,17,false)</f>
        <v>Duffy</v>
      </c>
      <c r="AE434" s="35" t="str">
        <f>VLOOKUP(A434, 'Session Data'!A:U,18,false)</f>
        <v/>
      </c>
      <c r="AF434" s="35" t="str">
        <f>VLOOKUP(A434, 'Session Data'!A:U,19,false)</f>
        <v/>
      </c>
      <c r="AG434" s="35" t="str">
        <f>VLOOKUP(A434, 'Session Data'!A:U,20,false)</f>
        <v/>
      </c>
      <c r="AH434" s="35" t="str">
        <f>VLOOKUP(A434, 'Session Data'!A:U,21,false)</f>
        <v/>
      </c>
      <c r="AI434" s="37"/>
      <c r="AJ434" s="37"/>
      <c r="AK434" s="37"/>
      <c r="AL434" s="50"/>
      <c r="AM434" s="34" t="str">
        <f>VLOOKUP(A434, 'Session Data'!A:AA,10,false)</f>
        <v>alee6037@sdsu.edu</v>
      </c>
      <c r="AN434" s="40"/>
      <c r="AO434" s="43"/>
      <c r="AP434" s="43"/>
      <c r="AQ434" s="43"/>
      <c r="AR434" s="43"/>
      <c r="AS434" s="43"/>
      <c r="AT434" s="43"/>
      <c r="AU434" s="48"/>
      <c r="AV434" s="48"/>
      <c r="AW434" s="48"/>
      <c r="AX434" s="48"/>
      <c r="AY434" s="43"/>
      <c r="AZ434" s="43"/>
      <c r="BA434" s="48"/>
      <c r="BB434" s="48"/>
      <c r="BC434" s="43"/>
      <c r="BD434" s="43"/>
      <c r="BE434" s="44"/>
      <c r="BF434" s="45"/>
      <c r="BG434" s="43"/>
    </row>
    <row r="435">
      <c r="A435" s="19" t="s">
        <v>506</v>
      </c>
      <c r="B435" s="20">
        <f>VLOOKUP(F435,'Session Count DO NOT EDIT'!$A:$C,3,FALSE)</f>
        <v>5</v>
      </c>
      <c r="C435" s="20">
        <f>COUNTIFS('Scores Import DO NOT EDIT'!D:D,A435)</f>
        <v>3</v>
      </c>
      <c r="D435" s="21">
        <f t="shared" si="1"/>
        <v>0.6</v>
      </c>
      <c r="E435" s="22">
        <f>AVERAGEIFS('Scores Import DO NOT EDIT'!L:L,'Scores Import DO NOT EDIT'!D:D,A435)</f>
        <v>32</v>
      </c>
      <c r="F435" s="23" t="str">
        <f>VLOOKUP(A435, 'Session Data'!A:M,3,false)</f>
        <v>H-9</v>
      </c>
      <c r="G435" s="24" t="str">
        <f>VLOOKUP(A435, 'Session Data'!A:I,2,false)</f>
        <v>1:00 PM</v>
      </c>
      <c r="H435" s="23" t="str">
        <f>VLOOKUP(A435, 'Session Data'!A:J,5,false)</f>
        <v>Biological and Agricultural Sciences</v>
      </c>
      <c r="I435" s="25" t="str">
        <f>VLOOKUP(A435, 'Session Data'!A:H,4,false)</f>
        <v>Poster</v>
      </c>
      <c r="J435" s="26" t="str">
        <f>VLOOKUP(A435, 'Session Data'!A:AA,14,false)</f>
        <v>Master's</v>
      </c>
      <c r="K435" s="27" t="str">
        <f>VLOOKUP(A435, 'Session Data'!A:AA,15,false)</f>
        <v>Sciences</v>
      </c>
      <c r="L435" s="28"/>
      <c r="M435" s="29" t="str">
        <f>VLOOKUP(A435, 'Session Data'!A:K,11,false)</f>
        <v>Masters of Science in Cell and Molecular Biology</v>
      </c>
      <c r="N435" s="26" t="str">
        <f>IF(ISNA(VLOOKUP(A435, 'Award Abstract#'!C:C, 1, FALSE)), "No", "Yes")
</f>
        <v>No</v>
      </c>
      <c r="O435" s="29" t="str">
        <f>IF(ISNA(VLOOKUP(A435,'Award Abstract#'!B:B,1,FALSE)), "No", "Yes")</f>
        <v>No</v>
      </c>
      <c r="P435" s="29" t="str">
        <f>IF(ISNA(VLOOKUP(A435,'Award Abstract#'!E:E,1,FALSE)), "No", "Yes")</f>
        <v>No</v>
      </c>
      <c r="Q435" s="29" t="str">
        <f>IF(ISNA(VLOOKUP(A435,'Award Abstract#'!A:A,1,FALSE)), "No", "Yes")</f>
        <v>No</v>
      </c>
      <c r="R435" s="29" t="str">
        <f>IF(ISNA(VLOOKUP(A435,'Award Abstract#'!D:D,1,FALSE)), "No", "Yes")</f>
        <v>No</v>
      </c>
      <c r="S435" s="30" t="str">
        <f>VLOOKUP(A435, 'Session Data'!A:AA,27,false)</f>
        <v>Woman</v>
      </c>
      <c r="T435" s="84"/>
      <c r="U435" s="30"/>
      <c r="V435" s="31" t="str">
        <f>VLOOKUP(A435, 'Session Data'!A:AA,8,false)</f>
        <v>Josefa</v>
      </c>
      <c r="W435" s="32" t="str">
        <f>VLOOKUP(A435, 'Session Data'!A:AA,9,false)</f>
        <v>Rivera Alfaro</v>
      </c>
      <c r="X435" s="33" t="str">
        <f>VLOOKUP(A435, 'Session Data'!A:AA,12,false)</f>
        <v>Characterizing the Bacteroidales injection system from a human gut bacterium</v>
      </c>
      <c r="Y435" s="34" t="str">
        <f>VLOOKUP(A435, 'Session Data'!A:AA,22,false)</f>
        <v>Nicholas</v>
      </c>
      <c r="Z435" s="34" t="str">
        <f>VLOOKUP(A435, 'Session Data'!A:AA,23,false)</f>
        <v>Shikuma</v>
      </c>
      <c r="AA435" s="34" t="str">
        <f>VLOOKUP(A435, 'Session Data'!A:AA,25,false)</f>
        <v>Sciences</v>
      </c>
      <c r="AB435" s="34"/>
      <c r="AC435" s="34" t="str">
        <f>VLOOKUP(A435, 'Session Data'!A:AA,16,false)</f>
        <v/>
      </c>
      <c r="AD435" s="35" t="str">
        <f>VLOOKUP(A435, 'Session Data'!A:U,17,false)</f>
        <v/>
      </c>
      <c r="AE435" s="35" t="str">
        <f>VLOOKUP(A435, 'Session Data'!A:U,18,false)</f>
        <v/>
      </c>
      <c r="AF435" s="35" t="str">
        <f>VLOOKUP(A435, 'Session Data'!A:U,19,false)</f>
        <v/>
      </c>
      <c r="AG435" s="35" t="str">
        <f>VLOOKUP(A435, 'Session Data'!A:U,20,false)</f>
        <v/>
      </c>
      <c r="AH435" s="35" t="str">
        <f>VLOOKUP(A435, 'Session Data'!A:U,21,false)</f>
        <v/>
      </c>
      <c r="AI435" s="37"/>
      <c r="AJ435" s="37"/>
      <c r="AK435" s="37"/>
      <c r="AL435" s="50"/>
      <c r="AM435" s="34" t="str">
        <f>VLOOKUP(A435, 'Session Data'!A:AA,10,false)</f>
        <v>jriveraalfaro6818@sdsu.edu</v>
      </c>
      <c r="AN435" s="40"/>
      <c r="AO435" s="43"/>
      <c r="AP435" s="43"/>
      <c r="AQ435" s="48"/>
      <c r="AR435" s="48"/>
      <c r="AS435" s="48"/>
      <c r="AT435" s="48"/>
      <c r="AU435" s="48"/>
      <c r="AV435" s="48"/>
      <c r="AW435" s="48"/>
      <c r="AX435" s="48"/>
      <c r="AY435" s="43"/>
      <c r="AZ435" s="43"/>
      <c r="BA435" s="48"/>
      <c r="BB435" s="48"/>
      <c r="BC435" s="43"/>
      <c r="BD435" s="43"/>
      <c r="BE435" s="44"/>
      <c r="BF435" s="45"/>
      <c r="BG435" s="43"/>
    </row>
    <row r="436">
      <c r="A436" s="19" t="s">
        <v>507</v>
      </c>
      <c r="B436" s="20">
        <f>VLOOKUP(F436,'Session Count DO NOT EDIT'!$A:$C,3,FALSE)</f>
        <v>5</v>
      </c>
      <c r="C436" s="20">
        <f>COUNTIFS('Scores Import DO NOT EDIT'!D:D,A436)</f>
        <v>3</v>
      </c>
      <c r="D436" s="21">
        <f t="shared" si="1"/>
        <v>0.6</v>
      </c>
      <c r="E436" s="22">
        <f>AVERAGEIFS('Scores Import DO NOT EDIT'!L:L,'Scores Import DO NOT EDIT'!D:D,A436)</f>
        <v>31.66666667</v>
      </c>
      <c r="F436" s="23" t="str">
        <f>VLOOKUP(A436, 'Session Data'!A:M,3,false)</f>
        <v>H-9</v>
      </c>
      <c r="G436" s="24" t="str">
        <f>VLOOKUP(A436, 'Session Data'!A:I,2,false)</f>
        <v>1:00 PM</v>
      </c>
      <c r="H436" s="23" t="str">
        <f>VLOOKUP(A436, 'Session Data'!A:J,5,false)</f>
        <v>Biological and Agricultural Sciences</v>
      </c>
      <c r="I436" s="25" t="str">
        <f>VLOOKUP(A436, 'Session Data'!A:H,4,false)</f>
        <v>Poster</v>
      </c>
      <c r="J436" s="26" t="str">
        <f>VLOOKUP(A436, 'Session Data'!A:AA,14,false)</f>
        <v>Doctoral</v>
      </c>
      <c r="K436" s="27" t="str">
        <f>VLOOKUP(A436, 'Session Data'!A:AA,15,false)</f>
        <v>Sciences</v>
      </c>
      <c r="L436" s="47"/>
      <c r="M436" s="29" t="str">
        <f>VLOOKUP(A436, 'Session Data'!A:K,11,false)</f>
        <v>Ph.D. in Biomedical Sciences</v>
      </c>
      <c r="N436" s="26" t="str">
        <f>IF(ISNA(VLOOKUP(A436, 'Award Abstract#'!C:C, 1, FALSE)), "No", "Yes")
</f>
        <v>No</v>
      </c>
      <c r="O436" s="29" t="str">
        <f>IF(ISNA(VLOOKUP(A436,'Award Abstract#'!B:B,1,FALSE)), "No", "Yes")</f>
        <v>No</v>
      </c>
      <c r="P436" s="29" t="str">
        <f>IF(ISNA(VLOOKUP(A436,'Award Abstract#'!E:E,1,FALSE)), "No", "Yes")</f>
        <v>No</v>
      </c>
      <c r="Q436" s="29" t="str">
        <f>IF(ISNA(VLOOKUP(A436,'Award Abstract#'!A:A,1,FALSE)), "No", "Yes")</f>
        <v>No</v>
      </c>
      <c r="R436" s="29" t="str">
        <f>IF(ISNA(VLOOKUP(A436,'Award Abstract#'!D:D,1,FALSE)), "No", "Yes")</f>
        <v>No</v>
      </c>
      <c r="S436" s="30" t="str">
        <f>VLOOKUP(A436, 'Session Data'!A:AA,27,false)</f>
        <v>Woman</v>
      </c>
      <c r="T436" s="84"/>
      <c r="U436" s="30"/>
      <c r="V436" s="31" t="str">
        <f>VLOOKUP(A436, 'Session Data'!A:AA,8,false)</f>
        <v>Megha</v>
      </c>
      <c r="W436" s="32" t="str">
        <f>VLOOKUP(A436, 'Session Data'!A:AA,9,false)</f>
        <v>Raghunathan</v>
      </c>
      <c r="X436" s="33" t="str">
        <f>VLOOKUP(A436, 'Session Data'!A:AA,12,false)</f>
        <v>MutL loss in ER+ breast cancer alters secretome resulting in pro-tumorigenic macrophage polarization</v>
      </c>
      <c r="Y436" s="34" t="str">
        <f>VLOOKUP(A436, 'Session Data'!A:AA,22,false)</f>
        <v>Svasti</v>
      </c>
      <c r="Z436" s="34" t="str">
        <f>VLOOKUP(A436, 'Session Data'!A:AA,23,false)</f>
        <v>Haricharan</v>
      </c>
      <c r="AA436" s="34" t="str">
        <f>VLOOKUP(A436, 'Session Data'!A:AA,25,false)</f>
        <v>Sciences</v>
      </c>
      <c r="AB436" s="34"/>
      <c r="AC436" s="34" t="str">
        <f>VLOOKUP(A436, 'Session Data'!A:AA,16,false)</f>
        <v/>
      </c>
      <c r="AD436" s="35" t="str">
        <f>VLOOKUP(A436, 'Session Data'!A:U,17,false)</f>
        <v/>
      </c>
      <c r="AE436" s="35" t="str">
        <f>VLOOKUP(A436, 'Session Data'!A:U,18,false)</f>
        <v/>
      </c>
      <c r="AF436" s="35" t="str">
        <f>VLOOKUP(A436, 'Session Data'!A:U,19,false)</f>
        <v/>
      </c>
      <c r="AG436" s="35" t="str">
        <f>VLOOKUP(A436, 'Session Data'!A:U,20,false)</f>
        <v/>
      </c>
      <c r="AH436" s="35" t="str">
        <f>VLOOKUP(A436, 'Session Data'!A:U,21,false)</f>
        <v/>
      </c>
      <c r="AI436" s="37"/>
      <c r="AJ436" s="37"/>
      <c r="AK436" s="37"/>
      <c r="AL436" s="50"/>
      <c r="AM436" s="34" t="str">
        <f>VLOOKUP(A436, 'Session Data'!A:AA,10,false)</f>
        <v>mraghunathan@sdsu.edu</v>
      </c>
      <c r="AN436" s="40"/>
      <c r="AO436" s="48"/>
      <c r="AP436" s="48"/>
      <c r="AQ436" s="48"/>
      <c r="AR436" s="48"/>
      <c r="AS436" s="48"/>
      <c r="AT436" s="48"/>
      <c r="AU436" s="48"/>
      <c r="AV436" s="48"/>
      <c r="AW436" s="48"/>
      <c r="AX436" s="48"/>
      <c r="AY436" s="43"/>
      <c r="AZ436" s="43"/>
      <c r="BA436" s="48"/>
      <c r="BB436" s="48"/>
      <c r="BC436" s="43"/>
      <c r="BD436" s="43"/>
      <c r="BE436" s="44"/>
      <c r="BF436" s="45"/>
      <c r="BG436" s="43"/>
    </row>
    <row r="437">
      <c r="A437" s="19" t="s">
        <v>508</v>
      </c>
      <c r="B437" s="20">
        <f>VLOOKUP(F437,'Session Count DO NOT EDIT'!$A:$C,3,FALSE)</f>
        <v>5</v>
      </c>
      <c r="C437" s="20">
        <f>COUNTIFS('Scores Import DO NOT EDIT'!D:D,A437)</f>
        <v>3</v>
      </c>
      <c r="D437" s="21">
        <f t="shared" si="1"/>
        <v>0.6</v>
      </c>
      <c r="E437" s="22">
        <f>AVERAGEIFS('Scores Import DO NOT EDIT'!L:L,'Scores Import DO NOT EDIT'!D:D,A437)</f>
        <v>30.66666667</v>
      </c>
      <c r="F437" s="23" t="str">
        <f>VLOOKUP(A437, 'Session Data'!A:M,3,false)</f>
        <v>H-9</v>
      </c>
      <c r="G437" s="24" t="str">
        <f>VLOOKUP(A437, 'Session Data'!A:I,2,false)</f>
        <v>1:00 PM</v>
      </c>
      <c r="H437" s="23" t="str">
        <f>VLOOKUP(A437, 'Session Data'!A:J,5,false)</f>
        <v>Biological and Agricultural Sciences</v>
      </c>
      <c r="I437" s="25" t="str">
        <f>VLOOKUP(A437, 'Session Data'!A:H,4,false)</f>
        <v>Poster</v>
      </c>
      <c r="J437" s="26" t="str">
        <f>VLOOKUP(A437, 'Session Data'!A:AA,14,false)</f>
        <v>Master's</v>
      </c>
      <c r="K437" s="27" t="str">
        <f>VLOOKUP(A437, 'Session Data'!A:AA,15,false)</f>
        <v>Health and Human Services</v>
      </c>
      <c r="L437" s="47"/>
      <c r="M437" s="29" t="str">
        <f>VLOOKUP(A437, 'Session Data'!A:K,11,false)</f>
        <v>MS: Environmental Health</v>
      </c>
      <c r="N437" s="26" t="str">
        <f>IF(ISNA(VLOOKUP(A437, 'Award Abstract#'!C:C, 1, FALSE)), "No", "Yes")
</f>
        <v>No</v>
      </c>
      <c r="O437" s="29" t="str">
        <f>IF(ISNA(VLOOKUP(A437,'Award Abstract#'!B:B,1,FALSE)), "No", "Yes")</f>
        <v>No</v>
      </c>
      <c r="P437" s="29" t="str">
        <f>IF(ISNA(VLOOKUP(A437,'Award Abstract#'!E:E,1,FALSE)), "No", "Yes")</f>
        <v>No</v>
      </c>
      <c r="Q437" s="29" t="str">
        <f>IF(ISNA(VLOOKUP(A437,'Award Abstract#'!A:A,1,FALSE)), "No", "Yes")</f>
        <v>No</v>
      </c>
      <c r="R437" s="29" t="str">
        <f>IF(ISNA(VLOOKUP(A437,'Award Abstract#'!D:D,1,FALSE)), "No", "Yes")</f>
        <v>No</v>
      </c>
      <c r="S437" s="30" t="str">
        <f>VLOOKUP(A437, 'Session Data'!A:AA,27,false)</f>
        <v>Man</v>
      </c>
      <c r="T437" s="84"/>
      <c r="U437" s="30"/>
      <c r="V437" s="31" t="str">
        <f>VLOOKUP(A437, 'Session Data'!A:AA,8,false)</f>
        <v>Angus</v>
      </c>
      <c r="W437" s="32" t="str">
        <f>VLOOKUP(A437, 'Session Data'!A:AA,9,false)</f>
        <v>Fletcher</v>
      </c>
      <c r="X437" s="33" t="str">
        <f>VLOOKUP(A437, 'Session Data'!A:AA,12,false)</f>
        <v> Chemical leachates from microfibers perturb embryonic development in zebrafish </v>
      </c>
      <c r="Y437" s="34" t="str">
        <f>VLOOKUP(A437, 'Session Data'!A:AA,22,false)</f>
        <v>Karilyn</v>
      </c>
      <c r="Z437" s="34" t="str">
        <f>VLOOKUP(A437, 'Session Data'!A:AA,23,false)</f>
        <v>Sant</v>
      </c>
      <c r="AA437" s="34" t="str">
        <f>VLOOKUP(A437, 'Session Data'!A:AA,25,false)</f>
        <v>Health and Human Services</v>
      </c>
      <c r="AB437" s="34" t="str">
        <f>VLOOKUP(A437, 'Session Data'!A:AA,24,false)</f>
        <v>ksant@sdsu.edu</v>
      </c>
      <c r="AC437" s="34" t="str">
        <f>VLOOKUP(A437, 'Session Data'!A:AA,16,false)</f>
        <v/>
      </c>
      <c r="AD437" s="35" t="str">
        <f>VLOOKUP(A437, 'Session Data'!A:U,17,false)</f>
        <v/>
      </c>
      <c r="AE437" s="35" t="str">
        <f>VLOOKUP(A437, 'Session Data'!A:U,18,false)</f>
        <v/>
      </c>
      <c r="AF437" s="35" t="str">
        <f>VLOOKUP(A437, 'Session Data'!A:U,19,false)</f>
        <v/>
      </c>
      <c r="AG437" s="35" t="str">
        <f>VLOOKUP(A437, 'Session Data'!A:U,20,false)</f>
        <v/>
      </c>
      <c r="AH437" s="35" t="str">
        <f>VLOOKUP(A437, 'Session Data'!A:U,21,false)</f>
        <v/>
      </c>
      <c r="AI437" s="37"/>
      <c r="AJ437" s="37"/>
      <c r="AK437" s="37"/>
      <c r="AL437" s="50"/>
      <c r="AM437" s="34" t="str">
        <f>VLOOKUP(A437, 'Session Data'!A:AA,10,false)</f>
        <v>afletcher@sdsu.edu</v>
      </c>
      <c r="AN437" s="40"/>
      <c r="AO437" s="48"/>
      <c r="AP437" s="48"/>
      <c r="AQ437" s="48"/>
      <c r="AR437" s="48"/>
      <c r="AS437" s="48"/>
      <c r="AT437" s="48"/>
      <c r="AU437" s="48"/>
      <c r="AV437" s="48"/>
      <c r="AW437" s="48"/>
      <c r="AX437" s="48"/>
      <c r="AY437" s="43"/>
      <c r="AZ437" s="43"/>
      <c r="BA437" s="48"/>
      <c r="BB437" s="48"/>
      <c r="BC437" s="43"/>
      <c r="BD437" s="43"/>
      <c r="BE437" s="44"/>
      <c r="BF437" s="45"/>
      <c r="BG437" s="43"/>
    </row>
    <row r="438">
      <c r="A438" s="19" t="s">
        <v>509</v>
      </c>
      <c r="B438" s="20">
        <f>VLOOKUP(F438,'Session Count DO NOT EDIT'!$A:$C,3,FALSE)</f>
        <v>5</v>
      </c>
      <c r="C438" s="20">
        <f>COUNTIFS('Scores Import DO NOT EDIT'!D:D,A438)</f>
        <v>3</v>
      </c>
      <c r="D438" s="21">
        <f t="shared" si="1"/>
        <v>0.6</v>
      </c>
      <c r="E438" s="22">
        <f>AVERAGEIFS('Scores Import DO NOT EDIT'!L:L,'Scores Import DO NOT EDIT'!D:D,A438)</f>
        <v>29</v>
      </c>
      <c r="F438" s="23" t="str">
        <f>VLOOKUP(A438, 'Session Data'!A:M,3,false)</f>
        <v>H-9</v>
      </c>
      <c r="G438" s="24" t="str">
        <f>VLOOKUP(A438, 'Session Data'!A:I,2,false)</f>
        <v>1:00 PM</v>
      </c>
      <c r="H438" s="23" t="str">
        <f>VLOOKUP(A438, 'Session Data'!A:J,5,false)</f>
        <v>Biological and Agricultural Sciences</v>
      </c>
      <c r="I438" s="25" t="str">
        <f>VLOOKUP(A438, 'Session Data'!A:H,4,false)</f>
        <v>Poster</v>
      </c>
      <c r="J438" s="26" t="str">
        <f>VLOOKUP(A438, 'Session Data'!A:AA,14,false)</f>
        <v>Master's</v>
      </c>
      <c r="K438" s="27" t="str">
        <f>VLOOKUP(A438, 'Session Data'!A:AA,15,false)</f>
        <v>Sciences</v>
      </c>
      <c r="L438" s="47"/>
      <c r="M438" s="29" t="str">
        <f>VLOOKUP(A438, 'Session Data'!A:K,11,false)</f>
        <v>MS Bioinformatics and Medical Informatics</v>
      </c>
      <c r="N438" s="26" t="str">
        <f>IF(ISNA(VLOOKUP(A438, 'Award Abstract#'!C:C, 1, FALSE)), "No", "Yes")
</f>
        <v>No</v>
      </c>
      <c r="O438" s="29" t="str">
        <f>IF(ISNA(VLOOKUP(A438,'Award Abstract#'!B:B,1,FALSE)), "No", "Yes")</f>
        <v>No</v>
      </c>
      <c r="P438" s="29" t="str">
        <f>IF(ISNA(VLOOKUP(A438,'Award Abstract#'!E:E,1,FALSE)), "No", "Yes")</f>
        <v>No</v>
      </c>
      <c r="Q438" s="29" t="str">
        <f>IF(ISNA(VLOOKUP(A438,'Award Abstract#'!A:A,1,FALSE)), "No", "Yes")</f>
        <v>No</v>
      </c>
      <c r="R438" s="29" t="str">
        <f>IF(ISNA(VLOOKUP(A438,'Award Abstract#'!D:D,1,FALSE)), "No", "Yes")</f>
        <v>No</v>
      </c>
      <c r="S438" s="30" t="str">
        <f>VLOOKUP(A438, 'Session Data'!A:AA,27,false)</f>
        <v>Man</v>
      </c>
      <c r="T438" s="84"/>
      <c r="U438" s="30"/>
      <c r="V438" s="31" t="str">
        <f>VLOOKUP(A438, 'Session Data'!A:AA,8,false)</f>
        <v>Sean</v>
      </c>
      <c r="W438" s="32" t="str">
        <f>VLOOKUP(A438, 'Session Data'!A:AA,9,false)</f>
        <v>Fahey</v>
      </c>
      <c r="X438" s="33" t="str">
        <f>VLOOKUP(A438, 'Session Data'!A:AA,12,false)</f>
        <v>Improving Training Data for Machine Learning-Based Protein Function Prediction Tools </v>
      </c>
      <c r="Y438" s="34" t="str">
        <f>VLOOKUP(A438, 'Session Data'!A:AA,22,false)</f>
        <v>Anca</v>
      </c>
      <c r="Z438" s="34" t="str">
        <f>VLOOKUP(A438, 'Session Data'!A:AA,23,false)</f>
        <v>Segall</v>
      </c>
      <c r="AA438" s="34" t="str">
        <f>VLOOKUP(A438, 'Session Data'!A:AA,25,false)</f>
        <v>Sciences</v>
      </c>
      <c r="AB438" s="34"/>
      <c r="AC438" s="34" t="str">
        <f>VLOOKUP(A438, 'Session Data'!A:AA,16,false)</f>
        <v/>
      </c>
      <c r="AD438" s="35" t="str">
        <f>VLOOKUP(A438, 'Session Data'!A:U,17,false)</f>
        <v/>
      </c>
      <c r="AE438" s="35" t="str">
        <f>VLOOKUP(A438, 'Session Data'!A:U,18,false)</f>
        <v/>
      </c>
      <c r="AF438" s="35" t="str">
        <f>VLOOKUP(A438, 'Session Data'!A:U,19,false)</f>
        <v/>
      </c>
      <c r="AG438" s="35" t="str">
        <f>VLOOKUP(A438, 'Session Data'!A:U,20,false)</f>
        <v/>
      </c>
      <c r="AH438" s="35" t="str">
        <f>VLOOKUP(A438, 'Session Data'!A:U,21,false)</f>
        <v/>
      </c>
      <c r="AI438" s="37"/>
      <c r="AJ438" s="37"/>
      <c r="AK438" s="37"/>
      <c r="AL438" s="50"/>
      <c r="AM438" s="34" t="str">
        <f>VLOOKUP(A438, 'Session Data'!A:AA,10,false)</f>
        <v>sfahey1745@sdsu.edu</v>
      </c>
      <c r="AN438" s="40"/>
      <c r="AO438" s="48"/>
      <c r="AP438" s="48"/>
      <c r="AQ438" s="48"/>
      <c r="AR438" s="48"/>
      <c r="AS438" s="48"/>
      <c r="AT438" s="48"/>
      <c r="AU438" s="48"/>
      <c r="AV438" s="48"/>
      <c r="AW438" s="48"/>
      <c r="AX438" s="48"/>
      <c r="AY438" s="43"/>
      <c r="AZ438" s="43"/>
      <c r="BA438" s="48"/>
      <c r="BB438" s="48"/>
      <c r="BC438" s="43"/>
      <c r="BD438" s="43"/>
      <c r="BE438" s="44"/>
      <c r="BF438" s="45"/>
      <c r="BG438" s="43"/>
    </row>
    <row r="439">
      <c r="A439" s="19" t="s">
        <v>510</v>
      </c>
      <c r="B439" s="20">
        <f>VLOOKUP(F439,'Session Count DO NOT EDIT'!$A:$C,3,FALSE)</f>
        <v>5</v>
      </c>
      <c r="C439" s="20">
        <f>COUNTIFS('Scores Import DO NOT EDIT'!D:D,A439)</f>
        <v>3</v>
      </c>
      <c r="D439" s="21">
        <f t="shared" si="1"/>
        <v>0.6</v>
      </c>
      <c r="E439" s="22">
        <f>AVERAGEIFS('Scores Import DO NOT EDIT'!L:L,'Scores Import DO NOT EDIT'!D:D,A439)</f>
        <v>26.66666667</v>
      </c>
      <c r="F439" s="23" t="str">
        <f>VLOOKUP(A439, 'Session Data'!A:M,3,false)</f>
        <v>H-9</v>
      </c>
      <c r="G439" s="24" t="str">
        <f>VLOOKUP(A439, 'Session Data'!A:I,2,false)</f>
        <v>1:00 PM</v>
      </c>
      <c r="H439" s="23" t="str">
        <f>VLOOKUP(A439, 'Session Data'!A:J,5,false)</f>
        <v>Biological and Agricultural Sciences</v>
      </c>
      <c r="I439" s="25" t="str">
        <f>VLOOKUP(A439, 'Session Data'!A:H,4,false)</f>
        <v>Poster</v>
      </c>
      <c r="J439" s="26" t="str">
        <f>VLOOKUP(A439, 'Session Data'!A:AA,14,false)</f>
        <v>Doctoral</v>
      </c>
      <c r="K439" s="27" t="str">
        <f>VLOOKUP(A439, 'Session Data'!A:AA,15,false)</f>
        <v>Sciences</v>
      </c>
      <c r="L439" s="28"/>
      <c r="M439" s="29" t="str">
        <f>VLOOKUP(A439, 'Session Data'!A:K,11,false)</f>
        <v> Doctor of Philosophy Chemistry/Biochemistry</v>
      </c>
      <c r="N439" s="26" t="str">
        <f>IF(ISNA(VLOOKUP(A439, 'Award Abstract#'!C:C, 1, FALSE)), "No", "Yes")
</f>
        <v>No</v>
      </c>
      <c r="O439" s="29" t="str">
        <f>IF(ISNA(VLOOKUP(A439,'Award Abstract#'!B:B,1,FALSE)), "No", "Yes")</f>
        <v>No</v>
      </c>
      <c r="P439" s="29" t="str">
        <f>IF(ISNA(VLOOKUP(A439,'Award Abstract#'!E:E,1,FALSE)), "No", "Yes")</f>
        <v>No</v>
      </c>
      <c r="Q439" s="29" t="str">
        <f>IF(ISNA(VLOOKUP(A439,'Award Abstract#'!A:A,1,FALSE)), "No", "Yes")</f>
        <v>No</v>
      </c>
      <c r="R439" s="29" t="str">
        <f>IF(ISNA(VLOOKUP(A439,'Award Abstract#'!D:D,1,FALSE)), "No", "Yes")</f>
        <v>No</v>
      </c>
      <c r="S439" s="30" t="str">
        <f>VLOOKUP(A439, 'Session Data'!A:AA,27,false)</f>
        <v>Man</v>
      </c>
      <c r="T439" s="84"/>
      <c r="U439" s="30"/>
      <c r="V439" s="31" t="str">
        <f>VLOOKUP(A439, 'Session Data'!A:AA,8,false)</f>
        <v>Andres</v>
      </c>
      <c r="W439" s="32" t="str">
        <f>VLOOKUP(A439, 'Session Data'!A:AA,9,false)</f>
        <v>Jimenez Salinas</v>
      </c>
      <c r="X439" s="33" t="str">
        <f>VLOOKUP(A439, 'Session Data'!A:AA,12,false)</f>
        <v>Raf Kinase membrane activation is modulated by multivalent protein-lipid interactions</v>
      </c>
      <c r="Y439" s="34" t="str">
        <f>VLOOKUP(A439, 'Session Data'!A:AA,22,false)</f>
        <v>Youngkwang</v>
      </c>
      <c r="Z439" s="34" t="str">
        <f>VLOOKUP(A439, 'Session Data'!A:AA,23,false)</f>
        <v>Lee</v>
      </c>
      <c r="AA439" s="34" t="str">
        <f>VLOOKUP(A439, 'Session Data'!A:AA,25,false)</f>
        <v>Sciences</v>
      </c>
      <c r="AB439" s="34"/>
      <c r="AC439" s="34" t="str">
        <f>VLOOKUP(A439, 'Session Data'!A:AA,16,false)</f>
        <v/>
      </c>
      <c r="AD439" s="35" t="str">
        <f>VLOOKUP(A439, 'Session Data'!A:U,17,false)</f>
        <v/>
      </c>
      <c r="AE439" s="35" t="str">
        <f>VLOOKUP(A439, 'Session Data'!A:U,18,false)</f>
        <v/>
      </c>
      <c r="AF439" s="35" t="str">
        <f>VLOOKUP(A439, 'Session Data'!A:U,19,false)</f>
        <v/>
      </c>
      <c r="AG439" s="35" t="str">
        <f>VLOOKUP(A439, 'Session Data'!A:U,20,false)</f>
        <v/>
      </c>
      <c r="AH439" s="35" t="str">
        <f>VLOOKUP(A439, 'Session Data'!A:U,21,false)</f>
        <v/>
      </c>
      <c r="AI439" s="37"/>
      <c r="AJ439" s="37"/>
      <c r="AK439" s="37"/>
      <c r="AL439" s="50"/>
      <c r="AM439" s="34" t="str">
        <f>VLOOKUP(A439, 'Session Data'!A:AA,10,false)</f>
        <v>ajimenezsalina6385@sdsu.edu</v>
      </c>
      <c r="AN439" s="40"/>
      <c r="AO439" s="48"/>
      <c r="AP439" s="48"/>
      <c r="AQ439" s="48"/>
      <c r="AR439" s="48"/>
      <c r="AS439" s="48"/>
      <c r="AT439" s="48"/>
      <c r="AU439" s="48"/>
      <c r="AV439" s="48"/>
      <c r="AW439" s="48"/>
      <c r="AX439" s="48"/>
      <c r="AY439" s="43"/>
      <c r="AZ439" s="43"/>
      <c r="BA439" s="48"/>
      <c r="BB439" s="48"/>
      <c r="BC439" s="43"/>
      <c r="BD439" s="43"/>
      <c r="BE439" s="44"/>
      <c r="BF439" s="45"/>
      <c r="BG439" s="43"/>
    </row>
    <row r="440">
      <c r="A440" s="19" t="s">
        <v>511</v>
      </c>
      <c r="B440" s="20">
        <f>VLOOKUP(F440,'Session Count DO NOT EDIT'!$A:$C,3,FALSE)</f>
        <v>5</v>
      </c>
      <c r="C440" s="20">
        <f>COUNTIFS('Scores Import DO NOT EDIT'!D:D,A440)</f>
        <v>5</v>
      </c>
      <c r="D440" s="21">
        <f t="shared" si="1"/>
        <v>1</v>
      </c>
      <c r="E440" s="22">
        <f>AVERAGEIFS('Scores Import DO NOT EDIT'!L:L,'Scores Import DO NOT EDIT'!D:D,A440)</f>
        <v>29.4</v>
      </c>
      <c r="F440" s="23" t="str">
        <f>VLOOKUP(A440, 'Session Data'!A:M,3,false)</f>
        <v>I-1</v>
      </c>
      <c r="G440" s="24" t="str">
        <f>VLOOKUP(A440, 'Session Data'!A:I,2,false)</f>
        <v>3:00 PM</v>
      </c>
      <c r="H440" s="23" t="str">
        <f>VLOOKUP(A440, 'Session Data'!A:J,5,false)</f>
        <v>Behavioral and Social Sciences 1</v>
      </c>
      <c r="I440" s="25" t="str">
        <f>VLOOKUP(A440, 'Session Data'!A:H,4,false)</f>
        <v>Poster</v>
      </c>
      <c r="J440" s="26" t="str">
        <f>VLOOKUP(A440, 'Session Data'!A:AA,14,false)</f>
        <v>Undergraduate</v>
      </c>
      <c r="K440" s="27" t="str">
        <f>VLOOKUP(A440, 'Session Data'!A:AA,15,false)</f>
        <v>Arts and Letters</v>
      </c>
      <c r="L440" s="47"/>
      <c r="M440" s="29" t="str">
        <f>VLOOKUP(A440, 'Session Data'!A:K,11,false)</f>
        <v>Bachelor of Arts in Interdisciplinary Studies (Sustainability, Political Science, Psychology)</v>
      </c>
      <c r="N440" s="26" t="str">
        <f>IF(ISNA(VLOOKUP(A440, 'Award Abstract#'!C:C, 1, FALSE)), "No", "Yes")
</f>
        <v>No</v>
      </c>
      <c r="O440" s="29" t="str">
        <f>IF(ISNA(VLOOKUP(A440,'Award Abstract#'!B:B,1,FALSE)), "No", "Yes")</f>
        <v>Yes</v>
      </c>
      <c r="P440" s="29" t="str">
        <f>IF(ISNA(VLOOKUP(A440,'Award Abstract#'!E:E,1,FALSE)), "No", "Yes")</f>
        <v>No</v>
      </c>
      <c r="Q440" s="29" t="str">
        <f>IF(ISNA(VLOOKUP(A440,'Award Abstract#'!A:A,1,FALSE)), "No", "Yes")</f>
        <v>No</v>
      </c>
      <c r="R440" s="29" t="str">
        <f>IF(ISNA(VLOOKUP(A440,'Award Abstract#'!D:D,1,FALSE)), "No", "Yes")</f>
        <v>Yes</v>
      </c>
      <c r="S440" s="30" t="str">
        <f>VLOOKUP(A440, 'Session Data'!A:AA,27,false)</f>
        <v>Non-binary/non-conforming</v>
      </c>
      <c r="T440" s="84"/>
      <c r="U440" s="84"/>
      <c r="V440" s="31" t="str">
        <f>VLOOKUP(A440, 'Session Data'!A:AA,8,false)</f>
        <v>Joaquin Rafael</v>
      </c>
      <c r="W440" s="32" t="str">
        <f>VLOOKUP(A440, 'Session Data'!A:AA,9,false)</f>
        <v>Ramoso</v>
      </c>
      <c r="X440" s="33" t="str">
        <f>VLOOKUP(A440, 'Session Data'!A:AA,12,false)</f>
        <v>Indigenous Agroforestry and Fire Management in Thailand and the United States</v>
      </c>
      <c r="Y440" s="34" t="str">
        <f>VLOOKUP(A440, 'Session Data'!A:AA,22,false)</f>
        <v>Savanna</v>
      </c>
      <c r="Z440" s="34" t="str">
        <f>VLOOKUP(A440, 'Session Data'!A:AA,23,false)</f>
        <v>Schuermann</v>
      </c>
      <c r="AA440" s="34" t="str">
        <f>VLOOKUP(A440, 'Session Data'!A:AA,25,false)</f>
        <v>Arts and Letters</v>
      </c>
      <c r="AB440" s="34" t="str">
        <f>VLOOKUP(A440, 'Session Data'!A:AA,24,false)</f>
        <v>sschuermann@sdsu.edu</v>
      </c>
      <c r="AC440" s="34" t="str">
        <f>VLOOKUP(A440, 'Session Data'!A:AA,16,false)</f>
        <v/>
      </c>
      <c r="AD440" s="35" t="str">
        <f>VLOOKUP(A440, 'Session Data'!A:U,17,false)</f>
        <v/>
      </c>
      <c r="AE440" s="35" t="str">
        <f>VLOOKUP(A440, 'Session Data'!A:U,18,false)</f>
        <v/>
      </c>
      <c r="AF440" s="35" t="str">
        <f>VLOOKUP(A440, 'Session Data'!A:U,19,false)</f>
        <v/>
      </c>
      <c r="AG440" s="35" t="str">
        <f>VLOOKUP(A440, 'Session Data'!A:U,20,false)</f>
        <v/>
      </c>
      <c r="AH440" s="35" t="str">
        <f>VLOOKUP(A440, 'Session Data'!A:U,21,false)</f>
        <v/>
      </c>
      <c r="AI440" s="34"/>
      <c r="AJ440" s="75"/>
      <c r="AK440" s="75"/>
      <c r="AL440" s="75"/>
      <c r="AM440" s="34" t="str">
        <f>VLOOKUP(A440, 'Session Data'!A:AA,10,false)</f>
        <v>jramoso5492@sdsu.edu</v>
      </c>
      <c r="AN440" s="46"/>
      <c r="AO440" s="48"/>
      <c r="AP440" s="48"/>
      <c r="AQ440" s="48"/>
      <c r="AR440" s="48"/>
      <c r="AS440" s="48"/>
      <c r="AT440" s="48"/>
      <c r="AU440" s="48"/>
      <c r="AV440" s="48"/>
      <c r="AW440" s="48"/>
      <c r="AX440" s="48"/>
      <c r="AY440" s="43"/>
      <c r="AZ440" s="48"/>
      <c r="BA440" s="48"/>
      <c r="BB440" s="48"/>
      <c r="BC440" s="43"/>
      <c r="BD440" s="43"/>
      <c r="BE440" s="44"/>
      <c r="BF440" s="48"/>
      <c r="BG440" s="43"/>
    </row>
    <row r="441">
      <c r="A441" s="19" t="s">
        <v>512</v>
      </c>
      <c r="B441" s="20">
        <f>VLOOKUP(F441,'Session Count DO NOT EDIT'!$A:$C,3,FALSE)</f>
        <v>5</v>
      </c>
      <c r="C441" s="20">
        <f>COUNTIFS('Scores Import DO NOT EDIT'!D:D,A441)</f>
        <v>5</v>
      </c>
      <c r="D441" s="21">
        <f t="shared" si="1"/>
        <v>1</v>
      </c>
      <c r="E441" s="22">
        <f>AVERAGEIFS('Scores Import DO NOT EDIT'!L:L,'Scores Import DO NOT EDIT'!D:D,A441)</f>
        <v>25</v>
      </c>
      <c r="F441" s="23" t="str">
        <f>VLOOKUP(A441, 'Session Data'!A:M,3,false)</f>
        <v>I-1</v>
      </c>
      <c r="G441" s="24" t="str">
        <f>VLOOKUP(A441, 'Session Data'!A:I,2,false)</f>
        <v>3:00 PM</v>
      </c>
      <c r="H441" s="23" t="str">
        <f>VLOOKUP(A441, 'Session Data'!A:J,5,false)</f>
        <v>Behavioral and Social Sciences 1</v>
      </c>
      <c r="I441" s="25" t="str">
        <f>VLOOKUP(A441, 'Session Data'!A:H,4,false)</f>
        <v>Poster</v>
      </c>
      <c r="J441" s="26" t="str">
        <f>VLOOKUP(A441, 'Session Data'!A:AA,14,false)</f>
        <v>Undergraduate</v>
      </c>
      <c r="K441" s="27" t="str">
        <f>VLOOKUP(A441, 'Session Data'!A:AA,15,false)</f>
        <v>Sciences</v>
      </c>
      <c r="L441" s="47"/>
      <c r="M441" s="29" t="str">
        <f>VLOOKUP(A441, 'Session Data'!A:K,11,false)</f>
        <v>Bachelors of Arts in Psychology, minors in Counseling and Social Change, Child and Family Development </v>
      </c>
      <c r="N441" s="26" t="str">
        <f>IF(ISNA(VLOOKUP(A441, 'Award Abstract#'!C:C, 1, FALSE)), "No", "Yes")
</f>
        <v>No</v>
      </c>
      <c r="O441" s="29" t="str">
        <f>IF(ISNA(VLOOKUP(A441,'Award Abstract#'!B:B,1,FALSE)), "No", "Yes")</f>
        <v>Yes</v>
      </c>
      <c r="P441" s="29" t="str">
        <f>IF(ISNA(VLOOKUP(A441,'Award Abstract#'!E:E,1,FALSE)), "No", "Yes")</f>
        <v>No</v>
      </c>
      <c r="Q441" s="29" t="str">
        <f>IF(ISNA(VLOOKUP(A441,'Award Abstract#'!A:A,1,FALSE)), "No", "Yes")</f>
        <v>No</v>
      </c>
      <c r="R441" s="29" t="str">
        <f>IF(ISNA(VLOOKUP(A441,'Award Abstract#'!D:D,1,FALSE)), "No", "Yes")</f>
        <v>Yes</v>
      </c>
      <c r="S441" s="30" t="str">
        <f>VLOOKUP(A441, 'Session Data'!A:AA,27,false)</f>
        <v>Woman</v>
      </c>
      <c r="T441" s="84"/>
      <c r="U441" s="84"/>
      <c r="V441" s="31" t="str">
        <f>VLOOKUP(A441, 'Session Data'!A:AA,8,false)</f>
        <v>Rivera</v>
      </c>
      <c r="W441" s="32" t="str">
        <f>VLOOKUP(A441, 'Session Data'!A:AA,9,false)</f>
        <v>Adriana</v>
      </c>
      <c r="X441" s="33" t="str">
        <f>VLOOKUP(A441, 'Session Data'!A:AA,12,false)</f>
        <v>The Role of Socioeconomic Factors on the Effectiveness of an Integrated Care Intervention among Latino Adults: the LUNA-D study</v>
      </c>
      <c r="Y441" s="34" t="str">
        <f>VLOOKUP(A441, 'Session Data'!A:AA,22,false)</f>
        <v>Dr. Gregory Talavera </v>
      </c>
      <c r="Z441" s="34" t="str">
        <f>VLOOKUP(A441, 'Session Data'!A:AA,23,false)</f>
        <v>Dr. Linda Gallo </v>
      </c>
      <c r="AA441" s="34" t="str">
        <f>VLOOKUP(A441, 'Session Data'!A:AA,25,false)</f>
        <v>Sciences</v>
      </c>
      <c r="AB441" s="34"/>
      <c r="AC441" s="34" t="str">
        <f>VLOOKUP(A441, 'Session Data'!A:AA,16,false)</f>
        <v>Anthony </v>
      </c>
      <c r="AD441" s="35" t="str">
        <f>VLOOKUP(A441, 'Session Data'!A:U,17,false)</f>
        <v>Zepeda </v>
      </c>
      <c r="AE441" s="35" t="str">
        <f>VLOOKUP(A441, 'Session Data'!A:U,18,false)</f>
        <v>Lizbeth </v>
      </c>
      <c r="AF441" s="35" t="str">
        <f>VLOOKUP(A441, 'Session Data'!A:U,19,false)</f>
        <v>Cosio </v>
      </c>
      <c r="AG441" s="35" t="str">
        <f>VLOOKUP(A441, 'Session Data'!A:U,20,false)</f>
        <v/>
      </c>
      <c r="AH441" s="35" t="str">
        <f>VLOOKUP(A441, 'Session Data'!A:U,21,false)</f>
        <v/>
      </c>
      <c r="AI441" s="34"/>
      <c r="AJ441" s="75"/>
      <c r="AK441" s="75"/>
      <c r="AL441" s="75"/>
      <c r="AM441" s="34" t="str">
        <f>VLOOKUP(A441, 'Session Data'!A:AA,10,false)</f>
        <v>arivera12@sdsu.edu</v>
      </c>
      <c r="AN441" s="46"/>
      <c r="AO441" s="48"/>
      <c r="AP441" s="48"/>
      <c r="AQ441" s="48"/>
      <c r="AR441" s="48"/>
      <c r="AS441" s="48"/>
      <c r="AT441" s="48"/>
      <c r="AU441" s="48"/>
      <c r="AV441" s="48"/>
      <c r="AW441" s="48"/>
      <c r="AX441" s="48"/>
      <c r="AY441" s="43"/>
      <c r="AZ441" s="48"/>
      <c r="BA441" s="48"/>
      <c r="BB441" s="48"/>
      <c r="BC441" s="43"/>
      <c r="BD441" s="43"/>
      <c r="BE441" s="44"/>
      <c r="BF441" s="48"/>
      <c r="BG441" s="43"/>
    </row>
    <row r="442">
      <c r="A442" s="19" t="s">
        <v>513</v>
      </c>
      <c r="B442" s="20">
        <f>VLOOKUP(F442,'Session Count DO NOT EDIT'!$A:$C,3,FALSE)</f>
        <v>5</v>
      </c>
      <c r="C442" s="20">
        <f>COUNTIFS('Scores Import DO NOT EDIT'!D:D,A442)</f>
        <v>5</v>
      </c>
      <c r="D442" s="21">
        <f t="shared" si="1"/>
        <v>1</v>
      </c>
      <c r="E442" s="22">
        <f>AVERAGEIFS('Scores Import DO NOT EDIT'!L:L,'Scores Import DO NOT EDIT'!D:D,A442)</f>
        <v>32.2</v>
      </c>
      <c r="F442" s="23" t="str">
        <f>VLOOKUP(A442, 'Session Data'!A:M,3,false)</f>
        <v>I-1</v>
      </c>
      <c r="G442" s="24" t="str">
        <f>VLOOKUP(A442, 'Session Data'!A:I,2,false)</f>
        <v>3:00 PM</v>
      </c>
      <c r="H442" s="23" t="str">
        <f>VLOOKUP(A442, 'Session Data'!A:J,5,false)</f>
        <v>Behavioral and Social Sciences 1</v>
      </c>
      <c r="I442" s="25" t="str">
        <f>VLOOKUP(A442, 'Session Data'!A:H,4,false)</f>
        <v>Poster</v>
      </c>
      <c r="J442" s="26" t="str">
        <f>VLOOKUP(A442, 'Session Data'!A:AA,14,false)</f>
        <v>Undergraduate</v>
      </c>
      <c r="K442" s="27" t="str">
        <f>VLOOKUP(A442, 'Session Data'!A:AA,15,false)</f>
        <v>Health and Human Services</v>
      </c>
      <c r="L442" s="52" t="s">
        <v>73</v>
      </c>
      <c r="M442" s="29" t="str">
        <f>VLOOKUP(A442, 'Session Data'!A:K,11,false)</f>
        <v>Speech, Language, and Hearing Sciences</v>
      </c>
      <c r="N442" s="26" t="str">
        <f>IF(ISNA(VLOOKUP(A442, 'Award Abstract#'!C:C, 1, FALSE)), "No", "Yes")
</f>
        <v>No</v>
      </c>
      <c r="O442" s="29" t="str">
        <f>IF(ISNA(VLOOKUP(A442,'Award Abstract#'!B:B,1,FALSE)), "No", "Yes")</f>
        <v>No</v>
      </c>
      <c r="P442" s="29" t="str">
        <f>IF(ISNA(VLOOKUP(A442,'Award Abstract#'!E:E,1,FALSE)), "No", "Yes")</f>
        <v>No</v>
      </c>
      <c r="Q442" s="29" t="str">
        <f>IF(ISNA(VLOOKUP(A442,'Award Abstract#'!A:A,1,FALSE)), "No", "Yes")</f>
        <v>No</v>
      </c>
      <c r="R442" s="29" t="str">
        <f>IF(ISNA(VLOOKUP(A442,'Award Abstract#'!D:D,1,FALSE)), "No", "Yes")</f>
        <v>No</v>
      </c>
      <c r="S442" s="30" t="str">
        <f>VLOOKUP(A442, 'Session Data'!A:AA,27,false)</f>
        <v>Woman</v>
      </c>
      <c r="T442" s="90"/>
      <c r="U442" s="90"/>
      <c r="V442" s="31" t="str">
        <f>VLOOKUP(A442, 'Session Data'!A:AA,8,false)</f>
        <v>Elizabeth</v>
      </c>
      <c r="W442" s="32" t="str">
        <f>VLOOKUP(A442, 'Session Data'!A:AA,9,false)</f>
        <v>Brownlee</v>
      </c>
      <c r="X442" s="33" t="str">
        <f>VLOOKUP(A442, 'Session Data'!A:AA,12,false)</f>
        <v>Investigating Processing Speed in Aphasia</v>
      </c>
      <c r="Y442" s="34" t="str">
        <f>VLOOKUP(A442, 'Session Data'!A:AA,22,false)</f>
        <v>JoAnn</v>
      </c>
      <c r="Z442" s="34" t="str">
        <f>VLOOKUP(A442, 'Session Data'!A:AA,23,false)</f>
        <v>Silkes</v>
      </c>
      <c r="AA442" s="34" t="str">
        <f>VLOOKUP(A442, 'Session Data'!A:AA,25,false)</f>
        <v>Health and Human Services</v>
      </c>
      <c r="AB442" s="34" t="str">
        <f>VLOOKUP(A442, 'Session Data'!A:AA,24,false)</f>
        <v>jsilkes@sdsu.edu</v>
      </c>
      <c r="AC442" s="34" t="str">
        <f>VLOOKUP(A442, 'Session Data'!A:AA,16,false)</f>
        <v>Kathryn</v>
      </c>
      <c r="AD442" s="35" t="str">
        <f>VLOOKUP(A442, 'Session Data'!A:U,17,false)</f>
        <v>Avila</v>
      </c>
      <c r="AE442" s="35" t="str">
        <f>VLOOKUP(A442, 'Session Data'!A:U,18,false)</f>
        <v>Ava</v>
      </c>
      <c r="AF442" s="35" t="str">
        <f>VLOOKUP(A442, 'Session Data'!A:U,19,false)</f>
        <v>Guerra</v>
      </c>
      <c r="AG442" s="35" t="str">
        <f>VLOOKUP(A442, 'Session Data'!A:U,20,false)</f>
        <v/>
      </c>
      <c r="AH442" s="35" t="str">
        <f>VLOOKUP(A442, 'Session Data'!A:U,21,false)</f>
        <v/>
      </c>
      <c r="AI442" s="92"/>
      <c r="AJ442" s="75"/>
      <c r="AK442" s="75"/>
      <c r="AL442" s="75"/>
      <c r="AM442" s="34" t="str">
        <f>VLOOKUP(A442, 'Session Data'!A:AA,10,false)</f>
        <v>csen7960@sdsu.edu</v>
      </c>
      <c r="AN442" s="93"/>
      <c r="AO442" s="94"/>
      <c r="AP442" s="94"/>
      <c r="AQ442" s="94"/>
      <c r="AR442" s="94"/>
      <c r="AS442" s="94"/>
      <c r="AT442" s="94"/>
      <c r="AU442" s="94"/>
      <c r="AV442" s="94"/>
      <c r="AW442" s="94"/>
      <c r="AX442" s="94"/>
      <c r="AY442" s="95"/>
      <c r="AZ442" s="94"/>
      <c r="BA442" s="94"/>
      <c r="BB442" s="94"/>
      <c r="BC442" s="95"/>
      <c r="BD442" s="95"/>
      <c r="BE442" s="96"/>
      <c r="BF442" s="94"/>
      <c r="BG442" s="95"/>
    </row>
    <row r="443">
      <c r="A443" s="19" t="s">
        <v>514</v>
      </c>
      <c r="B443" s="20">
        <f>VLOOKUP(F443,'Session Count DO NOT EDIT'!$A:$C,3,FALSE)</f>
        <v>5</v>
      </c>
      <c r="C443" s="20">
        <f>COUNTIFS('Scores Import DO NOT EDIT'!D:D,A443)</f>
        <v>4</v>
      </c>
      <c r="D443" s="21">
        <f t="shared" si="1"/>
        <v>0.8</v>
      </c>
      <c r="E443" s="22">
        <f>AVERAGEIFS('Scores Import DO NOT EDIT'!L:L,'Scores Import DO NOT EDIT'!D:D,A443)</f>
        <v>32</v>
      </c>
      <c r="F443" s="23" t="str">
        <f>VLOOKUP(A443, 'Session Data'!A:M,3,false)</f>
        <v>I-1</v>
      </c>
      <c r="G443" s="24" t="str">
        <f>VLOOKUP(A443, 'Session Data'!A:I,2,false)</f>
        <v>3:00 PM</v>
      </c>
      <c r="H443" s="23" t="str">
        <f>VLOOKUP(A443, 'Session Data'!A:J,5,false)</f>
        <v>Behavioral and Social Sciences 1</v>
      </c>
      <c r="I443" s="25" t="str">
        <f>VLOOKUP(A443, 'Session Data'!A:H,4,false)</f>
        <v>Poster</v>
      </c>
      <c r="J443" s="26" t="str">
        <f>VLOOKUP(A443, 'Session Data'!A:AA,14,false)</f>
        <v>Undergraduate</v>
      </c>
      <c r="K443" s="27" t="str">
        <f>VLOOKUP(A443, 'Session Data'!A:AA,15,false)</f>
        <v>Health and Human Services</v>
      </c>
      <c r="L443" s="52" t="s">
        <v>73</v>
      </c>
      <c r="M443" s="29" t="str">
        <f>VLOOKUP(A443, 'Session Data'!A:K,11,false)</f>
        <v>Speech, Language, and Hearing Sciences</v>
      </c>
      <c r="N443" s="26" t="str">
        <f>IF(ISNA(VLOOKUP(A443, 'Award Abstract#'!C:C, 1, FALSE)), "No", "Yes")
</f>
        <v>No</v>
      </c>
      <c r="O443" s="29" t="str">
        <f>IF(ISNA(VLOOKUP(A443,'Award Abstract#'!B:B,1,FALSE)), "No", "Yes")</f>
        <v>No</v>
      </c>
      <c r="P443" s="29" t="str">
        <f>IF(ISNA(VLOOKUP(A443,'Award Abstract#'!E:E,1,FALSE)), "No", "Yes")</f>
        <v>No</v>
      </c>
      <c r="Q443" s="29" t="str">
        <f>IF(ISNA(VLOOKUP(A443,'Award Abstract#'!A:A,1,FALSE)), "No", "Yes")</f>
        <v>No</v>
      </c>
      <c r="R443" s="29" t="str">
        <f>IF(ISNA(VLOOKUP(A443,'Award Abstract#'!D:D,1,FALSE)), "No", "Yes")</f>
        <v>No</v>
      </c>
      <c r="S443" s="30" t="str">
        <f>VLOOKUP(A443, 'Session Data'!A:AA,27,false)</f>
        <v>Woman</v>
      </c>
      <c r="T443" s="84"/>
      <c r="U443" s="84"/>
      <c r="V443" s="31" t="str">
        <f>VLOOKUP(A443, 'Session Data'!A:AA,8,false)</f>
        <v>Alicia</v>
      </c>
      <c r="W443" s="32" t="str">
        <f>VLOOKUP(A443, 'Session Data'!A:AA,9,false)</f>
        <v>Linsky</v>
      </c>
      <c r="X443" s="33" t="str">
        <f>VLOOKUP(A443, 'Session Data'!A:AA,12,false)</f>
        <v>The Relationship between Cerebral Blood Flow and Language Impairment in Developmental Language Disorder</v>
      </c>
      <c r="Y443" s="34" t="str">
        <f>VLOOKUP(A443, 'Session Data'!A:AA,22,false)</f>
        <v>Tracy</v>
      </c>
      <c r="Z443" s="34" t="str">
        <f>VLOOKUP(A443, 'Session Data'!A:AA,23,false)</f>
        <v>Love</v>
      </c>
      <c r="AA443" s="34" t="str">
        <f>VLOOKUP(A443, 'Session Data'!A:AA,25,false)</f>
        <v>Health and Human Services</v>
      </c>
      <c r="AB443" s="34" t="str">
        <f>VLOOKUP(A443, 'Session Data'!A:AA,24,false)</f>
        <v>Tlove@sdsu.edu</v>
      </c>
      <c r="AC443" s="34" t="str">
        <f>VLOOKUP(A443, 'Session Data'!A:AA,16,false)</f>
        <v/>
      </c>
      <c r="AD443" s="35" t="str">
        <f>VLOOKUP(A443, 'Session Data'!A:U,17,false)</f>
        <v/>
      </c>
      <c r="AE443" s="35" t="str">
        <f>VLOOKUP(A443, 'Session Data'!A:U,18,false)</f>
        <v/>
      </c>
      <c r="AF443" s="35" t="str">
        <f>VLOOKUP(A443, 'Session Data'!A:U,19,false)</f>
        <v/>
      </c>
      <c r="AG443" s="35" t="str">
        <f>VLOOKUP(A443, 'Session Data'!A:U,20,false)</f>
        <v/>
      </c>
      <c r="AH443" s="35" t="str">
        <f>VLOOKUP(A443, 'Session Data'!A:U,21,false)</f>
        <v/>
      </c>
      <c r="AI443" s="34"/>
      <c r="AJ443" s="75"/>
      <c r="AK443" s="75"/>
      <c r="AL443" s="75"/>
      <c r="AM443" s="34" t="str">
        <f>VLOOKUP(A443, 'Session Data'!A:AA,10,false)</f>
        <v>alinsky2690@sdsu.edu</v>
      </c>
      <c r="AN443" s="46"/>
      <c r="AO443" s="48"/>
      <c r="AP443" s="48"/>
      <c r="AQ443" s="48"/>
      <c r="AR443" s="48"/>
      <c r="AS443" s="48"/>
      <c r="AT443" s="48"/>
      <c r="AU443" s="48"/>
      <c r="AV443" s="48"/>
      <c r="AW443" s="48"/>
      <c r="AX443" s="48"/>
      <c r="AY443" s="43"/>
      <c r="AZ443" s="48"/>
      <c r="BA443" s="48"/>
      <c r="BB443" s="48"/>
      <c r="BC443" s="43"/>
      <c r="BD443" s="43"/>
      <c r="BE443" s="44"/>
      <c r="BF443" s="48"/>
      <c r="BG443" s="43"/>
    </row>
    <row r="444">
      <c r="A444" s="19" t="s">
        <v>515</v>
      </c>
      <c r="B444" s="20">
        <f>VLOOKUP(F444,'Session Count DO NOT EDIT'!$A:$C,3,FALSE)</f>
        <v>5</v>
      </c>
      <c r="C444" s="20">
        <f>COUNTIFS('Scores Import DO NOT EDIT'!D:D,A444)</f>
        <v>4</v>
      </c>
      <c r="D444" s="21">
        <f t="shared" si="1"/>
        <v>0.8</v>
      </c>
      <c r="E444" s="22">
        <f>AVERAGEIFS('Scores Import DO NOT EDIT'!L:L,'Scores Import DO NOT EDIT'!D:D,A444)</f>
        <v>30.75</v>
      </c>
      <c r="F444" s="23" t="str">
        <f>VLOOKUP(A444, 'Session Data'!A:M,3,false)</f>
        <v>I-1</v>
      </c>
      <c r="G444" s="24" t="str">
        <f>VLOOKUP(A444, 'Session Data'!A:I,2,false)</f>
        <v>3:00 PM</v>
      </c>
      <c r="H444" s="23" t="str">
        <f>VLOOKUP(A444, 'Session Data'!A:J,5,false)</f>
        <v>Behavioral and Social Sciences 1</v>
      </c>
      <c r="I444" s="25" t="str">
        <f>VLOOKUP(A444, 'Session Data'!A:H,4,false)</f>
        <v>Poster</v>
      </c>
      <c r="J444" s="26" t="str">
        <f>VLOOKUP(A444, 'Session Data'!A:AA,14,false)</f>
        <v>Undergraduate</v>
      </c>
      <c r="K444" s="27" t="str">
        <f>VLOOKUP(A444, 'Session Data'!A:AA,15,false)</f>
        <v>Sciences</v>
      </c>
      <c r="L444" s="28" t="s">
        <v>73</v>
      </c>
      <c r="M444" s="29" t="str">
        <f>VLOOKUP(A444, 'Session Data'!A:K,11,false)</f>
        <v>Bachelor of Arts in Psychology</v>
      </c>
      <c r="N444" s="26" t="str">
        <f>IF(ISNA(VLOOKUP(A444, 'Award Abstract#'!C:C, 1, FALSE)), "No", "Yes")
</f>
        <v>No</v>
      </c>
      <c r="O444" s="29" t="str">
        <f>IF(ISNA(VLOOKUP(A444,'Award Abstract#'!B:B,1,FALSE)), "No", "Yes")</f>
        <v>No</v>
      </c>
      <c r="P444" s="29" t="str">
        <f>IF(ISNA(VLOOKUP(A444,'Award Abstract#'!E:E,1,FALSE)), "No", "Yes")</f>
        <v>No</v>
      </c>
      <c r="Q444" s="29" t="str">
        <f>IF(ISNA(VLOOKUP(A444,'Award Abstract#'!A:A,1,FALSE)), "No", "Yes")</f>
        <v>No</v>
      </c>
      <c r="R444" s="29" t="str">
        <f>IF(ISNA(VLOOKUP(A444,'Award Abstract#'!D:D,1,FALSE)), "No", "Yes")</f>
        <v>Yes</v>
      </c>
      <c r="S444" s="30" t="str">
        <f>VLOOKUP(A444, 'Session Data'!A:AA,27,false)</f>
        <v>Woman, Cisgender</v>
      </c>
      <c r="T444" s="84"/>
      <c r="U444" s="84"/>
      <c r="V444" s="31" t="str">
        <f>VLOOKUP(A444, 'Session Data'!A:AA,8,false)</f>
        <v>Melisa</v>
      </c>
      <c r="W444" s="32" t="str">
        <f>VLOOKUP(A444, 'Session Data'!A:AA,9,false)</f>
        <v>Gonzalez </v>
      </c>
      <c r="X444" s="33" t="str">
        <f>VLOOKUP(A444, 'Session Data'!A:AA,12,false)</f>
        <v>Pandemic-Related Disruptions to Childcare and English-Spanish Bilingual Language Acquisition</v>
      </c>
      <c r="Y444" s="34" t="str">
        <f>VLOOKUP(A444, 'Session Data'!A:AA,22,false)</f>
        <v>Margaret</v>
      </c>
      <c r="Z444" s="34" t="str">
        <f>VLOOKUP(A444, 'Session Data'!A:AA,23,false)</f>
        <v>Friend </v>
      </c>
      <c r="AA444" s="34" t="str">
        <f>VLOOKUP(A444, 'Session Data'!A:AA,25,false)</f>
        <v>Sciences</v>
      </c>
      <c r="AB444" s="34" t="str">
        <f>VLOOKUP(A444, 'Session Data'!A:AA,24,false)</f>
        <v>mfriend@sdsu.edu</v>
      </c>
      <c r="AC444" s="34" t="str">
        <f>VLOOKUP(A444, 'Session Data'!A:AA,16,false)</f>
        <v/>
      </c>
      <c r="AD444" s="35" t="str">
        <f>VLOOKUP(A444, 'Session Data'!A:U,17,false)</f>
        <v/>
      </c>
      <c r="AE444" s="35" t="str">
        <f>VLOOKUP(A444, 'Session Data'!A:U,18,false)</f>
        <v/>
      </c>
      <c r="AF444" s="35" t="str">
        <f>VLOOKUP(A444, 'Session Data'!A:U,19,false)</f>
        <v/>
      </c>
      <c r="AG444" s="35" t="str">
        <f>VLOOKUP(A444, 'Session Data'!A:U,20,false)</f>
        <v/>
      </c>
      <c r="AH444" s="35" t="str">
        <f>VLOOKUP(A444, 'Session Data'!A:U,21,false)</f>
        <v/>
      </c>
      <c r="AI444" s="34"/>
      <c r="AJ444" s="75"/>
      <c r="AK444" s="75"/>
      <c r="AL444" s="75"/>
      <c r="AM444" s="34" t="str">
        <f>VLOOKUP(A444, 'Session Data'!A:AA,10,false)</f>
        <v>mgonzalez8197@sdsu.edu</v>
      </c>
      <c r="AN444" s="46"/>
      <c r="AO444" s="43"/>
      <c r="AP444" s="48"/>
      <c r="AQ444" s="48"/>
      <c r="AR444" s="48"/>
      <c r="AS444" s="48"/>
      <c r="AT444" s="48"/>
      <c r="AU444" s="48"/>
      <c r="AV444" s="48"/>
      <c r="AW444" s="48"/>
      <c r="AX444" s="48"/>
      <c r="AY444" s="43"/>
      <c r="AZ444" s="48"/>
      <c r="BA444" s="48"/>
      <c r="BB444" s="48"/>
      <c r="BC444" s="43"/>
      <c r="BD444" s="43"/>
      <c r="BE444" s="44"/>
      <c r="BF444" s="48"/>
      <c r="BG444" s="43"/>
    </row>
    <row r="445">
      <c r="A445" s="19" t="s">
        <v>516</v>
      </c>
      <c r="B445" s="20">
        <f>VLOOKUP(F445,'Session Count DO NOT EDIT'!$A:$C,3,FALSE)</f>
        <v>5</v>
      </c>
      <c r="C445" s="20">
        <f>COUNTIFS('Scores Import DO NOT EDIT'!D:D,A445)</f>
        <v>5</v>
      </c>
      <c r="D445" s="21">
        <f t="shared" si="1"/>
        <v>1</v>
      </c>
      <c r="E445" s="22">
        <f>AVERAGEIFS('Scores Import DO NOT EDIT'!L:L,'Scores Import DO NOT EDIT'!D:D,A445)</f>
        <v>26.4</v>
      </c>
      <c r="F445" s="23" t="str">
        <f>VLOOKUP(A445, 'Session Data'!A:M,3,false)</f>
        <v>I-1</v>
      </c>
      <c r="G445" s="24" t="str">
        <f>VLOOKUP(A445, 'Session Data'!A:I,2,false)</f>
        <v>3:00 PM</v>
      </c>
      <c r="H445" s="23" t="str">
        <f>VLOOKUP(A445, 'Session Data'!A:J,5,false)</f>
        <v>Behavioral and Social Sciences 1</v>
      </c>
      <c r="I445" s="25" t="str">
        <f>VLOOKUP(A445, 'Session Data'!A:H,4,false)</f>
        <v>Poster</v>
      </c>
      <c r="J445" s="26" t="str">
        <f>VLOOKUP(A445, 'Session Data'!A:AA,14,false)</f>
        <v>Undergraduate</v>
      </c>
      <c r="K445" s="27" t="str">
        <f>VLOOKUP(A445, 'Session Data'!A:AA,15,false)</f>
        <v>Professional Studies and Fine Arts</v>
      </c>
      <c r="L445" s="47"/>
      <c r="M445" s="29" t="str">
        <f>VLOOKUP(A445, 'Session Data'!A:K,11,false)</f>
        <v>Bachelor of Science in Criminal Justice</v>
      </c>
      <c r="N445" s="26" t="str">
        <f>IF(ISNA(VLOOKUP(A445, 'Award Abstract#'!C:C, 1, FALSE)), "No", "Yes")
</f>
        <v>No</v>
      </c>
      <c r="O445" s="29" t="str">
        <f>IF(ISNA(VLOOKUP(A445,'Award Abstract#'!B:B,1,FALSE)), "No", "Yes")</f>
        <v>No</v>
      </c>
      <c r="P445" s="29" t="str">
        <f>IF(ISNA(VLOOKUP(A445,'Award Abstract#'!E:E,1,FALSE)), "No", "Yes")</f>
        <v>Yes</v>
      </c>
      <c r="Q445" s="29" t="str">
        <f>IF(ISNA(VLOOKUP(A445,'Award Abstract#'!A:A,1,FALSE)), "No", "Yes")</f>
        <v>No</v>
      </c>
      <c r="R445" s="29" t="str">
        <f>IF(ISNA(VLOOKUP(A445,'Award Abstract#'!D:D,1,FALSE)), "No", "Yes")</f>
        <v>Yes</v>
      </c>
      <c r="S445" s="30" t="str">
        <f>VLOOKUP(A445, 'Session Data'!A:AA,27,false)</f>
        <v>Man</v>
      </c>
      <c r="T445" s="84"/>
      <c r="U445" s="84"/>
      <c r="V445" s="31" t="str">
        <f>VLOOKUP(A445, 'Session Data'!A:AA,8,false)</f>
        <v>Jonathan</v>
      </c>
      <c r="W445" s="32" t="str">
        <f>VLOOKUP(A445, 'Session Data'!A:AA,9,false)</f>
        <v>Zepeda Rodriguez</v>
      </c>
      <c r="X445" s="33" t="str">
        <f>VLOOKUP(A445, 'Session Data'!A:AA,12,false)</f>
        <v>Who am I? American Indian Youth</v>
      </c>
      <c r="Y445" s="34" t="str">
        <f>VLOOKUP(A445, 'Session Data'!A:AA,22,false)</f>
        <v>Erica</v>
      </c>
      <c r="Z445" s="34" t="str">
        <f>VLOOKUP(A445, 'Session Data'!A:AA,23,false)</f>
        <v>Redner-Vera</v>
      </c>
      <c r="AA445" s="34" t="str">
        <f>VLOOKUP(A445, 'Session Data'!A:AA,25,false)</f>
        <v>Professional Studies and Fine Arts</v>
      </c>
      <c r="AB445" s="34" t="str">
        <f>VLOOKUP(A445, 'Session Data'!A:AA,24,false)</f>
        <v>erednervera@sdsu.edu</v>
      </c>
      <c r="AC445" s="34" t="str">
        <f>VLOOKUP(A445, 'Session Data'!A:AA,16,false)</f>
        <v/>
      </c>
      <c r="AD445" s="35" t="str">
        <f>VLOOKUP(A445, 'Session Data'!A:U,17,false)</f>
        <v/>
      </c>
      <c r="AE445" s="35" t="str">
        <f>VLOOKUP(A445, 'Session Data'!A:U,18,false)</f>
        <v/>
      </c>
      <c r="AF445" s="35" t="str">
        <f>VLOOKUP(A445, 'Session Data'!A:U,19,false)</f>
        <v/>
      </c>
      <c r="AG445" s="35" t="str">
        <f>VLOOKUP(A445, 'Session Data'!A:U,20,false)</f>
        <v/>
      </c>
      <c r="AH445" s="35" t="str">
        <f>VLOOKUP(A445, 'Session Data'!A:U,21,false)</f>
        <v/>
      </c>
      <c r="AI445" s="34"/>
      <c r="AJ445" s="75"/>
      <c r="AK445" s="75"/>
      <c r="AL445" s="75"/>
      <c r="AM445" s="34" t="str">
        <f>VLOOKUP(A445, 'Session Data'!A:AA,10,false)</f>
        <v>jzepeda8553@sdsu.edu</v>
      </c>
      <c r="AN445" s="46"/>
      <c r="AO445" s="48"/>
      <c r="AP445" s="48"/>
      <c r="AQ445" s="48"/>
      <c r="AR445" s="48"/>
      <c r="AS445" s="48"/>
      <c r="AT445" s="48"/>
      <c r="AU445" s="48"/>
      <c r="AV445" s="48"/>
      <c r="AW445" s="48"/>
      <c r="AX445" s="48"/>
      <c r="AY445" s="43"/>
      <c r="AZ445" s="48"/>
      <c r="BA445" s="48"/>
      <c r="BB445" s="48"/>
      <c r="BC445" s="43"/>
      <c r="BD445" s="43"/>
      <c r="BE445" s="44"/>
      <c r="BF445" s="48"/>
      <c r="BG445" s="43"/>
    </row>
    <row r="446">
      <c r="A446" s="19" t="s">
        <v>517</v>
      </c>
      <c r="B446" s="20">
        <f>VLOOKUP(F446,'Session Count DO NOT EDIT'!$A:$C,3,FALSE)</f>
        <v>5</v>
      </c>
      <c r="C446" s="20">
        <f>COUNTIFS('Scores Import DO NOT EDIT'!D:D,A446)</f>
        <v>5</v>
      </c>
      <c r="D446" s="21">
        <f t="shared" si="1"/>
        <v>1</v>
      </c>
      <c r="E446" s="22">
        <f>AVERAGEIFS('Scores Import DO NOT EDIT'!L:L,'Scores Import DO NOT EDIT'!D:D,A446)</f>
        <v>25.4</v>
      </c>
      <c r="F446" s="23" t="str">
        <f>VLOOKUP(A446, 'Session Data'!A:M,3,false)</f>
        <v>I-1</v>
      </c>
      <c r="G446" s="24" t="str">
        <f>VLOOKUP(A446, 'Session Data'!A:I,2,false)</f>
        <v>3:00 PM</v>
      </c>
      <c r="H446" s="23" t="str">
        <f>VLOOKUP(A446, 'Session Data'!A:J,5,false)</f>
        <v>Behavioral and Social Sciences 1</v>
      </c>
      <c r="I446" s="25" t="str">
        <f>VLOOKUP(A446, 'Session Data'!A:H,4,false)</f>
        <v>Poster</v>
      </c>
      <c r="J446" s="26" t="str">
        <f>VLOOKUP(A446, 'Session Data'!A:AA,14,false)</f>
        <v>Undergraduate</v>
      </c>
      <c r="K446" s="27" t="str">
        <f>VLOOKUP(A446, 'Session Data'!A:AA,15,false)</f>
        <v>Sciences</v>
      </c>
      <c r="L446" s="49"/>
      <c r="M446" s="29" t="str">
        <f>VLOOKUP(A446, 'Session Data'!A:K,11,false)</f>
        <v>Bachelor of Arts in Psychology</v>
      </c>
      <c r="N446" s="26" t="str">
        <f>IF(ISNA(VLOOKUP(A446, 'Award Abstract#'!C:C, 1, FALSE)), "No", "Yes")
</f>
        <v>No</v>
      </c>
      <c r="O446" s="29" t="str">
        <f>IF(ISNA(VLOOKUP(A446,'Award Abstract#'!B:B,1,FALSE)), "No", "Yes")</f>
        <v>No</v>
      </c>
      <c r="P446" s="29" t="str">
        <f>IF(ISNA(VLOOKUP(A446,'Award Abstract#'!E:E,1,FALSE)), "No", "Yes")</f>
        <v>No</v>
      </c>
      <c r="Q446" s="29" t="str">
        <f>IF(ISNA(VLOOKUP(A446,'Award Abstract#'!A:A,1,FALSE)), "No", "Yes")</f>
        <v>No</v>
      </c>
      <c r="R446" s="29" t="str">
        <f>IF(ISNA(VLOOKUP(A446,'Award Abstract#'!D:D,1,FALSE)), "No", "Yes")</f>
        <v>Yes</v>
      </c>
      <c r="S446" s="30" t="str">
        <f>VLOOKUP(A446, 'Session Data'!A:AA,27,false)</f>
        <v>Woman</v>
      </c>
      <c r="T446" s="84"/>
      <c r="U446" s="84"/>
      <c r="V446" s="31" t="str">
        <f>VLOOKUP(A446, 'Session Data'!A:AA,8,false)</f>
        <v>Brianna</v>
      </c>
      <c r="W446" s="32" t="str">
        <f>VLOOKUP(A446, 'Session Data'!A:AA,9,false)</f>
        <v>Hostler</v>
      </c>
      <c r="X446" s="33" t="str">
        <f>VLOOKUP(A446, 'Session Data'!A:AA,12,false)</f>
        <v>Cervical Cancer Screening Interventions for Indian Women Living With HIV</v>
      </c>
      <c r="Y446" s="34" t="str">
        <f>VLOOKUP(A446, 'Session Data'!A:AA,22,false)</f>
        <v>Kristen</v>
      </c>
      <c r="Z446" s="34" t="str">
        <f>VLOOKUP(A446, 'Session Data'!A:AA,23,false)</f>
        <v>Wells</v>
      </c>
      <c r="AA446" s="34" t="str">
        <f>VLOOKUP(A446, 'Session Data'!A:AA,25,false)</f>
        <v>Sciences</v>
      </c>
      <c r="AB446" s="34"/>
      <c r="AC446" s="34" t="str">
        <f>VLOOKUP(A446, 'Session Data'!A:AA,16,false)</f>
        <v/>
      </c>
      <c r="AD446" s="35" t="str">
        <f>VLOOKUP(A446, 'Session Data'!A:U,17,false)</f>
        <v/>
      </c>
      <c r="AE446" s="35" t="str">
        <f>VLOOKUP(A446, 'Session Data'!A:U,18,false)</f>
        <v/>
      </c>
      <c r="AF446" s="35" t="str">
        <f>VLOOKUP(A446, 'Session Data'!A:U,19,false)</f>
        <v/>
      </c>
      <c r="AG446" s="35" t="str">
        <f>VLOOKUP(A446, 'Session Data'!A:U,20,false)</f>
        <v/>
      </c>
      <c r="AH446" s="35" t="str">
        <f>VLOOKUP(A446, 'Session Data'!A:U,21,false)</f>
        <v/>
      </c>
      <c r="AI446" s="34"/>
      <c r="AJ446" s="75"/>
      <c r="AK446" s="75"/>
      <c r="AL446" s="75"/>
      <c r="AM446" s="34" t="str">
        <f>VLOOKUP(A446, 'Session Data'!A:AA,10,false)</f>
        <v>bhostler1829@sdsu.edu</v>
      </c>
      <c r="AN446" s="46"/>
      <c r="AO446" s="43"/>
      <c r="AP446" s="43"/>
      <c r="AQ446" s="48"/>
      <c r="AR446" s="48"/>
      <c r="AS446" s="48"/>
      <c r="AT446" s="48"/>
      <c r="AU446" s="48"/>
      <c r="AV446" s="48"/>
      <c r="AW446" s="48"/>
      <c r="AX446" s="48"/>
      <c r="AY446" s="43"/>
      <c r="AZ446" s="48"/>
      <c r="BA446" s="48"/>
      <c r="BB446" s="48"/>
      <c r="BC446" s="43"/>
      <c r="BD446" s="43"/>
      <c r="BE446" s="44"/>
      <c r="BF446" s="48"/>
      <c r="BG446" s="46"/>
    </row>
    <row r="447">
      <c r="A447" s="78" t="s">
        <v>518</v>
      </c>
      <c r="B447" s="20">
        <f>VLOOKUP(F447,'Session Count DO NOT EDIT'!$A:$C,3,FALSE)</f>
        <v>5</v>
      </c>
      <c r="C447" s="20">
        <f>COUNTIFS('Scores Import DO NOT EDIT'!D:D,A447)</f>
        <v>0</v>
      </c>
      <c r="D447" s="21">
        <f t="shared" si="1"/>
        <v>0</v>
      </c>
      <c r="E447" s="22" t="str">
        <f>AVERAGEIFS('Scores Import DO NOT EDIT'!L:L,'Scores Import DO NOT EDIT'!D:D,A447)</f>
        <v>#DIV/0!</v>
      </c>
      <c r="F447" s="23" t="str">
        <f>VLOOKUP(A447, 'Session Data'!A:M,3,false)</f>
        <v>I-10</v>
      </c>
      <c r="G447" s="24" t="str">
        <f>VLOOKUP(A447, 'Session Data'!A:I,2,false)</f>
        <v>3:00 PM</v>
      </c>
      <c r="H447" s="23" t="str">
        <f>VLOOKUP(A447, 'Session Data'!A:J,5,false)</f>
        <v>Humanities, History, Literature, Philosphy</v>
      </c>
      <c r="I447" s="25" t="str">
        <f>VLOOKUP(A447, 'Session Data'!A:H,4,false)</f>
        <v>Poster</v>
      </c>
      <c r="J447" s="26" t="str">
        <f>VLOOKUP(A447, 'Session Data'!A:AA,14,false)</f>
        <v>Master's</v>
      </c>
      <c r="K447" s="27" t="str">
        <f>VLOOKUP(A447, 'Session Data'!A:AA,15,false)</f>
        <v>Arts and Letters</v>
      </c>
      <c r="L447" s="47"/>
      <c r="M447" s="29" t="str">
        <f>VLOOKUP(A447, 'Session Data'!A:K,11,false)</f>
        <v>Master of Arts in Linguistics</v>
      </c>
      <c r="N447" s="26" t="str">
        <f>IF(ISNA(VLOOKUP(A447, 'Award Abstract#'!C:C, 1, FALSE)), "No", "Yes")
</f>
        <v>No</v>
      </c>
      <c r="O447" s="29" t="str">
        <f>IF(ISNA(VLOOKUP(A447,'Award Abstract#'!B:B,1,FALSE)), "No", "Yes")</f>
        <v>Yes</v>
      </c>
      <c r="P447" s="29" t="str">
        <f>IF(ISNA(VLOOKUP(A447,'Award Abstract#'!E:E,1,FALSE)), "No", "Yes")</f>
        <v>No</v>
      </c>
      <c r="Q447" s="29" t="str">
        <f>IF(ISNA(VLOOKUP(A447,'Award Abstract#'!A:A,1,FALSE)), "No", "Yes")</f>
        <v>No</v>
      </c>
      <c r="R447" s="29" t="str">
        <f>IF(ISNA(VLOOKUP(A447,'Award Abstract#'!D:D,1,FALSE)), "No", "Yes")</f>
        <v>Yes</v>
      </c>
      <c r="S447" s="30" t="str">
        <f>VLOOKUP(A447, 'Session Data'!A:AA,27,false)</f>
        <v>Woman</v>
      </c>
      <c r="T447" s="84"/>
      <c r="U447" s="84"/>
      <c r="V447" s="31" t="str">
        <f>VLOOKUP(A447, 'Session Data'!A:AA,8,false)</f>
        <v>Jill</v>
      </c>
      <c r="W447" s="32" t="str">
        <f>VLOOKUP(A447, 'Session Data'!A:AA,9,false)</f>
        <v>Van Wormer</v>
      </c>
      <c r="X447" s="33" t="str">
        <f>VLOOKUP(A447, 'Session Data'!A:AA,12,false)</f>
        <v>Flora and Fauna Lexical Indicators for Prehistoric Movement of Yuman Peoples</v>
      </c>
      <c r="Y447" s="34" t="str">
        <f>VLOOKUP(A447, 'Session Data'!A:AA,22,false)</f>
        <v>Margaret </v>
      </c>
      <c r="Z447" s="34" t="str">
        <f>VLOOKUP(A447, 'Session Data'!A:AA,23,false)</f>
        <v>Field</v>
      </c>
      <c r="AA447" s="34" t="str">
        <f>VLOOKUP(A447, 'Session Data'!A:AA,25,false)</f>
        <v>Arts and Letters</v>
      </c>
      <c r="AB447" s="34" t="str">
        <f>VLOOKUP(A447, 'Session Data'!A:AA,24,false)</f>
        <v>mfield@sdsu.edu</v>
      </c>
      <c r="AC447" s="34" t="str">
        <f>VLOOKUP(A447, 'Session Data'!A:AA,16,false)</f>
        <v/>
      </c>
      <c r="AD447" s="35" t="str">
        <f>VLOOKUP(A447, 'Session Data'!A:U,17,false)</f>
        <v/>
      </c>
      <c r="AE447" s="35" t="str">
        <f>VLOOKUP(A447, 'Session Data'!A:U,18,false)</f>
        <v/>
      </c>
      <c r="AF447" s="35" t="str">
        <f>VLOOKUP(A447, 'Session Data'!A:U,19,false)</f>
        <v/>
      </c>
      <c r="AG447" s="35" t="str">
        <f>VLOOKUP(A447, 'Session Data'!A:U,20,false)</f>
        <v/>
      </c>
      <c r="AH447" s="35" t="str">
        <f>VLOOKUP(A447, 'Session Data'!A:U,21,false)</f>
        <v/>
      </c>
      <c r="AI447" s="34"/>
      <c r="AJ447" s="35"/>
      <c r="AK447" s="35"/>
      <c r="AL447" s="34"/>
      <c r="AM447" s="34" t="str">
        <f>VLOOKUP(A447, 'Session Data'!A:AA,10,false)</f>
        <v>jvanwormer3084@sdsu.edu</v>
      </c>
      <c r="AN447" s="46"/>
      <c r="AO447" s="48"/>
      <c r="AP447" s="48"/>
      <c r="AQ447" s="48"/>
      <c r="AR447" s="48"/>
      <c r="AS447" s="48"/>
      <c r="AT447" s="48"/>
      <c r="AU447" s="48"/>
      <c r="AV447" s="48"/>
      <c r="AW447" s="48"/>
      <c r="AX447" s="48"/>
      <c r="AY447" s="43"/>
      <c r="AZ447" s="48"/>
      <c r="BA447" s="48"/>
      <c r="BB447" s="48"/>
      <c r="BC447" s="43"/>
      <c r="BD447" s="43"/>
      <c r="BE447" s="44"/>
      <c r="BF447" s="48"/>
      <c r="BG447" s="43"/>
    </row>
    <row r="448">
      <c r="A448" s="19" t="s">
        <v>519</v>
      </c>
      <c r="B448" s="20">
        <f>VLOOKUP(F448,'Session Count DO NOT EDIT'!$A:$C,3,FALSE)</f>
        <v>5</v>
      </c>
      <c r="C448" s="20">
        <f>COUNTIFS('Scores Import DO NOT EDIT'!D:D,A448)</f>
        <v>4</v>
      </c>
      <c r="D448" s="21">
        <f t="shared" si="1"/>
        <v>0.8</v>
      </c>
      <c r="E448" s="22">
        <f>AVERAGEIFS('Scores Import DO NOT EDIT'!L:L,'Scores Import DO NOT EDIT'!D:D,A448)</f>
        <v>30</v>
      </c>
      <c r="F448" s="23" t="str">
        <f>VLOOKUP(A448, 'Session Data'!A:M,3,false)</f>
        <v>I-10</v>
      </c>
      <c r="G448" s="24" t="str">
        <f>VLOOKUP(A448, 'Session Data'!A:I,2,false)</f>
        <v>3:00 PM</v>
      </c>
      <c r="H448" s="23" t="str">
        <f>VLOOKUP(A448, 'Session Data'!A:J,5,false)</f>
        <v>Humanities, History, Literature, Philosphy</v>
      </c>
      <c r="I448" s="25" t="str">
        <f>VLOOKUP(A448, 'Session Data'!A:H,4,false)</f>
        <v>Poster</v>
      </c>
      <c r="J448" s="26" t="str">
        <f>VLOOKUP(A448, 'Session Data'!A:AA,14,false)</f>
        <v>Master's</v>
      </c>
      <c r="K448" s="27" t="str">
        <f>VLOOKUP(A448, 'Session Data'!A:AA,15,false)</f>
        <v>Arts and Letters</v>
      </c>
      <c r="L448" s="88" t="s">
        <v>365</v>
      </c>
      <c r="M448" s="29" t="str">
        <f>VLOOKUP(A448, 'Session Data'!A:K,11,false)</f>
        <v>Master's in Women's Studies</v>
      </c>
      <c r="N448" s="26" t="str">
        <f>IF(ISNA(VLOOKUP(A448, 'Award Abstract#'!C:C, 1, FALSE)), "No", "Yes")
</f>
        <v>No</v>
      </c>
      <c r="O448" s="29" t="str">
        <f>IF(ISNA(VLOOKUP(A448,'Award Abstract#'!B:B,1,FALSE)), "No", "Yes")</f>
        <v>No</v>
      </c>
      <c r="P448" s="29" t="str">
        <f>IF(ISNA(VLOOKUP(A448,'Award Abstract#'!E:E,1,FALSE)), "No", "Yes")</f>
        <v>No</v>
      </c>
      <c r="Q448" s="29" t="str">
        <f>IF(ISNA(VLOOKUP(A448,'Award Abstract#'!A:A,1,FALSE)), "No", "Yes")</f>
        <v>Yes</v>
      </c>
      <c r="R448" s="29" t="str">
        <f>IF(ISNA(VLOOKUP(A448,'Award Abstract#'!D:D,1,FALSE)), "No", "Yes")</f>
        <v>No</v>
      </c>
      <c r="S448" s="30" t="str">
        <f>VLOOKUP(A448, 'Session Data'!A:AA,27,false)</f>
        <v>Woman, Non-binary/non-conforming, she/they pronouns</v>
      </c>
      <c r="T448" s="84"/>
      <c r="U448" s="84"/>
      <c r="V448" s="31" t="str">
        <f>VLOOKUP(A448, 'Session Data'!A:AA,8,false)</f>
        <v>Aurora</v>
      </c>
      <c r="W448" s="32" t="str">
        <f>VLOOKUP(A448, 'Session Data'!A:AA,9,false)</f>
        <v>Valdez De La Torre</v>
      </c>
      <c r="X448" s="33" t="str">
        <f>VLOOKUP(A448, 'Session Data'!A:AA,12,false)</f>
        <v>Fear Embodied: Transforming Temor into Resistance Along the Borderlands</v>
      </c>
      <c r="Y448" s="34" t="str">
        <f>VLOOKUP(A448, 'Session Data'!A:AA,22,false)</f>
        <v>Dr. Irene</v>
      </c>
      <c r="Z448" s="34" t="str">
        <f>VLOOKUP(A448, 'Session Data'!A:AA,23,false)</f>
        <v>Lara</v>
      </c>
      <c r="AA448" s="34" t="str">
        <f>VLOOKUP(A448, 'Session Data'!A:AA,25,false)</f>
        <v>Arts and Letters</v>
      </c>
      <c r="AB448" s="34" t="str">
        <f>VLOOKUP(A448, 'Session Data'!A:AA,24,false)</f>
        <v>ilara@sdsu.edu</v>
      </c>
      <c r="AC448" s="34" t="str">
        <f>VLOOKUP(A448, 'Session Data'!A:AA,16,false)</f>
        <v/>
      </c>
      <c r="AD448" s="35" t="str">
        <f>VLOOKUP(A448, 'Session Data'!A:U,17,false)</f>
        <v/>
      </c>
      <c r="AE448" s="35" t="str">
        <f>VLOOKUP(A448, 'Session Data'!A:U,18,false)</f>
        <v/>
      </c>
      <c r="AF448" s="35" t="str">
        <f>VLOOKUP(A448, 'Session Data'!A:U,19,false)</f>
        <v/>
      </c>
      <c r="AG448" s="35" t="str">
        <f>VLOOKUP(A448, 'Session Data'!A:U,20,false)</f>
        <v/>
      </c>
      <c r="AH448" s="35" t="str">
        <f>VLOOKUP(A448, 'Session Data'!A:U,21,false)</f>
        <v/>
      </c>
      <c r="AI448" s="34"/>
      <c r="AJ448" s="35"/>
      <c r="AK448" s="35"/>
      <c r="AL448" s="34"/>
      <c r="AM448" s="34" t="str">
        <f>VLOOKUP(A448, 'Session Data'!A:AA,10,false)</f>
        <v>avaldezdelator1198@sdsu.edu</v>
      </c>
      <c r="AN448" s="46"/>
      <c r="AO448" s="48"/>
      <c r="AP448" s="48"/>
      <c r="AQ448" s="48"/>
      <c r="AR448" s="48"/>
      <c r="AS448" s="48"/>
      <c r="AT448" s="48"/>
      <c r="AU448" s="48"/>
      <c r="AV448" s="48"/>
      <c r="AW448" s="48"/>
      <c r="AX448" s="48"/>
      <c r="AY448" s="43"/>
      <c r="AZ448" s="48"/>
      <c r="BA448" s="48"/>
      <c r="BB448" s="48"/>
      <c r="BC448" s="43"/>
      <c r="BD448" s="43"/>
      <c r="BE448" s="44"/>
      <c r="BF448" s="48"/>
      <c r="BG448" s="43"/>
    </row>
    <row r="449">
      <c r="A449" s="19" t="s">
        <v>520</v>
      </c>
      <c r="B449" s="20">
        <f>VLOOKUP(F449,'Session Count DO NOT EDIT'!$A:$C,3,FALSE)</f>
        <v>5</v>
      </c>
      <c r="C449" s="20">
        <f>COUNTIFS('Scores Import DO NOT EDIT'!D:D,A449)</f>
        <v>4</v>
      </c>
      <c r="D449" s="21">
        <f t="shared" si="1"/>
        <v>0.8</v>
      </c>
      <c r="E449" s="22">
        <f>AVERAGEIFS('Scores Import DO NOT EDIT'!L:L,'Scores Import DO NOT EDIT'!D:D,A449)</f>
        <v>30</v>
      </c>
      <c r="F449" s="23" t="str">
        <f>VLOOKUP(A449, 'Session Data'!A:M,3,false)</f>
        <v>I-10</v>
      </c>
      <c r="G449" s="24" t="str">
        <f>VLOOKUP(A449, 'Session Data'!A:I,2,false)</f>
        <v>3:00 PM</v>
      </c>
      <c r="H449" s="23" t="str">
        <f>VLOOKUP(A449, 'Session Data'!A:J,5,false)</f>
        <v>Humanities, History, Literature, Philosphy</v>
      </c>
      <c r="I449" s="25" t="str">
        <f>VLOOKUP(A449, 'Session Data'!A:H,4,false)</f>
        <v>Poster</v>
      </c>
      <c r="J449" s="26" t="str">
        <f>VLOOKUP(A449, 'Session Data'!A:AA,14,false)</f>
        <v>Undergraduate</v>
      </c>
      <c r="K449" s="27" t="str">
        <f>VLOOKUP(A449, 'Session Data'!A:AA,15,false)</f>
        <v>Sciences</v>
      </c>
      <c r="L449" s="47"/>
      <c r="M449" s="29" t="str">
        <f>VLOOKUP(A449, 'Session Data'!A:K,11,false)</f>
        <v>Psychology </v>
      </c>
      <c r="N449" s="26" t="str">
        <f>IF(ISNA(VLOOKUP(A449, 'Award Abstract#'!C:C, 1, FALSE)), "No", "Yes")
</f>
        <v>No</v>
      </c>
      <c r="O449" s="29" t="str">
        <f>IF(ISNA(VLOOKUP(A449,'Award Abstract#'!B:B,1,FALSE)), "No", "Yes")</f>
        <v>No</v>
      </c>
      <c r="P449" s="29" t="str">
        <f>IF(ISNA(VLOOKUP(A449,'Award Abstract#'!E:E,1,FALSE)), "No", "Yes")</f>
        <v>No</v>
      </c>
      <c r="Q449" s="29" t="str">
        <f>IF(ISNA(VLOOKUP(A449,'Award Abstract#'!A:A,1,FALSE)), "No", "Yes")</f>
        <v>No</v>
      </c>
      <c r="R449" s="29" t="str">
        <f>IF(ISNA(VLOOKUP(A449,'Award Abstract#'!D:D,1,FALSE)), "No", "Yes")</f>
        <v>Yes</v>
      </c>
      <c r="S449" s="30" t="str">
        <f>VLOOKUP(A449, 'Session Data'!A:AA,27,false)</f>
        <v>Woman</v>
      </c>
      <c r="T449" s="84"/>
      <c r="U449" s="84"/>
      <c r="V449" s="31" t="str">
        <f>VLOOKUP(A449, 'Session Data'!A:AA,8,false)</f>
        <v>Justice </v>
      </c>
      <c r="W449" s="32" t="str">
        <f>VLOOKUP(A449, 'Session Data'!A:AA,9,false)</f>
        <v>Herrera</v>
      </c>
      <c r="X449" s="33" t="str">
        <f>VLOOKUP(A449, 'Session Data'!A:AA,12,false)</f>
        <v>The Experiences of Autistic Adults in the Workplace: Characterizing Disclosure, Accommodations, and Job Termination</v>
      </c>
      <c r="Y449" s="34" t="str">
        <f>VLOOKUP(A449, 'Session Data'!A:AA,22,false)</f>
        <v>Mary </v>
      </c>
      <c r="Z449" s="34" t="str">
        <f>VLOOKUP(A449, 'Session Data'!A:AA,23,false)</f>
        <v>Baker-Ericzen</v>
      </c>
      <c r="AA449" s="34" t="str">
        <f>VLOOKUP(A449, 'Session Data'!A:AA,25,false)</f>
        <v>Education</v>
      </c>
      <c r="AB449" s="34" t="str">
        <f>VLOOKUP(A449, 'Session Data'!A:AA,24,false)</f>
        <v>mbakerericzen@sdsu.edu</v>
      </c>
      <c r="AC449" s="34" t="str">
        <f>VLOOKUP(A449, 'Session Data'!A:AA,16,false)</f>
        <v/>
      </c>
      <c r="AD449" s="35" t="str">
        <f>VLOOKUP(A449, 'Session Data'!A:U,17,false)</f>
        <v/>
      </c>
      <c r="AE449" s="35" t="str">
        <f>VLOOKUP(A449, 'Session Data'!A:U,18,false)</f>
        <v/>
      </c>
      <c r="AF449" s="35" t="str">
        <f>VLOOKUP(A449, 'Session Data'!A:U,19,false)</f>
        <v/>
      </c>
      <c r="AG449" s="35" t="str">
        <f>VLOOKUP(A449, 'Session Data'!A:U,20,false)</f>
        <v/>
      </c>
      <c r="AH449" s="35" t="str">
        <f>VLOOKUP(A449, 'Session Data'!A:U,21,false)</f>
        <v/>
      </c>
      <c r="AI449" s="34"/>
      <c r="AJ449" s="35"/>
      <c r="AK449" s="35"/>
      <c r="AL449" s="34"/>
      <c r="AM449" s="34" t="str">
        <f>VLOOKUP(A449, 'Session Data'!A:AA,10,false)</f>
        <v>jherrera1156@sdsu.edu</v>
      </c>
      <c r="AN449" s="46"/>
      <c r="AO449" s="48"/>
      <c r="AP449" s="48"/>
      <c r="AQ449" s="48"/>
      <c r="AR449" s="48"/>
      <c r="AS449" s="48"/>
      <c r="AT449" s="48"/>
      <c r="AU449" s="48"/>
      <c r="AV449" s="48"/>
      <c r="AW449" s="48"/>
      <c r="AX449" s="48"/>
      <c r="AY449" s="43"/>
      <c r="AZ449" s="48"/>
      <c r="BA449" s="48"/>
      <c r="BB449" s="48"/>
      <c r="BC449" s="43"/>
      <c r="BD449" s="43"/>
      <c r="BE449" s="44"/>
      <c r="BF449" s="48"/>
      <c r="BG449" s="43"/>
    </row>
    <row r="450">
      <c r="A450" s="19" t="s">
        <v>521</v>
      </c>
      <c r="B450" s="20">
        <f>VLOOKUP(F450,'Session Count DO NOT EDIT'!$A:$C,3,FALSE)</f>
        <v>5</v>
      </c>
      <c r="C450" s="20">
        <f>COUNTIFS('Scores Import DO NOT EDIT'!D:D,A450)</f>
        <v>3</v>
      </c>
      <c r="D450" s="21">
        <f t="shared" si="1"/>
        <v>0.6</v>
      </c>
      <c r="E450" s="22">
        <f>AVERAGEIFS('Scores Import DO NOT EDIT'!L:L,'Scores Import DO NOT EDIT'!D:D,A450)</f>
        <v>28</v>
      </c>
      <c r="F450" s="23" t="str">
        <f>VLOOKUP(A450, 'Session Data'!A:M,3,false)</f>
        <v>I-10</v>
      </c>
      <c r="G450" s="24" t="str">
        <f>VLOOKUP(A450, 'Session Data'!A:I,2,false)</f>
        <v>3:00 PM</v>
      </c>
      <c r="H450" s="23" t="str">
        <f>VLOOKUP(A450, 'Session Data'!A:J,5,false)</f>
        <v>Humanities, History, Literature, Philosphy</v>
      </c>
      <c r="I450" s="25" t="str">
        <f>VLOOKUP(A450, 'Session Data'!A:H,4,false)</f>
        <v>Poster</v>
      </c>
      <c r="J450" s="26" t="str">
        <f>VLOOKUP(A450, 'Session Data'!A:AA,14,false)</f>
        <v>Undergraduate</v>
      </c>
      <c r="K450" s="27" t="str">
        <f>VLOOKUP(A450, 'Session Data'!A:AA,15,false)</f>
        <v>Professional Studies and Fine Arts</v>
      </c>
      <c r="L450" s="28" t="s">
        <v>324</v>
      </c>
      <c r="M450" s="29" t="str">
        <f>VLOOKUP(A450, 'Session Data'!A:K,11,false)</f>
        <v>Bachelor of Science Emphasis in Critical Studies</v>
      </c>
      <c r="N450" s="26" t="str">
        <f>IF(ISNA(VLOOKUP(A450, 'Award Abstract#'!C:C, 1, FALSE)), "No", "Yes")
</f>
        <v>No</v>
      </c>
      <c r="O450" s="29" t="str">
        <f>IF(ISNA(VLOOKUP(A450,'Award Abstract#'!B:B,1,FALSE)), "No", "Yes")</f>
        <v>No</v>
      </c>
      <c r="P450" s="29" t="str">
        <f>IF(ISNA(VLOOKUP(A450,'Award Abstract#'!E:E,1,FALSE)), "No", "Yes")</f>
        <v>No</v>
      </c>
      <c r="Q450" s="29" t="str">
        <f>IF(ISNA(VLOOKUP(A450,'Award Abstract#'!A:A,1,FALSE)), "No", "Yes")</f>
        <v>No</v>
      </c>
      <c r="R450" s="29" t="str">
        <f>IF(ISNA(VLOOKUP(A450,'Award Abstract#'!D:D,1,FALSE)), "No", "Yes")</f>
        <v>Yes</v>
      </c>
      <c r="S450" s="30" t="str">
        <f>VLOOKUP(A450, 'Session Data'!A:AA,27,false)</f>
        <v>Man</v>
      </c>
      <c r="T450" s="84"/>
      <c r="U450" s="84"/>
      <c r="V450" s="31" t="str">
        <f>VLOOKUP(A450, 'Session Data'!A:AA,8,false)</f>
        <v>Jose</v>
      </c>
      <c r="W450" s="32" t="str">
        <f>VLOOKUP(A450, 'Session Data'!A:AA,9,false)</f>
        <v>Ramos Alonso</v>
      </c>
      <c r="X450" s="33" t="str">
        <f>VLOOKUP(A450, 'Session Data'!A:AA,12,false)</f>
        <v>Life is Just a Bowl of Post-Racialism: The Black Discourse of Julia</v>
      </c>
      <c r="Y450" s="34" t="str">
        <f>VLOOKUP(A450, 'Session Data'!A:AA,22,false)</f>
        <v>Brie</v>
      </c>
      <c r="Z450" s="34" t="str">
        <f>VLOOKUP(A450, 'Session Data'!A:AA,23,false)</f>
        <v>Iatarola</v>
      </c>
      <c r="AA450" s="34" t="str">
        <f>VLOOKUP(A450, 'Session Data'!A:AA,25,false)</f>
        <v>UCSD</v>
      </c>
      <c r="AB450" s="34" t="str">
        <f>VLOOKUP(A450, 'Session Data'!A:AA,24,false)</f>
        <v>biatarola@sdsu.edu</v>
      </c>
      <c r="AC450" s="34" t="str">
        <f>VLOOKUP(A450, 'Session Data'!A:AA,16,false)</f>
        <v>Hannah</v>
      </c>
      <c r="AD450" s="35" t="str">
        <f>VLOOKUP(A450, 'Session Data'!A:U,17,false)</f>
        <v>Cecilio</v>
      </c>
      <c r="AE450" s="35" t="str">
        <f>VLOOKUP(A450, 'Session Data'!A:U,18,false)</f>
        <v/>
      </c>
      <c r="AF450" s="35" t="str">
        <f>VLOOKUP(A450, 'Session Data'!A:U,19,false)</f>
        <v/>
      </c>
      <c r="AG450" s="35" t="str">
        <f>VLOOKUP(A450, 'Session Data'!A:U,20,false)</f>
        <v/>
      </c>
      <c r="AH450" s="35" t="str">
        <f>VLOOKUP(A450, 'Session Data'!A:U,21,false)</f>
        <v/>
      </c>
      <c r="AI450" s="34"/>
      <c r="AJ450" s="35"/>
      <c r="AK450" s="35"/>
      <c r="AL450" s="34"/>
      <c r="AM450" s="34" t="str">
        <f>VLOOKUP(A450, 'Session Data'!A:AA,10,false)</f>
        <v>jramosalonso2714@sdsu.edu</v>
      </c>
      <c r="AN450" s="46"/>
      <c r="AO450" s="48"/>
      <c r="AP450" s="48"/>
      <c r="AQ450" s="48"/>
      <c r="AR450" s="48"/>
      <c r="AS450" s="48"/>
      <c r="AT450" s="48"/>
      <c r="AU450" s="48"/>
      <c r="AV450" s="48"/>
      <c r="AW450" s="48"/>
      <c r="AX450" s="48"/>
      <c r="AY450" s="43"/>
      <c r="AZ450" s="48"/>
      <c r="BA450" s="48"/>
      <c r="BB450" s="48"/>
      <c r="BC450" s="43"/>
      <c r="BD450" s="43"/>
      <c r="BE450" s="44"/>
      <c r="BF450" s="48"/>
      <c r="BG450" s="43"/>
    </row>
    <row r="451">
      <c r="A451" s="19" t="s">
        <v>522</v>
      </c>
      <c r="B451" s="20">
        <f>VLOOKUP(F451,'Session Count DO NOT EDIT'!$A:$C,3,FALSE)</f>
        <v>5</v>
      </c>
      <c r="C451" s="20">
        <f>COUNTIFS('Scores Import DO NOT EDIT'!D:D,A451)</f>
        <v>4</v>
      </c>
      <c r="D451" s="21">
        <f t="shared" si="1"/>
        <v>0.8</v>
      </c>
      <c r="E451" s="22">
        <f>AVERAGEIFS('Scores Import DO NOT EDIT'!L:L,'Scores Import DO NOT EDIT'!D:D,A451)</f>
        <v>27.25</v>
      </c>
      <c r="F451" s="23" t="str">
        <f>VLOOKUP(A451, 'Session Data'!A:M,3,false)</f>
        <v>I-10</v>
      </c>
      <c r="G451" s="24" t="str">
        <f>VLOOKUP(A451, 'Session Data'!A:I,2,false)</f>
        <v>3:00 PM</v>
      </c>
      <c r="H451" s="23" t="str">
        <f>VLOOKUP(A451, 'Session Data'!A:J,5,false)</f>
        <v>Humanities, History, Literature, Philosphy</v>
      </c>
      <c r="I451" s="25" t="str">
        <f>VLOOKUP(A451, 'Session Data'!A:H,4,false)</f>
        <v>Poster</v>
      </c>
      <c r="J451" s="26" t="str">
        <f>VLOOKUP(A451, 'Session Data'!A:AA,14,false)</f>
        <v>Undergraduate</v>
      </c>
      <c r="K451" s="27" t="str">
        <f>VLOOKUP(A451, 'Session Data'!A:AA,15,false)</f>
        <v>Education</v>
      </c>
      <c r="L451" s="47"/>
      <c r="M451" s="29" t="str">
        <f>VLOOKUP(A451, 'Session Data'!A:K,11,false)</f>
        <v>Bachelor of Arts in Applied Arts and Sciences </v>
      </c>
      <c r="N451" s="26" t="str">
        <f>IF(ISNA(VLOOKUP(A451, 'Award Abstract#'!C:C, 1, FALSE)), "No", "Yes")
</f>
        <v>No</v>
      </c>
      <c r="O451" s="29" t="str">
        <f>IF(ISNA(VLOOKUP(A451,'Award Abstract#'!B:B,1,FALSE)), "No", "Yes")</f>
        <v>No</v>
      </c>
      <c r="P451" s="29" t="str">
        <f>IF(ISNA(VLOOKUP(A451,'Award Abstract#'!E:E,1,FALSE)), "No", "Yes")</f>
        <v>No</v>
      </c>
      <c r="Q451" s="29" t="str">
        <f>IF(ISNA(VLOOKUP(A451,'Award Abstract#'!A:A,1,FALSE)), "No", "Yes")</f>
        <v>No</v>
      </c>
      <c r="R451" s="29" t="str">
        <f>IF(ISNA(VLOOKUP(A451,'Award Abstract#'!D:D,1,FALSE)), "No", "Yes")</f>
        <v>Yes</v>
      </c>
      <c r="S451" s="30" t="str">
        <f>VLOOKUP(A451, 'Session Data'!A:AA,27,false)</f>
        <v>Woman</v>
      </c>
      <c r="T451" s="84"/>
      <c r="U451" s="84"/>
      <c r="V451" s="31" t="str">
        <f>VLOOKUP(A451, 'Session Data'!A:AA,8,false)</f>
        <v>Kristen</v>
      </c>
      <c r="W451" s="32" t="str">
        <f>VLOOKUP(A451, 'Session Data'!A:AA,9,false)</f>
        <v>Rivera</v>
      </c>
      <c r="X451" s="33" t="str">
        <f>VLOOKUP(A451, 'Session Data'!A:AA,12,false)</f>
        <v>Madeline Miller: "The Song of Achilies" &amp; "Circe" </v>
      </c>
      <c r="Y451" s="34" t="str">
        <f>VLOOKUP(A451, 'Session Data'!A:AA,22,false)</f>
        <v> Jeanette </v>
      </c>
      <c r="Z451" s="34" t="str">
        <f>VLOOKUP(A451, 'Session Data'!A:AA,23,false)</f>
        <v>Shumaker</v>
      </c>
      <c r="AA451" s="34" t="str">
        <f>VLOOKUP(A451, 'Session Data'!A:AA,25,false)</f>
        <v>SDSU Imperial Valley</v>
      </c>
      <c r="AB451" s="34" t="str">
        <f>VLOOKUP(A451, 'Session Data'!A:AA,24,false)</f>
        <v>jshumake@sdsu.edu</v>
      </c>
      <c r="AC451" s="34" t="str">
        <f>VLOOKUP(A451, 'Session Data'!A:AA,16,false)</f>
        <v/>
      </c>
      <c r="AD451" s="35" t="str">
        <f>VLOOKUP(A451, 'Session Data'!A:U,17,false)</f>
        <v/>
      </c>
      <c r="AE451" s="35" t="str">
        <f>VLOOKUP(A451, 'Session Data'!A:U,18,false)</f>
        <v/>
      </c>
      <c r="AF451" s="35" t="str">
        <f>VLOOKUP(A451, 'Session Data'!A:U,19,false)</f>
        <v/>
      </c>
      <c r="AG451" s="35" t="str">
        <f>VLOOKUP(A451, 'Session Data'!A:U,20,false)</f>
        <v/>
      </c>
      <c r="AH451" s="35" t="str">
        <f>VLOOKUP(A451, 'Session Data'!A:U,21,false)</f>
        <v/>
      </c>
      <c r="AI451" s="34"/>
      <c r="AJ451" s="35"/>
      <c r="AK451" s="35"/>
      <c r="AL451" s="34"/>
      <c r="AM451" s="34" t="str">
        <f>VLOOKUP(A451, 'Session Data'!A:AA,10,false)</f>
        <v>krivera2628@sdsu.edu</v>
      </c>
      <c r="AN451" s="46"/>
      <c r="AO451" s="48"/>
      <c r="AP451" s="48"/>
      <c r="AQ451" s="48"/>
      <c r="AR451" s="48"/>
      <c r="AS451" s="48"/>
      <c r="AT451" s="48"/>
      <c r="AU451" s="48"/>
      <c r="AV451" s="48"/>
      <c r="AW451" s="48"/>
      <c r="AX451" s="48"/>
      <c r="AY451" s="43"/>
      <c r="AZ451" s="48"/>
      <c r="BA451" s="48"/>
      <c r="BB451" s="48"/>
      <c r="BC451" s="43"/>
      <c r="BD451" s="43"/>
      <c r="BE451" s="44"/>
      <c r="BF451" s="48"/>
      <c r="BG451" s="43"/>
    </row>
    <row r="452">
      <c r="A452" s="19" t="s">
        <v>523</v>
      </c>
      <c r="B452" s="20">
        <f>VLOOKUP(F452,'Session Count DO NOT EDIT'!$A:$C,3,FALSE)</f>
        <v>5</v>
      </c>
      <c r="C452" s="20">
        <f>COUNTIFS('Scores Import DO NOT EDIT'!D:D,A452)</f>
        <v>2</v>
      </c>
      <c r="D452" s="21">
        <f t="shared" si="1"/>
        <v>0.4</v>
      </c>
      <c r="E452" s="22">
        <f>AVERAGEIFS('Scores Import DO NOT EDIT'!L:L,'Scores Import DO NOT EDIT'!D:D,A452)</f>
        <v>28</v>
      </c>
      <c r="F452" s="23" t="str">
        <f>VLOOKUP(A452, 'Session Data'!A:M,3,false)</f>
        <v>I-11</v>
      </c>
      <c r="G452" s="24" t="str">
        <f>VLOOKUP(A452, 'Session Data'!A:I,2,false)</f>
        <v>3:00 PM</v>
      </c>
      <c r="H452" s="23" t="str">
        <f>VLOOKUP(A452, 'Session Data'!A:J,5,false)</f>
        <v>Visual and Creative Arts</v>
      </c>
      <c r="I452" s="25" t="str">
        <f>VLOOKUP(A452, 'Session Data'!A:H,4,false)</f>
        <v>Poster</v>
      </c>
      <c r="J452" s="26" t="str">
        <f>VLOOKUP(A452, 'Session Data'!A:AA,14,false)</f>
        <v>Master's</v>
      </c>
      <c r="K452" s="27" t="str">
        <f>VLOOKUP(A452, 'Session Data'!A:AA,15,false)</f>
        <v>Professional Studies and Fine Arts</v>
      </c>
      <c r="L452" s="28" t="s">
        <v>324</v>
      </c>
      <c r="M452" s="29" t="str">
        <f>VLOOKUP(A452, 'Session Data'!A:K,11,false)</f>
        <v>MFA in Visual Arts and Graphic Design</v>
      </c>
      <c r="N452" s="26" t="str">
        <f>IF(ISNA(VLOOKUP(A452, 'Award Abstract#'!C:C, 1, FALSE)), "No", "Yes")
</f>
        <v>No</v>
      </c>
      <c r="O452" s="29" t="str">
        <f>IF(ISNA(VLOOKUP(A452,'Award Abstract#'!B:B,1,FALSE)), "No", "Yes")</f>
        <v>Yes</v>
      </c>
      <c r="P452" s="29" t="str">
        <f>IF(ISNA(VLOOKUP(A452,'Award Abstract#'!E:E,1,FALSE)), "No", "Yes")</f>
        <v>No</v>
      </c>
      <c r="Q452" s="29" t="str">
        <f>IF(ISNA(VLOOKUP(A452,'Award Abstract#'!A:A,1,FALSE)), "No", "Yes")</f>
        <v>No</v>
      </c>
      <c r="R452" s="29" t="str">
        <f>IF(ISNA(VLOOKUP(A452,'Award Abstract#'!D:D,1,FALSE)), "No", "Yes")</f>
        <v>Yes</v>
      </c>
      <c r="S452" s="30" t="str">
        <f>VLOOKUP(A452, 'Session Data'!A:AA,27,false)</f>
        <v>Woman</v>
      </c>
      <c r="T452" s="84"/>
      <c r="U452" s="84"/>
      <c r="V452" s="31" t="str">
        <f>VLOOKUP(A452, 'Session Data'!A:AA,8,false)</f>
        <v>Kerry </v>
      </c>
      <c r="W452" s="32" t="str">
        <f>VLOOKUP(A452, 'Session Data'!A:AA,9,false)</f>
        <v>McEachern</v>
      </c>
      <c r="X452" s="33" t="str">
        <f>VLOOKUP(A452, 'Session Data'!A:AA,12,false)</f>
        <v>Tranquil Hub: Crafting Calm in Contemporary Design</v>
      </c>
      <c r="Y452" s="34" t="str">
        <f>VLOOKUP(A452, 'Session Data'!A:AA,22,false)</f>
        <v>Arzu</v>
      </c>
      <c r="Z452" s="34" t="str">
        <f>VLOOKUP(A452, 'Session Data'!A:AA,23,false)</f>
        <v>Ozkal</v>
      </c>
      <c r="AA452" s="34" t="str">
        <f>VLOOKUP(A452, 'Session Data'!A:AA,25,false)</f>
        <v>Professional Studies and Fine Arts</v>
      </c>
      <c r="AB452" s="34" t="str">
        <f>VLOOKUP(A452, 'Session Data'!A:AA,24,false)</f>
        <v>arzu.ozkal@sdsu.edu</v>
      </c>
      <c r="AC452" s="34" t="str">
        <f>VLOOKUP(A452, 'Session Data'!A:AA,16,false)</f>
        <v/>
      </c>
      <c r="AD452" s="35" t="str">
        <f>VLOOKUP(A452, 'Session Data'!A:U,17,false)</f>
        <v/>
      </c>
      <c r="AE452" s="35" t="str">
        <f>VLOOKUP(A452, 'Session Data'!A:U,18,false)</f>
        <v/>
      </c>
      <c r="AF452" s="35" t="str">
        <f>VLOOKUP(A452, 'Session Data'!A:U,19,false)</f>
        <v/>
      </c>
      <c r="AG452" s="35" t="str">
        <f>VLOOKUP(A452, 'Session Data'!A:U,20,false)</f>
        <v/>
      </c>
      <c r="AH452" s="35" t="str">
        <f>VLOOKUP(A452, 'Session Data'!A:U,21,false)</f>
        <v/>
      </c>
      <c r="AI452" s="34"/>
      <c r="AJ452" s="35"/>
      <c r="AK452" s="35"/>
      <c r="AL452" s="34"/>
      <c r="AM452" s="34" t="str">
        <f>VLOOKUP(A452, 'Session Data'!A:AA,10,false)</f>
        <v>smceachern1543@sdsu.edu</v>
      </c>
      <c r="AN452" s="46"/>
      <c r="AO452" s="48"/>
      <c r="AP452" s="48"/>
      <c r="AQ452" s="48"/>
      <c r="AR452" s="48"/>
      <c r="AS452" s="48"/>
      <c r="AT452" s="48"/>
      <c r="AU452" s="48"/>
      <c r="AV452" s="48"/>
      <c r="AW452" s="48"/>
      <c r="AX452" s="48"/>
      <c r="AY452" s="43"/>
      <c r="AZ452" s="48"/>
      <c r="BA452" s="48"/>
      <c r="BB452" s="48"/>
      <c r="BC452" s="43"/>
      <c r="BD452" s="43"/>
      <c r="BE452" s="44"/>
      <c r="BF452" s="48"/>
      <c r="BG452" s="43"/>
    </row>
    <row r="453">
      <c r="A453" s="78" t="s">
        <v>524</v>
      </c>
      <c r="B453" s="20">
        <f>VLOOKUP(F453,'Session Count DO NOT EDIT'!$A:$C,3,FALSE)</f>
        <v>5</v>
      </c>
      <c r="C453" s="20">
        <f>COUNTIFS('Scores Import DO NOT EDIT'!D:D,A453)</f>
        <v>0</v>
      </c>
      <c r="D453" s="21">
        <f t="shared" si="1"/>
        <v>0</v>
      </c>
      <c r="E453" s="22" t="str">
        <f>AVERAGEIFS('Scores Import DO NOT EDIT'!L:L,'Scores Import DO NOT EDIT'!D:D,A453)</f>
        <v>#DIV/0!</v>
      </c>
      <c r="F453" s="23" t="str">
        <f>VLOOKUP(A453, 'Session Data'!A:M,3,false)</f>
        <v>I-11</v>
      </c>
      <c r="G453" s="24" t="str">
        <f>VLOOKUP(A453, 'Session Data'!A:I,2,false)</f>
        <v>3:00 PM</v>
      </c>
      <c r="H453" s="23" t="str">
        <f>VLOOKUP(A453, 'Session Data'!A:J,5,false)</f>
        <v>Visual and Creative Arts</v>
      </c>
      <c r="I453" s="25" t="str">
        <f>VLOOKUP(A453, 'Session Data'!A:H,4,false)</f>
        <v>Poster</v>
      </c>
      <c r="J453" s="26" t="str">
        <f>VLOOKUP(A453, 'Session Data'!A:AA,14,false)</f>
        <v>Master's</v>
      </c>
      <c r="K453" s="27" t="str">
        <f>VLOOKUP(A453, 'Session Data'!A:AA,15,false)</f>
        <v>Professional Studies and Fine Arts</v>
      </c>
      <c r="L453" s="47"/>
      <c r="M453" s="29" t="str">
        <f>VLOOKUP(A453, 'Session Data'!A:K,11,false)</f>
        <v>Masters of Arts in Theatre Arts</v>
      </c>
      <c r="N453" s="26" t="str">
        <f>IF(ISNA(VLOOKUP(A453, 'Award Abstract#'!C:C, 1, FALSE)), "No", "Yes")
</f>
        <v>No</v>
      </c>
      <c r="O453" s="29" t="str">
        <f>IF(ISNA(VLOOKUP(A453,'Award Abstract#'!B:B,1,FALSE)), "No", "Yes")</f>
        <v>No</v>
      </c>
      <c r="P453" s="29" t="str">
        <f>IF(ISNA(VLOOKUP(A453,'Award Abstract#'!E:E,1,FALSE)), "No", "Yes")</f>
        <v>No</v>
      </c>
      <c r="Q453" s="29" t="str">
        <f>IF(ISNA(VLOOKUP(A453,'Award Abstract#'!A:A,1,FALSE)), "No", "Yes")</f>
        <v>No</v>
      </c>
      <c r="R453" s="29" t="str">
        <f>IF(ISNA(VLOOKUP(A453,'Award Abstract#'!D:D,1,FALSE)), "No", "Yes")</f>
        <v>Yes</v>
      </c>
      <c r="S453" s="30" t="str">
        <f>VLOOKUP(A453, 'Session Data'!A:AA,27,false)</f>
        <v>Man</v>
      </c>
      <c r="T453" s="84"/>
      <c r="U453" s="84"/>
      <c r="V453" s="31" t="str">
        <f>VLOOKUP(A453, 'Session Data'!A:AA,8,false)</f>
        <v>Dean</v>
      </c>
      <c r="W453" s="32" t="str">
        <f>VLOOKUP(A453, 'Session Data'!A:AA,9,false)</f>
        <v>Vicedo</v>
      </c>
      <c r="X453" s="33" t="str">
        <f>VLOOKUP(A453, 'Session Data'!A:AA,12,false)</f>
        <v>Dramaturgy in Video Games - Playing with Accuracy and Humanity</v>
      </c>
      <c r="Y453" s="34" t="str">
        <f>VLOOKUP(A453, 'Session Data'!A:AA,22,false)</f>
        <v>Shelley</v>
      </c>
      <c r="Z453" s="34" t="str">
        <f>VLOOKUP(A453, 'Session Data'!A:AA,23,false)</f>
        <v>Orr</v>
      </c>
      <c r="AA453" s="34" t="str">
        <f>VLOOKUP(A453, 'Session Data'!A:AA,25,false)</f>
        <v>Professional Studies and Fine Arts</v>
      </c>
      <c r="AB453" s="34" t="str">
        <f>VLOOKUP(A453, 'Session Data'!A:AA,24,false)</f>
        <v>morr@sdsu.edu</v>
      </c>
      <c r="AC453" s="34" t="str">
        <f>VLOOKUP(A453, 'Session Data'!A:AA,16,false)</f>
        <v/>
      </c>
      <c r="AD453" s="35" t="str">
        <f>VLOOKUP(A453, 'Session Data'!A:U,17,false)</f>
        <v/>
      </c>
      <c r="AE453" s="35" t="str">
        <f>VLOOKUP(A453, 'Session Data'!A:U,18,false)</f>
        <v/>
      </c>
      <c r="AF453" s="35" t="str">
        <f>VLOOKUP(A453, 'Session Data'!A:U,19,false)</f>
        <v/>
      </c>
      <c r="AG453" s="35" t="str">
        <f>VLOOKUP(A453, 'Session Data'!A:U,20,false)</f>
        <v/>
      </c>
      <c r="AH453" s="35" t="str">
        <f>VLOOKUP(A453, 'Session Data'!A:U,21,false)</f>
        <v/>
      </c>
      <c r="AI453" s="34"/>
      <c r="AJ453" s="35"/>
      <c r="AK453" s="35"/>
      <c r="AL453" s="34"/>
      <c r="AM453" s="34" t="str">
        <f>VLOOKUP(A453, 'Session Data'!A:AA,10,false)</f>
        <v>dvicedo0793@sdsu.edu</v>
      </c>
      <c r="AN453" s="46"/>
      <c r="AO453" s="48"/>
      <c r="AP453" s="48"/>
      <c r="AQ453" s="48"/>
      <c r="AR453" s="48"/>
      <c r="AS453" s="48"/>
      <c r="AT453" s="48"/>
      <c r="AU453" s="48"/>
      <c r="AV453" s="48"/>
      <c r="AW453" s="48"/>
      <c r="AX453" s="48"/>
      <c r="AY453" s="43"/>
      <c r="AZ453" s="48"/>
      <c r="BA453" s="48"/>
      <c r="BB453" s="48"/>
      <c r="BC453" s="43"/>
      <c r="BD453" s="43"/>
      <c r="BE453" s="44"/>
      <c r="BF453" s="48"/>
      <c r="BG453" s="43"/>
    </row>
    <row r="454">
      <c r="A454" s="19" t="s">
        <v>525</v>
      </c>
      <c r="B454" s="20">
        <f>VLOOKUP(F454,'Session Count DO NOT EDIT'!$A:$C,3,FALSE)</f>
        <v>5</v>
      </c>
      <c r="C454" s="20">
        <f>COUNTIFS('Scores Import DO NOT EDIT'!D:D,A454)</f>
        <v>2</v>
      </c>
      <c r="D454" s="21">
        <f t="shared" si="1"/>
        <v>0.4</v>
      </c>
      <c r="E454" s="22">
        <f>AVERAGEIFS('Scores Import DO NOT EDIT'!L:L,'Scores Import DO NOT EDIT'!D:D,A454)</f>
        <v>31</v>
      </c>
      <c r="F454" s="23" t="str">
        <f>VLOOKUP(A454, 'Session Data'!A:M,3,false)</f>
        <v>I-11</v>
      </c>
      <c r="G454" s="24" t="str">
        <f>VLOOKUP(A454, 'Session Data'!A:I,2,false)</f>
        <v>3:00 PM</v>
      </c>
      <c r="H454" s="23" t="str">
        <f>VLOOKUP(A454, 'Session Data'!A:J,5,false)</f>
        <v>Visual and Creative Arts</v>
      </c>
      <c r="I454" s="25" t="str">
        <f>VLOOKUP(A454, 'Session Data'!A:H,4,false)</f>
        <v>Poster</v>
      </c>
      <c r="J454" s="26" t="str">
        <f>VLOOKUP(A454, 'Session Data'!A:AA,14,false)</f>
        <v>Undergraduate</v>
      </c>
      <c r="K454" s="27" t="str">
        <f>VLOOKUP(A454, 'Session Data'!A:AA,15,false)</f>
        <v>Education</v>
      </c>
      <c r="L454" s="28" t="s">
        <v>95</v>
      </c>
      <c r="M454" s="29" t="str">
        <f>VLOOKUP(A454, 'Session Data'!A:K,11,false)</f>
        <v>Bachelor/Liberal Studies with an Emphasis in Elementary Education Major and a Theatre Arts Minor</v>
      </c>
      <c r="N454" s="26" t="str">
        <f>IF(ISNA(VLOOKUP(A454, 'Award Abstract#'!C:C, 1, FALSE)), "No", "Yes")
</f>
        <v>No</v>
      </c>
      <c r="O454" s="29" t="str">
        <f>IF(ISNA(VLOOKUP(A454,'Award Abstract#'!B:B,1,FALSE)), "No", "Yes")</f>
        <v>No</v>
      </c>
      <c r="P454" s="29" t="str">
        <f>IF(ISNA(VLOOKUP(A454,'Award Abstract#'!E:E,1,FALSE)), "No", "Yes")</f>
        <v>No</v>
      </c>
      <c r="Q454" s="29" t="str">
        <f>IF(ISNA(VLOOKUP(A454,'Award Abstract#'!A:A,1,FALSE)), "No", "Yes")</f>
        <v>No</v>
      </c>
      <c r="R454" s="29" t="str">
        <f>IF(ISNA(VLOOKUP(A454,'Award Abstract#'!D:D,1,FALSE)), "No", "Yes")</f>
        <v>Yes</v>
      </c>
      <c r="S454" s="30" t="str">
        <f>VLOOKUP(A454, 'Session Data'!A:AA,27,false)</f>
        <v>Woman</v>
      </c>
      <c r="T454" s="84"/>
      <c r="U454" s="84"/>
      <c r="V454" s="31" t="str">
        <f>VLOOKUP(A454, 'Session Data'!A:AA,8,false)</f>
        <v>Alexis </v>
      </c>
      <c r="W454" s="32" t="str">
        <f>VLOOKUP(A454, 'Session Data'!A:AA,9,false)</f>
        <v>Hernandez</v>
      </c>
      <c r="X454" s="33" t="str">
        <f>VLOOKUP(A454, 'Session Data'!A:AA,12,false)</f>
        <v>"105 Miles from Home: Unveiling Operation Pedro Pan in a One-Act Play"</v>
      </c>
      <c r="Y454" s="34" t="str">
        <f>VLOOKUP(A454, 'Session Data'!A:AA,22,false)</f>
        <v>Katie</v>
      </c>
      <c r="Z454" s="34" t="str">
        <f>VLOOKUP(A454, 'Session Data'!A:AA,23,false)</f>
        <v>Turner</v>
      </c>
      <c r="AA454" s="34" t="str">
        <f>VLOOKUP(A454, 'Session Data'!A:AA,25,false)</f>
        <v>Professional Studies and Fine Arts</v>
      </c>
      <c r="AB454" s="34" t="str">
        <f>VLOOKUP(A454, 'Session Data'!A:AA,24,false)</f>
        <v>laura.turner@sdsu.edu</v>
      </c>
      <c r="AC454" s="34" t="str">
        <f>VLOOKUP(A454, 'Session Data'!A:AA,16,false)</f>
        <v/>
      </c>
      <c r="AD454" s="35" t="str">
        <f>VLOOKUP(A454, 'Session Data'!A:U,17,false)</f>
        <v/>
      </c>
      <c r="AE454" s="35" t="str">
        <f>VLOOKUP(A454, 'Session Data'!A:U,18,false)</f>
        <v/>
      </c>
      <c r="AF454" s="35" t="str">
        <f>VLOOKUP(A454, 'Session Data'!A:U,19,false)</f>
        <v/>
      </c>
      <c r="AG454" s="35" t="str">
        <f>VLOOKUP(A454, 'Session Data'!A:U,20,false)</f>
        <v/>
      </c>
      <c r="AH454" s="35" t="str">
        <f>VLOOKUP(A454, 'Session Data'!A:U,21,false)</f>
        <v/>
      </c>
      <c r="AI454" s="34"/>
      <c r="AJ454" s="35"/>
      <c r="AK454" s="35"/>
      <c r="AL454" s="34"/>
      <c r="AM454" s="34" t="str">
        <f>VLOOKUP(A454, 'Session Data'!A:AA,10,false)</f>
        <v>ahernandez1492@sdsu.edu</v>
      </c>
      <c r="AN454" s="46"/>
      <c r="AO454" s="48"/>
      <c r="AP454" s="48"/>
      <c r="AQ454" s="48"/>
      <c r="AR454" s="48"/>
      <c r="AS454" s="48"/>
      <c r="AT454" s="48"/>
      <c r="AU454" s="48"/>
      <c r="AV454" s="48"/>
      <c r="AW454" s="48"/>
      <c r="AX454" s="48"/>
      <c r="AY454" s="43"/>
      <c r="AZ454" s="48"/>
      <c r="BA454" s="48"/>
      <c r="BB454" s="48"/>
      <c r="BC454" s="43"/>
      <c r="BD454" s="43"/>
      <c r="BE454" s="44"/>
      <c r="BF454" s="48"/>
      <c r="BG454" s="43"/>
    </row>
    <row r="455">
      <c r="A455" s="19" t="s">
        <v>526</v>
      </c>
      <c r="B455" s="20">
        <f>VLOOKUP(F455,'Session Count DO NOT EDIT'!$A:$C,3,FALSE)</f>
        <v>5</v>
      </c>
      <c r="C455" s="20">
        <f>COUNTIFS('Scores Import DO NOT EDIT'!D:D,A455)</f>
        <v>5</v>
      </c>
      <c r="D455" s="21">
        <f t="shared" si="1"/>
        <v>1</v>
      </c>
      <c r="E455" s="22">
        <f>AVERAGEIFS('Scores Import DO NOT EDIT'!L:L,'Scores Import DO NOT EDIT'!D:D,A455)</f>
        <v>33</v>
      </c>
      <c r="F455" s="23" t="str">
        <f>VLOOKUP(A455, 'Session Data'!A:M,3,false)</f>
        <v>I-2</v>
      </c>
      <c r="G455" s="24" t="str">
        <f>VLOOKUP(A455, 'Session Data'!A:I,2,false)</f>
        <v>3:00 PM</v>
      </c>
      <c r="H455" s="23" t="str">
        <f>VLOOKUP(A455, 'Session Data'!A:J,5,false)</f>
        <v>Behavioral and Social Sciences 2</v>
      </c>
      <c r="I455" s="25" t="str">
        <f>VLOOKUP(A455, 'Session Data'!A:H,4,false)</f>
        <v>Poster</v>
      </c>
      <c r="J455" s="26" t="str">
        <f>VLOOKUP(A455, 'Session Data'!A:AA,14,false)</f>
        <v>Undergraduate</v>
      </c>
      <c r="K455" s="27" t="str">
        <f>VLOOKUP(A455, 'Session Data'!A:AA,15,false)</f>
        <v>Health and Human Services</v>
      </c>
      <c r="L455" s="28" t="s">
        <v>187</v>
      </c>
      <c r="M455" s="29" t="str">
        <f>VLOOKUP(A455, 'Session Data'!A:K,11,false)</f>
        <v>Bachelors of Arts: Speech, Language, and Hearing Sciences</v>
      </c>
      <c r="N455" s="26" t="str">
        <f>IF(ISNA(VLOOKUP(A455, 'Award Abstract#'!C:C, 1, FALSE)), "No", "Yes")
</f>
        <v>No</v>
      </c>
      <c r="O455" s="29" t="str">
        <f>IF(ISNA(VLOOKUP(A455,'Award Abstract#'!B:B,1,FALSE)), "No", "Yes")</f>
        <v>Yes</v>
      </c>
      <c r="P455" s="29" t="str">
        <f>IF(ISNA(VLOOKUP(A455,'Award Abstract#'!E:E,1,FALSE)), "No", "Yes")</f>
        <v>No</v>
      </c>
      <c r="Q455" s="29" t="str">
        <f>IF(ISNA(VLOOKUP(A455,'Award Abstract#'!A:A,1,FALSE)), "No", "Yes")</f>
        <v>No</v>
      </c>
      <c r="R455" s="29" t="str">
        <f>IF(ISNA(VLOOKUP(A455,'Award Abstract#'!D:D,1,FALSE)), "No", "Yes")</f>
        <v>Yes</v>
      </c>
      <c r="S455" s="30" t="str">
        <f>VLOOKUP(A455, 'Session Data'!A:AA,27,false)</f>
        <v>Woman</v>
      </c>
      <c r="T455" s="84"/>
      <c r="U455" s="84"/>
      <c r="V455" s="31" t="str">
        <f>VLOOKUP(A455, 'Session Data'!A:AA,8,false)</f>
        <v>Erica</v>
      </c>
      <c r="W455" s="32" t="str">
        <f>VLOOKUP(A455, 'Session Data'!A:AA,9,false)</f>
        <v>Axtell</v>
      </c>
      <c r="X455" s="33" t="str">
        <f>VLOOKUP(A455, 'Session Data'!A:AA,12,false)</f>
        <v>Cross-linguistic Interactions in Bilinguals During Word Retrieval: A Cognate and Noncognate Production Study</v>
      </c>
      <c r="Y455" s="34" t="str">
        <f>VLOOKUP(A455, 'Session Data'!A:AA,22,false)</f>
        <v>Henrike </v>
      </c>
      <c r="Z455" s="34" t="str">
        <f>VLOOKUP(A455, 'Session Data'!A:AA,23,false)</f>
        <v>Blumenfeld </v>
      </c>
      <c r="AA455" s="34" t="str">
        <f>VLOOKUP(A455, 'Session Data'!A:AA,25,false)</f>
        <v>Health and Human Services</v>
      </c>
      <c r="AB455" s="34" t="str">
        <f>VLOOKUP(A455, 'Session Data'!A:AA,24,false)</f>
        <v>hblumenf@sdsu.edu</v>
      </c>
      <c r="AC455" s="34" t="str">
        <f>VLOOKUP(A455, 'Session Data'!A:AA,16,false)</f>
        <v>McKenna</v>
      </c>
      <c r="AD455" s="35" t="str">
        <f>VLOOKUP(A455, 'Session Data'!A:U,17,false)</f>
        <v>Lee</v>
      </c>
      <c r="AE455" s="35" t="str">
        <f>VLOOKUP(A455, 'Session Data'!A:U,18,false)</f>
        <v/>
      </c>
      <c r="AF455" s="35" t="str">
        <f>VLOOKUP(A455, 'Session Data'!A:U,19,false)</f>
        <v/>
      </c>
      <c r="AG455" s="35" t="str">
        <f>VLOOKUP(A455, 'Session Data'!A:U,20,false)</f>
        <v/>
      </c>
      <c r="AH455" s="35" t="str">
        <f>VLOOKUP(A455, 'Session Data'!A:U,21,false)</f>
        <v/>
      </c>
      <c r="AI455" s="34"/>
      <c r="AJ455" s="75"/>
      <c r="AK455" s="75"/>
      <c r="AL455" s="75"/>
      <c r="AM455" s="34" t="str">
        <f>VLOOKUP(A455, 'Session Data'!A:AA,10,false)</f>
        <v>eaxtell7931@sdsu.edu</v>
      </c>
      <c r="AN455" s="46"/>
      <c r="AO455" s="48"/>
      <c r="AP455" s="48"/>
      <c r="AQ455" s="48"/>
      <c r="AR455" s="48"/>
      <c r="AS455" s="48"/>
      <c r="AT455" s="48"/>
      <c r="AU455" s="48"/>
      <c r="AV455" s="48"/>
      <c r="AW455" s="48"/>
      <c r="AX455" s="48"/>
      <c r="AY455" s="43"/>
      <c r="AZ455" s="48"/>
      <c r="BA455" s="48"/>
      <c r="BB455" s="48"/>
      <c r="BC455" s="43"/>
      <c r="BD455" s="43"/>
      <c r="BE455" s="44"/>
      <c r="BF455" s="48"/>
      <c r="BG455" s="43"/>
    </row>
    <row r="456">
      <c r="A456" s="19" t="s">
        <v>527</v>
      </c>
      <c r="B456" s="20">
        <f>VLOOKUP(F456,'Session Count DO NOT EDIT'!$A:$C,3,FALSE)</f>
        <v>5</v>
      </c>
      <c r="C456" s="20">
        <f>COUNTIFS('Scores Import DO NOT EDIT'!D:D,A456)</f>
        <v>5</v>
      </c>
      <c r="D456" s="21">
        <f t="shared" si="1"/>
        <v>1</v>
      </c>
      <c r="E456" s="22">
        <f>AVERAGEIFS('Scores Import DO NOT EDIT'!L:L,'Scores Import DO NOT EDIT'!D:D,A456)</f>
        <v>30.8</v>
      </c>
      <c r="F456" s="23" t="str">
        <f>VLOOKUP(A456, 'Session Data'!A:M,3,false)</f>
        <v>I-2</v>
      </c>
      <c r="G456" s="24" t="str">
        <f>VLOOKUP(A456, 'Session Data'!A:I,2,false)</f>
        <v>3:00 PM</v>
      </c>
      <c r="H456" s="23" t="str">
        <f>VLOOKUP(A456, 'Session Data'!A:J,5,false)</f>
        <v>Behavioral and Social Sciences 2</v>
      </c>
      <c r="I456" s="25" t="str">
        <f>VLOOKUP(A456, 'Session Data'!A:H,4,false)</f>
        <v>Poster</v>
      </c>
      <c r="J456" s="26" t="str">
        <f>VLOOKUP(A456, 'Session Data'!A:AA,14,false)</f>
        <v>Undergraduate</v>
      </c>
      <c r="K456" s="27" t="str">
        <f>VLOOKUP(A456, 'Session Data'!A:AA,15,false)</f>
        <v>Sciences</v>
      </c>
      <c r="L456" s="52" t="s">
        <v>73</v>
      </c>
      <c r="M456" s="29" t="str">
        <f>VLOOKUP(A456, 'Session Data'!A:K,11,false)</f>
        <v>Bachelor of Science in Environmental Science</v>
      </c>
      <c r="N456" s="26" t="str">
        <f>IF(ISNA(VLOOKUP(A456, 'Award Abstract#'!C:C, 1, FALSE)), "No", "Yes")
</f>
        <v>No</v>
      </c>
      <c r="O456" s="29" t="str">
        <f>IF(ISNA(VLOOKUP(A456,'Award Abstract#'!B:B,1,FALSE)), "No", "Yes")</f>
        <v>Yes</v>
      </c>
      <c r="P456" s="29" t="str">
        <f>IF(ISNA(VLOOKUP(A456,'Award Abstract#'!E:E,1,FALSE)), "No", "Yes")</f>
        <v>No</v>
      </c>
      <c r="Q456" s="29" t="str">
        <f>IF(ISNA(VLOOKUP(A456,'Award Abstract#'!A:A,1,FALSE)), "No", "Yes")</f>
        <v>No</v>
      </c>
      <c r="R456" s="29" t="str">
        <f>IF(ISNA(VLOOKUP(A456,'Award Abstract#'!D:D,1,FALSE)), "No", "Yes")</f>
        <v>Yes</v>
      </c>
      <c r="S456" s="30" t="str">
        <f>VLOOKUP(A456, 'Session Data'!A:AA,27,false)</f>
        <v>Man</v>
      </c>
      <c r="T456" s="84"/>
      <c r="U456" s="84"/>
      <c r="V456" s="31" t="str">
        <f>VLOOKUP(A456, 'Session Data'!A:AA,8,false)</f>
        <v>Cameron</v>
      </c>
      <c r="W456" s="32" t="str">
        <f>VLOOKUP(A456, 'Session Data'!A:AA,9,false)</f>
        <v>Schilling</v>
      </c>
      <c r="X456" s="33" t="str">
        <f>VLOOKUP(A456, 'Session Data'!A:AA,12,false)</f>
        <v>More than Soil: Digging Deeper Into the Relationships of Space, Equity, and Policy of Urban Agriculture in San Diego, CA</v>
      </c>
      <c r="Y456" s="34" t="str">
        <f>VLOOKUP(A456, 'Session Data'!A:AA,22,false)</f>
        <v>Pascale</v>
      </c>
      <c r="Z456" s="34" t="str">
        <f>VLOOKUP(A456, 'Session Data'!A:AA,23,false)</f>
        <v>Joassart-Marcelli</v>
      </c>
      <c r="AA456" s="34" t="str">
        <f>VLOOKUP(A456, 'Session Data'!A:AA,25,false)</f>
        <v>Arts and Letters</v>
      </c>
      <c r="AB456" s="34" t="str">
        <f>VLOOKUP(A456, 'Session Data'!A:AA,24,false)</f>
        <v>pmarcell@sdsu.edu</v>
      </c>
      <c r="AC456" s="34" t="str">
        <f>VLOOKUP(A456, 'Session Data'!A:AA,16,false)</f>
        <v/>
      </c>
      <c r="AD456" s="35" t="str">
        <f>VLOOKUP(A456, 'Session Data'!A:U,17,false)</f>
        <v/>
      </c>
      <c r="AE456" s="35" t="str">
        <f>VLOOKUP(A456, 'Session Data'!A:U,18,false)</f>
        <v/>
      </c>
      <c r="AF456" s="35" t="str">
        <f>VLOOKUP(A456, 'Session Data'!A:U,19,false)</f>
        <v/>
      </c>
      <c r="AG456" s="35" t="str">
        <f>VLOOKUP(A456, 'Session Data'!A:U,20,false)</f>
        <v/>
      </c>
      <c r="AH456" s="35" t="str">
        <f>VLOOKUP(A456, 'Session Data'!A:U,21,false)</f>
        <v/>
      </c>
      <c r="AI456" s="34"/>
      <c r="AJ456" s="75"/>
      <c r="AK456" s="75"/>
      <c r="AL456" s="75"/>
      <c r="AM456" s="34" t="str">
        <f>VLOOKUP(A456, 'Session Data'!A:AA,10,false)</f>
        <v>cschilling4560@sdsu.edu</v>
      </c>
      <c r="AN456" s="46"/>
      <c r="AO456" s="48"/>
      <c r="AP456" s="48"/>
      <c r="AQ456" s="48"/>
      <c r="AR456" s="48"/>
      <c r="AS456" s="48"/>
      <c r="AT456" s="48"/>
      <c r="AU456" s="48"/>
      <c r="AV456" s="48"/>
      <c r="AW456" s="48"/>
      <c r="AX456" s="48"/>
      <c r="AY456" s="43"/>
      <c r="AZ456" s="48"/>
      <c r="BA456" s="48"/>
      <c r="BB456" s="48"/>
      <c r="BC456" s="43"/>
      <c r="BD456" s="43"/>
      <c r="BE456" s="44"/>
      <c r="BF456" s="48"/>
      <c r="BG456" s="43"/>
    </row>
    <row r="457">
      <c r="A457" s="19" t="s">
        <v>528</v>
      </c>
      <c r="B457" s="20">
        <f>VLOOKUP(F457,'Session Count DO NOT EDIT'!$A:$C,3,FALSE)</f>
        <v>5</v>
      </c>
      <c r="C457" s="20">
        <f>COUNTIFS('Scores Import DO NOT EDIT'!D:D,A457)</f>
        <v>4</v>
      </c>
      <c r="D457" s="21">
        <f t="shared" si="1"/>
        <v>0.8</v>
      </c>
      <c r="E457" s="22">
        <f>AVERAGEIFS('Scores Import DO NOT EDIT'!L:L,'Scores Import DO NOT EDIT'!D:D,A457)</f>
        <v>30.75</v>
      </c>
      <c r="F457" s="23" t="str">
        <f>VLOOKUP(A457, 'Session Data'!A:M,3,false)</f>
        <v>I-2</v>
      </c>
      <c r="G457" s="24" t="str">
        <f>VLOOKUP(A457, 'Session Data'!A:I,2,false)</f>
        <v>3:00 PM</v>
      </c>
      <c r="H457" s="23" t="str">
        <f>VLOOKUP(A457, 'Session Data'!A:J,5,false)</f>
        <v>Behavioral and Social Sciences 2</v>
      </c>
      <c r="I457" s="25" t="str">
        <f>VLOOKUP(A457, 'Session Data'!A:H,4,false)</f>
        <v>Poster</v>
      </c>
      <c r="J457" s="26" t="str">
        <f>VLOOKUP(A457, 'Session Data'!A:AA,14,false)</f>
        <v>Undergraduate</v>
      </c>
      <c r="K457" s="27" t="str">
        <f>VLOOKUP(A457, 'Session Data'!A:AA,15,false)</f>
        <v>Arts and Letters</v>
      </c>
      <c r="L457" s="49"/>
      <c r="M457" s="29" t="str">
        <f>VLOOKUP(A457, 'Session Data'!A:K,11,false)</f>
        <v>Bechelor in URBAN STUDIES - PLANNING, DESIGN, AND MANAGEMENT </v>
      </c>
      <c r="N457" s="26" t="str">
        <f>IF(ISNA(VLOOKUP(A457, 'Award Abstract#'!C:C, 1, FALSE)), "No", "Yes")
</f>
        <v>No</v>
      </c>
      <c r="O457" s="29" t="str">
        <f>IF(ISNA(VLOOKUP(A457,'Award Abstract#'!B:B,1,FALSE)), "No", "Yes")</f>
        <v>Yes</v>
      </c>
      <c r="P457" s="29" t="str">
        <f>IF(ISNA(VLOOKUP(A457,'Award Abstract#'!E:E,1,FALSE)), "No", "Yes")</f>
        <v>No</v>
      </c>
      <c r="Q457" s="29" t="str">
        <f>IF(ISNA(VLOOKUP(A457,'Award Abstract#'!A:A,1,FALSE)), "No", "Yes")</f>
        <v>No</v>
      </c>
      <c r="R457" s="29" t="str">
        <f>IF(ISNA(VLOOKUP(A457,'Award Abstract#'!D:D,1,FALSE)), "No", "Yes")</f>
        <v>No</v>
      </c>
      <c r="S457" s="30" t="str">
        <f>VLOOKUP(A457, 'Session Data'!A:AA,27,false)</f>
        <v>Woman</v>
      </c>
      <c r="T457" s="84"/>
      <c r="U457" s="84"/>
      <c r="V457" s="31" t="str">
        <f>VLOOKUP(A457, 'Session Data'!A:AA,8,false)</f>
        <v>Yasmeen Wael</v>
      </c>
      <c r="W457" s="32" t="str">
        <f>VLOOKUP(A457, 'Session Data'!A:AA,9,false)</f>
        <v>Zubaidi</v>
      </c>
      <c r="X457" s="33" t="str">
        <f>VLOOKUP(A457, 'Session Data'!A:AA,12,false)</f>
        <v>Can community gardens effectively address food insecurity? A Geographic exploration of disparities in garden capacity</v>
      </c>
      <c r="Y457" s="34" t="str">
        <f>VLOOKUP(A457, 'Session Data'!A:AA,22,false)</f>
        <v>Pascale </v>
      </c>
      <c r="Z457" s="34" t="str">
        <f>VLOOKUP(A457, 'Session Data'!A:AA,23,false)</f>
        <v>Joassart-Marcelli</v>
      </c>
      <c r="AA457" s="34" t="str">
        <f>VLOOKUP(A457, 'Session Data'!A:AA,25,false)</f>
        <v>Arts and Letters</v>
      </c>
      <c r="AB457" s="34" t="str">
        <f>VLOOKUP(A457, 'Session Data'!A:AA,24,false)</f>
        <v>pmarcell@sdsu.edu</v>
      </c>
      <c r="AC457" s="34" t="str">
        <f>VLOOKUP(A457, 'Session Data'!A:AA,16,false)</f>
        <v>Raychel</v>
      </c>
      <c r="AD457" s="35" t="str">
        <f>VLOOKUP(A457, 'Session Data'!A:U,17,false)</f>
        <v>Sager</v>
      </c>
      <c r="AE457" s="35" t="str">
        <f>VLOOKUP(A457, 'Session Data'!A:U,18,false)</f>
        <v/>
      </c>
      <c r="AF457" s="35" t="str">
        <f>VLOOKUP(A457, 'Session Data'!A:U,19,false)</f>
        <v/>
      </c>
      <c r="AG457" s="35" t="str">
        <f>VLOOKUP(A457, 'Session Data'!A:U,20,false)</f>
        <v/>
      </c>
      <c r="AH457" s="35" t="str">
        <f>VLOOKUP(A457, 'Session Data'!A:U,21,false)</f>
        <v/>
      </c>
      <c r="AI457" s="34"/>
      <c r="AJ457" s="75"/>
      <c r="AK457" s="75"/>
      <c r="AL457" s="75"/>
      <c r="AM457" s="34" t="str">
        <f>VLOOKUP(A457, 'Session Data'!A:AA,10,false)</f>
        <v>yzubaidi7895@sdsu.edu</v>
      </c>
      <c r="AN457" s="46"/>
      <c r="AO457" s="48"/>
      <c r="AP457" s="48"/>
      <c r="AQ457" s="48"/>
      <c r="AR457" s="48"/>
      <c r="AS457" s="48"/>
      <c r="AT457" s="48"/>
      <c r="AU457" s="48"/>
      <c r="AV457" s="48"/>
      <c r="AW457" s="48"/>
      <c r="AX457" s="48"/>
      <c r="AY457" s="43"/>
      <c r="AZ457" s="48"/>
      <c r="BA457" s="48"/>
      <c r="BB457" s="48"/>
      <c r="BC457" s="43"/>
      <c r="BD457" s="43"/>
      <c r="BE457" s="44"/>
      <c r="BF457" s="48"/>
      <c r="BG457" s="43"/>
    </row>
    <row r="458">
      <c r="A458" s="19" t="s">
        <v>529</v>
      </c>
      <c r="B458" s="20">
        <f>VLOOKUP(F458,'Session Count DO NOT EDIT'!$A:$C,3,FALSE)</f>
        <v>5</v>
      </c>
      <c r="C458" s="20">
        <f>COUNTIFS('Scores Import DO NOT EDIT'!D:D,A458)</f>
        <v>5</v>
      </c>
      <c r="D458" s="21">
        <f t="shared" si="1"/>
        <v>1</v>
      </c>
      <c r="E458" s="22">
        <f>AVERAGEIFS('Scores Import DO NOT EDIT'!L:L,'Scores Import DO NOT EDIT'!D:D,A458)</f>
        <v>29.8</v>
      </c>
      <c r="F458" s="23" t="str">
        <f>VLOOKUP(A458, 'Session Data'!A:M,3,false)</f>
        <v>I-2</v>
      </c>
      <c r="G458" s="24" t="str">
        <f>VLOOKUP(A458, 'Session Data'!A:I,2,false)</f>
        <v>3:00 PM</v>
      </c>
      <c r="H458" s="23" t="str">
        <f>VLOOKUP(A458, 'Session Data'!A:J,5,false)</f>
        <v>Behavioral and Social Sciences 2</v>
      </c>
      <c r="I458" s="25" t="str">
        <f>VLOOKUP(A458, 'Session Data'!A:H,4,false)</f>
        <v>Poster</v>
      </c>
      <c r="J458" s="26" t="str">
        <f>VLOOKUP(A458, 'Session Data'!A:AA,14,false)</f>
        <v>Undergraduate</v>
      </c>
      <c r="K458" s="27" t="str">
        <f>VLOOKUP(A458, 'Session Data'!A:AA,15,false)</f>
        <v>Sciences</v>
      </c>
      <c r="L458" s="28" t="s">
        <v>73</v>
      </c>
      <c r="M458" s="29" t="str">
        <f>VLOOKUP(A458, 'Session Data'!A:K,11,false)</f>
        <v>Bachelor of Arts in Psychology</v>
      </c>
      <c r="N458" s="26" t="str">
        <f>IF(ISNA(VLOOKUP(A458, 'Award Abstract#'!C:C, 1, FALSE)), "No", "Yes")
</f>
        <v>No</v>
      </c>
      <c r="O458" s="29" t="str">
        <f>IF(ISNA(VLOOKUP(A458,'Award Abstract#'!B:B,1,FALSE)), "No", "Yes")</f>
        <v>Yes</v>
      </c>
      <c r="P458" s="29" t="str">
        <f>IF(ISNA(VLOOKUP(A458,'Award Abstract#'!E:E,1,FALSE)), "No", "Yes")</f>
        <v>No</v>
      </c>
      <c r="Q458" s="29" t="str">
        <f>IF(ISNA(VLOOKUP(A458,'Award Abstract#'!A:A,1,FALSE)), "No", "Yes")</f>
        <v>No</v>
      </c>
      <c r="R458" s="29" t="str">
        <f>IF(ISNA(VLOOKUP(A458,'Award Abstract#'!D:D,1,FALSE)), "No", "Yes")</f>
        <v>No</v>
      </c>
      <c r="S458" s="30" t="str">
        <f>VLOOKUP(A458, 'Session Data'!A:AA,27,false)</f>
        <v>Woman</v>
      </c>
      <c r="T458" s="90"/>
      <c r="U458" s="90"/>
      <c r="V458" s="31" t="str">
        <f>VLOOKUP(A458, 'Session Data'!A:AA,8,false)</f>
        <v>Maria Christina</v>
      </c>
      <c r="W458" s="32" t="str">
        <f>VLOOKUP(A458, 'Session Data'!A:AA,9,false)</f>
        <v>Huerta-Avila</v>
      </c>
      <c r="X458" s="33" t="str">
        <f>VLOOKUP(A458, 'Session Data'!A:AA,12,false)</f>
        <v>A Tale of Two Buildings: Do Smoking Policies Impact Discarded Waste from Commercial Cigarettes, E-Cigs, and Cannabis?</v>
      </c>
      <c r="Y458" s="34" t="str">
        <f>VLOOKUP(A458, 'Session Data'!A:AA,22,false)</f>
        <v>Georg</v>
      </c>
      <c r="Z458" s="34" t="str">
        <f>VLOOKUP(A458, 'Session Data'!A:AA,23,false)</f>
        <v>Matt</v>
      </c>
      <c r="AA458" s="34" t="str">
        <f>VLOOKUP(A458, 'Session Data'!A:AA,25,false)</f>
        <v>Sciences</v>
      </c>
      <c r="AB458" s="34" t="str">
        <f>VLOOKUP(A458, 'Session Data'!A:AA,24,false)</f>
        <v>gmatt@sdsu.edu</v>
      </c>
      <c r="AC458" s="34" t="str">
        <f>VLOOKUP(A458, 'Session Data'!A:AA,16,false)</f>
        <v/>
      </c>
      <c r="AD458" s="35" t="str">
        <f>VLOOKUP(A458, 'Session Data'!A:U,17,false)</f>
        <v/>
      </c>
      <c r="AE458" s="35" t="str">
        <f>VLOOKUP(A458, 'Session Data'!A:U,18,false)</f>
        <v/>
      </c>
      <c r="AF458" s="35" t="str">
        <f>VLOOKUP(A458, 'Session Data'!A:U,19,false)</f>
        <v/>
      </c>
      <c r="AG458" s="35" t="str">
        <f>VLOOKUP(A458, 'Session Data'!A:U,20,false)</f>
        <v/>
      </c>
      <c r="AH458" s="35" t="str">
        <f>VLOOKUP(A458, 'Session Data'!A:U,21,false)</f>
        <v/>
      </c>
      <c r="AI458" s="34"/>
      <c r="AJ458" s="75"/>
      <c r="AK458" s="75"/>
      <c r="AL458" s="75"/>
      <c r="AM458" s="34" t="str">
        <f>VLOOKUP(A458, 'Session Data'!A:AA,10,false)</f>
        <v>mhuertaavila5222@sdsu.edu</v>
      </c>
      <c r="AN458" s="46"/>
      <c r="AO458" s="48"/>
      <c r="AP458" s="48"/>
      <c r="AQ458" s="48"/>
      <c r="AR458" s="48"/>
      <c r="AS458" s="48"/>
      <c r="AT458" s="48"/>
      <c r="AU458" s="48"/>
      <c r="AV458" s="48"/>
      <c r="AW458" s="48"/>
      <c r="AX458" s="48"/>
      <c r="AY458" s="43"/>
      <c r="AZ458" s="43"/>
      <c r="BA458" s="43"/>
      <c r="BB458" s="43"/>
      <c r="BC458" s="43"/>
      <c r="BD458" s="43"/>
      <c r="BE458" s="91"/>
      <c r="BF458" s="48"/>
      <c r="BG458" s="43"/>
    </row>
    <row r="459">
      <c r="A459" s="19" t="s">
        <v>530</v>
      </c>
      <c r="B459" s="20">
        <f>VLOOKUP(F459,'Session Count DO NOT EDIT'!$A:$C,3,FALSE)</f>
        <v>5</v>
      </c>
      <c r="C459" s="20">
        <f>COUNTIFS('Scores Import DO NOT EDIT'!D:D,A459)</f>
        <v>5</v>
      </c>
      <c r="D459" s="21">
        <f t="shared" si="1"/>
        <v>1</v>
      </c>
      <c r="E459" s="22">
        <f>AVERAGEIFS('Scores Import DO NOT EDIT'!L:L,'Scores Import DO NOT EDIT'!D:D,A459)</f>
        <v>28.2</v>
      </c>
      <c r="F459" s="23" t="str">
        <f>VLOOKUP(A459, 'Session Data'!A:M,3,false)</f>
        <v>I-2</v>
      </c>
      <c r="G459" s="24" t="str">
        <f>VLOOKUP(A459, 'Session Data'!A:I,2,false)</f>
        <v>3:00 PM</v>
      </c>
      <c r="H459" s="23" t="str">
        <f>VLOOKUP(A459, 'Session Data'!A:J,5,false)</f>
        <v>Behavioral and Social Sciences 2</v>
      </c>
      <c r="I459" s="25" t="str">
        <f>VLOOKUP(A459, 'Session Data'!A:H,4,false)</f>
        <v>Poster</v>
      </c>
      <c r="J459" s="26" t="str">
        <f>VLOOKUP(A459, 'Session Data'!A:AA,14,false)</f>
        <v>Undergraduate</v>
      </c>
      <c r="K459" s="27" t="str">
        <f>VLOOKUP(A459, 'Session Data'!A:AA,15,false)</f>
        <v>Health and Human Services</v>
      </c>
      <c r="L459" s="47"/>
      <c r="M459" s="29" t="str">
        <f>VLOOKUP(A459, 'Session Data'!A:K,11,false)</f>
        <v>Bachelor of Science in Public Health </v>
      </c>
      <c r="N459" s="26" t="str">
        <f>IF(ISNA(VLOOKUP(A459, 'Award Abstract#'!C:C, 1, FALSE)), "No", "Yes")
</f>
        <v>No</v>
      </c>
      <c r="O459" s="29" t="str">
        <f>IF(ISNA(VLOOKUP(A459,'Award Abstract#'!B:B,1,FALSE)), "No", "Yes")</f>
        <v>Yes</v>
      </c>
      <c r="P459" s="29" t="str">
        <f>IF(ISNA(VLOOKUP(A459,'Award Abstract#'!E:E,1,FALSE)), "No", "Yes")</f>
        <v>No</v>
      </c>
      <c r="Q459" s="29" t="str">
        <f>IF(ISNA(VLOOKUP(A459,'Award Abstract#'!A:A,1,FALSE)), "No", "Yes")</f>
        <v>No</v>
      </c>
      <c r="R459" s="29" t="str">
        <f>IF(ISNA(VLOOKUP(A459,'Award Abstract#'!D:D,1,FALSE)), "No", "Yes")</f>
        <v>Yes</v>
      </c>
      <c r="S459" s="30" t="str">
        <f>VLOOKUP(A459, 'Session Data'!A:AA,27,false)</f>
        <v>Woman</v>
      </c>
      <c r="T459" s="84"/>
      <c r="U459" s="84"/>
      <c r="V459" s="31" t="str">
        <f>VLOOKUP(A459, 'Session Data'!A:AA,8,false)</f>
        <v>Aona</v>
      </c>
      <c r="W459" s="32" t="str">
        <f>VLOOKUP(A459, 'Session Data'!A:AA,9,false)</f>
        <v>Shigemori</v>
      </c>
      <c r="X459" s="33" t="str">
        <f>VLOOKUP(A459, 'Session Data'!A:AA,12,false)</f>
        <v>Trends in Responses and Recruitment in an Ecological Momentary Assessment Trial Among LGBTQ+ Adolescents Who Use Tobacco, Nicotine, and Cannabis</v>
      </c>
      <c r="Y459" s="34" t="str">
        <f>VLOOKUP(A459, 'Session Data'!A:AA,22,false)</f>
        <v>Jerel </v>
      </c>
      <c r="Z459" s="34" t="str">
        <f>VLOOKUP(A459, 'Session Data'!A:AA,23,false)</f>
        <v>Calzo</v>
      </c>
      <c r="AA459" s="34" t="str">
        <f>VLOOKUP(A459, 'Session Data'!A:AA,25,false)</f>
        <v>Health and Human Services</v>
      </c>
      <c r="AB459" s="34" t="str">
        <f>VLOOKUP(A459, 'Session Data'!A:AA,24,false)</f>
        <v>jcalzo@sdsu.edu</v>
      </c>
      <c r="AC459" s="34" t="str">
        <f>VLOOKUP(A459, 'Session Data'!A:AA,16,false)</f>
        <v/>
      </c>
      <c r="AD459" s="35" t="str">
        <f>VLOOKUP(A459, 'Session Data'!A:U,17,false)</f>
        <v/>
      </c>
      <c r="AE459" s="35" t="str">
        <f>VLOOKUP(A459, 'Session Data'!A:U,18,false)</f>
        <v/>
      </c>
      <c r="AF459" s="35" t="str">
        <f>VLOOKUP(A459, 'Session Data'!A:U,19,false)</f>
        <v/>
      </c>
      <c r="AG459" s="35" t="str">
        <f>VLOOKUP(A459, 'Session Data'!A:U,20,false)</f>
        <v/>
      </c>
      <c r="AH459" s="35" t="str">
        <f>VLOOKUP(A459, 'Session Data'!A:U,21,false)</f>
        <v/>
      </c>
      <c r="AI459" s="34"/>
      <c r="AJ459" s="75"/>
      <c r="AK459" s="75"/>
      <c r="AL459" s="75"/>
      <c r="AM459" s="34" t="str">
        <f>VLOOKUP(A459, 'Session Data'!A:AA,10,false)</f>
        <v>ashigemori3634@sdsu.edu</v>
      </c>
      <c r="AN459" s="46"/>
      <c r="AO459" s="48"/>
      <c r="AP459" s="48"/>
      <c r="AQ459" s="48"/>
      <c r="AR459" s="48"/>
      <c r="AS459" s="48"/>
      <c r="AT459" s="48"/>
      <c r="AU459" s="48"/>
      <c r="AV459" s="48"/>
      <c r="AW459" s="48"/>
      <c r="AX459" s="48"/>
      <c r="AY459" s="43"/>
      <c r="AZ459" s="48"/>
      <c r="BA459" s="48"/>
      <c r="BB459" s="48"/>
      <c r="BC459" s="43"/>
      <c r="BD459" s="43"/>
      <c r="BE459" s="44"/>
      <c r="BF459" s="48"/>
      <c r="BG459" s="43"/>
    </row>
    <row r="460">
      <c r="A460" s="19" t="s">
        <v>531</v>
      </c>
      <c r="B460" s="20">
        <f>VLOOKUP(F460,'Session Count DO NOT EDIT'!$A:$C,3,FALSE)</f>
        <v>5</v>
      </c>
      <c r="C460" s="20">
        <f>COUNTIFS('Scores Import DO NOT EDIT'!D:D,A460)</f>
        <v>0</v>
      </c>
      <c r="D460" s="21">
        <f t="shared" si="1"/>
        <v>0</v>
      </c>
      <c r="E460" s="22" t="str">
        <f>AVERAGEIFS('Scores Import DO NOT EDIT'!L:L,'Scores Import DO NOT EDIT'!D:D,A460)</f>
        <v>#DIV/0!</v>
      </c>
      <c r="F460" s="23" t="str">
        <f>VLOOKUP(A460, 'Session Data'!A:M,3,false)</f>
        <v>I-2</v>
      </c>
      <c r="G460" s="24" t="str">
        <f>VLOOKUP(A460, 'Session Data'!A:I,2,false)</f>
        <v>3:00 PM</v>
      </c>
      <c r="H460" s="23" t="str">
        <f>VLOOKUP(A460, 'Session Data'!A:J,5,false)</f>
        <v>Behavioral and Social Sciences 2</v>
      </c>
      <c r="I460" s="25" t="str">
        <f>VLOOKUP(A460, 'Session Data'!A:H,4,false)</f>
        <v>Poster</v>
      </c>
      <c r="J460" s="26" t="str">
        <f>VLOOKUP(A460, 'Session Data'!A:AA,14,false)</f>
        <v>Undergraduate</v>
      </c>
      <c r="K460" s="27" t="str">
        <f>VLOOKUP(A460, 'Session Data'!A:AA,15,false)</f>
        <v>Professional Studies and Fine Arts</v>
      </c>
      <c r="L460" s="47"/>
      <c r="M460" s="29" t="str">
        <f>VLOOKUP(A460, 'Session Data'!A:K,11,false)</f>
        <v>Criminal justice </v>
      </c>
      <c r="N460" s="26" t="str">
        <f>IF(ISNA(VLOOKUP(A460, 'Award Abstract#'!C:C, 1, FALSE)), "No", "Yes")
</f>
        <v>No</v>
      </c>
      <c r="O460" s="29" t="str">
        <f>IF(ISNA(VLOOKUP(A460,'Award Abstract#'!B:B,1,FALSE)), "No", "Yes")</f>
        <v>No</v>
      </c>
      <c r="P460" s="29" t="str">
        <f>IF(ISNA(VLOOKUP(A460,'Award Abstract#'!E:E,1,FALSE)), "No", "Yes")</f>
        <v>No</v>
      </c>
      <c r="Q460" s="29" t="str">
        <f>IF(ISNA(VLOOKUP(A460,'Award Abstract#'!A:A,1,FALSE)), "No", "Yes")</f>
        <v>No</v>
      </c>
      <c r="R460" s="29" t="str">
        <f>IF(ISNA(VLOOKUP(A460,'Award Abstract#'!D:D,1,FALSE)), "No", "Yes")</f>
        <v>Yes</v>
      </c>
      <c r="S460" s="30" t="str">
        <f>VLOOKUP(A460, 'Session Data'!A:AA,27,false)</f>
        <v>Woman</v>
      </c>
      <c r="T460" s="84"/>
      <c r="U460" s="84"/>
      <c r="V460" s="31" t="str">
        <f>VLOOKUP(A460, 'Session Data'!A:AA,8,false)</f>
        <v>Flor</v>
      </c>
      <c r="W460" s="32" t="str">
        <f>VLOOKUP(A460, 'Session Data'!A:AA,9,false)</f>
        <v>Calimag</v>
      </c>
      <c r="X460" s="33" t="str">
        <f>VLOOKUP(A460, 'Session Data'!A:AA,12,false)</f>
        <v>Campus Access Fear Mapping</v>
      </c>
      <c r="Y460" s="34" t="str">
        <f>VLOOKUP(A460, 'Session Data'!A:AA,22,false)</f>
        <v>Bruce </v>
      </c>
      <c r="Z460" s="34" t="str">
        <f>VLOOKUP(A460, 'Session Data'!A:AA,23,false)</f>
        <v>Appleyard</v>
      </c>
      <c r="AA460" s="34" t="str">
        <f>VLOOKUP(A460, 'Session Data'!A:AA,25,false)</f>
        <v>Professional Studies and Fine Arts</v>
      </c>
      <c r="AB460" s="34" t="str">
        <f>VLOOKUP(A460, 'Session Data'!A:AA,24,false)</f>
        <v>bappleyard@sdsu.edu</v>
      </c>
      <c r="AC460" s="34" t="str">
        <f>VLOOKUP(A460, 'Session Data'!A:AA,16,false)</f>
        <v>Emily </v>
      </c>
      <c r="AD460" s="35" t="str">
        <f>VLOOKUP(A460, 'Session Data'!A:U,17,false)</f>
        <v>Hernandez </v>
      </c>
      <c r="AE460" s="35" t="str">
        <f>VLOOKUP(A460, 'Session Data'!A:U,18,false)</f>
        <v>Emily </v>
      </c>
      <c r="AF460" s="35" t="str">
        <f>VLOOKUP(A460, 'Session Data'!A:U,19,false)</f>
        <v>Brown</v>
      </c>
      <c r="AG460" s="35" t="str">
        <f>VLOOKUP(A460, 'Session Data'!A:U,20,false)</f>
        <v/>
      </c>
      <c r="AH460" s="35" t="str">
        <f>VLOOKUP(A460, 'Session Data'!A:U,21,false)</f>
        <v>Nicole </v>
      </c>
      <c r="AI460" s="34"/>
      <c r="AJ460" s="75"/>
      <c r="AK460" s="75"/>
      <c r="AL460" s="75"/>
      <c r="AM460" s="34" t="str">
        <f>VLOOKUP(A460, 'Session Data'!A:AA,10,false)</f>
        <v>fcalimag1808@sdsu.edu</v>
      </c>
      <c r="AN460" s="46"/>
      <c r="AO460" s="48"/>
      <c r="AP460" s="48"/>
      <c r="AQ460" s="48"/>
      <c r="AR460" s="48"/>
      <c r="AS460" s="48"/>
      <c r="AT460" s="48"/>
      <c r="AU460" s="48"/>
      <c r="AV460" s="48"/>
      <c r="AW460" s="48"/>
      <c r="AX460" s="48"/>
      <c r="AY460" s="43"/>
      <c r="AZ460" s="48"/>
      <c r="BA460" s="48"/>
      <c r="BB460" s="48"/>
      <c r="BC460" s="43"/>
      <c r="BD460" s="43"/>
      <c r="BE460" s="44"/>
      <c r="BF460" s="48"/>
      <c r="BG460" s="43"/>
    </row>
    <row r="461">
      <c r="A461" s="19" t="s">
        <v>532</v>
      </c>
      <c r="B461" s="20">
        <f>VLOOKUP(F461,'Session Count DO NOT EDIT'!$A:$C,3,FALSE)</f>
        <v>5</v>
      </c>
      <c r="C461" s="20">
        <f>COUNTIFS('Scores Import DO NOT EDIT'!D:D,A461)</f>
        <v>5</v>
      </c>
      <c r="D461" s="21">
        <f t="shared" si="1"/>
        <v>1</v>
      </c>
      <c r="E461" s="22">
        <f>AVERAGEIFS('Scores Import DO NOT EDIT'!L:L,'Scores Import DO NOT EDIT'!D:D,A461)</f>
        <v>30.2</v>
      </c>
      <c r="F461" s="23" t="str">
        <f>VLOOKUP(A461, 'Session Data'!A:M,3,false)</f>
        <v>I-2</v>
      </c>
      <c r="G461" s="24" t="str">
        <f>VLOOKUP(A461, 'Session Data'!A:I,2,false)</f>
        <v>3:00 PM</v>
      </c>
      <c r="H461" s="23" t="str">
        <f>VLOOKUP(A461, 'Session Data'!A:J,5,false)</f>
        <v>Behavioral and Social Sciences 2</v>
      </c>
      <c r="I461" s="25" t="str">
        <f>VLOOKUP(A461, 'Session Data'!A:H,4,false)</f>
        <v>Poster</v>
      </c>
      <c r="J461" s="26" t="str">
        <f>VLOOKUP(A461, 'Session Data'!A:AA,14,false)</f>
        <v>Undergraduate</v>
      </c>
      <c r="K461" s="27" t="str">
        <f>VLOOKUP(A461, 'Session Data'!A:AA,15,false)</f>
        <v>Sciences</v>
      </c>
      <c r="L461" s="52" t="s">
        <v>73</v>
      </c>
      <c r="M461" s="29" t="str">
        <f>VLOOKUP(A461, 'Session Data'!A:K,11,false)</f>
        <v>Computer science </v>
      </c>
      <c r="N461" s="26" t="str">
        <f>IF(ISNA(VLOOKUP(A461, 'Award Abstract#'!C:C, 1, FALSE)), "No", "Yes")
</f>
        <v>No</v>
      </c>
      <c r="O461" s="29" t="str">
        <f>IF(ISNA(VLOOKUP(A461,'Award Abstract#'!B:B,1,FALSE)), "No", "Yes")</f>
        <v>No</v>
      </c>
      <c r="P461" s="29" t="str">
        <f>IF(ISNA(VLOOKUP(A461,'Award Abstract#'!E:E,1,FALSE)), "No", "Yes")</f>
        <v>No</v>
      </c>
      <c r="Q461" s="29" t="str">
        <f>IF(ISNA(VLOOKUP(A461,'Award Abstract#'!A:A,1,FALSE)), "No", "Yes")</f>
        <v>No</v>
      </c>
      <c r="R461" s="29" t="str">
        <f>IF(ISNA(VLOOKUP(A461,'Award Abstract#'!D:D,1,FALSE)), "No", "Yes")</f>
        <v>Yes</v>
      </c>
      <c r="S461" s="30" t="str">
        <f>VLOOKUP(A461, 'Session Data'!A:AA,27,false)</f>
        <v>Man</v>
      </c>
      <c r="T461" s="84"/>
      <c r="U461" s="84"/>
      <c r="V461" s="31" t="str">
        <f>VLOOKUP(A461, 'Session Data'!A:AA,8,false)</f>
        <v>Oscar</v>
      </c>
      <c r="W461" s="32" t="str">
        <f>VLOOKUP(A461, 'Session Data'!A:AA,9,false)</f>
        <v>Lopez</v>
      </c>
      <c r="X461" s="33" t="str">
        <f>VLOOKUP(A461, 'Session Data'!A:AA,12,false)</f>
        <v>Thirdhand Smoke in Homes: Fate, Characterization, and Remediation</v>
      </c>
      <c r="Y461" s="34" t="str">
        <f>VLOOKUP(A461, 'Session Data'!A:AA,22,false)</f>
        <v>Nicolas</v>
      </c>
      <c r="Z461" s="34" t="str">
        <f>VLOOKUP(A461, 'Session Data'!A:AA,23,false)</f>
        <v>Lopez-Galvez</v>
      </c>
      <c r="AA461" s="34" t="str">
        <f>VLOOKUP(A461, 'Session Data'!A:AA,25,false)</f>
        <v>Sciences</v>
      </c>
      <c r="AB461" s="34" t="str">
        <f>VLOOKUP(A461, 'Session Data'!A:AA,24,false)</f>
        <v>nilopez@sdsu.edu</v>
      </c>
      <c r="AC461" s="34" t="str">
        <f>VLOOKUP(A461, 'Session Data'!A:AA,16,false)</f>
        <v>NA</v>
      </c>
      <c r="AD461" s="35" t="str">
        <f>VLOOKUP(A461, 'Session Data'!A:U,17,false)</f>
        <v>NA</v>
      </c>
      <c r="AE461" s="35" t="str">
        <f>VLOOKUP(A461, 'Session Data'!A:U,18,false)</f>
        <v>NA</v>
      </c>
      <c r="AF461" s="35" t="str">
        <f>VLOOKUP(A461, 'Session Data'!A:U,19,false)</f>
        <v>NA</v>
      </c>
      <c r="AG461" s="35" t="str">
        <f>VLOOKUP(A461, 'Session Data'!A:U,20,false)</f>
        <v>NA</v>
      </c>
      <c r="AH461" s="35" t="str">
        <f>VLOOKUP(A461, 'Session Data'!A:U,21,false)</f>
        <v>NA</v>
      </c>
      <c r="AI461" s="34"/>
      <c r="AJ461" s="75"/>
      <c r="AK461" s="75"/>
      <c r="AL461" s="75"/>
      <c r="AM461" s="34" t="str">
        <f>VLOOKUP(A461, 'Session Data'!A:AA,10,false)</f>
        <v>olopezvazquez6096@sdsu.edu</v>
      </c>
      <c r="AN461" s="46"/>
      <c r="AO461" s="48"/>
      <c r="AP461" s="48"/>
      <c r="AQ461" s="48"/>
      <c r="AR461" s="48"/>
      <c r="AS461" s="48"/>
      <c r="AT461" s="48"/>
      <c r="AU461" s="48"/>
      <c r="AV461" s="48"/>
      <c r="AW461" s="48"/>
      <c r="AX461" s="48"/>
      <c r="AY461" s="43"/>
      <c r="AZ461" s="48"/>
      <c r="BA461" s="48"/>
      <c r="BB461" s="48"/>
      <c r="BC461" s="43"/>
      <c r="BD461" s="43"/>
      <c r="BE461" s="44"/>
      <c r="BF461" s="48"/>
      <c r="BG461" s="46"/>
    </row>
    <row r="462">
      <c r="A462" s="19" t="s">
        <v>533</v>
      </c>
      <c r="B462" s="20">
        <f>VLOOKUP(F462,'Session Count DO NOT EDIT'!$A:$C,3,FALSE)</f>
        <v>5</v>
      </c>
      <c r="C462" s="20">
        <f>COUNTIFS('Scores Import DO NOT EDIT'!D:D,A462)</f>
        <v>5</v>
      </c>
      <c r="D462" s="21">
        <f t="shared" si="1"/>
        <v>1</v>
      </c>
      <c r="E462" s="22">
        <f>AVERAGEIFS('Scores Import DO NOT EDIT'!L:L,'Scores Import DO NOT EDIT'!D:D,A462)</f>
        <v>28.6</v>
      </c>
      <c r="F462" s="23" t="str">
        <f>VLOOKUP(A462, 'Session Data'!A:M,3,false)</f>
        <v>I-2</v>
      </c>
      <c r="G462" s="24" t="str">
        <f>VLOOKUP(A462, 'Session Data'!A:I,2,false)</f>
        <v>3:00 PM</v>
      </c>
      <c r="H462" s="23" t="str">
        <f>VLOOKUP(A462, 'Session Data'!A:J,5,false)</f>
        <v>Behavioral and Social Sciences 2</v>
      </c>
      <c r="I462" s="25" t="str">
        <f>VLOOKUP(A462, 'Session Data'!A:H,4,false)</f>
        <v>Poster</v>
      </c>
      <c r="J462" s="26" t="str">
        <f>VLOOKUP(A462, 'Session Data'!A:AA,14,false)</f>
        <v>Undergraduate</v>
      </c>
      <c r="K462" s="27" t="str">
        <f>VLOOKUP(A462, 'Session Data'!A:AA,15,false)</f>
        <v>Sciences</v>
      </c>
      <c r="L462" s="49"/>
      <c r="M462" s="29" t="str">
        <f>VLOOKUP(A462, 'Session Data'!A:K,11,false)</f>
        <v>Bachelor of Arts in Psychology</v>
      </c>
      <c r="N462" s="26" t="str">
        <f>IF(ISNA(VLOOKUP(A462, 'Award Abstract#'!C:C, 1, FALSE)), "No", "Yes")
</f>
        <v>No</v>
      </c>
      <c r="O462" s="29" t="str">
        <f>IF(ISNA(VLOOKUP(A462,'Award Abstract#'!B:B,1,FALSE)), "No", "Yes")</f>
        <v>No</v>
      </c>
      <c r="P462" s="29" t="str">
        <f>IF(ISNA(VLOOKUP(A462,'Award Abstract#'!E:E,1,FALSE)), "No", "Yes")</f>
        <v>No</v>
      </c>
      <c r="Q462" s="29" t="str">
        <f>IF(ISNA(VLOOKUP(A462,'Award Abstract#'!A:A,1,FALSE)), "No", "Yes")</f>
        <v>No</v>
      </c>
      <c r="R462" s="29" t="str">
        <f>IF(ISNA(VLOOKUP(A462,'Award Abstract#'!D:D,1,FALSE)), "No", "Yes")</f>
        <v>No</v>
      </c>
      <c r="S462" s="30" t="str">
        <f>VLOOKUP(A462, 'Session Data'!A:AA,27,false)</f>
        <v>Prefer not to respond</v>
      </c>
      <c r="T462" s="84"/>
      <c r="U462" s="84"/>
      <c r="V462" s="31" t="str">
        <f>VLOOKUP(A462, 'Session Data'!A:AA,8,false)</f>
        <v>Andrea M.</v>
      </c>
      <c r="W462" s="32" t="str">
        <f>VLOOKUP(A462, 'Session Data'!A:AA,9,false)</f>
        <v>Chavira</v>
      </c>
      <c r="X462" s="33" t="str">
        <f>VLOOKUP(A462, 'Session Data'!A:AA,12,false)</f>
        <v>The Power of Support-Giving Increases Risk Perceptions of Alcohol Consumption</v>
      </c>
      <c r="Y462" s="34" t="str">
        <f>VLOOKUP(A462, 'Session Data'!A:AA,22,false)</f>
        <v>Alexis</v>
      </c>
      <c r="Z462" s="34" t="str">
        <f>VLOOKUP(A462, 'Session Data'!A:AA,23,false)</f>
        <v>Pinela</v>
      </c>
      <c r="AA462" s="34" t="str">
        <f>VLOOKUP(A462, 'Session Data'!A:AA,25,false)</f>
        <v>Other</v>
      </c>
      <c r="AB462" s="34" t="str">
        <f>VLOOKUP(A462, 'Session Data'!A:AA,24,false)</f>
        <v>avpinela@sdsu.edu</v>
      </c>
      <c r="AC462" s="34" t="str">
        <f>VLOOKUP(A462, 'Session Data'!A:AA,16,false)</f>
        <v/>
      </c>
      <c r="AD462" s="35" t="str">
        <f>VLOOKUP(A462, 'Session Data'!A:U,17,false)</f>
        <v/>
      </c>
      <c r="AE462" s="35" t="str">
        <f>VLOOKUP(A462, 'Session Data'!A:U,18,false)</f>
        <v/>
      </c>
      <c r="AF462" s="35" t="str">
        <f>VLOOKUP(A462, 'Session Data'!A:U,19,false)</f>
        <v/>
      </c>
      <c r="AG462" s="35" t="str">
        <f>VLOOKUP(A462, 'Session Data'!A:U,20,false)</f>
        <v/>
      </c>
      <c r="AH462" s="35" t="str">
        <f>VLOOKUP(A462, 'Session Data'!A:U,21,false)</f>
        <v/>
      </c>
      <c r="AI462" s="34"/>
      <c r="AJ462" s="75"/>
      <c r="AK462" s="75"/>
      <c r="AL462" s="75"/>
      <c r="AM462" s="34" t="str">
        <f>VLOOKUP(A462, 'Session Data'!A:AA,10,false)</f>
        <v>achavira4005@sdsu.edu</v>
      </c>
      <c r="AN462" s="46"/>
      <c r="AO462" s="48"/>
      <c r="AP462" s="48"/>
      <c r="AQ462" s="48"/>
      <c r="AR462" s="48"/>
      <c r="AS462" s="48"/>
      <c r="AT462" s="48"/>
      <c r="AU462" s="48"/>
      <c r="AV462" s="48"/>
      <c r="AW462" s="48"/>
      <c r="AX462" s="48"/>
      <c r="AY462" s="43"/>
      <c r="AZ462" s="48"/>
      <c r="BA462" s="48"/>
      <c r="BB462" s="48"/>
      <c r="BC462" s="43"/>
      <c r="BD462" s="43"/>
      <c r="BE462" s="44"/>
      <c r="BF462" s="48"/>
      <c r="BG462" s="43"/>
    </row>
    <row r="463">
      <c r="A463" s="19" t="s">
        <v>534</v>
      </c>
      <c r="B463" s="20">
        <f>VLOOKUP(F463,'Session Count DO NOT EDIT'!$A:$C,3,FALSE)</f>
        <v>4</v>
      </c>
      <c r="C463" s="20">
        <f>COUNTIFS('Scores Import DO NOT EDIT'!D:D,A463)</f>
        <v>3</v>
      </c>
      <c r="D463" s="21">
        <f t="shared" si="1"/>
        <v>0.75</v>
      </c>
      <c r="E463" s="22">
        <f>AVERAGEIFS('Scores Import DO NOT EDIT'!L:L,'Scores Import DO NOT EDIT'!D:D,A463)</f>
        <v>27.33333333</v>
      </c>
      <c r="F463" s="23" t="str">
        <f>VLOOKUP(A463, 'Session Data'!A:M,3,false)</f>
        <v>I-3</v>
      </c>
      <c r="G463" s="24" t="str">
        <f>VLOOKUP(A463, 'Session Data'!A:I,2,false)</f>
        <v>3:00 PM</v>
      </c>
      <c r="H463" s="23" t="str">
        <f>VLOOKUP(A463, 'Session Data'!A:J,5,false)</f>
        <v>Biological and Agricultural Sciences</v>
      </c>
      <c r="I463" s="25" t="str">
        <f>VLOOKUP(A463, 'Session Data'!A:H,4,false)</f>
        <v>Poster</v>
      </c>
      <c r="J463" s="26" t="str">
        <f>VLOOKUP(A463, 'Session Data'!A:AA,14,false)</f>
        <v>Undergraduate</v>
      </c>
      <c r="K463" s="27" t="str">
        <f>VLOOKUP(A463, 'Session Data'!A:AA,15,false)</f>
        <v>Sciences</v>
      </c>
      <c r="L463" s="47"/>
      <c r="M463" s="29" t="str">
        <f>VLOOKUP(A463, 'Session Data'!A:K,11,false)</f>
        <v>Bachelor of Science in Biology</v>
      </c>
      <c r="N463" s="26" t="str">
        <f>IF(ISNA(VLOOKUP(A463, 'Award Abstract#'!C:C, 1, FALSE)), "No", "Yes")
</f>
        <v>No</v>
      </c>
      <c r="O463" s="29" t="str">
        <f>IF(ISNA(VLOOKUP(A463,'Award Abstract#'!B:B,1,FALSE)), "No", "Yes")</f>
        <v>Yes</v>
      </c>
      <c r="P463" s="29" t="str">
        <f>IF(ISNA(VLOOKUP(A463,'Award Abstract#'!E:E,1,FALSE)), "No", "Yes")</f>
        <v>No</v>
      </c>
      <c r="Q463" s="29" t="str">
        <f>IF(ISNA(VLOOKUP(A463,'Award Abstract#'!A:A,1,FALSE)), "No", "Yes")</f>
        <v>No</v>
      </c>
      <c r="R463" s="29" t="str">
        <f>IF(ISNA(VLOOKUP(A463,'Award Abstract#'!D:D,1,FALSE)), "No", "Yes")</f>
        <v>No</v>
      </c>
      <c r="S463" s="30" t="str">
        <f>VLOOKUP(A463, 'Session Data'!A:AA,27,false)</f>
        <v>Woman</v>
      </c>
      <c r="T463" s="84"/>
      <c r="U463" s="84"/>
      <c r="V463" s="31" t="str">
        <f>VLOOKUP(A463, 'Session Data'!A:AA,8,false)</f>
        <v>Nicole</v>
      </c>
      <c r="W463" s="32" t="str">
        <f>VLOOKUP(A463, 'Session Data'!A:AA,9,false)</f>
        <v>Romero</v>
      </c>
      <c r="X463" s="33" t="str">
        <f>VLOOKUP(A463, 'Session Data'!A:AA,12,false)</f>
        <v>Growth kinetics analysis and biochemical composition characterization enable smart culturing of nutritious freshwater Chlorella vulgaris biomass to enhance space food</v>
      </c>
      <c r="Y463" s="34" t="str">
        <f>VLOOKUP(A463, 'Session Data'!A:AA,22,false)</f>
        <v>Cristal</v>
      </c>
      <c r="Z463" s="34" t="str">
        <f>VLOOKUP(A463, 'Session Data'!A:AA,23,false)</f>
        <v>Zuniga</v>
      </c>
      <c r="AA463" s="34" t="str">
        <f>VLOOKUP(A463, 'Session Data'!A:AA,25,false)</f>
        <v>Sciences</v>
      </c>
      <c r="AB463" s="34" t="str">
        <f>VLOOKUP(A463, 'Session Data'!A:AA,24,false)</f>
        <v>czuniga2@sdsu.edu</v>
      </c>
      <c r="AC463" s="34" t="str">
        <f>VLOOKUP(A463, 'Session Data'!A:AA,16,false)</f>
        <v/>
      </c>
      <c r="AD463" s="35" t="str">
        <f>VLOOKUP(A463, 'Session Data'!A:U,17,false)</f>
        <v/>
      </c>
      <c r="AE463" s="35" t="str">
        <f>VLOOKUP(A463, 'Session Data'!A:U,18,false)</f>
        <v/>
      </c>
      <c r="AF463" s="35" t="str">
        <f>VLOOKUP(A463, 'Session Data'!A:U,19,false)</f>
        <v/>
      </c>
      <c r="AG463" s="35" t="str">
        <f>VLOOKUP(A463, 'Session Data'!A:U,20,false)</f>
        <v/>
      </c>
      <c r="AH463" s="35" t="str">
        <f>VLOOKUP(A463, 'Session Data'!A:U,21,false)</f>
        <v/>
      </c>
      <c r="AI463" s="34"/>
      <c r="AJ463" s="75"/>
      <c r="AK463" s="75"/>
      <c r="AL463" s="75"/>
      <c r="AM463" s="34" t="str">
        <f>VLOOKUP(A463, 'Session Data'!A:AA,10,false)</f>
        <v>nromero3715@sdsu.edu</v>
      </c>
      <c r="AN463" s="46"/>
      <c r="AO463" s="48"/>
      <c r="AP463" s="48"/>
      <c r="AQ463" s="48"/>
      <c r="AR463" s="48"/>
      <c r="AS463" s="48"/>
      <c r="AT463" s="48"/>
      <c r="AU463" s="48"/>
      <c r="AV463" s="48"/>
      <c r="AW463" s="48"/>
      <c r="AX463" s="48"/>
      <c r="AY463" s="43"/>
      <c r="AZ463" s="48"/>
      <c r="BA463" s="48"/>
      <c r="BB463" s="48"/>
      <c r="BC463" s="43"/>
      <c r="BD463" s="43"/>
      <c r="BE463" s="44"/>
      <c r="BF463" s="48"/>
      <c r="BG463" s="43"/>
    </row>
    <row r="464">
      <c r="A464" s="19" t="s">
        <v>535</v>
      </c>
      <c r="B464" s="20">
        <f>VLOOKUP(F464,'Session Count DO NOT EDIT'!$A:$C,3,FALSE)</f>
        <v>4</v>
      </c>
      <c r="C464" s="20">
        <f>COUNTIFS('Scores Import DO NOT EDIT'!D:D,A464)</f>
        <v>4</v>
      </c>
      <c r="D464" s="21">
        <f t="shared" si="1"/>
        <v>1</v>
      </c>
      <c r="E464" s="22">
        <f>AVERAGEIFS('Scores Import DO NOT EDIT'!L:L,'Scores Import DO NOT EDIT'!D:D,A464)</f>
        <v>27</v>
      </c>
      <c r="F464" s="23" t="str">
        <f>VLOOKUP(A464, 'Session Data'!A:M,3,false)</f>
        <v>I-3</v>
      </c>
      <c r="G464" s="24" t="str">
        <f>VLOOKUP(A464, 'Session Data'!A:I,2,false)</f>
        <v>3:00 PM</v>
      </c>
      <c r="H464" s="23" t="str">
        <f>VLOOKUP(A464, 'Session Data'!A:J,5,false)</f>
        <v>Biological and Agricultural Sciences</v>
      </c>
      <c r="I464" s="25" t="str">
        <f>VLOOKUP(A464, 'Session Data'!A:H,4,false)</f>
        <v>Poster</v>
      </c>
      <c r="J464" s="26" t="str">
        <f>VLOOKUP(A464, 'Session Data'!A:AA,14,false)</f>
        <v>Undergraduate</v>
      </c>
      <c r="K464" s="27" t="str">
        <f>VLOOKUP(A464, 'Session Data'!A:AA,15,false)</f>
        <v>Sciences</v>
      </c>
      <c r="L464" s="47"/>
      <c r="M464" s="29" t="str">
        <f>VLOOKUP(A464, 'Session Data'!A:K,11,false)</f>
        <v>Bachelor of Science in Biology with an emphasis in Ecology</v>
      </c>
      <c r="N464" s="26" t="str">
        <f>IF(ISNA(VLOOKUP(A464, 'Award Abstract#'!C:C, 1, FALSE)), "No", "Yes")
</f>
        <v>No</v>
      </c>
      <c r="O464" s="29" t="str">
        <f>IF(ISNA(VLOOKUP(A464,'Award Abstract#'!B:B,1,FALSE)), "No", "Yes")</f>
        <v>Yes</v>
      </c>
      <c r="P464" s="29" t="str">
        <f>IF(ISNA(VLOOKUP(A464,'Award Abstract#'!E:E,1,FALSE)), "No", "Yes")</f>
        <v>No</v>
      </c>
      <c r="Q464" s="29" t="str">
        <f>IF(ISNA(VLOOKUP(A464,'Award Abstract#'!A:A,1,FALSE)), "No", "Yes")</f>
        <v>No</v>
      </c>
      <c r="R464" s="29" t="str">
        <f>IF(ISNA(VLOOKUP(A464,'Award Abstract#'!D:D,1,FALSE)), "No", "Yes")</f>
        <v>No</v>
      </c>
      <c r="S464" s="30" t="str">
        <f>VLOOKUP(A464, 'Session Data'!A:AA,27,false)</f>
        <v>Woman</v>
      </c>
      <c r="T464" s="84"/>
      <c r="U464" s="84"/>
      <c r="V464" s="31" t="str">
        <f>VLOOKUP(A464, 'Session Data'!A:AA,8,false)</f>
        <v>Lydia</v>
      </c>
      <c r="W464" s="32" t="str">
        <f>VLOOKUP(A464, 'Session Data'!A:AA,9,false)</f>
        <v>Duran</v>
      </c>
      <c r="X464" s="33" t="str">
        <f>VLOOKUP(A464, 'Session Data'!A:AA,12,false)</f>
        <v>Plant root exudate carbon and nitrogen increase with root mass and can vary among plant families</v>
      </c>
      <c r="Y464" s="34" t="str">
        <f>VLOOKUP(A464, 'Session Data'!A:AA,22,false)</f>
        <v>Nicholas</v>
      </c>
      <c r="Z464" s="34" t="str">
        <f>VLOOKUP(A464, 'Session Data'!A:AA,23,false)</f>
        <v>Barber </v>
      </c>
      <c r="AA464" s="34" t="str">
        <f>VLOOKUP(A464, 'Session Data'!A:AA,25,false)</f>
        <v>Sciences</v>
      </c>
      <c r="AB464" s="34" t="str">
        <f>VLOOKUP(A464, 'Session Data'!A:AA,24,false)</f>
        <v>nbarber@sdsu.edu</v>
      </c>
      <c r="AC464" s="34" t="str">
        <f>VLOOKUP(A464, 'Session Data'!A:AA,16,false)</f>
        <v/>
      </c>
      <c r="AD464" s="35" t="str">
        <f>VLOOKUP(A464, 'Session Data'!A:U,17,false)</f>
        <v/>
      </c>
      <c r="AE464" s="35" t="str">
        <f>VLOOKUP(A464, 'Session Data'!A:U,18,false)</f>
        <v/>
      </c>
      <c r="AF464" s="35" t="str">
        <f>VLOOKUP(A464, 'Session Data'!A:U,19,false)</f>
        <v/>
      </c>
      <c r="AG464" s="35" t="str">
        <f>VLOOKUP(A464, 'Session Data'!A:U,20,false)</f>
        <v/>
      </c>
      <c r="AH464" s="35" t="str">
        <f>VLOOKUP(A464, 'Session Data'!A:U,21,false)</f>
        <v/>
      </c>
      <c r="AI464" s="34"/>
      <c r="AJ464" s="75"/>
      <c r="AK464" s="75"/>
      <c r="AL464" s="75"/>
      <c r="AM464" s="34" t="str">
        <f>VLOOKUP(A464, 'Session Data'!A:AA,10,false)</f>
        <v>lduran2850@sdsu.edu</v>
      </c>
      <c r="AN464" s="46"/>
      <c r="AO464" s="48"/>
      <c r="AP464" s="48"/>
      <c r="AQ464" s="48"/>
      <c r="AR464" s="48"/>
      <c r="AS464" s="48"/>
      <c r="AT464" s="48"/>
      <c r="AU464" s="48"/>
      <c r="AV464" s="48"/>
      <c r="AW464" s="48"/>
      <c r="AX464" s="48"/>
      <c r="AY464" s="43"/>
      <c r="AZ464" s="48"/>
      <c r="BA464" s="48"/>
      <c r="BB464" s="48"/>
      <c r="BC464" s="43"/>
      <c r="BD464" s="43"/>
      <c r="BE464" s="44"/>
      <c r="BF464" s="48"/>
      <c r="BG464" s="43"/>
    </row>
    <row r="465">
      <c r="A465" s="19" t="s">
        <v>536</v>
      </c>
      <c r="B465" s="20">
        <f>VLOOKUP(F465,'Session Count DO NOT EDIT'!$A:$C,3,FALSE)</f>
        <v>4</v>
      </c>
      <c r="C465" s="20">
        <f>COUNTIFS('Scores Import DO NOT EDIT'!D:D,A465)</f>
        <v>2</v>
      </c>
      <c r="D465" s="21">
        <f t="shared" si="1"/>
        <v>0.5</v>
      </c>
      <c r="E465" s="22">
        <f>AVERAGEIFS('Scores Import DO NOT EDIT'!L:L,'Scores Import DO NOT EDIT'!D:D,A465)</f>
        <v>30.5</v>
      </c>
      <c r="F465" s="23" t="str">
        <f>VLOOKUP(A465, 'Session Data'!A:M,3,false)</f>
        <v>I-3</v>
      </c>
      <c r="G465" s="24" t="str">
        <f>VLOOKUP(A465, 'Session Data'!A:I,2,false)</f>
        <v>3:00 PM</v>
      </c>
      <c r="H465" s="23" t="str">
        <f>VLOOKUP(A465, 'Session Data'!A:J,5,false)</f>
        <v>Biological and Agricultural Sciences</v>
      </c>
      <c r="I465" s="25" t="str">
        <f>VLOOKUP(A465, 'Session Data'!A:H,4,false)</f>
        <v>Poster</v>
      </c>
      <c r="J465" s="26" t="str">
        <f>VLOOKUP(A465, 'Session Data'!A:AA,14,false)</f>
        <v>Undergraduate</v>
      </c>
      <c r="K465" s="27" t="str">
        <f>VLOOKUP(A465, 'Session Data'!A:AA,15,false)</f>
        <v>Sciences</v>
      </c>
      <c r="L465" s="47"/>
      <c r="M465" s="29" t="str">
        <f>VLOOKUP(A465, 'Session Data'!A:K,11,false)</f>
        <v>Bachelors of Science in Cellular and Molecular Biology, Minor in Chemistry and Minor in Interdisciplinary Studies</v>
      </c>
      <c r="N465" s="26" t="str">
        <f>IF(ISNA(VLOOKUP(A465, 'Award Abstract#'!C:C, 1, FALSE)), "No", "Yes")
</f>
        <v>No</v>
      </c>
      <c r="O465" s="29" t="str">
        <f>IF(ISNA(VLOOKUP(A465,'Award Abstract#'!B:B,1,FALSE)), "No", "Yes")</f>
        <v>No</v>
      </c>
      <c r="P465" s="29" t="str">
        <f>IF(ISNA(VLOOKUP(A465,'Award Abstract#'!E:E,1,FALSE)), "No", "Yes")</f>
        <v>No</v>
      </c>
      <c r="Q465" s="29" t="str">
        <f>IF(ISNA(VLOOKUP(A465,'Award Abstract#'!A:A,1,FALSE)), "No", "Yes")</f>
        <v>No</v>
      </c>
      <c r="R465" s="29" t="str">
        <f>IF(ISNA(VLOOKUP(A465,'Award Abstract#'!D:D,1,FALSE)), "No", "Yes")</f>
        <v>No</v>
      </c>
      <c r="S465" s="30" t="str">
        <f>VLOOKUP(A465, 'Session Data'!A:AA,27,false)</f>
        <v>Woman</v>
      </c>
      <c r="T465" s="84"/>
      <c r="U465" s="84"/>
      <c r="V465" s="31" t="str">
        <f>VLOOKUP(A465, 'Session Data'!A:AA,8,false)</f>
        <v>Kassidy</v>
      </c>
      <c r="W465" s="32" t="str">
        <f>VLOOKUP(A465, 'Session Data'!A:AA,9,false)</f>
        <v>Curtis</v>
      </c>
      <c r="X465" s="33" t="str">
        <f>VLOOKUP(A465, 'Session Data'!A:AA,12,false)</f>
        <v>Determining the Impact of Fibulin 3 on CA19-9-Mediated Pancreatic Ductal Adenocarcinoma Growth, Invasion, and Cell Signaling</v>
      </c>
      <c r="Y465" s="34" t="str">
        <f>VLOOKUP(A465, 'Session Data'!A:AA,22,false)</f>
        <v>John</v>
      </c>
      <c r="Z465" s="34" t="str">
        <f>VLOOKUP(A465, 'Session Data'!A:AA,23,false)</f>
        <v>Mokili</v>
      </c>
      <c r="AA465" s="34" t="str">
        <f>VLOOKUP(A465, 'Session Data'!A:AA,25,false)</f>
        <v>Sciences</v>
      </c>
      <c r="AB465" s="34" t="str">
        <f>VLOOKUP(A465, 'Session Data'!A:AA,24,false)</f>
        <v>jmokili@sdsu.edu</v>
      </c>
      <c r="AC465" s="34" t="str">
        <f>VLOOKUP(A465, 'Session Data'!A:AA,16,false)</f>
        <v/>
      </c>
      <c r="AD465" s="35" t="str">
        <f>VLOOKUP(A465, 'Session Data'!A:U,17,false)</f>
        <v/>
      </c>
      <c r="AE465" s="35" t="str">
        <f>VLOOKUP(A465, 'Session Data'!A:U,18,false)</f>
        <v/>
      </c>
      <c r="AF465" s="35" t="str">
        <f>VLOOKUP(A465, 'Session Data'!A:U,19,false)</f>
        <v/>
      </c>
      <c r="AG465" s="35" t="str">
        <f>VLOOKUP(A465, 'Session Data'!A:U,20,false)</f>
        <v/>
      </c>
      <c r="AH465" s="35" t="str">
        <f>VLOOKUP(A465, 'Session Data'!A:U,21,false)</f>
        <v/>
      </c>
      <c r="AI465" s="34"/>
      <c r="AJ465" s="75"/>
      <c r="AK465" s="75"/>
      <c r="AL465" s="75"/>
      <c r="AM465" s="34" t="str">
        <f>VLOOKUP(A465, 'Session Data'!A:AA,10,false)</f>
        <v>kcurtis3005@sdsu.edu</v>
      </c>
      <c r="AN465" s="46"/>
      <c r="AO465" s="43"/>
      <c r="AP465" s="43"/>
      <c r="AQ465" s="48"/>
      <c r="AR465" s="48"/>
      <c r="AS465" s="48"/>
      <c r="AT465" s="48"/>
      <c r="AU465" s="48"/>
      <c r="AV465" s="48"/>
      <c r="AW465" s="48"/>
      <c r="AX465" s="48"/>
      <c r="AY465" s="43"/>
      <c r="AZ465" s="48"/>
      <c r="BA465" s="48"/>
      <c r="BB465" s="48"/>
      <c r="BC465" s="43"/>
      <c r="BD465" s="43"/>
      <c r="BE465" s="44"/>
      <c r="BF465" s="48"/>
      <c r="BG465" s="43"/>
    </row>
    <row r="466">
      <c r="A466" s="19" t="s">
        <v>537</v>
      </c>
      <c r="B466" s="20">
        <f>VLOOKUP(F466,'Session Count DO NOT EDIT'!$A:$C,3,FALSE)</f>
        <v>4</v>
      </c>
      <c r="C466" s="20">
        <f>COUNTIFS('Scores Import DO NOT EDIT'!D:D,A466)</f>
        <v>4</v>
      </c>
      <c r="D466" s="21">
        <f t="shared" si="1"/>
        <v>1</v>
      </c>
      <c r="E466" s="22">
        <f>AVERAGEIFS('Scores Import DO NOT EDIT'!L:L,'Scores Import DO NOT EDIT'!D:D,A466)</f>
        <v>29.25</v>
      </c>
      <c r="F466" s="23" t="str">
        <f>VLOOKUP(A466, 'Session Data'!A:M,3,false)</f>
        <v>I-3</v>
      </c>
      <c r="G466" s="24" t="str">
        <f>VLOOKUP(A466, 'Session Data'!A:I,2,false)</f>
        <v>3:00 PM</v>
      </c>
      <c r="H466" s="23" t="str">
        <f>VLOOKUP(A466, 'Session Data'!A:J,5,false)</f>
        <v>Biological and Agricultural Sciences</v>
      </c>
      <c r="I466" s="25" t="str">
        <f>VLOOKUP(A466, 'Session Data'!A:H,4,false)</f>
        <v>Poster</v>
      </c>
      <c r="J466" s="26" t="str">
        <f>VLOOKUP(A466, 'Session Data'!A:AA,14,false)</f>
        <v>Undergraduate</v>
      </c>
      <c r="K466" s="27" t="str">
        <f>VLOOKUP(A466, 'Session Data'!A:AA,15,false)</f>
        <v>Sciences</v>
      </c>
      <c r="L466" s="47"/>
      <c r="M466" s="29" t="str">
        <f>VLOOKUP(A466, 'Session Data'!A:K,11,false)</f>
        <v>Biology: Emphasis in Cell/Molecular </v>
      </c>
      <c r="N466" s="26" t="str">
        <f>IF(ISNA(VLOOKUP(A466, 'Award Abstract#'!C:C, 1, FALSE)), "No", "Yes")
</f>
        <v>No</v>
      </c>
      <c r="O466" s="29" t="str">
        <f>IF(ISNA(VLOOKUP(A466,'Award Abstract#'!B:B,1,FALSE)), "No", "Yes")</f>
        <v>No</v>
      </c>
      <c r="P466" s="29" t="str">
        <f>IF(ISNA(VLOOKUP(A466,'Award Abstract#'!E:E,1,FALSE)), "No", "Yes")</f>
        <v>No</v>
      </c>
      <c r="Q466" s="29" t="str">
        <f>IF(ISNA(VLOOKUP(A466,'Award Abstract#'!A:A,1,FALSE)), "No", "Yes")</f>
        <v>No</v>
      </c>
      <c r="R466" s="29" t="str">
        <f>IF(ISNA(VLOOKUP(A466,'Award Abstract#'!D:D,1,FALSE)), "No", "Yes")</f>
        <v>No</v>
      </c>
      <c r="S466" s="30" t="str">
        <f>VLOOKUP(A466, 'Session Data'!A:AA,27,false)</f>
        <v>Man</v>
      </c>
      <c r="T466" s="90"/>
      <c r="U466" s="90"/>
      <c r="V466" s="31" t="str">
        <f>VLOOKUP(A466, 'Session Data'!A:AA,8,false)</f>
        <v>Dylan</v>
      </c>
      <c r="W466" s="32" t="str">
        <f>VLOOKUP(A466, 'Session Data'!A:AA,9,false)</f>
        <v>Matloub</v>
      </c>
      <c r="X466" s="33" t="str">
        <f>VLOOKUP(A466, 'Session Data'!A:AA,12,false)</f>
        <v>Mechanistic Insights into Bordetella atropi Resistance in Wild Nematodes</v>
      </c>
      <c r="Y466" s="34" t="str">
        <f>VLOOKUP(A466, 'Session Data'!A:AA,22,false)</f>
        <v>Candyd</v>
      </c>
      <c r="Z466" s="34" t="str">
        <f>VLOOKUP(A466, 'Session Data'!A:AA,23,false)</f>
        <v>Velasquez</v>
      </c>
      <c r="AA466" s="34" t="str">
        <f>VLOOKUP(A466, 'Session Data'!A:AA,25,false)</f>
        <v>Sciences</v>
      </c>
      <c r="AB466" s="34" t="str">
        <f>VLOOKUP(A466, 'Session Data'!A:AA,24,false)</f>
        <v>cvelasquez4715@sdsu.edu</v>
      </c>
      <c r="AC466" s="34" t="str">
        <f>VLOOKUP(A466, 'Session Data'!A:AA,16,false)</f>
        <v/>
      </c>
      <c r="AD466" s="35" t="str">
        <f>VLOOKUP(A466, 'Session Data'!A:U,17,false)</f>
        <v/>
      </c>
      <c r="AE466" s="35" t="str">
        <f>VLOOKUP(A466, 'Session Data'!A:U,18,false)</f>
        <v/>
      </c>
      <c r="AF466" s="35" t="str">
        <f>VLOOKUP(A466, 'Session Data'!A:U,19,false)</f>
        <v/>
      </c>
      <c r="AG466" s="35" t="str">
        <f>VLOOKUP(A466, 'Session Data'!A:U,20,false)</f>
        <v/>
      </c>
      <c r="AH466" s="35" t="str">
        <f>VLOOKUP(A466, 'Session Data'!A:U,21,false)</f>
        <v/>
      </c>
      <c r="AI466" s="34"/>
      <c r="AJ466" s="75"/>
      <c r="AK466" s="75"/>
      <c r="AL466" s="75"/>
      <c r="AM466" s="34" t="str">
        <f>VLOOKUP(A466, 'Session Data'!A:AA,10,false)</f>
        <v>dmatloub8447@sdsu.edu</v>
      </c>
      <c r="AN466" s="46"/>
      <c r="AO466" s="48"/>
      <c r="AP466" s="48"/>
      <c r="AQ466" s="48"/>
      <c r="AR466" s="48"/>
      <c r="AS466" s="48"/>
      <c r="AT466" s="48"/>
      <c r="AU466" s="48"/>
      <c r="AV466" s="48"/>
      <c r="AW466" s="48"/>
      <c r="AX466" s="48"/>
      <c r="AY466" s="43"/>
      <c r="AZ466" s="48"/>
      <c r="BA466" s="48"/>
      <c r="BB466" s="48"/>
      <c r="BC466" s="43"/>
      <c r="BD466" s="43"/>
      <c r="BE466" s="91"/>
      <c r="BF466" s="48"/>
      <c r="BG466" s="43"/>
    </row>
    <row r="467">
      <c r="A467" s="19" t="s">
        <v>538</v>
      </c>
      <c r="B467" s="20">
        <f>VLOOKUP(F467,'Session Count DO NOT EDIT'!$A:$C,3,FALSE)</f>
        <v>4</v>
      </c>
      <c r="C467" s="20">
        <f>COUNTIFS('Scores Import DO NOT EDIT'!D:D,A467)</f>
        <v>4</v>
      </c>
      <c r="D467" s="21">
        <f t="shared" si="1"/>
        <v>1</v>
      </c>
      <c r="E467" s="22">
        <f>AVERAGEIFS('Scores Import DO NOT EDIT'!L:L,'Scores Import DO NOT EDIT'!D:D,A467)</f>
        <v>28.75</v>
      </c>
      <c r="F467" s="23" t="str">
        <f>VLOOKUP(A467, 'Session Data'!A:M,3,false)</f>
        <v>I-3</v>
      </c>
      <c r="G467" s="24" t="str">
        <f>VLOOKUP(A467, 'Session Data'!A:I,2,false)</f>
        <v>3:00 PM</v>
      </c>
      <c r="H467" s="23" t="str">
        <f>VLOOKUP(A467, 'Session Data'!A:J,5,false)</f>
        <v>Biological and Agricultural Sciences</v>
      </c>
      <c r="I467" s="25" t="str">
        <f>VLOOKUP(A467, 'Session Data'!A:H,4,false)</f>
        <v>Poster</v>
      </c>
      <c r="J467" s="26" t="str">
        <f>VLOOKUP(A467, 'Session Data'!A:AA,14,false)</f>
        <v>Undergraduate</v>
      </c>
      <c r="K467" s="27" t="str">
        <f>VLOOKUP(A467, 'Session Data'!A:AA,15,false)</f>
        <v>Sciences</v>
      </c>
      <c r="L467" s="47"/>
      <c r="M467" s="29" t="str">
        <f>VLOOKUP(A467, 'Session Data'!A:K,11,false)</f>
        <v>Bachelor of Science in Biology - emphasis in Cellular and Molecular Biology </v>
      </c>
      <c r="N467" s="26" t="str">
        <f>IF(ISNA(VLOOKUP(A467, 'Award Abstract#'!C:C, 1, FALSE)), "No", "Yes")
</f>
        <v>No</v>
      </c>
      <c r="O467" s="29" t="str">
        <f>IF(ISNA(VLOOKUP(A467,'Award Abstract#'!B:B,1,FALSE)), "No", "Yes")</f>
        <v>No</v>
      </c>
      <c r="P467" s="29" t="str">
        <f>IF(ISNA(VLOOKUP(A467,'Award Abstract#'!E:E,1,FALSE)), "No", "Yes")</f>
        <v>No</v>
      </c>
      <c r="Q467" s="29" t="str">
        <f>IF(ISNA(VLOOKUP(A467,'Award Abstract#'!A:A,1,FALSE)), "No", "Yes")</f>
        <v>No</v>
      </c>
      <c r="R467" s="29" t="str">
        <f>IF(ISNA(VLOOKUP(A467,'Award Abstract#'!D:D,1,FALSE)), "No", "Yes")</f>
        <v>No</v>
      </c>
      <c r="S467" s="30" t="str">
        <f>VLOOKUP(A467, 'Session Data'!A:AA,27,false)</f>
        <v>Woman</v>
      </c>
      <c r="T467" s="84"/>
      <c r="U467" s="84"/>
      <c r="V467" s="31" t="str">
        <f>VLOOKUP(A467, 'Session Data'!A:AA,8,false)</f>
        <v>Shivani</v>
      </c>
      <c r="W467" s="32" t="str">
        <f>VLOOKUP(A467, 'Session Data'!A:AA,9,false)</f>
        <v>Mahesh</v>
      </c>
      <c r="X467" s="33" t="str">
        <f>VLOOKUP(A467, 'Session Data'!A:AA,12,false)</f>
        <v>Transposon mutagenesis strategy to discover lipopolysaccharide mutants  </v>
      </c>
      <c r="Y467" s="34" t="str">
        <f>VLOOKUP(A467, 'Session Data'!A:AA,22,false)</f>
        <v>Morgan </v>
      </c>
      <c r="Z467" s="34" t="str">
        <f>VLOOKUP(A467, 'Session Data'!A:AA,23,false)</f>
        <v>Farrell</v>
      </c>
      <c r="AA467" s="34" t="str">
        <f>VLOOKUP(A467, 'Session Data'!A:AA,25,false)</f>
        <v>Sciences</v>
      </c>
      <c r="AB467" s="34" t="str">
        <f>VLOOKUP(A467, 'Session Data'!A:AA,24,false)</f>
        <v>mfarrell2094@sdsu.edu</v>
      </c>
      <c r="AC467" s="34" t="str">
        <f>VLOOKUP(A467, 'Session Data'!A:AA,16,false)</f>
        <v/>
      </c>
      <c r="AD467" s="35" t="str">
        <f>VLOOKUP(A467, 'Session Data'!A:U,17,false)</f>
        <v/>
      </c>
      <c r="AE467" s="35" t="str">
        <f>VLOOKUP(A467, 'Session Data'!A:U,18,false)</f>
        <v/>
      </c>
      <c r="AF467" s="35" t="str">
        <f>VLOOKUP(A467, 'Session Data'!A:U,19,false)</f>
        <v/>
      </c>
      <c r="AG467" s="35" t="str">
        <f>VLOOKUP(A467, 'Session Data'!A:U,20,false)</f>
        <v/>
      </c>
      <c r="AH467" s="35" t="str">
        <f>VLOOKUP(A467, 'Session Data'!A:U,21,false)</f>
        <v/>
      </c>
      <c r="AI467" s="34"/>
      <c r="AJ467" s="75"/>
      <c r="AK467" s="75"/>
      <c r="AL467" s="75"/>
      <c r="AM467" s="34" t="str">
        <f>VLOOKUP(A467, 'Session Data'!A:AA,10,false)</f>
        <v>smahesh4716@sdsu.edu</v>
      </c>
      <c r="AN467" s="46"/>
      <c r="AO467" s="48"/>
      <c r="AP467" s="48"/>
      <c r="AQ467" s="48"/>
      <c r="AR467" s="48"/>
      <c r="AS467" s="48"/>
      <c r="AT467" s="48"/>
      <c r="AU467" s="48"/>
      <c r="AV467" s="48"/>
      <c r="AW467" s="48"/>
      <c r="AX467" s="48"/>
      <c r="AY467" s="43"/>
      <c r="AZ467" s="48"/>
      <c r="BA467" s="48"/>
      <c r="BB467" s="48"/>
      <c r="BC467" s="43"/>
      <c r="BD467" s="43"/>
      <c r="BE467" s="44"/>
      <c r="BF467" s="48"/>
      <c r="BG467" s="43"/>
    </row>
    <row r="468">
      <c r="A468" s="19" t="s">
        <v>539</v>
      </c>
      <c r="B468" s="20">
        <f>VLOOKUP(F468,'Session Count DO NOT EDIT'!$A:$C,3,FALSE)</f>
        <v>4</v>
      </c>
      <c r="C468" s="20">
        <f>COUNTIFS('Scores Import DO NOT EDIT'!D:D,A468)</f>
        <v>4</v>
      </c>
      <c r="D468" s="21">
        <f t="shared" si="1"/>
        <v>1</v>
      </c>
      <c r="E468" s="22">
        <f>AVERAGEIFS('Scores Import DO NOT EDIT'!L:L,'Scores Import DO NOT EDIT'!D:D,A468)</f>
        <v>26.5</v>
      </c>
      <c r="F468" s="23" t="str">
        <f>VLOOKUP(A468, 'Session Data'!A:M,3,false)</f>
        <v>I-3</v>
      </c>
      <c r="G468" s="24" t="str">
        <f>VLOOKUP(A468, 'Session Data'!A:I,2,false)</f>
        <v>3:00 PM</v>
      </c>
      <c r="H468" s="23" t="str">
        <f>VLOOKUP(A468, 'Session Data'!A:J,5,false)</f>
        <v>Biological and Agricultural Sciences</v>
      </c>
      <c r="I468" s="25" t="str">
        <f>VLOOKUP(A468, 'Session Data'!A:H,4,false)</f>
        <v>Poster</v>
      </c>
      <c r="J468" s="26" t="str">
        <f>VLOOKUP(A468, 'Session Data'!A:AA,14,false)</f>
        <v>Undergraduate</v>
      </c>
      <c r="K468" s="27" t="str">
        <f>VLOOKUP(A468, 'Session Data'!A:AA,15,false)</f>
        <v>Sciences</v>
      </c>
      <c r="L468" s="47"/>
      <c r="M468" s="29" t="str">
        <f>VLOOKUP(A468, 'Session Data'!A:K,11,false)</f>
        <v>Bachelor of Sciences, Biology</v>
      </c>
      <c r="N468" s="26" t="str">
        <f>IF(ISNA(VLOOKUP(A468, 'Award Abstract#'!C:C, 1, FALSE)), "No", "Yes")
</f>
        <v>No</v>
      </c>
      <c r="O468" s="29" t="str">
        <f>IF(ISNA(VLOOKUP(A468,'Award Abstract#'!B:B,1,FALSE)), "No", "Yes")</f>
        <v>No</v>
      </c>
      <c r="P468" s="29" t="str">
        <f>IF(ISNA(VLOOKUP(A468,'Award Abstract#'!E:E,1,FALSE)), "No", "Yes")</f>
        <v>No</v>
      </c>
      <c r="Q468" s="29" t="str">
        <f>IF(ISNA(VLOOKUP(A468,'Award Abstract#'!A:A,1,FALSE)), "No", "Yes")</f>
        <v>No</v>
      </c>
      <c r="R468" s="29" t="str">
        <f>IF(ISNA(VLOOKUP(A468,'Award Abstract#'!D:D,1,FALSE)), "No", "Yes")</f>
        <v>No</v>
      </c>
      <c r="S468" s="30" t="str">
        <f>VLOOKUP(A468, 'Session Data'!A:AA,27,false)</f>
        <v>Woman</v>
      </c>
      <c r="T468" s="84"/>
      <c r="U468" s="84"/>
      <c r="V468" s="31" t="str">
        <f>VLOOKUP(A468, 'Session Data'!A:AA,8,false)</f>
        <v>Sophie</v>
      </c>
      <c r="W468" s="32" t="str">
        <f>VLOOKUP(A468, 'Session Data'!A:AA,9,false)</f>
        <v>Rokaw</v>
      </c>
      <c r="X468" s="33" t="str">
        <f>VLOOKUP(A468, 'Session Data'!A:AA,12,false)</f>
        <v>Histological Assessment of Vaping-Induced Cardiopulmonary Injury </v>
      </c>
      <c r="Y468" s="34" t="str">
        <f>VLOOKUP(A468, 'Session Data'!A:AA,22,false)</f>
        <v>Mark</v>
      </c>
      <c r="Z468" s="34" t="str">
        <f>VLOOKUP(A468, 'Session Data'!A:AA,23,false)</f>
        <v>Sussman</v>
      </c>
      <c r="AA468" s="34" t="str">
        <f>VLOOKUP(A468, 'Session Data'!A:AA,25,false)</f>
        <v>Sciences</v>
      </c>
      <c r="AB468" s="34" t="str">
        <f>VLOOKUP(A468, 'Session Data'!A:AA,24,false)</f>
        <v>msussman@sdsu.edu</v>
      </c>
      <c r="AC468" s="34" t="str">
        <f>VLOOKUP(A468, 'Session Data'!A:AA,16,false)</f>
        <v>N/A</v>
      </c>
      <c r="AD468" s="35" t="str">
        <f>VLOOKUP(A468, 'Session Data'!A:U,17,false)</f>
        <v>N/A</v>
      </c>
      <c r="AE468" s="35" t="str">
        <f>VLOOKUP(A468, 'Session Data'!A:U,18,false)</f>
        <v>N/A</v>
      </c>
      <c r="AF468" s="35" t="str">
        <f>VLOOKUP(A468, 'Session Data'!A:U,19,false)</f>
        <v>N/A</v>
      </c>
      <c r="AG468" s="35" t="str">
        <f>VLOOKUP(A468, 'Session Data'!A:U,20,false)</f>
        <v>N/A</v>
      </c>
      <c r="AH468" s="35" t="str">
        <f>VLOOKUP(A468, 'Session Data'!A:U,21,false)</f>
        <v>N/A</v>
      </c>
      <c r="AI468" s="34"/>
      <c r="AJ468" s="75"/>
      <c r="AK468" s="75"/>
      <c r="AL468" s="75"/>
      <c r="AM468" s="34" t="str">
        <f>VLOOKUP(A468, 'Session Data'!A:AA,10,false)</f>
        <v>srokaw5067@sdsu.edu</v>
      </c>
      <c r="AN468" s="46"/>
      <c r="AO468" s="48"/>
      <c r="AP468" s="48"/>
      <c r="AQ468" s="48"/>
      <c r="AR468" s="48"/>
      <c r="AS468" s="48"/>
      <c r="AT468" s="48"/>
      <c r="AU468" s="48"/>
      <c r="AV468" s="48"/>
      <c r="AW468" s="48"/>
      <c r="AX468" s="48"/>
      <c r="AY468" s="43"/>
      <c r="AZ468" s="48"/>
      <c r="BA468" s="48"/>
      <c r="BB468" s="48"/>
      <c r="BC468" s="43"/>
      <c r="BD468" s="43"/>
      <c r="BE468" s="44"/>
      <c r="BF468" s="48"/>
      <c r="BG468" s="43"/>
    </row>
    <row r="469">
      <c r="A469" s="19" t="s">
        <v>540</v>
      </c>
      <c r="B469" s="20">
        <f>VLOOKUP(F469,'Session Count DO NOT EDIT'!$A:$C,3,FALSE)</f>
        <v>4</v>
      </c>
      <c r="C469" s="20">
        <f>COUNTIFS('Scores Import DO NOT EDIT'!D:D,A469)</f>
        <v>4</v>
      </c>
      <c r="D469" s="21">
        <f t="shared" si="1"/>
        <v>1</v>
      </c>
      <c r="E469" s="22">
        <f>AVERAGEIFS('Scores Import DO NOT EDIT'!L:L,'Scores Import DO NOT EDIT'!D:D,A469)</f>
        <v>25</v>
      </c>
      <c r="F469" s="23" t="str">
        <f>VLOOKUP(A469, 'Session Data'!A:M,3,false)</f>
        <v>I-3</v>
      </c>
      <c r="G469" s="24" t="str">
        <f>VLOOKUP(A469, 'Session Data'!A:I,2,false)</f>
        <v>3:00 PM</v>
      </c>
      <c r="H469" s="23" t="str">
        <f>VLOOKUP(A469, 'Session Data'!A:J,5,false)</f>
        <v>Biological and Agricultural Sciences</v>
      </c>
      <c r="I469" s="25" t="str">
        <f>VLOOKUP(A469, 'Session Data'!A:H,4,false)</f>
        <v>Poster</v>
      </c>
      <c r="J469" s="26" t="str">
        <f>VLOOKUP(A469, 'Session Data'!A:AA,14,false)</f>
        <v>Undergraduate</v>
      </c>
      <c r="K469" s="27" t="str">
        <f>VLOOKUP(A469, 'Session Data'!A:AA,15,false)</f>
        <v>Sciences</v>
      </c>
      <c r="L469" s="47"/>
      <c r="M469" s="29" t="str">
        <f>VLOOKUP(A469, 'Session Data'!A:K,11,false)</f>
        <v>Bachelor of science in microbiology with an emphasis in clinical laboratory science</v>
      </c>
      <c r="N469" s="26" t="str">
        <f>IF(ISNA(VLOOKUP(A469, 'Award Abstract#'!C:C, 1, FALSE)), "No", "Yes")
</f>
        <v>No</v>
      </c>
      <c r="O469" s="29" t="str">
        <f>IF(ISNA(VLOOKUP(A469,'Award Abstract#'!B:B,1,FALSE)), "No", "Yes")</f>
        <v>No</v>
      </c>
      <c r="P469" s="29" t="str">
        <f>IF(ISNA(VLOOKUP(A469,'Award Abstract#'!E:E,1,FALSE)), "No", "Yes")</f>
        <v>No</v>
      </c>
      <c r="Q469" s="29" t="str">
        <f>IF(ISNA(VLOOKUP(A469,'Award Abstract#'!A:A,1,FALSE)), "No", "Yes")</f>
        <v>No</v>
      </c>
      <c r="R469" s="29" t="str">
        <f>IF(ISNA(VLOOKUP(A469,'Award Abstract#'!D:D,1,FALSE)), "No", "Yes")</f>
        <v>No</v>
      </c>
      <c r="S469" s="30" t="str">
        <f>VLOOKUP(A469, 'Session Data'!A:AA,27,false)</f>
        <v>Woman</v>
      </c>
      <c r="T469" s="84"/>
      <c r="U469" s="84"/>
      <c r="V469" s="31" t="str">
        <f>VLOOKUP(A469, 'Session Data'!A:AA,8,false)</f>
        <v>Giselle Adeline</v>
      </c>
      <c r="W469" s="32" t="str">
        <f>VLOOKUP(A469, 'Session Data'!A:AA,9,false)</f>
        <v>Cunanan</v>
      </c>
      <c r="X469" s="33" t="str">
        <f>VLOOKUP(A469, 'Session Data'!A:AA,12,false)</f>
        <v>Role of Syncytiotrophoblast-derived extracellular vesicles in providing potential biomarkers for preeclampsia</v>
      </c>
      <c r="Y469" s="34" t="str">
        <f>VLOOKUP(A469, 'Session Data'!A:AA,22,false)</f>
        <v>Luiza</v>
      </c>
      <c r="Z469" s="34" t="str">
        <f>VLOOKUP(A469, 'Session Data'!A:AA,23,false)</f>
        <v>Perucci</v>
      </c>
      <c r="AA469" s="34" t="str">
        <f>VLOOKUP(A469, 'Session Data'!A:AA,25,false)</f>
        <v>Other</v>
      </c>
      <c r="AB469" s="34"/>
      <c r="AC469" s="34" t="str">
        <f>VLOOKUP(A469, 'Session Data'!A:AA,16,false)</f>
        <v>Omar</v>
      </c>
      <c r="AD469" s="35" t="str">
        <f>VLOOKUP(A469, 'Session Data'!A:U,17,false)</f>
        <v>Shahwan</v>
      </c>
      <c r="AE469" s="35" t="str">
        <f>VLOOKUP(A469, 'Session Data'!A:U,18,false)</f>
        <v/>
      </c>
      <c r="AF469" s="35" t="str">
        <f>VLOOKUP(A469, 'Session Data'!A:U,19,false)</f>
        <v/>
      </c>
      <c r="AG469" s="35" t="str">
        <f>VLOOKUP(A469, 'Session Data'!A:U,20,false)</f>
        <v/>
      </c>
      <c r="AH469" s="35" t="str">
        <f>VLOOKUP(A469, 'Session Data'!A:U,21,false)</f>
        <v/>
      </c>
      <c r="AI469" s="34"/>
      <c r="AJ469" s="75"/>
      <c r="AK469" s="75"/>
      <c r="AL469" s="75"/>
      <c r="AM469" s="34" t="str">
        <f>VLOOKUP(A469, 'Session Data'!A:AA,10,false)</f>
        <v>gcunanan9707@sdsu.edu</v>
      </c>
      <c r="AN469" s="46"/>
      <c r="AO469" s="48"/>
      <c r="AP469" s="48"/>
      <c r="AQ469" s="48"/>
      <c r="AR469" s="48"/>
      <c r="AS469" s="48"/>
      <c r="AT469" s="48"/>
      <c r="AU469" s="48"/>
      <c r="AV469" s="48"/>
      <c r="AW469" s="48"/>
      <c r="AX469" s="48"/>
      <c r="AY469" s="43"/>
      <c r="AZ469" s="48"/>
      <c r="BA469" s="48"/>
      <c r="BB469" s="48"/>
      <c r="BC469" s="43"/>
      <c r="BD469" s="43"/>
      <c r="BE469" s="44"/>
      <c r="BF469" s="48"/>
      <c r="BG469" s="46"/>
    </row>
    <row r="470">
      <c r="A470" s="19" t="s">
        <v>541</v>
      </c>
      <c r="B470" s="20">
        <f>VLOOKUP(F470,'Session Count DO NOT EDIT'!$A:$C,3,FALSE)</f>
        <v>3</v>
      </c>
      <c r="C470" s="20">
        <f>COUNTIFS('Scores Import DO NOT EDIT'!D:D,A470)</f>
        <v>2</v>
      </c>
      <c r="D470" s="21">
        <f t="shared" si="1"/>
        <v>0.6666666667</v>
      </c>
      <c r="E470" s="22">
        <f>AVERAGEIFS('Scores Import DO NOT EDIT'!L:L,'Scores Import DO NOT EDIT'!D:D,A470)</f>
        <v>35</v>
      </c>
      <c r="F470" s="23" t="str">
        <f>VLOOKUP(A470, 'Session Data'!A:M,3,false)</f>
        <v>I-4</v>
      </c>
      <c r="G470" s="24" t="str">
        <f>VLOOKUP(A470, 'Session Data'!A:I,2,false)</f>
        <v>3:00 PM</v>
      </c>
      <c r="H470" s="23" t="str">
        <f>VLOOKUP(A470, 'Session Data'!A:J,5,false)</f>
        <v>Education</v>
      </c>
      <c r="I470" s="25" t="str">
        <f>VLOOKUP(A470, 'Session Data'!A:H,4,false)</f>
        <v>Poster</v>
      </c>
      <c r="J470" s="26" t="str">
        <f>VLOOKUP(A470, 'Session Data'!A:AA,14,false)</f>
        <v>Undergraduate</v>
      </c>
      <c r="K470" s="27" t="str">
        <f>VLOOKUP(A470, 'Session Data'!A:AA,15,false)</f>
        <v>Arts and Letters</v>
      </c>
      <c r="L470" s="47"/>
      <c r="M470" s="29" t="str">
        <f>VLOOKUP(A470, 'Session Data'!A:K,11,false)</f>
        <v>ISCOR</v>
      </c>
      <c r="N470" s="26" t="str">
        <f>IF(ISNA(VLOOKUP(A470, 'Award Abstract#'!C:C, 1, FALSE)), "No", "Yes")
</f>
        <v>No</v>
      </c>
      <c r="O470" s="29" t="str">
        <f>IF(ISNA(VLOOKUP(A470,'Award Abstract#'!B:B,1,FALSE)), "No", "Yes")</f>
        <v>Yes</v>
      </c>
      <c r="P470" s="29" t="str">
        <f>IF(ISNA(VLOOKUP(A470,'Award Abstract#'!E:E,1,FALSE)), "No", "Yes")</f>
        <v>No</v>
      </c>
      <c r="Q470" s="29" t="str">
        <f>IF(ISNA(VLOOKUP(A470,'Award Abstract#'!A:A,1,FALSE)), "No", "Yes")</f>
        <v>No</v>
      </c>
      <c r="R470" s="29" t="str">
        <f>IF(ISNA(VLOOKUP(A470,'Award Abstract#'!D:D,1,FALSE)), "No", "Yes")</f>
        <v>No</v>
      </c>
      <c r="S470" s="30" t="str">
        <f>VLOOKUP(A470, 'Session Data'!A:AA,27,false)</f>
        <v>Woman</v>
      </c>
      <c r="T470" s="84"/>
      <c r="U470" s="84"/>
      <c r="V470" s="31" t="str">
        <f>VLOOKUP(A470, 'Session Data'!A:AA,8,false)</f>
        <v>Wahida</v>
      </c>
      <c r="W470" s="32" t="str">
        <f>VLOOKUP(A470, 'Session Data'!A:AA,9,false)</f>
        <v>Hamdard</v>
      </c>
      <c r="X470" s="33" t="str">
        <f>VLOOKUP(A470, 'Session Data'!A:AA,12,false)</f>
        <v>Light in the Darkness: Education for Afghan Women" </v>
      </c>
      <c r="Y470" s="34" t="str">
        <f>VLOOKUP(A470, 'Session Data'!A:AA,22,false)</f>
        <v>Cheryl </v>
      </c>
      <c r="Z470" s="34" t="str">
        <f>VLOOKUP(A470, 'Session Data'!A:AA,23,false)</f>
        <v>O'Brien </v>
      </c>
      <c r="AA470" s="34" t="str">
        <f>VLOOKUP(A470, 'Session Data'!A:AA,25,false)</f>
        <v>Arts and Letters</v>
      </c>
      <c r="AB470" s="34" t="str">
        <f>VLOOKUP(A470, 'Session Data'!A:AA,24,false)</f>
        <v>cobrien@sdsu.edu</v>
      </c>
      <c r="AC470" s="34" t="str">
        <f>VLOOKUP(A470, 'Session Data'!A:AA,16,false)</f>
        <v/>
      </c>
      <c r="AD470" s="35" t="str">
        <f>VLOOKUP(A470, 'Session Data'!A:U,17,false)</f>
        <v/>
      </c>
      <c r="AE470" s="35" t="str">
        <f>VLOOKUP(A470, 'Session Data'!A:U,18,false)</f>
        <v/>
      </c>
      <c r="AF470" s="35" t="str">
        <f>VLOOKUP(A470, 'Session Data'!A:U,19,false)</f>
        <v/>
      </c>
      <c r="AG470" s="35" t="str">
        <f>VLOOKUP(A470, 'Session Data'!A:U,20,false)</f>
        <v/>
      </c>
      <c r="AH470" s="35" t="str">
        <f>VLOOKUP(A470, 'Session Data'!A:U,21,false)</f>
        <v/>
      </c>
      <c r="AI470" s="34"/>
      <c r="AJ470" s="75"/>
      <c r="AK470" s="75"/>
      <c r="AL470" s="75"/>
      <c r="AM470" s="34" t="str">
        <f>VLOOKUP(A470, 'Session Data'!A:AA,10,false)</f>
        <v>whamdard2617@sdsu.edu</v>
      </c>
      <c r="AN470" s="46"/>
      <c r="AO470" s="43"/>
      <c r="AP470" s="43"/>
      <c r="AQ470" s="48"/>
      <c r="AR470" s="48"/>
      <c r="AS470" s="48"/>
      <c r="AT470" s="48"/>
      <c r="AU470" s="48"/>
      <c r="AV470" s="48"/>
      <c r="AW470" s="48"/>
      <c r="AX470" s="48"/>
      <c r="AY470" s="43"/>
      <c r="AZ470" s="48"/>
      <c r="BA470" s="48"/>
      <c r="BB470" s="48"/>
      <c r="BC470" s="43"/>
      <c r="BD470" s="43"/>
      <c r="BE470" s="44"/>
      <c r="BF470" s="48"/>
      <c r="BG470" s="43"/>
    </row>
    <row r="471">
      <c r="A471" s="19" t="s">
        <v>542</v>
      </c>
      <c r="B471" s="20">
        <f>VLOOKUP(F471,'Session Count DO NOT EDIT'!$A:$C,3,FALSE)</f>
        <v>3</v>
      </c>
      <c r="C471" s="20">
        <f>COUNTIFS('Scores Import DO NOT EDIT'!D:D,A471)</f>
        <v>1</v>
      </c>
      <c r="D471" s="21">
        <f t="shared" si="1"/>
        <v>0.3333333333</v>
      </c>
      <c r="E471" s="22">
        <f>AVERAGEIFS('Scores Import DO NOT EDIT'!L:L,'Scores Import DO NOT EDIT'!D:D,A471)</f>
        <v>35</v>
      </c>
      <c r="F471" s="23" t="str">
        <f>VLOOKUP(A471, 'Session Data'!A:M,3,false)</f>
        <v>I-4</v>
      </c>
      <c r="G471" s="24" t="str">
        <f>VLOOKUP(A471, 'Session Data'!A:I,2,false)</f>
        <v>3:00 PM</v>
      </c>
      <c r="H471" s="23" t="str">
        <f>VLOOKUP(A471, 'Session Data'!A:J,5,false)</f>
        <v>Education</v>
      </c>
      <c r="I471" s="25" t="str">
        <f>VLOOKUP(A471, 'Session Data'!A:H,4,false)</f>
        <v>Poster</v>
      </c>
      <c r="J471" s="26" t="str">
        <f>VLOOKUP(A471, 'Session Data'!A:AA,14,false)</f>
        <v>Undergraduate</v>
      </c>
      <c r="K471" s="27" t="str">
        <f>VLOOKUP(A471, 'Session Data'!A:AA,15,false)</f>
        <v>Education</v>
      </c>
      <c r="L471" s="28"/>
      <c r="M471" s="29" t="str">
        <f>VLOOKUP(A471, 'Session Data'!A:K,11,false)</f>
        <v>Interdisciplinary Studies in Three Departments</v>
      </c>
      <c r="N471" s="26" t="str">
        <f>IF(ISNA(VLOOKUP(A471, 'Award Abstract#'!C:C, 1, FALSE)), "No", "Yes")
</f>
        <v>No</v>
      </c>
      <c r="O471" s="29" t="str">
        <f>IF(ISNA(VLOOKUP(A471,'Award Abstract#'!B:B,1,FALSE)), "No", "Yes")</f>
        <v>Yes</v>
      </c>
      <c r="P471" s="29" t="str">
        <f>IF(ISNA(VLOOKUP(A471,'Award Abstract#'!E:E,1,FALSE)), "No", "Yes")</f>
        <v>No</v>
      </c>
      <c r="Q471" s="29" t="str">
        <f>IF(ISNA(VLOOKUP(A471,'Award Abstract#'!A:A,1,FALSE)), "No", "Yes")</f>
        <v>Yes</v>
      </c>
      <c r="R471" s="29" t="str">
        <f>IF(ISNA(VLOOKUP(A471,'Award Abstract#'!D:D,1,FALSE)), "No", "Yes")</f>
        <v>Yes</v>
      </c>
      <c r="S471" s="30" t="str">
        <f>VLOOKUP(A471, 'Session Data'!A:AA,27,false)</f>
        <v>Woman</v>
      </c>
      <c r="T471" s="84"/>
      <c r="U471" s="84"/>
      <c r="V471" s="31" t="str">
        <f>VLOOKUP(A471, 'Session Data'!A:AA,8,false)</f>
        <v>Dennisse</v>
      </c>
      <c r="W471" s="32" t="str">
        <f>VLOOKUP(A471, 'Session Data'!A:AA,9,false)</f>
        <v>Bell</v>
      </c>
      <c r="X471" s="33" t="str">
        <f>VLOOKUP(A471, 'Session Data'!A:AA,12,false)</f>
        <v>Exploring Educational Perspectives: A Study on Latine Students' Academic Performance Factors in High Schools</v>
      </c>
      <c r="Y471" s="34" t="str">
        <f>VLOOKUP(A471, 'Session Data'!A:AA,22,false)</f>
        <v>Wendy</v>
      </c>
      <c r="Z471" s="34" t="str">
        <f>VLOOKUP(A471, 'Session Data'!A:AA,23,false)</f>
        <v>Ochoa</v>
      </c>
      <c r="AA471" s="34" t="str">
        <f>VLOOKUP(A471, 'Session Data'!A:AA,25,false)</f>
        <v>Education</v>
      </c>
      <c r="AB471" s="34" t="str">
        <f>VLOOKUP(A471, 'Session Data'!A:AA,24,false)</f>
        <v>wochoa@sdsu.edu</v>
      </c>
      <c r="AC471" s="34" t="str">
        <f>VLOOKUP(A471, 'Session Data'!A:AA,16,false)</f>
        <v/>
      </c>
      <c r="AD471" s="35" t="str">
        <f>VLOOKUP(A471, 'Session Data'!A:U,17,false)</f>
        <v/>
      </c>
      <c r="AE471" s="35" t="str">
        <f>VLOOKUP(A471, 'Session Data'!A:U,18,false)</f>
        <v/>
      </c>
      <c r="AF471" s="35" t="str">
        <f>VLOOKUP(A471, 'Session Data'!A:U,19,false)</f>
        <v/>
      </c>
      <c r="AG471" s="35" t="str">
        <f>VLOOKUP(A471, 'Session Data'!A:U,20,false)</f>
        <v/>
      </c>
      <c r="AH471" s="35" t="str">
        <f>VLOOKUP(A471, 'Session Data'!A:U,21,false)</f>
        <v/>
      </c>
      <c r="AI471" s="34"/>
      <c r="AJ471" s="75"/>
      <c r="AK471" s="75"/>
      <c r="AL471" s="75"/>
      <c r="AM471" s="34" t="str">
        <f>VLOOKUP(A471, 'Session Data'!A:AA,10,false)</f>
        <v>dbell3545@sdsu.edu</v>
      </c>
      <c r="AN471" s="46"/>
      <c r="AO471" s="48"/>
      <c r="AP471" s="48"/>
      <c r="AQ471" s="48"/>
      <c r="AR471" s="48"/>
      <c r="AS471" s="48"/>
      <c r="AT471" s="48"/>
      <c r="AU471" s="48"/>
      <c r="AV471" s="48"/>
      <c r="AW471" s="48"/>
      <c r="AX471" s="48"/>
      <c r="AY471" s="43"/>
      <c r="AZ471" s="48"/>
      <c r="BA471" s="48"/>
      <c r="BB471" s="48"/>
      <c r="BC471" s="43"/>
      <c r="BD471" s="43"/>
      <c r="BE471" s="44"/>
      <c r="BF471" s="48"/>
      <c r="BG471" s="46"/>
    </row>
    <row r="472">
      <c r="A472" s="19" t="s">
        <v>543</v>
      </c>
      <c r="B472" s="20">
        <f>VLOOKUP(F472,'Session Count DO NOT EDIT'!$A:$C,3,FALSE)</f>
        <v>3</v>
      </c>
      <c r="C472" s="20">
        <f>COUNTIFS('Scores Import DO NOT EDIT'!D:D,A472)</f>
        <v>2</v>
      </c>
      <c r="D472" s="21">
        <f t="shared" si="1"/>
        <v>0.6666666667</v>
      </c>
      <c r="E472" s="22">
        <f>AVERAGEIFS('Scores Import DO NOT EDIT'!L:L,'Scores Import DO NOT EDIT'!D:D,A472)</f>
        <v>35</v>
      </c>
      <c r="F472" s="23" t="str">
        <f>VLOOKUP(A472, 'Session Data'!A:M,3,false)</f>
        <v>I-4</v>
      </c>
      <c r="G472" s="24" t="str">
        <f>VLOOKUP(A472, 'Session Data'!A:I,2,false)</f>
        <v>3:00 PM</v>
      </c>
      <c r="H472" s="23" t="str">
        <f>VLOOKUP(A472, 'Session Data'!A:J,5,false)</f>
        <v>Education</v>
      </c>
      <c r="I472" s="25" t="str">
        <f>VLOOKUP(A472, 'Session Data'!A:H,4,false)</f>
        <v>Poster</v>
      </c>
      <c r="J472" s="26" t="str">
        <f>VLOOKUP(A472, 'Session Data'!A:AA,14,false)</f>
        <v>Undergraduate</v>
      </c>
      <c r="K472" s="27" t="str">
        <f>VLOOKUP(A472, 'Session Data'!A:AA,15,false)</f>
        <v>Health and Human Services</v>
      </c>
      <c r="L472" s="47"/>
      <c r="M472" s="29" t="str">
        <f>VLOOKUP(A472, 'Session Data'!A:K,11,false)</f>
        <v>Speech, Language, and Hearing Sciences</v>
      </c>
      <c r="N472" s="26" t="str">
        <f>IF(ISNA(VLOOKUP(A472, 'Award Abstract#'!C:C, 1, FALSE)), "No", "Yes")
</f>
        <v>No</v>
      </c>
      <c r="O472" s="29" t="str">
        <f>IF(ISNA(VLOOKUP(A472,'Award Abstract#'!B:B,1,FALSE)), "No", "Yes")</f>
        <v>No</v>
      </c>
      <c r="P472" s="29" t="str">
        <f>IF(ISNA(VLOOKUP(A472,'Award Abstract#'!E:E,1,FALSE)), "No", "Yes")</f>
        <v>No</v>
      </c>
      <c r="Q472" s="29" t="str">
        <f>IF(ISNA(VLOOKUP(A472,'Award Abstract#'!A:A,1,FALSE)), "No", "Yes")</f>
        <v>No</v>
      </c>
      <c r="R472" s="29" t="str">
        <f>IF(ISNA(VLOOKUP(A472,'Award Abstract#'!D:D,1,FALSE)), "No", "Yes")</f>
        <v>No</v>
      </c>
      <c r="S472" s="30" t="str">
        <f>VLOOKUP(A472, 'Session Data'!A:AA,27,false)</f>
        <v>Woman</v>
      </c>
      <c r="T472" s="84"/>
      <c r="U472" s="84"/>
      <c r="V472" s="31" t="str">
        <f>VLOOKUP(A472, 'Session Data'!A:AA,8,false)</f>
        <v>Lilly</v>
      </c>
      <c r="W472" s="32" t="str">
        <f>VLOOKUP(A472, 'Session Data'!A:AA,9,false)</f>
        <v>Arellano</v>
      </c>
      <c r="X472" s="33" t="str">
        <f>VLOOKUP(A472, 'Session Data'!A:AA,12,false)</f>
        <v>Predictors of accuracy in Spanish reading comprehension in bilingual school-aged students</v>
      </c>
      <c r="Y472" s="34" t="str">
        <f>VLOOKUP(A472, 'Session Data'!A:AA,22,false)</f>
        <v>Ashley </v>
      </c>
      <c r="Z472" s="34" t="str">
        <f>VLOOKUP(A472, 'Session Data'!A:AA,23,false)</f>
        <v>Sanabria</v>
      </c>
      <c r="AA472" s="34" t="str">
        <f>VLOOKUP(A472, 'Session Data'!A:AA,25,false)</f>
        <v>Health and Human Services</v>
      </c>
      <c r="AB472" s="34" t="str">
        <f>VLOOKUP(A472, 'Session Data'!A:AA,24,false)</f>
        <v>aadams2@sdsu.edu</v>
      </c>
      <c r="AC472" s="34" t="str">
        <f>VLOOKUP(A472, 'Session Data'!A:AA,16,false)</f>
        <v>Sabrina</v>
      </c>
      <c r="AD472" s="35" t="str">
        <f>VLOOKUP(A472, 'Session Data'!A:U,17,false)</f>
        <v>Haugum-Diego</v>
      </c>
      <c r="AE472" s="35" t="str">
        <f>VLOOKUP(A472, 'Session Data'!A:U,18,false)</f>
        <v>Kenia</v>
      </c>
      <c r="AF472" s="35" t="str">
        <f>VLOOKUP(A472, 'Session Data'!A:U,19,false)</f>
        <v>Hernandez</v>
      </c>
      <c r="AG472" s="35" t="str">
        <f>VLOOKUP(A472, 'Session Data'!A:U,20,false)</f>
        <v/>
      </c>
      <c r="AH472" s="35" t="str">
        <f>VLOOKUP(A472, 'Session Data'!A:U,21,false)</f>
        <v/>
      </c>
      <c r="AI472" s="34"/>
      <c r="AJ472" s="75"/>
      <c r="AK472" s="75"/>
      <c r="AL472" s="75"/>
      <c r="AM472" s="34" t="str">
        <f>VLOOKUP(A472, 'Session Data'!A:AA,10,false)</f>
        <v>larellano3069@sdsu.edu</v>
      </c>
      <c r="AN472" s="46"/>
      <c r="AO472" s="43"/>
      <c r="AP472" s="43"/>
      <c r="AQ472" s="48"/>
      <c r="AR472" s="48"/>
      <c r="AS472" s="48"/>
      <c r="AT472" s="48"/>
      <c r="AU472" s="48"/>
      <c r="AV472" s="48"/>
      <c r="AW472" s="48"/>
      <c r="AX472" s="48"/>
      <c r="AY472" s="43"/>
      <c r="AZ472" s="48"/>
      <c r="BA472" s="48"/>
      <c r="BB472" s="48"/>
      <c r="BC472" s="43"/>
      <c r="BD472" s="43"/>
      <c r="BE472" s="44"/>
      <c r="BF472" s="48"/>
      <c r="BG472" s="46"/>
    </row>
    <row r="473">
      <c r="A473" s="19" t="s">
        <v>544</v>
      </c>
      <c r="B473" s="20">
        <f>VLOOKUP(F473,'Session Count DO NOT EDIT'!$A:$C,3,FALSE)</f>
        <v>3</v>
      </c>
      <c r="C473" s="20">
        <f>COUNTIFS('Scores Import DO NOT EDIT'!D:D,A473)</f>
        <v>2</v>
      </c>
      <c r="D473" s="21">
        <f t="shared" si="1"/>
        <v>0.6666666667</v>
      </c>
      <c r="E473" s="22">
        <f>AVERAGEIFS('Scores Import DO NOT EDIT'!L:L,'Scores Import DO NOT EDIT'!D:D,A473)</f>
        <v>35</v>
      </c>
      <c r="F473" s="23" t="str">
        <f>VLOOKUP(A473, 'Session Data'!A:M,3,false)</f>
        <v>I-4</v>
      </c>
      <c r="G473" s="24" t="str">
        <f>VLOOKUP(A473, 'Session Data'!A:I,2,false)</f>
        <v>3:00 PM</v>
      </c>
      <c r="H473" s="23" t="str">
        <f>VLOOKUP(A473, 'Session Data'!A:J,5,false)</f>
        <v>Education</v>
      </c>
      <c r="I473" s="25" t="str">
        <f>VLOOKUP(A473, 'Session Data'!A:H,4,false)</f>
        <v>Poster</v>
      </c>
      <c r="J473" s="26" t="str">
        <f>VLOOKUP(A473, 'Session Data'!A:AA,14,false)</f>
        <v>Undergraduate</v>
      </c>
      <c r="K473" s="27" t="str">
        <f>VLOOKUP(A473, 'Session Data'!A:AA,15,false)</f>
        <v/>
      </c>
      <c r="L473" s="47"/>
      <c r="M473" s="29" t="str">
        <f>VLOOKUP(A473, 'Session Data'!A:K,11,false)</f>
        <v>Bachelor of Arts in Psychology</v>
      </c>
      <c r="N473" s="26" t="str">
        <f>IF(ISNA(VLOOKUP(A473, 'Award Abstract#'!C:C, 1, FALSE)), "No", "Yes")
</f>
        <v>No</v>
      </c>
      <c r="O473" s="29" t="str">
        <f>IF(ISNA(VLOOKUP(A473,'Award Abstract#'!B:B,1,FALSE)), "No", "Yes")</f>
        <v>No</v>
      </c>
      <c r="P473" s="29" t="str">
        <f>IF(ISNA(VLOOKUP(A473,'Award Abstract#'!E:E,1,FALSE)), "No", "Yes")</f>
        <v>No</v>
      </c>
      <c r="Q473" s="29" t="str">
        <f>IF(ISNA(VLOOKUP(A473,'Award Abstract#'!A:A,1,FALSE)), "No", "Yes")</f>
        <v>No</v>
      </c>
      <c r="R473" s="29" t="str">
        <f>IF(ISNA(VLOOKUP(A473,'Award Abstract#'!D:D,1,FALSE)), "No", "Yes")</f>
        <v>Yes</v>
      </c>
      <c r="S473" s="30" t="str">
        <f>VLOOKUP(A473, 'Session Data'!A:AA,27,false)</f>
        <v/>
      </c>
      <c r="T473" s="84"/>
      <c r="U473" s="84"/>
      <c r="V473" s="31" t="str">
        <f>VLOOKUP(A473, 'Session Data'!A:AA,8,false)</f>
        <v>Christaysha</v>
      </c>
      <c r="W473" s="32" t="str">
        <f>VLOOKUP(A473, 'Session Data'!A:AA,9,false)</f>
        <v>McDowell</v>
      </c>
      <c r="X473" s="33" t="str">
        <f>VLOOKUP(A473, 'Session Data'!A:AA,12,false)</f>
        <v>The Henrietta Goodwin Scholars Program and its Influence on Academic Success among African American Students at San Diego State University</v>
      </c>
      <c r="Y473" s="34" t="str">
        <f>VLOOKUP(A473, 'Session Data'!A:AA,22,false)</f>
        <v>Tonika</v>
      </c>
      <c r="Z473" s="34" t="str">
        <f>VLOOKUP(A473, 'Session Data'!A:AA,23,false)</f>
        <v>Green</v>
      </c>
      <c r="AA473" s="34" t="str">
        <f>VLOOKUP(A473, 'Session Data'!A:AA,25,false)</f>
        <v/>
      </c>
      <c r="AB473" s="34"/>
      <c r="AC473" s="34" t="str">
        <f>VLOOKUP(A473, 'Session Data'!A:AA,16,false)</f>
        <v/>
      </c>
      <c r="AD473" s="35" t="str">
        <f>VLOOKUP(A473, 'Session Data'!A:U,17,false)</f>
        <v/>
      </c>
      <c r="AE473" s="35" t="str">
        <f>VLOOKUP(A473, 'Session Data'!A:U,18,false)</f>
        <v/>
      </c>
      <c r="AF473" s="35" t="str">
        <f>VLOOKUP(A473, 'Session Data'!A:U,19,false)</f>
        <v/>
      </c>
      <c r="AG473" s="35" t="str">
        <f>VLOOKUP(A473, 'Session Data'!A:U,20,false)</f>
        <v/>
      </c>
      <c r="AH473" s="35" t="str">
        <f>VLOOKUP(A473, 'Session Data'!A:U,21,false)</f>
        <v/>
      </c>
      <c r="AI473" s="34"/>
      <c r="AJ473" s="35"/>
      <c r="AK473" s="35"/>
      <c r="AL473" s="34"/>
      <c r="AM473" s="34" t="str">
        <f>VLOOKUP(A473, 'Session Data'!A:AA,10,false)</f>
        <v>cmcdowell8236@sdsu.edu</v>
      </c>
      <c r="AN473" s="46"/>
      <c r="AO473" s="48"/>
      <c r="AP473" s="48"/>
      <c r="AQ473" s="48"/>
      <c r="AR473" s="48"/>
      <c r="AS473" s="48"/>
      <c r="AT473" s="48"/>
      <c r="AU473" s="48"/>
      <c r="AV473" s="48"/>
      <c r="AW473" s="48"/>
      <c r="AX473" s="48"/>
      <c r="AY473" s="43"/>
      <c r="AZ473" s="48"/>
      <c r="BA473" s="48"/>
      <c r="BB473" s="48"/>
      <c r="BC473" s="43"/>
      <c r="BD473" s="43"/>
      <c r="BE473" s="44"/>
      <c r="BF473" s="48"/>
      <c r="BG473" s="43"/>
    </row>
    <row r="474">
      <c r="A474" s="19" t="s">
        <v>545</v>
      </c>
      <c r="B474" s="20">
        <f>VLOOKUP(F474,'Session Count DO NOT EDIT'!$A:$C,3,FALSE)</f>
        <v>3</v>
      </c>
      <c r="C474" s="20">
        <f>COUNTIFS('Scores Import DO NOT EDIT'!D:D,A474)</f>
        <v>2</v>
      </c>
      <c r="D474" s="21">
        <f t="shared" si="1"/>
        <v>0.6666666667</v>
      </c>
      <c r="E474" s="22">
        <f>AVERAGEIFS('Scores Import DO NOT EDIT'!L:L,'Scores Import DO NOT EDIT'!D:D,A474)</f>
        <v>34</v>
      </c>
      <c r="F474" s="23" t="str">
        <f>VLOOKUP(A474, 'Session Data'!A:M,3,false)</f>
        <v>I-4</v>
      </c>
      <c r="G474" s="24" t="str">
        <f>VLOOKUP(A474, 'Session Data'!A:I,2,false)</f>
        <v>3:00 PM</v>
      </c>
      <c r="H474" s="23" t="str">
        <f>VLOOKUP(A474, 'Session Data'!A:J,5,false)</f>
        <v>Education</v>
      </c>
      <c r="I474" s="25" t="str">
        <f>VLOOKUP(A474, 'Session Data'!A:H,4,false)</f>
        <v>Poster</v>
      </c>
      <c r="J474" s="26" t="str">
        <f>VLOOKUP(A474, 'Session Data'!A:AA,14,false)</f>
        <v>Undergraduate</v>
      </c>
      <c r="K474" s="27" t="str">
        <f>VLOOKUP(A474, 'Session Data'!A:AA,15,false)</f>
        <v>Education</v>
      </c>
      <c r="L474" s="28" t="s">
        <v>17</v>
      </c>
      <c r="M474" s="29" t="str">
        <f>VLOOKUP(A474, 'Session Data'!A:K,11,false)</f>
        <v>Bachelor of Arts in Liberal Studies</v>
      </c>
      <c r="N474" s="26" t="str">
        <f>IF(ISNA(VLOOKUP(A474, 'Award Abstract#'!C:C, 1, FALSE)), "No", "Yes")
</f>
        <v>No</v>
      </c>
      <c r="O474" s="29" t="str">
        <f>IF(ISNA(VLOOKUP(A474,'Award Abstract#'!B:B,1,FALSE)), "No", "Yes")</f>
        <v>No</v>
      </c>
      <c r="P474" s="29" t="str">
        <f>IF(ISNA(VLOOKUP(A474,'Award Abstract#'!E:E,1,FALSE)), "No", "Yes")</f>
        <v>No</v>
      </c>
      <c r="Q474" s="29" t="str">
        <f>IF(ISNA(VLOOKUP(A474,'Award Abstract#'!A:A,1,FALSE)), "No", "Yes")</f>
        <v>No</v>
      </c>
      <c r="R474" s="29" t="str">
        <f>IF(ISNA(VLOOKUP(A474,'Award Abstract#'!D:D,1,FALSE)), "No", "Yes")</f>
        <v>Yes</v>
      </c>
      <c r="S474" s="30" t="str">
        <f>VLOOKUP(A474, 'Session Data'!A:AA,27,false)</f>
        <v>Woman</v>
      </c>
      <c r="T474" s="84"/>
      <c r="U474" s="84"/>
      <c r="V474" s="31" t="str">
        <f>VLOOKUP(A474, 'Session Data'!A:AA,8,false)</f>
        <v>Shaye</v>
      </c>
      <c r="W474" s="32" t="str">
        <f>VLOOKUP(A474, 'Session Data'!A:AA,9,false)</f>
        <v>Phung</v>
      </c>
      <c r="X474" s="33" t="str">
        <f>VLOOKUP(A474, 'Session Data'!A:AA,12,false)</f>
        <v>Critical analysis of an undergraduate minor: curriculum alignment for the multicultural learning and working environment</v>
      </c>
      <c r="Y474" s="34" t="str">
        <f>VLOOKUP(A474, 'Session Data'!A:AA,22,false)</f>
        <v>Liz </v>
      </c>
      <c r="Z474" s="34" t="str">
        <f>VLOOKUP(A474, 'Session Data'!A:AA,23,false)</f>
        <v>Buffington</v>
      </c>
      <c r="AA474" s="34" t="str">
        <f>VLOOKUP(A474, 'Session Data'!A:AA,25,false)</f>
        <v>Education</v>
      </c>
      <c r="AB474" s="34" t="str">
        <f>VLOOKUP(A474, 'Session Data'!A:AA,24,false)</f>
        <v>ebuffington@sdsu.edu</v>
      </c>
      <c r="AC474" s="34" t="str">
        <f>VLOOKUP(A474, 'Session Data'!A:AA,16,false)</f>
        <v/>
      </c>
      <c r="AD474" s="35" t="str">
        <f>VLOOKUP(A474, 'Session Data'!A:U,17,false)</f>
        <v/>
      </c>
      <c r="AE474" s="35" t="str">
        <f>VLOOKUP(A474, 'Session Data'!A:U,18,false)</f>
        <v/>
      </c>
      <c r="AF474" s="35" t="str">
        <f>VLOOKUP(A474, 'Session Data'!A:U,19,false)</f>
        <v/>
      </c>
      <c r="AG474" s="35" t="str">
        <f>VLOOKUP(A474, 'Session Data'!A:U,20,false)</f>
        <v/>
      </c>
      <c r="AH474" s="35" t="str">
        <f>VLOOKUP(A474, 'Session Data'!A:U,21,false)</f>
        <v/>
      </c>
      <c r="AI474" s="34"/>
      <c r="AJ474" s="75"/>
      <c r="AK474" s="75"/>
      <c r="AL474" s="75"/>
      <c r="AM474" s="34" t="str">
        <f>VLOOKUP(A474, 'Session Data'!A:AA,10,false)</f>
        <v>sphung0395@sdsu.edu</v>
      </c>
      <c r="AN474" s="46"/>
      <c r="AO474" s="43"/>
      <c r="AP474" s="43"/>
      <c r="AQ474" s="43"/>
      <c r="AR474" s="43"/>
      <c r="AS474" s="43"/>
      <c r="AT474" s="43"/>
      <c r="AU474" s="48"/>
      <c r="AV474" s="48"/>
      <c r="AW474" s="48"/>
      <c r="AX474" s="48"/>
      <c r="AY474" s="43"/>
      <c r="AZ474" s="48"/>
      <c r="BA474" s="48"/>
      <c r="BB474" s="48"/>
      <c r="BC474" s="43"/>
      <c r="BD474" s="43"/>
      <c r="BE474" s="44"/>
      <c r="BF474" s="48"/>
      <c r="BG474" s="43"/>
    </row>
    <row r="475">
      <c r="A475" s="19" t="s">
        <v>546</v>
      </c>
      <c r="B475" s="20">
        <f>VLOOKUP(F475,'Session Count DO NOT EDIT'!$A:$C,3,FALSE)</f>
        <v>3</v>
      </c>
      <c r="C475" s="20">
        <f>COUNTIFS('Scores Import DO NOT EDIT'!D:D,A475)</f>
        <v>2</v>
      </c>
      <c r="D475" s="21">
        <f t="shared" si="1"/>
        <v>0.6666666667</v>
      </c>
      <c r="E475" s="22">
        <f>AVERAGEIFS('Scores Import DO NOT EDIT'!L:L,'Scores Import DO NOT EDIT'!D:D,A475)</f>
        <v>34</v>
      </c>
      <c r="F475" s="23" t="str">
        <f>VLOOKUP(A475, 'Session Data'!A:M,3,false)</f>
        <v>I-4</v>
      </c>
      <c r="G475" s="24" t="str">
        <f>VLOOKUP(A475, 'Session Data'!A:I,2,false)</f>
        <v>3:00 PM</v>
      </c>
      <c r="H475" s="23" t="str">
        <f>VLOOKUP(A475, 'Session Data'!A:J,5,false)</f>
        <v>Education</v>
      </c>
      <c r="I475" s="25" t="str">
        <f>VLOOKUP(A475, 'Session Data'!A:H,4,false)</f>
        <v>Poster</v>
      </c>
      <c r="J475" s="26" t="str">
        <f>VLOOKUP(A475, 'Session Data'!A:AA,14,false)</f>
        <v>Undergraduate</v>
      </c>
      <c r="K475" s="27" t="str">
        <f>VLOOKUP(A475, 'Session Data'!A:AA,15,false)</f>
        <v>Education</v>
      </c>
      <c r="L475" s="47"/>
      <c r="M475" s="29" t="str">
        <f>VLOOKUP(A475, 'Session Data'!A:K,11,false)</f>
        <v>English</v>
      </c>
      <c r="N475" s="26" t="str">
        <f>IF(ISNA(VLOOKUP(A475, 'Award Abstract#'!C:C, 1, FALSE)), "No", "Yes")
</f>
        <v>No</v>
      </c>
      <c r="O475" s="29" t="str">
        <f>IF(ISNA(VLOOKUP(A475,'Award Abstract#'!B:B,1,FALSE)), "No", "Yes")</f>
        <v>No</v>
      </c>
      <c r="P475" s="29" t="str">
        <f>IF(ISNA(VLOOKUP(A475,'Award Abstract#'!E:E,1,FALSE)), "No", "Yes")</f>
        <v>No</v>
      </c>
      <c r="Q475" s="29" t="str">
        <f>IF(ISNA(VLOOKUP(A475,'Award Abstract#'!A:A,1,FALSE)), "No", "Yes")</f>
        <v>No</v>
      </c>
      <c r="R475" s="29" t="str">
        <f>IF(ISNA(VLOOKUP(A475,'Award Abstract#'!D:D,1,FALSE)), "No", "Yes")</f>
        <v>No</v>
      </c>
      <c r="S475" s="30" t="str">
        <f>VLOOKUP(A475, 'Session Data'!A:AA,27,false)</f>
        <v>Woman</v>
      </c>
      <c r="T475" s="84"/>
      <c r="U475" s="84"/>
      <c r="V475" s="31" t="str">
        <f>VLOOKUP(A475, 'Session Data'!A:AA,8,false)</f>
        <v>Alexia</v>
      </c>
      <c r="W475" s="32" t="str">
        <f>VLOOKUP(A475, 'Session Data'!A:AA,9,false)</f>
        <v>Reyes</v>
      </c>
      <c r="X475" s="33" t="str">
        <f>VLOOKUP(A475, 'Session Data'!A:AA,12,false)</f>
        <v>Soy de Aquí y Soy de Allá: Exploring Transfronteriza College Students’ Sense of Belonging at the Imperial Valley-Mexicali Borderlands </v>
      </c>
      <c r="Y475" s="34" t="str">
        <f>VLOOKUP(A475, 'Session Data'!A:AA,22,false)</f>
        <v>Vannessa</v>
      </c>
      <c r="Z475" s="34" t="str">
        <f>VLOOKUP(A475, 'Session Data'!A:AA,23,false)</f>
        <v>Falcón Orta</v>
      </c>
      <c r="AA475" s="34" t="str">
        <f>VLOOKUP(A475, 'Session Data'!A:AA,25,false)</f>
        <v>Education</v>
      </c>
      <c r="AB475" s="34" t="str">
        <f>VLOOKUP(A475, 'Session Data'!A:AA,24,false)</f>
        <v>Falcon@sdsu.edu</v>
      </c>
      <c r="AC475" s="34" t="str">
        <f>VLOOKUP(A475, 'Session Data'!A:AA,16,false)</f>
        <v>Perla</v>
      </c>
      <c r="AD475" s="35" t="str">
        <f>VLOOKUP(A475, 'Session Data'!A:U,17,false)</f>
        <v>Soto-Urzua</v>
      </c>
      <c r="AE475" s="35" t="str">
        <f>VLOOKUP(A475, 'Session Data'!A:U,18,false)</f>
        <v/>
      </c>
      <c r="AF475" s="35" t="str">
        <f>VLOOKUP(A475, 'Session Data'!A:U,19,false)</f>
        <v/>
      </c>
      <c r="AG475" s="35" t="str">
        <f>VLOOKUP(A475, 'Session Data'!A:U,20,false)</f>
        <v/>
      </c>
      <c r="AH475" s="35" t="str">
        <f>VLOOKUP(A475, 'Session Data'!A:U,21,false)</f>
        <v/>
      </c>
      <c r="AI475" s="34"/>
      <c r="AJ475" s="75"/>
      <c r="AK475" s="75"/>
      <c r="AL475" s="75"/>
      <c r="AM475" s="34" t="str">
        <f>VLOOKUP(A475, 'Session Data'!A:AA,10,false)</f>
        <v>areyes3605@sdsu.edu</v>
      </c>
      <c r="AN475" s="46"/>
      <c r="AO475" s="43"/>
      <c r="AP475" s="43"/>
      <c r="AQ475" s="48"/>
      <c r="AR475" s="48"/>
      <c r="AS475" s="48"/>
      <c r="AT475" s="48"/>
      <c r="AU475" s="48"/>
      <c r="AV475" s="48"/>
      <c r="AW475" s="48"/>
      <c r="AX475" s="48"/>
      <c r="AY475" s="43"/>
      <c r="AZ475" s="48"/>
      <c r="BA475" s="48"/>
      <c r="BB475" s="48"/>
      <c r="BC475" s="43"/>
      <c r="BD475" s="43"/>
      <c r="BE475" s="44"/>
      <c r="BF475" s="48"/>
      <c r="BG475" s="46"/>
    </row>
    <row r="476">
      <c r="A476" s="19" t="s">
        <v>547</v>
      </c>
      <c r="B476" s="20">
        <f>VLOOKUP(F476,'Session Count DO NOT EDIT'!$A:$C,3,FALSE)</f>
        <v>3</v>
      </c>
      <c r="C476" s="20">
        <f>COUNTIFS('Scores Import DO NOT EDIT'!D:D,A476)</f>
        <v>2</v>
      </c>
      <c r="D476" s="21">
        <f t="shared" si="1"/>
        <v>0.6666666667</v>
      </c>
      <c r="E476" s="22">
        <f>AVERAGEIFS('Scores Import DO NOT EDIT'!L:L,'Scores Import DO NOT EDIT'!D:D,A476)</f>
        <v>33</v>
      </c>
      <c r="F476" s="23" t="str">
        <f>VLOOKUP(A476, 'Session Data'!A:M,3,false)</f>
        <v>I-4</v>
      </c>
      <c r="G476" s="24" t="str">
        <f>VLOOKUP(A476, 'Session Data'!A:I,2,false)</f>
        <v>3:00 PM</v>
      </c>
      <c r="H476" s="23" t="str">
        <f>VLOOKUP(A476, 'Session Data'!A:J,5,false)</f>
        <v>Education</v>
      </c>
      <c r="I476" s="25" t="str">
        <f>VLOOKUP(A476, 'Session Data'!A:H,4,false)</f>
        <v>Poster</v>
      </c>
      <c r="J476" s="26" t="str">
        <f>VLOOKUP(A476, 'Session Data'!A:AA,14,false)</f>
        <v>Undergraduate</v>
      </c>
      <c r="K476" s="27" t="str">
        <f>VLOOKUP(A476, 'Session Data'!A:AA,15,false)</f>
        <v>Education</v>
      </c>
      <c r="L476" s="28" t="s">
        <v>187</v>
      </c>
      <c r="M476" s="29" t="str">
        <f>VLOOKUP(A476, 'Session Data'!A:K,11,false)</f>
        <v>Bachelor of Science in Child Development &amp; Bachelor of Arts in Journalism with an Emphasis in Media Studies</v>
      </c>
      <c r="N476" s="26" t="str">
        <f>IF(ISNA(VLOOKUP(A476, 'Award Abstract#'!C:C, 1, FALSE)), "No", "Yes")
</f>
        <v>No</v>
      </c>
      <c r="O476" s="29" t="str">
        <f>IF(ISNA(VLOOKUP(A476,'Award Abstract#'!B:B,1,FALSE)), "No", "Yes")</f>
        <v>No</v>
      </c>
      <c r="P476" s="29" t="str">
        <f>IF(ISNA(VLOOKUP(A476,'Award Abstract#'!E:E,1,FALSE)), "No", "Yes")</f>
        <v>No</v>
      </c>
      <c r="Q476" s="29" t="str">
        <f>IF(ISNA(VLOOKUP(A476,'Award Abstract#'!A:A,1,FALSE)), "No", "Yes")</f>
        <v>No</v>
      </c>
      <c r="R476" s="29" t="str">
        <f>IF(ISNA(VLOOKUP(A476,'Award Abstract#'!D:D,1,FALSE)), "No", "Yes")</f>
        <v>No</v>
      </c>
      <c r="S476" s="30" t="str">
        <f>VLOOKUP(A476, 'Session Data'!A:AA,27,false)</f>
        <v>Woman</v>
      </c>
      <c r="T476" s="84"/>
      <c r="U476" s="84"/>
      <c r="V476" s="31" t="str">
        <f>VLOOKUP(A476, 'Session Data'!A:AA,8,false)</f>
        <v>Victoria</v>
      </c>
      <c r="W476" s="32" t="str">
        <f>VLOOKUP(A476, 'Session Data'!A:AA,9,false)</f>
        <v>Rietz</v>
      </c>
      <c r="X476" s="33" t="str">
        <f>VLOOKUP(A476, 'Session Data'!A:AA,12,false)</f>
        <v>Examining the Interaction Between Teachers and their Students in Head Start Classrooms</v>
      </c>
      <c r="Y476" s="34" t="str">
        <f>VLOOKUP(A476, 'Session Data'!A:AA,22,false)</f>
        <v>Wendy</v>
      </c>
      <c r="Z476" s="34" t="str">
        <f>VLOOKUP(A476, 'Session Data'!A:AA,23,false)</f>
        <v>Ochoa </v>
      </c>
      <c r="AA476" s="34" t="str">
        <f>VLOOKUP(A476, 'Session Data'!A:AA,25,false)</f>
        <v>Education</v>
      </c>
      <c r="AB476" s="34" t="str">
        <f>VLOOKUP(A476, 'Session Data'!A:AA,24,false)</f>
        <v>wochoa@sdsu.edu</v>
      </c>
      <c r="AC476" s="34" t="str">
        <f>VLOOKUP(A476, 'Session Data'!A:AA,16,false)</f>
        <v/>
      </c>
      <c r="AD476" s="35" t="str">
        <f>VLOOKUP(A476, 'Session Data'!A:U,17,false)</f>
        <v/>
      </c>
      <c r="AE476" s="35" t="str">
        <f>VLOOKUP(A476, 'Session Data'!A:U,18,false)</f>
        <v/>
      </c>
      <c r="AF476" s="35" t="str">
        <f>VLOOKUP(A476, 'Session Data'!A:U,19,false)</f>
        <v/>
      </c>
      <c r="AG476" s="35" t="str">
        <f>VLOOKUP(A476, 'Session Data'!A:U,20,false)</f>
        <v/>
      </c>
      <c r="AH476" s="35" t="str">
        <f>VLOOKUP(A476, 'Session Data'!A:U,21,false)</f>
        <v/>
      </c>
      <c r="AI476" s="34"/>
      <c r="AJ476" s="75"/>
      <c r="AK476" s="75"/>
      <c r="AL476" s="75"/>
      <c r="AM476" s="34" t="str">
        <f>VLOOKUP(A476, 'Session Data'!A:AA,10,false)</f>
        <v>vrietz5213@sdsu.edu</v>
      </c>
      <c r="AN476" s="46"/>
      <c r="AO476" s="48"/>
      <c r="AP476" s="48"/>
      <c r="AQ476" s="48"/>
      <c r="AR476" s="48"/>
      <c r="AS476" s="48"/>
      <c r="AT476" s="48"/>
      <c r="AU476" s="48"/>
      <c r="AV476" s="48"/>
      <c r="AW476" s="48"/>
      <c r="AX476" s="48"/>
      <c r="AY476" s="43"/>
      <c r="AZ476" s="48"/>
      <c r="BA476" s="48"/>
      <c r="BB476" s="48"/>
      <c r="BC476" s="43"/>
      <c r="BD476" s="43"/>
      <c r="BE476" s="44"/>
      <c r="BF476" s="43"/>
      <c r="BG476" s="48"/>
    </row>
    <row r="477">
      <c r="A477" s="19" t="s">
        <v>548</v>
      </c>
      <c r="B477" s="20">
        <f>VLOOKUP(F477,'Session Count DO NOT EDIT'!$A:$C,3,FALSE)</f>
        <v>3</v>
      </c>
      <c r="C477" s="20">
        <f>COUNTIFS('Scores Import DO NOT EDIT'!D:D,A477)</f>
        <v>2</v>
      </c>
      <c r="D477" s="21">
        <f t="shared" si="1"/>
        <v>0.6666666667</v>
      </c>
      <c r="E477" s="22">
        <f>AVERAGEIFS('Scores Import DO NOT EDIT'!L:L,'Scores Import DO NOT EDIT'!D:D,A477)</f>
        <v>33</v>
      </c>
      <c r="F477" s="23" t="str">
        <f>VLOOKUP(A477, 'Session Data'!A:M,3,false)</f>
        <v>I-4</v>
      </c>
      <c r="G477" s="24" t="str">
        <f>VLOOKUP(A477, 'Session Data'!A:I,2,false)</f>
        <v>3:00 PM</v>
      </c>
      <c r="H477" s="23" t="str">
        <f>VLOOKUP(A477, 'Session Data'!A:J,5,false)</f>
        <v>Education</v>
      </c>
      <c r="I477" s="25" t="str">
        <f>VLOOKUP(A477, 'Session Data'!A:H,4,false)</f>
        <v>Poster</v>
      </c>
      <c r="J477" s="26" t="str">
        <f>VLOOKUP(A477, 'Session Data'!A:AA,14,false)</f>
        <v>Undergraduate</v>
      </c>
      <c r="K477" s="27" t="str">
        <f>VLOOKUP(A477, 'Session Data'!A:AA,15,false)</f>
        <v>Sciences</v>
      </c>
      <c r="L477" s="52" t="s">
        <v>17</v>
      </c>
      <c r="M477" s="29" t="str">
        <f>VLOOKUP(A477, 'Session Data'!A:K,11,false)</f>
        <v>Computer Science</v>
      </c>
      <c r="N477" s="26" t="str">
        <f>IF(ISNA(VLOOKUP(A477, 'Award Abstract#'!C:C, 1, FALSE)), "No", "Yes")
</f>
        <v>No</v>
      </c>
      <c r="O477" s="29" t="str">
        <f>IF(ISNA(VLOOKUP(A477,'Award Abstract#'!B:B,1,FALSE)), "No", "Yes")</f>
        <v>No</v>
      </c>
      <c r="P477" s="29" t="str">
        <f>IF(ISNA(VLOOKUP(A477,'Award Abstract#'!E:E,1,FALSE)), "No", "Yes")</f>
        <v>No</v>
      </c>
      <c r="Q477" s="29" t="str">
        <f>IF(ISNA(VLOOKUP(A477,'Award Abstract#'!A:A,1,FALSE)), "No", "Yes")</f>
        <v>No</v>
      </c>
      <c r="R477" s="29" t="str">
        <f>IF(ISNA(VLOOKUP(A477,'Award Abstract#'!D:D,1,FALSE)), "No", "Yes")</f>
        <v>Yes</v>
      </c>
      <c r="S477" s="30" t="str">
        <f>VLOOKUP(A477, 'Session Data'!A:AA,27,false)</f>
        <v>Man</v>
      </c>
      <c r="T477" s="84"/>
      <c r="U477" s="84"/>
      <c r="V477" s="31" t="str">
        <f>VLOOKUP(A477, 'Session Data'!A:AA,8,false)</f>
        <v>James</v>
      </c>
      <c r="W477" s="32" t="str">
        <f>VLOOKUP(A477, 'Session Data'!A:AA,9,false)</f>
        <v>Marsh</v>
      </c>
      <c r="X477" s="33" t="str">
        <f>VLOOKUP(A477, 'Session Data'!A:AA,12,false)</f>
        <v>The Impact of Spatial Skills in a Mid-Major Computer Science Course</v>
      </c>
      <c r="Y477" s="34" t="str">
        <f>VLOOKUP(A477, 'Session Data'!A:AA,22,false)</f>
        <v>Miranda</v>
      </c>
      <c r="Z477" s="34" t="str">
        <f>VLOOKUP(A477, 'Session Data'!A:AA,23,false)</f>
        <v>Parker</v>
      </c>
      <c r="AA477" s="34" t="str">
        <f>VLOOKUP(A477, 'Session Data'!A:AA,25,false)</f>
        <v>Sciences</v>
      </c>
      <c r="AB477" s="34" t="str">
        <f>VLOOKUP(A477, 'Session Data'!A:AA,24,false)</f>
        <v>mcparker@sdsu.edu</v>
      </c>
      <c r="AC477" s="34" t="str">
        <f>VLOOKUP(A477, 'Session Data'!A:AA,16,false)</f>
        <v>Anna</v>
      </c>
      <c r="AD477" s="35" t="str">
        <f>VLOOKUP(A477, 'Session Data'!A:U,17,false)</f>
        <v>Nguyen</v>
      </c>
      <c r="AE477" s="35" t="str">
        <f>VLOOKUP(A477, 'Session Data'!A:U,18,false)</f>
        <v>Garen</v>
      </c>
      <c r="AF477" s="35" t="str">
        <f>VLOOKUP(A477, 'Session Data'!A:U,19,false)</f>
        <v>Vehouni</v>
      </c>
      <c r="AG477" s="35" t="str">
        <f>VLOOKUP(A477, 'Session Data'!A:U,20,false)</f>
        <v>Chloe</v>
      </c>
      <c r="AH477" s="35" t="str">
        <f>VLOOKUP(A477, 'Session Data'!A:U,21,false)</f>
        <v>Salazar</v>
      </c>
      <c r="AI477" s="34"/>
      <c r="AJ477" s="75"/>
      <c r="AK477" s="75"/>
      <c r="AL477" s="75"/>
      <c r="AM477" s="34" t="str">
        <f>VLOOKUP(A477, 'Session Data'!A:AA,10,false)</f>
        <v>jmarsh4238@sdsu.edu</v>
      </c>
      <c r="AN477" s="46"/>
      <c r="AO477" s="48"/>
      <c r="AP477" s="48"/>
      <c r="AQ477" s="48"/>
      <c r="AR477" s="48"/>
      <c r="AS477" s="48"/>
      <c r="AT477" s="48"/>
      <c r="AU477" s="48"/>
      <c r="AV477" s="48"/>
      <c r="AW477" s="48"/>
      <c r="AX477" s="48"/>
      <c r="AY477" s="43"/>
      <c r="AZ477" s="48"/>
      <c r="BA477" s="48"/>
      <c r="BB477" s="48"/>
      <c r="BC477" s="43"/>
      <c r="BD477" s="43"/>
      <c r="BE477" s="44"/>
      <c r="BF477" s="48"/>
      <c r="BG477" s="46"/>
    </row>
    <row r="478">
      <c r="A478" s="19" t="s">
        <v>549</v>
      </c>
      <c r="B478" s="20">
        <f>VLOOKUP(F478,'Session Count DO NOT EDIT'!$A:$C,3,FALSE)</f>
        <v>4</v>
      </c>
      <c r="C478" s="20">
        <f>COUNTIFS('Scores Import DO NOT EDIT'!D:D,A478)</f>
        <v>2</v>
      </c>
      <c r="D478" s="21">
        <f t="shared" si="1"/>
        <v>0.5</v>
      </c>
      <c r="E478" s="22">
        <f>AVERAGEIFS('Scores Import DO NOT EDIT'!L:L,'Scores Import DO NOT EDIT'!D:D,A478)</f>
        <v>24.5</v>
      </c>
      <c r="F478" s="23" t="str">
        <f>VLOOKUP(A478, 'Session Data'!A:M,3,false)</f>
        <v>I-5</v>
      </c>
      <c r="G478" s="24" t="str">
        <f>VLOOKUP(A478, 'Session Data'!A:I,2,false)</f>
        <v>3:00 PM</v>
      </c>
      <c r="H478" s="23" t="str">
        <f>VLOOKUP(A478, 'Session Data'!A:J,5,false)</f>
        <v>Behavioral and Social Sciences</v>
      </c>
      <c r="I478" s="25" t="str">
        <f>VLOOKUP(A478, 'Session Data'!A:H,4,false)</f>
        <v>Poster</v>
      </c>
      <c r="J478" s="26" t="str">
        <f>VLOOKUP(A478, 'Session Data'!A:AA,14,false)</f>
        <v>Master's</v>
      </c>
      <c r="K478" s="27" t="str">
        <f>VLOOKUP(A478, 'Session Data'!A:AA,15,false)</f>
        <v>Arts and Letters</v>
      </c>
      <c r="L478" s="28"/>
      <c r="M478" s="29" t="str">
        <f>VLOOKUP(A478, 'Session Data'!A:K,11,false)</f>
        <v>Masters of Arts in Geography</v>
      </c>
      <c r="N478" s="26" t="str">
        <f>IF(ISNA(VLOOKUP(A478, 'Award Abstract#'!C:C, 1, FALSE)), "No", "Yes")
</f>
        <v>No</v>
      </c>
      <c r="O478" s="29" t="str">
        <f>IF(ISNA(VLOOKUP(A478,'Award Abstract#'!B:B,1,FALSE)), "No", "Yes")</f>
        <v>Yes</v>
      </c>
      <c r="P478" s="29" t="str">
        <f>IF(ISNA(VLOOKUP(A478,'Award Abstract#'!E:E,1,FALSE)), "No", "Yes")</f>
        <v>No</v>
      </c>
      <c r="Q478" s="29" t="str">
        <f>IF(ISNA(VLOOKUP(A478,'Award Abstract#'!A:A,1,FALSE)), "No", "Yes")</f>
        <v>No</v>
      </c>
      <c r="R478" s="29" t="str">
        <f>IF(ISNA(VLOOKUP(A478,'Award Abstract#'!D:D,1,FALSE)), "No", "Yes")</f>
        <v>Yes</v>
      </c>
      <c r="S478" s="30" t="str">
        <f>VLOOKUP(A478, 'Session Data'!A:AA,27,false)</f>
        <v>Man</v>
      </c>
      <c r="T478" s="84"/>
      <c r="U478" s="84"/>
      <c r="V478" s="31" t="str">
        <f>VLOOKUP(A478, 'Session Data'!A:AA,8,false)</f>
        <v>Andrés Peñalosa</v>
      </c>
      <c r="W478" s="32" t="str">
        <f>VLOOKUP(A478, 'Session Data'!A:AA,9,false)</f>
        <v>Reyna</v>
      </c>
      <c r="X478" s="33" t="str">
        <f>VLOOKUP(A478, 'Session Data'!A:AA,12,false)</f>
        <v>Building Resilience to Climate Change Impacts through Community Engagement in Water Management: A Comparative Study of California and Baja California</v>
      </c>
      <c r="Y478" s="34" t="str">
        <f>VLOOKUP(A478, 'Session Data'!A:AA,22,false)</f>
        <v>Amy</v>
      </c>
      <c r="Z478" s="34" t="str">
        <f>VLOOKUP(A478, 'Session Data'!A:AA,23,false)</f>
        <v>Quandt</v>
      </c>
      <c r="AA478" s="34" t="str">
        <f>VLOOKUP(A478, 'Session Data'!A:AA,25,false)</f>
        <v>Arts and Letters</v>
      </c>
      <c r="AB478" s="34" t="str">
        <f>VLOOKUP(A478, 'Session Data'!A:AA,24,false)</f>
        <v>aquandt@sdsu.edu</v>
      </c>
      <c r="AC478" s="34" t="str">
        <f>VLOOKUP(A478, 'Session Data'!A:AA,16,false)</f>
        <v/>
      </c>
      <c r="AD478" s="35" t="str">
        <f>VLOOKUP(A478, 'Session Data'!A:U,17,false)</f>
        <v/>
      </c>
      <c r="AE478" s="35" t="str">
        <f>VLOOKUP(A478, 'Session Data'!A:U,18,false)</f>
        <v/>
      </c>
      <c r="AF478" s="35" t="str">
        <f>VLOOKUP(A478, 'Session Data'!A:U,19,false)</f>
        <v/>
      </c>
      <c r="AG478" s="35" t="str">
        <f>VLOOKUP(A478, 'Session Data'!A:U,20,false)</f>
        <v/>
      </c>
      <c r="AH478" s="35" t="str">
        <f>VLOOKUP(A478, 'Session Data'!A:U,21,false)</f>
        <v/>
      </c>
      <c r="AI478" s="34"/>
      <c r="AJ478" s="35"/>
      <c r="AK478" s="35"/>
      <c r="AL478" s="97"/>
      <c r="AM478" s="34" t="str">
        <f>VLOOKUP(A478, 'Session Data'!A:AA,10,false)</f>
        <v>areyna5123@sdsu.edu</v>
      </c>
      <c r="AN478" s="46"/>
      <c r="AO478" s="48"/>
      <c r="AP478" s="48"/>
      <c r="AQ478" s="48"/>
      <c r="AR478" s="48"/>
      <c r="AS478" s="48"/>
      <c r="AT478" s="48"/>
      <c r="AU478" s="48"/>
      <c r="AV478" s="48"/>
      <c r="AW478" s="48"/>
      <c r="AX478" s="48"/>
      <c r="AY478" s="43"/>
      <c r="AZ478" s="48"/>
      <c r="BA478" s="48"/>
      <c r="BB478" s="48"/>
      <c r="BC478" s="43"/>
      <c r="BD478" s="43"/>
      <c r="BE478" s="44"/>
      <c r="BF478" s="48"/>
      <c r="BG478" s="43"/>
    </row>
    <row r="479">
      <c r="A479" s="19" t="s">
        <v>550</v>
      </c>
      <c r="B479" s="20">
        <f>VLOOKUP(F479,'Session Count DO NOT EDIT'!$A:$C,3,FALSE)</f>
        <v>4</v>
      </c>
      <c r="C479" s="20">
        <f>COUNTIFS('Scores Import DO NOT EDIT'!D:D,A479)</f>
        <v>0</v>
      </c>
      <c r="D479" s="21">
        <f t="shared" si="1"/>
        <v>0</v>
      </c>
      <c r="E479" s="22" t="str">
        <f>AVERAGEIFS('Scores Import DO NOT EDIT'!L:L,'Scores Import DO NOT EDIT'!D:D,A479)</f>
        <v>#DIV/0!</v>
      </c>
      <c r="F479" s="23" t="str">
        <f>VLOOKUP(A479, 'Session Data'!A:M,3,false)</f>
        <v>I-5</v>
      </c>
      <c r="G479" s="24" t="str">
        <f>VLOOKUP(A479, 'Session Data'!A:I,2,false)</f>
        <v>3:00 PM</v>
      </c>
      <c r="H479" s="23" t="str">
        <f>VLOOKUP(A479, 'Session Data'!A:J,5,false)</f>
        <v>Behavioral and Social Sciences</v>
      </c>
      <c r="I479" s="25" t="str">
        <f>VLOOKUP(A479, 'Session Data'!A:H,4,false)</f>
        <v>Poster</v>
      </c>
      <c r="J479" s="26" t="str">
        <f>VLOOKUP(A479, 'Session Data'!A:AA,14,false)</f>
        <v>Master's</v>
      </c>
      <c r="K479" s="27" t="str">
        <f>VLOOKUP(A479, 'Session Data'!A:AA,15,false)</f>
        <v>Arts and Letters</v>
      </c>
      <c r="L479" s="47"/>
      <c r="M479" s="29" t="str">
        <f>VLOOKUP(A479, 'Session Data'!A:K,11,false)</f>
        <v>Master of Arts in Anthropology</v>
      </c>
      <c r="N479" s="26" t="str">
        <f>IF(ISNA(VLOOKUP(A479, 'Award Abstract#'!C:C, 1, FALSE)), "No", "Yes")
</f>
        <v>No</v>
      </c>
      <c r="O479" s="29" t="str">
        <f>IF(ISNA(VLOOKUP(A479,'Award Abstract#'!B:B,1,FALSE)), "No", "Yes")</f>
        <v>No</v>
      </c>
      <c r="P479" s="29" t="str">
        <f>IF(ISNA(VLOOKUP(A479,'Award Abstract#'!E:E,1,FALSE)), "No", "Yes")</f>
        <v>No</v>
      </c>
      <c r="Q479" s="29" t="str">
        <f>IF(ISNA(VLOOKUP(A479,'Award Abstract#'!A:A,1,FALSE)), "No", "Yes")</f>
        <v>No</v>
      </c>
      <c r="R479" s="29" t="str">
        <f>IF(ISNA(VLOOKUP(A479,'Award Abstract#'!D:D,1,FALSE)), "No", "Yes")</f>
        <v>No</v>
      </c>
      <c r="S479" s="30" t="str">
        <f>VLOOKUP(A479, 'Session Data'!A:AA,27,false)</f>
        <v>Woman</v>
      </c>
      <c r="T479" s="84"/>
      <c r="U479" s="84"/>
      <c r="V479" s="31" t="str">
        <f>VLOOKUP(A479, 'Session Data'!A:AA,8,false)</f>
        <v>Abilene</v>
      </c>
      <c r="W479" s="32" t="str">
        <f>VLOOKUP(A479, 'Session Data'!A:AA,9,false)</f>
        <v>Ayala</v>
      </c>
      <c r="X479" s="33" t="str">
        <f>VLOOKUP(A479, 'Session Data'!A:AA,12,false)</f>
        <v>Population Distance in Lower Rio Verde, Oaxaca</v>
      </c>
      <c r="Y479" s="34" t="str">
        <f>VLOOKUP(A479, 'Session Data'!A:AA,22,false)</f>
        <v>Dr. Arion</v>
      </c>
      <c r="Z479" s="34" t="str">
        <f>VLOOKUP(A479, 'Session Data'!A:AA,23,false)</f>
        <v>Mayes</v>
      </c>
      <c r="AA479" s="34" t="str">
        <f>VLOOKUP(A479, 'Session Data'!A:AA,25,false)</f>
        <v>Arts and Letters</v>
      </c>
      <c r="AB479" s="34" t="str">
        <f>VLOOKUP(A479, 'Session Data'!A:AA,24,false)</f>
        <v>amayes@sdsu.edu</v>
      </c>
      <c r="AC479" s="34" t="str">
        <f>VLOOKUP(A479, 'Session Data'!A:AA,16,false)</f>
        <v/>
      </c>
      <c r="AD479" s="35" t="str">
        <f>VLOOKUP(A479, 'Session Data'!A:U,17,false)</f>
        <v/>
      </c>
      <c r="AE479" s="35" t="str">
        <f>VLOOKUP(A479, 'Session Data'!A:U,18,false)</f>
        <v/>
      </c>
      <c r="AF479" s="35" t="str">
        <f>VLOOKUP(A479, 'Session Data'!A:U,19,false)</f>
        <v/>
      </c>
      <c r="AG479" s="35" t="str">
        <f>VLOOKUP(A479, 'Session Data'!A:U,20,false)</f>
        <v/>
      </c>
      <c r="AH479" s="35" t="str">
        <f>VLOOKUP(A479, 'Session Data'!A:U,21,false)</f>
        <v/>
      </c>
      <c r="AI479" s="34"/>
      <c r="AJ479" s="35"/>
      <c r="AK479" s="35"/>
      <c r="AL479" s="34"/>
      <c r="AM479" s="34" t="str">
        <f>VLOOKUP(A479, 'Session Data'!A:AA,10,false)</f>
        <v>aayala1640@sdsu.edu</v>
      </c>
      <c r="AN479" s="46"/>
      <c r="AO479" s="48"/>
      <c r="AP479" s="48"/>
      <c r="AQ479" s="48"/>
      <c r="AR479" s="48"/>
      <c r="AS479" s="48"/>
      <c r="AT479" s="48"/>
      <c r="AU479" s="48"/>
      <c r="AV479" s="48"/>
      <c r="AW479" s="48"/>
      <c r="AX479" s="48"/>
      <c r="AY479" s="43"/>
      <c r="AZ479" s="48"/>
      <c r="BA479" s="48"/>
      <c r="BB479" s="48"/>
      <c r="BC479" s="43"/>
      <c r="BD479" s="43"/>
      <c r="BE479" s="44"/>
      <c r="BF479" s="48"/>
      <c r="BG479" s="43"/>
    </row>
    <row r="480">
      <c r="A480" s="19" t="s">
        <v>551</v>
      </c>
      <c r="B480" s="20">
        <f>VLOOKUP(F480,'Session Count DO NOT EDIT'!$A:$C,3,FALSE)</f>
        <v>4</v>
      </c>
      <c r="C480" s="20">
        <f>COUNTIFS('Scores Import DO NOT EDIT'!D:D,A480)</f>
        <v>2</v>
      </c>
      <c r="D480" s="21">
        <f t="shared" si="1"/>
        <v>0.5</v>
      </c>
      <c r="E480" s="22">
        <f>AVERAGEIFS('Scores Import DO NOT EDIT'!L:L,'Scores Import DO NOT EDIT'!D:D,A480)</f>
        <v>30</v>
      </c>
      <c r="F480" s="23" t="str">
        <f>VLOOKUP(A480, 'Session Data'!A:M,3,false)</f>
        <v>I-5</v>
      </c>
      <c r="G480" s="24" t="str">
        <f>VLOOKUP(A480, 'Session Data'!A:I,2,false)</f>
        <v>3:00 PM</v>
      </c>
      <c r="H480" s="23" t="str">
        <f>VLOOKUP(A480, 'Session Data'!A:J,5,false)</f>
        <v>Behavioral and Social Sciences</v>
      </c>
      <c r="I480" s="25" t="str">
        <f>VLOOKUP(A480, 'Session Data'!A:H,4,false)</f>
        <v>Poster</v>
      </c>
      <c r="J480" s="26" t="str">
        <f>VLOOKUP(A480, 'Session Data'!A:AA,14,false)</f>
        <v>Doctoral</v>
      </c>
      <c r="K480" s="27" t="str">
        <f>VLOOKUP(A480, 'Session Data'!A:AA,15,false)</f>
        <v>Sciences</v>
      </c>
      <c r="L480" s="47"/>
      <c r="M480" s="29" t="str">
        <f>VLOOKUP(A480, 'Session Data'!A:K,11,false)</f>
        <v>PhD Clinical Psychology</v>
      </c>
      <c r="N480" s="26" t="str">
        <f>IF(ISNA(VLOOKUP(A480, 'Award Abstract#'!C:C, 1, FALSE)), "No", "Yes")
</f>
        <v>No</v>
      </c>
      <c r="O480" s="29" t="str">
        <f>IF(ISNA(VLOOKUP(A480,'Award Abstract#'!B:B,1,FALSE)), "No", "Yes")</f>
        <v>No</v>
      </c>
      <c r="P480" s="29" t="str">
        <f>IF(ISNA(VLOOKUP(A480,'Award Abstract#'!E:E,1,FALSE)), "No", "Yes")</f>
        <v>No</v>
      </c>
      <c r="Q480" s="29" t="str">
        <f>IF(ISNA(VLOOKUP(A480,'Award Abstract#'!A:A,1,FALSE)), "No", "Yes")</f>
        <v>No</v>
      </c>
      <c r="R480" s="29" t="str">
        <f>IF(ISNA(VLOOKUP(A480,'Award Abstract#'!D:D,1,FALSE)), "No", "Yes")</f>
        <v>No</v>
      </c>
      <c r="S480" s="30" t="str">
        <f>VLOOKUP(A480, 'Session Data'!A:AA,27,false)</f>
        <v>Man, Cisgender</v>
      </c>
      <c r="T480" s="84"/>
      <c r="U480" s="84"/>
      <c r="V480" s="31" t="str">
        <f>VLOOKUP(A480, 'Session Data'!A:AA,8,false)</f>
        <v>Conner</v>
      </c>
      <c r="W480" s="32" t="str">
        <f>VLOOKUP(A480, 'Session Data'!A:AA,9,false)</f>
        <v>Frank</v>
      </c>
      <c r="X480" s="33" t="str">
        <f>VLOOKUP(A480, 'Session Data'!A:AA,12,false)</f>
        <v>Combining ApoE Status and Olfactory Performance Predicts Alzheimer’s Pathology Biomarkers</v>
      </c>
      <c r="Y480" s="34" t="str">
        <f>VLOOKUP(A480, 'Session Data'!A:AA,22,false)</f>
        <v>Claire</v>
      </c>
      <c r="Z480" s="34" t="str">
        <f>VLOOKUP(A480, 'Session Data'!A:AA,23,false)</f>
        <v>Murphy</v>
      </c>
      <c r="AA480" s="34" t="str">
        <f>VLOOKUP(A480, 'Session Data'!A:AA,25,false)</f>
        <v>Sciences</v>
      </c>
      <c r="AB480" s="34"/>
      <c r="AC480" s="34" t="str">
        <f>VLOOKUP(A480, 'Session Data'!A:AA,16,false)</f>
        <v/>
      </c>
      <c r="AD480" s="35" t="str">
        <f>VLOOKUP(A480, 'Session Data'!A:U,17,false)</f>
        <v/>
      </c>
      <c r="AE480" s="35" t="str">
        <f>VLOOKUP(A480, 'Session Data'!A:U,18,false)</f>
        <v/>
      </c>
      <c r="AF480" s="35" t="str">
        <f>VLOOKUP(A480, 'Session Data'!A:U,19,false)</f>
        <v/>
      </c>
      <c r="AG480" s="35" t="str">
        <f>VLOOKUP(A480, 'Session Data'!A:U,20,false)</f>
        <v/>
      </c>
      <c r="AH480" s="35" t="str">
        <f>VLOOKUP(A480, 'Session Data'!A:U,21,false)</f>
        <v/>
      </c>
      <c r="AI480" s="34"/>
      <c r="AJ480" s="35"/>
      <c r="AK480" s="35"/>
      <c r="AL480" s="34"/>
      <c r="AM480" s="34" t="str">
        <f>VLOOKUP(A480, 'Session Data'!A:AA,10,false)</f>
        <v>cfrank@sdsu.edu</v>
      </c>
      <c r="AN480" s="46"/>
      <c r="AO480" s="48"/>
      <c r="AP480" s="48"/>
      <c r="AQ480" s="48"/>
      <c r="AR480" s="48"/>
      <c r="AS480" s="48"/>
      <c r="AT480" s="48"/>
      <c r="AU480" s="48"/>
      <c r="AV480" s="48"/>
      <c r="AW480" s="48"/>
      <c r="AX480" s="48"/>
      <c r="AY480" s="43"/>
      <c r="AZ480" s="48"/>
      <c r="BA480" s="48"/>
      <c r="BB480" s="48"/>
      <c r="BC480" s="43"/>
      <c r="BD480" s="43"/>
      <c r="BE480" s="44"/>
      <c r="BF480" s="48"/>
      <c r="BG480" s="43"/>
    </row>
    <row r="481">
      <c r="A481" s="19" t="s">
        <v>552</v>
      </c>
      <c r="B481" s="20">
        <f>VLOOKUP(F481,'Session Count DO NOT EDIT'!$A:$C,3,FALSE)</f>
        <v>4</v>
      </c>
      <c r="C481" s="20">
        <f>COUNTIFS('Scores Import DO NOT EDIT'!D:D,A481)</f>
        <v>2</v>
      </c>
      <c r="D481" s="21">
        <f t="shared" si="1"/>
        <v>0.5</v>
      </c>
      <c r="E481" s="22">
        <f>AVERAGEIFS('Scores Import DO NOT EDIT'!L:L,'Scores Import DO NOT EDIT'!D:D,A481)</f>
        <v>27.5</v>
      </c>
      <c r="F481" s="23" t="str">
        <f>VLOOKUP(A481, 'Session Data'!A:M,3,false)</f>
        <v>I-5</v>
      </c>
      <c r="G481" s="24" t="str">
        <f>VLOOKUP(A481, 'Session Data'!A:I,2,false)</f>
        <v>3:00 PM</v>
      </c>
      <c r="H481" s="23" t="str">
        <f>VLOOKUP(A481, 'Session Data'!A:J,5,false)</f>
        <v>Behavioral and Social Sciences</v>
      </c>
      <c r="I481" s="25" t="str">
        <f>VLOOKUP(A481, 'Session Data'!A:H,4,false)</f>
        <v>Poster</v>
      </c>
      <c r="J481" s="26" t="str">
        <f>VLOOKUP(A481, 'Session Data'!A:AA,14,false)</f>
        <v>Master's</v>
      </c>
      <c r="K481" s="27" t="str">
        <f>VLOOKUP(A481, 'Session Data'!A:AA,15,false)</f>
        <v>Sciences</v>
      </c>
      <c r="L481" s="47"/>
      <c r="M481" s="29" t="str">
        <f>VLOOKUP(A481, 'Session Data'!A:K,11,false)</f>
        <v>Masters of Science in Cell and Molecular Biology</v>
      </c>
      <c r="N481" s="26" t="str">
        <f>IF(ISNA(VLOOKUP(A481, 'Award Abstract#'!C:C, 1, FALSE)), "No", "Yes")
</f>
        <v>No</v>
      </c>
      <c r="O481" s="29" t="str">
        <f>IF(ISNA(VLOOKUP(A481,'Award Abstract#'!B:B,1,FALSE)), "No", "Yes")</f>
        <v>No</v>
      </c>
      <c r="P481" s="29" t="str">
        <f>IF(ISNA(VLOOKUP(A481,'Award Abstract#'!E:E,1,FALSE)), "No", "Yes")</f>
        <v>No</v>
      </c>
      <c r="Q481" s="29" t="str">
        <f>IF(ISNA(VLOOKUP(A481,'Award Abstract#'!A:A,1,FALSE)), "No", "Yes")</f>
        <v>No</v>
      </c>
      <c r="R481" s="29" t="str">
        <f>IF(ISNA(VLOOKUP(A481,'Award Abstract#'!D:D,1,FALSE)), "No", "Yes")</f>
        <v>No</v>
      </c>
      <c r="S481" s="30" t="str">
        <f>VLOOKUP(A481, 'Session Data'!A:AA,27,false)</f>
        <v>Man</v>
      </c>
      <c r="T481" s="84"/>
      <c r="U481" s="84"/>
      <c r="V481" s="31" t="str">
        <f>VLOOKUP(A481, 'Session Data'!A:AA,8,false)</f>
        <v>Jesse</v>
      </c>
      <c r="W481" s="32" t="str">
        <f>VLOOKUP(A481, 'Session Data'!A:AA,9,false)</f>
        <v>Rojas</v>
      </c>
      <c r="X481" s="33" t="str">
        <f>VLOOKUP(A481, 'Session Data'!A:AA,12,false)</f>
        <v>A Drosophila Genetic Screening Platform to Identify Conserved Factors that Influence Biological Outcomes Following Traumatic Brain Injury Exposure</v>
      </c>
      <c r="Y481" s="34" t="str">
        <f>VLOOKUP(A481, 'Session Data'!A:AA,22,false)</f>
        <v>Kim</v>
      </c>
      <c r="Z481" s="34" t="str">
        <f>VLOOKUP(A481, 'Session Data'!A:AA,23,false)</f>
        <v>Finley</v>
      </c>
      <c r="AA481" s="34" t="str">
        <f>VLOOKUP(A481, 'Session Data'!A:AA,25,false)</f>
        <v>Sciences</v>
      </c>
      <c r="AB481" s="34"/>
      <c r="AC481" s="34" t="str">
        <f>VLOOKUP(A481, 'Session Data'!A:AA,16,false)</f>
        <v/>
      </c>
      <c r="AD481" s="35" t="str">
        <f>VLOOKUP(A481, 'Session Data'!A:U,17,false)</f>
        <v/>
      </c>
      <c r="AE481" s="35" t="str">
        <f>VLOOKUP(A481, 'Session Data'!A:U,18,false)</f>
        <v/>
      </c>
      <c r="AF481" s="35" t="str">
        <f>VLOOKUP(A481, 'Session Data'!A:U,19,false)</f>
        <v/>
      </c>
      <c r="AG481" s="35" t="str">
        <f>VLOOKUP(A481, 'Session Data'!A:U,20,false)</f>
        <v/>
      </c>
      <c r="AH481" s="35" t="str">
        <f>VLOOKUP(A481, 'Session Data'!A:U,21,false)</f>
        <v/>
      </c>
      <c r="AI481" s="34"/>
      <c r="AJ481" s="35"/>
      <c r="AK481" s="35"/>
      <c r="AL481" s="34"/>
      <c r="AM481" s="34" t="str">
        <f>VLOOKUP(A481, 'Session Data'!A:AA,10,false)</f>
        <v>jrojas7492@sdsu.edu</v>
      </c>
      <c r="AN481" s="46"/>
      <c r="AO481" s="48"/>
      <c r="AP481" s="48"/>
      <c r="AQ481" s="48"/>
      <c r="AR481" s="48"/>
      <c r="AS481" s="48"/>
      <c r="AT481" s="48"/>
      <c r="AU481" s="48"/>
      <c r="AV481" s="48"/>
      <c r="AW481" s="48"/>
      <c r="AX481" s="48"/>
      <c r="AY481" s="43"/>
      <c r="AZ481" s="48"/>
      <c r="BA481" s="48"/>
      <c r="BB481" s="48"/>
      <c r="BC481" s="43"/>
      <c r="BD481" s="43"/>
      <c r="BE481" s="44"/>
      <c r="BF481" s="48"/>
      <c r="BG481" s="43"/>
    </row>
    <row r="482">
      <c r="A482" s="19" t="s">
        <v>553</v>
      </c>
      <c r="B482" s="20">
        <f>VLOOKUP(F482,'Session Count DO NOT EDIT'!$A:$C,3,FALSE)</f>
        <v>4</v>
      </c>
      <c r="C482" s="20">
        <f>COUNTIFS('Scores Import DO NOT EDIT'!D:D,A482)</f>
        <v>2</v>
      </c>
      <c r="D482" s="21">
        <f t="shared" si="1"/>
        <v>0.5</v>
      </c>
      <c r="E482" s="22">
        <f>AVERAGEIFS('Scores Import DO NOT EDIT'!L:L,'Scores Import DO NOT EDIT'!D:D,A482)</f>
        <v>26.5</v>
      </c>
      <c r="F482" s="23" t="str">
        <f>VLOOKUP(A482, 'Session Data'!A:M,3,false)</f>
        <v>I-5</v>
      </c>
      <c r="G482" s="24" t="str">
        <f>VLOOKUP(A482, 'Session Data'!A:I,2,false)</f>
        <v>3:00 PM</v>
      </c>
      <c r="H482" s="23" t="str">
        <f>VLOOKUP(A482, 'Session Data'!A:J,5,false)</f>
        <v>Behavioral and Social Sciences</v>
      </c>
      <c r="I482" s="25" t="str">
        <f>VLOOKUP(A482, 'Session Data'!A:H,4,false)</f>
        <v>Poster</v>
      </c>
      <c r="J482" s="26" t="str">
        <f>VLOOKUP(A482, 'Session Data'!A:AA,14,false)</f>
        <v>Master's</v>
      </c>
      <c r="K482" s="27" t="str">
        <f>VLOOKUP(A482, 'Session Data'!A:AA,15,false)</f>
        <v>Arts and Letters</v>
      </c>
      <c r="L482" s="47"/>
      <c r="M482" s="29" t="str">
        <f>VLOOKUP(A482, 'Session Data'!A:K,11,false)</f>
        <v>Masters of Arts in Psychology </v>
      </c>
      <c r="N482" s="26" t="str">
        <f>IF(ISNA(VLOOKUP(A482, 'Award Abstract#'!C:C, 1, FALSE)), "No", "Yes")
</f>
        <v>No</v>
      </c>
      <c r="O482" s="29" t="str">
        <f>IF(ISNA(VLOOKUP(A482,'Award Abstract#'!B:B,1,FALSE)), "No", "Yes")</f>
        <v>No</v>
      </c>
      <c r="P482" s="29" t="str">
        <f>IF(ISNA(VLOOKUP(A482,'Award Abstract#'!E:E,1,FALSE)), "No", "Yes")</f>
        <v>No</v>
      </c>
      <c r="Q482" s="29" t="str">
        <f>IF(ISNA(VLOOKUP(A482,'Award Abstract#'!A:A,1,FALSE)), "No", "Yes")</f>
        <v>No</v>
      </c>
      <c r="R482" s="29" t="str">
        <f>IF(ISNA(VLOOKUP(A482,'Award Abstract#'!D:D,1,FALSE)), "No", "Yes")</f>
        <v>Yes</v>
      </c>
      <c r="S482" s="30" t="str">
        <f>VLOOKUP(A482, 'Session Data'!A:AA,27,false)</f>
        <v>Woman</v>
      </c>
      <c r="T482" s="90"/>
      <c r="U482" s="90"/>
      <c r="V482" s="31" t="str">
        <f>VLOOKUP(A482, 'Session Data'!A:AA,8,false)</f>
        <v>Athena </v>
      </c>
      <c r="W482" s="32" t="str">
        <f>VLOOKUP(A482, 'Session Data'!A:AA,9,false)</f>
        <v>Cisneroz </v>
      </c>
      <c r="X482" s="33" t="str">
        <f>VLOOKUP(A482, 'Session Data'!A:AA,12,false)</f>
        <v>The Association Between Acculturation, Screen Media Use, and Body Appreciation among Latina Preadolescents</v>
      </c>
      <c r="Y482" s="34" t="str">
        <f>VLOOKUP(A482, 'Session Data'!A:AA,22,false)</f>
        <v>Elva</v>
      </c>
      <c r="Z482" s="34" t="str">
        <f>VLOOKUP(A482, 'Session Data'!A:AA,23,false)</f>
        <v>Arredondo </v>
      </c>
      <c r="AA482" s="34" t="str">
        <f>VLOOKUP(A482, 'Session Data'!A:AA,25,false)</f>
        <v>Arts and Letters</v>
      </c>
      <c r="AB482" s="34" t="str">
        <f>VLOOKUP(A482, 'Session Data'!A:AA,24,false)</f>
        <v>earredon@sdsu.edu</v>
      </c>
      <c r="AC482" s="34" t="str">
        <f>VLOOKUP(A482, 'Session Data'!A:AA,16,false)</f>
        <v/>
      </c>
      <c r="AD482" s="35" t="str">
        <f>VLOOKUP(A482, 'Session Data'!A:U,17,false)</f>
        <v/>
      </c>
      <c r="AE482" s="35" t="str">
        <f>VLOOKUP(A482, 'Session Data'!A:U,18,false)</f>
        <v/>
      </c>
      <c r="AF482" s="35" t="str">
        <f>VLOOKUP(A482, 'Session Data'!A:U,19,false)</f>
        <v/>
      </c>
      <c r="AG482" s="35" t="str">
        <f>VLOOKUP(A482, 'Session Data'!A:U,20,false)</f>
        <v/>
      </c>
      <c r="AH482" s="35" t="str">
        <f>VLOOKUP(A482, 'Session Data'!A:U,21,false)</f>
        <v/>
      </c>
      <c r="AI482" s="34"/>
      <c r="AJ482" s="35"/>
      <c r="AK482" s="35"/>
      <c r="AL482" s="34"/>
      <c r="AM482" s="34" t="str">
        <f>VLOOKUP(A482, 'Session Data'!A:AA,10,false)</f>
        <v>acisneroz9041@sdsu.edu</v>
      </c>
      <c r="AN482" s="46"/>
      <c r="AO482" s="48"/>
      <c r="AP482" s="48"/>
      <c r="AQ482" s="48"/>
      <c r="AR482" s="48"/>
      <c r="AS482" s="48"/>
      <c r="AT482" s="48"/>
      <c r="AU482" s="48"/>
      <c r="AV482" s="48"/>
      <c r="AW482" s="48"/>
      <c r="AX482" s="48"/>
      <c r="AY482" s="43"/>
      <c r="AZ482" s="48"/>
      <c r="BA482" s="48"/>
      <c r="BB482" s="48"/>
      <c r="BC482" s="43"/>
      <c r="BD482" s="43"/>
      <c r="BE482" s="91"/>
      <c r="BF482" s="48"/>
      <c r="BG482" s="43"/>
    </row>
    <row r="483">
      <c r="A483" s="19" t="s">
        <v>554</v>
      </c>
      <c r="B483" s="20">
        <f>VLOOKUP(F483,'Session Count DO NOT EDIT'!$A:$C,3,FALSE)</f>
        <v>4</v>
      </c>
      <c r="C483" s="20">
        <f>COUNTIFS('Scores Import DO NOT EDIT'!D:D,A483)</f>
        <v>3</v>
      </c>
      <c r="D483" s="21">
        <f t="shared" si="1"/>
        <v>0.75</v>
      </c>
      <c r="E483" s="22">
        <f>AVERAGEIFS('Scores Import DO NOT EDIT'!L:L,'Scores Import DO NOT EDIT'!D:D,A483)</f>
        <v>26</v>
      </c>
      <c r="F483" s="23" t="str">
        <f>VLOOKUP(A483, 'Session Data'!A:M,3,false)</f>
        <v>I-5</v>
      </c>
      <c r="G483" s="24" t="str">
        <f>VLOOKUP(A483, 'Session Data'!A:I,2,false)</f>
        <v>3:00 PM</v>
      </c>
      <c r="H483" s="23" t="str">
        <f>VLOOKUP(A483, 'Session Data'!A:J,5,false)</f>
        <v>Behavioral and Social Sciences</v>
      </c>
      <c r="I483" s="25" t="str">
        <f>VLOOKUP(A483, 'Session Data'!A:H,4,false)</f>
        <v>Poster</v>
      </c>
      <c r="J483" s="26" t="str">
        <f>VLOOKUP(A483, 'Session Data'!A:AA,14,false)</f>
        <v>Doctoral</v>
      </c>
      <c r="K483" s="27" t="str">
        <f>VLOOKUP(A483, 'Session Data'!A:AA,15,false)</f>
        <v>Health and Human Services</v>
      </c>
      <c r="L483" s="47"/>
      <c r="M483" s="29" t="str">
        <f>VLOOKUP(A483, 'Session Data'!A:K,11,false)</f>
        <v>Joint Doctoral Program in Health Behavior</v>
      </c>
      <c r="N483" s="26" t="str">
        <f>IF(ISNA(VLOOKUP(A483, 'Award Abstract#'!C:C, 1, FALSE)), "No", "Yes")
</f>
        <v>No</v>
      </c>
      <c r="O483" s="29" t="str">
        <f>IF(ISNA(VLOOKUP(A483,'Award Abstract#'!B:B,1,FALSE)), "No", "Yes")</f>
        <v>No</v>
      </c>
      <c r="P483" s="29" t="str">
        <f>IF(ISNA(VLOOKUP(A483,'Award Abstract#'!E:E,1,FALSE)), "No", "Yes")</f>
        <v>No</v>
      </c>
      <c r="Q483" s="29" t="str">
        <f>IF(ISNA(VLOOKUP(A483,'Award Abstract#'!A:A,1,FALSE)), "No", "Yes")</f>
        <v>No</v>
      </c>
      <c r="R483" s="29" t="str">
        <f>IF(ISNA(VLOOKUP(A483,'Award Abstract#'!D:D,1,FALSE)), "No", "Yes")</f>
        <v>No</v>
      </c>
      <c r="S483" s="30" t="str">
        <f>VLOOKUP(A483, 'Session Data'!A:AA,27,false)</f>
        <v>Woman, Cisgender</v>
      </c>
      <c r="T483" s="84"/>
      <c r="U483" s="84"/>
      <c r="V483" s="31" t="str">
        <f>VLOOKUP(A483, 'Session Data'!A:AA,8,false)</f>
        <v>Kiria Gabriela</v>
      </c>
      <c r="W483" s="32" t="str">
        <f>VLOOKUP(A483, 'Session Data'!A:AA,9,false)</f>
        <v>Fraga</v>
      </c>
      <c r="X483" s="33" t="str">
        <f>VLOOKUP(A483, 'Session Data'!A:AA,12,false)</f>
        <v>Social support and cancer screening completion among patients in a Federally Qualified Health Center in San Diego, California</v>
      </c>
      <c r="Y483" s="34" t="str">
        <f>VLOOKUP(A483, 'Session Data'!A:AA,22,false)</f>
        <v>Noe</v>
      </c>
      <c r="Z483" s="34" t="str">
        <f>VLOOKUP(A483, 'Session Data'!A:AA,23,false)</f>
        <v>Crespo</v>
      </c>
      <c r="AA483" s="34" t="str">
        <f>VLOOKUP(A483, 'Session Data'!A:AA,25,false)</f>
        <v>Health and Human Services</v>
      </c>
      <c r="AB483" s="34" t="str">
        <f>VLOOKUP(A483, 'Session Data'!A:AA,24,false)</f>
        <v>ncrespo@sdsu.edu</v>
      </c>
      <c r="AC483" s="34" t="str">
        <f>VLOOKUP(A483, 'Session Data'!A:AA,16,false)</f>
        <v/>
      </c>
      <c r="AD483" s="35" t="str">
        <f>VLOOKUP(A483, 'Session Data'!A:U,17,false)</f>
        <v/>
      </c>
      <c r="AE483" s="35" t="str">
        <f>VLOOKUP(A483, 'Session Data'!A:U,18,false)</f>
        <v/>
      </c>
      <c r="AF483" s="35" t="str">
        <f>VLOOKUP(A483, 'Session Data'!A:U,19,false)</f>
        <v/>
      </c>
      <c r="AG483" s="35" t="str">
        <f>VLOOKUP(A483, 'Session Data'!A:U,20,false)</f>
        <v/>
      </c>
      <c r="AH483" s="35" t="str">
        <f>VLOOKUP(A483, 'Session Data'!A:U,21,false)</f>
        <v/>
      </c>
      <c r="AI483" s="34"/>
      <c r="AJ483" s="34"/>
      <c r="AK483" s="35"/>
      <c r="AL483" s="97"/>
      <c r="AM483" s="34" t="str">
        <f>VLOOKUP(A483, 'Session Data'!A:AA,10,false)</f>
        <v>kfraga@sdsu.edu</v>
      </c>
      <c r="AN483" s="46"/>
      <c r="AO483" s="48"/>
      <c r="AP483" s="48"/>
      <c r="AQ483" s="48"/>
      <c r="AR483" s="48"/>
      <c r="AS483" s="48"/>
      <c r="AT483" s="48"/>
      <c r="AU483" s="48"/>
      <c r="AV483" s="48"/>
      <c r="AW483" s="48"/>
      <c r="AX483" s="48"/>
      <c r="AY483" s="43"/>
      <c r="AZ483" s="48"/>
      <c r="BA483" s="48"/>
      <c r="BB483" s="48"/>
      <c r="BC483" s="43"/>
      <c r="BD483" s="43"/>
      <c r="BE483" s="44"/>
      <c r="BF483" s="48"/>
      <c r="BG483" s="43"/>
    </row>
    <row r="484">
      <c r="A484" s="19" t="s">
        <v>555</v>
      </c>
      <c r="B484" s="20">
        <f>VLOOKUP(F484,'Session Count DO NOT EDIT'!$A:$C,3,FALSE)</f>
        <v>4</v>
      </c>
      <c r="C484" s="20">
        <f>COUNTIFS('Scores Import DO NOT EDIT'!D:D,A484)</f>
        <v>2</v>
      </c>
      <c r="D484" s="21">
        <f t="shared" si="1"/>
        <v>0.5</v>
      </c>
      <c r="E484" s="22">
        <f>AVERAGEIFS('Scores Import DO NOT EDIT'!L:L,'Scores Import DO NOT EDIT'!D:D,A484)</f>
        <v>25</v>
      </c>
      <c r="F484" s="23" t="str">
        <f>VLOOKUP(A484, 'Session Data'!A:M,3,false)</f>
        <v>I-5</v>
      </c>
      <c r="G484" s="24" t="str">
        <f>VLOOKUP(A484, 'Session Data'!A:I,2,false)</f>
        <v>3:00 PM</v>
      </c>
      <c r="H484" s="23" t="str">
        <f>VLOOKUP(A484, 'Session Data'!A:J,5,false)</f>
        <v>Behavioral and Social Sciences</v>
      </c>
      <c r="I484" s="25" t="str">
        <f>VLOOKUP(A484, 'Session Data'!A:H,4,false)</f>
        <v>Poster</v>
      </c>
      <c r="J484" s="26" t="str">
        <f>VLOOKUP(A484, 'Session Data'!A:AA,14,false)</f>
        <v>Master's</v>
      </c>
      <c r="K484" s="27" t="str">
        <f>VLOOKUP(A484, 'Session Data'!A:AA,15,false)</f>
        <v>Education</v>
      </c>
      <c r="L484" s="47"/>
      <c r="M484" s="29" t="str">
        <f>VLOOKUP(A484, 'Session Data'!A:K,11,false)</f>
        <v>Child Development</v>
      </c>
      <c r="N484" s="26" t="str">
        <f>IF(ISNA(VLOOKUP(A484, 'Award Abstract#'!C:C, 1, FALSE)), "No", "Yes")
</f>
        <v>No</v>
      </c>
      <c r="O484" s="29" t="str">
        <f>IF(ISNA(VLOOKUP(A484,'Award Abstract#'!B:B,1,FALSE)), "No", "Yes")</f>
        <v>No</v>
      </c>
      <c r="P484" s="29" t="str">
        <f>IF(ISNA(VLOOKUP(A484,'Award Abstract#'!E:E,1,FALSE)), "No", "Yes")</f>
        <v>No</v>
      </c>
      <c r="Q484" s="29" t="str">
        <f>IF(ISNA(VLOOKUP(A484,'Award Abstract#'!A:A,1,FALSE)), "No", "Yes")</f>
        <v>No</v>
      </c>
      <c r="R484" s="29" t="str">
        <f>IF(ISNA(VLOOKUP(A484,'Award Abstract#'!D:D,1,FALSE)), "No", "Yes")</f>
        <v>No</v>
      </c>
      <c r="S484" s="30" t="str">
        <f>VLOOKUP(A484, 'Session Data'!A:AA,27,false)</f>
        <v>Woman</v>
      </c>
      <c r="T484" s="84"/>
      <c r="U484" s="84"/>
      <c r="V484" s="31" t="str">
        <f>VLOOKUP(A484, 'Session Data'!A:AA,8,false)</f>
        <v>Sooji</v>
      </c>
      <c r="W484" s="32" t="str">
        <f>VLOOKUP(A484, 'Session Data'!A:AA,9,false)</f>
        <v>Kim</v>
      </c>
      <c r="X484" s="33" t="str">
        <f>VLOOKUP(A484, 'Session Data'!A:AA,12,false)</f>
        <v>Mindfulness and Well-being in Asian Americans and Parents</v>
      </c>
      <c r="Y484" s="34" t="str">
        <f>VLOOKUP(A484, 'Session Data'!A:AA,22,false)</f>
        <v>Alyson</v>
      </c>
      <c r="Z484" s="34" t="str">
        <f>VLOOKUP(A484, 'Session Data'!A:AA,23,false)</f>
        <v>Shapiro</v>
      </c>
      <c r="AA484" s="34" t="str">
        <f>VLOOKUP(A484, 'Session Data'!A:AA,25,false)</f>
        <v>Education</v>
      </c>
      <c r="AB484" s="34" t="str">
        <f>VLOOKUP(A484, 'Session Data'!A:AA,24,false)</f>
        <v>ashapiro@sdsu.edu</v>
      </c>
      <c r="AC484" s="34" t="str">
        <f>VLOOKUP(A484, 'Session Data'!A:AA,16,false)</f>
        <v/>
      </c>
      <c r="AD484" s="35" t="str">
        <f>VLOOKUP(A484, 'Session Data'!A:U,17,false)</f>
        <v/>
      </c>
      <c r="AE484" s="35" t="str">
        <f>VLOOKUP(A484, 'Session Data'!A:U,18,false)</f>
        <v/>
      </c>
      <c r="AF484" s="35" t="str">
        <f>VLOOKUP(A484, 'Session Data'!A:U,19,false)</f>
        <v/>
      </c>
      <c r="AG484" s="35" t="str">
        <f>VLOOKUP(A484, 'Session Data'!A:U,20,false)</f>
        <v/>
      </c>
      <c r="AH484" s="35" t="str">
        <f>VLOOKUP(A484, 'Session Data'!A:U,21,false)</f>
        <v/>
      </c>
      <c r="AI484" s="34"/>
      <c r="AJ484" s="35"/>
      <c r="AK484" s="35"/>
      <c r="AL484" s="34"/>
      <c r="AM484" s="34" t="str">
        <f>VLOOKUP(A484, 'Session Data'!A:AA,10,false)</f>
        <v>skim10@sdsu.edu</v>
      </c>
      <c r="AN484" s="46"/>
      <c r="AO484" s="48"/>
      <c r="AP484" s="48"/>
      <c r="AQ484" s="48"/>
      <c r="AR484" s="48"/>
      <c r="AS484" s="48"/>
      <c r="AT484" s="48"/>
      <c r="AU484" s="48"/>
      <c r="AV484" s="48"/>
      <c r="AW484" s="48"/>
      <c r="AX484" s="48"/>
      <c r="AY484" s="43"/>
      <c r="AZ484" s="48"/>
      <c r="BA484" s="48"/>
      <c r="BB484" s="48"/>
      <c r="BC484" s="43"/>
      <c r="BD484" s="43"/>
      <c r="BE484" s="44"/>
      <c r="BF484" s="48"/>
      <c r="BG484" s="43"/>
    </row>
    <row r="485">
      <c r="A485" s="19" t="s">
        <v>556</v>
      </c>
      <c r="B485" s="20">
        <f>VLOOKUP(F485,'Session Count DO NOT EDIT'!$A:$C,3,FALSE)</f>
        <v>4</v>
      </c>
      <c r="C485" s="20">
        <f>COUNTIFS('Scores Import DO NOT EDIT'!D:D,A485)</f>
        <v>4</v>
      </c>
      <c r="D485" s="21">
        <f t="shared" si="1"/>
        <v>1</v>
      </c>
      <c r="E485" s="22">
        <f>AVERAGEIFS('Scores Import DO NOT EDIT'!L:L,'Scores Import DO NOT EDIT'!D:D,A485)</f>
        <v>31</v>
      </c>
      <c r="F485" s="23" t="str">
        <f>VLOOKUP(A485, 'Session Data'!A:M,3,false)</f>
        <v>I-6</v>
      </c>
      <c r="G485" s="24" t="str">
        <f>VLOOKUP(A485, 'Session Data'!A:I,2,false)</f>
        <v>3:00 PM</v>
      </c>
      <c r="H485" s="23" t="str">
        <f>VLOOKUP(A485, 'Session Data'!A:J,5,false)</f>
        <v>Biological and Agricultural Sciences</v>
      </c>
      <c r="I485" s="25" t="str">
        <f>VLOOKUP(A485, 'Session Data'!A:H,4,false)</f>
        <v>Poster</v>
      </c>
      <c r="J485" s="26" t="str">
        <f>VLOOKUP(A485, 'Session Data'!A:AA,14,false)</f>
        <v>Master's</v>
      </c>
      <c r="K485" s="27" t="str">
        <f>VLOOKUP(A485, 'Session Data'!A:AA,15,false)</f>
        <v>Health and Human Services</v>
      </c>
      <c r="L485" s="47"/>
      <c r="M485" s="29" t="str">
        <f>VLOOKUP(A485, 'Session Data'!A:K,11,false)</f>
        <v>Masters of Science in Public Health with a concentration in Environmental Health</v>
      </c>
      <c r="N485" s="26" t="str">
        <f>IF(ISNA(VLOOKUP(A485, 'Award Abstract#'!C:C, 1, FALSE)), "No", "Yes")
</f>
        <v>No</v>
      </c>
      <c r="O485" s="29" t="str">
        <f>IF(ISNA(VLOOKUP(A485,'Award Abstract#'!B:B,1,FALSE)), "No", "Yes")</f>
        <v>Yes</v>
      </c>
      <c r="P485" s="29" t="str">
        <f>IF(ISNA(VLOOKUP(A485,'Award Abstract#'!E:E,1,FALSE)), "No", "Yes")</f>
        <v>No</v>
      </c>
      <c r="Q485" s="29" t="str">
        <f>IF(ISNA(VLOOKUP(A485,'Award Abstract#'!A:A,1,FALSE)), "No", "Yes")</f>
        <v>No</v>
      </c>
      <c r="R485" s="29" t="str">
        <f>IF(ISNA(VLOOKUP(A485,'Award Abstract#'!D:D,1,FALSE)), "No", "Yes")</f>
        <v>Yes</v>
      </c>
      <c r="S485" s="30" t="str">
        <f>VLOOKUP(A485, 'Session Data'!A:AA,27,false)</f>
        <v>Woman</v>
      </c>
      <c r="T485" s="84"/>
      <c r="U485" s="84"/>
      <c r="V485" s="31" t="str">
        <f>VLOOKUP(A485, 'Session Data'!A:AA,8,false)</f>
        <v>Ashley</v>
      </c>
      <c r="W485" s="32" t="str">
        <f>VLOOKUP(A485, 'Session Data'!A:AA,9,false)</f>
        <v>Chang</v>
      </c>
      <c r="X485" s="33" t="str">
        <f>VLOOKUP(A485, 'Session Data'!A:AA,12,false)</f>
        <v>Environmental Impacts of Emerging Tobacco Products as Litters</v>
      </c>
      <c r="Y485" s="34" t="str">
        <f>VLOOKUP(A485, 'Session Data'!A:AA,22,false)</f>
        <v>Eunha</v>
      </c>
      <c r="Z485" s="34" t="str">
        <f>VLOOKUP(A485, 'Session Data'!A:AA,23,false)</f>
        <v>Hoh</v>
      </c>
      <c r="AA485" s="34" t="str">
        <f>VLOOKUP(A485, 'Session Data'!A:AA,25,false)</f>
        <v>Health and Human Services</v>
      </c>
      <c r="AB485" s="34" t="str">
        <f>VLOOKUP(A485, 'Session Data'!A:AA,24,false)</f>
        <v>ehoh@sdsu.edu</v>
      </c>
      <c r="AC485" s="34" t="str">
        <f>VLOOKUP(A485, 'Session Data'!A:AA,16,false)</f>
        <v/>
      </c>
      <c r="AD485" s="35" t="str">
        <f>VLOOKUP(A485, 'Session Data'!A:U,17,false)</f>
        <v/>
      </c>
      <c r="AE485" s="35" t="str">
        <f>VLOOKUP(A485, 'Session Data'!A:U,18,false)</f>
        <v/>
      </c>
      <c r="AF485" s="35" t="str">
        <f>VLOOKUP(A485, 'Session Data'!A:U,19,false)</f>
        <v/>
      </c>
      <c r="AG485" s="35" t="str">
        <f>VLOOKUP(A485, 'Session Data'!A:U,20,false)</f>
        <v/>
      </c>
      <c r="AH485" s="35" t="str">
        <f>VLOOKUP(A485, 'Session Data'!A:U,21,false)</f>
        <v/>
      </c>
      <c r="AI485" s="34"/>
      <c r="AJ485" s="35"/>
      <c r="AK485" s="35"/>
      <c r="AL485" s="34"/>
      <c r="AM485" s="34" t="str">
        <f>VLOOKUP(A485, 'Session Data'!A:AA,10,false)</f>
        <v>achang4614@sdsu.edu</v>
      </c>
      <c r="AN485" s="46"/>
      <c r="AO485" s="48"/>
      <c r="AP485" s="48"/>
      <c r="AQ485" s="48"/>
      <c r="AR485" s="48"/>
      <c r="AS485" s="48"/>
      <c r="AT485" s="48"/>
      <c r="AU485" s="48"/>
      <c r="AV485" s="48"/>
      <c r="AW485" s="48"/>
      <c r="AX485" s="48"/>
      <c r="AY485" s="43"/>
      <c r="AZ485" s="48"/>
      <c r="BA485" s="48"/>
      <c r="BB485" s="48"/>
      <c r="BC485" s="43"/>
      <c r="BD485" s="43"/>
      <c r="BE485" s="44"/>
      <c r="BF485" s="48"/>
      <c r="BG485" s="43"/>
    </row>
    <row r="486">
      <c r="A486" s="19" t="s">
        <v>557</v>
      </c>
      <c r="B486" s="20">
        <f>VLOOKUP(F486,'Session Count DO NOT EDIT'!$A:$C,3,FALSE)</f>
        <v>4</v>
      </c>
      <c r="C486" s="20">
        <f>COUNTIFS('Scores Import DO NOT EDIT'!D:D,A486)</f>
        <v>4</v>
      </c>
      <c r="D486" s="21">
        <f t="shared" si="1"/>
        <v>1</v>
      </c>
      <c r="E486" s="22">
        <f>AVERAGEIFS('Scores Import DO NOT EDIT'!L:L,'Scores Import DO NOT EDIT'!D:D,A486)</f>
        <v>30.5</v>
      </c>
      <c r="F486" s="23" t="str">
        <f>VLOOKUP(A486, 'Session Data'!A:M,3,false)</f>
        <v>I-6</v>
      </c>
      <c r="G486" s="24" t="str">
        <f>VLOOKUP(A486, 'Session Data'!A:I,2,false)</f>
        <v>3:00 PM</v>
      </c>
      <c r="H486" s="23" t="str">
        <f>VLOOKUP(A486, 'Session Data'!A:J,5,false)</f>
        <v>Biological and Agricultural Sciences</v>
      </c>
      <c r="I486" s="25" t="str">
        <f>VLOOKUP(A486, 'Session Data'!A:H,4,false)</f>
        <v>Poster</v>
      </c>
      <c r="J486" s="26" t="str">
        <f>VLOOKUP(A486, 'Session Data'!A:AA,14,false)</f>
        <v>Master's</v>
      </c>
      <c r="K486" s="27" t="str">
        <f>VLOOKUP(A486, 'Session Data'!A:AA,15,false)</f>
        <v>Sciences</v>
      </c>
      <c r="L486" s="47"/>
      <c r="M486" s="29" t="str">
        <f>VLOOKUP(A486, 'Session Data'!A:K,11,false)</f>
        <v>Masters of Science in Biology, Ecology Concentration</v>
      </c>
      <c r="N486" s="26" t="str">
        <f>IF(ISNA(VLOOKUP(A486, 'Award Abstract#'!C:C, 1, FALSE)), "No", "Yes")
</f>
        <v>No</v>
      </c>
      <c r="O486" s="29" t="str">
        <f>IF(ISNA(VLOOKUP(A486,'Award Abstract#'!B:B,1,FALSE)), "No", "Yes")</f>
        <v>Yes</v>
      </c>
      <c r="P486" s="29" t="str">
        <f>IF(ISNA(VLOOKUP(A486,'Award Abstract#'!E:E,1,FALSE)), "No", "Yes")</f>
        <v>No</v>
      </c>
      <c r="Q486" s="29" t="str">
        <f>IF(ISNA(VLOOKUP(A486,'Award Abstract#'!A:A,1,FALSE)), "No", "Yes")</f>
        <v>No</v>
      </c>
      <c r="R486" s="29" t="str">
        <f>IF(ISNA(VLOOKUP(A486,'Award Abstract#'!D:D,1,FALSE)), "No", "Yes")</f>
        <v>No</v>
      </c>
      <c r="S486" s="30" t="str">
        <f>VLOOKUP(A486, 'Session Data'!A:AA,27,false)</f>
        <v>Man</v>
      </c>
      <c r="T486" s="84"/>
      <c r="U486" s="84"/>
      <c r="V486" s="31" t="str">
        <f>VLOOKUP(A486, 'Session Data'!A:AA,8,false)</f>
        <v>Fortunato</v>
      </c>
      <c r="W486" s="32" t="str">
        <f>VLOOKUP(A486, 'Session Data'!A:AA,9,false)</f>
        <v>Rivas</v>
      </c>
      <c r="X486" s="33" t="str">
        <f>VLOOKUP(A486, 'Session Data'!A:AA,12,false)</f>
        <v>Determining the resistance of coast live oak (Quercus agrifolia) dominated forests in San Diego County to outbreaks of Phytophthora pathogens</v>
      </c>
      <c r="Y486" s="34" t="str">
        <f>VLOOKUP(A486, 'Session Data'!A:AA,22,false)</f>
        <v>Lluvia</v>
      </c>
      <c r="Z486" s="34" t="str">
        <f>VLOOKUP(A486, 'Session Data'!A:AA,23,false)</f>
        <v>Flores Renteria</v>
      </c>
      <c r="AA486" s="34" t="str">
        <f>VLOOKUP(A486, 'Session Data'!A:AA,25,false)</f>
        <v>Sciences</v>
      </c>
      <c r="AB486" s="34"/>
      <c r="AC486" s="34" t="str">
        <f>VLOOKUP(A486, 'Session Data'!A:AA,16,false)</f>
        <v/>
      </c>
      <c r="AD486" s="35" t="str">
        <f>VLOOKUP(A486, 'Session Data'!A:U,17,false)</f>
        <v/>
      </c>
      <c r="AE486" s="35" t="str">
        <f>VLOOKUP(A486, 'Session Data'!A:U,18,false)</f>
        <v/>
      </c>
      <c r="AF486" s="35" t="str">
        <f>VLOOKUP(A486, 'Session Data'!A:U,19,false)</f>
        <v/>
      </c>
      <c r="AG486" s="35" t="str">
        <f>VLOOKUP(A486, 'Session Data'!A:U,20,false)</f>
        <v/>
      </c>
      <c r="AH486" s="35" t="str">
        <f>VLOOKUP(A486, 'Session Data'!A:U,21,false)</f>
        <v/>
      </c>
      <c r="AI486" s="34"/>
      <c r="AJ486" s="35"/>
      <c r="AK486" s="35"/>
      <c r="AL486" s="34"/>
      <c r="AM486" s="34" t="str">
        <f>VLOOKUP(A486, 'Session Data'!A:AA,10,false)</f>
        <v>frivas3847@sdsu.edu</v>
      </c>
      <c r="AN486" s="46"/>
      <c r="AO486" s="48"/>
      <c r="AP486" s="48"/>
      <c r="AQ486" s="48"/>
      <c r="AR486" s="48"/>
      <c r="AS486" s="48"/>
      <c r="AT486" s="48"/>
      <c r="AU486" s="48"/>
      <c r="AV486" s="48"/>
      <c r="AW486" s="48"/>
      <c r="AX486" s="48"/>
      <c r="AY486" s="43"/>
      <c r="AZ486" s="48"/>
      <c r="BA486" s="48"/>
      <c r="BB486" s="48"/>
      <c r="BC486" s="43"/>
      <c r="BD486" s="43"/>
      <c r="BE486" s="44"/>
      <c r="BF486" s="48"/>
      <c r="BG486" s="43"/>
    </row>
    <row r="487">
      <c r="A487" s="19" t="s">
        <v>558</v>
      </c>
      <c r="B487" s="20">
        <f>VLOOKUP(F487,'Session Count DO NOT EDIT'!$A:$C,3,FALSE)</f>
        <v>4</v>
      </c>
      <c r="C487" s="20">
        <f>COUNTIFS('Scores Import DO NOT EDIT'!D:D,A487)</f>
        <v>4</v>
      </c>
      <c r="D487" s="21">
        <f t="shared" si="1"/>
        <v>1</v>
      </c>
      <c r="E487" s="22">
        <f>AVERAGEIFS('Scores Import DO NOT EDIT'!L:L,'Scores Import DO NOT EDIT'!D:D,A487)</f>
        <v>28.75</v>
      </c>
      <c r="F487" s="23" t="str">
        <f>VLOOKUP(A487, 'Session Data'!A:M,3,false)</f>
        <v>I-6</v>
      </c>
      <c r="G487" s="24" t="str">
        <f>VLOOKUP(A487, 'Session Data'!A:I,2,false)</f>
        <v>3:00 PM</v>
      </c>
      <c r="H487" s="23" t="str">
        <f>VLOOKUP(A487, 'Session Data'!A:J,5,false)</f>
        <v>Biological and Agricultural Sciences</v>
      </c>
      <c r="I487" s="25" t="str">
        <f>VLOOKUP(A487, 'Session Data'!A:H,4,false)</f>
        <v>Poster</v>
      </c>
      <c r="J487" s="26" t="str">
        <f>VLOOKUP(A487, 'Session Data'!A:AA,14,false)</f>
        <v>Doctoral</v>
      </c>
      <c r="K487" s="27" t="str">
        <f>VLOOKUP(A487, 'Session Data'!A:AA,15,false)</f>
        <v>Sciences</v>
      </c>
      <c r="L487" s="47"/>
      <c r="M487" s="29" t="str">
        <f>VLOOKUP(A487, 'Session Data'!A:K,11,false)</f>
        <v>Cell and Molecular Biology/Doctor of Philosophy</v>
      </c>
      <c r="N487" s="26" t="str">
        <f>IF(ISNA(VLOOKUP(A487, 'Award Abstract#'!C:C, 1, FALSE)), "No", "Yes")
</f>
        <v>No</v>
      </c>
      <c r="O487" s="29" t="str">
        <f>IF(ISNA(VLOOKUP(A487,'Award Abstract#'!B:B,1,FALSE)), "No", "Yes")</f>
        <v>No</v>
      </c>
      <c r="P487" s="29" t="str">
        <f>IF(ISNA(VLOOKUP(A487,'Award Abstract#'!E:E,1,FALSE)), "No", "Yes")</f>
        <v>No</v>
      </c>
      <c r="Q487" s="29" t="str">
        <f>IF(ISNA(VLOOKUP(A487,'Award Abstract#'!A:A,1,FALSE)), "No", "Yes")</f>
        <v>No</v>
      </c>
      <c r="R487" s="29" t="str">
        <f>IF(ISNA(VLOOKUP(A487,'Award Abstract#'!D:D,1,FALSE)), "No", "Yes")</f>
        <v>Yes</v>
      </c>
      <c r="S487" s="30" t="str">
        <f>VLOOKUP(A487, 'Session Data'!A:AA,27,false)</f>
        <v>Man</v>
      </c>
      <c r="T487" s="84"/>
      <c r="U487" s="84"/>
      <c r="V487" s="31" t="str">
        <f>VLOOKUP(A487, 'Session Data'!A:AA,8,false)</f>
        <v>Gregory</v>
      </c>
      <c r="W487" s="32" t="str">
        <f>VLOOKUP(A487, 'Session Data'!A:AA,9,false)</f>
        <v>Jordan</v>
      </c>
      <c r="X487" s="33" t="str">
        <f>VLOOKUP(A487, 'Session Data'!A:AA,12,false)</f>
        <v>Coordination of the NF-kB and Notch signalingn pathways in supporting ovarian cancer relapse</v>
      </c>
      <c r="Y487" s="34" t="str">
        <f>VLOOKUP(A487, 'Session Data'!A:AA,22,false)</f>
        <v>Carrie</v>
      </c>
      <c r="Z487" s="34" t="str">
        <f>VLOOKUP(A487, 'Session Data'!A:AA,23,false)</f>
        <v>House</v>
      </c>
      <c r="AA487" s="34" t="str">
        <f>VLOOKUP(A487, 'Session Data'!A:AA,25,false)</f>
        <v>Sciences</v>
      </c>
      <c r="AB487" s="34"/>
      <c r="AC487" s="34" t="str">
        <f>VLOOKUP(A487, 'Session Data'!A:AA,16,false)</f>
        <v/>
      </c>
      <c r="AD487" s="35" t="str">
        <f>VLOOKUP(A487, 'Session Data'!A:U,17,false)</f>
        <v/>
      </c>
      <c r="AE487" s="35" t="str">
        <f>VLOOKUP(A487, 'Session Data'!A:U,18,false)</f>
        <v/>
      </c>
      <c r="AF487" s="35" t="str">
        <f>VLOOKUP(A487, 'Session Data'!A:U,19,false)</f>
        <v/>
      </c>
      <c r="AG487" s="35" t="str">
        <f>VLOOKUP(A487, 'Session Data'!A:U,20,false)</f>
        <v/>
      </c>
      <c r="AH487" s="35" t="str">
        <f>VLOOKUP(A487, 'Session Data'!A:U,21,false)</f>
        <v/>
      </c>
      <c r="AI487" s="34"/>
      <c r="AJ487" s="35"/>
      <c r="AK487" s="35"/>
      <c r="AL487" s="34"/>
      <c r="AM487" s="34" t="str">
        <f>VLOOKUP(A487, 'Session Data'!A:AA,10,false)</f>
        <v>gjordan7982@sdsu.edu</v>
      </c>
      <c r="AN487" s="46"/>
      <c r="AO487" s="48"/>
      <c r="AP487" s="48"/>
      <c r="AQ487" s="48"/>
      <c r="AR487" s="48"/>
      <c r="AS487" s="48"/>
      <c r="AT487" s="48"/>
      <c r="AU487" s="48"/>
      <c r="AV487" s="48"/>
      <c r="AW487" s="48"/>
      <c r="AX487" s="48"/>
      <c r="AY487" s="43"/>
      <c r="AZ487" s="48"/>
      <c r="BA487" s="48"/>
      <c r="BB487" s="48"/>
      <c r="BC487" s="43"/>
      <c r="BD487" s="43"/>
      <c r="BE487" s="44"/>
      <c r="BF487" s="48"/>
      <c r="BG487" s="43"/>
    </row>
    <row r="488">
      <c r="A488" s="19" t="s">
        <v>559</v>
      </c>
      <c r="B488" s="20">
        <f>VLOOKUP(F488,'Session Count DO NOT EDIT'!$A:$C,3,FALSE)</f>
        <v>4</v>
      </c>
      <c r="C488" s="20">
        <f>COUNTIFS('Scores Import DO NOT EDIT'!D:D,A488)</f>
        <v>3</v>
      </c>
      <c r="D488" s="21">
        <f t="shared" si="1"/>
        <v>0.75</v>
      </c>
      <c r="E488" s="22">
        <f>AVERAGEIFS('Scores Import DO NOT EDIT'!L:L,'Scores Import DO NOT EDIT'!D:D,A488)</f>
        <v>27.33333333</v>
      </c>
      <c r="F488" s="23" t="str">
        <f>VLOOKUP(A488, 'Session Data'!A:M,3,false)</f>
        <v>I-6</v>
      </c>
      <c r="G488" s="24" t="str">
        <f>VLOOKUP(A488, 'Session Data'!A:I,2,false)</f>
        <v>3:00 PM</v>
      </c>
      <c r="H488" s="23" t="str">
        <f>VLOOKUP(A488, 'Session Data'!A:J,5,false)</f>
        <v>Biological and Agricultural Sciences</v>
      </c>
      <c r="I488" s="25" t="str">
        <f>VLOOKUP(A488, 'Session Data'!A:H,4,false)</f>
        <v>Poster</v>
      </c>
      <c r="J488" s="26" t="str">
        <f>VLOOKUP(A488, 'Session Data'!A:AA,14,false)</f>
        <v>Master's</v>
      </c>
      <c r="K488" s="27" t="str">
        <f>VLOOKUP(A488, 'Session Data'!A:AA,15,false)</f>
        <v>Sciences</v>
      </c>
      <c r="L488" s="47"/>
      <c r="M488" s="29" t="str">
        <f>VLOOKUP(A488, 'Session Data'!A:K,11,false)</f>
        <v>Masters of Biological Science  </v>
      </c>
      <c r="N488" s="26" t="str">
        <f>IF(ISNA(VLOOKUP(A488, 'Award Abstract#'!C:C, 1, FALSE)), "No", "Yes")
</f>
        <v>No</v>
      </c>
      <c r="O488" s="29" t="str">
        <f>IF(ISNA(VLOOKUP(A488,'Award Abstract#'!B:B,1,FALSE)), "No", "Yes")</f>
        <v>No</v>
      </c>
      <c r="P488" s="29" t="str">
        <f>IF(ISNA(VLOOKUP(A488,'Award Abstract#'!E:E,1,FALSE)), "No", "Yes")</f>
        <v>No</v>
      </c>
      <c r="Q488" s="29" t="str">
        <f>IF(ISNA(VLOOKUP(A488,'Award Abstract#'!A:A,1,FALSE)), "No", "Yes")</f>
        <v>No</v>
      </c>
      <c r="R488" s="29" t="str">
        <f>IF(ISNA(VLOOKUP(A488,'Award Abstract#'!D:D,1,FALSE)), "No", "Yes")</f>
        <v>Yes</v>
      </c>
      <c r="S488" s="30" t="str">
        <f>VLOOKUP(A488, 'Session Data'!A:AA,27,false)</f>
        <v>Man</v>
      </c>
      <c r="T488" s="84"/>
      <c r="U488" s="84"/>
      <c r="V488" s="31" t="str">
        <f>VLOOKUP(A488, 'Session Data'!A:AA,8,false)</f>
        <v>Timothaus </v>
      </c>
      <c r="W488" s="32" t="str">
        <f>VLOOKUP(A488, 'Session Data'!A:AA,9,false)</f>
        <v>Haddad</v>
      </c>
      <c r="X488" s="33" t="str">
        <f>VLOOKUP(A488, 'Session Data'!A:AA,12,false)</f>
        <v>Preserver of Reproductive Integrity: ABC transporters and their role protecting the germline</v>
      </c>
      <c r="Y488" s="34" t="str">
        <f>VLOOKUP(A488, 'Session Data'!A:AA,22,false)</f>
        <v>Catherine</v>
      </c>
      <c r="Z488" s="34" t="str">
        <f>VLOOKUP(A488, 'Session Data'!A:AA,23,false)</f>
        <v>Schrankel</v>
      </c>
      <c r="AA488" s="34" t="str">
        <f>VLOOKUP(A488, 'Session Data'!A:AA,25,false)</f>
        <v>Sciences</v>
      </c>
      <c r="AB488" s="34"/>
      <c r="AC488" s="34" t="str">
        <f>VLOOKUP(A488, 'Session Data'!A:AA,16,false)</f>
        <v>Tim</v>
      </c>
      <c r="AD488" s="35" t="str">
        <f>VLOOKUP(A488, 'Session Data'!A:U,17,false)</f>
        <v>Haddad</v>
      </c>
      <c r="AE488" s="35" t="str">
        <f>VLOOKUP(A488, 'Session Data'!A:U,18,false)</f>
        <v>Priscilla</v>
      </c>
      <c r="AF488" s="35" t="str">
        <f>VLOOKUP(A488, 'Session Data'!A:U,19,false)</f>
        <v>Plascencia </v>
      </c>
      <c r="AG488" s="35" t="str">
        <f>VLOOKUP(A488, 'Session Data'!A:U,20,false)</f>
        <v/>
      </c>
      <c r="AH488" s="35" t="str">
        <f>VLOOKUP(A488, 'Session Data'!A:U,21,false)</f>
        <v/>
      </c>
      <c r="AI488" s="34"/>
      <c r="AJ488" s="35"/>
      <c r="AK488" s="35"/>
      <c r="AL488" s="34"/>
      <c r="AM488" s="34" t="str">
        <f>VLOOKUP(A488, 'Session Data'!A:AA,10,false)</f>
        <v>thaddad8117@sdsu.edu</v>
      </c>
      <c r="AN488" s="46"/>
      <c r="AO488" s="48"/>
      <c r="AP488" s="48"/>
      <c r="AQ488" s="48"/>
      <c r="AR488" s="48"/>
      <c r="AS488" s="48"/>
      <c r="AT488" s="48"/>
      <c r="AU488" s="48"/>
      <c r="AV488" s="48"/>
      <c r="AW488" s="48"/>
      <c r="AX488" s="48"/>
      <c r="AY488" s="43"/>
      <c r="AZ488" s="48"/>
      <c r="BA488" s="48"/>
      <c r="BB488" s="48"/>
      <c r="BC488" s="43"/>
      <c r="BD488" s="43"/>
      <c r="BE488" s="44"/>
      <c r="BF488" s="48"/>
      <c r="BG488" s="43"/>
    </row>
    <row r="489">
      <c r="A489" s="19" t="s">
        <v>560</v>
      </c>
      <c r="B489" s="20">
        <f>VLOOKUP(F489,'Session Count DO NOT EDIT'!$A:$C,3,FALSE)</f>
        <v>4</v>
      </c>
      <c r="C489" s="20">
        <f>COUNTIFS('Scores Import DO NOT EDIT'!D:D,A489)</f>
        <v>3</v>
      </c>
      <c r="D489" s="21">
        <f t="shared" si="1"/>
        <v>0.75</v>
      </c>
      <c r="E489" s="22">
        <f>AVERAGEIFS('Scores Import DO NOT EDIT'!L:L,'Scores Import DO NOT EDIT'!D:D,A489)</f>
        <v>25.33333333</v>
      </c>
      <c r="F489" s="23" t="str">
        <f>VLOOKUP(A489, 'Session Data'!A:M,3,false)</f>
        <v>I-6</v>
      </c>
      <c r="G489" s="24" t="str">
        <f>VLOOKUP(A489, 'Session Data'!A:I,2,false)</f>
        <v>3:00 PM</v>
      </c>
      <c r="H489" s="23" t="str">
        <f>VLOOKUP(A489, 'Session Data'!A:J,5,false)</f>
        <v>Biological and Agricultural Sciences</v>
      </c>
      <c r="I489" s="25" t="str">
        <f>VLOOKUP(A489, 'Session Data'!A:H,4,false)</f>
        <v>Poster</v>
      </c>
      <c r="J489" s="26" t="str">
        <f>VLOOKUP(A489, 'Session Data'!A:AA,14,false)</f>
        <v>Master's</v>
      </c>
      <c r="K489" s="27" t="str">
        <f>VLOOKUP(A489, 'Session Data'!A:AA,15,false)</f>
        <v>Sciences</v>
      </c>
      <c r="L489" s="47"/>
      <c r="M489" s="29" t="str">
        <f>VLOOKUP(A489, 'Session Data'!A:K,11,false)</f>
        <v>Masters of Microbiology</v>
      </c>
      <c r="N489" s="26" t="str">
        <f>IF(ISNA(VLOOKUP(A489, 'Award Abstract#'!C:C, 1, FALSE)), "No", "Yes")
</f>
        <v>No</v>
      </c>
      <c r="O489" s="29" t="str">
        <f>IF(ISNA(VLOOKUP(A489,'Award Abstract#'!B:B,1,FALSE)), "No", "Yes")</f>
        <v>No</v>
      </c>
      <c r="P489" s="29" t="str">
        <f>IF(ISNA(VLOOKUP(A489,'Award Abstract#'!E:E,1,FALSE)), "No", "Yes")</f>
        <v>No</v>
      </c>
      <c r="Q489" s="29" t="str">
        <f>IF(ISNA(VLOOKUP(A489,'Award Abstract#'!A:A,1,FALSE)), "No", "Yes")</f>
        <v>No</v>
      </c>
      <c r="R489" s="29" t="str">
        <f>IF(ISNA(VLOOKUP(A489,'Award Abstract#'!D:D,1,FALSE)), "No", "Yes")</f>
        <v>No</v>
      </c>
      <c r="S489" s="30" t="str">
        <f>VLOOKUP(A489, 'Session Data'!A:AA,27,false)</f>
        <v>Woman</v>
      </c>
      <c r="T489" s="84"/>
      <c r="U489" s="84"/>
      <c r="V489" s="31" t="str">
        <f>VLOOKUP(A489, 'Session Data'!A:AA,8,false)</f>
        <v>Jessica</v>
      </c>
      <c r="W489" s="32" t="str">
        <f>VLOOKUP(A489, 'Session Data'!A:AA,9,false)</f>
        <v>Esparza</v>
      </c>
      <c r="X489" s="33" t="str">
        <f>VLOOKUP(A489, 'Session Data'!A:AA,12,false)</f>
        <v>The role of ChrY in human microglia and neurodevelopment </v>
      </c>
      <c r="Y489" s="34" t="str">
        <f>VLOOKUP(A489, 'Session Data'!A:AA,22,false)</f>
        <v>Celina</v>
      </c>
      <c r="Z489" s="34" t="str">
        <f>VLOOKUP(A489, 'Session Data'!A:AA,23,false)</f>
        <v>Nguyen</v>
      </c>
      <c r="AA489" s="34" t="str">
        <f>VLOOKUP(A489, 'Session Data'!A:AA,25,false)</f>
        <v>UCSD</v>
      </c>
      <c r="AB489" s="34"/>
      <c r="AC489" s="34" t="str">
        <f>VLOOKUP(A489, 'Session Data'!A:AA,16,false)</f>
        <v/>
      </c>
      <c r="AD489" s="35" t="str">
        <f>VLOOKUP(A489, 'Session Data'!A:U,17,false)</f>
        <v/>
      </c>
      <c r="AE489" s="35" t="str">
        <f>VLOOKUP(A489, 'Session Data'!A:U,18,false)</f>
        <v/>
      </c>
      <c r="AF489" s="35" t="str">
        <f>VLOOKUP(A489, 'Session Data'!A:U,19,false)</f>
        <v/>
      </c>
      <c r="AG489" s="35" t="str">
        <f>VLOOKUP(A489, 'Session Data'!A:U,20,false)</f>
        <v/>
      </c>
      <c r="AH489" s="35" t="str">
        <f>VLOOKUP(A489, 'Session Data'!A:U,21,false)</f>
        <v/>
      </c>
      <c r="AI489" s="34"/>
      <c r="AJ489" s="35"/>
      <c r="AK489" s="35"/>
      <c r="AL489" s="34"/>
      <c r="AM489" s="34" t="str">
        <f>VLOOKUP(A489, 'Session Data'!A:AA,10,false)</f>
        <v>jesparza3351@sdsu.edu</v>
      </c>
      <c r="AN489" s="46"/>
      <c r="AO489" s="48"/>
      <c r="AP489" s="48"/>
      <c r="AQ489" s="48"/>
      <c r="AR489" s="48"/>
      <c r="AS489" s="48"/>
      <c r="AT489" s="48"/>
      <c r="AU489" s="48"/>
      <c r="AV489" s="48"/>
      <c r="AW489" s="48"/>
      <c r="AX489" s="48"/>
      <c r="AY489" s="43"/>
      <c r="AZ489" s="48"/>
      <c r="BA489" s="48"/>
      <c r="BB489" s="48"/>
      <c r="BC489" s="43"/>
      <c r="BD489" s="43"/>
      <c r="BE489" s="44"/>
      <c r="BF489" s="48"/>
      <c r="BG489" s="43"/>
    </row>
    <row r="490">
      <c r="A490" s="19" t="s">
        <v>561</v>
      </c>
      <c r="B490" s="20">
        <f>VLOOKUP(F490,'Session Count DO NOT EDIT'!$A:$C,3,FALSE)</f>
        <v>4</v>
      </c>
      <c r="C490" s="20">
        <f>COUNTIFS('Scores Import DO NOT EDIT'!D:D,A490)</f>
        <v>4</v>
      </c>
      <c r="D490" s="21">
        <f t="shared" si="1"/>
        <v>1</v>
      </c>
      <c r="E490" s="22">
        <f>AVERAGEIFS('Scores Import DO NOT EDIT'!L:L,'Scores Import DO NOT EDIT'!D:D,A490)</f>
        <v>24</v>
      </c>
      <c r="F490" s="23" t="str">
        <f>VLOOKUP(A490, 'Session Data'!A:M,3,false)</f>
        <v>I-6</v>
      </c>
      <c r="G490" s="24" t="str">
        <f>VLOOKUP(A490, 'Session Data'!A:I,2,false)</f>
        <v>3:00 PM</v>
      </c>
      <c r="H490" s="23" t="str">
        <f>VLOOKUP(A490, 'Session Data'!A:J,5,false)</f>
        <v>Biological and Agricultural Sciences</v>
      </c>
      <c r="I490" s="25" t="str">
        <f>VLOOKUP(A490, 'Session Data'!A:H,4,false)</f>
        <v>Poster</v>
      </c>
      <c r="J490" s="26" t="str">
        <f>VLOOKUP(A490, 'Session Data'!A:AA,14,false)</f>
        <v>Master's</v>
      </c>
      <c r="K490" s="27" t="str">
        <f>VLOOKUP(A490, 'Session Data'!A:AA,15,false)</f>
        <v>Sciences</v>
      </c>
      <c r="L490" s="47"/>
      <c r="M490" s="29" t="str">
        <f>VLOOKUP(A490, 'Session Data'!A:K,11,false)</f>
        <v>Cell and Molecular Biology</v>
      </c>
      <c r="N490" s="26" t="str">
        <f>IF(ISNA(VLOOKUP(A490, 'Award Abstract#'!C:C, 1, FALSE)), "No", "Yes")
</f>
        <v>No</v>
      </c>
      <c r="O490" s="29" t="str">
        <f>IF(ISNA(VLOOKUP(A490,'Award Abstract#'!B:B,1,FALSE)), "No", "Yes")</f>
        <v>No</v>
      </c>
      <c r="P490" s="29" t="str">
        <f>IF(ISNA(VLOOKUP(A490,'Award Abstract#'!E:E,1,FALSE)), "No", "Yes")</f>
        <v>No</v>
      </c>
      <c r="Q490" s="29" t="str">
        <f>IF(ISNA(VLOOKUP(A490,'Award Abstract#'!A:A,1,FALSE)), "No", "Yes")</f>
        <v>No</v>
      </c>
      <c r="R490" s="29" t="str">
        <f>IF(ISNA(VLOOKUP(A490,'Award Abstract#'!D:D,1,FALSE)), "No", "Yes")</f>
        <v>No</v>
      </c>
      <c r="S490" s="30" t="str">
        <f>VLOOKUP(A490, 'Session Data'!A:AA,27,false)</f>
        <v>Woman</v>
      </c>
      <c r="T490" s="84"/>
      <c r="U490" s="84"/>
      <c r="V490" s="31" t="str">
        <f>VLOOKUP(A490, 'Session Data'!A:AA,8,false)</f>
        <v>Lauren</v>
      </c>
      <c r="W490" s="32" t="str">
        <f>VLOOKUP(A490, 'Session Data'!A:AA,9,false)</f>
        <v>Stoeltje</v>
      </c>
      <c r="X490" s="33" t="str">
        <f>VLOOKUP(A490, 'Session Data'!A:AA,12,false)</f>
        <v>“Drug transporter knockout and gut microbiome analysis in Lytechinus pictus: Building a model for commensal interactions and disease mechanisms”</v>
      </c>
      <c r="Y490" s="34" t="str">
        <f>VLOOKUP(A490, 'Session Data'!A:AA,22,false)</f>
        <v>Catherine</v>
      </c>
      <c r="Z490" s="34" t="str">
        <f>VLOOKUP(A490, 'Session Data'!A:AA,23,false)</f>
        <v>Schrankel</v>
      </c>
      <c r="AA490" s="34" t="str">
        <f>VLOOKUP(A490, 'Session Data'!A:AA,25,false)</f>
        <v>Sciences</v>
      </c>
      <c r="AB490" s="34"/>
      <c r="AC490" s="34" t="str">
        <f>VLOOKUP(A490, 'Session Data'!A:AA,16,false)</f>
        <v/>
      </c>
      <c r="AD490" s="35" t="str">
        <f>VLOOKUP(A490, 'Session Data'!A:U,17,false)</f>
        <v/>
      </c>
      <c r="AE490" s="35" t="str">
        <f>VLOOKUP(A490, 'Session Data'!A:U,18,false)</f>
        <v/>
      </c>
      <c r="AF490" s="35" t="str">
        <f>VLOOKUP(A490, 'Session Data'!A:U,19,false)</f>
        <v/>
      </c>
      <c r="AG490" s="35" t="str">
        <f>VLOOKUP(A490, 'Session Data'!A:U,20,false)</f>
        <v/>
      </c>
      <c r="AH490" s="35" t="str">
        <f>VLOOKUP(A490, 'Session Data'!A:U,21,false)</f>
        <v/>
      </c>
      <c r="AI490" s="34"/>
      <c r="AJ490" s="35"/>
      <c r="AK490" s="35"/>
      <c r="AL490" s="34"/>
      <c r="AM490" s="34" t="str">
        <f>VLOOKUP(A490, 'Session Data'!A:AA,10,false)</f>
        <v>lstoeltje3185@sdsu.edu</v>
      </c>
      <c r="AN490" s="46"/>
      <c r="AO490" s="48"/>
      <c r="AP490" s="48"/>
      <c r="AQ490" s="48"/>
      <c r="AR490" s="48"/>
      <c r="AS490" s="48"/>
      <c r="AT490" s="48"/>
      <c r="AU490" s="48"/>
      <c r="AV490" s="48"/>
      <c r="AW490" s="48"/>
      <c r="AX490" s="48"/>
      <c r="AY490" s="43"/>
      <c r="AZ490" s="48"/>
      <c r="BA490" s="48"/>
      <c r="BB490" s="48"/>
      <c r="BC490" s="43"/>
      <c r="BD490" s="43"/>
      <c r="BE490" s="44"/>
      <c r="BF490" s="48"/>
      <c r="BG490" s="43"/>
    </row>
    <row r="491">
      <c r="A491" s="78" t="s">
        <v>562</v>
      </c>
      <c r="B491" s="20">
        <f>VLOOKUP(F491,'Session Count DO NOT EDIT'!$A:$C,3,FALSE)</f>
        <v>4</v>
      </c>
      <c r="C491" s="20">
        <f>COUNTIFS('Scores Import DO NOT EDIT'!D:D,A491)</f>
        <v>1</v>
      </c>
      <c r="D491" s="21">
        <f t="shared" si="1"/>
        <v>0.25</v>
      </c>
      <c r="E491" s="22">
        <f>AVERAGEIFS('Scores Import DO NOT EDIT'!L:L,'Scores Import DO NOT EDIT'!D:D,A491)</f>
        <v>22</v>
      </c>
      <c r="F491" s="23" t="str">
        <f>VLOOKUP(A491, 'Session Data'!A:M,3,false)</f>
        <v>I-6</v>
      </c>
      <c r="G491" s="24" t="str">
        <f>VLOOKUP(A491, 'Session Data'!A:I,2,false)</f>
        <v>3:00 PM</v>
      </c>
      <c r="H491" s="23" t="str">
        <f>VLOOKUP(A491, 'Session Data'!A:J,5,false)</f>
        <v>Biological and Agricultural Sciences</v>
      </c>
      <c r="I491" s="25" t="str">
        <f>VLOOKUP(A491, 'Session Data'!A:H,4,false)</f>
        <v>Poster</v>
      </c>
      <c r="J491" s="26" t="str">
        <f>VLOOKUP(A491, 'Session Data'!A:AA,14,false)</f>
        <v>Master's</v>
      </c>
      <c r="K491" s="27" t="str">
        <f>VLOOKUP(A491, 'Session Data'!A:AA,15,false)</f>
        <v>Sciences</v>
      </c>
      <c r="L491" s="47"/>
      <c r="M491" s="29" t="str">
        <f>VLOOKUP(A491, 'Session Data'!A:K,11,false)</f>
        <v>Masters of Sciences in Cellular and Molecular Biology</v>
      </c>
      <c r="N491" s="26" t="str">
        <f>IF(ISNA(VLOOKUP(A491, 'Award Abstract#'!C:C, 1, FALSE)), "No", "Yes")
</f>
        <v>No</v>
      </c>
      <c r="O491" s="29" t="str">
        <f>IF(ISNA(VLOOKUP(A491,'Award Abstract#'!B:B,1,FALSE)), "No", "Yes")</f>
        <v>No</v>
      </c>
      <c r="P491" s="29" t="str">
        <f>IF(ISNA(VLOOKUP(A491,'Award Abstract#'!E:E,1,FALSE)), "No", "Yes")</f>
        <v>No</v>
      </c>
      <c r="Q491" s="29" t="str">
        <f>IF(ISNA(VLOOKUP(A491,'Award Abstract#'!A:A,1,FALSE)), "No", "Yes")</f>
        <v>No</v>
      </c>
      <c r="R491" s="29" t="str">
        <f>IF(ISNA(VLOOKUP(A491,'Award Abstract#'!D:D,1,FALSE)), "No", "Yes")</f>
        <v>No</v>
      </c>
      <c r="S491" s="30" t="str">
        <f>VLOOKUP(A491, 'Session Data'!A:AA,27,false)</f>
        <v>Woman</v>
      </c>
      <c r="T491" s="84"/>
      <c r="U491" s="84"/>
      <c r="V491" s="31" t="str">
        <f>VLOOKUP(A491, 'Session Data'!A:AA,8,false)</f>
        <v>Allison</v>
      </c>
      <c r="W491" s="32" t="str">
        <f>VLOOKUP(A491, 'Session Data'!A:AA,9,false)</f>
        <v>Hedin</v>
      </c>
      <c r="X491" s="33" t="str">
        <f>VLOOKUP(A491, 'Session Data'!A:AA,12,false)</f>
        <v>Interactions Between Bacteriophages and Phagocytes</v>
      </c>
      <c r="Y491" s="34" t="str">
        <f>VLOOKUP(A491, 'Session Data'!A:AA,22,false)</f>
        <v>Dwayne</v>
      </c>
      <c r="Z491" s="34" t="str">
        <f>VLOOKUP(A491, 'Session Data'!A:AA,23,false)</f>
        <v>Roach</v>
      </c>
      <c r="AA491" s="34" t="str">
        <f>VLOOKUP(A491, 'Session Data'!A:AA,25,false)</f>
        <v>Sciences</v>
      </c>
      <c r="AB491" s="34"/>
      <c r="AC491" s="34" t="str">
        <f>VLOOKUP(A491, 'Session Data'!A:AA,16,false)</f>
        <v/>
      </c>
      <c r="AD491" s="35" t="str">
        <f>VLOOKUP(A491, 'Session Data'!A:U,17,false)</f>
        <v/>
      </c>
      <c r="AE491" s="35" t="str">
        <f>VLOOKUP(A491, 'Session Data'!A:U,18,false)</f>
        <v/>
      </c>
      <c r="AF491" s="35" t="str">
        <f>VLOOKUP(A491, 'Session Data'!A:U,19,false)</f>
        <v/>
      </c>
      <c r="AG491" s="35" t="str">
        <f>VLOOKUP(A491, 'Session Data'!A:U,20,false)</f>
        <v/>
      </c>
      <c r="AH491" s="35" t="str">
        <f>VLOOKUP(A491, 'Session Data'!A:U,21,false)</f>
        <v/>
      </c>
      <c r="AI491" s="34"/>
      <c r="AJ491" s="35"/>
      <c r="AK491" s="35"/>
      <c r="AL491" s="34"/>
      <c r="AM491" s="34" t="str">
        <f>VLOOKUP(A491, 'Session Data'!A:AA,10,false)</f>
        <v>ahedin9779@sdsu.edu</v>
      </c>
      <c r="AN491" s="46"/>
      <c r="AO491" s="48"/>
      <c r="AP491" s="48"/>
      <c r="AQ491" s="48"/>
      <c r="AR491" s="48"/>
      <c r="AS491" s="48"/>
      <c r="AT491" s="48"/>
      <c r="AU491" s="48"/>
      <c r="AV491" s="48"/>
      <c r="AW491" s="48"/>
      <c r="AX491" s="48"/>
      <c r="AY491" s="43"/>
      <c r="AZ491" s="48"/>
      <c r="BA491" s="48"/>
      <c r="BB491" s="48"/>
      <c r="BC491" s="43"/>
      <c r="BD491" s="43"/>
      <c r="BE491" s="44"/>
      <c r="BF491" s="48"/>
      <c r="BG491" s="43"/>
    </row>
    <row r="492">
      <c r="A492" s="19" t="s">
        <v>563</v>
      </c>
      <c r="B492" s="20">
        <f>VLOOKUP(F492,'Session Count DO NOT EDIT'!$A:$C,3,FALSE)</f>
        <v>4</v>
      </c>
      <c r="C492" s="20">
        <f>COUNTIFS('Scores Import DO NOT EDIT'!D:D,A492)</f>
        <v>4</v>
      </c>
      <c r="D492" s="21">
        <f t="shared" si="1"/>
        <v>1</v>
      </c>
      <c r="E492" s="22">
        <f>AVERAGEIFS('Scores Import DO NOT EDIT'!L:L,'Scores Import DO NOT EDIT'!D:D,A492)</f>
        <v>21.75</v>
      </c>
      <c r="F492" s="23" t="str">
        <f>VLOOKUP(A492, 'Session Data'!A:M,3,false)</f>
        <v>I-6</v>
      </c>
      <c r="G492" s="24" t="str">
        <f>VLOOKUP(A492, 'Session Data'!A:I,2,false)</f>
        <v>3:00 PM</v>
      </c>
      <c r="H492" s="23" t="str">
        <f>VLOOKUP(A492, 'Session Data'!A:J,5,false)</f>
        <v>Biological and Agricultural Sciences</v>
      </c>
      <c r="I492" s="25" t="str">
        <f>VLOOKUP(A492, 'Session Data'!A:H,4,false)</f>
        <v>Poster</v>
      </c>
      <c r="J492" s="26" t="str">
        <f>VLOOKUP(A492, 'Session Data'!A:AA,14,false)</f>
        <v>Master's</v>
      </c>
      <c r="K492" s="27" t="str">
        <f>VLOOKUP(A492, 'Session Data'!A:AA,15,false)</f>
        <v>Sciences</v>
      </c>
      <c r="L492" s="47"/>
      <c r="M492" s="29" t="str">
        <f>VLOOKUP(A492, 'Session Data'!A:K,11,false)</f>
        <v>Master of Science in Physiology</v>
      </c>
      <c r="N492" s="26" t="str">
        <f>IF(ISNA(VLOOKUP(A492, 'Award Abstract#'!C:C, 1, FALSE)), "No", "Yes")
</f>
        <v>No</v>
      </c>
      <c r="O492" s="29" t="str">
        <f>IF(ISNA(VLOOKUP(A492,'Award Abstract#'!B:B,1,FALSE)), "No", "Yes")</f>
        <v>No</v>
      </c>
      <c r="P492" s="29" t="str">
        <f>IF(ISNA(VLOOKUP(A492,'Award Abstract#'!E:E,1,FALSE)), "No", "Yes")</f>
        <v>No</v>
      </c>
      <c r="Q492" s="29" t="str">
        <f>IF(ISNA(VLOOKUP(A492,'Award Abstract#'!A:A,1,FALSE)), "No", "Yes")</f>
        <v>No</v>
      </c>
      <c r="R492" s="29" t="str">
        <f>IF(ISNA(VLOOKUP(A492,'Award Abstract#'!D:D,1,FALSE)), "No", "Yes")</f>
        <v>No</v>
      </c>
      <c r="S492" s="30" t="str">
        <f>VLOOKUP(A492, 'Session Data'!A:AA,27,false)</f>
        <v>Woman</v>
      </c>
      <c r="T492" s="84"/>
      <c r="U492" s="84"/>
      <c r="V492" s="31" t="str">
        <f>VLOOKUP(A492, 'Session Data'!A:AA,8,false)</f>
        <v>Sol </v>
      </c>
      <c r="W492" s="32" t="str">
        <f>VLOOKUP(A492, 'Session Data'!A:AA,9,false)</f>
        <v>Diaz</v>
      </c>
      <c r="X492" s="33" t="str">
        <f>VLOOKUP(A492, 'Session Data'!A:AA,12,false)</f>
        <v>Alzheimer's Disease DNA Barcoding </v>
      </c>
      <c r="Y492" s="34" t="str">
        <f>VLOOKUP(A492, 'Session Data'!A:AA,22,false)</f>
        <v>Ralph </v>
      </c>
      <c r="Z492" s="34" t="str">
        <f>VLOOKUP(A492, 'Session Data'!A:AA,23,false)</f>
        <v>Feuer</v>
      </c>
      <c r="AA492" s="34" t="str">
        <f>VLOOKUP(A492, 'Session Data'!A:AA,25,false)</f>
        <v>Sciences</v>
      </c>
      <c r="AB492" s="34"/>
      <c r="AC492" s="34" t="str">
        <f>VLOOKUP(A492, 'Session Data'!A:AA,16,false)</f>
        <v/>
      </c>
      <c r="AD492" s="35" t="str">
        <f>VLOOKUP(A492, 'Session Data'!A:U,17,false)</f>
        <v/>
      </c>
      <c r="AE492" s="35" t="str">
        <f>VLOOKUP(A492, 'Session Data'!A:U,18,false)</f>
        <v/>
      </c>
      <c r="AF492" s="35" t="str">
        <f>VLOOKUP(A492, 'Session Data'!A:U,19,false)</f>
        <v/>
      </c>
      <c r="AG492" s="35" t="str">
        <f>VLOOKUP(A492, 'Session Data'!A:U,20,false)</f>
        <v/>
      </c>
      <c r="AH492" s="35" t="str">
        <f>VLOOKUP(A492, 'Session Data'!A:U,21,false)</f>
        <v/>
      </c>
      <c r="AI492" s="34"/>
      <c r="AJ492" s="35"/>
      <c r="AK492" s="35"/>
      <c r="AL492" s="34"/>
      <c r="AM492" s="34" t="str">
        <f>VLOOKUP(A492, 'Session Data'!A:AA,10,false)</f>
        <v>sdiaz8861@sdsu.edu</v>
      </c>
      <c r="AN492" s="46"/>
      <c r="AO492" s="48"/>
      <c r="AP492" s="48"/>
      <c r="AQ492" s="48"/>
      <c r="AR492" s="48"/>
      <c r="AS492" s="48"/>
      <c r="AT492" s="48"/>
      <c r="AU492" s="48"/>
      <c r="AV492" s="48"/>
      <c r="AW492" s="48"/>
      <c r="AX492" s="48"/>
      <c r="AY492" s="43"/>
      <c r="AZ492" s="48"/>
      <c r="BA492" s="48"/>
      <c r="BB492" s="48"/>
      <c r="BC492" s="43"/>
      <c r="BD492" s="43"/>
      <c r="BE492" s="44"/>
      <c r="BF492" s="48"/>
      <c r="BG492" s="43"/>
    </row>
    <row r="493">
      <c r="A493" s="19" t="s">
        <v>564</v>
      </c>
      <c r="B493" s="20">
        <f>VLOOKUP(F493,'Session Count DO NOT EDIT'!$A:$C,3,FALSE)</f>
        <v>5</v>
      </c>
      <c r="C493" s="20">
        <f>COUNTIFS('Scores Import DO NOT EDIT'!D:D,A493)</f>
        <v>3</v>
      </c>
      <c r="D493" s="21">
        <f t="shared" si="1"/>
        <v>0.6</v>
      </c>
      <c r="E493" s="22">
        <f>AVERAGEIFS('Scores Import DO NOT EDIT'!L:L,'Scores Import DO NOT EDIT'!D:D,A493)</f>
        <v>31.66666667</v>
      </c>
      <c r="F493" s="23" t="str">
        <f>VLOOKUP(A493, 'Session Data'!A:M,3,false)</f>
        <v>I-7</v>
      </c>
      <c r="G493" s="24" t="str">
        <f>VLOOKUP(A493, 'Session Data'!A:I,2,false)</f>
        <v>3:00 PM</v>
      </c>
      <c r="H493" s="23" t="str">
        <f>VLOOKUP(A493, 'Session Data'!A:J,5,false)</f>
        <v>Health Nutrition and Clinical Sciences</v>
      </c>
      <c r="I493" s="25" t="str">
        <f>VLOOKUP(A493, 'Session Data'!A:H,4,false)</f>
        <v>Poster</v>
      </c>
      <c r="J493" s="26" t="str">
        <f>VLOOKUP(A493, 'Session Data'!A:AA,14,false)</f>
        <v>Master's</v>
      </c>
      <c r="K493" s="27" t="str">
        <f>VLOOKUP(A493, 'Session Data'!A:AA,15,false)</f>
        <v>Arts and Letters</v>
      </c>
      <c r="L493" s="28" t="s">
        <v>324</v>
      </c>
      <c r="M493" s="29" t="str">
        <f>VLOOKUP(A493, 'Session Data'!A:K,11,false)</f>
        <v>Master of Science in Big Data Analytics </v>
      </c>
      <c r="N493" s="26" t="str">
        <f>IF(ISNA(VLOOKUP(A493, 'Award Abstract#'!C:C, 1, FALSE)), "No", "Yes")
</f>
        <v>No</v>
      </c>
      <c r="O493" s="29" t="str">
        <f>IF(ISNA(VLOOKUP(A493,'Award Abstract#'!B:B,1,FALSE)), "No", "Yes")</f>
        <v>Yes</v>
      </c>
      <c r="P493" s="29" t="str">
        <f>IF(ISNA(VLOOKUP(A493,'Award Abstract#'!E:E,1,FALSE)), "No", "Yes")</f>
        <v>No</v>
      </c>
      <c r="Q493" s="29" t="str">
        <f>IF(ISNA(VLOOKUP(A493,'Award Abstract#'!A:A,1,FALSE)), "No", "Yes")</f>
        <v>No</v>
      </c>
      <c r="R493" s="29" t="str">
        <f>IF(ISNA(VLOOKUP(A493,'Award Abstract#'!D:D,1,FALSE)), "No", "Yes")</f>
        <v>Yes</v>
      </c>
      <c r="S493" s="30" t="str">
        <f>VLOOKUP(A493, 'Session Data'!A:AA,27,false)</f>
        <v>Woman</v>
      </c>
      <c r="T493" s="84"/>
      <c r="U493" s="84"/>
      <c r="V493" s="31" t="str">
        <f>VLOOKUP(A493, 'Session Data'!A:AA,8,false)</f>
        <v>Maria Fernanda</v>
      </c>
      <c r="W493" s="32" t="str">
        <f>VLOOKUP(A493, 'Session Data'!A:AA,9,false)</f>
        <v>Carrillo Escarcega</v>
      </c>
      <c r="X493" s="33" t="str">
        <f>VLOOKUP(A493, 'Session Data'!A:AA,12,false)</f>
        <v>Empowering Women's Well being: A Comprehensive Approach to Social Health Disparities </v>
      </c>
      <c r="Y493" s="34" t="str">
        <f>VLOOKUP(A493, 'Session Data'!A:AA,22,false)</f>
        <v>Gabriela </v>
      </c>
      <c r="Z493" s="34" t="str">
        <f>VLOOKUP(A493, 'Session Data'!A:AA,23,false)</f>
        <v>Fernandez</v>
      </c>
      <c r="AA493" s="34" t="str">
        <f>VLOOKUP(A493, 'Session Data'!A:AA,25,false)</f>
        <v>Arts and Letters</v>
      </c>
      <c r="AB493" s="34" t="str">
        <f>VLOOKUP(A493, 'Session Data'!A:AA,24,false)</f>
        <v>gfernandez2@sdsu.edu</v>
      </c>
      <c r="AC493" s="34" t="str">
        <f>VLOOKUP(A493, 'Session Data'!A:AA,16,false)</f>
        <v/>
      </c>
      <c r="AD493" s="35" t="str">
        <f>VLOOKUP(A493, 'Session Data'!A:U,17,false)</f>
        <v/>
      </c>
      <c r="AE493" s="35" t="str">
        <f>VLOOKUP(A493, 'Session Data'!A:U,18,false)</f>
        <v/>
      </c>
      <c r="AF493" s="35" t="str">
        <f>VLOOKUP(A493, 'Session Data'!A:U,19,false)</f>
        <v/>
      </c>
      <c r="AG493" s="35" t="str">
        <f>VLOOKUP(A493, 'Session Data'!A:U,20,false)</f>
        <v/>
      </c>
      <c r="AH493" s="35" t="str">
        <f>VLOOKUP(A493, 'Session Data'!A:U,21,false)</f>
        <v/>
      </c>
      <c r="AI493" s="34"/>
      <c r="AJ493" s="35"/>
      <c r="AK493" s="35"/>
      <c r="AL493" s="34"/>
      <c r="AM493" s="34" t="str">
        <f>VLOOKUP(A493, 'Session Data'!A:AA,10,false)</f>
        <v>mcarrillo6082@sdsu.edu</v>
      </c>
      <c r="AN493" s="46"/>
      <c r="AO493" s="48"/>
      <c r="AP493" s="48"/>
      <c r="AQ493" s="48"/>
      <c r="AR493" s="48"/>
      <c r="AS493" s="48"/>
      <c r="AT493" s="48"/>
      <c r="AU493" s="48"/>
      <c r="AV493" s="48"/>
      <c r="AW493" s="48"/>
      <c r="AX493" s="48"/>
      <c r="AY493" s="43"/>
      <c r="AZ493" s="48"/>
      <c r="BA493" s="48"/>
      <c r="BB493" s="48"/>
      <c r="BC493" s="43"/>
      <c r="BD493" s="43"/>
      <c r="BE493" s="44"/>
      <c r="BF493" s="48"/>
      <c r="BG493" s="43"/>
    </row>
    <row r="494">
      <c r="A494" s="19" t="s">
        <v>565</v>
      </c>
      <c r="B494" s="20">
        <f>VLOOKUP(F494,'Session Count DO NOT EDIT'!$A:$C,3,FALSE)</f>
        <v>5</v>
      </c>
      <c r="C494" s="20">
        <f>COUNTIFS('Scores Import DO NOT EDIT'!D:D,A494)</f>
        <v>3</v>
      </c>
      <c r="D494" s="21">
        <f t="shared" si="1"/>
        <v>0.6</v>
      </c>
      <c r="E494" s="22">
        <f>AVERAGEIFS('Scores Import DO NOT EDIT'!L:L,'Scores Import DO NOT EDIT'!D:D,A494)</f>
        <v>31.66666667</v>
      </c>
      <c r="F494" s="23" t="str">
        <f>VLOOKUP(A494, 'Session Data'!A:M,3,false)</f>
        <v>I-7</v>
      </c>
      <c r="G494" s="24" t="str">
        <f>VLOOKUP(A494, 'Session Data'!A:I,2,false)</f>
        <v>3:00 PM</v>
      </c>
      <c r="H494" s="23" t="str">
        <f>VLOOKUP(A494, 'Session Data'!A:J,5,false)</f>
        <v>Health Nutrition and Clinical Sciences</v>
      </c>
      <c r="I494" s="25" t="str">
        <f>VLOOKUP(A494, 'Session Data'!A:H,4,false)</f>
        <v>Poster</v>
      </c>
      <c r="J494" s="26" t="str">
        <f>VLOOKUP(A494, 'Session Data'!A:AA,14,false)</f>
        <v>Doctoral</v>
      </c>
      <c r="K494" s="27" t="str">
        <f>VLOOKUP(A494, 'Session Data'!A:AA,15,false)</f>
        <v>Sciences</v>
      </c>
      <c r="L494" s="47"/>
      <c r="M494" s="29" t="str">
        <f>VLOOKUP(A494, 'Session Data'!A:K,11,false)</f>
        <v>Chemistry - Biochemistry</v>
      </c>
      <c r="N494" s="26" t="str">
        <f>IF(ISNA(VLOOKUP(A494, 'Award Abstract#'!C:C, 1, FALSE)), "No", "Yes")
</f>
        <v>No</v>
      </c>
      <c r="O494" s="29" t="str">
        <f>IF(ISNA(VLOOKUP(A494,'Award Abstract#'!B:B,1,FALSE)), "No", "Yes")</f>
        <v>Yes</v>
      </c>
      <c r="P494" s="29" t="str">
        <f>IF(ISNA(VLOOKUP(A494,'Award Abstract#'!E:E,1,FALSE)), "No", "Yes")</f>
        <v>No</v>
      </c>
      <c r="Q494" s="29" t="str">
        <f>IF(ISNA(VLOOKUP(A494,'Award Abstract#'!A:A,1,FALSE)), "No", "Yes")</f>
        <v>No</v>
      </c>
      <c r="R494" s="29" t="str">
        <f>IF(ISNA(VLOOKUP(A494,'Award Abstract#'!D:D,1,FALSE)), "No", "Yes")</f>
        <v>Yes</v>
      </c>
      <c r="S494" s="30" t="str">
        <f>VLOOKUP(A494, 'Session Data'!A:AA,27,false)</f>
        <v>Man</v>
      </c>
      <c r="T494" s="84"/>
      <c r="U494" s="84"/>
      <c r="V494" s="31" t="str">
        <f>VLOOKUP(A494, 'Session Data'!A:AA,8,false)</f>
        <v>Luis</v>
      </c>
      <c r="W494" s="32" t="str">
        <f>VLOOKUP(A494, 'Session Data'!A:AA,9,false)</f>
        <v>Ernst</v>
      </c>
      <c r="X494" s="33" t="str">
        <f>VLOOKUP(A494, 'Session Data'!A:AA,12,false)</f>
        <v>The influence of the microbiome on metabolic changes in Chagas disease</v>
      </c>
      <c r="Y494" s="34" t="str">
        <f>VLOOKUP(A494, 'Session Data'!A:AA,22,false)</f>
        <v>Laura-Isobel</v>
      </c>
      <c r="Z494" s="34" t="str">
        <f>VLOOKUP(A494, 'Session Data'!A:AA,23,false)</f>
        <v>McCall</v>
      </c>
      <c r="AA494" s="34" t="str">
        <f>VLOOKUP(A494, 'Session Data'!A:AA,25,false)</f>
        <v>Sciences</v>
      </c>
      <c r="AB494" s="34"/>
      <c r="AC494" s="34" t="str">
        <f>VLOOKUP(A494, 'Session Data'!A:AA,16,false)</f>
        <v/>
      </c>
      <c r="AD494" s="35" t="str">
        <f>VLOOKUP(A494, 'Session Data'!A:U,17,false)</f>
        <v/>
      </c>
      <c r="AE494" s="35" t="str">
        <f>VLOOKUP(A494, 'Session Data'!A:U,18,false)</f>
        <v/>
      </c>
      <c r="AF494" s="35" t="str">
        <f>VLOOKUP(A494, 'Session Data'!A:U,19,false)</f>
        <v/>
      </c>
      <c r="AG494" s="35" t="str">
        <f>VLOOKUP(A494, 'Session Data'!A:U,20,false)</f>
        <v/>
      </c>
      <c r="AH494" s="35" t="str">
        <f>VLOOKUP(A494, 'Session Data'!A:U,21,false)</f>
        <v/>
      </c>
      <c r="AI494" s="34"/>
      <c r="AJ494" s="35"/>
      <c r="AK494" s="35"/>
      <c r="AL494" s="34"/>
      <c r="AM494" s="34" t="str">
        <f>VLOOKUP(A494, 'Session Data'!A:AA,10,false)</f>
        <v>lernst4717@sdsu.edu</v>
      </c>
      <c r="AN494" s="46"/>
      <c r="AO494" s="48"/>
      <c r="AP494" s="48"/>
      <c r="AQ494" s="48"/>
      <c r="AR494" s="48"/>
      <c r="AS494" s="48"/>
      <c r="AT494" s="48"/>
      <c r="AU494" s="48"/>
      <c r="AV494" s="48"/>
      <c r="AW494" s="48"/>
      <c r="AX494" s="48"/>
      <c r="AY494" s="43"/>
      <c r="AZ494" s="48"/>
      <c r="BA494" s="48"/>
      <c r="BB494" s="48"/>
      <c r="BC494" s="43"/>
      <c r="BD494" s="43"/>
      <c r="BE494" s="44"/>
      <c r="BF494" s="48"/>
      <c r="BG494" s="43"/>
    </row>
    <row r="495">
      <c r="A495" s="19" t="s">
        <v>566</v>
      </c>
      <c r="B495" s="20">
        <f>VLOOKUP(F495,'Session Count DO NOT EDIT'!$A:$C,3,FALSE)</f>
        <v>5</v>
      </c>
      <c r="C495" s="20">
        <f>COUNTIFS('Scores Import DO NOT EDIT'!D:D,A495)</f>
        <v>3</v>
      </c>
      <c r="D495" s="21">
        <f t="shared" si="1"/>
        <v>0.6</v>
      </c>
      <c r="E495" s="22">
        <f>AVERAGEIFS('Scores Import DO NOT EDIT'!L:L,'Scores Import DO NOT EDIT'!D:D,A495)</f>
        <v>34.33333333</v>
      </c>
      <c r="F495" s="23" t="str">
        <f>VLOOKUP(A495, 'Session Data'!A:M,3,false)</f>
        <v>I-7</v>
      </c>
      <c r="G495" s="24" t="str">
        <f>VLOOKUP(A495, 'Session Data'!A:I,2,false)</f>
        <v>3:00 PM</v>
      </c>
      <c r="H495" s="23" t="str">
        <f>VLOOKUP(A495, 'Session Data'!A:J,5,false)</f>
        <v>Health Nutrition and Clinical Sciences</v>
      </c>
      <c r="I495" s="25" t="str">
        <f>VLOOKUP(A495, 'Session Data'!A:H,4,false)</f>
        <v>Poster</v>
      </c>
      <c r="J495" s="26" t="str">
        <f>VLOOKUP(A495, 'Session Data'!A:AA,14,false)</f>
        <v>Master's</v>
      </c>
      <c r="K495" s="27" t="str">
        <f>VLOOKUP(A495, 'Session Data'!A:AA,15,false)</f>
        <v>Health and Human Services</v>
      </c>
      <c r="L495" s="28" t="s">
        <v>187</v>
      </c>
      <c r="M495" s="29" t="str">
        <f>VLOOKUP(A495, 'Session Data'!A:K,11,false)</f>
        <v>Masters in Nutritional Sciences</v>
      </c>
      <c r="N495" s="26" t="str">
        <f>IF(ISNA(VLOOKUP(A495, 'Award Abstract#'!C:C, 1, FALSE)), "No", "Yes")
</f>
        <v>No</v>
      </c>
      <c r="O495" s="29" t="str">
        <f>IF(ISNA(VLOOKUP(A495,'Award Abstract#'!B:B,1,FALSE)), "No", "Yes")</f>
        <v>No</v>
      </c>
      <c r="P495" s="29" t="str">
        <f>IF(ISNA(VLOOKUP(A495,'Award Abstract#'!E:E,1,FALSE)), "No", "Yes")</f>
        <v>No</v>
      </c>
      <c r="Q495" s="29" t="str">
        <f>IF(ISNA(VLOOKUP(A495,'Award Abstract#'!A:A,1,FALSE)), "No", "Yes")</f>
        <v>No</v>
      </c>
      <c r="R495" s="29" t="str">
        <f>IF(ISNA(VLOOKUP(A495,'Award Abstract#'!D:D,1,FALSE)), "No", "Yes")</f>
        <v>No</v>
      </c>
      <c r="S495" s="30" t="str">
        <f>VLOOKUP(A495, 'Session Data'!A:AA,27,false)</f>
        <v>Woman</v>
      </c>
      <c r="T495" s="84"/>
      <c r="U495" s="84"/>
      <c r="V495" s="31" t="str">
        <f>VLOOKUP(A495, 'Session Data'!A:AA,8,false)</f>
        <v>Katie</v>
      </c>
      <c r="W495" s="32" t="str">
        <f>VLOOKUP(A495, 'Session Data'!A:AA,9,false)</f>
        <v>Williams</v>
      </c>
      <c r="X495" s="33" t="str">
        <f>VLOOKUP(A495, 'Session Data'!A:AA,12,false)</f>
        <v>Evening Chronotypes are at Higher Risk of High Sugar Consumption due to Greater Sweet Taste Preference</v>
      </c>
      <c r="Y495" s="34" t="str">
        <f>VLOOKUP(A495, 'Session Data'!A:AA,22,false)</f>
        <v>Surabhi</v>
      </c>
      <c r="Z495" s="34" t="str">
        <f>VLOOKUP(A495, 'Session Data'!A:AA,23,false)</f>
        <v>Bhutani</v>
      </c>
      <c r="AA495" s="34" t="str">
        <f>VLOOKUP(A495, 'Session Data'!A:AA,25,false)</f>
        <v>Health and Human Services</v>
      </c>
      <c r="AB495" s="34" t="str">
        <f>VLOOKUP(A495, 'Session Data'!A:AA,24,false)</f>
        <v>sbhutani@sdsu.edu</v>
      </c>
      <c r="AC495" s="34" t="str">
        <f>VLOOKUP(A495, 'Session Data'!A:AA,16,false)</f>
        <v>Sierra</v>
      </c>
      <c r="AD495" s="35" t="str">
        <f>VLOOKUP(A495, 'Session Data'!A:U,17,false)</f>
        <v>Aguilar</v>
      </c>
      <c r="AE495" s="35" t="str">
        <f>VLOOKUP(A495, 'Session Data'!A:U,18,false)</f>
        <v/>
      </c>
      <c r="AF495" s="35" t="str">
        <f>VLOOKUP(A495, 'Session Data'!A:U,19,false)</f>
        <v/>
      </c>
      <c r="AG495" s="35" t="str">
        <f>VLOOKUP(A495, 'Session Data'!A:U,20,false)</f>
        <v/>
      </c>
      <c r="AH495" s="35" t="str">
        <f>VLOOKUP(A495, 'Session Data'!A:U,21,false)</f>
        <v/>
      </c>
      <c r="AI495" s="34"/>
      <c r="AJ495" s="35"/>
      <c r="AK495" s="35"/>
      <c r="AL495" s="34"/>
      <c r="AM495" s="34" t="str">
        <f>VLOOKUP(A495, 'Session Data'!A:AA,10,false)</f>
        <v>kwilliams8985@sdsu.edu</v>
      </c>
      <c r="AN495" s="46"/>
      <c r="AO495" s="48"/>
      <c r="AP495" s="48"/>
      <c r="AQ495" s="48"/>
      <c r="AR495" s="48"/>
      <c r="AS495" s="48"/>
      <c r="AT495" s="48"/>
      <c r="AU495" s="48"/>
      <c r="AV495" s="48"/>
      <c r="AW495" s="48"/>
      <c r="AX495" s="48"/>
      <c r="AY495" s="43"/>
      <c r="AZ495" s="48"/>
      <c r="BA495" s="48"/>
      <c r="BB495" s="48"/>
      <c r="BC495" s="43"/>
      <c r="BD495" s="43"/>
      <c r="BE495" s="44"/>
      <c r="BF495" s="48"/>
      <c r="BG495" s="43"/>
    </row>
    <row r="496">
      <c r="A496" s="19" t="s">
        <v>567</v>
      </c>
      <c r="B496" s="20">
        <f>VLOOKUP(F496,'Session Count DO NOT EDIT'!$A:$C,3,FALSE)</f>
        <v>5</v>
      </c>
      <c r="C496" s="20">
        <f>COUNTIFS('Scores Import DO NOT EDIT'!D:D,A496)</f>
        <v>2</v>
      </c>
      <c r="D496" s="21">
        <f t="shared" si="1"/>
        <v>0.4</v>
      </c>
      <c r="E496" s="22">
        <f>AVERAGEIFS('Scores Import DO NOT EDIT'!L:L,'Scores Import DO NOT EDIT'!D:D,A496)</f>
        <v>34</v>
      </c>
      <c r="F496" s="23" t="str">
        <f>VLOOKUP(A496, 'Session Data'!A:M,3,false)</f>
        <v>I-7</v>
      </c>
      <c r="G496" s="24" t="str">
        <f>VLOOKUP(A496, 'Session Data'!A:I,2,false)</f>
        <v>3:00 PM</v>
      </c>
      <c r="H496" s="23" t="str">
        <f>VLOOKUP(A496, 'Session Data'!A:J,5,false)</f>
        <v>Health Nutrition and Clinical Sciences</v>
      </c>
      <c r="I496" s="25" t="str">
        <f>VLOOKUP(A496, 'Session Data'!A:H,4,false)</f>
        <v>Poster</v>
      </c>
      <c r="J496" s="26" t="str">
        <f>VLOOKUP(A496, 'Session Data'!A:AA,14,false)</f>
        <v>Master's</v>
      </c>
      <c r="K496" s="27" t="str">
        <f>VLOOKUP(A496, 'Session Data'!A:AA,15,false)</f>
        <v>Health and Human Services</v>
      </c>
      <c r="L496" s="28" t="s">
        <v>324</v>
      </c>
      <c r="M496" s="29" t="str">
        <f>VLOOKUP(A496, 'Session Data'!A:K,11,false)</f>
        <v>Masters of Public Health in Epidemiology </v>
      </c>
      <c r="N496" s="26" t="str">
        <f>IF(ISNA(VLOOKUP(A496, 'Award Abstract#'!C:C, 1, FALSE)), "No", "Yes")
</f>
        <v>No</v>
      </c>
      <c r="O496" s="29" t="str">
        <f>IF(ISNA(VLOOKUP(A496,'Award Abstract#'!B:B,1,FALSE)), "No", "Yes")</f>
        <v>No</v>
      </c>
      <c r="P496" s="29" t="str">
        <f>IF(ISNA(VLOOKUP(A496,'Award Abstract#'!E:E,1,FALSE)), "No", "Yes")</f>
        <v>No</v>
      </c>
      <c r="Q496" s="29" t="str">
        <f>IF(ISNA(VLOOKUP(A496,'Award Abstract#'!A:A,1,FALSE)), "No", "Yes")</f>
        <v>No</v>
      </c>
      <c r="R496" s="29" t="str">
        <f>IF(ISNA(VLOOKUP(A496,'Award Abstract#'!D:D,1,FALSE)), "No", "Yes")</f>
        <v>No</v>
      </c>
      <c r="S496" s="30" t="str">
        <f>VLOOKUP(A496, 'Session Data'!A:AA,27,false)</f>
        <v>Woman</v>
      </c>
      <c r="T496" s="84"/>
      <c r="U496" s="84"/>
      <c r="V496" s="31" t="str">
        <f>VLOOKUP(A496, 'Session Data'!A:AA,8,false)</f>
        <v>Samantha </v>
      </c>
      <c r="W496" s="32" t="str">
        <f>VLOOKUP(A496, 'Session Data'!A:AA,9,false)</f>
        <v>Suess</v>
      </c>
      <c r="X496" s="33" t="str">
        <f>VLOOKUP(A496, 'Session Data'!A:AA,12,false)</f>
        <v>Exploring Secondhand Exposure to Vaping: A Dyad Study Using Wristband Nicotine and Urinary Cotinine</v>
      </c>
      <c r="Y496" s="34" t="str">
        <f>VLOOKUP(A496, 'Session Data'!A:AA,22,false)</f>
        <v>Eyal</v>
      </c>
      <c r="Z496" s="34" t="str">
        <f>VLOOKUP(A496, 'Session Data'!A:AA,23,false)</f>
        <v>Oren</v>
      </c>
      <c r="AA496" s="34" t="str">
        <f>VLOOKUP(A496, 'Session Data'!A:AA,25,false)</f>
        <v>Health and Human Services</v>
      </c>
      <c r="AB496" s="34" t="str">
        <f>VLOOKUP(A496, 'Session Data'!A:AA,24,false)</f>
        <v>eoren@sdsu.edu</v>
      </c>
      <c r="AC496" s="34" t="str">
        <f>VLOOKUP(A496, 'Session Data'!A:AA,16,false)</f>
        <v>Alice</v>
      </c>
      <c r="AD496" s="35" t="str">
        <f>VLOOKUP(A496, 'Session Data'!A:U,17,false)</f>
        <v> Xayavong</v>
      </c>
      <c r="AE496" s="35" t="str">
        <f>VLOOKUP(A496, 'Session Data'!A:U,18,false)</f>
        <v/>
      </c>
      <c r="AF496" s="35" t="str">
        <f>VLOOKUP(A496, 'Session Data'!A:U,19,false)</f>
        <v/>
      </c>
      <c r="AG496" s="35" t="str">
        <f>VLOOKUP(A496, 'Session Data'!A:U,20,false)</f>
        <v/>
      </c>
      <c r="AH496" s="35" t="str">
        <f>VLOOKUP(A496, 'Session Data'!A:U,21,false)</f>
        <v/>
      </c>
      <c r="AI496" s="34"/>
      <c r="AJ496" s="35"/>
      <c r="AK496" s="35"/>
      <c r="AL496" s="34"/>
      <c r="AM496" s="34" t="str">
        <f>VLOOKUP(A496, 'Session Data'!A:AA,10,false)</f>
        <v>ssuess@sdsu.edu</v>
      </c>
      <c r="AN496" s="46"/>
      <c r="AO496" s="48"/>
      <c r="AP496" s="48"/>
      <c r="AQ496" s="48"/>
      <c r="AR496" s="48"/>
      <c r="AS496" s="48"/>
      <c r="AT496" s="48"/>
      <c r="AU496" s="48"/>
      <c r="AV496" s="48"/>
      <c r="AW496" s="48"/>
      <c r="AX496" s="48"/>
      <c r="AY496" s="43"/>
      <c r="AZ496" s="48"/>
      <c r="BA496" s="48"/>
      <c r="BB496" s="48"/>
      <c r="BC496" s="43"/>
      <c r="BD496" s="43"/>
      <c r="BE496" s="44"/>
      <c r="BF496" s="48"/>
      <c r="BG496" s="43"/>
    </row>
    <row r="497">
      <c r="A497" s="19" t="s">
        <v>568</v>
      </c>
      <c r="B497" s="20">
        <f>VLOOKUP(F497,'Session Count DO NOT EDIT'!$A:$C,3,FALSE)</f>
        <v>5</v>
      </c>
      <c r="C497" s="20">
        <f>COUNTIFS('Scores Import DO NOT EDIT'!D:D,A497)</f>
        <v>2</v>
      </c>
      <c r="D497" s="21">
        <f t="shared" si="1"/>
        <v>0.4</v>
      </c>
      <c r="E497" s="22">
        <f>AVERAGEIFS('Scores Import DO NOT EDIT'!L:L,'Scores Import DO NOT EDIT'!D:D,A497)</f>
        <v>34</v>
      </c>
      <c r="F497" s="23" t="str">
        <f>VLOOKUP(A497, 'Session Data'!A:M,3,false)</f>
        <v>I-7</v>
      </c>
      <c r="G497" s="24" t="str">
        <f>VLOOKUP(A497, 'Session Data'!A:I,2,false)</f>
        <v>3:00 PM</v>
      </c>
      <c r="H497" s="23" t="str">
        <f>VLOOKUP(A497, 'Session Data'!A:J,5,false)</f>
        <v>Health Nutrition and Clinical Sciences</v>
      </c>
      <c r="I497" s="25" t="str">
        <f>VLOOKUP(A497, 'Session Data'!A:H,4,false)</f>
        <v>Poster</v>
      </c>
      <c r="J497" s="26" t="str">
        <f>VLOOKUP(A497, 'Session Data'!A:AA,14,false)</f>
        <v>Master's</v>
      </c>
      <c r="K497" s="27" t="str">
        <f>VLOOKUP(A497, 'Session Data'!A:AA,15,false)</f>
        <v>Sciences</v>
      </c>
      <c r="L497" s="28" t="s">
        <v>187</v>
      </c>
      <c r="M497" s="29" t="str">
        <f>VLOOKUP(A497, 'Session Data'!A:K,11,false)</f>
        <v>Masters in Nutritional Sciences</v>
      </c>
      <c r="N497" s="26" t="str">
        <f>IF(ISNA(VLOOKUP(A497, 'Award Abstract#'!C:C, 1, FALSE)), "No", "Yes")
</f>
        <v>No</v>
      </c>
      <c r="O497" s="29" t="str">
        <f>IF(ISNA(VLOOKUP(A497,'Award Abstract#'!B:B,1,FALSE)), "No", "Yes")</f>
        <v>No</v>
      </c>
      <c r="P497" s="29" t="str">
        <f>IF(ISNA(VLOOKUP(A497,'Award Abstract#'!E:E,1,FALSE)), "No", "Yes")</f>
        <v>No</v>
      </c>
      <c r="Q497" s="29" t="str">
        <f>IF(ISNA(VLOOKUP(A497,'Award Abstract#'!A:A,1,FALSE)), "No", "Yes")</f>
        <v>No</v>
      </c>
      <c r="R497" s="29" t="str">
        <f>IF(ISNA(VLOOKUP(A497,'Award Abstract#'!D:D,1,FALSE)), "No", "Yes")</f>
        <v>No</v>
      </c>
      <c r="S497" s="30" t="str">
        <f>VLOOKUP(A497, 'Session Data'!A:AA,27,false)</f>
        <v>Woman</v>
      </c>
      <c r="T497" s="84"/>
      <c r="U497" s="84"/>
      <c r="V497" s="31" t="str">
        <f>VLOOKUP(A497, 'Session Data'!A:AA,8,false)</f>
        <v>Meghen</v>
      </c>
      <c r="W497" s="32" t="str">
        <f>VLOOKUP(A497, 'Session Data'!A:AA,9,false)</f>
        <v>Bishop</v>
      </c>
      <c r="X497" s="33" t="str">
        <f>VLOOKUP(A497, 'Session Data'!A:AA,12,false)</f>
        <v>Effects of Postnatal Choline Supplementation on Lipid Profiles and Liver Function Markers in Alcohol-Exposed Sprague Dawley Rats</v>
      </c>
      <c r="Y497" s="34" t="str">
        <f>VLOOKUP(A497, 'Session Data'!A:AA,22,false)</f>
        <v>Meeyoung</v>
      </c>
      <c r="Z497" s="34" t="str">
        <f>VLOOKUP(A497, 'Session Data'!A:AA,23,false)</f>
        <v>Hong</v>
      </c>
      <c r="AA497" s="34" t="str">
        <f>VLOOKUP(A497, 'Session Data'!A:AA,25,false)</f>
        <v>Sciences</v>
      </c>
      <c r="AB497" s="34" t="str">
        <f>VLOOKUP(A497, 'Session Data'!A:AA,24,false)</f>
        <v>MHong2@sdsu.edu</v>
      </c>
      <c r="AC497" s="34" t="str">
        <f>VLOOKUP(A497, 'Session Data'!A:AA,16,false)</f>
        <v/>
      </c>
      <c r="AD497" s="35" t="str">
        <f>VLOOKUP(A497, 'Session Data'!A:U,17,false)</f>
        <v/>
      </c>
      <c r="AE497" s="35" t="str">
        <f>VLOOKUP(A497, 'Session Data'!A:U,18,false)</f>
        <v/>
      </c>
      <c r="AF497" s="35" t="str">
        <f>VLOOKUP(A497, 'Session Data'!A:U,19,false)</f>
        <v/>
      </c>
      <c r="AG497" s="35" t="str">
        <f>VLOOKUP(A497, 'Session Data'!A:U,20,false)</f>
        <v/>
      </c>
      <c r="AH497" s="35" t="str">
        <f>VLOOKUP(A497, 'Session Data'!A:U,21,false)</f>
        <v/>
      </c>
      <c r="AI497" s="34"/>
      <c r="AJ497" s="35"/>
      <c r="AK497" s="35"/>
      <c r="AL497" s="34"/>
      <c r="AM497" s="34" t="str">
        <f>VLOOKUP(A497, 'Session Data'!A:AA,10,false)</f>
        <v>mlord6800@sdsu.edu</v>
      </c>
      <c r="AN497" s="46"/>
      <c r="AO497" s="48"/>
      <c r="AP497" s="48"/>
      <c r="AQ497" s="48"/>
      <c r="AR497" s="48"/>
      <c r="AS497" s="48"/>
      <c r="AT497" s="48"/>
      <c r="AU497" s="48"/>
      <c r="AV497" s="48"/>
      <c r="AW497" s="48"/>
      <c r="AX497" s="48"/>
      <c r="AY497" s="43"/>
      <c r="AZ497" s="48"/>
      <c r="BA497" s="48"/>
      <c r="BB497" s="48"/>
      <c r="BC497" s="43"/>
      <c r="BD497" s="43"/>
      <c r="BE497" s="44"/>
      <c r="BF497" s="48"/>
      <c r="BG497" s="43"/>
    </row>
    <row r="498">
      <c r="A498" s="19" t="s">
        <v>569</v>
      </c>
      <c r="B498" s="20">
        <f>VLOOKUP(F498,'Session Count DO NOT EDIT'!$A:$C,3,FALSE)</f>
        <v>5</v>
      </c>
      <c r="C498" s="20">
        <f>COUNTIFS('Scores Import DO NOT EDIT'!D:D,A498)</f>
        <v>3</v>
      </c>
      <c r="D498" s="21">
        <f t="shared" si="1"/>
        <v>0.6</v>
      </c>
      <c r="E498" s="22">
        <f>AVERAGEIFS('Scores Import DO NOT EDIT'!L:L,'Scores Import DO NOT EDIT'!D:D,A498)</f>
        <v>34</v>
      </c>
      <c r="F498" s="23" t="str">
        <f>VLOOKUP(A498, 'Session Data'!A:M,3,false)</f>
        <v>I-7</v>
      </c>
      <c r="G498" s="24" t="str">
        <f>VLOOKUP(A498, 'Session Data'!A:I,2,false)</f>
        <v>3:00 PM</v>
      </c>
      <c r="H498" s="23" t="str">
        <f>VLOOKUP(A498, 'Session Data'!A:J,5,false)</f>
        <v>Health Nutrition and Clinical Sciences</v>
      </c>
      <c r="I498" s="25" t="str">
        <f>VLOOKUP(A498, 'Session Data'!A:H,4,false)</f>
        <v>Poster</v>
      </c>
      <c r="J498" s="26" t="str">
        <f>VLOOKUP(A498, 'Session Data'!A:AA,14,false)</f>
        <v>Doctoral</v>
      </c>
      <c r="K498" s="27" t="str">
        <f>VLOOKUP(A498, 'Session Data'!A:AA,15,false)</f>
        <v>Health and Human Services</v>
      </c>
      <c r="L498" s="28" t="s">
        <v>95</v>
      </c>
      <c r="M498" s="29" t="str">
        <f>VLOOKUP(A498, 'Session Data'!A:K,11,false)</f>
        <v>JDP in Public Health</v>
      </c>
      <c r="N498" s="26" t="str">
        <f>IF(ISNA(VLOOKUP(A498, 'Award Abstract#'!C:C, 1, FALSE)), "No", "Yes")
</f>
        <v>No</v>
      </c>
      <c r="O498" s="29" t="str">
        <f>IF(ISNA(VLOOKUP(A498,'Award Abstract#'!B:B,1,FALSE)), "No", "Yes")</f>
        <v>No</v>
      </c>
      <c r="P498" s="29" t="str">
        <f>IF(ISNA(VLOOKUP(A498,'Award Abstract#'!E:E,1,FALSE)), "No", "Yes")</f>
        <v>No</v>
      </c>
      <c r="Q498" s="29" t="str">
        <f>IF(ISNA(VLOOKUP(A498,'Award Abstract#'!A:A,1,FALSE)), "No", "Yes")</f>
        <v>Yes</v>
      </c>
      <c r="R498" s="29" t="str">
        <f>IF(ISNA(VLOOKUP(A498,'Award Abstract#'!D:D,1,FALSE)), "No", "Yes")</f>
        <v>Yes</v>
      </c>
      <c r="S498" s="30" t="str">
        <f>VLOOKUP(A498, 'Session Data'!A:AA,27,false)</f>
        <v>Woman</v>
      </c>
      <c r="T498" s="84"/>
      <c r="U498" s="84"/>
      <c r="V498" s="31" t="str">
        <f>VLOOKUP(A498, 'Session Data'!A:AA,8,false)</f>
        <v>Alana</v>
      </c>
      <c r="W498" s="32" t="str">
        <f>VLOOKUP(A498, 'Session Data'!A:AA,9,false)</f>
        <v>Lopez</v>
      </c>
      <c r="X498" s="33" t="str">
        <f>VLOOKUP(A498, 'Session Data'!A:AA,12,false)</f>
        <v>Assessing the role of social support as a buffer against bias-based bullying and depressive symptoms among Latinx adolescents</v>
      </c>
      <c r="Y498" s="34" t="str">
        <f>VLOOKUP(A498, 'Session Data'!A:AA,22,false)</f>
        <v>Jennifer</v>
      </c>
      <c r="Z498" s="34" t="str">
        <f>VLOOKUP(A498, 'Session Data'!A:AA,23,false)</f>
        <v>Felner</v>
      </c>
      <c r="AA498" s="34" t="str">
        <f>VLOOKUP(A498, 'Session Data'!A:AA,25,false)</f>
        <v>Health and Human Services</v>
      </c>
      <c r="AB498" s="34" t="str">
        <f>VLOOKUP(A498, 'Session Data'!A:AA,24,false)</f>
        <v>jfelner@sdsu.edu</v>
      </c>
      <c r="AC498" s="34" t="str">
        <f>VLOOKUP(A498, 'Session Data'!A:AA,16,false)</f>
        <v/>
      </c>
      <c r="AD498" s="35" t="str">
        <f>VLOOKUP(A498, 'Session Data'!A:U,17,false)</f>
        <v/>
      </c>
      <c r="AE498" s="35" t="str">
        <f>VLOOKUP(A498, 'Session Data'!A:U,18,false)</f>
        <v/>
      </c>
      <c r="AF498" s="35" t="str">
        <f>VLOOKUP(A498, 'Session Data'!A:U,19,false)</f>
        <v/>
      </c>
      <c r="AG498" s="35" t="str">
        <f>VLOOKUP(A498, 'Session Data'!A:U,20,false)</f>
        <v/>
      </c>
      <c r="AH498" s="35" t="str">
        <f>VLOOKUP(A498, 'Session Data'!A:U,21,false)</f>
        <v/>
      </c>
      <c r="AI498" s="34"/>
      <c r="AJ498" s="35"/>
      <c r="AK498" s="35"/>
      <c r="AL498" s="34"/>
      <c r="AM498" s="34" t="str">
        <f>VLOOKUP(A498, 'Session Data'!A:AA,10,false)</f>
        <v>alopez9625@sdsu.edu</v>
      </c>
      <c r="AN498" s="46"/>
      <c r="AO498" s="48"/>
      <c r="AP498" s="48"/>
      <c r="AQ498" s="48"/>
      <c r="AR498" s="48"/>
      <c r="AS498" s="48"/>
      <c r="AT498" s="48"/>
      <c r="AU498" s="48"/>
      <c r="AV498" s="48"/>
      <c r="AW498" s="48"/>
      <c r="AX498" s="48"/>
      <c r="AY498" s="43"/>
      <c r="AZ498" s="48"/>
      <c r="BA498" s="48"/>
      <c r="BB498" s="48"/>
      <c r="BC498" s="43"/>
      <c r="BD498" s="43"/>
      <c r="BE498" s="44"/>
      <c r="BF498" s="48"/>
      <c r="BG498" s="43"/>
    </row>
    <row r="499">
      <c r="A499" s="19" t="s">
        <v>570</v>
      </c>
      <c r="B499" s="20">
        <f>VLOOKUP(F499,'Session Count DO NOT EDIT'!$A:$C,3,FALSE)</f>
        <v>5</v>
      </c>
      <c r="C499" s="20">
        <f>COUNTIFS('Scores Import DO NOT EDIT'!D:D,A499)</f>
        <v>3</v>
      </c>
      <c r="D499" s="21">
        <f t="shared" si="1"/>
        <v>0.6</v>
      </c>
      <c r="E499" s="22">
        <f>AVERAGEIFS('Scores Import DO NOT EDIT'!L:L,'Scores Import DO NOT EDIT'!D:D,A499)</f>
        <v>33.66666667</v>
      </c>
      <c r="F499" s="23" t="str">
        <f>VLOOKUP(A499, 'Session Data'!A:M,3,false)</f>
        <v>I-7</v>
      </c>
      <c r="G499" s="24" t="str">
        <f>VLOOKUP(A499, 'Session Data'!A:I,2,false)</f>
        <v>3:00 PM</v>
      </c>
      <c r="H499" s="23" t="str">
        <f>VLOOKUP(A499, 'Session Data'!A:J,5,false)</f>
        <v>Health Nutrition and Clinical Sciences</v>
      </c>
      <c r="I499" s="25" t="str">
        <f>VLOOKUP(A499, 'Session Data'!A:H,4,false)</f>
        <v>Poster</v>
      </c>
      <c r="J499" s="26" t="str">
        <f>VLOOKUP(A499, 'Session Data'!A:AA,14,false)</f>
        <v>Master's</v>
      </c>
      <c r="K499" s="27" t="str">
        <f>VLOOKUP(A499, 'Session Data'!A:AA,15,false)</f>
        <v>Health and Human Services</v>
      </c>
      <c r="L499" s="28" t="s">
        <v>324</v>
      </c>
      <c r="M499" s="29" t="str">
        <f>VLOOKUP(A499, 'Session Data'!A:K,11,false)</f>
        <v>Masters of Science in Epidemiology</v>
      </c>
      <c r="N499" s="26" t="str">
        <f>IF(ISNA(VLOOKUP(A499, 'Award Abstract#'!C:C, 1, FALSE)), "No", "Yes")
</f>
        <v>No</v>
      </c>
      <c r="O499" s="29" t="str">
        <f>IF(ISNA(VLOOKUP(A499,'Award Abstract#'!B:B,1,FALSE)), "No", "Yes")</f>
        <v>No</v>
      </c>
      <c r="P499" s="29" t="str">
        <f>IF(ISNA(VLOOKUP(A499,'Award Abstract#'!E:E,1,FALSE)), "No", "Yes")</f>
        <v>No</v>
      </c>
      <c r="Q499" s="29" t="str">
        <f>IF(ISNA(VLOOKUP(A499,'Award Abstract#'!A:A,1,FALSE)), "No", "Yes")</f>
        <v>No</v>
      </c>
      <c r="R499" s="29" t="str">
        <f>IF(ISNA(VLOOKUP(A499,'Award Abstract#'!D:D,1,FALSE)), "No", "Yes")</f>
        <v>No</v>
      </c>
      <c r="S499" s="30" t="str">
        <f>VLOOKUP(A499, 'Session Data'!A:AA,27,false)</f>
        <v>Man, Cisgender</v>
      </c>
      <c r="T499" s="84"/>
      <c r="U499" s="84"/>
      <c r="V499" s="31" t="str">
        <f>VLOOKUP(A499, 'Session Data'!A:AA,8,false)</f>
        <v>Kevin</v>
      </c>
      <c r="W499" s="32" t="str">
        <f>VLOOKUP(A499, 'Session Data'!A:AA,9,false)</f>
        <v>Nugent</v>
      </c>
      <c r="X499" s="33" t="str">
        <f>VLOOKUP(A499, 'Session Data'!A:AA,12,false)</f>
        <v>A review of registered breast cancer clinical trials and mortality using the Surveillance, Epidemiology, and End Results (SEER) program from 2006-2020</v>
      </c>
      <c r="Y499" s="34" t="str">
        <f>VLOOKUP(A499, 'Session Data'!A:AA,22,false)</f>
        <v>Humberto</v>
      </c>
      <c r="Z499" s="34" t="str">
        <f>VLOOKUP(A499, 'Session Data'!A:AA,23,false)</f>
        <v>Parada</v>
      </c>
      <c r="AA499" s="34" t="str">
        <f>VLOOKUP(A499, 'Session Data'!A:AA,25,false)</f>
        <v>Health and Human Services</v>
      </c>
      <c r="AB499" s="34" t="str">
        <f>VLOOKUP(A499, 'Session Data'!A:AA,24,false)</f>
        <v>hparada@sdsu.edu</v>
      </c>
      <c r="AC499" s="34" t="str">
        <f>VLOOKUP(A499, 'Session Data'!A:AA,16,false)</f>
        <v/>
      </c>
      <c r="AD499" s="35" t="str">
        <f>VLOOKUP(A499, 'Session Data'!A:U,17,false)</f>
        <v/>
      </c>
      <c r="AE499" s="35" t="str">
        <f>VLOOKUP(A499, 'Session Data'!A:U,18,false)</f>
        <v/>
      </c>
      <c r="AF499" s="35" t="str">
        <f>VLOOKUP(A499, 'Session Data'!A:U,19,false)</f>
        <v/>
      </c>
      <c r="AG499" s="35" t="str">
        <f>VLOOKUP(A499, 'Session Data'!A:U,20,false)</f>
        <v/>
      </c>
      <c r="AH499" s="35" t="str">
        <f>VLOOKUP(A499, 'Session Data'!A:U,21,false)</f>
        <v/>
      </c>
      <c r="AI499" s="34"/>
      <c r="AJ499" s="35"/>
      <c r="AK499" s="35"/>
      <c r="AL499" s="34"/>
      <c r="AM499" s="34" t="str">
        <f>VLOOKUP(A499, 'Session Data'!A:AA,10,false)</f>
        <v>knugent1840@sdsu.edu</v>
      </c>
      <c r="AN499" s="46"/>
      <c r="AO499" s="48"/>
      <c r="AP499" s="48"/>
      <c r="AQ499" s="48"/>
      <c r="AR499" s="48"/>
      <c r="AS499" s="48"/>
      <c r="AT499" s="48"/>
      <c r="AU499" s="48"/>
      <c r="AV499" s="48"/>
      <c r="AW499" s="48"/>
      <c r="AX499" s="48"/>
      <c r="AY499" s="43"/>
      <c r="AZ499" s="48"/>
      <c r="BA499" s="48"/>
      <c r="BB499" s="48"/>
      <c r="BC499" s="43"/>
      <c r="BD499" s="43"/>
      <c r="BE499" s="44"/>
      <c r="BF499" s="48"/>
      <c r="BG499" s="43"/>
    </row>
    <row r="500">
      <c r="A500" s="19" t="s">
        <v>571</v>
      </c>
      <c r="B500" s="20">
        <f>VLOOKUP(F500,'Session Count DO NOT EDIT'!$A:$C,3,FALSE)</f>
        <v>5</v>
      </c>
      <c r="C500" s="20">
        <f>COUNTIFS('Scores Import DO NOT EDIT'!D:D,A500)</f>
        <v>2</v>
      </c>
      <c r="D500" s="21">
        <f t="shared" si="1"/>
        <v>0.4</v>
      </c>
      <c r="E500" s="22">
        <f>AVERAGEIFS('Scores Import DO NOT EDIT'!L:L,'Scores Import DO NOT EDIT'!D:D,A500)</f>
        <v>33</v>
      </c>
      <c r="F500" s="23" t="str">
        <f>VLOOKUP(A500, 'Session Data'!A:M,3,false)</f>
        <v>I-7</v>
      </c>
      <c r="G500" s="24" t="str">
        <f>VLOOKUP(A500, 'Session Data'!A:I,2,false)</f>
        <v>3:00 PM</v>
      </c>
      <c r="H500" s="23" t="str">
        <f>VLOOKUP(A500, 'Session Data'!A:J,5,false)</f>
        <v>Health Nutrition and Clinical Sciences</v>
      </c>
      <c r="I500" s="25" t="str">
        <f>VLOOKUP(A500, 'Session Data'!A:H,4,false)</f>
        <v>Poster</v>
      </c>
      <c r="J500" s="26" t="str">
        <f>VLOOKUP(A500, 'Session Data'!A:AA,14,false)</f>
        <v>Doctoral</v>
      </c>
      <c r="K500" s="27" t="str">
        <f>VLOOKUP(A500, 'Session Data'!A:AA,15,false)</f>
        <v>Health and Human Services</v>
      </c>
      <c r="L500" s="47"/>
      <c r="M500" s="29" t="str">
        <f>VLOOKUP(A500, 'Session Data'!A:K,11,false)</f>
        <v>PhD Interdisciplinary Research on Substance Use</v>
      </c>
      <c r="N500" s="26" t="str">
        <f>IF(ISNA(VLOOKUP(A500, 'Award Abstract#'!C:C, 1, FALSE)), "No", "Yes")
</f>
        <v>No</v>
      </c>
      <c r="O500" s="29" t="str">
        <f>IF(ISNA(VLOOKUP(A500,'Award Abstract#'!B:B,1,FALSE)), "No", "Yes")</f>
        <v>No</v>
      </c>
      <c r="P500" s="29" t="str">
        <f>IF(ISNA(VLOOKUP(A500,'Award Abstract#'!E:E,1,FALSE)), "No", "Yes")</f>
        <v>No</v>
      </c>
      <c r="Q500" s="29" t="str">
        <f>IF(ISNA(VLOOKUP(A500,'Award Abstract#'!A:A,1,FALSE)), "No", "Yes")</f>
        <v>No</v>
      </c>
      <c r="R500" s="29" t="str">
        <f>IF(ISNA(VLOOKUP(A500,'Award Abstract#'!D:D,1,FALSE)), "No", "Yes")</f>
        <v>No</v>
      </c>
      <c r="S500" s="30" t="str">
        <f>VLOOKUP(A500, 'Session Data'!A:AA,27,false)</f>
        <v>Woman, Cisgender</v>
      </c>
      <c r="T500" s="84"/>
      <c r="U500" s="84"/>
      <c r="V500" s="31" t="str">
        <f>VLOOKUP(A500, 'Session Data'!A:AA,8,false)</f>
        <v>Mele'ana</v>
      </c>
      <c r="W500" s="32" t="str">
        <f>VLOOKUP(A500, 'Session Data'!A:AA,9,false)</f>
        <v>Akolo</v>
      </c>
      <c r="X500" s="33" t="str">
        <f>VLOOKUP(A500, 'Session Data'!A:AA,12,false)</f>
        <v>A Mixed Methods Study on the Need for Gender-Responsive (GR) Drug Services in Tonga. </v>
      </c>
      <c r="Y500" s="34" t="str">
        <f>VLOOKUP(A500, 'Session Data'!A:AA,22,false)</f>
        <v>Maria Luisa </v>
      </c>
      <c r="Z500" s="34" t="str">
        <f>VLOOKUP(A500, 'Session Data'!A:AA,23,false)</f>
        <v>Zuniga</v>
      </c>
      <c r="AA500" s="34" t="str">
        <f>VLOOKUP(A500, 'Session Data'!A:AA,25,false)</f>
        <v>Health and Human Services</v>
      </c>
      <c r="AB500" s="34" t="str">
        <f>VLOOKUP(A500, 'Session Data'!A:AA,24,false)</f>
        <v>mlzuniga@sdsu.edu</v>
      </c>
      <c r="AC500" s="34" t="str">
        <f>VLOOKUP(A500, 'Session Data'!A:AA,16,false)</f>
        <v/>
      </c>
      <c r="AD500" s="35" t="str">
        <f>VLOOKUP(A500, 'Session Data'!A:U,17,false)</f>
        <v/>
      </c>
      <c r="AE500" s="35" t="str">
        <f>VLOOKUP(A500, 'Session Data'!A:U,18,false)</f>
        <v/>
      </c>
      <c r="AF500" s="35" t="str">
        <f>VLOOKUP(A500, 'Session Data'!A:U,19,false)</f>
        <v/>
      </c>
      <c r="AG500" s="35" t="str">
        <f>VLOOKUP(A500, 'Session Data'!A:U,20,false)</f>
        <v/>
      </c>
      <c r="AH500" s="35" t="str">
        <f>VLOOKUP(A500, 'Session Data'!A:U,21,false)</f>
        <v/>
      </c>
      <c r="AI500" s="34"/>
      <c r="AJ500" s="35"/>
      <c r="AK500" s="35"/>
      <c r="AL500" s="34"/>
      <c r="AM500" s="34" t="str">
        <f>VLOOKUP(A500, 'Session Data'!A:AA,10,false)</f>
        <v>makolo7375@sdsu.edu</v>
      </c>
      <c r="AN500" s="46"/>
      <c r="AO500" s="48"/>
      <c r="AP500" s="48"/>
      <c r="AQ500" s="48"/>
      <c r="AR500" s="48"/>
      <c r="AS500" s="48"/>
      <c r="AT500" s="48"/>
      <c r="AU500" s="48"/>
      <c r="AV500" s="48"/>
      <c r="AW500" s="48"/>
      <c r="AX500" s="48"/>
      <c r="AY500" s="43"/>
      <c r="AZ500" s="48"/>
      <c r="BA500" s="48"/>
      <c r="BB500" s="48"/>
      <c r="BC500" s="43"/>
      <c r="BD500" s="43"/>
      <c r="BE500" s="44"/>
      <c r="BF500" s="48"/>
      <c r="BG500" s="43"/>
    </row>
    <row r="501">
      <c r="A501" s="19" t="s">
        <v>572</v>
      </c>
      <c r="B501" s="20">
        <f>VLOOKUP(F501,'Session Count DO NOT EDIT'!$A:$C,3,FALSE)</f>
        <v>5</v>
      </c>
      <c r="C501" s="20">
        <f>COUNTIFS('Scores Import DO NOT EDIT'!D:D,A501)</f>
        <v>4</v>
      </c>
      <c r="D501" s="21">
        <f t="shared" si="1"/>
        <v>0.8</v>
      </c>
      <c r="E501" s="22">
        <f>AVERAGEIFS('Scores Import DO NOT EDIT'!L:L,'Scores Import DO NOT EDIT'!D:D,A501)</f>
        <v>25.5</v>
      </c>
      <c r="F501" s="23" t="str">
        <f>VLOOKUP(A501, 'Session Data'!A:M,3,false)</f>
        <v>I-8</v>
      </c>
      <c r="G501" s="24" t="str">
        <f>VLOOKUP(A501, 'Session Data'!A:I,2,false)</f>
        <v>3:00 PM</v>
      </c>
      <c r="H501" s="23" t="str">
        <f>VLOOKUP(A501, 'Session Data'!A:J,5,false)</f>
        <v>Education</v>
      </c>
      <c r="I501" s="25" t="str">
        <f>VLOOKUP(A501, 'Session Data'!A:H,4,false)</f>
        <v>Poster</v>
      </c>
      <c r="J501" s="26" t="str">
        <f>VLOOKUP(A501, 'Session Data'!A:AA,14,false)</f>
        <v>Master's</v>
      </c>
      <c r="K501" s="27" t="str">
        <f>VLOOKUP(A501, 'Session Data'!A:AA,15,false)</f>
        <v>Arts and Letters</v>
      </c>
      <c r="L501" s="47"/>
      <c r="M501" s="29" t="str">
        <f>VLOOKUP(A501, 'Session Data'!A:K,11,false)</f>
        <v>Big Data Analytics</v>
      </c>
      <c r="N501" s="26" t="str">
        <f>IF(ISNA(VLOOKUP(A501, 'Award Abstract#'!C:C, 1, FALSE)), "No", "Yes")
</f>
        <v>No</v>
      </c>
      <c r="O501" s="29" t="str">
        <f>IF(ISNA(VLOOKUP(A501,'Award Abstract#'!B:B,1,FALSE)), "No", "Yes")</f>
        <v>Yes</v>
      </c>
      <c r="P501" s="29" t="str">
        <f>IF(ISNA(VLOOKUP(A501,'Award Abstract#'!E:E,1,FALSE)), "No", "Yes")</f>
        <v>No</v>
      </c>
      <c r="Q501" s="29" t="str">
        <f>IF(ISNA(VLOOKUP(A501,'Award Abstract#'!A:A,1,FALSE)), "No", "Yes")</f>
        <v>No</v>
      </c>
      <c r="R501" s="29" t="str">
        <f>IF(ISNA(VLOOKUP(A501,'Award Abstract#'!D:D,1,FALSE)), "No", "Yes")</f>
        <v>Yes</v>
      </c>
      <c r="S501" s="30" t="str">
        <f>VLOOKUP(A501, 'Session Data'!A:AA,27,false)</f>
        <v>Woman</v>
      </c>
      <c r="T501" s="84"/>
      <c r="U501" s="84"/>
      <c r="V501" s="31" t="str">
        <f>VLOOKUP(A501, 'Session Data'!A:AA,8,false)</f>
        <v>Surbhi</v>
      </c>
      <c r="W501" s="32" t="str">
        <f>VLOOKUP(A501, 'Session Data'!A:AA,9,false)</f>
        <v>Sawant</v>
      </c>
      <c r="X501" s="33" t="str">
        <f>VLOOKUP(A501, 'Session Data'!A:AA,12,false)</f>
        <v>A Personalized Chatbot for Addressing Child Malnutrition</v>
      </c>
      <c r="Y501" s="34" t="str">
        <f>VLOOKUP(A501, 'Session Data'!A:AA,22,false)</f>
        <v>Gabriela</v>
      </c>
      <c r="Z501" s="34" t="str">
        <f>VLOOKUP(A501, 'Session Data'!A:AA,23,false)</f>
        <v>Fernandez</v>
      </c>
      <c r="AA501" s="34" t="str">
        <f>VLOOKUP(A501, 'Session Data'!A:AA,25,false)</f>
        <v>Arts and Letters</v>
      </c>
      <c r="AB501" s="34" t="str">
        <f>VLOOKUP(A501, 'Session Data'!A:AA,24,false)</f>
        <v>gfernandez2@sdsu.edu</v>
      </c>
      <c r="AC501" s="34" t="str">
        <f>VLOOKUP(A501, 'Session Data'!A:AA,16,false)</f>
        <v/>
      </c>
      <c r="AD501" s="35" t="str">
        <f>VLOOKUP(A501, 'Session Data'!A:U,17,false)</f>
        <v/>
      </c>
      <c r="AE501" s="35" t="str">
        <f>VLOOKUP(A501, 'Session Data'!A:U,18,false)</f>
        <v/>
      </c>
      <c r="AF501" s="35" t="str">
        <f>VLOOKUP(A501, 'Session Data'!A:U,19,false)</f>
        <v/>
      </c>
      <c r="AG501" s="35" t="str">
        <f>VLOOKUP(A501, 'Session Data'!A:U,20,false)</f>
        <v/>
      </c>
      <c r="AH501" s="35" t="str">
        <f>VLOOKUP(A501, 'Session Data'!A:U,21,false)</f>
        <v/>
      </c>
      <c r="AI501" s="34"/>
      <c r="AJ501" s="35"/>
      <c r="AK501" s="35"/>
      <c r="AL501" s="34"/>
      <c r="AM501" s="34" t="str">
        <f>VLOOKUP(A501, 'Session Data'!A:AA,10,false)</f>
        <v>ssawant6618@sdsu.edu</v>
      </c>
      <c r="AN501" s="46"/>
      <c r="AO501" s="48"/>
      <c r="AP501" s="48"/>
      <c r="AQ501" s="48"/>
      <c r="AR501" s="48"/>
      <c r="AS501" s="48"/>
      <c r="AT501" s="48"/>
      <c r="AU501" s="48"/>
      <c r="AV501" s="48"/>
      <c r="AW501" s="48"/>
      <c r="AX501" s="48"/>
      <c r="AY501" s="43"/>
      <c r="AZ501" s="48"/>
      <c r="BA501" s="48"/>
      <c r="BB501" s="48"/>
      <c r="BC501" s="43"/>
      <c r="BD501" s="43"/>
      <c r="BE501" s="44"/>
      <c r="BF501" s="48"/>
      <c r="BG501" s="43"/>
    </row>
    <row r="502">
      <c r="A502" s="19" t="s">
        <v>573</v>
      </c>
      <c r="B502" s="20">
        <f>VLOOKUP(F502,'Session Count DO NOT EDIT'!$A:$C,3,FALSE)</f>
        <v>5</v>
      </c>
      <c r="C502" s="20">
        <f>COUNTIFS('Scores Import DO NOT EDIT'!D:D,A502)</f>
        <v>4</v>
      </c>
      <c r="D502" s="21">
        <f t="shared" si="1"/>
        <v>0.8</v>
      </c>
      <c r="E502" s="22">
        <f>AVERAGEIFS('Scores Import DO NOT EDIT'!L:L,'Scores Import DO NOT EDIT'!D:D,A502)</f>
        <v>25</v>
      </c>
      <c r="F502" s="23" t="str">
        <f>VLOOKUP(A502, 'Session Data'!A:M,3,false)</f>
        <v>I-8</v>
      </c>
      <c r="G502" s="24" t="str">
        <f>VLOOKUP(A502, 'Session Data'!A:I,2,false)</f>
        <v>3:00 PM</v>
      </c>
      <c r="H502" s="23" t="str">
        <f>VLOOKUP(A502, 'Session Data'!A:J,5,false)</f>
        <v>Education</v>
      </c>
      <c r="I502" s="25" t="str">
        <f>VLOOKUP(A502, 'Session Data'!A:H,4,false)</f>
        <v>Poster</v>
      </c>
      <c r="J502" s="26" t="str">
        <f>VLOOKUP(A502, 'Session Data'!A:AA,14,false)</f>
        <v>Master's</v>
      </c>
      <c r="K502" s="27" t="str">
        <f>VLOOKUP(A502, 'Session Data'!A:AA,15,false)</f>
        <v>Education</v>
      </c>
      <c r="L502" s="47"/>
      <c r="M502" s="29" t="str">
        <f>VLOOKUP(A502, 'Session Data'!A:K,11,false)</f>
        <v>Teaching Credential</v>
      </c>
      <c r="N502" s="26" t="str">
        <f>IF(ISNA(VLOOKUP(A502, 'Award Abstract#'!C:C, 1, FALSE)), "No", "Yes")
</f>
        <v>No</v>
      </c>
      <c r="O502" s="29" t="str">
        <f>IF(ISNA(VLOOKUP(A502,'Award Abstract#'!B:B,1,FALSE)), "No", "Yes")</f>
        <v>Yes</v>
      </c>
      <c r="P502" s="29" t="str">
        <f>IF(ISNA(VLOOKUP(A502,'Award Abstract#'!E:E,1,FALSE)), "No", "Yes")</f>
        <v>No</v>
      </c>
      <c r="Q502" s="29" t="str">
        <f>IF(ISNA(VLOOKUP(A502,'Award Abstract#'!A:A,1,FALSE)), "No", "Yes")</f>
        <v>Yes</v>
      </c>
      <c r="R502" s="29" t="str">
        <f>IF(ISNA(VLOOKUP(A502,'Award Abstract#'!D:D,1,FALSE)), "No", "Yes")</f>
        <v>Yes</v>
      </c>
      <c r="S502" s="30" t="str">
        <f>VLOOKUP(A502, 'Session Data'!A:AA,27,false)</f>
        <v>Woman</v>
      </c>
      <c r="T502" s="84"/>
      <c r="U502" s="84"/>
      <c r="V502" s="31" t="str">
        <f>VLOOKUP(A502, 'Session Data'!A:AA,8,false)</f>
        <v>Isua</v>
      </c>
      <c r="W502" s="32" t="str">
        <f>VLOOKUP(A502, 'Session Data'!A:AA,9,false)</f>
        <v>Camarena</v>
      </c>
      <c r="X502" s="33" t="str">
        <f>VLOOKUP(A502, 'Session Data'!A:AA,12,false)</f>
        <v>Inclusive English Language Development Practices in the Classrooms for English Language Learners at the Imperial Valley Borderlands</v>
      </c>
      <c r="Y502" s="34" t="str">
        <f>VLOOKUP(A502, 'Session Data'!A:AA,22,false)</f>
        <v>Vannessa </v>
      </c>
      <c r="Z502" s="34" t="str">
        <f>VLOOKUP(A502, 'Session Data'!A:AA,23,false)</f>
        <v>Falcón Orta</v>
      </c>
      <c r="AA502" s="34" t="str">
        <f>VLOOKUP(A502, 'Session Data'!A:AA,25,false)</f>
        <v>SDSU Imperial Valley</v>
      </c>
      <c r="AB502" s="34" t="str">
        <f>VLOOKUP(A502, 'Session Data'!A:AA,24,false)</f>
        <v>falcon@sdsu.edu</v>
      </c>
      <c r="AC502" s="34" t="str">
        <f>VLOOKUP(A502, 'Session Data'!A:AA,16,false)</f>
        <v/>
      </c>
      <c r="AD502" s="35" t="str">
        <f>VLOOKUP(A502, 'Session Data'!A:U,17,false)</f>
        <v/>
      </c>
      <c r="AE502" s="35" t="str">
        <f>VLOOKUP(A502, 'Session Data'!A:U,18,false)</f>
        <v/>
      </c>
      <c r="AF502" s="35" t="str">
        <f>VLOOKUP(A502, 'Session Data'!A:U,19,false)</f>
        <v/>
      </c>
      <c r="AG502" s="35" t="str">
        <f>VLOOKUP(A502, 'Session Data'!A:U,20,false)</f>
        <v/>
      </c>
      <c r="AH502" s="35" t="str">
        <f>VLOOKUP(A502, 'Session Data'!A:U,21,false)</f>
        <v/>
      </c>
      <c r="AI502" s="34"/>
      <c r="AJ502" s="35"/>
      <c r="AK502" s="35"/>
      <c r="AL502" s="34"/>
      <c r="AM502" s="34" t="str">
        <f>VLOOKUP(A502, 'Session Data'!A:AA,10,false)</f>
        <v>icamarena8199@sdsu.edu</v>
      </c>
      <c r="AN502" s="46"/>
      <c r="AO502" s="48"/>
      <c r="AP502" s="48"/>
      <c r="AQ502" s="48"/>
      <c r="AR502" s="48"/>
      <c r="AS502" s="48"/>
      <c r="AT502" s="48"/>
      <c r="AU502" s="48"/>
      <c r="AV502" s="48"/>
      <c r="AW502" s="48"/>
      <c r="AX502" s="48"/>
      <c r="AY502" s="43"/>
      <c r="AZ502" s="48"/>
      <c r="BA502" s="48"/>
      <c r="BB502" s="48"/>
      <c r="BC502" s="43"/>
      <c r="BD502" s="43"/>
      <c r="BE502" s="44"/>
      <c r="BF502" s="48"/>
      <c r="BG502" s="43"/>
    </row>
    <row r="503">
      <c r="A503" s="19" t="s">
        <v>574</v>
      </c>
      <c r="B503" s="20">
        <f>VLOOKUP(F503,'Session Count DO NOT EDIT'!$A:$C,3,FALSE)</f>
        <v>5</v>
      </c>
      <c r="C503" s="20">
        <f>COUNTIFS('Scores Import DO NOT EDIT'!D:D,A503)</f>
        <v>0</v>
      </c>
      <c r="D503" s="21">
        <f t="shared" si="1"/>
        <v>0</v>
      </c>
      <c r="E503" s="22" t="str">
        <f>AVERAGEIFS('Scores Import DO NOT EDIT'!L:L,'Scores Import DO NOT EDIT'!D:D,A503)</f>
        <v>#DIV/0!</v>
      </c>
      <c r="F503" s="23" t="str">
        <f>VLOOKUP(A503, 'Session Data'!A:M,3,false)</f>
        <v>I-8</v>
      </c>
      <c r="G503" s="24" t="str">
        <f>VLOOKUP(A503, 'Session Data'!A:I,2,false)</f>
        <v>3:00 PM</v>
      </c>
      <c r="H503" s="23" t="str">
        <f>VLOOKUP(A503, 'Session Data'!A:J,5,false)</f>
        <v>Education</v>
      </c>
      <c r="I503" s="25" t="str">
        <f>VLOOKUP(A503, 'Session Data'!A:H,4,false)</f>
        <v>Poster</v>
      </c>
      <c r="J503" s="26" t="str">
        <f>VLOOKUP(A503, 'Session Data'!A:AA,14,false)</f>
        <v>Master's</v>
      </c>
      <c r="K503" s="27" t="str">
        <f>VLOOKUP(A503, 'Session Data'!A:AA,15,false)</f>
        <v>SDSU Imperial Valley</v>
      </c>
      <c r="L503" s="47"/>
      <c r="M503" s="29" t="str">
        <f>VLOOKUP(A503, 'Session Data'!A:K,11,false)</f>
        <v>Master in social work</v>
      </c>
      <c r="N503" s="26" t="str">
        <f>IF(ISNA(VLOOKUP(A503, 'Award Abstract#'!C:C, 1, FALSE)), "No", "Yes")
</f>
        <v>No</v>
      </c>
      <c r="O503" s="29" t="str">
        <f>IF(ISNA(VLOOKUP(A503,'Award Abstract#'!B:B,1,FALSE)), "No", "Yes")</f>
        <v>No</v>
      </c>
      <c r="P503" s="29" t="str">
        <f>IF(ISNA(VLOOKUP(A503,'Award Abstract#'!E:E,1,FALSE)), "No", "Yes")</f>
        <v>No</v>
      </c>
      <c r="Q503" s="29" t="str">
        <f>IF(ISNA(VLOOKUP(A503,'Award Abstract#'!A:A,1,FALSE)), "No", "Yes")</f>
        <v>Yes</v>
      </c>
      <c r="R503" s="29" t="str">
        <f>IF(ISNA(VLOOKUP(A503,'Award Abstract#'!D:D,1,FALSE)), "No", "Yes")</f>
        <v>Yes</v>
      </c>
      <c r="S503" s="30" t="str">
        <f>VLOOKUP(A503, 'Session Data'!A:AA,27,false)</f>
        <v>Woman</v>
      </c>
      <c r="T503" s="84"/>
      <c r="U503" s="84"/>
      <c r="V503" s="31" t="str">
        <f>VLOOKUP(A503, 'Session Data'!A:AA,8,false)</f>
        <v>Andrea</v>
      </c>
      <c r="W503" s="32" t="str">
        <f>VLOOKUP(A503, 'Session Data'!A:AA,9,false)</f>
        <v>Van Bebber</v>
      </c>
      <c r="X503" s="33" t="str">
        <f>VLOOKUP(A503, 'Session Data'!A:AA,12,false)</f>
        <v>My Building Bridges Graduation Experience: A Photovoice Autoethnography Exploring the Right to Celebrate Graduation at the Imperial Valley-Mexicali Borderlands </v>
      </c>
      <c r="Y503" s="34" t="str">
        <f>VLOOKUP(A503, 'Session Data'!A:AA,22,false)</f>
        <v>Vannessa</v>
      </c>
      <c r="Z503" s="34" t="str">
        <f>VLOOKUP(A503, 'Session Data'!A:AA,23,false)</f>
        <v>Falcón Orta</v>
      </c>
      <c r="AA503" s="34" t="str">
        <f>VLOOKUP(A503, 'Session Data'!A:AA,25,false)</f>
        <v>Education</v>
      </c>
      <c r="AB503" s="34"/>
      <c r="AC503" s="34" t="str">
        <f>VLOOKUP(A503, 'Session Data'!A:AA,16,false)</f>
        <v/>
      </c>
      <c r="AD503" s="35" t="str">
        <f>VLOOKUP(A503, 'Session Data'!A:U,17,false)</f>
        <v/>
      </c>
      <c r="AE503" s="35" t="str">
        <f>VLOOKUP(A503, 'Session Data'!A:U,18,false)</f>
        <v/>
      </c>
      <c r="AF503" s="35" t="str">
        <f>VLOOKUP(A503, 'Session Data'!A:U,19,false)</f>
        <v/>
      </c>
      <c r="AG503" s="35" t="str">
        <f>VLOOKUP(A503, 'Session Data'!A:U,20,false)</f>
        <v/>
      </c>
      <c r="AH503" s="35" t="str">
        <f>VLOOKUP(A503, 'Session Data'!A:U,21,false)</f>
        <v/>
      </c>
      <c r="AI503" s="34"/>
      <c r="AJ503" s="35"/>
      <c r="AK503" s="35"/>
      <c r="AL503" s="34"/>
      <c r="AM503" s="34" t="str">
        <f>VLOOKUP(A503, 'Session Data'!A:AA,10,false)</f>
        <v>avanbebber1465@sdsu.edu</v>
      </c>
      <c r="AN503" s="46"/>
      <c r="AO503" s="48"/>
      <c r="AP503" s="48"/>
      <c r="AQ503" s="48"/>
      <c r="AR503" s="48"/>
      <c r="AS503" s="48"/>
      <c r="AT503" s="48"/>
      <c r="AU503" s="48"/>
      <c r="AV503" s="48"/>
      <c r="AW503" s="48"/>
      <c r="AX503" s="48"/>
      <c r="AY503" s="43"/>
      <c r="AZ503" s="48"/>
      <c r="BA503" s="48"/>
      <c r="BB503" s="48"/>
      <c r="BC503" s="43"/>
      <c r="BD503" s="43"/>
      <c r="BE503" s="44"/>
      <c r="BF503" s="48"/>
      <c r="BG503" s="43"/>
    </row>
    <row r="504">
      <c r="A504" s="19" t="s">
        <v>575</v>
      </c>
      <c r="B504" s="20">
        <f>VLOOKUP(F504,'Session Count DO NOT EDIT'!$A:$C,3,FALSE)</f>
        <v>5</v>
      </c>
      <c r="C504" s="20">
        <f>COUNTIFS('Scores Import DO NOT EDIT'!D:D,A504)</f>
        <v>4</v>
      </c>
      <c r="D504" s="21">
        <f t="shared" si="1"/>
        <v>0.8</v>
      </c>
      <c r="E504" s="22">
        <f>AVERAGEIFS('Scores Import DO NOT EDIT'!L:L,'Scores Import DO NOT EDIT'!D:D,A504)</f>
        <v>28.5</v>
      </c>
      <c r="F504" s="23" t="str">
        <f>VLOOKUP(A504, 'Session Data'!A:M,3,false)</f>
        <v>I-8</v>
      </c>
      <c r="G504" s="24" t="str">
        <f>VLOOKUP(A504, 'Session Data'!A:I,2,false)</f>
        <v>3:00 PM</v>
      </c>
      <c r="H504" s="23" t="str">
        <f>VLOOKUP(A504, 'Session Data'!A:J,5,false)</f>
        <v>Education</v>
      </c>
      <c r="I504" s="25" t="str">
        <f>VLOOKUP(A504, 'Session Data'!A:H,4,false)</f>
        <v>Poster</v>
      </c>
      <c r="J504" s="26" t="str">
        <f>VLOOKUP(A504, 'Session Data'!A:AA,14,false)</f>
        <v>Doctoral</v>
      </c>
      <c r="K504" s="27" t="str">
        <f>VLOOKUP(A504, 'Session Data'!A:AA,15,false)</f>
        <v>Sciences</v>
      </c>
      <c r="L504" s="47"/>
      <c r="M504" s="29" t="str">
        <f>VLOOKUP(A504, 'Session Data'!A:K,11,false)</f>
        <v>Ph.D. in Mathematics and Science Education</v>
      </c>
      <c r="N504" s="26" t="str">
        <f>IF(ISNA(VLOOKUP(A504, 'Award Abstract#'!C:C, 1, FALSE)), "No", "Yes")
</f>
        <v>No</v>
      </c>
      <c r="O504" s="29" t="str">
        <f>IF(ISNA(VLOOKUP(A504,'Award Abstract#'!B:B,1,FALSE)), "No", "Yes")</f>
        <v>No</v>
      </c>
      <c r="P504" s="29" t="str">
        <f>IF(ISNA(VLOOKUP(A504,'Award Abstract#'!E:E,1,FALSE)), "No", "Yes")</f>
        <v>No</v>
      </c>
      <c r="Q504" s="29" t="str">
        <f>IF(ISNA(VLOOKUP(A504,'Award Abstract#'!A:A,1,FALSE)), "No", "Yes")</f>
        <v>No</v>
      </c>
      <c r="R504" s="29" t="str">
        <f>IF(ISNA(VLOOKUP(A504,'Award Abstract#'!D:D,1,FALSE)), "No", "Yes")</f>
        <v>No</v>
      </c>
      <c r="S504" s="30" t="str">
        <f>VLOOKUP(A504, 'Session Data'!A:AA,27,false)</f>
        <v>Woman</v>
      </c>
      <c r="T504" s="84"/>
      <c r="U504" s="84"/>
      <c r="V504" s="31" t="str">
        <f>VLOOKUP(A504, 'Session Data'!A:AA,8,false)</f>
        <v>Ruo Ning</v>
      </c>
      <c r="W504" s="32" t="str">
        <f>VLOOKUP(A504, 'Session Data'!A:AA,9,false)</f>
        <v>Qiu</v>
      </c>
      <c r="X504" s="33" t="str">
        <f>VLOOKUP(A504, 'Session Data'!A:AA,12,false)</f>
        <v>A Case Study: Comparing Instruments in Chemistry Education and Mathematics Education with Coding Scheme</v>
      </c>
      <c r="Y504" s="34" t="str">
        <f>VLOOKUP(A504, 'Session Data'!A:AA,22,false)</f>
        <v>Regis</v>
      </c>
      <c r="Z504" s="34" t="str">
        <f>VLOOKUP(A504, 'Session Data'!A:AA,23,false)</f>
        <v>Komperda</v>
      </c>
      <c r="AA504" s="34" t="str">
        <f>VLOOKUP(A504, 'Session Data'!A:AA,25,false)</f>
        <v>Sciences</v>
      </c>
      <c r="AB504" s="34"/>
      <c r="AC504" s="34" t="str">
        <f>VLOOKUP(A504, 'Session Data'!A:AA,16,false)</f>
        <v/>
      </c>
      <c r="AD504" s="35" t="str">
        <f>VLOOKUP(A504, 'Session Data'!A:U,17,false)</f>
        <v/>
      </c>
      <c r="AE504" s="35" t="str">
        <f>VLOOKUP(A504, 'Session Data'!A:U,18,false)</f>
        <v/>
      </c>
      <c r="AF504" s="35" t="str">
        <f>VLOOKUP(A504, 'Session Data'!A:U,19,false)</f>
        <v/>
      </c>
      <c r="AG504" s="35" t="str">
        <f>VLOOKUP(A504, 'Session Data'!A:U,20,false)</f>
        <v/>
      </c>
      <c r="AH504" s="35" t="str">
        <f>VLOOKUP(A504, 'Session Data'!A:U,21,false)</f>
        <v/>
      </c>
      <c r="AI504" s="34"/>
      <c r="AJ504" s="35"/>
      <c r="AK504" s="35"/>
      <c r="AL504" s="34"/>
      <c r="AM504" s="34" t="str">
        <f>VLOOKUP(A504, 'Session Data'!A:AA,10,false)</f>
        <v>nqiu5796@sdsu.edu</v>
      </c>
      <c r="AN504" s="46"/>
      <c r="AO504" s="48"/>
      <c r="AP504" s="48"/>
      <c r="AQ504" s="48"/>
      <c r="AR504" s="48"/>
      <c r="AS504" s="48"/>
      <c r="AT504" s="48"/>
      <c r="AU504" s="48"/>
      <c r="AV504" s="48"/>
      <c r="AW504" s="48"/>
      <c r="AX504" s="48"/>
      <c r="AY504" s="43"/>
      <c r="AZ504" s="48"/>
      <c r="BA504" s="48"/>
      <c r="BB504" s="48"/>
      <c r="BC504" s="43"/>
      <c r="BD504" s="43"/>
      <c r="BE504" s="44"/>
      <c r="BF504" s="48"/>
      <c r="BG504" s="43"/>
    </row>
    <row r="505">
      <c r="A505" s="19" t="s">
        <v>576</v>
      </c>
      <c r="B505" s="20">
        <f>VLOOKUP(F505,'Session Count DO NOT EDIT'!$A:$C,3,FALSE)</f>
        <v>4</v>
      </c>
      <c r="C505" s="20">
        <f>COUNTIFS('Scores Import DO NOT EDIT'!D:D,A505)</f>
        <v>3</v>
      </c>
      <c r="D505" s="21">
        <f t="shared" si="1"/>
        <v>0.75</v>
      </c>
      <c r="E505" s="22">
        <f>AVERAGEIFS('Scores Import DO NOT EDIT'!L:L,'Scores Import DO NOT EDIT'!D:D,A505)</f>
        <v>28.33333333</v>
      </c>
      <c r="F505" s="23" t="str">
        <f>VLOOKUP(A505, 'Session Data'!A:M,3,false)</f>
        <v>I-9</v>
      </c>
      <c r="G505" s="24" t="str">
        <f>VLOOKUP(A505, 'Session Data'!A:I,2,false)</f>
        <v>3:00 PM</v>
      </c>
      <c r="H505" s="23" t="str">
        <f>VLOOKUP(A505, 'Session Data'!A:J,5,false)</f>
        <v>Business Economics and Public Administration</v>
      </c>
      <c r="I505" s="25" t="str">
        <f>VLOOKUP(A505, 'Session Data'!A:H,4,false)</f>
        <v>Poster</v>
      </c>
      <c r="J505" s="26" t="str">
        <f>VLOOKUP(A505, 'Session Data'!A:AA,14,false)</f>
        <v>Master's</v>
      </c>
      <c r="K505" s="27" t="str">
        <f>VLOOKUP(A505, 'Session Data'!A:AA,15,false)</f>
        <v>Fowler College of Business</v>
      </c>
      <c r="L505" s="28" t="s">
        <v>95</v>
      </c>
      <c r="M505" s="29" t="str">
        <f>VLOOKUP(A505, 'Session Data'!A:K,11,false)</f>
        <v>Master of Business Administration</v>
      </c>
      <c r="N505" s="26" t="str">
        <f>IF(ISNA(VLOOKUP(A505, 'Award Abstract#'!C:C, 1, FALSE)), "No", "Yes")
</f>
        <v>No</v>
      </c>
      <c r="O505" s="29" t="str">
        <f>IF(ISNA(VLOOKUP(A505,'Award Abstract#'!B:B,1,FALSE)), "No", "Yes")</f>
        <v>Yes</v>
      </c>
      <c r="P505" s="29" t="str">
        <f>IF(ISNA(VLOOKUP(A505,'Award Abstract#'!E:E,1,FALSE)), "No", "Yes")</f>
        <v>No</v>
      </c>
      <c r="Q505" s="29" t="str">
        <f>IF(ISNA(VLOOKUP(A505,'Award Abstract#'!A:A,1,FALSE)), "No", "Yes")</f>
        <v>No</v>
      </c>
      <c r="R505" s="29" t="str">
        <f>IF(ISNA(VLOOKUP(A505,'Award Abstract#'!D:D,1,FALSE)), "No", "Yes")</f>
        <v>Yes</v>
      </c>
      <c r="S505" s="30" t="str">
        <f>VLOOKUP(A505, 'Session Data'!A:AA,27,false)</f>
        <v>Man</v>
      </c>
      <c r="T505" s="84"/>
      <c r="U505" s="84"/>
      <c r="V505" s="31" t="str">
        <f>VLOOKUP(A505, 'Session Data'!A:AA,8,false)</f>
        <v>Arvin</v>
      </c>
      <c r="W505" s="32" t="str">
        <f>VLOOKUP(A505, 'Session Data'!A:AA,9,false)</f>
        <v>Domier</v>
      </c>
      <c r="X505" s="33" t="str">
        <f>VLOOKUP(A505, 'Session Data'!A:AA,12,false)</f>
        <v>Investigating Power Loss and its Impact on Disadvantaged Communities​</v>
      </c>
      <c r="Y505" s="34" t="str">
        <f>VLOOKUP(A505, 'Session Data'!A:AA,22,false)</f>
        <v>John</v>
      </c>
      <c r="Z505" s="34" t="str">
        <f>VLOOKUP(A505, 'Session Data'!A:AA,23,false)</f>
        <v>McMillan</v>
      </c>
      <c r="AA505" s="34" t="str">
        <f>VLOOKUP(A505, 'Session Data'!A:AA,25,false)</f>
        <v>Other</v>
      </c>
      <c r="AB505" s="34" t="str">
        <f>VLOOKUP(A505, 'Session Data'!A:AA,24,false)</f>
        <v>jmcmillan@sdsu.edu</v>
      </c>
      <c r="AC505" s="34" t="str">
        <f>VLOOKUP(A505, 'Session Data'!A:AA,16,false)</f>
        <v>Talia</v>
      </c>
      <c r="AD505" s="35" t="str">
        <f>VLOOKUP(A505, 'Session Data'!A:U,17,false)</f>
        <v>Finburgh</v>
      </c>
      <c r="AE505" s="35" t="str">
        <f>VLOOKUP(A505, 'Session Data'!A:U,18,false)</f>
        <v/>
      </c>
      <c r="AF505" s="35" t="str">
        <f>VLOOKUP(A505, 'Session Data'!A:U,19,false)</f>
        <v/>
      </c>
      <c r="AG505" s="35" t="str">
        <f>VLOOKUP(A505, 'Session Data'!A:U,20,false)</f>
        <v/>
      </c>
      <c r="AH505" s="35" t="str">
        <f>VLOOKUP(A505, 'Session Data'!A:U,21,false)</f>
        <v/>
      </c>
      <c r="AI505" s="34"/>
      <c r="AJ505" s="35"/>
      <c r="AK505" s="35"/>
      <c r="AL505" s="34"/>
      <c r="AM505" s="34" t="str">
        <f>VLOOKUP(A505, 'Session Data'!A:AA,10,false)</f>
        <v>adomier5610@sdsu.edu</v>
      </c>
      <c r="AN505" s="46"/>
      <c r="AO505" s="48"/>
      <c r="AP505" s="48"/>
      <c r="AQ505" s="48"/>
      <c r="AR505" s="48"/>
      <c r="AS505" s="48"/>
      <c r="AT505" s="48"/>
      <c r="AU505" s="48"/>
      <c r="AV505" s="48"/>
      <c r="AW505" s="48"/>
      <c r="AX505" s="48"/>
      <c r="AY505" s="43"/>
      <c r="AZ505" s="48"/>
      <c r="BA505" s="48"/>
      <c r="BB505" s="48"/>
      <c r="BC505" s="43"/>
      <c r="BD505" s="43"/>
      <c r="BE505" s="44"/>
      <c r="BF505" s="48"/>
      <c r="BG505" s="43"/>
    </row>
    <row r="506">
      <c r="A506" s="19" t="s">
        <v>577</v>
      </c>
      <c r="B506" s="20">
        <f>VLOOKUP(F506,'Session Count DO NOT EDIT'!$A:$C,3,FALSE)</f>
        <v>4</v>
      </c>
      <c r="C506" s="20">
        <f>COUNTIFS('Scores Import DO NOT EDIT'!D:D,A506)</f>
        <v>3</v>
      </c>
      <c r="D506" s="21">
        <f t="shared" si="1"/>
        <v>0.75</v>
      </c>
      <c r="E506" s="22">
        <f>AVERAGEIFS('Scores Import DO NOT EDIT'!L:L,'Scores Import DO NOT EDIT'!D:D,A506)</f>
        <v>20.66666667</v>
      </c>
      <c r="F506" s="23" t="str">
        <f>VLOOKUP(A506, 'Session Data'!A:M,3,false)</f>
        <v>I-9</v>
      </c>
      <c r="G506" s="24" t="str">
        <f>VLOOKUP(A506, 'Session Data'!A:I,2,false)</f>
        <v>3:00 PM</v>
      </c>
      <c r="H506" s="23" t="str">
        <f>VLOOKUP(A506, 'Session Data'!A:J,5,false)</f>
        <v>Business Economics and Public Administration</v>
      </c>
      <c r="I506" s="25" t="str">
        <f>VLOOKUP(A506, 'Session Data'!A:H,4,false)</f>
        <v>Poster</v>
      </c>
      <c r="J506" s="26" t="str">
        <f>VLOOKUP(A506, 'Session Data'!A:AA,14,false)</f>
        <v>Undergraduate</v>
      </c>
      <c r="K506" s="27" t="str">
        <f>VLOOKUP(A506, 'Session Data'!A:AA,15,false)</f>
        <v>Arts and Letters</v>
      </c>
      <c r="L506" s="47"/>
      <c r="M506" s="29" t="str">
        <f>VLOOKUP(A506, 'Session Data'!A:K,11,false)</f>
        <v>Undergraduate (SD) Political Science Major Political Science Pre-Major Geological Sciences Major Lesbian, Gay, Bisexual, Transgender, Queer, and Plus Studies Minor</v>
      </c>
      <c r="N506" s="26" t="str">
        <f>IF(ISNA(VLOOKUP(A506, 'Award Abstract#'!C:C, 1, FALSE)), "No", "Yes")
</f>
        <v>No</v>
      </c>
      <c r="O506" s="29" t="str">
        <f>IF(ISNA(VLOOKUP(A506,'Award Abstract#'!B:B,1,FALSE)), "No", "Yes")</f>
        <v>Yes</v>
      </c>
      <c r="P506" s="29" t="str">
        <f>IF(ISNA(VLOOKUP(A506,'Award Abstract#'!E:E,1,FALSE)), "No", "Yes")</f>
        <v>No</v>
      </c>
      <c r="Q506" s="29" t="str">
        <f>IF(ISNA(VLOOKUP(A506,'Award Abstract#'!A:A,1,FALSE)), "No", "Yes")</f>
        <v>No</v>
      </c>
      <c r="R506" s="29" t="str">
        <f>IF(ISNA(VLOOKUP(A506,'Award Abstract#'!D:D,1,FALSE)), "No", "Yes")</f>
        <v>Yes</v>
      </c>
      <c r="S506" s="30" t="str">
        <f>VLOOKUP(A506, 'Session Data'!A:AA,27,false)</f>
        <v>Woman, Non-binary/non-conforming</v>
      </c>
      <c r="T506" s="84"/>
      <c r="U506" s="84"/>
      <c r="V506" s="31" t="str">
        <f>VLOOKUP(A506, 'Session Data'!A:AA,8,false)</f>
        <v>Natalia</v>
      </c>
      <c r="W506" s="32" t="str">
        <f>VLOOKUP(A506, 'Session Data'!A:AA,9,false)</f>
        <v>Rosales</v>
      </c>
      <c r="X506" s="33" t="str">
        <f>VLOOKUP(A506, 'Session Data'!A:AA,12,false)</f>
        <v>Commuter Mapping Research</v>
      </c>
      <c r="Y506" s="34" t="str">
        <f>VLOOKUP(A506, 'Session Data'!A:AA,22,false)</f>
        <v>Bruce</v>
      </c>
      <c r="Z506" s="34" t="str">
        <f>VLOOKUP(A506, 'Session Data'!A:AA,23,false)</f>
        <v>Appleyard</v>
      </c>
      <c r="AA506" s="34" t="str">
        <f>VLOOKUP(A506, 'Session Data'!A:AA,25,false)</f>
        <v>Other</v>
      </c>
      <c r="AB506" s="34" t="str">
        <f>VLOOKUP(A506, 'Session Data'!A:AA,24,false)</f>
        <v>bappleyard@sdsu.edu</v>
      </c>
      <c r="AC506" s="34" t="str">
        <f>VLOOKUP(A506, 'Session Data'!A:AA,16,false)</f>
        <v/>
      </c>
      <c r="AD506" s="35" t="str">
        <f>VLOOKUP(A506, 'Session Data'!A:U,17,false)</f>
        <v/>
      </c>
      <c r="AE506" s="35" t="str">
        <f>VLOOKUP(A506, 'Session Data'!A:U,18,false)</f>
        <v/>
      </c>
      <c r="AF506" s="35" t="str">
        <f>VLOOKUP(A506, 'Session Data'!A:U,19,false)</f>
        <v/>
      </c>
      <c r="AG506" s="35" t="str">
        <f>VLOOKUP(A506, 'Session Data'!A:U,20,false)</f>
        <v/>
      </c>
      <c r="AH506" s="35" t="str">
        <f>VLOOKUP(A506, 'Session Data'!A:U,21,false)</f>
        <v/>
      </c>
      <c r="AI506" s="34"/>
      <c r="AJ506" s="35"/>
      <c r="AK506" s="35"/>
      <c r="AL506" s="34"/>
      <c r="AM506" s="34" t="str">
        <f>VLOOKUP(A506, 'Session Data'!A:AA,10,false)</f>
        <v>nrosales7321@sdsu.edu</v>
      </c>
      <c r="AN506" s="46"/>
      <c r="AO506" s="48"/>
      <c r="AP506" s="48"/>
      <c r="AQ506" s="48"/>
      <c r="AR506" s="48"/>
      <c r="AS506" s="48"/>
      <c r="AT506" s="48"/>
      <c r="AU506" s="48"/>
      <c r="AV506" s="48"/>
      <c r="AW506" s="48"/>
      <c r="AX506" s="48"/>
      <c r="AY506" s="43"/>
      <c r="AZ506" s="48"/>
      <c r="BA506" s="48"/>
      <c r="BB506" s="48"/>
      <c r="BC506" s="43"/>
      <c r="BD506" s="43"/>
      <c r="BE506" s="44"/>
      <c r="BF506" s="48"/>
      <c r="BG506" s="43"/>
    </row>
    <row r="507">
      <c r="A507" s="19" t="s">
        <v>578</v>
      </c>
      <c r="B507" s="20">
        <f>VLOOKUP(F507,'Session Count DO NOT EDIT'!$A:$C,3,FALSE)</f>
        <v>4</v>
      </c>
      <c r="C507" s="20">
        <f>COUNTIFS('Scores Import DO NOT EDIT'!D:D,A507)</f>
        <v>1</v>
      </c>
      <c r="D507" s="21">
        <f t="shared" si="1"/>
        <v>0.25</v>
      </c>
      <c r="E507" s="22">
        <f>AVERAGEIFS('Scores Import DO NOT EDIT'!L:L,'Scores Import DO NOT EDIT'!D:D,A507)</f>
        <v>28</v>
      </c>
      <c r="F507" s="23" t="str">
        <f>VLOOKUP(A507, 'Session Data'!A:M,3,false)</f>
        <v>I-9</v>
      </c>
      <c r="G507" s="24" t="str">
        <f>VLOOKUP(A507, 'Session Data'!A:I,2,false)</f>
        <v>3:00 PM</v>
      </c>
      <c r="H507" s="23" t="str">
        <f>VLOOKUP(A507, 'Session Data'!A:J,5,false)</f>
        <v>Business Economics and Public Administration</v>
      </c>
      <c r="I507" s="25" t="str">
        <f>VLOOKUP(A507, 'Session Data'!A:H,4,false)</f>
        <v>Poster</v>
      </c>
      <c r="J507" s="26" t="str">
        <f>VLOOKUP(A507, 'Session Data'!A:AA,14,false)</f>
        <v>Undergraduate</v>
      </c>
      <c r="K507" s="27" t="str">
        <f>VLOOKUP(A507, 'Session Data'!A:AA,15,false)</f>
        <v>Professional Studies and Fine Arts</v>
      </c>
      <c r="L507" s="47"/>
      <c r="M507" s="29" t="str">
        <f>VLOOKUP(A507, 'Session Data'!A:K,11,false)</f>
        <v>Bachelors of Arts in Public Administration, Emphasis in City Planning</v>
      </c>
      <c r="N507" s="26" t="str">
        <f>IF(ISNA(VLOOKUP(A507, 'Award Abstract#'!C:C, 1, FALSE)), "No", "Yes")
</f>
        <v>No</v>
      </c>
      <c r="O507" s="29" t="str">
        <f>IF(ISNA(VLOOKUP(A507,'Award Abstract#'!B:B,1,FALSE)), "No", "Yes")</f>
        <v>No</v>
      </c>
      <c r="P507" s="29" t="str">
        <f>IF(ISNA(VLOOKUP(A507,'Award Abstract#'!E:E,1,FALSE)), "No", "Yes")</f>
        <v>No</v>
      </c>
      <c r="Q507" s="29" t="str">
        <f>IF(ISNA(VLOOKUP(A507,'Award Abstract#'!A:A,1,FALSE)), "No", "Yes")</f>
        <v>No</v>
      </c>
      <c r="R507" s="29" t="str">
        <f>IF(ISNA(VLOOKUP(A507,'Award Abstract#'!D:D,1,FALSE)), "No", "Yes")</f>
        <v>Yes</v>
      </c>
      <c r="S507" s="30" t="str">
        <f>VLOOKUP(A507, 'Session Data'!A:AA,27,false)</f>
        <v>Woman, Cisgender</v>
      </c>
      <c r="T507" s="84"/>
      <c r="U507" s="84"/>
      <c r="V507" s="31" t="str">
        <f>VLOOKUP(A507, 'Session Data'!A:AA,8,false)</f>
        <v>Gianna</v>
      </c>
      <c r="W507" s="32" t="str">
        <f>VLOOKUP(A507, 'Session Data'!A:AA,9,false)</f>
        <v>Salazar</v>
      </c>
      <c r="X507" s="33" t="str">
        <f>VLOOKUP(A507, 'Session Data'!A:AA,12,false)</f>
        <v>Binational Planning of The World Design Capital: San Diego-Tijuana </v>
      </c>
      <c r="Y507" s="34" t="str">
        <f>VLOOKUP(A507, 'Session Data'!A:AA,22,false)</f>
        <v>Bruce</v>
      </c>
      <c r="Z507" s="34" t="str">
        <f>VLOOKUP(A507, 'Session Data'!A:AA,23,false)</f>
        <v>Appleyard</v>
      </c>
      <c r="AA507" s="34" t="str">
        <f>VLOOKUP(A507, 'Session Data'!A:AA,25,false)</f>
        <v>Professional Studies and Fine Arts</v>
      </c>
      <c r="AB507" s="34" t="str">
        <f>VLOOKUP(A507, 'Session Data'!A:AA,24,false)</f>
        <v>bappleyard@sdsu.edu</v>
      </c>
      <c r="AC507" s="34" t="str">
        <f>VLOOKUP(A507, 'Session Data'!A:AA,16,false)</f>
        <v/>
      </c>
      <c r="AD507" s="35" t="str">
        <f>VLOOKUP(A507, 'Session Data'!A:U,17,false)</f>
        <v/>
      </c>
      <c r="AE507" s="35" t="str">
        <f>VLOOKUP(A507, 'Session Data'!A:U,18,false)</f>
        <v/>
      </c>
      <c r="AF507" s="35" t="str">
        <f>VLOOKUP(A507, 'Session Data'!A:U,19,false)</f>
        <v/>
      </c>
      <c r="AG507" s="35" t="str">
        <f>VLOOKUP(A507, 'Session Data'!A:U,20,false)</f>
        <v/>
      </c>
      <c r="AH507" s="35" t="str">
        <f>VLOOKUP(A507, 'Session Data'!A:U,21,false)</f>
        <v/>
      </c>
      <c r="AI507" s="34"/>
      <c r="AJ507" s="35"/>
      <c r="AK507" s="35"/>
      <c r="AL507" s="34"/>
      <c r="AM507" s="34" t="str">
        <f>VLOOKUP(A507, 'Session Data'!A:AA,10,false)</f>
        <v>gsalazar0504@sdsu.edu</v>
      </c>
      <c r="AN507" s="46"/>
      <c r="AO507" s="48"/>
      <c r="AP507" s="48"/>
      <c r="AQ507" s="48"/>
      <c r="AR507" s="48"/>
      <c r="AS507" s="48"/>
      <c r="AT507" s="48"/>
      <c r="AU507" s="48"/>
      <c r="AV507" s="48"/>
      <c r="AW507" s="48"/>
      <c r="AX507" s="48"/>
      <c r="AY507" s="43"/>
      <c r="AZ507" s="48"/>
      <c r="BA507" s="48"/>
      <c r="BB507" s="48"/>
      <c r="BC507" s="43"/>
      <c r="BD507" s="43"/>
      <c r="BE507" s="44"/>
      <c r="BF507" s="48"/>
      <c r="BG507" s="43"/>
    </row>
    <row r="508">
      <c r="A508" s="19" t="s">
        <v>579</v>
      </c>
      <c r="B508" s="20">
        <f>VLOOKUP(F508,'Session Count DO NOT EDIT'!$A:$C,3,FALSE)</f>
        <v>4</v>
      </c>
      <c r="C508" s="20">
        <f>COUNTIFS('Scores Import DO NOT EDIT'!D:D,A508)</f>
        <v>3</v>
      </c>
      <c r="D508" s="21">
        <f t="shared" si="1"/>
        <v>0.75</v>
      </c>
      <c r="E508" s="22">
        <f>AVERAGEIFS('Scores Import DO NOT EDIT'!L:L,'Scores Import DO NOT EDIT'!D:D,A508)</f>
        <v>24.33333333</v>
      </c>
      <c r="F508" s="23" t="str">
        <f>VLOOKUP(A508, 'Session Data'!A:M,3,false)</f>
        <v>I-9</v>
      </c>
      <c r="G508" s="24" t="str">
        <f>VLOOKUP(A508, 'Session Data'!A:I,2,false)</f>
        <v>3:00 PM</v>
      </c>
      <c r="H508" s="23" t="str">
        <f>VLOOKUP(A508, 'Session Data'!A:J,5,false)</f>
        <v>Business Economics and Public Administration</v>
      </c>
      <c r="I508" s="25" t="str">
        <f>VLOOKUP(A508, 'Session Data'!A:H,4,false)</f>
        <v>Poster</v>
      </c>
      <c r="J508" s="26" t="str">
        <f>VLOOKUP(A508, 'Session Data'!A:AA,14,false)</f>
        <v>Undergraduate</v>
      </c>
      <c r="K508" s="27" t="str">
        <f>VLOOKUP(A508, 'Session Data'!A:AA,15,false)</f>
        <v>Sciences</v>
      </c>
      <c r="L508" s="47"/>
      <c r="M508" s="29" t="str">
        <f>VLOOKUP(A508, 'Session Data'!A:K,11,false)</f>
        <v>Psychology w/ Emphasis in Neuroscience</v>
      </c>
      <c r="N508" s="26" t="str">
        <f>IF(ISNA(VLOOKUP(A508, 'Award Abstract#'!C:C, 1, FALSE)), "No", "Yes")
</f>
        <v>No</v>
      </c>
      <c r="O508" s="29" t="str">
        <f>IF(ISNA(VLOOKUP(A508,'Award Abstract#'!B:B,1,FALSE)), "No", "Yes")</f>
        <v>No</v>
      </c>
      <c r="P508" s="29" t="str">
        <f>IF(ISNA(VLOOKUP(A508,'Award Abstract#'!E:E,1,FALSE)), "No", "Yes")</f>
        <v>No</v>
      </c>
      <c r="Q508" s="29" t="str">
        <f>IF(ISNA(VLOOKUP(A508,'Award Abstract#'!A:A,1,FALSE)), "No", "Yes")</f>
        <v>No</v>
      </c>
      <c r="R508" s="29" t="str">
        <f>IF(ISNA(VLOOKUP(A508,'Award Abstract#'!D:D,1,FALSE)), "No", "Yes")</f>
        <v>Yes</v>
      </c>
      <c r="S508" s="30" t="str">
        <f>VLOOKUP(A508, 'Session Data'!A:AA,27,false)</f>
        <v>Woman</v>
      </c>
      <c r="T508" s="84"/>
      <c r="U508" s="84"/>
      <c r="V508" s="31" t="str">
        <f>VLOOKUP(A508, 'Session Data'!A:AA,8,false)</f>
        <v>Emily </v>
      </c>
      <c r="W508" s="32" t="str">
        <f>VLOOKUP(A508, 'Session Data'!A:AA,9,false)</f>
        <v>Hernandez Rincon </v>
      </c>
      <c r="X508" s="33" t="str">
        <f>VLOOKUP(A508, 'Session Data'!A:AA,12,false)</f>
        <v>Houseless Mapping Abstract</v>
      </c>
      <c r="Y508" s="34" t="str">
        <f>VLOOKUP(A508, 'Session Data'!A:AA,22,false)</f>
        <v>Bruce</v>
      </c>
      <c r="Z508" s="34" t="str">
        <f>VLOOKUP(A508, 'Session Data'!A:AA,23,false)</f>
        <v>Appleyard</v>
      </c>
      <c r="AA508" s="34" t="str">
        <f>VLOOKUP(A508, 'Session Data'!A:AA,25,false)</f>
        <v>Other</v>
      </c>
      <c r="AB508" s="34"/>
      <c r="AC508" s="34" t="str">
        <f>VLOOKUP(A508, 'Session Data'!A:AA,16,false)</f>
        <v/>
      </c>
      <c r="AD508" s="35" t="str">
        <f>VLOOKUP(A508, 'Session Data'!A:U,17,false)</f>
        <v/>
      </c>
      <c r="AE508" s="35" t="str">
        <f>VLOOKUP(A508, 'Session Data'!A:U,18,false)</f>
        <v/>
      </c>
      <c r="AF508" s="35" t="str">
        <f>VLOOKUP(A508, 'Session Data'!A:U,19,false)</f>
        <v/>
      </c>
      <c r="AG508" s="35" t="str">
        <f>VLOOKUP(A508, 'Session Data'!A:U,20,false)</f>
        <v/>
      </c>
      <c r="AH508" s="35" t="str">
        <f>VLOOKUP(A508, 'Session Data'!A:U,21,false)</f>
        <v/>
      </c>
      <c r="AI508" s="34"/>
      <c r="AJ508" s="35"/>
      <c r="AK508" s="35"/>
      <c r="AL508" s="34"/>
      <c r="AM508" s="34" t="str">
        <f>VLOOKUP(A508, 'Session Data'!A:AA,10,false)</f>
        <v>ehernandezrinc9126@sdsu.edu</v>
      </c>
      <c r="AN508" s="46"/>
      <c r="AO508" s="48"/>
      <c r="AP508" s="48"/>
      <c r="AQ508" s="48"/>
      <c r="AR508" s="48"/>
      <c r="AS508" s="48"/>
      <c r="AT508" s="48"/>
      <c r="AU508" s="48"/>
      <c r="AV508" s="48"/>
      <c r="AW508" s="48"/>
      <c r="AX508" s="48"/>
      <c r="AY508" s="43"/>
      <c r="AZ508" s="48"/>
      <c r="BA508" s="48"/>
      <c r="BB508" s="48"/>
      <c r="BC508" s="43"/>
      <c r="BD508" s="43"/>
      <c r="BE508" s="44"/>
      <c r="BF508" s="48"/>
      <c r="BG508" s="43"/>
    </row>
    <row r="509">
      <c r="A509" s="19" t="s">
        <v>580</v>
      </c>
      <c r="B509" s="20">
        <f>VLOOKUP(F509,'Session Count DO NOT EDIT'!$A:$C,3,FALSE)</f>
        <v>4</v>
      </c>
      <c r="C509" s="20">
        <f>COUNTIFS('Scores Import DO NOT EDIT'!D:D,A509)</f>
        <v>3</v>
      </c>
      <c r="D509" s="21">
        <f t="shared" si="1"/>
        <v>0.75</v>
      </c>
      <c r="E509" s="22">
        <f>AVERAGEIFS('Scores Import DO NOT EDIT'!L:L,'Scores Import DO NOT EDIT'!D:D,A509)</f>
        <v>24</v>
      </c>
      <c r="F509" s="23" t="str">
        <f>VLOOKUP(A509, 'Session Data'!A:M,3,false)</f>
        <v>I-9</v>
      </c>
      <c r="G509" s="24" t="str">
        <f>VLOOKUP(A509, 'Session Data'!A:I,2,false)</f>
        <v>3:00 PM</v>
      </c>
      <c r="H509" s="23" t="str">
        <f>VLOOKUP(A509, 'Session Data'!A:J,5,false)</f>
        <v>Business Economics and Public Administration</v>
      </c>
      <c r="I509" s="25" t="str">
        <f>VLOOKUP(A509, 'Session Data'!A:H,4,false)</f>
        <v>Poster</v>
      </c>
      <c r="J509" s="26" t="str">
        <f>VLOOKUP(A509, 'Session Data'!A:AA,14,false)</f>
        <v>Undergraduate</v>
      </c>
      <c r="K509" s="27" t="str">
        <f>VLOOKUP(A509, 'Session Data'!A:AA,15,false)</f>
        <v>Fowler College of Business</v>
      </c>
      <c r="L509" s="28" t="s">
        <v>324</v>
      </c>
      <c r="M509" s="29" t="str">
        <f>VLOOKUP(A509, 'Session Data'!A:K,11,false)</f>
        <v>Bachelors of Science in Finance</v>
      </c>
      <c r="N509" s="26" t="str">
        <f>IF(ISNA(VLOOKUP(A509, 'Award Abstract#'!C:C, 1, FALSE)), "No", "Yes")
</f>
        <v>No</v>
      </c>
      <c r="O509" s="29" t="str">
        <f>IF(ISNA(VLOOKUP(A509,'Award Abstract#'!B:B,1,FALSE)), "No", "Yes")</f>
        <v>No</v>
      </c>
      <c r="P509" s="29" t="str">
        <f>IF(ISNA(VLOOKUP(A509,'Award Abstract#'!E:E,1,FALSE)), "No", "Yes")</f>
        <v>No</v>
      </c>
      <c r="Q509" s="29" t="str">
        <f>IF(ISNA(VLOOKUP(A509,'Award Abstract#'!A:A,1,FALSE)), "No", "Yes")</f>
        <v>No</v>
      </c>
      <c r="R509" s="29" t="str">
        <f>IF(ISNA(VLOOKUP(A509,'Award Abstract#'!D:D,1,FALSE)), "No", "Yes")</f>
        <v>No</v>
      </c>
      <c r="S509" s="30" t="str">
        <f>VLOOKUP(A509, 'Session Data'!A:AA,27,false)</f>
        <v>Man</v>
      </c>
      <c r="T509" s="84"/>
      <c r="U509" s="84"/>
      <c r="V509" s="31" t="str">
        <f>VLOOKUP(A509, 'Session Data'!A:AA,8,false)</f>
        <v>Ayoob</v>
      </c>
      <c r="W509" s="32" t="str">
        <f>VLOOKUP(A509, 'Session Data'!A:AA,9,false)</f>
        <v>Abed</v>
      </c>
      <c r="X509" s="33" t="str">
        <f>VLOOKUP(A509, 'Session Data'!A:AA,12,false)</f>
        <v>Why California needs to lower its taxes?</v>
      </c>
      <c r="Y509" s="34" t="str">
        <f>VLOOKUP(A509, 'Session Data'!A:AA,22,false)</f>
        <v>Eddy</v>
      </c>
      <c r="Z509" s="34" t="str">
        <f>VLOOKUP(A509, 'Session Data'!A:AA,23,false)</f>
        <v>Benton</v>
      </c>
      <c r="AA509" s="34" t="str">
        <f>VLOOKUP(A509, 'Session Data'!A:AA,25,false)</f>
        <v>Fowler College of Business</v>
      </c>
      <c r="AB509" s="34" t="str">
        <f>VLOOKUP(A509, 'Session Data'!A:AA,24,false)</f>
        <v>evbenton@sdsu.edu</v>
      </c>
      <c r="AC509" s="34" t="str">
        <f>VLOOKUP(A509, 'Session Data'!A:AA,16,false)</f>
        <v/>
      </c>
      <c r="AD509" s="35" t="str">
        <f>VLOOKUP(A509, 'Session Data'!A:U,17,false)</f>
        <v/>
      </c>
      <c r="AE509" s="35" t="str">
        <f>VLOOKUP(A509, 'Session Data'!A:U,18,false)</f>
        <v/>
      </c>
      <c r="AF509" s="35" t="str">
        <f>VLOOKUP(A509, 'Session Data'!A:U,19,false)</f>
        <v/>
      </c>
      <c r="AG509" s="35" t="str">
        <f>VLOOKUP(A509, 'Session Data'!A:U,20,false)</f>
        <v/>
      </c>
      <c r="AH509" s="35" t="str">
        <f>VLOOKUP(A509, 'Session Data'!A:U,21,false)</f>
        <v/>
      </c>
      <c r="AI509" s="34"/>
      <c r="AJ509" s="35"/>
      <c r="AK509" s="35"/>
      <c r="AL509" s="34"/>
      <c r="AM509" s="34" t="str">
        <f>VLOOKUP(A509, 'Session Data'!A:AA,10,false)</f>
        <v>aabed4971@sdsu.edu</v>
      </c>
      <c r="AN509" s="46"/>
      <c r="AO509" s="48"/>
      <c r="AP509" s="48"/>
      <c r="AQ509" s="48"/>
      <c r="AR509" s="48"/>
      <c r="AS509" s="48"/>
      <c r="AT509" s="48"/>
      <c r="AU509" s="48"/>
      <c r="AV509" s="48"/>
      <c r="AW509" s="48"/>
      <c r="AX509" s="48"/>
      <c r="AY509" s="43"/>
      <c r="AZ509" s="48"/>
      <c r="BA509" s="48"/>
      <c r="BB509" s="48"/>
      <c r="BC509" s="43"/>
      <c r="BD509" s="43"/>
      <c r="BE509" s="44"/>
      <c r="BF509" s="48"/>
      <c r="BG509" s="43"/>
    </row>
    <row r="510">
      <c r="A510" s="19" t="s">
        <v>581</v>
      </c>
      <c r="B510" s="20">
        <f>VLOOKUP(F510,'Session Count DO NOT EDIT'!$A:$C,3,FALSE)</f>
        <v>4</v>
      </c>
      <c r="C510" s="20">
        <f>COUNTIFS('Scores Import DO NOT EDIT'!D:D,A510)</f>
        <v>2</v>
      </c>
      <c r="D510" s="21">
        <f t="shared" si="1"/>
        <v>0.5</v>
      </c>
      <c r="E510" s="22">
        <f>AVERAGEIFS('Scores Import DO NOT EDIT'!L:L,'Scores Import DO NOT EDIT'!D:D,A510)</f>
        <v>20.5</v>
      </c>
      <c r="F510" s="23" t="str">
        <f>VLOOKUP(A510, 'Session Data'!A:M,3,false)</f>
        <v>I-9</v>
      </c>
      <c r="G510" s="24" t="str">
        <f>VLOOKUP(A510, 'Session Data'!A:I,2,false)</f>
        <v>3:00 PM</v>
      </c>
      <c r="H510" s="23" t="str">
        <f>VLOOKUP(A510, 'Session Data'!A:J,5,false)</f>
        <v>Business Economics and Public Administration</v>
      </c>
      <c r="I510" s="25" t="str">
        <f>VLOOKUP(A510, 'Session Data'!A:H,4,false)</f>
        <v>Poster</v>
      </c>
      <c r="J510" s="26" t="str">
        <f>VLOOKUP(A510, 'Session Data'!A:AA,14,false)</f>
        <v>Undergraduate</v>
      </c>
      <c r="K510" s="27" t="str">
        <f>VLOOKUP(A510, 'Session Data'!A:AA,15,false)</f>
        <v>Sciences</v>
      </c>
      <c r="L510" s="47"/>
      <c r="M510" s="29" t="str">
        <f>VLOOKUP(A510, 'Session Data'!A:K,11,false)</f>
        <v>Biology/Bachelor of Science</v>
      </c>
      <c r="N510" s="26" t="str">
        <f>IF(ISNA(VLOOKUP(A510, 'Award Abstract#'!C:C, 1, FALSE)), "No", "Yes")
</f>
        <v>No</v>
      </c>
      <c r="O510" s="29" t="str">
        <f>IF(ISNA(VLOOKUP(A510,'Award Abstract#'!B:B,1,FALSE)), "No", "Yes")</f>
        <v>No</v>
      </c>
      <c r="P510" s="29" t="str">
        <f>IF(ISNA(VLOOKUP(A510,'Award Abstract#'!E:E,1,FALSE)), "No", "Yes")</f>
        <v>No</v>
      </c>
      <c r="Q510" s="29" t="str">
        <f>IF(ISNA(VLOOKUP(A510,'Award Abstract#'!A:A,1,FALSE)), "No", "Yes")</f>
        <v>No</v>
      </c>
      <c r="R510" s="29" t="str">
        <f>IF(ISNA(VLOOKUP(A510,'Award Abstract#'!D:D,1,FALSE)), "No", "Yes")</f>
        <v>No</v>
      </c>
      <c r="S510" s="30" t="str">
        <f>VLOOKUP(A510, 'Session Data'!A:AA,27,false)</f>
        <v>Woman</v>
      </c>
      <c r="T510" s="84"/>
      <c r="U510" s="84"/>
      <c r="V510" s="31" t="str">
        <f>VLOOKUP(A510, 'Session Data'!A:AA,8,false)</f>
        <v>Kristen</v>
      </c>
      <c r="W510" s="32" t="str">
        <f>VLOOKUP(A510, 'Session Data'!A:AA,9,false)</f>
        <v>Waterford</v>
      </c>
      <c r="X510" s="33" t="str">
        <f>VLOOKUP(A510, 'Session Data'!A:AA,12,false)</f>
        <v>Medical Question and Answering Review</v>
      </c>
      <c r="Y510" s="34" t="str">
        <f>VLOOKUP(A510, 'Session Data'!A:AA,22,false)</f>
        <v>Vivian</v>
      </c>
      <c r="Z510" s="34" t="str">
        <f>VLOOKUP(A510, 'Session Data'!A:AA,23,false)</f>
        <v>Luwen Huangfu</v>
      </c>
      <c r="AA510" s="34" t="str">
        <f>VLOOKUP(A510, 'Session Data'!A:AA,25,false)</f>
        <v>Fowler College of Business</v>
      </c>
      <c r="AB510" s="34"/>
      <c r="AC510" s="34" t="str">
        <f>VLOOKUP(A510, 'Session Data'!A:AA,16,false)</f>
        <v>N/A</v>
      </c>
      <c r="AD510" s="35" t="str">
        <f>VLOOKUP(A510, 'Session Data'!A:U,17,false)</f>
        <v>N/A</v>
      </c>
      <c r="AE510" s="35" t="str">
        <f>VLOOKUP(A510, 'Session Data'!A:U,18,false)</f>
        <v>N/A</v>
      </c>
      <c r="AF510" s="35" t="str">
        <f>VLOOKUP(A510, 'Session Data'!A:U,19,false)</f>
        <v>N/A</v>
      </c>
      <c r="AG510" s="35" t="str">
        <f>VLOOKUP(A510, 'Session Data'!A:U,20,false)</f>
        <v>N/A</v>
      </c>
      <c r="AH510" s="35" t="str">
        <f>VLOOKUP(A510, 'Session Data'!A:U,21,false)</f>
        <v>N/A</v>
      </c>
      <c r="AI510" s="34"/>
      <c r="AJ510" s="35"/>
      <c r="AK510" s="35"/>
      <c r="AL510" s="34"/>
      <c r="AM510" s="34" t="str">
        <f>VLOOKUP(A510, 'Session Data'!A:AA,10,false)</f>
        <v>kwaterford7151@sdsu.edu</v>
      </c>
      <c r="AN510" s="46"/>
      <c r="AO510" s="48"/>
      <c r="AP510" s="48"/>
      <c r="AQ510" s="48"/>
      <c r="AR510" s="48"/>
      <c r="AS510" s="48"/>
      <c r="AT510" s="48"/>
      <c r="AU510" s="48"/>
      <c r="AV510" s="48"/>
      <c r="AW510" s="48"/>
      <c r="AX510" s="48"/>
      <c r="AY510" s="43"/>
      <c r="AZ510" s="48"/>
      <c r="BA510" s="48"/>
      <c r="BB510" s="48"/>
      <c r="BC510" s="43"/>
      <c r="BD510" s="43"/>
      <c r="BE510" s="44"/>
      <c r="BF510" s="48"/>
      <c r="BG510" s="43"/>
    </row>
    <row r="511">
      <c r="A511" s="19" t="s">
        <v>582</v>
      </c>
      <c r="B511" s="20">
        <f>VLOOKUP(F511,'Session Count DO NOT EDIT'!$A:$C,3,FALSE)</f>
        <v>8</v>
      </c>
      <c r="C511" s="20">
        <f>COUNTIFS('Scores Import DO NOT EDIT'!D:D,A511)</f>
        <v>4</v>
      </c>
      <c r="D511" s="21">
        <f t="shared" si="1"/>
        <v>0.5</v>
      </c>
      <c r="E511" s="22">
        <f>AVERAGEIFS('Scores Import DO NOT EDIT'!L:L,'Scores Import DO NOT EDIT'!D:D,A511)</f>
        <v>32</v>
      </c>
      <c r="F511" s="23" t="str">
        <f>VLOOKUP(A511, 'Session Data'!A:M,3,false)</f>
        <v>J-1</v>
      </c>
      <c r="G511" s="24" t="str">
        <f>VLOOKUP(A511, 'Session Data'!A:I,2,false)</f>
        <v>11:00 AM</v>
      </c>
      <c r="H511" s="23" t="str">
        <f>VLOOKUP(A511, 'Session Data'!A:J,5,false)</f>
        <v>Exhibit 3</v>
      </c>
      <c r="I511" s="25" t="str">
        <f>VLOOKUP(A511, 'Session Data'!A:H,4,false)</f>
        <v>Exhibit (art projects, paintings, sculptures, three dimensional displays)</v>
      </c>
      <c r="J511" s="26" t="str">
        <f>VLOOKUP(A511, 'Session Data'!A:AA,14,false)</f>
        <v>Undergraduate</v>
      </c>
      <c r="K511" s="27" t="str">
        <f>VLOOKUP(A511, 'Session Data'!A:AA,15,false)</f>
        <v>Professional Studies and Fine Arts</v>
      </c>
      <c r="L511" s="28" t="s">
        <v>583</v>
      </c>
      <c r="M511" s="29" t="str">
        <f>VLOOKUP(A511, 'Session Data'!A:K,11,false)</f>
        <v>Art, Emphasis in Graphic Design</v>
      </c>
      <c r="N511" s="26" t="str">
        <f>IF(ISNA(VLOOKUP(A511, 'Award Abstract#'!C:C, 1, FALSE)), "No", "Yes")
</f>
        <v>No</v>
      </c>
      <c r="O511" s="29" t="str">
        <f>IF(ISNA(VLOOKUP(A511,'Award Abstract#'!B:B,1,FALSE)), "No", "Yes")</f>
        <v>Yes</v>
      </c>
      <c r="P511" s="29" t="str">
        <f>IF(ISNA(VLOOKUP(A511,'Award Abstract#'!E:E,1,FALSE)), "No", "Yes")</f>
        <v>No</v>
      </c>
      <c r="Q511" s="29" t="str">
        <f>IF(ISNA(VLOOKUP(A511,'Award Abstract#'!A:A,1,FALSE)), "No", "Yes")</f>
        <v>No</v>
      </c>
      <c r="R511" s="29" t="str">
        <f>IF(ISNA(VLOOKUP(A511,'Award Abstract#'!D:D,1,FALSE)), "No", "Yes")</f>
        <v>Yes</v>
      </c>
      <c r="S511" s="30" t="str">
        <f>VLOOKUP(A511, 'Session Data'!A:AA,27,false)</f>
        <v>Transgender</v>
      </c>
      <c r="T511" s="84"/>
      <c r="U511" s="84"/>
      <c r="V511" s="31" t="str">
        <f>VLOOKUP(A511, 'Session Data'!A:AA,8,false)</f>
        <v>Kieran</v>
      </c>
      <c r="W511" s="32" t="str">
        <f>VLOOKUP(A511, 'Session Data'!A:AA,9,false)</f>
        <v>Gomez-Rodriguez</v>
      </c>
      <c r="X511" s="33" t="str">
        <f>VLOOKUP(A511, 'Session Data'!A:AA,12,false)</f>
        <v>No More Brownfields: Branding for Community Outreach</v>
      </c>
      <c r="Y511" s="34" t="str">
        <f>VLOOKUP(A511, 'Session Data'!A:AA,22,false)</f>
        <v>Gary</v>
      </c>
      <c r="Z511" s="34" t="str">
        <f>VLOOKUP(A511, 'Session Data'!A:AA,23,false)</f>
        <v>Benzel</v>
      </c>
      <c r="AA511" s="34" t="str">
        <f>VLOOKUP(A511, 'Session Data'!A:AA,25,false)</f>
        <v>Professional Studies and Fine Arts</v>
      </c>
      <c r="AB511" s="34" t="str">
        <f>VLOOKUP(A511, 'Session Data'!A:AA,24,false)</f>
        <v>gbenzel@sdsu.edu</v>
      </c>
      <c r="AC511" s="34" t="str">
        <f>VLOOKUP(A511, 'Session Data'!A:AA,16,false)</f>
        <v/>
      </c>
      <c r="AD511" s="35" t="str">
        <f>VLOOKUP(A511, 'Session Data'!A:U,17,false)</f>
        <v/>
      </c>
      <c r="AE511" s="35" t="str">
        <f>VLOOKUP(A511, 'Session Data'!A:U,18,false)</f>
        <v/>
      </c>
      <c r="AF511" s="35" t="str">
        <f>VLOOKUP(A511, 'Session Data'!A:U,19,false)</f>
        <v/>
      </c>
      <c r="AG511" s="35" t="str">
        <f>VLOOKUP(A511, 'Session Data'!A:U,20,false)</f>
        <v/>
      </c>
      <c r="AH511" s="35" t="str">
        <f>VLOOKUP(A511, 'Session Data'!A:U,21,false)</f>
        <v/>
      </c>
      <c r="AI511" s="34"/>
      <c r="AJ511" s="35"/>
      <c r="AK511" s="35"/>
      <c r="AL511" s="34"/>
      <c r="AM511" s="34" t="str">
        <f>VLOOKUP(A511, 'Session Data'!A:AA,10,false)</f>
        <v>kgomez3875@sdsu.edu</v>
      </c>
      <c r="AN511" s="46"/>
      <c r="AO511" s="48"/>
      <c r="AP511" s="48"/>
      <c r="AQ511" s="48"/>
      <c r="AR511" s="48"/>
      <c r="AS511" s="48"/>
      <c r="AT511" s="48"/>
      <c r="AU511" s="48"/>
      <c r="AV511" s="48"/>
      <c r="AW511" s="48"/>
      <c r="AX511" s="48"/>
      <c r="AY511" s="43"/>
      <c r="AZ511" s="48"/>
      <c r="BA511" s="48"/>
      <c r="BB511" s="48"/>
      <c r="BC511" s="43"/>
      <c r="BD511" s="43"/>
      <c r="BE511" s="44"/>
      <c r="BF511" s="48"/>
      <c r="BG511" s="43"/>
    </row>
    <row r="512">
      <c r="A512" s="19" t="s">
        <v>584</v>
      </c>
      <c r="B512" s="20">
        <f>VLOOKUP(F512,'Session Count DO NOT EDIT'!$A:$C,3,FALSE)</f>
        <v>8</v>
      </c>
      <c r="C512" s="20">
        <f>COUNTIFS('Scores Import DO NOT EDIT'!D:D,A512)</f>
        <v>0</v>
      </c>
      <c r="D512" s="21">
        <f t="shared" si="1"/>
        <v>0</v>
      </c>
      <c r="E512" s="22" t="str">
        <f>AVERAGEIFS('Scores Import DO NOT EDIT'!L:L,'Scores Import DO NOT EDIT'!D:D,A512)</f>
        <v>#DIV/0!</v>
      </c>
      <c r="F512" s="23" t="str">
        <f>VLOOKUP(A512, 'Session Data'!A:M,3,false)</f>
        <v>J-1</v>
      </c>
      <c r="G512" s="24" t="str">
        <f>VLOOKUP(A512, 'Session Data'!A:I,2,false)</f>
        <v>11:00 AM</v>
      </c>
      <c r="H512" s="23" t="str">
        <f>VLOOKUP(A512, 'Session Data'!A:J,5,false)</f>
        <v>Exhibit 1</v>
      </c>
      <c r="I512" s="25" t="str">
        <f>VLOOKUP(A512, 'Session Data'!A:H,4,false)</f>
        <v>Exhibit (art projects, paintings, sculptures, three dimensional displays)</v>
      </c>
      <c r="J512" s="26" t="str">
        <f>VLOOKUP(A512, 'Session Data'!A:AA,14,false)</f>
        <v>Undergraduate</v>
      </c>
      <c r="K512" s="27" t="str">
        <f>VLOOKUP(A512, 'Session Data'!A:AA,15,false)</f>
        <v>Professional Studies and Fine Arts</v>
      </c>
      <c r="L512" s="47"/>
      <c r="M512" s="29" t="str">
        <f>VLOOKUP(A512, 'Session Data'!A:K,11,false)</f>
        <v>Bachelor of Fine Arts</v>
      </c>
      <c r="N512" s="26" t="str">
        <f>IF(ISNA(VLOOKUP(A512, 'Award Abstract#'!C:C, 1, FALSE)), "No", "Yes")
</f>
        <v>No</v>
      </c>
      <c r="O512" s="29" t="str">
        <f>IF(ISNA(VLOOKUP(A512,'Award Abstract#'!B:B,1,FALSE)), "No", "Yes")</f>
        <v>No</v>
      </c>
      <c r="P512" s="29" t="str">
        <f>IF(ISNA(VLOOKUP(A512,'Award Abstract#'!E:E,1,FALSE)), "No", "Yes")</f>
        <v>No</v>
      </c>
      <c r="Q512" s="29" t="str">
        <f>IF(ISNA(VLOOKUP(A512,'Award Abstract#'!A:A,1,FALSE)), "No", "Yes")</f>
        <v>No</v>
      </c>
      <c r="R512" s="29" t="str">
        <f>IF(ISNA(VLOOKUP(A512,'Award Abstract#'!D:D,1,FALSE)), "No", "Yes")</f>
        <v>No</v>
      </c>
      <c r="S512" s="30" t="str">
        <f>VLOOKUP(A512, 'Session Data'!A:AA,27,false)</f>
        <v>Woman</v>
      </c>
      <c r="T512" s="84"/>
      <c r="U512" s="84"/>
      <c r="V512" s="31" t="str">
        <f>VLOOKUP(A512, 'Session Data'!A:AA,8,false)</f>
        <v>Molly </v>
      </c>
      <c r="W512" s="32" t="str">
        <f>VLOOKUP(A512, 'Session Data'!A:AA,9,false)</f>
        <v>Fitzgerald</v>
      </c>
      <c r="X512" s="33" t="str">
        <f>VLOOKUP(A512, 'Session Data'!A:AA,12,false)</f>
        <v>Holy Smokes</v>
      </c>
      <c r="Y512" s="34" t="str">
        <f>VLOOKUP(A512, 'Session Data'!A:AA,22,false)</f>
        <v>Iren </v>
      </c>
      <c r="Z512" s="34" t="str">
        <f>VLOOKUP(A512, 'Session Data'!A:AA,23,false)</f>
        <v>Tete</v>
      </c>
      <c r="AA512" s="34" t="str">
        <f>VLOOKUP(A512, 'Session Data'!A:AA,25,false)</f>
        <v>Professional Studies and Fine Arts</v>
      </c>
      <c r="AB512" s="34" t="str">
        <f>VLOOKUP(A512, 'Session Data'!A:AA,24,false)</f>
        <v>itete@sdsu.edu</v>
      </c>
      <c r="AC512" s="34" t="str">
        <f>VLOOKUP(A512, 'Session Data'!A:AA,16,false)</f>
        <v/>
      </c>
      <c r="AD512" s="35" t="str">
        <f>VLOOKUP(A512, 'Session Data'!A:U,17,false)</f>
        <v/>
      </c>
      <c r="AE512" s="35" t="str">
        <f>VLOOKUP(A512, 'Session Data'!A:U,18,false)</f>
        <v/>
      </c>
      <c r="AF512" s="35" t="str">
        <f>VLOOKUP(A512, 'Session Data'!A:U,19,false)</f>
        <v/>
      </c>
      <c r="AG512" s="35" t="str">
        <f>VLOOKUP(A512, 'Session Data'!A:U,20,false)</f>
        <v/>
      </c>
      <c r="AH512" s="35" t="str">
        <f>VLOOKUP(A512, 'Session Data'!A:U,21,false)</f>
        <v/>
      </c>
      <c r="AI512" s="34"/>
      <c r="AJ512" s="35"/>
      <c r="AK512" s="35"/>
      <c r="AL512" s="34"/>
      <c r="AM512" s="34" t="str">
        <f>VLOOKUP(A512, 'Session Data'!A:AA,10,false)</f>
        <v>mfitzgerald7674@sdsu.edu</v>
      </c>
      <c r="AN512" s="46"/>
      <c r="AO512" s="48"/>
      <c r="AP512" s="48"/>
      <c r="AQ512" s="48"/>
      <c r="AR512" s="48"/>
      <c r="AS512" s="48"/>
      <c r="AT512" s="48"/>
      <c r="AU512" s="48"/>
      <c r="AV512" s="48"/>
      <c r="AW512" s="48"/>
      <c r="AX512" s="48"/>
      <c r="AY512" s="43"/>
      <c r="AZ512" s="48"/>
      <c r="BA512" s="48"/>
      <c r="BB512" s="48"/>
      <c r="BC512" s="43"/>
      <c r="BD512" s="43"/>
      <c r="BE512" s="44"/>
      <c r="BF512" s="48"/>
      <c r="BG512" s="43"/>
    </row>
    <row r="513">
      <c r="A513" s="19" t="s">
        <v>585</v>
      </c>
      <c r="B513" s="20">
        <f>VLOOKUP(F513,'Session Count DO NOT EDIT'!$A:$C,3,FALSE)</f>
        <v>8</v>
      </c>
      <c r="C513" s="20">
        <f>COUNTIFS('Scores Import DO NOT EDIT'!D:D,A513)</f>
        <v>4</v>
      </c>
      <c r="D513" s="21">
        <f t="shared" si="1"/>
        <v>0.5</v>
      </c>
      <c r="E513" s="22">
        <f>AVERAGEIFS('Scores Import DO NOT EDIT'!L:L,'Scores Import DO NOT EDIT'!D:D,A513)</f>
        <v>25.25</v>
      </c>
      <c r="F513" s="23" t="str">
        <f>VLOOKUP(A513, 'Session Data'!A:M,3,false)</f>
        <v>J-1</v>
      </c>
      <c r="G513" s="24" t="str">
        <f>VLOOKUP(A513, 'Session Data'!A:I,2,false)</f>
        <v>11:00 AM</v>
      </c>
      <c r="H513" s="23" t="str">
        <f>VLOOKUP(A513, 'Session Data'!A:J,5,false)</f>
        <v>Exhibit 2</v>
      </c>
      <c r="I513" s="25" t="str">
        <f>VLOOKUP(A513, 'Session Data'!A:H,4,false)</f>
        <v>Exhibit (art projects, paintings, sculptures, three dimensional displays)</v>
      </c>
      <c r="J513" s="26" t="str">
        <f>VLOOKUP(A513, 'Session Data'!A:AA,14,false)</f>
        <v>Undergraduate</v>
      </c>
      <c r="K513" s="27" t="str">
        <f>VLOOKUP(A513, 'Session Data'!A:AA,15,false)</f>
        <v>Arts and Letters</v>
      </c>
      <c r="L513" s="47"/>
      <c r="M513" s="29" t="str">
        <f>VLOOKUP(A513, 'Session Data'!A:K,11,false)</f>
        <v>English</v>
      </c>
      <c r="N513" s="26" t="str">
        <f>IF(ISNA(VLOOKUP(A513, 'Award Abstract#'!C:C, 1, FALSE)), "No", "Yes")
</f>
        <v>No</v>
      </c>
      <c r="O513" s="29" t="str">
        <f>IF(ISNA(VLOOKUP(A513,'Award Abstract#'!B:B,1,FALSE)), "No", "Yes")</f>
        <v>No</v>
      </c>
      <c r="P513" s="29" t="str">
        <f>IF(ISNA(VLOOKUP(A513,'Award Abstract#'!E:E,1,FALSE)), "No", "Yes")</f>
        <v>No</v>
      </c>
      <c r="Q513" s="29" t="str">
        <f>IF(ISNA(VLOOKUP(A513,'Award Abstract#'!A:A,1,FALSE)), "No", "Yes")</f>
        <v>No</v>
      </c>
      <c r="R513" s="29" t="str">
        <f>IF(ISNA(VLOOKUP(A513,'Award Abstract#'!D:D,1,FALSE)), "No", "Yes")</f>
        <v>Yes</v>
      </c>
      <c r="S513" s="30" t="str">
        <f>VLOOKUP(A513, 'Session Data'!A:AA,27,false)</f>
        <v>Woman</v>
      </c>
      <c r="T513" s="84"/>
      <c r="U513" s="84"/>
      <c r="V513" s="31" t="str">
        <f>VLOOKUP(A513, 'Session Data'!A:AA,8,false)</f>
        <v>Anisa </v>
      </c>
      <c r="W513" s="32" t="str">
        <f>VLOOKUP(A513, 'Session Data'!A:AA,9,false)</f>
        <v>Prom</v>
      </c>
      <c r="X513" s="33" t="str">
        <f>VLOOKUP(A513, 'Session Data'!A:AA,12,false)</f>
        <v>For Shirley</v>
      </c>
      <c r="Y513" s="34" t="str">
        <f>VLOOKUP(A513, 'Session Data'!A:AA,22,false)</f>
        <v>Clare </v>
      </c>
      <c r="Z513" s="34" t="str">
        <f>VLOOKUP(A513, 'Session Data'!A:AA,23,false)</f>
        <v>Colquitt</v>
      </c>
      <c r="AA513" s="34" t="str">
        <f>VLOOKUP(A513, 'Session Data'!A:AA,25,false)</f>
        <v>Arts and Letters</v>
      </c>
      <c r="AB513" s="34" t="str">
        <f>VLOOKUP(A513, 'Session Data'!A:AA,24,false)</f>
        <v>colquitt@sdsu.edu</v>
      </c>
      <c r="AC513" s="34" t="str">
        <f>VLOOKUP(A513, 'Session Data'!A:AA,16,false)</f>
        <v/>
      </c>
      <c r="AD513" s="35" t="str">
        <f>VLOOKUP(A513, 'Session Data'!A:U,17,false)</f>
        <v/>
      </c>
      <c r="AE513" s="35" t="str">
        <f>VLOOKUP(A513, 'Session Data'!A:U,18,false)</f>
        <v/>
      </c>
      <c r="AF513" s="35" t="str">
        <f>VLOOKUP(A513, 'Session Data'!A:U,19,false)</f>
        <v/>
      </c>
      <c r="AG513" s="35" t="str">
        <f>VLOOKUP(A513, 'Session Data'!A:U,20,false)</f>
        <v/>
      </c>
      <c r="AH513" s="35" t="str">
        <f>VLOOKUP(A513, 'Session Data'!A:U,21,false)</f>
        <v/>
      </c>
      <c r="AI513" s="34"/>
      <c r="AJ513" s="35"/>
      <c r="AK513" s="35"/>
      <c r="AL513" s="34"/>
      <c r="AM513" s="34" t="str">
        <f>VLOOKUP(A513, 'Session Data'!A:AA,10,false)</f>
        <v>aprom6082@sdsu.edu</v>
      </c>
      <c r="AN513" s="46"/>
      <c r="AO513" s="48"/>
      <c r="AP513" s="48"/>
      <c r="AQ513" s="48"/>
      <c r="AR513" s="48"/>
      <c r="AS513" s="48"/>
      <c r="AT513" s="48"/>
      <c r="AU513" s="48"/>
      <c r="AV513" s="48"/>
      <c r="AW513" s="48"/>
      <c r="AX513" s="48"/>
      <c r="AY513" s="43"/>
      <c r="AZ513" s="48"/>
      <c r="BA513" s="48"/>
      <c r="BB513" s="48"/>
      <c r="BC513" s="43"/>
      <c r="BD513" s="43"/>
      <c r="BE513" s="44"/>
      <c r="BF513" s="48"/>
      <c r="BG513" s="43"/>
    </row>
    <row r="514">
      <c r="A514" s="19" t="s">
        <v>586</v>
      </c>
      <c r="B514" s="20">
        <f>VLOOKUP(F514,'Session Count DO NOT EDIT'!$A:$C,3,FALSE)</f>
        <v>3</v>
      </c>
      <c r="C514" s="20">
        <f>COUNTIFS('Scores Import DO NOT EDIT'!D:D,A514)</f>
        <v>3</v>
      </c>
      <c r="D514" s="21">
        <f t="shared" si="1"/>
        <v>1</v>
      </c>
      <c r="E514" s="22">
        <f>AVERAGEIFS('Scores Import DO NOT EDIT'!L:L,'Scores Import DO NOT EDIT'!D:D,A514)</f>
        <v>29.33333333</v>
      </c>
      <c r="F514" s="23" t="str">
        <f>VLOOKUP(A514, 'Session Data'!A:M,3,false)</f>
        <v>J-2</v>
      </c>
      <c r="G514" s="24" t="str">
        <f>VLOOKUP(A514, 'Session Data'!A:I,2,false)</f>
        <v>3:00 PM</v>
      </c>
      <c r="H514" s="23" t="str">
        <f>VLOOKUP(A514, 'Session Data'!A:J,5,false)</f>
        <v>Exhibit 3</v>
      </c>
      <c r="I514" s="25" t="str">
        <f>VLOOKUP(A514, 'Session Data'!A:H,4,false)</f>
        <v>Exhibit (art projects, paintings, sculptures, three dimensional displays)</v>
      </c>
      <c r="J514" s="26" t="str">
        <f>VLOOKUP(A514, 'Session Data'!A:AA,14,false)</f>
        <v>Master's</v>
      </c>
      <c r="K514" s="27" t="str">
        <f>VLOOKUP(A514, 'Session Data'!A:AA,15,false)</f>
        <v>Professional Studies and Fine Arts</v>
      </c>
      <c r="L514" s="47"/>
      <c r="M514" s="29" t="str">
        <f>VLOOKUP(A514, 'Session Data'!A:K,11,false)</f>
        <v>MFA Art</v>
      </c>
      <c r="N514" s="26" t="str">
        <f>IF(ISNA(VLOOKUP(A514, 'Award Abstract#'!C:C, 1, FALSE)), "No", "Yes")
</f>
        <v>No</v>
      </c>
      <c r="O514" s="29" t="str">
        <f>IF(ISNA(VLOOKUP(A514,'Award Abstract#'!B:B,1,FALSE)), "No", "Yes")</f>
        <v>Yes</v>
      </c>
      <c r="P514" s="29" t="str">
        <f>IF(ISNA(VLOOKUP(A514,'Award Abstract#'!E:E,1,FALSE)), "No", "Yes")</f>
        <v>No</v>
      </c>
      <c r="Q514" s="29" t="str">
        <f>IF(ISNA(VLOOKUP(A514,'Award Abstract#'!A:A,1,FALSE)), "No", "Yes")</f>
        <v>No</v>
      </c>
      <c r="R514" s="29" t="str">
        <f>IF(ISNA(VLOOKUP(A514,'Award Abstract#'!D:D,1,FALSE)), "No", "Yes")</f>
        <v>No</v>
      </c>
      <c r="S514" s="30" t="str">
        <f>VLOOKUP(A514, 'Session Data'!A:AA,27,false)</f>
        <v>Woman</v>
      </c>
      <c r="T514" s="84"/>
      <c r="U514" s="84"/>
      <c r="V514" s="31" t="str">
        <f>VLOOKUP(A514, 'Session Data'!A:AA,8,false)</f>
        <v>Marinta</v>
      </c>
      <c r="W514" s="32" t="str">
        <f>VLOOKUP(A514, 'Session Data'!A:AA,9,false)</f>
        <v>Skupin</v>
      </c>
      <c r="X514" s="33" t="str">
        <f>VLOOKUP(A514, 'Session Data'!A:AA,12,false)</f>
        <v>I Asked AI (1-6)</v>
      </c>
      <c r="Y514" s="34" t="str">
        <f>VLOOKUP(A514, 'Session Data'!A:AA,22,false)</f>
        <v>Eva</v>
      </c>
      <c r="Z514" s="34" t="str">
        <f>VLOOKUP(A514, 'Session Data'!A:AA,23,false)</f>
        <v>Struble</v>
      </c>
      <c r="AA514" s="34" t="str">
        <f>VLOOKUP(A514, 'Session Data'!A:AA,25,false)</f>
        <v>Professional Studies and Fine Arts</v>
      </c>
      <c r="AB514" s="34" t="str">
        <f>VLOOKUP(A514, 'Session Data'!A:AA,24,false)</f>
        <v>estruble@sdsu.edu</v>
      </c>
      <c r="AC514" s="34" t="str">
        <f>VLOOKUP(A514, 'Session Data'!A:AA,16,false)</f>
        <v/>
      </c>
      <c r="AD514" s="35" t="str">
        <f>VLOOKUP(A514, 'Session Data'!A:U,17,false)</f>
        <v/>
      </c>
      <c r="AE514" s="35" t="str">
        <f>VLOOKUP(A514, 'Session Data'!A:U,18,false)</f>
        <v/>
      </c>
      <c r="AF514" s="35" t="str">
        <f>VLOOKUP(A514, 'Session Data'!A:U,19,false)</f>
        <v/>
      </c>
      <c r="AG514" s="35" t="str">
        <f>VLOOKUP(A514, 'Session Data'!A:U,20,false)</f>
        <v/>
      </c>
      <c r="AH514" s="35" t="str">
        <f>VLOOKUP(A514, 'Session Data'!A:U,21,false)</f>
        <v/>
      </c>
      <c r="AI514" s="34"/>
      <c r="AJ514" s="35"/>
      <c r="AK514" s="35"/>
      <c r="AL514" s="34"/>
      <c r="AM514" s="34" t="str">
        <f>VLOOKUP(A514, 'Session Data'!A:AA,10,false)</f>
        <v>mskupin1151@sdsu.edu</v>
      </c>
      <c r="AN514" s="46"/>
      <c r="AO514" s="48"/>
      <c r="AP514" s="48"/>
      <c r="AQ514" s="48"/>
      <c r="AR514" s="48"/>
      <c r="AS514" s="48"/>
      <c r="AT514" s="48"/>
      <c r="AU514" s="48"/>
      <c r="AV514" s="48"/>
      <c r="AW514" s="48"/>
      <c r="AX514" s="48"/>
      <c r="AY514" s="43"/>
      <c r="AZ514" s="48"/>
      <c r="BA514" s="48"/>
      <c r="BB514" s="48"/>
      <c r="BC514" s="43"/>
      <c r="BD514" s="43"/>
      <c r="BE514" s="44"/>
      <c r="BF514" s="48"/>
      <c r="BG514" s="43"/>
    </row>
    <row r="515">
      <c r="A515" s="78" t="s">
        <v>587</v>
      </c>
      <c r="B515" s="20">
        <f>VLOOKUP(F515,'Session Count DO NOT EDIT'!$A:$C,3,FALSE)</f>
        <v>3</v>
      </c>
      <c r="C515" s="20">
        <f>COUNTIFS('Scores Import DO NOT EDIT'!D:D,A515)</f>
        <v>0</v>
      </c>
      <c r="D515" s="21">
        <f t="shared" si="1"/>
        <v>0</v>
      </c>
      <c r="E515" s="22" t="str">
        <f>AVERAGEIFS('Scores Import DO NOT EDIT'!L:L,'Scores Import DO NOT EDIT'!D:D,A515)</f>
        <v>#DIV/0!</v>
      </c>
      <c r="F515" s="23" t="str">
        <f>VLOOKUP(A515, 'Session Data'!A:M,3,false)</f>
        <v>J-2</v>
      </c>
      <c r="G515" s="24" t="str">
        <f>VLOOKUP(A515, 'Session Data'!A:I,2,false)</f>
        <v>3:00 PM</v>
      </c>
      <c r="H515" s="23" t="str">
        <f>VLOOKUP(A515, 'Session Data'!A:J,5,false)</f>
        <v>Exhibit 2</v>
      </c>
      <c r="I515" s="25" t="str">
        <f>VLOOKUP(A515, 'Session Data'!A:H,4,false)</f>
        <v>Exhibit (art projects, paintings, sculptures, three dimensional displays)</v>
      </c>
      <c r="J515" s="26" t="str">
        <f>VLOOKUP(A515, 'Session Data'!A:AA,14,false)</f>
        <v>Master's</v>
      </c>
      <c r="K515" s="27" t="str">
        <f>VLOOKUP(A515, 'Session Data'!A:AA,15,false)</f>
        <v>Arts and Letters</v>
      </c>
      <c r="L515" s="47"/>
      <c r="M515" s="29" t="str">
        <f>VLOOKUP(A515, 'Session Data'!A:K,11,false)</f>
        <v>MFA Painting, Printmaking</v>
      </c>
      <c r="N515" s="26" t="str">
        <f>IF(ISNA(VLOOKUP(A515, 'Award Abstract#'!C:C, 1, FALSE)), "No", "Yes")
</f>
        <v>No</v>
      </c>
      <c r="O515" s="29" t="str">
        <f>IF(ISNA(VLOOKUP(A515,'Award Abstract#'!B:B,1,FALSE)), "No", "Yes")</f>
        <v>No</v>
      </c>
      <c r="P515" s="29" t="str">
        <f>IF(ISNA(VLOOKUP(A515,'Award Abstract#'!E:E,1,FALSE)), "No", "Yes")</f>
        <v>No</v>
      </c>
      <c r="Q515" s="29" t="str">
        <f>IF(ISNA(VLOOKUP(A515,'Award Abstract#'!A:A,1,FALSE)), "No", "Yes")</f>
        <v>No</v>
      </c>
      <c r="R515" s="29" t="str">
        <f>IF(ISNA(VLOOKUP(A515,'Award Abstract#'!D:D,1,FALSE)), "No", "Yes")</f>
        <v>No</v>
      </c>
      <c r="S515" s="30" t="str">
        <f>VLOOKUP(A515, 'Session Data'!A:AA,27,false)</f>
        <v>Man</v>
      </c>
      <c r="T515" s="84"/>
      <c r="U515" s="84"/>
      <c r="V515" s="31" t="str">
        <f>VLOOKUP(A515, 'Session Data'!A:AA,8,false)</f>
        <v>Jonathan</v>
      </c>
      <c r="W515" s="32" t="str">
        <f>VLOOKUP(A515, 'Session Data'!A:AA,9,false)</f>
        <v>Rodley</v>
      </c>
      <c r="X515" s="33" t="str">
        <f>VLOOKUP(A515, 'Session Data'!A:AA,12,false)</f>
        <v>The Personal Aesthetics of Memory and Mood</v>
      </c>
      <c r="Y515" s="34" t="str">
        <f>VLOOKUP(A515, 'Session Data'!A:AA,22,false)</f>
        <v>Carlos</v>
      </c>
      <c r="Z515" s="34" t="str">
        <f>VLOOKUP(A515, 'Session Data'!A:AA,23,false)</f>
        <v>Castro-Arias</v>
      </c>
      <c r="AA515" s="34" t="str">
        <f>VLOOKUP(A515, 'Session Data'!A:AA,25,false)</f>
        <v>Professional Studies and Fine Arts</v>
      </c>
      <c r="AB515" s="34" t="str">
        <f>VLOOKUP(A515, 'Session Data'!A:AA,24,false)</f>
        <v>ccastro@sdsu.edu</v>
      </c>
      <c r="AC515" s="34" t="str">
        <f>VLOOKUP(A515, 'Session Data'!A:AA,16,false)</f>
        <v/>
      </c>
      <c r="AD515" s="35" t="str">
        <f>VLOOKUP(A515, 'Session Data'!A:U,17,false)</f>
        <v/>
      </c>
      <c r="AE515" s="35" t="str">
        <f>VLOOKUP(A515, 'Session Data'!A:U,18,false)</f>
        <v/>
      </c>
      <c r="AF515" s="35" t="str">
        <f>VLOOKUP(A515, 'Session Data'!A:U,19,false)</f>
        <v/>
      </c>
      <c r="AG515" s="35" t="str">
        <f>VLOOKUP(A515, 'Session Data'!A:U,20,false)</f>
        <v/>
      </c>
      <c r="AH515" s="35" t="str">
        <f>VLOOKUP(A515, 'Session Data'!A:U,21,false)</f>
        <v/>
      </c>
      <c r="AI515" s="34"/>
      <c r="AJ515" s="35"/>
      <c r="AK515" s="35"/>
      <c r="AL515" s="34"/>
      <c r="AM515" s="34" t="str">
        <f>VLOOKUP(A515, 'Session Data'!A:AA,10,false)</f>
        <v>jrodley1373@sdsu.edu</v>
      </c>
      <c r="AN515" s="46"/>
      <c r="AO515" s="48"/>
      <c r="AP515" s="48"/>
      <c r="AQ515" s="48"/>
      <c r="AR515" s="48"/>
      <c r="AS515" s="48"/>
      <c r="AT515" s="48"/>
      <c r="AU515" s="48"/>
      <c r="AV515" s="48"/>
      <c r="AW515" s="48"/>
      <c r="AX515" s="48"/>
      <c r="AY515" s="43"/>
      <c r="AZ515" s="48"/>
      <c r="BA515" s="48"/>
      <c r="BB515" s="48"/>
      <c r="BC515" s="43"/>
      <c r="BD515" s="43"/>
      <c r="BE515" s="44"/>
      <c r="BF515" s="48"/>
      <c r="BG515" s="43"/>
    </row>
    <row r="516">
      <c r="A516" s="19" t="s">
        <v>588</v>
      </c>
      <c r="B516" s="20">
        <f>VLOOKUP(F516,'Session Count DO NOT EDIT'!$A:$C,3,FALSE)</f>
        <v>3</v>
      </c>
      <c r="C516" s="20">
        <f>COUNTIFS('Scores Import DO NOT EDIT'!D:D,A516)</f>
        <v>3</v>
      </c>
      <c r="D516" s="21">
        <f t="shared" si="1"/>
        <v>1</v>
      </c>
      <c r="E516" s="22">
        <f>AVERAGEIFS('Scores Import DO NOT EDIT'!L:L,'Scores Import DO NOT EDIT'!D:D,A516)</f>
        <v>28</v>
      </c>
      <c r="F516" s="23" t="str">
        <f>VLOOKUP(A516, 'Session Data'!A:M,3,false)</f>
        <v>J-2</v>
      </c>
      <c r="G516" s="24" t="str">
        <f>VLOOKUP(A516, 'Session Data'!A:I,2,false)</f>
        <v>3:00 PM</v>
      </c>
      <c r="H516" s="23" t="str">
        <f>VLOOKUP(A516, 'Session Data'!A:J,5,false)</f>
        <v>Exhibit 1</v>
      </c>
      <c r="I516" s="25" t="str">
        <f>VLOOKUP(A516, 'Session Data'!A:H,4,false)</f>
        <v>Exhibit (art projects, paintings, sculptures, three dimensional displays)</v>
      </c>
      <c r="J516" s="26" t="str">
        <f>VLOOKUP(A516, 'Session Data'!A:AA,14,false)</f>
        <v>Undergraduate</v>
      </c>
      <c r="K516" s="27" t="str">
        <f>VLOOKUP(A516, 'Session Data'!A:AA,15,false)</f>
        <v>Professional Studies and Fine Arts</v>
      </c>
      <c r="L516" s="47"/>
      <c r="M516" s="29" t="str">
        <f>VLOOKUP(A516, 'Session Data'!A:K,11,false)</f>
        <v>Theatre Arts with an Emphasis in Design and Technology</v>
      </c>
      <c r="N516" s="26" t="str">
        <f>IF(ISNA(VLOOKUP(A516, 'Award Abstract#'!C:C, 1, FALSE)), "No", "Yes")
</f>
        <v>No</v>
      </c>
      <c r="O516" s="29" t="str">
        <f>IF(ISNA(VLOOKUP(A516,'Award Abstract#'!B:B,1,FALSE)), "No", "Yes")</f>
        <v>No</v>
      </c>
      <c r="P516" s="29" t="str">
        <f>IF(ISNA(VLOOKUP(A516,'Award Abstract#'!E:E,1,FALSE)), "No", "Yes")</f>
        <v>No</v>
      </c>
      <c r="Q516" s="29" t="str">
        <f>IF(ISNA(VLOOKUP(A516,'Award Abstract#'!A:A,1,FALSE)), "No", "Yes")</f>
        <v>No</v>
      </c>
      <c r="R516" s="29" t="str">
        <f>IF(ISNA(VLOOKUP(A516,'Award Abstract#'!D:D,1,FALSE)), "No", "Yes")</f>
        <v>Yes</v>
      </c>
      <c r="S516" s="30" t="str">
        <f>VLOOKUP(A516, 'Session Data'!A:AA,27,false)</f>
        <v>Woman</v>
      </c>
      <c r="T516" s="84"/>
      <c r="U516" s="84"/>
      <c r="V516" s="31" t="str">
        <f>VLOOKUP(A516, 'Session Data'!A:AA,8,false)</f>
        <v>Sabrina</v>
      </c>
      <c r="W516" s="32" t="str">
        <f>VLOOKUP(A516, 'Session Data'!A:AA,9,false)</f>
        <v>Soto</v>
      </c>
      <c r="X516" s="33" t="str">
        <f>VLOOKUP(A516, 'Session Data'!A:AA,12,false)</f>
        <v>Please Touch the Art! How Costume Technology Can Create Inclusive “Touch and See” Experiences</v>
      </c>
      <c r="Y516" s="34" t="str">
        <f>VLOOKUP(A516, 'Session Data'!A:AA,22,false)</f>
        <v>Denitsa</v>
      </c>
      <c r="Z516" s="34" t="str">
        <f>VLOOKUP(A516, 'Session Data'!A:AA,23,false)</f>
        <v>Bliznakova</v>
      </c>
      <c r="AA516" s="34" t="str">
        <f>VLOOKUP(A516, 'Session Data'!A:AA,25,false)</f>
        <v>Professional Studies and Fine Arts</v>
      </c>
      <c r="AB516" s="34" t="str">
        <f>VLOOKUP(A516, 'Session Data'!A:AA,24,false)</f>
        <v>dbliznak@sdsu.edu</v>
      </c>
      <c r="AC516" s="34" t="str">
        <f>VLOOKUP(A516, 'Session Data'!A:AA,16,false)</f>
        <v/>
      </c>
      <c r="AD516" s="35" t="str">
        <f>VLOOKUP(A516, 'Session Data'!A:U,17,false)</f>
        <v/>
      </c>
      <c r="AE516" s="35" t="str">
        <f>VLOOKUP(A516, 'Session Data'!A:U,18,false)</f>
        <v/>
      </c>
      <c r="AF516" s="35" t="str">
        <f>VLOOKUP(A516, 'Session Data'!A:U,19,false)</f>
        <v/>
      </c>
      <c r="AG516" s="35" t="str">
        <f>VLOOKUP(A516, 'Session Data'!A:U,20,false)</f>
        <v/>
      </c>
      <c r="AH516" s="35" t="str">
        <f>VLOOKUP(A516, 'Session Data'!A:U,21,false)</f>
        <v/>
      </c>
      <c r="AI516" s="34"/>
      <c r="AJ516" s="35"/>
      <c r="AK516" s="35"/>
      <c r="AL516" s="34"/>
      <c r="AM516" s="34" t="str">
        <f>VLOOKUP(A516, 'Session Data'!A:AA,10,false)</f>
        <v>ssoto5366@sdsu.edu</v>
      </c>
      <c r="AN516" s="46"/>
      <c r="AO516" s="48"/>
      <c r="AP516" s="48"/>
      <c r="AQ516" s="48"/>
      <c r="AR516" s="48"/>
      <c r="AS516" s="48"/>
      <c r="AT516" s="48"/>
      <c r="AU516" s="48"/>
      <c r="AV516" s="48"/>
      <c r="AW516" s="48"/>
      <c r="AX516" s="48"/>
      <c r="AY516" s="43"/>
      <c r="AZ516" s="48"/>
      <c r="BA516" s="48"/>
      <c r="BB516" s="48"/>
      <c r="BC516" s="43"/>
      <c r="BD516" s="43"/>
      <c r="BE516" s="44"/>
      <c r="BF516" s="48"/>
      <c r="BG516" s="43"/>
    </row>
    <row r="517">
      <c r="A517" s="19" t="s">
        <v>589</v>
      </c>
      <c r="B517" s="20">
        <f>VLOOKUP(F517,'Session Count DO NOT EDIT'!$A:$C,3,FALSE)</f>
        <v>5</v>
      </c>
      <c r="C517" s="20">
        <f>COUNTIFS('Scores Import DO NOT EDIT'!D:D,A517)</f>
        <v>0</v>
      </c>
      <c r="D517" s="21">
        <f t="shared" si="1"/>
        <v>0</v>
      </c>
      <c r="E517" s="22" t="str">
        <f>AVERAGEIFS('Scores Import DO NOT EDIT'!L:L,'Scores Import DO NOT EDIT'!D:D,A517)</f>
        <v>#DIV/0!</v>
      </c>
      <c r="F517" s="23" t="str">
        <f>VLOOKUP(A517, 'Session Data'!A:M,3,false)</f>
        <v>K-1</v>
      </c>
      <c r="G517" s="24" t="str">
        <f>VLOOKUP(A517, 'Session Data'!A:I,2,false)</f>
        <v>9:00 AM</v>
      </c>
      <c r="H517" s="23" t="str">
        <f>VLOOKUP(A517, 'Session Data'!A:J,5,false)</f>
        <v>Performance Arts</v>
      </c>
      <c r="I517" s="25" t="str">
        <f>VLOOKUP(A517, 'Session Data'!A:H,4,false)</f>
        <v>Performance or Film</v>
      </c>
      <c r="J517" s="26" t="str">
        <f>VLOOKUP(A517, 'Session Data'!A:AA,14,false)</f>
        <v>Master's</v>
      </c>
      <c r="K517" s="27" t="str">
        <f>VLOOKUP(A517, 'Session Data'!A:AA,15,false)</f>
        <v>Professional Studies and Fine Arts</v>
      </c>
      <c r="L517" s="47"/>
      <c r="M517" s="29" t="str">
        <f>VLOOKUP(A517, 'Session Data'!A:K,11,false)</f>
        <v>MFA In Film and Television Production</v>
      </c>
      <c r="N517" s="26" t="str">
        <f>IF(ISNA(VLOOKUP(A517, 'Award Abstract#'!C:C, 1, FALSE)), "No", "Yes")
</f>
        <v>No</v>
      </c>
      <c r="O517" s="29" t="str">
        <f>IF(ISNA(VLOOKUP(A517,'Award Abstract#'!B:B,1,FALSE)), "No", "Yes")</f>
        <v>No</v>
      </c>
      <c r="P517" s="29" t="str">
        <f>IF(ISNA(VLOOKUP(A517,'Award Abstract#'!E:E,1,FALSE)), "No", "Yes")</f>
        <v>No</v>
      </c>
      <c r="Q517" s="29" t="str">
        <f>IF(ISNA(VLOOKUP(A517,'Award Abstract#'!A:A,1,FALSE)), "No", "Yes")</f>
        <v>No</v>
      </c>
      <c r="R517" s="29" t="str">
        <f>IF(ISNA(VLOOKUP(A517,'Award Abstract#'!D:D,1,FALSE)), "No", "Yes")</f>
        <v>Yes</v>
      </c>
      <c r="S517" s="30" t="str">
        <f>VLOOKUP(A517, 'Session Data'!A:AA,27,false)</f>
        <v>Man</v>
      </c>
      <c r="T517" s="84"/>
      <c r="U517" s="84"/>
      <c r="V517" s="31" t="str">
        <f>VLOOKUP(A517, 'Session Data'!A:AA,8,false)</f>
        <v>Reed</v>
      </c>
      <c r="W517" s="32" t="str">
        <f>VLOOKUP(A517, 'Session Data'!A:AA,9,false)</f>
        <v>Funes Smith</v>
      </c>
      <c r="X517" s="33" t="str">
        <f>VLOOKUP(A517, 'Session Data'!A:AA,12,false)</f>
        <v>Overcoming</v>
      </c>
      <c r="Y517" s="34" t="str">
        <f>VLOOKUP(A517, 'Session Data'!A:AA,22,false)</f>
        <v>Alexander</v>
      </c>
      <c r="Z517" s="34" t="str">
        <f>VLOOKUP(A517, 'Session Data'!A:AA,23,false)</f>
        <v>Farnsley</v>
      </c>
      <c r="AA517" s="34" t="str">
        <f>VLOOKUP(A517, 'Session Data'!A:AA,25,false)</f>
        <v>Professional Studies and Fine Arts</v>
      </c>
      <c r="AB517" s="34" t="str">
        <f>VLOOKUP(A517, 'Session Data'!A:AA,24,false)</f>
        <v>afarnsley@sdsu.edu</v>
      </c>
      <c r="AC517" s="34" t="str">
        <f>VLOOKUP(A517, 'Session Data'!A:AA,16,false)</f>
        <v/>
      </c>
      <c r="AD517" s="35" t="str">
        <f>VLOOKUP(A517, 'Session Data'!A:U,17,false)</f>
        <v/>
      </c>
      <c r="AE517" s="35" t="str">
        <f>VLOOKUP(A517, 'Session Data'!A:U,18,false)</f>
        <v/>
      </c>
      <c r="AF517" s="35" t="str">
        <f>VLOOKUP(A517, 'Session Data'!A:U,19,false)</f>
        <v/>
      </c>
      <c r="AG517" s="35" t="str">
        <f>VLOOKUP(A517, 'Session Data'!A:U,20,false)</f>
        <v/>
      </c>
      <c r="AH517" s="35" t="str">
        <f>VLOOKUP(A517, 'Session Data'!A:U,21,false)</f>
        <v/>
      </c>
      <c r="AI517" s="34"/>
      <c r="AJ517" s="35"/>
      <c r="AK517" s="35"/>
      <c r="AL517" s="34"/>
      <c r="AM517" s="34" t="str">
        <f>VLOOKUP(A517, 'Session Data'!A:AA,10,false)</f>
        <v>rsmith7@sdsu.edu</v>
      </c>
      <c r="AN517" s="46"/>
      <c r="AO517" s="48"/>
      <c r="AP517" s="48"/>
      <c r="AQ517" s="48"/>
      <c r="AR517" s="48"/>
      <c r="AS517" s="48"/>
      <c r="AT517" s="48"/>
      <c r="AU517" s="48"/>
      <c r="AV517" s="48"/>
      <c r="AW517" s="48"/>
      <c r="AX517" s="48"/>
      <c r="AY517" s="43"/>
      <c r="AZ517" s="48"/>
      <c r="BA517" s="48"/>
      <c r="BB517" s="48"/>
      <c r="BC517" s="43"/>
      <c r="BD517" s="43"/>
      <c r="BE517" s="44"/>
      <c r="BF517" s="48"/>
      <c r="BG517" s="43"/>
    </row>
    <row r="518">
      <c r="A518" s="19" t="s">
        <v>590</v>
      </c>
      <c r="B518" s="20">
        <f>VLOOKUP(F518,'Session Count DO NOT EDIT'!$A:$C,3,FALSE)</f>
        <v>5</v>
      </c>
      <c r="C518" s="20">
        <f>COUNTIFS('Scores Import DO NOT EDIT'!D:D,A518)</f>
        <v>2</v>
      </c>
      <c r="D518" s="21">
        <f t="shared" si="1"/>
        <v>0.4</v>
      </c>
      <c r="E518" s="22">
        <f>AVERAGEIFS('Scores Import DO NOT EDIT'!L:L,'Scores Import DO NOT EDIT'!D:D,A518)</f>
        <v>26.5</v>
      </c>
      <c r="F518" s="23" t="str">
        <f>VLOOKUP(A518, 'Session Data'!A:M,3,false)</f>
        <v>K-1</v>
      </c>
      <c r="G518" s="24" t="str">
        <f>VLOOKUP(A518, 'Session Data'!A:I,2,false)</f>
        <v>9:00 AM</v>
      </c>
      <c r="H518" s="23" t="str">
        <f>VLOOKUP(A518, 'Session Data'!A:J,5,false)</f>
        <v>Performance Arts</v>
      </c>
      <c r="I518" s="25" t="str">
        <f>VLOOKUP(A518, 'Session Data'!A:H,4,false)</f>
        <v>Performance or Film</v>
      </c>
      <c r="J518" s="26" t="str">
        <f>VLOOKUP(A518, 'Session Data'!A:AA,14,false)</f>
        <v>Undergraduate</v>
      </c>
      <c r="K518" s="27" t="str">
        <f>VLOOKUP(A518, 'Session Data'!A:AA,15,false)</f>
        <v>Fowler College of Business</v>
      </c>
      <c r="L518" s="28"/>
      <c r="M518" s="29" t="str">
        <f>VLOOKUP(A518, 'Session Data'!A:K,11,false)</f>
        <v>BSBA in Information Systems</v>
      </c>
      <c r="N518" s="26" t="str">
        <f>IF(ISNA(VLOOKUP(A518, 'Award Abstract#'!C:C, 1, FALSE)), "No", "Yes")
</f>
        <v>No</v>
      </c>
      <c r="O518" s="29" t="str">
        <f>IF(ISNA(VLOOKUP(A518,'Award Abstract#'!B:B,1,FALSE)), "No", "Yes")</f>
        <v>No</v>
      </c>
      <c r="P518" s="29" t="str">
        <f>IF(ISNA(VLOOKUP(A518,'Award Abstract#'!E:E,1,FALSE)), "No", "Yes")</f>
        <v>No</v>
      </c>
      <c r="Q518" s="29" t="str">
        <f>IF(ISNA(VLOOKUP(A518,'Award Abstract#'!A:A,1,FALSE)), "No", "Yes")</f>
        <v>No</v>
      </c>
      <c r="R518" s="29" t="str">
        <f>IF(ISNA(VLOOKUP(A518,'Award Abstract#'!D:D,1,FALSE)), "No", "Yes")</f>
        <v>No</v>
      </c>
      <c r="S518" s="30" t="str">
        <f>VLOOKUP(A518, 'Session Data'!A:AA,27,false)</f>
        <v>Man</v>
      </c>
      <c r="T518" s="84"/>
      <c r="U518" s="84"/>
      <c r="V518" s="31" t="str">
        <f>VLOOKUP(A518, 'Session Data'!A:AA,8,false)</f>
        <v>Mark</v>
      </c>
      <c r="W518" s="32" t="str">
        <f>VLOOKUP(A518, 'Session Data'!A:AA,9,false)</f>
        <v>Heine</v>
      </c>
      <c r="X518" s="33" t="str">
        <f>VLOOKUP(A518, 'Session Data'!A:AA,12,false)</f>
        <v>Clones</v>
      </c>
      <c r="Y518" s="34" t="str">
        <f>VLOOKUP(A518, 'Session Data'!A:AA,22,false)</f>
        <v>Not sure what to put here</v>
      </c>
      <c r="Z518" s="34" t="str">
        <f>VLOOKUP(A518, 'Session Data'!A:AA,23,false)</f>
        <v>Still not sure</v>
      </c>
      <c r="AA518" s="34" t="str">
        <f>VLOOKUP(A518, 'Session Data'!A:AA,25,false)</f>
        <v>Other</v>
      </c>
      <c r="AB518" s="34" t="str">
        <f>VLOOKUP(A518, 'Session Data'!A:AA,24,false)</f>
        <v>mheine2239@sdsu.edu</v>
      </c>
      <c r="AC518" s="34" t="str">
        <f>VLOOKUP(A518, 'Session Data'!A:AA,16,false)</f>
        <v/>
      </c>
      <c r="AD518" s="35" t="str">
        <f>VLOOKUP(A518, 'Session Data'!A:U,17,false)</f>
        <v/>
      </c>
      <c r="AE518" s="35" t="str">
        <f>VLOOKUP(A518, 'Session Data'!A:U,18,false)</f>
        <v/>
      </c>
      <c r="AF518" s="35" t="str">
        <f>VLOOKUP(A518, 'Session Data'!A:U,19,false)</f>
        <v/>
      </c>
      <c r="AG518" s="35" t="str">
        <f>VLOOKUP(A518, 'Session Data'!A:U,20,false)</f>
        <v/>
      </c>
      <c r="AH518" s="35" t="str">
        <f>VLOOKUP(A518, 'Session Data'!A:U,21,false)</f>
        <v/>
      </c>
      <c r="AI518" s="34"/>
      <c r="AJ518" s="35"/>
      <c r="AK518" s="35"/>
      <c r="AL518" s="34"/>
      <c r="AM518" s="34" t="str">
        <f>VLOOKUP(A518, 'Session Data'!A:AA,10,false)</f>
        <v>mheine2239@sdsu.edu</v>
      </c>
      <c r="AN518" s="46"/>
      <c r="AO518" s="48"/>
      <c r="AP518" s="48"/>
      <c r="AQ518" s="48"/>
      <c r="AR518" s="48"/>
      <c r="AS518" s="48"/>
      <c r="AT518" s="48"/>
      <c r="AU518" s="48"/>
      <c r="AV518" s="48"/>
      <c r="AW518" s="48"/>
      <c r="AX518" s="48"/>
      <c r="AY518" s="43"/>
      <c r="AZ518" s="48"/>
      <c r="BA518" s="48"/>
      <c r="BB518" s="48"/>
      <c r="BC518" s="43"/>
      <c r="BD518" s="43"/>
      <c r="BE518" s="44"/>
      <c r="BF518" s="48"/>
      <c r="BG518" s="43"/>
    </row>
    <row r="519">
      <c r="A519" s="19" t="s">
        <v>591</v>
      </c>
      <c r="B519" s="20">
        <f>VLOOKUP(F519,'Session Count DO NOT EDIT'!$A:$C,3,FALSE)</f>
        <v>5</v>
      </c>
      <c r="C519" s="20">
        <f>COUNTIFS('Scores Import DO NOT EDIT'!D:D,A519)</f>
        <v>4</v>
      </c>
      <c r="D519" s="21">
        <f t="shared" si="1"/>
        <v>0.8</v>
      </c>
      <c r="E519" s="22">
        <f>AVERAGEIFS('Scores Import DO NOT EDIT'!L:L,'Scores Import DO NOT EDIT'!D:D,A519)</f>
        <v>25.75</v>
      </c>
      <c r="F519" s="23" t="str">
        <f>VLOOKUP(A519, 'Session Data'!A:M,3,false)</f>
        <v>K-1</v>
      </c>
      <c r="G519" s="24" t="str">
        <f>VLOOKUP(A519, 'Session Data'!A:I,2,false)</f>
        <v>9:00 AM</v>
      </c>
      <c r="H519" s="23" t="str">
        <f>VLOOKUP(A519, 'Session Data'!A:J,5,false)</f>
        <v>Performance Arts</v>
      </c>
      <c r="I519" s="25" t="str">
        <f>VLOOKUP(A519, 'Session Data'!A:H,4,false)</f>
        <v>Performance or Film</v>
      </c>
      <c r="J519" s="26" t="str">
        <f>VLOOKUP(A519, 'Session Data'!A:AA,14,false)</f>
        <v>Undergraduate</v>
      </c>
      <c r="K519" s="27" t="str">
        <f>VLOOKUP(A519, 'Session Data'!A:AA,15,false)</f>
        <v>Professional Studies and Fine Arts</v>
      </c>
      <c r="L519" s="47"/>
      <c r="M519" s="29" t="str">
        <f>VLOOKUP(A519, 'Session Data'!A:K,11,false)</f>
        <v>Television, Film, and New Media Production</v>
      </c>
      <c r="N519" s="26" t="str">
        <f>IF(ISNA(VLOOKUP(A519, 'Award Abstract#'!C:C, 1, FALSE)), "No", "Yes")
</f>
        <v>No</v>
      </c>
      <c r="O519" s="29" t="str">
        <f>IF(ISNA(VLOOKUP(A519,'Award Abstract#'!B:B,1,FALSE)), "No", "Yes")</f>
        <v>No</v>
      </c>
      <c r="P519" s="29" t="str">
        <f>IF(ISNA(VLOOKUP(A519,'Award Abstract#'!E:E,1,FALSE)), "No", "Yes")</f>
        <v>Yes</v>
      </c>
      <c r="Q519" s="29" t="str">
        <f>IF(ISNA(VLOOKUP(A519,'Award Abstract#'!A:A,1,FALSE)), "No", "Yes")</f>
        <v>No</v>
      </c>
      <c r="R519" s="29" t="str">
        <f>IF(ISNA(VLOOKUP(A519,'Award Abstract#'!D:D,1,FALSE)), "No", "Yes")</f>
        <v>Yes</v>
      </c>
      <c r="S519" s="30" t="str">
        <f>VLOOKUP(A519, 'Session Data'!A:AA,27,false)</f>
        <v>Woman</v>
      </c>
      <c r="T519" s="84"/>
      <c r="U519" s="84"/>
      <c r="V519" s="31" t="str">
        <f>VLOOKUP(A519, 'Session Data'!A:AA,8,false)</f>
        <v>Jessica</v>
      </c>
      <c r="W519" s="32" t="str">
        <f>VLOOKUP(A519, 'Session Data'!A:AA,9,false)</f>
        <v>Ebert</v>
      </c>
      <c r="X519" s="33" t="str">
        <f>VLOOKUP(A519, 'Session Data'!A:AA,12,false)</f>
        <v>Tina Tina Bo Bina</v>
      </c>
      <c r="Y519" s="34" t="str">
        <f>VLOOKUP(A519, 'Session Data'!A:AA,22,false)</f>
        <v>Jessica</v>
      </c>
      <c r="Z519" s="34" t="str">
        <f>VLOOKUP(A519, 'Session Data'!A:AA,23,false)</f>
        <v>McGaugh</v>
      </c>
      <c r="AA519" s="34" t="str">
        <f>VLOOKUP(A519, 'Session Data'!A:AA,25,false)</f>
        <v>Professional Studies and Fine Arts</v>
      </c>
      <c r="AB519" s="34" t="str">
        <f>VLOOKUP(A519, 'Session Data'!A:AA,24,false)</f>
        <v>jmcgaugh@sdsu.edu</v>
      </c>
      <c r="AC519" s="34" t="str">
        <f>VLOOKUP(A519, 'Session Data'!A:AA,16,false)</f>
        <v>Jordan</v>
      </c>
      <c r="AD519" s="35" t="str">
        <f>VLOOKUP(A519, 'Session Data'!A:U,17,false)</f>
        <v>Eichhorn</v>
      </c>
      <c r="AE519" s="35" t="str">
        <f>VLOOKUP(A519, 'Session Data'!A:U,18,false)</f>
        <v/>
      </c>
      <c r="AF519" s="35" t="str">
        <f>VLOOKUP(A519, 'Session Data'!A:U,19,false)</f>
        <v/>
      </c>
      <c r="AG519" s="35" t="str">
        <f>VLOOKUP(A519, 'Session Data'!A:U,20,false)</f>
        <v/>
      </c>
      <c r="AH519" s="35" t="str">
        <f>VLOOKUP(A519, 'Session Data'!A:U,21,false)</f>
        <v/>
      </c>
      <c r="AI519" s="34"/>
      <c r="AJ519" s="35"/>
      <c r="AK519" s="35"/>
      <c r="AL519" s="34"/>
      <c r="AM519" s="34" t="str">
        <f>VLOOKUP(A519, 'Session Data'!A:AA,10,false)</f>
        <v>jebert1136@sdsu.edu</v>
      </c>
      <c r="AN519" s="46"/>
      <c r="AO519" s="48"/>
      <c r="AP519" s="48"/>
      <c r="AQ519" s="48"/>
      <c r="AR519" s="48"/>
      <c r="AS519" s="48"/>
      <c r="AT519" s="48"/>
      <c r="AU519" s="48"/>
      <c r="AV519" s="48"/>
      <c r="AW519" s="48"/>
      <c r="AX519" s="48"/>
      <c r="AY519" s="43"/>
      <c r="AZ519" s="48"/>
      <c r="BA519" s="48"/>
      <c r="BB519" s="48"/>
      <c r="BC519" s="43"/>
      <c r="BD519" s="43"/>
      <c r="BE519" s="44"/>
      <c r="BF519" s="48"/>
      <c r="BG519" s="43"/>
    </row>
    <row r="520">
      <c r="A520" s="19" t="s">
        <v>592</v>
      </c>
      <c r="B520" s="20">
        <f>VLOOKUP(F520,'Session Count DO NOT EDIT'!$A:$C,3,FALSE)</f>
        <v>5</v>
      </c>
      <c r="C520" s="20">
        <f>COUNTIFS('Scores Import DO NOT EDIT'!D:D,A520)</f>
        <v>2</v>
      </c>
      <c r="D520" s="21">
        <f t="shared" si="1"/>
        <v>0.4</v>
      </c>
      <c r="E520" s="22">
        <f>AVERAGEIFS('Scores Import DO NOT EDIT'!L:L,'Scores Import DO NOT EDIT'!D:D,A520)</f>
        <v>22</v>
      </c>
      <c r="F520" s="23" t="str">
        <f>VLOOKUP(A520, 'Session Data'!A:M,3,false)</f>
        <v>K-1</v>
      </c>
      <c r="G520" s="24" t="str">
        <f>VLOOKUP(A520, 'Session Data'!A:I,2,false)</f>
        <v>9:00 AM</v>
      </c>
      <c r="H520" s="23" t="str">
        <f>VLOOKUP(A520, 'Session Data'!A:J,5,false)</f>
        <v>Performance Arts</v>
      </c>
      <c r="I520" s="25" t="str">
        <f>VLOOKUP(A520, 'Session Data'!A:H,4,false)</f>
        <v>Performance or Film</v>
      </c>
      <c r="J520" s="26" t="str">
        <f>VLOOKUP(A520, 'Session Data'!A:AA,14,false)</f>
        <v>Master's</v>
      </c>
      <c r="K520" s="27" t="str">
        <f>VLOOKUP(A520, 'Session Data'!A:AA,15,false)</f>
        <v>Arts and Letters</v>
      </c>
      <c r="L520" s="47"/>
      <c r="M520" s="29" t="str">
        <f>VLOOKUP(A520, 'Session Data'!A:K,11,false)</f>
        <v>Masters of Arts in Liberal Arts and Science (focus in Dance, Queer, and Somatic Studies)</v>
      </c>
      <c r="N520" s="26" t="str">
        <f>IF(ISNA(VLOOKUP(A520, 'Award Abstract#'!C:C, 1, FALSE)), "No", "Yes")
</f>
        <v>No</v>
      </c>
      <c r="O520" s="29" t="str">
        <f>IF(ISNA(VLOOKUP(A520,'Award Abstract#'!B:B,1,FALSE)), "No", "Yes")</f>
        <v>No</v>
      </c>
      <c r="P520" s="29" t="str">
        <f>IF(ISNA(VLOOKUP(A520,'Award Abstract#'!E:E,1,FALSE)), "No", "Yes")</f>
        <v>No</v>
      </c>
      <c r="Q520" s="29" t="str">
        <f>IF(ISNA(VLOOKUP(A520,'Award Abstract#'!A:A,1,FALSE)), "No", "Yes")</f>
        <v>No</v>
      </c>
      <c r="R520" s="29" t="str">
        <f>IF(ISNA(VLOOKUP(A520,'Award Abstract#'!D:D,1,FALSE)), "No", "Yes")</f>
        <v>No</v>
      </c>
      <c r="S520" s="30" t="str">
        <f>VLOOKUP(A520, 'Session Data'!A:AA,27,false)</f>
        <v>Man, Queer</v>
      </c>
      <c r="T520" s="84"/>
      <c r="U520" s="84"/>
      <c r="V520" s="31" t="str">
        <f>VLOOKUP(A520, 'Session Data'!A:AA,8,false)</f>
        <v>Robert</v>
      </c>
      <c r="W520" s="32" t="str">
        <f>VLOOKUP(A520, 'Session Data'!A:AA,9,false)</f>
        <v>Taylor</v>
      </c>
      <c r="X520" s="33" t="str">
        <f>VLOOKUP(A520, 'Session Data'!A:AA,12,false)</f>
        <v>The With;OUT Dance Project: Community Dancemaking</v>
      </c>
      <c r="Y520" s="34" t="str">
        <f>VLOOKUP(A520, 'Session Data'!A:AA,22,false)</f>
        <v>Eve</v>
      </c>
      <c r="Z520" s="34" t="str">
        <f>VLOOKUP(A520, 'Session Data'!A:AA,23,false)</f>
        <v>Kornfeld</v>
      </c>
      <c r="AA520" s="34" t="str">
        <f>VLOOKUP(A520, 'Session Data'!A:AA,25,false)</f>
        <v>Arts and Letters</v>
      </c>
      <c r="AB520" s="34" t="str">
        <f>VLOOKUP(A520, 'Session Data'!A:AA,24,false)</f>
        <v>kornfeld@sdsu.edu</v>
      </c>
      <c r="AC520" s="34" t="str">
        <f>VLOOKUP(A520, 'Session Data'!A:AA,16,false)</f>
        <v>TBD</v>
      </c>
      <c r="AD520" s="35" t="str">
        <f>VLOOKUP(A520, 'Session Data'!A:U,17,false)</f>
        <v/>
      </c>
      <c r="AE520" s="35" t="str">
        <f>VLOOKUP(A520, 'Session Data'!A:U,18,false)</f>
        <v>TBD</v>
      </c>
      <c r="AF520" s="35" t="str">
        <f>VLOOKUP(A520, 'Session Data'!A:U,19,false)</f>
        <v/>
      </c>
      <c r="AG520" s="35" t="str">
        <f>VLOOKUP(A520, 'Session Data'!A:U,20,false)</f>
        <v>TBD</v>
      </c>
      <c r="AH520" s="35" t="str">
        <f>VLOOKUP(A520, 'Session Data'!A:U,21,false)</f>
        <v/>
      </c>
      <c r="AI520" s="34"/>
      <c r="AJ520" s="35"/>
      <c r="AK520" s="35"/>
      <c r="AL520" s="34"/>
      <c r="AM520" s="34" t="str">
        <f>VLOOKUP(A520, 'Session Data'!A:AA,10,false)</f>
        <v>rtaylor5496@sdsu.edu</v>
      </c>
      <c r="AN520" s="46"/>
      <c r="AO520" s="48"/>
      <c r="AP520" s="48"/>
      <c r="AQ520" s="48"/>
      <c r="AR520" s="48"/>
      <c r="AS520" s="48"/>
      <c r="AT520" s="48"/>
      <c r="AU520" s="48"/>
      <c r="AV520" s="48"/>
      <c r="AW520" s="48"/>
      <c r="AX520" s="48"/>
      <c r="AY520" s="43"/>
      <c r="AZ520" s="48"/>
      <c r="BA520" s="48"/>
      <c r="BB520" s="48"/>
      <c r="BC520" s="43"/>
      <c r="BD520" s="43"/>
      <c r="BE520" s="44"/>
      <c r="BF520" s="48"/>
      <c r="BG520" s="43"/>
    </row>
    <row r="521">
      <c r="A521" s="19" t="s">
        <v>593</v>
      </c>
      <c r="B521" s="20">
        <f>VLOOKUP(F521,'Session Count DO NOT EDIT'!$A:$C,3,FALSE)</f>
        <v>5</v>
      </c>
      <c r="C521" s="20">
        <f>COUNTIFS('Scores Import DO NOT EDIT'!D:D,A521)</f>
        <v>2</v>
      </c>
      <c r="D521" s="21">
        <f t="shared" si="1"/>
        <v>0.4</v>
      </c>
      <c r="E521" s="22">
        <f>AVERAGEIFS('Scores Import DO NOT EDIT'!L:L,'Scores Import DO NOT EDIT'!D:D,A521)</f>
        <v>34</v>
      </c>
      <c r="F521" s="23" t="str">
        <f>VLOOKUP(A521, 'Session Data'!A:M,3,false)</f>
        <v>K-2</v>
      </c>
      <c r="G521" s="24" t="str">
        <f>VLOOKUP(A521, 'Session Data'!A:I,2,false)</f>
        <v>1:00 PM</v>
      </c>
      <c r="H521" s="23" t="str">
        <f>VLOOKUP(A521, 'Session Data'!A:J,5,false)</f>
        <v>Performance Arts</v>
      </c>
      <c r="I521" s="25" t="str">
        <f>VLOOKUP(A521, 'Session Data'!A:H,4,false)</f>
        <v>Performance or Film</v>
      </c>
      <c r="J521" s="26" t="str">
        <f>VLOOKUP(A521, 'Session Data'!A:AA,14,false)</f>
        <v>Undergraduate</v>
      </c>
      <c r="K521" s="27" t="str">
        <f>VLOOKUP(A521, 'Session Data'!A:AA,15,false)</f>
        <v>Professional Studies and Fine Arts</v>
      </c>
      <c r="L521" s="28" t="s">
        <v>594</v>
      </c>
      <c r="M521" s="29" t="str">
        <f>VLOOKUP(A521, 'Session Data'!A:K,11,false)</f>
        <v>Dance &amp; Kinesiology Pre-PT</v>
      </c>
      <c r="N521" s="26" t="str">
        <f>IF(ISNA(VLOOKUP(A521, 'Award Abstract#'!C:C, 1, FALSE)), "No", "Yes")
</f>
        <v>No</v>
      </c>
      <c r="O521" s="29" t="str">
        <f>IF(ISNA(VLOOKUP(A521,'Award Abstract#'!B:B,1,FALSE)), "No", "Yes")</f>
        <v>No</v>
      </c>
      <c r="P521" s="29" t="str">
        <f>IF(ISNA(VLOOKUP(A521,'Award Abstract#'!E:E,1,FALSE)), "No", "Yes")</f>
        <v>Yes</v>
      </c>
      <c r="Q521" s="29" t="str">
        <f>IF(ISNA(VLOOKUP(A521,'Award Abstract#'!A:A,1,FALSE)), "No", "Yes")</f>
        <v>No</v>
      </c>
      <c r="R521" s="29" t="str">
        <f>IF(ISNA(VLOOKUP(A521,'Award Abstract#'!D:D,1,FALSE)), "No", "Yes")</f>
        <v>Yes</v>
      </c>
      <c r="S521" s="30" t="str">
        <f>VLOOKUP(A521, 'Session Data'!A:AA,27,false)</f>
        <v>Woman</v>
      </c>
      <c r="T521" s="84"/>
      <c r="U521" s="84"/>
      <c r="V521" s="31" t="str">
        <f>VLOOKUP(A521, 'Session Data'!A:AA,8,false)</f>
        <v>Chasle</v>
      </c>
      <c r="W521" s="32" t="str">
        <f>VLOOKUP(A521, 'Session Data'!A:AA,9,false)</f>
        <v>Schoettle</v>
      </c>
      <c r="X521" s="33" t="str">
        <f>VLOOKUP(A521, 'Session Data'!A:AA,12,false)</f>
        <v>Dancing Beyond Boundaries: Exploring Rules, Class Disparities, and Identity in Ballet and Breaking</v>
      </c>
      <c r="Y521" s="34" t="str">
        <f>VLOOKUP(A521, 'Session Data'!A:AA,22,false)</f>
        <v>Jess </v>
      </c>
      <c r="Z521" s="34" t="str">
        <f>VLOOKUP(A521, 'Session Data'!A:AA,23,false)</f>
        <v>Humphrey </v>
      </c>
      <c r="AA521" s="34" t="str">
        <f>VLOOKUP(A521, 'Session Data'!A:AA,25,false)</f>
        <v>Professional Studies and Fine Arts</v>
      </c>
      <c r="AB521" s="34" t="str">
        <f>VLOOKUP(A521, 'Session Data'!A:AA,24,false)</f>
        <v>jhumphrey@sdsu.edu</v>
      </c>
      <c r="AC521" s="34" t="str">
        <f>VLOOKUP(A521, 'Session Data'!A:AA,16,false)</f>
        <v/>
      </c>
      <c r="AD521" s="35" t="str">
        <f>VLOOKUP(A521, 'Session Data'!A:U,17,false)</f>
        <v/>
      </c>
      <c r="AE521" s="35" t="str">
        <f>VLOOKUP(A521, 'Session Data'!A:U,18,false)</f>
        <v/>
      </c>
      <c r="AF521" s="35" t="str">
        <f>VLOOKUP(A521, 'Session Data'!A:U,19,false)</f>
        <v/>
      </c>
      <c r="AG521" s="35" t="str">
        <f>VLOOKUP(A521, 'Session Data'!A:U,20,false)</f>
        <v/>
      </c>
      <c r="AH521" s="35" t="str">
        <f>VLOOKUP(A521, 'Session Data'!A:U,21,false)</f>
        <v/>
      </c>
      <c r="AI521" s="34"/>
      <c r="AJ521" s="35"/>
      <c r="AK521" s="35"/>
      <c r="AL521" s="34"/>
      <c r="AM521" s="34" t="str">
        <f>VLOOKUP(A521, 'Session Data'!A:AA,10,false)</f>
        <v>cschoettle2462@sdsu.edu</v>
      </c>
      <c r="AN521" s="46"/>
      <c r="AO521" s="48"/>
      <c r="AP521" s="48"/>
      <c r="AQ521" s="48"/>
      <c r="AR521" s="48"/>
      <c r="AS521" s="48"/>
      <c r="AT521" s="48"/>
      <c r="AU521" s="48"/>
      <c r="AV521" s="48"/>
      <c r="AW521" s="48"/>
      <c r="AX521" s="48"/>
      <c r="AY521" s="43"/>
      <c r="AZ521" s="48"/>
      <c r="BA521" s="48"/>
      <c r="BB521" s="48"/>
      <c r="BC521" s="43"/>
      <c r="BD521" s="43"/>
      <c r="BE521" s="44"/>
      <c r="BF521" s="48"/>
      <c r="BG521" s="43"/>
    </row>
    <row r="522">
      <c r="A522" s="19" t="s">
        <v>595</v>
      </c>
      <c r="B522" s="20">
        <f>VLOOKUP(F522,'Session Count DO NOT EDIT'!$A:$C,3,FALSE)</f>
        <v>5</v>
      </c>
      <c r="C522" s="20">
        <f>COUNTIFS('Scores Import DO NOT EDIT'!D:D,A522)</f>
        <v>2</v>
      </c>
      <c r="D522" s="21">
        <f t="shared" si="1"/>
        <v>0.4</v>
      </c>
      <c r="E522" s="22">
        <f>AVERAGEIFS('Scores Import DO NOT EDIT'!L:L,'Scores Import DO NOT EDIT'!D:D,A522)</f>
        <v>29.5</v>
      </c>
      <c r="F522" s="23" t="str">
        <f>VLOOKUP(A522, 'Session Data'!A:M,3,false)</f>
        <v>K-2</v>
      </c>
      <c r="G522" s="24" t="str">
        <f>VLOOKUP(A522, 'Session Data'!A:I,2,false)</f>
        <v>1:00 PM</v>
      </c>
      <c r="H522" s="23" t="str">
        <f>VLOOKUP(A522, 'Session Data'!A:J,5,false)</f>
        <v>Performance Arts</v>
      </c>
      <c r="I522" s="25" t="str">
        <f>VLOOKUP(A522, 'Session Data'!A:H,4,false)</f>
        <v>Performance or Film</v>
      </c>
      <c r="J522" s="26" t="str">
        <f>VLOOKUP(A522, 'Session Data'!A:AA,14,false)</f>
        <v>Undergraduate</v>
      </c>
      <c r="K522" s="27" t="str">
        <f>VLOOKUP(A522, 'Session Data'!A:AA,15,false)</f>
        <v>Professional Studies and Fine Arts</v>
      </c>
      <c r="L522" s="28" t="s">
        <v>596</v>
      </c>
      <c r="M522" s="29" t="str">
        <f>VLOOKUP(A522, 'Session Data'!A:K,11,false)</f>
        <v>Bachelor of Fine Arts in Dance</v>
      </c>
      <c r="N522" s="26" t="str">
        <f>IF(ISNA(VLOOKUP(A522, 'Award Abstract#'!C:C, 1, FALSE)), "No", "Yes")
</f>
        <v>No</v>
      </c>
      <c r="O522" s="29" t="str">
        <f>IF(ISNA(VLOOKUP(A522,'Award Abstract#'!B:B,1,FALSE)), "No", "Yes")</f>
        <v>No</v>
      </c>
      <c r="P522" s="29" t="str">
        <f>IF(ISNA(VLOOKUP(A522,'Award Abstract#'!E:E,1,FALSE)), "No", "Yes")</f>
        <v>Yes</v>
      </c>
      <c r="Q522" s="29" t="str">
        <f>IF(ISNA(VLOOKUP(A522,'Award Abstract#'!A:A,1,FALSE)), "No", "Yes")</f>
        <v>Yes</v>
      </c>
      <c r="R522" s="29" t="str">
        <f>IF(ISNA(VLOOKUP(A522,'Award Abstract#'!D:D,1,FALSE)), "No", "Yes")</f>
        <v>No</v>
      </c>
      <c r="S522" s="30" t="str">
        <f>VLOOKUP(A522, 'Session Data'!A:AA,27,false)</f>
        <v>Woman</v>
      </c>
      <c r="T522" s="84"/>
      <c r="U522" s="84"/>
      <c r="V522" s="31" t="str">
        <f>VLOOKUP(A522, 'Session Data'!A:AA,8,false)</f>
        <v>Alyssa</v>
      </c>
      <c r="W522" s="32" t="str">
        <f>VLOOKUP(A522, 'Session Data'!A:AA,9,false)</f>
        <v>Moreno</v>
      </c>
      <c r="X522" s="33" t="str">
        <f>VLOOKUP(A522, 'Session Data'!A:AA,12,false)</f>
        <v>Entremedio/ In between</v>
      </c>
      <c r="Y522" s="34" t="str">
        <f>VLOOKUP(A522, 'Session Data'!A:AA,22,false)</f>
        <v>Jessica</v>
      </c>
      <c r="Z522" s="34" t="str">
        <f>VLOOKUP(A522, 'Session Data'!A:AA,23,false)</f>
        <v>Humphrey</v>
      </c>
      <c r="AA522" s="34" t="str">
        <f>VLOOKUP(A522, 'Session Data'!A:AA,25,false)</f>
        <v>Professional Studies and Fine Arts</v>
      </c>
      <c r="AB522" s="34" t="str">
        <f>VLOOKUP(A522, 'Session Data'!A:AA,24,false)</f>
        <v>jhumphrey@sdsu.edu</v>
      </c>
      <c r="AC522" s="34" t="str">
        <f>VLOOKUP(A522, 'Session Data'!A:AA,16,false)</f>
        <v/>
      </c>
      <c r="AD522" s="35" t="str">
        <f>VLOOKUP(A522, 'Session Data'!A:U,17,false)</f>
        <v/>
      </c>
      <c r="AE522" s="35" t="str">
        <f>VLOOKUP(A522, 'Session Data'!A:U,18,false)</f>
        <v/>
      </c>
      <c r="AF522" s="35" t="str">
        <f>VLOOKUP(A522, 'Session Data'!A:U,19,false)</f>
        <v/>
      </c>
      <c r="AG522" s="35" t="str">
        <f>VLOOKUP(A522, 'Session Data'!A:U,20,false)</f>
        <v/>
      </c>
      <c r="AH522" s="35" t="str">
        <f>VLOOKUP(A522, 'Session Data'!A:U,21,false)</f>
        <v/>
      </c>
      <c r="AI522" s="34"/>
      <c r="AJ522" s="35"/>
      <c r="AK522" s="35"/>
      <c r="AL522" s="34"/>
      <c r="AM522" s="34" t="str">
        <f>VLOOKUP(A522, 'Session Data'!A:AA,10,false)</f>
        <v>amoreno0475@sdsu.edu</v>
      </c>
      <c r="AN522" s="46"/>
      <c r="AO522" s="48"/>
      <c r="AP522" s="48"/>
      <c r="AQ522" s="48"/>
      <c r="AR522" s="48"/>
      <c r="AS522" s="48"/>
      <c r="AT522" s="48"/>
      <c r="AU522" s="48"/>
      <c r="AV522" s="48"/>
      <c r="AW522" s="48"/>
      <c r="AX522" s="48"/>
      <c r="AY522" s="43"/>
      <c r="AZ522" s="48"/>
      <c r="BA522" s="48"/>
      <c r="BB522" s="48"/>
      <c r="BC522" s="43"/>
      <c r="BD522" s="43"/>
      <c r="BE522" s="44"/>
      <c r="BF522" s="48"/>
      <c r="BG522" s="43"/>
    </row>
    <row r="523">
      <c r="A523" s="19" t="s">
        <v>597</v>
      </c>
      <c r="B523" s="20">
        <f>VLOOKUP(F523,'Session Count DO NOT EDIT'!$A:$C,3,FALSE)</f>
        <v>5</v>
      </c>
      <c r="C523" s="20">
        <f>COUNTIFS('Scores Import DO NOT EDIT'!D:D,A523)</f>
        <v>4</v>
      </c>
      <c r="D523" s="21">
        <f t="shared" si="1"/>
        <v>0.8</v>
      </c>
      <c r="E523" s="22">
        <f>AVERAGEIFS('Scores Import DO NOT EDIT'!L:L,'Scores Import DO NOT EDIT'!D:D,A523)</f>
        <v>27.25</v>
      </c>
      <c r="F523" s="23" t="str">
        <f>VLOOKUP(A523, 'Session Data'!A:M,3,false)</f>
        <v>K-2</v>
      </c>
      <c r="G523" s="24" t="str">
        <f>VLOOKUP(A523, 'Session Data'!A:I,2,false)</f>
        <v>1:00 PM</v>
      </c>
      <c r="H523" s="23" t="str">
        <f>VLOOKUP(A523, 'Session Data'!A:J,5,false)</f>
        <v>Performance Arts</v>
      </c>
      <c r="I523" s="25" t="str">
        <f>VLOOKUP(A523, 'Session Data'!A:H,4,false)</f>
        <v>Performance or Film</v>
      </c>
      <c r="J523" s="26" t="str">
        <f>VLOOKUP(A523, 'Session Data'!A:AA,14,false)</f>
        <v>Undergraduate</v>
      </c>
      <c r="K523" s="27" t="str">
        <f>VLOOKUP(A523, 'Session Data'!A:AA,15,false)</f>
        <v>Professional Studies and Fine Arts</v>
      </c>
      <c r="L523" s="28" t="s">
        <v>598</v>
      </c>
      <c r="M523" s="29" t="str">
        <f>VLOOKUP(A523, 'Session Data'!A:K,11,false)</f>
        <v>Bachelor of Fine Arts in Dance</v>
      </c>
      <c r="N523" s="26" t="str">
        <f>IF(ISNA(VLOOKUP(A523, 'Award Abstract#'!C:C, 1, FALSE)), "No", "Yes")
</f>
        <v>No</v>
      </c>
      <c r="O523" s="29" t="str">
        <f>IF(ISNA(VLOOKUP(A523,'Award Abstract#'!B:B,1,FALSE)), "No", "Yes")</f>
        <v>No</v>
      </c>
      <c r="P523" s="29" t="str">
        <f>IF(ISNA(VLOOKUP(A523,'Award Abstract#'!E:E,1,FALSE)), "No", "Yes")</f>
        <v>No</v>
      </c>
      <c r="Q523" s="29" t="str">
        <f>IF(ISNA(VLOOKUP(A523,'Award Abstract#'!A:A,1,FALSE)), "No", "Yes")</f>
        <v>No</v>
      </c>
      <c r="R523" s="29" t="str">
        <f>IF(ISNA(VLOOKUP(A523,'Award Abstract#'!D:D,1,FALSE)), "No", "Yes")</f>
        <v>No</v>
      </c>
      <c r="S523" s="30" t="str">
        <f>VLOOKUP(A523, 'Session Data'!A:AA,27,false)</f>
        <v>Woman</v>
      </c>
      <c r="T523" s="84"/>
      <c r="U523" s="84"/>
      <c r="V523" s="31" t="str">
        <f>VLOOKUP(A523, 'Session Data'!A:AA,8,false)</f>
        <v>Emily</v>
      </c>
      <c r="W523" s="32" t="str">
        <f>VLOOKUP(A523, 'Session Data'!A:AA,9,false)</f>
        <v>Deskin</v>
      </c>
      <c r="X523" s="33" t="str">
        <f>VLOOKUP(A523, 'Session Data'!A:AA,12,false)</f>
        <v>Here With You </v>
      </c>
      <c r="Y523" s="34" t="str">
        <f>VLOOKUP(A523, 'Session Data'!A:AA,22,false)</f>
        <v>Leslie</v>
      </c>
      <c r="Z523" s="34" t="str">
        <f>VLOOKUP(A523, 'Session Data'!A:AA,23,false)</f>
        <v>Seiters</v>
      </c>
      <c r="AA523" s="34" t="str">
        <f>VLOOKUP(A523, 'Session Data'!A:AA,25,false)</f>
        <v>Professional Studies and Fine Arts</v>
      </c>
      <c r="AB523" s="34" t="str">
        <f>VLOOKUP(A523, 'Session Data'!A:AA,24,false)</f>
        <v>lseiters@sdsu.edu</v>
      </c>
      <c r="AC523" s="34" t="str">
        <f>VLOOKUP(A523, 'Session Data'!A:AA,16,false)</f>
        <v>Julia </v>
      </c>
      <c r="AD523" s="35" t="str">
        <f>VLOOKUP(A523, 'Session Data'!A:U,17,false)</f>
        <v>Elbert</v>
      </c>
      <c r="AE523" s="35" t="str">
        <f>VLOOKUP(A523, 'Session Data'!A:U,18,false)</f>
        <v/>
      </c>
      <c r="AF523" s="35" t="str">
        <f>VLOOKUP(A523, 'Session Data'!A:U,19,false)</f>
        <v/>
      </c>
      <c r="AG523" s="35" t="str">
        <f>VLOOKUP(A523, 'Session Data'!A:U,20,false)</f>
        <v/>
      </c>
      <c r="AH523" s="35" t="str">
        <f>VLOOKUP(A523, 'Session Data'!A:U,21,false)</f>
        <v/>
      </c>
      <c r="AI523" s="34"/>
      <c r="AJ523" s="35"/>
      <c r="AK523" s="35"/>
      <c r="AL523" s="34"/>
      <c r="AM523" s="34" t="str">
        <f>VLOOKUP(A523, 'Session Data'!A:AA,10,false)</f>
        <v>edeskin4800@sdsu.edu</v>
      </c>
      <c r="AN523" s="46"/>
      <c r="AO523" s="48"/>
      <c r="AP523" s="48"/>
      <c r="AQ523" s="48"/>
      <c r="AR523" s="48"/>
      <c r="AS523" s="48"/>
      <c r="AT523" s="48"/>
      <c r="AU523" s="48"/>
      <c r="AV523" s="48"/>
      <c r="AW523" s="48"/>
      <c r="AX523" s="48"/>
      <c r="AY523" s="43"/>
      <c r="AZ523" s="48"/>
      <c r="BA523" s="48"/>
      <c r="BB523" s="48"/>
      <c r="BC523" s="43"/>
      <c r="BD523" s="43"/>
      <c r="BE523" s="44"/>
      <c r="BF523" s="48"/>
      <c r="BG523" s="43"/>
    </row>
    <row r="524">
      <c r="A524" s="19" t="s">
        <v>599</v>
      </c>
      <c r="B524" s="20">
        <f>VLOOKUP(F524,'Session Count DO NOT EDIT'!$A:$C,3,FALSE)</f>
        <v>5</v>
      </c>
      <c r="C524" s="20">
        <f>COUNTIFS('Scores Import DO NOT EDIT'!D:D,A524)</f>
        <v>3</v>
      </c>
      <c r="D524" s="21">
        <f t="shared" si="1"/>
        <v>0.6</v>
      </c>
      <c r="E524" s="22">
        <f>AVERAGEIFS('Scores Import DO NOT EDIT'!L:L,'Scores Import DO NOT EDIT'!D:D,A524)</f>
        <v>26.33333333</v>
      </c>
      <c r="F524" s="23" t="str">
        <f>VLOOKUP(A524, 'Session Data'!A:M,3,false)</f>
        <v>K-2</v>
      </c>
      <c r="G524" s="24" t="str">
        <f>VLOOKUP(A524, 'Session Data'!A:I,2,false)</f>
        <v>1:00 PM</v>
      </c>
      <c r="H524" s="23" t="str">
        <f>VLOOKUP(A524, 'Session Data'!A:J,5,false)</f>
        <v>Performance Arts</v>
      </c>
      <c r="I524" s="25" t="str">
        <f>VLOOKUP(A524, 'Session Data'!A:H,4,false)</f>
        <v>Performance or Film</v>
      </c>
      <c r="J524" s="26" t="str">
        <f>VLOOKUP(A524, 'Session Data'!A:AA,14,false)</f>
        <v>Undergraduate</v>
      </c>
      <c r="K524" s="27" t="str">
        <f>VLOOKUP(A524, 'Session Data'!A:AA,15,false)</f>
        <v>Professional Studies and Fine Arts</v>
      </c>
      <c r="L524" s="47"/>
      <c r="M524" s="29" t="str">
        <f>VLOOKUP(A524, 'Session Data'!A:K,11,false)</f>
        <v>Dance</v>
      </c>
      <c r="N524" s="26" t="str">
        <f>IF(ISNA(VLOOKUP(A524, 'Award Abstract#'!C:C, 1, FALSE)), "No", "Yes")
</f>
        <v>No</v>
      </c>
      <c r="O524" s="29" t="str">
        <f>IF(ISNA(VLOOKUP(A524,'Award Abstract#'!B:B,1,FALSE)), "No", "Yes")</f>
        <v>No</v>
      </c>
      <c r="P524" s="29" t="str">
        <f>IF(ISNA(VLOOKUP(A524,'Award Abstract#'!E:E,1,FALSE)), "No", "Yes")</f>
        <v>No</v>
      </c>
      <c r="Q524" s="29" t="str">
        <f>IF(ISNA(VLOOKUP(A524,'Award Abstract#'!A:A,1,FALSE)), "No", "Yes")</f>
        <v>No</v>
      </c>
      <c r="R524" s="29" t="str">
        <f>IF(ISNA(VLOOKUP(A524,'Award Abstract#'!D:D,1,FALSE)), "No", "Yes")</f>
        <v>No</v>
      </c>
      <c r="S524" s="30" t="str">
        <f>VLOOKUP(A524, 'Session Data'!A:AA,27,false)</f>
        <v>Woman, Cisgender</v>
      </c>
      <c r="T524" s="84"/>
      <c r="U524" s="84"/>
      <c r="V524" s="31" t="str">
        <f>VLOOKUP(A524, 'Session Data'!A:AA,8,false)</f>
        <v>Arwyn</v>
      </c>
      <c r="W524" s="32" t="str">
        <f>VLOOKUP(A524, 'Session Data'!A:AA,9,false)</f>
        <v>Higgins</v>
      </c>
      <c r="X524" s="33" t="str">
        <f>VLOOKUP(A524, 'Session Data'!A:AA,12,false)</f>
        <v>Sync or Swim</v>
      </c>
      <c r="Y524" s="34" t="str">
        <f>VLOOKUP(A524, 'Session Data'!A:AA,22,false)</f>
        <v>Jessica</v>
      </c>
      <c r="Z524" s="34" t="str">
        <f>VLOOKUP(A524, 'Session Data'!A:AA,23,false)</f>
        <v>Humphrey</v>
      </c>
      <c r="AA524" s="34" t="str">
        <f>VLOOKUP(A524, 'Session Data'!A:AA,25,false)</f>
        <v>Professional Studies and Fine Arts</v>
      </c>
      <c r="AB524" s="34" t="str">
        <f>VLOOKUP(A524, 'Session Data'!A:AA,24,false)</f>
        <v>jhumphrey@sdsu.edu</v>
      </c>
      <c r="AC524" s="34" t="str">
        <f>VLOOKUP(A524, 'Session Data'!A:AA,16,false)</f>
        <v>Capri</v>
      </c>
      <c r="AD524" s="35" t="str">
        <f>VLOOKUP(A524, 'Session Data'!A:U,17,false)</f>
        <v>Carpenter</v>
      </c>
      <c r="AE524" s="35" t="str">
        <f>VLOOKUP(A524, 'Session Data'!A:U,18,false)</f>
        <v/>
      </c>
      <c r="AF524" s="35" t="str">
        <f>VLOOKUP(A524, 'Session Data'!A:U,19,false)</f>
        <v/>
      </c>
      <c r="AG524" s="35" t="str">
        <f>VLOOKUP(A524, 'Session Data'!A:U,20,false)</f>
        <v/>
      </c>
      <c r="AH524" s="35" t="str">
        <f>VLOOKUP(A524, 'Session Data'!A:U,21,false)</f>
        <v/>
      </c>
      <c r="AI524" s="34"/>
      <c r="AJ524" s="35"/>
      <c r="AK524" s="35"/>
      <c r="AL524" s="34"/>
      <c r="AM524" s="34" t="str">
        <f>VLOOKUP(A524, 'Session Data'!A:AA,10,false)</f>
        <v>ahiggins9591@sdsu.edu</v>
      </c>
      <c r="AN524" s="46"/>
      <c r="AO524" s="48"/>
      <c r="AP524" s="48"/>
      <c r="AQ524" s="48"/>
      <c r="AR524" s="48"/>
      <c r="AS524" s="48"/>
      <c r="AT524" s="48"/>
      <c r="AU524" s="48"/>
      <c r="AV524" s="48"/>
      <c r="AW524" s="48"/>
      <c r="AX524" s="48"/>
      <c r="AY524" s="43"/>
      <c r="AZ524" s="48"/>
      <c r="BA524" s="48"/>
      <c r="BB524" s="48"/>
      <c r="BC524" s="43"/>
      <c r="BD524" s="43"/>
      <c r="BE524" s="44"/>
      <c r="BF524" s="48"/>
      <c r="BG524" s="43"/>
    </row>
    <row r="525">
      <c r="A525" s="98"/>
      <c r="B525" s="99"/>
      <c r="C525" s="99"/>
      <c r="D525" s="21"/>
      <c r="E525" s="22"/>
      <c r="F525" s="100"/>
      <c r="G525" s="101"/>
      <c r="H525" s="100"/>
      <c r="I525" s="102"/>
      <c r="J525" s="26"/>
      <c r="K525" s="103"/>
      <c r="L525" s="47"/>
      <c r="M525" s="30"/>
      <c r="N525" s="104"/>
      <c r="O525" s="104"/>
      <c r="P525" s="26"/>
      <c r="Q525" s="26"/>
      <c r="R525" s="26"/>
      <c r="S525" s="30"/>
      <c r="T525" s="84"/>
      <c r="U525" s="84"/>
      <c r="V525" s="105"/>
      <c r="W525" s="106"/>
      <c r="X525" s="33"/>
      <c r="Y525" s="34"/>
      <c r="Z525" s="34"/>
      <c r="AA525" s="34"/>
      <c r="AB525" s="34"/>
      <c r="AC525" s="107"/>
      <c r="AD525" s="35"/>
      <c r="AE525" s="35"/>
      <c r="AF525" s="35"/>
      <c r="AG525" s="35"/>
      <c r="AH525" s="35"/>
      <c r="AI525" s="34"/>
      <c r="AJ525" s="35"/>
      <c r="AK525" s="35"/>
      <c r="AL525" s="34"/>
      <c r="AM525" s="34"/>
      <c r="AN525" s="46"/>
      <c r="AO525" s="48"/>
      <c r="AP525" s="48"/>
      <c r="AQ525" s="48"/>
      <c r="AR525" s="48"/>
      <c r="AS525" s="48"/>
      <c r="AT525" s="48"/>
      <c r="AU525" s="48"/>
      <c r="AV525" s="48"/>
      <c r="AW525" s="48"/>
      <c r="AX525" s="48"/>
      <c r="AY525" s="43"/>
      <c r="AZ525" s="48"/>
      <c r="BA525" s="48"/>
      <c r="BB525" s="48"/>
      <c r="BC525" s="43"/>
      <c r="BD525" s="43"/>
      <c r="BE525" s="44"/>
      <c r="BF525" s="48"/>
      <c r="BG525" s="43"/>
    </row>
    <row r="526">
      <c r="A526" s="98"/>
      <c r="B526" s="99"/>
      <c r="C526" s="99"/>
      <c r="D526" s="21"/>
      <c r="E526" s="22"/>
      <c r="F526" s="100"/>
      <c r="G526" s="101"/>
      <c r="H526" s="100"/>
      <c r="I526" s="102"/>
      <c r="J526" s="26"/>
      <c r="K526" s="103"/>
      <c r="L526" s="47"/>
      <c r="M526" s="30"/>
      <c r="N526" s="104"/>
      <c r="O526" s="104"/>
      <c r="P526" s="26"/>
      <c r="Q526" s="26"/>
      <c r="R526" s="26"/>
      <c r="S526" s="30"/>
      <c r="T526" s="84"/>
      <c r="U526" s="84"/>
      <c r="V526" s="105"/>
      <c r="W526" s="106"/>
      <c r="X526" s="33"/>
      <c r="Y526" s="34"/>
      <c r="Z526" s="34"/>
      <c r="AA526" s="34"/>
      <c r="AB526" s="34"/>
      <c r="AC526" s="107"/>
      <c r="AD526" s="35"/>
      <c r="AE526" s="35"/>
      <c r="AF526" s="35"/>
      <c r="AG526" s="35"/>
      <c r="AH526" s="35"/>
      <c r="AI526" s="34"/>
      <c r="AJ526" s="35"/>
      <c r="AK526" s="35"/>
      <c r="AL526" s="34"/>
      <c r="AM526" s="34"/>
      <c r="AN526" s="46"/>
      <c r="AO526" s="48"/>
      <c r="AP526" s="48"/>
      <c r="AQ526" s="48"/>
      <c r="AR526" s="48"/>
      <c r="AS526" s="48"/>
      <c r="AT526" s="48"/>
      <c r="AU526" s="48"/>
      <c r="AV526" s="48"/>
      <c r="AW526" s="48"/>
      <c r="AX526" s="48"/>
      <c r="AY526" s="43"/>
      <c r="AZ526" s="48"/>
      <c r="BA526" s="48"/>
      <c r="BB526" s="48"/>
      <c r="BC526" s="43"/>
      <c r="BD526" s="43"/>
      <c r="BE526" s="44"/>
      <c r="BF526" s="48"/>
      <c r="BG526" s="43"/>
    </row>
    <row r="527">
      <c r="A527" s="98"/>
      <c r="B527" s="99"/>
      <c r="C527" s="99"/>
      <c r="D527" s="21"/>
      <c r="E527" s="22"/>
      <c r="F527" s="100"/>
      <c r="G527" s="101"/>
      <c r="H527" s="100"/>
      <c r="I527" s="102"/>
      <c r="J527" s="26"/>
      <c r="K527" s="103"/>
      <c r="L527" s="47"/>
      <c r="M527" s="30"/>
      <c r="N527" s="104"/>
      <c r="O527" s="104"/>
      <c r="P527" s="26"/>
      <c r="Q527" s="26"/>
      <c r="R527" s="26"/>
      <c r="S527" s="30"/>
      <c r="T527" s="84"/>
      <c r="U527" s="84"/>
      <c r="V527" s="105"/>
      <c r="W527" s="106"/>
      <c r="X527" s="33"/>
      <c r="Y527" s="34"/>
      <c r="Z527" s="34"/>
      <c r="AA527" s="34"/>
      <c r="AB527" s="34"/>
      <c r="AC527" s="107"/>
      <c r="AD527" s="35"/>
      <c r="AE527" s="35"/>
      <c r="AF527" s="35"/>
      <c r="AG527" s="35"/>
      <c r="AH527" s="35"/>
      <c r="AI527" s="34"/>
      <c r="AJ527" s="35"/>
      <c r="AK527" s="35"/>
      <c r="AL527" s="34"/>
      <c r="AM527" s="34"/>
      <c r="AN527" s="46"/>
      <c r="AO527" s="48"/>
      <c r="AP527" s="48"/>
      <c r="AQ527" s="48"/>
      <c r="AR527" s="48"/>
      <c r="AS527" s="48"/>
      <c r="AT527" s="48"/>
      <c r="AU527" s="48"/>
      <c r="AV527" s="48"/>
      <c r="AW527" s="48"/>
      <c r="AX527" s="48"/>
      <c r="AY527" s="43"/>
      <c r="AZ527" s="48"/>
      <c r="BA527" s="48"/>
      <c r="BB527" s="48"/>
      <c r="BC527" s="43"/>
      <c r="BD527" s="43"/>
      <c r="BE527" s="44"/>
      <c r="BF527" s="48"/>
      <c r="BG527" s="43"/>
    </row>
    <row r="528">
      <c r="A528" s="98"/>
      <c r="B528" s="99"/>
      <c r="C528" s="99"/>
      <c r="D528" s="21"/>
      <c r="E528" s="22"/>
      <c r="F528" s="100"/>
      <c r="G528" s="101"/>
      <c r="H528" s="100"/>
      <c r="I528" s="102"/>
      <c r="J528" s="26"/>
      <c r="K528" s="103"/>
      <c r="L528" s="47"/>
      <c r="M528" s="30"/>
      <c r="N528" s="104"/>
      <c r="O528" s="104"/>
      <c r="P528" s="26"/>
      <c r="Q528" s="26"/>
      <c r="R528" s="26"/>
      <c r="S528" s="30"/>
      <c r="T528" s="84"/>
      <c r="U528" s="84"/>
      <c r="V528" s="105"/>
      <c r="W528" s="106"/>
      <c r="X528" s="33"/>
      <c r="Y528" s="34"/>
      <c r="Z528" s="34"/>
      <c r="AA528" s="34"/>
      <c r="AB528" s="34"/>
      <c r="AC528" s="107"/>
      <c r="AD528" s="35"/>
      <c r="AE528" s="35"/>
      <c r="AF528" s="35"/>
      <c r="AG528" s="35"/>
      <c r="AH528" s="35"/>
      <c r="AI528" s="34"/>
      <c r="AJ528" s="35"/>
      <c r="AK528" s="35"/>
      <c r="AL528" s="34"/>
      <c r="AM528" s="34"/>
      <c r="AN528" s="46"/>
      <c r="AO528" s="48"/>
      <c r="AP528" s="48"/>
      <c r="AQ528" s="48"/>
      <c r="AR528" s="48"/>
      <c r="AS528" s="48"/>
      <c r="AT528" s="48"/>
      <c r="AU528" s="48"/>
      <c r="AV528" s="48"/>
      <c r="AW528" s="48"/>
      <c r="AX528" s="48"/>
      <c r="AY528" s="43"/>
      <c r="AZ528" s="48"/>
      <c r="BA528" s="48"/>
      <c r="BB528" s="48"/>
      <c r="BC528" s="43"/>
      <c r="BD528" s="43"/>
      <c r="BE528" s="44"/>
      <c r="BF528" s="48"/>
      <c r="BG528" s="43"/>
    </row>
    <row r="529">
      <c r="A529" s="98"/>
      <c r="B529" s="99"/>
      <c r="C529" s="99"/>
      <c r="D529" s="21"/>
      <c r="E529" s="22"/>
      <c r="F529" s="100"/>
      <c r="G529" s="101"/>
      <c r="H529" s="100"/>
      <c r="I529" s="102"/>
      <c r="J529" s="26"/>
      <c r="K529" s="103"/>
      <c r="L529" s="47"/>
      <c r="M529" s="30"/>
      <c r="N529" s="104"/>
      <c r="O529" s="104"/>
      <c r="P529" s="26"/>
      <c r="Q529" s="26"/>
      <c r="R529" s="26"/>
      <c r="S529" s="30"/>
      <c r="T529" s="84"/>
      <c r="U529" s="84"/>
      <c r="V529" s="105"/>
      <c r="W529" s="106"/>
      <c r="X529" s="33"/>
      <c r="Y529" s="34"/>
      <c r="Z529" s="34"/>
      <c r="AA529" s="34"/>
      <c r="AB529" s="34"/>
      <c r="AC529" s="107"/>
      <c r="AD529" s="35"/>
      <c r="AE529" s="35"/>
      <c r="AF529" s="35"/>
      <c r="AG529" s="35"/>
      <c r="AH529" s="35"/>
      <c r="AI529" s="34"/>
      <c r="AJ529" s="35"/>
      <c r="AK529" s="35"/>
      <c r="AL529" s="34"/>
      <c r="AM529" s="34"/>
      <c r="AN529" s="46"/>
      <c r="AO529" s="48"/>
      <c r="AP529" s="48"/>
      <c r="AQ529" s="48"/>
      <c r="AR529" s="48"/>
      <c r="AS529" s="48"/>
      <c r="AT529" s="48"/>
      <c r="AU529" s="48"/>
      <c r="AV529" s="48"/>
      <c r="AW529" s="48"/>
      <c r="AX529" s="48"/>
      <c r="AY529" s="43"/>
      <c r="AZ529" s="48"/>
      <c r="BA529" s="48"/>
      <c r="BB529" s="48"/>
      <c r="BC529" s="43"/>
      <c r="BD529" s="43"/>
      <c r="BE529" s="44"/>
      <c r="BF529" s="48"/>
      <c r="BG529" s="43"/>
    </row>
    <row r="530">
      <c r="A530" s="98"/>
      <c r="B530" s="99"/>
      <c r="C530" s="99"/>
      <c r="D530" s="21"/>
      <c r="E530" s="22"/>
      <c r="F530" s="100"/>
      <c r="G530" s="101"/>
      <c r="H530" s="100"/>
      <c r="I530" s="102"/>
      <c r="J530" s="26"/>
      <c r="K530" s="103"/>
      <c r="L530" s="47"/>
      <c r="M530" s="30"/>
      <c r="N530" s="104"/>
      <c r="O530" s="104"/>
      <c r="P530" s="26"/>
      <c r="Q530" s="26"/>
      <c r="R530" s="26"/>
      <c r="S530" s="30"/>
      <c r="T530" s="84"/>
      <c r="U530" s="84"/>
      <c r="V530" s="105"/>
      <c r="W530" s="106"/>
      <c r="X530" s="33"/>
      <c r="Y530" s="34"/>
      <c r="Z530" s="34"/>
      <c r="AA530" s="34"/>
      <c r="AB530" s="34"/>
      <c r="AC530" s="107"/>
      <c r="AD530" s="35"/>
      <c r="AE530" s="35"/>
      <c r="AF530" s="35"/>
      <c r="AG530" s="35"/>
      <c r="AH530" s="35"/>
      <c r="AI530" s="34"/>
      <c r="AJ530" s="35"/>
      <c r="AK530" s="35"/>
      <c r="AL530" s="34"/>
      <c r="AM530" s="34"/>
      <c r="AN530" s="46"/>
      <c r="AO530" s="48"/>
      <c r="AP530" s="48"/>
      <c r="AQ530" s="48"/>
      <c r="AR530" s="48"/>
      <c r="AS530" s="48"/>
      <c r="AT530" s="48"/>
      <c r="AU530" s="48"/>
      <c r="AV530" s="48"/>
      <c r="AW530" s="48"/>
      <c r="AX530" s="48"/>
      <c r="AY530" s="43"/>
      <c r="AZ530" s="48"/>
      <c r="BA530" s="48"/>
      <c r="BB530" s="48"/>
      <c r="BC530" s="43"/>
      <c r="BD530" s="43"/>
      <c r="BE530" s="44"/>
      <c r="BF530" s="48"/>
      <c r="BG530" s="43"/>
    </row>
    <row r="531">
      <c r="A531" s="98"/>
      <c r="B531" s="99"/>
      <c r="C531" s="99"/>
      <c r="D531" s="21"/>
      <c r="E531" s="22"/>
      <c r="F531" s="100"/>
      <c r="G531" s="101"/>
      <c r="H531" s="100"/>
      <c r="I531" s="102"/>
      <c r="J531" s="26"/>
      <c r="K531" s="103"/>
      <c r="L531" s="47"/>
      <c r="M531" s="30"/>
      <c r="N531" s="104"/>
      <c r="O531" s="104"/>
      <c r="P531" s="26"/>
      <c r="Q531" s="26"/>
      <c r="R531" s="26"/>
      <c r="S531" s="30"/>
      <c r="T531" s="84"/>
      <c r="U531" s="84"/>
      <c r="V531" s="105"/>
      <c r="W531" s="106"/>
      <c r="X531" s="33"/>
      <c r="Y531" s="34"/>
      <c r="Z531" s="34"/>
      <c r="AA531" s="34"/>
      <c r="AB531" s="34"/>
      <c r="AC531" s="107"/>
      <c r="AD531" s="35"/>
      <c r="AE531" s="35"/>
      <c r="AF531" s="35"/>
      <c r="AG531" s="35"/>
      <c r="AH531" s="35"/>
      <c r="AI531" s="34"/>
      <c r="AJ531" s="35"/>
      <c r="AK531" s="35"/>
      <c r="AL531" s="34"/>
      <c r="AM531" s="34"/>
      <c r="AN531" s="46"/>
      <c r="AO531" s="48"/>
      <c r="AP531" s="48"/>
      <c r="AQ531" s="48"/>
      <c r="AR531" s="48"/>
      <c r="AS531" s="48"/>
      <c r="AT531" s="48"/>
      <c r="AU531" s="48"/>
      <c r="AV531" s="48"/>
      <c r="AW531" s="48"/>
      <c r="AX531" s="48"/>
      <c r="AY531" s="43"/>
      <c r="AZ531" s="48"/>
      <c r="BA531" s="48"/>
      <c r="BB531" s="48"/>
      <c r="BC531" s="43"/>
      <c r="BD531" s="43"/>
      <c r="BE531" s="44"/>
      <c r="BF531" s="48"/>
      <c r="BG531" s="43"/>
    </row>
    <row r="532">
      <c r="A532" s="98"/>
      <c r="B532" s="99"/>
      <c r="C532" s="99"/>
      <c r="D532" s="21"/>
      <c r="E532" s="22"/>
      <c r="F532" s="100"/>
      <c r="G532" s="101"/>
      <c r="H532" s="100"/>
      <c r="I532" s="102"/>
      <c r="J532" s="26"/>
      <c r="K532" s="103"/>
      <c r="L532" s="47"/>
      <c r="M532" s="30"/>
      <c r="N532" s="104"/>
      <c r="O532" s="104"/>
      <c r="P532" s="26"/>
      <c r="Q532" s="26"/>
      <c r="R532" s="26"/>
      <c r="S532" s="30"/>
      <c r="T532" s="84"/>
      <c r="U532" s="84"/>
      <c r="V532" s="105"/>
      <c r="W532" s="106"/>
      <c r="X532" s="33"/>
      <c r="Y532" s="34"/>
      <c r="Z532" s="34"/>
      <c r="AA532" s="34"/>
      <c r="AB532" s="34"/>
      <c r="AC532" s="107"/>
      <c r="AD532" s="35"/>
      <c r="AE532" s="35"/>
      <c r="AF532" s="35"/>
      <c r="AG532" s="35"/>
      <c r="AH532" s="35"/>
      <c r="AI532" s="34"/>
      <c r="AJ532" s="35"/>
      <c r="AK532" s="35"/>
      <c r="AL532" s="34"/>
      <c r="AM532" s="34"/>
      <c r="AN532" s="46"/>
      <c r="AO532" s="48"/>
      <c r="AP532" s="48"/>
      <c r="AQ532" s="48"/>
      <c r="AR532" s="48"/>
      <c r="AS532" s="48"/>
      <c r="AT532" s="48"/>
      <c r="AU532" s="48"/>
      <c r="AV532" s="48"/>
      <c r="AW532" s="48"/>
      <c r="AX532" s="48"/>
      <c r="AY532" s="43"/>
      <c r="AZ532" s="48"/>
      <c r="BA532" s="48"/>
      <c r="BB532" s="48"/>
      <c r="BC532" s="43"/>
      <c r="BD532" s="43"/>
      <c r="BE532" s="44"/>
      <c r="BF532" s="48"/>
      <c r="BG532" s="43"/>
    </row>
    <row r="533">
      <c r="A533" s="98"/>
      <c r="B533" s="99"/>
      <c r="C533" s="99"/>
      <c r="D533" s="21"/>
      <c r="E533" s="22"/>
      <c r="F533" s="100"/>
      <c r="G533" s="101"/>
      <c r="H533" s="100"/>
      <c r="I533" s="102"/>
      <c r="J533" s="26"/>
      <c r="K533" s="103"/>
      <c r="L533" s="47"/>
      <c r="M533" s="30"/>
      <c r="N533" s="104"/>
      <c r="O533" s="104"/>
      <c r="P533" s="26"/>
      <c r="Q533" s="26"/>
      <c r="R533" s="26"/>
      <c r="S533" s="30"/>
      <c r="T533" s="84"/>
      <c r="U533" s="84"/>
      <c r="V533" s="105"/>
      <c r="W533" s="106"/>
      <c r="X533" s="33"/>
      <c r="Y533" s="34"/>
      <c r="Z533" s="34"/>
      <c r="AA533" s="34"/>
      <c r="AB533" s="34"/>
      <c r="AC533" s="107"/>
      <c r="AD533" s="35"/>
      <c r="AE533" s="35"/>
      <c r="AF533" s="35"/>
      <c r="AG533" s="35"/>
      <c r="AH533" s="35"/>
      <c r="AI533" s="34"/>
      <c r="AJ533" s="35"/>
      <c r="AK533" s="35"/>
      <c r="AL533" s="34"/>
      <c r="AM533" s="34"/>
      <c r="AN533" s="46"/>
      <c r="AO533" s="48"/>
      <c r="AP533" s="48"/>
      <c r="AQ533" s="48"/>
      <c r="AR533" s="48"/>
      <c r="AS533" s="48"/>
      <c r="AT533" s="48"/>
      <c r="AU533" s="48"/>
      <c r="AV533" s="48"/>
      <c r="AW533" s="48"/>
      <c r="AX533" s="48"/>
      <c r="AY533" s="43"/>
      <c r="AZ533" s="48"/>
      <c r="BA533" s="48"/>
      <c r="BB533" s="48"/>
      <c r="BC533" s="43"/>
      <c r="BD533" s="43"/>
      <c r="BE533" s="44"/>
      <c r="BF533" s="48"/>
      <c r="BG533" s="43"/>
    </row>
    <row r="534">
      <c r="A534" s="98"/>
      <c r="B534" s="99"/>
      <c r="C534" s="99"/>
      <c r="D534" s="21"/>
      <c r="E534" s="22"/>
      <c r="F534" s="100"/>
      <c r="G534" s="101"/>
      <c r="H534" s="100"/>
      <c r="I534" s="102"/>
      <c r="J534" s="26"/>
      <c r="K534" s="103"/>
      <c r="L534" s="47"/>
      <c r="M534" s="30"/>
      <c r="N534" s="104"/>
      <c r="O534" s="104"/>
      <c r="P534" s="26"/>
      <c r="Q534" s="26"/>
      <c r="R534" s="26"/>
      <c r="S534" s="30"/>
      <c r="T534" s="84"/>
      <c r="U534" s="84"/>
      <c r="V534" s="105"/>
      <c r="W534" s="106"/>
      <c r="X534" s="33"/>
      <c r="Y534" s="34"/>
      <c r="Z534" s="34"/>
      <c r="AA534" s="34"/>
      <c r="AB534" s="34"/>
      <c r="AC534" s="107"/>
      <c r="AD534" s="35"/>
      <c r="AE534" s="35"/>
      <c r="AF534" s="35"/>
      <c r="AG534" s="35"/>
      <c r="AH534" s="35"/>
      <c r="AI534" s="34"/>
      <c r="AJ534" s="35"/>
      <c r="AK534" s="35"/>
      <c r="AL534" s="34"/>
      <c r="AM534" s="34"/>
      <c r="AN534" s="46"/>
      <c r="AO534" s="48"/>
      <c r="AP534" s="48"/>
      <c r="AQ534" s="48"/>
      <c r="AR534" s="48"/>
      <c r="AS534" s="48"/>
      <c r="AT534" s="48"/>
      <c r="AU534" s="48"/>
      <c r="AV534" s="48"/>
      <c r="AW534" s="48"/>
      <c r="AX534" s="48"/>
      <c r="AY534" s="43"/>
      <c r="AZ534" s="48"/>
      <c r="BA534" s="48"/>
      <c r="BB534" s="48"/>
      <c r="BC534" s="43"/>
      <c r="BD534" s="43"/>
      <c r="BE534" s="44"/>
      <c r="BF534" s="48"/>
      <c r="BG534" s="43"/>
    </row>
    <row r="535">
      <c r="A535" s="98"/>
      <c r="B535" s="99"/>
      <c r="C535" s="99"/>
      <c r="D535" s="21"/>
      <c r="E535" s="22"/>
      <c r="F535" s="100"/>
      <c r="G535" s="101"/>
      <c r="H535" s="100"/>
      <c r="I535" s="102"/>
      <c r="J535" s="26"/>
      <c r="K535" s="103"/>
      <c r="L535" s="47"/>
      <c r="M535" s="30"/>
      <c r="N535" s="104"/>
      <c r="O535" s="104"/>
      <c r="P535" s="26"/>
      <c r="Q535" s="26"/>
      <c r="R535" s="26"/>
      <c r="S535" s="30"/>
      <c r="T535" s="84"/>
      <c r="U535" s="84"/>
      <c r="V535" s="105"/>
      <c r="W535" s="106"/>
      <c r="X535" s="33"/>
      <c r="Y535" s="34"/>
      <c r="Z535" s="34"/>
      <c r="AA535" s="34"/>
      <c r="AB535" s="34"/>
      <c r="AC535" s="107"/>
      <c r="AD535" s="35"/>
      <c r="AE535" s="35"/>
      <c r="AF535" s="35"/>
      <c r="AG535" s="35"/>
      <c r="AH535" s="35"/>
      <c r="AI535" s="34"/>
      <c r="AJ535" s="35"/>
      <c r="AK535" s="35"/>
      <c r="AL535" s="34"/>
      <c r="AM535" s="34"/>
      <c r="AN535" s="46"/>
      <c r="AO535" s="48"/>
      <c r="AP535" s="48"/>
      <c r="AQ535" s="48"/>
      <c r="AR535" s="48"/>
      <c r="AS535" s="48"/>
      <c r="AT535" s="48"/>
      <c r="AU535" s="48"/>
      <c r="AV535" s="48"/>
      <c r="AW535" s="48"/>
      <c r="AX535" s="48"/>
      <c r="AY535" s="43"/>
      <c r="AZ535" s="48"/>
      <c r="BA535" s="48"/>
      <c r="BB535" s="48"/>
      <c r="BC535" s="43"/>
      <c r="BD535" s="43"/>
      <c r="BE535" s="44"/>
      <c r="BF535" s="48"/>
      <c r="BG535" s="43"/>
    </row>
    <row r="536">
      <c r="A536" s="98"/>
      <c r="B536" s="99"/>
      <c r="C536" s="99"/>
      <c r="D536" s="21"/>
      <c r="E536" s="22"/>
      <c r="F536" s="100"/>
      <c r="G536" s="101"/>
      <c r="H536" s="100"/>
      <c r="I536" s="102"/>
      <c r="J536" s="26"/>
      <c r="K536" s="103"/>
      <c r="L536" s="47"/>
      <c r="M536" s="30"/>
      <c r="N536" s="104"/>
      <c r="O536" s="104"/>
      <c r="P536" s="26"/>
      <c r="Q536" s="26"/>
      <c r="R536" s="26"/>
      <c r="S536" s="30"/>
      <c r="T536" s="84"/>
      <c r="U536" s="84"/>
      <c r="V536" s="105"/>
      <c r="W536" s="106"/>
      <c r="X536" s="33"/>
      <c r="Y536" s="34"/>
      <c r="Z536" s="34"/>
      <c r="AA536" s="34"/>
      <c r="AB536" s="34"/>
      <c r="AC536" s="107"/>
      <c r="AD536" s="35"/>
      <c r="AE536" s="35"/>
      <c r="AF536" s="35"/>
      <c r="AG536" s="35"/>
      <c r="AH536" s="35"/>
      <c r="AI536" s="34"/>
      <c r="AJ536" s="35"/>
      <c r="AK536" s="35"/>
      <c r="AL536" s="34"/>
      <c r="AM536" s="34"/>
      <c r="AN536" s="46"/>
      <c r="AO536" s="48"/>
      <c r="AP536" s="48"/>
      <c r="AQ536" s="48"/>
      <c r="AR536" s="48"/>
      <c r="AS536" s="48"/>
      <c r="AT536" s="48"/>
      <c r="AU536" s="48"/>
      <c r="AV536" s="48"/>
      <c r="AW536" s="48"/>
      <c r="AX536" s="48"/>
      <c r="AY536" s="43"/>
      <c r="AZ536" s="48"/>
      <c r="BA536" s="48"/>
      <c r="BB536" s="48"/>
      <c r="BC536" s="43"/>
      <c r="BD536" s="43"/>
      <c r="BE536" s="44"/>
      <c r="BF536" s="48"/>
      <c r="BG536" s="43"/>
    </row>
    <row r="537">
      <c r="A537" s="98"/>
      <c r="B537" s="99"/>
      <c r="C537" s="99"/>
      <c r="D537" s="21"/>
      <c r="E537" s="22"/>
      <c r="F537" s="100"/>
      <c r="G537" s="101"/>
      <c r="H537" s="100"/>
      <c r="I537" s="102"/>
      <c r="J537" s="26"/>
      <c r="K537" s="103"/>
      <c r="L537" s="47"/>
      <c r="M537" s="30"/>
      <c r="N537" s="104"/>
      <c r="O537" s="104"/>
      <c r="P537" s="26"/>
      <c r="Q537" s="26"/>
      <c r="R537" s="26"/>
      <c r="S537" s="30"/>
      <c r="T537" s="84"/>
      <c r="U537" s="84"/>
      <c r="V537" s="105"/>
      <c r="W537" s="106"/>
      <c r="X537" s="33"/>
      <c r="Y537" s="34"/>
      <c r="Z537" s="34"/>
      <c r="AA537" s="34"/>
      <c r="AB537" s="34"/>
      <c r="AC537" s="107"/>
      <c r="AD537" s="35"/>
      <c r="AE537" s="35"/>
      <c r="AF537" s="35"/>
      <c r="AG537" s="35"/>
      <c r="AH537" s="35"/>
      <c r="AI537" s="34"/>
      <c r="AJ537" s="35"/>
      <c r="AK537" s="35"/>
      <c r="AL537" s="34"/>
      <c r="AM537" s="34"/>
      <c r="AN537" s="46"/>
      <c r="AO537" s="48"/>
      <c r="AP537" s="48"/>
      <c r="AQ537" s="48"/>
      <c r="AR537" s="48"/>
      <c r="AS537" s="48"/>
      <c r="AT537" s="48"/>
      <c r="AU537" s="48"/>
      <c r="AV537" s="48"/>
      <c r="AW537" s="48"/>
      <c r="AX537" s="48"/>
      <c r="AY537" s="43"/>
      <c r="AZ537" s="48"/>
      <c r="BA537" s="48"/>
      <c r="BB537" s="48"/>
      <c r="BC537" s="43"/>
      <c r="BD537" s="43"/>
      <c r="BE537" s="44"/>
      <c r="BF537" s="48"/>
      <c r="BG537" s="43"/>
    </row>
    <row r="538">
      <c r="A538" s="98"/>
      <c r="B538" s="99"/>
      <c r="C538" s="99"/>
      <c r="D538" s="21"/>
      <c r="E538" s="22"/>
      <c r="F538" s="100"/>
      <c r="G538" s="101"/>
      <c r="H538" s="100"/>
      <c r="I538" s="102"/>
      <c r="J538" s="26"/>
      <c r="K538" s="103"/>
      <c r="L538" s="47"/>
      <c r="M538" s="30"/>
      <c r="N538" s="104"/>
      <c r="O538" s="104"/>
      <c r="P538" s="26"/>
      <c r="Q538" s="26"/>
      <c r="R538" s="26"/>
      <c r="S538" s="30"/>
      <c r="T538" s="84"/>
      <c r="U538" s="84"/>
      <c r="V538" s="105"/>
      <c r="W538" s="106"/>
      <c r="X538" s="33"/>
      <c r="Y538" s="34"/>
      <c r="Z538" s="34"/>
      <c r="AA538" s="34"/>
      <c r="AB538" s="34"/>
      <c r="AC538" s="107"/>
      <c r="AD538" s="35"/>
      <c r="AE538" s="35"/>
      <c r="AF538" s="35"/>
      <c r="AG538" s="35"/>
      <c r="AH538" s="35"/>
      <c r="AI538" s="34"/>
      <c r="AJ538" s="35"/>
      <c r="AK538" s="35"/>
      <c r="AL538" s="34"/>
      <c r="AM538" s="34"/>
      <c r="AN538" s="46"/>
      <c r="AO538" s="48"/>
      <c r="AP538" s="48"/>
      <c r="AQ538" s="48"/>
      <c r="AR538" s="48"/>
      <c r="AS538" s="48"/>
      <c r="AT538" s="48"/>
      <c r="AU538" s="48"/>
      <c r="AV538" s="48"/>
      <c r="AW538" s="48"/>
      <c r="AX538" s="48"/>
      <c r="AY538" s="43"/>
      <c r="AZ538" s="48"/>
      <c r="BA538" s="48"/>
      <c r="BB538" s="48"/>
      <c r="BC538" s="43"/>
      <c r="BD538" s="43"/>
      <c r="BE538" s="44"/>
      <c r="BF538" s="48"/>
      <c r="BG538" s="43"/>
    </row>
    <row r="539">
      <c r="A539" s="98"/>
      <c r="B539" s="99"/>
      <c r="C539" s="99"/>
      <c r="D539" s="21"/>
      <c r="E539" s="22"/>
      <c r="F539" s="100"/>
      <c r="G539" s="101"/>
      <c r="H539" s="100"/>
      <c r="I539" s="102"/>
      <c r="J539" s="26"/>
      <c r="K539" s="103"/>
      <c r="L539" s="47"/>
      <c r="M539" s="30"/>
      <c r="N539" s="104"/>
      <c r="O539" s="104"/>
      <c r="P539" s="26"/>
      <c r="Q539" s="26"/>
      <c r="R539" s="26"/>
      <c r="S539" s="30"/>
      <c r="T539" s="84"/>
      <c r="U539" s="84"/>
      <c r="V539" s="105"/>
      <c r="W539" s="106"/>
      <c r="X539" s="33"/>
      <c r="Y539" s="34"/>
      <c r="Z539" s="34"/>
      <c r="AA539" s="34"/>
      <c r="AB539" s="34"/>
      <c r="AC539" s="107"/>
      <c r="AD539" s="35"/>
      <c r="AE539" s="35"/>
      <c r="AF539" s="35"/>
      <c r="AG539" s="35"/>
      <c r="AH539" s="35"/>
      <c r="AI539" s="34"/>
      <c r="AJ539" s="35"/>
      <c r="AK539" s="35"/>
      <c r="AL539" s="34"/>
      <c r="AM539" s="34"/>
      <c r="AN539" s="46"/>
      <c r="AO539" s="48"/>
      <c r="AP539" s="48"/>
      <c r="AQ539" s="48"/>
      <c r="AR539" s="48"/>
      <c r="AS539" s="48"/>
      <c r="AT539" s="48"/>
      <c r="AU539" s="48"/>
      <c r="AV539" s="48"/>
      <c r="AW539" s="48"/>
      <c r="AX539" s="48"/>
      <c r="AY539" s="43"/>
      <c r="AZ539" s="48"/>
      <c r="BA539" s="48"/>
      <c r="BB539" s="48"/>
      <c r="BC539" s="43"/>
      <c r="BD539" s="43"/>
      <c r="BE539" s="44"/>
      <c r="BF539" s="48"/>
      <c r="BG539" s="43"/>
    </row>
    <row r="540">
      <c r="A540" s="98"/>
      <c r="B540" s="99"/>
      <c r="C540" s="99"/>
      <c r="D540" s="21"/>
      <c r="E540" s="22"/>
      <c r="F540" s="100"/>
      <c r="G540" s="101"/>
      <c r="H540" s="100"/>
      <c r="I540" s="102"/>
      <c r="J540" s="26"/>
      <c r="K540" s="103"/>
      <c r="L540" s="47"/>
      <c r="M540" s="30"/>
      <c r="N540" s="104"/>
      <c r="O540" s="104"/>
      <c r="P540" s="26"/>
      <c r="Q540" s="26"/>
      <c r="R540" s="26"/>
      <c r="S540" s="30"/>
      <c r="T540" s="84"/>
      <c r="U540" s="84"/>
      <c r="V540" s="105"/>
      <c r="W540" s="106"/>
      <c r="X540" s="33"/>
      <c r="Y540" s="34"/>
      <c r="Z540" s="34"/>
      <c r="AA540" s="34"/>
      <c r="AB540" s="34"/>
      <c r="AC540" s="107"/>
      <c r="AD540" s="35"/>
      <c r="AE540" s="35"/>
      <c r="AF540" s="35"/>
      <c r="AG540" s="35"/>
      <c r="AH540" s="35"/>
      <c r="AI540" s="34"/>
      <c r="AJ540" s="35"/>
      <c r="AK540" s="35"/>
      <c r="AL540" s="34"/>
      <c r="AM540" s="34"/>
      <c r="AN540" s="46"/>
      <c r="AO540" s="48"/>
      <c r="AP540" s="48"/>
      <c r="AQ540" s="48"/>
      <c r="AR540" s="48"/>
      <c r="AS540" s="48"/>
      <c r="AT540" s="48"/>
      <c r="AU540" s="48"/>
      <c r="AV540" s="48"/>
      <c r="AW540" s="48"/>
      <c r="AX540" s="48"/>
      <c r="AY540" s="43"/>
      <c r="AZ540" s="48"/>
      <c r="BA540" s="48"/>
      <c r="BB540" s="48"/>
      <c r="BC540" s="43"/>
      <c r="BD540" s="43"/>
      <c r="BE540" s="44"/>
      <c r="BF540" s="48"/>
      <c r="BG540" s="43"/>
    </row>
    <row r="541">
      <c r="A541" s="98"/>
      <c r="B541" s="99"/>
      <c r="C541" s="99"/>
      <c r="D541" s="21"/>
      <c r="E541" s="22"/>
      <c r="F541" s="100"/>
      <c r="G541" s="101"/>
      <c r="H541" s="100"/>
      <c r="I541" s="102"/>
      <c r="J541" s="26"/>
      <c r="K541" s="103"/>
      <c r="L541" s="47"/>
      <c r="M541" s="30"/>
      <c r="N541" s="104"/>
      <c r="O541" s="104"/>
      <c r="P541" s="26"/>
      <c r="Q541" s="26"/>
      <c r="R541" s="26"/>
      <c r="S541" s="30"/>
      <c r="T541" s="84"/>
      <c r="U541" s="84"/>
      <c r="V541" s="105"/>
      <c r="W541" s="106"/>
      <c r="X541" s="33"/>
      <c r="Y541" s="34"/>
      <c r="Z541" s="34"/>
      <c r="AA541" s="34"/>
      <c r="AB541" s="34"/>
      <c r="AC541" s="107"/>
      <c r="AD541" s="35"/>
      <c r="AE541" s="35"/>
      <c r="AF541" s="35"/>
      <c r="AG541" s="35"/>
      <c r="AH541" s="35"/>
      <c r="AI541" s="34"/>
      <c r="AJ541" s="35"/>
      <c r="AK541" s="35"/>
      <c r="AL541" s="34"/>
      <c r="AM541" s="34"/>
      <c r="AN541" s="46"/>
      <c r="AO541" s="48"/>
      <c r="AP541" s="48"/>
      <c r="AQ541" s="48"/>
      <c r="AR541" s="48"/>
      <c r="AS541" s="48"/>
      <c r="AT541" s="48"/>
      <c r="AU541" s="48"/>
      <c r="AV541" s="48"/>
      <c r="AW541" s="48"/>
      <c r="AX541" s="48"/>
      <c r="AY541" s="43"/>
      <c r="AZ541" s="48"/>
      <c r="BA541" s="48"/>
      <c r="BB541" s="48"/>
      <c r="BC541" s="43"/>
      <c r="BD541" s="43"/>
      <c r="BE541" s="44"/>
      <c r="BF541" s="48"/>
      <c r="BG541" s="43"/>
    </row>
    <row r="542">
      <c r="A542" s="98"/>
      <c r="B542" s="99"/>
      <c r="C542" s="99"/>
      <c r="D542" s="21"/>
      <c r="E542" s="22"/>
      <c r="F542" s="100"/>
      <c r="G542" s="101"/>
      <c r="H542" s="100"/>
      <c r="I542" s="102"/>
      <c r="J542" s="26"/>
      <c r="K542" s="103"/>
      <c r="L542" s="47"/>
      <c r="M542" s="30"/>
      <c r="N542" s="104"/>
      <c r="O542" s="104"/>
      <c r="P542" s="26"/>
      <c r="Q542" s="26"/>
      <c r="R542" s="26"/>
      <c r="S542" s="30"/>
      <c r="T542" s="84"/>
      <c r="U542" s="84"/>
      <c r="V542" s="105"/>
      <c r="W542" s="106"/>
      <c r="X542" s="33"/>
      <c r="Y542" s="34"/>
      <c r="Z542" s="34"/>
      <c r="AA542" s="34"/>
      <c r="AB542" s="34"/>
      <c r="AC542" s="107"/>
      <c r="AD542" s="35"/>
      <c r="AE542" s="35"/>
      <c r="AF542" s="35"/>
      <c r="AG542" s="35"/>
      <c r="AH542" s="35"/>
      <c r="AI542" s="34"/>
      <c r="AJ542" s="35"/>
      <c r="AK542" s="35"/>
      <c r="AL542" s="34"/>
      <c r="AM542" s="34"/>
      <c r="AN542" s="46"/>
      <c r="AO542" s="48"/>
      <c r="AP542" s="48"/>
      <c r="AQ542" s="48"/>
      <c r="AR542" s="48"/>
      <c r="AS542" s="48"/>
      <c r="AT542" s="48"/>
      <c r="AU542" s="48"/>
      <c r="AV542" s="48"/>
      <c r="AW542" s="48"/>
      <c r="AX542" s="48"/>
      <c r="AY542" s="43"/>
      <c r="AZ542" s="48"/>
      <c r="BA542" s="48"/>
      <c r="BB542" s="48"/>
      <c r="BC542" s="43"/>
      <c r="BD542" s="43"/>
      <c r="BE542" s="44"/>
      <c r="BF542" s="48"/>
      <c r="BG542" s="43"/>
    </row>
    <row r="543">
      <c r="A543" s="98"/>
      <c r="B543" s="99"/>
      <c r="C543" s="99"/>
      <c r="D543" s="21"/>
      <c r="E543" s="22"/>
      <c r="F543" s="100"/>
      <c r="G543" s="101"/>
      <c r="H543" s="100"/>
      <c r="I543" s="102"/>
      <c r="J543" s="26"/>
      <c r="K543" s="103"/>
      <c r="L543" s="47"/>
      <c r="M543" s="30"/>
      <c r="N543" s="104"/>
      <c r="O543" s="104"/>
      <c r="P543" s="26"/>
      <c r="Q543" s="26"/>
      <c r="R543" s="26"/>
      <c r="S543" s="30"/>
      <c r="T543" s="84"/>
      <c r="U543" s="84"/>
      <c r="V543" s="105"/>
      <c r="W543" s="106"/>
      <c r="X543" s="33"/>
      <c r="Y543" s="34"/>
      <c r="Z543" s="34"/>
      <c r="AA543" s="34"/>
      <c r="AB543" s="34"/>
      <c r="AC543" s="107"/>
      <c r="AD543" s="35"/>
      <c r="AE543" s="35"/>
      <c r="AF543" s="35"/>
      <c r="AG543" s="35"/>
      <c r="AH543" s="35"/>
      <c r="AI543" s="34"/>
      <c r="AJ543" s="35"/>
      <c r="AK543" s="35"/>
      <c r="AL543" s="34"/>
      <c r="AM543" s="34"/>
      <c r="AN543" s="46"/>
      <c r="AO543" s="48"/>
      <c r="AP543" s="48"/>
      <c r="AQ543" s="48"/>
      <c r="AR543" s="48"/>
      <c r="AS543" s="48"/>
      <c r="AT543" s="48"/>
      <c r="AU543" s="48"/>
      <c r="AV543" s="48"/>
      <c r="AW543" s="48"/>
      <c r="AX543" s="48"/>
      <c r="AY543" s="43"/>
      <c r="AZ543" s="48"/>
      <c r="BA543" s="48"/>
      <c r="BB543" s="48"/>
      <c r="BC543" s="43"/>
      <c r="BD543" s="43"/>
      <c r="BE543" s="44"/>
      <c r="BF543" s="48"/>
      <c r="BG543" s="43"/>
    </row>
    <row r="544">
      <c r="A544" s="98"/>
      <c r="B544" s="99"/>
      <c r="C544" s="99"/>
      <c r="D544" s="21"/>
      <c r="E544" s="22"/>
      <c r="F544" s="100"/>
      <c r="G544" s="101"/>
      <c r="H544" s="100"/>
      <c r="I544" s="102"/>
      <c r="J544" s="26"/>
      <c r="K544" s="103"/>
      <c r="L544" s="47"/>
      <c r="M544" s="30"/>
      <c r="N544" s="104"/>
      <c r="O544" s="104"/>
      <c r="P544" s="26"/>
      <c r="Q544" s="26"/>
      <c r="R544" s="26"/>
      <c r="S544" s="30"/>
      <c r="T544" s="84"/>
      <c r="U544" s="84"/>
      <c r="V544" s="105"/>
      <c r="W544" s="106"/>
      <c r="X544" s="33"/>
      <c r="Y544" s="34"/>
      <c r="Z544" s="34"/>
      <c r="AA544" s="34"/>
      <c r="AB544" s="34"/>
      <c r="AC544" s="107"/>
      <c r="AD544" s="35"/>
      <c r="AE544" s="35"/>
      <c r="AF544" s="35"/>
      <c r="AG544" s="35"/>
      <c r="AH544" s="35"/>
      <c r="AI544" s="34"/>
      <c r="AJ544" s="35"/>
      <c r="AK544" s="35"/>
      <c r="AL544" s="34"/>
      <c r="AM544" s="34"/>
      <c r="AN544" s="46"/>
      <c r="AO544" s="48"/>
      <c r="AP544" s="48"/>
      <c r="AQ544" s="48"/>
      <c r="AR544" s="48"/>
      <c r="AS544" s="48"/>
      <c r="AT544" s="48"/>
      <c r="AU544" s="48"/>
      <c r="AV544" s="48"/>
      <c r="AW544" s="48"/>
      <c r="AX544" s="48"/>
      <c r="AY544" s="43"/>
      <c r="AZ544" s="48"/>
      <c r="BA544" s="48"/>
      <c r="BB544" s="48"/>
      <c r="BC544" s="43"/>
      <c r="BD544" s="43"/>
      <c r="BE544" s="44"/>
      <c r="BF544" s="48"/>
      <c r="BG544" s="43"/>
    </row>
    <row r="545">
      <c r="A545" s="98"/>
      <c r="B545" s="99"/>
      <c r="C545" s="99"/>
      <c r="D545" s="21"/>
      <c r="E545" s="22"/>
      <c r="F545" s="100"/>
      <c r="G545" s="101"/>
      <c r="H545" s="100"/>
      <c r="I545" s="102"/>
      <c r="J545" s="26"/>
      <c r="K545" s="103"/>
      <c r="L545" s="47"/>
      <c r="M545" s="30"/>
      <c r="N545" s="104"/>
      <c r="O545" s="104"/>
      <c r="P545" s="26"/>
      <c r="Q545" s="26"/>
      <c r="R545" s="26"/>
      <c r="S545" s="30"/>
      <c r="T545" s="84"/>
      <c r="U545" s="84"/>
      <c r="V545" s="105"/>
      <c r="W545" s="106"/>
      <c r="X545" s="33"/>
      <c r="Y545" s="34"/>
      <c r="Z545" s="34"/>
      <c r="AA545" s="34"/>
      <c r="AB545" s="34"/>
      <c r="AC545" s="107"/>
      <c r="AD545" s="35"/>
      <c r="AE545" s="35"/>
      <c r="AF545" s="35"/>
      <c r="AG545" s="35"/>
      <c r="AH545" s="35"/>
      <c r="AI545" s="34"/>
      <c r="AJ545" s="35"/>
      <c r="AK545" s="35"/>
      <c r="AL545" s="34"/>
      <c r="AM545" s="34"/>
      <c r="AN545" s="46"/>
      <c r="AO545" s="48"/>
      <c r="AP545" s="48"/>
      <c r="AQ545" s="48"/>
      <c r="AR545" s="48"/>
      <c r="AS545" s="48"/>
      <c r="AT545" s="48"/>
      <c r="AU545" s="48"/>
      <c r="AV545" s="48"/>
      <c r="AW545" s="48"/>
      <c r="AX545" s="48"/>
      <c r="AY545" s="43"/>
      <c r="AZ545" s="48"/>
      <c r="BA545" s="48"/>
      <c r="BB545" s="48"/>
      <c r="BC545" s="43"/>
      <c r="BD545" s="43"/>
      <c r="BE545" s="44"/>
      <c r="BF545" s="48"/>
      <c r="BG545" s="43"/>
    </row>
    <row r="546">
      <c r="A546" s="98"/>
      <c r="B546" s="99"/>
      <c r="C546" s="99"/>
      <c r="D546" s="21"/>
      <c r="E546" s="22"/>
      <c r="F546" s="100"/>
      <c r="G546" s="101"/>
      <c r="H546" s="100"/>
      <c r="I546" s="102"/>
      <c r="J546" s="26"/>
      <c r="K546" s="103"/>
      <c r="L546" s="47"/>
      <c r="M546" s="30"/>
      <c r="N546" s="104"/>
      <c r="O546" s="104"/>
      <c r="P546" s="26"/>
      <c r="Q546" s="26"/>
      <c r="R546" s="26"/>
      <c r="S546" s="30"/>
      <c r="T546" s="84"/>
      <c r="U546" s="84"/>
      <c r="V546" s="105"/>
      <c r="W546" s="106"/>
      <c r="X546" s="33"/>
      <c r="Y546" s="34"/>
      <c r="Z546" s="34"/>
      <c r="AA546" s="34"/>
      <c r="AB546" s="34"/>
      <c r="AC546" s="107"/>
      <c r="AD546" s="35"/>
      <c r="AE546" s="35"/>
      <c r="AF546" s="35"/>
      <c r="AG546" s="35"/>
      <c r="AH546" s="35"/>
      <c r="AI546" s="34"/>
      <c r="AJ546" s="35"/>
      <c r="AK546" s="35"/>
      <c r="AL546" s="34"/>
      <c r="AM546" s="34"/>
      <c r="AN546" s="46"/>
      <c r="AO546" s="48"/>
      <c r="AP546" s="48"/>
      <c r="AQ546" s="48"/>
      <c r="AR546" s="48"/>
      <c r="AS546" s="48"/>
      <c r="AT546" s="48"/>
      <c r="AU546" s="48"/>
      <c r="AV546" s="48"/>
      <c r="AW546" s="48"/>
      <c r="AX546" s="48"/>
      <c r="AY546" s="43"/>
      <c r="AZ546" s="48"/>
      <c r="BA546" s="48"/>
      <c r="BB546" s="48"/>
      <c r="BC546" s="43"/>
      <c r="BD546" s="43"/>
      <c r="BE546" s="44"/>
      <c r="BF546" s="48"/>
      <c r="BG546" s="43"/>
    </row>
    <row r="547">
      <c r="A547" s="98"/>
      <c r="B547" s="99"/>
      <c r="C547" s="99"/>
      <c r="D547" s="21"/>
      <c r="E547" s="22"/>
      <c r="F547" s="100"/>
      <c r="G547" s="101"/>
      <c r="H547" s="100"/>
      <c r="I547" s="102"/>
      <c r="J547" s="26"/>
      <c r="K547" s="103"/>
      <c r="L547" s="47"/>
      <c r="M547" s="30"/>
      <c r="N547" s="104"/>
      <c r="O547" s="104"/>
      <c r="P547" s="26"/>
      <c r="Q547" s="26"/>
      <c r="R547" s="26"/>
      <c r="S547" s="30"/>
      <c r="T547" s="84"/>
      <c r="U547" s="84"/>
      <c r="V547" s="105"/>
      <c r="W547" s="106"/>
      <c r="X547" s="33"/>
      <c r="Y547" s="34"/>
      <c r="Z547" s="34"/>
      <c r="AA547" s="34"/>
      <c r="AB547" s="34"/>
      <c r="AC547" s="107"/>
      <c r="AD547" s="35"/>
      <c r="AE547" s="35"/>
      <c r="AF547" s="35"/>
      <c r="AG547" s="35"/>
      <c r="AH547" s="35"/>
      <c r="AI547" s="34"/>
      <c r="AJ547" s="35"/>
      <c r="AK547" s="35"/>
      <c r="AL547" s="34"/>
      <c r="AM547" s="34"/>
      <c r="AN547" s="46"/>
      <c r="AO547" s="48"/>
      <c r="AP547" s="48"/>
      <c r="AQ547" s="48"/>
      <c r="AR547" s="48"/>
      <c r="AS547" s="48"/>
      <c r="AT547" s="48"/>
      <c r="AU547" s="48"/>
      <c r="AV547" s="48"/>
      <c r="AW547" s="48"/>
      <c r="AX547" s="48"/>
      <c r="AY547" s="43"/>
      <c r="AZ547" s="48"/>
      <c r="BA547" s="48"/>
      <c r="BB547" s="48"/>
      <c r="BC547" s="43"/>
      <c r="BD547" s="43"/>
      <c r="BE547" s="44"/>
      <c r="BF547" s="48"/>
      <c r="BG547" s="43"/>
    </row>
    <row r="548">
      <c r="A548" s="98"/>
      <c r="B548" s="99"/>
      <c r="C548" s="99"/>
      <c r="D548" s="21"/>
      <c r="E548" s="22"/>
      <c r="F548" s="100"/>
      <c r="G548" s="101"/>
      <c r="H548" s="100"/>
      <c r="I548" s="102"/>
      <c r="J548" s="26"/>
      <c r="K548" s="103"/>
      <c r="L548" s="47"/>
      <c r="M548" s="30"/>
      <c r="N548" s="104"/>
      <c r="O548" s="104"/>
      <c r="P548" s="26"/>
      <c r="Q548" s="26"/>
      <c r="R548" s="26"/>
      <c r="S548" s="30"/>
      <c r="T548" s="84"/>
      <c r="U548" s="84"/>
      <c r="V548" s="105"/>
      <c r="W548" s="106"/>
      <c r="X548" s="33"/>
      <c r="Y548" s="34"/>
      <c r="Z548" s="34"/>
      <c r="AA548" s="34"/>
      <c r="AB548" s="34"/>
      <c r="AC548" s="107"/>
      <c r="AD548" s="35"/>
      <c r="AE548" s="35"/>
      <c r="AF548" s="35"/>
      <c r="AG548" s="35"/>
      <c r="AH548" s="35"/>
      <c r="AI548" s="34"/>
      <c r="AJ548" s="35"/>
      <c r="AK548" s="35"/>
      <c r="AL548" s="34"/>
      <c r="AM548" s="34"/>
      <c r="AN548" s="46"/>
      <c r="AO548" s="48"/>
      <c r="AP548" s="48"/>
      <c r="AQ548" s="48"/>
      <c r="AR548" s="48"/>
      <c r="AS548" s="48"/>
      <c r="AT548" s="48"/>
      <c r="AU548" s="48"/>
      <c r="AV548" s="48"/>
      <c r="AW548" s="48"/>
      <c r="AX548" s="48"/>
      <c r="AY548" s="43"/>
      <c r="AZ548" s="48"/>
      <c r="BA548" s="48"/>
      <c r="BB548" s="48"/>
      <c r="BC548" s="43"/>
      <c r="BD548" s="43"/>
      <c r="BE548" s="44"/>
      <c r="BF548" s="48"/>
      <c r="BG548" s="43"/>
    </row>
    <row r="549">
      <c r="A549" s="98"/>
      <c r="B549" s="99"/>
      <c r="C549" s="99"/>
      <c r="D549" s="21"/>
      <c r="E549" s="22"/>
      <c r="F549" s="100"/>
      <c r="G549" s="101"/>
      <c r="H549" s="100"/>
      <c r="I549" s="102"/>
      <c r="J549" s="26"/>
      <c r="K549" s="103"/>
      <c r="L549" s="47"/>
      <c r="M549" s="30"/>
      <c r="N549" s="104"/>
      <c r="O549" s="104"/>
      <c r="P549" s="26"/>
      <c r="Q549" s="26"/>
      <c r="R549" s="26"/>
      <c r="S549" s="30"/>
      <c r="T549" s="84"/>
      <c r="U549" s="84"/>
      <c r="V549" s="105"/>
      <c r="W549" s="106"/>
      <c r="X549" s="33"/>
      <c r="Y549" s="34"/>
      <c r="Z549" s="34"/>
      <c r="AA549" s="34"/>
      <c r="AB549" s="34"/>
      <c r="AC549" s="107"/>
      <c r="AD549" s="35"/>
      <c r="AE549" s="35"/>
      <c r="AF549" s="35"/>
      <c r="AG549" s="35"/>
      <c r="AH549" s="35"/>
      <c r="AI549" s="34"/>
      <c r="AJ549" s="35"/>
      <c r="AK549" s="35"/>
      <c r="AL549" s="34"/>
      <c r="AM549" s="34"/>
      <c r="AN549" s="46"/>
      <c r="AO549" s="48"/>
      <c r="AP549" s="48"/>
      <c r="AQ549" s="48"/>
      <c r="AR549" s="48"/>
      <c r="AS549" s="48"/>
      <c r="AT549" s="48"/>
      <c r="AU549" s="48"/>
      <c r="AV549" s="48"/>
      <c r="AW549" s="48"/>
      <c r="AX549" s="48"/>
      <c r="AY549" s="43"/>
      <c r="AZ549" s="48"/>
      <c r="BA549" s="48"/>
      <c r="BB549" s="48"/>
      <c r="BC549" s="43"/>
      <c r="BD549" s="43"/>
      <c r="BE549" s="44"/>
      <c r="BF549" s="48"/>
      <c r="BG549" s="43"/>
    </row>
    <row r="550">
      <c r="A550" s="98"/>
      <c r="B550" s="99"/>
      <c r="C550" s="99"/>
      <c r="D550" s="21"/>
      <c r="E550" s="22"/>
      <c r="F550" s="100"/>
      <c r="G550" s="101"/>
      <c r="H550" s="100"/>
      <c r="I550" s="102"/>
      <c r="J550" s="26"/>
      <c r="K550" s="103"/>
      <c r="L550" s="47"/>
      <c r="M550" s="30"/>
      <c r="N550" s="104"/>
      <c r="O550" s="104"/>
      <c r="P550" s="26"/>
      <c r="Q550" s="26"/>
      <c r="R550" s="26"/>
      <c r="S550" s="30"/>
      <c r="T550" s="84"/>
      <c r="U550" s="84"/>
      <c r="V550" s="105"/>
      <c r="W550" s="106"/>
      <c r="X550" s="33"/>
      <c r="Y550" s="34"/>
      <c r="Z550" s="34"/>
      <c r="AA550" s="34"/>
      <c r="AB550" s="34"/>
      <c r="AC550" s="107"/>
      <c r="AD550" s="35"/>
      <c r="AE550" s="35"/>
      <c r="AF550" s="35"/>
      <c r="AG550" s="35"/>
      <c r="AH550" s="35"/>
      <c r="AI550" s="34"/>
      <c r="AJ550" s="35"/>
      <c r="AK550" s="35"/>
      <c r="AL550" s="34"/>
      <c r="AM550" s="34"/>
      <c r="AN550" s="46"/>
      <c r="AO550" s="48"/>
      <c r="AP550" s="48"/>
      <c r="AQ550" s="48"/>
      <c r="AR550" s="48"/>
      <c r="AS550" s="48"/>
      <c r="AT550" s="48"/>
      <c r="AU550" s="48"/>
      <c r="AV550" s="48"/>
      <c r="AW550" s="48"/>
      <c r="AX550" s="48"/>
      <c r="AY550" s="43"/>
      <c r="AZ550" s="48"/>
      <c r="BA550" s="48"/>
      <c r="BB550" s="48"/>
      <c r="BC550" s="43"/>
      <c r="BD550" s="43"/>
      <c r="BE550" s="44"/>
      <c r="BF550" s="48"/>
      <c r="BG550" s="43"/>
    </row>
    <row r="551">
      <c r="A551" s="98"/>
      <c r="B551" s="99"/>
      <c r="C551" s="99"/>
      <c r="D551" s="21"/>
      <c r="E551" s="22"/>
      <c r="F551" s="100"/>
      <c r="G551" s="101"/>
      <c r="H551" s="100"/>
      <c r="I551" s="102"/>
      <c r="J551" s="26"/>
      <c r="K551" s="103"/>
      <c r="L551" s="47"/>
      <c r="M551" s="30"/>
      <c r="N551" s="104"/>
      <c r="O551" s="104"/>
      <c r="P551" s="26"/>
      <c r="Q551" s="26"/>
      <c r="R551" s="26"/>
      <c r="S551" s="30"/>
      <c r="T551" s="84"/>
      <c r="U551" s="84"/>
      <c r="V551" s="105"/>
      <c r="W551" s="106"/>
      <c r="X551" s="33"/>
      <c r="Y551" s="34"/>
      <c r="Z551" s="34"/>
      <c r="AA551" s="34"/>
      <c r="AB551" s="34"/>
      <c r="AC551" s="107"/>
      <c r="AD551" s="35"/>
      <c r="AE551" s="35"/>
      <c r="AF551" s="35"/>
      <c r="AG551" s="35"/>
      <c r="AH551" s="35"/>
      <c r="AI551" s="34"/>
      <c r="AJ551" s="35"/>
      <c r="AK551" s="35"/>
      <c r="AL551" s="34"/>
      <c r="AM551" s="34"/>
      <c r="AN551" s="46"/>
      <c r="AO551" s="48"/>
      <c r="AP551" s="48"/>
      <c r="AQ551" s="48"/>
      <c r="AR551" s="48"/>
      <c r="AS551" s="48"/>
      <c r="AT551" s="48"/>
      <c r="AU551" s="48"/>
      <c r="AV551" s="48"/>
      <c r="AW551" s="48"/>
      <c r="AX551" s="48"/>
      <c r="AY551" s="43"/>
      <c r="AZ551" s="48"/>
      <c r="BA551" s="48"/>
      <c r="BB551" s="48"/>
      <c r="BC551" s="43"/>
      <c r="BD551" s="43"/>
      <c r="BE551" s="44"/>
      <c r="BF551" s="48"/>
      <c r="BG551" s="43"/>
    </row>
    <row r="552">
      <c r="A552" s="98"/>
      <c r="B552" s="99"/>
      <c r="C552" s="99"/>
      <c r="D552" s="21"/>
      <c r="E552" s="22"/>
      <c r="F552" s="100"/>
      <c r="G552" s="101"/>
      <c r="H552" s="100"/>
      <c r="I552" s="102"/>
      <c r="J552" s="26"/>
      <c r="K552" s="103"/>
      <c r="L552" s="47"/>
      <c r="M552" s="30"/>
      <c r="N552" s="104"/>
      <c r="O552" s="104"/>
      <c r="P552" s="26"/>
      <c r="Q552" s="26"/>
      <c r="R552" s="26"/>
      <c r="S552" s="30"/>
      <c r="T552" s="84"/>
      <c r="U552" s="84"/>
      <c r="V552" s="105"/>
      <c r="W552" s="106"/>
      <c r="X552" s="33"/>
      <c r="Y552" s="34"/>
      <c r="Z552" s="34"/>
      <c r="AA552" s="34"/>
      <c r="AB552" s="34"/>
      <c r="AC552" s="107"/>
      <c r="AD552" s="35"/>
      <c r="AE552" s="35"/>
      <c r="AF552" s="35"/>
      <c r="AG552" s="35"/>
      <c r="AH552" s="35"/>
      <c r="AI552" s="34"/>
      <c r="AJ552" s="35"/>
      <c r="AK552" s="35"/>
      <c r="AL552" s="34"/>
      <c r="AM552" s="34"/>
      <c r="AN552" s="46"/>
      <c r="AO552" s="48"/>
      <c r="AP552" s="48"/>
      <c r="AQ552" s="48"/>
      <c r="AR552" s="48"/>
      <c r="AS552" s="48"/>
      <c r="AT552" s="48"/>
      <c r="AU552" s="48"/>
      <c r="AV552" s="48"/>
      <c r="AW552" s="48"/>
      <c r="AX552" s="48"/>
      <c r="AY552" s="43"/>
      <c r="AZ552" s="48"/>
      <c r="BA552" s="48"/>
      <c r="BB552" s="48"/>
      <c r="BC552" s="43"/>
      <c r="BD552" s="43"/>
      <c r="BE552" s="44"/>
      <c r="BF552" s="48"/>
      <c r="BG552" s="43"/>
    </row>
    <row r="553">
      <c r="A553" s="98"/>
      <c r="B553" s="99"/>
      <c r="C553" s="99"/>
      <c r="D553" s="21"/>
      <c r="E553" s="22"/>
      <c r="F553" s="100"/>
      <c r="G553" s="101"/>
      <c r="H553" s="100"/>
      <c r="I553" s="102"/>
      <c r="J553" s="26"/>
      <c r="K553" s="103"/>
      <c r="L553" s="47"/>
      <c r="M553" s="30"/>
      <c r="N553" s="104"/>
      <c r="O553" s="104"/>
      <c r="P553" s="26"/>
      <c r="Q553" s="26"/>
      <c r="R553" s="26"/>
      <c r="S553" s="30"/>
      <c r="T553" s="84"/>
      <c r="U553" s="84"/>
      <c r="V553" s="105"/>
      <c r="W553" s="106"/>
      <c r="X553" s="33"/>
      <c r="Y553" s="34"/>
      <c r="Z553" s="34"/>
      <c r="AA553" s="34"/>
      <c r="AB553" s="34"/>
      <c r="AC553" s="107"/>
      <c r="AD553" s="35"/>
      <c r="AE553" s="35"/>
      <c r="AF553" s="35"/>
      <c r="AG553" s="35"/>
      <c r="AH553" s="35"/>
      <c r="AI553" s="34"/>
      <c r="AJ553" s="35"/>
      <c r="AK553" s="35"/>
      <c r="AL553" s="34"/>
      <c r="AM553" s="34"/>
      <c r="AN553" s="46"/>
      <c r="AO553" s="48"/>
      <c r="AP553" s="48"/>
      <c r="AQ553" s="48"/>
      <c r="AR553" s="48"/>
      <c r="AS553" s="48"/>
      <c r="AT553" s="48"/>
      <c r="AU553" s="48"/>
      <c r="AV553" s="48"/>
      <c r="AW553" s="48"/>
      <c r="AX553" s="48"/>
      <c r="AY553" s="43"/>
      <c r="AZ553" s="48"/>
      <c r="BA553" s="48"/>
      <c r="BB553" s="48"/>
      <c r="BC553" s="43"/>
      <c r="BD553" s="43"/>
      <c r="BE553" s="44"/>
      <c r="BF553" s="48"/>
      <c r="BG553" s="43"/>
    </row>
    <row r="554">
      <c r="A554" s="98"/>
      <c r="B554" s="99"/>
      <c r="C554" s="99"/>
      <c r="D554" s="21"/>
      <c r="E554" s="22"/>
      <c r="F554" s="100"/>
      <c r="G554" s="101"/>
      <c r="H554" s="100"/>
      <c r="I554" s="102"/>
      <c r="J554" s="26"/>
      <c r="K554" s="103"/>
      <c r="L554" s="47"/>
      <c r="M554" s="30"/>
      <c r="N554" s="104"/>
      <c r="O554" s="104"/>
      <c r="P554" s="26"/>
      <c r="Q554" s="26"/>
      <c r="R554" s="26"/>
      <c r="S554" s="30"/>
      <c r="T554" s="84"/>
      <c r="U554" s="84"/>
      <c r="V554" s="105"/>
      <c r="W554" s="106"/>
      <c r="X554" s="33"/>
      <c r="Y554" s="34"/>
      <c r="Z554" s="34"/>
      <c r="AA554" s="34"/>
      <c r="AB554" s="34"/>
      <c r="AC554" s="107"/>
      <c r="AD554" s="35"/>
      <c r="AE554" s="35"/>
      <c r="AF554" s="35"/>
      <c r="AG554" s="35"/>
      <c r="AH554" s="35"/>
      <c r="AI554" s="34"/>
      <c r="AJ554" s="35"/>
      <c r="AK554" s="35"/>
      <c r="AL554" s="34"/>
      <c r="AM554" s="34"/>
      <c r="AN554" s="46"/>
      <c r="AO554" s="48"/>
      <c r="AP554" s="48"/>
      <c r="AQ554" s="48"/>
      <c r="AR554" s="48"/>
      <c r="AS554" s="48"/>
      <c r="AT554" s="48"/>
      <c r="AU554" s="48"/>
      <c r="AV554" s="48"/>
      <c r="AW554" s="48"/>
      <c r="AX554" s="48"/>
      <c r="AY554" s="43"/>
      <c r="AZ554" s="48"/>
      <c r="BA554" s="48"/>
      <c r="BB554" s="48"/>
      <c r="BC554" s="43"/>
      <c r="BD554" s="43"/>
      <c r="BE554" s="44"/>
      <c r="BF554" s="48"/>
      <c r="BG554" s="43"/>
    </row>
    <row r="555">
      <c r="A555" s="98"/>
      <c r="B555" s="99"/>
      <c r="C555" s="99"/>
      <c r="D555" s="21"/>
      <c r="E555" s="22"/>
      <c r="F555" s="100"/>
      <c r="G555" s="101"/>
      <c r="H555" s="100"/>
      <c r="I555" s="102"/>
      <c r="J555" s="26"/>
      <c r="K555" s="103"/>
      <c r="L555" s="47"/>
      <c r="M555" s="30"/>
      <c r="N555" s="104"/>
      <c r="O555" s="104"/>
      <c r="P555" s="26"/>
      <c r="Q555" s="26"/>
      <c r="R555" s="26"/>
      <c r="S555" s="30"/>
      <c r="T555" s="84"/>
      <c r="U555" s="84"/>
      <c r="V555" s="105"/>
      <c r="W555" s="106"/>
      <c r="X555" s="33"/>
      <c r="Y555" s="34"/>
      <c r="Z555" s="34"/>
      <c r="AA555" s="34"/>
      <c r="AB555" s="34"/>
      <c r="AC555" s="107"/>
      <c r="AD555" s="35"/>
      <c r="AE555" s="35"/>
      <c r="AF555" s="35"/>
      <c r="AG555" s="35"/>
      <c r="AH555" s="35"/>
      <c r="AI555" s="34"/>
      <c r="AJ555" s="35"/>
      <c r="AK555" s="35"/>
      <c r="AL555" s="34"/>
      <c r="AM555" s="34"/>
      <c r="AN555" s="46"/>
      <c r="AO555" s="48"/>
      <c r="AP555" s="48"/>
      <c r="AQ555" s="48"/>
      <c r="AR555" s="48"/>
      <c r="AS555" s="48"/>
      <c r="AT555" s="48"/>
      <c r="AU555" s="48"/>
      <c r="AV555" s="48"/>
      <c r="AW555" s="48"/>
      <c r="AX555" s="48"/>
      <c r="AY555" s="43"/>
      <c r="AZ555" s="48"/>
      <c r="BA555" s="48"/>
      <c r="BB555" s="48"/>
      <c r="BC555" s="43"/>
      <c r="BD555" s="43"/>
      <c r="BE555" s="44"/>
      <c r="BF555" s="48"/>
      <c r="BG555" s="43"/>
    </row>
    <row r="556">
      <c r="A556" s="98"/>
      <c r="B556" s="99"/>
      <c r="C556" s="99"/>
      <c r="D556" s="21"/>
      <c r="E556" s="22"/>
      <c r="F556" s="100"/>
      <c r="G556" s="101"/>
      <c r="H556" s="100"/>
      <c r="I556" s="102"/>
      <c r="J556" s="26"/>
      <c r="K556" s="103"/>
      <c r="L556" s="47"/>
      <c r="M556" s="30"/>
      <c r="N556" s="104"/>
      <c r="O556" s="104"/>
      <c r="P556" s="26"/>
      <c r="Q556" s="26"/>
      <c r="R556" s="26"/>
      <c r="S556" s="30"/>
      <c r="T556" s="84"/>
      <c r="U556" s="84"/>
      <c r="V556" s="105"/>
      <c r="W556" s="106"/>
      <c r="X556" s="33"/>
      <c r="Y556" s="34"/>
      <c r="Z556" s="34"/>
      <c r="AA556" s="34"/>
      <c r="AB556" s="34"/>
      <c r="AC556" s="107"/>
      <c r="AD556" s="35"/>
      <c r="AE556" s="35"/>
      <c r="AF556" s="35"/>
      <c r="AG556" s="35"/>
      <c r="AH556" s="35"/>
      <c r="AI556" s="34"/>
      <c r="AJ556" s="35"/>
      <c r="AK556" s="35"/>
      <c r="AL556" s="34"/>
      <c r="AM556" s="34"/>
      <c r="AN556" s="46"/>
      <c r="AO556" s="48"/>
      <c r="AP556" s="48"/>
      <c r="AQ556" s="48"/>
      <c r="AR556" s="48"/>
      <c r="AS556" s="48"/>
      <c r="AT556" s="48"/>
      <c r="AU556" s="48"/>
      <c r="AV556" s="48"/>
      <c r="AW556" s="48"/>
      <c r="AX556" s="48"/>
      <c r="AY556" s="43"/>
      <c r="AZ556" s="48"/>
      <c r="BA556" s="48"/>
      <c r="BB556" s="48"/>
      <c r="BC556" s="43"/>
      <c r="BD556" s="43"/>
      <c r="BE556" s="44"/>
      <c r="BF556" s="48"/>
      <c r="BG556" s="43"/>
    </row>
    <row r="557">
      <c r="A557" s="98"/>
      <c r="B557" s="99"/>
      <c r="C557" s="99"/>
      <c r="D557" s="21"/>
      <c r="E557" s="22"/>
      <c r="F557" s="100"/>
      <c r="G557" s="101"/>
      <c r="H557" s="100"/>
      <c r="I557" s="102"/>
      <c r="J557" s="26"/>
      <c r="K557" s="103"/>
      <c r="L557" s="47"/>
      <c r="M557" s="30"/>
      <c r="N557" s="104"/>
      <c r="O557" s="104"/>
      <c r="P557" s="26"/>
      <c r="Q557" s="26"/>
      <c r="R557" s="26"/>
      <c r="S557" s="30"/>
      <c r="T557" s="84"/>
      <c r="U557" s="84"/>
      <c r="V557" s="105"/>
      <c r="W557" s="106"/>
      <c r="X557" s="33"/>
      <c r="Y557" s="34"/>
      <c r="Z557" s="34"/>
      <c r="AA557" s="34"/>
      <c r="AB557" s="34"/>
      <c r="AC557" s="107"/>
      <c r="AD557" s="35"/>
      <c r="AE557" s="35"/>
      <c r="AF557" s="35"/>
      <c r="AG557" s="35"/>
      <c r="AH557" s="35"/>
      <c r="AI557" s="34"/>
      <c r="AJ557" s="35"/>
      <c r="AK557" s="35"/>
      <c r="AL557" s="34"/>
      <c r="AM557" s="34"/>
      <c r="AN557" s="46"/>
      <c r="AO557" s="48"/>
      <c r="AP557" s="48"/>
      <c r="AQ557" s="48"/>
      <c r="AR557" s="48"/>
      <c r="AS557" s="48"/>
      <c r="AT557" s="48"/>
      <c r="AU557" s="48"/>
      <c r="AV557" s="48"/>
      <c r="AW557" s="48"/>
      <c r="AX557" s="48"/>
      <c r="AY557" s="43"/>
      <c r="AZ557" s="48"/>
      <c r="BA557" s="48"/>
      <c r="BB557" s="48"/>
      <c r="BC557" s="43"/>
      <c r="BD557" s="43"/>
      <c r="BE557" s="44"/>
      <c r="BF557" s="48"/>
      <c r="BG557" s="43"/>
    </row>
    <row r="558">
      <c r="A558" s="98"/>
      <c r="B558" s="99"/>
      <c r="C558" s="99"/>
      <c r="D558" s="21"/>
      <c r="E558" s="22"/>
      <c r="F558" s="100"/>
      <c r="G558" s="101"/>
      <c r="H558" s="100"/>
      <c r="I558" s="102"/>
      <c r="J558" s="26"/>
      <c r="K558" s="103"/>
      <c r="L558" s="47"/>
      <c r="M558" s="30"/>
      <c r="N558" s="104"/>
      <c r="O558" s="104"/>
      <c r="P558" s="26"/>
      <c r="Q558" s="26"/>
      <c r="R558" s="26"/>
      <c r="S558" s="30"/>
      <c r="T558" s="84"/>
      <c r="U558" s="84"/>
      <c r="V558" s="105"/>
      <c r="W558" s="106"/>
      <c r="X558" s="33"/>
      <c r="Y558" s="34"/>
      <c r="Z558" s="34"/>
      <c r="AA558" s="34"/>
      <c r="AB558" s="34"/>
      <c r="AC558" s="107"/>
      <c r="AD558" s="35"/>
      <c r="AE558" s="35"/>
      <c r="AF558" s="35"/>
      <c r="AG558" s="35"/>
      <c r="AH558" s="35"/>
      <c r="AI558" s="34"/>
      <c r="AJ558" s="35"/>
      <c r="AK558" s="35"/>
      <c r="AL558" s="34"/>
      <c r="AM558" s="34"/>
      <c r="AN558" s="46"/>
      <c r="AO558" s="48"/>
      <c r="AP558" s="48"/>
      <c r="AQ558" s="48"/>
      <c r="AR558" s="48"/>
      <c r="AS558" s="48"/>
      <c r="AT558" s="48"/>
      <c r="AU558" s="48"/>
      <c r="AV558" s="48"/>
      <c r="AW558" s="48"/>
      <c r="AX558" s="48"/>
      <c r="AY558" s="43"/>
      <c r="AZ558" s="48"/>
      <c r="BA558" s="48"/>
      <c r="BB558" s="48"/>
      <c r="BC558" s="43"/>
      <c r="BD558" s="43"/>
      <c r="BE558" s="44"/>
      <c r="BF558" s="48"/>
      <c r="BG558" s="43"/>
    </row>
    <row r="559">
      <c r="A559" s="98"/>
      <c r="B559" s="99"/>
      <c r="C559" s="99"/>
      <c r="D559" s="21"/>
      <c r="E559" s="22"/>
      <c r="F559" s="100"/>
      <c r="G559" s="101"/>
      <c r="H559" s="100"/>
      <c r="I559" s="102"/>
      <c r="J559" s="26"/>
      <c r="K559" s="103"/>
      <c r="L559" s="47"/>
      <c r="M559" s="30"/>
      <c r="N559" s="104"/>
      <c r="O559" s="104"/>
      <c r="P559" s="26"/>
      <c r="Q559" s="26"/>
      <c r="R559" s="26"/>
      <c r="S559" s="30"/>
      <c r="T559" s="84"/>
      <c r="U559" s="84"/>
      <c r="V559" s="105"/>
      <c r="W559" s="106"/>
      <c r="X559" s="33"/>
      <c r="Y559" s="34"/>
      <c r="Z559" s="34"/>
      <c r="AA559" s="34"/>
      <c r="AB559" s="34"/>
      <c r="AC559" s="107"/>
      <c r="AD559" s="35"/>
      <c r="AE559" s="35"/>
      <c r="AF559" s="35"/>
      <c r="AG559" s="35"/>
      <c r="AH559" s="35"/>
      <c r="AI559" s="34"/>
      <c r="AJ559" s="35"/>
      <c r="AK559" s="35"/>
      <c r="AL559" s="34"/>
      <c r="AM559" s="34"/>
      <c r="AN559" s="46"/>
      <c r="AO559" s="48"/>
      <c r="AP559" s="48"/>
      <c r="AQ559" s="48"/>
      <c r="AR559" s="48"/>
      <c r="AS559" s="48"/>
      <c r="AT559" s="48"/>
      <c r="AU559" s="48"/>
      <c r="AV559" s="48"/>
      <c r="AW559" s="48"/>
      <c r="AX559" s="48"/>
      <c r="AY559" s="43"/>
      <c r="AZ559" s="48"/>
      <c r="BA559" s="48"/>
      <c r="BB559" s="48"/>
      <c r="BC559" s="43"/>
      <c r="BD559" s="43"/>
      <c r="BE559" s="44"/>
      <c r="BF559" s="48"/>
      <c r="BG559" s="43"/>
    </row>
    <row r="560">
      <c r="A560" s="98"/>
      <c r="B560" s="99"/>
      <c r="C560" s="99"/>
      <c r="D560" s="21"/>
      <c r="E560" s="22"/>
      <c r="F560" s="100"/>
      <c r="G560" s="101"/>
      <c r="H560" s="100"/>
      <c r="I560" s="102"/>
      <c r="J560" s="26"/>
      <c r="K560" s="103"/>
      <c r="L560" s="47"/>
      <c r="M560" s="30"/>
      <c r="N560" s="104"/>
      <c r="O560" s="104"/>
      <c r="P560" s="26"/>
      <c r="Q560" s="26"/>
      <c r="R560" s="26"/>
      <c r="S560" s="30"/>
      <c r="T560" s="84"/>
      <c r="U560" s="84"/>
      <c r="V560" s="105"/>
      <c r="W560" s="106"/>
      <c r="X560" s="33"/>
      <c r="Y560" s="34"/>
      <c r="Z560" s="34"/>
      <c r="AA560" s="34"/>
      <c r="AB560" s="34"/>
      <c r="AC560" s="107"/>
      <c r="AD560" s="35"/>
      <c r="AE560" s="35"/>
      <c r="AF560" s="35"/>
      <c r="AG560" s="35"/>
      <c r="AH560" s="35"/>
      <c r="AI560" s="34"/>
      <c r="AJ560" s="35"/>
      <c r="AK560" s="35"/>
      <c r="AL560" s="34"/>
      <c r="AM560" s="34"/>
      <c r="AN560" s="46"/>
      <c r="AO560" s="48"/>
      <c r="AP560" s="48"/>
      <c r="AQ560" s="48"/>
      <c r="AR560" s="48"/>
      <c r="AS560" s="48"/>
      <c r="AT560" s="48"/>
      <c r="AU560" s="48"/>
      <c r="AV560" s="48"/>
      <c r="AW560" s="48"/>
      <c r="AX560" s="48"/>
      <c r="AY560" s="43"/>
      <c r="AZ560" s="48"/>
      <c r="BA560" s="48"/>
      <c r="BB560" s="48"/>
      <c r="BC560" s="43"/>
      <c r="BD560" s="43"/>
      <c r="BE560" s="44"/>
      <c r="BF560" s="48"/>
      <c r="BG560" s="43"/>
    </row>
    <row r="561">
      <c r="A561" s="98"/>
      <c r="B561" s="99"/>
      <c r="C561" s="99"/>
      <c r="D561" s="21"/>
      <c r="E561" s="22"/>
      <c r="F561" s="100"/>
      <c r="G561" s="101"/>
      <c r="H561" s="100"/>
      <c r="I561" s="102"/>
      <c r="J561" s="26"/>
      <c r="K561" s="103"/>
      <c r="L561" s="47"/>
      <c r="M561" s="30"/>
      <c r="N561" s="104"/>
      <c r="O561" s="104"/>
      <c r="P561" s="26"/>
      <c r="Q561" s="26"/>
      <c r="R561" s="26"/>
      <c r="S561" s="30"/>
      <c r="T561" s="84"/>
      <c r="U561" s="84"/>
      <c r="V561" s="105"/>
      <c r="W561" s="106"/>
      <c r="X561" s="33"/>
      <c r="Y561" s="34"/>
      <c r="Z561" s="34"/>
      <c r="AA561" s="34"/>
      <c r="AB561" s="34"/>
      <c r="AC561" s="107"/>
      <c r="AD561" s="35"/>
      <c r="AE561" s="35"/>
      <c r="AF561" s="35"/>
      <c r="AG561" s="35"/>
      <c r="AH561" s="35"/>
      <c r="AI561" s="34"/>
      <c r="AJ561" s="35"/>
      <c r="AK561" s="35"/>
      <c r="AL561" s="34"/>
      <c r="AM561" s="34"/>
      <c r="AN561" s="46"/>
      <c r="AO561" s="48"/>
      <c r="AP561" s="48"/>
      <c r="AQ561" s="48"/>
      <c r="AR561" s="48"/>
      <c r="AS561" s="48"/>
      <c r="AT561" s="48"/>
      <c r="AU561" s="48"/>
      <c r="AV561" s="48"/>
      <c r="AW561" s="48"/>
      <c r="AX561" s="48"/>
      <c r="AY561" s="43"/>
      <c r="AZ561" s="48"/>
      <c r="BA561" s="48"/>
      <c r="BB561" s="48"/>
      <c r="BC561" s="43"/>
      <c r="BD561" s="43"/>
      <c r="BE561" s="44"/>
      <c r="BF561" s="48"/>
      <c r="BG561" s="43"/>
    </row>
    <row r="562">
      <c r="A562" s="98"/>
      <c r="B562" s="99"/>
      <c r="C562" s="99"/>
      <c r="D562" s="21"/>
      <c r="E562" s="22"/>
      <c r="F562" s="100"/>
      <c r="G562" s="101"/>
      <c r="H562" s="100"/>
      <c r="I562" s="102"/>
      <c r="J562" s="26"/>
      <c r="K562" s="103"/>
      <c r="L562" s="47"/>
      <c r="M562" s="30"/>
      <c r="N562" s="104"/>
      <c r="O562" s="104"/>
      <c r="P562" s="26"/>
      <c r="Q562" s="26"/>
      <c r="R562" s="26"/>
      <c r="S562" s="30"/>
      <c r="T562" s="84"/>
      <c r="U562" s="84"/>
      <c r="V562" s="105"/>
      <c r="W562" s="106"/>
      <c r="X562" s="33"/>
      <c r="Y562" s="34"/>
      <c r="Z562" s="34"/>
      <c r="AA562" s="34"/>
      <c r="AB562" s="34"/>
      <c r="AC562" s="107"/>
      <c r="AD562" s="35"/>
      <c r="AE562" s="35"/>
      <c r="AF562" s="35"/>
      <c r="AG562" s="35"/>
      <c r="AH562" s="35"/>
      <c r="AI562" s="34"/>
      <c r="AJ562" s="35"/>
      <c r="AK562" s="35"/>
      <c r="AL562" s="34"/>
      <c r="AM562" s="34"/>
      <c r="AN562" s="46"/>
      <c r="AO562" s="48"/>
      <c r="AP562" s="48"/>
      <c r="AQ562" s="48"/>
      <c r="AR562" s="48"/>
      <c r="AS562" s="48"/>
      <c r="AT562" s="48"/>
      <c r="AU562" s="48"/>
      <c r="AV562" s="48"/>
      <c r="AW562" s="48"/>
      <c r="AX562" s="48"/>
      <c r="AY562" s="43"/>
      <c r="AZ562" s="48"/>
      <c r="BA562" s="48"/>
      <c r="BB562" s="48"/>
      <c r="BC562" s="43"/>
      <c r="BD562" s="43"/>
      <c r="BE562" s="44"/>
      <c r="BF562" s="48"/>
      <c r="BG562" s="43"/>
    </row>
    <row r="563">
      <c r="A563" s="98"/>
      <c r="B563" s="99"/>
      <c r="C563" s="99"/>
      <c r="D563" s="21"/>
      <c r="E563" s="22"/>
      <c r="F563" s="100"/>
      <c r="G563" s="101"/>
      <c r="H563" s="100"/>
      <c r="I563" s="102"/>
      <c r="J563" s="26"/>
      <c r="K563" s="103"/>
      <c r="L563" s="47"/>
      <c r="M563" s="30"/>
      <c r="N563" s="104"/>
      <c r="O563" s="104"/>
      <c r="P563" s="26"/>
      <c r="Q563" s="26"/>
      <c r="R563" s="26"/>
      <c r="S563" s="30"/>
      <c r="T563" s="84"/>
      <c r="U563" s="84"/>
      <c r="V563" s="105"/>
      <c r="W563" s="106"/>
      <c r="X563" s="33"/>
      <c r="Y563" s="34"/>
      <c r="Z563" s="34"/>
      <c r="AA563" s="34"/>
      <c r="AB563" s="34"/>
      <c r="AC563" s="107"/>
      <c r="AD563" s="35"/>
      <c r="AE563" s="35"/>
      <c r="AF563" s="35"/>
      <c r="AG563" s="35"/>
      <c r="AH563" s="35"/>
      <c r="AI563" s="34"/>
      <c r="AJ563" s="35"/>
      <c r="AK563" s="35"/>
      <c r="AL563" s="34"/>
      <c r="AM563" s="34"/>
      <c r="AN563" s="46"/>
      <c r="AO563" s="48"/>
      <c r="AP563" s="48"/>
      <c r="AQ563" s="48"/>
      <c r="AR563" s="48"/>
      <c r="AS563" s="48"/>
      <c r="AT563" s="48"/>
      <c r="AU563" s="48"/>
      <c r="AV563" s="48"/>
      <c r="AW563" s="48"/>
      <c r="AX563" s="48"/>
      <c r="AY563" s="43"/>
      <c r="AZ563" s="48"/>
      <c r="BA563" s="48"/>
      <c r="BB563" s="48"/>
      <c r="BC563" s="43"/>
      <c r="BD563" s="43"/>
      <c r="BE563" s="44"/>
      <c r="BF563" s="48"/>
      <c r="BG563" s="43"/>
    </row>
    <row r="564">
      <c r="A564" s="98"/>
      <c r="B564" s="99"/>
      <c r="C564" s="99"/>
      <c r="D564" s="21"/>
      <c r="E564" s="22"/>
      <c r="F564" s="100"/>
      <c r="G564" s="101"/>
      <c r="H564" s="100"/>
      <c r="I564" s="102"/>
      <c r="J564" s="26"/>
      <c r="K564" s="103"/>
      <c r="L564" s="47"/>
      <c r="M564" s="30"/>
      <c r="N564" s="104"/>
      <c r="O564" s="104"/>
      <c r="P564" s="26"/>
      <c r="Q564" s="26"/>
      <c r="R564" s="26"/>
      <c r="S564" s="30"/>
      <c r="T564" s="84"/>
      <c r="U564" s="84"/>
      <c r="V564" s="105"/>
      <c r="W564" s="106"/>
      <c r="X564" s="33"/>
      <c r="Y564" s="34"/>
      <c r="Z564" s="34"/>
      <c r="AA564" s="34"/>
      <c r="AB564" s="34"/>
      <c r="AC564" s="107"/>
      <c r="AD564" s="35"/>
      <c r="AE564" s="35"/>
      <c r="AF564" s="35"/>
      <c r="AG564" s="35"/>
      <c r="AH564" s="35"/>
      <c r="AI564" s="34"/>
      <c r="AJ564" s="35"/>
      <c r="AK564" s="35"/>
      <c r="AL564" s="34"/>
      <c r="AM564" s="34"/>
      <c r="AN564" s="46"/>
      <c r="AO564" s="48"/>
      <c r="AP564" s="48"/>
      <c r="AQ564" s="48"/>
      <c r="AR564" s="48"/>
      <c r="AS564" s="48"/>
      <c r="AT564" s="48"/>
      <c r="AU564" s="48"/>
      <c r="AV564" s="48"/>
      <c r="AW564" s="48"/>
      <c r="AX564" s="48"/>
      <c r="AY564" s="43"/>
      <c r="AZ564" s="48"/>
      <c r="BA564" s="48"/>
      <c r="BB564" s="48"/>
      <c r="BC564" s="43"/>
      <c r="BD564" s="43"/>
      <c r="BE564" s="44"/>
      <c r="BF564" s="48"/>
      <c r="BG564" s="43"/>
    </row>
    <row r="565">
      <c r="A565" s="98"/>
      <c r="B565" s="99"/>
      <c r="C565" s="99"/>
      <c r="D565" s="21"/>
      <c r="E565" s="22"/>
      <c r="F565" s="100"/>
      <c r="G565" s="101"/>
      <c r="H565" s="100"/>
      <c r="I565" s="102"/>
      <c r="J565" s="26"/>
      <c r="K565" s="103"/>
      <c r="L565" s="47"/>
      <c r="M565" s="30"/>
      <c r="N565" s="104"/>
      <c r="O565" s="104"/>
      <c r="P565" s="26"/>
      <c r="Q565" s="26"/>
      <c r="R565" s="26"/>
      <c r="S565" s="30"/>
      <c r="T565" s="84"/>
      <c r="U565" s="84"/>
      <c r="V565" s="105"/>
      <c r="W565" s="106"/>
      <c r="X565" s="33"/>
      <c r="Y565" s="34"/>
      <c r="Z565" s="34"/>
      <c r="AA565" s="34"/>
      <c r="AB565" s="34"/>
      <c r="AC565" s="107"/>
      <c r="AD565" s="35"/>
      <c r="AE565" s="35"/>
      <c r="AF565" s="35"/>
      <c r="AG565" s="35"/>
      <c r="AH565" s="35"/>
      <c r="AI565" s="34"/>
      <c r="AJ565" s="35"/>
      <c r="AK565" s="35"/>
      <c r="AL565" s="34"/>
      <c r="AM565" s="34"/>
      <c r="AN565" s="46"/>
      <c r="AO565" s="48"/>
      <c r="AP565" s="48"/>
      <c r="AQ565" s="48"/>
      <c r="AR565" s="48"/>
      <c r="AS565" s="48"/>
      <c r="AT565" s="48"/>
      <c r="AU565" s="48"/>
      <c r="AV565" s="48"/>
      <c r="AW565" s="48"/>
      <c r="AX565" s="48"/>
      <c r="AY565" s="43"/>
      <c r="AZ565" s="48"/>
      <c r="BA565" s="48"/>
      <c r="BB565" s="48"/>
      <c r="BC565" s="43"/>
      <c r="BD565" s="43"/>
      <c r="BE565" s="44"/>
      <c r="BF565" s="48"/>
      <c r="BG565" s="43"/>
    </row>
    <row r="566">
      <c r="A566" s="98"/>
      <c r="B566" s="99"/>
      <c r="C566" s="99"/>
      <c r="D566" s="21"/>
      <c r="E566" s="22"/>
      <c r="F566" s="100"/>
      <c r="G566" s="101"/>
      <c r="H566" s="100"/>
      <c r="I566" s="102"/>
      <c r="J566" s="26"/>
      <c r="K566" s="103"/>
      <c r="L566" s="47"/>
      <c r="M566" s="30"/>
      <c r="N566" s="104"/>
      <c r="O566" s="104"/>
      <c r="P566" s="26"/>
      <c r="Q566" s="26"/>
      <c r="R566" s="26"/>
      <c r="S566" s="30"/>
      <c r="T566" s="84"/>
      <c r="U566" s="84"/>
      <c r="V566" s="105"/>
      <c r="W566" s="106"/>
      <c r="X566" s="33"/>
      <c r="Y566" s="34"/>
      <c r="Z566" s="34"/>
      <c r="AA566" s="34"/>
      <c r="AB566" s="34"/>
      <c r="AC566" s="107"/>
      <c r="AD566" s="35"/>
      <c r="AE566" s="35"/>
      <c r="AF566" s="35"/>
      <c r="AG566" s="35"/>
      <c r="AH566" s="35"/>
      <c r="AI566" s="34"/>
      <c r="AJ566" s="35"/>
      <c r="AK566" s="35"/>
      <c r="AL566" s="34"/>
      <c r="AM566" s="34"/>
      <c r="AN566" s="46"/>
      <c r="AO566" s="48"/>
      <c r="AP566" s="48"/>
      <c r="AQ566" s="48"/>
      <c r="AR566" s="48"/>
      <c r="AS566" s="48"/>
      <c r="AT566" s="48"/>
      <c r="AU566" s="48"/>
      <c r="AV566" s="48"/>
      <c r="AW566" s="48"/>
      <c r="AX566" s="48"/>
      <c r="AY566" s="43"/>
      <c r="AZ566" s="48"/>
      <c r="BA566" s="48"/>
      <c r="BB566" s="48"/>
      <c r="BC566" s="43"/>
      <c r="BD566" s="43"/>
      <c r="BE566" s="44"/>
      <c r="BF566" s="48"/>
      <c r="BG566" s="43"/>
    </row>
    <row r="567">
      <c r="A567" s="98"/>
      <c r="B567" s="99"/>
      <c r="C567" s="99"/>
      <c r="D567" s="21"/>
      <c r="E567" s="22"/>
      <c r="F567" s="100"/>
      <c r="G567" s="101"/>
      <c r="H567" s="100"/>
      <c r="I567" s="102"/>
      <c r="J567" s="26"/>
      <c r="K567" s="103"/>
      <c r="L567" s="47"/>
      <c r="M567" s="30"/>
      <c r="N567" s="104"/>
      <c r="O567" s="104"/>
      <c r="P567" s="26"/>
      <c r="Q567" s="26"/>
      <c r="R567" s="26"/>
      <c r="S567" s="30"/>
      <c r="T567" s="84"/>
      <c r="U567" s="84"/>
      <c r="V567" s="105"/>
      <c r="W567" s="106"/>
      <c r="X567" s="33"/>
      <c r="Y567" s="34"/>
      <c r="Z567" s="34"/>
      <c r="AA567" s="34"/>
      <c r="AB567" s="34"/>
      <c r="AC567" s="107"/>
      <c r="AD567" s="35"/>
      <c r="AE567" s="35"/>
      <c r="AF567" s="35"/>
      <c r="AG567" s="35"/>
      <c r="AH567" s="35"/>
      <c r="AI567" s="34"/>
      <c r="AJ567" s="35"/>
      <c r="AK567" s="35"/>
      <c r="AL567" s="34"/>
      <c r="AM567" s="34"/>
      <c r="AN567" s="46"/>
      <c r="AO567" s="48"/>
      <c r="AP567" s="48"/>
      <c r="AQ567" s="48"/>
      <c r="AR567" s="48"/>
      <c r="AS567" s="48"/>
      <c r="AT567" s="48"/>
      <c r="AU567" s="48"/>
      <c r="AV567" s="48"/>
      <c r="AW567" s="48"/>
      <c r="AX567" s="48"/>
      <c r="AY567" s="43"/>
      <c r="AZ567" s="48"/>
      <c r="BA567" s="48"/>
      <c r="BB567" s="48"/>
      <c r="BC567" s="43"/>
      <c r="BD567" s="43"/>
      <c r="BE567" s="44"/>
      <c r="BF567" s="48"/>
      <c r="BG567" s="43"/>
    </row>
    <row r="568">
      <c r="A568" s="98"/>
      <c r="B568" s="99"/>
      <c r="C568" s="99"/>
      <c r="D568" s="21"/>
      <c r="E568" s="22"/>
      <c r="F568" s="100"/>
      <c r="G568" s="101"/>
      <c r="H568" s="100"/>
      <c r="I568" s="102"/>
      <c r="J568" s="26"/>
      <c r="K568" s="103"/>
      <c r="L568" s="47"/>
      <c r="M568" s="30"/>
      <c r="N568" s="104"/>
      <c r="O568" s="104"/>
      <c r="P568" s="26"/>
      <c r="Q568" s="26"/>
      <c r="R568" s="26"/>
      <c r="S568" s="30"/>
      <c r="T568" s="84"/>
      <c r="U568" s="84"/>
      <c r="V568" s="105"/>
      <c r="W568" s="106"/>
      <c r="X568" s="33"/>
      <c r="Y568" s="34"/>
      <c r="Z568" s="34"/>
      <c r="AA568" s="34"/>
      <c r="AB568" s="34"/>
      <c r="AC568" s="107"/>
      <c r="AD568" s="35"/>
      <c r="AE568" s="35"/>
      <c r="AF568" s="35"/>
      <c r="AG568" s="35"/>
      <c r="AH568" s="35"/>
      <c r="AI568" s="34"/>
      <c r="AJ568" s="35"/>
      <c r="AK568" s="35"/>
      <c r="AL568" s="34"/>
      <c r="AM568" s="34"/>
      <c r="AN568" s="46"/>
      <c r="AO568" s="48"/>
      <c r="AP568" s="48"/>
      <c r="AQ568" s="48"/>
      <c r="AR568" s="48"/>
      <c r="AS568" s="48"/>
      <c r="AT568" s="48"/>
      <c r="AU568" s="48"/>
      <c r="AV568" s="48"/>
      <c r="AW568" s="48"/>
      <c r="AX568" s="48"/>
      <c r="AY568" s="43"/>
      <c r="AZ568" s="48"/>
      <c r="BA568" s="48"/>
      <c r="BB568" s="48"/>
      <c r="BC568" s="43"/>
      <c r="BD568" s="43"/>
      <c r="BE568" s="44"/>
      <c r="BF568" s="48"/>
      <c r="BG568" s="43"/>
    </row>
    <row r="569">
      <c r="A569" s="98"/>
      <c r="B569" s="99"/>
      <c r="C569" s="99"/>
      <c r="D569" s="21"/>
      <c r="E569" s="22"/>
      <c r="F569" s="100"/>
      <c r="G569" s="101"/>
      <c r="H569" s="100"/>
      <c r="I569" s="102"/>
      <c r="J569" s="26"/>
      <c r="K569" s="103"/>
      <c r="L569" s="47"/>
      <c r="M569" s="30"/>
      <c r="N569" s="104"/>
      <c r="O569" s="104"/>
      <c r="P569" s="26"/>
      <c r="Q569" s="26"/>
      <c r="R569" s="26"/>
      <c r="S569" s="30"/>
      <c r="T569" s="84"/>
      <c r="U569" s="84"/>
      <c r="V569" s="105"/>
      <c r="W569" s="106"/>
      <c r="X569" s="33"/>
      <c r="Y569" s="34"/>
      <c r="Z569" s="34"/>
      <c r="AA569" s="34"/>
      <c r="AB569" s="34"/>
      <c r="AC569" s="107"/>
      <c r="AD569" s="35"/>
      <c r="AE569" s="35"/>
      <c r="AF569" s="35"/>
      <c r="AG569" s="35"/>
      <c r="AH569" s="35"/>
      <c r="AI569" s="34"/>
      <c r="AJ569" s="35"/>
      <c r="AK569" s="35"/>
      <c r="AL569" s="34"/>
      <c r="AM569" s="34"/>
      <c r="AN569" s="46"/>
      <c r="AO569" s="48"/>
      <c r="AP569" s="48"/>
      <c r="AQ569" s="48"/>
      <c r="AR569" s="48"/>
      <c r="AS569" s="48"/>
      <c r="AT569" s="48"/>
      <c r="AU569" s="48"/>
      <c r="AV569" s="48"/>
      <c r="AW569" s="48"/>
      <c r="AX569" s="48"/>
      <c r="AY569" s="43"/>
      <c r="AZ569" s="48"/>
      <c r="BA569" s="48"/>
      <c r="BB569" s="48"/>
      <c r="BC569" s="43"/>
      <c r="BD569" s="43"/>
      <c r="BE569" s="44"/>
      <c r="BF569" s="48"/>
      <c r="BG569" s="43"/>
    </row>
    <row r="570">
      <c r="A570" s="98"/>
      <c r="B570" s="99"/>
      <c r="C570" s="99"/>
      <c r="D570" s="21"/>
      <c r="E570" s="22"/>
      <c r="F570" s="100"/>
      <c r="G570" s="101"/>
      <c r="H570" s="100"/>
      <c r="I570" s="102"/>
      <c r="J570" s="26"/>
      <c r="K570" s="103"/>
      <c r="L570" s="47"/>
      <c r="M570" s="30"/>
      <c r="N570" s="104"/>
      <c r="O570" s="104"/>
      <c r="P570" s="26"/>
      <c r="Q570" s="26"/>
      <c r="R570" s="26"/>
      <c r="S570" s="30"/>
      <c r="T570" s="84"/>
      <c r="U570" s="84"/>
      <c r="V570" s="105"/>
      <c r="W570" s="106"/>
      <c r="X570" s="33"/>
      <c r="Y570" s="34"/>
      <c r="Z570" s="34"/>
      <c r="AA570" s="34"/>
      <c r="AB570" s="34"/>
      <c r="AC570" s="107"/>
      <c r="AD570" s="35"/>
      <c r="AE570" s="35"/>
      <c r="AF570" s="35"/>
      <c r="AG570" s="35"/>
      <c r="AH570" s="35"/>
      <c r="AI570" s="34"/>
      <c r="AJ570" s="35"/>
      <c r="AK570" s="35"/>
      <c r="AL570" s="34"/>
      <c r="AM570" s="34"/>
      <c r="AN570" s="46"/>
      <c r="AO570" s="48"/>
      <c r="AP570" s="48"/>
      <c r="AQ570" s="48"/>
      <c r="AR570" s="48"/>
      <c r="AS570" s="48"/>
      <c r="AT570" s="48"/>
      <c r="AU570" s="48"/>
      <c r="AV570" s="48"/>
      <c r="AW570" s="48"/>
      <c r="AX570" s="48"/>
      <c r="AY570" s="43"/>
      <c r="AZ570" s="48"/>
      <c r="BA570" s="48"/>
      <c r="BB570" s="48"/>
      <c r="BC570" s="43"/>
      <c r="BD570" s="43"/>
      <c r="BE570" s="44"/>
      <c r="BF570" s="48"/>
      <c r="BG570" s="43"/>
    </row>
    <row r="571">
      <c r="A571" s="98"/>
      <c r="B571" s="99"/>
      <c r="C571" s="99"/>
      <c r="D571" s="21"/>
      <c r="E571" s="22"/>
      <c r="F571" s="100"/>
      <c r="G571" s="101"/>
      <c r="H571" s="100"/>
      <c r="I571" s="102"/>
      <c r="J571" s="26"/>
      <c r="K571" s="103"/>
      <c r="L571" s="47"/>
      <c r="M571" s="30"/>
      <c r="N571" s="104"/>
      <c r="O571" s="104"/>
      <c r="P571" s="26"/>
      <c r="Q571" s="26"/>
      <c r="R571" s="26"/>
      <c r="S571" s="30"/>
      <c r="T571" s="84"/>
      <c r="U571" s="84"/>
      <c r="V571" s="105"/>
      <c r="W571" s="106"/>
      <c r="X571" s="33"/>
      <c r="Y571" s="34"/>
      <c r="Z571" s="34"/>
      <c r="AA571" s="34"/>
      <c r="AB571" s="34"/>
      <c r="AC571" s="107"/>
      <c r="AD571" s="35"/>
      <c r="AE571" s="35"/>
      <c r="AF571" s="35"/>
      <c r="AG571" s="35"/>
      <c r="AH571" s="35"/>
      <c r="AI571" s="34"/>
      <c r="AJ571" s="35"/>
      <c r="AK571" s="35"/>
      <c r="AL571" s="34"/>
      <c r="AM571" s="34"/>
      <c r="AN571" s="46"/>
      <c r="AO571" s="48"/>
      <c r="AP571" s="48"/>
      <c r="AQ571" s="48"/>
      <c r="AR571" s="48"/>
      <c r="AS571" s="48"/>
      <c r="AT571" s="48"/>
      <c r="AU571" s="48"/>
      <c r="AV571" s="48"/>
      <c r="AW571" s="48"/>
      <c r="AX571" s="48"/>
      <c r="AY571" s="43"/>
      <c r="AZ571" s="48"/>
      <c r="BA571" s="48"/>
      <c r="BB571" s="48"/>
      <c r="BC571" s="43"/>
      <c r="BD571" s="43"/>
      <c r="BE571" s="44"/>
      <c r="BF571" s="48"/>
      <c r="BG571" s="43"/>
    </row>
    <row r="572">
      <c r="A572" s="98"/>
      <c r="B572" s="99"/>
      <c r="C572" s="99"/>
      <c r="D572" s="21"/>
      <c r="E572" s="22"/>
      <c r="F572" s="100"/>
      <c r="G572" s="101"/>
      <c r="H572" s="100"/>
      <c r="I572" s="102"/>
      <c r="J572" s="26"/>
      <c r="K572" s="103"/>
      <c r="L572" s="47"/>
      <c r="M572" s="30"/>
      <c r="N572" s="104"/>
      <c r="O572" s="104"/>
      <c r="P572" s="26"/>
      <c r="Q572" s="26"/>
      <c r="R572" s="26"/>
      <c r="S572" s="30"/>
      <c r="T572" s="84"/>
      <c r="U572" s="84"/>
      <c r="V572" s="105"/>
      <c r="W572" s="106"/>
      <c r="X572" s="33"/>
      <c r="Y572" s="34"/>
      <c r="Z572" s="34"/>
      <c r="AA572" s="34"/>
      <c r="AB572" s="34"/>
      <c r="AC572" s="107"/>
      <c r="AD572" s="35"/>
      <c r="AE572" s="35"/>
      <c r="AF572" s="35"/>
      <c r="AG572" s="35"/>
      <c r="AH572" s="35"/>
      <c r="AI572" s="34"/>
      <c r="AJ572" s="35"/>
      <c r="AK572" s="35"/>
      <c r="AL572" s="34"/>
      <c r="AM572" s="34"/>
      <c r="AN572" s="46"/>
      <c r="AO572" s="48"/>
      <c r="AP572" s="48"/>
      <c r="AQ572" s="48"/>
      <c r="AR572" s="48"/>
      <c r="AS572" s="48"/>
      <c r="AT572" s="48"/>
      <c r="AU572" s="48"/>
      <c r="AV572" s="48"/>
      <c r="AW572" s="48"/>
      <c r="AX572" s="48"/>
      <c r="AY572" s="43"/>
      <c r="AZ572" s="48"/>
      <c r="BA572" s="48"/>
      <c r="BB572" s="48"/>
      <c r="BC572" s="43"/>
      <c r="BD572" s="43"/>
      <c r="BE572" s="44"/>
      <c r="BF572" s="48"/>
      <c r="BG572" s="43"/>
    </row>
    <row r="573">
      <c r="A573" s="98"/>
      <c r="B573" s="99"/>
      <c r="C573" s="99"/>
      <c r="D573" s="21"/>
      <c r="E573" s="22"/>
      <c r="F573" s="100"/>
      <c r="G573" s="101"/>
      <c r="H573" s="100"/>
      <c r="I573" s="102"/>
      <c r="J573" s="26"/>
      <c r="K573" s="103"/>
      <c r="L573" s="47"/>
      <c r="M573" s="30"/>
      <c r="N573" s="104"/>
      <c r="O573" s="104"/>
      <c r="P573" s="26"/>
      <c r="Q573" s="26"/>
      <c r="R573" s="26"/>
      <c r="S573" s="30"/>
      <c r="T573" s="84"/>
      <c r="U573" s="84"/>
      <c r="V573" s="105"/>
      <c r="W573" s="106"/>
      <c r="X573" s="33"/>
      <c r="Y573" s="34"/>
      <c r="Z573" s="34"/>
      <c r="AA573" s="34"/>
      <c r="AB573" s="34"/>
      <c r="AC573" s="107"/>
      <c r="AD573" s="35"/>
      <c r="AE573" s="35"/>
      <c r="AF573" s="35"/>
      <c r="AG573" s="35"/>
      <c r="AH573" s="35"/>
      <c r="AI573" s="34"/>
      <c r="AJ573" s="35"/>
      <c r="AK573" s="35"/>
      <c r="AL573" s="34"/>
      <c r="AM573" s="34"/>
      <c r="AN573" s="46"/>
      <c r="AO573" s="48"/>
      <c r="AP573" s="48"/>
      <c r="AQ573" s="48"/>
      <c r="AR573" s="48"/>
      <c r="AS573" s="48"/>
      <c r="AT573" s="48"/>
      <c r="AU573" s="48"/>
      <c r="AV573" s="48"/>
      <c r="AW573" s="48"/>
      <c r="AX573" s="48"/>
      <c r="AY573" s="43"/>
      <c r="AZ573" s="48"/>
      <c r="BA573" s="48"/>
      <c r="BB573" s="48"/>
      <c r="BC573" s="43"/>
      <c r="BD573" s="43"/>
      <c r="BE573" s="44"/>
      <c r="BF573" s="48"/>
      <c r="BG573" s="43"/>
    </row>
    <row r="574">
      <c r="A574" s="98"/>
      <c r="B574" s="99"/>
      <c r="C574" s="99"/>
      <c r="D574" s="21"/>
      <c r="E574" s="22"/>
      <c r="F574" s="100"/>
      <c r="G574" s="101"/>
      <c r="H574" s="100"/>
      <c r="I574" s="102"/>
      <c r="J574" s="26"/>
      <c r="K574" s="103"/>
      <c r="L574" s="47"/>
      <c r="M574" s="30"/>
      <c r="N574" s="104"/>
      <c r="O574" s="104"/>
      <c r="P574" s="26"/>
      <c r="Q574" s="26"/>
      <c r="R574" s="26"/>
      <c r="S574" s="30"/>
      <c r="T574" s="84"/>
      <c r="U574" s="84"/>
      <c r="V574" s="105"/>
      <c r="W574" s="106"/>
      <c r="X574" s="33"/>
      <c r="Y574" s="34"/>
      <c r="Z574" s="34"/>
      <c r="AA574" s="34"/>
      <c r="AB574" s="34"/>
      <c r="AC574" s="107"/>
      <c r="AD574" s="35"/>
      <c r="AE574" s="35"/>
      <c r="AF574" s="35"/>
      <c r="AG574" s="35"/>
      <c r="AH574" s="35"/>
      <c r="AI574" s="34"/>
      <c r="AJ574" s="35"/>
      <c r="AK574" s="35"/>
      <c r="AL574" s="34"/>
      <c r="AM574" s="34"/>
      <c r="AN574" s="46"/>
      <c r="AO574" s="48"/>
      <c r="AP574" s="48"/>
      <c r="AQ574" s="48"/>
      <c r="AR574" s="48"/>
      <c r="AS574" s="48"/>
      <c r="AT574" s="48"/>
      <c r="AU574" s="48"/>
      <c r="AV574" s="48"/>
      <c r="AW574" s="48"/>
      <c r="AX574" s="48"/>
      <c r="AY574" s="43"/>
      <c r="AZ574" s="48"/>
      <c r="BA574" s="48"/>
      <c r="BB574" s="48"/>
      <c r="BC574" s="43"/>
      <c r="BD574" s="43"/>
      <c r="BE574" s="44"/>
      <c r="BF574" s="48"/>
      <c r="BG574" s="43"/>
    </row>
    <row r="575">
      <c r="A575" s="98"/>
      <c r="B575" s="99"/>
      <c r="C575" s="99"/>
      <c r="D575" s="21"/>
      <c r="E575" s="22"/>
      <c r="F575" s="100"/>
      <c r="G575" s="101"/>
      <c r="H575" s="100"/>
      <c r="I575" s="102"/>
      <c r="J575" s="26"/>
      <c r="K575" s="103"/>
      <c r="L575" s="47"/>
      <c r="M575" s="30"/>
      <c r="N575" s="104"/>
      <c r="O575" s="104"/>
      <c r="P575" s="26"/>
      <c r="Q575" s="26"/>
      <c r="R575" s="26"/>
      <c r="S575" s="30"/>
      <c r="T575" s="84"/>
      <c r="U575" s="84"/>
      <c r="V575" s="105"/>
      <c r="W575" s="106"/>
      <c r="X575" s="33"/>
      <c r="Y575" s="34"/>
      <c r="Z575" s="34"/>
      <c r="AA575" s="34"/>
      <c r="AB575" s="34"/>
      <c r="AC575" s="107"/>
      <c r="AD575" s="35"/>
      <c r="AE575" s="35"/>
      <c r="AF575" s="35"/>
      <c r="AG575" s="35"/>
      <c r="AH575" s="35"/>
      <c r="AI575" s="34"/>
      <c r="AJ575" s="35"/>
      <c r="AK575" s="35"/>
      <c r="AL575" s="34"/>
      <c r="AM575" s="34"/>
      <c r="AN575" s="46"/>
      <c r="AO575" s="48"/>
      <c r="AP575" s="48"/>
      <c r="AQ575" s="48"/>
      <c r="AR575" s="48"/>
      <c r="AS575" s="48"/>
      <c r="AT575" s="48"/>
      <c r="AU575" s="48"/>
      <c r="AV575" s="48"/>
      <c r="AW575" s="48"/>
      <c r="AX575" s="48"/>
      <c r="AY575" s="43"/>
      <c r="AZ575" s="48"/>
      <c r="BA575" s="48"/>
      <c r="BB575" s="48"/>
      <c r="BC575" s="43"/>
      <c r="BD575" s="43"/>
      <c r="BE575" s="44"/>
      <c r="BF575" s="48"/>
      <c r="BG575" s="43"/>
    </row>
    <row r="576">
      <c r="A576" s="98"/>
      <c r="B576" s="99"/>
      <c r="C576" s="99"/>
      <c r="D576" s="21"/>
      <c r="E576" s="22"/>
      <c r="F576" s="100"/>
      <c r="G576" s="101"/>
      <c r="H576" s="100"/>
      <c r="I576" s="102"/>
      <c r="J576" s="26"/>
      <c r="K576" s="103"/>
      <c r="L576" s="47"/>
      <c r="M576" s="30"/>
      <c r="N576" s="104"/>
      <c r="O576" s="104"/>
      <c r="P576" s="26"/>
      <c r="Q576" s="26"/>
      <c r="R576" s="26"/>
      <c r="S576" s="30"/>
      <c r="T576" s="84"/>
      <c r="U576" s="84"/>
      <c r="V576" s="105"/>
      <c r="W576" s="106"/>
      <c r="X576" s="33"/>
      <c r="Y576" s="34"/>
      <c r="Z576" s="34"/>
      <c r="AA576" s="34"/>
      <c r="AB576" s="34"/>
      <c r="AC576" s="107"/>
      <c r="AD576" s="35"/>
      <c r="AE576" s="35"/>
      <c r="AF576" s="35"/>
      <c r="AG576" s="35"/>
      <c r="AH576" s="35"/>
      <c r="AI576" s="34"/>
      <c r="AJ576" s="35"/>
      <c r="AK576" s="35"/>
      <c r="AL576" s="34"/>
      <c r="AM576" s="34"/>
      <c r="AN576" s="46"/>
      <c r="AO576" s="48"/>
      <c r="AP576" s="48"/>
      <c r="AQ576" s="48"/>
      <c r="AR576" s="48"/>
      <c r="AS576" s="48"/>
      <c r="AT576" s="48"/>
      <c r="AU576" s="48"/>
      <c r="AV576" s="48"/>
      <c r="AW576" s="48"/>
      <c r="AX576" s="48"/>
      <c r="AY576" s="43"/>
      <c r="AZ576" s="48"/>
      <c r="BA576" s="48"/>
      <c r="BB576" s="48"/>
      <c r="BC576" s="43"/>
      <c r="BD576" s="43"/>
      <c r="BE576" s="44"/>
      <c r="BF576" s="48"/>
      <c r="BG576" s="43"/>
    </row>
    <row r="577">
      <c r="A577" s="98"/>
      <c r="B577" s="99"/>
      <c r="C577" s="99"/>
      <c r="D577" s="21"/>
      <c r="E577" s="22"/>
      <c r="F577" s="100"/>
      <c r="G577" s="101"/>
      <c r="H577" s="100"/>
      <c r="I577" s="102"/>
      <c r="J577" s="26"/>
      <c r="K577" s="103"/>
      <c r="L577" s="47"/>
      <c r="M577" s="30"/>
      <c r="N577" s="104"/>
      <c r="O577" s="104"/>
      <c r="P577" s="26"/>
      <c r="Q577" s="26"/>
      <c r="R577" s="26"/>
      <c r="S577" s="30"/>
      <c r="T577" s="84"/>
      <c r="U577" s="84"/>
      <c r="V577" s="105"/>
      <c r="W577" s="106"/>
      <c r="X577" s="33"/>
      <c r="Y577" s="34"/>
      <c r="Z577" s="34"/>
      <c r="AA577" s="34"/>
      <c r="AB577" s="34"/>
      <c r="AC577" s="107"/>
      <c r="AD577" s="35"/>
      <c r="AE577" s="35"/>
      <c r="AF577" s="35"/>
      <c r="AG577" s="35"/>
      <c r="AH577" s="35"/>
      <c r="AI577" s="34"/>
      <c r="AJ577" s="35"/>
      <c r="AK577" s="35"/>
      <c r="AL577" s="34"/>
      <c r="AM577" s="34"/>
      <c r="AN577" s="46"/>
      <c r="AO577" s="48"/>
      <c r="AP577" s="48"/>
      <c r="AQ577" s="48"/>
      <c r="AR577" s="48"/>
      <c r="AS577" s="48"/>
      <c r="AT577" s="48"/>
      <c r="AU577" s="48"/>
      <c r="AV577" s="48"/>
      <c r="AW577" s="48"/>
      <c r="AX577" s="48"/>
      <c r="AY577" s="43"/>
      <c r="AZ577" s="48"/>
      <c r="BA577" s="48"/>
      <c r="BB577" s="48"/>
      <c r="BC577" s="43"/>
      <c r="BD577" s="43"/>
      <c r="BE577" s="44"/>
      <c r="BF577" s="48"/>
      <c r="BG577" s="43"/>
    </row>
    <row r="578">
      <c r="A578" s="98"/>
      <c r="B578" s="99"/>
      <c r="C578" s="99"/>
      <c r="D578" s="21"/>
      <c r="E578" s="22"/>
      <c r="F578" s="100"/>
      <c r="G578" s="101"/>
      <c r="H578" s="100"/>
      <c r="I578" s="102"/>
      <c r="J578" s="26"/>
      <c r="K578" s="103"/>
      <c r="L578" s="47"/>
      <c r="M578" s="30"/>
      <c r="N578" s="104"/>
      <c r="O578" s="104"/>
      <c r="P578" s="26"/>
      <c r="Q578" s="26"/>
      <c r="R578" s="26"/>
      <c r="S578" s="30"/>
      <c r="T578" s="84"/>
      <c r="U578" s="84"/>
      <c r="V578" s="105"/>
      <c r="W578" s="106"/>
      <c r="X578" s="33"/>
      <c r="Y578" s="34"/>
      <c r="Z578" s="34"/>
      <c r="AA578" s="34"/>
      <c r="AB578" s="34"/>
      <c r="AC578" s="107"/>
      <c r="AD578" s="35"/>
      <c r="AE578" s="35"/>
      <c r="AF578" s="35"/>
      <c r="AG578" s="35"/>
      <c r="AH578" s="35"/>
      <c r="AI578" s="34"/>
      <c r="AJ578" s="35"/>
      <c r="AK578" s="35"/>
      <c r="AL578" s="34"/>
      <c r="AM578" s="34"/>
      <c r="AN578" s="46"/>
      <c r="AO578" s="48"/>
      <c r="AP578" s="48"/>
      <c r="AQ578" s="48"/>
      <c r="AR578" s="48"/>
      <c r="AS578" s="48"/>
      <c r="AT578" s="48"/>
      <c r="AU578" s="48"/>
      <c r="AV578" s="48"/>
      <c r="AW578" s="48"/>
      <c r="AX578" s="48"/>
      <c r="AY578" s="43"/>
      <c r="AZ578" s="48"/>
      <c r="BA578" s="48"/>
      <c r="BB578" s="48"/>
      <c r="BC578" s="43"/>
      <c r="BD578" s="43"/>
      <c r="BE578" s="44"/>
      <c r="BF578" s="48"/>
      <c r="BG578" s="43"/>
    </row>
    <row r="579">
      <c r="A579" s="98"/>
      <c r="B579" s="99"/>
      <c r="C579" s="99"/>
      <c r="D579" s="21"/>
      <c r="E579" s="22"/>
      <c r="F579" s="100"/>
      <c r="G579" s="101"/>
      <c r="H579" s="100"/>
      <c r="I579" s="102"/>
      <c r="J579" s="26"/>
      <c r="K579" s="103"/>
      <c r="L579" s="47"/>
      <c r="M579" s="30"/>
      <c r="N579" s="104"/>
      <c r="O579" s="104"/>
      <c r="P579" s="26"/>
      <c r="Q579" s="26"/>
      <c r="R579" s="26"/>
      <c r="S579" s="30"/>
      <c r="T579" s="84"/>
      <c r="U579" s="84"/>
      <c r="V579" s="105"/>
      <c r="W579" s="106"/>
      <c r="X579" s="33"/>
      <c r="Y579" s="34"/>
      <c r="Z579" s="34"/>
      <c r="AA579" s="34"/>
      <c r="AB579" s="34"/>
      <c r="AC579" s="107"/>
      <c r="AD579" s="35"/>
      <c r="AE579" s="35"/>
      <c r="AF579" s="35"/>
      <c r="AG579" s="35"/>
      <c r="AH579" s="35"/>
      <c r="AI579" s="34"/>
      <c r="AJ579" s="35"/>
      <c r="AK579" s="35"/>
      <c r="AL579" s="34"/>
      <c r="AM579" s="34"/>
      <c r="AN579" s="46"/>
      <c r="AO579" s="48"/>
      <c r="AP579" s="48"/>
      <c r="AQ579" s="48"/>
      <c r="AR579" s="48"/>
      <c r="AS579" s="48"/>
      <c r="AT579" s="48"/>
      <c r="AU579" s="48"/>
      <c r="AV579" s="48"/>
      <c r="AW579" s="48"/>
      <c r="AX579" s="48"/>
      <c r="AY579" s="43"/>
      <c r="AZ579" s="48"/>
      <c r="BA579" s="48"/>
      <c r="BB579" s="48"/>
      <c r="BC579" s="43"/>
      <c r="BD579" s="43"/>
      <c r="BE579" s="44"/>
      <c r="BF579" s="48"/>
      <c r="BG579" s="43"/>
    </row>
    <row r="580">
      <c r="A580" s="98"/>
      <c r="B580" s="99"/>
      <c r="C580" s="99"/>
      <c r="D580" s="21"/>
      <c r="E580" s="22"/>
      <c r="F580" s="100"/>
      <c r="G580" s="101"/>
      <c r="H580" s="100"/>
      <c r="I580" s="102"/>
      <c r="J580" s="26"/>
      <c r="K580" s="103"/>
      <c r="L580" s="47"/>
      <c r="M580" s="30"/>
      <c r="N580" s="104"/>
      <c r="O580" s="104"/>
      <c r="P580" s="26"/>
      <c r="Q580" s="26"/>
      <c r="R580" s="26"/>
      <c r="S580" s="30"/>
      <c r="T580" s="84"/>
      <c r="U580" s="84"/>
      <c r="V580" s="105"/>
      <c r="W580" s="106"/>
      <c r="X580" s="33"/>
      <c r="Y580" s="34"/>
      <c r="Z580" s="34"/>
      <c r="AA580" s="34"/>
      <c r="AB580" s="34"/>
      <c r="AC580" s="107"/>
      <c r="AD580" s="35"/>
      <c r="AE580" s="35"/>
      <c r="AF580" s="35"/>
      <c r="AG580" s="35"/>
      <c r="AH580" s="35"/>
      <c r="AI580" s="34"/>
      <c r="AJ580" s="35"/>
      <c r="AK580" s="35"/>
      <c r="AL580" s="34"/>
      <c r="AM580" s="34"/>
      <c r="AN580" s="46"/>
      <c r="AO580" s="48"/>
      <c r="AP580" s="48"/>
      <c r="AQ580" s="48"/>
      <c r="AR580" s="48"/>
      <c r="AS580" s="48"/>
      <c r="AT580" s="48"/>
      <c r="AU580" s="48"/>
      <c r="AV580" s="48"/>
      <c r="AW580" s="48"/>
      <c r="AX580" s="48"/>
      <c r="AY580" s="43"/>
      <c r="AZ580" s="48"/>
      <c r="BA580" s="48"/>
      <c r="BB580" s="48"/>
      <c r="BC580" s="43"/>
      <c r="BD580" s="43"/>
      <c r="BE580" s="44"/>
      <c r="BF580" s="48"/>
      <c r="BG580" s="43"/>
    </row>
    <row r="581">
      <c r="A581" s="98"/>
      <c r="B581" s="99"/>
      <c r="C581" s="99"/>
      <c r="D581" s="21"/>
      <c r="E581" s="22"/>
      <c r="F581" s="100"/>
      <c r="G581" s="101"/>
      <c r="H581" s="100"/>
      <c r="I581" s="102"/>
      <c r="J581" s="26"/>
      <c r="K581" s="103"/>
      <c r="L581" s="47"/>
      <c r="M581" s="30"/>
      <c r="N581" s="104"/>
      <c r="O581" s="104"/>
      <c r="P581" s="26"/>
      <c r="Q581" s="26"/>
      <c r="R581" s="26"/>
      <c r="S581" s="30"/>
      <c r="T581" s="84"/>
      <c r="U581" s="84"/>
      <c r="V581" s="105"/>
      <c r="W581" s="106"/>
      <c r="X581" s="33"/>
      <c r="Y581" s="34"/>
      <c r="Z581" s="34"/>
      <c r="AA581" s="34"/>
      <c r="AB581" s="34"/>
      <c r="AC581" s="107"/>
      <c r="AD581" s="35"/>
      <c r="AE581" s="35"/>
      <c r="AF581" s="35"/>
      <c r="AG581" s="35"/>
      <c r="AH581" s="35"/>
      <c r="AI581" s="34"/>
      <c r="AJ581" s="35"/>
      <c r="AK581" s="35"/>
      <c r="AL581" s="34"/>
      <c r="AM581" s="34"/>
      <c r="AN581" s="46"/>
      <c r="AO581" s="48"/>
      <c r="AP581" s="48"/>
      <c r="AQ581" s="48"/>
      <c r="AR581" s="48"/>
      <c r="AS581" s="48"/>
      <c r="AT581" s="48"/>
      <c r="AU581" s="48"/>
      <c r="AV581" s="48"/>
      <c r="AW581" s="48"/>
      <c r="AX581" s="48"/>
      <c r="AY581" s="43"/>
      <c r="AZ581" s="48"/>
      <c r="BA581" s="48"/>
      <c r="BB581" s="48"/>
      <c r="BC581" s="43"/>
      <c r="BD581" s="43"/>
      <c r="BE581" s="44"/>
      <c r="BF581" s="48"/>
      <c r="BG581" s="43"/>
    </row>
    <row r="582">
      <c r="A582" s="98"/>
      <c r="B582" s="99"/>
      <c r="C582" s="99"/>
      <c r="D582" s="21"/>
      <c r="E582" s="22"/>
      <c r="F582" s="100"/>
      <c r="G582" s="101"/>
      <c r="H582" s="100"/>
      <c r="I582" s="102"/>
      <c r="J582" s="26"/>
      <c r="K582" s="103"/>
      <c r="L582" s="47"/>
      <c r="M582" s="30"/>
      <c r="N582" s="104"/>
      <c r="O582" s="104"/>
      <c r="P582" s="26"/>
      <c r="Q582" s="26"/>
      <c r="R582" s="26"/>
      <c r="S582" s="30"/>
      <c r="T582" s="84"/>
      <c r="U582" s="84"/>
      <c r="V582" s="105"/>
      <c r="W582" s="106"/>
      <c r="X582" s="33"/>
      <c r="Y582" s="34"/>
      <c r="Z582" s="34"/>
      <c r="AA582" s="34"/>
      <c r="AB582" s="34"/>
      <c r="AC582" s="107"/>
      <c r="AD582" s="35"/>
      <c r="AE582" s="35"/>
      <c r="AF582" s="35"/>
      <c r="AG582" s="35"/>
      <c r="AH582" s="35"/>
      <c r="AI582" s="34"/>
      <c r="AJ582" s="35"/>
      <c r="AK582" s="35"/>
      <c r="AL582" s="34"/>
      <c r="AM582" s="34"/>
      <c r="AN582" s="46"/>
      <c r="AO582" s="48"/>
      <c r="AP582" s="48"/>
      <c r="AQ582" s="48"/>
      <c r="AR582" s="48"/>
      <c r="AS582" s="48"/>
      <c r="AT582" s="48"/>
      <c r="AU582" s="48"/>
      <c r="AV582" s="48"/>
      <c r="AW582" s="48"/>
      <c r="AX582" s="48"/>
      <c r="AY582" s="43"/>
      <c r="AZ582" s="48"/>
      <c r="BA582" s="48"/>
      <c r="BB582" s="48"/>
      <c r="BC582" s="43"/>
      <c r="BD582" s="43"/>
      <c r="BE582" s="44"/>
      <c r="BF582" s="48"/>
      <c r="BG582" s="43"/>
    </row>
    <row r="583">
      <c r="A583" s="98"/>
      <c r="B583" s="99"/>
      <c r="C583" s="99"/>
      <c r="D583" s="21"/>
      <c r="E583" s="22"/>
      <c r="F583" s="100"/>
      <c r="G583" s="101"/>
      <c r="H583" s="100"/>
      <c r="I583" s="102"/>
      <c r="J583" s="26"/>
      <c r="K583" s="103"/>
      <c r="L583" s="47"/>
      <c r="M583" s="30"/>
      <c r="N583" s="104"/>
      <c r="O583" s="104"/>
      <c r="P583" s="26"/>
      <c r="Q583" s="26"/>
      <c r="R583" s="26"/>
      <c r="S583" s="30"/>
      <c r="T583" s="84"/>
      <c r="U583" s="84"/>
      <c r="V583" s="105"/>
      <c r="W583" s="106"/>
      <c r="X583" s="33"/>
      <c r="Y583" s="34"/>
      <c r="Z583" s="34"/>
      <c r="AA583" s="34"/>
      <c r="AB583" s="34"/>
      <c r="AC583" s="107"/>
      <c r="AD583" s="35"/>
      <c r="AE583" s="35"/>
      <c r="AF583" s="35"/>
      <c r="AG583" s="35"/>
      <c r="AH583" s="35"/>
      <c r="AI583" s="34"/>
      <c r="AJ583" s="35"/>
      <c r="AK583" s="35"/>
      <c r="AL583" s="34"/>
      <c r="AM583" s="34"/>
      <c r="AN583" s="46"/>
      <c r="AO583" s="48"/>
      <c r="AP583" s="48"/>
      <c r="AQ583" s="48"/>
      <c r="AR583" s="48"/>
      <c r="AS583" s="48"/>
      <c r="AT583" s="48"/>
      <c r="AU583" s="48"/>
      <c r="AV583" s="48"/>
      <c r="AW583" s="48"/>
      <c r="AX583" s="48"/>
      <c r="AY583" s="43"/>
      <c r="AZ583" s="48"/>
      <c r="BA583" s="48"/>
      <c r="BB583" s="48"/>
      <c r="BC583" s="43"/>
      <c r="BD583" s="43"/>
      <c r="BE583" s="44"/>
      <c r="BF583" s="48"/>
      <c r="BG583" s="43"/>
    </row>
    <row r="584">
      <c r="A584" s="98"/>
      <c r="B584" s="99"/>
      <c r="C584" s="99"/>
      <c r="D584" s="21"/>
      <c r="E584" s="22"/>
      <c r="F584" s="100"/>
      <c r="G584" s="101"/>
      <c r="H584" s="100"/>
      <c r="I584" s="102"/>
      <c r="J584" s="26"/>
      <c r="K584" s="103"/>
      <c r="L584" s="47"/>
      <c r="M584" s="30"/>
      <c r="N584" s="104"/>
      <c r="O584" s="104"/>
      <c r="P584" s="26"/>
      <c r="Q584" s="26"/>
      <c r="R584" s="26"/>
      <c r="S584" s="30"/>
      <c r="T584" s="84"/>
      <c r="U584" s="84"/>
      <c r="V584" s="105"/>
      <c r="W584" s="106"/>
      <c r="X584" s="33"/>
      <c r="Y584" s="34"/>
      <c r="Z584" s="34"/>
      <c r="AA584" s="34"/>
      <c r="AB584" s="34"/>
      <c r="AC584" s="107"/>
      <c r="AD584" s="35"/>
      <c r="AE584" s="35"/>
      <c r="AF584" s="35"/>
      <c r="AG584" s="35"/>
      <c r="AH584" s="35"/>
      <c r="AI584" s="34"/>
      <c r="AJ584" s="35"/>
      <c r="AK584" s="35"/>
      <c r="AL584" s="34"/>
      <c r="AM584" s="34"/>
      <c r="AN584" s="46"/>
      <c r="AO584" s="48"/>
      <c r="AP584" s="48"/>
      <c r="AQ584" s="48"/>
      <c r="AR584" s="48"/>
      <c r="AS584" s="48"/>
      <c r="AT584" s="48"/>
      <c r="AU584" s="48"/>
      <c r="AV584" s="48"/>
      <c r="AW584" s="48"/>
      <c r="AX584" s="48"/>
      <c r="AY584" s="43"/>
      <c r="AZ584" s="48"/>
      <c r="BA584" s="48"/>
      <c r="BB584" s="48"/>
      <c r="BC584" s="43"/>
      <c r="BD584" s="43"/>
      <c r="BE584" s="44"/>
      <c r="BF584" s="48"/>
      <c r="BG584" s="43"/>
    </row>
    <row r="585">
      <c r="A585" s="98"/>
      <c r="B585" s="99"/>
      <c r="C585" s="99"/>
      <c r="D585" s="21"/>
      <c r="E585" s="22"/>
      <c r="F585" s="100"/>
      <c r="G585" s="101"/>
      <c r="H585" s="100"/>
      <c r="I585" s="102"/>
      <c r="J585" s="26"/>
      <c r="K585" s="103"/>
      <c r="L585" s="47"/>
      <c r="M585" s="30"/>
      <c r="N585" s="104"/>
      <c r="O585" s="104"/>
      <c r="P585" s="26"/>
      <c r="Q585" s="26"/>
      <c r="R585" s="26"/>
      <c r="S585" s="30"/>
      <c r="T585" s="84"/>
      <c r="U585" s="84"/>
      <c r="V585" s="105"/>
      <c r="W585" s="106"/>
      <c r="X585" s="33"/>
      <c r="Y585" s="34"/>
      <c r="Z585" s="34"/>
      <c r="AA585" s="34"/>
      <c r="AB585" s="34"/>
      <c r="AC585" s="107"/>
      <c r="AD585" s="35"/>
      <c r="AE585" s="35"/>
      <c r="AF585" s="35"/>
      <c r="AG585" s="35"/>
      <c r="AH585" s="35"/>
      <c r="AI585" s="34"/>
      <c r="AJ585" s="35"/>
      <c r="AK585" s="35"/>
      <c r="AL585" s="34"/>
      <c r="AM585" s="34"/>
      <c r="AN585" s="46"/>
      <c r="AO585" s="48"/>
      <c r="AP585" s="48"/>
      <c r="AQ585" s="48"/>
      <c r="AR585" s="48"/>
      <c r="AS585" s="48"/>
      <c r="AT585" s="48"/>
      <c r="AU585" s="48"/>
      <c r="AV585" s="48"/>
      <c r="AW585" s="48"/>
      <c r="AX585" s="48"/>
      <c r="AY585" s="43"/>
      <c r="AZ585" s="48"/>
      <c r="BA585" s="48"/>
      <c r="BB585" s="48"/>
      <c r="BC585" s="43"/>
      <c r="BD585" s="43"/>
      <c r="BE585" s="44"/>
      <c r="BF585" s="48"/>
      <c r="BG585" s="43"/>
    </row>
    <row r="586">
      <c r="A586" s="98"/>
      <c r="B586" s="99"/>
      <c r="C586" s="99"/>
      <c r="D586" s="21"/>
      <c r="E586" s="22"/>
      <c r="F586" s="100"/>
      <c r="G586" s="101"/>
      <c r="H586" s="100"/>
      <c r="I586" s="102"/>
      <c r="J586" s="26"/>
      <c r="K586" s="103"/>
      <c r="L586" s="47"/>
      <c r="M586" s="30"/>
      <c r="N586" s="104"/>
      <c r="O586" s="104"/>
      <c r="P586" s="26"/>
      <c r="Q586" s="26"/>
      <c r="R586" s="26"/>
      <c r="S586" s="30"/>
      <c r="T586" s="84"/>
      <c r="U586" s="84"/>
      <c r="V586" s="105"/>
      <c r="W586" s="106"/>
      <c r="X586" s="33"/>
      <c r="Y586" s="34"/>
      <c r="Z586" s="34"/>
      <c r="AA586" s="34"/>
      <c r="AB586" s="34"/>
      <c r="AC586" s="107"/>
      <c r="AD586" s="35"/>
      <c r="AE586" s="35"/>
      <c r="AF586" s="35"/>
      <c r="AG586" s="35"/>
      <c r="AH586" s="35"/>
      <c r="AI586" s="34"/>
      <c r="AJ586" s="35"/>
      <c r="AK586" s="35"/>
      <c r="AL586" s="34"/>
      <c r="AM586" s="34"/>
      <c r="AN586" s="46"/>
      <c r="AO586" s="48"/>
      <c r="AP586" s="48"/>
      <c r="AQ586" s="48"/>
      <c r="AR586" s="48"/>
      <c r="AS586" s="48"/>
      <c r="AT586" s="48"/>
      <c r="AU586" s="48"/>
      <c r="AV586" s="48"/>
      <c r="AW586" s="48"/>
      <c r="AX586" s="48"/>
      <c r="AY586" s="43"/>
      <c r="AZ586" s="48"/>
      <c r="BA586" s="48"/>
      <c r="BB586" s="48"/>
      <c r="BC586" s="43"/>
      <c r="BD586" s="43"/>
      <c r="BE586" s="44"/>
      <c r="BF586" s="48"/>
      <c r="BG586" s="43"/>
    </row>
    <row r="587">
      <c r="A587" s="98"/>
      <c r="B587" s="99"/>
      <c r="C587" s="99"/>
      <c r="D587" s="21"/>
      <c r="E587" s="22"/>
      <c r="F587" s="100"/>
      <c r="G587" s="101"/>
      <c r="H587" s="100"/>
      <c r="I587" s="102"/>
      <c r="J587" s="26"/>
      <c r="K587" s="103"/>
      <c r="L587" s="47"/>
      <c r="M587" s="30"/>
      <c r="N587" s="104"/>
      <c r="O587" s="104"/>
      <c r="P587" s="26"/>
      <c r="Q587" s="26"/>
      <c r="R587" s="26"/>
      <c r="S587" s="30"/>
      <c r="T587" s="84"/>
      <c r="U587" s="84"/>
      <c r="V587" s="105"/>
      <c r="W587" s="106"/>
      <c r="X587" s="33"/>
      <c r="Y587" s="34"/>
      <c r="Z587" s="34"/>
      <c r="AA587" s="34"/>
      <c r="AB587" s="34"/>
      <c r="AC587" s="107"/>
      <c r="AD587" s="35"/>
      <c r="AE587" s="35"/>
      <c r="AF587" s="35"/>
      <c r="AG587" s="35"/>
      <c r="AH587" s="35"/>
      <c r="AI587" s="34"/>
      <c r="AJ587" s="35"/>
      <c r="AK587" s="35"/>
      <c r="AL587" s="34"/>
      <c r="AM587" s="34"/>
      <c r="AN587" s="46"/>
      <c r="AO587" s="48"/>
      <c r="AP587" s="48"/>
      <c r="AQ587" s="48"/>
      <c r="AR587" s="48"/>
      <c r="AS587" s="48"/>
      <c r="AT587" s="48"/>
      <c r="AU587" s="48"/>
      <c r="AV587" s="48"/>
      <c r="AW587" s="48"/>
      <c r="AX587" s="48"/>
      <c r="AY587" s="43"/>
      <c r="AZ587" s="48"/>
      <c r="BA587" s="48"/>
      <c r="BB587" s="48"/>
      <c r="BC587" s="43"/>
      <c r="BD587" s="43"/>
      <c r="BE587" s="44"/>
      <c r="BF587" s="48"/>
      <c r="BG587" s="43"/>
    </row>
    <row r="588">
      <c r="A588" s="98"/>
      <c r="B588" s="99"/>
      <c r="C588" s="99"/>
      <c r="D588" s="21"/>
      <c r="E588" s="22"/>
      <c r="F588" s="100"/>
      <c r="G588" s="101"/>
      <c r="H588" s="100"/>
      <c r="I588" s="102"/>
      <c r="J588" s="26"/>
      <c r="K588" s="103"/>
      <c r="L588" s="47"/>
      <c r="M588" s="30"/>
      <c r="N588" s="104"/>
      <c r="O588" s="104"/>
      <c r="P588" s="26"/>
      <c r="Q588" s="26"/>
      <c r="R588" s="26"/>
      <c r="S588" s="30"/>
      <c r="T588" s="84"/>
      <c r="U588" s="84"/>
      <c r="V588" s="105"/>
      <c r="W588" s="106"/>
      <c r="X588" s="33"/>
      <c r="Y588" s="34"/>
      <c r="Z588" s="34"/>
      <c r="AA588" s="34"/>
      <c r="AB588" s="34"/>
      <c r="AC588" s="107"/>
      <c r="AD588" s="35"/>
      <c r="AE588" s="35"/>
      <c r="AF588" s="35"/>
      <c r="AG588" s="35"/>
      <c r="AH588" s="35"/>
      <c r="AI588" s="34"/>
      <c r="AJ588" s="35"/>
      <c r="AK588" s="35"/>
      <c r="AL588" s="34"/>
      <c r="AM588" s="34"/>
      <c r="AN588" s="46"/>
      <c r="AO588" s="48"/>
      <c r="AP588" s="48"/>
      <c r="AQ588" s="48"/>
      <c r="AR588" s="48"/>
      <c r="AS588" s="48"/>
      <c r="AT588" s="48"/>
      <c r="AU588" s="48"/>
      <c r="AV588" s="48"/>
      <c r="AW588" s="48"/>
      <c r="AX588" s="48"/>
      <c r="AY588" s="43"/>
      <c r="AZ588" s="48"/>
      <c r="BA588" s="48"/>
      <c r="BB588" s="48"/>
      <c r="BC588" s="43"/>
      <c r="BD588" s="43"/>
      <c r="BE588" s="44"/>
      <c r="BF588" s="48"/>
      <c r="BG588" s="43"/>
    </row>
    <row r="589">
      <c r="A589" s="98"/>
      <c r="B589" s="99"/>
      <c r="C589" s="99"/>
      <c r="D589" s="21"/>
      <c r="E589" s="22"/>
      <c r="F589" s="100"/>
      <c r="G589" s="101"/>
      <c r="H589" s="100"/>
      <c r="I589" s="102"/>
      <c r="J589" s="26"/>
      <c r="K589" s="103"/>
      <c r="L589" s="47"/>
      <c r="M589" s="30"/>
      <c r="N589" s="104"/>
      <c r="O589" s="104"/>
      <c r="P589" s="26"/>
      <c r="Q589" s="26"/>
      <c r="R589" s="26"/>
      <c r="S589" s="30"/>
      <c r="T589" s="84"/>
      <c r="U589" s="84"/>
      <c r="V589" s="105"/>
      <c r="W589" s="106"/>
      <c r="X589" s="33"/>
      <c r="Y589" s="34"/>
      <c r="Z589" s="34"/>
      <c r="AA589" s="34"/>
      <c r="AB589" s="34"/>
      <c r="AC589" s="107"/>
      <c r="AD589" s="35"/>
      <c r="AE589" s="35"/>
      <c r="AF589" s="35"/>
      <c r="AG589" s="35"/>
      <c r="AH589" s="35"/>
      <c r="AI589" s="34"/>
      <c r="AJ589" s="35"/>
      <c r="AK589" s="35"/>
      <c r="AL589" s="34"/>
      <c r="AM589" s="34"/>
      <c r="AN589" s="46"/>
      <c r="AO589" s="48"/>
      <c r="AP589" s="48"/>
      <c r="AQ589" s="48"/>
      <c r="AR589" s="48"/>
      <c r="AS589" s="48"/>
      <c r="AT589" s="48"/>
      <c r="AU589" s="48"/>
      <c r="AV589" s="48"/>
      <c r="AW589" s="48"/>
      <c r="AX589" s="48"/>
      <c r="AY589" s="43"/>
      <c r="AZ589" s="48"/>
      <c r="BA589" s="48"/>
      <c r="BB589" s="48"/>
      <c r="BC589" s="43"/>
      <c r="BD589" s="43"/>
      <c r="BE589" s="44"/>
      <c r="BF589" s="48"/>
      <c r="BG589" s="43"/>
    </row>
    <row r="590">
      <c r="A590" s="98"/>
      <c r="B590" s="99"/>
      <c r="C590" s="99"/>
      <c r="D590" s="21"/>
      <c r="E590" s="22"/>
      <c r="F590" s="100"/>
      <c r="G590" s="101"/>
      <c r="H590" s="100"/>
      <c r="I590" s="102"/>
      <c r="J590" s="26"/>
      <c r="K590" s="103"/>
      <c r="L590" s="47"/>
      <c r="M590" s="30"/>
      <c r="N590" s="104"/>
      <c r="O590" s="104"/>
      <c r="P590" s="26"/>
      <c r="Q590" s="26"/>
      <c r="R590" s="26"/>
      <c r="S590" s="30"/>
      <c r="T590" s="84"/>
      <c r="U590" s="84"/>
      <c r="V590" s="105"/>
      <c r="W590" s="106"/>
      <c r="X590" s="33"/>
      <c r="Y590" s="34"/>
      <c r="Z590" s="34"/>
      <c r="AA590" s="34"/>
      <c r="AB590" s="34"/>
      <c r="AC590" s="107"/>
      <c r="AD590" s="35"/>
      <c r="AE590" s="35"/>
      <c r="AF590" s="35"/>
      <c r="AG590" s="35"/>
      <c r="AH590" s="35"/>
      <c r="AI590" s="34"/>
      <c r="AJ590" s="35"/>
      <c r="AK590" s="35"/>
      <c r="AL590" s="34"/>
      <c r="AM590" s="34"/>
      <c r="AN590" s="46"/>
      <c r="AO590" s="48"/>
      <c r="AP590" s="48"/>
      <c r="AQ590" s="48"/>
      <c r="AR590" s="48"/>
      <c r="AS590" s="48"/>
      <c r="AT590" s="48"/>
      <c r="AU590" s="48"/>
      <c r="AV590" s="48"/>
      <c r="AW590" s="48"/>
      <c r="AX590" s="48"/>
      <c r="AY590" s="43"/>
      <c r="AZ590" s="48"/>
      <c r="BA590" s="48"/>
      <c r="BB590" s="48"/>
      <c r="BC590" s="43"/>
      <c r="BD590" s="43"/>
      <c r="BE590" s="44"/>
      <c r="BF590" s="48"/>
      <c r="BG590" s="43"/>
    </row>
    <row r="591">
      <c r="A591" s="98"/>
      <c r="B591" s="99"/>
      <c r="C591" s="99"/>
      <c r="D591" s="21"/>
      <c r="E591" s="22"/>
      <c r="F591" s="100"/>
      <c r="G591" s="101"/>
      <c r="H591" s="100"/>
      <c r="I591" s="102"/>
      <c r="J591" s="26"/>
      <c r="K591" s="103"/>
      <c r="L591" s="47"/>
      <c r="M591" s="30"/>
      <c r="N591" s="104"/>
      <c r="O591" s="104"/>
      <c r="P591" s="26"/>
      <c r="Q591" s="26"/>
      <c r="R591" s="26"/>
      <c r="S591" s="30"/>
      <c r="T591" s="84"/>
      <c r="U591" s="84"/>
      <c r="V591" s="105"/>
      <c r="W591" s="106"/>
      <c r="X591" s="33"/>
      <c r="Y591" s="34"/>
      <c r="Z591" s="34"/>
      <c r="AA591" s="34"/>
      <c r="AB591" s="34"/>
      <c r="AC591" s="107"/>
      <c r="AD591" s="35"/>
      <c r="AE591" s="35"/>
      <c r="AF591" s="35"/>
      <c r="AG591" s="35"/>
      <c r="AH591" s="35"/>
      <c r="AI591" s="34"/>
      <c r="AJ591" s="35"/>
      <c r="AK591" s="35"/>
      <c r="AL591" s="34"/>
      <c r="AM591" s="34"/>
      <c r="AN591" s="46"/>
      <c r="AO591" s="48"/>
      <c r="AP591" s="48"/>
      <c r="AQ591" s="48"/>
      <c r="AR591" s="48"/>
      <c r="AS591" s="48"/>
      <c r="AT591" s="48"/>
      <c r="AU591" s="48"/>
      <c r="AV591" s="48"/>
      <c r="AW591" s="48"/>
      <c r="AX591" s="48"/>
      <c r="AY591" s="43"/>
      <c r="AZ591" s="48"/>
      <c r="BA591" s="48"/>
      <c r="BB591" s="48"/>
      <c r="BC591" s="43"/>
      <c r="BD591" s="43"/>
      <c r="BE591" s="44"/>
      <c r="BF591" s="48"/>
      <c r="BG591" s="43"/>
    </row>
    <row r="592">
      <c r="A592" s="98"/>
      <c r="B592" s="99"/>
      <c r="C592" s="99"/>
      <c r="D592" s="21"/>
      <c r="E592" s="22"/>
      <c r="F592" s="100"/>
      <c r="G592" s="101"/>
      <c r="H592" s="100"/>
      <c r="I592" s="102"/>
      <c r="J592" s="26"/>
      <c r="K592" s="103"/>
      <c r="L592" s="47"/>
      <c r="M592" s="30"/>
      <c r="N592" s="104"/>
      <c r="O592" s="104"/>
      <c r="P592" s="26"/>
      <c r="Q592" s="26"/>
      <c r="R592" s="26"/>
      <c r="S592" s="30"/>
      <c r="T592" s="84"/>
      <c r="U592" s="84"/>
      <c r="V592" s="105"/>
      <c r="W592" s="106"/>
      <c r="X592" s="33"/>
      <c r="Y592" s="34"/>
      <c r="Z592" s="34"/>
      <c r="AA592" s="34"/>
      <c r="AB592" s="34"/>
      <c r="AC592" s="107"/>
      <c r="AD592" s="35"/>
      <c r="AE592" s="35"/>
      <c r="AF592" s="35"/>
      <c r="AG592" s="35"/>
      <c r="AH592" s="35"/>
      <c r="AI592" s="34"/>
      <c r="AJ592" s="35"/>
      <c r="AK592" s="35"/>
      <c r="AL592" s="34"/>
      <c r="AM592" s="34"/>
      <c r="AN592" s="46"/>
      <c r="AO592" s="48"/>
      <c r="AP592" s="48"/>
      <c r="AQ592" s="48"/>
      <c r="AR592" s="48"/>
      <c r="AS592" s="48"/>
      <c r="AT592" s="48"/>
      <c r="AU592" s="48"/>
      <c r="AV592" s="48"/>
      <c r="AW592" s="48"/>
      <c r="AX592" s="48"/>
      <c r="AY592" s="43"/>
      <c r="AZ592" s="48"/>
      <c r="BA592" s="48"/>
      <c r="BB592" s="48"/>
      <c r="BC592" s="43"/>
      <c r="BD592" s="43"/>
      <c r="BE592" s="44"/>
      <c r="BF592" s="48"/>
      <c r="BG592" s="43"/>
    </row>
    <row r="593">
      <c r="A593" s="98"/>
      <c r="B593" s="99"/>
      <c r="C593" s="99"/>
      <c r="D593" s="21"/>
      <c r="E593" s="22"/>
      <c r="F593" s="100"/>
      <c r="G593" s="101"/>
      <c r="H593" s="100"/>
      <c r="I593" s="102"/>
      <c r="J593" s="26"/>
      <c r="K593" s="103"/>
      <c r="L593" s="47"/>
      <c r="M593" s="30"/>
      <c r="N593" s="104"/>
      <c r="O593" s="104"/>
      <c r="P593" s="26"/>
      <c r="Q593" s="26"/>
      <c r="R593" s="26"/>
      <c r="S593" s="30"/>
      <c r="T593" s="84"/>
      <c r="U593" s="84"/>
      <c r="V593" s="105"/>
      <c r="W593" s="106"/>
      <c r="X593" s="33"/>
      <c r="Y593" s="34"/>
      <c r="Z593" s="34"/>
      <c r="AA593" s="34"/>
      <c r="AB593" s="34"/>
      <c r="AC593" s="107"/>
      <c r="AD593" s="35"/>
      <c r="AE593" s="35"/>
      <c r="AF593" s="35"/>
      <c r="AG593" s="35"/>
      <c r="AH593" s="35"/>
      <c r="AI593" s="34"/>
      <c r="AJ593" s="35"/>
      <c r="AK593" s="35"/>
      <c r="AL593" s="34"/>
      <c r="AM593" s="34"/>
      <c r="AN593" s="46"/>
      <c r="AO593" s="48"/>
      <c r="AP593" s="48"/>
      <c r="AQ593" s="48"/>
      <c r="AR593" s="48"/>
      <c r="AS593" s="48"/>
      <c r="AT593" s="48"/>
      <c r="AU593" s="48"/>
      <c r="AV593" s="48"/>
      <c r="AW593" s="48"/>
      <c r="AX593" s="48"/>
      <c r="AY593" s="43"/>
      <c r="AZ593" s="48"/>
      <c r="BA593" s="48"/>
      <c r="BB593" s="48"/>
      <c r="BC593" s="43"/>
      <c r="BD593" s="43"/>
      <c r="BE593" s="44"/>
      <c r="BF593" s="48"/>
      <c r="BG593" s="43"/>
    </row>
    <row r="594">
      <c r="A594" s="98"/>
      <c r="B594" s="99"/>
      <c r="C594" s="99"/>
      <c r="D594" s="21"/>
      <c r="E594" s="22"/>
      <c r="F594" s="100"/>
      <c r="G594" s="101"/>
      <c r="H594" s="100"/>
      <c r="I594" s="102"/>
      <c r="J594" s="26"/>
      <c r="K594" s="103"/>
      <c r="L594" s="47"/>
      <c r="M594" s="30"/>
      <c r="N594" s="104"/>
      <c r="O594" s="104"/>
      <c r="P594" s="26"/>
      <c r="Q594" s="26"/>
      <c r="R594" s="26"/>
      <c r="S594" s="30"/>
      <c r="T594" s="84"/>
      <c r="U594" s="84"/>
      <c r="V594" s="105"/>
      <c r="W594" s="106"/>
      <c r="X594" s="33"/>
      <c r="Y594" s="34"/>
      <c r="Z594" s="34"/>
      <c r="AA594" s="34"/>
      <c r="AB594" s="34"/>
      <c r="AC594" s="107"/>
      <c r="AD594" s="35"/>
      <c r="AE594" s="35"/>
      <c r="AF594" s="35"/>
      <c r="AG594" s="35"/>
      <c r="AH594" s="35"/>
      <c r="AI594" s="34"/>
      <c r="AJ594" s="35"/>
      <c r="AK594" s="35"/>
      <c r="AL594" s="34"/>
      <c r="AM594" s="34"/>
      <c r="AN594" s="46"/>
      <c r="AO594" s="48"/>
      <c r="AP594" s="48"/>
      <c r="AQ594" s="48"/>
      <c r="AR594" s="48"/>
      <c r="AS594" s="48"/>
      <c r="AT594" s="48"/>
      <c r="AU594" s="48"/>
      <c r="AV594" s="48"/>
      <c r="AW594" s="48"/>
      <c r="AX594" s="48"/>
      <c r="AY594" s="43"/>
      <c r="AZ594" s="48"/>
      <c r="BA594" s="48"/>
      <c r="BB594" s="48"/>
      <c r="BC594" s="43"/>
      <c r="BD594" s="43"/>
      <c r="BE594" s="44"/>
      <c r="BF594" s="48"/>
      <c r="BG594" s="43"/>
    </row>
    <row r="595">
      <c r="A595" s="98"/>
      <c r="B595" s="99"/>
      <c r="C595" s="99"/>
      <c r="D595" s="21"/>
      <c r="E595" s="22"/>
      <c r="F595" s="100"/>
      <c r="G595" s="101"/>
      <c r="H595" s="100"/>
      <c r="I595" s="102"/>
      <c r="J595" s="26"/>
      <c r="K595" s="103"/>
      <c r="L595" s="47"/>
      <c r="M595" s="30"/>
      <c r="N595" s="104"/>
      <c r="O595" s="104"/>
      <c r="P595" s="26"/>
      <c r="Q595" s="26"/>
      <c r="R595" s="26"/>
      <c r="S595" s="30"/>
      <c r="T595" s="84"/>
      <c r="U595" s="84"/>
      <c r="V595" s="105"/>
      <c r="W595" s="106"/>
      <c r="X595" s="33"/>
      <c r="Y595" s="34"/>
      <c r="Z595" s="34"/>
      <c r="AA595" s="34"/>
      <c r="AB595" s="34"/>
      <c r="AC595" s="107"/>
      <c r="AD595" s="35"/>
      <c r="AE595" s="35"/>
      <c r="AF595" s="35"/>
      <c r="AG595" s="35"/>
      <c r="AH595" s="35"/>
      <c r="AI595" s="34"/>
      <c r="AJ595" s="35"/>
      <c r="AK595" s="35"/>
      <c r="AL595" s="34"/>
      <c r="AM595" s="34"/>
      <c r="AN595" s="46"/>
      <c r="AO595" s="48"/>
      <c r="AP595" s="48"/>
      <c r="AQ595" s="48"/>
      <c r="AR595" s="48"/>
      <c r="AS595" s="48"/>
      <c r="AT595" s="48"/>
      <c r="AU595" s="48"/>
      <c r="AV595" s="48"/>
      <c r="AW595" s="48"/>
      <c r="AX595" s="48"/>
      <c r="AY595" s="43"/>
      <c r="AZ595" s="48"/>
      <c r="BA595" s="48"/>
      <c r="BB595" s="48"/>
      <c r="BC595" s="43"/>
      <c r="BD595" s="43"/>
      <c r="BE595" s="44"/>
      <c r="BF595" s="48"/>
      <c r="BG595" s="43"/>
    </row>
    <row r="596">
      <c r="A596" s="98"/>
      <c r="B596" s="99"/>
      <c r="C596" s="99"/>
      <c r="D596" s="21"/>
      <c r="E596" s="22"/>
      <c r="F596" s="100"/>
      <c r="G596" s="101"/>
      <c r="H596" s="100"/>
      <c r="I596" s="102"/>
      <c r="J596" s="26"/>
      <c r="K596" s="103"/>
      <c r="L596" s="47"/>
      <c r="M596" s="30"/>
      <c r="N596" s="104"/>
      <c r="O596" s="104"/>
      <c r="P596" s="26"/>
      <c r="Q596" s="26"/>
      <c r="R596" s="26"/>
      <c r="S596" s="30"/>
      <c r="T596" s="84"/>
      <c r="U596" s="84"/>
      <c r="V596" s="105"/>
      <c r="W596" s="106"/>
      <c r="X596" s="33"/>
      <c r="Y596" s="34"/>
      <c r="Z596" s="34"/>
      <c r="AA596" s="34"/>
      <c r="AB596" s="34"/>
      <c r="AC596" s="107"/>
      <c r="AD596" s="35"/>
      <c r="AE596" s="35"/>
      <c r="AF596" s="35"/>
      <c r="AG596" s="35"/>
      <c r="AH596" s="35"/>
      <c r="AI596" s="34"/>
      <c r="AJ596" s="35"/>
      <c r="AK596" s="35"/>
      <c r="AL596" s="34"/>
      <c r="AM596" s="34"/>
      <c r="AN596" s="46"/>
      <c r="AO596" s="48"/>
      <c r="AP596" s="48"/>
      <c r="AQ596" s="48"/>
      <c r="AR596" s="48"/>
      <c r="AS596" s="48"/>
      <c r="AT596" s="48"/>
      <c r="AU596" s="48"/>
      <c r="AV596" s="48"/>
      <c r="AW596" s="48"/>
      <c r="AX596" s="48"/>
      <c r="AY596" s="43"/>
      <c r="AZ596" s="48"/>
      <c r="BA596" s="48"/>
      <c r="BB596" s="48"/>
      <c r="BC596" s="43"/>
      <c r="BD596" s="43"/>
      <c r="BE596" s="44"/>
      <c r="BF596" s="48"/>
      <c r="BG596" s="43"/>
    </row>
    <row r="597">
      <c r="A597" s="98"/>
      <c r="B597" s="99"/>
      <c r="C597" s="99"/>
      <c r="D597" s="21"/>
      <c r="E597" s="22"/>
      <c r="F597" s="100"/>
      <c r="G597" s="101"/>
      <c r="H597" s="100"/>
      <c r="I597" s="102"/>
      <c r="J597" s="26"/>
      <c r="K597" s="103"/>
      <c r="L597" s="47"/>
      <c r="M597" s="30"/>
      <c r="N597" s="104"/>
      <c r="O597" s="104"/>
      <c r="P597" s="26"/>
      <c r="Q597" s="26"/>
      <c r="R597" s="26"/>
      <c r="S597" s="30"/>
      <c r="T597" s="84"/>
      <c r="U597" s="84"/>
      <c r="V597" s="105"/>
      <c r="W597" s="106"/>
      <c r="X597" s="33"/>
      <c r="Y597" s="34"/>
      <c r="Z597" s="34"/>
      <c r="AA597" s="34"/>
      <c r="AB597" s="34"/>
      <c r="AC597" s="107"/>
      <c r="AD597" s="35"/>
      <c r="AE597" s="35"/>
      <c r="AF597" s="35"/>
      <c r="AG597" s="35"/>
      <c r="AH597" s="35"/>
      <c r="AI597" s="34"/>
      <c r="AJ597" s="35"/>
      <c r="AK597" s="35"/>
      <c r="AL597" s="34"/>
      <c r="AM597" s="34"/>
      <c r="AN597" s="46"/>
      <c r="AO597" s="48"/>
      <c r="AP597" s="48"/>
      <c r="AQ597" s="48"/>
      <c r="AR597" s="48"/>
      <c r="AS597" s="48"/>
      <c r="AT597" s="48"/>
      <c r="AU597" s="48"/>
      <c r="AV597" s="48"/>
      <c r="AW597" s="48"/>
      <c r="AX597" s="48"/>
      <c r="AY597" s="43"/>
      <c r="AZ597" s="48"/>
      <c r="BA597" s="48"/>
      <c r="BB597" s="48"/>
      <c r="BC597" s="43"/>
      <c r="BD597" s="43"/>
      <c r="BE597" s="44"/>
      <c r="BF597" s="48"/>
      <c r="BG597" s="43"/>
    </row>
    <row r="598">
      <c r="A598" s="98"/>
      <c r="B598" s="99"/>
      <c r="C598" s="99"/>
      <c r="D598" s="21"/>
      <c r="E598" s="22"/>
      <c r="F598" s="100"/>
      <c r="G598" s="101"/>
      <c r="H598" s="100"/>
      <c r="I598" s="102"/>
      <c r="J598" s="26"/>
      <c r="K598" s="103"/>
      <c r="L598" s="47"/>
      <c r="M598" s="30"/>
      <c r="N598" s="104"/>
      <c r="O598" s="104"/>
      <c r="P598" s="26"/>
      <c r="Q598" s="26"/>
      <c r="R598" s="26"/>
      <c r="S598" s="30"/>
      <c r="T598" s="84"/>
      <c r="U598" s="84"/>
      <c r="V598" s="105"/>
      <c r="W598" s="106"/>
      <c r="X598" s="33"/>
      <c r="Y598" s="34"/>
      <c r="Z598" s="34"/>
      <c r="AA598" s="34"/>
      <c r="AB598" s="34"/>
      <c r="AC598" s="107"/>
      <c r="AD598" s="35"/>
      <c r="AE598" s="35"/>
      <c r="AF598" s="35"/>
      <c r="AG598" s="35"/>
      <c r="AH598" s="35"/>
      <c r="AI598" s="34"/>
      <c r="AJ598" s="35"/>
      <c r="AK598" s="35"/>
      <c r="AL598" s="34"/>
      <c r="AM598" s="34"/>
      <c r="AN598" s="46"/>
      <c r="AO598" s="48"/>
      <c r="AP598" s="48"/>
      <c r="AQ598" s="48"/>
      <c r="AR598" s="48"/>
      <c r="AS598" s="48"/>
      <c r="AT598" s="48"/>
      <c r="AU598" s="48"/>
      <c r="AV598" s="48"/>
      <c r="AW598" s="48"/>
      <c r="AX598" s="48"/>
      <c r="AY598" s="43"/>
      <c r="AZ598" s="48"/>
      <c r="BA598" s="48"/>
      <c r="BB598" s="48"/>
      <c r="BC598" s="43"/>
      <c r="BD598" s="43"/>
      <c r="BE598" s="44"/>
      <c r="BF598" s="48"/>
      <c r="BG598" s="43"/>
    </row>
    <row r="599">
      <c r="A599" s="98"/>
      <c r="B599" s="99"/>
      <c r="C599" s="99"/>
      <c r="D599" s="21"/>
      <c r="E599" s="22"/>
      <c r="F599" s="100"/>
      <c r="G599" s="101"/>
      <c r="H599" s="100"/>
      <c r="I599" s="102"/>
      <c r="J599" s="26"/>
      <c r="K599" s="103"/>
      <c r="L599" s="47"/>
      <c r="M599" s="30"/>
      <c r="N599" s="104"/>
      <c r="O599" s="104"/>
      <c r="P599" s="26"/>
      <c r="Q599" s="26"/>
      <c r="R599" s="26"/>
      <c r="S599" s="30"/>
      <c r="T599" s="84"/>
      <c r="U599" s="84"/>
      <c r="V599" s="105"/>
      <c r="W599" s="106"/>
      <c r="X599" s="33"/>
      <c r="Y599" s="34"/>
      <c r="Z599" s="34"/>
      <c r="AA599" s="34"/>
      <c r="AB599" s="34"/>
      <c r="AC599" s="107"/>
      <c r="AD599" s="35"/>
      <c r="AE599" s="35"/>
      <c r="AF599" s="35"/>
      <c r="AG599" s="35"/>
      <c r="AH599" s="35"/>
      <c r="AI599" s="34"/>
      <c r="AJ599" s="35"/>
      <c r="AK599" s="35"/>
      <c r="AL599" s="34"/>
      <c r="AM599" s="34"/>
      <c r="AN599" s="46"/>
      <c r="AO599" s="48"/>
      <c r="AP599" s="48"/>
      <c r="AQ599" s="48"/>
      <c r="AR599" s="48"/>
      <c r="AS599" s="48"/>
      <c r="AT599" s="48"/>
      <c r="AU599" s="48"/>
      <c r="AV599" s="48"/>
      <c r="AW599" s="48"/>
      <c r="AX599" s="48"/>
      <c r="AY599" s="43"/>
      <c r="AZ599" s="48"/>
      <c r="BA599" s="48"/>
      <c r="BB599" s="48"/>
      <c r="BC599" s="43"/>
      <c r="BD599" s="43"/>
      <c r="BE599" s="44"/>
      <c r="BF599" s="48"/>
      <c r="BG599" s="43"/>
    </row>
    <row r="600">
      <c r="A600" s="98"/>
      <c r="B600" s="99"/>
      <c r="C600" s="99"/>
      <c r="D600" s="21"/>
      <c r="E600" s="22"/>
      <c r="F600" s="100"/>
      <c r="G600" s="101"/>
      <c r="H600" s="100"/>
      <c r="I600" s="102"/>
      <c r="J600" s="26"/>
      <c r="K600" s="103"/>
      <c r="L600" s="47"/>
      <c r="M600" s="30"/>
      <c r="N600" s="104"/>
      <c r="O600" s="104"/>
      <c r="P600" s="26"/>
      <c r="Q600" s="26"/>
      <c r="R600" s="26"/>
      <c r="S600" s="30"/>
      <c r="T600" s="84"/>
      <c r="U600" s="84"/>
      <c r="V600" s="105"/>
      <c r="W600" s="106"/>
      <c r="X600" s="33"/>
      <c r="Y600" s="34"/>
      <c r="Z600" s="34"/>
      <c r="AA600" s="34"/>
      <c r="AB600" s="34"/>
      <c r="AC600" s="107"/>
      <c r="AD600" s="35"/>
      <c r="AE600" s="35"/>
      <c r="AF600" s="35"/>
      <c r="AG600" s="35"/>
      <c r="AH600" s="35"/>
      <c r="AI600" s="34"/>
      <c r="AJ600" s="35"/>
      <c r="AK600" s="35"/>
      <c r="AL600" s="34"/>
      <c r="AM600" s="34"/>
      <c r="AN600" s="46"/>
      <c r="AO600" s="48"/>
      <c r="AP600" s="48"/>
      <c r="AQ600" s="48"/>
      <c r="AR600" s="48"/>
      <c r="AS600" s="48"/>
      <c r="AT600" s="48"/>
      <c r="AU600" s="48"/>
      <c r="AV600" s="48"/>
      <c r="AW600" s="48"/>
      <c r="AX600" s="48"/>
      <c r="AY600" s="43"/>
      <c r="AZ600" s="48"/>
      <c r="BA600" s="48"/>
      <c r="BB600" s="48"/>
      <c r="BC600" s="43"/>
      <c r="BD600" s="43"/>
      <c r="BE600" s="44"/>
      <c r="BF600" s="48"/>
      <c r="BG600" s="43"/>
    </row>
    <row r="601">
      <c r="A601" s="98"/>
      <c r="B601" s="99"/>
      <c r="C601" s="99"/>
      <c r="D601" s="21"/>
      <c r="E601" s="22"/>
      <c r="F601" s="100"/>
      <c r="G601" s="101"/>
      <c r="H601" s="100"/>
      <c r="I601" s="102"/>
      <c r="J601" s="26"/>
      <c r="K601" s="103"/>
      <c r="L601" s="47"/>
      <c r="M601" s="30"/>
      <c r="N601" s="104"/>
      <c r="O601" s="104"/>
      <c r="P601" s="26"/>
      <c r="Q601" s="26"/>
      <c r="R601" s="26"/>
      <c r="S601" s="30"/>
      <c r="T601" s="84"/>
      <c r="U601" s="84"/>
      <c r="V601" s="105"/>
      <c r="W601" s="106"/>
      <c r="X601" s="33"/>
      <c r="Y601" s="34"/>
      <c r="Z601" s="34"/>
      <c r="AA601" s="34"/>
      <c r="AB601" s="34"/>
      <c r="AC601" s="107"/>
      <c r="AD601" s="35"/>
      <c r="AE601" s="35"/>
      <c r="AF601" s="35"/>
      <c r="AG601" s="35"/>
      <c r="AH601" s="35"/>
      <c r="AI601" s="34"/>
      <c r="AJ601" s="35"/>
      <c r="AK601" s="35"/>
      <c r="AL601" s="34"/>
      <c r="AM601" s="34"/>
      <c r="AN601" s="46"/>
      <c r="AO601" s="48"/>
      <c r="AP601" s="48"/>
      <c r="AQ601" s="48"/>
      <c r="AR601" s="48"/>
      <c r="AS601" s="48"/>
      <c r="AT601" s="48"/>
      <c r="AU601" s="48"/>
      <c r="AV601" s="48"/>
      <c r="AW601" s="48"/>
      <c r="AX601" s="48"/>
      <c r="AY601" s="43"/>
      <c r="AZ601" s="48"/>
      <c r="BA601" s="48"/>
      <c r="BB601" s="48"/>
      <c r="BC601" s="43"/>
      <c r="BD601" s="43"/>
      <c r="BE601" s="44"/>
      <c r="BF601" s="48"/>
      <c r="BG601" s="43"/>
    </row>
    <row r="602">
      <c r="A602" s="98"/>
      <c r="B602" s="99"/>
      <c r="C602" s="99"/>
      <c r="D602" s="21"/>
      <c r="E602" s="22"/>
      <c r="F602" s="100"/>
      <c r="G602" s="101"/>
      <c r="H602" s="100"/>
      <c r="I602" s="102"/>
      <c r="J602" s="26"/>
      <c r="K602" s="103"/>
      <c r="L602" s="47"/>
      <c r="M602" s="30"/>
      <c r="N602" s="104"/>
      <c r="O602" s="104"/>
      <c r="P602" s="26"/>
      <c r="Q602" s="26"/>
      <c r="R602" s="26"/>
      <c r="S602" s="30"/>
      <c r="T602" s="84"/>
      <c r="U602" s="84"/>
      <c r="V602" s="105"/>
      <c r="W602" s="106"/>
      <c r="X602" s="33"/>
      <c r="Y602" s="34"/>
      <c r="Z602" s="34"/>
      <c r="AA602" s="34"/>
      <c r="AB602" s="34"/>
      <c r="AC602" s="107"/>
      <c r="AD602" s="35"/>
      <c r="AE602" s="35"/>
      <c r="AF602" s="35"/>
      <c r="AG602" s="35"/>
      <c r="AH602" s="35"/>
      <c r="AI602" s="34"/>
      <c r="AJ602" s="35"/>
      <c r="AK602" s="35"/>
      <c r="AL602" s="34"/>
      <c r="AM602" s="34"/>
      <c r="AN602" s="46"/>
      <c r="AO602" s="48"/>
      <c r="AP602" s="48"/>
      <c r="AQ602" s="48"/>
      <c r="AR602" s="48"/>
      <c r="AS602" s="48"/>
      <c r="AT602" s="48"/>
      <c r="AU602" s="48"/>
      <c r="AV602" s="48"/>
      <c r="AW602" s="48"/>
      <c r="AX602" s="48"/>
      <c r="AY602" s="43"/>
      <c r="AZ602" s="48"/>
      <c r="BA602" s="48"/>
      <c r="BB602" s="48"/>
      <c r="BC602" s="43"/>
      <c r="BD602" s="43"/>
      <c r="BE602" s="44"/>
      <c r="BF602" s="48"/>
      <c r="BG602" s="43"/>
    </row>
    <row r="603">
      <c r="A603" s="98"/>
      <c r="B603" s="99"/>
      <c r="C603" s="99"/>
      <c r="D603" s="21"/>
      <c r="E603" s="22"/>
      <c r="F603" s="100"/>
      <c r="G603" s="101"/>
      <c r="H603" s="100"/>
      <c r="I603" s="102"/>
      <c r="J603" s="26"/>
      <c r="K603" s="103"/>
      <c r="L603" s="47"/>
      <c r="M603" s="30"/>
      <c r="N603" s="104"/>
      <c r="O603" s="104"/>
      <c r="P603" s="26"/>
      <c r="Q603" s="26"/>
      <c r="R603" s="26"/>
      <c r="S603" s="30"/>
      <c r="T603" s="84"/>
      <c r="U603" s="84"/>
      <c r="V603" s="105"/>
      <c r="W603" s="106"/>
      <c r="X603" s="33"/>
      <c r="Y603" s="34"/>
      <c r="Z603" s="34"/>
      <c r="AA603" s="34"/>
      <c r="AB603" s="34"/>
      <c r="AC603" s="107"/>
      <c r="AD603" s="35"/>
      <c r="AE603" s="35"/>
      <c r="AF603" s="35"/>
      <c r="AG603" s="35"/>
      <c r="AH603" s="35"/>
      <c r="AI603" s="34"/>
      <c r="AJ603" s="35"/>
      <c r="AK603" s="35"/>
      <c r="AL603" s="34"/>
      <c r="AM603" s="34"/>
      <c r="AN603" s="46"/>
      <c r="AO603" s="48"/>
      <c r="AP603" s="48"/>
      <c r="AQ603" s="48"/>
      <c r="AR603" s="48"/>
      <c r="AS603" s="48"/>
      <c r="AT603" s="48"/>
      <c r="AU603" s="48"/>
      <c r="AV603" s="48"/>
      <c r="AW603" s="48"/>
      <c r="AX603" s="48"/>
      <c r="AY603" s="43"/>
      <c r="AZ603" s="48"/>
      <c r="BA603" s="48"/>
      <c r="BB603" s="48"/>
      <c r="BC603" s="43"/>
      <c r="BD603" s="43"/>
      <c r="BE603" s="44"/>
      <c r="BF603" s="48"/>
      <c r="BG603" s="43"/>
    </row>
    <row r="604">
      <c r="A604" s="98"/>
      <c r="B604" s="99"/>
      <c r="C604" s="99"/>
      <c r="D604" s="21"/>
      <c r="E604" s="22"/>
      <c r="F604" s="100"/>
      <c r="G604" s="101"/>
      <c r="H604" s="100"/>
      <c r="I604" s="102"/>
      <c r="J604" s="26"/>
      <c r="K604" s="103"/>
      <c r="L604" s="47"/>
      <c r="M604" s="30"/>
      <c r="N604" s="104"/>
      <c r="O604" s="104"/>
      <c r="P604" s="26"/>
      <c r="Q604" s="26"/>
      <c r="R604" s="26"/>
      <c r="S604" s="30"/>
      <c r="T604" s="84"/>
      <c r="U604" s="84"/>
      <c r="V604" s="105"/>
      <c r="W604" s="106"/>
      <c r="X604" s="33"/>
      <c r="Y604" s="34"/>
      <c r="Z604" s="34"/>
      <c r="AA604" s="34"/>
      <c r="AB604" s="34"/>
      <c r="AC604" s="107"/>
      <c r="AD604" s="35"/>
      <c r="AE604" s="35"/>
      <c r="AF604" s="35"/>
      <c r="AG604" s="35"/>
      <c r="AH604" s="35"/>
      <c r="AI604" s="34"/>
      <c r="AJ604" s="35"/>
      <c r="AK604" s="35"/>
      <c r="AL604" s="34"/>
      <c r="AM604" s="34"/>
      <c r="AN604" s="46"/>
      <c r="AO604" s="48"/>
      <c r="AP604" s="48"/>
      <c r="AQ604" s="48"/>
      <c r="AR604" s="48"/>
      <c r="AS604" s="48"/>
      <c r="AT604" s="48"/>
      <c r="AU604" s="48"/>
      <c r="AV604" s="48"/>
      <c r="AW604" s="48"/>
      <c r="AX604" s="48"/>
      <c r="AY604" s="43"/>
      <c r="AZ604" s="48"/>
      <c r="BA604" s="48"/>
      <c r="BB604" s="48"/>
      <c r="BC604" s="43"/>
      <c r="BD604" s="43"/>
      <c r="BE604" s="44"/>
      <c r="BF604" s="48"/>
      <c r="BG604" s="43"/>
    </row>
    <row r="605">
      <c r="A605" s="98"/>
      <c r="B605" s="99"/>
      <c r="C605" s="99"/>
      <c r="D605" s="21"/>
      <c r="E605" s="22"/>
      <c r="F605" s="100"/>
      <c r="G605" s="101"/>
      <c r="H605" s="100"/>
      <c r="I605" s="102"/>
      <c r="J605" s="26"/>
      <c r="K605" s="103"/>
      <c r="L605" s="47"/>
      <c r="M605" s="30"/>
      <c r="N605" s="104"/>
      <c r="O605" s="104"/>
      <c r="P605" s="26"/>
      <c r="Q605" s="26"/>
      <c r="R605" s="26"/>
      <c r="S605" s="30"/>
      <c r="T605" s="84"/>
      <c r="U605" s="84"/>
      <c r="V605" s="105"/>
      <c r="W605" s="106"/>
      <c r="X605" s="33"/>
      <c r="Y605" s="34"/>
      <c r="Z605" s="34"/>
      <c r="AA605" s="34"/>
      <c r="AB605" s="34"/>
      <c r="AC605" s="107"/>
      <c r="AD605" s="35"/>
      <c r="AE605" s="35"/>
      <c r="AF605" s="35"/>
      <c r="AG605" s="35"/>
      <c r="AH605" s="35"/>
      <c r="AI605" s="34"/>
      <c r="AJ605" s="35"/>
      <c r="AK605" s="35"/>
      <c r="AL605" s="34"/>
      <c r="AM605" s="34"/>
      <c r="AN605" s="46"/>
      <c r="AO605" s="48"/>
      <c r="AP605" s="48"/>
      <c r="AQ605" s="48"/>
      <c r="AR605" s="48"/>
      <c r="AS605" s="48"/>
      <c r="AT605" s="48"/>
      <c r="AU605" s="48"/>
      <c r="AV605" s="48"/>
      <c r="AW605" s="48"/>
      <c r="AX605" s="48"/>
      <c r="AY605" s="43"/>
      <c r="AZ605" s="48"/>
      <c r="BA605" s="48"/>
      <c r="BB605" s="48"/>
      <c r="BC605" s="43"/>
      <c r="BD605" s="43"/>
      <c r="BE605" s="44"/>
      <c r="BF605" s="48"/>
      <c r="BG605" s="43"/>
    </row>
    <row r="606">
      <c r="A606" s="98"/>
      <c r="B606" s="99"/>
      <c r="C606" s="99"/>
      <c r="D606" s="21"/>
      <c r="E606" s="22"/>
      <c r="F606" s="100"/>
      <c r="G606" s="101"/>
      <c r="H606" s="100"/>
      <c r="I606" s="102"/>
      <c r="J606" s="26"/>
      <c r="K606" s="103"/>
      <c r="L606" s="47"/>
      <c r="M606" s="30"/>
      <c r="N606" s="104"/>
      <c r="O606" s="104"/>
      <c r="P606" s="26"/>
      <c r="Q606" s="26"/>
      <c r="R606" s="26"/>
      <c r="S606" s="30"/>
      <c r="T606" s="84"/>
      <c r="U606" s="84"/>
      <c r="V606" s="105"/>
      <c r="W606" s="106"/>
      <c r="X606" s="33"/>
      <c r="Y606" s="34"/>
      <c r="Z606" s="34"/>
      <c r="AA606" s="34"/>
      <c r="AB606" s="34"/>
      <c r="AC606" s="107"/>
      <c r="AD606" s="35"/>
      <c r="AE606" s="35"/>
      <c r="AF606" s="35"/>
      <c r="AG606" s="35"/>
      <c r="AH606" s="35"/>
      <c r="AI606" s="34"/>
      <c r="AJ606" s="35"/>
      <c r="AK606" s="35"/>
      <c r="AL606" s="34"/>
      <c r="AM606" s="34"/>
      <c r="AN606" s="46"/>
      <c r="AO606" s="48"/>
      <c r="AP606" s="48"/>
      <c r="AQ606" s="48"/>
      <c r="AR606" s="48"/>
      <c r="AS606" s="48"/>
      <c r="AT606" s="48"/>
      <c r="AU606" s="48"/>
      <c r="AV606" s="48"/>
      <c r="AW606" s="48"/>
      <c r="AX606" s="48"/>
      <c r="AY606" s="43"/>
      <c r="AZ606" s="48"/>
      <c r="BA606" s="48"/>
      <c r="BB606" s="48"/>
      <c r="BC606" s="43"/>
      <c r="BD606" s="43"/>
      <c r="BE606" s="44"/>
      <c r="BF606" s="48"/>
      <c r="BG606" s="43"/>
    </row>
    <row r="607">
      <c r="A607" s="98"/>
      <c r="B607" s="99"/>
      <c r="C607" s="99"/>
      <c r="D607" s="21"/>
      <c r="E607" s="22"/>
      <c r="F607" s="100"/>
      <c r="G607" s="101"/>
      <c r="H607" s="100"/>
      <c r="I607" s="102"/>
      <c r="J607" s="26"/>
      <c r="K607" s="103"/>
      <c r="L607" s="47"/>
      <c r="M607" s="30"/>
      <c r="N607" s="104"/>
      <c r="O607" s="104"/>
      <c r="P607" s="26"/>
      <c r="Q607" s="26"/>
      <c r="R607" s="26"/>
      <c r="S607" s="30"/>
      <c r="T607" s="84"/>
      <c r="U607" s="84"/>
      <c r="V607" s="105"/>
      <c r="W607" s="106"/>
      <c r="X607" s="33"/>
      <c r="Y607" s="34"/>
      <c r="Z607" s="34"/>
      <c r="AA607" s="34"/>
      <c r="AB607" s="34"/>
      <c r="AC607" s="107"/>
      <c r="AD607" s="35"/>
      <c r="AE607" s="35"/>
      <c r="AF607" s="35"/>
      <c r="AG607" s="35"/>
      <c r="AH607" s="35"/>
      <c r="AI607" s="34"/>
      <c r="AJ607" s="35"/>
      <c r="AK607" s="35"/>
      <c r="AL607" s="34"/>
      <c r="AM607" s="34"/>
      <c r="AN607" s="46"/>
      <c r="AO607" s="48"/>
      <c r="AP607" s="48"/>
      <c r="AQ607" s="48"/>
      <c r="AR607" s="48"/>
      <c r="AS607" s="48"/>
      <c r="AT607" s="48"/>
      <c r="AU607" s="48"/>
      <c r="AV607" s="48"/>
      <c r="AW607" s="48"/>
      <c r="AX607" s="48"/>
      <c r="AY607" s="43"/>
      <c r="AZ607" s="48"/>
      <c r="BA607" s="48"/>
      <c r="BB607" s="48"/>
      <c r="BC607" s="43"/>
      <c r="BD607" s="43"/>
      <c r="BE607" s="44"/>
      <c r="BF607" s="48"/>
      <c r="BG607" s="43"/>
    </row>
    <row r="608">
      <c r="A608" s="98"/>
      <c r="B608" s="99"/>
      <c r="C608" s="99"/>
      <c r="D608" s="21"/>
      <c r="E608" s="22"/>
      <c r="F608" s="100"/>
      <c r="G608" s="101"/>
      <c r="H608" s="100"/>
      <c r="I608" s="102"/>
      <c r="J608" s="26"/>
      <c r="K608" s="103"/>
      <c r="L608" s="47"/>
      <c r="M608" s="30"/>
      <c r="N608" s="104"/>
      <c r="O608" s="104"/>
      <c r="P608" s="26"/>
      <c r="Q608" s="26"/>
      <c r="R608" s="26"/>
      <c r="S608" s="30"/>
      <c r="T608" s="84"/>
      <c r="U608" s="84"/>
      <c r="V608" s="105"/>
      <c r="W608" s="106"/>
      <c r="X608" s="33"/>
      <c r="Y608" s="34"/>
      <c r="Z608" s="34"/>
      <c r="AA608" s="34"/>
      <c r="AB608" s="34"/>
      <c r="AC608" s="107"/>
      <c r="AD608" s="35"/>
      <c r="AE608" s="35"/>
      <c r="AF608" s="35"/>
      <c r="AG608" s="35"/>
      <c r="AH608" s="35"/>
      <c r="AI608" s="34"/>
      <c r="AJ608" s="35"/>
      <c r="AK608" s="35"/>
      <c r="AL608" s="34"/>
      <c r="AM608" s="34"/>
      <c r="AN608" s="46"/>
      <c r="AO608" s="48"/>
      <c r="AP608" s="48"/>
      <c r="AQ608" s="48"/>
      <c r="AR608" s="48"/>
      <c r="AS608" s="48"/>
      <c r="AT608" s="48"/>
      <c r="AU608" s="48"/>
      <c r="AV608" s="48"/>
      <c r="AW608" s="48"/>
      <c r="AX608" s="48"/>
      <c r="AY608" s="43"/>
      <c r="AZ608" s="48"/>
      <c r="BA608" s="48"/>
      <c r="BB608" s="48"/>
      <c r="BC608" s="43"/>
      <c r="BD608" s="43"/>
      <c r="BE608" s="44"/>
      <c r="BF608" s="48"/>
      <c r="BG608" s="43"/>
    </row>
    <row r="609">
      <c r="A609" s="98"/>
      <c r="B609" s="99"/>
      <c r="C609" s="99"/>
      <c r="D609" s="21"/>
      <c r="E609" s="22"/>
      <c r="F609" s="100"/>
      <c r="G609" s="101"/>
      <c r="H609" s="100"/>
      <c r="I609" s="102"/>
      <c r="J609" s="26"/>
      <c r="K609" s="103"/>
      <c r="L609" s="47"/>
      <c r="M609" s="30"/>
      <c r="N609" s="104"/>
      <c r="O609" s="104"/>
      <c r="P609" s="26"/>
      <c r="Q609" s="26"/>
      <c r="R609" s="26"/>
      <c r="S609" s="30"/>
      <c r="T609" s="84"/>
      <c r="U609" s="84"/>
      <c r="V609" s="105"/>
      <c r="W609" s="106"/>
      <c r="X609" s="33"/>
      <c r="Y609" s="34"/>
      <c r="Z609" s="34"/>
      <c r="AA609" s="34"/>
      <c r="AB609" s="34"/>
      <c r="AC609" s="107"/>
      <c r="AD609" s="35"/>
      <c r="AE609" s="35"/>
      <c r="AF609" s="35"/>
      <c r="AG609" s="35"/>
      <c r="AH609" s="35"/>
      <c r="AI609" s="34"/>
      <c r="AJ609" s="35"/>
      <c r="AK609" s="35"/>
      <c r="AL609" s="34"/>
      <c r="AM609" s="34"/>
      <c r="AN609" s="46"/>
      <c r="AO609" s="48"/>
      <c r="AP609" s="48"/>
      <c r="AQ609" s="48"/>
      <c r="AR609" s="48"/>
      <c r="AS609" s="48"/>
      <c r="AT609" s="48"/>
      <c r="AU609" s="48"/>
      <c r="AV609" s="48"/>
      <c r="AW609" s="48"/>
      <c r="AX609" s="48"/>
      <c r="AY609" s="43"/>
      <c r="AZ609" s="48"/>
      <c r="BA609" s="48"/>
      <c r="BB609" s="48"/>
      <c r="BC609" s="43"/>
      <c r="BD609" s="43"/>
      <c r="BE609" s="44"/>
      <c r="BF609" s="48"/>
      <c r="BG609" s="43"/>
    </row>
    <row r="610">
      <c r="A610" s="98"/>
      <c r="B610" s="99"/>
      <c r="C610" s="99"/>
      <c r="D610" s="21"/>
      <c r="E610" s="22"/>
      <c r="F610" s="100"/>
      <c r="G610" s="101"/>
      <c r="H610" s="100"/>
      <c r="I610" s="102"/>
      <c r="J610" s="26"/>
      <c r="K610" s="103"/>
      <c r="L610" s="47"/>
      <c r="M610" s="30"/>
      <c r="N610" s="104"/>
      <c r="O610" s="104"/>
      <c r="P610" s="26"/>
      <c r="Q610" s="26"/>
      <c r="R610" s="26"/>
      <c r="S610" s="30"/>
      <c r="T610" s="84"/>
      <c r="U610" s="84"/>
      <c r="V610" s="105"/>
      <c r="W610" s="106"/>
      <c r="X610" s="33"/>
      <c r="Y610" s="34"/>
      <c r="Z610" s="34"/>
      <c r="AA610" s="34"/>
      <c r="AB610" s="34"/>
      <c r="AC610" s="107"/>
      <c r="AD610" s="35"/>
      <c r="AE610" s="35"/>
      <c r="AF610" s="35"/>
      <c r="AG610" s="35"/>
      <c r="AH610" s="35"/>
      <c r="AI610" s="34"/>
      <c r="AJ610" s="35"/>
      <c r="AK610" s="35"/>
      <c r="AL610" s="34"/>
      <c r="AM610" s="34"/>
      <c r="AN610" s="46"/>
      <c r="AO610" s="48"/>
      <c r="AP610" s="48"/>
      <c r="AQ610" s="48"/>
      <c r="AR610" s="48"/>
      <c r="AS610" s="48"/>
      <c r="AT610" s="48"/>
      <c r="AU610" s="48"/>
      <c r="AV610" s="48"/>
      <c r="AW610" s="48"/>
      <c r="AX610" s="48"/>
      <c r="AY610" s="43"/>
      <c r="AZ610" s="48"/>
      <c r="BA610" s="48"/>
      <c r="BB610" s="48"/>
      <c r="BC610" s="43"/>
      <c r="BD610" s="43"/>
      <c r="BE610" s="44"/>
      <c r="BF610" s="48"/>
      <c r="BG610" s="43"/>
    </row>
    <row r="611">
      <c r="A611" s="98"/>
      <c r="B611" s="99"/>
      <c r="C611" s="99"/>
      <c r="D611" s="21"/>
      <c r="E611" s="22"/>
      <c r="F611" s="100"/>
      <c r="G611" s="101"/>
      <c r="H611" s="100"/>
      <c r="I611" s="102"/>
      <c r="J611" s="26"/>
      <c r="K611" s="103"/>
      <c r="L611" s="47"/>
      <c r="M611" s="30"/>
      <c r="N611" s="104"/>
      <c r="O611" s="104"/>
      <c r="P611" s="26"/>
      <c r="Q611" s="26"/>
      <c r="R611" s="26"/>
      <c r="S611" s="30"/>
      <c r="T611" s="84"/>
      <c r="U611" s="84"/>
      <c r="V611" s="105"/>
      <c r="W611" s="106"/>
      <c r="X611" s="33"/>
      <c r="Y611" s="34"/>
      <c r="Z611" s="34"/>
      <c r="AA611" s="34"/>
      <c r="AB611" s="34"/>
      <c r="AC611" s="107"/>
      <c r="AD611" s="35"/>
      <c r="AE611" s="35"/>
      <c r="AF611" s="35"/>
      <c r="AG611" s="35"/>
      <c r="AH611" s="35"/>
      <c r="AI611" s="34"/>
      <c r="AJ611" s="35"/>
      <c r="AK611" s="35"/>
      <c r="AL611" s="34"/>
      <c r="AM611" s="34"/>
      <c r="AN611" s="46"/>
      <c r="AO611" s="48"/>
      <c r="AP611" s="48"/>
      <c r="AQ611" s="48"/>
      <c r="AR611" s="48"/>
      <c r="AS611" s="48"/>
      <c r="AT611" s="48"/>
      <c r="AU611" s="48"/>
      <c r="AV611" s="48"/>
      <c r="AW611" s="48"/>
      <c r="AX611" s="48"/>
      <c r="AY611" s="43"/>
      <c r="AZ611" s="48"/>
      <c r="BA611" s="48"/>
      <c r="BB611" s="48"/>
      <c r="BC611" s="43"/>
      <c r="BD611" s="43"/>
      <c r="BE611" s="44"/>
      <c r="BF611" s="48"/>
      <c r="BG611" s="43"/>
    </row>
    <row r="612">
      <c r="A612" s="98"/>
      <c r="B612" s="99"/>
      <c r="C612" s="99"/>
      <c r="D612" s="21"/>
      <c r="E612" s="22"/>
      <c r="F612" s="100"/>
      <c r="G612" s="101"/>
      <c r="H612" s="100"/>
      <c r="I612" s="102"/>
      <c r="J612" s="26"/>
      <c r="K612" s="103"/>
      <c r="L612" s="47"/>
      <c r="M612" s="30"/>
      <c r="N612" s="104"/>
      <c r="O612" s="104"/>
      <c r="P612" s="26"/>
      <c r="Q612" s="26"/>
      <c r="R612" s="26"/>
      <c r="S612" s="30"/>
      <c r="T612" s="84"/>
      <c r="U612" s="84"/>
      <c r="V612" s="105"/>
      <c r="W612" s="106"/>
      <c r="X612" s="33"/>
      <c r="Y612" s="34"/>
      <c r="Z612" s="34"/>
      <c r="AA612" s="34"/>
      <c r="AB612" s="34"/>
      <c r="AC612" s="107"/>
      <c r="AD612" s="35"/>
      <c r="AE612" s="35"/>
      <c r="AF612" s="35"/>
      <c r="AG612" s="35"/>
      <c r="AH612" s="35"/>
      <c r="AI612" s="34"/>
      <c r="AJ612" s="35"/>
      <c r="AK612" s="35"/>
      <c r="AL612" s="34"/>
      <c r="AM612" s="34"/>
      <c r="AN612" s="46"/>
      <c r="AO612" s="48"/>
      <c r="AP612" s="48"/>
      <c r="AQ612" s="48"/>
      <c r="AR612" s="48"/>
      <c r="AS612" s="48"/>
      <c r="AT612" s="48"/>
      <c r="AU612" s="48"/>
      <c r="AV612" s="48"/>
      <c r="AW612" s="48"/>
      <c r="AX612" s="48"/>
      <c r="AY612" s="43"/>
      <c r="AZ612" s="48"/>
      <c r="BA612" s="48"/>
      <c r="BB612" s="48"/>
      <c r="BC612" s="43"/>
      <c r="BD612" s="43"/>
      <c r="BE612" s="44"/>
      <c r="BF612" s="48"/>
      <c r="BG612" s="43"/>
    </row>
    <row r="613">
      <c r="A613" s="98"/>
      <c r="B613" s="99"/>
      <c r="C613" s="99"/>
      <c r="D613" s="21"/>
      <c r="E613" s="22"/>
      <c r="F613" s="100"/>
      <c r="G613" s="101"/>
      <c r="H613" s="100"/>
      <c r="I613" s="102"/>
      <c r="J613" s="26"/>
      <c r="K613" s="103"/>
      <c r="L613" s="47"/>
      <c r="M613" s="30"/>
      <c r="N613" s="104"/>
      <c r="O613" s="104"/>
      <c r="P613" s="26"/>
      <c r="Q613" s="26"/>
      <c r="R613" s="26"/>
      <c r="S613" s="30"/>
      <c r="T613" s="84"/>
      <c r="U613" s="84"/>
      <c r="V613" s="105"/>
      <c r="W613" s="106"/>
      <c r="X613" s="33"/>
      <c r="Y613" s="34"/>
      <c r="Z613" s="34"/>
      <c r="AA613" s="34"/>
      <c r="AB613" s="34"/>
      <c r="AC613" s="107"/>
      <c r="AD613" s="35"/>
      <c r="AE613" s="35"/>
      <c r="AF613" s="35"/>
      <c r="AG613" s="35"/>
      <c r="AH613" s="35"/>
      <c r="AI613" s="34"/>
      <c r="AJ613" s="35"/>
      <c r="AK613" s="35"/>
      <c r="AL613" s="34"/>
      <c r="AM613" s="34"/>
      <c r="AN613" s="46"/>
      <c r="AO613" s="48"/>
      <c r="AP613" s="48"/>
      <c r="AQ613" s="48"/>
      <c r="AR613" s="48"/>
      <c r="AS613" s="48"/>
      <c r="AT613" s="48"/>
      <c r="AU613" s="48"/>
      <c r="AV613" s="48"/>
      <c r="AW613" s="48"/>
      <c r="AX613" s="48"/>
      <c r="AY613" s="43"/>
      <c r="AZ613" s="48"/>
      <c r="BA613" s="48"/>
      <c r="BB613" s="48"/>
      <c r="BC613" s="43"/>
      <c r="BD613" s="43"/>
      <c r="BE613" s="44"/>
      <c r="BF613" s="48"/>
      <c r="BG613" s="43"/>
    </row>
    <row r="614">
      <c r="A614" s="98"/>
      <c r="B614" s="99"/>
      <c r="C614" s="99"/>
      <c r="D614" s="21"/>
      <c r="E614" s="22"/>
      <c r="F614" s="100"/>
      <c r="G614" s="101"/>
      <c r="H614" s="100"/>
      <c r="I614" s="102"/>
      <c r="J614" s="26"/>
      <c r="K614" s="103"/>
      <c r="L614" s="47"/>
      <c r="M614" s="30"/>
      <c r="N614" s="104"/>
      <c r="O614" s="104"/>
      <c r="P614" s="26"/>
      <c r="Q614" s="26"/>
      <c r="R614" s="26"/>
      <c r="S614" s="30"/>
      <c r="T614" s="84"/>
      <c r="U614" s="84"/>
      <c r="V614" s="105"/>
      <c r="W614" s="106"/>
      <c r="X614" s="33"/>
      <c r="Y614" s="34"/>
      <c r="Z614" s="34"/>
      <c r="AA614" s="34"/>
      <c r="AB614" s="34"/>
      <c r="AC614" s="107"/>
      <c r="AD614" s="35"/>
      <c r="AE614" s="35"/>
      <c r="AF614" s="35"/>
      <c r="AG614" s="35"/>
      <c r="AH614" s="35"/>
      <c r="AI614" s="34"/>
      <c r="AJ614" s="35"/>
      <c r="AK614" s="35"/>
      <c r="AL614" s="34"/>
      <c r="AM614" s="34"/>
      <c r="AN614" s="46"/>
      <c r="AO614" s="48"/>
      <c r="AP614" s="48"/>
      <c r="AQ614" s="48"/>
      <c r="AR614" s="48"/>
      <c r="AS614" s="48"/>
      <c r="AT614" s="48"/>
      <c r="AU614" s="48"/>
      <c r="AV614" s="48"/>
      <c r="AW614" s="48"/>
      <c r="AX614" s="48"/>
      <c r="AY614" s="43"/>
      <c r="AZ614" s="48"/>
      <c r="BA614" s="48"/>
      <c r="BB614" s="48"/>
      <c r="BC614" s="43"/>
      <c r="BD614" s="43"/>
      <c r="BE614" s="44"/>
      <c r="BF614" s="48"/>
      <c r="BG614" s="43"/>
    </row>
    <row r="615">
      <c r="A615" s="98"/>
      <c r="B615" s="99"/>
      <c r="C615" s="99"/>
      <c r="D615" s="21"/>
      <c r="E615" s="22"/>
      <c r="F615" s="100"/>
      <c r="G615" s="101"/>
      <c r="H615" s="100"/>
      <c r="I615" s="102"/>
      <c r="J615" s="26"/>
      <c r="K615" s="103"/>
      <c r="L615" s="47"/>
      <c r="M615" s="30"/>
      <c r="N615" s="104"/>
      <c r="O615" s="104"/>
      <c r="P615" s="26"/>
      <c r="Q615" s="26"/>
      <c r="R615" s="26"/>
      <c r="S615" s="30"/>
      <c r="T615" s="84"/>
      <c r="U615" s="84"/>
      <c r="V615" s="105"/>
      <c r="W615" s="106"/>
      <c r="X615" s="33"/>
      <c r="Y615" s="34"/>
      <c r="Z615" s="34"/>
      <c r="AA615" s="34"/>
      <c r="AB615" s="34"/>
      <c r="AC615" s="107"/>
      <c r="AD615" s="35"/>
      <c r="AE615" s="35"/>
      <c r="AF615" s="35"/>
      <c r="AG615" s="35"/>
      <c r="AH615" s="35"/>
      <c r="AI615" s="34"/>
      <c r="AJ615" s="35"/>
      <c r="AK615" s="35"/>
      <c r="AL615" s="34"/>
      <c r="AM615" s="34"/>
      <c r="AN615" s="46"/>
      <c r="AO615" s="48"/>
      <c r="AP615" s="48"/>
      <c r="AQ615" s="48"/>
      <c r="AR615" s="48"/>
      <c r="AS615" s="48"/>
      <c r="AT615" s="48"/>
      <c r="AU615" s="48"/>
      <c r="AV615" s="48"/>
      <c r="AW615" s="48"/>
      <c r="AX615" s="48"/>
      <c r="AY615" s="43"/>
      <c r="AZ615" s="48"/>
      <c r="BA615" s="48"/>
      <c r="BB615" s="48"/>
      <c r="BC615" s="43"/>
      <c r="BD615" s="43"/>
      <c r="BE615" s="44"/>
      <c r="BF615" s="48"/>
      <c r="BG615" s="43"/>
    </row>
    <row r="616">
      <c r="A616" s="98"/>
      <c r="B616" s="99"/>
      <c r="C616" s="99"/>
      <c r="D616" s="21"/>
      <c r="E616" s="22"/>
      <c r="F616" s="100"/>
      <c r="G616" s="101"/>
      <c r="H616" s="100"/>
      <c r="I616" s="102"/>
      <c r="J616" s="26"/>
      <c r="K616" s="103"/>
      <c r="L616" s="47"/>
      <c r="M616" s="30"/>
      <c r="N616" s="104"/>
      <c r="O616" s="104"/>
      <c r="P616" s="26"/>
      <c r="Q616" s="26"/>
      <c r="R616" s="26"/>
      <c r="S616" s="30"/>
      <c r="T616" s="84"/>
      <c r="U616" s="84"/>
      <c r="V616" s="105"/>
      <c r="W616" s="106"/>
      <c r="X616" s="33"/>
      <c r="Y616" s="34"/>
      <c r="Z616" s="34"/>
      <c r="AA616" s="34"/>
      <c r="AB616" s="34"/>
      <c r="AC616" s="107"/>
      <c r="AD616" s="35"/>
      <c r="AE616" s="35"/>
      <c r="AF616" s="35"/>
      <c r="AG616" s="35"/>
      <c r="AH616" s="35"/>
      <c r="AI616" s="34"/>
      <c r="AJ616" s="35"/>
      <c r="AK616" s="35"/>
      <c r="AL616" s="34"/>
      <c r="AM616" s="34"/>
      <c r="AN616" s="46"/>
      <c r="AO616" s="48"/>
      <c r="AP616" s="48"/>
      <c r="AQ616" s="48"/>
      <c r="AR616" s="48"/>
      <c r="AS616" s="48"/>
      <c r="AT616" s="48"/>
      <c r="AU616" s="48"/>
      <c r="AV616" s="48"/>
      <c r="AW616" s="48"/>
      <c r="AX616" s="48"/>
      <c r="AY616" s="43"/>
      <c r="AZ616" s="48"/>
      <c r="BA616" s="48"/>
      <c r="BB616" s="48"/>
      <c r="BC616" s="43"/>
      <c r="BD616" s="43"/>
      <c r="BE616" s="44"/>
      <c r="BF616" s="48"/>
      <c r="BG616" s="43"/>
    </row>
    <row r="617">
      <c r="A617" s="98"/>
      <c r="B617" s="99"/>
      <c r="C617" s="99"/>
      <c r="D617" s="21"/>
      <c r="E617" s="22"/>
      <c r="F617" s="100"/>
      <c r="G617" s="101"/>
      <c r="H617" s="100"/>
      <c r="I617" s="102"/>
      <c r="J617" s="26"/>
      <c r="K617" s="103"/>
      <c r="L617" s="47"/>
      <c r="M617" s="30"/>
      <c r="N617" s="104"/>
      <c r="O617" s="104"/>
      <c r="P617" s="26"/>
      <c r="Q617" s="26"/>
      <c r="R617" s="26"/>
      <c r="S617" s="30"/>
      <c r="T617" s="84"/>
      <c r="U617" s="84"/>
      <c r="V617" s="105"/>
      <c r="W617" s="106"/>
      <c r="X617" s="33"/>
      <c r="Y617" s="34"/>
      <c r="Z617" s="34"/>
      <c r="AA617" s="34"/>
      <c r="AB617" s="34"/>
      <c r="AC617" s="107"/>
      <c r="AD617" s="35"/>
      <c r="AE617" s="35"/>
      <c r="AF617" s="35"/>
      <c r="AG617" s="35"/>
      <c r="AH617" s="35"/>
      <c r="AI617" s="34"/>
      <c r="AJ617" s="35"/>
      <c r="AK617" s="35"/>
      <c r="AL617" s="34"/>
      <c r="AM617" s="34"/>
      <c r="AN617" s="46"/>
      <c r="AO617" s="48"/>
      <c r="AP617" s="48"/>
      <c r="AQ617" s="48"/>
      <c r="AR617" s="48"/>
      <c r="AS617" s="48"/>
      <c r="AT617" s="48"/>
      <c r="AU617" s="48"/>
      <c r="AV617" s="48"/>
      <c r="AW617" s="48"/>
      <c r="AX617" s="48"/>
      <c r="AY617" s="43"/>
      <c r="AZ617" s="48"/>
      <c r="BA617" s="48"/>
      <c r="BB617" s="48"/>
      <c r="BC617" s="43"/>
      <c r="BD617" s="43"/>
      <c r="BE617" s="44"/>
      <c r="BF617" s="48"/>
      <c r="BG617" s="43"/>
    </row>
    <row r="618">
      <c r="A618" s="98"/>
      <c r="B618" s="99"/>
      <c r="C618" s="99"/>
      <c r="D618" s="21"/>
      <c r="E618" s="22"/>
      <c r="F618" s="100"/>
      <c r="G618" s="101"/>
      <c r="H618" s="100"/>
      <c r="I618" s="102"/>
      <c r="J618" s="26"/>
      <c r="K618" s="103"/>
      <c r="L618" s="47"/>
      <c r="M618" s="30"/>
      <c r="N618" s="104"/>
      <c r="O618" s="104"/>
      <c r="P618" s="26"/>
      <c r="Q618" s="26"/>
      <c r="R618" s="26"/>
      <c r="S618" s="30"/>
      <c r="T618" s="84"/>
      <c r="U618" s="84"/>
      <c r="V618" s="105"/>
      <c r="W618" s="106"/>
      <c r="X618" s="33"/>
      <c r="Y618" s="34"/>
      <c r="Z618" s="34"/>
      <c r="AA618" s="34"/>
      <c r="AB618" s="34"/>
      <c r="AC618" s="107"/>
      <c r="AD618" s="35"/>
      <c r="AE618" s="35"/>
      <c r="AF618" s="35"/>
      <c r="AG618" s="35"/>
      <c r="AH618" s="35"/>
      <c r="AI618" s="34"/>
      <c r="AJ618" s="35"/>
      <c r="AK618" s="35"/>
      <c r="AL618" s="34"/>
      <c r="AM618" s="34"/>
      <c r="AN618" s="46"/>
      <c r="AO618" s="48"/>
      <c r="AP618" s="48"/>
      <c r="AQ618" s="48"/>
      <c r="AR618" s="48"/>
      <c r="AS618" s="48"/>
      <c r="AT618" s="48"/>
      <c r="AU618" s="48"/>
      <c r="AV618" s="48"/>
      <c r="AW618" s="48"/>
      <c r="AX618" s="48"/>
      <c r="AY618" s="43"/>
      <c r="AZ618" s="48"/>
      <c r="BA618" s="48"/>
      <c r="BB618" s="48"/>
      <c r="BC618" s="43"/>
      <c r="BD618" s="43"/>
      <c r="BE618" s="44"/>
      <c r="BF618" s="48"/>
      <c r="BG618" s="43"/>
    </row>
    <row r="619">
      <c r="A619" s="98"/>
      <c r="B619" s="99"/>
      <c r="C619" s="99"/>
      <c r="D619" s="21"/>
      <c r="E619" s="22"/>
      <c r="F619" s="100"/>
      <c r="G619" s="101"/>
      <c r="H619" s="100"/>
      <c r="I619" s="102"/>
      <c r="J619" s="26"/>
      <c r="K619" s="103"/>
      <c r="L619" s="47"/>
      <c r="M619" s="30"/>
      <c r="N619" s="104"/>
      <c r="O619" s="104"/>
      <c r="P619" s="26"/>
      <c r="Q619" s="26"/>
      <c r="R619" s="26"/>
      <c r="S619" s="30"/>
      <c r="T619" s="84"/>
      <c r="U619" s="84"/>
      <c r="V619" s="105"/>
      <c r="W619" s="106"/>
      <c r="X619" s="33"/>
      <c r="Y619" s="34"/>
      <c r="Z619" s="34"/>
      <c r="AA619" s="34"/>
      <c r="AB619" s="34"/>
      <c r="AC619" s="107"/>
      <c r="AD619" s="35"/>
      <c r="AE619" s="35"/>
      <c r="AF619" s="35"/>
      <c r="AG619" s="35"/>
      <c r="AH619" s="35"/>
      <c r="AI619" s="34"/>
      <c r="AJ619" s="35"/>
      <c r="AK619" s="35"/>
      <c r="AL619" s="34"/>
      <c r="AM619" s="34"/>
      <c r="AN619" s="46"/>
      <c r="AO619" s="48"/>
      <c r="AP619" s="48"/>
      <c r="AQ619" s="48"/>
      <c r="AR619" s="48"/>
      <c r="AS619" s="48"/>
      <c r="AT619" s="48"/>
      <c r="AU619" s="48"/>
      <c r="AV619" s="48"/>
      <c r="AW619" s="48"/>
      <c r="AX619" s="48"/>
      <c r="AY619" s="43"/>
      <c r="AZ619" s="48"/>
      <c r="BA619" s="48"/>
      <c r="BB619" s="48"/>
      <c r="BC619" s="43"/>
      <c r="BD619" s="43"/>
      <c r="BE619" s="44"/>
      <c r="BF619" s="48"/>
      <c r="BG619" s="43"/>
    </row>
    <row r="620">
      <c r="A620" s="98"/>
      <c r="B620" s="99"/>
      <c r="C620" s="99"/>
      <c r="D620" s="21"/>
      <c r="E620" s="22"/>
      <c r="F620" s="100"/>
      <c r="G620" s="101"/>
      <c r="H620" s="100"/>
      <c r="I620" s="102"/>
      <c r="J620" s="26"/>
      <c r="K620" s="103"/>
      <c r="L620" s="47"/>
      <c r="M620" s="30"/>
      <c r="N620" s="104"/>
      <c r="O620" s="104"/>
      <c r="P620" s="26"/>
      <c r="Q620" s="26"/>
      <c r="R620" s="26"/>
      <c r="S620" s="30"/>
      <c r="T620" s="84"/>
      <c r="U620" s="84"/>
      <c r="V620" s="105"/>
      <c r="W620" s="106"/>
      <c r="X620" s="33"/>
      <c r="Y620" s="34"/>
      <c r="Z620" s="34"/>
      <c r="AA620" s="34"/>
      <c r="AB620" s="34"/>
      <c r="AC620" s="107"/>
      <c r="AD620" s="35"/>
      <c r="AE620" s="35"/>
      <c r="AF620" s="35"/>
      <c r="AG620" s="35"/>
      <c r="AH620" s="35"/>
      <c r="AI620" s="34"/>
      <c r="AJ620" s="35"/>
      <c r="AK620" s="35"/>
      <c r="AL620" s="34"/>
      <c r="AM620" s="34"/>
      <c r="AN620" s="46"/>
      <c r="AO620" s="48"/>
      <c r="AP620" s="48"/>
      <c r="AQ620" s="48"/>
      <c r="AR620" s="48"/>
      <c r="AS620" s="48"/>
      <c r="AT620" s="48"/>
      <c r="AU620" s="48"/>
      <c r="AV620" s="48"/>
      <c r="AW620" s="48"/>
      <c r="AX620" s="48"/>
      <c r="AY620" s="43"/>
      <c r="AZ620" s="48"/>
      <c r="BA620" s="48"/>
      <c r="BB620" s="48"/>
      <c r="BC620" s="43"/>
      <c r="BD620" s="43"/>
      <c r="BE620" s="44"/>
      <c r="BF620" s="48"/>
      <c r="BG620" s="43"/>
    </row>
    <row r="621">
      <c r="A621" s="98"/>
      <c r="B621" s="99"/>
      <c r="C621" s="99"/>
      <c r="D621" s="21"/>
      <c r="E621" s="22"/>
      <c r="F621" s="100"/>
      <c r="G621" s="101"/>
      <c r="H621" s="100"/>
      <c r="I621" s="102"/>
      <c r="J621" s="26"/>
      <c r="K621" s="103"/>
      <c r="L621" s="47"/>
      <c r="M621" s="30"/>
      <c r="N621" s="104"/>
      <c r="O621" s="104"/>
      <c r="P621" s="26"/>
      <c r="Q621" s="26"/>
      <c r="R621" s="26"/>
      <c r="S621" s="30"/>
      <c r="T621" s="84"/>
      <c r="U621" s="84"/>
      <c r="V621" s="105"/>
      <c r="W621" s="106"/>
      <c r="X621" s="33"/>
      <c r="Y621" s="34"/>
      <c r="Z621" s="34"/>
      <c r="AA621" s="34"/>
      <c r="AB621" s="34"/>
      <c r="AC621" s="107"/>
      <c r="AD621" s="35"/>
      <c r="AE621" s="35"/>
      <c r="AF621" s="35"/>
      <c r="AG621" s="35"/>
      <c r="AH621" s="35"/>
      <c r="AI621" s="34"/>
      <c r="AJ621" s="35"/>
      <c r="AK621" s="35"/>
      <c r="AL621" s="34"/>
      <c r="AM621" s="34"/>
      <c r="AN621" s="46"/>
      <c r="AO621" s="48"/>
      <c r="AP621" s="48"/>
      <c r="AQ621" s="48"/>
      <c r="AR621" s="48"/>
      <c r="AS621" s="48"/>
      <c r="AT621" s="48"/>
      <c r="AU621" s="48"/>
      <c r="AV621" s="48"/>
      <c r="AW621" s="48"/>
      <c r="AX621" s="48"/>
      <c r="AY621" s="43"/>
      <c r="AZ621" s="48"/>
      <c r="BA621" s="48"/>
      <c r="BB621" s="48"/>
      <c r="BC621" s="43"/>
      <c r="BD621" s="43"/>
      <c r="BE621" s="44"/>
      <c r="BF621" s="48"/>
      <c r="BG621" s="43"/>
    </row>
    <row r="622">
      <c r="A622" s="98"/>
      <c r="B622" s="99"/>
      <c r="C622" s="99"/>
      <c r="D622" s="21"/>
      <c r="E622" s="22"/>
      <c r="F622" s="100"/>
      <c r="G622" s="101"/>
      <c r="H622" s="100"/>
      <c r="I622" s="102"/>
      <c r="J622" s="26"/>
      <c r="K622" s="103"/>
      <c r="L622" s="47"/>
      <c r="M622" s="30"/>
      <c r="N622" s="104"/>
      <c r="O622" s="104"/>
      <c r="P622" s="26"/>
      <c r="Q622" s="26"/>
      <c r="R622" s="26"/>
      <c r="S622" s="30"/>
      <c r="T622" s="84"/>
      <c r="U622" s="84"/>
      <c r="V622" s="105"/>
      <c r="W622" s="106"/>
      <c r="X622" s="33"/>
      <c r="Y622" s="34"/>
      <c r="Z622" s="34"/>
      <c r="AA622" s="34"/>
      <c r="AB622" s="34"/>
      <c r="AC622" s="107"/>
      <c r="AD622" s="35"/>
      <c r="AE622" s="35"/>
      <c r="AF622" s="35"/>
      <c r="AG622" s="35"/>
      <c r="AH622" s="35"/>
      <c r="AI622" s="34"/>
      <c r="AJ622" s="35"/>
      <c r="AK622" s="35"/>
      <c r="AL622" s="34"/>
      <c r="AM622" s="34"/>
      <c r="AN622" s="46"/>
      <c r="AO622" s="48"/>
      <c r="AP622" s="48"/>
      <c r="AQ622" s="48"/>
      <c r="AR622" s="48"/>
      <c r="AS622" s="48"/>
      <c r="AT622" s="48"/>
      <c r="AU622" s="48"/>
      <c r="AV622" s="48"/>
      <c r="AW622" s="48"/>
      <c r="AX622" s="48"/>
      <c r="AY622" s="43"/>
      <c r="AZ622" s="48"/>
      <c r="BA622" s="48"/>
      <c r="BB622" s="48"/>
      <c r="BC622" s="43"/>
      <c r="BD622" s="43"/>
      <c r="BE622" s="44"/>
      <c r="BF622" s="48"/>
      <c r="BG622" s="43"/>
    </row>
    <row r="623">
      <c r="A623" s="98"/>
      <c r="B623" s="99"/>
      <c r="C623" s="99"/>
      <c r="D623" s="21"/>
      <c r="E623" s="22"/>
      <c r="F623" s="100"/>
      <c r="G623" s="101"/>
      <c r="H623" s="100"/>
      <c r="I623" s="102"/>
      <c r="J623" s="26"/>
      <c r="K623" s="103"/>
      <c r="L623" s="47"/>
      <c r="M623" s="30"/>
      <c r="N623" s="104"/>
      <c r="O623" s="104"/>
      <c r="P623" s="26"/>
      <c r="Q623" s="26"/>
      <c r="R623" s="26"/>
      <c r="S623" s="30"/>
      <c r="T623" s="84"/>
      <c r="U623" s="84"/>
      <c r="V623" s="105"/>
      <c r="W623" s="106"/>
      <c r="X623" s="33"/>
      <c r="Y623" s="34"/>
      <c r="Z623" s="34"/>
      <c r="AA623" s="34"/>
      <c r="AB623" s="34"/>
      <c r="AC623" s="107"/>
      <c r="AD623" s="35"/>
      <c r="AE623" s="35"/>
      <c r="AF623" s="35"/>
      <c r="AG623" s="35"/>
      <c r="AH623" s="35"/>
      <c r="AI623" s="34"/>
      <c r="AJ623" s="35"/>
      <c r="AK623" s="35"/>
      <c r="AL623" s="34"/>
      <c r="AM623" s="34"/>
      <c r="AN623" s="46"/>
      <c r="AO623" s="48"/>
      <c r="AP623" s="48"/>
      <c r="AQ623" s="48"/>
      <c r="AR623" s="48"/>
      <c r="AS623" s="48"/>
      <c r="AT623" s="48"/>
      <c r="AU623" s="48"/>
      <c r="AV623" s="48"/>
      <c r="AW623" s="48"/>
      <c r="AX623" s="48"/>
      <c r="AY623" s="43"/>
      <c r="AZ623" s="48"/>
      <c r="BA623" s="48"/>
      <c r="BB623" s="48"/>
      <c r="BC623" s="43"/>
      <c r="BD623" s="43"/>
      <c r="BE623" s="44"/>
      <c r="BF623" s="48"/>
      <c r="BG623" s="43"/>
    </row>
    <row r="624">
      <c r="A624" s="98"/>
      <c r="B624" s="99"/>
      <c r="C624" s="99"/>
      <c r="D624" s="21"/>
      <c r="E624" s="22"/>
      <c r="F624" s="100"/>
      <c r="G624" s="101"/>
      <c r="H624" s="100"/>
      <c r="I624" s="102"/>
      <c r="J624" s="26"/>
      <c r="K624" s="103"/>
      <c r="L624" s="47"/>
      <c r="M624" s="30"/>
      <c r="N624" s="104"/>
      <c r="O624" s="104"/>
      <c r="P624" s="26"/>
      <c r="Q624" s="26"/>
      <c r="R624" s="26"/>
      <c r="S624" s="30"/>
      <c r="T624" s="84"/>
      <c r="U624" s="84"/>
      <c r="V624" s="105"/>
      <c r="W624" s="106"/>
      <c r="X624" s="33"/>
      <c r="Y624" s="34"/>
      <c r="Z624" s="34"/>
      <c r="AA624" s="34"/>
      <c r="AB624" s="34"/>
      <c r="AC624" s="107"/>
      <c r="AD624" s="35"/>
      <c r="AE624" s="35"/>
      <c r="AF624" s="35"/>
      <c r="AG624" s="35"/>
      <c r="AH624" s="35"/>
      <c r="AI624" s="34"/>
      <c r="AJ624" s="35"/>
      <c r="AK624" s="35"/>
      <c r="AL624" s="34"/>
      <c r="AM624" s="34"/>
      <c r="AN624" s="46"/>
      <c r="AO624" s="48"/>
      <c r="AP624" s="48"/>
      <c r="AQ624" s="48"/>
      <c r="AR624" s="48"/>
      <c r="AS624" s="48"/>
      <c r="AT624" s="48"/>
      <c r="AU624" s="48"/>
      <c r="AV624" s="48"/>
      <c r="AW624" s="48"/>
      <c r="AX624" s="48"/>
      <c r="AY624" s="43"/>
      <c r="AZ624" s="48"/>
      <c r="BA624" s="48"/>
      <c r="BB624" s="48"/>
      <c r="BC624" s="43"/>
      <c r="BD624" s="43"/>
      <c r="BE624" s="44"/>
      <c r="BF624" s="48"/>
      <c r="BG624" s="43"/>
    </row>
    <row r="625">
      <c r="A625" s="98"/>
      <c r="B625" s="99"/>
      <c r="C625" s="99"/>
      <c r="D625" s="21"/>
      <c r="E625" s="22"/>
      <c r="F625" s="100"/>
      <c r="G625" s="101"/>
      <c r="H625" s="100"/>
      <c r="I625" s="102"/>
      <c r="J625" s="26"/>
      <c r="K625" s="103"/>
      <c r="L625" s="47"/>
      <c r="M625" s="30"/>
      <c r="N625" s="104"/>
      <c r="O625" s="104"/>
      <c r="P625" s="26"/>
      <c r="Q625" s="26"/>
      <c r="R625" s="26"/>
      <c r="S625" s="30"/>
      <c r="T625" s="84"/>
      <c r="U625" s="84"/>
      <c r="V625" s="105"/>
      <c r="W625" s="106"/>
      <c r="X625" s="33"/>
      <c r="Y625" s="34"/>
      <c r="Z625" s="34"/>
      <c r="AA625" s="34"/>
      <c r="AB625" s="34"/>
      <c r="AC625" s="107"/>
      <c r="AD625" s="35"/>
      <c r="AE625" s="35"/>
      <c r="AF625" s="35"/>
      <c r="AG625" s="35"/>
      <c r="AH625" s="35"/>
      <c r="AI625" s="34"/>
      <c r="AJ625" s="35"/>
      <c r="AK625" s="35"/>
      <c r="AL625" s="34"/>
      <c r="AM625" s="34"/>
      <c r="AN625" s="46"/>
      <c r="AO625" s="48"/>
      <c r="AP625" s="48"/>
      <c r="AQ625" s="48"/>
      <c r="AR625" s="48"/>
      <c r="AS625" s="48"/>
      <c r="AT625" s="48"/>
      <c r="AU625" s="48"/>
      <c r="AV625" s="48"/>
      <c r="AW625" s="48"/>
      <c r="AX625" s="48"/>
      <c r="AY625" s="43"/>
      <c r="AZ625" s="48"/>
      <c r="BA625" s="48"/>
      <c r="BB625" s="48"/>
      <c r="BC625" s="43"/>
      <c r="BD625" s="43"/>
      <c r="BE625" s="44"/>
      <c r="BF625" s="48"/>
      <c r="BG625" s="43"/>
    </row>
    <row r="626">
      <c r="A626" s="98"/>
      <c r="B626" s="99"/>
      <c r="C626" s="99"/>
      <c r="D626" s="21"/>
      <c r="E626" s="22"/>
      <c r="F626" s="100"/>
      <c r="G626" s="101"/>
      <c r="H626" s="100"/>
      <c r="I626" s="102"/>
      <c r="J626" s="26"/>
      <c r="K626" s="103"/>
      <c r="L626" s="47"/>
      <c r="M626" s="30"/>
      <c r="N626" s="104"/>
      <c r="O626" s="104"/>
      <c r="P626" s="26"/>
      <c r="Q626" s="26"/>
      <c r="R626" s="26"/>
      <c r="S626" s="30"/>
      <c r="T626" s="84"/>
      <c r="U626" s="84"/>
      <c r="V626" s="105"/>
      <c r="W626" s="106"/>
      <c r="X626" s="33"/>
      <c r="Y626" s="34"/>
      <c r="Z626" s="34"/>
      <c r="AA626" s="34"/>
      <c r="AB626" s="34"/>
      <c r="AC626" s="107"/>
      <c r="AD626" s="35"/>
      <c r="AE626" s="35"/>
      <c r="AF626" s="35"/>
      <c r="AG626" s="35"/>
      <c r="AH626" s="35"/>
      <c r="AI626" s="34"/>
      <c r="AJ626" s="35"/>
      <c r="AK626" s="35"/>
      <c r="AL626" s="34"/>
      <c r="AM626" s="34"/>
      <c r="AN626" s="46"/>
      <c r="AO626" s="48"/>
      <c r="AP626" s="48"/>
      <c r="AQ626" s="48"/>
      <c r="AR626" s="48"/>
      <c r="AS626" s="48"/>
      <c r="AT626" s="48"/>
      <c r="AU626" s="48"/>
      <c r="AV626" s="48"/>
      <c r="AW626" s="48"/>
      <c r="AX626" s="48"/>
      <c r="AY626" s="43"/>
      <c r="AZ626" s="48"/>
      <c r="BA626" s="48"/>
      <c r="BB626" s="48"/>
      <c r="BC626" s="43"/>
      <c r="BD626" s="43"/>
      <c r="BE626" s="44"/>
      <c r="BF626" s="48"/>
      <c r="BG626" s="43"/>
    </row>
    <row r="627">
      <c r="A627" s="98"/>
      <c r="B627" s="99"/>
      <c r="C627" s="99"/>
      <c r="D627" s="21"/>
      <c r="E627" s="22"/>
      <c r="F627" s="100"/>
      <c r="G627" s="101"/>
      <c r="H627" s="100"/>
      <c r="I627" s="102"/>
      <c r="J627" s="26"/>
      <c r="K627" s="103"/>
      <c r="L627" s="47"/>
      <c r="M627" s="30"/>
      <c r="N627" s="104"/>
      <c r="O627" s="104"/>
      <c r="P627" s="26"/>
      <c r="Q627" s="26"/>
      <c r="R627" s="26"/>
      <c r="S627" s="30"/>
      <c r="T627" s="84"/>
      <c r="U627" s="84"/>
      <c r="V627" s="105"/>
      <c r="W627" s="106"/>
      <c r="X627" s="33"/>
      <c r="Y627" s="34"/>
      <c r="Z627" s="34"/>
      <c r="AA627" s="34"/>
      <c r="AB627" s="34"/>
      <c r="AC627" s="107"/>
      <c r="AD627" s="35"/>
      <c r="AE627" s="35"/>
      <c r="AF627" s="35"/>
      <c r="AG627" s="35"/>
      <c r="AH627" s="35"/>
      <c r="AI627" s="34"/>
      <c r="AJ627" s="35"/>
      <c r="AK627" s="35"/>
      <c r="AL627" s="34"/>
      <c r="AM627" s="34"/>
      <c r="AN627" s="46"/>
      <c r="AO627" s="48"/>
      <c r="AP627" s="48"/>
      <c r="AQ627" s="48"/>
      <c r="AR627" s="48"/>
      <c r="AS627" s="48"/>
      <c r="AT627" s="48"/>
      <c r="AU627" s="48"/>
      <c r="AV627" s="48"/>
      <c r="AW627" s="48"/>
      <c r="AX627" s="48"/>
      <c r="AY627" s="43"/>
      <c r="AZ627" s="48"/>
      <c r="BA627" s="48"/>
      <c r="BB627" s="48"/>
      <c r="BC627" s="43"/>
      <c r="BD627" s="43"/>
      <c r="BE627" s="44"/>
      <c r="BF627" s="48"/>
      <c r="BG627" s="43"/>
    </row>
    <row r="628">
      <c r="A628" s="98"/>
      <c r="B628" s="99"/>
      <c r="C628" s="99"/>
      <c r="D628" s="21"/>
      <c r="E628" s="22"/>
      <c r="F628" s="100"/>
      <c r="G628" s="101"/>
      <c r="H628" s="100"/>
      <c r="I628" s="102"/>
      <c r="J628" s="26"/>
      <c r="K628" s="103"/>
      <c r="L628" s="47"/>
      <c r="M628" s="30"/>
      <c r="N628" s="104"/>
      <c r="O628" s="104"/>
      <c r="P628" s="26"/>
      <c r="Q628" s="26"/>
      <c r="R628" s="26"/>
      <c r="S628" s="30"/>
      <c r="T628" s="84"/>
      <c r="U628" s="84"/>
      <c r="V628" s="105"/>
      <c r="W628" s="106"/>
      <c r="X628" s="33"/>
      <c r="Y628" s="34"/>
      <c r="Z628" s="34"/>
      <c r="AA628" s="34"/>
      <c r="AB628" s="34"/>
      <c r="AC628" s="107"/>
      <c r="AD628" s="35"/>
      <c r="AE628" s="35"/>
      <c r="AF628" s="35"/>
      <c r="AG628" s="35"/>
      <c r="AH628" s="35"/>
      <c r="AI628" s="34"/>
      <c r="AJ628" s="35"/>
      <c r="AK628" s="35"/>
      <c r="AL628" s="34"/>
      <c r="AM628" s="34"/>
      <c r="AN628" s="46"/>
      <c r="AO628" s="48"/>
      <c r="AP628" s="48"/>
      <c r="AQ628" s="48"/>
      <c r="AR628" s="48"/>
      <c r="AS628" s="48"/>
      <c r="AT628" s="48"/>
      <c r="AU628" s="48"/>
      <c r="AV628" s="48"/>
      <c r="AW628" s="48"/>
      <c r="AX628" s="48"/>
      <c r="AY628" s="43"/>
      <c r="AZ628" s="48"/>
      <c r="BA628" s="48"/>
      <c r="BB628" s="48"/>
      <c r="BC628" s="43"/>
      <c r="BD628" s="43"/>
      <c r="BE628" s="44"/>
      <c r="BF628" s="48"/>
      <c r="BG628" s="43"/>
    </row>
    <row r="629">
      <c r="A629" s="98"/>
      <c r="B629" s="99"/>
      <c r="C629" s="99"/>
      <c r="D629" s="21"/>
      <c r="E629" s="22"/>
      <c r="F629" s="100"/>
      <c r="G629" s="101"/>
      <c r="H629" s="100"/>
      <c r="I629" s="102"/>
      <c r="J629" s="26"/>
      <c r="K629" s="103"/>
      <c r="L629" s="47"/>
      <c r="M629" s="30"/>
      <c r="N629" s="104"/>
      <c r="O629" s="104"/>
      <c r="P629" s="26"/>
      <c r="Q629" s="26"/>
      <c r="R629" s="26"/>
      <c r="S629" s="30"/>
      <c r="T629" s="84"/>
      <c r="U629" s="84"/>
      <c r="V629" s="105"/>
      <c r="W629" s="106"/>
      <c r="X629" s="33"/>
      <c r="Y629" s="34"/>
      <c r="Z629" s="34"/>
      <c r="AA629" s="34"/>
      <c r="AB629" s="34"/>
      <c r="AC629" s="107"/>
      <c r="AD629" s="35"/>
      <c r="AE629" s="35"/>
      <c r="AF629" s="35"/>
      <c r="AG629" s="35"/>
      <c r="AH629" s="35"/>
      <c r="AI629" s="34"/>
      <c r="AJ629" s="35"/>
      <c r="AK629" s="35"/>
      <c r="AL629" s="34"/>
      <c r="AM629" s="34"/>
      <c r="AN629" s="46"/>
      <c r="AO629" s="48"/>
      <c r="AP629" s="48"/>
      <c r="AQ629" s="48"/>
      <c r="AR629" s="48"/>
      <c r="AS629" s="48"/>
      <c r="AT629" s="48"/>
      <c r="AU629" s="48"/>
      <c r="AV629" s="48"/>
      <c r="AW629" s="48"/>
      <c r="AX629" s="48"/>
      <c r="AY629" s="43"/>
      <c r="AZ629" s="48"/>
      <c r="BA629" s="48"/>
      <c r="BB629" s="48"/>
      <c r="BC629" s="43"/>
      <c r="BD629" s="43"/>
      <c r="BE629" s="44"/>
      <c r="BF629" s="48"/>
      <c r="BG629" s="43"/>
    </row>
    <row r="630">
      <c r="A630" s="98"/>
      <c r="B630" s="99"/>
      <c r="C630" s="99"/>
      <c r="D630" s="21"/>
      <c r="E630" s="22"/>
      <c r="F630" s="100"/>
      <c r="G630" s="101"/>
      <c r="H630" s="100"/>
      <c r="I630" s="102"/>
      <c r="J630" s="26"/>
      <c r="K630" s="103"/>
      <c r="L630" s="47"/>
      <c r="M630" s="30"/>
      <c r="N630" s="104"/>
      <c r="O630" s="104"/>
      <c r="P630" s="26"/>
      <c r="Q630" s="26"/>
      <c r="R630" s="26"/>
      <c r="S630" s="30"/>
      <c r="T630" s="84"/>
      <c r="U630" s="84"/>
      <c r="V630" s="105"/>
      <c r="W630" s="106"/>
      <c r="X630" s="33"/>
      <c r="Y630" s="34"/>
      <c r="Z630" s="34"/>
      <c r="AA630" s="34"/>
      <c r="AB630" s="34"/>
      <c r="AC630" s="107"/>
      <c r="AD630" s="35"/>
      <c r="AE630" s="35"/>
      <c r="AF630" s="35"/>
      <c r="AG630" s="35"/>
      <c r="AH630" s="35"/>
      <c r="AI630" s="34"/>
      <c r="AJ630" s="35"/>
      <c r="AK630" s="35"/>
      <c r="AL630" s="34"/>
      <c r="AM630" s="34"/>
      <c r="AN630" s="46"/>
      <c r="AO630" s="48"/>
      <c r="AP630" s="48"/>
      <c r="AQ630" s="48"/>
      <c r="AR630" s="48"/>
      <c r="AS630" s="48"/>
      <c r="AT630" s="48"/>
      <c r="AU630" s="48"/>
      <c r="AV630" s="48"/>
      <c r="AW630" s="48"/>
      <c r="AX630" s="48"/>
      <c r="AY630" s="43"/>
      <c r="AZ630" s="48"/>
      <c r="BA630" s="48"/>
      <c r="BB630" s="48"/>
      <c r="BC630" s="43"/>
      <c r="BD630" s="43"/>
      <c r="BE630" s="44"/>
      <c r="BF630" s="48"/>
      <c r="BG630" s="43"/>
    </row>
    <row r="631">
      <c r="A631" s="98"/>
      <c r="B631" s="99"/>
      <c r="C631" s="99"/>
      <c r="D631" s="21"/>
      <c r="E631" s="22"/>
      <c r="F631" s="100"/>
      <c r="G631" s="101"/>
      <c r="H631" s="100"/>
      <c r="I631" s="102"/>
      <c r="J631" s="26"/>
      <c r="K631" s="103"/>
      <c r="L631" s="47"/>
      <c r="M631" s="30"/>
      <c r="N631" s="104"/>
      <c r="O631" s="104"/>
      <c r="P631" s="26"/>
      <c r="Q631" s="26"/>
      <c r="R631" s="26"/>
      <c r="S631" s="30"/>
      <c r="T631" s="84"/>
      <c r="U631" s="84"/>
      <c r="V631" s="105"/>
      <c r="W631" s="106"/>
      <c r="X631" s="33"/>
      <c r="Y631" s="34"/>
      <c r="Z631" s="34"/>
      <c r="AA631" s="34"/>
      <c r="AB631" s="34"/>
      <c r="AC631" s="107"/>
      <c r="AD631" s="35"/>
      <c r="AE631" s="35"/>
      <c r="AF631" s="35"/>
      <c r="AG631" s="35"/>
      <c r="AH631" s="35"/>
      <c r="AI631" s="34"/>
      <c r="AJ631" s="35"/>
      <c r="AK631" s="35"/>
      <c r="AL631" s="34"/>
      <c r="AM631" s="34"/>
      <c r="AN631" s="46"/>
      <c r="AO631" s="48"/>
      <c r="AP631" s="48"/>
      <c r="AQ631" s="48"/>
      <c r="AR631" s="48"/>
      <c r="AS631" s="48"/>
      <c r="AT631" s="48"/>
      <c r="AU631" s="48"/>
      <c r="AV631" s="48"/>
      <c r="AW631" s="48"/>
      <c r="AX631" s="48"/>
      <c r="AY631" s="43"/>
      <c r="AZ631" s="48"/>
      <c r="BA631" s="48"/>
      <c r="BB631" s="48"/>
      <c r="BC631" s="43"/>
      <c r="BD631" s="43"/>
      <c r="BE631" s="44"/>
      <c r="BF631" s="48"/>
      <c r="BG631" s="43"/>
    </row>
    <row r="632">
      <c r="A632" s="98"/>
      <c r="B632" s="99"/>
      <c r="C632" s="99"/>
      <c r="D632" s="21"/>
      <c r="E632" s="22"/>
      <c r="F632" s="100"/>
      <c r="G632" s="101"/>
      <c r="H632" s="100"/>
      <c r="I632" s="102"/>
      <c r="J632" s="26"/>
      <c r="K632" s="103"/>
      <c r="L632" s="47"/>
      <c r="M632" s="30"/>
      <c r="N632" s="104"/>
      <c r="O632" s="104"/>
      <c r="P632" s="26"/>
      <c r="Q632" s="26"/>
      <c r="R632" s="26"/>
      <c r="S632" s="30"/>
      <c r="T632" s="84"/>
      <c r="U632" s="84"/>
      <c r="V632" s="105"/>
      <c r="W632" s="106"/>
      <c r="X632" s="33"/>
      <c r="Y632" s="34"/>
      <c r="Z632" s="34"/>
      <c r="AA632" s="34"/>
      <c r="AB632" s="34"/>
      <c r="AC632" s="107"/>
      <c r="AD632" s="35"/>
      <c r="AE632" s="35"/>
      <c r="AF632" s="35"/>
      <c r="AG632" s="35"/>
      <c r="AH632" s="35"/>
      <c r="AI632" s="34"/>
      <c r="AJ632" s="35"/>
      <c r="AK632" s="35"/>
      <c r="AL632" s="34"/>
      <c r="AM632" s="34"/>
      <c r="AN632" s="46"/>
      <c r="AO632" s="48"/>
      <c r="AP632" s="48"/>
      <c r="AQ632" s="48"/>
      <c r="AR632" s="48"/>
      <c r="AS632" s="48"/>
      <c r="AT632" s="48"/>
      <c r="AU632" s="48"/>
      <c r="AV632" s="48"/>
      <c r="AW632" s="48"/>
      <c r="AX632" s="48"/>
      <c r="AY632" s="43"/>
      <c r="AZ632" s="48"/>
      <c r="BA632" s="48"/>
      <c r="BB632" s="48"/>
      <c r="BC632" s="43"/>
      <c r="BD632" s="43"/>
      <c r="BE632" s="44"/>
      <c r="BF632" s="48"/>
      <c r="BG632" s="43"/>
    </row>
    <row r="633">
      <c r="A633" s="98"/>
      <c r="B633" s="99"/>
      <c r="C633" s="99"/>
      <c r="D633" s="21"/>
      <c r="E633" s="22"/>
      <c r="F633" s="100"/>
      <c r="G633" s="101"/>
      <c r="H633" s="100"/>
      <c r="I633" s="102"/>
      <c r="J633" s="26"/>
      <c r="K633" s="103"/>
      <c r="L633" s="47"/>
      <c r="M633" s="30"/>
      <c r="N633" s="104"/>
      <c r="O633" s="104"/>
      <c r="P633" s="26"/>
      <c r="Q633" s="26"/>
      <c r="R633" s="26"/>
      <c r="S633" s="30"/>
      <c r="T633" s="84"/>
      <c r="U633" s="84"/>
      <c r="V633" s="105"/>
      <c r="W633" s="106"/>
      <c r="X633" s="33"/>
      <c r="Y633" s="34"/>
      <c r="Z633" s="34"/>
      <c r="AA633" s="34"/>
      <c r="AB633" s="34"/>
      <c r="AC633" s="107"/>
      <c r="AD633" s="35"/>
      <c r="AE633" s="35"/>
      <c r="AF633" s="35"/>
      <c r="AG633" s="35"/>
      <c r="AH633" s="35"/>
      <c r="AI633" s="34"/>
      <c r="AJ633" s="35"/>
      <c r="AK633" s="35"/>
      <c r="AL633" s="34"/>
      <c r="AM633" s="34"/>
      <c r="AN633" s="46"/>
      <c r="AO633" s="48"/>
      <c r="AP633" s="48"/>
      <c r="AQ633" s="48"/>
      <c r="AR633" s="48"/>
      <c r="AS633" s="48"/>
      <c r="AT633" s="48"/>
      <c r="AU633" s="48"/>
      <c r="AV633" s="48"/>
      <c r="AW633" s="48"/>
      <c r="AX633" s="48"/>
      <c r="AY633" s="43"/>
      <c r="AZ633" s="48"/>
      <c r="BA633" s="48"/>
      <c r="BB633" s="48"/>
      <c r="BC633" s="43"/>
      <c r="BD633" s="43"/>
      <c r="BE633" s="44"/>
      <c r="BF633" s="48"/>
      <c r="BG633" s="43"/>
    </row>
    <row r="634">
      <c r="A634" s="98"/>
      <c r="B634" s="99"/>
      <c r="C634" s="99"/>
      <c r="D634" s="21"/>
      <c r="E634" s="22"/>
      <c r="F634" s="100"/>
      <c r="G634" s="101"/>
      <c r="H634" s="100"/>
      <c r="I634" s="102"/>
      <c r="J634" s="26"/>
      <c r="K634" s="103"/>
      <c r="L634" s="47"/>
      <c r="M634" s="30"/>
      <c r="N634" s="104"/>
      <c r="O634" s="104"/>
      <c r="P634" s="26"/>
      <c r="Q634" s="26"/>
      <c r="R634" s="26"/>
      <c r="S634" s="30"/>
      <c r="T634" s="84"/>
      <c r="U634" s="84"/>
      <c r="V634" s="105"/>
      <c r="W634" s="106"/>
      <c r="X634" s="33"/>
      <c r="Y634" s="34"/>
      <c r="Z634" s="34"/>
      <c r="AA634" s="34"/>
      <c r="AB634" s="34"/>
      <c r="AC634" s="107"/>
      <c r="AD634" s="35"/>
      <c r="AE634" s="35"/>
      <c r="AF634" s="35"/>
      <c r="AG634" s="35"/>
      <c r="AH634" s="35"/>
      <c r="AI634" s="34"/>
      <c r="AJ634" s="35"/>
      <c r="AK634" s="35"/>
      <c r="AL634" s="34"/>
      <c r="AM634" s="34"/>
      <c r="AN634" s="46"/>
      <c r="AO634" s="48"/>
      <c r="AP634" s="48"/>
      <c r="AQ634" s="48"/>
      <c r="AR634" s="48"/>
      <c r="AS634" s="48"/>
      <c r="AT634" s="48"/>
      <c r="AU634" s="48"/>
      <c r="AV634" s="48"/>
      <c r="AW634" s="48"/>
      <c r="AX634" s="48"/>
      <c r="AY634" s="43"/>
      <c r="AZ634" s="48"/>
      <c r="BA634" s="48"/>
      <c r="BB634" s="48"/>
      <c r="BC634" s="43"/>
      <c r="BD634" s="43"/>
      <c r="BE634" s="44"/>
      <c r="BF634" s="48"/>
      <c r="BG634" s="43"/>
    </row>
    <row r="635">
      <c r="A635" s="98"/>
      <c r="B635" s="99"/>
      <c r="C635" s="99"/>
      <c r="D635" s="21"/>
      <c r="E635" s="22"/>
      <c r="F635" s="100"/>
      <c r="G635" s="101"/>
      <c r="H635" s="100"/>
      <c r="I635" s="102"/>
      <c r="J635" s="26"/>
      <c r="K635" s="103"/>
      <c r="L635" s="47"/>
      <c r="M635" s="30"/>
      <c r="N635" s="104"/>
      <c r="O635" s="104"/>
      <c r="P635" s="26"/>
      <c r="Q635" s="26"/>
      <c r="R635" s="26"/>
      <c r="S635" s="30"/>
      <c r="T635" s="84"/>
      <c r="U635" s="84"/>
      <c r="V635" s="105"/>
      <c r="W635" s="106"/>
      <c r="X635" s="33"/>
      <c r="Y635" s="34"/>
      <c r="Z635" s="34"/>
      <c r="AA635" s="34"/>
      <c r="AB635" s="34"/>
      <c r="AC635" s="107"/>
      <c r="AD635" s="35"/>
      <c r="AE635" s="35"/>
      <c r="AF635" s="35"/>
      <c r="AG635" s="35"/>
      <c r="AH635" s="35"/>
      <c r="AI635" s="34"/>
      <c r="AJ635" s="35"/>
      <c r="AK635" s="35"/>
      <c r="AL635" s="34"/>
      <c r="AM635" s="34"/>
      <c r="AN635" s="46"/>
      <c r="AO635" s="48"/>
      <c r="AP635" s="48"/>
      <c r="AQ635" s="48"/>
      <c r="AR635" s="48"/>
      <c r="AS635" s="48"/>
      <c r="AT635" s="48"/>
      <c r="AU635" s="48"/>
      <c r="AV635" s="48"/>
      <c r="AW635" s="48"/>
      <c r="AX635" s="48"/>
      <c r="AY635" s="43"/>
      <c r="AZ635" s="48"/>
      <c r="BA635" s="48"/>
      <c r="BB635" s="48"/>
      <c r="BC635" s="43"/>
      <c r="BD635" s="43"/>
      <c r="BE635" s="44"/>
      <c r="BF635" s="48"/>
      <c r="BG635" s="43"/>
    </row>
    <row r="636">
      <c r="A636" s="98"/>
      <c r="B636" s="99"/>
      <c r="C636" s="99"/>
      <c r="D636" s="21"/>
      <c r="E636" s="22"/>
      <c r="F636" s="100"/>
      <c r="G636" s="101"/>
      <c r="H636" s="100"/>
      <c r="I636" s="102"/>
      <c r="J636" s="26"/>
      <c r="K636" s="103"/>
      <c r="L636" s="47"/>
      <c r="M636" s="30"/>
      <c r="N636" s="104"/>
      <c r="O636" s="104"/>
      <c r="P636" s="26"/>
      <c r="Q636" s="26"/>
      <c r="R636" s="26"/>
      <c r="S636" s="30"/>
      <c r="T636" s="84"/>
      <c r="U636" s="84"/>
      <c r="V636" s="105"/>
      <c r="W636" s="106"/>
      <c r="X636" s="33"/>
      <c r="Y636" s="34"/>
      <c r="Z636" s="34"/>
      <c r="AA636" s="34"/>
      <c r="AB636" s="34"/>
      <c r="AC636" s="107"/>
      <c r="AD636" s="35"/>
      <c r="AE636" s="35"/>
      <c r="AF636" s="35"/>
      <c r="AG636" s="35"/>
      <c r="AH636" s="35"/>
      <c r="AI636" s="34"/>
      <c r="AJ636" s="35"/>
      <c r="AK636" s="35"/>
      <c r="AL636" s="34"/>
      <c r="AM636" s="34"/>
      <c r="AN636" s="46"/>
      <c r="AO636" s="48"/>
      <c r="AP636" s="48"/>
      <c r="AQ636" s="48"/>
      <c r="AR636" s="48"/>
      <c r="AS636" s="48"/>
      <c r="AT636" s="48"/>
      <c r="AU636" s="48"/>
      <c r="AV636" s="48"/>
      <c r="AW636" s="48"/>
      <c r="AX636" s="48"/>
      <c r="AY636" s="43"/>
      <c r="AZ636" s="48"/>
      <c r="BA636" s="48"/>
      <c r="BB636" s="48"/>
      <c r="BC636" s="43"/>
      <c r="BD636" s="43"/>
      <c r="BE636" s="44"/>
      <c r="BF636" s="48"/>
      <c r="BG636" s="43"/>
    </row>
    <row r="637">
      <c r="A637" s="98"/>
      <c r="B637" s="99"/>
      <c r="C637" s="99"/>
      <c r="D637" s="21"/>
      <c r="E637" s="22"/>
      <c r="F637" s="100"/>
      <c r="G637" s="101"/>
      <c r="H637" s="100"/>
      <c r="I637" s="102"/>
      <c r="J637" s="26"/>
      <c r="K637" s="103"/>
      <c r="L637" s="47"/>
      <c r="M637" s="30"/>
      <c r="N637" s="104"/>
      <c r="O637" s="104"/>
      <c r="P637" s="26"/>
      <c r="Q637" s="26"/>
      <c r="R637" s="26"/>
      <c r="S637" s="30"/>
      <c r="T637" s="84"/>
      <c r="U637" s="84"/>
      <c r="V637" s="105"/>
      <c r="W637" s="106"/>
      <c r="X637" s="33"/>
      <c r="Y637" s="34"/>
      <c r="Z637" s="34"/>
      <c r="AA637" s="34"/>
      <c r="AB637" s="34"/>
      <c r="AC637" s="107"/>
      <c r="AD637" s="35"/>
      <c r="AE637" s="35"/>
      <c r="AF637" s="35"/>
      <c r="AG637" s="35"/>
      <c r="AH637" s="35"/>
      <c r="AI637" s="34"/>
      <c r="AJ637" s="35"/>
      <c r="AK637" s="35"/>
      <c r="AL637" s="34"/>
      <c r="AM637" s="34"/>
      <c r="AN637" s="46"/>
      <c r="AO637" s="48"/>
      <c r="AP637" s="48"/>
      <c r="AQ637" s="48"/>
      <c r="AR637" s="48"/>
      <c r="AS637" s="48"/>
      <c r="AT637" s="48"/>
      <c r="AU637" s="48"/>
      <c r="AV637" s="48"/>
      <c r="AW637" s="48"/>
      <c r="AX637" s="48"/>
      <c r="AY637" s="43"/>
      <c r="AZ637" s="48"/>
      <c r="BA637" s="48"/>
      <c r="BB637" s="48"/>
      <c r="BC637" s="43"/>
      <c r="BD637" s="43"/>
      <c r="BE637" s="44"/>
      <c r="BF637" s="48"/>
      <c r="BG637" s="43"/>
    </row>
    <row r="638">
      <c r="A638" s="98"/>
      <c r="B638" s="99"/>
      <c r="C638" s="99"/>
      <c r="D638" s="21"/>
      <c r="E638" s="22"/>
      <c r="F638" s="100"/>
      <c r="G638" s="101"/>
      <c r="H638" s="100"/>
      <c r="I638" s="102"/>
      <c r="J638" s="26"/>
      <c r="K638" s="103"/>
      <c r="L638" s="47"/>
      <c r="M638" s="30"/>
      <c r="N638" s="104"/>
      <c r="O638" s="104"/>
      <c r="P638" s="26"/>
      <c r="Q638" s="26"/>
      <c r="R638" s="26"/>
      <c r="S638" s="30"/>
      <c r="T638" s="84"/>
      <c r="U638" s="84"/>
      <c r="V638" s="105"/>
      <c r="W638" s="106"/>
      <c r="X638" s="33"/>
      <c r="Y638" s="34"/>
      <c r="Z638" s="34"/>
      <c r="AA638" s="34"/>
      <c r="AB638" s="34"/>
      <c r="AC638" s="107"/>
      <c r="AD638" s="35"/>
      <c r="AE638" s="35"/>
      <c r="AF638" s="35"/>
      <c r="AG638" s="35"/>
      <c r="AH638" s="35"/>
      <c r="AI638" s="34"/>
      <c r="AJ638" s="35"/>
      <c r="AK638" s="35"/>
      <c r="AL638" s="34"/>
      <c r="AM638" s="34"/>
      <c r="AN638" s="46"/>
      <c r="AO638" s="48"/>
      <c r="AP638" s="48"/>
      <c r="AQ638" s="48"/>
      <c r="AR638" s="48"/>
      <c r="AS638" s="48"/>
      <c r="AT638" s="48"/>
      <c r="AU638" s="48"/>
      <c r="AV638" s="48"/>
      <c r="AW638" s="48"/>
      <c r="AX638" s="48"/>
      <c r="AY638" s="43"/>
      <c r="AZ638" s="48"/>
      <c r="BA638" s="48"/>
      <c r="BB638" s="48"/>
      <c r="BC638" s="43"/>
      <c r="BD638" s="43"/>
      <c r="BE638" s="44"/>
      <c r="BF638" s="48"/>
      <c r="BG638" s="43"/>
    </row>
    <row r="639">
      <c r="A639" s="98"/>
      <c r="B639" s="99"/>
      <c r="C639" s="99"/>
      <c r="D639" s="21"/>
      <c r="E639" s="22"/>
      <c r="F639" s="100"/>
      <c r="G639" s="101"/>
      <c r="H639" s="100"/>
      <c r="I639" s="102"/>
      <c r="J639" s="26"/>
      <c r="K639" s="103"/>
      <c r="L639" s="47"/>
      <c r="M639" s="30"/>
      <c r="N639" s="104"/>
      <c r="O639" s="104"/>
      <c r="P639" s="26"/>
      <c r="Q639" s="26"/>
      <c r="R639" s="26"/>
      <c r="S639" s="30"/>
      <c r="T639" s="84"/>
      <c r="U639" s="84"/>
      <c r="V639" s="105"/>
      <c r="W639" s="106"/>
      <c r="X639" s="33"/>
      <c r="Y639" s="34"/>
      <c r="Z639" s="34"/>
      <c r="AA639" s="34"/>
      <c r="AB639" s="34"/>
      <c r="AC639" s="107"/>
      <c r="AD639" s="35"/>
      <c r="AE639" s="35"/>
      <c r="AF639" s="35"/>
      <c r="AG639" s="35"/>
      <c r="AH639" s="35"/>
      <c r="AI639" s="34"/>
      <c r="AJ639" s="35"/>
      <c r="AK639" s="35"/>
      <c r="AL639" s="34"/>
      <c r="AM639" s="34"/>
      <c r="AN639" s="46"/>
      <c r="AO639" s="48"/>
      <c r="AP639" s="48"/>
      <c r="AQ639" s="48"/>
      <c r="AR639" s="48"/>
      <c r="AS639" s="48"/>
      <c r="AT639" s="48"/>
      <c r="AU639" s="48"/>
      <c r="AV639" s="48"/>
      <c r="AW639" s="48"/>
      <c r="AX639" s="48"/>
      <c r="AY639" s="43"/>
      <c r="AZ639" s="48"/>
      <c r="BA639" s="48"/>
      <c r="BB639" s="48"/>
      <c r="BC639" s="43"/>
      <c r="BD639" s="43"/>
      <c r="BE639" s="44"/>
      <c r="BF639" s="48"/>
      <c r="BG639" s="43"/>
    </row>
    <row r="640">
      <c r="A640" s="98"/>
      <c r="B640" s="99"/>
      <c r="C640" s="99"/>
      <c r="D640" s="21"/>
      <c r="E640" s="22"/>
      <c r="F640" s="100"/>
      <c r="G640" s="101"/>
      <c r="H640" s="100"/>
      <c r="I640" s="102"/>
      <c r="J640" s="26"/>
      <c r="K640" s="103"/>
      <c r="L640" s="47"/>
      <c r="M640" s="30"/>
      <c r="N640" s="104"/>
      <c r="O640" s="104"/>
      <c r="P640" s="26"/>
      <c r="Q640" s="26"/>
      <c r="R640" s="26"/>
      <c r="S640" s="30"/>
      <c r="T640" s="84"/>
      <c r="U640" s="84"/>
      <c r="V640" s="105"/>
      <c r="W640" s="106"/>
      <c r="X640" s="33"/>
      <c r="Y640" s="34"/>
      <c r="Z640" s="34"/>
      <c r="AA640" s="34"/>
      <c r="AB640" s="34"/>
      <c r="AC640" s="107"/>
      <c r="AD640" s="35"/>
      <c r="AE640" s="35"/>
      <c r="AF640" s="35"/>
      <c r="AG640" s="35"/>
      <c r="AH640" s="35"/>
      <c r="AI640" s="34"/>
      <c r="AJ640" s="35"/>
      <c r="AK640" s="35"/>
      <c r="AL640" s="34"/>
      <c r="AM640" s="34"/>
      <c r="AN640" s="46"/>
      <c r="AO640" s="48"/>
      <c r="AP640" s="48"/>
      <c r="AQ640" s="48"/>
      <c r="AR640" s="48"/>
      <c r="AS640" s="48"/>
      <c r="AT640" s="48"/>
      <c r="AU640" s="48"/>
      <c r="AV640" s="48"/>
      <c r="AW640" s="48"/>
      <c r="AX640" s="48"/>
      <c r="AY640" s="43"/>
      <c r="AZ640" s="48"/>
      <c r="BA640" s="48"/>
      <c r="BB640" s="48"/>
      <c r="BC640" s="43"/>
      <c r="BD640" s="43"/>
      <c r="BE640" s="44"/>
      <c r="BF640" s="48"/>
      <c r="BG640" s="43"/>
    </row>
    <row r="641">
      <c r="A641" s="98"/>
      <c r="B641" s="99"/>
      <c r="C641" s="99"/>
      <c r="D641" s="21"/>
      <c r="E641" s="22"/>
      <c r="F641" s="100"/>
      <c r="G641" s="101"/>
      <c r="H641" s="100"/>
      <c r="I641" s="102"/>
      <c r="J641" s="26"/>
      <c r="K641" s="103"/>
      <c r="L641" s="47"/>
      <c r="M641" s="30"/>
      <c r="N641" s="104"/>
      <c r="O641" s="104"/>
      <c r="P641" s="26"/>
      <c r="Q641" s="26"/>
      <c r="R641" s="26"/>
      <c r="S641" s="30"/>
      <c r="T641" s="84"/>
      <c r="U641" s="84"/>
      <c r="V641" s="105"/>
      <c r="W641" s="106"/>
      <c r="X641" s="33"/>
      <c r="Y641" s="34"/>
      <c r="Z641" s="34"/>
      <c r="AA641" s="34"/>
      <c r="AB641" s="34"/>
      <c r="AC641" s="107"/>
      <c r="AD641" s="35"/>
      <c r="AE641" s="35"/>
      <c r="AF641" s="35"/>
      <c r="AG641" s="35"/>
      <c r="AH641" s="35"/>
      <c r="AI641" s="34"/>
      <c r="AJ641" s="35"/>
      <c r="AK641" s="35"/>
      <c r="AL641" s="34"/>
      <c r="AM641" s="34"/>
      <c r="AN641" s="46"/>
      <c r="AO641" s="48"/>
      <c r="AP641" s="48"/>
      <c r="AQ641" s="48"/>
      <c r="AR641" s="48"/>
      <c r="AS641" s="48"/>
      <c r="AT641" s="48"/>
      <c r="AU641" s="48"/>
      <c r="AV641" s="48"/>
      <c r="AW641" s="48"/>
      <c r="AX641" s="48"/>
      <c r="AY641" s="43"/>
      <c r="AZ641" s="48"/>
      <c r="BA641" s="48"/>
      <c r="BB641" s="48"/>
      <c r="BC641" s="43"/>
      <c r="BD641" s="43"/>
      <c r="BE641" s="44"/>
      <c r="BF641" s="48"/>
      <c r="BG641" s="43"/>
    </row>
    <row r="642">
      <c r="A642" s="98"/>
      <c r="B642" s="99"/>
      <c r="C642" s="99"/>
      <c r="D642" s="21"/>
      <c r="E642" s="22"/>
      <c r="F642" s="100"/>
      <c r="G642" s="101"/>
      <c r="H642" s="100"/>
      <c r="I642" s="102"/>
      <c r="J642" s="26"/>
      <c r="K642" s="103"/>
      <c r="L642" s="47"/>
      <c r="M642" s="30"/>
      <c r="N642" s="104"/>
      <c r="O642" s="104"/>
      <c r="P642" s="26"/>
      <c r="Q642" s="26"/>
      <c r="R642" s="26"/>
      <c r="S642" s="30"/>
      <c r="T642" s="84"/>
      <c r="U642" s="84"/>
      <c r="V642" s="105"/>
      <c r="W642" s="106"/>
      <c r="X642" s="33"/>
      <c r="Y642" s="34"/>
      <c r="Z642" s="34"/>
      <c r="AA642" s="34"/>
      <c r="AB642" s="34"/>
      <c r="AC642" s="107"/>
      <c r="AD642" s="35"/>
      <c r="AE642" s="35"/>
      <c r="AF642" s="35"/>
      <c r="AG642" s="35"/>
      <c r="AH642" s="35"/>
      <c r="AI642" s="34"/>
      <c r="AJ642" s="35"/>
      <c r="AK642" s="35"/>
      <c r="AL642" s="34"/>
      <c r="AM642" s="34"/>
      <c r="AN642" s="46"/>
      <c r="AO642" s="48"/>
      <c r="AP642" s="48"/>
      <c r="AQ642" s="48"/>
      <c r="AR642" s="48"/>
      <c r="AS642" s="48"/>
      <c r="AT642" s="48"/>
      <c r="AU642" s="48"/>
      <c r="AV642" s="48"/>
      <c r="AW642" s="48"/>
      <c r="AX642" s="48"/>
      <c r="AY642" s="43"/>
      <c r="AZ642" s="48"/>
      <c r="BA642" s="48"/>
      <c r="BB642" s="48"/>
      <c r="BC642" s="43"/>
      <c r="BD642" s="43"/>
      <c r="BE642" s="44"/>
      <c r="BF642" s="48"/>
      <c r="BG642" s="43"/>
    </row>
    <row r="643">
      <c r="A643" s="98"/>
      <c r="B643" s="99"/>
      <c r="C643" s="99"/>
      <c r="D643" s="21"/>
      <c r="E643" s="22"/>
      <c r="F643" s="100"/>
      <c r="G643" s="101"/>
      <c r="H643" s="100"/>
      <c r="I643" s="102"/>
      <c r="J643" s="26"/>
      <c r="K643" s="103"/>
      <c r="L643" s="47"/>
      <c r="M643" s="30"/>
      <c r="N643" s="104"/>
      <c r="O643" s="104"/>
      <c r="P643" s="26"/>
      <c r="Q643" s="26"/>
      <c r="R643" s="26"/>
      <c r="S643" s="30"/>
      <c r="T643" s="84"/>
      <c r="U643" s="84"/>
      <c r="V643" s="105"/>
      <c r="W643" s="106"/>
      <c r="X643" s="33"/>
      <c r="Y643" s="34"/>
      <c r="Z643" s="34"/>
      <c r="AA643" s="34"/>
      <c r="AB643" s="34"/>
      <c r="AC643" s="107"/>
      <c r="AD643" s="35"/>
      <c r="AE643" s="35"/>
      <c r="AF643" s="35"/>
      <c r="AG643" s="35"/>
      <c r="AH643" s="35"/>
      <c r="AI643" s="34"/>
      <c r="AJ643" s="35"/>
      <c r="AK643" s="35"/>
      <c r="AL643" s="34"/>
      <c r="AM643" s="34"/>
      <c r="AN643" s="46"/>
      <c r="AO643" s="48"/>
      <c r="AP643" s="48"/>
      <c r="AQ643" s="48"/>
      <c r="AR643" s="48"/>
      <c r="AS643" s="48"/>
      <c r="AT643" s="48"/>
      <c r="AU643" s="48"/>
      <c r="AV643" s="48"/>
      <c r="AW643" s="48"/>
      <c r="AX643" s="48"/>
      <c r="AY643" s="43"/>
      <c r="AZ643" s="48"/>
      <c r="BA643" s="48"/>
      <c r="BB643" s="48"/>
      <c r="BC643" s="43"/>
      <c r="BD643" s="43"/>
      <c r="BE643" s="44"/>
      <c r="BF643" s="48"/>
      <c r="BG643" s="43"/>
    </row>
    <row r="644">
      <c r="A644" s="98"/>
      <c r="B644" s="99"/>
      <c r="C644" s="99"/>
      <c r="D644" s="21"/>
      <c r="E644" s="22"/>
      <c r="F644" s="100"/>
      <c r="G644" s="101"/>
      <c r="H644" s="100"/>
      <c r="I644" s="102"/>
      <c r="J644" s="26"/>
      <c r="K644" s="103"/>
      <c r="L644" s="47"/>
      <c r="M644" s="30"/>
      <c r="N644" s="104"/>
      <c r="O644" s="104"/>
      <c r="P644" s="26"/>
      <c r="Q644" s="26"/>
      <c r="R644" s="26"/>
      <c r="S644" s="30"/>
      <c r="T644" s="84"/>
      <c r="U644" s="84"/>
      <c r="V644" s="105"/>
      <c r="W644" s="106"/>
      <c r="X644" s="33"/>
      <c r="Y644" s="34"/>
      <c r="Z644" s="34"/>
      <c r="AA644" s="34"/>
      <c r="AB644" s="34"/>
      <c r="AC644" s="107"/>
      <c r="AD644" s="35"/>
      <c r="AE644" s="35"/>
      <c r="AF644" s="35"/>
      <c r="AG644" s="35"/>
      <c r="AH644" s="35"/>
      <c r="AI644" s="34"/>
      <c r="AJ644" s="35"/>
      <c r="AK644" s="35"/>
      <c r="AL644" s="34"/>
      <c r="AM644" s="34"/>
      <c r="AN644" s="46"/>
      <c r="AO644" s="48"/>
      <c r="AP644" s="48"/>
      <c r="AQ644" s="48"/>
      <c r="AR644" s="48"/>
      <c r="AS644" s="48"/>
      <c r="AT644" s="48"/>
      <c r="AU644" s="48"/>
      <c r="AV644" s="48"/>
      <c r="AW644" s="48"/>
      <c r="AX644" s="48"/>
      <c r="AY644" s="43"/>
      <c r="AZ644" s="48"/>
      <c r="BA644" s="48"/>
      <c r="BB644" s="48"/>
      <c r="BC644" s="43"/>
      <c r="BD644" s="43"/>
      <c r="BE644" s="44"/>
      <c r="BF644" s="48"/>
      <c r="BG644" s="43"/>
    </row>
    <row r="645">
      <c r="A645" s="98"/>
      <c r="B645" s="99"/>
      <c r="C645" s="99"/>
      <c r="D645" s="21"/>
      <c r="E645" s="22"/>
      <c r="F645" s="100"/>
      <c r="G645" s="101"/>
      <c r="H645" s="100"/>
      <c r="I645" s="102"/>
      <c r="J645" s="26"/>
      <c r="K645" s="103"/>
      <c r="L645" s="47"/>
      <c r="M645" s="30"/>
      <c r="N645" s="104"/>
      <c r="O645" s="104"/>
      <c r="P645" s="26"/>
      <c r="Q645" s="26"/>
      <c r="R645" s="26"/>
      <c r="S645" s="30"/>
      <c r="T645" s="84"/>
      <c r="U645" s="84"/>
      <c r="V645" s="105"/>
      <c r="W645" s="106"/>
      <c r="X645" s="33"/>
      <c r="Y645" s="34"/>
      <c r="Z645" s="34"/>
      <c r="AA645" s="34"/>
      <c r="AB645" s="34"/>
      <c r="AC645" s="107"/>
      <c r="AD645" s="35"/>
      <c r="AE645" s="35"/>
      <c r="AF645" s="35"/>
      <c r="AG645" s="35"/>
      <c r="AH645" s="35"/>
      <c r="AI645" s="34"/>
      <c r="AJ645" s="35"/>
      <c r="AK645" s="35"/>
      <c r="AL645" s="34"/>
      <c r="AM645" s="34"/>
      <c r="AN645" s="46"/>
      <c r="AO645" s="48"/>
      <c r="AP645" s="48"/>
      <c r="AQ645" s="48"/>
      <c r="AR645" s="48"/>
      <c r="AS645" s="48"/>
      <c r="AT645" s="48"/>
      <c r="AU645" s="48"/>
      <c r="AV645" s="48"/>
      <c r="AW645" s="48"/>
      <c r="AX645" s="48"/>
      <c r="AY645" s="43"/>
      <c r="AZ645" s="48"/>
      <c r="BA645" s="48"/>
      <c r="BB645" s="48"/>
      <c r="BC645" s="43"/>
      <c r="BD645" s="43"/>
      <c r="BE645" s="44"/>
      <c r="BF645" s="48"/>
      <c r="BG645" s="43"/>
    </row>
    <row r="646">
      <c r="A646" s="98"/>
      <c r="B646" s="99"/>
      <c r="C646" s="99"/>
      <c r="D646" s="21"/>
      <c r="E646" s="22"/>
      <c r="F646" s="100"/>
      <c r="G646" s="101"/>
      <c r="H646" s="100"/>
      <c r="I646" s="102"/>
      <c r="J646" s="26"/>
      <c r="K646" s="103"/>
      <c r="L646" s="47"/>
      <c r="M646" s="30"/>
      <c r="N646" s="104"/>
      <c r="O646" s="104"/>
      <c r="P646" s="26"/>
      <c r="Q646" s="26"/>
      <c r="R646" s="26"/>
      <c r="S646" s="30"/>
      <c r="T646" s="84"/>
      <c r="U646" s="84"/>
      <c r="V646" s="105"/>
      <c r="W646" s="106"/>
      <c r="X646" s="33"/>
      <c r="Y646" s="34"/>
      <c r="Z646" s="34"/>
      <c r="AA646" s="34"/>
      <c r="AB646" s="34"/>
      <c r="AC646" s="107"/>
      <c r="AD646" s="35"/>
      <c r="AE646" s="35"/>
      <c r="AF646" s="35"/>
      <c r="AG646" s="35"/>
      <c r="AH646" s="35"/>
      <c r="AI646" s="34"/>
      <c r="AJ646" s="35"/>
      <c r="AK646" s="35"/>
      <c r="AL646" s="34"/>
      <c r="AM646" s="34"/>
      <c r="AN646" s="46"/>
      <c r="AO646" s="48"/>
      <c r="AP646" s="48"/>
      <c r="AQ646" s="48"/>
      <c r="AR646" s="48"/>
      <c r="AS646" s="48"/>
      <c r="AT646" s="48"/>
      <c r="AU646" s="48"/>
      <c r="AV646" s="48"/>
      <c r="AW646" s="48"/>
      <c r="AX646" s="48"/>
      <c r="AY646" s="43"/>
      <c r="AZ646" s="48"/>
      <c r="BA646" s="48"/>
      <c r="BB646" s="48"/>
      <c r="BC646" s="43"/>
      <c r="BD646" s="43"/>
      <c r="BE646" s="44"/>
      <c r="BF646" s="48"/>
      <c r="BG646" s="43"/>
    </row>
    <row r="647">
      <c r="A647" s="98"/>
      <c r="B647" s="99"/>
      <c r="C647" s="99"/>
      <c r="D647" s="21"/>
      <c r="E647" s="22"/>
      <c r="F647" s="100"/>
      <c r="G647" s="101"/>
      <c r="H647" s="100"/>
      <c r="I647" s="102"/>
      <c r="J647" s="26"/>
      <c r="K647" s="103"/>
      <c r="L647" s="47"/>
      <c r="M647" s="30"/>
      <c r="N647" s="104"/>
      <c r="O647" s="104"/>
      <c r="P647" s="26"/>
      <c r="Q647" s="26"/>
      <c r="R647" s="26"/>
      <c r="S647" s="30"/>
      <c r="T647" s="84"/>
      <c r="U647" s="84"/>
      <c r="V647" s="105"/>
      <c r="W647" s="106"/>
      <c r="X647" s="33"/>
      <c r="Y647" s="34"/>
      <c r="Z647" s="34"/>
      <c r="AA647" s="34"/>
      <c r="AB647" s="34"/>
      <c r="AC647" s="107"/>
      <c r="AD647" s="35"/>
      <c r="AE647" s="35"/>
      <c r="AF647" s="35"/>
      <c r="AG647" s="35"/>
      <c r="AH647" s="35"/>
      <c r="AI647" s="34"/>
      <c r="AJ647" s="35"/>
      <c r="AK647" s="35"/>
      <c r="AL647" s="34"/>
      <c r="AM647" s="34"/>
      <c r="AN647" s="46"/>
      <c r="AO647" s="48"/>
      <c r="AP647" s="48"/>
      <c r="AQ647" s="48"/>
      <c r="AR647" s="48"/>
      <c r="AS647" s="48"/>
      <c r="AT647" s="48"/>
      <c r="AU647" s="48"/>
      <c r="AV647" s="48"/>
      <c r="AW647" s="48"/>
      <c r="AX647" s="48"/>
      <c r="AY647" s="43"/>
      <c r="AZ647" s="48"/>
      <c r="BA647" s="48"/>
      <c r="BB647" s="48"/>
      <c r="BC647" s="43"/>
      <c r="BD647" s="43"/>
      <c r="BE647" s="44"/>
      <c r="BF647" s="48"/>
      <c r="BG647" s="43"/>
    </row>
    <row r="648">
      <c r="A648" s="98"/>
      <c r="B648" s="99"/>
      <c r="C648" s="99"/>
      <c r="D648" s="21"/>
      <c r="E648" s="22"/>
      <c r="F648" s="100"/>
      <c r="G648" s="101"/>
      <c r="H648" s="100"/>
      <c r="I648" s="102"/>
      <c r="J648" s="26"/>
      <c r="K648" s="103"/>
      <c r="L648" s="47"/>
      <c r="M648" s="30"/>
      <c r="N648" s="104"/>
      <c r="O648" s="104"/>
      <c r="P648" s="26"/>
      <c r="Q648" s="26"/>
      <c r="R648" s="26"/>
      <c r="S648" s="30"/>
      <c r="T648" s="84"/>
      <c r="U648" s="84"/>
      <c r="V648" s="105"/>
      <c r="W648" s="106"/>
      <c r="X648" s="33"/>
      <c r="Y648" s="34"/>
      <c r="Z648" s="34"/>
      <c r="AA648" s="34"/>
      <c r="AB648" s="34"/>
      <c r="AC648" s="107"/>
      <c r="AD648" s="35"/>
      <c r="AE648" s="35"/>
      <c r="AF648" s="35"/>
      <c r="AG648" s="35"/>
      <c r="AH648" s="35"/>
      <c r="AI648" s="34"/>
      <c r="AJ648" s="35"/>
      <c r="AK648" s="35"/>
      <c r="AL648" s="34"/>
      <c r="AM648" s="34"/>
      <c r="AN648" s="46"/>
      <c r="AO648" s="48"/>
      <c r="AP648" s="48"/>
      <c r="AQ648" s="48"/>
      <c r="AR648" s="48"/>
      <c r="AS648" s="48"/>
      <c r="AT648" s="48"/>
      <c r="AU648" s="48"/>
      <c r="AV648" s="48"/>
      <c r="AW648" s="48"/>
      <c r="AX648" s="48"/>
      <c r="AY648" s="43"/>
      <c r="AZ648" s="48"/>
      <c r="BA648" s="48"/>
      <c r="BB648" s="48"/>
      <c r="BC648" s="43"/>
      <c r="BD648" s="43"/>
      <c r="BE648" s="44"/>
      <c r="BF648" s="48"/>
      <c r="BG648" s="43"/>
    </row>
    <row r="649">
      <c r="A649" s="98"/>
      <c r="B649" s="99"/>
      <c r="C649" s="99"/>
      <c r="D649" s="21"/>
      <c r="E649" s="22"/>
      <c r="F649" s="100"/>
      <c r="G649" s="101"/>
      <c r="H649" s="100"/>
      <c r="I649" s="102"/>
      <c r="J649" s="26"/>
      <c r="K649" s="103"/>
      <c r="L649" s="47"/>
      <c r="M649" s="30"/>
      <c r="N649" s="104"/>
      <c r="O649" s="104"/>
      <c r="P649" s="26"/>
      <c r="Q649" s="26"/>
      <c r="R649" s="26"/>
      <c r="S649" s="30"/>
      <c r="T649" s="84"/>
      <c r="U649" s="84"/>
      <c r="V649" s="105"/>
      <c r="W649" s="106"/>
      <c r="X649" s="33"/>
      <c r="Y649" s="34"/>
      <c r="Z649" s="34"/>
      <c r="AA649" s="34"/>
      <c r="AB649" s="34"/>
      <c r="AC649" s="107"/>
      <c r="AD649" s="35"/>
      <c r="AE649" s="35"/>
      <c r="AF649" s="35"/>
      <c r="AG649" s="35"/>
      <c r="AH649" s="35"/>
      <c r="AI649" s="34"/>
      <c r="AJ649" s="35"/>
      <c r="AK649" s="35"/>
      <c r="AL649" s="34"/>
      <c r="AM649" s="34"/>
      <c r="AN649" s="46"/>
      <c r="AO649" s="48"/>
      <c r="AP649" s="48"/>
      <c r="AQ649" s="48"/>
      <c r="AR649" s="48"/>
      <c r="AS649" s="48"/>
      <c r="AT649" s="48"/>
      <c r="AU649" s="48"/>
      <c r="AV649" s="48"/>
      <c r="AW649" s="48"/>
      <c r="AX649" s="48"/>
      <c r="AY649" s="43"/>
      <c r="AZ649" s="48"/>
      <c r="BA649" s="48"/>
      <c r="BB649" s="48"/>
      <c r="BC649" s="43"/>
      <c r="BD649" s="43"/>
      <c r="BE649" s="44"/>
      <c r="BF649" s="48"/>
      <c r="BG649" s="43"/>
    </row>
    <row r="650">
      <c r="A650" s="98"/>
      <c r="B650" s="99"/>
      <c r="C650" s="99"/>
      <c r="D650" s="21"/>
      <c r="E650" s="22"/>
      <c r="F650" s="100"/>
      <c r="G650" s="101"/>
      <c r="H650" s="100"/>
      <c r="I650" s="102"/>
      <c r="J650" s="26"/>
      <c r="K650" s="103"/>
      <c r="L650" s="47"/>
      <c r="M650" s="30"/>
      <c r="N650" s="104"/>
      <c r="O650" s="104"/>
      <c r="P650" s="26"/>
      <c r="Q650" s="26"/>
      <c r="R650" s="26"/>
      <c r="S650" s="30"/>
      <c r="T650" s="84"/>
      <c r="U650" s="84"/>
      <c r="V650" s="105"/>
      <c r="W650" s="106"/>
      <c r="X650" s="33"/>
      <c r="Y650" s="34"/>
      <c r="Z650" s="34"/>
      <c r="AA650" s="34"/>
      <c r="AB650" s="34"/>
      <c r="AC650" s="107"/>
      <c r="AD650" s="35"/>
      <c r="AE650" s="35"/>
      <c r="AF650" s="35"/>
      <c r="AG650" s="35"/>
      <c r="AH650" s="35"/>
      <c r="AI650" s="34"/>
      <c r="AJ650" s="35"/>
      <c r="AK650" s="35"/>
      <c r="AL650" s="34"/>
      <c r="AM650" s="34"/>
      <c r="AN650" s="46"/>
      <c r="AO650" s="48"/>
      <c r="AP650" s="48"/>
      <c r="AQ650" s="48"/>
      <c r="AR650" s="48"/>
      <c r="AS650" s="48"/>
      <c r="AT650" s="48"/>
      <c r="AU650" s="48"/>
      <c r="AV650" s="48"/>
      <c r="AW650" s="48"/>
      <c r="AX650" s="48"/>
      <c r="AY650" s="43"/>
      <c r="AZ650" s="48"/>
      <c r="BA650" s="48"/>
      <c r="BB650" s="48"/>
      <c r="BC650" s="43"/>
      <c r="BD650" s="43"/>
      <c r="BE650" s="44"/>
      <c r="BF650" s="48"/>
      <c r="BG650" s="43"/>
    </row>
    <row r="651">
      <c r="A651" s="98"/>
      <c r="B651" s="99"/>
      <c r="C651" s="99"/>
      <c r="D651" s="21"/>
      <c r="E651" s="22"/>
      <c r="F651" s="100"/>
      <c r="G651" s="101"/>
      <c r="H651" s="100"/>
      <c r="I651" s="102"/>
      <c r="J651" s="26"/>
      <c r="K651" s="103"/>
      <c r="L651" s="47"/>
      <c r="M651" s="30"/>
      <c r="N651" s="104"/>
      <c r="O651" s="104"/>
      <c r="P651" s="26"/>
      <c r="Q651" s="26"/>
      <c r="R651" s="26"/>
      <c r="S651" s="30"/>
      <c r="T651" s="84"/>
      <c r="U651" s="84"/>
      <c r="V651" s="105"/>
      <c r="W651" s="106"/>
      <c r="X651" s="33"/>
      <c r="Y651" s="34"/>
      <c r="Z651" s="34"/>
      <c r="AA651" s="34"/>
      <c r="AB651" s="34"/>
      <c r="AC651" s="107"/>
      <c r="AD651" s="35"/>
      <c r="AE651" s="35"/>
      <c r="AF651" s="35"/>
      <c r="AG651" s="35"/>
      <c r="AH651" s="35"/>
      <c r="AI651" s="34"/>
      <c r="AJ651" s="35"/>
      <c r="AK651" s="35"/>
      <c r="AL651" s="34"/>
      <c r="AM651" s="34"/>
      <c r="AN651" s="46"/>
      <c r="AO651" s="48"/>
      <c r="AP651" s="48"/>
      <c r="AQ651" s="48"/>
      <c r="AR651" s="48"/>
      <c r="AS651" s="48"/>
      <c r="AT651" s="48"/>
      <c r="AU651" s="48"/>
      <c r="AV651" s="48"/>
      <c r="AW651" s="48"/>
      <c r="AX651" s="48"/>
      <c r="AY651" s="43"/>
      <c r="AZ651" s="48"/>
      <c r="BA651" s="48"/>
      <c r="BB651" s="48"/>
      <c r="BC651" s="43"/>
      <c r="BD651" s="43"/>
      <c r="BE651" s="44"/>
      <c r="BF651" s="48"/>
      <c r="BG651" s="43"/>
    </row>
    <row r="652">
      <c r="A652" s="98"/>
      <c r="B652" s="99"/>
      <c r="C652" s="99"/>
      <c r="D652" s="21"/>
      <c r="E652" s="22"/>
      <c r="F652" s="100"/>
      <c r="G652" s="101"/>
      <c r="H652" s="100"/>
      <c r="I652" s="102"/>
      <c r="J652" s="26"/>
      <c r="K652" s="103"/>
      <c r="L652" s="47"/>
      <c r="M652" s="30"/>
      <c r="N652" s="104"/>
      <c r="O652" s="104"/>
      <c r="P652" s="26"/>
      <c r="Q652" s="26"/>
      <c r="R652" s="26"/>
      <c r="S652" s="30"/>
      <c r="T652" s="84"/>
      <c r="U652" s="84"/>
      <c r="V652" s="105"/>
      <c r="W652" s="106"/>
      <c r="X652" s="33"/>
      <c r="Y652" s="34"/>
      <c r="Z652" s="34"/>
      <c r="AA652" s="34"/>
      <c r="AB652" s="34"/>
      <c r="AC652" s="107"/>
      <c r="AD652" s="35"/>
      <c r="AE652" s="35"/>
      <c r="AF652" s="35"/>
      <c r="AG652" s="35"/>
      <c r="AH652" s="35"/>
      <c r="AI652" s="34"/>
      <c r="AJ652" s="35"/>
      <c r="AK652" s="35"/>
      <c r="AL652" s="34"/>
      <c r="AM652" s="34"/>
      <c r="AN652" s="46"/>
      <c r="AO652" s="48"/>
      <c r="AP652" s="48"/>
      <c r="AQ652" s="48"/>
      <c r="AR652" s="48"/>
      <c r="AS652" s="48"/>
      <c r="AT652" s="48"/>
      <c r="AU652" s="48"/>
      <c r="AV652" s="48"/>
      <c r="AW652" s="48"/>
      <c r="AX652" s="48"/>
      <c r="AY652" s="43"/>
      <c r="AZ652" s="48"/>
      <c r="BA652" s="48"/>
      <c r="BB652" s="48"/>
      <c r="BC652" s="43"/>
      <c r="BD652" s="43"/>
      <c r="BE652" s="44"/>
      <c r="BF652" s="48"/>
      <c r="BG652" s="43"/>
    </row>
    <row r="653">
      <c r="A653" s="98"/>
      <c r="B653" s="99"/>
      <c r="C653" s="99"/>
      <c r="D653" s="21"/>
      <c r="E653" s="22"/>
      <c r="F653" s="100"/>
      <c r="G653" s="101"/>
      <c r="H653" s="100"/>
      <c r="I653" s="102"/>
      <c r="J653" s="26"/>
      <c r="K653" s="103"/>
      <c r="L653" s="47"/>
      <c r="M653" s="30"/>
      <c r="N653" s="104"/>
      <c r="O653" s="104"/>
      <c r="P653" s="26"/>
      <c r="Q653" s="26"/>
      <c r="R653" s="26"/>
      <c r="S653" s="30"/>
      <c r="T653" s="84"/>
      <c r="U653" s="84"/>
      <c r="V653" s="105"/>
      <c r="W653" s="106"/>
      <c r="X653" s="33"/>
      <c r="Y653" s="34"/>
      <c r="Z653" s="34"/>
      <c r="AA653" s="34"/>
      <c r="AB653" s="34"/>
      <c r="AC653" s="107"/>
      <c r="AD653" s="35"/>
      <c r="AE653" s="35"/>
      <c r="AF653" s="35"/>
      <c r="AG653" s="35"/>
      <c r="AH653" s="35"/>
      <c r="AI653" s="34"/>
      <c r="AJ653" s="35"/>
      <c r="AK653" s="35"/>
      <c r="AL653" s="34"/>
      <c r="AM653" s="34"/>
      <c r="AN653" s="46"/>
      <c r="AO653" s="48"/>
      <c r="AP653" s="48"/>
      <c r="AQ653" s="48"/>
      <c r="AR653" s="48"/>
      <c r="AS653" s="48"/>
      <c r="AT653" s="48"/>
      <c r="AU653" s="48"/>
      <c r="AV653" s="48"/>
      <c r="AW653" s="48"/>
      <c r="AX653" s="48"/>
      <c r="AY653" s="43"/>
      <c r="AZ653" s="48"/>
      <c r="BA653" s="48"/>
      <c r="BB653" s="48"/>
      <c r="BC653" s="43"/>
      <c r="BD653" s="43"/>
      <c r="BE653" s="44"/>
      <c r="BF653" s="48"/>
      <c r="BG653" s="43"/>
    </row>
    <row r="654">
      <c r="A654" s="98"/>
      <c r="B654" s="99"/>
      <c r="C654" s="99"/>
      <c r="D654" s="21"/>
      <c r="E654" s="22"/>
      <c r="F654" s="100"/>
      <c r="G654" s="101"/>
      <c r="H654" s="100"/>
      <c r="I654" s="102"/>
      <c r="J654" s="26"/>
      <c r="K654" s="103"/>
      <c r="L654" s="47"/>
      <c r="M654" s="30"/>
      <c r="N654" s="104"/>
      <c r="O654" s="104"/>
      <c r="P654" s="26"/>
      <c r="Q654" s="26"/>
      <c r="R654" s="26"/>
      <c r="S654" s="30"/>
      <c r="T654" s="84"/>
      <c r="U654" s="84"/>
      <c r="V654" s="105"/>
      <c r="W654" s="106"/>
      <c r="X654" s="33"/>
      <c r="Y654" s="34"/>
      <c r="Z654" s="34"/>
      <c r="AA654" s="34"/>
      <c r="AB654" s="34"/>
      <c r="AC654" s="107"/>
      <c r="AD654" s="35"/>
      <c r="AE654" s="35"/>
      <c r="AF654" s="35"/>
      <c r="AG654" s="35"/>
      <c r="AH654" s="35"/>
      <c r="AI654" s="34"/>
      <c r="AJ654" s="35"/>
      <c r="AK654" s="35"/>
      <c r="AL654" s="34"/>
      <c r="AM654" s="34"/>
      <c r="AN654" s="46"/>
      <c r="AO654" s="48"/>
      <c r="AP654" s="48"/>
      <c r="AQ654" s="48"/>
      <c r="AR654" s="48"/>
      <c r="AS654" s="48"/>
      <c r="AT654" s="48"/>
      <c r="AU654" s="48"/>
      <c r="AV654" s="48"/>
      <c r="AW654" s="48"/>
      <c r="AX654" s="48"/>
      <c r="AY654" s="43"/>
      <c r="AZ654" s="48"/>
      <c r="BA654" s="48"/>
      <c r="BB654" s="48"/>
      <c r="BC654" s="43"/>
      <c r="BD654" s="43"/>
      <c r="BE654" s="44"/>
      <c r="BF654" s="48"/>
      <c r="BG654" s="43"/>
    </row>
    <row r="655">
      <c r="A655" s="98"/>
      <c r="B655" s="99"/>
      <c r="C655" s="99"/>
      <c r="D655" s="21"/>
      <c r="E655" s="22"/>
      <c r="F655" s="100"/>
      <c r="G655" s="101"/>
      <c r="H655" s="100"/>
      <c r="I655" s="102"/>
      <c r="J655" s="26"/>
      <c r="K655" s="103"/>
      <c r="L655" s="47"/>
      <c r="M655" s="30"/>
      <c r="N655" s="104"/>
      <c r="O655" s="104"/>
      <c r="P655" s="26"/>
      <c r="Q655" s="26"/>
      <c r="R655" s="26"/>
      <c r="S655" s="30"/>
      <c r="T655" s="84"/>
      <c r="U655" s="84"/>
      <c r="V655" s="105"/>
      <c r="W655" s="106"/>
      <c r="X655" s="33"/>
      <c r="Y655" s="34"/>
      <c r="Z655" s="34"/>
      <c r="AA655" s="34"/>
      <c r="AB655" s="34"/>
      <c r="AC655" s="107"/>
      <c r="AD655" s="35"/>
      <c r="AE655" s="35"/>
      <c r="AF655" s="35"/>
      <c r="AG655" s="35"/>
      <c r="AH655" s="35"/>
      <c r="AI655" s="34"/>
      <c r="AJ655" s="35"/>
      <c r="AK655" s="35"/>
      <c r="AL655" s="34"/>
      <c r="AM655" s="34"/>
      <c r="AN655" s="46"/>
      <c r="AO655" s="48"/>
      <c r="AP655" s="48"/>
      <c r="AQ655" s="48"/>
      <c r="AR655" s="48"/>
      <c r="AS655" s="48"/>
      <c r="AT655" s="48"/>
      <c r="AU655" s="48"/>
      <c r="AV655" s="48"/>
      <c r="AW655" s="48"/>
      <c r="AX655" s="48"/>
      <c r="AY655" s="43"/>
      <c r="AZ655" s="48"/>
      <c r="BA655" s="48"/>
      <c r="BB655" s="48"/>
      <c r="BC655" s="43"/>
      <c r="BD655" s="43"/>
      <c r="BE655" s="44"/>
      <c r="BF655" s="48"/>
      <c r="BG655" s="43"/>
    </row>
    <row r="656">
      <c r="A656" s="98"/>
      <c r="B656" s="99"/>
      <c r="C656" s="99"/>
      <c r="D656" s="21"/>
      <c r="E656" s="22"/>
      <c r="F656" s="100"/>
      <c r="G656" s="101"/>
      <c r="H656" s="100"/>
      <c r="I656" s="102"/>
      <c r="J656" s="26"/>
      <c r="K656" s="103"/>
      <c r="L656" s="47"/>
      <c r="M656" s="30"/>
      <c r="N656" s="104"/>
      <c r="O656" s="104"/>
      <c r="P656" s="26"/>
      <c r="Q656" s="26"/>
      <c r="R656" s="26"/>
      <c r="S656" s="30"/>
      <c r="T656" s="84"/>
      <c r="U656" s="84"/>
      <c r="V656" s="105"/>
      <c r="W656" s="106"/>
      <c r="X656" s="33"/>
      <c r="Y656" s="34"/>
      <c r="Z656" s="34"/>
      <c r="AA656" s="34"/>
      <c r="AB656" s="34"/>
      <c r="AC656" s="107"/>
      <c r="AD656" s="35"/>
      <c r="AE656" s="35"/>
      <c r="AF656" s="35"/>
      <c r="AG656" s="35"/>
      <c r="AH656" s="35"/>
      <c r="AI656" s="34"/>
      <c r="AJ656" s="35"/>
      <c r="AK656" s="35"/>
      <c r="AL656" s="34"/>
      <c r="AM656" s="34"/>
      <c r="AN656" s="46"/>
      <c r="AO656" s="48"/>
      <c r="AP656" s="48"/>
      <c r="AQ656" s="48"/>
      <c r="AR656" s="48"/>
      <c r="AS656" s="48"/>
      <c r="AT656" s="48"/>
      <c r="AU656" s="48"/>
      <c r="AV656" s="48"/>
      <c r="AW656" s="48"/>
      <c r="AX656" s="48"/>
      <c r="AY656" s="43"/>
      <c r="AZ656" s="48"/>
      <c r="BA656" s="48"/>
      <c r="BB656" s="48"/>
      <c r="BC656" s="43"/>
      <c r="BD656" s="43"/>
      <c r="BE656" s="44"/>
      <c r="BF656" s="48"/>
      <c r="BG656" s="43"/>
    </row>
    <row r="657">
      <c r="A657" s="98"/>
      <c r="B657" s="99"/>
      <c r="C657" s="99"/>
      <c r="D657" s="21"/>
      <c r="E657" s="22"/>
      <c r="F657" s="100"/>
      <c r="G657" s="101"/>
      <c r="H657" s="100"/>
      <c r="I657" s="102"/>
      <c r="J657" s="26"/>
      <c r="K657" s="103"/>
      <c r="L657" s="47"/>
      <c r="M657" s="30"/>
      <c r="N657" s="104"/>
      <c r="O657" s="104"/>
      <c r="P657" s="26"/>
      <c r="Q657" s="26"/>
      <c r="R657" s="26"/>
      <c r="S657" s="30"/>
      <c r="T657" s="84"/>
      <c r="U657" s="84"/>
      <c r="V657" s="105"/>
      <c r="W657" s="106"/>
      <c r="X657" s="33"/>
      <c r="Y657" s="34"/>
      <c r="Z657" s="34"/>
      <c r="AA657" s="34"/>
      <c r="AB657" s="34"/>
      <c r="AC657" s="107"/>
      <c r="AD657" s="35"/>
      <c r="AE657" s="35"/>
      <c r="AF657" s="35"/>
      <c r="AG657" s="35"/>
      <c r="AH657" s="35"/>
      <c r="AI657" s="34"/>
      <c r="AJ657" s="35"/>
      <c r="AK657" s="35"/>
      <c r="AL657" s="34"/>
      <c r="AM657" s="34"/>
      <c r="AN657" s="46"/>
      <c r="AO657" s="48"/>
      <c r="AP657" s="48"/>
      <c r="AQ657" s="48"/>
      <c r="AR657" s="48"/>
      <c r="AS657" s="48"/>
      <c r="AT657" s="48"/>
      <c r="AU657" s="48"/>
      <c r="AV657" s="48"/>
      <c r="AW657" s="48"/>
      <c r="AX657" s="48"/>
      <c r="AY657" s="43"/>
      <c r="AZ657" s="48"/>
      <c r="BA657" s="48"/>
      <c r="BB657" s="48"/>
      <c r="BC657" s="43"/>
      <c r="BD657" s="43"/>
      <c r="BE657" s="44"/>
      <c r="BF657" s="48"/>
      <c r="BG657" s="43"/>
    </row>
    <row r="658">
      <c r="A658" s="98"/>
      <c r="B658" s="99"/>
      <c r="C658" s="99"/>
      <c r="D658" s="21"/>
      <c r="E658" s="22"/>
      <c r="F658" s="100"/>
      <c r="G658" s="101"/>
      <c r="H658" s="100"/>
      <c r="I658" s="102"/>
      <c r="J658" s="26"/>
      <c r="K658" s="103"/>
      <c r="L658" s="47"/>
      <c r="M658" s="30"/>
      <c r="N658" s="104"/>
      <c r="O658" s="104"/>
      <c r="P658" s="26"/>
      <c r="Q658" s="26"/>
      <c r="R658" s="26"/>
      <c r="S658" s="30"/>
      <c r="T658" s="84"/>
      <c r="U658" s="84"/>
      <c r="V658" s="105"/>
      <c r="W658" s="106"/>
      <c r="X658" s="33"/>
      <c r="Y658" s="34"/>
      <c r="Z658" s="34"/>
      <c r="AA658" s="34"/>
      <c r="AB658" s="34"/>
      <c r="AC658" s="107"/>
      <c r="AD658" s="35"/>
      <c r="AE658" s="35"/>
      <c r="AF658" s="35"/>
      <c r="AG658" s="35"/>
      <c r="AH658" s="35"/>
      <c r="AI658" s="34"/>
      <c r="AJ658" s="35"/>
      <c r="AK658" s="35"/>
      <c r="AL658" s="34"/>
      <c r="AM658" s="34"/>
      <c r="AN658" s="46"/>
      <c r="AO658" s="48"/>
      <c r="AP658" s="48"/>
      <c r="AQ658" s="48"/>
      <c r="AR658" s="48"/>
      <c r="AS658" s="48"/>
      <c r="AT658" s="48"/>
      <c r="AU658" s="48"/>
      <c r="AV658" s="48"/>
      <c r="AW658" s="48"/>
      <c r="AX658" s="48"/>
      <c r="AY658" s="43"/>
      <c r="AZ658" s="48"/>
      <c r="BA658" s="48"/>
      <c r="BB658" s="48"/>
      <c r="BC658" s="43"/>
      <c r="BD658" s="43"/>
      <c r="BE658" s="44"/>
      <c r="BF658" s="48"/>
      <c r="BG658" s="43"/>
    </row>
    <row r="659">
      <c r="A659" s="98"/>
      <c r="B659" s="99"/>
      <c r="C659" s="99"/>
      <c r="D659" s="21"/>
      <c r="E659" s="22"/>
      <c r="F659" s="100"/>
      <c r="G659" s="101"/>
      <c r="H659" s="100"/>
      <c r="I659" s="102"/>
      <c r="J659" s="26"/>
      <c r="K659" s="103"/>
      <c r="L659" s="47"/>
      <c r="M659" s="30"/>
      <c r="N659" s="104"/>
      <c r="O659" s="104"/>
      <c r="P659" s="26"/>
      <c r="Q659" s="26"/>
      <c r="R659" s="26"/>
      <c r="S659" s="30"/>
      <c r="T659" s="84"/>
      <c r="U659" s="84"/>
      <c r="V659" s="105"/>
      <c r="W659" s="106"/>
      <c r="X659" s="33"/>
      <c r="Y659" s="34"/>
      <c r="Z659" s="34"/>
      <c r="AA659" s="34"/>
      <c r="AB659" s="34"/>
      <c r="AC659" s="107"/>
      <c r="AD659" s="35"/>
      <c r="AE659" s="35"/>
      <c r="AF659" s="35"/>
      <c r="AG659" s="35"/>
      <c r="AH659" s="35"/>
      <c r="AI659" s="34"/>
      <c r="AJ659" s="35"/>
      <c r="AK659" s="35"/>
      <c r="AL659" s="34"/>
      <c r="AM659" s="34"/>
      <c r="AN659" s="46"/>
      <c r="AO659" s="48"/>
      <c r="AP659" s="48"/>
      <c r="AQ659" s="48"/>
      <c r="AR659" s="48"/>
      <c r="AS659" s="48"/>
      <c r="AT659" s="48"/>
      <c r="AU659" s="48"/>
      <c r="AV659" s="48"/>
      <c r="AW659" s="48"/>
      <c r="AX659" s="48"/>
      <c r="AY659" s="43"/>
      <c r="AZ659" s="48"/>
      <c r="BA659" s="48"/>
      <c r="BB659" s="48"/>
      <c r="BC659" s="43"/>
      <c r="BD659" s="43"/>
      <c r="BE659" s="44"/>
      <c r="BF659" s="48"/>
      <c r="BG659" s="43"/>
    </row>
    <row r="660">
      <c r="A660" s="98"/>
      <c r="B660" s="99"/>
      <c r="C660" s="99"/>
      <c r="D660" s="21"/>
      <c r="E660" s="22"/>
      <c r="F660" s="100"/>
      <c r="G660" s="101"/>
      <c r="H660" s="100"/>
      <c r="I660" s="102"/>
      <c r="J660" s="26"/>
      <c r="K660" s="103"/>
      <c r="L660" s="47"/>
      <c r="M660" s="30"/>
      <c r="N660" s="104"/>
      <c r="O660" s="104"/>
      <c r="P660" s="26"/>
      <c r="Q660" s="26"/>
      <c r="R660" s="26"/>
      <c r="S660" s="30"/>
      <c r="T660" s="84"/>
      <c r="U660" s="84"/>
      <c r="V660" s="105"/>
      <c r="W660" s="106"/>
      <c r="X660" s="33"/>
      <c r="Y660" s="34"/>
      <c r="Z660" s="34"/>
      <c r="AA660" s="34"/>
      <c r="AB660" s="34"/>
      <c r="AC660" s="107"/>
      <c r="AD660" s="35"/>
      <c r="AE660" s="35"/>
      <c r="AF660" s="35"/>
      <c r="AG660" s="35"/>
      <c r="AH660" s="35"/>
      <c r="AI660" s="34"/>
      <c r="AJ660" s="35"/>
      <c r="AK660" s="35"/>
      <c r="AL660" s="34"/>
      <c r="AM660" s="34"/>
      <c r="AN660" s="46"/>
      <c r="AO660" s="48"/>
      <c r="AP660" s="48"/>
      <c r="AQ660" s="48"/>
      <c r="AR660" s="48"/>
      <c r="AS660" s="48"/>
      <c r="AT660" s="48"/>
      <c r="AU660" s="48"/>
      <c r="AV660" s="48"/>
      <c r="AW660" s="48"/>
      <c r="AX660" s="48"/>
      <c r="AY660" s="43"/>
      <c r="AZ660" s="48"/>
      <c r="BA660" s="48"/>
      <c r="BB660" s="48"/>
      <c r="BC660" s="43"/>
      <c r="BD660" s="43"/>
      <c r="BE660" s="44"/>
      <c r="BF660" s="48"/>
      <c r="BG660" s="43"/>
    </row>
    <row r="661">
      <c r="A661" s="98"/>
      <c r="B661" s="99"/>
      <c r="C661" s="99"/>
      <c r="D661" s="21"/>
      <c r="E661" s="22"/>
      <c r="F661" s="100"/>
      <c r="G661" s="101"/>
      <c r="H661" s="100"/>
      <c r="I661" s="102"/>
      <c r="J661" s="26"/>
      <c r="K661" s="103"/>
      <c r="L661" s="47"/>
      <c r="M661" s="30"/>
      <c r="N661" s="104"/>
      <c r="O661" s="104"/>
      <c r="P661" s="26"/>
      <c r="Q661" s="26"/>
      <c r="R661" s="26"/>
      <c r="S661" s="30"/>
      <c r="T661" s="84"/>
      <c r="U661" s="84"/>
      <c r="V661" s="105"/>
      <c r="W661" s="106"/>
      <c r="X661" s="33"/>
      <c r="Y661" s="34"/>
      <c r="Z661" s="34"/>
      <c r="AA661" s="34"/>
      <c r="AB661" s="34"/>
      <c r="AC661" s="107"/>
      <c r="AD661" s="35"/>
      <c r="AE661" s="35"/>
      <c r="AF661" s="35"/>
      <c r="AG661" s="35"/>
      <c r="AH661" s="35"/>
      <c r="AI661" s="34"/>
      <c r="AJ661" s="35"/>
      <c r="AK661" s="35"/>
      <c r="AL661" s="34"/>
      <c r="AM661" s="34"/>
      <c r="AN661" s="46"/>
      <c r="AO661" s="48"/>
      <c r="AP661" s="48"/>
      <c r="AQ661" s="48"/>
      <c r="AR661" s="48"/>
      <c r="AS661" s="48"/>
      <c r="AT661" s="48"/>
      <c r="AU661" s="48"/>
      <c r="AV661" s="48"/>
      <c r="AW661" s="48"/>
      <c r="AX661" s="48"/>
      <c r="AY661" s="43"/>
      <c r="AZ661" s="48"/>
      <c r="BA661" s="48"/>
      <c r="BB661" s="48"/>
      <c r="BC661" s="43"/>
      <c r="BD661" s="43"/>
      <c r="BE661" s="44"/>
      <c r="BF661" s="48"/>
      <c r="BG661" s="43"/>
    </row>
    <row r="662">
      <c r="A662" s="98"/>
      <c r="B662" s="99"/>
      <c r="C662" s="99"/>
      <c r="D662" s="21"/>
      <c r="E662" s="22"/>
      <c r="F662" s="100"/>
      <c r="G662" s="101"/>
      <c r="H662" s="100"/>
      <c r="I662" s="102"/>
      <c r="J662" s="26"/>
      <c r="K662" s="103"/>
      <c r="L662" s="47"/>
      <c r="M662" s="30"/>
      <c r="N662" s="104"/>
      <c r="O662" s="104"/>
      <c r="P662" s="26"/>
      <c r="Q662" s="26"/>
      <c r="R662" s="26"/>
      <c r="S662" s="30"/>
      <c r="T662" s="84"/>
      <c r="U662" s="84"/>
      <c r="V662" s="105"/>
      <c r="W662" s="106"/>
      <c r="X662" s="33"/>
      <c r="Y662" s="34"/>
      <c r="Z662" s="34"/>
      <c r="AA662" s="34"/>
      <c r="AB662" s="34"/>
      <c r="AC662" s="107"/>
      <c r="AD662" s="35"/>
      <c r="AE662" s="35"/>
      <c r="AF662" s="35"/>
      <c r="AG662" s="35"/>
      <c r="AH662" s="35"/>
      <c r="AI662" s="34"/>
      <c r="AJ662" s="35"/>
      <c r="AK662" s="35"/>
      <c r="AL662" s="34"/>
      <c r="AM662" s="34"/>
      <c r="AN662" s="46"/>
      <c r="AO662" s="48"/>
      <c r="AP662" s="48"/>
      <c r="AQ662" s="48"/>
      <c r="AR662" s="48"/>
      <c r="AS662" s="48"/>
      <c r="AT662" s="48"/>
      <c r="AU662" s="48"/>
      <c r="AV662" s="48"/>
      <c r="AW662" s="48"/>
      <c r="AX662" s="48"/>
      <c r="AY662" s="43"/>
      <c r="AZ662" s="48"/>
      <c r="BA662" s="48"/>
      <c r="BB662" s="48"/>
      <c r="BC662" s="43"/>
      <c r="BD662" s="43"/>
      <c r="BE662" s="44"/>
      <c r="BF662" s="48"/>
      <c r="BG662" s="43"/>
    </row>
    <row r="663">
      <c r="A663" s="98"/>
      <c r="B663" s="99"/>
      <c r="C663" s="99"/>
      <c r="D663" s="21"/>
      <c r="E663" s="22"/>
      <c r="F663" s="100"/>
      <c r="G663" s="101"/>
      <c r="H663" s="100"/>
      <c r="I663" s="102"/>
      <c r="J663" s="26"/>
      <c r="K663" s="103"/>
      <c r="L663" s="47"/>
      <c r="M663" s="30"/>
      <c r="N663" s="104"/>
      <c r="O663" s="104"/>
      <c r="P663" s="26"/>
      <c r="Q663" s="26"/>
      <c r="R663" s="26"/>
      <c r="S663" s="30"/>
      <c r="T663" s="84"/>
      <c r="U663" s="84"/>
      <c r="V663" s="105"/>
      <c r="W663" s="106"/>
      <c r="X663" s="33"/>
      <c r="Y663" s="34"/>
      <c r="Z663" s="34"/>
      <c r="AA663" s="34"/>
      <c r="AB663" s="34"/>
      <c r="AC663" s="107"/>
      <c r="AD663" s="35"/>
      <c r="AE663" s="35"/>
      <c r="AF663" s="35"/>
      <c r="AG663" s="35"/>
      <c r="AH663" s="35"/>
      <c r="AI663" s="34"/>
      <c r="AJ663" s="35"/>
      <c r="AK663" s="35"/>
      <c r="AL663" s="34"/>
      <c r="AM663" s="34"/>
      <c r="AN663" s="46"/>
      <c r="AO663" s="48"/>
      <c r="AP663" s="48"/>
      <c r="AQ663" s="48"/>
      <c r="AR663" s="48"/>
      <c r="AS663" s="48"/>
      <c r="AT663" s="48"/>
      <c r="AU663" s="48"/>
      <c r="AV663" s="48"/>
      <c r="AW663" s="48"/>
      <c r="AX663" s="48"/>
      <c r="AY663" s="43"/>
      <c r="AZ663" s="48"/>
      <c r="BA663" s="48"/>
      <c r="BB663" s="48"/>
      <c r="BC663" s="43"/>
      <c r="BD663" s="43"/>
      <c r="BE663" s="44"/>
      <c r="BF663" s="48"/>
      <c r="BG663" s="43"/>
    </row>
    <row r="664">
      <c r="A664" s="98"/>
      <c r="B664" s="99"/>
      <c r="C664" s="99"/>
      <c r="D664" s="21"/>
      <c r="E664" s="22"/>
      <c r="F664" s="100"/>
      <c r="G664" s="101"/>
      <c r="H664" s="100"/>
      <c r="I664" s="102"/>
      <c r="J664" s="26"/>
      <c r="K664" s="103"/>
      <c r="L664" s="47"/>
      <c r="M664" s="30"/>
      <c r="N664" s="104"/>
      <c r="O664" s="104"/>
      <c r="P664" s="26"/>
      <c r="Q664" s="26"/>
      <c r="R664" s="26"/>
      <c r="S664" s="30"/>
      <c r="T664" s="84"/>
      <c r="U664" s="84"/>
      <c r="V664" s="105"/>
      <c r="W664" s="106"/>
      <c r="X664" s="33"/>
      <c r="Y664" s="34"/>
      <c r="Z664" s="34"/>
      <c r="AA664" s="34"/>
      <c r="AB664" s="34"/>
      <c r="AC664" s="107"/>
      <c r="AD664" s="35"/>
      <c r="AE664" s="35"/>
      <c r="AF664" s="35"/>
      <c r="AG664" s="35"/>
      <c r="AH664" s="35"/>
      <c r="AI664" s="34"/>
      <c r="AJ664" s="35"/>
      <c r="AK664" s="35"/>
      <c r="AL664" s="34"/>
      <c r="AM664" s="34"/>
      <c r="AN664" s="46"/>
      <c r="AO664" s="48"/>
      <c r="AP664" s="48"/>
      <c r="AQ664" s="48"/>
      <c r="AR664" s="48"/>
      <c r="AS664" s="48"/>
      <c r="AT664" s="48"/>
      <c r="AU664" s="48"/>
      <c r="AV664" s="48"/>
      <c r="AW664" s="48"/>
      <c r="AX664" s="48"/>
      <c r="AY664" s="43"/>
      <c r="AZ664" s="48"/>
      <c r="BA664" s="48"/>
      <c r="BB664" s="48"/>
      <c r="BC664" s="43"/>
      <c r="BD664" s="43"/>
      <c r="BE664" s="44"/>
      <c r="BF664" s="48"/>
      <c r="BG664" s="43"/>
    </row>
    <row r="665">
      <c r="A665" s="98"/>
      <c r="B665" s="99"/>
      <c r="C665" s="99"/>
      <c r="D665" s="21"/>
      <c r="E665" s="22"/>
      <c r="F665" s="100"/>
      <c r="G665" s="101"/>
      <c r="H665" s="100"/>
      <c r="I665" s="102"/>
      <c r="J665" s="26"/>
      <c r="K665" s="103"/>
      <c r="L665" s="47"/>
      <c r="M665" s="30"/>
      <c r="N665" s="104"/>
      <c r="O665" s="104"/>
      <c r="P665" s="26"/>
      <c r="Q665" s="26"/>
      <c r="R665" s="26"/>
      <c r="S665" s="30"/>
      <c r="T665" s="84"/>
      <c r="U665" s="84"/>
      <c r="V665" s="105"/>
      <c r="W665" s="106"/>
      <c r="X665" s="33"/>
      <c r="Y665" s="34"/>
      <c r="Z665" s="34"/>
      <c r="AA665" s="34"/>
      <c r="AB665" s="34"/>
      <c r="AC665" s="107"/>
      <c r="AD665" s="35"/>
      <c r="AE665" s="35"/>
      <c r="AF665" s="35"/>
      <c r="AG665" s="35"/>
      <c r="AH665" s="35"/>
      <c r="AI665" s="34"/>
      <c r="AJ665" s="35"/>
      <c r="AK665" s="35"/>
      <c r="AL665" s="34"/>
      <c r="AM665" s="34"/>
      <c r="AN665" s="46"/>
      <c r="AO665" s="48"/>
      <c r="AP665" s="48"/>
      <c r="AQ665" s="48"/>
      <c r="AR665" s="48"/>
      <c r="AS665" s="48"/>
      <c r="AT665" s="48"/>
      <c r="AU665" s="48"/>
      <c r="AV665" s="48"/>
      <c r="AW665" s="48"/>
      <c r="AX665" s="48"/>
      <c r="AY665" s="43"/>
      <c r="AZ665" s="48"/>
      <c r="BA665" s="48"/>
      <c r="BB665" s="48"/>
      <c r="BC665" s="43"/>
      <c r="BD665" s="43"/>
      <c r="BE665" s="44"/>
      <c r="BF665" s="48"/>
      <c r="BG665" s="43"/>
    </row>
    <row r="666">
      <c r="A666" s="98"/>
      <c r="B666" s="99"/>
      <c r="C666" s="99"/>
      <c r="D666" s="21"/>
      <c r="E666" s="22"/>
      <c r="F666" s="100"/>
      <c r="G666" s="101"/>
      <c r="H666" s="100"/>
      <c r="I666" s="102"/>
      <c r="J666" s="26"/>
      <c r="K666" s="103"/>
      <c r="L666" s="47"/>
      <c r="M666" s="30"/>
      <c r="N666" s="104"/>
      <c r="O666" s="104"/>
      <c r="P666" s="26"/>
      <c r="Q666" s="26"/>
      <c r="R666" s="26"/>
      <c r="S666" s="30"/>
      <c r="T666" s="84"/>
      <c r="U666" s="84"/>
      <c r="V666" s="105"/>
      <c r="W666" s="106"/>
      <c r="X666" s="33"/>
      <c r="Y666" s="34"/>
      <c r="Z666" s="34"/>
      <c r="AA666" s="34"/>
      <c r="AB666" s="34"/>
      <c r="AC666" s="107"/>
      <c r="AD666" s="35"/>
      <c r="AE666" s="35"/>
      <c r="AF666" s="35"/>
      <c r="AG666" s="35"/>
      <c r="AH666" s="35"/>
      <c r="AI666" s="34"/>
      <c r="AJ666" s="35"/>
      <c r="AK666" s="35"/>
      <c r="AL666" s="34"/>
      <c r="AM666" s="34"/>
      <c r="AN666" s="46"/>
      <c r="AO666" s="48"/>
      <c r="AP666" s="48"/>
      <c r="AQ666" s="48"/>
      <c r="AR666" s="48"/>
      <c r="AS666" s="48"/>
      <c r="AT666" s="48"/>
      <c r="AU666" s="48"/>
      <c r="AV666" s="48"/>
      <c r="AW666" s="48"/>
      <c r="AX666" s="48"/>
      <c r="AY666" s="43"/>
      <c r="AZ666" s="48"/>
      <c r="BA666" s="48"/>
      <c r="BB666" s="48"/>
      <c r="BC666" s="43"/>
      <c r="BD666" s="43"/>
      <c r="BE666" s="44"/>
      <c r="BF666" s="48"/>
      <c r="BG666" s="43"/>
    </row>
    <row r="667">
      <c r="A667" s="98"/>
      <c r="B667" s="99"/>
      <c r="C667" s="99"/>
      <c r="D667" s="21"/>
      <c r="E667" s="22"/>
      <c r="F667" s="100"/>
      <c r="G667" s="101"/>
      <c r="H667" s="100"/>
      <c r="I667" s="102"/>
      <c r="J667" s="26"/>
      <c r="K667" s="103"/>
      <c r="L667" s="47"/>
      <c r="M667" s="30"/>
      <c r="N667" s="104"/>
      <c r="O667" s="104"/>
      <c r="P667" s="26"/>
      <c r="Q667" s="26"/>
      <c r="R667" s="26"/>
      <c r="S667" s="30"/>
      <c r="T667" s="84"/>
      <c r="U667" s="84"/>
      <c r="V667" s="105"/>
      <c r="W667" s="106"/>
      <c r="X667" s="33"/>
      <c r="Y667" s="34"/>
      <c r="Z667" s="34"/>
      <c r="AA667" s="34"/>
      <c r="AB667" s="34"/>
      <c r="AC667" s="107"/>
      <c r="AD667" s="35"/>
      <c r="AE667" s="35"/>
      <c r="AF667" s="35"/>
      <c r="AG667" s="35"/>
      <c r="AH667" s="35"/>
      <c r="AI667" s="34"/>
      <c r="AJ667" s="35"/>
      <c r="AK667" s="35"/>
      <c r="AL667" s="34"/>
      <c r="AM667" s="34"/>
      <c r="AN667" s="46"/>
      <c r="AO667" s="48"/>
      <c r="AP667" s="48"/>
      <c r="AQ667" s="48"/>
      <c r="AR667" s="48"/>
      <c r="AS667" s="48"/>
      <c r="AT667" s="48"/>
      <c r="AU667" s="48"/>
      <c r="AV667" s="48"/>
      <c r="AW667" s="48"/>
      <c r="AX667" s="48"/>
      <c r="AY667" s="43"/>
      <c r="AZ667" s="48"/>
      <c r="BA667" s="48"/>
      <c r="BB667" s="48"/>
      <c r="BC667" s="43"/>
      <c r="BD667" s="43"/>
      <c r="BE667" s="44"/>
      <c r="BF667" s="48"/>
      <c r="BG667" s="43"/>
    </row>
    <row r="668">
      <c r="A668" s="98"/>
      <c r="B668" s="99"/>
      <c r="C668" s="99"/>
      <c r="D668" s="21"/>
      <c r="E668" s="22"/>
      <c r="F668" s="100"/>
      <c r="G668" s="101"/>
      <c r="H668" s="100"/>
      <c r="I668" s="102"/>
      <c r="J668" s="26"/>
      <c r="K668" s="103"/>
      <c r="L668" s="47"/>
      <c r="M668" s="30"/>
      <c r="N668" s="104"/>
      <c r="O668" s="104"/>
      <c r="P668" s="26"/>
      <c r="Q668" s="26"/>
      <c r="R668" s="26"/>
      <c r="S668" s="30"/>
      <c r="T668" s="84"/>
      <c r="U668" s="84"/>
      <c r="V668" s="105"/>
      <c r="W668" s="106"/>
      <c r="X668" s="33"/>
      <c r="Y668" s="34"/>
      <c r="Z668" s="34"/>
      <c r="AA668" s="34"/>
      <c r="AB668" s="34"/>
      <c r="AC668" s="107"/>
      <c r="AD668" s="35"/>
      <c r="AE668" s="35"/>
      <c r="AF668" s="35"/>
      <c r="AG668" s="35"/>
      <c r="AH668" s="35"/>
      <c r="AI668" s="34"/>
      <c r="AJ668" s="35"/>
      <c r="AK668" s="35"/>
      <c r="AL668" s="34"/>
      <c r="AM668" s="34"/>
      <c r="AN668" s="46"/>
      <c r="AO668" s="48"/>
      <c r="AP668" s="48"/>
      <c r="AQ668" s="48"/>
      <c r="AR668" s="48"/>
      <c r="AS668" s="48"/>
      <c r="AT668" s="48"/>
      <c r="AU668" s="48"/>
      <c r="AV668" s="48"/>
      <c r="AW668" s="48"/>
      <c r="AX668" s="48"/>
      <c r="AY668" s="43"/>
      <c r="AZ668" s="48"/>
      <c r="BA668" s="48"/>
      <c r="BB668" s="48"/>
      <c r="BC668" s="43"/>
      <c r="BD668" s="43"/>
      <c r="BE668" s="44"/>
      <c r="BF668" s="48"/>
      <c r="BG668" s="43"/>
    </row>
    <row r="669">
      <c r="A669" s="98"/>
      <c r="B669" s="99"/>
      <c r="C669" s="99"/>
      <c r="D669" s="21"/>
      <c r="E669" s="22"/>
      <c r="F669" s="100"/>
      <c r="G669" s="101"/>
      <c r="H669" s="100"/>
      <c r="I669" s="102"/>
      <c r="J669" s="26"/>
      <c r="K669" s="103"/>
      <c r="L669" s="47"/>
      <c r="M669" s="30"/>
      <c r="N669" s="104"/>
      <c r="O669" s="104"/>
      <c r="P669" s="26"/>
      <c r="Q669" s="26"/>
      <c r="R669" s="26"/>
      <c r="S669" s="30"/>
      <c r="T669" s="84"/>
      <c r="U669" s="84"/>
      <c r="V669" s="105"/>
      <c r="W669" s="106"/>
      <c r="X669" s="33"/>
      <c r="Y669" s="34"/>
      <c r="Z669" s="34"/>
      <c r="AA669" s="34"/>
      <c r="AB669" s="34"/>
      <c r="AC669" s="107"/>
      <c r="AD669" s="35"/>
      <c r="AE669" s="35"/>
      <c r="AF669" s="35"/>
      <c r="AG669" s="35"/>
      <c r="AH669" s="35"/>
      <c r="AI669" s="34"/>
      <c r="AJ669" s="35"/>
      <c r="AK669" s="35"/>
      <c r="AL669" s="34"/>
      <c r="AM669" s="34"/>
      <c r="AN669" s="46"/>
      <c r="AO669" s="48"/>
      <c r="AP669" s="48"/>
      <c r="AQ669" s="48"/>
      <c r="AR669" s="48"/>
      <c r="AS669" s="48"/>
      <c r="AT669" s="48"/>
      <c r="AU669" s="48"/>
      <c r="AV669" s="48"/>
      <c r="AW669" s="48"/>
      <c r="AX669" s="48"/>
      <c r="AY669" s="43"/>
      <c r="AZ669" s="48"/>
      <c r="BA669" s="48"/>
      <c r="BB669" s="48"/>
      <c r="BC669" s="43"/>
      <c r="BD669" s="43"/>
      <c r="BE669" s="44"/>
      <c r="BF669" s="48"/>
      <c r="BG669" s="43"/>
    </row>
    <row r="670">
      <c r="A670" s="98"/>
      <c r="B670" s="99"/>
      <c r="C670" s="99"/>
      <c r="D670" s="21"/>
      <c r="E670" s="22"/>
      <c r="F670" s="100"/>
      <c r="G670" s="101"/>
      <c r="H670" s="100"/>
      <c r="I670" s="102"/>
      <c r="J670" s="26"/>
      <c r="K670" s="103"/>
      <c r="L670" s="47"/>
      <c r="M670" s="30"/>
      <c r="N670" s="104"/>
      <c r="O670" s="104"/>
      <c r="P670" s="26"/>
      <c r="Q670" s="26"/>
      <c r="R670" s="26"/>
      <c r="S670" s="30"/>
      <c r="T670" s="84"/>
      <c r="U670" s="84"/>
      <c r="V670" s="105"/>
      <c r="W670" s="106"/>
      <c r="X670" s="33"/>
      <c r="Y670" s="34"/>
      <c r="Z670" s="34"/>
      <c r="AA670" s="34"/>
      <c r="AB670" s="34"/>
      <c r="AC670" s="107"/>
      <c r="AD670" s="35"/>
      <c r="AE670" s="35"/>
      <c r="AF670" s="35"/>
      <c r="AG670" s="35"/>
      <c r="AH670" s="35"/>
      <c r="AI670" s="34"/>
      <c r="AJ670" s="35"/>
      <c r="AK670" s="35"/>
      <c r="AL670" s="34"/>
      <c r="AM670" s="34"/>
      <c r="AN670" s="46"/>
      <c r="AO670" s="48"/>
      <c r="AP670" s="48"/>
      <c r="AQ670" s="48"/>
      <c r="AR670" s="48"/>
      <c r="AS670" s="48"/>
      <c r="AT670" s="48"/>
      <c r="AU670" s="48"/>
      <c r="AV670" s="48"/>
      <c r="AW670" s="48"/>
      <c r="AX670" s="48"/>
      <c r="AY670" s="43"/>
      <c r="AZ670" s="48"/>
      <c r="BA670" s="48"/>
      <c r="BB670" s="48"/>
      <c r="BC670" s="43"/>
      <c r="BD670" s="43"/>
      <c r="BE670" s="44"/>
      <c r="BF670" s="48"/>
      <c r="BG670" s="43"/>
    </row>
    <row r="671">
      <c r="A671" s="98"/>
      <c r="B671" s="99"/>
      <c r="C671" s="99"/>
      <c r="D671" s="21"/>
      <c r="E671" s="22"/>
      <c r="F671" s="100"/>
      <c r="G671" s="101"/>
      <c r="H671" s="100"/>
      <c r="I671" s="102"/>
      <c r="J671" s="26"/>
      <c r="K671" s="103"/>
      <c r="L671" s="47"/>
      <c r="M671" s="30"/>
      <c r="N671" s="104"/>
      <c r="O671" s="104"/>
      <c r="P671" s="26"/>
      <c r="Q671" s="26"/>
      <c r="R671" s="26"/>
      <c r="S671" s="30"/>
      <c r="T671" s="84"/>
      <c r="U671" s="84"/>
      <c r="V671" s="105"/>
      <c r="W671" s="106"/>
      <c r="X671" s="33"/>
      <c r="Y671" s="34"/>
      <c r="Z671" s="34"/>
      <c r="AA671" s="34"/>
      <c r="AB671" s="34"/>
      <c r="AC671" s="107"/>
      <c r="AD671" s="35"/>
      <c r="AE671" s="35"/>
      <c r="AF671" s="35"/>
      <c r="AG671" s="35"/>
      <c r="AH671" s="35"/>
      <c r="AI671" s="34"/>
      <c r="AJ671" s="35"/>
      <c r="AK671" s="35"/>
      <c r="AL671" s="34"/>
      <c r="AM671" s="34"/>
      <c r="AN671" s="46"/>
      <c r="AO671" s="48"/>
      <c r="AP671" s="48"/>
      <c r="AQ671" s="48"/>
      <c r="AR671" s="48"/>
      <c r="AS671" s="48"/>
      <c r="AT671" s="48"/>
      <c r="AU671" s="48"/>
      <c r="AV671" s="48"/>
      <c r="AW671" s="48"/>
      <c r="AX671" s="48"/>
      <c r="AY671" s="43"/>
      <c r="AZ671" s="48"/>
      <c r="BA671" s="48"/>
      <c r="BB671" s="48"/>
      <c r="BC671" s="43"/>
      <c r="BD671" s="43"/>
      <c r="BE671" s="44"/>
      <c r="BF671" s="48"/>
      <c r="BG671" s="43"/>
    </row>
    <row r="672">
      <c r="A672" s="98"/>
      <c r="B672" s="99"/>
      <c r="C672" s="99"/>
      <c r="D672" s="21"/>
      <c r="E672" s="22"/>
      <c r="F672" s="100"/>
      <c r="G672" s="101"/>
      <c r="H672" s="100"/>
      <c r="I672" s="102"/>
      <c r="J672" s="26"/>
      <c r="K672" s="103"/>
      <c r="L672" s="47"/>
      <c r="M672" s="30"/>
      <c r="N672" s="104"/>
      <c r="O672" s="104"/>
      <c r="P672" s="26"/>
      <c r="Q672" s="26"/>
      <c r="R672" s="26"/>
      <c r="S672" s="30"/>
      <c r="T672" s="84"/>
      <c r="U672" s="84"/>
      <c r="V672" s="105"/>
      <c r="W672" s="106"/>
      <c r="X672" s="33"/>
      <c r="Y672" s="34"/>
      <c r="Z672" s="34"/>
      <c r="AA672" s="34"/>
      <c r="AB672" s="34"/>
      <c r="AC672" s="107"/>
      <c r="AD672" s="35"/>
      <c r="AE672" s="35"/>
      <c r="AF672" s="35"/>
      <c r="AG672" s="35"/>
      <c r="AH672" s="35"/>
      <c r="AI672" s="34"/>
      <c r="AJ672" s="35"/>
      <c r="AK672" s="35"/>
      <c r="AL672" s="34"/>
      <c r="AM672" s="34"/>
      <c r="AN672" s="46"/>
      <c r="AO672" s="48"/>
      <c r="AP672" s="48"/>
      <c r="AQ672" s="48"/>
      <c r="AR672" s="48"/>
      <c r="AS672" s="48"/>
      <c r="AT672" s="48"/>
      <c r="AU672" s="48"/>
      <c r="AV672" s="48"/>
      <c r="AW672" s="48"/>
      <c r="AX672" s="48"/>
      <c r="AY672" s="43"/>
      <c r="AZ672" s="48"/>
      <c r="BA672" s="48"/>
      <c r="BB672" s="48"/>
      <c r="BC672" s="43"/>
      <c r="BD672" s="43"/>
      <c r="BE672" s="44"/>
      <c r="BF672" s="48"/>
      <c r="BG672" s="43"/>
    </row>
    <row r="673">
      <c r="A673" s="98"/>
      <c r="B673" s="99"/>
      <c r="C673" s="99"/>
      <c r="D673" s="21"/>
      <c r="E673" s="22"/>
      <c r="F673" s="100"/>
      <c r="G673" s="101"/>
      <c r="H673" s="100"/>
      <c r="I673" s="102"/>
      <c r="J673" s="26"/>
      <c r="K673" s="103"/>
      <c r="L673" s="47"/>
      <c r="M673" s="30"/>
      <c r="N673" s="104"/>
      <c r="O673" s="104"/>
      <c r="P673" s="26"/>
      <c r="Q673" s="26"/>
      <c r="R673" s="26"/>
      <c r="S673" s="30"/>
      <c r="T673" s="84"/>
      <c r="U673" s="84"/>
      <c r="V673" s="105"/>
      <c r="W673" s="106"/>
      <c r="X673" s="33"/>
      <c r="Y673" s="34"/>
      <c r="Z673" s="34"/>
      <c r="AA673" s="34"/>
      <c r="AB673" s="34"/>
      <c r="AC673" s="107"/>
      <c r="AD673" s="35"/>
      <c r="AE673" s="35"/>
      <c r="AF673" s="35"/>
      <c r="AG673" s="35"/>
      <c r="AH673" s="35"/>
      <c r="AI673" s="34"/>
      <c r="AJ673" s="35"/>
      <c r="AK673" s="35"/>
      <c r="AL673" s="34"/>
      <c r="AM673" s="34"/>
      <c r="AN673" s="46"/>
      <c r="AO673" s="48"/>
      <c r="AP673" s="48"/>
      <c r="AQ673" s="48"/>
      <c r="AR673" s="48"/>
      <c r="AS673" s="48"/>
      <c r="AT673" s="48"/>
      <c r="AU673" s="48"/>
      <c r="AV673" s="48"/>
      <c r="AW673" s="48"/>
      <c r="AX673" s="48"/>
      <c r="AY673" s="43"/>
      <c r="AZ673" s="48"/>
      <c r="BA673" s="48"/>
      <c r="BB673" s="48"/>
      <c r="BC673" s="43"/>
      <c r="BD673" s="43"/>
      <c r="BE673" s="44"/>
      <c r="BF673" s="48"/>
      <c r="BG673" s="43"/>
    </row>
    <row r="674">
      <c r="A674" s="98"/>
      <c r="B674" s="99"/>
      <c r="C674" s="99"/>
      <c r="D674" s="21"/>
      <c r="E674" s="22"/>
      <c r="F674" s="100"/>
      <c r="G674" s="101"/>
      <c r="H674" s="100"/>
      <c r="I674" s="102"/>
      <c r="J674" s="26"/>
      <c r="K674" s="103"/>
      <c r="L674" s="47"/>
      <c r="M674" s="30"/>
      <c r="N674" s="104"/>
      <c r="O674" s="104"/>
      <c r="P674" s="26"/>
      <c r="Q674" s="26"/>
      <c r="R674" s="26"/>
      <c r="S674" s="30"/>
      <c r="T674" s="84"/>
      <c r="U674" s="84"/>
      <c r="V674" s="105"/>
      <c r="W674" s="106"/>
      <c r="X674" s="33"/>
      <c r="Y674" s="34"/>
      <c r="Z674" s="34"/>
      <c r="AA674" s="34"/>
      <c r="AB674" s="34"/>
      <c r="AC674" s="107"/>
      <c r="AD674" s="35"/>
      <c r="AE674" s="35"/>
      <c r="AF674" s="35"/>
      <c r="AG674" s="35"/>
      <c r="AH674" s="35"/>
      <c r="AI674" s="34"/>
      <c r="AJ674" s="35"/>
      <c r="AK674" s="35"/>
      <c r="AL674" s="34"/>
      <c r="AM674" s="34"/>
      <c r="AN674" s="46"/>
      <c r="AO674" s="48"/>
      <c r="AP674" s="48"/>
      <c r="AQ674" s="48"/>
      <c r="AR674" s="48"/>
      <c r="AS674" s="48"/>
      <c r="AT674" s="48"/>
      <c r="AU674" s="48"/>
      <c r="AV674" s="48"/>
      <c r="AW674" s="48"/>
      <c r="AX674" s="48"/>
      <c r="AY674" s="43"/>
      <c r="AZ674" s="48"/>
      <c r="BA674" s="48"/>
      <c r="BB674" s="48"/>
      <c r="BC674" s="43"/>
      <c r="BD674" s="43"/>
      <c r="BE674" s="44"/>
      <c r="BF674" s="48"/>
      <c r="BG674" s="43"/>
    </row>
    <row r="675">
      <c r="A675" s="98"/>
      <c r="B675" s="99"/>
      <c r="C675" s="99"/>
      <c r="D675" s="21"/>
      <c r="E675" s="22"/>
      <c r="F675" s="100"/>
      <c r="G675" s="101"/>
      <c r="H675" s="100"/>
      <c r="I675" s="102"/>
      <c r="J675" s="26"/>
      <c r="K675" s="103"/>
      <c r="L675" s="47"/>
      <c r="M675" s="30"/>
      <c r="N675" s="104"/>
      <c r="O675" s="104"/>
      <c r="P675" s="26"/>
      <c r="Q675" s="26"/>
      <c r="R675" s="26"/>
      <c r="S675" s="30"/>
      <c r="T675" s="84"/>
      <c r="U675" s="84"/>
      <c r="V675" s="105"/>
      <c r="W675" s="106"/>
      <c r="X675" s="33"/>
      <c r="Y675" s="34"/>
      <c r="Z675" s="34"/>
      <c r="AA675" s="34"/>
      <c r="AB675" s="34"/>
      <c r="AC675" s="107"/>
      <c r="AD675" s="35"/>
      <c r="AE675" s="35"/>
      <c r="AF675" s="35"/>
      <c r="AG675" s="35"/>
      <c r="AH675" s="35"/>
      <c r="AI675" s="34"/>
      <c r="AJ675" s="35"/>
      <c r="AK675" s="35"/>
      <c r="AL675" s="34"/>
      <c r="AM675" s="34"/>
      <c r="AN675" s="46"/>
      <c r="AO675" s="48"/>
      <c r="AP675" s="48"/>
      <c r="AQ675" s="48"/>
      <c r="AR675" s="48"/>
      <c r="AS675" s="48"/>
      <c r="AT675" s="48"/>
      <c r="AU675" s="48"/>
      <c r="AV675" s="48"/>
      <c r="AW675" s="48"/>
      <c r="AX675" s="48"/>
      <c r="AY675" s="43"/>
      <c r="AZ675" s="48"/>
      <c r="BA675" s="48"/>
      <c r="BB675" s="48"/>
      <c r="BC675" s="43"/>
      <c r="BD675" s="43"/>
      <c r="BE675" s="44"/>
      <c r="BF675" s="48"/>
      <c r="BG675" s="43"/>
    </row>
    <row r="676">
      <c r="A676" s="98"/>
      <c r="B676" s="99"/>
      <c r="C676" s="99"/>
      <c r="D676" s="21"/>
      <c r="E676" s="22"/>
      <c r="F676" s="100"/>
      <c r="G676" s="101"/>
      <c r="H676" s="100"/>
      <c r="I676" s="102"/>
      <c r="J676" s="26"/>
      <c r="K676" s="103"/>
      <c r="L676" s="47"/>
      <c r="M676" s="30"/>
      <c r="N676" s="104"/>
      <c r="O676" s="104"/>
      <c r="P676" s="26"/>
      <c r="Q676" s="26"/>
      <c r="R676" s="26"/>
      <c r="S676" s="30"/>
      <c r="T676" s="84"/>
      <c r="U676" s="84"/>
      <c r="V676" s="105"/>
      <c r="W676" s="106"/>
      <c r="X676" s="33"/>
      <c r="Y676" s="34"/>
      <c r="Z676" s="34"/>
      <c r="AA676" s="34"/>
      <c r="AB676" s="34"/>
      <c r="AC676" s="107"/>
      <c r="AD676" s="35"/>
      <c r="AE676" s="35"/>
      <c r="AF676" s="35"/>
      <c r="AG676" s="35"/>
      <c r="AH676" s="35"/>
      <c r="AI676" s="34"/>
      <c r="AJ676" s="35"/>
      <c r="AK676" s="35"/>
      <c r="AL676" s="34"/>
      <c r="AM676" s="34"/>
      <c r="AN676" s="46"/>
      <c r="AO676" s="48"/>
      <c r="AP676" s="48"/>
      <c r="AQ676" s="48"/>
      <c r="AR676" s="48"/>
      <c r="AS676" s="48"/>
      <c r="AT676" s="48"/>
      <c r="AU676" s="48"/>
      <c r="AV676" s="48"/>
      <c r="AW676" s="48"/>
      <c r="AX676" s="48"/>
      <c r="AY676" s="43"/>
      <c r="AZ676" s="48"/>
      <c r="BA676" s="48"/>
      <c r="BB676" s="48"/>
      <c r="BC676" s="43"/>
      <c r="BD676" s="43"/>
      <c r="BE676" s="44"/>
      <c r="BF676" s="48"/>
      <c r="BG676" s="43"/>
    </row>
    <row r="677">
      <c r="A677" s="98"/>
      <c r="B677" s="99"/>
      <c r="C677" s="99"/>
      <c r="D677" s="21"/>
      <c r="E677" s="22"/>
      <c r="F677" s="100"/>
      <c r="G677" s="101"/>
      <c r="H677" s="100"/>
      <c r="I677" s="102"/>
      <c r="J677" s="26"/>
      <c r="K677" s="103"/>
      <c r="L677" s="47"/>
      <c r="M677" s="30"/>
      <c r="N677" s="104"/>
      <c r="O677" s="104"/>
      <c r="P677" s="26"/>
      <c r="Q677" s="26"/>
      <c r="R677" s="26"/>
      <c r="S677" s="30"/>
      <c r="T677" s="84"/>
      <c r="U677" s="84"/>
      <c r="V677" s="105"/>
      <c r="W677" s="106"/>
      <c r="X677" s="33"/>
      <c r="Y677" s="34"/>
      <c r="Z677" s="34"/>
      <c r="AA677" s="34"/>
      <c r="AB677" s="34"/>
      <c r="AC677" s="107"/>
      <c r="AD677" s="35"/>
      <c r="AE677" s="35"/>
      <c r="AF677" s="35"/>
      <c r="AG677" s="35"/>
      <c r="AH677" s="35"/>
      <c r="AI677" s="34"/>
      <c r="AJ677" s="35"/>
      <c r="AK677" s="35"/>
      <c r="AL677" s="34"/>
      <c r="AM677" s="34"/>
      <c r="AN677" s="46"/>
      <c r="AO677" s="48"/>
      <c r="AP677" s="48"/>
      <c r="AQ677" s="48"/>
      <c r="AR677" s="48"/>
      <c r="AS677" s="48"/>
      <c r="AT677" s="48"/>
      <c r="AU677" s="48"/>
      <c r="AV677" s="48"/>
      <c r="AW677" s="48"/>
      <c r="AX677" s="48"/>
      <c r="AY677" s="43"/>
      <c r="AZ677" s="48"/>
      <c r="BA677" s="48"/>
      <c r="BB677" s="48"/>
      <c r="BC677" s="43"/>
      <c r="BD677" s="43"/>
      <c r="BE677" s="44"/>
      <c r="BF677" s="48"/>
      <c r="BG677" s="43"/>
    </row>
    <row r="678">
      <c r="A678" s="98"/>
      <c r="B678" s="99"/>
      <c r="C678" s="99"/>
      <c r="D678" s="21"/>
      <c r="E678" s="22"/>
      <c r="F678" s="100"/>
      <c r="G678" s="101"/>
      <c r="H678" s="100"/>
      <c r="I678" s="102"/>
      <c r="J678" s="26"/>
      <c r="K678" s="103"/>
      <c r="L678" s="47"/>
      <c r="M678" s="30"/>
      <c r="N678" s="104"/>
      <c r="O678" s="104"/>
      <c r="P678" s="26"/>
      <c r="Q678" s="26"/>
      <c r="R678" s="26"/>
      <c r="S678" s="30"/>
      <c r="T678" s="84"/>
      <c r="U678" s="84"/>
      <c r="V678" s="105"/>
      <c r="W678" s="106"/>
      <c r="X678" s="33"/>
      <c r="Y678" s="34"/>
      <c r="Z678" s="34"/>
      <c r="AA678" s="34"/>
      <c r="AB678" s="34"/>
      <c r="AC678" s="107"/>
      <c r="AD678" s="35"/>
      <c r="AE678" s="35"/>
      <c r="AF678" s="35"/>
      <c r="AG678" s="35"/>
      <c r="AH678" s="35"/>
      <c r="AI678" s="34"/>
      <c r="AJ678" s="35"/>
      <c r="AK678" s="35"/>
      <c r="AL678" s="34"/>
      <c r="AM678" s="34"/>
      <c r="AN678" s="46"/>
      <c r="AO678" s="48"/>
      <c r="AP678" s="48"/>
      <c r="AQ678" s="48"/>
      <c r="AR678" s="48"/>
      <c r="AS678" s="48"/>
      <c r="AT678" s="48"/>
      <c r="AU678" s="48"/>
      <c r="AV678" s="48"/>
      <c r="AW678" s="48"/>
      <c r="AX678" s="48"/>
      <c r="AY678" s="43"/>
      <c r="AZ678" s="48"/>
      <c r="BA678" s="48"/>
      <c r="BB678" s="48"/>
      <c r="BC678" s="43"/>
      <c r="BD678" s="43"/>
      <c r="BE678" s="44"/>
      <c r="BF678" s="48"/>
      <c r="BG678" s="43"/>
    </row>
    <row r="679">
      <c r="A679" s="98"/>
      <c r="B679" s="99"/>
      <c r="C679" s="99"/>
      <c r="D679" s="21"/>
      <c r="E679" s="22"/>
      <c r="F679" s="100"/>
      <c r="G679" s="101"/>
      <c r="H679" s="100"/>
      <c r="I679" s="102"/>
      <c r="J679" s="26"/>
      <c r="K679" s="103"/>
      <c r="L679" s="47"/>
      <c r="M679" s="30"/>
      <c r="N679" s="104"/>
      <c r="O679" s="104"/>
      <c r="P679" s="26"/>
      <c r="Q679" s="26"/>
      <c r="R679" s="26"/>
      <c r="S679" s="30"/>
      <c r="T679" s="84"/>
      <c r="U679" s="84"/>
      <c r="V679" s="105"/>
      <c r="W679" s="106"/>
      <c r="X679" s="33"/>
      <c r="Y679" s="34"/>
      <c r="Z679" s="34"/>
      <c r="AA679" s="34"/>
      <c r="AB679" s="34"/>
      <c r="AC679" s="107"/>
      <c r="AD679" s="35"/>
      <c r="AE679" s="35"/>
      <c r="AF679" s="35"/>
      <c r="AG679" s="35"/>
      <c r="AH679" s="35"/>
      <c r="AI679" s="34"/>
      <c r="AJ679" s="35"/>
      <c r="AK679" s="35"/>
      <c r="AL679" s="34"/>
      <c r="AM679" s="34"/>
      <c r="AN679" s="46"/>
      <c r="AO679" s="48"/>
      <c r="AP679" s="48"/>
      <c r="AQ679" s="48"/>
      <c r="AR679" s="48"/>
      <c r="AS679" s="48"/>
      <c r="AT679" s="48"/>
      <c r="AU679" s="48"/>
      <c r="AV679" s="48"/>
      <c r="AW679" s="48"/>
      <c r="AX679" s="48"/>
      <c r="AY679" s="43"/>
      <c r="AZ679" s="48"/>
      <c r="BA679" s="48"/>
      <c r="BB679" s="48"/>
      <c r="BC679" s="43"/>
      <c r="BD679" s="43"/>
      <c r="BE679" s="44"/>
      <c r="BF679" s="48"/>
      <c r="BG679" s="43"/>
    </row>
    <row r="680">
      <c r="A680" s="98"/>
      <c r="B680" s="99"/>
      <c r="C680" s="99"/>
      <c r="D680" s="21"/>
      <c r="E680" s="22"/>
      <c r="F680" s="100"/>
      <c r="G680" s="101"/>
      <c r="H680" s="100"/>
      <c r="I680" s="102"/>
      <c r="J680" s="26"/>
      <c r="K680" s="103"/>
      <c r="L680" s="47"/>
      <c r="M680" s="30"/>
      <c r="N680" s="104"/>
      <c r="O680" s="104"/>
      <c r="P680" s="26"/>
      <c r="Q680" s="26"/>
      <c r="R680" s="26"/>
      <c r="S680" s="30"/>
      <c r="T680" s="84"/>
      <c r="U680" s="84"/>
      <c r="V680" s="105"/>
      <c r="W680" s="106"/>
      <c r="X680" s="33"/>
      <c r="Y680" s="34"/>
      <c r="Z680" s="34"/>
      <c r="AA680" s="34"/>
      <c r="AB680" s="34"/>
      <c r="AC680" s="107"/>
      <c r="AD680" s="35"/>
      <c r="AE680" s="35"/>
      <c r="AF680" s="35"/>
      <c r="AG680" s="35"/>
      <c r="AH680" s="35"/>
      <c r="AI680" s="34"/>
      <c r="AJ680" s="35"/>
      <c r="AK680" s="35"/>
      <c r="AL680" s="34"/>
      <c r="AM680" s="34"/>
      <c r="AN680" s="46"/>
      <c r="AO680" s="48"/>
      <c r="AP680" s="48"/>
      <c r="AQ680" s="48"/>
      <c r="AR680" s="48"/>
      <c r="AS680" s="48"/>
      <c r="AT680" s="48"/>
      <c r="AU680" s="48"/>
      <c r="AV680" s="48"/>
      <c r="AW680" s="48"/>
      <c r="AX680" s="48"/>
      <c r="AY680" s="43"/>
      <c r="AZ680" s="48"/>
      <c r="BA680" s="48"/>
      <c r="BB680" s="48"/>
      <c r="BC680" s="43"/>
      <c r="BD680" s="43"/>
      <c r="BE680" s="44"/>
      <c r="BF680" s="48"/>
      <c r="BG680" s="43"/>
    </row>
    <row r="681">
      <c r="A681" s="98"/>
      <c r="B681" s="99"/>
      <c r="C681" s="99"/>
      <c r="D681" s="21"/>
      <c r="E681" s="22"/>
      <c r="F681" s="100"/>
      <c r="G681" s="101"/>
      <c r="H681" s="100"/>
      <c r="I681" s="102"/>
      <c r="J681" s="26"/>
      <c r="K681" s="103"/>
      <c r="L681" s="47"/>
      <c r="M681" s="30"/>
      <c r="N681" s="104"/>
      <c r="O681" s="104"/>
      <c r="P681" s="26"/>
      <c r="Q681" s="26"/>
      <c r="R681" s="26"/>
      <c r="S681" s="30"/>
      <c r="T681" s="84"/>
      <c r="U681" s="84"/>
      <c r="V681" s="105"/>
      <c r="W681" s="106"/>
      <c r="X681" s="33"/>
      <c r="Y681" s="34"/>
      <c r="Z681" s="34"/>
      <c r="AA681" s="34"/>
      <c r="AB681" s="34"/>
      <c r="AC681" s="107"/>
      <c r="AD681" s="35"/>
      <c r="AE681" s="35"/>
      <c r="AF681" s="35"/>
      <c r="AG681" s="35"/>
      <c r="AH681" s="35"/>
      <c r="AI681" s="34"/>
      <c r="AJ681" s="35"/>
      <c r="AK681" s="35"/>
      <c r="AL681" s="34"/>
      <c r="AM681" s="34"/>
      <c r="AN681" s="46"/>
      <c r="AO681" s="48"/>
      <c r="AP681" s="48"/>
      <c r="AQ681" s="48"/>
      <c r="AR681" s="48"/>
      <c r="AS681" s="48"/>
      <c r="AT681" s="48"/>
      <c r="AU681" s="48"/>
      <c r="AV681" s="48"/>
      <c r="AW681" s="48"/>
      <c r="AX681" s="48"/>
      <c r="AY681" s="43"/>
      <c r="AZ681" s="48"/>
      <c r="BA681" s="48"/>
      <c r="BB681" s="48"/>
      <c r="BC681" s="43"/>
      <c r="BD681" s="43"/>
      <c r="BE681" s="44"/>
      <c r="BF681" s="48"/>
      <c r="BG681" s="43"/>
    </row>
    <row r="682">
      <c r="A682" s="98"/>
      <c r="B682" s="99"/>
      <c r="C682" s="99"/>
      <c r="D682" s="21"/>
      <c r="E682" s="22"/>
      <c r="F682" s="100"/>
      <c r="G682" s="101"/>
      <c r="H682" s="100"/>
      <c r="I682" s="102"/>
      <c r="J682" s="26"/>
      <c r="K682" s="103"/>
      <c r="L682" s="47"/>
      <c r="M682" s="30"/>
      <c r="N682" s="104"/>
      <c r="O682" s="104"/>
      <c r="P682" s="26"/>
      <c r="Q682" s="26"/>
      <c r="R682" s="26"/>
      <c r="S682" s="30"/>
      <c r="T682" s="84"/>
      <c r="U682" s="84"/>
      <c r="V682" s="105"/>
      <c r="W682" s="106"/>
      <c r="X682" s="33"/>
      <c r="Y682" s="34"/>
      <c r="Z682" s="34"/>
      <c r="AA682" s="34"/>
      <c r="AB682" s="34"/>
      <c r="AC682" s="107"/>
      <c r="AD682" s="35"/>
      <c r="AE682" s="35"/>
      <c r="AF682" s="35"/>
      <c r="AG682" s="35"/>
      <c r="AH682" s="35"/>
      <c r="AI682" s="34"/>
      <c r="AJ682" s="35"/>
      <c r="AK682" s="35"/>
      <c r="AL682" s="34"/>
      <c r="AM682" s="34"/>
      <c r="AN682" s="46"/>
      <c r="AO682" s="48"/>
      <c r="AP682" s="48"/>
      <c r="AQ682" s="48"/>
      <c r="AR682" s="48"/>
      <c r="AS682" s="48"/>
      <c r="AT682" s="48"/>
      <c r="AU682" s="48"/>
      <c r="AV682" s="48"/>
      <c r="AW682" s="48"/>
      <c r="AX682" s="48"/>
      <c r="AY682" s="43"/>
      <c r="AZ682" s="48"/>
      <c r="BA682" s="48"/>
      <c r="BB682" s="48"/>
      <c r="BC682" s="43"/>
      <c r="BD682" s="43"/>
      <c r="BE682" s="44"/>
      <c r="BF682" s="48"/>
      <c r="BG682" s="43"/>
    </row>
    <row r="683">
      <c r="A683" s="98"/>
      <c r="B683" s="99"/>
      <c r="C683" s="99"/>
      <c r="D683" s="21"/>
      <c r="E683" s="22"/>
      <c r="F683" s="100"/>
      <c r="G683" s="101"/>
      <c r="H683" s="100"/>
      <c r="I683" s="102"/>
      <c r="J683" s="26"/>
      <c r="K683" s="103"/>
      <c r="L683" s="47"/>
      <c r="M683" s="30"/>
      <c r="N683" s="104"/>
      <c r="O683" s="104"/>
      <c r="P683" s="26"/>
      <c r="Q683" s="26"/>
      <c r="R683" s="26"/>
      <c r="S683" s="30"/>
      <c r="T683" s="84"/>
      <c r="U683" s="84"/>
      <c r="V683" s="105"/>
      <c r="W683" s="106"/>
      <c r="X683" s="33"/>
      <c r="Y683" s="34"/>
      <c r="Z683" s="34"/>
      <c r="AA683" s="34"/>
      <c r="AB683" s="34"/>
      <c r="AC683" s="107"/>
      <c r="AD683" s="35"/>
      <c r="AE683" s="35"/>
      <c r="AF683" s="35"/>
      <c r="AG683" s="35"/>
      <c r="AH683" s="35"/>
      <c r="AI683" s="34"/>
      <c r="AJ683" s="35"/>
      <c r="AK683" s="35"/>
      <c r="AL683" s="34"/>
      <c r="AM683" s="34"/>
      <c r="AN683" s="46"/>
      <c r="AO683" s="48"/>
      <c r="AP683" s="48"/>
      <c r="AQ683" s="48"/>
      <c r="AR683" s="48"/>
      <c r="AS683" s="48"/>
      <c r="AT683" s="48"/>
      <c r="AU683" s="48"/>
      <c r="AV683" s="48"/>
      <c r="AW683" s="48"/>
      <c r="AX683" s="48"/>
      <c r="AY683" s="43"/>
      <c r="AZ683" s="48"/>
      <c r="BA683" s="48"/>
      <c r="BB683" s="48"/>
      <c r="BC683" s="43"/>
      <c r="BD683" s="43"/>
      <c r="BE683" s="44"/>
      <c r="BF683" s="48"/>
      <c r="BG683" s="43"/>
    </row>
    <row r="684">
      <c r="A684" s="98"/>
      <c r="B684" s="99"/>
      <c r="C684" s="99"/>
      <c r="D684" s="21"/>
      <c r="E684" s="22"/>
      <c r="F684" s="100"/>
      <c r="G684" s="101"/>
      <c r="H684" s="100"/>
      <c r="I684" s="102"/>
      <c r="J684" s="26"/>
      <c r="K684" s="103"/>
      <c r="L684" s="47"/>
      <c r="M684" s="30"/>
      <c r="N684" s="104"/>
      <c r="O684" s="104"/>
      <c r="P684" s="26"/>
      <c r="Q684" s="26"/>
      <c r="R684" s="26"/>
      <c r="S684" s="30"/>
      <c r="T684" s="84"/>
      <c r="U684" s="84"/>
      <c r="V684" s="105"/>
      <c r="W684" s="106"/>
      <c r="X684" s="33"/>
      <c r="Y684" s="34"/>
      <c r="Z684" s="34"/>
      <c r="AA684" s="34"/>
      <c r="AB684" s="34"/>
      <c r="AC684" s="107"/>
      <c r="AD684" s="35"/>
      <c r="AE684" s="35"/>
      <c r="AF684" s="35"/>
      <c r="AG684" s="35"/>
      <c r="AH684" s="35"/>
      <c r="AI684" s="34"/>
      <c r="AJ684" s="35"/>
      <c r="AK684" s="35"/>
      <c r="AL684" s="34"/>
      <c r="AM684" s="34"/>
      <c r="AN684" s="46"/>
      <c r="AO684" s="48"/>
      <c r="AP684" s="48"/>
      <c r="AQ684" s="48"/>
      <c r="AR684" s="48"/>
      <c r="AS684" s="48"/>
      <c r="AT684" s="48"/>
      <c r="AU684" s="48"/>
      <c r="AV684" s="48"/>
      <c r="AW684" s="48"/>
      <c r="AX684" s="48"/>
      <c r="AY684" s="43"/>
      <c r="AZ684" s="48"/>
      <c r="BA684" s="48"/>
      <c r="BB684" s="48"/>
      <c r="BC684" s="43"/>
      <c r="BD684" s="43"/>
      <c r="BE684" s="44"/>
      <c r="BF684" s="48"/>
      <c r="BG684" s="43"/>
    </row>
    <row r="685">
      <c r="A685" s="98"/>
      <c r="B685" s="99"/>
      <c r="C685" s="99"/>
      <c r="D685" s="21"/>
      <c r="E685" s="22"/>
      <c r="F685" s="100"/>
      <c r="G685" s="101"/>
      <c r="H685" s="100"/>
      <c r="I685" s="102"/>
      <c r="J685" s="26"/>
      <c r="K685" s="103"/>
      <c r="L685" s="47"/>
      <c r="M685" s="30"/>
      <c r="N685" s="104"/>
      <c r="O685" s="104"/>
      <c r="P685" s="26"/>
      <c r="Q685" s="26"/>
      <c r="R685" s="26"/>
      <c r="S685" s="30"/>
      <c r="T685" s="84"/>
      <c r="U685" s="84"/>
      <c r="V685" s="105"/>
      <c r="W685" s="106"/>
      <c r="X685" s="33"/>
      <c r="Y685" s="34"/>
      <c r="Z685" s="34"/>
      <c r="AA685" s="34"/>
      <c r="AB685" s="34"/>
      <c r="AC685" s="107"/>
      <c r="AD685" s="35"/>
      <c r="AE685" s="35"/>
      <c r="AF685" s="35"/>
      <c r="AG685" s="35"/>
      <c r="AH685" s="35"/>
      <c r="AI685" s="34"/>
      <c r="AJ685" s="35"/>
      <c r="AK685" s="35"/>
      <c r="AL685" s="34"/>
      <c r="AM685" s="34"/>
      <c r="AN685" s="46"/>
      <c r="AO685" s="48"/>
      <c r="AP685" s="48"/>
      <c r="AQ685" s="48"/>
      <c r="AR685" s="48"/>
      <c r="AS685" s="48"/>
      <c r="AT685" s="48"/>
      <c r="AU685" s="48"/>
      <c r="AV685" s="48"/>
      <c r="AW685" s="48"/>
      <c r="AX685" s="48"/>
      <c r="AY685" s="43"/>
      <c r="AZ685" s="48"/>
      <c r="BA685" s="48"/>
      <c r="BB685" s="48"/>
      <c r="BC685" s="43"/>
      <c r="BD685" s="43"/>
      <c r="BE685" s="44"/>
      <c r="BF685" s="48"/>
      <c r="BG685" s="43"/>
    </row>
    <row r="686">
      <c r="A686" s="98"/>
      <c r="B686" s="99"/>
      <c r="C686" s="99"/>
      <c r="D686" s="21"/>
      <c r="E686" s="22"/>
      <c r="F686" s="100"/>
      <c r="G686" s="101"/>
      <c r="H686" s="100"/>
      <c r="I686" s="102"/>
      <c r="J686" s="26"/>
      <c r="K686" s="103"/>
      <c r="L686" s="47"/>
      <c r="M686" s="30"/>
      <c r="N686" s="104"/>
      <c r="O686" s="104"/>
      <c r="P686" s="26"/>
      <c r="Q686" s="26"/>
      <c r="R686" s="26"/>
      <c r="S686" s="30"/>
      <c r="T686" s="84"/>
      <c r="U686" s="84"/>
      <c r="V686" s="105"/>
      <c r="W686" s="106"/>
      <c r="X686" s="33"/>
      <c r="Y686" s="34"/>
      <c r="Z686" s="34"/>
      <c r="AA686" s="34"/>
      <c r="AB686" s="34"/>
      <c r="AC686" s="107"/>
      <c r="AD686" s="35"/>
      <c r="AE686" s="35"/>
      <c r="AF686" s="35"/>
      <c r="AG686" s="35"/>
      <c r="AH686" s="35"/>
      <c r="AI686" s="34"/>
      <c r="AJ686" s="35"/>
      <c r="AK686" s="35"/>
      <c r="AL686" s="34"/>
      <c r="AM686" s="34"/>
      <c r="AN686" s="46"/>
      <c r="AO686" s="48"/>
      <c r="AP686" s="48"/>
      <c r="AQ686" s="48"/>
      <c r="AR686" s="48"/>
      <c r="AS686" s="48"/>
      <c r="AT686" s="48"/>
      <c r="AU686" s="48"/>
      <c r="AV686" s="48"/>
      <c r="AW686" s="48"/>
      <c r="AX686" s="48"/>
      <c r="AY686" s="43"/>
      <c r="AZ686" s="48"/>
      <c r="BA686" s="48"/>
      <c r="BB686" s="48"/>
      <c r="BC686" s="43"/>
      <c r="BD686" s="43"/>
      <c r="BE686" s="44"/>
      <c r="BF686" s="48"/>
      <c r="BG686" s="43"/>
    </row>
    <row r="687">
      <c r="A687" s="98"/>
      <c r="B687" s="99"/>
      <c r="C687" s="99"/>
      <c r="D687" s="21"/>
      <c r="E687" s="22"/>
      <c r="F687" s="100"/>
      <c r="G687" s="101"/>
      <c r="H687" s="100"/>
      <c r="I687" s="102"/>
      <c r="J687" s="26"/>
      <c r="K687" s="103"/>
      <c r="L687" s="47"/>
      <c r="M687" s="30"/>
      <c r="N687" s="104"/>
      <c r="O687" s="104"/>
      <c r="P687" s="26"/>
      <c r="Q687" s="26"/>
      <c r="R687" s="26"/>
      <c r="S687" s="30"/>
      <c r="T687" s="84"/>
      <c r="U687" s="84"/>
      <c r="V687" s="105"/>
      <c r="W687" s="106"/>
      <c r="X687" s="33"/>
      <c r="Y687" s="34"/>
      <c r="Z687" s="34"/>
      <c r="AA687" s="34"/>
      <c r="AB687" s="34"/>
      <c r="AC687" s="107"/>
      <c r="AD687" s="35"/>
      <c r="AE687" s="35"/>
      <c r="AF687" s="35"/>
      <c r="AG687" s="35"/>
      <c r="AH687" s="35"/>
      <c r="AI687" s="34"/>
      <c r="AJ687" s="35"/>
      <c r="AK687" s="35"/>
      <c r="AL687" s="34"/>
      <c r="AM687" s="34"/>
      <c r="AN687" s="46"/>
      <c r="AO687" s="48"/>
      <c r="AP687" s="48"/>
      <c r="AQ687" s="48"/>
      <c r="AR687" s="48"/>
      <c r="AS687" s="48"/>
      <c r="AT687" s="48"/>
      <c r="AU687" s="48"/>
      <c r="AV687" s="48"/>
      <c r="AW687" s="48"/>
      <c r="AX687" s="48"/>
      <c r="AY687" s="43"/>
      <c r="AZ687" s="48"/>
      <c r="BA687" s="48"/>
      <c r="BB687" s="48"/>
      <c r="BC687" s="43"/>
      <c r="BD687" s="43"/>
      <c r="BE687" s="44"/>
      <c r="BF687" s="48"/>
      <c r="BG687" s="43"/>
    </row>
    <row r="688">
      <c r="A688" s="98"/>
      <c r="B688" s="99"/>
      <c r="C688" s="99"/>
      <c r="D688" s="21"/>
      <c r="E688" s="22"/>
      <c r="F688" s="100"/>
      <c r="G688" s="101"/>
      <c r="H688" s="100"/>
      <c r="I688" s="102"/>
      <c r="J688" s="26"/>
      <c r="K688" s="103"/>
      <c r="L688" s="47"/>
      <c r="M688" s="30"/>
      <c r="N688" s="104"/>
      <c r="O688" s="104"/>
      <c r="P688" s="26"/>
      <c r="Q688" s="26"/>
      <c r="R688" s="26"/>
      <c r="S688" s="30"/>
      <c r="T688" s="84"/>
      <c r="U688" s="84"/>
      <c r="V688" s="105"/>
      <c r="W688" s="106"/>
      <c r="X688" s="33"/>
      <c r="Y688" s="34"/>
      <c r="Z688" s="34"/>
      <c r="AA688" s="34"/>
      <c r="AB688" s="34"/>
      <c r="AC688" s="107"/>
      <c r="AD688" s="35"/>
      <c r="AE688" s="35"/>
      <c r="AF688" s="35"/>
      <c r="AG688" s="35"/>
      <c r="AH688" s="35"/>
      <c r="AI688" s="34"/>
      <c r="AJ688" s="35"/>
      <c r="AK688" s="35"/>
      <c r="AL688" s="34"/>
      <c r="AM688" s="34"/>
      <c r="AN688" s="46"/>
      <c r="AO688" s="48"/>
      <c r="AP688" s="48"/>
      <c r="AQ688" s="48"/>
      <c r="AR688" s="48"/>
      <c r="AS688" s="48"/>
      <c r="AT688" s="48"/>
      <c r="AU688" s="48"/>
      <c r="AV688" s="48"/>
      <c r="AW688" s="48"/>
      <c r="AX688" s="48"/>
      <c r="AY688" s="43"/>
      <c r="AZ688" s="48"/>
      <c r="BA688" s="48"/>
      <c r="BB688" s="48"/>
      <c r="BC688" s="43"/>
      <c r="BD688" s="43"/>
      <c r="BE688" s="44"/>
      <c r="BF688" s="48"/>
      <c r="BG688" s="43"/>
    </row>
    <row r="689">
      <c r="A689" s="98"/>
      <c r="B689" s="99"/>
      <c r="C689" s="99"/>
      <c r="D689" s="21"/>
      <c r="E689" s="22"/>
      <c r="F689" s="100"/>
      <c r="G689" s="101"/>
      <c r="H689" s="100"/>
      <c r="I689" s="102"/>
      <c r="J689" s="26"/>
      <c r="K689" s="103"/>
      <c r="L689" s="47"/>
      <c r="M689" s="30"/>
      <c r="N689" s="104"/>
      <c r="O689" s="104"/>
      <c r="P689" s="26"/>
      <c r="Q689" s="26"/>
      <c r="R689" s="26"/>
      <c r="S689" s="30"/>
      <c r="T689" s="84"/>
      <c r="U689" s="84"/>
      <c r="V689" s="105"/>
      <c r="W689" s="106"/>
      <c r="X689" s="33"/>
      <c r="Y689" s="34"/>
      <c r="Z689" s="34"/>
      <c r="AA689" s="34"/>
      <c r="AB689" s="34"/>
      <c r="AC689" s="107"/>
      <c r="AD689" s="35"/>
      <c r="AE689" s="35"/>
      <c r="AF689" s="35"/>
      <c r="AG689" s="35"/>
      <c r="AH689" s="35"/>
      <c r="AI689" s="34"/>
      <c r="AJ689" s="35"/>
      <c r="AK689" s="35"/>
      <c r="AL689" s="34"/>
      <c r="AM689" s="34"/>
      <c r="AN689" s="46"/>
      <c r="AO689" s="48"/>
      <c r="AP689" s="48"/>
      <c r="AQ689" s="48"/>
      <c r="AR689" s="48"/>
      <c r="AS689" s="48"/>
      <c r="AT689" s="48"/>
      <c r="AU689" s="48"/>
      <c r="AV689" s="48"/>
      <c r="AW689" s="48"/>
      <c r="AX689" s="48"/>
      <c r="AY689" s="43"/>
      <c r="AZ689" s="48"/>
      <c r="BA689" s="48"/>
      <c r="BB689" s="48"/>
      <c r="BC689" s="43"/>
      <c r="BD689" s="43"/>
      <c r="BE689" s="44"/>
      <c r="BF689" s="48"/>
      <c r="BG689" s="43"/>
    </row>
    <row r="690">
      <c r="A690" s="98"/>
      <c r="B690" s="99"/>
      <c r="C690" s="99"/>
      <c r="D690" s="21"/>
      <c r="E690" s="22"/>
      <c r="F690" s="100"/>
      <c r="G690" s="101"/>
      <c r="H690" s="100"/>
      <c r="I690" s="102"/>
      <c r="J690" s="26"/>
      <c r="K690" s="103"/>
      <c r="L690" s="47"/>
      <c r="M690" s="30"/>
      <c r="N690" s="104"/>
      <c r="O690" s="104"/>
      <c r="P690" s="26"/>
      <c r="Q690" s="26"/>
      <c r="R690" s="26"/>
      <c r="S690" s="30"/>
      <c r="T690" s="84"/>
      <c r="U690" s="84"/>
      <c r="V690" s="105"/>
      <c r="W690" s="106"/>
      <c r="X690" s="33"/>
      <c r="Y690" s="34"/>
      <c r="Z690" s="34"/>
      <c r="AA690" s="34"/>
      <c r="AB690" s="34"/>
      <c r="AC690" s="107"/>
      <c r="AD690" s="35"/>
      <c r="AE690" s="35"/>
      <c r="AF690" s="35"/>
      <c r="AG690" s="35"/>
      <c r="AH690" s="35"/>
      <c r="AI690" s="34"/>
      <c r="AJ690" s="35"/>
      <c r="AK690" s="35"/>
      <c r="AL690" s="34"/>
      <c r="AM690" s="34"/>
      <c r="AN690" s="46"/>
      <c r="AO690" s="48"/>
      <c r="AP690" s="48"/>
      <c r="AQ690" s="48"/>
      <c r="AR690" s="48"/>
      <c r="AS690" s="48"/>
      <c r="AT690" s="48"/>
      <c r="AU690" s="48"/>
      <c r="AV690" s="48"/>
      <c r="AW690" s="48"/>
      <c r="AX690" s="48"/>
      <c r="AY690" s="43"/>
      <c r="AZ690" s="48"/>
      <c r="BA690" s="48"/>
      <c r="BB690" s="48"/>
      <c r="BC690" s="43"/>
      <c r="BD690" s="43"/>
      <c r="BE690" s="44"/>
      <c r="BF690" s="48"/>
      <c r="BG690" s="43"/>
    </row>
    <row r="691">
      <c r="A691" s="98"/>
      <c r="B691" s="99"/>
      <c r="C691" s="99"/>
      <c r="D691" s="21"/>
      <c r="E691" s="22"/>
      <c r="F691" s="100"/>
      <c r="G691" s="101"/>
      <c r="H691" s="100"/>
      <c r="I691" s="102"/>
      <c r="J691" s="26"/>
      <c r="K691" s="103"/>
      <c r="L691" s="47"/>
      <c r="M691" s="30"/>
      <c r="N691" s="104"/>
      <c r="O691" s="104"/>
      <c r="P691" s="26"/>
      <c r="Q691" s="26"/>
      <c r="R691" s="26"/>
      <c r="S691" s="30"/>
      <c r="T691" s="84"/>
      <c r="U691" s="84"/>
      <c r="V691" s="105"/>
      <c r="W691" s="106"/>
      <c r="X691" s="33"/>
      <c r="Y691" s="34"/>
      <c r="Z691" s="34"/>
      <c r="AA691" s="34"/>
      <c r="AB691" s="34"/>
      <c r="AC691" s="107"/>
      <c r="AD691" s="35"/>
      <c r="AE691" s="35"/>
      <c r="AF691" s="35"/>
      <c r="AG691" s="35"/>
      <c r="AH691" s="35"/>
      <c r="AI691" s="34"/>
      <c r="AJ691" s="35"/>
      <c r="AK691" s="35"/>
      <c r="AL691" s="34"/>
      <c r="AM691" s="34"/>
      <c r="AN691" s="46"/>
      <c r="AO691" s="48"/>
      <c r="AP691" s="48"/>
      <c r="AQ691" s="48"/>
      <c r="AR691" s="48"/>
      <c r="AS691" s="48"/>
      <c r="AT691" s="48"/>
      <c r="AU691" s="48"/>
      <c r="AV691" s="48"/>
      <c r="AW691" s="48"/>
      <c r="AX691" s="48"/>
      <c r="AY691" s="43"/>
      <c r="AZ691" s="48"/>
      <c r="BA691" s="48"/>
      <c r="BB691" s="48"/>
      <c r="BC691" s="43"/>
      <c r="BD691" s="43"/>
      <c r="BE691" s="44"/>
      <c r="BF691" s="48"/>
      <c r="BG691" s="43"/>
    </row>
    <row r="692">
      <c r="A692" s="98"/>
      <c r="B692" s="99"/>
      <c r="C692" s="99"/>
      <c r="D692" s="21"/>
      <c r="E692" s="22"/>
      <c r="F692" s="100"/>
      <c r="G692" s="101"/>
      <c r="H692" s="100"/>
      <c r="I692" s="102"/>
      <c r="J692" s="26"/>
      <c r="K692" s="103"/>
      <c r="L692" s="47"/>
      <c r="M692" s="30"/>
      <c r="N692" s="104"/>
      <c r="O692" s="104"/>
      <c r="P692" s="26"/>
      <c r="Q692" s="26"/>
      <c r="R692" s="26"/>
      <c r="S692" s="30"/>
      <c r="T692" s="84"/>
      <c r="U692" s="84"/>
      <c r="V692" s="105"/>
      <c r="W692" s="106"/>
      <c r="X692" s="33"/>
      <c r="Y692" s="34"/>
      <c r="Z692" s="34"/>
      <c r="AA692" s="34"/>
      <c r="AB692" s="34"/>
      <c r="AC692" s="107"/>
      <c r="AD692" s="35"/>
      <c r="AE692" s="35"/>
      <c r="AF692" s="35"/>
      <c r="AG692" s="35"/>
      <c r="AH692" s="35"/>
      <c r="AI692" s="34"/>
      <c r="AJ692" s="35"/>
      <c r="AK692" s="35"/>
      <c r="AL692" s="34"/>
      <c r="AM692" s="34"/>
      <c r="AN692" s="46"/>
      <c r="AO692" s="48"/>
      <c r="AP692" s="48"/>
      <c r="AQ692" s="48"/>
      <c r="AR692" s="48"/>
      <c r="AS692" s="48"/>
      <c r="AT692" s="48"/>
      <c r="AU692" s="48"/>
      <c r="AV692" s="48"/>
      <c r="AW692" s="48"/>
      <c r="AX692" s="48"/>
      <c r="AY692" s="43"/>
      <c r="AZ692" s="48"/>
      <c r="BA692" s="48"/>
      <c r="BB692" s="48"/>
      <c r="BC692" s="43"/>
      <c r="BD692" s="43"/>
      <c r="BE692" s="44"/>
      <c r="BF692" s="48"/>
      <c r="BG692" s="43"/>
    </row>
    <row r="693">
      <c r="A693" s="98"/>
      <c r="B693" s="99"/>
      <c r="C693" s="99"/>
      <c r="D693" s="21"/>
      <c r="E693" s="22"/>
      <c r="F693" s="100"/>
      <c r="G693" s="101"/>
      <c r="H693" s="100"/>
      <c r="I693" s="102"/>
      <c r="J693" s="26"/>
      <c r="K693" s="103"/>
      <c r="L693" s="47"/>
      <c r="M693" s="30"/>
      <c r="N693" s="104"/>
      <c r="O693" s="104"/>
      <c r="P693" s="26"/>
      <c r="Q693" s="26"/>
      <c r="R693" s="26"/>
      <c r="S693" s="30"/>
      <c r="T693" s="84"/>
      <c r="U693" s="84"/>
      <c r="V693" s="105"/>
      <c r="W693" s="106"/>
      <c r="X693" s="33"/>
      <c r="Y693" s="34"/>
      <c r="Z693" s="34"/>
      <c r="AA693" s="34"/>
      <c r="AB693" s="34"/>
      <c r="AC693" s="107"/>
      <c r="AD693" s="35"/>
      <c r="AE693" s="35"/>
      <c r="AF693" s="35"/>
      <c r="AG693" s="35"/>
      <c r="AH693" s="35"/>
      <c r="AI693" s="34"/>
      <c r="AJ693" s="35"/>
      <c r="AK693" s="35"/>
      <c r="AL693" s="34"/>
      <c r="AM693" s="34"/>
      <c r="AN693" s="46"/>
      <c r="AO693" s="48"/>
      <c r="AP693" s="48"/>
      <c r="AQ693" s="48"/>
      <c r="AR693" s="48"/>
      <c r="AS693" s="48"/>
      <c r="AT693" s="48"/>
      <c r="AU693" s="48"/>
      <c r="AV693" s="48"/>
      <c r="AW693" s="48"/>
      <c r="AX693" s="48"/>
      <c r="AY693" s="43"/>
      <c r="AZ693" s="48"/>
      <c r="BA693" s="48"/>
      <c r="BB693" s="48"/>
      <c r="BC693" s="43"/>
      <c r="BD693" s="43"/>
      <c r="BE693" s="44"/>
      <c r="BF693" s="48"/>
      <c r="BG693" s="43"/>
    </row>
    <row r="694">
      <c r="A694" s="98"/>
      <c r="B694" s="99"/>
      <c r="C694" s="99"/>
      <c r="D694" s="21"/>
      <c r="E694" s="22"/>
      <c r="F694" s="100"/>
      <c r="G694" s="101"/>
      <c r="H694" s="100"/>
      <c r="I694" s="102"/>
      <c r="J694" s="26"/>
      <c r="K694" s="103"/>
      <c r="L694" s="47"/>
      <c r="M694" s="30"/>
      <c r="N694" s="104"/>
      <c r="O694" s="104"/>
      <c r="P694" s="26"/>
      <c r="Q694" s="26"/>
      <c r="R694" s="26"/>
      <c r="S694" s="30"/>
      <c r="T694" s="84"/>
      <c r="U694" s="84"/>
      <c r="V694" s="105"/>
      <c r="W694" s="106"/>
      <c r="X694" s="33"/>
      <c r="Y694" s="34"/>
      <c r="Z694" s="34"/>
      <c r="AA694" s="34"/>
      <c r="AB694" s="34"/>
      <c r="AC694" s="107"/>
      <c r="AD694" s="35"/>
      <c r="AE694" s="35"/>
      <c r="AF694" s="35"/>
      <c r="AG694" s="35"/>
      <c r="AH694" s="35"/>
      <c r="AI694" s="34"/>
      <c r="AJ694" s="35"/>
      <c r="AK694" s="35"/>
      <c r="AL694" s="34"/>
      <c r="AM694" s="34"/>
      <c r="AN694" s="46"/>
      <c r="AO694" s="48"/>
      <c r="AP694" s="48"/>
      <c r="AQ694" s="48"/>
      <c r="AR694" s="48"/>
      <c r="AS694" s="48"/>
      <c r="AT694" s="48"/>
      <c r="AU694" s="48"/>
      <c r="AV694" s="48"/>
      <c r="AW694" s="48"/>
      <c r="AX694" s="48"/>
      <c r="AY694" s="43"/>
      <c r="AZ694" s="48"/>
      <c r="BA694" s="48"/>
      <c r="BB694" s="48"/>
      <c r="BC694" s="43"/>
      <c r="BD694" s="43"/>
      <c r="BE694" s="44"/>
      <c r="BF694" s="48"/>
      <c r="BG694" s="43"/>
    </row>
    <row r="695">
      <c r="A695" s="98"/>
      <c r="B695" s="99"/>
      <c r="C695" s="99"/>
      <c r="D695" s="21"/>
      <c r="E695" s="22"/>
      <c r="F695" s="100"/>
      <c r="G695" s="101"/>
      <c r="H695" s="100"/>
      <c r="I695" s="102"/>
      <c r="J695" s="26"/>
      <c r="K695" s="103"/>
      <c r="L695" s="47"/>
      <c r="M695" s="30"/>
      <c r="N695" s="104"/>
      <c r="O695" s="104"/>
      <c r="P695" s="26"/>
      <c r="Q695" s="26"/>
      <c r="R695" s="26"/>
      <c r="S695" s="30"/>
      <c r="T695" s="84"/>
      <c r="U695" s="84"/>
      <c r="V695" s="105"/>
      <c r="W695" s="106"/>
      <c r="X695" s="33"/>
      <c r="Y695" s="34"/>
      <c r="Z695" s="34"/>
      <c r="AA695" s="34"/>
      <c r="AB695" s="34"/>
      <c r="AC695" s="107"/>
      <c r="AD695" s="35"/>
      <c r="AE695" s="35"/>
      <c r="AF695" s="35"/>
      <c r="AG695" s="35"/>
      <c r="AH695" s="35"/>
      <c r="AI695" s="34"/>
      <c r="AJ695" s="35"/>
      <c r="AK695" s="35"/>
      <c r="AL695" s="34"/>
      <c r="AM695" s="34"/>
      <c r="AN695" s="46"/>
      <c r="AO695" s="48"/>
      <c r="AP695" s="48"/>
      <c r="AQ695" s="48"/>
      <c r="AR695" s="48"/>
      <c r="AS695" s="48"/>
      <c r="AT695" s="48"/>
      <c r="AU695" s="48"/>
      <c r="AV695" s="48"/>
      <c r="AW695" s="48"/>
      <c r="AX695" s="48"/>
      <c r="AY695" s="43"/>
      <c r="AZ695" s="48"/>
      <c r="BA695" s="48"/>
      <c r="BB695" s="48"/>
      <c r="BC695" s="43"/>
      <c r="BD695" s="43"/>
      <c r="BE695" s="44"/>
      <c r="BF695" s="48"/>
      <c r="BG695" s="43"/>
    </row>
    <row r="696">
      <c r="A696" s="98"/>
      <c r="B696" s="99"/>
      <c r="C696" s="99"/>
      <c r="D696" s="21"/>
      <c r="E696" s="22"/>
      <c r="F696" s="100"/>
      <c r="G696" s="101"/>
      <c r="H696" s="100"/>
      <c r="I696" s="102"/>
      <c r="J696" s="26"/>
      <c r="K696" s="103"/>
      <c r="L696" s="47"/>
      <c r="M696" s="30"/>
      <c r="N696" s="104"/>
      <c r="O696" s="104"/>
      <c r="P696" s="26"/>
      <c r="Q696" s="26"/>
      <c r="R696" s="26"/>
      <c r="S696" s="30"/>
      <c r="T696" s="84"/>
      <c r="U696" s="84"/>
      <c r="V696" s="105"/>
      <c r="W696" s="106"/>
      <c r="X696" s="33"/>
      <c r="Y696" s="34"/>
      <c r="Z696" s="34"/>
      <c r="AA696" s="34"/>
      <c r="AB696" s="34"/>
      <c r="AC696" s="107"/>
      <c r="AD696" s="35"/>
      <c r="AE696" s="35"/>
      <c r="AF696" s="35"/>
      <c r="AG696" s="35"/>
      <c r="AH696" s="35"/>
      <c r="AI696" s="34"/>
      <c r="AJ696" s="35"/>
      <c r="AK696" s="35"/>
      <c r="AL696" s="34"/>
      <c r="AM696" s="34"/>
      <c r="AN696" s="46"/>
      <c r="AO696" s="48"/>
      <c r="AP696" s="48"/>
      <c r="AQ696" s="48"/>
      <c r="AR696" s="48"/>
      <c r="AS696" s="48"/>
      <c r="AT696" s="48"/>
      <c r="AU696" s="48"/>
      <c r="AV696" s="48"/>
      <c r="AW696" s="48"/>
      <c r="AX696" s="48"/>
      <c r="AY696" s="43"/>
      <c r="AZ696" s="48"/>
      <c r="BA696" s="48"/>
      <c r="BB696" s="48"/>
      <c r="BC696" s="43"/>
      <c r="BD696" s="43"/>
      <c r="BE696" s="44"/>
      <c r="BF696" s="48"/>
      <c r="BG696" s="43"/>
    </row>
    <row r="697">
      <c r="A697" s="98"/>
      <c r="B697" s="99"/>
      <c r="C697" s="99"/>
      <c r="D697" s="21"/>
      <c r="E697" s="22"/>
      <c r="F697" s="100"/>
      <c r="G697" s="101"/>
      <c r="H697" s="100"/>
      <c r="I697" s="102"/>
      <c r="J697" s="26"/>
      <c r="K697" s="103"/>
      <c r="L697" s="47"/>
      <c r="M697" s="30"/>
      <c r="N697" s="104"/>
      <c r="O697" s="104"/>
      <c r="P697" s="26"/>
      <c r="Q697" s="26"/>
      <c r="R697" s="26"/>
      <c r="S697" s="30"/>
      <c r="T697" s="84"/>
      <c r="U697" s="84"/>
      <c r="V697" s="105"/>
      <c r="W697" s="106"/>
      <c r="X697" s="33"/>
      <c r="Y697" s="34"/>
      <c r="Z697" s="34"/>
      <c r="AA697" s="34"/>
      <c r="AB697" s="34"/>
      <c r="AC697" s="107"/>
      <c r="AD697" s="35"/>
      <c r="AE697" s="35"/>
      <c r="AF697" s="35"/>
      <c r="AG697" s="35"/>
      <c r="AH697" s="35"/>
      <c r="AI697" s="34"/>
      <c r="AJ697" s="35"/>
      <c r="AK697" s="35"/>
      <c r="AL697" s="34"/>
      <c r="AM697" s="34"/>
      <c r="AN697" s="46"/>
      <c r="AO697" s="48"/>
      <c r="AP697" s="48"/>
      <c r="AQ697" s="48"/>
      <c r="AR697" s="48"/>
      <c r="AS697" s="48"/>
      <c r="AT697" s="48"/>
      <c r="AU697" s="48"/>
      <c r="AV697" s="48"/>
      <c r="AW697" s="48"/>
      <c r="AX697" s="48"/>
      <c r="AY697" s="43"/>
      <c r="AZ697" s="48"/>
      <c r="BA697" s="48"/>
      <c r="BB697" s="48"/>
      <c r="BC697" s="43"/>
      <c r="BD697" s="43"/>
      <c r="BE697" s="44"/>
      <c r="BF697" s="48"/>
      <c r="BG697" s="43"/>
    </row>
    <row r="698">
      <c r="A698" s="98"/>
      <c r="B698" s="99"/>
      <c r="C698" s="99"/>
      <c r="D698" s="21"/>
      <c r="E698" s="22"/>
      <c r="F698" s="100"/>
      <c r="G698" s="101"/>
      <c r="H698" s="100"/>
      <c r="I698" s="102"/>
      <c r="J698" s="26"/>
      <c r="K698" s="103"/>
      <c r="L698" s="47"/>
      <c r="M698" s="30"/>
      <c r="N698" s="104"/>
      <c r="O698" s="104"/>
      <c r="P698" s="26"/>
      <c r="Q698" s="26"/>
      <c r="R698" s="26"/>
      <c r="S698" s="30"/>
      <c r="T698" s="84"/>
      <c r="U698" s="84"/>
      <c r="V698" s="105"/>
      <c r="W698" s="106"/>
      <c r="X698" s="33"/>
      <c r="Y698" s="34"/>
      <c r="Z698" s="34"/>
      <c r="AA698" s="34"/>
      <c r="AB698" s="34"/>
      <c r="AC698" s="107"/>
      <c r="AD698" s="35"/>
      <c r="AE698" s="35"/>
      <c r="AF698" s="35"/>
      <c r="AG698" s="35"/>
      <c r="AH698" s="35"/>
      <c r="AI698" s="34"/>
      <c r="AJ698" s="35"/>
      <c r="AK698" s="35"/>
      <c r="AL698" s="34"/>
      <c r="AM698" s="34"/>
      <c r="AN698" s="46"/>
      <c r="AO698" s="48"/>
      <c r="AP698" s="48"/>
      <c r="AQ698" s="48"/>
      <c r="AR698" s="48"/>
      <c r="AS698" s="48"/>
      <c r="AT698" s="48"/>
      <c r="AU698" s="48"/>
      <c r="AV698" s="48"/>
      <c r="AW698" s="48"/>
      <c r="AX698" s="48"/>
      <c r="AY698" s="43"/>
      <c r="AZ698" s="48"/>
      <c r="BA698" s="48"/>
      <c r="BB698" s="48"/>
      <c r="BC698" s="43"/>
      <c r="BD698" s="43"/>
      <c r="BE698" s="44"/>
      <c r="BF698" s="48"/>
      <c r="BG698" s="43"/>
    </row>
    <row r="699">
      <c r="A699" s="98"/>
      <c r="B699" s="99"/>
      <c r="C699" s="99"/>
      <c r="D699" s="21"/>
      <c r="E699" s="22"/>
      <c r="F699" s="100"/>
      <c r="G699" s="101"/>
      <c r="H699" s="100"/>
      <c r="I699" s="102"/>
      <c r="J699" s="26"/>
      <c r="K699" s="103"/>
      <c r="L699" s="47"/>
      <c r="M699" s="30"/>
      <c r="N699" s="104"/>
      <c r="O699" s="104"/>
      <c r="P699" s="26"/>
      <c r="Q699" s="26"/>
      <c r="R699" s="26"/>
      <c r="S699" s="30"/>
      <c r="T699" s="84"/>
      <c r="U699" s="84"/>
      <c r="V699" s="105"/>
      <c r="W699" s="106"/>
      <c r="X699" s="33"/>
      <c r="Y699" s="34"/>
      <c r="Z699" s="34"/>
      <c r="AA699" s="34"/>
      <c r="AB699" s="34"/>
      <c r="AC699" s="107"/>
      <c r="AD699" s="35"/>
      <c r="AE699" s="35"/>
      <c r="AF699" s="35"/>
      <c r="AG699" s="35"/>
      <c r="AH699" s="35"/>
      <c r="AI699" s="34"/>
      <c r="AJ699" s="35"/>
      <c r="AK699" s="35"/>
      <c r="AL699" s="34"/>
      <c r="AM699" s="34"/>
      <c r="AN699" s="46"/>
      <c r="AO699" s="48"/>
      <c r="AP699" s="48"/>
      <c r="AQ699" s="48"/>
      <c r="AR699" s="48"/>
      <c r="AS699" s="48"/>
      <c r="AT699" s="48"/>
      <c r="AU699" s="48"/>
      <c r="AV699" s="48"/>
      <c r="AW699" s="48"/>
      <c r="AX699" s="48"/>
      <c r="AY699" s="43"/>
      <c r="AZ699" s="48"/>
      <c r="BA699" s="48"/>
      <c r="BB699" s="48"/>
      <c r="BC699" s="43"/>
      <c r="BD699" s="43"/>
      <c r="BE699" s="44"/>
      <c r="BF699" s="48"/>
      <c r="BG699" s="43"/>
    </row>
    <row r="700">
      <c r="A700" s="98"/>
      <c r="B700" s="99"/>
      <c r="C700" s="99"/>
      <c r="D700" s="21"/>
      <c r="E700" s="22"/>
      <c r="F700" s="100"/>
      <c r="G700" s="101"/>
      <c r="H700" s="100"/>
      <c r="I700" s="102"/>
      <c r="J700" s="26"/>
      <c r="K700" s="103"/>
      <c r="L700" s="47"/>
      <c r="M700" s="30"/>
      <c r="N700" s="104"/>
      <c r="O700" s="104"/>
      <c r="P700" s="26"/>
      <c r="Q700" s="26"/>
      <c r="R700" s="26"/>
      <c r="S700" s="30"/>
      <c r="T700" s="84"/>
      <c r="U700" s="84"/>
      <c r="V700" s="105"/>
      <c r="W700" s="106"/>
      <c r="X700" s="33"/>
      <c r="Y700" s="34"/>
      <c r="Z700" s="34"/>
      <c r="AA700" s="34"/>
      <c r="AB700" s="34"/>
      <c r="AC700" s="107"/>
      <c r="AD700" s="35"/>
      <c r="AE700" s="35"/>
      <c r="AF700" s="35"/>
      <c r="AG700" s="35"/>
      <c r="AH700" s="35"/>
      <c r="AI700" s="34"/>
      <c r="AJ700" s="35"/>
      <c r="AK700" s="35"/>
      <c r="AL700" s="34"/>
      <c r="AM700" s="34"/>
      <c r="AN700" s="46"/>
      <c r="AO700" s="48"/>
      <c r="AP700" s="48"/>
      <c r="AQ700" s="48"/>
      <c r="AR700" s="48"/>
      <c r="AS700" s="48"/>
      <c r="AT700" s="48"/>
      <c r="AU700" s="48"/>
      <c r="AV700" s="48"/>
      <c r="AW700" s="48"/>
      <c r="AX700" s="48"/>
      <c r="AY700" s="43"/>
      <c r="AZ700" s="48"/>
      <c r="BA700" s="48"/>
      <c r="BB700" s="48"/>
      <c r="BC700" s="43"/>
      <c r="BD700" s="43"/>
      <c r="BE700" s="44"/>
      <c r="BF700" s="48"/>
      <c r="BG700" s="43"/>
    </row>
    <row r="701">
      <c r="A701" s="98"/>
      <c r="B701" s="99"/>
      <c r="C701" s="99"/>
      <c r="D701" s="21"/>
      <c r="E701" s="22"/>
      <c r="F701" s="100"/>
      <c r="G701" s="101"/>
      <c r="H701" s="100"/>
      <c r="I701" s="102"/>
      <c r="J701" s="26"/>
      <c r="K701" s="103"/>
      <c r="L701" s="47"/>
      <c r="M701" s="30"/>
      <c r="N701" s="104"/>
      <c r="O701" s="104"/>
      <c r="P701" s="26"/>
      <c r="Q701" s="26"/>
      <c r="R701" s="26"/>
      <c r="S701" s="30"/>
      <c r="T701" s="84"/>
      <c r="U701" s="84"/>
      <c r="V701" s="105"/>
      <c r="W701" s="106"/>
      <c r="X701" s="33"/>
      <c r="Y701" s="34"/>
      <c r="Z701" s="34"/>
      <c r="AA701" s="34"/>
      <c r="AB701" s="34"/>
      <c r="AC701" s="107"/>
      <c r="AD701" s="35"/>
      <c r="AE701" s="35"/>
      <c r="AF701" s="35"/>
      <c r="AG701" s="35"/>
      <c r="AH701" s="35"/>
      <c r="AI701" s="34"/>
      <c r="AJ701" s="35"/>
      <c r="AK701" s="35"/>
      <c r="AL701" s="34"/>
      <c r="AM701" s="34"/>
      <c r="AN701" s="46"/>
      <c r="AO701" s="48"/>
      <c r="AP701" s="48"/>
      <c r="AQ701" s="48"/>
      <c r="AR701" s="48"/>
      <c r="AS701" s="48"/>
      <c r="AT701" s="48"/>
      <c r="AU701" s="48"/>
      <c r="AV701" s="48"/>
      <c r="AW701" s="48"/>
      <c r="AX701" s="48"/>
      <c r="AY701" s="43"/>
      <c r="AZ701" s="48"/>
      <c r="BA701" s="48"/>
      <c r="BB701" s="48"/>
      <c r="BC701" s="43"/>
      <c r="BD701" s="43"/>
      <c r="BE701" s="44"/>
      <c r="BF701" s="48"/>
      <c r="BG701" s="43"/>
    </row>
    <row r="702">
      <c r="A702" s="98"/>
      <c r="B702" s="99"/>
      <c r="C702" s="99"/>
      <c r="D702" s="21"/>
      <c r="E702" s="22"/>
      <c r="F702" s="100"/>
      <c r="G702" s="101"/>
      <c r="H702" s="100"/>
      <c r="I702" s="102"/>
      <c r="J702" s="26"/>
      <c r="K702" s="103"/>
      <c r="L702" s="47"/>
      <c r="M702" s="30"/>
      <c r="N702" s="104"/>
      <c r="O702" s="104"/>
      <c r="P702" s="26"/>
      <c r="Q702" s="26"/>
      <c r="R702" s="26"/>
      <c r="S702" s="30"/>
      <c r="T702" s="84"/>
      <c r="U702" s="84"/>
      <c r="V702" s="105"/>
      <c r="W702" s="106"/>
      <c r="X702" s="33"/>
      <c r="Y702" s="34"/>
      <c r="Z702" s="34"/>
      <c r="AA702" s="34"/>
      <c r="AB702" s="34"/>
      <c r="AC702" s="107"/>
      <c r="AD702" s="35"/>
      <c r="AE702" s="35"/>
      <c r="AF702" s="35"/>
      <c r="AG702" s="35"/>
      <c r="AH702" s="35"/>
      <c r="AI702" s="34"/>
      <c r="AJ702" s="35"/>
      <c r="AK702" s="35"/>
      <c r="AL702" s="34"/>
      <c r="AM702" s="34"/>
      <c r="AN702" s="46"/>
      <c r="AO702" s="48"/>
      <c r="AP702" s="48"/>
      <c r="AQ702" s="48"/>
      <c r="AR702" s="48"/>
      <c r="AS702" s="48"/>
      <c r="AT702" s="48"/>
      <c r="AU702" s="48"/>
      <c r="AV702" s="48"/>
      <c r="AW702" s="48"/>
      <c r="AX702" s="48"/>
      <c r="AY702" s="43"/>
      <c r="AZ702" s="48"/>
      <c r="BA702" s="48"/>
      <c r="BB702" s="48"/>
      <c r="BC702" s="43"/>
      <c r="BD702" s="43"/>
      <c r="BE702" s="44"/>
      <c r="BF702" s="48"/>
      <c r="BG702" s="43"/>
    </row>
    <row r="703">
      <c r="A703" s="98"/>
      <c r="B703" s="99"/>
      <c r="C703" s="99"/>
      <c r="D703" s="21"/>
      <c r="E703" s="22"/>
      <c r="F703" s="100"/>
      <c r="G703" s="101"/>
      <c r="H703" s="100"/>
      <c r="I703" s="102"/>
      <c r="J703" s="26"/>
      <c r="K703" s="103"/>
      <c r="L703" s="47"/>
      <c r="M703" s="30"/>
      <c r="N703" s="104"/>
      <c r="O703" s="104"/>
      <c r="P703" s="26"/>
      <c r="Q703" s="26"/>
      <c r="R703" s="26"/>
      <c r="S703" s="30"/>
      <c r="T703" s="84"/>
      <c r="U703" s="84"/>
      <c r="V703" s="105"/>
      <c r="W703" s="106"/>
      <c r="X703" s="33"/>
      <c r="Y703" s="34"/>
      <c r="Z703" s="34"/>
      <c r="AA703" s="34"/>
      <c r="AB703" s="34"/>
      <c r="AC703" s="107"/>
      <c r="AD703" s="35"/>
      <c r="AE703" s="35"/>
      <c r="AF703" s="35"/>
      <c r="AG703" s="35"/>
      <c r="AH703" s="35"/>
      <c r="AI703" s="34"/>
      <c r="AJ703" s="35"/>
      <c r="AK703" s="35"/>
      <c r="AL703" s="34"/>
      <c r="AM703" s="34"/>
      <c r="AN703" s="46"/>
      <c r="AO703" s="48"/>
      <c r="AP703" s="48"/>
      <c r="AQ703" s="48"/>
      <c r="AR703" s="48"/>
      <c r="AS703" s="48"/>
      <c r="AT703" s="48"/>
      <c r="AU703" s="48"/>
      <c r="AV703" s="48"/>
      <c r="AW703" s="48"/>
      <c r="AX703" s="48"/>
      <c r="AY703" s="43"/>
      <c r="AZ703" s="48"/>
      <c r="BA703" s="48"/>
      <c r="BB703" s="48"/>
      <c r="BC703" s="43"/>
      <c r="BD703" s="43"/>
      <c r="BE703" s="44"/>
      <c r="BF703" s="48"/>
      <c r="BG703" s="43"/>
    </row>
    <row r="704">
      <c r="A704" s="98"/>
      <c r="B704" s="99"/>
      <c r="C704" s="99"/>
      <c r="D704" s="21"/>
      <c r="E704" s="22"/>
      <c r="F704" s="100"/>
      <c r="G704" s="101"/>
      <c r="H704" s="100"/>
      <c r="I704" s="102"/>
      <c r="J704" s="26"/>
      <c r="K704" s="103"/>
      <c r="L704" s="47"/>
      <c r="M704" s="30"/>
      <c r="N704" s="104"/>
      <c r="O704" s="104"/>
      <c r="P704" s="26"/>
      <c r="Q704" s="26"/>
      <c r="R704" s="26"/>
      <c r="S704" s="30"/>
      <c r="T704" s="84"/>
      <c r="U704" s="84"/>
      <c r="V704" s="105"/>
      <c r="W704" s="106"/>
      <c r="X704" s="33"/>
      <c r="Y704" s="34"/>
      <c r="Z704" s="34"/>
      <c r="AA704" s="34"/>
      <c r="AB704" s="34"/>
      <c r="AC704" s="107"/>
      <c r="AD704" s="35"/>
      <c r="AE704" s="35"/>
      <c r="AF704" s="35"/>
      <c r="AG704" s="35"/>
      <c r="AH704" s="35"/>
      <c r="AI704" s="34"/>
      <c r="AJ704" s="35"/>
      <c r="AK704" s="35"/>
      <c r="AL704" s="34"/>
      <c r="AM704" s="34"/>
      <c r="AN704" s="46"/>
      <c r="AO704" s="48"/>
      <c r="AP704" s="48"/>
      <c r="AQ704" s="48"/>
      <c r="AR704" s="48"/>
      <c r="AS704" s="48"/>
      <c r="AT704" s="48"/>
      <c r="AU704" s="48"/>
      <c r="AV704" s="48"/>
      <c r="AW704" s="48"/>
      <c r="AX704" s="48"/>
      <c r="AY704" s="43"/>
      <c r="AZ704" s="48"/>
      <c r="BA704" s="48"/>
      <c r="BB704" s="48"/>
      <c r="BC704" s="43"/>
      <c r="BD704" s="43"/>
      <c r="BE704" s="44"/>
      <c r="BF704" s="48"/>
      <c r="BG704" s="43"/>
    </row>
    <row r="705">
      <c r="A705" s="98"/>
      <c r="B705" s="99"/>
      <c r="C705" s="99"/>
      <c r="D705" s="21"/>
      <c r="E705" s="22"/>
      <c r="F705" s="100"/>
      <c r="G705" s="101"/>
      <c r="H705" s="100"/>
      <c r="I705" s="102"/>
      <c r="J705" s="26"/>
      <c r="K705" s="103"/>
      <c r="L705" s="47"/>
      <c r="M705" s="30"/>
      <c r="N705" s="104"/>
      <c r="O705" s="104"/>
      <c r="P705" s="26"/>
      <c r="Q705" s="26"/>
      <c r="R705" s="26"/>
      <c r="S705" s="30"/>
      <c r="T705" s="84"/>
      <c r="U705" s="84"/>
      <c r="V705" s="105"/>
      <c r="W705" s="106"/>
      <c r="X705" s="33"/>
      <c r="Y705" s="34"/>
      <c r="Z705" s="34"/>
      <c r="AA705" s="34"/>
      <c r="AB705" s="34"/>
      <c r="AC705" s="107"/>
      <c r="AD705" s="35"/>
      <c r="AE705" s="35"/>
      <c r="AF705" s="35"/>
      <c r="AG705" s="35"/>
      <c r="AH705" s="35"/>
      <c r="AI705" s="34"/>
      <c r="AJ705" s="35"/>
      <c r="AK705" s="35"/>
      <c r="AL705" s="34"/>
      <c r="AM705" s="34"/>
      <c r="AN705" s="46"/>
      <c r="AO705" s="48"/>
      <c r="AP705" s="48"/>
      <c r="AQ705" s="48"/>
      <c r="AR705" s="48"/>
      <c r="AS705" s="48"/>
      <c r="AT705" s="48"/>
      <c r="AU705" s="48"/>
      <c r="AV705" s="48"/>
      <c r="AW705" s="48"/>
      <c r="AX705" s="48"/>
      <c r="AY705" s="43"/>
      <c r="AZ705" s="48"/>
      <c r="BA705" s="48"/>
      <c r="BB705" s="48"/>
      <c r="BC705" s="43"/>
      <c r="BD705" s="43"/>
      <c r="BE705" s="44"/>
      <c r="BF705" s="48"/>
      <c r="BG705" s="43"/>
    </row>
    <row r="706">
      <c r="A706" s="98"/>
      <c r="B706" s="99"/>
      <c r="C706" s="99"/>
      <c r="D706" s="21"/>
      <c r="E706" s="22"/>
      <c r="F706" s="100"/>
      <c r="G706" s="101"/>
      <c r="H706" s="100"/>
      <c r="I706" s="102"/>
      <c r="J706" s="26"/>
      <c r="K706" s="103"/>
      <c r="L706" s="47"/>
      <c r="M706" s="30"/>
      <c r="N706" s="104"/>
      <c r="O706" s="104"/>
      <c r="P706" s="26"/>
      <c r="Q706" s="26"/>
      <c r="R706" s="26"/>
      <c r="S706" s="30"/>
      <c r="T706" s="84"/>
      <c r="U706" s="84"/>
      <c r="V706" s="105"/>
      <c r="W706" s="106"/>
      <c r="X706" s="33"/>
      <c r="Y706" s="34"/>
      <c r="Z706" s="34"/>
      <c r="AA706" s="34"/>
      <c r="AB706" s="34"/>
      <c r="AC706" s="107"/>
      <c r="AD706" s="35"/>
      <c r="AE706" s="35"/>
      <c r="AF706" s="35"/>
      <c r="AG706" s="35"/>
      <c r="AH706" s="35"/>
      <c r="AI706" s="34"/>
      <c r="AJ706" s="35"/>
      <c r="AK706" s="35"/>
      <c r="AL706" s="34"/>
      <c r="AM706" s="34"/>
      <c r="AN706" s="46"/>
      <c r="AO706" s="48"/>
      <c r="AP706" s="48"/>
      <c r="AQ706" s="48"/>
      <c r="AR706" s="48"/>
      <c r="AS706" s="48"/>
      <c r="AT706" s="48"/>
      <c r="AU706" s="48"/>
      <c r="AV706" s="48"/>
      <c r="AW706" s="48"/>
      <c r="AX706" s="48"/>
      <c r="AY706" s="43"/>
      <c r="AZ706" s="48"/>
      <c r="BA706" s="48"/>
      <c r="BB706" s="48"/>
      <c r="BC706" s="43"/>
      <c r="BD706" s="43"/>
      <c r="BE706" s="44"/>
      <c r="BF706" s="48"/>
      <c r="BG706" s="43"/>
    </row>
    <row r="707">
      <c r="A707" s="98"/>
      <c r="B707" s="99"/>
      <c r="C707" s="99"/>
      <c r="D707" s="21"/>
      <c r="E707" s="22"/>
      <c r="F707" s="100"/>
      <c r="G707" s="101"/>
      <c r="H707" s="100"/>
      <c r="I707" s="102"/>
      <c r="J707" s="26"/>
      <c r="K707" s="103"/>
      <c r="L707" s="47"/>
      <c r="M707" s="30"/>
      <c r="N707" s="104"/>
      <c r="O707" s="104"/>
      <c r="P707" s="26"/>
      <c r="Q707" s="26"/>
      <c r="R707" s="26"/>
      <c r="S707" s="30"/>
      <c r="T707" s="84"/>
      <c r="U707" s="84"/>
      <c r="V707" s="105"/>
      <c r="W707" s="106"/>
      <c r="X707" s="33"/>
      <c r="Y707" s="34"/>
      <c r="Z707" s="34"/>
      <c r="AA707" s="34"/>
      <c r="AB707" s="34"/>
      <c r="AC707" s="107"/>
      <c r="AD707" s="35"/>
      <c r="AE707" s="35"/>
      <c r="AF707" s="35"/>
      <c r="AG707" s="35"/>
      <c r="AH707" s="35"/>
      <c r="AI707" s="34"/>
      <c r="AJ707" s="35"/>
      <c r="AK707" s="35"/>
      <c r="AL707" s="34"/>
      <c r="AM707" s="34"/>
      <c r="AN707" s="46"/>
      <c r="AO707" s="48"/>
      <c r="AP707" s="48"/>
      <c r="AQ707" s="48"/>
      <c r="AR707" s="48"/>
      <c r="AS707" s="48"/>
      <c r="AT707" s="48"/>
      <c r="AU707" s="48"/>
      <c r="AV707" s="48"/>
      <c r="AW707" s="48"/>
      <c r="AX707" s="48"/>
      <c r="AY707" s="43"/>
      <c r="AZ707" s="48"/>
      <c r="BA707" s="48"/>
      <c r="BB707" s="48"/>
      <c r="BC707" s="43"/>
      <c r="BD707" s="43"/>
      <c r="BE707" s="44"/>
      <c r="BF707" s="48"/>
      <c r="BG707" s="43"/>
    </row>
    <row r="708">
      <c r="A708" s="98"/>
      <c r="B708" s="99"/>
      <c r="C708" s="99"/>
      <c r="D708" s="21"/>
      <c r="E708" s="22"/>
      <c r="F708" s="100"/>
      <c r="G708" s="101"/>
      <c r="H708" s="100"/>
      <c r="I708" s="102"/>
      <c r="J708" s="26"/>
      <c r="K708" s="103"/>
      <c r="L708" s="47"/>
      <c r="M708" s="30"/>
      <c r="N708" s="104"/>
      <c r="O708" s="104"/>
      <c r="P708" s="26"/>
      <c r="Q708" s="26"/>
      <c r="R708" s="26"/>
      <c r="S708" s="30"/>
      <c r="T708" s="84"/>
      <c r="U708" s="84"/>
      <c r="V708" s="105"/>
      <c r="W708" s="106"/>
      <c r="X708" s="33"/>
      <c r="Y708" s="34"/>
      <c r="Z708" s="34"/>
      <c r="AA708" s="34"/>
      <c r="AB708" s="34"/>
      <c r="AC708" s="107"/>
      <c r="AD708" s="35"/>
      <c r="AE708" s="35"/>
      <c r="AF708" s="35"/>
      <c r="AG708" s="35"/>
      <c r="AH708" s="35"/>
      <c r="AI708" s="34"/>
      <c r="AJ708" s="35"/>
      <c r="AK708" s="35"/>
      <c r="AL708" s="34"/>
      <c r="AM708" s="34"/>
      <c r="AN708" s="46"/>
      <c r="AO708" s="48"/>
      <c r="AP708" s="48"/>
      <c r="AQ708" s="48"/>
      <c r="AR708" s="48"/>
      <c r="AS708" s="48"/>
      <c r="AT708" s="48"/>
      <c r="AU708" s="48"/>
      <c r="AV708" s="48"/>
      <c r="AW708" s="48"/>
      <c r="AX708" s="48"/>
      <c r="AY708" s="43"/>
      <c r="AZ708" s="48"/>
      <c r="BA708" s="48"/>
      <c r="BB708" s="48"/>
      <c r="BC708" s="43"/>
      <c r="BD708" s="43"/>
      <c r="BE708" s="44"/>
      <c r="BF708" s="48"/>
      <c r="BG708" s="43"/>
    </row>
    <row r="709">
      <c r="A709" s="98"/>
      <c r="B709" s="99"/>
      <c r="C709" s="99"/>
      <c r="D709" s="21"/>
      <c r="E709" s="22"/>
      <c r="F709" s="100"/>
      <c r="G709" s="101"/>
      <c r="H709" s="100"/>
      <c r="I709" s="102"/>
      <c r="J709" s="26"/>
      <c r="K709" s="103"/>
      <c r="L709" s="47"/>
      <c r="M709" s="30"/>
      <c r="N709" s="104"/>
      <c r="O709" s="104"/>
      <c r="P709" s="26"/>
      <c r="Q709" s="26"/>
      <c r="R709" s="26"/>
      <c r="S709" s="30"/>
      <c r="T709" s="84"/>
      <c r="U709" s="84"/>
      <c r="V709" s="105"/>
      <c r="W709" s="106"/>
      <c r="X709" s="33"/>
      <c r="Y709" s="34"/>
      <c r="Z709" s="34"/>
      <c r="AA709" s="34"/>
      <c r="AB709" s="34"/>
      <c r="AC709" s="107"/>
      <c r="AD709" s="35"/>
      <c r="AE709" s="35"/>
      <c r="AF709" s="35"/>
      <c r="AG709" s="35"/>
      <c r="AH709" s="35"/>
      <c r="AI709" s="34"/>
      <c r="AJ709" s="35"/>
      <c r="AK709" s="35"/>
      <c r="AL709" s="34"/>
      <c r="AM709" s="34"/>
      <c r="AN709" s="46"/>
      <c r="AO709" s="48"/>
      <c r="AP709" s="48"/>
      <c r="AQ709" s="48"/>
      <c r="AR709" s="48"/>
      <c r="AS709" s="48"/>
      <c r="AT709" s="48"/>
      <c r="AU709" s="48"/>
      <c r="AV709" s="48"/>
      <c r="AW709" s="48"/>
      <c r="AX709" s="48"/>
      <c r="AY709" s="43"/>
      <c r="AZ709" s="48"/>
      <c r="BA709" s="48"/>
      <c r="BB709" s="48"/>
      <c r="BC709" s="43"/>
      <c r="BD709" s="43"/>
      <c r="BE709" s="44"/>
      <c r="BF709" s="48"/>
      <c r="BG709" s="43"/>
    </row>
    <row r="710">
      <c r="A710" s="98"/>
      <c r="B710" s="99"/>
      <c r="C710" s="99"/>
      <c r="D710" s="21"/>
      <c r="E710" s="22"/>
      <c r="F710" s="100"/>
      <c r="G710" s="101"/>
      <c r="H710" s="100"/>
      <c r="I710" s="102"/>
      <c r="J710" s="26"/>
      <c r="K710" s="103"/>
      <c r="L710" s="47"/>
      <c r="M710" s="30"/>
      <c r="N710" s="104"/>
      <c r="O710" s="104"/>
      <c r="P710" s="26"/>
      <c r="Q710" s="26"/>
      <c r="R710" s="26"/>
      <c r="S710" s="30"/>
      <c r="T710" s="84"/>
      <c r="U710" s="84"/>
      <c r="V710" s="105"/>
      <c r="W710" s="106"/>
      <c r="X710" s="33"/>
      <c r="Y710" s="34"/>
      <c r="Z710" s="34"/>
      <c r="AA710" s="34"/>
      <c r="AB710" s="34"/>
      <c r="AC710" s="107"/>
      <c r="AD710" s="35"/>
      <c r="AE710" s="35"/>
      <c r="AF710" s="35"/>
      <c r="AG710" s="35"/>
      <c r="AH710" s="35"/>
      <c r="AI710" s="34"/>
      <c r="AJ710" s="35"/>
      <c r="AK710" s="35"/>
      <c r="AL710" s="34"/>
      <c r="AM710" s="34"/>
      <c r="AN710" s="46"/>
      <c r="AO710" s="48"/>
      <c r="AP710" s="48"/>
      <c r="AQ710" s="48"/>
      <c r="AR710" s="48"/>
      <c r="AS710" s="48"/>
      <c r="AT710" s="48"/>
      <c r="AU710" s="48"/>
      <c r="AV710" s="48"/>
      <c r="AW710" s="48"/>
      <c r="AX710" s="48"/>
      <c r="AY710" s="43"/>
      <c r="AZ710" s="48"/>
      <c r="BA710" s="48"/>
      <c r="BB710" s="48"/>
      <c r="BC710" s="43"/>
      <c r="BD710" s="43"/>
      <c r="BE710" s="44"/>
      <c r="BF710" s="48"/>
      <c r="BG710" s="43"/>
    </row>
    <row r="711">
      <c r="A711" s="98"/>
      <c r="B711" s="99"/>
      <c r="C711" s="99"/>
      <c r="D711" s="21"/>
      <c r="E711" s="22"/>
      <c r="F711" s="100"/>
      <c r="G711" s="101"/>
      <c r="H711" s="100"/>
      <c r="I711" s="102"/>
      <c r="J711" s="26"/>
      <c r="K711" s="103"/>
      <c r="L711" s="47"/>
      <c r="M711" s="30"/>
      <c r="N711" s="104"/>
      <c r="O711" s="104"/>
      <c r="P711" s="26"/>
      <c r="Q711" s="26"/>
      <c r="R711" s="26"/>
      <c r="S711" s="30"/>
      <c r="T711" s="84"/>
      <c r="U711" s="84"/>
      <c r="V711" s="105"/>
      <c r="W711" s="106"/>
      <c r="X711" s="33"/>
      <c r="Y711" s="34"/>
      <c r="Z711" s="34"/>
      <c r="AA711" s="34"/>
      <c r="AB711" s="34"/>
      <c r="AC711" s="107"/>
      <c r="AD711" s="35"/>
      <c r="AE711" s="35"/>
      <c r="AF711" s="35"/>
      <c r="AG711" s="35"/>
      <c r="AH711" s="35"/>
      <c r="AI711" s="34"/>
      <c r="AJ711" s="35"/>
      <c r="AK711" s="35"/>
      <c r="AL711" s="34"/>
      <c r="AM711" s="34"/>
      <c r="AN711" s="46"/>
      <c r="AO711" s="48"/>
      <c r="AP711" s="48"/>
      <c r="AQ711" s="48"/>
      <c r="AR711" s="48"/>
      <c r="AS711" s="48"/>
      <c r="AT711" s="48"/>
      <c r="AU711" s="48"/>
      <c r="AV711" s="48"/>
      <c r="AW711" s="48"/>
      <c r="AX711" s="48"/>
      <c r="AY711" s="43"/>
      <c r="AZ711" s="48"/>
      <c r="BA711" s="48"/>
      <c r="BB711" s="48"/>
      <c r="BC711" s="43"/>
      <c r="BD711" s="43"/>
      <c r="BE711" s="44"/>
      <c r="BF711" s="48"/>
      <c r="BG711" s="43"/>
    </row>
    <row r="712">
      <c r="A712" s="98"/>
      <c r="B712" s="99"/>
      <c r="C712" s="99"/>
      <c r="D712" s="21"/>
      <c r="E712" s="22"/>
      <c r="F712" s="100"/>
      <c r="G712" s="101"/>
      <c r="H712" s="100"/>
      <c r="I712" s="102"/>
      <c r="J712" s="26"/>
      <c r="K712" s="103"/>
      <c r="L712" s="47"/>
      <c r="M712" s="30"/>
      <c r="N712" s="104"/>
      <c r="O712" s="104"/>
      <c r="P712" s="26"/>
      <c r="Q712" s="26"/>
      <c r="R712" s="26"/>
      <c r="S712" s="30"/>
      <c r="T712" s="84"/>
      <c r="U712" s="84"/>
      <c r="V712" s="105"/>
      <c r="W712" s="106"/>
      <c r="X712" s="33"/>
      <c r="Y712" s="34"/>
      <c r="Z712" s="34"/>
      <c r="AA712" s="34"/>
      <c r="AB712" s="34"/>
      <c r="AC712" s="107"/>
      <c r="AD712" s="35"/>
      <c r="AE712" s="35"/>
      <c r="AF712" s="35"/>
      <c r="AG712" s="35"/>
      <c r="AH712" s="35"/>
      <c r="AI712" s="34"/>
      <c r="AJ712" s="35"/>
      <c r="AK712" s="35"/>
      <c r="AL712" s="34"/>
      <c r="AM712" s="34"/>
      <c r="AN712" s="46"/>
      <c r="AO712" s="48"/>
      <c r="AP712" s="48"/>
      <c r="AQ712" s="48"/>
      <c r="AR712" s="48"/>
      <c r="AS712" s="48"/>
      <c r="AT712" s="48"/>
      <c r="AU712" s="48"/>
      <c r="AV712" s="48"/>
      <c r="AW712" s="48"/>
      <c r="AX712" s="48"/>
      <c r="AY712" s="43"/>
      <c r="AZ712" s="48"/>
      <c r="BA712" s="48"/>
      <c r="BB712" s="48"/>
      <c r="BC712" s="43"/>
      <c r="BD712" s="43"/>
      <c r="BE712" s="44"/>
      <c r="BF712" s="48"/>
      <c r="BG712" s="43"/>
    </row>
    <row r="713">
      <c r="A713" s="98"/>
      <c r="B713" s="99"/>
      <c r="C713" s="99"/>
      <c r="D713" s="21"/>
      <c r="E713" s="22"/>
      <c r="F713" s="100"/>
      <c r="G713" s="101"/>
      <c r="H713" s="100"/>
      <c r="I713" s="102"/>
      <c r="J713" s="26"/>
      <c r="K713" s="103"/>
      <c r="L713" s="47"/>
      <c r="M713" s="30"/>
      <c r="N713" s="104"/>
      <c r="O713" s="104"/>
      <c r="P713" s="26"/>
      <c r="Q713" s="26"/>
      <c r="R713" s="26"/>
      <c r="S713" s="30"/>
      <c r="T713" s="84"/>
      <c r="U713" s="84"/>
      <c r="V713" s="105"/>
      <c r="W713" s="106"/>
      <c r="X713" s="33"/>
      <c r="Y713" s="34"/>
      <c r="Z713" s="34"/>
      <c r="AA713" s="34"/>
      <c r="AB713" s="34"/>
      <c r="AC713" s="107"/>
      <c r="AD713" s="35"/>
      <c r="AE713" s="35"/>
      <c r="AF713" s="35"/>
      <c r="AG713" s="35"/>
      <c r="AH713" s="35"/>
      <c r="AI713" s="34"/>
      <c r="AJ713" s="35"/>
      <c r="AK713" s="35"/>
      <c r="AL713" s="34"/>
      <c r="AM713" s="34"/>
      <c r="AN713" s="46"/>
      <c r="AO713" s="48"/>
      <c r="AP713" s="48"/>
      <c r="AQ713" s="48"/>
      <c r="AR713" s="48"/>
      <c r="AS713" s="48"/>
      <c r="AT713" s="48"/>
      <c r="AU713" s="48"/>
      <c r="AV713" s="48"/>
      <c r="AW713" s="48"/>
      <c r="AX713" s="48"/>
      <c r="AY713" s="43"/>
      <c r="AZ713" s="48"/>
      <c r="BA713" s="48"/>
      <c r="BB713" s="48"/>
      <c r="BC713" s="43"/>
      <c r="BD713" s="43"/>
      <c r="BE713" s="44"/>
      <c r="BF713" s="48"/>
      <c r="BG713" s="43"/>
    </row>
    <row r="714">
      <c r="A714" s="98"/>
      <c r="B714" s="99"/>
      <c r="C714" s="99"/>
      <c r="D714" s="21"/>
      <c r="E714" s="22"/>
      <c r="F714" s="100"/>
      <c r="G714" s="101"/>
      <c r="H714" s="100"/>
      <c r="I714" s="102"/>
      <c r="J714" s="26"/>
      <c r="K714" s="103"/>
      <c r="L714" s="47"/>
      <c r="M714" s="30"/>
      <c r="N714" s="104"/>
      <c r="O714" s="104"/>
      <c r="P714" s="26"/>
      <c r="Q714" s="26"/>
      <c r="R714" s="26"/>
      <c r="S714" s="30"/>
      <c r="T714" s="84"/>
      <c r="U714" s="84"/>
      <c r="V714" s="105"/>
      <c r="W714" s="106"/>
      <c r="X714" s="33"/>
      <c r="Y714" s="34"/>
      <c r="Z714" s="34"/>
      <c r="AA714" s="34"/>
      <c r="AB714" s="34"/>
      <c r="AC714" s="107"/>
      <c r="AD714" s="35"/>
      <c r="AE714" s="35"/>
      <c r="AF714" s="35"/>
      <c r="AG714" s="35"/>
      <c r="AH714" s="35"/>
      <c r="AI714" s="34"/>
      <c r="AJ714" s="35"/>
      <c r="AK714" s="35"/>
      <c r="AL714" s="34"/>
      <c r="AM714" s="34"/>
      <c r="AN714" s="46"/>
      <c r="AO714" s="48"/>
      <c r="AP714" s="48"/>
      <c r="AQ714" s="48"/>
      <c r="AR714" s="48"/>
      <c r="AS714" s="48"/>
      <c r="AT714" s="48"/>
      <c r="AU714" s="48"/>
      <c r="AV714" s="48"/>
      <c r="AW714" s="48"/>
      <c r="AX714" s="48"/>
      <c r="AY714" s="43"/>
      <c r="AZ714" s="48"/>
      <c r="BA714" s="48"/>
      <c r="BB714" s="48"/>
      <c r="BC714" s="43"/>
      <c r="BD714" s="43"/>
      <c r="BE714" s="44"/>
      <c r="BF714" s="48"/>
      <c r="BG714" s="43"/>
    </row>
    <row r="715">
      <c r="A715" s="98"/>
      <c r="B715" s="99"/>
      <c r="C715" s="99"/>
      <c r="D715" s="21"/>
      <c r="E715" s="22"/>
      <c r="F715" s="100"/>
      <c r="G715" s="101"/>
      <c r="H715" s="100"/>
      <c r="I715" s="102"/>
      <c r="J715" s="26"/>
      <c r="K715" s="103"/>
      <c r="L715" s="47"/>
      <c r="M715" s="30"/>
      <c r="N715" s="104"/>
      <c r="O715" s="104"/>
      <c r="P715" s="26"/>
      <c r="Q715" s="26"/>
      <c r="R715" s="26"/>
      <c r="S715" s="30"/>
      <c r="T715" s="84"/>
      <c r="U715" s="84"/>
      <c r="V715" s="105"/>
      <c r="W715" s="106"/>
      <c r="X715" s="33"/>
      <c r="Y715" s="34"/>
      <c r="Z715" s="34"/>
      <c r="AA715" s="34"/>
      <c r="AB715" s="34"/>
      <c r="AC715" s="107"/>
      <c r="AD715" s="35"/>
      <c r="AE715" s="35"/>
      <c r="AF715" s="35"/>
      <c r="AG715" s="35"/>
      <c r="AH715" s="35"/>
      <c r="AI715" s="34"/>
      <c r="AJ715" s="35"/>
      <c r="AK715" s="35"/>
      <c r="AL715" s="34"/>
      <c r="AM715" s="34"/>
      <c r="AN715" s="46"/>
      <c r="AO715" s="48"/>
      <c r="AP715" s="48"/>
      <c r="AQ715" s="48"/>
      <c r="AR715" s="48"/>
      <c r="AS715" s="48"/>
      <c r="AT715" s="48"/>
      <c r="AU715" s="48"/>
      <c r="AV715" s="48"/>
      <c r="AW715" s="48"/>
      <c r="AX715" s="48"/>
      <c r="AY715" s="43"/>
      <c r="AZ715" s="48"/>
      <c r="BA715" s="48"/>
      <c r="BB715" s="48"/>
      <c r="BC715" s="43"/>
      <c r="BD715" s="43"/>
      <c r="BE715" s="44"/>
      <c r="BF715" s="48"/>
      <c r="BG715" s="43"/>
    </row>
    <row r="716">
      <c r="A716" s="98"/>
      <c r="B716" s="99"/>
      <c r="C716" s="99"/>
      <c r="D716" s="21"/>
      <c r="E716" s="22"/>
      <c r="F716" s="100"/>
      <c r="G716" s="101"/>
      <c r="H716" s="100"/>
      <c r="I716" s="102"/>
      <c r="J716" s="26"/>
      <c r="K716" s="103"/>
      <c r="L716" s="47"/>
      <c r="M716" s="30"/>
      <c r="N716" s="104"/>
      <c r="O716" s="104"/>
      <c r="P716" s="26"/>
      <c r="Q716" s="26"/>
      <c r="R716" s="26"/>
      <c r="S716" s="30"/>
      <c r="T716" s="84"/>
      <c r="U716" s="84"/>
      <c r="V716" s="105"/>
      <c r="W716" s="106"/>
      <c r="X716" s="33"/>
      <c r="Y716" s="34"/>
      <c r="Z716" s="34"/>
      <c r="AA716" s="34"/>
      <c r="AB716" s="34"/>
      <c r="AC716" s="107"/>
      <c r="AD716" s="35"/>
      <c r="AE716" s="35"/>
      <c r="AF716" s="35"/>
      <c r="AG716" s="35"/>
      <c r="AH716" s="35"/>
      <c r="AI716" s="34"/>
      <c r="AJ716" s="35"/>
      <c r="AK716" s="35"/>
      <c r="AL716" s="34"/>
      <c r="AM716" s="34"/>
      <c r="AN716" s="46"/>
      <c r="AO716" s="48"/>
      <c r="AP716" s="48"/>
      <c r="AQ716" s="48"/>
      <c r="AR716" s="48"/>
      <c r="AS716" s="48"/>
      <c r="AT716" s="48"/>
      <c r="AU716" s="48"/>
      <c r="AV716" s="48"/>
      <c r="AW716" s="48"/>
      <c r="AX716" s="48"/>
      <c r="AY716" s="43"/>
      <c r="AZ716" s="48"/>
      <c r="BA716" s="48"/>
      <c r="BB716" s="48"/>
      <c r="BC716" s="43"/>
      <c r="BD716" s="43"/>
      <c r="BE716" s="44"/>
      <c r="BF716" s="48"/>
      <c r="BG716" s="43"/>
    </row>
    <row r="717">
      <c r="A717" s="98"/>
      <c r="B717" s="99"/>
      <c r="C717" s="99"/>
      <c r="D717" s="21"/>
      <c r="E717" s="22"/>
      <c r="F717" s="100"/>
      <c r="G717" s="101"/>
      <c r="H717" s="100"/>
      <c r="I717" s="102"/>
      <c r="J717" s="26"/>
      <c r="K717" s="103"/>
      <c r="L717" s="47"/>
      <c r="M717" s="30"/>
      <c r="N717" s="104"/>
      <c r="O717" s="104"/>
      <c r="P717" s="26"/>
      <c r="Q717" s="26"/>
      <c r="R717" s="26"/>
      <c r="S717" s="30"/>
      <c r="T717" s="84"/>
      <c r="U717" s="84"/>
      <c r="V717" s="105"/>
      <c r="W717" s="106"/>
      <c r="X717" s="33"/>
      <c r="Y717" s="34"/>
      <c r="Z717" s="34"/>
      <c r="AA717" s="34"/>
      <c r="AB717" s="34"/>
      <c r="AC717" s="107"/>
      <c r="AD717" s="35"/>
      <c r="AE717" s="35"/>
      <c r="AF717" s="35"/>
      <c r="AG717" s="35"/>
      <c r="AH717" s="35"/>
      <c r="AI717" s="34"/>
      <c r="AJ717" s="35"/>
      <c r="AK717" s="35"/>
      <c r="AL717" s="34"/>
      <c r="AM717" s="34"/>
      <c r="AN717" s="46"/>
      <c r="AO717" s="48"/>
      <c r="AP717" s="48"/>
      <c r="AQ717" s="48"/>
      <c r="AR717" s="48"/>
      <c r="AS717" s="48"/>
      <c r="AT717" s="48"/>
      <c r="AU717" s="48"/>
      <c r="AV717" s="48"/>
      <c r="AW717" s="48"/>
      <c r="AX717" s="48"/>
      <c r="AY717" s="43"/>
      <c r="AZ717" s="48"/>
      <c r="BA717" s="48"/>
      <c r="BB717" s="48"/>
      <c r="BC717" s="43"/>
      <c r="BD717" s="43"/>
      <c r="BE717" s="44"/>
      <c r="BF717" s="48"/>
      <c r="BG717" s="43"/>
    </row>
    <row r="718">
      <c r="A718" s="98"/>
      <c r="B718" s="99"/>
      <c r="C718" s="99"/>
      <c r="D718" s="21"/>
      <c r="E718" s="22"/>
      <c r="F718" s="100"/>
      <c r="G718" s="101"/>
      <c r="H718" s="100"/>
      <c r="I718" s="102"/>
      <c r="J718" s="26"/>
      <c r="K718" s="103"/>
      <c r="L718" s="47"/>
      <c r="M718" s="30"/>
      <c r="N718" s="104"/>
      <c r="O718" s="104"/>
      <c r="P718" s="26"/>
      <c r="Q718" s="26"/>
      <c r="R718" s="26"/>
      <c r="S718" s="30"/>
      <c r="T718" s="84"/>
      <c r="U718" s="84"/>
      <c r="V718" s="105"/>
      <c r="W718" s="106"/>
      <c r="X718" s="33"/>
      <c r="Y718" s="34"/>
      <c r="Z718" s="34"/>
      <c r="AA718" s="34"/>
      <c r="AB718" s="34"/>
      <c r="AC718" s="107"/>
      <c r="AD718" s="35"/>
      <c r="AE718" s="35"/>
      <c r="AF718" s="35"/>
      <c r="AG718" s="35"/>
      <c r="AH718" s="35"/>
      <c r="AI718" s="34"/>
      <c r="AJ718" s="35"/>
      <c r="AK718" s="35"/>
      <c r="AL718" s="34"/>
      <c r="AM718" s="34"/>
      <c r="AN718" s="46"/>
      <c r="AO718" s="48"/>
      <c r="AP718" s="48"/>
      <c r="AQ718" s="48"/>
      <c r="AR718" s="48"/>
      <c r="AS718" s="48"/>
      <c r="AT718" s="48"/>
      <c r="AU718" s="48"/>
      <c r="AV718" s="48"/>
      <c r="AW718" s="48"/>
      <c r="AX718" s="48"/>
      <c r="AY718" s="43"/>
      <c r="AZ718" s="48"/>
      <c r="BA718" s="48"/>
      <c r="BB718" s="48"/>
      <c r="BC718" s="43"/>
      <c r="BD718" s="43"/>
      <c r="BE718" s="44"/>
      <c r="BF718" s="48"/>
      <c r="BG718" s="43"/>
    </row>
    <row r="719">
      <c r="A719" s="98"/>
      <c r="B719" s="99"/>
      <c r="C719" s="99"/>
      <c r="D719" s="21"/>
      <c r="E719" s="22"/>
      <c r="F719" s="100"/>
      <c r="G719" s="101"/>
      <c r="H719" s="100"/>
      <c r="I719" s="102"/>
      <c r="J719" s="26"/>
      <c r="K719" s="103"/>
      <c r="L719" s="47"/>
      <c r="M719" s="30"/>
      <c r="N719" s="104"/>
      <c r="O719" s="104"/>
      <c r="P719" s="26"/>
      <c r="Q719" s="26"/>
      <c r="R719" s="26"/>
      <c r="S719" s="30"/>
      <c r="T719" s="84"/>
      <c r="U719" s="84"/>
      <c r="V719" s="105"/>
      <c r="W719" s="106"/>
      <c r="X719" s="33"/>
      <c r="Y719" s="34"/>
      <c r="Z719" s="34"/>
      <c r="AA719" s="34"/>
      <c r="AB719" s="34"/>
      <c r="AC719" s="107"/>
      <c r="AD719" s="35"/>
      <c r="AE719" s="35"/>
      <c r="AF719" s="35"/>
      <c r="AG719" s="35"/>
      <c r="AH719" s="35"/>
      <c r="AI719" s="34"/>
      <c r="AJ719" s="35"/>
      <c r="AK719" s="35"/>
      <c r="AL719" s="34"/>
      <c r="AM719" s="34"/>
      <c r="AN719" s="46"/>
      <c r="AO719" s="48"/>
      <c r="AP719" s="48"/>
      <c r="AQ719" s="48"/>
      <c r="AR719" s="48"/>
      <c r="AS719" s="48"/>
      <c r="AT719" s="48"/>
      <c r="AU719" s="48"/>
      <c r="AV719" s="48"/>
      <c r="AW719" s="48"/>
      <c r="AX719" s="48"/>
      <c r="AY719" s="43"/>
      <c r="AZ719" s="48"/>
      <c r="BA719" s="48"/>
      <c r="BB719" s="48"/>
      <c r="BC719" s="43"/>
      <c r="BD719" s="43"/>
      <c r="BE719" s="44"/>
      <c r="BF719" s="48"/>
      <c r="BG719" s="43"/>
    </row>
    <row r="720">
      <c r="A720" s="98"/>
      <c r="B720" s="99"/>
      <c r="C720" s="99"/>
      <c r="D720" s="21"/>
      <c r="E720" s="22"/>
      <c r="F720" s="100"/>
      <c r="G720" s="101"/>
      <c r="H720" s="100"/>
      <c r="I720" s="102"/>
      <c r="J720" s="26"/>
      <c r="K720" s="103"/>
      <c r="L720" s="47"/>
      <c r="M720" s="30"/>
      <c r="N720" s="104"/>
      <c r="O720" s="104"/>
      <c r="P720" s="26"/>
      <c r="Q720" s="26"/>
      <c r="R720" s="26"/>
      <c r="S720" s="30"/>
      <c r="T720" s="84"/>
      <c r="U720" s="84"/>
      <c r="V720" s="105"/>
      <c r="W720" s="106"/>
      <c r="X720" s="33"/>
      <c r="Y720" s="34"/>
      <c r="Z720" s="34"/>
      <c r="AA720" s="34"/>
      <c r="AB720" s="34"/>
      <c r="AC720" s="107"/>
      <c r="AD720" s="35"/>
      <c r="AE720" s="35"/>
      <c r="AF720" s="35"/>
      <c r="AG720" s="35"/>
      <c r="AH720" s="35"/>
      <c r="AI720" s="34"/>
      <c r="AJ720" s="35"/>
      <c r="AK720" s="35"/>
      <c r="AL720" s="34"/>
      <c r="AM720" s="34"/>
      <c r="AN720" s="46"/>
      <c r="AO720" s="48"/>
      <c r="AP720" s="48"/>
      <c r="AQ720" s="48"/>
      <c r="AR720" s="48"/>
      <c r="AS720" s="48"/>
      <c r="AT720" s="48"/>
      <c r="AU720" s="48"/>
      <c r="AV720" s="48"/>
      <c r="AW720" s="48"/>
      <c r="AX720" s="48"/>
      <c r="AY720" s="43"/>
      <c r="AZ720" s="48"/>
      <c r="BA720" s="48"/>
      <c r="BB720" s="48"/>
      <c r="BC720" s="43"/>
      <c r="BD720" s="43"/>
      <c r="BE720" s="44"/>
      <c r="BF720" s="48"/>
      <c r="BG720" s="43"/>
    </row>
    <row r="721">
      <c r="A721" s="98"/>
      <c r="B721" s="99"/>
      <c r="C721" s="99"/>
      <c r="D721" s="21"/>
      <c r="E721" s="22"/>
      <c r="F721" s="100"/>
      <c r="G721" s="101"/>
      <c r="H721" s="100"/>
      <c r="I721" s="102"/>
      <c r="J721" s="26"/>
      <c r="K721" s="103"/>
      <c r="L721" s="47"/>
      <c r="M721" s="30"/>
      <c r="N721" s="104"/>
      <c r="O721" s="104"/>
      <c r="P721" s="26"/>
      <c r="Q721" s="26"/>
      <c r="R721" s="26"/>
      <c r="S721" s="30"/>
      <c r="T721" s="84"/>
      <c r="U721" s="84"/>
      <c r="V721" s="105"/>
      <c r="W721" s="106"/>
      <c r="X721" s="33"/>
      <c r="Y721" s="34"/>
      <c r="Z721" s="34"/>
      <c r="AA721" s="34"/>
      <c r="AB721" s="34"/>
      <c r="AC721" s="107"/>
      <c r="AD721" s="35"/>
      <c r="AE721" s="35"/>
      <c r="AF721" s="35"/>
      <c r="AG721" s="35"/>
      <c r="AH721" s="35"/>
      <c r="AI721" s="34"/>
      <c r="AJ721" s="35"/>
      <c r="AK721" s="35"/>
      <c r="AL721" s="34"/>
      <c r="AM721" s="34"/>
      <c r="AN721" s="46"/>
      <c r="AO721" s="48"/>
      <c r="AP721" s="48"/>
      <c r="AQ721" s="48"/>
      <c r="AR721" s="48"/>
      <c r="AS721" s="48"/>
      <c r="AT721" s="48"/>
      <c r="AU721" s="48"/>
      <c r="AV721" s="48"/>
      <c r="AW721" s="48"/>
      <c r="AX721" s="48"/>
      <c r="AY721" s="43"/>
      <c r="AZ721" s="48"/>
      <c r="BA721" s="48"/>
      <c r="BB721" s="48"/>
      <c r="BC721" s="43"/>
      <c r="BD721" s="43"/>
      <c r="BE721" s="44"/>
      <c r="BF721" s="48"/>
      <c r="BG721" s="43"/>
    </row>
    <row r="722">
      <c r="A722" s="98"/>
      <c r="B722" s="99"/>
      <c r="C722" s="99"/>
      <c r="D722" s="21"/>
      <c r="E722" s="22"/>
      <c r="F722" s="100"/>
      <c r="G722" s="101"/>
      <c r="H722" s="100"/>
      <c r="I722" s="102"/>
      <c r="J722" s="26"/>
      <c r="K722" s="103"/>
      <c r="L722" s="47"/>
      <c r="M722" s="30"/>
      <c r="N722" s="104"/>
      <c r="O722" s="104"/>
      <c r="P722" s="26"/>
      <c r="Q722" s="26"/>
      <c r="R722" s="26"/>
      <c r="S722" s="30"/>
      <c r="T722" s="84"/>
      <c r="U722" s="84"/>
      <c r="V722" s="105"/>
      <c r="W722" s="106"/>
      <c r="X722" s="33"/>
      <c r="Y722" s="34"/>
      <c r="Z722" s="34"/>
      <c r="AA722" s="34"/>
      <c r="AB722" s="34"/>
      <c r="AC722" s="107"/>
      <c r="AD722" s="35"/>
      <c r="AE722" s="35"/>
      <c r="AF722" s="35"/>
      <c r="AG722" s="35"/>
      <c r="AH722" s="35"/>
      <c r="AI722" s="34"/>
      <c r="AJ722" s="35"/>
      <c r="AK722" s="35"/>
      <c r="AL722" s="34"/>
      <c r="AM722" s="34"/>
      <c r="AN722" s="46"/>
      <c r="AO722" s="48"/>
      <c r="AP722" s="48"/>
      <c r="AQ722" s="48"/>
      <c r="AR722" s="48"/>
      <c r="AS722" s="48"/>
      <c r="AT722" s="48"/>
      <c r="AU722" s="48"/>
      <c r="AV722" s="48"/>
      <c r="AW722" s="48"/>
      <c r="AX722" s="48"/>
      <c r="AY722" s="43"/>
      <c r="AZ722" s="48"/>
      <c r="BA722" s="48"/>
      <c r="BB722" s="48"/>
      <c r="BC722" s="43"/>
      <c r="BD722" s="43"/>
      <c r="BE722" s="44"/>
      <c r="BF722" s="48"/>
      <c r="BG722" s="43"/>
    </row>
    <row r="723">
      <c r="A723" s="98"/>
      <c r="B723" s="99"/>
      <c r="C723" s="99"/>
      <c r="D723" s="21"/>
      <c r="E723" s="22"/>
      <c r="F723" s="100"/>
      <c r="G723" s="101"/>
      <c r="H723" s="100"/>
      <c r="I723" s="102"/>
      <c r="J723" s="26"/>
      <c r="K723" s="103"/>
      <c r="L723" s="47"/>
      <c r="M723" s="30"/>
      <c r="N723" s="104"/>
      <c r="O723" s="104"/>
      <c r="P723" s="26"/>
      <c r="Q723" s="26"/>
      <c r="R723" s="26"/>
      <c r="S723" s="30"/>
      <c r="T723" s="84"/>
      <c r="U723" s="84"/>
      <c r="V723" s="105"/>
      <c r="W723" s="106"/>
      <c r="X723" s="33"/>
      <c r="Y723" s="34"/>
      <c r="Z723" s="34"/>
      <c r="AA723" s="34"/>
      <c r="AB723" s="34"/>
      <c r="AC723" s="107"/>
      <c r="AD723" s="35"/>
      <c r="AE723" s="35"/>
      <c r="AF723" s="35"/>
      <c r="AG723" s="35"/>
      <c r="AH723" s="35"/>
      <c r="AI723" s="34"/>
      <c r="AJ723" s="35"/>
      <c r="AK723" s="35"/>
      <c r="AL723" s="34"/>
      <c r="AM723" s="34"/>
      <c r="AN723" s="46"/>
      <c r="AO723" s="48"/>
      <c r="AP723" s="48"/>
      <c r="AQ723" s="48"/>
      <c r="AR723" s="48"/>
      <c r="AS723" s="48"/>
      <c r="AT723" s="48"/>
      <c r="AU723" s="48"/>
      <c r="AV723" s="48"/>
      <c r="AW723" s="48"/>
      <c r="AX723" s="48"/>
      <c r="AY723" s="43"/>
      <c r="AZ723" s="48"/>
      <c r="BA723" s="48"/>
      <c r="BB723" s="48"/>
      <c r="BC723" s="43"/>
      <c r="BD723" s="43"/>
      <c r="BE723" s="44"/>
      <c r="BF723" s="48"/>
      <c r="BG723" s="43"/>
    </row>
    <row r="724">
      <c r="A724" s="98"/>
      <c r="B724" s="99"/>
      <c r="C724" s="99"/>
      <c r="D724" s="21"/>
      <c r="E724" s="22"/>
      <c r="F724" s="100"/>
      <c r="G724" s="101"/>
      <c r="H724" s="100"/>
      <c r="I724" s="102"/>
      <c r="J724" s="26"/>
      <c r="K724" s="103"/>
      <c r="L724" s="47"/>
      <c r="M724" s="30"/>
      <c r="N724" s="104"/>
      <c r="O724" s="104"/>
      <c r="P724" s="26"/>
      <c r="Q724" s="26"/>
      <c r="R724" s="26"/>
      <c r="S724" s="30"/>
      <c r="T724" s="84"/>
      <c r="U724" s="84"/>
      <c r="V724" s="105"/>
      <c r="W724" s="106"/>
      <c r="X724" s="33"/>
      <c r="Y724" s="34"/>
      <c r="Z724" s="34"/>
      <c r="AA724" s="34"/>
      <c r="AB724" s="34"/>
      <c r="AC724" s="107"/>
      <c r="AD724" s="35"/>
      <c r="AE724" s="35"/>
      <c r="AF724" s="35"/>
      <c r="AG724" s="35"/>
      <c r="AH724" s="35"/>
      <c r="AI724" s="34"/>
      <c r="AJ724" s="35"/>
      <c r="AK724" s="35"/>
      <c r="AL724" s="34"/>
      <c r="AM724" s="34"/>
      <c r="AN724" s="46"/>
      <c r="AO724" s="48"/>
      <c r="AP724" s="48"/>
      <c r="AQ724" s="48"/>
      <c r="AR724" s="48"/>
      <c r="AS724" s="48"/>
      <c r="AT724" s="48"/>
      <c r="AU724" s="48"/>
      <c r="AV724" s="48"/>
      <c r="AW724" s="48"/>
      <c r="AX724" s="48"/>
      <c r="AY724" s="43"/>
      <c r="AZ724" s="48"/>
      <c r="BA724" s="48"/>
      <c r="BB724" s="48"/>
      <c r="BC724" s="43"/>
      <c r="BD724" s="43"/>
      <c r="BE724" s="44"/>
      <c r="BF724" s="48"/>
      <c r="BG724" s="43"/>
    </row>
    <row r="725">
      <c r="A725" s="98"/>
      <c r="B725" s="99"/>
      <c r="C725" s="99"/>
      <c r="D725" s="21"/>
      <c r="E725" s="22"/>
      <c r="F725" s="100"/>
      <c r="G725" s="101"/>
      <c r="H725" s="100"/>
      <c r="I725" s="102"/>
      <c r="J725" s="26"/>
      <c r="K725" s="103"/>
      <c r="L725" s="47"/>
      <c r="M725" s="30"/>
      <c r="N725" s="104"/>
      <c r="O725" s="104"/>
      <c r="P725" s="26"/>
      <c r="Q725" s="26"/>
      <c r="R725" s="26"/>
      <c r="S725" s="30"/>
      <c r="T725" s="84"/>
      <c r="U725" s="84"/>
      <c r="V725" s="105"/>
      <c r="W725" s="106"/>
      <c r="X725" s="33"/>
      <c r="Y725" s="34"/>
      <c r="Z725" s="34"/>
      <c r="AA725" s="34"/>
      <c r="AB725" s="34"/>
      <c r="AC725" s="107"/>
      <c r="AD725" s="35"/>
      <c r="AE725" s="35"/>
      <c r="AF725" s="35"/>
      <c r="AG725" s="35"/>
      <c r="AH725" s="35"/>
      <c r="AI725" s="34"/>
      <c r="AJ725" s="35"/>
      <c r="AK725" s="35"/>
      <c r="AL725" s="34"/>
      <c r="AM725" s="34"/>
      <c r="AN725" s="46"/>
      <c r="AO725" s="48"/>
      <c r="AP725" s="48"/>
      <c r="AQ725" s="48"/>
      <c r="AR725" s="48"/>
      <c r="AS725" s="48"/>
      <c r="AT725" s="48"/>
      <c r="AU725" s="48"/>
      <c r="AV725" s="48"/>
      <c r="AW725" s="48"/>
      <c r="AX725" s="48"/>
      <c r="AY725" s="43"/>
      <c r="AZ725" s="48"/>
      <c r="BA725" s="48"/>
      <c r="BB725" s="48"/>
      <c r="BC725" s="43"/>
      <c r="BD725" s="43"/>
      <c r="BE725" s="44"/>
      <c r="BF725" s="48"/>
      <c r="BG725" s="43"/>
    </row>
    <row r="726">
      <c r="A726" s="98"/>
      <c r="B726" s="99"/>
      <c r="C726" s="99"/>
      <c r="D726" s="21"/>
      <c r="E726" s="22"/>
      <c r="F726" s="100"/>
      <c r="G726" s="101"/>
      <c r="H726" s="100"/>
      <c r="I726" s="102"/>
      <c r="J726" s="26"/>
      <c r="K726" s="103"/>
      <c r="L726" s="47"/>
      <c r="M726" s="30"/>
      <c r="N726" s="104"/>
      <c r="O726" s="104"/>
      <c r="P726" s="26"/>
      <c r="Q726" s="26"/>
      <c r="R726" s="26"/>
      <c r="S726" s="30"/>
      <c r="T726" s="84"/>
      <c r="U726" s="84"/>
      <c r="V726" s="105"/>
      <c r="W726" s="106"/>
      <c r="X726" s="33"/>
      <c r="Y726" s="34"/>
      <c r="Z726" s="34"/>
      <c r="AA726" s="34"/>
      <c r="AB726" s="34"/>
      <c r="AC726" s="107"/>
      <c r="AD726" s="35"/>
      <c r="AE726" s="35"/>
      <c r="AF726" s="35"/>
      <c r="AG726" s="35"/>
      <c r="AH726" s="35"/>
      <c r="AI726" s="34"/>
      <c r="AJ726" s="35"/>
      <c r="AK726" s="35"/>
      <c r="AL726" s="34"/>
      <c r="AM726" s="34"/>
      <c r="AN726" s="46"/>
      <c r="AO726" s="48"/>
      <c r="AP726" s="48"/>
      <c r="AQ726" s="48"/>
      <c r="AR726" s="48"/>
      <c r="AS726" s="48"/>
      <c r="AT726" s="48"/>
      <c r="AU726" s="48"/>
      <c r="AV726" s="48"/>
      <c r="AW726" s="48"/>
      <c r="AX726" s="48"/>
      <c r="AY726" s="43"/>
      <c r="AZ726" s="48"/>
      <c r="BA726" s="48"/>
      <c r="BB726" s="48"/>
      <c r="BC726" s="43"/>
      <c r="BD726" s="43"/>
      <c r="BE726" s="44"/>
      <c r="BF726" s="48"/>
      <c r="BG726" s="43"/>
    </row>
    <row r="727">
      <c r="A727" s="98"/>
      <c r="B727" s="99"/>
      <c r="C727" s="99"/>
      <c r="D727" s="21"/>
      <c r="E727" s="22"/>
      <c r="F727" s="100"/>
      <c r="G727" s="101"/>
      <c r="H727" s="100"/>
      <c r="I727" s="102"/>
      <c r="J727" s="26"/>
      <c r="K727" s="103"/>
      <c r="L727" s="47"/>
      <c r="M727" s="30"/>
      <c r="N727" s="104"/>
      <c r="O727" s="104"/>
      <c r="P727" s="26"/>
      <c r="Q727" s="26"/>
      <c r="R727" s="26"/>
      <c r="S727" s="30"/>
      <c r="T727" s="84"/>
      <c r="U727" s="84"/>
      <c r="V727" s="105"/>
      <c r="W727" s="106"/>
      <c r="X727" s="33"/>
      <c r="Y727" s="34"/>
      <c r="Z727" s="34"/>
      <c r="AA727" s="34"/>
      <c r="AB727" s="34"/>
      <c r="AC727" s="107"/>
      <c r="AD727" s="35"/>
      <c r="AE727" s="35"/>
      <c r="AF727" s="35"/>
      <c r="AG727" s="35"/>
      <c r="AH727" s="35"/>
      <c r="AI727" s="34"/>
      <c r="AJ727" s="35"/>
      <c r="AK727" s="35"/>
      <c r="AL727" s="34"/>
      <c r="AM727" s="34"/>
      <c r="AN727" s="46"/>
      <c r="AO727" s="48"/>
      <c r="AP727" s="48"/>
      <c r="AQ727" s="48"/>
      <c r="AR727" s="48"/>
      <c r="AS727" s="48"/>
      <c r="AT727" s="48"/>
      <c r="AU727" s="48"/>
      <c r="AV727" s="48"/>
      <c r="AW727" s="48"/>
      <c r="AX727" s="48"/>
      <c r="AY727" s="43"/>
      <c r="AZ727" s="48"/>
      <c r="BA727" s="48"/>
      <c r="BB727" s="48"/>
      <c r="BC727" s="43"/>
      <c r="BD727" s="43"/>
      <c r="BE727" s="44"/>
      <c r="BF727" s="48"/>
      <c r="BG727" s="43"/>
    </row>
    <row r="728">
      <c r="A728" s="98"/>
      <c r="B728" s="99"/>
      <c r="C728" s="99"/>
      <c r="D728" s="21"/>
      <c r="E728" s="22"/>
      <c r="F728" s="100"/>
      <c r="G728" s="101"/>
      <c r="H728" s="100"/>
      <c r="I728" s="102"/>
      <c r="J728" s="26"/>
      <c r="K728" s="103"/>
      <c r="L728" s="47"/>
      <c r="M728" s="30"/>
      <c r="N728" s="104"/>
      <c r="O728" s="104"/>
      <c r="P728" s="26"/>
      <c r="Q728" s="26"/>
      <c r="R728" s="26"/>
      <c r="S728" s="30"/>
      <c r="T728" s="84"/>
      <c r="U728" s="84"/>
      <c r="V728" s="105"/>
      <c r="W728" s="106"/>
      <c r="X728" s="33"/>
      <c r="Y728" s="34"/>
      <c r="Z728" s="34"/>
      <c r="AA728" s="34"/>
      <c r="AB728" s="34"/>
      <c r="AC728" s="107"/>
      <c r="AD728" s="35"/>
      <c r="AE728" s="35"/>
      <c r="AF728" s="35"/>
      <c r="AG728" s="35"/>
      <c r="AH728" s="35"/>
      <c r="AI728" s="34"/>
      <c r="AJ728" s="35"/>
      <c r="AK728" s="35"/>
      <c r="AL728" s="34"/>
      <c r="AM728" s="34"/>
      <c r="AN728" s="46"/>
      <c r="AO728" s="48"/>
      <c r="AP728" s="48"/>
      <c r="AQ728" s="48"/>
      <c r="AR728" s="48"/>
      <c r="AS728" s="48"/>
      <c r="AT728" s="48"/>
      <c r="AU728" s="48"/>
      <c r="AV728" s="48"/>
      <c r="AW728" s="48"/>
      <c r="AX728" s="48"/>
      <c r="AY728" s="43"/>
      <c r="AZ728" s="48"/>
      <c r="BA728" s="48"/>
      <c r="BB728" s="48"/>
      <c r="BC728" s="43"/>
      <c r="BD728" s="43"/>
      <c r="BE728" s="44"/>
      <c r="BF728" s="48"/>
      <c r="BG728" s="43"/>
    </row>
    <row r="729">
      <c r="A729" s="98"/>
      <c r="B729" s="99"/>
      <c r="C729" s="99"/>
      <c r="D729" s="21"/>
      <c r="E729" s="22"/>
      <c r="F729" s="100"/>
      <c r="G729" s="101"/>
      <c r="H729" s="100"/>
      <c r="I729" s="102"/>
      <c r="J729" s="26"/>
      <c r="K729" s="103"/>
      <c r="L729" s="47"/>
      <c r="M729" s="30"/>
      <c r="N729" s="104"/>
      <c r="O729" s="104"/>
      <c r="P729" s="26"/>
      <c r="Q729" s="26"/>
      <c r="R729" s="26"/>
      <c r="S729" s="30"/>
      <c r="T729" s="84"/>
      <c r="U729" s="84"/>
      <c r="V729" s="105"/>
      <c r="W729" s="106"/>
      <c r="X729" s="33"/>
      <c r="Y729" s="34"/>
      <c r="Z729" s="34"/>
      <c r="AA729" s="34"/>
      <c r="AB729" s="34"/>
      <c r="AC729" s="107"/>
      <c r="AD729" s="35"/>
      <c r="AE729" s="35"/>
      <c r="AF729" s="35"/>
      <c r="AG729" s="35"/>
      <c r="AH729" s="35"/>
      <c r="AI729" s="34"/>
      <c r="AJ729" s="35"/>
      <c r="AK729" s="35"/>
      <c r="AL729" s="34"/>
      <c r="AM729" s="34"/>
      <c r="AN729" s="46"/>
      <c r="AO729" s="48"/>
      <c r="AP729" s="48"/>
      <c r="AQ729" s="48"/>
      <c r="AR729" s="48"/>
      <c r="AS729" s="48"/>
      <c r="AT729" s="48"/>
      <c r="AU729" s="48"/>
      <c r="AV729" s="48"/>
      <c r="AW729" s="48"/>
      <c r="AX729" s="48"/>
      <c r="AY729" s="43"/>
      <c r="AZ729" s="48"/>
      <c r="BA729" s="48"/>
      <c r="BB729" s="48"/>
      <c r="BC729" s="43"/>
      <c r="BD729" s="43"/>
      <c r="BE729" s="44"/>
      <c r="BF729" s="48"/>
      <c r="BG729" s="43"/>
    </row>
    <row r="730">
      <c r="A730" s="98"/>
      <c r="B730" s="99"/>
      <c r="C730" s="99"/>
      <c r="D730" s="21"/>
      <c r="E730" s="22"/>
      <c r="F730" s="100"/>
      <c r="G730" s="101"/>
      <c r="H730" s="100"/>
      <c r="I730" s="102"/>
      <c r="J730" s="26"/>
      <c r="K730" s="103"/>
      <c r="L730" s="47"/>
      <c r="M730" s="30"/>
      <c r="N730" s="104"/>
      <c r="O730" s="104"/>
      <c r="P730" s="26"/>
      <c r="Q730" s="26"/>
      <c r="R730" s="26"/>
      <c r="S730" s="30"/>
      <c r="T730" s="84"/>
      <c r="U730" s="84"/>
      <c r="V730" s="105"/>
      <c r="W730" s="106"/>
      <c r="X730" s="33"/>
      <c r="Y730" s="34"/>
      <c r="Z730" s="34"/>
      <c r="AA730" s="34"/>
      <c r="AB730" s="34"/>
      <c r="AC730" s="107"/>
      <c r="AD730" s="35"/>
      <c r="AE730" s="35"/>
      <c r="AF730" s="35"/>
      <c r="AG730" s="35"/>
      <c r="AH730" s="35"/>
      <c r="AI730" s="34"/>
      <c r="AJ730" s="35"/>
      <c r="AK730" s="35"/>
      <c r="AL730" s="34"/>
      <c r="AM730" s="34"/>
      <c r="AN730" s="46"/>
      <c r="AO730" s="48"/>
      <c r="AP730" s="48"/>
      <c r="AQ730" s="48"/>
      <c r="AR730" s="48"/>
      <c r="AS730" s="48"/>
      <c r="AT730" s="48"/>
      <c r="AU730" s="48"/>
      <c r="AV730" s="48"/>
      <c r="AW730" s="48"/>
      <c r="AX730" s="48"/>
      <c r="AY730" s="43"/>
      <c r="AZ730" s="48"/>
      <c r="BA730" s="48"/>
      <c r="BB730" s="48"/>
      <c r="BC730" s="43"/>
      <c r="BD730" s="43"/>
      <c r="BE730" s="44"/>
      <c r="BF730" s="48"/>
      <c r="BG730" s="43"/>
    </row>
    <row r="731">
      <c r="A731" s="98"/>
      <c r="B731" s="99"/>
      <c r="C731" s="99"/>
      <c r="D731" s="21"/>
      <c r="E731" s="22"/>
      <c r="F731" s="100"/>
      <c r="G731" s="101"/>
      <c r="H731" s="100"/>
      <c r="I731" s="102"/>
      <c r="J731" s="26"/>
      <c r="K731" s="103"/>
      <c r="L731" s="47"/>
      <c r="M731" s="30"/>
      <c r="N731" s="104"/>
      <c r="O731" s="104"/>
      <c r="P731" s="26"/>
      <c r="Q731" s="26"/>
      <c r="R731" s="26"/>
      <c r="S731" s="30"/>
      <c r="T731" s="84"/>
      <c r="U731" s="84"/>
      <c r="V731" s="105"/>
      <c r="W731" s="106"/>
      <c r="X731" s="33"/>
      <c r="Y731" s="34"/>
      <c r="Z731" s="34"/>
      <c r="AA731" s="34"/>
      <c r="AB731" s="34"/>
      <c r="AC731" s="107"/>
      <c r="AD731" s="35"/>
      <c r="AE731" s="35"/>
      <c r="AF731" s="35"/>
      <c r="AG731" s="35"/>
      <c r="AH731" s="35"/>
      <c r="AI731" s="34"/>
      <c r="AJ731" s="35"/>
      <c r="AK731" s="35"/>
      <c r="AL731" s="34"/>
      <c r="AM731" s="34"/>
      <c r="AN731" s="46"/>
      <c r="AO731" s="48"/>
      <c r="AP731" s="48"/>
      <c r="AQ731" s="48"/>
      <c r="AR731" s="48"/>
      <c r="AS731" s="48"/>
      <c r="AT731" s="48"/>
      <c r="AU731" s="48"/>
      <c r="AV731" s="48"/>
      <c r="AW731" s="48"/>
      <c r="AX731" s="48"/>
      <c r="AY731" s="43"/>
      <c r="AZ731" s="48"/>
      <c r="BA731" s="48"/>
      <c r="BB731" s="48"/>
      <c r="BC731" s="43"/>
      <c r="BD731" s="43"/>
      <c r="BE731" s="44"/>
      <c r="BF731" s="48"/>
      <c r="BG731" s="43"/>
    </row>
    <row r="732">
      <c r="A732" s="98"/>
      <c r="B732" s="99"/>
      <c r="C732" s="99"/>
      <c r="D732" s="21"/>
      <c r="E732" s="22"/>
      <c r="F732" s="100"/>
      <c r="G732" s="101"/>
      <c r="H732" s="100"/>
      <c r="I732" s="102"/>
      <c r="J732" s="26"/>
      <c r="K732" s="103"/>
      <c r="L732" s="47"/>
      <c r="M732" s="30"/>
      <c r="N732" s="104"/>
      <c r="O732" s="104"/>
      <c r="P732" s="26"/>
      <c r="Q732" s="26"/>
      <c r="R732" s="26"/>
      <c r="S732" s="30"/>
      <c r="T732" s="84"/>
      <c r="U732" s="84"/>
      <c r="V732" s="105"/>
      <c r="W732" s="106"/>
      <c r="X732" s="33"/>
      <c r="Y732" s="34"/>
      <c r="Z732" s="34"/>
      <c r="AA732" s="34"/>
      <c r="AB732" s="34"/>
      <c r="AC732" s="107"/>
      <c r="AD732" s="35"/>
      <c r="AE732" s="35"/>
      <c r="AF732" s="35"/>
      <c r="AG732" s="35"/>
      <c r="AH732" s="35"/>
      <c r="AI732" s="34"/>
      <c r="AJ732" s="35"/>
      <c r="AK732" s="35"/>
      <c r="AL732" s="34"/>
      <c r="AM732" s="34"/>
      <c r="AN732" s="46"/>
      <c r="AO732" s="48"/>
      <c r="AP732" s="48"/>
      <c r="AQ732" s="48"/>
      <c r="AR732" s="48"/>
      <c r="AS732" s="48"/>
      <c r="AT732" s="48"/>
      <c r="AU732" s="48"/>
      <c r="AV732" s="48"/>
      <c r="AW732" s="48"/>
      <c r="AX732" s="48"/>
      <c r="AY732" s="43"/>
      <c r="AZ732" s="48"/>
      <c r="BA732" s="48"/>
      <c r="BB732" s="48"/>
      <c r="BC732" s="43"/>
      <c r="BD732" s="43"/>
      <c r="BE732" s="44"/>
      <c r="BF732" s="48"/>
      <c r="BG732" s="43"/>
    </row>
    <row r="733">
      <c r="A733" s="98"/>
      <c r="B733" s="99"/>
      <c r="C733" s="99"/>
      <c r="D733" s="21"/>
      <c r="E733" s="22"/>
      <c r="F733" s="100"/>
      <c r="G733" s="101"/>
      <c r="H733" s="100"/>
      <c r="I733" s="102"/>
      <c r="J733" s="26"/>
      <c r="K733" s="103"/>
      <c r="L733" s="47"/>
      <c r="M733" s="30"/>
      <c r="N733" s="104"/>
      <c r="O733" s="104"/>
      <c r="P733" s="26"/>
      <c r="Q733" s="26"/>
      <c r="R733" s="26"/>
      <c r="S733" s="30"/>
      <c r="T733" s="84"/>
      <c r="U733" s="84"/>
      <c r="V733" s="105"/>
      <c r="W733" s="106"/>
      <c r="X733" s="33"/>
      <c r="Y733" s="34"/>
      <c r="Z733" s="34"/>
      <c r="AA733" s="34"/>
      <c r="AB733" s="34"/>
      <c r="AC733" s="107"/>
      <c r="AD733" s="35"/>
      <c r="AE733" s="35"/>
      <c r="AF733" s="35"/>
      <c r="AG733" s="35"/>
      <c r="AH733" s="35"/>
      <c r="AI733" s="34"/>
      <c r="AJ733" s="35"/>
      <c r="AK733" s="35"/>
      <c r="AL733" s="34"/>
      <c r="AM733" s="34"/>
      <c r="AN733" s="46"/>
      <c r="AO733" s="48"/>
      <c r="AP733" s="48"/>
      <c r="AQ733" s="48"/>
      <c r="AR733" s="48"/>
      <c r="AS733" s="48"/>
      <c r="AT733" s="48"/>
      <c r="AU733" s="48"/>
      <c r="AV733" s="48"/>
      <c r="AW733" s="48"/>
      <c r="AX733" s="48"/>
      <c r="AY733" s="43"/>
      <c r="AZ733" s="48"/>
      <c r="BA733" s="48"/>
      <c r="BB733" s="48"/>
      <c r="BC733" s="43"/>
      <c r="BD733" s="43"/>
      <c r="BE733" s="44"/>
      <c r="BF733" s="48"/>
      <c r="BG733" s="43"/>
    </row>
    <row r="734">
      <c r="A734" s="98"/>
      <c r="B734" s="99"/>
      <c r="C734" s="99"/>
      <c r="D734" s="21"/>
      <c r="E734" s="22"/>
      <c r="F734" s="100"/>
      <c r="G734" s="101"/>
      <c r="H734" s="100"/>
      <c r="I734" s="102"/>
      <c r="J734" s="26"/>
      <c r="K734" s="103"/>
      <c r="L734" s="47"/>
      <c r="M734" s="30"/>
      <c r="N734" s="104"/>
      <c r="O734" s="104"/>
      <c r="P734" s="26"/>
      <c r="Q734" s="26"/>
      <c r="R734" s="26"/>
      <c r="S734" s="30"/>
      <c r="T734" s="84"/>
      <c r="U734" s="84"/>
      <c r="V734" s="105"/>
      <c r="W734" s="106"/>
      <c r="X734" s="33"/>
      <c r="Y734" s="34"/>
      <c r="Z734" s="34"/>
      <c r="AA734" s="34"/>
      <c r="AB734" s="34"/>
      <c r="AC734" s="107"/>
      <c r="AD734" s="35"/>
      <c r="AE734" s="35"/>
      <c r="AF734" s="35"/>
      <c r="AG734" s="35"/>
      <c r="AH734" s="35"/>
      <c r="AI734" s="34"/>
      <c r="AJ734" s="35"/>
      <c r="AK734" s="35"/>
      <c r="AL734" s="34"/>
      <c r="AM734" s="34"/>
      <c r="AN734" s="46"/>
      <c r="AO734" s="48"/>
      <c r="AP734" s="48"/>
      <c r="AQ734" s="48"/>
      <c r="AR734" s="48"/>
      <c r="AS734" s="48"/>
      <c r="AT734" s="48"/>
      <c r="AU734" s="48"/>
      <c r="AV734" s="48"/>
      <c r="AW734" s="48"/>
      <c r="AX734" s="48"/>
      <c r="AY734" s="43"/>
      <c r="AZ734" s="48"/>
      <c r="BA734" s="48"/>
      <c r="BB734" s="48"/>
      <c r="BC734" s="43"/>
      <c r="BD734" s="43"/>
      <c r="BE734" s="44"/>
      <c r="BF734" s="48"/>
      <c r="BG734" s="43"/>
    </row>
    <row r="735">
      <c r="A735" s="98"/>
      <c r="B735" s="99"/>
      <c r="C735" s="99"/>
      <c r="D735" s="21"/>
      <c r="E735" s="22"/>
      <c r="F735" s="100"/>
      <c r="G735" s="101"/>
      <c r="H735" s="100"/>
      <c r="I735" s="102"/>
      <c r="J735" s="26"/>
      <c r="K735" s="103"/>
      <c r="L735" s="47"/>
      <c r="M735" s="30"/>
      <c r="N735" s="104"/>
      <c r="O735" s="104"/>
      <c r="P735" s="26"/>
      <c r="Q735" s="26"/>
      <c r="R735" s="26"/>
      <c r="S735" s="30"/>
      <c r="T735" s="84"/>
      <c r="U735" s="84"/>
      <c r="V735" s="105"/>
      <c r="W735" s="106"/>
      <c r="X735" s="33"/>
      <c r="Y735" s="34"/>
      <c r="Z735" s="34"/>
      <c r="AA735" s="34"/>
      <c r="AB735" s="34"/>
      <c r="AC735" s="107"/>
      <c r="AD735" s="35"/>
      <c r="AE735" s="35"/>
      <c r="AF735" s="35"/>
      <c r="AG735" s="35"/>
      <c r="AH735" s="35"/>
      <c r="AI735" s="34"/>
      <c r="AJ735" s="35"/>
      <c r="AK735" s="35"/>
      <c r="AL735" s="34"/>
      <c r="AM735" s="34"/>
      <c r="AN735" s="46"/>
      <c r="AO735" s="48"/>
      <c r="AP735" s="48"/>
      <c r="AQ735" s="48"/>
      <c r="AR735" s="48"/>
      <c r="AS735" s="48"/>
      <c r="AT735" s="48"/>
      <c r="AU735" s="48"/>
      <c r="AV735" s="48"/>
      <c r="AW735" s="48"/>
      <c r="AX735" s="48"/>
      <c r="AY735" s="43"/>
      <c r="AZ735" s="48"/>
      <c r="BA735" s="48"/>
      <c r="BB735" s="48"/>
      <c r="BC735" s="43"/>
      <c r="BD735" s="43"/>
      <c r="BE735" s="44"/>
      <c r="BF735" s="48"/>
      <c r="BG735" s="43"/>
    </row>
    <row r="736">
      <c r="A736" s="98"/>
      <c r="B736" s="99"/>
      <c r="C736" s="99"/>
      <c r="D736" s="21"/>
      <c r="E736" s="22"/>
      <c r="F736" s="100"/>
      <c r="G736" s="101"/>
      <c r="H736" s="100"/>
      <c r="I736" s="102"/>
      <c r="J736" s="26"/>
      <c r="K736" s="103"/>
      <c r="L736" s="47"/>
      <c r="M736" s="30"/>
      <c r="N736" s="104"/>
      <c r="O736" s="104"/>
      <c r="P736" s="26"/>
      <c r="Q736" s="26"/>
      <c r="R736" s="26"/>
      <c r="S736" s="30"/>
      <c r="T736" s="84"/>
      <c r="U736" s="84"/>
      <c r="V736" s="105"/>
      <c r="W736" s="106"/>
      <c r="X736" s="33"/>
      <c r="Y736" s="34"/>
      <c r="Z736" s="34"/>
      <c r="AA736" s="34"/>
      <c r="AB736" s="34"/>
      <c r="AC736" s="107"/>
      <c r="AD736" s="35"/>
      <c r="AE736" s="35"/>
      <c r="AF736" s="35"/>
      <c r="AG736" s="35"/>
      <c r="AH736" s="35"/>
      <c r="AI736" s="34"/>
      <c r="AJ736" s="35"/>
      <c r="AK736" s="35"/>
      <c r="AL736" s="34"/>
      <c r="AM736" s="34"/>
      <c r="AN736" s="46"/>
      <c r="AO736" s="48"/>
      <c r="AP736" s="48"/>
      <c r="AQ736" s="48"/>
      <c r="AR736" s="48"/>
      <c r="AS736" s="48"/>
      <c r="AT736" s="48"/>
      <c r="AU736" s="48"/>
      <c r="AV736" s="48"/>
      <c r="AW736" s="48"/>
      <c r="AX736" s="48"/>
      <c r="AY736" s="43"/>
      <c r="AZ736" s="48"/>
      <c r="BA736" s="48"/>
      <c r="BB736" s="48"/>
      <c r="BC736" s="43"/>
      <c r="BD736" s="43"/>
      <c r="BE736" s="44"/>
      <c r="BF736" s="48"/>
      <c r="BG736" s="43"/>
    </row>
    <row r="737">
      <c r="A737" s="98"/>
      <c r="B737" s="99"/>
      <c r="C737" s="99"/>
      <c r="D737" s="21"/>
      <c r="E737" s="22"/>
      <c r="F737" s="100"/>
      <c r="G737" s="101"/>
      <c r="H737" s="100"/>
      <c r="I737" s="102"/>
      <c r="J737" s="26"/>
      <c r="K737" s="103"/>
      <c r="L737" s="47"/>
      <c r="M737" s="30"/>
      <c r="N737" s="104"/>
      <c r="O737" s="104"/>
      <c r="P737" s="26"/>
      <c r="Q737" s="26"/>
      <c r="R737" s="26"/>
      <c r="S737" s="30"/>
      <c r="T737" s="84"/>
      <c r="U737" s="84"/>
      <c r="V737" s="105"/>
      <c r="W737" s="106"/>
      <c r="X737" s="33"/>
      <c r="Y737" s="34"/>
      <c r="Z737" s="34"/>
      <c r="AA737" s="34"/>
      <c r="AB737" s="34"/>
      <c r="AC737" s="107"/>
      <c r="AD737" s="35"/>
      <c r="AE737" s="35"/>
      <c r="AF737" s="35"/>
      <c r="AG737" s="35"/>
      <c r="AH737" s="35"/>
      <c r="AI737" s="34"/>
      <c r="AJ737" s="35"/>
      <c r="AK737" s="35"/>
      <c r="AL737" s="34"/>
      <c r="AM737" s="34"/>
      <c r="AN737" s="46"/>
      <c r="AO737" s="48"/>
      <c r="AP737" s="48"/>
      <c r="AQ737" s="48"/>
      <c r="AR737" s="48"/>
      <c r="AS737" s="48"/>
      <c r="AT737" s="48"/>
      <c r="AU737" s="48"/>
      <c r="AV737" s="48"/>
      <c r="AW737" s="48"/>
      <c r="AX737" s="48"/>
      <c r="AY737" s="43"/>
      <c r="AZ737" s="48"/>
      <c r="BA737" s="48"/>
      <c r="BB737" s="48"/>
      <c r="BC737" s="43"/>
      <c r="BD737" s="43"/>
      <c r="BE737" s="44"/>
      <c r="BF737" s="48"/>
      <c r="BG737" s="43"/>
    </row>
    <row r="738">
      <c r="A738" s="98"/>
      <c r="B738" s="99"/>
      <c r="C738" s="99"/>
      <c r="D738" s="21"/>
      <c r="E738" s="22"/>
      <c r="F738" s="100"/>
      <c r="G738" s="101"/>
      <c r="H738" s="100"/>
      <c r="I738" s="102"/>
      <c r="J738" s="26"/>
      <c r="K738" s="103"/>
      <c r="L738" s="47"/>
      <c r="M738" s="30"/>
      <c r="N738" s="104"/>
      <c r="O738" s="104"/>
      <c r="P738" s="26"/>
      <c r="Q738" s="26"/>
      <c r="R738" s="26"/>
      <c r="S738" s="30"/>
      <c r="T738" s="84"/>
      <c r="U738" s="84"/>
      <c r="V738" s="105"/>
      <c r="W738" s="106"/>
      <c r="X738" s="33"/>
      <c r="Y738" s="34"/>
      <c r="Z738" s="34"/>
      <c r="AA738" s="34"/>
      <c r="AB738" s="34"/>
      <c r="AC738" s="107"/>
      <c r="AD738" s="35"/>
      <c r="AE738" s="35"/>
      <c r="AF738" s="35"/>
      <c r="AG738" s="35"/>
      <c r="AH738" s="35"/>
      <c r="AI738" s="34"/>
      <c r="AJ738" s="35"/>
      <c r="AK738" s="35"/>
      <c r="AL738" s="34"/>
      <c r="AM738" s="34"/>
      <c r="AN738" s="46"/>
      <c r="AO738" s="48"/>
      <c r="AP738" s="48"/>
      <c r="AQ738" s="48"/>
      <c r="AR738" s="48"/>
      <c r="AS738" s="48"/>
      <c r="AT738" s="48"/>
      <c r="AU738" s="48"/>
      <c r="AV738" s="48"/>
      <c r="AW738" s="48"/>
      <c r="AX738" s="48"/>
      <c r="AY738" s="43"/>
      <c r="AZ738" s="48"/>
      <c r="BA738" s="48"/>
      <c r="BB738" s="48"/>
      <c r="BC738" s="43"/>
      <c r="BD738" s="43"/>
      <c r="BE738" s="44"/>
      <c r="BF738" s="48"/>
      <c r="BG738" s="43"/>
    </row>
    <row r="739">
      <c r="A739" s="98"/>
      <c r="B739" s="99"/>
      <c r="C739" s="99"/>
      <c r="D739" s="21"/>
      <c r="E739" s="22"/>
      <c r="F739" s="100"/>
      <c r="G739" s="101"/>
      <c r="H739" s="100"/>
      <c r="I739" s="102"/>
      <c r="J739" s="26"/>
      <c r="K739" s="103"/>
      <c r="L739" s="47"/>
      <c r="M739" s="30"/>
      <c r="N739" s="104"/>
      <c r="O739" s="104"/>
      <c r="P739" s="26"/>
      <c r="Q739" s="26"/>
      <c r="R739" s="26"/>
      <c r="S739" s="30"/>
      <c r="T739" s="84"/>
      <c r="U739" s="84"/>
      <c r="V739" s="105"/>
      <c r="W739" s="106"/>
      <c r="X739" s="33"/>
      <c r="Y739" s="34"/>
      <c r="Z739" s="34"/>
      <c r="AA739" s="34"/>
      <c r="AB739" s="34"/>
      <c r="AC739" s="107"/>
      <c r="AD739" s="35"/>
      <c r="AE739" s="35"/>
      <c r="AF739" s="35"/>
      <c r="AG739" s="35"/>
      <c r="AH739" s="35"/>
      <c r="AI739" s="34"/>
      <c r="AJ739" s="35"/>
      <c r="AK739" s="35"/>
      <c r="AL739" s="34"/>
      <c r="AM739" s="34"/>
      <c r="AN739" s="46"/>
      <c r="AO739" s="48"/>
      <c r="AP739" s="48"/>
      <c r="AQ739" s="48"/>
      <c r="AR739" s="48"/>
      <c r="AS739" s="48"/>
      <c r="AT739" s="48"/>
      <c r="AU739" s="48"/>
      <c r="AV739" s="48"/>
      <c r="AW739" s="48"/>
      <c r="AX739" s="48"/>
      <c r="AY739" s="43"/>
      <c r="AZ739" s="48"/>
      <c r="BA739" s="48"/>
      <c r="BB739" s="48"/>
      <c r="BC739" s="43"/>
      <c r="BD739" s="43"/>
      <c r="BE739" s="44"/>
      <c r="BF739" s="48"/>
      <c r="BG739" s="43"/>
    </row>
    <row r="740">
      <c r="A740" s="98"/>
      <c r="B740" s="99"/>
      <c r="C740" s="99"/>
      <c r="D740" s="21"/>
      <c r="E740" s="22"/>
      <c r="F740" s="100"/>
      <c r="G740" s="101"/>
      <c r="H740" s="100"/>
      <c r="I740" s="102"/>
      <c r="J740" s="26"/>
      <c r="K740" s="103"/>
      <c r="L740" s="47"/>
      <c r="M740" s="30"/>
      <c r="N740" s="104"/>
      <c r="O740" s="104"/>
      <c r="P740" s="26"/>
      <c r="Q740" s="26"/>
      <c r="R740" s="26"/>
      <c r="S740" s="30"/>
      <c r="T740" s="84"/>
      <c r="U740" s="84"/>
      <c r="V740" s="105"/>
      <c r="W740" s="106"/>
      <c r="X740" s="33"/>
      <c r="Y740" s="34"/>
      <c r="Z740" s="34"/>
      <c r="AA740" s="34"/>
      <c r="AB740" s="34"/>
      <c r="AC740" s="107"/>
      <c r="AD740" s="35"/>
      <c r="AE740" s="35"/>
      <c r="AF740" s="35"/>
      <c r="AG740" s="35"/>
      <c r="AH740" s="35"/>
      <c r="AI740" s="34"/>
      <c r="AJ740" s="35"/>
      <c r="AK740" s="35"/>
      <c r="AL740" s="34"/>
      <c r="AM740" s="34"/>
      <c r="AN740" s="46"/>
      <c r="AO740" s="48"/>
      <c r="AP740" s="48"/>
      <c r="AQ740" s="48"/>
      <c r="AR740" s="48"/>
      <c r="AS740" s="48"/>
      <c r="AT740" s="48"/>
      <c r="AU740" s="48"/>
      <c r="AV740" s="48"/>
      <c r="AW740" s="48"/>
      <c r="AX740" s="48"/>
      <c r="AY740" s="43"/>
      <c r="AZ740" s="48"/>
      <c r="BA740" s="48"/>
      <c r="BB740" s="48"/>
      <c r="BC740" s="43"/>
      <c r="BD740" s="43"/>
      <c r="BE740" s="44"/>
      <c r="BF740" s="48"/>
      <c r="BG740" s="43"/>
    </row>
    <row r="741">
      <c r="A741" s="98"/>
      <c r="B741" s="99"/>
      <c r="C741" s="99"/>
      <c r="D741" s="21"/>
      <c r="E741" s="22"/>
      <c r="F741" s="100"/>
      <c r="G741" s="101"/>
      <c r="H741" s="100"/>
      <c r="I741" s="102"/>
      <c r="J741" s="26"/>
      <c r="K741" s="103"/>
      <c r="L741" s="47"/>
      <c r="M741" s="30"/>
      <c r="N741" s="104"/>
      <c r="O741" s="104"/>
      <c r="P741" s="26"/>
      <c r="Q741" s="26"/>
      <c r="R741" s="26"/>
      <c r="S741" s="30"/>
      <c r="T741" s="84"/>
      <c r="U741" s="84"/>
      <c r="V741" s="105"/>
      <c r="W741" s="106"/>
      <c r="X741" s="33"/>
      <c r="Y741" s="34"/>
      <c r="Z741" s="34"/>
      <c r="AA741" s="34"/>
      <c r="AB741" s="34"/>
      <c r="AC741" s="107"/>
      <c r="AD741" s="35"/>
      <c r="AE741" s="35"/>
      <c r="AF741" s="35"/>
      <c r="AG741" s="35"/>
      <c r="AH741" s="35"/>
      <c r="AI741" s="34"/>
      <c r="AJ741" s="35"/>
      <c r="AK741" s="35"/>
      <c r="AL741" s="34"/>
      <c r="AM741" s="34"/>
      <c r="AN741" s="46"/>
      <c r="AO741" s="48"/>
      <c r="AP741" s="48"/>
      <c r="AQ741" s="48"/>
      <c r="AR741" s="48"/>
      <c r="AS741" s="48"/>
      <c r="AT741" s="48"/>
      <c r="AU741" s="48"/>
      <c r="AV741" s="48"/>
      <c r="AW741" s="48"/>
      <c r="AX741" s="48"/>
      <c r="AY741" s="43"/>
      <c r="AZ741" s="48"/>
      <c r="BA741" s="48"/>
      <c r="BB741" s="48"/>
      <c r="BC741" s="43"/>
      <c r="BD741" s="43"/>
      <c r="BE741" s="44"/>
      <c r="BF741" s="48"/>
      <c r="BG741" s="43"/>
    </row>
    <row r="742">
      <c r="A742" s="98"/>
      <c r="B742" s="99"/>
      <c r="C742" s="99"/>
      <c r="D742" s="21"/>
      <c r="E742" s="22"/>
      <c r="F742" s="100"/>
      <c r="G742" s="101"/>
      <c r="H742" s="100"/>
      <c r="I742" s="102"/>
      <c r="J742" s="26"/>
      <c r="K742" s="103"/>
      <c r="L742" s="47"/>
      <c r="M742" s="30"/>
      <c r="N742" s="104"/>
      <c r="O742" s="104"/>
      <c r="P742" s="26"/>
      <c r="Q742" s="26"/>
      <c r="R742" s="26"/>
      <c r="S742" s="30"/>
      <c r="T742" s="84"/>
      <c r="U742" s="84"/>
      <c r="V742" s="105"/>
      <c r="W742" s="106"/>
      <c r="X742" s="33"/>
      <c r="Y742" s="34"/>
      <c r="Z742" s="34"/>
      <c r="AA742" s="34"/>
      <c r="AB742" s="34"/>
      <c r="AC742" s="107"/>
      <c r="AD742" s="35"/>
      <c r="AE742" s="35"/>
      <c r="AF742" s="35"/>
      <c r="AG742" s="35"/>
      <c r="AH742" s="35"/>
      <c r="AI742" s="34"/>
      <c r="AJ742" s="35"/>
      <c r="AK742" s="35"/>
      <c r="AL742" s="34"/>
      <c r="AM742" s="34"/>
      <c r="AN742" s="46"/>
      <c r="AO742" s="48"/>
      <c r="AP742" s="48"/>
      <c r="AQ742" s="48"/>
      <c r="AR742" s="48"/>
      <c r="AS742" s="48"/>
      <c r="AT742" s="48"/>
      <c r="AU742" s="48"/>
      <c r="AV742" s="48"/>
      <c r="AW742" s="48"/>
      <c r="AX742" s="48"/>
      <c r="AY742" s="43"/>
      <c r="AZ742" s="48"/>
      <c r="BA742" s="48"/>
      <c r="BB742" s="48"/>
      <c r="BC742" s="43"/>
      <c r="BD742" s="43"/>
      <c r="BE742" s="44"/>
      <c r="BF742" s="48"/>
      <c r="BG742" s="43"/>
    </row>
    <row r="743">
      <c r="A743" s="98"/>
      <c r="B743" s="99"/>
      <c r="C743" s="99"/>
      <c r="D743" s="21"/>
      <c r="E743" s="22"/>
      <c r="F743" s="100"/>
      <c r="G743" s="101"/>
      <c r="H743" s="100"/>
      <c r="I743" s="102"/>
      <c r="J743" s="26"/>
      <c r="K743" s="103"/>
      <c r="L743" s="47"/>
      <c r="M743" s="30"/>
      <c r="N743" s="104"/>
      <c r="O743" s="104"/>
      <c r="P743" s="26"/>
      <c r="Q743" s="26"/>
      <c r="R743" s="26"/>
      <c r="S743" s="30"/>
      <c r="T743" s="84"/>
      <c r="U743" s="84"/>
      <c r="V743" s="105"/>
      <c r="W743" s="106"/>
      <c r="X743" s="33"/>
      <c r="Y743" s="34"/>
      <c r="Z743" s="34"/>
      <c r="AA743" s="34"/>
      <c r="AB743" s="34"/>
      <c r="AC743" s="107"/>
      <c r="AD743" s="35"/>
      <c r="AE743" s="35"/>
      <c r="AF743" s="35"/>
      <c r="AG743" s="35"/>
      <c r="AH743" s="35"/>
      <c r="AI743" s="34"/>
      <c r="AJ743" s="35"/>
      <c r="AK743" s="35"/>
      <c r="AL743" s="34"/>
      <c r="AM743" s="34"/>
      <c r="AN743" s="46"/>
      <c r="AO743" s="48"/>
      <c r="AP743" s="48"/>
      <c r="AQ743" s="48"/>
      <c r="AR743" s="48"/>
      <c r="AS743" s="48"/>
      <c r="AT743" s="48"/>
      <c r="AU743" s="48"/>
      <c r="AV743" s="48"/>
      <c r="AW743" s="48"/>
      <c r="AX743" s="48"/>
      <c r="AY743" s="43"/>
      <c r="AZ743" s="48"/>
      <c r="BA743" s="48"/>
      <c r="BB743" s="48"/>
      <c r="BC743" s="43"/>
      <c r="BD743" s="43"/>
      <c r="BE743" s="44"/>
      <c r="BF743" s="48"/>
      <c r="BG743" s="43"/>
    </row>
    <row r="744">
      <c r="A744" s="98"/>
      <c r="B744" s="99"/>
      <c r="C744" s="99"/>
      <c r="D744" s="21"/>
      <c r="E744" s="22"/>
      <c r="F744" s="100"/>
      <c r="G744" s="101"/>
      <c r="H744" s="100"/>
      <c r="I744" s="102"/>
      <c r="J744" s="26"/>
      <c r="K744" s="103"/>
      <c r="L744" s="47"/>
      <c r="M744" s="30"/>
      <c r="N744" s="104"/>
      <c r="O744" s="104"/>
      <c r="P744" s="26"/>
      <c r="Q744" s="26"/>
      <c r="R744" s="26"/>
      <c r="S744" s="30"/>
      <c r="T744" s="84"/>
      <c r="U744" s="84"/>
      <c r="V744" s="105"/>
      <c r="W744" s="106"/>
      <c r="X744" s="33"/>
      <c r="Y744" s="34"/>
      <c r="Z744" s="34"/>
      <c r="AA744" s="34"/>
      <c r="AB744" s="34"/>
      <c r="AC744" s="107"/>
      <c r="AD744" s="35"/>
      <c r="AE744" s="35"/>
      <c r="AF744" s="35"/>
      <c r="AG744" s="35"/>
      <c r="AH744" s="35"/>
      <c r="AI744" s="34"/>
      <c r="AJ744" s="35"/>
      <c r="AK744" s="35"/>
      <c r="AL744" s="34"/>
      <c r="AM744" s="34"/>
      <c r="AN744" s="46"/>
      <c r="AO744" s="48"/>
      <c r="AP744" s="48"/>
      <c r="AQ744" s="48"/>
      <c r="AR744" s="48"/>
      <c r="AS744" s="48"/>
      <c r="AT744" s="48"/>
      <c r="AU744" s="48"/>
      <c r="AV744" s="48"/>
      <c r="AW744" s="48"/>
      <c r="AX744" s="48"/>
      <c r="AY744" s="43"/>
      <c r="AZ744" s="48"/>
      <c r="BA744" s="48"/>
      <c r="BB744" s="48"/>
      <c r="BC744" s="43"/>
      <c r="BD744" s="43"/>
      <c r="BE744" s="44"/>
      <c r="BF744" s="48"/>
      <c r="BG744" s="43"/>
    </row>
    <row r="745">
      <c r="A745" s="98"/>
      <c r="B745" s="99"/>
      <c r="C745" s="99"/>
      <c r="D745" s="21"/>
      <c r="E745" s="22"/>
      <c r="F745" s="100"/>
      <c r="G745" s="101"/>
      <c r="H745" s="100"/>
      <c r="I745" s="102"/>
      <c r="J745" s="26"/>
      <c r="K745" s="103"/>
      <c r="L745" s="47"/>
      <c r="M745" s="30"/>
      <c r="N745" s="104"/>
      <c r="O745" s="104"/>
      <c r="P745" s="26"/>
      <c r="Q745" s="26"/>
      <c r="R745" s="26"/>
      <c r="S745" s="30"/>
      <c r="T745" s="84"/>
      <c r="U745" s="84"/>
      <c r="V745" s="105"/>
      <c r="W745" s="106"/>
      <c r="X745" s="33"/>
      <c r="Y745" s="34"/>
      <c r="Z745" s="34"/>
      <c r="AA745" s="34"/>
      <c r="AB745" s="34"/>
      <c r="AC745" s="107"/>
      <c r="AD745" s="35"/>
      <c r="AE745" s="35"/>
      <c r="AF745" s="35"/>
      <c r="AG745" s="35"/>
      <c r="AH745" s="35"/>
      <c r="AI745" s="34"/>
      <c r="AJ745" s="35"/>
      <c r="AK745" s="35"/>
      <c r="AL745" s="34"/>
      <c r="AM745" s="34"/>
      <c r="AN745" s="46"/>
      <c r="AO745" s="48"/>
      <c r="AP745" s="48"/>
      <c r="AQ745" s="48"/>
      <c r="AR745" s="48"/>
      <c r="AS745" s="48"/>
      <c r="AT745" s="48"/>
      <c r="AU745" s="48"/>
      <c r="AV745" s="48"/>
      <c r="AW745" s="48"/>
      <c r="AX745" s="48"/>
      <c r="AY745" s="43"/>
      <c r="AZ745" s="48"/>
      <c r="BA745" s="48"/>
      <c r="BB745" s="48"/>
      <c r="BC745" s="43"/>
      <c r="BD745" s="43"/>
      <c r="BE745" s="44"/>
      <c r="BF745" s="48"/>
      <c r="BG745" s="43"/>
    </row>
    <row r="746">
      <c r="A746" s="98"/>
      <c r="B746" s="99"/>
      <c r="C746" s="99"/>
      <c r="D746" s="21"/>
      <c r="E746" s="22"/>
      <c r="F746" s="100"/>
      <c r="G746" s="101"/>
      <c r="H746" s="100"/>
      <c r="I746" s="102"/>
      <c r="J746" s="26"/>
      <c r="K746" s="103"/>
      <c r="L746" s="47"/>
      <c r="M746" s="30"/>
      <c r="N746" s="104"/>
      <c r="O746" s="104"/>
      <c r="P746" s="26"/>
      <c r="Q746" s="26"/>
      <c r="R746" s="26"/>
      <c r="S746" s="30"/>
      <c r="T746" s="84"/>
      <c r="U746" s="84"/>
      <c r="V746" s="105"/>
      <c r="W746" s="106"/>
      <c r="X746" s="33"/>
      <c r="Y746" s="34"/>
      <c r="Z746" s="34"/>
      <c r="AA746" s="34"/>
      <c r="AB746" s="34"/>
      <c r="AC746" s="107"/>
      <c r="AD746" s="35"/>
      <c r="AE746" s="35"/>
      <c r="AF746" s="35"/>
      <c r="AG746" s="35"/>
      <c r="AH746" s="35"/>
      <c r="AI746" s="34"/>
      <c r="AJ746" s="35"/>
      <c r="AK746" s="35"/>
      <c r="AL746" s="34"/>
      <c r="AM746" s="34"/>
      <c r="AN746" s="46"/>
      <c r="AO746" s="48"/>
      <c r="AP746" s="48"/>
      <c r="AQ746" s="48"/>
      <c r="AR746" s="48"/>
      <c r="AS746" s="48"/>
      <c r="AT746" s="48"/>
      <c r="AU746" s="48"/>
      <c r="AV746" s="48"/>
      <c r="AW746" s="48"/>
      <c r="AX746" s="48"/>
      <c r="AY746" s="43"/>
      <c r="AZ746" s="48"/>
      <c r="BA746" s="48"/>
      <c r="BB746" s="48"/>
      <c r="BC746" s="43"/>
      <c r="BD746" s="43"/>
      <c r="BE746" s="44"/>
      <c r="BF746" s="48"/>
      <c r="BG746" s="43"/>
    </row>
    <row r="747">
      <c r="A747" s="98"/>
      <c r="B747" s="99"/>
      <c r="C747" s="99"/>
      <c r="D747" s="21"/>
      <c r="E747" s="22"/>
      <c r="F747" s="100"/>
      <c r="G747" s="101"/>
      <c r="H747" s="100"/>
      <c r="I747" s="102"/>
      <c r="J747" s="26"/>
      <c r="K747" s="103"/>
      <c r="L747" s="47"/>
      <c r="M747" s="30"/>
      <c r="N747" s="104"/>
      <c r="O747" s="104"/>
      <c r="P747" s="26"/>
      <c r="Q747" s="26"/>
      <c r="R747" s="26"/>
      <c r="S747" s="30"/>
      <c r="T747" s="84"/>
      <c r="U747" s="84"/>
      <c r="V747" s="105"/>
      <c r="W747" s="106"/>
      <c r="X747" s="33"/>
      <c r="Y747" s="34"/>
      <c r="Z747" s="34"/>
      <c r="AA747" s="34"/>
      <c r="AB747" s="34"/>
      <c r="AC747" s="107"/>
      <c r="AD747" s="35"/>
      <c r="AE747" s="35"/>
      <c r="AF747" s="35"/>
      <c r="AG747" s="35"/>
      <c r="AH747" s="35"/>
      <c r="AI747" s="34"/>
      <c r="AJ747" s="35"/>
      <c r="AK747" s="35"/>
      <c r="AL747" s="34"/>
      <c r="AM747" s="34"/>
      <c r="AN747" s="46"/>
      <c r="AO747" s="48"/>
      <c r="AP747" s="48"/>
      <c r="AQ747" s="48"/>
      <c r="AR747" s="48"/>
      <c r="AS747" s="48"/>
      <c r="AT747" s="48"/>
      <c r="AU747" s="48"/>
      <c r="AV747" s="48"/>
      <c r="AW747" s="48"/>
      <c r="AX747" s="48"/>
      <c r="AY747" s="43"/>
      <c r="AZ747" s="48"/>
      <c r="BA747" s="48"/>
      <c r="BB747" s="48"/>
      <c r="BC747" s="43"/>
      <c r="BD747" s="43"/>
      <c r="BE747" s="44"/>
      <c r="BF747" s="48"/>
      <c r="BG747" s="43"/>
    </row>
    <row r="748">
      <c r="A748" s="98"/>
      <c r="B748" s="99"/>
      <c r="C748" s="99"/>
      <c r="D748" s="21"/>
      <c r="E748" s="22"/>
      <c r="F748" s="100"/>
      <c r="G748" s="101"/>
      <c r="H748" s="100"/>
      <c r="I748" s="102"/>
      <c r="J748" s="26"/>
      <c r="K748" s="103"/>
      <c r="L748" s="47"/>
      <c r="M748" s="30"/>
      <c r="N748" s="104"/>
      <c r="O748" s="104"/>
      <c r="P748" s="26"/>
      <c r="Q748" s="26"/>
      <c r="R748" s="26"/>
      <c r="S748" s="30"/>
      <c r="T748" s="84"/>
      <c r="U748" s="84"/>
      <c r="V748" s="105"/>
      <c r="W748" s="106"/>
      <c r="X748" s="33"/>
      <c r="Y748" s="34"/>
      <c r="Z748" s="34"/>
      <c r="AA748" s="34"/>
      <c r="AB748" s="34"/>
      <c r="AC748" s="107"/>
      <c r="AD748" s="35"/>
      <c r="AE748" s="35"/>
      <c r="AF748" s="35"/>
      <c r="AG748" s="35"/>
      <c r="AH748" s="35"/>
      <c r="AI748" s="34"/>
      <c r="AJ748" s="35"/>
      <c r="AK748" s="35"/>
      <c r="AL748" s="34"/>
      <c r="AM748" s="34"/>
      <c r="AN748" s="46"/>
      <c r="AO748" s="48"/>
      <c r="AP748" s="48"/>
      <c r="AQ748" s="48"/>
      <c r="AR748" s="48"/>
      <c r="AS748" s="48"/>
      <c r="AT748" s="48"/>
      <c r="AU748" s="48"/>
      <c r="AV748" s="48"/>
      <c r="AW748" s="48"/>
      <c r="AX748" s="48"/>
      <c r="AY748" s="43"/>
      <c r="AZ748" s="48"/>
      <c r="BA748" s="48"/>
      <c r="BB748" s="48"/>
      <c r="BC748" s="43"/>
      <c r="BD748" s="43"/>
      <c r="BE748" s="44"/>
      <c r="BF748" s="48"/>
      <c r="BG748" s="43"/>
    </row>
    <row r="749">
      <c r="A749" s="98"/>
      <c r="B749" s="99"/>
      <c r="C749" s="99"/>
      <c r="D749" s="21"/>
      <c r="E749" s="22"/>
      <c r="F749" s="100"/>
      <c r="G749" s="101"/>
      <c r="H749" s="100"/>
      <c r="I749" s="102"/>
      <c r="J749" s="26"/>
      <c r="K749" s="103"/>
      <c r="L749" s="47"/>
      <c r="M749" s="30"/>
      <c r="N749" s="104"/>
      <c r="O749" s="104"/>
      <c r="P749" s="26"/>
      <c r="Q749" s="26"/>
      <c r="R749" s="26"/>
      <c r="S749" s="30"/>
      <c r="T749" s="84"/>
      <c r="U749" s="84"/>
      <c r="V749" s="105"/>
      <c r="W749" s="106"/>
      <c r="X749" s="33"/>
      <c r="Y749" s="34"/>
      <c r="Z749" s="34"/>
      <c r="AA749" s="34"/>
      <c r="AB749" s="34"/>
      <c r="AC749" s="107"/>
      <c r="AD749" s="35"/>
      <c r="AE749" s="35"/>
      <c r="AF749" s="35"/>
      <c r="AG749" s="35"/>
      <c r="AH749" s="35"/>
      <c r="AI749" s="34"/>
      <c r="AJ749" s="35"/>
      <c r="AK749" s="35"/>
      <c r="AL749" s="34"/>
      <c r="AM749" s="34"/>
      <c r="AN749" s="46"/>
      <c r="AO749" s="48"/>
      <c r="AP749" s="48"/>
      <c r="AQ749" s="48"/>
      <c r="AR749" s="48"/>
      <c r="AS749" s="48"/>
      <c r="AT749" s="48"/>
      <c r="AU749" s="48"/>
      <c r="AV749" s="48"/>
      <c r="AW749" s="48"/>
      <c r="AX749" s="48"/>
      <c r="AY749" s="43"/>
      <c r="AZ749" s="48"/>
      <c r="BA749" s="48"/>
      <c r="BB749" s="48"/>
      <c r="BC749" s="43"/>
      <c r="BD749" s="43"/>
      <c r="BE749" s="44"/>
      <c r="BF749" s="48"/>
      <c r="BG749" s="43"/>
    </row>
    <row r="750">
      <c r="A750" s="98"/>
      <c r="B750" s="99"/>
      <c r="C750" s="99"/>
      <c r="D750" s="21"/>
      <c r="E750" s="22"/>
      <c r="F750" s="100"/>
      <c r="G750" s="101"/>
      <c r="H750" s="100"/>
      <c r="I750" s="102"/>
      <c r="J750" s="26"/>
      <c r="K750" s="103"/>
      <c r="L750" s="47"/>
      <c r="M750" s="30"/>
      <c r="N750" s="104"/>
      <c r="O750" s="104"/>
      <c r="P750" s="26"/>
      <c r="Q750" s="26"/>
      <c r="R750" s="26"/>
      <c r="S750" s="30"/>
      <c r="T750" s="84"/>
      <c r="U750" s="84"/>
      <c r="V750" s="105"/>
      <c r="W750" s="106"/>
      <c r="X750" s="33"/>
      <c r="Y750" s="34"/>
      <c r="Z750" s="34"/>
      <c r="AA750" s="34"/>
      <c r="AB750" s="34"/>
      <c r="AC750" s="107"/>
      <c r="AD750" s="35"/>
      <c r="AE750" s="35"/>
      <c r="AF750" s="35"/>
      <c r="AG750" s="35"/>
      <c r="AH750" s="35"/>
      <c r="AI750" s="34"/>
      <c r="AJ750" s="35"/>
      <c r="AK750" s="35"/>
      <c r="AL750" s="34"/>
      <c r="AM750" s="34"/>
      <c r="AN750" s="46"/>
      <c r="AO750" s="48"/>
      <c r="AP750" s="48"/>
      <c r="AQ750" s="48"/>
      <c r="AR750" s="48"/>
      <c r="AS750" s="48"/>
      <c r="AT750" s="48"/>
      <c r="AU750" s="48"/>
      <c r="AV750" s="48"/>
      <c r="AW750" s="48"/>
      <c r="AX750" s="48"/>
      <c r="AY750" s="43"/>
      <c r="AZ750" s="48"/>
      <c r="BA750" s="48"/>
      <c r="BB750" s="48"/>
      <c r="BC750" s="43"/>
      <c r="BD750" s="43"/>
      <c r="BE750" s="44"/>
      <c r="BF750" s="48"/>
      <c r="BG750" s="43"/>
    </row>
    <row r="751">
      <c r="A751" s="98"/>
      <c r="B751" s="99"/>
      <c r="C751" s="99"/>
      <c r="D751" s="21"/>
      <c r="E751" s="22"/>
      <c r="F751" s="100"/>
      <c r="G751" s="101"/>
      <c r="H751" s="100"/>
      <c r="I751" s="102"/>
      <c r="J751" s="26"/>
      <c r="K751" s="103"/>
      <c r="L751" s="47"/>
      <c r="M751" s="30"/>
      <c r="N751" s="104"/>
      <c r="O751" s="104"/>
      <c r="P751" s="26"/>
      <c r="Q751" s="26"/>
      <c r="R751" s="26"/>
      <c r="S751" s="30"/>
      <c r="T751" s="84"/>
      <c r="U751" s="84"/>
      <c r="V751" s="105"/>
      <c r="W751" s="106"/>
      <c r="X751" s="33"/>
      <c r="Y751" s="34"/>
      <c r="Z751" s="34"/>
      <c r="AA751" s="34"/>
      <c r="AB751" s="34"/>
      <c r="AC751" s="107"/>
      <c r="AD751" s="35"/>
      <c r="AE751" s="35"/>
      <c r="AF751" s="35"/>
      <c r="AG751" s="35"/>
      <c r="AH751" s="35"/>
      <c r="AI751" s="34"/>
      <c r="AJ751" s="35"/>
      <c r="AK751" s="35"/>
      <c r="AL751" s="34"/>
      <c r="AM751" s="34"/>
      <c r="AN751" s="46"/>
      <c r="AO751" s="48"/>
      <c r="AP751" s="48"/>
      <c r="AQ751" s="48"/>
      <c r="AR751" s="48"/>
      <c r="AS751" s="48"/>
      <c r="AT751" s="48"/>
      <c r="AU751" s="48"/>
      <c r="AV751" s="48"/>
      <c r="AW751" s="48"/>
      <c r="AX751" s="48"/>
      <c r="AY751" s="43"/>
      <c r="AZ751" s="48"/>
      <c r="BA751" s="48"/>
      <c r="BB751" s="48"/>
      <c r="BC751" s="43"/>
      <c r="BD751" s="43"/>
      <c r="BE751" s="44"/>
      <c r="BF751" s="48"/>
      <c r="BG751" s="43"/>
    </row>
    <row r="752">
      <c r="A752" s="98"/>
      <c r="B752" s="99"/>
      <c r="C752" s="99"/>
      <c r="D752" s="21"/>
      <c r="E752" s="22"/>
      <c r="F752" s="100"/>
      <c r="G752" s="101"/>
      <c r="H752" s="100"/>
      <c r="I752" s="102"/>
      <c r="J752" s="26"/>
      <c r="K752" s="103"/>
      <c r="L752" s="47"/>
      <c r="M752" s="30"/>
      <c r="N752" s="104"/>
      <c r="O752" s="104"/>
      <c r="P752" s="26"/>
      <c r="Q752" s="26"/>
      <c r="R752" s="26"/>
      <c r="S752" s="30"/>
      <c r="T752" s="84"/>
      <c r="U752" s="84"/>
      <c r="V752" s="105"/>
      <c r="W752" s="106"/>
      <c r="X752" s="33"/>
      <c r="Y752" s="34"/>
      <c r="Z752" s="34"/>
      <c r="AA752" s="34"/>
      <c r="AB752" s="34"/>
      <c r="AC752" s="107"/>
      <c r="AD752" s="35"/>
      <c r="AE752" s="35"/>
      <c r="AF752" s="35"/>
      <c r="AG752" s="35"/>
      <c r="AH752" s="35"/>
      <c r="AI752" s="34"/>
      <c r="AJ752" s="35"/>
      <c r="AK752" s="35"/>
      <c r="AL752" s="34"/>
      <c r="AM752" s="34"/>
      <c r="AN752" s="46"/>
      <c r="AO752" s="48"/>
      <c r="AP752" s="48"/>
      <c r="AQ752" s="48"/>
      <c r="AR752" s="48"/>
      <c r="AS752" s="48"/>
      <c r="AT752" s="48"/>
      <c r="AU752" s="48"/>
      <c r="AV752" s="48"/>
      <c r="AW752" s="48"/>
      <c r="AX752" s="48"/>
      <c r="AY752" s="43"/>
      <c r="AZ752" s="48"/>
      <c r="BA752" s="48"/>
      <c r="BB752" s="48"/>
      <c r="BC752" s="43"/>
      <c r="BD752" s="43"/>
      <c r="BE752" s="44"/>
      <c r="BF752" s="48"/>
      <c r="BG752" s="43"/>
    </row>
    <row r="753">
      <c r="A753" s="98"/>
      <c r="B753" s="99"/>
      <c r="C753" s="99"/>
      <c r="D753" s="21"/>
      <c r="E753" s="22"/>
      <c r="F753" s="100"/>
      <c r="G753" s="101"/>
      <c r="H753" s="100"/>
      <c r="I753" s="102"/>
      <c r="J753" s="26"/>
      <c r="K753" s="103"/>
      <c r="L753" s="47"/>
      <c r="M753" s="30"/>
      <c r="N753" s="104"/>
      <c r="O753" s="104"/>
      <c r="P753" s="26"/>
      <c r="Q753" s="26"/>
      <c r="R753" s="26"/>
      <c r="S753" s="30"/>
      <c r="T753" s="84"/>
      <c r="U753" s="84"/>
      <c r="V753" s="105"/>
      <c r="W753" s="106"/>
      <c r="X753" s="33"/>
      <c r="Y753" s="34"/>
      <c r="Z753" s="34"/>
      <c r="AA753" s="34"/>
      <c r="AB753" s="34"/>
      <c r="AC753" s="107"/>
      <c r="AD753" s="35"/>
      <c r="AE753" s="35"/>
      <c r="AF753" s="35"/>
      <c r="AG753" s="35"/>
      <c r="AH753" s="35"/>
      <c r="AI753" s="34"/>
      <c r="AJ753" s="35"/>
      <c r="AK753" s="35"/>
      <c r="AL753" s="34"/>
      <c r="AM753" s="34"/>
      <c r="AN753" s="46"/>
      <c r="AO753" s="48"/>
      <c r="AP753" s="48"/>
      <c r="AQ753" s="48"/>
      <c r="AR753" s="48"/>
      <c r="AS753" s="48"/>
      <c r="AT753" s="48"/>
      <c r="AU753" s="48"/>
      <c r="AV753" s="48"/>
      <c r="AW753" s="48"/>
      <c r="AX753" s="48"/>
      <c r="AY753" s="43"/>
      <c r="AZ753" s="48"/>
      <c r="BA753" s="48"/>
      <c r="BB753" s="48"/>
      <c r="BC753" s="43"/>
      <c r="BD753" s="43"/>
      <c r="BE753" s="44"/>
      <c r="BF753" s="48"/>
      <c r="BG753" s="43"/>
    </row>
    <row r="754">
      <c r="A754" s="98"/>
      <c r="B754" s="99"/>
      <c r="C754" s="99"/>
      <c r="D754" s="21"/>
      <c r="E754" s="22"/>
      <c r="F754" s="100"/>
      <c r="G754" s="101"/>
      <c r="H754" s="100"/>
      <c r="I754" s="102"/>
      <c r="J754" s="26"/>
      <c r="K754" s="103"/>
      <c r="L754" s="47"/>
      <c r="M754" s="30"/>
      <c r="N754" s="104"/>
      <c r="O754" s="104"/>
      <c r="P754" s="26"/>
      <c r="Q754" s="26"/>
      <c r="R754" s="26"/>
      <c r="S754" s="30"/>
      <c r="T754" s="84"/>
      <c r="U754" s="84"/>
      <c r="V754" s="105"/>
      <c r="W754" s="106"/>
      <c r="X754" s="33"/>
      <c r="Y754" s="34"/>
      <c r="Z754" s="34"/>
      <c r="AA754" s="34"/>
      <c r="AB754" s="34"/>
      <c r="AC754" s="107"/>
      <c r="AD754" s="35"/>
      <c r="AE754" s="35"/>
      <c r="AF754" s="35"/>
      <c r="AG754" s="35"/>
      <c r="AH754" s="35"/>
      <c r="AI754" s="34"/>
      <c r="AJ754" s="35"/>
      <c r="AK754" s="35"/>
      <c r="AL754" s="34"/>
      <c r="AM754" s="34"/>
      <c r="AN754" s="46"/>
      <c r="AO754" s="48"/>
      <c r="AP754" s="48"/>
      <c r="AQ754" s="48"/>
      <c r="AR754" s="48"/>
      <c r="AS754" s="48"/>
      <c r="AT754" s="48"/>
      <c r="AU754" s="48"/>
      <c r="AV754" s="48"/>
      <c r="AW754" s="48"/>
      <c r="AX754" s="48"/>
      <c r="AY754" s="43"/>
      <c r="AZ754" s="48"/>
      <c r="BA754" s="48"/>
      <c r="BB754" s="48"/>
      <c r="BC754" s="43"/>
      <c r="BD754" s="43"/>
      <c r="BE754" s="44"/>
      <c r="BF754" s="48"/>
      <c r="BG754" s="43"/>
    </row>
    <row r="755">
      <c r="A755" s="98"/>
      <c r="B755" s="99"/>
      <c r="C755" s="99"/>
      <c r="D755" s="21"/>
      <c r="E755" s="22"/>
      <c r="F755" s="100"/>
      <c r="G755" s="101"/>
      <c r="H755" s="100"/>
      <c r="I755" s="102"/>
      <c r="J755" s="26"/>
      <c r="K755" s="103"/>
      <c r="L755" s="47"/>
      <c r="M755" s="30"/>
      <c r="N755" s="104"/>
      <c r="O755" s="104"/>
      <c r="P755" s="26"/>
      <c r="Q755" s="26"/>
      <c r="R755" s="26"/>
      <c r="S755" s="30"/>
      <c r="T755" s="84"/>
      <c r="U755" s="84"/>
      <c r="V755" s="105"/>
      <c r="W755" s="106"/>
      <c r="X755" s="33"/>
      <c r="Y755" s="34"/>
      <c r="Z755" s="34"/>
      <c r="AA755" s="34"/>
      <c r="AB755" s="34"/>
      <c r="AC755" s="107"/>
      <c r="AD755" s="35"/>
      <c r="AE755" s="35"/>
      <c r="AF755" s="35"/>
      <c r="AG755" s="35"/>
      <c r="AH755" s="35"/>
      <c r="AI755" s="34"/>
      <c r="AJ755" s="35"/>
      <c r="AK755" s="35"/>
      <c r="AL755" s="34"/>
      <c r="AM755" s="34"/>
      <c r="AN755" s="46"/>
      <c r="AO755" s="48"/>
      <c r="AP755" s="48"/>
      <c r="AQ755" s="48"/>
      <c r="AR755" s="48"/>
      <c r="AS755" s="48"/>
      <c r="AT755" s="48"/>
      <c r="AU755" s="48"/>
      <c r="AV755" s="48"/>
      <c r="AW755" s="48"/>
      <c r="AX755" s="48"/>
      <c r="AY755" s="43"/>
      <c r="AZ755" s="48"/>
      <c r="BA755" s="48"/>
      <c r="BB755" s="48"/>
      <c r="BC755" s="43"/>
      <c r="BD755" s="43"/>
      <c r="BE755" s="44"/>
      <c r="BF755" s="48"/>
      <c r="BG755" s="43"/>
    </row>
    <row r="756">
      <c r="A756" s="98"/>
      <c r="B756" s="99"/>
      <c r="C756" s="99"/>
      <c r="D756" s="21"/>
      <c r="E756" s="22"/>
      <c r="F756" s="100"/>
      <c r="G756" s="101"/>
      <c r="H756" s="100"/>
      <c r="I756" s="102"/>
      <c r="J756" s="26"/>
      <c r="K756" s="103"/>
      <c r="L756" s="47"/>
      <c r="M756" s="30"/>
      <c r="N756" s="104"/>
      <c r="O756" s="104"/>
      <c r="P756" s="26"/>
      <c r="Q756" s="26"/>
      <c r="R756" s="26"/>
      <c r="S756" s="30"/>
      <c r="T756" s="84"/>
      <c r="U756" s="84"/>
      <c r="V756" s="105"/>
      <c r="W756" s="106"/>
      <c r="X756" s="33"/>
      <c r="Y756" s="34"/>
      <c r="Z756" s="34"/>
      <c r="AA756" s="34"/>
      <c r="AB756" s="34"/>
      <c r="AC756" s="107"/>
      <c r="AD756" s="35"/>
      <c r="AE756" s="35"/>
      <c r="AF756" s="35"/>
      <c r="AG756" s="35"/>
      <c r="AH756" s="35"/>
      <c r="AI756" s="34"/>
      <c r="AJ756" s="35"/>
      <c r="AK756" s="35"/>
      <c r="AL756" s="34"/>
      <c r="AM756" s="34"/>
      <c r="AN756" s="46"/>
      <c r="AO756" s="48"/>
      <c r="AP756" s="48"/>
      <c r="AQ756" s="48"/>
      <c r="AR756" s="48"/>
      <c r="AS756" s="48"/>
      <c r="AT756" s="48"/>
      <c r="AU756" s="48"/>
      <c r="AV756" s="48"/>
      <c r="AW756" s="48"/>
      <c r="AX756" s="48"/>
      <c r="AY756" s="43"/>
      <c r="AZ756" s="48"/>
      <c r="BA756" s="48"/>
      <c r="BB756" s="48"/>
      <c r="BC756" s="43"/>
      <c r="BD756" s="43"/>
      <c r="BE756" s="44"/>
      <c r="BF756" s="48"/>
      <c r="BG756" s="43"/>
    </row>
    <row r="757">
      <c r="A757" s="98"/>
      <c r="B757" s="99"/>
      <c r="C757" s="99"/>
      <c r="D757" s="21"/>
      <c r="E757" s="22"/>
      <c r="F757" s="100"/>
      <c r="G757" s="101"/>
      <c r="H757" s="100"/>
      <c r="I757" s="102"/>
      <c r="J757" s="26"/>
      <c r="K757" s="103"/>
      <c r="L757" s="47"/>
      <c r="M757" s="30"/>
      <c r="N757" s="104"/>
      <c r="O757" s="104"/>
      <c r="P757" s="26"/>
      <c r="Q757" s="26"/>
      <c r="R757" s="26"/>
      <c r="S757" s="30"/>
      <c r="T757" s="84"/>
      <c r="U757" s="84"/>
      <c r="V757" s="105"/>
      <c r="W757" s="106"/>
      <c r="X757" s="33"/>
      <c r="Y757" s="34"/>
      <c r="Z757" s="34"/>
      <c r="AA757" s="34"/>
      <c r="AB757" s="34"/>
      <c r="AC757" s="107"/>
      <c r="AD757" s="35"/>
      <c r="AE757" s="35"/>
      <c r="AF757" s="35"/>
      <c r="AG757" s="35"/>
      <c r="AH757" s="35"/>
      <c r="AI757" s="34"/>
      <c r="AJ757" s="35"/>
      <c r="AK757" s="35"/>
      <c r="AL757" s="34"/>
      <c r="AM757" s="34"/>
      <c r="AN757" s="46"/>
      <c r="AO757" s="48"/>
      <c r="AP757" s="48"/>
      <c r="AQ757" s="48"/>
      <c r="AR757" s="48"/>
      <c r="AS757" s="48"/>
      <c r="AT757" s="48"/>
      <c r="AU757" s="48"/>
      <c r="AV757" s="48"/>
      <c r="AW757" s="48"/>
      <c r="AX757" s="48"/>
      <c r="AY757" s="43"/>
      <c r="AZ757" s="48"/>
      <c r="BA757" s="48"/>
      <c r="BB757" s="48"/>
      <c r="BC757" s="43"/>
      <c r="BD757" s="43"/>
      <c r="BE757" s="44"/>
      <c r="BF757" s="48"/>
      <c r="BG757" s="43"/>
    </row>
    <row r="758">
      <c r="A758" s="98"/>
      <c r="B758" s="99"/>
      <c r="C758" s="99"/>
      <c r="D758" s="21"/>
      <c r="E758" s="22"/>
      <c r="F758" s="100"/>
      <c r="G758" s="101"/>
      <c r="H758" s="100"/>
      <c r="I758" s="102"/>
      <c r="J758" s="26"/>
      <c r="K758" s="103"/>
      <c r="L758" s="47"/>
      <c r="M758" s="30"/>
      <c r="N758" s="104"/>
      <c r="O758" s="104"/>
      <c r="P758" s="26"/>
      <c r="Q758" s="26"/>
      <c r="R758" s="26"/>
      <c r="S758" s="30"/>
      <c r="T758" s="84"/>
      <c r="U758" s="84"/>
      <c r="V758" s="105"/>
      <c r="W758" s="106"/>
      <c r="X758" s="33"/>
      <c r="Y758" s="34"/>
      <c r="Z758" s="34"/>
      <c r="AA758" s="34"/>
      <c r="AB758" s="34"/>
      <c r="AC758" s="107"/>
      <c r="AD758" s="35"/>
      <c r="AE758" s="35"/>
      <c r="AF758" s="35"/>
      <c r="AG758" s="35"/>
      <c r="AH758" s="35"/>
      <c r="AI758" s="34"/>
      <c r="AJ758" s="35"/>
      <c r="AK758" s="35"/>
      <c r="AL758" s="34"/>
      <c r="AM758" s="34"/>
      <c r="AN758" s="46"/>
      <c r="AO758" s="48"/>
      <c r="AP758" s="48"/>
      <c r="AQ758" s="48"/>
      <c r="AR758" s="48"/>
      <c r="AS758" s="48"/>
      <c r="AT758" s="48"/>
      <c r="AU758" s="48"/>
      <c r="AV758" s="48"/>
      <c r="AW758" s="48"/>
      <c r="AX758" s="48"/>
      <c r="AY758" s="43"/>
      <c r="AZ758" s="48"/>
      <c r="BA758" s="48"/>
      <c r="BB758" s="48"/>
      <c r="BC758" s="43"/>
      <c r="BD758" s="43"/>
      <c r="BE758" s="44"/>
      <c r="BF758" s="48"/>
      <c r="BG758" s="43"/>
    </row>
    <row r="759">
      <c r="A759" s="98"/>
      <c r="B759" s="99"/>
      <c r="C759" s="99"/>
      <c r="D759" s="21"/>
      <c r="E759" s="22"/>
      <c r="F759" s="100"/>
      <c r="G759" s="101"/>
      <c r="H759" s="100"/>
      <c r="I759" s="102"/>
      <c r="J759" s="26"/>
      <c r="K759" s="103"/>
      <c r="L759" s="47"/>
      <c r="M759" s="30"/>
      <c r="N759" s="104"/>
      <c r="O759" s="104"/>
      <c r="P759" s="26"/>
      <c r="Q759" s="26"/>
      <c r="R759" s="26"/>
      <c r="S759" s="30"/>
      <c r="T759" s="84"/>
      <c r="U759" s="84"/>
      <c r="V759" s="105"/>
      <c r="W759" s="106"/>
      <c r="X759" s="33"/>
      <c r="Y759" s="34"/>
      <c r="Z759" s="34"/>
      <c r="AA759" s="34"/>
      <c r="AB759" s="34"/>
      <c r="AC759" s="107"/>
      <c r="AD759" s="35"/>
      <c r="AE759" s="35"/>
      <c r="AF759" s="35"/>
      <c r="AG759" s="35"/>
      <c r="AH759" s="35"/>
      <c r="AI759" s="34"/>
      <c r="AJ759" s="35"/>
      <c r="AK759" s="35"/>
      <c r="AL759" s="34"/>
      <c r="AM759" s="34"/>
      <c r="AN759" s="46"/>
      <c r="AO759" s="48"/>
      <c r="AP759" s="48"/>
      <c r="AQ759" s="48"/>
      <c r="AR759" s="48"/>
      <c r="AS759" s="48"/>
      <c r="AT759" s="48"/>
      <c r="AU759" s="48"/>
      <c r="AV759" s="48"/>
      <c r="AW759" s="48"/>
      <c r="AX759" s="48"/>
      <c r="AY759" s="43"/>
      <c r="AZ759" s="48"/>
      <c r="BA759" s="48"/>
      <c r="BB759" s="48"/>
      <c r="BC759" s="43"/>
      <c r="BD759" s="43"/>
      <c r="BE759" s="44"/>
      <c r="BF759" s="48"/>
      <c r="BG759" s="43"/>
    </row>
    <row r="760">
      <c r="A760" s="98"/>
      <c r="B760" s="99"/>
      <c r="C760" s="99"/>
      <c r="D760" s="21"/>
      <c r="E760" s="22"/>
      <c r="F760" s="100"/>
      <c r="G760" s="101"/>
      <c r="H760" s="100"/>
      <c r="I760" s="102"/>
      <c r="J760" s="26"/>
      <c r="K760" s="103"/>
      <c r="L760" s="47"/>
      <c r="M760" s="30"/>
      <c r="N760" s="104"/>
      <c r="O760" s="104"/>
      <c r="P760" s="26"/>
      <c r="Q760" s="26"/>
      <c r="R760" s="26"/>
      <c r="S760" s="30"/>
      <c r="T760" s="84"/>
      <c r="U760" s="84"/>
      <c r="V760" s="105"/>
      <c r="W760" s="106"/>
      <c r="X760" s="33"/>
      <c r="Y760" s="34"/>
      <c r="Z760" s="34"/>
      <c r="AA760" s="34"/>
      <c r="AB760" s="34"/>
      <c r="AC760" s="107"/>
      <c r="AD760" s="35"/>
      <c r="AE760" s="35"/>
      <c r="AF760" s="35"/>
      <c r="AG760" s="35"/>
      <c r="AH760" s="35"/>
      <c r="AI760" s="34"/>
      <c r="AJ760" s="35"/>
      <c r="AK760" s="35"/>
      <c r="AL760" s="34"/>
      <c r="AM760" s="34"/>
      <c r="AN760" s="46"/>
      <c r="AO760" s="48"/>
      <c r="AP760" s="48"/>
      <c r="AQ760" s="48"/>
      <c r="AR760" s="48"/>
      <c r="AS760" s="48"/>
      <c r="AT760" s="48"/>
      <c r="AU760" s="48"/>
      <c r="AV760" s="48"/>
      <c r="AW760" s="48"/>
      <c r="AX760" s="48"/>
      <c r="AY760" s="43"/>
      <c r="AZ760" s="48"/>
      <c r="BA760" s="48"/>
      <c r="BB760" s="48"/>
      <c r="BC760" s="43"/>
      <c r="BD760" s="43"/>
      <c r="BE760" s="44"/>
      <c r="BF760" s="48"/>
      <c r="BG760" s="43"/>
    </row>
    <row r="761">
      <c r="A761" s="98"/>
      <c r="B761" s="99"/>
      <c r="C761" s="99"/>
      <c r="D761" s="21"/>
      <c r="E761" s="22"/>
      <c r="F761" s="100"/>
      <c r="G761" s="101"/>
      <c r="H761" s="100"/>
      <c r="I761" s="102"/>
      <c r="J761" s="26"/>
      <c r="K761" s="103"/>
      <c r="L761" s="47"/>
      <c r="M761" s="30"/>
      <c r="N761" s="104"/>
      <c r="O761" s="104"/>
      <c r="P761" s="26"/>
      <c r="Q761" s="26"/>
      <c r="R761" s="26"/>
      <c r="S761" s="30"/>
      <c r="T761" s="84"/>
      <c r="U761" s="84"/>
      <c r="V761" s="105"/>
      <c r="W761" s="106"/>
      <c r="X761" s="33"/>
      <c r="Y761" s="34"/>
      <c r="Z761" s="34"/>
      <c r="AA761" s="34"/>
      <c r="AB761" s="34"/>
      <c r="AC761" s="107"/>
      <c r="AD761" s="35"/>
      <c r="AE761" s="35"/>
      <c r="AF761" s="35"/>
      <c r="AG761" s="35"/>
      <c r="AH761" s="35"/>
      <c r="AI761" s="34"/>
      <c r="AJ761" s="35"/>
      <c r="AK761" s="35"/>
      <c r="AL761" s="34"/>
      <c r="AM761" s="34"/>
      <c r="AN761" s="46"/>
      <c r="AO761" s="48"/>
      <c r="AP761" s="48"/>
      <c r="AQ761" s="48"/>
      <c r="AR761" s="48"/>
      <c r="AS761" s="48"/>
      <c r="AT761" s="48"/>
      <c r="AU761" s="48"/>
      <c r="AV761" s="48"/>
      <c r="AW761" s="48"/>
      <c r="AX761" s="48"/>
      <c r="AY761" s="43"/>
      <c r="AZ761" s="48"/>
      <c r="BA761" s="48"/>
      <c r="BB761" s="48"/>
      <c r="BC761" s="43"/>
      <c r="BD761" s="43"/>
      <c r="BE761" s="44"/>
      <c r="BF761" s="48"/>
      <c r="BG761" s="43"/>
    </row>
    <row r="762">
      <c r="A762" s="98"/>
      <c r="B762" s="99"/>
      <c r="C762" s="99"/>
      <c r="D762" s="21"/>
      <c r="E762" s="22"/>
      <c r="F762" s="100"/>
      <c r="G762" s="101"/>
      <c r="H762" s="100"/>
      <c r="I762" s="102"/>
      <c r="J762" s="26"/>
      <c r="K762" s="103"/>
      <c r="L762" s="47"/>
      <c r="M762" s="30"/>
      <c r="N762" s="104"/>
      <c r="O762" s="104"/>
      <c r="P762" s="26"/>
      <c r="Q762" s="26"/>
      <c r="R762" s="26"/>
      <c r="S762" s="30"/>
      <c r="T762" s="84"/>
      <c r="U762" s="84"/>
      <c r="V762" s="105"/>
      <c r="W762" s="106"/>
      <c r="X762" s="33"/>
      <c r="Y762" s="34"/>
      <c r="Z762" s="34"/>
      <c r="AA762" s="34"/>
      <c r="AB762" s="34"/>
      <c r="AC762" s="107"/>
      <c r="AD762" s="35"/>
      <c r="AE762" s="35"/>
      <c r="AF762" s="35"/>
      <c r="AG762" s="35"/>
      <c r="AH762" s="35"/>
      <c r="AI762" s="34"/>
      <c r="AJ762" s="35"/>
      <c r="AK762" s="35"/>
      <c r="AL762" s="34"/>
      <c r="AM762" s="34"/>
      <c r="AN762" s="46"/>
      <c r="AO762" s="48"/>
      <c r="AP762" s="48"/>
      <c r="AQ762" s="48"/>
      <c r="AR762" s="48"/>
      <c r="AS762" s="48"/>
      <c r="AT762" s="48"/>
      <c r="AU762" s="48"/>
      <c r="AV762" s="48"/>
      <c r="AW762" s="48"/>
      <c r="AX762" s="48"/>
      <c r="AY762" s="43"/>
      <c r="AZ762" s="48"/>
      <c r="BA762" s="48"/>
      <c r="BB762" s="48"/>
      <c r="BC762" s="43"/>
      <c r="BD762" s="43"/>
      <c r="BE762" s="44"/>
      <c r="BF762" s="48"/>
      <c r="BG762" s="43"/>
    </row>
    <row r="763">
      <c r="A763" s="98"/>
      <c r="B763" s="99"/>
      <c r="C763" s="99"/>
      <c r="D763" s="21"/>
      <c r="E763" s="22"/>
      <c r="F763" s="100"/>
      <c r="G763" s="101"/>
      <c r="H763" s="100"/>
      <c r="I763" s="102"/>
      <c r="J763" s="26"/>
      <c r="K763" s="103"/>
      <c r="L763" s="47"/>
      <c r="M763" s="30"/>
      <c r="N763" s="104"/>
      <c r="O763" s="104"/>
      <c r="P763" s="26"/>
      <c r="Q763" s="26"/>
      <c r="R763" s="26"/>
      <c r="S763" s="30"/>
      <c r="T763" s="84"/>
      <c r="U763" s="84"/>
      <c r="V763" s="105"/>
      <c r="W763" s="106"/>
      <c r="X763" s="33"/>
      <c r="Y763" s="34"/>
      <c r="Z763" s="34"/>
      <c r="AA763" s="34"/>
      <c r="AB763" s="34"/>
      <c r="AC763" s="107"/>
      <c r="AD763" s="35"/>
      <c r="AE763" s="35"/>
      <c r="AF763" s="35"/>
      <c r="AG763" s="35"/>
      <c r="AH763" s="35"/>
      <c r="AI763" s="34"/>
      <c r="AJ763" s="35"/>
      <c r="AK763" s="35"/>
      <c r="AL763" s="34"/>
      <c r="AM763" s="34"/>
      <c r="AN763" s="46"/>
      <c r="AO763" s="48"/>
      <c r="AP763" s="48"/>
      <c r="AQ763" s="48"/>
      <c r="AR763" s="48"/>
      <c r="AS763" s="48"/>
      <c r="AT763" s="48"/>
      <c r="AU763" s="48"/>
      <c r="AV763" s="48"/>
      <c r="AW763" s="48"/>
      <c r="AX763" s="48"/>
      <c r="AY763" s="43"/>
      <c r="AZ763" s="48"/>
      <c r="BA763" s="48"/>
      <c r="BB763" s="48"/>
      <c r="BC763" s="43"/>
      <c r="BD763" s="43"/>
      <c r="BE763" s="44"/>
      <c r="BF763" s="48"/>
      <c r="BG763" s="43"/>
    </row>
    <row r="764">
      <c r="A764" s="98"/>
      <c r="B764" s="99"/>
      <c r="C764" s="99"/>
      <c r="D764" s="21"/>
      <c r="E764" s="22"/>
      <c r="F764" s="100"/>
      <c r="G764" s="101"/>
      <c r="H764" s="100"/>
      <c r="I764" s="102"/>
      <c r="J764" s="26"/>
      <c r="K764" s="103"/>
      <c r="L764" s="47"/>
      <c r="M764" s="30"/>
      <c r="N764" s="104"/>
      <c r="O764" s="104"/>
      <c r="P764" s="26"/>
      <c r="Q764" s="26"/>
      <c r="R764" s="26"/>
      <c r="S764" s="30"/>
      <c r="T764" s="84"/>
      <c r="U764" s="84"/>
      <c r="V764" s="105"/>
      <c r="W764" s="106"/>
      <c r="X764" s="33"/>
      <c r="Y764" s="34"/>
      <c r="Z764" s="34"/>
      <c r="AA764" s="34"/>
      <c r="AB764" s="34"/>
      <c r="AC764" s="107"/>
      <c r="AD764" s="35"/>
      <c r="AE764" s="35"/>
      <c r="AF764" s="35"/>
      <c r="AG764" s="35"/>
      <c r="AH764" s="35"/>
      <c r="AI764" s="34"/>
      <c r="AJ764" s="35"/>
      <c r="AK764" s="35"/>
      <c r="AL764" s="34"/>
      <c r="AM764" s="34"/>
      <c r="AN764" s="46"/>
      <c r="AO764" s="48"/>
      <c r="AP764" s="48"/>
      <c r="AQ764" s="48"/>
      <c r="AR764" s="48"/>
      <c r="AS764" s="48"/>
      <c r="AT764" s="48"/>
      <c r="AU764" s="48"/>
      <c r="AV764" s="48"/>
      <c r="AW764" s="48"/>
      <c r="AX764" s="48"/>
      <c r="AY764" s="43"/>
      <c r="AZ764" s="48"/>
      <c r="BA764" s="48"/>
      <c r="BB764" s="48"/>
      <c r="BC764" s="43"/>
      <c r="BD764" s="43"/>
      <c r="BE764" s="44"/>
      <c r="BF764" s="48"/>
      <c r="BG764" s="43"/>
    </row>
    <row r="765">
      <c r="A765" s="98"/>
      <c r="B765" s="99"/>
      <c r="C765" s="99"/>
      <c r="D765" s="21"/>
      <c r="E765" s="22"/>
      <c r="F765" s="100"/>
      <c r="G765" s="101"/>
      <c r="H765" s="100"/>
      <c r="I765" s="102"/>
      <c r="J765" s="26"/>
      <c r="K765" s="103"/>
      <c r="L765" s="47"/>
      <c r="M765" s="30"/>
      <c r="N765" s="104"/>
      <c r="O765" s="104"/>
      <c r="P765" s="26"/>
      <c r="Q765" s="26"/>
      <c r="R765" s="26"/>
      <c r="S765" s="30"/>
      <c r="T765" s="84"/>
      <c r="U765" s="84"/>
      <c r="V765" s="105"/>
      <c r="W765" s="106"/>
      <c r="X765" s="33"/>
      <c r="Y765" s="34"/>
      <c r="Z765" s="34"/>
      <c r="AA765" s="34"/>
      <c r="AB765" s="34"/>
      <c r="AC765" s="107"/>
      <c r="AD765" s="35"/>
      <c r="AE765" s="35"/>
      <c r="AF765" s="35"/>
      <c r="AG765" s="35"/>
      <c r="AH765" s="35"/>
      <c r="AI765" s="34"/>
      <c r="AJ765" s="35"/>
      <c r="AK765" s="35"/>
      <c r="AL765" s="34"/>
      <c r="AM765" s="34"/>
      <c r="AN765" s="46"/>
      <c r="AO765" s="48"/>
      <c r="AP765" s="48"/>
      <c r="AQ765" s="48"/>
      <c r="AR765" s="48"/>
      <c r="AS765" s="48"/>
      <c r="AT765" s="48"/>
      <c r="AU765" s="48"/>
      <c r="AV765" s="48"/>
      <c r="AW765" s="48"/>
      <c r="AX765" s="48"/>
      <c r="AY765" s="43"/>
      <c r="AZ765" s="48"/>
      <c r="BA765" s="48"/>
      <c r="BB765" s="48"/>
      <c r="BC765" s="43"/>
      <c r="BD765" s="43"/>
      <c r="BE765" s="44"/>
      <c r="BF765" s="48"/>
      <c r="BG765" s="43"/>
    </row>
    <row r="766">
      <c r="A766" s="98"/>
      <c r="B766" s="99"/>
      <c r="C766" s="99"/>
      <c r="D766" s="21"/>
      <c r="E766" s="22"/>
      <c r="F766" s="100"/>
      <c r="G766" s="101"/>
      <c r="H766" s="100"/>
      <c r="I766" s="102"/>
      <c r="J766" s="26"/>
      <c r="K766" s="103"/>
      <c r="L766" s="47"/>
      <c r="M766" s="30"/>
      <c r="N766" s="104"/>
      <c r="O766" s="104"/>
      <c r="P766" s="26"/>
      <c r="Q766" s="26"/>
      <c r="R766" s="26"/>
      <c r="S766" s="30"/>
      <c r="T766" s="84"/>
      <c r="U766" s="84"/>
      <c r="V766" s="105"/>
      <c r="W766" s="106"/>
      <c r="X766" s="33"/>
      <c r="Y766" s="34"/>
      <c r="Z766" s="34"/>
      <c r="AA766" s="34"/>
      <c r="AB766" s="34"/>
      <c r="AC766" s="107"/>
      <c r="AD766" s="35"/>
      <c r="AE766" s="35"/>
      <c r="AF766" s="35"/>
      <c r="AG766" s="35"/>
      <c r="AH766" s="35"/>
      <c r="AI766" s="34"/>
      <c r="AJ766" s="35"/>
      <c r="AK766" s="35"/>
      <c r="AL766" s="34"/>
      <c r="AM766" s="34"/>
      <c r="AN766" s="46"/>
      <c r="AO766" s="48"/>
      <c r="AP766" s="48"/>
      <c r="AQ766" s="48"/>
      <c r="AR766" s="48"/>
      <c r="AS766" s="48"/>
      <c r="AT766" s="48"/>
      <c r="AU766" s="48"/>
      <c r="AV766" s="48"/>
      <c r="AW766" s="48"/>
      <c r="AX766" s="48"/>
      <c r="AY766" s="43"/>
      <c r="AZ766" s="48"/>
      <c r="BA766" s="48"/>
      <c r="BB766" s="48"/>
      <c r="BC766" s="43"/>
      <c r="BD766" s="43"/>
      <c r="BE766" s="44"/>
      <c r="BF766" s="48"/>
      <c r="BG766" s="43"/>
    </row>
    <row r="767">
      <c r="A767" s="98"/>
      <c r="B767" s="99"/>
      <c r="C767" s="99"/>
      <c r="D767" s="21"/>
      <c r="E767" s="22"/>
      <c r="F767" s="100"/>
      <c r="G767" s="101"/>
      <c r="H767" s="100"/>
      <c r="I767" s="102"/>
      <c r="J767" s="26"/>
      <c r="K767" s="103"/>
      <c r="L767" s="47"/>
      <c r="M767" s="30"/>
      <c r="N767" s="104"/>
      <c r="O767" s="104"/>
      <c r="P767" s="26"/>
      <c r="Q767" s="26"/>
      <c r="R767" s="26"/>
      <c r="S767" s="30"/>
      <c r="T767" s="84"/>
      <c r="U767" s="84"/>
      <c r="V767" s="105"/>
      <c r="W767" s="106"/>
      <c r="X767" s="33"/>
      <c r="Y767" s="34"/>
      <c r="Z767" s="34"/>
      <c r="AA767" s="34"/>
      <c r="AB767" s="34"/>
      <c r="AC767" s="107"/>
      <c r="AD767" s="35"/>
      <c r="AE767" s="35"/>
      <c r="AF767" s="35"/>
      <c r="AG767" s="35"/>
      <c r="AH767" s="35"/>
      <c r="AI767" s="34"/>
      <c r="AJ767" s="35"/>
      <c r="AK767" s="35"/>
      <c r="AL767" s="34"/>
      <c r="AM767" s="34"/>
      <c r="AN767" s="46"/>
      <c r="AO767" s="48"/>
      <c r="AP767" s="48"/>
      <c r="AQ767" s="48"/>
      <c r="AR767" s="48"/>
      <c r="AS767" s="48"/>
      <c r="AT767" s="48"/>
      <c r="AU767" s="48"/>
      <c r="AV767" s="48"/>
      <c r="AW767" s="48"/>
      <c r="AX767" s="48"/>
      <c r="AY767" s="43"/>
      <c r="AZ767" s="48"/>
      <c r="BA767" s="48"/>
      <c r="BB767" s="48"/>
      <c r="BC767" s="43"/>
      <c r="BD767" s="43"/>
      <c r="BE767" s="44"/>
      <c r="BF767" s="48"/>
      <c r="BG767" s="43"/>
    </row>
    <row r="768">
      <c r="A768" s="98"/>
      <c r="B768" s="99"/>
      <c r="C768" s="99"/>
      <c r="D768" s="21"/>
      <c r="E768" s="22"/>
      <c r="F768" s="100"/>
      <c r="G768" s="101"/>
      <c r="H768" s="100"/>
      <c r="I768" s="102"/>
      <c r="J768" s="26"/>
      <c r="K768" s="103"/>
      <c r="L768" s="47"/>
      <c r="M768" s="30"/>
      <c r="N768" s="104"/>
      <c r="O768" s="104"/>
      <c r="P768" s="26"/>
      <c r="Q768" s="26"/>
      <c r="R768" s="26"/>
      <c r="S768" s="30"/>
      <c r="T768" s="84"/>
      <c r="U768" s="84"/>
      <c r="V768" s="105"/>
      <c r="W768" s="106"/>
      <c r="X768" s="33"/>
      <c r="Y768" s="34"/>
      <c r="Z768" s="34"/>
      <c r="AA768" s="34"/>
      <c r="AB768" s="34"/>
      <c r="AC768" s="107"/>
      <c r="AD768" s="35"/>
      <c r="AE768" s="35"/>
      <c r="AF768" s="35"/>
      <c r="AG768" s="35"/>
      <c r="AH768" s="35"/>
      <c r="AI768" s="34"/>
      <c r="AJ768" s="35"/>
      <c r="AK768" s="35"/>
      <c r="AL768" s="34"/>
      <c r="AM768" s="34"/>
      <c r="AN768" s="46"/>
      <c r="AO768" s="48"/>
      <c r="AP768" s="48"/>
      <c r="AQ768" s="48"/>
      <c r="AR768" s="48"/>
      <c r="AS768" s="48"/>
      <c r="AT768" s="48"/>
      <c r="AU768" s="48"/>
      <c r="AV768" s="48"/>
      <c r="AW768" s="48"/>
      <c r="AX768" s="48"/>
      <c r="AY768" s="43"/>
      <c r="AZ768" s="48"/>
      <c r="BA768" s="48"/>
      <c r="BB768" s="48"/>
      <c r="BC768" s="43"/>
      <c r="BD768" s="43"/>
      <c r="BE768" s="44"/>
      <c r="BF768" s="48"/>
      <c r="BG768" s="43"/>
    </row>
    <row r="769">
      <c r="A769" s="98"/>
      <c r="B769" s="99"/>
      <c r="C769" s="99"/>
      <c r="D769" s="21"/>
      <c r="E769" s="22"/>
      <c r="F769" s="100"/>
      <c r="G769" s="101"/>
      <c r="H769" s="100"/>
      <c r="I769" s="102"/>
      <c r="J769" s="26"/>
      <c r="K769" s="103"/>
      <c r="L769" s="47"/>
      <c r="M769" s="30"/>
      <c r="N769" s="104"/>
      <c r="O769" s="104"/>
      <c r="P769" s="26"/>
      <c r="Q769" s="26"/>
      <c r="R769" s="26"/>
      <c r="S769" s="30"/>
      <c r="T769" s="84"/>
      <c r="U769" s="84"/>
      <c r="V769" s="105"/>
      <c r="W769" s="106"/>
      <c r="X769" s="33"/>
      <c r="Y769" s="34"/>
      <c r="Z769" s="34"/>
      <c r="AA769" s="34"/>
      <c r="AB769" s="34"/>
      <c r="AC769" s="107"/>
      <c r="AD769" s="35"/>
      <c r="AE769" s="35"/>
      <c r="AF769" s="35"/>
      <c r="AG769" s="35"/>
      <c r="AH769" s="35"/>
      <c r="AI769" s="34"/>
      <c r="AJ769" s="35"/>
      <c r="AK769" s="35"/>
      <c r="AL769" s="34"/>
      <c r="AM769" s="34"/>
      <c r="AN769" s="46"/>
      <c r="AO769" s="48"/>
      <c r="AP769" s="48"/>
      <c r="AQ769" s="48"/>
      <c r="AR769" s="48"/>
      <c r="AS769" s="48"/>
      <c r="AT769" s="48"/>
      <c r="AU769" s="48"/>
      <c r="AV769" s="48"/>
      <c r="AW769" s="48"/>
      <c r="AX769" s="48"/>
      <c r="AY769" s="43"/>
      <c r="AZ769" s="48"/>
      <c r="BA769" s="48"/>
      <c r="BB769" s="48"/>
      <c r="BC769" s="43"/>
      <c r="BD769" s="43"/>
      <c r="BE769" s="44"/>
      <c r="BF769" s="48"/>
      <c r="BG769" s="43"/>
    </row>
    <row r="770">
      <c r="A770" s="98"/>
      <c r="B770" s="99"/>
      <c r="C770" s="99"/>
      <c r="D770" s="21"/>
      <c r="E770" s="22"/>
      <c r="F770" s="100"/>
      <c r="G770" s="101"/>
      <c r="H770" s="100"/>
      <c r="I770" s="102"/>
      <c r="J770" s="26"/>
      <c r="K770" s="103"/>
      <c r="L770" s="47"/>
      <c r="M770" s="30"/>
      <c r="N770" s="104"/>
      <c r="O770" s="104"/>
      <c r="P770" s="26"/>
      <c r="Q770" s="26"/>
      <c r="R770" s="26"/>
      <c r="S770" s="30"/>
      <c r="T770" s="84"/>
      <c r="U770" s="84"/>
      <c r="V770" s="105"/>
      <c r="W770" s="106"/>
      <c r="X770" s="33"/>
      <c r="Y770" s="34"/>
      <c r="Z770" s="34"/>
      <c r="AA770" s="34"/>
      <c r="AB770" s="34"/>
      <c r="AC770" s="107"/>
      <c r="AD770" s="35"/>
      <c r="AE770" s="35"/>
      <c r="AF770" s="35"/>
      <c r="AG770" s="35"/>
      <c r="AH770" s="35"/>
      <c r="AI770" s="34"/>
      <c r="AJ770" s="35"/>
      <c r="AK770" s="35"/>
      <c r="AL770" s="34"/>
      <c r="AM770" s="34"/>
      <c r="AN770" s="46"/>
      <c r="AO770" s="48"/>
      <c r="AP770" s="48"/>
      <c r="AQ770" s="48"/>
      <c r="AR770" s="48"/>
      <c r="AS770" s="48"/>
      <c r="AT770" s="48"/>
      <c r="AU770" s="48"/>
      <c r="AV770" s="48"/>
      <c r="AW770" s="48"/>
      <c r="AX770" s="48"/>
      <c r="AY770" s="43"/>
      <c r="AZ770" s="48"/>
      <c r="BA770" s="48"/>
      <c r="BB770" s="48"/>
      <c r="BC770" s="43"/>
      <c r="BD770" s="43"/>
      <c r="BE770" s="44"/>
      <c r="BF770" s="48"/>
      <c r="BG770" s="43"/>
    </row>
    <row r="771">
      <c r="A771" s="98"/>
      <c r="B771" s="99"/>
      <c r="C771" s="99"/>
      <c r="D771" s="21"/>
      <c r="E771" s="22"/>
      <c r="F771" s="100"/>
      <c r="G771" s="101"/>
      <c r="H771" s="100"/>
      <c r="I771" s="102"/>
      <c r="J771" s="26"/>
      <c r="K771" s="103"/>
      <c r="L771" s="47"/>
      <c r="M771" s="30"/>
      <c r="N771" s="104"/>
      <c r="O771" s="104"/>
      <c r="P771" s="26"/>
      <c r="Q771" s="26"/>
      <c r="R771" s="26"/>
      <c r="S771" s="30"/>
      <c r="T771" s="84"/>
      <c r="U771" s="84"/>
      <c r="V771" s="105"/>
      <c r="W771" s="106"/>
      <c r="X771" s="33"/>
      <c r="Y771" s="34"/>
      <c r="Z771" s="34"/>
      <c r="AA771" s="34"/>
      <c r="AB771" s="34"/>
      <c r="AC771" s="107"/>
      <c r="AD771" s="35"/>
      <c r="AE771" s="35"/>
      <c r="AF771" s="35"/>
      <c r="AG771" s="35"/>
      <c r="AH771" s="35"/>
      <c r="AI771" s="34"/>
      <c r="AJ771" s="35"/>
      <c r="AK771" s="35"/>
      <c r="AL771" s="34"/>
      <c r="AM771" s="34"/>
      <c r="AN771" s="46"/>
      <c r="AO771" s="48"/>
      <c r="AP771" s="48"/>
      <c r="AQ771" s="48"/>
      <c r="AR771" s="48"/>
      <c r="AS771" s="48"/>
      <c r="AT771" s="48"/>
      <c r="AU771" s="48"/>
      <c r="AV771" s="48"/>
      <c r="AW771" s="48"/>
      <c r="AX771" s="48"/>
      <c r="AY771" s="43"/>
      <c r="AZ771" s="48"/>
      <c r="BA771" s="48"/>
      <c r="BB771" s="48"/>
      <c r="BC771" s="43"/>
      <c r="BD771" s="43"/>
      <c r="BE771" s="44"/>
      <c r="BF771" s="48"/>
      <c r="BG771" s="43"/>
    </row>
    <row r="772">
      <c r="A772" s="98"/>
      <c r="B772" s="99"/>
      <c r="C772" s="99"/>
      <c r="D772" s="21"/>
      <c r="E772" s="22"/>
      <c r="F772" s="100"/>
      <c r="G772" s="101"/>
      <c r="H772" s="100"/>
      <c r="I772" s="102"/>
      <c r="J772" s="26"/>
      <c r="K772" s="103"/>
      <c r="L772" s="47"/>
      <c r="M772" s="30"/>
      <c r="N772" s="104"/>
      <c r="O772" s="104"/>
      <c r="P772" s="26"/>
      <c r="Q772" s="26"/>
      <c r="R772" s="26"/>
      <c r="S772" s="30"/>
      <c r="T772" s="84"/>
      <c r="U772" s="84"/>
      <c r="V772" s="105"/>
      <c r="W772" s="106"/>
      <c r="X772" s="33"/>
      <c r="Y772" s="34"/>
      <c r="Z772" s="34"/>
      <c r="AA772" s="34"/>
      <c r="AB772" s="34"/>
      <c r="AC772" s="107"/>
      <c r="AD772" s="35"/>
      <c r="AE772" s="35"/>
      <c r="AF772" s="35"/>
      <c r="AG772" s="35"/>
      <c r="AH772" s="35"/>
      <c r="AI772" s="34"/>
      <c r="AJ772" s="35"/>
      <c r="AK772" s="35"/>
      <c r="AL772" s="34"/>
      <c r="AM772" s="34"/>
      <c r="AN772" s="46"/>
      <c r="AO772" s="48"/>
      <c r="AP772" s="48"/>
      <c r="AQ772" s="48"/>
      <c r="AR772" s="48"/>
      <c r="AS772" s="48"/>
      <c r="AT772" s="48"/>
      <c r="AU772" s="48"/>
      <c r="AV772" s="48"/>
      <c r="AW772" s="48"/>
      <c r="AX772" s="48"/>
      <c r="AY772" s="43"/>
      <c r="AZ772" s="48"/>
      <c r="BA772" s="48"/>
      <c r="BB772" s="48"/>
      <c r="BC772" s="43"/>
      <c r="BD772" s="43"/>
      <c r="BE772" s="44"/>
      <c r="BF772" s="48"/>
      <c r="BG772" s="43"/>
    </row>
    <row r="773">
      <c r="A773" s="98"/>
      <c r="B773" s="99"/>
      <c r="C773" s="99"/>
      <c r="D773" s="21"/>
      <c r="E773" s="22"/>
      <c r="F773" s="100"/>
      <c r="G773" s="101"/>
      <c r="H773" s="100"/>
      <c r="I773" s="102"/>
      <c r="J773" s="26"/>
      <c r="K773" s="103"/>
      <c r="L773" s="47"/>
      <c r="M773" s="30"/>
      <c r="N773" s="104"/>
      <c r="O773" s="104"/>
      <c r="P773" s="26"/>
      <c r="Q773" s="26"/>
      <c r="R773" s="26"/>
      <c r="S773" s="30"/>
      <c r="T773" s="84"/>
      <c r="U773" s="84"/>
      <c r="V773" s="105"/>
      <c r="W773" s="106"/>
      <c r="X773" s="33"/>
      <c r="Y773" s="34"/>
      <c r="Z773" s="34"/>
      <c r="AA773" s="34"/>
      <c r="AB773" s="34"/>
      <c r="AC773" s="107"/>
      <c r="AD773" s="35"/>
      <c r="AE773" s="35"/>
      <c r="AF773" s="35"/>
      <c r="AG773" s="35"/>
      <c r="AH773" s="35"/>
      <c r="AI773" s="34"/>
      <c r="AJ773" s="35"/>
      <c r="AK773" s="35"/>
      <c r="AL773" s="34"/>
      <c r="AM773" s="34"/>
      <c r="AN773" s="46"/>
      <c r="AO773" s="48"/>
      <c r="AP773" s="48"/>
      <c r="AQ773" s="48"/>
      <c r="AR773" s="48"/>
      <c r="AS773" s="48"/>
      <c r="AT773" s="48"/>
      <c r="AU773" s="48"/>
      <c r="AV773" s="48"/>
      <c r="AW773" s="48"/>
      <c r="AX773" s="48"/>
      <c r="AY773" s="43"/>
      <c r="AZ773" s="48"/>
      <c r="BA773" s="48"/>
      <c r="BB773" s="48"/>
      <c r="BC773" s="43"/>
      <c r="BD773" s="43"/>
      <c r="BE773" s="44"/>
      <c r="BF773" s="48"/>
      <c r="BG773" s="43"/>
    </row>
    <row r="774">
      <c r="A774" s="98"/>
      <c r="B774" s="99"/>
      <c r="C774" s="99"/>
      <c r="D774" s="21"/>
      <c r="E774" s="22"/>
      <c r="F774" s="100"/>
      <c r="G774" s="101"/>
      <c r="H774" s="100"/>
      <c r="I774" s="102"/>
      <c r="J774" s="26"/>
      <c r="K774" s="103"/>
      <c r="L774" s="47"/>
      <c r="M774" s="30"/>
      <c r="N774" s="104"/>
      <c r="O774" s="104"/>
      <c r="P774" s="26"/>
      <c r="Q774" s="26"/>
      <c r="R774" s="26"/>
      <c r="S774" s="30"/>
      <c r="T774" s="84"/>
      <c r="U774" s="84"/>
      <c r="V774" s="105"/>
      <c r="W774" s="106"/>
      <c r="X774" s="33"/>
      <c r="Y774" s="34"/>
      <c r="Z774" s="34"/>
      <c r="AA774" s="34"/>
      <c r="AB774" s="34"/>
      <c r="AC774" s="107"/>
      <c r="AD774" s="35"/>
      <c r="AE774" s="35"/>
      <c r="AF774" s="35"/>
      <c r="AG774" s="35"/>
      <c r="AH774" s="35"/>
      <c r="AI774" s="34"/>
      <c r="AJ774" s="35"/>
      <c r="AK774" s="35"/>
      <c r="AL774" s="34"/>
      <c r="AM774" s="34"/>
      <c r="AN774" s="46"/>
      <c r="AO774" s="48"/>
      <c r="AP774" s="48"/>
      <c r="AQ774" s="48"/>
      <c r="AR774" s="48"/>
      <c r="AS774" s="48"/>
      <c r="AT774" s="48"/>
      <c r="AU774" s="48"/>
      <c r="AV774" s="48"/>
      <c r="AW774" s="48"/>
      <c r="AX774" s="48"/>
      <c r="AY774" s="43"/>
      <c r="AZ774" s="48"/>
      <c r="BA774" s="48"/>
      <c r="BB774" s="48"/>
      <c r="BC774" s="43"/>
      <c r="BD774" s="43"/>
      <c r="BE774" s="44"/>
      <c r="BF774" s="48"/>
      <c r="BG774" s="43"/>
    </row>
    <row r="775">
      <c r="A775" s="98"/>
      <c r="B775" s="99"/>
      <c r="C775" s="99"/>
      <c r="D775" s="21"/>
      <c r="E775" s="22"/>
      <c r="F775" s="100"/>
      <c r="G775" s="101"/>
      <c r="H775" s="100"/>
      <c r="I775" s="102"/>
      <c r="J775" s="26"/>
      <c r="K775" s="103"/>
      <c r="L775" s="47"/>
      <c r="M775" s="30"/>
      <c r="N775" s="104"/>
      <c r="O775" s="104"/>
      <c r="P775" s="26"/>
      <c r="Q775" s="26"/>
      <c r="R775" s="26"/>
      <c r="S775" s="30"/>
      <c r="T775" s="84"/>
      <c r="U775" s="84"/>
      <c r="V775" s="105"/>
      <c r="W775" s="106"/>
      <c r="X775" s="33"/>
      <c r="Y775" s="34"/>
      <c r="Z775" s="34"/>
      <c r="AA775" s="34"/>
      <c r="AB775" s="34"/>
      <c r="AC775" s="107"/>
      <c r="AD775" s="35"/>
      <c r="AE775" s="35"/>
      <c r="AF775" s="35"/>
      <c r="AG775" s="35"/>
      <c r="AH775" s="35"/>
      <c r="AI775" s="34"/>
      <c r="AJ775" s="35"/>
      <c r="AK775" s="35"/>
      <c r="AL775" s="34"/>
      <c r="AM775" s="34"/>
      <c r="AN775" s="46"/>
      <c r="AO775" s="48"/>
      <c r="AP775" s="48"/>
      <c r="AQ775" s="48"/>
      <c r="AR775" s="48"/>
      <c r="AS775" s="48"/>
      <c r="AT775" s="48"/>
      <c r="AU775" s="48"/>
      <c r="AV775" s="48"/>
      <c r="AW775" s="48"/>
      <c r="AX775" s="48"/>
      <c r="AY775" s="43"/>
      <c r="AZ775" s="48"/>
      <c r="BA775" s="48"/>
      <c r="BB775" s="48"/>
      <c r="BC775" s="43"/>
      <c r="BD775" s="43"/>
      <c r="BE775" s="44"/>
      <c r="BF775" s="48"/>
      <c r="BG775" s="43"/>
    </row>
    <row r="776">
      <c r="A776" s="98"/>
      <c r="B776" s="99"/>
      <c r="C776" s="99"/>
      <c r="D776" s="21"/>
      <c r="E776" s="22"/>
      <c r="F776" s="100"/>
      <c r="G776" s="101"/>
      <c r="H776" s="100"/>
      <c r="I776" s="102"/>
      <c r="J776" s="26"/>
      <c r="K776" s="103"/>
      <c r="L776" s="47"/>
      <c r="M776" s="30"/>
      <c r="N776" s="104"/>
      <c r="O776" s="104"/>
      <c r="P776" s="26"/>
      <c r="Q776" s="26"/>
      <c r="R776" s="26"/>
      <c r="S776" s="30"/>
      <c r="T776" s="84"/>
      <c r="U776" s="84"/>
      <c r="V776" s="105"/>
      <c r="W776" s="106"/>
      <c r="X776" s="33"/>
      <c r="Y776" s="34"/>
      <c r="Z776" s="34"/>
      <c r="AA776" s="34"/>
      <c r="AB776" s="34"/>
      <c r="AC776" s="107"/>
      <c r="AD776" s="35"/>
      <c r="AE776" s="35"/>
      <c r="AF776" s="35"/>
      <c r="AG776" s="35"/>
      <c r="AH776" s="35"/>
      <c r="AI776" s="34"/>
      <c r="AJ776" s="35"/>
      <c r="AK776" s="35"/>
      <c r="AL776" s="34"/>
      <c r="AM776" s="34"/>
      <c r="AN776" s="46"/>
      <c r="AO776" s="48"/>
      <c r="AP776" s="48"/>
      <c r="AQ776" s="48"/>
      <c r="AR776" s="48"/>
      <c r="AS776" s="48"/>
      <c r="AT776" s="48"/>
      <c r="AU776" s="48"/>
      <c r="AV776" s="48"/>
      <c r="AW776" s="48"/>
      <c r="AX776" s="48"/>
      <c r="AY776" s="43"/>
      <c r="AZ776" s="48"/>
      <c r="BA776" s="48"/>
      <c r="BB776" s="48"/>
      <c r="BC776" s="43"/>
      <c r="BD776" s="43"/>
      <c r="BE776" s="44"/>
      <c r="BF776" s="48"/>
      <c r="BG776" s="43"/>
    </row>
    <row r="777">
      <c r="A777" s="98"/>
      <c r="B777" s="99"/>
      <c r="C777" s="99"/>
      <c r="D777" s="21"/>
      <c r="E777" s="22"/>
      <c r="F777" s="100"/>
      <c r="G777" s="101"/>
      <c r="H777" s="100"/>
      <c r="I777" s="102"/>
      <c r="J777" s="26"/>
      <c r="K777" s="103"/>
      <c r="L777" s="47"/>
      <c r="M777" s="30"/>
      <c r="N777" s="104"/>
      <c r="O777" s="104"/>
      <c r="P777" s="26"/>
      <c r="Q777" s="26"/>
      <c r="R777" s="26"/>
      <c r="S777" s="30"/>
      <c r="T777" s="84"/>
      <c r="U777" s="84"/>
      <c r="V777" s="105"/>
      <c r="W777" s="106"/>
      <c r="X777" s="33"/>
      <c r="Y777" s="34"/>
      <c r="Z777" s="34"/>
      <c r="AA777" s="34"/>
      <c r="AB777" s="34"/>
      <c r="AC777" s="107"/>
      <c r="AD777" s="35"/>
      <c r="AE777" s="35"/>
      <c r="AF777" s="35"/>
      <c r="AG777" s="35"/>
      <c r="AH777" s="35"/>
      <c r="AI777" s="34"/>
      <c r="AJ777" s="35"/>
      <c r="AK777" s="35"/>
      <c r="AL777" s="34"/>
      <c r="AM777" s="34"/>
      <c r="AN777" s="46"/>
      <c r="AO777" s="48"/>
      <c r="AP777" s="48"/>
      <c r="AQ777" s="48"/>
      <c r="AR777" s="48"/>
      <c r="AS777" s="48"/>
      <c r="AT777" s="48"/>
      <c r="AU777" s="48"/>
      <c r="AV777" s="48"/>
      <c r="AW777" s="48"/>
      <c r="AX777" s="48"/>
      <c r="AY777" s="43"/>
      <c r="AZ777" s="48"/>
      <c r="BA777" s="48"/>
      <c r="BB777" s="48"/>
      <c r="BC777" s="43"/>
      <c r="BD777" s="43"/>
      <c r="BE777" s="44"/>
      <c r="BF777" s="48"/>
      <c r="BG777" s="43"/>
    </row>
    <row r="778">
      <c r="A778" s="98"/>
      <c r="B778" s="99"/>
      <c r="C778" s="99"/>
      <c r="D778" s="21"/>
      <c r="E778" s="22"/>
      <c r="F778" s="100"/>
      <c r="G778" s="101"/>
      <c r="H778" s="100"/>
      <c r="I778" s="102"/>
      <c r="J778" s="26"/>
      <c r="K778" s="103"/>
      <c r="L778" s="47"/>
      <c r="M778" s="30"/>
      <c r="N778" s="104"/>
      <c r="O778" s="104"/>
      <c r="P778" s="26"/>
      <c r="Q778" s="26"/>
      <c r="R778" s="26"/>
      <c r="S778" s="30"/>
      <c r="T778" s="84"/>
      <c r="U778" s="84"/>
      <c r="V778" s="105"/>
      <c r="W778" s="106"/>
      <c r="X778" s="33"/>
      <c r="Y778" s="34"/>
      <c r="Z778" s="34"/>
      <c r="AA778" s="34"/>
      <c r="AB778" s="34"/>
      <c r="AC778" s="107"/>
      <c r="AD778" s="35"/>
      <c r="AE778" s="35"/>
      <c r="AF778" s="35"/>
      <c r="AG778" s="35"/>
      <c r="AH778" s="35"/>
      <c r="AI778" s="34"/>
      <c r="AJ778" s="35"/>
      <c r="AK778" s="35"/>
      <c r="AL778" s="34"/>
      <c r="AM778" s="34"/>
      <c r="AN778" s="46"/>
      <c r="AO778" s="48"/>
      <c r="AP778" s="48"/>
      <c r="AQ778" s="48"/>
      <c r="AR778" s="48"/>
      <c r="AS778" s="48"/>
      <c r="AT778" s="48"/>
      <c r="AU778" s="48"/>
      <c r="AV778" s="48"/>
      <c r="AW778" s="48"/>
      <c r="AX778" s="48"/>
      <c r="AY778" s="43"/>
      <c r="AZ778" s="48"/>
      <c r="BA778" s="48"/>
      <c r="BB778" s="48"/>
      <c r="BC778" s="43"/>
      <c r="BD778" s="43"/>
      <c r="BE778" s="44"/>
      <c r="BF778" s="48"/>
      <c r="BG778" s="43"/>
    </row>
    <row r="779">
      <c r="A779" s="98"/>
      <c r="B779" s="99"/>
      <c r="C779" s="99"/>
      <c r="D779" s="21"/>
      <c r="E779" s="22"/>
      <c r="F779" s="100"/>
      <c r="G779" s="101"/>
      <c r="H779" s="100"/>
      <c r="I779" s="102"/>
      <c r="J779" s="26"/>
      <c r="K779" s="103"/>
      <c r="L779" s="47"/>
      <c r="M779" s="30"/>
      <c r="N779" s="104"/>
      <c r="O779" s="104"/>
      <c r="P779" s="26"/>
      <c r="Q779" s="26"/>
      <c r="R779" s="26"/>
      <c r="S779" s="30"/>
      <c r="T779" s="84"/>
      <c r="U779" s="84"/>
      <c r="V779" s="105"/>
      <c r="W779" s="106"/>
      <c r="X779" s="33"/>
      <c r="Y779" s="34"/>
      <c r="Z779" s="34"/>
      <c r="AA779" s="34"/>
      <c r="AB779" s="34"/>
      <c r="AC779" s="107"/>
      <c r="AD779" s="35"/>
      <c r="AE779" s="35"/>
      <c r="AF779" s="35"/>
      <c r="AG779" s="35"/>
      <c r="AH779" s="35"/>
      <c r="AI779" s="34"/>
      <c r="AJ779" s="35"/>
      <c r="AK779" s="35"/>
      <c r="AL779" s="34"/>
      <c r="AM779" s="34"/>
      <c r="AN779" s="46"/>
      <c r="AO779" s="48"/>
      <c r="AP779" s="48"/>
      <c r="AQ779" s="48"/>
      <c r="AR779" s="48"/>
      <c r="AS779" s="48"/>
      <c r="AT779" s="48"/>
      <c r="AU779" s="48"/>
      <c r="AV779" s="48"/>
      <c r="AW779" s="48"/>
      <c r="AX779" s="48"/>
      <c r="AY779" s="43"/>
      <c r="AZ779" s="48"/>
      <c r="BA779" s="48"/>
      <c r="BB779" s="48"/>
      <c r="BC779" s="43"/>
      <c r="BD779" s="43"/>
      <c r="BE779" s="44"/>
      <c r="BF779" s="48"/>
      <c r="BG779" s="43"/>
    </row>
    <row r="780">
      <c r="A780" s="98"/>
      <c r="B780" s="99"/>
      <c r="C780" s="99"/>
      <c r="D780" s="21"/>
      <c r="E780" s="22"/>
      <c r="F780" s="100"/>
      <c r="G780" s="101"/>
      <c r="H780" s="100"/>
      <c r="I780" s="102"/>
      <c r="J780" s="26"/>
      <c r="K780" s="103"/>
      <c r="L780" s="47"/>
      <c r="M780" s="30"/>
      <c r="N780" s="104"/>
      <c r="O780" s="104"/>
      <c r="P780" s="26"/>
      <c r="Q780" s="26"/>
      <c r="R780" s="26"/>
      <c r="S780" s="30"/>
      <c r="T780" s="84"/>
      <c r="U780" s="84"/>
      <c r="V780" s="105"/>
      <c r="W780" s="106"/>
      <c r="X780" s="33"/>
      <c r="Y780" s="34"/>
      <c r="Z780" s="34"/>
      <c r="AA780" s="34"/>
      <c r="AB780" s="34"/>
      <c r="AC780" s="107"/>
      <c r="AD780" s="35"/>
      <c r="AE780" s="35"/>
      <c r="AF780" s="35"/>
      <c r="AG780" s="35"/>
      <c r="AH780" s="35"/>
      <c r="AI780" s="34"/>
      <c r="AJ780" s="35"/>
      <c r="AK780" s="35"/>
      <c r="AL780" s="34"/>
      <c r="AM780" s="34"/>
      <c r="AN780" s="46"/>
      <c r="AO780" s="48"/>
      <c r="AP780" s="48"/>
      <c r="AQ780" s="48"/>
      <c r="AR780" s="48"/>
      <c r="AS780" s="48"/>
      <c r="AT780" s="48"/>
      <c r="AU780" s="48"/>
      <c r="AV780" s="48"/>
      <c r="AW780" s="48"/>
      <c r="AX780" s="48"/>
      <c r="AY780" s="43"/>
      <c r="AZ780" s="48"/>
      <c r="BA780" s="48"/>
      <c r="BB780" s="48"/>
      <c r="BC780" s="43"/>
      <c r="BD780" s="43"/>
      <c r="BE780" s="44"/>
      <c r="BF780" s="48"/>
      <c r="BG780" s="43"/>
    </row>
    <row r="781">
      <c r="A781" s="98"/>
      <c r="B781" s="99"/>
      <c r="C781" s="99"/>
      <c r="D781" s="21"/>
      <c r="E781" s="22"/>
      <c r="F781" s="100"/>
      <c r="G781" s="101"/>
      <c r="H781" s="100"/>
      <c r="I781" s="102"/>
      <c r="J781" s="26"/>
      <c r="K781" s="103"/>
      <c r="L781" s="47"/>
      <c r="M781" s="30"/>
      <c r="N781" s="104"/>
      <c r="O781" s="104"/>
      <c r="P781" s="26"/>
      <c r="Q781" s="26"/>
      <c r="R781" s="26"/>
      <c r="S781" s="30"/>
      <c r="T781" s="84"/>
      <c r="U781" s="84"/>
      <c r="V781" s="105"/>
      <c r="W781" s="106"/>
      <c r="X781" s="33"/>
      <c r="Y781" s="34"/>
      <c r="Z781" s="34"/>
      <c r="AA781" s="34"/>
      <c r="AB781" s="34"/>
      <c r="AC781" s="107"/>
      <c r="AD781" s="35"/>
      <c r="AE781" s="35"/>
      <c r="AF781" s="35"/>
      <c r="AG781" s="35"/>
      <c r="AH781" s="35"/>
      <c r="AI781" s="34"/>
      <c r="AJ781" s="35"/>
      <c r="AK781" s="35"/>
      <c r="AL781" s="34"/>
      <c r="AM781" s="34"/>
      <c r="AN781" s="46"/>
      <c r="AO781" s="48"/>
      <c r="AP781" s="48"/>
      <c r="AQ781" s="48"/>
      <c r="AR781" s="48"/>
      <c r="AS781" s="48"/>
      <c r="AT781" s="48"/>
      <c r="AU781" s="48"/>
      <c r="AV781" s="48"/>
      <c r="AW781" s="48"/>
      <c r="AX781" s="48"/>
      <c r="AY781" s="43"/>
      <c r="AZ781" s="48"/>
      <c r="BA781" s="48"/>
      <c r="BB781" s="48"/>
      <c r="BC781" s="43"/>
      <c r="BD781" s="43"/>
      <c r="BE781" s="44"/>
      <c r="BF781" s="48"/>
      <c r="BG781" s="43"/>
    </row>
    <row r="782">
      <c r="A782" s="98"/>
      <c r="B782" s="99"/>
      <c r="C782" s="99"/>
      <c r="D782" s="21"/>
      <c r="E782" s="22"/>
      <c r="F782" s="100"/>
      <c r="G782" s="101"/>
      <c r="H782" s="100"/>
      <c r="I782" s="102"/>
      <c r="J782" s="26"/>
      <c r="K782" s="103"/>
      <c r="L782" s="47"/>
      <c r="M782" s="30"/>
      <c r="N782" s="104"/>
      <c r="O782" s="104"/>
      <c r="P782" s="26"/>
      <c r="Q782" s="26"/>
      <c r="R782" s="26"/>
      <c r="S782" s="30"/>
      <c r="T782" s="84"/>
      <c r="U782" s="84"/>
      <c r="V782" s="105"/>
      <c r="W782" s="106"/>
      <c r="X782" s="33"/>
      <c r="Y782" s="34"/>
      <c r="Z782" s="34"/>
      <c r="AA782" s="34"/>
      <c r="AB782" s="34"/>
      <c r="AC782" s="107"/>
      <c r="AD782" s="35"/>
      <c r="AE782" s="35"/>
      <c r="AF782" s="35"/>
      <c r="AG782" s="35"/>
      <c r="AH782" s="35"/>
      <c r="AI782" s="34"/>
      <c r="AJ782" s="35"/>
      <c r="AK782" s="35"/>
      <c r="AL782" s="34"/>
      <c r="AM782" s="34"/>
      <c r="AN782" s="46"/>
      <c r="AO782" s="48"/>
      <c r="AP782" s="48"/>
      <c r="AQ782" s="48"/>
      <c r="AR782" s="48"/>
      <c r="AS782" s="48"/>
      <c r="AT782" s="48"/>
      <c r="AU782" s="48"/>
      <c r="AV782" s="48"/>
      <c r="AW782" s="48"/>
      <c r="AX782" s="48"/>
      <c r="AY782" s="43"/>
      <c r="AZ782" s="48"/>
      <c r="BA782" s="48"/>
      <c r="BB782" s="48"/>
      <c r="BC782" s="43"/>
      <c r="BD782" s="43"/>
      <c r="BE782" s="44"/>
      <c r="BF782" s="48"/>
      <c r="BG782" s="43"/>
    </row>
    <row r="783">
      <c r="A783" s="98"/>
      <c r="B783" s="99"/>
      <c r="C783" s="99"/>
      <c r="D783" s="21"/>
      <c r="E783" s="22"/>
      <c r="F783" s="100"/>
      <c r="G783" s="101"/>
      <c r="H783" s="100"/>
      <c r="I783" s="102"/>
      <c r="J783" s="26"/>
      <c r="K783" s="103"/>
      <c r="L783" s="47"/>
      <c r="M783" s="30"/>
      <c r="N783" s="104"/>
      <c r="O783" s="104"/>
      <c r="P783" s="26"/>
      <c r="Q783" s="26"/>
      <c r="R783" s="26"/>
      <c r="S783" s="30"/>
      <c r="T783" s="84"/>
      <c r="U783" s="84"/>
      <c r="V783" s="105"/>
      <c r="W783" s="106"/>
      <c r="X783" s="33"/>
      <c r="Y783" s="34"/>
      <c r="Z783" s="34"/>
      <c r="AA783" s="34"/>
      <c r="AB783" s="34"/>
      <c r="AC783" s="107"/>
      <c r="AD783" s="35"/>
      <c r="AE783" s="35"/>
      <c r="AF783" s="35"/>
      <c r="AG783" s="35"/>
      <c r="AH783" s="35"/>
      <c r="AI783" s="34"/>
      <c r="AJ783" s="35"/>
      <c r="AK783" s="35"/>
      <c r="AL783" s="34"/>
      <c r="AM783" s="34"/>
      <c r="AN783" s="46"/>
      <c r="AO783" s="48"/>
      <c r="AP783" s="48"/>
      <c r="AQ783" s="48"/>
      <c r="AR783" s="48"/>
      <c r="AS783" s="48"/>
      <c r="AT783" s="48"/>
      <c r="AU783" s="48"/>
      <c r="AV783" s="48"/>
      <c r="AW783" s="48"/>
      <c r="AX783" s="48"/>
      <c r="AY783" s="43"/>
      <c r="AZ783" s="48"/>
      <c r="BA783" s="48"/>
      <c r="BB783" s="48"/>
      <c r="BC783" s="43"/>
      <c r="BD783" s="43"/>
      <c r="BE783" s="44"/>
      <c r="BF783" s="48"/>
      <c r="BG783" s="43"/>
    </row>
    <row r="784">
      <c r="A784" s="98"/>
      <c r="B784" s="99"/>
      <c r="C784" s="99"/>
      <c r="D784" s="21"/>
      <c r="E784" s="22"/>
      <c r="F784" s="100"/>
      <c r="G784" s="101"/>
      <c r="H784" s="100"/>
      <c r="I784" s="102"/>
      <c r="J784" s="26"/>
      <c r="K784" s="103"/>
      <c r="L784" s="47"/>
      <c r="M784" s="30"/>
      <c r="N784" s="104"/>
      <c r="O784" s="104"/>
      <c r="P784" s="26"/>
      <c r="Q784" s="26"/>
      <c r="R784" s="26"/>
      <c r="S784" s="30"/>
      <c r="T784" s="84"/>
      <c r="U784" s="84"/>
      <c r="V784" s="105"/>
      <c r="W784" s="106"/>
      <c r="X784" s="33"/>
      <c r="Y784" s="34"/>
      <c r="Z784" s="34"/>
      <c r="AA784" s="34"/>
      <c r="AB784" s="34"/>
      <c r="AC784" s="107"/>
      <c r="AD784" s="35"/>
      <c r="AE784" s="35"/>
      <c r="AF784" s="35"/>
      <c r="AG784" s="35"/>
      <c r="AH784" s="35"/>
      <c r="AI784" s="34"/>
      <c r="AJ784" s="35"/>
      <c r="AK784" s="35"/>
      <c r="AL784" s="34"/>
      <c r="AM784" s="34"/>
      <c r="AN784" s="46"/>
      <c r="AO784" s="48"/>
      <c r="AP784" s="48"/>
      <c r="AQ784" s="48"/>
      <c r="AR784" s="48"/>
      <c r="AS784" s="48"/>
      <c r="AT784" s="48"/>
      <c r="AU784" s="48"/>
      <c r="AV784" s="48"/>
      <c r="AW784" s="48"/>
      <c r="AX784" s="48"/>
      <c r="AY784" s="43"/>
      <c r="AZ784" s="48"/>
      <c r="BA784" s="48"/>
      <c r="BB784" s="48"/>
      <c r="BC784" s="43"/>
      <c r="BD784" s="43"/>
      <c r="BE784" s="44"/>
      <c r="BF784" s="48"/>
      <c r="BG784" s="43"/>
    </row>
    <row r="785">
      <c r="A785" s="98"/>
      <c r="B785" s="99"/>
      <c r="C785" s="99"/>
      <c r="D785" s="21"/>
      <c r="E785" s="22"/>
      <c r="F785" s="100"/>
      <c r="G785" s="101"/>
      <c r="H785" s="100"/>
      <c r="I785" s="102"/>
      <c r="J785" s="26"/>
      <c r="K785" s="103"/>
      <c r="L785" s="47"/>
      <c r="M785" s="30"/>
      <c r="N785" s="104"/>
      <c r="O785" s="104"/>
      <c r="P785" s="26"/>
      <c r="Q785" s="26"/>
      <c r="R785" s="26"/>
      <c r="S785" s="30"/>
      <c r="T785" s="84"/>
      <c r="U785" s="84"/>
      <c r="V785" s="105"/>
      <c r="W785" s="106"/>
      <c r="X785" s="33"/>
      <c r="Y785" s="34"/>
      <c r="Z785" s="34"/>
      <c r="AA785" s="34"/>
      <c r="AB785" s="34"/>
      <c r="AC785" s="107"/>
      <c r="AD785" s="35"/>
      <c r="AE785" s="35"/>
      <c r="AF785" s="35"/>
      <c r="AG785" s="35"/>
      <c r="AH785" s="35"/>
      <c r="AI785" s="34"/>
      <c r="AJ785" s="35"/>
      <c r="AK785" s="35"/>
      <c r="AL785" s="34"/>
      <c r="AM785" s="34"/>
      <c r="AN785" s="46"/>
      <c r="AO785" s="48"/>
      <c r="AP785" s="48"/>
      <c r="AQ785" s="48"/>
      <c r="AR785" s="48"/>
      <c r="AS785" s="48"/>
      <c r="AT785" s="48"/>
      <c r="AU785" s="48"/>
      <c r="AV785" s="48"/>
      <c r="AW785" s="48"/>
      <c r="AX785" s="48"/>
      <c r="AY785" s="43"/>
      <c r="AZ785" s="48"/>
      <c r="BA785" s="48"/>
      <c r="BB785" s="48"/>
      <c r="BC785" s="43"/>
      <c r="BD785" s="43"/>
      <c r="BE785" s="44"/>
      <c r="BF785" s="48"/>
      <c r="BG785" s="43"/>
    </row>
    <row r="786">
      <c r="A786" s="98"/>
      <c r="B786" s="99"/>
      <c r="C786" s="99"/>
      <c r="D786" s="21"/>
      <c r="E786" s="22"/>
      <c r="F786" s="100"/>
      <c r="G786" s="101"/>
      <c r="H786" s="100"/>
      <c r="I786" s="102"/>
      <c r="J786" s="26"/>
      <c r="K786" s="103"/>
      <c r="L786" s="47"/>
      <c r="M786" s="30"/>
      <c r="N786" s="104"/>
      <c r="O786" s="104"/>
      <c r="P786" s="26"/>
      <c r="Q786" s="26"/>
      <c r="R786" s="26"/>
      <c r="S786" s="30"/>
      <c r="T786" s="84"/>
      <c r="U786" s="84"/>
      <c r="V786" s="105"/>
      <c r="W786" s="106"/>
      <c r="X786" s="33"/>
      <c r="Y786" s="34"/>
      <c r="Z786" s="34"/>
      <c r="AA786" s="34"/>
      <c r="AB786" s="34"/>
      <c r="AC786" s="107"/>
      <c r="AD786" s="35"/>
      <c r="AE786" s="35"/>
      <c r="AF786" s="35"/>
      <c r="AG786" s="35"/>
      <c r="AH786" s="35"/>
      <c r="AI786" s="34"/>
      <c r="AJ786" s="35"/>
      <c r="AK786" s="35"/>
      <c r="AL786" s="34"/>
      <c r="AM786" s="34"/>
      <c r="AN786" s="46"/>
      <c r="AO786" s="48"/>
      <c r="AP786" s="48"/>
      <c r="AQ786" s="48"/>
      <c r="AR786" s="48"/>
      <c r="AS786" s="48"/>
      <c r="AT786" s="48"/>
      <c r="AU786" s="48"/>
      <c r="AV786" s="48"/>
      <c r="AW786" s="48"/>
      <c r="AX786" s="48"/>
      <c r="AY786" s="43"/>
      <c r="AZ786" s="48"/>
      <c r="BA786" s="48"/>
      <c r="BB786" s="48"/>
      <c r="BC786" s="43"/>
      <c r="BD786" s="43"/>
      <c r="BE786" s="44"/>
      <c r="BF786" s="48"/>
      <c r="BG786" s="43"/>
    </row>
    <row r="787">
      <c r="A787" s="98"/>
      <c r="B787" s="99"/>
      <c r="C787" s="99"/>
      <c r="D787" s="21"/>
      <c r="E787" s="22"/>
      <c r="F787" s="100"/>
      <c r="G787" s="101"/>
      <c r="H787" s="100"/>
      <c r="I787" s="102"/>
      <c r="J787" s="26"/>
      <c r="K787" s="103"/>
      <c r="L787" s="47"/>
      <c r="M787" s="30"/>
      <c r="N787" s="104"/>
      <c r="O787" s="104"/>
      <c r="P787" s="26"/>
      <c r="Q787" s="26"/>
      <c r="R787" s="26"/>
      <c r="S787" s="30"/>
      <c r="T787" s="84"/>
      <c r="U787" s="84"/>
      <c r="V787" s="105"/>
      <c r="W787" s="106"/>
      <c r="X787" s="33"/>
      <c r="Y787" s="34"/>
      <c r="Z787" s="34"/>
      <c r="AA787" s="34"/>
      <c r="AB787" s="34"/>
      <c r="AC787" s="107"/>
      <c r="AD787" s="35"/>
      <c r="AE787" s="35"/>
      <c r="AF787" s="35"/>
      <c r="AG787" s="35"/>
      <c r="AH787" s="35"/>
      <c r="AI787" s="34"/>
      <c r="AJ787" s="35"/>
      <c r="AK787" s="35"/>
      <c r="AL787" s="34"/>
      <c r="AM787" s="34"/>
      <c r="AN787" s="46"/>
      <c r="AO787" s="48"/>
      <c r="AP787" s="48"/>
      <c r="AQ787" s="48"/>
      <c r="AR787" s="48"/>
      <c r="AS787" s="48"/>
      <c r="AT787" s="48"/>
      <c r="AU787" s="48"/>
      <c r="AV787" s="48"/>
      <c r="AW787" s="48"/>
      <c r="AX787" s="48"/>
      <c r="AY787" s="43"/>
      <c r="AZ787" s="48"/>
      <c r="BA787" s="48"/>
      <c r="BB787" s="48"/>
      <c r="BC787" s="43"/>
      <c r="BD787" s="43"/>
      <c r="BE787" s="44"/>
      <c r="BF787" s="48"/>
      <c r="BG787" s="43"/>
    </row>
    <row r="788">
      <c r="A788" s="98"/>
      <c r="B788" s="99"/>
      <c r="C788" s="99"/>
      <c r="D788" s="21"/>
      <c r="E788" s="22"/>
      <c r="F788" s="100"/>
      <c r="G788" s="101"/>
      <c r="H788" s="100"/>
      <c r="I788" s="102"/>
      <c r="J788" s="26"/>
      <c r="K788" s="103"/>
      <c r="L788" s="47"/>
      <c r="M788" s="30"/>
      <c r="N788" s="104"/>
      <c r="O788" s="104"/>
      <c r="P788" s="26"/>
      <c r="Q788" s="26"/>
      <c r="R788" s="26"/>
      <c r="S788" s="30"/>
      <c r="T788" s="84"/>
      <c r="U788" s="84"/>
      <c r="V788" s="105"/>
      <c r="W788" s="106"/>
      <c r="X788" s="33"/>
      <c r="Y788" s="34"/>
      <c r="Z788" s="34"/>
      <c r="AA788" s="34"/>
      <c r="AB788" s="34"/>
      <c r="AC788" s="107"/>
      <c r="AD788" s="35"/>
      <c r="AE788" s="35"/>
      <c r="AF788" s="35"/>
      <c r="AG788" s="35"/>
      <c r="AH788" s="35"/>
      <c r="AI788" s="34"/>
      <c r="AJ788" s="35"/>
      <c r="AK788" s="35"/>
      <c r="AL788" s="34"/>
      <c r="AM788" s="34"/>
      <c r="AN788" s="46"/>
      <c r="AO788" s="48"/>
      <c r="AP788" s="48"/>
      <c r="AQ788" s="48"/>
      <c r="AR788" s="48"/>
      <c r="AS788" s="48"/>
      <c r="AT788" s="48"/>
      <c r="AU788" s="48"/>
      <c r="AV788" s="48"/>
      <c r="AW788" s="48"/>
      <c r="AX788" s="48"/>
      <c r="AY788" s="43"/>
      <c r="AZ788" s="48"/>
      <c r="BA788" s="48"/>
      <c r="BB788" s="48"/>
      <c r="BC788" s="43"/>
      <c r="BD788" s="43"/>
      <c r="BE788" s="44"/>
      <c r="BF788" s="48"/>
      <c r="BG788" s="43"/>
    </row>
    <row r="789">
      <c r="A789" s="98"/>
      <c r="B789" s="99"/>
      <c r="C789" s="99"/>
      <c r="D789" s="21"/>
      <c r="E789" s="22"/>
      <c r="F789" s="100"/>
      <c r="G789" s="101"/>
      <c r="H789" s="100"/>
      <c r="I789" s="102"/>
      <c r="J789" s="26"/>
      <c r="K789" s="103"/>
      <c r="L789" s="47"/>
      <c r="M789" s="30"/>
      <c r="N789" s="104"/>
      <c r="O789" s="104"/>
      <c r="P789" s="26"/>
      <c r="Q789" s="26"/>
      <c r="R789" s="26"/>
      <c r="S789" s="30"/>
      <c r="T789" s="84"/>
      <c r="U789" s="84"/>
      <c r="V789" s="105"/>
      <c r="W789" s="106"/>
      <c r="X789" s="33"/>
      <c r="Y789" s="34"/>
      <c r="Z789" s="34"/>
      <c r="AA789" s="34"/>
      <c r="AB789" s="34"/>
      <c r="AC789" s="107"/>
      <c r="AD789" s="35"/>
      <c r="AE789" s="35"/>
      <c r="AF789" s="35"/>
      <c r="AG789" s="35"/>
      <c r="AH789" s="35"/>
      <c r="AI789" s="34"/>
      <c r="AJ789" s="35"/>
      <c r="AK789" s="35"/>
      <c r="AL789" s="34"/>
      <c r="AM789" s="34"/>
      <c r="AN789" s="46"/>
      <c r="AO789" s="48"/>
      <c r="AP789" s="48"/>
      <c r="AQ789" s="48"/>
      <c r="AR789" s="48"/>
      <c r="AS789" s="48"/>
      <c r="AT789" s="48"/>
      <c r="AU789" s="48"/>
      <c r="AV789" s="48"/>
      <c r="AW789" s="48"/>
      <c r="AX789" s="48"/>
      <c r="AY789" s="43"/>
      <c r="AZ789" s="48"/>
      <c r="BA789" s="48"/>
      <c r="BB789" s="48"/>
      <c r="BC789" s="43"/>
      <c r="BD789" s="43"/>
      <c r="BE789" s="44"/>
      <c r="BF789" s="48"/>
      <c r="BG789" s="43"/>
    </row>
    <row r="790">
      <c r="A790" s="98"/>
      <c r="B790" s="99"/>
      <c r="C790" s="99"/>
      <c r="D790" s="21"/>
      <c r="E790" s="22"/>
      <c r="F790" s="100"/>
      <c r="G790" s="101"/>
      <c r="H790" s="100"/>
      <c r="I790" s="102"/>
      <c r="J790" s="26"/>
      <c r="K790" s="103"/>
      <c r="L790" s="47"/>
      <c r="M790" s="30"/>
      <c r="N790" s="104"/>
      <c r="O790" s="104"/>
      <c r="P790" s="26"/>
      <c r="Q790" s="26"/>
      <c r="R790" s="26"/>
      <c r="S790" s="30"/>
      <c r="T790" s="84"/>
      <c r="U790" s="84"/>
      <c r="V790" s="105"/>
      <c r="W790" s="106"/>
      <c r="X790" s="33"/>
      <c r="Y790" s="34"/>
      <c r="Z790" s="34"/>
      <c r="AA790" s="34"/>
      <c r="AB790" s="34"/>
      <c r="AC790" s="107"/>
      <c r="AD790" s="35"/>
      <c r="AE790" s="35"/>
      <c r="AF790" s="35"/>
      <c r="AG790" s="35"/>
      <c r="AH790" s="35"/>
      <c r="AI790" s="34"/>
      <c r="AJ790" s="35"/>
      <c r="AK790" s="35"/>
      <c r="AL790" s="34"/>
      <c r="AM790" s="34"/>
      <c r="AN790" s="46"/>
      <c r="AO790" s="48"/>
      <c r="AP790" s="48"/>
      <c r="AQ790" s="48"/>
      <c r="AR790" s="48"/>
      <c r="AS790" s="48"/>
      <c r="AT790" s="48"/>
      <c r="AU790" s="48"/>
      <c r="AV790" s="48"/>
      <c r="AW790" s="48"/>
      <c r="AX790" s="48"/>
      <c r="AY790" s="43"/>
      <c r="AZ790" s="48"/>
      <c r="BA790" s="48"/>
      <c r="BB790" s="48"/>
      <c r="BC790" s="43"/>
      <c r="BD790" s="43"/>
      <c r="BE790" s="44"/>
      <c r="BF790" s="48"/>
      <c r="BG790" s="43"/>
    </row>
    <row r="791">
      <c r="A791" s="98"/>
      <c r="B791" s="99"/>
      <c r="C791" s="99"/>
      <c r="D791" s="21"/>
      <c r="E791" s="22"/>
      <c r="F791" s="100"/>
      <c r="G791" s="101"/>
      <c r="H791" s="100"/>
      <c r="I791" s="102"/>
      <c r="J791" s="26"/>
      <c r="K791" s="103"/>
      <c r="L791" s="47"/>
      <c r="M791" s="30"/>
      <c r="N791" s="104"/>
      <c r="O791" s="104"/>
      <c r="P791" s="26"/>
      <c r="Q791" s="26"/>
      <c r="R791" s="26"/>
      <c r="S791" s="30"/>
      <c r="T791" s="84"/>
      <c r="U791" s="84"/>
      <c r="V791" s="105"/>
      <c r="W791" s="106"/>
      <c r="X791" s="33"/>
      <c r="Y791" s="34"/>
      <c r="Z791" s="34"/>
      <c r="AA791" s="34"/>
      <c r="AB791" s="34"/>
      <c r="AC791" s="107"/>
      <c r="AD791" s="35"/>
      <c r="AE791" s="35"/>
      <c r="AF791" s="35"/>
      <c r="AG791" s="35"/>
      <c r="AH791" s="35"/>
      <c r="AI791" s="34"/>
      <c r="AJ791" s="35"/>
      <c r="AK791" s="35"/>
      <c r="AL791" s="34"/>
      <c r="AM791" s="34"/>
      <c r="AN791" s="46"/>
      <c r="AO791" s="48"/>
      <c r="AP791" s="48"/>
      <c r="AQ791" s="48"/>
      <c r="AR791" s="48"/>
      <c r="AS791" s="48"/>
      <c r="AT791" s="48"/>
      <c r="AU791" s="48"/>
      <c r="AV791" s="48"/>
      <c r="AW791" s="48"/>
      <c r="AX791" s="48"/>
      <c r="AY791" s="43"/>
      <c r="AZ791" s="48"/>
      <c r="BA791" s="48"/>
      <c r="BB791" s="48"/>
      <c r="BC791" s="43"/>
      <c r="BD791" s="43"/>
      <c r="BE791" s="44"/>
      <c r="BF791" s="48"/>
      <c r="BG791" s="43"/>
    </row>
    <row r="792">
      <c r="A792" s="98"/>
      <c r="B792" s="99"/>
      <c r="C792" s="99"/>
      <c r="D792" s="21"/>
      <c r="E792" s="22"/>
      <c r="F792" s="100"/>
      <c r="G792" s="101"/>
      <c r="H792" s="100"/>
      <c r="I792" s="102"/>
      <c r="J792" s="26"/>
      <c r="K792" s="103"/>
      <c r="L792" s="47"/>
      <c r="M792" s="30"/>
      <c r="N792" s="104"/>
      <c r="O792" s="104"/>
      <c r="P792" s="26"/>
      <c r="Q792" s="26"/>
      <c r="R792" s="26"/>
      <c r="S792" s="30"/>
      <c r="T792" s="84"/>
      <c r="U792" s="84"/>
      <c r="V792" s="105"/>
      <c r="W792" s="106"/>
      <c r="X792" s="33"/>
      <c r="Y792" s="34"/>
      <c r="Z792" s="34"/>
      <c r="AA792" s="34"/>
      <c r="AB792" s="34"/>
      <c r="AC792" s="107"/>
      <c r="AD792" s="35"/>
      <c r="AE792" s="35"/>
      <c r="AF792" s="35"/>
      <c r="AG792" s="35"/>
      <c r="AH792" s="35"/>
      <c r="AI792" s="34"/>
      <c r="AJ792" s="35"/>
      <c r="AK792" s="35"/>
      <c r="AL792" s="34"/>
      <c r="AM792" s="34"/>
      <c r="AN792" s="46"/>
      <c r="AO792" s="48"/>
      <c r="AP792" s="48"/>
      <c r="AQ792" s="48"/>
      <c r="AR792" s="48"/>
      <c r="AS792" s="48"/>
      <c r="AT792" s="48"/>
      <c r="AU792" s="48"/>
      <c r="AV792" s="48"/>
      <c r="AW792" s="48"/>
      <c r="AX792" s="48"/>
      <c r="AY792" s="43"/>
      <c r="AZ792" s="48"/>
      <c r="BA792" s="48"/>
      <c r="BB792" s="48"/>
      <c r="BC792" s="43"/>
      <c r="BD792" s="43"/>
      <c r="BE792" s="44"/>
      <c r="BF792" s="48"/>
      <c r="BG792" s="43"/>
    </row>
    <row r="793">
      <c r="A793" s="98"/>
      <c r="B793" s="99"/>
      <c r="C793" s="99"/>
      <c r="D793" s="21"/>
      <c r="E793" s="22"/>
      <c r="F793" s="100"/>
      <c r="G793" s="101"/>
      <c r="H793" s="100"/>
      <c r="I793" s="102"/>
      <c r="J793" s="26"/>
      <c r="K793" s="103"/>
      <c r="L793" s="47"/>
      <c r="M793" s="30"/>
      <c r="N793" s="104"/>
      <c r="O793" s="104"/>
      <c r="P793" s="26"/>
      <c r="Q793" s="26"/>
      <c r="R793" s="26"/>
      <c r="S793" s="30"/>
      <c r="T793" s="84"/>
      <c r="U793" s="84"/>
      <c r="V793" s="105"/>
      <c r="W793" s="106"/>
      <c r="X793" s="33"/>
      <c r="Y793" s="34"/>
      <c r="Z793" s="34"/>
      <c r="AA793" s="34"/>
      <c r="AB793" s="34"/>
      <c r="AC793" s="107"/>
      <c r="AD793" s="35"/>
      <c r="AE793" s="35"/>
      <c r="AF793" s="35"/>
      <c r="AG793" s="35"/>
      <c r="AH793" s="35"/>
      <c r="AI793" s="34"/>
      <c r="AJ793" s="35"/>
      <c r="AK793" s="35"/>
      <c r="AL793" s="34"/>
      <c r="AM793" s="34"/>
      <c r="AN793" s="46"/>
      <c r="AO793" s="48"/>
      <c r="AP793" s="48"/>
      <c r="AQ793" s="48"/>
      <c r="AR793" s="48"/>
      <c r="AS793" s="48"/>
      <c r="AT793" s="48"/>
      <c r="AU793" s="48"/>
      <c r="AV793" s="48"/>
      <c r="AW793" s="48"/>
      <c r="AX793" s="48"/>
      <c r="AY793" s="43"/>
      <c r="AZ793" s="48"/>
      <c r="BA793" s="48"/>
      <c r="BB793" s="48"/>
      <c r="BC793" s="43"/>
      <c r="BD793" s="43"/>
      <c r="BE793" s="44"/>
      <c r="BF793" s="48"/>
      <c r="BG793" s="43"/>
    </row>
    <row r="794">
      <c r="A794" s="98"/>
      <c r="B794" s="99"/>
      <c r="C794" s="99"/>
      <c r="D794" s="21"/>
      <c r="E794" s="22"/>
      <c r="F794" s="100"/>
      <c r="G794" s="101"/>
      <c r="H794" s="100"/>
      <c r="I794" s="102"/>
      <c r="J794" s="26"/>
      <c r="K794" s="103"/>
      <c r="L794" s="47"/>
      <c r="M794" s="30"/>
      <c r="N794" s="104"/>
      <c r="O794" s="104"/>
      <c r="P794" s="26"/>
      <c r="Q794" s="26"/>
      <c r="R794" s="26"/>
      <c r="S794" s="30"/>
      <c r="T794" s="84"/>
      <c r="U794" s="84"/>
      <c r="V794" s="105"/>
      <c r="W794" s="106"/>
      <c r="X794" s="33"/>
      <c r="Y794" s="34"/>
      <c r="Z794" s="34"/>
      <c r="AA794" s="34"/>
      <c r="AB794" s="34"/>
      <c r="AC794" s="107"/>
      <c r="AD794" s="35"/>
      <c r="AE794" s="35"/>
      <c r="AF794" s="35"/>
      <c r="AG794" s="35"/>
      <c r="AH794" s="35"/>
      <c r="AI794" s="34"/>
      <c r="AJ794" s="35"/>
      <c r="AK794" s="35"/>
      <c r="AL794" s="34"/>
      <c r="AM794" s="34"/>
      <c r="AN794" s="46"/>
      <c r="AO794" s="48"/>
      <c r="AP794" s="48"/>
      <c r="AQ794" s="48"/>
      <c r="AR794" s="48"/>
      <c r="AS794" s="48"/>
      <c r="AT794" s="48"/>
      <c r="AU794" s="48"/>
      <c r="AV794" s="48"/>
      <c r="AW794" s="48"/>
      <c r="AX794" s="48"/>
      <c r="AY794" s="43"/>
      <c r="AZ794" s="48"/>
      <c r="BA794" s="48"/>
      <c r="BB794" s="48"/>
      <c r="BC794" s="43"/>
      <c r="BD794" s="43"/>
      <c r="BE794" s="44"/>
      <c r="BF794" s="48"/>
      <c r="BG794" s="43"/>
    </row>
    <row r="795">
      <c r="A795" s="98"/>
      <c r="B795" s="99"/>
      <c r="C795" s="99"/>
      <c r="D795" s="21"/>
      <c r="E795" s="22"/>
      <c r="F795" s="100"/>
      <c r="G795" s="101"/>
      <c r="H795" s="100"/>
      <c r="I795" s="102"/>
      <c r="J795" s="26"/>
      <c r="K795" s="103"/>
      <c r="L795" s="47"/>
      <c r="M795" s="30"/>
      <c r="N795" s="104"/>
      <c r="O795" s="104"/>
      <c r="P795" s="26"/>
      <c r="Q795" s="26"/>
      <c r="R795" s="26"/>
      <c r="S795" s="30"/>
      <c r="T795" s="84"/>
      <c r="U795" s="84"/>
      <c r="V795" s="105"/>
      <c r="W795" s="106"/>
      <c r="X795" s="33"/>
      <c r="Y795" s="34"/>
      <c r="Z795" s="34"/>
      <c r="AA795" s="34"/>
      <c r="AB795" s="34"/>
      <c r="AC795" s="107"/>
      <c r="AD795" s="35"/>
      <c r="AE795" s="35"/>
      <c r="AF795" s="35"/>
      <c r="AG795" s="35"/>
      <c r="AH795" s="35"/>
      <c r="AI795" s="34"/>
      <c r="AJ795" s="35"/>
      <c r="AK795" s="35"/>
      <c r="AL795" s="34"/>
      <c r="AM795" s="34"/>
      <c r="AN795" s="46"/>
      <c r="AO795" s="48"/>
      <c r="AP795" s="48"/>
      <c r="AQ795" s="48"/>
      <c r="AR795" s="48"/>
      <c r="AS795" s="48"/>
      <c r="AT795" s="48"/>
      <c r="AU795" s="48"/>
      <c r="AV795" s="48"/>
      <c r="AW795" s="48"/>
      <c r="AX795" s="48"/>
      <c r="AY795" s="43"/>
      <c r="AZ795" s="48"/>
      <c r="BA795" s="48"/>
      <c r="BB795" s="48"/>
      <c r="BC795" s="43"/>
      <c r="BD795" s="43"/>
      <c r="BE795" s="44"/>
      <c r="BF795" s="48"/>
      <c r="BG795" s="43"/>
    </row>
    <row r="796">
      <c r="A796" s="98"/>
      <c r="B796" s="99"/>
      <c r="C796" s="99"/>
      <c r="D796" s="21"/>
      <c r="E796" s="22"/>
      <c r="F796" s="100"/>
      <c r="G796" s="101"/>
      <c r="H796" s="100"/>
      <c r="I796" s="102"/>
      <c r="J796" s="26"/>
      <c r="K796" s="103"/>
      <c r="L796" s="47"/>
      <c r="M796" s="30"/>
      <c r="N796" s="104"/>
      <c r="O796" s="104"/>
      <c r="P796" s="26"/>
      <c r="Q796" s="26"/>
      <c r="R796" s="26"/>
      <c r="S796" s="30"/>
      <c r="T796" s="84"/>
      <c r="U796" s="84"/>
      <c r="V796" s="105"/>
      <c r="W796" s="106"/>
      <c r="X796" s="33"/>
      <c r="Y796" s="34"/>
      <c r="Z796" s="34"/>
      <c r="AA796" s="34"/>
      <c r="AB796" s="34"/>
      <c r="AC796" s="107"/>
      <c r="AD796" s="35"/>
      <c r="AE796" s="35"/>
      <c r="AF796" s="35"/>
      <c r="AG796" s="35"/>
      <c r="AH796" s="35"/>
      <c r="AI796" s="34"/>
      <c r="AJ796" s="35"/>
      <c r="AK796" s="35"/>
      <c r="AL796" s="34"/>
      <c r="AM796" s="34"/>
      <c r="AN796" s="46"/>
      <c r="AO796" s="48"/>
      <c r="AP796" s="48"/>
      <c r="AQ796" s="48"/>
      <c r="AR796" s="48"/>
      <c r="AS796" s="48"/>
      <c r="AT796" s="48"/>
      <c r="AU796" s="48"/>
      <c r="AV796" s="48"/>
      <c r="AW796" s="48"/>
      <c r="AX796" s="48"/>
      <c r="AY796" s="43"/>
      <c r="AZ796" s="48"/>
      <c r="BA796" s="48"/>
      <c r="BB796" s="48"/>
      <c r="BC796" s="43"/>
      <c r="BD796" s="43"/>
      <c r="BE796" s="44"/>
      <c r="BF796" s="48"/>
      <c r="BG796" s="43"/>
    </row>
    <row r="797">
      <c r="A797" s="98"/>
      <c r="B797" s="99"/>
      <c r="C797" s="99"/>
      <c r="D797" s="21"/>
      <c r="E797" s="22"/>
      <c r="F797" s="100"/>
      <c r="G797" s="101"/>
      <c r="H797" s="100"/>
      <c r="I797" s="102"/>
      <c r="J797" s="26"/>
      <c r="K797" s="103"/>
      <c r="L797" s="47"/>
      <c r="M797" s="30"/>
      <c r="N797" s="104"/>
      <c r="O797" s="104"/>
      <c r="P797" s="26"/>
      <c r="Q797" s="26"/>
      <c r="R797" s="26"/>
      <c r="S797" s="30"/>
      <c r="T797" s="84"/>
      <c r="U797" s="84"/>
      <c r="V797" s="105"/>
      <c r="W797" s="106"/>
      <c r="X797" s="33"/>
      <c r="Y797" s="34"/>
      <c r="Z797" s="34"/>
      <c r="AA797" s="34"/>
      <c r="AB797" s="34"/>
      <c r="AC797" s="107"/>
      <c r="AD797" s="35"/>
      <c r="AE797" s="35"/>
      <c r="AF797" s="35"/>
      <c r="AG797" s="35"/>
      <c r="AH797" s="35"/>
      <c r="AI797" s="34"/>
      <c r="AJ797" s="35"/>
      <c r="AK797" s="35"/>
      <c r="AL797" s="34"/>
      <c r="AM797" s="34"/>
      <c r="AN797" s="46"/>
      <c r="AO797" s="48"/>
      <c r="AP797" s="48"/>
      <c r="AQ797" s="48"/>
      <c r="AR797" s="48"/>
      <c r="AS797" s="48"/>
      <c r="AT797" s="48"/>
      <c r="AU797" s="48"/>
      <c r="AV797" s="48"/>
      <c r="AW797" s="48"/>
      <c r="AX797" s="48"/>
      <c r="AY797" s="43"/>
      <c r="AZ797" s="48"/>
      <c r="BA797" s="48"/>
      <c r="BB797" s="48"/>
      <c r="BC797" s="43"/>
      <c r="BD797" s="43"/>
      <c r="BE797" s="44"/>
      <c r="BF797" s="48"/>
      <c r="BG797" s="43"/>
    </row>
    <row r="798">
      <c r="A798" s="98"/>
      <c r="B798" s="99"/>
      <c r="C798" s="99"/>
      <c r="D798" s="21"/>
      <c r="E798" s="22"/>
      <c r="F798" s="100"/>
      <c r="G798" s="101"/>
      <c r="H798" s="100"/>
      <c r="I798" s="102"/>
      <c r="J798" s="26"/>
      <c r="K798" s="103"/>
      <c r="L798" s="47"/>
      <c r="M798" s="30"/>
      <c r="N798" s="104"/>
      <c r="O798" s="104"/>
      <c r="P798" s="26"/>
      <c r="Q798" s="26"/>
      <c r="R798" s="26"/>
      <c r="S798" s="30"/>
      <c r="T798" s="84"/>
      <c r="U798" s="84"/>
      <c r="V798" s="105"/>
      <c r="W798" s="106"/>
      <c r="X798" s="33"/>
      <c r="Y798" s="34"/>
      <c r="Z798" s="34"/>
      <c r="AA798" s="34"/>
      <c r="AB798" s="34"/>
      <c r="AC798" s="107"/>
      <c r="AD798" s="35"/>
      <c r="AE798" s="35"/>
      <c r="AF798" s="35"/>
      <c r="AG798" s="35"/>
      <c r="AH798" s="35"/>
      <c r="AI798" s="34"/>
      <c r="AJ798" s="35"/>
      <c r="AK798" s="35"/>
      <c r="AL798" s="34"/>
      <c r="AM798" s="34"/>
      <c r="AN798" s="46"/>
      <c r="AO798" s="48"/>
      <c r="AP798" s="48"/>
      <c r="AQ798" s="48"/>
      <c r="AR798" s="48"/>
      <c r="AS798" s="48"/>
      <c r="AT798" s="48"/>
      <c r="AU798" s="48"/>
      <c r="AV798" s="48"/>
      <c r="AW798" s="48"/>
      <c r="AX798" s="48"/>
      <c r="AY798" s="43"/>
      <c r="AZ798" s="48"/>
      <c r="BA798" s="48"/>
      <c r="BB798" s="48"/>
      <c r="BC798" s="43"/>
      <c r="BD798" s="43"/>
      <c r="BE798" s="44"/>
      <c r="BF798" s="48"/>
      <c r="BG798" s="43"/>
    </row>
    <row r="799">
      <c r="A799" s="98"/>
      <c r="B799" s="99"/>
      <c r="C799" s="99"/>
      <c r="D799" s="21"/>
      <c r="E799" s="22"/>
      <c r="F799" s="100"/>
      <c r="G799" s="101"/>
      <c r="H799" s="100"/>
      <c r="I799" s="102"/>
      <c r="J799" s="26"/>
      <c r="K799" s="103"/>
      <c r="L799" s="47"/>
      <c r="M799" s="30"/>
      <c r="N799" s="104"/>
      <c r="O799" s="104"/>
      <c r="P799" s="26"/>
      <c r="Q799" s="26"/>
      <c r="R799" s="26"/>
      <c r="S799" s="30"/>
      <c r="T799" s="84"/>
      <c r="U799" s="84"/>
      <c r="V799" s="105"/>
      <c r="W799" s="106"/>
      <c r="X799" s="33"/>
      <c r="Y799" s="34"/>
      <c r="Z799" s="34"/>
      <c r="AA799" s="34"/>
      <c r="AB799" s="34"/>
      <c r="AC799" s="107"/>
      <c r="AD799" s="35"/>
      <c r="AE799" s="35"/>
      <c r="AF799" s="35"/>
      <c r="AG799" s="35"/>
      <c r="AH799" s="35"/>
      <c r="AI799" s="34"/>
      <c r="AJ799" s="35"/>
      <c r="AK799" s="35"/>
      <c r="AL799" s="34"/>
      <c r="AM799" s="34"/>
      <c r="AN799" s="46"/>
      <c r="AO799" s="48"/>
      <c r="AP799" s="48"/>
      <c r="AQ799" s="48"/>
      <c r="AR799" s="48"/>
      <c r="AS799" s="48"/>
      <c r="AT799" s="48"/>
      <c r="AU799" s="48"/>
      <c r="AV799" s="48"/>
      <c r="AW799" s="48"/>
      <c r="AX799" s="48"/>
      <c r="AY799" s="43"/>
      <c r="AZ799" s="48"/>
      <c r="BA799" s="48"/>
      <c r="BB799" s="48"/>
      <c r="BC799" s="43"/>
      <c r="BD799" s="43"/>
      <c r="BE799" s="44"/>
      <c r="BF799" s="48"/>
      <c r="BG799" s="43"/>
    </row>
    <row r="800">
      <c r="A800" s="98"/>
      <c r="B800" s="99"/>
      <c r="C800" s="99"/>
      <c r="D800" s="21"/>
      <c r="E800" s="22"/>
      <c r="F800" s="100"/>
      <c r="G800" s="101"/>
      <c r="H800" s="100"/>
      <c r="I800" s="102"/>
      <c r="J800" s="26"/>
      <c r="K800" s="103"/>
      <c r="L800" s="47"/>
      <c r="M800" s="30"/>
      <c r="N800" s="104"/>
      <c r="O800" s="104"/>
      <c r="P800" s="26"/>
      <c r="Q800" s="26"/>
      <c r="R800" s="26"/>
      <c r="S800" s="30"/>
      <c r="T800" s="84"/>
      <c r="U800" s="84"/>
      <c r="V800" s="105"/>
      <c r="W800" s="106"/>
      <c r="X800" s="33"/>
      <c r="Y800" s="34"/>
      <c r="Z800" s="34"/>
      <c r="AA800" s="34"/>
      <c r="AB800" s="34"/>
      <c r="AC800" s="107"/>
      <c r="AD800" s="35"/>
      <c r="AE800" s="35"/>
      <c r="AF800" s="35"/>
      <c r="AG800" s="35"/>
      <c r="AH800" s="35"/>
      <c r="AI800" s="34"/>
      <c r="AJ800" s="35"/>
      <c r="AK800" s="35"/>
      <c r="AL800" s="34"/>
      <c r="AM800" s="34"/>
      <c r="AN800" s="46"/>
      <c r="AO800" s="48"/>
      <c r="AP800" s="48"/>
      <c r="AQ800" s="48"/>
      <c r="AR800" s="48"/>
      <c r="AS800" s="48"/>
      <c r="AT800" s="48"/>
      <c r="AU800" s="48"/>
      <c r="AV800" s="48"/>
      <c r="AW800" s="48"/>
      <c r="AX800" s="48"/>
      <c r="AY800" s="43"/>
      <c r="AZ800" s="48"/>
      <c r="BA800" s="48"/>
      <c r="BB800" s="48"/>
      <c r="BC800" s="43"/>
      <c r="BD800" s="43"/>
      <c r="BE800" s="44"/>
      <c r="BF800" s="48"/>
      <c r="BG800" s="43"/>
    </row>
    <row r="801">
      <c r="A801" s="98"/>
      <c r="B801" s="99"/>
      <c r="C801" s="99"/>
      <c r="D801" s="21"/>
      <c r="E801" s="22"/>
      <c r="F801" s="100"/>
      <c r="G801" s="101"/>
      <c r="H801" s="100"/>
      <c r="I801" s="102"/>
      <c r="J801" s="26"/>
      <c r="K801" s="103"/>
      <c r="L801" s="47"/>
      <c r="M801" s="30"/>
      <c r="N801" s="104"/>
      <c r="O801" s="104"/>
      <c r="P801" s="26"/>
      <c r="Q801" s="26"/>
      <c r="R801" s="26"/>
      <c r="S801" s="30"/>
      <c r="T801" s="84"/>
      <c r="U801" s="84"/>
      <c r="V801" s="105"/>
      <c r="W801" s="106"/>
      <c r="X801" s="33"/>
      <c r="Y801" s="34"/>
      <c r="Z801" s="34"/>
      <c r="AA801" s="34"/>
      <c r="AB801" s="34"/>
      <c r="AC801" s="107"/>
      <c r="AD801" s="35"/>
      <c r="AE801" s="35"/>
      <c r="AF801" s="35"/>
      <c r="AG801" s="35"/>
      <c r="AH801" s="35"/>
      <c r="AI801" s="34"/>
      <c r="AJ801" s="35"/>
      <c r="AK801" s="35"/>
      <c r="AL801" s="34"/>
      <c r="AM801" s="34"/>
      <c r="AN801" s="46"/>
      <c r="AO801" s="48"/>
      <c r="AP801" s="48"/>
      <c r="AQ801" s="48"/>
      <c r="AR801" s="48"/>
      <c r="AS801" s="48"/>
      <c r="AT801" s="48"/>
      <c r="AU801" s="48"/>
      <c r="AV801" s="48"/>
      <c r="AW801" s="48"/>
      <c r="AX801" s="48"/>
      <c r="AY801" s="43"/>
      <c r="AZ801" s="48"/>
      <c r="BA801" s="48"/>
      <c r="BB801" s="48"/>
      <c r="BC801" s="43"/>
      <c r="BD801" s="43"/>
      <c r="BE801" s="44"/>
      <c r="BF801" s="48"/>
      <c r="BG801" s="43"/>
    </row>
    <row r="802">
      <c r="A802" s="98"/>
      <c r="B802" s="99"/>
      <c r="C802" s="99"/>
      <c r="D802" s="21"/>
      <c r="E802" s="22"/>
      <c r="F802" s="100"/>
      <c r="G802" s="101"/>
      <c r="H802" s="100"/>
      <c r="I802" s="102"/>
      <c r="J802" s="26"/>
      <c r="K802" s="103"/>
      <c r="L802" s="47"/>
      <c r="M802" s="30"/>
      <c r="N802" s="104"/>
      <c r="O802" s="104"/>
      <c r="P802" s="26"/>
      <c r="Q802" s="26"/>
      <c r="R802" s="26"/>
      <c r="S802" s="30"/>
      <c r="T802" s="84"/>
      <c r="U802" s="84"/>
      <c r="V802" s="105"/>
      <c r="W802" s="106"/>
      <c r="X802" s="33"/>
      <c r="Y802" s="34"/>
      <c r="Z802" s="34"/>
      <c r="AA802" s="34"/>
      <c r="AB802" s="34"/>
      <c r="AC802" s="107"/>
      <c r="AD802" s="35"/>
      <c r="AE802" s="35"/>
      <c r="AF802" s="35"/>
      <c r="AG802" s="35"/>
      <c r="AH802" s="35"/>
      <c r="AI802" s="34"/>
      <c r="AJ802" s="35"/>
      <c r="AK802" s="35"/>
      <c r="AL802" s="34"/>
      <c r="AM802" s="34"/>
      <c r="AN802" s="46"/>
      <c r="AO802" s="48"/>
      <c r="AP802" s="48"/>
      <c r="AQ802" s="48"/>
      <c r="AR802" s="48"/>
      <c r="AS802" s="48"/>
      <c r="AT802" s="48"/>
      <c r="AU802" s="48"/>
      <c r="AV802" s="48"/>
      <c r="AW802" s="48"/>
      <c r="AX802" s="48"/>
      <c r="AY802" s="43"/>
      <c r="AZ802" s="48"/>
      <c r="BA802" s="48"/>
      <c r="BB802" s="48"/>
      <c r="BC802" s="43"/>
      <c r="BD802" s="43"/>
      <c r="BE802" s="44"/>
      <c r="BF802" s="48"/>
      <c r="BG802" s="43"/>
    </row>
    <row r="803">
      <c r="A803" s="98"/>
      <c r="B803" s="99"/>
      <c r="C803" s="99"/>
      <c r="D803" s="21"/>
      <c r="E803" s="22"/>
      <c r="F803" s="100"/>
      <c r="G803" s="101"/>
      <c r="H803" s="100"/>
      <c r="I803" s="102"/>
      <c r="J803" s="26"/>
      <c r="K803" s="103"/>
      <c r="L803" s="47"/>
      <c r="M803" s="30"/>
      <c r="N803" s="104"/>
      <c r="O803" s="104"/>
      <c r="P803" s="26"/>
      <c r="Q803" s="26"/>
      <c r="R803" s="26"/>
      <c r="S803" s="30"/>
      <c r="T803" s="84"/>
      <c r="U803" s="84"/>
      <c r="V803" s="105"/>
      <c r="W803" s="106"/>
      <c r="X803" s="33"/>
      <c r="Y803" s="34"/>
      <c r="Z803" s="34"/>
      <c r="AA803" s="34"/>
      <c r="AB803" s="34"/>
      <c r="AC803" s="107"/>
      <c r="AD803" s="35"/>
      <c r="AE803" s="35"/>
      <c r="AF803" s="35"/>
      <c r="AG803" s="35"/>
      <c r="AH803" s="35"/>
      <c r="AI803" s="34"/>
      <c r="AJ803" s="35"/>
      <c r="AK803" s="35"/>
      <c r="AL803" s="34"/>
      <c r="AM803" s="34"/>
      <c r="AN803" s="46"/>
      <c r="AO803" s="48"/>
      <c r="AP803" s="48"/>
      <c r="AQ803" s="48"/>
      <c r="AR803" s="48"/>
      <c r="AS803" s="48"/>
      <c r="AT803" s="48"/>
      <c r="AU803" s="48"/>
      <c r="AV803" s="48"/>
      <c r="AW803" s="48"/>
      <c r="AX803" s="48"/>
      <c r="AY803" s="43"/>
      <c r="AZ803" s="48"/>
      <c r="BA803" s="48"/>
      <c r="BB803" s="48"/>
      <c r="BC803" s="43"/>
      <c r="BD803" s="43"/>
      <c r="BE803" s="44"/>
      <c r="BF803" s="48"/>
      <c r="BG803" s="43"/>
    </row>
    <row r="804">
      <c r="A804" s="98"/>
      <c r="B804" s="99"/>
      <c r="C804" s="99"/>
      <c r="D804" s="21"/>
      <c r="E804" s="22"/>
      <c r="F804" s="100"/>
      <c r="G804" s="101"/>
      <c r="H804" s="100"/>
      <c r="I804" s="102"/>
      <c r="J804" s="26"/>
      <c r="K804" s="103"/>
      <c r="L804" s="47"/>
      <c r="M804" s="30"/>
      <c r="N804" s="104"/>
      <c r="O804" s="104"/>
      <c r="P804" s="26"/>
      <c r="Q804" s="26"/>
      <c r="R804" s="26"/>
      <c r="S804" s="30"/>
      <c r="T804" s="84"/>
      <c r="U804" s="84"/>
      <c r="V804" s="105"/>
      <c r="W804" s="106"/>
      <c r="X804" s="33"/>
      <c r="Y804" s="34"/>
      <c r="Z804" s="34"/>
      <c r="AA804" s="34"/>
      <c r="AB804" s="34"/>
      <c r="AC804" s="107"/>
      <c r="AD804" s="35"/>
      <c r="AE804" s="35"/>
      <c r="AF804" s="35"/>
      <c r="AG804" s="35"/>
      <c r="AH804" s="35"/>
      <c r="AI804" s="34"/>
      <c r="AJ804" s="35"/>
      <c r="AK804" s="35"/>
      <c r="AL804" s="34"/>
      <c r="AM804" s="34"/>
      <c r="AN804" s="46"/>
      <c r="AO804" s="48"/>
      <c r="AP804" s="48"/>
      <c r="AQ804" s="48"/>
      <c r="AR804" s="48"/>
      <c r="AS804" s="48"/>
      <c r="AT804" s="48"/>
      <c r="AU804" s="48"/>
      <c r="AV804" s="48"/>
      <c r="AW804" s="48"/>
      <c r="AX804" s="48"/>
      <c r="AY804" s="43"/>
      <c r="AZ804" s="48"/>
      <c r="BA804" s="48"/>
      <c r="BB804" s="48"/>
      <c r="BC804" s="43"/>
      <c r="BD804" s="43"/>
      <c r="BE804" s="44"/>
      <c r="BF804" s="48"/>
      <c r="BG804" s="43"/>
    </row>
    <row r="805">
      <c r="A805" s="98"/>
      <c r="B805" s="99"/>
      <c r="C805" s="99"/>
      <c r="D805" s="21"/>
      <c r="E805" s="22"/>
      <c r="F805" s="100"/>
      <c r="G805" s="101"/>
      <c r="H805" s="100"/>
      <c r="I805" s="102"/>
      <c r="J805" s="26"/>
      <c r="K805" s="103"/>
      <c r="L805" s="47"/>
      <c r="M805" s="30"/>
      <c r="N805" s="104"/>
      <c r="O805" s="104"/>
      <c r="P805" s="26"/>
      <c r="Q805" s="26"/>
      <c r="R805" s="26"/>
      <c r="S805" s="30"/>
      <c r="T805" s="84"/>
      <c r="U805" s="84"/>
      <c r="V805" s="105"/>
      <c r="W805" s="106"/>
      <c r="X805" s="33"/>
      <c r="Y805" s="34"/>
      <c r="Z805" s="34"/>
      <c r="AA805" s="34"/>
      <c r="AB805" s="34"/>
      <c r="AC805" s="107"/>
      <c r="AD805" s="35"/>
      <c r="AE805" s="35"/>
      <c r="AF805" s="35"/>
      <c r="AG805" s="35"/>
      <c r="AH805" s="35"/>
      <c r="AI805" s="34"/>
      <c r="AJ805" s="35"/>
      <c r="AK805" s="35"/>
      <c r="AL805" s="34"/>
      <c r="AM805" s="34"/>
      <c r="AN805" s="46"/>
      <c r="AO805" s="48"/>
      <c r="AP805" s="48"/>
      <c r="AQ805" s="48"/>
      <c r="AR805" s="48"/>
      <c r="AS805" s="48"/>
      <c r="AT805" s="48"/>
      <c r="AU805" s="48"/>
      <c r="AV805" s="48"/>
      <c r="AW805" s="48"/>
      <c r="AX805" s="48"/>
      <c r="AY805" s="43"/>
      <c r="AZ805" s="48"/>
      <c r="BA805" s="48"/>
      <c r="BB805" s="48"/>
      <c r="BC805" s="43"/>
      <c r="BD805" s="43"/>
      <c r="BE805" s="44"/>
      <c r="BF805" s="48"/>
      <c r="BG805" s="43"/>
    </row>
    <row r="806">
      <c r="A806" s="98"/>
      <c r="B806" s="99"/>
      <c r="C806" s="99"/>
      <c r="D806" s="21"/>
      <c r="E806" s="22"/>
      <c r="F806" s="100"/>
      <c r="G806" s="101"/>
      <c r="H806" s="100"/>
      <c r="I806" s="102"/>
      <c r="J806" s="26"/>
      <c r="K806" s="103"/>
      <c r="L806" s="47"/>
      <c r="M806" s="30"/>
      <c r="N806" s="104"/>
      <c r="O806" s="104"/>
      <c r="P806" s="26"/>
      <c r="Q806" s="26"/>
      <c r="R806" s="26"/>
      <c r="S806" s="30"/>
      <c r="T806" s="84"/>
      <c r="U806" s="84"/>
      <c r="V806" s="105"/>
      <c r="W806" s="106"/>
      <c r="X806" s="33"/>
      <c r="Y806" s="34"/>
      <c r="Z806" s="34"/>
      <c r="AA806" s="34"/>
      <c r="AB806" s="34"/>
      <c r="AC806" s="107"/>
      <c r="AD806" s="35"/>
      <c r="AE806" s="35"/>
      <c r="AF806" s="35"/>
      <c r="AG806" s="35"/>
      <c r="AH806" s="35"/>
      <c r="AI806" s="34"/>
      <c r="AJ806" s="35"/>
      <c r="AK806" s="35"/>
      <c r="AL806" s="34"/>
      <c r="AM806" s="34"/>
      <c r="AN806" s="46"/>
      <c r="AO806" s="48"/>
      <c r="AP806" s="48"/>
      <c r="AQ806" s="48"/>
      <c r="AR806" s="48"/>
      <c r="AS806" s="48"/>
      <c r="AT806" s="48"/>
      <c r="AU806" s="48"/>
      <c r="AV806" s="48"/>
      <c r="AW806" s="48"/>
      <c r="AX806" s="48"/>
      <c r="AY806" s="43"/>
      <c r="AZ806" s="48"/>
      <c r="BA806" s="48"/>
      <c r="BB806" s="48"/>
      <c r="BC806" s="43"/>
      <c r="BD806" s="43"/>
      <c r="BE806" s="44"/>
      <c r="BF806" s="48"/>
      <c r="BG806" s="43"/>
    </row>
    <row r="807">
      <c r="A807" s="98"/>
      <c r="B807" s="99"/>
      <c r="C807" s="99"/>
      <c r="D807" s="21"/>
      <c r="E807" s="22"/>
      <c r="F807" s="100"/>
      <c r="G807" s="101"/>
      <c r="H807" s="100"/>
      <c r="I807" s="102"/>
      <c r="J807" s="26"/>
      <c r="K807" s="103"/>
      <c r="L807" s="47"/>
      <c r="M807" s="30"/>
      <c r="N807" s="104"/>
      <c r="O807" s="104"/>
      <c r="P807" s="26"/>
      <c r="Q807" s="26"/>
      <c r="R807" s="26"/>
      <c r="S807" s="30"/>
      <c r="T807" s="84"/>
      <c r="U807" s="84"/>
      <c r="V807" s="105"/>
      <c r="W807" s="106"/>
      <c r="X807" s="33"/>
      <c r="Y807" s="34"/>
      <c r="Z807" s="34"/>
      <c r="AA807" s="34"/>
      <c r="AB807" s="34"/>
      <c r="AC807" s="107"/>
      <c r="AD807" s="35"/>
      <c r="AE807" s="35"/>
      <c r="AF807" s="35"/>
      <c r="AG807" s="35"/>
      <c r="AH807" s="35"/>
      <c r="AI807" s="34"/>
      <c r="AJ807" s="35"/>
      <c r="AK807" s="35"/>
      <c r="AL807" s="34"/>
      <c r="AM807" s="34"/>
      <c r="AN807" s="46"/>
      <c r="AO807" s="48"/>
      <c r="AP807" s="48"/>
      <c r="AQ807" s="48"/>
      <c r="AR807" s="48"/>
      <c r="AS807" s="48"/>
      <c r="AT807" s="48"/>
      <c r="AU807" s="48"/>
      <c r="AV807" s="48"/>
      <c r="AW807" s="48"/>
      <c r="AX807" s="48"/>
      <c r="AY807" s="43"/>
      <c r="AZ807" s="48"/>
      <c r="BA807" s="48"/>
      <c r="BB807" s="48"/>
      <c r="BC807" s="43"/>
      <c r="BD807" s="43"/>
      <c r="BE807" s="44"/>
      <c r="BF807" s="48"/>
      <c r="BG807" s="43"/>
    </row>
    <row r="808">
      <c r="A808" s="98"/>
      <c r="B808" s="99"/>
      <c r="C808" s="99"/>
      <c r="D808" s="21"/>
      <c r="E808" s="22"/>
      <c r="F808" s="100"/>
      <c r="G808" s="101"/>
      <c r="H808" s="100"/>
      <c r="I808" s="102"/>
      <c r="J808" s="26"/>
      <c r="K808" s="103"/>
      <c r="L808" s="47"/>
      <c r="M808" s="30"/>
      <c r="N808" s="104"/>
      <c r="O808" s="104"/>
      <c r="P808" s="26"/>
      <c r="Q808" s="26"/>
      <c r="R808" s="26"/>
      <c r="S808" s="30"/>
      <c r="T808" s="84"/>
      <c r="U808" s="84"/>
      <c r="V808" s="105"/>
      <c r="W808" s="106"/>
      <c r="X808" s="33"/>
      <c r="Y808" s="34"/>
      <c r="Z808" s="34"/>
      <c r="AA808" s="34"/>
      <c r="AB808" s="34"/>
      <c r="AC808" s="107"/>
      <c r="AD808" s="35"/>
      <c r="AE808" s="35"/>
      <c r="AF808" s="35"/>
      <c r="AG808" s="35"/>
      <c r="AH808" s="35"/>
      <c r="AI808" s="34"/>
      <c r="AJ808" s="35"/>
      <c r="AK808" s="35"/>
      <c r="AL808" s="34"/>
      <c r="AM808" s="34"/>
      <c r="AN808" s="46"/>
      <c r="AO808" s="48"/>
      <c r="AP808" s="48"/>
      <c r="AQ808" s="48"/>
      <c r="AR808" s="48"/>
      <c r="AS808" s="48"/>
      <c r="AT808" s="48"/>
      <c r="AU808" s="48"/>
      <c r="AV808" s="48"/>
      <c r="AW808" s="48"/>
      <c r="AX808" s="48"/>
      <c r="AY808" s="43"/>
      <c r="AZ808" s="48"/>
      <c r="BA808" s="48"/>
      <c r="BB808" s="48"/>
      <c r="BC808" s="43"/>
      <c r="BD808" s="43"/>
      <c r="BE808" s="44"/>
      <c r="BF808" s="48"/>
      <c r="BG808" s="43"/>
    </row>
    <row r="809">
      <c r="A809" s="98"/>
      <c r="B809" s="99"/>
      <c r="C809" s="99"/>
      <c r="D809" s="21"/>
      <c r="E809" s="22"/>
      <c r="F809" s="100"/>
      <c r="G809" s="101"/>
      <c r="H809" s="100"/>
      <c r="I809" s="102"/>
      <c r="J809" s="26"/>
      <c r="K809" s="103"/>
      <c r="L809" s="47"/>
      <c r="M809" s="30"/>
      <c r="N809" s="104"/>
      <c r="O809" s="104"/>
      <c r="P809" s="26"/>
      <c r="Q809" s="26"/>
      <c r="R809" s="26"/>
      <c r="S809" s="30"/>
      <c r="T809" s="84"/>
      <c r="U809" s="84"/>
      <c r="V809" s="105"/>
      <c r="W809" s="106"/>
      <c r="X809" s="33"/>
      <c r="Y809" s="34"/>
      <c r="Z809" s="34"/>
      <c r="AA809" s="34"/>
      <c r="AB809" s="34"/>
      <c r="AC809" s="107"/>
      <c r="AD809" s="35"/>
      <c r="AE809" s="35"/>
      <c r="AF809" s="35"/>
      <c r="AG809" s="35"/>
      <c r="AH809" s="35"/>
      <c r="AI809" s="34"/>
      <c r="AJ809" s="35"/>
      <c r="AK809" s="35"/>
      <c r="AL809" s="34"/>
      <c r="AM809" s="34"/>
      <c r="AN809" s="46"/>
      <c r="AO809" s="48"/>
      <c r="AP809" s="48"/>
      <c r="AQ809" s="48"/>
      <c r="AR809" s="48"/>
      <c r="AS809" s="48"/>
      <c r="AT809" s="48"/>
      <c r="AU809" s="48"/>
      <c r="AV809" s="48"/>
      <c r="AW809" s="48"/>
      <c r="AX809" s="48"/>
      <c r="AY809" s="43"/>
      <c r="AZ809" s="48"/>
      <c r="BA809" s="48"/>
      <c r="BB809" s="48"/>
      <c r="BC809" s="43"/>
      <c r="BD809" s="43"/>
      <c r="BE809" s="44"/>
      <c r="BF809" s="48"/>
      <c r="BG809" s="43"/>
    </row>
    <row r="810">
      <c r="A810" s="98"/>
      <c r="B810" s="99"/>
      <c r="C810" s="99"/>
      <c r="D810" s="21"/>
      <c r="E810" s="22"/>
      <c r="F810" s="100"/>
      <c r="G810" s="101"/>
      <c r="H810" s="100"/>
      <c r="I810" s="102"/>
      <c r="J810" s="26"/>
      <c r="K810" s="103"/>
      <c r="L810" s="47"/>
      <c r="M810" s="30"/>
      <c r="N810" s="104"/>
      <c r="O810" s="104"/>
      <c r="P810" s="26"/>
      <c r="Q810" s="26"/>
      <c r="R810" s="26"/>
      <c r="S810" s="30"/>
      <c r="T810" s="84"/>
      <c r="U810" s="84"/>
      <c r="V810" s="105"/>
      <c r="W810" s="106"/>
      <c r="X810" s="33"/>
      <c r="Y810" s="34"/>
      <c r="Z810" s="34"/>
      <c r="AA810" s="34"/>
      <c r="AB810" s="34"/>
      <c r="AC810" s="107"/>
      <c r="AD810" s="35"/>
      <c r="AE810" s="35"/>
      <c r="AF810" s="35"/>
      <c r="AG810" s="35"/>
      <c r="AH810" s="35"/>
      <c r="AI810" s="34"/>
      <c r="AJ810" s="35"/>
      <c r="AK810" s="35"/>
      <c r="AL810" s="34"/>
      <c r="AM810" s="34"/>
      <c r="AN810" s="46"/>
      <c r="AO810" s="48"/>
      <c r="AP810" s="48"/>
      <c r="AQ810" s="48"/>
      <c r="AR810" s="48"/>
      <c r="AS810" s="48"/>
      <c r="AT810" s="48"/>
      <c r="AU810" s="48"/>
      <c r="AV810" s="48"/>
      <c r="AW810" s="48"/>
      <c r="AX810" s="48"/>
      <c r="AY810" s="43"/>
      <c r="AZ810" s="48"/>
      <c r="BA810" s="48"/>
      <c r="BB810" s="48"/>
      <c r="BC810" s="43"/>
      <c r="BD810" s="43"/>
      <c r="BE810" s="44"/>
      <c r="BF810" s="48"/>
      <c r="BG810" s="43"/>
    </row>
    <row r="811">
      <c r="A811" s="98"/>
      <c r="B811" s="99"/>
      <c r="C811" s="99"/>
      <c r="D811" s="21"/>
      <c r="E811" s="22"/>
      <c r="F811" s="100"/>
      <c r="G811" s="101"/>
      <c r="H811" s="100"/>
      <c r="I811" s="102"/>
      <c r="J811" s="26"/>
      <c r="K811" s="103"/>
      <c r="L811" s="47"/>
      <c r="M811" s="30"/>
      <c r="N811" s="104"/>
      <c r="O811" s="104"/>
      <c r="P811" s="26"/>
      <c r="Q811" s="26"/>
      <c r="R811" s="26"/>
      <c r="S811" s="30"/>
      <c r="T811" s="84"/>
      <c r="U811" s="84"/>
      <c r="V811" s="105"/>
      <c r="W811" s="106"/>
      <c r="X811" s="33"/>
      <c r="Y811" s="34"/>
      <c r="Z811" s="34"/>
      <c r="AA811" s="34"/>
      <c r="AB811" s="34"/>
      <c r="AC811" s="107"/>
      <c r="AD811" s="35"/>
      <c r="AE811" s="35"/>
      <c r="AF811" s="35"/>
      <c r="AG811" s="35"/>
      <c r="AH811" s="35"/>
      <c r="AI811" s="34"/>
      <c r="AJ811" s="35"/>
      <c r="AK811" s="35"/>
      <c r="AL811" s="34"/>
      <c r="AM811" s="34"/>
      <c r="AN811" s="46"/>
      <c r="AO811" s="48"/>
      <c r="AP811" s="48"/>
      <c r="AQ811" s="48"/>
      <c r="AR811" s="48"/>
      <c r="AS811" s="48"/>
      <c r="AT811" s="48"/>
      <c r="AU811" s="48"/>
      <c r="AV811" s="48"/>
      <c r="AW811" s="48"/>
      <c r="AX811" s="48"/>
      <c r="AY811" s="43"/>
      <c r="AZ811" s="48"/>
      <c r="BA811" s="48"/>
      <c r="BB811" s="48"/>
      <c r="BC811" s="43"/>
      <c r="BD811" s="43"/>
      <c r="BE811" s="44"/>
      <c r="BF811" s="48"/>
      <c r="BG811" s="43"/>
    </row>
    <row r="812">
      <c r="A812" s="98"/>
      <c r="B812" s="99"/>
      <c r="C812" s="99"/>
      <c r="D812" s="21"/>
      <c r="E812" s="22"/>
      <c r="F812" s="100"/>
      <c r="G812" s="101"/>
      <c r="H812" s="100"/>
      <c r="I812" s="102"/>
      <c r="J812" s="26"/>
      <c r="K812" s="103"/>
      <c r="L812" s="47"/>
      <c r="M812" s="30"/>
      <c r="N812" s="104"/>
      <c r="O812" s="104"/>
      <c r="P812" s="26"/>
      <c r="Q812" s="26"/>
      <c r="R812" s="26"/>
      <c r="S812" s="30"/>
      <c r="T812" s="84"/>
      <c r="U812" s="84"/>
      <c r="V812" s="105"/>
      <c r="W812" s="106"/>
      <c r="X812" s="33"/>
      <c r="Y812" s="34"/>
      <c r="Z812" s="34"/>
      <c r="AA812" s="34"/>
      <c r="AB812" s="34"/>
      <c r="AC812" s="107"/>
      <c r="AD812" s="35"/>
      <c r="AE812" s="35"/>
      <c r="AF812" s="35"/>
      <c r="AG812" s="35"/>
      <c r="AH812" s="35"/>
      <c r="AI812" s="34"/>
      <c r="AJ812" s="35"/>
      <c r="AK812" s="35"/>
      <c r="AL812" s="34"/>
      <c r="AM812" s="34"/>
      <c r="AN812" s="46"/>
      <c r="AO812" s="48"/>
      <c r="AP812" s="48"/>
      <c r="AQ812" s="48"/>
      <c r="AR812" s="48"/>
      <c r="AS812" s="48"/>
      <c r="AT812" s="48"/>
      <c r="AU812" s="48"/>
      <c r="AV812" s="48"/>
      <c r="AW812" s="48"/>
      <c r="AX812" s="48"/>
      <c r="AY812" s="43"/>
      <c r="AZ812" s="48"/>
      <c r="BA812" s="48"/>
      <c r="BB812" s="48"/>
      <c r="BC812" s="43"/>
      <c r="BD812" s="43"/>
      <c r="BE812" s="44"/>
      <c r="BF812" s="48"/>
      <c r="BG812" s="43"/>
    </row>
    <row r="813">
      <c r="A813" s="98"/>
      <c r="B813" s="99"/>
      <c r="C813" s="99"/>
      <c r="D813" s="21"/>
      <c r="E813" s="22"/>
      <c r="F813" s="100"/>
      <c r="G813" s="101"/>
      <c r="H813" s="100"/>
      <c r="I813" s="102"/>
      <c r="J813" s="26"/>
      <c r="K813" s="103"/>
      <c r="L813" s="47"/>
      <c r="M813" s="30"/>
      <c r="N813" s="104"/>
      <c r="O813" s="104"/>
      <c r="P813" s="26"/>
      <c r="Q813" s="26"/>
      <c r="R813" s="26"/>
      <c r="S813" s="30"/>
      <c r="T813" s="84"/>
      <c r="U813" s="84"/>
      <c r="V813" s="105"/>
      <c r="W813" s="106"/>
      <c r="X813" s="33"/>
      <c r="Y813" s="34"/>
      <c r="Z813" s="34"/>
      <c r="AA813" s="34"/>
      <c r="AB813" s="34"/>
      <c r="AC813" s="107"/>
      <c r="AD813" s="35"/>
      <c r="AE813" s="35"/>
      <c r="AF813" s="35"/>
      <c r="AG813" s="35"/>
      <c r="AH813" s="35"/>
      <c r="AI813" s="34"/>
      <c r="AJ813" s="35"/>
      <c r="AK813" s="35"/>
      <c r="AL813" s="34"/>
      <c r="AM813" s="34"/>
      <c r="AN813" s="46"/>
      <c r="AO813" s="48"/>
      <c r="AP813" s="48"/>
      <c r="AQ813" s="48"/>
      <c r="AR813" s="48"/>
      <c r="AS813" s="48"/>
      <c r="AT813" s="48"/>
      <c r="AU813" s="48"/>
      <c r="AV813" s="48"/>
      <c r="AW813" s="48"/>
      <c r="AX813" s="48"/>
      <c r="AY813" s="43"/>
      <c r="AZ813" s="48"/>
      <c r="BA813" s="48"/>
      <c r="BB813" s="48"/>
      <c r="BC813" s="43"/>
      <c r="BD813" s="43"/>
      <c r="BE813" s="44"/>
      <c r="BF813" s="48"/>
      <c r="BG813" s="43"/>
    </row>
    <row r="814">
      <c r="A814" s="98"/>
      <c r="B814" s="99"/>
      <c r="C814" s="99"/>
      <c r="D814" s="21"/>
      <c r="E814" s="22"/>
      <c r="F814" s="100"/>
      <c r="G814" s="101"/>
      <c r="H814" s="100"/>
      <c r="I814" s="102"/>
      <c r="J814" s="26"/>
      <c r="K814" s="103"/>
      <c r="L814" s="47"/>
      <c r="M814" s="30"/>
      <c r="N814" s="104"/>
      <c r="O814" s="104"/>
      <c r="P814" s="26"/>
      <c r="Q814" s="26"/>
      <c r="R814" s="26"/>
      <c r="S814" s="30"/>
      <c r="T814" s="84"/>
      <c r="U814" s="84"/>
      <c r="V814" s="105"/>
      <c r="W814" s="106"/>
      <c r="X814" s="33"/>
      <c r="Y814" s="34"/>
      <c r="Z814" s="34"/>
      <c r="AA814" s="34"/>
      <c r="AB814" s="34"/>
      <c r="AC814" s="107"/>
      <c r="AD814" s="35"/>
      <c r="AE814" s="35"/>
      <c r="AF814" s="35"/>
      <c r="AG814" s="35"/>
      <c r="AH814" s="35"/>
      <c r="AI814" s="34"/>
      <c r="AJ814" s="35"/>
      <c r="AK814" s="35"/>
      <c r="AL814" s="34"/>
      <c r="AM814" s="34"/>
      <c r="AN814" s="46"/>
      <c r="AO814" s="48"/>
      <c r="AP814" s="48"/>
      <c r="AQ814" s="48"/>
      <c r="AR814" s="48"/>
      <c r="AS814" s="48"/>
      <c r="AT814" s="48"/>
      <c r="AU814" s="48"/>
      <c r="AV814" s="48"/>
      <c r="AW814" s="48"/>
      <c r="AX814" s="48"/>
      <c r="AY814" s="43"/>
      <c r="AZ814" s="48"/>
      <c r="BA814" s="48"/>
      <c r="BB814" s="48"/>
      <c r="BC814" s="43"/>
      <c r="BD814" s="43"/>
      <c r="BE814" s="44"/>
      <c r="BF814" s="48"/>
      <c r="BG814" s="43"/>
    </row>
    <row r="815">
      <c r="A815" s="98"/>
      <c r="B815" s="99"/>
      <c r="C815" s="99"/>
      <c r="D815" s="21"/>
      <c r="E815" s="22"/>
      <c r="F815" s="100"/>
      <c r="G815" s="101"/>
      <c r="H815" s="100"/>
      <c r="I815" s="102"/>
      <c r="J815" s="26"/>
      <c r="K815" s="103"/>
      <c r="L815" s="47"/>
      <c r="M815" s="30"/>
      <c r="N815" s="104"/>
      <c r="O815" s="104"/>
      <c r="P815" s="26"/>
      <c r="Q815" s="26"/>
      <c r="R815" s="26"/>
      <c r="S815" s="30"/>
      <c r="T815" s="84"/>
      <c r="U815" s="84"/>
      <c r="V815" s="105"/>
      <c r="W815" s="106"/>
      <c r="X815" s="33"/>
      <c r="Y815" s="34"/>
      <c r="Z815" s="34"/>
      <c r="AA815" s="34"/>
      <c r="AB815" s="34"/>
      <c r="AC815" s="107"/>
      <c r="AD815" s="35"/>
      <c r="AE815" s="35"/>
      <c r="AF815" s="35"/>
      <c r="AG815" s="35"/>
      <c r="AH815" s="35"/>
      <c r="AI815" s="34"/>
      <c r="AJ815" s="35"/>
      <c r="AK815" s="35"/>
      <c r="AL815" s="34"/>
      <c r="AM815" s="34"/>
      <c r="AN815" s="46"/>
      <c r="AO815" s="48"/>
      <c r="AP815" s="48"/>
      <c r="AQ815" s="48"/>
      <c r="AR815" s="48"/>
      <c r="AS815" s="48"/>
      <c r="AT815" s="48"/>
      <c r="AU815" s="48"/>
      <c r="AV815" s="48"/>
      <c r="AW815" s="48"/>
      <c r="AX815" s="48"/>
      <c r="AY815" s="43"/>
      <c r="AZ815" s="48"/>
      <c r="BA815" s="48"/>
      <c r="BB815" s="48"/>
      <c r="BC815" s="43"/>
      <c r="BD815" s="43"/>
      <c r="BE815" s="44"/>
      <c r="BF815" s="48"/>
      <c r="BG815" s="43"/>
    </row>
    <row r="816">
      <c r="A816" s="98"/>
      <c r="B816" s="99"/>
      <c r="C816" s="99"/>
      <c r="D816" s="21"/>
      <c r="E816" s="22"/>
      <c r="F816" s="100"/>
      <c r="G816" s="101"/>
      <c r="H816" s="100"/>
      <c r="I816" s="102"/>
      <c r="J816" s="26"/>
      <c r="K816" s="103"/>
      <c r="L816" s="47"/>
      <c r="M816" s="30"/>
      <c r="N816" s="104"/>
      <c r="O816" s="104"/>
      <c r="P816" s="26"/>
      <c r="Q816" s="26"/>
      <c r="R816" s="26"/>
      <c r="S816" s="30"/>
      <c r="T816" s="84"/>
      <c r="U816" s="84"/>
      <c r="V816" s="105"/>
      <c r="W816" s="106"/>
      <c r="X816" s="33"/>
      <c r="Y816" s="34"/>
      <c r="Z816" s="34"/>
      <c r="AA816" s="34"/>
      <c r="AB816" s="34"/>
      <c r="AC816" s="107"/>
      <c r="AD816" s="35"/>
      <c r="AE816" s="35"/>
      <c r="AF816" s="35"/>
      <c r="AG816" s="35"/>
      <c r="AH816" s="35"/>
      <c r="AI816" s="34"/>
      <c r="AJ816" s="35"/>
      <c r="AK816" s="35"/>
      <c r="AL816" s="34"/>
      <c r="AM816" s="34"/>
      <c r="AN816" s="46"/>
      <c r="AO816" s="48"/>
      <c r="AP816" s="48"/>
      <c r="AQ816" s="48"/>
      <c r="AR816" s="48"/>
      <c r="AS816" s="48"/>
      <c r="AT816" s="48"/>
      <c r="AU816" s="48"/>
      <c r="AV816" s="48"/>
      <c r="AW816" s="48"/>
      <c r="AX816" s="48"/>
      <c r="AY816" s="43"/>
      <c r="AZ816" s="48"/>
      <c r="BA816" s="48"/>
      <c r="BB816" s="48"/>
      <c r="BC816" s="43"/>
      <c r="BD816" s="43"/>
      <c r="BE816" s="44"/>
      <c r="BF816" s="48"/>
      <c r="BG816" s="43"/>
    </row>
    <row r="817">
      <c r="A817" s="98"/>
      <c r="B817" s="99"/>
      <c r="C817" s="99"/>
      <c r="D817" s="21"/>
      <c r="E817" s="22"/>
      <c r="F817" s="100"/>
      <c r="G817" s="101"/>
      <c r="H817" s="100"/>
      <c r="I817" s="102"/>
      <c r="J817" s="26"/>
      <c r="K817" s="103"/>
      <c r="L817" s="47"/>
      <c r="M817" s="30"/>
      <c r="N817" s="104"/>
      <c r="O817" s="104"/>
      <c r="P817" s="26"/>
      <c r="Q817" s="26"/>
      <c r="R817" s="26"/>
      <c r="S817" s="30"/>
      <c r="T817" s="84"/>
      <c r="U817" s="84"/>
      <c r="V817" s="105"/>
      <c r="W817" s="106"/>
      <c r="X817" s="33"/>
      <c r="Y817" s="34"/>
      <c r="Z817" s="34"/>
      <c r="AA817" s="34"/>
      <c r="AB817" s="34"/>
      <c r="AC817" s="107"/>
      <c r="AD817" s="35"/>
      <c r="AE817" s="35"/>
      <c r="AF817" s="35"/>
      <c r="AG817" s="35"/>
      <c r="AH817" s="35"/>
      <c r="AI817" s="34"/>
      <c r="AJ817" s="35"/>
      <c r="AK817" s="35"/>
      <c r="AL817" s="34"/>
      <c r="AM817" s="34"/>
      <c r="AN817" s="46"/>
      <c r="AO817" s="48"/>
      <c r="AP817" s="48"/>
      <c r="AQ817" s="48"/>
      <c r="AR817" s="48"/>
      <c r="AS817" s="48"/>
      <c r="AT817" s="48"/>
      <c r="AU817" s="48"/>
      <c r="AV817" s="48"/>
      <c r="AW817" s="48"/>
      <c r="AX817" s="48"/>
      <c r="AY817" s="43"/>
      <c r="AZ817" s="48"/>
      <c r="BA817" s="48"/>
      <c r="BB817" s="48"/>
      <c r="BC817" s="43"/>
      <c r="BD817" s="43"/>
      <c r="BE817" s="44"/>
      <c r="BF817" s="48"/>
      <c r="BG817" s="43"/>
    </row>
    <row r="818">
      <c r="A818" s="98"/>
      <c r="B818" s="99"/>
      <c r="C818" s="99"/>
      <c r="D818" s="21"/>
      <c r="E818" s="22"/>
      <c r="F818" s="100"/>
      <c r="G818" s="101"/>
      <c r="H818" s="100"/>
      <c r="I818" s="102"/>
      <c r="J818" s="26"/>
      <c r="K818" s="103"/>
      <c r="L818" s="47"/>
      <c r="M818" s="30"/>
      <c r="N818" s="104"/>
      <c r="O818" s="104"/>
      <c r="P818" s="26"/>
      <c r="Q818" s="26"/>
      <c r="R818" s="26"/>
      <c r="S818" s="30"/>
      <c r="T818" s="84"/>
      <c r="U818" s="84"/>
      <c r="V818" s="105"/>
      <c r="W818" s="106"/>
      <c r="X818" s="33"/>
      <c r="Y818" s="34"/>
      <c r="Z818" s="34"/>
      <c r="AA818" s="34"/>
      <c r="AB818" s="34"/>
      <c r="AC818" s="107"/>
      <c r="AD818" s="35"/>
      <c r="AE818" s="35"/>
      <c r="AF818" s="35"/>
      <c r="AG818" s="35"/>
      <c r="AH818" s="35"/>
      <c r="AI818" s="34"/>
      <c r="AJ818" s="35"/>
      <c r="AK818" s="35"/>
      <c r="AL818" s="34"/>
      <c r="AM818" s="34"/>
      <c r="AN818" s="46"/>
      <c r="AO818" s="48"/>
      <c r="AP818" s="48"/>
      <c r="AQ818" s="48"/>
      <c r="AR818" s="48"/>
      <c r="AS818" s="48"/>
      <c r="AT818" s="48"/>
      <c r="AU818" s="48"/>
      <c r="AV818" s="48"/>
      <c r="AW818" s="48"/>
      <c r="AX818" s="48"/>
      <c r="AY818" s="43"/>
      <c r="AZ818" s="48"/>
      <c r="BA818" s="48"/>
      <c r="BB818" s="48"/>
      <c r="BC818" s="43"/>
      <c r="BD818" s="43"/>
      <c r="BE818" s="44"/>
      <c r="BF818" s="48"/>
      <c r="BG818" s="43"/>
    </row>
    <row r="819">
      <c r="A819" s="98"/>
      <c r="B819" s="99"/>
      <c r="C819" s="99"/>
      <c r="D819" s="21"/>
      <c r="E819" s="22"/>
      <c r="F819" s="100"/>
      <c r="G819" s="101"/>
      <c r="H819" s="100"/>
      <c r="I819" s="102"/>
      <c r="J819" s="26"/>
      <c r="K819" s="103"/>
      <c r="L819" s="47"/>
      <c r="M819" s="30"/>
      <c r="N819" s="104"/>
      <c r="O819" s="104"/>
      <c r="P819" s="26"/>
      <c r="Q819" s="26"/>
      <c r="R819" s="26"/>
      <c r="S819" s="30"/>
      <c r="T819" s="84"/>
      <c r="U819" s="84"/>
      <c r="V819" s="105"/>
      <c r="W819" s="106"/>
      <c r="X819" s="33"/>
      <c r="Y819" s="34"/>
      <c r="Z819" s="34"/>
      <c r="AA819" s="34"/>
      <c r="AB819" s="34"/>
      <c r="AC819" s="107"/>
      <c r="AD819" s="35"/>
      <c r="AE819" s="35"/>
      <c r="AF819" s="35"/>
      <c r="AG819" s="35"/>
      <c r="AH819" s="35"/>
      <c r="AI819" s="34"/>
      <c r="AJ819" s="35"/>
      <c r="AK819" s="35"/>
      <c r="AL819" s="34"/>
      <c r="AM819" s="34"/>
      <c r="AN819" s="46"/>
      <c r="AO819" s="48"/>
      <c r="AP819" s="48"/>
      <c r="AQ819" s="48"/>
      <c r="AR819" s="48"/>
      <c r="AS819" s="48"/>
      <c r="AT819" s="48"/>
      <c r="AU819" s="48"/>
      <c r="AV819" s="48"/>
      <c r="AW819" s="48"/>
      <c r="AX819" s="48"/>
      <c r="AY819" s="43"/>
      <c r="AZ819" s="48"/>
      <c r="BA819" s="48"/>
      <c r="BB819" s="48"/>
      <c r="BC819" s="43"/>
      <c r="BD819" s="43"/>
      <c r="BE819" s="44"/>
      <c r="BF819" s="48"/>
      <c r="BG819" s="43"/>
    </row>
    <row r="820">
      <c r="A820" s="98"/>
      <c r="B820" s="99"/>
      <c r="C820" s="99"/>
      <c r="D820" s="21"/>
      <c r="E820" s="22"/>
      <c r="F820" s="100"/>
      <c r="G820" s="101"/>
      <c r="H820" s="100"/>
      <c r="I820" s="102"/>
      <c r="J820" s="26"/>
      <c r="K820" s="103"/>
      <c r="L820" s="47"/>
      <c r="M820" s="30"/>
      <c r="N820" s="104"/>
      <c r="O820" s="104"/>
      <c r="P820" s="26"/>
      <c r="Q820" s="26"/>
      <c r="R820" s="26"/>
      <c r="S820" s="30"/>
      <c r="T820" s="84"/>
      <c r="U820" s="84"/>
      <c r="V820" s="105"/>
      <c r="W820" s="106"/>
      <c r="X820" s="33"/>
      <c r="Y820" s="34"/>
      <c r="Z820" s="34"/>
      <c r="AA820" s="34"/>
      <c r="AB820" s="34"/>
      <c r="AC820" s="107"/>
      <c r="AD820" s="35"/>
      <c r="AE820" s="35"/>
      <c r="AF820" s="35"/>
      <c r="AG820" s="35"/>
      <c r="AH820" s="35"/>
      <c r="AI820" s="34"/>
      <c r="AJ820" s="35"/>
      <c r="AK820" s="35"/>
      <c r="AL820" s="34"/>
      <c r="AM820" s="34"/>
      <c r="AN820" s="46"/>
      <c r="AO820" s="48"/>
      <c r="AP820" s="48"/>
      <c r="AQ820" s="48"/>
      <c r="AR820" s="48"/>
      <c r="AS820" s="48"/>
      <c r="AT820" s="48"/>
      <c r="AU820" s="48"/>
      <c r="AV820" s="48"/>
      <c r="AW820" s="48"/>
      <c r="AX820" s="48"/>
      <c r="AY820" s="43"/>
      <c r="AZ820" s="48"/>
      <c r="BA820" s="48"/>
      <c r="BB820" s="48"/>
      <c r="BC820" s="43"/>
      <c r="BD820" s="43"/>
      <c r="BE820" s="44"/>
      <c r="BF820" s="48"/>
      <c r="BG820" s="43"/>
    </row>
    <row r="821">
      <c r="A821" s="98"/>
      <c r="B821" s="99"/>
      <c r="C821" s="99"/>
      <c r="D821" s="21"/>
      <c r="E821" s="22"/>
      <c r="F821" s="100"/>
      <c r="G821" s="101"/>
      <c r="H821" s="100"/>
      <c r="I821" s="102"/>
      <c r="J821" s="26"/>
      <c r="K821" s="103"/>
      <c r="L821" s="47"/>
      <c r="M821" s="30"/>
      <c r="N821" s="104"/>
      <c r="O821" s="104"/>
      <c r="P821" s="26"/>
      <c r="Q821" s="26"/>
      <c r="R821" s="26"/>
      <c r="S821" s="30"/>
      <c r="T821" s="84"/>
      <c r="U821" s="84"/>
      <c r="V821" s="105"/>
      <c r="W821" s="106"/>
      <c r="X821" s="33"/>
      <c r="Y821" s="34"/>
      <c r="Z821" s="34"/>
      <c r="AA821" s="34"/>
      <c r="AB821" s="34"/>
      <c r="AC821" s="107"/>
      <c r="AD821" s="35"/>
      <c r="AE821" s="35"/>
      <c r="AF821" s="35"/>
      <c r="AG821" s="35"/>
      <c r="AH821" s="35"/>
      <c r="AI821" s="34"/>
      <c r="AJ821" s="35"/>
      <c r="AK821" s="35"/>
      <c r="AL821" s="34"/>
      <c r="AM821" s="34"/>
      <c r="AN821" s="46"/>
      <c r="AO821" s="48"/>
      <c r="AP821" s="48"/>
      <c r="AQ821" s="48"/>
      <c r="AR821" s="48"/>
      <c r="AS821" s="48"/>
      <c r="AT821" s="48"/>
      <c r="AU821" s="48"/>
      <c r="AV821" s="48"/>
      <c r="AW821" s="48"/>
      <c r="AX821" s="48"/>
      <c r="AY821" s="43"/>
      <c r="AZ821" s="48"/>
      <c r="BA821" s="48"/>
      <c r="BB821" s="48"/>
      <c r="BC821" s="43"/>
      <c r="BD821" s="43"/>
      <c r="BE821" s="44"/>
      <c r="BF821" s="48"/>
      <c r="BG821" s="43"/>
    </row>
    <row r="822">
      <c r="A822" s="98"/>
      <c r="B822" s="99"/>
      <c r="C822" s="99"/>
      <c r="D822" s="21"/>
      <c r="E822" s="22"/>
      <c r="F822" s="100"/>
      <c r="G822" s="101"/>
      <c r="H822" s="100"/>
      <c r="I822" s="102"/>
      <c r="J822" s="26"/>
      <c r="K822" s="103"/>
      <c r="L822" s="47"/>
      <c r="M822" s="30"/>
      <c r="N822" s="104"/>
      <c r="O822" s="104"/>
      <c r="P822" s="26"/>
      <c r="Q822" s="26"/>
      <c r="R822" s="26"/>
      <c r="S822" s="30"/>
      <c r="T822" s="84"/>
      <c r="U822" s="84"/>
      <c r="V822" s="105"/>
      <c r="W822" s="106"/>
      <c r="X822" s="33"/>
      <c r="Y822" s="34"/>
      <c r="Z822" s="34"/>
      <c r="AA822" s="34"/>
      <c r="AB822" s="34"/>
      <c r="AC822" s="107"/>
      <c r="AD822" s="35"/>
      <c r="AE822" s="35"/>
      <c r="AF822" s="35"/>
      <c r="AG822" s="35"/>
      <c r="AH822" s="35"/>
      <c r="AI822" s="34"/>
      <c r="AJ822" s="35"/>
      <c r="AK822" s="35"/>
      <c r="AL822" s="34"/>
      <c r="AM822" s="34"/>
      <c r="AN822" s="46"/>
      <c r="AO822" s="48"/>
      <c r="AP822" s="48"/>
      <c r="AQ822" s="48"/>
      <c r="AR822" s="48"/>
      <c r="AS822" s="48"/>
      <c r="AT822" s="48"/>
      <c r="AU822" s="48"/>
      <c r="AV822" s="48"/>
      <c r="AW822" s="48"/>
      <c r="AX822" s="48"/>
      <c r="AY822" s="43"/>
      <c r="AZ822" s="48"/>
      <c r="BA822" s="48"/>
      <c r="BB822" s="48"/>
      <c r="BC822" s="43"/>
      <c r="BD822" s="43"/>
      <c r="BE822" s="44"/>
      <c r="BF822" s="48"/>
      <c r="BG822" s="43"/>
    </row>
    <row r="823">
      <c r="A823" s="98"/>
      <c r="B823" s="99"/>
      <c r="C823" s="99"/>
      <c r="D823" s="21"/>
      <c r="E823" s="22"/>
      <c r="F823" s="100"/>
      <c r="G823" s="101"/>
      <c r="H823" s="100"/>
      <c r="I823" s="102"/>
      <c r="J823" s="26"/>
      <c r="K823" s="103"/>
      <c r="L823" s="47"/>
      <c r="M823" s="30"/>
      <c r="N823" s="104"/>
      <c r="O823" s="104"/>
      <c r="P823" s="26"/>
      <c r="Q823" s="26"/>
      <c r="R823" s="26"/>
      <c r="S823" s="30"/>
      <c r="T823" s="84"/>
      <c r="U823" s="84"/>
      <c r="V823" s="105"/>
      <c r="W823" s="106"/>
      <c r="X823" s="33"/>
      <c r="Y823" s="34"/>
      <c r="Z823" s="34"/>
      <c r="AA823" s="34"/>
      <c r="AB823" s="34"/>
      <c r="AC823" s="107"/>
      <c r="AD823" s="35"/>
      <c r="AE823" s="35"/>
      <c r="AF823" s="35"/>
      <c r="AG823" s="35"/>
      <c r="AH823" s="35"/>
      <c r="AI823" s="34"/>
      <c r="AJ823" s="35"/>
      <c r="AK823" s="35"/>
      <c r="AL823" s="34"/>
      <c r="AM823" s="34"/>
      <c r="AN823" s="46"/>
      <c r="AO823" s="48"/>
      <c r="AP823" s="48"/>
      <c r="AQ823" s="48"/>
      <c r="AR823" s="48"/>
      <c r="AS823" s="48"/>
      <c r="AT823" s="48"/>
      <c r="AU823" s="48"/>
      <c r="AV823" s="48"/>
      <c r="AW823" s="48"/>
      <c r="AX823" s="48"/>
      <c r="AY823" s="43"/>
      <c r="AZ823" s="48"/>
      <c r="BA823" s="48"/>
      <c r="BB823" s="48"/>
      <c r="BC823" s="43"/>
      <c r="BD823" s="43"/>
      <c r="BE823" s="44"/>
      <c r="BF823" s="48"/>
      <c r="BG823" s="43"/>
    </row>
    <row r="824">
      <c r="A824" s="98"/>
      <c r="B824" s="99"/>
      <c r="C824" s="99"/>
      <c r="D824" s="21"/>
      <c r="E824" s="22"/>
      <c r="F824" s="100"/>
      <c r="G824" s="101"/>
      <c r="H824" s="100"/>
      <c r="I824" s="102"/>
      <c r="J824" s="26"/>
      <c r="K824" s="103"/>
      <c r="L824" s="47"/>
      <c r="M824" s="30"/>
      <c r="N824" s="104"/>
      <c r="O824" s="104"/>
      <c r="P824" s="26"/>
      <c r="Q824" s="26"/>
      <c r="R824" s="26"/>
      <c r="S824" s="30"/>
      <c r="T824" s="84"/>
      <c r="U824" s="84"/>
      <c r="V824" s="105"/>
      <c r="W824" s="106"/>
      <c r="X824" s="33"/>
      <c r="Y824" s="34"/>
      <c r="Z824" s="34"/>
      <c r="AA824" s="34"/>
      <c r="AB824" s="34"/>
      <c r="AC824" s="107"/>
      <c r="AD824" s="35"/>
      <c r="AE824" s="35"/>
      <c r="AF824" s="35"/>
      <c r="AG824" s="35"/>
      <c r="AH824" s="35"/>
      <c r="AI824" s="34"/>
      <c r="AJ824" s="35"/>
      <c r="AK824" s="35"/>
      <c r="AL824" s="34"/>
      <c r="AM824" s="34"/>
      <c r="AN824" s="46"/>
      <c r="AO824" s="48"/>
      <c r="AP824" s="48"/>
      <c r="AQ824" s="48"/>
      <c r="AR824" s="48"/>
      <c r="AS824" s="48"/>
      <c r="AT824" s="48"/>
      <c r="AU824" s="48"/>
      <c r="AV824" s="48"/>
      <c r="AW824" s="48"/>
      <c r="AX824" s="48"/>
      <c r="AY824" s="43"/>
      <c r="AZ824" s="48"/>
      <c r="BA824" s="48"/>
      <c r="BB824" s="48"/>
      <c r="BC824" s="43"/>
      <c r="BD824" s="43"/>
      <c r="BE824" s="44"/>
      <c r="BF824" s="48"/>
      <c r="BG824" s="43"/>
    </row>
    <row r="825">
      <c r="A825" s="98"/>
      <c r="B825" s="99"/>
      <c r="C825" s="99"/>
      <c r="D825" s="21"/>
      <c r="E825" s="22"/>
      <c r="F825" s="100"/>
      <c r="G825" s="101"/>
      <c r="H825" s="100"/>
      <c r="I825" s="102"/>
      <c r="J825" s="26"/>
      <c r="K825" s="103"/>
      <c r="L825" s="47"/>
      <c r="M825" s="30"/>
      <c r="N825" s="104"/>
      <c r="O825" s="104"/>
      <c r="P825" s="26"/>
      <c r="Q825" s="26"/>
      <c r="R825" s="26"/>
      <c r="S825" s="30"/>
      <c r="T825" s="84"/>
      <c r="U825" s="84"/>
      <c r="V825" s="105"/>
      <c r="W825" s="106"/>
      <c r="X825" s="33"/>
      <c r="Y825" s="34"/>
      <c r="Z825" s="34"/>
      <c r="AA825" s="34"/>
      <c r="AB825" s="34"/>
      <c r="AC825" s="107"/>
      <c r="AD825" s="35"/>
      <c r="AE825" s="35"/>
      <c r="AF825" s="35"/>
      <c r="AG825" s="35"/>
      <c r="AH825" s="35"/>
      <c r="AI825" s="34"/>
      <c r="AJ825" s="35"/>
      <c r="AK825" s="35"/>
      <c r="AL825" s="34"/>
      <c r="AM825" s="34"/>
      <c r="AN825" s="46"/>
      <c r="AO825" s="48"/>
      <c r="AP825" s="48"/>
      <c r="AQ825" s="48"/>
      <c r="AR825" s="48"/>
      <c r="AS825" s="48"/>
      <c r="AT825" s="48"/>
      <c r="AU825" s="48"/>
      <c r="AV825" s="48"/>
      <c r="AW825" s="48"/>
      <c r="AX825" s="48"/>
      <c r="AY825" s="43"/>
      <c r="AZ825" s="48"/>
      <c r="BA825" s="48"/>
      <c r="BB825" s="48"/>
      <c r="BC825" s="43"/>
      <c r="BD825" s="43"/>
      <c r="BE825" s="44"/>
      <c r="BF825" s="48"/>
      <c r="BG825" s="43"/>
    </row>
    <row r="826">
      <c r="A826" s="98"/>
      <c r="B826" s="99"/>
      <c r="C826" s="99"/>
      <c r="D826" s="21"/>
      <c r="E826" s="22"/>
      <c r="F826" s="100"/>
      <c r="G826" s="101"/>
      <c r="H826" s="100"/>
      <c r="I826" s="102"/>
      <c r="J826" s="26"/>
      <c r="K826" s="103"/>
      <c r="L826" s="47"/>
      <c r="M826" s="30"/>
      <c r="N826" s="104"/>
      <c r="O826" s="104"/>
      <c r="P826" s="26"/>
      <c r="Q826" s="26"/>
      <c r="R826" s="26"/>
      <c r="S826" s="30"/>
      <c r="T826" s="84"/>
      <c r="U826" s="84"/>
      <c r="V826" s="105"/>
      <c r="W826" s="106"/>
      <c r="X826" s="33"/>
      <c r="Y826" s="34"/>
      <c r="Z826" s="34"/>
      <c r="AA826" s="34"/>
      <c r="AB826" s="34"/>
      <c r="AC826" s="107"/>
      <c r="AD826" s="35"/>
      <c r="AE826" s="35"/>
      <c r="AF826" s="35"/>
      <c r="AG826" s="35"/>
      <c r="AH826" s="35"/>
      <c r="AI826" s="34"/>
      <c r="AJ826" s="35"/>
      <c r="AK826" s="35"/>
      <c r="AL826" s="34"/>
      <c r="AM826" s="34"/>
      <c r="AN826" s="46"/>
      <c r="AO826" s="48"/>
      <c r="AP826" s="48"/>
      <c r="AQ826" s="48"/>
      <c r="AR826" s="48"/>
      <c r="AS826" s="48"/>
      <c r="AT826" s="48"/>
      <c r="AU826" s="48"/>
      <c r="AV826" s="48"/>
      <c r="AW826" s="48"/>
      <c r="AX826" s="48"/>
      <c r="AY826" s="43"/>
      <c r="AZ826" s="48"/>
      <c r="BA826" s="48"/>
      <c r="BB826" s="48"/>
      <c r="BC826" s="43"/>
      <c r="BD826" s="43"/>
      <c r="BE826" s="44"/>
      <c r="BF826" s="48"/>
      <c r="BG826" s="43"/>
    </row>
    <row r="827">
      <c r="A827" s="98"/>
      <c r="B827" s="99"/>
      <c r="C827" s="99"/>
      <c r="D827" s="21"/>
      <c r="E827" s="22"/>
      <c r="F827" s="100"/>
      <c r="G827" s="101"/>
      <c r="H827" s="100"/>
      <c r="I827" s="102"/>
      <c r="J827" s="26"/>
      <c r="K827" s="103"/>
      <c r="L827" s="47"/>
      <c r="M827" s="30"/>
      <c r="N827" s="104"/>
      <c r="O827" s="104"/>
      <c r="P827" s="26"/>
      <c r="Q827" s="26"/>
      <c r="R827" s="26"/>
      <c r="S827" s="30"/>
      <c r="T827" s="84"/>
      <c r="U827" s="84"/>
      <c r="V827" s="105"/>
      <c r="W827" s="106"/>
      <c r="X827" s="33"/>
      <c r="Y827" s="34"/>
      <c r="Z827" s="34"/>
      <c r="AA827" s="34"/>
      <c r="AB827" s="34"/>
      <c r="AC827" s="107"/>
      <c r="AD827" s="35"/>
      <c r="AE827" s="35"/>
      <c r="AF827" s="35"/>
      <c r="AG827" s="35"/>
      <c r="AH827" s="35"/>
      <c r="AI827" s="34"/>
      <c r="AJ827" s="35"/>
      <c r="AK827" s="35"/>
      <c r="AL827" s="34"/>
      <c r="AM827" s="34"/>
      <c r="AN827" s="46"/>
      <c r="AO827" s="48"/>
      <c r="AP827" s="48"/>
      <c r="AQ827" s="48"/>
      <c r="AR827" s="48"/>
      <c r="AS827" s="48"/>
      <c r="AT827" s="48"/>
      <c r="AU827" s="48"/>
      <c r="AV827" s="48"/>
      <c r="AW827" s="48"/>
      <c r="AX827" s="48"/>
      <c r="AY827" s="43"/>
      <c r="AZ827" s="48"/>
      <c r="BA827" s="48"/>
      <c r="BB827" s="48"/>
      <c r="BC827" s="43"/>
      <c r="BD827" s="43"/>
      <c r="BE827" s="44"/>
      <c r="BF827" s="48"/>
      <c r="BG827" s="43"/>
    </row>
    <row r="828">
      <c r="A828" s="98"/>
      <c r="B828" s="99"/>
      <c r="C828" s="99"/>
      <c r="D828" s="21"/>
      <c r="E828" s="22"/>
      <c r="F828" s="100"/>
      <c r="G828" s="101"/>
      <c r="H828" s="100"/>
      <c r="I828" s="102"/>
      <c r="J828" s="26"/>
      <c r="K828" s="103"/>
      <c r="L828" s="47"/>
      <c r="M828" s="30"/>
      <c r="N828" s="104"/>
      <c r="O828" s="104"/>
      <c r="P828" s="26"/>
      <c r="Q828" s="26"/>
      <c r="R828" s="26"/>
      <c r="S828" s="30"/>
      <c r="T828" s="84"/>
      <c r="U828" s="84"/>
      <c r="V828" s="105"/>
      <c r="W828" s="106"/>
      <c r="X828" s="33"/>
      <c r="Y828" s="34"/>
      <c r="Z828" s="34"/>
      <c r="AA828" s="34"/>
      <c r="AB828" s="34"/>
      <c r="AC828" s="107"/>
      <c r="AD828" s="35"/>
      <c r="AE828" s="35"/>
      <c r="AF828" s="35"/>
      <c r="AG828" s="35"/>
      <c r="AH828" s="35"/>
      <c r="AI828" s="34"/>
      <c r="AJ828" s="35"/>
      <c r="AK828" s="35"/>
      <c r="AL828" s="34"/>
      <c r="AM828" s="34"/>
      <c r="AN828" s="46"/>
      <c r="AO828" s="48"/>
      <c r="AP828" s="48"/>
      <c r="AQ828" s="48"/>
      <c r="AR828" s="48"/>
      <c r="AS828" s="48"/>
      <c r="AT828" s="48"/>
      <c r="AU828" s="48"/>
      <c r="AV828" s="48"/>
      <c r="AW828" s="48"/>
      <c r="AX828" s="48"/>
      <c r="AY828" s="43"/>
      <c r="AZ828" s="48"/>
      <c r="BA828" s="48"/>
      <c r="BB828" s="48"/>
      <c r="BC828" s="43"/>
      <c r="BD828" s="43"/>
      <c r="BE828" s="44"/>
      <c r="BF828" s="48"/>
      <c r="BG828" s="43"/>
    </row>
    <row r="829">
      <c r="A829" s="98"/>
      <c r="B829" s="99"/>
      <c r="C829" s="99"/>
      <c r="D829" s="21"/>
      <c r="E829" s="22"/>
      <c r="F829" s="100"/>
      <c r="G829" s="101"/>
      <c r="H829" s="100"/>
      <c r="I829" s="102"/>
      <c r="J829" s="26"/>
      <c r="K829" s="103"/>
      <c r="L829" s="47"/>
      <c r="M829" s="30"/>
      <c r="N829" s="104"/>
      <c r="O829" s="104"/>
      <c r="P829" s="26"/>
      <c r="Q829" s="26"/>
      <c r="R829" s="26"/>
      <c r="S829" s="30"/>
      <c r="T829" s="84"/>
      <c r="U829" s="84"/>
      <c r="V829" s="105"/>
      <c r="W829" s="106"/>
      <c r="X829" s="33"/>
      <c r="Y829" s="34"/>
      <c r="Z829" s="34"/>
      <c r="AA829" s="34"/>
      <c r="AB829" s="34"/>
      <c r="AC829" s="107"/>
      <c r="AD829" s="35"/>
      <c r="AE829" s="35"/>
      <c r="AF829" s="35"/>
      <c r="AG829" s="35"/>
      <c r="AH829" s="35"/>
      <c r="AI829" s="34"/>
      <c r="AJ829" s="35"/>
      <c r="AK829" s="35"/>
      <c r="AL829" s="34"/>
      <c r="AM829" s="34"/>
      <c r="AN829" s="46"/>
      <c r="AO829" s="48"/>
      <c r="AP829" s="48"/>
      <c r="AQ829" s="48"/>
      <c r="AR829" s="48"/>
      <c r="AS829" s="48"/>
      <c r="AT829" s="48"/>
      <c r="AU829" s="48"/>
      <c r="AV829" s="48"/>
      <c r="AW829" s="48"/>
      <c r="AX829" s="48"/>
      <c r="AY829" s="43"/>
      <c r="AZ829" s="48"/>
      <c r="BA829" s="48"/>
      <c r="BB829" s="48"/>
      <c r="BC829" s="43"/>
      <c r="BD829" s="43"/>
      <c r="BE829" s="44"/>
      <c r="BF829" s="48"/>
      <c r="BG829" s="43"/>
    </row>
    <row r="830">
      <c r="A830" s="98"/>
      <c r="B830" s="99"/>
      <c r="C830" s="99"/>
      <c r="D830" s="21"/>
      <c r="E830" s="22"/>
      <c r="F830" s="100"/>
      <c r="G830" s="101"/>
      <c r="H830" s="100"/>
      <c r="I830" s="102"/>
      <c r="J830" s="26"/>
      <c r="K830" s="103"/>
      <c r="L830" s="47"/>
      <c r="M830" s="30"/>
      <c r="N830" s="104"/>
      <c r="O830" s="104"/>
      <c r="P830" s="26"/>
      <c r="Q830" s="26"/>
      <c r="R830" s="26"/>
      <c r="S830" s="30"/>
      <c r="T830" s="84"/>
      <c r="U830" s="84"/>
      <c r="V830" s="105"/>
      <c r="W830" s="106"/>
      <c r="X830" s="33"/>
      <c r="Y830" s="34"/>
      <c r="Z830" s="34"/>
      <c r="AA830" s="34"/>
      <c r="AB830" s="34"/>
      <c r="AC830" s="107"/>
      <c r="AD830" s="35"/>
      <c r="AE830" s="35"/>
      <c r="AF830" s="35"/>
      <c r="AG830" s="35"/>
      <c r="AH830" s="35"/>
      <c r="AI830" s="34"/>
      <c r="AJ830" s="35"/>
      <c r="AK830" s="35"/>
      <c r="AL830" s="34"/>
      <c r="AM830" s="34"/>
      <c r="AN830" s="46"/>
      <c r="AO830" s="48"/>
      <c r="AP830" s="48"/>
      <c r="AQ830" s="48"/>
      <c r="AR830" s="48"/>
      <c r="AS830" s="48"/>
      <c r="AT830" s="48"/>
      <c r="AU830" s="48"/>
      <c r="AV830" s="48"/>
      <c r="AW830" s="48"/>
      <c r="AX830" s="48"/>
      <c r="AY830" s="43"/>
      <c r="AZ830" s="48"/>
      <c r="BA830" s="48"/>
      <c r="BB830" s="48"/>
      <c r="BC830" s="43"/>
      <c r="BD830" s="43"/>
      <c r="BE830" s="44"/>
      <c r="BF830" s="48"/>
      <c r="BG830" s="43"/>
    </row>
    <row r="831">
      <c r="A831" s="98"/>
      <c r="B831" s="99"/>
      <c r="C831" s="99"/>
      <c r="D831" s="21"/>
      <c r="E831" s="22"/>
      <c r="F831" s="100"/>
      <c r="G831" s="101"/>
      <c r="H831" s="100"/>
      <c r="I831" s="102"/>
      <c r="J831" s="26"/>
      <c r="K831" s="103"/>
      <c r="L831" s="47"/>
      <c r="M831" s="30"/>
      <c r="N831" s="104"/>
      <c r="O831" s="104"/>
      <c r="P831" s="26"/>
      <c r="Q831" s="26"/>
      <c r="R831" s="26"/>
      <c r="S831" s="30"/>
      <c r="T831" s="84"/>
      <c r="U831" s="84"/>
      <c r="V831" s="105"/>
      <c r="W831" s="106"/>
      <c r="X831" s="33"/>
      <c r="Y831" s="34"/>
      <c r="Z831" s="34"/>
      <c r="AA831" s="34"/>
      <c r="AB831" s="34"/>
      <c r="AC831" s="107"/>
      <c r="AD831" s="35"/>
      <c r="AE831" s="35"/>
      <c r="AF831" s="35"/>
      <c r="AG831" s="35"/>
      <c r="AH831" s="35"/>
      <c r="AI831" s="34"/>
      <c r="AJ831" s="35"/>
      <c r="AK831" s="35"/>
      <c r="AL831" s="34"/>
      <c r="AM831" s="34"/>
      <c r="AN831" s="46"/>
      <c r="AO831" s="48"/>
      <c r="AP831" s="48"/>
      <c r="AQ831" s="48"/>
      <c r="AR831" s="48"/>
      <c r="AS831" s="48"/>
      <c r="AT831" s="48"/>
      <c r="AU831" s="48"/>
      <c r="AV831" s="48"/>
      <c r="AW831" s="48"/>
      <c r="AX831" s="48"/>
      <c r="AY831" s="43"/>
      <c r="AZ831" s="48"/>
      <c r="BA831" s="48"/>
      <c r="BB831" s="48"/>
      <c r="BC831" s="43"/>
      <c r="BD831" s="43"/>
      <c r="BE831" s="44"/>
      <c r="BF831" s="48"/>
      <c r="BG831" s="43"/>
    </row>
    <row r="832">
      <c r="A832" s="98"/>
      <c r="B832" s="99"/>
      <c r="C832" s="99"/>
      <c r="D832" s="21"/>
      <c r="E832" s="22"/>
      <c r="F832" s="100"/>
      <c r="G832" s="101"/>
      <c r="H832" s="100"/>
      <c r="I832" s="102"/>
      <c r="J832" s="26"/>
      <c r="K832" s="103"/>
      <c r="L832" s="47"/>
      <c r="M832" s="30"/>
      <c r="N832" s="104"/>
      <c r="O832" s="104"/>
      <c r="P832" s="26"/>
      <c r="Q832" s="26"/>
      <c r="R832" s="26"/>
      <c r="S832" s="30"/>
      <c r="T832" s="84"/>
      <c r="U832" s="84"/>
      <c r="V832" s="105"/>
      <c r="W832" s="106"/>
      <c r="X832" s="33"/>
      <c r="Y832" s="34"/>
      <c r="Z832" s="34"/>
      <c r="AA832" s="34"/>
      <c r="AB832" s="34"/>
      <c r="AC832" s="107"/>
      <c r="AD832" s="35"/>
      <c r="AE832" s="35"/>
      <c r="AF832" s="35"/>
      <c r="AG832" s="35"/>
      <c r="AH832" s="35"/>
      <c r="AI832" s="34"/>
      <c r="AJ832" s="35"/>
      <c r="AK832" s="35"/>
      <c r="AL832" s="34"/>
      <c r="AM832" s="34"/>
      <c r="AN832" s="46"/>
      <c r="AO832" s="48"/>
      <c r="AP832" s="48"/>
      <c r="AQ832" s="48"/>
      <c r="AR832" s="48"/>
      <c r="AS832" s="48"/>
      <c r="AT832" s="48"/>
      <c r="AU832" s="48"/>
      <c r="AV832" s="48"/>
      <c r="AW832" s="48"/>
      <c r="AX832" s="48"/>
      <c r="AY832" s="43"/>
      <c r="AZ832" s="48"/>
      <c r="BA832" s="48"/>
      <c r="BB832" s="48"/>
      <c r="BC832" s="43"/>
      <c r="BD832" s="43"/>
      <c r="BE832" s="44"/>
      <c r="BF832" s="48"/>
      <c r="BG832" s="43"/>
    </row>
    <row r="833">
      <c r="A833" s="98"/>
      <c r="B833" s="99"/>
      <c r="C833" s="99"/>
      <c r="D833" s="21"/>
      <c r="E833" s="22"/>
      <c r="F833" s="100"/>
      <c r="G833" s="101"/>
      <c r="H833" s="100"/>
      <c r="I833" s="102"/>
      <c r="J833" s="26"/>
      <c r="K833" s="103"/>
      <c r="L833" s="47"/>
      <c r="M833" s="30"/>
      <c r="N833" s="104"/>
      <c r="O833" s="104"/>
      <c r="P833" s="26"/>
      <c r="Q833" s="26"/>
      <c r="R833" s="26"/>
      <c r="S833" s="30"/>
      <c r="T833" s="84"/>
      <c r="U833" s="84"/>
      <c r="V833" s="105"/>
      <c r="W833" s="106"/>
      <c r="X833" s="33"/>
      <c r="Y833" s="34"/>
      <c r="Z833" s="34"/>
      <c r="AA833" s="34"/>
      <c r="AB833" s="34"/>
      <c r="AC833" s="107"/>
      <c r="AD833" s="35"/>
      <c r="AE833" s="35"/>
      <c r="AF833" s="35"/>
      <c r="AG833" s="35"/>
      <c r="AH833" s="35"/>
      <c r="AI833" s="34"/>
      <c r="AJ833" s="35"/>
      <c r="AK833" s="35"/>
      <c r="AL833" s="34"/>
      <c r="AM833" s="34"/>
      <c r="AN833" s="46"/>
      <c r="AO833" s="48"/>
      <c r="AP833" s="48"/>
      <c r="AQ833" s="48"/>
      <c r="AR833" s="48"/>
      <c r="AS833" s="48"/>
      <c r="AT833" s="48"/>
      <c r="AU833" s="48"/>
      <c r="AV833" s="48"/>
      <c r="AW833" s="48"/>
      <c r="AX833" s="48"/>
      <c r="AY833" s="43"/>
      <c r="AZ833" s="48"/>
      <c r="BA833" s="48"/>
      <c r="BB833" s="48"/>
      <c r="BC833" s="43"/>
      <c r="BD833" s="43"/>
      <c r="BE833" s="44"/>
      <c r="BF833" s="48"/>
      <c r="BG833" s="43"/>
    </row>
    <row r="834">
      <c r="A834" s="98"/>
      <c r="B834" s="99"/>
      <c r="C834" s="99"/>
      <c r="D834" s="21"/>
      <c r="E834" s="22"/>
      <c r="F834" s="100"/>
      <c r="G834" s="101"/>
      <c r="H834" s="100"/>
      <c r="I834" s="102"/>
      <c r="J834" s="26"/>
      <c r="K834" s="103"/>
      <c r="L834" s="47"/>
      <c r="M834" s="30"/>
      <c r="N834" s="104"/>
      <c r="O834" s="104"/>
      <c r="P834" s="26"/>
      <c r="Q834" s="26"/>
      <c r="R834" s="26"/>
      <c r="S834" s="30"/>
      <c r="T834" s="84"/>
      <c r="U834" s="84"/>
      <c r="V834" s="105"/>
      <c r="W834" s="106"/>
      <c r="X834" s="33"/>
      <c r="Y834" s="34"/>
      <c r="Z834" s="34"/>
      <c r="AA834" s="34"/>
      <c r="AB834" s="34"/>
      <c r="AC834" s="107"/>
      <c r="AD834" s="35"/>
      <c r="AE834" s="35"/>
      <c r="AF834" s="35"/>
      <c r="AG834" s="35"/>
      <c r="AH834" s="35"/>
      <c r="AI834" s="34"/>
      <c r="AJ834" s="35"/>
      <c r="AK834" s="35"/>
      <c r="AL834" s="34"/>
      <c r="AM834" s="34"/>
      <c r="AN834" s="46"/>
      <c r="AO834" s="48"/>
      <c r="AP834" s="48"/>
      <c r="AQ834" s="48"/>
      <c r="AR834" s="48"/>
      <c r="AS834" s="48"/>
      <c r="AT834" s="48"/>
      <c r="AU834" s="48"/>
      <c r="AV834" s="48"/>
      <c r="AW834" s="48"/>
      <c r="AX834" s="48"/>
      <c r="AY834" s="43"/>
      <c r="AZ834" s="48"/>
      <c r="BA834" s="48"/>
      <c r="BB834" s="48"/>
      <c r="BC834" s="43"/>
      <c r="BD834" s="43"/>
      <c r="BE834" s="44"/>
      <c r="BF834" s="48"/>
      <c r="BG834" s="43"/>
    </row>
    <row r="835">
      <c r="A835" s="98"/>
      <c r="B835" s="99"/>
      <c r="C835" s="99"/>
      <c r="D835" s="21"/>
      <c r="E835" s="22"/>
      <c r="F835" s="100"/>
      <c r="G835" s="101"/>
      <c r="H835" s="100"/>
      <c r="I835" s="102"/>
      <c r="J835" s="26"/>
      <c r="K835" s="103"/>
      <c r="L835" s="47"/>
      <c r="M835" s="30"/>
      <c r="N835" s="104"/>
      <c r="O835" s="104"/>
      <c r="P835" s="26"/>
      <c r="Q835" s="26"/>
      <c r="R835" s="26"/>
      <c r="S835" s="30"/>
      <c r="T835" s="84"/>
      <c r="U835" s="84"/>
      <c r="V835" s="105"/>
      <c r="W835" s="106"/>
      <c r="X835" s="33"/>
      <c r="Y835" s="34"/>
      <c r="Z835" s="34"/>
      <c r="AA835" s="34"/>
      <c r="AB835" s="34"/>
      <c r="AC835" s="107"/>
      <c r="AD835" s="35"/>
      <c r="AE835" s="35"/>
      <c r="AF835" s="35"/>
      <c r="AG835" s="35"/>
      <c r="AH835" s="35"/>
      <c r="AI835" s="34"/>
      <c r="AJ835" s="35"/>
      <c r="AK835" s="35"/>
      <c r="AL835" s="34"/>
      <c r="AM835" s="34"/>
      <c r="AN835" s="46"/>
      <c r="AO835" s="48"/>
      <c r="AP835" s="48"/>
      <c r="AQ835" s="48"/>
      <c r="AR835" s="48"/>
      <c r="AS835" s="48"/>
      <c r="AT835" s="48"/>
      <c r="AU835" s="48"/>
      <c r="AV835" s="48"/>
      <c r="AW835" s="48"/>
      <c r="AX835" s="48"/>
      <c r="AY835" s="43"/>
      <c r="AZ835" s="48"/>
      <c r="BA835" s="48"/>
      <c r="BB835" s="48"/>
      <c r="BC835" s="43"/>
      <c r="BD835" s="43"/>
      <c r="BE835" s="44"/>
      <c r="BF835" s="48"/>
      <c r="BG835" s="43"/>
    </row>
    <row r="836">
      <c r="A836" s="98"/>
      <c r="B836" s="99"/>
      <c r="C836" s="99"/>
      <c r="D836" s="21"/>
      <c r="E836" s="22"/>
      <c r="F836" s="100"/>
      <c r="G836" s="101"/>
      <c r="H836" s="100"/>
      <c r="I836" s="102"/>
      <c r="J836" s="26"/>
      <c r="K836" s="103"/>
      <c r="L836" s="47"/>
      <c r="M836" s="30"/>
      <c r="N836" s="104"/>
      <c r="O836" s="104"/>
      <c r="P836" s="26"/>
      <c r="Q836" s="26"/>
      <c r="R836" s="26"/>
      <c r="S836" s="30"/>
      <c r="T836" s="84"/>
      <c r="U836" s="84"/>
      <c r="V836" s="105"/>
      <c r="W836" s="106"/>
      <c r="X836" s="33"/>
      <c r="Y836" s="34"/>
      <c r="Z836" s="34"/>
      <c r="AA836" s="34"/>
      <c r="AB836" s="34"/>
      <c r="AC836" s="107"/>
      <c r="AD836" s="35"/>
      <c r="AE836" s="35"/>
      <c r="AF836" s="35"/>
      <c r="AG836" s="35"/>
      <c r="AH836" s="35"/>
      <c r="AI836" s="34"/>
      <c r="AJ836" s="35"/>
      <c r="AK836" s="35"/>
      <c r="AL836" s="34"/>
      <c r="AM836" s="34"/>
      <c r="AN836" s="46"/>
      <c r="AO836" s="48"/>
      <c r="AP836" s="48"/>
      <c r="AQ836" s="48"/>
      <c r="AR836" s="48"/>
      <c r="AS836" s="48"/>
      <c r="AT836" s="48"/>
      <c r="AU836" s="48"/>
      <c r="AV836" s="48"/>
      <c r="AW836" s="48"/>
      <c r="AX836" s="48"/>
      <c r="AY836" s="43"/>
      <c r="AZ836" s="48"/>
      <c r="BA836" s="48"/>
      <c r="BB836" s="48"/>
      <c r="BC836" s="43"/>
      <c r="BD836" s="43"/>
      <c r="BE836" s="44"/>
      <c r="BF836" s="48"/>
      <c r="BG836" s="43"/>
    </row>
    <row r="837">
      <c r="A837" s="98"/>
      <c r="B837" s="99"/>
      <c r="C837" s="99"/>
      <c r="D837" s="21"/>
      <c r="E837" s="22"/>
      <c r="F837" s="100"/>
      <c r="G837" s="101"/>
      <c r="H837" s="100"/>
      <c r="I837" s="102"/>
      <c r="J837" s="26"/>
      <c r="K837" s="103"/>
      <c r="L837" s="47"/>
      <c r="M837" s="30"/>
      <c r="N837" s="104"/>
      <c r="O837" s="104"/>
      <c r="P837" s="26"/>
      <c r="Q837" s="26"/>
      <c r="R837" s="26"/>
      <c r="S837" s="30"/>
      <c r="T837" s="84"/>
      <c r="U837" s="84"/>
      <c r="V837" s="105"/>
      <c r="W837" s="106"/>
      <c r="X837" s="33"/>
      <c r="Y837" s="34"/>
      <c r="Z837" s="34"/>
      <c r="AA837" s="34"/>
      <c r="AB837" s="34"/>
      <c r="AC837" s="107"/>
      <c r="AD837" s="35"/>
      <c r="AE837" s="35"/>
      <c r="AF837" s="35"/>
      <c r="AG837" s="35"/>
      <c r="AH837" s="35"/>
      <c r="AI837" s="34"/>
      <c r="AJ837" s="35"/>
      <c r="AK837" s="35"/>
      <c r="AL837" s="34"/>
      <c r="AM837" s="34"/>
      <c r="AN837" s="46"/>
      <c r="AO837" s="48"/>
      <c r="AP837" s="48"/>
      <c r="AQ837" s="48"/>
      <c r="AR837" s="48"/>
      <c r="AS837" s="48"/>
      <c r="AT837" s="48"/>
      <c r="AU837" s="48"/>
      <c r="AV837" s="48"/>
      <c r="AW837" s="48"/>
      <c r="AX837" s="48"/>
      <c r="AY837" s="43"/>
      <c r="AZ837" s="48"/>
      <c r="BA837" s="48"/>
      <c r="BB837" s="48"/>
      <c r="BC837" s="43"/>
      <c r="BD837" s="43"/>
      <c r="BE837" s="44"/>
      <c r="BF837" s="48"/>
      <c r="BG837" s="43"/>
    </row>
    <row r="838">
      <c r="A838" s="98"/>
      <c r="B838" s="99"/>
      <c r="C838" s="99"/>
      <c r="D838" s="21"/>
      <c r="E838" s="22"/>
      <c r="F838" s="100"/>
      <c r="G838" s="101"/>
      <c r="H838" s="100"/>
      <c r="I838" s="102"/>
      <c r="J838" s="26"/>
      <c r="K838" s="103"/>
      <c r="L838" s="47"/>
      <c r="M838" s="30"/>
      <c r="N838" s="104"/>
      <c r="O838" s="104"/>
      <c r="P838" s="26"/>
      <c r="Q838" s="26"/>
      <c r="R838" s="26"/>
      <c r="S838" s="30"/>
      <c r="T838" s="84"/>
      <c r="U838" s="84"/>
      <c r="V838" s="105"/>
      <c r="W838" s="106"/>
      <c r="X838" s="33"/>
      <c r="Y838" s="34"/>
      <c r="Z838" s="34"/>
      <c r="AA838" s="34"/>
      <c r="AB838" s="34"/>
      <c r="AC838" s="107"/>
      <c r="AD838" s="35"/>
      <c r="AE838" s="35"/>
      <c r="AF838" s="35"/>
      <c r="AG838" s="35"/>
      <c r="AH838" s="35"/>
      <c r="AI838" s="34"/>
      <c r="AJ838" s="35"/>
      <c r="AK838" s="35"/>
      <c r="AL838" s="34"/>
      <c r="AM838" s="34"/>
      <c r="AN838" s="46"/>
      <c r="AO838" s="48"/>
      <c r="AP838" s="48"/>
      <c r="AQ838" s="48"/>
      <c r="AR838" s="48"/>
      <c r="AS838" s="48"/>
      <c r="AT838" s="48"/>
      <c r="AU838" s="48"/>
      <c r="AV838" s="48"/>
      <c r="AW838" s="48"/>
      <c r="AX838" s="48"/>
      <c r="AY838" s="43"/>
      <c r="AZ838" s="48"/>
      <c r="BA838" s="48"/>
      <c r="BB838" s="48"/>
      <c r="BC838" s="43"/>
      <c r="BD838" s="43"/>
      <c r="BE838" s="44"/>
      <c r="BF838" s="48"/>
      <c r="BG838" s="43"/>
    </row>
    <row r="839">
      <c r="A839" s="98"/>
      <c r="B839" s="99"/>
      <c r="C839" s="99"/>
      <c r="D839" s="21"/>
      <c r="E839" s="22"/>
      <c r="F839" s="100"/>
      <c r="G839" s="101"/>
      <c r="H839" s="100"/>
      <c r="I839" s="102"/>
      <c r="J839" s="26"/>
      <c r="K839" s="103"/>
      <c r="L839" s="47"/>
      <c r="M839" s="30"/>
      <c r="N839" s="104"/>
      <c r="O839" s="104"/>
      <c r="P839" s="26"/>
      <c r="Q839" s="26"/>
      <c r="R839" s="26"/>
      <c r="S839" s="30"/>
      <c r="T839" s="84"/>
      <c r="U839" s="84"/>
      <c r="V839" s="105"/>
      <c r="W839" s="106"/>
      <c r="X839" s="33"/>
      <c r="Y839" s="34"/>
      <c r="Z839" s="34"/>
      <c r="AA839" s="34"/>
      <c r="AB839" s="34"/>
      <c r="AC839" s="107"/>
      <c r="AD839" s="35"/>
      <c r="AE839" s="35"/>
      <c r="AF839" s="35"/>
      <c r="AG839" s="35"/>
      <c r="AH839" s="35"/>
      <c r="AI839" s="34"/>
      <c r="AJ839" s="35"/>
      <c r="AK839" s="35"/>
      <c r="AL839" s="34"/>
      <c r="AM839" s="34"/>
      <c r="AN839" s="46"/>
      <c r="AO839" s="48"/>
      <c r="AP839" s="48"/>
      <c r="AQ839" s="48"/>
      <c r="AR839" s="48"/>
      <c r="AS839" s="48"/>
      <c r="AT839" s="48"/>
      <c r="AU839" s="48"/>
      <c r="AV839" s="48"/>
      <c r="AW839" s="48"/>
      <c r="AX839" s="48"/>
      <c r="AY839" s="43"/>
      <c r="AZ839" s="48"/>
      <c r="BA839" s="48"/>
      <c r="BB839" s="48"/>
      <c r="BC839" s="43"/>
      <c r="BD839" s="43"/>
      <c r="BE839" s="44"/>
      <c r="BF839" s="48"/>
      <c r="BG839" s="43"/>
    </row>
    <row r="840">
      <c r="A840" s="98"/>
      <c r="B840" s="99"/>
      <c r="C840" s="99"/>
      <c r="D840" s="21"/>
      <c r="E840" s="22"/>
      <c r="F840" s="100"/>
      <c r="G840" s="101"/>
      <c r="H840" s="100"/>
      <c r="I840" s="102"/>
      <c r="J840" s="26"/>
      <c r="K840" s="103"/>
      <c r="L840" s="47"/>
      <c r="M840" s="30"/>
      <c r="N840" s="104"/>
      <c r="O840" s="104"/>
      <c r="P840" s="26"/>
      <c r="Q840" s="26"/>
      <c r="R840" s="26"/>
      <c r="S840" s="30"/>
      <c r="T840" s="84"/>
      <c r="U840" s="84"/>
      <c r="V840" s="105"/>
      <c r="W840" s="106"/>
      <c r="X840" s="33"/>
      <c r="Y840" s="34"/>
      <c r="Z840" s="34"/>
      <c r="AA840" s="34"/>
      <c r="AB840" s="34"/>
      <c r="AC840" s="107"/>
      <c r="AD840" s="35"/>
      <c r="AE840" s="35"/>
      <c r="AF840" s="35"/>
      <c r="AG840" s="35"/>
      <c r="AH840" s="35"/>
      <c r="AI840" s="34"/>
      <c r="AJ840" s="35"/>
      <c r="AK840" s="35"/>
      <c r="AL840" s="34"/>
      <c r="AM840" s="34"/>
      <c r="AN840" s="46"/>
      <c r="AO840" s="48"/>
      <c r="AP840" s="48"/>
      <c r="AQ840" s="48"/>
      <c r="AR840" s="48"/>
      <c r="AS840" s="48"/>
      <c r="AT840" s="48"/>
      <c r="AU840" s="48"/>
      <c r="AV840" s="48"/>
      <c r="AW840" s="48"/>
      <c r="AX840" s="48"/>
      <c r="AY840" s="43"/>
      <c r="AZ840" s="48"/>
      <c r="BA840" s="48"/>
      <c r="BB840" s="48"/>
      <c r="BC840" s="43"/>
      <c r="BD840" s="43"/>
      <c r="BE840" s="44"/>
      <c r="BF840" s="48"/>
      <c r="BG840" s="43"/>
    </row>
    <row r="841">
      <c r="A841" s="98"/>
      <c r="B841" s="99"/>
      <c r="C841" s="99"/>
      <c r="D841" s="21"/>
      <c r="E841" s="22"/>
      <c r="F841" s="100"/>
      <c r="G841" s="101"/>
      <c r="H841" s="100"/>
      <c r="I841" s="102"/>
      <c r="J841" s="26"/>
      <c r="K841" s="103"/>
      <c r="L841" s="47"/>
      <c r="M841" s="30"/>
      <c r="N841" s="104"/>
      <c r="O841" s="104"/>
      <c r="P841" s="26"/>
      <c r="Q841" s="26"/>
      <c r="R841" s="26"/>
      <c r="S841" s="30"/>
      <c r="T841" s="84"/>
      <c r="U841" s="84"/>
      <c r="V841" s="105"/>
      <c r="W841" s="106"/>
      <c r="X841" s="33"/>
      <c r="Y841" s="34"/>
      <c r="Z841" s="34"/>
      <c r="AA841" s="34"/>
      <c r="AB841" s="34"/>
      <c r="AC841" s="107"/>
      <c r="AD841" s="35"/>
      <c r="AE841" s="35"/>
      <c r="AF841" s="35"/>
      <c r="AG841" s="35"/>
      <c r="AH841" s="35"/>
      <c r="AI841" s="34"/>
      <c r="AJ841" s="35"/>
      <c r="AK841" s="35"/>
      <c r="AL841" s="34"/>
      <c r="AM841" s="34"/>
      <c r="AN841" s="46"/>
      <c r="AO841" s="48"/>
      <c r="AP841" s="48"/>
      <c r="AQ841" s="48"/>
      <c r="AR841" s="48"/>
      <c r="AS841" s="48"/>
      <c r="AT841" s="48"/>
      <c r="AU841" s="48"/>
      <c r="AV841" s="48"/>
      <c r="AW841" s="48"/>
      <c r="AX841" s="48"/>
      <c r="AY841" s="43"/>
      <c r="AZ841" s="48"/>
      <c r="BA841" s="48"/>
      <c r="BB841" s="48"/>
      <c r="BC841" s="43"/>
      <c r="BD841" s="43"/>
      <c r="BE841" s="44"/>
      <c r="BF841" s="48"/>
      <c r="BG841" s="43"/>
    </row>
    <row r="842">
      <c r="A842" s="98"/>
      <c r="B842" s="99"/>
      <c r="C842" s="99"/>
      <c r="D842" s="21"/>
      <c r="E842" s="22"/>
      <c r="F842" s="100"/>
      <c r="G842" s="101"/>
      <c r="H842" s="100"/>
      <c r="I842" s="102"/>
      <c r="J842" s="26"/>
      <c r="K842" s="103"/>
      <c r="L842" s="47"/>
      <c r="M842" s="30"/>
      <c r="N842" s="104"/>
      <c r="O842" s="104"/>
      <c r="P842" s="26"/>
      <c r="Q842" s="26"/>
      <c r="R842" s="26"/>
      <c r="S842" s="30"/>
      <c r="T842" s="84"/>
      <c r="U842" s="84"/>
      <c r="V842" s="105"/>
      <c r="W842" s="106"/>
      <c r="X842" s="33"/>
      <c r="Y842" s="34"/>
      <c r="Z842" s="34"/>
      <c r="AA842" s="34"/>
      <c r="AB842" s="34"/>
      <c r="AC842" s="107"/>
      <c r="AD842" s="35"/>
      <c r="AE842" s="35"/>
      <c r="AF842" s="35"/>
      <c r="AG842" s="35"/>
      <c r="AH842" s="35"/>
      <c r="AI842" s="34"/>
      <c r="AJ842" s="35"/>
      <c r="AK842" s="35"/>
      <c r="AL842" s="34"/>
      <c r="AM842" s="34"/>
      <c r="AN842" s="46"/>
      <c r="AO842" s="48"/>
      <c r="AP842" s="48"/>
      <c r="AQ842" s="48"/>
      <c r="AR842" s="48"/>
      <c r="AS842" s="48"/>
      <c r="AT842" s="48"/>
      <c r="AU842" s="48"/>
      <c r="AV842" s="48"/>
      <c r="AW842" s="48"/>
      <c r="AX842" s="48"/>
      <c r="AY842" s="43"/>
      <c r="AZ842" s="48"/>
      <c r="BA842" s="48"/>
      <c r="BB842" s="48"/>
      <c r="BC842" s="43"/>
      <c r="BD842" s="43"/>
      <c r="BE842" s="44"/>
      <c r="BF842" s="48"/>
      <c r="BG842" s="43"/>
    </row>
    <row r="843">
      <c r="A843" s="98"/>
      <c r="B843" s="99"/>
      <c r="C843" s="99"/>
      <c r="D843" s="21"/>
      <c r="E843" s="22"/>
      <c r="F843" s="100"/>
      <c r="G843" s="101"/>
      <c r="H843" s="100"/>
      <c r="I843" s="102"/>
      <c r="J843" s="26"/>
      <c r="K843" s="103"/>
      <c r="L843" s="47"/>
      <c r="M843" s="30"/>
      <c r="N843" s="104"/>
      <c r="O843" s="104"/>
      <c r="P843" s="26"/>
      <c r="Q843" s="26"/>
      <c r="R843" s="26"/>
      <c r="S843" s="30"/>
      <c r="T843" s="84"/>
      <c r="U843" s="84"/>
      <c r="V843" s="105"/>
      <c r="W843" s="106"/>
      <c r="X843" s="33"/>
      <c r="Y843" s="34"/>
      <c r="Z843" s="34"/>
      <c r="AA843" s="34"/>
      <c r="AB843" s="34"/>
      <c r="AC843" s="107"/>
      <c r="AD843" s="35"/>
      <c r="AE843" s="35"/>
      <c r="AF843" s="35"/>
      <c r="AG843" s="35"/>
      <c r="AH843" s="35"/>
      <c r="AI843" s="34"/>
      <c r="AJ843" s="35"/>
      <c r="AK843" s="35"/>
      <c r="AL843" s="34"/>
      <c r="AM843" s="34"/>
      <c r="AN843" s="46"/>
      <c r="AO843" s="48"/>
      <c r="AP843" s="48"/>
      <c r="AQ843" s="48"/>
      <c r="AR843" s="48"/>
      <c r="AS843" s="48"/>
      <c r="AT843" s="48"/>
      <c r="AU843" s="48"/>
      <c r="AV843" s="48"/>
      <c r="AW843" s="48"/>
      <c r="AX843" s="48"/>
      <c r="AY843" s="43"/>
      <c r="AZ843" s="48"/>
      <c r="BA843" s="48"/>
      <c r="BB843" s="48"/>
      <c r="BC843" s="43"/>
      <c r="BD843" s="43"/>
      <c r="BE843" s="44"/>
      <c r="BF843" s="48"/>
      <c r="BG843" s="43"/>
    </row>
    <row r="844">
      <c r="A844" s="98"/>
      <c r="B844" s="99"/>
      <c r="C844" s="99"/>
      <c r="D844" s="21"/>
      <c r="E844" s="22"/>
      <c r="F844" s="100"/>
      <c r="G844" s="101"/>
      <c r="H844" s="100"/>
      <c r="I844" s="102"/>
      <c r="J844" s="26"/>
      <c r="K844" s="103"/>
      <c r="L844" s="47"/>
      <c r="M844" s="30"/>
      <c r="N844" s="104"/>
      <c r="O844" s="104"/>
      <c r="P844" s="26"/>
      <c r="Q844" s="26"/>
      <c r="R844" s="26"/>
      <c r="S844" s="30"/>
      <c r="T844" s="84"/>
      <c r="U844" s="84"/>
      <c r="V844" s="105"/>
      <c r="W844" s="106"/>
      <c r="X844" s="33"/>
      <c r="Y844" s="34"/>
      <c r="Z844" s="34"/>
      <c r="AA844" s="34"/>
      <c r="AB844" s="34"/>
      <c r="AC844" s="107"/>
      <c r="AD844" s="35"/>
      <c r="AE844" s="35"/>
      <c r="AF844" s="35"/>
      <c r="AG844" s="35"/>
      <c r="AH844" s="35"/>
      <c r="AI844" s="34"/>
      <c r="AJ844" s="35"/>
      <c r="AK844" s="35"/>
      <c r="AL844" s="34"/>
      <c r="AM844" s="34"/>
      <c r="AN844" s="46"/>
      <c r="AO844" s="48"/>
      <c r="AP844" s="48"/>
      <c r="AQ844" s="48"/>
      <c r="AR844" s="48"/>
      <c r="AS844" s="48"/>
      <c r="AT844" s="48"/>
      <c r="AU844" s="48"/>
      <c r="AV844" s="48"/>
      <c r="AW844" s="48"/>
      <c r="AX844" s="48"/>
      <c r="AY844" s="43"/>
      <c r="AZ844" s="48"/>
      <c r="BA844" s="48"/>
      <c r="BB844" s="48"/>
      <c r="BC844" s="43"/>
      <c r="BD844" s="43"/>
      <c r="BE844" s="44"/>
      <c r="BF844" s="48"/>
      <c r="BG844" s="43"/>
    </row>
    <row r="845">
      <c r="A845" s="98"/>
      <c r="B845" s="99"/>
      <c r="C845" s="99"/>
      <c r="D845" s="21"/>
      <c r="E845" s="22"/>
      <c r="F845" s="100"/>
      <c r="G845" s="101"/>
      <c r="H845" s="100"/>
      <c r="I845" s="102"/>
      <c r="J845" s="26"/>
      <c r="K845" s="103"/>
      <c r="L845" s="47"/>
      <c r="M845" s="30"/>
      <c r="N845" s="104"/>
      <c r="O845" s="104"/>
      <c r="P845" s="26"/>
      <c r="Q845" s="26"/>
      <c r="R845" s="26"/>
      <c r="S845" s="30"/>
      <c r="T845" s="84"/>
      <c r="U845" s="84"/>
      <c r="V845" s="105"/>
      <c r="W845" s="106"/>
      <c r="X845" s="33"/>
      <c r="Y845" s="34"/>
      <c r="Z845" s="34"/>
      <c r="AA845" s="34"/>
      <c r="AB845" s="34"/>
      <c r="AC845" s="107"/>
      <c r="AD845" s="35"/>
      <c r="AE845" s="35"/>
      <c r="AF845" s="35"/>
      <c r="AG845" s="35"/>
      <c r="AH845" s="35"/>
      <c r="AI845" s="34"/>
      <c r="AJ845" s="35"/>
      <c r="AK845" s="35"/>
      <c r="AL845" s="34"/>
      <c r="AM845" s="34"/>
      <c r="AN845" s="46"/>
      <c r="AO845" s="48"/>
      <c r="AP845" s="48"/>
      <c r="AQ845" s="48"/>
      <c r="AR845" s="48"/>
      <c r="AS845" s="48"/>
      <c r="AT845" s="48"/>
      <c r="AU845" s="48"/>
      <c r="AV845" s="48"/>
      <c r="AW845" s="48"/>
      <c r="AX845" s="48"/>
      <c r="AY845" s="43"/>
      <c r="AZ845" s="48"/>
      <c r="BA845" s="48"/>
      <c r="BB845" s="48"/>
      <c r="BC845" s="43"/>
      <c r="BD845" s="43"/>
      <c r="BE845" s="44"/>
      <c r="BF845" s="48"/>
      <c r="BG845" s="43"/>
    </row>
    <row r="846">
      <c r="A846" s="98"/>
      <c r="B846" s="99"/>
      <c r="C846" s="99"/>
      <c r="D846" s="21"/>
      <c r="E846" s="22"/>
      <c r="F846" s="100"/>
      <c r="G846" s="101"/>
      <c r="H846" s="100"/>
      <c r="I846" s="102"/>
      <c r="J846" s="26"/>
      <c r="K846" s="103"/>
      <c r="L846" s="47"/>
      <c r="M846" s="30"/>
      <c r="N846" s="104"/>
      <c r="O846" s="104"/>
      <c r="P846" s="26"/>
      <c r="Q846" s="26"/>
      <c r="R846" s="26"/>
      <c r="S846" s="30"/>
      <c r="T846" s="84"/>
      <c r="U846" s="84"/>
      <c r="V846" s="105"/>
      <c r="W846" s="106"/>
      <c r="X846" s="33"/>
      <c r="Y846" s="34"/>
      <c r="Z846" s="34"/>
      <c r="AA846" s="34"/>
      <c r="AB846" s="34"/>
      <c r="AC846" s="107"/>
      <c r="AD846" s="35"/>
      <c r="AE846" s="35"/>
      <c r="AF846" s="35"/>
      <c r="AG846" s="35"/>
      <c r="AH846" s="35"/>
      <c r="AI846" s="34"/>
      <c r="AJ846" s="35"/>
      <c r="AK846" s="35"/>
      <c r="AL846" s="34"/>
      <c r="AM846" s="34"/>
      <c r="AN846" s="46"/>
      <c r="AO846" s="48"/>
      <c r="AP846" s="48"/>
      <c r="AQ846" s="48"/>
      <c r="AR846" s="48"/>
      <c r="AS846" s="48"/>
      <c r="AT846" s="48"/>
      <c r="AU846" s="48"/>
      <c r="AV846" s="48"/>
      <c r="AW846" s="48"/>
      <c r="AX846" s="48"/>
      <c r="AY846" s="43"/>
      <c r="AZ846" s="48"/>
      <c r="BA846" s="48"/>
      <c r="BB846" s="48"/>
      <c r="BC846" s="43"/>
      <c r="BD846" s="43"/>
      <c r="BE846" s="44"/>
      <c r="BF846" s="48"/>
      <c r="BG846" s="43"/>
    </row>
    <row r="847">
      <c r="A847" s="98"/>
      <c r="B847" s="99"/>
      <c r="C847" s="99"/>
      <c r="D847" s="21"/>
      <c r="E847" s="22"/>
      <c r="F847" s="100"/>
      <c r="G847" s="101"/>
      <c r="H847" s="100"/>
      <c r="I847" s="102"/>
      <c r="J847" s="26"/>
      <c r="K847" s="103"/>
      <c r="L847" s="47"/>
      <c r="M847" s="30"/>
      <c r="N847" s="104"/>
      <c r="O847" s="104"/>
      <c r="P847" s="26"/>
      <c r="Q847" s="26"/>
      <c r="R847" s="26"/>
      <c r="S847" s="30"/>
      <c r="T847" s="84"/>
      <c r="U847" s="84"/>
      <c r="V847" s="105"/>
      <c r="W847" s="106"/>
      <c r="X847" s="33"/>
      <c r="Y847" s="34"/>
      <c r="Z847" s="34"/>
      <c r="AA847" s="34"/>
      <c r="AB847" s="34"/>
      <c r="AC847" s="107"/>
      <c r="AD847" s="35"/>
      <c r="AE847" s="35"/>
      <c r="AF847" s="35"/>
      <c r="AG847" s="35"/>
      <c r="AH847" s="35"/>
      <c r="AI847" s="34"/>
      <c r="AJ847" s="35"/>
      <c r="AK847" s="35"/>
      <c r="AL847" s="34"/>
      <c r="AM847" s="34"/>
      <c r="AN847" s="46"/>
      <c r="AO847" s="48"/>
      <c r="AP847" s="48"/>
      <c r="AQ847" s="48"/>
      <c r="AR847" s="48"/>
      <c r="AS847" s="48"/>
      <c r="AT847" s="48"/>
      <c r="AU847" s="48"/>
      <c r="AV847" s="48"/>
      <c r="AW847" s="48"/>
      <c r="AX847" s="48"/>
      <c r="AY847" s="43"/>
      <c r="AZ847" s="48"/>
      <c r="BA847" s="48"/>
      <c r="BB847" s="48"/>
      <c r="BC847" s="43"/>
      <c r="BD847" s="43"/>
      <c r="BE847" s="44"/>
      <c r="BF847" s="48"/>
      <c r="BG847" s="43"/>
    </row>
    <row r="848">
      <c r="A848" s="98"/>
      <c r="B848" s="99"/>
      <c r="C848" s="99"/>
      <c r="D848" s="21"/>
      <c r="E848" s="22"/>
      <c r="F848" s="100"/>
      <c r="G848" s="101"/>
      <c r="H848" s="100"/>
      <c r="I848" s="102"/>
      <c r="J848" s="26"/>
      <c r="K848" s="103"/>
      <c r="L848" s="47"/>
      <c r="M848" s="30"/>
      <c r="N848" s="104"/>
      <c r="O848" s="104"/>
      <c r="P848" s="26"/>
      <c r="Q848" s="26"/>
      <c r="R848" s="26"/>
      <c r="S848" s="30"/>
      <c r="T848" s="84"/>
      <c r="U848" s="84"/>
      <c r="V848" s="105"/>
      <c r="W848" s="106"/>
      <c r="X848" s="33"/>
      <c r="Y848" s="34"/>
      <c r="Z848" s="34"/>
      <c r="AA848" s="34"/>
      <c r="AB848" s="34"/>
      <c r="AC848" s="107"/>
      <c r="AD848" s="35"/>
      <c r="AE848" s="35"/>
      <c r="AF848" s="35"/>
      <c r="AG848" s="35"/>
      <c r="AH848" s="35"/>
      <c r="AI848" s="34"/>
      <c r="AJ848" s="35"/>
      <c r="AK848" s="35"/>
      <c r="AL848" s="34"/>
      <c r="AM848" s="34"/>
      <c r="AN848" s="46"/>
      <c r="AO848" s="48"/>
      <c r="AP848" s="48"/>
      <c r="AQ848" s="48"/>
      <c r="AR848" s="48"/>
      <c r="AS848" s="48"/>
      <c r="AT848" s="48"/>
      <c r="AU848" s="48"/>
      <c r="AV848" s="48"/>
      <c r="AW848" s="48"/>
      <c r="AX848" s="48"/>
      <c r="AY848" s="43"/>
      <c r="AZ848" s="48"/>
      <c r="BA848" s="48"/>
      <c r="BB848" s="48"/>
      <c r="BC848" s="43"/>
      <c r="BD848" s="43"/>
      <c r="BE848" s="44"/>
      <c r="BF848" s="48"/>
      <c r="BG848" s="43"/>
    </row>
    <row r="849">
      <c r="A849" s="98"/>
      <c r="B849" s="99"/>
      <c r="C849" s="99"/>
      <c r="D849" s="21"/>
      <c r="E849" s="22"/>
      <c r="F849" s="100"/>
      <c r="G849" s="101"/>
      <c r="H849" s="100"/>
      <c r="I849" s="102"/>
      <c r="J849" s="26"/>
      <c r="K849" s="103"/>
      <c r="L849" s="47"/>
      <c r="M849" s="30"/>
      <c r="N849" s="104"/>
      <c r="O849" s="104"/>
      <c r="P849" s="26"/>
      <c r="Q849" s="26"/>
      <c r="R849" s="26"/>
      <c r="S849" s="30"/>
      <c r="T849" s="84"/>
      <c r="U849" s="84"/>
      <c r="V849" s="105"/>
      <c r="W849" s="106"/>
      <c r="X849" s="33"/>
      <c r="Y849" s="34"/>
      <c r="Z849" s="34"/>
      <c r="AA849" s="34"/>
      <c r="AB849" s="34"/>
      <c r="AC849" s="107"/>
      <c r="AD849" s="35"/>
      <c r="AE849" s="35"/>
      <c r="AF849" s="35"/>
      <c r="AG849" s="35"/>
      <c r="AH849" s="35"/>
      <c r="AI849" s="34"/>
      <c r="AJ849" s="35"/>
      <c r="AK849" s="35"/>
      <c r="AL849" s="34"/>
      <c r="AM849" s="34"/>
      <c r="AN849" s="46"/>
      <c r="AO849" s="48"/>
      <c r="AP849" s="48"/>
      <c r="AQ849" s="48"/>
      <c r="AR849" s="48"/>
      <c r="AS849" s="48"/>
      <c r="AT849" s="48"/>
      <c r="AU849" s="48"/>
      <c r="AV849" s="48"/>
      <c r="AW849" s="48"/>
      <c r="AX849" s="48"/>
      <c r="AY849" s="43"/>
      <c r="AZ849" s="48"/>
      <c r="BA849" s="48"/>
      <c r="BB849" s="48"/>
      <c r="BC849" s="43"/>
      <c r="BD849" s="43"/>
      <c r="BE849" s="44"/>
      <c r="BF849" s="48"/>
      <c r="BG849" s="43"/>
    </row>
    <row r="850">
      <c r="A850" s="98"/>
      <c r="B850" s="99"/>
      <c r="C850" s="99"/>
      <c r="D850" s="21"/>
      <c r="E850" s="22"/>
      <c r="F850" s="100"/>
      <c r="G850" s="101"/>
      <c r="H850" s="100"/>
      <c r="I850" s="102"/>
      <c r="J850" s="26"/>
      <c r="K850" s="103"/>
      <c r="L850" s="47"/>
      <c r="M850" s="30"/>
      <c r="N850" s="104"/>
      <c r="O850" s="104"/>
      <c r="P850" s="26"/>
      <c r="Q850" s="26"/>
      <c r="R850" s="26"/>
      <c r="S850" s="30"/>
      <c r="T850" s="84"/>
      <c r="U850" s="84"/>
      <c r="V850" s="105"/>
      <c r="W850" s="106"/>
      <c r="X850" s="33"/>
      <c r="Y850" s="34"/>
      <c r="Z850" s="34"/>
      <c r="AA850" s="34"/>
      <c r="AB850" s="34"/>
      <c r="AC850" s="107"/>
      <c r="AD850" s="35"/>
      <c r="AE850" s="35"/>
      <c r="AF850" s="35"/>
      <c r="AG850" s="35"/>
      <c r="AH850" s="35"/>
      <c r="AI850" s="34"/>
      <c r="AJ850" s="35"/>
      <c r="AK850" s="35"/>
      <c r="AL850" s="34"/>
      <c r="AM850" s="34"/>
      <c r="AN850" s="46"/>
      <c r="AO850" s="48"/>
      <c r="AP850" s="48"/>
      <c r="AQ850" s="48"/>
      <c r="AR850" s="48"/>
      <c r="AS850" s="48"/>
      <c r="AT850" s="48"/>
      <c r="AU850" s="48"/>
      <c r="AV850" s="48"/>
      <c r="AW850" s="48"/>
      <c r="AX850" s="48"/>
      <c r="AY850" s="43"/>
      <c r="AZ850" s="48"/>
      <c r="BA850" s="48"/>
      <c r="BB850" s="48"/>
      <c r="BC850" s="43"/>
      <c r="BD850" s="43"/>
      <c r="BE850" s="44"/>
      <c r="BF850" s="48"/>
      <c r="BG850" s="43"/>
    </row>
    <row r="851">
      <c r="A851" s="98"/>
      <c r="B851" s="99"/>
      <c r="C851" s="99"/>
      <c r="D851" s="21"/>
      <c r="E851" s="22"/>
      <c r="F851" s="100"/>
      <c r="G851" s="101"/>
      <c r="H851" s="100"/>
      <c r="I851" s="102"/>
      <c r="J851" s="26"/>
      <c r="K851" s="103"/>
      <c r="L851" s="47"/>
      <c r="M851" s="30"/>
      <c r="N851" s="104"/>
      <c r="O851" s="104"/>
      <c r="P851" s="26"/>
      <c r="Q851" s="26"/>
      <c r="R851" s="26"/>
      <c r="S851" s="30"/>
      <c r="T851" s="84"/>
      <c r="U851" s="84"/>
      <c r="V851" s="105"/>
      <c r="W851" s="106"/>
      <c r="X851" s="33"/>
      <c r="Y851" s="34"/>
      <c r="Z851" s="34"/>
      <c r="AA851" s="34"/>
      <c r="AB851" s="34"/>
      <c r="AC851" s="107"/>
      <c r="AD851" s="35"/>
      <c r="AE851" s="35"/>
      <c r="AF851" s="35"/>
      <c r="AG851" s="35"/>
      <c r="AH851" s="35"/>
      <c r="AI851" s="34"/>
      <c r="AJ851" s="35"/>
      <c r="AK851" s="35"/>
      <c r="AL851" s="34"/>
      <c r="AM851" s="34"/>
      <c r="AN851" s="46"/>
      <c r="AO851" s="48"/>
      <c r="AP851" s="48"/>
      <c r="AQ851" s="48"/>
      <c r="AR851" s="48"/>
      <c r="AS851" s="48"/>
      <c r="AT851" s="48"/>
      <c r="AU851" s="48"/>
      <c r="AV851" s="48"/>
      <c r="AW851" s="48"/>
      <c r="AX851" s="48"/>
      <c r="AY851" s="43"/>
      <c r="AZ851" s="48"/>
      <c r="BA851" s="48"/>
      <c r="BB851" s="48"/>
      <c r="BC851" s="43"/>
      <c r="BD851" s="43"/>
      <c r="BE851" s="44"/>
      <c r="BF851" s="48"/>
      <c r="BG851" s="43"/>
    </row>
    <row r="852">
      <c r="A852" s="98"/>
      <c r="B852" s="99"/>
      <c r="C852" s="99"/>
      <c r="D852" s="21"/>
      <c r="E852" s="22"/>
      <c r="F852" s="100"/>
      <c r="G852" s="101"/>
      <c r="H852" s="100"/>
      <c r="I852" s="102"/>
      <c r="J852" s="26"/>
      <c r="K852" s="103"/>
      <c r="L852" s="47"/>
      <c r="M852" s="30"/>
      <c r="N852" s="104"/>
      <c r="O852" s="104"/>
      <c r="P852" s="26"/>
      <c r="Q852" s="26"/>
      <c r="R852" s="26"/>
      <c r="S852" s="30"/>
      <c r="T852" s="84"/>
      <c r="U852" s="84"/>
      <c r="V852" s="105"/>
      <c r="W852" s="106"/>
      <c r="X852" s="33"/>
      <c r="Y852" s="34"/>
      <c r="Z852" s="34"/>
      <c r="AA852" s="34"/>
      <c r="AB852" s="34"/>
      <c r="AC852" s="107"/>
      <c r="AD852" s="35"/>
      <c r="AE852" s="35"/>
      <c r="AF852" s="35"/>
      <c r="AG852" s="35"/>
      <c r="AH852" s="35"/>
      <c r="AI852" s="34"/>
      <c r="AJ852" s="35"/>
      <c r="AK852" s="35"/>
      <c r="AL852" s="34"/>
      <c r="AM852" s="34"/>
      <c r="AN852" s="46"/>
      <c r="AO852" s="48"/>
      <c r="AP852" s="48"/>
      <c r="AQ852" s="48"/>
      <c r="AR852" s="48"/>
      <c r="AS852" s="48"/>
      <c r="AT852" s="48"/>
      <c r="AU852" s="48"/>
      <c r="AV852" s="48"/>
      <c r="AW852" s="48"/>
      <c r="AX852" s="48"/>
      <c r="AY852" s="43"/>
      <c r="AZ852" s="48"/>
      <c r="BA852" s="48"/>
      <c r="BB852" s="48"/>
      <c r="BC852" s="43"/>
      <c r="BD852" s="43"/>
      <c r="BE852" s="44"/>
      <c r="BF852" s="48"/>
      <c r="BG852" s="43"/>
    </row>
    <row r="853">
      <c r="A853" s="98"/>
      <c r="B853" s="99"/>
      <c r="C853" s="99"/>
      <c r="D853" s="21"/>
      <c r="E853" s="22"/>
      <c r="F853" s="100"/>
      <c r="G853" s="101"/>
      <c r="H853" s="100"/>
      <c r="I853" s="102"/>
      <c r="J853" s="26"/>
      <c r="K853" s="103"/>
      <c r="L853" s="47"/>
      <c r="M853" s="30"/>
      <c r="N853" s="104"/>
      <c r="O853" s="104"/>
      <c r="P853" s="26"/>
      <c r="Q853" s="26"/>
      <c r="R853" s="26"/>
      <c r="S853" s="30"/>
      <c r="T853" s="84"/>
      <c r="U853" s="84"/>
      <c r="V853" s="105"/>
      <c r="W853" s="106"/>
      <c r="X853" s="33"/>
      <c r="Y853" s="34"/>
      <c r="Z853" s="34"/>
      <c r="AA853" s="34"/>
      <c r="AB853" s="34"/>
      <c r="AC853" s="107"/>
      <c r="AD853" s="35"/>
      <c r="AE853" s="35"/>
      <c r="AF853" s="35"/>
      <c r="AG853" s="35"/>
      <c r="AH853" s="35"/>
      <c r="AI853" s="34"/>
      <c r="AJ853" s="35"/>
      <c r="AK853" s="35"/>
      <c r="AL853" s="34"/>
      <c r="AM853" s="34"/>
      <c r="AN853" s="46"/>
      <c r="AO853" s="48"/>
      <c r="AP853" s="48"/>
      <c r="AQ853" s="48"/>
      <c r="AR853" s="48"/>
      <c r="AS853" s="48"/>
      <c r="AT853" s="48"/>
      <c r="AU853" s="48"/>
      <c r="AV853" s="48"/>
      <c r="AW853" s="48"/>
      <c r="AX853" s="48"/>
      <c r="AY853" s="43"/>
      <c r="AZ853" s="48"/>
      <c r="BA853" s="48"/>
      <c r="BB853" s="48"/>
      <c r="BC853" s="43"/>
      <c r="BD853" s="43"/>
      <c r="BE853" s="44"/>
      <c r="BF853" s="48"/>
      <c r="BG853" s="43"/>
    </row>
    <row r="854">
      <c r="A854" s="98"/>
      <c r="B854" s="99"/>
      <c r="C854" s="99"/>
      <c r="D854" s="21"/>
      <c r="E854" s="22"/>
      <c r="F854" s="100"/>
      <c r="G854" s="101"/>
      <c r="H854" s="100"/>
      <c r="I854" s="102"/>
      <c r="J854" s="26"/>
      <c r="K854" s="103"/>
      <c r="L854" s="47"/>
      <c r="M854" s="30"/>
      <c r="N854" s="104"/>
      <c r="O854" s="104"/>
      <c r="P854" s="26"/>
      <c r="Q854" s="26"/>
      <c r="R854" s="26"/>
      <c r="S854" s="30"/>
      <c r="T854" s="84"/>
      <c r="U854" s="84"/>
      <c r="V854" s="105"/>
      <c r="W854" s="106"/>
      <c r="X854" s="33"/>
      <c r="Y854" s="34"/>
      <c r="Z854" s="34"/>
      <c r="AA854" s="34"/>
      <c r="AB854" s="34"/>
      <c r="AC854" s="107"/>
      <c r="AD854" s="35"/>
      <c r="AE854" s="35"/>
      <c r="AF854" s="35"/>
      <c r="AG854" s="35"/>
      <c r="AH854" s="35"/>
      <c r="AI854" s="34"/>
      <c r="AJ854" s="35"/>
      <c r="AK854" s="35"/>
      <c r="AL854" s="34"/>
      <c r="AM854" s="34"/>
      <c r="AN854" s="46"/>
      <c r="AO854" s="48"/>
      <c r="AP854" s="48"/>
      <c r="AQ854" s="48"/>
      <c r="AR854" s="48"/>
      <c r="AS854" s="48"/>
      <c r="AT854" s="48"/>
      <c r="AU854" s="48"/>
      <c r="AV854" s="48"/>
      <c r="AW854" s="48"/>
      <c r="AX854" s="48"/>
      <c r="AY854" s="43"/>
      <c r="AZ854" s="48"/>
      <c r="BA854" s="48"/>
      <c r="BB854" s="48"/>
      <c r="BC854" s="43"/>
      <c r="BD854" s="43"/>
      <c r="BE854" s="44"/>
      <c r="BF854" s="48"/>
      <c r="BG854" s="43"/>
    </row>
    <row r="855">
      <c r="A855" s="98"/>
      <c r="B855" s="99"/>
      <c r="C855" s="99"/>
      <c r="D855" s="21"/>
      <c r="E855" s="22"/>
      <c r="F855" s="100"/>
      <c r="G855" s="101"/>
      <c r="H855" s="100"/>
      <c r="I855" s="102"/>
      <c r="J855" s="26"/>
      <c r="K855" s="103"/>
      <c r="L855" s="47"/>
      <c r="M855" s="30"/>
      <c r="N855" s="104"/>
      <c r="O855" s="104"/>
      <c r="P855" s="26"/>
      <c r="Q855" s="26"/>
      <c r="R855" s="26"/>
      <c r="S855" s="30"/>
      <c r="T855" s="84"/>
      <c r="U855" s="84"/>
      <c r="V855" s="105"/>
      <c r="W855" s="106"/>
      <c r="X855" s="33"/>
      <c r="Y855" s="34"/>
      <c r="Z855" s="34"/>
      <c r="AA855" s="34"/>
      <c r="AB855" s="34"/>
      <c r="AC855" s="107"/>
      <c r="AD855" s="35"/>
      <c r="AE855" s="35"/>
      <c r="AF855" s="35"/>
      <c r="AG855" s="35"/>
      <c r="AH855" s="35"/>
      <c r="AI855" s="34"/>
      <c r="AJ855" s="35"/>
      <c r="AK855" s="35"/>
      <c r="AL855" s="34"/>
      <c r="AM855" s="34"/>
      <c r="AN855" s="46"/>
      <c r="AO855" s="48"/>
      <c r="AP855" s="48"/>
      <c r="AQ855" s="48"/>
      <c r="AR855" s="48"/>
      <c r="AS855" s="48"/>
      <c r="AT855" s="48"/>
      <c r="AU855" s="48"/>
      <c r="AV855" s="48"/>
      <c r="AW855" s="48"/>
      <c r="AX855" s="48"/>
      <c r="AY855" s="43"/>
      <c r="AZ855" s="48"/>
      <c r="BA855" s="48"/>
      <c r="BB855" s="48"/>
      <c r="BC855" s="43"/>
      <c r="BD855" s="43"/>
      <c r="BE855" s="44"/>
      <c r="BF855" s="48"/>
      <c r="BG855" s="43"/>
    </row>
    <row r="856">
      <c r="A856" s="98"/>
      <c r="B856" s="99"/>
      <c r="C856" s="99"/>
      <c r="D856" s="21"/>
      <c r="E856" s="22"/>
      <c r="F856" s="100"/>
      <c r="G856" s="101"/>
      <c r="H856" s="100"/>
      <c r="I856" s="102"/>
      <c r="J856" s="26"/>
      <c r="K856" s="103"/>
      <c r="L856" s="47"/>
      <c r="M856" s="30"/>
      <c r="N856" s="104"/>
      <c r="O856" s="104"/>
      <c r="P856" s="26"/>
      <c r="Q856" s="26"/>
      <c r="R856" s="26"/>
      <c r="S856" s="30"/>
      <c r="T856" s="84"/>
      <c r="U856" s="84"/>
      <c r="V856" s="105"/>
      <c r="W856" s="106"/>
      <c r="X856" s="33"/>
      <c r="Y856" s="34"/>
      <c r="Z856" s="34"/>
      <c r="AA856" s="34"/>
      <c r="AB856" s="34"/>
      <c r="AC856" s="107"/>
      <c r="AD856" s="35"/>
      <c r="AE856" s="35"/>
      <c r="AF856" s="35"/>
      <c r="AG856" s="35"/>
      <c r="AH856" s="35"/>
      <c r="AI856" s="34"/>
      <c r="AJ856" s="35"/>
      <c r="AK856" s="35"/>
      <c r="AL856" s="34"/>
      <c r="AM856" s="34"/>
      <c r="AN856" s="46"/>
      <c r="AO856" s="48"/>
      <c r="AP856" s="48"/>
      <c r="AQ856" s="48"/>
      <c r="AR856" s="48"/>
      <c r="AS856" s="48"/>
      <c r="AT856" s="48"/>
      <c r="AU856" s="48"/>
      <c r="AV856" s="48"/>
      <c r="AW856" s="48"/>
      <c r="AX856" s="48"/>
      <c r="AY856" s="43"/>
      <c r="AZ856" s="48"/>
      <c r="BA856" s="48"/>
      <c r="BB856" s="48"/>
      <c r="BC856" s="43"/>
      <c r="BD856" s="43"/>
      <c r="BE856" s="44"/>
      <c r="BF856" s="48"/>
      <c r="BG856" s="43"/>
    </row>
    <row r="857">
      <c r="A857" s="98"/>
      <c r="B857" s="99"/>
      <c r="C857" s="99"/>
      <c r="D857" s="21"/>
      <c r="E857" s="22"/>
      <c r="F857" s="100"/>
      <c r="G857" s="101"/>
      <c r="H857" s="100"/>
      <c r="I857" s="102"/>
      <c r="J857" s="26"/>
      <c r="K857" s="103"/>
      <c r="L857" s="47"/>
      <c r="M857" s="30"/>
      <c r="N857" s="104"/>
      <c r="O857" s="104"/>
      <c r="P857" s="26"/>
      <c r="Q857" s="26"/>
      <c r="R857" s="26"/>
      <c r="S857" s="30"/>
      <c r="T857" s="84"/>
      <c r="U857" s="84"/>
      <c r="V857" s="105"/>
      <c r="W857" s="106"/>
      <c r="X857" s="33"/>
      <c r="Y857" s="34"/>
      <c r="Z857" s="34"/>
      <c r="AA857" s="34"/>
      <c r="AB857" s="34"/>
      <c r="AC857" s="107"/>
      <c r="AD857" s="35"/>
      <c r="AE857" s="35"/>
      <c r="AF857" s="35"/>
      <c r="AG857" s="35"/>
      <c r="AH857" s="35"/>
      <c r="AI857" s="34"/>
      <c r="AJ857" s="35"/>
      <c r="AK857" s="35"/>
      <c r="AL857" s="34"/>
      <c r="AM857" s="34"/>
      <c r="AN857" s="46"/>
      <c r="AO857" s="48"/>
      <c r="AP857" s="48"/>
      <c r="AQ857" s="48"/>
      <c r="AR857" s="48"/>
      <c r="AS857" s="48"/>
      <c r="AT857" s="48"/>
      <c r="AU857" s="48"/>
      <c r="AV857" s="48"/>
      <c r="AW857" s="48"/>
      <c r="AX857" s="48"/>
      <c r="AY857" s="43"/>
      <c r="AZ857" s="48"/>
      <c r="BA857" s="48"/>
      <c r="BB857" s="48"/>
      <c r="BC857" s="43"/>
      <c r="BD857" s="43"/>
      <c r="BE857" s="44"/>
      <c r="BF857" s="48"/>
      <c r="BG857" s="43"/>
    </row>
    <row r="858">
      <c r="A858" s="98"/>
      <c r="B858" s="99"/>
      <c r="C858" s="99"/>
      <c r="D858" s="21"/>
      <c r="E858" s="22"/>
      <c r="F858" s="100"/>
      <c r="G858" s="101"/>
      <c r="H858" s="100"/>
      <c r="I858" s="102"/>
      <c r="J858" s="26"/>
      <c r="K858" s="103"/>
      <c r="L858" s="47"/>
      <c r="M858" s="30"/>
      <c r="N858" s="104"/>
      <c r="O858" s="104"/>
      <c r="P858" s="26"/>
      <c r="Q858" s="26"/>
      <c r="R858" s="26"/>
      <c r="S858" s="30"/>
      <c r="T858" s="84"/>
      <c r="U858" s="84"/>
      <c r="V858" s="105"/>
      <c r="W858" s="106"/>
      <c r="X858" s="33"/>
      <c r="Y858" s="34"/>
      <c r="Z858" s="34"/>
      <c r="AA858" s="34"/>
      <c r="AB858" s="34"/>
      <c r="AC858" s="107"/>
      <c r="AD858" s="35"/>
      <c r="AE858" s="35"/>
      <c r="AF858" s="35"/>
      <c r="AG858" s="35"/>
      <c r="AH858" s="35"/>
      <c r="AI858" s="34"/>
      <c r="AJ858" s="35"/>
      <c r="AK858" s="35"/>
      <c r="AL858" s="34"/>
      <c r="AM858" s="34"/>
      <c r="AN858" s="46"/>
      <c r="AO858" s="48"/>
      <c r="AP858" s="48"/>
      <c r="AQ858" s="48"/>
      <c r="AR858" s="48"/>
      <c r="AS858" s="48"/>
      <c r="AT858" s="48"/>
      <c r="AU858" s="48"/>
      <c r="AV858" s="48"/>
      <c r="AW858" s="48"/>
      <c r="AX858" s="48"/>
      <c r="AY858" s="43"/>
      <c r="AZ858" s="48"/>
      <c r="BA858" s="48"/>
      <c r="BB858" s="48"/>
      <c r="BC858" s="43"/>
      <c r="BD858" s="43"/>
      <c r="BE858" s="44"/>
      <c r="BF858" s="48"/>
      <c r="BG858" s="43"/>
    </row>
    <row r="859">
      <c r="A859" s="98"/>
      <c r="B859" s="99"/>
      <c r="C859" s="99"/>
      <c r="D859" s="21"/>
      <c r="E859" s="22"/>
      <c r="F859" s="100"/>
      <c r="G859" s="101"/>
      <c r="H859" s="100"/>
      <c r="I859" s="102"/>
      <c r="J859" s="26"/>
      <c r="K859" s="103"/>
      <c r="L859" s="47"/>
      <c r="M859" s="30"/>
      <c r="N859" s="104"/>
      <c r="O859" s="104"/>
      <c r="P859" s="26"/>
      <c r="Q859" s="26"/>
      <c r="R859" s="26"/>
      <c r="S859" s="30"/>
      <c r="T859" s="84"/>
      <c r="U859" s="84"/>
      <c r="V859" s="105"/>
      <c r="W859" s="106"/>
      <c r="X859" s="33"/>
      <c r="Y859" s="34"/>
      <c r="Z859" s="34"/>
      <c r="AA859" s="34"/>
      <c r="AB859" s="34"/>
      <c r="AC859" s="107"/>
      <c r="AD859" s="35"/>
      <c r="AE859" s="35"/>
      <c r="AF859" s="35"/>
      <c r="AG859" s="35"/>
      <c r="AH859" s="35"/>
      <c r="AI859" s="34"/>
      <c r="AJ859" s="35"/>
      <c r="AK859" s="35"/>
      <c r="AL859" s="34"/>
      <c r="AM859" s="34"/>
      <c r="AN859" s="46"/>
      <c r="AO859" s="48"/>
      <c r="AP859" s="48"/>
      <c r="AQ859" s="48"/>
      <c r="AR859" s="48"/>
      <c r="AS859" s="48"/>
      <c r="AT859" s="48"/>
      <c r="AU859" s="48"/>
      <c r="AV859" s="48"/>
      <c r="AW859" s="48"/>
      <c r="AX859" s="48"/>
      <c r="AY859" s="43"/>
      <c r="AZ859" s="48"/>
      <c r="BA859" s="48"/>
      <c r="BB859" s="48"/>
      <c r="BC859" s="43"/>
      <c r="BD859" s="43"/>
      <c r="BE859" s="44"/>
      <c r="BF859" s="48"/>
      <c r="BG859" s="43"/>
    </row>
    <row r="860">
      <c r="A860" s="98"/>
      <c r="B860" s="99"/>
      <c r="C860" s="99"/>
      <c r="D860" s="21"/>
      <c r="E860" s="22"/>
      <c r="F860" s="100"/>
      <c r="G860" s="101"/>
      <c r="H860" s="100"/>
      <c r="I860" s="102"/>
      <c r="J860" s="26"/>
      <c r="K860" s="103"/>
      <c r="L860" s="47"/>
      <c r="M860" s="30"/>
      <c r="N860" s="104"/>
      <c r="O860" s="104"/>
      <c r="P860" s="26"/>
      <c r="Q860" s="26"/>
      <c r="R860" s="26"/>
      <c r="S860" s="30"/>
      <c r="T860" s="84"/>
      <c r="U860" s="84"/>
      <c r="V860" s="105"/>
      <c r="W860" s="106"/>
      <c r="X860" s="33"/>
      <c r="Y860" s="34"/>
      <c r="Z860" s="34"/>
      <c r="AA860" s="34"/>
      <c r="AB860" s="34"/>
      <c r="AC860" s="107"/>
      <c r="AD860" s="35"/>
      <c r="AE860" s="35"/>
      <c r="AF860" s="35"/>
      <c r="AG860" s="35"/>
      <c r="AH860" s="35"/>
      <c r="AI860" s="34"/>
      <c r="AJ860" s="35"/>
      <c r="AK860" s="35"/>
      <c r="AL860" s="34"/>
      <c r="AM860" s="34"/>
      <c r="AN860" s="46"/>
      <c r="AO860" s="48"/>
      <c r="AP860" s="48"/>
      <c r="AQ860" s="48"/>
      <c r="AR860" s="48"/>
      <c r="AS860" s="48"/>
      <c r="AT860" s="48"/>
      <c r="AU860" s="48"/>
      <c r="AV860" s="48"/>
      <c r="AW860" s="48"/>
      <c r="AX860" s="48"/>
      <c r="AY860" s="43"/>
      <c r="AZ860" s="48"/>
      <c r="BA860" s="48"/>
      <c r="BB860" s="48"/>
      <c r="BC860" s="43"/>
      <c r="BD860" s="43"/>
      <c r="BE860" s="44"/>
      <c r="BF860" s="48"/>
      <c r="BG860" s="43"/>
    </row>
    <row r="861">
      <c r="A861" s="98"/>
      <c r="B861" s="99"/>
      <c r="C861" s="99"/>
      <c r="D861" s="21"/>
      <c r="E861" s="22"/>
      <c r="F861" s="100"/>
      <c r="G861" s="101"/>
      <c r="H861" s="100"/>
      <c r="I861" s="102"/>
      <c r="J861" s="26"/>
      <c r="K861" s="103"/>
      <c r="L861" s="47"/>
      <c r="M861" s="30"/>
      <c r="N861" s="104"/>
      <c r="O861" s="104"/>
      <c r="P861" s="26"/>
      <c r="Q861" s="26"/>
      <c r="R861" s="26"/>
      <c r="S861" s="30"/>
      <c r="T861" s="84"/>
      <c r="U861" s="84"/>
      <c r="V861" s="105"/>
      <c r="W861" s="106"/>
      <c r="X861" s="33"/>
      <c r="Y861" s="34"/>
      <c r="Z861" s="34"/>
      <c r="AA861" s="34"/>
      <c r="AB861" s="34"/>
      <c r="AC861" s="107"/>
      <c r="AD861" s="35"/>
      <c r="AE861" s="35"/>
      <c r="AF861" s="35"/>
      <c r="AG861" s="35"/>
      <c r="AH861" s="35"/>
      <c r="AI861" s="34"/>
      <c r="AJ861" s="35"/>
      <c r="AK861" s="35"/>
      <c r="AL861" s="34"/>
      <c r="AM861" s="34"/>
      <c r="AN861" s="46"/>
      <c r="AO861" s="48"/>
      <c r="AP861" s="48"/>
      <c r="AQ861" s="48"/>
      <c r="AR861" s="48"/>
      <c r="AS861" s="48"/>
      <c r="AT861" s="48"/>
      <c r="AU861" s="48"/>
      <c r="AV861" s="48"/>
      <c r="AW861" s="48"/>
      <c r="AX861" s="48"/>
      <c r="AY861" s="43"/>
      <c r="AZ861" s="48"/>
      <c r="BA861" s="48"/>
      <c r="BB861" s="48"/>
      <c r="BC861" s="43"/>
      <c r="BD861" s="43"/>
      <c r="BE861" s="44"/>
      <c r="BF861" s="48"/>
      <c r="BG861" s="43"/>
    </row>
    <row r="862">
      <c r="A862" s="98"/>
      <c r="B862" s="99"/>
      <c r="C862" s="99"/>
      <c r="D862" s="21"/>
      <c r="E862" s="22"/>
      <c r="F862" s="100"/>
      <c r="G862" s="101"/>
      <c r="H862" s="100"/>
      <c r="I862" s="102"/>
      <c r="J862" s="26"/>
      <c r="K862" s="103"/>
      <c r="L862" s="47"/>
      <c r="M862" s="30"/>
      <c r="N862" s="104"/>
      <c r="O862" s="104"/>
      <c r="P862" s="26"/>
      <c r="Q862" s="26"/>
      <c r="R862" s="26"/>
      <c r="S862" s="30"/>
      <c r="T862" s="84"/>
      <c r="U862" s="84"/>
      <c r="V862" s="105"/>
      <c r="W862" s="106"/>
      <c r="X862" s="33"/>
      <c r="Y862" s="34"/>
      <c r="Z862" s="34"/>
      <c r="AA862" s="34"/>
      <c r="AB862" s="34"/>
      <c r="AC862" s="107"/>
      <c r="AD862" s="35"/>
      <c r="AE862" s="35"/>
      <c r="AF862" s="35"/>
      <c r="AG862" s="35"/>
      <c r="AH862" s="35"/>
      <c r="AI862" s="34"/>
      <c r="AJ862" s="35"/>
      <c r="AK862" s="35"/>
      <c r="AL862" s="34"/>
      <c r="AM862" s="34"/>
      <c r="AN862" s="46"/>
      <c r="AO862" s="48"/>
      <c r="AP862" s="48"/>
      <c r="AQ862" s="48"/>
      <c r="AR862" s="48"/>
      <c r="AS862" s="48"/>
      <c r="AT862" s="48"/>
      <c r="AU862" s="48"/>
      <c r="AV862" s="48"/>
      <c r="AW862" s="48"/>
      <c r="AX862" s="48"/>
      <c r="AY862" s="43"/>
      <c r="AZ862" s="48"/>
      <c r="BA862" s="48"/>
      <c r="BB862" s="48"/>
      <c r="BC862" s="43"/>
      <c r="BD862" s="43"/>
      <c r="BE862" s="44"/>
      <c r="BF862" s="48"/>
      <c r="BG862" s="43"/>
    </row>
    <row r="863">
      <c r="A863" s="98"/>
      <c r="B863" s="99"/>
      <c r="C863" s="99"/>
      <c r="D863" s="21"/>
      <c r="E863" s="22"/>
      <c r="F863" s="100"/>
      <c r="G863" s="101"/>
      <c r="H863" s="100"/>
      <c r="I863" s="102"/>
      <c r="J863" s="26"/>
      <c r="K863" s="103"/>
      <c r="L863" s="47"/>
      <c r="M863" s="30"/>
      <c r="N863" s="104"/>
      <c r="O863" s="104"/>
      <c r="P863" s="26"/>
      <c r="Q863" s="26"/>
      <c r="R863" s="26"/>
      <c r="S863" s="30"/>
      <c r="T863" s="84"/>
      <c r="U863" s="84"/>
      <c r="V863" s="105"/>
      <c r="W863" s="106"/>
      <c r="X863" s="33"/>
      <c r="Y863" s="34"/>
      <c r="Z863" s="34"/>
      <c r="AA863" s="34"/>
      <c r="AB863" s="34"/>
      <c r="AC863" s="107"/>
      <c r="AD863" s="35"/>
      <c r="AE863" s="35"/>
      <c r="AF863" s="35"/>
      <c r="AG863" s="35"/>
      <c r="AH863" s="35"/>
      <c r="AI863" s="34"/>
      <c r="AJ863" s="35"/>
      <c r="AK863" s="35"/>
      <c r="AL863" s="34"/>
      <c r="AM863" s="34"/>
      <c r="AN863" s="46"/>
      <c r="AO863" s="48"/>
      <c r="AP863" s="48"/>
      <c r="AQ863" s="48"/>
      <c r="AR863" s="48"/>
      <c r="AS863" s="48"/>
      <c r="AT863" s="48"/>
      <c r="AU863" s="48"/>
      <c r="AV863" s="48"/>
      <c r="AW863" s="48"/>
      <c r="AX863" s="48"/>
      <c r="AY863" s="43"/>
      <c r="AZ863" s="48"/>
      <c r="BA863" s="48"/>
      <c r="BB863" s="48"/>
      <c r="BC863" s="43"/>
      <c r="BD863" s="43"/>
      <c r="BE863" s="44"/>
      <c r="BF863" s="48"/>
      <c r="BG863" s="43"/>
    </row>
    <row r="864">
      <c r="A864" s="98"/>
      <c r="B864" s="99"/>
      <c r="C864" s="99"/>
      <c r="D864" s="21"/>
      <c r="E864" s="22"/>
      <c r="F864" s="100"/>
      <c r="G864" s="101"/>
      <c r="H864" s="100"/>
      <c r="I864" s="102"/>
      <c r="J864" s="26"/>
      <c r="K864" s="103"/>
      <c r="L864" s="47"/>
      <c r="M864" s="30"/>
      <c r="N864" s="104"/>
      <c r="O864" s="104"/>
      <c r="P864" s="26"/>
      <c r="Q864" s="26"/>
      <c r="R864" s="26"/>
      <c r="S864" s="30"/>
      <c r="T864" s="84"/>
      <c r="U864" s="84"/>
      <c r="V864" s="105"/>
      <c r="W864" s="106"/>
      <c r="X864" s="33"/>
      <c r="Y864" s="34"/>
      <c r="Z864" s="34"/>
      <c r="AA864" s="34"/>
      <c r="AB864" s="34"/>
      <c r="AC864" s="107"/>
      <c r="AD864" s="35"/>
      <c r="AE864" s="35"/>
      <c r="AF864" s="35"/>
      <c r="AG864" s="35"/>
      <c r="AH864" s="35"/>
      <c r="AI864" s="34"/>
      <c r="AJ864" s="35"/>
      <c r="AK864" s="35"/>
      <c r="AL864" s="34"/>
      <c r="AM864" s="34"/>
      <c r="AN864" s="46"/>
      <c r="AO864" s="48"/>
      <c r="AP864" s="48"/>
      <c r="AQ864" s="48"/>
      <c r="AR864" s="48"/>
      <c r="AS864" s="48"/>
      <c r="AT864" s="48"/>
      <c r="AU864" s="48"/>
      <c r="AV864" s="48"/>
      <c r="AW864" s="48"/>
      <c r="AX864" s="48"/>
      <c r="AY864" s="43"/>
      <c r="AZ864" s="48"/>
      <c r="BA864" s="48"/>
      <c r="BB864" s="48"/>
      <c r="BC864" s="43"/>
      <c r="BD864" s="43"/>
      <c r="BE864" s="44"/>
      <c r="BF864" s="48"/>
      <c r="BG864" s="43"/>
    </row>
    <row r="865">
      <c r="A865" s="98"/>
      <c r="B865" s="99"/>
      <c r="C865" s="99"/>
      <c r="D865" s="21"/>
      <c r="E865" s="22"/>
      <c r="F865" s="100"/>
      <c r="G865" s="101"/>
      <c r="H865" s="100"/>
      <c r="I865" s="102"/>
      <c r="J865" s="26"/>
      <c r="K865" s="103"/>
      <c r="L865" s="47"/>
      <c r="M865" s="30"/>
      <c r="N865" s="104"/>
      <c r="O865" s="104"/>
      <c r="P865" s="26"/>
      <c r="Q865" s="26"/>
      <c r="R865" s="26"/>
      <c r="S865" s="30"/>
      <c r="T865" s="84"/>
      <c r="U865" s="84"/>
      <c r="V865" s="105"/>
      <c r="W865" s="106"/>
      <c r="X865" s="33"/>
      <c r="Y865" s="34"/>
      <c r="Z865" s="34"/>
      <c r="AA865" s="34"/>
      <c r="AB865" s="34"/>
      <c r="AC865" s="107"/>
      <c r="AD865" s="35"/>
      <c r="AE865" s="35"/>
      <c r="AF865" s="35"/>
      <c r="AG865" s="35"/>
      <c r="AH865" s="35"/>
      <c r="AI865" s="34"/>
      <c r="AJ865" s="35"/>
      <c r="AK865" s="35"/>
      <c r="AL865" s="34"/>
      <c r="AM865" s="34"/>
      <c r="AN865" s="46"/>
      <c r="AO865" s="48"/>
      <c r="AP865" s="48"/>
      <c r="AQ865" s="48"/>
      <c r="AR865" s="48"/>
      <c r="AS865" s="48"/>
      <c r="AT865" s="48"/>
      <c r="AU865" s="48"/>
      <c r="AV865" s="48"/>
      <c r="AW865" s="48"/>
      <c r="AX865" s="48"/>
      <c r="AY865" s="43"/>
      <c r="AZ865" s="48"/>
      <c r="BA865" s="48"/>
      <c r="BB865" s="48"/>
      <c r="BC865" s="43"/>
      <c r="BD865" s="43"/>
      <c r="BE865" s="44"/>
      <c r="BF865" s="48"/>
      <c r="BG865" s="43"/>
    </row>
    <row r="866">
      <c r="A866" s="98"/>
      <c r="B866" s="99"/>
      <c r="C866" s="99"/>
      <c r="D866" s="21"/>
      <c r="E866" s="22"/>
      <c r="F866" s="100"/>
      <c r="G866" s="101"/>
      <c r="H866" s="100"/>
      <c r="I866" s="102"/>
      <c r="J866" s="26"/>
      <c r="K866" s="103"/>
      <c r="L866" s="47"/>
      <c r="M866" s="30"/>
      <c r="N866" s="104"/>
      <c r="O866" s="104"/>
      <c r="P866" s="26"/>
      <c r="Q866" s="26"/>
      <c r="R866" s="26"/>
      <c r="S866" s="30"/>
      <c r="T866" s="84"/>
      <c r="U866" s="84"/>
      <c r="V866" s="105"/>
      <c r="W866" s="106"/>
      <c r="X866" s="33"/>
      <c r="Y866" s="34"/>
      <c r="Z866" s="34"/>
      <c r="AA866" s="34"/>
      <c r="AB866" s="34"/>
      <c r="AC866" s="107"/>
      <c r="AD866" s="35"/>
      <c r="AE866" s="35"/>
      <c r="AF866" s="35"/>
      <c r="AG866" s="35"/>
      <c r="AH866" s="35"/>
      <c r="AI866" s="34"/>
      <c r="AJ866" s="35"/>
      <c r="AK866" s="35"/>
      <c r="AL866" s="34"/>
      <c r="AM866" s="34"/>
      <c r="AN866" s="46"/>
      <c r="AO866" s="48"/>
      <c r="AP866" s="48"/>
      <c r="AQ866" s="48"/>
      <c r="AR866" s="48"/>
      <c r="AS866" s="48"/>
      <c r="AT866" s="48"/>
      <c r="AU866" s="48"/>
      <c r="AV866" s="48"/>
      <c r="AW866" s="48"/>
      <c r="AX866" s="48"/>
      <c r="AY866" s="43"/>
      <c r="AZ866" s="48"/>
      <c r="BA866" s="48"/>
      <c r="BB866" s="48"/>
      <c r="BC866" s="43"/>
      <c r="BD866" s="43"/>
      <c r="BE866" s="44"/>
      <c r="BF866" s="48"/>
      <c r="BG866" s="43"/>
    </row>
    <row r="867">
      <c r="A867" s="98"/>
      <c r="B867" s="99"/>
      <c r="C867" s="99"/>
      <c r="D867" s="21"/>
      <c r="E867" s="22"/>
      <c r="F867" s="100"/>
      <c r="G867" s="101"/>
      <c r="H867" s="100"/>
      <c r="I867" s="102"/>
      <c r="J867" s="26"/>
      <c r="K867" s="103"/>
      <c r="L867" s="47"/>
      <c r="M867" s="30"/>
      <c r="N867" s="104"/>
      <c r="O867" s="104"/>
      <c r="P867" s="26"/>
      <c r="Q867" s="26"/>
      <c r="R867" s="26"/>
      <c r="S867" s="30"/>
      <c r="T867" s="84"/>
      <c r="U867" s="84"/>
      <c r="V867" s="105"/>
      <c r="W867" s="106"/>
      <c r="X867" s="33"/>
      <c r="Y867" s="34"/>
      <c r="Z867" s="34"/>
      <c r="AA867" s="34"/>
      <c r="AB867" s="34"/>
      <c r="AC867" s="107"/>
      <c r="AD867" s="35"/>
      <c r="AE867" s="35"/>
      <c r="AF867" s="35"/>
      <c r="AG867" s="35"/>
      <c r="AH867" s="35"/>
      <c r="AI867" s="34"/>
      <c r="AJ867" s="35"/>
      <c r="AK867" s="35"/>
      <c r="AL867" s="34"/>
      <c r="AM867" s="34"/>
      <c r="AN867" s="46"/>
      <c r="AO867" s="48"/>
      <c r="AP867" s="48"/>
      <c r="AQ867" s="48"/>
      <c r="AR867" s="48"/>
      <c r="AS867" s="48"/>
      <c r="AT867" s="48"/>
      <c r="AU867" s="48"/>
      <c r="AV867" s="48"/>
      <c r="AW867" s="48"/>
      <c r="AX867" s="48"/>
      <c r="AY867" s="43"/>
      <c r="AZ867" s="48"/>
      <c r="BA867" s="48"/>
      <c r="BB867" s="48"/>
      <c r="BC867" s="43"/>
      <c r="BD867" s="43"/>
      <c r="BE867" s="44"/>
      <c r="BF867" s="48"/>
      <c r="BG867" s="43"/>
    </row>
    <row r="868">
      <c r="A868" s="98"/>
      <c r="B868" s="99"/>
      <c r="C868" s="99"/>
      <c r="D868" s="21"/>
      <c r="E868" s="22"/>
      <c r="F868" s="100"/>
      <c r="G868" s="101"/>
      <c r="H868" s="100"/>
      <c r="I868" s="102"/>
      <c r="J868" s="26"/>
      <c r="K868" s="103"/>
      <c r="L868" s="47"/>
      <c r="M868" s="30"/>
      <c r="N868" s="104"/>
      <c r="O868" s="104"/>
      <c r="P868" s="26"/>
      <c r="Q868" s="26"/>
      <c r="R868" s="26"/>
      <c r="S868" s="30"/>
      <c r="T868" s="84"/>
      <c r="U868" s="84"/>
      <c r="V868" s="105"/>
      <c r="W868" s="106"/>
      <c r="X868" s="33"/>
      <c r="Y868" s="34"/>
      <c r="Z868" s="34"/>
      <c r="AA868" s="34"/>
      <c r="AB868" s="34"/>
      <c r="AC868" s="107"/>
      <c r="AD868" s="35"/>
      <c r="AE868" s="35"/>
      <c r="AF868" s="35"/>
      <c r="AG868" s="35"/>
      <c r="AH868" s="35"/>
      <c r="AI868" s="34"/>
      <c r="AJ868" s="35"/>
      <c r="AK868" s="35"/>
      <c r="AL868" s="34"/>
      <c r="AM868" s="34"/>
      <c r="AN868" s="46"/>
      <c r="AO868" s="48"/>
      <c r="AP868" s="48"/>
      <c r="AQ868" s="48"/>
      <c r="AR868" s="48"/>
      <c r="AS868" s="48"/>
      <c r="AT868" s="48"/>
      <c r="AU868" s="48"/>
      <c r="AV868" s="48"/>
      <c r="AW868" s="48"/>
      <c r="AX868" s="48"/>
      <c r="AY868" s="43"/>
      <c r="AZ868" s="48"/>
      <c r="BA868" s="48"/>
      <c r="BB868" s="48"/>
      <c r="BC868" s="43"/>
      <c r="BD868" s="43"/>
      <c r="BE868" s="44"/>
      <c r="BF868" s="48"/>
      <c r="BG868" s="43"/>
    </row>
    <row r="869">
      <c r="A869" s="98"/>
      <c r="B869" s="99"/>
      <c r="C869" s="99"/>
      <c r="D869" s="21"/>
      <c r="E869" s="22"/>
      <c r="F869" s="100"/>
      <c r="G869" s="101"/>
      <c r="H869" s="100"/>
      <c r="I869" s="102"/>
      <c r="J869" s="26"/>
      <c r="K869" s="103"/>
      <c r="L869" s="47"/>
      <c r="M869" s="30"/>
      <c r="N869" s="104"/>
      <c r="O869" s="104"/>
      <c r="P869" s="26"/>
      <c r="Q869" s="26"/>
      <c r="R869" s="26"/>
      <c r="S869" s="30"/>
      <c r="T869" s="84"/>
      <c r="U869" s="84"/>
      <c r="V869" s="105"/>
      <c r="W869" s="106"/>
      <c r="X869" s="33"/>
      <c r="Y869" s="34"/>
      <c r="Z869" s="34"/>
      <c r="AA869" s="34"/>
      <c r="AB869" s="34"/>
      <c r="AC869" s="107"/>
      <c r="AD869" s="35"/>
      <c r="AE869" s="35"/>
      <c r="AF869" s="35"/>
      <c r="AG869" s="35"/>
      <c r="AH869" s="35"/>
      <c r="AI869" s="34"/>
      <c r="AJ869" s="35"/>
      <c r="AK869" s="35"/>
      <c r="AL869" s="34"/>
      <c r="AM869" s="34"/>
      <c r="AN869" s="46"/>
      <c r="AO869" s="48"/>
      <c r="AP869" s="48"/>
      <c r="AQ869" s="48"/>
      <c r="AR869" s="48"/>
      <c r="AS869" s="48"/>
      <c r="AT869" s="48"/>
      <c r="AU869" s="48"/>
      <c r="AV869" s="48"/>
      <c r="AW869" s="48"/>
      <c r="AX869" s="48"/>
      <c r="AY869" s="43"/>
      <c r="AZ869" s="48"/>
      <c r="BA869" s="48"/>
      <c r="BB869" s="48"/>
      <c r="BC869" s="43"/>
      <c r="BD869" s="43"/>
      <c r="BE869" s="44"/>
      <c r="BF869" s="48"/>
      <c r="BG869" s="43"/>
    </row>
    <row r="870">
      <c r="A870" s="98"/>
      <c r="B870" s="99"/>
      <c r="C870" s="99"/>
      <c r="D870" s="21"/>
      <c r="E870" s="22"/>
      <c r="F870" s="100"/>
      <c r="G870" s="101"/>
      <c r="H870" s="100"/>
      <c r="I870" s="102"/>
      <c r="J870" s="26"/>
      <c r="K870" s="103"/>
      <c r="L870" s="47"/>
      <c r="M870" s="30"/>
      <c r="N870" s="104"/>
      <c r="O870" s="104"/>
      <c r="P870" s="26"/>
      <c r="Q870" s="26"/>
      <c r="R870" s="26"/>
      <c r="S870" s="30"/>
      <c r="T870" s="84"/>
      <c r="U870" s="84"/>
      <c r="V870" s="105"/>
      <c r="W870" s="106"/>
      <c r="X870" s="33"/>
      <c r="Y870" s="34"/>
      <c r="Z870" s="34"/>
      <c r="AA870" s="34"/>
      <c r="AB870" s="34"/>
      <c r="AC870" s="107"/>
      <c r="AD870" s="35"/>
      <c r="AE870" s="35"/>
      <c r="AF870" s="35"/>
      <c r="AG870" s="35"/>
      <c r="AH870" s="35"/>
      <c r="AI870" s="34"/>
      <c r="AJ870" s="35"/>
      <c r="AK870" s="35"/>
      <c r="AL870" s="34"/>
      <c r="AM870" s="34"/>
      <c r="AN870" s="46"/>
      <c r="AO870" s="48"/>
      <c r="AP870" s="48"/>
      <c r="AQ870" s="48"/>
      <c r="AR870" s="48"/>
      <c r="AS870" s="48"/>
      <c r="AT870" s="48"/>
      <c r="AU870" s="48"/>
      <c r="AV870" s="48"/>
      <c r="AW870" s="48"/>
      <c r="AX870" s="48"/>
      <c r="AY870" s="43"/>
      <c r="AZ870" s="48"/>
      <c r="BA870" s="48"/>
      <c r="BB870" s="48"/>
      <c r="BC870" s="43"/>
      <c r="BD870" s="43"/>
      <c r="BE870" s="44"/>
      <c r="BF870" s="48"/>
      <c r="BG870" s="43"/>
    </row>
    <row r="871">
      <c r="A871" s="98"/>
      <c r="B871" s="99"/>
      <c r="C871" s="99"/>
      <c r="D871" s="21"/>
      <c r="E871" s="22"/>
      <c r="F871" s="100"/>
      <c r="G871" s="101"/>
      <c r="H871" s="100"/>
      <c r="I871" s="102"/>
      <c r="J871" s="26"/>
      <c r="K871" s="103"/>
      <c r="L871" s="47"/>
      <c r="M871" s="30"/>
      <c r="N871" s="104"/>
      <c r="O871" s="104"/>
      <c r="P871" s="26"/>
      <c r="Q871" s="26"/>
      <c r="R871" s="26"/>
      <c r="S871" s="30"/>
      <c r="T871" s="84"/>
      <c r="U871" s="84"/>
      <c r="V871" s="105"/>
      <c r="W871" s="106"/>
      <c r="X871" s="33"/>
      <c r="Y871" s="34"/>
      <c r="Z871" s="34"/>
      <c r="AA871" s="34"/>
      <c r="AB871" s="34"/>
      <c r="AC871" s="107"/>
      <c r="AD871" s="35"/>
      <c r="AE871" s="35"/>
      <c r="AF871" s="35"/>
      <c r="AG871" s="35"/>
      <c r="AH871" s="35"/>
      <c r="AI871" s="34"/>
      <c r="AJ871" s="35"/>
      <c r="AK871" s="35"/>
      <c r="AL871" s="34"/>
      <c r="AM871" s="34"/>
      <c r="AN871" s="46"/>
      <c r="AO871" s="48"/>
      <c r="AP871" s="48"/>
      <c r="AQ871" s="48"/>
      <c r="AR871" s="48"/>
      <c r="AS871" s="48"/>
      <c r="AT871" s="48"/>
      <c r="AU871" s="48"/>
      <c r="AV871" s="48"/>
      <c r="AW871" s="48"/>
      <c r="AX871" s="48"/>
      <c r="AY871" s="43"/>
      <c r="AZ871" s="48"/>
      <c r="BA871" s="48"/>
      <c r="BB871" s="48"/>
      <c r="BC871" s="43"/>
      <c r="BD871" s="43"/>
      <c r="BE871" s="44"/>
      <c r="BF871" s="48"/>
      <c r="BG871" s="43"/>
    </row>
    <row r="872">
      <c r="A872" s="98"/>
      <c r="B872" s="99"/>
      <c r="C872" s="99"/>
      <c r="D872" s="21"/>
      <c r="E872" s="22"/>
      <c r="F872" s="100"/>
      <c r="G872" s="101"/>
      <c r="H872" s="100"/>
      <c r="I872" s="102"/>
      <c r="J872" s="26"/>
      <c r="K872" s="103"/>
      <c r="L872" s="47"/>
      <c r="M872" s="30"/>
      <c r="N872" s="104"/>
      <c r="O872" s="104"/>
      <c r="P872" s="26"/>
      <c r="Q872" s="26"/>
      <c r="R872" s="26"/>
      <c r="S872" s="30"/>
      <c r="T872" s="84"/>
      <c r="U872" s="84"/>
      <c r="V872" s="105"/>
      <c r="W872" s="106"/>
      <c r="X872" s="33"/>
      <c r="Y872" s="34"/>
      <c r="Z872" s="34"/>
      <c r="AA872" s="34"/>
      <c r="AB872" s="34"/>
      <c r="AC872" s="107"/>
      <c r="AD872" s="35"/>
      <c r="AE872" s="35"/>
      <c r="AF872" s="35"/>
      <c r="AG872" s="35"/>
      <c r="AH872" s="35"/>
      <c r="AI872" s="34"/>
      <c r="AJ872" s="35"/>
      <c r="AK872" s="35"/>
      <c r="AL872" s="34"/>
      <c r="AM872" s="34"/>
      <c r="AN872" s="46"/>
      <c r="AO872" s="48"/>
      <c r="AP872" s="48"/>
      <c r="AQ872" s="48"/>
      <c r="AR872" s="48"/>
      <c r="AS872" s="48"/>
      <c r="AT872" s="48"/>
      <c r="AU872" s="48"/>
      <c r="AV872" s="48"/>
      <c r="AW872" s="48"/>
      <c r="AX872" s="48"/>
      <c r="AY872" s="43"/>
      <c r="AZ872" s="48"/>
      <c r="BA872" s="48"/>
      <c r="BB872" s="48"/>
      <c r="BC872" s="43"/>
      <c r="BD872" s="43"/>
      <c r="BE872" s="44"/>
      <c r="BF872" s="48"/>
      <c r="BG872" s="43"/>
    </row>
    <row r="873">
      <c r="A873" s="98"/>
      <c r="B873" s="99"/>
      <c r="C873" s="99"/>
      <c r="D873" s="21"/>
      <c r="E873" s="22"/>
      <c r="F873" s="100"/>
      <c r="G873" s="101"/>
      <c r="H873" s="100"/>
      <c r="I873" s="102"/>
      <c r="J873" s="26"/>
      <c r="K873" s="103"/>
      <c r="L873" s="47"/>
      <c r="M873" s="30"/>
      <c r="N873" s="104"/>
      <c r="O873" s="104"/>
      <c r="P873" s="26"/>
      <c r="Q873" s="26"/>
      <c r="R873" s="26"/>
      <c r="S873" s="30"/>
      <c r="T873" s="84"/>
      <c r="U873" s="84"/>
      <c r="V873" s="105"/>
      <c r="W873" s="106"/>
      <c r="X873" s="33"/>
      <c r="Y873" s="34"/>
      <c r="Z873" s="34"/>
      <c r="AA873" s="34"/>
      <c r="AB873" s="34"/>
      <c r="AC873" s="107"/>
      <c r="AD873" s="35"/>
      <c r="AE873" s="35"/>
      <c r="AF873" s="35"/>
      <c r="AG873" s="35"/>
      <c r="AH873" s="35"/>
      <c r="AI873" s="34"/>
      <c r="AJ873" s="35"/>
      <c r="AK873" s="35"/>
      <c r="AL873" s="34"/>
      <c r="AM873" s="34"/>
      <c r="AN873" s="46"/>
      <c r="AO873" s="48"/>
      <c r="AP873" s="48"/>
      <c r="AQ873" s="48"/>
      <c r="AR873" s="48"/>
      <c r="AS873" s="48"/>
      <c r="AT873" s="48"/>
      <c r="AU873" s="48"/>
      <c r="AV873" s="48"/>
      <c r="AW873" s="48"/>
      <c r="AX873" s="48"/>
      <c r="AY873" s="43"/>
      <c r="AZ873" s="48"/>
      <c r="BA873" s="48"/>
      <c r="BB873" s="48"/>
      <c r="BC873" s="43"/>
      <c r="BD873" s="43"/>
      <c r="BE873" s="44"/>
      <c r="BF873" s="48"/>
      <c r="BG873" s="43"/>
    </row>
    <row r="874">
      <c r="A874" s="98"/>
      <c r="B874" s="99"/>
      <c r="C874" s="99"/>
      <c r="D874" s="21"/>
      <c r="E874" s="22"/>
      <c r="F874" s="100"/>
      <c r="G874" s="101"/>
      <c r="H874" s="100"/>
      <c r="I874" s="102"/>
      <c r="J874" s="26"/>
      <c r="K874" s="103"/>
      <c r="L874" s="47"/>
      <c r="M874" s="30"/>
      <c r="N874" s="104"/>
      <c r="O874" s="104"/>
      <c r="P874" s="26"/>
      <c r="Q874" s="26"/>
      <c r="R874" s="26"/>
      <c r="S874" s="30"/>
      <c r="T874" s="84"/>
      <c r="U874" s="84"/>
      <c r="V874" s="105"/>
      <c r="W874" s="106"/>
      <c r="X874" s="33"/>
      <c r="Y874" s="34"/>
      <c r="Z874" s="34"/>
      <c r="AA874" s="34"/>
      <c r="AB874" s="34"/>
      <c r="AC874" s="107"/>
      <c r="AD874" s="35"/>
      <c r="AE874" s="35"/>
      <c r="AF874" s="35"/>
      <c r="AG874" s="35"/>
      <c r="AH874" s="35"/>
      <c r="AI874" s="34"/>
      <c r="AJ874" s="35"/>
      <c r="AK874" s="35"/>
      <c r="AL874" s="34"/>
      <c r="AM874" s="34"/>
      <c r="AN874" s="46"/>
      <c r="AO874" s="48"/>
      <c r="AP874" s="48"/>
      <c r="AQ874" s="48"/>
      <c r="AR874" s="48"/>
      <c r="AS874" s="48"/>
      <c r="AT874" s="48"/>
      <c r="AU874" s="48"/>
      <c r="AV874" s="48"/>
      <c r="AW874" s="48"/>
      <c r="AX874" s="48"/>
      <c r="AY874" s="43"/>
      <c r="AZ874" s="48"/>
      <c r="BA874" s="48"/>
      <c r="BB874" s="48"/>
      <c r="BC874" s="43"/>
      <c r="BD874" s="43"/>
      <c r="BE874" s="44"/>
      <c r="BF874" s="48"/>
      <c r="BG874" s="43"/>
    </row>
    <row r="875">
      <c r="A875" s="98"/>
      <c r="B875" s="99"/>
      <c r="C875" s="99"/>
      <c r="D875" s="21"/>
      <c r="E875" s="22"/>
      <c r="F875" s="100"/>
      <c r="G875" s="101"/>
      <c r="H875" s="100"/>
      <c r="I875" s="102"/>
      <c r="J875" s="26"/>
      <c r="K875" s="103"/>
      <c r="L875" s="47"/>
      <c r="M875" s="30"/>
      <c r="N875" s="104"/>
      <c r="O875" s="104"/>
      <c r="P875" s="26"/>
      <c r="Q875" s="26"/>
      <c r="R875" s="26"/>
      <c r="S875" s="30"/>
      <c r="T875" s="84"/>
      <c r="U875" s="84"/>
      <c r="V875" s="105"/>
      <c r="W875" s="106"/>
      <c r="X875" s="33"/>
      <c r="Y875" s="34"/>
      <c r="Z875" s="34"/>
      <c r="AA875" s="34"/>
      <c r="AB875" s="34"/>
      <c r="AC875" s="107"/>
      <c r="AD875" s="35"/>
      <c r="AE875" s="35"/>
      <c r="AF875" s="35"/>
      <c r="AG875" s="35"/>
      <c r="AH875" s="35"/>
      <c r="AI875" s="34"/>
      <c r="AJ875" s="35"/>
      <c r="AK875" s="35"/>
      <c r="AL875" s="34"/>
      <c r="AM875" s="34"/>
      <c r="AN875" s="46"/>
      <c r="AO875" s="48"/>
      <c r="AP875" s="48"/>
      <c r="AQ875" s="48"/>
      <c r="AR875" s="48"/>
      <c r="AS875" s="48"/>
      <c r="AT875" s="48"/>
      <c r="AU875" s="48"/>
      <c r="AV875" s="48"/>
      <c r="AW875" s="48"/>
      <c r="AX875" s="48"/>
      <c r="AY875" s="43"/>
      <c r="AZ875" s="48"/>
      <c r="BA875" s="48"/>
      <c r="BB875" s="48"/>
      <c r="BC875" s="43"/>
      <c r="BD875" s="43"/>
      <c r="BE875" s="44"/>
      <c r="BF875" s="48"/>
      <c r="BG875" s="43"/>
    </row>
    <row r="876">
      <c r="A876" s="98"/>
      <c r="B876" s="99"/>
      <c r="C876" s="99"/>
      <c r="D876" s="21"/>
      <c r="E876" s="22"/>
      <c r="F876" s="100"/>
      <c r="G876" s="101"/>
      <c r="H876" s="100"/>
      <c r="I876" s="102"/>
      <c r="J876" s="26"/>
      <c r="K876" s="103"/>
      <c r="L876" s="47"/>
      <c r="M876" s="30"/>
      <c r="N876" s="104"/>
      <c r="O876" s="104"/>
      <c r="P876" s="26"/>
      <c r="Q876" s="26"/>
      <c r="R876" s="26"/>
      <c r="S876" s="30"/>
      <c r="T876" s="84"/>
      <c r="U876" s="84"/>
      <c r="V876" s="105"/>
      <c r="W876" s="106"/>
      <c r="X876" s="33"/>
      <c r="Y876" s="34"/>
      <c r="Z876" s="34"/>
      <c r="AA876" s="34"/>
      <c r="AB876" s="34"/>
      <c r="AC876" s="107"/>
      <c r="AD876" s="35"/>
      <c r="AE876" s="35"/>
      <c r="AF876" s="35"/>
      <c r="AG876" s="35"/>
      <c r="AH876" s="35"/>
      <c r="AI876" s="34"/>
      <c r="AJ876" s="35"/>
      <c r="AK876" s="35"/>
      <c r="AL876" s="34"/>
      <c r="AM876" s="34"/>
      <c r="AN876" s="46"/>
      <c r="AO876" s="48"/>
      <c r="AP876" s="48"/>
      <c r="AQ876" s="48"/>
      <c r="AR876" s="48"/>
      <c r="AS876" s="48"/>
      <c r="AT876" s="48"/>
      <c r="AU876" s="48"/>
      <c r="AV876" s="48"/>
      <c r="AW876" s="48"/>
      <c r="AX876" s="48"/>
      <c r="AY876" s="43"/>
      <c r="AZ876" s="48"/>
      <c r="BA876" s="48"/>
      <c r="BB876" s="48"/>
      <c r="BC876" s="43"/>
      <c r="BD876" s="43"/>
      <c r="BE876" s="44"/>
      <c r="BF876" s="48"/>
      <c r="BG876" s="43"/>
    </row>
    <row r="877">
      <c r="A877" s="98"/>
      <c r="B877" s="99"/>
      <c r="C877" s="99"/>
      <c r="D877" s="21"/>
      <c r="E877" s="22"/>
      <c r="F877" s="100"/>
      <c r="G877" s="101"/>
      <c r="H877" s="100"/>
      <c r="I877" s="102"/>
      <c r="J877" s="26"/>
      <c r="K877" s="103"/>
      <c r="L877" s="47"/>
      <c r="M877" s="30"/>
      <c r="N877" s="104"/>
      <c r="O877" s="104"/>
      <c r="P877" s="26"/>
      <c r="Q877" s="26"/>
      <c r="R877" s="26"/>
      <c r="S877" s="30"/>
      <c r="T877" s="84"/>
      <c r="U877" s="84"/>
      <c r="V877" s="105"/>
      <c r="W877" s="106"/>
      <c r="X877" s="33"/>
      <c r="Y877" s="34"/>
      <c r="Z877" s="34"/>
      <c r="AA877" s="34"/>
      <c r="AB877" s="34"/>
      <c r="AC877" s="107"/>
      <c r="AD877" s="35"/>
      <c r="AE877" s="35"/>
      <c r="AF877" s="35"/>
      <c r="AG877" s="35"/>
      <c r="AH877" s="35"/>
      <c r="AI877" s="34"/>
      <c r="AJ877" s="35"/>
      <c r="AK877" s="35"/>
      <c r="AL877" s="34"/>
      <c r="AM877" s="34"/>
      <c r="AN877" s="46"/>
      <c r="AO877" s="48"/>
      <c r="AP877" s="48"/>
      <c r="AQ877" s="48"/>
      <c r="AR877" s="48"/>
      <c r="AS877" s="48"/>
      <c r="AT877" s="48"/>
      <c r="AU877" s="48"/>
      <c r="AV877" s="48"/>
      <c r="AW877" s="48"/>
      <c r="AX877" s="48"/>
      <c r="AY877" s="43"/>
      <c r="AZ877" s="48"/>
      <c r="BA877" s="48"/>
      <c r="BB877" s="48"/>
      <c r="BC877" s="43"/>
      <c r="BD877" s="43"/>
      <c r="BE877" s="44"/>
      <c r="BF877" s="48"/>
      <c r="BG877" s="43"/>
    </row>
    <row r="878">
      <c r="A878" s="98"/>
      <c r="B878" s="99"/>
      <c r="C878" s="99"/>
      <c r="D878" s="21"/>
      <c r="E878" s="22"/>
      <c r="F878" s="100"/>
      <c r="G878" s="101"/>
      <c r="H878" s="100"/>
      <c r="I878" s="102"/>
      <c r="J878" s="26"/>
      <c r="K878" s="103"/>
      <c r="L878" s="47"/>
      <c r="M878" s="30"/>
      <c r="N878" s="104"/>
      <c r="O878" s="104"/>
      <c r="P878" s="26"/>
      <c r="Q878" s="26"/>
      <c r="R878" s="26"/>
      <c r="S878" s="30"/>
      <c r="T878" s="84"/>
      <c r="U878" s="84"/>
      <c r="V878" s="105"/>
      <c r="W878" s="106"/>
      <c r="X878" s="33"/>
      <c r="Y878" s="34"/>
      <c r="Z878" s="34"/>
      <c r="AA878" s="34"/>
      <c r="AB878" s="34"/>
      <c r="AC878" s="107"/>
      <c r="AD878" s="35"/>
      <c r="AE878" s="35"/>
      <c r="AF878" s="35"/>
      <c r="AG878" s="35"/>
      <c r="AH878" s="35"/>
      <c r="AI878" s="34"/>
      <c r="AJ878" s="35"/>
      <c r="AK878" s="35"/>
      <c r="AL878" s="34"/>
      <c r="AM878" s="34"/>
      <c r="AN878" s="46"/>
      <c r="AO878" s="48"/>
      <c r="AP878" s="48"/>
      <c r="AQ878" s="48"/>
      <c r="AR878" s="48"/>
      <c r="AS878" s="48"/>
      <c r="AT878" s="48"/>
      <c r="AU878" s="48"/>
      <c r="AV878" s="48"/>
      <c r="AW878" s="48"/>
      <c r="AX878" s="48"/>
      <c r="AY878" s="43"/>
      <c r="AZ878" s="48"/>
      <c r="BA878" s="48"/>
      <c r="BB878" s="48"/>
      <c r="BC878" s="43"/>
      <c r="BD878" s="43"/>
      <c r="BE878" s="44"/>
      <c r="BF878" s="48"/>
      <c r="BG878" s="43"/>
    </row>
    <row r="879">
      <c r="A879" s="98"/>
      <c r="B879" s="99"/>
      <c r="C879" s="99"/>
      <c r="D879" s="21"/>
      <c r="E879" s="22"/>
      <c r="F879" s="100"/>
      <c r="G879" s="101"/>
      <c r="H879" s="100"/>
      <c r="I879" s="102"/>
      <c r="J879" s="26"/>
      <c r="K879" s="103"/>
      <c r="L879" s="47"/>
      <c r="M879" s="30"/>
      <c r="N879" s="104"/>
      <c r="O879" s="104"/>
      <c r="P879" s="26"/>
      <c r="Q879" s="26"/>
      <c r="R879" s="26"/>
      <c r="S879" s="30"/>
      <c r="T879" s="84"/>
      <c r="U879" s="84"/>
      <c r="V879" s="105"/>
      <c r="W879" s="106"/>
      <c r="X879" s="33"/>
      <c r="Y879" s="34"/>
      <c r="Z879" s="34"/>
      <c r="AA879" s="34"/>
      <c r="AB879" s="34"/>
      <c r="AC879" s="107"/>
      <c r="AD879" s="35"/>
      <c r="AE879" s="35"/>
      <c r="AF879" s="35"/>
      <c r="AG879" s="35"/>
      <c r="AH879" s="35"/>
      <c r="AI879" s="34"/>
      <c r="AJ879" s="35"/>
      <c r="AK879" s="35"/>
      <c r="AL879" s="34"/>
      <c r="AM879" s="34"/>
      <c r="AN879" s="46"/>
      <c r="AO879" s="48"/>
      <c r="AP879" s="48"/>
      <c r="AQ879" s="48"/>
      <c r="AR879" s="48"/>
      <c r="AS879" s="48"/>
      <c r="AT879" s="48"/>
      <c r="AU879" s="48"/>
      <c r="AV879" s="48"/>
      <c r="AW879" s="48"/>
      <c r="AX879" s="48"/>
      <c r="AY879" s="43"/>
      <c r="AZ879" s="48"/>
      <c r="BA879" s="48"/>
      <c r="BB879" s="48"/>
      <c r="BC879" s="43"/>
      <c r="BD879" s="43"/>
      <c r="BE879" s="44"/>
      <c r="BF879" s="48"/>
      <c r="BG879" s="43"/>
    </row>
    <row r="880">
      <c r="A880" s="98"/>
      <c r="B880" s="99"/>
      <c r="C880" s="99"/>
      <c r="D880" s="21"/>
      <c r="E880" s="22"/>
      <c r="F880" s="100"/>
      <c r="G880" s="101"/>
      <c r="H880" s="100"/>
      <c r="I880" s="102"/>
      <c r="J880" s="26"/>
      <c r="K880" s="103"/>
      <c r="L880" s="47"/>
      <c r="M880" s="30"/>
      <c r="N880" s="104"/>
      <c r="O880" s="104"/>
      <c r="P880" s="26"/>
      <c r="Q880" s="26"/>
      <c r="R880" s="26"/>
      <c r="S880" s="30"/>
      <c r="T880" s="84"/>
      <c r="U880" s="84"/>
      <c r="V880" s="105"/>
      <c r="W880" s="106"/>
      <c r="X880" s="33"/>
      <c r="Y880" s="34"/>
      <c r="Z880" s="34"/>
      <c r="AA880" s="34"/>
      <c r="AB880" s="34"/>
      <c r="AC880" s="107"/>
      <c r="AD880" s="35"/>
      <c r="AE880" s="35"/>
      <c r="AF880" s="35"/>
      <c r="AG880" s="35"/>
      <c r="AH880" s="35"/>
      <c r="AI880" s="34"/>
      <c r="AJ880" s="35"/>
      <c r="AK880" s="35"/>
      <c r="AL880" s="34"/>
      <c r="AM880" s="34"/>
      <c r="AN880" s="46"/>
      <c r="AO880" s="48"/>
      <c r="AP880" s="48"/>
      <c r="AQ880" s="48"/>
      <c r="AR880" s="48"/>
      <c r="AS880" s="48"/>
      <c r="AT880" s="48"/>
      <c r="AU880" s="48"/>
      <c r="AV880" s="48"/>
      <c r="AW880" s="48"/>
      <c r="AX880" s="48"/>
      <c r="AY880" s="43"/>
      <c r="AZ880" s="48"/>
      <c r="BA880" s="48"/>
      <c r="BB880" s="48"/>
      <c r="BC880" s="43"/>
      <c r="BD880" s="43"/>
      <c r="BE880" s="44"/>
      <c r="BF880" s="48"/>
      <c r="BG880" s="43"/>
    </row>
    <row r="881">
      <c r="A881" s="98"/>
      <c r="B881" s="99"/>
      <c r="C881" s="99"/>
      <c r="D881" s="21"/>
      <c r="E881" s="22"/>
      <c r="F881" s="100"/>
      <c r="G881" s="101"/>
      <c r="H881" s="100"/>
      <c r="I881" s="102"/>
      <c r="J881" s="26"/>
      <c r="K881" s="103"/>
      <c r="L881" s="47"/>
      <c r="M881" s="30"/>
      <c r="N881" s="104"/>
      <c r="O881" s="104"/>
      <c r="P881" s="26"/>
      <c r="Q881" s="26"/>
      <c r="R881" s="26"/>
      <c r="S881" s="30"/>
      <c r="T881" s="84"/>
      <c r="U881" s="84"/>
      <c r="V881" s="105"/>
      <c r="W881" s="106"/>
      <c r="X881" s="33"/>
      <c r="Y881" s="34"/>
      <c r="Z881" s="34"/>
      <c r="AA881" s="34"/>
      <c r="AB881" s="34"/>
      <c r="AC881" s="107"/>
      <c r="AD881" s="35"/>
      <c r="AE881" s="35"/>
      <c r="AF881" s="35"/>
      <c r="AG881" s="35"/>
      <c r="AH881" s="35"/>
      <c r="AI881" s="34"/>
      <c r="AJ881" s="35"/>
      <c r="AK881" s="35"/>
      <c r="AL881" s="34"/>
      <c r="AM881" s="34"/>
      <c r="AN881" s="46"/>
      <c r="AO881" s="48"/>
      <c r="AP881" s="48"/>
      <c r="AQ881" s="48"/>
      <c r="AR881" s="48"/>
      <c r="AS881" s="48"/>
      <c r="AT881" s="48"/>
      <c r="AU881" s="48"/>
      <c r="AV881" s="48"/>
      <c r="AW881" s="48"/>
      <c r="AX881" s="48"/>
      <c r="AY881" s="43"/>
      <c r="AZ881" s="48"/>
      <c r="BA881" s="48"/>
      <c r="BB881" s="48"/>
      <c r="BC881" s="43"/>
      <c r="BD881" s="43"/>
      <c r="BE881" s="44"/>
      <c r="BF881" s="48"/>
      <c r="BG881" s="43"/>
    </row>
    <row r="882">
      <c r="A882" s="98"/>
      <c r="B882" s="99"/>
      <c r="C882" s="99"/>
      <c r="D882" s="21"/>
      <c r="E882" s="22"/>
      <c r="F882" s="100"/>
      <c r="G882" s="101"/>
      <c r="H882" s="100"/>
      <c r="I882" s="102"/>
      <c r="J882" s="26"/>
      <c r="K882" s="103"/>
      <c r="L882" s="47"/>
      <c r="M882" s="30"/>
      <c r="N882" s="104"/>
      <c r="O882" s="104"/>
      <c r="P882" s="26"/>
      <c r="Q882" s="26"/>
      <c r="R882" s="26"/>
      <c r="S882" s="30"/>
      <c r="T882" s="84"/>
      <c r="U882" s="84"/>
      <c r="V882" s="105"/>
      <c r="W882" s="106"/>
      <c r="X882" s="33"/>
      <c r="Y882" s="34"/>
      <c r="Z882" s="34"/>
      <c r="AA882" s="34"/>
      <c r="AB882" s="34"/>
      <c r="AC882" s="107"/>
      <c r="AD882" s="35"/>
      <c r="AE882" s="35"/>
      <c r="AF882" s="35"/>
      <c r="AG882" s="35"/>
      <c r="AH882" s="35"/>
      <c r="AI882" s="34"/>
      <c r="AJ882" s="35"/>
      <c r="AK882" s="35"/>
      <c r="AL882" s="34"/>
      <c r="AM882" s="34"/>
      <c r="AN882" s="46"/>
      <c r="AO882" s="48"/>
      <c r="AP882" s="48"/>
      <c r="AQ882" s="48"/>
      <c r="AR882" s="48"/>
      <c r="AS882" s="48"/>
      <c r="AT882" s="48"/>
      <c r="AU882" s="48"/>
      <c r="AV882" s="48"/>
      <c r="AW882" s="48"/>
      <c r="AX882" s="48"/>
      <c r="AY882" s="43"/>
      <c r="AZ882" s="48"/>
      <c r="BA882" s="48"/>
      <c r="BB882" s="48"/>
      <c r="BC882" s="43"/>
      <c r="BD882" s="43"/>
      <c r="BE882" s="44"/>
      <c r="BF882" s="48"/>
      <c r="BG882" s="43"/>
    </row>
    <row r="883">
      <c r="A883" s="98"/>
      <c r="B883" s="99"/>
      <c r="C883" s="99"/>
      <c r="D883" s="21"/>
      <c r="E883" s="22"/>
      <c r="F883" s="100"/>
      <c r="G883" s="101"/>
      <c r="H883" s="100"/>
      <c r="I883" s="102"/>
      <c r="J883" s="26"/>
      <c r="K883" s="103"/>
      <c r="L883" s="47"/>
      <c r="M883" s="30"/>
      <c r="N883" s="104"/>
      <c r="O883" s="104"/>
      <c r="P883" s="26"/>
      <c r="Q883" s="26"/>
      <c r="R883" s="26"/>
      <c r="S883" s="30"/>
      <c r="T883" s="84"/>
      <c r="U883" s="84"/>
      <c r="V883" s="105"/>
      <c r="W883" s="106"/>
      <c r="X883" s="33"/>
      <c r="Y883" s="34"/>
      <c r="Z883" s="34"/>
      <c r="AA883" s="34"/>
      <c r="AB883" s="34"/>
      <c r="AC883" s="107"/>
      <c r="AD883" s="35"/>
      <c r="AE883" s="35"/>
      <c r="AF883" s="35"/>
      <c r="AG883" s="35"/>
      <c r="AH883" s="35"/>
      <c r="AI883" s="34"/>
      <c r="AJ883" s="35"/>
      <c r="AK883" s="35"/>
      <c r="AL883" s="34"/>
      <c r="AM883" s="34"/>
      <c r="AN883" s="46"/>
      <c r="AO883" s="48"/>
      <c r="AP883" s="48"/>
      <c r="AQ883" s="48"/>
      <c r="AR883" s="48"/>
      <c r="AS883" s="48"/>
      <c r="AT883" s="48"/>
      <c r="AU883" s="48"/>
      <c r="AV883" s="48"/>
      <c r="AW883" s="48"/>
      <c r="AX883" s="48"/>
      <c r="AY883" s="43"/>
      <c r="AZ883" s="48"/>
      <c r="BA883" s="48"/>
      <c r="BB883" s="48"/>
      <c r="BC883" s="43"/>
      <c r="BD883" s="43"/>
      <c r="BE883" s="44"/>
      <c r="BF883" s="48"/>
      <c r="BG883" s="43"/>
    </row>
    <row r="884">
      <c r="A884" s="98"/>
      <c r="B884" s="99"/>
      <c r="C884" s="99"/>
      <c r="D884" s="21"/>
      <c r="E884" s="22"/>
      <c r="F884" s="100"/>
      <c r="G884" s="101"/>
      <c r="H884" s="100"/>
      <c r="I884" s="102"/>
      <c r="J884" s="26"/>
      <c r="K884" s="103"/>
      <c r="L884" s="47"/>
      <c r="M884" s="30"/>
      <c r="N884" s="104"/>
      <c r="O884" s="104"/>
      <c r="P884" s="26"/>
      <c r="Q884" s="26"/>
      <c r="R884" s="26"/>
      <c r="S884" s="30"/>
      <c r="T884" s="84"/>
      <c r="U884" s="84"/>
      <c r="V884" s="105"/>
      <c r="W884" s="106"/>
      <c r="X884" s="33"/>
      <c r="Y884" s="34"/>
      <c r="Z884" s="34"/>
      <c r="AA884" s="34"/>
      <c r="AB884" s="34"/>
      <c r="AC884" s="107"/>
      <c r="AD884" s="35"/>
      <c r="AE884" s="35"/>
      <c r="AF884" s="35"/>
      <c r="AG884" s="35"/>
      <c r="AH884" s="35"/>
      <c r="AI884" s="34"/>
      <c r="AJ884" s="35"/>
      <c r="AK884" s="35"/>
      <c r="AL884" s="34"/>
      <c r="AM884" s="34"/>
      <c r="AN884" s="46"/>
      <c r="AO884" s="48"/>
      <c r="AP884" s="48"/>
      <c r="AQ884" s="48"/>
      <c r="AR884" s="48"/>
      <c r="AS884" s="48"/>
      <c r="AT884" s="48"/>
      <c r="AU884" s="48"/>
      <c r="AV884" s="48"/>
      <c r="AW884" s="48"/>
      <c r="AX884" s="48"/>
      <c r="AY884" s="43"/>
      <c r="AZ884" s="48"/>
      <c r="BA884" s="48"/>
      <c r="BB884" s="48"/>
      <c r="BC884" s="43"/>
      <c r="BD884" s="43"/>
      <c r="BE884" s="44"/>
      <c r="BF884" s="48"/>
      <c r="BG884" s="43"/>
    </row>
    <row r="885">
      <c r="A885" s="98"/>
      <c r="B885" s="99"/>
      <c r="C885" s="99"/>
      <c r="D885" s="21"/>
      <c r="E885" s="22"/>
      <c r="F885" s="100"/>
      <c r="G885" s="101"/>
      <c r="H885" s="100"/>
      <c r="I885" s="102"/>
      <c r="J885" s="26"/>
      <c r="K885" s="103"/>
      <c r="L885" s="47"/>
      <c r="M885" s="30"/>
      <c r="N885" s="104"/>
      <c r="O885" s="104"/>
      <c r="P885" s="26"/>
      <c r="Q885" s="26"/>
      <c r="R885" s="26"/>
      <c r="S885" s="30"/>
      <c r="T885" s="84"/>
      <c r="U885" s="84"/>
      <c r="V885" s="105"/>
      <c r="W885" s="106"/>
      <c r="X885" s="33"/>
      <c r="Y885" s="34"/>
      <c r="Z885" s="34"/>
      <c r="AA885" s="34"/>
      <c r="AB885" s="34"/>
      <c r="AC885" s="107"/>
      <c r="AD885" s="35"/>
      <c r="AE885" s="35"/>
      <c r="AF885" s="35"/>
      <c r="AG885" s="35"/>
      <c r="AH885" s="35"/>
      <c r="AI885" s="34"/>
      <c r="AJ885" s="35"/>
      <c r="AK885" s="35"/>
      <c r="AL885" s="34"/>
      <c r="AM885" s="34"/>
      <c r="AN885" s="46"/>
      <c r="AO885" s="48"/>
      <c r="AP885" s="48"/>
      <c r="AQ885" s="48"/>
      <c r="AR885" s="48"/>
      <c r="AS885" s="48"/>
      <c r="AT885" s="48"/>
      <c r="AU885" s="48"/>
      <c r="AV885" s="48"/>
      <c r="AW885" s="48"/>
      <c r="AX885" s="48"/>
      <c r="AY885" s="43"/>
      <c r="AZ885" s="48"/>
      <c r="BA885" s="48"/>
      <c r="BB885" s="48"/>
      <c r="BC885" s="43"/>
      <c r="BD885" s="43"/>
      <c r="BE885" s="44"/>
      <c r="BF885" s="48"/>
      <c r="BG885" s="43"/>
    </row>
    <row r="886">
      <c r="A886" s="98"/>
      <c r="B886" s="99"/>
      <c r="C886" s="99"/>
      <c r="D886" s="21"/>
      <c r="E886" s="22"/>
      <c r="F886" s="100"/>
      <c r="G886" s="101"/>
      <c r="H886" s="100"/>
      <c r="I886" s="102"/>
      <c r="J886" s="26"/>
      <c r="K886" s="103"/>
      <c r="L886" s="47"/>
      <c r="M886" s="30"/>
      <c r="N886" s="104"/>
      <c r="O886" s="104"/>
      <c r="P886" s="26"/>
      <c r="Q886" s="26"/>
      <c r="R886" s="26"/>
      <c r="S886" s="30"/>
      <c r="T886" s="84"/>
      <c r="U886" s="84"/>
      <c r="V886" s="105"/>
      <c r="W886" s="106"/>
      <c r="X886" s="33"/>
      <c r="Y886" s="34"/>
      <c r="Z886" s="34"/>
      <c r="AA886" s="34"/>
      <c r="AB886" s="34"/>
      <c r="AC886" s="107"/>
      <c r="AD886" s="35"/>
      <c r="AE886" s="35"/>
      <c r="AF886" s="35"/>
      <c r="AG886" s="35"/>
      <c r="AH886" s="35"/>
      <c r="AI886" s="34"/>
      <c r="AJ886" s="35"/>
      <c r="AK886" s="35"/>
      <c r="AL886" s="34"/>
      <c r="AM886" s="34"/>
      <c r="AN886" s="46"/>
      <c r="AO886" s="48"/>
      <c r="AP886" s="48"/>
      <c r="AQ886" s="48"/>
      <c r="AR886" s="48"/>
      <c r="AS886" s="48"/>
      <c r="AT886" s="48"/>
      <c r="AU886" s="48"/>
      <c r="AV886" s="48"/>
      <c r="AW886" s="48"/>
      <c r="AX886" s="48"/>
      <c r="AY886" s="43"/>
      <c r="AZ886" s="48"/>
      <c r="BA886" s="48"/>
      <c r="BB886" s="48"/>
      <c r="BC886" s="43"/>
      <c r="BD886" s="43"/>
      <c r="BE886" s="44"/>
      <c r="BF886" s="48"/>
      <c r="BG886" s="43"/>
    </row>
    <row r="887">
      <c r="A887" s="98"/>
      <c r="B887" s="99"/>
      <c r="C887" s="99"/>
      <c r="D887" s="21"/>
      <c r="E887" s="22"/>
      <c r="F887" s="100"/>
      <c r="G887" s="101"/>
      <c r="H887" s="100"/>
      <c r="I887" s="102"/>
      <c r="J887" s="26"/>
      <c r="K887" s="103"/>
      <c r="L887" s="47"/>
      <c r="M887" s="30"/>
      <c r="N887" s="104"/>
      <c r="O887" s="104"/>
      <c r="P887" s="26"/>
      <c r="Q887" s="26"/>
      <c r="R887" s="26"/>
      <c r="S887" s="30"/>
      <c r="T887" s="84"/>
      <c r="U887" s="84"/>
      <c r="V887" s="105"/>
      <c r="W887" s="106"/>
      <c r="X887" s="33"/>
      <c r="Y887" s="34"/>
      <c r="Z887" s="34"/>
      <c r="AA887" s="34"/>
      <c r="AB887" s="34"/>
      <c r="AC887" s="107"/>
      <c r="AD887" s="35"/>
      <c r="AE887" s="35"/>
      <c r="AF887" s="35"/>
      <c r="AG887" s="35"/>
      <c r="AH887" s="35"/>
      <c r="AI887" s="34"/>
      <c r="AJ887" s="35"/>
      <c r="AK887" s="35"/>
      <c r="AL887" s="34"/>
      <c r="AM887" s="34"/>
      <c r="AN887" s="46"/>
      <c r="AO887" s="48"/>
      <c r="AP887" s="48"/>
      <c r="AQ887" s="48"/>
      <c r="AR887" s="48"/>
      <c r="AS887" s="48"/>
      <c r="AT887" s="48"/>
      <c r="AU887" s="48"/>
      <c r="AV887" s="48"/>
      <c r="AW887" s="48"/>
      <c r="AX887" s="48"/>
      <c r="AY887" s="43"/>
      <c r="AZ887" s="48"/>
      <c r="BA887" s="48"/>
      <c r="BB887" s="48"/>
      <c r="BC887" s="43"/>
      <c r="BD887" s="43"/>
      <c r="BE887" s="44"/>
      <c r="BF887" s="48"/>
      <c r="BG887" s="43"/>
    </row>
    <row r="888">
      <c r="A888" s="98"/>
      <c r="B888" s="99"/>
      <c r="C888" s="99"/>
      <c r="D888" s="21"/>
      <c r="E888" s="22"/>
      <c r="F888" s="100"/>
      <c r="G888" s="101"/>
      <c r="H888" s="100"/>
      <c r="I888" s="102"/>
      <c r="J888" s="26"/>
      <c r="K888" s="103"/>
      <c r="L888" s="47"/>
      <c r="M888" s="30"/>
      <c r="N888" s="104"/>
      <c r="O888" s="104"/>
      <c r="P888" s="26"/>
      <c r="Q888" s="26"/>
      <c r="R888" s="26"/>
      <c r="S888" s="30"/>
      <c r="T888" s="84"/>
      <c r="U888" s="84"/>
      <c r="V888" s="105"/>
      <c r="W888" s="106"/>
      <c r="X888" s="33"/>
      <c r="Y888" s="34"/>
      <c r="Z888" s="34"/>
      <c r="AA888" s="34"/>
      <c r="AB888" s="34"/>
      <c r="AC888" s="107"/>
      <c r="AD888" s="35"/>
      <c r="AE888" s="35"/>
      <c r="AF888" s="35"/>
      <c r="AG888" s="35"/>
      <c r="AH888" s="35"/>
      <c r="AI888" s="34"/>
      <c r="AJ888" s="35"/>
      <c r="AK888" s="35"/>
      <c r="AL888" s="34"/>
      <c r="AM888" s="34"/>
      <c r="AN888" s="46"/>
      <c r="AO888" s="48"/>
      <c r="AP888" s="48"/>
      <c r="AQ888" s="48"/>
      <c r="AR888" s="48"/>
      <c r="AS888" s="48"/>
      <c r="AT888" s="48"/>
      <c r="AU888" s="48"/>
      <c r="AV888" s="48"/>
      <c r="AW888" s="48"/>
      <c r="AX888" s="48"/>
      <c r="AY888" s="43"/>
      <c r="AZ888" s="48"/>
      <c r="BA888" s="48"/>
      <c r="BB888" s="48"/>
      <c r="BC888" s="43"/>
      <c r="BD888" s="43"/>
      <c r="BE888" s="44"/>
      <c r="BF888" s="48"/>
      <c r="BG888" s="43"/>
    </row>
    <row r="889">
      <c r="A889" s="98"/>
      <c r="B889" s="99"/>
      <c r="C889" s="99"/>
      <c r="D889" s="21"/>
      <c r="E889" s="22"/>
      <c r="F889" s="100"/>
      <c r="G889" s="101"/>
      <c r="H889" s="100"/>
      <c r="I889" s="102"/>
      <c r="J889" s="26"/>
      <c r="K889" s="103"/>
      <c r="L889" s="47"/>
      <c r="M889" s="30"/>
      <c r="N889" s="104"/>
      <c r="O889" s="104"/>
      <c r="P889" s="26"/>
      <c r="Q889" s="26"/>
      <c r="R889" s="26"/>
      <c r="S889" s="30"/>
      <c r="T889" s="84"/>
      <c r="U889" s="84"/>
      <c r="V889" s="105"/>
      <c r="W889" s="106"/>
      <c r="X889" s="33"/>
      <c r="Y889" s="34"/>
      <c r="Z889" s="34"/>
      <c r="AA889" s="34"/>
      <c r="AB889" s="34"/>
      <c r="AC889" s="107"/>
      <c r="AD889" s="35"/>
      <c r="AE889" s="35"/>
      <c r="AF889" s="35"/>
      <c r="AG889" s="35"/>
      <c r="AH889" s="35"/>
      <c r="AI889" s="34"/>
      <c r="AJ889" s="35"/>
      <c r="AK889" s="35"/>
      <c r="AL889" s="34"/>
      <c r="AM889" s="34"/>
      <c r="AN889" s="46"/>
      <c r="AO889" s="48"/>
      <c r="AP889" s="48"/>
      <c r="AQ889" s="48"/>
      <c r="AR889" s="48"/>
      <c r="AS889" s="48"/>
      <c r="AT889" s="48"/>
      <c r="AU889" s="48"/>
      <c r="AV889" s="48"/>
      <c r="AW889" s="48"/>
      <c r="AX889" s="48"/>
      <c r="AY889" s="43"/>
      <c r="AZ889" s="48"/>
      <c r="BA889" s="48"/>
      <c r="BB889" s="48"/>
      <c r="BC889" s="43"/>
      <c r="BD889" s="43"/>
      <c r="BE889" s="44"/>
      <c r="BF889" s="48"/>
      <c r="BG889" s="43"/>
    </row>
    <row r="890">
      <c r="A890" s="98"/>
      <c r="B890" s="99"/>
      <c r="C890" s="99"/>
      <c r="D890" s="21"/>
      <c r="E890" s="22"/>
      <c r="F890" s="100"/>
      <c r="G890" s="101"/>
      <c r="H890" s="100"/>
      <c r="I890" s="102"/>
      <c r="J890" s="26"/>
      <c r="K890" s="103"/>
      <c r="L890" s="47"/>
      <c r="M890" s="30"/>
      <c r="N890" s="104"/>
      <c r="O890" s="104"/>
      <c r="P890" s="26"/>
      <c r="Q890" s="26"/>
      <c r="R890" s="26"/>
      <c r="S890" s="30"/>
      <c r="T890" s="84"/>
      <c r="U890" s="84"/>
      <c r="V890" s="105"/>
      <c r="W890" s="106"/>
      <c r="X890" s="33"/>
      <c r="Y890" s="34"/>
      <c r="Z890" s="34"/>
      <c r="AA890" s="34"/>
      <c r="AB890" s="34"/>
      <c r="AC890" s="107"/>
      <c r="AD890" s="35"/>
      <c r="AE890" s="35"/>
      <c r="AF890" s="35"/>
      <c r="AG890" s="35"/>
      <c r="AH890" s="35"/>
      <c r="AI890" s="34"/>
      <c r="AJ890" s="35"/>
      <c r="AK890" s="35"/>
      <c r="AL890" s="34"/>
      <c r="AM890" s="34"/>
      <c r="AN890" s="46"/>
      <c r="AO890" s="48"/>
      <c r="AP890" s="48"/>
      <c r="AQ890" s="48"/>
      <c r="AR890" s="48"/>
      <c r="AS890" s="48"/>
      <c r="AT890" s="48"/>
      <c r="AU890" s="48"/>
      <c r="AV890" s="48"/>
      <c r="AW890" s="48"/>
      <c r="AX890" s="48"/>
      <c r="AY890" s="43"/>
      <c r="AZ890" s="48"/>
      <c r="BA890" s="48"/>
      <c r="BB890" s="48"/>
      <c r="BC890" s="43"/>
      <c r="BD890" s="43"/>
      <c r="BE890" s="44"/>
      <c r="BF890" s="48"/>
      <c r="BG890" s="43"/>
    </row>
    <row r="891">
      <c r="A891" s="98"/>
      <c r="B891" s="99"/>
      <c r="C891" s="99"/>
      <c r="D891" s="21"/>
      <c r="E891" s="22"/>
      <c r="F891" s="100"/>
      <c r="G891" s="101"/>
      <c r="H891" s="100"/>
      <c r="I891" s="102"/>
      <c r="J891" s="26"/>
      <c r="K891" s="103"/>
      <c r="L891" s="47"/>
      <c r="M891" s="30"/>
      <c r="N891" s="104"/>
      <c r="O891" s="104"/>
      <c r="P891" s="26"/>
      <c r="Q891" s="26"/>
      <c r="R891" s="26"/>
      <c r="S891" s="30"/>
      <c r="T891" s="84"/>
      <c r="U891" s="84"/>
      <c r="V891" s="105"/>
      <c r="W891" s="106"/>
      <c r="X891" s="33"/>
      <c r="Y891" s="34"/>
      <c r="Z891" s="34"/>
      <c r="AA891" s="34"/>
      <c r="AB891" s="34"/>
      <c r="AC891" s="107"/>
      <c r="AD891" s="35"/>
      <c r="AE891" s="35"/>
      <c r="AF891" s="35"/>
      <c r="AG891" s="35"/>
      <c r="AH891" s="35"/>
      <c r="AI891" s="34"/>
      <c r="AJ891" s="35"/>
      <c r="AK891" s="35"/>
      <c r="AL891" s="34"/>
      <c r="AM891" s="34"/>
      <c r="AN891" s="46"/>
      <c r="AO891" s="48"/>
      <c r="AP891" s="48"/>
      <c r="AQ891" s="48"/>
      <c r="AR891" s="48"/>
      <c r="AS891" s="48"/>
      <c r="AT891" s="48"/>
      <c r="AU891" s="48"/>
      <c r="AV891" s="48"/>
      <c r="AW891" s="48"/>
      <c r="AX891" s="48"/>
      <c r="AY891" s="43"/>
      <c r="AZ891" s="48"/>
      <c r="BA891" s="48"/>
      <c r="BB891" s="48"/>
      <c r="BC891" s="43"/>
      <c r="BD891" s="43"/>
      <c r="BE891" s="44"/>
      <c r="BF891" s="48"/>
      <c r="BG891" s="43"/>
    </row>
    <row r="892">
      <c r="A892" s="98"/>
      <c r="B892" s="99"/>
      <c r="C892" s="99"/>
      <c r="D892" s="21"/>
      <c r="E892" s="22"/>
      <c r="F892" s="100"/>
      <c r="G892" s="101"/>
      <c r="H892" s="100"/>
      <c r="I892" s="102"/>
      <c r="J892" s="26"/>
      <c r="K892" s="103"/>
      <c r="L892" s="47"/>
      <c r="M892" s="30"/>
      <c r="N892" s="104"/>
      <c r="O892" s="104"/>
      <c r="P892" s="26"/>
      <c r="Q892" s="26"/>
      <c r="R892" s="26"/>
      <c r="S892" s="30"/>
      <c r="T892" s="84"/>
      <c r="U892" s="84"/>
      <c r="V892" s="105"/>
      <c r="W892" s="106"/>
      <c r="X892" s="33"/>
      <c r="Y892" s="34"/>
      <c r="Z892" s="34"/>
      <c r="AA892" s="34"/>
      <c r="AB892" s="34"/>
      <c r="AC892" s="107"/>
      <c r="AD892" s="35"/>
      <c r="AE892" s="35"/>
      <c r="AF892" s="35"/>
      <c r="AG892" s="35"/>
      <c r="AH892" s="35"/>
      <c r="AI892" s="34"/>
      <c r="AJ892" s="35"/>
      <c r="AK892" s="35"/>
      <c r="AL892" s="34"/>
      <c r="AM892" s="34"/>
      <c r="AN892" s="46"/>
      <c r="AO892" s="48"/>
      <c r="AP892" s="48"/>
      <c r="AQ892" s="48"/>
      <c r="AR892" s="48"/>
      <c r="AS892" s="48"/>
      <c r="AT892" s="48"/>
      <c r="AU892" s="48"/>
      <c r="AV892" s="48"/>
      <c r="AW892" s="48"/>
      <c r="AX892" s="48"/>
      <c r="AY892" s="43"/>
      <c r="AZ892" s="48"/>
      <c r="BA892" s="48"/>
      <c r="BB892" s="48"/>
      <c r="BC892" s="43"/>
      <c r="BD892" s="43"/>
      <c r="BE892" s="44"/>
      <c r="BF892" s="48"/>
      <c r="BG892" s="43"/>
    </row>
    <row r="893">
      <c r="A893" s="98"/>
      <c r="B893" s="99"/>
      <c r="C893" s="99"/>
      <c r="D893" s="21"/>
      <c r="E893" s="22"/>
      <c r="F893" s="100"/>
      <c r="G893" s="101"/>
      <c r="H893" s="100"/>
      <c r="I893" s="102"/>
      <c r="J893" s="26"/>
      <c r="K893" s="103"/>
      <c r="L893" s="47"/>
      <c r="M893" s="30"/>
      <c r="N893" s="104"/>
      <c r="O893" s="104"/>
      <c r="P893" s="26"/>
      <c r="Q893" s="26"/>
      <c r="R893" s="26"/>
      <c r="S893" s="30"/>
      <c r="T893" s="84"/>
      <c r="U893" s="84"/>
      <c r="V893" s="105"/>
      <c r="W893" s="106"/>
      <c r="X893" s="33"/>
      <c r="Y893" s="34"/>
      <c r="Z893" s="34"/>
      <c r="AA893" s="34"/>
      <c r="AB893" s="34"/>
      <c r="AC893" s="107"/>
      <c r="AD893" s="35"/>
      <c r="AE893" s="35"/>
      <c r="AF893" s="35"/>
      <c r="AG893" s="35"/>
      <c r="AH893" s="35"/>
      <c r="AI893" s="34"/>
      <c r="AJ893" s="35"/>
      <c r="AK893" s="35"/>
      <c r="AL893" s="34"/>
      <c r="AM893" s="34"/>
      <c r="AN893" s="46"/>
      <c r="AO893" s="48"/>
      <c r="AP893" s="48"/>
      <c r="AQ893" s="48"/>
      <c r="AR893" s="48"/>
      <c r="AS893" s="48"/>
      <c r="AT893" s="48"/>
      <c r="AU893" s="48"/>
      <c r="AV893" s="48"/>
      <c r="AW893" s="48"/>
      <c r="AX893" s="48"/>
      <c r="AY893" s="43"/>
      <c r="AZ893" s="48"/>
      <c r="BA893" s="48"/>
      <c r="BB893" s="48"/>
      <c r="BC893" s="43"/>
      <c r="BD893" s="43"/>
      <c r="BE893" s="44"/>
      <c r="BF893" s="48"/>
      <c r="BG893" s="43"/>
    </row>
    <row r="894">
      <c r="A894" s="98"/>
      <c r="B894" s="99"/>
      <c r="C894" s="99"/>
      <c r="D894" s="21"/>
      <c r="E894" s="22"/>
      <c r="F894" s="100"/>
      <c r="G894" s="101"/>
      <c r="H894" s="100"/>
      <c r="I894" s="102"/>
      <c r="J894" s="26"/>
      <c r="K894" s="103"/>
      <c r="L894" s="47"/>
      <c r="M894" s="30"/>
      <c r="N894" s="104"/>
      <c r="O894" s="104"/>
      <c r="P894" s="26"/>
      <c r="Q894" s="26"/>
      <c r="R894" s="26"/>
      <c r="S894" s="30"/>
      <c r="T894" s="84"/>
      <c r="U894" s="84"/>
      <c r="V894" s="105"/>
      <c r="W894" s="106"/>
      <c r="X894" s="33"/>
      <c r="Y894" s="34"/>
      <c r="Z894" s="34"/>
      <c r="AA894" s="34"/>
      <c r="AB894" s="34"/>
      <c r="AC894" s="107"/>
      <c r="AD894" s="35"/>
      <c r="AE894" s="35"/>
      <c r="AF894" s="35"/>
      <c r="AG894" s="35"/>
      <c r="AH894" s="35"/>
      <c r="AI894" s="34"/>
      <c r="AJ894" s="35"/>
      <c r="AK894" s="35"/>
      <c r="AL894" s="34"/>
      <c r="AM894" s="34"/>
      <c r="AN894" s="46"/>
      <c r="AO894" s="48"/>
      <c r="AP894" s="48"/>
      <c r="AQ894" s="48"/>
      <c r="AR894" s="48"/>
      <c r="AS894" s="48"/>
      <c r="AT894" s="48"/>
      <c r="AU894" s="48"/>
      <c r="AV894" s="48"/>
      <c r="AW894" s="48"/>
      <c r="AX894" s="48"/>
      <c r="AY894" s="43"/>
      <c r="AZ894" s="48"/>
      <c r="BA894" s="48"/>
      <c r="BB894" s="48"/>
      <c r="BC894" s="43"/>
      <c r="BD894" s="43"/>
      <c r="BE894" s="44"/>
      <c r="BF894" s="48"/>
      <c r="BG894" s="43"/>
    </row>
    <row r="895">
      <c r="A895" s="98"/>
      <c r="B895" s="99"/>
      <c r="C895" s="99"/>
      <c r="D895" s="21"/>
      <c r="E895" s="22"/>
      <c r="F895" s="100"/>
      <c r="G895" s="101"/>
      <c r="H895" s="100"/>
      <c r="I895" s="102"/>
      <c r="J895" s="26"/>
      <c r="K895" s="103"/>
      <c r="L895" s="47"/>
      <c r="M895" s="30"/>
      <c r="N895" s="104"/>
      <c r="O895" s="104"/>
      <c r="P895" s="26"/>
      <c r="Q895" s="26"/>
      <c r="R895" s="26"/>
      <c r="S895" s="30"/>
      <c r="T895" s="84"/>
      <c r="U895" s="84"/>
      <c r="V895" s="105"/>
      <c r="W895" s="106"/>
      <c r="X895" s="33"/>
      <c r="Y895" s="34"/>
      <c r="Z895" s="34"/>
      <c r="AA895" s="34"/>
      <c r="AB895" s="34"/>
      <c r="AC895" s="107"/>
      <c r="AD895" s="35"/>
      <c r="AE895" s="35"/>
      <c r="AF895" s="35"/>
      <c r="AG895" s="35"/>
      <c r="AH895" s="35"/>
      <c r="AI895" s="34"/>
      <c r="AJ895" s="35"/>
      <c r="AK895" s="35"/>
      <c r="AL895" s="34"/>
      <c r="AM895" s="34"/>
      <c r="AN895" s="46"/>
      <c r="AO895" s="48"/>
      <c r="AP895" s="48"/>
      <c r="AQ895" s="48"/>
      <c r="AR895" s="48"/>
      <c r="AS895" s="48"/>
      <c r="AT895" s="48"/>
      <c r="AU895" s="48"/>
      <c r="AV895" s="48"/>
      <c r="AW895" s="48"/>
      <c r="AX895" s="48"/>
      <c r="AY895" s="43"/>
      <c r="AZ895" s="48"/>
      <c r="BA895" s="48"/>
      <c r="BB895" s="48"/>
      <c r="BC895" s="43"/>
      <c r="BD895" s="43"/>
      <c r="BE895" s="44"/>
      <c r="BF895" s="48"/>
      <c r="BG895" s="43"/>
    </row>
    <row r="896">
      <c r="A896" s="98"/>
      <c r="B896" s="99"/>
      <c r="C896" s="99"/>
      <c r="D896" s="21"/>
      <c r="E896" s="22"/>
      <c r="F896" s="100"/>
      <c r="G896" s="101"/>
      <c r="H896" s="100"/>
      <c r="I896" s="102"/>
      <c r="J896" s="26"/>
      <c r="K896" s="103"/>
      <c r="L896" s="47"/>
      <c r="M896" s="30"/>
      <c r="N896" s="104"/>
      <c r="O896" s="104"/>
      <c r="P896" s="26"/>
      <c r="Q896" s="26"/>
      <c r="R896" s="26"/>
      <c r="S896" s="30"/>
      <c r="T896" s="84"/>
      <c r="U896" s="84"/>
      <c r="V896" s="105"/>
      <c r="W896" s="106"/>
      <c r="X896" s="33"/>
      <c r="Y896" s="34"/>
      <c r="Z896" s="34"/>
      <c r="AA896" s="34"/>
      <c r="AB896" s="34"/>
      <c r="AC896" s="107"/>
      <c r="AD896" s="35"/>
      <c r="AE896" s="35"/>
      <c r="AF896" s="35"/>
      <c r="AG896" s="35"/>
      <c r="AH896" s="35"/>
      <c r="AI896" s="34"/>
      <c r="AJ896" s="35"/>
      <c r="AK896" s="35"/>
      <c r="AL896" s="34"/>
      <c r="AM896" s="34"/>
      <c r="AN896" s="46"/>
      <c r="AO896" s="48"/>
      <c r="AP896" s="48"/>
      <c r="AQ896" s="48"/>
      <c r="AR896" s="48"/>
      <c r="AS896" s="48"/>
      <c r="AT896" s="48"/>
      <c r="AU896" s="48"/>
      <c r="AV896" s="48"/>
      <c r="AW896" s="48"/>
      <c r="AX896" s="48"/>
      <c r="AY896" s="43"/>
      <c r="AZ896" s="48"/>
      <c r="BA896" s="48"/>
      <c r="BB896" s="48"/>
      <c r="BC896" s="43"/>
      <c r="BD896" s="43"/>
      <c r="BE896" s="44"/>
      <c r="BF896" s="48"/>
      <c r="BG896" s="43"/>
    </row>
    <row r="897">
      <c r="A897" s="98"/>
      <c r="B897" s="99"/>
      <c r="C897" s="99"/>
      <c r="D897" s="21"/>
      <c r="E897" s="22"/>
      <c r="F897" s="100"/>
      <c r="G897" s="101"/>
      <c r="H897" s="100"/>
      <c r="I897" s="102"/>
      <c r="J897" s="26"/>
      <c r="K897" s="103"/>
      <c r="L897" s="47"/>
      <c r="M897" s="30"/>
      <c r="N897" s="104"/>
      <c r="O897" s="104"/>
      <c r="P897" s="26"/>
      <c r="Q897" s="26"/>
      <c r="R897" s="26"/>
      <c r="S897" s="30"/>
      <c r="T897" s="84"/>
      <c r="U897" s="84"/>
      <c r="V897" s="105"/>
      <c r="W897" s="106"/>
      <c r="X897" s="33"/>
      <c r="Y897" s="34"/>
      <c r="Z897" s="34"/>
      <c r="AA897" s="34"/>
      <c r="AB897" s="34"/>
      <c r="AC897" s="107"/>
      <c r="AD897" s="35"/>
      <c r="AE897" s="35"/>
      <c r="AF897" s="35"/>
      <c r="AG897" s="35"/>
      <c r="AH897" s="35"/>
      <c r="AI897" s="34"/>
      <c r="AJ897" s="35"/>
      <c r="AK897" s="35"/>
      <c r="AL897" s="34"/>
      <c r="AM897" s="34"/>
      <c r="AN897" s="46"/>
      <c r="AO897" s="48"/>
      <c r="AP897" s="48"/>
      <c r="AQ897" s="48"/>
      <c r="AR897" s="48"/>
      <c r="AS897" s="48"/>
      <c r="AT897" s="48"/>
      <c r="AU897" s="48"/>
      <c r="AV897" s="48"/>
      <c r="AW897" s="48"/>
      <c r="AX897" s="48"/>
      <c r="AY897" s="43"/>
      <c r="AZ897" s="48"/>
      <c r="BA897" s="48"/>
      <c r="BB897" s="48"/>
      <c r="BC897" s="43"/>
      <c r="BD897" s="43"/>
      <c r="BE897" s="44"/>
      <c r="BF897" s="48"/>
      <c r="BG897" s="43"/>
    </row>
    <row r="898">
      <c r="A898" s="98"/>
      <c r="B898" s="99"/>
      <c r="C898" s="99"/>
      <c r="D898" s="21"/>
      <c r="E898" s="22"/>
      <c r="F898" s="100"/>
      <c r="G898" s="101"/>
      <c r="H898" s="100"/>
      <c r="I898" s="102"/>
      <c r="J898" s="26"/>
      <c r="K898" s="103"/>
      <c r="L898" s="47"/>
      <c r="M898" s="30"/>
      <c r="N898" s="104"/>
      <c r="O898" s="104"/>
      <c r="P898" s="26"/>
      <c r="Q898" s="26"/>
      <c r="R898" s="26"/>
      <c r="S898" s="30"/>
      <c r="T898" s="84"/>
      <c r="U898" s="84"/>
      <c r="V898" s="105"/>
      <c r="W898" s="106"/>
      <c r="X898" s="33"/>
      <c r="Y898" s="34"/>
      <c r="Z898" s="34"/>
      <c r="AA898" s="34"/>
      <c r="AB898" s="34"/>
      <c r="AC898" s="107"/>
      <c r="AD898" s="35"/>
      <c r="AE898" s="35"/>
      <c r="AF898" s="35"/>
      <c r="AG898" s="35"/>
      <c r="AH898" s="35"/>
      <c r="AI898" s="34"/>
      <c r="AJ898" s="35"/>
      <c r="AK898" s="35"/>
      <c r="AL898" s="34"/>
      <c r="AM898" s="34"/>
      <c r="AN898" s="46"/>
      <c r="AO898" s="48"/>
      <c r="AP898" s="48"/>
      <c r="AQ898" s="48"/>
      <c r="AR898" s="48"/>
      <c r="AS898" s="48"/>
      <c r="AT898" s="48"/>
      <c r="AU898" s="48"/>
      <c r="AV898" s="48"/>
      <c r="AW898" s="48"/>
      <c r="AX898" s="48"/>
      <c r="AY898" s="43"/>
      <c r="AZ898" s="48"/>
      <c r="BA898" s="48"/>
      <c r="BB898" s="48"/>
      <c r="BC898" s="43"/>
      <c r="BD898" s="43"/>
      <c r="BE898" s="44"/>
      <c r="BF898" s="48"/>
      <c r="BG898" s="43"/>
    </row>
    <row r="899">
      <c r="A899" s="98"/>
      <c r="B899" s="99"/>
      <c r="C899" s="99"/>
      <c r="D899" s="21"/>
      <c r="E899" s="22"/>
      <c r="F899" s="100"/>
      <c r="G899" s="101"/>
      <c r="H899" s="100"/>
      <c r="I899" s="102"/>
      <c r="J899" s="26"/>
      <c r="K899" s="103"/>
      <c r="L899" s="47"/>
      <c r="M899" s="30"/>
      <c r="N899" s="104"/>
      <c r="O899" s="104"/>
      <c r="P899" s="26"/>
      <c r="Q899" s="26"/>
      <c r="R899" s="26"/>
      <c r="S899" s="30"/>
      <c r="T899" s="84"/>
      <c r="U899" s="84"/>
      <c r="V899" s="105"/>
      <c r="W899" s="106"/>
      <c r="X899" s="33"/>
      <c r="Y899" s="34"/>
      <c r="Z899" s="34"/>
      <c r="AA899" s="34"/>
      <c r="AB899" s="34"/>
      <c r="AC899" s="107"/>
      <c r="AD899" s="35"/>
      <c r="AE899" s="35"/>
      <c r="AF899" s="35"/>
      <c r="AG899" s="35"/>
      <c r="AH899" s="35"/>
      <c r="AI899" s="34"/>
      <c r="AJ899" s="35"/>
      <c r="AK899" s="35"/>
      <c r="AL899" s="34"/>
      <c r="AM899" s="34"/>
      <c r="AN899" s="46"/>
      <c r="AO899" s="48"/>
      <c r="AP899" s="48"/>
      <c r="AQ899" s="48"/>
      <c r="AR899" s="48"/>
      <c r="AS899" s="48"/>
      <c r="AT899" s="48"/>
      <c r="AU899" s="48"/>
      <c r="AV899" s="48"/>
      <c r="AW899" s="48"/>
      <c r="AX899" s="48"/>
      <c r="AY899" s="43"/>
      <c r="AZ899" s="48"/>
      <c r="BA899" s="48"/>
      <c r="BB899" s="48"/>
      <c r="BC899" s="43"/>
      <c r="BD899" s="43"/>
      <c r="BE899" s="44"/>
      <c r="BF899" s="48"/>
      <c r="BG899" s="43"/>
    </row>
    <row r="900">
      <c r="A900" s="98"/>
      <c r="B900" s="99"/>
      <c r="C900" s="99"/>
      <c r="D900" s="21"/>
      <c r="E900" s="22"/>
      <c r="F900" s="100"/>
      <c r="G900" s="101"/>
      <c r="H900" s="100"/>
      <c r="I900" s="102"/>
      <c r="J900" s="26"/>
      <c r="K900" s="103"/>
      <c r="L900" s="47"/>
      <c r="M900" s="30"/>
      <c r="N900" s="104"/>
      <c r="O900" s="104"/>
      <c r="P900" s="26"/>
      <c r="Q900" s="26"/>
      <c r="R900" s="26"/>
      <c r="S900" s="30"/>
      <c r="T900" s="84"/>
      <c r="U900" s="84"/>
      <c r="V900" s="105"/>
      <c r="W900" s="106"/>
      <c r="X900" s="33"/>
      <c r="Y900" s="34"/>
      <c r="Z900" s="34"/>
      <c r="AA900" s="34"/>
      <c r="AB900" s="34"/>
      <c r="AC900" s="107"/>
      <c r="AD900" s="35"/>
      <c r="AE900" s="35"/>
      <c r="AF900" s="35"/>
      <c r="AG900" s="35"/>
      <c r="AH900" s="35"/>
      <c r="AI900" s="34"/>
      <c r="AJ900" s="35"/>
      <c r="AK900" s="35"/>
      <c r="AL900" s="34"/>
      <c r="AM900" s="34"/>
      <c r="AN900" s="46"/>
      <c r="AO900" s="48"/>
      <c r="AP900" s="48"/>
      <c r="AQ900" s="48"/>
      <c r="AR900" s="48"/>
      <c r="AS900" s="48"/>
      <c r="AT900" s="48"/>
      <c r="AU900" s="48"/>
      <c r="AV900" s="48"/>
      <c r="AW900" s="48"/>
      <c r="AX900" s="48"/>
      <c r="AY900" s="43"/>
      <c r="AZ900" s="48"/>
      <c r="BA900" s="48"/>
      <c r="BB900" s="48"/>
      <c r="BC900" s="43"/>
      <c r="BD900" s="43"/>
      <c r="BE900" s="44"/>
      <c r="BF900" s="48"/>
      <c r="BG900" s="43"/>
    </row>
    <row r="901">
      <c r="A901" s="98"/>
      <c r="B901" s="99"/>
      <c r="C901" s="99"/>
      <c r="D901" s="21"/>
      <c r="E901" s="22"/>
      <c r="F901" s="100"/>
      <c r="G901" s="101"/>
      <c r="H901" s="100"/>
      <c r="I901" s="102"/>
      <c r="J901" s="26"/>
      <c r="K901" s="103"/>
      <c r="L901" s="47"/>
      <c r="M901" s="30"/>
      <c r="N901" s="104"/>
      <c r="O901" s="104"/>
      <c r="P901" s="26"/>
      <c r="Q901" s="26"/>
      <c r="R901" s="26"/>
      <c r="S901" s="30"/>
      <c r="T901" s="84"/>
      <c r="U901" s="84"/>
      <c r="V901" s="105"/>
      <c r="W901" s="106"/>
      <c r="X901" s="33"/>
      <c r="Y901" s="34"/>
      <c r="Z901" s="34"/>
      <c r="AA901" s="34"/>
      <c r="AB901" s="34"/>
      <c r="AC901" s="107"/>
      <c r="AD901" s="35"/>
      <c r="AE901" s="35"/>
      <c r="AF901" s="35"/>
      <c r="AG901" s="35"/>
      <c r="AH901" s="35"/>
      <c r="AI901" s="34"/>
      <c r="AJ901" s="35"/>
      <c r="AK901" s="35"/>
      <c r="AL901" s="34"/>
      <c r="AM901" s="34"/>
      <c r="AN901" s="46"/>
      <c r="AO901" s="48"/>
      <c r="AP901" s="48"/>
      <c r="AQ901" s="48"/>
      <c r="AR901" s="48"/>
      <c r="AS901" s="48"/>
      <c r="AT901" s="48"/>
      <c r="AU901" s="48"/>
      <c r="AV901" s="48"/>
      <c r="AW901" s="48"/>
      <c r="AX901" s="48"/>
      <c r="AY901" s="43"/>
      <c r="AZ901" s="48"/>
      <c r="BA901" s="48"/>
      <c r="BB901" s="48"/>
      <c r="BC901" s="43"/>
      <c r="BD901" s="43"/>
      <c r="BE901" s="44"/>
      <c r="BF901" s="48"/>
      <c r="BG901" s="43"/>
    </row>
    <row r="902">
      <c r="A902" s="98"/>
      <c r="B902" s="99"/>
      <c r="C902" s="99"/>
      <c r="D902" s="21"/>
      <c r="E902" s="22"/>
      <c r="F902" s="100"/>
      <c r="G902" s="101"/>
      <c r="H902" s="100"/>
      <c r="I902" s="102"/>
      <c r="J902" s="26"/>
      <c r="K902" s="103"/>
      <c r="L902" s="47"/>
      <c r="M902" s="30"/>
      <c r="N902" s="104"/>
      <c r="O902" s="104"/>
      <c r="P902" s="26"/>
      <c r="Q902" s="26"/>
      <c r="R902" s="26"/>
      <c r="S902" s="30"/>
      <c r="T902" s="84"/>
      <c r="U902" s="84"/>
      <c r="V902" s="105"/>
      <c r="W902" s="106"/>
      <c r="X902" s="33"/>
      <c r="Y902" s="34"/>
      <c r="Z902" s="34"/>
      <c r="AA902" s="34"/>
      <c r="AB902" s="34"/>
      <c r="AC902" s="107"/>
      <c r="AD902" s="35"/>
      <c r="AE902" s="35"/>
      <c r="AF902" s="35"/>
      <c r="AG902" s="35"/>
      <c r="AH902" s="35"/>
      <c r="AI902" s="34"/>
      <c r="AJ902" s="35"/>
      <c r="AK902" s="35"/>
      <c r="AL902" s="34"/>
      <c r="AM902" s="34"/>
      <c r="AN902" s="46"/>
      <c r="AO902" s="48"/>
      <c r="AP902" s="48"/>
      <c r="AQ902" s="48"/>
      <c r="AR902" s="48"/>
      <c r="AS902" s="48"/>
      <c r="AT902" s="48"/>
      <c r="AU902" s="48"/>
      <c r="AV902" s="48"/>
      <c r="AW902" s="48"/>
      <c r="AX902" s="48"/>
      <c r="AY902" s="43"/>
      <c r="AZ902" s="48"/>
      <c r="BA902" s="48"/>
      <c r="BB902" s="48"/>
      <c r="BC902" s="43"/>
      <c r="BD902" s="43"/>
      <c r="BE902" s="44"/>
      <c r="BF902" s="48"/>
      <c r="BG902" s="43"/>
    </row>
    <row r="903">
      <c r="A903" s="98"/>
      <c r="B903" s="99"/>
      <c r="C903" s="99"/>
      <c r="D903" s="21"/>
      <c r="E903" s="22"/>
      <c r="F903" s="100"/>
      <c r="G903" s="101"/>
      <c r="H903" s="100"/>
      <c r="I903" s="102"/>
      <c r="J903" s="26"/>
      <c r="K903" s="103"/>
      <c r="L903" s="47"/>
      <c r="M903" s="30"/>
      <c r="N903" s="104"/>
      <c r="O903" s="104"/>
      <c r="P903" s="26"/>
      <c r="Q903" s="26"/>
      <c r="R903" s="26"/>
      <c r="S903" s="30"/>
      <c r="T903" s="84"/>
      <c r="U903" s="84"/>
      <c r="V903" s="105"/>
      <c r="W903" s="106"/>
      <c r="X903" s="33"/>
      <c r="Y903" s="34"/>
      <c r="Z903" s="34"/>
      <c r="AA903" s="34"/>
      <c r="AB903" s="34"/>
      <c r="AC903" s="107"/>
      <c r="AD903" s="35"/>
      <c r="AE903" s="35"/>
      <c r="AF903" s="35"/>
      <c r="AG903" s="35"/>
      <c r="AH903" s="35"/>
      <c r="AI903" s="34"/>
      <c r="AJ903" s="35"/>
      <c r="AK903" s="35"/>
      <c r="AL903" s="34"/>
      <c r="AM903" s="34"/>
      <c r="AN903" s="46"/>
      <c r="AO903" s="48"/>
      <c r="AP903" s="48"/>
      <c r="AQ903" s="48"/>
      <c r="AR903" s="48"/>
      <c r="AS903" s="48"/>
      <c r="AT903" s="48"/>
      <c r="AU903" s="48"/>
      <c r="AV903" s="48"/>
      <c r="AW903" s="48"/>
      <c r="AX903" s="48"/>
      <c r="AY903" s="43"/>
      <c r="AZ903" s="48"/>
      <c r="BA903" s="48"/>
      <c r="BB903" s="48"/>
      <c r="BC903" s="43"/>
      <c r="BD903" s="43"/>
      <c r="BE903" s="44"/>
      <c r="BF903" s="48"/>
      <c r="BG903" s="43"/>
    </row>
    <row r="904">
      <c r="A904" s="98"/>
      <c r="B904" s="99"/>
      <c r="C904" s="99"/>
      <c r="D904" s="21"/>
      <c r="E904" s="22"/>
      <c r="F904" s="100"/>
      <c r="G904" s="101"/>
      <c r="H904" s="100"/>
      <c r="I904" s="102"/>
      <c r="J904" s="26"/>
      <c r="K904" s="103"/>
      <c r="L904" s="47"/>
      <c r="M904" s="30"/>
      <c r="N904" s="104"/>
      <c r="O904" s="104"/>
      <c r="P904" s="26"/>
      <c r="Q904" s="26"/>
      <c r="R904" s="26"/>
      <c r="S904" s="30"/>
      <c r="T904" s="84"/>
      <c r="U904" s="84"/>
      <c r="V904" s="105"/>
      <c r="W904" s="106"/>
      <c r="X904" s="33"/>
      <c r="Y904" s="34"/>
      <c r="Z904" s="34"/>
      <c r="AA904" s="34"/>
      <c r="AB904" s="34"/>
      <c r="AC904" s="107"/>
      <c r="AD904" s="35"/>
      <c r="AE904" s="35"/>
      <c r="AF904" s="35"/>
      <c r="AG904" s="35"/>
      <c r="AH904" s="35"/>
      <c r="AI904" s="34"/>
      <c r="AJ904" s="35"/>
      <c r="AK904" s="35"/>
      <c r="AL904" s="34"/>
      <c r="AM904" s="34"/>
      <c r="AN904" s="46"/>
      <c r="AO904" s="48"/>
      <c r="AP904" s="48"/>
      <c r="AQ904" s="48"/>
      <c r="AR904" s="48"/>
      <c r="AS904" s="48"/>
      <c r="AT904" s="48"/>
      <c r="AU904" s="48"/>
      <c r="AV904" s="48"/>
      <c r="AW904" s="48"/>
      <c r="AX904" s="48"/>
      <c r="AY904" s="43"/>
      <c r="AZ904" s="48"/>
      <c r="BA904" s="48"/>
      <c r="BB904" s="48"/>
      <c r="BC904" s="43"/>
      <c r="BD904" s="43"/>
      <c r="BE904" s="44"/>
      <c r="BF904" s="48"/>
      <c r="BG904" s="43"/>
    </row>
    <row r="905">
      <c r="A905" s="98"/>
      <c r="B905" s="99"/>
      <c r="C905" s="99"/>
      <c r="D905" s="21"/>
      <c r="E905" s="22"/>
      <c r="F905" s="100"/>
      <c r="G905" s="101"/>
      <c r="H905" s="100"/>
      <c r="I905" s="102"/>
      <c r="J905" s="26"/>
      <c r="K905" s="103"/>
      <c r="L905" s="47"/>
      <c r="M905" s="30"/>
      <c r="N905" s="104"/>
      <c r="O905" s="104"/>
      <c r="P905" s="26"/>
      <c r="Q905" s="26"/>
      <c r="R905" s="26"/>
      <c r="S905" s="30"/>
      <c r="T905" s="84"/>
      <c r="U905" s="84"/>
      <c r="V905" s="105"/>
      <c r="W905" s="106"/>
      <c r="X905" s="33"/>
      <c r="Y905" s="34"/>
      <c r="Z905" s="34"/>
      <c r="AA905" s="34"/>
      <c r="AB905" s="34"/>
      <c r="AC905" s="107"/>
      <c r="AD905" s="35"/>
      <c r="AE905" s="35"/>
      <c r="AF905" s="35"/>
      <c r="AG905" s="35"/>
      <c r="AH905" s="35"/>
      <c r="AI905" s="34"/>
      <c r="AJ905" s="35"/>
      <c r="AK905" s="35"/>
      <c r="AL905" s="34"/>
      <c r="AM905" s="34"/>
      <c r="AN905" s="46"/>
      <c r="AO905" s="48"/>
      <c r="AP905" s="48"/>
      <c r="AQ905" s="48"/>
      <c r="AR905" s="48"/>
      <c r="AS905" s="48"/>
      <c r="AT905" s="48"/>
      <c r="AU905" s="48"/>
      <c r="AV905" s="48"/>
      <c r="AW905" s="48"/>
      <c r="AX905" s="48"/>
      <c r="AY905" s="43"/>
      <c r="AZ905" s="48"/>
      <c r="BA905" s="48"/>
      <c r="BB905" s="48"/>
      <c r="BC905" s="43"/>
      <c r="BD905" s="43"/>
      <c r="BE905" s="44"/>
      <c r="BF905" s="48"/>
      <c r="BG905" s="43"/>
    </row>
    <row r="906">
      <c r="A906" s="98"/>
      <c r="B906" s="99"/>
      <c r="C906" s="99"/>
      <c r="D906" s="21"/>
      <c r="E906" s="22"/>
      <c r="F906" s="100"/>
      <c r="G906" s="101"/>
      <c r="H906" s="100"/>
      <c r="I906" s="102"/>
      <c r="J906" s="26"/>
      <c r="K906" s="103"/>
      <c r="L906" s="47"/>
      <c r="M906" s="30"/>
      <c r="N906" s="104"/>
      <c r="O906" s="104"/>
      <c r="P906" s="26"/>
      <c r="Q906" s="26"/>
      <c r="R906" s="26"/>
      <c r="S906" s="30"/>
      <c r="T906" s="84"/>
      <c r="U906" s="84"/>
      <c r="V906" s="105"/>
      <c r="W906" s="106"/>
      <c r="X906" s="33"/>
      <c r="Y906" s="34"/>
      <c r="Z906" s="34"/>
      <c r="AA906" s="34"/>
      <c r="AB906" s="34"/>
      <c r="AC906" s="107"/>
      <c r="AD906" s="35"/>
      <c r="AE906" s="35"/>
      <c r="AF906" s="35"/>
      <c r="AG906" s="35"/>
      <c r="AH906" s="35"/>
      <c r="AI906" s="34"/>
      <c r="AJ906" s="35"/>
      <c r="AK906" s="35"/>
      <c r="AL906" s="34"/>
      <c r="AM906" s="34"/>
      <c r="AN906" s="46"/>
      <c r="AO906" s="48"/>
      <c r="AP906" s="48"/>
      <c r="AQ906" s="48"/>
      <c r="AR906" s="48"/>
      <c r="AS906" s="48"/>
      <c r="AT906" s="48"/>
      <c r="AU906" s="48"/>
      <c r="AV906" s="48"/>
      <c r="AW906" s="48"/>
      <c r="AX906" s="48"/>
      <c r="AY906" s="43"/>
      <c r="AZ906" s="48"/>
      <c r="BA906" s="48"/>
      <c r="BB906" s="48"/>
      <c r="BC906" s="43"/>
      <c r="BD906" s="43"/>
      <c r="BE906" s="44"/>
      <c r="BF906" s="48"/>
      <c r="BG906" s="43"/>
    </row>
    <row r="907">
      <c r="A907" s="98"/>
      <c r="B907" s="99"/>
      <c r="C907" s="99"/>
      <c r="D907" s="21"/>
      <c r="E907" s="22"/>
      <c r="F907" s="100"/>
      <c r="G907" s="101"/>
      <c r="H907" s="100"/>
      <c r="I907" s="102"/>
      <c r="J907" s="26"/>
      <c r="K907" s="103"/>
      <c r="L907" s="47"/>
      <c r="M907" s="30"/>
      <c r="N907" s="104"/>
      <c r="O907" s="104"/>
      <c r="P907" s="26"/>
      <c r="Q907" s="26"/>
      <c r="R907" s="26"/>
      <c r="S907" s="30"/>
      <c r="T907" s="84"/>
      <c r="U907" s="84"/>
      <c r="V907" s="105"/>
      <c r="W907" s="106"/>
      <c r="X907" s="33"/>
      <c r="Y907" s="34"/>
      <c r="Z907" s="34"/>
      <c r="AA907" s="34"/>
      <c r="AB907" s="34"/>
      <c r="AC907" s="107"/>
      <c r="AD907" s="35"/>
      <c r="AE907" s="35"/>
      <c r="AF907" s="35"/>
      <c r="AG907" s="35"/>
      <c r="AH907" s="35"/>
      <c r="AI907" s="34"/>
      <c r="AJ907" s="35"/>
      <c r="AK907" s="35"/>
      <c r="AL907" s="34"/>
      <c r="AM907" s="34"/>
      <c r="AN907" s="46"/>
      <c r="AO907" s="48"/>
      <c r="AP907" s="48"/>
      <c r="AQ907" s="48"/>
      <c r="AR907" s="48"/>
      <c r="AS907" s="48"/>
      <c r="AT907" s="48"/>
      <c r="AU907" s="48"/>
      <c r="AV907" s="48"/>
      <c r="AW907" s="48"/>
      <c r="AX907" s="48"/>
      <c r="AY907" s="43"/>
      <c r="AZ907" s="48"/>
      <c r="BA907" s="48"/>
      <c r="BB907" s="48"/>
      <c r="BC907" s="43"/>
      <c r="BD907" s="43"/>
      <c r="BE907" s="44"/>
      <c r="BF907" s="48"/>
      <c r="BG907" s="43"/>
    </row>
    <row r="908">
      <c r="A908" s="98"/>
      <c r="B908" s="99"/>
      <c r="C908" s="99"/>
      <c r="D908" s="21"/>
      <c r="E908" s="22"/>
      <c r="F908" s="100"/>
      <c r="G908" s="101"/>
      <c r="H908" s="100"/>
      <c r="I908" s="102"/>
      <c r="J908" s="26"/>
      <c r="K908" s="103"/>
      <c r="L908" s="47"/>
      <c r="M908" s="30"/>
      <c r="N908" s="104"/>
      <c r="O908" s="104"/>
      <c r="P908" s="26"/>
      <c r="Q908" s="26"/>
      <c r="R908" s="26"/>
      <c r="S908" s="30"/>
      <c r="T908" s="84"/>
      <c r="U908" s="84"/>
      <c r="V908" s="105"/>
      <c r="W908" s="106"/>
      <c r="X908" s="33"/>
      <c r="Y908" s="34"/>
      <c r="Z908" s="34"/>
      <c r="AA908" s="34"/>
      <c r="AB908" s="34"/>
      <c r="AC908" s="107"/>
      <c r="AD908" s="35"/>
      <c r="AE908" s="35"/>
      <c r="AF908" s="35"/>
      <c r="AG908" s="35"/>
      <c r="AH908" s="35"/>
      <c r="AI908" s="34"/>
      <c r="AJ908" s="35"/>
      <c r="AK908" s="35"/>
      <c r="AL908" s="34"/>
      <c r="AM908" s="34"/>
      <c r="AN908" s="46"/>
      <c r="AO908" s="48"/>
      <c r="AP908" s="48"/>
      <c r="AQ908" s="48"/>
      <c r="AR908" s="48"/>
      <c r="AS908" s="48"/>
      <c r="AT908" s="48"/>
      <c r="AU908" s="48"/>
      <c r="AV908" s="48"/>
      <c r="AW908" s="48"/>
      <c r="AX908" s="48"/>
      <c r="AY908" s="43"/>
      <c r="AZ908" s="48"/>
      <c r="BA908" s="48"/>
      <c r="BB908" s="48"/>
      <c r="BC908" s="43"/>
      <c r="BD908" s="43"/>
      <c r="BE908" s="44"/>
      <c r="BF908" s="48"/>
      <c r="BG908" s="43"/>
    </row>
    <row r="909">
      <c r="A909" s="98"/>
      <c r="B909" s="99"/>
      <c r="C909" s="99"/>
      <c r="D909" s="21"/>
      <c r="E909" s="22"/>
      <c r="F909" s="100"/>
      <c r="G909" s="101"/>
      <c r="H909" s="100"/>
      <c r="I909" s="102"/>
      <c r="J909" s="26"/>
      <c r="K909" s="103"/>
      <c r="L909" s="47"/>
      <c r="M909" s="30"/>
      <c r="N909" s="104"/>
      <c r="O909" s="104"/>
      <c r="P909" s="26"/>
      <c r="Q909" s="26"/>
      <c r="R909" s="26"/>
      <c r="S909" s="30"/>
      <c r="T909" s="84"/>
      <c r="U909" s="84"/>
      <c r="V909" s="105"/>
      <c r="W909" s="106"/>
      <c r="X909" s="33"/>
      <c r="Y909" s="34"/>
      <c r="Z909" s="34"/>
      <c r="AA909" s="34"/>
      <c r="AB909" s="34"/>
      <c r="AC909" s="107"/>
      <c r="AD909" s="35"/>
      <c r="AE909" s="35"/>
      <c r="AF909" s="35"/>
      <c r="AG909" s="35"/>
      <c r="AH909" s="35"/>
      <c r="AI909" s="34"/>
      <c r="AJ909" s="35"/>
      <c r="AK909" s="35"/>
      <c r="AL909" s="34"/>
      <c r="AM909" s="34"/>
      <c r="AN909" s="46"/>
      <c r="AO909" s="48"/>
      <c r="AP909" s="48"/>
      <c r="AQ909" s="48"/>
      <c r="AR909" s="48"/>
      <c r="AS909" s="48"/>
      <c r="AT909" s="48"/>
      <c r="AU909" s="48"/>
      <c r="AV909" s="48"/>
      <c r="AW909" s="48"/>
      <c r="AX909" s="48"/>
      <c r="AY909" s="43"/>
      <c r="AZ909" s="48"/>
      <c r="BA909" s="48"/>
      <c r="BB909" s="48"/>
      <c r="BC909" s="43"/>
      <c r="BD909" s="43"/>
      <c r="BE909" s="44"/>
      <c r="BF909" s="48"/>
      <c r="BG909" s="43"/>
    </row>
    <row r="910">
      <c r="A910" s="98"/>
      <c r="B910" s="99"/>
      <c r="C910" s="99"/>
      <c r="D910" s="21"/>
      <c r="E910" s="22"/>
      <c r="F910" s="100"/>
      <c r="G910" s="101"/>
      <c r="H910" s="100"/>
      <c r="I910" s="102"/>
      <c r="J910" s="26"/>
      <c r="K910" s="103"/>
      <c r="L910" s="47"/>
      <c r="M910" s="30"/>
      <c r="N910" s="104"/>
      <c r="O910" s="104"/>
      <c r="P910" s="26"/>
      <c r="Q910" s="26"/>
      <c r="R910" s="26"/>
      <c r="S910" s="30"/>
      <c r="T910" s="84"/>
      <c r="U910" s="84"/>
      <c r="V910" s="105"/>
      <c r="W910" s="106"/>
      <c r="X910" s="33"/>
      <c r="Y910" s="34"/>
      <c r="Z910" s="34"/>
      <c r="AA910" s="34"/>
      <c r="AB910" s="34"/>
      <c r="AC910" s="107"/>
      <c r="AD910" s="35"/>
      <c r="AE910" s="35"/>
      <c r="AF910" s="35"/>
      <c r="AG910" s="35"/>
      <c r="AH910" s="35"/>
      <c r="AI910" s="34"/>
      <c r="AJ910" s="35"/>
      <c r="AK910" s="35"/>
      <c r="AL910" s="34"/>
      <c r="AM910" s="34"/>
      <c r="AN910" s="46"/>
      <c r="AO910" s="48"/>
      <c r="AP910" s="48"/>
      <c r="AQ910" s="48"/>
      <c r="AR910" s="48"/>
      <c r="AS910" s="48"/>
      <c r="AT910" s="48"/>
      <c r="AU910" s="48"/>
      <c r="AV910" s="48"/>
      <c r="AW910" s="48"/>
      <c r="AX910" s="48"/>
      <c r="AY910" s="43"/>
      <c r="AZ910" s="48"/>
      <c r="BA910" s="48"/>
      <c r="BB910" s="48"/>
      <c r="BC910" s="43"/>
      <c r="BD910" s="43"/>
      <c r="BE910" s="44"/>
      <c r="BF910" s="48"/>
      <c r="BG910" s="43"/>
    </row>
    <row r="911">
      <c r="A911" s="98"/>
      <c r="B911" s="99"/>
      <c r="C911" s="99"/>
      <c r="D911" s="21"/>
      <c r="E911" s="22"/>
      <c r="F911" s="100"/>
      <c r="G911" s="101"/>
      <c r="H911" s="100"/>
      <c r="I911" s="102"/>
      <c r="J911" s="26"/>
      <c r="K911" s="103"/>
      <c r="L911" s="47"/>
      <c r="M911" s="30"/>
      <c r="N911" s="104"/>
      <c r="O911" s="104"/>
      <c r="P911" s="26"/>
      <c r="Q911" s="26"/>
      <c r="R911" s="26"/>
      <c r="S911" s="30"/>
      <c r="T911" s="84"/>
      <c r="U911" s="84"/>
      <c r="V911" s="105"/>
      <c r="W911" s="106"/>
      <c r="X911" s="33"/>
      <c r="Y911" s="34"/>
      <c r="Z911" s="34"/>
      <c r="AA911" s="34"/>
      <c r="AB911" s="34"/>
      <c r="AC911" s="107"/>
      <c r="AD911" s="35"/>
      <c r="AE911" s="35"/>
      <c r="AF911" s="35"/>
      <c r="AG911" s="35"/>
      <c r="AH911" s="35"/>
      <c r="AI911" s="34"/>
      <c r="AJ911" s="35"/>
      <c r="AK911" s="35"/>
      <c r="AL911" s="34"/>
      <c r="AM911" s="34"/>
      <c r="AN911" s="46"/>
      <c r="AO911" s="48"/>
      <c r="AP911" s="48"/>
      <c r="AQ911" s="48"/>
      <c r="AR911" s="48"/>
      <c r="AS911" s="48"/>
      <c r="AT911" s="48"/>
      <c r="AU911" s="48"/>
      <c r="AV911" s="48"/>
      <c r="AW911" s="48"/>
      <c r="AX911" s="48"/>
      <c r="AY911" s="43"/>
      <c r="AZ911" s="48"/>
      <c r="BA911" s="48"/>
      <c r="BB911" s="48"/>
      <c r="BC911" s="43"/>
      <c r="BD911" s="43"/>
      <c r="BE911" s="44"/>
      <c r="BF911" s="48"/>
      <c r="BG911" s="43"/>
    </row>
    <row r="912">
      <c r="A912" s="98"/>
      <c r="B912" s="99"/>
      <c r="C912" s="99"/>
      <c r="D912" s="21"/>
      <c r="E912" s="22"/>
      <c r="F912" s="100"/>
      <c r="G912" s="101"/>
      <c r="H912" s="100"/>
      <c r="I912" s="102"/>
      <c r="J912" s="26"/>
      <c r="K912" s="103"/>
      <c r="L912" s="47"/>
      <c r="M912" s="30"/>
      <c r="N912" s="104"/>
      <c r="O912" s="104"/>
      <c r="P912" s="26"/>
      <c r="Q912" s="26"/>
      <c r="R912" s="26"/>
      <c r="S912" s="30"/>
      <c r="T912" s="84"/>
      <c r="U912" s="84"/>
      <c r="V912" s="105"/>
      <c r="W912" s="106"/>
      <c r="X912" s="33"/>
      <c r="Y912" s="34"/>
      <c r="Z912" s="34"/>
      <c r="AA912" s="34"/>
      <c r="AB912" s="34"/>
      <c r="AC912" s="107"/>
      <c r="AD912" s="35"/>
      <c r="AE912" s="35"/>
      <c r="AF912" s="35"/>
      <c r="AG912" s="35"/>
      <c r="AH912" s="35"/>
      <c r="AI912" s="34"/>
      <c r="AJ912" s="35"/>
      <c r="AK912" s="35"/>
      <c r="AL912" s="34"/>
      <c r="AM912" s="34"/>
      <c r="AN912" s="46"/>
      <c r="AO912" s="48"/>
      <c r="AP912" s="48"/>
      <c r="AQ912" s="48"/>
      <c r="AR912" s="48"/>
      <c r="AS912" s="48"/>
      <c r="AT912" s="48"/>
      <c r="AU912" s="48"/>
      <c r="AV912" s="48"/>
      <c r="AW912" s="48"/>
      <c r="AX912" s="48"/>
      <c r="AY912" s="43"/>
      <c r="AZ912" s="48"/>
      <c r="BA912" s="48"/>
      <c r="BB912" s="48"/>
      <c r="BC912" s="43"/>
      <c r="BD912" s="43"/>
      <c r="BE912" s="44"/>
      <c r="BF912" s="48"/>
      <c r="BG912" s="43"/>
    </row>
    <row r="913">
      <c r="A913" s="98"/>
      <c r="B913" s="99"/>
      <c r="C913" s="99"/>
      <c r="D913" s="21"/>
      <c r="E913" s="22"/>
      <c r="F913" s="100"/>
      <c r="G913" s="101"/>
      <c r="H913" s="100"/>
      <c r="I913" s="102"/>
      <c r="J913" s="26"/>
      <c r="K913" s="103"/>
      <c r="L913" s="47"/>
      <c r="M913" s="30"/>
      <c r="N913" s="104"/>
      <c r="O913" s="104"/>
      <c r="P913" s="26"/>
      <c r="Q913" s="26"/>
      <c r="R913" s="26"/>
      <c r="S913" s="30"/>
      <c r="T913" s="84"/>
      <c r="U913" s="84"/>
      <c r="V913" s="105"/>
      <c r="W913" s="106"/>
      <c r="X913" s="33"/>
      <c r="Y913" s="34"/>
      <c r="Z913" s="34"/>
      <c r="AA913" s="34"/>
      <c r="AB913" s="34"/>
      <c r="AC913" s="107"/>
      <c r="AD913" s="35"/>
      <c r="AE913" s="35"/>
      <c r="AF913" s="35"/>
      <c r="AG913" s="35"/>
      <c r="AH913" s="35"/>
      <c r="AI913" s="34"/>
      <c r="AJ913" s="35"/>
      <c r="AK913" s="35"/>
      <c r="AL913" s="34"/>
      <c r="AM913" s="34"/>
      <c r="AN913" s="46"/>
      <c r="AO913" s="48"/>
      <c r="AP913" s="48"/>
      <c r="AQ913" s="48"/>
      <c r="AR913" s="48"/>
      <c r="AS913" s="48"/>
      <c r="AT913" s="48"/>
      <c r="AU913" s="48"/>
      <c r="AV913" s="48"/>
      <c r="AW913" s="48"/>
      <c r="AX913" s="48"/>
      <c r="AY913" s="43"/>
      <c r="AZ913" s="48"/>
      <c r="BA913" s="48"/>
      <c r="BB913" s="48"/>
      <c r="BC913" s="43"/>
      <c r="BD913" s="43"/>
      <c r="BE913" s="44"/>
      <c r="BF913" s="48"/>
      <c r="BG913" s="43"/>
    </row>
    <row r="914">
      <c r="A914" s="98"/>
      <c r="B914" s="99"/>
      <c r="C914" s="99"/>
      <c r="D914" s="21"/>
      <c r="E914" s="22"/>
      <c r="F914" s="100"/>
      <c r="G914" s="101"/>
      <c r="H914" s="100"/>
      <c r="I914" s="102"/>
      <c r="J914" s="26"/>
      <c r="K914" s="103"/>
      <c r="L914" s="47"/>
      <c r="M914" s="30"/>
      <c r="N914" s="104"/>
      <c r="O914" s="104"/>
      <c r="P914" s="26"/>
      <c r="Q914" s="26"/>
      <c r="R914" s="26"/>
      <c r="S914" s="30"/>
      <c r="T914" s="84"/>
      <c r="U914" s="84"/>
      <c r="V914" s="105"/>
      <c r="W914" s="106"/>
      <c r="X914" s="33"/>
      <c r="Y914" s="34"/>
      <c r="Z914" s="34"/>
      <c r="AA914" s="34"/>
      <c r="AB914" s="34"/>
      <c r="AC914" s="107"/>
      <c r="AD914" s="35"/>
      <c r="AE914" s="35"/>
      <c r="AF914" s="35"/>
      <c r="AG914" s="35"/>
      <c r="AH914" s="35"/>
      <c r="AI914" s="34"/>
      <c r="AJ914" s="35"/>
      <c r="AK914" s="35"/>
      <c r="AL914" s="34"/>
      <c r="AM914" s="34"/>
      <c r="AN914" s="46"/>
      <c r="AO914" s="48"/>
      <c r="AP914" s="48"/>
      <c r="AQ914" s="48"/>
      <c r="AR914" s="48"/>
      <c r="AS914" s="48"/>
      <c r="AT914" s="48"/>
      <c r="AU914" s="48"/>
      <c r="AV914" s="48"/>
      <c r="AW914" s="48"/>
      <c r="AX914" s="48"/>
      <c r="AY914" s="43"/>
      <c r="AZ914" s="48"/>
      <c r="BA914" s="48"/>
      <c r="BB914" s="48"/>
      <c r="BC914" s="43"/>
      <c r="BD914" s="43"/>
      <c r="BE914" s="44"/>
      <c r="BF914" s="48"/>
      <c r="BG914" s="43"/>
    </row>
    <row r="915">
      <c r="A915" s="98"/>
      <c r="B915" s="99"/>
      <c r="C915" s="99"/>
      <c r="D915" s="21"/>
      <c r="E915" s="22"/>
      <c r="F915" s="100"/>
      <c r="G915" s="101"/>
      <c r="H915" s="100"/>
      <c r="I915" s="102"/>
      <c r="J915" s="26"/>
      <c r="K915" s="103"/>
      <c r="L915" s="47"/>
      <c r="M915" s="30"/>
      <c r="N915" s="104"/>
      <c r="O915" s="104"/>
      <c r="P915" s="26"/>
      <c r="Q915" s="26"/>
      <c r="R915" s="26"/>
      <c r="S915" s="30"/>
      <c r="T915" s="84"/>
      <c r="U915" s="84"/>
      <c r="V915" s="105"/>
      <c r="W915" s="106"/>
      <c r="X915" s="33"/>
      <c r="Y915" s="34"/>
      <c r="Z915" s="34"/>
      <c r="AA915" s="34"/>
      <c r="AB915" s="34"/>
      <c r="AC915" s="107"/>
      <c r="AD915" s="35"/>
      <c r="AE915" s="35"/>
      <c r="AF915" s="35"/>
      <c r="AG915" s="35"/>
      <c r="AH915" s="35"/>
      <c r="AI915" s="34"/>
      <c r="AJ915" s="35"/>
      <c r="AK915" s="35"/>
      <c r="AL915" s="34"/>
      <c r="AM915" s="34"/>
      <c r="AN915" s="46"/>
      <c r="AO915" s="48"/>
      <c r="AP915" s="48"/>
      <c r="AQ915" s="48"/>
      <c r="AR915" s="48"/>
      <c r="AS915" s="48"/>
      <c r="AT915" s="48"/>
      <c r="AU915" s="48"/>
      <c r="AV915" s="48"/>
      <c r="AW915" s="48"/>
      <c r="AX915" s="48"/>
      <c r="AY915" s="43"/>
      <c r="AZ915" s="48"/>
      <c r="BA915" s="48"/>
      <c r="BB915" s="48"/>
      <c r="BC915" s="43"/>
      <c r="BD915" s="43"/>
      <c r="BE915" s="44"/>
      <c r="BF915" s="48"/>
      <c r="BG915" s="43"/>
    </row>
    <row r="916">
      <c r="A916" s="98"/>
      <c r="B916" s="99"/>
      <c r="C916" s="99"/>
      <c r="D916" s="21"/>
      <c r="E916" s="22"/>
      <c r="F916" s="100"/>
      <c r="G916" s="101"/>
      <c r="H916" s="100"/>
      <c r="I916" s="102"/>
      <c r="J916" s="26"/>
      <c r="K916" s="103"/>
      <c r="L916" s="47"/>
      <c r="M916" s="30"/>
      <c r="N916" s="104"/>
      <c r="O916" s="104"/>
      <c r="P916" s="26"/>
      <c r="Q916" s="26"/>
      <c r="R916" s="26"/>
      <c r="S916" s="30"/>
      <c r="T916" s="84"/>
      <c r="U916" s="84"/>
      <c r="V916" s="105"/>
      <c r="W916" s="106"/>
      <c r="X916" s="33"/>
      <c r="Y916" s="34"/>
      <c r="Z916" s="34"/>
      <c r="AA916" s="34"/>
      <c r="AB916" s="34"/>
      <c r="AC916" s="107"/>
      <c r="AD916" s="35"/>
      <c r="AE916" s="35"/>
      <c r="AF916" s="35"/>
      <c r="AG916" s="35"/>
      <c r="AH916" s="35"/>
      <c r="AI916" s="34"/>
      <c r="AJ916" s="35"/>
      <c r="AK916" s="35"/>
      <c r="AL916" s="34"/>
      <c r="AM916" s="34"/>
      <c r="AN916" s="46"/>
      <c r="AO916" s="48"/>
      <c r="AP916" s="48"/>
      <c r="AQ916" s="48"/>
      <c r="AR916" s="48"/>
      <c r="AS916" s="48"/>
      <c r="AT916" s="48"/>
      <c r="AU916" s="48"/>
      <c r="AV916" s="48"/>
      <c r="AW916" s="48"/>
      <c r="AX916" s="48"/>
      <c r="AY916" s="43"/>
      <c r="AZ916" s="48"/>
      <c r="BA916" s="48"/>
      <c r="BB916" s="48"/>
      <c r="BC916" s="43"/>
      <c r="BD916" s="43"/>
      <c r="BE916" s="44"/>
      <c r="BF916" s="48"/>
      <c r="BG916" s="43"/>
    </row>
    <row r="917">
      <c r="A917" s="98"/>
      <c r="B917" s="99"/>
      <c r="C917" s="99"/>
      <c r="D917" s="21"/>
      <c r="E917" s="22"/>
      <c r="F917" s="100"/>
      <c r="G917" s="101"/>
      <c r="H917" s="100"/>
      <c r="I917" s="102"/>
      <c r="J917" s="26"/>
      <c r="K917" s="103"/>
      <c r="L917" s="47"/>
      <c r="M917" s="30"/>
      <c r="N917" s="104"/>
      <c r="O917" s="104"/>
      <c r="P917" s="26"/>
      <c r="Q917" s="26"/>
      <c r="R917" s="26"/>
      <c r="S917" s="30"/>
      <c r="T917" s="84"/>
      <c r="U917" s="84"/>
      <c r="V917" s="105"/>
      <c r="W917" s="106"/>
      <c r="X917" s="33"/>
      <c r="Y917" s="34"/>
      <c r="Z917" s="34"/>
      <c r="AA917" s="34"/>
      <c r="AB917" s="34"/>
      <c r="AC917" s="107"/>
      <c r="AD917" s="35"/>
      <c r="AE917" s="35"/>
      <c r="AF917" s="35"/>
      <c r="AG917" s="35"/>
      <c r="AH917" s="35"/>
      <c r="AI917" s="34"/>
      <c r="AJ917" s="35"/>
      <c r="AK917" s="35"/>
      <c r="AL917" s="34"/>
      <c r="AM917" s="34"/>
      <c r="AN917" s="46"/>
      <c r="AO917" s="48"/>
      <c r="AP917" s="48"/>
      <c r="AQ917" s="48"/>
      <c r="AR917" s="48"/>
      <c r="AS917" s="48"/>
      <c r="AT917" s="48"/>
      <c r="AU917" s="48"/>
      <c r="AV917" s="48"/>
      <c r="AW917" s="48"/>
      <c r="AX917" s="48"/>
      <c r="AY917" s="43"/>
      <c r="AZ917" s="48"/>
      <c r="BA917" s="48"/>
      <c r="BB917" s="48"/>
      <c r="BC917" s="43"/>
      <c r="BD917" s="43"/>
      <c r="BE917" s="44"/>
      <c r="BF917" s="48"/>
      <c r="BG917" s="43"/>
    </row>
    <row r="918">
      <c r="A918" s="98"/>
      <c r="B918" s="99"/>
      <c r="C918" s="99"/>
      <c r="D918" s="21"/>
      <c r="E918" s="22"/>
      <c r="F918" s="100"/>
      <c r="G918" s="101"/>
      <c r="H918" s="100"/>
      <c r="I918" s="102"/>
      <c r="J918" s="26"/>
      <c r="K918" s="103"/>
      <c r="L918" s="47"/>
      <c r="M918" s="30"/>
      <c r="N918" s="104"/>
      <c r="O918" s="104"/>
      <c r="P918" s="26"/>
      <c r="Q918" s="26"/>
      <c r="R918" s="26"/>
      <c r="S918" s="30"/>
      <c r="T918" s="84"/>
      <c r="U918" s="84"/>
      <c r="V918" s="105"/>
      <c r="W918" s="106"/>
      <c r="X918" s="33"/>
      <c r="Y918" s="34"/>
      <c r="Z918" s="34"/>
      <c r="AA918" s="34"/>
      <c r="AB918" s="34"/>
      <c r="AC918" s="107"/>
      <c r="AD918" s="35"/>
      <c r="AE918" s="35"/>
      <c r="AF918" s="35"/>
      <c r="AG918" s="35"/>
      <c r="AH918" s="35"/>
      <c r="AI918" s="34"/>
      <c r="AJ918" s="35"/>
      <c r="AK918" s="35"/>
      <c r="AL918" s="34"/>
      <c r="AM918" s="34"/>
      <c r="AN918" s="46"/>
      <c r="AO918" s="48"/>
      <c r="AP918" s="48"/>
      <c r="AQ918" s="48"/>
      <c r="AR918" s="48"/>
      <c r="AS918" s="48"/>
      <c r="AT918" s="48"/>
      <c r="AU918" s="48"/>
      <c r="AV918" s="48"/>
      <c r="AW918" s="48"/>
      <c r="AX918" s="48"/>
      <c r="AY918" s="43"/>
      <c r="AZ918" s="48"/>
      <c r="BA918" s="48"/>
      <c r="BB918" s="48"/>
      <c r="BC918" s="43"/>
      <c r="BD918" s="43"/>
      <c r="BE918" s="44"/>
      <c r="BF918" s="48"/>
      <c r="BG918" s="43"/>
    </row>
    <row r="919">
      <c r="A919" s="98"/>
      <c r="B919" s="99"/>
      <c r="C919" s="99"/>
      <c r="D919" s="21"/>
      <c r="E919" s="22"/>
      <c r="F919" s="100"/>
      <c r="G919" s="101"/>
      <c r="H919" s="100"/>
      <c r="I919" s="102"/>
      <c r="J919" s="26"/>
      <c r="K919" s="103"/>
      <c r="L919" s="47"/>
      <c r="M919" s="30"/>
      <c r="N919" s="104"/>
      <c r="O919" s="104"/>
      <c r="P919" s="26"/>
      <c r="Q919" s="26"/>
      <c r="R919" s="26"/>
      <c r="S919" s="30"/>
      <c r="T919" s="84"/>
      <c r="U919" s="84"/>
      <c r="V919" s="105"/>
      <c r="W919" s="106"/>
      <c r="X919" s="33"/>
      <c r="Y919" s="34"/>
      <c r="Z919" s="34"/>
      <c r="AA919" s="34"/>
      <c r="AB919" s="34"/>
      <c r="AC919" s="107"/>
      <c r="AD919" s="35"/>
      <c r="AE919" s="35"/>
      <c r="AF919" s="35"/>
      <c r="AG919" s="35"/>
      <c r="AH919" s="35"/>
      <c r="AI919" s="34"/>
      <c r="AJ919" s="35"/>
      <c r="AK919" s="35"/>
      <c r="AL919" s="34"/>
      <c r="AM919" s="34"/>
      <c r="AN919" s="46"/>
      <c r="AO919" s="48"/>
      <c r="AP919" s="48"/>
      <c r="AQ919" s="48"/>
      <c r="AR919" s="48"/>
      <c r="AS919" s="48"/>
      <c r="AT919" s="48"/>
      <c r="AU919" s="48"/>
      <c r="AV919" s="48"/>
      <c r="AW919" s="48"/>
      <c r="AX919" s="48"/>
      <c r="AY919" s="43"/>
      <c r="AZ919" s="48"/>
      <c r="BA919" s="48"/>
      <c r="BB919" s="48"/>
      <c r="BC919" s="43"/>
      <c r="BD919" s="43"/>
      <c r="BE919" s="44"/>
      <c r="BF919" s="48"/>
      <c r="BG919" s="43"/>
    </row>
    <row r="920">
      <c r="A920" s="98"/>
      <c r="B920" s="99"/>
      <c r="C920" s="99"/>
      <c r="D920" s="21"/>
      <c r="E920" s="22"/>
      <c r="F920" s="100"/>
      <c r="G920" s="101"/>
      <c r="H920" s="100"/>
      <c r="I920" s="102"/>
      <c r="J920" s="26"/>
      <c r="K920" s="103"/>
      <c r="L920" s="47"/>
      <c r="M920" s="30"/>
      <c r="N920" s="104"/>
      <c r="O920" s="104"/>
      <c r="P920" s="26"/>
      <c r="Q920" s="26"/>
      <c r="R920" s="26"/>
      <c r="S920" s="30"/>
      <c r="T920" s="84"/>
      <c r="U920" s="84"/>
      <c r="V920" s="105"/>
      <c r="W920" s="106"/>
      <c r="X920" s="33"/>
      <c r="Y920" s="34"/>
      <c r="Z920" s="34"/>
      <c r="AA920" s="34"/>
      <c r="AB920" s="34"/>
      <c r="AC920" s="107"/>
      <c r="AD920" s="35"/>
      <c r="AE920" s="35"/>
      <c r="AF920" s="35"/>
      <c r="AG920" s="35"/>
      <c r="AH920" s="35"/>
      <c r="AI920" s="34"/>
      <c r="AJ920" s="35"/>
      <c r="AK920" s="35"/>
      <c r="AL920" s="34"/>
      <c r="AM920" s="34"/>
      <c r="AN920" s="46"/>
      <c r="AO920" s="48"/>
      <c r="AP920" s="48"/>
      <c r="AQ920" s="48"/>
      <c r="AR920" s="48"/>
      <c r="AS920" s="48"/>
      <c r="AT920" s="48"/>
      <c r="AU920" s="48"/>
      <c r="AV920" s="48"/>
      <c r="AW920" s="48"/>
      <c r="AX920" s="48"/>
      <c r="AY920" s="43"/>
      <c r="AZ920" s="48"/>
      <c r="BA920" s="48"/>
      <c r="BB920" s="48"/>
      <c r="BC920" s="43"/>
      <c r="BD920" s="43"/>
      <c r="BE920" s="44"/>
      <c r="BF920" s="48"/>
      <c r="BG920" s="43"/>
    </row>
    <row r="921">
      <c r="A921" s="98"/>
      <c r="B921" s="99"/>
      <c r="C921" s="99"/>
      <c r="D921" s="21"/>
      <c r="E921" s="22"/>
      <c r="F921" s="100"/>
      <c r="G921" s="101"/>
      <c r="H921" s="100"/>
      <c r="I921" s="102"/>
      <c r="J921" s="26"/>
      <c r="K921" s="103"/>
      <c r="L921" s="47"/>
      <c r="M921" s="30"/>
      <c r="N921" s="104"/>
      <c r="O921" s="104"/>
      <c r="P921" s="26"/>
      <c r="Q921" s="26"/>
      <c r="R921" s="26"/>
      <c r="S921" s="30"/>
      <c r="T921" s="84"/>
      <c r="U921" s="84"/>
      <c r="V921" s="105"/>
      <c r="W921" s="106"/>
      <c r="X921" s="33"/>
      <c r="Y921" s="34"/>
      <c r="Z921" s="34"/>
      <c r="AA921" s="34"/>
      <c r="AB921" s="34"/>
      <c r="AC921" s="107"/>
      <c r="AD921" s="35"/>
      <c r="AE921" s="35"/>
      <c r="AF921" s="35"/>
      <c r="AG921" s="35"/>
      <c r="AH921" s="35"/>
      <c r="AI921" s="34"/>
      <c r="AJ921" s="35"/>
      <c r="AK921" s="35"/>
      <c r="AL921" s="34"/>
      <c r="AM921" s="34"/>
      <c r="AN921" s="46"/>
      <c r="AO921" s="48"/>
      <c r="AP921" s="48"/>
      <c r="AQ921" s="48"/>
      <c r="AR921" s="48"/>
      <c r="AS921" s="48"/>
      <c r="AT921" s="48"/>
      <c r="AU921" s="48"/>
      <c r="AV921" s="48"/>
      <c r="AW921" s="48"/>
      <c r="AX921" s="48"/>
      <c r="AY921" s="43"/>
      <c r="AZ921" s="48"/>
      <c r="BA921" s="48"/>
      <c r="BB921" s="48"/>
      <c r="BC921" s="43"/>
      <c r="BD921" s="43"/>
      <c r="BE921" s="44"/>
      <c r="BF921" s="48"/>
      <c r="BG921" s="43"/>
    </row>
    <row r="922">
      <c r="A922" s="98"/>
      <c r="B922" s="99"/>
      <c r="C922" s="99"/>
      <c r="D922" s="21"/>
      <c r="E922" s="22"/>
      <c r="F922" s="100"/>
      <c r="G922" s="101"/>
      <c r="H922" s="100"/>
      <c r="I922" s="102"/>
      <c r="J922" s="26"/>
      <c r="K922" s="103"/>
      <c r="L922" s="47"/>
      <c r="M922" s="30"/>
      <c r="N922" s="104"/>
      <c r="O922" s="104"/>
      <c r="P922" s="26"/>
      <c r="Q922" s="26"/>
      <c r="R922" s="26"/>
      <c r="S922" s="30"/>
      <c r="T922" s="84"/>
      <c r="U922" s="84"/>
      <c r="V922" s="105"/>
      <c r="W922" s="106"/>
      <c r="X922" s="33"/>
      <c r="Y922" s="34"/>
      <c r="Z922" s="34"/>
      <c r="AA922" s="34"/>
      <c r="AB922" s="34"/>
      <c r="AC922" s="107"/>
      <c r="AD922" s="35"/>
      <c r="AE922" s="35"/>
      <c r="AF922" s="35"/>
      <c r="AG922" s="35"/>
      <c r="AH922" s="35"/>
      <c r="AI922" s="34"/>
      <c r="AJ922" s="35"/>
      <c r="AK922" s="35"/>
      <c r="AL922" s="34"/>
      <c r="AM922" s="34"/>
      <c r="AN922" s="46"/>
      <c r="AO922" s="48"/>
      <c r="AP922" s="48"/>
      <c r="AQ922" s="48"/>
      <c r="AR922" s="48"/>
      <c r="AS922" s="48"/>
      <c r="AT922" s="48"/>
      <c r="AU922" s="48"/>
      <c r="AV922" s="48"/>
      <c r="AW922" s="48"/>
      <c r="AX922" s="48"/>
      <c r="AY922" s="43"/>
      <c r="AZ922" s="48"/>
      <c r="BA922" s="48"/>
      <c r="BB922" s="48"/>
      <c r="BC922" s="43"/>
      <c r="BD922" s="43"/>
      <c r="BE922" s="44"/>
      <c r="BF922" s="48"/>
      <c r="BG922" s="43"/>
    </row>
    <row r="923">
      <c r="A923" s="98"/>
      <c r="B923" s="99"/>
      <c r="C923" s="99"/>
      <c r="D923" s="21"/>
      <c r="E923" s="22"/>
      <c r="F923" s="100"/>
      <c r="G923" s="101"/>
      <c r="H923" s="100"/>
      <c r="I923" s="102"/>
      <c r="J923" s="26"/>
      <c r="K923" s="103"/>
      <c r="L923" s="47"/>
      <c r="M923" s="30"/>
      <c r="N923" s="104"/>
      <c r="O923" s="104"/>
      <c r="P923" s="26"/>
      <c r="Q923" s="26"/>
      <c r="R923" s="26"/>
      <c r="S923" s="30"/>
      <c r="T923" s="84"/>
      <c r="U923" s="84"/>
      <c r="V923" s="105"/>
      <c r="W923" s="106"/>
      <c r="X923" s="33"/>
      <c r="Y923" s="34"/>
      <c r="Z923" s="34"/>
      <c r="AA923" s="34"/>
      <c r="AB923" s="34"/>
      <c r="AC923" s="107"/>
      <c r="AD923" s="35"/>
      <c r="AE923" s="35"/>
      <c r="AF923" s="35"/>
      <c r="AG923" s="35"/>
      <c r="AH923" s="35"/>
      <c r="AI923" s="34"/>
      <c r="AJ923" s="35"/>
      <c r="AK923" s="35"/>
      <c r="AL923" s="34"/>
      <c r="AM923" s="34"/>
      <c r="AN923" s="46"/>
      <c r="AO923" s="48"/>
      <c r="AP923" s="48"/>
      <c r="AQ923" s="48"/>
      <c r="AR923" s="48"/>
      <c r="AS923" s="48"/>
      <c r="AT923" s="48"/>
      <c r="AU923" s="48"/>
      <c r="AV923" s="48"/>
      <c r="AW923" s="48"/>
      <c r="AX923" s="48"/>
      <c r="AY923" s="43"/>
      <c r="AZ923" s="48"/>
      <c r="BA923" s="48"/>
      <c r="BB923" s="48"/>
      <c r="BC923" s="43"/>
      <c r="BD923" s="43"/>
      <c r="BE923" s="44"/>
      <c r="BF923" s="48"/>
      <c r="BG923" s="43"/>
    </row>
    <row r="924">
      <c r="A924" s="98"/>
      <c r="B924" s="99"/>
      <c r="C924" s="99"/>
      <c r="D924" s="21"/>
      <c r="E924" s="22"/>
      <c r="F924" s="100"/>
      <c r="G924" s="101"/>
      <c r="H924" s="100"/>
      <c r="I924" s="102"/>
      <c r="J924" s="26"/>
      <c r="K924" s="103"/>
      <c r="L924" s="47"/>
      <c r="M924" s="30"/>
      <c r="N924" s="104"/>
      <c r="O924" s="104"/>
      <c r="P924" s="26"/>
      <c r="Q924" s="26"/>
      <c r="R924" s="26"/>
      <c r="S924" s="30"/>
      <c r="T924" s="84"/>
      <c r="U924" s="84"/>
      <c r="V924" s="105"/>
      <c r="W924" s="106"/>
      <c r="X924" s="33"/>
      <c r="Y924" s="34"/>
      <c r="Z924" s="34"/>
      <c r="AA924" s="34"/>
      <c r="AB924" s="34"/>
      <c r="AC924" s="107"/>
      <c r="AD924" s="35"/>
      <c r="AE924" s="35"/>
      <c r="AF924" s="35"/>
      <c r="AG924" s="35"/>
      <c r="AH924" s="35"/>
      <c r="AI924" s="34"/>
      <c r="AJ924" s="35"/>
      <c r="AK924" s="35"/>
      <c r="AL924" s="34"/>
      <c r="AM924" s="34"/>
      <c r="AN924" s="46"/>
      <c r="AO924" s="48"/>
      <c r="AP924" s="48"/>
      <c r="AQ924" s="48"/>
      <c r="AR924" s="48"/>
      <c r="AS924" s="48"/>
      <c r="AT924" s="48"/>
      <c r="AU924" s="48"/>
      <c r="AV924" s="48"/>
      <c r="AW924" s="48"/>
      <c r="AX924" s="48"/>
      <c r="AY924" s="43"/>
      <c r="AZ924" s="48"/>
      <c r="BA924" s="48"/>
      <c r="BB924" s="48"/>
      <c r="BC924" s="43"/>
      <c r="BD924" s="43"/>
      <c r="BE924" s="44"/>
      <c r="BF924" s="48"/>
      <c r="BG924" s="43"/>
    </row>
    <row r="925">
      <c r="A925" s="98"/>
      <c r="B925" s="99"/>
      <c r="C925" s="99"/>
      <c r="D925" s="21"/>
      <c r="E925" s="22"/>
      <c r="F925" s="100"/>
      <c r="G925" s="101"/>
      <c r="H925" s="100"/>
      <c r="I925" s="102"/>
      <c r="J925" s="26"/>
      <c r="K925" s="103"/>
      <c r="L925" s="47"/>
      <c r="M925" s="30"/>
      <c r="N925" s="104"/>
      <c r="O925" s="104"/>
      <c r="P925" s="26"/>
      <c r="Q925" s="26"/>
      <c r="R925" s="26"/>
      <c r="S925" s="30"/>
      <c r="T925" s="84"/>
      <c r="U925" s="84"/>
      <c r="V925" s="105"/>
      <c r="W925" s="106"/>
      <c r="X925" s="33"/>
      <c r="Y925" s="34"/>
      <c r="Z925" s="34"/>
      <c r="AA925" s="34"/>
      <c r="AB925" s="34"/>
      <c r="AC925" s="107"/>
      <c r="AD925" s="35"/>
      <c r="AE925" s="35"/>
      <c r="AF925" s="35"/>
      <c r="AG925" s="35"/>
      <c r="AH925" s="35"/>
      <c r="AI925" s="34"/>
      <c r="AJ925" s="35"/>
      <c r="AK925" s="35"/>
      <c r="AL925" s="34"/>
      <c r="AM925" s="34"/>
      <c r="AN925" s="46"/>
      <c r="AO925" s="48"/>
      <c r="AP925" s="48"/>
      <c r="AQ925" s="48"/>
      <c r="AR925" s="48"/>
      <c r="AS925" s="48"/>
      <c r="AT925" s="48"/>
      <c r="AU925" s="48"/>
      <c r="AV925" s="48"/>
      <c r="AW925" s="48"/>
      <c r="AX925" s="48"/>
      <c r="AY925" s="43"/>
      <c r="AZ925" s="48"/>
      <c r="BA925" s="48"/>
      <c r="BB925" s="48"/>
      <c r="BC925" s="43"/>
      <c r="BD925" s="43"/>
      <c r="BE925" s="44"/>
      <c r="BF925" s="48"/>
      <c r="BG925" s="43"/>
    </row>
    <row r="926">
      <c r="A926" s="98"/>
      <c r="B926" s="99"/>
      <c r="C926" s="99"/>
      <c r="D926" s="21"/>
      <c r="E926" s="22"/>
      <c r="F926" s="100"/>
      <c r="G926" s="101"/>
      <c r="H926" s="100"/>
      <c r="I926" s="102"/>
      <c r="J926" s="26"/>
      <c r="K926" s="103"/>
      <c r="L926" s="47"/>
      <c r="M926" s="30"/>
      <c r="N926" s="104"/>
      <c r="O926" s="104"/>
      <c r="P926" s="26"/>
      <c r="Q926" s="26"/>
      <c r="R926" s="26"/>
      <c r="S926" s="30"/>
      <c r="T926" s="84"/>
      <c r="U926" s="84"/>
      <c r="V926" s="105"/>
      <c r="W926" s="106"/>
      <c r="X926" s="33"/>
      <c r="Y926" s="34"/>
      <c r="Z926" s="34"/>
      <c r="AA926" s="34"/>
      <c r="AB926" s="34"/>
      <c r="AC926" s="107"/>
      <c r="AD926" s="35"/>
      <c r="AE926" s="35"/>
      <c r="AF926" s="35"/>
      <c r="AG926" s="35"/>
      <c r="AH926" s="35"/>
      <c r="AI926" s="34"/>
      <c r="AJ926" s="35"/>
      <c r="AK926" s="35"/>
      <c r="AL926" s="34"/>
      <c r="AM926" s="34"/>
      <c r="AN926" s="46"/>
      <c r="AO926" s="48"/>
      <c r="AP926" s="48"/>
      <c r="AQ926" s="48"/>
      <c r="AR926" s="48"/>
      <c r="AS926" s="48"/>
      <c r="AT926" s="48"/>
      <c r="AU926" s="48"/>
      <c r="AV926" s="48"/>
      <c r="AW926" s="48"/>
      <c r="AX926" s="48"/>
      <c r="AY926" s="43"/>
      <c r="AZ926" s="48"/>
      <c r="BA926" s="48"/>
      <c r="BB926" s="48"/>
      <c r="BC926" s="43"/>
      <c r="BD926" s="43"/>
      <c r="BE926" s="44"/>
      <c r="BF926" s="48"/>
      <c r="BG926" s="43"/>
    </row>
    <row r="927">
      <c r="A927" s="98"/>
      <c r="B927" s="99"/>
      <c r="C927" s="99"/>
      <c r="D927" s="21"/>
      <c r="E927" s="22"/>
      <c r="F927" s="100"/>
      <c r="G927" s="101"/>
      <c r="H927" s="100"/>
      <c r="I927" s="102"/>
      <c r="J927" s="26"/>
      <c r="K927" s="103"/>
      <c r="L927" s="47"/>
      <c r="M927" s="30"/>
      <c r="N927" s="104"/>
      <c r="O927" s="104"/>
      <c r="P927" s="26"/>
      <c r="Q927" s="26"/>
      <c r="R927" s="26"/>
      <c r="S927" s="30"/>
      <c r="T927" s="84"/>
      <c r="U927" s="84"/>
      <c r="V927" s="105"/>
      <c r="W927" s="106"/>
      <c r="X927" s="33"/>
      <c r="Y927" s="34"/>
      <c r="Z927" s="34"/>
      <c r="AA927" s="34"/>
      <c r="AB927" s="34"/>
      <c r="AC927" s="107"/>
      <c r="AD927" s="35"/>
      <c r="AE927" s="35"/>
      <c r="AF927" s="35"/>
      <c r="AG927" s="35"/>
      <c r="AH927" s="35"/>
      <c r="AI927" s="34"/>
      <c r="AJ927" s="35"/>
      <c r="AK927" s="35"/>
      <c r="AL927" s="34"/>
      <c r="AM927" s="34"/>
      <c r="AN927" s="46"/>
      <c r="AO927" s="48"/>
      <c r="AP927" s="48"/>
      <c r="AQ927" s="48"/>
      <c r="AR927" s="48"/>
      <c r="AS927" s="48"/>
      <c r="AT927" s="48"/>
      <c r="AU927" s="48"/>
      <c r="AV927" s="48"/>
      <c r="AW927" s="48"/>
      <c r="AX927" s="48"/>
      <c r="AY927" s="43"/>
      <c r="AZ927" s="48"/>
      <c r="BA927" s="48"/>
      <c r="BB927" s="48"/>
      <c r="BC927" s="43"/>
      <c r="BD927" s="43"/>
      <c r="BE927" s="44"/>
      <c r="BF927" s="48"/>
      <c r="BG927" s="43"/>
    </row>
    <row r="928">
      <c r="A928" s="98"/>
      <c r="B928" s="99"/>
      <c r="C928" s="99"/>
      <c r="D928" s="21"/>
      <c r="E928" s="22"/>
      <c r="F928" s="100"/>
      <c r="G928" s="101"/>
      <c r="H928" s="100"/>
      <c r="I928" s="102"/>
      <c r="J928" s="26"/>
      <c r="K928" s="103"/>
      <c r="L928" s="47"/>
      <c r="M928" s="30"/>
      <c r="N928" s="104"/>
      <c r="O928" s="104"/>
      <c r="P928" s="26"/>
      <c r="Q928" s="26"/>
      <c r="R928" s="26"/>
      <c r="S928" s="30"/>
      <c r="T928" s="84"/>
      <c r="U928" s="84"/>
      <c r="V928" s="105"/>
      <c r="W928" s="106"/>
      <c r="X928" s="33"/>
      <c r="Y928" s="34"/>
      <c r="Z928" s="34"/>
      <c r="AA928" s="34"/>
      <c r="AB928" s="34"/>
      <c r="AC928" s="107"/>
      <c r="AD928" s="35"/>
      <c r="AE928" s="35"/>
      <c r="AF928" s="35"/>
      <c r="AG928" s="35"/>
      <c r="AH928" s="35"/>
      <c r="AI928" s="34"/>
      <c r="AJ928" s="35"/>
      <c r="AK928" s="35"/>
      <c r="AL928" s="34"/>
      <c r="AM928" s="34"/>
      <c r="AN928" s="46"/>
      <c r="AO928" s="48"/>
      <c r="AP928" s="48"/>
      <c r="AQ928" s="48"/>
      <c r="AR928" s="48"/>
      <c r="AS928" s="48"/>
      <c r="AT928" s="48"/>
      <c r="AU928" s="48"/>
      <c r="AV928" s="48"/>
      <c r="AW928" s="48"/>
      <c r="AX928" s="48"/>
      <c r="AY928" s="43"/>
      <c r="AZ928" s="48"/>
      <c r="BA928" s="48"/>
      <c r="BB928" s="48"/>
      <c r="BC928" s="43"/>
      <c r="BD928" s="43"/>
      <c r="BE928" s="44"/>
      <c r="BF928" s="48"/>
      <c r="BG928" s="43"/>
    </row>
    <row r="929">
      <c r="A929" s="98"/>
      <c r="B929" s="99"/>
      <c r="C929" s="99"/>
      <c r="D929" s="21"/>
      <c r="E929" s="22"/>
      <c r="F929" s="100"/>
      <c r="G929" s="101"/>
      <c r="H929" s="100"/>
      <c r="I929" s="102"/>
      <c r="J929" s="26"/>
      <c r="K929" s="103"/>
      <c r="L929" s="47"/>
      <c r="M929" s="30"/>
      <c r="N929" s="104"/>
      <c r="O929" s="104"/>
      <c r="P929" s="26"/>
      <c r="Q929" s="26"/>
      <c r="R929" s="26"/>
      <c r="S929" s="30"/>
      <c r="T929" s="84"/>
      <c r="U929" s="84"/>
      <c r="V929" s="105"/>
      <c r="W929" s="106"/>
      <c r="X929" s="33"/>
      <c r="Y929" s="34"/>
      <c r="Z929" s="34"/>
      <c r="AA929" s="34"/>
      <c r="AB929" s="34"/>
      <c r="AC929" s="107"/>
      <c r="AD929" s="35"/>
      <c r="AE929" s="35"/>
      <c r="AF929" s="35"/>
      <c r="AG929" s="35"/>
      <c r="AH929" s="35"/>
      <c r="AI929" s="34"/>
      <c r="AJ929" s="35"/>
      <c r="AK929" s="35"/>
      <c r="AL929" s="34"/>
      <c r="AM929" s="34"/>
      <c r="AN929" s="46"/>
      <c r="AO929" s="48"/>
      <c r="AP929" s="48"/>
      <c r="AQ929" s="48"/>
      <c r="AR929" s="48"/>
      <c r="AS929" s="48"/>
      <c r="AT929" s="48"/>
      <c r="AU929" s="48"/>
      <c r="AV929" s="48"/>
      <c r="AW929" s="48"/>
      <c r="AX929" s="48"/>
      <c r="AY929" s="43"/>
      <c r="AZ929" s="48"/>
      <c r="BA929" s="48"/>
      <c r="BB929" s="48"/>
      <c r="BC929" s="43"/>
      <c r="BD929" s="43"/>
      <c r="BE929" s="44"/>
      <c r="BF929" s="48"/>
      <c r="BG929" s="43"/>
    </row>
    <row r="930">
      <c r="A930" s="98"/>
      <c r="B930" s="99"/>
      <c r="C930" s="99"/>
      <c r="D930" s="21"/>
      <c r="E930" s="22"/>
      <c r="F930" s="100"/>
      <c r="G930" s="101"/>
      <c r="H930" s="100"/>
      <c r="I930" s="102"/>
      <c r="J930" s="26"/>
      <c r="K930" s="103"/>
      <c r="L930" s="47"/>
      <c r="M930" s="30"/>
      <c r="N930" s="104"/>
      <c r="O930" s="104"/>
      <c r="P930" s="26"/>
      <c r="Q930" s="26"/>
      <c r="R930" s="26"/>
      <c r="S930" s="30"/>
      <c r="T930" s="84"/>
      <c r="U930" s="84"/>
      <c r="V930" s="105"/>
      <c r="W930" s="106"/>
      <c r="X930" s="33"/>
      <c r="Y930" s="34"/>
      <c r="Z930" s="34"/>
      <c r="AA930" s="34"/>
      <c r="AB930" s="34"/>
      <c r="AC930" s="107"/>
      <c r="AD930" s="35"/>
      <c r="AE930" s="35"/>
      <c r="AF930" s="35"/>
      <c r="AG930" s="35"/>
      <c r="AH930" s="35"/>
      <c r="AI930" s="34"/>
      <c r="AJ930" s="35"/>
      <c r="AK930" s="35"/>
      <c r="AL930" s="34"/>
      <c r="AM930" s="34"/>
      <c r="AN930" s="46"/>
      <c r="AO930" s="48"/>
      <c r="AP930" s="48"/>
      <c r="AQ930" s="48"/>
      <c r="AR930" s="48"/>
      <c r="AS930" s="48"/>
      <c r="AT930" s="48"/>
      <c r="AU930" s="48"/>
      <c r="AV930" s="48"/>
      <c r="AW930" s="48"/>
      <c r="AX930" s="48"/>
      <c r="AY930" s="43"/>
      <c r="AZ930" s="48"/>
      <c r="BA930" s="48"/>
      <c r="BB930" s="48"/>
      <c r="BC930" s="43"/>
      <c r="BD930" s="43"/>
      <c r="BE930" s="44"/>
      <c r="BF930" s="48"/>
      <c r="BG930" s="43"/>
    </row>
    <row r="931">
      <c r="A931" s="98"/>
      <c r="B931" s="99"/>
      <c r="C931" s="99"/>
      <c r="D931" s="21"/>
      <c r="E931" s="22"/>
      <c r="F931" s="100"/>
      <c r="G931" s="101"/>
      <c r="H931" s="100"/>
      <c r="I931" s="102"/>
      <c r="J931" s="26"/>
      <c r="K931" s="103"/>
      <c r="L931" s="47"/>
      <c r="M931" s="30"/>
      <c r="N931" s="104"/>
      <c r="O931" s="104"/>
      <c r="P931" s="26"/>
      <c r="Q931" s="26"/>
      <c r="R931" s="26"/>
      <c r="S931" s="30"/>
      <c r="T931" s="84"/>
      <c r="U931" s="84"/>
      <c r="V931" s="105"/>
      <c r="W931" s="106"/>
      <c r="X931" s="33"/>
      <c r="Y931" s="34"/>
      <c r="Z931" s="34"/>
      <c r="AA931" s="34"/>
      <c r="AB931" s="34"/>
      <c r="AC931" s="107"/>
      <c r="AD931" s="35"/>
      <c r="AE931" s="35"/>
      <c r="AF931" s="35"/>
      <c r="AG931" s="35"/>
      <c r="AH931" s="35"/>
      <c r="AI931" s="34"/>
      <c r="AJ931" s="35"/>
      <c r="AK931" s="35"/>
      <c r="AL931" s="34"/>
      <c r="AM931" s="34"/>
      <c r="AN931" s="46"/>
      <c r="AO931" s="48"/>
      <c r="AP931" s="48"/>
      <c r="AQ931" s="48"/>
      <c r="AR931" s="48"/>
      <c r="AS931" s="48"/>
      <c r="AT931" s="48"/>
      <c r="AU931" s="48"/>
      <c r="AV931" s="48"/>
      <c r="AW931" s="48"/>
      <c r="AX931" s="48"/>
      <c r="AY931" s="43"/>
      <c r="AZ931" s="48"/>
      <c r="BA931" s="48"/>
      <c r="BB931" s="48"/>
      <c r="BC931" s="43"/>
      <c r="BD931" s="43"/>
      <c r="BE931" s="44"/>
      <c r="BF931" s="48"/>
      <c r="BG931" s="43"/>
    </row>
    <row r="932">
      <c r="A932" s="98"/>
      <c r="B932" s="99"/>
      <c r="C932" s="99"/>
      <c r="D932" s="21"/>
      <c r="E932" s="22"/>
      <c r="F932" s="100"/>
      <c r="G932" s="101"/>
      <c r="H932" s="100"/>
      <c r="I932" s="102"/>
      <c r="J932" s="26"/>
      <c r="K932" s="103"/>
      <c r="L932" s="47"/>
      <c r="M932" s="30"/>
      <c r="N932" s="104"/>
      <c r="O932" s="104"/>
      <c r="P932" s="26"/>
      <c r="Q932" s="26"/>
      <c r="R932" s="26"/>
      <c r="S932" s="30"/>
      <c r="T932" s="84"/>
      <c r="U932" s="84"/>
      <c r="V932" s="105"/>
      <c r="W932" s="106"/>
      <c r="X932" s="33"/>
      <c r="Y932" s="34"/>
      <c r="Z932" s="34"/>
      <c r="AA932" s="34"/>
      <c r="AB932" s="34"/>
      <c r="AC932" s="107"/>
      <c r="AD932" s="35"/>
      <c r="AE932" s="35"/>
      <c r="AF932" s="35"/>
      <c r="AG932" s="35"/>
      <c r="AH932" s="35"/>
      <c r="AI932" s="34"/>
      <c r="AJ932" s="35"/>
      <c r="AK932" s="35"/>
      <c r="AL932" s="34"/>
      <c r="AM932" s="34"/>
      <c r="AN932" s="46"/>
      <c r="AO932" s="48"/>
      <c r="AP932" s="48"/>
      <c r="AQ932" s="48"/>
      <c r="AR932" s="48"/>
      <c r="AS932" s="48"/>
      <c r="AT932" s="48"/>
      <c r="AU932" s="48"/>
      <c r="AV932" s="48"/>
      <c r="AW932" s="48"/>
      <c r="AX932" s="48"/>
      <c r="AY932" s="43"/>
      <c r="AZ932" s="48"/>
      <c r="BA932" s="48"/>
      <c r="BB932" s="48"/>
      <c r="BC932" s="43"/>
      <c r="BD932" s="43"/>
      <c r="BE932" s="44"/>
      <c r="BF932" s="48"/>
      <c r="BG932" s="43"/>
    </row>
    <row r="933">
      <c r="A933" s="98"/>
      <c r="B933" s="99"/>
      <c r="C933" s="99"/>
      <c r="D933" s="21"/>
      <c r="E933" s="22"/>
      <c r="F933" s="100"/>
      <c r="G933" s="101"/>
      <c r="H933" s="100"/>
      <c r="I933" s="102"/>
      <c r="J933" s="26"/>
      <c r="K933" s="103"/>
      <c r="L933" s="47"/>
      <c r="M933" s="30"/>
      <c r="N933" s="104"/>
      <c r="O933" s="104"/>
      <c r="P933" s="26"/>
      <c r="Q933" s="26"/>
      <c r="R933" s="26"/>
      <c r="S933" s="30"/>
      <c r="T933" s="84"/>
      <c r="U933" s="84"/>
      <c r="V933" s="105"/>
      <c r="W933" s="106"/>
      <c r="X933" s="33"/>
      <c r="Y933" s="34"/>
      <c r="Z933" s="34"/>
      <c r="AA933" s="34"/>
      <c r="AB933" s="34"/>
      <c r="AC933" s="107"/>
      <c r="AD933" s="35"/>
      <c r="AE933" s="35"/>
      <c r="AF933" s="35"/>
      <c r="AG933" s="35"/>
      <c r="AH933" s="35"/>
      <c r="AI933" s="34"/>
      <c r="AJ933" s="35"/>
      <c r="AK933" s="35"/>
      <c r="AL933" s="34"/>
      <c r="AM933" s="34"/>
      <c r="AN933" s="46"/>
      <c r="AO933" s="48"/>
      <c r="AP933" s="48"/>
      <c r="AQ933" s="48"/>
      <c r="AR933" s="48"/>
      <c r="AS933" s="48"/>
      <c r="AT933" s="48"/>
      <c r="AU933" s="48"/>
      <c r="AV933" s="48"/>
      <c r="AW933" s="48"/>
      <c r="AX933" s="48"/>
      <c r="AY933" s="43"/>
      <c r="AZ933" s="48"/>
      <c r="BA933" s="48"/>
      <c r="BB933" s="48"/>
      <c r="BC933" s="43"/>
      <c r="BD933" s="43"/>
      <c r="BE933" s="44"/>
      <c r="BF933" s="48"/>
      <c r="BG933" s="43"/>
    </row>
    <row r="934">
      <c r="A934" s="98"/>
      <c r="B934" s="99"/>
      <c r="C934" s="99"/>
      <c r="D934" s="21"/>
      <c r="E934" s="22"/>
      <c r="F934" s="100"/>
      <c r="G934" s="101"/>
      <c r="H934" s="100"/>
      <c r="I934" s="102"/>
      <c r="J934" s="26"/>
      <c r="K934" s="103"/>
      <c r="L934" s="47"/>
      <c r="M934" s="30"/>
      <c r="N934" s="104"/>
      <c r="O934" s="104"/>
      <c r="P934" s="26"/>
      <c r="Q934" s="26"/>
      <c r="R934" s="26"/>
      <c r="S934" s="30"/>
      <c r="T934" s="84"/>
      <c r="U934" s="84"/>
      <c r="V934" s="105"/>
      <c r="W934" s="106"/>
      <c r="X934" s="33"/>
      <c r="Y934" s="34"/>
      <c r="Z934" s="34"/>
      <c r="AA934" s="34"/>
      <c r="AB934" s="34"/>
      <c r="AC934" s="107"/>
      <c r="AD934" s="35"/>
      <c r="AE934" s="35"/>
      <c r="AF934" s="35"/>
      <c r="AG934" s="35"/>
      <c r="AH934" s="35"/>
      <c r="AI934" s="34"/>
      <c r="AJ934" s="35"/>
      <c r="AK934" s="35"/>
      <c r="AL934" s="34"/>
      <c r="AM934" s="34"/>
      <c r="AN934" s="46"/>
      <c r="AO934" s="48"/>
      <c r="AP934" s="48"/>
      <c r="AQ934" s="48"/>
      <c r="AR934" s="48"/>
      <c r="AS934" s="48"/>
      <c r="AT934" s="48"/>
      <c r="AU934" s="48"/>
      <c r="AV934" s="48"/>
      <c r="AW934" s="48"/>
      <c r="AX934" s="48"/>
      <c r="AY934" s="43"/>
      <c r="AZ934" s="48"/>
      <c r="BA934" s="48"/>
      <c r="BB934" s="48"/>
      <c r="BC934" s="43"/>
      <c r="BD934" s="43"/>
      <c r="BE934" s="44"/>
      <c r="BF934" s="48"/>
      <c r="BG934" s="43"/>
    </row>
    <row r="935">
      <c r="A935" s="98"/>
      <c r="B935" s="99"/>
      <c r="C935" s="99"/>
      <c r="D935" s="21"/>
      <c r="E935" s="22"/>
      <c r="F935" s="100"/>
      <c r="G935" s="101"/>
      <c r="H935" s="100"/>
      <c r="I935" s="102"/>
      <c r="J935" s="26"/>
      <c r="K935" s="103"/>
      <c r="L935" s="47"/>
      <c r="M935" s="30"/>
      <c r="N935" s="104"/>
      <c r="O935" s="104"/>
      <c r="P935" s="26"/>
      <c r="Q935" s="26"/>
      <c r="R935" s="26"/>
      <c r="S935" s="30"/>
      <c r="T935" s="84"/>
      <c r="U935" s="84"/>
      <c r="V935" s="105"/>
      <c r="W935" s="106"/>
      <c r="X935" s="33"/>
      <c r="Y935" s="34"/>
      <c r="Z935" s="34"/>
      <c r="AA935" s="34"/>
      <c r="AB935" s="34"/>
      <c r="AC935" s="107"/>
      <c r="AD935" s="35"/>
      <c r="AE935" s="35"/>
      <c r="AF935" s="35"/>
      <c r="AG935" s="35"/>
      <c r="AH935" s="35"/>
      <c r="AI935" s="34"/>
      <c r="AJ935" s="35"/>
      <c r="AK935" s="35"/>
      <c r="AL935" s="34"/>
      <c r="AM935" s="34"/>
      <c r="AN935" s="46"/>
      <c r="AO935" s="48"/>
      <c r="AP935" s="48"/>
      <c r="AQ935" s="48"/>
      <c r="AR935" s="48"/>
      <c r="AS935" s="48"/>
      <c r="AT935" s="48"/>
      <c r="AU935" s="48"/>
      <c r="AV935" s="48"/>
      <c r="AW935" s="48"/>
      <c r="AX935" s="48"/>
      <c r="AY935" s="43"/>
      <c r="AZ935" s="48"/>
      <c r="BA935" s="48"/>
      <c r="BB935" s="48"/>
      <c r="BC935" s="43"/>
      <c r="BD935" s="43"/>
      <c r="BE935" s="44"/>
      <c r="BF935" s="48"/>
      <c r="BG935" s="43"/>
    </row>
    <row r="936">
      <c r="A936" s="98"/>
      <c r="B936" s="99"/>
      <c r="C936" s="99"/>
      <c r="D936" s="21"/>
      <c r="E936" s="22"/>
      <c r="F936" s="100"/>
      <c r="G936" s="101"/>
      <c r="H936" s="100"/>
      <c r="I936" s="102"/>
      <c r="J936" s="26"/>
      <c r="K936" s="103"/>
      <c r="L936" s="47"/>
      <c r="M936" s="30"/>
      <c r="N936" s="104"/>
      <c r="O936" s="104"/>
      <c r="P936" s="26"/>
      <c r="Q936" s="26"/>
      <c r="R936" s="26"/>
      <c r="S936" s="30"/>
      <c r="T936" s="84"/>
      <c r="U936" s="84"/>
      <c r="V936" s="105"/>
      <c r="W936" s="106"/>
      <c r="X936" s="33"/>
      <c r="Y936" s="34"/>
      <c r="Z936" s="34"/>
      <c r="AA936" s="34"/>
      <c r="AB936" s="34"/>
      <c r="AC936" s="107"/>
      <c r="AD936" s="35"/>
      <c r="AE936" s="35"/>
      <c r="AF936" s="35"/>
      <c r="AG936" s="35"/>
      <c r="AH936" s="35"/>
      <c r="AI936" s="34"/>
      <c r="AJ936" s="35"/>
      <c r="AK936" s="35"/>
      <c r="AL936" s="34"/>
      <c r="AM936" s="34"/>
      <c r="AN936" s="46"/>
      <c r="AO936" s="48"/>
      <c r="AP936" s="48"/>
      <c r="AQ936" s="48"/>
      <c r="AR936" s="48"/>
      <c r="AS936" s="48"/>
      <c r="AT936" s="48"/>
      <c r="AU936" s="48"/>
      <c r="AV936" s="48"/>
      <c r="AW936" s="48"/>
      <c r="AX936" s="48"/>
      <c r="AY936" s="43"/>
      <c r="AZ936" s="48"/>
      <c r="BA936" s="48"/>
      <c r="BB936" s="48"/>
      <c r="BC936" s="43"/>
      <c r="BD936" s="43"/>
      <c r="BE936" s="44"/>
      <c r="BF936" s="48"/>
      <c r="BG936" s="43"/>
    </row>
    <row r="937">
      <c r="A937" s="98"/>
      <c r="B937" s="99"/>
      <c r="C937" s="99"/>
      <c r="D937" s="21"/>
      <c r="E937" s="22"/>
      <c r="F937" s="100"/>
      <c r="G937" s="101"/>
      <c r="H937" s="100"/>
      <c r="I937" s="102"/>
      <c r="J937" s="26"/>
      <c r="K937" s="103"/>
      <c r="L937" s="47"/>
      <c r="M937" s="30"/>
      <c r="N937" s="104"/>
      <c r="O937" s="104"/>
      <c r="P937" s="26"/>
      <c r="Q937" s="26"/>
      <c r="R937" s="26"/>
      <c r="S937" s="30"/>
      <c r="T937" s="84"/>
      <c r="U937" s="84"/>
      <c r="V937" s="105"/>
      <c r="W937" s="106"/>
      <c r="X937" s="33"/>
      <c r="Y937" s="34"/>
      <c r="Z937" s="34"/>
      <c r="AA937" s="34"/>
      <c r="AB937" s="34"/>
      <c r="AC937" s="107"/>
      <c r="AD937" s="35"/>
      <c r="AE937" s="35"/>
      <c r="AF937" s="35"/>
      <c r="AG937" s="35"/>
      <c r="AH937" s="35"/>
      <c r="AI937" s="34"/>
      <c r="AJ937" s="35"/>
      <c r="AK937" s="35"/>
      <c r="AL937" s="34"/>
      <c r="AM937" s="34"/>
      <c r="AN937" s="46"/>
      <c r="AO937" s="48"/>
      <c r="AP937" s="48"/>
      <c r="AQ937" s="48"/>
      <c r="AR937" s="48"/>
      <c r="AS937" s="48"/>
      <c r="AT937" s="48"/>
      <c r="AU937" s="48"/>
      <c r="AV937" s="48"/>
      <c r="AW937" s="48"/>
      <c r="AX937" s="48"/>
      <c r="AY937" s="43"/>
      <c r="AZ937" s="48"/>
      <c r="BA937" s="48"/>
      <c r="BB937" s="48"/>
      <c r="BC937" s="43"/>
      <c r="BD937" s="43"/>
      <c r="BE937" s="44"/>
      <c r="BF937" s="48"/>
      <c r="BG937" s="43"/>
    </row>
    <row r="938">
      <c r="A938" s="98"/>
      <c r="B938" s="99"/>
      <c r="C938" s="99"/>
      <c r="D938" s="21"/>
      <c r="E938" s="22"/>
      <c r="F938" s="100"/>
      <c r="G938" s="101"/>
      <c r="H938" s="100"/>
      <c r="I938" s="102"/>
      <c r="J938" s="26"/>
      <c r="K938" s="103"/>
      <c r="L938" s="47"/>
      <c r="M938" s="30"/>
      <c r="N938" s="104"/>
      <c r="O938" s="104"/>
      <c r="P938" s="26"/>
      <c r="Q938" s="26"/>
      <c r="R938" s="26"/>
      <c r="S938" s="30"/>
      <c r="T938" s="84"/>
      <c r="U938" s="84"/>
      <c r="V938" s="105"/>
      <c r="W938" s="106"/>
      <c r="X938" s="33"/>
      <c r="Y938" s="34"/>
      <c r="Z938" s="34"/>
      <c r="AA938" s="34"/>
      <c r="AB938" s="34"/>
      <c r="AC938" s="107"/>
      <c r="AD938" s="35"/>
      <c r="AE938" s="35"/>
      <c r="AF938" s="35"/>
      <c r="AG938" s="35"/>
      <c r="AH938" s="35"/>
      <c r="AI938" s="34"/>
      <c r="AJ938" s="35"/>
      <c r="AK938" s="35"/>
      <c r="AL938" s="34"/>
      <c r="AM938" s="34"/>
      <c r="AN938" s="46"/>
      <c r="AO938" s="48"/>
      <c r="AP938" s="48"/>
      <c r="AQ938" s="48"/>
      <c r="AR938" s="48"/>
      <c r="AS938" s="48"/>
      <c r="AT938" s="48"/>
      <c r="AU938" s="48"/>
      <c r="AV938" s="48"/>
      <c r="AW938" s="48"/>
      <c r="AX938" s="48"/>
      <c r="AY938" s="43"/>
      <c r="AZ938" s="48"/>
      <c r="BA938" s="48"/>
      <c r="BB938" s="48"/>
      <c r="BC938" s="43"/>
      <c r="BD938" s="43"/>
      <c r="BE938" s="44"/>
      <c r="BF938" s="48"/>
      <c r="BG938" s="43"/>
    </row>
    <row r="939">
      <c r="A939" s="98"/>
      <c r="B939" s="99"/>
      <c r="C939" s="99"/>
      <c r="D939" s="21"/>
      <c r="E939" s="22"/>
      <c r="F939" s="100"/>
      <c r="G939" s="101"/>
      <c r="H939" s="100"/>
      <c r="I939" s="102"/>
      <c r="J939" s="26"/>
      <c r="K939" s="103"/>
      <c r="L939" s="47"/>
      <c r="M939" s="30"/>
      <c r="N939" s="104"/>
      <c r="O939" s="104"/>
      <c r="P939" s="26"/>
      <c r="Q939" s="26"/>
      <c r="R939" s="26"/>
      <c r="S939" s="30"/>
      <c r="T939" s="84"/>
      <c r="U939" s="84"/>
      <c r="V939" s="105"/>
      <c r="W939" s="106"/>
      <c r="X939" s="33"/>
      <c r="Y939" s="34"/>
      <c r="Z939" s="34"/>
      <c r="AA939" s="34"/>
      <c r="AB939" s="34"/>
      <c r="AC939" s="107"/>
      <c r="AD939" s="35"/>
      <c r="AE939" s="35"/>
      <c r="AF939" s="35"/>
      <c r="AG939" s="35"/>
      <c r="AH939" s="35"/>
      <c r="AI939" s="34"/>
      <c r="AJ939" s="35"/>
      <c r="AK939" s="35"/>
      <c r="AL939" s="34"/>
      <c r="AM939" s="34"/>
      <c r="AN939" s="46"/>
      <c r="AO939" s="48"/>
      <c r="AP939" s="48"/>
      <c r="AQ939" s="48"/>
      <c r="AR939" s="48"/>
      <c r="AS939" s="48"/>
      <c r="AT939" s="48"/>
      <c r="AU939" s="48"/>
      <c r="AV939" s="48"/>
      <c r="AW939" s="48"/>
      <c r="AX939" s="48"/>
      <c r="AY939" s="43"/>
      <c r="AZ939" s="48"/>
      <c r="BA939" s="48"/>
      <c r="BB939" s="48"/>
      <c r="BC939" s="43"/>
      <c r="BD939" s="43"/>
      <c r="BE939" s="44"/>
      <c r="BF939" s="48"/>
      <c r="BG939" s="43"/>
    </row>
    <row r="940">
      <c r="A940" s="98"/>
      <c r="B940" s="99"/>
      <c r="C940" s="99"/>
      <c r="D940" s="21"/>
      <c r="E940" s="22"/>
      <c r="F940" s="100"/>
      <c r="G940" s="101"/>
      <c r="H940" s="100"/>
      <c r="I940" s="102"/>
      <c r="J940" s="26"/>
      <c r="K940" s="103"/>
      <c r="L940" s="47"/>
      <c r="M940" s="30"/>
      <c r="N940" s="104"/>
      <c r="O940" s="104"/>
      <c r="P940" s="26"/>
      <c r="Q940" s="26"/>
      <c r="R940" s="26"/>
      <c r="S940" s="30"/>
      <c r="T940" s="84"/>
      <c r="U940" s="84"/>
      <c r="V940" s="105"/>
      <c r="W940" s="106"/>
      <c r="X940" s="33"/>
      <c r="Y940" s="34"/>
      <c r="Z940" s="34"/>
      <c r="AA940" s="34"/>
      <c r="AB940" s="34"/>
      <c r="AC940" s="107"/>
      <c r="AD940" s="35"/>
      <c r="AE940" s="35"/>
      <c r="AF940" s="35"/>
      <c r="AG940" s="35"/>
      <c r="AH940" s="35"/>
      <c r="AI940" s="34"/>
      <c r="AJ940" s="35"/>
      <c r="AK940" s="35"/>
      <c r="AL940" s="34"/>
      <c r="AM940" s="34"/>
      <c r="AN940" s="46"/>
      <c r="AO940" s="48"/>
      <c r="AP940" s="48"/>
      <c r="AQ940" s="48"/>
      <c r="AR940" s="48"/>
      <c r="AS940" s="48"/>
      <c r="AT940" s="48"/>
      <c r="AU940" s="48"/>
      <c r="AV940" s="48"/>
      <c r="AW940" s="48"/>
      <c r="AX940" s="48"/>
      <c r="AY940" s="43"/>
      <c r="AZ940" s="48"/>
      <c r="BA940" s="48"/>
      <c r="BB940" s="48"/>
      <c r="BC940" s="43"/>
      <c r="BD940" s="43"/>
      <c r="BE940" s="44"/>
      <c r="BF940" s="48"/>
      <c r="BG940" s="43"/>
    </row>
    <row r="941">
      <c r="A941" s="98"/>
      <c r="B941" s="99"/>
      <c r="C941" s="99"/>
      <c r="D941" s="21"/>
      <c r="E941" s="22"/>
      <c r="F941" s="100"/>
      <c r="G941" s="101"/>
      <c r="H941" s="100"/>
      <c r="I941" s="102"/>
      <c r="J941" s="26"/>
      <c r="K941" s="103"/>
      <c r="L941" s="47"/>
      <c r="M941" s="30"/>
      <c r="N941" s="104"/>
      <c r="O941" s="104"/>
      <c r="P941" s="26"/>
      <c r="Q941" s="26"/>
      <c r="R941" s="26"/>
      <c r="S941" s="30"/>
      <c r="T941" s="84"/>
      <c r="U941" s="84"/>
      <c r="V941" s="105"/>
      <c r="W941" s="106"/>
      <c r="X941" s="33"/>
      <c r="Y941" s="34"/>
      <c r="Z941" s="34"/>
      <c r="AA941" s="34"/>
      <c r="AB941" s="34"/>
      <c r="AC941" s="107"/>
      <c r="AD941" s="35"/>
      <c r="AE941" s="35"/>
      <c r="AF941" s="35"/>
      <c r="AG941" s="35"/>
      <c r="AH941" s="35"/>
      <c r="AI941" s="34"/>
      <c r="AJ941" s="35"/>
      <c r="AK941" s="35"/>
      <c r="AL941" s="34"/>
      <c r="AM941" s="34"/>
      <c r="AN941" s="46"/>
      <c r="AO941" s="48"/>
      <c r="AP941" s="48"/>
      <c r="AQ941" s="48"/>
      <c r="AR941" s="48"/>
      <c r="AS941" s="48"/>
      <c r="AT941" s="48"/>
      <c r="AU941" s="48"/>
      <c r="AV941" s="48"/>
      <c r="AW941" s="48"/>
      <c r="AX941" s="48"/>
      <c r="AY941" s="43"/>
      <c r="AZ941" s="48"/>
      <c r="BA941" s="48"/>
      <c r="BB941" s="48"/>
      <c r="BC941" s="43"/>
      <c r="BD941" s="43"/>
      <c r="BE941" s="44"/>
      <c r="BF941" s="48"/>
      <c r="BG941" s="43"/>
    </row>
    <row r="942">
      <c r="A942" s="98"/>
      <c r="B942" s="99"/>
      <c r="C942" s="99"/>
      <c r="D942" s="21"/>
      <c r="E942" s="22"/>
      <c r="F942" s="100"/>
      <c r="G942" s="101"/>
      <c r="H942" s="100"/>
      <c r="I942" s="102"/>
      <c r="J942" s="26"/>
      <c r="K942" s="103"/>
      <c r="L942" s="47"/>
      <c r="M942" s="30"/>
      <c r="N942" s="104"/>
      <c r="O942" s="104"/>
      <c r="P942" s="26"/>
      <c r="Q942" s="26"/>
      <c r="R942" s="26"/>
      <c r="S942" s="30"/>
      <c r="T942" s="84"/>
      <c r="U942" s="84"/>
      <c r="V942" s="105"/>
      <c r="W942" s="106"/>
      <c r="X942" s="33"/>
      <c r="Y942" s="34"/>
      <c r="Z942" s="34"/>
      <c r="AA942" s="34"/>
      <c r="AB942" s="34"/>
      <c r="AC942" s="107"/>
      <c r="AD942" s="35"/>
      <c r="AE942" s="35"/>
      <c r="AF942" s="35"/>
      <c r="AG942" s="35"/>
      <c r="AH942" s="35"/>
      <c r="AI942" s="34"/>
      <c r="AJ942" s="35"/>
      <c r="AK942" s="35"/>
      <c r="AL942" s="34"/>
      <c r="AM942" s="34"/>
      <c r="AN942" s="46"/>
      <c r="AO942" s="48"/>
      <c r="AP942" s="48"/>
      <c r="AQ942" s="48"/>
      <c r="AR942" s="48"/>
      <c r="AS942" s="48"/>
      <c r="AT942" s="48"/>
      <c r="AU942" s="48"/>
      <c r="AV942" s="48"/>
      <c r="AW942" s="48"/>
      <c r="AX942" s="48"/>
      <c r="AY942" s="43"/>
      <c r="AZ942" s="48"/>
      <c r="BA942" s="48"/>
      <c r="BB942" s="48"/>
      <c r="BC942" s="43"/>
      <c r="BD942" s="43"/>
      <c r="BE942" s="44"/>
      <c r="BF942" s="48"/>
      <c r="BG942" s="43"/>
    </row>
    <row r="943">
      <c r="A943" s="98"/>
      <c r="B943" s="99"/>
      <c r="C943" s="99"/>
      <c r="D943" s="21"/>
      <c r="E943" s="22"/>
      <c r="F943" s="100"/>
      <c r="G943" s="101"/>
      <c r="H943" s="100"/>
      <c r="I943" s="102"/>
      <c r="J943" s="26"/>
      <c r="K943" s="103"/>
      <c r="L943" s="47"/>
      <c r="M943" s="30"/>
      <c r="N943" s="104"/>
      <c r="O943" s="104"/>
      <c r="P943" s="26"/>
      <c r="Q943" s="26"/>
      <c r="R943" s="26"/>
      <c r="S943" s="30"/>
      <c r="T943" s="84"/>
      <c r="U943" s="84"/>
      <c r="V943" s="105"/>
      <c r="W943" s="106"/>
      <c r="X943" s="33"/>
      <c r="Y943" s="34"/>
      <c r="Z943" s="34"/>
      <c r="AA943" s="34"/>
      <c r="AB943" s="34"/>
      <c r="AC943" s="107"/>
      <c r="AD943" s="35"/>
      <c r="AE943" s="35"/>
      <c r="AF943" s="35"/>
      <c r="AG943" s="35"/>
      <c r="AH943" s="35"/>
      <c r="AI943" s="34"/>
      <c r="AJ943" s="35"/>
      <c r="AK943" s="35"/>
      <c r="AL943" s="34"/>
      <c r="AM943" s="34"/>
      <c r="AN943" s="46"/>
      <c r="AO943" s="48"/>
      <c r="AP943" s="48"/>
      <c r="AQ943" s="48"/>
      <c r="AR943" s="48"/>
      <c r="AS943" s="48"/>
      <c r="AT943" s="48"/>
      <c r="AU943" s="48"/>
      <c r="AV943" s="48"/>
      <c r="AW943" s="48"/>
      <c r="AX943" s="48"/>
      <c r="AY943" s="43"/>
      <c r="AZ943" s="48"/>
      <c r="BA943" s="48"/>
      <c r="BB943" s="48"/>
      <c r="BC943" s="43"/>
      <c r="BD943" s="43"/>
      <c r="BE943" s="44"/>
      <c r="BF943" s="48"/>
      <c r="BG943" s="43"/>
    </row>
    <row r="944">
      <c r="A944" s="98"/>
      <c r="B944" s="99"/>
      <c r="C944" s="99"/>
      <c r="D944" s="21"/>
      <c r="E944" s="22"/>
      <c r="F944" s="100"/>
      <c r="G944" s="101"/>
      <c r="H944" s="100"/>
      <c r="I944" s="102"/>
      <c r="J944" s="26"/>
      <c r="K944" s="103"/>
      <c r="L944" s="47"/>
      <c r="M944" s="30"/>
      <c r="N944" s="104"/>
      <c r="O944" s="104"/>
      <c r="P944" s="26"/>
      <c r="Q944" s="26"/>
      <c r="R944" s="26"/>
      <c r="S944" s="30"/>
      <c r="T944" s="84"/>
      <c r="U944" s="84"/>
      <c r="V944" s="105"/>
      <c r="W944" s="106"/>
      <c r="X944" s="33"/>
      <c r="Y944" s="34"/>
      <c r="Z944" s="34"/>
      <c r="AA944" s="34"/>
      <c r="AB944" s="34"/>
      <c r="AC944" s="107"/>
      <c r="AD944" s="35"/>
      <c r="AE944" s="35"/>
      <c r="AF944" s="35"/>
      <c r="AG944" s="35"/>
      <c r="AH944" s="35"/>
      <c r="AI944" s="34"/>
      <c r="AJ944" s="35"/>
      <c r="AK944" s="35"/>
      <c r="AL944" s="34"/>
      <c r="AM944" s="34"/>
      <c r="AN944" s="46"/>
      <c r="AO944" s="48"/>
      <c r="AP944" s="48"/>
      <c r="AQ944" s="48"/>
      <c r="AR944" s="48"/>
      <c r="AS944" s="48"/>
      <c r="AT944" s="48"/>
      <c r="AU944" s="48"/>
      <c r="AV944" s="48"/>
      <c r="AW944" s="48"/>
      <c r="AX944" s="48"/>
      <c r="AY944" s="43"/>
      <c r="AZ944" s="48"/>
      <c r="BA944" s="48"/>
      <c r="BB944" s="48"/>
      <c r="BC944" s="43"/>
      <c r="BD944" s="43"/>
      <c r="BE944" s="44"/>
      <c r="BF944" s="48"/>
      <c r="BG944" s="43"/>
    </row>
    <row r="945">
      <c r="A945" s="98"/>
      <c r="B945" s="99"/>
      <c r="C945" s="99"/>
      <c r="D945" s="21"/>
      <c r="E945" s="22"/>
      <c r="F945" s="100"/>
      <c r="G945" s="101"/>
      <c r="H945" s="100"/>
      <c r="I945" s="102"/>
      <c r="J945" s="26"/>
      <c r="K945" s="103"/>
      <c r="L945" s="47"/>
      <c r="M945" s="30"/>
      <c r="N945" s="104"/>
      <c r="O945" s="104"/>
      <c r="P945" s="26"/>
      <c r="Q945" s="26"/>
      <c r="R945" s="26"/>
      <c r="S945" s="30"/>
      <c r="T945" s="84"/>
      <c r="U945" s="84"/>
      <c r="V945" s="105"/>
      <c r="W945" s="106"/>
      <c r="X945" s="33"/>
      <c r="Y945" s="34"/>
      <c r="Z945" s="34"/>
      <c r="AA945" s="34"/>
      <c r="AB945" s="34"/>
      <c r="AC945" s="107"/>
      <c r="AD945" s="35"/>
      <c r="AE945" s="35"/>
      <c r="AF945" s="35"/>
      <c r="AG945" s="35"/>
      <c r="AH945" s="35"/>
      <c r="AI945" s="34"/>
      <c r="AJ945" s="35"/>
      <c r="AK945" s="35"/>
      <c r="AL945" s="34"/>
      <c r="AM945" s="34"/>
      <c r="AN945" s="46"/>
      <c r="AO945" s="48"/>
      <c r="AP945" s="48"/>
      <c r="AQ945" s="48"/>
      <c r="AR945" s="48"/>
      <c r="AS945" s="48"/>
      <c r="AT945" s="48"/>
      <c r="AU945" s="48"/>
      <c r="AV945" s="48"/>
      <c r="AW945" s="48"/>
      <c r="AX945" s="48"/>
      <c r="AY945" s="43"/>
      <c r="AZ945" s="48"/>
      <c r="BA945" s="48"/>
      <c r="BB945" s="48"/>
      <c r="BC945" s="43"/>
      <c r="BD945" s="43"/>
      <c r="BE945" s="44"/>
      <c r="BF945" s="48"/>
      <c r="BG945" s="43"/>
    </row>
    <row r="946">
      <c r="A946" s="98"/>
      <c r="B946" s="99"/>
      <c r="C946" s="99"/>
      <c r="D946" s="21"/>
      <c r="E946" s="22"/>
      <c r="F946" s="100"/>
      <c r="G946" s="101"/>
      <c r="H946" s="100"/>
      <c r="I946" s="102"/>
      <c r="J946" s="26"/>
      <c r="K946" s="103"/>
      <c r="L946" s="47"/>
      <c r="M946" s="30"/>
      <c r="N946" s="104"/>
      <c r="O946" s="104"/>
      <c r="P946" s="26"/>
      <c r="Q946" s="26"/>
      <c r="R946" s="26"/>
      <c r="S946" s="30"/>
      <c r="T946" s="84"/>
      <c r="U946" s="84"/>
      <c r="V946" s="105"/>
      <c r="W946" s="106"/>
      <c r="X946" s="33"/>
      <c r="Y946" s="34"/>
      <c r="Z946" s="34"/>
      <c r="AA946" s="34"/>
      <c r="AB946" s="34"/>
      <c r="AC946" s="107"/>
      <c r="AD946" s="35"/>
      <c r="AE946" s="35"/>
      <c r="AF946" s="35"/>
      <c r="AG946" s="35"/>
      <c r="AH946" s="35"/>
      <c r="AI946" s="34"/>
      <c r="AJ946" s="35"/>
      <c r="AK946" s="35"/>
      <c r="AL946" s="34"/>
      <c r="AM946" s="34"/>
      <c r="AN946" s="46"/>
      <c r="AO946" s="48"/>
      <c r="AP946" s="48"/>
      <c r="AQ946" s="48"/>
      <c r="AR946" s="48"/>
      <c r="AS946" s="48"/>
      <c r="AT946" s="48"/>
      <c r="AU946" s="48"/>
      <c r="AV946" s="48"/>
      <c r="AW946" s="48"/>
      <c r="AX946" s="48"/>
      <c r="AY946" s="43"/>
      <c r="AZ946" s="48"/>
      <c r="BA946" s="48"/>
      <c r="BB946" s="48"/>
      <c r="BC946" s="43"/>
      <c r="BD946" s="43"/>
      <c r="BE946" s="44"/>
      <c r="BF946" s="48"/>
      <c r="BG946" s="43"/>
    </row>
    <row r="947">
      <c r="A947" s="98"/>
      <c r="B947" s="99"/>
      <c r="C947" s="99"/>
      <c r="D947" s="21"/>
      <c r="E947" s="22"/>
      <c r="F947" s="100"/>
      <c r="G947" s="101"/>
      <c r="H947" s="100"/>
      <c r="I947" s="102"/>
      <c r="J947" s="26"/>
      <c r="K947" s="103"/>
      <c r="L947" s="47"/>
      <c r="M947" s="30"/>
      <c r="N947" s="104"/>
      <c r="O947" s="104"/>
      <c r="P947" s="26"/>
      <c r="Q947" s="26"/>
      <c r="R947" s="26"/>
      <c r="S947" s="30"/>
      <c r="T947" s="84"/>
      <c r="U947" s="84"/>
      <c r="V947" s="105"/>
      <c r="W947" s="106"/>
      <c r="X947" s="33"/>
      <c r="Y947" s="34"/>
      <c r="Z947" s="34"/>
      <c r="AA947" s="34"/>
      <c r="AB947" s="34"/>
      <c r="AC947" s="107"/>
      <c r="AD947" s="35"/>
      <c r="AE947" s="35"/>
      <c r="AF947" s="35"/>
      <c r="AG947" s="35"/>
      <c r="AH947" s="35"/>
      <c r="AI947" s="34"/>
      <c r="AJ947" s="35"/>
      <c r="AK947" s="35"/>
      <c r="AL947" s="34"/>
      <c r="AM947" s="34"/>
      <c r="AN947" s="46"/>
      <c r="AO947" s="48"/>
      <c r="AP947" s="48"/>
      <c r="AQ947" s="48"/>
      <c r="AR947" s="48"/>
      <c r="AS947" s="48"/>
      <c r="AT947" s="48"/>
      <c r="AU947" s="48"/>
      <c r="AV947" s="48"/>
      <c r="AW947" s="48"/>
      <c r="AX947" s="48"/>
      <c r="AY947" s="43"/>
      <c r="AZ947" s="48"/>
      <c r="BA947" s="48"/>
      <c r="BB947" s="48"/>
      <c r="BC947" s="43"/>
      <c r="BD947" s="43"/>
      <c r="BE947" s="44"/>
      <c r="BF947" s="48"/>
      <c r="BG947" s="43"/>
    </row>
    <row r="948">
      <c r="A948" s="98"/>
      <c r="B948" s="99"/>
      <c r="C948" s="99"/>
      <c r="D948" s="21"/>
      <c r="E948" s="22"/>
      <c r="F948" s="100"/>
      <c r="G948" s="101"/>
      <c r="H948" s="100"/>
      <c r="I948" s="102"/>
      <c r="J948" s="26"/>
      <c r="K948" s="103"/>
      <c r="L948" s="47"/>
      <c r="M948" s="30"/>
      <c r="N948" s="104"/>
      <c r="O948" s="104"/>
      <c r="P948" s="26"/>
      <c r="Q948" s="26"/>
      <c r="R948" s="26"/>
      <c r="S948" s="30"/>
      <c r="T948" s="84"/>
      <c r="U948" s="84"/>
      <c r="V948" s="105"/>
      <c r="W948" s="106"/>
      <c r="X948" s="33"/>
      <c r="Y948" s="34"/>
      <c r="Z948" s="34"/>
      <c r="AA948" s="34"/>
      <c r="AB948" s="34"/>
      <c r="AC948" s="107"/>
      <c r="AD948" s="35"/>
      <c r="AE948" s="35"/>
      <c r="AF948" s="35"/>
      <c r="AG948" s="35"/>
      <c r="AH948" s="35"/>
      <c r="AI948" s="34"/>
      <c r="AJ948" s="35"/>
      <c r="AK948" s="35"/>
      <c r="AL948" s="34"/>
      <c r="AM948" s="34"/>
      <c r="AN948" s="46"/>
      <c r="AO948" s="48"/>
      <c r="AP948" s="48"/>
      <c r="AQ948" s="48"/>
      <c r="AR948" s="48"/>
      <c r="AS948" s="48"/>
      <c r="AT948" s="48"/>
      <c r="AU948" s="48"/>
      <c r="AV948" s="48"/>
      <c r="AW948" s="48"/>
      <c r="AX948" s="48"/>
      <c r="AY948" s="43"/>
      <c r="AZ948" s="48"/>
      <c r="BA948" s="48"/>
      <c r="BB948" s="48"/>
      <c r="BC948" s="43"/>
      <c r="BD948" s="43"/>
      <c r="BE948" s="44"/>
      <c r="BF948" s="48"/>
      <c r="BG948" s="43"/>
    </row>
    <row r="949">
      <c r="A949" s="98"/>
      <c r="B949" s="99"/>
      <c r="C949" s="99"/>
      <c r="D949" s="21"/>
      <c r="E949" s="22"/>
      <c r="F949" s="100"/>
      <c r="G949" s="101"/>
      <c r="H949" s="100"/>
      <c r="I949" s="102"/>
      <c r="J949" s="26"/>
      <c r="K949" s="103"/>
      <c r="L949" s="47"/>
      <c r="M949" s="30"/>
      <c r="N949" s="104"/>
      <c r="O949" s="104"/>
      <c r="P949" s="26"/>
      <c r="Q949" s="26"/>
      <c r="R949" s="26"/>
      <c r="S949" s="30"/>
      <c r="T949" s="84"/>
      <c r="U949" s="84"/>
      <c r="V949" s="105"/>
      <c r="W949" s="106"/>
      <c r="X949" s="33"/>
      <c r="Y949" s="34"/>
      <c r="Z949" s="34"/>
      <c r="AA949" s="34"/>
      <c r="AB949" s="34"/>
      <c r="AC949" s="107"/>
      <c r="AD949" s="35"/>
      <c r="AE949" s="35"/>
      <c r="AF949" s="35"/>
      <c r="AG949" s="35"/>
      <c r="AH949" s="35"/>
      <c r="AI949" s="34"/>
      <c r="AJ949" s="35"/>
      <c r="AK949" s="35"/>
      <c r="AL949" s="34"/>
      <c r="AM949" s="34"/>
      <c r="AN949" s="46"/>
      <c r="AO949" s="48"/>
      <c r="AP949" s="48"/>
      <c r="AQ949" s="48"/>
      <c r="AR949" s="48"/>
      <c r="AS949" s="48"/>
      <c r="AT949" s="48"/>
      <c r="AU949" s="48"/>
      <c r="AV949" s="48"/>
      <c r="AW949" s="48"/>
      <c r="AX949" s="48"/>
      <c r="AY949" s="43"/>
      <c r="AZ949" s="48"/>
      <c r="BA949" s="48"/>
      <c r="BB949" s="48"/>
      <c r="BC949" s="43"/>
      <c r="BD949" s="43"/>
      <c r="BE949" s="44"/>
      <c r="BF949" s="48"/>
      <c r="BG949" s="43"/>
    </row>
    <row r="950">
      <c r="A950" s="98"/>
      <c r="B950" s="99"/>
      <c r="C950" s="99"/>
      <c r="D950" s="21"/>
      <c r="E950" s="22"/>
      <c r="F950" s="100"/>
      <c r="G950" s="101"/>
      <c r="H950" s="100"/>
      <c r="I950" s="102"/>
      <c r="J950" s="26"/>
      <c r="K950" s="103"/>
      <c r="L950" s="47"/>
      <c r="M950" s="30"/>
      <c r="N950" s="104"/>
      <c r="O950" s="104"/>
      <c r="P950" s="26"/>
      <c r="Q950" s="26"/>
      <c r="R950" s="26"/>
      <c r="S950" s="30"/>
      <c r="T950" s="84"/>
      <c r="U950" s="84"/>
      <c r="V950" s="105"/>
      <c r="W950" s="106"/>
      <c r="X950" s="33"/>
      <c r="Y950" s="34"/>
      <c r="Z950" s="34"/>
      <c r="AA950" s="34"/>
      <c r="AB950" s="34"/>
      <c r="AC950" s="107"/>
      <c r="AD950" s="35"/>
      <c r="AE950" s="35"/>
      <c r="AF950" s="35"/>
      <c r="AG950" s="35"/>
      <c r="AH950" s="35"/>
      <c r="AI950" s="34"/>
      <c r="AJ950" s="35"/>
      <c r="AK950" s="35"/>
      <c r="AL950" s="34"/>
      <c r="AM950" s="34"/>
      <c r="AN950" s="46"/>
      <c r="AO950" s="48"/>
      <c r="AP950" s="48"/>
      <c r="AQ950" s="48"/>
      <c r="AR950" s="48"/>
      <c r="AS950" s="48"/>
      <c r="AT950" s="48"/>
      <c r="AU950" s="48"/>
      <c r="AV950" s="48"/>
      <c r="AW950" s="48"/>
      <c r="AX950" s="48"/>
      <c r="AY950" s="43"/>
      <c r="AZ950" s="48"/>
      <c r="BA950" s="48"/>
      <c r="BB950" s="48"/>
      <c r="BC950" s="43"/>
      <c r="BD950" s="43"/>
      <c r="BE950" s="44"/>
      <c r="BF950" s="48"/>
      <c r="BG950" s="43"/>
    </row>
    <row r="951">
      <c r="A951" s="98"/>
      <c r="B951" s="99"/>
      <c r="C951" s="99"/>
      <c r="D951" s="21"/>
      <c r="E951" s="22"/>
      <c r="F951" s="100"/>
      <c r="G951" s="101"/>
      <c r="H951" s="100"/>
      <c r="I951" s="102"/>
      <c r="J951" s="26"/>
      <c r="K951" s="103"/>
      <c r="L951" s="47"/>
      <c r="M951" s="30"/>
      <c r="N951" s="104"/>
      <c r="O951" s="104"/>
      <c r="P951" s="26"/>
      <c r="Q951" s="26"/>
      <c r="R951" s="26"/>
      <c r="S951" s="30"/>
      <c r="T951" s="84"/>
      <c r="U951" s="84"/>
      <c r="V951" s="105"/>
      <c r="W951" s="106"/>
      <c r="X951" s="33"/>
      <c r="Y951" s="34"/>
      <c r="Z951" s="34"/>
      <c r="AA951" s="34"/>
      <c r="AB951" s="34"/>
      <c r="AC951" s="107"/>
      <c r="AD951" s="35"/>
      <c r="AE951" s="35"/>
      <c r="AF951" s="35"/>
      <c r="AG951" s="35"/>
      <c r="AH951" s="35"/>
      <c r="AI951" s="34"/>
      <c r="AJ951" s="35"/>
      <c r="AK951" s="35"/>
      <c r="AL951" s="34"/>
      <c r="AM951" s="34"/>
      <c r="AN951" s="46"/>
      <c r="AO951" s="48"/>
      <c r="AP951" s="48"/>
      <c r="AQ951" s="48"/>
      <c r="AR951" s="48"/>
      <c r="AS951" s="48"/>
      <c r="AT951" s="48"/>
      <c r="AU951" s="48"/>
      <c r="AV951" s="48"/>
      <c r="AW951" s="48"/>
      <c r="AX951" s="48"/>
      <c r="AY951" s="43"/>
      <c r="AZ951" s="48"/>
      <c r="BA951" s="48"/>
      <c r="BB951" s="48"/>
      <c r="BC951" s="43"/>
      <c r="BD951" s="43"/>
      <c r="BE951" s="44"/>
      <c r="BF951" s="48"/>
      <c r="BG951" s="43"/>
    </row>
    <row r="952">
      <c r="A952" s="98"/>
      <c r="B952" s="99"/>
      <c r="C952" s="99"/>
      <c r="D952" s="21"/>
      <c r="E952" s="22"/>
      <c r="F952" s="100"/>
      <c r="G952" s="101"/>
      <c r="H952" s="100"/>
      <c r="I952" s="102"/>
      <c r="J952" s="26"/>
      <c r="K952" s="103"/>
      <c r="L952" s="47"/>
      <c r="M952" s="30"/>
      <c r="N952" s="104"/>
      <c r="O952" s="104"/>
      <c r="P952" s="26"/>
      <c r="Q952" s="26"/>
      <c r="R952" s="26"/>
      <c r="S952" s="30"/>
      <c r="T952" s="84"/>
      <c r="U952" s="84"/>
      <c r="V952" s="105"/>
      <c r="W952" s="106"/>
      <c r="X952" s="33"/>
      <c r="Y952" s="34"/>
      <c r="Z952" s="34"/>
      <c r="AA952" s="34"/>
      <c r="AB952" s="34"/>
      <c r="AC952" s="107"/>
      <c r="AD952" s="35"/>
      <c r="AE952" s="35"/>
      <c r="AF952" s="35"/>
      <c r="AG952" s="35"/>
      <c r="AH952" s="35"/>
      <c r="AI952" s="34"/>
      <c r="AJ952" s="35"/>
      <c r="AK952" s="35"/>
      <c r="AL952" s="34"/>
      <c r="AM952" s="34"/>
      <c r="AN952" s="46"/>
      <c r="AO952" s="48"/>
      <c r="AP952" s="48"/>
      <c r="AQ952" s="48"/>
      <c r="AR952" s="48"/>
      <c r="AS952" s="48"/>
      <c r="AT952" s="48"/>
      <c r="AU952" s="48"/>
      <c r="AV952" s="48"/>
      <c r="AW952" s="48"/>
      <c r="AX952" s="48"/>
      <c r="AY952" s="43"/>
      <c r="AZ952" s="48"/>
      <c r="BA952" s="48"/>
      <c r="BB952" s="48"/>
      <c r="BC952" s="43"/>
      <c r="BD952" s="43"/>
      <c r="BE952" s="44"/>
      <c r="BF952" s="48"/>
      <c r="BG952" s="43"/>
    </row>
    <row r="953">
      <c r="A953" s="98"/>
      <c r="B953" s="99"/>
      <c r="C953" s="99"/>
      <c r="D953" s="21"/>
      <c r="E953" s="22"/>
      <c r="F953" s="100"/>
      <c r="G953" s="101"/>
      <c r="H953" s="100"/>
      <c r="I953" s="102"/>
      <c r="J953" s="26"/>
      <c r="K953" s="103"/>
      <c r="L953" s="47"/>
      <c r="M953" s="30"/>
      <c r="N953" s="104"/>
      <c r="O953" s="104"/>
      <c r="P953" s="26"/>
      <c r="Q953" s="26"/>
      <c r="R953" s="26"/>
      <c r="S953" s="30"/>
      <c r="T953" s="84"/>
      <c r="U953" s="84"/>
      <c r="V953" s="105"/>
      <c r="W953" s="106"/>
      <c r="X953" s="33"/>
      <c r="Y953" s="34"/>
      <c r="Z953" s="34"/>
      <c r="AA953" s="34"/>
      <c r="AB953" s="34"/>
      <c r="AC953" s="107"/>
      <c r="AD953" s="35"/>
      <c r="AE953" s="35"/>
      <c r="AF953" s="35"/>
      <c r="AG953" s="35"/>
      <c r="AH953" s="35"/>
      <c r="AI953" s="34"/>
      <c r="AJ953" s="35"/>
      <c r="AK953" s="35"/>
      <c r="AL953" s="34"/>
      <c r="AM953" s="34"/>
      <c r="AN953" s="46"/>
      <c r="AO953" s="48"/>
      <c r="AP953" s="48"/>
      <c r="AQ953" s="48"/>
      <c r="AR953" s="48"/>
      <c r="AS953" s="48"/>
      <c r="AT953" s="48"/>
      <c r="AU953" s="48"/>
      <c r="AV953" s="48"/>
      <c r="AW953" s="48"/>
      <c r="AX953" s="48"/>
      <c r="AY953" s="43"/>
      <c r="AZ953" s="48"/>
      <c r="BA953" s="48"/>
      <c r="BB953" s="48"/>
      <c r="BC953" s="43"/>
      <c r="BD953" s="43"/>
      <c r="BE953" s="44"/>
      <c r="BF953" s="48"/>
      <c r="BG953" s="43"/>
    </row>
    <row r="954">
      <c r="A954" s="98"/>
      <c r="B954" s="99"/>
      <c r="C954" s="99"/>
      <c r="D954" s="21"/>
      <c r="E954" s="22"/>
      <c r="F954" s="100"/>
      <c r="G954" s="101"/>
      <c r="H954" s="100"/>
      <c r="I954" s="102"/>
      <c r="J954" s="26"/>
      <c r="K954" s="103"/>
      <c r="L954" s="47"/>
      <c r="M954" s="30"/>
      <c r="N954" s="104"/>
      <c r="O954" s="104"/>
      <c r="P954" s="26"/>
      <c r="Q954" s="26"/>
      <c r="R954" s="26"/>
      <c r="S954" s="30"/>
      <c r="T954" s="84"/>
      <c r="U954" s="84"/>
      <c r="V954" s="105"/>
      <c r="W954" s="106"/>
      <c r="X954" s="33"/>
      <c r="Y954" s="34"/>
      <c r="Z954" s="34"/>
      <c r="AA954" s="34"/>
      <c r="AB954" s="34"/>
      <c r="AC954" s="107"/>
      <c r="AD954" s="35"/>
      <c r="AE954" s="35"/>
      <c r="AF954" s="35"/>
      <c r="AG954" s="35"/>
      <c r="AH954" s="35"/>
      <c r="AI954" s="34"/>
      <c r="AJ954" s="35"/>
      <c r="AK954" s="35"/>
      <c r="AL954" s="34"/>
      <c r="AM954" s="34"/>
      <c r="AN954" s="46"/>
      <c r="AO954" s="48"/>
      <c r="AP954" s="48"/>
      <c r="AQ954" s="48"/>
      <c r="AR954" s="48"/>
      <c r="AS954" s="48"/>
      <c r="AT954" s="48"/>
      <c r="AU954" s="48"/>
      <c r="AV954" s="48"/>
      <c r="AW954" s="48"/>
      <c r="AX954" s="48"/>
      <c r="AY954" s="43"/>
      <c r="AZ954" s="48"/>
      <c r="BA954" s="48"/>
      <c r="BB954" s="48"/>
      <c r="BC954" s="43"/>
      <c r="BD954" s="43"/>
      <c r="BE954" s="44"/>
      <c r="BF954" s="48"/>
      <c r="BG954" s="43"/>
    </row>
    <row r="955">
      <c r="A955" s="98"/>
      <c r="B955" s="99"/>
      <c r="C955" s="99"/>
      <c r="D955" s="21"/>
      <c r="E955" s="22"/>
      <c r="F955" s="100"/>
      <c r="G955" s="101"/>
      <c r="H955" s="100"/>
      <c r="I955" s="102"/>
      <c r="J955" s="26"/>
      <c r="K955" s="103"/>
      <c r="L955" s="47"/>
      <c r="M955" s="30"/>
      <c r="N955" s="104"/>
      <c r="O955" s="104"/>
      <c r="P955" s="26"/>
      <c r="Q955" s="26"/>
      <c r="R955" s="26"/>
      <c r="S955" s="30"/>
      <c r="T955" s="84"/>
      <c r="U955" s="84"/>
      <c r="V955" s="105"/>
      <c r="W955" s="106"/>
      <c r="X955" s="33"/>
      <c r="Y955" s="34"/>
      <c r="Z955" s="34"/>
      <c r="AA955" s="34"/>
      <c r="AB955" s="34"/>
      <c r="AC955" s="107"/>
      <c r="AD955" s="35"/>
      <c r="AE955" s="35"/>
      <c r="AF955" s="35"/>
      <c r="AG955" s="35"/>
      <c r="AH955" s="35"/>
      <c r="AI955" s="34"/>
      <c r="AJ955" s="35"/>
      <c r="AK955" s="35"/>
      <c r="AL955" s="34"/>
      <c r="AM955" s="34"/>
      <c r="AN955" s="46"/>
      <c r="AO955" s="48"/>
      <c r="AP955" s="48"/>
      <c r="AQ955" s="48"/>
      <c r="AR955" s="48"/>
      <c r="AS955" s="48"/>
      <c r="AT955" s="48"/>
      <c r="AU955" s="48"/>
      <c r="AV955" s="48"/>
      <c r="AW955" s="48"/>
      <c r="AX955" s="48"/>
      <c r="AY955" s="43"/>
      <c r="AZ955" s="48"/>
      <c r="BA955" s="48"/>
      <c r="BB955" s="48"/>
      <c r="BC955" s="43"/>
      <c r="BD955" s="43"/>
      <c r="BE955" s="44"/>
      <c r="BF955" s="48"/>
      <c r="BG955" s="43"/>
    </row>
    <row r="956">
      <c r="A956" s="98"/>
      <c r="B956" s="99"/>
      <c r="C956" s="99"/>
      <c r="D956" s="21"/>
      <c r="E956" s="22"/>
      <c r="F956" s="100"/>
      <c r="G956" s="101"/>
      <c r="H956" s="100"/>
      <c r="I956" s="102"/>
      <c r="J956" s="26"/>
      <c r="K956" s="103"/>
      <c r="L956" s="47"/>
      <c r="M956" s="30"/>
      <c r="N956" s="104"/>
      <c r="O956" s="104"/>
      <c r="P956" s="26"/>
      <c r="Q956" s="26"/>
      <c r="R956" s="26"/>
      <c r="S956" s="30"/>
      <c r="T956" s="84"/>
      <c r="U956" s="84"/>
      <c r="V956" s="105"/>
      <c r="W956" s="106"/>
      <c r="X956" s="33"/>
      <c r="Y956" s="34"/>
      <c r="Z956" s="34"/>
      <c r="AA956" s="34"/>
      <c r="AB956" s="34"/>
      <c r="AC956" s="107"/>
      <c r="AD956" s="35"/>
      <c r="AE956" s="35"/>
      <c r="AF956" s="35"/>
      <c r="AG956" s="35"/>
      <c r="AH956" s="35"/>
      <c r="AI956" s="34"/>
      <c r="AJ956" s="35"/>
      <c r="AK956" s="35"/>
      <c r="AL956" s="34"/>
      <c r="AM956" s="34"/>
      <c r="AN956" s="46"/>
      <c r="AO956" s="48"/>
      <c r="AP956" s="48"/>
      <c r="AQ956" s="48"/>
      <c r="AR956" s="48"/>
      <c r="AS956" s="48"/>
      <c r="AT956" s="48"/>
      <c r="AU956" s="48"/>
      <c r="AV956" s="48"/>
      <c r="AW956" s="48"/>
      <c r="AX956" s="48"/>
      <c r="AY956" s="43"/>
      <c r="AZ956" s="48"/>
      <c r="BA956" s="48"/>
      <c r="BB956" s="48"/>
      <c r="BC956" s="43"/>
      <c r="BD956" s="43"/>
      <c r="BE956" s="44"/>
      <c r="BF956" s="48"/>
      <c r="BG956" s="43"/>
    </row>
    <row r="957">
      <c r="A957" s="98"/>
      <c r="B957" s="99"/>
      <c r="C957" s="99"/>
      <c r="D957" s="21"/>
      <c r="E957" s="22"/>
      <c r="F957" s="100"/>
      <c r="G957" s="101"/>
      <c r="H957" s="100"/>
      <c r="I957" s="102"/>
      <c r="J957" s="26"/>
      <c r="K957" s="103"/>
      <c r="L957" s="47"/>
      <c r="M957" s="30"/>
      <c r="N957" s="104"/>
      <c r="O957" s="104"/>
      <c r="P957" s="26"/>
      <c r="Q957" s="26"/>
      <c r="R957" s="26"/>
      <c r="S957" s="30"/>
      <c r="T957" s="84"/>
      <c r="U957" s="84"/>
      <c r="V957" s="105"/>
      <c r="W957" s="106"/>
      <c r="X957" s="33"/>
      <c r="Y957" s="34"/>
      <c r="Z957" s="34"/>
      <c r="AA957" s="34"/>
      <c r="AB957" s="34"/>
      <c r="AC957" s="107"/>
      <c r="AD957" s="35"/>
      <c r="AE957" s="35"/>
      <c r="AF957" s="35"/>
      <c r="AG957" s="35"/>
      <c r="AH957" s="35"/>
      <c r="AI957" s="34"/>
      <c r="AJ957" s="35"/>
      <c r="AK957" s="35"/>
      <c r="AL957" s="34"/>
      <c r="AM957" s="34"/>
      <c r="AN957" s="46"/>
      <c r="AO957" s="48"/>
      <c r="AP957" s="48"/>
      <c r="AQ957" s="48"/>
      <c r="AR957" s="48"/>
      <c r="AS957" s="48"/>
      <c r="AT957" s="48"/>
      <c r="AU957" s="48"/>
      <c r="AV957" s="48"/>
      <c r="AW957" s="48"/>
      <c r="AX957" s="48"/>
      <c r="AY957" s="43"/>
      <c r="AZ957" s="48"/>
      <c r="BA957" s="48"/>
      <c r="BB957" s="48"/>
      <c r="BC957" s="43"/>
      <c r="BD957" s="43"/>
      <c r="BE957" s="44"/>
      <c r="BF957" s="48"/>
      <c r="BG957" s="43"/>
    </row>
    <row r="958">
      <c r="A958" s="98"/>
      <c r="B958" s="99"/>
      <c r="C958" s="99"/>
      <c r="D958" s="21"/>
      <c r="E958" s="22"/>
      <c r="F958" s="100"/>
      <c r="G958" s="101"/>
      <c r="H958" s="100"/>
      <c r="I958" s="102"/>
      <c r="J958" s="26"/>
      <c r="K958" s="103"/>
      <c r="L958" s="47"/>
      <c r="M958" s="30"/>
      <c r="N958" s="104"/>
      <c r="O958" s="104"/>
      <c r="P958" s="26"/>
      <c r="Q958" s="26"/>
      <c r="R958" s="26"/>
      <c r="S958" s="30"/>
      <c r="T958" s="84"/>
      <c r="U958" s="84"/>
      <c r="V958" s="105"/>
      <c r="W958" s="106"/>
      <c r="X958" s="33"/>
      <c r="Y958" s="34"/>
      <c r="Z958" s="34"/>
      <c r="AA958" s="34"/>
      <c r="AB958" s="34"/>
      <c r="AC958" s="107"/>
      <c r="AD958" s="35"/>
      <c r="AE958" s="35"/>
      <c r="AF958" s="35"/>
      <c r="AG958" s="35"/>
      <c r="AH958" s="35"/>
      <c r="AI958" s="34"/>
      <c r="AJ958" s="35"/>
      <c r="AK958" s="35"/>
      <c r="AL958" s="34"/>
      <c r="AM958" s="34"/>
      <c r="AN958" s="46"/>
      <c r="AO958" s="48"/>
      <c r="AP958" s="48"/>
      <c r="AQ958" s="48"/>
      <c r="AR958" s="48"/>
      <c r="AS958" s="48"/>
      <c r="AT958" s="48"/>
      <c r="AU958" s="48"/>
      <c r="AV958" s="48"/>
      <c r="AW958" s="48"/>
      <c r="AX958" s="48"/>
      <c r="AY958" s="43"/>
      <c r="AZ958" s="48"/>
      <c r="BA958" s="48"/>
      <c r="BB958" s="48"/>
      <c r="BC958" s="43"/>
      <c r="BD958" s="43"/>
      <c r="BE958" s="44"/>
      <c r="BF958" s="48"/>
      <c r="BG958" s="43"/>
    </row>
    <row r="959">
      <c r="A959" s="98"/>
      <c r="B959" s="99"/>
      <c r="C959" s="99"/>
      <c r="D959" s="21"/>
      <c r="E959" s="22"/>
      <c r="F959" s="100"/>
      <c r="G959" s="101"/>
      <c r="H959" s="100"/>
      <c r="I959" s="102"/>
      <c r="J959" s="26"/>
      <c r="K959" s="103"/>
      <c r="L959" s="47"/>
      <c r="M959" s="30"/>
      <c r="N959" s="104"/>
      <c r="O959" s="104"/>
      <c r="P959" s="26"/>
      <c r="Q959" s="26"/>
      <c r="R959" s="26"/>
      <c r="S959" s="30"/>
      <c r="T959" s="84"/>
      <c r="U959" s="84"/>
      <c r="V959" s="105"/>
      <c r="W959" s="106"/>
      <c r="X959" s="33"/>
      <c r="Y959" s="34"/>
      <c r="Z959" s="34"/>
      <c r="AA959" s="34"/>
      <c r="AB959" s="34"/>
      <c r="AC959" s="107"/>
      <c r="AD959" s="35"/>
      <c r="AE959" s="35"/>
      <c r="AF959" s="35"/>
      <c r="AG959" s="35"/>
      <c r="AH959" s="35"/>
      <c r="AI959" s="34"/>
      <c r="AJ959" s="35"/>
      <c r="AK959" s="35"/>
      <c r="AL959" s="34"/>
      <c r="AM959" s="34"/>
      <c r="AN959" s="46"/>
      <c r="AO959" s="48"/>
      <c r="AP959" s="48"/>
      <c r="AQ959" s="48"/>
      <c r="AR959" s="48"/>
      <c r="AS959" s="48"/>
      <c r="AT959" s="48"/>
      <c r="AU959" s="48"/>
      <c r="AV959" s="48"/>
      <c r="AW959" s="48"/>
      <c r="AX959" s="48"/>
      <c r="AY959" s="43"/>
      <c r="AZ959" s="48"/>
      <c r="BA959" s="48"/>
      <c r="BB959" s="48"/>
      <c r="BC959" s="43"/>
      <c r="BD959" s="43"/>
      <c r="BE959" s="44"/>
      <c r="BF959" s="48"/>
      <c r="BG959" s="43"/>
    </row>
    <row r="960">
      <c r="A960" s="98"/>
      <c r="B960" s="99"/>
      <c r="C960" s="99"/>
      <c r="D960" s="21"/>
      <c r="E960" s="22"/>
      <c r="F960" s="100"/>
      <c r="G960" s="101"/>
      <c r="H960" s="100"/>
      <c r="I960" s="102"/>
      <c r="J960" s="26"/>
      <c r="K960" s="103"/>
      <c r="L960" s="47"/>
      <c r="M960" s="30"/>
      <c r="N960" s="104"/>
      <c r="O960" s="104"/>
      <c r="P960" s="26"/>
      <c r="Q960" s="26"/>
      <c r="R960" s="26"/>
      <c r="S960" s="30"/>
      <c r="T960" s="84"/>
      <c r="U960" s="84"/>
      <c r="V960" s="105"/>
      <c r="W960" s="106"/>
      <c r="X960" s="33"/>
      <c r="Y960" s="34"/>
      <c r="Z960" s="34"/>
      <c r="AA960" s="34"/>
      <c r="AB960" s="34"/>
      <c r="AC960" s="107"/>
      <c r="AD960" s="35"/>
      <c r="AE960" s="35"/>
      <c r="AF960" s="35"/>
      <c r="AG960" s="35"/>
      <c r="AH960" s="35"/>
      <c r="AI960" s="34"/>
      <c r="AJ960" s="35"/>
      <c r="AK960" s="35"/>
      <c r="AL960" s="34"/>
      <c r="AM960" s="34"/>
      <c r="AN960" s="46"/>
      <c r="AO960" s="48"/>
      <c r="AP960" s="48"/>
      <c r="AQ960" s="48"/>
      <c r="AR960" s="48"/>
      <c r="AS960" s="48"/>
      <c r="AT960" s="48"/>
      <c r="AU960" s="48"/>
      <c r="AV960" s="48"/>
      <c r="AW960" s="48"/>
      <c r="AX960" s="48"/>
      <c r="AY960" s="43"/>
      <c r="AZ960" s="48"/>
      <c r="BA960" s="48"/>
      <c r="BB960" s="48"/>
      <c r="BC960" s="43"/>
      <c r="BD960" s="43"/>
      <c r="BE960" s="44"/>
      <c r="BF960" s="48"/>
      <c r="BG960" s="43"/>
    </row>
    <row r="961">
      <c r="A961" s="98"/>
      <c r="B961" s="99"/>
      <c r="C961" s="99"/>
      <c r="D961" s="21"/>
      <c r="E961" s="22"/>
      <c r="F961" s="100"/>
      <c r="G961" s="101"/>
      <c r="H961" s="100"/>
      <c r="I961" s="102"/>
      <c r="J961" s="26"/>
      <c r="K961" s="103"/>
      <c r="L961" s="47"/>
      <c r="M961" s="30"/>
      <c r="N961" s="104"/>
      <c r="O961" s="104"/>
      <c r="P961" s="26"/>
      <c r="Q961" s="26"/>
      <c r="R961" s="26"/>
      <c r="S961" s="30"/>
      <c r="T961" s="84"/>
      <c r="U961" s="84"/>
      <c r="V961" s="105"/>
      <c r="W961" s="106"/>
      <c r="X961" s="33"/>
      <c r="Y961" s="34"/>
      <c r="Z961" s="34"/>
      <c r="AA961" s="34"/>
      <c r="AB961" s="34"/>
      <c r="AC961" s="107"/>
      <c r="AD961" s="35"/>
      <c r="AE961" s="35"/>
      <c r="AF961" s="35"/>
      <c r="AG961" s="35"/>
      <c r="AH961" s="35"/>
      <c r="AI961" s="34"/>
      <c r="AJ961" s="35"/>
      <c r="AK961" s="35"/>
      <c r="AL961" s="34"/>
      <c r="AM961" s="34"/>
      <c r="AN961" s="46"/>
      <c r="AO961" s="48"/>
      <c r="AP961" s="48"/>
      <c r="AQ961" s="48"/>
      <c r="AR961" s="48"/>
      <c r="AS961" s="48"/>
      <c r="AT961" s="48"/>
      <c r="AU961" s="48"/>
      <c r="AV961" s="48"/>
      <c r="AW961" s="48"/>
      <c r="AX961" s="48"/>
      <c r="AY961" s="43"/>
      <c r="AZ961" s="48"/>
      <c r="BA961" s="48"/>
      <c r="BB961" s="48"/>
      <c r="BC961" s="43"/>
      <c r="BD961" s="43"/>
      <c r="BE961" s="44"/>
      <c r="BF961" s="48"/>
      <c r="BG961" s="43"/>
    </row>
    <row r="962">
      <c r="A962" s="98"/>
      <c r="B962" s="99"/>
      <c r="C962" s="99"/>
      <c r="D962" s="21"/>
      <c r="E962" s="22"/>
      <c r="F962" s="100"/>
      <c r="G962" s="101"/>
      <c r="H962" s="100"/>
      <c r="I962" s="102"/>
      <c r="J962" s="26"/>
      <c r="K962" s="103"/>
      <c r="L962" s="47"/>
      <c r="M962" s="30"/>
      <c r="N962" s="104"/>
      <c r="O962" s="104"/>
      <c r="P962" s="26"/>
      <c r="Q962" s="26"/>
      <c r="R962" s="26"/>
      <c r="S962" s="30"/>
      <c r="T962" s="84"/>
      <c r="U962" s="84"/>
      <c r="V962" s="105"/>
      <c r="W962" s="106"/>
      <c r="X962" s="33"/>
      <c r="Y962" s="34"/>
      <c r="Z962" s="34"/>
      <c r="AA962" s="34"/>
      <c r="AB962" s="34"/>
      <c r="AC962" s="107"/>
      <c r="AD962" s="35"/>
      <c r="AE962" s="35"/>
      <c r="AF962" s="35"/>
      <c r="AG962" s="35"/>
      <c r="AH962" s="35"/>
      <c r="AI962" s="34"/>
      <c r="AJ962" s="35"/>
      <c r="AK962" s="35"/>
      <c r="AL962" s="34"/>
      <c r="AM962" s="34"/>
      <c r="AN962" s="46"/>
      <c r="AO962" s="48"/>
      <c r="AP962" s="48"/>
      <c r="AQ962" s="48"/>
      <c r="AR962" s="48"/>
      <c r="AS962" s="48"/>
      <c r="AT962" s="48"/>
      <c r="AU962" s="48"/>
      <c r="AV962" s="48"/>
      <c r="AW962" s="48"/>
      <c r="AX962" s="48"/>
      <c r="AY962" s="43"/>
      <c r="AZ962" s="48"/>
      <c r="BA962" s="48"/>
      <c r="BB962" s="48"/>
      <c r="BC962" s="43"/>
      <c r="BD962" s="43"/>
      <c r="BE962" s="44"/>
      <c r="BF962" s="48"/>
      <c r="BG962" s="43"/>
    </row>
    <row r="963">
      <c r="A963" s="98"/>
      <c r="B963" s="99"/>
      <c r="C963" s="99"/>
      <c r="D963" s="21"/>
      <c r="E963" s="22"/>
      <c r="F963" s="100"/>
      <c r="G963" s="101"/>
      <c r="H963" s="100"/>
      <c r="I963" s="102"/>
      <c r="J963" s="26"/>
      <c r="K963" s="103"/>
      <c r="L963" s="47"/>
      <c r="M963" s="30"/>
      <c r="N963" s="104"/>
      <c r="O963" s="104"/>
      <c r="P963" s="26"/>
      <c r="Q963" s="26"/>
      <c r="R963" s="26"/>
      <c r="S963" s="30"/>
      <c r="T963" s="84"/>
      <c r="U963" s="84"/>
      <c r="V963" s="105"/>
      <c r="W963" s="106"/>
      <c r="X963" s="33"/>
      <c r="Y963" s="34"/>
      <c r="Z963" s="34"/>
      <c r="AA963" s="34"/>
      <c r="AB963" s="34"/>
      <c r="AC963" s="107"/>
      <c r="AD963" s="35"/>
      <c r="AE963" s="35"/>
      <c r="AF963" s="35"/>
      <c r="AG963" s="35"/>
      <c r="AH963" s="35"/>
      <c r="AI963" s="34"/>
      <c r="AJ963" s="35"/>
      <c r="AK963" s="35"/>
      <c r="AL963" s="34"/>
      <c r="AM963" s="34"/>
      <c r="AN963" s="46"/>
      <c r="AO963" s="48"/>
      <c r="AP963" s="48"/>
      <c r="AQ963" s="48"/>
      <c r="AR963" s="48"/>
      <c r="AS963" s="48"/>
      <c r="AT963" s="48"/>
      <c r="AU963" s="48"/>
      <c r="AV963" s="48"/>
      <c r="AW963" s="48"/>
      <c r="AX963" s="48"/>
      <c r="AY963" s="43"/>
      <c r="AZ963" s="48"/>
      <c r="BA963" s="48"/>
      <c r="BB963" s="48"/>
      <c r="BC963" s="43"/>
      <c r="BD963" s="43"/>
      <c r="BE963" s="44"/>
      <c r="BF963" s="48"/>
      <c r="BG963" s="43"/>
    </row>
    <row r="964">
      <c r="A964" s="98"/>
      <c r="B964" s="99"/>
      <c r="C964" s="99"/>
      <c r="D964" s="21"/>
      <c r="E964" s="22"/>
      <c r="F964" s="100"/>
      <c r="G964" s="101"/>
      <c r="H964" s="100"/>
      <c r="I964" s="102"/>
      <c r="J964" s="26"/>
      <c r="K964" s="103"/>
      <c r="L964" s="47"/>
      <c r="M964" s="30"/>
      <c r="N964" s="104"/>
      <c r="O964" s="104"/>
      <c r="P964" s="26"/>
      <c r="Q964" s="26"/>
      <c r="R964" s="26"/>
      <c r="S964" s="30"/>
      <c r="T964" s="84"/>
      <c r="U964" s="84"/>
      <c r="V964" s="105"/>
      <c r="W964" s="106"/>
      <c r="X964" s="33"/>
      <c r="Y964" s="34"/>
      <c r="Z964" s="34"/>
      <c r="AA964" s="34"/>
      <c r="AB964" s="34"/>
      <c r="AC964" s="107"/>
      <c r="AD964" s="35"/>
      <c r="AE964" s="35"/>
      <c r="AF964" s="35"/>
      <c r="AG964" s="35"/>
      <c r="AH964" s="35"/>
      <c r="AI964" s="34"/>
      <c r="AJ964" s="35"/>
      <c r="AK964" s="35"/>
      <c r="AL964" s="34"/>
      <c r="AM964" s="34"/>
      <c r="AN964" s="46"/>
      <c r="AO964" s="48"/>
      <c r="AP964" s="48"/>
      <c r="AQ964" s="48"/>
      <c r="AR964" s="48"/>
      <c r="AS964" s="48"/>
      <c r="AT964" s="48"/>
      <c r="AU964" s="48"/>
      <c r="AV964" s="48"/>
      <c r="AW964" s="48"/>
      <c r="AX964" s="48"/>
      <c r="AY964" s="43"/>
      <c r="AZ964" s="48"/>
      <c r="BA964" s="48"/>
      <c r="BB964" s="48"/>
      <c r="BC964" s="43"/>
      <c r="BD964" s="43"/>
      <c r="BE964" s="44"/>
      <c r="BF964" s="48"/>
      <c r="BG964" s="43"/>
    </row>
    <row r="965">
      <c r="A965" s="98"/>
      <c r="B965" s="99"/>
      <c r="C965" s="99"/>
      <c r="D965" s="21"/>
      <c r="E965" s="22"/>
      <c r="F965" s="100"/>
      <c r="G965" s="101"/>
      <c r="H965" s="100"/>
      <c r="I965" s="102"/>
      <c r="J965" s="26"/>
      <c r="K965" s="103"/>
      <c r="L965" s="47"/>
      <c r="M965" s="30"/>
      <c r="N965" s="104"/>
      <c r="O965" s="104"/>
      <c r="P965" s="26"/>
      <c r="Q965" s="26"/>
      <c r="R965" s="26"/>
      <c r="S965" s="30"/>
      <c r="T965" s="84"/>
      <c r="U965" s="84"/>
      <c r="V965" s="105"/>
      <c r="W965" s="106"/>
      <c r="X965" s="33"/>
      <c r="Y965" s="34"/>
      <c r="Z965" s="34"/>
      <c r="AA965" s="34"/>
      <c r="AB965" s="34"/>
      <c r="AC965" s="107"/>
      <c r="AD965" s="35"/>
      <c r="AE965" s="35"/>
      <c r="AF965" s="35"/>
      <c r="AG965" s="35"/>
      <c r="AH965" s="35"/>
      <c r="AI965" s="34"/>
      <c r="AJ965" s="35"/>
      <c r="AK965" s="35"/>
      <c r="AL965" s="34"/>
      <c r="AM965" s="34"/>
      <c r="AN965" s="46"/>
      <c r="AO965" s="48"/>
      <c r="AP965" s="48"/>
      <c r="AQ965" s="48"/>
      <c r="AR965" s="48"/>
      <c r="AS965" s="48"/>
      <c r="AT965" s="48"/>
      <c r="AU965" s="48"/>
      <c r="AV965" s="48"/>
      <c r="AW965" s="48"/>
      <c r="AX965" s="48"/>
      <c r="AY965" s="43"/>
      <c r="AZ965" s="48"/>
      <c r="BA965" s="48"/>
      <c r="BB965" s="48"/>
      <c r="BC965" s="43"/>
      <c r="BD965" s="43"/>
      <c r="BE965" s="44"/>
      <c r="BF965" s="48"/>
      <c r="BG965" s="43"/>
    </row>
    <row r="966">
      <c r="A966" s="98"/>
      <c r="B966" s="99"/>
      <c r="C966" s="99"/>
      <c r="D966" s="21"/>
      <c r="E966" s="22"/>
      <c r="F966" s="100"/>
      <c r="G966" s="101"/>
      <c r="H966" s="100"/>
      <c r="I966" s="102"/>
      <c r="J966" s="26"/>
      <c r="K966" s="103"/>
      <c r="L966" s="47"/>
      <c r="M966" s="30"/>
      <c r="N966" s="104"/>
      <c r="O966" s="104"/>
      <c r="P966" s="26"/>
      <c r="Q966" s="26"/>
      <c r="R966" s="26"/>
      <c r="S966" s="30"/>
      <c r="T966" s="84"/>
      <c r="U966" s="84"/>
      <c r="V966" s="105"/>
      <c r="W966" s="106"/>
      <c r="X966" s="33"/>
      <c r="Y966" s="34"/>
      <c r="Z966" s="34"/>
      <c r="AA966" s="34"/>
      <c r="AB966" s="34"/>
      <c r="AC966" s="107"/>
      <c r="AD966" s="35"/>
      <c r="AE966" s="35"/>
      <c r="AF966" s="35"/>
      <c r="AG966" s="35"/>
      <c r="AH966" s="35"/>
      <c r="AI966" s="34"/>
      <c r="AJ966" s="35"/>
      <c r="AK966" s="35"/>
      <c r="AL966" s="34"/>
      <c r="AM966" s="34"/>
      <c r="AN966" s="46"/>
      <c r="AO966" s="48"/>
      <c r="AP966" s="48"/>
      <c r="AQ966" s="48"/>
      <c r="AR966" s="48"/>
      <c r="AS966" s="48"/>
      <c r="AT966" s="48"/>
      <c r="AU966" s="48"/>
      <c r="AV966" s="48"/>
      <c r="AW966" s="48"/>
      <c r="AX966" s="48"/>
      <c r="AY966" s="43"/>
      <c r="AZ966" s="48"/>
      <c r="BA966" s="48"/>
      <c r="BB966" s="48"/>
      <c r="BC966" s="43"/>
      <c r="BD966" s="43"/>
      <c r="BE966" s="44"/>
      <c r="BF966" s="48"/>
      <c r="BG966" s="43"/>
    </row>
    <row r="967">
      <c r="A967" s="98"/>
      <c r="B967" s="99"/>
      <c r="C967" s="99"/>
      <c r="D967" s="21"/>
      <c r="E967" s="22"/>
      <c r="F967" s="100"/>
      <c r="G967" s="101"/>
      <c r="H967" s="100"/>
      <c r="I967" s="102"/>
      <c r="J967" s="26"/>
      <c r="K967" s="103"/>
      <c r="L967" s="47"/>
      <c r="M967" s="30"/>
      <c r="N967" s="104"/>
      <c r="O967" s="104"/>
      <c r="P967" s="26"/>
      <c r="Q967" s="26"/>
      <c r="R967" s="26"/>
      <c r="S967" s="30"/>
      <c r="T967" s="84"/>
      <c r="U967" s="84"/>
      <c r="V967" s="105"/>
      <c r="W967" s="106"/>
      <c r="X967" s="33"/>
      <c r="Y967" s="34"/>
      <c r="Z967" s="34"/>
      <c r="AA967" s="34"/>
      <c r="AB967" s="34"/>
      <c r="AC967" s="107"/>
      <c r="AD967" s="35"/>
      <c r="AE967" s="35"/>
      <c r="AF967" s="35"/>
      <c r="AG967" s="35"/>
      <c r="AH967" s="35"/>
      <c r="AI967" s="34"/>
      <c r="AJ967" s="35"/>
      <c r="AK967" s="35"/>
      <c r="AL967" s="34"/>
      <c r="AM967" s="34"/>
      <c r="AN967" s="46"/>
      <c r="AO967" s="48"/>
      <c r="AP967" s="48"/>
      <c r="AQ967" s="48"/>
      <c r="AR967" s="48"/>
      <c r="AS967" s="48"/>
      <c r="AT967" s="48"/>
      <c r="AU967" s="48"/>
      <c r="AV967" s="48"/>
      <c r="AW967" s="48"/>
      <c r="AX967" s="48"/>
      <c r="AY967" s="43"/>
      <c r="AZ967" s="48"/>
      <c r="BA967" s="48"/>
      <c r="BB967" s="48"/>
      <c r="BC967" s="43"/>
      <c r="BD967" s="43"/>
      <c r="BE967" s="44"/>
      <c r="BF967" s="48"/>
      <c r="BG967" s="43"/>
    </row>
    <row r="968">
      <c r="A968" s="98"/>
      <c r="B968" s="99"/>
      <c r="C968" s="99"/>
      <c r="D968" s="21"/>
      <c r="E968" s="22"/>
      <c r="F968" s="100"/>
      <c r="G968" s="101"/>
      <c r="H968" s="100"/>
      <c r="I968" s="102"/>
      <c r="J968" s="26"/>
      <c r="K968" s="103"/>
      <c r="L968" s="47"/>
      <c r="M968" s="30"/>
      <c r="N968" s="104"/>
      <c r="O968" s="104"/>
      <c r="P968" s="26"/>
      <c r="Q968" s="26"/>
      <c r="R968" s="26"/>
      <c r="S968" s="30"/>
      <c r="T968" s="84"/>
      <c r="U968" s="84"/>
      <c r="V968" s="105"/>
      <c r="W968" s="106"/>
      <c r="X968" s="33"/>
      <c r="Y968" s="34"/>
      <c r="Z968" s="34"/>
      <c r="AA968" s="34"/>
      <c r="AB968" s="34"/>
      <c r="AC968" s="107"/>
      <c r="AD968" s="35"/>
      <c r="AE968" s="35"/>
      <c r="AF968" s="35"/>
      <c r="AG968" s="35"/>
      <c r="AH968" s="35"/>
      <c r="AI968" s="34"/>
      <c r="AJ968" s="35"/>
      <c r="AK968" s="35"/>
      <c r="AL968" s="34"/>
      <c r="AM968" s="34"/>
      <c r="AN968" s="46"/>
      <c r="AO968" s="48"/>
      <c r="AP968" s="48"/>
      <c r="AQ968" s="48"/>
      <c r="AR968" s="48"/>
      <c r="AS968" s="48"/>
      <c r="AT968" s="48"/>
      <c r="AU968" s="48"/>
      <c r="AV968" s="48"/>
      <c r="AW968" s="48"/>
      <c r="AX968" s="48"/>
      <c r="AY968" s="43"/>
      <c r="AZ968" s="48"/>
      <c r="BA968" s="48"/>
      <c r="BB968" s="48"/>
      <c r="BC968" s="43"/>
      <c r="BD968" s="43"/>
      <c r="BE968" s="44"/>
      <c r="BF968" s="48"/>
      <c r="BG968" s="43"/>
    </row>
    <row r="969">
      <c r="A969" s="98"/>
      <c r="B969" s="99"/>
      <c r="C969" s="99"/>
      <c r="D969" s="21"/>
      <c r="E969" s="22"/>
      <c r="F969" s="100"/>
      <c r="G969" s="101"/>
      <c r="H969" s="100"/>
      <c r="I969" s="102"/>
      <c r="J969" s="26"/>
      <c r="K969" s="103"/>
      <c r="L969" s="47"/>
      <c r="M969" s="30"/>
      <c r="N969" s="104"/>
      <c r="O969" s="104"/>
      <c r="P969" s="26"/>
      <c r="Q969" s="26"/>
      <c r="R969" s="26"/>
      <c r="S969" s="30"/>
      <c r="T969" s="84"/>
      <c r="U969" s="84"/>
      <c r="V969" s="105"/>
      <c r="W969" s="106"/>
      <c r="X969" s="33"/>
      <c r="Y969" s="34"/>
      <c r="Z969" s="34"/>
      <c r="AA969" s="34"/>
      <c r="AB969" s="34"/>
      <c r="AC969" s="107"/>
      <c r="AD969" s="35"/>
      <c r="AE969" s="35"/>
      <c r="AF969" s="35"/>
      <c r="AG969" s="35"/>
      <c r="AH969" s="35"/>
      <c r="AI969" s="34"/>
      <c r="AJ969" s="35"/>
      <c r="AK969" s="35"/>
      <c r="AL969" s="34"/>
      <c r="AM969" s="34"/>
      <c r="AN969" s="46"/>
      <c r="AO969" s="48"/>
      <c r="AP969" s="48"/>
      <c r="AQ969" s="48"/>
      <c r="AR969" s="48"/>
      <c r="AS969" s="48"/>
      <c r="AT969" s="48"/>
      <c r="AU969" s="48"/>
      <c r="AV969" s="48"/>
      <c r="AW969" s="48"/>
      <c r="AX969" s="48"/>
      <c r="AY969" s="43"/>
      <c r="AZ969" s="48"/>
      <c r="BA969" s="48"/>
      <c r="BB969" s="48"/>
      <c r="BC969" s="43"/>
      <c r="BD969" s="43"/>
      <c r="BE969" s="44"/>
      <c r="BF969" s="48"/>
      <c r="BG969" s="43"/>
    </row>
    <row r="970">
      <c r="A970" s="98"/>
      <c r="B970" s="99"/>
      <c r="C970" s="99"/>
      <c r="D970" s="21"/>
      <c r="E970" s="22"/>
      <c r="F970" s="100"/>
      <c r="G970" s="101"/>
      <c r="H970" s="100"/>
      <c r="I970" s="102"/>
      <c r="J970" s="26"/>
      <c r="K970" s="103"/>
      <c r="L970" s="47"/>
      <c r="M970" s="30"/>
      <c r="N970" s="104"/>
      <c r="O970" s="104"/>
      <c r="P970" s="26"/>
      <c r="Q970" s="26"/>
      <c r="R970" s="26"/>
      <c r="S970" s="30"/>
      <c r="T970" s="84"/>
      <c r="U970" s="84"/>
      <c r="V970" s="105"/>
      <c r="W970" s="106"/>
      <c r="X970" s="33"/>
      <c r="Y970" s="34"/>
      <c r="Z970" s="34"/>
      <c r="AA970" s="34"/>
      <c r="AB970" s="34"/>
      <c r="AC970" s="107"/>
      <c r="AD970" s="35"/>
      <c r="AE970" s="35"/>
      <c r="AF970" s="35"/>
      <c r="AG970" s="35"/>
      <c r="AH970" s="35"/>
      <c r="AI970" s="34"/>
      <c r="AJ970" s="35"/>
      <c r="AK970" s="35"/>
      <c r="AL970" s="34"/>
      <c r="AM970" s="34"/>
      <c r="AN970" s="46"/>
      <c r="AO970" s="48"/>
      <c r="AP970" s="48"/>
      <c r="AQ970" s="48"/>
      <c r="AR970" s="48"/>
      <c r="AS970" s="48"/>
      <c r="AT970" s="48"/>
      <c r="AU970" s="48"/>
      <c r="AV970" s="48"/>
      <c r="AW970" s="48"/>
      <c r="AX970" s="48"/>
      <c r="AY970" s="43"/>
      <c r="AZ970" s="48"/>
      <c r="BA970" s="48"/>
      <c r="BB970" s="48"/>
      <c r="BC970" s="43"/>
      <c r="BD970" s="43"/>
      <c r="BE970" s="44"/>
      <c r="BF970" s="48"/>
      <c r="BG970" s="43"/>
    </row>
    <row r="971">
      <c r="A971" s="98"/>
      <c r="B971" s="99"/>
      <c r="C971" s="99"/>
      <c r="D971" s="21"/>
      <c r="E971" s="22"/>
      <c r="F971" s="100"/>
      <c r="G971" s="101"/>
      <c r="H971" s="100"/>
      <c r="I971" s="102"/>
      <c r="J971" s="26"/>
      <c r="K971" s="103"/>
      <c r="L971" s="47"/>
      <c r="M971" s="30"/>
      <c r="N971" s="104"/>
      <c r="O971" s="104"/>
      <c r="P971" s="26"/>
      <c r="Q971" s="26"/>
      <c r="R971" s="26"/>
      <c r="S971" s="30"/>
      <c r="T971" s="84"/>
      <c r="U971" s="84"/>
      <c r="V971" s="105"/>
      <c r="W971" s="106"/>
      <c r="X971" s="33"/>
      <c r="Y971" s="34"/>
      <c r="Z971" s="34"/>
      <c r="AA971" s="34"/>
      <c r="AB971" s="34"/>
      <c r="AC971" s="107"/>
      <c r="AD971" s="35"/>
      <c r="AE971" s="35"/>
      <c r="AF971" s="35"/>
      <c r="AG971" s="35"/>
      <c r="AH971" s="35"/>
      <c r="AI971" s="34"/>
      <c r="AJ971" s="35"/>
      <c r="AK971" s="35"/>
      <c r="AL971" s="34"/>
      <c r="AM971" s="34"/>
      <c r="AN971" s="46"/>
      <c r="AO971" s="48"/>
      <c r="AP971" s="48"/>
      <c r="AQ971" s="48"/>
      <c r="AR971" s="48"/>
      <c r="AS971" s="48"/>
      <c r="AT971" s="48"/>
      <c r="AU971" s="48"/>
      <c r="AV971" s="48"/>
      <c r="AW971" s="48"/>
      <c r="AX971" s="48"/>
      <c r="AY971" s="43"/>
      <c r="AZ971" s="48"/>
      <c r="BA971" s="48"/>
      <c r="BB971" s="48"/>
      <c r="BC971" s="43"/>
      <c r="BD971" s="43"/>
      <c r="BE971" s="44"/>
      <c r="BF971" s="48"/>
      <c r="BG971" s="43"/>
    </row>
    <row r="972">
      <c r="A972" s="98"/>
      <c r="B972" s="99"/>
      <c r="C972" s="99"/>
      <c r="D972" s="21"/>
      <c r="E972" s="22"/>
      <c r="F972" s="100"/>
      <c r="G972" s="101"/>
      <c r="H972" s="100"/>
      <c r="I972" s="102"/>
      <c r="J972" s="26"/>
      <c r="K972" s="103"/>
      <c r="L972" s="47"/>
      <c r="M972" s="30"/>
      <c r="N972" s="104"/>
      <c r="O972" s="104"/>
      <c r="P972" s="26"/>
      <c r="Q972" s="26"/>
      <c r="R972" s="26"/>
      <c r="S972" s="30"/>
      <c r="T972" s="84"/>
      <c r="U972" s="84"/>
      <c r="V972" s="105"/>
      <c r="W972" s="106"/>
      <c r="X972" s="33"/>
      <c r="Y972" s="34"/>
      <c r="Z972" s="34"/>
      <c r="AA972" s="34"/>
      <c r="AB972" s="34"/>
      <c r="AC972" s="107"/>
      <c r="AD972" s="35"/>
      <c r="AE972" s="35"/>
      <c r="AF972" s="35"/>
      <c r="AG972" s="35"/>
      <c r="AH972" s="35"/>
      <c r="AI972" s="34"/>
      <c r="AJ972" s="35"/>
      <c r="AK972" s="35"/>
      <c r="AL972" s="34"/>
      <c r="AM972" s="34"/>
      <c r="AN972" s="46"/>
      <c r="AO972" s="48"/>
      <c r="AP972" s="48"/>
      <c r="AQ972" s="48"/>
      <c r="AR972" s="48"/>
      <c r="AS972" s="48"/>
      <c r="AT972" s="48"/>
      <c r="AU972" s="48"/>
      <c r="AV972" s="48"/>
      <c r="AW972" s="48"/>
      <c r="AX972" s="48"/>
      <c r="AY972" s="43"/>
      <c r="AZ972" s="48"/>
      <c r="BA972" s="48"/>
      <c r="BB972" s="48"/>
      <c r="BC972" s="43"/>
      <c r="BD972" s="43"/>
      <c r="BE972" s="44"/>
      <c r="BF972" s="48"/>
      <c r="BG972" s="43"/>
    </row>
    <row r="973">
      <c r="A973" s="98"/>
      <c r="B973" s="99"/>
      <c r="C973" s="99"/>
      <c r="D973" s="21"/>
      <c r="E973" s="22"/>
      <c r="F973" s="100"/>
      <c r="G973" s="101"/>
      <c r="H973" s="100"/>
      <c r="I973" s="102"/>
      <c r="J973" s="26"/>
      <c r="K973" s="103"/>
      <c r="L973" s="47"/>
      <c r="M973" s="30"/>
      <c r="N973" s="104"/>
      <c r="O973" s="104"/>
      <c r="P973" s="26"/>
      <c r="Q973" s="26"/>
      <c r="R973" s="26"/>
      <c r="S973" s="30"/>
      <c r="T973" s="84"/>
      <c r="U973" s="84"/>
      <c r="V973" s="105"/>
      <c r="W973" s="106"/>
      <c r="X973" s="33"/>
      <c r="Y973" s="34"/>
      <c r="Z973" s="34"/>
      <c r="AA973" s="34"/>
      <c r="AB973" s="34"/>
      <c r="AC973" s="107"/>
      <c r="AD973" s="35"/>
      <c r="AE973" s="35"/>
      <c r="AF973" s="35"/>
      <c r="AG973" s="35"/>
      <c r="AH973" s="35"/>
      <c r="AI973" s="34"/>
      <c r="AJ973" s="35"/>
      <c r="AK973" s="35"/>
      <c r="AL973" s="34"/>
      <c r="AM973" s="34"/>
      <c r="AN973" s="46"/>
      <c r="AO973" s="48"/>
      <c r="AP973" s="48"/>
      <c r="AQ973" s="48"/>
      <c r="AR973" s="48"/>
      <c r="AS973" s="48"/>
      <c r="AT973" s="48"/>
      <c r="AU973" s="48"/>
      <c r="AV973" s="48"/>
      <c r="AW973" s="48"/>
      <c r="AX973" s="48"/>
      <c r="AY973" s="43"/>
      <c r="AZ973" s="48"/>
      <c r="BA973" s="48"/>
      <c r="BB973" s="48"/>
      <c r="BC973" s="43"/>
      <c r="BD973" s="43"/>
      <c r="BE973" s="44"/>
      <c r="BF973" s="48"/>
      <c r="BG973" s="43"/>
    </row>
    <row r="974">
      <c r="A974" s="98"/>
      <c r="B974" s="99"/>
      <c r="C974" s="99"/>
      <c r="D974" s="21"/>
      <c r="E974" s="22"/>
      <c r="F974" s="100"/>
      <c r="G974" s="101"/>
      <c r="H974" s="100"/>
      <c r="I974" s="102"/>
      <c r="J974" s="26"/>
      <c r="K974" s="103"/>
      <c r="L974" s="47"/>
      <c r="M974" s="30"/>
      <c r="N974" s="104"/>
      <c r="O974" s="104"/>
      <c r="P974" s="26"/>
      <c r="Q974" s="26"/>
      <c r="R974" s="26"/>
      <c r="S974" s="30"/>
      <c r="T974" s="84"/>
      <c r="U974" s="84"/>
      <c r="V974" s="105"/>
      <c r="W974" s="106"/>
      <c r="X974" s="33"/>
      <c r="Y974" s="34"/>
      <c r="Z974" s="34"/>
      <c r="AA974" s="34"/>
      <c r="AB974" s="34"/>
      <c r="AC974" s="107"/>
      <c r="AD974" s="35"/>
      <c r="AE974" s="35"/>
      <c r="AF974" s="35"/>
      <c r="AG974" s="35"/>
      <c r="AH974" s="35"/>
      <c r="AI974" s="34"/>
      <c r="AJ974" s="35"/>
      <c r="AK974" s="35"/>
      <c r="AL974" s="34"/>
      <c r="AM974" s="34"/>
      <c r="AN974" s="46"/>
      <c r="AO974" s="48"/>
      <c r="AP974" s="48"/>
      <c r="AQ974" s="48"/>
      <c r="AR974" s="48"/>
      <c r="AS974" s="48"/>
      <c r="AT974" s="48"/>
      <c r="AU974" s="48"/>
      <c r="AV974" s="48"/>
      <c r="AW974" s="48"/>
      <c r="AX974" s="48"/>
      <c r="AY974" s="43"/>
      <c r="AZ974" s="48"/>
      <c r="BA974" s="48"/>
      <c r="BB974" s="48"/>
      <c r="BC974" s="43"/>
      <c r="BD974" s="43"/>
      <c r="BE974" s="44"/>
      <c r="BF974" s="48"/>
      <c r="BG974" s="43"/>
    </row>
    <row r="975">
      <c r="A975" s="98"/>
      <c r="B975" s="99"/>
      <c r="C975" s="99"/>
      <c r="D975" s="21"/>
      <c r="E975" s="22"/>
      <c r="F975" s="100"/>
      <c r="G975" s="101"/>
      <c r="H975" s="100"/>
      <c r="I975" s="102"/>
      <c r="J975" s="26"/>
      <c r="K975" s="103"/>
      <c r="L975" s="47"/>
      <c r="M975" s="30"/>
      <c r="N975" s="104"/>
      <c r="O975" s="104"/>
      <c r="P975" s="26"/>
      <c r="Q975" s="26"/>
      <c r="R975" s="26"/>
      <c r="S975" s="30"/>
      <c r="T975" s="84"/>
      <c r="U975" s="84"/>
      <c r="V975" s="105"/>
      <c r="W975" s="106"/>
      <c r="X975" s="33"/>
      <c r="Y975" s="34"/>
      <c r="Z975" s="34"/>
      <c r="AA975" s="34"/>
      <c r="AB975" s="34"/>
      <c r="AC975" s="107"/>
      <c r="AD975" s="35"/>
      <c r="AE975" s="35"/>
      <c r="AF975" s="35"/>
      <c r="AG975" s="35"/>
      <c r="AH975" s="35"/>
      <c r="AI975" s="34"/>
      <c r="AJ975" s="35"/>
      <c r="AK975" s="35"/>
      <c r="AL975" s="34"/>
      <c r="AM975" s="34"/>
      <c r="AN975" s="46"/>
      <c r="AO975" s="48"/>
      <c r="AP975" s="48"/>
      <c r="AQ975" s="48"/>
      <c r="AR975" s="48"/>
      <c r="AS975" s="48"/>
      <c r="AT975" s="48"/>
      <c r="AU975" s="48"/>
      <c r="AV975" s="48"/>
      <c r="AW975" s="48"/>
      <c r="AX975" s="48"/>
      <c r="AY975" s="43"/>
      <c r="AZ975" s="48"/>
      <c r="BA975" s="48"/>
      <c r="BB975" s="48"/>
      <c r="BC975" s="43"/>
      <c r="BD975" s="43"/>
      <c r="BE975" s="44"/>
      <c r="BF975" s="48"/>
      <c r="BG975" s="43"/>
    </row>
    <row r="976">
      <c r="A976" s="98"/>
      <c r="B976" s="99"/>
      <c r="C976" s="99"/>
      <c r="D976" s="21"/>
      <c r="E976" s="22"/>
      <c r="F976" s="100"/>
      <c r="G976" s="101"/>
      <c r="H976" s="100"/>
      <c r="I976" s="102"/>
      <c r="J976" s="26"/>
      <c r="K976" s="103"/>
      <c r="L976" s="47"/>
      <c r="M976" s="30"/>
      <c r="N976" s="104"/>
      <c r="O976" s="104"/>
      <c r="P976" s="26"/>
      <c r="Q976" s="26"/>
      <c r="R976" s="26"/>
      <c r="S976" s="30"/>
      <c r="T976" s="84"/>
      <c r="U976" s="84"/>
      <c r="V976" s="105"/>
      <c r="W976" s="106"/>
      <c r="X976" s="33"/>
      <c r="Y976" s="34"/>
      <c r="Z976" s="34"/>
      <c r="AA976" s="34"/>
      <c r="AB976" s="34"/>
      <c r="AC976" s="107"/>
      <c r="AD976" s="35"/>
      <c r="AE976" s="35"/>
      <c r="AF976" s="35"/>
      <c r="AG976" s="35"/>
      <c r="AH976" s="35"/>
      <c r="AI976" s="34"/>
      <c r="AJ976" s="35"/>
      <c r="AK976" s="35"/>
      <c r="AL976" s="34"/>
      <c r="AM976" s="34"/>
      <c r="AN976" s="46"/>
      <c r="AO976" s="48"/>
      <c r="AP976" s="48"/>
      <c r="AQ976" s="48"/>
      <c r="AR976" s="48"/>
      <c r="AS976" s="48"/>
      <c r="AT976" s="48"/>
      <c r="AU976" s="48"/>
      <c r="AV976" s="48"/>
      <c r="AW976" s="48"/>
      <c r="AX976" s="48"/>
      <c r="AY976" s="43"/>
      <c r="AZ976" s="48"/>
      <c r="BA976" s="48"/>
      <c r="BB976" s="48"/>
      <c r="BC976" s="43"/>
      <c r="BD976" s="43"/>
      <c r="BE976" s="44"/>
      <c r="BF976" s="48"/>
      <c r="BG976" s="43"/>
    </row>
    <row r="977">
      <c r="A977" s="98"/>
      <c r="B977" s="99"/>
      <c r="C977" s="99"/>
      <c r="D977" s="21"/>
      <c r="E977" s="22"/>
      <c r="F977" s="100"/>
      <c r="G977" s="101"/>
      <c r="H977" s="100"/>
      <c r="I977" s="102"/>
      <c r="J977" s="26"/>
      <c r="K977" s="103"/>
      <c r="L977" s="47"/>
      <c r="M977" s="30"/>
      <c r="N977" s="104"/>
      <c r="O977" s="104"/>
      <c r="P977" s="26"/>
      <c r="Q977" s="26"/>
      <c r="R977" s="26"/>
      <c r="S977" s="30"/>
      <c r="T977" s="84"/>
      <c r="U977" s="84"/>
      <c r="V977" s="105"/>
      <c r="W977" s="106"/>
      <c r="X977" s="33"/>
      <c r="Y977" s="34"/>
      <c r="Z977" s="34"/>
      <c r="AA977" s="34"/>
      <c r="AB977" s="34"/>
      <c r="AC977" s="107"/>
      <c r="AD977" s="35"/>
      <c r="AE977" s="35"/>
      <c r="AF977" s="35"/>
      <c r="AG977" s="35"/>
      <c r="AH977" s="35"/>
      <c r="AI977" s="34"/>
      <c r="AJ977" s="35"/>
      <c r="AK977" s="35"/>
      <c r="AL977" s="34"/>
      <c r="AM977" s="34"/>
      <c r="AN977" s="46"/>
      <c r="AO977" s="48"/>
      <c r="AP977" s="48"/>
      <c r="AQ977" s="48"/>
      <c r="AR977" s="48"/>
      <c r="AS977" s="48"/>
      <c r="AT977" s="48"/>
      <c r="AU977" s="48"/>
      <c r="AV977" s="48"/>
      <c r="AW977" s="48"/>
      <c r="AX977" s="48"/>
      <c r="AY977" s="43"/>
      <c r="AZ977" s="48"/>
      <c r="BA977" s="48"/>
      <c r="BB977" s="48"/>
      <c r="BC977" s="43"/>
      <c r="BD977" s="43"/>
      <c r="BE977" s="44"/>
      <c r="BF977" s="48"/>
      <c r="BG977" s="43"/>
    </row>
    <row r="978">
      <c r="A978" s="98"/>
      <c r="B978" s="99"/>
      <c r="C978" s="99"/>
      <c r="D978" s="21"/>
      <c r="E978" s="22"/>
      <c r="F978" s="100"/>
      <c r="G978" s="101"/>
      <c r="H978" s="100"/>
      <c r="I978" s="102"/>
      <c r="J978" s="26"/>
      <c r="K978" s="103"/>
      <c r="L978" s="47"/>
      <c r="M978" s="30"/>
      <c r="N978" s="104"/>
      <c r="O978" s="104"/>
      <c r="P978" s="26"/>
      <c r="Q978" s="26"/>
      <c r="R978" s="26"/>
      <c r="S978" s="30"/>
      <c r="T978" s="84"/>
      <c r="U978" s="84"/>
      <c r="V978" s="105"/>
      <c r="W978" s="106"/>
      <c r="X978" s="33"/>
      <c r="Y978" s="34"/>
      <c r="Z978" s="34"/>
      <c r="AA978" s="34"/>
      <c r="AB978" s="34"/>
      <c r="AC978" s="107"/>
      <c r="AD978" s="35"/>
      <c r="AE978" s="35"/>
      <c r="AF978" s="35"/>
      <c r="AG978" s="35"/>
      <c r="AH978" s="35"/>
      <c r="AI978" s="34"/>
      <c r="AJ978" s="35"/>
      <c r="AK978" s="35"/>
      <c r="AL978" s="34"/>
      <c r="AM978" s="34"/>
      <c r="AN978" s="46"/>
      <c r="AO978" s="48"/>
      <c r="AP978" s="48"/>
      <c r="AQ978" s="48"/>
      <c r="AR978" s="48"/>
      <c r="AS978" s="48"/>
      <c r="AT978" s="48"/>
      <c r="AU978" s="48"/>
      <c r="AV978" s="48"/>
      <c r="AW978" s="48"/>
      <c r="AX978" s="48"/>
      <c r="AY978" s="43"/>
      <c r="AZ978" s="48"/>
      <c r="BA978" s="48"/>
      <c r="BB978" s="48"/>
      <c r="BC978" s="43"/>
      <c r="BD978" s="43"/>
      <c r="BE978" s="44"/>
      <c r="BF978" s="48"/>
      <c r="BG978" s="43"/>
    </row>
    <row r="979">
      <c r="A979" s="98"/>
      <c r="B979" s="99"/>
      <c r="C979" s="99"/>
      <c r="D979" s="21"/>
      <c r="E979" s="22"/>
      <c r="F979" s="100"/>
      <c r="G979" s="101"/>
      <c r="H979" s="100"/>
      <c r="I979" s="102"/>
      <c r="J979" s="26"/>
      <c r="K979" s="103"/>
      <c r="L979" s="47"/>
      <c r="M979" s="30"/>
      <c r="N979" s="104"/>
      <c r="O979" s="104"/>
      <c r="P979" s="26"/>
      <c r="Q979" s="26"/>
      <c r="R979" s="26"/>
      <c r="S979" s="30"/>
      <c r="T979" s="84"/>
      <c r="U979" s="84"/>
      <c r="V979" s="105"/>
      <c r="W979" s="106"/>
      <c r="X979" s="33"/>
      <c r="Y979" s="34"/>
      <c r="Z979" s="34"/>
      <c r="AA979" s="34"/>
      <c r="AB979" s="34"/>
      <c r="AC979" s="107"/>
      <c r="AD979" s="35"/>
      <c r="AE979" s="35"/>
      <c r="AF979" s="35"/>
      <c r="AG979" s="35"/>
      <c r="AH979" s="35"/>
      <c r="AI979" s="34"/>
      <c r="AJ979" s="35"/>
      <c r="AK979" s="35"/>
      <c r="AL979" s="34"/>
      <c r="AM979" s="34"/>
      <c r="AN979" s="46"/>
      <c r="AO979" s="48"/>
      <c r="AP979" s="48"/>
      <c r="AQ979" s="48"/>
      <c r="AR979" s="48"/>
      <c r="AS979" s="48"/>
      <c r="AT979" s="48"/>
      <c r="AU979" s="48"/>
      <c r="AV979" s="48"/>
      <c r="AW979" s="48"/>
      <c r="AX979" s="48"/>
      <c r="AY979" s="43"/>
      <c r="AZ979" s="48"/>
      <c r="BA979" s="48"/>
      <c r="BB979" s="48"/>
      <c r="BC979" s="43"/>
      <c r="BD979" s="43"/>
      <c r="BE979" s="44"/>
      <c r="BF979" s="48"/>
      <c r="BG979" s="43"/>
    </row>
    <row r="980">
      <c r="A980" s="98"/>
      <c r="B980" s="99"/>
      <c r="C980" s="99"/>
      <c r="D980" s="21"/>
      <c r="E980" s="22"/>
      <c r="F980" s="100"/>
      <c r="G980" s="101"/>
      <c r="H980" s="100"/>
      <c r="I980" s="102"/>
      <c r="J980" s="26"/>
      <c r="K980" s="103"/>
      <c r="L980" s="47"/>
      <c r="M980" s="30"/>
      <c r="N980" s="104"/>
      <c r="O980" s="104"/>
      <c r="P980" s="26"/>
      <c r="Q980" s="26"/>
      <c r="R980" s="26"/>
      <c r="S980" s="30"/>
      <c r="T980" s="84"/>
      <c r="U980" s="84"/>
      <c r="V980" s="105"/>
      <c r="W980" s="106"/>
      <c r="X980" s="33"/>
      <c r="Y980" s="34"/>
      <c r="Z980" s="34"/>
      <c r="AA980" s="34"/>
      <c r="AB980" s="34"/>
      <c r="AC980" s="107"/>
      <c r="AD980" s="35"/>
      <c r="AE980" s="35"/>
      <c r="AF980" s="35"/>
      <c r="AG980" s="35"/>
      <c r="AH980" s="35"/>
      <c r="AI980" s="34"/>
      <c r="AJ980" s="35"/>
      <c r="AK980" s="35"/>
      <c r="AL980" s="34"/>
      <c r="AM980" s="34"/>
      <c r="AN980" s="46"/>
      <c r="AO980" s="48"/>
      <c r="AP980" s="48"/>
      <c r="AQ980" s="48"/>
      <c r="AR980" s="48"/>
      <c r="AS980" s="48"/>
      <c r="AT980" s="48"/>
      <c r="AU980" s="48"/>
      <c r="AV980" s="48"/>
      <c r="AW980" s="48"/>
      <c r="AX980" s="48"/>
      <c r="AY980" s="43"/>
      <c r="AZ980" s="48"/>
      <c r="BA980" s="48"/>
      <c r="BB980" s="48"/>
      <c r="BC980" s="43"/>
      <c r="BD980" s="43"/>
      <c r="BE980" s="44"/>
      <c r="BF980" s="48"/>
      <c r="BG980" s="43"/>
    </row>
    <row r="981">
      <c r="A981" s="98"/>
      <c r="B981" s="99"/>
      <c r="C981" s="99"/>
      <c r="D981" s="21"/>
      <c r="E981" s="22"/>
      <c r="F981" s="100"/>
      <c r="G981" s="101"/>
      <c r="H981" s="100"/>
      <c r="I981" s="102"/>
      <c r="J981" s="26"/>
      <c r="K981" s="103"/>
      <c r="L981" s="47"/>
      <c r="M981" s="30"/>
      <c r="N981" s="104"/>
      <c r="O981" s="104"/>
      <c r="P981" s="26"/>
      <c r="Q981" s="26"/>
      <c r="R981" s="26"/>
      <c r="S981" s="30"/>
      <c r="T981" s="84"/>
      <c r="U981" s="84"/>
      <c r="V981" s="105"/>
      <c r="W981" s="106"/>
      <c r="X981" s="33"/>
      <c r="Y981" s="34"/>
      <c r="Z981" s="34"/>
      <c r="AA981" s="34"/>
      <c r="AB981" s="34"/>
      <c r="AC981" s="107"/>
      <c r="AD981" s="35"/>
      <c r="AE981" s="35"/>
      <c r="AF981" s="35"/>
      <c r="AG981" s="35"/>
      <c r="AH981" s="35"/>
      <c r="AI981" s="34"/>
      <c r="AJ981" s="35"/>
      <c r="AK981" s="35"/>
      <c r="AL981" s="34"/>
      <c r="AM981" s="34"/>
      <c r="AN981" s="46"/>
      <c r="AO981" s="48"/>
      <c r="AP981" s="48"/>
      <c r="AQ981" s="48"/>
      <c r="AR981" s="48"/>
      <c r="AS981" s="48"/>
      <c r="AT981" s="48"/>
      <c r="AU981" s="48"/>
      <c r="AV981" s="48"/>
      <c r="AW981" s="48"/>
      <c r="AX981" s="48"/>
      <c r="AY981" s="43"/>
      <c r="AZ981" s="48"/>
      <c r="BA981" s="48"/>
      <c r="BB981" s="48"/>
      <c r="BC981" s="43"/>
      <c r="BD981" s="43"/>
      <c r="BE981" s="44"/>
      <c r="BF981" s="48"/>
      <c r="BG981" s="43"/>
    </row>
    <row r="982">
      <c r="A982" s="98"/>
      <c r="B982" s="99"/>
      <c r="C982" s="99"/>
      <c r="D982" s="21"/>
      <c r="E982" s="22"/>
      <c r="F982" s="100"/>
      <c r="G982" s="101"/>
      <c r="H982" s="100"/>
      <c r="I982" s="102"/>
      <c r="J982" s="26"/>
      <c r="K982" s="103"/>
      <c r="L982" s="47"/>
      <c r="M982" s="30"/>
      <c r="N982" s="104"/>
      <c r="O982" s="104"/>
      <c r="P982" s="26"/>
      <c r="Q982" s="26"/>
      <c r="R982" s="26"/>
      <c r="S982" s="30"/>
      <c r="T982" s="84"/>
      <c r="U982" s="84"/>
      <c r="V982" s="105"/>
      <c r="W982" s="106"/>
      <c r="X982" s="33"/>
      <c r="Y982" s="34"/>
      <c r="Z982" s="34"/>
      <c r="AA982" s="34"/>
      <c r="AB982" s="34"/>
      <c r="AC982" s="107"/>
      <c r="AD982" s="35"/>
      <c r="AE982" s="35"/>
      <c r="AF982" s="35"/>
      <c r="AG982" s="35"/>
      <c r="AH982" s="35"/>
      <c r="AI982" s="34"/>
      <c r="AJ982" s="35"/>
      <c r="AK982" s="35"/>
      <c r="AL982" s="34"/>
      <c r="AM982" s="34"/>
      <c r="AN982" s="46"/>
      <c r="AO982" s="48"/>
      <c r="AP982" s="48"/>
      <c r="AQ982" s="48"/>
      <c r="AR982" s="48"/>
      <c r="AS982" s="48"/>
      <c r="AT982" s="48"/>
      <c r="AU982" s="48"/>
      <c r="AV982" s="48"/>
      <c r="AW982" s="48"/>
      <c r="AX982" s="48"/>
      <c r="AY982" s="43"/>
      <c r="AZ982" s="48"/>
      <c r="BA982" s="48"/>
      <c r="BB982" s="48"/>
      <c r="BC982" s="43"/>
      <c r="BD982" s="43"/>
      <c r="BE982" s="44"/>
      <c r="BF982" s="48"/>
      <c r="BG982" s="43"/>
    </row>
    <row r="983">
      <c r="A983" s="98"/>
      <c r="B983" s="99"/>
      <c r="C983" s="99"/>
      <c r="D983" s="21"/>
      <c r="E983" s="22"/>
      <c r="F983" s="100"/>
      <c r="G983" s="101"/>
      <c r="H983" s="100"/>
      <c r="I983" s="102"/>
      <c r="J983" s="26"/>
      <c r="K983" s="103"/>
      <c r="L983" s="47"/>
      <c r="M983" s="30"/>
      <c r="N983" s="104"/>
      <c r="O983" s="104"/>
      <c r="P983" s="26"/>
      <c r="Q983" s="26"/>
      <c r="R983" s="26"/>
      <c r="S983" s="30"/>
      <c r="T983" s="84"/>
      <c r="U983" s="84"/>
      <c r="V983" s="105"/>
      <c r="W983" s="106"/>
      <c r="X983" s="33"/>
      <c r="Y983" s="34"/>
      <c r="Z983" s="34"/>
      <c r="AA983" s="34"/>
      <c r="AB983" s="34"/>
      <c r="AC983" s="107"/>
      <c r="AD983" s="35"/>
      <c r="AE983" s="35"/>
      <c r="AF983" s="35"/>
      <c r="AG983" s="35"/>
      <c r="AH983" s="35"/>
      <c r="AI983" s="34"/>
      <c r="AJ983" s="35"/>
      <c r="AK983" s="35"/>
      <c r="AL983" s="34"/>
      <c r="AM983" s="34"/>
      <c r="AN983" s="46"/>
      <c r="AO983" s="48"/>
      <c r="AP983" s="48"/>
      <c r="AQ983" s="48"/>
      <c r="AR983" s="48"/>
      <c r="AS983" s="48"/>
      <c r="AT983" s="48"/>
      <c r="AU983" s="48"/>
      <c r="AV983" s="48"/>
      <c r="AW983" s="48"/>
      <c r="AX983" s="48"/>
      <c r="AY983" s="43"/>
      <c r="AZ983" s="48"/>
      <c r="BA983" s="48"/>
      <c r="BB983" s="48"/>
      <c r="BC983" s="43"/>
      <c r="BD983" s="43"/>
      <c r="BE983" s="44"/>
      <c r="BF983" s="48"/>
      <c r="BG983" s="43"/>
    </row>
    <row r="984">
      <c r="A984" s="98"/>
      <c r="B984" s="99"/>
      <c r="C984" s="99"/>
      <c r="D984" s="21"/>
      <c r="E984" s="22"/>
      <c r="F984" s="100"/>
      <c r="G984" s="101"/>
      <c r="H984" s="100"/>
      <c r="I984" s="102"/>
      <c r="J984" s="26"/>
      <c r="K984" s="103"/>
      <c r="L984" s="47"/>
      <c r="M984" s="30"/>
      <c r="N984" s="104"/>
      <c r="O984" s="104"/>
      <c r="P984" s="26"/>
      <c r="Q984" s="26"/>
      <c r="R984" s="26"/>
      <c r="S984" s="30"/>
      <c r="T984" s="84"/>
      <c r="U984" s="84"/>
      <c r="V984" s="105"/>
      <c r="W984" s="106"/>
      <c r="X984" s="33"/>
      <c r="Y984" s="34"/>
      <c r="Z984" s="34"/>
      <c r="AA984" s="34"/>
      <c r="AB984" s="34"/>
      <c r="AC984" s="107"/>
      <c r="AD984" s="35"/>
      <c r="AE984" s="35"/>
      <c r="AF984" s="35"/>
      <c r="AG984" s="35"/>
      <c r="AH984" s="35"/>
      <c r="AI984" s="34"/>
      <c r="AJ984" s="35"/>
      <c r="AK984" s="35"/>
      <c r="AL984" s="34"/>
      <c r="AM984" s="34"/>
      <c r="AN984" s="46"/>
      <c r="AO984" s="48"/>
      <c r="AP984" s="48"/>
      <c r="AQ984" s="48"/>
      <c r="AR984" s="48"/>
      <c r="AS984" s="48"/>
      <c r="AT984" s="48"/>
      <c r="AU984" s="48"/>
      <c r="AV984" s="48"/>
      <c r="AW984" s="48"/>
      <c r="AX984" s="48"/>
      <c r="AY984" s="43"/>
      <c r="AZ984" s="48"/>
      <c r="BA984" s="48"/>
      <c r="BB984" s="48"/>
      <c r="BC984" s="43"/>
      <c r="BD984" s="43"/>
      <c r="BE984" s="44"/>
      <c r="BF984" s="48"/>
      <c r="BG984" s="43"/>
    </row>
    <row r="985">
      <c r="A985" s="98"/>
      <c r="B985" s="99"/>
      <c r="C985" s="99"/>
      <c r="D985" s="21"/>
      <c r="E985" s="22"/>
      <c r="F985" s="100"/>
      <c r="G985" s="101"/>
      <c r="H985" s="100"/>
      <c r="I985" s="102"/>
      <c r="J985" s="26"/>
      <c r="K985" s="103"/>
      <c r="L985" s="47"/>
      <c r="M985" s="30"/>
      <c r="N985" s="104"/>
      <c r="O985" s="104"/>
      <c r="P985" s="26"/>
      <c r="Q985" s="26"/>
      <c r="R985" s="26"/>
      <c r="S985" s="30"/>
      <c r="T985" s="84"/>
      <c r="U985" s="84"/>
      <c r="V985" s="105"/>
      <c r="W985" s="106"/>
      <c r="X985" s="33"/>
      <c r="Y985" s="34"/>
      <c r="Z985" s="34"/>
      <c r="AA985" s="34"/>
      <c r="AB985" s="34"/>
      <c r="AC985" s="107"/>
      <c r="AD985" s="35"/>
      <c r="AE985" s="35"/>
      <c r="AF985" s="35"/>
      <c r="AG985" s="35"/>
      <c r="AH985" s="35"/>
      <c r="AI985" s="34"/>
      <c r="AJ985" s="35"/>
      <c r="AK985" s="35"/>
      <c r="AL985" s="34"/>
      <c r="AM985" s="34"/>
      <c r="AN985" s="46"/>
      <c r="AO985" s="48"/>
      <c r="AP985" s="48"/>
      <c r="AQ985" s="48"/>
      <c r="AR985" s="48"/>
      <c r="AS985" s="48"/>
      <c r="AT985" s="48"/>
      <c r="AU985" s="48"/>
      <c r="AV985" s="48"/>
      <c r="AW985" s="48"/>
      <c r="AX985" s="48"/>
      <c r="AY985" s="43"/>
      <c r="AZ985" s="48"/>
      <c r="BA985" s="48"/>
      <c r="BB985" s="48"/>
      <c r="BC985" s="43"/>
      <c r="BD985" s="43"/>
      <c r="BE985" s="44"/>
      <c r="BF985" s="48"/>
      <c r="BG985" s="43"/>
    </row>
    <row r="986">
      <c r="A986" s="98"/>
      <c r="B986" s="99"/>
      <c r="C986" s="99"/>
      <c r="D986" s="21"/>
      <c r="E986" s="22"/>
      <c r="F986" s="100"/>
      <c r="G986" s="101"/>
      <c r="H986" s="100"/>
      <c r="I986" s="102"/>
      <c r="J986" s="26"/>
      <c r="K986" s="103"/>
      <c r="L986" s="47"/>
      <c r="M986" s="30"/>
      <c r="N986" s="104"/>
      <c r="O986" s="104"/>
      <c r="P986" s="26"/>
      <c r="Q986" s="26"/>
      <c r="R986" s="26"/>
      <c r="S986" s="30"/>
      <c r="T986" s="84"/>
      <c r="U986" s="84"/>
      <c r="V986" s="105"/>
      <c r="W986" s="106"/>
      <c r="X986" s="33"/>
      <c r="Y986" s="34"/>
      <c r="Z986" s="34"/>
      <c r="AA986" s="34"/>
      <c r="AB986" s="34"/>
      <c r="AC986" s="107"/>
      <c r="AD986" s="35"/>
      <c r="AE986" s="35"/>
      <c r="AF986" s="35"/>
      <c r="AG986" s="35"/>
      <c r="AH986" s="35"/>
      <c r="AI986" s="34"/>
      <c r="AJ986" s="35"/>
      <c r="AK986" s="35"/>
      <c r="AL986" s="34"/>
      <c r="AM986" s="34"/>
      <c r="AN986" s="46"/>
      <c r="AO986" s="48"/>
      <c r="AP986" s="48"/>
      <c r="AQ986" s="48"/>
      <c r="AR986" s="48"/>
      <c r="AS986" s="48"/>
      <c r="AT986" s="48"/>
      <c r="AU986" s="48"/>
      <c r="AV986" s="48"/>
      <c r="AW986" s="48"/>
      <c r="AX986" s="48"/>
      <c r="AY986" s="43"/>
      <c r="AZ986" s="48"/>
      <c r="BA986" s="48"/>
      <c r="BB986" s="48"/>
      <c r="BC986" s="43"/>
      <c r="BD986" s="43"/>
      <c r="BE986" s="44"/>
      <c r="BF986" s="48"/>
      <c r="BG986" s="43"/>
    </row>
    <row r="987">
      <c r="A987" s="98"/>
      <c r="B987" s="99"/>
      <c r="C987" s="99"/>
      <c r="D987" s="21"/>
      <c r="E987" s="22"/>
      <c r="F987" s="100"/>
      <c r="G987" s="101"/>
      <c r="H987" s="100"/>
      <c r="I987" s="102"/>
      <c r="J987" s="26"/>
      <c r="K987" s="103"/>
      <c r="L987" s="47"/>
      <c r="M987" s="30"/>
      <c r="N987" s="104"/>
      <c r="O987" s="104"/>
      <c r="P987" s="26"/>
      <c r="Q987" s="26"/>
      <c r="R987" s="26"/>
      <c r="S987" s="30"/>
      <c r="T987" s="84"/>
      <c r="U987" s="84"/>
      <c r="V987" s="105"/>
      <c r="W987" s="106"/>
      <c r="X987" s="33"/>
      <c r="Y987" s="34"/>
      <c r="Z987" s="34"/>
      <c r="AA987" s="34"/>
      <c r="AB987" s="34"/>
      <c r="AC987" s="107"/>
      <c r="AD987" s="35"/>
      <c r="AE987" s="35"/>
      <c r="AF987" s="35"/>
      <c r="AG987" s="35"/>
      <c r="AH987" s="35"/>
      <c r="AI987" s="34"/>
      <c r="AJ987" s="35"/>
      <c r="AK987" s="35"/>
      <c r="AL987" s="34"/>
      <c r="AM987" s="34"/>
      <c r="AN987" s="46"/>
      <c r="AO987" s="48"/>
      <c r="AP987" s="48"/>
      <c r="AQ987" s="48"/>
      <c r="AR987" s="48"/>
      <c r="AS987" s="48"/>
      <c r="AT987" s="48"/>
      <c r="AU987" s="48"/>
      <c r="AV987" s="48"/>
      <c r="AW987" s="48"/>
      <c r="AX987" s="48"/>
      <c r="AY987" s="43"/>
      <c r="AZ987" s="48"/>
      <c r="BA987" s="48"/>
      <c r="BB987" s="48"/>
      <c r="BC987" s="43"/>
      <c r="BD987" s="43"/>
      <c r="BE987" s="44"/>
      <c r="BF987" s="48"/>
      <c r="BG987" s="43"/>
    </row>
    <row r="988">
      <c r="A988" s="98"/>
      <c r="B988" s="99"/>
      <c r="C988" s="99"/>
      <c r="D988" s="21"/>
      <c r="E988" s="22"/>
      <c r="F988" s="100"/>
      <c r="G988" s="101"/>
      <c r="H988" s="100"/>
      <c r="I988" s="102"/>
      <c r="J988" s="26"/>
      <c r="K988" s="103"/>
      <c r="L988" s="47"/>
      <c r="M988" s="30"/>
      <c r="N988" s="104"/>
      <c r="O988" s="104"/>
      <c r="P988" s="26"/>
      <c r="Q988" s="26"/>
      <c r="R988" s="26"/>
      <c r="S988" s="30"/>
      <c r="T988" s="84"/>
      <c r="U988" s="84"/>
      <c r="V988" s="105"/>
      <c r="W988" s="106"/>
      <c r="X988" s="33"/>
      <c r="Y988" s="34"/>
      <c r="Z988" s="34"/>
      <c r="AA988" s="34"/>
      <c r="AB988" s="34"/>
      <c r="AC988" s="107"/>
      <c r="AD988" s="35"/>
      <c r="AE988" s="35"/>
      <c r="AF988" s="35"/>
      <c r="AG988" s="35"/>
      <c r="AH988" s="35"/>
      <c r="AI988" s="34"/>
      <c r="AJ988" s="35"/>
      <c r="AK988" s="35"/>
      <c r="AL988" s="34"/>
      <c r="AM988" s="34"/>
      <c r="AN988" s="46"/>
      <c r="AO988" s="48"/>
      <c r="AP988" s="48"/>
      <c r="AQ988" s="48"/>
      <c r="AR988" s="48"/>
      <c r="AS988" s="48"/>
      <c r="AT988" s="48"/>
      <c r="AU988" s="48"/>
      <c r="AV988" s="48"/>
      <c r="AW988" s="48"/>
      <c r="AX988" s="48"/>
      <c r="AY988" s="43"/>
      <c r="AZ988" s="48"/>
      <c r="BA988" s="48"/>
      <c r="BB988" s="48"/>
      <c r="BC988" s="43"/>
      <c r="BD988" s="43"/>
      <c r="BE988" s="44"/>
      <c r="BF988" s="48"/>
      <c r="BG988" s="43"/>
    </row>
    <row r="989">
      <c r="A989" s="98"/>
      <c r="B989" s="99"/>
      <c r="C989" s="99"/>
      <c r="D989" s="21"/>
      <c r="E989" s="22"/>
      <c r="F989" s="100"/>
      <c r="G989" s="101"/>
      <c r="H989" s="100"/>
      <c r="I989" s="102"/>
      <c r="J989" s="26"/>
      <c r="K989" s="103"/>
      <c r="L989" s="47"/>
      <c r="M989" s="30"/>
      <c r="N989" s="104"/>
      <c r="O989" s="104"/>
      <c r="P989" s="26"/>
      <c r="Q989" s="26"/>
      <c r="R989" s="26"/>
      <c r="S989" s="30"/>
      <c r="T989" s="84"/>
      <c r="U989" s="84"/>
      <c r="V989" s="105"/>
      <c r="W989" s="106"/>
      <c r="X989" s="33"/>
      <c r="Y989" s="34"/>
      <c r="Z989" s="34"/>
      <c r="AA989" s="34"/>
      <c r="AB989" s="34"/>
      <c r="AC989" s="107"/>
      <c r="AD989" s="35"/>
      <c r="AE989" s="35"/>
      <c r="AF989" s="35"/>
      <c r="AG989" s="35"/>
      <c r="AH989" s="35"/>
      <c r="AI989" s="34"/>
      <c r="AJ989" s="35"/>
      <c r="AK989" s="35"/>
      <c r="AL989" s="34"/>
      <c r="AM989" s="34"/>
      <c r="AN989" s="46"/>
      <c r="AO989" s="48"/>
      <c r="AP989" s="48"/>
      <c r="AQ989" s="48"/>
      <c r="AR989" s="48"/>
      <c r="AS989" s="48"/>
      <c r="AT989" s="48"/>
      <c r="AU989" s="48"/>
      <c r="AV989" s="48"/>
      <c r="AW989" s="48"/>
      <c r="AX989" s="48"/>
      <c r="AY989" s="43"/>
      <c r="AZ989" s="48"/>
      <c r="BA989" s="48"/>
      <c r="BB989" s="48"/>
      <c r="BC989" s="43"/>
      <c r="BD989" s="43"/>
      <c r="BE989" s="44"/>
      <c r="BF989" s="48"/>
      <c r="BG989" s="43"/>
    </row>
    <row r="990">
      <c r="A990" s="98"/>
      <c r="B990" s="99"/>
      <c r="C990" s="99"/>
      <c r="D990" s="21"/>
      <c r="E990" s="22"/>
      <c r="F990" s="100"/>
      <c r="G990" s="101"/>
      <c r="H990" s="100"/>
      <c r="I990" s="102"/>
      <c r="J990" s="26"/>
      <c r="K990" s="103"/>
      <c r="L990" s="47"/>
      <c r="M990" s="30"/>
      <c r="N990" s="104"/>
      <c r="O990" s="104"/>
      <c r="P990" s="26"/>
      <c r="Q990" s="26"/>
      <c r="R990" s="26"/>
      <c r="S990" s="30"/>
      <c r="T990" s="84"/>
      <c r="U990" s="84"/>
      <c r="V990" s="105"/>
      <c r="W990" s="106"/>
      <c r="X990" s="33"/>
      <c r="Y990" s="34"/>
      <c r="Z990" s="34"/>
      <c r="AA990" s="34"/>
      <c r="AB990" s="34"/>
      <c r="AC990" s="107"/>
      <c r="AD990" s="35"/>
      <c r="AE990" s="35"/>
      <c r="AF990" s="35"/>
      <c r="AG990" s="35"/>
      <c r="AH990" s="35"/>
      <c r="AI990" s="34"/>
      <c r="AJ990" s="35"/>
      <c r="AK990" s="35"/>
      <c r="AL990" s="34"/>
      <c r="AM990" s="34"/>
      <c r="AN990" s="46"/>
      <c r="AO990" s="48"/>
      <c r="AP990" s="48"/>
      <c r="AQ990" s="48"/>
      <c r="AR990" s="48"/>
      <c r="AS990" s="48"/>
      <c r="AT990" s="48"/>
      <c r="AU990" s="48"/>
      <c r="AV990" s="48"/>
      <c r="AW990" s="48"/>
      <c r="AX990" s="48"/>
      <c r="AY990" s="43"/>
      <c r="AZ990" s="48"/>
      <c r="BA990" s="48"/>
      <c r="BB990" s="48"/>
      <c r="BC990" s="43"/>
      <c r="BD990" s="43"/>
      <c r="BE990" s="44"/>
      <c r="BF990" s="48"/>
      <c r="BG990" s="43"/>
    </row>
    <row r="991">
      <c r="A991" s="98"/>
      <c r="B991" s="99"/>
      <c r="C991" s="99"/>
      <c r="D991" s="21"/>
      <c r="E991" s="22"/>
      <c r="F991" s="100"/>
      <c r="G991" s="101"/>
      <c r="H991" s="100"/>
      <c r="I991" s="102"/>
      <c r="J991" s="26"/>
      <c r="K991" s="103"/>
      <c r="L991" s="47"/>
      <c r="M991" s="30"/>
      <c r="N991" s="104"/>
      <c r="O991" s="104"/>
      <c r="P991" s="26"/>
      <c r="Q991" s="26"/>
      <c r="R991" s="26"/>
      <c r="S991" s="30"/>
      <c r="T991" s="84"/>
      <c r="U991" s="84"/>
      <c r="V991" s="105"/>
      <c r="W991" s="106"/>
      <c r="X991" s="33"/>
      <c r="Y991" s="34"/>
      <c r="Z991" s="34"/>
      <c r="AA991" s="34"/>
      <c r="AB991" s="34"/>
      <c r="AC991" s="107"/>
      <c r="AD991" s="35"/>
      <c r="AE991" s="35"/>
      <c r="AF991" s="35"/>
      <c r="AG991" s="35"/>
      <c r="AH991" s="35"/>
      <c r="AI991" s="34"/>
      <c r="AJ991" s="35"/>
      <c r="AK991" s="35"/>
      <c r="AL991" s="34"/>
      <c r="AM991" s="34"/>
      <c r="AN991" s="46"/>
      <c r="AO991" s="48"/>
      <c r="AP991" s="48"/>
      <c r="AQ991" s="48"/>
      <c r="AR991" s="48"/>
      <c r="AS991" s="48"/>
      <c r="AT991" s="48"/>
      <c r="AU991" s="48"/>
      <c r="AV991" s="48"/>
      <c r="AW991" s="48"/>
      <c r="AX991" s="48"/>
      <c r="AY991" s="43"/>
      <c r="AZ991" s="48"/>
      <c r="BA991" s="48"/>
      <c r="BB991" s="48"/>
      <c r="BC991" s="43"/>
      <c r="BD991" s="43"/>
      <c r="BE991" s="44"/>
      <c r="BF991" s="48"/>
      <c r="BG991" s="43"/>
    </row>
    <row r="992">
      <c r="A992" s="98"/>
      <c r="B992" s="99"/>
      <c r="C992" s="99"/>
      <c r="D992" s="21"/>
      <c r="E992" s="22"/>
      <c r="F992" s="100"/>
      <c r="G992" s="101"/>
      <c r="H992" s="100"/>
      <c r="I992" s="102"/>
      <c r="J992" s="26"/>
      <c r="K992" s="103"/>
      <c r="L992" s="47"/>
      <c r="M992" s="30"/>
      <c r="N992" s="104"/>
      <c r="O992" s="104"/>
      <c r="P992" s="26"/>
      <c r="Q992" s="26"/>
      <c r="R992" s="26"/>
      <c r="S992" s="30"/>
      <c r="T992" s="84"/>
      <c r="U992" s="84"/>
      <c r="V992" s="105"/>
      <c r="W992" s="106"/>
      <c r="X992" s="33"/>
      <c r="Y992" s="34"/>
      <c r="Z992" s="34"/>
      <c r="AA992" s="34"/>
      <c r="AB992" s="34"/>
      <c r="AC992" s="107"/>
      <c r="AD992" s="35"/>
      <c r="AE992" s="35"/>
      <c r="AF992" s="35"/>
      <c r="AG992" s="35"/>
      <c r="AH992" s="35"/>
      <c r="AI992" s="34"/>
      <c r="AJ992" s="35"/>
      <c r="AK992" s="35"/>
      <c r="AL992" s="34"/>
      <c r="AM992" s="34"/>
      <c r="AN992" s="46"/>
      <c r="AO992" s="48"/>
      <c r="AP992" s="48"/>
      <c r="AQ992" s="48"/>
      <c r="AR992" s="48"/>
      <c r="AS992" s="48"/>
      <c r="AT992" s="48"/>
      <c r="AU992" s="48"/>
      <c r="AV992" s="48"/>
      <c r="AW992" s="48"/>
      <c r="AX992" s="48"/>
      <c r="AY992" s="43"/>
      <c r="AZ992" s="48"/>
      <c r="BA992" s="48"/>
      <c r="BB992" s="48"/>
      <c r="BC992" s="43"/>
      <c r="BD992" s="43"/>
      <c r="BE992" s="44"/>
      <c r="BF992" s="48"/>
      <c r="BG992" s="43"/>
    </row>
    <row r="993">
      <c r="A993" s="98"/>
      <c r="B993" s="99"/>
      <c r="C993" s="99"/>
      <c r="D993" s="21"/>
      <c r="E993" s="22"/>
      <c r="F993" s="100"/>
      <c r="G993" s="101"/>
      <c r="H993" s="100"/>
      <c r="I993" s="102"/>
      <c r="J993" s="26"/>
      <c r="K993" s="103"/>
      <c r="L993" s="47"/>
      <c r="M993" s="30"/>
      <c r="N993" s="104"/>
      <c r="O993" s="104"/>
      <c r="P993" s="26"/>
      <c r="Q993" s="26"/>
      <c r="R993" s="26"/>
      <c r="S993" s="30"/>
      <c r="T993" s="84"/>
      <c r="U993" s="84"/>
      <c r="V993" s="105"/>
      <c r="W993" s="106"/>
      <c r="X993" s="33"/>
      <c r="Y993" s="34"/>
      <c r="Z993" s="34"/>
      <c r="AA993" s="34"/>
      <c r="AB993" s="34"/>
      <c r="AC993" s="107"/>
      <c r="AD993" s="35"/>
      <c r="AE993" s="35"/>
      <c r="AF993" s="35"/>
      <c r="AG993" s="35"/>
      <c r="AH993" s="35"/>
      <c r="AI993" s="34"/>
      <c r="AJ993" s="35"/>
      <c r="AK993" s="35"/>
      <c r="AL993" s="34"/>
      <c r="AM993" s="34"/>
      <c r="AN993" s="46"/>
      <c r="AO993" s="48"/>
      <c r="AP993" s="48"/>
      <c r="AQ993" s="48"/>
      <c r="AR993" s="48"/>
      <c r="AS993" s="48"/>
      <c r="AT993" s="48"/>
      <c r="AU993" s="48"/>
      <c r="AV993" s="48"/>
      <c r="AW993" s="48"/>
      <c r="AX993" s="48"/>
      <c r="AY993" s="43"/>
      <c r="AZ993" s="48"/>
      <c r="BA993" s="48"/>
      <c r="BB993" s="48"/>
      <c r="BC993" s="43"/>
      <c r="BD993" s="43"/>
      <c r="BE993" s="44"/>
      <c r="BF993" s="48"/>
      <c r="BG993" s="43"/>
    </row>
    <row r="994">
      <c r="A994" s="98"/>
      <c r="B994" s="99"/>
      <c r="C994" s="99"/>
      <c r="D994" s="21"/>
      <c r="E994" s="22"/>
      <c r="F994" s="100"/>
      <c r="G994" s="101"/>
      <c r="H994" s="100"/>
      <c r="I994" s="102"/>
      <c r="J994" s="26"/>
      <c r="K994" s="103"/>
      <c r="L994" s="47"/>
      <c r="M994" s="30"/>
      <c r="N994" s="104"/>
      <c r="O994" s="104"/>
      <c r="P994" s="26"/>
      <c r="Q994" s="26"/>
      <c r="R994" s="26"/>
      <c r="S994" s="30"/>
      <c r="T994" s="84"/>
      <c r="U994" s="84"/>
      <c r="V994" s="105"/>
      <c r="W994" s="106"/>
      <c r="X994" s="33"/>
      <c r="Y994" s="34"/>
      <c r="Z994" s="34"/>
      <c r="AA994" s="34"/>
      <c r="AB994" s="34"/>
      <c r="AC994" s="107"/>
      <c r="AD994" s="35"/>
      <c r="AE994" s="35"/>
      <c r="AF994" s="35"/>
      <c r="AG994" s="35"/>
      <c r="AH994" s="35"/>
      <c r="AI994" s="34"/>
      <c r="AJ994" s="35"/>
      <c r="AK994" s="35"/>
      <c r="AL994" s="34"/>
      <c r="AM994" s="34"/>
      <c r="AN994" s="46"/>
      <c r="AO994" s="48"/>
      <c r="AP994" s="48"/>
      <c r="AQ994" s="48"/>
      <c r="AR994" s="48"/>
      <c r="AS994" s="48"/>
      <c r="AT994" s="48"/>
      <c r="AU994" s="48"/>
      <c r="AV994" s="48"/>
      <c r="AW994" s="48"/>
      <c r="AX994" s="48"/>
      <c r="AY994" s="43"/>
      <c r="AZ994" s="48"/>
      <c r="BA994" s="48"/>
      <c r="BB994" s="48"/>
      <c r="BC994" s="43"/>
      <c r="BD994" s="43"/>
      <c r="BE994" s="44"/>
      <c r="BF994" s="48"/>
      <c r="BG994" s="43"/>
    </row>
    <row r="995">
      <c r="A995" s="98"/>
      <c r="B995" s="99"/>
      <c r="C995" s="99"/>
      <c r="D995" s="21"/>
      <c r="E995" s="22"/>
      <c r="F995" s="100"/>
      <c r="G995" s="101"/>
      <c r="H995" s="100"/>
      <c r="I995" s="102"/>
      <c r="J995" s="26"/>
      <c r="K995" s="103"/>
      <c r="L995" s="47"/>
      <c r="M995" s="30"/>
      <c r="N995" s="104"/>
      <c r="O995" s="104"/>
      <c r="P995" s="26"/>
      <c r="Q995" s="26"/>
      <c r="R995" s="26"/>
      <c r="S995" s="30"/>
      <c r="T995" s="84"/>
      <c r="U995" s="84"/>
      <c r="V995" s="105"/>
      <c r="W995" s="106"/>
      <c r="X995" s="33"/>
      <c r="Y995" s="34"/>
      <c r="Z995" s="34"/>
      <c r="AA995" s="34"/>
      <c r="AB995" s="34"/>
      <c r="AC995" s="107"/>
      <c r="AD995" s="35"/>
      <c r="AE995" s="35"/>
      <c r="AF995" s="35"/>
      <c r="AG995" s="35"/>
      <c r="AH995" s="35"/>
      <c r="AI995" s="34"/>
      <c r="AJ995" s="35"/>
      <c r="AK995" s="35"/>
      <c r="AL995" s="34"/>
      <c r="AM995" s="34"/>
      <c r="AN995" s="46"/>
      <c r="AO995" s="48"/>
      <c r="AP995" s="48"/>
      <c r="AQ995" s="48"/>
      <c r="AR995" s="48"/>
      <c r="AS995" s="48"/>
      <c r="AT995" s="48"/>
      <c r="AU995" s="48"/>
      <c r="AV995" s="48"/>
      <c r="AW995" s="48"/>
      <c r="AX995" s="48"/>
      <c r="AY995" s="43"/>
      <c r="AZ995" s="48"/>
      <c r="BA995" s="48"/>
      <c r="BB995" s="48"/>
      <c r="BC995" s="43"/>
      <c r="BD995" s="43"/>
      <c r="BE995" s="44"/>
      <c r="BF995" s="48"/>
      <c r="BG995" s="43"/>
    </row>
    <row r="996">
      <c r="A996" s="98"/>
      <c r="B996" s="99"/>
      <c r="C996" s="99"/>
      <c r="D996" s="21"/>
      <c r="E996" s="22"/>
      <c r="F996" s="100"/>
      <c r="G996" s="101"/>
      <c r="H996" s="100"/>
      <c r="I996" s="102"/>
      <c r="J996" s="26"/>
      <c r="K996" s="103"/>
      <c r="L996" s="47"/>
      <c r="M996" s="30"/>
      <c r="N996" s="104"/>
      <c r="O996" s="104"/>
      <c r="P996" s="26"/>
      <c r="Q996" s="26"/>
      <c r="R996" s="26"/>
      <c r="S996" s="30"/>
      <c r="T996" s="84"/>
      <c r="U996" s="84"/>
      <c r="V996" s="105"/>
      <c r="W996" s="106"/>
      <c r="X996" s="33"/>
      <c r="Y996" s="34"/>
      <c r="Z996" s="34"/>
      <c r="AA996" s="34"/>
      <c r="AB996" s="34"/>
      <c r="AC996" s="107"/>
      <c r="AD996" s="35"/>
      <c r="AE996" s="35"/>
      <c r="AF996" s="35"/>
      <c r="AG996" s="35"/>
      <c r="AH996" s="35"/>
      <c r="AI996" s="34"/>
      <c r="AJ996" s="35"/>
      <c r="AK996" s="35"/>
      <c r="AL996" s="34"/>
      <c r="AM996" s="34"/>
      <c r="AN996" s="46"/>
      <c r="AO996" s="48"/>
      <c r="AP996" s="48"/>
      <c r="AQ996" s="48"/>
      <c r="AR996" s="48"/>
      <c r="AS996" s="48"/>
      <c r="AT996" s="48"/>
      <c r="AU996" s="48"/>
      <c r="AV996" s="48"/>
      <c r="AW996" s="48"/>
      <c r="AX996" s="48"/>
      <c r="AY996" s="43"/>
      <c r="AZ996" s="48"/>
      <c r="BA996" s="48"/>
      <c r="BB996" s="48"/>
      <c r="BC996" s="43"/>
      <c r="BD996" s="43"/>
      <c r="BE996" s="44"/>
      <c r="BF996" s="48"/>
      <c r="BG996" s="43"/>
    </row>
  </sheetData>
  <customSheetViews>
    <customSheetView guid="{E4E41A2F-10B4-4B5B-A762-9DA56D8620FA}" filter="1" showAutoFilter="1">
      <autoFilter ref="$A$1:$BG$996"/>
    </customSheetView>
    <customSheetView guid="{84CC84BE-42D0-45CE-B2B9-69AFC2D7444D}" filter="1" showAutoFilter="1">
      <autoFilter ref="$A$1:$BG$996"/>
    </customSheetView>
  </customSheetViews>
  <conditionalFormatting sqref="D2:D524">
    <cfRule type="cellIs" dxfId="0" priority="1" operator="equal">
      <formula>"0%"</formula>
    </cfRule>
  </conditionalFormatting>
  <conditionalFormatting sqref="D2:D524">
    <cfRule type="cellIs" dxfId="1" priority="2" operator="between">
      <formula>"0%"</formula>
      <formula>"69.99%"</formula>
    </cfRule>
  </conditionalFormatting>
  <conditionalFormatting sqref="D2:D524">
    <cfRule type="cellIs" dxfId="2" priority="3" operator="between">
      <formula>"70%"</formula>
      <formula>"100%"</formula>
    </cfRule>
  </conditionalFormatting>
  <conditionalFormatting sqref="E2:E524">
    <cfRule type="cellIs" dxfId="3" priority="4" operator="greaterThan">
      <formula>"0%"</formula>
    </cfRule>
  </conditionalFormatting>
  <conditionalFormatting sqref="D2:D524">
    <cfRule type="cellIs" dxfId="4" priority="5" operator="greaterThan">
      <formula>"100%"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0"/>
  <cols>
    <col customWidth="1" min="1" max="1" width="8.43"/>
    <col customWidth="1" min="2" max="2" width="22.57"/>
    <col customWidth="1" min="3" max="3" width="19.29"/>
    <col customWidth="1" min="4" max="4" width="18.29"/>
    <col customWidth="1" min="5" max="5" width="21.71"/>
  </cols>
  <sheetData>
    <row r="1">
      <c r="A1" s="108" t="s">
        <v>5</v>
      </c>
      <c r="B1" s="109" t="s">
        <v>600</v>
      </c>
      <c r="C1" s="109" t="s">
        <v>601</v>
      </c>
      <c r="D1" s="110" t="s">
        <v>602</v>
      </c>
      <c r="E1" s="111" t="s">
        <v>603</v>
      </c>
      <c r="F1" s="112" t="s">
        <v>604</v>
      </c>
      <c r="G1" s="113"/>
      <c r="H1" s="113"/>
      <c r="I1" s="113"/>
      <c r="J1" s="113"/>
      <c r="K1" s="113"/>
      <c r="L1" s="113"/>
      <c r="M1" s="113"/>
      <c r="N1" s="113"/>
      <c r="O1" s="113"/>
      <c r="P1" s="113"/>
      <c r="Q1" s="113"/>
      <c r="R1" s="113"/>
      <c r="S1" s="113"/>
      <c r="T1" s="113"/>
      <c r="U1" s="113"/>
      <c r="V1" s="113"/>
      <c r="W1" s="113"/>
      <c r="X1" s="113"/>
      <c r="Y1" s="113"/>
      <c r="Z1" s="113"/>
    </row>
    <row r="2">
      <c r="A2" s="114" t="s">
        <v>605</v>
      </c>
      <c r="B2" s="115">
        <f>COUNTIF('Master Table'!F:F,A2)</f>
        <v>6</v>
      </c>
      <c r="C2" s="116">
        <f>IFERROR(__xludf.DUMMYFUNCTION("IMPORTRANGE(""1bZtWFnysJQrIVtzXxEp6BVjzsuDu-e0EnOJmHxL71TM"",""'Judge Session Logic &amp; Session Count [DO NOT EDIT]'!C2:C89"")"),5.0)</f>
        <v>5</v>
      </c>
      <c r="D2" s="117">
        <f t="shared" ref="D2:D89" si="1">B2*C2</f>
        <v>30</v>
      </c>
      <c r="E2" s="118">
        <f>SUMIF('Master Table'!F:F,A2,'Master Table'!C:C)</f>
        <v>20</v>
      </c>
      <c r="F2" s="119">
        <f t="shared" ref="F2:F89" si="2">E2/D2</f>
        <v>0.6666666667</v>
      </c>
      <c r="G2" s="120"/>
      <c r="H2" s="121"/>
      <c r="I2" s="113"/>
      <c r="J2" s="113"/>
      <c r="K2" s="113"/>
      <c r="L2" s="113"/>
      <c r="M2" s="113"/>
      <c r="N2" s="113"/>
      <c r="O2" s="113"/>
      <c r="P2" s="113"/>
      <c r="Q2" s="113"/>
      <c r="R2" s="113"/>
      <c r="S2" s="113"/>
      <c r="T2" s="113"/>
      <c r="U2" s="113"/>
      <c r="V2" s="113"/>
      <c r="W2" s="113"/>
      <c r="X2" s="113"/>
      <c r="Y2" s="113"/>
      <c r="Z2" s="113"/>
    </row>
    <row r="3">
      <c r="A3" s="114" t="s">
        <v>606</v>
      </c>
      <c r="B3" s="115">
        <f>COUNTIF('Master Table'!F:F,A3)</f>
        <v>4</v>
      </c>
      <c r="C3" s="121">
        <f>IFERROR(__xludf.DUMMYFUNCTION("""COMPUTED_VALUE"""),5.0)</f>
        <v>5</v>
      </c>
      <c r="D3" s="117">
        <f t="shared" si="1"/>
        <v>20</v>
      </c>
      <c r="E3" s="118">
        <f>SUMIF('Master Table'!F:F,A3,'Master Table'!C:C)</f>
        <v>16</v>
      </c>
      <c r="F3" s="119">
        <f t="shared" si="2"/>
        <v>0.8</v>
      </c>
      <c r="G3" s="113"/>
      <c r="H3" s="121"/>
      <c r="I3" s="113"/>
      <c r="J3" s="113"/>
      <c r="K3" s="113"/>
      <c r="L3" s="113"/>
      <c r="M3" s="113"/>
      <c r="N3" s="113"/>
      <c r="O3" s="113"/>
      <c r="P3" s="113"/>
      <c r="Q3" s="113"/>
      <c r="R3" s="113"/>
      <c r="S3" s="113"/>
      <c r="T3" s="113"/>
      <c r="U3" s="113"/>
      <c r="V3" s="113"/>
      <c r="W3" s="113"/>
      <c r="X3" s="113"/>
      <c r="Y3" s="113"/>
      <c r="Z3" s="113"/>
    </row>
    <row r="4">
      <c r="A4" s="114" t="s">
        <v>607</v>
      </c>
      <c r="B4" s="115">
        <f>COUNTIF('Master Table'!F:F,A4)</f>
        <v>6</v>
      </c>
      <c r="C4" s="121">
        <f>IFERROR(__xludf.DUMMYFUNCTION("""COMPUTED_VALUE"""),4.0)</f>
        <v>4</v>
      </c>
      <c r="D4" s="117">
        <f t="shared" si="1"/>
        <v>24</v>
      </c>
      <c r="E4" s="118">
        <f>SUMIF('Master Table'!F:F,A4,'Master Table'!C:C)</f>
        <v>20</v>
      </c>
      <c r="F4" s="119">
        <f t="shared" si="2"/>
        <v>0.8333333333</v>
      </c>
      <c r="G4" s="113"/>
      <c r="H4" s="121"/>
      <c r="I4" s="113"/>
      <c r="J4" s="113"/>
      <c r="K4" s="113"/>
      <c r="L4" s="113"/>
      <c r="M4" s="113"/>
      <c r="N4" s="113"/>
      <c r="O4" s="113"/>
      <c r="P4" s="113"/>
      <c r="Q4" s="113"/>
      <c r="R4" s="113"/>
      <c r="S4" s="113"/>
      <c r="T4" s="113"/>
      <c r="U4" s="113"/>
      <c r="V4" s="113"/>
      <c r="W4" s="113"/>
      <c r="X4" s="113"/>
      <c r="Y4" s="113"/>
      <c r="Z4" s="113"/>
    </row>
    <row r="5">
      <c r="A5" s="114" t="s">
        <v>608</v>
      </c>
      <c r="B5" s="115">
        <f>COUNTIF('Master Table'!F:F,A5)</f>
        <v>5</v>
      </c>
      <c r="C5" s="121">
        <f>IFERROR(__xludf.DUMMYFUNCTION("""COMPUTED_VALUE"""),5.0)</f>
        <v>5</v>
      </c>
      <c r="D5" s="117">
        <f t="shared" si="1"/>
        <v>25</v>
      </c>
      <c r="E5" s="118">
        <f>SUMIF('Master Table'!F:F,A5,'Master Table'!C:C)</f>
        <v>20</v>
      </c>
      <c r="F5" s="119">
        <f t="shared" si="2"/>
        <v>0.8</v>
      </c>
      <c r="G5" s="113"/>
      <c r="H5" s="121"/>
      <c r="I5" s="113"/>
      <c r="J5" s="113"/>
      <c r="K5" s="113"/>
      <c r="L5" s="113"/>
      <c r="M5" s="113"/>
      <c r="N5" s="113"/>
      <c r="O5" s="113"/>
      <c r="P5" s="113"/>
      <c r="Q5" s="113"/>
      <c r="R5" s="113"/>
      <c r="S5" s="113"/>
      <c r="T5" s="113"/>
      <c r="U5" s="113"/>
      <c r="V5" s="113"/>
      <c r="W5" s="113"/>
      <c r="X5" s="113"/>
      <c r="Y5" s="113"/>
      <c r="Z5" s="113"/>
    </row>
    <row r="6">
      <c r="A6" s="114" t="s">
        <v>609</v>
      </c>
      <c r="B6" s="115">
        <f>COUNTIF('Master Table'!F:F,A6)</f>
        <v>6</v>
      </c>
      <c r="C6" s="121">
        <f>IFERROR(__xludf.DUMMYFUNCTION("""COMPUTED_VALUE"""),3.0)</f>
        <v>3</v>
      </c>
      <c r="D6" s="117">
        <f t="shared" si="1"/>
        <v>18</v>
      </c>
      <c r="E6" s="118">
        <f>SUMIF('Master Table'!F:F,A6,'Master Table'!C:C)</f>
        <v>17</v>
      </c>
      <c r="F6" s="119">
        <f t="shared" si="2"/>
        <v>0.9444444444</v>
      </c>
      <c r="G6" s="113"/>
      <c r="H6" s="121"/>
      <c r="I6" s="113"/>
      <c r="J6" s="113"/>
      <c r="K6" s="113"/>
      <c r="L6" s="113"/>
      <c r="M6" s="113"/>
      <c r="N6" s="113"/>
      <c r="O6" s="113"/>
      <c r="P6" s="113"/>
      <c r="Q6" s="113"/>
      <c r="R6" s="113"/>
      <c r="S6" s="113"/>
      <c r="T6" s="113"/>
      <c r="U6" s="113"/>
      <c r="V6" s="113"/>
      <c r="W6" s="113"/>
      <c r="X6" s="113"/>
      <c r="Y6" s="113"/>
      <c r="Z6" s="113"/>
    </row>
    <row r="7">
      <c r="A7" s="114" t="s">
        <v>610</v>
      </c>
      <c r="B7" s="115">
        <f>COUNTIF('Master Table'!F:F,A7)</f>
        <v>6</v>
      </c>
      <c r="C7" s="121">
        <f>IFERROR(__xludf.DUMMYFUNCTION("""COMPUTED_VALUE"""),5.0)</f>
        <v>5</v>
      </c>
      <c r="D7" s="117">
        <f t="shared" si="1"/>
        <v>30</v>
      </c>
      <c r="E7" s="118">
        <f>SUMIF('Master Table'!F:F,A7,'Master Table'!C:C)</f>
        <v>17</v>
      </c>
      <c r="F7" s="119">
        <f t="shared" si="2"/>
        <v>0.5666666667</v>
      </c>
      <c r="G7" s="113"/>
      <c r="H7" s="121"/>
      <c r="I7" s="121"/>
      <c r="J7" s="113"/>
      <c r="K7" s="113"/>
      <c r="L7" s="113"/>
      <c r="M7" s="113"/>
      <c r="N7" s="113"/>
      <c r="O7" s="113"/>
      <c r="P7" s="113"/>
      <c r="Q7" s="113"/>
      <c r="R7" s="113"/>
      <c r="S7" s="113"/>
      <c r="T7" s="113"/>
      <c r="U7" s="113"/>
      <c r="V7" s="113"/>
      <c r="W7" s="113"/>
      <c r="X7" s="113"/>
      <c r="Y7" s="113"/>
      <c r="Z7" s="113"/>
    </row>
    <row r="8">
      <c r="A8" s="114" t="s">
        <v>611</v>
      </c>
      <c r="B8" s="115">
        <f>COUNTIF('Master Table'!F:F,A8)</f>
        <v>6</v>
      </c>
      <c r="C8" s="121">
        <f>IFERROR(__xludf.DUMMYFUNCTION("""COMPUTED_VALUE"""),5.0)</f>
        <v>5</v>
      </c>
      <c r="D8" s="117">
        <f t="shared" si="1"/>
        <v>30</v>
      </c>
      <c r="E8" s="118">
        <f>SUMIF('Master Table'!F:F,A8,'Master Table'!C:C)</f>
        <v>30</v>
      </c>
      <c r="F8" s="119">
        <f t="shared" si="2"/>
        <v>1</v>
      </c>
      <c r="G8" s="113"/>
      <c r="H8" s="121"/>
      <c r="I8" s="113"/>
      <c r="J8" s="113"/>
      <c r="K8" s="113"/>
      <c r="L8" s="113"/>
      <c r="M8" s="113"/>
      <c r="N8" s="113"/>
      <c r="O8" s="113"/>
      <c r="P8" s="113"/>
      <c r="Q8" s="113"/>
      <c r="R8" s="113"/>
      <c r="S8" s="113"/>
      <c r="T8" s="113"/>
      <c r="U8" s="113"/>
      <c r="V8" s="113"/>
      <c r="W8" s="113"/>
      <c r="X8" s="113"/>
      <c r="Y8" s="113"/>
      <c r="Z8" s="113"/>
    </row>
    <row r="9">
      <c r="A9" s="114" t="s">
        <v>612</v>
      </c>
      <c r="B9" s="115">
        <f>COUNTIF('Master Table'!F:F,A9)</f>
        <v>6</v>
      </c>
      <c r="C9" s="121">
        <f>IFERROR(__xludf.DUMMYFUNCTION("""COMPUTED_VALUE"""),5.0)</f>
        <v>5</v>
      </c>
      <c r="D9" s="117">
        <f t="shared" si="1"/>
        <v>30</v>
      </c>
      <c r="E9" s="118">
        <f>SUMIF('Master Table'!F:F,A9,'Master Table'!C:C)</f>
        <v>29</v>
      </c>
      <c r="F9" s="119">
        <f t="shared" si="2"/>
        <v>0.9666666667</v>
      </c>
      <c r="G9" s="113"/>
      <c r="H9" s="121"/>
      <c r="I9" s="113"/>
      <c r="J9" s="113"/>
      <c r="K9" s="113"/>
      <c r="L9" s="113"/>
      <c r="M9" s="113"/>
      <c r="N9" s="113"/>
      <c r="O9" s="113"/>
      <c r="P9" s="113"/>
      <c r="Q9" s="113"/>
      <c r="R9" s="113"/>
      <c r="S9" s="113"/>
      <c r="T9" s="113"/>
      <c r="U9" s="113"/>
      <c r="V9" s="113"/>
      <c r="W9" s="113"/>
      <c r="X9" s="113"/>
      <c r="Y9" s="113"/>
      <c r="Z9" s="113"/>
    </row>
    <row r="10">
      <c r="A10" s="114" t="s">
        <v>613</v>
      </c>
      <c r="B10" s="115">
        <f>COUNTIF('Master Table'!F:F,A10)</f>
        <v>6</v>
      </c>
      <c r="C10" s="121">
        <f>IFERROR(__xludf.DUMMYFUNCTION("""COMPUTED_VALUE"""),5.0)</f>
        <v>5</v>
      </c>
      <c r="D10" s="117">
        <f t="shared" si="1"/>
        <v>30</v>
      </c>
      <c r="E10" s="118">
        <f>SUMIF('Master Table'!F:F,A10,'Master Table'!C:C)</f>
        <v>6</v>
      </c>
      <c r="F10" s="119">
        <f t="shared" si="2"/>
        <v>0.2</v>
      </c>
      <c r="G10" s="113"/>
      <c r="H10" s="121"/>
      <c r="I10" s="113"/>
      <c r="J10" s="113"/>
      <c r="K10" s="113"/>
      <c r="L10" s="113"/>
      <c r="M10" s="113"/>
      <c r="N10" s="113"/>
      <c r="O10" s="113"/>
      <c r="P10" s="113"/>
      <c r="Q10" s="113"/>
      <c r="R10" s="113"/>
      <c r="S10" s="113"/>
      <c r="T10" s="113"/>
      <c r="U10" s="113"/>
      <c r="V10" s="113"/>
      <c r="W10" s="113"/>
      <c r="X10" s="113"/>
      <c r="Y10" s="113"/>
      <c r="Z10" s="113"/>
    </row>
    <row r="11">
      <c r="A11" s="114" t="s">
        <v>614</v>
      </c>
      <c r="B11" s="115">
        <f>COUNTIF('Master Table'!F:F,A11)</f>
        <v>6</v>
      </c>
      <c r="C11" s="121">
        <f>IFERROR(__xludf.DUMMYFUNCTION("""COMPUTED_VALUE"""),4.0)</f>
        <v>4</v>
      </c>
      <c r="D11" s="117">
        <f t="shared" si="1"/>
        <v>24</v>
      </c>
      <c r="E11" s="118">
        <f>SUMIF('Master Table'!F:F,A11,'Master Table'!C:C)</f>
        <v>24</v>
      </c>
      <c r="F11" s="119">
        <f t="shared" si="2"/>
        <v>1</v>
      </c>
      <c r="G11" s="113"/>
      <c r="H11" s="121"/>
      <c r="I11" s="113"/>
      <c r="J11" s="113"/>
      <c r="K11" s="113"/>
      <c r="L11" s="113"/>
      <c r="M11" s="113"/>
      <c r="N11" s="113"/>
      <c r="O11" s="113"/>
      <c r="P11" s="113"/>
      <c r="Q11" s="113"/>
      <c r="R11" s="113"/>
      <c r="S11" s="113"/>
      <c r="T11" s="113"/>
      <c r="U11" s="113"/>
      <c r="V11" s="113"/>
      <c r="W11" s="113"/>
      <c r="X11" s="113"/>
      <c r="Y11" s="113"/>
      <c r="Z11" s="113"/>
    </row>
    <row r="12">
      <c r="A12" s="122" t="s">
        <v>615</v>
      </c>
      <c r="B12" s="115">
        <f>COUNTIF('Master Table'!F:F,A12)</f>
        <v>5</v>
      </c>
      <c r="C12" s="121">
        <f>IFERROR(__xludf.DUMMYFUNCTION("""COMPUTED_VALUE"""),4.0)</f>
        <v>4</v>
      </c>
      <c r="D12" s="117">
        <f t="shared" si="1"/>
        <v>20</v>
      </c>
      <c r="E12" s="118">
        <f>SUMIF('Master Table'!F:F,A12,'Master Table'!C:C)</f>
        <v>20</v>
      </c>
      <c r="F12" s="119">
        <f t="shared" si="2"/>
        <v>1</v>
      </c>
      <c r="G12" s="113"/>
      <c r="H12" s="121"/>
      <c r="I12" s="113"/>
      <c r="J12" s="113"/>
      <c r="K12" s="113"/>
      <c r="L12" s="113"/>
      <c r="M12" s="113"/>
      <c r="N12" s="113"/>
      <c r="O12" s="113"/>
      <c r="P12" s="113"/>
      <c r="Q12" s="113"/>
      <c r="R12" s="113"/>
      <c r="S12" s="113"/>
      <c r="T12" s="113"/>
      <c r="U12" s="113"/>
      <c r="V12" s="113"/>
      <c r="W12" s="113"/>
      <c r="X12" s="113"/>
      <c r="Y12" s="113"/>
      <c r="Z12" s="113"/>
    </row>
    <row r="13">
      <c r="A13" s="123" t="s">
        <v>616</v>
      </c>
      <c r="B13" s="115">
        <f>COUNTIF('Master Table'!F:F,A13)</f>
        <v>4</v>
      </c>
      <c r="C13" s="121">
        <f>IFERROR(__xludf.DUMMYFUNCTION("""COMPUTED_VALUE"""),5.0)</f>
        <v>5</v>
      </c>
      <c r="D13" s="117">
        <f t="shared" si="1"/>
        <v>20</v>
      </c>
      <c r="E13" s="118">
        <f>SUMIF('Master Table'!F:F,A13,'Master Table'!C:C)</f>
        <v>15</v>
      </c>
      <c r="F13" s="119">
        <f t="shared" si="2"/>
        <v>0.75</v>
      </c>
      <c r="G13" s="113"/>
      <c r="H13" s="121"/>
      <c r="I13" s="113"/>
      <c r="J13" s="113"/>
      <c r="K13" s="113"/>
      <c r="L13" s="113"/>
      <c r="M13" s="113"/>
      <c r="N13" s="113"/>
      <c r="O13" s="113"/>
      <c r="P13" s="113"/>
      <c r="Q13" s="113"/>
      <c r="R13" s="113"/>
      <c r="S13" s="113"/>
      <c r="T13" s="113"/>
      <c r="U13" s="113"/>
      <c r="V13" s="113"/>
      <c r="W13" s="113"/>
      <c r="X13" s="113"/>
      <c r="Y13" s="113"/>
      <c r="Z13" s="113"/>
    </row>
    <row r="14">
      <c r="A14" s="122" t="s">
        <v>617</v>
      </c>
      <c r="B14" s="115">
        <f>COUNTIF('Master Table'!F:F,A14)</f>
        <v>5</v>
      </c>
      <c r="C14" s="121">
        <f>IFERROR(__xludf.DUMMYFUNCTION("""COMPUTED_VALUE"""),4.0)</f>
        <v>4</v>
      </c>
      <c r="D14" s="117">
        <f t="shared" si="1"/>
        <v>20</v>
      </c>
      <c r="E14" s="118">
        <f>SUMIF('Master Table'!F:F,A14,'Master Table'!C:C)</f>
        <v>16</v>
      </c>
      <c r="F14" s="119">
        <f t="shared" si="2"/>
        <v>0.8</v>
      </c>
      <c r="G14" s="113"/>
      <c r="H14" s="121"/>
      <c r="I14" s="113"/>
      <c r="J14" s="113"/>
      <c r="K14" s="113"/>
      <c r="L14" s="113"/>
      <c r="M14" s="113"/>
      <c r="N14" s="113"/>
      <c r="O14" s="113"/>
      <c r="P14" s="113"/>
      <c r="Q14" s="113"/>
      <c r="R14" s="113"/>
      <c r="S14" s="113"/>
      <c r="T14" s="113"/>
      <c r="U14" s="113"/>
      <c r="V14" s="113"/>
      <c r="W14" s="113"/>
      <c r="X14" s="113"/>
      <c r="Y14" s="113"/>
      <c r="Z14" s="113"/>
    </row>
    <row r="15">
      <c r="A15" s="123" t="s">
        <v>618</v>
      </c>
      <c r="B15" s="115">
        <f>COUNTIF('Master Table'!F:F,A15)</f>
        <v>4</v>
      </c>
      <c r="C15" s="121">
        <f>IFERROR(__xludf.DUMMYFUNCTION("""COMPUTED_VALUE"""),5.0)</f>
        <v>5</v>
      </c>
      <c r="D15" s="117">
        <f t="shared" si="1"/>
        <v>20</v>
      </c>
      <c r="E15" s="118">
        <f>SUMIF('Master Table'!F:F,A15,'Master Table'!C:C)</f>
        <v>8</v>
      </c>
      <c r="F15" s="119">
        <f t="shared" si="2"/>
        <v>0.4</v>
      </c>
      <c r="G15" s="113"/>
      <c r="H15" s="121"/>
      <c r="I15" s="113"/>
      <c r="J15" s="113"/>
      <c r="K15" s="113"/>
      <c r="L15" s="113"/>
      <c r="M15" s="113"/>
      <c r="N15" s="113"/>
      <c r="O15" s="113"/>
      <c r="P15" s="113"/>
      <c r="Q15" s="113"/>
      <c r="R15" s="113"/>
      <c r="S15" s="113"/>
      <c r="T15" s="113"/>
      <c r="U15" s="113"/>
      <c r="V15" s="113"/>
      <c r="W15" s="113"/>
      <c r="X15" s="113"/>
      <c r="Y15" s="113"/>
      <c r="Z15" s="113"/>
    </row>
    <row r="16">
      <c r="A16" s="122" t="s">
        <v>619</v>
      </c>
      <c r="B16" s="115">
        <f>COUNTIF('Master Table'!F:F,A16)</f>
        <v>6</v>
      </c>
      <c r="C16" s="121">
        <f>IFERROR(__xludf.DUMMYFUNCTION("""COMPUTED_VALUE"""),5.0)</f>
        <v>5</v>
      </c>
      <c r="D16" s="117">
        <f t="shared" si="1"/>
        <v>30</v>
      </c>
      <c r="E16" s="118">
        <f>SUMIF('Master Table'!F:F,A16,'Master Table'!C:C)</f>
        <v>10</v>
      </c>
      <c r="F16" s="119">
        <f t="shared" si="2"/>
        <v>0.3333333333</v>
      </c>
      <c r="G16" s="113"/>
      <c r="H16" s="121"/>
      <c r="I16" s="113"/>
      <c r="J16" s="113"/>
      <c r="K16" s="113"/>
      <c r="L16" s="113"/>
      <c r="M16" s="113"/>
      <c r="N16" s="113"/>
      <c r="O16" s="113"/>
      <c r="P16" s="113"/>
      <c r="Q16" s="113"/>
      <c r="R16" s="113"/>
      <c r="S16" s="113"/>
      <c r="T16" s="113"/>
      <c r="U16" s="113"/>
      <c r="V16" s="113"/>
      <c r="W16" s="113"/>
      <c r="X16" s="113"/>
      <c r="Y16" s="113"/>
      <c r="Z16" s="113"/>
    </row>
    <row r="17">
      <c r="A17" s="123" t="s">
        <v>620</v>
      </c>
      <c r="B17" s="115">
        <f>COUNTIF('Master Table'!F:F,A17)</f>
        <v>6</v>
      </c>
      <c r="C17" s="121">
        <f>IFERROR(__xludf.DUMMYFUNCTION("""COMPUTED_VALUE"""),5.0)</f>
        <v>5</v>
      </c>
      <c r="D17" s="117">
        <f t="shared" si="1"/>
        <v>30</v>
      </c>
      <c r="E17" s="118">
        <f>SUMIF('Master Table'!F:F,A17,'Master Table'!C:C)</f>
        <v>20</v>
      </c>
      <c r="F17" s="119">
        <f t="shared" si="2"/>
        <v>0.6666666667</v>
      </c>
      <c r="G17" s="113"/>
      <c r="H17" s="121"/>
      <c r="I17" s="113"/>
      <c r="J17" s="113"/>
      <c r="K17" s="113"/>
      <c r="L17" s="113"/>
      <c r="M17" s="113"/>
      <c r="N17" s="113"/>
      <c r="O17" s="113"/>
      <c r="P17" s="113"/>
      <c r="Q17" s="113"/>
      <c r="R17" s="113"/>
      <c r="S17" s="113"/>
      <c r="T17" s="113"/>
      <c r="U17" s="113"/>
      <c r="V17" s="113"/>
      <c r="W17" s="113"/>
      <c r="X17" s="113"/>
      <c r="Y17" s="113"/>
      <c r="Z17" s="113"/>
    </row>
    <row r="18">
      <c r="A18" s="122" t="s">
        <v>621</v>
      </c>
      <c r="B18" s="115">
        <f>COUNTIF('Master Table'!F:F,A18)</f>
        <v>6</v>
      </c>
      <c r="C18" s="121">
        <f>IFERROR(__xludf.DUMMYFUNCTION("""COMPUTED_VALUE"""),5.0)</f>
        <v>5</v>
      </c>
      <c r="D18" s="117">
        <f t="shared" si="1"/>
        <v>30</v>
      </c>
      <c r="E18" s="118">
        <f>SUMIF('Master Table'!F:F,A18,'Master Table'!C:C)</f>
        <v>26</v>
      </c>
      <c r="F18" s="119">
        <f t="shared" si="2"/>
        <v>0.8666666667</v>
      </c>
      <c r="G18" s="113"/>
      <c r="H18" s="121"/>
      <c r="I18" s="113"/>
      <c r="J18" s="113"/>
      <c r="K18" s="113"/>
      <c r="L18" s="113"/>
      <c r="M18" s="113"/>
      <c r="N18" s="113"/>
      <c r="O18" s="113"/>
      <c r="P18" s="113"/>
      <c r="Q18" s="113"/>
      <c r="R18" s="113"/>
      <c r="S18" s="113"/>
      <c r="T18" s="113"/>
      <c r="U18" s="113"/>
      <c r="V18" s="113"/>
      <c r="W18" s="113"/>
      <c r="X18" s="113"/>
      <c r="Y18" s="113"/>
      <c r="Z18" s="113"/>
    </row>
    <row r="19">
      <c r="A19" s="123" t="s">
        <v>622</v>
      </c>
      <c r="B19" s="115">
        <f>COUNTIF('Master Table'!F:F,A19)</f>
        <v>5</v>
      </c>
      <c r="C19" s="121">
        <f>IFERROR(__xludf.DUMMYFUNCTION("""COMPUTED_VALUE"""),5.0)</f>
        <v>5</v>
      </c>
      <c r="D19" s="117">
        <f t="shared" si="1"/>
        <v>25</v>
      </c>
      <c r="E19" s="118">
        <f>SUMIF('Master Table'!F:F,A19,'Master Table'!C:C)</f>
        <v>14</v>
      </c>
      <c r="F19" s="119">
        <f t="shared" si="2"/>
        <v>0.56</v>
      </c>
      <c r="G19" s="113"/>
      <c r="H19" s="121"/>
      <c r="I19" s="113"/>
      <c r="J19" s="113"/>
      <c r="K19" s="113"/>
      <c r="L19" s="113"/>
      <c r="M19" s="113"/>
      <c r="N19" s="113"/>
      <c r="O19" s="113"/>
      <c r="P19" s="113"/>
      <c r="Q19" s="113"/>
      <c r="R19" s="113"/>
      <c r="S19" s="113"/>
      <c r="T19" s="113"/>
      <c r="U19" s="113"/>
      <c r="V19" s="113"/>
      <c r="W19" s="113"/>
      <c r="X19" s="113"/>
      <c r="Y19" s="113"/>
      <c r="Z19" s="113"/>
    </row>
    <row r="20">
      <c r="A20" s="122" t="s">
        <v>623</v>
      </c>
      <c r="B20" s="115">
        <f>COUNTIF('Master Table'!F:F,A20)</f>
        <v>4</v>
      </c>
      <c r="C20" s="121">
        <f>IFERROR(__xludf.DUMMYFUNCTION("""COMPUTED_VALUE"""),5.0)</f>
        <v>5</v>
      </c>
      <c r="D20" s="117">
        <f t="shared" si="1"/>
        <v>20</v>
      </c>
      <c r="E20" s="118">
        <f>SUMIF('Master Table'!F:F,A20,'Master Table'!C:C)</f>
        <v>16</v>
      </c>
      <c r="F20" s="119">
        <f t="shared" si="2"/>
        <v>0.8</v>
      </c>
      <c r="G20" s="113"/>
      <c r="H20" s="121"/>
      <c r="I20" s="113"/>
      <c r="J20" s="113"/>
      <c r="K20" s="113"/>
      <c r="L20" s="113"/>
      <c r="M20" s="113"/>
      <c r="N20" s="113"/>
      <c r="O20" s="113"/>
      <c r="P20" s="113"/>
      <c r="Q20" s="113"/>
      <c r="R20" s="113"/>
      <c r="S20" s="113"/>
      <c r="T20" s="113"/>
      <c r="U20" s="113"/>
      <c r="V20" s="113"/>
      <c r="W20" s="113"/>
      <c r="X20" s="113"/>
      <c r="Y20" s="113"/>
      <c r="Z20" s="113"/>
    </row>
    <row r="21">
      <c r="A21" s="123" t="s">
        <v>624</v>
      </c>
      <c r="B21" s="115">
        <f>COUNTIF('Master Table'!F:F,A21)</f>
        <v>6</v>
      </c>
      <c r="C21" s="121">
        <f>IFERROR(__xludf.DUMMYFUNCTION("""COMPUTED_VALUE"""),5.0)</f>
        <v>5</v>
      </c>
      <c r="D21" s="117">
        <f t="shared" si="1"/>
        <v>30</v>
      </c>
      <c r="E21" s="118">
        <f>SUMIF('Master Table'!F:F,A21,'Master Table'!C:C)</f>
        <v>14</v>
      </c>
      <c r="F21" s="119">
        <f t="shared" si="2"/>
        <v>0.4666666667</v>
      </c>
      <c r="G21" s="113"/>
      <c r="H21" s="121"/>
      <c r="I21" s="113"/>
      <c r="J21" s="113"/>
      <c r="K21" s="113"/>
      <c r="L21" s="113"/>
      <c r="M21" s="113"/>
      <c r="N21" s="113"/>
      <c r="O21" s="113"/>
      <c r="P21" s="113"/>
      <c r="Q21" s="113"/>
      <c r="R21" s="113"/>
      <c r="S21" s="113"/>
      <c r="T21" s="113"/>
      <c r="U21" s="113"/>
      <c r="V21" s="113"/>
      <c r="W21" s="113"/>
      <c r="X21" s="113"/>
      <c r="Y21" s="113"/>
      <c r="Z21" s="113"/>
    </row>
    <row r="22">
      <c r="A22" s="123" t="s">
        <v>625</v>
      </c>
      <c r="B22" s="115">
        <f>COUNTIF('Master Table'!F:F,A22)</f>
        <v>5</v>
      </c>
      <c r="C22" s="121">
        <f>IFERROR(__xludf.DUMMYFUNCTION("""COMPUTED_VALUE"""),5.0)</f>
        <v>5</v>
      </c>
      <c r="D22" s="117">
        <f t="shared" si="1"/>
        <v>25</v>
      </c>
      <c r="E22" s="118">
        <f>SUMIF('Master Table'!F:F,A22,'Master Table'!C:C)</f>
        <v>16</v>
      </c>
      <c r="F22" s="119">
        <f t="shared" si="2"/>
        <v>0.64</v>
      </c>
      <c r="G22" s="113"/>
      <c r="H22" s="121"/>
      <c r="I22" s="113"/>
      <c r="J22" s="113"/>
      <c r="K22" s="113"/>
      <c r="L22" s="113"/>
      <c r="M22" s="113"/>
      <c r="N22" s="113"/>
      <c r="O22" s="113"/>
      <c r="P22" s="113"/>
      <c r="Q22" s="113"/>
      <c r="R22" s="113"/>
      <c r="S22" s="113"/>
      <c r="T22" s="113"/>
      <c r="U22" s="113"/>
      <c r="V22" s="113"/>
      <c r="W22" s="113"/>
      <c r="X22" s="113"/>
      <c r="Y22" s="113"/>
      <c r="Z22" s="113"/>
    </row>
    <row r="23">
      <c r="A23" s="122" t="s">
        <v>626</v>
      </c>
      <c r="B23" s="115">
        <f>COUNTIF('Master Table'!F:F,A23)</f>
        <v>6</v>
      </c>
      <c r="C23" s="121">
        <f>IFERROR(__xludf.DUMMYFUNCTION("""COMPUTED_VALUE"""),4.0)</f>
        <v>4</v>
      </c>
      <c r="D23" s="117">
        <f t="shared" si="1"/>
        <v>24</v>
      </c>
      <c r="E23" s="118">
        <f>SUMIF('Master Table'!F:F,A23,'Master Table'!C:C)</f>
        <v>18</v>
      </c>
      <c r="F23" s="119">
        <f t="shared" si="2"/>
        <v>0.75</v>
      </c>
      <c r="G23" s="113"/>
      <c r="H23" s="121"/>
      <c r="I23" s="113"/>
      <c r="J23" s="113"/>
      <c r="K23" s="113"/>
      <c r="L23" s="113"/>
      <c r="M23" s="113"/>
      <c r="N23" s="113"/>
      <c r="O23" s="113"/>
      <c r="P23" s="113"/>
      <c r="Q23" s="113"/>
      <c r="R23" s="113"/>
      <c r="S23" s="113"/>
      <c r="T23" s="113"/>
      <c r="U23" s="113"/>
      <c r="V23" s="113"/>
      <c r="W23" s="113"/>
      <c r="X23" s="113"/>
      <c r="Y23" s="113"/>
      <c r="Z23" s="113"/>
    </row>
    <row r="24">
      <c r="A24" s="123" t="s">
        <v>627</v>
      </c>
      <c r="B24" s="115">
        <f>COUNTIF('Master Table'!F:F,A24)</f>
        <v>6</v>
      </c>
      <c r="C24" s="121">
        <f>IFERROR(__xludf.DUMMYFUNCTION("""COMPUTED_VALUE"""),5.0)</f>
        <v>5</v>
      </c>
      <c r="D24" s="117">
        <f t="shared" si="1"/>
        <v>30</v>
      </c>
      <c r="E24" s="118">
        <f>SUMIF('Master Table'!F:F,A24,'Master Table'!C:C)</f>
        <v>17</v>
      </c>
      <c r="F24" s="119">
        <f t="shared" si="2"/>
        <v>0.5666666667</v>
      </c>
      <c r="G24" s="113"/>
      <c r="H24" s="121"/>
      <c r="I24" s="113"/>
      <c r="J24" s="113"/>
      <c r="K24" s="113"/>
      <c r="L24" s="113"/>
      <c r="M24" s="113"/>
      <c r="N24" s="113"/>
      <c r="O24" s="113"/>
      <c r="P24" s="113"/>
      <c r="Q24" s="113"/>
      <c r="R24" s="113"/>
      <c r="S24" s="113"/>
      <c r="T24" s="113"/>
      <c r="U24" s="113"/>
      <c r="V24" s="113"/>
      <c r="W24" s="113"/>
      <c r="X24" s="113"/>
      <c r="Y24" s="113"/>
      <c r="Z24" s="113"/>
    </row>
    <row r="25">
      <c r="A25" s="122" t="s">
        <v>628</v>
      </c>
      <c r="B25" s="115">
        <f>COUNTIF('Master Table'!F:F,A25)</f>
        <v>6</v>
      </c>
      <c r="C25" s="121">
        <f>IFERROR(__xludf.DUMMYFUNCTION("""COMPUTED_VALUE"""),3.0)</f>
        <v>3</v>
      </c>
      <c r="D25" s="117">
        <f t="shared" si="1"/>
        <v>18</v>
      </c>
      <c r="E25" s="118">
        <f>SUMIF('Master Table'!F:F,A25,'Master Table'!C:C)</f>
        <v>17</v>
      </c>
      <c r="F25" s="119">
        <f t="shared" si="2"/>
        <v>0.9444444444</v>
      </c>
      <c r="G25" s="113"/>
      <c r="H25" s="121"/>
      <c r="I25" s="113"/>
      <c r="J25" s="113"/>
      <c r="K25" s="113"/>
      <c r="L25" s="113"/>
      <c r="M25" s="113"/>
      <c r="N25" s="113"/>
      <c r="O25" s="113"/>
      <c r="P25" s="113"/>
      <c r="Q25" s="113"/>
      <c r="R25" s="113"/>
      <c r="S25" s="113"/>
      <c r="T25" s="113"/>
      <c r="U25" s="113"/>
      <c r="V25" s="113"/>
      <c r="W25" s="113"/>
      <c r="X25" s="113"/>
      <c r="Y25" s="113"/>
      <c r="Z25" s="113"/>
    </row>
    <row r="26">
      <c r="A26" s="123" t="s">
        <v>629</v>
      </c>
      <c r="B26" s="115">
        <f>COUNTIF('Master Table'!F:F,A26)</f>
        <v>6</v>
      </c>
      <c r="C26" s="121">
        <f>IFERROR(__xludf.DUMMYFUNCTION("""COMPUTED_VALUE"""),5.0)</f>
        <v>5</v>
      </c>
      <c r="D26" s="117">
        <f t="shared" si="1"/>
        <v>30</v>
      </c>
      <c r="E26" s="118">
        <f>SUMIF('Master Table'!F:F,A26,'Master Table'!C:C)</f>
        <v>21</v>
      </c>
      <c r="F26" s="119">
        <f t="shared" si="2"/>
        <v>0.7</v>
      </c>
      <c r="G26" s="113"/>
      <c r="H26" s="121"/>
      <c r="I26" s="113"/>
      <c r="J26" s="113"/>
      <c r="K26" s="113"/>
      <c r="L26" s="113"/>
      <c r="M26" s="113"/>
      <c r="N26" s="113"/>
      <c r="O26" s="113"/>
      <c r="P26" s="113"/>
      <c r="Q26" s="113"/>
      <c r="R26" s="113"/>
      <c r="S26" s="113"/>
      <c r="T26" s="113"/>
      <c r="U26" s="113"/>
      <c r="V26" s="113"/>
      <c r="W26" s="113"/>
      <c r="X26" s="113"/>
      <c r="Y26" s="113"/>
      <c r="Z26" s="113"/>
    </row>
    <row r="27">
      <c r="A27" s="122" t="s">
        <v>630</v>
      </c>
      <c r="B27" s="115">
        <f>COUNTIF('Master Table'!F:F,A27)</f>
        <v>6</v>
      </c>
      <c r="C27" s="121">
        <f>IFERROR(__xludf.DUMMYFUNCTION("""COMPUTED_VALUE"""),5.0)</f>
        <v>5</v>
      </c>
      <c r="D27" s="117">
        <f t="shared" si="1"/>
        <v>30</v>
      </c>
      <c r="E27" s="118">
        <f>SUMIF('Master Table'!F:F,A27,'Master Table'!C:C)</f>
        <v>20</v>
      </c>
      <c r="F27" s="119">
        <f t="shared" si="2"/>
        <v>0.6666666667</v>
      </c>
      <c r="G27" s="113"/>
      <c r="H27" s="121"/>
      <c r="I27" s="113"/>
      <c r="J27" s="113"/>
      <c r="K27" s="113"/>
      <c r="L27" s="113"/>
      <c r="M27" s="113"/>
      <c r="N27" s="113"/>
      <c r="O27" s="113"/>
      <c r="P27" s="113"/>
      <c r="Q27" s="113"/>
      <c r="R27" s="113"/>
      <c r="S27" s="113"/>
      <c r="T27" s="113"/>
      <c r="U27" s="113"/>
      <c r="V27" s="113"/>
      <c r="W27" s="113"/>
      <c r="X27" s="113"/>
      <c r="Y27" s="113"/>
      <c r="Z27" s="113"/>
    </row>
    <row r="28">
      <c r="A28" s="123" t="s">
        <v>631</v>
      </c>
      <c r="B28" s="115">
        <f>COUNTIF('Master Table'!F:F,A28)</f>
        <v>4</v>
      </c>
      <c r="C28" s="121">
        <f>IFERROR(__xludf.DUMMYFUNCTION("""COMPUTED_VALUE"""),5.0)</f>
        <v>5</v>
      </c>
      <c r="D28" s="117">
        <f t="shared" si="1"/>
        <v>20</v>
      </c>
      <c r="E28" s="118">
        <f>SUMIF('Master Table'!F:F,A28,'Master Table'!C:C)</f>
        <v>17</v>
      </c>
      <c r="F28" s="119">
        <f t="shared" si="2"/>
        <v>0.85</v>
      </c>
      <c r="G28" s="113"/>
      <c r="H28" s="121"/>
      <c r="I28" s="113"/>
      <c r="J28" s="113"/>
      <c r="K28" s="113"/>
      <c r="L28" s="113"/>
      <c r="M28" s="113"/>
      <c r="N28" s="113"/>
      <c r="O28" s="113"/>
      <c r="P28" s="113"/>
      <c r="Q28" s="113"/>
      <c r="R28" s="113"/>
      <c r="S28" s="113"/>
      <c r="T28" s="113"/>
      <c r="U28" s="113"/>
      <c r="V28" s="113"/>
      <c r="W28" s="113"/>
      <c r="X28" s="113"/>
      <c r="Y28" s="113"/>
      <c r="Z28" s="113"/>
    </row>
    <row r="29">
      <c r="A29" s="122" t="s">
        <v>632</v>
      </c>
      <c r="B29" s="115">
        <f>COUNTIF('Master Table'!F:F,A29)</f>
        <v>6</v>
      </c>
      <c r="C29" s="121">
        <f>IFERROR(__xludf.DUMMYFUNCTION("""COMPUTED_VALUE"""),5.0)</f>
        <v>5</v>
      </c>
      <c r="D29" s="117">
        <f t="shared" si="1"/>
        <v>30</v>
      </c>
      <c r="E29" s="118">
        <f>SUMIF('Master Table'!F:F,A29,'Master Table'!C:C)</f>
        <v>5</v>
      </c>
      <c r="F29" s="119">
        <f t="shared" si="2"/>
        <v>0.1666666667</v>
      </c>
      <c r="G29" s="113"/>
      <c r="H29" s="121"/>
      <c r="I29" s="113"/>
      <c r="J29" s="113"/>
      <c r="K29" s="113"/>
      <c r="L29" s="113"/>
      <c r="M29" s="113"/>
      <c r="N29" s="113"/>
      <c r="O29" s="113"/>
      <c r="P29" s="113"/>
      <c r="Q29" s="113"/>
      <c r="R29" s="113"/>
      <c r="S29" s="113"/>
      <c r="T29" s="113"/>
      <c r="U29" s="113"/>
      <c r="V29" s="113"/>
      <c r="W29" s="113"/>
      <c r="X29" s="113"/>
      <c r="Y29" s="113"/>
      <c r="Z29" s="113"/>
    </row>
    <row r="30">
      <c r="A30" s="123" t="s">
        <v>633</v>
      </c>
      <c r="B30" s="115">
        <f>COUNTIF('Master Table'!F:F,A30)</f>
        <v>6</v>
      </c>
      <c r="C30" s="121">
        <f>IFERROR(__xludf.DUMMYFUNCTION("""COMPUTED_VALUE"""),5.0)</f>
        <v>5</v>
      </c>
      <c r="D30" s="117">
        <f t="shared" si="1"/>
        <v>30</v>
      </c>
      <c r="E30" s="118">
        <f>SUMIF('Master Table'!F:F,A30,'Master Table'!C:C)</f>
        <v>18</v>
      </c>
      <c r="F30" s="119">
        <f t="shared" si="2"/>
        <v>0.6</v>
      </c>
      <c r="G30" s="113"/>
      <c r="H30" s="121"/>
      <c r="I30" s="113"/>
      <c r="J30" s="113"/>
      <c r="K30" s="113"/>
      <c r="L30" s="113"/>
      <c r="M30" s="113"/>
      <c r="N30" s="113"/>
      <c r="O30" s="113"/>
      <c r="P30" s="113"/>
      <c r="Q30" s="113"/>
      <c r="R30" s="113"/>
      <c r="S30" s="113"/>
      <c r="T30" s="113"/>
      <c r="U30" s="113"/>
      <c r="V30" s="113"/>
      <c r="W30" s="113"/>
      <c r="X30" s="113"/>
      <c r="Y30" s="113"/>
      <c r="Z30" s="113"/>
    </row>
    <row r="31">
      <c r="A31" s="123" t="s">
        <v>634</v>
      </c>
      <c r="B31" s="115">
        <f>COUNTIF('Master Table'!F:F,A31)</f>
        <v>6</v>
      </c>
      <c r="C31" s="121">
        <f>IFERROR(__xludf.DUMMYFUNCTION("""COMPUTED_VALUE"""),5.0)</f>
        <v>5</v>
      </c>
      <c r="D31" s="117">
        <f t="shared" si="1"/>
        <v>30</v>
      </c>
      <c r="E31" s="118">
        <f>SUMIF('Master Table'!F:F,A31,'Master Table'!C:C)</f>
        <v>13</v>
      </c>
      <c r="F31" s="119">
        <f t="shared" si="2"/>
        <v>0.4333333333</v>
      </c>
      <c r="G31" s="113"/>
      <c r="H31" s="121"/>
      <c r="I31" s="113"/>
      <c r="J31" s="113"/>
      <c r="K31" s="113"/>
      <c r="L31" s="113"/>
      <c r="M31" s="113"/>
      <c r="N31" s="113"/>
      <c r="O31" s="113"/>
      <c r="P31" s="113"/>
      <c r="Q31" s="113"/>
      <c r="R31" s="113"/>
      <c r="S31" s="113"/>
      <c r="T31" s="113"/>
      <c r="U31" s="113"/>
      <c r="V31" s="113"/>
      <c r="W31" s="113"/>
      <c r="X31" s="113"/>
      <c r="Y31" s="113"/>
      <c r="Z31" s="113"/>
    </row>
    <row r="32">
      <c r="A32" s="122" t="s">
        <v>635</v>
      </c>
      <c r="B32" s="115">
        <f>COUNTIF('Master Table'!F:F,A32)</f>
        <v>6</v>
      </c>
      <c r="C32" s="121">
        <f>IFERROR(__xludf.DUMMYFUNCTION("""COMPUTED_VALUE"""),4.0)</f>
        <v>4</v>
      </c>
      <c r="D32" s="117">
        <f t="shared" si="1"/>
        <v>24</v>
      </c>
      <c r="E32" s="118">
        <f>SUMIF('Master Table'!F:F,A32,'Master Table'!C:C)</f>
        <v>11</v>
      </c>
      <c r="F32" s="119">
        <f t="shared" si="2"/>
        <v>0.4583333333</v>
      </c>
      <c r="G32" s="113"/>
      <c r="H32" s="121"/>
      <c r="I32" s="113"/>
      <c r="J32" s="113"/>
      <c r="K32" s="113"/>
      <c r="L32" s="113"/>
      <c r="M32" s="113"/>
      <c r="N32" s="113"/>
      <c r="O32" s="113"/>
      <c r="P32" s="113"/>
      <c r="Q32" s="113"/>
      <c r="R32" s="113"/>
      <c r="S32" s="113"/>
      <c r="T32" s="113"/>
      <c r="U32" s="113"/>
      <c r="V32" s="113"/>
      <c r="W32" s="113"/>
      <c r="X32" s="113"/>
      <c r="Y32" s="113"/>
      <c r="Z32" s="113"/>
    </row>
    <row r="33">
      <c r="A33" s="123" t="s">
        <v>636</v>
      </c>
      <c r="B33" s="115">
        <f>COUNTIF('Master Table'!F:F,A33)</f>
        <v>6</v>
      </c>
      <c r="C33" s="121">
        <f>IFERROR(__xludf.DUMMYFUNCTION("""COMPUTED_VALUE"""),5.0)</f>
        <v>5</v>
      </c>
      <c r="D33" s="117">
        <f t="shared" si="1"/>
        <v>30</v>
      </c>
      <c r="E33" s="118">
        <f>SUMIF('Master Table'!F:F,A33,'Master Table'!C:C)</f>
        <v>11</v>
      </c>
      <c r="F33" s="119">
        <f t="shared" si="2"/>
        <v>0.3666666667</v>
      </c>
      <c r="G33" s="113"/>
      <c r="H33" s="121"/>
      <c r="I33" s="113"/>
      <c r="J33" s="113"/>
      <c r="K33" s="113"/>
      <c r="L33" s="113"/>
      <c r="M33" s="113"/>
      <c r="N33" s="113"/>
      <c r="O33" s="113"/>
      <c r="P33" s="113"/>
      <c r="Q33" s="113"/>
      <c r="R33" s="113"/>
      <c r="S33" s="113"/>
      <c r="T33" s="113"/>
      <c r="U33" s="113"/>
      <c r="V33" s="113"/>
      <c r="W33" s="113"/>
      <c r="X33" s="113"/>
      <c r="Y33" s="113"/>
      <c r="Z33" s="113"/>
    </row>
    <row r="34">
      <c r="A34" s="122" t="s">
        <v>637</v>
      </c>
      <c r="B34" s="115">
        <f>COUNTIF('Master Table'!F:F,A34)</f>
        <v>5</v>
      </c>
      <c r="C34" s="121">
        <f>IFERROR(__xludf.DUMMYFUNCTION("""COMPUTED_VALUE"""),4.0)</f>
        <v>4</v>
      </c>
      <c r="D34" s="117">
        <f t="shared" si="1"/>
        <v>20</v>
      </c>
      <c r="E34" s="118">
        <f>SUMIF('Master Table'!F:F,A34,'Master Table'!C:C)</f>
        <v>12</v>
      </c>
      <c r="F34" s="119">
        <f t="shared" si="2"/>
        <v>0.6</v>
      </c>
      <c r="G34" s="113"/>
      <c r="H34" s="121"/>
      <c r="I34" s="113"/>
      <c r="J34" s="113"/>
      <c r="K34" s="113"/>
      <c r="L34" s="113"/>
      <c r="M34" s="113"/>
      <c r="N34" s="113"/>
      <c r="O34" s="113"/>
      <c r="P34" s="113"/>
      <c r="Q34" s="113"/>
      <c r="R34" s="113"/>
      <c r="S34" s="113"/>
      <c r="T34" s="113"/>
      <c r="U34" s="113"/>
      <c r="V34" s="113"/>
      <c r="W34" s="113"/>
      <c r="X34" s="113"/>
      <c r="Y34" s="113"/>
      <c r="Z34" s="113"/>
    </row>
    <row r="35">
      <c r="A35" s="123" t="s">
        <v>638</v>
      </c>
      <c r="B35" s="115">
        <f>COUNTIF('Master Table'!F:F,A35)</f>
        <v>6</v>
      </c>
      <c r="C35" s="121">
        <f>IFERROR(__xludf.DUMMYFUNCTION("""COMPUTED_VALUE"""),4.0)</f>
        <v>4</v>
      </c>
      <c r="D35" s="117">
        <f t="shared" si="1"/>
        <v>24</v>
      </c>
      <c r="E35" s="118">
        <f>SUMIF('Master Table'!F:F,A35,'Master Table'!C:C)</f>
        <v>19</v>
      </c>
      <c r="F35" s="119">
        <f t="shared" si="2"/>
        <v>0.7916666667</v>
      </c>
      <c r="G35" s="113"/>
      <c r="H35" s="121"/>
      <c r="I35" s="113"/>
      <c r="J35" s="113"/>
      <c r="K35" s="113"/>
      <c r="L35" s="113"/>
      <c r="M35" s="113"/>
      <c r="N35" s="113"/>
      <c r="O35" s="113"/>
      <c r="P35" s="113"/>
      <c r="Q35" s="113"/>
      <c r="R35" s="113"/>
      <c r="S35" s="113"/>
      <c r="T35" s="113"/>
      <c r="U35" s="113"/>
      <c r="V35" s="113"/>
      <c r="W35" s="113"/>
      <c r="X35" s="113"/>
      <c r="Y35" s="113"/>
      <c r="Z35" s="113"/>
    </row>
    <row r="36">
      <c r="A36" s="122" t="s">
        <v>639</v>
      </c>
      <c r="B36" s="115">
        <f>COUNTIF('Master Table'!F:F,A36)</f>
        <v>6</v>
      </c>
      <c r="C36" s="121">
        <f>IFERROR(__xludf.DUMMYFUNCTION("""COMPUTED_VALUE"""),5.0)</f>
        <v>5</v>
      </c>
      <c r="D36" s="117">
        <f t="shared" si="1"/>
        <v>30</v>
      </c>
      <c r="E36" s="118">
        <f>SUMIF('Master Table'!F:F,A36,'Master Table'!C:C)</f>
        <v>21</v>
      </c>
      <c r="F36" s="119">
        <f t="shared" si="2"/>
        <v>0.7</v>
      </c>
      <c r="G36" s="113"/>
      <c r="H36" s="121"/>
      <c r="I36" s="113"/>
      <c r="J36" s="113"/>
      <c r="K36" s="113"/>
      <c r="L36" s="113"/>
      <c r="M36" s="113"/>
      <c r="N36" s="113"/>
      <c r="O36" s="113"/>
      <c r="P36" s="113"/>
      <c r="Q36" s="113"/>
      <c r="R36" s="113"/>
      <c r="S36" s="113"/>
      <c r="T36" s="113"/>
      <c r="U36" s="113"/>
      <c r="V36" s="113"/>
      <c r="W36" s="113"/>
      <c r="X36" s="113"/>
      <c r="Y36" s="113"/>
      <c r="Z36" s="113"/>
    </row>
    <row r="37">
      <c r="A37" s="123" t="s">
        <v>640</v>
      </c>
      <c r="B37" s="115">
        <f>COUNTIF('Master Table'!F:F,A37)</f>
        <v>4</v>
      </c>
      <c r="C37" s="121">
        <f>IFERROR(__xludf.DUMMYFUNCTION("""COMPUTED_VALUE"""),5.0)</f>
        <v>5</v>
      </c>
      <c r="D37" s="117">
        <f t="shared" si="1"/>
        <v>20</v>
      </c>
      <c r="E37" s="118">
        <f>SUMIF('Master Table'!F:F,A37,'Master Table'!C:C)</f>
        <v>9</v>
      </c>
      <c r="F37" s="119">
        <f t="shared" si="2"/>
        <v>0.45</v>
      </c>
      <c r="G37" s="113"/>
      <c r="H37" s="121"/>
      <c r="I37" s="113"/>
      <c r="J37" s="113"/>
      <c r="K37" s="113"/>
      <c r="L37" s="113"/>
      <c r="M37" s="113"/>
      <c r="N37" s="113"/>
      <c r="O37" s="113"/>
      <c r="P37" s="113"/>
      <c r="Q37" s="113"/>
      <c r="R37" s="113"/>
      <c r="S37" s="113"/>
      <c r="T37" s="113"/>
      <c r="U37" s="113"/>
      <c r="V37" s="113"/>
      <c r="W37" s="113"/>
      <c r="X37" s="113"/>
      <c r="Y37" s="113"/>
      <c r="Z37" s="113"/>
    </row>
    <row r="38">
      <c r="A38" s="122" t="s">
        <v>641</v>
      </c>
      <c r="B38" s="115">
        <f>COUNTIF('Master Table'!F:F,A38)</f>
        <v>5</v>
      </c>
      <c r="C38" s="121">
        <f>IFERROR(__xludf.DUMMYFUNCTION("""COMPUTED_VALUE"""),5.0)</f>
        <v>5</v>
      </c>
      <c r="D38" s="117">
        <f t="shared" si="1"/>
        <v>25</v>
      </c>
      <c r="E38" s="118">
        <f>SUMIF('Master Table'!F:F,A38,'Master Table'!C:C)</f>
        <v>11</v>
      </c>
      <c r="F38" s="119">
        <f t="shared" si="2"/>
        <v>0.44</v>
      </c>
      <c r="G38" s="113"/>
      <c r="H38" s="121"/>
      <c r="I38" s="113"/>
      <c r="J38" s="113"/>
      <c r="K38" s="113"/>
      <c r="L38" s="113"/>
      <c r="M38" s="113"/>
      <c r="N38" s="113"/>
      <c r="O38" s="113"/>
      <c r="P38" s="113"/>
      <c r="Q38" s="113"/>
      <c r="R38" s="113"/>
      <c r="S38" s="113"/>
      <c r="T38" s="113"/>
      <c r="U38" s="113"/>
      <c r="V38" s="113"/>
      <c r="W38" s="113"/>
      <c r="X38" s="113"/>
      <c r="Y38" s="113"/>
      <c r="Z38" s="113"/>
    </row>
    <row r="39">
      <c r="A39" s="123" t="s">
        <v>642</v>
      </c>
      <c r="B39" s="115">
        <f>COUNTIF('Master Table'!F:F,A39)</f>
        <v>6</v>
      </c>
      <c r="C39" s="121">
        <f>IFERROR(__xludf.DUMMYFUNCTION("""COMPUTED_VALUE"""),4.0)</f>
        <v>4</v>
      </c>
      <c r="D39" s="117">
        <f t="shared" si="1"/>
        <v>24</v>
      </c>
      <c r="E39" s="118">
        <f>SUMIF('Master Table'!F:F,A39,'Master Table'!C:C)</f>
        <v>5</v>
      </c>
      <c r="F39" s="119">
        <f t="shared" si="2"/>
        <v>0.2083333333</v>
      </c>
      <c r="G39" s="113"/>
      <c r="H39" s="121"/>
      <c r="I39" s="113"/>
      <c r="J39" s="113"/>
      <c r="K39" s="113"/>
      <c r="L39" s="113"/>
      <c r="M39" s="113"/>
      <c r="N39" s="113"/>
      <c r="O39" s="113"/>
      <c r="P39" s="113"/>
      <c r="Q39" s="113"/>
      <c r="R39" s="113"/>
      <c r="S39" s="113"/>
      <c r="T39" s="113"/>
      <c r="U39" s="113"/>
      <c r="V39" s="113"/>
      <c r="W39" s="113"/>
      <c r="X39" s="113"/>
      <c r="Y39" s="113"/>
      <c r="Z39" s="113"/>
    </row>
    <row r="40">
      <c r="A40" s="123" t="s">
        <v>643</v>
      </c>
      <c r="B40" s="115">
        <f>COUNTIF('Master Table'!F:F,A40)</f>
        <v>4</v>
      </c>
      <c r="C40" s="121">
        <f>IFERROR(__xludf.DUMMYFUNCTION("""COMPUTED_VALUE"""),4.0)</f>
        <v>4</v>
      </c>
      <c r="D40" s="117">
        <f t="shared" si="1"/>
        <v>16</v>
      </c>
      <c r="E40" s="118">
        <f>SUMIF('Master Table'!F:F,A40,'Master Table'!C:C)</f>
        <v>13</v>
      </c>
      <c r="F40" s="119">
        <f t="shared" si="2"/>
        <v>0.8125</v>
      </c>
      <c r="G40" s="113"/>
      <c r="H40" s="121"/>
      <c r="I40" s="113"/>
      <c r="J40" s="113"/>
      <c r="K40" s="113"/>
      <c r="L40" s="113"/>
      <c r="M40" s="113"/>
      <c r="N40" s="113"/>
      <c r="O40" s="113"/>
      <c r="P40" s="113"/>
      <c r="Q40" s="113"/>
      <c r="R40" s="113"/>
      <c r="S40" s="113"/>
      <c r="T40" s="113"/>
      <c r="U40" s="113"/>
      <c r="V40" s="113"/>
      <c r="W40" s="113"/>
      <c r="X40" s="113"/>
      <c r="Y40" s="113"/>
      <c r="Z40" s="113"/>
    </row>
    <row r="41">
      <c r="A41" s="124" t="s">
        <v>644</v>
      </c>
      <c r="B41" s="115">
        <f>COUNTIF('Master Table'!F:F,A41)</f>
        <v>4</v>
      </c>
      <c r="C41" s="121">
        <f>IFERROR(__xludf.DUMMYFUNCTION("""COMPUTED_VALUE"""),4.0)</f>
        <v>4</v>
      </c>
      <c r="D41" s="117">
        <f t="shared" si="1"/>
        <v>16</v>
      </c>
      <c r="E41" s="118">
        <f>SUMIF('Master Table'!F:F,A41,'Master Table'!C:C)</f>
        <v>4</v>
      </c>
      <c r="F41" s="119">
        <f t="shared" si="2"/>
        <v>0.25</v>
      </c>
      <c r="G41" s="113"/>
      <c r="H41" s="121"/>
      <c r="I41" s="113"/>
      <c r="J41" s="113"/>
      <c r="K41" s="113"/>
      <c r="L41" s="113"/>
      <c r="M41" s="113"/>
      <c r="N41" s="113"/>
      <c r="O41" s="113"/>
      <c r="P41" s="113"/>
      <c r="Q41" s="113"/>
      <c r="R41" s="113"/>
      <c r="S41" s="113"/>
      <c r="T41" s="113"/>
      <c r="U41" s="113"/>
      <c r="V41" s="113"/>
      <c r="W41" s="113"/>
      <c r="X41" s="113"/>
      <c r="Y41" s="113"/>
      <c r="Z41" s="113"/>
    </row>
    <row r="42">
      <c r="A42" s="125" t="s">
        <v>645</v>
      </c>
      <c r="B42" s="115">
        <f>COUNTIF('Master Table'!F:F,A42)</f>
        <v>7</v>
      </c>
      <c r="C42" s="121">
        <f>IFERROR(__xludf.DUMMYFUNCTION("""COMPUTED_VALUE"""),5.0)</f>
        <v>5</v>
      </c>
      <c r="D42" s="117">
        <f t="shared" si="1"/>
        <v>35</v>
      </c>
      <c r="E42" s="118">
        <f>SUMIF('Master Table'!F:F,A42,'Master Table'!C:C)</f>
        <v>30</v>
      </c>
      <c r="F42" s="119">
        <f t="shared" si="2"/>
        <v>0.8571428571</v>
      </c>
      <c r="G42" s="113"/>
      <c r="H42" s="121"/>
      <c r="I42" s="113"/>
      <c r="J42" s="113"/>
      <c r="K42" s="113"/>
      <c r="L42" s="113"/>
      <c r="M42" s="113"/>
      <c r="N42" s="113"/>
      <c r="O42" s="113"/>
      <c r="P42" s="113"/>
      <c r="Q42" s="113"/>
      <c r="R42" s="113"/>
      <c r="S42" s="113"/>
      <c r="T42" s="113"/>
      <c r="U42" s="113"/>
      <c r="V42" s="113"/>
      <c r="W42" s="113"/>
      <c r="X42" s="113"/>
      <c r="Y42" s="113"/>
      <c r="Z42" s="113"/>
    </row>
    <row r="43">
      <c r="A43" s="125" t="s">
        <v>646</v>
      </c>
      <c r="B43" s="115">
        <f>COUNTIF('Master Table'!F:F,A43)</f>
        <v>7</v>
      </c>
      <c r="C43" s="121">
        <f>IFERROR(__xludf.DUMMYFUNCTION("""COMPUTED_VALUE"""),5.0)</f>
        <v>5</v>
      </c>
      <c r="D43" s="117">
        <f t="shared" si="1"/>
        <v>35</v>
      </c>
      <c r="E43" s="118">
        <f>SUMIF('Master Table'!F:F,A43,'Master Table'!C:C)</f>
        <v>22</v>
      </c>
      <c r="F43" s="119">
        <f t="shared" si="2"/>
        <v>0.6285714286</v>
      </c>
      <c r="G43" s="113"/>
      <c r="H43" s="121"/>
      <c r="I43" s="113"/>
      <c r="J43" s="113"/>
      <c r="K43" s="113"/>
      <c r="L43" s="113"/>
      <c r="M43" s="113"/>
      <c r="N43" s="113"/>
      <c r="O43" s="113"/>
      <c r="P43" s="113"/>
      <c r="Q43" s="113"/>
      <c r="R43" s="113"/>
      <c r="S43" s="113"/>
      <c r="T43" s="113"/>
      <c r="U43" s="113"/>
      <c r="V43" s="113"/>
      <c r="W43" s="113"/>
      <c r="X43" s="113"/>
      <c r="Y43" s="113"/>
      <c r="Z43" s="113"/>
    </row>
    <row r="44">
      <c r="A44" s="125" t="s">
        <v>647</v>
      </c>
      <c r="B44" s="115">
        <f>COUNTIF('Master Table'!F:F,A44)</f>
        <v>7</v>
      </c>
      <c r="C44" s="121">
        <f>IFERROR(__xludf.DUMMYFUNCTION("""COMPUTED_VALUE"""),5.0)</f>
        <v>5</v>
      </c>
      <c r="D44" s="117">
        <f t="shared" si="1"/>
        <v>35</v>
      </c>
      <c r="E44" s="118">
        <f>SUMIF('Master Table'!F:F,A44,'Master Table'!C:C)</f>
        <v>31</v>
      </c>
      <c r="F44" s="119">
        <f t="shared" si="2"/>
        <v>0.8857142857</v>
      </c>
      <c r="G44" s="113"/>
      <c r="H44" s="121"/>
      <c r="I44" s="113"/>
      <c r="J44" s="113"/>
      <c r="K44" s="113"/>
      <c r="L44" s="113"/>
      <c r="M44" s="113"/>
      <c r="N44" s="113"/>
      <c r="O44" s="113"/>
      <c r="P44" s="113"/>
      <c r="Q44" s="113"/>
      <c r="R44" s="113"/>
      <c r="S44" s="113"/>
      <c r="T44" s="113"/>
      <c r="U44" s="113"/>
      <c r="V44" s="113"/>
      <c r="W44" s="113"/>
      <c r="X44" s="113"/>
      <c r="Y44" s="113"/>
      <c r="Z44" s="113"/>
    </row>
    <row r="45">
      <c r="A45" s="125" t="s">
        <v>648</v>
      </c>
      <c r="B45" s="115">
        <f>COUNTIF('Master Table'!F:F,A45)</f>
        <v>6</v>
      </c>
      <c r="C45" s="121">
        <f>IFERROR(__xludf.DUMMYFUNCTION("""COMPUTED_VALUE"""),4.0)</f>
        <v>4</v>
      </c>
      <c r="D45" s="117">
        <f t="shared" si="1"/>
        <v>24</v>
      </c>
      <c r="E45" s="118">
        <f>SUMIF('Master Table'!F:F,A45,'Master Table'!C:C)</f>
        <v>12</v>
      </c>
      <c r="F45" s="119">
        <f t="shared" si="2"/>
        <v>0.5</v>
      </c>
      <c r="G45" s="113"/>
      <c r="H45" s="121"/>
      <c r="I45" s="113"/>
      <c r="J45" s="113"/>
      <c r="K45" s="113"/>
      <c r="L45" s="113"/>
      <c r="M45" s="113"/>
      <c r="N45" s="113"/>
      <c r="O45" s="113"/>
      <c r="P45" s="113"/>
      <c r="Q45" s="113"/>
      <c r="R45" s="113"/>
      <c r="S45" s="113"/>
      <c r="T45" s="113"/>
      <c r="U45" s="113"/>
      <c r="V45" s="113"/>
      <c r="W45" s="113"/>
      <c r="X45" s="113"/>
      <c r="Y45" s="113"/>
      <c r="Z45" s="113"/>
    </row>
    <row r="46">
      <c r="A46" s="125" t="s">
        <v>649</v>
      </c>
      <c r="B46" s="115">
        <f>COUNTIF('Master Table'!F:F,A46)</f>
        <v>7</v>
      </c>
      <c r="C46" s="121">
        <f>IFERROR(__xludf.DUMMYFUNCTION("""COMPUTED_VALUE"""),4.0)</f>
        <v>4</v>
      </c>
      <c r="D46" s="117">
        <f t="shared" si="1"/>
        <v>28</v>
      </c>
      <c r="E46" s="118">
        <f>SUMIF('Master Table'!F:F,A46,'Master Table'!C:C)</f>
        <v>28</v>
      </c>
      <c r="F46" s="119">
        <f t="shared" si="2"/>
        <v>1</v>
      </c>
      <c r="G46" s="113"/>
      <c r="H46" s="121"/>
      <c r="I46" s="113"/>
      <c r="J46" s="113"/>
      <c r="K46" s="113"/>
      <c r="L46" s="113"/>
      <c r="M46" s="113"/>
      <c r="N46" s="113"/>
      <c r="O46" s="113"/>
      <c r="P46" s="113"/>
      <c r="Q46" s="113"/>
      <c r="R46" s="113"/>
      <c r="S46" s="113"/>
      <c r="T46" s="113"/>
      <c r="U46" s="113"/>
      <c r="V46" s="113"/>
      <c r="W46" s="113"/>
      <c r="X46" s="113"/>
      <c r="Y46" s="113"/>
      <c r="Z46" s="113"/>
    </row>
    <row r="47">
      <c r="A47" s="125" t="s">
        <v>650</v>
      </c>
      <c r="B47" s="115">
        <f>COUNTIF('Master Table'!F:F,A47)</f>
        <v>5</v>
      </c>
      <c r="C47" s="121">
        <f>IFERROR(__xludf.DUMMYFUNCTION("""COMPUTED_VALUE"""),5.0)</f>
        <v>5</v>
      </c>
      <c r="D47" s="117">
        <f t="shared" si="1"/>
        <v>25</v>
      </c>
      <c r="E47" s="118">
        <f>SUMIF('Master Table'!F:F,A47,'Master Table'!C:C)</f>
        <v>16</v>
      </c>
      <c r="F47" s="119">
        <f t="shared" si="2"/>
        <v>0.64</v>
      </c>
      <c r="G47" s="113"/>
      <c r="H47" s="121"/>
      <c r="I47" s="113"/>
      <c r="J47" s="113"/>
      <c r="K47" s="113"/>
      <c r="L47" s="113"/>
      <c r="M47" s="113"/>
      <c r="N47" s="113"/>
      <c r="O47" s="113"/>
      <c r="P47" s="113"/>
      <c r="Q47" s="113"/>
      <c r="R47" s="113"/>
      <c r="S47" s="113"/>
      <c r="T47" s="113"/>
      <c r="U47" s="113"/>
      <c r="V47" s="113"/>
      <c r="W47" s="113"/>
      <c r="X47" s="113"/>
      <c r="Y47" s="113"/>
      <c r="Z47" s="113"/>
    </row>
    <row r="48">
      <c r="A48" s="125" t="s">
        <v>651</v>
      </c>
      <c r="B48" s="115">
        <f>COUNTIF('Master Table'!F:F,A48)</f>
        <v>7</v>
      </c>
      <c r="C48" s="121">
        <f>IFERROR(__xludf.DUMMYFUNCTION("""COMPUTED_VALUE"""),5.0)</f>
        <v>5</v>
      </c>
      <c r="D48" s="117">
        <f t="shared" si="1"/>
        <v>35</v>
      </c>
      <c r="E48" s="118">
        <f>SUMIF('Master Table'!F:F,A48,'Master Table'!C:C)</f>
        <v>25</v>
      </c>
      <c r="F48" s="119">
        <f t="shared" si="2"/>
        <v>0.7142857143</v>
      </c>
      <c r="G48" s="113"/>
      <c r="H48" s="121"/>
      <c r="I48" s="113"/>
      <c r="J48" s="113"/>
      <c r="K48" s="113"/>
      <c r="L48" s="113"/>
      <c r="M48" s="113"/>
      <c r="N48" s="113"/>
      <c r="O48" s="113"/>
      <c r="P48" s="113"/>
      <c r="Q48" s="113"/>
      <c r="R48" s="113"/>
      <c r="S48" s="113"/>
      <c r="T48" s="113"/>
      <c r="U48" s="113"/>
      <c r="V48" s="113"/>
      <c r="W48" s="113"/>
      <c r="X48" s="113"/>
      <c r="Y48" s="113"/>
      <c r="Z48" s="113"/>
    </row>
    <row r="49">
      <c r="A49" s="125" t="s">
        <v>652</v>
      </c>
      <c r="B49" s="115">
        <f>COUNTIF('Master Table'!F:F,A49)</f>
        <v>8</v>
      </c>
      <c r="C49" s="121">
        <f>IFERROR(__xludf.DUMMYFUNCTION("""COMPUTED_VALUE"""),4.0)</f>
        <v>4</v>
      </c>
      <c r="D49" s="117">
        <f t="shared" si="1"/>
        <v>32</v>
      </c>
      <c r="E49" s="118">
        <f>SUMIF('Master Table'!F:F,A49,'Master Table'!C:C)</f>
        <v>18</v>
      </c>
      <c r="F49" s="119">
        <f t="shared" si="2"/>
        <v>0.5625</v>
      </c>
      <c r="G49" s="113"/>
      <c r="H49" s="121"/>
      <c r="I49" s="113"/>
      <c r="J49" s="113"/>
      <c r="K49" s="113"/>
      <c r="L49" s="113"/>
      <c r="M49" s="113"/>
      <c r="N49" s="113"/>
      <c r="O49" s="113"/>
      <c r="P49" s="113"/>
      <c r="Q49" s="113"/>
      <c r="R49" s="113"/>
      <c r="S49" s="113"/>
      <c r="T49" s="113"/>
      <c r="U49" s="113"/>
      <c r="V49" s="113"/>
      <c r="W49" s="113"/>
      <c r="X49" s="113"/>
      <c r="Y49" s="113"/>
      <c r="Z49" s="113"/>
    </row>
    <row r="50">
      <c r="A50" s="125" t="s">
        <v>653</v>
      </c>
      <c r="B50" s="115">
        <f>COUNTIF('Master Table'!F:F,A50)</f>
        <v>8</v>
      </c>
      <c r="C50" s="121">
        <f>IFERROR(__xludf.DUMMYFUNCTION("""COMPUTED_VALUE"""),4.0)</f>
        <v>4</v>
      </c>
      <c r="D50" s="117">
        <f t="shared" si="1"/>
        <v>32</v>
      </c>
      <c r="E50" s="118">
        <f>SUMIF('Master Table'!F:F,A50,'Master Table'!C:C)</f>
        <v>27</v>
      </c>
      <c r="F50" s="119">
        <f t="shared" si="2"/>
        <v>0.84375</v>
      </c>
      <c r="G50" s="113"/>
      <c r="H50" s="121"/>
      <c r="I50" s="113"/>
      <c r="J50" s="113"/>
      <c r="K50" s="113"/>
      <c r="L50" s="113"/>
      <c r="M50" s="113"/>
      <c r="N50" s="113"/>
      <c r="O50" s="113"/>
      <c r="P50" s="113"/>
      <c r="Q50" s="113"/>
      <c r="R50" s="113"/>
      <c r="S50" s="113"/>
      <c r="T50" s="113"/>
      <c r="U50" s="113"/>
      <c r="V50" s="113"/>
      <c r="W50" s="113"/>
      <c r="X50" s="113"/>
      <c r="Y50" s="113"/>
      <c r="Z50" s="113"/>
    </row>
    <row r="51">
      <c r="A51" s="125" t="s">
        <v>654</v>
      </c>
      <c r="B51" s="115">
        <f>COUNTIF('Master Table'!F:F,A51)</f>
        <v>5</v>
      </c>
      <c r="C51" s="121">
        <f>IFERROR(__xludf.DUMMYFUNCTION("""COMPUTED_VALUE"""),5.0)</f>
        <v>5</v>
      </c>
      <c r="D51" s="117">
        <f t="shared" si="1"/>
        <v>25</v>
      </c>
      <c r="E51" s="118">
        <f>SUMIF('Master Table'!F:F,A51,'Master Table'!C:C)</f>
        <v>18</v>
      </c>
      <c r="F51" s="119">
        <f t="shared" si="2"/>
        <v>0.72</v>
      </c>
      <c r="G51" s="113"/>
      <c r="H51" s="121"/>
      <c r="I51" s="113"/>
      <c r="J51" s="113"/>
      <c r="K51" s="113"/>
      <c r="L51" s="113"/>
      <c r="M51" s="113"/>
      <c r="N51" s="113"/>
      <c r="O51" s="113"/>
      <c r="P51" s="113"/>
      <c r="Q51" s="113"/>
      <c r="R51" s="113"/>
      <c r="S51" s="113"/>
      <c r="T51" s="113"/>
      <c r="U51" s="113"/>
      <c r="V51" s="113"/>
      <c r="W51" s="113"/>
      <c r="X51" s="113"/>
      <c r="Y51" s="113"/>
      <c r="Z51" s="113"/>
    </row>
    <row r="52">
      <c r="A52" s="125" t="s">
        <v>655</v>
      </c>
      <c r="B52" s="115">
        <f>COUNTIF('Master Table'!F:F,A52)</f>
        <v>7</v>
      </c>
      <c r="C52" s="121">
        <f>IFERROR(__xludf.DUMMYFUNCTION("""COMPUTED_VALUE"""),4.0)</f>
        <v>4</v>
      </c>
      <c r="D52" s="117">
        <f t="shared" si="1"/>
        <v>28</v>
      </c>
      <c r="E52" s="118">
        <f>SUMIF('Master Table'!F:F,A52,'Master Table'!C:C)</f>
        <v>21</v>
      </c>
      <c r="F52" s="119">
        <f t="shared" si="2"/>
        <v>0.75</v>
      </c>
      <c r="G52" s="113"/>
      <c r="H52" s="121"/>
      <c r="I52" s="113"/>
      <c r="J52" s="113"/>
      <c r="K52" s="113"/>
      <c r="L52" s="113"/>
      <c r="M52" s="113"/>
      <c r="N52" s="113"/>
      <c r="O52" s="113"/>
      <c r="P52" s="113"/>
      <c r="Q52" s="113"/>
      <c r="R52" s="113"/>
      <c r="S52" s="113"/>
      <c r="T52" s="113"/>
      <c r="U52" s="113"/>
      <c r="V52" s="113"/>
      <c r="W52" s="113"/>
      <c r="X52" s="113"/>
      <c r="Y52" s="113"/>
      <c r="Z52" s="113"/>
    </row>
    <row r="53" ht="15.75" customHeight="1">
      <c r="A53" s="125" t="s">
        <v>656</v>
      </c>
      <c r="B53" s="115">
        <f>COUNTIF('Master Table'!F:F,A53)</f>
        <v>7</v>
      </c>
      <c r="C53" s="121">
        <f>IFERROR(__xludf.DUMMYFUNCTION("""COMPUTED_VALUE"""),5.0)</f>
        <v>5</v>
      </c>
      <c r="D53" s="117">
        <f t="shared" si="1"/>
        <v>35</v>
      </c>
      <c r="E53" s="118">
        <f>SUMIF('Master Table'!F:F,A53,'Master Table'!C:C)</f>
        <v>11</v>
      </c>
      <c r="F53" s="119">
        <f t="shared" si="2"/>
        <v>0.3142857143</v>
      </c>
      <c r="G53" s="113"/>
      <c r="H53" s="121"/>
      <c r="I53" s="113"/>
      <c r="J53" s="113"/>
      <c r="K53" s="113"/>
      <c r="L53" s="113"/>
      <c r="M53" s="113"/>
      <c r="N53" s="113"/>
      <c r="O53" s="113"/>
      <c r="P53" s="113"/>
      <c r="Q53" s="113"/>
      <c r="R53" s="113"/>
      <c r="S53" s="113"/>
      <c r="T53" s="113"/>
      <c r="U53" s="113"/>
      <c r="V53" s="113"/>
      <c r="W53" s="113"/>
      <c r="X53" s="113"/>
      <c r="Y53" s="113"/>
      <c r="Z53" s="113"/>
    </row>
    <row r="54">
      <c r="A54" s="126" t="s">
        <v>657</v>
      </c>
      <c r="B54" s="115">
        <f>COUNTIF('Master Table'!F:F,A54)</f>
        <v>6</v>
      </c>
      <c r="C54" s="121">
        <f>IFERROR(__xludf.DUMMYFUNCTION("""COMPUTED_VALUE"""),4.0)</f>
        <v>4</v>
      </c>
      <c r="D54" s="117">
        <f t="shared" si="1"/>
        <v>24</v>
      </c>
      <c r="E54" s="118">
        <f>SUMIF('Master Table'!F:F,A54,'Master Table'!C:C)</f>
        <v>23</v>
      </c>
      <c r="F54" s="119">
        <f t="shared" si="2"/>
        <v>0.9583333333</v>
      </c>
      <c r="G54" s="113"/>
      <c r="H54" s="121"/>
      <c r="I54" s="113"/>
      <c r="J54" s="113"/>
      <c r="K54" s="113"/>
      <c r="L54" s="113"/>
      <c r="M54" s="113"/>
      <c r="N54" s="113"/>
      <c r="O54" s="113"/>
      <c r="P54" s="113"/>
      <c r="Q54" s="113"/>
      <c r="R54" s="113"/>
      <c r="S54" s="113"/>
      <c r="T54" s="113"/>
      <c r="U54" s="113"/>
      <c r="V54" s="113"/>
      <c r="W54" s="113"/>
      <c r="X54" s="113"/>
      <c r="Y54" s="113"/>
      <c r="Z54" s="113"/>
    </row>
    <row r="55">
      <c r="A55" s="125" t="s">
        <v>658</v>
      </c>
      <c r="B55" s="115">
        <f>COUNTIF('Master Table'!F:F,A55)</f>
        <v>8</v>
      </c>
      <c r="C55" s="121">
        <f>IFERROR(__xludf.DUMMYFUNCTION("""COMPUTED_VALUE"""),3.0)</f>
        <v>3</v>
      </c>
      <c r="D55" s="117">
        <f t="shared" si="1"/>
        <v>24</v>
      </c>
      <c r="E55" s="118">
        <f>SUMIF('Master Table'!F:F,A55,'Master Table'!C:C)</f>
        <v>16</v>
      </c>
      <c r="F55" s="119">
        <f t="shared" si="2"/>
        <v>0.6666666667</v>
      </c>
      <c r="G55" s="113"/>
      <c r="H55" s="121"/>
      <c r="I55" s="113"/>
      <c r="J55" s="113"/>
      <c r="K55" s="113"/>
      <c r="L55" s="113"/>
      <c r="M55" s="113"/>
      <c r="N55" s="113"/>
      <c r="O55" s="113"/>
      <c r="P55" s="113"/>
      <c r="Q55" s="113"/>
      <c r="R55" s="113"/>
      <c r="S55" s="113"/>
      <c r="T55" s="113"/>
      <c r="U55" s="113"/>
      <c r="V55" s="113"/>
      <c r="W55" s="113"/>
      <c r="X55" s="113"/>
      <c r="Y55" s="113"/>
      <c r="Z55" s="113"/>
    </row>
    <row r="56">
      <c r="A56" s="125" t="s">
        <v>659</v>
      </c>
      <c r="B56" s="115">
        <f>COUNTIF('Master Table'!F:F,A56)</f>
        <v>6</v>
      </c>
      <c r="C56" s="121">
        <f>IFERROR(__xludf.DUMMYFUNCTION("""COMPUTED_VALUE"""),5.0)</f>
        <v>5</v>
      </c>
      <c r="D56" s="117">
        <f t="shared" si="1"/>
        <v>30</v>
      </c>
      <c r="E56" s="118">
        <f>SUMIF('Master Table'!F:F,A56,'Master Table'!C:C)</f>
        <v>16</v>
      </c>
      <c r="F56" s="119">
        <f t="shared" si="2"/>
        <v>0.5333333333</v>
      </c>
      <c r="G56" s="113"/>
      <c r="H56" s="121"/>
      <c r="I56" s="113"/>
      <c r="J56" s="113"/>
      <c r="K56" s="113"/>
      <c r="L56" s="113"/>
      <c r="M56" s="113"/>
      <c r="N56" s="113"/>
      <c r="O56" s="113"/>
      <c r="P56" s="113"/>
      <c r="Q56" s="113"/>
      <c r="R56" s="113"/>
      <c r="S56" s="113"/>
      <c r="T56" s="113"/>
      <c r="U56" s="113"/>
      <c r="V56" s="113"/>
      <c r="W56" s="113"/>
      <c r="X56" s="113"/>
      <c r="Y56" s="113"/>
      <c r="Z56" s="113"/>
    </row>
    <row r="57">
      <c r="A57" s="125" t="s">
        <v>660</v>
      </c>
      <c r="B57" s="115">
        <f>COUNTIF('Master Table'!F:F,A57)</f>
        <v>7</v>
      </c>
      <c r="C57" s="121">
        <f>IFERROR(__xludf.DUMMYFUNCTION("""COMPUTED_VALUE"""),4.0)</f>
        <v>4</v>
      </c>
      <c r="D57" s="117">
        <f t="shared" si="1"/>
        <v>28</v>
      </c>
      <c r="E57" s="118">
        <f>SUMIF('Master Table'!F:F,A57,'Master Table'!C:C)</f>
        <v>21</v>
      </c>
      <c r="F57" s="119">
        <f t="shared" si="2"/>
        <v>0.75</v>
      </c>
      <c r="G57" s="113"/>
      <c r="H57" s="121"/>
      <c r="I57" s="113"/>
      <c r="J57" s="113"/>
      <c r="K57" s="113"/>
      <c r="L57" s="113"/>
      <c r="M57" s="113"/>
      <c r="N57" s="113"/>
      <c r="O57" s="113"/>
      <c r="P57" s="113"/>
      <c r="Q57" s="113"/>
      <c r="R57" s="113"/>
      <c r="S57" s="113"/>
      <c r="T57" s="113"/>
      <c r="U57" s="113"/>
      <c r="V57" s="113"/>
      <c r="W57" s="113"/>
      <c r="X57" s="113"/>
      <c r="Y57" s="113"/>
      <c r="Z57" s="113"/>
    </row>
    <row r="58">
      <c r="A58" s="125" t="s">
        <v>661</v>
      </c>
      <c r="B58" s="115">
        <f>COUNTIF('Master Table'!F:F,A58)</f>
        <v>7</v>
      </c>
      <c r="C58" s="121">
        <f>IFERROR(__xludf.DUMMYFUNCTION("""COMPUTED_VALUE"""),4.0)</f>
        <v>4</v>
      </c>
      <c r="D58" s="117">
        <f t="shared" si="1"/>
        <v>28</v>
      </c>
      <c r="E58" s="118">
        <f>SUMIF('Master Table'!F:F,A58,'Master Table'!C:C)</f>
        <v>18</v>
      </c>
      <c r="F58" s="119">
        <f t="shared" si="2"/>
        <v>0.6428571429</v>
      </c>
      <c r="G58" s="113"/>
      <c r="H58" s="121"/>
      <c r="I58" s="113"/>
      <c r="J58" s="113"/>
      <c r="K58" s="113"/>
      <c r="L58" s="113"/>
      <c r="M58" s="113"/>
      <c r="N58" s="113"/>
      <c r="O58" s="113"/>
      <c r="P58" s="113"/>
      <c r="Q58" s="113"/>
      <c r="R58" s="113"/>
      <c r="S58" s="113"/>
      <c r="T58" s="113"/>
      <c r="U58" s="113"/>
      <c r="V58" s="113"/>
      <c r="W58" s="113"/>
      <c r="X58" s="113"/>
      <c r="Y58" s="113"/>
      <c r="Z58" s="113"/>
    </row>
    <row r="59">
      <c r="A59" s="125" t="s">
        <v>662</v>
      </c>
      <c r="B59" s="115">
        <f>COUNTIF('Master Table'!F:F,A59)</f>
        <v>6</v>
      </c>
      <c r="C59" s="121">
        <f>IFERROR(__xludf.DUMMYFUNCTION("""COMPUTED_VALUE"""),5.0)</f>
        <v>5</v>
      </c>
      <c r="D59" s="117">
        <f t="shared" si="1"/>
        <v>30</v>
      </c>
      <c r="E59" s="118">
        <f>SUMIF('Master Table'!F:F,A59,'Master Table'!C:C)</f>
        <v>24</v>
      </c>
      <c r="F59" s="119">
        <f t="shared" si="2"/>
        <v>0.8</v>
      </c>
      <c r="G59" s="113"/>
      <c r="H59" s="121"/>
      <c r="I59" s="113"/>
      <c r="J59" s="113"/>
      <c r="K59" s="113"/>
      <c r="L59" s="113"/>
      <c r="M59" s="113"/>
      <c r="N59" s="113"/>
      <c r="O59" s="113"/>
      <c r="P59" s="113"/>
      <c r="Q59" s="113"/>
      <c r="R59" s="113"/>
      <c r="S59" s="113"/>
      <c r="T59" s="113"/>
      <c r="U59" s="113"/>
      <c r="V59" s="113"/>
      <c r="W59" s="113"/>
      <c r="X59" s="113"/>
      <c r="Y59" s="113"/>
      <c r="Z59" s="113"/>
    </row>
    <row r="60">
      <c r="A60" s="125" t="s">
        <v>663</v>
      </c>
      <c r="B60" s="115">
        <f>COUNTIF('Master Table'!F:F,A60)</f>
        <v>8</v>
      </c>
      <c r="C60" s="121">
        <f>IFERROR(__xludf.DUMMYFUNCTION("""COMPUTED_VALUE"""),5.0)</f>
        <v>5</v>
      </c>
      <c r="D60" s="117">
        <f t="shared" si="1"/>
        <v>40</v>
      </c>
      <c r="E60" s="118">
        <f>SUMIF('Master Table'!F:F,A60,'Master Table'!C:C)</f>
        <v>32</v>
      </c>
      <c r="F60" s="119">
        <f t="shared" si="2"/>
        <v>0.8</v>
      </c>
      <c r="G60" s="113"/>
      <c r="H60" s="121"/>
      <c r="I60" s="113"/>
      <c r="J60" s="113"/>
      <c r="K60" s="113"/>
      <c r="L60" s="113"/>
      <c r="M60" s="113"/>
      <c r="N60" s="113"/>
      <c r="O60" s="113"/>
      <c r="P60" s="113"/>
      <c r="Q60" s="113"/>
      <c r="R60" s="113"/>
      <c r="S60" s="113"/>
      <c r="T60" s="113"/>
      <c r="U60" s="113"/>
      <c r="V60" s="113"/>
      <c r="W60" s="113"/>
      <c r="X60" s="113"/>
      <c r="Y60" s="113"/>
      <c r="Z60" s="113"/>
    </row>
    <row r="61">
      <c r="A61" s="125" t="s">
        <v>664</v>
      </c>
      <c r="B61" s="115">
        <f>COUNTIF('Master Table'!F:F,A61)</f>
        <v>8</v>
      </c>
      <c r="C61" s="121">
        <f>IFERROR(__xludf.DUMMYFUNCTION("""COMPUTED_VALUE"""),5.0)</f>
        <v>5</v>
      </c>
      <c r="D61" s="117">
        <f t="shared" si="1"/>
        <v>40</v>
      </c>
      <c r="E61" s="118">
        <f>SUMIF('Master Table'!F:F,A61,'Master Table'!C:C)</f>
        <v>30</v>
      </c>
      <c r="F61" s="119">
        <f t="shared" si="2"/>
        <v>0.75</v>
      </c>
      <c r="G61" s="113"/>
      <c r="H61" s="121"/>
      <c r="I61" s="113"/>
      <c r="J61" s="113"/>
      <c r="K61" s="113"/>
      <c r="L61" s="113"/>
      <c r="M61" s="113"/>
      <c r="N61" s="113"/>
      <c r="O61" s="113"/>
      <c r="P61" s="113"/>
      <c r="Q61" s="113"/>
      <c r="R61" s="113"/>
      <c r="S61" s="113"/>
      <c r="T61" s="113"/>
      <c r="U61" s="113"/>
      <c r="V61" s="113"/>
      <c r="W61" s="113"/>
      <c r="X61" s="113"/>
      <c r="Y61" s="113"/>
      <c r="Z61" s="113"/>
    </row>
    <row r="62">
      <c r="A62" s="125" t="s">
        <v>665</v>
      </c>
      <c r="B62" s="115">
        <f>COUNTIF('Master Table'!F:F,A62)</f>
        <v>5</v>
      </c>
      <c r="C62" s="121">
        <f>IFERROR(__xludf.DUMMYFUNCTION("""COMPUTED_VALUE"""),5.0)</f>
        <v>5</v>
      </c>
      <c r="D62" s="117">
        <f t="shared" si="1"/>
        <v>25</v>
      </c>
      <c r="E62" s="118">
        <f>SUMIF('Master Table'!F:F,A62,'Master Table'!C:C)</f>
        <v>19</v>
      </c>
      <c r="F62" s="119">
        <f t="shared" si="2"/>
        <v>0.76</v>
      </c>
      <c r="G62" s="113"/>
      <c r="H62" s="121"/>
      <c r="I62" s="113"/>
      <c r="J62" s="113"/>
      <c r="K62" s="113"/>
      <c r="L62" s="113"/>
      <c r="M62" s="113"/>
      <c r="N62" s="113"/>
      <c r="O62" s="113"/>
      <c r="P62" s="113"/>
      <c r="Q62" s="113"/>
      <c r="R62" s="113"/>
      <c r="S62" s="113"/>
      <c r="T62" s="113"/>
      <c r="U62" s="113"/>
      <c r="V62" s="113"/>
      <c r="W62" s="113"/>
      <c r="X62" s="113"/>
      <c r="Y62" s="113"/>
      <c r="Z62" s="113"/>
    </row>
    <row r="63">
      <c r="A63" s="125" t="s">
        <v>666</v>
      </c>
      <c r="B63" s="115">
        <f>COUNTIF('Master Table'!F:F,A63)</f>
        <v>7</v>
      </c>
      <c r="C63" s="121">
        <f>IFERROR(__xludf.DUMMYFUNCTION("""COMPUTED_VALUE"""),4.0)</f>
        <v>4</v>
      </c>
      <c r="D63" s="117">
        <f t="shared" si="1"/>
        <v>28</v>
      </c>
      <c r="E63" s="118">
        <f>SUMIF('Master Table'!F:F,A63,'Master Table'!C:C)</f>
        <v>20</v>
      </c>
      <c r="F63" s="119">
        <f t="shared" si="2"/>
        <v>0.7142857143</v>
      </c>
      <c r="G63" s="113"/>
      <c r="H63" s="121"/>
      <c r="I63" s="113"/>
      <c r="J63" s="113"/>
      <c r="K63" s="113"/>
      <c r="L63" s="113"/>
      <c r="M63" s="113"/>
      <c r="N63" s="113"/>
      <c r="O63" s="113"/>
      <c r="P63" s="113"/>
      <c r="Q63" s="113"/>
      <c r="R63" s="113"/>
      <c r="S63" s="113"/>
      <c r="T63" s="113"/>
      <c r="U63" s="113"/>
      <c r="V63" s="113"/>
      <c r="W63" s="113"/>
      <c r="X63" s="113"/>
      <c r="Y63" s="113"/>
      <c r="Z63" s="113"/>
    </row>
    <row r="64">
      <c r="A64" s="125" t="s">
        <v>667</v>
      </c>
      <c r="B64" s="115">
        <f>COUNTIF('Master Table'!F:F,A64)</f>
        <v>7</v>
      </c>
      <c r="C64" s="121">
        <f>IFERROR(__xludf.DUMMYFUNCTION("""COMPUTED_VALUE"""),5.0)</f>
        <v>5</v>
      </c>
      <c r="D64" s="117">
        <f t="shared" si="1"/>
        <v>35</v>
      </c>
      <c r="E64" s="118">
        <f>SUMIF('Master Table'!F:F,A64,'Master Table'!C:C)</f>
        <v>27</v>
      </c>
      <c r="F64" s="119">
        <f t="shared" si="2"/>
        <v>0.7714285714</v>
      </c>
      <c r="G64" s="113"/>
      <c r="H64" s="121"/>
      <c r="I64" s="113"/>
      <c r="J64" s="113"/>
      <c r="K64" s="113"/>
      <c r="L64" s="113"/>
      <c r="M64" s="113"/>
      <c r="N64" s="113"/>
      <c r="O64" s="113"/>
      <c r="P64" s="113"/>
      <c r="Q64" s="113"/>
      <c r="R64" s="113"/>
      <c r="S64" s="113"/>
      <c r="T64" s="113"/>
      <c r="U64" s="113"/>
      <c r="V64" s="113"/>
      <c r="W64" s="113"/>
      <c r="X64" s="113"/>
      <c r="Y64" s="113"/>
      <c r="Z64" s="113"/>
    </row>
    <row r="65">
      <c r="A65" s="125" t="s">
        <v>668</v>
      </c>
      <c r="B65" s="115">
        <f>COUNTIF('Master Table'!F:F,A65)</f>
        <v>7</v>
      </c>
      <c r="C65" s="121">
        <f>IFERROR(__xludf.DUMMYFUNCTION("""COMPUTED_VALUE"""),5.0)</f>
        <v>5</v>
      </c>
      <c r="D65" s="117">
        <f t="shared" si="1"/>
        <v>35</v>
      </c>
      <c r="E65" s="118">
        <f>SUMIF('Master Table'!F:F,A65,'Master Table'!C:C)</f>
        <v>30</v>
      </c>
      <c r="F65" s="119">
        <f t="shared" si="2"/>
        <v>0.8571428571</v>
      </c>
      <c r="G65" s="113"/>
      <c r="H65" s="121"/>
      <c r="I65" s="113"/>
      <c r="J65" s="113"/>
      <c r="K65" s="113"/>
      <c r="L65" s="113"/>
      <c r="M65" s="113"/>
      <c r="N65" s="113"/>
      <c r="O65" s="113"/>
      <c r="P65" s="113"/>
      <c r="Q65" s="113"/>
      <c r="R65" s="113"/>
      <c r="S65" s="113"/>
      <c r="T65" s="113"/>
      <c r="U65" s="113"/>
      <c r="V65" s="113"/>
      <c r="W65" s="113"/>
      <c r="X65" s="113"/>
      <c r="Y65" s="113"/>
      <c r="Z65" s="113"/>
    </row>
    <row r="66">
      <c r="A66" s="125" t="s">
        <v>669</v>
      </c>
      <c r="B66" s="115">
        <f>COUNTIF('Master Table'!F:F,A66)</f>
        <v>8</v>
      </c>
      <c r="C66" s="121">
        <f>IFERROR(__xludf.DUMMYFUNCTION("""COMPUTED_VALUE"""),4.0)</f>
        <v>4</v>
      </c>
      <c r="D66" s="117">
        <f t="shared" si="1"/>
        <v>32</v>
      </c>
      <c r="E66" s="118">
        <f>SUMIF('Master Table'!F:F,A66,'Master Table'!C:C)</f>
        <v>21</v>
      </c>
      <c r="F66" s="119">
        <f t="shared" si="2"/>
        <v>0.65625</v>
      </c>
      <c r="G66" s="113"/>
      <c r="H66" s="121"/>
      <c r="I66" s="113"/>
      <c r="J66" s="113"/>
      <c r="K66" s="113"/>
      <c r="L66" s="113"/>
      <c r="M66" s="113"/>
      <c r="N66" s="113"/>
      <c r="O66" s="113"/>
      <c r="P66" s="113"/>
      <c r="Q66" s="113"/>
      <c r="R66" s="113"/>
      <c r="S66" s="113"/>
      <c r="T66" s="113"/>
      <c r="U66" s="113"/>
      <c r="V66" s="113"/>
      <c r="W66" s="113"/>
      <c r="X66" s="113"/>
      <c r="Y66" s="113"/>
      <c r="Z66" s="113"/>
    </row>
    <row r="67">
      <c r="A67" s="125" t="s">
        <v>670</v>
      </c>
      <c r="B67" s="115">
        <f>COUNTIF('Master Table'!F:F,A67)</f>
        <v>5</v>
      </c>
      <c r="C67" s="121">
        <f>IFERROR(__xludf.DUMMYFUNCTION("""COMPUTED_VALUE"""),5.0)</f>
        <v>5</v>
      </c>
      <c r="D67" s="117">
        <f t="shared" si="1"/>
        <v>25</v>
      </c>
      <c r="E67" s="118">
        <f>SUMIF('Master Table'!F:F,A67,'Master Table'!C:C)</f>
        <v>20</v>
      </c>
      <c r="F67" s="119">
        <f t="shared" si="2"/>
        <v>0.8</v>
      </c>
      <c r="G67" s="113"/>
      <c r="H67" s="121"/>
      <c r="I67" s="113"/>
      <c r="J67" s="113"/>
      <c r="K67" s="113"/>
      <c r="L67" s="113"/>
      <c r="M67" s="113"/>
      <c r="N67" s="113"/>
      <c r="O67" s="113"/>
      <c r="P67" s="113"/>
      <c r="Q67" s="113"/>
      <c r="R67" s="113"/>
      <c r="S67" s="113"/>
      <c r="T67" s="113"/>
      <c r="U67" s="113"/>
      <c r="V67" s="113"/>
      <c r="W67" s="113"/>
      <c r="X67" s="113"/>
      <c r="Y67" s="113"/>
      <c r="Z67" s="113"/>
    </row>
    <row r="68">
      <c r="A68" s="125" t="s">
        <v>671</v>
      </c>
      <c r="B68" s="115">
        <f>COUNTIF('Master Table'!F:F,A68)</f>
        <v>6</v>
      </c>
      <c r="C68" s="121">
        <f>IFERROR(__xludf.DUMMYFUNCTION("""COMPUTED_VALUE"""),5.0)</f>
        <v>5</v>
      </c>
      <c r="D68" s="117">
        <f t="shared" si="1"/>
        <v>30</v>
      </c>
      <c r="E68" s="118">
        <f>SUMIF('Master Table'!F:F,A68,'Master Table'!C:C)</f>
        <v>25</v>
      </c>
      <c r="F68" s="119">
        <f t="shared" si="2"/>
        <v>0.8333333333</v>
      </c>
      <c r="G68" s="113"/>
      <c r="H68" s="121"/>
      <c r="I68" s="113"/>
      <c r="J68" s="113"/>
      <c r="K68" s="113"/>
      <c r="L68" s="113"/>
      <c r="M68" s="113"/>
      <c r="N68" s="113"/>
      <c r="O68" s="113"/>
      <c r="P68" s="113"/>
      <c r="Q68" s="113"/>
      <c r="R68" s="113"/>
      <c r="S68" s="113"/>
      <c r="T68" s="113"/>
      <c r="U68" s="113"/>
      <c r="V68" s="113"/>
      <c r="W68" s="113"/>
      <c r="X68" s="113"/>
      <c r="Y68" s="113"/>
      <c r="Z68" s="113"/>
    </row>
    <row r="69">
      <c r="A69" s="125" t="s">
        <v>672</v>
      </c>
      <c r="B69" s="115">
        <f>COUNTIF('Master Table'!F:F,A69)</f>
        <v>6</v>
      </c>
      <c r="C69" s="121">
        <f>IFERROR(__xludf.DUMMYFUNCTION("""COMPUTED_VALUE"""),4.0)</f>
        <v>4</v>
      </c>
      <c r="D69" s="117">
        <f t="shared" si="1"/>
        <v>24</v>
      </c>
      <c r="E69" s="118">
        <f>SUMIF('Master Table'!F:F,A69,'Master Table'!C:C)</f>
        <v>18</v>
      </c>
      <c r="F69" s="119">
        <f t="shared" si="2"/>
        <v>0.75</v>
      </c>
      <c r="G69" s="113"/>
      <c r="H69" s="121"/>
      <c r="I69" s="113"/>
      <c r="J69" s="113"/>
      <c r="K69" s="113"/>
      <c r="L69" s="113"/>
      <c r="M69" s="113"/>
      <c r="N69" s="113"/>
      <c r="O69" s="113"/>
      <c r="P69" s="113"/>
      <c r="Q69" s="113"/>
      <c r="R69" s="113"/>
      <c r="S69" s="113"/>
      <c r="T69" s="113"/>
      <c r="U69" s="113"/>
      <c r="V69" s="113"/>
      <c r="W69" s="113"/>
      <c r="X69" s="113"/>
      <c r="Y69" s="113"/>
      <c r="Z69" s="113"/>
    </row>
    <row r="70">
      <c r="A70" s="125" t="s">
        <v>673</v>
      </c>
      <c r="B70" s="115">
        <f>COUNTIF('Master Table'!F:F,A70)</f>
        <v>5</v>
      </c>
      <c r="C70" s="121">
        <f>IFERROR(__xludf.DUMMYFUNCTION("""COMPUTED_VALUE"""),5.0)</f>
        <v>5</v>
      </c>
      <c r="D70" s="117">
        <f t="shared" si="1"/>
        <v>25</v>
      </c>
      <c r="E70" s="118">
        <f>SUMIF('Master Table'!F:F,A70,'Master Table'!C:C)</f>
        <v>25</v>
      </c>
      <c r="F70" s="119">
        <f t="shared" si="2"/>
        <v>1</v>
      </c>
      <c r="G70" s="113"/>
      <c r="H70" s="121"/>
      <c r="I70" s="113"/>
      <c r="J70" s="113"/>
      <c r="K70" s="113"/>
      <c r="L70" s="113"/>
      <c r="M70" s="113"/>
      <c r="N70" s="113"/>
      <c r="O70" s="113"/>
      <c r="P70" s="113"/>
      <c r="Q70" s="113"/>
      <c r="R70" s="113"/>
      <c r="S70" s="113"/>
      <c r="T70" s="113"/>
      <c r="U70" s="113"/>
      <c r="V70" s="113"/>
      <c r="W70" s="113"/>
      <c r="X70" s="113"/>
      <c r="Y70" s="113"/>
      <c r="Z70" s="113"/>
    </row>
    <row r="71">
      <c r="A71" s="125" t="s">
        <v>674</v>
      </c>
      <c r="B71" s="115">
        <f>COUNTIF('Master Table'!F:F,A71)</f>
        <v>8</v>
      </c>
      <c r="C71" s="121">
        <f>IFERROR(__xludf.DUMMYFUNCTION("""COMPUTED_VALUE"""),4.0)</f>
        <v>4</v>
      </c>
      <c r="D71" s="117">
        <f t="shared" si="1"/>
        <v>32</v>
      </c>
      <c r="E71" s="118">
        <f>SUMIF('Master Table'!F:F,A71,'Master Table'!C:C)</f>
        <v>22</v>
      </c>
      <c r="F71" s="119">
        <f t="shared" si="2"/>
        <v>0.6875</v>
      </c>
      <c r="G71" s="113"/>
      <c r="I71" s="113"/>
      <c r="J71" s="113"/>
      <c r="K71" s="113"/>
      <c r="L71" s="113"/>
      <c r="M71" s="113"/>
      <c r="N71" s="113"/>
      <c r="O71" s="113"/>
      <c r="P71" s="113"/>
      <c r="Q71" s="113"/>
      <c r="R71" s="113"/>
      <c r="S71" s="113"/>
      <c r="T71" s="113"/>
      <c r="U71" s="113"/>
      <c r="V71" s="113"/>
      <c r="W71" s="113"/>
      <c r="X71" s="113"/>
      <c r="Y71" s="113"/>
      <c r="Z71" s="113"/>
    </row>
    <row r="72">
      <c r="A72" s="125" t="s">
        <v>675</v>
      </c>
      <c r="B72" s="115">
        <f>COUNTIF('Master Table'!F:F,A72)</f>
        <v>7</v>
      </c>
      <c r="C72" s="113">
        <f>IFERROR(__xludf.DUMMYFUNCTION("""COMPUTED_VALUE"""),5.0)</f>
        <v>5</v>
      </c>
      <c r="D72" s="117">
        <f t="shared" si="1"/>
        <v>35</v>
      </c>
      <c r="E72" s="118">
        <f>SUMIF('Master Table'!F:F,A72,'Master Table'!C:C)</f>
        <v>21</v>
      </c>
      <c r="F72" s="119">
        <f t="shared" si="2"/>
        <v>0.6</v>
      </c>
      <c r="G72" s="113"/>
      <c r="H72" s="113"/>
      <c r="I72" s="113"/>
      <c r="J72" s="113"/>
      <c r="K72" s="113"/>
      <c r="L72" s="113"/>
      <c r="M72" s="113"/>
      <c r="N72" s="113"/>
      <c r="O72" s="113"/>
      <c r="P72" s="113"/>
      <c r="Q72" s="113"/>
      <c r="R72" s="113"/>
      <c r="S72" s="113"/>
      <c r="T72" s="113"/>
      <c r="U72" s="113"/>
      <c r="V72" s="113"/>
      <c r="W72" s="113"/>
      <c r="X72" s="113"/>
      <c r="Y72" s="113"/>
      <c r="Z72" s="113"/>
    </row>
    <row r="73">
      <c r="A73" s="125" t="s">
        <v>676</v>
      </c>
      <c r="B73" s="115">
        <f>COUNTIF('Master Table'!F:F,A73)</f>
        <v>5</v>
      </c>
      <c r="C73" s="113">
        <f>IFERROR(__xludf.DUMMYFUNCTION("""COMPUTED_VALUE"""),5.0)</f>
        <v>5</v>
      </c>
      <c r="D73" s="117">
        <f t="shared" si="1"/>
        <v>25</v>
      </c>
      <c r="E73" s="118">
        <f>SUMIF('Master Table'!F:F,A73,'Master Table'!C:C)</f>
        <v>15</v>
      </c>
      <c r="F73" s="119">
        <f t="shared" si="2"/>
        <v>0.6</v>
      </c>
      <c r="G73" s="113"/>
      <c r="H73" s="113"/>
      <c r="I73" s="113"/>
      <c r="J73" s="113"/>
      <c r="K73" s="113"/>
      <c r="L73" s="113"/>
      <c r="M73" s="113"/>
      <c r="N73" s="113"/>
      <c r="O73" s="113"/>
      <c r="P73" s="113"/>
      <c r="Q73" s="113"/>
      <c r="R73" s="113"/>
      <c r="S73" s="113"/>
      <c r="T73" s="113"/>
      <c r="U73" s="113"/>
      <c r="V73" s="113"/>
      <c r="W73" s="113"/>
      <c r="X73" s="113"/>
      <c r="Y73" s="113"/>
      <c r="Z73" s="113"/>
    </row>
    <row r="74">
      <c r="A74" s="125" t="s">
        <v>677</v>
      </c>
      <c r="B74" s="115">
        <f>COUNTIF('Master Table'!F:F,A74)</f>
        <v>8</v>
      </c>
      <c r="C74" s="113">
        <f>IFERROR(__xludf.DUMMYFUNCTION("""COMPUTED_VALUE"""),5.0)</f>
        <v>5</v>
      </c>
      <c r="D74" s="117">
        <f t="shared" si="1"/>
        <v>40</v>
      </c>
      <c r="E74" s="118">
        <f>SUMIF('Master Table'!F:F,A74,'Master Table'!C:C)</f>
        <v>30</v>
      </c>
      <c r="F74" s="119">
        <f t="shared" si="2"/>
        <v>0.75</v>
      </c>
      <c r="G74" s="113"/>
      <c r="H74" s="113"/>
      <c r="I74" s="113"/>
      <c r="J74" s="113"/>
      <c r="K74" s="113"/>
      <c r="L74" s="113"/>
      <c r="M74" s="113"/>
      <c r="N74" s="113"/>
      <c r="O74" s="113"/>
      <c r="P74" s="113"/>
      <c r="Q74" s="113"/>
      <c r="R74" s="113"/>
      <c r="S74" s="113"/>
      <c r="T74" s="113"/>
      <c r="U74" s="113"/>
      <c r="V74" s="113"/>
      <c r="W74" s="113"/>
      <c r="X74" s="113"/>
      <c r="Y74" s="113"/>
      <c r="Z74" s="113"/>
    </row>
    <row r="75">
      <c r="A75" s="125" t="s">
        <v>678</v>
      </c>
      <c r="B75" s="115">
        <f>COUNTIF('Master Table'!F:F,A75)</f>
        <v>7</v>
      </c>
      <c r="C75" s="113">
        <f>IFERROR(__xludf.DUMMYFUNCTION("""COMPUTED_VALUE"""),5.0)</f>
        <v>5</v>
      </c>
      <c r="D75" s="117">
        <f t="shared" si="1"/>
        <v>35</v>
      </c>
      <c r="E75" s="118">
        <f>SUMIF('Master Table'!F:F,A75,'Master Table'!C:C)</f>
        <v>33</v>
      </c>
      <c r="F75" s="119">
        <f t="shared" si="2"/>
        <v>0.9428571429</v>
      </c>
      <c r="G75" s="113"/>
      <c r="H75" s="113"/>
      <c r="I75" s="113"/>
      <c r="J75" s="113"/>
      <c r="K75" s="113"/>
      <c r="L75" s="113"/>
      <c r="M75" s="113"/>
      <c r="N75" s="113"/>
      <c r="O75" s="113"/>
      <c r="P75" s="113"/>
      <c r="Q75" s="113"/>
      <c r="R75" s="113"/>
      <c r="S75" s="113"/>
      <c r="T75" s="113"/>
      <c r="U75" s="113"/>
      <c r="V75" s="113"/>
      <c r="W75" s="113"/>
      <c r="X75" s="113"/>
      <c r="Y75" s="113"/>
      <c r="Z75" s="113"/>
    </row>
    <row r="76">
      <c r="A76" s="125" t="s">
        <v>679</v>
      </c>
      <c r="B76" s="115">
        <f>COUNTIF('Master Table'!F:F,A76)</f>
        <v>8</v>
      </c>
      <c r="C76" s="113">
        <f>IFERROR(__xludf.DUMMYFUNCTION("""COMPUTED_VALUE"""),5.0)</f>
        <v>5</v>
      </c>
      <c r="D76" s="117">
        <f t="shared" si="1"/>
        <v>40</v>
      </c>
      <c r="E76" s="118">
        <f>SUMIF('Master Table'!F:F,A76,'Master Table'!C:C)</f>
        <v>34</v>
      </c>
      <c r="F76" s="119">
        <f t="shared" si="2"/>
        <v>0.85</v>
      </c>
      <c r="G76" s="113"/>
      <c r="H76" s="113"/>
      <c r="I76" s="113"/>
      <c r="J76" s="113"/>
      <c r="K76" s="113"/>
      <c r="L76" s="113"/>
      <c r="M76" s="113"/>
      <c r="N76" s="113"/>
      <c r="O76" s="113"/>
      <c r="P76" s="113"/>
      <c r="Q76" s="113"/>
      <c r="R76" s="113"/>
      <c r="S76" s="113"/>
      <c r="T76" s="113"/>
      <c r="U76" s="113"/>
      <c r="V76" s="113"/>
      <c r="W76" s="113"/>
      <c r="X76" s="113"/>
      <c r="Y76" s="113"/>
      <c r="Z76" s="113"/>
    </row>
    <row r="77">
      <c r="A77" s="125" t="s">
        <v>680</v>
      </c>
      <c r="B77" s="115">
        <f>COUNTIF('Master Table'!F:F,A77)</f>
        <v>7</v>
      </c>
      <c r="C77" s="113">
        <f>IFERROR(__xludf.DUMMYFUNCTION("""COMPUTED_VALUE"""),4.0)</f>
        <v>4</v>
      </c>
      <c r="D77" s="117">
        <f t="shared" si="1"/>
        <v>28</v>
      </c>
      <c r="E77" s="118">
        <f>SUMIF('Master Table'!F:F,A77,'Master Table'!C:C)</f>
        <v>25</v>
      </c>
      <c r="F77" s="119">
        <f t="shared" si="2"/>
        <v>0.8928571429</v>
      </c>
      <c r="G77" s="113"/>
      <c r="H77" s="113"/>
      <c r="I77" s="113"/>
      <c r="J77" s="113"/>
      <c r="K77" s="113"/>
      <c r="L77" s="113"/>
      <c r="M77" s="113"/>
      <c r="N77" s="113"/>
      <c r="O77" s="113"/>
      <c r="P77" s="113"/>
      <c r="Q77" s="113"/>
      <c r="R77" s="113"/>
      <c r="S77" s="113"/>
      <c r="T77" s="113"/>
      <c r="U77" s="113"/>
      <c r="V77" s="113"/>
      <c r="W77" s="113"/>
      <c r="X77" s="113"/>
      <c r="Y77" s="113"/>
      <c r="Z77" s="113"/>
    </row>
    <row r="78">
      <c r="A78" s="125" t="s">
        <v>681</v>
      </c>
      <c r="B78" s="115">
        <f>COUNTIF('Master Table'!F:F,A78)</f>
        <v>8</v>
      </c>
      <c r="C78" s="113">
        <f>IFERROR(__xludf.DUMMYFUNCTION("""COMPUTED_VALUE"""),3.0)</f>
        <v>3</v>
      </c>
      <c r="D78" s="117">
        <f t="shared" si="1"/>
        <v>24</v>
      </c>
      <c r="E78" s="118">
        <f>SUMIF('Master Table'!F:F,A78,'Master Table'!C:C)</f>
        <v>15</v>
      </c>
      <c r="F78" s="119">
        <f t="shared" si="2"/>
        <v>0.625</v>
      </c>
      <c r="G78" s="113"/>
      <c r="H78" s="113"/>
      <c r="I78" s="113"/>
      <c r="J78" s="113"/>
      <c r="K78" s="113"/>
      <c r="L78" s="113"/>
      <c r="M78" s="113"/>
      <c r="N78" s="113"/>
      <c r="O78" s="113"/>
      <c r="P78" s="113"/>
      <c r="Q78" s="113"/>
      <c r="R78" s="113"/>
      <c r="S78" s="113"/>
      <c r="T78" s="113"/>
      <c r="U78" s="113"/>
      <c r="V78" s="113"/>
      <c r="W78" s="113"/>
      <c r="X78" s="113"/>
      <c r="Y78" s="113"/>
      <c r="Z78" s="113"/>
    </row>
    <row r="79">
      <c r="A79" s="125" t="s">
        <v>682</v>
      </c>
      <c r="B79" s="115">
        <f>COUNTIF('Master Table'!F:F,A79)</f>
        <v>7</v>
      </c>
      <c r="C79" s="113">
        <f>IFERROR(__xludf.DUMMYFUNCTION("""COMPUTED_VALUE"""),4.0)</f>
        <v>4</v>
      </c>
      <c r="D79" s="117">
        <f t="shared" si="1"/>
        <v>28</v>
      </c>
      <c r="E79" s="118">
        <f>SUMIF('Master Table'!F:F,A79,'Master Table'!C:C)</f>
        <v>13</v>
      </c>
      <c r="F79" s="119">
        <f t="shared" si="2"/>
        <v>0.4642857143</v>
      </c>
      <c r="G79" s="113"/>
      <c r="H79" s="113"/>
      <c r="I79" s="113"/>
      <c r="J79" s="113"/>
      <c r="K79" s="113"/>
      <c r="L79" s="113"/>
      <c r="M79" s="113"/>
      <c r="N79" s="113"/>
      <c r="O79" s="113"/>
      <c r="P79" s="113"/>
      <c r="Q79" s="113"/>
      <c r="R79" s="113"/>
      <c r="S79" s="113"/>
      <c r="T79" s="113"/>
      <c r="U79" s="113"/>
      <c r="V79" s="113"/>
      <c r="W79" s="113"/>
      <c r="X79" s="113"/>
      <c r="Y79" s="113"/>
      <c r="Z79" s="113"/>
    </row>
    <row r="80">
      <c r="A80" s="125" t="s">
        <v>683</v>
      </c>
      <c r="B80" s="115">
        <f>COUNTIF('Master Table'!F:F,A80)</f>
        <v>8</v>
      </c>
      <c r="C80" s="113">
        <f>IFERROR(__xludf.DUMMYFUNCTION("""COMPUTED_VALUE"""),4.0)</f>
        <v>4</v>
      </c>
      <c r="D80" s="117">
        <f t="shared" si="1"/>
        <v>32</v>
      </c>
      <c r="E80" s="118">
        <f>SUMIF('Master Table'!F:F,A80,'Master Table'!C:C)</f>
        <v>27</v>
      </c>
      <c r="F80" s="119">
        <f t="shared" si="2"/>
        <v>0.84375</v>
      </c>
      <c r="G80" s="113"/>
      <c r="H80" s="113"/>
      <c r="I80" s="113"/>
      <c r="J80" s="113"/>
      <c r="K80" s="113"/>
      <c r="L80" s="113"/>
      <c r="M80" s="113"/>
      <c r="N80" s="113"/>
      <c r="O80" s="113"/>
      <c r="P80" s="113"/>
      <c r="Q80" s="113"/>
      <c r="R80" s="113"/>
      <c r="S80" s="113"/>
      <c r="T80" s="113"/>
      <c r="U80" s="113"/>
      <c r="V80" s="113"/>
      <c r="W80" s="113"/>
      <c r="X80" s="113"/>
      <c r="Y80" s="113"/>
      <c r="Z80" s="113"/>
    </row>
    <row r="81">
      <c r="A81" s="125" t="s">
        <v>684</v>
      </c>
      <c r="B81" s="115">
        <f>COUNTIF('Master Table'!F:F,A81)</f>
        <v>8</v>
      </c>
      <c r="C81" s="113">
        <f>IFERROR(__xludf.DUMMYFUNCTION("""COMPUTED_VALUE"""),5.0)</f>
        <v>5</v>
      </c>
      <c r="D81" s="117">
        <f t="shared" si="1"/>
        <v>40</v>
      </c>
      <c r="E81" s="118">
        <f>SUMIF('Master Table'!F:F,A81,'Master Table'!C:C)</f>
        <v>21</v>
      </c>
      <c r="F81" s="119">
        <f t="shared" si="2"/>
        <v>0.525</v>
      </c>
      <c r="G81" s="113"/>
      <c r="H81" s="113"/>
      <c r="I81" s="113"/>
      <c r="J81" s="113"/>
      <c r="K81" s="113"/>
      <c r="L81" s="113"/>
      <c r="M81" s="113"/>
      <c r="N81" s="113"/>
      <c r="O81" s="113"/>
      <c r="P81" s="113"/>
      <c r="Q81" s="113"/>
      <c r="R81" s="113"/>
      <c r="S81" s="113"/>
      <c r="T81" s="113"/>
      <c r="U81" s="113"/>
      <c r="V81" s="113"/>
      <c r="W81" s="113"/>
      <c r="X81" s="113"/>
      <c r="Y81" s="113"/>
      <c r="Z81" s="113"/>
    </row>
    <row r="82">
      <c r="A82" s="125" t="s">
        <v>685</v>
      </c>
      <c r="B82" s="115">
        <f>COUNTIF('Master Table'!F:F,A82)</f>
        <v>4</v>
      </c>
      <c r="C82" s="113">
        <f>IFERROR(__xludf.DUMMYFUNCTION("""COMPUTED_VALUE"""),5.0)</f>
        <v>5</v>
      </c>
      <c r="D82" s="117">
        <f t="shared" si="1"/>
        <v>20</v>
      </c>
      <c r="E82" s="118">
        <f>SUMIF('Master Table'!F:F,A82,'Master Table'!C:C)</f>
        <v>12</v>
      </c>
      <c r="F82" s="119">
        <f t="shared" si="2"/>
        <v>0.6</v>
      </c>
      <c r="G82" s="113"/>
      <c r="H82" s="113"/>
      <c r="I82" s="113"/>
      <c r="J82" s="113"/>
      <c r="K82" s="113"/>
      <c r="L82" s="113"/>
      <c r="M82" s="113"/>
      <c r="N82" s="113"/>
      <c r="O82" s="113"/>
      <c r="P82" s="113"/>
      <c r="Q82" s="113"/>
      <c r="R82" s="113"/>
      <c r="S82" s="113"/>
      <c r="T82" s="113"/>
      <c r="U82" s="113"/>
      <c r="V82" s="113"/>
      <c r="W82" s="113"/>
      <c r="X82" s="113"/>
      <c r="Y82" s="113"/>
      <c r="Z82" s="113"/>
    </row>
    <row r="83">
      <c r="A83" s="125" t="s">
        <v>686</v>
      </c>
      <c r="B83" s="115">
        <f>COUNTIF('Master Table'!F:F,A83)</f>
        <v>6</v>
      </c>
      <c r="C83" s="113">
        <f>IFERROR(__xludf.DUMMYFUNCTION("""COMPUTED_VALUE"""),4.0)</f>
        <v>4</v>
      </c>
      <c r="D83" s="117">
        <f t="shared" si="1"/>
        <v>24</v>
      </c>
      <c r="E83" s="118">
        <f>SUMIF('Master Table'!F:F,A83,'Master Table'!C:C)</f>
        <v>15</v>
      </c>
      <c r="F83" s="119">
        <f t="shared" si="2"/>
        <v>0.625</v>
      </c>
      <c r="G83" s="113"/>
      <c r="H83" s="113"/>
      <c r="I83" s="113"/>
      <c r="J83" s="113"/>
      <c r="K83" s="113"/>
      <c r="L83" s="113"/>
      <c r="M83" s="113"/>
      <c r="N83" s="113"/>
      <c r="O83" s="113"/>
      <c r="P83" s="113"/>
      <c r="Q83" s="113"/>
      <c r="R83" s="113"/>
      <c r="S83" s="113"/>
      <c r="T83" s="113"/>
      <c r="U83" s="113"/>
      <c r="V83" s="113"/>
      <c r="W83" s="113"/>
      <c r="X83" s="113"/>
      <c r="Y83" s="113"/>
      <c r="Z83" s="113"/>
    </row>
    <row r="84">
      <c r="A84" s="125" t="s">
        <v>687</v>
      </c>
      <c r="B84" s="115">
        <f>COUNTIF('Master Table'!F:F,A84)</f>
        <v>5</v>
      </c>
      <c r="C84" s="113">
        <f>IFERROR(__xludf.DUMMYFUNCTION("""COMPUTED_VALUE"""),5.0)</f>
        <v>5</v>
      </c>
      <c r="D84" s="117">
        <f t="shared" si="1"/>
        <v>25</v>
      </c>
      <c r="E84" s="118">
        <f>SUMIF('Master Table'!F:F,A84,'Master Table'!C:C)</f>
        <v>15</v>
      </c>
      <c r="F84" s="119">
        <f t="shared" si="2"/>
        <v>0.6</v>
      </c>
      <c r="G84" s="113"/>
      <c r="H84" s="113"/>
      <c r="I84" s="113"/>
      <c r="J84" s="113"/>
      <c r="K84" s="113"/>
      <c r="L84" s="113"/>
      <c r="M84" s="113"/>
      <c r="N84" s="113"/>
      <c r="O84" s="113"/>
      <c r="P84" s="113"/>
      <c r="Q84" s="113"/>
      <c r="R84" s="113"/>
      <c r="S84" s="113"/>
      <c r="T84" s="113"/>
      <c r="U84" s="113"/>
      <c r="V84" s="113"/>
      <c r="W84" s="113"/>
      <c r="X84" s="113"/>
      <c r="Y84" s="113"/>
      <c r="Z84" s="113"/>
    </row>
    <row r="85">
      <c r="A85" s="125" t="s">
        <v>688</v>
      </c>
      <c r="B85" s="115">
        <f>COUNTIF('Master Table'!F:F,A85)</f>
        <v>3</v>
      </c>
      <c r="C85" s="113">
        <f>IFERROR(__xludf.DUMMYFUNCTION("""COMPUTED_VALUE"""),5.0)</f>
        <v>5</v>
      </c>
      <c r="D85" s="117">
        <f t="shared" si="1"/>
        <v>15</v>
      </c>
      <c r="E85" s="118">
        <f>SUMIF('Master Table'!F:F,A85,'Master Table'!C:C)</f>
        <v>4</v>
      </c>
      <c r="F85" s="119">
        <f t="shared" si="2"/>
        <v>0.2666666667</v>
      </c>
      <c r="G85" s="113"/>
      <c r="H85" s="113"/>
      <c r="I85" s="113"/>
      <c r="J85" s="113"/>
      <c r="K85" s="113"/>
      <c r="L85" s="113"/>
      <c r="M85" s="113"/>
      <c r="N85" s="113"/>
      <c r="O85" s="113"/>
      <c r="P85" s="113"/>
      <c r="Q85" s="113"/>
      <c r="R85" s="113"/>
      <c r="S85" s="113"/>
      <c r="T85" s="113"/>
      <c r="U85" s="113"/>
      <c r="V85" s="113"/>
      <c r="W85" s="113"/>
      <c r="X85" s="113"/>
      <c r="Y85" s="113"/>
      <c r="Z85" s="113"/>
    </row>
    <row r="86">
      <c r="A86" s="125" t="s">
        <v>689</v>
      </c>
      <c r="B86" s="115">
        <f>COUNTIF('Master Table'!F:F,A86)</f>
        <v>3</v>
      </c>
      <c r="C86" s="113">
        <f>IFERROR(__xludf.DUMMYFUNCTION("""COMPUTED_VALUE"""),8.0)</f>
        <v>8</v>
      </c>
      <c r="D86" s="117">
        <f t="shared" si="1"/>
        <v>24</v>
      </c>
      <c r="E86" s="118">
        <f>SUMIF('Master Table'!F:F,A86,'Master Table'!C:C)</f>
        <v>8</v>
      </c>
      <c r="F86" s="119">
        <f t="shared" si="2"/>
        <v>0.3333333333</v>
      </c>
      <c r="G86" s="113"/>
      <c r="H86" s="113"/>
      <c r="I86" s="113"/>
      <c r="J86" s="113"/>
      <c r="K86" s="113"/>
      <c r="L86" s="113"/>
      <c r="M86" s="113"/>
      <c r="N86" s="113"/>
      <c r="O86" s="113"/>
      <c r="P86" s="113"/>
      <c r="Q86" s="113"/>
      <c r="R86" s="113"/>
      <c r="S86" s="113"/>
      <c r="T86" s="113"/>
      <c r="U86" s="113"/>
      <c r="V86" s="113"/>
      <c r="W86" s="113"/>
      <c r="X86" s="113"/>
      <c r="Y86" s="113"/>
      <c r="Z86" s="113"/>
    </row>
    <row r="87">
      <c r="A87" s="125" t="s">
        <v>690</v>
      </c>
      <c r="B87" s="115">
        <f>COUNTIF('Master Table'!F:F,A87)</f>
        <v>3</v>
      </c>
      <c r="C87" s="113">
        <f>IFERROR(__xludf.DUMMYFUNCTION("""COMPUTED_VALUE"""),3.0)</f>
        <v>3</v>
      </c>
      <c r="D87" s="117">
        <f t="shared" si="1"/>
        <v>9</v>
      </c>
      <c r="E87" s="118">
        <f>SUMIF('Master Table'!F:F,A87,'Master Table'!C:C)</f>
        <v>6</v>
      </c>
      <c r="F87" s="119">
        <f t="shared" si="2"/>
        <v>0.6666666667</v>
      </c>
      <c r="G87" s="113"/>
      <c r="H87" s="113"/>
      <c r="I87" s="113"/>
      <c r="J87" s="113"/>
      <c r="K87" s="113"/>
      <c r="L87" s="113"/>
      <c r="M87" s="113"/>
      <c r="N87" s="113"/>
      <c r="O87" s="113"/>
      <c r="P87" s="113"/>
      <c r="Q87" s="113"/>
      <c r="R87" s="113"/>
      <c r="S87" s="113"/>
      <c r="T87" s="113"/>
      <c r="U87" s="113"/>
      <c r="V87" s="113"/>
      <c r="W87" s="113"/>
      <c r="X87" s="113"/>
      <c r="Y87" s="113"/>
      <c r="Z87" s="113"/>
    </row>
    <row r="88">
      <c r="A88" s="125" t="s">
        <v>691</v>
      </c>
      <c r="B88" s="115">
        <f>COUNTIF('Master Table'!F:F,A88)</f>
        <v>4</v>
      </c>
      <c r="C88" s="113">
        <f>IFERROR(__xludf.DUMMYFUNCTION("""COMPUTED_VALUE"""),5.0)</f>
        <v>5</v>
      </c>
      <c r="D88" s="117">
        <f t="shared" si="1"/>
        <v>20</v>
      </c>
      <c r="E88" s="118">
        <f>SUMIF('Master Table'!F:F,A88,'Master Table'!C:C)</f>
        <v>8</v>
      </c>
      <c r="F88" s="119">
        <f t="shared" si="2"/>
        <v>0.4</v>
      </c>
      <c r="G88" s="113"/>
      <c r="H88" s="113"/>
      <c r="I88" s="113"/>
      <c r="J88" s="113"/>
      <c r="K88" s="113"/>
      <c r="L88" s="113"/>
      <c r="M88" s="113"/>
      <c r="N88" s="113"/>
      <c r="O88" s="113"/>
      <c r="P88" s="113"/>
      <c r="Q88" s="113"/>
      <c r="R88" s="113"/>
      <c r="S88" s="113"/>
      <c r="T88" s="113"/>
      <c r="U88" s="113"/>
      <c r="V88" s="113"/>
      <c r="W88" s="113"/>
      <c r="X88" s="113"/>
      <c r="Y88" s="113"/>
      <c r="Z88" s="113"/>
    </row>
    <row r="89">
      <c r="A89" s="125" t="s">
        <v>692</v>
      </c>
      <c r="B89" s="115">
        <f>COUNTIF('Master Table'!F:F,A89)</f>
        <v>4</v>
      </c>
      <c r="C89" s="113">
        <f>IFERROR(__xludf.DUMMYFUNCTION("""COMPUTED_VALUE"""),5.0)</f>
        <v>5</v>
      </c>
      <c r="D89" s="117">
        <f t="shared" si="1"/>
        <v>20</v>
      </c>
      <c r="E89" s="118">
        <f>SUMIF('Master Table'!F:F,A89,'Master Table'!C:C)</f>
        <v>11</v>
      </c>
      <c r="F89" s="119">
        <f t="shared" si="2"/>
        <v>0.55</v>
      </c>
      <c r="G89" s="113"/>
      <c r="H89" s="113"/>
      <c r="I89" s="113"/>
      <c r="J89" s="113"/>
      <c r="K89" s="113"/>
      <c r="L89" s="113"/>
      <c r="M89" s="113"/>
      <c r="N89" s="113"/>
      <c r="O89" s="113"/>
      <c r="P89" s="113"/>
      <c r="Q89" s="113"/>
      <c r="R89" s="113"/>
      <c r="S89" s="113"/>
      <c r="T89" s="113"/>
      <c r="U89" s="113"/>
      <c r="V89" s="113"/>
      <c r="W89" s="113"/>
      <c r="X89" s="113"/>
      <c r="Y89" s="113"/>
      <c r="Z89" s="113"/>
    </row>
    <row r="90">
      <c r="A90" s="127"/>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27"/>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27"/>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27"/>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27"/>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27"/>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27"/>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27"/>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27"/>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27"/>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27"/>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27"/>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27"/>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27"/>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27"/>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27"/>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27"/>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27"/>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27"/>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27"/>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27"/>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27"/>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27"/>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27"/>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27"/>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27"/>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27"/>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27"/>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27"/>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27"/>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27"/>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27"/>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27"/>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27"/>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27"/>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27"/>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27"/>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27"/>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27"/>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27"/>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27"/>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27"/>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27"/>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27"/>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27"/>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27"/>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27"/>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27"/>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27"/>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27"/>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27"/>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27"/>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27"/>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27"/>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27"/>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27"/>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27"/>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27"/>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27"/>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27"/>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27"/>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27"/>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27"/>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27"/>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27"/>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27"/>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27"/>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27"/>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27"/>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27"/>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27"/>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27"/>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27"/>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27"/>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27"/>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27"/>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27"/>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27"/>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27"/>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27"/>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27"/>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27"/>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27"/>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27"/>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27"/>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27"/>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27"/>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27"/>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27"/>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27"/>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27"/>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27"/>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27"/>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27"/>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27"/>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27"/>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27"/>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27"/>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27"/>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27"/>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27"/>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27"/>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27"/>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27"/>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27"/>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27"/>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27"/>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27"/>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27"/>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27"/>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27"/>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27"/>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27"/>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27"/>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27"/>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27"/>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27"/>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27"/>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27"/>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27"/>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27"/>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27"/>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27"/>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27"/>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27"/>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27"/>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27"/>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27"/>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27"/>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27"/>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27"/>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27"/>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27"/>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27"/>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27"/>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27"/>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27"/>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27"/>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27"/>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27"/>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27"/>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27"/>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27"/>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27"/>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27"/>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27"/>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27"/>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27"/>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27"/>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27"/>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27"/>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27"/>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27"/>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27"/>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27"/>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27"/>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27"/>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27"/>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27"/>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27"/>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27"/>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27"/>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27"/>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27"/>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27"/>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27"/>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27"/>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27"/>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27"/>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27"/>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27"/>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27"/>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27"/>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27"/>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27"/>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27"/>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27"/>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27"/>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27"/>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27"/>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27"/>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27"/>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27"/>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27"/>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27"/>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27"/>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27"/>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27"/>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27"/>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27"/>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27"/>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27"/>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27"/>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27"/>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27"/>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27"/>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27"/>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27"/>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27"/>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27"/>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27"/>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27"/>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27"/>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27"/>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27"/>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27"/>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27"/>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27"/>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27"/>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27"/>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27"/>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27"/>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27"/>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27"/>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27"/>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27"/>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27"/>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27"/>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27"/>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27"/>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27"/>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27"/>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27"/>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27"/>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27"/>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27"/>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27"/>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27"/>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27"/>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27"/>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27"/>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27"/>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27"/>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27"/>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27"/>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27"/>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27"/>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27"/>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27"/>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27"/>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27"/>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27"/>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27"/>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27"/>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27"/>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27"/>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27"/>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27"/>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27"/>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27"/>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27"/>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27"/>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27"/>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27"/>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27"/>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27"/>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27"/>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27"/>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27"/>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27"/>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27"/>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27"/>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27"/>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27"/>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27"/>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27"/>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27"/>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27"/>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27"/>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27"/>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27"/>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27"/>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27"/>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27"/>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27"/>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27"/>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27"/>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27"/>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27"/>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27"/>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27"/>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27"/>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27"/>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27"/>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27"/>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27"/>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27"/>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27"/>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27"/>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27"/>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27"/>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27"/>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27"/>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27"/>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27"/>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27"/>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27"/>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27"/>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27"/>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27"/>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27"/>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27"/>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27"/>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27"/>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27"/>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27"/>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27"/>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27"/>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27"/>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27"/>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27"/>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27"/>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27"/>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27"/>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27"/>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27"/>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27"/>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27"/>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27"/>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27"/>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27"/>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27"/>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27"/>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27"/>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27"/>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27"/>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27"/>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27"/>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27"/>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27"/>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27"/>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27"/>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27"/>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27"/>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27"/>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27"/>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27"/>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27"/>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27"/>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27"/>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27"/>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27"/>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27"/>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27"/>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27"/>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27"/>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27"/>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27"/>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27"/>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27"/>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27"/>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27"/>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27"/>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27"/>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27"/>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27"/>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27"/>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27"/>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27"/>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27"/>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27"/>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27"/>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27"/>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27"/>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27"/>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27"/>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27"/>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27"/>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27"/>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27"/>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27"/>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27"/>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27"/>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27"/>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27"/>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27"/>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27"/>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27"/>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27"/>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27"/>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27"/>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27"/>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27"/>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27"/>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27"/>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27"/>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27"/>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27"/>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27"/>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27"/>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27"/>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27"/>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27"/>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27"/>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27"/>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27"/>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27"/>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27"/>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27"/>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27"/>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27"/>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27"/>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27"/>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27"/>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27"/>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27"/>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27"/>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27"/>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27"/>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27"/>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27"/>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27"/>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27"/>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27"/>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27"/>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27"/>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27"/>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27"/>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27"/>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27"/>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27"/>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27"/>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27"/>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27"/>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27"/>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27"/>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27"/>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27"/>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27"/>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27"/>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27"/>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27"/>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27"/>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27"/>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27"/>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27"/>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27"/>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27"/>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27"/>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27"/>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27"/>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27"/>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27"/>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27"/>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27"/>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27"/>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27"/>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27"/>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27"/>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27"/>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27"/>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27"/>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27"/>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27"/>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27"/>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27"/>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27"/>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27"/>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27"/>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27"/>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27"/>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27"/>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27"/>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27"/>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27"/>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27"/>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27"/>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27"/>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27"/>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27"/>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27"/>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27"/>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27"/>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27"/>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27"/>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27"/>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27"/>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27"/>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27"/>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27"/>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27"/>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27"/>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27"/>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27"/>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27"/>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27"/>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27"/>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27"/>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27"/>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27"/>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27"/>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27"/>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27"/>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27"/>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27"/>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27"/>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27"/>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27"/>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27"/>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27"/>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27"/>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27"/>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27"/>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27"/>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27"/>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27"/>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27"/>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27"/>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27"/>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27"/>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27"/>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27"/>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27"/>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27"/>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27"/>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27"/>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27"/>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27"/>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27"/>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27"/>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27"/>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27"/>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27"/>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27"/>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27"/>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27"/>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27"/>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27"/>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27"/>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27"/>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27"/>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27"/>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27"/>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27"/>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27"/>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27"/>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27"/>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27"/>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27"/>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27"/>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27"/>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27"/>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27"/>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27"/>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27"/>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27"/>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27"/>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27"/>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27"/>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27"/>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27"/>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27"/>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27"/>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27"/>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27"/>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27"/>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27"/>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27"/>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27"/>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27"/>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27"/>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27"/>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27"/>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27"/>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27"/>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27"/>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27"/>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27"/>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27"/>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27"/>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27"/>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27"/>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27"/>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27"/>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27"/>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27"/>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27"/>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27"/>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27"/>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27"/>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27"/>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27"/>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27"/>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27"/>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27"/>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27"/>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27"/>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27"/>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27"/>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27"/>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27"/>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27"/>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27"/>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27"/>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27"/>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27"/>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27"/>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27"/>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27"/>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27"/>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27"/>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27"/>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27"/>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27"/>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27"/>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27"/>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27"/>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27"/>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27"/>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27"/>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27"/>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27"/>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27"/>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27"/>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27"/>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27"/>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27"/>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27"/>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27"/>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27"/>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27"/>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27"/>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27"/>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27"/>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27"/>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27"/>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27"/>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27"/>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27"/>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27"/>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27"/>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27"/>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27"/>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27"/>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27"/>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27"/>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27"/>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27"/>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27"/>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27"/>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27"/>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27"/>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27"/>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27"/>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27"/>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27"/>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27"/>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27"/>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27"/>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27"/>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27"/>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27"/>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27"/>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27"/>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27"/>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27"/>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27"/>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27"/>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27"/>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27"/>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27"/>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27"/>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27"/>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27"/>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27"/>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27"/>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27"/>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27"/>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27"/>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27"/>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27"/>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27"/>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27"/>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27"/>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27"/>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27"/>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27"/>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27"/>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27"/>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27"/>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27"/>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27"/>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27"/>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27"/>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27"/>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27"/>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27"/>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27"/>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27"/>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27"/>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27"/>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27"/>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27"/>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27"/>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27"/>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27"/>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27"/>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27"/>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27"/>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27"/>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27"/>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27"/>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27"/>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27"/>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27"/>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27"/>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27"/>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27"/>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27"/>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27"/>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27"/>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27"/>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27"/>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27"/>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27"/>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27"/>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27"/>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27"/>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27"/>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27"/>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27"/>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27"/>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27"/>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27"/>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27"/>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27"/>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27"/>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27"/>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27"/>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27"/>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27"/>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27"/>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27"/>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27"/>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27"/>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27"/>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27"/>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27"/>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27"/>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27"/>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27"/>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27"/>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27"/>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27"/>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27"/>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27"/>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27"/>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27"/>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27"/>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27"/>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27"/>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27"/>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27"/>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27"/>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27"/>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27"/>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27"/>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27"/>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27"/>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27"/>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27"/>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27"/>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27"/>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27"/>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27"/>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27"/>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27"/>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27"/>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27"/>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27"/>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27"/>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27"/>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27"/>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27"/>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27"/>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27"/>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27"/>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27"/>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27"/>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27"/>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27"/>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27"/>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27"/>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27"/>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27"/>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27"/>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27"/>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27"/>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27"/>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27"/>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27"/>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27"/>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27"/>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27"/>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27"/>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27"/>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27"/>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27"/>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27"/>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27"/>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27"/>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27"/>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27"/>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27"/>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27"/>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27"/>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27"/>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27"/>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27"/>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27"/>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27"/>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27"/>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27"/>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27"/>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27"/>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27"/>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27"/>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27"/>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27"/>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27"/>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27"/>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27"/>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27"/>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27"/>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27"/>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27"/>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27"/>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27"/>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27"/>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27"/>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27"/>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27"/>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27"/>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27"/>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27"/>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27"/>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27"/>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27"/>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27"/>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27"/>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27"/>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27"/>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27"/>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27"/>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27"/>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27"/>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27"/>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27"/>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27"/>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27"/>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27"/>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27"/>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27"/>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27"/>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27"/>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27"/>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27"/>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27"/>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27"/>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27"/>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27"/>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27"/>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27"/>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27"/>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27"/>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27"/>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27"/>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27"/>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27"/>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27"/>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27"/>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27"/>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27"/>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27"/>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27"/>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27"/>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27"/>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27"/>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27"/>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27"/>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27"/>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27"/>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27"/>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27"/>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27"/>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27"/>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27"/>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27"/>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27"/>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27"/>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27"/>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27"/>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27"/>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27"/>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27"/>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27"/>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27"/>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27"/>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27"/>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27"/>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27"/>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27"/>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27"/>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27"/>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27"/>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27"/>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c r="A996" s="127"/>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c r="A997" s="127"/>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c r="A998" s="127"/>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c r="A999" s="127"/>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c r="A1000" s="127"/>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conditionalFormatting sqref="F2:F1000">
    <cfRule type="cellIs" dxfId="5" priority="1" operator="equal">
      <formula>"0%"</formula>
    </cfRule>
  </conditionalFormatting>
  <conditionalFormatting sqref="F2:F1000">
    <cfRule type="cellIs" dxfId="2" priority="2" operator="between">
      <formula>"70%"</formula>
      <formula>"100%"</formula>
    </cfRule>
  </conditionalFormatting>
  <conditionalFormatting sqref="F2:F1000">
    <cfRule type="cellIs" dxfId="1" priority="3" operator="between">
      <formula>"0%"</formula>
      <formula>"69.99%"</formula>
    </cfRule>
  </conditionalFormatting>
  <conditionalFormatting sqref="F1:F1000">
    <cfRule type="cellIs" dxfId="4" priority="4" operator="greaterThan">
      <formula>"100%"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0"/>
  <cols>
    <col customWidth="1" min="1" max="1" width="17.14"/>
    <col customWidth="1" min="2" max="2" width="22.71"/>
    <col customWidth="1" min="3" max="3" width="10.0"/>
    <col customWidth="1" min="4" max="4" width="17.29"/>
    <col customWidth="1" min="5" max="11" width="2.14"/>
    <col customWidth="1" min="12" max="12" width="3.14"/>
    <col customWidth="1" min="13" max="13" width="7.43"/>
    <col customWidth="1" min="14" max="14" width="99.71"/>
    <col customWidth="1" min="15" max="15" width="14.57"/>
    <col customWidth="1" min="16" max="16" width="13.86"/>
    <col customWidth="1" min="17" max="17" width="25.57"/>
    <col customWidth="1" min="18" max="18" width="13.86"/>
    <col customWidth="1" hidden="1" min="19" max="19" width="19.29"/>
    <col customWidth="1" hidden="1" min="20" max="20" width="22.29"/>
  </cols>
  <sheetData>
    <row r="1">
      <c r="A1" s="128" t="str">
        <f>IFERROR(__xludf.DUMMYFUNCTION("IMPORTRANGE(""1Akjfoa_7wVod-cYdZ0XzQbCJEXkxc4-J6FN3gyaZ2Nw"",""Responses!A:A"")"),"Timestamp")</f>
        <v>Timestamp</v>
      </c>
      <c r="B1" s="129" t="str">
        <f>IFERROR(__xludf.DUMMYFUNCTION("IMPORTRANGE(""1Akjfoa_7wVod-cYdZ0XzQbCJEXkxc4-J6FN3gyaZ2Nw"",""Responses!B:B"")"),"Judge Name")</f>
        <v>Judge Name</v>
      </c>
      <c r="C1" s="128" t="str">
        <f>IFERROR(__xludf.DUMMYFUNCTION("IMPORTRANGE(""1Akjfoa_7wVod-cYdZ0XzQbCJEXkxc4-J6FN3gyaZ2Nw"",""Responses!C:C"")"),"Judge ID #")</f>
        <v>Judge ID #</v>
      </c>
      <c r="D1" s="128" t="str">
        <f>IFERROR(__xludf.DUMMYFUNCTION("IMPORTRANGE(""1Akjfoa_7wVod-cYdZ0XzQbCJEXkxc4-J6FN3gyaZ2Nw"",""Responses!D:D"")"),"Student Abstract #")</f>
        <v>Student Abstract #</v>
      </c>
      <c r="E1" s="130">
        <f>IFERROR(__xludf.DUMMYFUNCTION("Arrayformula(VALUE(LEFT((IMPORTRANGE(""1Akjfoa_7wVod-cYdZ0XzQbCJEXkxc4-J6FN3gyaZ2Nw"",""Responses!E:E"")),1)))"),1.0)</f>
        <v>1</v>
      </c>
      <c r="F1" s="130">
        <f>IFERROR(__xludf.DUMMYFUNCTION("Arrayformula(VALUE(LEFT((IMPORTRANGE(""1Akjfoa_7wVod-cYdZ0XzQbCJEXkxc4-J6FN3gyaZ2Nw"",""Responses!F:F"")),1)))"),2.0)</f>
        <v>2</v>
      </c>
      <c r="G1" s="130">
        <f>IFERROR(__xludf.DUMMYFUNCTION("Arrayformula(VALUE(LEFT((IMPORTRANGE(""1Akjfoa_7wVod-cYdZ0XzQbCJEXkxc4-J6FN3gyaZ2Nw"",""Responses!G:G"")),1)))"),3.0)</f>
        <v>3</v>
      </c>
      <c r="H1" s="130">
        <f>IFERROR(__xludf.DUMMYFUNCTION("Arrayformula(VALUE(LEFT((IMPORTRANGE(""1Akjfoa_7wVod-cYdZ0XzQbCJEXkxc4-J6FN3gyaZ2Nw"",""Responses!H:H"")),1)))"),4.0)</f>
        <v>4</v>
      </c>
      <c r="I1" s="130">
        <f>IFERROR(__xludf.DUMMYFUNCTION("Arrayformula(VALUE(LEFT((IMPORTRANGE(""1Akjfoa_7wVod-cYdZ0XzQbCJEXkxc4-J6FN3gyaZ2Nw"",""Responses!I:I"")),1)))"),5.0)</f>
        <v>5</v>
      </c>
      <c r="J1" s="130">
        <f>IFERROR(__xludf.DUMMYFUNCTION("Arrayformula(VALUE(LEFT((IMPORTRANGE(""1Akjfoa_7wVod-cYdZ0XzQbCJEXkxc4-J6FN3gyaZ2Nw"",""Responses!J:J"")),1)))"),6.0)</f>
        <v>6</v>
      </c>
      <c r="K1" s="130">
        <f>IFERROR(__xludf.DUMMYFUNCTION("Arrayformula(VALUE(LEFT((IMPORTRANGE(""1Akjfoa_7wVod-cYdZ0XzQbCJEXkxc4-J6FN3gyaZ2Nw"",""Responses!K:K"")),1)))"),7.0)</f>
        <v>7</v>
      </c>
      <c r="L1" s="131">
        <f t="array" ref="L1:L3008">E:E+F:F+G:G+H:H+I:I+J:J+K:K</f>
        <v>28</v>
      </c>
      <c r="M1" s="132" t="s">
        <v>5</v>
      </c>
      <c r="N1" s="133" t="str">
        <f>IFERROR(__xludf.DUMMYFUNCTION("IMPORTRANGE(""1Akjfoa_7wVod-cYdZ0XzQbCJEXkxc4-J6FN3gyaZ2Nw"",""Responses!L:L"")"),"Comments")</f>
        <v>Comments</v>
      </c>
      <c r="O1" s="134" t="s">
        <v>693</v>
      </c>
      <c r="P1" s="134" t="s">
        <v>694</v>
      </c>
      <c r="Q1" s="135" t="s">
        <v>695</v>
      </c>
      <c r="R1" s="134" t="s">
        <v>696</v>
      </c>
      <c r="S1" s="136" t="s">
        <v>697</v>
      </c>
      <c r="T1" s="135" t="s">
        <v>698</v>
      </c>
    </row>
    <row r="2">
      <c r="A2" s="137">
        <f>IFERROR(__xludf.DUMMYFUNCTION("""COMPUTED_VALUE"""),45352.39682432871)</f>
        <v>45352.39682</v>
      </c>
      <c r="B2" s="138" t="str">
        <f>IFERROR(__xludf.DUMMYFUNCTION("""COMPUTED_VALUE"""),"Kj Archer")</f>
        <v>Kj Archer</v>
      </c>
      <c r="C2" s="138">
        <f>IFERROR(__xludf.DUMMYFUNCTION("""COMPUTED_VALUE"""),1077.0)</f>
        <v>1077</v>
      </c>
      <c r="D2" s="139">
        <f>IFERROR(__xludf.DUMMYFUNCTION("""COMPUTED_VALUE"""),7.0)</f>
        <v>7</v>
      </c>
      <c r="E2" s="138">
        <f>IFERROR(__xludf.DUMMYFUNCTION("""COMPUTED_VALUE"""),2.0)</f>
        <v>2</v>
      </c>
      <c r="F2" s="138">
        <f>IFERROR(__xludf.DUMMYFUNCTION("""COMPUTED_VALUE"""),4.0)</f>
        <v>4</v>
      </c>
      <c r="G2" s="138">
        <f>IFERROR(__xludf.DUMMYFUNCTION("""COMPUTED_VALUE"""),3.0)</f>
        <v>3</v>
      </c>
      <c r="H2" s="138">
        <f>IFERROR(__xludf.DUMMYFUNCTION("""COMPUTED_VALUE"""),4.0)</f>
        <v>4</v>
      </c>
      <c r="I2" s="138">
        <f>IFERROR(__xludf.DUMMYFUNCTION("""COMPUTED_VALUE"""),5.0)</f>
        <v>5</v>
      </c>
      <c r="J2" s="138">
        <f>IFERROR(__xludf.DUMMYFUNCTION("""COMPUTED_VALUE"""),3.0)</f>
        <v>3</v>
      </c>
      <c r="K2" s="138">
        <f>IFERROR(__xludf.DUMMYFUNCTION("""COMPUTED_VALUE"""),5.0)</f>
        <v>5</v>
      </c>
      <c r="L2" s="138">
        <v>26.0</v>
      </c>
      <c r="M2" s="140" t="str">
        <f>VLOOKUP(text(D2, "#"),'Master Table'!$A:$F, 6, FALSE)</f>
        <v>K-1</v>
      </c>
      <c r="N2" s="141" t="str">
        <f>IFERROR(__xludf.DUMMYFUNCTION("""COMPUTED_VALUE"""),"Tech and dress rehearsal are very important, but the film itself was pretty amazing")</f>
        <v>Tech and dress rehearsal are very important, but the film itself was pretty amazing</v>
      </c>
      <c r="O2" s="142" t="str">
        <f t="shared" ref="O2:O3007" si="1">IF(COUNTIF($S:$S,S2)&gt;1,"TRUE","")</f>
        <v/>
      </c>
      <c r="P2" s="143" t="str">
        <f>IF(ISNA(VLOOKUP(CONCAT(M2,C2), 'Judge Count DO NOT EDIT'!H:H, 1, FALSE)), "ERROR","")</f>
        <v/>
      </c>
      <c r="Q2" s="141"/>
      <c r="R2" s="143"/>
      <c r="S2" s="139" t="str">
        <f t="shared" ref="S2:S1741" si="2">CONCAT(C2,D2)</f>
        <v>10777</v>
      </c>
      <c r="T2" s="141"/>
    </row>
    <row r="3">
      <c r="A3" s="137">
        <f>IFERROR(__xludf.DUMMYFUNCTION("""COMPUTED_VALUE"""),45352.400007662036)</f>
        <v>45352.40001</v>
      </c>
      <c r="B3" s="138" t="str">
        <f>IFERROR(__xludf.DUMMYFUNCTION("""COMPUTED_VALUE"""),"Edwin Rodríguez ")</f>
        <v>Edwin Rodríguez </v>
      </c>
      <c r="C3" s="138">
        <f>IFERROR(__xludf.DUMMYFUNCTION("""COMPUTED_VALUE"""),1098.0)</f>
        <v>1098</v>
      </c>
      <c r="D3" s="139">
        <f>IFERROR(__xludf.DUMMYFUNCTION("""COMPUTED_VALUE"""),7.0)</f>
        <v>7</v>
      </c>
      <c r="E3" s="138">
        <f>IFERROR(__xludf.DUMMYFUNCTION("""COMPUTED_VALUE"""),4.0)</f>
        <v>4</v>
      </c>
      <c r="F3" s="138">
        <f>IFERROR(__xludf.DUMMYFUNCTION("""COMPUTED_VALUE"""),4.0)</f>
        <v>4</v>
      </c>
      <c r="G3" s="138">
        <f>IFERROR(__xludf.DUMMYFUNCTION("""COMPUTED_VALUE"""),5.0)</f>
        <v>5</v>
      </c>
      <c r="H3" s="138">
        <f>IFERROR(__xludf.DUMMYFUNCTION("""COMPUTED_VALUE"""),4.0)</f>
        <v>4</v>
      </c>
      <c r="I3" s="138">
        <f>IFERROR(__xludf.DUMMYFUNCTION("""COMPUTED_VALUE"""),4.0)</f>
        <v>4</v>
      </c>
      <c r="J3" s="138">
        <f>IFERROR(__xludf.DUMMYFUNCTION("""COMPUTED_VALUE"""),4.0)</f>
        <v>4</v>
      </c>
      <c r="K3" s="138">
        <f>IFERROR(__xludf.DUMMYFUNCTION("""COMPUTED_VALUE"""),4.0)</f>
        <v>4</v>
      </c>
      <c r="L3" s="138">
        <v>29.0</v>
      </c>
      <c r="M3" s="140" t="str">
        <f>VLOOKUP(text(D3, "#"),'Master Table'!$A:$F, 6, FALSE)</f>
        <v>K-1</v>
      </c>
      <c r="N3" s="141" t="str">
        <f>IFERROR(__xludf.DUMMYFUNCTION("""COMPUTED_VALUE"""),"The student explained very clearly and gave us relevant information about her research behind the process. The video was understandable and meaningful ")</f>
        <v>The student explained very clearly and gave us relevant information about her research behind the process. The video was understandable and meaningful </v>
      </c>
      <c r="O3" s="142" t="str">
        <f t="shared" si="1"/>
        <v/>
      </c>
      <c r="P3" s="143" t="str">
        <f>IF(ISNA(VLOOKUP(CONCAT(M3,C3), 'Judge Count DO NOT EDIT'!H:H, 1, FALSE)), "ERROR","")</f>
        <v/>
      </c>
      <c r="Q3" s="141"/>
      <c r="R3" s="143"/>
      <c r="S3" s="139" t="str">
        <f t="shared" si="2"/>
        <v>10987</v>
      </c>
      <c r="T3" s="141"/>
    </row>
    <row r="4">
      <c r="A4" s="137">
        <f>IFERROR(__xludf.DUMMYFUNCTION("""COMPUTED_VALUE"""),45352.401147083336)</f>
        <v>45352.40115</v>
      </c>
      <c r="B4" s="138" t="str">
        <f>IFERROR(__xludf.DUMMYFUNCTION("""COMPUTED_VALUE"""),"Amor")</f>
        <v>Amor</v>
      </c>
      <c r="C4" s="138">
        <f>IFERROR(__xludf.DUMMYFUNCTION("""COMPUTED_VALUE"""),1071.0)</f>
        <v>1071</v>
      </c>
      <c r="D4" s="139">
        <f>IFERROR(__xludf.DUMMYFUNCTION("""COMPUTED_VALUE"""),7.0)</f>
        <v>7</v>
      </c>
      <c r="E4" s="138">
        <f>IFERROR(__xludf.DUMMYFUNCTION("""COMPUTED_VALUE"""),3.0)</f>
        <v>3</v>
      </c>
      <c r="F4" s="138">
        <f>IFERROR(__xludf.DUMMYFUNCTION("""COMPUTED_VALUE"""),2.0)</f>
        <v>2</v>
      </c>
      <c r="G4" s="138">
        <f>IFERROR(__xludf.DUMMYFUNCTION("""COMPUTED_VALUE"""),2.0)</f>
        <v>2</v>
      </c>
      <c r="H4" s="138">
        <f>IFERROR(__xludf.DUMMYFUNCTION("""COMPUTED_VALUE"""),3.0)</f>
        <v>3</v>
      </c>
      <c r="I4" s="138">
        <f>IFERROR(__xludf.DUMMYFUNCTION("""COMPUTED_VALUE"""),3.0)</f>
        <v>3</v>
      </c>
      <c r="J4" s="138">
        <f>IFERROR(__xludf.DUMMYFUNCTION("""COMPUTED_VALUE"""),2.0)</f>
        <v>2</v>
      </c>
      <c r="K4" s="138">
        <f>IFERROR(__xludf.DUMMYFUNCTION("""COMPUTED_VALUE"""),2.0)</f>
        <v>2</v>
      </c>
      <c r="L4" s="138">
        <v>17.0</v>
      </c>
      <c r="M4" s="140" t="str">
        <f>VLOOKUP(text(D4, "#"),'Master Table'!$A:$F, 6, FALSE)</f>
        <v>K-1</v>
      </c>
      <c r="N4" s="141" t="str">
        <f>IFERROR(__xludf.DUMMYFUNCTION("""COMPUTED_VALUE"""),"I really like the concept of ""organiced chaos""")</f>
        <v>I really like the concept of "organiced chaos"</v>
      </c>
      <c r="O4" s="142" t="str">
        <f t="shared" si="1"/>
        <v/>
      </c>
      <c r="P4" s="143" t="str">
        <f>IF(ISNA(VLOOKUP(CONCAT(M4,C4), 'Judge Count DO NOT EDIT'!H:H, 1, FALSE)), "ERROR","")</f>
        <v/>
      </c>
      <c r="Q4" s="141"/>
      <c r="R4" s="143"/>
      <c r="S4" s="139" t="str">
        <f t="shared" si="2"/>
        <v>10717</v>
      </c>
      <c r="T4" s="141"/>
    </row>
    <row r="5">
      <c r="A5" s="137">
        <f>IFERROR(__xludf.DUMMYFUNCTION("""COMPUTED_VALUE"""),45352.66097939815)</f>
        <v>45352.66098</v>
      </c>
      <c r="B5" s="138" t="str">
        <f>IFERROR(__xludf.DUMMYFUNCTION("""COMPUTED_VALUE"""),"Martin Kruming")</f>
        <v>Martin Kruming</v>
      </c>
      <c r="C5" s="138">
        <f>IFERROR(__xludf.DUMMYFUNCTION("""COMPUTED_VALUE"""),1134.0)</f>
        <v>1134</v>
      </c>
      <c r="D5" s="139">
        <f>IFERROR(__xludf.DUMMYFUNCTION("""COMPUTED_VALUE"""),7.0)</f>
        <v>7</v>
      </c>
      <c r="E5" s="138">
        <f>IFERROR(__xludf.DUMMYFUNCTION("""COMPUTED_VALUE"""),5.0)</f>
        <v>5</v>
      </c>
      <c r="F5" s="138">
        <f>IFERROR(__xludf.DUMMYFUNCTION("""COMPUTED_VALUE"""),5.0)</f>
        <v>5</v>
      </c>
      <c r="G5" s="138">
        <f>IFERROR(__xludf.DUMMYFUNCTION("""COMPUTED_VALUE"""),4.0)</f>
        <v>4</v>
      </c>
      <c r="H5" s="138">
        <f>IFERROR(__xludf.DUMMYFUNCTION("""COMPUTED_VALUE"""),4.0)</f>
        <v>4</v>
      </c>
      <c r="I5" s="138">
        <f>IFERROR(__xludf.DUMMYFUNCTION("""COMPUTED_VALUE"""),5.0)</f>
        <v>5</v>
      </c>
      <c r="J5" s="138">
        <f>IFERROR(__xludf.DUMMYFUNCTION("""COMPUTED_VALUE"""),4.0)</f>
        <v>4</v>
      </c>
      <c r="K5" s="138">
        <f>IFERROR(__xludf.DUMMYFUNCTION("""COMPUTED_VALUE"""),4.0)</f>
        <v>4</v>
      </c>
      <c r="L5" s="138">
        <v>31.0</v>
      </c>
      <c r="M5" s="140" t="str">
        <f>VLOOKUP(text(D5, "#"),'Master Table'!$A:$F, 6, FALSE)</f>
        <v>K-1</v>
      </c>
      <c r="N5" s="141" t="str">
        <f>IFERROR(__xludf.DUMMYFUNCTION("""COMPUTED_VALUE"""),"Jessica connected extremely well with the audience. She was professional, informed and outgoing. She took us behind the scenes in managing the production of the video.")</f>
        <v>Jessica connected extremely well with the audience. She was professional, informed and outgoing. She took us behind the scenes in managing the production of the video.</v>
      </c>
      <c r="O5" s="142" t="str">
        <f t="shared" si="1"/>
        <v/>
      </c>
      <c r="P5" s="143" t="str">
        <f>IF(ISNA(VLOOKUP(CONCAT(M5,C5), 'Judge Count DO NOT EDIT'!H:H, 1, FALSE)), "ERROR","")</f>
        <v/>
      </c>
      <c r="Q5" s="141"/>
      <c r="R5" s="143"/>
      <c r="S5" s="139" t="str">
        <f t="shared" si="2"/>
        <v>11347</v>
      </c>
      <c r="T5" s="141"/>
    </row>
    <row r="6">
      <c r="A6" s="137">
        <f>IFERROR(__xludf.DUMMYFUNCTION("""COMPUTED_VALUE"""),45352.414495902776)</f>
        <v>45352.4145</v>
      </c>
      <c r="B6" s="138" t="str">
        <f>IFERROR(__xludf.DUMMYFUNCTION("""COMPUTED_VALUE"""),"Edwin Rodríguez ")</f>
        <v>Edwin Rodríguez </v>
      </c>
      <c r="C6" s="138">
        <f>IFERROR(__xludf.DUMMYFUNCTION("""COMPUTED_VALUE"""),1098.0)</f>
        <v>1098</v>
      </c>
      <c r="D6" s="139">
        <f>IFERROR(__xludf.DUMMYFUNCTION("""COMPUTED_VALUE"""),8.0)</f>
        <v>8</v>
      </c>
      <c r="E6" s="138">
        <f>IFERROR(__xludf.DUMMYFUNCTION("""COMPUTED_VALUE"""),3.0)</f>
        <v>3</v>
      </c>
      <c r="F6" s="138">
        <f>IFERROR(__xludf.DUMMYFUNCTION("""COMPUTED_VALUE"""),5.0)</f>
        <v>5</v>
      </c>
      <c r="G6" s="138">
        <f>IFERROR(__xludf.DUMMYFUNCTION("""COMPUTED_VALUE"""),3.0)</f>
        <v>3</v>
      </c>
      <c r="H6" s="138">
        <f>IFERROR(__xludf.DUMMYFUNCTION("""COMPUTED_VALUE"""),4.0)</f>
        <v>4</v>
      </c>
      <c r="I6" s="138">
        <f>IFERROR(__xludf.DUMMYFUNCTION("""COMPUTED_VALUE"""),3.0)</f>
        <v>3</v>
      </c>
      <c r="J6" s="138">
        <f>IFERROR(__xludf.DUMMYFUNCTION("""COMPUTED_VALUE"""),4.0)</f>
        <v>4</v>
      </c>
      <c r="K6" s="138">
        <f>IFERROR(__xludf.DUMMYFUNCTION("""COMPUTED_VALUE"""),4.0)</f>
        <v>4</v>
      </c>
      <c r="L6" s="138">
        <v>26.0</v>
      </c>
      <c r="M6" s="140" t="str">
        <f>VLOOKUP(text(D6, "#"),'Master Table'!$A:$F, 6, FALSE)</f>
        <v>K-1</v>
      </c>
      <c r="N6" s="141" t="str">
        <f>IFERROR(__xludf.DUMMYFUNCTION("""COMPUTED_VALUE"""),"The presentation was smooth and the videos presented were well designed and creative ")</f>
        <v>The presentation was smooth and the videos presented were well designed and creative </v>
      </c>
      <c r="O6" s="142" t="str">
        <f t="shared" si="1"/>
        <v/>
      </c>
      <c r="P6" s="143" t="str">
        <f>IF(ISNA(VLOOKUP(CONCAT(M6,C6), 'Judge Count DO NOT EDIT'!H:H, 1, FALSE)), "ERROR","")</f>
        <v/>
      </c>
      <c r="Q6" s="141"/>
      <c r="R6" s="143"/>
      <c r="S6" s="139" t="str">
        <f t="shared" si="2"/>
        <v>10988</v>
      </c>
      <c r="T6" s="141"/>
    </row>
    <row r="7">
      <c r="A7" s="137">
        <f>IFERROR(__xludf.DUMMYFUNCTION("""COMPUTED_VALUE"""),45352.41659068287)</f>
        <v>45352.41659</v>
      </c>
      <c r="B7" s="138" t="str">
        <f>IFERROR(__xludf.DUMMYFUNCTION("""COMPUTED_VALUE"""),"Kj Archer")</f>
        <v>Kj Archer</v>
      </c>
      <c r="C7" s="138">
        <f>IFERROR(__xludf.DUMMYFUNCTION("""COMPUTED_VALUE"""),1077.0)</f>
        <v>1077</v>
      </c>
      <c r="D7" s="139">
        <f>IFERROR(__xludf.DUMMYFUNCTION("""COMPUTED_VALUE"""),8.0)</f>
        <v>8</v>
      </c>
      <c r="E7" s="138">
        <f>IFERROR(__xludf.DUMMYFUNCTION("""COMPUTED_VALUE"""),3.0)</f>
        <v>3</v>
      </c>
      <c r="F7" s="138">
        <f>IFERROR(__xludf.DUMMYFUNCTION("""COMPUTED_VALUE"""),5.0)</f>
        <v>5</v>
      </c>
      <c r="G7" s="138">
        <f>IFERROR(__xludf.DUMMYFUNCTION("""COMPUTED_VALUE"""),3.0)</f>
        <v>3</v>
      </c>
      <c r="H7" s="138">
        <f>IFERROR(__xludf.DUMMYFUNCTION("""COMPUTED_VALUE"""),4.0)</f>
        <v>4</v>
      </c>
      <c r="I7" s="138">
        <f>IFERROR(__xludf.DUMMYFUNCTION("""COMPUTED_VALUE"""),4.0)</f>
        <v>4</v>
      </c>
      <c r="J7" s="138">
        <f>IFERROR(__xludf.DUMMYFUNCTION("""COMPUTED_VALUE"""),3.0)</f>
        <v>3</v>
      </c>
      <c r="K7" s="138">
        <f>IFERROR(__xludf.DUMMYFUNCTION("""COMPUTED_VALUE"""),5.0)</f>
        <v>5</v>
      </c>
      <c r="L7" s="138">
        <v>27.0</v>
      </c>
      <c r="M7" s="140" t="str">
        <f>VLOOKUP(text(D7, "#"),'Master Table'!$A:$F, 6, FALSE)</f>
        <v>K-1</v>
      </c>
      <c r="N7" s="141" t="str">
        <f>IFERROR(__xludf.DUMMYFUNCTION("""COMPUTED_VALUE"""),"Really impressive growth from the first video to the third. It was like watching a progression from the 90's to the 2020's all in one presentation. ")</f>
        <v>Really impressive growth from the first video to the third. It was like watching a progression from the 90's to the 2020's all in one presentation. </v>
      </c>
      <c r="O7" s="142" t="str">
        <f t="shared" si="1"/>
        <v/>
      </c>
      <c r="P7" s="143" t="str">
        <f>IF(ISNA(VLOOKUP(CONCAT(M7,C7), 'Judge Count DO NOT EDIT'!H:H, 1, FALSE)), "ERROR","")</f>
        <v/>
      </c>
      <c r="Q7" s="141"/>
      <c r="R7" s="143"/>
      <c r="S7" s="139" t="str">
        <f t="shared" si="2"/>
        <v>10778</v>
      </c>
      <c r="T7" s="141"/>
    </row>
    <row r="8">
      <c r="A8" s="137">
        <f>IFERROR(__xludf.DUMMYFUNCTION("""COMPUTED_VALUE"""),45352.45588570602)</f>
        <v>45352.45589</v>
      </c>
      <c r="B8" s="138" t="str">
        <f>IFERROR(__xludf.DUMMYFUNCTION("""COMPUTED_VALUE"""),"Amor")</f>
        <v>Amor</v>
      </c>
      <c r="C8" s="138">
        <f>IFERROR(__xludf.DUMMYFUNCTION("""COMPUTED_VALUE"""),1071.0)</f>
        <v>1071</v>
      </c>
      <c r="D8" s="139">
        <f>IFERROR(__xludf.DUMMYFUNCTION("""COMPUTED_VALUE"""),10.0)</f>
        <v>10</v>
      </c>
      <c r="E8" s="138">
        <f>IFERROR(__xludf.DUMMYFUNCTION("""COMPUTED_VALUE"""),2.0)</f>
        <v>2</v>
      </c>
      <c r="F8" s="138">
        <f>IFERROR(__xludf.DUMMYFUNCTION("""COMPUTED_VALUE"""),2.0)</f>
        <v>2</v>
      </c>
      <c r="G8" s="138">
        <f>IFERROR(__xludf.DUMMYFUNCTION("""COMPUTED_VALUE"""),3.0)</f>
        <v>3</v>
      </c>
      <c r="H8" s="138">
        <f>IFERROR(__xludf.DUMMYFUNCTION("""COMPUTED_VALUE"""),2.0)</f>
        <v>2</v>
      </c>
      <c r="I8" s="138">
        <f>IFERROR(__xludf.DUMMYFUNCTION("""COMPUTED_VALUE"""),2.0)</f>
        <v>2</v>
      </c>
      <c r="J8" s="138">
        <f>IFERROR(__xludf.DUMMYFUNCTION("""COMPUTED_VALUE"""),2.0)</f>
        <v>2</v>
      </c>
      <c r="K8" s="138">
        <f>IFERROR(__xludf.DUMMYFUNCTION("""COMPUTED_VALUE"""),3.0)</f>
        <v>3</v>
      </c>
      <c r="L8" s="138">
        <v>16.0</v>
      </c>
      <c r="M8" s="140" t="str">
        <f>VLOOKUP(text(D8, "#"),'Master Table'!$A:$F, 6, FALSE)</f>
        <v>K-1</v>
      </c>
      <c r="N8" s="141" t="str">
        <f>IFERROR(__xludf.DUMMYFUNCTION("""COMPUTED_VALUE"""),"Like the dance speech. Maybe could be a good idea puting in a screen during the perfomance.")</f>
        <v>Like the dance speech. Maybe could be a good idea puting in a screen during the perfomance.</v>
      </c>
      <c r="O8" s="142" t="str">
        <f t="shared" si="1"/>
        <v/>
      </c>
      <c r="P8" s="143" t="str">
        <f>IF(ISNA(VLOOKUP(CONCAT(M8,C8), 'Judge Count DO NOT EDIT'!H:H, 1, FALSE)), "ERROR","")</f>
        <v/>
      </c>
      <c r="Q8" s="141"/>
      <c r="R8" s="143"/>
      <c r="S8" s="139" t="str">
        <f t="shared" si="2"/>
        <v>107110</v>
      </c>
      <c r="T8" s="141"/>
    </row>
    <row r="9">
      <c r="A9" s="137">
        <f>IFERROR(__xludf.DUMMYFUNCTION("""COMPUTED_VALUE"""),45352.45771122685)</f>
        <v>45352.45771</v>
      </c>
      <c r="B9" s="138" t="str">
        <f>IFERROR(__xludf.DUMMYFUNCTION("""COMPUTED_VALUE"""),"Edwin Rodríguez ")</f>
        <v>Edwin Rodríguez </v>
      </c>
      <c r="C9" s="138">
        <f>IFERROR(__xludf.DUMMYFUNCTION("""COMPUTED_VALUE"""),1098.0)</f>
        <v>1098</v>
      </c>
      <c r="D9" s="139">
        <f>IFERROR(__xludf.DUMMYFUNCTION("""COMPUTED_VALUE"""),10.0)</f>
        <v>10</v>
      </c>
      <c r="E9" s="138">
        <f>IFERROR(__xludf.DUMMYFUNCTION("""COMPUTED_VALUE"""),4.0)</f>
        <v>4</v>
      </c>
      <c r="F9" s="138">
        <f>IFERROR(__xludf.DUMMYFUNCTION("""COMPUTED_VALUE"""),4.0)</f>
        <v>4</v>
      </c>
      <c r="G9" s="138">
        <f>IFERROR(__xludf.DUMMYFUNCTION("""COMPUTED_VALUE"""),3.0)</f>
        <v>3</v>
      </c>
      <c r="H9" s="138">
        <f>IFERROR(__xludf.DUMMYFUNCTION("""COMPUTED_VALUE"""),3.0)</f>
        <v>3</v>
      </c>
      <c r="I9" s="138">
        <f>IFERROR(__xludf.DUMMYFUNCTION("""COMPUTED_VALUE"""),5.0)</f>
        <v>5</v>
      </c>
      <c r="J9" s="138">
        <f>IFERROR(__xludf.DUMMYFUNCTION("""COMPUTED_VALUE"""),4.0)</f>
        <v>4</v>
      </c>
      <c r="K9" s="138">
        <f>IFERROR(__xludf.DUMMYFUNCTION("""COMPUTED_VALUE"""),5.0)</f>
        <v>5</v>
      </c>
      <c r="L9" s="138">
        <v>28.0</v>
      </c>
      <c r="M9" s="140" t="str">
        <f>VLOOKUP(text(D9, "#"),'Master Table'!$A:$F, 6, FALSE)</f>
        <v>K-1</v>
      </c>
      <c r="N9" s="141" t="str">
        <f>IFERROR(__xludf.DUMMYFUNCTION("""COMPUTED_VALUE"""),"The presenter invited the audience to join them to experience the concept he was explaining about. He was really engaged and made people engage as well.")</f>
        <v>The presenter invited the audience to join them to experience the concept he was explaining about. He was really engaged and made people engage as well.</v>
      </c>
      <c r="O9" s="142" t="str">
        <f t="shared" si="1"/>
        <v/>
      </c>
      <c r="P9" s="143" t="str">
        <f>IF(ISNA(VLOOKUP(CONCAT(M9,C9), 'Judge Count DO NOT EDIT'!H:H, 1, FALSE)), "ERROR","")</f>
        <v/>
      </c>
      <c r="Q9" s="141"/>
      <c r="R9" s="143"/>
      <c r="S9" s="139" t="str">
        <f t="shared" si="2"/>
        <v>109810</v>
      </c>
      <c r="T9" s="141"/>
    </row>
    <row r="10">
      <c r="A10" s="137">
        <f>IFERROR(__xludf.DUMMYFUNCTION("""COMPUTED_VALUE"""),45352.55947740741)</f>
        <v>45352.55948</v>
      </c>
      <c r="B10" s="138" t="str">
        <f>IFERROR(__xludf.DUMMYFUNCTION("""COMPUTED_VALUE"""),"Dr. Soljour ")</f>
        <v>Dr. Soljour </v>
      </c>
      <c r="C10" s="138">
        <f>IFERROR(__xludf.DUMMYFUNCTION("""COMPUTED_VALUE"""),1106.0)</f>
        <v>1106</v>
      </c>
      <c r="D10" s="139">
        <f>IFERROR(__xludf.DUMMYFUNCTION("""COMPUTED_VALUE"""),11.0)</f>
        <v>11</v>
      </c>
      <c r="E10" s="138">
        <f>IFERROR(__xludf.DUMMYFUNCTION("""COMPUTED_VALUE"""),4.0)</f>
        <v>4</v>
      </c>
      <c r="F10" s="138">
        <f>IFERROR(__xludf.DUMMYFUNCTION("""COMPUTED_VALUE"""),3.0)</f>
        <v>3</v>
      </c>
      <c r="G10" s="138">
        <f>IFERROR(__xludf.DUMMYFUNCTION("""COMPUTED_VALUE"""),3.0)</f>
        <v>3</v>
      </c>
      <c r="H10" s="138">
        <f>IFERROR(__xludf.DUMMYFUNCTION("""COMPUTED_VALUE"""),2.0)</f>
        <v>2</v>
      </c>
      <c r="I10" s="138">
        <f>IFERROR(__xludf.DUMMYFUNCTION("""COMPUTED_VALUE"""),4.0)</f>
        <v>4</v>
      </c>
      <c r="J10" s="138">
        <f>IFERROR(__xludf.DUMMYFUNCTION("""COMPUTED_VALUE"""),3.0)</f>
        <v>3</v>
      </c>
      <c r="K10" s="138">
        <f>IFERROR(__xludf.DUMMYFUNCTION("""COMPUTED_VALUE"""),4.0)</f>
        <v>4</v>
      </c>
      <c r="L10" s="138">
        <v>23.0</v>
      </c>
      <c r="M10" s="140" t="str">
        <f>VLOOKUP(text(D10, "#"),'Master Table'!$A:$F, 6, FALSE)</f>
        <v>K-2</v>
      </c>
      <c r="N10" s="141" t="str">
        <f>IFERROR(__xludf.DUMMYFUNCTION("""COMPUTED_VALUE"""),"Students have a clear plan for sharing performance with a broader community and engaged the audience and through demonstrating different types of touch.  In addition, students explored emotions and sensations through dance. ")</f>
        <v>Students have a clear plan for sharing performance with a broader community and engaged the audience and through demonstrating different types of touch.  In addition, students explored emotions and sensations through dance. </v>
      </c>
      <c r="O10" s="142" t="str">
        <f t="shared" si="1"/>
        <v/>
      </c>
      <c r="P10" s="143" t="str">
        <f>IF(ISNA(VLOOKUP(CONCAT(M10,C10), 'Judge Count DO NOT EDIT'!H:H, 1, FALSE)), "ERROR","")</f>
        <v/>
      </c>
      <c r="Q10" s="141"/>
      <c r="R10" s="143"/>
      <c r="S10" s="139" t="str">
        <f t="shared" si="2"/>
        <v>110611</v>
      </c>
      <c r="T10" s="141"/>
    </row>
    <row r="11">
      <c r="A11" s="137">
        <f>IFERROR(__xludf.DUMMYFUNCTION("""COMPUTED_VALUE"""),45352.559560671296)</f>
        <v>45352.55956</v>
      </c>
      <c r="B11" s="138" t="str">
        <f>IFERROR(__xludf.DUMMYFUNCTION("""COMPUTED_VALUE"""),"Amor")</f>
        <v>Amor</v>
      </c>
      <c r="C11" s="138">
        <f>IFERROR(__xludf.DUMMYFUNCTION("""COMPUTED_VALUE"""),1071.0)</f>
        <v>1071</v>
      </c>
      <c r="D11" s="139">
        <f>IFERROR(__xludf.DUMMYFUNCTION("""COMPUTED_VALUE"""),11.0)</f>
        <v>11</v>
      </c>
      <c r="E11" s="138">
        <f>IFERROR(__xludf.DUMMYFUNCTION("""COMPUTED_VALUE"""),3.0)</f>
        <v>3</v>
      </c>
      <c r="F11" s="138">
        <f>IFERROR(__xludf.DUMMYFUNCTION("""COMPUTED_VALUE"""),3.0)</f>
        <v>3</v>
      </c>
      <c r="G11" s="138">
        <f>IFERROR(__xludf.DUMMYFUNCTION("""COMPUTED_VALUE"""),3.0)</f>
        <v>3</v>
      </c>
      <c r="H11" s="138">
        <f>IFERROR(__xludf.DUMMYFUNCTION("""COMPUTED_VALUE"""),3.0)</f>
        <v>3</v>
      </c>
      <c r="I11" s="138">
        <f>IFERROR(__xludf.DUMMYFUNCTION("""COMPUTED_VALUE"""),4.0)</f>
        <v>4</v>
      </c>
      <c r="J11" s="138">
        <f>IFERROR(__xludf.DUMMYFUNCTION("""COMPUTED_VALUE"""),4.0)</f>
        <v>4</v>
      </c>
      <c r="K11" s="138">
        <f>IFERROR(__xludf.DUMMYFUNCTION("""COMPUTED_VALUE"""),4.0)</f>
        <v>4</v>
      </c>
      <c r="L11" s="138">
        <v>24.0</v>
      </c>
      <c r="M11" s="140" t="str">
        <f>VLOOKUP(text(D11, "#"),'Master Table'!$A:$F, 6, FALSE)</f>
        <v>K-2</v>
      </c>
      <c r="N11" s="141" t="str">
        <f>IFERROR(__xludf.DUMMYFUNCTION("""COMPUTED_VALUE"""),"Congratulations for your great work and performance!")</f>
        <v>Congratulations for your great work and performance!</v>
      </c>
      <c r="O11" s="142" t="str">
        <f t="shared" si="1"/>
        <v/>
      </c>
      <c r="P11" s="143" t="str">
        <f>IF(ISNA(VLOOKUP(CONCAT(M11,C11), 'Judge Count DO NOT EDIT'!H:H, 1, FALSE)), "ERROR","")</f>
        <v/>
      </c>
      <c r="Q11" s="141"/>
      <c r="R11" s="143"/>
      <c r="S11" s="139" t="str">
        <f t="shared" si="2"/>
        <v>107111</v>
      </c>
      <c r="T11" s="141"/>
    </row>
    <row r="12">
      <c r="A12" s="137">
        <f>IFERROR(__xludf.DUMMYFUNCTION("""COMPUTED_VALUE"""),45352.56207868055)</f>
        <v>45352.56208</v>
      </c>
      <c r="B12" s="138" t="str">
        <f>IFERROR(__xludf.DUMMYFUNCTION("""COMPUTED_VALUE"""),"Erik Valenzuela")</f>
        <v>Erik Valenzuela</v>
      </c>
      <c r="C12" s="138">
        <f>IFERROR(__xludf.DUMMYFUNCTION("""COMPUTED_VALUE"""),1128.0)</f>
        <v>1128</v>
      </c>
      <c r="D12" s="139">
        <f>IFERROR(__xludf.DUMMYFUNCTION("""COMPUTED_VALUE"""),11.0)</f>
        <v>11</v>
      </c>
      <c r="E12" s="138">
        <f>IFERROR(__xludf.DUMMYFUNCTION("""COMPUTED_VALUE"""),3.0)</f>
        <v>3</v>
      </c>
      <c r="F12" s="138">
        <f>IFERROR(__xludf.DUMMYFUNCTION("""COMPUTED_VALUE"""),4.0)</f>
        <v>4</v>
      </c>
      <c r="G12" s="138">
        <f>IFERROR(__xludf.DUMMYFUNCTION("""COMPUTED_VALUE"""),4.0)</f>
        <v>4</v>
      </c>
      <c r="H12" s="138">
        <f>IFERROR(__xludf.DUMMYFUNCTION("""COMPUTED_VALUE"""),3.0)</f>
        <v>3</v>
      </c>
      <c r="I12" s="138">
        <f>IFERROR(__xludf.DUMMYFUNCTION("""COMPUTED_VALUE"""),4.0)</f>
        <v>4</v>
      </c>
      <c r="J12" s="138">
        <f>IFERROR(__xludf.DUMMYFUNCTION("""COMPUTED_VALUE"""),4.0)</f>
        <v>4</v>
      </c>
      <c r="K12" s="138">
        <f>IFERROR(__xludf.DUMMYFUNCTION("""COMPUTED_VALUE"""),5.0)</f>
        <v>5</v>
      </c>
      <c r="L12" s="138">
        <v>27.0</v>
      </c>
      <c r="M12" s="140" t="str">
        <f>VLOOKUP(text(D12, "#"),'Master Table'!$A:$F, 6, FALSE)</f>
        <v>K-2</v>
      </c>
      <c r="N12" s="141" t="str">
        <f>IFERROR(__xludf.DUMMYFUNCTION("""COMPUTED_VALUE"""),"The performance was great and the students did a great job showing the audience what their techniques were and the way they defined things. For me, I enjoyed watching the students do the performance and the knowledge they shared with everyone.")</f>
        <v>The performance was great and the students did a great job showing the audience what their techniques were and the way they defined things. For me, I enjoyed watching the students do the performance and the knowledge they shared with everyone.</v>
      </c>
      <c r="O12" s="142" t="str">
        <f t="shared" si="1"/>
        <v/>
      </c>
      <c r="P12" s="143" t="str">
        <f>IF(ISNA(VLOOKUP(CONCAT(M12,C12), 'Judge Count DO NOT EDIT'!H:H, 1, FALSE)), "ERROR","")</f>
        <v/>
      </c>
      <c r="Q12" s="141"/>
      <c r="R12" s="143"/>
      <c r="S12" s="139" t="str">
        <f t="shared" si="2"/>
        <v>112811</v>
      </c>
      <c r="T12" s="141"/>
    </row>
    <row r="13">
      <c r="A13" s="137">
        <f>IFERROR(__xludf.DUMMYFUNCTION("""COMPUTED_VALUE"""),45352.60440991898)</f>
        <v>45352.60441</v>
      </c>
      <c r="B13" s="138" t="str">
        <f>IFERROR(__xludf.DUMMYFUNCTION("""COMPUTED_VALUE"""),"Nathan Lindsay")</f>
        <v>Nathan Lindsay</v>
      </c>
      <c r="C13" s="138">
        <f>IFERROR(__xludf.DUMMYFUNCTION("""COMPUTED_VALUE"""),1119.0)</f>
        <v>1119</v>
      </c>
      <c r="D13" s="139">
        <f>IFERROR(__xludf.DUMMYFUNCTION("""COMPUTED_VALUE"""),11.0)</f>
        <v>11</v>
      </c>
      <c r="E13" s="138">
        <f>IFERROR(__xludf.DUMMYFUNCTION("""COMPUTED_VALUE"""),5.0)</f>
        <v>5</v>
      </c>
      <c r="F13" s="138">
        <f>IFERROR(__xludf.DUMMYFUNCTION("""COMPUTED_VALUE"""),5.0)</f>
        <v>5</v>
      </c>
      <c r="G13" s="138">
        <f>IFERROR(__xludf.DUMMYFUNCTION("""COMPUTED_VALUE"""),5.0)</f>
        <v>5</v>
      </c>
      <c r="H13" s="138">
        <f>IFERROR(__xludf.DUMMYFUNCTION("""COMPUTED_VALUE"""),5.0)</f>
        <v>5</v>
      </c>
      <c r="I13" s="138">
        <f>IFERROR(__xludf.DUMMYFUNCTION("""COMPUTED_VALUE"""),5.0)</f>
        <v>5</v>
      </c>
      <c r="J13" s="138">
        <f>IFERROR(__xludf.DUMMYFUNCTION("""COMPUTED_VALUE"""),5.0)</f>
        <v>5</v>
      </c>
      <c r="K13" s="138">
        <f>IFERROR(__xludf.DUMMYFUNCTION("""COMPUTED_VALUE"""),5.0)</f>
        <v>5</v>
      </c>
      <c r="L13" s="138">
        <v>35.0</v>
      </c>
      <c r="M13" s="140" t="str">
        <f>VLOOKUP(text(D13, "#"),'Master Table'!$A:$F, 6, FALSE)</f>
        <v>K-2</v>
      </c>
      <c r="N13" s="141" t="str">
        <f>IFERROR(__xludf.DUMMYFUNCTION("""COMPUTED_VALUE"""),"Performance explored themes of desperation and desire that could be expanded.")</f>
        <v>Performance explored themes of desperation and desire that could be expanded.</v>
      </c>
      <c r="O13" s="142" t="str">
        <f t="shared" si="1"/>
        <v/>
      </c>
      <c r="P13" s="143" t="str">
        <f>IF(ISNA(VLOOKUP(CONCAT(M13,C13), 'Judge Count DO NOT EDIT'!H:H, 1, FALSE)), "ERROR","")</f>
        <v/>
      </c>
      <c r="Q13" s="141"/>
      <c r="R13" s="143"/>
      <c r="S13" s="139" t="str">
        <f t="shared" si="2"/>
        <v>111911</v>
      </c>
      <c r="T13" s="141"/>
    </row>
    <row r="14">
      <c r="A14" s="137">
        <f>IFERROR(__xludf.DUMMYFUNCTION("""COMPUTED_VALUE"""),45352.579328321764)</f>
        <v>45352.57933</v>
      </c>
      <c r="B14" s="138" t="str">
        <f>IFERROR(__xludf.DUMMYFUNCTION("""COMPUTED_VALUE"""),"Dr.Soljour ")</f>
        <v>Dr.Soljour </v>
      </c>
      <c r="C14" s="138">
        <f>IFERROR(__xludf.DUMMYFUNCTION("""COMPUTED_VALUE"""),1106.0)</f>
        <v>1106</v>
      </c>
      <c r="D14" s="139">
        <f>IFERROR(__xludf.DUMMYFUNCTION("""COMPUTED_VALUE"""),12.0)</f>
        <v>12</v>
      </c>
      <c r="E14" s="138">
        <f>IFERROR(__xludf.DUMMYFUNCTION("""COMPUTED_VALUE"""),3.0)</f>
        <v>3</v>
      </c>
      <c r="F14" s="138">
        <f>IFERROR(__xludf.DUMMYFUNCTION("""COMPUTED_VALUE"""),3.0)</f>
        <v>3</v>
      </c>
      <c r="G14" s="138">
        <f>IFERROR(__xludf.DUMMYFUNCTION("""COMPUTED_VALUE"""),3.0)</f>
        <v>3</v>
      </c>
      <c r="H14" s="138">
        <f>IFERROR(__xludf.DUMMYFUNCTION("""COMPUTED_VALUE"""),4.0)</f>
        <v>4</v>
      </c>
      <c r="I14" s="138">
        <f>IFERROR(__xludf.DUMMYFUNCTION("""COMPUTED_VALUE"""),4.0)</f>
        <v>4</v>
      </c>
      <c r="J14" s="138">
        <f>IFERROR(__xludf.DUMMYFUNCTION("""COMPUTED_VALUE"""),4.0)</f>
        <v>4</v>
      </c>
      <c r="K14" s="138">
        <f>IFERROR(__xludf.DUMMYFUNCTION("""COMPUTED_VALUE"""),4.0)</f>
        <v>4</v>
      </c>
      <c r="L14" s="138">
        <v>25.0</v>
      </c>
      <c r="M14" s="140" t="str">
        <f>VLOOKUP(text(D14, "#"),'Master Table'!$A:$F, 6, FALSE)</f>
        <v>K-2</v>
      </c>
      <c r="N14" s="141" t="str">
        <f>IFERROR(__xludf.DUMMYFUNCTION("""COMPUTED_VALUE"""),"Students explored 4 contrasting movements and analyzed differences between dance as competition and dance as art. Through a series of demonstrations students explored each of the 4 movements and their self-realization process. ")</f>
        <v>Students explored 4 contrasting movements and analyzed differences between dance as competition and dance as art. Through a series of demonstrations students explored each of the 4 movements and their self-realization process. </v>
      </c>
      <c r="O14" s="142" t="str">
        <f t="shared" si="1"/>
        <v/>
      </c>
      <c r="P14" s="143" t="str">
        <f>IF(ISNA(VLOOKUP(CONCAT(M14,C14), 'Judge Count DO NOT EDIT'!H:H, 1, FALSE)), "ERROR","")</f>
        <v/>
      </c>
      <c r="Q14" s="141"/>
      <c r="R14" s="143"/>
      <c r="S14" s="139" t="str">
        <f t="shared" si="2"/>
        <v>110612</v>
      </c>
      <c r="T14" s="141"/>
    </row>
    <row r="15">
      <c r="A15" s="137">
        <f>IFERROR(__xludf.DUMMYFUNCTION("""COMPUTED_VALUE"""),45352.579940324074)</f>
        <v>45352.57994</v>
      </c>
      <c r="B15" s="138" t="str">
        <f>IFERROR(__xludf.DUMMYFUNCTION("""COMPUTED_VALUE"""),"Erik Valenzuela")</f>
        <v>Erik Valenzuela</v>
      </c>
      <c r="C15" s="138">
        <f>IFERROR(__xludf.DUMMYFUNCTION("""COMPUTED_VALUE"""),1128.0)</f>
        <v>1128</v>
      </c>
      <c r="D15" s="139">
        <f>IFERROR(__xludf.DUMMYFUNCTION("""COMPUTED_VALUE"""),12.0)</f>
        <v>12</v>
      </c>
      <c r="E15" s="138">
        <f>IFERROR(__xludf.DUMMYFUNCTION("""COMPUTED_VALUE"""),5.0)</f>
        <v>5</v>
      </c>
      <c r="F15" s="138">
        <f>IFERROR(__xludf.DUMMYFUNCTION("""COMPUTED_VALUE"""),5.0)</f>
        <v>5</v>
      </c>
      <c r="G15" s="138">
        <f>IFERROR(__xludf.DUMMYFUNCTION("""COMPUTED_VALUE"""),4.0)</f>
        <v>4</v>
      </c>
      <c r="H15" s="138">
        <f>IFERROR(__xludf.DUMMYFUNCTION("""COMPUTED_VALUE"""),4.0)</f>
        <v>4</v>
      </c>
      <c r="I15" s="138">
        <f>IFERROR(__xludf.DUMMYFUNCTION("""COMPUTED_VALUE"""),5.0)</f>
        <v>5</v>
      </c>
      <c r="J15" s="138">
        <f>IFERROR(__xludf.DUMMYFUNCTION("""COMPUTED_VALUE"""),5.0)</f>
        <v>5</v>
      </c>
      <c r="K15" s="138">
        <f>IFERROR(__xludf.DUMMYFUNCTION("""COMPUTED_VALUE"""),5.0)</f>
        <v>5</v>
      </c>
      <c r="L15" s="138">
        <v>33.0</v>
      </c>
      <c r="M15" s="140" t="str">
        <f>VLOOKUP(text(D15, "#"),'Master Table'!$A:$F, 6, FALSE)</f>
        <v>K-2</v>
      </c>
      <c r="N15" s="141" t="str">
        <f>IFERROR(__xludf.DUMMYFUNCTION("""COMPUTED_VALUE"""),"The students were very well organized and defined their movements in a simple manner. I liked how they explained things in the beginning then did their performance. Great choice of music and choice of outfits. Then they went into their evolution of their "&amp;"performance and worked out what they can improve. Great chemistry. Overall great performance. A few recommendations. One thing is to change the red from the background of the slides as it gets harder to see when the set lights are pointed at the screen. T"&amp;"he second is to always thank the audience after they ask questions like “thank you for your question”,  “I appreciate you asking that question”, and “thank you for sharing that insight”. Overall great work again.")</f>
        <v>The students were very well organized and defined their movements in a simple manner. I liked how they explained things in the beginning then did their performance. Great choice of music and choice of outfits. Then they went into their evolution of their performance and worked out what they can improve. Great chemistry. Overall great performance. A few recommendations. One thing is to change the red from the background of the slides as it gets harder to see when the set lights are pointed at the screen. The second is to always thank the audience after they ask questions like “thank you for your question”,  “I appreciate you asking that question”, and “thank you for sharing that insight”. Overall great work again.</v>
      </c>
      <c r="O15" s="142" t="str">
        <f t="shared" si="1"/>
        <v/>
      </c>
      <c r="P15" s="143" t="str">
        <f>IF(ISNA(VLOOKUP(CONCAT(M15,C15), 'Judge Count DO NOT EDIT'!H:H, 1, FALSE)), "ERROR","")</f>
        <v/>
      </c>
      <c r="Q15" s="141"/>
      <c r="R15" s="143"/>
      <c r="S15" s="139" t="str">
        <f t="shared" si="2"/>
        <v>112812</v>
      </c>
      <c r="T15" s="141"/>
    </row>
    <row r="16">
      <c r="A16" s="137">
        <f>IFERROR(__xludf.DUMMYFUNCTION("""COMPUTED_VALUE"""),45352.58341179398)</f>
        <v>45352.58341</v>
      </c>
      <c r="B16" s="138" t="str">
        <f>IFERROR(__xludf.DUMMYFUNCTION("""COMPUTED_VALUE"""),"Amor")</f>
        <v>Amor</v>
      </c>
      <c r="C16" s="138">
        <f>IFERROR(__xludf.DUMMYFUNCTION("""COMPUTED_VALUE"""),1071.0)</f>
        <v>1071</v>
      </c>
      <c r="D16" s="139">
        <f>IFERROR(__xludf.DUMMYFUNCTION("""COMPUTED_VALUE"""),12.0)</f>
        <v>12</v>
      </c>
      <c r="E16" s="138">
        <f>IFERROR(__xludf.DUMMYFUNCTION("""COMPUTED_VALUE"""),3.0)</f>
        <v>3</v>
      </c>
      <c r="F16" s="138">
        <f>IFERROR(__xludf.DUMMYFUNCTION("""COMPUTED_VALUE"""),3.0)</f>
        <v>3</v>
      </c>
      <c r="G16" s="138">
        <f>IFERROR(__xludf.DUMMYFUNCTION("""COMPUTED_VALUE"""),3.0)</f>
        <v>3</v>
      </c>
      <c r="H16" s="138">
        <f>IFERROR(__xludf.DUMMYFUNCTION("""COMPUTED_VALUE"""),3.0)</f>
        <v>3</v>
      </c>
      <c r="I16" s="138">
        <f>IFERROR(__xludf.DUMMYFUNCTION("""COMPUTED_VALUE"""),3.0)</f>
        <v>3</v>
      </c>
      <c r="J16" s="138">
        <f>IFERROR(__xludf.DUMMYFUNCTION("""COMPUTED_VALUE"""),3.0)</f>
        <v>3</v>
      </c>
      <c r="K16" s="138">
        <f>IFERROR(__xludf.DUMMYFUNCTION("""COMPUTED_VALUE"""),3.0)</f>
        <v>3</v>
      </c>
      <c r="L16" s="138">
        <v>21.0</v>
      </c>
      <c r="M16" s="140" t="str">
        <f>VLOOKUP(text(D16, "#"),'Master Table'!$A:$F, 6, FALSE)</f>
        <v>K-2</v>
      </c>
      <c r="N16" s="141" t="str">
        <f>IFERROR(__xludf.DUMMYFUNCTION("""COMPUTED_VALUE"""),"Great work!")</f>
        <v>Great work!</v>
      </c>
      <c r="O16" s="142" t="str">
        <f t="shared" si="1"/>
        <v/>
      </c>
      <c r="P16" s="143" t="str">
        <f>IF(ISNA(VLOOKUP(CONCAT(M16,C16), 'Judge Count DO NOT EDIT'!H:H, 1, FALSE)), "ERROR","")</f>
        <v/>
      </c>
      <c r="Q16" s="144"/>
      <c r="R16" s="143"/>
      <c r="S16" s="139" t="str">
        <f t="shared" si="2"/>
        <v>107112</v>
      </c>
      <c r="T16" s="141"/>
    </row>
    <row r="17">
      <c r="A17" s="137">
        <f>IFERROR(__xludf.DUMMYFUNCTION("""COMPUTED_VALUE"""),45352.598853449075)</f>
        <v>45352.59885</v>
      </c>
      <c r="B17" s="138" t="str">
        <f>IFERROR(__xludf.DUMMYFUNCTION("""COMPUTED_VALUE"""),"Dr. Soljour")</f>
        <v>Dr. Soljour</v>
      </c>
      <c r="C17" s="138">
        <f>IFERROR(__xludf.DUMMYFUNCTION("""COMPUTED_VALUE"""),1106.0)</f>
        <v>1106</v>
      </c>
      <c r="D17" s="139">
        <f>IFERROR(__xludf.DUMMYFUNCTION("""COMPUTED_VALUE"""),13.0)</f>
        <v>13</v>
      </c>
      <c r="E17" s="138">
        <f>IFERROR(__xludf.DUMMYFUNCTION("""COMPUTED_VALUE"""),4.0)</f>
        <v>4</v>
      </c>
      <c r="F17" s="138">
        <f>IFERROR(__xludf.DUMMYFUNCTION("""COMPUTED_VALUE"""),5.0)</f>
        <v>5</v>
      </c>
      <c r="G17" s="138">
        <f>IFERROR(__xludf.DUMMYFUNCTION("""COMPUTED_VALUE"""),5.0)</f>
        <v>5</v>
      </c>
      <c r="H17" s="138">
        <f>IFERROR(__xludf.DUMMYFUNCTION("""COMPUTED_VALUE"""),5.0)</f>
        <v>5</v>
      </c>
      <c r="I17" s="138">
        <f>IFERROR(__xludf.DUMMYFUNCTION("""COMPUTED_VALUE"""),5.0)</f>
        <v>5</v>
      </c>
      <c r="J17" s="138">
        <f>IFERROR(__xludf.DUMMYFUNCTION("""COMPUTED_VALUE"""),5.0)</f>
        <v>5</v>
      </c>
      <c r="K17" s="138">
        <f>IFERROR(__xludf.DUMMYFUNCTION("""COMPUTED_VALUE"""),4.0)</f>
        <v>4</v>
      </c>
      <c r="L17" s="138">
        <v>33.0</v>
      </c>
      <c r="M17" s="140" t="str">
        <f>VLOOKUP(text(D17, "#"),'Master Table'!$A:$F, 6, FALSE)</f>
        <v>K-2</v>
      </c>
      <c r="N17" s="141" t="str">
        <f>IFERROR(__xludf.DUMMYFUNCTION("""COMPUTED_VALUE"""),"Student brilliantly engaged breaking and ballet and leveraged the music to shift between styles. Rooted her personal experiences into selections for movement. Student framed her research as an exploration of culture, movement and historical origins of bre"&amp;"aking and ballet. A truly impactful and necessary performance for a much wider audience to see. ")</f>
        <v>Student brilliantly engaged breaking and ballet and leveraged the music to shift between styles. Rooted her personal experiences into selections for movement. Student framed her research as an exploration of culture, movement and historical origins of breaking and ballet. A truly impactful and necessary performance for a much wider audience to see. </v>
      </c>
      <c r="O17" s="142" t="str">
        <f t="shared" si="1"/>
        <v/>
      </c>
      <c r="P17" s="143" t="str">
        <f>IF(ISNA(VLOOKUP(CONCAT(M17,C17), 'Judge Count DO NOT EDIT'!H:H, 1, FALSE)), "ERROR","")</f>
        <v/>
      </c>
      <c r="Q17" s="141"/>
      <c r="R17" s="143"/>
      <c r="S17" s="139" t="str">
        <f t="shared" si="2"/>
        <v>110613</v>
      </c>
      <c r="T17" s="141"/>
    </row>
    <row r="18">
      <c r="A18" s="137">
        <f>IFERROR(__xludf.DUMMYFUNCTION("""COMPUTED_VALUE"""),45352.601033287036)</f>
        <v>45352.60103</v>
      </c>
      <c r="B18" s="138" t="str">
        <f>IFERROR(__xludf.DUMMYFUNCTION("""COMPUTED_VALUE"""),"Erik Valenzuela")</f>
        <v>Erik Valenzuela</v>
      </c>
      <c r="C18" s="138">
        <f>IFERROR(__xludf.DUMMYFUNCTION("""COMPUTED_VALUE"""),1128.0)</f>
        <v>1128</v>
      </c>
      <c r="D18" s="139">
        <f>IFERROR(__xludf.DUMMYFUNCTION("""COMPUTED_VALUE"""),13.0)</f>
        <v>13</v>
      </c>
      <c r="E18" s="138">
        <f>IFERROR(__xludf.DUMMYFUNCTION("""COMPUTED_VALUE"""),5.0)</f>
        <v>5</v>
      </c>
      <c r="F18" s="138">
        <f>IFERROR(__xludf.DUMMYFUNCTION("""COMPUTED_VALUE"""),5.0)</f>
        <v>5</v>
      </c>
      <c r="G18" s="138">
        <f>IFERROR(__xludf.DUMMYFUNCTION("""COMPUTED_VALUE"""),5.0)</f>
        <v>5</v>
      </c>
      <c r="H18" s="138">
        <f>IFERROR(__xludf.DUMMYFUNCTION("""COMPUTED_VALUE"""),5.0)</f>
        <v>5</v>
      </c>
      <c r="I18" s="138">
        <f>IFERROR(__xludf.DUMMYFUNCTION("""COMPUTED_VALUE"""),5.0)</f>
        <v>5</v>
      </c>
      <c r="J18" s="138">
        <f>IFERROR(__xludf.DUMMYFUNCTION("""COMPUTED_VALUE"""),5.0)</f>
        <v>5</v>
      </c>
      <c r="K18" s="138">
        <f>IFERROR(__xludf.DUMMYFUNCTION("""COMPUTED_VALUE"""),5.0)</f>
        <v>5</v>
      </c>
      <c r="L18" s="138">
        <v>35.0</v>
      </c>
      <c r="M18" s="140" t="str">
        <f>VLOOKUP(text(D18, "#"),'Master Table'!$A:$F, 6, FALSE)</f>
        <v>K-2</v>
      </c>
      <c r="N18" s="141" t="str">
        <f>IFERROR(__xludf.DUMMYFUNCTION("""COMPUTED_VALUE"""),"Chasle performance piece was inspirational and poetic. She tied in her past to her dance experience at SDSU. Her history and technique connected well. I enjoyed her use of music and transition. Very elegant and profound performance. ")</f>
        <v>Chasle performance piece was inspirational and poetic. She tied in her past to her dance experience at SDSU. Her history and technique connected well. I enjoyed her use of music and transition. Very elegant and profound performance. </v>
      </c>
      <c r="O18" s="142" t="str">
        <f t="shared" si="1"/>
        <v/>
      </c>
      <c r="P18" s="143" t="str">
        <f>IF(ISNA(VLOOKUP(CONCAT(M18,C18), 'Judge Count DO NOT EDIT'!H:H, 1, FALSE)), "ERROR","")</f>
        <v/>
      </c>
      <c r="Q18" s="141"/>
      <c r="R18" s="143"/>
      <c r="S18" s="139" t="str">
        <f t="shared" si="2"/>
        <v>112813</v>
      </c>
      <c r="T18" s="141"/>
    </row>
    <row r="19">
      <c r="A19" s="137">
        <f>IFERROR(__xludf.DUMMYFUNCTION("""COMPUTED_VALUE"""),45352.61898134259)</f>
        <v>45352.61898</v>
      </c>
      <c r="B19" s="138" t="str">
        <f>IFERROR(__xludf.DUMMYFUNCTION("""COMPUTED_VALUE"""),"Dr. Soljour ")</f>
        <v>Dr. Soljour </v>
      </c>
      <c r="C19" s="138">
        <f>IFERROR(__xludf.DUMMYFUNCTION("""COMPUTED_VALUE"""),1106.0)</f>
        <v>1106</v>
      </c>
      <c r="D19" s="139">
        <f>IFERROR(__xludf.DUMMYFUNCTION("""COMPUTED_VALUE"""),14.0)</f>
        <v>14</v>
      </c>
      <c r="E19" s="138">
        <f>IFERROR(__xludf.DUMMYFUNCTION("""COMPUTED_VALUE"""),4.0)</f>
        <v>4</v>
      </c>
      <c r="F19" s="138">
        <f>IFERROR(__xludf.DUMMYFUNCTION("""COMPUTED_VALUE"""),4.0)</f>
        <v>4</v>
      </c>
      <c r="G19" s="138">
        <f>IFERROR(__xludf.DUMMYFUNCTION("""COMPUTED_VALUE"""),3.0)</f>
        <v>3</v>
      </c>
      <c r="H19" s="138">
        <f>IFERROR(__xludf.DUMMYFUNCTION("""COMPUTED_VALUE"""),4.0)</f>
        <v>4</v>
      </c>
      <c r="I19" s="138">
        <f>IFERROR(__xludf.DUMMYFUNCTION("""COMPUTED_VALUE"""),4.0)</f>
        <v>4</v>
      </c>
      <c r="J19" s="138">
        <f>IFERROR(__xludf.DUMMYFUNCTION("""COMPUTED_VALUE"""),3.0)</f>
        <v>3</v>
      </c>
      <c r="K19" s="138">
        <f>IFERROR(__xludf.DUMMYFUNCTION("""COMPUTED_VALUE"""),4.0)</f>
        <v>4</v>
      </c>
      <c r="L19" s="138">
        <v>26.0</v>
      </c>
      <c r="M19" s="140" t="str">
        <f>VLOOKUP(text(D19, "#"),'Master Table'!$A:$F, 6, FALSE)</f>
        <v>K-2</v>
      </c>
      <c r="N19" s="141" t="str">
        <f>IFERROR(__xludf.DUMMYFUNCTION("""COMPUTED_VALUE"""),"Student is exploring the idea of being “in-between,” as an extension of their identity of being Mexican and American. Through the use of language, dance and conceptions of the “borderlands,” student is bridging the gap between these 2 divided selves. ")</f>
        <v>Student is exploring the idea of being “in-between,” as an extension of their identity of being Mexican and American. Through the use of language, dance and conceptions of the “borderlands,” student is bridging the gap between these 2 divided selves. </v>
      </c>
      <c r="O19" s="142" t="str">
        <f t="shared" si="1"/>
        <v/>
      </c>
      <c r="P19" s="143" t="str">
        <f>IF(ISNA(VLOOKUP(CONCAT(M19,C19), 'Judge Count DO NOT EDIT'!H:H, 1, FALSE)), "ERROR","")</f>
        <v/>
      </c>
      <c r="Q19" s="141"/>
      <c r="R19" s="143"/>
      <c r="S19" s="139" t="str">
        <f t="shared" si="2"/>
        <v>110614</v>
      </c>
      <c r="T19" s="141"/>
    </row>
    <row r="20">
      <c r="A20" s="137">
        <f>IFERROR(__xludf.DUMMYFUNCTION("""COMPUTED_VALUE"""),45352.62455961805)</f>
        <v>45352.62456</v>
      </c>
      <c r="B20" s="138" t="str">
        <f>IFERROR(__xludf.DUMMYFUNCTION("""COMPUTED_VALUE"""),"Erik Valenzuela")</f>
        <v>Erik Valenzuela</v>
      </c>
      <c r="C20" s="138">
        <f>IFERROR(__xludf.DUMMYFUNCTION("""COMPUTED_VALUE"""),1128.0)</f>
        <v>1128</v>
      </c>
      <c r="D20" s="139">
        <f>IFERROR(__xludf.DUMMYFUNCTION("""COMPUTED_VALUE"""),14.0)</f>
        <v>14</v>
      </c>
      <c r="E20" s="138">
        <f>IFERROR(__xludf.DUMMYFUNCTION("""COMPUTED_VALUE"""),5.0)</f>
        <v>5</v>
      </c>
      <c r="F20" s="138">
        <f>IFERROR(__xludf.DUMMYFUNCTION("""COMPUTED_VALUE"""),5.0)</f>
        <v>5</v>
      </c>
      <c r="G20" s="138">
        <f>IFERROR(__xludf.DUMMYFUNCTION("""COMPUTED_VALUE"""),4.0)</f>
        <v>4</v>
      </c>
      <c r="H20" s="138">
        <f>IFERROR(__xludf.DUMMYFUNCTION("""COMPUTED_VALUE"""),4.0)</f>
        <v>4</v>
      </c>
      <c r="I20" s="138">
        <f>IFERROR(__xludf.DUMMYFUNCTION("""COMPUTED_VALUE"""),5.0)</f>
        <v>5</v>
      </c>
      <c r="J20" s="138">
        <f>IFERROR(__xludf.DUMMYFUNCTION("""COMPUTED_VALUE"""),5.0)</f>
        <v>5</v>
      </c>
      <c r="K20" s="138">
        <f>IFERROR(__xludf.DUMMYFUNCTION("""COMPUTED_VALUE"""),5.0)</f>
        <v>5</v>
      </c>
      <c r="L20" s="138">
        <v>33.0</v>
      </c>
      <c r="M20" s="140" t="str">
        <f>VLOOKUP(text(D20, "#"),'Master Table'!$A:$F, 6, FALSE)</f>
        <v>K-2</v>
      </c>
      <c r="N20" s="141" t="str">
        <f>IFERROR(__xludf.DUMMYFUNCTION("""COMPUTED_VALUE"""),"Alyssa did a wonderful connection of existing with her performance drawing on her Mexican and American background. She acknowledged her upbringing which I loved. It allowed me to understand her creative process. Her dance making was very interesting and m"&amp;"indful of her authenticity and individuality. I liked the reference of Borderlands. If it’s possible, I would like to see more research on literature. Qualities of moment was also informative. Not sure if music would fit but perhaps the performance can ev"&amp;"olve to have music. That’s just my thought and didnt change the performance. It was great with or without. Overall great work and thank you for sharing.")</f>
        <v>Alyssa did a wonderful connection of existing with her performance drawing on her Mexican and American background. She acknowledged her upbringing which I loved. It allowed me to understand her creative process. Her dance making was very interesting and mindful of her authenticity and individuality. I liked the reference of Borderlands. If it’s possible, I would like to see more research on literature. Qualities of moment was also informative. Not sure if music would fit but perhaps the performance can evolve to have music. That’s just my thought and didnt change the performance. It was great with or without. Overall great work and thank you for sharing.</v>
      </c>
      <c r="O20" s="142" t="str">
        <f t="shared" si="1"/>
        <v/>
      </c>
      <c r="P20" s="143" t="str">
        <f>IF(ISNA(VLOOKUP(CONCAT(M20,C20), 'Judge Count DO NOT EDIT'!H:H, 1, FALSE)), "ERROR","")</f>
        <v/>
      </c>
      <c r="Q20" s="141"/>
      <c r="R20" s="143"/>
      <c r="S20" s="139" t="str">
        <f t="shared" si="2"/>
        <v>112814</v>
      </c>
      <c r="T20" s="141"/>
    </row>
    <row r="21">
      <c r="A21" s="137">
        <f>IFERROR(__xludf.DUMMYFUNCTION("""COMPUTED_VALUE"""),45352.593295914354)</f>
        <v>45352.5933</v>
      </c>
      <c r="B21" s="138" t="str">
        <f>IFERROR(__xludf.DUMMYFUNCTION("""COMPUTED_VALUE"""),"Katie Schenkel")</f>
        <v>Katie Schenkel</v>
      </c>
      <c r="C21" s="138">
        <f>IFERROR(__xludf.DUMMYFUNCTION("""COMPUTED_VALUE"""),1154.0)</f>
        <v>1154</v>
      </c>
      <c r="D21" s="139">
        <f>IFERROR(__xludf.DUMMYFUNCTION("""COMPUTED_VALUE"""),50.0)</f>
        <v>50</v>
      </c>
      <c r="E21" s="138">
        <f>IFERROR(__xludf.DUMMYFUNCTION("""COMPUTED_VALUE"""),5.0)</f>
        <v>5</v>
      </c>
      <c r="F21" s="138">
        <f>IFERROR(__xludf.DUMMYFUNCTION("""COMPUTED_VALUE"""),4.0)</f>
        <v>4</v>
      </c>
      <c r="G21" s="138">
        <f>IFERROR(__xludf.DUMMYFUNCTION("""COMPUTED_VALUE"""),5.0)</f>
        <v>5</v>
      </c>
      <c r="H21" s="138">
        <f>IFERROR(__xludf.DUMMYFUNCTION("""COMPUTED_VALUE"""),5.0)</f>
        <v>5</v>
      </c>
      <c r="I21" s="138">
        <f>IFERROR(__xludf.DUMMYFUNCTION("""COMPUTED_VALUE"""),5.0)</f>
        <v>5</v>
      </c>
      <c r="J21" s="138">
        <f>IFERROR(__xludf.DUMMYFUNCTION("""COMPUTED_VALUE"""),5.0)</f>
        <v>5</v>
      </c>
      <c r="K21" s="138">
        <f>IFERROR(__xludf.DUMMYFUNCTION("""COMPUTED_VALUE"""),5.0)</f>
        <v>5</v>
      </c>
      <c r="L21" s="138">
        <v>34.0</v>
      </c>
      <c r="M21" s="140" t="str">
        <f>VLOOKUP(text(D21, "#"),'Master Table'!$A:$F, 6, FALSE)</f>
        <v>E-1</v>
      </c>
      <c r="N21" s="141" t="str">
        <f>IFERROR(__xludf.DUMMYFUNCTION("""COMPUTED_VALUE"""),"This is a a critical and important project to embark on. I hope to see the results at the conference next year! ")</f>
        <v>This is a a critical and important project to embark on. I hope to see the results at the conference next year! </v>
      </c>
      <c r="O21" s="142" t="str">
        <f t="shared" si="1"/>
        <v/>
      </c>
      <c r="P21" s="143" t="str">
        <f>IF(ISNA(VLOOKUP(CONCAT(M21,C21), 'Judge Count DO NOT EDIT'!H:H, 1, FALSE)), "ERROR","")</f>
        <v/>
      </c>
      <c r="Q21" s="141"/>
      <c r="R21" s="143"/>
      <c r="S21" s="139" t="str">
        <f t="shared" si="2"/>
        <v>115450</v>
      </c>
      <c r="T21" s="141"/>
    </row>
    <row r="22">
      <c r="A22" s="137">
        <f>IFERROR(__xludf.DUMMYFUNCTION("""COMPUTED_VALUE"""),45352.59332489583)</f>
        <v>45352.59332</v>
      </c>
      <c r="B22" s="138" t="str">
        <f>IFERROR(__xludf.DUMMYFUNCTION("""COMPUTED_VALUE"""),"Amy")</f>
        <v>Amy</v>
      </c>
      <c r="C22" s="138">
        <f>IFERROR(__xludf.DUMMYFUNCTION("""COMPUTED_VALUE"""),1055.0)</f>
        <v>1055</v>
      </c>
      <c r="D22" s="139">
        <f>IFERROR(__xludf.DUMMYFUNCTION("""COMPUTED_VALUE"""),50.0)</f>
        <v>50</v>
      </c>
      <c r="E22" s="138">
        <f>IFERROR(__xludf.DUMMYFUNCTION("""COMPUTED_VALUE"""),4.0)</f>
        <v>4</v>
      </c>
      <c r="F22" s="138">
        <f>IFERROR(__xludf.DUMMYFUNCTION("""COMPUTED_VALUE"""),4.0)</f>
        <v>4</v>
      </c>
      <c r="G22" s="138">
        <f>IFERROR(__xludf.DUMMYFUNCTION("""COMPUTED_VALUE"""),4.0)</f>
        <v>4</v>
      </c>
      <c r="H22" s="138">
        <f>IFERROR(__xludf.DUMMYFUNCTION("""COMPUTED_VALUE"""),4.0)</f>
        <v>4</v>
      </c>
      <c r="I22" s="138">
        <f>IFERROR(__xludf.DUMMYFUNCTION("""COMPUTED_VALUE"""),4.0)</f>
        <v>4</v>
      </c>
      <c r="J22" s="138">
        <f>IFERROR(__xludf.DUMMYFUNCTION("""COMPUTED_VALUE"""),3.0)</f>
        <v>3</v>
      </c>
      <c r="K22" s="138">
        <f>IFERROR(__xludf.DUMMYFUNCTION("""COMPUTED_VALUE"""),4.0)</f>
        <v>4</v>
      </c>
      <c r="L22" s="138">
        <v>27.0</v>
      </c>
      <c r="M22" s="140" t="str">
        <f>VLOOKUP(text(D22, "#"),'Master Table'!$A:$F, 6, FALSE)</f>
        <v>E-1</v>
      </c>
      <c r="N22" s="141" t="str">
        <f>IFERROR(__xludf.DUMMYFUNCTION("""COMPUTED_VALUE"""),"Great and important project. The use of the google survey will be so important! I look forward to seeing results ")</f>
        <v>Great and important project. The use of the google survey will be so important! I look forward to seeing results </v>
      </c>
      <c r="O22" s="142" t="str">
        <f t="shared" si="1"/>
        <v/>
      </c>
      <c r="P22" s="143" t="str">
        <f>IF(ISNA(VLOOKUP(CONCAT(M22,C22), 'Judge Count DO NOT EDIT'!H:H, 1, FALSE)), "ERROR","")</f>
        <v/>
      </c>
      <c r="Q22" s="141"/>
      <c r="R22" s="143"/>
      <c r="S22" s="139" t="str">
        <f t="shared" si="2"/>
        <v>105550</v>
      </c>
      <c r="T22" s="141"/>
    </row>
    <row r="23">
      <c r="A23" s="137">
        <f>IFERROR(__xludf.DUMMYFUNCTION("""COMPUTED_VALUE"""),45352.59389900463)</f>
        <v>45352.5939</v>
      </c>
      <c r="B23" s="138" t="str">
        <f>IFERROR(__xludf.DUMMYFUNCTION("""COMPUTED_VALUE"""),"Zena Hovda ")</f>
        <v>Zena Hovda </v>
      </c>
      <c r="C23" s="138">
        <f>IFERROR(__xludf.DUMMYFUNCTION("""COMPUTED_VALUE"""),1147.0)</f>
        <v>1147</v>
      </c>
      <c r="D23" s="139">
        <f>IFERROR(__xludf.DUMMYFUNCTION("""COMPUTED_VALUE"""),50.0)</f>
        <v>50</v>
      </c>
      <c r="E23" s="138">
        <f>IFERROR(__xludf.DUMMYFUNCTION("""COMPUTED_VALUE"""),4.0)</f>
        <v>4</v>
      </c>
      <c r="F23" s="138">
        <f>IFERROR(__xludf.DUMMYFUNCTION("""COMPUTED_VALUE"""),3.0)</f>
        <v>3</v>
      </c>
      <c r="G23" s="138">
        <f>IFERROR(__xludf.DUMMYFUNCTION("""COMPUTED_VALUE"""),4.0)</f>
        <v>4</v>
      </c>
      <c r="H23" s="138">
        <f>IFERROR(__xludf.DUMMYFUNCTION("""COMPUTED_VALUE"""),3.0)</f>
        <v>3</v>
      </c>
      <c r="I23" s="138">
        <f>IFERROR(__xludf.DUMMYFUNCTION("""COMPUTED_VALUE"""),3.0)</f>
        <v>3</v>
      </c>
      <c r="J23" s="138">
        <f>IFERROR(__xludf.DUMMYFUNCTION("""COMPUTED_VALUE"""),3.0)</f>
        <v>3</v>
      </c>
      <c r="K23" s="138">
        <f>IFERROR(__xludf.DUMMYFUNCTION("""COMPUTED_VALUE"""),3.0)</f>
        <v>3</v>
      </c>
      <c r="L23" s="138">
        <v>23.0</v>
      </c>
      <c r="M23" s="140" t="str">
        <f>VLOOKUP(text(D23, "#"),'Master Table'!$A:$F, 6, FALSE)</f>
        <v>E-1</v>
      </c>
      <c r="N23" s="141" t="str">
        <f>IFERROR(__xludf.DUMMYFUNCTION("""COMPUTED_VALUE"""),"I thought the topic was really important. I recommend slowing down a little. The slides were really great! ")</f>
        <v>I thought the topic was really important. I recommend slowing down a little. The slides were really great! </v>
      </c>
      <c r="O23" s="142" t="str">
        <f t="shared" si="1"/>
        <v/>
      </c>
      <c r="P23" s="143" t="str">
        <f>IF(ISNA(VLOOKUP(CONCAT(M23,C23), 'Judge Count DO NOT EDIT'!H:H, 1, FALSE)), "ERROR","")</f>
        <v/>
      </c>
      <c r="Q23" s="141"/>
      <c r="R23" s="143"/>
      <c r="S23" s="139" t="str">
        <f t="shared" si="2"/>
        <v>114750</v>
      </c>
      <c r="T23" s="141"/>
    </row>
    <row r="24">
      <c r="A24" s="137">
        <f>IFERROR(__xludf.DUMMYFUNCTION("""COMPUTED_VALUE"""),45352.60929761574)</f>
        <v>45352.6093</v>
      </c>
      <c r="B24" s="138" t="str">
        <f>IFERROR(__xludf.DUMMYFUNCTION("""COMPUTED_VALUE"""),"brie iatarola")</f>
        <v>brie iatarola</v>
      </c>
      <c r="C24" s="138">
        <f>IFERROR(__xludf.DUMMYFUNCTION("""COMPUTED_VALUE"""),1234.0)</f>
        <v>1234</v>
      </c>
      <c r="D24" s="139">
        <f>IFERROR(__xludf.DUMMYFUNCTION("""COMPUTED_VALUE"""),50.0)</f>
        <v>50</v>
      </c>
      <c r="E24" s="138">
        <f>IFERROR(__xludf.DUMMYFUNCTION("""COMPUTED_VALUE"""),3.0)</f>
        <v>3</v>
      </c>
      <c r="F24" s="138">
        <f>IFERROR(__xludf.DUMMYFUNCTION("""COMPUTED_VALUE"""),4.0)</f>
        <v>4</v>
      </c>
      <c r="G24" s="138">
        <f>IFERROR(__xludf.DUMMYFUNCTION("""COMPUTED_VALUE"""),4.0)</f>
        <v>4</v>
      </c>
      <c r="H24" s="138">
        <f>IFERROR(__xludf.DUMMYFUNCTION("""COMPUTED_VALUE"""),3.0)</f>
        <v>3</v>
      </c>
      <c r="I24" s="138">
        <f>IFERROR(__xludf.DUMMYFUNCTION("""COMPUTED_VALUE"""),4.0)</f>
        <v>4</v>
      </c>
      <c r="J24" s="138">
        <f>IFERROR(__xludf.DUMMYFUNCTION("""COMPUTED_VALUE"""),3.0)</f>
        <v>3</v>
      </c>
      <c r="K24" s="138">
        <f>IFERROR(__xludf.DUMMYFUNCTION("""COMPUTED_VALUE"""),4.0)</f>
        <v>4</v>
      </c>
      <c r="L24" s="138">
        <v>25.0</v>
      </c>
      <c r="M24" s="140" t="str">
        <f>VLOOKUP(text(D24, "#"),'Master Table'!$A:$F, 6, FALSE)</f>
        <v>E-1</v>
      </c>
      <c r="N24" s="141" t="str">
        <f>IFERROR(__xludf.DUMMYFUNCTION("""COMPUTED_VALUE"""),"I was curious to know how student researchers’ experiences (positionality) influenced the research design and question. The research question is strong and important. I’m unaware of recent academic studies that explore gentrification specifically in San D"&amp;"iego. With anonymous surveys, what will the group do if there is a low response rate that does not yield significant data? Will there be fieldwork that involves the communities currently most impacted by gentrification, and where in SD are those communiti"&amp;"es?")</f>
        <v>I was curious to know how student researchers’ experiences (positionality) influenced the research design and question. The research question is strong and important. I’m unaware of recent academic studies that explore gentrification specifically in San Diego. With anonymous surveys, what will the group do if there is a low response rate that does not yield significant data? Will there be fieldwork that involves the communities currently most impacted by gentrification, and where in SD are those communities?</v>
      </c>
      <c r="O24" s="142" t="str">
        <f t="shared" si="1"/>
        <v/>
      </c>
      <c r="P24" s="143" t="str">
        <f>IF(ISNA(VLOOKUP(CONCAT(M24,C24), 'Judge Count DO NOT EDIT'!H:H, 1, FALSE)), "ERROR","")</f>
        <v/>
      </c>
      <c r="Q24" s="141"/>
      <c r="R24" s="143"/>
      <c r="S24" s="139" t="str">
        <f t="shared" si="2"/>
        <v>123450</v>
      </c>
      <c r="T24" s="141"/>
    </row>
    <row r="25">
      <c r="A25" s="137">
        <f>IFERROR(__xludf.DUMMYFUNCTION("""COMPUTED_VALUE"""),45352.59652648148)</f>
        <v>45352.59653</v>
      </c>
      <c r="B25" s="138" t="str">
        <f>IFERROR(__xludf.DUMMYFUNCTION("""COMPUTED_VALUE"""),"Amy")</f>
        <v>Amy</v>
      </c>
      <c r="C25" s="138">
        <f>IFERROR(__xludf.DUMMYFUNCTION("""COMPUTED_VALUE"""),1055.0)</f>
        <v>1055</v>
      </c>
      <c r="D25" s="139">
        <f>IFERROR(__xludf.DUMMYFUNCTION("""COMPUTED_VALUE"""),51.0)</f>
        <v>51</v>
      </c>
      <c r="E25" s="138">
        <f>IFERROR(__xludf.DUMMYFUNCTION("""COMPUTED_VALUE"""),4.0)</f>
        <v>4</v>
      </c>
      <c r="F25" s="138">
        <f>IFERROR(__xludf.DUMMYFUNCTION("""COMPUTED_VALUE"""),3.0)</f>
        <v>3</v>
      </c>
      <c r="G25" s="138">
        <f>IFERROR(__xludf.DUMMYFUNCTION("""COMPUTED_VALUE"""),4.0)</f>
        <v>4</v>
      </c>
      <c r="H25" s="138">
        <f>IFERROR(__xludf.DUMMYFUNCTION("""COMPUTED_VALUE"""),4.0)</f>
        <v>4</v>
      </c>
      <c r="I25" s="138">
        <f>IFERROR(__xludf.DUMMYFUNCTION("""COMPUTED_VALUE"""),4.0)</f>
        <v>4</v>
      </c>
      <c r="J25" s="138">
        <f>IFERROR(__xludf.DUMMYFUNCTION("""COMPUTED_VALUE"""),4.0)</f>
        <v>4</v>
      </c>
      <c r="K25" s="138">
        <f>IFERROR(__xludf.DUMMYFUNCTION("""COMPUTED_VALUE"""),4.0)</f>
        <v>4</v>
      </c>
      <c r="L25" s="138">
        <v>27.0</v>
      </c>
      <c r="M25" s="140" t="str">
        <f>VLOOKUP(text(D25, "#"),'Master Table'!$A:$F, 6, FALSE)</f>
        <v>E-1</v>
      </c>
      <c r="N25" s="141" t="str">
        <f>IFERROR(__xludf.DUMMYFUNCTION("""COMPUTED_VALUE"""),"Great research project!")</f>
        <v>Great research project!</v>
      </c>
      <c r="O25" s="142" t="str">
        <f t="shared" si="1"/>
        <v/>
      </c>
      <c r="P25" s="143" t="str">
        <f>IF(ISNA(VLOOKUP(CONCAT(M25,C25), 'Judge Count DO NOT EDIT'!H:H, 1, FALSE)), "ERROR","")</f>
        <v/>
      </c>
      <c r="Q25" s="141"/>
      <c r="R25" s="143"/>
      <c r="S25" s="139" t="str">
        <f t="shared" si="2"/>
        <v>105551</v>
      </c>
      <c r="T25" s="141"/>
    </row>
    <row r="26">
      <c r="A26" s="137">
        <f>IFERROR(__xludf.DUMMYFUNCTION("""COMPUTED_VALUE"""),45352.59691275463)</f>
        <v>45352.59691</v>
      </c>
      <c r="B26" s="138" t="str">
        <f>IFERROR(__xludf.DUMMYFUNCTION("""COMPUTED_VALUE"""),"Katie Schenkel")</f>
        <v>Katie Schenkel</v>
      </c>
      <c r="C26" s="138">
        <f>IFERROR(__xludf.DUMMYFUNCTION("""COMPUTED_VALUE"""),1154.0)</f>
        <v>1154</v>
      </c>
      <c r="D26" s="139">
        <f>IFERROR(__xludf.DUMMYFUNCTION("""COMPUTED_VALUE"""),51.0)</f>
        <v>51</v>
      </c>
      <c r="E26" s="138">
        <f>IFERROR(__xludf.DUMMYFUNCTION("""COMPUTED_VALUE"""),4.0)</f>
        <v>4</v>
      </c>
      <c r="F26" s="138">
        <f>IFERROR(__xludf.DUMMYFUNCTION("""COMPUTED_VALUE"""),4.0)</f>
        <v>4</v>
      </c>
      <c r="G26" s="138">
        <f>IFERROR(__xludf.DUMMYFUNCTION("""COMPUTED_VALUE"""),5.0)</f>
        <v>5</v>
      </c>
      <c r="H26" s="138">
        <f>IFERROR(__xludf.DUMMYFUNCTION("""COMPUTED_VALUE"""),4.0)</f>
        <v>4</v>
      </c>
      <c r="I26" s="138">
        <f>IFERROR(__xludf.DUMMYFUNCTION("""COMPUTED_VALUE"""),5.0)</f>
        <v>5</v>
      </c>
      <c r="J26" s="138">
        <f>IFERROR(__xludf.DUMMYFUNCTION("""COMPUTED_VALUE"""),5.0)</f>
        <v>5</v>
      </c>
      <c r="K26" s="138">
        <f>IFERROR(__xludf.DUMMYFUNCTION("""COMPUTED_VALUE"""),5.0)</f>
        <v>5</v>
      </c>
      <c r="L26" s="138">
        <v>32.0</v>
      </c>
      <c r="M26" s="140" t="str">
        <f>VLOOKUP(text(D26, "#"),'Master Table'!$A:$F, 6, FALSE)</f>
        <v>E-1</v>
      </c>
      <c r="N26" s="141" t="str">
        <f>IFERROR(__xludf.DUMMYFUNCTION("""COMPUTED_VALUE"""),"This is an important topic that matters! I’m exciting for you to do this work!")</f>
        <v>This is an important topic that matters! I’m exciting for you to do this work!</v>
      </c>
      <c r="O26" s="142" t="str">
        <f t="shared" si="1"/>
        <v/>
      </c>
      <c r="P26" s="143" t="str">
        <f>IF(ISNA(VLOOKUP(CONCAT(M26,C26), 'Judge Count DO NOT EDIT'!H:H, 1, FALSE)), "ERROR","")</f>
        <v/>
      </c>
      <c r="Q26" s="144"/>
      <c r="R26" s="143"/>
      <c r="S26" s="139" t="str">
        <f t="shared" si="2"/>
        <v>115451</v>
      </c>
      <c r="T26" s="141"/>
    </row>
    <row r="27">
      <c r="A27" s="137">
        <f>IFERROR(__xludf.DUMMYFUNCTION("""COMPUTED_VALUE"""),45352.59721050926)</f>
        <v>45352.59721</v>
      </c>
      <c r="B27" s="138" t="str">
        <f>IFERROR(__xludf.DUMMYFUNCTION("""COMPUTED_VALUE"""),"Zena Hovda ")</f>
        <v>Zena Hovda </v>
      </c>
      <c r="C27" s="138">
        <f>IFERROR(__xludf.DUMMYFUNCTION("""COMPUTED_VALUE"""),1147.0)</f>
        <v>1147</v>
      </c>
      <c r="D27" s="139">
        <f>IFERROR(__xludf.DUMMYFUNCTION("""COMPUTED_VALUE"""),51.0)</f>
        <v>51</v>
      </c>
      <c r="E27" s="138">
        <f>IFERROR(__xludf.DUMMYFUNCTION("""COMPUTED_VALUE"""),4.0)</f>
        <v>4</v>
      </c>
      <c r="F27" s="138">
        <f>IFERROR(__xludf.DUMMYFUNCTION("""COMPUTED_VALUE"""),4.0)</f>
        <v>4</v>
      </c>
      <c r="G27" s="138">
        <f>IFERROR(__xludf.DUMMYFUNCTION("""COMPUTED_VALUE"""),4.0)</f>
        <v>4</v>
      </c>
      <c r="H27" s="138">
        <f>IFERROR(__xludf.DUMMYFUNCTION("""COMPUTED_VALUE"""),3.0)</f>
        <v>3</v>
      </c>
      <c r="I27" s="138">
        <f>IFERROR(__xludf.DUMMYFUNCTION("""COMPUTED_VALUE"""),3.0)</f>
        <v>3</v>
      </c>
      <c r="J27" s="138">
        <f>IFERROR(__xludf.DUMMYFUNCTION("""COMPUTED_VALUE"""),3.0)</f>
        <v>3</v>
      </c>
      <c r="K27" s="138">
        <f>IFERROR(__xludf.DUMMYFUNCTION("""COMPUTED_VALUE"""),3.0)</f>
        <v>3</v>
      </c>
      <c r="L27" s="138">
        <v>24.0</v>
      </c>
      <c r="M27" s="140" t="str">
        <f>VLOOKUP(text(D27, "#"),'Master Table'!$A:$F, 6, FALSE)</f>
        <v>E-1</v>
      </c>
      <c r="N27" s="141" t="str">
        <f>IFERROR(__xludf.DUMMYFUNCTION("""COMPUTED_VALUE"""),"Interesting topic! I would love to learn how this affects their outcomes in athletic competition. ")</f>
        <v>Interesting topic! I would love to learn how this affects their outcomes in athletic competition. </v>
      </c>
      <c r="O27" s="142" t="str">
        <f t="shared" si="1"/>
        <v/>
      </c>
      <c r="P27" s="143" t="str">
        <f>IF(ISNA(VLOOKUP(CONCAT(M27,C27), 'Judge Count DO NOT EDIT'!H:H, 1, FALSE)), "ERROR","")</f>
        <v/>
      </c>
      <c r="Q27" s="141"/>
      <c r="R27" s="143"/>
      <c r="S27" s="139" t="str">
        <f t="shared" si="2"/>
        <v>114751</v>
      </c>
      <c r="T27" s="141"/>
    </row>
    <row r="28">
      <c r="A28" s="137">
        <f>IFERROR(__xludf.DUMMYFUNCTION("""COMPUTED_VALUE"""),45352.615388148144)</f>
        <v>45352.61539</v>
      </c>
      <c r="B28" s="138" t="str">
        <f>IFERROR(__xludf.DUMMYFUNCTION("""COMPUTED_VALUE"""),"brie iatarola")</f>
        <v>brie iatarola</v>
      </c>
      <c r="C28" s="138">
        <f>IFERROR(__xludf.DUMMYFUNCTION("""COMPUTED_VALUE"""),1234.0)</f>
        <v>1234</v>
      </c>
      <c r="D28" s="139">
        <f>IFERROR(__xludf.DUMMYFUNCTION("""COMPUTED_VALUE"""),51.0)</f>
        <v>51</v>
      </c>
      <c r="E28" s="138">
        <f>IFERROR(__xludf.DUMMYFUNCTION("""COMPUTED_VALUE"""),4.0)</f>
        <v>4</v>
      </c>
      <c r="F28" s="138">
        <f>IFERROR(__xludf.DUMMYFUNCTION("""COMPUTED_VALUE"""),4.0)</f>
        <v>4</v>
      </c>
      <c r="G28" s="138">
        <f>IFERROR(__xludf.DUMMYFUNCTION("""COMPUTED_VALUE"""),3.0)</f>
        <v>3</v>
      </c>
      <c r="H28" s="138">
        <f>IFERROR(__xludf.DUMMYFUNCTION("""COMPUTED_VALUE"""),4.0)</f>
        <v>4</v>
      </c>
      <c r="I28" s="138">
        <f>IFERROR(__xludf.DUMMYFUNCTION("""COMPUTED_VALUE"""),3.0)</f>
        <v>3</v>
      </c>
      <c r="J28" s="138">
        <f>IFERROR(__xludf.DUMMYFUNCTION("""COMPUTED_VALUE"""),4.0)</f>
        <v>4</v>
      </c>
      <c r="K28" s="138">
        <f>IFERROR(__xludf.DUMMYFUNCTION("""COMPUTED_VALUE"""),4.0)</f>
        <v>4</v>
      </c>
      <c r="L28" s="138">
        <v>26.0</v>
      </c>
      <c r="M28" s="140" t="str">
        <f>VLOOKUP(text(D28, "#"),'Master Table'!$A:$F, 6, FALSE)</f>
        <v>E-1</v>
      </c>
      <c r="N28" s="141" t="str">
        <f>IFERROR(__xludf.DUMMYFUNCTION("""COMPUTED_VALUE"""),"Minor suggestion is to face the audience when presenting rather than the screen. Would have loved to see some images of Griner and Williams alongside some of the text. This project with the case studies is a great way to further explore the cultural polit"&amp;"ics of sports as  they relate to the portrayal and representation of queerness and power (Serena represents power to me as a fan of her performances). There is a lot of great sports theory out there to further develop the project. Assessing discourse of s"&amp;"portscasters might help too for cultural analysis or racialized context. Really liked this approach to research. ")</f>
        <v>Minor suggestion is to face the audience when presenting rather than the screen. Would have loved to see some images of Griner and Williams alongside some of the text. This project with the case studies is a great way to further explore the cultural politics of sports as  they relate to the portrayal and representation of queerness and power (Serena represents power to me as a fan of her performances). There is a lot of great sports theory out there to further develop the project. Assessing discourse of sportscasters might help too for cultural analysis or racialized context. Really liked this approach to research. </v>
      </c>
      <c r="O28" s="142" t="str">
        <f t="shared" si="1"/>
        <v/>
      </c>
      <c r="P28" s="143" t="str">
        <f>IF(ISNA(VLOOKUP(CONCAT(M28,C28), 'Judge Count DO NOT EDIT'!H:H, 1, FALSE)), "ERROR","")</f>
        <v/>
      </c>
      <c r="Q28" s="141"/>
      <c r="R28" s="143"/>
      <c r="S28" s="139" t="str">
        <f t="shared" si="2"/>
        <v>123451</v>
      </c>
      <c r="T28" s="141"/>
    </row>
    <row r="29">
      <c r="A29" s="137">
        <f>IFERROR(__xludf.DUMMYFUNCTION("""COMPUTED_VALUE"""),45352.600309814814)</f>
        <v>45352.60031</v>
      </c>
      <c r="B29" s="138" t="str">
        <f>IFERROR(__xludf.DUMMYFUNCTION("""COMPUTED_VALUE"""),"Katie Schenkel")</f>
        <v>Katie Schenkel</v>
      </c>
      <c r="C29" s="138">
        <f>IFERROR(__xludf.DUMMYFUNCTION("""COMPUTED_VALUE"""),1154.0)</f>
        <v>1154</v>
      </c>
      <c r="D29" s="139">
        <f>IFERROR(__xludf.DUMMYFUNCTION("""COMPUTED_VALUE"""),52.0)</f>
        <v>52</v>
      </c>
      <c r="E29" s="138">
        <f>IFERROR(__xludf.DUMMYFUNCTION("""COMPUTED_VALUE"""),4.0)</f>
        <v>4</v>
      </c>
      <c r="F29" s="138">
        <f>IFERROR(__xludf.DUMMYFUNCTION("""COMPUTED_VALUE"""),4.0)</f>
        <v>4</v>
      </c>
      <c r="G29" s="138">
        <f>IFERROR(__xludf.DUMMYFUNCTION("""COMPUTED_VALUE"""),4.0)</f>
        <v>4</v>
      </c>
      <c r="H29" s="138">
        <f>IFERROR(__xludf.DUMMYFUNCTION("""COMPUTED_VALUE"""),3.0)</f>
        <v>3</v>
      </c>
      <c r="I29" s="138">
        <f>IFERROR(__xludf.DUMMYFUNCTION("""COMPUTED_VALUE"""),5.0)</f>
        <v>5</v>
      </c>
      <c r="J29" s="138">
        <f>IFERROR(__xludf.DUMMYFUNCTION("""COMPUTED_VALUE"""),4.0)</f>
        <v>4</v>
      </c>
      <c r="K29" s="138">
        <f>IFERROR(__xludf.DUMMYFUNCTION("""COMPUTED_VALUE"""),5.0)</f>
        <v>5</v>
      </c>
      <c r="L29" s="138">
        <v>29.0</v>
      </c>
      <c r="M29" s="140" t="str">
        <f>VLOOKUP(text(D29, "#"),'Master Table'!$A:$F, 6, FALSE)</f>
        <v>E-1</v>
      </c>
      <c r="N29" s="141" t="str">
        <f>IFERROR(__xludf.DUMMYFUNCTION("""COMPUTED_VALUE"""),"I am excited for you to keep exploring this question! This is important work! ")</f>
        <v>I am excited for you to keep exploring this question! This is important work! </v>
      </c>
      <c r="O29" s="142" t="str">
        <f t="shared" si="1"/>
        <v/>
      </c>
      <c r="P29" s="143" t="str">
        <f>IF(ISNA(VLOOKUP(CONCAT(M29,C29), 'Judge Count DO NOT EDIT'!H:H, 1, FALSE)), "ERROR","")</f>
        <v/>
      </c>
      <c r="Q29" s="141"/>
      <c r="R29" s="143"/>
      <c r="S29" s="139" t="str">
        <f t="shared" si="2"/>
        <v>115452</v>
      </c>
      <c r="T29" s="141"/>
    </row>
    <row r="30">
      <c r="A30" s="137">
        <f>IFERROR(__xludf.DUMMYFUNCTION("""COMPUTED_VALUE"""),45352.60558902778)</f>
        <v>45352.60559</v>
      </c>
      <c r="B30" s="138" t="str">
        <f>IFERROR(__xludf.DUMMYFUNCTION("""COMPUTED_VALUE"""),"Amy")</f>
        <v>Amy</v>
      </c>
      <c r="C30" s="138">
        <f>IFERROR(__xludf.DUMMYFUNCTION("""COMPUTED_VALUE"""),1055.0)</f>
        <v>1055</v>
      </c>
      <c r="D30" s="139">
        <f>IFERROR(__xludf.DUMMYFUNCTION("""COMPUTED_VALUE"""),53.0)</f>
        <v>53</v>
      </c>
      <c r="E30" s="138">
        <f>IFERROR(__xludf.DUMMYFUNCTION("""COMPUTED_VALUE"""),4.0)</f>
        <v>4</v>
      </c>
      <c r="F30" s="138">
        <f>IFERROR(__xludf.DUMMYFUNCTION("""COMPUTED_VALUE"""),3.0)</f>
        <v>3</v>
      </c>
      <c r="G30" s="138">
        <f>IFERROR(__xludf.DUMMYFUNCTION("""COMPUTED_VALUE"""),4.0)</f>
        <v>4</v>
      </c>
      <c r="H30" s="138">
        <f>IFERROR(__xludf.DUMMYFUNCTION("""COMPUTED_VALUE"""),4.0)</f>
        <v>4</v>
      </c>
      <c r="I30" s="138">
        <f>IFERROR(__xludf.DUMMYFUNCTION("""COMPUTED_VALUE"""),4.0)</f>
        <v>4</v>
      </c>
      <c r="J30" s="138">
        <f>IFERROR(__xludf.DUMMYFUNCTION("""COMPUTED_VALUE"""),3.0)</f>
        <v>3</v>
      </c>
      <c r="K30" s="138">
        <f>IFERROR(__xludf.DUMMYFUNCTION("""COMPUTED_VALUE"""),4.0)</f>
        <v>4</v>
      </c>
      <c r="L30" s="138">
        <v>26.0</v>
      </c>
      <c r="M30" s="140" t="str">
        <f>VLOOKUP(text(D30, "#"),'Master Table'!$A:$F, 6, FALSE)</f>
        <v>E-1</v>
      </c>
      <c r="N30" s="141" t="str">
        <f>IFERROR(__xludf.DUMMYFUNCTION("""COMPUTED_VALUE"""),"Insightful project! ")</f>
        <v>Insightful project! </v>
      </c>
      <c r="O30" s="142" t="str">
        <f t="shared" si="1"/>
        <v/>
      </c>
      <c r="P30" s="143" t="str">
        <f>IF(ISNA(VLOOKUP(CONCAT(M30,C30), 'Judge Count DO NOT EDIT'!H:H, 1, FALSE)), "ERROR","")</f>
        <v/>
      </c>
      <c r="Q30" s="141"/>
      <c r="R30" s="143"/>
      <c r="S30" s="139" t="str">
        <f t="shared" si="2"/>
        <v>105553</v>
      </c>
      <c r="T30" s="141"/>
    </row>
    <row r="31">
      <c r="A31" s="137">
        <f>IFERROR(__xludf.DUMMYFUNCTION("""COMPUTED_VALUE"""),45352.605726828704)</f>
        <v>45352.60573</v>
      </c>
      <c r="B31" s="138" t="str">
        <f>IFERROR(__xludf.DUMMYFUNCTION("""COMPUTED_VALUE"""),"Katie Schenkel")</f>
        <v>Katie Schenkel</v>
      </c>
      <c r="C31" s="138">
        <f>IFERROR(__xludf.DUMMYFUNCTION("""COMPUTED_VALUE"""),1154.0)</f>
        <v>1154</v>
      </c>
      <c r="D31" s="139">
        <f>IFERROR(__xludf.DUMMYFUNCTION("""COMPUTED_VALUE"""),53.0)</f>
        <v>53</v>
      </c>
      <c r="E31" s="138">
        <f>IFERROR(__xludf.DUMMYFUNCTION("""COMPUTED_VALUE"""),5.0)</f>
        <v>5</v>
      </c>
      <c r="F31" s="138">
        <f>IFERROR(__xludf.DUMMYFUNCTION("""COMPUTED_VALUE"""),5.0)</f>
        <v>5</v>
      </c>
      <c r="G31" s="138">
        <f>IFERROR(__xludf.DUMMYFUNCTION("""COMPUTED_VALUE"""),5.0)</f>
        <v>5</v>
      </c>
      <c r="H31" s="138">
        <f>IFERROR(__xludf.DUMMYFUNCTION("""COMPUTED_VALUE"""),4.0)</f>
        <v>4</v>
      </c>
      <c r="I31" s="138">
        <f>IFERROR(__xludf.DUMMYFUNCTION("""COMPUTED_VALUE"""),4.0)</f>
        <v>4</v>
      </c>
      <c r="J31" s="138">
        <f>IFERROR(__xludf.DUMMYFUNCTION("""COMPUTED_VALUE"""),4.0)</f>
        <v>4</v>
      </c>
      <c r="K31" s="138">
        <f>IFERROR(__xludf.DUMMYFUNCTION("""COMPUTED_VALUE"""),5.0)</f>
        <v>5</v>
      </c>
      <c r="L31" s="138">
        <v>32.0</v>
      </c>
      <c r="M31" s="140" t="str">
        <f>VLOOKUP(text(D31, "#"),'Master Table'!$A:$F, 6, FALSE)</f>
        <v>E-1</v>
      </c>
      <c r="N31" s="141" t="str">
        <f>IFERROR(__xludf.DUMMYFUNCTION("""COMPUTED_VALUE"""),"Thank you for doing this important work! I am excited about the interviews that you are going to do! ")</f>
        <v>Thank you for doing this important work! I am excited about the interviews that you are going to do! </v>
      </c>
      <c r="O31" s="142" t="str">
        <f t="shared" si="1"/>
        <v/>
      </c>
      <c r="P31" s="143" t="str">
        <f>IF(ISNA(VLOOKUP(CONCAT(M31,C31), 'Judge Count DO NOT EDIT'!H:H, 1, FALSE)), "ERROR","")</f>
        <v/>
      </c>
      <c r="Q31" s="141"/>
      <c r="R31" s="143"/>
      <c r="S31" s="139" t="str">
        <f t="shared" si="2"/>
        <v>115453</v>
      </c>
      <c r="T31" s="141"/>
    </row>
    <row r="32">
      <c r="A32" s="137">
        <f>IFERROR(__xludf.DUMMYFUNCTION("""COMPUTED_VALUE"""),45352.60640636574)</f>
        <v>45352.60641</v>
      </c>
      <c r="B32" s="138" t="str">
        <f>IFERROR(__xludf.DUMMYFUNCTION("""COMPUTED_VALUE"""),"Zena Hovda ")</f>
        <v>Zena Hovda </v>
      </c>
      <c r="C32" s="138">
        <f>IFERROR(__xludf.DUMMYFUNCTION("""COMPUTED_VALUE"""),1147.0)</f>
        <v>1147</v>
      </c>
      <c r="D32" s="139">
        <f>IFERROR(__xludf.DUMMYFUNCTION("""COMPUTED_VALUE"""),53.0)</f>
        <v>53</v>
      </c>
      <c r="E32" s="138">
        <f>IFERROR(__xludf.DUMMYFUNCTION("""COMPUTED_VALUE"""),4.0)</f>
        <v>4</v>
      </c>
      <c r="F32" s="138">
        <f>IFERROR(__xludf.DUMMYFUNCTION("""COMPUTED_VALUE"""),4.0)</f>
        <v>4</v>
      </c>
      <c r="G32" s="138">
        <f>IFERROR(__xludf.DUMMYFUNCTION("""COMPUTED_VALUE"""),4.0)</f>
        <v>4</v>
      </c>
      <c r="H32" s="138">
        <f>IFERROR(__xludf.DUMMYFUNCTION("""COMPUTED_VALUE"""),3.0)</f>
        <v>3</v>
      </c>
      <c r="I32" s="138">
        <f>IFERROR(__xludf.DUMMYFUNCTION("""COMPUTED_VALUE"""),4.0)</f>
        <v>4</v>
      </c>
      <c r="J32" s="138">
        <f>IFERROR(__xludf.DUMMYFUNCTION("""COMPUTED_VALUE"""),4.0)</f>
        <v>4</v>
      </c>
      <c r="K32" s="138">
        <f>IFERROR(__xludf.DUMMYFUNCTION("""COMPUTED_VALUE"""),3.0)</f>
        <v>3</v>
      </c>
      <c r="L32" s="138">
        <v>26.0</v>
      </c>
      <c r="M32" s="140" t="str">
        <f>VLOOKUP(text(D32, "#"),'Master Table'!$A:$F, 6, FALSE)</f>
        <v>E-1</v>
      </c>
      <c r="N32" s="141" t="str">
        <f>IFERROR(__xludf.DUMMYFUNCTION("""COMPUTED_VALUE"""),"The slides were great. This is a really interesting topic. Would be interesting to see if this affected applications as well. ")</f>
        <v>The slides were great. This is a really interesting topic. Would be interesting to see if this affected applications as well. </v>
      </c>
      <c r="O32" s="142" t="str">
        <f t="shared" si="1"/>
        <v/>
      </c>
      <c r="P32" s="143" t="str">
        <f>IF(ISNA(VLOOKUP(CONCAT(M32,C32), 'Judge Count DO NOT EDIT'!H:H, 1, FALSE)), "ERROR","")</f>
        <v/>
      </c>
      <c r="Q32" s="141"/>
      <c r="R32" s="143"/>
      <c r="S32" s="139" t="str">
        <f t="shared" si="2"/>
        <v>114753</v>
      </c>
      <c r="T32" s="141"/>
    </row>
    <row r="33">
      <c r="A33" s="137">
        <f>IFERROR(__xludf.DUMMYFUNCTION("""COMPUTED_VALUE"""),45352.626087013894)</f>
        <v>45352.62609</v>
      </c>
      <c r="B33" s="138" t="str">
        <f>IFERROR(__xludf.DUMMYFUNCTION("""COMPUTED_VALUE"""),"brie iatarola")</f>
        <v>brie iatarola</v>
      </c>
      <c r="C33" s="138">
        <f>IFERROR(__xludf.DUMMYFUNCTION("""COMPUTED_VALUE"""),1234.0)</f>
        <v>1234</v>
      </c>
      <c r="D33" s="139">
        <f>IFERROR(__xludf.DUMMYFUNCTION("""COMPUTED_VALUE"""),53.0)</f>
        <v>53</v>
      </c>
      <c r="E33" s="138">
        <f>IFERROR(__xludf.DUMMYFUNCTION("""COMPUTED_VALUE"""),4.0)</f>
        <v>4</v>
      </c>
      <c r="F33" s="138">
        <f>IFERROR(__xludf.DUMMYFUNCTION("""COMPUTED_VALUE"""),4.0)</f>
        <v>4</v>
      </c>
      <c r="G33" s="138">
        <f>IFERROR(__xludf.DUMMYFUNCTION("""COMPUTED_VALUE"""),5.0)</f>
        <v>5</v>
      </c>
      <c r="H33" s="138">
        <f>IFERROR(__xludf.DUMMYFUNCTION("""COMPUTED_VALUE"""),4.0)</f>
        <v>4</v>
      </c>
      <c r="I33" s="138">
        <f>IFERROR(__xludf.DUMMYFUNCTION("""COMPUTED_VALUE"""),4.0)</f>
        <v>4</v>
      </c>
      <c r="J33" s="138">
        <f>IFERROR(__xludf.DUMMYFUNCTION("""COMPUTED_VALUE"""),4.0)</f>
        <v>4</v>
      </c>
      <c r="K33" s="138">
        <f>IFERROR(__xludf.DUMMYFUNCTION("""COMPUTED_VALUE"""),4.0)</f>
        <v>4</v>
      </c>
      <c r="L33" s="138">
        <v>29.0</v>
      </c>
      <c r="M33" s="140" t="str">
        <f>VLOOKUP(text(D33, "#"),'Master Table'!$A:$F, 6, FALSE)</f>
        <v>E-1</v>
      </c>
      <c r="N33" s="141" t="str">
        <f>IFERROR(__xludf.DUMMYFUNCTION("""COMPUTED_VALUE"""),"I found the the simple transitions with the slides very helpful and that approach kept me intrigued with everything each speaker had to say. The historical context about Affirmative Action was excellent and helpful. Background on the research question was"&amp;" beautifully written. I wanted to know a little bit more about the quantitative approach. More time could have been spent unpacking the graph with important data. I am curious how the group will find research participants who graduated before 1998 or by 1"&amp;"999? I think an oral history-based approach would be fantastic and reveal important historical perspectives about the unaffordability of higher ed. The UC data was productive, and I wanted to know more about CSU stats too.")</f>
        <v>I found the the simple transitions with the slides very helpful and that approach kept me intrigued with everything each speaker had to say. The historical context about Affirmative Action was excellent and helpful. Background on the research question was beautifully written. I wanted to know a little bit more about the quantitative approach. More time could have been spent unpacking the graph with important data. I am curious how the group will find research participants who graduated before 1998 or by 1999? I think an oral history-based approach would be fantastic and reveal important historical perspectives about the unaffordability of higher ed. The UC data was productive, and I wanted to know more about CSU stats too.</v>
      </c>
      <c r="O33" s="142" t="str">
        <f t="shared" si="1"/>
        <v/>
      </c>
      <c r="P33" s="143" t="str">
        <f>IF(ISNA(VLOOKUP(CONCAT(M33,C33), 'Judge Count DO NOT EDIT'!H:H, 1, FALSE)), "ERROR","")</f>
        <v/>
      </c>
      <c r="Q33" s="141"/>
      <c r="R33" s="143"/>
      <c r="S33" s="139" t="str">
        <f t="shared" si="2"/>
        <v>123453</v>
      </c>
      <c r="T33" s="141"/>
    </row>
    <row r="34">
      <c r="A34" s="137">
        <f>IFERROR(__xludf.DUMMYFUNCTION("""COMPUTED_VALUE"""),45352.57174612269)</f>
        <v>45352.57175</v>
      </c>
      <c r="B34" s="138" t="str">
        <f>IFERROR(__xludf.DUMMYFUNCTION("""COMPUTED_VALUE"""),"Anthony villarreal")</f>
        <v>Anthony villarreal</v>
      </c>
      <c r="C34" s="138">
        <f>IFERROR(__xludf.DUMMYFUNCTION("""COMPUTED_VALUE"""),1078.0)</f>
        <v>1078</v>
      </c>
      <c r="D34" s="139">
        <f>IFERROR(__xludf.DUMMYFUNCTION("""COMPUTED_VALUE"""),54.0)</f>
        <v>54</v>
      </c>
      <c r="E34" s="138">
        <f>IFERROR(__xludf.DUMMYFUNCTION("""COMPUTED_VALUE"""),4.0)</f>
        <v>4</v>
      </c>
      <c r="F34" s="138">
        <f>IFERROR(__xludf.DUMMYFUNCTION("""COMPUTED_VALUE"""),3.0)</f>
        <v>3</v>
      </c>
      <c r="G34" s="138">
        <f>IFERROR(__xludf.DUMMYFUNCTION("""COMPUTED_VALUE"""),3.0)</f>
        <v>3</v>
      </c>
      <c r="H34" s="138">
        <f>IFERROR(__xludf.DUMMYFUNCTION("""COMPUTED_VALUE"""),4.0)</f>
        <v>4</v>
      </c>
      <c r="I34" s="138">
        <f>IFERROR(__xludf.DUMMYFUNCTION("""COMPUTED_VALUE"""),4.0)</f>
        <v>4</v>
      </c>
      <c r="J34" s="138">
        <f>IFERROR(__xludf.DUMMYFUNCTION("""COMPUTED_VALUE"""),4.0)</f>
        <v>4</v>
      </c>
      <c r="K34" s="138">
        <f>IFERROR(__xludf.DUMMYFUNCTION("""COMPUTED_VALUE"""),4.0)</f>
        <v>4</v>
      </c>
      <c r="L34" s="138">
        <v>26.0</v>
      </c>
      <c r="M34" s="140" t="str">
        <f>VLOOKUP(text(D34, "#"),'Master Table'!$A:$F, 6, FALSE)</f>
        <v>H-1</v>
      </c>
      <c r="N34" s="141" t="str">
        <f>IFERROR(__xludf.DUMMYFUNCTION("""COMPUTED_VALUE"""),"Great explanation of methods. More descriptions on examples of implications. Great job at discussing problem statement. ")</f>
        <v>Great explanation of methods. More descriptions on examples of implications. Great job at discussing problem statement. </v>
      </c>
      <c r="O34" s="142" t="str">
        <f t="shared" si="1"/>
        <v/>
      </c>
      <c r="P34" s="143" t="str">
        <f>IF(ISNA(VLOOKUP(CONCAT(M34,C34), 'Judge Count DO NOT EDIT'!H:H, 1, FALSE)), "ERROR","")</f>
        <v/>
      </c>
      <c r="Q34" s="141"/>
      <c r="R34" s="143"/>
      <c r="S34" s="139" t="str">
        <f t="shared" si="2"/>
        <v>107854</v>
      </c>
      <c r="T34" s="141"/>
    </row>
    <row r="35">
      <c r="A35" s="137">
        <f>IFERROR(__xludf.DUMMYFUNCTION("""COMPUTED_VALUE"""),45352.586927638884)</f>
        <v>45352.58693</v>
      </c>
      <c r="B35" s="138" t="str">
        <f>IFERROR(__xludf.DUMMYFUNCTION("""COMPUTED_VALUE"""),"Liang Ma")</f>
        <v>Liang Ma</v>
      </c>
      <c r="C35" s="138">
        <f>IFERROR(__xludf.DUMMYFUNCTION("""COMPUTED_VALUE"""),1050.0)</f>
        <v>1050</v>
      </c>
      <c r="D35" s="139">
        <f>IFERROR(__xludf.DUMMYFUNCTION("""COMPUTED_VALUE"""),54.0)</f>
        <v>54</v>
      </c>
      <c r="E35" s="138">
        <f>IFERROR(__xludf.DUMMYFUNCTION("""COMPUTED_VALUE"""),5.0)</f>
        <v>5</v>
      </c>
      <c r="F35" s="138">
        <f>IFERROR(__xludf.DUMMYFUNCTION("""COMPUTED_VALUE"""),5.0)</f>
        <v>5</v>
      </c>
      <c r="G35" s="138">
        <f>IFERROR(__xludf.DUMMYFUNCTION("""COMPUTED_VALUE"""),4.0)</f>
        <v>4</v>
      </c>
      <c r="H35" s="138">
        <f>IFERROR(__xludf.DUMMYFUNCTION("""COMPUTED_VALUE"""),5.0)</f>
        <v>5</v>
      </c>
      <c r="I35" s="138">
        <f>IFERROR(__xludf.DUMMYFUNCTION("""COMPUTED_VALUE"""),4.0)</f>
        <v>4</v>
      </c>
      <c r="J35" s="138">
        <f>IFERROR(__xludf.DUMMYFUNCTION("""COMPUTED_VALUE"""),4.0)</f>
        <v>4</v>
      </c>
      <c r="K35" s="138">
        <f>IFERROR(__xludf.DUMMYFUNCTION("""COMPUTED_VALUE"""),4.0)</f>
        <v>4</v>
      </c>
      <c r="L35" s="138">
        <v>31.0</v>
      </c>
      <c r="M35" s="140" t="str">
        <f>VLOOKUP(text(D35, "#"),'Master Table'!$A:$F, 6, FALSE)</f>
        <v>H-1</v>
      </c>
      <c r="N35" s="141"/>
      <c r="O35" s="142" t="str">
        <f t="shared" si="1"/>
        <v/>
      </c>
      <c r="P35" s="143" t="str">
        <f>IF(ISNA(VLOOKUP(CONCAT(M35,C35), 'Judge Count DO NOT EDIT'!H:H, 1, FALSE)), "ERROR","")</f>
        <v/>
      </c>
      <c r="Q35" s="141"/>
      <c r="R35" s="143"/>
      <c r="S35" s="139" t="str">
        <f t="shared" si="2"/>
        <v>105054</v>
      </c>
      <c r="T35" s="141"/>
    </row>
    <row r="36">
      <c r="A36" s="137">
        <f>IFERROR(__xludf.DUMMYFUNCTION("""COMPUTED_VALUE"""),45352.61575113426)</f>
        <v>45352.61575</v>
      </c>
      <c r="B36" s="138" t="str">
        <f>IFERROR(__xludf.DUMMYFUNCTION("""COMPUTED_VALUE"""),"Dongbowei Zhang")</f>
        <v>Dongbowei Zhang</v>
      </c>
      <c r="C36" s="138">
        <f>IFERROR(__xludf.DUMMYFUNCTION("""COMPUTED_VALUE"""),1175.0)</f>
        <v>1175</v>
      </c>
      <c r="D36" s="139">
        <f>IFERROR(__xludf.DUMMYFUNCTION("""COMPUTED_VALUE"""),54.0)</f>
        <v>54</v>
      </c>
      <c r="E36" s="138">
        <f>IFERROR(__xludf.DUMMYFUNCTION("""COMPUTED_VALUE"""),4.0)</f>
        <v>4</v>
      </c>
      <c r="F36" s="138">
        <f>IFERROR(__xludf.DUMMYFUNCTION("""COMPUTED_VALUE"""),4.0)</f>
        <v>4</v>
      </c>
      <c r="G36" s="138">
        <f>IFERROR(__xludf.DUMMYFUNCTION("""COMPUTED_VALUE"""),4.0)</f>
        <v>4</v>
      </c>
      <c r="H36" s="138">
        <f>IFERROR(__xludf.DUMMYFUNCTION("""COMPUTED_VALUE"""),4.0)</f>
        <v>4</v>
      </c>
      <c r="I36" s="138">
        <f>IFERROR(__xludf.DUMMYFUNCTION("""COMPUTED_VALUE"""),4.0)</f>
        <v>4</v>
      </c>
      <c r="J36" s="138">
        <f>IFERROR(__xludf.DUMMYFUNCTION("""COMPUTED_VALUE"""),4.0)</f>
        <v>4</v>
      </c>
      <c r="K36" s="138">
        <f>IFERROR(__xludf.DUMMYFUNCTION("""COMPUTED_VALUE"""),4.0)</f>
        <v>4</v>
      </c>
      <c r="L36" s="138">
        <v>28.0</v>
      </c>
      <c r="M36" s="140" t="str">
        <f>VLOOKUP(text(D36, "#"),'Master Table'!$A:$F, 6, FALSE)</f>
        <v>H-1</v>
      </c>
      <c r="N36" s="141" t="str">
        <f>IFERROR(__xludf.DUMMYFUNCTION("""COMPUTED_VALUE"""),"Great organization and delivery of content. Great handling of the questions. Could improve if more thoughts put on limitations of the study.")</f>
        <v>Great organization and delivery of content. Great handling of the questions. Could improve if more thoughts put on limitations of the study.</v>
      </c>
      <c r="O36" s="142" t="str">
        <f t="shared" si="1"/>
        <v/>
      </c>
      <c r="P36" s="143" t="str">
        <f>IF(ISNA(VLOOKUP(CONCAT(M36,C36), 'Judge Count DO NOT EDIT'!H:H, 1, FALSE)), "ERROR","")</f>
        <v/>
      </c>
      <c r="Q36" s="144"/>
      <c r="R36" s="143"/>
      <c r="S36" s="139" t="str">
        <f t="shared" si="2"/>
        <v>117554</v>
      </c>
      <c r="T36" s="141"/>
    </row>
    <row r="37">
      <c r="A37" s="137">
        <f>IFERROR(__xludf.DUMMYFUNCTION("""COMPUTED_VALUE"""),45352.620990717594)</f>
        <v>45352.62099</v>
      </c>
      <c r="B37" s="138" t="str">
        <f>IFERROR(__xludf.DUMMYFUNCTION("""COMPUTED_VALUE"""),"Tm Lieu ")</f>
        <v>Tm Lieu </v>
      </c>
      <c r="C37" s="138">
        <f>IFERROR(__xludf.DUMMYFUNCTION("""COMPUTED_VALUE"""),1023.0)</f>
        <v>1023</v>
      </c>
      <c r="D37" s="139">
        <f>IFERROR(__xludf.DUMMYFUNCTION("""COMPUTED_VALUE"""),54.0)</f>
        <v>54</v>
      </c>
      <c r="E37" s="138">
        <f>IFERROR(__xludf.DUMMYFUNCTION("""COMPUTED_VALUE"""),4.0)</f>
        <v>4</v>
      </c>
      <c r="F37" s="138">
        <f>IFERROR(__xludf.DUMMYFUNCTION("""COMPUTED_VALUE"""),4.0)</f>
        <v>4</v>
      </c>
      <c r="G37" s="138">
        <f>IFERROR(__xludf.DUMMYFUNCTION("""COMPUTED_VALUE"""),4.0)</f>
        <v>4</v>
      </c>
      <c r="H37" s="138">
        <f>IFERROR(__xludf.DUMMYFUNCTION("""COMPUTED_VALUE"""),4.0)</f>
        <v>4</v>
      </c>
      <c r="I37" s="138">
        <f>IFERROR(__xludf.DUMMYFUNCTION("""COMPUTED_VALUE"""),4.0)</f>
        <v>4</v>
      </c>
      <c r="J37" s="138">
        <f>IFERROR(__xludf.DUMMYFUNCTION("""COMPUTED_VALUE"""),4.0)</f>
        <v>4</v>
      </c>
      <c r="K37" s="138">
        <f>IFERROR(__xludf.DUMMYFUNCTION("""COMPUTED_VALUE"""),4.0)</f>
        <v>4</v>
      </c>
      <c r="L37" s="138">
        <v>28.0</v>
      </c>
      <c r="M37" s="140" t="str">
        <f>VLOOKUP(text(D37, "#"),'Master Table'!$A:$F, 6, FALSE)</f>
        <v>H-1</v>
      </c>
      <c r="N37" s="141" t="str">
        <f>IFERROR(__xludf.DUMMYFUNCTION("""COMPUTED_VALUE"""),"1) Positive - Great at explaining to attendees what their research is about. Great at responding to inquiries.
2) Improvements - Expand Others. Consider geography/location in the study.")</f>
        <v>1) Positive - Great at explaining to attendees what their research is about. Great at responding to inquiries.
2) Improvements - Expand Others. Consider geography/location in the study.</v>
      </c>
      <c r="O37" s="142" t="str">
        <f t="shared" si="1"/>
        <v/>
      </c>
      <c r="P37" s="143" t="str">
        <f>IF(ISNA(VLOOKUP(CONCAT(M37,C37), 'Judge Count DO NOT EDIT'!H:H, 1, FALSE)), "ERROR","")</f>
        <v/>
      </c>
      <c r="Q37" s="141"/>
      <c r="R37" s="143"/>
      <c r="S37" s="139" t="str">
        <f t="shared" si="2"/>
        <v>102354</v>
      </c>
      <c r="T37" s="141"/>
    </row>
    <row r="38">
      <c r="A38" s="137">
        <f>IFERROR(__xludf.DUMMYFUNCTION("""COMPUTED_VALUE"""),45352.61387680555)</f>
        <v>45352.61388</v>
      </c>
      <c r="B38" s="138" t="str">
        <f>IFERROR(__xludf.DUMMYFUNCTION("""COMPUTED_VALUE"""),"Serena Zhu")</f>
        <v>Serena Zhu</v>
      </c>
      <c r="C38" s="138">
        <f>IFERROR(__xludf.DUMMYFUNCTION("""COMPUTED_VALUE"""),1208.0)</f>
        <v>1208</v>
      </c>
      <c r="D38" s="139">
        <f>IFERROR(__xludf.DUMMYFUNCTION("""COMPUTED_VALUE"""),55.0)</f>
        <v>55</v>
      </c>
      <c r="E38" s="138">
        <f>IFERROR(__xludf.DUMMYFUNCTION("""COMPUTED_VALUE"""),3.0)</f>
        <v>3</v>
      </c>
      <c r="F38" s="138">
        <f>IFERROR(__xludf.DUMMYFUNCTION("""COMPUTED_VALUE"""),2.0)</f>
        <v>2</v>
      </c>
      <c r="G38" s="138">
        <f>IFERROR(__xludf.DUMMYFUNCTION("""COMPUTED_VALUE"""),3.0)</f>
        <v>3</v>
      </c>
      <c r="H38" s="138">
        <f>IFERROR(__xludf.DUMMYFUNCTION("""COMPUTED_VALUE"""),3.0)</f>
        <v>3</v>
      </c>
      <c r="I38" s="138">
        <f>IFERROR(__xludf.DUMMYFUNCTION("""COMPUTED_VALUE"""),3.0)</f>
        <v>3</v>
      </c>
      <c r="J38" s="138">
        <f>IFERROR(__xludf.DUMMYFUNCTION("""COMPUTED_VALUE"""),3.0)</f>
        <v>3</v>
      </c>
      <c r="K38" s="138">
        <f>IFERROR(__xludf.DUMMYFUNCTION("""COMPUTED_VALUE"""),2.0)</f>
        <v>2</v>
      </c>
      <c r="L38" s="138">
        <v>19.0</v>
      </c>
      <c r="M38" s="140" t="str">
        <f>VLOOKUP(text(D38, "#"),'Master Table'!$A:$F, 6, FALSE)</f>
        <v>E-2</v>
      </c>
      <c r="N38" s="141"/>
      <c r="O38" s="142" t="str">
        <f t="shared" si="1"/>
        <v/>
      </c>
      <c r="P38" s="143" t="str">
        <f>IF(ISNA(VLOOKUP(CONCAT(M38,C38), 'Judge Count DO NOT EDIT'!H:H, 1, FALSE)), "ERROR","")</f>
        <v/>
      </c>
      <c r="Q38" s="141"/>
      <c r="R38" s="143"/>
      <c r="S38" s="139" t="str">
        <f t="shared" si="2"/>
        <v>120855</v>
      </c>
      <c r="T38" s="141"/>
    </row>
    <row r="39">
      <c r="A39" s="137">
        <f>IFERROR(__xludf.DUMMYFUNCTION("""COMPUTED_VALUE"""),45352.61445853009)</f>
        <v>45352.61446</v>
      </c>
      <c r="B39" s="138" t="str">
        <f>IFERROR(__xludf.DUMMYFUNCTION("""COMPUTED_VALUE"""),"Serena Zhu")</f>
        <v>Serena Zhu</v>
      </c>
      <c r="C39" s="138">
        <f>IFERROR(__xludf.DUMMYFUNCTION("""COMPUTED_VALUE"""),1208.0)</f>
        <v>1208</v>
      </c>
      <c r="D39" s="139">
        <f>IFERROR(__xludf.DUMMYFUNCTION("""COMPUTED_VALUE"""),56.0)</f>
        <v>56</v>
      </c>
      <c r="E39" s="138">
        <f>IFERROR(__xludf.DUMMYFUNCTION("""COMPUTED_VALUE"""),4.0)</f>
        <v>4</v>
      </c>
      <c r="F39" s="138">
        <f>IFERROR(__xludf.DUMMYFUNCTION("""COMPUTED_VALUE"""),4.0)</f>
        <v>4</v>
      </c>
      <c r="G39" s="138">
        <f>IFERROR(__xludf.DUMMYFUNCTION("""COMPUTED_VALUE"""),4.0)</f>
        <v>4</v>
      </c>
      <c r="H39" s="138">
        <f>IFERROR(__xludf.DUMMYFUNCTION("""COMPUTED_VALUE"""),2.0)</f>
        <v>2</v>
      </c>
      <c r="I39" s="138">
        <f>IFERROR(__xludf.DUMMYFUNCTION("""COMPUTED_VALUE"""),3.0)</f>
        <v>3</v>
      </c>
      <c r="J39" s="138">
        <f>IFERROR(__xludf.DUMMYFUNCTION("""COMPUTED_VALUE"""),3.0)</f>
        <v>3</v>
      </c>
      <c r="K39" s="138">
        <f>IFERROR(__xludf.DUMMYFUNCTION("""COMPUTED_VALUE"""),1.0)</f>
        <v>1</v>
      </c>
      <c r="L39" s="138">
        <v>21.0</v>
      </c>
      <c r="M39" s="140" t="str">
        <f>VLOOKUP(text(D39, "#"),'Master Table'!$A:$F, 6, FALSE)</f>
        <v>E-2</v>
      </c>
      <c r="N39" s="141"/>
      <c r="O39" s="142" t="str">
        <f t="shared" si="1"/>
        <v/>
      </c>
      <c r="P39" s="143" t="str">
        <f>IF(ISNA(VLOOKUP(CONCAT(M39,C39), 'Judge Count DO NOT EDIT'!H:H, 1, FALSE)), "ERROR","")</f>
        <v/>
      </c>
      <c r="Q39" s="141"/>
      <c r="R39" s="143"/>
      <c r="S39" s="139" t="str">
        <f t="shared" si="2"/>
        <v>120856</v>
      </c>
      <c r="T39" s="141"/>
    </row>
    <row r="40">
      <c r="A40" s="137">
        <f>IFERROR(__xludf.DUMMYFUNCTION("""COMPUTED_VALUE"""),45352.61287946759)</f>
        <v>45352.61288</v>
      </c>
      <c r="B40" s="138" t="str">
        <f>IFERROR(__xludf.DUMMYFUNCTION("""COMPUTED_VALUE"""),"Serena Zhu")</f>
        <v>Serena Zhu</v>
      </c>
      <c r="C40" s="138">
        <f>IFERROR(__xludf.DUMMYFUNCTION("""COMPUTED_VALUE"""),1208.0)</f>
        <v>1208</v>
      </c>
      <c r="D40" s="139">
        <f>IFERROR(__xludf.DUMMYFUNCTION("""COMPUTED_VALUE"""),57.0)</f>
        <v>57</v>
      </c>
      <c r="E40" s="138">
        <f>IFERROR(__xludf.DUMMYFUNCTION("""COMPUTED_VALUE"""),1.0)</f>
        <v>1</v>
      </c>
      <c r="F40" s="138">
        <f>IFERROR(__xludf.DUMMYFUNCTION("""COMPUTED_VALUE"""),4.0)</f>
        <v>4</v>
      </c>
      <c r="G40" s="138">
        <f>IFERROR(__xludf.DUMMYFUNCTION("""COMPUTED_VALUE"""),4.0)</f>
        <v>4</v>
      </c>
      <c r="H40" s="138">
        <f>IFERROR(__xludf.DUMMYFUNCTION("""COMPUTED_VALUE"""),1.0)</f>
        <v>1</v>
      </c>
      <c r="I40" s="138">
        <f>IFERROR(__xludf.DUMMYFUNCTION("""COMPUTED_VALUE"""),3.0)</f>
        <v>3</v>
      </c>
      <c r="J40" s="138">
        <f>IFERROR(__xludf.DUMMYFUNCTION("""COMPUTED_VALUE"""),3.0)</f>
        <v>3</v>
      </c>
      <c r="K40" s="138">
        <f>IFERROR(__xludf.DUMMYFUNCTION("""COMPUTED_VALUE"""),1.0)</f>
        <v>1</v>
      </c>
      <c r="L40" s="138">
        <v>17.0</v>
      </c>
      <c r="M40" s="140" t="str">
        <f>VLOOKUP(text(D40, "#"),'Master Table'!$A:$F, 6, FALSE)</f>
        <v>E-2</v>
      </c>
      <c r="N40" s="141"/>
      <c r="O40" s="142" t="str">
        <f t="shared" si="1"/>
        <v/>
      </c>
      <c r="P40" s="143" t="str">
        <f>IF(ISNA(VLOOKUP(CONCAT(M40,C40), 'Judge Count DO NOT EDIT'!H:H, 1, FALSE)), "ERROR","")</f>
        <v/>
      </c>
      <c r="Q40" s="141"/>
      <c r="R40" s="143"/>
      <c r="S40" s="139" t="str">
        <f t="shared" si="2"/>
        <v>120857</v>
      </c>
      <c r="T40" s="141"/>
    </row>
    <row r="41">
      <c r="A41" s="137">
        <f>IFERROR(__xludf.DUMMYFUNCTION("""COMPUTED_VALUE"""),45352.61670280092)</f>
        <v>45352.6167</v>
      </c>
      <c r="B41" s="138" t="str">
        <f>IFERROR(__xludf.DUMMYFUNCTION("""COMPUTED_VALUE"""),"Serena Zhu")</f>
        <v>Serena Zhu</v>
      </c>
      <c r="C41" s="138">
        <f>IFERROR(__xludf.DUMMYFUNCTION("""COMPUTED_VALUE"""),1208.0)</f>
        <v>1208</v>
      </c>
      <c r="D41" s="139">
        <f>IFERROR(__xludf.DUMMYFUNCTION("""COMPUTED_VALUE"""),58.0)</f>
        <v>58</v>
      </c>
      <c r="E41" s="138">
        <f>IFERROR(__xludf.DUMMYFUNCTION("""COMPUTED_VALUE"""),4.0)</f>
        <v>4</v>
      </c>
      <c r="F41" s="138">
        <f>IFERROR(__xludf.DUMMYFUNCTION("""COMPUTED_VALUE"""),5.0)</f>
        <v>5</v>
      </c>
      <c r="G41" s="138">
        <f>IFERROR(__xludf.DUMMYFUNCTION("""COMPUTED_VALUE"""),5.0)</f>
        <v>5</v>
      </c>
      <c r="H41" s="138">
        <f>IFERROR(__xludf.DUMMYFUNCTION("""COMPUTED_VALUE"""),4.0)</f>
        <v>4</v>
      </c>
      <c r="I41" s="138">
        <f>IFERROR(__xludf.DUMMYFUNCTION("""COMPUTED_VALUE"""),4.0)</f>
        <v>4</v>
      </c>
      <c r="J41" s="138">
        <f>IFERROR(__xludf.DUMMYFUNCTION("""COMPUTED_VALUE"""),4.0)</f>
        <v>4</v>
      </c>
      <c r="K41" s="138">
        <f>IFERROR(__xludf.DUMMYFUNCTION("""COMPUTED_VALUE"""),2.0)</f>
        <v>2</v>
      </c>
      <c r="L41" s="138">
        <v>28.0</v>
      </c>
      <c r="M41" s="140" t="str">
        <f>VLOOKUP(text(D41, "#"),'Master Table'!$A:$F, 6, FALSE)</f>
        <v>E-2</v>
      </c>
      <c r="N41" s="141"/>
      <c r="O41" s="142" t="str">
        <f t="shared" si="1"/>
        <v/>
      </c>
      <c r="P41" s="143" t="str">
        <f>IF(ISNA(VLOOKUP(CONCAT(M41,C41), 'Judge Count DO NOT EDIT'!H:H, 1, FALSE)), "ERROR","")</f>
        <v/>
      </c>
      <c r="Q41" s="141"/>
      <c r="R41" s="143"/>
      <c r="S41" s="139" t="str">
        <f t="shared" si="2"/>
        <v>120858</v>
      </c>
      <c r="T41" s="141"/>
    </row>
    <row r="42">
      <c r="A42" s="137">
        <f>IFERROR(__xludf.DUMMYFUNCTION("""COMPUTED_VALUE"""),45352.669866944445)</f>
        <v>45352.66987</v>
      </c>
      <c r="B42" s="138" t="str">
        <f>IFERROR(__xludf.DUMMYFUNCTION("""COMPUTED_VALUE"""),"Lisa Lamb")</f>
        <v>Lisa Lamb</v>
      </c>
      <c r="C42" s="138">
        <f>IFERROR(__xludf.DUMMYFUNCTION("""COMPUTED_VALUE"""),1064.0)</f>
        <v>1064</v>
      </c>
      <c r="D42" s="139">
        <f>IFERROR(__xludf.DUMMYFUNCTION("""COMPUTED_VALUE"""),59.0)</f>
        <v>59</v>
      </c>
      <c r="E42" s="138">
        <f>IFERROR(__xludf.DUMMYFUNCTION("""COMPUTED_VALUE"""),5.0)</f>
        <v>5</v>
      </c>
      <c r="F42" s="138">
        <f>IFERROR(__xludf.DUMMYFUNCTION("""COMPUTED_VALUE"""),5.0)</f>
        <v>5</v>
      </c>
      <c r="G42" s="138">
        <f>IFERROR(__xludf.DUMMYFUNCTION("""COMPUTED_VALUE"""),5.0)</f>
        <v>5</v>
      </c>
      <c r="H42" s="138">
        <f>IFERROR(__xludf.DUMMYFUNCTION("""COMPUTED_VALUE"""),5.0)</f>
        <v>5</v>
      </c>
      <c r="I42" s="138">
        <f>IFERROR(__xludf.DUMMYFUNCTION("""COMPUTED_VALUE"""),5.0)</f>
        <v>5</v>
      </c>
      <c r="J42" s="138">
        <f>IFERROR(__xludf.DUMMYFUNCTION("""COMPUTED_VALUE"""),5.0)</f>
        <v>5</v>
      </c>
      <c r="K42" s="138">
        <f>IFERROR(__xludf.DUMMYFUNCTION("""COMPUTED_VALUE"""),5.0)</f>
        <v>5</v>
      </c>
      <c r="L42" s="138">
        <v>35.0</v>
      </c>
      <c r="M42" s="140" t="str">
        <f>VLOOKUP(text(D42, "#"),'Master Table'!$A:$F, 6, FALSE)</f>
        <v>I-4</v>
      </c>
      <c r="N42" s="141" t="str">
        <f>IFERROR(__xludf.DUMMYFUNCTION("""COMPUTED_VALUE"""),"Wonderful presentation skills, thoughtful discussion of her research, excellent ideas for next steps!")</f>
        <v>Wonderful presentation skills, thoughtful discussion of her research, excellent ideas for next steps!</v>
      </c>
      <c r="O42" s="142" t="str">
        <f t="shared" si="1"/>
        <v/>
      </c>
      <c r="P42" s="143" t="str">
        <f>IF(ISNA(VLOOKUP(CONCAT(M42,C42), 'Judge Count DO NOT EDIT'!H:H, 1, FALSE)), "ERROR","")</f>
        <v/>
      </c>
      <c r="Q42" s="141"/>
      <c r="R42" s="143"/>
      <c r="S42" s="139" t="str">
        <f t="shared" si="2"/>
        <v>106459</v>
      </c>
      <c r="T42" s="141"/>
    </row>
    <row r="43">
      <c r="A43" s="137">
        <f>IFERROR(__xludf.DUMMYFUNCTION("""COMPUTED_VALUE"""),45352.78077880787)</f>
        <v>45352.78078</v>
      </c>
      <c r="B43" s="138" t="str">
        <f>IFERROR(__xludf.DUMMYFUNCTION("""COMPUTED_VALUE"""),"Katya Hernandez")</f>
        <v>Katya Hernandez</v>
      </c>
      <c r="C43" s="138">
        <f>IFERROR(__xludf.DUMMYFUNCTION("""COMPUTED_VALUE"""),1125.0)</f>
        <v>1125</v>
      </c>
      <c r="D43" s="139">
        <f>IFERROR(__xludf.DUMMYFUNCTION("""COMPUTED_VALUE"""),59.0)</f>
        <v>59</v>
      </c>
      <c r="E43" s="138">
        <f>IFERROR(__xludf.DUMMYFUNCTION("""COMPUTED_VALUE"""),5.0)</f>
        <v>5</v>
      </c>
      <c r="F43" s="138">
        <f>IFERROR(__xludf.DUMMYFUNCTION("""COMPUTED_VALUE"""),5.0)</f>
        <v>5</v>
      </c>
      <c r="G43" s="138">
        <f>IFERROR(__xludf.DUMMYFUNCTION("""COMPUTED_VALUE"""),5.0)</f>
        <v>5</v>
      </c>
      <c r="H43" s="138">
        <f>IFERROR(__xludf.DUMMYFUNCTION("""COMPUTED_VALUE"""),5.0)</f>
        <v>5</v>
      </c>
      <c r="I43" s="138">
        <f>IFERROR(__xludf.DUMMYFUNCTION("""COMPUTED_VALUE"""),5.0)</f>
        <v>5</v>
      </c>
      <c r="J43" s="138">
        <f>IFERROR(__xludf.DUMMYFUNCTION("""COMPUTED_VALUE"""),5.0)</f>
        <v>5</v>
      </c>
      <c r="K43" s="138">
        <f>IFERROR(__xludf.DUMMYFUNCTION("""COMPUTED_VALUE"""),5.0)</f>
        <v>5</v>
      </c>
      <c r="L43" s="138">
        <v>35.0</v>
      </c>
      <c r="M43" s="140" t="str">
        <f>VLOOKUP(text(D43, "#"),'Master Table'!$A:$F, 6, FALSE)</f>
        <v>I-4</v>
      </c>
      <c r="N43" s="141" t="str">
        <f>IFERROR(__xludf.DUMMYFUNCTION("""COMPUTED_VALUE"""),"Christaysha, thank you for sharing your project. I think it's really important to evaluate programs that are meant to enrich the lives of underrepresented, minoritized identities. It's even better when it's being evaluated by those who are actually in it."&amp;" You're truly doing your peers a service by helping to evaluate and inform the program. 
I don't understand why the conference coordinators placed you so far from the other education undergrads but that isn't on you. I had a hard time finding your poster"&amp;". 
Looking forward to seeing what you accomplish in grad school")</f>
        <v>Christaysha, thank you for sharing your project. I think it's really important to evaluate programs that are meant to enrich the lives of underrepresented, minoritized identities. It's even better when it's being evaluated by those who are actually in it. You're truly doing your peers a service by helping to evaluate and inform the program. 
I don't understand why the conference coordinators placed you so far from the other education undergrads but that isn't on you. I had a hard time finding your poster. 
Looking forward to seeing what you accomplish in grad school</v>
      </c>
      <c r="O43" s="142" t="str">
        <f t="shared" si="1"/>
        <v/>
      </c>
      <c r="P43" s="143" t="str">
        <f>IF(ISNA(VLOOKUP(CONCAT(M43,C43), 'Judge Count DO NOT EDIT'!H:H, 1, FALSE)), "ERROR","")</f>
        <v/>
      </c>
      <c r="Q43" s="144"/>
      <c r="R43" s="143"/>
      <c r="S43" s="139" t="str">
        <f t="shared" si="2"/>
        <v>112559</v>
      </c>
      <c r="T43" s="141"/>
    </row>
    <row r="44">
      <c r="A44" s="137">
        <f>IFERROR(__xludf.DUMMYFUNCTION("""COMPUTED_VALUE"""),45352.386396145834)</f>
        <v>45352.3864</v>
      </c>
      <c r="B44" s="138" t="str">
        <f>IFERROR(__xludf.DUMMYFUNCTION("""COMPUTED_VALUE"""),"Kangoh Lee")</f>
        <v>Kangoh Lee</v>
      </c>
      <c r="C44" s="138">
        <f>IFERROR(__xludf.DUMMYFUNCTION("""COMPUTED_VALUE"""),1018.0)</f>
        <v>1018</v>
      </c>
      <c r="D44" s="139">
        <f>IFERROR(__xludf.DUMMYFUNCTION("""COMPUTED_VALUE"""),100.0)</f>
        <v>100</v>
      </c>
      <c r="E44" s="138">
        <f>IFERROR(__xludf.DUMMYFUNCTION("""COMPUTED_VALUE"""),4.0)</f>
        <v>4</v>
      </c>
      <c r="F44" s="138">
        <f>IFERROR(__xludf.DUMMYFUNCTION("""COMPUTED_VALUE"""),3.0)</f>
        <v>3</v>
      </c>
      <c r="G44" s="138">
        <f>IFERROR(__xludf.DUMMYFUNCTION("""COMPUTED_VALUE"""),3.0)</f>
        <v>3</v>
      </c>
      <c r="H44" s="138">
        <f>IFERROR(__xludf.DUMMYFUNCTION("""COMPUTED_VALUE"""),3.0)</f>
        <v>3</v>
      </c>
      <c r="I44" s="138">
        <f>IFERROR(__xludf.DUMMYFUNCTION("""COMPUTED_VALUE"""),4.0)</f>
        <v>4</v>
      </c>
      <c r="J44" s="138">
        <f>IFERROR(__xludf.DUMMYFUNCTION("""COMPUTED_VALUE"""),4.0)</f>
        <v>4</v>
      </c>
      <c r="K44" s="138">
        <f>IFERROR(__xludf.DUMMYFUNCTION("""COMPUTED_VALUE"""),4.0)</f>
        <v>4</v>
      </c>
      <c r="L44" s="138">
        <v>25.0</v>
      </c>
      <c r="M44" s="140" t="str">
        <f>VLOOKUP(text(D44, "#"),'Master Table'!$A:$F, 6, FALSE)</f>
        <v>A-1</v>
      </c>
      <c r="N44" s="141" t="str">
        <f>IFERROR(__xludf.DUMMYFUNCTION("""COMPUTED_VALUE"""),"I would like to see statistical analysis even though there is a sample selection issue and the sample size appears to be very small.  Need to obtain better data in the future and analyze the data statistically.")</f>
        <v>I would like to see statistical analysis even though there is a sample selection issue and the sample size appears to be very small.  Need to obtain better data in the future and analyze the data statistically.</v>
      </c>
      <c r="O44" s="142" t="str">
        <f t="shared" si="1"/>
        <v/>
      </c>
      <c r="P44" s="143" t="str">
        <f>IF(ISNA(VLOOKUP(CONCAT(M44,C44), 'Judge Count DO NOT EDIT'!H:H, 1, FALSE)), "ERROR","")</f>
        <v/>
      </c>
      <c r="Q44" s="144"/>
      <c r="R44" s="143"/>
      <c r="S44" s="139" t="str">
        <f t="shared" si="2"/>
        <v>1018100</v>
      </c>
      <c r="T44" s="141"/>
    </row>
    <row r="45">
      <c r="A45" s="137">
        <f>IFERROR(__xludf.DUMMYFUNCTION("""COMPUTED_VALUE"""),45352.39082704861)</f>
        <v>45352.39083</v>
      </c>
      <c r="B45" s="138" t="str">
        <f>IFERROR(__xludf.DUMMYFUNCTION("""COMPUTED_VALUE"""),"Alyson Abel")</f>
        <v>Alyson Abel</v>
      </c>
      <c r="C45" s="138">
        <f>IFERROR(__xludf.DUMMYFUNCTION("""COMPUTED_VALUE"""),1001.0)</f>
        <v>1001</v>
      </c>
      <c r="D45" s="139">
        <f>IFERROR(__xludf.DUMMYFUNCTION("""COMPUTED_VALUE"""),100.0)</f>
        <v>100</v>
      </c>
      <c r="E45" s="138">
        <f>IFERROR(__xludf.DUMMYFUNCTION("""COMPUTED_VALUE"""),4.0)</f>
        <v>4</v>
      </c>
      <c r="F45" s="138">
        <f>IFERROR(__xludf.DUMMYFUNCTION("""COMPUTED_VALUE"""),4.0)</f>
        <v>4</v>
      </c>
      <c r="G45" s="138">
        <f>IFERROR(__xludf.DUMMYFUNCTION("""COMPUTED_VALUE"""),5.0)</f>
        <v>5</v>
      </c>
      <c r="H45" s="138">
        <f>IFERROR(__xludf.DUMMYFUNCTION("""COMPUTED_VALUE"""),3.0)</f>
        <v>3</v>
      </c>
      <c r="I45" s="138">
        <f>IFERROR(__xludf.DUMMYFUNCTION("""COMPUTED_VALUE"""),4.0)</f>
        <v>4</v>
      </c>
      <c r="J45" s="138">
        <f>IFERROR(__xludf.DUMMYFUNCTION("""COMPUTED_VALUE"""),5.0)</f>
        <v>5</v>
      </c>
      <c r="K45" s="138">
        <f>IFERROR(__xludf.DUMMYFUNCTION("""COMPUTED_VALUE"""),4.0)</f>
        <v>4</v>
      </c>
      <c r="L45" s="138">
        <v>29.0</v>
      </c>
      <c r="M45" s="140" t="str">
        <f>VLOOKUP(text(D45, "#"),'Master Table'!$A:$F, 6, FALSE)</f>
        <v>A-1</v>
      </c>
      <c r="N45" s="141"/>
      <c r="O45" s="142" t="str">
        <f t="shared" si="1"/>
        <v/>
      </c>
      <c r="P45" s="143" t="str">
        <f>IF(ISNA(VLOOKUP(CONCAT(M45,C45), 'Judge Count DO NOT EDIT'!H:H, 1, FALSE)), "ERROR","")</f>
        <v/>
      </c>
      <c r="Q45" s="141"/>
      <c r="R45" s="143"/>
      <c r="S45" s="139" t="str">
        <f t="shared" si="2"/>
        <v>1001100</v>
      </c>
      <c r="T45" s="141"/>
    </row>
    <row r="46">
      <c r="A46" s="137">
        <f>IFERROR(__xludf.DUMMYFUNCTION("""COMPUTED_VALUE"""),45352.507554490745)</f>
        <v>45352.50755</v>
      </c>
      <c r="B46" s="138" t="str">
        <f>IFERROR(__xludf.DUMMYFUNCTION("""COMPUTED_VALUE"""),"Jules Bunn")</f>
        <v>Jules Bunn</v>
      </c>
      <c r="C46" s="138">
        <f>IFERROR(__xludf.DUMMYFUNCTION("""COMPUTED_VALUE"""),1084.0)</f>
        <v>1084</v>
      </c>
      <c r="D46" s="139">
        <f>IFERROR(__xludf.DUMMYFUNCTION("""COMPUTED_VALUE"""),100.0)</f>
        <v>100</v>
      </c>
      <c r="E46" s="138">
        <f>IFERROR(__xludf.DUMMYFUNCTION("""COMPUTED_VALUE"""),4.0)</f>
        <v>4</v>
      </c>
      <c r="F46" s="138">
        <f>IFERROR(__xludf.DUMMYFUNCTION("""COMPUTED_VALUE"""),4.0)</f>
        <v>4</v>
      </c>
      <c r="G46" s="138">
        <f>IFERROR(__xludf.DUMMYFUNCTION("""COMPUTED_VALUE"""),3.0)</f>
        <v>3</v>
      </c>
      <c r="H46" s="138">
        <f>IFERROR(__xludf.DUMMYFUNCTION("""COMPUTED_VALUE"""),3.0)</f>
        <v>3</v>
      </c>
      <c r="I46" s="138">
        <f>IFERROR(__xludf.DUMMYFUNCTION("""COMPUTED_VALUE"""),4.0)</f>
        <v>4</v>
      </c>
      <c r="J46" s="138">
        <f>IFERROR(__xludf.DUMMYFUNCTION("""COMPUTED_VALUE"""),4.0)</f>
        <v>4</v>
      </c>
      <c r="K46" s="138">
        <f>IFERROR(__xludf.DUMMYFUNCTION("""COMPUTED_VALUE"""),3.0)</f>
        <v>3</v>
      </c>
      <c r="L46" s="138">
        <v>25.0</v>
      </c>
      <c r="M46" s="140" t="str">
        <f>VLOOKUP(text(D46, "#"),'Master Table'!$A:$F, 6, FALSE)</f>
        <v>A-1</v>
      </c>
      <c r="N46" s="141"/>
      <c r="O46" s="142" t="str">
        <f t="shared" si="1"/>
        <v/>
      </c>
      <c r="P46" s="143" t="str">
        <f>IF(ISNA(VLOOKUP(CONCAT(M46,C46), 'Judge Count DO NOT EDIT'!H:H, 1, FALSE)), "ERROR","")</f>
        <v/>
      </c>
      <c r="Q46" s="141"/>
      <c r="R46" s="143"/>
      <c r="S46" s="139" t="str">
        <f t="shared" si="2"/>
        <v>1084100</v>
      </c>
      <c r="T46" s="141"/>
    </row>
    <row r="47">
      <c r="A47" s="137">
        <f>IFERROR(__xludf.DUMMYFUNCTION("""COMPUTED_VALUE"""),45352.56503745371)</f>
        <v>45352.56504</v>
      </c>
      <c r="B47" s="138" t="str">
        <f>IFERROR(__xludf.DUMMYFUNCTION("""COMPUTED_VALUE"""),"Charmane Perry")</f>
        <v>Charmane Perry</v>
      </c>
      <c r="C47" s="138">
        <f>IFERROR(__xludf.DUMMYFUNCTION("""COMPUTED_VALUE"""),1089.0)</f>
        <v>1089</v>
      </c>
      <c r="D47" s="139">
        <f>IFERROR(__xludf.DUMMYFUNCTION("""COMPUTED_VALUE"""),100.0)</f>
        <v>100</v>
      </c>
      <c r="E47" s="138">
        <f>IFERROR(__xludf.DUMMYFUNCTION("""COMPUTED_VALUE"""),4.0)</f>
        <v>4</v>
      </c>
      <c r="F47" s="138">
        <f>IFERROR(__xludf.DUMMYFUNCTION("""COMPUTED_VALUE"""),4.0)</f>
        <v>4</v>
      </c>
      <c r="G47" s="138">
        <f>IFERROR(__xludf.DUMMYFUNCTION("""COMPUTED_VALUE"""),4.0)</f>
        <v>4</v>
      </c>
      <c r="H47" s="138">
        <f>IFERROR(__xludf.DUMMYFUNCTION("""COMPUTED_VALUE"""),4.0)</f>
        <v>4</v>
      </c>
      <c r="I47" s="138">
        <f>IFERROR(__xludf.DUMMYFUNCTION("""COMPUTED_VALUE"""),5.0)</f>
        <v>5</v>
      </c>
      <c r="J47" s="138">
        <f>IFERROR(__xludf.DUMMYFUNCTION("""COMPUTED_VALUE"""),4.0)</f>
        <v>4</v>
      </c>
      <c r="K47" s="138">
        <f>IFERROR(__xludf.DUMMYFUNCTION("""COMPUTED_VALUE"""),4.0)</f>
        <v>4</v>
      </c>
      <c r="L47" s="138">
        <v>29.0</v>
      </c>
      <c r="M47" s="140" t="str">
        <f>VLOOKUP(text(D47, "#"),'Master Table'!$A:$F, 6, FALSE)</f>
        <v>A-1</v>
      </c>
      <c r="N47" s="141" t="str">
        <f>IFERROR(__xludf.DUMMYFUNCTION("""COMPUTED_VALUE"""),"Emily's research project is very timely and relevant. She also handled herself very well after a somewhat hectic setup with the computer; something like that would have probably rattled my nerves when I was her age. I admire the way she was able to go thr"&amp;"ough her presentation without notes. However, I do wish she would have shown us some of the results (I would have liked to see some excerpts from the interview).")</f>
        <v>Emily's research project is very timely and relevant. She also handled herself very well after a somewhat hectic setup with the computer; something like that would have probably rattled my nerves when I was her age. I admire the way she was able to go through her presentation without notes. However, I do wish she would have shown us some of the results (I would have liked to see some excerpts from the interview).</v>
      </c>
      <c r="O47" s="142" t="str">
        <f t="shared" si="1"/>
        <v/>
      </c>
      <c r="P47" s="143" t="str">
        <f>IF(ISNA(VLOOKUP(CONCAT(M47,C47), 'Judge Count DO NOT EDIT'!H:H, 1, FALSE)), "ERROR","")</f>
        <v/>
      </c>
      <c r="Q47" s="144"/>
      <c r="R47" s="143"/>
      <c r="S47" s="139" t="str">
        <f t="shared" si="2"/>
        <v>1089100</v>
      </c>
      <c r="T47" s="144"/>
    </row>
    <row r="48">
      <c r="A48" s="137">
        <f>IFERROR(__xludf.DUMMYFUNCTION("""COMPUTED_VALUE"""),45352.39875700232)</f>
        <v>45352.39876</v>
      </c>
      <c r="B48" s="138" t="str">
        <f>IFERROR(__xludf.DUMMYFUNCTION("""COMPUTED_VALUE"""),"Kangoh Lee")</f>
        <v>Kangoh Lee</v>
      </c>
      <c r="C48" s="138">
        <f>IFERROR(__xludf.DUMMYFUNCTION("""COMPUTED_VALUE"""),1018.0)</f>
        <v>1018</v>
      </c>
      <c r="D48" s="139">
        <f>IFERROR(__xludf.DUMMYFUNCTION("""COMPUTED_VALUE"""),101.0)</f>
        <v>101</v>
      </c>
      <c r="E48" s="138">
        <f>IFERROR(__xludf.DUMMYFUNCTION("""COMPUTED_VALUE"""),4.0)</f>
        <v>4</v>
      </c>
      <c r="F48" s="138">
        <f>IFERROR(__xludf.DUMMYFUNCTION("""COMPUTED_VALUE"""),4.0)</f>
        <v>4</v>
      </c>
      <c r="G48" s="138">
        <f>IFERROR(__xludf.DUMMYFUNCTION("""COMPUTED_VALUE"""),4.0)</f>
        <v>4</v>
      </c>
      <c r="H48" s="138">
        <f>IFERROR(__xludf.DUMMYFUNCTION("""COMPUTED_VALUE"""),4.0)</f>
        <v>4</v>
      </c>
      <c r="I48" s="138">
        <f>IFERROR(__xludf.DUMMYFUNCTION("""COMPUTED_VALUE"""),4.0)</f>
        <v>4</v>
      </c>
      <c r="J48" s="138">
        <f>IFERROR(__xludf.DUMMYFUNCTION("""COMPUTED_VALUE"""),4.0)</f>
        <v>4</v>
      </c>
      <c r="K48" s="138">
        <f>IFERROR(__xludf.DUMMYFUNCTION("""COMPUTED_VALUE"""),4.0)</f>
        <v>4</v>
      </c>
      <c r="L48" s="138">
        <v>28.0</v>
      </c>
      <c r="M48" s="140" t="str">
        <f>VLOOKUP(text(D48, "#"),'Master Table'!$A:$F, 6, FALSE)</f>
        <v>A-1</v>
      </c>
      <c r="N48" s="141" t="str">
        <f>IFERROR(__xludf.DUMMYFUNCTION("""COMPUTED_VALUE"""),"I would like see a larger data set and see more control variables such as family situations and peers.")</f>
        <v>I would like see a larger data set and see more control variables such as family situations and peers.</v>
      </c>
      <c r="O48" s="142" t="str">
        <f t="shared" si="1"/>
        <v/>
      </c>
      <c r="P48" s="143" t="str">
        <f>IF(ISNA(VLOOKUP(CONCAT(M48,C48), 'Judge Count DO NOT EDIT'!H:H, 1, FALSE)), "ERROR","")</f>
        <v/>
      </c>
      <c r="Q48" s="141"/>
      <c r="R48" s="143"/>
      <c r="S48" s="139" t="str">
        <f t="shared" si="2"/>
        <v>1018101</v>
      </c>
      <c r="T48" s="141"/>
    </row>
    <row r="49">
      <c r="A49" s="137">
        <f>IFERROR(__xludf.DUMMYFUNCTION("""COMPUTED_VALUE"""),45352.39956994213)</f>
        <v>45352.39957</v>
      </c>
      <c r="B49" s="138" t="str">
        <f>IFERROR(__xludf.DUMMYFUNCTION("""COMPUTED_VALUE"""),"Alyson Abel")</f>
        <v>Alyson Abel</v>
      </c>
      <c r="C49" s="138">
        <f>IFERROR(__xludf.DUMMYFUNCTION("""COMPUTED_VALUE"""),1001.0)</f>
        <v>1001</v>
      </c>
      <c r="D49" s="139">
        <f>IFERROR(__xludf.DUMMYFUNCTION("""COMPUTED_VALUE"""),101.0)</f>
        <v>101</v>
      </c>
      <c r="E49" s="138">
        <f>IFERROR(__xludf.DUMMYFUNCTION("""COMPUTED_VALUE"""),4.0)</f>
        <v>4</v>
      </c>
      <c r="F49" s="138">
        <f>IFERROR(__xludf.DUMMYFUNCTION("""COMPUTED_VALUE"""),4.0)</f>
        <v>4</v>
      </c>
      <c r="G49" s="138">
        <f>IFERROR(__xludf.DUMMYFUNCTION("""COMPUTED_VALUE"""),4.0)</f>
        <v>4</v>
      </c>
      <c r="H49" s="138">
        <f>IFERROR(__xludf.DUMMYFUNCTION("""COMPUTED_VALUE"""),4.0)</f>
        <v>4</v>
      </c>
      <c r="I49" s="138">
        <f>IFERROR(__xludf.DUMMYFUNCTION("""COMPUTED_VALUE"""),4.0)</f>
        <v>4</v>
      </c>
      <c r="J49" s="138">
        <f>IFERROR(__xludf.DUMMYFUNCTION("""COMPUTED_VALUE"""),4.0)</f>
        <v>4</v>
      </c>
      <c r="K49" s="138">
        <f>IFERROR(__xludf.DUMMYFUNCTION("""COMPUTED_VALUE"""),4.0)</f>
        <v>4</v>
      </c>
      <c r="L49" s="138">
        <v>28.0</v>
      </c>
      <c r="M49" s="140" t="str">
        <f>VLOOKUP(text(D49, "#"),'Master Table'!$A:$F, 6, FALSE)</f>
        <v>A-1</v>
      </c>
      <c r="N49" s="141"/>
      <c r="O49" s="142" t="str">
        <f t="shared" si="1"/>
        <v/>
      </c>
      <c r="P49" s="143" t="str">
        <f>IF(ISNA(VLOOKUP(CONCAT(M49,C49), 'Judge Count DO NOT EDIT'!H:H, 1, FALSE)), "ERROR","")</f>
        <v/>
      </c>
      <c r="Q49" s="141"/>
      <c r="R49" s="143"/>
      <c r="S49" s="139" t="str">
        <f t="shared" si="2"/>
        <v>1001101</v>
      </c>
      <c r="T49" s="141"/>
    </row>
    <row r="50">
      <c r="A50" s="137">
        <f>IFERROR(__xludf.DUMMYFUNCTION("""COMPUTED_VALUE"""),45352.50903822917)</f>
        <v>45352.50904</v>
      </c>
      <c r="B50" s="138" t="str">
        <f>IFERROR(__xludf.DUMMYFUNCTION("""COMPUTED_VALUE"""),"Jules Bunn")</f>
        <v>Jules Bunn</v>
      </c>
      <c r="C50" s="138">
        <f>IFERROR(__xludf.DUMMYFUNCTION("""COMPUTED_VALUE"""),1084.0)</f>
        <v>1084</v>
      </c>
      <c r="D50" s="139">
        <f>IFERROR(__xludf.DUMMYFUNCTION("""COMPUTED_VALUE"""),101.0)</f>
        <v>101</v>
      </c>
      <c r="E50" s="138">
        <f>IFERROR(__xludf.DUMMYFUNCTION("""COMPUTED_VALUE"""),3.0)</f>
        <v>3</v>
      </c>
      <c r="F50" s="138">
        <f>IFERROR(__xludf.DUMMYFUNCTION("""COMPUTED_VALUE"""),3.0)</f>
        <v>3</v>
      </c>
      <c r="G50" s="138">
        <f>IFERROR(__xludf.DUMMYFUNCTION("""COMPUTED_VALUE"""),4.0)</f>
        <v>4</v>
      </c>
      <c r="H50" s="138">
        <f>IFERROR(__xludf.DUMMYFUNCTION("""COMPUTED_VALUE"""),3.0)</f>
        <v>3</v>
      </c>
      <c r="I50" s="138">
        <f>IFERROR(__xludf.DUMMYFUNCTION("""COMPUTED_VALUE"""),3.0)</f>
        <v>3</v>
      </c>
      <c r="J50" s="138">
        <f>IFERROR(__xludf.DUMMYFUNCTION("""COMPUTED_VALUE"""),3.0)</f>
        <v>3</v>
      </c>
      <c r="K50" s="138">
        <f>IFERROR(__xludf.DUMMYFUNCTION("""COMPUTED_VALUE"""),3.0)</f>
        <v>3</v>
      </c>
      <c r="L50" s="138">
        <v>22.0</v>
      </c>
      <c r="M50" s="140" t="str">
        <f>VLOOKUP(text(D50, "#"),'Master Table'!$A:$F, 6, FALSE)</f>
        <v>A-1</v>
      </c>
      <c r="N50" s="141"/>
      <c r="O50" s="142" t="str">
        <f t="shared" si="1"/>
        <v/>
      </c>
      <c r="P50" s="143" t="str">
        <f>IF(ISNA(VLOOKUP(CONCAT(M50,C50), 'Judge Count DO NOT EDIT'!H:H, 1, FALSE)), "ERROR","")</f>
        <v/>
      </c>
      <c r="Q50" s="141"/>
      <c r="R50" s="143"/>
      <c r="S50" s="139" t="str">
        <f t="shared" si="2"/>
        <v>1084101</v>
      </c>
      <c r="T50" s="141"/>
    </row>
    <row r="51">
      <c r="A51" s="137">
        <f>IFERROR(__xludf.DUMMYFUNCTION("""COMPUTED_VALUE"""),45352.568814976854)</f>
        <v>45352.56881</v>
      </c>
      <c r="B51" s="138" t="str">
        <f>IFERROR(__xludf.DUMMYFUNCTION("""COMPUTED_VALUE"""),"Charmane Perry")</f>
        <v>Charmane Perry</v>
      </c>
      <c r="C51" s="138">
        <f>IFERROR(__xludf.DUMMYFUNCTION("""COMPUTED_VALUE"""),1089.0)</f>
        <v>1089</v>
      </c>
      <c r="D51" s="139">
        <f>IFERROR(__xludf.DUMMYFUNCTION("""COMPUTED_VALUE"""),101.0)</f>
        <v>101</v>
      </c>
      <c r="E51" s="138">
        <f>IFERROR(__xludf.DUMMYFUNCTION("""COMPUTED_VALUE"""),4.0)</f>
        <v>4</v>
      </c>
      <c r="F51" s="138">
        <f>IFERROR(__xludf.DUMMYFUNCTION("""COMPUTED_VALUE"""),4.0)</f>
        <v>4</v>
      </c>
      <c r="G51" s="138">
        <f>IFERROR(__xludf.DUMMYFUNCTION("""COMPUTED_VALUE"""),5.0)</f>
        <v>5</v>
      </c>
      <c r="H51" s="138">
        <f>IFERROR(__xludf.DUMMYFUNCTION("""COMPUTED_VALUE"""),4.0)</f>
        <v>4</v>
      </c>
      <c r="I51" s="138">
        <f>IFERROR(__xludf.DUMMYFUNCTION("""COMPUTED_VALUE"""),4.0)</f>
        <v>4</v>
      </c>
      <c r="J51" s="138">
        <f>IFERROR(__xludf.DUMMYFUNCTION("""COMPUTED_VALUE"""),3.0)</f>
        <v>3</v>
      </c>
      <c r="K51" s="138">
        <f>IFERROR(__xludf.DUMMYFUNCTION("""COMPUTED_VALUE"""),5.0)</f>
        <v>5</v>
      </c>
      <c r="L51" s="138">
        <v>29.0</v>
      </c>
      <c r="M51" s="140" t="str">
        <f>VLOOKUP(text(D51, "#"),'Master Table'!$A:$F, 6, FALSE)</f>
        <v>A-1</v>
      </c>
      <c r="N51" s="141" t="str">
        <f>IFERROR(__xludf.DUMMYFUNCTION("""COMPUTED_VALUE"""),"I though Shefali's presentation was quite interesting and very important especially for this politically climate. I appreciate her ability to navigate her presentation without any assistance with notes. I did think some of the slides were a bit wordy (for"&amp;" example the slide on intersectional discrimination). A tool I learned for creating PowerPoints for class was to limit the amount of words you use. It can be distracting as the audience is trying to read and listen to you at the same time. There was one q"&amp;"uestion about where the population/demographic was from that she was comparing her participants in San Diego with; I would be pretty surprised that that information would not be included in the article and seems like important information to know for comp"&amp;"arative analysis to greater enhance the significance of her findings.")</f>
        <v>I though Shefali's presentation was quite interesting and very important especially for this politically climate. I appreciate her ability to navigate her presentation without any assistance with notes. I did think some of the slides were a bit wordy (for example the slide on intersectional discrimination). A tool I learned for creating PowerPoints for class was to limit the amount of words you use. It can be distracting as the audience is trying to read and listen to you at the same time. There was one question about where the population/demographic was from that she was comparing her participants in San Diego with; I would be pretty surprised that that information would not be included in the article and seems like important information to know for comparative analysis to greater enhance the significance of her findings.</v>
      </c>
      <c r="O51" s="142" t="str">
        <f t="shared" si="1"/>
        <v/>
      </c>
      <c r="P51" s="143" t="str">
        <f>IF(ISNA(VLOOKUP(CONCAT(M51,C51), 'Judge Count DO NOT EDIT'!H:H, 1, FALSE)), "ERROR","")</f>
        <v/>
      </c>
      <c r="Q51" s="144"/>
      <c r="R51" s="143"/>
      <c r="S51" s="139" t="str">
        <f t="shared" si="2"/>
        <v>1089101</v>
      </c>
      <c r="T51" s="141"/>
    </row>
    <row r="52">
      <c r="A52" s="137">
        <f>IFERROR(__xludf.DUMMYFUNCTION("""COMPUTED_VALUE"""),45352.41392975695)</f>
        <v>45352.41393</v>
      </c>
      <c r="B52" s="138" t="str">
        <f>IFERROR(__xludf.DUMMYFUNCTION("""COMPUTED_VALUE"""),"Kangoh Lee")</f>
        <v>Kangoh Lee</v>
      </c>
      <c r="C52" s="138">
        <f>IFERROR(__xludf.DUMMYFUNCTION("""COMPUTED_VALUE"""),1018.0)</f>
        <v>1018</v>
      </c>
      <c r="D52" s="139">
        <f>IFERROR(__xludf.DUMMYFUNCTION("""COMPUTED_VALUE"""),103.0)</f>
        <v>103</v>
      </c>
      <c r="E52" s="138">
        <f>IFERROR(__xludf.DUMMYFUNCTION("""COMPUTED_VALUE"""),4.0)</f>
        <v>4</v>
      </c>
      <c r="F52" s="138">
        <f>IFERROR(__xludf.DUMMYFUNCTION("""COMPUTED_VALUE"""),3.0)</f>
        <v>3</v>
      </c>
      <c r="G52" s="138">
        <f>IFERROR(__xludf.DUMMYFUNCTION("""COMPUTED_VALUE"""),3.0)</f>
        <v>3</v>
      </c>
      <c r="H52" s="138">
        <f>IFERROR(__xludf.DUMMYFUNCTION("""COMPUTED_VALUE"""),3.0)</f>
        <v>3</v>
      </c>
      <c r="I52" s="138">
        <f>IFERROR(__xludf.DUMMYFUNCTION("""COMPUTED_VALUE"""),3.0)</f>
        <v>3</v>
      </c>
      <c r="J52" s="138">
        <f>IFERROR(__xludf.DUMMYFUNCTION("""COMPUTED_VALUE"""),4.0)</f>
        <v>4</v>
      </c>
      <c r="K52" s="138">
        <f>IFERROR(__xludf.DUMMYFUNCTION("""COMPUTED_VALUE"""),4.0)</f>
        <v>4</v>
      </c>
      <c r="L52" s="138">
        <v>24.0</v>
      </c>
      <c r="M52" s="140" t="str">
        <f>VLOOKUP(text(D52, "#"),'Master Table'!$A:$F, 6, FALSE)</f>
        <v>A-1</v>
      </c>
      <c r="N52" s="141" t="str">
        <f>IFERROR(__xludf.DUMMYFUNCTION("""COMPUTED_VALUE"""),"I would like to see a more systematic literature review.  How many research articles did you consider, how did you choose them, and how did you synthesize the relevant research papers?  If you are familiar with your research, you should be able to present"&amp;" without looking at your your phone.")</f>
        <v>I would like to see a more systematic literature review.  How many research articles did you consider, how did you choose them, and how did you synthesize the relevant research papers?  If you are familiar with your research, you should be able to present without looking at your your phone.</v>
      </c>
      <c r="O52" s="142" t="str">
        <f t="shared" si="1"/>
        <v/>
      </c>
      <c r="P52" s="143" t="str">
        <f>IF(ISNA(VLOOKUP(CONCAT(M52,C52), 'Judge Count DO NOT EDIT'!H:H, 1, FALSE)), "ERROR","")</f>
        <v/>
      </c>
      <c r="Q52" s="141"/>
      <c r="R52" s="143"/>
      <c r="S52" s="139" t="str">
        <f t="shared" si="2"/>
        <v>1018103</v>
      </c>
      <c r="T52" s="141"/>
    </row>
    <row r="53">
      <c r="A53" s="137">
        <f>IFERROR(__xludf.DUMMYFUNCTION("""COMPUTED_VALUE"""),45352.41710717593)</f>
        <v>45352.41711</v>
      </c>
      <c r="B53" s="138" t="str">
        <f>IFERROR(__xludf.DUMMYFUNCTION("""COMPUTED_VALUE"""),"Alyson Abel")</f>
        <v>Alyson Abel</v>
      </c>
      <c r="C53" s="138">
        <f>IFERROR(__xludf.DUMMYFUNCTION("""COMPUTED_VALUE"""),1001.0)</f>
        <v>1001</v>
      </c>
      <c r="D53" s="139">
        <f>IFERROR(__xludf.DUMMYFUNCTION("""COMPUTED_VALUE"""),103.0)</f>
        <v>103</v>
      </c>
      <c r="E53" s="138">
        <f>IFERROR(__xludf.DUMMYFUNCTION("""COMPUTED_VALUE"""),3.0)</f>
        <v>3</v>
      </c>
      <c r="F53" s="138">
        <f>IFERROR(__xludf.DUMMYFUNCTION("""COMPUTED_VALUE"""),4.0)</f>
        <v>4</v>
      </c>
      <c r="G53" s="138">
        <f>IFERROR(__xludf.DUMMYFUNCTION("""COMPUTED_VALUE"""),4.0)</f>
        <v>4</v>
      </c>
      <c r="H53" s="138">
        <f>IFERROR(__xludf.DUMMYFUNCTION("""COMPUTED_VALUE"""),3.0)</f>
        <v>3</v>
      </c>
      <c r="I53" s="138">
        <f>IFERROR(__xludf.DUMMYFUNCTION("""COMPUTED_VALUE"""),3.0)</f>
        <v>3</v>
      </c>
      <c r="J53" s="138">
        <f>IFERROR(__xludf.DUMMYFUNCTION("""COMPUTED_VALUE"""),3.0)</f>
        <v>3</v>
      </c>
      <c r="K53" s="138">
        <f>IFERROR(__xludf.DUMMYFUNCTION("""COMPUTED_VALUE"""),4.0)</f>
        <v>4</v>
      </c>
      <c r="L53" s="138">
        <v>24.0</v>
      </c>
      <c r="M53" s="140" t="str">
        <f>VLOOKUP(text(D53, "#"),'Master Table'!$A:$F, 6, FALSE)</f>
        <v>A-1</v>
      </c>
      <c r="N53" s="141"/>
      <c r="O53" s="142" t="str">
        <f t="shared" si="1"/>
        <v/>
      </c>
      <c r="P53" s="143" t="str">
        <f>IF(ISNA(VLOOKUP(CONCAT(M53,C53), 'Judge Count DO NOT EDIT'!H:H, 1, FALSE)), "ERROR","")</f>
        <v/>
      </c>
      <c r="Q53" s="141"/>
      <c r="R53" s="143"/>
      <c r="S53" s="139" t="str">
        <f t="shared" si="2"/>
        <v>1001103</v>
      </c>
      <c r="T53" s="141"/>
    </row>
    <row r="54">
      <c r="A54" s="137">
        <f>IFERROR(__xludf.DUMMYFUNCTION("""COMPUTED_VALUE"""),45352.51365439815)</f>
        <v>45352.51365</v>
      </c>
      <c r="B54" s="138" t="str">
        <f>IFERROR(__xludf.DUMMYFUNCTION("""COMPUTED_VALUE"""),"Jules Bunn")</f>
        <v>Jules Bunn</v>
      </c>
      <c r="C54" s="138">
        <f>IFERROR(__xludf.DUMMYFUNCTION("""COMPUTED_VALUE"""),1084.0)</f>
        <v>1084</v>
      </c>
      <c r="D54" s="139">
        <f>IFERROR(__xludf.DUMMYFUNCTION("""COMPUTED_VALUE"""),103.0)</f>
        <v>103</v>
      </c>
      <c r="E54" s="138">
        <f>IFERROR(__xludf.DUMMYFUNCTION("""COMPUTED_VALUE"""),3.0)</f>
        <v>3</v>
      </c>
      <c r="F54" s="138">
        <f>IFERROR(__xludf.DUMMYFUNCTION("""COMPUTED_VALUE"""),4.0)</f>
        <v>4</v>
      </c>
      <c r="G54" s="138">
        <f>IFERROR(__xludf.DUMMYFUNCTION("""COMPUTED_VALUE"""),3.0)</f>
        <v>3</v>
      </c>
      <c r="H54" s="138">
        <f>IFERROR(__xludf.DUMMYFUNCTION("""COMPUTED_VALUE"""),3.0)</f>
        <v>3</v>
      </c>
      <c r="I54" s="138">
        <f>IFERROR(__xludf.DUMMYFUNCTION("""COMPUTED_VALUE"""),2.0)</f>
        <v>2</v>
      </c>
      <c r="J54" s="138">
        <f>IFERROR(__xludf.DUMMYFUNCTION("""COMPUTED_VALUE"""),2.0)</f>
        <v>2</v>
      </c>
      <c r="K54" s="138">
        <f>IFERROR(__xludf.DUMMYFUNCTION("""COMPUTED_VALUE"""),3.0)</f>
        <v>3</v>
      </c>
      <c r="L54" s="138">
        <v>20.0</v>
      </c>
      <c r="M54" s="140" t="str">
        <f>VLOOKUP(text(D54, "#"),'Master Table'!$A:$F, 6, FALSE)</f>
        <v>A-1</v>
      </c>
      <c r="N54" s="141" t="str">
        <f>IFERROR(__xludf.DUMMYFUNCTION("""COMPUTED_VALUE"""),"Lack of emotional thought regarding language use. Notes should be on a page or rehearsed. ")</f>
        <v>Lack of emotional thought regarding language use. Notes should be on a page or rehearsed. </v>
      </c>
      <c r="O54" s="142" t="str">
        <f t="shared" si="1"/>
        <v/>
      </c>
      <c r="P54" s="143" t="str">
        <f>IF(ISNA(VLOOKUP(CONCAT(M54,C54), 'Judge Count DO NOT EDIT'!H:H, 1, FALSE)), "ERROR","")</f>
        <v/>
      </c>
      <c r="Q54" s="141"/>
      <c r="R54" s="143"/>
      <c r="S54" s="139" t="str">
        <f t="shared" si="2"/>
        <v>1084103</v>
      </c>
      <c r="T54" s="141"/>
    </row>
    <row r="55">
      <c r="A55" s="137">
        <f>IFERROR(__xludf.DUMMYFUNCTION("""COMPUTED_VALUE"""),45352.572709872686)</f>
        <v>45352.57271</v>
      </c>
      <c r="B55" s="138" t="str">
        <f>IFERROR(__xludf.DUMMYFUNCTION("""COMPUTED_VALUE"""),"Charmane Perry")</f>
        <v>Charmane Perry</v>
      </c>
      <c r="C55" s="138">
        <f>IFERROR(__xludf.DUMMYFUNCTION("""COMPUTED_VALUE"""),1089.0)</f>
        <v>1089</v>
      </c>
      <c r="D55" s="139">
        <f>IFERROR(__xludf.DUMMYFUNCTION("""COMPUTED_VALUE"""),103.0)</f>
        <v>103</v>
      </c>
      <c r="E55" s="138">
        <f>IFERROR(__xludf.DUMMYFUNCTION("""COMPUTED_VALUE"""),4.0)</f>
        <v>4</v>
      </c>
      <c r="F55" s="138">
        <f>IFERROR(__xludf.DUMMYFUNCTION("""COMPUTED_VALUE"""),4.0)</f>
        <v>4</v>
      </c>
      <c r="G55" s="138">
        <f>IFERROR(__xludf.DUMMYFUNCTION("""COMPUTED_VALUE"""),4.0)</f>
        <v>4</v>
      </c>
      <c r="H55" s="138">
        <f>IFERROR(__xludf.DUMMYFUNCTION("""COMPUTED_VALUE"""),3.0)</f>
        <v>3</v>
      </c>
      <c r="I55" s="138">
        <f>IFERROR(__xludf.DUMMYFUNCTION("""COMPUTED_VALUE"""),3.0)</f>
        <v>3</v>
      </c>
      <c r="J55" s="138">
        <f>IFERROR(__xludf.DUMMYFUNCTION("""COMPUTED_VALUE"""),3.0)</f>
        <v>3</v>
      </c>
      <c r="K55" s="138">
        <f>IFERROR(__xludf.DUMMYFUNCTION("""COMPUTED_VALUE"""),4.0)</f>
        <v>4</v>
      </c>
      <c r="L55" s="138">
        <v>25.0</v>
      </c>
      <c r="M55" s="140" t="str">
        <f>VLOOKUP(text(D55, "#"),'Master Table'!$A:$F, 6, FALSE)</f>
        <v>A-1</v>
      </c>
      <c r="N55" s="141" t="str">
        <f>IFERROR(__xludf.DUMMYFUNCTION("""COMPUTED_VALUE"""),"Alisson's presentation was pretty interesting. I would have liked to know why India and South America were chosen. I do think the definition provided for slums could have been more expansive because most areas would be considered a ""slum"" based on the d"&amp;"efinition provided. She seemed a bit nervous and seemed to fumble between the notes on her slide and transitioning to not using notes. Also, there was a question about the half houses that she seemed to struggle to answer. Still, presenting as a third yea"&amp;"r undergraduate is impressive. ")</f>
        <v>Alisson's presentation was pretty interesting. I would have liked to know why India and South America were chosen. I do think the definition provided for slums could have been more expansive because most areas would be considered a "slum" based on the definition provided. She seemed a bit nervous and seemed to fumble between the notes on her slide and transitioning to not using notes. Also, there was a question about the half houses that she seemed to struggle to answer. Still, presenting as a third year undergraduate is impressive. </v>
      </c>
      <c r="O55" s="142" t="str">
        <f t="shared" si="1"/>
        <v/>
      </c>
      <c r="P55" s="143" t="str">
        <f>IF(ISNA(VLOOKUP(CONCAT(M55,C55), 'Judge Count DO NOT EDIT'!H:H, 1, FALSE)), "ERROR","")</f>
        <v/>
      </c>
      <c r="Q55" s="141"/>
      <c r="R55" s="143"/>
      <c r="S55" s="139" t="str">
        <f t="shared" si="2"/>
        <v>1089103</v>
      </c>
      <c r="T55" s="141"/>
    </row>
    <row r="56">
      <c r="A56" s="137">
        <f>IFERROR(__xludf.DUMMYFUNCTION("""COMPUTED_VALUE"""),45352.438247569444)</f>
        <v>45352.43825</v>
      </c>
      <c r="B56" s="138" t="str">
        <f>IFERROR(__xludf.DUMMYFUNCTION("""COMPUTED_VALUE"""),"Kangoh Lee ")</f>
        <v>Kangoh Lee </v>
      </c>
      <c r="C56" s="138">
        <f>IFERROR(__xludf.DUMMYFUNCTION("""COMPUTED_VALUE"""),1018.0)</f>
        <v>1018</v>
      </c>
      <c r="D56" s="139">
        <f>IFERROR(__xludf.DUMMYFUNCTION("""COMPUTED_VALUE"""),104.0)</f>
        <v>104</v>
      </c>
      <c r="E56" s="138">
        <f>IFERROR(__xludf.DUMMYFUNCTION("""COMPUTED_VALUE"""),4.0)</f>
        <v>4</v>
      </c>
      <c r="F56" s="138">
        <f>IFERROR(__xludf.DUMMYFUNCTION("""COMPUTED_VALUE"""),4.0)</f>
        <v>4</v>
      </c>
      <c r="G56" s="138">
        <f>IFERROR(__xludf.DUMMYFUNCTION("""COMPUTED_VALUE"""),4.0)</f>
        <v>4</v>
      </c>
      <c r="H56" s="138">
        <f>IFERROR(__xludf.DUMMYFUNCTION("""COMPUTED_VALUE"""),4.0)</f>
        <v>4</v>
      </c>
      <c r="I56" s="138">
        <f>IFERROR(__xludf.DUMMYFUNCTION("""COMPUTED_VALUE"""),3.0)</f>
        <v>3</v>
      </c>
      <c r="J56" s="138">
        <f>IFERROR(__xludf.DUMMYFUNCTION("""COMPUTED_VALUE"""),4.0)</f>
        <v>4</v>
      </c>
      <c r="K56" s="138">
        <f>IFERROR(__xludf.DUMMYFUNCTION("""COMPUTED_VALUE"""),3.0)</f>
        <v>3</v>
      </c>
      <c r="L56" s="138">
        <v>26.0</v>
      </c>
      <c r="M56" s="140" t="str">
        <f>VLOOKUP(text(D56, "#"),'Master Table'!$A:$F, 6, FALSE)</f>
        <v>A-1</v>
      </c>
      <c r="N56" s="141" t="str">
        <f>IFERROR(__xludf.DUMMYFUNCTION("""COMPUTED_VALUE"""),"I suggest that you speak to the audience not to the slide.  I would like to see more control variables in your findings such as family conditions, school life, and peers.")</f>
        <v>I suggest that you speak to the audience not to the slide.  I would like to see more control variables in your findings such as family conditions, school life, and peers.</v>
      </c>
      <c r="O56" s="142" t="str">
        <f t="shared" si="1"/>
        <v/>
      </c>
      <c r="P56" s="143" t="str">
        <f>IF(ISNA(VLOOKUP(CONCAT(M56,C56), 'Judge Count DO NOT EDIT'!H:H, 1, FALSE)), "ERROR","")</f>
        <v/>
      </c>
      <c r="Q56" s="141"/>
      <c r="R56" s="143"/>
      <c r="S56" s="139" t="str">
        <f t="shared" si="2"/>
        <v>1018104</v>
      </c>
      <c r="T56" s="141"/>
    </row>
    <row r="57">
      <c r="A57" s="137">
        <f>IFERROR(__xludf.DUMMYFUNCTION("""COMPUTED_VALUE"""),45352.43959217593)</f>
        <v>45352.43959</v>
      </c>
      <c r="B57" s="138" t="str">
        <f>IFERROR(__xludf.DUMMYFUNCTION("""COMPUTED_VALUE"""),"Alyson Abel")</f>
        <v>Alyson Abel</v>
      </c>
      <c r="C57" s="138">
        <f>IFERROR(__xludf.DUMMYFUNCTION("""COMPUTED_VALUE"""),1001.0)</f>
        <v>1001</v>
      </c>
      <c r="D57" s="139">
        <f>IFERROR(__xludf.DUMMYFUNCTION("""COMPUTED_VALUE"""),104.0)</f>
        <v>104</v>
      </c>
      <c r="E57" s="138">
        <f>IFERROR(__xludf.DUMMYFUNCTION("""COMPUTED_VALUE"""),4.0)</f>
        <v>4</v>
      </c>
      <c r="F57" s="138">
        <f>IFERROR(__xludf.DUMMYFUNCTION("""COMPUTED_VALUE"""),5.0)</f>
        <v>5</v>
      </c>
      <c r="G57" s="138">
        <f>IFERROR(__xludf.DUMMYFUNCTION("""COMPUTED_VALUE"""),5.0)</f>
        <v>5</v>
      </c>
      <c r="H57" s="138">
        <f>IFERROR(__xludf.DUMMYFUNCTION("""COMPUTED_VALUE"""),4.0)</f>
        <v>4</v>
      </c>
      <c r="I57" s="138">
        <f>IFERROR(__xludf.DUMMYFUNCTION("""COMPUTED_VALUE"""),3.0)</f>
        <v>3</v>
      </c>
      <c r="J57" s="138">
        <f>IFERROR(__xludf.DUMMYFUNCTION("""COMPUTED_VALUE"""),4.0)</f>
        <v>4</v>
      </c>
      <c r="K57" s="138">
        <f>IFERROR(__xludf.DUMMYFUNCTION("""COMPUTED_VALUE"""),4.0)</f>
        <v>4</v>
      </c>
      <c r="L57" s="138">
        <v>29.0</v>
      </c>
      <c r="M57" s="140" t="str">
        <f>VLOOKUP(text(D57, "#"),'Master Table'!$A:$F, 6, FALSE)</f>
        <v>A-1</v>
      </c>
      <c r="N57" s="141"/>
      <c r="O57" s="142" t="str">
        <f t="shared" si="1"/>
        <v/>
      </c>
      <c r="P57" s="143" t="str">
        <f>IF(ISNA(VLOOKUP(CONCAT(M57,C57), 'Judge Count DO NOT EDIT'!H:H, 1, FALSE)), "ERROR","")</f>
        <v/>
      </c>
      <c r="Q57" s="141"/>
      <c r="R57" s="143"/>
      <c r="S57" s="139" t="str">
        <f t="shared" si="2"/>
        <v>1001104</v>
      </c>
      <c r="T57" s="141"/>
    </row>
    <row r="58">
      <c r="A58" s="137">
        <f>IFERROR(__xludf.DUMMYFUNCTION("""COMPUTED_VALUE"""),45352.515073206014)</f>
        <v>45352.51507</v>
      </c>
      <c r="B58" s="138" t="str">
        <f>IFERROR(__xludf.DUMMYFUNCTION("""COMPUTED_VALUE"""),"Jules Bunn")</f>
        <v>Jules Bunn</v>
      </c>
      <c r="C58" s="138">
        <f>IFERROR(__xludf.DUMMYFUNCTION("""COMPUTED_VALUE"""),1084.0)</f>
        <v>1084</v>
      </c>
      <c r="D58" s="139">
        <f>IFERROR(__xludf.DUMMYFUNCTION("""COMPUTED_VALUE"""),104.0)</f>
        <v>104</v>
      </c>
      <c r="E58" s="138">
        <f>IFERROR(__xludf.DUMMYFUNCTION("""COMPUTED_VALUE"""),4.0)</f>
        <v>4</v>
      </c>
      <c r="F58" s="138">
        <f>IFERROR(__xludf.DUMMYFUNCTION("""COMPUTED_VALUE"""),5.0)</f>
        <v>5</v>
      </c>
      <c r="G58" s="138">
        <f>IFERROR(__xludf.DUMMYFUNCTION("""COMPUTED_VALUE"""),4.0)</f>
        <v>4</v>
      </c>
      <c r="H58" s="138">
        <f>IFERROR(__xludf.DUMMYFUNCTION("""COMPUTED_VALUE"""),3.0)</f>
        <v>3</v>
      </c>
      <c r="I58" s="138">
        <f>IFERROR(__xludf.DUMMYFUNCTION("""COMPUTED_VALUE"""),4.0)</f>
        <v>4</v>
      </c>
      <c r="J58" s="138">
        <f>IFERROR(__xludf.DUMMYFUNCTION("""COMPUTED_VALUE"""),3.0)</f>
        <v>3</v>
      </c>
      <c r="K58" s="138">
        <f>IFERROR(__xludf.DUMMYFUNCTION("""COMPUTED_VALUE"""),4.0)</f>
        <v>4</v>
      </c>
      <c r="L58" s="138">
        <v>27.0</v>
      </c>
      <c r="M58" s="140" t="str">
        <f>VLOOKUP(text(D58, "#"),'Master Table'!$A:$F, 6, FALSE)</f>
        <v>A-1</v>
      </c>
      <c r="N58" s="141" t="str">
        <f>IFERROR(__xludf.DUMMYFUNCTION("""COMPUTED_VALUE"""),"Take a breath and just relax. ")</f>
        <v>Take a breath and just relax. </v>
      </c>
      <c r="O58" s="142" t="str">
        <f t="shared" si="1"/>
        <v/>
      </c>
      <c r="P58" s="143" t="str">
        <f>IF(ISNA(VLOOKUP(CONCAT(M58,C58), 'Judge Count DO NOT EDIT'!H:H, 1, FALSE)), "ERROR","")</f>
        <v/>
      </c>
      <c r="Q58" s="141"/>
      <c r="R58" s="143"/>
      <c r="S58" s="139" t="str">
        <f t="shared" si="2"/>
        <v>1084104</v>
      </c>
      <c r="T58" s="141"/>
    </row>
    <row r="59">
      <c r="A59" s="137">
        <f>IFERROR(__xludf.DUMMYFUNCTION("""COMPUTED_VALUE"""),45352.57441548611)</f>
        <v>45352.57442</v>
      </c>
      <c r="B59" s="138" t="str">
        <f>IFERROR(__xludf.DUMMYFUNCTION("""COMPUTED_VALUE"""),"Charmane Perry")</f>
        <v>Charmane Perry</v>
      </c>
      <c r="C59" s="138">
        <f>IFERROR(__xludf.DUMMYFUNCTION("""COMPUTED_VALUE"""),1089.0)</f>
        <v>1089</v>
      </c>
      <c r="D59" s="139">
        <f>IFERROR(__xludf.DUMMYFUNCTION("""COMPUTED_VALUE"""),104.0)</f>
        <v>104</v>
      </c>
      <c r="E59" s="138">
        <f>IFERROR(__xludf.DUMMYFUNCTION("""COMPUTED_VALUE"""),4.0)</f>
        <v>4</v>
      </c>
      <c r="F59" s="138">
        <f>IFERROR(__xludf.DUMMYFUNCTION("""COMPUTED_VALUE"""),4.0)</f>
        <v>4</v>
      </c>
      <c r="G59" s="138">
        <f>IFERROR(__xludf.DUMMYFUNCTION("""COMPUTED_VALUE"""),4.0)</f>
        <v>4</v>
      </c>
      <c r="H59" s="138">
        <f>IFERROR(__xludf.DUMMYFUNCTION("""COMPUTED_VALUE"""),4.0)</f>
        <v>4</v>
      </c>
      <c r="I59" s="138">
        <f>IFERROR(__xludf.DUMMYFUNCTION("""COMPUTED_VALUE"""),3.0)</f>
        <v>3</v>
      </c>
      <c r="J59" s="138">
        <f>IFERROR(__xludf.DUMMYFUNCTION("""COMPUTED_VALUE"""),3.0)</f>
        <v>3</v>
      </c>
      <c r="K59" s="138">
        <f>IFERROR(__xludf.DUMMYFUNCTION("""COMPUTED_VALUE"""),4.0)</f>
        <v>4</v>
      </c>
      <c r="L59" s="138">
        <v>26.0</v>
      </c>
      <c r="M59" s="140" t="str">
        <f>VLOOKUP(text(D59, "#"),'Master Table'!$A:$F, 6, FALSE)</f>
        <v>A-1</v>
      </c>
      <c r="N59" s="141" t="str">
        <f>IFERROR(__xludf.DUMMYFUNCTION("""COMPUTED_VALUE"""),"I thought David's presentation was really interesting. However, he moved so fast through the slides that I had a hard time absorbing the information. So I think that was my biggest challenge with the presentation. But I found it to be interesting and impo"&amp;"rtant.")</f>
        <v>I thought David's presentation was really interesting. However, he moved so fast through the slides that I had a hard time absorbing the information. So I think that was my biggest challenge with the presentation. But I found it to be interesting and important.</v>
      </c>
      <c r="O59" s="142" t="str">
        <f t="shared" si="1"/>
        <v/>
      </c>
      <c r="P59" s="143" t="str">
        <f>IF(ISNA(VLOOKUP(CONCAT(M59,C59), 'Judge Count DO NOT EDIT'!H:H, 1, FALSE)), "ERROR","")</f>
        <v/>
      </c>
      <c r="Q59" s="141"/>
      <c r="R59" s="143"/>
      <c r="S59" s="139" t="str">
        <f t="shared" si="2"/>
        <v>1089104</v>
      </c>
      <c r="T59" s="141"/>
    </row>
    <row r="60">
      <c r="A60" s="137">
        <f>IFERROR(__xludf.DUMMYFUNCTION("""COMPUTED_VALUE"""),45352.45305115741)</f>
        <v>45352.45305</v>
      </c>
      <c r="B60" s="138" t="str">
        <f>IFERROR(__xludf.DUMMYFUNCTION("""COMPUTED_VALUE"""),"Kangoh Lee")</f>
        <v>Kangoh Lee</v>
      </c>
      <c r="C60" s="138">
        <f>IFERROR(__xludf.DUMMYFUNCTION("""COMPUTED_VALUE"""),1018.0)</f>
        <v>1018</v>
      </c>
      <c r="D60" s="139">
        <f>IFERROR(__xludf.DUMMYFUNCTION("""COMPUTED_VALUE"""),105.0)</f>
        <v>105</v>
      </c>
      <c r="E60" s="138">
        <f>IFERROR(__xludf.DUMMYFUNCTION("""COMPUTED_VALUE"""),4.0)</f>
        <v>4</v>
      </c>
      <c r="F60" s="138">
        <f>IFERROR(__xludf.DUMMYFUNCTION("""COMPUTED_VALUE"""),3.0)</f>
        <v>3</v>
      </c>
      <c r="G60" s="138">
        <f>IFERROR(__xludf.DUMMYFUNCTION("""COMPUTED_VALUE"""),4.0)</f>
        <v>4</v>
      </c>
      <c r="H60" s="138">
        <f>IFERROR(__xludf.DUMMYFUNCTION("""COMPUTED_VALUE"""),3.0)</f>
        <v>3</v>
      </c>
      <c r="I60" s="138">
        <f>IFERROR(__xludf.DUMMYFUNCTION("""COMPUTED_VALUE"""),4.0)</f>
        <v>4</v>
      </c>
      <c r="J60" s="138">
        <f>IFERROR(__xludf.DUMMYFUNCTION("""COMPUTED_VALUE"""),4.0)</f>
        <v>4</v>
      </c>
      <c r="K60" s="138">
        <f>IFERROR(__xludf.DUMMYFUNCTION("""COMPUTED_VALUE"""),4.0)</f>
        <v>4</v>
      </c>
      <c r="L60" s="138">
        <v>26.0</v>
      </c>
      <c r="M60" s="140" t="str">
        <f>VLOOKUP(text(D60, "#"),'Master Table'!$A:$F, 6, FALSE)</f>
        <v>A-1</v>
      </c>
      <c r="N60" s="141" t="str">
        <f>IFERROR(__xludf.DUMMYFUNCTION("""COMPUTED_VALUE"""),"I suggest that you collect more data with control variables even if this is a pilot study.")</f>
        <v>I suggest that you collect more data with control variables even if this is a pilot study.</v>
      </c>
      <c r="O60" s="142" t="str">
        <f t="shared" si="1"/>
        <v/>
      </c>
      <c r="P60" s="143" t="str">
        <f>IF(ISNA(VLOOKUP(CONCAT(M60,C60), 'Judge Count DO NOT EDIT'!H:H, 1, FALSE)), "ERROR","")</f>
        <v/>
      </c>
      <c r="Q60" s="144"/>
      <c r="R60" s="143"/>
      <c r="S60" s="139" t="str">
        <f t="shared" si="2"/>
        <v>1018105</v>
      </c>
      <c r="T60" s="144"/>
    </row>
    <row r="61">
      <c r="A61" s="137">
        <f>IFERROR(__xludf.DUMMYFUNCTION("""COMPUTED_VALUE"""),45352.457722708335)</f>
        <v>45352.45772</v>
      </c>
      <c r="B61" s="138" t="str">
        <f>IFERROR(__xludf.DUMMYFUNCTION("""COMPUTED_VALUE"""),"Alyson Abel")</f>
        <v>Alyson Abel</v>
      </c>
      <c r="C61" s="138">
        <f>IFERROR(__xludf.DUMMYFUNCTION("""COMPUTED_VALUE"""),1001.0)</f>
        <v>1001</v>
      </c>
      <c r="D61" s="139">
        <f>IFERROR(__xludf.DUMMYFUNCTION("""COMPUTED_VALUE"""),105.0)</f>
        <v>105</v>
      </c>
      <c r="E61" s="138">
        <f>IFERROR(__xludf.DUMMYFUNCTION("""COMPUTED_VALUE"""),4.0)</f>
        <v>4</v>
      </c>
      <c r="F61" s="138">
        <f>IFERROR(__xludf.DUMMYFUNCTION("""COMPUTED_VALUE"""),4.0)</f>
        <v>4</v>
      </c>
      <c r="G61" s="138">
        <f>IFERROR(__xludf.DUMMYFUNCTION("""COMPUTED_VALUE"""),4.0)</f>
        <v>4</v>
      </c>
      <c r="H61" s="138">
        <f>IFERROR(__xludf.DUMMYFUNCTION("""COMPUTED_VALUE"""),4.0)</f>
        <v>4</v>
      </c>
      <c r="I61" s="138">
        <f>IFERROR(__xludf.DUMMYFUNCTION("""COMPUTED_VALUE"""),4.0)</f>
        <v>4</v>
      </c>
      <c r="J61" s="138">
        <f>IFERROR(__xludf.DUMMYFUNCTION("""COMPUTED_VALUE"""),4.0)</f>
        <v>4</v>
      </c>
      <c r="K61" s="138">
        <f>IFERROR(__xludf.DUMMYFUNCTION("""COMPUTED_VALUE"""),4.0)</f>
        <v>4</v>
      </c>
      <c r="L61" s="138">
        <v>28.0</v>
      </c>
      <c r="M61" s="140" t="str">
        <f>VLOOKUP(text(D61, "#"),'Master Table'!$A:$F, 6, FALSE)</f>
        <v>A-1</v>
      </c>
      <c r="N61" s="141"/>
      <c r="O61" s="142" t="str">
        <f t="shared" si="1"/>
        <v/>
      </c>
      <c r="P61" s="143" t="str">
        <f>IF(ISNA(VLOOKUP(CONCAT(M61,C61), 'Judge Count DO NOT EDIT'!H:H, 1, FALSE)), "ERROR","")</f>
        <v/>
      </c>
      <c r="Q61" s="141"/>
      <c r="R61" s="143"/>
      <c r="S61" s="139" t="str">
        <f t="shared" si="2"/>
        <v>1001105</v>
      </c>
      <c r="T61" s="141"/>
    </row>
    <row r="62">
      <c r="A62" s="137">
        <f>IFERROR(__xludf.DUMMYFUNCTION("""COMPUTED_VALUE"""),45352.51616929398)</f>
        <v>45352.51617</v>
      </c>
      <c r="B62" s="138" t="str">
        <f>IFERROR(__xludf.DUMMYFUNCTION("""COMPUTED_VALUE"""),"Jules Bunn")</f>
        <v>Jules Bunn</v>
      </c>
      <c r="C62" s="138">
        <f>IFERROR(__xludf.DUMMYFUNCTION("""COMPUTED_VALUE"""),1084.0)</f>
        <v>1084</v>
      </c>
      <c r="D62" s="139">
        <f>IFERROR(__xludf.DUMMYFUNCTION("""COMPUTED_VALUE"""),105.0)</f>
        <v>105</v>
      </c>
      <c r="E62" s="138">
        <f>IFERROR(__xludf.DUMMYFUNCTION("""COMPUTED_VALUE"""),4.0)</f>
        <v>4</v>
      </c>
      <c r="F62" s="138">
        <f>IFERROR(__xludf.DUMMYFUNCTION("""COMPUTED_VALUE"""),3.0)</f>
        <v>3</v>
      </c>
      <c r="G62" s="138">
        <f>IFERROR(__xludf.DUMMYFUNCTION("""COMPUTED_VALUE"""),3.0)</f>
        <v>3</v>
      </c>
      <c r="H62" s="138">
        <f>IFERROR(__xludf.DUMMYFUNCTION("""COMPUTED_VALUE"""),4.0)</f>
        <v>4</v>
      </c>
      <c r="I62" s="138">
        <f>IFERROR(__xludf.DUMMYFUNCTION("""COMPUTED_VALUE"""),4.0)</f>
        <v>4</v>
      </c>
      <c r="J62" s="138">
        <f>IFERROR(__xludf.DUMMYFUNCTION("""COMPUTED_VALUE"""),3.0)</f>
        <v>3</v>
      </c>
      <c r="K62" s="138">
        <f>IFERROR(__xludf.DUMMYFUNCTION("""COMPUTED_VALUE"""),3.0)</f>
        <v>3</v>
      </c>
      <c r="L62" s="138">
        <v>24.0</v>
      </c>
      <c r="M62" s="140" t="str">
        <f>VLOOKUP(text(D62, "#"),'Master Table'!$A:$F, 6, FALSE)</f>
        <v>A-1</v>
      </c>
      <c r="N62" s="141"/>
      <c r="O62" s="142" t="str">
        <f t="shared" si="1"/>
        <v/>
      </c>
      <c r="P62" s="143" t="str">
        <f>IF(ISNA(VLOOKUP(CONCAT(M62,C62), 'Judge Count DO NOT EDIT'!H:H, 1, FALSE)), "ERROR","")</f>
        <v/>
      </c>
      <c r="Q62" s="141"/>
      <c r="R62" s="143"/>
      <c r="S62" s="139" t="str">
        <f t="shared" si="2"/>
        <v>1084105</v>
      </c>
      <c r="T62" s="141"/>
    </row>
    <row r="63">
      <c r="A63" s="137">
        <f>IFERROR(__xludf.DUMMYFUNCTION("""COMPUTED_VALUE"""),45352.57787826389)</f>
        <v>45352.57788</v>
      </c>
      <c r="B63" s="138" t="str">
        <f>IFERROR(__xludf.DUMMYFUNCTION("""COMPUTED_VALUE"""),"Charmane Perry")</f>
        <v>Charmane Perry</v>
      </c>
      <c r="C63" s="138">
        <f>IFERROR(__xludf.DUMMYFUNCTION("""COMPUTED_VALUE"""),1089.0)</f>
        <v>1089</v>
      </c>
      <c r="D63" s="139">
        <f>IFERROR(__xludf.DUMMYFUNCTION("""COMPUTED_VALUE"""),105.0)</f>
        <v>105</v>
      </c>
      <c r="E63" s="138">
        <f>IFERROR(__xludf.DUMMYFUNCTION("""COMPUTED_VALUE"""),3.0)</f>
        <v>3</v>
      </c>
      <c r="F63" s="138">
        <f>IFERROR(__xludf.DUMMYFUNCTION("""COMPUTED_VALUE"""),4.0)</f>
        <v>4</v>
      </c>
      <c r="G63" s="138">
        <f>IFERROR(__xludf.DUMMYFUNCTION("""COMPUTED_VALUE"""),4.0)</f>
        <v>4</v>
      </c>
      <c r="H63" s="138">
        <f>IFERROR(__xludf.DUMMYFUNCTION("""COMPUTED_VALUE"""),3.0)</f>
        <v>3</v>
      </c>
      <c r="I63" s="138">
        <f>IFERROR(__xludf.DUMMYFUNCTION("""COMPUTED_VALUE"""),3.0)</f>
        <v>3</v>
      </c>
      <c r="J63" s="138">
        <f>IFERROR(__xludf.DUMMYFUNCTION("""COMPUTED_VALUE"""),3.0)</f>
        <v>3</v>
      </c>
      <c r="K63" s="138">
        <f>IFERROR(__xludf.DUMMYFUNCTION("""COMPUTED_VALUE"""),4.0)</f>
        <v>4</v>
      </c>
      <c r="L63" s="138">
        <v>24.0</v>
      </c>
      <c r="M63" s="140" t="str">
        <f>VLOOKUP(text(D63, "#"),'Master Table'!$A:$F, 6, FALSE)</f>
        <v>A-1</v>
      </c>
      <c r="N63" s="141" t="str">
        <f>IFERROR(__xludf.DUMMYFUNCTION("""COMPUTED_VALUE"""),"This is a timely project. I did think Emily spoke very fast which could just be her style of talking or nerves. I also wish that the color coded chart and the questions were on the slides with the results. I didn't really get a chance to absorb the result"&amp;"s because the information was separated. I also wondered if her participants had a model or rubric for Chat GPT writing, would this impact the results? To put it another way, would the average person be able to even provide descriptors of or the differenc"&amp;"es between AI vs. human writing? I think this is an important factor to consider for at least one or two of the questions she asked her participants.")</f>
        <v>This is a timely project. I did think Emily spoke very fast which could just be her style of talking or nerves. I also wish that the color coded chart and the questions were on the slides with the results. I didn't really get a chance to absorb the results because the information was separated. I also wondered if her participants had a model or rubric for Chat GPT writing, would this impact the results? To put it another way, would the average person be able to even provide descriptors of or the differences between AI vs. human writing? I think this is an important factor to consider for at least one or two of the questions she asked her participants.</v>
      </c>
      <c r="O63" s="142" t="str">
        <f t="shared" si="1"/>
        <v/>
      </c>
      <c r="P63" s="143" t="str">
        <f>IF(ISNA(VLOOKUP(CONCAT(M63,C63), 'Judge Count DO NOT EDIT'!H:H, 1, FALSE)), "ERROR","")</f>
        <v/>
      </c>
      <c r="Q63" s="141"/>
      <c r="R63" s="143"/>
      <c r="S63" s="139" t="str">
        <f t="shared" si="2"/>
        <v>1089105</v>
      </c>
      <c r="T63" s="141"/>
    </row>
    <row r="64">
      <c r="A64" s="137">
        <f>IFERROR(__xludf.DUMMYFUNCTION("""COMPUTED_VALUE"""),45352.386869131944)</f>
        <v>45352.38687</v>
      </c>
      <c r="B64" s="138" t="str">
        <f>IFERROR(__xludf.DUMMYFUNCTION("""COMPUTED_VALUE"""),"Margherita Capriotti")</f>
        <v>Margherita Capriotti</v>
      </c>
      <c r="C64" s="138">
        <f>IFERROR(__xludf.DUMMYFUNCTION("""COMPUTED_VALUE"""),1073.0)</f>
        <v>1073</v>
      </c>
      <c r="D64" s="139">
        <f>IFERROR(__xludf.DUMMYFUNCTION("""COMPUTED_VALUE"""),106.0)</f>
        <v>106</v>
      </c>
      <c r="E64" s="138">
        <f>IFERROR(__xludf.DUMMYFUNCTION("""COMPUTED_VALUE"""),4.0)</f>
        <v>4</v>
      </c>
      <c r="F64" s="138">
        <f>IFERROR(__xludf.DUMMYFUNCTION("""COMPUTED_VALUE"""),4.0)</f>
        <v>4</v>
      </c>
      <c r="G64" s="138">
        <f>IFERROR(__xludf.DUMMYFUNCTION("""COMPUTED_VALUE"""),3.0)</f>
        <v>3</v>
      </c>
      <c r="H64" s="138">
        <f>IFERROR(__xludf.DUMMYFUNCTION("""COMPUTED_VALUE"""),4.0)</f>
        <v>4</v>
      </c>
      <c r="I64" s="138">
        <f>IFERROR(__xludf.DUMMYFUNCTION("""COMPUTED_VALUE"""),5.0)</f>
        <v>5</v>
      </c>
      <c r="J64" s="138">
        <f>IFERROR(__xludf.DUMMYFUNCTION("""COMPUTED_VALUE"""),5.0)</f>
        <v>5</v>
      </c>
      <c r="K64" s="138">
        <f>IFERROR(__xludf.DUMMYFUNCTION("""COMPUTED_VALUE"""),4.0)</f>
        <v>4</v>
      </c>
      <c r="L64" s="138">
        <v>29.0</v>
      </c>
      <c r="M64" s="140" t="str">
        <f>VLOOKUP(text(D64, "#"),'Master Table'!$A:$F, 6, FALSE)</f>
        <v>A-2</v>
      </c>
      <c r="N64" s="141" t="str">
        <f>IFERROR(__xludf.DUMMYFUNCTION("""COMPUTED_VALUE"""),"Excellent speaker , challenged the audience and engaged . Suggestion is to clarify own contribution of work.")</f>
        <v>Excellent speaker , challenged the audience and engaged . Suggestion is to clarify own contribution of work.</v>
      </c>
      <c r="O64" s="142" t="str">
        <f t="shared" si="1"/>
        <v/>
      </c>
      <c r="P64" s="143" t="str">
        <f>IF(ISNA(VLOOKUP(CONCAT(M64,C64), 'Judge Count DO NOT EDIT'!H:H, 1, FALSE)), "ERROR","")</f>
        <v/>
      </c>
      <c r="Q64" s="141"/>
      <c r="R64" s="143"/>
      <c r="S64" s="139" t="str">
        <f t="shared" si="2"/>
        <v>1073106</v>
      </c>
      <c r="T64" s="141"/>
    </row>
    <row r="65">
      <c r="A65" s="137">
        <f>IFERROR(__xludf.DUMMYFUNCTION("""COMPUTED_VALUE"""),45352.38791962963)</f>
        <v>45352.38792</v>
      </c>
      <c r="B65" s="138" t="str">
        <f>IFERROR(__xludf.DUMMYFUNCTION("""COMPUTED_VALUE"""),"Carmelo Interlando")</f>
        <v>Carmelo Interlando</v>
      </c>
      <c r="C65" s="138">
        <f>IFERROR(__xludf.DUMMYFUNCTION("""COMPUTED_VALUE"""),1096.0)</f>
        <v>1096</v>
      </c>
      <c r="D65" s="139">
        <f>IFERROR(__xludf.DUMMYFUNCTION("""COMPUTED_VALUE"""),106.0)</f>
        <v>106</v>
      </c>
      <c r="E65" s="138">
        <f>IFERROR(__xludf.DUMMYFUNCTION("""COMPUTED_VALUE"""),5.0)</f>
        <v>5</v>
      </c>
      <c r="F65" s="138">
        <f>IFERROR(__xludf.DUMMYFUNCTION("""COMPUTED_VALUE"""),3.0)</f>
        <v>3</v>
      </c>
      <c r="G65" s="138">
        <f>IFERROR(__xludf.DUMMYFUNCTION("""COMPUTED_VALUE"""),4.0)</f>
        <v>4</v>
      </c>
      <c r="H65" s="138">
        <f>IFERROR(__xludf.DUMMYFUNCTION("""COMPUTED_VALUE"""),5.0)</f>
        <v>5</v>
      </c>
      <c r="I65" s="138">
        <f>IFERROR(__xludf.DUMMYFUNCTION("""COMPUTED_VALUE"""),5.0)</f>
        <v>5</v>
      </c>
      <c r="J65" s="138">
        <f>IFERROR(__xludf.DUMMYFUNCTION("""COMPUTED_VALUE"""),5.0)</f>
        <v>5</v>
      </c>
      <c r="K65" s="138">
        <f>IFERROR(__xludf.DUMMYFUNCTION("""COMPUTED_VALUE"""),5.0)</f>
        <v>5</v>
      </c>
      <c r="L65" s="138">
        <v>32.0</v>
      </c>
      <c r="M65" s="140" t="str">
        <f>VLOOKUP(text(D65, "#"),'Master Table'!$A:$F, 6, FALSE)</f>
        <v>A-2</v>
      </c>
      <c r="N65" s="141"/>
      <c r="O65" s="142" t="str">
        <f t="shared" si="1"/>
        <v/>
      </c>
      <c r="P65" s="143" t="str">
        <f>IF(ISNA(VLOOKUP(CONCAT(M65,C65), 'Judge Count DO NOT EDIT'!H:H, 1, FALSE)), "ERROR","")</f>
        <v/>
      </c>
      <c r="Q65" s="141"/>
      <c r="R65" s="143"/>
      <c r="S65" s="139" t="str">
        <f t="shared" si="2"/>
        <v>1096106</v>
      </c>
      <c r="T65" s="141"/>
    </row>
    <row r="66">
      <c r="A66" s="137">
        <f>IFERROR(__xludf.DUMMYFUNCTION("""COMPUTED_VALUE"""),45352.389425960646)</f>
        <v>45352.38943</v>
      </c>
      <c r="B66" s="138" t="str">
        <f>IFERROR(__xludf.DUMMYFUNCTION("""COMPUTED_VALUE"""),"Megan Welsh Carroll")</f>
        <v>Megan Welsh Carroll</v>
      </c>
      <c r="C66" s="138">
        <f>IFERROR(__xludf.DUMMYFUNCTION("""COMPUTED_VALUE"""),1115.0)</f>
        <v>1115</v>
      </c>
      <c r="D66" s="139">
        <f>IFERROR(__xludf.DUMMYFUNCTION("""COMPUTED_VALUE"""),106.0)</f>
        <v>106</v>
      </c>
      <c r="E66" s="138">
        <f>IFERROR(__xludf.DUMMYFUNCTION("""COMPUTED_VALUE"""),5.0)</f>
        <v>5</v>
      </c>
      <c r="F66" s="138">
        <f>IFERROR(__xludf.DUMMYFUNCTION("""COMPUTED_VALUE"""),4.0)</f>
        <v>4</v>
      </c>
      <c r="G66" s="138">
        <f>IFERROR(__xludf.DUMMYFUNCTION("""COMPUTED_VALUE"""),4.0)</f>
        <v>4</v>
      </c>
      <c r="H66" s="138">
        <f>IFERROR(__xludf.DUMMYFUNCTION("""COMPUTED_VALUE"""),5.0)</f>
        <v>5</v>
      </c>
      <c r="I66" s="138">
        <f>IFERROR(__xludf.DUMMYFUNCTION("""COMPUTED_VALUE"""),5.0)</f>
        <v>5</v>
      </c>
      <c r="J66" s="138">
        <f>IFERROR(__xludf.DUMMYFUNCTION("""COMPUTED_VALUE"""),5.0)</f>
        <v>5</v>
      </c>
      <c r="K66" s="138">
        <f>IFERROR(__xludf.DUMMYFUNCTION("""COMPUTED_VALUE"""),5.0)</f>
        <v>5</v>
      </c>
      <c r="L66" s="138">
        <v>33.0</v>
      </c>
      <c r="M66" s="140" t="str">
        <f>VLOOKUP(text(D66, "#"),'Master Table'!$A:$F, 6, FALSE)</f>
        <v>A-2</v>
      </c>
      <c r="N66" s="141" t="str">
        <f>IFERROR(__xludf.DUMMYFUNCTION("""COMPUTED_VALUE"""),"Excellent presentation, well organized slides, very good job explaining practical relevance of the project")</f>
        <v>Excellent presentation, well organized slides, very good job explaining practical relevance of the project</v>
      </c>
      <c r="O66" s="142" t="str">
        <f t="shared" si="1"/>
        <v/>
      </c>
      <c r="P66" s="143" t="str">
        <f>IF(ISNA(VLOOKUP(CONCAT(M66,C66), 'Judge Count DO NOT EDIT'!H:H, 1, FALSE)), "ERROR","")</f>
        <v/>
      </c>
      <c r="Q66" s="141"/>
      <c r="R66" s="143"/>
      <c r="S66" s="139" t="str">
        <f t="shared" si="2"/>
        <v>1115106</v>
      </c>
      <c r="T66" s="141"/>
    </row>
    <row r="67">
      <c r="A67" s="137">
        <f>IFERROR(__xludf.DUMMYFUNCTION("""COMPUTED_VALUE"""),45352.38960909723)</f>
        <v>45352.38961</v>
      </c>
      <c r="B67" s="138" t="str">
        <f>IFERROR(__xludf.DUMMYFUNCTION("""COMPUTED_VALUE"""),"Peaceibisia Jack")</f>
        <v>Peaceibisia Jack</v>
      </c>
      <c r="C67" s="138">
        <f>IFERROR(__xludf.DUMMYFUNCTION("""COMPUTED_VALUE"""),1079.0)</f>
        <v>1079</v>
      </c>
      <c r="D67" s="139">
        <f>IFERROR(__xludf.DUMMYFUNCTION("""COMPUTED_VALUE"""),106.0)</f>
        <v>106</v>
      </c>
      <c r="E67" s="138">
        <f>IFERROR(__xludf.DUMMYFUNCTION("""COMPUTED_VALUE"""),5.0)</f>
        <v>5</v>
      </c>
      <c r="F67" s="138">
        <f>IFERROR(__xludf.DUMMYFUNCTION("""COMPUTED_VALUE"""),5.0)</f>
        <v>5</v>
      </c>
      <c r="G67" s="138">
        <f>IFERROR(__xludf.DUMMYFUNCTION("""COMPUTED_VALUE"""),4.0)</f>
        <v>4</v>
      </c>
      <c r="H67" s="138">
        <f>IFERROR(__xludf.DUMMYFUNCTION("""COMPUTED_VALUE"""),5.0)</f>
        <v>5</v>
      </c>
      <c r="I67" s="138">
        <f>IFERROR(__xludf.DUMMYFUNCTION("""COMPUTED_VALUE"""),5.0)</f>
        <v>5</v>
      </c>
      <c r="J67" s="138">
        <f>IFERROR(__xludf.DUMMYFUNCTION("""COMPUTED_VALUE"""),5.0)</f>
        <v>5</v>
      </c>
      <c r="K67" s="138">
        <f>IFERROR(__xludf.DUMMYFUNCTION("""COMPUTED_VALUE"""),5.0)</f>
        <v>5</v>
      </c>
      <c r="L67" s="138">
        <v>34.0</v>
      </c>
      <c r="M67" s="140" t="str">
        <f>VLOOKUP(text(D67, "#"),'Master Table'!$A:$F, 6, FALSE)</f>
        <v>A-2</v>
      </c>
      <c r="N67" s="141" t="str">
        <f>IFERROR(__xludf.DUMMYFUNCTION("""COMPUTED_VALUE"""),"Excellent Presentation Tanner, 
There were lots of abbreviations without introductions. For future presentations, Introduce abbreviations before the usage, this is really helpful for individuals who do not have ideas about the topic or field")</f>
        <v>Excellent Presentation Tanner, 
There were lots of abbreviations without introductions. For future presentations, Introduce abbreviations before the usage, this is really helpful for individuals who do not have ideas about the topic or field</v>
      </c>
      <c r="O67" s="142" t="str">
        <f t="shared" si="1"/>
        <v/>
      </c>
      <c r="P67" s="143" t="str">
        <f>IF(ISNA(VLOOKUP(CONCAT(M67,C67), 'Judge Count DO NOT EDIT'!H:H, 1, FALSE)), "ERROR","")</f>
        <v/>
      </c>
      <c r="Q67" s="141"/>
      <c r="R67" s="143"/>
      <c r="S67" s="139" t="str">
        <f t="shared" si="2"/>
        <v>1079106</v>
      </c>
      <c r="T67" s="141"/>
    </row>
    <row r="68">
      <c r="A68" s="137">
        <f>IFERROR(__xludf.DUMMYFUNCTION("""COMPUTED_VALUE"""),45352.40353401621)</f>
        <v>45352.40353</v>
      </c>
      <c r="B68" s="138" t="str">
        <f>IFERROR(__xludf.DUMMYFUNCTION("""COMPUTED_VALUE"""),"Margherita Capriotti")</f>
        <v>Margherita Capriotti</v>
      </c>
      <c r="C68" s="138">
        <f>IFERROR(__xludf.DUMMYFUNCTION("""COMPUTED_VALUE"""),1073.0)</f>
        <v>1073</v>
      </c>
      <c r="D68" s="139">
        <f>IFERROR(__xludf.DUMMYFUNCTION("""COMPUTED_VALUE"""),107.0)</f>
        <v>107</v>
      </c>
      <c r="E68" s="138">
        <f>IFERROR(__xludf.DUMMYFUNCTION("""COMPUTED_VALUE"""),4.0)</f>
        <v>4</v>
      </c>
      <c r="F68" s="138">
        <f>IFERROR(__xludf.DUMMYFUNCTION("""COMPUTED_VALUE"""),4.0)</f>
        <v>4</v>
      </c>
      <c r="G68" s="138">
        <f>IFERROR(__xludf.DUMMYFUNCTION("""COMPUTED_VALUE"""),4.0)</f>
        <v>4</v>
      </c>
      <c r="H68" s="138">
        <f>IFERROR(__xludf.DUMMYFUNCTION("""COMPUTED_VALUE"""),4.0)</f>
        <v>4</v>
      </c>
      <c r="I68" s="138">
        <f>IFERROR(__xludf.DUMMYFUNCTION("""COMPUTED_VALUE"""),4.0)</f>
        <v>4</v>
      </c>
      <c r="J68" s="138">
        <f>IFERROR(__xludf.DUMMYFUNCTION("""COMPUTED_VALUE"""),5.0)</f>
        <v>5</v>
      </c>
      <c r="K68" s="138">
        <f>IFERROR(__xludf.DUMMYFUNCTION("""COMPUTED_VALUE"""),4.0)</f>
        <v>4</v>
      </c>
      <c r="L68" s="138">
        <v>29.0</v>
      </c>
      <c r="M68" s="140" t="str">
        <f>VLOOKUP(text(D68, "#"),'Master Table'!$A:$F, 6, FALSE)</f>
        <v>A-2</v>
      </c>
      <c r="N68" s="141" t="str">
        <f>IFERROR(__xludf.DUMMYFUNCTION("""COMPUTED_VALUE"""),"Passion of the student stands out! Providing the introductory background equipped the audience with the necessary tools to understand significance /methodology of research.")</f>
        <v>Passion of the student stands out! Providing the introductory background equipped the audience with the necessary tools to understand significance /methodology of research.</v>
      </c>
      <c r="O68" s="142" t="str">
        <f t="shared" si="1"/>
        <v/>
      </c>
      <c r="P68" s="143" t="str">
        <f>IF(ISNA(VLOOKUP(CONCAT(M68,C68), 'Judge Count DO NOT EDIT'!H:H, 1, FALSE)), "ERROR","")</f>
        <v/>
      </c>
      <c r="Q68" s="141"/>
      <c r="R68" s="143"/>
      <c r="S68" s="139" t="str">
        <f t="shared" si="2"/>
        <v>1073107</v>
      </c>
      <c r="T68" s="141"/>
    </row>
    <row r="69">
      <c r="A69" s="137">
        <f>IFERROR(__xludf.DUMMYFUNCTION("""COMPUTED_VALUE"""),45352.4035703588)</f>
        <v>45352.40357</v>
      </c>
      <c r="B69" s="138" t="str">
        <f>IFERROR(__xludf.DUMMYFUNCTION("""COMPUTED_VALUE"""),"Carmelo Interlando")</f>
        <v>Carmelo Interlando</v>
      </c>
      <c r="C69" s="138">
        <f>IFERROR(__xludf.DUMMYFUNCTION("""COMPUTED_VALUE"""),1096.0)</f>
        <v>1096</v>
      </c>
      <c r="D69" s="139">
        <f>IFERROR(__xludf.DUMMYFUNCTION("""COMPUTED_VALUE"""),107.0)</f>
        <v>107</v>
      </c>
      <c r="E69" s="138">
        <f>IFERROR(__xludf.DUMMYFUNCTION("""COMPUTED_VALUE"""),4.0)</f>
        <v>4</v>
      </c>
      <c r="F69" s="138">
        <f>IFERROR(__xludf.DUMMYFUNCTION("""COMPUTED_VALUE"""),3.0)</f>
        <v>3</v>
      </c>
      <c r="G69" s="138">
        <f>IFERROR(__xludf.DUMMYFUNCTION("""COMPUTED_VALUE"""),4.0)</f>
        <v>4</v>
      </c>
      <c r="H69" s="138">
        <f>IFERROR(__xludf.DUMMYFUNCTION("""COMPUTED_VALUE"""),4.0)</f>
        <v>4</v>
      </c>
      <c r="I69" s="138">
        <f>IFERROR(__xludf.DUMMYFUNCTION("""COMPUTED_VALUE"""),4.0)</f>
        <v>4</v>
      </c>
      <c r="J69" s="138">
        <f>IFERROR(__xludf.DUMMYFUNCTION("""COMPUTED_VALUE"""),3.0)</f>
        <v>3</v>
      </c>
      <c r="K69" s="138">
        <f>IFERROR(__xludf.DUMMYFUNCTION("""COMPUTED_VALUE"""),4.0)</f>
        <v>4</v>
      </c>
      <c r="L69" s="138">
        <v>26.0</v>
      </c>
      <c r="M69" s="140" t="str">
        <f>VLOOKUP(text(D69, "#"),'Master Table'!$A:$F, 6, FALSE)</f>
        <v>A-2</v>
      </c>
      <c r="N69" s="141"/>
      <c r="O69" s="142" t="str">
        <f t="shared" si="1"/>
        <v/>
      </c>
      <c r="P69" s="143" t="str">
        <f>IF(ISNA(VLOOKUP(CONCAT(M69,C69), 'Judge Count DO NOT EDIT'!H:H, 1, FALSE)), "ERROR","")</f>
        <v/>
      </c>
      <c r="Q69" s="141"/>
      <c r="R69" s="143"/>
      <c r="S69" s="139" t="str">
        <f t="shared" si="2"/>
        <v>1096107</v>
      </c>
      <c r="T69" s="141"/>
    </row>
    <row r="70">
      <c r="A70" s="137">
        <f>IFERROR(__xludf.DUMMYFUNCTION("""COMPUTED_VALUE"""),45352.404698611106)</f>
        <v>45352.4047</v>
      </c>
      <c r="B70" s="138" t="str">
        <f>IFERROR(__xludf.DUMMYFUNCTION("""COMPUTED_VALUE"""),"Peaceibisia Jack")</f>
        <v>Peaceibisia Jack</v>
      </c>
      <c r="C70" s="138">
        <f>IFERROR(__xludf.DUMMYFUNCTION("""COMPUTED_VALUE"""),1079.0)</f>
        <v>1079</v>
      </c>
      <c r="D70" s="139">
        <f>IFERROR(__xludf.DUMMYFUNCTION("""COMPUTED_VALUE"""),107.0)</f>
        <v>107</v>
      </c>
      <c r="E70" s="138">
        <f>IFERROR(__xludf.DUMMYFUNCTION("""COMPUTED_VALUE"""),4.0)</f>
        <v>4</v>
      </c>
      <c r="F70" s="138">
        <f>IFERROR(__xludf.DUMMYFUNCTION("""COMPUTED_VALUE"""),4.0)</f>
        <v>4</v>
      </c>
      <c r="G70" s="138">
        <f>IFERROR(__xludf.DUMMYFUNCTION("""COMPUTED_VALUE"""),3.0)</f>
        <v>3</v>
      </c>
      <c r="H70" s="138">
        <f>IFERROR(__xludf.DUMMYFUNCTION("""COMPUTED_VALUE"""),3.0)</f>
        <v>3</v>
      </c>
      <c r="I70" s="138">
        <f>IFERROR(__xludf.DUMMYFUNCTION("""COMPUTED_VALUE"""),5.0)</f>
        <v>5</v>
      </c>
      <c r="J70" s="138">
        <f>IFERROR(__xludf.DUMMYFUNCTION("""COMPUTED_VALUE"""),4.0)</f>
        <v>4</v>
      </c>
      <c r="K70" s="138">
        <f>IFERROR(__xludf.DUMMYFUNCTION("""COMPUTED_VALUE"""),5.0)</f>
        <v>5</v>
      </c>
      <c r="L70" s="138">
        <v>28.0</v>
      </c>
      <c r="M70" s="140" t="str">
        <f>VLOOKUP(text(D70, "#"),'Master Table'!$A:$F, 6, FALSE)</f>
        <v>A-2</v>
      </c>
      <c r="N70" s="141" t="str">
        <f>IFERROR(__xludf.DUMMYFUNCTION("""COMPUTED_VALUE"""),"Great Presentation Erik - 
For future presentations, infuse more images and less words, try to use basic terminologies or give examples with real life scenario.  Great research work. ")</f>
        <v>Great Presentation Erik - 
For future presentations, infuse more images and less words, try to use basic terminologies or give examples with real life scenario.  Great research work. </v>
      </c>
      <c r="O70" s="142" t="str">
        <f t="shared" si="1"/>
        <v/>
      </c>
      <c r="P70" s="143" t="str">
        <f>IF(ISNA(VLOOKUP(CONCAT(M70,C70), 'Judge Count DO NOT EDIT'!H:H, 1, FALSE)), "ERROR","")</f>
        <v/>
      </c>
      <c r="Q70" s="141"/>
      <c r="R70" s="143"/>
      <c r="S70" s="139" t="str">
        <f t="shared" si="2"/>
        <v>1079107</v>
      </c>
      <c r="T70" s="141"/>
    </row>
    <row r="71">
      <c r="A71" s="137">
        <f>IFERROR(__xludf.DUMMYFUNCTION("""COMPUTED_VALUE"""),45352.40591246528)</f>
        <v>45352.40591</v>
      </c>
      <c r="B71" s="138" t="str">
        <f>IFERROR(__xludf.DUMMYFUNCTION("""COMPUTED_VALUE"""),"Megan Welsh Carroll")</f>
        <v>Megan Welsh Carroll</v>
      </c>
      <c r="C71" s="138">
        <f>IFERROR(__xludf.DUMMYFUNCTION("""COMPUTED_VALUE"""),1115.0)</f>
        <v>1115</v>
      </c>
      <c r="D71" s="139">
        <f>IFERROR(__xludf.DUMMYFUNCTION("""COMPUTED_VALUE"""),107.0)</f>
        <v>107</v>
      </c>
      <c r="E71" s="138">
        <f>IFERROR(__xludf.DUMMYFUNCTION("""COMPUTED_VALUE"""),4.0)</f>
        <v>4</v>
      </c>
      <c r="F71" s="138">
        <f>IFERROR(__xludf.DUMMYFUNCTION("""COMPUTED_VALUE"""),4.0)</f>
        <v>4</v>
      </c>
      <c r="G71" s="138">
        <f>IFERROR(__xludf.DUMMYFUNCTION("""COMPUTED_VALUE"""),4.0)</f>
        <v>4</v>
      </c>
      <c r="H71" s="138">
        <f>IFERROR(__xludf.DUMMYFUNCTION("""COMPUTED_VALUE"""),4.0)</f>
        <v>4</v>
      </c>
      <c r="I71" s="138">
        <f>IFERROR(__xludf.DUMMYFUNCTION("""COMPUTED_VALUE"""),4.0)</f>
        <v>4</v>
      </c>
      <c r="J71" s="138">
        <f>IFERROR(__xludf.DUMMYFUNCTION("""COMPUTED_VALUE"""),3.0)</f>
        <v>3</v>
      </c>
      <c r="K71" s="138">
        <f>IFERROR(__xludf.DUMMYFUNCTION("""COMPUTED_VALUE"""),4.0)</f>
        <v>4</v>
      </c>
      <c r="L71" s="138">
        <v>27.0</v>
      </c>
      <c r="M71" s="140" t="str">
        <f>VLOOKUP(text(D71, "#"),'Master Table'!$A:$F, 6, FALSE)</f>
        <v>A-2</v>
      </c>
      <c r="N71" s="141" t="str">
        <f>IFERROR(__xludf.DUMMYFUNCTION("""COMPUTED_VALUE"""),"Good work on this presentation. One suggestion for the future is to remember that your project has very compelling human implications (internet is a human right!) -  begin with that as a hook to get people excited about your work. Nice job!")</f>
        <v>Good work on this presentation. One suggestion for the future is to remember that your project has very compelling human implications (internet is a human right!) -  begin with that as a hook to get people excited about your work. Nice job!</v>
      </c>
      <c r="O71" s="142" t="str">
        <f t="shared" si="1"/>
        <v/>
      </c>
      <c r="P71" s="143" t="str">
        <f>IF(ISNA(VLOOKUP(CONCAT(M71,C71), 'Judge Count DO NOT EDIT'!H:H, 1, FALSE)), "ERROR","")</f>
        <v/>
      </c>
      <c r="Q71" s="141"/>
      <c r="R71" s="143"/>
      <c r="S71" s="139" t="str">
        <f t="shared" si="2"/>
        <v>1115107</v>
      </c>
      <c r="T71" s="141"/>
    </row>
    <row r="72">
      <c r="A72" s="137">
        <f>IFERROR(__xludf.DUMMYFUNCTION("""COMPUTED_VALUE"""),45352.415282546295)</f>
        <v>45352.41528</v>
      </c>
      <c r="B72" s="138" t="str">
        <f>IFERROR(__xludf.DUMMYFUNCTION("""COMPUTED_VALUE"""),"Margherita Capriotti")</f>
        <v>Margherita Capriotti</v>
      </c>
      <c r="C72" s="138">
        <f>IFERROR(__xludf.DUMMYFUNCTION("""COMPUTED_VALUE"""),1073.0)</f>
        <v>1073</v>
      </c>
      <c r="D72" s="139">
        <f>IFERROR(__xludf.DUMMYFUNCTION("""COMPUTED_VALUE"""),108.0)</f>
        <v>108</v>
      </c>
      <c r="E72" s="138">
        <f>IFERROR(__xludf.DUMMYFUNCTION("""COMPUTED_VALUE"""),4.0)</f>
        <v>4</v>
      </c>
      <c r="F72" s="138">
        <f>IFERROR(__xludf.DUMMYFUNCTION("""COMPUTED_VALUE"""),4.0)</f>
        <v>4</v>
      </c>
      <c r="G72" s="138">
        <f>IFERROR(__xludf.DUMMYFUNCTION("""COMPUTED_VALUE"""),5.0)</f>
        <v>5</v>
      </c>
      <c r="H72" s="138">
        <f>IFERROR(__xludf.DUMMYFUNCTION("""COMPUTED_VALUE"""),3.0)</f>
        <v>3</v>
      </c>
      <c r="I72" s="138">
        <f>IFERROR(__xludf.DUMMYFUNCTION("""COMPUTED_VALUE"""),4.0)</f>
        <v>4</v>
      </c>
      <c r="J72" s="138">
        <f>IFERROR(__xludf.DUMMYFUNCTION("""COMPUTED_VALUE"""),4.0)</f>
        <v>4</v>
      </c>
      <c r="K72" s="138">
        <f>IFERROR(__xludf.DUMMYFUNCTION("""COMPUTED_VALUE"""),4.0)</f>
        <v>4</v>
      </c>
      <c r="L72" s="138">
        <v>28.0</v>
      </c>
      <c r="M72" s="140" t="str">
        <f>VLOOKUP(text(D72, "#"),'Master Table'!$A:$F, 6, FALSE)</f>
        <v>A-2</v>
      </c>
      <c r="N72" s="141" t="str">
        <f>IFERROR(__xludf.DUMMYFUNCTION("""COMPUTED_VALUE"""),"Very relevant work and intensive data collection and project activities. A suggestion could be on providing more specifics on how the quantitative results were measured.")</f>
        <v>Very relevant work and intensive data collection and project activities. A suggestion could be on providing more specifics on how the quantitative results were measured.</v>
      </c>
      <c r="O72" s="142" t="str">
        <f t="shared" si="1"/>
        <v/>
      </c>
      <c r="P72" s="143" t="str">
        <f>IF(ISNA(VLOOKUP(CONCAT(M72,C72), 'Judge Count DO NOT EDIT'!H:H, 1, FALSE)), "ERROR","")</f>
        <v/>
      </c>
      <c r="Q72" s="141"/>
      <c r="R72" s="143"/>
      <c r="S72" s="139" t="str">
        <f t="shared" si="2"/>
        <v>1073108</v>
      </c>
      <c r="T72" s="141"/>
    </row>
    <row r="73">
      <c r="A73" s="137">
        <f>IFERROR(__xludf.DUMMYFUNCTION("""COMPUTED_VALUE"""),45352.4155921875)</f>
        <v>45352.41559</v>
      </c>
      <c r="B73" s="138" t="str">
        <f>IFERROR(__xludf.DUMMYFUNCTION("""COMPUTED_VALUE"""),"Carmelo Interlando")</f>
        <v>Carmelo Interlando</v>
      </c>
      <c r="C73" s="138">
        <f>IFERROR(__xludf.DUMMYFUNCTION("""COMPUTED_VALUE"""),1096.0)</f>
        <v>1096</v>
      </c>
      <c r="D73" s="139">
        <f>IFERROR(__xludf.DUMMYFUNCTION("""COMPUTED_VALUE"""),108.0)</f>
        <v>108</v>
      </c>
      <c r="E73" s="138">
        <f>IFERROR(__xludf.DUMMYFUNCTION("""COMPUTED_VALUE"""),4.0)</f>
        <v>4</v>
      </c>
      <c r="F73" s="138">
        <f>IFERROR(__xludf.DUMMYFUNCTION("""COMPUTED_VALUE"""),3.0)</f>
        <v>3</v>
      </c>
      <c r="G73" s="138">
        <f>IFERROR(__xludf.DUMMYFUNCTION("""COMPUTED_VALUE"""),5.0)</f>
        <v>5</v>
      </c>
      <c r="H73" s="138">
        <f>IFERROR(__xludf.DUMMYFUNCTION("""COMPUTED_VALUE"""),4.0)</f>
        <v>4</v>
      </c>
      <c r="I73" s="138">
        <f>IFERROR(__xludf.DUMMYFUNCTION("""COMPUTED_VALUE"""),4.0)</f>
        <v>4</v>
      </c>
      <c r="J73" s="138">
        <f>IFERROR(__xludf.DUMMYFUNCTION("""COMPUTED_VALUE"""),5.0)</f>
        <v>5</v>
      </c>
      <c r="K73" s="138">
        <f>IFERROR(__xludf.DUMMYFUNCTION("""COMPUTED_VALUE"""),4.0)</f>
        <v>4</v>
      </c>
      <c r="L73" s="138">
        <v>29.0</v>
      </c>
      <c r="M73" s="140" t="str">
        <f>VLOOKUP(text(D73, "#"),'Master Table'!$A:$F, 6, FALSE)</f>
        <v>A-2</v>
      </c>
      <c r="N73" s="141"/>
      <c r="O73" s="142" t="str">
        <f t="shared" si="1"/>
        <v/>
      </c>
      <c r="P73" s="143" t="str">
        <f>IF(ISNA(VLOOKUP(CONCAT(M73,C73), 'Judge Count DO NOT EDIT'!H:H, 1, FALSE)), "ERROR","")</f>
        <v/>
      </c>
      <c r="Q73" s="141"/>
      <c r="R73" s="143"/>
      <c r="S73" s="139" t="str">
        <f t="shared" si="2"/>
        <v>1096108</v>
      </c>
      <c r="T73" s="141"/>
    </row>
    <row r="74">
      <c r="A74" s="137">
        <f>IFERROR(__xludf.DUMMYFUNCTION("""COMPUTED_VALUE"""),45352.41740302084)</f>
        <v>45352.4174</v>
      </c>
      <c r="B74" s="138" t="str">
        <f>IFERROR(__xludf.DUMMYFUNCTION("""COMPUTED_VALUE"""),"Peaceibisia Jack")</f>
        <v>Peaceibisia Jack</v>
      </c>
      <c r="C74" s="138">
        <f>IFERROR(__xludf.DUMMYFUNCTION("""COMPUTED_VALUE"""),1079.0)</f>
        <v>1079</v>
      </c>
      <c r="D74" s="139">
        <f>IFERROR(__xludf.DUMMYFUNCTION("""COMPUTED_VALUE"""),108.0)</f>
        <v>108</v>
      </c>
      <c r="E74" s="138">
        <f>IFERROR(__xludf.DUMMYFUNCTION("""COMPUTED_VALUE"""),5.0)</f>
        <v>5</v>
      </c>
      <c r="F74" s="138">
        <f>IFERROR(__xludf.DUMMYFUNCTION("""COMPUTED_VALUE"""),5.0)</f>
        <v>5</v>
      </c>
      <c r="G74" s="138">
        <f>IFERROR(__xludf.DUMMYFUNCTION("""COMPUTED_VALUE"""),5.0)</f>
        <v>5</v>
      </c>
      <c r="H74" s="138">
        <f>IFERROR(__xludf.DUMMYFUNCTION("""COMPUTED_VALUE"""),4.0)</f>
        <v>4</v>
      </c>
      <c r="I74" s="138">
        <f>IFERROR(__xludf.DUMMYFUNCTION("""COMPUTED_VALUE"""),5.0)</f>
        <v>5</v>
      </c>
      <c r="J74" s="138">
        <f>IFERROR(__xludf.DUMMYFUNCTION("""COMPUTED_VALUE"""),5.0)</f>
        <v>5</v>
      </c>
      <c r="K74" s="138">
        <f>IFERROR(__xludf.DUMMYFUNCTION("""COMPUTED_VALUE"""),5.0)</f>
        <v>5</v>
      </c>
      <c r="L74" s="138">
        <v>34.0</v>
      </c>
      <c r="M74" s="140" t="str">
        <f>VLOOKUP(text(D74, "#"),'Master Table'!$A:$F, 6, FALSE)</f>
        <v>A-2</v>
      </c>
      <c r="N74" s="141" t="str">
        <f>IFERROR(__xludf.DUMMYFUNCTION("""COMPUTED_VALUE"""),"Great job Alexi.
Notes: For subsequent presentation, add a link or QR code just incase people want to learn more about the research. ")</f>
        <v>Great job Alexi.
Notes: For subsequent presentation, add a link or QR code just incase people want to learn more about the research. </v>
      </c>
      <c r="O74" s="142" t="str">
        <f t="shared" si="1"/>
        <v/>
      </c>
      <c r="P74" s="143" t="str">
        <f>IF(ISNA(VLOOKUP(CONCAT(M74,C74), 'Judge Count DO NOT EDIT'!H:H, 1, FALSE)), "ERROR","")</f>
        <v/>
      </c>
      <c r="Q74" s="141"/>
      <c r="R74" s="143"/>
      <c r="S74" s="139" t="str">
        <f t="shared" si="2"/>
        <v>1079108</v>
      </c>
      <c r="T74" s="141"/>
    </row>
    <row r="75">
      <c r="A75" s="137">
        <f>IFERROR(__xludf.DUMMYFUNCTION("""COMPUTED_VALUE"""),45352.41936487269)</f>
        <v>45352.41936</v>
      </c>
      <c r="B75" s="138" t="str">
        <f>IFERROR(__xludf.DUMMYFUNCTION("""COMPUTED_VALUE"""),"Megan Welsh Carroll")</f>
        <v>Megan Welsh Carroll</v>
      </c>
      <c r="C75" s="138">
        <f>IFERROR(__xludf.DUMMYFUNCTION("""COMPUTED_VALUE"""),1115.0)</f>
        <v>1115</v>
      </c>
      <c r="D75" s="139">
        <f>IFERROR(__xludf.DUMMYFUNCTION("""COMPUTED_VALUE"""),108.0)</f>
        <v>108</v>
      </c>
      <c r="E75" s="138">
        <f>IFERROR(__xludf.DUMMYFUNCTION("""COMPUTED_VALUE"""),5.0)</f>
        <v>5</v>
      </c>
      <c r="F75" s="138">
        <f>IFERROR(__xludf.DUMMYFUNCTION("""COMPUTED_VALUE"""),5.0)</f>
        <v>5</v>
      </c>
      <c r="G75" s="138">
        <f>IFERROR(__xludf.DUMMYFUNCTION("""COMPUTED_VALUE"""),5.0)</f>
        <v>5</v>
      </c>
      <c r="H75" s="138">
        <f>IFERROR(__xludf.DUMMYFUNCTION("""COMPUTED_VALUE"""),5.0)</f>
        <v>5</v>
      </c>
      <c r="I75" s="138">
        <f>IFERROR(__xludf.DUMMYFUNCTION("""COMPUTED_VALUE"""),5.0)</f>
        <v>5</v>
      </c>
      <c r="J75" s="138">
        <f>IFERROR(__xludf.DUMMYFUNCTION("""COMPUTED_VALUE"""),5.0)</f>
        <v>5</v>
      </c>
      <c r="K75" s="138">
        <f>IFERROR(__xludf.DUMMYFUNCTION("""COMPUTED_VALUE"""),5.0)</f>
        <v>5</v>
      </c>
      <c r="L75" s="138">
        <v>35.0</v>
      </c>
      <c r="M75" s="140" t="str">
        <f>VLOOKUP(text(D75, "#"),'Master Table'!$A:$F, 6, FALSE)</f>
        <v>A-2</v>
      </c>
      <c r="N75" s="141" t="str">
        <f>IFERROR(__xludf.DUMMYFUNCTION("""COMPUTED_VALUE"""),"Exceptional job on this presentation. Clear, well-organized slides, excellent and clear explanation of complex scientific concepts. Clear practical application of your work. ")</f>
        <v>Exceptional job on this presentation. Clear, well-organized slides, excellent and clear explanation of complex scientific concepts. Clear practical application of your work. </v>
      </c>
      <c r="O75" s="142" t="str">
        <f t="shared" si="1"/>
        <v/>
      </c>
      <c r="P75" s="143" t="str">
        <f>IF(ISNA(VLOOKUP(CONCAT(M75,C75), 'Judge Count DO NOT EDIT'!H:H, 1, FALSE)), "ERROR","")</f>
        <v/>
      </c>
      <c r="Q75" s="141"/>
      <c r="R75" s="143"/>
      <c r="S75" s="139" t="str">
        <f t="shared" si="2"/>
        <v>1115108</v>
      </c>
      <c r="T75" s="141"/>
    </row>
    <row r="76">
      <c r="A76" s="137">
        <f>IFERROR(__xludf.DUMMYFUNCTION("""COMPUTED_VALUE"""),45352.443449583334)</f>
        <v>45352.44345</v>
      </c>
      <c r="B76" s="138" t="str">
        <f>IFERROR(__xludf.DUMMYFUNCTION("""COMPUTED_VALUE"""),"Megan Welsh Carroll")</f>
        <v>Megan Welsh Carroll</v>
      </c>
      <c r="C76" s="138">
        <f>IFERROR(__xludf.DUMMYFUNCTION("""COMPUTED_VALUE"""),1115.0)</f>
        <v>1115</v>
      </c>
      <c r="D76" s="139">
        <f>IFERROR(__xludf.DUMMYFUNCTION("""COMPUTED_VALUE"""),110.0)</f>
        <v>110</v>
      </c>
      <c r="E76" s="138">
        <f>IFERROR(__xludf.DUMMYFUNCTION("""COMPUTED_VALUE"""),4.0)</f>
        <v>4</v>
      </c>
      <c r="F76" s="138">
        <f>IFERROR(__xludf.DUMMYFUNCTION("""COMPUTED_VALUE"""),4.0)</f>
        <v>4</v>
      </c>
      <c r="G76" s="138">
        <f>IFERROR(__xludf.DUMMYFUNCTION("""COMPUTED_VALUE"""),4.0)</f>
        <v>4</v>
      </c>
      <c r="H76" s="138">
        <f>IFERROR(__xludf.DUMMYFUNCTION("""COMPUTED_VALUE"""),4.0)</f>
        <v>4</v>
      </c>
      <c r="I76" s="138">
        <f>IFERROR(__xludf.DUMMYFUNCTION("""COMPUTED_VALUE"""),4.0)</f>
        <v>4</v>
      </c>
      <c r="J76" s="138">
        <f>IFERROR(__xludf.DUMMYFUNCTION("""COMPUTED_VALUE"""),4.0)</f>
        <v>4</v>
      </c>
      <c r="K76" s="138">
        <f>IFERROR(__xludf.DUMMYFUNCTION("""COMPUTED_VALUE"""),5.0)</f>
        <v>5</v>
      </c>
      <c r="L76" s="138">
        <v>29.0</v>
      </c>
      <c r="M76" s="140" t="str">
        <f>VLOOKUP(text(D76, "#"),'Master Table'!$A:$F, 6, FALSE)</f>
        <v>A-2</v>
      </c>
      <c r="N76" s="141"/>
      <c r="O76" s="142" t="str">
        <f t="shared" si="1"/>
        <v/>
      </c>
      <c r="P76" s="143" t="str">
        <f>IF(ISNA(VLOOKUP(CONCAT(M76,C76), 'Judge Count DO NOT EDIT'!H:H, 1, FALSE)), "ERROR","")</f>
        <v/>
      </c>
      <c r="Q76" s="141"/>
      <c r="R76" s="143"/>
      <c r="S76" s="139" t="str">
        <f t="shared" si="2"/>
        <v>1115110</v>
      </c>
      <c r="T76" s="141"/>
    </row>
    <row r="77">
      <c r="A77" s="137">
        <f>IFERROR(__xludf.DUMMYFUNCTION("""COMPUTED_VALUE"""),45352.445280370375)</f>
        <v>45352.44528</v>
      </c>
      <c r="B77" s="138" t="str">
        <f>IFERROR(__xludf.DUMMYFUNCTION("""COMPUTED_VALUE"""),"Peaceibisia Jack")</f>
        <v>Peaceibisia Jack</v>
      </c>
      <c r="C77" s="138">
        <f>IFERROR(__xludf.DUMMYFUNCTION("""COMPUTED_VALUE"""),1079.0)</f>
        <v>1079</v>
      </c>
      <c r="D77" s="139">
        <f>IFERROR(__xludf.DUMMYFUNCTION("""COMPUTED_VALUE"""),110.0)</f>
        <v>110</v>
      </c>
      <c r="E77" s="138">
        <f>IFERROR(__xludf.DUMMYFUNCTION("""COMPUTED_VALUE"""),5.0)</f>
        <v>5</v>
      </c>
      <c r="F77" s="138">
        <f>IFERROR(__xludf.DUMMYFUNCTION("""COMPUTED_VALUE"""),5.0)</f>
        <v>5</v>
      </c>
      <c r="G77" s="138">
        <f>IFERROR(__xludf.DUMMYFUNCTION("""COMPUTED_VALUE"""),4.0)</f>
        <v>4</v>
      </c>
      <c r="H77" s="138">
        <f>IFERROR(__xludf.DUMMYFUNCTION("""COMPUTED_VALUE"""),5.0)</f>
        <v>5</v>
      </c>
      <c r="I77" s="138">
        <f>IFERROR(__xludf.DUMMYFUNCTION("""COMPUTED_VALUE"""),5.0)</f>
        <v>5</v>
      </c>
      <c r="J77" s="138">
        <f>IFERROR(__xludf.DUMMYFUNCTION("""COMPUTED_VALUE"""),5.0)</f>
        <v>5</v>
      </c>
      <c r="K77" s="138">
        <f>IFERROR(__xludf.DUMMYFUNCTION("""COMPUTED_VALUE"""),5.0)</f>
        <v>5</v>
      </c>
      <c r="L77" s="138">
        <v>34.0</v>
      </c>
      <c r="M77" s="140" t="str">
        <f>VLOOKUP(text(D77, "#"),'Master Table'!$A:$F, 6, FALSE)</f>
        <v>A-2</v>
      </c>
      <c r="N77" s="141" t="str">
        <f>IFERROR(__xludf.DUMMYFUNCTION("""COMPUTED_VALUE"""),"Great job Paul.
Note: Make graphs less complex and easy to interpret by audience. 
Good work!")</f>
        <v>Great job Paul.
Note: Make graphs less complex and easy to interpret by audience. 
Good work!</v>
      </c>
      <c r="O77" s="142" t="str">
        <f t="shared" si="1"/>
        <v/>
      </c>
      <c r="P77" s="143" t="str">
        <f>IF(ISNA(VLOOKUP(CONCAT(M77,C77), 'Judge Count DO NOT EDIT'!H:H, 1, FALSE)), "ERROR","")</f>
        <v/>
      </c>
      <c r="Q77" s="141"/>
      <c r="R77" s="143"/>
      <c r="S77" s="139" t="str">
        <f t="shared" si="2"/>
        <v>1079110</v>
      </c>
      <c r="T77" s="141"/>
    </row>
    <row r="78">
      <c r="A78" s="137">
        <f>IFERROR(__xludf.DUMMYFUNCTION("""COMPUTED_VALUE"""),45352.44530251157)</f>
        <v>45352.4453</v>
      </c>
      <c r="B78" s="138" t="str">
        <f>IFERROR(__xludf.DUMMYFUNCTION("""COMPUTED_VALUE"""),"Carmelo Interlando")</f>
        <v>Carmelo Interlando</v>
      </c>
      <c r="C78" s="138">
        <f>IFERROR(__xludf.DUMMYFUNCTION("""COMPUTED_VALUE"""),1096.0)</f>
        <v>1096</v>
      </c>
      <c r="D78" s="139">
        <f>IFERROR(__xludf.DUMMYFUNCTION("""COMPUTED_VALUE"""),110.0)</f>
        <v>110</v>
      </c>
      <c r="E78" s="138">
        <f>IFERROR(__xludf.DUMMYFUNCTION("""COMPUTED_VALUE"""),4.0)</f>
        <v>4</v>
      </c>
      <c r="F78" s="138">
        <f>IFERROR(__xludf.DUMMYFUNCTION("""COMPUTED_VALUE"""),4.0)</f>
        <v>4</v>
      </c>
      <c r="G78" s="138">
        <f>IFERROR(__xludf.DUMMYFUNCTION("""COMPUTED_VALUE"""),5.0)</f>
        <v>5</v>
      </c>
      <c r="H78" s="138">
        <f>IFERROR(__xludf.DUMMYFUNCTION("""COMPUTED_VALUE"""),5.0)</f>
        <v>5</v>
      </c>
      <c r="I78" s="138">
        <f>IFERROR(__xludf.DUMMYFUNCTION("""COMPUTED_VALUE"""),5.0)</f>
        <v>5</v>
      </c>
      <c r="J78" s="138">
        <f>IFERROR(__xludf.DUMMYFUNCTION("""COMPUTED_VALUE"""),4.0)</f>
        <v>4</v>
      </c>
      <c r="K78" s="138">
        <f>IFERROR(__xludf.DUMMYFUNCTION("""COMPUTED_VALUE"""),5.0)</f>
        <v>5</v>
      </c>
      <c r="L78" s="138">
        <v>32.0</v>
      </c>
      <c r="M78" s="140" t="str">
        <f>VLOOKUP(text(D78, "#"),'Master Table'!$A:$F, 6, FALSE)</f>
        <v>A-2</v>
      </c>
      <c r="N78" s="141"/>
      <c r="O78" s="142" t="str">
        <f t="shared" si="1"/>
        <v/>
      </c>
      <c r="P78" s="143" t="str">
        <f>IF(ISNA(VLOOKUP(CONCAT(M78,C78), 'Judge Count DO NOT EDIT'!H:H, 1, FALSE)), "ERROR","")</f>
        <v/>
      </c>
      <c r="Q78" s="141"/>
      <c r="R78" s="143"/>
      <c r="S78" s="139" t="str">
        <f t="shared" si="2"/>
        <v>1096110</v>
      </c>
      <c r="T78" s="141"/>
    </row>
    <row r="79">
      <c r="A79" s="137">
        <f>IFERROR(__xludf.DUMMYFUNCTION("""COMPUTED_VALUE"""),45352.44655145833)</f>
        <v>45352.44655</v>
      </c>
      <c r="B79" s="138" t="str">
        <f>IFERROR(__xludf.DUMMYFUNCTION("""COMPUTED_VALUE"""),"Margherita Capriotti")</f>
        <v>Margherita Capriotti</v>
      </c>
      <c r="C79" s="138">
        <f>IFERROR(__xludf.DUMMYFUNCTION("""COMPUTED_VALUE"""),1073.0)</f>
        <v>1073</v>
      </c>
      <c r="D79" s="139">
        <f>IFERROR(__xludf.DUMMYFUNCTION("""COMPUTED_VALUE"""),110.0)</f>
        <v>110</v>
      </c>
      <c r="E79" s="138">
        <f>IFERROR(__xludf.DUMMYFUNCTION("""COMPUTED_VALUE"""),4.0)</f>
        <v>4</v>
      </c>
      <c r="F79" s="138">
        <f>IFERROR(__xludf.DUMMYFUNCTION("""COMPUTED_VALUE"""),4.0)</f>
        <v>4</v>
      </c>
      <c r="G79" s="138">
        <f>IFERROR(__xludf.DUMMYFUNCTION("""COMPUTED_VALUE"""),4.0)</f>
        <v>4</v>
      </c>
      <c r="H79" s="138">
        <f>IFERROR(__xludf.DUMMYFUNCTION("""COMPUTED_VALUE"""),4.0)</f>
        <v>4</v>
      </c>
      <c r="I79" s="138">
        <f>IFERROR(__xludf.DUMMYFUNCTION("""COMPUTED_VALUE"""),4.0)</f>
        <v>4</v>
      </c>
      <c r="J79" s="138">
        <f>IFERROR(__xludf.DUMMYFUNCTION("""COMPUTED_VALUE"""),4.0)</f>
        <v>4</v>
      </c>
      <c r="K79" s="138">
        <f>IFERROR(__xludf.DUMMYFUNCTION("""COMPUTED_VALUE"""),4.0)</f>
        <v>4</v>
      </c>
      <c r="L79" s="138">
        <v>28.0</v>
      </c>
      <c r="M79" s="140" t="str">
        <f>VLOOKUP(text(D79, "#"),'Master Table'!$A:$F, 6, FALSE)</f>
        <v>A-2</v>
      </c>
      <c r="N79" s="141" t="str">
        <f>IFERROR(__xludf.DUMMYFUNCTION("""COMPUTED_VALUE"""),"Good work! A suggestion could be in providing more background as well as future steps to provide the audience with more tools for understanding the methods and meaning of results.")</f>
        <v>Good work! A suggestion could be in providing more background as well as future steps to provide the audience with more tools for understanding the methods and meaning of results.</v>
      </c>
      <c r="O79" s="142" t="str">
        <f t="shared" si="1"/>
        <v/>
      </c>
      <c r="P79" s="143" t="str">
        <f>IF(ISNA(VLOOKUP(CONCAT(M79,C79), 'Judge Count DO NOT EDIT'!H:H, 1, FALSE)), "ERROR","")</f>
        <v/>
      </c>
      <c r="Q79" s="141"/>
      <c r="R79" s="143"/>
      <c r="S79" s="139" t="str">
        <f t="shared" si="2"/>
        <v>1073110</v>
      </c>
      <c r="T79" s="141"/>
    </row>
    <row r="80">
      <c r="A80" s="137">
        <f>IFERROR(__xludf.DUMMYFUNCTION("""COMPUTED_VALUE"""),45352.400909178235)</f>
        <v>45352.40091</v>
      </c>
      <c r="B80" s="138" t="str">
        <f>IFERROR(__xludf.DUMMYFUNCTION("""COMPUTED_VALUE"""),"Eniko Csomay")</f>
        <v>Eniko Csomay</v>
      </c>
      <c r="C80" s="138">
        <f>IFERROR(__xludf.DUMMYFUNCTION("""COMPUTED_VALUE"""),1003.0)</f>
        <v>1003</v>
      </c>
      <c r="D80" s="139">
        <f>IFERROR(__xludf.DUMMYFUNCTION("""COMPUTED_VALUE"""),112.0)</f>
        <v>112</v>
      </c>
      <c r="E80" s="138">
        <f>IFERROR(__xludf.DUMMYFUNCTION("""COMPUTED_VALUE"""),3.0)</f>
        <v>3</v>
      </c>
      <c r="F80" s="138">
        <f>IFERROR(__xludf.DUMMYFUNCTION("""COMPUTED_VALUE"""),4.0)</f>
        <v>4</v>
      </c>
      <c r="G80" s="138">
        <f>IFERROR(__xludf.DUMMYFUNCTION("""COMPUTED_VALUE"""),4.0)</f>
        <v>4</v>
      </c>
      <c r="H80" s="138">
        <f>IFERROR(__xludf.DUMMYFUNCTION("""COMPUTED_VALUE"""),2.0)</f>
        <v>2</v>
      </c>
      <c r="I80" s="138">
        <f>IFERROR(__xludf.DUMMYFUNCTION("""COMPUTED_VALUE"""),4.0)</f>
        <v>4</v>
      </c>
      <c r="J80" s="138">
        <f>IFERROR(__xludf.DUMMYFUNCTION("""COMPUTED_VALUE"""),5.0)</f>
        <v>5</v>
      </c>
      <c r="K80" s="138">
        <f>IFERROR(__xludf.DUMMYFUNCTION("""COMPUTED_VALUE"""),4.0)</f>
        <v>4</v>
      </c>
      <c r="L80" s="138">
        <v>26.0</v>
      </c>
      <c r="M80" s="140" t="str">
        <f>VLOOKUP(text(D80, "#"),'Master Table'!$A:$F, 6, FALSE)</f>
        <v>A-3</v>
      </c>
      <c r="N80" s="141" t="str">
        <f>IFERROR(__xludf.DUMMYFUNCTION("""COMPUTED_VALUE"""),"Great slides! I appreciated the fact that you only had talking points on the slides, not full sentences.")</f>
        <v>Great slides! I appreciated the fact that you only had talking points on the slides, not full sentences.</v>
      </c>
      <c r="O80" s="142" t="str">
        <f t="shared" si="1"/>
        <v/>
      </c>
      <c r="P80" s="143" t="str">
        <f>IF(ISNA(VLOOKUP(CONCAT(M80,C80), 'Judge Count DO NOT EDIT'!H:H, 1, FALSE)), "ERROR","")</f>
        <v/>
      </c>
      <c r="Q80" s="141"/>
      <c r="R80" s="143"/>
      <c r="S80" s="139" t="str">
        <f t="shared" si="2"/>
        <v>1003112</v>
      </c>
      <c r="T80" s="141"/>
    </row>
    <row r="81">
      <c r="A81" s="137">
        <f>IFERROR(__xludf.DUMMYFUNCTION("""COMPUTED_VALUE"""),45352.40162185185)</f>
        <v>45352.40162</v>
      </c>
      <c r="B81" s="138" t="str">
        <f>IFERROR(__xludf.DUMMYFUNCTION("""COMPUTED_VALUE"""),"Emily Schmied")</f>
        <v>Emily Schmied</v>
      </c>
      <c r="C81" s="138">
        <f>IFERROR(__xludf.DUMMYFUNCTION("""COMPUTED_VALUE"""),1006.0)</f>
        <v>1006</v>
      </c>
      <c r="D81" s="139">
        <f>IFERROR(__xludf.DUMMYFUNCTION("""COMPUTED_VALUE"""),112.0)</f>
        <v>112</v>
      </c>
      <c r="E81" s="138">
        <f>IFERROR(__xludf.DUMMYFUNCTION("""COMPUTED_VALUE"""),4.0)</f>
        <v>4</v>
      </c>
      <c r="F81" s="138">
        <f>IFERROR(__xludf.DUMMYFUNCTION("""COMPUTED_VALUE"""),5.0)</f>
        <v>5</v>
      </c>
      <c r="G81" s="138">
        <f>IFERROR(__xludf.DUMMYFUNCTION("""COMPUTED_VALUE"""),3.0)</f>
        <v>3</v>
      </c>
      <c r="H81" s="138">
        <f>IFERROR(__xludf.DUMMYFUNCTION("""COMPUTED_VALUE"""),2.0)</f>
        <v>2</v>
      </c>
      <c r="I81" s="138">
        <f>IFERROR(__xludf.DUMMYFUNCTION("""COMPUTED_VALUE"""),4.0)</f>
        <v>4</v>
      </c>
      <c r="J81" s="138">
        <f>IFERROR(__xludf.DUMMYFUNCTION("""COMPUTED_VALUE"""),4.0)</f>
        <v>4</v>
      </c>
      <c r="K81" s="138">
        <f>IFERROR(__xludf.DUMMYFUNCTION("""COMPUTED_VALUE"""),4.0)</f>
        <v>4</v>
      </c>
      <c r="L81" s="138">
        <v>26.0</v>
      </c>
      <c r="M81" s="140" t="str">
        <f>VLOOKUP(text(D81, "#"),'Master Table'!$A:$F, 6, FALSE)</f>
        <v>A-3</v>
      </c>
      <c r="N81" s="141" t="str">
        <f>IFERROR(__xludf.DUMMYFUNCTION("""COMPUTED_VALUE"""),"Presentation style was engaging; early stage project left much room for questions surrounding methodology")</f>
        <v>Presentation style was engaging; early stage project left much room for questions surrounding methodology</v>
      </c>
      <c r="O81" s="142" t="str">
        <f t="shared" si="1"/>
        <v/>
      </c>
      <c r="P81" s="143" t="str">
        <f>IF(ISNA(VLOOKUP(CONCAT(M81,C81), 'Judge Count DO NOT EDIT'!H:H, 1, FALSE)), "ERROR","")</f>
        <v/>
      </c>
      <c r="Q81" s="141"/>
      <c r="R81" s="143"/>
      <c r="S81" s="139" t="str">
        <f t="shared" si="2"/>
        <v>1006112</v>
      </c>
      <c r="T81" s="141"/>
    </row>
    <row r="82">
      <c r="A82" s="137">
        <f>IFERROR(__xludf.DUMMYFUNCTION("""COMPUTED_VALUE"""),45352.40225158565)</f>
        <v>45352.40225</v>
      </c>
      <c r="B82" s="138" t="str">
        <f>IFERROR(__xludf.DUMMYFUNCTION("""COMPUTED_VALUE"""),"Madhi Alshammari ")</f>
        <v>Madhi Alshammari </v>
      </c>
      <c r="C82" s="138">
        <f>IFERROR(__xludf.DUMMYFUNCTION("""COMPUTED_VALUE"""),1065.0)</f>
        <v>1065</v>
      </c>
      <c r="D82" s="139">
        <f>IFERROR(__xludf.DUMMYFUNCTION("""COMPUTED_VALUE"""),112.0)</f>
        <v>112</v>
      </c>
      <c r="E82" s="138">
        <f>IFERROR(__xludf.DUMMYFUNCTION("""COMPUTED_VALUE"""),5.0)</f>
        <v>5</v>
      </c>
      <c r="F82" s="138">
        <f>IFERROR(__xludf.DUMMYFUNCTION("""COMPUTED_VALUE"""),4.0)</f>
        <v>4</v>
      </c>
      <c r="G82" s="138">
        <f>IFERROR(__xludf.DUMMYFUNCTION("""COMPUTED_VALUE"""),5.0)</f>
        <v>5</v>
      </c>
      <c r="H82" s="138">
        <f>IFERROR(__xludf.DUMMYFUNCTION("""COMPUTED_VALUE"""),4.0)</f>
        <v>4</v>
      </c>
      <c r="I82" s="138">
        <f>IFERROR(__xludf.DUMMYFUNCTION("""COMPUTED_VALUE"""),5.0)</f>
        <v>5</v>
      </c>
      <c r="J82" s="138">
        <f>IFERROR(__xludf.DUMMYFUNCTION("""COMPUTED_VALUE"""),5.0)</f>
        <v>5</v>
      </c>
      <c r="K82" s="138">
        <f>IFERROR(__xludf.DUMMYFUNCTION("""COMPUTED_VALUE"""),4.0)</f>
        <v>4</v>
      </c>
      <c r="L82" s="138">
        <v>32.0</v>
      </c>
      <c r="M82" s="140" t="str">
        <f>VLOOKUP(text(D82, "#"),'Master Table'!$A:$F, 6, FALSE)</f>
        <v>A-3</v>
      </c>
      <c r="N82" s="141" t="str">
        <f>IFERROR(__xludf.DUMMYFUNCTION("""COMPUTED_VALUE"""),"The idea is interesting to follow by the audience and he did great job delivering the message clearly. ")</f>
        <v>The idea is interesting to follow by the audience and he did great job delivering the message clearly. </v>
      </c>
      <c r="O82" s="142" t="str">
        <f t="shared" si="1"/>
        <v/>
      </c>
      <c r="P82" s="143" t="str">
        <f>IF(ISNA(VLOOKUP(CONCAT(M82,C82), 'Judge Count DO NOT EDIT'!H:H, 1, FALSE)), "ERROR","")</f>
        <v/>
      </c>
      <c r="Q82" s="141"/>
      <c r="R82" s="143"/>
      <c r="S82" s="139" t="str">
        <f t="shared" si="2"/>
        <v>1065112</v>
      </c>
      <c r="T82" s="141"/>
    </row>
    <row r="83">
      <c r="A83" s="137">
        <f>IFERROR(__xludf.DUMMYFUNCTION("""COMPUTED_VALUE"""),45352.40490178241)</f>
        <v>45352.4049</v>
      </c>
      <c r="B83" s="138" t="str">
        <f>IFERROR(__xludf.DUMMYFUNCTION("""COMPUTED_VALUE"""),"Leslie Solomon")</f>
        <v>Leslie Solomon</v>
      </c>
      <c r="C83" s="138">
        <f>IFERROR(__xludf.DUMMYFUNCTION("""COMPUTED_VALUE"""),1178.0)</f>
        <v>1178</v>
      </c>
      <c r="D83" s="139">
        <f>IFERROR(__xludf.DUMMYFUNCTION("""COMPUTED_VALUE"""),112.0)</f>
        <v>112</v>
      </c>
      <c r="E83" s="138">
        <f>IFERROR(__xludf.DUMMYFUNCTION("""COMPUTED_VALUE"""),4.0)</f>
        <v>4</v>
      </c>
      <c r="F83" s="138">
        <f>IFERROR(__xludf.DUMMYFUNCTION("""COMPUTED_VALUE"""),4.0)</f>
        <v>4</v>
      </c>
      <c r="G83" s="138">
        <f>IFERROR(__xludf.DUMMYFUNCTION("""COMPUTED_VALUE"""),5.0)</f>
        <v>5</v>
      </c>
      <c r="H83" s="138">
        <f>IFERROR(__xludf.DUMMYFUNCTION("""COMPUTED_VALUE"""),3.0)</f>
        <v>3</v>
      </c>
      <c r="I83" s="138">
        <f>IFERROR(__xludf.DUMMYFUNCTION("""COMPUTED_VALUE"""),3.0)</f>
        <v>3</v>
      </c>
      <c r="J83" s="138">
        <f>IFERROR(__xludf.DUMMYFUNCTION("""COMPUTED_VALUE"""),4.0)</f>
        <v>4</v>
      </c>
      <c r="K83" s="138">
        <f>IFERROR(__xludf.DUMMYFUNCTION("""COMPUTED_VALUE"""),5.0)</f>
        <v>5</v>
      </c>
      <c r="L83" s="138">
        <v>28.0</v>
      </c>
      <c r="M83" s="140" t="str">
        <f>VLOOKUP(text(D83, "#"),'Master Table'!$A:$F, 6, FALSE)</f>
        <v>A-3</v>
      </c>
      <c r="N83" s="141" t="str">
        <f>IFERROR(__xludf.DUMMYFUNCTION("""COMPUTED_VALUE"""),"Fascinating area of study. Grounding is excellent and you have every right to present with confidence even though early in the inquiry. I would also have been interested in why this research is important to you.  ")</f>
        <v>Fascinating area of study. Grounding is excellent and you have every right to present with confidence even though early in the inquiry. I would also have been interested in why this research is important to you.  </v>
      </c>
      <c r="O83" s="142" t="str">
        <f t="shared" si="1"/>
        <v/>
      </c>
      <c r="P83" s="143" t="str">
        <f>IF(ISNA(VLOOKUP(CONCAT(M83,C83), 'Judge Count DO NOT EDIT'!H:H, 1, FALSE)), "ERROR","")</f>
        <v/>
      </c>
      <c r="Q83" s="144"/>
      <c r="R83" s="143"/>
      <c r="S83" s="139" t="str">
        <f t="shared" si="2"/>
        <v>1178112</v>
      </c>
      <c r="T83" s="141"/>
    </row>
    <row r="84">
      <c r="A84" s="137">
        <f>IFERROR(__xludf.DUMMYFUNCTION("""COMPUTED_VALUE"""),45352.41475216435)</f>
        <v>45352.41475</v>
      </c>
      <c r="B84" s="138" t="str">
        <f>IFERROR(__xludf.DUMMYFUNCTION("""COMPUTED_VALUE"""),"Eniko Csomay")</f>
        <v>Eniko Csomay</v>
      </c>
      <c r="C84" s="138">
        <f>IFERROR(__xludf.DUMMYFUNCTION("""COMPUTED_VALUE"""),1003.0)</f>
        <v>1003</v>
      </c>
      <c r="D84" s="139">
        <f>IFERROR(__xludf.DUMMYFUNCTION("""COMPUTED_VALUE"""),113.0)</f>
        <v>113</v>
      </c>
      <c r="E84" s="138">
        <f>IFERROR(__xludf.DUMMYFUNCTION("""COMPUTED_VALUE"""),4.0)</f>
        <v>4</v>
      </c>
      <c r="F84" s="138">
        <f>IFERROR(__xludf.DUMMYFUNCTION("""COMPUTED_VALUE"""),4.0)</f>
        <v>4</v>
      </c>
      <c r="G84" s="138">
        <f>IFERROR(__xludf.DUMMYFUNCTION("""COMPUTED_VALUE"""),3.0)</f>
        <v>3</v>
      </c>
      <c r="H84" s="138">
        <f>IFERROR(__xludf.DUMMYFUNCTION("""COMPUTED_VALUE"""),3.0)</f>
        <v>3</v>
      </c>
      <c r="I84" s="138">
        <f>IFERROR(__xludf.DUMMYFUNCTION("""COMPUTED_VALUE"""),4.0)</f>
        <v>4</v>
      </c>
      <c r="J84" s="138">
        <f>IFERROR(__xludf.DUMMYFUNCTION("""COMPUTED_VALUE"""),4.0)</f>
        <v>4</v>
      </c>
      <c r="K84" s="138">
        <f>IFERROR(__xludf.DUMMYFUNCTION("""COMPUTED_VALUE"""),3.0)</f>
        <v>3</v>
      </c>
      <c r="L84" s="138">
        <v>25.0</v>
      </c>
      <c r="M84" s="140" t="str">
        <f>VLOOKUP(text(D84, "#"),'Master Table'!$A:$F, 6, FALSE)</f>
        <v>A-3</v>
      </c>
      <c r="N84" s="141"/>
      <c r="O84" s="142" t="str">
        <f t="shared" si="1"/>
        <v/>
      </c>
      <c r="P84" s="143" t="str">
        <f>IF(ISNA(VLOOKUP(CONCAT(M84,C84), 'Judge Count DO NOT EDIT'!H:H, 1, FALSE)), "ERROR","")</f>
        <v/>
      </c>
      <c r="Q84" s="141"/>
      <c r="R84" s="143"/>
      <c r="S84" s="139" t="str">
        <f t="shared" si="2"/>
        <v>1003113</v>
      </c>
      <c r="T84" s="141"/>
    </row>
    <row r="85">
      <c r="A85" s="137">
        <f>IFERROR(__xludf.DUMMYFUNCTION("""COMPUTED_VALUE"""),45352.41605447917)</f>
        <v>45352.41605</v>
      </c>
      <c r="B85" s="138" t="str">
        <f>IFERROR(__xludf.DUMMYFUNCTION("""COMPUTED_VALUE"""),"Emily Schmied")</f>
        <v>Emily Schmied</v>
      </c>
      <c r="C85" s="138">
        <f>IFERROR(__xludf.DUMMYFUNCTION("""COMPUTED_VALUE"""),1006.0)</f>
        <v>1006</v>
      </c>
      <c r="D85" s="139">
        <f>IFERROR(__xludf.DUMMYFUNCTION("""COMPUTED_VALUE"""),113.0)</f>
        <v>113</v>
      </c>
      <c r="E85" s="138">
        <f>IFERROR(__xludf.DUMMYFUNCTION("""COMPUTED_VALUE"""),5.0)</f>
        <v>5</v>
      </c>
      <c r="F85" s="138">
        <f>IFERROR(__xludf.DUMMYFUNCTION("""COMPUTED_VALUE"""),4.0)</f>
        <v>4</v>
      </c>
      <c r="G85" s="138">
        <f>IFERROR(__xludf.DUMMYFUNCTION("""COMPUTED_VALUE"""),3.0)</f>
        <v>3</v>
      </c>
      <c r="H85" s="138">
        <f>IFERROR(__xludf.DUMMYFUNCTION("""COMPUTED_VALUE"""),4.0)</f>
        <v>4</v>
      </c>
      <c r="I85" s="138">
        <f>IFERROR(__xludf.DUMMYFUNCTION("""COMPUTED_VALUE"""),5.0)</f>
        <v>5</v>
      </c>
      <c r="J85" s="138">
        <f>IFERROR(__xludf.DUMMYFUNCTION("""COMPUTED_VALUE"""),4.0)</f>
        <v>4</v>
      </c>
      <c r="K85" s="138">
        <f>IFERROR(__xludf.DUMMYFUNCTION("""COMPUTED_VALUE"""),5.0)</f>
        <v>5</v>
      </c>
      <c r="L85" s="138">
        <v>30.0</v>
      </c>
      <c r="M85" s="140" t="str">
        <f>VLOOKUP(text(D85, "#"),'Master Table'!$A:$F, 6, FALSE)</f>
        <v>A-3</v>
      </c>
      <c r="N85" s="141"/>
      <c r="O85" s="142" t="str">
        <f t="shared" si="1"/>
        <v/>
      </c>
      <c r="P85" s="143" t="str">
        <f>IF(ISNA(VLOOKUP(CONCAT(M85,C85), 'Judge Count DO NOT EDIT'!H:H, 1, FALSE)), "ERROR","")</f>
        <v/>
      </c>
      <c r="Q85" s="141"/>
      <c r="R85" s="143"/>
      <c r="S85" s="139" t="str">
        <f t="shared" si="2"/>
        <v>1006113</v>
      </c>
      <c r="T85" s="141"/>
    </row>
    <row r="86">
      <c r="A86" s="137">
        <f>IFERROR(__xludf.DUMMYFUNCTION("""COMPUTED_VALUE"""),45352.41782335648)</f>
        <v>45352.41782</v>
      </c>
      <c r="B86" s="138" t="str">
        <f>IFERROR(__xludf.DUMMYFUNCTION("""COMPUTED_VALUE"""),"Madhi Alshammari ")</f>
        <v>Madhi Alshammari </v>
      </c>
      <c r="C86" s="138">
        <f>IFERROR(__xludf.DUMMYFUNCTION("""COMPUTED_VALUE"""),1065.0)</f>
        <v>1065</v>
      </c>
      <c r="D86" s="139">
        <f>IFERROR(__xludf.DUMMYFUNCTION("""COMPUTED_VALUE"""),113.0)</f>
        <v>113</v>
      </c>
      <c r="E86" s="138">
        <f>IFERROR(__xludf.DUMMYFUNCTION("""COMPUTED_VALUE"""),4.0)</f>
        <v>4</v>
      </c>
      <c r="F86" s="138">
        <f>IFERROR(__xludf.DUMMYFUNCTION("""COMPUTED_VALUE"""),4.0)</f>
        <v>4</v>
      </c>
      <c r="G86" s="138">
        <f>IFERROR(__xludf.DUMMYFUNCTION("""COMPUTED_VALUE"""),5.0)</f>
        <v>5</v>
      </c>
      <c r="H86" s="138">
        <f>IFERROR(__xludf.DUMMYFUNCTION("""COMPUTED_VALUE"""),4.0)</f>
        <v>4</v>
      </c>
      <c r="I86" s="138">
        <f>IFERROR(__xludf.DUMMYFUNCTION("""COMPUTED_VALUE"""),4.0)</f>
        <v>4</v>
      </c>
      <c r="J86" s="138">
        <f>IFERROR(__xludf.DUMMYFUNCTION("""COMPUTED_VALUE"""),4.0)</f>
        <v>4</v>
      </c>
      <c r="K86" s="138">
        <f>IFERROR(__xludf.DUMMYFUNCTION("""COMPUTED_VALUE"""),4.0)</f>
        <v>4</v>
      </c>
      <c r="L86" s="138">
        <v>29.0</v>
      </c>
      <c r="M86" s="140" t="str">
        <f>VLOOKUP(text(D86, "#"),'Master Table'!$A:$F, 6, FALSE)</f>
        <v>A-3</v>
      </c>
      <c r="N86" s="141" t="str">
        <f>IFERROR(__xludf.DUMMYFUNCTION("""COMPUTED_VALUE"""),"The topic helps a lot to get audience engaged with the interviewer. She did great job explaining and answering most questions. ")</f>
        <v>The topic helps a lot to get audience engaged with the interviewer. She did great job explaining and answering most questions. </v>
      </c>
      <c r="O86" s="142" t="str">
        <f t="shared" si="1"/>
        <v/>
      </c>
      <c r="P86" s="143" t="str">
        <f>IF(ISNA(VLOOKUP(CONCAT(M86,C86), 'Judge Count DO NOT EDIT'!H:H, 1, FALSE)), "ERROR","")</f>
        <v/>
      </c>
      <c r="Q86" s="141"/>
      <c r="R86" s="143"/>
      <c r="S86" s="139" t="str">
        <f t="shared" si="2"/>
        <v>1065113</v>
      </c>
      <c r="T86" s="141"/>
    </row>
    <row r="87">
      <c r="A87" s="137">
        <f>IFERROR(__xludf.DUMMYFUNCTION("""COMPUTED_VALUE"""),45352.41794127315)</f>
        <v>45352.41794</v>
      </c>
      <c r="B87" s="138" t="str">
        <f>IFERROR(__xludf.DUMMYFUNCTION("""COMPUTED_VALUE"""),"Leslie Solomon")</f>
        <v>Leslie Solomon</v>
      </c>
      <c r="C87" s="138">
        <f>IFERROR(__xludf.DUMMYFUNCTION("""COMPUTED_VALUE"""),1178.0)</f>
        <v>1178</v>
      </c>
      <c r="D87" s="139">
        <f>IFERROR(__xludf.DUMMYFUNCTION("""COMPUTED_VALUE"""),113.0)</f>
        <v>113</v>
      </c>
      <c r="E87" s="138">
        <f>IFERROR(__xludf.DUMMYFUNCTION("""COMPUTED_VALUE"""),5.0)</f>
        <v>5</v>
      </c>
      <c r="F87" s="138">
        <f>IFERROR(__xludf.DUMMYFUNCTION("""COMPUTED_VALUE"""),4.0)</f>
        <v>4</v>
      </c>
      <c r="G87" s="138">
        <f>IFERROR(__xludf.DUMMYFUNCTION("""COMPUTED_VALUE"""),4.0)</f>
        <v>4</v>
      </c>
      <c r="H87" s="138">
        <f>IFERROR(__xludf.DUMMYFUNCTION("""COMPUTED_VALUE"""),5.0)</f>
        <v>5</v>
      </c>
      <c r="I87" s="138">
        <f>IFERROR(__xludf.DUMMYFUNCTION("""COMPUTED_VALUE"""),5.0)</f>
        <v>5</v>
      </c>
      <c r="J87" s="138">
        <f>IFERROR(__xludf.DUMMYFUNCTION("""COMPUTED_VALUE"""),4.0)</f>
        <v>4</v>
      </c>
      <c r="K87" s="138">
        <f>IFERROR(__xludf.DUMMYFUNCTION("""COMPUTED_VALUE"""),5.0)</f>
        <v>5</v>
      </c>
      <c r="L87" s="138">
        <v>32.0</v>
      </c>
      <c r="M87" s="140" t="str">
        <f>VLOOKUP(text(D87, "#"),'Master Table'!$A:$F, 6, FALSE)</f>
        <v>A-3</v>
      </c>
      <c r="N87" s="141" t="str">
        <f>IFERROR(__xludf.DUMMYFUNCTION("""COMPUTED_VALUE"""),"Great mastery of content and procedure - we were also interested in human subjects aspects so learning more about enrollment and treatment would be interesting to highlight ")</f>
        <v>Great mastery of content and procedure - we were also interested in human subjects aspects so learning more about enrollment and treatment would be interesting to highlight </v>
      </c>
      <c r="O87" s="142" t="str">
        <f t="shared" si="1"/>
        <v/>
      </c>
      <c r="P87" s="143" t="str">
        <f>IF(ISNA(VLOOKUP(CONCAT(M87,C87), 'Judge Count DO NOT EDIT'!H:H, 1, FALSE)), "ERROR","")</f>
        <v/>
      </c>
      <c r="Q87" s="141"/>
      <c r="R87" s="143"/>
      <c r="S87" s="139" t="str">
        <f t="shared" si="2"/>
        <v>1178113</v>
      </c>
      <c r="T87" s="141"/>
    </row>
    <row r="88">
      <c r="A88" s="137">
        <f>IFERROR(__xludf.DUMMYFUNCTION("""COMPUTED_VALUE"""),45352.42659753472)</f>
        <v>45352.4266</v>
      </c>
      <c r="B88" s="138" t="str">
        <f>IFERROR(__xludf.DUMMYFUNCTION("""COMPUTED_VALUE"""),"Eniko Csomay")</f>
        <v>Eniko Csomay</v>
      </c>
      <c r="C88" s="138">
        <f>IFERROR(__xludf.DUMMYFUNCTION("""COMPUTED_VALUE"""),1003.0)</f>
        <v>1003</v>
      </c>
      <c r="D88" s="139">
        <f>IFERROR(__xludf.DUMMYFUNCTION("""COMPUTED_VALUE"""),114.0)</f>
        <v>114</v>
      </c>
      <c r="E88" s="138">
        <f>IFERROR(__xludf.DUMMYFUNCTION("""COMPUTED_VALUE"""),3.0)</f>
        <v>3</v>
      </c>
      <c r="F88" s="138">
        <f>IFERROR(__xludf.DUMMYFUNCTION("""COMPUTED_VALUE"""),3.0)</f>
        <v>3</v>
      </c>
      <c r="G88" s="138">
        <f>IFERROR(__xludf.DUMMYFUNCTION("""COMPUTED_VALUE"""),4.0)</f>
        <v>4</v>
      </c>
      <c r="H88" s="138">
        <f>IFERROR(__xludf.DUMMYFUNCTION("""COMPUTED_VALUE"""),3.0)</f>
        <v>3</v>
      </c>
      <c r="I88" s="138">
        <f>IFERROR(__xludf.DUMMYFUNCTION("""COMPUTED_VALUE"""),4.0)</f>
        <v>4</v>
      </c>
      <c r="J88" s="138">
        <f>IFERROR(__xludf.DUMMYFUNCTION("""COMPUTED_VALUE"""),3.0)</f>
        <v>3</v>
      </c>
      <c r="K88" s="138">
        <f>IFERROR(__xludf.DUMMYFUNCTION("""COMPUTED_VALUE"""),3.0)</f>
        <v>3</v>
      </c>
      <c r="L88" s="138">
        <v>23.0</v>
      </c>
      <c r="M88" s="140" t="str">
        <f>VLOOKUP(text(D88, "#"),'Master Table'!$A:$F, 6, FALSE)</f>
        <v>A-3</v>
      </c>
      <c r="N88" s="141"/>
      <c r="O88" s="142" t="str">
        <f t="shared" si="1"/>
        <v/>
      </c>
      <c r="P88" s="143" t="str">
        <f>IF(ISNA(VLOOKUP(CONCAT(M88,C88), 'Judge Count DO NOT EDIT'!H:H, 1, FALSE)), "ERROR","")</f>
        <v/>
      </c>
      <c r="Q88" s="141"/>
      <c r="R88" s="143"/>
      <c r="S88" s="139" t="str">
        <f t="shared" si="2"/>
        <v>1003114</v>
      </c>
      <c r="T88" s="141"/>
    </row>
    <row r="89">
      <c r="A89" s="137">
        <f>IFERROR(__xludf.DUMMYFUNCTION("""COMPUTED_VALUE"""),45352.42917625)</f>
        <v>45352.42918</v>
      </c>
      <c r="B89" s="138" t="str">
        <f>IFERROR(__xludf.DUMMYFUNCTION("""COMPUTED_VALUE"""),"Madhi Alshammari ")</f>
        <v>Madhi Alshammari </v>
      </c>
      <c r="C89" s="138">
        <f>IFERROR(__xludf.DUMMYFUNCTION("""COMPUTED_VALUE"""),1065.0)</f>
        <v>1065</v>
      </c>
      <c r="D89" s="139">
        <f>IFERROR(__xludf.DUMMYFUNCTION("""COMPUTED_VALUE"""),114.0)</f>
        <v>114</v>
      </c>
      <c r="E89" s="138">
        <f>IFERROR(__xludf.DUMMYFUNCTION("""COMPUTED_VALUE"""),5.0)</f>
        <v>5</v>
      </c>
      <c r="F89" s="138">
        <f>IFERROR(__xludf.DUMMYFUNCTION("""COMPUTED_VALUE"""),5.0)</f>
        <v>5</v>
      </c>
      <c r="G89" s="138">
        <f>IFERROR(__xludf.DUMMYFUNCTION("""COMPUTED_VALUE"""),5.0)</f>
        <v>5</v>
      </c>
      <c r="H89" s="138">
        <f>IFERROR(__xludf.DUMMYFUNCTION("""COMPUTED_VALUE"""),4.0)</f>
        <v>4</v>
      </c>
      <c r="I89" s="138">
        <f>IFERROR(__xludf.DUMMYFUNCTION("""COMPUTED_VALUE"""),5.0)</f>
        <v>5</v>
      </c>
      <c r="J89" s="138">
        <f>IFERROR(__xludf.DUMMYFUNCTION("""COMPUTED_VALUE"""),5.0)</f>
        <v>5</v>
      </c>
      <c r="K89" s="138">
        <f>IFERROR(__xludf.DUMMYFUNCTION("""COMPUTED_VALUE"""),5.0)</f>
        <v>5</v>
      </c>
      <c r="L89" s="138">
        <v>34.0</v>
      </c>
      <c r="M89" s="140" t="str">
        <f>VLOOKUP(text(D89, "#"),'Master Table'!$A:$F, 6, FALSE)</f>
        <v>A-3</v>
      </c>
      <c r="N89" s="141" t="str">
        <f>IFERROR(__xludf.DUMMYFUNCTION("""COMPUTED_VALUE"""),"The topic drives from young inspiration that can be easily captured by many young people. She did great and almost 99% close to perfection on overall. ")</f>
        <v>The topic drives from young inspiration that can be easily captured by many young people. She did great and almost 99% close to perfection on overall. </v>
      </c>
      <c r="O89" s="142" t="str">
        <f t="shared" si="1"/>
        <v/>
      </c>
      <c r="P89" s="143" t="str">
        <f>IF(ISNA(VLOOKUP(CONCAT(M89,C89), 'Judge Count DO NOT EDIT'!H:H, 1, FALSE)), "ERROR","")</f>
        <v/>
      </c>
      <c r="Q89" s="141"/>
      <c r="R89" s="143"/>
      <c r="S89" s="139" t="str">
        <f t="shared" si="2"/>
        <v>1065114</v>
      </c>
      <c r="T89" s="141"/>
    </row>
    <row r="90">
      <c r="A90" s="137">
        <f>IFERROR(__xludf.DUMMYFUNCTION("""COMPUTED_VALUE"""),45352.42968990741)</f>
        <v>45352.42969</v>
      </c>
      <c r="B90" s="138" t="str">
        <f>IFERROR(__xludf.DUMMYFUNCTION("""COMPUTED_VALUE"""),"Leslie Solomon")</f>
        <v>Leslie Solomon</v>
      </c>
      <c r="C90" s="138">
        <f>IFERROR(__xludf.DUMMYFUNCTION("""COMPUTED_VALUE"""),1178.0)</f>
        <v>1178</v>
      </c>
      <c r="D90" s="139">
        <f>IFERROR(__xludf.DUMMYFUNCTION("""COMPUTED_VALUE"""),114.0)</f>
        <v>114</v>
      </c>
      <c r="E90" s="138">
        <f>IFERROR(__xludf.DUMMYFUNCTION("""COMPUTED_VALUE"""),5.0)</f>
        <v>5</v>
      </c>
      <c r="F90" s="138">
        <f>IFERROR(__xludf.DUMMYFUNCTION("""COMPUTED_VALUE"""),4.0)</f>
        <v>4</v>
      </c>
      <c r="G90" s="138">
        <f>IFERROR(__xludf.DUMMYFUNCTION("""COMPUTED_VALUE"""),4.0)</f>
        <v>4</v>
      </c>
      <c r="H90" s="138">
        <f>IFERROR(__xludf.DUMMYFUNCTION("""COMPUTED_VALUE"""),4.0)</f>
        <v>4</v>
      </c>
      <c r="I90" s="138">
        <f>IFERROR(__xludf.DUMMYFUNCTION("""COMPUTED_VALUE"""),5.0)</f>
        <v>5</v>
      </c>
      <c r="J90" s="138">
        <f>IFERROR(__xludf.DUMMYFUNCTION("""COMPUTED_VALUE"""),5.0)</f>
        <v>5</v>
      </c>
      <c r="K90" s="138">
        <f>IFERROR(__xludf.DUMMYFUNCTION("""COMPUTED_VALUE"""),5.0)</f>
        <v>5</v>
      </c>
      <c r="L90" s="138">
        <v>32.0</v>
      </c>
      <c r="M90" s="140" t="str">
        <f>VLOOKUP(text(D90, "#"),'Master Table'!$A:$F, 6, FALSE)</f>
        <v>A-3</v>
      </c>
      <c r="N90" s="141" t="str">
        <f>IFERROR(__xludf.DUMMYFUNCTION("""COMPUTED_VALUE"""),"Very poised and insightful. Great presence and confidence with subject matter ")</f>
        <v>Very poised and insightful. Great presence and confidence with subject matter </v>
      </c>
      <c r="O90" s="142" t="str">
        <f t="shared" si="1"/>
        <v/>
      </c>
      <c r="P90" s="143" t="str">
        <f>IF(ISNA(VLOOKUP(CONCAT(M90,C90), 'Judge Count DO NOT EDIT'!H:H, 1, FALSE)), "ERROR","")</f>
        <v/>
      </c>
      <c r="Q90" s="141"/>
      <c r="R90" s="143"/>
      <c r="S90" s="139" t="str">
        <f t="shared" si="2"/>
        <v>1178114</v>
      </c>
      <c r="T90" s="141"/>
    </row>
    <row r="91">
      <c r="A91" s="137">
        <f>IFERROR(__xludf.DUMMYFUNCTION("""COMPUTED_VALUE"""),45352.43303605324)</f>
        <v>45352.43304</v>
      </c>
      <c r="B91" s="138" t="str">
        <f>IFERROR(__xludf.DUMMYFUNCTION("""COMPUTED_VALUE"""),"Emily Schmied")</f>
        <v>Emily Schmied</v>
      </c>
      <c r="C91" s="138">
        <f>IFERROR(__xludf.DUMMYFUNCTION("""COMPUTED_VALUE"""),1006.0)</f>
        <v>1006</v>
      </c>
      <c r="D91" s="139">
        <f>IFERROR(__xludf.DUMMYFUNCTION("""COMPUTED_VALUE"""),114.0)</f>
        <v>114</v>
      </c>
      <c r="E91" s="138">
        <f>IFERROR(__xludf.DUMMYFUNCTION("""COMPUTED_VALUE"""),4.0)</f>
        <v>4</v>
      </c>
      <c r="F91" s="138">
        <f>IFERROR(__xludf.DUMMYFUNCTION("""COMPUTED_VALUE"""),4.0)</f>
        <v>4</v>
      </c>
      <c r="G91" s="138">
        <f>IFERROR(__xludf.DUMMYFUNCTION("""COMPUTED_VALUE"""),4.0)</f>
        <v>4</v>
      </c>
      <c r="H91" s="138">
        <f>IFERROR(__xludf.DUMMYFUNCTION("""COMPUTED_VALUE"""),4.0)</f>
        <v>4</v>
      </c>
      <c r="I91" s="138">
        <f>IFERROR(__xludf.DUMMYFUNCTION("""COMPUTED_VALUE"""),4.0)</f>
        <v>4</v>
      </c>
      <c r="J91" s="138">
        <f>IFERROR(__xludf.DUMMYFUNCTION("""COMPUTED_VALUE"""),3.0)</f>
        <v>3</v>
      </c>
      <c r="K91" s="138">
        <f>IFERROR(__xludf.DUMMYFUNCTION("""COMPUTED_VALUE"""),4.0)</f>
        <v>4</v>
      </c>
      <c r="L91" s="138">
        <v>27.0</v>
      </c>
      <c r="M91" s="140" t="str">
        <f>VLOOKUP(text(D91, "#"),'Master Table'!$A:$F, 6, FALSE)</f>
        <v>A-3</v>
      </c>
      <c r="N91" s="141" t="str">
        <f>IFERROR(__xludf.DUMMYFUNCTION("""COMPUTED_VALUE"""),"Great presentation! A little rushed at times, but overall very clear")</f>
        <v>Great presentation! A little rushed at times, but overall very clear</v>
      </c>
      <c r="O91" s="142" t="str">
        <f t="shared" si="1"/>
        <v/>
      </c>
      <c r="P91" s="143" t="str">
        <f>IF(ISNA(VLOOKUP(CONCAT(M91,C91), 'Judge Count DO NOT EDIT'!H:H, 1, FALSE)), "ERROR","")</f>
        <v/>
      </c>
      <c r="Q91" s="141"/>
      <c r="R91" s="143"/>
      <c r="S91" s="139" t="str">
        <f t="shared" si="2"/>
        <v>1006114</v>
      </c>
      <c r="T91" s="141"/>
    </row>
    <row r="92">
      <c r="A92" s="137">
        <f>IFERROR(__xludf.DUMMYFUNCTION("""COMPUTED_VALUE"""),45352.443164027776)</f>
        <v>45352.44316</v>
      </c>
      <c r="B92" s="138" t="str">
        <f>IFERROR(__xludf.DUMMYFUNCTION("""COMPUTED_VALUE"""),"Eniko Csomay")</f>
        <v>Eniko Csomay</v>
      </c>
      <c r="C92" s="138">
        <f>IFERROR(__xludf.DUMMYFUNCTION("""COMPUTED_VALUE"""),1003.0)</f>
        <v>1003</v>
      </c>
      <c r="D92" s="139">
        <f>IFERROR(__xludf.DUMMYFUNCTION("""COMPUTED_VALUE"""),115.0)</f>
        <v>115</v>
      </c>
      <c r="E92" s="138">
        <f>IFERROR(__xludf.DUMMYFUNCTION("""COMPUTED_VALUE"""),2.0)</f>
        <v>2</v>
      </c>
      <c r="F92" s="138">
        <f>IFERROR(__xludf.DUMMYFUNCTION("""COMPUTED_VALUE"""),3.0)</f>
        <v>3</v>
      </c>
      <c r="G92" s="138">
        <f>IFERROR(__xludf.DUMMYFUNCTION("""COMPUTED_VALUE"""),3.0)</f>
        <v>3</v>
      </c>
      <c r="H92" s="138">
        <f>IFERROR(__xludf.DUMMYFUNCTION("""COMPUTED_VALUE"""),2.0)</f>
        <v>2</v>
      </c>
      <c r="I92" s="138">
        <f>IFERROR(__xludf.DUMMYFUNCTION("""COMPUTED_VALUE"""),2.0)</f>
        <v>2</v>
      </c>
      <c r="J92" s="138">
        <f>IFERROR(__xludf.DUMMYFUNCTION("""COMPUTED_VALUE"""),3.0)</f>
        <v>3</v>
      </c>
      <c r="K92" s="138">
        <f>IFERROR(__xludf.DUMMYFUNCTION("""COMPUTED_VALUE"""),2.0)</f>
        <v>2</v>
      </c>
      <c r="L92" s="138">
        <v>17.0</v>
      </c>
      <c r="M92" s="140" t="str">
        <f>VLOOKUP(text(D92, "#"),'Master Table'!$A:$F, 6, FALSE)</f>
        <v>A-3</v>
      </c>
      <c r="N92" s="141"/>
      <c r="O92" s="142" t="str">
        <f t="shared" si="1"/>
        <v/>
      </c>
      <c r="P92" s="143" t="str">
        <f>IF(ISNA(VLOOKUP(CONCAT(M92,C92), 'Judge Count DO NOT EDIT'!H:H, 1, FALSE)), "ERROR","")</f>
        <v/>
      </c>
      <c r="Q92" s="141"/>
      <c r="R92" s="143"/>
      <c r="S92" s="139" t="str">
        <f t="shared" si="2"/>
        <v>1003115</v>
      </c>
      <c r="T92" s="141"/>
    </row>
    <row r="93">
      <c r="A93" s="137">
        <f>IFERROR(__xludf.DUMMYFUNCTION("""COMPUTED_VALUE"""),45352.444294456014)</f>
        <v>45352.44429</v>
      </c>
      <c r="B93" s="138" t="str">
        <f>IFERROR(__xludf.DUMMYFUNCTION("""COMPUTED_VALUE"""),"Madhi Alshammari")</f>
        <v>Madhi Alshammari</v>
      </c>
      <c r="C93" s="138">
        <f>IFERROR(__xludf.DUMMYFUNCTION("""COMPUTED_VALUE"""),1065.0)</f>
        <v>1065</v>
      </c>
      <c r="D93" s="139">
        <f>IFERROR(__xludf.DUMMYFUNCTION("""COMPUTED_VALUE"""),115.0)</f>
        <v>115</v>
      </c>
      <c r="E93" s="138">
        <f>IFERROR(__xludf.DUMMYFUNCTION("""COMPUTED_VALUE"""),4.0)</f>
        <v>4</v>
      </c>
      <c r="F93" s="138">
        <f>IFERROR(__xludf.DUMMYFUNCTION("""COMPUTED_VALUE"""),3.0)</f>
        <v>3</v>
      </c>
      <c r="G93" s="138">
        <f>IFERROR(__xludf.DUMMYFUNCTION("""COMPUTED_VALUE"""),3.0)</f>
        <v>3</v>
      </c>
      <c r="H93" s="138">
        <f>IFERROR(__xludf.DUMMYFUNCTION("""COMPUTED_VALUE"""),3.0)</f>
        <v>3</v>
      </c>
      <c r="I93" s="138">
        <f>IFERROR(__xludf.DUMMYFUNCTION("""COMPUTED_VALUE"""),3.0)</f>
        <v>3</v>
      </c>
      <c r="J93" s="138">
        <f>IFERROR(__xludf.DUMMYFUNCTION("""COMPUTED_VALUE"""),3.0)</f>
        <v>3</v>
      </c>
      <c r="K93" s="138">
        <f>IFERROR(__xludf.DUMMYFUNCTION("""COMPUTED_VALUE"""),4.0)</f>
        <v>4</v>
      </c>
      <c r="L93" s="138">
        <v>23.0</v>
      </c>
      <c r="M93" s="140" t="str">
        <f>VLOOKUP(text(D93, "#"),'Master Table'!$A:$F, 6, FALSE)</f>
        <v>A-3</v>
      </c>
      <c r="N93" s="141" t="str">
        <f>IFERROR(__xludf.DUMMYFUNCTION("""COMPUTED_VALUE"""),"Being calm was her most significant accomplishment today. She was reading out of the screen most than often that lead to some lack of audience awareness. ")</f>
        <v>Being calm was her most significant accomplishment today. She was reading out of the screen most than often that lead to some lack of audience awareness. </v>
      </c>
      <c r="O93" s="142" t="str">
        <f t="shared" si="1"/>
        <v/>
      </c>
      <c r="P93" s="143" t="str">
        <f>IF(ISNA(VLOOKUP(CONCAT(M93,C93), 'Judge Count DO NOT EDIT'!H:H, 1, FALSE)), "ERROR","")</f>
        <v/>
      </c>
      <c r="Q93" s="141"/>
      <c r="R93" s="143"/>
      <c r="S93" s="139" t="str">
        <f t="shared" si="2"/>
        <v>1065115</v>
      </c>
      <c r="T93" s="141"/>
    </row>
    <row r="94">
      <c r="A94" s="137">
        <f>IFERROR(__xludf.DUMMYFUNCTION("""COMPUTED_VALUE"""),45352.44510135417)</f>
        <v>45352.4451</v>
      </c>
      <c r="B94" s="138" t="str">
        <f>IFERROR(__xludf.DUMMYFUNCTION("""COMPUTED_VALUE"""),"Emily Schmied")</f>
        <v>Emily Schmied</v>
      </c>
      <c r="C94" s="138">
        <f>IFERROR(__xludf.DUMMYFUNCTION("""COMPUTED_VALUE"""),1006.0)</f>
        <v>1006</v>
      </c>
      <c r="D94" s="139">
        <f>IFERROR(__xludf.DUMMYFUNCTION("""COMPUTED_VALUE"""),115.0)</f>
        <v>115</v>
      </c>
      <c r="E94" s="138">
        <f>IFERROR(__xludf.DUMMYFUNCTION("""COMPUTED_VALUE"""),5.0)</f>
        <v>5</v>
      </c>
      <c r="F94" s="138">
        <f>IFERROR(__xludf.DUMMYFUNCTION("""COMPUTED_VALUE"""),5.0)</f>
        <v>5</v>
      </c>
      <c r="G94" s="138">
        <f>IFERROR(__xludf.DUMMYFUNCTION("""COMPUTED_VALUE"""),5.0)</f>
        <v>5</v>
      </c>
      <c r="H94" s="138">
        <f>IFERROR(__xludf.DUMMYFUNCTION("""COMPUTED_VALUE"""),5.0)</f>
        <v>5</v>
      </c>
      <c r="I94" s="138">
        <f>IFERROR(__xludf.DUMMYFUNCTION("""COMPUTED_VALUE"""),4.0)</f>
        <v>4</v>
      </c>
      <c r="J94" s="138">
        <f>IFERROR(__xludf.DUMMYFUNCTION("""COMPUTED_VALUE"""),4.0)</f>
        <v>4</v>
      </c>
      <c r="K94" s="138">
        <f>IFERROR(__xludf.DUMMYFUNCTION("""COMPUTED_VALUE"""),5.0)</f>
        <v>5</v>
      </c>
      <c r="L94" s="138">
        <v>33.0</v>
      </c>
      <c r="M94" s="140" t="str">
        <f>VLOOKUP(text(D94, "#"),'Master Table'!$A:$F, 6, FALSE)</f>
        <v>A-3</v>
      </c>
      <c r="N94" s="141" t="str">
        <f>IFERROR(__xludf.DUMMYFUNCTION("""COMPUTED_VALUE"""),"This was an excellent presentation on a much-needed topic. The only potential area for improvement would be volume—it was hard to hear at times.")</f>
        <v>This was an excellent presentation on a much-needed topic. The only potential area for improvement would be volume—it was hard to hear at times.</v>
      </c>
      <c r="O94" s="142" t="str">
        <f t="shared" si="1"/>
        <v/>
      </c>
      <c r="P94" s="143" t="str">
        <f>IF(ISNA(VLOOKUP(CONCAT(M94,C94), 'Judge Count DO NOT EDIT'!H:H, 1, FALSE)), "ERROR","")</f>
        <v/>
      </c>
      <c r="Q94" s="141"/>
      <c r="R94" s="143"/>
      <c r="S94" s="139" t="str">
        <f t="shared" si="2"/>
        <v>1006115</v>
      </c>
      <c r="T94" s="141"/>
    </row>
    <row r="95">
      <c r="A95" s="137">
        <f>IFERROR(__xludf.DUMMYFUNCTION("""COMPUTED_VALUE"""),45352.44805302084)</f>
        <v>45352.44805</v>
      </c>
      <c r="B95" s="138" t="str">
        <f>IFERROR(__xludf.DUMMYFUNCTION("""COMPUTED_VALUE"""),"Leslie Solomon")</f>
        <v>Leslie Solomon</v>
      </c>
      <c r="C95" s="138">
        <f>IFERROR(__xludf.DUMMYFUNCTION("""COMPUTED_VALUE"""),1178.0)</f>
        <v>1178</v>
      </c>
      <c r="D95" s="139">
        <f>IFERROR(__xludf.DUMMYFUNCTION("""COMPUTED_VALUE"""),115.0)</f>
        <v>115</v>
      </c>
      <c r="E95" s="138">
        <f>IFERROR(__xludf.DUMMYFUNCTION("""COMPUTED_VALUE"""),4.0)</f>
        <v>4</v>
      </c>
      <c r="F95" s="138">
        <f>IFERROR(__xludf.DUMMYFUNCTION("""COMPUTED_VALUE"""),4.0)</f>
        <v>4</v>
      </c>
      <c r="G95" s="138">
        <f>IFERROR(__xludf.DUMMYFUNCTION("""COMPUTED_VALUE"""),5.0)</f>
        <v>5</v>
      </c>
      <c r="H95" s="138">
        <f>IFERROR(__xludf.DUMMYFUNCTION("""COMPUTED_VALUE"""),4.0)</f>
        <v>4</v>
      </c>
      <c r="I95" s="138">
        <f>IFERROR(__xludf.DUMMYFUNCTION("""COMPUTED_VALUE"""),5.0)</f>
        <v>5</v>
      </c>
      <c r="J95" s="138">
        <f>IFERROR(__xludf.DUMMYFUNCTION("""COMPUTED_VALUE"""),4.0)</f>
        <v>4</v>
      </c>
      <c r="K95" s="138">
        <f>IFERROR(__xludf.DUMMYFUNCTION("""COMPUTED_VALUE"""),4.0)</f>
        <v>4</v>
      </c>
      <c r="L95" s="138">
        <v>30.0</v>
      </c>
      <c r="M95" s="140" t="str">
        <f>VLOOKUP(text(D95, "#"),'Master Table'!$A:$F, 6, FALSE)</f>
        <v>A-3</v>
      </c>
      <c r="N95" s="141" t="str">
        <f>IFERROR(__xludf.DUMMYFUNCTION("""COMPUTED_VALUE"""),"Important work! ")</f>
        <v>Important work! </v>
      </c>
      <c r="O95" s="142" t="str">
        <f t="shared" si="1"/>
        <v/>
      </c>
      <c r="P95" s="143" t="str">
        <f>IF(ISNA(VLOOKUP(CONCAT(M95,C95), 'Judge Count DO NOT EDIT'!H:H, 1, FALSE)), "ERROR","")</f>
        <v/>
      </c>
      <c r="Q95" s="141"/>
      <c r="R95" s="143"/>
      <c r="S95" s="139" t="str">
        <f t="shared" si="2"/>
        <v>1178115</v>
      </c>
      <c r="T95" s="141"/>
    </row>
    <row r="96">
      <c r="A96" s="137">
        <f>IFERROR(__xludf.DUMMYFUNCTION("""COMPUTED_VALUE"""),45352.45387657407)</f>
        <v>45352.45388</v>
      </c>
      <c r="B96" s="138" t="str">
        <f>IFERROR(__xludf.DUMMYFUNCTION("""COMPUTED_VALUE"""),"Eniko Csomay")</f>
        <v>Eniko Csomay</v>
      </c>
      <c r="C96" s="138">
        <f>IFERROR(__xludf.DUMMYFUNCTION("""COMPUTED_VALUE"""),1003.0)</f>
        <v>1003</v>
      </c>
      <c r="D96" s="139">
        <f>IFERROR(__xludf.DUMMYFUNCTION("""COMPUTED_VALUE"""),116.0)</f>
        <v>116</v>
      </c>
      <c r="E96" s="138">
        <f>IFERROR(__xludf.DUMMYFUNCTION("""COMPUTED_VALUE"""),3.0)</f>
        <v>3</v>
      </c>
      <c r="F96" s="138">
        <f>IFERROR(__xludf.DUMMYFUNCTION("""COMPUTED_VALUE"""),2.0)</f>
        <v>2</v>
      </c>
      <c r="G96" s="138">
        <f>IFERROR(__xludf.DUMMYFUNCTION("""COMPUTED_VALUE"""),3.0)</f>
        <v>3</v>
      </c>
      <c r="H96" s="138">
        <f>IFERROR(__xludf.DUMMYFUNCTION("""COMPUTED_VALUE"""),2.0)</f>
        <v>2</v>
      </c>
      <c r="I96" s="138">
        <f>IFERROR(__xludf.DUMMYFUNCTION("""COMPUTED_VALUE"""),4.0)</f>
        <v>4</v>
      </c>
      <c r="J96" s="138">
        <f>IFERROR(__xludf.DUMMYFUNCTION("""COMPUTED_VALUE"""),4.0)</f>
        <v>4</v>
      </c>
      <c r="K96" s="138">
        <f>IFERROR(__xludf.DUMMYFUNCTION("""COMPUTED_VALUE"""),3.0)</f>
        <v>3</v>
      </c>
      <c r="L96" s="138">
        <v>21.0</v>
      </c>
      <c r="M96" s="140" t="str">
        <f>VLOOKUP(text(D96, "#"),'Master Table'!$A:$F, 6, FALSE)</f>
        <v>A-3</v>
      </c>
      <c r="N96" s="141"/>
      <c r="O96" s="142" t="str">
        <f t="shared" si="1"/>
        <v/>
      </c>
      <c r="P96" s="143" t="str">
        <f>IF(ISNA(VLOOKUP(CONCAT(M96,C96), 'Judge Count DO NOT EDIT'!H:H, 1, FALSE)), "ERROR","")</f>
        <v/>
      </c>
      <c r="Q96" s="141"/>
      <c r="R96" s="143"/>
      <c r="S96" s="139" t="str">
        <f t="shared" si="2"/>
        <v>1003116</v>
      </c>
      <c r="T96" s="141"/>
    </row>
    <row r="97">
      <c r="A97" s="137">
        <f>IFERROR(__xludf.DUMMYFUNCTION("""COMPUTED_VALUE"""),45352.45761469907)</f>
        <v>45352.45761</v>
      </c>
      <c r="B97" s="138" t="str">
        <f>IFERROR(__xludf.DUMMYFUNCTION("""COMPUTED_VALUE"""),"Leslie Solomon")</f>
        <v>Leslie Solomon</v>
      </c>
      <c r="C97" s="138">
        <f>IFERROR(__xludf.DUMMYFUNCTION("""COMPUTED_VALUE"""),1178.0)</f>
        <v>1178</v>
      </c>
      <c r="D97" s="139">
        <f>IFERROR(__xludf.DUMMYFUNCTION("""COMPUTED_VALUE"""),116.0)</f>
        <v>116</v>
      </c>
      <c r="E97" s="138">
        <f>IFERROR(__xludf.DUMMYFUNCTION("""COMPUTED_VALUE"""),5.0)</f>
        <v>5</v>
      </c>
      <c r="F97" s="138">
        <f>IFERROR(__xludf.DUMMYFUNCTION("""COMPUTED_VALUE"""),4.0)</f>
        <v>4</v>
      </c>
      <c r="G97" s="138">
        <f>IFERROR(__xludf.DUMMYFUNCTION("""COMPUTED_VALUE"""),5.0)</f>
        <v>5</v>
      </c>
      <c r="H97" s="138">
        <f>IFERROR(__xludf.DUMMYFUNCTION("""COMPUTED_VALUE"""),4.0)</f>
        <v>4</v>
      </c>
      <c r="I97" s="138">
        <f>IFERROR(__xludf.DUMMYFUNCTION("""COMPUTED_VALUE"""),5.0)</f>
        <v>5</v>
      </c>
      <c r="J97" s="138">
        <f>IFERROR(__xludf.DUMMYFUNCTION("""COMPUTED_VALUE"""),5.0)</f>
        <v>5</v>
      </c>
      <c r="K97" s="138">
        <f>IFERROR(__xludf.DUMMYFUNCTION("""COMPUTED_VALUE"""),5.0)</f>
        <v>5</v>
      </c>
      <c r="L97" s="138">
        <v>33.0</v>
      </c>
      <c r="M97" s="140" t="str">
        <f>VLOOKUP(text(D97, "#"),'Master Table'!$A:$F, 6, FALSE)</f>
        <v>A-3</v>
      </c>
      <c r="N97" s="141" t="str">
        <f>IFERROR(__xludf.DUMMYFUNCTION("""COMPUTED_VALUE"""),"Fabulous presence and exciting study ")</f>
        <v>Fabulous presence and exciting study </v>
      </c>
      <c r="O97" s="142" t="str">
        <f t="shared" si="1"/>
        <v/>
      </c>
      <c r="P97" s="143" t="str">
        <f>IF(ISNA(VLOOKUP(CONCAT(M97,C97), 'Judge Count DO NOT EDIT'!H:H, 1, FALSE)), "ERROR","")</f>
        <v/>
      </c>
      <c r="Q97" s="141"/>
      <c r="R97" s="143"/>
      <c r="S97" s="139" t="str">
        <f t="shared" si="2"/>
        <v>1178116</v>
      </c>
      <c r="T97" s="141"/>
    </row>
    <row r="98">
      <c r="A98" s="137">
        <f>IFERROR(__xludf.DUMMYFUNCTION("""COMPUTED_VALUE"""),45352.45762087963)</f>
        <v>45352.45762</v>
      </c>
      <c r="B98" s="138" t="str">
        <f>IFERROR(__xludf.DUMMYFUNCTION("""COMPUTED_VALUE"""),"Emily Schmied")</f>
        <v>Emily Schmied</v>
      </c>
      <c r="C98" s="138">
        <f>IFERROR(__xludf.DUMMYFUNCTION("""COMPUTED_VALUE"""),1006.0)</f>
        <v>1006</v>
      </c>
      <c r="D98" s="139">
        <f>IFERROR(__xludf.DUMMYFUNCTION("""COMPUTED_VALUE"""),116.0)</f>
        <v>116</v>
      </c>
      <c r="E98" s="138">
        <f>IFERROR(__xludf.DUMMYFUNCTION("""COMPUTED_VALUE"""),5.0)</f>
        <v>5</v>
      </c>
      <c r="F98" s="138">
        <f>IFERROR(__xludf.DUMMYFUNCTION("""COMPUTED_VALUE"""),5.0)</f>
        <v>5</v>
      </c>
      <c r="G98" s="138">
        <f>IFERROR(__xludf.DUMMYFUNCTION("""COMPUTED_VALUE"""),5.0)</f>
        <v>5</v>
      </c>
      <c r="H98" s="138">
        <f>IFERROR(__xludf.DUMMYFUNCTION("""COMPUTED_VALUE"""),4.0)</f>
        <v>4</v>
      </c>
      <c r="I98" s="138">
        <f>IFERROR(__xludf.DUMMYFUNCTION("""COMPUTED_VALUE"""),5.0)</f>
        <v>5</v>
      </c>
      <c r="J98" s="138">
        <f>IFERROR(__xludf.DUMMYFUNCTION("""COMPUTED_VALUE"""),5.0)</f>
        <v>5</v>
      </c>
      <c r="K98" s="138">
        <f>IFERROR(__xludf.DUMMYFUNCTION("""COMPUTED_VALUE"""),5.0)</f>
        <v>5</v>
      </c>
      <c r="L98" s="138">
        <v>34.0</v>
      </c>
      <c r="M98" s="140" t="str">
        <f>VLOOKUP(text(D98, "#"),'Master Table'!$A:$F, 6, FALSE)</f>
        <v>A-3</v>
      </c>
      <c r="N98" s="141"/>
      <c r="O98" s="142" t="str">
        <f t="shared" si="1"/>
        <v/>
      </c>
      <c r="P98" s="143" t="str">
        <f>IF(ISNA(VLOOKUP(CONCAT(M98,C98), 'Judge Count DO NOT EDIT'!H:H, 1, FALSE)), "ERROR","")</f>
        <v/>
      </c>
      <c r="Q98" s="141"/>
      <c r="R98" s="143"/>
      <c r="S98" s="139" t="str">
        <f t="shared" si="2"/>
        <v>1006116</v>
      </c>
      <c r="T98" s="141"/>
    </row>
    <row r="99">
      <c r="A99" s="137">
        <f>IFERROR(__xludf.DUMMYFUNCTION("""COMPUTED_VALUE"""),45352.458011759256)</f>
        <v>45352.45801</v>
      </c>
      <c r="B99" s="138" t="str">
        <f>IFERROR(__xludf.DUMMYFUNCTION("""COMPUTED_VALUE"""),"Madhi Alshammari")</f>
        <v>Madhi Alshammari</v>
      </c>
      <c r="C99" s="138">
        <f>IFERROR(__xludf.DUMMYFUNCTION("""COMPUTED_VALUE"""),1065.0)</f>
        <v>1065</v>
      </c>
      <c r="D99" s="139">
        <f>IFERROR(__xludf.DUMMYFUNCTION("""COMPUTED_VALUE"""),116.0)</f>
        <v>116</v>
      </c>
      <c r="E99" s="138">
        <f>IFERROR(__xludf.DUMMYFUNCTION("""COMPUTED_VALUE"""),5.0)</f>
        <v>5</v>
      </c>
      <c r="F99" s="138">
        <f>IFERROR(__xludf.DUMMYFUNCTION("""COMPUTED_VALUE"""),5.0)</f>
        <v>5</v>
      </c>
      <c r="G99" s="138">
        <f>IFERROR(__xludf.DUMMYFUNCTION("""COMPUTED_VALUE"""),4.0)</f>
        <v>4</v>
      </c>
      <c r="H99" s="138">
        <f>IFERROR(__xludf.DUMMYFUNCTION("""COMPUTED_VALUE"""),4.0)</f>
        <v>4</v>
      </c>
      <c r="I99" s="138">
        <f>IFERROR(__xludf.DUMMYFUNCTION("""COMPUTED_VALUE"""),5.0)</f>
        <v>5</v>
      </c>
      <c r="J99" s="138">
        <f>IFERROR(__xludf.DUMMYFUNCTION("""COMPUTED_VALUE"""),5.0)</f>
        <v>5</v>
      </c>
      <c r="K99" s="138">
        <f>IFERROR(__xludf.DUMMYFUNCTION("""COMPUTED_VALUE"""),5.0)</f>
        <v>5</v>
      </c>
      <c r="L99" s="138">
        <v>33.0</v>
      </c>
      <c r="M99" s="140" t="str">
        <f>VLOOKUP(text(D99, "#"),'Master Table'!$A:$F, 6, FALSE)</f>
        <v>A-3</v>
      </c>
      <c r="N99" s="141" t="str">
        <f>IFERROR(__xludf.DUMMYFUNCTION("""COMPUTED_VALUE"""),"Both are giving the best performance, engaging with their audience was world class. Well done ")</f>
        <v>Both are giving the best performance, engaging with their audience was world class. Well done </v>
      </c>
      <c r="O99" s="142" t="str">
        <f t="shared" si="1"/>
        <v/>
      </c>
      <c r="P99" s="143" t="str">
        <f>IF(ISNA(VLOOKUP(CONCAT(M99,C99), 'Judge Count DO NOT EDIT'!H:H, 1, FALSE)), "ERROR","")</f>
        <v/>
      </c>
      <c r="Q99" s="141"/>
      <c r="R99" s="143"/>
      <c r="S99" s="139" t="str">
        <f t="shared" si="2"/>
        <v>1065116</v>
      </c>
      <c r="T99" s="141"/>
    </row>
    <row r="100">
      <c r="A100" s="137">
        <f>IFERROR(__xludf.DUMMYFUNCTION("""COMPUTED_VALUE"""),45352.38632613426)</f>
        <v>45352.38633</v>
      </c>
      <c r="B100" s="138" t="str">
        <f>IFERROR(__xludf.DUMMYFUNCTION("""COMPUTED_VALUE"""),"Melanie Nicholls")</f>
        <v>Melanie Nicholls</v>
      </c>
      <c r="C100" s="138">
        <f>IFERROR(__xludf.DUMMYFUNCTION("""COMPUTED_VALUE"""),1097.0)</f>
        <v>1097</v>
      </c>
      <c r="D100" s="139">
        <f>IFERROR(__xludf.DUMMYFUNCTION("""COMPUTED_VALUE"""),117.0)</f>
        <v>117</v>
      </c>
      <c r="E100" s="138">
        <f>IFERROR(__xludf.DUMMYFUNCTION("""COMPUTED_VALUE"""),4.0)</f>
        <v>4</v>
      </c>
      <c r="F100" s="138">
        <f>IFERROR(__xludf.DUMMYFUNCTION("""COMPUTED_VALUE"""),4.0)</f>
        <v>4</v>
      </c>
      <c r="G100" s="138">
        <f>IFERROR(__xludf.DUMMYFUNCTION("""COMPUTED_VALUE"""),3.0)</f>
        <v>3</v>
      </c>
      <c r="H100" s="138">
        <f>IFERROR(__xludf.DUMMYFUNCTION("""COMPUTED_VALUE"""),2.0)</f>
        <v>2</v>
      </c>
      <c r="I100" s="138">
        <f>IFERROR(__xludf.DUMMYFUNCTION("""COMPUTED_VALUE"""),3.0)</f>
        <v>3</v>
      </c>
      <c r="J100" s="138">
        <f>IFERROR(__xludf.DUMMYFUNCTION("""COMPUTED_VALUE"""),4.0)</f>
        <v>4</v>
      </c>
      <c r="K100" s="138">
        <f>IFERROR(__xludf.DUMMYFUNCTION("""COMPUTED_VALUE"""),5.0)</f>
        <v>5</v>
      </c>
      <c r="L100" s="138">
        <v>25.0</v>
      </c>
      <c r="M100" s="140" t="str">
        <f>VLOOKUP(text(D100, "#"),'Master Table'!$A:$F, 6, FALSE)</f>
        <v>A-4</v>
      </c>
      <c r="N100" s="141" t="str">
        <f>IFERROR(__xludf.DUMMYFUNCTION("""COMPUTED_VALUE"""),"Very knowledgeable of topic and clarity in presenting, would have liked to see more emphasis on the qualitative methods that they used and using more of the data they had collected. Great job in engaging with the questions that were asked. ")</f>
        <v>Very knowledgeable of topic and clarity in presenting, would have liked to see more emphasis on the qualitative methods that they used and using more of the data they had collected. Great job in engaging with the questions that were asked. </v>
      </c>
      <c r="O100" s="142" t="str">
        <f t="shared" si="1"/>
        <v/>
      </c>
      <c r="P100" s="143" t="str">
        <f>IF(ISNA(VLOOKUP(CONCAT(M100,C100), 'Judge Count DO NOT EDIT'!H:H, 1, FALSE)), "ERROR","")</f>
        <v/>
      </c>
      <c r="Q100" s="141"/>
      <c r="R100" s="143"/>
      <c r="S100" s="139" t="str">
        <f t="shared" si="2"/>
        <v>1097117</v>
      </c>
      <c r="T100" s="141"/>
    </row>
    <row r="101">
      <c r="A101" s="137">
        <f>IFERROR(__xludf.DUMMYFUNCTION("""COMPUTED_VALUE"""),45352.389336712964)</f>
        <v>45352.38934</v>
      </c>
      <c r="B101" s="138" t="str">
        <f>IFERROR(__xludf.DUMMYFUNCTION("""COMPUTED_VALUE"""),"Alicia Nunez")</f>
        <v>Alicia Nunez</v>
      </c>
      <c r="C101" s="138">
        <f>IFERROR(__xludf.DUMMYFUNCTION("""COMPUTED_VALUE"""),1019.0)</f>
        <v>1019</v>
      </c>
      <c r="D101" s="139">
        <f>IFERROR(__xludf.DUMMYFUNCTION("""COMPUTED_VALUE"""),117.0)</f>
        <v>117</v>
      </c>
      <c r="E101" s="138">
        <f>IFERROR(__xludf.DUMMYFUNCTION("""COMPUTED_VALUE"""),5.0)</f>
        <v>5</v>
      </c>
      <c r="F101" s="138">
        <f>IFERROR(__xludf.DUMMYFUNCTION("""COMPUTED_VALUE"""),4.0)</f>
        <v>4</v>
      </c>
      <c r="G101" s="138">
        <f>IFERROR(__xludf.DUMMYFUNCTION("""COMPUTED_VALUE"""),5.0)</f>
        <v>5</v>
      </c>
      <c r="H101" s="138">
        <f>IFERROR(__xludf.DUMMYFUNCTION("""COMPUTED_VALUE"""),4.0)</f>
        <v>4</v>
      </c>
      <c r="I101" s="138">
        <f>IFERROR(__xludf.DUMMYFUNCTION("""COMPUTED_VALUE"""),5.0)</f>
        <v>5</v>
      </c>
      <c r="J101" s="138">
        <f>IFERROR(__xludf.DUMMYFUNCTION("""COMPUTED_VALUE"""),5.0)</f>
        <v>5</v>
      </c>
      <c r="K101" s="138">
        <f>IFERROR(__xludf.DUMMYFUNCTION("""COMPUTED_VALUE"""),5.0)</f>
        <v>5</v>
      </c>
      <c r="L101" s="138">
        <v>33.0</v>
      </c>
      <c r="M101" s="140" t="str">
        <f>VLOOKUP(text(D101, "#"),'Master Table'!$A:$F, 6, FALSE)</f>
        <v>A-4</v>
      </c>
      <c r="N101" s="141" t="str">
        <f>IFERROR(__xludf.DUMMYFUNCTION("""COMPUTED_VALUE"""),"Great use of the Q&amp;A session. Demonstrated skill to answer questions.")</f>
        <v>Great use of the Q&amp;A session. Demonstrated skill to answer questions.</v>
      </c>
      <c r="O101" s="142" t="str">
        <f t="shared" si="1"/>
        <v/>
      </c>
      <c r="P101" s="143" t="str">
        <f>IF(ISNA(VLOOKUP(CONCAT(M101,C101), 'Judge Count DO NOT EDIT'!H:H, 1, FALSE)), "ERROR","")</f>
        <v/>
      </c>
      <c r="Q101" s="141"/>
      <c r="R101" s="143"/>
      <c r="S101" s="139" t="str">
        <f t="shared" si="2"/>
        <v>1019117</v>
      </c>
      <c r="T101" s="141"/>
    </row>
    <row r="102">
      <c r="A102" s="137">
        <f>IFERROR(__xludf.DUMMYFUNCTION("""COMPUTED_VALUE"""),45352.391384918985)</f>
        <v>45352.39138</v>
      </c>
      <c r="B102" s="138" t="str">
        <f>IFERROR(__xludf.DUMMYFUNCTION("""COMPUTED_VALUE"""),"Robert Vargas-Belcher")</f>
        <v>Robert Vargas-Belcher</v>
      </c>
      <c r="C102" s="138">
        <f>IFERROR(__xludf.DUMMYFUNCTION("""COMPUTED_VALUE"""),1020.0)</f>
        <v>1020</v>
      </c>
      <c r="D102" s="139">
        <f>IFERROR(__xludf.DUMMYFUNCTION("""COMPUTED_VALUE"""),117.0)</f>
        <v>117</v>
      </c>
      <c r="E102" s="138">
        <f>IFERROR(__xludf.DUMMYFUNCTION("""COMPUTED_VALUE"""),4.0)</f>
        <v>4</v>
      </c>
      <c r="F102" s="145">
        <f>IFERROR(__xludf.DUMMYFUNCTION("""COMPUTED_VALUE"""),4.0)</f>
        <v>4</v>
      </c>
      <c r="G102" s="138">
        <f>IFERROR(__xludf.DUMMYFUNCTION("""COMPUTED_VALUE"""),4.0)</f>
        <v>4</v>
      </c>
      <c r="H102" s="138">
        <f>IFERROR(__xludf.DUMMYFUNCTION("""COMPUTED_VALUE"""),3.0)</f>
        <v>3</v>
      </c>
      <c r="I102" s="138">
        <f>IFERROR(__xludf.DUMMYFUNCTION("""COMPUTED_VALUE"""),4.0)</f>
        <v>4</v>
      </c>
      <c r="J102" s="138">
        <f>IFERROR(__xludf.DUMMYFUNCTION("""COMPUTED_VALUE"""),4.0)</f>
        <v>4</v>
      </c>
      <c r="K102" s="138">
        <f>IFERROR(__xludf.DUMMYFUNCTION("""COMPUTED_VALUE"""),5.0)</f>
        <v>5</v>
      </c>
      <c r="L102" s="138">
        <v>28.0</v>
      </c>
      <c r="M102" s="140" t="str">
        <f>VLOOKUP(text(D102, "#"),'Master Table'!$A:$F, 6, FALSE)</f>
        <v>A-4</v>
      </c>
      <c r="N102" s="141" t="str">
        <f>IFERROR(__xludf.DUMMYFUNCTION("""COMPUTED_VALUE"""),"Well organized and thoughtful approach to the research question. Well spoken and clearly presented and thank you for effort to understand and share these stories. Would love to see the data on the larger sample size. ")</f>
        <v>Well organized and thoughtful approach to the research question. Well spoken and clearly presented and thank you for effort to understand and share these stories. Would love to see the data on the larger sample size. </v>
      </c>
      <c r="O102" s="142" t="str">
        <f t="shared" si="1"/>
        <v/>
      </c>
      <c r="P102" s="143" t="str">
        <f>IF(ISNA(VLOOKUP(CONCAT(M102,C102), 'Judge Count DO NOT EDIT'!H:H, 1, FALSE)), "ERROR","")</f>
        <v/>
      </c>
      <c r="Q102" s="141"/>
      <c r="R102" s="143"/>
      <c r="S102" s="139" t="str">
        <f t="shared" si="2"/>
        <v>1020117</v>
      </c>
      <c r="T102" s="141"/>
    </row>
    <row r="103">
      <c r="A103" s="137">
        <f>IFERROR(__xludf.DUMMYFUNCTION("""COMPUTED_VALUE"""),45352.3932857176)</f>
        <v>45352.39329</v>
      </c>
      <c r="B103" s="138" t="str">
        <f>IFERROR(__xludf.DUMMYFUNCTION("""COMPUTED_VALUE"""),"Delores Fisher")</f>
        <v>Delores Fisher</v>
      </c>
      <c r="C103" s="138">
        <f>IFERROR(__xludf.DUMMYFUNCTION("""COMPUTED_VALUE"""),1169.0)</f>
        <v>1169</v>
      </c>
      <c r="D103" s="139">
        <f>IFERROR(__xludf.DUMMYFUNCTION("""COMPUTED_VALUE"""),117.0)</f>
        <v>117</v>
      </c>
      <c r="E103" s="138">
        <f>IFERROR(__xludf.DUMMYFUNCTION("""COMPUTED_VALUE"""),3.0)</f>
        <v>3</v>
      </c>
      <c r="F103" s="138">
        <f>IFERROR(__xludf.DUMMYFUNCTION("""COMPUTED_VALUE"""),4.0)</f>
        <v>4</v>
      </c>
      <c r="G103" s="138">
        <f>IFERROR(__xludf.DUMMYFUNCTION("""COMPUTED_VALUE"""),3.0)</f>
        <v>3</v>
      </c>
      <c r="H103" s="138">
        <f>IFERROR(__xludf.DUMMYFUNCTION("""COMPUTED_VALUE"""),3.0)</f>
        <v>3</v>
      </c>
      <c r="I103" s="138">
        <f>IFERROR(__xludf.DUMMYFUNCTION("""COMPUTED_VALUE"""),4.0)</f>
        <v>4</v>
      </c>
      <c r="J103" s="138">
        <f>IFERROR(__xludf.DUMMYFUNCTION("""COMPUTED_VALUE"""),3.0)</f>
        <v>3</v>
      </c>
      <c r="K103" s="138">
        <f>IFERROR(__xludf.DUMMYFUNCTION("""COMPUTED_VALUE"""),3.0)</f>
        <v>3</v>
      </c>
      <c r="L103" s="138">
        <v>23.0</v>
      </c>
      <c r="M103" s="140" t="str">
        <f>VLOOKUP(text(D103, "#"),'Master Table'!$A:$F, 6, FALSE)</f>
        <v>A-4</v>
      </c>
      <c r="N103" s="141" t="str">
        <f>IFERROR(__xludf.DUMMYFUNCTION("""COMPUTED_VALUE"""),"A very well presented study. Perhaps needs to expand survey subjects and refine demographics.")</f>
        <v>A very well presented study. Perhaps needs to expand survey subjects and refine demographics.</v>
      </c>
      <c r="O103" s="142" t="str">
        <f t="shared" si="1"/>
        <v/>
      </c>
      <c r="P103" s="143" t="str">
        <f>IF(ISNA(VLOOKUP(CONCAT(M103,C103), 'Judge Count DO NOT EDIT'!H:H, 1, FALSE)), "ERROR","")</f>
        <v/>
      </c>
      <c r="Q103" s="141"/>
      <c r="R103" s="143"/>
      <c r="S103" s="139" t="str">
        <f t="shared" si="2"/>
        <v>1169117</v>
      </c>
      <c r="T103" s="141"/>
    </row>
    <row r="104">
      <c r="A104" s="137">
        <f>IFERROR(__xludf.DUMMYFUNCTION("""COMPUTED_VALUE"""),45352.40529837963)</f>
        <v>45352.4053</v>
      </c>
      <c r="B104" s="138" t="str">
        <f>IFERROR(__xludf.DUMMYFUNCTION("""COMPUTED_VALUE"""),"Robert Vargas-Belcher")</f>
        <v>Robert Vargas-Belcher</v>
      </c>
      <c r="C104" s="138">
        <f>IFERROR(__xludf.DUMMYFUNCTION("""COMPUTED_VALUE"""),1020.0)</f>
        <v>1020</v>
      </c>
      <c r="D104" s="139">
        <f>IFERROR(__xludf.DUMMYFUNCTION("""COMPUTED_VALUE"""),118.0)</f>
        <v>118</v>
      </c>
      <c r="E104" s="138">
        <f>IFERROR(__xludf.DUMMYFUNCTION("""COMPUTED_VALUE"""),3.0)</f>
        <v>3</v>
      </c>
      <c r="F104" s="138">
        <f>IFERROR(__xludf.DUMMYFUNCTION("""COMPUTED_VALUE"""),4.0)</f>
        <v>4</v>
      </c>
      <c r="G104" s="138">
        <f>IFERROR(__xludf.DUMMYFUNCTION("""COMPUTED_VALUE"""),4.0)</f>
        <v>4</v>
      </c>
      <c r="H104" s="138">
        <f>IFERROR(__xludf.DUMMYFUNCTION("""COMPUTED_VALUE"""),3.0)</f>
        <v>3</v>
      </c>
      <c r="I104" s="138">
        <f>IFERROR(__xludf.DUMMYFUNCTION("""COMPUTED_VALUE"""),3.0)</f>
        <v>3</v>
      </c>
      <c r="J104" s="138">
        <f>IFERROR(__xludf.DUMMYFUNCTION("""COMPUTED_VALUE"""),3.0)</f>
        <v>3</v>
      </c>
      <c r="K104" s="138">
        <f>IFERROR(__xludf.DUMMYFUNCTION("""COMPUTED_VALUE"""),3.0)</f>
        <v>3</v>
      </c>
      <c r="L104" s="138">
        <v>23.0</v>
      </c>
      <c r="M104" s="140" t="str">
        <f>VLOOKUP(text(D104, "#"),'Master Table'!$A:$F, 6, FALSE)</f>
        <v>A-4</v>
      </c>
      <c r="N104" s="141" t="str">
        <f>IFERROR(__xludf.DUMMYFUNCTION("""COMPUTED_VALUE"""),"Enjoyed the originality of the research question and agree with the importance of the study. Presentation did seem a little disorganized and  need to rush the finish of her presentation. Would love to know more about the approach. ")</f>
        <v>Enjoyed the originality of the research question and agree with the importance of the study. Presentation did seem a little disorganized and  need to rush the finish of her presentation. Would love to know more about the approach. </v>
      </c>
      <c r="O104" s="142" t="str">
        <f t="shared" si="1"/>
        <v/>
      </c>
      <c r="P104" s="143" t="str">
        <f>IF(ISNA(VLOOKUP(CONCAT(M104,C104), 'Judge Count DO NOT EDIT'!H:H, 1, FALSE)), "ERROR","")</f>
        <v/>
      </c>
      <c r="Q104" s="141"/>
      <c r="R104" s="143"/>
      <c r="S104" s="139" t="str">
        <f t="shared" si="2"/>
        <v>1020118</v>
      </c>
      <c r="T104" s="141"/>
    </row>
    <row r="105">
      <c r="A105" s="137">
        <f>IFERROR(__xludf.DUMMYFUNCTION("""COMPUTED_VALUE"""),45352.40566341435)</f>
        <v>45352.40566</v>
      </c>
      <c r="B105" s="138" t="str">
        <f>IFERROR(__xludf.DUMMYFUNCTION("""COMPUTED_VALUE"""),"Melanie Nicholls")</f>
        <v>Melanie Nicholls</v>
      </c>
      <c r="C105" s="138">
        <f>IFERROR(__xludf.DUMMYFUNCTION("""COMPUTED_VALUE"""),1097.0)</f>
        <v>1097</v>
      </c>
      <c r="D105" s="139">
        <f>IFERROR(__xludf.DUMMYFUNCTION("""COMPUTED_VALUE"""),118.0)</f>
        <v>118</v>
      </c>
      <c r="E105" s="138">
        <f>IFERROR(__xludf.DUMMYFUNCTION("""COMPUTED_VALUE"""),2.0)</f>
        <v>2</v>
      </c>
      <c r="F105" s="138">
        <f>IFERROR(__xludf.DUMMYFUNCTION("""COMPUTED_VALUE"""),3.0)</f>
        <v>3</v>
      </c>
      <c r="G105" s="138">
        <f>IFERROR(__xludf.DUMMYFUNCTION("""COMPUTED_VALUE"""),3.0)</f>
        <v>3</v>
      </c>
      <c r="H105" s="138">
        <f>IFERROR(__xludf.DUMMYFUNCTION("""COMPUTED_VALUE"""),3.0)</f>
        <v>3</v>
      </c>
      <c r="I105" s="138">
        <f>IFERROR(__xludf.DUMMYFUNCTION("""COMPUTED_VALUE"""),2.0)</f>
        <v>2</v>
      </c>
      <c r="J105" s="138">
        <f>IFERROR(__xludf.DUMMYFUNCTION("""COMPUTED_VALUE"""),4.0)</f>
        <v>4</v>
      </c>
      <c r="K105" s="138">
        <f>IFERROR(__xludf.DUMMYFUNCTION("""COMPUTED_VALUE"""),4.0)</f>
        <v>4</v>
      </c>
      <c r="L105" s="138">
        <v>21.0</v>
      </c>
      <c r="M105" s="140" t="str">
        <f>VLOOKUP(text(D105, "#"),'Master Table'!$A:$F, 6, FALSE)</f>
        <v>A-4</v>
      </c>
      <c r="N105" s="141" t="str">
        <f>IFERROR(__xludf.DUMMYFUNCTION("""COMPUTED_VALUE"""),"Very clear presenter and calm presence. Interesting project and has a clear impact. Would have liked to see a firmer grasp on the project ie being able to answer questions with more information. ")</f>
        <v>Very clear presenter and calm presence. Interesting project and has a clear impact. Would have liked to see a firmer grasp on the project ie being able to answer questions with more information. </v>
      </c>
      <c r="O105" s="142" t="str">
        <f t="shared" si="1"/>
        <v/>
      </c>
      <c r="P105" s="143" t="str">
        <f>IF(ISNA(VLOOKUP(CONCAT(M105,C105), 'Judge Count DO NOT EDIT'!H:H, 1, FALSE)), "ERROR","")</f>
        <v/>
      </c>
      <c r="Q105" s="141"/>
      <c r="R105" s="143"/>
      <c r="S105" s="139" t="str">
        <f t="shared" si="2"/>
        <v>1097118</v>
      </c>
      <c r="T105" s="141"/>
    </row>
    <row r="106">
      <c r="A106" s="137">
        <f>IFERROR(__xludf.DUMMYFUNCTION("""COMPUTED_VALUE"""),45352.40957824074)</f>
        <v>45352.40958</v>
      </c>
      <c r="B106" s="138" t="str">
        <f>IFERROR(__xludf.DUMMYFUNCTION("""COMPUTED_VALUE"""),"Delores Fisher")</f>
        <v>Delores Fisher</v>
      </c>
      <c r="C106" s="138">
        <f>IFERROR(__xludf.DUMMYFUNCTION("""COMPUTED_VALUE"""),1169.0)</f>
        <v>1169</v>
      </c>
      <c r="D106" s="139">
        <f>IFERROR(__xludf.DUMMYFUNCTION("""COMPUTED_VALUE"""),118.0)</f>
        <v>118</v>
      </c>
      <c r="E106" s="138">
        <f>IFERROR(__xludf.DUMMYFUNCTION("""COMPUTED_VALUE"""),3.0)</f>
        <v>3</v>
      </c>
      <c r="F106" s="138">
        <f>IFERROR(__xludf.DUMMYFUNCTION("""COMPUTED_VALUE"""),4.0)</f>
        <v>4</v>
      </c>
      <c r="G106" s="138">
        <f>IFERROR(__xludf.DUMMYFUNCTION("""COMPUTED_VALUE"""),3.0)</f>
        <v>3</v>
      </c>
      <c r="H106" s="138">
        <f>IFERROR(__xludf.DUMMYFUNCTION("""COMPUTED_VALUE"""),3.0)</f>
        <v>3</v>
      </c>
      <c r="I106" s="138">
        <f>IFERROR(__xludf.DUMMYFUNCTION("""COMPUTED_VALUE"""),2.0)</f>
        <v>2</v>
      </c>
      <c r="J106" s="138">
        <f>IFERROR(__xludf.DUMMYFUNCTION("""COMPUTED_VALUE"""),3.0)</f>
        <v>3</v>
      </c>
      <c r="K106" s="138">
        <f>IFERROR(__xludf.DUMMYFUNCTION("""COMPUTED_VALUE"""),3.0)</f>
        <v>3</v>
      </c>
      <c r="L106" s="138">
        <v>21.0</v>
      </c>
      <c r="M106" s="140" t="str">
        <f>VLOOKUP(text(D106, "#"),'Master Table'!$A:$F, 6, FALSE)</f>
        <v>A-4</v>
      </c>
      <c r="N106" s="141" t="str">
        <f>IFERROR(__xludf.DUMMYFUNCTION("""COMPUTED_VALUE"""),"Vocal volume, at times difficult to hear.")</f>
        <v>Vocal volume, at times difficult to hear.</v>
      </c>
      <c r="O106" s="142" t="str">
        <f t="shared" si="1"/>
        <v/>
      </c>
      <c r="P106" s="143" t="str">
        <f>IF(ISNA(VLOOKUP(CONCAT(M106,C106), 'Judge Count DO NOT EDIT'!H:H, 1, FALSE)), "ERROR","")</f>
        <v/>
      </c>
      <c r="Q106" s="141"/>
      <c r="R106" s="143"/>
      <c r="S106" s="139" t="str">
        <f t="shared" si="2"/>
        <v>1169118</v>
      </c>
      <c r="T106" s="141"/>
    </row>
    <row r="107">
      <c r="A107" s="137">
        <f>IFERROR(__xludf.DUMMYFUNCTION("""COMPUTED_VALUE"""),45352.41369109954)</f>
        <v>45352.41369</v>
      </c>
      <c r="B107" s="138" t="str">
        <f>IFERROR(__xludf.DUMMYFUNCTION("""COMPUTED_VALUE"""),"Alicia Nunez ")</f>
        <v>Alicia Nunez </v>
      </c>
      <c r="C107" s="138">
        <f>IFERROR(__xludf.DUMMYFUNCTION("""COMPUTED_VALUE"""),1019.0)</f>
        <v>1019</v>
      </c>
      <c r="D107" s="139">
        <f>IFERROR(__xludf.DUMMYFUNCTION("""COMPUTED_VALUE"""),118.0)</f>
        <v>118</v>
      </c>
      <c r="E107" s="138">
        <f>IFERROR(__xludf.DUMMYFUNCTION("""COMPUTED_VALUE"""),3.0)</f>
        <v>3</v>
      </c>
      <c r="F107" s="138">
        <f>IFERROR(__xludf.DUMMYFUNCTION("""COMPUTED_VALUE"""),4.0)</f>
        <v>4</v>
      </c>
      <c r="G107" s="138">
        <f>IFERROR(__xludf.DUMMYFUNCTION("""COMPUTED_VALUE"""),4.0)</f>
        <v>4</v>
      </c>
      <c r="H107" s="138">
        <f>IFERROR(__xludf.DUMMYFUNCTION("""COMPUTED_VALUE"""),3.0)</f>
        <v>3</v>
      </c>
      <c r="I107" s="138">
        <f>IFERROR(__xludf.DUMMYFUNCTION("""COMPUTED_VALUE"""),4.0)</f>
        <v>4</v>
      </c>
      <c r="J107" s="138">
        <f>IFERROR(__xludf.DUMMYFUNCTION("""COMPUTED_VALUE"""),5.0)</f>
        <v>5</v>
      </c>
      <c r="K107" s="138">
        <f>IFERROR(__xludf.DUMMYFUNCTION("""COMPUTED_VALUE"""),4.0)</f>
        <v>4</v>
      </c>
      <c r="L107" s="138">
        <v>27.0</v>
      </c>
      <c r="M107" s="140" t="str">
        <f>VLOOKUP(text(D107, "#"),'Master Table'!$A:$F, 6, FALSE)</f>
        <v>A-4</v>
      </c>
      <c r="N107" s="141" t="str">
        <f>IFERROR(__xludf.DUMMYFUNCTION("""COMPUTED_VALUE"""),"Interesting study and would have really liked to learn more its future directions. ")</f>
        <v>Interesting study and would have really liked to learn more its future directions. </v>
      </c>
      <c r="O107" s="142" t="str">
        <f t="shared" si="1"/>
        <v/>
      </c>
      <c r="P107" s="143" t="str">
        <f>IF(ISNA(VLOOKUP(CONCAT(M107,C107), 'Judge Count DO NOT EDIT'!H:H, 1, FALSE)), "ERROR","")</f>
        <v/>
      </c>
      <c r="Q107" s="141"/>
      <c r="R107" s="143"/>
      <c r="S107" s="139" t="str">
        <f t="shared" si="2"/>
        <v>1019118</v>
      </c>
      <c r="T107" s="141"/>
    </row>
    <row r="108">
      <c r="A108" s="137">
        <f>IFERROR(__xludf.DUMMYFUNCTION("""COMPUTED_VALUE"""),45352.43239685185)</f>
        <v>45352.4324</v>
      </c>
      <c r="B108" s="138" t="str">
        <f>IFERROR(__xludf.DUMMYFUNCTION("""COMPUTED_VALUE"""),"Robert Vargas-Belcher")</f>
        <v>Robert Vargas-Belcher</v>
      </c>
      <c r="C108" s="138">
        <f>IFERROR(__xludf.DUMMYFUNCTION("""COMPUTED_VALUE"""),1020.0)</f>
        <v>1020</v>
      </c>
      <c r="D108" s="139">
        <f>IFERROR(__xludf.DUMMYFUNCTION("""COMPUTED_VALUE"""),120.0)</f>
        <v>120</v>
      </c>
      <c r="E108" s="138">
        <f>IFERROR(__xludf.DUMMYFUNCTION("""COMPUTED_VALUE"""),3.0)</f>
        <v>3</v>
      </c>
      <c r="F108" s="138">
        <f>IFERROR(__xludf.DUMMYFUNCTION("""COMPUTED_VALUE"""),4.0)</f>
        <v>4</v>
      </c>
      <c r="G108" s="138">
        <f>IFERROR(__xludf.DUMMYFUNCTION("""COMPUTED_VALUE"""),4.0)</f>
        <v>4</v>
      </c>
      <c r="H108" s="138">
        <f>IFERROR(__xludf.DUMMYFUNCTION("""COMPUTED_VALUE"""),4.0)</f>
        <v>4</v>
      </c>
      <c r="I108" s="138">
        <f>IFERROR(__xludf.DUMMYFUNCTION("""COMPUTED_VALUE"""),4.0)</f>
        <v>4</v>
      </c>
      <c r="J108" s="138">
        <f>IFERROR(__xludf.DUMMYFUNCTION("""COMPUTED_VALUE"""),3.0)</f>
        <v>3</v>
      </c>
      <c r="K108" s="138">
        <f>IFERROR(__xludf.DUMMYFUNCTION("""COMPUTED_VALUE"""),4.0)</f>
        <v>4</v>
      </c>
      <c r="L108" s="138">
        <v>26.0</v>
      </c>
      <c r="M108" s="140" t="str">
        <f>VLOOKUP(text(D108, "#"),'Master Table'!$A:$F, 6, FALSE)</f>
        <v>A-4</v>
      </c>
      <c r="N108" s="141" t="str">
        <f>IFERROR(__xludf.DUMMYFUNCTION("""COMPUTED_VALUE"""),"Solid presentation. Clear in the data and well laid out methodology. Would love to learn more about the recruiting methods. Statistical analysis done very well from the presentation. In addition to looking at non traditional co parenting relationships, su"&amp;"ch as you mentioned (grandparents, etc.) I would be interested to see what this data shown on LGBTQ co-parenting dynamics.")</f>
        <v>Solid presentation. Clear in the data and well laid out methodology. Would love to learn more about the recruiting methods. Statistical analysis done very well from the presentation. In addition to looking at non traditional co parenting relationships, such as you mentioned (grandparents, etc.) I would be interested to see what this data shown on LGBTQ co-parenting dynamics.</v>
      </c>
      <c r="O108" s="142" t="str">
        <f t="shared" si="1"/>
        <v/>
      </c>
      <c r="P108" s="143" t="str">
        <f>IF(ISNA(VLOOKUP(CONCAT(M108,C108), 'Judge Count DO NOT EDIT'!H:H, 1, FALSE)), "ERROR","")</f>
        <v/>
      </c>
      <c r="Q108" s="141"/>
      <c r="R108" s="143"/>
      <c r="S108" s="139" t="str">
        <f t="shared" si="2"/>
        <v>1020120</v>
      </c>
      <c r="T108" s="141"/>
    </row>
    <row r="109">
      <c r="A109" s="137">
        <f>IFERROR(__xludf.DUMMYFUNCTION("""COMPUTED_VALUE"""),45352.43297140046)</f>
        <v>45352.43297</v>
      </c>
      <c r="B109" s="138" t="str">
        <f>IFERROR(__xludf.DUMMYFUNCTION("""COMPUTED_VALUE"""),"Melanie Nicholls")</f>
        <v>Melanie Nicholls</v>
      </c>
      <c r="C109" s="138">
        <f>IFERROR(__xludf.DUMMYFUNCTION("""COMPUTED_VALUE"""),1097.0)</f>
        <v>1097</v>
      </c>
      <c r="D109" s="139">
        <f>IFERROR(__xludf.DUMMYFUNCTION("""COMPUTED_VALUE"""),120.0)</f>
        <v>120</v>
      </c>
      <c r="E109" s="138">
        <f>IFERROR(__xludf.DUMMYFUNCTION("""COMPUTED_VALUE"""),3.0)</f>
        <v>3</v>
      </c>
      <c r="F109" s="138">
        <f>IFERROR(__xludf.DUMMYFUNCTION("""COMPUTED_VALUE"""),3.0)</f>
        <v>3</v>
      </c>
      <c r="G109" s="138">
        <f>IFERROR(__xludf.DUMMYFUNCTION("""COMPUTED_VALUE"""),3.0)</f>
        <v>3</v>
      </c>
      <c r="H109" s="138">
        <f>IFERROR(__xludf.DUMMYFUNCTION("""COMPUTED_VALUE"""),3.0)</f>
        <v>3</v>
      </c>
      <c r="I109" s="138">
        <f>IFERROR(__xludf.DUMMYFUNCTION("""COMPUTED_VALUE"""),3.0)</f>
        <v>3</v>
      </c>
      <c r="J109" s="138">
        <f>IFERROR(__xludf.DUMMYFUNCTION("""COMPUTED_VALUE"""),3.0)</f>
        <v>3</v>
      </c>
      <c r="K109" s="138">
        <f>IFERROR(__xludf.DUMMYFUNCTION("""COMPUTED_VALUE"""),4.0)</f>
        <v>4</v>
      </c>
      <c r="L109" s="138">
        <v>22.0</v>
      </c>
      <c r="M109" s="140" t="str">
        <f>VLOOKUP(text(D109, "#"),'Master Table'!$A:$F, 6, FALSE)</f>
        <v>A-4</v>
      </c>
      <c r="N109" s="141" t="str">
        <f>IFERROR(__xludf.DUMMYFUNCTION("""COMPUTED_VALUE"""),"Good job with bringing in additional information that was not included on the slides—it helped show their grasp on the material and that they knew their project well. Suggestion would be to slow down a little and go through more of the results since there"&amp;" were a lot of numbers. ")</f>
        <v>Good job with bringing in additional information that was not included on the slides—it helped show their grasp on the material and that they knew their project well. Suggestion would be to slow down a little and go through more of the results since there were a lot of numbers. </v>
      </c>
      <c r="O109" s="142" t="str">
        <f t="shared" si="1"/>
        <v/>
      </c>
      <c r="P109" s="143" t="str">
        <f>IF(ISNA(VLOOKUP(CONCAT(M109,C109), 'Judge Count DO NOT EDIT'!H:H, 1, FALSE)), "ERROR","")</f>
        <v/>
      </c>
      <c r="Q109" s="144"/>
      <c r="R109" s="143"/>
      <c r="S109" s="139" t="str">
        <f t="shared" si="2"/>
        <v>1097120</v>
      </c>
      <c r="T109" s="141"/>
    </row>
    <row r="110">
      <c r="A110" s="137">
        <f>IFERROR(__xludf.DUMMYFUNCTION("""COMPUTED_VALUE"""),45352.43328935185)</f>
        <v>45352.43329</v>
      </c>
      <c r="B110" s="138" t="str">
        <f>IFERROR(__xludf.DUMMYFUNCTION("""COMPUTED_VALUE"""),"delores fisher")</f>
        <v>delores fisher</v>
      </c>
      <c r="C110" s="138">
        <f>IFERROR(__xludf.DUMMYFUNCTION("""COMPUTED_VALUE"""),1169.0)</f>
        <v>1169</v>
      </c>
      <c r="D110" s="139">
        <f>IFERROR(__xludf.DUMMYFUNCTION("""COMPUTED_VALUE"""),120.0)</f>
        <v>120</v>
      </c>
      <c r="E110" s="138">
        <f>IFERROR(__xludf.DUMMYFUNCTION("""COMPUTED_VALUE"""),4.0)</f>
        <v>4</v>
      </c>
      <c r="F110" s="138">
        <f>IFERROR(__xludf.DUMMYFUNCTION("""COMPUTED_VALUE"""),3.0)</f>
        <v>3</v>
      </c>
      <c r="G110" s="138">
        <f>IFERROR(__xludf.DUMMYFUNCTION("""COMPUTED_VALUE"""),3.0)</f>
        <v>3</v>
      </c>
      <c r="H110" s="138">
        <f>IFERROR(__xludf.DUMMYFUNCTION("""COMPUTED_VALUE"""),3.0)</f>
        <v>3</v>
      </c>
      <c r="I110" s="138">
        <f>IFERROR(__xludf.DUMMYFUNCTION("""COMPUTED_VALUE"""),3.0)</f>
        <v>3</v>
      </c>
      <c r="J110" s="138">
        <f>IFERROR(__xludf.DUMMYFUNCTION("""COMPUTED_VALUE"""),3.0)</f>
        <v>3</v>
      </c>
      <c r="K110" s="138">
        <f>IFERROR(__xludf.DUMMYFUNCTION("""COMPUTED_VALUE"""),3.0)</f>
        <v>3</v>
      </c>
      <c r="L110" s="138">
        <v>22.0</v>
      </c>
      <c r="M110" s="140" t="str">
        <f>VLOOKUP(text(D110, "#"),'Master Table'!$A:$F, 6, FALSE)</f>
        <v>A-4</v>
      </c>
      <c r="N110" s="141"/>
      <c r="O110" s="142" t="str">
        <f t="shared" si="1"/>
        <v/>
      </c>
      <c r="P110" s="143" t="str">
        <f>IF(ISNA(VLOOKUP(CONCAT(M110,C110), 'Judge Count DO NOT EDIT'!H:H, 1, FALSE)), "ERROR","")</f>
        <v/>
      </c>
      <c r="Q110" s="141"/>
      <c r="R110" s="143"/>
      <c r="S110" s="139" t="str">
        <f t="shared" si="2"/>
        <v>1169120</v>
      </c>
      <c r="T110" s="141"/>
    </row>
    <row r="111">
      <c r="A111" s="137">
        <f>IFERROR(__xludf.DUMMYFUNCTION("""COMPUTED_VALUE"""),45352.43347258102)</f>
        <v>45352.43347</v>
      </c>
      <c r="B111" s="138" t="str">
        <f>IFERROR(__xludf.DUMMYFUNCTION("""COMPUTED_VALUE"""),"Alicia Nunez ")</f>
        <v>Alicia Nunez </v>
      </c>
      <c r="C111" s="138">
        <f>IFERROR(__xludf.DUMMYFUNCTION("""COMPUTED_VALUE"""),1019.0)</f>
        <v>1019</v>
      </c>
      <c r="D111" s="139">
        <f>IFERROR(__xludf.DUMMYFUNCTION("""COMPUTED_VALUE"""),120.0)</f>
        <v>120</v>
      </c>
      <c r="E111" s="138">
        <f>IFERROR(__xludf.DUMMYFUNCTION("""COMPUTED_VALUE"""),4.0)</f>
        <v>4</v>
      </c>
      <c r="F111" s="138">
        <f>IFERROR(__xludf.DUMMYFUNCTION("""COMPUTED_VALUE"""),5.0)</f>
        <v>5</v>
      </c>
      <c r="G111" s="138">
        <f>IFERROR(__xludf.DUMMYFUNCTION("""COMPUTED_VALUE"""),5.0)</f>
        <v>5</v>
      </c>
      <c r="H111" s="138">
        <f>IFERROR(__xludf.DUMMYFUNCTION("""COMPUTED_VALUE"""),5.0)</f>
        <v>5</v>
      </c>
      <c r="I111" s="138">
        <f>IFERROR(__xludf.DUMMYFUNCTION("""COMPUTED_VALUE"""),5.0)</f>
        <v>5</v>
      </c>
      <c r="J111" s="138">
        <f>IFERROR(__xludf.DUMMYFUNCTION("""COMPUTED_VALUE"""),5.0)</f>
        <v>5</v>
      </c>
      <c r="K111" s="138">
        <f>IFERROR(__xludf.DUMMYFUNCTION("""COMPUTED_VALUE"""),5.0)</f>
        <v>5</v>
      </c>
      <c r="L111" s="138">
        <v>34.0</v>
      </c>
      <c r="M111" s="140" t="str">
        <f>VLOOKUP(text(D111, "#"),'Master Table'!$A:$F, 6, FALSE)</f>
        <v>A-4</v>
      </c>
      <c r="N111" s="141" t="str">
        <f>IFERROR(__xludf.DUMMYFUNCTION("""COMPUTED_VALUE"""),"Excellent responses to Q&amp;A. Recommend including less data as part of slides. ")</f>
        <v>Excellent responses to Q&amp;A. Recommend including less data as part of slides. </v>
      </c>
      <c r="O111" s="142" t="str">
        <f t="shared" si="1"/>
        <v/>
      </c>
      <c r="P111" s="143" t="str">
        <f>IF(ISNA(VLOOKUP(CONCAT(M111,C111), 'Judge Count DO NOT EDIT'!H:H, 1, FALSE)), "ERROR","")</f>
        <v/>
      </c>
      <c r="Q111" s="141"/>
      <c r="R111" s="143"/>
      <c r="S111" s="139" t="str">
        <f t="shared" si="2"/>
        <v>1019120</v>
      </c>
      <c r="T111" s="141"/>
    </row>
    <row r="112">
      <c r="A112" s="137">
        <f>IFERROR(__xludf.DUMMYFUNCTION("""COMPUTED_VALUE"""),45352.447708402775)</f>
        <v>45352.44771</v>
      </c>
      <c r="B112" s="138" t="str">
        <f>IFERROR(__xludf.DUMMYFUNCTION("""COMPUTED_VALUE"""),"Melanie Nicholls")</f>
        <v>Melanie Nicholls</v>
      </c>
      <c r="C112" s="138">
        <f>IFERROR(__xludf.DUMMYFUNCTION("""COMPUTED_VALUE"""),1097.0)</f>
        <v>1097</v>
      </c>
      <c r="D112" s="139">
        <f>IFERROR(__xludf.DUMMYFUNCTION("""COMPUTED_VALUE"""),121.0)</f>
        <v>121</v>
      </c>
      <c r="E112" s="138">
        <f>IFERROR(__xludf.DUMMYFUNCTION("""COMPUTED_VALUE"""),4.0)</f>
        <v>4</v>
      </c>
      <c r="F112" s="138">
        <f>IFERROR(__xludf.DUMMYFUNCTION("""COMPUTED_VALUE"""),4.0)</f>
        <v>4</v>
      </c>
      <c r="G112" s="138">
        <f>IFERROR(__xludf.DUMMYFUNCTION("""COMPUTED_VALUE"""),4.0)</f>
        <v>4</v>
      </c>
      <c r="H112" s="138">
        <f>IFERROR(__xludf.DUMMYFUNCTION("""COMPUTED_VALUE"""),3.0)</f>
        <v>3</v>
      </c>
      <c r="I112" s="138">
        <f>IFERROR(__xludf.DUMMYFUNCTION("""COMPUTED_VALUE"""),3.0)</f>
        <v>3</v>
      </c>
      <c r="J112" s="138">
        <f>IFERROR(__xludf.DUMMYFUNCTION("""COMPUTED_VALUE"""),3.0)</f>
        <v>3</v>
      </c>
      <c r="K112" s="138">
        <f>IFERROR(__xludf.DUMMYFUNCTION("""COMPUTED_VALUE"""),4.0)</f>
        <v>4</v>
      </c>
      <c r="L112" s="138">
        <v>25.0</v>
      </c>
      <c r="M112" s="140" t="str">
        <f>VLOOKUP(text(D112, "#"),'Master Table'!$A:$F, 6, FALSE)</f>
        <v>A-4</v>
      </c>
      <c r="N112" s="141" t="str">
        <f>IFERROR(__xludf.DUMMYFUNCTION("""COMPUTED_VALUE"""),"Really interesting topic that could be very impactful. Speaker did a great job of being clear and answering questions thoroughly. There was some mishap with the PowerPoint but the presentation was easy to read for the most part and was easy to follow. ")</f>
        <v>Really interesting topic that could be very impactful. Speaker did a great job of being clear and answering questions thoroughly. There was some mishap with the PowerPoint but the presentation was easy to read for the most part and was easy to follow. </v>
      </c>
      <c r="O112" s="142" t="str">
        <f t="shared" si="1"/>
        <v/>
      </c>
      <c r="P112" s="143" t="str">
        <f>IF(ISNA(VLOOKUP(CONCAT(M112,C112), 'Judge Count DO NOT EDIT'!H:H, 1, FALSE)), "ERROR","")</f>
        <v/>
      </c>
      <c r="Q112" s="141"/>
      <c r="R112" s="143"/>
      <c r="S112" s="139" t="str">
        <f t="shared" si="2"/>
        <v>1097121</v>
      </c>
      <c r="T112" s="141"/>
    </row>
    <row r="113">
      <c r="A113" s="137">
        <f>IFERROR(__xludf.DUMMYFUNCTION("""COMPUTED_VALUE"""),45352.44795905093)</f>
        <v>45352.44796</v>
      </c>
      <c r="B113" s="138" t="str">
        <f>IFERROR(__xludf.DUMMYFUNCTION("""COMPUTED_VALUE"""),"Robert Vargas-Belcher")</f>
        <v>Robert Vargas-Belcher</v>
      </c>
      <c r="C113" s="138">
        <f>IFERROR(__xludf.DUMMYFUNCTION("""COMPUTED_VALUE"""),1020.0)</f>
        <v>1020</v>
      </c>
      <c r="D113" s="139">
        <f>IFERROR(__xludf.DUMMYFUNCTION("""COMPUTED_VALUE"""),121.0)</f>
        <v>121</v>
      </c>
      <c r="E113" s="138">
        <f>IFERROR(__xludf.DUMMYFUNCTION("""COMPUTED_VALUE"""),4.0)</f>
        <v>4</v>
      </c>
      <c r="F113" s="138">
        <f>IFERROR(__xludf.DUMMYFUNCTION("""COMPUTED_VALUE"""),4.0)</f>
        <v>4</v>
      </c>
      <c r="G113" s="138">
        <f>IFERROR(__xludf.DUMMYFUNCTION("""COMPUTED_VALUE"""),4.0)</f>
        <v>4</v>
      </c>
      <c r="H113" s="138">
        <f>IFERROR(__xludf.DUMMYFUNCTION("""COMPUTED_VALUE"""),4.0)</f>
        <v>4</v>
      </c>
      <c r="I113" s="138">
        <f>IFERROR(__xludf.DUMMYFUNCTION("""COMPUTED_VALUE"""),3.0)</f>
        <v>3</v>
      </c>
      <c r="J113" s="138">
        <f>IFERROR(__xludf.DUMMYFUNCTION("""COMPUTED_VALUE"""),4.0)</f>
        <v>4</v>
      </c>
      <c r="K113" s="138">
        <f>IFERROR(__xludf.DUMMYFUNCTION("""COMPUTED_VALUE"""),4.0)</f>
        <v>4</v>
      </c>
      <c r="L113" s="138">
        <v>27.0</v>
      </c>
      <c r="M113" s="140" t="str">
        <f>VLOOKUP(text(D113, "#"),'Master Table'!$A:$F, 6, FALSE)</f>
        <v>A-4</v>
      </c>
      <c r="N113" s="141" t="str">
        <f>IFERROR(__xludf.DUMMYFUNCTION("""COMPUTED_VALUE"""),"Good presentation, apricated the further explanation on specific elements such as EMA and how you described Phase 2. While we most of us work in research, these elements can make the difference between understanding and ""getting lost"" in presentation to"&amp;" those who don't live in research. ")</f>
        <v>Good presentation, apricated the further explanation on specific elements such as EMA and how you described Phase 2. While we most of us work in research, these elements can make the difference between understanding and "getting lost" in presentation to those who don't live in research. </v>
      </c>
      <c r="O113" s="142" t="str">
        <f t="shared" si="1"/>
        <v/>
      </c>
      <c r="P113" s="143" t="str">
        <f>IF(ISNA(VLOOKUP(CONCAT(M113,C113), 'Judge Count DO NOT EDIT'!H:H, 1, FALSE)), "ERROR","")</f>
        <v/>
      </c>
      <c r="Q113" s="141"/>
      <c r="R113" s="143"/>
      <c r="S113" s="139" t="str">
        <f t="shared" si="2"/>
        <v>1020121</v>
      </c>
      <c r="T113" s="141"/>
    </row>
    <row r="114">
      <c r="A114" s="137">
        <f>IFERROR(__xludf.DUMMYFUNCTION("""COMPUTED_VALUE"""),45352.4493750463)</f>
        <v>45352.44938</v>
      </c>
      <c r="B114" s="138" t="str">
        <f>IFERROR(__xludf.DUMMYFUNCTION("""COMPUTED_VALUE"""),"Alicia Nunez ")</f>
        <v>Alicia Nunez </v>
      </c>
      <c r="C114" s="138">
        <f>IFERROR(__xludf.DUMMYFUNCTION("""COMPUTED_VALUE"""),1019.0)</f>
        <v>1019</v>
      </c>
      <c r="D114" s="139">
        <f>IFERROR(__xludf.DUMMYFUNCTION("""COMPUTED_VALUE"""),121.0)</f>
        <v>121</v>
      </c>
      <c r="E114" s="138">
        <f>IFERROR(__xludf.DUMMYFUNCTION("""COMPUTED_VALUE"""),5.0)</f>
        <v>5</v>
      </c>
      <c r="F114" s="138">
        <f>IFERROR(__xludf.DUMMYFUNCTION("""COMPUTED_VALUE"""),5.0)</f>
        <v>5</v>
      </c>
      <c r="G114" s="138">
        <f>IFERROR(__xludf.DUMMYFUNCTION("""COMPUTED_VALUE"""),5.0)</f>
        <v>5</v>
      </c>
      <c r="H114" s="138">
        <f>IFERROR(__xludf.DUMMYFUNCTION("""COMPUTED_VALUE"""),5.0)</f>
        <v>5</v>
      </c>
      <c r="I114" s="138">
        <f>IFERROR(__xludf.DUMMYFUNCTION("""COMPUTED_VALUE"""),5.0)</f>
        <v>5</v>
      </c>
      <c r="J114" s="138">
        <f>IFERROR(__xludf.DUMMYFUNCTION("""COMPUTED_VALUE"""),5.0)</f>
        <v>5</v>
      </c>
      <c r="K114" s="138">
        <f>IFERROR(__xludf.DUMMYFUNCTION("""COMPUTED_VALUE"""),5.0)</f>
        <v>5</v>
      </c>
      <c r="L114" s="138">
        <v>35.0</v>
      </c>
      <c r="M114" s="140" t="str">
        <f>VLOOKUP(text(D114, "#"),'Master Table'!$A:$F, 6, FALSE)</f>
        <v>A-4</v>
      </c>
      <c r="N114" s="141" t="str">
        <f>IFERROR(__xludf.DUMMYFUNCTION("""COMPUTED_VALUE"""),"Great research. Excellent presentation and ability to address Q&amp;A session ")</f>
        <v>Great research. Excellent presentation and ability to address Q&amp;A session </v>
      </c>
      <c r="O114" s="142" t="str">
        <f t="shared" si="1"/>
        <v/>
      </c>
      <c r="P114" s="143" t="str">
        <f>IF(ISNA(VLOOKUP(CONCAT(M114,C114), 'Judge Count DO NOT EDIT'!H:H, 1, FALSE)), "ERROR","")</f>
        <v/>
      </c>
      <c r="Q114" s="141"/>
      <c r="R114" s="143"/>
      <c r="S114" s="139" t="str">
        <f t="shared" si="2"/>
        <v>1019121</v>
      </c>
      <c r="T114" s="141"/>
    </row>
    <row r="115">
      <c r="A115" s="137">
        <f>IFERROR(__xludf.DUMMYFUNCTION("""COMPUTED_VALUE"""),45352.44948488426)</f>
        <v>45352.44948</v>
      </c>
      <c r="B115" s="138" t="str">
        <f>IFERROR(__xludf.DUMMYFUNCTION("""COMPUTED_VALUE"""),"delores fisher")</f>
        <v>delores fisher</v>
      </c>
      <c r="C115" s="138">
        <f>IFERROR(__xludf.DUMMYFUNCTION("""COMPUTED_VALUE"""),1169.0)</f>
        <v>1169</v>
      </c>
      <c r="D115" s="139">
        <f>IFERROR(__xludf.DUMMYFUNCTION("""COMPUTED_VALUE"""),121.0)</f>
        <v>121</v>
      </c>
      <c r="E115" s="138">
        <f>IFERROR(__xludf.DUMMYFUNCTION("""COMPUTED_VALUE"""),4.0)</f>
        <v>4</v>
      </c>
      <c r="F115" s="138">
        <f>IFERROR(__xludf.DUMMYFUNCTION("""COMPUTED_VALUE"""),4.0)</f>
        <v>4</v>
      </c>
      <c r="G115" s="138">
        <f>IFERROR(__xludf.DUMMYFUNCTION("""COMPUTED_VALUE"""),4.0)</f>
        <v>4</v>
      </c>
      <c r="H115" s="138">
        <f>IFERROR(__xludf.DUMMYFUNCTION("""COMPUTED_VALUE"""),3.0)</f>
        <v>3</v>
      </c>
      <c r="I115" s="138">
        <f>IFERROR(__xludf.DUMMYFUNCTION("""COMPUTED_VALUE"""),4.0)</f>
        <v>4</v>
      </c>
      <c r="J115" s="138">
        <f>IFERROR(__xludf.DUMMYFUNCTION("""COMPUTED_VALUE"""),3.0)</f>
        <v>3</v>
      </c>
      <c r="K115" s="138">
        <f>IFERROR(__xludf.DUMMYFUNCTION("""COMPUTED_VALUE"""),4.0)</f>
        <v>4</v>
      </c>
      <c r="L115" s="138">
        <v>26.0</v>
      </c>
      <c r="M115" s="140" t="str">
        <f>VLOOKUP(text(D115, "#"),'Master Table'!$A:$F, 6, FALSE)</f>
        <v>A-4</v>
      </c>
      <c r="N115" s="141" t="str">
        <f>IFERROR(__xludf.DUMMYFUNCTION("""COMPUTED_VALUE"""),"Intervention model, continues to wrestle with ethical issues in terms of handling data collection from target age group.")</f>
        <v>Intervention model, continues to wrestle with ethical issues in terms of handling data collection from target age group.</v>
      </c>
      <c r="O115" s="142" t="str">
        <f t="shared" si="1"/>
        <v/>
      </c>
      <c r="P115" s="143" t="str">
        <f>IF(ISNA(VLOOKUP(CONCAT(M115,C115), 'Judge Count DO NOT EDIT'!H:H, 1, FALSE)), "ERROR","")</f>
        <v/>
      </c>
      <c r="Q115" s="141"/>
      <c r="R115" s="143"/>
      <c r="S115" s="139" t="str">
        <f t="shared" si="2"/>
        <v>1169121</v>
      </c>
      <c r="T115" s="141"/>
    </row>
    <row r="116">
      <c r="A116" s="137">
        <f>IFERROR(__xludf.DUMMYFUNCTION("""COMPUTED_VALUE"""),45352.45686071759)</f>
        <v>45352.45686</v>
      </c>
      <c r="B116" s="138" t="str">
        <f>IFERROR(__xludf.DUMMYFUNCTION("""COMPUTED_VALUE"""),"Melanie Nicholls")</f>
        <v>Melanie Nicholls</v>
      </c>
      <c r="C116" s="138">
        <f>IFERROR(__xludf.DUMMYFUNCTION("""COMPUTED_VALUE"""),1097.0)</f>
        <v>1097</v>
      </c>
      <c r="D116" s="139">
        <f>IFERROR(__xludf.DUMMYFUNCTION("""COMPUTED_VALUE"""),122.0)</f>
        <v>122</v>
      </c>
      <c r="E116" s="138">
        <f>IFERROR(__xludf.DUMMYFUNCTION("""COMPUTED_VALUE"""),3.0)</f>
        <v>3</v>
      </c>
      <c r="F116" s="138">
        <f>IFERROR(__xludf.DUMMYFUNCTION("""COMPUTED_VALUE"""),3.0)</f>
        <v>3</v>
      </c>
      <c r="G116" s="138">
        <f>IFERROR(__xludf.DUMMYFUNCTION("""COMPUTED_VALUE"""),3.0)</f>
        <v>3</v>
      </c>
      <c r="H116" s="138">
        <f>IFERROR(__xludf.DUMMYFUNCTION("""COMPUTED_VALUE"""),3.0)</f>
        <v>3</v>
      </c>
      <c r="I116" s="138">
        <f>IFERROR(__xludf.DUMMYFUNCTION("""COMPUTED_VALUE"""),3.0)</f>
        <v>3</v>
      </c>
      <c r="J116" s="138">
        <f>IFERROR(__xludf.DUMMYFUNCTION("""COMPUTED_VALUE"""),3.0)</f>
        <v>3</v>
      </c>
      <c r="K116" s="138">
        <f>IFERROR(__xludf.DUMMYFUNCTION("""COMPUTED_VALUE"""),3.0)</f>
        <v>3</v>
      </c>
      <c r="L116" s="138">
        <v>21.0</v>
      </c>
      <c r="M116" s="140" t="str">
        <f>VLOOKUP(text(D116, "#"),'Master Table'!$A:$F, 6, FALSE)</f>
        <v>A-4</v>
      </c>
      <c r="N116" s="141" t="str">
        <f>IFERROR(__xludf.DUMMYFUNCTION("""COMPUTED_VALUE"""),"Interesting topic with seeing the difference between pre covid and post covid. Would like to see more or a discussion why this is important. The presenter was clearly knowledgeable about the topic and was able to answer questions well and showed their gra"&amp;"sp on the literature. ")</f>
        <v>Interesting topic with seeing the difference between pre covid and post covid. Would like to see more or a discussion why this is important. The presenter was clearly knowledgeable about the topic and was able to answer questions well and showed their grasp on the literature. </v>
      </c>
      <c r="O116" s="142" t="str">
        <f t="shared" si="1"/>
        <v/>
      </c>
      <c r="P116" s="143" t="str">
        <f>IF(ISNA(VLOOKUP(CONCAT(M116,C116), 'Judge Count DO NOT EDIT'!H:H, 1, FALSE)), "ERROR","")</f>
        <v/>
      </c>
      <c r="Q116" s="141"/>
      <c r="R116" s="143"/>
      <c r="S116" s="139" t="str">
        <f t="shared" si="2"/>
        <v>1097122</v>
      </c>
      <c r="T116" s="141"/>
    </row>
    <row r="117">
      <c r="A117" s="137">
        <f>IFERROR(__xludf.DUMMYFUNCTION("""COMPUTED_VALUE"""),45352.45728324074)</f>
        <v>45352.45728</v>
      </c>
      <c r="B117" s="138" t="str">
        <f>IFERROR(__xludf.DUMMYFUNCTION("""COMPUTED_VALUE"""),"Alicia Nunez ")</f>
        <v>Alicia Nunez </v>
      </c>
      <c r="C117" s="138">
        <f>IFERROR(__xludf.DUMMYFUNCTION("""COMPUTED_VALUE"""),1019.0)</f>
        <v>1019</v>
      </c>
      <c r="D117" s="139">
        <f>IFERROR(__xludf.DUMMYFUNCTION("""COMPUTED_VALUE"""),122.0)</f>
        <v>122</v>
      </c>
      <c r="E117" s="138">
        <f>IFERROR(__xludf.DUMMYFUNCTION("""COMPUTED_VALUE"""),5.0)</f>
        <v>5</v>
      </c>
      <c r="F117" s="138">
        <f>IFERROR(__xludf.DUMMYFUNCTION("""COMPUTED_VALUE"""),4.0)</f>
        <v>4</v>
      </c>
      <c r="G117" s="138">
        <f>IFERROR(__xludf.DUMMYFUNCTION("""COMPUTED_VALUE"""),5.0)</f>
        <v>5</v>
      </c>
      <c r="H117" s="138">
        <f>IFERROR(__xludf.DUMMYFUNCTION("""COMPUTED_VALUE"""),5.0)</f>
        <v>5</v>
      </c>
      <c r="I117" s="138">
        <f>IFERROR(__xludf.DUMMYFUNCTION("""COMPUTED_VALUE"""),5.0)</f>
        <v>5</v>
      </c>
      <c r="J117" s="138">
        <f>IFERROR(__xludf.DUMMYFUNCTION("""COMPUTED_VALUE"""),5.0)</f>
        <v>5</v>
      </c>
      <c r="K117" s="138">
        <f>IFERROR(__xludf.DUMMYFUNCTION("""COMPUTED_VALUE"""),4.0)</f>
        <v>4</v>
      </c>
      <c r="L117" s="138">
        <v>33.0</v>
      </c>
      <c r="M117" s="140" t="str">
        <f>VLOOKUP(text(D117, "#"),'Master Table'!$A:$F, 6, FALSE)</f>
        <v>A-4</v>
      </c>
      <c r="N117" s="141" t="str">
        <f>IFERROR(__xludf.DUMMYFUNCTION("""COMPUTED_VALUE"""),"Good use of time. Encouraged to continue with this line of research.")</f>
        <v>Good use of time. Encouraged to continue with this line of research.</v>
      </c>
      <c r="O117" s="142" t="str">
        <f t="shared" si="1"/>
        <v/>
      </c>
      <c r="P117" s="143" t="str">
        <f>IF(ISNA(VLOOKUP(CONCAT(M117,C117), 'Judge Count DO NOT EDIT'!H:H, 1, FALSE)), "ERROR","")</f>
        <v/>
      </c>
      <c r="Q117" s="141"/>
      <c r="R117" s="143"/>
      <c r="S117" s="139" t="str">
        <f t="shared" si="2"/>
        <v>1019122</v>
      </c>
      <c r="T117" s="141"/>
    </row>
    <row r="118">
      <c r="A118" s="137">
        <f>IFERROR(__xludf.DUMMYFUNCTION("""COMPUTED_VALUE"""),45352.45927061343)</f>
        <v>45352.45927</v>
      </c>
      <c r="B118" s="138" t="str">
        <f>IFERROR(__xludf.DUMMYFUNCTION("""COMPUTED_VALUE"""),"Delores Fisher")</f>
        <v>Delores Fisher</v>
      </c>
      <c r="C118" s="138">
        <f>IFERROR(__xludf.DUMMYFUNCTION("""COMPUTED_VALUE"""),1169.0)</f>
        <v>1169</v>
      </c>
      <c r="D118" s="139">
        <f>IFERROR(__xludf.DUMMYFUNCTION("""COMPUTED_VALUE"""),122.0)</f>
        <v>122</v>
      </c>
      <c r="E118" s="138">
        <f>IFERROR(__xludf.DUMMYFUNCTION("""COMPUTED_VALUE"""),4.0)</f>
        <v>4</v>
      </c>
      <c r="F118" s="138">
        <f>IFERROR(__xludf.DUMMYFUNCTION("""COMPUTED_VALUE"""),3.0)</f>
        <v>3</v>
      </c>
      <c r="G118" s="138">
        <f>IFERROR(__xludf.DUMMYFUNCTION("""COMPUTED_VALUE"""),3.0)</f>
        <v>3</v>
      </c>
      <c r="H118" s="138">
        <f>IFERROR(__xludf.DUMMYFUNCTION("""COMPUTED_VALUE"""),3.0)</f>
        <v>3</v>
      </c>
      <c r="I118" s="138">
        <f>IFERROR(__xludf.DUMMYFUNCTION("""COMPUTED_VALUE"""),2.0)</f>
        <v>2</v>
      </c>
      <c r="J118" s="138">
        <f>IFERROR(__xludf.DUMMYFUNCTION("""COMPUTED_VALUE"""),3.0)</f>
        <v>3</v>
      </c>
      <c r="K118" s="138">
        <f>IFERROR(__xludf.DUMMYFUNCTION("""COMPUTED_VALUE"""),4.0)</f>
        <v>4</v>
      </c>
      <c r="L118" s="138">
        <v>22.0</v>
      </c>
      <c r="M118" s="140" t="str">
        <f>VLOOKUP(text(D118, "#"),'Master Table'!$A:$F, 6, FALSE)</f>
        <v>A-4</v>
      </c>
      <c r="N118" s="141"/>
      <c r="O118" s="142" t="str">
        <f t="shared" si="1"/>
        <v/>
      </c>
      <c r="P118" s="143" t="str">
        <f>IF(ISNA(VLOOKUP(CONCAT(M118,C118), 'Judge Count DO NOT EDIT'!H:H, 1, FALSE)), "ERROR","")</f>
        <v/>
      </c>
      <c r="Q118" s="141"/>
      <c r="R118" s="143"/>
      <c r="S118" s="139" t="str">
        <f t="shared" si="2"/>
        <v>1169122</v>
      </c>
      <c r="T118" s="141"/>
    </row>
    <row r="119">
      <c r="A119" s="137">
        <f>IFERROR(__xludf.DUMMYFUNCTION("""COMPUTED_VALUE"""),45352.45939449074)</f>
        <v>45352.45939</v>
      </c>
      <c r="B119" s="138" t="str">
        <f>IFERROR(__xludf.DUMMYFUNCTION("""COMPUTED_VALUE"""),"Robert Vargas-Belcher")</f>
        <v>Robert Vargas-Belcher</v>
      </c>
      <c r="C119" s="138">
        <f>IFERROR(__xludf.DUMMYFUNCTION("""COMPUTED_VALUE"""),1020.0)</f>
        <v>1020</v>
      </c>
      <c r="D119" s="139">
        <f>IFERROR(__xludf.DUMMYFUNCTION("""COMPUTED_VALUE"""),122.0)</f>
        <v>122</v>
      </c>
      <c r="E119" s="138">
        <f>IFERROR(__xludf.DUMMYFUNCTION("""COMPUTED_VALUE"""),3.0)</f>
        <v>3</v>
      </c>
      <c r="F119" s="138">
        <f>IFERROR(__xludf.DUMMYFUNCTION("""COMPUTED_VALUE"""),3.0)</f>
        <v>3</v>
      </c>
      <c r="G119" s="138">
        <f>IFERROR(__xludf.DUMMYFUNCTION("""COMPUTED_VALUE"""),4.0)</f>
        <v>4</v>
      </c>
      <c r="H119" s="138">
        <f>IFERROR(__xludf.DUMMYFUNCTION("""COMPUTED_VALUE"""),4.0)</f>
        <v>4</v>
      </c>
      <c r="I119" s="138">
        <f>IFERROR(__xludf.DUMMYFUNCTION("""COMPUTED_VALUE"""),3.0)</f>
        <v>3</v>
      </c>
      <c r="J119" s="138">
        <f>IFERROR(__xludf.DUMMYFUNCTION("""COMPUTED_VALUE"""),3.0)</f>
        <v>3</v>
      </c>
      <c r="K119" s="138">
        <f>IFERROR(__xludf.DUMMYFUNCTION("""COMPUTED_VALUE"""),4.0)</f>
        <v>4</v>
      </c>
      <c r="L119" s="138">
        <v>24.0</v>
      </c>
      <c r="M119" s="140" t="str">
        <f>VLOOKUP(text(D119, "#"),'Master Table'!$A:$F, 6, FALSE)</f>
        <v>A-4</v>
      </c>
      <c r="N119" s="141" t="str">
        <f>IFERROR(__xludf.DUMMYFUNCTION("""COMPUTED_VALUE"""),"Good presentation. The pace of the presentation seemed rushed. I would encourage you to slow your pace and clearly present the data. While the overall topic is great and important, but the data could be been explained a little clearer. ")</f>
        <v>Good presentation. The pace of the presentation seemed rushed. I would encourage you to slow your pace and clearly present the data. While the overall topic is great and important, but the data could be been explained a little clearer. </v>
      </c>
      <c r="O119" s="142" t="str">
        <f t="shared" si="1"/>
        <v/>
      </c>
      <c r="P119" s="143" t="str">
        <f>IF(ISNA(VLOOKUP(CONCAT(M119,C119), 'Judge Count DO NOT EDIT'!H:H, 1, FALSE)), "ERROR","")</f>
        <v/>
      </c>
      <c r="Q119" s="141"/>
      <c r="R119" s="143"/>
      <c r="S119" s="139" t="str">
        <f t="shared" si="2"/>
        <v>1020122</v>
      </c>
      <c r="T119" s="141"/>
    </row>
    <row r="120">
      <c r="A120" s="137">
        <f>IFERROR(__xludf.DUMMYFUNCTION("""COMPUTED_VALUE"""),45352.38635732639)</f>
        <v>45352.38636</v>
      </c>
      <c r="B120" s="138" t="str">
        <f>IFERROR(__xludf.DUMMYFUNCTION("""COMPUTED_VALUE"""),"Elana Elkin")</f>
        <v>Elana Elkin</v>
      </c>
      <c r="C120" s="138">
        <f>IFERROR(__xludf.DUMMYFUNCTION("""COMPUTED_VALUE"""),1124.0)</f>
        <v>1124</v>
      </c>
      <c r="D120" s="139">
        <f>IFERROR(__xludf.DUMMYFUNCTION("""COMPUTED_VALUE"""),123.0)</f>
        <v>123</v>
      </c>
      <c r="E120" s="138">
        <f>IFERROR(__xludf.DUMMYFUNCTION("""COMPUTED_VALUE"""),4.0)</f>
        <v>4</v>
      </c>
      <c r="F120" s="138">
        <f>IFERROR(__xludf.DUMMYFUNCTION("""COMPUTED_VALUE"""),4.0)</f>
        <v>4</v>
      </c>
      <c r="G120" s="138">
        <f>IFERROR(__xludf.DUMMYFUNCTION("""COMPUTED_VALUE"""),4.0)</f>
        <v>4</v>
      </c>
      <c r="H120" s="138">
        <f>IFERROR(__xludf.DUMMYFUNCTION("""COMPUTED_VALUE"""),4.0)</f>
        <v>4</v>
      </c>
      <c r="I120" s="138">
        <f>IFERROR(__xludf.DUMMYFUNCTION("""COMPUTED_VALUE"""),5.0)</f>
        <v>5</v>
      </c>
      <c r="J120" s="138">
        <f>IFERROR(__xludf.DUMMYFUNCTION("""COMPUTED_VALUE"""),4.0)</f>
        <v>4</v>
      </c>
      <c r="K120" s="138">
        <f>IFERROR(__xludf.DUMMYFUNCTION("""COMPUTED_VALUE"""),4.0)</f>
        <v>4</v>
      </c>
      <c r="L120" s="138">
        <v>29.0</v>
      </c>
      <c r="M120" s="140" t="str">
        <f>VLOOKUP(text(D120, "#"),'Master Table'!$A:$F, 6, FALSE)</f>
        <v>A-5</v>
      </c>
      <c r="N120" s="141"/>
      <c r="O120" s="142" t="str">
        <f t="shared" si="1"/>
        <v/>
      </c>
      <c r="P120" s="143" t="str">
        <f>IF(ISNA(VLOOKUP(CONCAT(M120,C120), 'Judge Count DO NOT EDIT'!H:H, 1, FALSE)), "ERROR","")</f>
        <v/>
      </c>
      <c r="Q120" s="141"/>
      <c r="R120" s="143"/>
      <c r="S120" s="139" t="str">
        <f t="shared" si="2"/>
        <v>1124123</v>
      </c>
      <c r="T120" s="141"/>
    </row>
    <row r="121">
      <c r="A121" s="137">
        <f>IFERROR(__xludf.DUMMYFUNCTION("""COMPUTED_VALUE"""),45352.3875078125)</f>
        <v>45352.38751</v>
      </c>
      <c r="B121" s="138" t="str">
        <f>IFERROR(__xludf.DUMMYFUNCTION("""COMPUTED_VALUE"""),"Cripps")</f>
        <v>Cripps</v>
      </c>
      <c r="C121" s="138">
        <f>IFERROR(__xludf.DUMMYFUNCTION("""COMPUTED_VALUE"""),1069.0)</f>
        <v>1069</v>
      </c>
      <c r="D121" s="139">
        <f>IFERROR(__xludf.DUMMYFUNCTION("""COMPUTED_VALUE"""),123.0)</f>
        <v>123</v>
      </c>
      <c r="E121" s="138">
        <f>IFERROR(__xludf.DUMMYFUNCTION("""COMPUTED_VALUE"""),4.0)</f>
        <v>4</v>
      </c>
      <c r="F121" s="138">
        <f>IFERROR(__xludf.DUMMYFUNCTION("""COMPUTED_VALUE"""),4.0)</f>
        <v>4</v>
      </c>
      <c r="G121" s="138">
        <f>IFERROR(__xludf.DUMMYFUNCTION("""COMPUTED_VALUE"""),3.0)</f>
        <v>3</v>
      </c>
      <c r="H121" s="138">
        <f>IFERROR(__xludf.DUMMYFUNCTION("""COMPUTED_VALUE"""),3.0)</f>
        <v>3</v>
      </c>
      <c r="I121" s="138">
        <f>IFERROR(__xludf.DUMMYFUNCTION("""COMPUTED_VALUE"""),5.0)</f>
        <v>5</v>
      </c>
      <c r="J121" s="138">
        <f>IFERROR(__xludf.DUMMYFUNCTION("""COMPUTED_VALUE"""),4.0)</f>
        <v>4</v>
      </c>
      <c r="K121" s="138">
        <f>IFERROR(__xludf.DUMMYFUNCTION("""COMPUTED_VALUE"""),4.0)</f>
        <v>4</v>
      </c>
      <c r="L121" s="138">
        <v>27.0</v>
      </c>
      <c r="M121" s="140" t="str">
        <f>VLOOKUP(text(D121, "#"),'Master Table'!$A:$F, 6, FALSE)</f>
        <v>A-5</v>
      </c>
      <c r="N121" s="141"/>
      <c r="O121" s="142" t="str">
        <f t="shared" si="1"/>
        <v/>
      </c>
      <c r="P121" s="143" t="str">
        <f>IF(ISNA(VLOOKUP(CONCAT(M121,C121), 'Judge Count DO NOT EDIT'!H:H, 1, FALSE)), "ERROR","")</f>
        <v/>
      </c>
      <c r="Q121" s="141"/>
      <c r="R121" s="143"/>
      <c r="S121" s="139" t="str">
        <f t="shared" si="2"/>
        <v>1069123</v>
      </c>
      <c r="T121" s="141"/>
    </row>
    <row r="122">
      <c r="A122" s="137">
        <f>IFERROR(__xludf.DUMMYFUNCTION("""COMPUTED_VALUE"""),45352.390230289355)</f>
        <v>45352.39023</v>
      </c>
      <c r="B122" s="138" t="str">
        <f>IFERROR(__xludf.DUMMYFUNCTION("""COMPUTED_VALUE"""),"Stanley Maloy")</f>
        <v>Stanley Maloy</v>
      </c>
      <c r="C122" s="138">
        <f>IFERROR(__xludf.DUMMYFUNCTION("""COMPUTED_VALUE"""),1041.0)</f>
        <v>1041</v>
      </c>
      <c r="D122" s="139">
        <f>IFERROR(__xludf.DUMMYFUNCTION("""COMPUTED_VALUE"""),123.0)</f>
        <v>123</v>
      </c>
      <c r="E122" s="138">
        <f>IFERROR(__xludf.DUMMYFUNCTION("""COMPUTED_VALUE"""),5.0)</f>
        <v>5</v>
      </c>
      <c r="F122" s="138">
        <f>IFERROR(__xludf.DUMMYFUNCTION("""COMPUTED_VALUE"""),5.0)</f>
        <v>5</v>
      </c>
      <c r="G122" s="138">
        <f>IFERROR(__xludf.DUMMYFUNCTION("""COMPUTED_VALUE"""),5.0)</f>
        <v>5</v>
      </c>
      <c r="H122" s="138">
        <f>IFERROR(__xludf.DUMMYFUNCTION("""COMPUTED_VALUE"""),5.0)</f>
        <v>5</v>
      </c>
      <c r="I122" s="138">
        <f>IFERROR(__xludf.DUMMYFUNCTION("""COMPUTED_VALUE"""),5.0)</f>
        <v>5</v>
      </c>
      <c r="J122" s="138">
        <f>IFERROR(__xludf.DUMMYFUNCTION("""COMPUTED_VALUE"""),5.0)</f>
        <v>5</v>
      </c>
      <c r="K122" s="138">
        <f>IFERROR(__xludf.DUMMYFUNCTION("""COMPUTED_VALUE"""),5.0)</f>
        <v>5</v>
      </c>
      <c r="L122" s="138">
        <v>35.0</v>
      </c>
      <c r="M122" s="140" t="str">
        <f>VLOOKUP(text(D122, "#"),'Master Table'!$A:$F, 6, FALSE)</f>
        <v>A-5</v>
      </c>
      <c r="N122" s="141" t="str">
        <f>IFERROR(__xludf.DUMMYFUNCTION("""COMPUTED_VALUE"""),"Excellent presentation and response to questions!!!")</f>
        <v>Excellent presentation and response to questions!!!</v>
      </c>
      <c r="O122" s="142" t="str">
        <f t="shared" si="1"/>
        <v/>
      </c>
      <c r="P122" s="143" t="str">
        <f>IF(ISNA(VLOOKUP(CONCAT(M122,C122), 'Judge Count DO NOT EDIT'!H:H, 1, FALSE)), "ERROR","")</f>
        <v/>
      </c>
      <c r="Q122" s="141"/>
      <c r="R122" s="143"/>
      <c r="S122" s="139" t="str">
        <f t="shared" si="2"/>
        <v>1041123</v>
      </c>
      <c r="T122" s="141"/>
    </row>
    <row r="123">
      <c r="A123" s="137">
        <f>IFERROR(__xludf.DUMMYFUNCTION("""COMPUTED_VALUE"""),45352.400281215276)</f>
        <v>45352.40028</v>
      </c>
      <c r="B123" s="138" t="str">
        <f>IFERROR(__xludf.DUMMYFUNCTION("""COMPUTED_VALUE"""),"Cripps")</f>
        <v>Cripps</v>
      </c>
      <c r="C123" s="138">
        <f>IFERROR(__xludf.DUMMYFUNCTION("""COMPUTED_VALUE"""),1069.0)</f>
        <v>1069</v>
      </c>
      <c r="D123" s="139">
        <f>IFERROR(__xludf.DUMMYFUNCTION("""COMPUTED_VALUE"""),124.0)</f>
        <v>124</v>
      </c>
      <c r="E123" s="138">
        <f>IFERROR(__xludf.DUMMYFUNCTION("""COMPUTED_VALUE"""),3.0)</f>
        <v>3</v>
      </c>
      <c r="F123" s="138">
        <f>IFERROR(__xludf.DUMMYFUNCTION("""COMPUTED_VALUE"""),4.0)</f>
        <v>4</v>
      </c>
      <c r="G123" s="138">
        <f>IFERROR(__xludf.DUMMYFUNCTION("""COMPUTED_VALUE"""),4.0)</f>
        <v>4</v>
      </c>
      <c r="H123" s="138">
        <f>IFERROR(__xludf.DUMMYFUNCTION("""COMPUTED_VALUE"""),4.0)</f>
        <v>4</v>
      </c>
      <c r="I123" s="138">
        <f>IFERROR(__xludf.DUMMYFUNCTION("""COMPUTED_VALUE"""),3.0)</f>
        <v>3</v>
      </c>
      <c r="J123" s="138">
        <f>IFERROR(__xludf.DUMMYFUNCTION("""COMPUTED_VALUE"""),3.0)</f>
        <v>3</v>
      </c>
      <c r="K123" s="138">
        <f>IFERROR(__xludf.DUMMYFUNCTION("""COMPUTED_VALUE"""),3.0)</f>
        <v>3</v>
      </c>
      <c r="L123" s="138">
        <v>24.0</v>
      </c>
      <c r="M123" s="140" t="str">
        <f>VLOOKUP(text(D123, "#"),'Master Table'!$A:$F, 6, FALSE)</f>
        <v>A-5</v>
      </c>
      <c r="N123" s="141"/>
      <c r="O123" s="142" t="str">
        <f t="shared" si="1"/>
        <v/>
      </c>
      <c r="P123" s="143" t="str">
        <f>IF(ISNA(VLOOKUP(CONCAT(M123,C123), 'Judge Count DO NOT EDIT'!H:H, 1, FALSE)), "ERROR","")</f>
        <v/>
      </c>
      <c r="Q123" s="141"/>
      <c r="R123" s="143"/>
      <c r="S123" s="139" t="str">
        <f t="shared" si="2"/>
        <v>1069124</v>
      </c>
      <c r="T123" s="141"/>
    </row>
    <row r="124">
      <c r="A124" s="137">
        <f>IFERROR(__xludf.DUMMYFUNCTION("""COMPUTED_VALUE"""),45352.40366008102)</f>
        <v>45352.40366</v>
      </c>
      <c r="B124" s="138" t="str">
        <f>IFERROR(__xludf.DUMMYFUNCTION("""COMPUTED_VALUE"""),"Stanley Maloy")</f>
        <v>Stanley Maloy</v>
      </c>
      <c r="C124" s="138">
        <f>IFERROR(__xludf.DUMMYFUNCTION("""COMPUTED_VALUE"""),1041.0)</f>
        <v>1041</v>
      </c>
      <c r="D124" s="139">
        <f>IFERROR(__xludf.DUMMYFUNCTION("""COMPUTED_VALUE"""),124.0)</f>
        <v>124</v>
      </c>
      <c r="E124" s="138">
        <f>IFERROR(__xludf.DUMMYFUNCTION("""COMPUTED_VALUE"""),4.0)</f>
        <v>4</v>
      </c>
      <c r="F124" s="138">
        <f>IFERROR(__xludf.DUMMYFUNCTION("""COMPUTED_VALUE"""),4.0)</f>
        <v>4</v>
      </c>
      <c r="G124" s="138">
        <f>IFERROR(__xludf.DUMMYFUNCTION("""COMPUTED_VALUE"""),4.0)</f>
        <v>4</v>
      </c>
      <c r="H124" s="138">
        <f>IFERROR(__xludf.DUMMYFUNCTION("""COMPUTED_VALUE"""),4.0)</f>
        <v>4</v>
      </c>
      <c r="I124" s="138">
        <f>IFERROR(__xludf.DUMMYFUNCTION("""COMPUTED_VALUE"""),4.0)</f>
        <v>4</v>
      </c>
      <c r="J124" s="138">
        <f>IFERROR(__xludf.DUMMYFUNCTION("""COMPUTED_VALUE"""),4.0)</f>
        <v>4</v>
      </c>
      <c r="K124" s="138">
        <f>IFERROR(__xludf.DUMMYFUNCTION("""COMPUTED_VALUE"""),4.0)</f>
        <v>4</v>
      </c>
      <c r="L124" s="138">
        <v>28.0</v>
      </c>
      <c r="M124" s="140" t="str">
        <f>VLOOKUP(text(D124, "#"),'Master Table'!$A:$F, 6, FALSE)</f>
        <v>A-5</v>
      </c>
      <c r="N124" s="141" t="str">
        <f>IFERROR(__xludf.DUMMYFUNCTION("""COMPUTED_VALUE"""),"Nice presentation! When working with complex pathways that overlap it would be helpful to remind the audience of role of targeted steps. ")</f>
        <v>Nice presentation! When working with complex pathways that overlap it would be helpful to remind the audience of role of targeted steps. </v>
      </c>
      <c r="O124" s="142" t="str">
        <f t="shared" si="1"/>
        <v/>
      </c>
      <c r="P124" s="143" t="str">
        <f>IF(ISNA(VLOOKUP(CONCAT(M124,C124), 'Judge Count DO NOT EDIT'!H:H, 1, FALSE)), "ERROR","")</f>
        <v/>
      </c>
      <c r="Q124" s="144"/>
      <c r="R124" s="143"/>
      <c r="S124" s="139" t="str">
        <f t="shared" si="2"/>
        <v>1041124</v>
      </c>
      <c r="T124" s="141"/>
    </row>
    <row r="125">
      <c r="A125" s="137">
        <f>IFERROR(__xludf.DUMMYFUNCTION("""COMPUTED_VALUE"""),45352.4143184375)</f>
        <v>45352.41432</v>
      </c>
      <c r="B125" s="138" t="str">
        <f>IFERROR(__xludf.DUMMYFUNCTION("""COMPUTED_VALUE"""),"Cripps")</f>
        <v>Cripps</v>
      </c>
      <c r="C125" s="138">
        <f>IFERROR(__xludf.DUMMYFUNCTION("""COMPUTED_VALUE"""),1069.0)</f>
        <v>1069</v>
      </c>
      <c r="D125" s="139">
        <f>IFERROR(__xludf.DUMMYFUNCTION("""COMPUTED_VALUE"""),125.0)</f>
        <v>125</v>
      </c>
      <c r="E125" s="138">
        <f>IFERROR(__xludf.DUMMYFUNCTION("""COMPUTED_VALUE"""),5.0)</f>
        <v>5</v>
      </c>
      <c r="F125" s="138">
        <f>IFERROR(__xludf.DUMMYFUNCTION("""COMPUTED_VALUE"""),3.0)</f>
        <v>3</v>
      </c>
      <c r="G125" s="138">
        <f>IFERROR(__xludf.DUMMYFUNCTION("""COMPUTED_VALUE"""),4.0)</f>
        <v>4</v>
      </c>
      <c r="H125" s="138">
        <f>IFERROR(__xludf.DUMMYFUNCTION("""COMPUTED_VALUE"""),3.0)</f>
        <v>3</v>
      </c>
      <c r="I125" s="138">
        <f>IFERROR(__xludf.DUMMYFUNCTION("""COMPUTED_VALUE"""),4.0)</f>
        <v>4</v>
      </c>
      <c r="J125" s="138">
        <f>IFERROR(__xludf.DUMMYFUNCTION("""COMPUTED_VALUE"""),4.0)</f>
        <v>4</v>
      </c>
      <c r="K125" s="138">
        <f>IFERROR(__xludf.DUMMYFUNCTION("""COMPUTED_VALUE"""),4.0)</f>
        <v>4</v>
      </c>
      <c r="L125" s="138">
        <v>27.0</v>
      </c>
      <c r="M125" s="140" t="str">
        <f>VLOOKUP(text(D125, "#"),'Master Table'!$A:$F, 6, FALSE)</f>
        <v>A-5</v>
      </c>
      <c r="N125" s="141"/>
      <c r="O125" s="142" t="str">
        <f t="shared" si="1"/>
        <v/>
      </c>
      <c r="P125" s="143" t="str">
        <f>IF(ISNA(VLOOKUP(CONCAT(M125,C125), 'Judge Count DO NOT EDIT'!H:H, 1, FALSE)), "ERROR","")</f>
        <v/>
      </c>
      <c r="Q125" s="141"/>
      <c r="R125" s="143"/>
      <c r="S125" s="139" t="str">
        <f t="shared" si="2"/>
        <v>1069125</v>
      </c>
      <c r="T125" s="141"/>
    </row>
    <row r="126">
      <c r="A126" s="137">
        <f>IFERROR(__xludf.DUMMYFUNCTION("""COMPUTED_VALUE"""),45352.41809846065)</f>
        <v>45352.4181</v>
      </c>
      <c r="B126" s="138" t="str">
        <f>IFERROR(__xludf.DUMMYFUNCTION("""COMPUTED_VALUE"""),"Elana Elkin")</f>
        <v>Elana Elkin</v>
      </c>
      <c r="C126" s="138">
        <f>IFERROR(__xludf.DUMMYFUNCTION("""COMPUTED_VALUE"""),1124.0)</f>
        <v>1124</v>
      </c>
      <c r="D126" s="139">
        <f>IFERROR(__xludf.DUMMYFUNCTION("""COMPUTED_VALUE"""),125.0)</f>
        <v>125</v>
      </c>
      <c r="E126" s="138">
        <f>IFERROR(__xludf.DUMMYFUNCTION("""COMPUTED_VALUE"""),4.0)</f>
        <v>4</v>
      </c>
      <c r="F126" s="138">
        <f>IFERROR(__xludf.DUMMYFUNCTION("""COMPUTED_VALUE"""),4.0)</f>
        <v>4</v>
      </c>
      <c r="G126" s="138">
        <f>IFERROR(__xludf.DUMMYFUNCTION("""COMPUTED_VALUE"""),3.0)</f>
        <v>3</v>
      </c>
      <c r="H126" s="138">
        <f>IFERROR(__xludf.DUMMYFUNCTION("""COMPUTED_VALUE"""),3.0)</f>
        <v>3</v>
      </c>
      <c r="I126" s="138">
        <f>IFERROR(__xludf.DUMMYFUNCTION("""COMPUTED_VALUE"""),4.0)</f>
        <v>4</v>
      </c>
      <c r="J126" s="138">
        <f>IFERROR(__xludf.DUMMYFUNCTION("""COMPUTED_VALUE"""),3.0)</f>
        <v>3</v>
      </c>
      <c r="K126" s="138">
        <f>IFERROR(__xludf.DUMMYFUNCTION("""COMPUTED_VALUE"""),4.0)</f>
        <v>4</v>
      </c>
      <c r="L126" s="138">
        <v>25.0</v>
      </c>
      <c r="M126" s="140" t="str">
        <f>VLOOKUP(text(D126, "#"),'Master Table'!$A:$F, 6, FALSE)</f>
        <v>A-5</v>
      </c>
      <c r="N126" s="141"/>
      <c r="O126" s="142" t="str">
        <f t="shared" si="1"/>
        <v/>
      </c>
      <c r="P126" s="143" t="str">
        <f>IF(ISNA(VLOOKUP(CONCAT(M126,C126), 'Judge Count DO NOT EDIT'!H:H, 1, FALSE)), "ERROR","")</f>
        <v/>
      </c>
      <c r="Q126" s="141"/>
      <c r="R126" s="143"/>
      <c r="S126" s="139" t="str">
        <f t="shared" si="2"/>
        <v>1124125</v>
      </c>
      <c r="T126" s="141"/>
    </row>
    <row r="127">
      <c r="A127" s="137">
        <f>IFERROR(__xludf.DUMMYFUNCTION("""COMPUTED_VALUE"""),45352.41946784723)</f>
        <v>45352.41947</v>
      </c>
      <c r="B127" s="138" t="str">
        <f>IFERROR(__xludf.DUMMYFUNCTION("""COMPUTED_VALUE"""),"Stanley Maloy")</f>
        <v>Stanley Maloy</v>
      </c>
      <c r="C127" s="138">
        <f>IFERROR(__xludf.DUMMYFUNCTION("""COMPUTED_VALUE"""),1041.0)</f>
        <v>1041</v>
      </c>
      <c r="D127" s="139">
        <f>IFERROR(__xludf.DUMMYFUNCTION("""COMPUTED_VALUE"""),125.0)</f>
        <v>125</v>
      </c>
      <c r="E127" s="138">
        <f>IFERROR(__xludf.DUMMYFUNCTION("""COMPUTED_VALUE"""),4.0)</f>
        <v>4</v>
      </c>
      <c r="F127" s="138">
        <f>IFERROR(__xludf.DUMMYFUNCTION("""COMPUTED_VALUE"""),4.0)</f>
        <v>4</v>
      </c>
      <c r="G127" s="138">
        <f>IFERROR(__xludf.DUMMYFUNCTION("""COMPUTED_VALUE"""),4.0)</f>
        <v>4</v>
      </c>
      <c r="H127" s="138">
        <f>IFERROR(__xludf.DUMMYFUNCTION("""COMPUTED_VALUE"""),3.0)</f>
        <v>3</v>
      </c>
      <c r="I127" s="138">
        <f>IFERROR(__xludf.DUMMYFUNCTION("""COMPUTED_VALUE"""),4.0)</f>
        <v>4</v>
      </c>
      <c r="J127" s="138">
        <f>IFERROR(__xludf.DUMMYFUNCTION("""COMPUTED_VALUE"""),3.0)</f>
        <v>3</v>
      </c>
      <c r="K127" s="138">
        <f>IFERROR(__xludf.DUMMYFUNCTION("""COMPUTED_VALUE"""),5.0)</f>
        <v>5</v>
      </c>
      <c r="L127" s="138">
        <v>27.0</v>
      </c>
      <c r="M127" s="140" t="str">
        <f>VLOOKUP(text(D127, "#"),'Master Table'!$A:$F, 6, FALSE)</f>
        <v>A-5</v>
      </c>
      <c r="N127" s="141" t="str">
        <f>IFERROR(__xludf.DUMMYFUNCTION("""COMPUTED_VALUE"""),"Very nice interaction with audience during Q&amp;A. Would be good to slow down a bit when discussing figures. ")</f>
        <v>Very nice interaction with audience during Q&amp;A. Would be good to slow down a bit when discussing figures. </v>
      </c>
      <c r="O127" s="142" t="str">
        <f t="shared" si="1"/>
        <v/>
      </c>
      <c r="P127" s="143" t="str">
        <f>IF(ISNA(VLOOKUP(CONCAT(M127,C127), 'Judge Count DO NOT EDIT'!H:H, 1, FALSE)), "ERROR","")</f>
        <v/>
      </c>
      <c r="Q127" s="141"/>
      <c r="R127" s="143"/>
      <c r="S127" s="139" t="str">
        <f t="shared" si="2"/>
        <v>1041125</v>
      </c>
      <c r="T127" s="141"/>
    </row>
    <row r="128">
      <c r="A128" s="137">
        <f>IFERROR(__xludf.DUMMYFUNCTION("""COMPUTED_VALUE"""),45352.43038414352)</f>
        <v>45352.43038</v>
      </c>
      <c r="B128" s="138" t="str">
        <f>IFERROR(__xludf.DUMMYFUNCTION("""COMPUTED_VALUE"""),"Elana Elkin")</f>
        <v>Elana Elkin</v>
      </c>
      <c r="C128" s="138">
        <f>IFERROR(__xludf.DUMMYFUNCTION("""COMPUTED_VALUE"""),1124.0)</f>
        <v>1124</v>
      </c>
      <c r="D128" s="139">
        <f>IFERROR(__xludf.DUMMYFUNCTION("""COMPUTED_VALUE"""),126.0)</f>
        <v>126</v>
      </c>
      <c r="E128" s="138">
        <f>IFERROR(__xludf.DUMMYFUNCTION("""COMPUTED_VALUE"""),5.0)</f>
        <v>5</v>
      </c>
      <c r="F128" s="138">
        <f>IFERROR(__xludf.DUMMYFUNCTION("""COMPUTED_VALUE"""),4.0)</f>
        <v>4</v>
      </c>
      <c r="G128" s="138">
        <f>IFERROR(__xludf.DUMMYFUNCTION("""COMPUTED_VALUE"""),3.0)</f>
        <v>3</v>
      </c>
      <c r="H128" s="138">
        <f>IFERROR(__xludf.DUMMYFUNCTION("""COMPUTED_VALUE"""),4.0)</f>
        <v>4</v>
      </c>
      <c r="I128" s="138">
        <f>IFERROR(__xludf.DUMMYFUNCTION("""COMPUTED_VALUE"""),5.0)</f>
        <v>5</v>
      </c>
      <c r="J128" s="138">
        <f>IFERROR(__xludf.DUMMYFUNCTION("""COMPUTED_VALUE"""),5.0)</f>
        <v>5</v>
      </c>
      <c r="K128" s="138">
        <f>IFERROR(__xludf.DUMMYFUNCTION("""COMPUTED_VALUE"""),5.0)</f>
        <v>5</v>
      </c>
      <c r="L128" s="138">
        <v>31.0</v>
      </c>
      <c r="M128" s="140" t="str">
        <f>VLOOKUP(text(D128, "#"),'Master Table'!$A:$F, 6, FALSE)</f>
        <v>A-5</v>
      </c>
      <c r="N128" s="141"/>
      <c r="O128" s="142" t="str">
        <f t="shared" si="1"/>
        <v/>
      </c>
      <c r="P128" s="143" t="str">
        <f>IF(ISNA(VLOOKUP(CONCAT(M128,C128), 'Judge Count DO NOT EDIT'!H:H, 1, FALSE)), "ERROR","")</f>
        <v/>
      </c>
      <c r="Q128" s="141"/>
      <c r="R128" s="143"/>
      <c r="S128" s="139" t="str">
        <f t="shared" si="2"/>
        <v>1124126</v>
      </c>
      <c r="T128" s="141"/>
    </row>
    <row r="129">
      <c r="A129" s="137">
        <f>IFERROR(__xludf.DUMMYFUNCTION("""COMPUTED_VALUE"""),45352.43058684027)</f>
        <v>45352.43059</v>
      </c>
      <c r="B129" s="138" t="str">
        <f>IFERROR(__xludf.DUMMYFUNCTION("""COMPUTED_VALUE"""),"Cripps")</f>
        <v>Cripps</v>
      </c>
      <c r="C129" s="138">
        <f>IFERROR(__xludf.DUMMYFUNCTION("""COMPUTED_VALUE"""),1069.0)</f>
        <v>1069</v>
      </c>
      <c r="D129" s="139">
        <f>IFERROR(__xludf.DUMMYFUNCTION("""COMPUTED_VALUE"""),126.0)</f>
        <v>126</v>
      </c>
      <c r="E129" s="138">
        <f>IFERROR(__xludf.DUMMYFUNCTION("""COMPUTED_VALUE"""),4.0)</f>
        <v>4</v>
      </c>
      <c r="F129" s="138">
        <f>IFERROR(__xludf.DUMMYFUNCTION("""COMPUTED_VALUE"""),3.0)</f>
        <v>3</v>
      </c>
      <c r="G129" s="138">
        <f>IFERROR(__xludf.DUMMYFUNCTION("""COMPUTED_VALUE"""),3.0)</f>
        <v>3</v>
      </c>
      <c r="H129" s="138">
        <f>IFERROR(__xludf.DUMMYFUNCTION("""COMPUTED_VALUE"""),3.0)</f>
        <v>3</v>
      </c>
      <c r="I129" s="138">
        <f>IFERROR(__xludf.DUMMYFUNCTION("""COMPUTED_VALUE"""),4.0)</f>
        <v>4</v>
      </c>
      <c r="J129" s="138">
        <f>IFERROR(__xludf.DUMMYFUNCTION("""COMPUTED_VALUE"""),3.0)</f>
        <v>3</v>
      </c>
      <c r="K129" s="138">
        <f>IFERROR(__xludf.DUMMYFUNCTION("""COMPUTED_VALUE"""),4.0)</f>
        <v>4</v>
      </c>
      <c r="L129" s="138">
        <v>24.0</v>
      </c>
      <c r="M129" s="140" t="str">
        <f>VLOOKUP(text(D129, "#"),'Master Table'!$A:$F, 6, FALSE)</f>
        <v>A-5</v>
      </c>
      <c r="N129" s="141"/>
      <c r="O129" s="142" t="str">
        <f t="shared" si="1"/>
        <v/>
      </c>
      <c r="P129" s="143" t="str">
        <f>IF(ISNA(VLOOKUP(CONCAT(M129,C129), 'Judge Count DO NOT EDIT'!H:H, 1, FALSE)), "ERROR","")</f>
        <v/>
      </c>
      <c r="Q129" s="141"/>
      <c r="R129" s="143"/>
      <c r="S129" s="139" t="str">
        <f t="shared" si="2"/>
        <v>1069126</v>
      </c>
      <c r="T129" s="141"/>
    </row>
    <row r="130">
      <c r="A130" s="137">
        <f>IFERROR(__xludf.DUMMYFUNCTION("""COMPUTED_VALUE"""),45352.43354668982)</f>
        <v>45352.43355</v>
      </c>
      <c r="B130" s="138" t="str">
        <f>IFERROR(__xludf.DUMMYFUNCTION("""COMPUTED_VALUE"""),"Stanley Maloy")</f>
        <v>Stanley Maloy</v>
      </c>
      <c r="C130" s="138">
        <f>IFERROR(__xludf.DUMMYFUNCTION("""COMPUTED_VALUE"""),1041.0)</f>
        <v>1041</v>
      </c>
      <c r="D130" s="139">
        <f>IFERROR(__xludf.DUMMYFUNCTION("""COMPUTED_VALUE"""),126.0)</f>
        <v>126</v>
      </c>
      <c r="E130" s="138">
        <f>IFERROR(__xludf.DUMMYFUNCTION("""COMPUTED_VALUE"""),4.0)</f>
        <v>4</v>
      </c>
      <c r="F130" s="138">
        <f>IFERROR(__xludf.DUMMYFUNCTION("""COMPUTED_VALUE"""),4.0)</f>
        <v>4</v>
      </c>
      <c r="G130" s="138">
        <f>IFERROR(__xludf.DUMMYFUNCTION("""COMPUTED_VALUE"""),3.0)</f>
        <v>3</v>
      </c>
      <c r="H130" s="138">
        <f>IFERROR(__xludf.DUMMYFUNCTION("""COMPUTED_VALUE"""),4.0)</f>
        <v>4</v>
      </c>
      <c r="I130" s="138">
        <f>IFERROR(__xludf.DUMMYFUNCTION("""COMPUTED_VALUE"""),4.0)</f>
        <v>4</v>
      </c>
      <c r="J130" s="138">
        <f>IFERROR(__xludf.DUMMYFUNCTION("""COMPUTED_VALUE"""),3.0)</f>
        <v>3</v>
      </c>
      <c r="K130" s="138">
        <f>IFERROR(__xludf.DUMMYFUNCTION("""COMPUTED_VALUE"""),4.0)</f>
        <v>4</v>
      </c>
      <c r="L130" s="138">
        <v>26.0</v>
      </c>
      <c r="M130" s="140" t="str">
        <f>VLOOKUP(text(D130, "#"),'Master Table'!$A:$F, 6, FALSE)</f>
        <v>A-5</v>
      </c>
      <c r="N130" s="141" t="str">
        <f>IFERROR(__xludf.DUMMYFUNCTION("""COMPUTED_VALUE"""),"Nice enthusiasm and audience engagement. Would love to see how correlation coefficients relate to sps survival. ")</f>
        <v>Nice enthusiasm and audience engagement. Would love to see how correlation coefficients relate to sps survival. </v>
      </c>
      <c r="O130" s="142" t="str">
        <f t="shared" si="1"/>
        <v/>
      </c>
      <c r="P130" s="143" t="str">
        <f>IF(ISNA(VLOOKUP(CONCAT(M130,C130), 'Judge Count DO NOT EDIT'!H:H, 1, FALSE)), "ERROR","")</f>
        <v/>
      </c>
      <c r="Q130" s="141"/>
      <c r="R130" s="143"/>
      <c r="S130" s="139" t="str">
        <f t="shared" si="2"/>
        <v>1041126</v>
      </c>
      <c r="T130" s="141"/>
    </row>
    <row r="131">
      <c r="A131" s="137">
        <f>IFERROR(__xludf.DUMMYFUNCTION("""COMPUTED_VALUE"""),45352.44192747685)</f>
        <v>45352.44193</v>
      </c>
      <c r="B131" s="138" t="str">
        <f>IFERROR(__xludf.DUMMYFUNCTION("""COMPUTED_VALUE"""),"Cripps")</f>
        <v>Cripps</v>
      </c>
      <c r="C131" s="138">
        <f>IFERROR(__xludf.DUMMYFUNCTION("""COMPUTED_VALUE"""),1069.0)</f>
        <v>1069</v>
      </c>
      <c r="D131" s="139">
        <f>IFERROR(__xludf.DUMMYFUNCTION("""COMPUTED_VALUE"""),127.0)</f>
        <v>127</v>
      </c>
      <c r="E131" s="138">
        <f>IFERROR(__xludf.DUMMYFUNCTION("""COMPUTED_VALUE"""),3.0)</f>
        <v>3</v>
      </c>
      <c r="F131" s="138">
        <f>IFERROR(__xludf.DUMMYFUNCTION("""COMPUTED_VALUE"""),4.0)</f>
        <v>4</v>
      </c>
      <c r="G131" s="138">
        <f>IFERROR(__xludf.DUMMYFUNCTION("""COMPUTED_VALUE"""),4.0)</f>
        <v>4</v>
      </c>
      <c r="H131" s="138">
        <f>IFERROR(__xludf.DUMMYFUNCTION("""COMPUTED_VALUE"""),3.0)</f>
        <v>3</v>
      </c>
      <c r="I131" s="138">
        <f>IFERROR(__xludf.DUMMYFUNCTION("""COMPUTED_VALUE"""),2.0)</f>
        <v>2</v>
      </c>
      <c r="J131" s="138">
        <f>IFERROR(__xludf.DUMMYFUNCTION("""COMPUTED_VALUE"""),3.0)</f>
        <v>3</v>
      </c>
      <c r="K131" s="138">
        <f>IFERROR(__xludf.DUMMYFUNCTION("""COMPUTED_VALUE"""),4.0)</f>
        <v>4</v>
      </c>
      <c r="L131" s="138">
        <v>23.0</v>
      </c>
      <c r="M131" s="140" t="str">
        <f>VLOOKUP(text(D131, "#"),'Master Table'!$A:$F, 6, FALSE)</f>
        <v>A-5</v>
      </c>
      <c r="N131" s="141"/>
      <c r="O131" s="142" t="str">
        <f t="shared" si="1"/>
        <v/>
      </c>
      <c r="P131" s="143" t="str">
        <f>IF(ISNA(VLOOKUP(CONCAT(M131,C131), 'Judge Count DO NOT EDIT'!H:H, 1, FALSE)), "ERROR","")</f>
        <v/>
      </c>
      <c r="Q131" s="141"/>
      <c r="R131" s="143"/>
      <c r="S131" s="139" t="str">
        <f t="shared" si="2"/>
        <v>1069127</v>
      </c>
      <c r="T131" s="141"/>
    </row>
    <row r="132">
      <c r="A132" s="137">
        <f>IFERROR(__xludf.DUMMYFUNCTION("""COMPUTED_VALUE"""),45352.44206234954)</f>
        <v>45352.44206</v>
      </c>
      <c r="B132" s="138" t="str">
        <f>IFERROR(__xludf.DUMMYFUNCTION("""COMPUTED_VALUE"""),"Elana Elkin")</f>
        <v>Elana Elkin</v>
      </c>
      <c r="C132" s="138">
        <f>IFERROR(__xludf.DUMMYFUNCTION("""COMPUTED_VALUE"""),1124.0)</f>
        <v>1124</v>
      </c>
      <c r="D132" s="139">
        <f>IFERROR(__xludf.DUMMYFUNCTION("""COMPUTED_VALUE"""),127.0)</f>
        <v>127</v>
      </c>
      <c r="E132" s="138">
        <f>IFERROR(__xludf.DUMMYFUNCTION("""COMPUTED_VALUE"""),4.0)</f>
        <v>4</v>
      </c>
      <c r="F132" s="138">
        <f>IFERROR(__xludf.DUMMYFUNCTION("""COMPUTED_VALUE"""),4.0)</f>
        <v>4</v>
      </c>
      <c r="G132" s="138">
        <f>IFERROR(__xludf.DUMMYFUNCTION("""COMPUTED_VALUE"""),4.0)</f>
        <v>4</v>
      </c>
      <c r="H132" s="138">
        <f>IFERROR(__xludf.DUMMYFUNCTION("""COMPUTED_VALUE"""),3.0)</f>
        <v>3</v>
      </c>
      <c r="I132" s="138">
        <f>IFERROR(__xludf.DUMMYFUNCTION("""COMPUTED_VALUE"""),3.0)</f>
        <v>3</v>
      </c>
      <c r="J132" s="138">
        <f>IFERROR(__xludf.DUMMYFUNCTION("""COMPUTED_VALUE"""),3.0)</f>
        <v>3</v>
      </c>
      <c r="K132" s="138">
        <f>IFERROR(__xludf.DUMMYFUNCTION("""COMPUTED_VALUE"""),4.0)</f>
        <v>4</v>
      </c>
      <c r="L132" s="138">
        <v>25.0</v>
      </c>
      <c r="M132" s="140" t="str">
        <f>VLOOKUP(text(D132, "#"),'Master Table'!$A:$F, 6, FALSE)</f>
        <v>A-5</v>
      </c>
      <c r="N132" s="141"/>
      <c r="O132" s="142" t="str">
        <f t="shared" si="1"/>
        <v/>
      </c>
      <c r="P132" s="143" t="str">
        <f>IF(ISNA(VLOOKUP(CONCAT(M132,C132), 'Judge Count DO NOT EDIT'!H:H, 1, FALSE)), "ERROR","")</f>
        <v/>
      </c>
      <c r="Q132" s="141"/>
      <c r="R132" s="143"/>
      <c r="S132" s="139" t="str">
        <f t="shared" si="2"/>
        <v>1124127</v>
      </c>
      <c r="T132" s="141"/>
    </row>
    <row r="133">
      <c r="A133" s="137">
        <f>IFERROR(__xludf.DUMMYFUNCTION("""COMPUTED_VALUE"""),45352.44595094907)</f>
        <v>45352.44595</v>
      </c>
      <c r="B133" s="138" t="str">
        <f>IFERROR(__xludf.DUMMYFUNCTION("""COMPUTED_VALUE"""),"Stanley Maloy")</f>
        <v>Stanley Maloy</v>
      </c>
      <c r="C133" s="138">
        <f>IFERROR(__xludf.DUMMYFUNCTION("""COMPUTED_VALUE"""),1041.0)</f>
        <v>1041</v>
      </c>
      <c r="D133" s="139">
        <f>IFERROR(__xludf.DUMMYFUNCTION("""COMPUTED_VALUE"""),127.0)</f>
        <v>127</v>
      </c>
      <c r="E133" s="138">
        <f>IFERROR(__xludf.DUMMYFUNCTION("""COMPUTED_VALUE"""),4.0)</f>
        <v>4</v>
      </c>
      <c r="F133" s="138">
        <f>IFERROR(__xludf.DUMMYFUNCTION("""COMPUTED_VALUE"""),4.0)</f>
        <v>4</v>
      </c>
      <c r="G133" s="138">
        <f>IFERROR(__xludf.DUMMYFUNCTION("""COMPUTED_VALUE"""),4.0)</f>
        <v>4</v>
      </c>
      <c r="H133" s="138">
        <f>IFERROR(__xludf.DUMMYFUNCTION("""COMPUTED_VALUE"""),3.0)</f>
        <v>3</v>
      </c>
      <c r="I133" s="138">
        <f>IFERROR(__xludf.DUMMYFUNCTION("""COMPUTED_VALUE"""),3.0)</f>
        <v>3</v>
      </c>
      <c r="J133" s="138">
        <f>IFERROR(__xludf.DUMMYFUNCTION("""COMPUTED_VALUE"""),3.0)</f>
        <v>3</v>
      </c>
      <c r="K133" s="138">
        <f>IFERROR(__xludf.DUMMYFUNCTION("""COMPUTED_VALUE"""),4.0)</f>
        <v>4</v>
      </c>
      <c r="L133" s="138">
        <v>25.0</v>
      </c>
      <c r="M133" s="140" t="str">
        <f>VLOOKUP(text(D133, "#"),'Master Table'!$A:$F, 6, FALSE)</f>
        <v>A-5</v>
      </c>
      <c r="N133" s="141" t="str">
        <f>IFERROR(__xludf.DUMMYFUNCTION("""COMPUTED_VALUE"""),"Important problem! Will be interesting to see results as they progress. Focused onsmall dips in methane in data analysis but are these data relevant?")</f>
        <v>Important problem! Will be interesting to see results as they progress. Focused onsmall dips in methane in data analysis but are these data relevant?</v>
      </c>
      <c r="O133" s="142" t="str">
        <f t="shared" si="1"/>
        <v/>
      </c>
      <c r="P133" s="143" t="str">
        <f>IF(ISNA(VLOOKUP(CONCAT(M133,C133), 'Judge Count DO NOT EDIT'!H:H, 1, FALSE)), "ERROR","")</f>
        <v/>
      </c>
      <c r="Q133" s="141"/>
      <c r="R133" s="143"/>
      <c r="S133" s="139" t="str">
        <f t="shared" si="2"/>
        <v>1041127</v>
      </c>
      <c r="T133" s="141"/>
    </row>
    <row r="134">
      <c r="A134" s="137">
        <f>IFERROR(__xludf.DUMMYFUNCTION("""COMPUTED_VALUE"""),45352.45849114584)</f>
        <v>45352.45849</v>
      </c>
      <c r="B134" s="138" t="str">
        <f>IFERROR(__xludf.DUMMYFUNCTION("""COMPUTED_VALUE"""),"Cripps")</f>
        <v>Cripps</v>
      </c>
      <c r="C134" s="138">
        <f>IFERROR(__xludf.DUMMYFUNCTION("""COMPUTED_VALUE"""),1069.0)</f>
        <v>1069</v>
      </c>
      <c r="D134" s="139">
        <f>IFERROR(__xludf.DUMMYFUNCTION("""COMPUTED_VALUE"""),128.0)</f>
        <v>128</v>
      </c>
      <c r="E134" s="138">
        <f>IFERROR(__xludf.DUMMYFUNCTION("""COMPUTED_VALUE"""),3.0)</f>
        <v>3</v>
      </c>
      <c r="F134" s="138">
        <f>IFERROR(__xludf.DUMMYFUNCTION("""COMPUTED_VALUE"""),3.0)</f>
        <v>3</v>
      </c>
      <c r="G134" s="138">
        <f>IFERROR(__xludf.DUMMYFUNCTION("""COMPUTED_VALUE"""),3.0)</f>
        <v>3</v>
      </c>
      <c r="H134" s="138">
        <f>IFERROR(__xludf.DUMMYFUNCTION("""COMPUTED_VALUE"""),3.0)</f>
        <v>3</v>
      </c>
      <c r="I134" s="138">
        <f>IFERROR(__xludf.DUMMYFUNCTION("""COMPUTED_VALUE"""),2.0)</f>
        <v>2</v>
      </c>
      <c r="J134" s="138">
        <f>IFERROR(__xludf.DUMMYFUNCTION("""COMPUTED_VALUE"""),1.0)</f>
        <v>1</v>
      </c>
      <c r="K134" s="138">
        <f>IFERROR(__xludf.DUMMYFUNCTION("""COMPUTED_VALUE"""),4.0)</f>
        <v>4</v>
      </c>
      <c r="L134" s="138">
        <v>19.0</v>
      </c>
      <c r="M134" s="140" t="str">
        <f>VLOOKUP(text(D134, "#"),'Master Table'!$A:$F, 6, FALSE)</f>
        <v>A-5</v>
      </c>
      <c r="N134" s="141"/>
      <c r="O134" s="142" t="str">
        <f t="shared" si="1"/>
        <v/>
      </c>
      <c r="P134" s="143" t="str">
        <f>IF(ISNA(VLOOKUP(CONCAT(M134,C134), 'Judge Count DO NOT EDIT'!H:H, 1, FALSE)), "ERROR","")</f>
        <v/>
      </c>
      <c r="Q134" s="141"/>
      <c r="R134" s="143"/>
      <c r="S134" s="139" t="str">
        <f t="shared" si="2"/>
        <v>1069128</v>
      </c>
      <c r="T134" s="141"/>
    </row>
    <row r="135">
      <c r="A135" s="137">
        <f>IFERROR(__xludf.DUMMYFUNCTION("""COMPUTED_VALUE"""),45352.459279664356)</f>
        <v>45352.45928</v>
      </c>
      <c r="B135" s="138" t="str">
        <f>IFERROR(__xludf.DUMMYFUNCTION("""COMPUTED_VALUE"""),"Stanley Maloy")</f>
        <v>Stanley Maloy</v>
      </c>
      <c r="C135" s="138">
        <f>IFERROR(__xludf.DUMMYFUNCTION("""COMPUTED_VALUE"""),1041.0)</f>
        <v>1041</v>
      </c>
      <c r="D135" s="139">
        <f>IFERROR(__xludf.DUMMYFUNCTION("""COMPUTED_VALUE"""),128.0)</f>
        <v>128</v>
      </c>
      <c r="E135" s="138">
        <f>IFERROR(__xludf.DUMMYFUNCTION("""COMPUTED_VALUE"""),3.0)</f>
        <v>3</v>
      </c>
      <c r="F135" s="138">
        <f>IFERROR(__xludf.DUMMYFUNCTION("""COMPUTED_VALUE"""),3.0)</f>
        <v>3</v>
      </c>
      <c r="G135" s="138">
        <f>IFERROR(__xludf.DUMMYFUNCTION("""COMPUTED_VALUE"""),3.0)</f>
        <v>3</v>
      </c>
      <c r="H135" s="138">
        <f>IFERROR(__xludf.DUMMYFUNCTION("""COMPUTED_VALUE"""),3.0)</f>
        <v>3</v>
      </c>
      <c r="I135" s="138">
        <f>IFERROR(__xludf.DUMMYFUNCTION("""COMPUTED_VALUE"""),2.0)</f>
        <v>2</v>
      </c>
      <c r="J135" s="138">
        <f>IFERROR(__xludf.DUMMYFUNCTION("""COMPUTED_VALUE"""),2.0)</f>
        <v>2</v>
      </c>
      <c r="K135" s="138">
        <f>IFERROR(__xludf.DUMMYFUNCTION("""COMPUTED_VALUE"""),2.0)</f>
        <v>2</v>
      </c>
      <c r="L135" s="138">
        <v>18.0</v>
      </c>
      <c r="M135" s="140" t="str">
        <f>VLOOKUP(text(D135, "#"),'Master Table'!$A:$F, 6, FALSE)</f>
        <v>A-5</v>
      </c>
      <c r="N135" s="141" t="str">
        <f>IFERROR(__xludf.DUMMYFUNCTION("""COMPUTED_VALUE"""),"Interesting problem. Lots of work required to address problem. ")</f>
        <v>Interesting problem. Lots of work required to address problem. </v>
      </c>
      <c r="O135" s="142" t="str">
        <f t="shared" si="1"/>
        <v/>
      </c>
      <c r="P135" s="143" t="str">
        <f>IF(ISNA(VLOOKUP(CONCAT(M135,C135), 'Judge Count DO NOT EDIT'!H:H, 1, FALSE)), "ERROR","")</f>
        <v/>
      </c>
      <c r="Q135" s="141"/>
      <c r="R135" s="143"/>
      <c r="S135" s="139" t="str">
        <f t="shared" si="2"/>
        <v>1041128</v>
      </c>
      <c r="T135" s="141"/>
    </row>
    <row r="136">
      <c r="A136" s="137">
        <f>IFERROR(__xludf.DUMMYFUNCTION("""COMPUTED_VALUE"""),45352.462552893514)</f>
        <v>45352.46255</v>
      </c>
      <c r="B136" s="138" t="str">
        <f>IFERROR(__xludf.DUMMYFUNCTION("""COMPUTED_VALUE"""),"Elana Elkin")</f>
        <v>Elana Elkin</v>
      </c>
      <c r="C136" s="138">
        <f>IFERROR(__xludf.DUMMYFUNCTION("""COMPUTED_VALUE"""),1124.0)</f>
        <v>1124</v>
      </c>
      <c r="D136" s="139">
        <f>IFERROR(__xludf.DUMMYFUNCTION("""COMPUTED_VALUE"""),128.0)</f>
        <v>128</v>
      </c>
      <c r="E136" s="138">
        <f>IFERROR(__xludf.DUMMYFUNCTION("""COMPUTED_VALUE"""),5.0)</f>
        <v>5</v>
      </c>
      <c r="F136" s="138">
        <f>IFERROR(__xludf.DUMMYFUNCTION("""COMPUTED_VALUE"""),4.0)</f>
        <v>4</v>
      </c>
      <c r="G136" s="138">
        <f>IFERROR(__xludf.DUMMYFUNCTION("""COMPUTED_VALUE"""),4.0)</f>
        <v>4</v>
      </c>
      <c r="H136" s="138">
        <f>IFERROR(__xludf.DUMMYFUNCTION("""COMPUTED_VALUE"""),5.0)</f>
        <v>5</v>
      </c>
      <c r="I136" s="138">
        <f>IFERROR(__xludf.DUMMYFUNCTION("""COMPUTED_VALUE"""),5.0)</f>
        <v>5</v>
      </c>
      <c r="J136" s="138">
        <f>IFERROR(__xludf.DUMMYFUNCTION("""COMPUTED_VALUE"""),5.0)</f>
        <v>5</v>
      </c>
      <c r="K136" s="138">
        <f>IFERROR(__xludf.DUMMYFUNCTION("""COMPUTED_VALUE"""),5.0)</f>
        <v>5</v>
      </c>
      <c r="L136" s="138">
        <v>33.0</v>
      </c>
      <c r="M136" s="140" t="str">
        <f>VLOOKUP(text(D136, "#"),'Master Table'!$A:$F, 6, FALSE)</f>
        <v>A-5</v>
      </c>
      <c r="N136" s="141"/>
      <c r="O136" s="142" t="str">
        <f t="shared" si="1"/>
        <v/>
      </c>
      <c r="P136" s="143" t="str">
        <f>IF(ISNA(VLOOKUP(CONCAT(M136,C136), 'Judge Count DO NOT EDIT'!H:H, 1, FALSE)), "ERROR","")</f>
        <v/>
      </c>
      <c r="Q136" s="141"/>
      <c r="R136" s="143"/>
      <c r="S136" s="139" t="str">
        <f t="shared" si="2"/>
        <v>1124128</v>
      </c>
      <c r="T136" s="141"/>
    </row>
    <row r="137">
      <c r="A137" s="137">
        <f>IFERROR(__xludf.DUMMYFUNCTION("""COMPUTED_VALUE"""),45352.38735726852)</f>
        <v>45352.38736</v>
      </c>
      <c r="B137" s="138" t="str">
        <f>IFERROR(__xludf.DUMMYFUNCTION("""COMPUTED_VALUE"""),"Wenwu Xu")</f>
        <v>Wenwu Xu</v>
      </c>
      <c r="C137" s="138">
        <f>IFERROR(__xludf.DUMMYFUNCTION("""COMPUTED_VALUE"""),1025.0)</f>
        <v>1025</v>
      </c>
      <c r="D137" s="139">
        <f>IFERROR(__xludf.DUMMYFUNCTION("""COMPUTED_VALUE"""),129.0)</f>
        <v>129</v>
      </c>
      <c r="E137" s="138">
        <f>IFERROR(__xludf.DUMMYFUNCTION("""COMPUTED_VALUE"""),4.0)</f>
        <v>4</v>
      </c>
      <c r="F137" s="138">
        <f>IFERROR(__xludf.DUMMYFUNCTION("""COMPUTED_VALUE"""),4.0)</f>
        <v>4</v>
      </c>
      <c r="G137" s="138">
        <f>IFERROR(__xludf.DUMMYFUNCTION("""COMPUTED_VALUE"""),4.0)</f>
        <v>4</v>
      </c>
      <c r="H137" s="138">
        <f>IFERROR(__xludf.DUMMYFUNCTION("""COMPUTED_VALUE"""),4.0)</f>
        <v>4</v>
      </c>
      <c r="I137" s="138">
        <f>IFERROR(__xludf.DUMMYFUNCTION("""COMPUTED_VALUE"""),4.0)</f>
        <v>4</v>
      </c>
      <c r="J137" s="138">
        <f>IFERROR(__xludf.DUMMYFUNCTION("""COMPUTED_VALUE"""),4.0)</f>
        <v>4</v>
      </c>
      <c r="K137" s="138">
        <f>IFERROR(__xludf.DUMMYFUNCTION("""COMPUTED_VALUE"""),4.0)</f>
        <v>4</v>
      </c>
      <c r="L137" s="138">
        <v>28.0</v>
      </c>
      <c r="M137" s="140" t="str">
        <f>VLOOKUP(text(D137, "#"),'Master Table'!$A:$F, 6, FALSE)</f>
        <v>A-6</v>
      </c>
      <c r="N137" s="141" t="str">
        <f>IFERROR(__xludf.DUMMYFUNCTION("""COMPUTED_VALUE"""),"It would be great to not use prompt cards during presentations.")</f>
        <v>It would be great to not use prompt cards during presentations.</v>
      </c>
      <c r="O137" s="142" t="str">
        <f t="shared" si="1"/>
        <v/>
      </c>
      <c r="P137" s="143" t="str">
        <f>IF(ISNA(VLOOKUP(CONCAT(M137,C137), 'Judge Count DO NOT EDIT'!H:H, 1, FALSE)), "ERROR","")</f>
        <v/>
      </c>
      <c r="Q137" s="141"/>
      <c r="R137" s="143"/>
      <c r="S137" s="139" t="str">
        <f t="shared" si="2"/>
        <v>1025129</v>
      </c>
      <c r="T137" s="141"/>
    </row>
    <row r="138">
      <c r="A138" s="137">
        <f>IFERROR(__xludf.DUMMYFUNCTION("""COMPUTED_VALUE"""),45352.39216909722)</f>
        <v>45352.39217</v>
      </c>
      <c r="B138" s="138" t="str">
        <f>IFERROR(__xludf.DUMMYFUNCTION("""COMPUTED_VALUE"""),"Hanyang Li")</f>
        <v>Hanyang Li</v>
      </c>
      <c r="C138" s="138">
        <f>IFERROR(__xludf.DUMMYFUNCTION("""COMPUTED_VALUE"""),1088.0)</f>
        <v>1088</v>
      </c>
      <c r="D138" s="139">
        <f>IFERROR(__xludf.DUMMYFUNCTION("""COMPUTED_VALUE"""),129.0)</f>
        <v>129</v>
      </c>
      <c r="E138" s="138">
        <f>IFERROR(__xludf.DUMMYFUNCTION("""COMPUTED_VALUE"""),4.0)</f>
        <v>4</v>
      </c>
      <c r="F138" s="138">
        <f>IFERROR(__xludf.DUMMYFUNCTION("""COMPUTED_VALUE"""),5.0)</f>
        <v>5</v>
      </c>
      <c r="G138" s="138">
        <f>IFERROR(__xludf.DUMMYFUNCTION("""COMPUTED_VALUE"""),4.0)</f>
        <v>4</v>
      </c>
      <c r="H138" s="138">
        <f>IFERROR(__xludf.DUMMYFUNCTION("""COMPUTED_VALUE"""),4.0)</f>
        <v>4</v>
      </c>
      <c r="I138" s="138">
        <f>IFERROR(__xludf.DUMMYFUNCTION("""COMPUTED_VALUE"""),3.0)</f>
        <v>3</v>
      </c>
      <c r="J138" s="138">
        <f>IFERROR(__xludf.DUMMYFUNCTION("""COMPUTED_VALUE"""),3.0)</f>
        <v>3</v>
      </c>
      <c r="K138" s="138">
        <f>IFERROR(__xludf.DUMMYFUNCTION("""COMPUTED_VALUE"""),3.0)</f>
        <v>3</v>
      </c>
      <c r="L138" s="138">
        <v>26.0</v>
      </c>
      <c r="M138" s="140" t="str">
        <f>VLOOKUP(text(D138, "#"),'Master Table'!$A:$F, 6, FALSE)</f>
        <v>A-6</v>
      </c>
      <c r="N138" s="141" t="str">
        <f>IFERROR(__xludf.DUMMYFUNCTION("""COMPUTED_VALUE"""),"The presentation was given by 4students. The undergrads are not well prepared.")</f>
        <v>The presentation was given by 4students. The undergrads are not well prepared.</v>
      </c>
      <c r="O138" s="142" t="str">
        <f t="shared" si="1"/>
        <v/>
      </c>
      <c r="P138" s="143" t="str">
        <f>IF(ISNA(VLOOKUP(CONCAT(M138,C138), 'Judge Count DO NOT EDIT'!H:H, 1, FALSE)), "ERROR","")</f>
        <v/>
      </c>
      <c r="Q138" s="141"/>
      <c r="R138" s="143"/>
      <c r="S138" s="139" t="str">
        <f t="shared" si="2"/>
        <v>1088129</v>
      </c>
      <c r="T138" s="141"/>
    </row>
    <row r="139">
      <c r="A139" s="137">
        <f>IFERROR(__xludf.DUMMYFUNCTION("""COMPUTED_VALUE"""),45352.41344462963)</f>
        <v>45352.41344</v>
      </c>
      <c r="B139" s="138" t="str">
        <f>IFERROR(__xludf.DUMMYFUNCTION("""COMPUTED_VALUE"""),"Robert Welch")</f>
        <v>Robert Welch</v>
      </c>
      <c r="C139" s="138">
        <f>IFERROR(__xludf.DUMMYFUNCTION("""COMPUTED_VALUE"""),1229.0)</f>
        <v>1229</v>
      </c>
      <c r="D139" s="139">
        <f>IFERROR(__xludf.DUMMYFUNCTION("""COMPUTED_VALUE"""),129.0)</f>
        <v>129</v>
      </c>
      <c r="E139" s="138">
        <f>IFERROR(__xludf.DUMMYFUNCTION("""COMPUTED_VALUE"""),4.0)</f>
        <v>4</v>
      </c>
      <c r="F139" s="138">
        <f>IFERROR(__xludf.DUMMYFUNCTION("""COMPUTED_VALUE"""),4.0)</f>
        <v>4</v>
      </c>
      <c r="G139" s="138">
        <f>IFERROR(__xludf.DUMMYFUNCTION("""COMPUTED_VALUE"""),4.0)</f>
        <v>4</v>
      </c>
      <c r="H139" s="138">
        <f>IFERROR(__xludf.DUMMYFUNCTION("""COMPUTED_VALUE"""),4.0)</f>
        <v>4</v>
      </c>
      <c r="I139" s="138">
        <f>IFERROR(__xludf.DUMMYFUNCTION("""COMPUTED_VALUE"""),4.0)</f>
        <v>4</v>
      </c>
      <c r="J139" s="138">
        <f>IFERROR(__xludf.DUMMYFUNCTION("""COMPUTED_VALUE"""),3.0)</f>
        <v>3</v>
      </c>
      <c r="K139" s="138">
        <f>IFERROR(__xludf.DUMMYFUNCTION("""COMPUTED_VALUE"""),4.0)</f>
        <v>4</v>
      </c>
      <c r="L139" s="138">
        <v>27.0</v>
      </c>
      <c r="M139" s="140" t="str">
        <f>VLOOKUP(text(D139, "#"),'Master Table'!$A:$F, 6, FALSE)</f>
        <v>A-6</v>
      </c>
      <c r="N139" s="141" t="str">
        <f>IFERROR(__xludf.DUMMYFUNCTION("""COMPUTED_VALUE"""),"Oood approach on fundamental characterizations ")</f>
        <v>Oood approach on fundamental characterizations </v>
      </c>
      <c r="O139" s="142" t="str">
        <f t="shared" si="1"/>
        <v/>
      </c>
      <c r="P139" s="143" t="str">
        <f>IF(ISNA(VLOOKUP(CONCAT(M139,C139), 'Judge Count DO NOT EDIT'!H:H, 1, FALSE)), "ERROR","")</f>
        <v/>
      </c>
      <c r="Q139" s="141"/>
      <c r="R139" s="143"/>
      <c r="S139" s="139" t="str">
        <f t="shared" si="2"/>
        <v>1229129</v>
      </c>
      <c r="T139" s="141"/>
    </row>
    <row r="140">
      <c r="A140" s="137">
        <f>IFERROR(__xludf.DUMMYFUNCTION("""COMPUTED_VALUE"""),45352.40189584491)</f>
        <v>45352.4019</v>
      </c>
      <c r="B140" s="138" t="str">
        <f>IFERROR(__xludf.DUMMYFUNCTION("""COMPUTED_VALUE"""),"Wenwu Xu")</f>
        <v>Wenwu Xu</v>
      </c>
      <c r="C140" s="138">
        <f>IFERROR(__xludf.DUMMYFUNCTION("""COMPUTED_VALUE"""),1025.0)</f>
        <v>1025</v>
      </c>
      <c r="D140" s="139">
        <f>IFERROR(__xludf.DUMMYFUNCTION("""COMPUTED_VALUE"""),130.0)</f>
        <v>130</v>
      </c>
      <c r="E140" s="138">
        <f>IFERROR(__xludf.DUMMYFUNCTION("""COMPUTED_VALUE"""),3.0)</f>
        <v>3</v>
      </c>
      <c r="F140" s="138">
        <f>IFERROR(__xludf.DUMMYFUNCTION("""COMPUTED_VALUE"""),4.0)</f>
        <v>4</v>
      </c>
      <c r="G140" s="138">
        <f>IFERROR(__xludf.DUMMYFUNCTION("""COMPUTED_VALUE"""),5.0)</f>
        <v>5</v>
      </c>
      <c r="H140" s="138">
        <f>IFERROR(__xludf.DUMMYFUNCTION("""COMPUTED_VALUE"""),4.0)</f>
        <v>4</v>
      </c>
      <c r="I140" s="138">
        <f>IFERROR(__xludf.DUMMYFUNCTION("""COMPUTED_VALUE"""),4.0)</f>
        <v>4</v>
      </c>
      <c r="J140" s="138">
        <f>IFERROR(__xludf.DUMMYFUNCTION("""COMPUTED_VALUE"""),4.0)</f>
        <v>4</v>
      </c>
      <c r="K140" s="138">
        <f>IFERROR(__xludf.DUMMYFUNCTION("""COMPUTED_VALUE"""),4.0)</f>
        <v>4</v>
      </c>
      <c r="L140" s="138">
        <v>28.0</v>
      </c>
      <c r="M140" s="140" t="str">
        <f>VLOOKUP(text(D140, "#"),'Master Table'!$A:$F, 6, FALSE)</f>
        <v>A-6</v>
      </c>
      <c r="N140" s="141" t="str">
        <f>IFERROR(__xludf.DUMMYFUNCTION("""COMPUTED_VALUE"""),"The presentation is great, but it would be even better if less long sentences are used.")</f>
        <v>The presentation is great, but it would be even better if less long sentences are used.</v>
      </c>
      <c r="O140" s="142" t="str">
        <f t="shared" si="1"/>
        <v/>
      </c>
      <c r="P140" s="143" t="str">
        <f>IF(ISNA(VLOOKUP(CONCAT(M140,C140), 'Judge Count DO NOT EDIT'!H:H, 1, FALSE)), "ERROR","")</f>
        <v/>
      </c>
      <c r="Q140" s="141"/>
      <c r="R140" s="143"/>
      <c r="S140" s="139" t="str">
        <f t="shared" si="2"/>
        <v>1025130</v>
      </c>
      <c r="T140" s="141"/>
    </row>
    <row r="141">
      <c r="A141" s="137">
        <f>IFERROR(__xludf.DUMMYFUNCTION("""COMPUTED_VALUE"""),45352.40466729167)</f>
        <v>45352.40467</v>
      </c>
      <c r="B141" s="138" t="str">
        <f>IFERROR(__xludf.DUMMYFUNCTION("""COMPUTED_VALUE"""),"Hanyang Li")</f>
        <v>Hanyang Li</v>
      </c>
      <c r="C141" s="138">
        <f>IFERROR(__xludf.DUMMYFUNCTION("""COMPUTED_VALUE"""),1088.0)</f>
        <v>1088</v>
      </c>
      <c r="D141" s="139">
        <f>IFERROR(__xludf.DUMMYFUNCTION("""COMPUTED_VALUE"""),130.0)</f>
        <v>130</v>
      </c>
      <c r="E141" s="138">
        <f>IFERROR(__xludf.DUMMYFUNCTION("""COMPUTED_VALUE"""),5.0)</f>
        <v>5</v>
      </c>
      <c r="F141" s="138">
        <f>IFERROR(__xludf.DUMMYFUNCTION("""COMPUTED_VALUE"""),5.0)</f>
        <v>5</v>
      </c>
      <c r="G141" s="138">
        <f>IFERROR(__xludf.DUMMYFUNCTION("""COMPUTED_VALUE"""),5.0)</f>
        <v>5</v>
      </c>
      <c r="H141" s="138">
        <f>IFERROR(__xludf.DUMMYFUNCTION("""COMPUTED_VALUE"""),5.0)</f>
        <v>5</v>
      </c>
      <c r="I141" s="138">
        <f>IFERROR(__xludf.DUMMYFUNCTION("""COMPUTED_VALUE"""),5.0)</f>
        <v>5</v>
      </c>
      <c r="J141" s="138">
        <f>IFERROR(__xludf.DUMMYFUNCTION("""COMPUTED_VALUE"""),5.0)</f>
        <v>5</v>
      </c>
      <c r="K141" s="138">
        <f>IFERROR(__xludf.DUMMYFUNCTION("""COMPUTED_VALUE"""),5.0)</f>
        <v>5</v>
      </c>
      <c r="L141" s="138">
        <v>35.0</v>
      </c>
      <c r="M141" s="140" t="str">
        <f>VLOOKUP(text(D141, "#"),'Master Table'!$A:$F, 6, FALSE)</f>
        <v>A-6</v>
      </c>
      <c r="N141" s="141" t="str">
        <f>IFERROR(__xludf.DUMMYFUNCTION("""COMPUTED_VALUE"""),"Great presentation. The slides are organized well. The students answer audience's questions confidently and thoughtfully.")</f>
        <v>Great presentation. The slides are organized well. The students answer audience's questions confidently and thoughtfully.</v>
      </c>
      <c r="O141" s="142" t="str">
        <f t="shared" si="1"/>
        <v/>
      </c>
      <c r="P141" s="143" t="str">
        <f>IF(ISNA(VLOOKUP(CONCAT(M141,C141), 'Judge Count DO NOT EDIT'!H:H, 1, FALSE)), "ERROR","")</f>
        <v/>
      </c>
      <c r="Q141" s="144"/>
      <c r="R141" s="143"/>
      <c r="S141" s="139" t="str">
        <f t="shared" si="2"/>
        <v>1088130</v>
      </c>
      <c r="T141" s="144"/>
    </row>
    <row r="142">
      <c r="A142" s="137">
        <f>IFERROR(__xludf.DUMMYFUNCTION("""COMPUTED_VALUE"""),45352.41625386574)</f>
        <v>45352.41625</v>
      </c>
      <c r="B142" s="138" t="str">
        <f>IFERROR(__xludf.DUMMYFUNCTION("""COMPUTED_VALUE"""),"Hanyang Li")</f>
        <v>Hanyang Li</v>
      </c>
      <c r="C142" s="138">
        <f>IFERROR(__xludf.DUMMYFUNCTION("""COMPUTED_VALUE"""),1088.0)</f>
        <v>1088</v>
      </c>
      <c r="D142" s="139">
        <f>IFERROR(__xludf.DUMMYFUNCTION("""COMPUTED_VALUE"""),131.0)</f>
        <v>131</v>
      </c>
      <c r="E142" s="138">
        <f>IFERROR(__xludf.DUMMYFUNCTION("""COMPUTED_VALUE"""),5.0)</f>
        <v>5</v>
      </c>
      <c r="F142" s="138">
        <f>IFERROR(__xludf.DUMMYFUNCTION("""COMPUTED_VALUE"""),5.0)</f>
        <v>5</v>
      </c>
      <c r="G142" s="138">
        <f>IFERROR(__xludf.DUMMYFUNCTION("""COMPUTED_VALUE"""),4.0)</f>
        <v>4</v>
      </c>
      <c r="H142" s="138">
        <f>IFERROR(__xludf.DUMMYFUNCTION("""COMPUTED_VALUE"""),5.0)</f>
        <v>5</v>
      </c>
      <c r="I142" s="138">
        <f>IFERROR(__xludf.DUMMYFUNCTION("""COMPUTED_VALUE"""),5.0)</f>
        <v>5</v>
      </c>
      <c r="J142" s="138">
        <f>IFERROR(__xludf.DUMMYFUNCTION("""COMPUTED_VALUE"""),5.0)</f>
        <v>5</v>
      </c>
      <c r="K142" s="138">
        <f>IFERROR(__xludf.DUMMYFUNCTION("""COMPUTED_VALUE"""),5.0)</f>
        <v>5</v>
      </c>
      <c r="L142" s="138">
        <v>34.0</v>
      </c>
      <c r="M142" s="140" t="str">
        <f>VLOOKUP(text(D142, "#"),'Master Table'!$A:$F, 6, FALSE)</f>
        <v>A-6</v>
      </c>
      <c r="N142" s="141" t="str">
        <f>IFERROR(__xludf.DUMMYFUNCTION("""COMPUTED_VALUE"""),"Great talk. The student is well prepared. The animation in the presentation is very helpful to illustrate results.")</f>
        <v>Great talk. The student is well prepared. The animation in the presentation is very helpful to illustrate results.</v>
      </c>
      <c r="O142" s="142" t="str">
        <f t="shared" si="1"/>
        <v/>
      </c>
      <c r="P142" s="143" t="str">
        <f>IF(ISNA(VLOOKUP(CONCAT(M142,C142), 'Judge Count DO NOT EDIT'!H:H, 1, FALSE)), "ERROR","")</f>
        <v/>
      </c>
      <c r="Q142" s="141"/>
      <c r="R142" s="143"/>
      <c r="S142" s="139" t="str">
        <f t="shared" si="2"/>
        <v>1088131</v>
      </c>
      <c r="T142" s="141"/>
    </row>
    <row r="143">
      <c r="A143" s="137">
        <f>IFERROR(__xludf.DUMMYFUNCTION("""COMPUTED_VALUE"""),45352.41696528935)</f>
        <v>45352.41697</v>
      </c>
      <c r="B143" s="138" t="str">
        <f>IFERROR(__xludf.DUMMYFUNCTION("""COMPUTED_VALUE"""),"Wenwu Xu")</f>
        <v>Wenwu Xu</v>
      </c>
      <c r="C143" s="138">
        <f>IFERROR(__xludf.DUMMYFUNCTION("""COMPUTED_VALUE"""),1025.0)</f>
        <v>1025</v>
      </c>
      <c r="D143" s="139">
        <f>IFERROR(__xludf.DUMMYFUNCTION("""COMPUTED_VALUE"""),131.0)</f>
        <v>131</v>
      </c>
      <c r="E143" s="138">
        <f>IFERROR(__xludf.DUMMYFUNCTION("""COMPUTED_VALUE"""),5.0)</f>
        <v>5</v>
      </c>
      <c r="F143" s="138">
        <f>IFERROR(__xludf.DUMMYFUNCTION("""COMPUTED_VALUE"""),4.0)</f>
        <v>4</v>
      </c>
      <c r="G143" s="138">
        <f>IFERROR(__xludf.DUMMYFUNCTION("""COMPUTED_VALUE"""),5.0)</f>
        <v>5</v>
      </c>
      <c r="H143" s="138">
        <f>IFERROR(__xludf.DUMMYFUNCTION("""COMPUTED_VALUE"""),5.0)</f>
        <v>5</v>
      </c>
      <c r="I143" s="138">
        <f>IFERROR(__xludf.DUMMYFUNCTION("""COMPUTED_VALUE"""),5.0)</f>
        <v>5</v>
      </c>
      <c r="J143" s="138">
        <f>IFERROR(__xludf.DUMMYFUNCTION("""COMPUTED_VALUE"""),4.0)</f>
        <v>4</v>
      </c>
      <c r="K143" s="138">
        <f>IFERROR(__xludf.DUMMYFUNCTION("""COMPUTED_VALUE"""),5.0)</f>
        <v>5</v>
      </c>
      <c r="L143" s="138">
        <v>33.0</v>
      </c>
      <c r="M143" s="140" t="str">
        <f>VLOOKUP(text(D143, "#"),'Master Table'!$A:$F, 6, FALSE)</f>
        <v>A-6</v>
      </c>
      <c r="N143" s="141" t="str">
        <f>IFERROR(__xludf.DUMMYFUNCTION("""COMPUTED_VALUE"""),"Great start of the presentation with a funny animation. Excellent presentation and results.")</f>
        <v>Great start of the presentation with a funny animation. Excellent presentation and results.</v>
      </c>
      <c r="O143" s="142" t="str">
        <f t="shared" si="1"/>
        <v/>
      </c>
      <c r="P143" s="143" t="str">
        <f>IF(ISNA(VLOOKUP(CONCAT(M143,C143), 'Judge Count DO NOT EDIT'!H:H, 1, FALSE)), "ERROR","")</f>
        <v/>
      </c>
      <c r="Q143" s="141"/>
      <c r="R143" s="143"/>
      <c r="S143" s="139" t="str">
        <f t="shared" si="2"/>
        <v>1025131</v>
      </c>
      <c r="T143" s="141"/>
    </row>
    <row r="144">
      <c r="A144" s="137">
        <f>IFERROR(__xludf.DUMMYFUNCTION("""COMPUTED_VALUE"""),45352.41860020833)</f>
        <v>45352.4186</v>
      </c>
      <c r="B144" s="138" t="str">
        <f>IFERROR(__xludf.DUMMYFUNCTION("""COMPUTED_VALUE"""),"Rusty Mendoza ")</f>
        <v>Rusty Mendoza </v>
      </c>
      <c r="C144" s="138">
        <f>IFERROR(__xludf.DUMMYFUNCTION("""COMPUTED_VALUE"""),1139.0)</f>
        <v>1139</v>
      </c>
      <c r="D144" s="139">
        <f>IFERROR(__xludf.DUMMYFUNCTION("""COMPUTED_VALUE"""),131.0)</f>
        <v>131</v>
      </c>
      <c r="E144" s="138">
        <f>IFERROR(__xludf.DUMMYFUNCTION("""COMPUTED_VALUE"""),3.0)</f>
        <v>3</v>
      </c>
      <c r="F144" s="138">
        <f>IFERROR(__xludf.DUMMYFUNCTION("""COMPUTED_VALUE"""),4.0)</f>
        <v>4</v>
      </c>
      <c r="G144" s="138">
        <f>IFERROR(__xludf.DUMMYFUNCTION("""COMPUTED_VALUE"""),4.0)</f>
        <v>4</v>
      </c>
      <c r="H144" s="138">
        <f>IFERROR(__xludf.DUMMYFUNCTION("""COMPUTED_VALUE"""),3.0)</f>
        <v>3</v>
      </c>
      <c r="I144" s="138">
        <f>IFERROR(__xludf.DUMMYFUNCTION("""COMPUTED_VALUE"""),3.0)</f>
        <v>3</v>
      </c>
      <c r="J144" s="138">
        <f>IFERROR(__xludf.DUMMYFUNCTION("""COMPUTED_VALUE"""),4.0)</f>
        <v>4</v>
      </c>
      <c r="K144" s="138">
        <f>IFERROR(__xludf.DUMMYFUNCTION("""COMPUTED_VALUE"""),4.0)</f>
        <v>4</v>
      </c>
      <c r="L144" s="138">
        <v>25.0</v>
      </c>
      <c r="M144" s="140" t="str">
        <f>VLOOKUP(text(D144, "#"),'Master Table'!$A:$F, 6, FALSE)</f>
        <v>A-6</v>
      </c>
      <c r="N144" s="141"/>
      <c r="O144" s="142" t="str">
        <f t="shared" si="1"/>
        <v/>
      </c>
      <c r="P144" s="143" t="str">
        <f>IF(ISNA(VLOOKUP(CONCAT(M144,C144), 'Judge Count DO NOT EDIT'!H:H, 1, FALSE)), "ERROR","")</f>
        <v/>
      </c>
      <c r="Q144" s="141"/>
      <c r="R144" s="143"/>
      <c r="S144" s="139" t="str">
        <f t="shared" si="2"/>
        <v>1139131</v>
      </c>
      <c r="T144" s="141"/>
    </row>
    <row r="145">
      <c r="A145" s="137">
        <f>IFERROR(__xludf.DUMMYFUNCTION("""COMPUTED_VALUE"""),45352.42941857639)</f>
        <v>45352.42942</v>
      </c>
      <c r="B145" s="138" t="str">
        <f>IFERROR(__xludf.DUMMYFUNCTION("""COMPUTED_VALUE"""),"Hanyang Li")</f>
        <v>Hanyang Li</v>
      </c>
      <c r="C145" s="138">
        <f>IFERROR(__xludf.DUMMYFUNCTION("""COMPUTED_VALUE"""),1088.0)</f>
        <v>1088</v>
      </c>
      <c r="D145" s="139">
        <f>IFERROR(__xludf.DUMMYFUNCTION("""COMPUTED_VALUE"""),132.0)</f>
        <v>132</v>
      </c>
      <c r="E145" s="138">
        <f>IFERROR(__xludf.DUMMYFUNCTION("""COMPUTED_VALUE"""),3.0)</f>
        <v>3</v>
      </c>
      <c r="F145" s="138">
        <f>IFERROR(__xludf.DUMMYFUNCTION("""COMPUTED_VALUE"""),5.0)</f>
        <v>5</v>
      </c>
      <c r="G145" s="138">
        <f>IFERROR(__xludf.DUMMYFUNCTION("""COMPUTED_VALUE"""),4.0)</f>
        <v>4</v>
      </c>
      <c r="H145" s="138">
        <f>IFERROR(__xludf.DUMMYFUNCTION("""COMPUTED_VALUE"""),4.0)</f>
        <v>4</v>
      </c>
      <c r="I145" s="138">
        <f>IFERROR(__xludf.DUMMYFUNCTION("""COMPUTED_VALUE"""),2.0)</f>
        <v>2</v>
      </c>
      <c r="J145" s="138">
        <f>IFERROR(__xludf.DUMMYFUNCTION("""COMPUTED_VALUE"""),2.0)</f>
        <v>2</v>
      </c>
      <c r="K145" s="138">
        <f>IFERROR(__xludf.DUMMYFUNCTION("""COMPUTED_VALUE"""),2.0)</f>
        <v>2</v>
      </c>
      <c r="L145" s="138">
        <v>22.0</v>
      </c>
      <c r="M145" s="140" t="str">
        <f>VLOOKUP(text(D145, "#"),'Master Table'!$A:$F, 6, FALSE)</f>
        <v>A-6</v>
      </c>
      <c r="N145" s="141" t="str">
        <f>IFERROR(__xludf.DUMMYFUNCTION("""COMPUTED_VALUE"""),"The student should work with her advisor to practice presenting. I feel that the student can explain her slides, so no need to read the notes.")</f>
        <v>The student should work with her advisor to practice presenting. I feel that the student can explain her slides, so no need to read the notes.</v>
      </c>
      <c r="O145" s="142" t="str">
        <f t="shared" si="1"/>
        <v/>
      </c>
      <c r="P145" s="143" t="str">
        <f>IF(ISNA(VLOOKUP(CONCAT(M145,C145), 'Judge Count DO NOT EDIT'!H:H, 1, FALSE)), "ERROR","")</f>
        <v/>
      </c>
      <c r="Q145" s="141"/>
      <c r="R145" s="143"/>
      <c r="S145" s="139" t="str">
        <f t="shared" si="2"/>
        <v>1088132</v>
      </c>
      <c r="T145" s="141"/>
    </row>
    <row r="146">
      <c r="A146" s="137">
        <f>IFERROR(__xludf.DUMMYFUNCTION("""COMPUTED_VALUE"""),45352.431444409725)</f>
        <v>45352.43144</v>
      </c>
      <c r="B146" s="138" t="str">
        <f>IFERROR(__xludf.DUMMYFUNCTION("""COMPUTED_VALUE"""),"Wenwu Xu")</f>
        <v>Wenwu Xu</v>
      </c>
      <c r="C146" s="138">
        <f>IFERROR(__xludf.DUMMYFUNCTION("""COMPUTED_VALUE"""),1025.0)</f>
        <v>1025</v>
      </c>
      <c r="D146" s="139">
        <f>IFERROR(__xludf.DUMMYFUNCTION("""COMPUTED_VALUE"""),132.0)</f>
        <v>132</v>
      </c>
      <c r="E146" s="138">
        <f>IFERROR(__xludf.DUMMYFUNCTION("""COMPUTED_VALUE"""),3.0)</f>
        <v>3</v>
      </c>
      <c r="F146" s="138">
        <f>IFERROR(__xludf.DUMMYFUNCTION("""COMPUTED_VALUE"""),4.0)</f>
        <v>4</v>
      </c>
      <c r="G146" s="138">
        <f>IFERROR(__xludf.DUMMYFUNCTION("""COMPUTED_VALUE"""),4.0)</f>
        <v>4</v>
      </c>
      <c r="H146" s="138">
        <f>IFERROR(__xludf.DUMMYFUNCTION("""COMPUTED_VALUE"""),4.0)</f>
        <v>4</v>
      </c>
      <c r="I146" s="138">
        <f>IFERROR(__xludf.DUMMYFUNCTION("""COMPUTED_VALUE"""),3.0)</f>
        <v>3</v>
      </c>
      <c r="J146" s="138">
        <f>IFERROR(__xludf.DUMMYFUNCTION("""COMPUTED_VALUE"""),3.0)</f>
        <v>3</v>
      </c>
      <c r="K146" s="138">
        <f>IFERROR(__xludf.DUMMYFUNCTION("""COMPUTED_VALUE"""),4.0)</f>
        <v>4</v>
      </c>
      <c r="L146" s="138">
        <v>25.0</v>
      </c>
      <c r="M146" s="140" t="str">
        <f>VLOOKUP(text(D146, "#"),'Master Table'!$A:$F, 6, FALSE)</f>
        <v>A-6</v>
      </c>
      <c r="N146" s="141" t="str">
        <f>IFERROR(__xludf.DUMMYFUNCTION("""COMPUTED_VALUE"""),"Nice presentation. It would be great if the presenter did not read the prompt notes during the presentation. ")</f>
        <v>Nice presentation. It would be great if the presenter did not read the prompt notes during the presentation. </v>
      </c>
      <c r="O146" s="142" t="str">
        <f t="shared" si="1"/>
        <v/>
      </c>
      <c r="P146" s="143" t="str">
        <f>IF(ISNA(VLOOKUP(CONCAT(M146,C146), 'Judge Count DO NOT EDIT'!H:H, 1, FALSE)), "ERROR","")</f>
        <v/>
      </c>
      <c r="Q146" s="141"/>
      <c r="R146" s="143"/>
      <c r="S146" s="139" t="str">
        <f t="shared" si="2"/>
        <v>1025132</v>
      </c>
      <c r="T146" s="141"/>
    </row>
    <row r="147">
      <c r="A147" s="137">
        <f>IFERROR(__xludf.DUMMYFUNCTION("""COMPUTED_VALUE"""),45352.43663664351)</f>
        <v>45352.43664</v>
      </c>
      <c r="B147" s="138" t="str">
        <f>IFERROR(__xludf.DUMMYFUNCTION("""COMPUTED_VALUE"""),"Rusty Mendoza ")</f>
        <v>Rusty Mendoza </v>
      </c>
      <c r="C147" s="138">
        <f>IFERROR(__xludf.DUMMYFUNCTION("""COMPUTED_VALUE"""),1139.0)</f>
        <v>1139</v>
      </c>
      <c r="D147" s="139">
        <f>IFERROR(__xludf.DUMMYFUNCTION("""COMPUTED_VALUE"""),132.0)</f>
        <v>132</v>
      </c>
      <c r="E147" s="138">
        <f>IFERROR(__xludf.DUMMYFUNCTION("""COMPUTED_VALUE"""),3.0)</f>
        <v>3</v>
      </c>
      <c r="F147" s="138">
        <f>IFERROR(__xludf.DUMMYFUNCTION("""COMPUTED_VALUE"""),4.0)</f>
        <v>4</v>
      </c>
      <c r="G147" s="138">
        <f>IFERROR(__xludf.DUMMYFUNCTION("""COMPUTED_VALUE"""),4.0)</f>
        <v>4</v>
      </c>
      <c r="H147" s="138">
        <f>IFERROR(__xludf.DUMMYFUNCTION("""COMPUTED_VALUE"""),3.0)</f>
        <v>3</v>
      </c>
      <c r="I147" s="138">
        <f>IFERROR(__xludf.DUMMYFUNCTION("""COMPUTED_VALUE"""),2.0)</f>
        <v>2</v>
      </c>
      <c r="J147" s="138">
        <f>IFERROR(__xludf.DUMMYFUNCTION("""COMPUTED_VALUE"""),3.0)</f>
        <v>3</v>
      </c>
      <c r="K147" s="138">
        <f>IFERROR(__xludf.DUMMYFUNCTION("""COMPUTED_VALUE"""),4.0)</f>
        <v>4</v>
      </c>
      <c r="L147" s="138">
        <v>23.0</v>
      </c>
      <c r="M147" s="140" t="str">
        <f>VLOOKUP(text(D147, "#"),'Master Table'!$A:$F, 6, FALSE)</f>
        <v>A-6</v>
      </c>
      <c r="N147" s="141"/>
      <c r="O147" s="142" t="str">
        <f t="shared" si="1"/>
        <v/>
      </c>
      <c r="P147" s="143" t="str">
        <f>IF(ISNA(VLOOKUP(CONCAT(M147,C147), 'Judge Count DO NOT EDIT'!H:H, 1, FALSE)), "ERROR","")</f>
        <v/>
      </c>
      <c r="Q147" s="144"/>
      <c r="R147" s="143"/>
      <c r="S147" s="139" t="str">
        <f t="shared" si="2"/>
        <v>1139132</v>
      </c>
      <c r="T147" s="141"/>
    </row>
    <row r="148">
      <c r="A148" s="137">
        <f>IFERROR(__xludf.DUMMYFUNCTION("""COMPUTED_VALUE"""),45352.446841550925)</f>
        <v>45352.44684</v>
      </c>
      <c r="B148" s="138" t="str">
        <f>IFERROR(__xludf.DUMMYFUNCTION("""COMPUTED_VALUE"""),"Wenwu Xu")</f>
        <v>Wenwu Xu</v>
      </c>
      <c r="C148" s="138">
        <f>IFERROR(__xludf.DUMMYFUNCTION("""COMPUTED_VALUE"""),1025.0)</f>
        <v>1025</v>
      </c>
      <c r="D148" s="139">
        <f>IFERROR(__xludf.DUMMYFUNCTION("""COMPUTED_VALUE"""),133.0)</f>
        <v>133</v>
      </c>
      <c r="E148" s="138">
        <f>IFERROR(__xludf.DUMMYFUNCTION("""COMPUTED_VALUE"""),4.0)</f>
        <v>4</v>
      </c>
      <c r="F148" s="138">
        <f>IFERROR(__xludf.DUMMYFUNCTION("""COMPUTED_VALUE"""),4.0)</f>
        <v>4</v>
      </c>
      <c r="G148" s="138">
        <f>IFERROR(__xludf.DUMMYFUNCTION("""COMPUTED_VALUE"""),5.0)</f>
        <v>5</v>
      </c>
      <c r="H148" s="138">
        <f>IFERROR(__xludf.DUMMYFUNCTION("""COMPUTED_VALUE"""),4.0)</f>
        <v>4</v>
      </c>
      <c r="I148" s="138">
        <f>IFERROR(__xludf.DUMMYFUNCTION("""COMPUTED_VALUE"""),4.0)</f>
        <v>4</v>
      </c>
      <c r="J148" s="138">
        <f>IFERROR(__xludf.DUMMYFUNCTION("""COMPUTED_VALUE"""),4.0)</f>
        <v>4</v>
      </c>
      <c r="K148" s="138">
        <f>IFERROR(__xludf.DUMMYFUNCTION("""COMPUTED_VALUE"""),4.0)</f>
        <v>4</v>
      </c>
      <c r="L148" s="138">
        <v>29.0</v>
      </c>
      <c r="M148" s="140" t="str">
        <f>VLOOKUP(text(D148, "#"),'Master Table'!$A:$F, 6, FALSE)</f>
        <v>A-6</v>
      </c>
      <c r="N148" s="141" t="str">
        <f>IFERROR(__xludf.DUMMYFUNCTION("""COMPUTED_VALUE"""),"Great presentation. Flash cards are great but it would be even better if they are not used extensively.  I like the ChatGPT generated images, like work.")</f>
        <v>Great presentation. Flash cards are great but it would be even better if they are not used extensively.  I like the ChatGPT generated images, like work.</v>
      </c>
      <c r="O148" s="142" t="str">
        <f t="shared" si="1"/>
        <v/>
      </c>
      <c r="P148" s="143" t="str">
        <f>IF(ISNA(VLOOKUP(CONCAT(M148,C148), 'Judge Count DO NOT EDIT'!H:H, 1, FALSE)), "ERROR","")</f>
        <v/>
      </c>
      <c r="Q148" s="141"/>
      <c r="R148" s="143"/>
      <c r="S148" s="139" t="str">
        <f t="shared" si="2"/>
        <v>1025133</v>
      </c>
      <c r="T148" s="141"/>
    </row>
    <row r="149">
      <c r="A149" s="137">
        <f>IFERROR(__xludf.DUMMYFUNCTION("""COMPUTED_VALUE"""),45352.44976585648)</f>
        <v>45352.44977</v>
      </c>
      <c r="B149" s="138" t="str">
        <f>IFERROR(__xludf.DUMMYFUNCTION("""COMPUTED_VALUE"""),"Hanyang Li")</f>
        <v>Hanyang Li</v>
      </c>
      <c r="C149" s="138">
        <f>IFERROR(__xludf.DUMMYFUNCTION("""COMPUTED_VALUE"""),1088.0)</f>
        <v>1088</v>
      </c>
      <c r="D149" s="139">
        <f>IFERROR(__xludf.DUMMYFUNCTION("""COMPUTED_VALUE"""),133.0)</f>
        <v>133</v>
      </c>
      <c r="E149" s="138">
        <f>IFERROR(__xludf.DUMMYFUNCTION("""COMPUTED_VALUE"""),4.0)</f>
        <v>4</v>
      </c>
      <c r="F149" s="138">
        <f>IFERROR(__xludf.DUMMYFUNCTION("""COMPUTED_VALUE"""),5.0)</f>
        <v>5</v>
      </c>
      <c r="G149" s="138">
        <f>IFERROR(__xludf.DUMMYFUNCTION("""COMPUTED_VALUE"""),4.0)</f>
        <v>4</v>
      </c>
      <c r="H149" s="138">
        <f>IFERROR(__xludf.DUMMYFUNCTION("""COMPUTED_VALUE"""),4.0)</f>
        <v>4</v>
      </c>
      <c r="I149" s="138">
        <f>IFERROR(__xludf.DUMMYFUNCTION("""COMPUTED_VALUE"""),4.0)</f>
        <v>4</v>
      </c>
      <c r="J149" s="138">
        <f>IFERROR(__xludf.DUMMYFUNCTION("""COMPUTED_VALUE"""),3.0)</f>
        <v>3</v>
      </c>
      <c r="K149" s="138">
        <f>IFERROR(__xludf.DUMMYFUNCTION("""COMPUTED_VALUE"""),3.0)</f>
        <v>3</v>
      </c>
      <c r="L149" s="138">
        <v>27.0</v>
      </c>
      <c r="M149" s="140" t="str">
        <f>VLOOKUP(text(D149, "#"),'Master Table'!$A:$F, 6, FALSE)</f>
        <v>A-6</v>
      </c>
      <c r="N149" s="141"/>
      <c r="O149" s="142" t="str">
        <f t="shared" si="1"/>
        <v/>
      </c>
      <c r="P149" s="143" t="str">
        <f>IF(ISNA(VLOOKUP(CONCAT(M149,C149), 'Judge Count DO NOT EDIT'!H:H, 1, FALSE)), "ERROR","")</f>
        <v/>
      </c>
      <c r="Q149" s="141"/>
      <c r="R149" s="143"/>
      <c r="S149" s="139" t="str">
        <f t="shared" si="2"/>
        <v>1088133</v>
      </c>
      <c r="T149" s="141"/>
    </row>
    <row r="150">
      <c r="A150" s="137">
        <f>IFERROR(__xludf.DUMMYFUNCTION("""COMPUTED_VALUE"""),45352.450353541666)</f>
        <v>45352.45035</v>
      </c>
      <c r="B150" s="138" t="str">
        <f>IFERROR(__xludf.DUMMYFUNCTION("""COMPUTED_VALUE"""),"Rusty Mendoza ")</f>
        <v>Rusty Mendoza </v>
      </c>
      <c r="C150" s="138">
        <f>IFERROR(__xludf.DUMMYFUNCTION("""COMPUTED_VALUE"""),1139.0)</f>
        <v>1139</v>
      </c>
      <c r="D150" s="139">
        <f>IFERROR(__xludf.DUMMYFUNCTION("""COMPUTED_VALUE"""),133.0)</f>
        <v>133</v>
      </c>
      <c r="E150" s="138">
        <f>IFERROR(__xludf.DUMMYFUNCTION("""COMPUTED_VALUE"""),4.0)</f>
        <v>4</v>
      </c>
      <c r="F150" s="138">
        <f>IFERROR(__xludf.DUMMYFUNCTION("""COMPUTED_VALUE"""),5.0)</f>
        <v>5</v>
      </c>
      <c r="G150" s="138">
        <f>IFERROR(__xludf.DUMMYFUNCTION("""COMPUTED_VALUE"""),5.0)</f>
        <v>5</v>
      </c>
      <c r="H150" s="138">
        <f>IFERROR(__xludf.DUMMYFUNCTION("""COMPUTED_VALUE"""),4.0)</f>
        <v>4</v>
      </c>
      <c r="I150" s="138">
        <f>IFERROR(__xludf.DUMMYFUNCTION("""COMPUTED_VALUE"""),3.0)</f>
        <v>3</v>
      </c>
      <c r="J150" s="138">
        <f>IFERROR(__xludf.DUMMYFUNCTION("""COMPUTED_VALUE"""),4.0)</f>
        <v>4</v>
      </c>
      <c r="K150" s="138">
        <f>IFERROR(__xludf.DUMMYFUNCTION("""COMPUTED_VALUE"""),4.0)</f>
        <v>4</v>
      </c>
      <c r="L150" s="138">
        <v>29.0</v>
      </c>
      <c r="M150" s="140" t="str">
        <f>VLOOKUP(text(D150, "#"),'Master Table'!$A:$F, 6, FALSE)</f>
        <v>A-6</v>
      </c>
      <c r="N150" s="141"/>
      <c r="O150" s="142" t="str">
        <f t="shared" si="1"/>
        <v/>
      </c>
      <c r="P150" s="143" t="str">
        <f>IF(ISNA(VLOOKUP(CONCAT(M150,C150), 'Judge Count DO NOT EDIT'!H:H, 1, FALSE)), "ERROR","")</f>
        <v/>
      </c>
      <c r="Q150" s="141"/>
      <c r="R150" s="143"/>
      <c r="S150" s="139" t="str">
        <f t="shared" si="2"/>
        <v>1139133</v>
      </c>
      <c r="T150" s="141"/>
    </row>
    <row r="151">
      <c r="A151" s="137">
        <f>IFERROR(__xludf.DUMMYFUNCTION("""COMPUTED_VALUE"""),45352.45743126157)</f>
        <v>45352.45743</v>
      </c>
      <c r="B151" s="138" t="str">
        <f>IFERROR(__xludf.DUMMYFUNCTION("""COMPUTED_VALUE"""),"Wenwu Xu")</f>
        <v>Wenwu Xu</v>
      </c>
      <c r="C151" s="138">
        <f>IFERROR(__xludf.DUMMYFUNCTION("""COMPUTED_VALUE"""),1025.0)</f>
        <v>1025</v>
      </c>
      <c r="D151" s="139">
        <f>IFERROR(__xludf.DUMMYFUNCTION("""COMPUTED_VALUE"""),134.0)</f>
        <v>134</v>
      </c>
      <c r="E151" s="138">
        <f>IFERROR(__xludf.DUMMYFUNCTION("""COMPUTED_VALUE"""),5.0)</f>
        <v>5</v>
      </c>
      <c r="F151" s="138">
        <f>IFERROR(__xludf.DUMMYFUNCTION("""COMPUTED_VALUE"""),4.0)</f>
        <v>4</v>
      </c>
      <c r="G151" s="138">
        <f>IFERROR(__xludf.DUMMYFUNCTION("""COMPUTED_VALUE"""),5.0)</f>
        <v>5</v>
      </c>
      <c r="H151" s="138">
        <f>IFERROR(__xludf.DUMMYFUNCTION("""COMPUTED_VALUE"""),4.0)</f>
        <v>4</v>
      </c>
      <c r="I151" s="138">
        <f>IFERROR(__xludf.DUMMYFUNCTION("""COMPUTED_VALUE"""),5.0)</f>
        <v>5</v>
      </c>
      <c r="J151" s="138">
        <f>IFERROR(__xludf.DUMMYFUNCTION("""COMPUTED_VALUE"""),5.0)</f>
        <v>5</v>
      </c>
      <c r="K151" s="138">
        <f>IFERROR(__xludf.DUMMYFUNCTION("""COMPUTED_VALUE"""),5.0)</f>
        <v>5</v>
      </c>
      <c r="L151" s="138">
        <v>33.0</v>
      </c>
      <c r="M151" s="140" t="str">
        <f>VLOOKUP(text(D151, "#"),'Master Table'!$A:$F, 6, FALSE)</f>
        <v>A-6</v>
      </c>
      <c r="N151" s="141" t="str">
        <f>IFERROR(__xludf.DUMMYFUNCTION("""COMPUTED_VALUE"""),"Almost perfect presentation, Great job! ")</f>
        <v>Almost perfect presentation, Great job! </v>
      </c>
      <c r="O151" s="142" t="str">
        <f t="shared" si="1"/>
        <v/>
      </c>
      <c r="P151" s="143" t="str">
        <f>IF(ISNA(VLOOKUP(CONCAT(M151,C151), 'Judge Count DO NOT EDIT'!H:H, 1, FALSE)), "ERROR","")</f>
        <v/>
      </c>
      <c r="Q151" s="141"/>
      <c r="R151" s="143"/>
      <c r="S151" s="139" t="str">
        <f t="shared" si="2"/>
        <v>1025134</v>
      </c>
      <c r="T151" s="141"/>
    </row>
    <row r="152">
      <c r="A152" s="137">
        <f>IFERROR(__xludf.DUMMYFUNCTION("""COMPUTED_VALUE"""),45352.45962451389)</f>
        <v>45352.45962</v>
      </c>
      <c r="B152" s="138" t="str">
        <f>IFERROR(__xludf.DUMMYFUNCTION("""COMPUTED_VALUE"""),"Hanyang Li")</f>
        <v>Hanyang Li</v>
      </c>
      <c r="C152" s="138">
        <f>IFERROR(__xludf.DUMMYFUNCTION("""COMPUTED_VALUE"""),1088.0)</f>
        <v>1088</v>
      </c>
      <c r="D152" s="139">
        <f>IFERROR(__xludf.DUMMYFUNCTION("""COMPUTED_VALUE"""),134.0)</f>
        <v>134</v>
      </c>
      <c r="E152" s="138">
        <f>IFERROR(__xludf.DUMMYFUNCTION("""COMPUTED_VALUE"""),5.0)</f>
        <v>5</v>
      </c>
      <c r="F152" s="138">
        <f>IFERROR(__xludf.DUMMYFUNCTION("""COMPUTED_VALUE"""),5.0)</f>
        <v>5</v>
      </c>
      <c r="G152" s="138">
        <f>IFERROR(__xludf.DUMMYFUNCTION("""COMPUTED_VALUE"""),4.0)</f>
        <v>4</v>
      </c>
      <c r="H152" s="138">
        <f>IFERROR(__xludf.DUMMYFUNCTION("""COMPUTED_VALUE"""),5.0)</f>
        <v>5</v>
      </c>
      <c r="I152" s="138">
        <f>IFERROR(__xludf.DUMMYFUNCTION("""COMPUTED_VALUE"""),5.0)</f>
        <v>5</v>
      </c>
      <c r="J152" s="138">
        <f>IFERROR(__xludf.DUMMYFUNCTION("""COMPUTED_VALUE"""),5.0)</f>
        <v>5</v>
      </c>
      <c r="K152" s="138">
        <f>IFERROR(__xludf.DUMMYFUNCTION("""COMPUTED_VALUE"""),5.0)</f>
        <v>5</v>
      </c>
      <c r="L152" s="138">
        <v>34.0</v>
      </c>
      <c r="M152" s="140" t="str">
        <f>VLOOKUP(text(D152, "#"),'Master Table'!$A:$F, 6, FALSE)</f>
        <v>A-6</v>
      </c>
      <c r="N152" s="141" t="str">
        <f>IFERROR(__xludf.DUMMYFUNCTION("""COMPUTED_VALUE"""),"The student well explained her research. Maybe another slide about future work")</f>
        <v>The student well explained her research. Maybe another slide about future work</v>
      </c>
      <c r="O152" s="142" t="str">
        <f t="shared" si="1"/>
        <v/>
      </c>
      <c r="P152" s="143" t="str">
        <f>IF(ISNA(VLOOKUP(CONCAT(M152,C152), 'Judge Count DO NOT EDIT'!H:H, 1, FALSE)), "ERROR","")</f>
        <v/>
      </c>
      <c r="Q152" s="141"/>
      <c r="R152" s="143"/>
      <c r="S152" s="139" t="str">
        <f t="shared" si="2"/>
        <v>1088134</v>
      </c>
      <c r="T152" s="141"/>
    </row>
    <row r="153">
      <c r="A153" s="137">
        <f>IFERROR(__xludf.DUMMYFUNCTION("""COMPUTED_VALUE"""),45352.462151388885)</f>
        <v>45352.46215</v>
      </c>
      <c r="B153" s="138" t="str">
        <f>IFERROR(__xludf.DUMMYFUNCTION("""COMPUTED_VALUE"""),"Rusty Mendoza ")</f>
        <v>Rusty Mendoza </v>
      </c>
      <c r="C153" s="138">
        <f>IFERROR(__xludf.DUMMYFUNCTION("""COMPUTED_VALUE"""),1139.0)</f>
        <v>1139</v>
      </c>
      <c r="D153" s="139">
        <f>IFERROR(__xludf.DUMMYFUNCTION("""COMPUTED_VALUE"""),134.0)</f>
        <v>134</v>
      </c>
      <c r="E153" s="138">
        <f>IFERROR(__xludf.DUMMYFUNCTION("""COMPUTED_VALUE"""),4.0)</f>
        <v>4</v>
      </c>
      <c r="F153" s="138">
        <f>IFERROR(__xludf.DUMMYFUNCTION("""COMPUTED_VALUE"""),5.0)</f>
        <v>5</v>
      </c>
      <c r="G153" s="138">
        <f>IFERROR(__xludf.DUMMYFUNCTION("""COMPUTED_VALUE"""),5.0)</f>
        <v>5</v>
      </c>
      <c r="H153" s="138">
        <f>IFERROR(__xludf.DUMMYFUNCTION("""COMPUTED_VALUE"""),4.0)</f>
        <v>4</v>
      </c>
      <c r="I153" s="138">
        <f>IFERROR(__xludf.DUMMYFUNCTION("""COMPUTED_VALUE"""),4.0)</f>
        <v>4</v>
      </c>
      <c r="J153" s="138">
        <f>IFERROR(__xludf.DUMMYFUNCTION("""COMPUTED_VALUE"""),4.0)</f>
        <v>4</v>
      </c>
      <c r="K153" s="138">
        <f>IFERROR(__xludf.DUMMYFUNCTION("""COMPUTED_VALUE"""),4.0)</f>
        <v>4</v>
      </c>
      <c r="L153" s="138">
        <v>30.0</v>
      </c>
      <c r="M153" s="140" t="str">
        <f>VLOOKUP(text(D153, "#"),'Master Table'!$A:$F, 6, FALSE)</f>
        <v>A-6</v>
      </c>
      <c r="N153" s="141" t="str">
        <f>IFERROR(__xludf.DUMMYFUNCTION("""COMPUTED_VALUE"""),"Very interesting to see how the environment affects various stuff to produce microplastics and other contaminants")</f>
        <v>Very interesting to see how the environment affects various stuff to produce microplastics and other contaminants</v>
      </c>
      <c r="O153" s="142" t="str">
        <f t="shared" si="1"/>
        <v/>
      </c>
      <c r="P153" s="143" t="str">
        <f>IF(ISNA(VLOOKUP(CONCAT(M153,C153), 'Judge Count DO NOT EDIT'!H:H, 1, FALSE)), "ERROR","")</f>
        <v/>
      </c>
      <c r="Q153" s="141"/>
      <c r="R153" s="143"/>
      <c r="S153" s="139" t="str">
        <f t="shared" si="2"/>
        <v>1139134</v>
      </c>
      <c r="T153" s="141"/>
    </row>
    <row r="154">
      <c r="A154" s="137">
        <f>IFERROR(__xludf.DUMMYFUNCTION("""COMPUTED_VALUE"""),45352.389944166665)</f>
        <v>45352.38994</v>
      </c>
      <c r="B154" s="138" t="str">
        <f>IFERROR(__xludf.DUMMYFUNCTION("""COMPUTED_VALUE"""),"Natalie Gude")</f>
        <v>Natalie Gude</v>
      </c>
      <c r="C154" s="138">
        <f>IFERROR(__xludf.DUMMYFUNCTION("""COMPUTED_VALUE"""),1010.0)</f>
        <v>1010</v>
      </c>
      <c r="D154" s="139">
        <f>IFERROR(__xludf.DUMMYFUNCTION("""COMPUTED_VALUE"""),135.0)</f>
        <v>135</v>
      </c>
      <c r="E154" s="138">
        <f>IFERROR(__xludf.DUMMYFUNCTION("""COMPUTED_VALUE"""),5.0)</f>
        <v>5</v>
      </c>
      <c r="F154" s="138">
        <f>IFERROR(__xludf.DUMMYFUNCTION("""COMPUTED_VALUE"""),5.0)</f>
        <v>5</v>
      </c>
      <c r="G154" s="138">
        <f>IFERROR(__xludf.DUMMYFUNCTION("""COMPUTED_VALUE"""),5.0)</f>
        <v>5</v>
      </c>
      <c r="H154" s="138">
        <f>IFERROR(__xludf.DUMMYFUNCTION("""COMPUTED_VALUE"""),4.0)</f>
        <v>4</v>
      </c>
      <c r="I154" s="138">
        <f>IFERROR(__xludf.DUMMYFUNCTION("""COMPUTED_VALUE"""),5.0)</f>
        <v>5</v>
      </c>
      <c r="J154" s="138">
        <f>IFERROR(__xludf.DUMMYFUNCTION("""COMPUTED_VALUE"""),5.0)</f>
        <v>5</v>
      </c>
      <c r="K154" s="138">
        <f>IFERROR(__xludf.DUMMYFUNCTION("""COMPUTED_VALUE"""),5.0)</f>
        <v>5</v>
      </c>
      <c r="L154" s="138">
        <v>34.0</v>
      </c>
      <c r="M154" s="140" t="str">
        <f>VLOOKUP(text(D154, "#"),'Master Table'!$A:$F, 6, FALSE)</f>
        <v>A-7</v>
      </c>
      <c r="N154" s="141"/>
      <c r="O154" s="142" t="str">
        <f t="shared" si="1"/>
        <v/>
      </c>
      <c r="P154" s="143" t="str">
        <f>IF(ISNA(VLOOKUP(CONCAT(M154,C154), 'Judge Count DO NOT EDIT'!H:H, 1, FALSE)), "ERROR","")</f>
        <v/>
      </c>
      <c r="Q154" s="141"/>
      <c r="R154" s="143"/>
      <c r="S154" s="139" t="str">
        <f t="shared" si="2"/>
        <v>1010135</v>
      </c>
      <c r="T154" s="141"/>
    </row>
    <row r="155">
      <c r="A155" s="137">
        <f>IFERROR(__xludf.DUMMYFUNCTION("""COMPUTED_VALUE"""),45352.390285104164)</f>
        <v>45352.39029</v>
      </c>
      <c r="B155" s="138" t="str">
        <f>IFERROR(__xludf.DUMMYFUNCTION("""COMPUTED_VALUE"""),"Roy Whitaker ")</f>
        <v>Roy Whitaker </v>
      </c>
      <c r="C155" s="138">
        <f>IFERROR(__xludf.DUMMYFUNCTION("""COMPUTED_VALUE"""),1052.0)</f>
        <v>1052</v>
      </c>
      <c r="D155" s="139">
        <f>IFERROR(__xludf.DUMMYFUNCTION("""COMPUTED_VALUE"""),135.0)</f>
        <v>135</v>
      </c>
      <c r="E155" s="138">
        <f>IFERROR(__xludf.DUMMYFUNCTION("""COMPUTED_VALUE"""),4.0)</f>
        <v>4</v>
      </c>
      <c r="F155" s="138">
        <f>IFERROR(__xludf.DUMMYFUNCTION("""COMPUTED_VALUE"""),3.0)</f>
        <v>3</v>
      </c>
      <c r="G155" s="138">
        <f>IFERROR(__xludf.DUMMYFUNCTION("""COMPUTED_VALUE"""),3.0)</f>
        <v>3</v>
      </c>
      <c r="H155" s="138">
        <f>IFERROR(__xludf.DUMMYFUNCTION("""COMPUTED_VALUE"""),3.0)</f>
        <v>3</v>
      </c>
      <c r="I155" s="138">
        <f>IFERROR(__xludf.DUMMYFUNCTION("""COMPUTED_VALUE"""),3.0)</f>
        <v>3</v>
      </c>
      <c r="J155" s="138">
        <f>IFERROR(__xludf.DUMMYFUNCTION("""COMPUTED_VALUE"""),4.0)</f>
        <v>4</v>
      </c>
      <c r="K155" s="138">
        <f>IFERROR(__xludf.DUMMYFUNCTION("""COMPUTED_VALUE"""),3.0)</f>
        <v>3</v>
      </c>
      <c r="L155" s="138">
        <v>23.0</v>
      </c>
      <c r="M155" s="140" t="str">
        <f>VLOOKUP(text(D155, "#"),'Master Table'!$A:$F, 6, FALSE)</f>
        <v>A-7</v>
      </c>
      <c r="N155" s="141" t="str">
        <f>IFERROR(__xludf.DUMMYFUNCTION("""COMPUTED_VALUE"""),"Good job offering own definition
Organized well
Ethnographic work made arguments strong
Demographic may matter as many examples appear 'white'")</f>
        <v>Good job offering own definition
Organized well
Ethnographic work made arguments strong
Demographic may matter as many examples appear 'white'</v>
      </c>
      <c r="O155" s="142" t="str">
        <f t="shared" si="1"/>
        <v/>
      </c>
      <c r="P155" s="143" t="str">
        <f>IF(ISNA(VLOOKUP(CONCAT(M155,C155), 'Judge Count DO NOT EDIT'!H:H, 1, FALSE)), "ERROR","")</f>
        <v/>
      </c>
      <c r="Q155" s="141"/>
      <c r="R155" s="143"/>
      <c r="S155" s="139" t="str">
        <f t="shared" si="2"/>
        <v>1052135</v>
      </c>
      <c r="T155" s="141"/>
    </row>
    <row r="156">
      <c r="A156" s="137">
        <f>IFERROR(__xludf.DUMMYFUNCTION("""COMPUTED_VALUE"""),45352.39030943287)</f>
        <v>45352.39031</v>
      </c>
      <c r="B156" s="138" t="str">
        <f>IFERROR(__xludf.DUMMYFUNCTION("""COMPUTED_VALUE"""),"Eric Smigel")</f>
        <v>Eric Smigel</v>
      </c>
      <c r="C156" s="138">
        <f>IFERROR(__xludf.DUMMYFUNCTION("""COMPUTED_VALUE"""),1026.0)</f>
        <v>1026</v>
      </c>
      <c r="D156" s="139">
        <f>IFERROR(__xludf.DUMMYFUNCTION("""COMPUTED_VALUE"""),135.0)</f>
        <v>135</v>
      </c>
      <c r="E156" s="138">
        <f>IFERROR(__xludf.DUMMYFUNCTION("""COMPUTED_VALUE"""),4.0)</f>
        <v>4</v>
      </c>
      <c r="F156" s="138">
        <f>IFERROR(__xludf.DUMMYFUNCTION("""COMPUTED_VALUE"""),4.0)</f>
        <v>4</v>
      </c>
      <c r="G156" s="138">
        <f>IFERROR(__xludf.DUMMYFUNCTION("""COMPUTED_VALUE"""),4.0)</f>
        <v>4</v>
      </c>
      <c r="H156" s="138">
        <f>IFERROR(__xludf.DUMMYFUNCTION("""COMPUTED_VALUE"""),3.0)</f>
        <v>3</v>
      </c>
      <c r="I156" s="138">
        <f>IFERROR(__xludf.DUMMYFUNCTION("""COMPUTED_VALUE"""),5.0)</f>
        <v>5</v>
      </c>
      <c r="J156" s="138">
        <f>IFERROR(__xludf.DUMMYFUNCTION("""COMPUTED_VALUE"""),5.0)</f>
        <v>5</v>
      </c>
      <c r="K156" s="138">
        <f>IFERROR(__xludf.DUMMYFUNCTION("""COMPUTED_VALUE"""),4.0)</f>
        <v>4</v>
      </c>
      <c r="L156" s="138">
        <v>29.0</v>
      </c>
      <c r="M156" s="140" t="str">
        <f>VLOOKUP(text(D156, "#"),'Master Table'!$A:$F, 6, FALSE)</f>
        <v>A-7</v>
      </c>
      <c r="N156" s="141" t="str">
        <f>IFERROR(__xludf.DUMMYFUNCTION("""COMPUTED_VALUE"""),"Excellent and stimulating presentation! I would be curious to learn more about how you (and your interview subjects) interpret the “feelings” that are central to your analysis. ")</f>
        <v>Excellent and stimulating presentation! I would be curious to learn more about how you (and your interview subjects) interpret the “feelings” that are central to your analysis. </v>
      </c>
      <c r="O156" s="142" t="str">
        <f t="shared" si="1"/>
        <v/>
      </c>
      <c r="P156" s="143" t="str">
        <f>IF(ISNA(VLOOKUP(CONCAT(M156,C156), 'Judge Count DO NOT EDIT'!H:H, 1, FALSE)), "ERROR","")</f>
        <v/>
      </c>
      <c r="Q156" s="141"/>
      <c r="R156" s="143"/>
      <c r="S156" s="139" t="str">
        <f t="shared" si="2"/>
        <v>1026135</v>
      </c>
      <c r="T156" s="141"/>
    </row>
    <row r="157">
      <c r="A157" s="137">
        <f>IFERROR(__xludf.DUMMYFUNCTION("""COMPUTED_VALUE"""),45352.54033671296)</f>
        <v>45352.54034</v>
      </c>
      <c r="B157" s="138" t="str">
        <f>IFERROR(__xludf.DUMMYFUNCTION("""COMPUTED_VALUE"""),"Bill Aaron")</f>
        <v>Bill Aaron</v>
      </c>
      <c r="C157" s="138">
        <f>IFERROR(__xludf.DUMMYFUNCTION("""COMPUTED_VALUE"""),1060.0)</f>
        <v>1060</v>
      </c>
      <c r="D157" s="139">
        <f>IFERROR(__xludf.DUMMYFUNCTION("""COMPUTED_VALUE"""),135.0)</f>
        <v>135</v>
      </c>
      <c r="E157" s="138">
        <f>IFERROR(__xludf.DUMMYFUNCTION("""COMPUTED_VALUE"""),3.0)</f>
        <v>3</v>
      </c>
      <c r="F157" s="138">
        <f>IFERROR(__xludf.DUMMYFUNCTION("""COMPUTED_VALUE"""),2.0)</f>
        <v>2</v>
      </c>
      <c r="G157" s="138">
        <f>IFERROR(__xludf.DUMMYFUNCTION("""COMPUTED_VALUE"""),3.0)</f>
        <v>3</v>
      </c>
      <c r="H157" s="138">
        <f>IFERROR(__xludf.DUMMYFUNCTION("""COMPUTED_VALUE"""),4.0)</f>
        <v>4</v>
      </c>
      <c r="I157" s="138">
        <f>IFERROR(__xludf.DUMMYFUNCTION("""COMPUTED_VALUE"""),3.0)</f>
        <v>3</v>
      </c>
      <c r="J157" s="138">
        <f>IFERROR(__xludf.DUMMYFUNCTION("""COMPUTED_VALUE"""),3.0)</f>
        <v>3</v>
      </c>
      <c r="K157" s="138">
        <f>IFERROR(__xludf.DUMMYFUNCTION("""COMPUTED_VALUE"""),2.0)</f>
        <v>2</v>
      </c>
      <c r="L157" s="138">
        <v>20.0</v>
      </c>
      <c r="M157" s="140" t="str">
        <f>VLOOKUP(text(D157, "#"),'Master Table'!$A:$F, 6, FALSE)</f>
        <v>A-7</v>
      </c>
      <c r="N157" s="141"/>
      <c r="O157" s="142" t="str">
        <f t="shared" si="1"/>
        <v/>
      </c>
      <c r="P157" s="143" t="str">
        <f>IF(ISNA(VLOOKUP(CONCAT(M157,C157), 'Judge Count DO NOT EDIT'!H:H, 1, FALSE)), "ERROR","")</f>
        <v/>
      </c>
      <c r="Q157" s="141"/>
      <c r="R157" s="143"/>
      <c r="S157" s="139" t="str">
        <f t="shared" si="2"/>
        <v>1060135</v>
      </c>
      <c r="T157" s="141"/>
    </row>
    <row r="158">
      <c r="A158" s="137">
        <f>IFERROR(__xludf.DUMMYFUNCTION("""COMPUTED_VALUE"""),45352.57353358796)</f>
        <v>45352.57353</v>
      </c>
      <c r="B158" s="138" t="str">
        <f>IFERROR(__xludf.DUMMYFUNCTION("""COMPUTED_VALUE"""),"Charles Dintrone ")</f>
        <v>Charles Dintrone </v>
      </c>
      <c r="C158" s="138">
        <f>IFERROR(__xludf.DUMMYFUNCTION("""COMPUTED_VALUE"""),1007.0)</f>
        <v>1007</v>
      </c>
      <c r="D158" s="139">
        <f>IFERROR(__xludf.DUMMYFUNCTION("""COMPUTED_VALUE"""),135.0)</f>
        <v>135</v>
      </c>
      <c r="E158" s="138">
        <f>IFERROR(__xludf.DUMMYFUNCTION("""COMPUTED_VALUE"""),3.0)</f>
        <v>3</v>
      </c>
      <c r="F158" s="138">
        <f>IFERROR(__xludf.DUMMYFUNCTION("""COMPUTED_VALUE"""),4.0)</f>
        <v>4</v>
      </c>
      <c r="G158" s="138">
        <f>IFERROR(__xludf.DUMMYFUNCTION("""COMPUTED_VALUE"""),3.0)</f>
        <v>3</v>
      </c>
      <c r="H158" s="138">
        <f>IFERROR(__xludf.DUMMYFUNCTION("""COMPUTED_VALUE"""),4.0)</f>
        <v>4</v>
      </c>
      <c r="I158" s="138">
        <f>IFERROR(__xludf.DUMMYFUNCTION("""COMPUTED_VALUE"""),3.0)</f>
        <v>3</v>
      </c>
      <c r="J158" s="138">
        <f>IFERROR(__xludf.DUMMYFUNCTION("""COMPUTED_VALUE"""),3.0)</f>
        <v>3</v>
      </c>
      <c r="K158" s="138">
        <f>IFERROR(__xludf.DUMMYFUNCTION("""COMPUTED_VALUE"""),4.0)</f>
        <v>4</v>
      </c>
      <c r="L158" s="138">
        <v>24.0</v>
      </c>
      <c r="M158" s="140" t="str">
        <f>VLOOKUP(text(D158, "#"),'Master Table'!$A:$F, 6, FALSE)</f>
        <v>A-7</v>
      </c>
      <c r="N158" s="141"/>
      <c r="O158" s="142" t="str">
        <f t="shared" si="1"/>
        <v/>
      </c>
      <c r="P158" s="143" t="str">
        <f>IF(ISNA(VLOOKUP(CONCAT(M158,C158), 'Judge Count DO NOT EDIT'!H:H, 1, FALSE)), "ERROR","")</f>
        <v/>
      </c>
      <c r="Q158" s="141"/>
      <c r="R158" s="143"/>
      <c r="S158" s="139" t="str">
        <f t="shared" si="2"/>
        <v>1007135</v>
      </c>
      <c r="T158" s="141"/>
    </row>
    <row r="159">
      <c r="A159" s="137">
        <f>IFERROR(__xludf.DUMMYFUNCTION("""COMPUTED_VALUE"""),45352.402339409724)</f>
        <v>45352.40234</v>
      </c>
      <c r="B159" s="138" t="str">
        <f>IFERROR(__xludf.DUMMYFUNCTION("""COMPUTED_VALUE"""),"Roy Whitaker ")</f>
        <v>Roy Whitaker </v>
      </c>
      <c r="C159" s="138">
        <f>IFERROR(__xludf.DUMMYFUNCTION("""COMPUTED_VALUE"""),1052.0)</f>
        <v>1052</v>
      </c>
      <c r="D159" s="139">
        <f>IFERROR(__xludf.DUMMYFUNCTION("""COMPUTED_VALUE"""),136.0)</f>
        <v>136</v>
      </c>
      <c r="E159" s="138">
        <f>IFERROR(__xludf.DUMMYFUNCTION("""COMPUTED_VALUE"""),3.0)</f>
        <v>3</v>
      </c>
      <c r="F159" s="138">
        <f>IFERROR(__xludf.DUMMYFUNCTION("""COMPUTED_VALUE"""),2.0)</f>
        <v>2</v>
      </c>
      <c r="G159" s="138">
        <f>IFERROR(__xludf.DUMMYFUNCTION("""COMPUTED_VALUE"""),3.0)</f>
        <v>3</v>
      </c>
      <c r="H159" s="138">
        <f>IFERROR(__xludf.DUMMYFUNCTION("""COMPUTED_VALUE"""),2.0)</f>
        <v>2</v>
      </c>
      <c r="I159" s="138">
        <f>IFERROR(__xludf.DUMMYFUNCTION("""COMPUTED_VALUE"""),2.0)</f>
        <v>2</v>
      </c>
      <c r="J159" s="138">
        <f>IFERROR(__xludf.DUMMYFUNCTION("""COMPUTED_VALUE"""),3.0)</f>
        <v>3</v>
      </c>
      <c r="K159" s="138">
        <f>IFERROR(__xludf.DUMMYFUNCTION("""COMPUTED_VALUE"""),2.0)</f>
        <v>2</v>
      </c>
      <c r="L159" s="138">
        <v>17.0</v>
      </c>
      <c r="M159" s="140" t="str">
        <f>VLOOKUP(text(D159, "#"),'Master Table'!$A:$F, 6, FALSE)</f>
        <v>A-7</v>
      </c>
      <c r="N159" s="141" t="str">
        <f>IFERROR(__xludf.DUMMYFUNCTION("""COMPUTED_VALUE"""),"Good job!
Greater theoretical framework needed
Maybe just focus in-depth on two or three examples as presentation can perhaps veer toward an overview, too brief superficial analysis")</f>
        <v>Good job!
Greater theoretical framework needed
Maybe just focus in-depth on two or three examples as presentation can perhaps veer toward an overview, too brief superficial analysis</v>
      </c>
      <c r="O159" s="142" t="str">
        <f t="shared" si="1"/>
        <v/>
      </c>
      <c r="P159" s="143" t="str">
        <f>IF(ISNA(VLOOKUP(CONCAT(M159,C159), 'Judge Count DO NOT EDIT'!H:H, 1, FALSE)), "ERROR","")</f>
        <v/>
      </c>
      <c r="Q159" s="141"/>
      <c r="R159" s="143"/>
      <c r="S159" s="139" t="str">
        <f t="shared" si="2"/>
        <v>1052136</v>
      </c>
      <c r="T159" s="141"/>
    </row>
    <row r="160">
      <c r="A160" s="137">
        <f>IFERROR(__xludf.DUMMYFUNCTION("""COMPUTED_VALUE"""),45352.402610150464)</f>
        <v>45352.40261</v>
      </c>
      <c r="B160" s="138" t="str">
        <f>IFERROR(__xludf.DUMMYFUNCTION("""COMPUTED_VALUE"""),"Natalie Gude")</f>
        <v>Natalie Gude</v>
      </c>
      <c r="C160" s="138">
        <f>IFERROR(__xludf.DUMMYFUNCTION("""COMPUTED_VALUE"""),1010.0)</f>
        <v>1010</v>
      </c>
      <c r="D160" s="139">
        <f>IFERROR(__xludf.DUMMYFUNCTION("""COMPUTED_VALUE"""),136.0)</f>
        <v>136</v>
      </c>
      <c r="E160" s="138">
        <f>IFERROR(__xludf.DUMMYFUNCTION("""COMPUTED_VALUE"""),4.0)</f>
        <v>4</v>
      </c>
      <c r="F160" s="138">
        <f>IFERROR(__xludf.DUMMYFUNCTION("""COMPUTED_VALUE"""),4.0)</f>
        <v>4</v>
      </c>
      <c r="G160" s="138">
        <f>IFERROR(__xludf.DUMMYFUNCTION("""COMPUTED_VALUE"""),4.0)</f>
        <v>4</v>
      </c>
      <c r="H160" s="138">
        <f>IFERROR(__xludf.DUMMYFUNCTION("""COMPUTED_VALUE"""),4.0)</f>
        <v>4</v>
      </c>
      <c r="I160" s="138">
        <f>IFERROR(__xludf.DUMMYFUNCTION("""COMPUTED_VALUE"""),4.0)</f>
        <v>4</v>
      </c>
      <c r="J160" s="138">
        <f>IFERROR(__xludf.DUMMYFUNCTION("""COMPUTED_VALUE"""),4.0)</f>
        <v>4</v>
      </c>
      <c r="K160" s="138">
        <f>IFERROR(__xludf.DUMMYFUNCTION("""COMPUTED_VALUE"""),4.0)</f>
        <v>4</v>
      </c>
      <c r="L160" s="138">
        <v>28.0</v>
      </c>
      <c r="M160" s="140" t="str">
        <f>VLOOKUP(text(D160, "#"),'Master Table'!$A:$F, 6, FALSE)</f>
        <v>A-7</v>
      </c>
      <c r="N160" s="141"/>
      <c r="O160" s="142" t="str">
        <f t="shared" si="1"/>
        <v/>
      </c>
      <c r="P160" s="143" t="str">
        <f>IF(ISNA(VLOOKUP(CONCAT(M160,C160), 'Judge Count DO NOT EDIT'!H:H, 1, FALSE)), "ERROR","")</f>
        <v/>
      </c>
      <c r="Q160" s="141"/>
      <c r="R160" s="143"/>
      <c r="S160" s="139" t="str">
        <f t="shared" si="2"/>
        <v>1010136</v>
      </c>
      <c r="T160" s="141"/>
    </row>
    <row r="161">
      <c r="A161" s="137">
        <f>IFERROR(__xludf.DUMMYFUNCTION("""COMPUTED_VALUE"""),45352.40269215278)</f>
        <v>45352.40269</v>
      </c>
      <c r="B161" s="138" t="str">
        <f>IFERROR(__xludf.DUMMYFUNCTION("""COMPUTED_VALUE"""),"Eric Smigel")</f>
        <v>Eric Smigel</v>
      </c>
      <c r="C161" s="138">
        <f>IFERROR(__xludf.DUMMYFUNCTION("""COMPUTED_VALUE"""),1026.0)</f>
        <v>1026</v>
      </c>
      <c r="D161" s="139">
        <f>IFERROR(__xludf.DUMMYFUNCTION("""COMPUTED_VALUE"""),136.0)</f>
        <v>136</v>
      </c>
      <c r="E161" s="138">
        <f>IFERROR(__xludf.DUMMYFUNCTION("""COMPUTED_VALUE"""),4.0)</f>
        <v>4</v>
      </c>
      <c r="F161" s="138">
        <f>IFERROR(__xludf.DUMMYFUNCTION("""COMPUTED_VALUE"""),3.0)</f>
        <v>3</v>
      </c>
      <c r="G161" s="138">
        <f>IFERROR(__xludf.DUMMYFUNCTION("""COMPUTED_VALUE"""),3.0)</f>
        <v>3</v>
      </c>
      <c r="H161" s="138">
        <f>IFERROR(__xludf.DUMMYFUNCTION("""COMPUTED_VALUE"""),3.0)</f>
        <v>3</v>
      </c>
      <c r="I161" s="138">
        <f>IFERROR(__xludf.DUMMYFUNCTION("""COMPUTED_VALUE"""),4.0)</f>
        <v>4</v>
      </c>
      <c r="J161" s="138">
        <f>IFERROR(__xludf.DUMMYFUNCTION("""COMPUTED_VALUE"""),4.0)</f>
        <v>4</v>
      </c>
      <c r="K161" s="138">
        <f>IFERROR(__xludf.DUMMYFUNCTION("""COMPUTED_VALUE"""),3.0)</f>
        <v>3</v>
      </c>
      <c r="L161" s="138">
        <v>24.0</v>
      </c>
      <c r="M161" s="140" t="str">
        <f>VLOOKUP(text(D161, "#"),'Master Table'!$A:$F, 6, FALSE)</f>
        <v>A-7</v>
      </c>
      <c r="N161" s="141"/>
      <c r="O161" s="142" t="str">
        <f t="shared" si="1"/>
        <v/>
      </c>
      <c r="P161" s="143" t="str">
        <f>IF(ISNA(VLOOKUP(CONCAT(M161,C161), 'Judge Count DO NOT EDIT'!H:H, 1, FALSE)), "ERROR","")</f>
        <v/>
      </c>
      <c r="Q161" s="141"/>
      <c r="R161" s="143"/>
      <c r="S161" s="139" t="str">
        <f t="shared" si="2"/>
        <v>1026136</v>
      </c>
      <c r="T161" s="141"/>
    </row>
    <row r="162">
      <c r="A162" s="137">
        <f>IFERROR(__xludf.DUMMYFUNCTION("""COMPUTED_VALUE"""),45352.542910613425)</f>
        <v>45352.54291</v>
      </c>
      <c r="B162" s="138" t="str">
        <f>IFERROR(__xludf.DUMMYFUNCTION("""COMPUTED_VALUE"""),"Bill Aaron")</f>
        <v>Bill Aaron</v>
      </c>
      <c r="C162" s="138">
        <f>IFERROR(__xludf.DUMMYFUNCTION("""COMPUTED_VALUE"""),1060.0)</f>
        <v>1060</v>
      </c>
      <c r="D162" s="139">
        <f>IFERROR(__xludf.DUMMYFUNCTION("""COMPUTED_VALUE"""),136.0)</f>
        <v>136</v>
      </c>
      <c r="E162" s="138">
        <f>IFERROR(__xludf.DUMMYFUNCTION("""COMPUTED_VALUE"""),3.0)</f>
        <v>3</v>
      </c>
      <c r="F162" s="138">
        <f>IFERROR(__xludf.DUMMYFUNCTION("""COMPUTED_VALUE"""),3.0)</f>
        <v>3</v>
      </c>
      <c r="G162" s="138">
        <f>IFERROR(__xludf.DUMMYFUNCTION("""COMPUTED_VALUE"""),2.0)</f>
        <v>2</v>
      </c>
      <c r="H162" s="138">
        <f>IFERROR(__xludf.DUMMYFUNCTION("""COMPUTED_VALUE"""),3.0)</f>
        <v>3</v>
      </c>
      <c r="I162" s="138">
        <f>IFERROR(__xludf.DUMMYFUNCTION("""COMPUTED_VALUE"""),2.0)</f>
        <v>2</v>
      </c>
      <c r="J162" s="138">
        <f>IFERROR(__xludf.DUMMYFUNCTION("""COMPUTED_VALUE"""),2.0)</f>
        <v>2</v>
      </c>
      <c r="K162" s="138">
        <f>IFERROR(__xludf.DUMMYFUNCTION("""COMPUTED_VALUE"""),2.0)</f>
        <v>2</v>
      </c>
      <c r="L162" s="138">
        <v>17.0</v>
      </c>
      <c r="M162" s="140" t="str">
        <f>VLOOKUP(text(D162, "#"),'Master Table'!$A:$F, 6, FALSE)</f>
        <v>A-7</v>
      </c>
      <c r="N162" s="141" t="str">
        <f>IFERROR(__xludf.DUMMYFUNCTION("""COMPUTED_VALUE"""),"Presenter read much of their oral presentation from a cell phone giving me the impression that they did know their subject material or presentation all that well. ")</f>
        <v>Presenter read much of their oral presentation from a cell phone giving me the impression that they did know their subject material or presentation all that well. </v>
      </c>
      <c r="O162" s="142" t="str">
        <f t="shared" si="1"/>
        <v/>
      </c>
      <c r="P162" s="143" t="str">
        <f>IF(ISNA(VLOOKUP(CONCAT(M162,C162), 'Judge Count DO NOT EDIT'!H:H, 1, FALSE)), "ERROR","")</f>
        <v/>
      </c>
      <c r="Q162" s="141"/>
      <c r="R162" s="143"/>
      <c r="S162" s="139" t="str">
        <f t="shared" si="2"/>
        <v>1060136</v>
      </c>
      <c r="T162" s="141"/>
    </row>
    <row r="163">
      <c r="A163" s="137">
        <f>IFERROR(__xludf.DUMMYFUNCTION("""COMPUTED_VALUE"""),45352.5757552662)</f>
        <v>45352.57576</v>
      </c>
      <c r="B163" s="138" t="str">
        <f>IFERROR(__xludf.DUMMYFUNCTION("""COMPUTED_VALUE"""),"Charles Dintrone ")</f>
        <v>Charles Dintrone </v>
      </c>
      <c r="C163" s="138">
        <f>IFERROR(__xludf.DUMMYFUNCTION("""COMPUTED_VALUE"""),1007.0)</f>
        <v>1007</v>
      </c>
      <c r="D163" s="139">
        <f>IFERROR(__xludf.DUMMYFUNCTION("""COMPUTED_VALUE"""),136.0)</f>
        <v>136</v>
      </c>
      <c r="E163" s="138">
        <f>IFERROR(__xludf.DUMMYFUNCTION("""COMPUTED_VALUE"""),4.0)</f>
        <v>4</v>
      </c>
      <c r="F163" s="138">
        <f>IFERROR(__xludf.DUMMYFUNCTION("""COMPUTED_VALUE"""),4.0)</f>
        <v>4</v>
      </c>
      <c r="G163" s="138">
        <f>IFERROR(__xludf.DUMMYFUNCTION("""COMPUTED_VALUE"""),4.0)</f>
        <v>4</v>
      </c>
      <c r="H163" s="138">
        <f>IFERROR(__xludf.DUMMYFUNCTION("""COMPUTED_VALUE"""),3.0)</f>
        <v>3</v>
      </c>
      <c r="I163" s="138">
        <f>IFERROR(__xludf.DUMMYFUNCTION("""COMPUTED_VALUE"""),4.0)</f>
        <v>4</v>
      </c>
      <c r="J163" s="138">
        <f>IFERROR(__xludf.DUMMYFUNCTION("""COMPUTED_VALUE"""),4.0)</f>
        <v>4</v>
      </c>
      <c r="K163" s="138">
        <f>IFERROR(__xludf.DUMMYFUNCTION("""COMPUTED_VALUE"""),4.0)</f>
        <v>4</v>
      </c>
      <c r="L163" s="138">
        <v>27.0</v>
      </c>
      <c r="M163" s="140" t="str">
        <f>VLOOKUP(text(D163, "#"),'Master Table'!$A:$F, 6, FALSE)</f>
        <v>A-7</v>
      </c>
      <c r="N163" s="141"/>
      <c r="O163" s="142" t="str">
        <f t="shared" si="1"/>
        <v/>
      </c>
      <c r="P163" s="143" t="str">
        <f>IF(ISNA(VLOOKUP(CONCAT(M163,C163), 'Judge Count DO NOT EDIT'!H:H, 1, FALSE)), "ERROR","")</f>
        <v/>
      </c>
      <c r="Q163" s="141"/>
      <c r="R163" s="143"/>
      <c r="S163" s="139" t="str">
        <f t="shared" si="2"/>
        <v>1007136</v>
      </c>
      <c r="T163" s="141"/>
    </row>
    <row r="164">
      <c r="A164" s="137">
        <f>IFERROR(__xludf.DUMMYFUNCTION("""COMPUTED_VALUE"""),45352.41657458333)</f>
        <v>45352.41657</v>
      </c>
      <c r="B164" s="138" t="str">
        <f>IFERROR(__xludf.DUMMYFUNCTION("""COMPUTED_VALUE"""),"Natalie Gude")</f>
        <v>Natalie Gude</v>
      </c>
      <c r="C164" s="138">
        <f>IFERROR(__xludf.DUMMYFUNCTION("""COMPUTED_VALUE"""),1010.0)</f>
        <v>1010</v>
      </c>
      <c r="D164" s="139">
        <f>IFERROR(__xludf.DUMMYFUNCTION("""COMPUTED_VALUE"""),137.0)</f>
        <v>137</v>
      </c>
      <c r="E164" s="138">
        <f>IFERROR(__xludf.DUMMYFUNCTION("""COMPUTED_VALUE"""),5.0)</f>
        <v>5</v>
      </c>
      <c r="F164" s="138">
        <f>IFERROR(__xludf.DUMMYFUNCTION("""COMPUTED_VALUE"""),5.0)</f>
        <v>5</v>
      </c>
      <c r="G164" s="138">
        <f>IFERROR(__xludf.DUMMYFUNCTION("""COMPUTED_VALUE"""),5.0)</f>
        <v>5</v>
      </c>
      <c r="H164" s="138">
        <f>IFERROR(__xludf.DUMMYFUNCTION("""COMPUTED_VALUE"""),4.0)</f>
        <v>4</v>
      </c>
      <c r="I164" s="138">
        <f>IFERROR(__xludf.DUMMYFUNCTION("""COMPUTED_VALUE"""),5.0)</f>
        <v>5</v>
      </c>
      <c r="J164" s="138">
        <f>IFERROR(__xludf.DUMMYFUNCTION("""COMPUTED_VALUE"""),5.0)</f>
        <v>5</v>
      </c>
      <c r="K164" s="138">
        <f>IFERROR(__xludf.DUMMYFUNCTION("""COMPUTED_VALUE"""),5.0)</f>
        <v>5</v>
      </c>
      <c r="L164" s="138">
        <v>34.0</v>
      </c>
      <c r="M164" s="140" t="str">
        <f>VLOOKUP(text(D164, "#"),'Master Table'!$A:$F, 6, FALSE)</f>
        <v>A-7</v>
      </c>
      <c r="N164" s="141"/>
      <c r="O164" s="142" t="str">
        <f t="shared" si="1"/>
        <v/>
      </c>
      <c r="P164" s="143" t="str">
        <f>IF(ISNA(VLOOKUP(CONCAT(M164,C164), 'Judge Count DO NOT EDIT'!H:H, 1, FALSE)), "ERROR","")</f>
        <v/>
      </c>
      <c r="Q164" s="141"/>
      <c r="R164" s="143"/>
      <c r="S164" s="139" t="str">
        <f t="shared" si="2"/>
        <v>1010137</v>
      </c>
      <c r="T164" s="141"/>
    </row>
    <row r="165">
      <c r="A165" s="137">
        <f>IFERROR(__xludf.DUMMYFUNCTION("""COMPUTED_VALUE"""),45352.41659716435)</f>
        <v>45352.4166</v>
      </c>
      <c r="B165" s="138" t="str">
        <f>IFERROR(__xludf.DUMMYFUNCTION("""COMPUTED_VALUE"""),"Roy Whitaker")</f>
        <v>Roy Whitaker</v>
      </c>
      <c r="C165" s="138">
        <f>IFERROR(__xludf.DUMMYFUNCTION("""COMPUTED_VALUE"""),1052.0)</f>
        <v>1052</v>
      </c>
      <c r="D165" s="139">
        <f>IFERROR(__xludf.DUMMYFUNCTION("""COMPUTED_VALUE"""),137.0)</f>
        <v>137</v>
      </c>
      <c r="E165" s="138">
        <f>IFERROR(__xludf.DUMMYFUNCTION("""COMPUTED_VALUE"""),3.0)</f>
        <v>3</v>
      </c>
      <c r="F165" s="138">
        <f>IFERROR(__xludf.DUMMYFUNCTION("""COMPUTED_VALUE"""),4.0)</f>
        <v>4</v>
      </c>
      <c r="G165" s="138">
        <f>IFERROR(__xludf.DUMMYFUNCTION("""COMPUTED_VALUE"""),4.0)</f>
        <v>4</v>
      </c>
      <c r="H165" s="138">
        <f>IFERROR(__xludf.DUMMYFUNCTION("""COMPUTED_VALUE"""),3.0)</f>
        <v>3</v>
      </c>
      <c r="I165" s="138">
        <f>IFERROR(__xludf.DUMMYFUNCTION("""COMPUTED_VALUE"""),4.0)</f>
        <v>4</v>
      </c>
      <c r="J165" s="138">
        <f>IFERROR(__xludf.DUMMYFUNCTION("""COMPUTED_VALUE"""),4.0)</f>
        <v>4</v>
      </c>
      <c r="K165" s="138">
        <f>IFERROR(__xludf.DUMMYFUNCTION("""COMPUTED_VALUE"""),4.0)</f>
        <v>4</v>
      </c>
      <c r="L165" s="138">
        <v>26.0</v>
      </c>
      <c r="M165" s="140" t="str">
        <f>VLOOKUP(text(D165, "#"),'Master Table'!$A:$F, 6, FALSE)</f>
        <v>A-7</v>
      </c>
      <c r="N165" s="141" t="str">
        <f>IFERROR(__xludf.DUMMYFUNCTION("""COMPUTED_VALUE"""),"Great job!
What philosophy do you agree with that says the other is not known?  I assume this will be developed in article")</f>
        <v>Great job!
What philosophy do you agree with that says the other is not known?  I assume this will be developed in article</v>
      </c>
      <c r="O165" s="142" t="str">
        <f t="shared" si="1"/>
        <v/>
      </c>
      <c r="P165" s="143" t="str">
        <f>IF(ISNA(VLOOKUP(CONCAT(M165,C165), 'Judge Count DO NOT EDIT'!H:H, 1, FALSE)), "ERROR","")</f>
        <v/>
      </c>
      <c r="Q165" s="141"/>
      <c r="R165" s="143"/>
      <c r="S165" s="139" t="str">
        <f t="shared" si="2"/>
        <v>1052137</v>
      </c>
      <c r="T165" s="141"/>
    </row>
    <row r="166">
      <c r="A166" s="137">
        <f>IFERROR(__xludf.DUMMYFUNCTION("""COMPUTED_VALUE"""),45352.41846162037)</f>
        <v>45352.41846</v>
      </c>
      <c r="B166" s="138" t="str">
        <f>IFERROR(__xludf.DUMMYFUNCTION("""COMPUTED_VALUE"""),"Eric Smigel")</f>
        <v>Eric Smigel</v>
      </c>
      <c r="C166" s="138">
        <f>IFERROR(__xludf.DUMMYFUNCTION("""COMPUTED_VALUE"""),1026.0)</f>
        <v>1026</v>
      </c>
      <c r="D166" s="139">
        <f>IFERROR(__xludf.DUMMYFUNCTION("""COMPUTED_VALUE"""),137.0)</f>
        <v>137</v>
      </c>
      <c r="E166" s="138">
        <f>IFERROR(__xludf.DUMMYFUNCTION("""COMPUTED_VALUE"""),4.0)</f>
        <v>4</v>
      </c>
      <c r="F166" s="138">
        <f>IFERROR(__xludf.DUMMYFUNCTION("""COMPUTED_VALUE"""),4.0)</f>
        <v>4</v>
      </c>
      <c r="G166" s="138">
        <f>IFERROR(__xludf.DUMMYFUNCTION("""COMPUTED_VALUE"""),5.0)</f>
        <v>5</v>
      </c>
      <c r="H166" s="138">
        <f>IFERROR(__xludf.DUMMYFUNCTION("""COMPUTED_VALUE"""),4.0)</f>
        <v>4</v>
      </c>
      <c r="I166" s="138">
        <f>IFERROR(__xludf.DUMMYFUNCTION("""COMPUTED_VALUE"""),5.0)</f>
        <v>5</v>
      </c>
      <c r="J166" s="138">
        <f>IFERROR(__xludf.DUMMYFUNCTION("""COMPUTED_VALUE"""),4.0)</f>
        <v>4</v>
      </c>
      <c r="K166" s="138">
        <f>IFERROR(__xludf.DUMMYFUNCTION("""COMPUTED_VALUE"""),4.0)</f>
        <v>4</v>
      </c>
      <c r="L166" s="138">
        <v>30.0</v>
      </c>
      <c r="M166" s="140" t="str">
        <f>VLOOKUP(text(D166, "#"),'Master Table'!$A:$F, 6, FALSE)</f>
        <v>A-7</v>
      </c>
      <c r="N166" s="141" t="str">
        <f>IFERROR(__xludf.DUMMYFUNCTION("""COMPUTED_VALUE"""),"Excellent presentation (and a little terrifying)! It would have been instructive to have presented alternate interpretations of the issue.")</f>
        <v>Excellent presentation (and a little terrifying)! It would have been instructive to have presented alternate interpretations of the issue.</v>
      </c>
      <c r="O166" s="142" t="str">
        <f t="shared" si="1"/>
        <v/>
      </c>
      <c r="P166" s="143" t="str">
        <f>IF(ISNA(VLOOKUP(CONCAT(M166,C166), 'Judge Count DO NOT EDIT'!H:H, 1, FALSE)), "ERROR","")</f>
        <v/>
      </c>
      <c r="Q166" s="141"/>
      <c r="R166" s="143"/>
      <c r="S166" s="139" t="str">
        <f t="shared" si="2"/>
        <v>1026137</v>
      </c>
      <c r="T166" s="141"/>
    </row>
    <row r="167">
      <c r="A167" s="137">
        <f>IFERROR(__xludf.DUMMYFUNCTION("""COMPUTED_VALUE"""),45352.54349826388)</f>
        <v>45352.5435</v>
      </c>
      <c r="B167" s="138" t="str">
        <f>IFERROR(__xludf.DUMMYFUNCTION("""COMPUTED_VALUE"""),"Bill Aaron")</f>
        <v>Bill Aaron</v>
      </c>
      <c r="C167" s="138">
        <f>IFERROR(__xludf.DUMMYFUNCTION("""COMPUTED_VALUE"""),1060.0)</f>
        <v>1060</v>
      </c>
      <c r="D167" s="139">
        <f>IFERROR(__xludf.DUMMYFUNCTION("""COMPUTED_VALUE"""),137.0)</f>
        <v>137</v>
      </c>
      <c r="E167" s="138">
        <f>IFERROR(__xludf.DUMMYFUNCTION("""COMPUTED_VALUE"""),4.0)</f>
        <v>4</v>
      </c>
      <c r="F167" s="138">
        <f>IFERROR(__xludf.DUMMYFUNCTION("""COMPUTED_VALUE"""),3.0)</f>
        <v>3</v>
      </c>
      <c r="G167" s="138">
        <f>IFERROR(__xludf.DUMMYFUNCTION("""COMPUTED_VALUE"""),4.0)</f>
        <v>4</v>
      </c>
      <c r="H167" s="138">
        <f>IFERROR(__xludf.DUMMYFUNCTION("""COMPUTED_VALUE"""),2.0)</f>
        <v>2</v>
      </c>
      <c r="I167" s="138">
        <f>IFERROR(__xludf.DUMMYFUNCTION("""COMPUTED_VALUE"""),2.0)</f>
        <v>2</v>
      </c>
      <c r="J167" s="138">
        <f>IFERROR(__xludf.DUMMYFUNCTION("""COMPUTED_VALUE"""),3.0)</f>
        <v>3</v>
      </c>
      <c r="K167" s="138">
        <f>IFERROR(__xludf.DUMMYFUNCTION("""COMPUTED_VALUE"""),3.0)</f>
        <v>3</v>
      </c>
      <c r="L167" s="138">
        <v>21.0</v>
      </c>
      <c r="M167" s="140" t="str">
        <f>VLOOKUP(text(D167, "#"),'Master Table'!$A:$F, 6, FALSE)</f>
        <v>A-7</v>
      </c>
      <c r="N167" s="141"/>
      <c r="O167" s="142" t="str">
        <f t="shared" si="1"/>
        <v/>
      </c>
      <c r="P167" s="143" t="str">
        <f>IF(ISNA(VLOOKUP(CONCAT(M167,C167), 'Judge Count DO NOT EDIT'!H:H, 1, FALSE)), "ERROR","")</f>
        <v/>
      </c>
      <c r="Q167" s="141"/>
      <c r="R167" s="143"/>
      <c r="S167" s="139" t="str">
        <f t="shared" si="2"/>
        <v>1060137</v>
      </c>
      <c r="T167" s="141"/>
    </row>
    <row r="168">
      <c r="A168" s="137">
        <f>IFERROR(__xludf.DUMMYFUNCTION("""COMPUTED_VALUE"""),45352.57859258102)</f>
        <v>45352.57859</v>
      </c>
      <c r="B168" s="138" t="str">
        <f>IFERROR(__xludf.DUMMYFUNCTION("""COMPUTED_VALUE"""),"Charles Dintrone ")</f>
        <v>Charles Dintrone </v>
      </c>
      <c r="C168" s="138">
        <f>IFERROR(__xludf.DUMMYFUNCTION("""COMPUTED_VALUE"""),1007.0)</f>
        <v>1007</v>
      </c>
      <c r="D168" s="139">
        <f>IFERROR(__xludf.DUMMYFUNCTION("""COMPUTED_VALUE"""),137.0)</f>
        <v>137</v>
      </c>
      <c r="E168" s="138">
        <f>IFERROR(__xludf.DUMMYFUNCTION("""COMPUTED_VALUE"""),3.0)</f>
        <v>3</v>
      </c>
      <c r="F168" s="138">
        <f>IFERROR(__xludf.DUMMYFUNCTION("""COMPUTED_VALUE"""),4.0)</f>
        <v>4</v>
      </c>
      <c r="G168" s="138">
        <f>IFERROR(__xludf.DUMMYFUNCTION("""COMPUTED_VALUE"""),4.0)</f>
        <v>4</v>
      </c>
      <c r="H168" s="138">
        <f>IFERROR(__xludf.DUMMYFUNCTION("""COMPUTED_VALUE"""),4.0)</f>
        <v>4</v>
      </c>
      <c r="I168" s="138">
        <f>IFERROR(__xludf.DUMMYFUNCTION("""COMPUTED_VALUE"""),3.0)</f>
        <v>3</v>
      </c>
      <c r="J168" s="138">
        <f>IFERROR(__xludf.DUMMYFUNCTION("""COMPUTED_VALUE"""),3.0)</f>
        <v>3</v>
      </c>
      <c r="K168" s="138">
        <f>IFERROR(__xludf.DUMMYFUNCTION("""COMPUTED_VALUE"""),3.0)</f>
        <v>3</v>
      </c>
      <c r="L168" s="138">
        <v>24.0</v>
      </c>
      <c r="M168" s="140" t="str">
        <f>VLOOKUP(text(D168, "#"),'Master Table'!$A:$F, 6, FALSE)</f>
        <v>A-7</v>
      </c>
      <c r="N168" s="141"/>
      <c r="O168" s="142" t="str">
        <f t="shared" si="1"/>
        <v/>
      </c>
      <c r="P168" s="143" t="str">
        <f>IF(ISNA(VLOOKUP(CONCAT(M168,C168), 'Judge Count DO NOT EDIT'!H:H, 1, FALSE)), "ERROR","")</f>
        <v/>
      </c>
      <c r="Q168" s="141"/>
      <c r="R168" s="143"/>
      <c r="S168" s="139" t="str">
        <f t="shared" si="2"/>
        <v>1007137</v>
      </c>
      <c r="T168" s="141"/>
    </row>
    <row r="169">
      <c r="A169" s="137">
        <f>IFERROR(__xludf.DUMMYFUNCTION("""COMPUTED_VALUE"""),45352.42951862268)</f>
        <v>45352.42952</v>
      </c>
      <c r="B169" s="138" t="str">
        <f>IFERROR(__xludf.DUMMYFUNCTION("""COMPUTED_VALUE"""),"Eric Smigel")</f>
        <v>Eric Smigel</v>
      </c>
      <c r="C169" s="138">
        <f>IFERROR(__xludf.DUMMYFUNCTION("""COMPUTED_VALUE"""),1026.0)</f>
        <v>1026</v>
      </c>
      <c r="D169" s="139">
        <f>IFERROR(__xludf.DUMMYFUNCTION("""COMPUTED_VALUE"""),138.0)</f>
        <v>138</v>
      </c>
      <c r="E169" s="138">
        <f>IFERROR(__xludf.DUMMYFUNCTION("""COMPUTED_VALUE"""),3.0)</f>
        <v>3</v>
      </c>
      <c r="F169" s="138">
        <f>IFERROR(__xludf.DUMMYFUNCTION("""COMPUTED_VALUE"""),2.0)</f>
        <v>2</v>
      </c>
      <c r="G169" s="138">
        <f>IFERROR(__xludf.DUMMYFUNCTION("""COMPUTED_VALUE"""),4.0)</f>
        <v>4</v>
      </c>
      <c r="H169" s="138">
        <f>IFERROR(__xludf.DUMMYFUNCTION("""COMPUTED_VALUE"""),2.0)</f>
        <v>2</v>
      </c>
      <c r="I169" s="138">
        <f>IFERROR(__xludf.DUMMYFUNCTION("""COMPUTED_VALUE"""),3.0)</f>
        <v>3</v>
      </c>
      <c r="J169" s="138">
        <f>IFERROR(__xludf.DUMMYFUNCTION("""COMPUTED_VALUE"""),3.0)</f>
        <v>3</v>
      </c>
      <c r="K169" s="138">
        <f>IFERROR(__xludf.DUMMYFUNCTION("""COMPUTED_VALUE"""),3.0)</f>
        <v>3</v>
      </c>
      <c r="L169" s="138">
        <v>20.0</v>
      </c>
      <c r="M169" s="140" t="str">
        <f>VLOOKUP(text(D169, "#"),'Master Table'!$A:$F, 6, FALSE)</f>
        <v>A-7</v>
      </c>
      <c r="N169" s="141" t="str">
        <f>IFERROR(__xludf.DUMMYFUNCTION("""COMPUTED_VALUE"""),"Such an interesting topic! It would have been effective to include media examples of your own art and music.")</f>
        <v>Such an interesting topic! It would have been effective to include media examples of your own art and music.</v>
      </c>
      <c r="O169" s="142" t="str">
        <f t="shared" si="1"/>
        <v/>
      </c>
      <c r="P169" s="143" t="str">
        <f>IF(ISNA(VLOOKUP(CONCAT(M169,C169), 'Judge Count DO NOT EDIT'!H:H, 1, FALSE)), "ERROR","")</f>
        <v/>
      </c>
      <c r="Q169" s="141"/>
      <c r="R169" s="143"/>
      <c r="S169" s="139" t="str">
        <f t="shared" si="2"/>
        <v>1026138</v>
      </c>
      <c r="T169" s="141"/>
    </row>
    <row r="170">
      <c r="A170" s="137">
        <f>IFERROR(__xludf.DUMMYFUNCTION("""COMPUTED_VALUE"""),45352.43019190972)</f>
        <v>45352.43019</v>
      </c>
      <c r="B170" s="138" t="str">
        <f>IFERROR(__xludf.DUMMYFUNCTION("""COMPUTED_VALUE"""),"Roy Whitaker ")</f>
        <v>Roy Whitaker </v>
      </c>
      <c r="C170" s="138">
        <f>IFERROR(__xludf.DUMMYFUNCTION("""COMPUTED_VALUE"""),1052.0)</f>
        <v>1052</v>
      </c>
      <c r="D170" s="139">
        <f>IFERROR(__xludf.DUMMYFUNCTION("""COMPUTED_VALUE"""),138.0)</f>
        <v>138</v>
      </c>
      <c r="E170" s="138">
        <f>IFERROR(__xludf.DUMMYFUNCTION("""COMPUTED_VALUE"""),2.0)</f>
        <v>2</v>
      </c>
      <c r="F170" s="138">
        <f>IFERROR(__xludf.DUMMYFUNCTION("""COMPUTED_VALUE"""),2.0)</f>
        <v>2</v>
      </c>
      <c r="G170" s="138">
        <f>IFERROR(__xludf.DUMMYFUNCTION("""COMPUTED_VALUE"""),2.0)</f>
        <v>2</v>
      </c>
      <c r="H170" s="138">
        <f>IFERROR(__xludf.DUMMYFUNCTION("""COMPUTED_VALUE"""),2.0)</f>
        <v>2</v>
      </c>
      <c r="I170" s="138">
        <f>IFERROR(__xludf.DUMMYFUNCTION("""COMPUTED_VALUE"""),2.0)</f>
        <v>2</v>
      </c>
      <c r="J170" s="138">
        <f>IFERROR(__xludf.DUMMYFUNCTION("""COMPUTED_VALUE"""),2.0)</f>
        <v>2</v>
      </c>
      <c r="K170" s="138">
        <f>IFERROR(__xludf.DUMMYFUNCTION("""COMPUTED_VALUE"""),2.0)</f>
        <v>2</v>
      </c>
      <c r="L170" s="138">
        <v>14.0</v>
      </c>
      <c r="M170" s="140" t="str">
        <f>VLOOKUP(text(D170, "#"),'Master Table'!$A:$F, 6, FALSE)</f>
        <v>A-7</v>
      </c>
      <c r="N170" s="141" t="str">
        <f>IFERROR(__xludf.DUMMYFUNCTION("""COMPUTED_VALUE"""),"Existentialism and art defined too broadly
Greater theoretical framework needed and connected to research (eg, not sure Existentialism is the only path or best path)
Thoughtful life question is a big too large for a research question
Meditation, body mind"&amp;" issues need deeper exploration")</f>
        <v>Existentialism and art defined too broadly
Greater theoretical framework needed and connected to research (eg, not sure Existentialism is the only path or best path)
Thoughtful life question is a big too large for a research question
Meditation, body mind issues need deeper exploration</v>
      </c>
      <c r="O170" s="142" t="str">
        <f t="shared" si="1"/>
        <v/>
      </c>
      <c r="P170" s="143" t="str">
        <f>IF(ISNA(VLOOKUP(CONCAT(M170,C170), 'Judge Count DO NOT EDIT'!H:H, 1, FALSE)), "ERROR","")</f>
        <v/>
      </c>
      <c r="Q170" s="141"/>
      <c r="R170" s="143"/>
      <c r="S170" s="139" t="str">
        <f t="shared" si="2"/>
        <v>1052138</v>
      </c>
      <c r="T170" s="141"/>
    </row>
    <row r="171">
      <c r="A171" s="137">
        <f>IFERROR(__xludf.DUMMYFUNCTION("""COMPUTED_VALUE"""),45352.43069599537)</f>
        <v>45352.4307</v>
      </c>
      <c r="B171" s="138" t="str">
        <f>IFERROR(__xludf.DUMMYFUNCTION("""COMPUTED_VALUE"""),"Natalie Gude")</f>
        <v>Natalie Gude</v>
      </c>
      <c r="C171" s="138">
        <f>IFERROR(__xludf.DUMMYFUNCTION("""COMPUTED_VALUE"""),1010.0)</f>
        <v>1010</v>
      </c>
      <c r="D171" s="139">
        <f>IFERROR(__xludf.DUMMYFUNCTION("""COMPUTED_VALUE"""),138.0)</f>
        <v>138</v>
      </c>
      <c r="E171" s="138">
        <f>IFERROR(__xludf.DUMMYFUNCTION("""COMPUTED_VALUE"""),4.0)</f>
        <v>4</v>
      </c>
      <c r="F171" s="138">
        <f>IFERROR(__xludf.DUMMYFUNCTION("""COMPUTED_VALUE"""),5.0)</f>
        <v>5</v>
      </c>
      <c r="G171" s="138">
        <f>IFERROR(__xludf.DUMMYFUNCTION("""COMPUTED_VALUE"""),5.0)</f>
        <v>5</v>
      </c>
      <c r="H171" s="138">
        <f>IFERROR(__xludf.DUMMYFUNCTION("""COMPUTED_VALUE"""),4.0)</f>
        <v>4</v>
      </c>
      <c r="I171" s="138">
        <f>IFERROR(__xludf.DUMMYFUNCTION("""COMPUTED_VALUE"""),4.0)</f>
        <v>4</v>
      </c>
      <c r="J171" s="138">
        <f>IFERROR(__xludf.DUMMYFUNCTION("""COMPUTED_VALUE"""),4.0)</f>
        <v>4</v>
      </c>
      <c r="K171" s="138">
        <f>IFERROR(__xludf.DUMMYFUNCTION("""COMPUTED_VALUE"""),5.0)</f>
        <v>5</v>
      </c>
      <c r="L171" s="138">
        <v>31.0</v>
      </c>
      <c r="M171" s="140" t="str">
        <f>VLOOKUP(text(D171, "#"),'Master Table'!$A:$F, 6, FALSE)</f>
        <v>A-7</v>
      </c>
      <c r="N171" s="141"/>
      <c r="O171" s="142" t="str">
        <f t="shared" si="1"/>
        <v/>
      </c>
      <c r="P171" s="143" t="str">
        <f>IF(ISNA(VLOOKUP(CONCAT(M171,C171), 'Judge Count DO NOT EDIT'!H:H, 1, FALSE)), "ERROR","")</f>
        <v/>
      </c>
      <c r="Q171" s="141"/>
      <c r="R171" s="143"/>
      <c r="S171" s="139" t="str">
        <f t="shared" si="2"/>
        <v>1010138</v>
      </c>
      <c r="T171" s="141"/>
    </row>
    <row r="172">
      <c r="A172" s="137">
        <f>IFERROR(__xludf.DUMMYFUNCTION("""COMPUTED_VALUE"""),45352.58060664352)</f>
        <v>45352.58061</v>
      </c>
      <c r="B172" s="138" t="str">
        <f>IFERROR(__xludf.DUMMYFUNCTION("""COMPUTED_VALUE"""),"Charles Dintrone ")</f>
        <v>Charles Dintrone </v>
      </c>
      <c r="C172" s="138">
        <f>IFERROR(__xludf.DUMMYFUNCTION("""COMPUTED_VALUE"""),1007.0)</f>
        <v>1007</v>
      </c>
      <c r="D172" s="139">
        <f>IFERROR(__xludf.DUMMYFUNCTION("""COMPUTED_VALUE"""),138.0)</f>
        <v>138</v>
      </c>
      <c r="E172" s="138">
        <f>IFERROR(__xludf.DUMMYFUNCTION("""COMPUTED_VALUE"""),3.0)</f>
        <v>3</v>
      </c>
      <c r="F172" s="138">
        <f>IFERROR(__xludf.DUMMYFUNCTION("""COMPUTED_VALUE"""),4.0)</f>
        <v>4</v>
      </c>
      <c r="G172" s="138">
        <f>IFERROR(__xludf.DUMMYFUNCTION("""COMPUTED_VALUE"""),3.0)</f>
        <v>3</v>
      </c>
      <c r="H172" s="138">
        <f>IFERROR(__xludf.DUMMYFUNCTION("""COMPUTED_VALUE"""),3.0)</f>
        <v>3</v>
      </c>
      <c r="I172" s="138">
        <f>IFERROR(__xludf.DUMMYFUNCTION("""COMPUTED_VALUE"""),2.0)</f>
        <v>2</v>
      </c>
      <c r="J172" s="138">
        <f>IFERROR(__xludf.DUMMYFUNCTION("""COMPUTED_VALUE"""),3.0)</f>
        <v>3</v>
      </c>
      <c r="K172" s="138">
        <f>IFERROR(__xludf.DUMMYFUNCTION("""COMPUTED_VALUE"""),3.0)</f>
        <v>3</v>
      </c>
      <c r="L172" s="138">
        <v>21.0</v>
      </c>
      <c r="M172" s="140" t="str">
        <f>VLOOKUP(text(D172, "#"),'Master Table'!$A:$F, 6, FALSE)</f>
        <v>A-7</v>
      </c>
      <c r="N172" s="141"/>
      <c r="O172" s="142" t="str">
        <f t="shared" si="1"/>
        <v/>
      </c>
      <c r="P172" s="143" t="str">
        <f>IF(ISNA(VLOOKUP(CONCAT(M172,C172), 'Judge Count DO NOT EDIT'!H:H, 1, FALSE)), "ERROR","")</f>
        <v/>
      </c>
      <c r="Q172" s="144"/>
      <c r="R172" s="143"/>
      <c r="S172" s="139" t="str">
        <f t="shared" si="2"/>
        <v>1007138</v>
      </c>
      <c r="T172" s="141"/>
    </row>
    <row r="173">
      <c r="A173" s="137">
        <f>IFERROR(__xludf.DUMMYFUNCTION("""COMPUTED_VALUE"""),45352.592463043984)</f>
        <v>45352.59246</v>
      </c>
      <c r="B173" s="138" t="str">
        <f>IFERROR(__xludf.DUMMYFUNCTION("""COMPUTED_VALUE"""),"Bill Aaron")</f>
        <v>Bill Aaron</v>
      </c>
      <c r="C173" s="138">
        <f>IFERROR(__xludf.DUMMYFUNCTION("""COMPUTED_VALUE"""),1060.0)</f>
        <v>1060</v>
      </c>
      <c r="D173" s="139">
        <f>IFERROR(__xludf.DUMMYFUNCTION("""COMPUTED_VALUE"""),138.0)</f>
        <v>138</v>
      </c>
      <c r="E173" s="138">
        <f>IFERROR(__xludf.DUMMYFUNCTION("""COMPUTED_VALUE"""),3.0)</f>
        <v>3</v>
      </c>
      <c r="F173" s="138">
        <f>IFERROR(__xludf.DUMMYFUNCTION("""COMPUTED_VALUE"""),3.0)</f>
        <v>3</v>
      </c>
      <c r="G173" s="138">
        <f>IFERROR(__xludf.DUMMYFUNCTION("""COMPUTED_VALUE"""),3.0)</f>
        <v>3</v>
      </c>
      <c r="H173" s="138">
        <f>IFERROR(__xludf.DUMMYFUNCTION("""COMPUTED_VALUE"""),2.0)</f>
        <v>2</v>
      </c>
      <c r="I173" s="138">
        <f>IFERROR(__xludf.DUMMYFUNCTION("""COMPUTED_VALUE"""),3.0)</f>
        <v>3</v>
      </c>
      <c r="J173" s="138">
        <f>IFERROR(__xludf.DUMMYFUNCTION("""COMPUTED_VALUE"""),3.0)</f>
        <v>3</v>
      </c>
      <c r="K173" s="138">
        <f>IFERROR(__xludf.DUMMYFUNCTION("""COMPUTED_VALUE"""),4.0)</f>
        <v>4</v>
      </c>
      <c r="L173" s="138">
        <v>21.0</v>
      </c>
      <c r="M173" s="140" t="str">
        <f>VLOOKUP(text(D173, "#"),'Master Table'!$A:$F, 6, FALSE)</f>
        <v>A-7</v>
      </c>
      <c r="N173" s="141" t="str">
        <f>IFERROR(__xludf.DUMMYFUNCTION("""COMPUTED_VALUE"""),"Overall knowledge of subject material was good. ")</f>
        <v>Overall knowledge of subject material was good. </v>
      </c>
      <c r="O173" s="142" t="str">
        <f t="shared" si="1"/>
        <v/>
      </c>
      <c r="P173" s="143" t="str">
        <f>IF(ISNA(VLOOKUP(CONCAT(M173,C173), 'Judge Count DO NOT EDIT'!H:H, 1, FALSE)), "ERROR","")</f>
        <v/>
      </c>
      <c r="Q173" s="141"/>
      <c r="R173" s="143"/>
      <c r="S173" s="139" t="str">
        <f t="shared" si="2"/>
        <v>1060138</v>
      </c>
      <c r="T173" s="141"/>
    </row>
    <row r="174">
      <c r="A174" s="137">
        <f>IFERROR(__xludf.DUMMYFUNCTION("""COMPUTED_VALUE"""),45352.44497152777)</f>
        <v>45352.44497</v>
      </c>
      <c r="B174" s="138" t="str">
        <f>IFERROR(__xludf.DUMMYFUNCTION("""COMPUTED_VALUE"""),"Eric Smigel")</f>
        <v>Eric Smigel</v>
      </c>
      <c r="C174" s="138">
        <f>IFERROR(__xludf.DUMMYFUNCTION("""COMPUTED_VALUE"""),1026.0)</f>
        <v>1026</v>
      </c>
      <c r="D174" s="139">
        <f>IFERROR(__xludf.DUMMYFUNCTION("""COMPUTED_VALUE"""),139.0)</f>
        <v>139</v>
      </c>
      <c r="E174" s="138">
        <f>IFERROR(__xludf.DUMMYFUNCTION("""COMPUTED_VALUE"""),4.0)</f>
        <v>4</v>
      </c>
      <c r="F174" s="138">
        <f>IFERROR(__xludf.DUMMYFUNCTION("""COMPUTED_VALUE"""),3.0)</f>
        <v>3</v>
      </c>
      <c r="G174" s="138">
        <f>IFERROR(__xludf.DUMMYFUNCTION("""COMPUTED_VALUE"""),3.0)</f>
        <v>3</v>
      </c>
      <c r="H174" s="138">
        <f>IFERROR(__xludf.DUMMYFUNCTION("""COMPUTED_VALUE"""),3.0)</f>
        <v>3</v>
      </c>
      <c r="I174" s="138">
        <f>IFERROR(__xludf.DUMMYFUNCTION("""COMPUTED_VALUE"""),4.0)</f>
        <v>4</v>
      </c>
      <c r="J174" s="138">
        <f>IFERROR(__xludf.DUMMYFUNCTION("""COMPUTED_VALUE"""),4.0)</f>
        <v>4</v>
      </c>
      <c r="K174" s="138">
        <f>IFERROR(__xludf.DUMMYFUNCTION("""COMPUTED_VALUE"""),4.0)</f>
        <v>4</v>
      </c>
      <c r="L174" s="138">
        <v>25.0</v>
      </c>
      <c r="M174" s="140" t="str">
        <f>VLOOKUP(text(D174, "#"),'Master Table'!$A:$F, 6, FALSE)</f>
        <v>A-7</v>
      </c>
      <c r="N174" s="141" t="str">
        <f>IFERROR(__xludf.DUMMYFUNCTION("""COMPUTED_VALUE"""),"Good work on an interesting topic! I would like to have heard more about your own methods of data collection and anslysis.")</f>
        <v>Good work on an interesting topic! I would like to have heard more about your own methods of data collection and anslysis.</v>
      </c>
      <c r="O174" s="142" t="str">
        <f t="shared" si="1"/>
        <v/>
      </c>
      <c r="P174" s="143" t="str">
        <f>IF(ISNA(VLOOKUP(CONCAT(M174,C174), 'Judge Count DO NOT EDIT'!H:H, 1, FALSE)), "ERROR","")</f>
        <v/>
      </c>
      <c r="Q174" s="141"/>
      <c r="R174" s="143"/>
      <c r="S174" s="139" t="str">
        <f t="shared" si="2"/>
        <v>1026139</v>
      </c>
      <c r="T174" s="141"/>
    </row>
    <row r="175">
      <c r="A175" s="137">
        <f>IFERROR(__xludf.DUMMYFUNCTION("""COMPUTED_VALUE"""),45352.44500939814)</f>
        <v>45352.44501</v>
      </c>
      <c r="B175" s="138" t="str">
        <f>IFERROR(__xludf.DUMMYFUNCTION("""COMPUTED_VALUE"""),"Natalie Gude")</f>
        <v>Natalie Gude</v>
      </c>
      <c r="C175" s="138">
        <f>IFERROR(__xludf.DUMMYFUNCTION("""COMPUTED_VALUE"""),1010.0)</f>
        <v>1010</v>
      </c>
      <c r="D175" s="139">
        <f>IFERROR(__xludf.DUMMYFUNCTION("""COMPUTED_VALUE"""),139.0)</f>
        <v>139</v>
      </c>
      <c r="E175" s="138">
        <f>IFERROR(__xludf.DUMMYFUNCTION("""COMPUTED_VALUE"""),4.0)</f>
        <v>4</v>
      </c>
      <c r="F175" s="138">
        <f>IFERROR(__xludf.DUMMYFUNCTION("""COMPUTED_VALUE"""),4.0)</f>
        <v>4</v>
      </c>
      <c r="G175" s="138">
        <f>IFERROR(__xludf.DUMMYFUNCTION("""COMPUTED_VALUE"""),4.0)</f>
        <v>4</v>
      </c>
      <c r="H175" s="138">
        <f>IFERROR(__xludf.DUMMYFUNCTION("""COMPUTED_VALUE"""),4.0)</f>
        <v>4</v>
      </c>
      <c r="I175" s="138">
        <f>IFERROR(__xludf.DUMMYFUNCTION("""COMPUTED_VALUE"""),4.0)</f>
        <v>4</v>
      </c>
      <c r="J175" s="138">
        <f>IFERROR(__xludf.DUMMYFUNCTION("""COMPUTED_VALUE"""),4.0)</f>
        <v>4</v>
      </c>
      <c r="K175" s="138">
        <f>IFERROR(__xludf.DUMMYFUNCTION("""COMPUTED_VALUE"""),4.0)</f>
        <v>4</v>
      </c>
      <c r="L175" s="138">
        <v>28.0</v>
      </c>
      <c r="M175" s="140" t="str">
        <f>VLOOKUP(text(D175, "#"),'Master Table'!$A:$F, 6, FALSE)</f>
        <v>A-7</v>
      </c>
      <c r="N175" s="141"/>
      <c r="O175" s="142" t="str">
        <f t="shared" si="1"/>
        <v/>
      </c>
      <c r="P175" s="143" t="str">
        <f>IF(ISNA(VLOOKUP(CONCAT(M175,C175), 'Judge Count DO NOT EDIT'!H:H, 1, FALSE)), "ERROR","")</f>
        <v/>
      </c>
      <c r="Q175" s="141"/>
      <c r="R175" s="143"/>
      <c r="S175" s="139" t="str">
        <f t="shared" si="2"/>
        <v>1010139</v>
      </c>
      <c r="T175" s="141"/>
    </row>
    <row r="176">
      <c r="A176" s="137">
        <f>IFERROR(__xludf.DUMMYFUNCTION("""COMPUTED_VALUE"""),45352.44503540509)</f>
        <v>45352.44504</v>
      </c>
      <c r="B176" s="138" t="str">
        <f>IFERROR(__xludf.DUMMYFUNCTION("""COMPUTED_VALUE"""),"Roy Whitaker ")</f>
        <v>Roy Whitaker </v>
      </c>
      <c r="C176" s="138">
        <f>IFERROR(__xludf.DUMMYFUNCTION("""COMPUTED_VALUE"""),1052.0)</f>
        <v>1052</v>
      </c>
      <c r="D176" s="139">
        <f>IFERROR(__xludf.DUMMYFUNCTION("""COMPUTED_VALUE"""),139.0)</f>
        <v>139</v>
      </c>
      <c r="E176" s="138">
        <f>IFERROR(__xludf.DUMMYFUNCTION("""COMPUTED_VALUE"""),2.0)</f>
        <v>2</v>
      </c>
      <c r="F176" s="138">
        <f>IFERROR(__xludf.DUMMYFUNCTION("""COMPUTED_VALUE"""),2.0)</f>
        <v>2</v>
      </c>
      <c r="G176" s="138">
        <f>IFERROR(__xludf.DUMMYFUNCTION("""COMPUTED_VALUE"""),3.0)</f>
        <v>3</v>
      </c>
      <c r="H176" s="138">
        <f>IFERROR(__xludf.DUMMYFUNCTION("""COMPUTED_VALUE"""),2.0)</f>
        <v>2</v>
      </c>
      <c r="I176" s="138">
        <f>IFERROR(__xludf.DUMMYFUNCTION("""COMPUTED_VALUE"""),2.0)</f>
        <v>2</v>
      </c>
      <c r="J176" s="138">
        <f>IFERROR(__xludf.DUMMYFUNCTION("""COMPUTED_VALUE"""),3.0)</f>
        <v>3</v>
      </c>
      <c r="K176" s="138">
        <f>IFERROR(__xludf.DUMMYFUNCTION("""COMPUTED_VALUE"""),2.0)</f>
        <v>2</v>
      </c>
      <c r="L176" s="138">
        <v>16.0</v>
      </c>
      <c r="M176" s="140" t="str">
        <f>VLOOKUP(text(D176, "#"),'Master Table'!$A:$F, 6, FALSE)</f>
        <v>A-7</v>
      </c>
      <c r="N176" s="141" t="str">
        <f>IFERROR(__xludf.DUMMYFUNCTION("""COMPUTED_VALUE"""),"Stronger theoretical framework needed
Clear argument but evidence needs to be centered (sometimes) on a community to make connections concrete")</f>
        <v>Stronger theoretical framework needed
Clear argument but evidence needs to be centered (sometimes) on a community to make connections concrete</v>
      </c>
      <c r="O176" s="142" t="str">
        <f t="shared" si="1"/>
        <v/>
      </c>
      <c r="P176" s="143" t="str">
        <f>IF(ISNA(VLOOKUP(CONCAT(M176,C176), 'Judge Count DO NOT EDIT'!H:H, 1, FALSE)), "ERROR","")</f>
        <v/>
      </c>
      <c r="Q176" s="144"/>
      <c r="R176" s="143"/>
      <c r="S176" s="139" t="str">
        <f t="shared" si="2"/>
        <v>1052139</v>
      </c>
      <c r="T176" s="141"/>
    </row>
    <row r="177">
      <c r="A177" s="137">
        <f>IFERROR(__xludf.DUMMYFUNCTION("""COMPUTED_VALUE"""),45352.58323019676)</f>
        <v>45352.58323</v>
      </c>
      <c r="B177" s="138" t="str">
        <f>IFERROR(__xludf.DUMMYFUNCTION("""COMPUTED_VALUE"""),"Charles Dintrone ")</f>
        <v>Charles Dintrone </v>
      </c>
      <c r="C177" s="138">
        <f>IFERROR(__xludf.DUMMYFUNCTION("""COMPUTED_VALUE"""),1007.0)</f>
        <v>1007</v>
      </c>
      <c r="D177" s="139">
        <f>IFERROR(__xludf.DUMMYFUNCTION("""COMPUTED_VALUE"""),139.0)</f>
        <v>139</v>
      </c>
      <c r="E177" s="138">
        <f>IFERROR(__xludf.DUMMYFUNCTION("""COMPUTED_VALUE"""),4.0)</f>
        <v>4</v>
      </c>
      <c r="F177" s="138">
        <f>IFERROR(__xludf.DUMMYFUNCTION("""COMPUTED_VALUE"""),5.0)</f>
        <v>5</v>
      </c>
      <c r="G177" s="138">
        <f>IFERROR(__xludf.DUMMYFUNCTION("""COMPUTED_VALUE"""),4.0)</f>
        <v>4</v>
      </c>
      <c r="H177" s="138">
        <f>IFERROR(__xludf.DUMMYFUNCTION("""COMPUTED_VALUE"""),3.0)</f>
        <v>3</v>
      </c>
      <c r="I177" s="138">
        <f>IFERROR(__xludf.DUMMYFUNCTION("""COMPUTED_VALUE"""),4.0)</f>
        <v>4</v>
      </c>
      <c r="J177" s="138">
        <f>IFERROR(__xludf.DUMMYFUNCTION("""COMPUTED_VALUE"""),4.0)</f>
        <v>4</v>
      </c>
      <c r="K177" s="138">
        <f>IFERROR(__xludf.DUMMYFUNCTION("""COMPUTED_VALUE"""),4.0)</f>
        <v>4</v>
      </c>
      <c r="L177" s="138">
        <v>28.0</v>
      </c>
      <c r="M177" s="140" t="str">
        <f>VLOOKUP(text(D177, "#"),'Master Table'!$A:$F, 6, FALSE)</f>
        <v>A-7</v>
      </c>
      <c r="N177" s="141"/>
      <c r="O177" s="142" t="str">
        <f t="shared" si="1"/>
        <v/>
      </c>
      <c r="P177" s="143" t="str">
        <f>IF(ISNA(VLOOKUP(CONCAT(M177,C177), 'Judge Count DO NOT EDIT'!H:H, 1, FALSE)), "ERROR","")</f>
        <v/>
      </c>
      <c r="Q177" s="141"/>
      <c r="R177" s="143"/>
      <c r="S177" s="139" t="str">
        <f t="shared" si="2"/>
        <v>1007139</v>
      </c>
      <c r="T177" s="141"/>
    </row>
    <row r="178">
      <c r="A178" s="137">
        <f>IFERROR(__xludf.DUMMYFUNCTION("""COMPUTED_VALUE"""),45352.593053171295)</f>
        <v>45352.59305</v>
      </c>
      <c r="B178" s="138" t="str">
        <f>IFERROR(__xludf.DUMMYFUNCTION("""COMPUTED_VALUE"""),"Bill Aaron")</f>
        <v>Bill Aaron</v>
      </c>
      <c r="C178" s="138">
        <f>IFERROR(__xludf.DUMMYFUNCTION("""COMPUTED_VALUE"""),1060.0)</f>
        <v>1060</v>
      </c>
      <c r="D178" s="139">
        <f>IFERROR(__xludf.DUMMYFUNCTION("""COMPUTED_VALUE"""),139.0)</f>
        <v>139</v>
      </c>
      <c r="E178" s="138">
        <f>IFERROR(__xludf.DUMMYFUNCTION("""COMPUTED_VALUE"""),4.0)</f>
        <v>4</v>
      </c>
      <c r="F178" s="138">
        <f>IFERROR(__xludf.DUMMYFUNCTION("""COMPUTED_VALUE"""),3.0)</f>
        <v>3</v>
      </c>
      <c r="G178" s="138">
        <f>IFERROR(__xludf.DUMMYFUNCTION("""COMPUTED_VALUE"""),3.0)</f>
        <v>3</v>
      </c>
      <c r="H178" s="138">
        <f>IFERROR(__xludf.DUMMYFUNCTION("""COMPUTED_VALUE"""),3.0)</f>
        <v>3</v>
      </c>
      <c r="I178" s="138">
        <f>IFERROR(__xludf.DUMMYFUNCTION("""COMPUTED_VALUE"""),4.0)</f>
        <v>4</v>
      </c>
      <c r="J178" s="138">
        <f>IFERROR(__xludf.DUMMYFUNCTION("""COMPUTED_VALUE"""),4.0)</f>
        <v>4</v>
      </c>
      <c r="K178" s="138">
        <f>IFERROR(__xludf.DUMMYFUNCTION("""COMPUTED_VALUE"""),3.0)</f>
        <v>3</v>
      </c>
      <c r="L178" s="138">
        <v>24.0</v>
      </c>
      <c r="M178" s="140" t="str">
        <f>VLOOKUP(text(D178, "#"),'Master Table'!$A:$F, 6, FALSE)</f>
        <v>A-7</v>
      </c>
      <c r="N178" s="141"/>
      <c r="O178" s="142" t="str">
        <f t="shared" si="1"/>
        <v/>
      </c>
      <c r="P178" s="143" t="str">
        <f>IF(ISNA(VLOOKUP(CONCAT(M178,C178), 'Judge Count DO NOT EDIT'!H:H, 1, FALSE)), "ERROR","")</f>
        <v/>
      </c>
      <c r="Q178" s="141"/>
      <c r="R178" s="143"/>
      <c r="S178" s="139" t="str">
        <f t="shared" si="2"/>
        <v>1060139</v>
      </c>
      <c r="T178" s="141"/>
    </row>
    <row r="179">
      <c r="A179" s="137">
        <f>IFERROR(__xludf.DUMMYFUNCTION("""COMPUTED_VALUE"""),45352.45742707176)</f>
        <v>45352.45743</v>
      </c>
      <c r="B179" s="138" t="str">
        <f>IFERROR(__xludf.DUMMYFUNCTION("""COMPUTED_VALUE"""),"Eric Smigel")</f>
        <v>Eric Smigel</v>
      </c>
      <c r="C179" s="138">
        <f>IFERROR(__xludf.DUMMYFUNCTION("""COMPUTED_VALUE"""),1026.0)</f>
        <v>1026</v>
      </c>
      <c r="D179" s="139">
        <f>IFERROR(__xludf.DUMMYFUNCTION("""COMPUTED_VALUE"""),140.0)</f>
        <v>140</v>
      </c>
      <c r="E179" s="138">
        <f>IFERROR(__xludf.DUMMYFUNCTION("""COMPUTED_VALUE"""),3.0)</f>
        <v>3</v>
      </c>
      <c r="F179" s="138">
        <f>IFERROR(__xludf.DUMMYFUNCTION("""COMPUTED_VALUE"""),3.0)</f>
        <v>3</v>
      </c>
      <c r="G179" s="138">
        <f>IFERROR(__xludf.DUMMYFUNCTION("""COMPUTED_VALUE"""),4.0)</f>
        <v>4</v>
      </c>
      <c r="H179" s="138">
        <f>IFERROR(__xludf.DUMMYFUNCTION("""COMPUTED_VALUE"""),3.0)</f>
        <v>3</v>
      </c>
      <c r="I179" s="138">
        <f>IFERROR(__xludf.DUMMYFUNCTION("""COMPUTED_VALUE"""),3.0)</f>
        <v>3</v>
      </c>
      <c r="J179" s="138">
        <f>IFERROR(__xludf.DUMMYFUNCTION("""COMPUTED_VALUE"""),3.0)</f>
        <v>3</v>
      </c>
      <c r="K179" s="138">
        <f>IFERROR(__xludf.DUMMYFUNCTION("""COMPUTED_VALUE"""),4.0)</f>
        <v>4</v>
      </c>
      <c r="L179" s="138">
        <v>23.0</v>
      </c>
      <c r="M179" s="140" t="str">
        <f>VLOOKUP(text(D179, "#"),'Master Table'!$A:$F, 6, FALSE)</f>
        <v>A-7</v>
      </c>
      <c r="N179" s="141" t="str">
        <f>IFERROR(__xludf.DUMMYFUNCTION("""COMPUTED_VALUE"""),"Excellent presentation on such an interesting topic! I would like to have heard more about your own process of collecting and interpreting data from contemporary Philippine culture.")</f>
        <v>Excellent presentation on such an interesting topic! I would like to have heard more about your own process of collecting and interpreting data from contemporary Philippine culture.</v>
      </c>
      <c r="O179" s="142" t="str">
        <f t="shared" si="1"/>
        <v/>
      </c>
      <c r="P179" s="143" t="str">
        <f>IF(ISNA(VLOOKUP(CONCAT(M179,C179), 'Judge Count DO NOT EDIT'!H:H, 1, FALSE)), "ERROR","")</f>
        <v/>
      </c>
      <c r="Q179" s="141"/>
      <c r="R179" s="143"/>
      <c r="S179" s="139" t="str">
        <f t="shared" si="2"/>
        <v>1026140</v>
      </c>
      <c r="T179" s="141"/>
    </row>
    <row r="180">
      <c r="A180" s="137">
        <f>IFERROR(__xludf.DUMMYFUNCTION("""COMPUTED_VALUE"""),45352.458342384256)</f>
        <v>45352.45834</v>
      </c>
      <c r="B180" s="138" t="str">
        <f>IFERROR(__xludf.DUMMYFUNCTION("""COMPUTED_VALUE"""),"Roy Whitaker")</f>
        <v>Roy Whitaker</v>
      </c>
      <c r="C180" s="138">
        <f>IFERROR(__xludf.DUMMYFUNCTION("""COMPUTED_VALUE"""),1052.0)</f>
        <v>1052</v>
      </c>
      <c r="D180" s="139">
        <f>IFERROR(__xludf.DUMMYFUNCTION("""COMPUTED_VALUE"""),140.0)</f>
        <v>140</v>
      </c>
      <c r="E180" s="138">
        <f>IFERROR(__xludf.DUMMYFUNCTION("""COMPUTED_VALUE"""),2.0)</f>
        <v>2</v>
      </c>
      <c r="F180" s="138">
        <f>IFERROR(__xludf.DUMMYFUNCTION("""COMPUTED_VALUE"""),3.0)</f>
        <v>3</v>
      </c>
      <c r="G180" s="138">
        <f>IFERROR(__xludf.DUMMYFUNCTION("""COMPUTED_VALUE"""),2.0)</f>
        <v>2</v>
      </c>
      <c r="H180" s="138">
        <f>IFERROR(__xludf.DUMMYFUNCTION("""COMPUTED_VALUE"""),2.0)</f>
        <v>2</v>
      </c>
      <c r="I180" s="138">
        <f>IFERROR(__xludf.DUMMYFUNCTION("""COMPUTED_VALUE"""),2.0)</f>
        <v>2</v>
      </c>
      <c r="J180" s="138">
        <f>IFERROR(__xludf.DUMMYFUNCTION("""COMPUTED_VALUE"""),2.0)</f>
        <v>2</v>
      </c>
      <c r="K180" s="138">
        <f>IFERROR(__xludf.DUMMYFUNCTION("""COMPUTED_VALUE"""),2.0)</f>
        <v>2</v>
      </c>
      <c r="L180" s="138">
        <v>15.0</v>
      </c>
      <c r="M180" s="140" t="str">
        <f>VLOOKUP(text(D180, "#"),'Master Table'!$A:$F, 6, FALSE)</f>
        <v>A-7</v>
      </c>
      <c r="N180" s="141" t="str">
        <f>IFERROR(__xludf.DUMMYFUNCTION("""COMPUTED_VALUE"""),"Clearer lit review needed
More theoretical insights needed")</f>
        <v>Clearer lit review needed
More theoretical insights needed</v>
      </c>
      <c r="O180" s="142" t="str">
        <f t="shared" si="1"/>
        <v/>
      </c>
      <c r="P180" s="143" t="str">
        <f>IF(ISNA(VLOOKUP(CONCAT(M180,C180), 'Judge Count DO NOT EDIT'!H:H, 1, FALSE)), "ERROR","")</f>
        <v/>
      </c>
      <c r="Q180" s="141"/>
      <c r="R180" s="143"/>
      <c r="S180" s="139" t="str">
        <f t="shared" si="2"/>
        <v>1052140</v>
      </c>
      <c r="T180" s="141"/>
    </row>
    <row r="181">
      <c r="A181" s="137">
        <f>IFERROR(__xludf.DUMMYFUNCTION("""COMPUTED_VALUE"""),45352.45880282407)</f>
        <v>45352.4588</v>
      </c>
      <c r="B181" s="138" t="str">
        <f>IFERROR(__xludf.DUMMYFUNCTION("""COMPUTED_VALUE"""),"Natalie Gude")</f>
        <v>Natalie Gude</v>
      </c>
      <c r="C181" s="138">
        <f>IFERROR(__xludf.DUMMYFUNCTION("""COMPUTED_VALUE"""),1010.0)</f>
        <v>1010</v>
      </c>
      <c r="D181" s="139">
        <f>IFERROR(__xludf.DUMMYFUNCTION("""COMPUTED_VALUE"""),140.0)</f>
        <v>140</v>
      </c>
      <c r="E181" s="138">
        <f>IFERROR(__xludf.DUMMYFUNCTION("""COMPUTED_VALUE"""),4.0)</f>
        <v>4</v>
      </c>
      <c r="F181" s="138">
        <f>IFERROR(__xludf.DUMMYFUNCTION("""COMPUTED_VALUE"""),4.0)</f>
        <v>4</v>
      </c>
      <c r="G181" s="138">
        <f>IFERROR(__xludf.DUMMYFUNCTION("""COMPUTED_VALUE"""),4.0)</f>
        <v>4</v>
      </c>
      <c r="H181" s="138">
        <f>IFERROR(__xludf.DUMMYFUNCTION("""COMPUTED_VALUE"""),3.0)</f>
        <v>3</v>
      </c>
      <c r="I181" s="138">
        <f>IFERROR(__xludf.DUMMYFUNCTION("""COMPUTED_VALUE"""),4.0)</f>
        <v>4</v>
      </c>
      <c r="J181" s="138">
        <f>IFERROR(__xludf.DUMMYFUNCTION("""COMPUTED_VALUE"""),4.0)</f>
        <v>4</v>
      </c>
      <c r="K181" s="138">
        <f>IFERROR(__xludf.DUMMYFUNCTION("""COMPUTED_VALUE"""),4.0)</f>
        <v>4</v>
      </c>
      <c r="L181" s="138">
        <v>27.0</v>
      </c>
      <c r="M181" s="140" t="str">
        <f>VLOOKUP(text(D181, "#"),'Master Table'!$A:$F, 6, FALSE)</f>
        <v>A-7</v>
      </c>
      <c r="N181" s="141"/>
      <c r="O181" s="142" t="str">
        <f t="shared" si="1"/>
        <v/>
      </c>
      <c r="P181" s="143" t="str">
        <f>IF(ISNA(VLOOKUP(CONCAT(M181,C181), 'Judge Count DO NOT EDIT'!H:H, 1, FALSE)), "ERROR","")</f>
        <v/>
      </c>
      <c r="Q181" s="141"/>
      <c r="R181" s="143"/>
      <c r="S181" s="139" t="str">
        <f t="shared" si="2"/>
        <v>1010140</v>
      </c>
      <c r="T181" s="141"/>
    </row>
    <row r="182">
      <c r="A182" s="137">
        <f>IFERROR(__xludf.DUMMYFUNCTION("""COMPUTED_VALUE"""),45352.585770868056)</f>
        <v>45352.58577</v>
      </c>
      <c r="B182" s="138" t="str">
        <f>IFERROR(__xludf.DUMMYFUNCTION("""COMPUTED_VALUE"""),"Charles Dintrone ")</f>
        <v>Charles Dintrone </v>
      </c>
      <c r="C182" s="138">
        <f>IFERROR(__xludf.DUMMYFUNCTION("""COMPUTED_VALUE"""),1007.0)</f>
        <v>1007</v>
      </c>
      <c r="D182" s="139">
        <f>IFERROR(__xludf.DUMMYFUNCTION("""COMPUTED_VALUE"""),140.0)</f>
        <v>140</v>
      </c>
      <c r="E182" s="138">
        <f>IFERROR(__xludf.DUMMYFUNCTION("""COMPUTED_VALUE"""),5.0)</f>
        <v>5</v>
      </c>
      <c r="F182" s="138">
        <f>IFERROR(__xludf.DUMMYFUNCTION("""COMPUTED_VALUE"""),4.0)</f>
        <v>4</v>
      </c>
      <c r="G182" s="138">
        <f>IFERROR(__xludf.DUMMYFUNCTION("""COMPUTED_VALUE"""),4.0)</f>
        <v>4</v>
      </c>
      <c r="H182" s="138">
        <f>IFERROR(__xludf.DUMMYFUNCTION("""COMPUTED_VALUE"""),4.0)</f>
        <v>4</v>
      </c>
      <c r="I182" s="138">
        <f>IFERROR(__xludf.DUMMYFUNCTION("""COMPUTED_VALUE"""),4.0)</f>
        <v>4</v>
      </c>
      <c r="J182" s="138">
        <f>IFERROR(__xludf.DUMMYFUNCTION("""COMPUTED_VALUE"""),4.0)</f>
        <v>4</v>
      </c>
      <c r="K182" s="138">
        <f>IFERROR(__xludf.DUMMYFUNCTION("""COMPUTED_VALUE"""),4.0)</f>
        <v>4</v>
      </c>
      <c r="L182" s="138">
        <v>29.0</v>
      </c>
      <c r="M182" s="140" t="str">
        <f>VLOOKUP(text(D182, "#"),'Master Table'!$A:$F, 6, FALSE)</f>
        <v>A-7</v>
      </c>
      <c r="N182" s="141" t="str">
        <f>IFERROR(__xludf.DUMMYFUNCTION("""COMPUTED_VALUE"""),"Interesting and clear ")</f>
        <v>Interesting and clear </v>
      </c>
      <c r="O182" s="142" t="str">
        <f t="shared" si="1"/>
        <v/>
      </c>
      <c r="P182" s="143" t="str">
        <f>IF(ISNA(VLOOKUP(CONCAT(M182,C182), 'Judge Count DO NOT EDIT'!H:H, 1, FALSE)), "ERROR","")</f>
        <v/>
      </c>
      <c r="Q182" s="141"/>
      <c r="R182" s="143"/>
      <c r="S182" s="139" t="str">
        <f t="shared" si="2"/>
        <v>1007140</v>
      </c>
      <c r="T182" s="141"/>
    </row>
    <row r="183">
      <c r="A183" s="137">
        <f>IFERROR(__xludf.DUMMYFUNCTION("""COMPUTED_VALUE"""),45352.59459866898)</f>
        <v>45352.5946</v>
      </c>
      <c r="B183" s="138" t="str">
        <f>IFERROR(__xludf.DUMMYFUNCTION("""COMPUTED_VALUE"""),"Bill Aaron")</f>
        <v>Bill Aaron</v>
      </c>
      <c r="C183" s="138">
        <f>IFERROR(__xludf.DUMMYFUNCTION("""COMPUTED_VALUE"""),1060.0)</f>
        <v>1060</v>
      </c>
      <c r="D183" s="139">
        <f>IFERROR(__xludf.DUMMYFUNCTION("""COMPUTED_VALUE"""),140.0)</f>
        <v>140</v>
      </c>
      <c r="E183" s="138">
        <f>IFERROR(__xludf.DUMMYFUNCTION("""COMPUTED_VALUE"""),3.0)</f>
        <v>3</v>
      </c>
      <c r="F183" s="138">
        <f>IFERROR(__xludf.DUMMYFUNCTION("""COMPUTED_VALUE"""),2.0)</f>
        <v>2</v>
      </c>
      <c r="G183" s="138">
        <f>IFERROR(__xludf.DUMMYFUNCTION("""COMPUTED_VALUE"""),2.0)</f>
        <v>2</v>
      </c>
      <c r="H183" s="138">
        <f>IFERROR(__xludf.DUMMYFUNCTION("""COMPUTED_VALUE"""),3.0)</f>
        <v>3</v>
      </c>
      <c r="I183" s="138">
        <f>IFERROR(__xludf.DUMMYFUNCTION("""COMPUTED_VALUE"""),2.0)</f>
        <v>2</v>
      </c>
      <c r="J183" s="138">
        <f>IFERROR(__xludf.DUMMYFUNCTION("""COMPUTED_VALUE"""),3.0)</f>
        <v>3</v>
      </c>
      <c r="K183" s="138">
        <f>IFERROR(__xludf.DUMMYFUNCTION("""COMPUTED_VALUE"""),3.0)</f>
        <v>3</v>
      </c>
      <c r="L183" s="138">
        <v>18.0</v>
      </c>
      <c r="M183" s="140" t="str">
        <f>VLOOKUP(text(D183, "#"),'Master Table'!$A:$F, 6, FALSE)</f>
        <v>A-7</v>
      </c>
      <c r="N183" s="141" t="str">
        <f>IFERROR(__xludf.DUMMYFUNCTION("""COMPUTED_VALUE"""),"Went long which indicated to me that presenter needs to pull their thoughts together to stay within time guidelines. ")</f>
        <v>Went long which indicated to me that presenter needs to pull their thoughts together to stay within time guidelines. </v>
      </c>
      <c r="O183" s="142" t="str">
        <f t="shared" si="1"/>
        <v/>
      </c>
      <c r="P183" s="143" t="str">
        <f>IF(ISNA(VLOOKUP(CONCAT(M183,C183), 'Judge Count DO NOT EDIT'!H:H, 1, FALSE)), "ERROR","")</f>
        <v/>
      </c>
      <c r="Q183" s="141"/>
      <c r="R183" s="143"/>
      <c r="S183" s="139" t="str">
        <f t="shared" si="2"/>
        <v>1060140</v>
      </c>
      <c r="T183" s="141"/>
    </row>
    <row r="184">
      <c r="A184" s="137">
        <f>IFERROR(__xludf.DUMMYFUNCTION("""COMPUTED_VALUE"""),45352.38721663195)</f>
        <v>45352.38722</v>
      </c>
      <c r="B184" s="138" t="str">
        <f>IFERROR(__xludf.DUMMYFUNCTION("""COMPUTED_VALUE"""),"Eyal Oren")</f>
        <v>Eyal Oren</v>
      </c>
      <c r="C184" s="138">
        <f>IFERROR(__xludf.DUMMYFUNCTION("""COMPUTED_VALUE"""),1057.0)</f>
        <v>1057</v>
      </c>
      <c r="D184" s="139">
        <f>IFERROR(__xludf.DUMMYFUNCTION("""COMPUTED_VALUE"""),141.0)</f>
        <v>141</v>
      </c>
      <c r="E184" s="138">
        <f>IFERROR(__xludf.DUMMYFUNCTION("""COMPUTED_VALUE"""),3.0)</f>
        <v>3</v>
      </c>
      <c r="F184" s="138">
        <f>IFERROR(__xludf.DUMMYFUNCTION("""COMPUTED_VALUE"""),4.0)</f>
        <v>4</v>
      </c>
      <c r="G184" s="138">
        <f>IFERROR(__xludf.DUMMYFUNCTION("""COMPUTED_VALUE"""),4.0)</f>
        <v>4</v>
      </c>
      <c r="H184" s="138">
        <f>IFERROR(__xludf.DUMMYFUNCTION("""COMPUTED_VALUE"""),4.0)</f>
        <v>4</v>
      </c>
      <c r="I184" s="138">
        <f>IFERROR(__xludf.DUMMYFUNCTION("""COMPUTED_VALUE"""),4.0)</f>
        <v>4</v>
      </c>
      <c r="J184" s="138">
        <f>IFERROR(__xludf.DUMMYFUNCTION("""COMPUTED_VALUE"""),4.0)</f>
        <v>4</v>
      </c>
      <c r="K184" s="138">
        <f>IFERROR(__xludf.DUMMYFUNCTION("""COMPUTED_VALUE"""),4.0)</f>
        <v>4</v>
      </c>
      <c r="L184" s="138">
        <v>27.0</v>
      </c>
      <c r="M184" s="140" t="str">
        <f>VLOOKUP(text(D184, "#"),'Master Table'!$A:$F, 6, FALSE)</f>
        <v>A-8</v>
      </c>
      <c r="N184" s="141" t="str">
        <f>IFERROR(__xludf.DUMMYFUNCTION("""COMPUTED_VALUE"""),"Important topic! Could you comment on the small sample size and whether the small cell responses  in some categories are meaningful?")</f>
        <v>Important topic! Could you comment on the small sample size and whether the small cell responses  in some categories are meaningful?</v>
      </c>
      <c r="O184" s="142" t="str">
        <f t="shared" si="1"/>
        <v/>
      </c>
      <c r="P184" s="143" t="str">
        <f>IF(ISNA(VLOOKUP(CONCAT(M184,C184), 'Judge Count DO NOT EDIT'!H:H, 1, FALSE)), "ERROR","")</f>
        <v/>
      </c>
      <c r="Q184" s="141"/>
      <c r="R184" s="143"/>
      <c r="S184" s="139" t="str">
        <f t="shared" si="2"/>
        <v>1057141</v>
      </c>
      <c r="T184" s="141"/>
    </row>
    <row r="185">
      <c r="A185" s="137">
        <f>IFERROR(__xludf.DUMMYFUNCTION("""COMPUTED_VALUE"""),45352.3889944213)</f>
        <v>45352.38899</v>
      </c>
      <c r="B185" s="138" t="str">
        <f>IFERROR(__xludf.DUMMYFUNCTION("""COMPUTED_VALUE"""),"Teresa Girolamo")</f>
        <v>Teresa Girolamo</v>
      </c>
      <c r="C185" s="138">
        <f>IFERROR(__xludf.DUMMYFUNCTION("""COMPUTED_VALUE"""),1011.0)</f>
        <v>1011</v>
      </c>
      <c r="D185" s="139">
        <f>IFERROR(__xludf.DUMMYFUNCTION("""COMPUTED_VALUE"""),141.0)</f>
        <v>141</v>
      </c>
      <c r="E185" s="138">
        <f>IFERROR(__xludf.DUMMYFUNCTION("""COMPUTED_VALUE"""),4.0)</f>
        <v>4</v>
      </c>
      <c r="F185" s="138">
        <f>IFERROR(__xludf.DUMMYFUNCTION("""COMPUTED_VALUE"""),3.0)</f>
        <v>3</v>
      </c>
      <c r="G185" s="138">
        <f>IFERROR(__xludf.DUMMYFUNCTION("""COMPUTED_VALUE"""),3.0)</f>
        <v>3</v>
      </c>
      <c r="H185" s="138">
        <f>IFERROR(__xludf.DUMMYFUNCTION("""COMPUTED_VALUE"""),2.0)</f>
        <v>2</v>
      </c>
      <c r="I185" s="138">
        <f>IFERROR(__xludf.DUMMYFUNCTION("""COMPUTED_VALUE"""),5.0)</f>
        <v>5</v>
      </c>
      <c r="J185" s="138">
        <f>IFERROR(__xludf.DUMMYFUNCTION("""COMPUTED_VALUE"""),4.0)</f>
        <v>4</v>
      </c>
      <c r="K185" s="138">
        <f>IFERROR(__xludf.DUMMYFUNCTION("""COMPUTED_VALUE"""),5.0)</f>
        <v>5</v>
      </c>
      <c r="L185" s="138">
        <v>26.0</v>
      </c>
      <c r="M185" s="140" t="str">
        <f>VLOOKUP(text(D185, "#"),'Master Table'!$A:$F, 6, FALSE)</f>
        <v>A-8</v>
      </c>
      <c r="N185" s="141" t="str">
        <f>IFERROR(__xludf.DUMMYFUNCTION("""COMPUTED_VALUE"""),"Overall good, but small sample limited the meaning of frequencies. Could use clearer justification from the previous research literature (even if just a citation and mention the level of evidence from a presentation, such as ""Prior work shows x. In a sys"&amp;"tematic review/meta-analysis, etc.,....""). ")</f>
        <v>Overall good, but small sample limited the meaning of frequencies. Could use clearer justification from the previous research literature (even if just a citation and mention the level of evidence from a presentation, such as "Prior work shows x. In a systematic review/meta-analysis, etc.,...."). </v>
      </c>
      <c r="O185" s="142" t="str">
        <f t="shared" si="1"/>
        <v/>
      </c>
      <c r="P185" s="143" t="str">
        <f>IF(ISNA(VLOOKUP(CONCAT(M185,C185), 'Judge Count DO NOT EDIT'!H:H, 1, FALSE)), "ERROR","")</f>
        <v/>
      </c>
      <c r="Q185" s="141"/>
      <c r="R185" s="143"/>
      <c r="S185" s="139" t="str">
        <f t="shared" si="2"/>
        <v>1011141</v>
      </c>
      <c r="T185" s="141"/>
    </row>
    <row r="186">
      <c r="A186" s="137">
        <f>IFERROR(__xludf.DUMMYFUNCTION("""COMPUTED_VALUE"""),45352.38922009259)</f>
        <v>45352.38922</v>
      </c>
      <c r="B186" s="138" t="str">
        <f>IFERROR(__xludf.DUMMYFUNCTION("""COMPUTED_VALUE"""),"Miguel Angel Zavala Perez")</f>
        <v>Miguel Angel Zavala Perez</v>
      </c>
      <c r="C186" s="138">
        <f>IFERROR(__xludf.DUMMYFUNCTION("""COMPUTED_VALUE"""),1030.0)</f>
        <v>1030</v>
      </c>
      <c r="D186" s="139">
        <f>IFERROR(__xludf.DUMMYFUNCTION("""COMPUTED_VALUE"""),141.0)</f>
        <v>141</v>
      </c>
      <c r="E186" s="138">
        <f>IFERROR(__xludf.DUMMYFUNCTION("""COMPUTED_VALUE"""),5.0)</f>
        <v>5</v>
      </c>
      <c r="F186" s="138">
        <f>IFERROR(__xludf.DUMMYFUNCTION("""COMPUTED_VALUE"""),3.0)</f>
        <v>3</v>
      </c>
      <c r="G186" s="138">
        <f>IFERROR(__xludf.DUMMYFUNCTION("""COMPUTED_VALUE"""),4.0)</f>
        <v>4</v>
      </c>
      <c r="H186" s="138">
        <f>IFERROR(__xludf.DUMMYFUNCTION("""COMPUTED_VALUE"""),3.0)</f>
        <v>3</v>
      </c>
      <c r="I186" s="138">
        <f>IFERROR(__xludf.DUMMYFUNCTION("""COMPUTED_VALUE"""),5.0)</f>
        <v>5</v>
      </c>
      <c r="J186" s="138">
        <f>IFERROR(__xludf.DUMMYFUNCTION("""COMPUTED_VALUE"""),5.0)</f>
        <v>5</v>
      </c>
      <c r="K186" s="138">
        <f>IFERROR(__xludf.DUMMYFUNCTION("""COMPUTED_VALUE"""),4.0)</f>
        <v>4</v>
      </c>
      <c r="L186" s="138">
        <v>29.0</v>
      </c>
      <c r="M186" s="140" t="str">
        <f>VLOOKUP(text(D186, "#"),'Master Table'!$A:$F, 6, FALSE)</f>
        <v>A-8</v>
      </c>
      <c r="N186" s="141" t="str">
        <f>IFERROR(__xludf.DUMMYFUNCTION("""COMPUTED_VALUE"""),"Excelente presentation. You should think of increasing your sampling size.")</f>
        <v>Excelente presentation. You should think of increasing your sampling size.</v>
      </c>
      <c r="O186" s="142" t="str">
        <f t="shared" si="1"/>
        <v/>
      </c>
      <c r="P186" s="143" t="str">
        <f>IF(ISNA(VLOOKUP(CONCAT(M186,C186), 'Judge Count DO NOT EDIT'!H:H, 1, FALSE)), "ERROR","")</f>
        <v/>
      </c>
      <c r="Q186" s="141"/>
      <c r="R186" s="143"/>
      <c r="S186" s="139" t="str">
        <f t="shared" si="2"/>
        <v>1030141</v>
      </c>
      <c r="T186" s="141"/>
    </row>
    <row r="187">
      <c r="A187" s="137">
        <f>IFERROR(__xludf.DUMMYFUNCTION("""COMPUTED_VALUE"""),45352.38972900463)</f>
        <v>45352.38973</v>
      </c>
      <c r="B187" s="138" t="str">
        <f>IFERROR(__xludf.DUMMYFUNCTION("""COMPUTED_VALUE"""),"Young-Shin Lee ")</f>
        <v>Young-Shin Lee </v>
      </c>
      <c r="C187" s="138">
        <f>IFERROR(__xludf.DUMMYFUNCTION("""COMPUTED_VALUE"""),1116.0)</f>
        <v>1116</v>
      </c>
      <c r="D187" s="139">
        <f>IFERROR(__xludf.DUMMYFUNCTION("""COMPUTED_VALUE"""),141.0)</f>
        <v>141</v>
      </c>
      <c r="E187" s="138">
        <f>IFERROR(__xludf.DUMMYFUNCTION("""COMPUTED_VALUE"""),4.0)</f>
        <v>4</v>
      </c>
      <c r="F187" s="138">
        <f>IFERROR(__xludf.DUMMYFUNCTION("""COMPUTED_VALUE"""),5.0)</f>
        <v>5</v>
      </c>
      <c r="G187" s="138">
        <f>IFERROR(__xludf.DUMMYFUNCTION("""COMPUTED_VALUE"""),5.0)</f>
        <v>5</v>
      </c>
      <c r="H187" s="138">
        <f>IFERROR(__xludf.DUMMYFUNCTION("""COMPUTED_VALUE"""),5.0)</f>
        <v>5</v>
      </c>
      <c r="I187" s="138">
        <f>IFERROR(__xludf.DUMMYFUNCTION("""COMPUTED_VALUE"""),5.0)</f>
        <v>5</v>
      </c>
      <c r="J187" s="138">
        <f>IFERROR(__xludf.DUMMYFUNCTION("""COMPUTED_VALUE"""),5.0)</f>
        <v>5</v>
      </c>
      <c r="K187" s="138">
        <f>IFERROR(__xludf.DUMMYFUNCTION("""COMPUTED_VALUE"""),4.0)</f>
        <v>4</v>
      </c>
      <c r="L187" s="138">
        <v>33.0</v>
      </c>
      <c r="M187" s="140" t="str">
        <f>VLOOKUP(text(D187, "#"),'Master Table'!$A:$F, 6, FALSE)</f>
        <v>A-8</v>
      </c>
      <c r="N187" s="141" t="str">
        <f>IFERROR(__xludf.DUMMYFUNCTION("""COMPUTED_VALUE"""),"Excellent presentation with great ppt. Well organized and succinct ppt. ")</f>
        <v>Excellent presentation with great ppt. Well organized and succinct ppt. </v>
      </c>
      <c r="O187" s="142" t="str">
        <f t="shared" si="1"/>
        <v/>
      </c>
      <c r="P187" s="143" t="str">
        <f>IF(ISNA(VLOOKUP(CONCAT(M187,C187), 'Judge Count DO NOT EDIT'!H:H, 1, FALSE)), "ERROR","")</f>
        <v/>
      </c>
      <c r="Q187" s="141"/>
      <c r="R187" s="143"/>
      <c r="S187" s="139" t="str">
        <f t="shared" si="2"/>
        <v>1116141</v>
      </c>
      <c r="T187" s="141"/>
    </row>
    <row r="188">
      <c r="A188" s="137">
        <f>IFERROR(__xludf.DUMMYFUNCTION("""COMPUTED_VALUE"""),45352.56678454861)</f>
        <v>45352.56678</v>
      </c>
      <c r="B188" s="138" t="str">
        <f>IFERROR(__xludf.DUMMYFUNCTION("""COMPUTED_VALUE"""),"Surabhi Bhutani")</f>
        <v>Surabhi Bhutani</v>
      </c>
      <c r="C188" s="138">
        <f>IFERROR(__xludf.DUMMYFUNCTION("""COMPUTED_VALUE"""),1113.0)</f>
        <v>1113</v>
      </c>
      <c r="D188" s="139">
        <f>IFERROR(__xludf.DUMMYFUNCTION("""COMPUTED_VALUE"""),141.0)</f>
        <v>141</v>
      </c>
      <c r="E188" s="138">
        <f>IFERROR(__xludf.DUMMYFUNCTION("""COMPUTED_VALUE"""),4.0)</f>
        <v>4</v>
      </c>
      <c r="F188" s="138">
        <f>IFERROR(__xludf.DUMMYFUNCTION("""COMPUTED_VALUE"""),4.0)</f>
        <v>4</v>
      </c>
      <c r="G188" s="138">
        <f>IFERROR(__xludf.DUMMYFUNCTION("""COMPUTED_VALUE"""),5.0)</f>
        <v>5</v>
      </c>
      <c r="H188" s="138">
        <f>IFERROR(__xludf.DUMMYFUNCTION("""COMPUTED_VALUE"""),3.0)</f>
        <v>3</v>
      </c>
      <c r="I188" s="138">
        <f>IFERROR(__xludf.DUMMYFUNCTION("""COMPUTED_VALUE"""),4.0)</f>
        <v>4</v>
      </c>
      <c r="J188" s="138">
        <f>IFERROR(__xludf.DUMMYFUNCTION("""COMPUTED_VALUE"""),4.0)</f>
        <v>4</v>
      </c>
      <c r="K188" s="138">
        <f>IFERROR(__xludf.DUMMYFUNCTION("""COMPUTED_VALUE"""),3.0)</f>
        <v>3</v>
      </c>
      <c r="L188" s="138">
        <v>27.0</v>
      </c>
      <c r="M188" s="140" t="str">
        <f>VLOOKUP(text(D188, "#"),'Master Table'!$A:$F, 6, FALSE)</f>
        <v>A-8</v>
      </c>
      <c r="N188" s="141" t="str">
        <f>IFERROR(__xludf.DUMMYFUNCTION("""COMPUTED_VALUE"""),"Students did an excellent job co-presenting the data on this important topic. They knew the data very well and slides were very clear. ")</f>
        <v>Students did an excellent job co-presenting the data on this important topic. They knew the data very well and slides were very clear. </v>
      </c>
      <c r="O188" s="142" t="str">
        <f t="shared" si="1"/>
        <v/>
      </c>
      <c r="P188" s="143" t="str">
        <f>IF(ISNA(VLOOKUP(CONCAT(M188,C188), 'Judge Count DO NOT EDIT'!H:H, 1, FALSE)), "ERROR","")</f>
        <v/>
      </c>
      <c r="Q188" s="141"/>
      <c r="R188" s="143"/>
      <c r="S188" s="139" t="str">
        <f t="shared" si="2"/>
        <v>1113141</v>
      </c>
      <c r="T188" s="141"/>
    </row>
    <row r="189">
      <c r="A189" s="137">
        <f>IFERROR(__xludf.DUMMYFUNCTION("""COMPUTED_VALUE"""),45352.40166888889)</f>
        <v>45352.40167</v>
      </c>
      <c r="B189" s="138" t="str">
        <f>IFERROR(__xludf.DUMMYFUNCTION("""COMPUTED_VALUE"""),"Teresa Girolamo")</f>
        <v>Teresa Girolamo</v>
      </c>
      <c r="C189" s="138">
        <f>IFERROR(__xludf.DUMMYFUNCTION("""COMPUTED_VALUE"""),1011.0)</f>
        <v>1011</v>
      </c>
      <c r="D189" s="139">
        <f>IFERROR(__xludf.DUMMYFUNCTION("""COMPUTED_VALUE"""),142.0)</f>
        <v>142</v>
      </c>
      <c r="E189" s="138">
        <f>IFERROR(__xludf.DUMMYFUNCTION("""COMPUTED_VALUE"""),4.0)</f>
        <v>4</v>
      </c>
      <c r="F189" s="138">
        <f>IFERROR(__xludf.DUMMYFUNCTION("""COMPUTED_VALUE"""),2.0)</f>
        <v>2</v>
      </c>
      <c r="G189" s="138">
        <f>IFERROR(__xludf.DUMMYFUNCTION("""COMPUTED_VALUE"""),3.0)</f>
        <v>3</v>
      </c>
      <c r="H189" s="138">
        <f>IFERROR(__xludf.DUMMYFUNCTION("""COMPUTED_VALUE"""),3.0)</f>
        <v>3</v>
      </c>
      <c r="I189" s="138">
        <f>IFERROR(__xludf.DUMMYFUNCTION("""COMPUTED_VALUE"""),4.0)</f>
        <v>4</v>
      </c>
      <c r="J189" s="138">
        <f>IFERROR(__xludf.DUMMYFUNCTION("""COMPUTED_VALUE"""),3.0)</f>
        <v>3</v>
      </c>
      <c r="K189" s="138">
        <f>IFERROR(__xludf.DUMMYFUNCTION("""COMPUTED_VALUE"""),4.0)</f>
        <v>4</v>
      </c>
      <c r="L189" s="138">
        <v>23.0</v>
      </c>
      <c r="M189" s="140" t="str">
        <f>VLOOKUP(text(D189, "#"),'Master Table'!$A:$F, 6, FALSE)</f>
        <v>A-8</v>
      </c>
      <c r="N189" s="141" t="str">
        <f>IFERROR(__xludf.DUMMYFUNCTION("""COMPUTED_VALUE"""),"Presentation could use citations for frequencies/statistic reported &amp; editing for capitalization. The presentation had a lot of information, but as the presenter moves on in career, shifting to more of a story-telling approach to presentations will be a g"&amp;"ood skill to develop. Having so much information made it difficult to follow without the narrative piece (e.g., ""The take-home point is [x]."".")</f>
        <v>Presentation could use citations for frequencies/statistic reported &amp; editing for capitalization. The presentation had a lot of information, but as the presenter moves on in career, shifting to more of a story-telling approach to presentations will be a good skill to develop. Having so much information made it difficult to follow without the narrative piece (e.g., "The take-home point is [x].".</v>
      </c>
      <c r="O189" s="142" t="str">
        <f t="shared" si="1"/>
        <v/>
      </c>
      <c r="P189" s="143" t="str">
        <f>IF(ISNA(VLOOKUP(CONCAT(M189,C189), 'Judge Count DO NOT EDIT'!H:H, 1, FALSE)), "ERROR","")</f>
        <v/>
      </c>
      <c r="Q189" s="144"/>
      <c r="R189" s="143"/>
      <c r="S189" s="139" t="str">
        <f t="shared" si="2"/>
        <v>1011142</v>
      </c>
      <c r="T189" s="141"/>
    </row>
    <row r="190">
      <c r="A190" s="137">
        <f>IFERROR(__xludf.DUMMYFUNCTION("""COMPUTED_VALUE"""),45352.4017766551)</f>
        <v>45352.40178</v>
      </c>
      <c r="B190" s="138" t="str">
        <f>IFERROR(__xludf.DUMMYFUNCTION("""COMPUTED_VALUE"""),"Eyal Oren")</f>
        <v>Eyal Oren</v>
      </c>
      <c r="C190" s="138">
        <f>IFERROR(__xludf.DUMMYFUNCTION("""COMPUTED_VALUE"""),1057.0)</f>
        <v>1057</v>
      </c>
      <c r="D190" s="139">
        <f>IFERROR(__xludf.DUMMYFUNCTION("""COMPUTED_VALUE"""),142.0)</f>
        <v>142</v>
      </c>
      <c r="E190" s="138">
        <f>IFERROR(__xludf.DUMMYFUNCTION("""COMPUTED_VALUE"""),4.0)</f>
        <v>4</v>
      </c>
      <c r="F190" s="138">
        <f>IFERROR(__xludf.DUMMYFUNCTION("""COMPUTED_VALUE"""),4.0)</f>
        <v>4</v>
      </c>
      <c r="G190" s="138">
        <f>IFERROR(__xludf.DUMMYFUNCTION("""COMPUTED_VALUE"""),5.0)</f>
        <v>5</v>
      </c>
      <c r="H190" s="138">
        <f>IFERROR(__xludf.DUMMYFUNCTION("""COMPUTED_VALUE"""),5.0)</f>
        <v>5</v>
      </c>
      <c r="I190" s="138">
        <f>IFERROR(__xludf.DUMMYFUNCTION("""COMPUTED_VALUE"""),4.0)</f>
        <v>4</v>
      </c>
      <c r="J190" s="138">
        <f>IFERROR(__xludf.DUMMYFUNCTION("""COMPUTED_VALUE"""),4.0)</f>
        <v>4</v>
      </c>
      <c r="K190" s="138">
        <f>IFERROR(__xludf.DUMMYFUNCTION("""COMPUTED_VALUE"""),4.0)</f>
        <v>4</v>
      </c>
      <c r="L190" s="138">
        <v>30.0</v>
      </c>
      <c r="M190" s="140" t="str">
        <f>VLOOKUP(text(D190, "#"),'Master Table'!$A:$F, 6, FALSE)</f>
        <v>A-8</v>
      </c>
      <c r="N190" s="141" t="str">
        <f>IFERROR(__xludf.DUMMYFUNCTION("""COMPUTED_VALUE"""),"Great presentation on an important topic! Are there other measures of activity you might consider? How these vary over the course of a day? Unclear if activities by parents and children are happening concurrently?")</f>
        <v>Great presentation on an important topic! Are there other measures of activity you might consider? How these vary over the course of a day? Unclear if activities by parents and children are happening concurrently?</v>
      </c>
      <c r="O190" s="142" t="str">
        <f t="shared" si="1"/>
        <v/>
      </c>
      <c r="P190" s="143" t="str">
        <f>IF(ISNA(VLOOKUP(CONCAT(M190,C190), 'Judge Count DO NOT EDIT'!H:H, 1, FALSE)), "ERROR","")</f>
        <v/>
      </c>
      <c r="Q190" s="141"/>
      <c r="R190" s="143"/>
      <c r="S190" s="139" t="str">
        <f t="shared" si="2"/>
        <v>1057142</v>
      </c>
      <c r="T190" s="141"/>
    </row>
    <row r="191">
      <c r="A191" s="137">
        <f>IFERROR(__xludf.DUMMYFUNCTION("""COMPUTED_VALUE"""),45352.40230447917)</f>
        <v>45352.4023</v>
      </c>
      <c r="B191" s="138" t="str">
        <f>IFERROR(__xludf.DUMMYFUNCTION("""COMPUTED_VALUE"""),"Young-Shin Lee ")</f>
        <v>Young-Shin Lee </v>
      </c>
      <c r="C191" s="138">
        <f>IFERROR(__xludf.DUMMYFUNCTION("""COMPUTED_VALUE"""),1116.0)</f>
        <v>1116</v>
      </c>
      <c r="D191" s="139">
        <f>IFERROR(__xludf.DUMMYFUNCTION("""COMPUTED_VALUE"""),142.0)</f>
        <v>142</v>
      </c>
      <c r="E191" s="138">
        <f>IFERROR(__xludf.DUMMYFUNCTION("""COMPUTED_VALUE"""),3.0)</f>
        <v>3</v>
      </c>
      <c r="F191" s="138">
        <f>IFERROR(__xludf.DUMMYFUNCTION("""COMPUTED_VALUE"""),2.0)</f>
        <v>2</v>
      </c>
      <c r="G191" s="138">
        <f>IFERROR(__xludf.DUMMYFUNCTION("""COMPUTED_VALUE"""),3.0)</f>
        <v>3</v>
      </c>
      <c r="H191" s="138">
        <f>IFERROR(__xludf.DUMMYFUNCTION("""COMPUTED_VALUE"""),3.0)</f>
        <v>3</v>
      </c>
      <c r="I191" s="138">
        <f>IFERROR(__xludf.DUMMYFUNCTION("""COMPUTED_VALUE"""),4.0)</f>
        <v>4</v>
      </c>
      <c r="J191" s="138">
        <f>IFERROR(__xludf.DUMMYFUNCTION("""COMPUTED_VALUE"""),3.0)</f>
        <v>3</v>
      </c>
      <c r="K191" s="138">
        <f>IFERROR(__xludf.DUMMYFUNCTION("""COMPUTED_VALUE"""),3.0)</f>
        <v>3</v>
      </c>
      <c r="L191" s="138">
        <v>21.0</v>
      </c>
      <c r="M191" s="140" t="str">
        <f>VLOOKUP(text(D191, "#"),'Master Table'!$A:$F, 6, FALSE)</f>
        <v>A-8</v>
      </c>
      <c r="N191" s="141" t="str">
        <f>IFERROR(__xludf.DUMMYFUNCTION("""COMPUTED_VALUE"""),"The study design could be more in detail. ")</f>
        <v>The study design could be more in detail. </v>
      </c>
      <c r="O191" s="142" t="str">
        <f t="shared" si="1"/>
        <v/>
      </c>
      <c r="P191" s="143" t="str">
        <f>IF(ISNA(VLOOKUP(CONCAT(M191,C191), 'Judge Count DO NOT EDIT'!H:H, 1, FALSE)), "ERROR","")</f>
        <v/>
      </c>
      <c r="Q191" s="141"/>
      <c r="R191" s="143"/>
      <c r="S191" s="139" t="str">
        <f t="shared" si="2"/>
        <v>1116142</v>
      </c>
      <c r="T191" s="141"/>
    </row>
    <row r="192">
      <c r="A192" s="137">
        <f>IFERROR(__xludf.DUMMYFUNCTION("""COMPUTED_VALUE"""),45352.40250393518)</f>
        <v>45352.4025</v>
      </c>
      <c r="B192" s="138" t="str">
        <f>IFERROR(__xludf.DUMMYFUNCTION("""COMPUTED_VALUE"""),"Miguel Angel Zavala Perez ")</f>
        <v>Miguel Angel Zavala Perez </v>
      </c>
      <c r="C192" s="138">
        <f>IFERROR(__xludf.DUMMYFUNCTION("""COMPUTED_VALUE"""),1030.0)</f>
        <v>1030</v>
      </c>
      <c r="D192" s="139">
        <f>IFERROR(__xludf.DUMMYFUNCTION("""COMPUTED_VALUE"""),142.0)</f>
        <v>142</v>
      </c>
      <c r="E192" s="138">
        <f>IFERROR(__xludf.DUMMYFUNCTION("""COMPUTED_VALUE"""),4.0)</f>
        <v>4</v>
      </c>
      <c r="F192" s="138">
        <f>IFERROR(__xludf.DUMMYFUNCTION("""COMPUTED_VALUE"""),3.0)</f>
        <v>3</v>
      </c>
      <c r="G192" s="138">
        <f>IFERROR(__xludf.DUMMYFUNCTION("""COMPUTED_VALUE"""),4.0)</f>
        <v>4</v>
      </c>
      <c r="H192" s="138">
        <f>IFERROR(__xludf.DUMMYFUNCTION("""COMPUTED_VALUE"""),4.0)</f>
        <v>4</v>
      </c>
      <c r="I192" s="138">
        <f>IFERROR(__xludf.DUMMYFUNCTION("""COMPUTED_VALUE"""),4.0)</f>
        <v>4</v>
      </c>
      <c r="J192" s="138">
        <f>IFERROR(__xludf.DUMMYFUNCTION("""COMPUTED_VALUE"""),4.0)</f>
        <v>4</v>
      </c>
      <c r="K192" s="138">
        <f>IFERROR(__xludf.DUMMYFUNCTION("""COMPUTED_VALUE"""),5.0)</f>
        <v>5</v>
      </c>
      <c r="L192" s="138">
        <v>28.0</v>
      </c>
      <c r="M192" s="140" t="str">
        <f>VLOOKUP(text(D192, "#"),'Master Table'!$A:$F, 6, FALSE)</f>
        <v>A-8</v>
      </c>
      <c r="N192" s="141" t="str">
        <f>IFERROR(__xludf.DUMMYFUNCTION("""COMPUTED_VALUE"""),"Very nice presentation, keep up the good work. Think of all the sources of uncertainty in your methods and how to address them ")</f>
        <v>Very nice presentation, keep up the good work. Think of all the sources of uncertainty in your methods and how to address them </v>
      </c>
      <c r="O192" s="142" t="str">
        <f t="shared" si="1"/>
        <v/>
      </c>
      <c r="P192" s="143" t="str">
        <f>IF(ISNA(VLOOKUP(CONCAT(M192,C192), 'Judge Count DO NOT EDIT'!H:H, 1, FALSE)), "ERROR","")</f>
        <v/>
      </c>
      <c r="Q192" s="141"/>
      <c r="R192" s="143"/>
      <c r="S192" s="139" t="str">
        <f t="shared" si="2"/>
        <v>1030142</v>
      </c>
      <c r="T192" s="141"/>
    </row>
    <row r="193">
      <c r="A193" s="137">
        <f>IFERROR(__xludf.DUMMYFUNCTION("""COMPUTED_VALUE"""),45352.56757796297)</f>
        <v>45352.56758</v>
      </c>
      <c r="B193" s="138" t="str">
        <f>IFERROR(__xludf.DUMMYFUNCTION("""COMPUTED_VALUE"""),"Surabhi Bhutani")</f>
        <v>Surabhi Bhutani</v>
      </c>
      <c r="C193" s="138">
        <f>IFERROR(__xludf.DUMMYFUNCTION("""COMPUTED_VALUE"""),1113.0)</f>
        <v>1113</v>
      </c>
      <c r="D193" s="139">
        <f>IFERROR(__xludf.DUMMYFUNCTION("""COMPUTED_VALUE"""),142.0)</f>
        <v>142</v>
      </c>
      <c r="E193" s="138">
        <f>IFERROR(__xludf.DUMMYFUNCTION("""COMPUTED_VALUE"""),4.0)</f>
        <v>4</v>
      </c>
      <c r="F193" s="138">
        <f>IFERROR(__xludf.DUMMYFUNCTION("""COMPUTED_VALUE"""),3.0)</f>
        <v>3</v>
      </c>
      <c r="G193" s="138">
        <f>IFERROR(__xludf.DUMMYFUNCTION("""COMPUTED_VALUE"""),4.0)</f>
        <v>4</v>
      </c>
      <c r="H193" s="138">
        <f>IFERROR(__xludf.DUMMYFUNCTION("""COMPUTED_VALUE"""),3.0)</f>
        <v>3</v>
      </c>
      <c r="I193" s="138">
        <f>IFERROR(__xludf.DUMMYFUNCTION("""COMPUTED_VALUE"""),4.0)</f>
        <v>4</v>
      </c>
      <c r="J193" s="138">
        <f>IFERROR(__xludf.DUMMYFUNCTION("""COMPUTED_VALUE"""),4.0)</f>
        <v>4</v>
      </c>
      <c r="K193" s="138">
        <f>IFERROR(__xludf.DUMMYFUNCTION("""COMPUTED_VALUE"""),3.0)</f>
        <v>3</v>
      </c>
      <c r="L193" s="138">
        <v>25.0</v>
      </c>
      <c r="M193" s="140" t="str">
        <f>VLOOKUP(text(D193, "#"),'Master Table'!$A:$F, 6, FALSE)</f>
        <v>A-8</v>
      </c>
      <c r="N193" s="141"/>
      <c r="O193" s="142" t="str">
        <f t="shared" si="1"/>
        <v/>
      </c>
      <c r="P193" s="143" t="str">
        <f>IF(ISNA(VLOOKUP(CONCAT(M193,C193), 'Judge Count DO NOT EDIT'!H:H, 1, FALSE)), "ERROR","")</f>
        <v/>
      </c>
      <c r="Q193" s="141"/>
      <c r="R193" s="143"/>
      <c r="S193" s="139" t="str">
        <f t="shared" si="2"/>
        <v>1113142</v>
      </c>
      <c r="T193" s="141"/>
    </row>
    <row r="194">
      <c r="A194" s="137">
        <f>IFERROR(__xludf.DUMMYFUNCTION("""COMPUTED_VALUE"""),45352.41321521991)</f>
        <v>45352.41322</v>
      </c>
      <c r="B194" s="138" t="str">
        <f>IFERROR(__xludf.DUMMYFUNCTION("""COMPUTED_VALUE"""),"Eyal Oren")</f>
        <v>Eyal Oren</v>
      </c>
      <c r="C194" s="138">
        <f>IFERROR(__xludf.DUMMYFUNCTION("""COMPUTED_VALUE"""),1057.0)</f>
        <v>1057</v>
      </c>
      <c r="D194" s="139">
        <f>IFERROR(__xludf.DUMMYFUNCTION("""COMPUTED_VALUE"""),143.0)</f>
        <v>143</v>
      </c>
      <c r="E194" s="138">
        <f>IFERROR(__xludf.DUMMYFUNCTION("""COMPUTED_VALUE"""),4.0)</f>
        <v>4</v>
      </c>
      <c r="F194" s="138">
        <f>IFERROR(__xludf.DUMMYFUNCTION("""COMPUTED_VALUE"""),4.0)</f>
        <v>4</v>
      </c>
      <c r="G194" s="138">
        <f>IFERROR(__xludf.DUMMYFUNCTION("""COMPUTED_VALUE"""),5.0)</f>
        <v>5</v>
      </c>
      <c r="H194" s="138">
        <f>IFERROR(__xludf.DUMMYFUNCTION("""COMPUTED_VALUE"""),4.0)</f>
        <v>4</v>
      </c>
      <c r="I194" s="138">
        <f>IFERROR(__xludf.DUMMYFUNCTION("""COMPUTED_VALUE"""),5.0)</f>
        <v>5</v>
      </c>
      <c r="J194" s="138">
        <f>IFERROR(__xludf.DUMMYFUNCTION("""COMPUTED_VALUE"""),4.0)</f>
        <v>4</v>
      </c>
      <c r="K194" s="138">
        <f>IFERROR(__xludf.DUMMYFUNCTION("""COMPUTED_VALUE"""),5.0)</f>
        <v>5</v>
      </c>
      <c r="L194" s="138">
        <v>31.0</v>
      </c>
      <c r="M194" s="140" t="str">
        <f>VLOOKUP(text(D194, "#"),'Master Table'!$A:$F, 6, FALSE)</f>
        <v>A-8</v>
      </c>
      <c r="N194" s="141" t="str">
        <f>IFERROR(__xludf.DUMMYFUNCTION("""COMPUTED_VALUE"""),"What is a key conclusion from this formative work?")</f>
        <v>What is a key conclusion from this formative work?</v>
      </c>
      <c r="O194" s="142" t="str">
        <f t="shared" si="1"/>
        <v/>
      </c>
      <c r="P194" s="143" t="str">
        <f>IF(ISNA(VLOOKUP(CONCAT(M194,C194), 'Judge Count DO NOT EDIT'!H:H, 1, FALSE)), "ERROR","")</f>
        <v/>
      </c>
      <c r="Q194" s="141"/>
      <c r="R194" s="143"/>
      <c r="S194" s="139" t="str">
        <f t="shared" si="2"/>
        <v>1057143</v>
      </c>
      <c r="T194" s="141"/>
    </row>
    <row r="195">
      <c r="A195" s="137">
        <f>IFERROR(__xludf.DUMMYFUNCTION("""COMPUTED_VALUE"""),45352.41463100695)</f>
        <v>45352.41463</v>
      </c>
      <c r="B195" s="138" t="str">
        <f>IFERROR(__xludf.DUMMYFUNCTION("""COMPUTED_VALUE"""),"Young-Shin Lee ")</f>
        <v>Young-Shin Lee </v>
      </c>
      <c r="C195" s="138">
        <f>IFERROR(__xludf.DUMMYFUNCTION("""COMPUTED_VALUE"""),1116.0)</f>
        <v>1116</v>
      </c>
      <c r="D195" s="139">
        <f>IFERROR(__xludf.DUMMYFUNCTION("""COMPUTED_VALUE"""),143.0)</f>
        <v>143</v>
      </c>
      <c r="E195" s="138">
        <f>IFERROR(__xludf.DUMMYFUNCTION("""COMPUTED_VALUE"""),4.0)</f>
        <v>4</v>
      </c>
      <c r="F195" s="138">
        <f>IFERROR(__xludf.DUMMYFUNCTION("""COMPUTED_VALUE"""),4.0)</f>
        <v>4</v>
      </c>
      <c r="G195" s="138">
        <f>IFERROR(__xludf.DUMMYFUNCTION("""COMPUTED_VALUE"""),3.0)</f>
        <v>3</v>
      </c>
      <c r="H195" s="138">
        <f>IFERROR(__xludf.DUMMYFUNCTION("""COMPUTED_VALUE"""),3.0)</f>
        <v>3</v>
      </c>
      <c r="I195" s="138">
        <f>IFERROR(__xludf.DUMMYFUNCTION("""COMPUTED_VALUE"""),4.0)</f>
        <v>4</v>
      </c>
      <c r="J195" s="138">
        <f>IFERROR(__xludf.DUMMYFUNCTION("""COMPUTED_VALUE"""),3.0)</f>
        <v>3</v>
      </c>
      <c r="K195" s="138">
        <f>IFERROR(__xludf.DUMMYFUNCTION("""COMPUTED_VALUE"""),4.0)</f>
        <v>4</v>
      </c>
      <c r="L195" s="138">
        <v>25.0</v>
      </c>
      <c r="M195" s="140" t="str">
        <f>VLOOKUP(text(D195, "#"),'Master Table'!$A:$F, 6, FALSE)</f>
        <v>A-8</v>
      </c>
      <c r="N195" s="141" t="str">
        <f>IFERROR(__xludf.DUMMYFUNCTION("""COMPUTED_VALUE"""),"Good learning from the presentation. Thank you!")</f>
        <v>Good learning from the presentation. Thank you!</v>
      </c>
      <c r="O195" s="142" t="str">
        <f t="shared" si="1"/>
        <v/>
      </c>
      <c r="P195" s="143" t="str">
        <f>IF(ISNA(VLOOKUP(CONCAT(M195,C195), 'Judge Count DO NOT EDIT'!H:H, 1, FALSE)), "ERROR","")</f>
        <v/>
      </c>
      <c r="Q195" s="141"/>
      <c r="R195" s="143"/>
      <c r="S195" s="139" t="str">
        <f t="shared" si="2"/>
        <v>1116143</v>
      </c>
      <c r="T195" s="141"/>
    </row>
    <row r="196">
      <c r="A196" s="137">
        <f>IFERROR(__xludf.DUMMYFUNCTION("""COMPUTED_VALUE"""),45352.41588774306)</f>
        <v>45352.41589</v>
      </c>
      <c r="B196" s="138" t="str">
        <f>IFERROR(__xludf.DUMMYFUNCTION("""COMPUTED_VALUE"""),"Miguel Angel Zavala Perez ")</f>
        <v>Miguel Angel Zavala Perez </v>
      </c>
      <c r="C196" s="138">
        <f>IFERROR(__xludf.DUMMYFUNCTION("""COMPUTED_VALUE"""),1030.0)</f>
        <v>1030</v>
      </c>
      <c r="D196" s="139">
        <f>IFERROR(__xludf.DUMMYFUNCTION("""COMPUTED_VALUE"""),143.0)</f>
        <v>143</v>
      </c>
      <c r="E196" s="138">
        <f>IFERROR(__xludf.DUMMYFUNCTION("""COMPUTED_VALUE"""),4.0)</f>
        <v>4</v>
      </c>
      <c r="F196" s="138">
        <f>IFERROR(__xludf.DUMMYFUNCTION("""COMPUTED_VALUE"""),4.0)</f>
        <v>4</v>
      </c>
      <c r="G196" s="138">
        <f>IFERROR(__xludf.DUMMYFUNCTION("""COMPUTED_VALUE"""),4.0)</f>
        <v>4</v>
      </c>
      <c r="H196" s="138">
        <f>IFERROR(__xludf.DUMMYFUNCTION("""COMPUTED_VALUE"""),3.0)</f>
        <v>3</v>
      </c>
      <c r="I196" s="138">
        <f>IFERROR(__xludf.DUMMYFUNCTION("""COMPUTED_VALUE"""),4.0)</f>
        <v>4</v>
      </c>
      <c r="J196" s="138">
        <f>IFERROR(__xludf.DUMMYFUNCTION("""COMPUTED_VALUE"""),4.0)</f>
        <v>4</v>
      </c>
      <c r="K196" s="138">
        <f>IFERROR(__xludf.DUMMYFUNCTION("""COMPUTED_VALUE"""),4.0)</f>
        <v>4</v>
      </c>
      <c r="L196" s="138">
        <v>27.0</v>
      </c>
      <c r="M196" s="140" t="str">
        <f>VLOOKUP(text(D196, "#"),'Master Table'!$A:$F, 6, FALSE)</f>
        <v>A-8</v>
      </c>
      <c r="N196" s="141" t="str">
        <f>IFERROR(__xludf.DUMMYFUNCTION("""COMPUTED_VALUE"""),"Thanks for your presentation, keep up the good work. You may want to increase your data collection ")</f>
        <v>Thanks for your presentation, keep up the good work. You may want to increase your data collection </v>
      </c>
      <c r="O196" s="142" t="str">
        <f t="shared" si="1"/>
        <v/>
      </c>
      <c r="P196" s="143" t="str">
        <f>IF(ISNA(VLOOKUP(CONCAT(M196,C196), 'Judge Count DO NOT EDIT'!H:H, 1, FALSE)), "ERROR","")</f>
        <v/>
      </c>
      <c r="Q196" s="141"/>
      <c r="R196" s="143"/>
      <c r="S196" s="139" t="str">
        <f t="shared" si="2"/>
        <v>1030143</v>
      </c>
      <c r="T196" s="141"/>
    </row>
    <row r="197">
      <c r="A197" s="137">
        <f>IFERROR(__xludf.DUMMYFUNCTION("""COMPUTED_VALUE"""),45352.416864108796)</f>
        <v>45352.41686</v>
      </c>
      <c r="B197" s="138" t="str">
        <f>IFERROR(__xludf.DUMMYFUNCTION("""COMPUTED_VALUE"""),"Teresa Girolamo")</f>
        <v>Teresa Girolamo</v>
      </c>
      <c r="C197" s="138">
        <f>IFERROR(__xludf.DUMMYFUNCTION("""COMPUTED_VALUE"""),1011.0)</f>
        <v>1011</v>
      </c>
      <c r="D197" s="139">
        <f>IFERROR(__xludf.DUMMYFUNCTION("""COMPUTED_VALUE"""),143.0)</f>
        <v>143</v>
      </c>
      <c r="E197" s="138">
        <f>IFERROR(__xludf.DUMMYFUNCTION("""COMPUTED_VALUE"""),5.0)</f>
        <v>5</v>
      </c>
      <c r="F197" s="138">
        <f>IFERROR(__xludf.DUMMYFUNCTION("""COMPUTED_VALUE"""),4.0)</f>
        <v>4</v>
      </c>
      <c r="G197" s="138">
        <f>IFERROR(__xludf.DUMMYFUNCTION("""COMPUTED_VALUE"""),5.0)</f>
        <v>5</v>
      </c>
      <c r="H197" s="138">
        <f>IFERROR(__xludf.DUMMYFUNCTION("""COMPUTED_VALUE"""),5.0)</f>
        <v>5</v>
      </c>
      <c r="I197" s="138">
        <f>IFERROR(__xludf.DUMMYFUNCTION("""COMPUTED_VALUE"""),5.0)</f>
        <v>5</v>
      </c>
      <c r="J197" s="138">
        <f>IFERROR(__xludf.DUMMYFUNCTION("""COMPUTED_VALUE"""),5.0)</f>
        <v>5</v>
      </c>
      <c r="K197" s="138">
        <f>IFERROR(__xludf.DUMMYFUNCTION("""COMPUTED_VALUE"""),5.0)</f>
        <v>5</v>
      </c>
      <c r="L197" s="138">
        <v>34.0</v>
      </c>
      <c r="M197" s="140" t="str">
        <f>VLOOKUP(text(D197, "#"),'Master Table'!$A:$F, 6, FALSE)</f>
        <v>A-8</v>
      </c>
      <c r="N197" s="141" t="str">
        <f>IFERROR(__xludf.DUMMYFUNCTION("""COMPUTED_VALUE"""),"Had a strong framing of the nuances motivating the study, including cultural considerations, sociolinguistics considerations, and public health literature/information/tools. I strongly feel like this student (if no doing so already) should be applying to "&amp;"Fulbright, Ford Foundation, NIH, etc. I think this would hit well, and depending on how she shapes this type of work at the intersection of anthropology, public health, and perhaps clinical research (e.g., epidemiology, biomarkers), could potentially beco"&amp;"me a candidate for a MacArthur Award. I thought of Jason de Léon's Undocumented Migration Project when listening to her presentation.")</f>
        <v>Had a strong framing of the nuances motivating the study, including cultural considerations, sociolinguistics considerations, and public health literature/information/tools. I strongly feel like this student (if no doing so already) should be applying to Fulbright, Ford Foundation, NIH, etc. I think this would hit well, and depending on how she shapes this type of work at the intersection of anthropology, public health, and perhaps clinical research (e.g., epidemiology, biomarkers), could potentially become a candidate for a MacArthur Award. I thought of Jason de Léon's Undocumented Migration Project when listening to her presentation.</v>
      </c>
      <c r="O197" s="142" t="str">
        <f t="shared" si="1"/>
        <v/>
      </c>
      <c r="P197" s="143" t="str">
        <f>IF(ISNA(VLOOKUP(CONCAT(M197,C197), 'Judge Count DO NOT EDIT'!H:H, 1, FALSE)), "ERROR","")</f>
        <v/>
      </c>
      <c r="Q197" s="141"/>
      <c r="R197" s="143"/>
      <c r="S197" s="139" t="str">
        <f t="shared" si="2"/>
        <v>1011143</v>
      </c>
      <c r="T197" s="141"/>
    </row>
    <row r="198">
      <c r="A198" s="137">
        <f>IFERROR(__xludf.DUMMYFUNCTION("""COMPUTED_VALUE"""),45352.56870299768)</f>
        <v>45352.5687</v>
      </c>
      <c r="B198" s="138" t="str">
        <f>IFERROR(__xludf.DUMMYFUNCTION("""COMPUTED_VALUE"""),"Surabhi Bhutani")</f>
        <v>Surabhi Bhutani</v>
      </c>
      <c r="C198" s="138">
        <f>IFERROR(__xludf.DUMMYFUNCTION("""COMPUTED_VALUE"""),1113.0)</f>
        <v>1113</v>
      </c>
      <c r="D198" s="139">
        <f>IFERROR(__xludf.DUMMYFUNCTION("""COMPUTED_VALUE"""),143.0)</f>
        <v>143</v>
      </c>
      <c r="E198" s="138">
        <f>IFERROR(__xludf.DUMMYFUNCTION("""COMPUTED_VALUE"""),4.0)</f>
        <v>4</v>
      </c>
      <c r="F198" s="138">
        <f>IFERROR(__xludf.DUMMYFUNCTION("""COMPUTED_VALUE"""),4.0)</f>
        <v>4</v>
      </c>
      <c r="G198" s="138">
        <f>IFERROR(__xludf.DUMMYFUNCTION("""COMPUTED_VALUE"""),3.0)</f>
        <v>3</v>
      </c>
      <c r="H198" s="138">
        <f>IFERROR(__xludf.DUMMYFUNCTION("""COMPUTED_VALUE"""),3.0)</f>
        <v>3</v>
      </c>
      <c r="I198" s="138">
        <f>IFERROR(__xludf.DUMMYFUNCTION("""COMPUTED_VALUE"""),5.0)</f>
        <v>5</v>
      </c>
      <c r="J198" s="138">
        <f>IFERROR(__xludf.DUMMYFUNCTION("""COMPUTED_VALUE"""),4.0)</f>
        <v>4</v>
      </c>
      <c r="K198" s="138">
        <f>IFERROR(__xludf.DUMMYFUNCTION("""COMPUTED_VALUE"""),3.0)</f>
        <v>3</v>
      </c>
      <c r="L198" s="138">
        <v>26.0</v>
      </c>
      <c r="M198" s="140" t="str">
        <f>VLOOKUP(text(D198, "#"),'Master Table'!$A:$F, 6, FALSE)</f>
        <v>A-8</v>
      </c>
      <c r="N198" s="141"/>
      <c r="O198" s="142" t="str">
        <f t="shared" si="1"/>
        <v/>
      </c>
      <c r="P198" s="143" t="str">
        <f>IF(ISNA(VLOOKUP(CONCAT(M198,C198), 'Judge Count DO NOT EDIT'!H:H, 1, FALSE)), "ERROR","")</f>
        <v/>
      </c>
      <c r="Q198" s="141"/>
      <c r="R198" s="143"/>
      <c r="S198" s="139" t="str">
        <f t="shared" si="2"/>
        <v>1113143</v>
      </c>
      <c r="T198" s="141"/>
    </row>
    <row r="199">
      <c r="A199" s="137">
        <f>IFERROR(__xludf.DUMMYFUNCTION("""COMPUTED_VALUE"""),45352.428807187505)</f>
        <v>45352.42881</v>
      </c>
      <c r="B199" s="138" t="str">
        <f>IFERROR(__xludf.DUMMYFUNCTION("""COMPUTED_VALUE"""),"Eyal Oren")</f>
        <v>Eyal Oren</v>
      </c>
      <c r="C199" s="138">
        <f>IFERROR(__xludf.DUMMYFUNCTION("""COMPUTED_VALUE"""),1057.0)</f>
        <v>1057</v>
      </c>
      <c r="D199" s="139">
        <f>IFERROR(__xludf.DUMMYFUNCTION("""COMPUTED_VALUE"""),144.0)</f>
        <v>144</v>
      </c>
      <c r="E199" s="138">
        <f>IFERROR(__xludf.DUMMYFUNCTION("""COMPUTED_VALUE"""),4.0)</f>
        <v>4</v>
      </c>
      <c r="F199" s="138">
        <f>IFERROR(__xludf.DUMMYFUNCTION("""COMPUTED_VALUE"""),4.0)</f>
        <v>4</v>
      </c>
      <c r="G199" s="138">
        <f>IFERROR(__xludf.DUMMYFUNCTION("""COMPUTED_VALUE"""),5.0)</f>
        <v>5</v>
      </c>
      <c r="H199" s="138">
        <f>IFERROR(__xludf.DUMMYFUNCTION("""COMPUTED_VALUE"""),4.0)</f>
        <v>4</v>
      </c>
      <c r="I199" s="138">
        <f>IFERROR(__xludf.DUMMYFUNCTION("""COMPUTED_VALUE"""),5.0)</f>
        <v>5</v>
      </c>
      <c r="J199" s="138">
        <f>IFERROR(__xludf.DUMMYFUNCTION("""COMPUTED_VALUE"""),5.0)</f>
        <v>5</v>
      </c>
      <c r="K199" s="138">
        <f>IFERROR(__xludf.DUMMYFUNCTION("""COMPUTED_VALUE"""),4.0)</f>
        <v>4</v>
      </c>
      <c r="L199" s="138">
        <v>31.0</v>
      </c>
      <c r="M199" s="140" t="str">
        <f>VLOOKUP(text(D199, "#"),'Master Table'!$A:$F, 6, FALSE)</f>
        <v>A-8</v>
      </c>
      <c r="N199" s="141" t="str">
        <f>IFERROR(__xludf.DUMMYFUNCTION("""COMPUTED_VALUE"""),"What an important need to be addressed!  What types of activities are putting workers at highest risk?")</f>
        <v>What an important need to be addressed!  What types of activities are putting workers at highest risk?</v>
      </c>
      <c r="O199" s="142" t="str">
        <f t="shared" si="1"/>
        <v/>
      </c>
      <c r="P199" s="143" t="str">
        <f>IF(ISNA(VLOOKUP(CONCAT(M199,C199), 'Judge Count DO NOT EDIT'!H:H, 1, FALSE)), "ERROR","")</f>
        <v/>
      </c>
      <c r="Q199" s="141"/>
      <c r="R199" s="143"/>
      <c r="S199" s="139" t="str">
        <f t="shared" si="2"/>
        <v>1057144</v>
      </c>
      <c r="T199" s="141"/>
    </row>
    <row r="200">
      <c r="A200" s="137">
        <f>IFERROR(__xludf.DUMMYFUNCTION("""COMPUTED_VALUE"""),45352.42881534722)</f>
        <v>45352.42882</v>
      </c>
      <c r="B200" s="138" t="str">
        <f>IFERROR(__xludf.DUMMYFUNCTION("""COMPUTED_VALUE"""),"Young-Shin Lee ")</f>
        <v>Young-Shin Lee </v>
      </c>
      <c r="C200" s="138">
        <f>IFERROR(__xludf.DUMMYFUNCTION("""COMPUTED_VALUE"""),1116.0)</f>
        <v>1116</v>
      </c>
      <c r="D200" s="139">
        <f>IFERROR(__xludf.DUMMYFUNCTION("""COMPUTED_VALUE"""),144.0)</f>
        <v>144</v>
      </c>
      <c r="E200" s="138">
        <f>IFERROR(__xludf.DUMMYFUNCTION("""COMPUTED_VALUE"""),5.0)</f>
        <v>5</v>
      </c>
      <c r="F200" s="138">
        <f>IFERROR(__xludf.DUMMYFUNCTION("""COMPUTED_VALUE"""),5.0)</f>
        <v>5</v>
      </c>
      <c r="G200" s="138">
        <f>IFERROR(__xludf.DUMMYFUNCTION("""COMPUTED_VALUE"""),5.0)</f>
        <v>5</v>
      </c>
      <c r="H200" s="138">
        <f>IFERROR(__xludf.DUMMYFUNCTION("""COMPUTED_VALUE"""),5.0)</f>
        <v>5</v>
      </c>
      <c r="I200" s="138">
        <f>IFERROR(__xludf.DUMMYFUNCTION("""COMPUTED_VALUE"""),5.0)</f>
        <v>5</v>
      </c>
      <c r="J200" s="138">
        <f>IFERROR(__xludf.DUMMYFUNCTION("""COMPUTED_VALUE"""),4.0)</f>
        <v>4</v>
      </c>
      <c r="K200" s="138">
        <f>IFERROR(__xludf.DUMMYFUNCTION("""COMPUTED_VALUE"""),5.0)</f>
        <v>5</v>
      </c>
      <c r="L200" s="138">
        <v>34.0</v>
      </c>
      <c r="M200" s="140" t="str">
        <f>VLOOKUP(text(D200, "#"),'Master Table'!$A:$F, 6, FALSE)</f>
        <v>A-8</v>
      </c>
      <c r="N200" s="141" t="str">
        <f>IFERROR(__xludf.DUMMYFUNCTION("""COMPUTED_VALUE"""),"Inspiring and heartbreaking information! Excellent job!")</f>
        <v>Inspiring and heartbreaking information! Excellent job!</v>
      </c>
      <c r="O200" s="142" t="str">
        <f t="shared" si="1"/>
        <v/>
      </c>
      <c r="P200" s="143" t="str">
        <f>IF(ISNA(VLOOKUP(CONCAT(M200,C200), 'Judge Count DO NOT EDIT'!H:H, 1, FALSE)), "ERROR","")</f>
        <v/>
      </c>
      <c r="Q200" s="141"/>
      <c r="R200" s="143"/>
      <c r="S200" s="139" t="str">
        <f t="shared" si="2"/>
        <v>1116144</v>
      </c>
      <c r="T200" s="141"/>
    </row>
    <row r="201">
      <c r="A201" s="137">
        <f>IFERROR(__xludf.DUMMYFUNCTION("""COMPUTED_VALUE"""),45352.42901212963)</f>
        <v>45352.42901</v>
      </c>
      <c r="B201" s="138" t="str">
        <f>IFERROR(__xludf.DUMMYFUNCTION("""COMPUTED_VALUE"""),"Teresa Girolamo")</f>
        <v>Teresa Girolamo</v>
      </c>
      <c r="C201" s="138">
        <f>IFERROR(__xludf.DUMMYFUNCTION("""COMPUTED_VALUE"""),1011.0)</f>
        <v>1011</v>
      </c>
      <c r="D201" s="139">
        <f>IFERROR(__xludf.DUMMYFUNCTION("""COMPUTED_VALUE"""),144.0)</f>
        <v>144</v>
      </c>
      <c r="E201" s="138">
        <f>IFERROR(__xludf.DUMMYFUNCTION("""COMPUTED_VALUE"""),5.0)</f>
        <v>5</v>
      </c>
      <c r="F201" s="138">
        <f>IFERROR(__xludf.DUMMYFUNCTION("""COMPUTED_VALUE"""),5.0)</f>
        <v>5</v>
      </c>
      <c r="G201" s="138">
        <f>IFERROR(__xludf.DUMMYFUNCTION("""COMPUTED_VALUE"""),5.0)</f>
        <v>5</v>
      </c>
      <c r="H201" s="138">
        <f>IFERROR(__xludf.DUMMYFUNCTION("""COMPUTED_VALUE"""),5.0)</f>
        <v>5</v>
      </c>
      <c r="I201" s="138">
        <f>IFERROR(__xludf.DUMMYFUNCTION("""COMPUTED_VALUE"""),4.0)</f>
        <v>4</v>
      </c>
      <c r="J201" s="138">
        <f>IFERROR(__xludf.DUMMYFUNCTION("""COMPUTED_VALUE"""),5.0)</f>
        <v>5</v>
      </c>
      <c r="K201" s="138">
        <f>IFERROR(__xludf.DUMMYFUNCTION("""COMPUTED_VALUE"""),5.0)</f>
        <v>5</v>
      </c>
      <c r="L201" s="138">
        <v>34.0</v>
      </c>
      <c r="M201" s="140" t="str">
        <f>VLOOKUP(text(D201, "#"),'Master Table'!$A:$F, 6, FALSE)</f>
        <v>A-8</v>
      </c>
      <c r="N201" s="141" t="str">
        <f>IFERROR(__xludf.DUMMYFUNCTION("""COMPUTED_VALUE"""),"Very organized but talking speed could be slower - seemed like the presenter was very high energy, which may be less helpful for telling a story/creating a narrative. It might be nicer to decrease information in the talk to spend more time walking people "&amp;"through the research.")</f>
        <v>Very organized but talking speed could be slower - seemed like the presenter was very high energy, which may be less helpful for telling a story/creating a narrative. It might be nicer to decrease information in the talk to spend more time walking people through the research.</v>
      </c>
      <c r="O201" s="142" t="str">
        <f t="shared" si="1"/>
        <v/>
      </c>
      <c r="P201" s="143" t="str">
        <f>IF(ISNA(VLOOKUP(CONCAT(M201,C201), 'Judge Count DO NOT EDIT'!H:H, 1, FALSE)), "ERROR","")</f>
        <v/>
      </c>
      <c r="Q201" s="141"/>
      <c r="R201" s="143"/>
      <c r="S201" s="139" t="str">
        <f t="shared" si="2"/>
        <v>1011144</v>
      </c>
      <c r="T201" s="141"/>
    </row>
    <row r="202">
      <c r="A202" s="137">
        <f>IFERROR(__xludf.DUMMYFUNCTION("""COMPUTED_VALUE"""),45352.43165063657)</f>
        <v>45352.43165</v>
      </c>
      <c r="B202" s="138" t="str">
        <f>IFERROR(__xludf.DUMMYFUNCTION("""COMPUTED_VALUE"""),"Miguel Angel Zavala Perez ")</f>
        <v>Miguel Angel Zavala Perez </v>
      </c>
      <c r="C202" s="138">
        <f>IFERROR(__xludf.DUMMYFUNCTION("""COMPUTED_VALUE"""),1030.0)</f>
        <v>1030</v>
      </c>
      <c r="D202" s="139">
        <f>IFERROR(__xludf.DUMMYFUNCTION("""COMPUTED_VALUE"""),144.0)</f>
        <v>144</v>
      </c>
      <c r="E202" s="138">
        <f>IFERROR(__xludf.DUMMYFUNCTION("""COMPUTED_VALUE"""),4.0)</f>
        <v>4</v>
      </c>
      <c r="F202" s="138">
        <f>IFERROR(__xludf.DUMMYFUNCTION("""COMPUTED_VALUE"""),3.0)</f>
        <v>3</v>
      </c>
      <c r="G202" s="138">
        <f>IFERROR(__xludf.DUMMYFUNCTION("""COMPUTED_VALUE"""),3.0)</f>
        <v>3</v>
      </c>
      <c r="H202" s="138">
        <f>IFERROR(__xludf.DUMMYFUNCTION("""COMPUTED_VALUE"""),3.0)</f>
        <v>3</v>
      </c>
      <c r="I202" s="138">
        <f>IFERROR(__xludf.DUMMYFUNCTION("""COMPUTED_VALUE"""),5.0)</f>
        <v>5</v>
      </c>
      <c r="J202" s="138">
        <f>IFERROR(__xludf.DUMMYFUNCTION("""COMPUTED_VALUE"""),5.0)</f>
        <v>5</v>
      </c>
      <c r="K202" s="138">
        <f>IFERROR(__xludf.DUMMYFUNCTION("""COMPUTED_VALUE"""),4.0)</f>
        <v>4</v>
      </c>
      <c r="L202" s="138">
        <v>27.0</v>
      </c>
      <c r="M202" s="140" t="str">
        <f>VLOOKUP(text(D202, "#"),'Master Table'!$A:$F, 6, FALSE)</f>
        <v>A-8</v>
      </c>
      <c r="N202" s="141" t="str">
        <f>IFERROR(__xludf.DUMMYFUNCTION("""COMPUTED_VALUE"""),"Very interesting and relevant work. You need to better define your hypothesis and design your study")</f>
        <v>Very interesting and relevant work. You need to better define your hypothesis and design your study</v>
      </c>
      <c r="O202" s="142" t="str">
        <f t="shared" si="1"/>
        <v/>
      </c>
      <c r="P202" s="143" t="str">
        <f>IF(ISNA(VLOOKUP(CONCAT(M202,C202), 'Judge Count DO NOT EDIT'!H:H, 1, FALSE)), "ERROR","")</f>
        <v/>
      </c>
      <c r="Q202" s="141"/>
      <c r="R202" s="143"/>
      <c r="S202" s="139" t="str">
        <f t="shared" si="2"/>
        <v>1030144</v>
      </c>
      <c r="T202" s="141"/>
    </row>
    <row r="203">
      <c r="A203" s="137">
        <f>IFERROR(__xludf.DUMMYFUNCTION("""COMPUTED_VALUE"""),45352.569669687495)</f>
        <v>45352.56967</v>
      </c>
      <c r="B203" s="138" t="str">
        <f>IFERROR(__xludf.DUMMYFUNCTION("""COMPUTED_VALUE"""),"Surabhi Bhutani")</f>
        <v>Surabhi Bhutani</v>
      </c>
      <c r="C203" s="138">
        <f>IFERROR(__xludf.DUMMYFUNCTION("""COMPUTED_VALUE"""),1113.0)</f>
        <v>1113</v>
      </c>
      <c r="D203" s="139">
        <f>IFERROR(__xludf.DUMMYFUNCTION("""COMPUTED_VALUE"""),144.0)</f>
        <v>144</v>
      </c>
      <c r="E203" s="138">
        <f>IFERROR(__xludf.DUMMYFUNCTION("""COMPUTED_VALUE"""),5.0)</f>
        <v>5</v>
      </c>
      <c r="F203" s="138">
        <f>IFERROR(__xludf.DUMMYFUNCTION("""COMPUTED_VALUE"""),5.0)</f>
        <v>5</v>
      </c>
      <c r="G203" s="138">
        <f>IFERROR(__xludf.DUMMYFUNCTION("""COMPUTED_VALUE"""),5.0)</f>
        <v>5</v>
      </c>
      <c r="H203" s="138">
        <f>IFERROR(__xludf.DUMMYFUNCTION("""COMPUTED_VALUE"""),5.0)</f>
        <v>5</v>
      </c>
      <c r="I203" s="138">
        <f>IFERROR(__xludf.DUMMYFUNCTION("""COMPUTED_VALUE"""),4.0)</f>
        <v>4</v>
      </c>
      <c r="J203" s="138">
        <f>IFERROR(__xludf.DUMMYFUNCTION("""COMPUTED_VALUE"""),4.0)</f>
        <v>4</v>
      </c>
      <c r="K203" s="138">
        <f>IFERROR(__xludf.DUMMYFUNCTION("""COMPUTED_VALUE"""),5.0)</f>
        <v>5</v>
      </c>
      <c r="L203" s="138">
        <v>33.0</v>
      </c>
      <c r="M203" s="140" t="str">
        <f>VLOOKUP(text(D203, "#"),'Master Table'!$A:$F, 6, FALSE)</f>
        <v>A-8</v>
      </c>
      <c r="N203" s="141"/>
      <c r="O203" s="142" t="str">
        <f t="shared" si="1"/>
        <v/>
      </c>
      <c r="P203" s="143" t="str">
        <f>IF(ISNA(VLOOKUP(CONCAT(M203,C203), 'Judge Count DO NOT EDIT'!H:H, 1, FALSE)), "ERROR","")</f>
        <v/>
      </c>
      <c r="Q203" s="144"/>
      <c r="R203" s="143"/>
      <c r="S203" s="139" t="str">
        <f t="shared" si="2"/>
        <v>1113144</v>
      </c>
      <c r="T203" s="144"/>
    </row>
    <row r="204">
      <c r="A204" s="137">
        <f>IFERROR(__xludf.DUMMYFUNCTION("""COMPUTED_VALUE"""),45352.44200912037)</f>
        <v>45352.44201</v>
      </c>
      <c r="B204" s="138" t="str">
        <f>IFERROR(__xludf.DUMMYFUNCTION("""COMPUTED_VALUE"""),"Eyal Oren")</f>
        <v>Eyal Oren</v>
      </c>
      <c r="C204" s="138">
        <f>IFERROR(__xludf.DUMMYFUNCTION("""COMPUTED_VALUE"""),1057.0)</f>
        <v>1057</v>
      </c>
      <c r="D204" s="139">
        <f>IFERROR(__xludf.DUMMYFUNCTION("""COMPUTED_VALUE"""),145.0)</f>
        <v>145</v>
      </c>
      <c r="E204" s="138">
        <f>IFERROR(__xludf.DUMMYFUNCTION("""COMPUTED_VALUE"""),4.0)</f>
        <v>4</v>
      </c>
      <c r="F204" s="138">
        <f>IFERROR(__xludf.DUMMYFUNCTION("""COMPUTED_VALUE"""),4.0)</f>
        <v>4</v>
      </c>
      <c r="G204" s="138">
        <f>IFERROR(__xludf.DUMMYFUNCTION("""COMPUTED_VALUE"""),2.0)</f>
        <v>2</v>
      </c>
      <c r="H204" s="138">
        <f>IFERROR(__xludf.DUMMYFUNCTION("""COMPUTED_VALUE"""),4.0)</f>
        <v>4</v>
      </c>
      <c r="I204" s="138">
        <f>IFERROR(__xludf.DUMMYFUNCTION("""COMPUTED_VALUE"""),4.0)</f>
        <v>4</v>
      </c>
      <c r="J204" s="138">
        <f>IFERROR(__xludf.DUMMYFUNCTION("""COMPUTED_VALUE"""),4.0)</f>
        <v>4</v>
      </c>
      <c r="K204" s="138">
        <f>IFERROR(__xludf.DUMMYFUNCTION("""COMPUTED_VALUE"""),4.0)</f>
        <v>4</v>
      </c>
      <c r="L204" s="138">
        <v>26.0</v>
      </c>
      <c r="M204" s="140" t="str">
        <f>VLOOKUP(text(D204, "#"),'Master Table'!$A:$F, 6, FALSE)</f>
        <v>A-8</v>
      </c>
      <c r="N204" s="141" t="str">
        <f>IFERROR(__xludf.DUMMYFUNCTION("""COMPUTED_VALUE"""),"Great job! It would be interesting to see a diaggregation by cancer types ")</f>
        <v>Great job! It would be interesting to see a diaggregation by cancer types </v>
      </c>
      <c r="O204" s="142" t="str">
        <f t="shared" si="1"/>
        <v/>
      </c>
      <c r="P204" s="143" t="str">
        <f>IF(ISNA(VLOOKUP(CONCAT(M204,C204), 'Judge Count DO NOT EDIT'!H:H, 1, FALSE)), "ERROR","")</f>
        <v/>
      </c>
      <c r="Q204" s="141"/>
      <c r="R204" s="143"/>
      <c r="S204" s="139" t="str">
        <f t="shared" si="2"/>
        <v>1057145</v>
      </c>
      <c r="T204" s="141"/>
    </row>
    <row r="205">
      <c r="A205" s="137">
        <f>IFERROR(__xludf.DUMMYFUNCTION("""COMPUTED_VALUE"""),45352.44242763889)</f>
        <v>45352.44243</v>
      </c>
      <c r="B205" s="138" t="str">
        <f>IFERROR(__xludf.DUMMYFUNCTION("""COMPUTED_VALUE"""),"Teresa Girolamo")</f>
        <v>Teresa Girolamo</v>
      </c>
      <c r="C205" s="138">
        <f>IFERROR(__xludf.DUMMYFUNCTION("""COMPUTED_VALUE"""),1011.0)</f>
        <v>1011</v>
      </c>
      <c r="D205" s="139">
        <f>IFERROR(__xludf.DUMMYFUNCTION("""COMPUTED_VALUE"""),145.0)</f>
        <v>145</v>
      </c>
      <c r="E205" s="138">
        <f>IFERROR(__xludf.DUMMYFUNCTION("""COMPUTED_VALUE"""),4.0)</f>
        <v>4</v>
      </c>
      <c r="F205" s="138">
        <f>IFERROR(__xludf.DUMMYFUNCTION("""COMPUTED_VALUE"""),4.0)</f>
        <v>4</v>
      </c>
      <c r="G205" s="138">
        <f>IFERROR(__xludf.DUMMYFUNCTION("""COMPUTED_VALUE"""),4.0)</f>
        <v>4</v>
      </c>
      <c r="H205" s="138">
        <f>IFERROR(__xludf.DUMMYFUNCTION("""COMPUTED_VALUE"""),5.0)</f>
        <v>5</v>
      </c>
      <c r="I205" s="138">
        <f>IFERROR(__xludf.DUMMYFUNCTION("""COMPUTED_VALUE"""),2.0)</f>
        <v>2</v>
      </c>
      <c r="J205" s="138">
        <f>IFERROR(__xludf.DUMMYFUNCTION("""COMPUTED_VALUE"""),2.0)</f>
        <v>2</v>
      </c>
      <c r="K205" s="138">
        <f>IFERROR(__xludf.DUMMYFUNCTION("""COMPUTED_VALUE"""),4.0)</f>
        <v>4</v>
      </c>
      <c r="L205" s="138">
        <v>25.0</v>
      </c>
      <c r="M205" s="140" t="str">
        <f>VLOOKUP(text(D205, "#"),'Master Table'!$A:$F, 6, FALSE)</f>
        <v>A-8</v>
      </c>
      <c r="N205" s="141" t="str">
        <f>IFERROR(__xludf.DUMMYFUNCTION("""COMPUTED_VALUE"""),"Too much information and description of methods for a 10-minute talk. A simpler statement would suffice (e.g., we used xxx methods to examine this question. Findings showed...). No need to talk about p-value. Focus should be on story-telling - it seems li"&amp;"ke a very well-done and thorough project, but that gets lost in the explanation of methodological details. Probably the methodological details are relevant for discipline-specific technical talks, thesis defense, etc., but perhaps not this forum.")</f>
        <v>Too much information and description of methods for a 10-minute talk. A simpler statement would suffice (e.g., we used xxx methods to examine this question. Findings showed...). No need to talk about p-value. Focus should be on story-telling - it seems like a very well-done and thorough project, but that gets lost in the explanation of methodological details. Probably the methodological details are relevant for discipline-specific technical talks, thesis defense, etc., but perhaps not this forum.</v>
      </c>
      <c r="O205" s="142" t="str">
        <f t="shared" si="1"/>
        <v/>
      </c>
      <c r="P205" s="143" t="str">
        <f>IF(ISNA(VLOOKUP(CONCAT(M205,C205), 'Judge Count DO NOT EDIT'!H:H, 1, FALSE)), "ERROR","")</f>
        <v/>
      </c>
      <c r="Q205" s="141"/>
      <c r="R205" s="143"/>
      <c r="S205" s="139" t="str">
        <f t="shared" si="2"/>
        <v>1011145</v>
      </c>
      <c r="T205" s="141"/>
    </row>
    <row r="206">
      <c r="A206" s="137">
        <f>IFERROR(__xludf.DUMMYFUNCTION("""COMPUTED_VALUE"""),45352.445274074074)</f>
        <v>45352.44527</v>
      </c>
      <c r="B206" s="138" t="str">
        <f>IFERROR(__xludf.DUMMYFUNCTION("""COMPUTED_VALUE"""),"Miguel Angel Zavala Perez ")</f>
        <v>Miguel Angel Zavala Perez </v>
      </c>
      <c r="C206" s="138">
        <f>IFERROR(__xludf.DUMMYFUNCTION("""COMPUTED_VALUE"""),1030.0)</f>
        <v>1030</v>
      </c>
      <c r="D206" s="139">
        <f>IFERROR(__xludf.DUMMYFUNCTION("""COMPUTED_VALUE"""),145.0)</f>
        <v>145</v>
      </c>
      <c r="E206" s="138">
        <f>IFERROR(__xludf.DUMMYFUNCTION("""COMPUTED_VALUE"""),3.0)</f>
        <v>3</v>
      </c>
      <c r="F206" s="138">
        <f>IFERROR(__xludf.DUMMYFUNCTION("""COMPUTED_VALUE"""),4.0)</f>
        <v>4</v>
      </c>
      <c r="G206" s="138">
        <f>IFERROR(__xludf.DUMMYFUNCTION("""COMPUTED_VALUE"""),4.0)</f>
        <v>4</v>
      </c>
      <c r="H206" s="138">
        <f>IFERROR(__xludf.DUMMYFUNCTION("""COMPUTED_VALUE"""),5.0)</f>
        <v>5</v>
      </c>
      <c r="I206" s="138">
        <f>IFERROR(__xludf.DUMMYFUNCTION("""COMPUTED_VALUE"""),3.0)</f>
        <v>3</v>
      </c>
      <c r="J206" s="138">
        <f>IFERROR(__xludf.DUMMYFUNCTION("""COMPUTED_VALUE"""),4.0)</f>
        <v>4</v>
      </c>
      <c r="K206" s="138">
        <f>IFERROR(__xludf.DUMMYFUNCTION("""COMPUTED_VALUE"""),4.0)</f>
        <v>4</v>
      </c>
      <c r="L206" s="138">
        <v>27.0</v>
      </c>
      <c r="M206" s="140" t="str">
        <f>VLOOKUP(text(D206, "#"),'Master Table'!$A:$F, 6, FALSE)</f>
        <v>A-8</v>
      </c>
      <c r="N206" s="141" t="str">
        <f>IFERROR(__xludf.DUMMYFUNCTION("""COMPUTED_VALUE"""),"Very relevant work. Curious what you will find with the whole data. Identify the sources of uncertainty and how to reduce them.")</f>
        <v>Very relevant work. Curious what you will find with the whole data. Identify the sources of uncertainty and how to reduce them.</v>
      </c>
      <c r="O206" s="142" t="str">
        <f t="shared" si="1"/>
        <v/>
      </c>
      <c r="P206" s="143" t="str">
        <f>IF(ISNA(VLOOKUP(CONCAT(M206,C206), 'Judge Count DO NOT EDIT'!H:H, 1, FALSE)), "ERROR","")</f>
        <v/>
      </c>
      <c r="Q206" s="141"/>
      <c r="R206" s="143"/>
      <c r="S206" s="139" t="str">
        <f t="shared" si="2"/>
        <v>1030145</v>
      </c>
      <c r="T206" s="141"/>
    </row>
    <row r="207">
      <c r="A207" s="137">
        <f>IFERROR(__xludf.DUMMYFUNCTION("""COMPUTED_VALUE"""),45352.57080931713)</f>
        <v>45352.57081</v>
      </c>
      <c r="B207" s="138" t="str">
        <f>IFERROR(__xludf.DUMMYFUNCTION("""COMPUTED_VALUE"""),"Surabhi Bhutani")</f>
        <v>Surabhi Bhutani</v>
      </c>
      <c r="C207" s="138">
        <f>IFERROR(__xludf.DUMMYFUNCTION("""COMPUTED_VALUE"""),1113.0)</f>
        <v>1113</v>
      </c>
      <c r="D207" s="139">
        <f>IFERROR(__xludf.DUMMYFUNCTION("""COMPUTED_VALUE"""),145.0)</f>
        <v>145</v>
      </c>
      <c r="E207" s="138">
        <f>IFERROR(__xludf.DUMMYFUNCTION("""COMPUTED_VALUE"""),3.0)</f>
        <v>3</v>
      </c>
      <c r="F207" s="138">
        <f>IFERROR(__xludf.DUMMYFUNCTION("""COMPUTED_VALUE"""),4.0)</f>
        <v>4</v>
      </c>
      <c r="G207" s="138">
        <f>IFERROR(__xludf.DUMMYFUNCTION("""COMPUTED_VALUE"""),3.0)</f>
        <v>3</v>
      </c>
      <c r="H207" s="138">
        <f>IFERROR(__xludf.DUMMYFUNCTION("""COMPUTED_VALUE"""),3.0)</f>
        <v>3</v>
      </c>
      <c r="I207" s="138">
        <f>IFERROR(__xludf.DUMMYFUNCTION("""COMPUTED_VALUE"""),3.0)</f>
        <v>3</v>
      </c>
      <c r="J207" s="138">
        <f>IFERROR(__xludf.DUMMYFUNCTION("""COMPUTED_VALUE"""),3.0)</f>
        <v>3</v>
      </c>
      <c r="K207" s="138">
        <f>IFERROR(__xludf.DUMMYFUNCTION("""COMPUTED_VALUE"""),3.0)</f>
        <v>3</v>
      </c>
      <c r="L207" s="138">
        <v>22.0</v>
      </c>
      <c r="M207" s="140" t="str">
        <f>VLOOKUP(text(D207, "#"),'Master Table'!$A:$F, 6, FALSE)</f>
        <v>A-8</v>
      </c>
      <c r="N207" s="141"/>
      <c r="O207" s="142" t="str">
        <f t="shared" si="1"/>
        <v/>
      </c>
      <c r="P207" s="143" t="str">
        <f>IF(ISNA(VLOOKUP(CONCAT(M207,C207), 'Judge Count DO NOT EDIT'!H:H, 1, FALSE)), "ERROR","")</f>
        <v/>
      </c>
      <c r="Q207" s="141"/>
      <c r="R207" s="143"/>
      <c r="S207" s="139" t="str">
        <f t="shared" si="2"/>
        <v>1113145</v>
      </c>
      <c r="T207" s="141"/>
    </row>
    <row r="208">
      <c r="A208" s="137">
        <f>IFERROR(__xludf.DUMMYFUNCTION("""COMPUTED_VALUE"""),45352.87950541667)</f>
        <v>45352.87951</v>
      </c>
      <c r="B208" s="138" t="str">
        <f>IFERROR(__xludf.DUMMYFUNCTION("""COMPUTED_VALUE"""),"Young-Shin Lee ")</f>
        <v>Young-Shin Lee </v>
      </c>
      <c r="C208" s="138">
        <f>IFERROR(__xludf.DUMMYFUNCTION("""COMPUTED_VALUE"""),1116.0)</f>
        <v>1116</v>
      </c>
      <c r="D208" s="139">
        <f>IFERROR(__xludf.DUMMYFUNCTION("""COMPUTED_VALUE"""),145.0)</f>
        <v>145</v>
      </c>
      <c r="E208" s="138">
        <f>IFERROR(__xludf.DUMMYFUNCTION("""COMPUTED_VALUE"""),4.0)</f>
        <v>4</v>
      </c>
      <c r="F208" s="138">
        <f>IFERROR(__xludf.DUMMYFUNCTION("""COMPUTED_VALUE"""),4.0)</f>
        <v>4</v>
      </c>
      <c r="G208" s="138">
        <f>IFERROR(__xludf.DUMMYFUNCTION("""COMPUTED_VALUE"""),4.0)</f>
        <v>4</v>
      </c>
      <c r="H208" s="138">
        <f>IFERROR(__xludf.DUMMYFUNCTION("""COMPUTED_VALUE"""),4.0)</f>
        <v>4</v>
      </c>
      <c r="I208" s="138">
        <f>IFERROR(__xludf.DUMMYFUNCTION("""COMPUTED_VALUE"""),4.0)</f>
        <v>4</v>
      </c>
      <c r="J208" s="138">
        <f>IFERROR(__xludf.DUMMYFUNCTION("""COMPUTED_VALUE"""),4.0)</f>
        <v>4</v>
      </c>
      <c r="K208" s="138">
        <f>IFERROR(__xludf.DUMMYFUNCTION("""COMPUTED_VALUE"""),4.0)</f>
        <v>4</v>
      </c>
      <c r="L208" s="138">
        <v>28.0</v>
      </c>
      <c r="M208" s="140" t="str">
        <f>VLOOKUP(text(D208, "#"),'Master Table'!$A:$F, 6, FALSE)</f>
        <v>A-8</v>
      </c>
      <c r="N208" s="141"/>
      <c r="O208" s="142" t="str">
        <f t="shared" si="1"/>
        <v/>
      </c>
      <c r="P208" s="143" t="str">
        <f>IF(ISNA(VLOOKUP(CONCAT(M208,C208), 'Judge Count DO NOT EDIT'!H:H, 1, FALSE)), "ERROR","")</f>
        <v/>
      </c>
      <c r="Q208" s="141"/>
      <c r="R208" s="143"/>
      <c r="S208" s="139" t="str">
        <f t="shared" si="2"/>
        <v>1116145</v>
      </c>
      <c r="T208" s="141"/>
    </row>
    <row r="209">
      <c r="A209" s="137">
        <f>IFERROR(__xludf.DUMMYFUNCTION("""COMPUTED_VALUE"""),45352.455107256945)</f>
        <v>45352.45511</v>
      </c>
      <c r="B209" s="138" t="str">
        <f>IFERROR(__xludf.DUMMYFUNCTION("""COMPUTED_VALUE"""),"Eyal Oren")</f>
        <v>Eyal Oren</v>
      </c>
      <c r="C209" s="138">
        <f>IFERROR(__xludf.DUMMYFUNCTION("""COMPUTED_VALUE"""),1057.0)</f>
        <v>1057</v>
      </c>
      <c r="D209" s="139">
        <f>IFERROR(__xludf.DUMMYFUNCTION("""COMPUTED_VALUE"""),146.0)</f>
        <v>146</v>
      </c>
      <c r="E209" s="138">
        <f>IFERROR(__xludf.DUMMYFUNCTION("""COMPUTED_VALUE"""),4.0)</f>
        <v>4</v>
      </c>
      <c r="F209" s="138">
        <f>IFERROR(__xludf.DUMMYFUNCTION("""COMPUTED_VALUE"""),4.0)</f>
        <v>4</v>
      </c>
      <c r="G209" s="138">
        <f>IFERROR(__xludf.DUMMYFUNCTION("""COMPUTED_VALUE"""),4.0)</f>
        <v>4</v>
      </c>
      <c r="H209" s="138">
        <f>IFERROR(__xludf.DUMMYFUNCTION("""COMPUTED_VALUE"""),4.0)</f>
        <v>4</v>
      </c>
      <c r="I209" s="138">
        <f>IFERROR(__xludf.DUMMYFUNCTION("""COMPUTED_VALUE"""),4.0)</f>
        <v>4</v>
      </c>
      <c r="J209" s="138">
        <f>IFERROR(__xludf.DUMMYFUNCTION("""COMPUTED_VALUE"""),4.0)</f>
        <v>4</v>
      </c>
      <c r="K209" s="138">
        <f>IFERROR(__xludf.DUMMYFUNCTION("""COMPUTED_VALUE"""),4.0)</f>
        <v>4</v>
      </c>
      <c r="L209" s="138">
        <v>28.0</v>
      </c>
      <c r="M209" s="140" t="str">
        <f>VLOOKUP(text(D209, "#"),'Master Table'!$A:$F, 6, FALSE)</f>
        <v>A-8</v>
      </c>
      <c r="N209" s="141" t="str">
        <f>IFERROR(__xludf.DUMMYFUNCTION("""COMPUTED_VALUE"""),"Very interesting! What about more of a focus on taste vs smell?")</f>
        <v>Very interesting! What about more of a focus on taste vs smell?</v>
      </c>
      <c r="O209" s="142" t="str">
        <f t="shared" si="1"/>
        <v/>
      </c>
      <c r="P209" s="143" t="str">
        <f>IF(ISNA(VLOOKUP(CONCAT(M209,C209), 'Judge Count DO NOT EDIT'!H:H, 1, FALSE)), "ERROR","")</f>
        <v/>
      </c>
      <c r="Q209" s="141"/>
      <c r="R209" s="143"/>
      <c r="S209" s="139" t="str">
        <f t="shared" si="2"/>
        <v>1057146</v>
      </c>
      <c r="T209" s="141"/>
    </row>
    <row r="210">
      <c r="A210" s="137">
        <f>IFERROR(__xludf.DUMMYFUNCTION("""COMPUTED_VALUE"""),45352.45753190972)</f>
        <v>45352.45753</v>
      </c>
      <c r="B210" s="138" t="str">
        <f>IFERROR(__xludf.DUMMYFUNCTION("""COMPUTED_VALUE"""),"Teresa Girolamo")</f>
        <v>Teresa Girolamo</v>
      </c>
      <c r="C210" s="138">
        <f>IFERROR(__xludf.DUMMYFUNCTION("""COMPUTED_VALUE"""),1011.0)</f>
        <v>1011</v>
      </c>
      <c r="D210" s="139">
        <f>IFERROR(__xludf.DUMMYFUNCTION("""COMPUTED_VALUE"""),146.0)</f>
        <v>146</v>
      </c>
      <c r="E210" s="138">
        <f>IFERROR(__xludf.DUMMYFUNCTION("""COMPUTED_VALUE"""),3.0)</f>
        <v>3</v>
      </c>
      <c r="F210" s="138">
        <f>IFERROR(__xludf.DUMMYFUNCTION("""COMPUTED_VALUE"""),2.0)</f>
        <v>2</v>
      </c>
      <c r="G210" s="138">
        <f>IFERROR(__xludf.DUMMYFUNCTION("""COMPUTED_VALUE"""),3.0)</f>
        <v>3</v>
      </c>
      <c r="H210" s="138">
        <f>IFERROR(__xludf.DUMMYFUNCTION("""COMPUTED_VALUE"""),2.0)</f>
        <v>2</v>
      </c>
      <c r="I210" s="138">
        <f>IFERROR(__xludf.DUMMYFUNCTION("""COMPUTED_VALUE"""),1.0)</f>
        <v>1</v>
      </c>
      <c r="J210" s="138">
        <f>IFERROR(__xludf.DUMMYFUNCTION("""COMPUTED_VALUE"""),2.0)</f>
        <v>2</v>
      </c>
      <c r="K210" s="138">
        <f>IFERROR(__xludf.DUMMYFUNCTION("""COMPUTED_VALUE"""),4.0)</f>
        <v>4</v>
      </c>
      <c r="L210" s="138">
        <v>17.0</v>
      </c>
      <c r="M210" s="140" t="str">
        <f>VLOOKUP(text(D210, "#"),'Master Table'!$A:$F, 6, FALSE)</f>
        <v>A-8</v>
      </c>
      <c r="N210" s="141" t="str">
        <f>IFERROR(__xludf.DUMMYFUNCTION("""COMPUTED_VALUE"""),"Much of the delivery of the presentation was not as cohesive as the PPT itself or methods seemed to be. Using some summary statements for each slide or part would help guide the narrative. The introductory slides could benefit from work for formatting and"&amp;" style for a scholarly presentation. One way to think about presenting a lot of information is with ""bookend"" sentences (e.g., Book-end: In this study, we were interested in x, because of y. [Prior work shows....] Book-end: This points to the importance"&amp;" of examining z.). Also, I would skip saying ""I didn't have time to add..."" - present it as a complete project and put the updated results under ""future directions"" or save it for Q+A in case someone asks about next steps.")</f>
        <v>Much of the delivery of the presentation was not as cohesive as the PPT itself or methods seemed to be. Using some summary statements for each slide or part would help guide the narrative. The introductory slides could benefit from work for formatting and style for a scholarly presentation. One way to think about presenting a lot of information is with "bookend" sentences (e.g., Book-end: In this study, we were interested in x, because of y. [Prior work shows....] Book-end: This points to the importance of examining z.). Also, I would skip saying "I didn't have time to add..." - present it as a complete project and put the updated results under "future directions" or save it for Q+A in case someone asks about next steps.</v>
      </c>
      <c r="O210" s="142" t="str">
        <f t="shared" si="1"/>
        <v/>
      </c>
      <c r="P210" s="143" t="str">
        <f>IF(ISNA(VLOOKUP(CONCAT(M210,C210), 'Judge Count DO NOT EDIT'!H:H, 1, FALSE)), "ERROR","")</f>
        <v/>
      </c>
      <c r="Q210" s="141"/>
      <c r="R210" s="143"/>
      <c r="S210" s="139" t="str">
        <f t="shared" si="2"/>
        <v>1011146</v>
      </c>
      <c r="T210" s="141"/>
    </row>
    <row r="211">
      <c r="A211" s="137">
        <f>IFERROR(__xludf.DUMMYFUNCTION("""COMPUTED_VALUE"""),45352.459613217594)</f>
        <v>45352.45961</v>
      </c>
      <c r="B211" s="138" t="str">
        <f>IFERROR(__xludf.DUMMYFUNCTION("""COMPUTED_VALUE"""),"Miguel Angel Zavala Perez ")</f>
        <v>Miguel Angel Zavala Perez </v>
      </c>
      <c r="C211" s="138">
        <f>IFERROR(__xludf.DUMMYFUNCTION("""COMPUTED_VALUE"""),1030.0)</f>
        <v>1030</v>
      </c>
      <c r="D211" s="139">
        <f>IFERROR(__xludf.DUMMYFUNCTION("""COMPUTED_VALUE"""),146.0)</f>
        <v>146</v>
      </c>
      <c r="E211" s="138">
        <f>IFERROR(__xludf.DUMMYFUNCTION("""COMPUTED_VALUE"""),4.0)</f>
        <v>4</v>
      </c>
      <c r="F211" s="138">
        <f>IFERROR(__xludf.DUMMYFUNCTION("""COMPUTED_VALUE"""),4.0)</f>
        <v>4</v>
      </c>
      <c r="G211" s="138">
        <f>IFERROR(__xludf.DUMMYFUNCTION("""COMPUTED_VALUE"""),3.0)</f>
        <v>3</v>
      </c>
      <c r="H211" s="138">
        <f>IFERROR(__xludf.DUMMYFUNCTION("""COMPUTED_VALUE"""),3.0)</f>
        <v>3</v>
      </c>
      <c r="I211" s="138">
        <f>IFERROR(__xludf.DUMMYFUNCTION("""COMPUTED_VALUE"""),4.0)</f>
        <v>4</v>
      </c>
      <c r="J211" s="138">
        <f>IFERROR(__xludf.DUMMYFUNCTION("""COMPUTED_VALUE"""),4.0)</f>
        <v>4</v>
      </c>
      <c r="K211" s="138">
        <f>IFERROR(__xludf.DUMMYFUNCTION("""COMPUTED_VALUE"""),3.0)</f>
        <v>3</v>
      </c>
      <c r="L211" s="138">
        <v>25.0</v>
      </c>
      <c r="M211" s="140" t="str">
        <f>VLOOKUP(text(D211, "#"),'Master Table'!$A:$F, 6, FALSE)</f>
        <v>A-8</v>
      </c>
      <c r="N211" s="141" t="str">
        <f>IFERROR(__xludf.DUMMYFUNCTION("""COMPUTED_VALUE"""),"Keep up the good work. ")</f>
        <v>Keep up the good work. </v>
      </c>
      <c r="O211" s="142" t="str">
        <f t="shared" si="1"/>
        <v/>
      </c>
      <c r="P211" s="143" t="str">
        <f>IF(ISNA(VLOOKUP(CONCAT(M211,C211), 'Judge Count DO NOT EDIT'!H:H, 1, FALSE)), "ERROR","")</f>
        <v/>
      </c>
      <c r="Q211" s="141"/>
      <c r="R211" s="143"/>
      <c r="S211" s="139" t="str">
        <f t="shared" si="2"/>
        <v>1030146</v>
      </c>
      <c r="T211" s="141"/>
    </row>
    <row r="212">
      <c r="A212" s="137">
        <f>IFERROR(__xludf.DUMMYFUNCTION("""COMPUTED_VALUE"""),45352.571312685184)</f>
        <v>45352.57131</v>
      </c>
      <c r="B212" s="138" t="str">
        <f>IFERROR(__xludf.DUMMYFUNCTION("""COMPUTED_VALUE"""),"Surabhi Bhutani")</f>
        <v>Surabhi Bhutani</v>
      </c>
      <c r="C212" s="138">
        <f>IFERROR(__xludf.DUMMYFUNCTION("""COMPUTED_VALUE"""),1113.0)</f>
        <v>1113</v>
      </c>
      <c r="D212" s="139">
        <f>IFERROR(__xludf.DUMMYFUNCTION("""COMPUTED_VALUE"""),146.0)</f>
        <v>146</v>
      </c>
      <c r="E212" s="138">
        <f>IFERROR(__xludf.DUMMYFUNCTION("""COMPUTED_VALUE"""),4.0)</f>
        <v>4</v>
      </c>
      <c r="F212" s="138">
        <f>IFERROR(__xludf.DUMMYFUNCTION("""COMPUTED_VALUE"""),5.0)</f>
        <v>5</v>
      </c>
      <c r="G212" s="138">
        <f>IFERROR(__xludf.DUMMYFUNCTION("""COMPUTED_VALUE"""),4.0)</f>
        <v>4</v>
      </c>
      <c r="H212" s="138">
        <f>IFERROR(__xludf.DUMMYFUNCTION("""COMPUTED_VALUE"""),3.0)</f>
        <v>3</v>
      </c>
      <c r="I212" s="138">
        <f>IFERROR(__xludf.DUMMYFUNCTION("""COMPUTED_VALUE"""),3.0)</f>
        <v>3</v>
      </c>
      <c r="J212" s="138">
        <f>IFERROR(__xludf.DUMMYFUNCTION("""COMPUTED_VALUE"""),3.0)</f>
        <v>3</v>
      </c>
      <c r="K212" s="138">
        <f>IFERROR(__xludf.DUMMYFUNCTION("""COMPUTED_VALUE"""),3.0)</f>
        <v>3</v>
      </c>
      <c r="L212" s="138">
        <v>25.0</v>
      </c>
      <c r="M212" s="140" t="str">
        <f>VLOOKUP(text(D212, "#"),'Master Table'!$A:$F, 6, FALSE)</f>
        <v>A-8</v>
      </c>
      <c r="N212" s="141"/>
      <c r="O212" s="142" t="str">
        <f t="shared" si="1"/>
        <v/>
      </c>
      <c r="P212" s="143" t="str">
        <f>IF(ISNA(VLOOKUP(CONCAT(M212,C212), 'Judge Count DO NOT EDIT'!H:H, 1, FALSE)), "ERROR","")</f>
        <v/>
      </c>
      <c r="Q212" s="141"/>
      <c r="R212" s="143"/>
      <c r="S212" s="139" t="str">
        <f t="shared" si="2"/>
        <v>1113146</v>
      </c>
      <c r="T212" s="141"/>
    </row>
    <row r="213">
      <c r="A213" s="137">
        <f>IFERROR(__xludf.DUMMYFUNCTION("""COMPUTED_VALUE"""),45352.387749236106)</f>
        <v>45352.38775</v>
      </c>
      <c r="B213" s="138" t="str">
        <f>IFERROR(__xludf.DUMMYFUNCTION("""COMPUTED_VALUE"""),"Douglas Stow")</f>
        <v>Douglas Stow</v>
      </c>
      <c r="C213" s="138">
        <f>IFERROR(__xludf.DUMMYFUNCTION("""COMPUTED_VALUE"""),1130.0)</f>
        <v>1130</v>
      </c>
      <c r="D213" s="139">
        <f>IFERROR(__xludf.DUMMYFUNCTION("""COMPUTED_VALUE"""),147.0)</f>
        <v>147</v>
      </c>
      <c r="E213" s="138">
        <f>IFERROR(__xludf.DUMMYFUNCTION("""COMPUTED_VALUE"""),4.0)</f>
        <v>4</v>
      </c>
      <c r="F213" s="138">
        <f>IFERROR(__xludf.DUMMYFUNCTION("""COMPUTED_VALUE"""),4.0)</f>
        <v>4</v>
      </c>
      <c r="G213" s="138">
        <f>IFERROR(__xludf.DUMMYFUNCTION("""COMPUTED_VALUE"""),4.0)</f>
        <v>4</v>
      </c>
      <c r="H213" s="138">
        <f>IFERROR(__xludf.DUMMYFUNCTION("""COMPUTED_VALUE"""),4.0)</f>
        <v>4</v>
      </c>
      <c r="I213" s="138">
        <f>IFERROR(__xludf.DUMMYFUNCTION("""COMPUTED_VALUE"""),4.0)</f>
        <v>4</v>
      </c>
      <c r="J213" s="138">
        <f>IFERROR(__xludf.DUMMYFUNCTION("""COMPUTED_VALUE"""),4.0)</f>
        <v>4</v>
      </c>
      <c r="K213" s="138">
        <f>IFERROR(__xludf.DUMMYFUNCTION("""COMPUTED_VALUE"""),3.0)</f>
        <v>3</v>
      </c>
      <c r="L213" s="138">
        <v>27.0</v>
      </c>
      <c r="M213" s="140" t="str">
        <f>VLOOKUP(text(D213, "#"),'Master Table'!$A:$F, 6, FALSE)</f>
        <v>A-9</v>
      </c>
      <c r="N213" s="141" t="str">
        <f>IFERROR(__xludf.DUMMYFUNCTION("""COMPUTED_VALUE"""),"Fairly good response to questions")</f>
        <v>Fairly good response to questions</v>
      </c>
      <c r="O213" s="142" t="str">
        <f t="shared" si="1"/>
        <v/>
      </c>
      <c r="P213" s="143" t="str">
        <f>IF(ISNA(VLOOKUP(CONCAT(M213,C213), 'Judge Count DO NOT EDIT'!H:H, 1, FALSE)), "ERROR","")</f>
        <v/>
      </c>
      <c r="Q213" s="141"/>
      <c r="R213" s="143"/>
      <c r="S213" s="139" t="str">
        <f t="shared" si="2"/>
        <v>1130147</v>
      </c>
      <c r="T213" s="141"/>
    </row>
    <row r="214">
      <c r="A214" s="137">
        <f>IFERROR(__xludf.DUMMYFUNCTION("""COMPUTED_VALUE"""),45352.88011844907)</f>
        <v>45352.88012</v>
      </c>
      <c r="B214" s="138" t="str">
        <f>IFERROR(__xludf.DUMMYFUNCTION("""COMPUTED_VALUE"""),"Young-Shin Lee")</f>
        <v>Young-Shin Lee</v>
      </c>
      <c r="C214" s="138">
        <f>IFERROR(__xludf.DUMMYFUNCTION("""COMPUTED_VALUE"""),1116.0)</f>
        <v>1116</v>
      </c>
      <c r="D214" s="139">
        <f>IFERROR(__xludf.DUMMYFUNCTION("""COMPUTED_VALUE"""),147.0)</f>
        <v>147</v>
      </c>
      <c r="E214" s="138">
        <f>IFERROR(__xludf.DUMMYFUNCTION("""COMPUTED_VALUE"""),3.0)</f>
        <v>3</v>
      </c>
      <c r="F214" s="138">
        <f>IFERROR(__xludf.DUMMYFUNCTION("""COMPUTED_VALUE"""),3.0)</f>
        <v>3</v>
      </c>
      <c r="G214" s="138">
        <f>IFERROR(__xludf.DUMMYFUNCTION("""COMPUTED_VALUE"""),3.0)</f>
        <v>3</v>
      </c>
      <c r="H214" s="138">
        <f>IFERROR(__xludf.DUMMYFUNCTION("""COMPUTED_VALUE"""),3.0)</f>
        <v>3</v>
      </c>
      <c r="I214" s="138">
        <f>IFERROR(__xludf.DUMMYFUNCTION("""COMPUTED_VALUE"""),4.0)</f>
        <v>4</v>
      </c>
      <c r="J214" s="138">
        <f>IFERROR(__xludf.DUMMYFUNCTION("""COMPUTED_VALUE"""),3.0)</f>
        <v>3</v>
      </c>
      <c r="K214" s="138">
        <f>IFERROR(__xludf.DUMMYFUNCTION("""COMPUTED_VALUE"""),3.0)</f>
        <v>3</v>
      </c>
      <c r="L214" s="138">
        <v>22.0</v>
      </c>
      <c r="M214" s="140" t="str">
        <f>VLOOKUP(text(D214, "#"),'Master Table'!$A:$F, 6, FALSE)</f>
        <v>A-9</v>
      </c>
      <c r="N214" s="141"/>
      <c r="O214" s="142" t="str">
        <f t="shared" si="1"/>
        <v/>
      </c>
      <c r="P214" s="143" t="str">
        <f>IF(ISNA(VLOOKUP(CONCAT(M214,C214), 'Judge Count DO NOT EDIT'!H:H, 1, FALSE)), "ERROR","")</f>
        <v>ERROR</v>
      </c>
      <c r="Q214" s="144"/>
      <c r="R214" s="143"/>
      <c r="S214" s="139" t="str">
        <f t="shared" si="2"/>
        <v>1116147</v>
      </c>
      <c r="T214" s="141"/>
    </row>
    <row r="215">
      <c r="A215" s="137">
        <f>IFERROR(__xludf.DUMMYFUNCTION("""COMPUTED_VALUE"""),45352.40355402778)</f>
        <v>45352.40355</v>
      </c>
      <c r="B215" s="138" t="str">
        <f>IFERROR(__xludf.DUMMYFUNCTION("""COMPUTED_VALUE"""),"Douglas Stow")</f>
        <v>Douglas Stow</v>
      </c>
      <c r="C215" s="138">
        <f>IFERROR(__xludf.DUMMYFUNCTION("""COMPUTED_VALUE"""),1130.0)</f>
        <v>1130</v>
      </c>
      <c r="D215" s="139">
        <f>IFERROR(__xludf.DUMMYFUNCTION("""COMPUTED_VALUE"""),148.0)</f>
        <v>148</v>
      </c>
      <c r="E215" s="138">
        <f>IFERROR(__xludf.DUMMYFUNCTION("""COMPUTED_VALUE"""),5.0)</f>
        <v>5</v>
      </c>
      <c r="F215" s="138">
        <f>IFERROR(__xludf.DUMMYFUNCTION("""COMPUTED_VALUE"""),4.0)</f>
        <v>4</v>
      </c>
      <c r="G215" s="138">
        <f>IFERROR(__xludf.DUMMYFUNCTION("""COMPUTED_VALUE"""),4.0)</f>
        <v>4</v>
      </c>
      <c r="H215" s="138">
        <f>IFERROR(__xludf.DUMMYFUNCTION("""COMPUTED_VALUE"""),4.0)</f>
        <v>4</v>
      </c>
      <c r="I215" s="138">
        <f>IFERROR(__xludf.DUMMYFUNCTION("""COMPUTED_VALUE"""),3.0)</f>
        <v>3</v>
      </c>
      <c r="J215" s="138">
        <f>IFERROR(__xludf.DUMMYFUNCTION("""COMPUTED_VALUE"""),4.0)</f>
        <v>4</v>
      </c>
      <c r="K215" s="138">
        <f>IFERROR(__xludf.DUMMYFUNCTION("""COMPUTED_VALUE"""),4.0)</f>
        <v>4</v>
      </c>
      <c r="L215" s="138">
        <v>28.0</v>
      </c>
      <c r="M215" s="140" t="str">
        <f>VLOOKUP(text(D215, "#"),'Master Table'!$A:$F, 6, FALSE)</f>
        <v>A-9</v>
      </c>
      <c r="N215" s="141" t="str">
        <f>IFERROR(__xludf.DUMMYFUNCTION("""COMPUTED_VALUE"""),"Excellent organization, and answering of questions, particularly for undergraduate student. Could slow down the presentation speed and still fit within time.")</f>
        <v>Excellent organization, and answering of questions, particularly for undergraduate student. Could slow down the presentation speed and still fit within time.</v>
      </c>
      <c r="O215" s="142" t="str">
        <f t="shared" si="1"/>
        <v/>
      </c>
      <c r="P215" s="143" t="str">
        <f>IF(ISNA(VLOOKUP(CONCAT(M215,C215), 'Judge Count DO NOT EDIT'!H:H, 1, FALSE)), "ERROR","")</f>
        <v/>
      </c>
      <c r="Q215" s="141"/>
      <c r="R215" s="143"/>
      <c r="S215" s="139" t="str">
        <f t="shared" si="2"/>
        <v>1130148</v>
      </c>
      <c r="T215" s="141"/>
    </row>
    <row r="216">
      <c r="A216" s="137">
        <f>IFERROR(__xludf.DUMMYFUNCTION("""COMPUTED_VALUE"""),45352.416012974536)</f>
        <v>45352.41601</v>
      </c>
      <c r="B216" s="138" t="str">
        <f>IFERROR(__xludf.DUMMYFUNCTION("""COMPUTED_VALUE"""),"Douglas Stow ")</f>
        <v>Douglas Stow </v>
      </c>
      <c r="C216" s="138">
        <f>IFERROR(__xludf.DUMMYFUNCTION("""COMPUTED_VALUE"""),1130.0)</f>
        <v>1130</v>
      </c>
      <c r="D216" s="139">
        <f>IFERROR(__xludf.DUMMYFUNCTION("""COMPUTED_VALUE"""),149.0)</f>
        <v>149</v>
      </c>
      <c r="E216" s="138">
        <f>IFERROR(__xludf.DUMMYFUNCTION("""COMPUTED_VALUE"""),5.0)</f>
        <v>5</v>
      </c>
      <c r="F216" s="138">
        <f>IFERROR(__xludf.DUMMYFUNCTION("""COMPUTED_VALUE"""),3.0)</f>
        <v>3</v>
      </c>
      <c r="G216" s="138">
        <f>IFERROR(__xludf.DUMMYFUNCTION("""COMPUTED_VALUE"""),5.0)</f>
        <v>5</v>
      </c>
      <c r="H216" s="138">
        <f>IFERROR(__xludf.DUMMYFUNCTION("""COMPUTED_VALUE"""),4.0)</f>
        <v>4</v>
      </c>
      <c r="I216" s="138">
        <f>IFERROR(__xludf.DUMMYFUNCTION("""COMPUTED_VALUE"""),4.0)</f>
        <v>4</v>
      </c>
      <c r="J216" s="138">
        <f>IFERROR(__xludf.DUMMYFUNCTION("""COMPUTED_VALUE"""),4.0)</f>
        <v>4</v>
      </c>
      <c r="K216" s="138">
        <f>IFERROR(__xludf.DUMMYFUNCTION("""COMPUTED_VALUE"""),4.0)</f>
        <v>4</v>
      </c>
      <c r="L216" s="138">
        <v>29.0</v>
      </c>
      <c r="M216" s="140" t="str">
        <f>VLOOKUP(text(D216, "#"),'Master Table'!$A:$F, 6, FALSE)</f>
        <v>A-9</v>
      </c>
      <c r="N216" s="141" t="str">
        <f>IFERROR(__xludf.DUMMYFUNCTION("""COMPUTED_VALUE"""),"Solid presentation and content. ")</f>
        <v>Solid presentation and content. </v>
      </c>
      <c r="O216" s="142" t="str">
        <f t="shared" si="1"/>
        <v/>
      </c>
      <c r="P216" s="143" t="str">
        <f>IF(ISNA(VLOOKUP(CONCAT(M216,C216), 'Judge Count DO NOT EDIT'!H:H, 1, FALSE)), "ERROR","")</f>
        <v/>
      </c>
      <c r="Q216" s="141"/>
      <c r="R216" s="143"/>
      <c r="S216" s="139" t="str">
        <f t="shared" si="2"/>
        <v>1130149</v>
      </c>
      <c r="T216" s="141"/>
    </row>
    <row r="217">
      <c r="A217" s="137">
        <f>IFERROR(__xludf.DUMMYFUNCTION("""COMPUTED_VALUE"""),45352.42990996528)</f>
        <v>45352.42991</v>
      </c>
      <c r="B217" s="138" t="str">
        <f>IFERROR(__xludf.DUMMYFUNCTION("""COMPUTED_VALUE"""),"Douglas Stow")</f>
        <v>Douglas Stow</v>
      </c>
      <c r="C217" s="138">
        <f>IFERROR(__xludf.DUMMYFUNCTION("""COMPUTED_VALUE"""),1130.0)</f>
        <v>1130</v>
      </c>
      <c r="D217" s="139">
        <f>IFERROR(__xludf.DUMMYFUNCTION("""COMPUTED_VALUE"""),150.0)</f>
        <v>150</v>
      </c>
      <c r="E217" s="138">
        <f>IFERROR(__xludf.DUMMYFUNCTION("""COMPUTED_VALUE"""),4.0)</f>
        <v>4</v>
      </c>
      <c r="F217" s="138">
        <f>IFERROR(__xludf.DUMMYFUNCTION("""COMPUTED_VALUE"""),4.0)</f>
        <v>4</v>
      </c>
      <c r="G217" s="138">
        <f>IFERROR(__xludf.DUMMYFUNCTION("""COMPUTED_VALUE"""),5.0)</f>
        <v>5</v>
      </c>
      <c r="H217" s="138">
        <f>IFERROR(__xludf.DUMMYFUNCTION("""COMPUTED_VALUE"""),4.0)</f>
        <v>4</v>
      </c>
      <c r="I217" s="138">
        <f>IFERROR(__xludf.DUMMYFUNCTION("""COMPUTED_VALUE"""),4.0)</f>
        <v>4</v>
      </c>
      <c r="J217" s="138">
        <f>IFERROR(__xludf.DUMMYFUNCTION("""COMPUTED_VALUE"""),4.0)</f>
        <v>4</v>
      </c>
      <c r="K217" s="138">
        <f>IFERROR(__xludf.DUMMYFUNCTION("""COMPUTED_VALUE"""),3.0)</f>
        <v>3</v>
      </c>
      <c r="L217" s="138">
        <v>28.0</v>
      </c>
      <c r="M217" s="140" t="str">
        <f>VLOOKUP(text(D217, "#"),'Master Table'!$A:$F, 6, FALSE)</f>
        <v>A-9</v>
      </c>
      <c r="N217" s="141" t="str">
        <f>IFERROR(__xludf.DUMMYFUNCTION("""COMPUTED_VALUE"""),"Very clear presentation with solid organization. Excellent graphics")</f>
        <v>Very clear presentation with solid organization. Excellent graphics</v>
      </c>
      <c r="O217" s="142" t="str">
        <f t="shared" si="1"/>
        <v/>
      </c>
      <c r="P217" s="143" t="str">
        <f>IF(ISNA(VLOOKUP(CONCAT(M217,C217), 'Judge Count DO NOT EDIT'!H:H, 1, FALSE)), "ERROR","")</f>
        <v/>
      </c>
      <c r="Q217" s="144"/>
      <c r="R217" s="143"/>
      <c r="S217" s="139" t="str">
        <f t="shared" si="2"/>
        <v>1130150</v>
      </c>
      <c r="T217" s="141"/>
    </row>
    <row r="218">
      <c r="A218" s="137">
        <f>IFERROR(__xludf.DUMMYFUNCTION("""COMPUTED_VALUE"""),45352.46020381944)</f>
        <v>45352.4602</v>
      </c>
      <c r="B218" s="138" t="str">
        <f>IFERROR(__xludf.DUMMYFUNCTION("""COMPUTED_VALUE"""),"Douglas Stow")</f>
        <v>Douglas Stow</v>
      </c>
      <c r="C218" s="138">
        <f>IFERROR(__xludf.DUMMYFUNCTION("""COMPUTED_VALUE"""),1130.0)</f>
        <v>1130</v>
      </c>
      <c r="D218" s="139">
        <f>IFERROR(__xludf.DUMMYFUNCTION("""COMPUTED_VALUE"""),152.0)</f>
        <v>152</v>
      </c>
      <c r="E218" s="138">
        <f>IFERROR(__xludf.DUMMYFUNCTION("""COMPUTED_VALUE"""),3.0)</f>
        <v>3</v>
      </c>
      <c r="F218" s="138">
        <f>IFERROR(__xludf.DUMMYFUNCTION("""COMPUTED_VALUE"""),3.0)</f>
        <v>3</v>
      </c>
      <c r="G218" s="138">
        <f>IFERROR(__xludf.DUMMYFUNCTION("""COMPUTED_VALUE"""),4.0)</f>
        <v>4</v>
      </c>
      <c r="H218" s="138">
        <f>IFERROR(__xludf.DUMMYFUNCTION("""COMPUTED_VALUE"""),4.0)</f>
        <v>4</v>
      </c>
      <c r="I218" s="138">
        <f>IFERROR(__xludf.DUMMYFUNCTION("""COMPUTED_VALUE"""),3.0)</f>
        <v>3</v>
      </c>
      <c r="J218" s="138">
        <f>IFERROR(__xludf.DUMMYFUNCTION("""COMPUTED_VALUE"""),3.0)</f>
        <v>3</v>
      </c>
      <c r="K218" s="138">
        <f>IFERROR(__xludf.DUMMYFUNCTION("""COMPUTED_VALUE"""),4.0)</f>
        <v>4</v>
      </c>
      <c r="L218" s="138">
        <v>24.0</v>
      </c>
      <c r="M218" s="140" t="str">
        <f>VLOOKUP(text(D218, "#"),'Master Table'!$A:$F, 6, FALSE)</f>
        <v>A-9</v>
      </c>
      <c r="N218" s="141" t="str">
        <f>IFERROR(__xludf.DUMMYFUNCTION("""COMPUTED_VALUE"""),"Lot of material covered.")</f>
        <v>Lot of material covered.</v>
      </c>
      <c r="O218" s="142" t="str">
        <f t="shared" si="1"/>
        <v/>
      </c>
      <c r="P218" s="143" t="str">
        <f>IF(ISNA(VLOOKUP(CONCAT(M218,C218), 'Judge Count DO NOT EDIT'!H:H, 1, FALSE)), "ERROR","")</f>
        <v/>
      </c>
      <c r="Q218" s="141"/>
      <c r="R218" s="143"/>
      <c r="S218" s="139" t="str">
        <f t="shared" si="2"/>
        <v>1130152</v>
      </c>
      <c r="T218" s="141"/>
    </row>
    <row r="219">
      <c r="A219" s="137">
        <f>IFERROR(__xludf.DUMMYFUNCTION("""COMPUTED_VALUE"""),45352.38978488426)</f>
        <v>45352.38978</v>
      </c>
      <c r="B219" s="138" t="str">
        <f>IFERROR(__xludf.DUMMYFUNCTION("""COMPUTED_VALUE"""),"Sagar Parajuli")</f>
        <v>Sagar Parajuli</v>
      </c>
      <c r="C219" s="138">
        <f>IFERROR(__xludf.DUMMYFUNCTION("""COMPUTED_VALUE"""),1043.0)</f>
        <v>1043</v>
      </c>
      <c r="D219" s="139">
        <f>IFERROR(__xludf.DUMMYFUNCTION("""COMPUTED_VALUE"""),153.0)</f>
        <v>153</v>
      </c>
      <c r="E219" s="138">
        <f>IFERROR(__xludf.DUMMYFUNCTION("""COMPUTED_VALUE"""),2.0)</f>
        <v>2</v>
      </c>
      <c r="F219" s="138">
        <f>IFERROR(__xludf.DUMMYFUNCTION("""COMPUTED_VALUE"""),3.0)</f>
        <v>3</v>
      </c>
      <c r="G219" s="138">
        <f>IFERROR(__xludf.DUMMYFUNCTION("""COMPUTED_VALUE"""),3.0)</f>
        <v>3</v>
      </c>
      <c r="H219" s="138">
        <f>IFERROR(__xludf.DUMMYFUNCTION("""COMPUTED_VALUE"""),4.0)</f>
        <v>4</v>
      </c>
      <c r="I219" s="138">
        <f>IFERROR(__xludf.DUMMYFUNCTION("""COMPUTED_VALUE"""),4.0)</f>
        <v>4</v>
      </c>
      <c r="J219" s="138">
        <f>IFERROR(__xludf.DUMMYFUNCTION("""COMPUTED_VALUE"""),3.0)</f>
        <v>3</v>
      </c>
      <c r="K219" s="138">
        <f>IFERROR(__xludf.DUMMYFUNCTION("""COMPUTED_VALUE"""),4.0)</f>
        <v>4</v>
      </c>
      <c r="L219" s="138">
        <v>23.0</v>
      </c>
      <c r="M219" s="140" t="str">
        <f>VLOOKUP(text(D219, "#"),'Master Table'!$A:$F, 6, FALSE)</f>
        <v>A-10</v>
      </c>
      <c r="N219" s="141" t="str">
        <f>IFERROR(__xludf.DUMMYFUNCTION("""COMPUTED_VALUE"""),"Delivery is great, too many jargons used, broader implications not clear")</f>
        <v>Delivery is great, too many jargons used, broader implications not clear</v>
      </c>
      <c r="O219" s="142" t="str">
        <f t="shared" si="1"/>
        <v/>
      </c>
      <c r="P219" s="143" t="str">
        <f>IF(ISNA(VLOOKUP(CONCAT(M219,C219), 'Judge Count DO NOT EDIT'!H:H, 1, FALSE)), "ERROR","")</f>
        <v/>
      </c>
      <c r="Q219" s="141"/>
      <c r="R219" s="143"/>
      <c r="S219" s="139" t="str">
        <f t="shared" si="2"/>
        <v>1043153</v>
      </c>
      <c r="T219" s="141"/>
    </row>
    <row r="220">
      <c r="A220" s="137">
        <f>IFERROR(__xludf.DUMMYFUNCTION("""COMPUTED_VALUE"""),45352.39176571759)</f>
        <v>45352.39177</v>
      </c>
      <c r="B220" s="138" t="str">
        <f>IFERROR(__xludf.DUMMYFUNCTION("""COMPUTED_VALUE"""),"Margaret Henderson ")</f>
        <v>Margaret Henderson </v>
      </c>
      <c r="C220" s="138">
        <f>IFERROR(__xludf.DUMMYFUNCTION("""COMPUTED_VALUE"""),1180.0)</f>
        <v>1180</v>
      </c>
      <c r="D220" s="139">
        <f>IFERROR(__xludf.DUMMYFUNCTION("""COMPUTED_VALUE"""),153.0)</f>
        <v>153</v>
      </c>
      <c r="E220" s="138">
        <f>IFERROR(__xludf.DUMMYFUNCTION("""COMPUTED_VALUE"""),4.0)</f>
        <v>4</v>
      </c>
      <c r="F220" s="138">
        <f>IFERROR(__xludf.DUMMYFUNCTION("""COMPUTED_VALUE"""),3.0)</f>
        <v>3</v>
      </c>
      <c r="G220" s="138">
        <f>IFERROR(__xludf.DUMMYFUNCTION("""COMPUTED_VALUE"""),4.0)</f>
        <v>4</v>
      </c>
      <c r="H220" s="138">
        <f>IFERROR(__xludf.DUMMYFUNCTION("""COMPUTED_VALUE"""),4.0)</f>
        <v>4</v>
      </c>
      <c r="I220" s="138">
        <f>IFERROR(__xludf.DUMMYFUNCTION("""COMPUTED_VALUE"""),4.0)</f>
        <v>4</v>
      </c>
      <c r="J220" s="138">
        <f>IFERROR(__xludf.DUMMYFUNCTION("""COMPUTED_VALUE"""),4.0)</f>
        <v>4</v>
      </c>
      <c r="K220" s="138">
        <f>IFERROR(__xludf.DUMMYFUNCTION("""COMPUTED_VALUE"""),5.0)</f>
        <v>5</v>
      </c>
      <c r="L220" s="138">
        <v>28.0</v>
      </c>
      <c r="M220" s="140" t="str">
        <f>VLOOKUP(text(D220, "#"),'Master Table'!$A:$F, 6, FALSE)</f>
        <v>A-10</v>
      </c>
      <c r="N220" s="141" t="str">
        <f>IFERROR(__xludf.DUMMYFUNCTION("""COMPUTED_VALUE"""),"It was great that you gave this talk with no notes and had no problem answering questions. Maybe work on condensing methods section to spend more time on results and discussion of significance.  The flowchart of experiments was good but highlighting your "&amp;"track would make it easier. ")</f>
        <v>It was great that you gave this talk with no notes and had no problem answering questions. Maybe work on condensing methods section to spend more time on results and discussion of significance.  The flowchart of experiments was good but highlighting your track would make it easier. </v>
      </c>
      <c r="O220" s="142" t="str">
        <f t="shared" si="1"/>
        <v/>
      </c>
      <c r="P220" s="143" t="str">
        <f>IF(ISNA(VLOOKUP(CONCAT(M220,C220), 'Judge Count DO NOT EDIT'!H:H, 1, FALSE)), "ERROR","")</f>
        <v/>
      </c>
      <c r="Q220" s="141"/>
      <c r="R220" s="143"/>
      <c r="S220" s="139" t="str">
        <f t="shared" si="2"/>
        <v>1180153</v>
      </c>
      <c r="T220" s="141"/>
    </row>
    <row r="221">
      <c r="A221" s="137">
        <f>IFERROR(__xludf.DUMMYFUNCTION("""COMPUTED_VALUE"""),45352.39351709491)</f>
        <v>45352.39352</v>
      </c>
      <c r="B221" s="138" t="str">
        <f>IFERROR(__xludf.DUMMYFUNCTION("""COMPUTED_VALUE"""),"Michael peddecord ")</f>
        <v>Michael peddecord </v>
      </c>
      <c r="C221" s="138">
        <f>IFERROR(__xludf.DUMMYFUNCTION("""COMPUTED_VALUE"""),1035.0)</f>
        <v>1035</v>
      </c>
      <c r="D221" s="139">
        <f>IFERROR(__xludf.DUMMYFUNCTION("""COMPUTED_VALUE"""),153.0)</f>
        <v>153</v>
      </c>
      <c r="E221" s="138">
        <f>IFERROR(__xludf.DUMMYFUNCTION("""COMPUTED_VALUE"""),5.0)</f>
        <v>5</v>
      </c>
      <c r="F221" s="138">
        <f>IFERROR(__xludf.DUMMYFUNCTION("""COMPUTED_VALUE"""),5.0)</f>
        <v>5</v>
      </c>
      <c r="G221" s="138">
        <f>IFERROR(__xludf.DUMMYFUNCTION("""COMPUTED_VALUE"""),4.0)</f>
        <v>4</v>
      </c>
      <c r="H221" s="138">
        <f>IFERROR(__xludf.DUMMYFUNCTION("""COMPUTED_VALUE"""),4.0)</f>
        <v>4</v>
      </c>
      <c r="I221" s="138">
        <f>IFERROR(__xludf.DUMMYFUNCTION("""COMPUTED_VALUE"""),4.0)</f>
        <v>4</v>
      </c>
      <c r="J221" s="138">
        <f>IFERROR(__xludf.DUMMYFUNCTION("""COMPUTED_VALUE"""),5.0)</f>
        <v>5</v>
      </c>
      <c r="K221" s="138">
        <f>IFERROR(__xludf.DUMMYFUNCTION("""COMPUTED_VALUE"""),4.0)</f>
        <v>4</v>
      </c>
      <c r="L221" s="138">
        <v>31.0</v>
      </c>
      <c r="M221" s="140" t="str">
        <f>VLOOKUP(text(D221, "#"),'Master Table'!$A:$F, 6, FALSE)</f>
        <v>A-10</v>
      </c>
      <c r="N221" s="141" t="str">
        <f>IFERROR(__xludf.DUMMYFUNCTION("""COMPUTED_VALUE"""),"Very poised and prepared.  Good grasp of methods and technology. Informative presentation ")</f>
        <v>Very poised and prepared.  Good grasp of methods and technology. Informative presentation </v>
      </c>
      <c r="O221" s="142" t="str">
        <f t="shared" si="1"/>
        <v/>
      </c>
      <c r="P221" s="143" t="str">
        <f>IF(ISNA(VLOOKUP(CONCAT(M221,C221), 'Judge Count DO NOT EDIT'!H:H, 1, FALSE)), "ERROR","")</f>
        <v/>
      </c>
      <c r="Q221" s="141"/>
      <c r="R221" s="143"/>
      <c r="S221" s="139" t="str">
        <f t="shared" si="2"/>
        <v>1035153</v>
      </c>
      <c r="T221" s="141"/>
    </row>
    <row r="222">
      <c r="A222" s="137">
        <f>IFERROR(__xludf.DUMMYFUNCTION("""COMPUTED_VALUE"""),45352.4333574537)</f>
        <v>45352.43336</v>
      </c>
      <c r="B222" s="138" t="str">
        <f>IFERROR(__xludf.DUMMYFUNCTION("""COMPUTED_VALUE"""),"Connie Weaver")</f>
        <v>Connie Weaver</v>
      </c>
      <c r="C222" s="138">
        <f>IFERROR(__xludf.DUMMYFUNCTION("""COMPUTED_VALUE"""),1034.0)</f>
        <v>1034</v>
      </c>
      <c r="D222" s="139">
        <f>IFERROR(__xludf.DUMMYFUNCTION("""COMPUTED_VALUE"""),153.0)</f>
        <v>153</v>
      </c>
      <c r="E222" s="138">
        <f>IFERROR(__xludf.DUMMYFUNCTION("""COMPUTED_VALUE"""),4.0)</f>
        <v>4</v>
      </c>
      <c r="F222" s="138">
        <f>IFERROR(__xludf.DUMMYFUNCTION("""COMPUTED_VALUE"""),5.0)</f>
        <v>5</v>
      </c>
      <c r="G222" s="138">
        <f>IFERROR(__xludf.DUMMYFUNCTION("""COMPUTED_VALUE"""),5.0)</f>
        <v>5</v>
      </c>
      <c r="H222" s="138">
        <f>IFERROR(__xludf.DUMMYFUNCTION("""COMPUTED_VALUE"""),5.0)</f>
        <v>5</v>
      </c>
      <c r="I222" s="138">
        <f>IFERROR(__xludf.DUMMYFUNCTION("""COMPUTED_VALUE"""),4.0)</f>
        <v>4</v>
      </c>
      <c r="J222" s="138">
        <f>IFERROR(__xludf.DUMMYFUNCTION("""COMPUTED_VALUE"""),4.0)</f>
        <v>4</v>
      </c>
      <c r="K222" s="138">
        <f>IFERROR(__xludf.DUMMYFUNCTION("""COMPUTED_VALUE"""),4.0)</f>
        <v>4</v>
      </c>
      <c r="L222" s="138">
        <v>31.0</v>
      </c>
      <c r="M222" s="140" t="str">
        <f>VLOOKUP(text(D222, "#"),'Master Table'!$A:$F, 6, FALSE)</f>
        <v>A-10</v>
      </c>
      <c r="N222" s="141" t="str">
        <f>IFERROR(__xludf.DUMMYFUNCTION("""COMPUTED_VALUE"""),"Relaxed.  A little awkward at the beginn8ng. Definr GCOMS at first use. Nice power point. Time 'intensive' not 'extensive'. Knowedgeable.")</f>
        <v>Relaxed.  A little awkward at the beginn8ng. Definr GCOMS at first use. Nice power point. Time 'intensive' not 'extensive'. Knowedgeable.</v>
      </c>
      <c r="O222" s="142" t="str">
        <f t="shared" si="1"/>
        <v/>
      </c>
      <c r="P222" s="143" t="str">
        <f>IF(ISNA(VLOOKUP(CONCAT(M222,C222), 'Judge Count DO NOT EDIT'!H:H, 1, FALSE)), "ERROR","")</f>
        <v/>
      </c>
      <c r="Q222" s="141"/>
      <c r="R222" s="143"/>
      <c r="S222" s="139" t="str">
        <f t="shared" si="2"/>
        <v>1034153</v>
      </c>
      <c r="T222" s="141"/>
    </row>
    <row r="223">
      <c r="A223" s="137">
        <f>IFERROR(__xludf.DUMMYFUNCTION("""COMPUTED_VALUE"""),45352.40243640046)</f>
        <v>45352.40244</v>
      </c>
      <c r="B223" s="138" t="str">
        <f>IFERROR(__xludf.DUMMYFUNCTION("""COMPUTED_VALUE"""),"Margaret Henderson ")</f>
        <v>Margaret Henderson </v>
      </c>
      <c r="C223" s="138">
        <f>IFERROR(__xludf.DUMMYFUNCTION("""COMPUTED_VALUE"""),1180.0)</f>
        <v>1180</v>
      </c>
      <c r="D223" s="139">
        <f>IFERROR(__xludf.DUMMYFUNCTION("""COMPUTED_VALUE"""),154.0)</f>
        <v>154</v>
      </c>
      <c r="E223" s="138">
        <f>IFERROR(__xludf.DUMMYFUNCTION("""COMPUTED_VALUE"""),4.0)</f>
        <v>4</v>
      </c>
      <c r="F223" s="138">
        <f>IFERROR(__xludf.DUMMYFUNCTION("""COMPUTED_VALUE"""),5.0)</f>
        <v>5</v>
      </c>
      <c r="G223" s="138">
        <f>IFERROR(__xludf.DUMMYFUNCTION("""COMPUTED_VALUE"""),4.0)</f>
        <v>4</v>
      </c>
      <c r="H223" s="138">
        <f>IFERROR(__xludf.DUMMYFUNCTION("""COMPUTED_VALUE"""),4.0)</f>
        <v>4</v>
      </c>
      <c r="I223" s="138">
        <f>IFERROR(__xludf.DUMMYFUNCTION("""COMPUTED_VALUE"""),5.0)</f>
        <v>5</v>
      </c>
      <c r="J223" s="138">
        <f>IFERROR(__xludf.DUMMYFUNCTION("""COMPUTED_VALUE"""),5.0)</f>
        <v>5</v>
      </c>
      <c r="K223" s="138">
        <f>IFERROR(__xludf.DUMMYFUNCTION("""COMPUTED_VALUE"""),5.0)</f>
        <v>5</v>
      </c>
      <c r="L223" s="138">
        <v>32.0</v>
      </c>
      <c r="M223" s="140" t="str">
        <f>VLOOKUP(text(D223, "#"),'Master Table'!$A:$F, 6, FALSE)</f>
        <v>A-10</v>
      </c>
      <c r="N223" s="141" t="str">
        <f>IFERROR(__xludf.DUMMYFUNCTION("""COMPUTED_VALUE"""),"Really impressed with how thoroughly you know your subject and work. You answered your questions with no problems and didn’t need notes, which is great. ")</f>
        <v>Really impressed with how thoroughly you know your subject and work. You answered your questions with no problems and didn’t need notes, which is great. </v>
      </c>
      <c r="O223" s="142" t="str">
        <f t="shared" si="1"/>
        <v/>
      </c>
      <c r="P223" s="143" t="str">
        <f>IF(ISNA(VLOOKUP(CONCAT(M223,C223), 'Judge Count DO NOT EDIT'!H:H, 1, FALSE)), "ERROR","")</f>
        <v/>
      </c>
      <c r="Q223" s="141"/>
      <c r="R223" s="143"/>
      <c r="S223" s="139" t="str">
        <f t="shared" si="2"/>
        <v>1180154</v>
      </c>
      <c r="T223" s="141"/>
    </row>
    <row r="224">
      <c r="A224" s="137">
        <f>IFERROR(__xludf.DUMMYFUNCTION("""COMPUTED_VALUE"""),45352.404251747685)</f>
        <v>45352.40425</v>
      </c>
      <c r="B224" s="138" t="str">
        <f>IFERROR(__xludf.DUMMYFUNCTION("""COMPUTED_VALUE"""),"Sagar Parajuli")</f>
        <v>Sagar Parajuli</v>
      </c>
      <c r="C224" s="138">
        <f>IFERROR(__xludf.DUMMYFUNCTION("""COMPUTED_VALUE"""),1043.0)</f>
        <v>1043</v>
      </c>
      <c r="D224" s="139">
        <f>IFERROR(__xludf.DUMMYFUNCTION("""COMPUTED_VALUE"""),154.0)</f>
        <v>154</v>
      </c>
      <c r="E224" s="138">
        <f>IFERROR(__xludf.DUMMYFUNCTION("""COMPUTED_VALUE"""),3.0)</f>
        <v>3</v>
      </c>
      <c r="F224" s="138">
        <f>IFERROR(__xludf.DUMMYFUNCTION("""COMPUTED_VALUE"""),3.0)</f>
        <v>3</v>
      </c>
      <c r="G224" s="138">
        <f>IFERROR(__xludf.DUMMYFUNCTION("""COMPUTED_VALUE"""),3.0)</f>
        <v>3</v>
      </c>
      <c r="H224" s="138">
        <f>IFERROR(__xludf.DUMMYFUNCTION("""COMPUTED_VALUE"""),3.0)</f>
        <v>3</v>
      </c>
      <c r="I224" s="138">
        <f>IFERROR(__xludf.DUMMYFUNCTION("""COMPUTED_VALUE"""),4.0)</f>
        <v>4</v>
      </c>
      <c r="J224" s="138">
        <f>IFERROR(__xludf.DUMMYFUNCTION("""COMPUTED_VALUE"""),3.0)</f>
        <v>3</v>
      </c>
      <c r="K224" s="138">
        <f>IFERROR(__xludf.DUMMYFUNCTION("""COMPUTED_VALUE"""),4.0)</f>
        <v>4</v>
      </c>
      <c r="L224" s="138">
        <v>23.0</v>
      </c>
      <c r="M224" s="140" t="str">
        <f>VLOOKUP(text(D224, "#"),'Master Table'!$A:$F, 6, FALSE)</f>
        <v>A-10</v>
      </c>
      <c r="N224" s="141" t="str">
        <f>IFERROR(__xludf.DUMMYFUNCTION("""COMPUTED_VALUE"""),"Excellent delivery, broader implications not clear")</f>
        <v>Excellent delivery, broader implications not clear</v>
      </c>
      <c r="O224" s="142" t="str">
        <f t="shared" si="1"/>
        <v/>
      </c>
      <c r="P224" s="143" t="str">
        <f>IF(ISNA(VLOOKUP(CONCAT(M224,C224), 'Judge Count DO NOT EDIT'!H:H, 1, FALSE)), "ERROR","")</f>
        <v/>
      </c>
      <c r="Q224" s="141"/>
      <c r="R224" s="143"/>
      <c r="S224" s="139" t="str">
        <f t="shared" si="2"/>
        <v>1043154</v>
      </c>
      <c r="T224" s="141"/>
    </row>
    <row r="225">
      <c r="A225" s="137">
        <f>IFERROR(__xludf.DUMMYFUNCTION("""COMPUTED_VALUE"""),45352.40535533565)</f>
        <v>45352.40536</v>
      </c>
      <c r="B225" s="138" t="str">
        <f>IFERROR(__xludf.DUMMYFUNCTION("""COMPUTED_VALUE"""),"Michael Peddecord")</f>
        <v>Michael Peddecord</v>
      </c>
      <c r="C225" s="138">
        <f>IFERROR(__xludf.DUMMYFUNCTION("""COMPUTED_VALUE"""),1035.0)</f>
        <v>1035</v>
      </c>
      <c r="D225" s="139">
        <f>IFERROR(__xludf.DUMMYFUNCTION("""COMPUTED_VALUE"""),154.0)</f>
        <v>154</v>
      </c>
      <c r="E225" s="138">
        <f>IFERROR(__xludf.DUMMYFUNCTION("""COMPUTED_VALUE"""),4.0)</f>
        <v>4</v>
      </c>
      <c r="F225" s="138">
        <f>IFERROR(__xludf.DUMMYFUNCTION("""COMPUTED_VALUE"""),4.0)</f>
        <v>4</v>
      </c>
      <c r="G225" s="138">
        <f>IFERROR(__xludf.DUMMYFUNCTION("""COMPUTED_VALUE"""),4.0)</f>
        <v>4</v>
      </c>
      <c r="H225" s="138">
        <f>IFERROR(__xludf.DUMMYFUNCTION("""COMPUTED_VALUE"""),4.0)</f>
        <v>4</v>
      </c>
      <c r="I225" s="138">
        <f>IFERROR(__xludf.DUMMYFUNCTION("""COMPUTED_VALUE"""),4.0)</f>
        <v>4</v>
      </c>
      <c r="J225" s="138">
        <f>IFERROR(__xludf.DUMMYFUNCTION("""COMPUTED_VALUE"""),4.0)</f>
        <v>4</v>
      </c>
      <c r="K225" s="138">
        <f>IFERROR(__xludf.DUMMYFUNCTION("""COMPUTED_VALUE"""),5.0)</f>
        <v>5</v>
      </c>
      <c r="L225" s="138">
        <v>29.0</v>
      </c>
      <c r="M225" s="140" t="str">
        <f>VLOOKUP(text(D225, "#"),'Master Table'!$A:$F, 6, FALSE)</f>
        <v>A-10</v>
      </c>
      <c r="N225" s="141" t="str">
        <f>IFERROR(__xludf.DUMMYFUNCTION("""COMPUTED_VALUE"""),"Enthusiastic about her work, understands context of the research, does good job of acknowledging her co workers and professor.  ")</f>
        <v>Enthusiastic about her work, understands context of the research, does good job of acknowledging her co workers and professor.  </v>
      </c>
      <c r="O225" s="142" t="str">
        <f t="shared" si="1"/>
        <v/>
      </c>
      <c r="P225" s="143" t="str">
        <f>IF(ISNA(VLOOKUP(CONCAT(M225,C225), 'Judge Count DO NOT EDIT'!H:H, 1, FALSE)), "ERROR","")</f>
        <v/>
      </c>
      <c r="Q225" s="141"/>
      <c r="R225" s="143"/>
      <c r="S225" s="139" t="str">
        <f t="shared" si="2"/>
        <v>1035154</v>
      </c>
      <c r="T225" s="141"/>
    </row>
    <row r="226">
      <c r="A226" s="137">
        <f>IFERROR(__xludf.DUMMYFUNCTION("""COMPUTED_VALUE"""),45352.43585721064)</f>
        <v>45352.43586</v>
      </c>
      <c r="B226" s="138" t="str">
        <f>IFERROR(__xludf.DUMMYFUNCTION("""COMPUTED_VALUE"""),"Connie Weaver")</f>
        <v>Connie Weaver</v>
      </c>
      <c r="C226" s="138">
        <f>IFERROR(__xludf.DUMMYFUNCTION("""COMPUTED_VALUE"""),1034.0)</f>
        <v>1034</v>
      </c>
      <c r="D226" s="139">
        <f>IFERROR(__xludf.DUMMYFUNCTION("""COMPUTED_VALUE"""),154.0)</f>
        <v>154</v>
      </c>
      <c r="E226" s="138">
        <f>IFERROR(__xludf.DUMMYFUNCTION("""COMPUTED_VALUE"""),5.0)</f>
        <v>5</v>
      </c>
      <c r="F226" s="138">
        <f>IFERROR(__xludf.DUMMYFUNCTION("""COMPUTED_VALUE"""),5.0)</f>
        <v>5</v>
      </c>
      <c r="G226" s="138">
        <f>IFERROR(__xludf.DUMMYFUNCTION("""COMPUTED_VALUE"""),4.0)</f>
        <v>4</v>
      </c>
      <c r="H226" s="138">
        <f>IFERROR(__xludf.DUMMYFUNCTION("""COMPUTED_VALUE"""),4.0)</f>
        <v>4</v>
      </c>
      <c r="I226" s="138">
        <f>IFERROR(__xludf.DUMMYFUNCTION("""COMPUTED_VALUE"""),4.0)</f>
        <v>4</v>
      </c>
      <c r="J226" s="138">
        <f>IFERROR(__xludf.DUMMYFUNCTION("""COMPUTED_VALUE"""),4.0)</f>
        <v>4</v>
      </c>
      <c r="K226" s="138">
        <f>IFERROR(__xludf.DUMMYFUNCTION("""COMPUTED_VALUE"""),4.0)</f>
        <v>4</v>
      </c>
      <c r="L226" s="138">
        <v>30.0</v>
      </c>
      <c r="M226" s="140" t="str">
        <f>VLOOKUP(text(D226, "#"),'Master Table'!$A:$F, 6, FALSE)</f>
        <v>A-10</v>
      </c>
      <c r="N226" s="141" t="str">
        <f>IFERROR(__xludf.DUMMYFUNCTION("""COMPUTED_VALUE"""),"Great starting interest grabber. Engaging. Chef over research background shows.")</f>
        <v>Great starting interest grabber. Engaging. Chef over research background shows.</v>
      </c>
      <c r="O226" s="142" t="str">
        <f t="shared" si="1"/>
        <v/>
      </c>
      <c r="P226" s="143" t="str">
        <f>IF(ISNA(VLOOKUP(CONCAT(M226,C226), 'Judge Count DO NOT EDIT'!H:H, 1, FALSE)), "ERROR","")</f>
        <v/>
      </c>
      <c r="Q226" s="141"/>
      <c r="R226" s="143"/>
      <c r="S226" s="139" t="str">
        <f t="shared" si="2"/>
        <v>1034154</v>
      </c>
      <c r="T226" s="141"/>
    </row>
    <row r="227">
      <c r="A227" s="137">
        <f>IFERROR(__xludf.DUMMYFUNCTION("""COMPUTED_VALUE"""),45352.41603255787)</f>
        <v>45352.41603</v>
      </c>
      <c r="B227" s="138" t="str">
        <f>IFERROR(__xludf.DUMMYFUNCTION("""COMPUTED_VALUE"""),"Sagar Parajuli")</f>
        <v>Sagar Parajuli</v>
      </c>
      <c r="C227" s="138">
        <f>IFERROR(__xludf.DUMMYFUNCTION("""COMPUTED_VALUE"""),1043.0)</f>
        <v>1043</v>
      </c>
      <c r="D227" s="139">
        <f>IFERROR(__xludf.DUMMYFUNCTION("""COMPUTED_VALUE"""),155.0)</f>
        <v>155</v>
      </c>
      <c r="E227" s="138">
        <f>IFERROR(__xludf.DUMMYFUNCTION("""COMPUTED_VALUE"""),4.0)</f>
        <v>4</v>
      </c>
      <c r="F227" s="138">
        <f>IFERROR(__xludf.DUMMYFUNCTION("""COMPUTED_VALUE"""),4.0)</f>
        <v>4</v>
      </c>
      <c r="G227" s="138">
        <f>IFERROR(__xludf.DUMMYFUNCTION("""COMPUTED_VALUE"""),4.0)</f>
        <v>4</v>
      </c>
      <c r="H227" s="138">
        <f>IFERROR(__xludf.DUMMYFUNCTION("""COMPUTED_VALUE"""),4.0)</f>
        <v>4</v>
      </c>
      <c r="I227" s="138">
        <f>IFERROR(__xludf.DUMMYFUNCTION("""COMPUTED_VALUE"""),4.0)</f>
        <v>4</v>
      </c>
      <c r="J227" s="138">
        <f>IFERROR(__xludf.DUMMYFUNCTION("""COMPUTED_VALUE"""),3.0)</f>
        <v>3</v>
      </c>
      <c r="K227" s="138">
        <f>IFERROR(__xludf.DUMMYFUNCTION("""COMPUTED_VALUE"""),3.0)</f>
        <v>3</v>
      </c>
      <c r="L227" s="138">
        <v>26.0</v>
      </c>
      <c r="M227" s="140" t="str">
        <f>VLOOKUP(text(D227, "#"),'Master Table'!$A:$F, 6, FALSE)</f>
        <v>A-10</v>
      </c>
      <c r="N227" s="141" t="str">
        <f>IFERROR(__xludf.DUMMYFUNCTION("""COMPUTED_VALUE"""),"Slower pace of delivery suggested, addresses a social problem")</f>
        <v>Slower pace of delivery suggested, addresses a social problem</v>
      </c>
      <c r="O227" s="142" t="str">
        <f t="shared" si="1"/>
        <v/>
      </c>
      <c r="P227" s="143" t="str">
        <f>IF(ISNA(VLOOKUP(CONCAT(M227,C227), 'Judge Count DO NOT EDIT'!H:H, 1, FALSE)), "ERROR","")</f>
        <v/>
      </c>
      <c r="Q227" s="141"/>
      <c r="R227" s="143"/>
      <c r="S227" s="139" t="str">
        <f t="shared" si="2"/>
        <v>1043155</v>
      </c>
      <c r="T227" s="141"/>
    </row>
    <row r="228">
      <c r="A228" s="137">
        <f>IFERROR(__xludf.DUMMYFUNCTION("""COMPUTED_VALUE"""),45352.41988123843)</f>
        <v>45352.41988</v>
      </c>
      <c r="B228" s="138" t="str">
        <f>IFERROR(__xludf.DUMMYFUNCTION("""COMPUTED_VALUE"""),"Margaret Henderson ")</f>
        <v>Margaret Henderson </v>
      </c>
      <c r="C228" s="138">
        <f>IFERROR(__xludf.DUMMYFUNCTION("""COMPUTED_VALUE"""),1180.0)</f>
        <v>1180</v>
      </c>
      <c r="D228" s="139">
        <f>IFERROR(__xludf.DUMMYFUNCTION("""COMPUTED_VALUE"""),155.0)</f>
        <v>155</v>
      </c>
      <c r="E228" s="138">
        <f>IFERROR(__xludf.DUMMYFUNCTION("""COMPUTED_VALUE"""),3.0)</f>
        <v>3</v>
      </c>
      <c r="F228" s="138">
        <f>IFERROR(__xludf.DUMMYFUNCTION("""COMPUTED_VALUE"""),4.0)</f>
        <v>4</v>
      </c>
      <c r="G228" s="138">
        <f>IFERROR(__xludf.DUMMYFUNCTION("""COMPUTED_VALUE"""),4.0)</f>
        <v>4</v>
      </c>
      <c r="H228" s="138">
        <f>IFERROR(__xludf.DUMMYFUNCTION("""COMPUTED_VALUE"""),3.0)</f>
        <v>3</v>
      </c>
      <c r="I228" s="138">
        <f>IFERROR(__xludf.DUMMYFUNCTION("""COMPUTED_VALUE"""),3.0)</f>
        <v>3</v>
      </c>
      <c r="J228" s="138">
        <f>IFERROR(__xludf.DUMMYFUNCTION("""COMPUTED_VALUE"""),3.0)</f>
        <v>3</v>
      </c>
      <c r="K228" s="138">
        <f>IFERROR(__xludf.DUMMYFUNCTION("""COMPUTED_VALUE"""),3.0)</f>
        <v>3</v>
      </c>
      <c r="L228" s="138">
        <v>23.0</v>
      </c>
      <c r="M228" s="140" t="str">
        <f>VLOOKUP(text(D228, "#"),'Master Table'!$A:$F, 6, FALSE)</f>
        <v>A-10</v>
      </c>
      <c r="N228" s="141" t="str">
        <f>IFERROR(__xludf.DUMMYFUNCTION("""COMPUTED_VALUE"""),"It would improve your delivery and question response if you read some more general background on health literacy and concussions. No need to read every research article, but a few general reviews would help. You don’t always need to provide citations when"&amp;" answering questions, just do the best you can. Don’t be afraid to have an opinion. ")</f>
        <v>It would improve your delivery and question response if you read some more general background on health literacy and concussions. No need to read every research article, but a few general reviews would help. You don’t always need to provide citations when answering questions, just do the best you can. Don’t be afraid to have an opinion. </v>
      </c>
      <c r="O228" s="142" t="str">
        <f t="shared" si="1"/>
        <v/>
      </c>
      <c r="P228" s="143" t="str">
        <f>IF(ISNA(VLOOKUP(CONCAT(M228,C228), 'Judge Count DO NOT EDIT'!H:H, 1, FALSE)), "ERROR","")</f>
        <v/>
      </c>
      <c r="Q228" s="141"/>
      <c r="R228" s="143"/>
      <c r="S228" s="139" t="str">
        <f t="shared" si="2"/>
        <v>1180155</v>
      </c>
      <c r="T228" s="141"/>
    </row>
    <row r="229">
      <c r="A229" s="137">
        <f>IFERROR(__xludf.DUMMYFUNCTION("""COMPUTED_VALUE"""),45352.42047483796)</f>
        <v>45352.42047</v>
      </c>
      <c r="B229" s="138" t="str">
        <f>IFERROR(__xludf.DUMMYFUNCTION("""COMPUTED_VALUE"""),"Michael peddecord")</f>
        <v>Michael peddecord</v>
      </c>
      <c r="C229" s="138">
        <f>IFERROR(__xludf.DUMMYFUNCTION("""COMPUTED_VALUE"""),1035.0)</f>
        <v>1035</v>
      </c>
      <c r="D229" s="139">
        <f>IFERROR(__xludf.DUMMYFUNCTION("""COMPUTED_VALUE"""),155.0)</f>
        <v>155</v>
      </c>
      <c r="E229" s="138">
        <f>IFERROR(__xludf.DUMMYFUNCTION("""COMPUTED_VALUE"""),3.0)</f>
        <v>3</v>
      </c>
      <c r="F229" s="138">
        <f>IFERROR(__xludf.DUMMYFUNCTION("""COMPUTED_VALUE"""),4.0)</f>
        <v>4</v>
      </c>
      <c r="G229" s="138">
        <f>IFERROR(__xludf.DUMMYFUNCTION("""COMPUTED_VALUE"""),4.0)</f>
        <v>4</v>
      </c>
      <c r="H229" s="138">
        <f>IFERROR(__xludf.DUMMYFUNCTION("""COMPUTED_VALUE"""),3.0)</f>
        <v>3</v>
      </c>
      <c r="I229" s="138">
        <f>IFERROR(__xludf.DUMMYFUNCTION("""COMPUTED_VALUE"""),3.0)</f>
        <v>3</v>
      </c>
      <c r="J229" s="138">
        <f>IFERROR(__xludf.DUMMYFUNCTION("""COMPUTED_VALUE"""),4.0)</f>
        <v>4</v>
      </c>
      <c r="K229" s="138">
        <f>IFERROR(__xludf.DUMMYFUNCTION("""COMPUTED_VALUE"""),3.0)</f>
        <v>3</v>
      </c>
      <c r="L229" s="138">
        <v>24.0</v>
      </c>
      <c r="M229" s="140" t="str">
        <f>VLOOKUP(text(D229, "#"),'Master Table'!$A:$F, 6, FALSE)</f>
        <v>A-10</v>
      </c>
      <c r="N229" s="141" t="str">
        <f>IFERROR(__xludf.DUMMYFUNCTION("""COMPUTED_VALUE"""),"Good grasp of the topic.  Highly relevant project.  Statistical analysis is in very preliminary state but understanding seemed good for undergraduate ")</f>
        <v>Good grasp of the topic.  Highly relevant project.  Statistical analysis is in very preliminary state but understanding seemed good for undergraduate </v>
      </c>
      <c r="O229" s="142" t="str">
        <f t="shared" si="1"/>
        <v/>
      </c>
      <c r="P229" s="143" t="str">
        <f>IF(ISNA(VLOOKUP(CONCAT(M229,C229), 'Judge Count DO NOT EDIT'!H:H, 1, FALSE)), "ERROR","")</f>
        <v/>
      </c>
      <c r="Q229" s="141"/>
      <c r="R229" s="143"/>
      <c r="S229" s="139" t="str">
        <f t="shared" si="2"/>
        <v>1035155</v>
      </c>
      <c r="T229" s="141"/>
    </row>
    <row r="230">
      <c r="A230" s="137">
        <f>IFERROR(__xludf.DUMMYFUNCTION("""COMPUTED_VALUE"""),45352.44481260417)</f>
        <v>45352.44481</v>
      </c>
      <c r="B230" s="138" t="str">
        <f>IFERROR(__xludf.DUMMYFUNCTION("""COMPUTED_VALUE"""),"Connie Weaver")</f>
        <v>Connie Weaver</v>
      </c>
      <c r="C230" s="138">
        <f>IFERROR(__xludf.DUMMYFUNCTION("""COMPUTED_VALUE"""),1034.0)</f>
        <v>1034</v>
      </c>
      <c r="D230" s="139">
        <f>IFERROR(__xludf.DUMMYFUNCTION("""COMPUTED_VALUE"""),155.0)</f>
        <v>155</v>
      </c>
      <c r="E230" s="138">
        <f>IFERROR(__xludf.DUMMYFUNCTION("""COMPUTED_VALUE"""),5.0)</f>
        <v>5</v>
      </c>
      <c r="F230" s="138">
        <f>IFERROR(__xludf.DUMMYFUNCTION("""COMPUTED_VALUE"""),3.0)</f>
        <v>3</v>
      </c>
      <c r="G230" s="138">
        <f>IFERROR(__xludf.DUMMYFUNCTION("""COMPUTED_VALUE"""),3.0)</f>
        <v>3</v>
      </c>
      <c r="H230" s="138">
        <f>IFERROR(__xludf.DUMMYFUNCTION("""COMPUTED_VALUE"""),3.0)</f>
        <v>3</v>
      </c>
      <c r="I230" s="138">
        <f>IFERROR(__xludf.DUMMYFUNCTION("""COMPUTED_VALUE"""),4.0)</f>
        <v>4</v>
      </c>
      <c r="J230" s="138">
        <f>IFERROR(__xludf.DUMMYFUNCTION("""COMPUTED_VALUE"""),3.0)</f>
        <v>3</v>
      </c>
      <c r="K230" s="138">
        <f>IFERROR(__xludf.DUMMYFUNCTION("""COMPUTED_VALUE"""),1.0)</f>
        <v>1</v>
      </c>
      <c r="L230" s="138">
        <v>22.0</v>
      </c>
      <c r="M230" s="140" t="str">
        <f>VLOOKUP(text(D230, "#"),'Master Table'!$A:$F, 6, FALSE)</f>
        <v>A-10</v>
      </c>
      <c r="N230" s="141" t="str">
        <f>IFERROR(__xludf.DUMMYFUNCTION("""COMPUTED_VALUE"""),"Nice slides.  Did not explain rationale for improving health literacy.")</f>
        <v>Nice slides.  Did not explain rationale for improving health literacy.</v>
      </c>
      <c r="O230" s="142" t="str">
        <f t="shared" si="1"/>
        <v/>
      </c>
      <c r="P230" s="143" t="str">
        <f>IF(ISNA(VLOOKUP(CONCAT(M230,C230), 'Judge Count DO NOT EDIT'!H:H, 1, FALSE)), "ERROR","")</f>
        <v/>
      </c>
      <c r="Q230" s="141"/>
      <c r="R230" s="143"/>
      <c r="S230" s="139" t="str">
        <f t="shared" si="2"/>
        <v>1034155</v>
      </c>
      <c r="T230" s="141"/>
    </row>
    <row r="231">
      <c r="A231" s="137">
        <f>IFERROR(__xludf.DUMMYFUNCTION("""COMPUTED_VALUE"""),45352.432715682866)</f>
        <v>45352.43272</v>
      </c>
      <c r="B231" s="138" t="str">
        <f>IFERROR(__xludf.DUMMYFUNCTION("""COMPUTED_VALUE"""),"Sagar Parajuli")</f>
        <v>Sagar Parajuli</v>
      </c>
      <c r="C231" s="138">
        <f>IFERROR(__xludf.DUMMYFUNCTION("""COMPUTED_VALUE"""),1043.0)</f>
        <v>1043</v>
      </c>
      <c r="D231" s="139">
        <f>IFERROR(__xludf.DUMMYFUNCTION("""COMPUTED_VALUE"""),156.0)</f>
        <v>156</v>
      </c>
      <c r="E231" s="138">
        <f>IFERROR(__xludf.DUMMYFUNCTION("""COMPUTED_VALUE"""),4.0)</f>
        <v>4</v>
      </c>
      <c r="F231" s="138">
        <f>IFERROR(__xludf.DUMMYFUNCTION("""COMPUTED_VALUE"""),4.0)</f>
        <v>4</v>
      </c>
      <c r="G231" s="138">
        <f>IFERROR(__xludf.DUMMYFUNCTION("""COMPUTED_VALUE"""),4.0)</f>
        <v>4</v>
      </c>
      <c r="H231" s="138">
        <f>IFERROR(__xludf.DUMMYFUNCTION("""COMPUTED_VALUE"""),3.0)</f>
        <v>3</v>
      </c>
      <c r="I231" s="138">
        <f>IFERROR(__xludf.DUMMYFUNCTION("""COMPUTED_VALUE"""),4.0)</f>
        <v>4</v>
      </c>
      <c r="J231" s="138">
        <f>IFERROR(__xludf.DUMMYFUNCTION("""COMPUTED_VALUE"""),4.0)</f>
        <v>4</v>
      </c>
      <c r="K231" s="138">
        <f>IFERROR(__xludf.DUMMYFUNCTION("""COMPUTED_VALUE"""),4.0)</f>
        <v>4</v>
      </c>
      <c r="L231" s="138">
        <v>27.0</v>
      </c>
      <c r="M231" s="140" t="str">
        <f>VLOOKUP(text(D231, "#"),'Master Table'!$A:$F, 6, FALSE)</f>
        <v>A-10</v>
      </c>
      <c r="N231" s="141" t="str">
        <f>IFERROR(__xludf.DUMMYFUNCTION("""COMPUTED_VALUE"""),"Excellent delivery, Distribution of black on the left and red on the right may indicate bias, worth investigating further")</f>
        <v>Excellent delivery, Distribution of black on the left and red on the right may indicate bias, worth investigating further</v>
      </c>
      <c r="O231" s="142" t="str">
        <f t="shared" si="1"/>
        <v/>
      </c>
      <c r="P231" s="143" t="str">
        <f>IF(ISNA(VLOOKUP(CONCAT(M231,C231), 'Judge Count DO NOT EDIT'!H:H, 1, FALSE)), "ERROR","")</f>
        <v/>
      </c>
      <c r="Q231" s="141"/>
      <c r="R231" s="143"/>
      <c r="S231" s="139" t="str">
        <f t="shared" si="2"/>
        <v>1043156</v>
      </c>
      <c r="T231" s="141"/>
    </row>
    <row r="232">
      <c r="A232" s="137">
        <f>IFERROR(__xludf.DUMMYFUNCTION("""COMPUTED_VALUE"""),45352.434962604166)</f>
        <v>45352.43496</v>
      </c>
      <c r="B232" s="138" t="str">
        <f>IFERROR(__xludf.DUMMYFUNCTION("""COMPUTED_VALUE"""),"Margaret Henderson ")</f>
        <v>Margaret Henderson </v>
      </c>
      <c r="C232" s="138">
        <f>IFERROR(__xludf.DUMMYFUNCTION("""COMPUTED_VALUE"""),1180.0)</f>
        <v>1180</v>
      </c>
      <c r="D232" s="139">
        <f>IFERROR(__xludf.DUMMYFUNCTION("""COMPUTED_VALUE"""),156.0)</f>
        <v>156</v>
      </c>
      <c r="E232" s="138">
        <f>IFERROR(__xludf.DUMMYFUNCTION("""COMPUTED_VALUE"""),4.0)</f>
        <v>4</v>
      </c>
      <c r="F232" s="138">
        <f>IFERROR(__xludf.DUMMYFUNCTION("""COMPUTED_VALUE"""),4.0)</f>
        <v>4</v>
      </c>
      <c r="G232" s="138">
        <f>IFERROR(__xludf.DUMMYFUNCTION("""COMPUTED_VALUE"""),4.0)</f>
        <v>4</v>
      </c>
      <c r="H232" s="138">
        <f>IFERROR(__xludf.DUMMYFUNCTION("""COMPUTED_VALUE"""),3.0)</f>
        <v>3</v>
      </c>
      <c r="I232" s="138">
        <f>IFERROR(__xludf.DUMMYFUNCTION("""COMPUTED_VALUE"""),3.0)</f>
        <v>3</v>
      </c>
      <c r="J232" s="138">
        <f>IFERROR(__xludf.DUMMYFUNCTION("""COMPUTED_VALUE"""),3.0)</f>
        <v>3</v>
      </c>
      <c r="K232" s="138">
        <f>IFERROR(__xludf.DUMMYFUNCTION("""COMPUTED_VALUE"""),3.0)</f>
        <v>3</v>
      </c>
      <c r="L232" s="138">
        <v>24.0</v>
      </c>
      <c r="M232" s="140" t="str">
        <f>VLOOKUP(text(D232, "#"),'Master Table'!$A:$F, 6, FALSE)</f>
        <v>A-10</v>
      </c>
      <c r="N232" s="141" t="str">
        <f>IFERROR(__xludf.DUMMYFUNCTION("""COMPUTED_VALUE"""),"Great comeback after technical issues. You could have taken more time to explain your full methodology and added more conclusions about what it means for athletes with red bars. Also, use two colours of red to distinguish right and left. ")</f>
        <v>Great comeback after technical issues. You could have taken more time to explain your full methodology and added more conclusions about what it means for athletes with red bars. Also, use two colours of red to distinguish right and left. </v>
      </c>
      <c r="O232" s="142" t="str">
        <f t="shared" si="1"/>
        <v/>
      </c>
      <c r="P232" s="143" t="str">
        <f>IF(ISNA(VLOOKUP(CONCAT(M232,C232), 'Judge Count DO NOT EDIT'!H:H, 1, FALSE)), "ERROR","")</f>
        <v/>
      </c>
      <c r="Q232" s="141"/>
      <c r="R232" s="143"/>
      <c r="S232" s="139" t="str">
        <f t="shared" si="2"/>
        <v>1180156</v>
      </c>
      <c r="T232" s="141"/>
    </row>
    <row r="233">
      <c r="A233" s="137">
        <f>IFERROR(__xludf.DUMMYFUNCTION("""COMPUTED_VALUE"""),45352.44414071759)</f>
        <v>45352.44414</v>
      </c>
      <c r="B233" s="138" t="str">
        <f>IFERROR(__xludf.DUMMYFUNCTION("""COMPUTED_VALUE"""),"Michael Peddecord")</f>
        <v>Michael Peddecord</v>
      </c>
      <c r="C233" s="138">
        <f>IFERROR(__xludf.DUMMYFUNCTION("""COMPUTED_VALUE"""),1035.0)</f>
        <v>1035</v>
      </c>
      <c r="D233" s="139">
        <f>IFERROR(__xludf.DUMMYFUNCTION("""COMPUTED_VALUE"""),156.0)</f>
        <v>156</v>
      </c>
      <c r="E233" s="138">
        <f>IFERROR(__xludf.DUMMYFUNCTION("""COMPUTED_VALUE"""),4.0)</f>
        <v>4</v>
      </c>
      <c r="F233" s="138">
        <f>IFERROR(__xludf.DUMMYFUNCTION("""COMPUTED_VALUE"""),4.0)</f>
        <v>4</v>
      </c>
      <c r="G233" s="138">
        <f>IFERROR(__xludf.DUMMYFUNCTION("""COMPUTED_VALUE"""),3.0)</f>
        <v>3</v>
      </c>
      <c r="H233" s="138">
        <f>IFERROR(__xludf.DUMMYFUNCTION("""COMPUTED_VALUE"""),4.0)</f>
        <v>4</v>
      </c>
      <c r="I233" s="138">
        <f>IFERROR(__xludf.DUMMYFUNCTION("""COMPUTED_VALUE"""),4.0)</f>
        <v>4</v>
      </c>
      <c r="J233" s="138">
        <f>IFERROR(__xludf.DUMMYFUNCTION("""COMPUTED_VALUE"""),4.0)</f>
        <v>4</v>
      </c>
      <c r="K233" s="138">
        <f>IFERROR(__xludf.DUMMYFUNCTION("""COMPUTED_VALUE"""),4.0)</f>
        <v>4</v>
      </c>
      <c r="L233" s="138">
        <v>27.0</v>
      </c>
      <c r="M233" s="140" t="str">
        <f>VLOOKUP(text(D233, "#"),'Master Table'!$A:$F, 6, FALSE)</f>
        <v>A-10</v>
      </c>
      <c r="N233" s="141" t="str">
        <f>IFERROR(__xludf.DUMMYFUNCTION("""COMPUTED_VALUE"""),"Team  presentation.  Video presentation was very helpful to understanding of methods")</f>
        <v>Team  presentation.  Video presentation was very helpful to understanding of methods</v>
      </c>
      <c r="O233" s="142" t="str">
        <f t="shared" si="1"/>
        <v/>
      </c>
      <c r="P233" s="143" t="str">
        <f>IF(ISNA(VLOOKUP(CONCAT(M233,C233), 'Judge Count DO NOT EDIT'!H:H, 1, FALSE)), "ERROR","")</f>
        <v/>
      </c>
      <c r="Q233" s="141"/>
      <c r="R233" s="143"/>
      <c r="S233" s="139" t="str">
        <f t="shared" si="2"/>
        <v>1035156</v>
      </c>
      <c r="T233" s="141"/>
    </row>
    <row r="234">
      <c r="A234" s="137">
        <f>IFERROR(__xludf.DUMMYFUNCTION("""COMPUTED_VALUE"""),45352.446795763884)</f>
        <v>45352.4468</v>
      </c>
      <c r="B234" s="138" t="str">
        <f>IFERROR(__xludf.DUMMYFUNCTION("""COMPUTED_VALUE"""),"Connie Weaver")</f>
        <v>Connie Weaver</v>
      </c>
      <c r="C234" s="138">
        <f>IFERROR(__xludf.DUMMYFUNCTION("""COMPUTED_VALUE"""),1034.0)</f>
        <v>1034</v>
      </c>
      <c r="D234" s="139">
        <f>IFERROR(__xludf.DUMMYFUNCTION("""COMPUTED_VALUE"""),156.0)</f>
        <v>156</v>
      </c>
      <c r="E234" s="138">
        <f>IFERROR(__xludf.DUMMYFUNCTION("""COMPUTED_VALUE"""),3.0)</f>
        <v>3</v>
      </c>
      <c r="F234" s="138">
        <f>IFERROR(__xludf.DUMMYFUNCTION("""COMPUTED_VALUE"""),2.0)</f>
        <v>2</v>
      </c>
      <c r="G234" s="138">
        <f>IFERROR(__xludf.DUMMYFUNCTION("""COMPUTED_VALUE"""),3.0)</f>
        <v>3</v>
      </c>
      <c r="H234" s="138">
        <f>IFERROR(__xludf.DUMMYFUNCTION("""COMPUTED_VALUE"""),3.0)</f>
        <v>3</v>
      </c>
      <c r="I234" s="138">
        <f>IFERROR(__xludf.DUMMYFUNCTION("""COMPUTED_VALUE"""),5.0)</f>
        <v>5</v>
      </c>
      <c r="J234" s="138">
        <f>IFERROR(__xludf.DUMMYFUNCTION("""COMPUTED_VALUE"""),4.0)</f>
        <v>4</v>
      </c>
      <c r="K234" s="138">
        <f>IFERROR(__xludf.DUMMYFUNCTION("""COMPUTED_VALUE"""),3.0)</f>
        <v>3</v>
      </c>
      <c r="L234" s="138">
        <v>23.0</v>
      </c>
      <c r="M234" s="140" t="str">
        <f>VLOOKUP(text(D234, "#"),'Master Table'!$A:$F, 6, FALSE)</f>
        <v>A-10</v>
      </c>
      <c r="N234" s="141" t="str">
        <f>IFERROR(__xludf.DUMMYFUNCTION("""COMPUTED_VALUE"""),"Interesting and cool slides on method. Interpretation with red bars unclear. Data= plural. So say these data not this data.")</f>
        <v>Interesting and cool slides on method. Interpretation with red bars unclear. Data= plural. So say these data not this data.</v>
      </c>
      <c r="O234" s="142" t="str">
        <f t="shared" si="1"/>
        <v/>
      </c>
      <c r="P234" s="143" t="str">
        <f>IF(ISNA(VLOOKUP(CONCAT(M234,C234), 'Judge Count DO NOT EDIT'!H:H, 1, FALSE)), "ERROR","")</f>
        <v/>
      </c>
      <c r="Q234" s="141"/>
      <c r="R234" s="143"/>
      <c r="S234" s="139" t="str">
        <f t="shared" si="2"/>
        <v>1034156</v>
      </c>
      <c r="T234" s="141"/>
    </row>
    <row r="235">
      <c r="A235" s="137">
        <f>IFERROR(__xludf.DUMMYFUNCTION("""COMPUTED_VALUE"""),45352.44453155092)</f>
        <v>45352.44453</v>
      </c>
      <c r="B235" s="138" t="str">
        <f>IFERROR(__xludf.DUMMYFUNCTION("""COMPUTED_VALUE"""),"Sagar Parajuli")</f>
        <v>Sagar Parajuli</v>
      </c>
      <c r="C235" s="138">
        <f>IFERROR(__xludf.DUMMYFUNCTION("""COMPUTED_VALUE"""),1043.0)</f>
        <v>1043</v>
      </c>
      <c r="D235" s="139">
        <f>IFERROR(__xludf.DUMMYFUNCTION("""COMPUTED_VALUE"""),157.0)</f>
        <v>157</v>
      </c>
      <c r="E235" s="138">
        <f>IFERROR(__xludf.DUMMYFUNCTION("""COMPUTED_VALUE"""),4.0)</f>
        <v>4</v>
      </c>
      <c r="F235" s="138">
        <f>IFERROR(__xludf.DUMMYFUNCTION("""COMPUTED_VALUE"""),4.0)</f>
        <v>4</v>
      </c>
      <c r="G235" s="138">
        <f>IFERROR(__xludf.DUMMYFUNCTION("""COMPUTED_VALUE"""),4.0)</f>
        <v>4</v>
      </c>
      <c r="H235" s="138">
        <f>IFERROR(__xludf.DUMMYFUNCTION("""COMPUTED_VALUE"""),4.0)</f>
        <v>4</v>
      </c>
      <c r="I235" s="138">
        <f>IFERROR(__xludf.DUMMYFUNCTION("""COMPUTED_VALUE"""),4.0)</f>
        <v>4</v>
      </c>
      <c r="J235" s="138">
        <f>IFERROR(__xludf.DUMMYFUNCTION("""COMPUTED_VALUE"""),4.0)</f>
        <v>4</v>
      </c>
      <c r="K235" s="138">
        <f>IFERROR(__xludf.DUMMYFUNCTION("""COMPUTED_VALUE"""),4.0)</f>
        <v>4</v>
      </c>
      <c r="L235" s="138">
        <v>28.0</v>
      </c>
      <c r="M235" s="140" t="str">
        <f>VLOOKUP(text(D235, "#"),'Master Table'!$A:$F, 6, FALSE)</f>
        <v>A-10</v>
      </c>
      <c r="N235" s="141" t="str">
        <f>IFERROR(__xludf.DUMMYFUNCTION("""COMPUTED_VALUE"""),"Great presentation ")</f>
        <v>Great presentation </v>
      </c>
      <c r="O235" s="142" t="str">
        <f t="shared" si="1"/>
        <v/>
      </c>
      <c r="P235" s="143" t="str">
        <f>IF(ISNA(VLOOKUP(CONCAT(M235,C235), 'Judge Count DO NOT EDIT'!H:H, 1, FALSE)), "ERROR","")</f>
        <v/>
      </c>
      <c r="Q235" s="144"/>
      <c r="R235" s="143"/>
      <c r="S235" s="139" t="str">
        <f t="shared" si="2"/>
        <v>1043157</v>
      </c>
      <c r="T235" s="141"/>
    </row>
    <row r="236">
      <c r="A236" s="137">
        <f>IFERROR(__xludf.DUMMYFUNCTION("""COMPUTED_VALUE"""),45352.445918680554)</f>
        <v>45352.44592</v>
      </c>
      <c r="B236" s="138" t="str">
        <f>IFERROR(__xludf.DUMMYFUNCTION("""COMPUTED_VALUE"""),"Margaret Henderson")</f>
        <v>Margaret Henderson</v>
      </c>
      <c r="C236" s="138">
        <f>IFERROR(__xludf.DUMMYFUNCTION("""COMPUTED_VALUE"""),1180.0)</f>
        <v>1180</v>
      </c>
      <c r="D236" s="139">
        <f>IFERROR(__xludf.DUMMYFUNCTION("""COMPUTED_VALUE"""),157.0)</f>
        <v>157</v>
      </c>
      <c r="E236" s="138">
        <f>IFERROR(__xludf.DUMMYFUNCTION("""COMPUTED_VALUE"""),4.0)</f>
        <v>4</v>
      </c>
      <c r="F236" s="138">
        <f>IFERROR(__xludf.DUMMYFUNCTION("""COMPUTED_VALUE"""),3.0)</f>
        <v>3</v>
      </c>
      <c r="G236" s="138">
        <f>IFERROR(__xludf.DUMMYFUNCTION("""COMPUTED_VALUE"""),4.0)</f>
        <v>4</v>
      </c>
      <c r="H236" s="138">
        <f>IFERROR(__xludf.DUMMYFUNCTION("""COMPUTED_VALUE"""),3.0)</f>
        <v>3</v>
      </c>
      <c r="I236" s="138">
        <f>IFERROR(__xludf.DUMMYFUNCTION("""COMPUTED_VALUE"""),4.0)</f>
        <v>4</v>
      </c>
      <c r="J236" s="138">
        <f>IFERROR(__xludf.DUMMYFUNCTION("""COMPUTED_VALUE"""),3.0)</f>
        <v>3</v>
      </c>
      <c r="K236" s="138">
        <f>IFERROR(__xludf.DUMMYFUNCTION("""COMPUTED_VALUE"""),4.0)</f>
        <v>4</v>
      </c>
      <c r="L236" s="138">
        <v>25.0</v>
      </c>
      <c r="M236" s="140" t="str">
        <f>VLOOKUP(text(D236, "#"),'Master Table'!$A:$F, 6, FALSE)</f>
        <v>A-10</v>
      </c>
      <c r="N236" s="141" t="str">
        <f>IFERROR(__xludf.DUMMYFUNCTION("""COMPUTED_VALUE"""),"You were both clear and enthusiastic presenters. I think you need to be clear about what the results mean for the athletes and future work when presenting. ")</f>
        <v>You were both clear and enthusiastic presenters. I think you need to be clear about what the results mean for the athletes and future work when presenting. </v>
      </c>
      <c r="O236" s="142" t="str">
        <f t="shared" si="1"/>
        <v/>
      </c>
      <c r="P236" s="143" t="str">
        <f>IF(ISNA(VLOOKUP(CONCAT(M236,C236), 'Judge Count DO NOT EDIT'!H:H, 1, FALSE)), "ERROR","")</f>
        <v/>
      </c>
      <c r="Q236" s="141"/>
      <c r="R236" s="143"/>
      <c r="S236" s="139" t="str">
        <f t="shared" si="2"/>
        <v>1180157</v>
      </c>
      <c r="T236" s="141"/>
    </row>
    <row r="237">
      <c r="A237" s="137">
        <f>IFERROR(__xludf.DUMMYFUNCTION("""COMPUTED_VALUE"""),45352.44631800926)</f>
        <v>45352.44632</v>
      </c>
      <c r="B237" s="138" t="str">
        <f>IFERROR(__xludf.DUMMYFUNCTION("""COMPUTED_VALUE"""),"Michael Peddecord")</f>
        <v>Michael Peddecord</v>
      </c>
      <c r="C237" s="138">
        <f>IFERROR(__xludf.DUMMYFUNCTION("""COMPUTED_VALUE"""),1035.0)</f>
        <v>1035</v>
      </c>
      <c r="D237" s="139">
        <f>IFERROR(__xludf.DUMMYFUNCTION("""COMPUTED_VALUE"""),157.0)</f>
        <v>157</v>
      </c>
      <c r="E237" s="138">
        <f>IFERROR(__xludf.DUMMYFUNCTION("""COMPUTED_VALUE"""),3.0)</f>
        <v>3</v>
      </c>
      <c r="F237" s="138">
        <f>IFERROR(__xludf.DUMMYFUNCTION("""COMPUTED_VALUE"""),4.0)</f>
        <v>4</v>
      </c>
      <c r="G237" s="138">
        <f>IFERROR(__xludf.DUMMYFUNCTION("""COMPUTED_VALUE"""),4.0)</f>
        <v>4</v>
      </c>
      <c r="H237" s="138">
        <f>IFERROR(__xludf.DUMMYFUNCTION("""COMPUTED_VALUE"""),4.0)</f>
        <v>4</v>
      </c>
      <c r="I237" s="138">
        <f>IFERROR(__xludf.DUMMYFUNCTION("""COMPUTED_VALUE"""),3.0)</f>
        <v>3</v>
      </c>
      <c r="J237" s="138">
        <f>IFERROR(__xludf.DUMMYFUNCTION("""COMPUTED_VALUE"""),3.0)</f>
        <v>3</v>
      </c>
      <c r="K237" s="138">
        <f>IFERROR(__xludf.DUMMYFUNCTION("""COMPUTED_VALUE"""),4.0)</f>
        <v>4</v>
      </c>
      <c r="L237" s="138">
        <v>25.0</v>
      </c>
      <c r="M237" s="140" t="str">
        <f>VLOOKUP(text(D237, "#"),'Master Table'!$A:$F, 6, FALSE)</f>
        <v>A-10</v>
      </c>
      <c r="N237" s="141" t="str">
        <f>IFERROR(__xludf.DUMMYFUNCTION("""COMPUTED_VALUE"""),"Team")</f>
        <v>Team</v>
      </c>
      <c r="O237" s="142" t="str">
        <f t="shared" si="1"/>
        <v/>
      </c>
      <c r="P237" s="143" t="str">
        <f>IF(ISNA(VLOOKUP(CONCAT(M237,C237), 'Judge Count DO NOT EDIT'!H:H, 1, FALSE)), "ERROR","")</f>
        <v/>
      </c>
      <c r="Q237" s="141"/>
      <c r="R237" s="143"/>
      <c r="S237" s="139" t="str">
        <f t="shared" si="2"/>
        <v>1035157</v>
      </c>
      <c r="T237" s="141"/>
    </row>
    <row r="238">
      <c r="A238" s="137">
        <f>IFERROR(__xludf.DUMMYFUNCTION("""COMPUTED_VALUE"""),45352.44958314815)</f>
        <v>45352.44958</v>
      </c>
      <c r="B238" s="138" t="str">
        <f>IFERROR(__xludf.DUMMYFUNCTION("""COMPUTED_VALUE"""),"Connie Weaver")</f>
        <v>Connie Weaver</v>
      </c>
      <c r="C238" s="138">
        <f>IFERROR(__xludf.DUMMYFUNCTION("""COMPUTED_VALUE"""),1034.0)</f>
        <v>1034</v>
      </c>
      <c r="D238" s="139">
        <f>IFERROR(__xludf.DUMMYFUNCTION("""COMPUTED_VALUE"""),157.0)</f>
        <v>157</v>
      </c>
      <c r="E238" s="138">
        <f>IFERROR(__xludf.DUMMYFUNCTION("""COMPUTED_VALUE"""),3.0)</f>
        <v>3</v>
      </c>
      <c r="F238" s="138">
        <f>IFERROR(__xludf.DUMMYFUNCTION("""COMPUTED_VALUE"""),4.0)</f>
        <v>4</v>
      </c>
      <c r="G238" s="138">
        <f>IFERROR(__xludf.DUMMYFUNCTION("""COMPUTED_VALUE"""),3.0)</f>
        <v>3</v>
      </c>
      <c r="H238" s="138">
        <f>IFERROR(__xludf.DUMMYFUNCTION("""COMPUTED_VALUE"""),3.0)</f>
        <v>3</v>
      </c>
      <c r="I238" s="138">
        <f>IFERROR(__xludf.DUMMYFUNCTION("""COMPUTED_VALUE"""),3.0)</f>
        <v>3</v>
      </c>
      <c r="J238" s="138">
        <f>IFERROR(__xludf.DUMMYFUNCTION("""COMPUTED_VALUE"""),3.0)</f>
        <v>3</v>
      </c>
      <c r="K238" s="138">
        <f>IFERROR(__xludf.DUMMYFUNCTION("""COMPUTED_VALUE"""),3.0)</f>
        <v>3</v>
      </c>
      <c r="L238" s="138">
        <v>22.0</v>
      </c>
      <c r="M238" s="140" t="str">
        <f>VLOOKUP(text(D238, "#"),'Master Table'!$A:$F, 6, FALSE)</f>
        <v>A-10</v>
      </c>
      <c r="N238" s="141" t="str">
        <f>IFERROR(__xludf.DUMMYFUNCTION("""COMPUTED_VALUE"""),"Risk factors interesting.  Serious but nervous. Confusing conclusions. Too small sample size to compare sex differences. Should give rationale at beginning. Jade answered all the questions. ")</f>
        <v>Risk factors interesting.  Serious but nervous. Confusing conclusions. Too small sample size to compare sex differences. Should give rationale at beginning. Jade answered all the questions. </v>
      </c>
      <c r="O238" s="142" t="str">
        <f t="shared" si="1"/>
        <v/>
      </c>
      <c r="P238" s="143" t="str">
        <f>IF(ISNA(VLOOKUP(CONCAT(M238,C238), 'Judge Count DO NOT EDIT'!H:H, 1, FALSE)), "ERROR","")</f>
        <v/>
      </c>
      <c r="Q238" s="141"/>
      <c r="R238" s="143"/>
      <c r="S238" s="139" t="str">
        <f t="shared" si="2"/>
        <v>1034157</v>
      </c>
      <c r="T238" s="141"/>
    </row>
    <row r="239">
      <c r="A239" s="137">
        <f>IFERROR(__xludf.DUMMYFUNCTION("""COMPUTED_VALUE"""),45352.45753587963)</f>
        <v>45352.45754</v>
      </c>
      <c r="B239" s="138" t="str">
        <f>IFERROR(__xludf.DUMMYFUNCTION("""COMPUTED_VALUE"""),"Sagar Parajuli")</f>
        <v>Sagar Parajuli</v>
      </c>
      <c r="C239" s="138">
        <f>IFERROR(__xludf.DUMMYFUNCTION("""COMPUTED_VALUE"""),1043.0)</f>
        <v>1043</v>
      </c>
      <c r="D239" s="139">
        <f>IFERROR(__xludf.DUMMYFUNCTION("""COMPUTED_VALUE"""),158.0)</f>
        <v>158</v>
      </c>
      <c r="E239" s="138">
        <f>IFERROR(__xludf.DUMMYFUNCTION("""COMPUTED_VALUE"""),3.0)</f>
        <v>3</v>
      </c>
      <c r="F239" s="138">
        <f>IFERROR(__xludf.DUMMYFUNCTION("""COMPUTED_VALUE"""),4.0)</f>
        <v>4</v>
      </c>
      <c r="G239" s="138">
        <f>IFERROR(__xludf.DUMMYFUNCTION("""COMPUTED_VALUE"""),4.0)</f>
        <v>4</v>
      </c>
      <c r="H239" s="138">
        <f>IFERROR(__xludf.DUMMYFUNCTION("""COMPUTED_VALUE"""),3.0)</f>
        <v>3</v>
      </c>
      <c r="I239" s="138">
        <f>IFERROR(__xludf.DUMMYFUNCTION("""COMPUTED_VALUE"""),4.0)</f>
        <v>4</v>
      </c>
      <c r="J239" s="138">
        <f>IFERROR(__xludf.DUMMYFUNCTION("""COMPUTED_VALUE"""),3.0)</f>
        <v>3</v>
      </c>
      <c r="K239" s="138">
        <f>IFERROR(__xludf.DUMMYFUNCTION("""COMPUTED_VALUE"""),4.0)</f>
        <v>4</v>
      </c>
      <c r="L239" s="138">
        <v>25.0</v>
      </c>
      <c r="M239" s="140" t="str">
        <f>VLOOKUP(text(D239, "#"),'Master Table'!$A:$F, 6, FALSE)</f>
        <v>A-10</v>
      </c>
      <c r="N239" s="141" t="str">
        <f>IFERROR(__xludf.DUMMYFUNCTION("""COMPUTED_VALUE"""),"Great research topic, Improve presentation clarity, highlight only the key results, no need to show the whole table and graph")</f>
        <v>Great research topic, Improve presentation clarity, highlight only the key results, no need to show the whole table and graph</v>
      </c>
      <c r="O239" s="142" t="str">
        <f t="shared" si="1"/>
        <v/>
      </c>
      <c r="P239" s="143" t="str">
        <f>IF(ISNA(VLOOKUP(CONCAT(M239,C239), 'Judge Count DO NOT EDIT'!H:H, 1, FALSE)), "ERROR","")</f>
        <v/>
      </c>
      <c r="Q239" s="141"/>
      <c r="R239" s="143"/>
      <c r="S239" s="139" t="str">
        <f t="shared" si="2"/>
        <v>1043158</v>
      </c>
      <c r="T239" s="141"/>
    </row>
    <row r="240">
      <c r="A240" s="137">
        <f>IFERROR(__xludf.DUMMYFUNCTION("""COMPUTED_VALUE"""),45352.458995671295)</f>
        <v>45352.459</v>
      </c>
      <c r="B240" s="138" t="str">
        <f>IFERROR(__xludf.DUMMYFUNCTION("""COMPUTED_VALUE"""),"Connie Weaver")</f>
        <v>Connie Weaver</v>
      </c>
      <c r="C240" s="138">
        <f>IFERROR(__xludf.DUMMYFUNCTION("""COMPUTED_VALUE"""),1034.0)</f>
        <v>1034</v>
      </c>
      <c r="D240" s="139">
        <f>IFERROR(__xludf.DUMMYFUNCTION("""COMPUTED_VALUE"""),158.0)</f>
        <v>158</v>
      </c>
      <c r="E240" s="138">
        <f>IFERROR(__xludf.DUMMYFUNCTION("""COMPUTED_VALUE"""),5.0)</f>
        <v>5</v>
      </c>
      <c r="F240" s="138">
        <f>IFERROR(__xludf.DUMMYFUNCTION("""COMPUTED_VALUE"""),3.0)</f>
        <v>3</v>
      </c>
      <c r="G240" s="138">
        <f>IFERROR(__xludf.DUMMYFUNCTION("""COMPUTED_VALUE"""),4.0)</f>
        <v>4</v>
      </c>
      <c r="H240" s="138">
        <f>IFERROR(__xludf.DUMMYFUNCTION("""COMPUTED_VALUE"""),4.0)</f>
        <v>4</v>
      </c>
      <c r="I240" s="138">
        <f>IFERROR(__xludf.DUMMYFUNCTION("""COMPUTED_VALUE"""),4.0)</f>
        <v>4</v>
      </c>
      <c r="J240" s="138">
        <f>IFERROR(__xludf.DUMMYFUNCTION("""COMPUTED_VALUE"""),4.0)</f>
        <v>4</v>
      </c>
      <c r="K240" s="138">
        <f>IFERROR(__xludf.DUMMYFUNCTION("""COMPUTED_VALUE"""),4.0)</f>
        <v>4</v>
      </c>
      <c r="L240" s="138">
        <v>28.0</v>
      </c>
      <c r="M240" s="140" t="str">
        <f>VLOOKUP(text(D240, "#"),'Master Table'!$A:$F, 6, FALSE)</f>
        <v>A-10</v>
      </c>
      <c r="N240" s="141" t="str">
        <f>IFERROR(__xludf.DUMMYFUNCTION("""COMPUTED_VALUE"""),"Support for community health interventions. Methods good start but need to teawe out the highky correlated variables.")</f>
        <v>Support for community health interventions. Methods good start but need to teawe out the highky correlated variables.</v>
      </c>
      <c r="O240" s="142" t="str">
        <f t="shared" si="1"/>
        <v/>
      </c>
      <c r="P240" s="143" t="str">
        <f>IF(ISNA(VLOOKUP(CONCAT(M240,C240), 'Judge Count DO NOT EDIT'!H:H, 1, FALSE)), "ERROR","")</f>
        <v/>
      </c>
      <c r="Q240" s="141"/>
      <c r="R240" s="143"/>
      <c r="S240" s="139" t="str">
        <f t="shared" si="2"/>
        <v>1034158</v>
      </c>
      <c r="T240" s="141"/>
    </row>
    <row r="241">
      <c r="A241" s="137">
        <f>IFERROR(__xludf.DUMMYFUNCTION("""COMPUTED_VALUE"""),45352.46501784722)</f>
        <v>45352.46502</v>
      </c>
      <c r="B241" s="138" t="str">
        <f>IFERROR(__xludf.DUMMYFUNCTION("""COMPUTED_VALUE"""),"Michael Peddecord ")</f>
        <v>Michael Peddecord </v>
      </c>
      <c r="C241" s="138">
        <f>IFERROR(__xludf.DUMMYFUNCTION("""COMPUTED_VALUE"""),1035.0)</f>
        <v>1035</v>
      </c>
      <c r="D241" s="139">
        <f>IFERROR(__xludf.DUMMYFUNCTION("""COMPUTED_VALUE"""),158.0)</f>
        <v>158</v>
      </c>
      <c r="E241" s="138">
        <f>IFERROR(__xludf.DUMMYFUNCTION("""COMPUTED_VALUE"""),2.0)</f>
        <v>2</v>
      </c>
      <c r="F241" s="138">
        <f>IFERROR(__xludf.DUMMYFUNCTION("""COMPUTED_VALUE"""),2.0)</f>
        <v>2</v>
      </c>
      <c r="G241" s="138">
        <f>IFERROR(__xludf.DUMMYFUNCTION("""COMPUTED_VALUE"""),3.0)</f>
        <v>3</v>
      </c>
      <c r="H241" s="138">
        <f>IFERROR(__xludf.DUMMYFUNCTION("""COMPUTED_VALUE"""),3.0)</f>
        <v>3</v>
      </c>
      <c r="I241" s="138">
        <f>IFERROR(__xludf.DUMMYFUNCTION("""COMPUTED_VALUE"""),2.0)</f>
        <v>2</v>
      </c>
      <c r="J241" s="138">
        <f>IFERROR(__xludf.DUMMYFUNCTION("""COMPUTED_VALUE"""),2.0)</f>
        <v>2</v>
      </c>
      <c r="K241" s="138">
        <f>IFERROR(__xludf.DUMMYFUNCTION("""COMPUTED_VALUE"""),3.0)</f>
        <v>3</v>
      </c>
      <c r="L241" s="138">
        <v>17.0</v>
      </c>
      <c r="M241" s="140" t="str">
        <f>VLOOKUP(text(D241, "#"),'Master Table'!$A:$F, 6, FALSE)</f>
        <v>A-10</v>
      </c>
      <c r="N241" s="141" t="str">
        <f>IFERROR(__xludf.DUMMYFUNCTION("""COMPUTED_VALUE"""),"Team presentation.  too much data for time.  Bad data slide Need to simplify correlations round to 2 decimal point.  I would suggest focusing on heat graphs ")</f>
        <v>Team presentation.  too much data for time.  Bad data slide Need to simplify correlations round to 2 decimal point.  I would suggest focusing on heat graphs </v>
      </c>
      <c r="O241" s="142" t="str">
        <f t="shared" si="1"/>
        <v/>
      </c>
      <c r="P241" s="143" t="str">
        <f>IF(ISNA(VLOOKUP(CONCAT(M241,C241), 'Judge Count DO NOT EDIT'!H:H, 1, FALSE)), "ERROR","")</f>
        <v/>
      </c>
      <c r="Q241" s="141"/>
      <c r="R241" s="143"/>
      <c r="S241" s="139" t="str">
        <f t="shared" si="2"/>
        <v>1035158</v>
      </c>
      <c r="T241" s="141"/>
    </row>
    <row r="242">
      <c r="A242" s="137">
        <f>IFERROR(__xludf.DUMMYFUNCTION("""COMPUTED_VALUE"""),45352.46887697917)</f>
        <v>45352.46888</v>
      </c>
      <c r="B242" s="138" t="str">
        <f>IFERROR(__xludf.DUMMYFUNCTION("""COMPUTED_VALUE"""),"Margaret Henderson ")</f>
        <v>Margaret Henderson </v>
      </c>
      <c r="C242" s="138">
        <f>IFERROR(__xludf.DUMMYFUNCTION("""COMPUTED_VALUE"""),1180.0)</f>
        <v>1180</v>
      </c>
      <c r="D242" s="139">
        <f>IFERROR(__xludf.DUMMYFUNCTION("""COMPUTED_VALUE"""),158.0)</f>
        <v>158</v>
      </c>
      <c r="E242" s="138">
        <f>IFERROR(__xludf.DUMMYFUNCTION("""COMPUTED_VALUE"""),3.0)</f>
        <v>3</v>
      </c>
      <c r="F242" s="138">
        <f>IFERROR(__xludf.DUMMYFUNCTION("""COMPUTED_VALUE"""),2.0)</f>
        <v>2</v>
      </c>
      <c r="G242" s="138">
        <f>IFERROR(__xludf.DUMMYFUNCTION("""COMPUTED_VALUE"""),3.0)</f>
        <v>3</v>
      </c>
      <c r="H242" s="138">
        <f>IFERROR(__xludf.DUMMYFUNCTION("""COMPUTED_VALUE"""),3.0)</f>
        <v>3</v>
      </c>
      <c r="I242" s="138">
        <f>IFERROR(__xludf.DUMMYFUNCTION("""COMPUTED_VALUE"""),3.0)</f>
        <v>3</v>
      </c>
      <c r="J242" s="138">
        <f>IFERROR(__xludf.DUMMYFUNCTION("""COMPUTED_VALUE"""),2.0)</f>
        <v>2</v>
      </c>
      <c r="K242" s="138">
        <f>IFERROR(__xludf.DUMMYFUNCTION("""COMPUTED_VALUE"""),3.0)</f>
        <v>3</v>
      </c>
      <c r="L242" s="138">
        <v>19.0</v>
      </c>
      <c r="M242" s="140" t="str">
        <f>VLOOKUP(text(D242, "#"),'Master Table'!$A:$F, 6, FALSE)</f>
        <v>A-10</v>
      </c>
      <c r="N242" s="141" t="str">
        <f>IFERROR(__xludf.DUMMYFUNCTION("""COMPUTED_VALUE"""),"Please think about how slides will look when viewed at a larger size. Your results tables and graphs were almost unreadable. We couldn’t see what the variables are. Maybe colour code the p values table so we could see what’s significance. Although your an"&amp;"alysis is good, this really didn’t seem like a research project, just the presentation of data. ")</f>
        <v>Please think about how slides will look when viewed at a larger size. Your results tables and graphs were almost unreadable. We couldn’t see what the variables are. Maybe colour code the p values table so we could see what’s significance. Although your analysis is good, this really didn’t seem like a research project, just the presentation of data. </v>
      </c>
      <c r="O242" s="142" t="str">
        <f t="shared" si="1"/>
        <v/>
      </c>
      <c r="P242" s="143" t="str">
        <f>IF(ISNA(VLOOKUP(CONCAT(M242,C242), 'Judge Count DO NOT EDIT'!H:H, 1, FALSE)), "ERROR","")</f>
        <v/>
      </c>
      <c r="Q242" s="144"/>
      <c r="R242" s="143"/>
      <c r="S242" s="139" t="str">
        <f t="shared" si="2"/>
        <v>1180158</v>
      </c>
      <c r="T242" s="141"/>
    </row>
    <row r="243">
      <c r="A243" s="137">
        <f>IFERROR(__xludf.DUMMYFUNCTION("""COMPUTED_VALUE"""),45352.46941471065)</f>
        <v>45352.46941</v>
      </c>
      <c r="B243" s="138" t="str">
        <f>IFERROR(__xludf.DUMMYFUNCTION("""COMPUTED_VALUE"""),"Xiaohan Hu")</f>
        <v>Xiaohan Hu</v>
      </c>
      <c r="C243" s="138">
        <f>IFERROR(__xludf.DUMMYFUNCTION("""COMPUTED_VALUE"""),1048.0)</f>
        <v>1048</v>
      </c>
      <c r="D243" s="139">
        <f>IFERROR(__xludf.DUMMYFUNCTION("""COMPUTED_VALUE"""),159.0)</f>
        <v>159</v>
      </c>
      <c r="E243" s="138">
        <f>IFERROR(__xludf.DUMMYFUNCTION("""COMPUTED_VALUE"""),4.0)</f>
        <v>4</v>
      </c>
      <c r="F243" s="138">
        <f>IFERROR(__xludf.DUMMYFUNCTION("""COMPUTED_VALUE"""),4.0)</f>
        <v>4</v>
      </c>
      <c r="G243" s="138">
        <f>IFERROR(__xludf.DUMMYFUNCTION("""COMPUTED_VALUE"""),3.0)</f>
        <v>3</v>
      </c>
      <c r="H243" s="138">
        <f>IFERROR(__xludf.DUMMYFUNCTION("""COMPUTED_VALUE"""),3.0)</f>
        <v>3</v>
      </c>
      <c r="I243" s="138">
        <f>IFERROR(__xludf.DUMMYFUNCTION("""COMPUTED_VALUE"""),5.0)</f>
        <v>5</v>
      </c>
      <c r="J243" s="138">
        <f>IFERROR(__xludf.DUMMYFUNCTION("""COMPUTED_VALUE"""),4.0)</f>
        <v>4</v>
      </c>
      <c r="K243" s="138">
        <f>IFERROR(__xludf.DUMMYFUNCTION("""COMPUTED_VALUE"""),5.0)</f>
        <v>5</v>
      </c>
      <c r="L243" s="138">
        <v>28.0</v>
      </c>
      <c r="M243" s="140" t="str">
        <f>VLOOKUP(text(D243, "#"),'Master Table'!$A:$F, 6, FALSE)</f>
        <v>B-1</v>
      </c>
      <c r="N243" s="141" t="str">
        <f>IFERROR(__xludf.DUMMYFUNCTION("""COMPUTED_VALUE"""),"I would like to see more evidence e.g. quote in the presentation to support the themes. Would also encourage the researcher to continue on this research and interview more participants. I believe this will generate insightful findings on this topic!")</f>
        <v>I would like to see more evidence e.g. quote in the presentation to support the themes. Would also encourage the researcher to continue on this research and interview more participants. I believe this will generate insightful findings on this topic!</v>
      </c>
      <c r="O243" s="142" t="str">
        <f t="shared" si="1"/>
        <v/>
      </c>
      <c r="P243" s="143" t="str">
        <f>IF(ISNA(VLOOKUP(CONCAT(M243,C243), 'Judge Count DO NOT EDIT'!H:H, 1, FALSE)), "ERROR","")</f>
        <v/>
      </c>
      <c r="Q243" s="141"/>
      <c r="R243" s="143"/>
      <c r="S243" s="139" t="str">
        <f t="shared" si="2"/>
        <v>1048159</v>
      </c>
      <c r="T243" s="141"/>
    </row>
    <row r="244">
      <c r="A244" s="137">
        <f>IFERROR(__xludf.DUMMYFUNCTION("""COMPUTED_VALUE"""),45352.46960581018)</f>
        <v>45352.46961</v>
      </c>
      <c r="B244" s="138" t="str">
        <f>IFERROR(__xludf.DUMMYFUNCTION("""COMPUTED_VALUE"""),"Lauren Collins")</f>
        <v>Lauren Collins</v>
      </c>
      <c r="C244" s="138">
        <f>IFERROR(__xludf.DUMMYFUNCTION("""COMPUTED_VALUE"""),1002.0)</f>
        <v>1002</v>
      </c>
      <c r="D244" s="139">
        <f>IFERROR(__xludf.DUMMYFUNCTION("""COMPUTED_VALUE"""),159.0)</f>
        <v>159</v>
      </c>
      <c r="E244" s="138">
        <f>IFERROR(__xludf.DUMMYFUNCTION("""COMPUTED_VALUE"""),5.0)</f>
        <v>5</v>
      </c>
      <c r="F244" s="138">
        <f>IFERROR(__xludf.DUMMYFUNCTION("""COMPUTED_VALUE"""),5.0)</f>
        <v>5</v>
      </c>
      <c r="G244" s="138">
        <f>IFERROR(__xludf.DUMMYFUNCTION("""COMPUTED_VALUE"""),3.0)</f>
        <v>3</v>
      </c>
      <c r="H244" s="138">
        <f>IFERROR(__xludf.DUMMYFUNCTION("""COMPUTED_VALUE"""),4.0)</f>
        <v>4</v>
      </c>
      <c r="I244" s="138">
        <f>IFERROR(__xludf.DUMMYFUNCTION("""COMPUTED_VALUE"""),5.0)</f>
        <v>5</v>
      </c>
      <c r="J244" s="138">
        <f>IFERROR(__xludf.DUMMYFUNCTION("""COMPUTED_VALUE"""),5.0)</f>
        <v>5</v>
      </c>
      <c r="K244" s="138">
        <f>IFERROR(__xludf.DUMMYFUNCTION("""COMPUTED_VALUE"""),5.0)</f>
        <v>5</v>
      </c>
      <c r="L244" s="138">
        <v>32.0</v>
      </c>
      <c r="M244" s="140" t="str">
        <f>VLOOKUP(text(D244, "#"),'Master Table'!$A:$F, 6, FALSE)</f>
        <v>B-1</v>
      </c>
      <c r="N244" s="141" t="str">
        <f>IFERROR(__xludf.DUMMYFUNCTION("""COMPUTED_VALUE"""),"You seemed to have excellent mastery of the content and theory that drove your project. You were well-versed, comfortable, and responded to questions with confidence. Great work!")</f>
        <v>You seemed to have excellent mastery of the content and theory that drove your project. You were well-versed, comfortable, and responded to questions with confidence. Great work!</v>
      </c>
      <c r="O244" s="142" t="str">
        <f t="shared" si="1"/>
        <v/>
      </c>
      <c r="P244" s="143" t="str">
        <f>IF(ISNA(VLOOKUP(CONCAT(M244,C244), 'Judge Count DO NOT EDIT'!H:H, 1, FALSE)), "ERROR","")</f>
        <v/>
      </c>
      <c r="Q244" s="141"/>
      <c r="R244" s="143"/>
      <c r="S244" s="139" t="str">
        <f t="shared" si="2"/>
        <v>1002159</v>
      </c>
      <c r="T244" s="141"/>
    </row>
    <row r="245">
      <c r="A245" s="137">
        <f>IFERROR(__xludf.DUMMYFUNCTION("""COMPUTED_VALUE"""),45352.46967064815)</f>
        <v>45352.46967</v>
      </c>
      <c r="B245" s="138" t="str">
        <f>IFERROR(__xludf.DUMMYFUNCTION("""COMPUTED_VALUE"""),"Annie Keeney")</f>
        <v>Annie Keeney</v>
      </c>
      <c r="C245" s="138">
        <f>IFERROR(__xludf.DUMMYFUNCTION("""COMPUTED_VALUE"""),1053.0)</f>
        <v>1053</v>
      </c>
      <c r="D245" s="139">
        <f>IFERROR(__xludf.DUMMYFUNCTION("""COMPUTED_VALUE"""),159.0)</f>
        <v>159</v>
      </c>
      <c r="E245" s="138">
        <f>IFERROR(__xludf.DUMMYFUNCTION("""COMPUTED_VALUE"""),5.0)</f>
        <v>5</v>
      </c>
      <c r="F245" s="138">
        <f>IFERROR(__xludf.DUMMYFUNCTION("""COMPUTED_VALUE"""),3.0)</f>
        <v>3</v>
      </c>
      <c r="G245" s="138">
        <f>IFERROR(__xludf.DUMMYFUNCTION("""COMPUTED_VALUE"""),3.0)</f>
        <v>3</v>
      </c>
      <c r="H245" s="138">
        <f>IFERROR(__xludf.DUMMYFUNCTION("""COMPUTED_VALUE"""),4.0)</f>
        <v>4</v>
      </c>
      <c r="I245" s="138">
        <f>IFERROR(__xludf.DUMMYFUNCTION("""COMPUTED_VALUE"""),5.0)</f>
        <v>5</v>
      </c>
      <c r="J245" s="138">
        <f>IFERROR(__xludf.DUMMYFUNCTION("""COMPUTED_VALUE"""),5.0)</f>
        <v>5</v>
      </c>
      <c r="K245" s="138">
        <f>IFERROR(__xludf.DUMMYFUNCTION("""COMPUTED_VALUE"""),5.0)</f>
        <v>5</v>
      </c>
      <c r="L245" s="138">
        <v>30.0</v>
      </c>
      <c r="M245" s="140" t="str">
        <f>VLOOKUP(text(D245, "#"),'Master Table'!$A:$F, 6, FALSE)</f>
        <v>B-1</v>
      </c>
      <c r="N245" s="141" t="str">
        <f>IFERROR(__xludf.DUMMYFUNCTION("""COMPUTED_VALUE"""),"Strong public speaker! great work. The n was very small; would have liked more discussion on the connection of the findings to the conceptual framework. ")</f>
        <v>Strong public speaker! great work. The n was very small; would have liked more discussion on the connection of the findings to the conceptual framework. </v>
      </c>
      <c r="O245" s="142" t="str">
        <f t="shared" si="1"/>
        <v/>
      </c>
      <c r="P245" s="143" t="str">
        <f>IF(ISNA(VLOOKUP(CONCAT(M245,C245), 'Judge Count DO NOT EDIT'!H:H, 1, FALSE)), "ERROR","")</f>
        <v/>
      </c>
      <c r="Q245" s="141"/>
      <c r="R245" s="143"/>
      <c r="S245" s="139" t="str">
        <f t="shared" si="2"/>
        <v>1053159</v>
      </c>
      <c r="T245" s="141"/>
    </row>
    <row r="246">
      <c r="A246" s="137">
        <f>IFERROR(__xludf.DUMMYFUNCTION("""COMPUTED_VALUE"""),45352.47020628472)</f>
        <v>45352.47021</v>
      </c>
      <c r="B246" s="138" t="str">
        <f>IFERROR(__xludf.DUMMYFUNCTION("""COMPUTED_VALUE"""),"Kj Archer")</f>
        <v>Kj Archer</v>
      </c>
      <c r="C246" s="138">
        <f>IFERROR(__xludf.DUMMYFUNCTION("""COMPUTED_VALUE"""),1077.0)</f>
        <v>1077</v>
      </c>
      <c r="D246" s="139">
        <f>IFERROR(__xludf.DUMMYFUNCTION("""COMPUTED_VALUE"""),159.0)</f>
        <v>159</v>
      </c>
      <c r="E246" s="138">
        <f>IFERROR(__xludf.DUMMYFUNCTION("""COMPUTED_VALUE"""),3.0)</f>
        <v>3</v>
      </c>
      <c r="F246" s="138">
        <f>IFERROR(__xludf.DUMMYFUNCTION("""COMPUTED_VALUE"""),3.0)</f>
        <v>3</v>
      </c>
      <c r="G246" s="138">
        <f>IFERROR(__xludf.DUMMYFUNCTION("""COMPUTED_VALUE"""),3.0)</f>
        <v>3</v>
      </c>
      <c r="H246" s="138">
        <f>IFERROR(__xludf.DUMMYFUNCTION("""COMPUTED_VALUE"""),4.0)</f>
        <v>4</v>
      </c>
      <c r="I246" s="138">
        <f>IFERROR(__xludf.DUMMYFUNCTION("""COMPUTED_VALUE"""),4.0)</f>
        <v>4</v>
      </c>
      <c r="J246" s="138">
        <f>IFERROR(__xludf.DUMMYFUNCTION("""COMPUTED_VALUE"""),4.0)</f>
        <v>4</v>
      </c>
      <c r="K246" s="138">
        <f>IFERROR(__xludf.DUMMYFUNCTION("""COMPUTED_VALUE"""),4.0)</f>
        <v>4</v>
      </c>
      <c r="L246" s="138">
        <v>25.0</v>
      </c>
      <c r="M246" s="140" t="str">
        <f>VLOOKUP(text(D246, "#"),'Master Table'!$A:$F, 6, FALSE)</f>
        <v>B-1</v>
      </c>
      <c r="N246" s="141" t="str">
        <f>IFERROR(__xludf.DUMMYFUNCTION("""COMPUTED_VALUE"""),"The problem of 'n' in this research is a real obstacle. The subject matter appeared to be treated with requisite care and the presentation was very clear and smooth. ")</f>
        <v>The problem of 'n' in this research is a real obstacle. The subject matter appeared to be treated with requisite care and the presentation was very clear and smooth. </v>
      </c>
      <c r="O246" s="142" t="str">
        <f t="shared" si="1"/>
        <v/>
      </c>
      <c r="P246" s="143" t="str">
        <f>IF(ISNA(VLOOKUP(CONCAT(M246,C246), 'Judge Count DO NOT EDIT'!H:H, 1, FALSE)), "ERROR","")</f>
        <v/>
      </c>
      <c r="Q246" s="141"/>
      <c r="R246" s="143"/>
      <c r="S246" s="139" t="str">
        <f t="shared" si="2"/>
        <v>1077159</v>
      </c>
      <c r="T246" s="141"/>
    </row>
    <row r="247">
      <c r="A247" s="137">
        <f>IFERROR(__xludf.DUMMYFUNCTION("""COMPUTED_VALUE"""),45352.484580625)</f>
        <v>45352.48458</v>
      </c>
      <c r="B247" s="138" t="str">
        <f>IFERROR(__xludf.DUMMYFUNCTION("""COMPUTED_VALUE"""),"Lauren Collins")</f>
        <v>Lauren Collins</v>
      </c>
      <c r="C247" s="138">
        <f>IFERROR(__xludf.DUMMYFUNCTION("""COMPUTED_VALUE"""),1002.0)</f>
        <v>1002</v>
      </c>
      <c r="D247" s="139">
        <f>IFERROR(__xludf.DUMMYFUNCTION("""COMPUTED_VALUE"""),160.0)</f>
        <v>160</v>
      </c>
      <c r="E247" s="138">
        <f>IFERROR(__xludf.DUMMYFUNCTION("""COMPUTED_VALUE"""),5.0)</f>
        <v>5</v>
      </c>
      <c r="F247" s="138">
        <f>IFERROR(__xludf.DUMMYFUNCTION("""COMPUTED_VALUE"""),4.0)</f>
        <v>4</v>
      </c>
      <c r="G247" s="138">
        <f>IFERROR(__xludf.DUMMYFUNCTION("""COMPUTED_VALUE"""),5.0)</f>
        <v>5</v>
      </c>
      <c r="H247" s="138">
        <f>IFERROR(__xludf.DUMMYFUNCTION("""COMPUTED_VALUE"""),3.0)</f>
        <v>3</v>
      </c>
      <c r="I247" s="138">
        <f>IFERROR(__xludf.DUMMYFUNCTION("""COMPUTED_VALUE"""),4.0)</f>
        <v>4</v>
      </c>
      <c r="J247" s="138">
        <f>IFERROR(__xludf.DUMMYFUNCTION("""COMPUTED_VALUE"""),5.0)</f>
        <v>5</v>
      </c>
      <c r="K247" s="138">
        <f>IFERROR(__xludf.DUMMYFUNCTION("""COMPUTED_VALUE"""),5.0)</f>
        <v>5</v>
      </c>
      <c r="L247" s="138">
        <v>31.0</v>
      </c>
      <c r="M247" s="140" t="str">
        <f>VLOOKUP(text(D247, "#"),'Master Table'!$A:$F, 6, FALSE)</f>
        <v>B-1</v>
      </c>
      <c r="N247" s="141" t="str">
        <f>IFERROR(__xludf.DUMMYFUNCTION("""COMPUTED_VALUE"""),"Excellent job. Your presentation was very interesting and you have a clear understanding of the intricacies of the topic.")</f>
        <v>Excellent job. Your presentation was very interesting and you have a clear understanding of the intricacies of the topic.</v>
      </c>
      <c r="O247" s="142" t="str">
        <f t="shared" si="1"/>
        <v/>
      </c>
      <c r="P247" s="143" t="str">
        <f>IF(ISNA(VLOOKUP(CONCAT(M247,C247), 'Judge Count DO NOT EDIT'!H:H, 1, FALSE)), "ERROR","")</f>
        <v/>
      </c>
      <c r="Q247" s="141"/>
      <c r="R247" s="143"/>
      <c r="S247" s="139" t="str">
        <f t="shared" si="2"/>
        <v>1002160</v>
      </c>
      <c r="T247" s="141"/>
    </row>
    <row r="248">
      <c r="A248" s="137">
        <f>IFERROR(__xludf.DUMMYFUNCTION("""COMPUTED_VALUE"""),45352.48650331018)</f>
        <v>45352.4865</v>
      </c>
      <c r="B248" s="138" t="str">
        <f>IFERROR(__xludf.DUMMYFUNCTION("""COMPUTED_VALUE"""),"Annie Keeney")</f>
        <v>Annie Keeney</v>
      </c>
      <c r="C248" s="138">
        <f>IFERROR(__xludf.DUMMYFUNCTION("""COMPUTED_VALUE"""),1053.0)</f>
        <v>1053</v>
      </c>
      <c r="D248" s="139">
        <f>IFERROR(__xludf.DUMMYFUNCTION("""COMPUTED_VALUE"""),160.0)</f>
        <v>160</v>
      </c>
      <c r="E248" s="138">
        <f>IFERROR(__xludf.DUMMYFUNCTION("""COMPUTED_VALUE"""),4.0)</f>
        <v>4</v>
      </c>
      <c r="F248" s="138">
        <f>IFERROR(__xludf.DUMMYFUNCTION("""COMPUTED_VALUE"""),4.0)</f>
        <v>4</v>
      </c>
      <c r="G248" s="138">
        <f>IFERROR(__xludf.DUMMYFUNCTION("""COMPUTED_VALUE"""),4.0)</f>
        <v>4</v>
      </c>
      <c r="H248" s="138">
        <f>IFERROR(__xludf.DUMMYFUNCTION("""COMPUTED_VALUE"""),3.0)</f>
        <v>3</v>
      </c>
      <c r="I248" s="138">
        <f>IFERROR(__xludf.DUMMYFUNCTION("""COMPUTED_VALUE"""),5.0)</f>
        <v>5</v>
      </c>
      <c r="J248" s="138">
        <f>IFERROR(__xludf.DUMMYFUNCTION("""COMPUTED_VALUE"""),4.0)</f>
        <v>4</v>
      </c>
      <c r="K248" s="138">
        <f>IFERROR(__xludf.DUMMYFUNCTION("""COMPUTED_VALUE"""),5.0)</f>
        <v>5</v>
      </c>
      <c r="L248" s="138">
        <v>29.0</v>
      </c>
      <c r="M248" s="140" t="str">
        <f>VLOOKUP(text(D248, "#"),'Master Table'!$A:$F, 6, FALSE)</f>
        <v>B-1</v>
      </c>
      <c r="N248" s="141" t="str">
        <f>IFERROR(__xludf.DUMMYFUNCTION("""COMPUTED_VALUE"""),"Very interesting topic! I really liked the visuals/ppt provided. Would have liked to heard more about methods on selecting articles, number, how they were organized, analyzed etc, as well as more direct implication discussion. ")</f>
        <v>Very interesting topic! I really liked the visuals/ppt provided. Would have liked to heard more about methods on selecting articles, number, how they were organized, analyzed etc, as well as more direct implication discussion. </v>
      </c>
      <c r="O248" s="142" t="str">
        <f t="shared" si="1"/>
        <v/>
      </c>
      <c r="P248" s="143" t="str">
        <f>IF(ISNA(VLOOKUP(CONCAT(M248,C248), 'Judge Count DO NOT EDIT'!H:H, 1, FALSE)), "ERROR","")</f>
        <v/>
      </c>
      <c r="Q248" s="141"/>
      <c r="R248" s="143"/>
      <c r="S248" s="139" t="str">
        <f t="shared" si="2"/>
        <v>1053160</v>
      </c>
      <c r="T248" s="141"/>
    </row>
    <row r="249">
      <c r="A249" s="137">
        <f>IFERROR(__xludf.DUMMYFUNCTION("""COMPUTED_VALUE"""),45352.48807748842)</f>
        <v>45352.48808</v>
      </c>
      <c r="B249" s="138" t="str">
        <f>IFERROR(__xludf.DUMMYFUNCTION("""COMPUTED_VALUE"""),"Kj Archer")</f>
        <v>Kj Archer</v>
      </c>
      <c r="C249" s="138">
        <f>IFERROR(__xludf.DUMMYFUNCTION("""COMPUTED_VALUE"""),1077.0)</f>
        <v>1077</v>
      </c>
      <c r="D249" s="139">
        <f>IFERROR(__xludf.DUMMYFUNCTION("""COMPUTED_VALUE"""),160.0)</f>
        <v>160</v>
      </c>
      <c r="E249" s="138">
        <f>IFERROR(__xludf.DUMMYFUNCTION("""COMPUTED_VALUE"""),5.0)</f>
        <v>5</v>
      </c>
      <c r="F249" s="138">
        <f>IFERROR(__xludf.DUMMYFUNCTION("""COMPUTED_VALUE"""),3.0)</f>
        <v>3</v>
      </c>
      <c r="G249" s="138">
        <f>IFERROR(__xludf.DUMMYFUNCTION("""COMPUTED_VALUE"""),4.0)</f>
        <v>4</v>
      </c>
      <c r="H249" s="138">
        <f>IFERROR(__xludf.DUMMYFUNCTION("""COMPUTED_VALUE"""),4.0)</f>
        <v>4</v>
      </c>
      <c r="I249" s="138">
        <f>IFERROR(__xludf.DUMMYFUNCTION("""COMPUTED_VALUE"""),5.0)</f>
        <v>5</v>
      </c>
      <c r="J249" s="138">
        <f>IFERROR(__xludf.DUMMYFUNCTION("""COMPUTED_VALUE"""),4.0)</f>
        <v>4</v>
      </c>
      <c r="K249" s="138">
        <f>IFERROR(__xludf.DUMMYFUNCTION("""COMPUTED_VALUE"""),4.0)</f>
        <v>4</v>
      </c>
      <c r="L249" s="138">
        <v>29.0</v>
      </c>
      <c r="M249" s="140" t="str">
        <f>VLOOKUP(text(D249, "#"),'Master Table'!$A:$F, 6, FALSE)</f>
        <v>B-1</v>
      </c>
      <c r="N249" s="141" t="str">
        <f>IFERROR(__xludf.DUMMYFUNCTION("""COMPUTED_VALUE"""),"It's impressive to build upon research to see how trends and politics have changed over the course of your studies. ")</f>
        <v>It's impressive to build upon research to see how trends and politics have changed over the course of your studies. </v>
      </c>
      <c r="O249" s="142" t="str">
        <f t="shared" si="1"/>
        <v/>
      </c>
      <c r="P249" s="143" t="str">
        <f>IF(ISNA(VLOOKUP(CONCAT(M249,C249), 'Judge Count DO NOT EDIT'!H:H, 1, FALSE)), "ERROR","")</f>
        <v/>
      </c>
      <c r="Q249" s="141"/>
      <c r="R249" s="143"/>
      <c r="S249" s="139" t="str">
        <f t="shared" si="2"/>
        <v>1077160</v>
      </c>
      <c r="T249" s="141"/>
    </row>
    <row r="250">
      <c r="A250" s="137">
        <f>IFERROR(__xludf.DUMMYFUNCTION("""COMPUTED_VALUE"""),45352.48831556713)</f>
        <v>45352.48832</v>
      </c>
      <c r="B250" s="138" t="str">
        <f>IFERROR(__xludf.DUMMYFUNCTION("""COMPUTED_VALUE"""),"Xiaohan Hu")</f>
        <v>Xiaohan Hu</v>
      </c>
      <c r="C250" s="138">
        <f>IFERROR(__xludf.DUMMYFUNCTION("""COMPUTED_VALUE"""),1048.0)</f>
        <v>1048</v>
      </c>
      <c r="D250" s="139">
        <f>IFERROR(__xludf.DUMMYFUNCTION("""COMPUTED_VALUE"""),160.0)</f>
        <v>160</v>
      </c>
      <c r="E250" s="138">
        <f>IFERROR(__xludf.DUMMYFUNCTION("""COMPUTED_VALUE"""),4.0)</f>
        <v>4</v>
      </c>
      <c r="F250" s="138">
        <f>IFERROR(__xludf.DUMMYFUNCTION("""COMPUTED_VALUE"""),5.0)</f>
        <v>5</v>
      </c>
      <c r="G250" s="138">
        <f>IFERROR(__xludf.DUMMYFUNCTION("""COMPUTED_VALUE"""),4.0)</f>
        <v>4</v>
      </c>
      <c r="H250" s="138">
        <f>IFERROR(__xludf.DUMMYFUNCTION("""COMPUTED_VALUE"""),3.0)</f>
        <v>3</v>
      </c>
      <c r="I250" s="138">
        <f>IFERROR(__xludf.DUMMYFUNCTION("""COMPUTED_VALUE"""),3.0)</f>
        <v>3</v>
      </c>
      <c r="J250" s="138">
        <f>IFERROR(__xludf.DUMMYFUNCTION("""COMPUTED_VALUE"""),4.0)</f>
        <v>4</v>
      </c>
      <c r="K250" s="138">
        <f>IFERROR(__xludf.DUMMYFUNCTION("""COMPUTED_VALUE"""),5.0)</f>
        <v>5</v>
      </c>
      <c r="L250" s="138">
        <v>28.0</v>
      </c>
      <c r="M250" s="140" t="str">
        <f>VLOOKUP(text(D250, "#"),'Master Table'!$A:$F, 6, FALSE)</f>
        <v>B-1</v>
      </c>
      <c r="N250" s="141" t="str">
        <f>IFERROR(__xludf.DUMMYFUNCTION("""COMPUTED_VALUE"""),"I can see that the researcher is very motivated on researching this topic. The proposal of the flatline as an addition to the existing theory is innovative. I would encourage the researcher to continue this research with different and mixed research metho"&amp;"ds to reveal more insights from different perspectives on this topic.")</f>
        <v>I can see that the researcher is very motivated on researching this topic. The proposal of the flatline as an addition to the existing theory is innovative. I would encourage the researcher to continue this research with different and mixed research methods to reveal more insights from different perspectives on this topic.</v>
      </c>
      <c r="O250" s="142" t="str">
        <f t="shared" si="1"/>
        <v/>
      </c>
      <c r="P250" s="143" t="str">
        <f>IF(ISNA(VLOOKUP(CONCAT(M250,C250), 'Judge Count DO NOT EDIT'!H:H, 1, FALSE)), "ERROR","")</f>
        <v/>
      </c>
      <c r="Q250" s="141"/>
      <c r="R250" s="143"/>
      <c r="S250" s="139" t="str">
        <f t="shared" si="2"/>
        <v>1048160</v>
      </c>
      <c r="T250" s="141"/>
    </row>
    <row r="251">
      <c r="A251" s="137">
        <f>IFERROR(__xludf.DUMMYFUNCTION("""COMPUTED_VALUE"""),45352.49831052084)</f>
        <v>45352.49831</v>
      </c>
      <c r="B251" s="138" t="str">
        <f>IFERROR(__xludf.DUMMYFUNCTION("""COMPUTED_VALUE"""),"Lauren Collins")</f>
        <v>Lauren Collins</v>
      </c>
      <c r="C251" s="138">
        <f>IFERROR(__xludf.DUMMYFUNCTION("""COMPUTED_VALUE"""),1002.0)</f>
        <v>1002</v>
      </c>
      <c r="D251" s="139">
        <f>IFERROR(__xludf.DUMMYFUNCTION("""COMPUTED_VALUE"""),161.0)</f>
        <v>161</v>
      </c>
      <c r="E251" s="138">
        <f>IFERROR(__xludf.DUMMYFUNCTION("""COMPUTED_VALUE"""),5.0)</f>
        <v>5</v>
      </c>
      <c r="F251" s="138">
        <f>IFERROR(__xludf.DUMMYFUNCTION("""COMPUTED_VALUE"""),5.0)</f>
        <v>5</v>
      </c>
      <c r="G251" s="138">
        <f>IFERROR(__xludf.DUMMYFUNCTION("""COMPUTED_VALUE"""),5.0)</f>
        <v>5</v>
      </c>
      <c r="H251" s="138">
        <f>IFERROR(__xludf.DUMMYFUNCTION("""COMPUTED_VALUE"""),5.0)</f>
        <v>5</v>
      </c>
      <c r="I251" s="138">
        <f>IFERROR(__xludf.DUMMYFUNCTION("""COMPUTED_VALUE"""),5.0)</f>
        <v>5</v>
      </c>
      <c r="J251" s="138">
        <f>IFERROR(__xludf.DUMMYFUNCTION("""COMPUTED_VALUE"""),5.0)</f>
        <v>5</v>
      </c>
      <c r="K251" s="138">
        <f>IFERROR(__xludf.DUMMYFUNCTION("""COMPUTED_VALUE"""),5.0)</f>
        <v>5</v>
      </c>
      <c r="L251" s="138">
        <v>35.0</v>
      </c>
      <c r="M251" s="140" t="str">
        <f>VLOOKUP(text(D251, "#"),'Master Table'!$A:$F, 6, FALSE)</f>
        <v>B-1</v>
      </c>
      <c r="N251" s="141" t="str">
        <f>IFERROR(__xludf.DUMMYFUNCTION("""COMPUTED_VALUE"""),"You did an excellent job sharing your research. The topic and the results are interesting and I enjoyed hearing the future directions that you identified based on your results.")</f>
        <v>You did an excellent job sharing your research. The topic and the results are interesting and I enjoyed hearing the future directions that you identified based on your results.</v>
      </c>
      <c r="O251" s="142" t="str">
        <f t="shared" si="1"/>
        <v/>
      </c>
      <c r="P251" s="143" t="str">
        <f>IF(ISNA(VLOOKUP(CONCAT(M251,C251), 'Judge Count DO NOT EDIT'!H:H, 1, FALSE)), "ERROR","")</f>
        <v/>
      </c>
      <c r="Q251" s="141"/>
      <c r="R251" s="143"/>
      <c r="S251" s="139" t="str">
        <f t="shared" si="2"/>
        <v>1002161</v>
      </c>
      <c r="T251" s="141"/>
    </row>
    <row r="252">
      <c r="A252" s="137">
        <f>IFERROR(__xludf.DUMMYFUNCTION("""COMPUTED_VALUE"""),45352.49841284722)</f>
        <v>45352.49841</v>
      </c>
      <c r="B252" s="138" t="str">
        <f>IFERROR(__xludf.DUMMYFUNCTION("""COMPUTED_VALUE"""),"Kj Archer")</f>
        <v>Kj Archer</v>
      </c>
      <c r="C252" s="138">
        <f>IFERROR(__xludf.DUMMYFUNCTION("""COMPUTED_VALUE"""),1077.0)</f>
        <v>1077</v>
      </c>
      <c r="D252" s="139">
        <f>IFERROR(__xludf.DUMMYFUNCTION("""COMPUTED_VALUE"""),161.0)</f>
        <v>161</v>
      </c>
      <c r="E252" s="138">
        <f>IFERROR(__xludf.DUMMYFUNCTION("""COMPUTED_VALUE"""),4.0)</f>
        <v>4</v>
      </c>
      <c r="F252" s="138">
        <f>IFERROR(__xludf.DUMMYFUNCTION("""COMPUTED_VALUE"""),3.0)</f>
        <v>3</v>
      </c>
      <c r="G252" s="138">
        <f>IFERROR(__xludf.DUMMYFUNCTION("""COMPUTED_VALUE"""),4.0)</f>
        <v>4</v>
      </c>
      <c r="H252" s="138">
        <f>IFERROR(__xludf.DUMMYFUNCTION("""COMPUTED_VALUE"""),3.0)</f>
        <v>3</v>
      </c>
      <c r="I252" s="138">
        <f>IFERROR(__xludf.DUMMYFUNCTION("""COMPUTED_VALUE"""),4.0)</f>
        <v>4</v>
      </c>
      <c r="J252" s="138">
        <f>IFERROR(__xludf.DUMMYFUNCTION("""COMPUTED_VALUE"""),3.0)</f>
        <v>3</v>
      </c>
      <c r="K252" s="138">
        <f>IFERROR(__xludf.DUMMYFUNCTION("""COMPUTED_VALUE"""),4.0)</f>
        <v>4</v>
      </c>
      <c r="L252" s="138">
        <v>25.0</v>
      </c>
      <c r="M252" s="140" t="str">
        <f>VLOOKUP(text(D252, "#"),'Master Table'!$A:$F, 6, FALSE)</f>
        <v>B-1</v>
      </c>
      <c r="N252" s="141" t="str">
        <f>IFERROR(__xludf.DUMMYFUNCTION("""COMPUTED_VALUE"""),"This is a wonderful example of research that is begging for expansion and I hope you engage with it going forward. The extent research and the foundations of your project are very impressive, and will become even more so when you solve the sample size iss"&amp;"ues. ")</f>
        <v>This is a wonderful example of research that is begging for expansion and I hope you engage with it going forward. The extent research and the foundations of your project are very impressive, and will become even more so when you solve the sample size issues. </v>
      </c>
      <c r="O252" s="142" t="str">
        <f t="shared" si="1"/>
        <v/>
      </c>
      <c r="P252" s="143" t="str">
        <f>IF(ISNA(VLOOKUP(CONCAT(M252,C252), 'Judge Count DO NOT EDIT'!H:H, 1, FALSE)), "ERROR","")</f>
        <v/>
      </c>
      <c r="Q252" s="141"/>
      <c r="R252" s="143"/>
      <c r="S252" s="139" t="str">
        <f t="shared" si="2"/>
        <v>1077161</v>
      </c>
      <c r="T252" s="141"/>
    </row>
    <row r="253">
      <c r="A253" s="137">
        <f>IFERROR(__xludf.DUMMYFUNCTION("""COMPUTED_VALUE"""),45352.50030020833)</f>
        <v>45352.5003</v>
      </c>
      <c r="B253" s="138" t="str">
        <f>IFERROR(__xludf.DUMMYFUNCTION("""COMPUTED_VALUE"""),"Xiaohan Hu")</f>
        <v>Xiaohan Hu</v>
      </c>
      <c r="C253" s="138">
        <f>IFERROR(__xludf.DUMMYFUNCTION("""COMPUTED_VALUE"""),1048.0)</f>
        <v>1048</v>
      </c>
      <c r="D253" s="139">
        <f>IFERROR(__xludf.DUMMYFUNCTION("""COMPUTED_VALUE"""),161.0)</f>
        <v>161</v>
      </c>
      <c r="E253" s="138">
        <f>IFERROR(__xludf.DUMMYFUNCTION("""COMPUTED_VALUE"""),5.0)</f>
        <v>5</v>
      </c>
      <c r="F253" s="138">
        <f>IFERROR(__xludf.DUMMYFUNCTION("""COMPUTED_VALUE"""),3.0)</f>
        <v>3</v>
      </c>
      <c r="G253" s="138">
        <f>IFERROR(__xludf.DUMMYFUNCTION("""COMPUTED_VALUE"""),4.0)</f>
        <v>4</v>
      </c>
      <c r="H253" s="138">
        <f>IFERROR(__xludf.DUMMYFUNCTION("""COMPUTED_VALUE"""),4.0)</f>
        <v>4</v>
      </c>
      <c r="I253" s="138">
        <f>IFERROR(__xludf.DUMMYFUNCTION("""COMPUTED_VALUE"""),5.0)</f>
        <v>5</v>
      </c>
      <c r="J253" s="138">
        <f>IFERROR(__xludf.DUMMYFUNCTION("""COMPUTED_VALUE"""),5.0)</f>
        <v>5</v>
      </c>
      <c r="K253" s="138">
        <f>IFERROR(__xludf.DUMMYFUNCTION("""COMPUTED_VALUE"""),5.0)</f>
        <v>5</v>
      </c>
      <c r="L253" s="138">
        <v>31.0</v>
      </c>
      <c r="M253" s="140" t="str">
        <f>VLOOKUP(text(D253, "#"),'Master Table'!$A:$F, 6, FALSE)</f>
        <v>B-1</v>
      </c>
      <c r="N253" s="141" t="str">
        <f>IFERROR(__xludf.DUMMYFUNCTION("""COMPUTED_VALUE"""),"This a very interesting research topic. I would encourage the researcher to continue this research project and think about how this research may bring new insights to the social ripple theory.")</f>
        <v>This a very interesting research topic. I would encourage the researcher to continue this research project and think about how this research may bring new insights to the social ripple theory.</v>
      </c>
      <c r="O253" s="142" t="str">
        <f t="shared" si="1"/>
        <v/>
      </c>
      <c r="P253" s="143" t="str">
        <f>IF(ISNA(VLOOKUP(CONCAT(M253,C253), 'Judge Count DO NOT EDIT'!H:H, 1, FALSE)), "ERROR","")</f>
        <v/>
      </c>
      <c r="Q253" s="141"/>
      <c r="R253" s="143"/>
      <c r="S253" s="139" t="str">
        <f t="shared" si="2"/>
        <v>1048161</v>
      </c>
      <c r="T253" s="141"/>
    </row>
    <row r="254">
      <c r="A254" s="137">
        <f>IFERROR(__xludf.DUMMYFUNCTION("""COMPUTED_VALUE"""),45352.50037826389)</f>
        <v>45352.50038</v>
      </c>
      <c r="B254" s="138" t="str">
        <f>IFERROR(__xludf.DUMMYFUNCTION("""COMPUTED_VALUE"""),"Annie Keeney")</f>
        <v>Annie Keeney</v>
      </c>
      <c r="C254" s="138">
        <f>IFERROR(__xludf.DUMMYFUNCTION("""COMPUTED_VALUE"""),1053.0)</f>
        <v>1053</v>
      </c>
      <c r="D254" s="139">
        <f>IFERROR(__xludf.DUMMYFUNCTION("""COMPUTED_VALUE"""),161.0)</f>
        <v>161</v>
      </c>
      <c r="E254" s="138">
        <f>IFERROR(__xludf.DUMMYFUNCTION("""COMPUTED_VALUE"""),5.0)</f>
        <v>5</v>
      </c>
      <c r="F254" s="138">
        <f>IFERROR(__xludf.DUMMYFUNCTION("""COMPUTED_VALUE"""),3.0)</f>
        <v>3</v>
      </c>
      <c r="G254" s="138">
        <f>IFERROR(__xludf.DUMMYFUNCTION("""COMPUTED_VALUE"""),3.0)</f>
        <v>3</v>
      </c>
      <c r="H254" s="138">
        <f>IFERROR(__xludf.DUMMYFUNCTION("""COMPUTED_VALUE"""),4.0)</f>
        <v>4</v>
      </c>
      <c r="I254" s="138">
        <f>IFERROR(__xludf.DUMMYFUNCTION("""COMPUTED_VALUE"""),5.0)</f>
        <v>5</v>
      </c>
      <c r="J254" s="138">
        <f>IFERROR(__xludf.DUMMYFUNCTION("""COMPUTED_VALUE"""),5.0)</f>
        <v>5</v>
      </c>
      <c r="K254" s="138">
        <f>IFERROR(__xludf.DUMMYFUNCTION("""COMPUTED_VALUE"""),5.0)</f>
        <v>5</v>
      </c>
      <c r="L254" s="138">
        <v>30.0</v>
      </c>
      <c r="M254" s="140" t="str">
        <f>VLOOKUP(text(D254, "#"),'Master Table'!$A:$F, 6, FALSE)</f>
        <v>B-1</v>
      </c>
      <c r="N254" s="141" t="str">
        <f>IFERROR(__xludf.DUMMYFUNCTION("""COMPUTED_VALUE"""),"Thank you for your presentation and visuals- really helped tell the story. Would have liked to heard about how the researcher/student controlled for bias in the analysis. Controlling for bias was discussed in the data collection- but what about the analys"&amp;"is/findings. ")</f>
        <v>Thank you for your presentation and visuals- really helped tell the story. Would have liked to heard about how the researcher/student controlled for bias in the analysis. Controlling for bias was discussed in the data collection- but what about the analysis/findings. </v>
      </c>
      <c r="O254" s="142" t="str">
        <f t="shared" si="1"/>
        <v/>
      </c>
      <c r="P254" s="143" t="str">
        <f>IF(ISNA(VLOOKUP(CONCAT(M254,C254), 'Judge Count DO NOT EDIT'!H:H, 1, FALSE)), "ERROR","")</f>
        <v/>
      </c>
      <c r="Q254" s="141"/>
      <c r="R254" s="143"/>
      <c r="S254" s="139" t="str">
        <f t="shared" si="2"/>
        <v>1053161</v>
      </c>
      <c r="T254" s="141"/>
    </row>
    <row r="255">
      <c r="A255" s="137">
        <f>IFERROR(__xludf.DUMMYFUNCTION("""COMPUTED_VALUE"""),45352.514408726856)</f>
        <v>45352.51441</v>
      </c>
      <c r="B255" s="138" t="str">
        <f>IFERROR(__xludf.DUMMYFUNCTION("""COMPUTED_VALUE"""),"Lauren Collins")</f>
        <v>Lauren Collins</v>
      </c>
      <c r="C255" s="138">
        <f>IFERROR(__xludf.DUMMYFUNCTION("""COMPUTED_VALUE"""),1002.0)</f>
        <v>1002</v>
      </c>
      <c r="D255" s="139">
        <f>IFERROR(__xludf.DUMMYFUNCTION("""COMPUTED_VALUE"""),162.0)</f>
        <v>162</v>
      </c>
      <c r="E255" s="138">
        <f>IFERROR(__xludf.DUMMYFUNCTION("""COMPUTED_VALUE"""),5.0)</f>
        <v>5</v>
      </c>
      <c r="F255" s="138">
        <f>IFERROR(__xludf.DUMMYFUNCTION("""COMPUTED_VALUE"""),5.0)</f>
        <v>5</v>
      </c>
      <c r="G255" s="138">
        <f>IFERROR(__xludf.DUMMYFUNCTION("""COMPUTED_VALUE"""),5.0)</f>
        <v>5</v>
      </c>
      <c r="H255" s="138">
        <f>IFERROR(__xludf.DUMMYFUNCTION("""COMPUTED_VALUE"""),5.0)</f>
        <v>5</v>
      </c>
      <c r="I255" s="138">
        <f>IFERROR(__xludf.DUMMYFUNCTION("""COMPUTED_VALUE"""),5.0)</f>
        <v>5</v>
      </c>
      <c r="J255" s="138">
        <f>IFERROR(__xludf.DUMMYFUNCTION("""COMPUTED_VALUE"""),5.0)</f>
        <v>5</v>
      </c>
      <c r="K255" s="138">
        <f>IFERROR(__xludf.DUMMYFUNCTION("""COMPUTED_VALUE"""),5.0)</f>
        <v>5</v>
      </c>
      <c r="L255" s="138">
        <v>35.0</v>
      </c>
      <c r="M255" s="140" t="str">
        <f>VLOOKUP(text(D255, "#"),'Master Table'!$A:$F, 6, FALSE)</f>
        <v>B-1</v>
      </c>
      <c r="N255" s="141" t="str">
        <f>IFERROR(__xludf.DUMMYFUNCTION("""COMPUTED_VALUE"""),"Excellent work! You clearly understand the nuances of this issue and did a great job sharing your research and responding to questions.")</f>
        <v>Excellent work! You clearly understand the nuances of this issue and did a great job sharing your research and responding to questions.</v>
      </c>
      <c r="O255" s="142" t="str">
        <f t="shared" si="1"/>
        <v/>
      </c>
      <c r="P255" s="143" t="str">
        <f>IF(ISNA(VLOOKUP(CONCAT(M255,C255), 'Judge Count DO NOT EDIT'!H:H, 1, FALSE)), "ERROR","")</f>
        <v/>
      </c>
      <c r="Q255" s="141"/>
      <c r="R255" s="143"/>
      <c r="S255" s="139" t="str">
        <f t="shared" si="2"/>
        <v>1002162</v>
      </c>
      <c r="T255" s="141"/>
    </row>
    <row r="256">
      <c r="A256" s="137">
        <f>IFERROR(__xludf.DUMMYFUNCTION("""COMPUTED_VALUE"""),45352.51501578704)</f>
        <v>45352.51502</v>
      </c>
      <c r="B256" s="138" t="str">
        <f>IFERROR(__xludf.DUMMYFUNCTION("""COMPUTED_VALUE"""),"Annie Keeney")</f>
        <v>Annie Keeney</v>
      </c>
      <c r="C256" s="138">
        <f>IFERROR(__xludf.DUMMYFUNCTION("""COMPUTED_VALUE"""),1053.0)</f>
        <v>1053</v>
      </c>
      <c r="D256" s="139">
        <f>IFERROR(__xludf.DUMMYFUNCTION("""COMPUTED_VALUE"""),162.0)</f>
        <v>162</v>
      </c>
      <c r="E256" s="138">
        <f>IFERROR(__xludf.DUMMYFUNCTION("""COMPUTED_VALUE"""),5.0)</f>
        <v>5</v>
      </c>
      <c r="F256" s="138">
        <f>IFERROR(__xludf.DUMMYFUNCTION("""COMPUTED_VALUE"""),5.0)</f>
        <v>5</v>
      </c>
      <c r="G256" s="138">
        <f>IFERROR(__xludf.DUMMYFUNCTION("""COMPUTED_VALUE"""),5.0)</f>
        <v>5</v>
      </c>
      <c r="H256" s="138">
        <f>IFERROR(__xludf.DUMMYFUNCTION("""COMPUTED_VALUE"""),4.0)</f>
        <v>4</v>
      </c>
      <c r="I256" s="138">
        <f>IFERROR(__xludf.DUMMYFUNCTION("""COMPUTED_VALUE"""),5.0)</f>
        <v>5</v>
      </c>
      <c r="J256" s="138">
        <f>IFERROR(__xludf.DUMMYFUNCTION("""COMPUTED_VALUE"""),5.0)</f>
        <v>5</v>
      </c>
      <c r="K256" s="138">
        <f>IFERROR(__xludf.DUMMYFUNCTION("""COMPUTED_VALUE"""),5.0)</f>
        <v>5</v>
      </c>
      <c r="L256" s="138">
        <v>34.0</v>
      </c>
      <c r="M256" s="140" t="str">
        <f>VLOOKUP(text(D256, "#"),'Master Table'!$A:$F, 6, FALSE)</f>
        <v>B-1</v>
      </c>
      <c r="N256" s="141" t="str">
        <f>IFERROR(__xludf.DUMMYFUNCTION("""COMPUTED_VALUE"""),"Interesting topic- and really liked how connected to SDSU events/students. Would have liked to seen more discussion of recommendations (policy and program) that SDSU should do in addressing this issue. ")</f>
        <v>Interesting topic- and really liked how connected to SDSU events/students. Would have liked to seen more discussion of recommendations (policy and program) that SDSU should do in addressing this issue. </v>
      </c>
      <c r="O256" s="142" t="str">
        <f t="shared" si="1"/>
        <v/>
      </c>
      <c r="P256" s="143" t="str">
        <f>IF(ISNA(VLOOKUP(CONCAT(M256,C256), 'Judge Count DO NOT EDIT'!H:H, 1, FALSE)), "ERROR","")</f>
        <v/>
      </c>
      <c r="Q256" s="141"/>
      <c r="R256" s="143"/>
      <c r="S256" s="139" t="str">
        <f t="shared" si="2"/>
        <v>1053162</v>
      </c>
      <c r="T256" s="141"/>
    </row>
    <row r="257">
      <c r="A257" s="137">
        <f>IFERROR(__xludf.DUMMYFUNCTION("""COMPUTED_VALUE"""),45352.51516271991)</f>
        <v>45352.51516</v>
      </c>
      <c r="B257" s="138" t="str">
        <f>IFERROR(__xludf.DUMMYFUNCTION("""COMPUTED_VALUE"""),"Kj Archer")</f>
        <v>Kj Archer</v>
      </c>
      <c r="C257" s="138">
        <f>IFERROR(__xludf.DUMMYFUNCTION("""COMPUTED_VALUE"""),1077.0)</f>
        <v>1077</v>
      </c>
      <c r="D257" s="139">
        <f>IFERROR(__xludf.DUMMYFUNCTION("""COMPUTED_VALUE"""),162.0)</f>
        <v>162</v>
      </c>
      <c r="E257" s="138">
        <f>IFERROR(__xludf.DUMMYFUNCTION("""COMPUTED_VALUE"""),4.0)</f>
        <v>4</v>
      </c>
      <c r="F257" s="138">
        <f>IFERROR(__xludf.DUMMYFUNCTION("""COMPUTED_VALUE"""),3.0)</f>
        <v>3</v>
      </c>
      <c r="G257" s="138">
        <f>IFERROR(__xludf.DUMMYFUNCTION("""COMPUTED_VALUE"""),4.0)</f>
        <v>4</v>
      </c>
      <c r="H257" s="138">
        <f>IFERROR(__xludf.DUMMYFUNCTION("""COMPUTED_VALUE"""),4.0)</f>
        <v>4</v>
      </c>
      <c r="I257" s="138">
        <f>IFERROR(__xludf.DUMMYFUNCTION("""COMPUTED_VALUE"""),5.0)</f>
        <v>5</v>
      </c>
      <c r="J257" s="138">
        <f>IFERROR(__xludf.DUMMYFUNCTION("""COMPUTED_VALUE"""),4.0)</f>
        <v>4</v>
      </c>
      <c r="K257" s="138">
        <f>IFERROR(__xludf.DUMMYFUNCTION("""COMPUTED_VALUE"""),5.0)</f>
        <v>5</v>
      </c>
      <c r="L257" s="138">
        <v>29.0</v>
      </c>
      <c r="M257" s="140" t="str">
        <f>VLOOKUP(text(D257, "#"),'Master Table'!$A:$F, 6, FALSE)</f>
        <v>B-1</v>
      </c>
      <c r="N257" s="141" t="str">
        <f>IFERROR(__xludf.DUMMYFUNCTION("""COMPUTED_VALUE"""),"This was the best presentation I saw all morning. There was clearly a lot of work put into it and I enjoyed the professionalism and flow. The information was interesting and current and I hope you continue with it. ")</f>
        <v>This was the best presentation I saw all morning. There was clearly a lot of work put into it and I enjoyed the professionalism and flow. The information was interesting and current and I hope you continue with it. </v>
      </c>
      <c r="O257" s="142" t="str">
        <f t="shared" si="1"/>
        <v/>
      </c>
      <c r="P257" s="143" t="str">
        <f>IF(ISNA(VLOOKUP(CONCAT(M257,C257), 'Judge Count DO NOT EDIT'!H:H, 1, FALSE)), "ERROR","")</f>
        <v/>
      </c>
      <c r="Q257" s="141"/>
      <c r="R257" s="143"/>
      <c r="S257" s="139" t="str">
        <f t="shared" si="2"/>
        <v>1077162</v>
      </c>
      <c r="T257" s="141"/>
    </row>
    <row r="258">
      <c r="A258" s="137">
        <f>IFERROR(__xludf.DUMMYFUNCTION("""COMPUTED_VALUE"""),45352.515285671296)</f>
        <v>45352.51529</v>
      </c>
      <c r="B258" s="138" t="str">
        <f>IFERROR(__xludf.DUMMYFUNCTION("""COMPUTED_VALUE"""),"Xiaohan Hu")</f>
        <v>Xiaohan Hu</v>
      </c>
      <c r="C258" s="138">
        <f>IFERROR(__xludf.DUMMYFUNCTION("""COMPUTED_VALUE"""),1048.0)</f>
        <v>1048</v>
      </c>
      <c r="D258" s="139">
        <f>IFERROR(__xludf.DUMMYFUNCTION("""COMPUTED_VALUE"""),162.0)</f>
        <v>162</v>
      </c>
      <c r="E258" s="138">
        <f>IFERROR(__xludf.DUMMYFUNCTION("""COMPUTED_VALUE"""),4.0)</f>
        <v>4</v>
      </c>
      <c r="F258" s="138">
        <f>IFERROR(__xludf.DUMMYFUNCTION("""COMPUTED_VALUE"""),3.0)</f>
        <v>3</v>
      </c>
      <c r="G258" s="138">
        <f>IFERROR(__xludf.DUMMYFUNCTION("""COMPUTED_VALUE"""),4.0)</f>
        <v>4</v>
      </c>
      <c r="H258" s="138">
        <f>IFERROR(__xludf.DUMMYFUNCTION("""COMPUTED_VALUE"""),3.0)</f>
        <v>3</v>
      </c>
      <c r="I258" s="138">
        <f>IFERROR(__xludf.DUMMYFUNCTION("""COMPUTED_VALUE"""),4.0)</f>
        <v>4</v>
      </c>
      <c r="J258" s="138">
        <f>IFERROR(__xludf.DUMMYFUNCTION("""COMPUTED_VALUE"""),4.0)</f>
        <v>4</v>
      </c>
      <c r="K258" s="138">
        <f>IFERROR(__xludf.DUMMYFUNCTION("""COMPUTED_VALUE"""),4.0)</f>
        <v>4</v>
      </c>
      <c r="L258" s="138">
        <v>26.0</v>
      </c>
      <c r="M258" s="140" t="str">
        <f>VLOOKUP(text(D258, "#"),'Master Table'!$A:$F, 6, FALSE)</f>
        <v>B-1</v>
      </c>
      <c r="N258" s="141" t="str">
        <f>IFERROR(__xludf.DUMMYFUNCTION("""COMPUTED_VALUE"""),"I think this is a very interesting and important topic for research. I would encourage the researcher to continue this project and adopt different research methods to explore this topic.")</f>
        <v>I think this is a very interesting and important topic for research. I would encourage the researcher to continue this project and adopt different research methods to explore this topic.</v>
      </c>
      <c r="O258" s="142" t="str">
        <f t="shared" si="1"/>
        <v/>
      </c>
      <c r="P258" s="143" t="str">
        <f>IF(ISNA(VLOOKUP(CONCAT(M258,C258), 'Judge Count DO NOT EDIT'!H:H, 1, FALSE)), "ERROR","")</f>
        <v/>
      </c>
      <c r="Q258" s="141"/>
      <c r="R258" s="143"/>
      <c r="S258" s="139" t="str">
        <f t="shared" si="2"/>
        <v>1048162</v>
      </c>
      <c r="T258" s="141"/>
    </row>
    <row r="259">
      <c r="A259" s="137">
        <f>IFERROR(__xludf.DUMMYFUNCTION("""COMPUTED_VALUE"""),45352.526878379635)</f>
        <v>45352.52688</v>
      </c>
      <c r="B259" s="138" t="str">
        <f>IFERROR(__xludf.DUMMYFUNCTION("""COMPUTED_VALUE"""),"Lauren Collins")</f>
        <v>Lauren Collins</v>
      </c>
      <c r="C259" s="138">
        <f>IFERROR(__xludf.DUMMYFUNCTION("""COMPUTED_VALUE"""),1002.0)</f>
        <v>1002</v>
      </c>
      <c r="D259" s="139">
        <f>IFERROR(__xludf.DUMMYFUNCTION("""COMPUTED_VALUE"""),163.0)</f>
        <v>163</v>
      </c>
      <c r="E259" s="138">
        <f>IFERROR(__xludf.DUMMYFUNCTION("""COMPUTED_VALUE"""),5.0)</f>
        <v>5</v>
      </c>
      <c r="F259" s="138">
        <f>IFERROR(__xludf.DUMMYFUNCTION("""COMPUTED_VALUE"""),5.0)</f>
        <v>5</v>
      </c>
      <c r="G259" s="138">
        <f>IFERROR(__xludf.DUMMYFUNCTION("""COMPUTED_VALUE"""),3.0)</f>
        <v>3</v>
      </c>
      <c r="H259" s="138">
        <f>IFERROR(__xludf.DUMMYFUNCTION("""COMPUTED_VALUE"""),1.0)</f>
        <v>1</v>
      </c>
      <c r="I259" s="138">
        <f>IFERROR(__xludf.DUMMYFUNCTION("""COMPUTED_VALUE"""),5.0)</f>
        <v>5</v>
      </c>
      <c r="J259" s="138">
        <f>IFERROR(__xludf.DUMMYFUNCTION("""COMPUTED_VALUE"""),4.0)</f>
        <v>4</v>
      </c>
      <c r="K259" s="138">
        <f>IFERROR(__xludf.DUMMYFUNCTION("""COMPUTED_VALUE"""),5.0)</f>
        <v>5</v>
      </c>
      <c r="L259" s="138">
        <v>28.0</v>
      </c>
      <c r="M259" s="140" t="str">
        <f>VLOOKUP(text(D259, "#"),'Master Table'!$A:$F, 6, FALSE)</f>
        <v>B-1</v>
      </c>
      <c r="N259" s="141" t="str">
        <f>IFERROR(__xludf.DUMMYFUNCTION("""COMPUTED_VALUE"""),"Your topic was very interesting and you clarified your methodology when answering a questions; next time, be sure to include that in your presentation! Your passion for this area is very evident. Great work!")</f>
        <v>Your topic was very interesting and you clarified your methodology when answering a questions; next time, be sure to include that in your presentation! Your passion for this area is very evident. Great work!</v>
      </c>
      <c r="O259" s="142" t="str">
        <f t="shared" si="1"/>
        <v/>
      </c>
      <c r="P259" s="143" t="str">
        <f>IF(ISNA(VLOOKUP(CONCAT(M259,C259), 'Judge Count DO NOT EDIT'!H:H, 1, FALSE)), "ERROR","")</f>
        <v/>
      </c>
      <c r="Q259" s="141"/>
      <c r="R259" s="143"/>
      <c r="S259" s="139" t="str">
        <f t="shared" si="2"/>
        <v>1002163</v>
      </c>
      <c r="T259" s="141"/>
    </row>
    <row r="260">
      <c r="A260" s="137">
        <f>IFERROR(__xludf.DUMMYFUNCTION("""COMPUTED_VALUE"""),45352.52655738426)</f>
        <v>45352.52656</v>
      </c>
      <c r="B260" s="138" t="str">
        <f>IFERROR(__xludf.DUMMYFUNCTION("""COMPUTED_VALUE"""),"Annie Keeney ")</f>
        <v>Annie Keeney </v>
      </c>
      <c r="C260" s="138">
        <f>IFERROR(__xludf.DUMMYFUNCTION("""COMPUTED_VALUE"""),1053.0)</f>
        <v>1053</v>
      </c>
      <c r="D260" s="139">
        <f>IFERROR(__xludf.DUMMYFUNCTION("""COMPUTED_VALUE"""),163.0)</f>
        <v>163</v>
      </c>
      <c r="E260" s="138">
        <f>IFERROR(__xludf.DUMMYFUNCTION("""COMPUTED_VALUE"""),3.0)</f>
        <v>3</v>
      </c>
      <c r="F260" s="138">
        <f>IFERROR(__xludf.DUMMYFUNCTION("""COMPUTED_VALUE"""),4.0)</f>
        <v>4</v>
      </c>
      <c r="G260" s="138">
        <f>IFERROR(__xludf.DUMMYFUNCTION("""COMPUTED_VALUE"""),3.0)</f>
        <v>3</v>
      </c>
      <c r="H260" s="138">
        <f>IFERROR(__xludf.DUMMYFUNCTION("""COMPUTED_VALUE"""),2.0)</f>
        <v>2</v>
      </c>
      <c r="I260" s="138">
        <f>IFERROR(__xludf.DUMMYFUNCTION("""COMPUTED_VALUE"""),4.0)</f>
        <v>4</v>
      </c>
      <c r="J260" s="138">
        <f>IFERROR(__xludf.DUMMYFUNCTION("""COMPUTED_VALUE"""),3.0)</f>
        <v>3</v>
      </c>
      <c r="K260" s="138">
        <f>IFERROR(__xludf.DUMMYFUNCTION("""COMPUTED_VALUE"""),4.0)</f>
        <v>4</v>
      </c>
      <c r="L260" s="138">
        <v>23.0</v>
      </c>
      <c r="M260" s="140" t="str">
        <f>VLOOKUP(text(D260, "#"),'Master Table'!$A:$F, 6, FALSE)</f>
        <v>B-1</v>
      </c>
      <c r="N260" s="141" t="str">
        <f>IFERROR(__xludf.DUMMYFUNCTION("""COMPUTED_VALUE"""),"Helpful to have started with an agenda slide to set presentations goals. Note e.g.= for example; i.e.= in other words. I think should have used e.g. on one slide. Presentation went straight to results- what was the process/ how did student arrive at these"&amp;" findings. I found the visuals /images on the PPT very helpful and informative! ")</f>
        <v>Helpful to have started with an agenda slide to set presentations goals. Note e.g.= for example; i.e.= in other words. I think should have used e.g. on one slide. Presentation went straight to results- what was the process/ how did student arrive at these findings. I found the visuals /images on the PPT very helpful and informative! </v>
      </c>
      <c r="O260" s="142" t="str">
        <f t="shared" si="1"/>
        <v/>
      </c>
      <c r="P260" s="143" t="str">
        <f>IF(ISNA(VLOOKUP(CONCAT(M260,C260), 'Judge Count DO NOT EDIT'!H:H, 1, FALSE)), "ERROR","")</f>
        <v/>
      </c>
      <c r="Q260" s="144"/>
      <c r="R260" s="143"/>
      <c r="S260" s="139" t="str">
        <f t="shared" si="2"/>
        <v>1053163</v>
      </c>
      <c r="T260" s="141"/>
    </row>
    <row r="261">
      <c r="A261" s="137">
        <f>IFERROR(__xludf.DUMMYFUNCTION("""COMPUTED_VALUE"""),45352.52688792824)</f>
        <v>45352.52689</v>
      </c>
      <c r="B261" s="138" t="str">
        <f>IFERROR(__xludf.DUMMYFUNCTION("""COMPUTED_VALUE"""),"Kj Archer")</f>
        <v>Kj Archer</v>
      </c>
      <c r="C261" s="138">
        <f>IFERROR(__xludf.DUMMYFUNCTION("""COMPUTED_VALUE"""),1077.0)</f>
        <v>1077</v>
      </c>
      <c r="D261" s="139">
        <f>IFERROR(__xludf.DUMMYFUNCTION("""COMPUTED_VALUE"""),163.0)</f>
        <v>163</v>
      </c>
      <c r="E261" s="138">
        <f>IFERROR(__xludf.DUMMYFUNCTION("""COMPUTED_VALUE"""),3.0)</f>
        <v>3</v>
      </c>
      <c r="F261" s="138">
        <f>IFERROR(__xludf.DUMMYFUNCTION("""COMPUTED_VALUE"""),5.0)</f>
        <v>5</v>
      </c>
      <c r="G261" s="138">
        <f>IFERROR(__xludf.DUMMYFUNCTION("""COMPUTED_VALUE"""),3.0)</f>
        <v>3</v>
      </c>
      <c r="H261" s="138">
        <f>IFERROR(__xludf.DUMMYFUNCTION("""COMPUTED_VALUE"""),5.0)</f>
        <v>5</v>
      </c>
      <c r="I261" s="138">
        <f>IFERROR(__xludf.DUMMYFUNCTION("""COMPUTED_VALUE"""),2.0)</f>
        <v>2</v>
      </c>
      <c r="J261" s="138">
        <f>IFERROR(__xludf.DUMMYFUNCTION("""COMPUTED_VALUE"""),4.0)</f>
        <v>4</v>
      </c>
      <c r="K261" s="138">
        <f>IFERROR(__xludf.DUMMYFUNCTION("""COMPUTED_VALUE"""),5.0)</f>
        <v>5</v>
      </c>
      <c r="L261" s="138">
        <v>27.0</v>
      </c>
      <c r="M261" s="140" t="str">
        <f>VLOOKUP(text(D261, "#"),'Master Table'!$A:$F, 6, FALSE)</f>
        <v>B-1</v>
      </c>
      <c r="N261" s="141" t="str">
        <f>IFERROR(__xludf.DUMMYFUNCTION("""COMPUTED_VALUE"""),"The information presented was all very interesting and it linked together very nicely. Seeing the spread maps and specific word influences was very helpful to engage with the research. The speaking style was very frenetic and it took me out occasionally s"&amp;"o maybe work on style in future presentations. ")</f>
        <v>The information presented was all very interesting and it linked together very nicely. Seeing the spread maps and specific word influences was very helpful to engage with the research. The speaking style was very frenetic and it took me out occasionally so maybe work on style in future presentations. </v>
      </c>
      <c r="O261" s="142" t="str">
        <f t="shared" si="1"/>
        <v/>
      </c>
      <c r="P261" s="143" t="str">
        <f>IF(ISNA(VLOOKUP(CONCAT(M261,C261), 'Judge Count DO NOT EDIT'!H:H, 1, FALSE)), "ERROR","")</f>
        <v/>
      </c>
      <c r="Q261" s="141"/>
      <c r="R261" s="143"/>
      <c r="S261" s="139" t="str">
        <f t="shared" si="2"/>
        <v>1077163</v>
      </c>
      <c r="T261" s="141"/>
    </row>
    <row r="262">
      <c r="A262" s="137">
        <f>IFERROR(__xludf.DUMMYFUNCTION("""COMPUTED_VALUE"""),45352.5282500926)</f>
        <v>45352.52825</v>
      </c>
      <c r="B262" s="138" t="str">
        <f>IFERROR(__xludf.DUMMYFUNCTION("""COMPUTED_VALUE"""),"Xiaohan Hu")</f>
        <v>Xiaohan Hu</v>
      </c>
      <c r="C262" s="138">
        <f>IFERROR(__xludf.DUMMYFUNCTION("""COMPUTED_VALUE"""),1048.0)</f>
        <v>1048</v>
      </c>
      <c r="D262" s="139">
        <f>IFERROR(__xludf.DUMMYFUNCTION("""COMPUTED_VALUE"""),163.0)</f>
        <v>163</v>
      </c>
      <c r="E262" s="138">
        <f>IFERROR(__xludf.DUMMYFUNCTION("""COMPUTED_VALUE"""),4.0)</f>
        <v>4</v>
      </c>
      <c r="F262" s="138">
        <f>IFERROR(__xludf.DUMMYFUNCTION("""COMPUTED_VALUE"""),2.0)</f>
        <v>2</v>
      </c>
      <c r="G262" s="138">
        <f>IFERROR(__xludf.DUMMYFUNCTION("""COMPUTED_VALUE"""),4.0)</f>
        <v>4</v>
      </c>
      <c r="H262" s="138">
        <f>IFERROR(__xludf.DUMMYFUNCTION("""COMPUTED_VALUE"""),4.0)</f>
        <v>4</v>
      </c>
      <c r="I262" s="138">
        <f>IFERROR(__xludf.DUMMYFUNCTION("""COMPUTED_VALUE"""),3.0)</f>
        <v>3</v>
      </c>
      <c r="J262" s="138">
        <f>IFERROR(__xludf.DUMMYFUNCTION("""COMPUTED_VALUE"""),4.0)</f>
        <v>4</v>
      </c>
      <c r="K262" s="138">
        <f>IFERROR(__xludf.DUMMYFUNCTION("""COMPUTED_VALUE"""),5.0)</f>
        <v>5</v>
      </c>
      <c r="L262" s="138">
        <v>26.0</v>
      </c>
      <c r="M262" s="140" t="str">
        <f>VLOOKUP(text(D262, "#"),'Master Table'!$A:$F, 6, FALSE)</f>
        <v>B-1</v>
      </c>
      <c r="N262" s="141"/>
      <c r="O262" s="142" t="str">
        <f t="shared" si="1"/>
        <v/>
      </c>
      <c r="P262" s="143" t="str">
        <f>IF(ISNA(VLOOKUP(CONCAT(M262,C262), 'Judge Count DO NOT EDIT'!H:H, 1, FALSE)), "ERROR","")</f>
        <v/>
      </c>
      <c r="Q262" s="141"/>
      <c r="R262" s="143"/>
      <c r="S262" s="139" t="str">
        <f t="shared" si="2"/>
        <v>1048163</v>
      </c>
      <c r="T262" s="141"/>
    </row>
    <row r="263">
      <c r="A263" s="137">
        <f>IFERROR(__xludf.DUMMYFUNCTION("""COMPUTED_VALUE"""),45352.476990034724)</f>
        <v>45352.47699</v>
      </c>
      <c r="B263" s="138" t="str">
        <f>IFERROR(__xludf.DUMMYFUNCTION("""COMPUTED_VALUE"""),"Anthony villarreal")</f>
        <v>Anthony villarreal</v>
      </c>
      <c r="C263" s="138">
        <f>IFERROR(__xludf.DUMMYFUNCTION("""COMPUTED_VALUE"""),1078.0)</f>
        <v>1078</v>
      </c>
      <c r="D263" s="139">
        <f>IFERROR(__xludf.DUMMYFUNCTION("""COMPUTED_VALUE"""),164.0)</f>
        <v>164</v>
      </c>
      <c r="E263" s="138">
        <f>IFERROR(__xludf.DUMMYFUNCTION("""COMPUTED_VALUE"""),4.0)</f>
        <v>4</v>
      </c>
      <c r="F263" s="138">
        <f>IFERROR(__xludf.DUMMYFUNCTION("""COMPUTED_VALUE"""),4.0)</f>
        <v>4</v>
      </c>
      <c r="G263" s="138">
        <f>IFERROR(__xludf.DUMMYFUNCTION("""COMPUTED_VALUE"""),4.0)</f>
        <v>4</v>
      </c>
      <c r="H263" s="138">
        <f>IFERROR(__xludf.DUMMYFUNCTION("""COMPUTED_VALUE"""),3.0)</f>
        <v>3</v>
      </c>
      <c r="I263" s="138">
        <f>IFERROR(__xludf.DUMMYFUNCTION("""COMPUTED_VALUE"""),4.0)</f>
        <v>4</v>
      </c>
      <c r="J263" s="138">
        <f>IFERROR(__xludf.DUMMYFUNCTION("""COMPUTED_VALUE"""),4.0)</f>
        <v>4</v>
      </c>
      <c r="K263" s="138">
        <f>IFERROR(__xludf.DUMMYFUNCTION("""COMPUTED_VALUE"""),4.0)</f>
        <v>4</v>
      </c>
      <c r="L263" s="138">
        <v>27.0</v>
      </c>
      <c r="M263" s="140" t="str">
        <f>VLOOKUP(text(D263, "#"),'Master Table'!$A:$F, 6, FALSE)</f>
        <v>B-2</v>
      </c>
      <c r="N263" s="141" t="str">
        <f>IFERROR(__xludf.DUMMYFUNCTION("""COMPUTED_VALUE"""),"Great presentation of history context and finding a connection to the U.S to makes this relatable. Very clear voice.")</f>
        <v>Great presentation of history context and finding a connection to the U.S to makes this relatable. Very clear voice.</v>
      </c>
      <c r="O263" s="142" t="str">
        <f t="shared" si="1"/>
        <v/>
      </c>
      <c r="P263" s="143" t="str">
        <f>IF(ISNA(VLOOKUP(CONCAT(M263,C263), 'Judge Count DO NOT EDIT'!H:H, 1, FALSE)), "ERROR","")</f>
        <v/>
      </c>
      <c r="Q263" s="141"/>
      <c r="R263" s="143"/>
      <c r="S263" s="139" t="str">
        <f t="shared" si="2"/>
        <v>1078164</v>
      </c>
      <c r="T263" s="141"/>
    </row>
    <row r="264">
      <c r="A264" s="137">
        <f>IFERROR(__xludf.DUMMYFUNCTION("""COMPUTED_VALUE"""),45352.49580256944)</f>
        <v>45352.4958</v>
      </c>
      <c r="B264" s="138" t="str">
        <f>IFERROR(__xludf.DUMMYFUNCTION("""COMPUTED_VALUE"""),"Heidy Mendez-Rodriguez")</f>
        <v>Heidy Mendez-Rodriguez</v>
      </c>
      <c r="C264" s="138">
        <f>IFERROR(__xludf.DUMMYFUNCTION("""COMPUTED_VALUE"""),1174.0)</f>
        <v>1174</v>
      </c>
      <c r="D264" s="139">
        <f>IFERROR(__xludf.DUMMYFUNCTION("""COMPUTED_VALUE"""),164.0)</f>
        <v>164</v>
      </c>
      <c r="E264" s="138">
        <f>IFERROR(__xludf.DUMMYFUNCTION("""COMPUTED_VALUE"""),5.0)</f>
        <v>5</v>
      </c>
      <c r="F264" s="138">
        <f>IFERROR(__xludf.DUMMYFUNCTION("""COMPUTED_VALUE"""),4.0)</f>
        <v>4</v>
      </c>
      <c r="G264" s="138">
        <f>IFERROR(__xludf.DUMMYFUNCTION("""COMPUTED_VALUE"""),4.0)</f>
        <v>4</v>
      </c>
      <c r="H264" s="138">
        <f>IFERROR(__xludf.DUMMYFUNCTION("""COMPUTED_VALUE"""),3.0)</f>
        <v>3</v>
      </c>
      <c r="I264" s="138">
        <f>IFERROR(__xludf.DUMMYFUNCTION("""COMPUTED_VALUE"""),5.0)</f>
        <v>5</v>
      </c>
      <c r="J264" s="138">
        <f>IFERROR(__xludf.DUMMYFUNCTION("""COMPUTED_VALUE"""),5.0)</f>
        <v>5</v>
      </c>
      <c r="K264" s="138">
        <f>IFERROR(__xludf.DUMMYFUNCTION("""COMPUTED_VALUE"""),5.0)</f>
        <v>5</v>
      </c>
      <c r="L264" s="138">
        <v>31.0</v>
      </c>
      <c r="M264" s="140" t="str">
        <f>VLOOKUP(text(D264, "#"),'Master Table'!$A:$F, 6, FALSE)</f>
        <v>B-2</v>
      </c>
      <c r="N264" s="141" t="str">
        <f>IFERROR(__xludf.DUMMYFUNCTION("""COMPUTED_VALUE"""),"The presentation was great! The presenter was so clear and well-spoken. Their passion for the study came across so clearly and it was evident they put a lot of time into their work.  Next time it world be wonderful to hear what future directions the stude"&amp;"nt envisions to further research this topic. ")</f>
        <v>The presentation was great! The presenter was so clear and well-spoken. Their passion for the study came across so clearly and it was evident they put a lot of time into their work.  Next time it world be wonderful to hear what future directions the student envisions to further research this topic. </v>
      </c>
      <c r="O264" s="142" t="str">
        <f t="shared" si="1"/>
        <v/>
      </c>
      <c r="P264" s="143" t="str">
        <f>IF(ISNA(VLOOKUP(CONCAT(M264,C264), 'Judge Count DO NOT EDIT'!H:H, 1, FALSE)), "ERROR","")</f>
        <v/>
      </c>
      <c r="Q264" s="141"/>
      <c r="R264" s="143"/>
      <c r="S264" s="139" t="str">
        <f t="shared" si="2"/>
        <v>1174164</v>
      </c>
      <c r="T264" s="141"/>
    </row>
    <row r="265">
      <c r="A265" s="137">
        <f>IFERROR(__xludf.DUMMYFUNCTION("""COMPUTED_VALUE"""),45352.8526390162)</f>
        <v>45352.85264</v>
      </c>
      <c r="B265" s="138" t="str">
        <f>IFERROR(__xludf.DUMMYFUNCTION("""COMPUTED_VALUE"""),"Jules Bunn")</f>
        <v>Jules Bunn</v>
      </c>
      <c r="C265" s="138">
        <f>IFERROR(__xludf.DUMMYFUNCTION("""COMPUTED_VALUE"""),1084.0)</f>
        <v>1084</v>
      </c>
      <c r="D265" s="139">
        <f>IFERROR(__xludf.DUMMYFUNCTION("""COMPUTED_VALUE"""),164.0)</f>
        <v>164</v>
      </c>
      <c r="E265" s="138">
        <f>IFERROR(__xludf.DUMMYFUNCTION("""COMPUTED_VALUE"""),3.0)</f>
        <v>3</v>
      </c>
      <c r="F265" s="138">
        <f>IFERROR(__xludf.DUMMYFUNCTION("""COMPUTED_VALUE"""),4.0)</f>
        <v>4</v>
      </c>
      <c r="G265" s="138">
        <f>IFERROR(__xludf.DUMMYFUNCTION("""COMPUTED_VALUE"""),3.0)</f>
        <v>3</v>
      </c>
      <c r="H265" s="138">
        <f>IFERROR(__xludf.DUMMYFUNCTION("""COMPUTED_VALUE"""),4.0)</f>
        <v>4</v>
      </c>
      <c r="I265" s="138">
        <f>IFERROR(__xludf.DUMMYFUNCTION("""COMPUTED_VALUE"""),3.0)</f>
        <v>3</v>
      </c>
      <c r="J265" s="138">
        <f>IFERROR(__xludf.DUMMYFUNCTION("""COMPUTED_VALUE"""),3.0)</f>
        <v>3</v>
      </c>
      <c r="K265" s="138">
        <f>IFERROR(__xludf.DUMMYFUNCTION("""COMPUTED_VALUE"""),4.0)</f>
        <v>4</v>
      </c>
      <c r="L265" s="138">
        <v>24.0</v>
      </c>
      <c r="M265" s="140" t="str">
        <f>VLOOKUP(text(D265, "#"),'Master Table'!$A:$F, 6, FALSE)</f>
        <v>B-2</v>
      </c>
      <c r="N265" s="141"/>
      <c r="O265" s="142" t="str">
        <f t="shared" si="1"/>
        <v/>
      </c>
      <c r="P265" s="143" t="str">
        <f>IF(ISNA(VLOOKUP(CONCAT(M265,C265), 'Judge Count DO NOT EDIT'!H:H, 1, FALSE)), "ERROR","")</f>
        <v/>
      </c>
      <c r="Q265" s="141"/>
      <c r="R265" s="143"/>
      <c r="S265" s="139" t="str">
        <f t="shared" si="2"/>
        <v>1084164</v>
      </c>
      <c r="T265" s="141"/>
    </row>
    <row r="266">
      <c r="A266" s="137">
        <f>IFERROR(__xludf.DUMMYFUNCTION("""COMPUTED_VALUE"""),45352.49050234954)</f>
        <v>45352.4905</v>
      </c>
      <c r="B266" s="138" t="str">
        <f>IFERROR(__xludf.DUMMYFUNCTION("""COMPUTED_VALUE"""),"Anthony villarreal")</f>
        <v>Anthony villarreal</v>
      </c>
      <c r="C266" s="138">
        <f>IFERROR(__xludf.DUMMYFUNCTION("""COMPUTED_VALUE"""),1078.0)</f>
        <v>1078</v>
      </c>
      <c r="D266" s="139">
        <f>IFERROR(__xludf.DUMMYFUNCTION("""COMPUTED_VALUE"""),165.0)</f>
        <v>165</v>
      </c>
      <c r="E266" s="138">
        <f>IFERROR(__xludf.DUMMYFUNCTION("""COMPUTED_VALUE"""),5.0)</f>
        <v>5</v>
      </c>
      <c r="F266" s="138">
        <f>IFERROR(__xludf.DUMMYFUNCTION("""COMPUTED_VALUE"""),4.0)</f>
        <v>4</v>
      </c>
      <c r="G266" s="138">
        <f>IFERROR(__xludf.DUMMYFUNCTION("""COMPUTED_VALUE"""),4.0)</f>
        <v>4</v>
      </c>
      <c r="H266" s="138">
        <f>IFERROR(__xludf.DUMMYFUNCTION("""COMPUTED_VALUE"""),5.0)</f>
        <v>5</v>
      </c>
      <c r="I266" s="138">
        <f>IFERROR(__xludf.DUMMYFUNCTION("""COMPUTED_VALUE"""),5.0)</f>
        <v>5</v>
      </c>
      <c r="J266" s="138">
        <f>IFERROR(__xludf.DUMMYFUNCTION("""COMPUTED_VALUE"""),5.0)</f>
        <v>5</v>
      </c>
      <c r="K266" s="138">
        <f>IFERROR(__xludf.DUMMYFUNCTION("""COMPUTED_VALUE"""),5.0)</f>
        <v>5</v>
      </c>
      <c r="L266" s="138">
        <v>33.0</v>
      </c>
      <c r="M266" s="140" t="str">
        <f>VLOOKUP(text(D266, "#"),'Master Table'!$A:$F, 6, FALSE)</f>
        <v>B-2</v>
      </c>
      <c r="N266" s="141" t="str">
        <f>IFERROR(__xludf.DUMMYFUNCTION("""COMPUTED_VALUE"""),"Great description of conocimiento and breaking it down for the audience. Interaction with audience was excellent.")</f>
        <v>Great description of conocimiento and breaking it down for the audience. Interaction with audience was excellent.</v>
      </c>
      <c r="O266" s="142" t="str">
        <f t="shared" si="1"/>
        <v/>
      </c>
      <c r="P266" s="143" t="str">
        <f>IF(ISNA(VLOOKUP(CONCAT(M266,C266), 'Judge Count DO NOT EDIT'!H:H, 1, FALSE)), "ERROR","")</f>
        <v/>
      </c>
      <c r="Q266" s="144"/>
      <c r="R266" s="143"/>
      <c r="S266" s="139" t="str">
        <f t="shared" si="2"/>
        <v>1078165</v>
      </c>
      <c r="T266" s="141"/>
    </row>
    <row r="267">
      <c r="A267" s="137">
        <f>IFERROR(__xludf.DUMMYFUNCTION("""COMPUTED_VALUE"""),45352.53309493056)</f>
        <v>45352.53309</v>
      </c>
      <c r="B267" s="138" t="str">
        <f>IFERROR(__xludf.DUMMYFUNCTION("""COMPUTED_VALUE"""),"Heidy Mendez-Rodriguez")</f>
        <v>Heidy Mendez-Rodriguez</v>
      </c>
      <c r="C267" s="138">
        <f>IFERROR(__xludf.DUMMYFUNCTION("""COMPUTED_VALUE"""),1174.0)</f>
        <v>1174</v>
      </c>
      <c r="D267" s="139">
        <f>IFERROR(__xludf.DUMMYFUNCTION("""COMPUTED_VALUE"""),165.0)</f>
        <v>165</v>
      </c>
      <c r="E267" s="138">
        <f>IFERROR(__xludf.DUMMYFUNCTION("""COMPUTED_VALUE"""),3.0)</f>
        <v>3</v>
      </c>
      <c r="F267" s="138">
        <f>IFERROR(__xludf.DUMMYFUNCTION("""COMPUTED_VALUE"""),4.0)</f>
        <v>4</v>
      </c>
      <c r="G267" s="138">
        <f>IFERROR(__xludf.DUMMYFUNCTION("""COMPUTED_VALUE"""),3.0)</f>
        <v>3</v>
      </c>
      <c r="H267" s="138">
        <f>IFERROR(__xludf.DUMMYFUNCTION("""COMPUTED_VALUE"""),3.0)</f>
        <v>3</v>
      </c>
      <c r="I267" s="138">
        <f>IFERROR(__xludf.DUMMYFUNCTION("""COMPUTED_VALUE"""),4.0)</f>
        <v>4</v>
      </c>
      <c r="J267" s="138">
        <f>IFERROR(__xludf.DUMMYFUNCTION("""COMPUTED_VALUE"""),4.0)</f>
        <v>4</v>
      </c>
      <c r="K267" s="138">
        <f>IFERROR(__xludf.DUMMYFUNCTION("""COMPUTED_VALUE"""),5.0)</f>
        <v>5</v>
      </c>
      <c r="L267" s="138">
        <v>26.0</v>
      </c>
      <c r="M267" s="140" t="str">
        <f>VLOOKUP(text(D267, "#"),'Master Table'!$A:$F, 6, FALSE)</f>
        <v>B-2</v>
      </c>
      <c r="N267" s="141" t="str">
        <f>IFERROR(__xludf.DUMMYFUNCTION("""COMPUTED_VALUE"""),"If was a great presentation! The presenter had great stage presence and their passion for the project was very clear.  Given the wonderful cultural relevance of the study,  it would have been great to hear about the impact this work could have and how the"&amp;" student would envision using the platica methodology outside of their personal networks. ")</f>
        <v>If was a great presentation! The presenter had great stage presence and their passion for the project was very clear.  Given the wonderful cultural relevance of the study,  it would have been great to hear about the impact this work could have and how the student would envision using the platica methodology outside of their personal networks. </v>
      </c>
      <c r="O267" s="142" t="str">
        <f t="shared" si="1"/>
        <v/>
      </c>
      <c r="P267" s="143" t="str">
        <f>IF(ISNA(VLOOKUP(CONCAT(M267,C267), 'Judge Count DO NOT EDIT'!H:H, 1, FALSE)), "ERROR","")</f>
        <v/>
      </c>
      <c r="Q267" s="141"/>
      <c r="R267" s="143"/>
      <c r="S267" s="139" t="str">
        <f t="shared" si="2"/>
        <v>1174165</v>
      </c>
      <c r="T267" s="141"/>
    </row>
    <row r="268">
      <c r="A268" s="137">
        <f>IFERROR(__xludf.DUMMYFUNCTION("""COMPUTED_VALUE"""),45352.57989797454)</f>
        <v>45352.5799</v>
      </c>
      <c r="B268" s="138" t="str">
        <f>IFERROR(__xludf.DUMMYFUNCTION("""COMPUTED_VALUE"""),"Charmane Perry")</f>
        <v>Charmane Perry</v>
      </c>
      <c r="C268" s="138">
        <f>IFERROR(__xludf.DUMMYFUNCTION("""COMPUTED_VALUE"""),1089.0)</f>
        <v>1089</v>
      </c>
      <c r="D268" s="139">
        <f>IFERROR(__xludf.DUMMYFUNCTION("""COMPUTED_VALUE"""),165.0)</f>
        <v>165</v>
      </c>
      <c r="E268" s="138">
        <f>IFERROR(__xludf.DUMMYFUNCTION("""COMPUTED_VALUE"""),4.0)</f>
        <v>4</v>
      </c>
      <c r="F268" s="138">
        <f>IFERROR(__xludf.DUMMYFUNCTION("""COMPUTED_VALUE"""),4.0)</f>
        <v>4</v>
      </c>
      <c r="G268" s="138">
        <f>IFERROR(__xludf.DUMMYFUNCTION("""COMPUTED_VALUE"""),4.0)</f>
        <v>4</v>
      </c>
      <c r="H268" s="138">
        <f>IFERROR(__xludf.DUMMYFUNCTION("""COMPUTED_VALUE"""),5.0)</f>
        <v>5</v>
      </c>
      <c r="I268" s="138">
        <f>IFERROR(__xludf.DUMMYFUNCTION("""COMPUTED_VALUE"""),4.0)</f>
        <v>4</v>
      </c>
      <c r="J268" s="138">
        <f>IFERROR(__xludf.DUMMYFUNCTION("""COMPUTED_VALUE"""),4.0)</f>
        <v>4</v>
      </c>
      <c r="K268" s="138">
        <f>IFERROR(__xludf.DUMMYFUNCTION("""COMPUTED_VALUE"""),5.0)</f>
        <v>5</v>
      </c>
      <c r="L268" s="138">
        <v>30.0</v>
      </c>
      <c r="M268" s="140" t="str">
        <f>VLOOKUP(text(D268, "#"),'Master Table'!$A:$F, 6, FALSE)</f>
        <v>B-2</v>
      </c>
      <c r="N268" s="141" t="str">
        <f>IFERROR(__xludf.DUMMYFUNCTION("""COMPUTED_VALUE"""),"Jenae's presentation was quite interesting. I appreciated the use of a culturally specific framework to approach her research. Wishing her the best of luck with grad school and hope to read her work in the future. Her last research question about love as "&amp;"a resource is really interesting.")</f>
        <v>Jenae's presentation was quite interesting. I appreciated the use of a culturally specific framework to approach her research. Wishing her the best of luck with grad school and hope to read her work in the future. Her last research question about love as a resource is really interesting.</v>
      </c>
      <c r="O268" s="142" t="str">
        <f t="shared" si="1"/>
        <v/>
      </c>
      <c r="P268" s="143" t="str">
        <f>IF(ISNA(VLOOKUP(CONCAT(M268,C268), 'Judge Count DO NOT EDIT'!H:H, 1, FALSE)), "ERROR","")</f>
        <v/>
      </c>
      <c r="Q268" s="141"/>
      <c r="R268" s="143"/>
      <c r="S268" s="139" t="str">
        <f t="shared" si="2"/>
        <v>1089165</v>
      </c>
      <c r="T268" s="141"/>
    </row>
    <row r="269">
      <c r="A269" s="137">
        <f>IFERROR(__xludf.DUMMYFUNCTION("""COMPUTED_VALUE"""),45352.85389407407)</f>
        <v>45352.85389</v>
      </c>
      <c r="B269" s="138" t="str">
        <f>IFERROR(__xludf.DUMMYFUNCTION("""COMPUTED_VALUE"""),"Jules Bunn")</f>
        <v>Jules Bunn</v>
      </c>
      <c r="C269" s="138">
        <f>IFERROR(__xludf.DUMMYFUNCTION("""COMPUTED_VALUE"""),1084.0)</f>
        <v>1084</v>
      </c>
      <c r="D269" s="139">
        <f>IFERROR(__xludf.DUMMYFUNCTION("""COMPUTED_VALUE"""),165.0)</f>
        <v>165</v>
      </c>
      <c r="E269" s="138">
        <f>IFERROR(__xludf.DUMMYFUNCTION("""COMPUTED_VALUE"""),4.0)</f>
        <v>4</v>
      </c>
      <c r="F269" s="138">
        <f>IFERROR(__xludf.DUMMYFUNCTION("""COMPUTED_VALUE"""),4.0)</f>
        <v>4</v>
      </c>
      <c r="G269" s="138">
        <f>IFERROR(__xludf.DUMMYFUNCTION("""COMPUTED_VALUE"""),3.0)</f>
        <v>3</v>
      </c>
      <c r="H269" s="138">
        <f>IFERROR(__xludf.DUMMYFUNCTION("""COMPUTED_VALUE"""),3.0)</f>
        <v>3</v>
      </c>
      <c r="I269" s="138">
        <f>IFERROR(__xludf.DUMMYFUNCTION("""COMPUTED_VALUE"""),3.0)</f>
        <v>3</v>
      </c>
      <c r="J269" s="138">
        <f>IFERROR(__xludf.DUMMYFUNCTION("""COMPUTED_VALUE"""),4.0)</f>
        <v>4</v>
      </c>
      <c r="K269" s="138">
        <f>IFERROR(__xludf.DUMMYFUNCTION("""COMPUTED_VALUE"""),3.0)</f>
        <v>3</v>
      </c>
      <c r="L269" s="138">
        <v>24.0</v>
      </c>
      <c r="M269" s="140" t="str">
        <f>VLOOKUP(text(D269, "#"),'Master Table'!$A:$F, 6, FALSE)</f>
        <v>B-2</v>
      </c>
      <c r="N269" s="141"/>
      <c r="O269" s="142" t="str">
        <f t="shared" si="1"/>
        <v/>
      </c>
      <c r="P269" s="143" t="str">
        <f>IF(ISNA(VLOOKUP(CONCAT(M269,C269), 'Judge Count DO NOT EDIT'!H:H, 1, FALSE)), "ERROR","")</f>
        <v/>
      </c>
      <c r="Q269" s="141"/>
      <c r="R269" s="143"/>
      <c r="S269" s="139" t="str">
        <f t="shared" si="2"/>
        <v>1084165</v>
      </c>
      <c r="T269" s="141"/>
    </row>
    <row r="270">
      <c r="A270" s="137">
        <f>IFERROR(__xludf.DUMMYFUNCTION("""COMPUTED_VALUE"""),45352.511157615736)</f>
        <v>45352.51116</v>
      </c>
      <c r="B270" s="138" t="str">
        <f>IFERROR(__xludf.DUMMYFUNCTION("""COMPUTED_VALUE"""),"anthony villarreal")</f>
        <v>anthony villarreal</v>
      </c>
      <c r="C270" s="138">
        <f>IFERROR(__xludf.DUMMYFUNCTION("""COMPUTED_VALUE"""),1078.0)</f>
        <v>1078</v>
      </c>
      <c r="D270" s="139">
        <f>IFERROR(__xludf.DUMMYFUNCTION("""COMPUTED_VALUE"""),167.0)</f>
        <v>167</v>
      </c>
      <c r="E270" s="138">
        <f>IFERROR(__xludf.DUMMYFUNCTION("""COMPUTED_VALUE"""),4.0)</f>
        <v>4</v>
      </c>
      <c r="F270" s="138">
        <f>IFERROR(__xludf.DUMMYFUNCTION("""COMPUTED_VALUE"""),5.0)</f>
        <v>5</v>
      </c>
      <c r="G270" s="138">
        <f>IFERROR(__xludf.DUMMYFUNCTION("""COMPUTED_VALUE"""),5.0)</f>
        <v>5</v>
      </c>
      <c r="H270" s="138">
        <f>IFERROR(__xludf.DUMMYFUNCTION("""COMPUTED_VALUE"""),5.0)</f>
        <v>5</v>
      </c>
      <c r="I270" s="138">
        <f>IFERROR(__xludf.DUMMYFUNCTION("""COMPUTED_VALUE"""),4.0)</f>
        <v>4</v>
      </c>
      <c r="J270" s="138">
        <f>IFERROR(__xludf.DUMMYFUNCTION("""COMPUTED_VALUE"""),4.0)</f>
        <v>4</v>
      </c>
      <c r="K270" s="138">
        <f>IFERROR(__xludf.DUMMYFUNCTION("""COMPUTED_VALUE"""),4.0)</f>
        <v>4</v>
      </c>
      <c r="L270" s="138">
        <v>31.0</v>
      </c>
      <c r="M270" s="140" t="str">
        <f>VLOOKUP(text(D270, "#"),'Master Table'!$A:$F, 6, FALSE)</f>
        <v>B-2</v>
      </c>
      <c r="N270" s="141" t="str">
        <f>IFERROR(__xludf.DUMMYFUNCTION("""COMPUTED_VALUE"""),"Great explanation of presentation. Good use of walking up to the board to point at specifics parts of presentation and further explanation.  Really good use of mixed methods.")</f>
        <v>Great explanation of presentation. Good use of walking up to the board to point at specifics parts of presentation and further explanation.  Really good use of mixed methods.</v>
      </c>
      <c r="O270" s="142" t="str">
        <f t="shared" si="1"/>
        <v/>
      </c>
      <c r="P270" s="143" t="str">
        <f>IF(ISNA(VLOOKUP(CONCAT(M270,C270), 'Judge Count DO NOT EDIT'!H:H, 1, FALSE)), "ERROR","")</f>
        <v/>
      </c>
      <c r="Q270" s="141"/>
      <c r="R270" s="143"/>
      <c r="S270" s="139" t="str">
        <f t="shared" si="2"/>
        <v>1078167</v>
      </c>
      <c r="T270" s="141"/>
    </row>
    <row r="271">
      <c r="A271" s="137">
        <f>IFERROR(__xludf.DUMMYFUNCTION("""COMPUTED_VALUE"""),45352.53893116898)</f>
        <v>45352.53893</v>
      </c>
      <c r="B271" s="138" t="str">
        <f>IFERROR(__xludf.DUMMYFUNCTION("""COMPUTED_VALUE"""),"Heidy Mendez-Rodriguez")</f>
        <v>Heidy Mendez-Rodriguez</v>
      </c>
      <c r="C271" s="138">
        <f>IFERROR(__xludf.DUMMYFUNCTION("""COMPUTED_VALUE"""),1174.0)</f>
        <v>1174</v>
      </c>
      <c r="D271" s="139">
        <f>IFERROR(__xludf.DUMMYFUNCTION("""COMPUTED_VALUE"""),167.0)</f>
        <v>167</v>
      </c>
      <c r="E271" s="138">
        <f>IFERROR(__xludf.DUMMYFUNCTION("""COMPUTED_VALUE"""),4.0)</f>
        <v>4</v>
      </c>
      <c r="F271" s="138">
        <f>IFERROR(__xludf.DUMMYFUNCTION("""COMPUTED_VALUE"""),5.0)</f>
        <v>5</v>
      </c>
      <c r="G271" s="138">
        <f>IFERROR(__xludf.DUMMYFUNCTION("""COMPUTED_VALUE"""),4.0)</f>
        <v>4</v>
      </c>
      <c r="H271" s="138">
        <f>IFERROR(__xludf.DUMMYFUNCTION("""COMPUTED_VALUE"""),5.0)</f>
        <v>5</v>
      </c>
      <c r="I271" s="138">
        <f>IFERROR(__xludf.DUMMYFUNCTION("""COMPUTED_VALUE"""),3.0)</f>
        <v>3</v>
      </c>
      <c r="J271" s="138">
        <f>IFERROR(__xludf.DUMMYFUNCTION("""COMPUTED_VALUE"""),4.0)</f>
        <v>4</v>
      </c>
      <c r="K271" s="138">
        <f>IFERROR(__xludf.DUMMYFUNCTION("""COMPUTED_VALUE"""),3.0)</f>
        <v>3</v>
      </c>
      <c r="L271" s="138">
        <v>28.0</v>
      </c>
      <c r="M271" s="140" t="str">
        <f>VLOOKUP(text(D271, "#"),'Master Table'!$A:$F, 6, FALSE)</f>
        <v>B-2</v>
      </c>
      <c r="N271" s="141" t="str">
        <f>IFERROR(__xludf.DUMMYFUNCTION("""COMPUTED_VALUE"""),"The methodology of this study was so impressive! And it was evident the team put so much work into researching and producing results for the study. Would love the presenters to have had stronger engagement with the audience, as well as telling us how they"&amp;" would want these studies to give back to the community and the environment.  ")</f>
        <v>The methodology of this study was so impressive! And it was evident the team put so much work into researching and producing results for the study. Would love the presenters to have had stronger engagement with the audience, as well as telling us how they would want these studies to give back to the community and the environment.  </v>
      </c>
      <c r="O271" s="142" t="str">
        <f t="shared" si="1"/>
        <v/>
      </c>
      <c r="P271" s="143" t="str">
        <f>IF(ISNA(VLOOKUP(CONCAT(M271,C271), 'Judge Count DO NOT EDIT'!H:H, 1, FALSE)), "ERROR","")</f>
        <v/>
      </c>
      <c r="Q271" s="141"/>
      <c r="R271" s="143"/>
      <c r="S271" s="139" t="str">
        <f t="shared" si="2"/>
        <v>1174167</v>
      </c>
      <c r="T271" s="141"/>
    </row>
    <row r="272">
      <c r="A272" s="137">
        <f>IFERROR(__xludf.DUMMYFUNCTION("""COMPUTED_VALUE"""),45352.58121671296)</f>
        <v>45352.58122</v>
      </c>
      <c r="B272" s="138" t="str">
        <f>IFERROR(__xludf.DUMMYFUNCTION("""COMPUTED_VALUE"""),"Charmane Perry")</f>
        <v>Charmane Perry</v>
      </c>
      <c r="C272" s="138">
        <f>IFERROR(__xludf.DUMMYFUNCTION("""COMPUTED_VALUE"""),1089.0)</f>
        <v>1089</v>
      </c>
      <c r="D272" s="139">
        <f>IFERROR(__xludf.DUMMYFUNCTION("""COMPUTED_VALUE"""),167.0)</f>
        <v>167</v>
      </c>
      <c r="E272" s="138">
        <f>IFERROR(__xludf.DUMMYFUNCTION("""COMPUTED_VALUE"""),4.0)</f>
        <v>4</v>
      </c>
      <c r="F272" s="138">
        <f>IFERROR(__xludf.DUMMYFUNCTION("""COMPUTED_VALUE"""),4.0)</f>
        <v>4</v>
      </c>
      <c r="G272" s="138">
        <f>IFERROR(__xludf.DUMMYFUNCTION("""COMPUTED_VALUE"""),4.0)</f>
        <v>4</v>
      </c>
      <c r="H272" s="138">
        <f>IFERROR(__xludf.DUMMYFUNCTION("""COMPUTED_VALUE"""),4.0)</f>
        <v>4</v>
      </c>
      <c r="I272" s="138">
        <f>IFERROR(__xludf.DUMMYFUNCTION("""COMPUTED_VALUE"""),3.0)</f>
        <v>3</v>
      </c>
      <c r="J272" s="138">
        <f>IFERROR(__xludf.DUMMYFUNCTION("""COMPUTED_VALUE"""),3.0)</f>
        <v>3</v>
      </c>
      <c r="K272" s="138">
        <f>IFERROR(__xludf.DUMMYFUNCTION("""COMPUTED_VALUE"""),4.0)</f>
        <v>4</v>
      </c>
      <c r="L272" s="138">
        <v>26.0</v>
      </c>
      <c r="M272" s="140" t="str">
        <f>VLOOKUP(text(D272, "#"),'Master Table'!$A:$F, 6, FALSE)</f>
        <v>B-2</v>
      </c>
      <c r="N272" s="141" t="str">
        <f>IFERROR(__xludf.DUMMYFUNCTION("""COMPUTED_VALUE"""),"Very interesting and important topic.")</f>
        <v>Very interesting and important topic.</v>
      </c>
      <c r="O272" s="142" t="str">
        <f t="shared" si="1"/>
        <v/>
      </c>
      <c r="P272" s="143" t="str">
        <f>IF(ISNA(VLOOKUP(CONCAT(M272,C272), 'Judge Count DO NOT EDIT'!H:H, 1, FALSE)), "ERROR","")</f>
        <v/>
      </c>
      <c r="Q272" s="141"/>
      <c r="R272" s="143"/>
      <c r="S272" s="139" t="str">
        <f t="shared" si="2"/>
        <v>1089167</v>
      </c>
      <c r="T272" s="141"/>
    </row>
    <row r="273">
      <c r="A273" s="137">
        <f>IFERROR(__xludf.DUMMYFUNCTION("""COMPUTED_VALUE"""),45352.85445222222)</f>
        <v>45352.85445</v>
      </c>
      <c r="B273" s="138" t="str">
        <f>IFERROR(__xludf.DUMMYFUNCTION("""COMPUTED_VALUE"""),"Jules Bunn")</f>
        <v>Jules Bunn</v>
      </c>
      <c r="C273" s="138">
        <f>IFERROR(__xludf.DUMMYFUNCTION("""COMPUTED_VALUE"""),1084.0)</f>
        <v>1084</v>
      </c>
      <c r="D273" s="139">
        <f>IFERROR(__xludf.DUMMYFUNCTION("""COMPUTED_VALUE"""),167.0)</f>
        <v>167</v>
      </c>
      <c r="E273" s="138">
        <f>IFERROR(__xludf.DUMMYFUNCTION("""COMPUTED_VALUE"""),4.0)</f>
        <v>4</v>
      </c>
      <c r="F273" s="138">
        <f>IFERROR(__xludf.DUMMYFUNCTION("""COMPUTED_VALUE"""),4.0)</f>
        <v>4</v>
      </c>
      <c r="G273" s="138">
        <f>IFERROR(__xludf.DUMMYFUNCTION("""COMPUTED_VALUE"""),2.0)</f>
        <v>2</v>
      </c>
      <c r="H273" s="138">
        <f>IFERROR(__xludf.DUMMYFUNCTION("""COMPUTED_VALUE"""),3.0)</f>
        <v>3</v>
      </c>
      <c r="I273" s="138">
        <f>IFERROR(__xludf.DUMMYFUNCTION("""COMPUTED_VALUE"""),4.0)</f>
        <v>4</v>
      </c>
      <c r="J273" s="138">
        <f>IFERROR(__xludf.DUMMYFUNCTION("""COMPUTED_VALUE"""),4.0)</f>
        <v>4</v>
      </c>
      <c r="K273" s="138">
        <f>IFERROR(__xludf.DUMMYFUNCTION("""COMPUTED_VALUE"""),4.0)</f>
        <v>4</v>
      </c>
      <c r="L273" s="138">
        <v>25.0</v>
      </c>
      <c r="M273" s="140" t="str">
        <f>VLOOKUP(text(D273, "#"),'Master Table'!$A:$F, 6, FALSE)</f>
        <v>B-2</v>
      </c>
      <c r="N273" s="141"/>
      <c r="O273" s="142" t="str">
        <f t="shared" si="1"/>
        <v/>
      </c>
      <c r="P273" s="143" t="str">
        <f>IF(ISNA(VLOOKUP(CONCAT(M273,C273), 'Judge Count DO NOT EDIT'!H:H, 1, FALSE)), "ERROR","")</f>
        <v/>
      </c>
      <c r="Q273" s="141"/>
      <c r="R273" s="143"/>
      <c r="S273" s="139" t="str">
        <f t="shared" si="2"/>
        <v>1084167</v>
      </c>
      <c r="T273" s="141"/>
    </row>
    <row r="274">
      <c r="A274" s="137">
        <f>IFERROR(__xludf.DUMMYFUNCTION("""COMPUTED_VALUE"""),45352.52134690972)</f>
        <v>45352.52135</v>
      </c>
      <c r="B274" s="138" t="str">
        <f>IFERROR(__xludf.DUMMYFUNCTION("""COMPUTED_VALUE"""),"Anthony villarreal")</f>
        <v>Anthony villarreal</v>
      </c>
      <c r="C274" s="138">
        <f>IFERROR(__xludf.DUMMYFUNCTION("""COMPUTED_VALUE"""),1078.0)</f>
        <v>1078</v>
      </c>
      <c r="D274" s="139">
        <f>IFERROR(__xludf.DUMMYFUNCTION("""COMPUTED_VALUE"""),168.0)</f>
        <v>168</v>
      </c>
      <c r="E274" s="138">
        <f>IFERROR(__xludf.DUMMYFUNCTION("""COMPUTED_VALUE"""),5.0)</f>
        <v>5</v>
      </c>
      <c r="F274" s="138">
        <f>IFERROR(__xludf.DUMMYFUNCTION("""COMPUTED_VALUE"""),4.0)</f>
        <v>4</v>
      </c>
      <c r="G274" s="138">
        <f>IFERROR(__xludf.DUMMYFUNCTION("""COMPUTED_VALUE"""),4.0)</f>
        <v>4</v>
      </c>
      <c r="H274" s="138">
        <f>IFERROR(__xludf.DUMMYFUNCTION("""COMPUTED_VALUE"""),5.0)</f>
        <v>5</v>
      </c>
      <c r="I274" s="138">
        <f>IFERROR(__xludf.DUMMYFUNCTION("""COMPUTED_VALUE"""),5.0)</f>
        <v>5</v>
      </c>
      <c r="J274" s="138">
        <f>IFERROR(__xludf.DUMMYFUNCTION("""COMPUTED_VALUE"""),5.0)</f>
        <v>5</v>
      </c>
      <c r="K274" s="138">
        <f>IFERROR(__xludf.DUMMYFUNCTION("""COMPUTED_VALUE"""),5.0)</f>
        <v>5</v>
      </c>
      <c r="L274" s="138">
        <v>33.0</v>
      </c>
      <c r="M274" s="140" t="str">
        <f>VLOOKUP(text(D274, "#"),'Master Table'!$A:$F, 6, FALSE)</f>
        <v>B-2</v>
      </c>
      <c r="N274" s="141" t="str">
        <f>IFERROR(__xludf.DUMMYFUNCTION("""COMPUTED_VALUE"""),"Presenter seem like a natural. Great topic and had the audience think about the impact of feeding wildlife animals ")</f>
        <v>Presenter seem like a natural. Great topic and had the audience think about the impact of feeding wildlife animals </v>
      </c>
      <c r="O274" s="142" t="str">
        <f t="shared" si="1"/>
        <v/>
      </c>
      <c r="P274" s="143" t="str">
        <f>IF(ISNA(VLOOKUP(CONCAT(M274,C274), 'Judge Count DO NOT EDIT'!H:H, 1, FALSE)), "ERROR","")</f>
        <v/>
      </c>
      <c r="Q274" s="141"/>
      <c r="R274" s="143"/>
      <c r="S274" s="139" t="str">
        <f t="shared" si="2"/>
        <v>1078168</v>
      </c>
      <c r="T274" s="141"/>
    </row>
    <row r="275">
      <c r="A275" s="137">
        <f>IFERROR(__xludf.DUMMYFUNCTION("""COMPUTED_VALUE"""),45352.54414435185)</f>
        <v>45352.54414</v>
      </c>
      <c r="B275" s="138" t="str">
        <f>IFERROR(__xludf.DUMMYFUNCTION("""COMPUTED_VALUE"""),"Heidy Mendez-Rodriguez")</f>
        <v>Heidy Mendez-Rodriguez</v>
      </c>
      <c r="C275" s="138">
        <f>IFERROR(__xludf.DUMMYFUNCTION("""COMPUTED_VALUE"""),1174.0)</f>
        <v>1174</v>
      </c>
      <c r="D275" s="139">
        <f>IFERROR(__xludf.DUMMYFUNCTION("""COMPUTED_VALUE"""),168.0)</f>
        <v>168</v>
      </c>
      <c r="E275" s="138">
        <f>IFERROR(__xludf.DUMMYFUNCTION("""COMPUTED_VALUE"""),5.0)</f>
        <v>5</v>
      </c>
      <c r="F275" s="138">
        <f>IFERROR(__xludf.DUMMYFUNCTION("""COMPUTED_VALUE"""),5.0)</f>
        <v>5</v>
      </c>
      <c r="G275" s="138">
        <f>IFERROR(__xludf.DUMMYFUNCTION("""COMPUTED_VALUE"""),4.0)</f>
        <v>4</v>
      </c>
      <c r="H275" s="138">
        <f>IFERROR(__xludf.DUMMYFUNCTION("""COMPUTED_VALUE"""),5.0)</f>
        <v>5</v>
      </c>
      <c r="I275" s="138">
        <f>IFERROR(__xludf.DUMMYFUNCTION("""COMPUTED_VALUE"""),5.0)</f>
        <v>5</v>
      </c>
      <c r="J275" s="138">
        <f>IFERROR(__xludf.DUMMYFUNCTION("""COMPUTED_VALUE"""),4.0)</f>
        <v>4</v>
      </c>
      <c r="K275" s="138">
        <f>IFERROR(__xludf.DUMMYFUNCTION("""COMPUTED_VALUE"""),4.0)</f>
        <v>4</v>
      </c>
      <c r="L275" s="138">
        <v>32.0</v>
      </c>
      <c r="M275" s="140" t="str">
        <f>VLOOKUP(text(D275, "#"),'Master Table'!$A:$F, 6, FALSE)</f>
        <v>B-2</v>
      </c>
      <c r="N275" s="141" t="str">
        <f>IFERROR(__xludf.DUMMYFUNCTION("""COMPUTED_VALUE"""),"The study was so impressive and fascinating! The dedication, time and effort the student put into the study was so clear.  The commitment to scientific integrity The student discussed was also great to hear. Next time, some kind of visual or what the data"&amp;" collection process or procedures look like writings be a really nice component to add too.")</f>
        <v>The study was so impressive and fascinating! The dedication, time and effort the student put into the study was so clear.  The commitment to scientific integrity The student discussed was also great to hear. Next time, some kind of visual or what the data collection process or procedures look like writings be a really nice component to add too.</v>
      </c>
      <c r="O275" s="142" t="str">
        <f t="shared" si="1"/>
        <v/>
      </c>
      <c r="P275" s="143" t="str">
        <f>IF(ISNA(VLOOKUP(CONCAT(M275,C275), 'Judge Count DO NOT EDIT'!H:H, 1, FALSE)), "ERROR","")</f>
        <v/>
      </c>
      <c r="Q275" s="141"/>
      <c r="R275" s="143"/>
      <c r="S275" s="139" t="str">
        <f t="shared" si="2"/>
        <v>1174168</v>
      </c>
      <c r="T275" s="141"/>
    </row>
    <row r="276">
      <c r="A276" s="137">
        <f>IFERROR(__xludf.DUMMYFUNCTION("""COMPUTED_VALUE"""),45352.58229935185)</f>
        <v>45352.5823</v>
      </c>
      <c r="B276" s="138" t="str">
        <f>IFERROR(__xludf.DUMMYFUNCTION("""COMPUTED_VALUE"""),"Charmane Perry")</f>
        <v>Charmane Perry</v>
      </c>
      <c r="C276" s="138">
        <f>IFERROR(__xludf.DUMMYFUNCTION("""COMPUTED_VALUE"""),1089.0)</f>
        <v>1089</v>
      </c>
      <c r="D276" s="139">
        <f>IFERROR(__xludf.DUMMYFUNCTION("""COMPUTED_VALUE"""),168.0)</f>
        <v>168</v>
      </c>
      <c r="E276" s="138">
        <f>IFERROR(__xludf.DUMMYFUNCTION("""COMPUTED_VALUE"""),4.0)</f>
        <v>4</v>
      </c>
      <c r="F276" s="138">
        <f>IFERROR(__xludf.DUMMYFUNCTION("""COMPUTED_VALUE"""),4.0)</f>
        <v>4</v>
      </c>
      <c r="G276" s="138">
        <f>IFERROR(__xludf.DUMMYFUNCTION("""COMPUTED_VALUE"""),4.0)</f>
        <v>4</v>
      </c>
      <c r="H276" s="138">
        <f>IFERROR(__xludf.DUMMYFUNCTION("""COMPUTED_VALUE"""),4.0)</f>
        <v>4</v>
      </c>
      <c r="I276" s="138">
        <f>IFERROR(__xludf.DUMMYFUNCTION("""COMPUTED_VALUE"""),5.0)</f>
        <v>5</v>
      </c>
      <c r="J276" s="138">
        <f>IFERROR(__xludf.DUMMYFUNCTION("""COMPUTED_VALUE"""),4.0)</f>
        <v>4</v>
      </c>
      <c r="K276" s="138">
        <f>IFERROR(__xludf.DUMMYFUNCTION("""COMPUTED_VALUE"""),4.0)</f>
        <v>4</v>
      </c>
      <c r="L276" s="138">
        <v>29.0</v>
      </c>
      <c r="M276" s="140" t="str">
        <f>VLOOKUP(text(D276, "#"),'Master Table'!$A:$F, 6, FALSE)</f>
        <v>B-2</v>
      </c>
      <c r="N276" s="141" t="str">
        <f>IFERROR(__xludf.DUMMYFUNCTION("""COMPUTED_VALUE"""),"Emily was very poised during her presentation. Very fascinating work. Wishing her the best in her future endeavors.")</f>
        <v>Emily was very poised during her presentation. Very fascinating work. Wishing her the best in her future endeavors.</v>
      </c>
      <c r="O276" s="142" t="str">
        <f t="shared" si="1"/>
        <v/>
      </c>
      <c r="P276" s="143" t="str">
        <f>IF(ISNA(VLOOKUP(CONCAT(M276,C276), 'Judge Count DO NOT EDIT'!H:H, 1, FALSE)), "ERROR","")</f>
        <v/>
      </c>
      <c r="R276" s="143"/>
      <c r="S276" s="139" t="str">
        <f t="shared" si="2"/>
        <v>1089168</v>
      </c>
      <c r="T276" s="141"/>
    </row>
    <row r="277">
      <c r="A277" s="137">
        <f>IFERROR(__xludf.DUMMYFUNCTION("""COMPUTED_VALUE"""),45352.85586465278)</f>
        <v>45352.85586</v>
      </c>
      <c r="B277" s="138" t="str">
        <f>IFERROR(__xludf.DUMMYFUNCTION("""COMPUTED_VALUE"""),"Jules Bunn")</f>
        <v>Jules Bunn</v>
      </c>
      <c r="C277" s="138">
        <f>IFERROR(__xludf.DUMMYFUNCTION("""COMPUTED_VALUE"""),1084.0)</f>
        <v>1084</v>
      </c>
      <c r="D277" s="139">
        <f>IFERROR(__xludf.DUMMYFUNCTION("""COMPUTED_VALUE"""),168.0)</f>
        <v>168</v>
      </c>
      <c r="E277" s="138">
        <f>IFERROR(__xludf.DUMMYFUNCTION("""COMPUTED_VALUE"""),5.0)</f>
        <v>5</v>
      </c>
      <c r="F277" s="138">
        <f>IFERROR(__xludf.DUMMYFUNCTION("""COMPUTED_VALUE"""),5.0)</f>
        <v>5</v>
      </c>
      <c r="G277" s="138">
        <f>IFERROR(__xludf.DUMMYFUNCTION("""COMPUTED_VALUE"""),4.0)</f>
        <v>4</v>
      </c>
      <c r="H277" s="138">
        <f>IFERROR(__xludf.DUMMYFUNCTION("""COMPUTED_VALUE"""),4.0)</f>
        <v>4</v>
      </c>
      <c r="I277" s="138">
        <f>IFERROR(__xludf.DUMMYFUNCTION("""COMPUTED_VALUE"""),5.0)</f>
        <v>5</v>
      </c>
      <c r="J277" s="138">
        <f>IFERROR(__xludf.DUMMYFUNCTION("""COMPUTED_VALUE"""),5.0)</f>
        <v>5</v>
      </c>
      <c r="K277" s="138">
        <f>IFERROR(__xludf.DUMMYFUNCTION("""COMPUTED_VALUE"""),5.0)</f>
        <v>5</v>
      </c>
      <c r="L277" s="138">
        <v>33.0</v>
      </c>
      <c r="M277" s="140" t="str">
        <f>VLOOKUP(text(D277, "#"),'Master Table'!$A:$F, 6, FALSE)</f>
        <v>B-2</v>
      </c>
      <c r="N277" s="141"/>
      <c r="O277" s="142" t="str">
        <f t="shared" si="1"/>
        <v/>
      </c>
      <c r="P277" s="143" t="str">
        <f>IF(ISNA(VLOOKUP(CONCAT(M277,C277), 'Judge Count DO NOT EDIT'!H:H, 1, FALSE)), "ERROR","")</f>
        <v/>
      </c>
      <c r="Q277" s="141"/>
      <c r="R277" s="143"/>
      <c r="S277" s="139" t="str">
        <f t="shared" si="2"/>
        <v>1084168</v>
      </c>
      <c r="T277" s="141"/>
    </row>
    <row r="278">
      <c r="A278" s="137">
        <f>IFERROR(__xludf.DUMMYFUNCTION("""COMPUTED_VALUE"""),45352.47002570602)</f>
        <v>45352.47003</v>
      </c>
      <c r="B278" s="138" t="str">
        <f>IFERROR(__xludf.DUMMYFUNCTION("""COMPUTED_VALUE"""),"Kate Broderick")</f>
        <v>Kate Broderick</v>
      </c>
      <c r="C278" s="138">
        <f>IFERROR(__xludf.DUMMYFUNCTION("""COMPUTED_VALUE"""),1072.0)</f>
        <v>1072</v>
      </c>
      <c r="D278" s="139">
        <f>IFERROR(__xludf.DUMMYFUNCTION("""COMPUTED_VALUE"""),169.0)</f>
        <v>169</v>
      </c>
      <c r="E278" s="138">
        <f>IFERROR(__xludf.DUMMYFUNCTION("""COMPUTED_VALUE"""),4.0)</f>
        <v>4</v>
      </c>
      <c r="F278" s="138">
        <f>IFERROR(__xludf.DUMMYFUNCTION("""COMPUTED_VALUE"""),4.0)</f>
        <v>4</v>
      </c>
      <c r="G278" s="138">
        <f>IFERROR(__xludf.DUMMYFUNCTION("""COMPUTED_VALUE"""),5.0)</f>
        <v>5</v>
      </c>
      <c r="H278" s="138">
        <f>IFERROR(__xludf.DUMMYFUNCTION("""COMPUTED_VALUE"""),4.0)</f>
        <v>4</v>
      </c>
      <c r="I278" s="138">
        <f>IFERROR(__xludf.DUMMYFUNCTION("""COMPUTED_VALUE"""),5.0)</f>
        <v>5</v>
      </c>
      <c r="J278" s="138">
        <f>IFERROR(__xludf.DUMMYFUNCTION("""COMPUTED_VALUE"""),5.0)</f>
        <v>5</v>
      </c>
      <c r="K278" s="138">
        <f>IFERROR(__xludf.DUMMYFUNCTION("""COMPUTED_VALUE"""),5.0)</f>
        <v>5</v>
      </c>
      <c r="L278" s="138">
        <v>32.0</v>
      </c>
      <c r="M278" s="140" t="str">
        <f>VLOOKUP(text(D278, "#"),'Master Table'!$A:$F, 6, FALSE)</f>
        <v>B-3</v>
      </c>
      <c r="N278" s="141" t="str">
        <f>IFERROR(__xludf.DUMMYFUNCTION("""COMPUTED_VALUE"""),"Very nice presentation and very interesting research. ")</f>
        <v>Very nice presentation and very interesting research. </v>
      </c>
      <c r="O278" s="142" t="str">
        <f t="shared" si="1"/>
        <v/>
      </c>
      <c r="P278" s="143" t="str">
        <f>IF(ISNA(VLOOKUP(CONCAT(M278,C278), 'Judge Count DO NOT EDIT'!H:H, 1, FALSE)), "ERROR","")</f>
        <v/>
      </c>
      <c r="Q278" s="141"/>
      <c r="R278" s="143"/>
      <c r="S278" s="139" t="str">
        <f t="shared" si="2"/>
        <v>1072169</v>
      </c>
      <c r="T278" s="141"/>
    </row>
    <row r="279">
      <c r="A279" s="137">
        <f>IFERROR(__xludf.DUMMYFUNCTION("""COMPUTED_VALUE"""),45352.47338954861)</f>
        <v>45352.47339</v>
      </c>
      <c r="B279" s="138" t="str">
        <f>IFERROR(__xludf.DUMMYFUNCTION("""COMPUTED_VALUE"""),"Hamza Hajama")</f>
        <v>Hamza Hajama</v>
      </c>
      <c r="C279" s="138">
        <f>IFERROR(__xludf.DUMMYFUNCTION("""COMPUTED_VALUE"""),1049.0)</f>
        <v>1049</v>
      </c>
      <c r="D279" s="139">
        <f>IFERROR(__xludf.DUMMYFUNCTION("""COMPUTED_VALUE"""),169.0)</f>
        <v>169</v>
      </c>
      <c r="E279" s="138">
        <f>IFERROR(__xludf.DUMMYFUNCTION("""COMPUTED_VALUE"""),5.0)</f>
        <v>5</v>
      </c>
      <c r="F279" s="138">
        <f>IFERROR(__xludf.DUMMYFUNCTION("""COMPUTED_VALUE"""),3.0)</f>
        <v>3</v>
      </c>
      <c r="G279" s="138">
        <f>IFERROR(__xludf.DUMMYFUNCTION("""COMPUTED_VALUE"""),4.0)</f>
        <v>4</v>
      </c>
      <c r="H279" s="138">
        <f>IFERROR(__xludf.DUMMYFUNCTION("""COMPUTED_VALUE"""),3.0)</f>
        <v>3</v>
      </c>
      <c r="I279" s="138">
        <f>IFERROR(__xludf.DUMMYFUNCTION("""COMPUTED_VALUE"""),4.0)</f>
        <v>4</v>
      </c>
      <c r="J279" s="138">
        <f>IFERROR(__xludf.DUMMYFUNCTION("""COMPUTED_VALUE"""),4.0)</f>
        <v>4</v>
      </c>
      <c r="K279" s="138">
        <f>IFERROR(__xludf.DUMMYFUNCTION("""COMPUTED_VALUE"""),5.0)</f>
        <v>5</v>
      </c>
      <c r="L279" s="138">
        <v>28.0</v>
      </c>
      <c r="M279" s="140" t="str">
        <f>VLOOKUP(text(D279, "#"),'Master Table'!$A:$F, 6, FALSE)</f>
        <v>B-3</v>
      </c>
      <c r="N279" s="141" t="str">
        <f>IFERROR(__xludf.DUMMYFUNCTION("""COMPUTED_VALUE"""),"Good use of space and visuals. Figures nicely presented. And good ability to field audience questions. ")</f>
        <v>Good use of space and visuals. Figures nicely presented. And good ability to field audience questions. </v>
      </c>
      <c r="O279" s="142" t="str">
        <f t="shared" si="1"/>
        <v/>
      </c>
      <c r="P279" s="143" t="str">
        <f>IF(ISNA(VLOOKUP(CONCAT(M279,C279), 'Judge Count DO NOT EDIT'!H:H, 1, FALSE)), "ERROR","")</f>
        <v/>
      </c>
      <c r="Q279" s="141"/>
      <c r="R279" s="143"/>
      <c r="S279" s="139" t="str">
        <f t="shared" si="2"/>
        <v>1049169</v>
      </c>
      <c r="T279" s="141"/>
    </row>
    <row r="280">
      <c r="A280" s="137">
        <f>IFERROR(__xludf.DUMMYFUNCTION("""COMPUTED_VALUE"""),45352.52829664352)</f>
        <v>45352.5283</v>
      </c>
      <c r="B280" s="138" t="str">
        <f>IFERROR(__xludf.DUMMYFUNCTION("""COMPUTED_VALUE"""),"Joseane Godinho")</f>
        <v>Joseane Godinho</v>
      </c>
      <c r="C280" s="138">
        <f>IFERROR(__xludf.DUMMYFUNCTION("""COMPUTED_VALUE"""),1121.0)</f>
        <v>1121</v>
      </c>
      <c r="D280" s="139">
        <f>IFERROR(__xludf.DUMMYFUNCTION("""COMPUTED_VALUE"""),169.0)</f>
        <v>169</v>
      </c>
      <c r="E280" s="138">
        <f>IFERROR(__xludf.DUMMYFUNCTION("""COMPUTED_VALUE"""),4.0)</f>
        <v>4</v>
      </c>
      <c r="F280" s="138">
        <f>IFERROR(__xludf.DUMMYFUNCTION("""COMPUTED_VALUE"""),4.0)</f>
        <v>4</v>
      </c>
      <c r="G280" s="138">
        <f>IFERROR(__xludf.DUMMYFUNCTION("""COMPUTED_VALUE"""),4.0)</f>
        <v>4</v>
      </c>
      <c r="H280" s="138">
        <f>IFERROR(__xludf.DUMMYFUNCTION("""COMPUTED_VALUE"""),4.0)</f>
        <v>4</v>
      </c>
      <c r="I280" s="138">
        <f>IFERROR(__xludf.DUMMYFUNCTION("""COMPUTED_VALUE"""),3.0)</f>
        <v>3</v>
      </c>
      <c r="J280" s="138">
        <f>IFERROR(__xludf.DUMMYFUNCTION("""COMPUTED_VALUE"""),3.0)</f>
        <v>3</v>
      </c>
      <c r="K280" s="138">
        <f>IFERROR(__xludf.DUMMYFUNCTION("""COMPUTED_VALUE"""),4.0)</f>
        <v>4</v>
      </c>
      <c r="L280" s="138">
        <v>26.0</v>
      </c>
      <c r="M280" s="140" t="str">
        <f>VLOOKUP(text(D280, "#"),'Master Table'!$A:$F, 6, FALSE)</f>
        <v>B-3</v>
      </c>
      <c r="N280" s="141"/>
      <c r="O280" s="142" t="str">
        <f t="shared" si="1"/>
        <v/>
      </c>
      <c r="P280" s="143" t="str">
        <f>IF(ISNA(VLOOKUP(CONCAT(M280,C280), 'Judge Count DO NOT EDIT'!H:H, 1, FALSE)), "ERROR","")</f>
        <v/>
      </c>
      <c r="Q280" s="144"/>
      <c r="R280" s="143"/>
      <c r="S280" s="139" t="str">
        <f t="shared" si="2"/>
        <v>1121169</v>
      </c>
      <c r="T280" s="141"/>
    </row>
    <row r="281">
      <c r="A281" s="137">
        <f>IFERROR(__xludf.DUMMYFUNCTION("""COMPUTED_VALUE"""),45352.778429143524)</f>
        <v>45352.77843</v>
      </c>
      <c r="B281" s="138" t="str">
        <f>IFERROR(__xludf.DUMMYFUNCTION("""COMPUTED_VALUE"""),"Mowaffaq Adam ")</f>
        <v>Mowaffaq Adam </v>
      </c>
      <c r="C281" s="138">
        <f>IFERROR(__xludf.DUMMYFUNCTION("""COMPUTED_VALUE"""),1238.0)</f>
        <v>1238</v>
      </c>
      <c r="D281" s="139">
        <f>IFERROR(__xludf.DUMMYFUNCTION("""COMPUTED_VALUE"""),169.0)</f>
        <v>169</v>
      </c>
      <c r="E281" s="138">
        <f>IFERROR(__xludf.DUMMYFUNCTION("""COMPUTED_VALUE"""),5.0)</f>
        <v>5</v>
      </c>
      <c r="F281" s="138">
        <f>IFERROR(__xludf.DUMMYFUNCTION("""COMPUTED_VALUE"""),5.0)</f>
        <v>5</v>
      </c>
      <c r="G281" s="138">
        <f>IFERROR(__xludf.DUMMYFUNCTION("""COMPUTED_VALUE"""),5.0)</f>
        <v>5</v>
      </c>
      <c r="H281" s="138">
        <f>IFERROR(__xludf.DUMMYFUNCTION("""COMPUTED_VALUE"""),5.0)</f>
        <v>5</v>
      </c>
      <c r="I281" s="138">
        <f>IFERROR(__xludf.DUMMYFUNCTION("""COMPUTED_VALUE"""),5.0)</f>
        <v>5</v>
      </c>
      <c r="J281" s="138">
        <f>IFERROR(__xludf.DUMMYFUNCTION("""COMPUTED_VALUE"""),5.0)</f>
        <v>5</v>
      </c>
      <c r="K281" s="138">
        <f>IFERROR(__xludf.DUMMYFUNCTION("""COMPUTED_VALUE"""),4.0)</f>
        <v>4</v>
      </c>
      <c r="L281" s="138">
        <v>34.0</v>
      </c>
      <c r="M281" s="140" t="str">
        <f>VLOOKUP(text(D281, "#"),'Master Table'!$A:$F, 6, FALSE)</f>
        <v>B-3</v>
      </c>
      <c r="N281" s="141" t="str">
        <f>IFERROR(__xludf.DUMMYFUNCTION("""COMPUTED_VALUE"""),"Very good presentation. Keep the hard work. ")</f>
        <v>Very good presentation. Keep the hard work. </v>
      </c>
      <c r="O281" s="142" t="str">
        <f t="shared" si="1"/>
        <v/>
      </c>
      <c r="P281" s="143" t="str">
        <f>IF(ISNA(VLOOKUP(CONCAT(M281,C281), 'Judge Count DO NOT EDIT'!H:H, 1, FALSE)), "ERROR","")</f>
        <v/>
      </c>
      <c r="Q281" s="144"/>
      <c r="R281" s="143"/>
      <c r="S281" s="139" t="str">
        <f t="shared" si="2"/>
        <v>1238169</v>
      </c>
      <c r="T281" s="141"/>
    </row>
    <row r="282">
      <c r="A282" s="137">
        <f>IFERROR(__xludf.DUMMYFUNCTION("""COMPUTED_VALUE"""),45352.484822025464)</f>
        <v>45352.48482</v>
      </c>
      <c r="B282" s="138" t="str">
        <f>IFERROR(__xludf.DUMMYFUNCTION("""COMPUTED_VALUE"""),"Kate Broderick")</f>
        <v>Kate Broderick</v>
      </c>
      <c r="C282" s="138">
        <f>IFERROR(__xludf.DUMMYFUNCTION("""COMPUTED_VALUE"""),1072.0)</f>
        <v>1072</v>
      </c>
      <c r="D282" s="139">
        <f>IFERROR(__xludf.DUMMYFUNCTION("""COMPUTED_VALUE"""),170.0)</f>
        <v>170</v>
      </c>
      <c r="E282" s="138">
        <f>IFERROR(__xludf.DUMMYFUNCTION("""COMPUTED_VALUE"""),5.0)</f>
        <v>5</v>
      </c>
      <c r="F282" s="138">
        <f>IFERROR(__xludf.DUMMYFUNCTION("""COMPUTED_VALUE"""),4.0)</f>
        <v>4</v>
      </c>
      <c r="G282" s="138">
        <f>IFERROR(__xludf.DUMMYFUNCTION("""COMPUTED_VALUE"""),4.0)</f>
        <v>4</v>
      </c>
      <c r="H282" s="138">
        <f>IFERROR(__xludf.DUMMYFUNCTION("""COMPUTED_VALUE"""),5.0)</f>
        <v>5</v>
      </c>
      <c r="I282" s="138">
        <f>IFERROR(__xludf.DUMMYFUNCTION("""COMPUTED_VALUE"""),5.0)</f>
        <v>5</v>
      </c>
      <c r="J282" s="138">
        <f>IFERROR(__xludf.DUMMYFUNCTION("""COMPUTED_VALUE"""),5.0)</f>
        <v>5</v>
      </c>
      <c r="K282" s="138">
        <f>IFERROR(__xludf.DUMMYFUNCTION("""COMPUTED_VALUE"""),5.0)</f>
        <v>5</v>
      </c>
      <c r="L282" s="138">
        <v>33.0</v>
      </c>
      <c r="M282" s="140" t="str">
        <f>VLOOKUP(text(D282, "#"),'Master Table'!$A:$F, 6, FALSE)</f>
        <v>B-3</v>
      </c>
      <c r="N282" s="141" t="str">
        <f>IFERROR(__xludf.DUMMYFUNCTION("""COMPUTED_VALUE"""),"Loads of enthusiasm for her research. Very interesting topic and nicely explained and delivered. ")</f>
        <v>Loads of enthusiasm for her research. Very interesting topic and nicely explained and delivered. </v>
      </c>
      <c r="O282" s="142" t="str">
        <f t="shared" si="1"/>
        <v/>
      </c>
      <c r="P282" s="143" t="str">
        <f>IF(ISNA(VLOOKUP(CONCAT(M282,C282), 'Judge Count DO NOT EDIT'!H:H, 1, FALSE)), "ERROR","")</f>
        <v/>
      </c>
      <c r="Q282" s="141"/>
      <c r="R282" s="143"/>
      <c r="S282" s="139" t="str">
        <f t="shared" si="2"/>
        <v>1072170</v>
      </c>
      <c r="T282" s="141"/>
    </row>
    <row r="283">
      <c r="A283" s="137">
        <f>IFERROR(__xludf.DUMMYFUNCTION("""COMPUTED_VALUE"""),45352.48602856482)</f>
        <v>45352.48603</v>
      </c>
      <c r="B283" s="138" t="str">
        <f>IFERROR(__xludf.DUMMYFUNCTION("""COMPUTED_VALUE"""),"Hamza Hajama")</f>
        <v>Hamza Hajama</v>
      </c>
      <c r="C283" s="138">
        <f>IFERROR(__xludf.DUMMYFUNCTION("""COMPUTED_VALUE"""),1049.0)</f>
        <v>1049</v>
      </c>
      <c r="D283" s="139">
        <f>IFERROR(__xludf.DUMMYFUNCTION("""COMPUTED_VALUE"""),170.0)</f>
        <v>170</v>
      </c>
      <c r="E283" s="138">
        <f>IFERROR(__xludf.DUMMYFUNCTION("""COMPUTED_VALUE"""),4.0)</f>
        <v>4</v>
      </c>
      <c r="F283" s="138">
        <f>IFERROR(__xludf.DUMMYFUNCTION("""COMPUTED_VALUE"""),4.0)</f>
        <v>4</v>
      </c>
      <c r="G283" s="138">
        <f>IFERROR(__xludf.DUMMYFUNCTION("""COMPUTED_VALUE"""),3.0)</f>
        <v>3</v>
      </c>
      <c r="H283" s="138">
        <f>IFERROR(__xludf.DUMMYFUNCTION("""COMPUTED_VALUE"""),4.0)</f>
        <v>4</v>
      </c>
      <c r="I283" s="138">
        <f>IFERROR(__xludf.DUMMYFUNCTION("""COMPUTED_VALUE"""),5.0)</f>
        <v>5</v>
      </c>
      <c r="J283" s="138">
        <f>IFERROR(__xludf.DUMMYFUNCTION("""COMPUTED_VALUE"""),4.0)</f>
        <v>4</v>
      </c>
      <c r="K283" s="138">
        <f>IFERROR(__xludf.DUMMYFUNCTION("""COMPUTED_VALUE"""),4.0)</f>
        <v>4</v>
      </c>
      <c r="L283" s="138">
        <v>28.0</v>
      </c>
      <c r="M283" s="140" t="str">
        <f>VLOOKUP(text(D283, "#"),'Master Table'!$A:$F, 6, FALSE)</f>
        <v>B-3</v>
      </c>
      <c r="N283" s="141" t="str">
        <f>IFERROR(__xludf.DUMMYFUNCTION("""COMPUTED_VALUE"""),"Good presentation and good job fielding questions ")</f>
        <v>Good presentation and good job fielding questions </v>
      </c>
      <c r="O283" s="142" t="str">
        <f t="shared" si="1"/>
        <v/>
      </c>
      <c r="P283" s="143" t="str">
        <f>IF(ISNA(VLOOKUP(CONCAT(M283,C283), 'Judge Count DO NOT EDIT'!H:H, 1, FALSE)), "ERROR","")</f>
        <v/>
      </c>
      <c r="Q283" s="141"/>
      <c r="R283" s="143"/>
      <c r="S283" s="139" t="str">
        <f t="shared" si="2"/>
        <v>1049170</v>
      </c>
      <c r="T283" s="141"/>
    </row>
    <row r="284">
      <c r="A284" s="137">
        <f>IFERROR(__xludf.DUMMYFUNCTION("""COMPUTED_VALUE"""),45352.48868605324)</f>
        <v>45352.48869</v>
      </c>
      <c r="B284" s="138" t="str">
        <f>IFERROR(__xludf.DUMMYFUNCTION("""COMPUTED_VALUE"""),"Joseane Godinho")</f>
        <v>Joseane Godinho</v>
      </c>
      <c r="C284" s="138">
        <f>IFERROR(__xludf.DUMMYFUNCTION("""COMPUTED_VALUE"""),1121.0)</f>
        <v>1121</v>
      </c>
      <c r="D284" s="139">
        <f>IFERROR(__xludf.DUMMYFUNCTION("""COMPUTED_VALUE"""),170.0)</f>
        <v>170</v>
      </c>
      <c r="E284" s="138">
        <f>IFERROR(__xludf.DUMMYFUNCTION("""COMPUTED_VALUE"""),4.0)</f>
        <v>4</v>
      </c>
      <c r="F284" s="138">
        <f>IFERROR(__xludf.DUMMYFUNCTION("""COMPUTED_VALUE"""),4.0)</f>
        <v>4</v>
      </c>
      <c r="G284" s="138">
        <f>IFERROR(__xludf.DUMMYFUNCTION("""COMPUTED_VALUE"""),4.0)</f>
        <v>4</v>
      </c>
      <c r="H284" s="138">
        <f>IFERROR(__xludf.DUMMYFUNCTION("""COMPUTED_VALUE"""),3.0)</f>
        <v>3</v>
      </c>
      <c r="I284" s="138">
        <f>IFERROR(__xludf.DUMMYFUNCTION("""COMPUTED_VALUE"""),5.0)</f>
        <v>5</v>
      </c>
      <c r="J284" s="138">
        <f>IFERROR(__xludf.DUMMYFUNCTION("""COMPUTED_VALUE"""),5.0)</f>
        <v>5</v>
      </c>
      <c r="K284" s="138">
        <f>IFERROR(__xludf.DUMMYFUNCTION("""COMPUTED_VALUE"""),5.0)</f>
        <v>5</v>
      </c>
      <c r="L284" s="138">
        <v>30.0</v>
      </c>
      <c r="M284" s="140" t="str">
        <f>VLOOKUP(text(D284, "#"),'Master Table'!$A:$F, 6, FALSE)</f>
        <v>B-3</v>
      </c>
      <c r="N284" s="141" t="str">
        <f>IFERROR(__xludf.DUMMYFUNCTION("""COMPUTED_VALUE"""),"This topic is relevant because conect the plant cell biology and enviromental conditions. My suggestion for the future is just to improve more the methods technology ")</f>
        <v>This topic is relevant because conect the plant cell biology and enviromental conditions. My suggestion for the future is just to improve more the methods technology </v>
      </c>
      <c r="O284" s="142" t="str">
        <f t="shared" si="1"/>
        <v/>
      </c>
      <c r="P284" s="143" t="str">
        <f>IF(ISNA(VLOOKUP(CONCAT(M284,C284), 'Judge Count DO NOT EDIT'!H:H, 1, FALSE)), "ERROR","")</f>
        <v/>
      </c>
      <c r="Q284" s="144"/>
      <c r="R284" s="143"/>
      <c r="S284" s="139" t="str">
        <f t="shared" si="2"/>
        <v>1121170</v>
      </c>
      <c r="T284" s="141"/>
    </row>
    <row r="285">
      <c r="A285" s="137">
        <f>IFERROR(__xludf.DUMMYFUNCTION("""COMPUTED_VALUE"""),45352.49780355324)</f>
        <v>45352.4978</v>
      </c>
      <c r="B285" s="138" t="str">
        <f>IFERROR(__xludf.DUMMYFUNCTION("""COMPUTED_VALUE"""),"Hamza hajama")</f>
        <v>Hamza hajama</v>
      </c>
      <c r="C285" s="138">
        <f>IFERROR(__xludf.DUMMYFUNCTION("""COMPUTED_VALUE"""),1049.0)</f>
        <v>1049</v>
      </c>
      <c r="D285" s="139">
        <f>IFERROR(__xludf.DUMMYFUNCTION("""COMPUTED_VALUE"""),171.0)</f>
        <v>171</v>
      </c>
      <c r="E285" s="138">
        <f>IFERROR(__xludf.DUMMYFUNCTION("""COMPUTED_VALUE"""),3.0)</f>
        <v>3</v>
      </c>
      <c r="F285" s="138">
        <f>IFERROR(__xludf.DUMMYFUNCTION("""COMPUTED_VALUE"""),4.0)</f>
        <v>4</v>
      </c>
      <c r="G285" s="138">
        <f>IFERROR(__xludf.DUMMYFUNCTION("""COMPUTED_VALUE"""),2.0)</f>
        <v>2</v>
      </c>
      <c r="H285" s="138">
        <f>IFERROR(__xludf.DUMMYFUNCTION("""COMPUTED_VALUE"""),3.0)</f>
        <v>3</v>
      </c>
      <c r="I285" s="138">
        <f>IFERROR(__xludf.DUMMYFUNCTION("""COMPUTED_VALUE"""),4.0)</f>
        <v>4</v>
      </c>
      <c r="J285" s="138">
        <f>IFERROR(__xludf.DUMMYFUNCTION("""COMPUTED_VALUE"""),3.0)</f>
        <v>3</v>
      </c>
      <c r="K285" s="138">
        <f>IFERROR(__xludf.DUMMYFUNCTION("""COMPUTED_VALUE"""),4.0)</f>
        <v>4</v>
      </c>
      <c r="L285" s="138">
        <v>23.0</v>
      </c>
      <c r="M285" s="140" t="str">
        <f>VLOOKUP(text(D285, "#"),'Master Table'!$A:$F, 6, FALSE)</f>
        <v>B-3</v>
      </c>
      <c r="N285" s="141" t="str">
        <f>IFERROR(__xludf.DUMMYFUNCTION("""COMPUTED_VALUE"""),"Great presentation - shows good understanding of the material presented — the figures are dense however and should spend a little more time going through them")</f>
        <v>Great presentation - shows good understanding of the material presented — the figures are dense however and should spend a little more time going through them</v>
      </c>
      <c r="O285" s="142" t="str">
        <f t="shared" si="1"/>
        <v/>
      </c>
      <c r="P285" s="143" t="str">
        <f>IF(ISNA(VLOOKUP(CONCAT(M285,C285), 'Judge Count DO NOT EDIT'!H:H, 1, FALSE)), "ERROR","")</f>
        <v/>
      </c>
      <c r="Q285" s="141"/>
      <c r="R285" s="143"/>
      <c r="S285" s="139" t="str">
        <f t="shared" si="2"/>
        <v>1049171</v>
      </c>
      <c r="T285" s="141"/>
    </row>
    <row r="286">
      <c r="A286" s="137">
        <f>IFERROR(__xludf.DUMMYFUNCTION("""COMPUTED_VALUE"""),45352.497932280094)</f>
        <v>45352.49793</v>
      </c>
      <c r="B286" s="138" t="str">
        <f>IFERROR(__xludf.DUMMYFUNCTION("""COMPUTED_VALUE"""),"Kate Broderick")</f>
        <v>Kate Broderick</v>
      </c>
      <c r="C286" s="138">
        <f>IFERROR(__xludf.DUMMYFUNCTION("""COMPUTED_VALUE"""),1072.0)</f>
        <v>1072</v>
      </c>
      <c r="D286" s="139">
        <f>IFERROR(__xludf.DUMMYFUNCTION("""COMPUTED_VALUE"""),171.0)</f>
        <v>171</v>
      </c>
      <c r="E286" s="138">
        <f>IFERROR(__xludf.DUMMYFUNCTION("""COMPUTED_VALUE"""),4.0)</f>
        <v>4</v>
      </c>
      <c r="F286" s="138">
        <f>IFERROR(__xludf.DUMMYFUNCTION("""COMPUTED_VALUE"""),4.0)</f>
        <v>4</v>
      </c>
      <c r="G286" s="138">
        <f>IFERROR(__xludf.DUMMYFUNCTION("""COMPUTED_VALUE"""),5.0)</f>
        <v>5</v>
      </c>
      <c r="H286" s="138">
        <f>IFERROR(__xludf.DUMMYFUNCTION("""COMPUTED_VALUE"""),4.0)</f>
        <v>4</v>
      </c>
      <c r="I286" s="138">
        <f>IFERROR(__xludf.DUMMYFUNCTION("""COMPUTED_VALUE"""),5.0)</f>
        <v>5</v>
      </c>
      <c r="J286" s="138">
        <f>IFERROR(__xludf.DUMMYFUNCTION("""COMPUTED_VALUE"""),5.0)</f>
        <v>5</v>
      </c>
      <c r="K286" s="138">
        <f>IFERROR(__xludf.DUMMYFUNCTION("""COMPUTED_VALUE"""),5.0)</f>
        <v>5</v>
      </c>
      <c r="L286" s="138">
        <v>32.0</v>
      </c>
      <c r="M286" s="140" t="str">
        <f>VLOOKUP(text(D286, "#"),'Master Table'!$A:$F, 6, FALSE)</f>
        <v>B-3</v>
      </c>
      <c r="N286" s="141" t="str">
        <f>IFERROR(__xludf.DUMMYFUNCTION("""COMPUTED_VALUE"""),"Very interesting and novel topic. Well presented and organized. ")</f>
        <v>Very interesting and novel topic. Well presented and organized. </v>
      </c>
      <c r="O286" s="142" t="str">
        <f t="shared" si="1"/>
        <v/>
      </c>
      <c r="P286" s="143" t="str">
        <f>IF(ISNA(VLOOKUP(CONCAT(M286,C286), 'Judge Count DO NOT EDIT'!H:H, 1, FALSE)), "ERROR","")</f>
        <v/>
      </c>
      <c r="Q286" s="144"/>
      <c r="R286" s="143"/>
      <c r="S286" s="139" t="str">
        <f t="shared" si="2"/>
        <v>1072171</v>
      </c>
      <c r="T286" s="141"/>
    </row>
    <row r="287">
      <c r="A287" s="137">
        <f>IFERROR(__xludf.DUMMYFUNCTION("""COMPUTED_VALUE"""),45352.501559537035)</f>
        <v>45352.50156</v>
      </c>
      <c r="B287" s="138" t="str">
        <f>IFERROR(__xludf.DUMMYFUNCTION("""COMPUTED_VALUE"""),"Joseane Godinho")</f>
        <v>Joseane Godinho</v>
      </c>
      <c r="C287" s="138">
        <f>IFERROR(__xludf.DUMMYFUNCTION("""COMPUTED_VALUE"""),1121.0)</f>
        <v>1121</v>
      </c>
      <c r="D287" s="139">
        <f>IFERROR(__xludf.DUMMYFUNCTION("""COMPUTED_VALUE"""),171.0)</f>
        <v>171</v>
      </c>
      <c r="E287" s="138">
        <f>IFERROR(__xludf.DUMMYFUNCTION("""COMPUTED_VALUE"""),4.0)</f>
        <v>4</v>
      </c>
      <c r="F287" s="138">
        <f>IFERROR(__xludf.DUMMYFUNCTION("""COMPUTED_VALUE"""),4.0)</f>
        <v>4</v>
      </c>
      <c r="G287" s="138">
        <f>IFERROR(__xludf.DUMMYFUNCTION("""COMPUTED_VALUE"""),4.0)</f>
        <v>4</v>
      </c>
      <c r="H287" s="138">
        <f>IFERROR(__xludf.DUMMYFUNCTION("""COMPUTED_VALUE"""),5.0)</f>
        <v>5</v>
      </c>
      <c r="I287" s="138">
        <f>IFERROR(__xludf.DUMMYFUNCTION("""COMPUTED_VALUE"""),4.0)</f>
        <v>4</v>
      </c>
      <c r="J287" s="138">
        <f>IFERROR(__xludf.DUMMYFUNCTION("""COMPUTED_VALUE"""),4.0)</f>
        <v>4</v>
      </c>
      <c r="K287" s="138">
        <f>IFERROR(__xludf.DUMMYFUNCTION("""COMPUTED_VALUE"""),4.0)</f>
        <v>4</v>
      </c>
      <c r="L287" s="138">
        <v>29.0</v>
      </c>
      <c r="M287" s="140" t="str">
        <f>VLOOKUP(text(D287, "#"),'Master Table'!$A:$F, 6, FALSE)</f>
        <v>B-3</v>
      </c>
      <c r="N287" s="141" t="str">
        <f>IFERROR(__xludf.DUMMYFUNCTION("""COMPUTED_VALUE"""),"Great research with advanced and power  techniques. I suggest more clarity in your scientific impact.")</f>
        <v>Great research with advanced and power  techniques. I suggest more clarity in your scientific impact.</v>
      </c>
      <c r="O287" s="142" t="str">
        <f t="shared" si="1"/>
        <v/>
      </c>
      <c r="P287" s="143" t="str">
        <f>IF(ISNA(VLOOKUP(CONCAT(M287,C287), 'Judge Count DO NOT EDIT'!H:H, 1, FALSE)), "ERROR","")</f>
        <v/>
      </c>
      <c r="R287" s="143"/>
      <c r="S287" s="139" t="str">
        <f t="shared" si="2"/>
        <v>1121171</v>
      </c>
      <c r="T287" s="141"/>
    </row>
    <row r="288">
      <c r="A288" s="137">
        <f>IFERROR(__xludf.DUMMYFUNCTION("""COMPUTED_VALUE"""),45352.51163479166)</f>
        <v>45352.51163</v>
      </c>
      <c r="B288" s="138" t="str">
        <f>IFERROR(__xludf.DUMMYFUNCTION("""COMPUTED_VALUE"""),"Hamza hajama")</f>
        <v>Hamza hajama</v>
      </c>
      <c r="C288" s="138">
        <f>IFERROR(__xludf.DUMMYFUNCTION("""COMPUTED_VALUE"""),1049.0)</f>
        <v>1049</v>
      </c>
      <c r="D288" s="139">
        <f>IFERROR(__xludf.DUMMYFUNCTION("""COMPUTED_VALUE"""),172.0)</f>
        <v>172</v>
      </c>
      <c r="E288" s="138">
        <f>IFERROR(__xludf.DUMMYFUNCTION("""COMPUTED_VALUE"""),4.0)</f>
        <v>4</v>
      </c>
      <c r="F288" s="138">
        <f>IFERROR(__xludf.DUMMYFUNCTION("""COMPUTED_VALUE"""),5.0)</f>
        <v>5</v>
      </c>
      <c r="G288" s="138">
        <f>IFERROR(__xludf.DUMMYFUNCTION("""COMPUTED_VALUE"""),3.0)</f>
        <v>3</v>
      </c>
      <c r="H288" s="138">
        <f>IFERROR(__xludf.DUMMYFUNCTION("""COMPUTED_VALUE"""),4.0)</f>
        <v>4</v>
      </c>
      <c r="I288" s="138">
        <f>IFERROR(__xludf.DUMMYFUNCTION("""COMPUTED_VALUE"""),5.0)</f>
        <v>5</v>
      </c>
      <c r="J288" s="138">
        <f>IFERROR(__xludf.DUMMYFUNCTION("""COMPUTED_VALUE"""),3.0)</f>
        <v>3</v>
      </c>
      <c r="K288" s="138">
        <f>IFERROR(__xludf.DUMMYFUNCTION("""COMPUTED_VALUE"""),4.0)</f>
        <v>4</v>
      </c>
      <c r="L288" s="138">
        <v>28.0</v>
      </c>
      <c r="M288" s="140" t="str">
        <f>VLOOKUP(text(D288, "#"),'Master Table'!$A:$F, 6, FALSE)</f>
        <v>B-3</v>
      </c>
      <c r="N288" s="141" t="str">
        <f>IFERROR(__xludf.DUMMYFUNCTION("""COMPUTED_VALUE"""),"N/a")</f>
        <v>N/a</v>
      </c>
      <c r="O288" s="142" t="str">
        <f t="shared" si="1"/>
        <v/>
      </c>
      <c r="P288" s="143" t="str">
        <f>IF(ISNA(VLOOKUP(CONCAT(M288,C288), 'Judge Count DO NOT EDIT'!H:H, 1, FALSE)), "ERROR","")</f>
        <v/>
      </c>
      <c r="Q288" s="141"/>
      <c r="R288" s="143"/>
      <c r="S288" s="139" t="str">
        <f t="shared" si="2"/>
        <v>1049172</v>
      </c>
      <c r="T288" s="141"/>
    </row>
    <row r="289">
      <c r="A289" s="137">
        <f>IFERROR(__xludf.DUMMYFUNCTION("""COMPUTED_VALUE"""),45352.513416076385)</f>
        <v>45352.51342</v>
      </c>
      <c r="B289" s="138" t="str">
        <f>IFERROR(__xludf.DUMMYFUNCTION("""COMPUTED_VALUE"""),"Kate Broderick")</f>
        <v>Kate Broderick</v>
      </c>
      <c r="C289" s="138">
        <f>IFERROR(__xludf.DUMMYFUNCTION("""COMPUTED_VALUE"""),1072.0)</f>
        <v>1072</v>
      </c>
      <c r="D289" s="139">
        <f>IFERROR(__xludf.DUMMYFUNCTION("""COMPUTED_VALUE"""),172.0)</f>
        <v>172</v>
      </c>
      <c r="E289" s="138">
        <f>IFERROR(__xludf.DUMMYFUNCTION("""COMPUTED_VALUE"""),5.0)</f>
        <v>5</v>
      </c>
      <c r="F289" s="138">
        <f>IFERROR(__xludf.DUMMYFUNCTION("""COMPUTED_VALUE"""),5.0)</f>
        <v>5</v>
      </c>
      <c r="G289" s="138">
        <f>IFERROR(__xludf.DUMMYFUNCTION("""COMPUTED_VALUE"""),5.0)</f>
        <v>5</v>
      </c>
      <c r="H289" s="138">
        <f>IFERROR(__xludf.DUMMYFUNCTION("""COMPUTED_VALUE"""),5.0)</f>
        <v>5</v>
      </c>
      <c r="I289" s="138">
        <f>IFERROR(__xludf.DUMMYFUNCTION("""COMPUTED_VALUE"""),5.0)</f>
        <v>5</v>
      </c>
      <c r="J289" s="138">
        <f>IFERROR(__xludf.DUMMYFUNCTION("""COMPUTED_VALUE"""),5.0)</f>
        <v>5</v>
      </c>
      <c r="K289" s="138">
        <f>IFERROR(__xludf.DUMMYFUNCTION("""COMPUTED_VALUE"""),5.0)</f>
        <v>5</v>
      </c>
      <c r="L289" s="138">
        <v>35.0</v>
      </c>
      <c r="M289" s="140" t="str">
        <f>VLOOKUP(text(D289, "#"),'Master Table'!$A:$F, 6, FALSE)</f>
        <v>B-3</v>
      </c>
      <c r="N289" s="141" t="str">
        <f>IFERROR(__xludf.DUMMYFUNCTION("""COMPUTED_VALUE"""),"Very in-depth research with important implications for drug discovery 
Nicely presented and informative ")</f>
        <v>Very in-depth research with important implications for drug discovery 
Nicely presented and informative </v>
      </c>
      <c r="O289" s="142" t="str">
        <f t="shared" si="1"/>
        <v/>
      </c>
      <c r="P289" s="143" t="str">
        <f>IF(ISNA(VLOOKUP(CONCAT(M289,C289), 'Judge Count DO NOT EDIT'!H:H, 1, FALSE)), "ERROR","")</f>
        <v/>
      </c>
      <c r="Q289" s="141"/>
      <c r="R289" s="143"/>
      <c r="S289" s="139" t="str">
        <f t="shared" si="2"/>
        <v>1072172</v>
      </c>
      <c r="T289" s="141"/>
    </row>
    <row r="290">
      <c r="A290" s="137">
        <f>IFERROR(__xludf.DUMMYFUNCTION("""COMPUTED_VALUE"""),45352.51735717592)</f>
        <v>45352.51736</v>
      </c>
      <c r="B290" s="138" t="str">
        <f>IFERROR(__xludf.DUMMYFUNCTION("""COMPUTED_VALUE"""),"Joseane Godinho ")</f>
        <v>Joseane Godinho </v>
      </c>
      <c r="C290" s="138">
        <f>IFERROR(__xludf.DUMMYFUNCTION("""COMPUTED_VALUE"""),1121.0)</f>
        <v>1121</v>
      </c>
      <c r="D290" s="139">
        <f>IFERROR(__xludf.DUMMYFUNCTION("""COMPUTED_VALUE"""),172.0)</f>
        <v>172</v>
      </c>
      <c r="E290" s="138">
        <f>IFERROR(__xludf.DUMMYFUNCTION("""COMPUTED_VALUE"""),4.0)</f>
        <v>4</v>
      </c>
      <c r="F290" s="138">
        <f>IFERROR(__xludf.DUMMYFUNCTION("""COMPUTED_VALUE"""),3.0)</f>
        <v>3</v>
      </c>
      <c r="G290" s="138">
        <f>IFERROR(__xludf.DUMMYFUNCTION("""COMPUTED_VALUE"""),4.0)</f>
        <v>4</v>
      </c>
      <c r="H290" s="138">
        <f>IFERROR(__xludf.DUMMYFUNCTION("""COMPUTED_VALUE"""),3.0)</f>
        <v>3</v>
      </c>
      <c r="I290" s="138">
        <f>IFERROR(__xludf.DUMMYFUNCTION("""COMPUTED_VALUE"""),3.0)</f>
        <v>3</v>
      </c>
      <c r="J290" s="138">
        <f>IFERROR(__xludf.DUMMYFUNCTION("""COMPUTED_VALUE"""),4.0)</f>
        <v>4</v>
      </c>
      <c r="K290" s="138">
        <f>IFERROR(__xludf.DUMMYFUNCTION("""COMPUTED_VALUE"""),4.0)</f>
        <v>4</v>
      </c>
      <c r="L290" s="138">
        <v>25.0</v>
      </c>
      <c r="M290" s="140" t="str">
        <f>VLOOKUP(text(D290, "#"),'Master Table'!$A:$F, 6, FALSE)</f>
        <v>B-3</v>
      </c>
      <c r="N290" s="141" t="str">
        <f>IFERROR(__xludf.DUMMYFUNCTION("""COMPUTED_VALUE"""),"Great presentation the graduate student is proficient in the research. My suggestion for the future is to show more the impact of the result in others parasites and correlate some results in humans comparing the differences between the species.")</f>
        <v>Great presentation the graduate student is proficient in the research. My suggestion for the future is to show more the impact of the result in others parasites and correlate some results in humans comparing the differences between the species.</v>
      </c>
      <c r="O290" s="142" t="str">
        <f t="shared" si="1"/>
        <v/>
      </c>
      <c r="P290" s="143" t="str">
        <f>IF(ISNA(VLOOKUP(CONCAT(M290,C290), 'Judge Count DO NOT EDIT'!H:H, 1, FALSE)), "ERROR","")</f>
        <v/>
      </c>
      <c r="Q290" s="141"/>
      <c r="R290" s="143"/>
      <c r="S290" s="139" t="str">
        <f t="shared" si="2"/>
        <v>1121172</v>
      </c>
      <c r="T290" s="141"/>
    </row>
    <row r="291">
      <c r="A291" s="137">
        <f>IFERROR(__xludf.DUMMYFUNCTION("""COMPUTED_VALUE"""),45352.52534219908)</f>
        <v>45352.52534</v>
      </c>
      <c r="B291" s="138" t="str">
        <f>IFERROR(__xludf.DUMMYFUNCTION("""COMPUTED_VALUE"""),"Kate Broderick")</f>
        <v>Kate Broderick</v>
      </c>
      <c r="C291" s="138">
        <f>IFERROR(__xludf.DUMMYFUNCTION("""COMPUTED_VALUE"""),1072.0)</f>
        <v>1072</v>
      </c>
      <c r="D291" s="139">
        <f>IFERROR(__xludf.DUMMYFUNCTION("""COMPUTED_VALUE"""),173.0)</f>
        <v>173</v>
      </c>
      <c r="E291" s="138">
        <f>IFERROR(__xludf.DUMMYFUNCTION("""COMPUTED_VALUE"""),5.0)</f>
        <v>5</v>
      </c>
      <c r="F291" s="138">
        <f>IFERROR(__xludf.DUMMYFUNCTION("""COMPUTED_VALUE"""),5.0)</f>
        <v>5</v>
      </c>
      <c r="G291" s="138">
        <f>IFERROR(__xludf.DUMMYFUNCTION("""COMPUTED_VALUE"""),5.0)</f>
        <v>5</v>
      </c>
      <c r="H291" s="138">
        <f>IFERROR(__xludf.DUMMYFUNCTION("""COMPUTED_VALUE"""),5.0)</f>
        <v>5</v>
      </c>
      <c r="I291" s="138">
        <f>IFERROR(__xludf.DUMMYFUNCTION("""COMPUTED_VALUE"""),5.0)</f>
        <v>5</v>
      </c>
      <c r="J291" s="138">
        <f>IFERROR(__xludf.DUMMYFUNCTION("""COMPUTED_VALUE"""),5.0)</f>
        <v>5</v>
      </c>
      <c r="K291" s="138">
        <f>IFERROR(__xludf.DUMMYFUNCTION("""COMPUTED_VALUE"""),5.0)</f>
        <v>5</v>
      </c>
      <c r="L291" s="138">
        <v>35.0</v>
      </c>
      <c r="M291" s="140" t="str">
        <f>VLOOKUP(text(D291, "#"),'Master Table'!$A:$F, 6, FALSE)</f>
        <v>B-3</v>
      </c>
      <c r="N291" s="141" t="str">
        <f>IFERROR(__xludf.DUMMYFUNCTION("""COMPUTED_VALUE"""),"Incredible work and research. Very nicely presented!!!")</f>
        <v>Incredible work and research. Very nicely presented!!!</v>
      </c>
      <c r="O291" s="142" t="str">
        <f t="shared" si="1"/>
        <v/>
      </c>
      <c r="P291" s="143" t="str">
        <f>IF(ISNA(VLOOKUP(CONCAT(M291,C291), 'Judge Count DO NOT EDIT'!H:H, 1, FALSE)), "ERROR","")</f>
        <v/>
      </c>
      <c r="Q291" s="141"/>
      <c r="R291" s="143"/>
      <c r="S291" s="139" t="str">
        <f t="shared" si="2"/>
        <v>1072173</v>
      </c>
      <c r="T291" s="141"/>
    </row>
    <row r="292">
      <c r="A292" s="137">
        <f>IFERROR(__xludf.DUMMYFUNCTION("""COMPUTED_VALUE"""),45352.52774422454)</f>
        <v>45352.52774</v>
      </c>
      <c r="B292" s="138" t="str">
        <f>IFERROR(__xludf.DUMMYFUNCTION("""COMPUTED_VALUE"""),"Joseane Godinho")</f>
        <v>Joseane Godinho</v>
      </c>
      <c r="C292" s="138">
        <f>IFERROR(__xludf.DUMMYFUNCTION("""COMPUTED_VALUE"""),1121.0)</f>
        <v>1121</v>
      </c>
      <c r="D292" s="139">
        <f>IFERROR(__xludf.DUMMYFUNCTION("""COMPUTED_VALUE"""),173.0)</f>
        <v>173</v>
      </c>
      <c r="E292" s="138">
        <f>IFERROR(__xludf.DUMMYFUNCTION("""COMPUTED_VALUE"""),4.0)</f>
        <v>4</v>
      </c>
      <c r="F292" s="138">
        <f>IFERROR(__xludf.DUMMYFUNCTION("""COMPUTED_VALUE"""),4.0)</f>
        <v>4</v>
      </c>
      <c r="G292" s="138">
        <f>IFERROR(__xludf.DUMMYFUNCTION("""COMPUTED_VALUE"""),4.0)</f>
        <v>4</v>
      </c>
      <c r="H292" s="138">
        <f>IFERROR(__xludf.DUMMYFUNCTION("""COMPUTED_VALUE"""),4.0)</f>
        <v>4</v>
      </c>
      <c r="I292" s="138">
        <f>IFERROR(__xludf.DUMMYFUNCTION("""COMPUTED_VALUE"""),4.0)</f>
        <v>4</v>
      </c>
      <c r="J292" s="138">
        <f>IFERROR(__xludf.DUMMYFUNCTION("""COMPUTED_VALUE"""),4.0)</f>
        <v>4</v>
      </c>
      <c r="K292" s="138">
        <f>IFERROR(__xludf.DUMMYFUNCTION("""COMPUTED_VALUE"""),4.0)</f>
        <v>4</v>
      </c>
      <c r="L292" s="138">
        <v>28.0</v>
      </c>
      <c r="M292" s="140" t="str">
        <f>VLOOKUP(text(D292, "#"),'Master Table'!$A:$F, 6, FALSE)</f>
        <v>B-3</v>
      </c>
      <c r="N292" s="141"/>
      <c r="O292" s="142" t="str">
        <f t="shared" si="1"/>
        <v/>
      </c>
      <c r="P292" s="143" t="str">
        <f>IF(ISNA(VLOOKUP(CONCAT(M292,C292), 'Judge Count DO NOT EDIT'!H:H, 1, FALSE)), "ERROR","")</f>
        <v/>
      </c>
      <c r="Q292" s="141"/>
      <c r="R292" s="143"/>
      <c r="S292" s="139" t="str">
        <f t="shared" si="2"/>
        <v>1121173</v>
      </c>
      <c r="T292" s="141"/>
    </row>
    <row r="293">
      <c r="A293" s="137">
        <f>IFERROR(__xludf.DUMMYFUNCTION("""COMPUTED_VALUE"""),45352.55448710648)</f>
        <v>45352.55449</v>
      </c>
      <c r="B293" s="138" t="str">
        <f>IFERROR(__xludf.DUMMYFUNCTION("""COMPUTED_VALUE"""),"Hamza hajama")</f>
        <v>Hamza hajama</v>
      </c>
      <c r="C293" s="138">
        <f>IFERROR(__xludf.DUMMYFUNCTION("""COMPUTED_VALUE"""),1049.0)</f>
        <v>1049</v>
      </c>
      <c r="D293" s="139">
        <f>IFERROR(__xludf.DUMMYFUNCTION("""COMPUTED_VALUE"""),173.0)</f>
        <v>173</v>
      </c>
      <c r="E293" s="138">
        <f>IFERROR(__xludf.DUMMYFUNCTION("""COMPUTED_VALUE"""),3.0)</f>
        <v>3</v>
      </c>
      <c r="F293" s="138">
        <f>IFERROR(__xludf.DUMMYFUNCTION("""COMPUTED_VALUE"""),4.0)</f>
        <v>4</v>
      </c>
      <c r="G293" s="138">
        <f>IFERROR(__xludf.DUMMYFUNCTION("""COMPUTED_VALUE"""),3.0)</f>
        <v>3</v>
      </c>
      <c r="H293" s="138">
        <f>IFERROR(__xludf.DUMMYFUNCTION("""COMPUTED_VALUE"""),3.0)</f>
        <v>3</v>
      </c>
      <c r="I293" s="138">
        <f>IFERROR(__xludf.DUMMYFUNCTION("""COMPUTED_VALUE"""),4.0)</f>
        <v>4</v>
      </c>
      <c r="J293" s="138">
        <f>IFERROR(__xludf.DUMMYFUNCTION("""COMPUTED_VALUE"""),4.0)</f>
        <v>4</v>
      </c>
      <c r="K293" s="138">
        <f>IFERROR(__xludf.DUMMYFUNCTION("""COMPUTED_VALUE"""),3.0)</f>
        <v>3</v>
      </c>
      <c r="L293" s="138">
        <v>24.0</v>
      </c>
      <c r="M293" s="140" t="str">
        <f>VLOOKUP(text(D293, "#"),'Master Table'!$A:$F, 6, FALSE)</f>
        <v>B-3</v>
      </c>
      <c r="N293" s="141" t="str">
        <f>IFERROR(__xludf.DUMMYFUNCTION("""COMPUTED_VALUE"""),"N/a")</f>
        <v>N/a</v>
      </c>
      <c r="O293" s="142" t="str">
        <f t="shared" si="1"/>
        <v/>
      </c>
      <c r="P293" s="143" t="str">
        <f>IF(ISNA(VLOOKUP(CONCAT(M293,C293), 'Judge Count DO NOT EDIT'!H:H, 1, FALSE)), "ERROR","")</f>
        <v/>
      </c>
      <c r="Q293" s="141"/>
      <c r="R293" s="143"/>
      <c r="S293" s="139" t="str">
        <f t="shared" si="2"/>
        <v>1049173</v>
      </c>
      <c r="T293" s="141"/>
    </row>
    <row r="294">
      <c r="A294" s="137">
        <f>IFERROR(__xludf.DUMMYFUNCTION("""COMPUTED_VALUE"""),45352.47607653935)</f>
        <v>45352.47608</v>
      </c>
      <c r="B294" s="138" t="str">
        <f>IFERROR(__xludf.DUMMYFUNCTION("""COMPUTED_VALUE"""),"Peaceibisia Jack")</f>
        <v>Peaceibisia Jack</v>
      </c>
      <c r="C294" s="138">
        <f>IFERROR(__xludf.DUMMYFUNCTION("""COMPUTED_VALUE"""),1079.0)</f>
        <v>1079</v>
      </c>
      <c r="D294" s="139">
        <f>IFERROR(__xludf.DUMMYFUNCTION("""COMPUTED_VALUE"""),174.0)</f>
        <v>174</v>
      </c>
      <c r="E294" s="138">
        <f>IFERROR(__xludf.DUMMYFUNCTION("""COMPUTED_VALUE"""),5.0)</f>
        <v>5</v>
      </c>
      <c r="F294" s="138">
        <f>IFERROR(__xludf.DUMMYFUNCTION("""COMPUTED_VALUE"""),5.0)</f>
        <v>5</v>
      </c>
      <c r="G294" s="138">
        <f>IFERROR(__xludf.DUMMYFUNCTION("""COMPUTED_VALUE"""),5.0)</f>
        <v>5</v>
      </c>
      <c r="H294" s="138">
        <f>IFERROR(__xludf.DUMMYFUNCTION("""COMPUTED_VALUE"""),5.0)</f>
        <v>5</v>
      </c>
      <c r="I294" s="138">
        <f>IFERROR(__xludf.DUMMYFUNCTION("""COMPUTED_VALUE"""),5.0)</f>
        <v>5</v>
      </c>
      <c r="J294" s="138">
        <f>IFERROR(__xludf.DUMMYFUNCTION("""COMPUTED_VALUE"""),5.0)</f>
        <v>5</v>
      </c>
      <c r="K294" s="138">
        <f>IFERROR(__xludf.DUMMYFUNCTION("""COMPUTED_VALUE"""),5.0)</f>
        <v>5</v>
      </c>
      <c r="L294" s="138">
        <v>35.0</v>
      </c>
      <c r="M294" s="140" t="str">
        <f>VLOOKUP(text(D294, "#"),'Master Table'!$A:$F, 6, FALSE)</f>
        <v>B-4</v>
      </c>
      <c r="N294" s="141" t="str">
        <f>IFERROR(__xludf.DUMMYFUNCTION("""COMPUTED_VALUE"""),"Great Presentation Faith! you interacted with the audience which is great, Good job with your research. ")</f>
        <v>Great Presentation Faith! you interacted with the audience which is great, Good job with your research. </v>
      </c>
      <c r="O294" s="142" t="str">
        <f t="shared" si="1"/>
        <v/>
      </c>
      <c r="P294" s="143" t="str">
        <f>IF(ISNA(VLOOKUP(CONCAT(M294,C294), 'Judge Count DO NOT EDIT'!H:H, 1, FALSE)), "ERROR","")</f>
        <v/>
      </c>
      <c r="Q294" s="144"/>
      <c r="R294" s="143"/>
      <c r="S294" s="139" t="str">
        <f t="shared" si="2"/>
        <v>1079174</v>
      </c>
      <c r="T294" s="141"/>
    </row>
    <row r="295">
      <c r="A295" s="137">
        <f>IFERROR(__xludf.DUMMYFUNCTION("""COMPUTED_VALUE"""),45352.47933857639)</f>
        <v>45352.47934</v>
      </c>
      <c r="B295" s="138" t="str">
        <f>IFERROR(__xludf.DUMMYFUNCTION("""COMPUTED_VALUE"""),"Miguel Angel Zavala Perez ")</f>
        <v>Miguel Angel Zavala Perez </v>
      </c>
      <c r="C295" s="138">
        <f>IFERROR(__xludf.DUMMYFUNCTION("""COMPUTED_VALUE"""),1030.0)</f>
        <v>1030</v>
      </c>
      <c r="D295" s="139">
        <f>IFERROR(__xludf.DUMMYFUNCTION("""COMPUTED_VALUE"""),174.0)</f>
        <v>174</v>
      </c>
      <c r="E295" s="138">
        <f>IFERROR(__xludf.DUMMYFUNCTION("""COMPUTED_VALUE"""),4.0)</f>
        <v>4</v>
      </c>
      <c r="F295" s="138">
        <f>IFERROR(__xludf.DUMMYFUNCTION("""COMPUTED_VALUE"""),3.0)</f>
        <v>3</v>
      </c>
      <c r="G295" s="138">
        <f>IFERROR(__xludf.DUMMYFUNCTION("""COMPUTED_VALUE"""),4.0)</f>
        <v>4</v>
      </c>
      <c r="H295" s="138">
        <f>IFERROR(__xludf.DUMMYFUNCTION("""COMPUTED_VALUE"""),3.0)</f>
        <v>3</v>
      </c>
      <c r="I295" s="138">
        <f>IFERROR(__xludf.DUMMYFUNCTION("""COMPUTED_VALUE"""),3.0)</f>
        <v>3</v>
      </c>
      <c r="J295" s="138">
        <f>IFERROR(__xludf.DUMMYFUNCTION("""COMPUTED_VALUE"""),4.0)</f>
        <v>4</v>
      </c>
      <c r="K295" s="138">
        <f>IFERROR(__xludf.DUMMYFUNCTION("""COMPUTED_VALUE"""),3.0)</f>
        <v>3</v>
      </c>
      <c r="L295" s="138">
        <v>24.0</v>
      </c>
      <c r="M295" s="140" t="str">
        <f>VLOOKUP(text(D295, "#"),'Master Table'!$A:$F, 6, FALSE)</f>
        <v>B-4</v>
      </c>
      <c r="N295" s="141" t="str">
        <f>IFERROR(__xludf.DUMMYFUNCTION("""COMPUTED_VALUE"""),"Very interesting work. Keep it up! Consider formulating a research hypothesis for your work ")</f>
        <v>Very interesting work. Keep it up! Consider formulating a research hypothesis for your work </v>
      </c>
      <c r="O295" s="142" t="str">
        <f t="shared" si="1"/>
        <v/>
      </c>
      <c r="P295" s="143" t="str">
        <f>IF(ISNA(VLOOKUP(CONCAT(M295,C295), 'Judge Count DO NOT EDIT'!H:H, 1, FALSE)), "ERROR","")</f>
        <v/>
      </c>
      <c r="Q295" s="144"/>
      <c r="R295" s="143"/>
      <c r="S295" s="139" t="str">
        <f t="shared" si="2"/>
        <v>1030174</v>
      </c>
      <c r="T295" s="141"/>
    </row>
    <row r="296">
      <c r="A296" s="137">
        <f>IFERROR(__xludf.DUMMYFUNCTION("""COMPUTED_VALUE"""),45352.48876180555)</f>
        <v>45352.48876</v>
      </c>
      <c r="B296" s="138" t="str">
        <f>IFERROR(__xludf.DUMMYFUNCTION("""COMPUTED_VALUE"""),"Peaceibisia Jack")</f>
        <v>Peaceibisia Jack</v>
      </c>
      <c r="C296" s="138">
        <f>IFERROR(__xludf.DUMMYFUNCTION("""COMPUTED_VALUE"""),1079.0)</f>
        <v>1079</v>
      </c>
      <c r="D296" s="139">
        <f>IFERROR(__xludf.DUMMYFUNCTION("""COMPUTED_VALUE"""),175.0)</f>
        <v>175</v>
      </c>
      <c r="E296" s="138">
        <f>IFERROR(__xludf.DUMMYFUNCTION("""COMPUTED_VALUE"""),4.0)</f>
        <v>4</v>
      </c>
      <c r="F296" s="138">
        <f>IFERROR(__xludf.DUMMYFUNCTION("""COMPUTED_VALUE"""),5.0)</f>
        <v>5</v>
      </c>
      <c r="G296" s="138">
        <f>IFERROR(__xludf.DUMMYFUNCTION("""COMPUTED_VALUE"""),4.0)</f>
        <v>4</v>
      </c>
      <c r="H296" s="138">
        <f>IFERROR(__xludf.DUMMYFUNCTION("""COMPUTED_VALUE"""),5.0)</f>
        <v>5</v>
      </c>
      <c r="I296" s="138">
        <f>IFERROR(__xludf.DUMMYFUNCTION("""COMPUTED_VALUE"""),4.0)</f>
        <v>4</v>
      </c>
      <c r="J296" s="138">
        <f>IFERROR(__xludf.DUMMYFUNCTION("""COMPUTED_VALUE"""),4.0)</f>
        <v>4</v>
      </c>
      <c r="K296" s="138">
        <f>IFERROR(__xludf.DUMMYFUNCTION("""COMPUTED_VALUE"""),5.0)</f>
        <v>5</v>
      </c>
      <c r="L296" s="138">
        <v>31.0</v>
      </c>
      <c r="M296" s="140" t="str">
        <f>VLOOKUP(text(D296, "#"),'Master Table'!$A:$F, 6, FALSE)</f>
        <v>B-4</v>
      </c>
      <c r="N296" s="141" t="str">
        <f>IFERROR(__xludf.DUMMYFUNCTION("""COMPUTED_VALUE"""),"Great job Jennifer, 
Note: Be confident, you know your work. It is your research and you have done exceedingly well. ")</f>
        <v>Great job Jennifer, 
Note: Be confident, you know your work. It is your research and you have done exceedingly well. </v>
      </c>
      <c r="O296" s="142" t="str">
        <f t="shared" si="1"/>
        <v/>
      </c>
      <c r="P296" s="143" t="str">
        <f>IF(ISNA(VLOOKUP(CONCAT(M296,C296), 'Judge Count DO NOT EDIT'!H:H, 1, FALSE)), "ERROR","")</f>
        <v/>
      </c>
      <c r="Q296" s="141"/>
      <c r="R296" s="143"/>
      <c r="S296" s="139" t="str">
        <f t="shared" si="2"/>
        <v>1079175</v>
      </c>
      <c r="T296" s="141"/>
    </row>
    <row r="297">
      <c r="A297" s="137">
        <f>IFERROR(__xludf.DUMMYFUNCTION("""COMPUTED_VALUE"""),45352.49003649305)</f>
        <v>45352.49004</v>
      </c>
      <c r="B297" s="138" t="str">
        <f>IFERROR(__xludf.DUMMYFUNCTION("""COMPUTED_VALUE"""),"Miguel Angel Zavala Perez ")</f>
        <v>Miguel Angel Zavala Perez </v>
      </c>
      <c r="C297" s="138">
        <f>IFERROR(__xludf.DUMMYFUNCTION("""COMPUTED_VALUE"""),1030.0)</f>
        <v>1030</v>
      </c>
      <c r="D297" s="139">
        <f>IFERROR(__xludf.DUMMYFUNCTION("""COMPUTED_VALUE"""),175.0)</f>
        <v>175</v>
      </c>
      <c r="E297" s="138">
        <f>IFERROR(__xludf.DUMMYFUNCTION("""COMPUTED_VALUE"""),4.0)</f>
        <v>4</v>
      </c>
      <c r="F297" s="138">
        <f>IFERROR(__xludf.DUMMYFUNCTION("""COMPUTED_VALUE"""),3.0)</f>
        <v>3</v>
      </c>
      <c r="G297" s="138">
        <f>IFERROR(__xludf.DUMMYFUNCTION("""COMPUTED_VALUE"""),3.0)</f>
        <v>3</v>
      </c>
      <c r="H297" s="138">
        <f>IFERROR(__xludf.DUMMYFUNCTION("""COMPUTED_VALUE"""),3.0)</f>
        <v>3</v>
      </c>
      <c r="I297" s="138">
        <f>IFERROR(__xludf.DUMMYFUNCTION("""COMPUTED_VALUE"""),3.0)</f>
        <v>3</v>
      </c>
      <c r="J297" s="138">
        <f>IFERROR(__xludf.DUMMYFUNCTION("""COMPUTED_VALUE"""),3.0)</f>
        <v>3</v>
      </c>
      <c r="K297" s="138">
        <f>IFERROR(__xludf.DUMMYFUNCTION("""COMPUTED_VALUE"""),4.0)</f>
        <v>4</v>
      </c>
      <c r="L297" s="138">
        <v>23.0</v>
      </c>
      <c r="M297" s="140" t="str">
        <f>VLOOKUP(text(D297, "#"),'Master Table'!$A:$F, 6, FALSE)</f>
        <v>B-4</v>
      </c>
      <c r="N297" s="141" t="str">
        <f>IFERROR(__xludf.DUMMYFUNCTION("""COMPUTED_VALUE"""),"Nice work, keep it up. You may want to deep into the theory of your work")</f>
        <v>Nice work, keep it up. You may want to deep into the theory of your work</v>
      </c>
      <c r="O297" s="142" t="str">
        <f t="shared" si="1"/>
        <v/>
      </c>
      <c r="P297" s="143" t="str">
        <f>IF(ISNA(VLOOKUP(CONCAT(M297,C297), 'Judge Count DO NOT EDIT'!H:H, 1, FALSE)), "ERROR","")</f>
        <v/>
      </c>
      <c r="Q297" s="141"/>
      <c r="R297" s="143"/>
      <c r="S297" s="139" t="str">
        <f t="shared" si="2"/>
        <v>1030175</v>
      </c>
      <c r="T297" s="141"/>
    </row>
    <row r="298">
      <c r="A298" s="137">
        <f>IFERROR(__xludf.DUMMYFUNCTION("""COMPUTED_VALUE"""),45352.50030905093)</f>
        <v>45352.50031</v>
      </c>
      <c r="B298" s="138" t="str">
        <f>IFERROR(__xludf.DUMMYFUNCTION("""COMPUTED_VALUE"""),"Peaceibisia Jack")</f>
        <v>Peaceibisia Jack</v>
      </c>
      <c r="C298" s="138">
        <f>IFERROR(__xludf.DUMMYFUNCTION("""COMPUTED_VALUE"""),1079.0)</f>
        <v>1079</v>
      </c>
      <c r="D298" s="139">
        <f>IFERROR(__xludf.DUMMYFUNCTION("""COMPUTED_VALUE"""),176.0)</f>
        <v>176</v>
      </c>
      <c r="E298" s="138">
        <f>IFERROR(__xludf.DUMMYFUNCTION("""COMPUTED_VALUE"""),4.0)</f>
        <v>4</v>
      </c>
      <c r="F298" s="138">
        <f>IFERROR(__xludf.DUMMYFUNCTION("""COMPUTED_VALUE"""),4.0)</f>
        <v>4</v>
      </c>
      <c r="G298" s="138">
        <f>IFERROR(__xludf.DUMMYFUNCTION("""COMPUTED_VALUE"""),4.0)</f>
        <v>4</v>
      </c>
      <c r="H298" s="138">
        <f>IFERROR(__xludf.DUMMYFUNCTION("""COMPUTED_VALUE"""),4.0)</f>
        <v>4</v>
      </c>
      <c r="I298" s="138">
        <f>IFERROR(__xludf.DUMMYFUNCTION("""COMPUTED_VALUE"""),3.0)</f>
        <v>3</v>
      </c>
      <c r="J298" s="138">
        <f>IFERROR(__xludf.DUMMYFUNCTION("""COMPUTED_VALUE"""),3.0)</f>
        <v>3</v>
      </c>
      <c r="K298" s="138">
        <f>IFERROR(__xludf.DUMMYFUNCTION("""COMPUTED_VALUE"""),4.0)</f>
        <v>4</v>
      </c>
      <c r="L298" s="138">
        <v>26.0</v>
      </c>
      <c r="M298" s="140" t="str">
        <f>VLOOKUP(text(D298, "#"),'Master Table'!$A:$F, 6, FALSE)</f>
        <v>B-4</v>
      </c>
      <c r="N298" s="141" t="str">
        <f>IFERROR(__xludf.DUMMYFUNCTION("""COMPUTED_VALUE"""),"Great Job Melanie
Note: Try to engage with your listeners and audience(eye contact) and avoid reading from the device instead use bullet points to help remember chain of thoughts and also use your slides and or presentations as a guide. 
Introduce termino"&amp;"logies- not everyone in the audience are conversant with some of the terminologies used because they are from different fields. ")</f>
        <v>Great Job Melanie
Note: Try to engage with your listeners and audience(eye contact) and avoid reading from the device instead use bullet points to help remember chain of thoughts and also use your slides and or presentations as a guide. 
Introduce terminologies- not everyone in the audience are conversant with some of the terminologies used because they are from different fields. </v>
      </c>
      <c r="O298" s="142" t="str">
        <f t="shared" si="1"/>
        <v/>
      </c>
      <c r="P298" s="143" t="str">
        <f>IF(ISNA(VLOOKUP(CONCAT(M298,C298), 'Judge Count DO NOT EDIT'!H:H, 1, FALSE)), "ERROR","")</f>
        <v/>
      </c>
      <c r="Q298" s="141"/>
      <c r="R298" s="143"/>
      <c r="S298" s="139" t="str">
        <f t="shared" si="2"/>
        <v>1079176</v>
      </c>
      <c r="T298" s="141"/>
    </row>
    <row r="299">
      <c r="A299" s="137">
        <f>IFERROR(__xludf.DUMMYFUNCTION("""COMPUTED_VALUE"""),45352.500964004634)</f>
        <v>45352.50096</v>
      </c>
      <c r="B299" s="138" t="str">
        <f>IFERROR(__xludf.DUMMYFUNCTION("""COMPUTED_VALUE"""),"Miguel Angel Zavala Perez ")</f>
        <v>Miguel Angel Zavala Perez </v>
      </c>
      <c r="C299" s="138">
        <f>IFERROR(__xludf.DUMMYFUNCTION("""COMPUTED_VALUE"""),1030.0)</f>
        <v>1030</v>
      </c>
      <c r="D299" s="139">
        <f>IFERROR(__xludf.DUMMYFUNCTION("""COMPUTED_VALUE"""),176.0)</f>
        <v>176</v>
      </c>
      <c r="E299" s="138">
        <f>IFERROR(__xludf.DUMMYFUNCTION("""COMPUTED_VALUE"""),4.0)</f>
        <v>4</v>
      </c>
      <c r="F299" s="138">
        <f>IFERROR(__xludf.DUMMYFUNCTION("""COMPUTED_VALUE"""),4.0)</f>
        <v>4</v>
      </c>
      <c r="G299" s="138">
        <f>IFERROR(__xludf.DUMMYFUNCTION("""COMPUTED_VALUE"""),4.0)</f>
        <v>4</v>
      </c>
      <c r="H299" s="138">
        <f>IFERROR(__xludf.DUMMYFUNCTION("""COMPUTED_VALUE"""),4.0)</f>
        <v>4</v>
      </c>
      <c r="I299" s="138">
        <f>IFERROR(__xludf.DUMMYFUNCTION("""COMPUTED_VALUE"""),3.0)</f>
        <v>3</v>
      </c>
      <c r="J299" s="138">
        <f>IFERROR(__xludf.DUMMYFUNCTION("""COMPUTED_VALUE"""),3.0)</f>
        <v>3</v>
      </c>
      <c r="K299" s="138">
        <f>IFERROR(__xludf.DUMMYFUNCTION("""COMPUTED_VALUE"""),4.0)</f>
        <v>4</v>
      </c>
      <c r="L299" s="138">
        <v>26.0</v>
      </c>
      <c r="M299" s="140" t="str">
        <f>VLOOKUP(text(D299, "#"),'Master Table'!$A:$F, 6, FALSE)</f>
        <v>B-4</v>
      </c>
      <c r="N299" s="141" t="str">
        <f>IFERROR(__xludf.DUMMYFUNCTION("""COMPUTED_VALUE"""),"Nice presentation, keep up the good work. I hope you enjoyed the research activities in your project")</f>
        <v>Nice presentation, keep up the good work. I hope you enjoyed the research activities in your project</v>
      </c>
      <c r="O299" s="142" t="str">
        <f t="shared" si="1"/>
        <v/>
      </c>
      <c r="P299" s="143" t="str">
        <f>IF(ISNA(VLOOKUP(CONCAT(M299,C299), 'Judge Count DO NOT EDIT'!H:H, 1, FALSE)), "ERROR","")</f>
        <v/>
      </c>
      <c r="Q299" s="141"/>
      <c r="R299" s="143"/>
      <c r="S299" s="139" t="str">
        <f t="shared" si="2"/>
        <v>1030176</v>
      </c>
      <c r="T299" s="141"/>
    </row>
    <row r="300">
      <c r="A300" s="137">
        <f>IFERROR(__xludf.DUMMYFUNCTION("""COMPUTED_VALUE"""),45352.510278263886)</f>
        <v>45352.51028</v>
      </c>
      <c r="B300" s="138" t="str">
        <f>IFERROR(__xludf.DUMMYFUNCTION("""COMPUTED_VALUE"""),"Peaceibisia Jack")</f>
        <v>Peaceibisia Jack</v>
      </c>
      <c r="C300" s="138">
        <f>IFERROR(__xludf.DUMMYFUNCTION("""COMPUTED_VALUE"""),1079.0)</f>
        <v>1079</v>
      </c>
      <c r="D300" s="139">
        <f>IFERROR(__xludf.DUMMYFUNCTION("""COMPUTED_VALUE"""),177.0)</f>
        <v>177</v>
      </c>
      <c r="E300" s="138">
        <f>IFERROR(__xludf.DUMMYFUNCTION("""COMPUTED_VALUE"""),5.0)</f>
        <v>5</v>
      </c>
      <c r="F300" s="138">
        <f>IFERROR(__xludf.DUMMYFUNCTION("""COMPUTED_VALUE"""),5.0)</f>
        <v>5</v>
      </c>
      <c r="G300" s="138">
        <f>IFERROR(__xludf.DUMMYFUNCTION("""COMPUTED_VALUE"""),4.0)</f>
        <v>4</v>
      </c>
      <c r="H300" s="138">
        <f>IFERROR(__xludf.DUMMYFUNCTION("""COMPUTED_VALUE"""),5.0)</f>
        <v>5</v>
      </c>
      <c r="I300" s="138">
        <f>IFERROR(__xludf.DUMMYFUNCTION("""COMPUTED_VALUE"""),5.0)</f>
        <v>5</v>
      </c>
      <c r="J300" s="138">
        <f>IFERROR(__xludf.DUMMYFUNCTION("""COMPUTED_VALUE"""),5.0)</f>
        <v>5</v>
      </c>
      <c r="K300" s="138">
        <f>IFERROR(__xludf.DUMMYFUNCTION("""COMPUTED_VALUE"""),5.0)</f>
        <v>5</v>
      </c>
      <c r="L300" s="138">
        <v>34.0</v>
      </c>
      <c r="M300" s="140" t="str">
        <f>VLOOKUP(text(D300, "#"),'Master Table'!$A:$F, 6, FALSE)</f>
        <v>B-4</v>
      </c>
      <c r="N300" s="141" t="str">
        <f>IFERROR(__xludf.DUMMYFUNCTION("""COMPUTED_VALUE"""),"Great job Molly!
Your presentation skills are phenomenal, You interact with your audience and break down terminologies. Good job! I applaud your efforts")</f>
        <v>Great job Molly!
Your presentation skills are phenomenal, You interact with your audience and break down terminologies. Good job! I applaud your efforts</v>
      </c>
      <c r="O300" s="142" t="str">
        <f t="shared" si="1"/>
        <v/>
      </c>
      <c r="P300" s="143" t="str">
        <f>IF(ISNA(VLOOKUP(CONCAT(M300,C300), 'Judge Count DO NOT EDIT'!H:H, 1, FALSE)), "ERROR","")</f>
        <v/>
      </c>
      <c r="Q300" s="144"/>
      <c r="R300" s="143"/>
      <c r="S300" s="139" t="str">
        <f t="shared" si="2"/>
        <v>1079177</v>
      </c>
      <c r="T300" s="141"/>
    </row>
    <row r="301">
      <c r="A301" s="137">
        <f>IFERROR(__xludf.DUMMYFUNCTION("""COMPUTED_VALUE"""),45352.51418116898)</f>
        <v>45352.51418</v>
      </c>
      <c r="B301" s="138" t="str">
        <f>IFERROR(__xludf.DUMMYFUNCTION("""COMPUTED_VALUE"""),"Miguel Angel Zavala Perez ")</f>
        <v>Miguel Angel Zavala Perez </v>
      </c>
      <c r="C301" s="138">
        <f>IFERROR(__xludf.DUMMYFUNCTION("""COMPUTED_VALUE"""),1030.0)</f>
        <v>1030</v>
      </c>
      <c r="D301" s="139">
        <f>IFERROR(__xludf.DUMMYFUNCTION("""COMPUTED_VALUE"""),177.0)</f>
        <v>177</v>
      </c>
      <c r="E301" s="138">
        <f>IFERROR(__xludf.DUMMYFUNCTION("""COMPUTED_VALUE"""),4.0)</f>
        <v>4</v>
      </c>
      <c r="F301" s="138">
        <f>IFERROR(__xludf.DUMMYFUNCTION("""COMPUTED_VALUE"""),4.0)</f>
        <v>4</v>
      </c>
      <c r="G301" s="138">
        <f>IFERROR(__xludf.DUMMYFUNCTION("""COMPUTED_VALUE"""),4.0)</f>
        <v>4</v>
      </c>
      <c r="H301" s="138">
        <f>IFERROR(__xludf.DUMMYFUNCTION("""COMPUTED_VALUE"""),4.0)</f>
        <v>4</v>
      </c>
      <c r="I301" s="138">
        <f>IFERROR(__xludf.DUMMYFUNCTION("""COMPUTED_VALUE"""),5.0)</f>
        <v>5</v>
      </c>
      <c r="J301" s="138">
        <f>IFERROR(__xludf.DUMMYFUNCTION("""COMPUTED_VALUE"""),4.0)</f>
        <v>4</v>
      </c>
      <c r="K301" s="138">
        <f>IFERROR(__xludf.DUMMYFUNCTION("""COMPUTED_VALUE"""),5.0)</f>
        <v>5</v>
      </c>
      <c r="L301" s="138">
        <v>30.0</v>
      </c>
      <c r="M301" s="140" t="str">
        <f>VLOOKUP(text(D301, "#"),'Master Table'!$A:$F, 6, FALSE)</f>
        <v>B-4</v>
      </c>
      <c r="N301" s="141" t="str">
        <f>IFERROR(__xludf.DUMMYFUNCTION("""COMPUTED_VALUE"""),"Great work, keep it up. Think about the future possibilities for applications")</f>
        <v>Great work, keep it up. Think about the future possibilities for applications</v>
      </c>
      <c r="O301" s="142" t="str">
        <f t="shared" si="1"/>
        <v/>
      </c>
      <c r="P301" s="143" t="str">
        <f>IF(ISNA(VLOOKUP(CONCAT(M301,C301), 'Judge Count DO NOT EDIT'!H:H, 1, FALSE)), "ERROR","")</f>
        <v/>
      </c>
      <c r="Q301" s="141"/>
      <c r="R301" s="143"/>
      <c r="S301" s="139" t="str">
        <f t="shared" si="2"/>
        <v>1030177</v>
      </c>
      <c r="T301" s="141"/>
    </row>
    <row r="302">
      <c r="A302" s="137">
        <f>IFERROR(__xludf.DUMMYFUNCTION("""COMPUTED_VALUE"""),45352.47225474537)</f>
        <v>45352.47225</v>
      </c>
      <c r="B302" s="138" t="str">
        <f>IFERROR(__xludf.DUMMYFUNCTION("""COMPUTED_VALUE"""),"Ian Gibson")</f>
        <v>Ian Gibson</v>
      </c>
      <c r="C302" s="138">
        <f>IFERROR(__xludf.DUMMYFUNCTION("""COMPUTED_VALUE"""),1179.0)</f>
        <v>1179</v>
      </c>
      <c r="D302" s="139">
        <f>IFERROR(__xludf.DUMMYFUNCTION("""COMPUTED_VALUE"""),178.0)</f>
        <v>178</v>
      </c>
      <c r="E302" s="138">
        <f>IFERROR(__xludf.DUMMYFUNCTION("""COMPUTED_VALUE"""),4.0)</f>
        <v>4</v>
      </c>
      <c r="F302" s="138">
        <f>IFERROR(__xludf.DUMMYFUNCTION("""COMPUTED_VALUE"""),4.0)</f>
        <v>4</v>
      </c>
      <c r="G302" s="138">
        <f>IFERROR(__xludf.DUMMYFUNCTION("""COMPUTED_VALUE"""),4.0)</f>
        <v>4</v>
      </c>
      <c r="H302" s="138">
        <f>IFERROR(__xludf.DUMMYFUNCTION("""COMPUTED_VALUE"""),4.0)</f>
        <v>4</v>
      </c>
      <c r="I302" s="138">
        <f>IFERROR(__xludf.DUMMYFUNCTION("""COMPUTED_VALUE"""),4.0)</f>
        <v>4</v>
      </c>
      <c r="J302" s="138">
        <f>IFERROR(__xludf.DUMMYFUNCTION("""COMPUTED_VALUE"""),5.0)</f>
        <v>5</v>
      </c>
      <c r="K302" s="138">
        <f>IFERROR(__xludf.DUMMYFUNCTION("""COMPUTED_VALUE"""),5.0)</f>
        <v>5</v>
      </c>
      <c r="L302" s="138">
        <v>30.0</v>
      </c>
      <c r="M302" s="140" t="str">
        <f>VLOOKUP(text(D302, "#"),'Master Table'!$A:$F, 6, FALSE)</f>
        <v>B-5</v>
      </c>
      <c r="N302" s="141" t="str">
        <f>IFERROR(__xludf.DUMMYFUNCTION("""COMPUTED_VALUE"""),"Excellent presentation. Confident delivery, showed mastery in addressing questions. Navigated us through a lot of data swiftly. ")</f>
        <v>Excellent presentation. Confident delivery, showed mastery in addressing questions. Navigated us through a lot of data swiftly. </v>
      </c>
      <c r="O302" s="142" t="str">
        <f t="shared" si="1"/>
        <v/>
      </c>
      <c r="P302" s="143" t="str">
        <f>IF(ISNA(VLOOKUP(CONCAT(M302,C302), 'Judge Count DO NOT EDIT'!H:H, 1, FALSE)), "ERROR","")</f>
        <v/>
      </c>
      <c r="Q302" s="141"/>
      <c r="R302" s="143"/>
      <c r="S302" s="139" t="str">
        <f t="shared" si="2"/>
        <v>1179178</v>
      </c>
      <c r="T302" s="141"/>
    </row>
    <row r="303">
      <c r="A303" s="137">
        <f>IFERROR(__xludf.DUMMYFUNCTION("""COMPUTED_VALUE"""),45352.473969004626)</f>
        <v>45352.47397</v>
      </c>
      <c r="B303" s="138" t="str">
        <f>IFERROR(__xludf.DUMMYFUNCTION("""COMPUTED_VALUE"""),"Robert Vargas-Belcher")</f>
        <v>Robert Vargas-Belcher</v>
      </c>
      <c r="C303" s="138">
        <f>IFERROR(__xludf.DUMMYFUNCTION("""COMPUTED_VALUE"""),1020.0)</f>
        <v>1020</v>
      </c>
      <c r="D303" s="139">
        <f>IFERROR(__xludf.DUMMYFUNCTION("""COMPUTED_VALUE"""),178.0)</f>
        <v>178</v>
      </c>
      <c r="E303" s="138">
        <f>IFERROR(__xludf.DUMMYFUNCTION("""COMPUTED_VALUE"""),4.0)</f>
        <v>4</v>
      </c>
      <c r="F303" s="138">
        <f>IFERROR(__xludf.DUMMYFUNCTION("""COMPUTED_VALUE"""),4.0)</f>
        <v>4</v>
      </c>
      <c r="G303" s="138">
        <f>IFERROR(__xludf.DUMMYFUNCTION("""COMPUTED_VALUE"""),4.0)</f>
        <v>4</v>
      </c>
      <c r="H303" s="138">
        <f>IFERROR(__xludf.DUMMYFUNCTION("""COMPUTED_VALUE"""),4.0)</f>
        <v>4</v>
      </c>
      <c r="I303" s="138">
        <f>IFERROR(__xludf.DUMMYFUNCTION("""COMPUTED_VALUE"""),4.0)</f>
        <v>4</v>
      </c>
      <c r="J303" s="138">
        <f>IFERROR(__xludf.DUMMYFUNCTION("""COMPUTED_VALUE"""),4.0)</f>
        <v>4</v>
      </c>
      <c r="K303" s="138">
        <f>IFERROR(__xludf.DUMMYFUNCTION("""COMPUTED_VALUE"""),4.0)</f>
        <v>4</v>
      </c>
      <c r="L303" s="138">
        <v>28.0</v>
      </c>
      <c r="M303" s="140" t="str">
        <f>VLOOKUP(text(D303, "#"),'Master Table'!$A:$F, 6, FALSE)</f>
        <v>B-5</v>
      </c>
      <c r="N303" s="141" t="str">
        <f>IFERROR(__xludf.DUMMYFUNCTION("""COMPUTED_VALUE"""),"Good Presentation. ")</f>
        <v>Good Presentation. </v>
      </c>
      <c r="O303" s="142" t="str">
        <f t="shared" si="1"/>
        <v/>
      </c>
      <c r="P303" s="143" t="str">
        <f>IF(ISNA(VLOOKUP(CONCAT(M303,C303), 'Judge Count DO NOT EDIT'!H:H, 1, FALSE)), "ERROR","")</f>
        <v/>
      </c>
      <c r="Q303" s="141"/>
      <c r="R303" s="143"/>
      <c r="S303" s="139" t="str">
        <f t="shared" si="2"/>
        <v>1020178</v>
      </c>
      <c r="T303" s="141"/>
    </row>
    <row r="304">
      <c r="A304" s="137">
        <f>IFERROR(__xludf.DUMMYFUNCTION("""COMPUTED_VALUE"""),45352.48095729167)</f>
        <v>45352.48096</v>
      </c>
      <c r="B304" s="138" t="str">
        <f>IFERROR(__xludf.DUMMYFUNCTION("""COMPUTED_VALUE"""),"Ian Gibson")</f>
        <v>Ian Gibson</v>
      </c>
      <c r="C304" s="138">
        <f>IFERROR(__xludf.DUMMYFUNCTION("""COMPUTED_VALUE"""),1179.0)</f>
        <v>1179</v>
      </c>
      <c r="D304" s="139">
        <f>IFERROR(__xludf.DUMMYFUNCTION("""COMPUTED_VALUE"""),179.0)</f>
        <v>179</v>
      </c>
      <c r="E304" s="138">
        <f>IFERROR(__xludf.DUMMYFUNCTION("""COMPUTED_VALUE"""),4.0)</f>
        <v>4</v>
      </c>
      <c r="F304" s="138">
        <f>IFERROR(__xludf.DUMMYFUNCTION("""COMPUTED_VALUE"""),4.0)</f>
        <v>4</v>
      </c>
      <c r="G304" s="138">
        <f>IFERROR(__xludf.DUMMYFUNCTION("""COMPUTED_VALUE"""),4.0)</f>
        <v>4</v>
      </c>
      <c r="H304" s="138">
        <f>IFERROR(__xludf.DUMMYFUNCTION("""COMPUTED_VALUE"""),4.0)</f>
        <v>4</v>
      </c>
      <c r="I304" s="138">
        <f>IFERROR(__xludf.DUMMYFUNCTION("""COMPUTED_VALUE"""),4.0)</f>
        <v>4</v>
      </c>
      <c r="J304" s="138">
        <f>IFERROR(__xludf.DUMMYFUNCTION("""COMPUTED_VALUE"""),4.0)</f>
        <v>4</v>
      </c>
      <c r="K304" s="138">
        <f>IFERROR(__xludf.DUMMYFUNCTION("""COMPUTED_VALUE"""),4.0)</f>
        <v>4</v>
      </c>
      <c r="L304" s="138">
        <v>28.0</v>
      </c>
      <c r="M304" s="140" t="str">
        <f>VLOOKUP(text(D304, "#"),'Master Table'!$A:$F, 6, FALSE)</f>
        <v>B-5</v>
      </c>
      <c r="N304" s="141" t="str">
        <f>IFERROR(__xludf.DUMMYFUNCTION("""COMPUTED_VALUE"""),"An important and potentially lifesaving issue deserving of rigorous scholarship and attention. The presenter was clear, confident, calm, and capable. I learned a great deal and thoroughly enjoyed it!")</f>
        <v>An important and potentially lifesaving issue deserving of rigorous scholarship and attention. The presenter was clear, confident, calm, and capable. I learned a great deal and thoroughly enjoyed it!</v>
      </c>
      <c r="O304" s="142" t="str">
        <f t="shared" si="1"/>
        <v/>
      </c>
      <c r="P304" s="143" t="str">
        <f>IF(ISNA(VLOOKUP(CONCAT(M304,C304), 'Judge Count DO NOT EDIT'!H:H, 1, FALSE)), "ERROR","")</f>
        <v/>
      </c>
      <c r="Q304" s="141"/>
      <c r="R304" s="143"/>
      <c r="S304" s="139" t="str">
        <f t="shared" si="2"/>
        <v>1179179</v>
      </c>
      <c r="T304" s="141"/>
    </row>
    <row r="305">
      <c r="A305" s="137">
        <f>IFERROR(__xludf.DUMMYFUNCTION("""COMPUTED_VALUE"""),45352.48786453703)</f>
        <v>45352.48786</v>
      </c>
      <c r="B305" s="138" t="str">
        <f>IFERROR(__xludf.DUMMYFUNCTION("""COMPUTED_VALUE"""),"Robert Vargas-Belcher")</f>
        <v>Robert Vargas-Belcher</v>
      </c>
      <c r="C305" s="138">
        <f>IFERROR(__xludf.DUMMYFUNCTION("""COMPUTED_VALUE"""),1020.0)</f>
        <v>1020</v>
      </c>
      <c r="D305" s="139">
        <f>IFERROR(__xludf.DUMMYFUNCTION("""COMPUTED_VALUE"""),179.0)</f>
        <v>179</v>
      </c>
      <c r="E305" s="138">
        <f>IFERROR(__xludf.DUMMYFUNCTION("""COMPUTED_VALUE"""),4.0)</f>
        <v>4</v>
      </c>
      <c r="F305" s="138">
        <f>IFERROR(__xludf.DUMMYFUNCTION("""COMPUTED_VALUE"""),4.0)</f>
        <v>4</v>
      </c>
      <c r="G305" s="138">
        <f>IFERROR(__xludf.DUMMYFUNCTION("""COMPUTED_VALUE"""),3.0)</f>
        <v>3</v>
      </c>
      <c r="H305" s="138">
        <f>IFERROR(__xludf.DUMMYFUNCTION("""COMPUTED_VALUE"""),4.0)</f>
        <v>4</v>
      </c>
      <c r="I305" s="138">
        <f>IFERROR(__xludf.DUMMYFUNCTION("""COMPUTED_VALUE"""),4.0)</f>
        <v>4</v>
      </c>
      <c r="J305" s="138">
        <f>IFERROR(__xludf.DUMMYFUNCTION("""COMPUTED_VALUE"""),4.0)</f>
        <v>4</v>
      </c>
      <c r="K305" s="138">
        <f>IFERROR(__xludf.DUMMYFUNCTION("""COMPUTED_VALUE"""),4.0)</f>
        <v>4</v>
      </c>
      <c r="L305" s="138">
        <v>27.0</v>
      </c>
      <c r="M305" s="140" t="str">
        <f>VLOOKUP(text(D305, "#"),'Master Table'!$A:$F, 6, FALSE)</f>
        <v>B-5</v>
      </c>
      <c r="N305" s="141" t="str">
        <f>IFERROR(__xludf.DUMMYFUNCTION("""COMPUTED_VALUE"""),"Interesting topic. I appreciate  the clarity on what your recommendations would be on both the improvement of assessing homelessness and the availability of sanitation. ")</f>
        <v>Interesting topic. I appreciate  the clarity on what your recommendations would be on both the improvement of assessing homelessness and the availability of sanitation. </v>
      </c>
      <c r="O305" s="142" t="str">
        <f t="shared" si="1"/>
        <v/>
      </c>
      <c r="P305" s="143" t="str">
        <f>IF(ISNA(VLOOKUP(CONCAT(M305,C305), 'Judge Count DO NOT EDIT'!H:H, 1, FALSE)), "ERROR","")</f>
        <v/>
      </c>
      <c r="Q305" s="141"/>
      <c r="R305" s="143"/>
      <c r="S305" s="139" t="str">
        <f t="shared" si="2"/>
        <v>1020179</v>
      </c>
      <c r="T305" s="141"/>
    </row>
    <row r="306">
      <c r="A306" s="137">
        <f>IFERROR(__xludf.DUMMYFUNCTION("""COMPUTED_VALUE"""),45352.49952679398)</f>
        <v>45352.49953</v>
      </c>
      <c r="B306" s="138" t="str">
        <f>IFERROR(__xludf.DUMMYFUNCTION("""COMPUTED_VALUE"""),"Robert Vargas-Belcher")</f>
        <v>Robert Vargas-Belcher</v>
      </c>
      <c r="C306" s="138">
        <f>IFERROR(__xludf.DUMMYFUNCTION("""COMPUTED_VALUE"""),1020.0)</f>
        <v>1020</v>
      </c>
      <c r="D306" s="139">
        <f>IFERROR(__xludf.DUMMYFUNCTION("""COMPUTED_VALUE"""),180.0)</f>
        <v>180</v>
      </c>
      <c r="E306" s="138">
        <f>IFERROR(__xludf.DUMMYFUNCTION("""COMPUTED_VALUE"""),4.0)</f>
        <v>4</v>
      </c>
      <c r="F306" s="138">
        <f>IFERROR(__xludf.DUMMYFUNCTION("""COMPUTED_VALUE"""),4.0)</f>
        <v>4</v>
      </c>
      <c r="G306" s="138">
        <f>IFERROR(__xludf.DUMMYFUNCTION("""COMPUTED_VALUE"""),4.0)</f>
        <v>4</v>
      </c>
      <c r="H306" s="138">
        <f>IFERROR(__xludf.DUMMYFUNCTION("""COMPUTED_VALUE"""),4.0)</f>
        <v>4</v>
      </c>
      <c r="I306" s="138">
        <f>IFERROR(__xludf.DUMMYFUNCTION("""COMPUTED_VALUE"""),4.0)</f>
        <v>4</v>
      </c>
      <c r="J306" s="138">
        <f>IFERROR(__xludf.DUMMYFUNCTION("""COMPUTED_VALUE"""),4.0)</f>
        <v>4</v>
      </c>
      <c r="K306" s="138">
        <f>IFERROR(__xludf.DUMMYFUNCTION("""COMPUTED_VALUE"""),4.0)</f>
        <v>4</v>
      </c>
      <c r="L306" s="138">
        <v>28.0</v>
      </c>
      <c r="M306" s="140" t="str">
        <f>VLOOKUP(text(D306, "#"),'Master Table'!$A:$F, 6, FALSE)</f>
        <v>B-5</v>
      </c>
      <c r="N306" s="141"/>
      <c r="O306" s="142" t="str">
        <f t="shared" si="1"/>
        <v/>
      </c>
      <c r="P306" s="143" t="str">
        <f>IF(ISNA(VLOOKUP(CONCAT(M306,C306), 'Judge Count DO NOT EDIT'!H:H, 1, FALSE)), "ERROR","")</f>
        <v/>
      </c>
      <c r="Q306" s="141"/>
      <c r="R306" s="143"/>
      <c r="S306" s="139" t="str">
        <f t="shared" si="2"/>
        <v>1020180</v>
      </c>
      <c r="T306" s="141"/>
    </row>
    <row r="307">
      <c r="A307" s="137">
        <f>IFERROR(__xludf.DUMMYFUNCTION("""COMPUTED_VALUE"""),45352.511351319445)</f>
        <v>45352.51135</v>
      </c>
      <c r="B307" s="138" t="str">
        <f>IFERROR(__xludf.DUMMYFUNCTION("""COMPUTED_VALUE"""),"Ian Gibson")</f>
        <v>Ian Gibson</v>
      </c>
      <c r="C307" s="138">
        <f>IFERROR(__xludf.DUMMYFUNCTION("""COMPUTED_VALUE"""),1179.0)</f>
        <v>1179</v>
      </c>
      <c r="D307" s="139">
        <f>IFERROR(__xludf.DUMMYFUNCTION("""COMPUTED_VALUE"""),181.0)</f>
        <v>181</v>
      </c>
      <c r="E307" s="138">
        <f>IFERROR(__xludf.DUMMYFUNCTION("""COMPUTED_VALUE"""),3.0)</f>
        <v>3</v>
      </c>
      <c r="F307" s="138">
        <f>IFERROR(__xludf.DUMMYFUNCTION("""COMPUTED_VALUE"""),2.0)</f>
        <v>2</v>
      </c>
      <c r="G307" s="138">
        <f>IFERROR(__xludf.DUMMYFUNCTION("""COMPUTED_VALUE"""),3.0)</f>
        <v>3</v>
      </c>
      <c r="H307" s="138">
        <f>IFERROR(__xludf.DUMMYFUNCTION("""COMPUTED_VALUE"""),3.0)</f>
        <v>3</v>
      </c>
      <c r="I307" s="138">
        <f>IFERROR(__xludf.DUMMYFUNCTION("""COMPUTED_VALUE"""),3.0)</f>
        <v>3</v>
      </c>
      <c r="J307" s="138">
        <f>IFERROR(__xludf.DUMMYFUNCTION("""COMPUTED_VALUE"""),3.0)</f>
        <v>3</v>
      </c>
      <c r="K307" s="138">
        <f>IFERROR(__xludf.DUMMYFUNCTION("""COMPUTED_VALUE"""),4.0)</f>
        <v>4</v>
      </c>
      <c r="L307" s="138">
        <v>21.0</v>
      </c>
      <c r="M307" s="140" t="str">
        <f>VLOOKUP(text(D307, "#"),'Master Table'!$A:$F, 6, FALSE)</f>
        <v>B-5</v>
      </c>
      <c r="N307" s="141" t="str">
        <f>IFERROR(__xludf.DUMMYFUNCTION("""COMPUTED_VALUE"""),"The presenter is clearly knowledgeable about this subject domain and demonstrated understanding of a wide array of extant literature. Given the substantial corpus of work in this arena, it isn’t clear how original or impactful this particular study is. Th"&amp;"is isn’t my field of expertise, so I can’t speak to those items. The lack of consent issue described sounds quite detrimental. Recognizing this was outside of the control of the presenter, I wonder if a second opportunity to present when she is further do"&amp;"wn the road would be beneficial. ")</f>
        <v>The presenter is clearly knowledgeable about this subject domain and demonstrated understanding of a wide array of extant literature. Given the substantial corpus of work in this arena, it isn’t clear how original or impactful this particular study is. This isn’t my field of expertise, so I can’t speak to those items. The lack of consent issue described sounds quite detrimental. Recognizing this was outside of the control of the presenter, I wonder if a second opportunity to present when she is further down the road would be beneficial. </v>
      </c>
      <c r="O307" s="142" t="str">
        <f t="shared" si="1"/>
        <v/>
      </c>
      <c r="P307" s="143" t="str">
        <f>IF(ISNA(VLOOKUP(CONCAT(M307,C307), 'Judge Count DO NOT EDIT'!H:H, 1, FALSE)), "ERROR","")</f>
        <v/>
      </c>
      <c r="Q307" s="141"/>
      <c r="R307" s="143"/>
      <c r="S307" s="139" t="str">
        <f t="shared" si="2"/>
        <v>1179181</v>
      </c>
      <c r="T307" s="141"/>
    </row>
    <row r="308">
      <c r="A308" s="137">
        <f>IFERROR(__xludf.DUMMYFUNCTION("""COMPUTED_VALUE"""),45352.51524064815)</f>
        <v>45352.51524</v>
      </c>
      <c r="B308" s="138" t="str">
        <f>IFERROR(__xludf.DUMMYFUNCTION("""COMPUTED_VALUE"""),"Robert Vargas-Belcher")</f>
        <v>Robert Vargas-Belcher</v>
      </c>
      <c r="C308" s="138">
        <f>IFERROR(__xludf.DUMMYFUNCTION("""COMPUTED_VALUE"""),1020.0)</f>
        <v>1020</v>
      </c>
      <c r="D308" s="139">
        <f>IFERROR(__xludf.DUMMYFUNCTION("""COMPUTED_VALUE"""),181.0)</f>
        <v>181</v>
      </c>
      <c r="E308" s="138">
        <f>IFERROR(__xludf.DUMMYFUNCTION("""COMPUTED_VALUE"""),3.0)</f>
        <v>3</v>
      </c>
      <c r="F308" s="138">
        <f>IFERROR(__xludf.DUMMYFUNCTION("""COMPUTED_VALUE"""),4.0)</f>
        <v>4</v>
      </c>
      <c r="G308" s="138">
        <f>IFERROR(__xludf.DUMMYFUNCTION("""COMPUTED_VALUE"""),4.0)</f>
        <v>4</v>
      </c>
      <c r="H308" s="138">
        <f>IFERROR(__xludf.DUMMYFUNCTION("""COMPUTED_VALUE"""),4.0)</f>
        <v>4</v>
      </c>
      <c r="I308" s="138">
        <f>IFERROR(__xludf.DUMMYFUNCTION("""COMPUTED_VALUE"""),4.0)</f>
        <v>4</v>
      </c>
      <c r="J308" s="138">
        <f>IFERROR(__xludf.DUMMYFUNCTION("""COMPUTED_VALUE"""),3.0)</f>
        <v>3</v>
      </c>
      <c r="K308" s="138">
        <f>IFERROR(__xludf.DUMMYFUNCTION("""COMPUTED_VALUE"""),3.0)</f>
        <v>3</v>
      </c>
      <c r="L308" s="138">
        <v>25.0</v>
      </c>
      <c r="M308" s="140" t="str">
        <f>VLOOKUP(text(D308, "#"),'Master Table'!$A:$F, 6, FALSE)</f>
        <v>B-5</v>
      </c>
      <c r="N308" s="141"/>
      <c r="O308" s="142" t="str">
        <f t="shared" si="1"/>
        <v/>
      </c>
      <c r="P308" s="143" t="str">
        <f>IF(ISNA(VLOOKUP(CONCAT(M308,C308), 'Judge Count DO NOT EDIT'!H:H, 1, FALSE)), "ERROR","")</f>
        <v/>
      </c>
      <c r="Q308" s="141"/>
      <c r="R308" s="143"/>
      <c r="S308" s="139" t="str">
        <f t="shared" si="2"/>
        <v>1020181</v>
      </c>
      <c r="T308" s="141"/>
    </row>
    <row r="309">
      <c r="A309" s="137">
        <f>IFERROR(__xludf.DUMMYFUNCTION("""COMPUTED_VALUE"""),45352.52606809028)</f>
        <v>45352.52607</v>
      </c>
      <c r="B309" s="138" t="str">
        <f>IFERROR(__xludf.DUMMYFUNCTION("""COMPUTED_VALUE"""),"Ian Gibson")</f>
        <v>Ian Gibson</v>
      </c>
      <c r="C309" s="138">
        <f>IFERROR(__xludf.DUMMYFUNCTION("""COMPUTED_VALUE"""),1179.0)</f>
        <v>1179</v>
      </c>
      <c r="D309" s="139">
        <f>IFERROR(__xludf.DUMMYFUNCTION("""COMPUTED_VALUE"""),182.0)</f>
        <v>182</v>
      </c>
      <c r="E309" s="138">
        <f>IFERROR(__xludf.DUMMYFUNCTION("""COMPUTED_VALUE"""),5.0)</f>
        <v>5</v>
      </c>
      <c r="F309" s="138">
        <f>IFERROR(__xludf.DUMMYFUNCTION("""COMPUTED_VALUE"""),4.0)</f>
        <v>4</v>
      </c>
      <c r="G309" s="138">
        <f>IFERROR(__xludf.DUMMYFUNCTION("""COMPUTED_VALUE"""),4.0)</f>
        <v>4</v>
      </c>
      <c r="H309" s="138">
        <f>IFERROR(__xludf.DUMMYFUNCTION("""COMPUTED_VALUE"""),4.0)</f>
        <v>4</v>
      </c>
      <c r="I309" s="138">
        <f>IFERROR(__xludf.DUMMYFUNCTION("""COMPUTED_VALUE"""),5.0)</f>
        <v>5</v>
      </c>
      <c r="J309" s="138">
        <f>IFERROR(__xludf.DUMMYFUNCTION("""COMPUTED_VALUE"""),5.0)</f>
        <v>5</v>
      </c>
      <c r="K309" s="138">
        <f>IFERROR(__xludf.DUMMYFUNCTION("""COMPUTED_VALUE"""),5.0)</f>
        <v>5</v>
      </c>
      <c r="L309" s="138">
        <v>32.0</v>
      </c>
      <c r="M309" s="140" t="str">
        <f>VLOOKUP(text(D309, "#"),'Master Table'!$A:$F, 6, FALSE)</f>
        <v>B-5</v>
      </c>
      <c r="N309" s="141" t="str">
        <f>IFERROR(__xludf.DUMMYFUNCTION("""COMPUTED_VALUE"""),"Phenomenal presentation. She was extremely well prepared, clear and confident. Her study appears well constructed and meaningful. This was one of the very best presentations of the day. Well done!")</f>
        <v>Phenomenal presentation. She was extremely well prepared, clear and confident. Her study appears well constructed and meaningful. This was one of the very best presentations of the day. Well done!</v>
      </c>
      <c r="O309" s="142" t="str">
        <f t="shared" si="1"/>
        <v/>
      </c>
      <c r="P309" s="143" t="str">
        <f>IF(ISNA(VLOOKUP(CONCAT(M309,C309), 'Judge Count DO NOT EDIT'!H:H, 1, FALSE)), "ERROR","")</f>
        <v/>
      </c>
      <c r="Q309" s="141"/>
      <c r="R309" s="143"/>
      <c r="S309" s="139" t="str">
        <f t="shared" si="2"/>
        <v>1179182</v>
      </c>
      <c r="T309" s="141"/>
    </row>
    <row r="310">
      <c r="A310" s="137">
        <f>IFERROR(__xludf.DUMMYFUNCTION("""COMPUTED_VALUE"""),45352.52919030093)</f>
        <v>45352.52919</v>
      </c>
      <c r="B310" s="138" t="str">
        <f>IFERROR(__xludf.DUMMYFUNCTION("""COMPUTED_VALUE"""),"Robert Vargas-Belcher")</f>
        <v>Robert Vargas-Belcher</v>
      </c>
      <c r="C310" s="138">
        <f>IFERROR(__xludf.DUMMYFUNCTION("""COMPUTED_VALUE"""),1020.0)</f>
        <v>1020</v>
      </c>
      <c r="D310" s="139">
        <f>IFERROR(__xludf.DUMMYFUNCTION("""COMPUTED_VALUE"""),182.0)</f>
        <v>182</v>
      </c>
      <c r="E310" s="138">
        <f>IFERROR(__xludf.DUMMYFUNCTION("""COMPUTED_VALUE"""),5.0)</f>
        <v>5</v>
      </c>
      <c r="F310" s="138">
        <f>IFERROR(__xludf.DUMMYFUNCTION("""COMPUTED_VALUE"""),4.0)</f>
        <v>4</v>
      </c>
      <c r="G310" s="138">
        <f>IFERROR(__xludf.DUMMYFUNCTION("""COMPUTED_VALUE"""),3.0)</f>
        <v>3</v>
      </c>
      <c r="H310" s="138">
        <f>IFERROR(__xludf.DUMMYFUNCTION("""COMPUTED_VALUE"""),4.0)</f>
        <v>4</v>
      </c>
      <c r="I310" s="138">
        <f>IFERROR(__xludf.DUMMYFUNCTION("""COMPUTED_VALUE"""),5.0)</f>
        <v>5</v>
      </c>
      <c r="J310" s="138">
        <f>IFERROR(__xludf.DUMMYFUNCTION("""COMPUTED_VALUE"""),5.0)</f>
        <v>5</v>
      </c>
      <c r="K310" s="138">
        <f>IFERROR(__xludf.DUMMYFUNCTION("""COMPUTED_VALUE"""),4.0)</f>
        <v>4</v>
      </c>
      <c r="L310" s="138">
        <v>30.0</v>
      </c>
      <c r="M310" s="140" t="str">
        <f>VLOOKUP(text(D310, "#"),'Master Table'!$A:$F, 6, FALSE)</f>
        <v>B-5</v>
      </c>
      <c r="N310" s="141" t="str">
        <f>IFERROR(__xludf.DUMMYFUNCTION("""COMPUTED_VALUE"""),"Very good presentation. While this is not my field of study I was able to follow along very easily. 
")</f>
        <v>Very good presentation. While this is not my field of study I was able to follow along very easily. 
</v>
      </c>
      <c r="O310" s="142" t="str">
        <f t="shared" si="1"/>
        <v/>
      </c>
      <c r="P310" s="143" t="str">
        <f>IF(ISNA(VLOOKUP(CONCAT(M310,C310), 'Judge Count DO NOT EDIT'!H:H, 1, FALSE)), "ERROR","")</f>
        <v/>
      </c>
      <c r="Q310" s="144"/>
      <c r="R310" s="143"/>
      <c r="S310" s="139" t="str">
        <f t="shared" si="2"/>
        <v>1020182</v>
      </c>
      <c r="T310" s="141"/>
    </row>
    <row r="311">
      <c r="A311" s="137">
        <f>IFERROR(__xludf.DUMMYFUNCTION("""COMPUTED_VALUE"""),45352.539961585644)</f>
        <v>45352.53996</v>
      </c>
      <c r="B311" s="138" t="str">
        <f>IFERROR(__xludf.DUMMYFUNCTION("""COMPUTED_VALUE"""),"Robert Vargas-Belcher")</f>
        <v>Robert Vargas-Belcher</v>
      </c>
      <c r="C311" s="138">
        <f>IFERROR(__xludf.DUMMYFUNCTION("""COMPUTED_VALUE"""),1020.0)</f>
        <v>1020</v>
      </c>
      <c r="D311" s="139">
        <f>IFERROR(__xludf.DUMMYFUNCTION("""COMPUTED_VALUE"""),183.0)</f>
        <v>183</v>
      </c>
      <c r="E311" s="138">
        <f>IFERROR(__xludf.DUMMYFUNCTION("""COMPUTED_VALUE"""),4.0)</f>
        <v>4</v>
      </c>
      <c r="F311" s="138">
        <f>IFERROR(__xludf.DUMMYFUNCTION("""COMPUTED_VALUE"""),5.0)</f>
        <v>5</v>
      </c>
      <c r="G311" s="138">
        <f>IFERROR(__xludf.DUMMYFUNCTION("""COMPUTED_VALUE"""),5.0)</f>
        <v>5</v>
      </c>
      <c r="H311" s="138">
        <f>IFERROR(__xludf.DUMMYFUNCTION("""COMPUTED_VALUE"""),4.0)</f>
        <v>4</v>
      </c>
      <c r="I311" s="138">
        <f>IFERROR(__xludf.DUMMYFUNCTION("""COMPUTED_VALUE"""),4.0)</f>
        <v>4</v>
      </c>
      <c r="J311" s="138">
        <f>IFERROR(__xludf.DUMMYFUNCTION("""COMPUTED_VALUE"""),4.0)</f>
        <v>4</v>
      </c>
      <c r="K311" s="138">
        <f>IFERROR(__xludf.DUMMYFUNCTION("""COMPUTED_VALUE"""),4.0)</f>
        <v>4</v>
      </c>
      <c r="L311" s="138">
        <v>30.0</v>
      </c>
      <c r="M311" s="140" t="str">
        <f>VLOOKUP(text(D311, "#"),'Master Table'!$A:$F, 6, FALSE)</f>
        <v>B-5</v>
      </c>
      <c r="N311" s="141" t="str">
        <f>IFERROR(__xludf.DUMMYFUNCTION("""COMPUTED_VALUE"""),"Great Presentation. Identifying a gap in the literature and finding a way to fill that gap. Well organized and clearly presented. ")</f>
        <v>Great Presentation. Identifying a gap in the literature and finding a way to fill that gap. Well organized and clearly presented. </v>
      </c>
      <c r="O311" s="142" t="str">
        <f t="shared" si="1"/>
        <v/>
      </c>
      <c r="P311" s="143" t="str">
        <f>IF(ISNA(VLOOKUP(CONCAT(M311,C311), 'Judge Count DO NOT EDIT'!H:H, 1, FALSE)), "ERROR","")</f>
        <v/>
      </c>
      <c r="Q311" s="141"/>
      <c r="R311" s="143"/>
      <c r="S311" s="139" t="str">
        <f t="shared" si="2"/>
        <v>1020183</v>
      </c>
      <c r="T311" s="141"/>
    </row>
    <row r="312">
      <c r="A312" s="137">
        <f>IFERROR(__xludf.DUMMYFUNCTION("""COMPUTED_VALUE"""),45352.47431712963)</f>
        <v>45352.47432</v>
      </c>
      <c r="B312" s="138" t="str">
        <f>IFERROR(__xludf.DUMMYFUNCTION("""COMPUTED_VALUE"""),"Stanley Maloy")</f>
        <v>Stanley Maloy</v>
      </c>
      <c r="C312" s="138">
        <f>IFERROR(__xludf.DUMMYFUNCTION("""COMPUTED_VALUE"""),1041.0)</f>
        <v>1041</v>
      </c>
      <c r="D312" s="139">
        <f>IFERROR(__xludf.DUMMYFUNCTION("""COMPUTED_VALUE"""),184.0)</f>
        <v>184</v>
      </c>
      <c r="E312" s="138">
        <f>IFERROR(__xludf.DUMMYFUNCTION("""COMPUTED_VALUE"""),4.0)</f>
        <v>4</v>
      </c>
      <c r="F312" s="138">
        <f>IFERROR(__xludf.DUMMYFUNCTION("""COMPUTED_VALUE"""),4.0)</f>
        <v>4</v>
      </c>
      <c r="G312" s="138">
        <f>IFERROR(__xludf.DUMMYFUNCTION("""COMPUTED_VALUE"""),4.0)</f>
        <v>4</v>
      </c>
      <c r="H312" s="138">
        <f>IFERROR(__xludf.DUMMYFUNCTION("""COMPUTED_VALUE"""),4.0)</f>
        <v>4</v>
      </c>
      <c r="I312" s="138">
        <f>IFERROR(__xludf.DUMMYFUNCTION("""COMPUTED_VALUE"""),4.0)</f>
        <v>4</v>
      </c>
      <c r="J312" s="138">
        <f>IFERROR(__xludf.DUMMYFUNCTION("""COMPUTED_VALUE"""),4.0)</f>
        <v>4</v>
      </c>
      <c r="K312" s="138">
        <f>IFERROR(__xludf.DUMMYFUNCTION("""COMPUTED_VALUE"""),5.0)</f>
        <v>5</v>
      </c>
      <c r="L312" s="138">
        <v>29.0</v>
      </c>
      <c r="M312" s="140" t="str">
        <f>VLOOKUP(text(D312, "#"),'Master Table'!$A:$F, 6, FALSE)</f>
        <v>B-6</v>
      </c>
      <c r="N312" s="141" t="str">
        <f>IFERROR(__xludf.DUMMYFUNCTION("""COMPUTED_VALUE"""),"Very interesting presentation. Look forward to results!")</f>
        <v>Very interesting presentation. Look forward to results!</v>
      </c>
      <c r="O312" s="142" t="str">
        <f t="shared" si="1"/>
        <v/>
      </c>
      <c r="P312" s="143" t="str">
        <f>IF(ISNA(VLOOKUP(CONCAT(M312,C312), 'Judge Count DO NOT EDIT'!H:H, 1, FALSE)), "ERROR","")</f>
        <v/>
      </c>
      <c r="Q312" s="141"/>
      <c r="R312" s="143"/>
      <c r="S312" s="139" t="str">
        <f t="shared" si="2"/>
        <v>1041184</v>
      </c>
      <c r="T312" s="141"/>
    </row>
    <row r="313">
      <c r="A313" s="137">
        <f>IFERROR(__xludf.DUMMYFUNCTION("""COMPUTED_VALUE"""),45352.47491804398)</f>
        <v>45352.47492</v>
      </c>
      <c r="B313" s="138" t="str">
        <f>IFERROR(__xludf.DUMMYFUNCTION("""COMPUTED_VALUE"""),"Sanford Bernstein")</f>
        <v>Sanford Bernstein</v>
      </c>
      <c r="C313" s="138">
        <f>IFERROR(__xludf.DUMMYFUNCTION("""COMPUTED_VALUE"""),1047.0)</f>
        <v>1047</v>
      </c>
      <c r="D313" s="139">
        <f>IFERROR(__xludf.DUMMYFUNCTION("""COMPUTED_VALUE"""),184.0)</f>
        <v>184</v>
      </c>
      <c r="E313" s="138">
        <f>IFERROR(__xludf.DUMMYFUNCTION("""COMPUTED_VALUE"""),4.0)</f>
        <v>4</v>
      </c>
      <c r="F313" s="138">
        <f>IFERROR(__xludf.DUMMYFUNCTION("""COMPUTED_VALUE"""),4.0)</f>
        <v>4</v>
      </c>
      <c r="G313" s="138">
        <f>IFERROR(__xludf.DUMMYFUNCTION("""COMPUTED_VALUE"""),4.0)</f>
        <v>4</v>
      </c>
      <c r="H313" s="138">
        <f>IFERROR(__xludf.DUMMYFUNCTION("""COMPUTED_VALUE"""),4.0)</f>
        <v>4</v>
      </c>
      <c r="I313" s="138">
        <f>IFERROR(__xludf.DUMMYFUNCTION("""COMPUTED_VALUE"""),5.0)</f>
        <v>5</v>
      </c>
      <c r="J313" s="138">
        <f>IFERROR(__xludf.DUMMYFUNCTION("""COMPUTED_VALUE"""),5.0)</f>
        <v>5</v>
      </c>
      <c r="K313" s="138">
        <f>IFERROR(__xludf.DUMMYFUNCTION("""COMPUTED_VALUE"""),4.0)</f>
        <v>4</v>
      </c>
      <c r="L313" s="138">
        <v>30.0</v>
      </c>
      <c r="M313" s="140" t="str">
        <f>VLOOKUP(text(D313, "#"),'Master Table'!$A:$F, 6, FALSE)</f>
        <v>B-6</v>
      </c>
      <c r="N313" s="141" t="str">
        <f>IFERROR(__xludf.DUMMYFUNCTION("""COMPUTED_VALUE"""),"Overall an excellent talk. Might give a sentence upfront to clue audience that snakes will be the ultimate topic of research. Very poised and clear speaker. Look forward to your data analysis. ")</f>
        <v>Overall an excellent talk. Might give a sentence upfront to clue audience that snakes will be the ultimate topic of research. Very poised and clear speaker. Look forward to your data analysis. </v>
      </c>
      <c r="O313" s="142" t="str">
        <f t="shared" si="1"/>
        <v/>
      </c>
      <c r="P313" s="143" t="str">
        <f>IF(ISNA(VLOOKUP(CONCAT(M313,C313), 'Judge Count DO NOT EDIT'!H:H, 1, FALSE)), "ERROR","")</f>
        <v/>
      </c>
      <c r="Q313" s="141"/>
      <c r="R313" s="143"/>
      <c r="S313" s="139" t="str">
        <f t="shared" si="2"/>
        <v>1047184</v>
      </c>
      <c r="T313" s="141"/>
    </row>
    <row r="314">
      <c r="A314" s="137">
        <f>IFERROR(__xludf.DUMMYFUNCTION("""COMPUTED_VALUE"""),45352.47718469908)</f>
        <v>45352.47718</v>
      </c>
      <c r="B314" s="138" t="str">
        <f>IFERROR(__xludf.DUMMYFUNCTION("""COMPUTED_VALUE"""),"delores fisher")</f>
        <v>delores fisher</v>
      </c>
      <c r="C314" s="138">
        <f>IFERROR(__xludf.DUMMYFUNCTION("""COMPUTED_VALUE"""),1169.0)</f>
        <v>1169</v>
      </c>
      <c r="D314" s="139">
        <f>IFERROR(__xludf.DUMMYFUNCTION("""COMPUTED_VALUE"""),184.0)</f>
        <v>184</v>
      </c>
      <c r="E314" s="138">
        <f>IFERROR(__xludf.DUMMYFUNCTION("""COMPUTED_VALUE"""),3.0)</f>
        <v>3</v>
      </c>
      <c r="F314" s="138">
        <f>IFERROR(__xludf.DUMMYFUNCTION("""COMPUTED_VALUE"""),3.0)</f>
        <v>3</v>
      </c>
      <c r="G314" s="138">
        <f>IFERROR(__xludf.DUMMYFUNCTION("""COMPUTED_VALUE"""),3.0)</f>
        <v>3</v>
      </c>
      <c r="H314" s="138">
        <f>IFERROR(__xludf.DUMMYFUNCTION("""COMPUTED_VALUE"""),4.0)</f>
        <v>4</v>
      </c>
      <c r="I314" s="138">
        <f>IFERROR(__xludf.DUMMYFUNCTION("""COMPUTED_VALUE"""),3.0)</f>
        <v>3</v>
      </c>
      <c r="J314" s="138">
        <f>IFERROR(__xludf.DUMMYFUNCTION("""COMPUTED_VALUE"""),3.0)</f>
        <v>3</v>
      </c>
      <c r="K314" s="138">
        <f>IFERROR(__xludf.DUMMYFUNCTION("""COMPUTED_VALUE"""),3.0)</f>
        <v>3</v>
      </c>
      <c r="L314" s="138">
        <v>22.0</v>
      </c>
      <c r="M314" s="140" t="str">
        <f>VLOOKUP(text(D314, "#"),'Master Table'!$A:$F, 6, FALSE)</f>
        <v>B-6</v>
      </c>
      <c r="N314" s="141"/>
      <c r="O314" s="142" t="str">
        <f t="shared" si="1"/>
        <v/>
      </c>
      <c r="P314" s="143" t="str">
        <f>IF(ISNA(VLOOKUP(CONCAT(M314,C314), 'Judge Count DO NOT EDIT'!H:H, 1, FALSE)), "ERROR","")</f>
        <v/>
      </c>
      <c r="Q314" s="141"/>
      <c r="R314" s="143"/>
      <c r="S314" s="139" t="str">
        <f t="shared" si="2"/>
        <v>1169184</v>
      </c>
      <c r="T314" s="141"/>
    </row>
    <row r="315">
      <c r="A315" s="137">
        <f>IFERROR(__xludf.DUMMYFUNCTION("""COMPUTED_VALUE"""),45352.60660403935)</f>
        <v>45352.6066</v>
      </c>
      <c r="B315" s="138" t="str">
        <f>IFERROR(__xludf.DUMMYFUNCTION("""COMPUTED_VALUE"""),"Mark Beatty")</f>
        <v>Mark Beatty</v>
      </c>
      <c r="C315" s="138">
        <f>IFERROR(__xludf.DUMMYFUNCTION("""COMPUTED_VALUE"""),1237.0)</f>
        <v>1237</v>
      </c>
      <c r="D315" s="139">
        <f>IFERROR(__xludf.DUMMYFUNCTION("""COMPUTED_VALUE"""),184.0)</f>
        <v>184</v>
      </c>
      <c r="E315" s="138">
        <f>IFERROR(__xludf.DUMMYFUNCTION("""COMPUTED_VALUE"""),5.0)</f>
        <v>5</v>
      </c>
      <c r="F315" s="138">
        <f>IFERROR(__xludf.DUMMYFUNCTION("""COMPUTED_VALUE"""),5.0)</f>
        <v>5</v>
      </c>
      <c r="G315" s="138">
        <f>IFERROR(__xludf.DUMMYFUNCTION("""COMPUTED_VALUE"""),5.0)</f>
        <v>5</v>
      </c>
      <c r="H315" s="138">
        <f>IFERROR(__xludf.DUMMYFUNCTION("""COMPUTED_VALUE"""),5.0)</f>
        <v>5</v>
      </c>
      <c r="I315" s="138">
        <f>IFERROR(__xludf.DUMMYFUNCTION("""COMPUTED_VALUE"""),5.0)</f>
        <v>5</v>
      </c>
      <c r="J315" s="138">
        <f>IFERROR(__xludf.DUMMYFUNCTION("""COMPUTED_VALUE"""),5.0)</f>
        <v>5</v>
      </c>
      <c r="K315" s="138">
        <f>IFERROR(__xludf.DUMMYFUNCTION("""COMPUTED_VALUE"""),4.0)</f>
        <v>4</v>
      </c>
      <c r="L315" s="138">
        <v>34.0</v>
      </c>
      <c r="M315" s="140" t="str">
        <f>VLOOKUP(text(D315, "#"),'Master Table'!$A:$F, 6, FALSE)</f>
        <v>B-6</v>
      </c>
      <c r="N315" s="141" t="str">
        <f>IFERROR(__xludf.DUMMYFUNCTION("""COMPUTED_VALUE"""),"Great job")</f>
        <v>Great job</v>
      </c>
      <c r="O315" s="142" t="str">
        <f t="shared" si="1"/>
        <v/>
      </c>
      <c r="P315" s="143" t="str">
        <f>IF(ISNA(VLOOKUP(CONCAT(M315,C315), 'Judge Count DO NOT EDIT'!H:H, 1, FALSE)), "ERROR","")</f>
        <v/>
      </c>
      <c r="Q315" s="141"/>
      <c r="R315" s="143"/>
      <c r="S315" s="139" t="str">
        <f t="shared" si="2"/>
        <v>1237184</v>
      </c>
      <c r="T315" s="141"/>
    </row>
    <row r="316">
      <c r="A316" s="137">
        <f>IFERROR(__xludf.DUMMYFUNCTION("""COMPUTED_VALUE"""),45352.486493993056)</f>
        <v>45352.48649</v>
      </c>
      <c r="B316" s="138" t="str">
        <f>IFERROR(__xludf.DUMMYFUNCTION("""COMPUTED_VALUE"""),"Sanford Bernstein")</f>
        <v>Sanford Bernstein</v>
      </c>
      <c r="C316" s="138">
        <f>IFERROR(__xludf.DUMMYFUNCTION("""COMPUTED_VALUE"""),1047.0)</f>
        <v>1047</v>
      </c>
      <c r="D316" s="139">
        <f>IFERROR(__xludf.DUMMYFUNCTION("""COMPUTED_VALUE"""),185.0)</f>
        <v>185</v>
      </c>
      <c r="E316" s="138">
        <f>IFERROR(__xludf.DUMMYFUNCTION("""COMPUTED_VALUE"""),4.0)</f>
        <v>4</v>
      </c>
      <c r="F316" s="138">
        <f>IFERROR(__xludf.DUMMYFUNCTION("""COMPUTED_VALUE"""),3.0)</f>
        <v>3</v>
      </c>
      <c r="G316" s="138">
        <f>IFERROR(__xludf.DUMMYFUNCTION("""COMPUTED_VALUE"""),4.0)</f>
        <v>4</v>
      </c>
      <c r="H316" s="138">
        <f>IFERROR(__xludf.DUMMYFUNCTION("""COMPUTED_VALUE"""),4.0)</f>
        <v>4</v>
      </c>
      <c r="I316" s="138">
        <f>IFERROR(__xludf.DUMMYFUNCTION("""COMPUTED_VALUE"""),3.0)</f>
        <v>3</v>
      </c>
      <c r="J316" s="138">
        <f>IFERROR(__xludf.DUMMYFUNCTION("""COMPUTED_VALUE"""),3.0)</f>
        <v>3</v>
      </c>
      <c r="K316" s="138">
        <f>IFERROR(__xludf.DUMMYFUNCTION("""COMPUTED_VALUE"""),4.0)</f>
        <v>4</v>
      </c>
      <c r="L316" s="138">
        <v>25.0</v>
      </c>
      <c r="M316" s="140" t="str">
        <f>VLOOKUP(text(D316, "#"),'Master Table'!$A:$F, 6, FALSE)</f>
        <v>B-6</v>
      </c>
      <c r="N316" s="141" t="str">
        <f>IFERROR(__xludf.DUMMYFUNCTION("""COMPUTED_VALUE"""),"Very nice talk with wonderful images. Larger size and reduced length of text might improve slides. A little more detail on how assessment was done would be helpful. Excellent ability to answer questions. ")</f>
        <v>Very nice talk with wonderful images. Larger size and reduced length of text might improve slides. A little more detail on how assessment was done would be helpful. Excellent ability to answer questions. </v>
      </c>
      <c r="O316" s="142" t="str">
        <f t="shared" si="1"/>
        <v/>
      </c>
      <c r="P316" s="143" t="str">
        <f>IF(ISNA(VLOOKUP(CONCAT(M316,C316), 'Judge Count DO NOT EDIT'!H:H, 1, FALSE)), "ERROR","")</f>
        <v/>
      </c>
      <c r="R316" s="143"/>
      <c r="S316" s="139" t="str">
        <f t="shared" si="2"/>
        <v>1047185</v>
      </c>
      <c r="T316" s="141"/>
    </row>
    <row r="317">
      <c r="A317" s="137">
        <f>IFERROR(__xludf.DUMMYFUNCTION("""COMPUTED_VALUE"""),45352.48805697917)</f>
        <v>45352.48806</v>
      </c>
      <c r="B317" s="138" t="str">
        <f>IFERROR(__xludf.DUMMYFUNCTION("""COMPUTED_VALUE"""),"Stanley Maloy")</f>
        <v>Stanley Maloy</v>
      </c>
      <c r="C317" s="138">
        <f>IFERROR(__xludf.DUMMYFUNCTION("""COMPUTED_VALUE"""),1041.0)</f>
        <v>1041</v>
      </c>
      <c r="D317" s="139">
        <f>IFERROR(__xludf.DUMMYFUNCTION("""COMPUTED_VALUE"""),185.0)</f>
        <v>185</v>
      </c>
      <c r="E317" s="138">
        <f>IFERROR(__xludf.DUMMYFUNCTION("""COMPUTED_VALUE"""),3.0)</f>
        <v>3</v>
      </c>
      <c r="F317" s="138">
        <f>IFERROR(__xludf.DUMMYFUNCTION("""COMPUTED_VALUE"""),3.0)</f>
        <v>3</v>
      </c>
      <c r="G317" s="138">
        <f>IFERROR(__xludf.DUMMYFUNCTION("""COMPUTED_VALUE"""),3.0)</f>
        <v>3</v>
      </c>
      <c r="H317" s="138">
        <f>IFERROR(__xludf.DUMMYFUNCTION("""COMPUTED_VALUE"""),3.0)</f>
        <v>3</v>
      </c>
      <c r="I317" s="138">
        <f>IFERROR(__xludf.DUMMYFUNCTION("""COMPUTED_VALUE"""),2.0)</f>
        <v>2</v>
      </c>
      <c r="J317" s="138">
        <f>IFERROR(__xludf.DUMMYFUNCTION("""COMPUTED_VALUE"""),2.0)</f>
        <v>2</v>
      </c>
      <c r="K317" s="138">
        <f>IFERROR(__xludf.DUMMYFUNCTION("""COMPUTED_VALUE"""),3.0)</f>
        <v>3</v>
      </c>
      <c r="L317" s="138">
        <v>19.0</v>
      </c>
      <c r="M317" s="140" t="str">
        <f>VLOOKUP(text(D317, "#"),'Master Table'!$A:$F, 6, FALSE)</f>
        <v>B-6</v>
      </c>
      <c r="N317" s="141" t="str">
        <f>IFERROR(__xludf.DUMMYFUNCTION("""COMPUTED_VALUE"""),"Try to use slides for prompts instead of reading from computer. Interesting problem. ")</f>
        <v>Try to use slides for prompts instead of reading from computer. Interesting problem. </v>
      </c>
      <c r="O317" s="142" t="str">
        <f t="shared" si="1"/>
        <v/>
      </c>
      <c r="P317" s="143" t="str">
        <f>IF(ISNA(VLOOKUP(CONCAT(M317,C317), 'Judge Count DO NOT EDIT'!H:H, 1, FALSE)), "ERROR","")</f>
        <v/>
      </c>
      <c r="Q317" s="141"/>
      <c r="R317" s="143"/>
      <c r="S317" s="139" t="str">
        <f t="shared" si="2"/>
        <v>1041185</v>
      </c>
      <c r="T317" s="141"/>
    </row>
    <row r="318">
      <c r="A318" s="137">
        <f>IFERROR(__xludf.DUMMYFUNCTION("""COMPUTED_VALUE"""),45352.48808846065)</f>
        <v>45352.48809</v>
      </c>
      <c r="B318" s="138" t="str">
        <f>IFERROR(__xludf.DUMMYFUNCTION("""COMPUTED_VALUE"""),"delores fisher")</f>
        <v>delores fisher</v>
      </c>
      <c r="C318" s="138">
        <f>IFERROR(__xludf.DUMMYFUNCTION("""COMPUTED_VALUE"""),1169.0)</f>
        <v>1169</v>
      </c>
      <c r="D318" s="139">
        <f>IFERROR(__xludf.DUMMYFUNCTION("""COMPUTED_VALUE"""),185.0)</f>
        <v>185</v>
      </c>
      <c r="E318" s="138">
        <f>IFERROR(__xludf.DUMMYFUNCTION("""COMPUTED_VALUE"""),4.0)</f>
        <v>4</v>
      </c>
      <c r="F318" s="138">
        <f>IFERROR(__xludf.DUMMYFUNCTION("""COMPUTED_VALUE"""),5.0)</f>
        <v>5</v>
      </c>
      <c r="G318" s="138">
        <f>IFERROR(__xludf.DUMMYFUNCTION("""COMPUTED_VALUE"""),3.0)</f>
        <v>3</v>
      </c>
      <c r="H318" s="138">
        <f>IFERROR(__xludf.DUMMYFUNCTION("""COMPUTED_VALUE"""),4.0)</f>
        <v>4</v>
      </c>
      <c r="I318" s="138">
        <f>IFERROR(__xludf.DUMMYFUNCTION("""COMPUTED_VALUE"""),4.0)</f>
        <v>4</v>
      </c>
      <c r="J318" s="138">
        <f>IFERROR(__xludf.DUMMYFUNCTION("""COMPUTED_VALUE"""),4.0)</f>
        <v>4</v>
      </c>
      <c r="K318" s="138">
        <f>IFERROR(__xludf.DUMMYFUNCTION("""COMPUTED_VALUE"""),4.0)</f>
        <v>4</v>
      </c>
      <c r="L318" s="138">
        <v>28.0</v>
      </c>
      <c r="M318" s="140" t="str">
        <f>VLOOKUP(text(D318, "#"),'Master Table'!$A:$F, 6, FALSE)</f>
        <v>B-6</v>
      </c>
      <c r="N318" s="141"/>
      <c r="O318" s="142" t="str">
        <f t="shared" si="1"/>
        <v/>
      </c>
      <c r="P318" s="143" t="str">
        <f>IF(ISNA(VLOOKUP(CONCAT(M318,C318), 'Judge Count DO NOT EDIT'!H:H, 1, FALSE)), "ERROR","")</f>
        <v/>
      </c>
      <c r="Q318" s="141"/>
      <c r="R318" s="143"/>
      <c r="S318" s="139" t="str">
        <f t="shared" si="2"/>
        <v>1169185</v>
      </c>
      <c r="T318" s="141"/>
    </row>
    <row r="319">
      <c r="A319" s="137">
        <f>IFERROR(__xludf.DUMMYFUNCTION("""COMPUTED_VALUE"""),45352.60793421297)</f>
        <v>45352.60793</v>
      </c>
      <c r="B319" s="138" t="str">
        <f>IFERROR(__xludf.DUMMYFUNCTION("""COMPUTED_VALUE"""),"Mark Beatty")</f>
        <v>Mark Beatty</v>
      </c>
      <c r="C319" s="138">
        <f>IFERROR(__xludf.DUMMYFUNCTION("""COMPUTED_VALUE"""),1237.0)</f>
        <v>1237</v>
      </c>
      <c r="D319" s="139">
        <f>IFERROR(__xludf.DUMMYFUNCTION("""COMPUTED_VALUE"""),185.0)</f>
        <v>185</v>
      </c>
      <c r="E319" s="138">
        <f>IFERROR(__xludf.DUMMYFUNCTION("""COMPUTED_VALUE"""),2.0)</f>
        <v>2</v>
      </c>
      <c r="F319" s="138">
        <f>IFERROR(__xludf.DUMMYFUNCTION("""COMPUTED_VALUE"""),4.0)</f>
        <v>4</v>
      </c>
      <c r="G319" s="138">
        <f>IFERROR(__xludf.DUMMYFUNCTION("""COMPUTED_VALUE"""),2.0)</f>
        <v>2</v>
      </c>
      <c r="H319" s="138">
        <f>IFERROR(__xludf.DUMMYFUNCTION("""COMPUTED_VALUE"""),3.0)</f>
        <v>3</v>
      </c>
      <c r="I319" s="138">
        <f>IFERROR(__xludf.DUMMYFUNCTION("""COMPUTED_VALUE"""),1.0)</f>
        <v>1</v>
      </c>
      <c r="J319" s="138">
        <f>IFERROR(__xludf.DUMMYFUNCTION("""COMPUTED_VALUE"""),2.0)</f>
        <v>2</v>
      </c>
      <c r="K319" s="138">
        <f>IFERROR(__xludf.DUMMYFUNCTION("""COMPUTED_VALUE"""),2.0)</f>
        <v>2</v>
      </c>
      <c r="L319" s="138">
        <v>16.0</v>
      </c>
      <c r="M319" s="140" t="str">
        <f>VLOOKUP(text(D319, "#"),'Master Table'!$A:$F, 6, FALSE)</f>
        <v>B-6</v>
      </c>
      <c r="N319" s="141"/>
      <c r="O319" s="142" t="str">
        <f t="shared" si="1"/>
        <v/>
      </c>
      <c r="P319" s="143" t="str">
        <f>IF(ISNA(VLOOKUP(CONCAT(M319,C319), 'Judge Count DO NOT EDIT'!H:H, 1, FALSE)), "ERROR","")</f>
        <v/>
      </c>
      <c r="Q319" s="141"/>
      <c r="R319" s="143"/>
      <c r="S319" s="139" t="str">
        <f t="shared" si="2"/>
        <v>1237185</v>
      </c>
      <c r="T319" s="141"/>
    </row>
    <row r="320">
      <c r="A320" s="137">
        <f>IFERROR(__xludf.DUMMYFUNCTION("""COMPUTED_VALUE"""),45352.49976215277)</f>
        <v>45352.49976</v>
      </c>
      <c r="B320" s="138" t="str">
        <f>IFERROR(__xludf.DUMMYFUNCTION("""COMPUTED_VALUE"""),"delores fisher")</f>
        <v>delores fisher</v>
      </c>
      <c r="C320" s="138">
        <f>IFERROR(__xludf.DUMMYFUNCTION("""COMPUTED_VALUE"""),1169.0)</f>
        <v>1169</v>
      </c>
      <c r="D320" s="139">
        <f>IFERROR(__xludf.DUMMYFUNCTION("""COMPUTED_VALUE"""),186.0)</f>
        <v>186</v>
      </c>
      <c r="E320" s="138">
        <f>IFERROR(__xludf.DUMMYFUNCTION("""COMPUTED_VALUE"""),3.0)</f>
        <v>3</v>
      </c>
      <c r="F320" s="138">
        <f>IFERROR(__xludf.DUMMYFUNCTION("""COMPUTED_VALUE"""),3.0)</f>
        <v>3</v>
      </c>
      <c r="G320" s="138">
        <f>IFERROR(__xludf.DUMMYFUNCTION("""COMPUTED_VALUE"""),3.0)</f>
        <v>3</v>
      </c>
      <c r="H320" s="138">
        <f>IFERROR(__xludf.DUMMYFUNCTION("""COMPUTED_VALUE"""),3.0)</f>
        <v>3</v>
      </c>
      <c r="I320" s="138">
        <f>IFERROR(__xludf.DUMMYFUNCTION("""COMPUTED_VALUE"""),3.0)</f>
        <v>3</v>
      </c>
      <c r="J320" s="138">
        <f>IFERROR(__xludf.DUMMYFUNCTION("""COMPUTED_VALUE"""),2.0)</f>
        <v>2</v>
      </c>
      <c r="K320" s="138">
        <f>IFERROR(__xludf.DUMMYFUNCTION("""COMPUTED_VALUE"""),3.0)</f>
        <v>3</v>
      </c>
      <c r="L320" s="138">
        <v>20.0</v>
      </c>
      <c r="M320" s="140" t="str">
        <f>VLOOKUP(text(D320, "#"),'Master Table'!$A:$F, 6, FALSE)</f>
        <v>B-6</v>
      </c>
      <c r="N320" s="141"/>
      <c r="O320" s="142" t="str">
        <f t="shared" si="1"/>
        <v/>
      </c>
      <c r="P320" s="143" t="str">
        <f>IF(ISNA(VLOOKUP(CONCAT(M320,C320), 'Judge Count DO NOT EDIT'!H:H, 1, FALSE)), "ERROR","")</f>
        <v/>
      </c>
      <c r="Q320" s="141"/>
      <c r="R320" s="143"/>
      <c r="S320" s="139" t="str">
        <f t="shared" si="2"/>
        <v>1169186</v>
      </c>
      <c r="T320" s="141"/>
    </row>
    <row r="321">
      <c r="A321" s="137">
        <f>IFERROR(__xludf.DUMMYFUNCTION("""COMPUTED_VALUE"""),45352.50081170139)</f>
        <v>45352.50081</v>
      </c>
      <c r="B321" s="138" t="str">
        <f>IFERROR(__xludf.DUMMYFUNCTION("""COMPUTED_VALUE"""),"Stanley Maloy")</f>
        <v>Stanley Maloy</v>
      </c>
      <c r="C321" s="138">
        <f>IFERROR(__xludf.DUMMYFUNCTION("""COMPUTED_VALUE"""),1041.0)</f>
        <v>1041</v>
      </c>
      <c r="D321" s="139">
        <f>IFERROR(__xludf.DUMMYFUNCTION("""COMPUTED_VALUE"""),186.0)</f>
        <v>186</v>
      </c>
      <c r="E321" s="138">
        <f>IFERROR(__xludf.DUMMYFUNCTION("""COMPUTED_VALUE"""),3.0)</f>
        <v>3</v>
      </c>
      <c r="F321" s="138">
        <f>IFERROR(__xludf.DUMMYFUNCTION("""COMPUTED_VALUE"""),3.0)</f>
        <v>3</v>
      </c>
      <c r="G321" s="138">
        <f>IFERROR(__xludf.DUMMYFUNCTION("""COMPUTED_VALUE"""),2.0)</f>
        <v>2</v>
      </c>
      <c r="H321" s="138">
        <f>IFERROR(__xludf.DUMMYFUNCTION("""COMPUTED_VALUE"""),3.0)</f>
        <v>3</v>
      </c>
      <c r="I321" s="138">
        <f>IFERROR(__xludf.DUMMYFUNCTION("""COMPUTED_VALUE"""),3.0)</f>
        <v>3</v>
      </c>
      <c r="J321" s="138">
        <f>IFERROR(__xludf.DUMMYFUNCTION("""COMPUTED_VALUE"""),3.0)</f>
        <v>3</v>
      </c>
      <c r="K321" s="138">
        <f>IFERROR(__xludf.DUMMYFUNCTION("""COMPUTED_VALUE"""),2.0)</f>
        <v>2</v>
      </c>
      <c r="L321" s="138">
        <v>19.0</v>
      </c>
      <c r="M321" s="140" t="str">
        <f>VLOOKUP(text(D321, "#"),'Master Table'!$A:$F, 6, FALSE)</f>
        <v>B-6</v>
      </c>
      <c r="N321" s="141" t="str">
        <f>IFERROR(__xludf.DUMMYFUNCTION("""COMPUTED_VALUE"""),"Very important problem. Surprising results. ")</f>
        <v>Very important problem. Surprising results. </v>
      </c>
      <c r="O321" s="142" t="str">
        <f t="shared" si="1"/>
        <v/>
      </c>
      <c r="P321" s="143" t="str">
        <f>IF(ISNA(VLOOKUP(CONCAT(M321,C321), 'Judge Count DO NOT EDIT'!H:H, 1, FALSE)), "ERROR","")</f>
        <v/>
      </c>
      <c r="Q321" s="141"/>
      <c r="R321" s="143"/>
      <c r="S321" s="139" t="str">
        <f t="shared" si="2"/>
        <v>1041186</v>
      </c>
      <c r="T321" s="141"/>
    </row>
    <row r="322">
      <c r="A322" s="137">
        <f>IFERROR(__xludf.DUMMYFUNCTION("""COMPUTED_VALUE"""),45352.5020344213)</f>
        <v>45352.50203</v>
      </c>
      <c r="B322" s="138" t="str">
        <f>IFERROR(__xludf.DUMMYFUNCTION("""COMPUTED_VALUE"""),"Sanford Bernstein")</f>
        <v>Sanford Bernstein</v>
      </c>
      <c r="C322" s="138">
        <f>IFERROR(__xludf.DUMMYFUNCTION("""COMPUTED_VALUE"""),1047.0)</f>
        <v>1047</v>
      </c>
      <c r="D322" s="139">
        <f>IFERROR(__xludf.DUMMYFUNCTION("""COMPUTED_VALUE"""),186.0)</f>
        <v>186</v>
      </c>
      <c r="E322" s="138">
        <f>IFERROR(__xludf.DUMMYFUNCTION("""COMPUTED_VALUE"""),4.0)</f>
        <v>4</v>
      </c>
      <c r="F322" s="138">
        <f>IFERROR(__xludf.DUMMYFUNCTION("""COMPUTED_VALUE"""),5.0)</f>
        <v>5</v>
      </c>
      <c r="G322" s="138">
        <f>IFERROR(__xludf.DUMMYFUNCTION("""COMPUTED_VALUE"""),3.0)</f>
        <v>3</v>
      </c>
      <c r="H322" s="138">
        <f>IFERROR(__xludf.DUMMYFUNCTION("""COMPUTED_VALUE"""),4.0)</f>
        <v>4</v>
      </c>
      <c r="I322" s="138">
        <f>IFERROR(__xludf.DUMMYFUNCTION("""COMPUTED_VALUE"""),4.0)</f>
        <v>4</v>
      </c>
      <c r="J322" s="138">
        <f>IFERROR(__xludf.DUMMYFUNCTION("""COMPUTED_VALUE"""),3.0)</f>
        <v>3</v>
      </c>
      <c r="K322" s="138">
        <f>IFERROR(__xludf.DUMMYFUNCTION("""COMPUTED_VALUE"""),2.0)</f>
        <v>2</v>
      </c>
      <c r="L322" s="138">
        <v>25.0</v>
      </c>
      <c r="M322" s="140" t="str">
        <f>VLOOKUP(text(D322, "#"),'Master Table'!$A:$F, 6, FALSE)</f>
        <v>B-6</v>
      </c>
      <c r="N322" s="141" t="str">
        <f>IFERROR(__xludf.DUMMYFUNCTION("""COMPUTED_VALUE"""),"A lot of information for a short talk but very well presented and very interesting methodology. Would be good to think more deeply about the human implications and importance of the overall conclusions. ")</f>
        <v>A lot of information for a short talk but very well presented and very interesting methodology. Would be good to think more deeply about the human implications and importance of the overall conclusions. </v>
      </c>
      <c r="O322" s="142" t="str">
        <f t="shared" si="1"/>
        <v/>
      </c>
      <c r="P322" s="143" t="str">
        <f>IF(ISNA(VLOOKUP(CONCAT(M322,C322), 'Judge Count DO NOT EDIT'!H:H, 1, FALSE)), "ERROR","")</f>
        <v/>
      </c>
      <c r="Q322" s="141"/>
      <c r="R322" s="143"/>
      <c r="S322" s="139" t="str">
        <f t="shared" si="2"/>
        <v>1047186</v>
      </c>
      <c r="T322" s="141"/>
    </row>
    <row r="323">
      <c r="A323" s="137">
        <f>IFERROR(__xludf.DUMMYFUNCTION("""COMPUTED_VALUE"""),45352.6089227662)</f>
        <v>45352.60892</v>
      </c>
      <c r="B323" s="138" t="str">
        <f>IFERROR(__xludf.DUMMYFUNCTION("""COMPUTED_VALUE"""),"Mark Beatty")</f>
        <v>Mark Beatty</v>
      </c>
      <c r="C323" s="138">
        <f>IFERROR(__xludf.DUMMYFUNCTION("""COMPUTED_VALUE"""),1237.0)</f>
        <v>1237</v>
      </c>
      <c r="D323" s="139">
        <f>IFERROR(__xludf.DUMMYFUNCTION("""COMPUTED_VALUE"""),186.0)</f>
        <v>186</v>
      </c>
      <c r="E323" s="138">
        <f>IFERROR(__xludf.DUMMYFUNCTION("""COMPUTED_VALUE"""),4.0)</f>
        <v>4</v>
      </c>
      <c r="F323" s="138">
        <f>IFERROR(__xludf.DUMMYFUNCTION("""COMPUTED_VALUE"""),4.0)</f>
        <v>4</v>
      </c>
      <c r="G323" s="138">
        <f>IFERROR(__xludf.DUMMYFUNCTION("""COMPUTED_VALUE"""),4.0)</f>
        <v>4</v>
      </c>
      <c r="H323" s="138">
        <f>IFERROR(__xludf.DUMMYFUNCTION("""COMPUTED_VALUE"""),4.0)</f>
        <v>4</v>
      </c>
      <c r="I323" s="138">
        <f>IFERROR(__xludf.DUMMYFUNCTION("""COMPUTED_VALUE"""),4.0)</f>
        <v>4</v>
      </c>
      <c r="J323" s="138">
        <f>IFERROR(__xludf.DUMMYFUNCTION("""COMPUTED_VALUE"""),3.0)</f>
        <v>3</v>
      </c>
      <c r="K323" s="138">
        <f>IFERROR(__xludf.DUMMYFUNCTION("""COMPUTED_VALUE"""),1.0)</f>
        <v>1</v>
      </c>
      <c r="L323" s="138">
        <v>24.0</v>
      </c>
      <c r="M323" s="140" t="str">
        <f>VLOOKUP(text(D323, "#"),'Master Table'!$A:$F, 6, FALSE)</f>
        <v>B-6</v>
      </c>
      <c r="N323" s="141"/>
      <c r="O323" s="142" t="str">
        <f t="shared" si="1"/>
        <v/>
      </c>
      <c r="P323" s="143" t="str">
        <f>IF(ISNA(VLOOKUP(CONCAT(M323,C323), 'Judge Count DO NOT EDIT'!H:H, 1, FALSE)), "ERROR","")</f>
        <v/>
      </c>
      <c r="Q323" s="141"/>
      <c r="R323" s="143"/>
      <c r="S323" s="139" t="str">
        <f t="shared" si="2"/>
        <v>1237186</v>
      </c>
      <c r="T323" s="141"/>
    </row>
    <row r="324">
      <c r="A324" s="137">
        <f>IFERROR(__xludf.DUMMYFUNCTION("""COMPUTED_VALUE"""),45352.51433791667)</f>
        <v>45352.51434</v>
      </c>
      <c r="B324" s="138" t="str">
        <f>IFERROR(__xludf.DUMMYFUNCTION("""COMPUTED_VALUE"""),"delores fisher")</f>
        <v>delores fisher</v>
      </c>
      <c r="C324" s="138">
        <f>IFERROR(__xludf.DUMMYFUNCTION("""COMPUTED_VALUE"""),1169.0)</f>
        <v>1169</v>
      </c>
      <c r="D324" s="139">
        <f>IFERROR(__xludf.DUMMYFUNCTION("""COMPUTED_VALUE"""),187.0)</f>
        <v>187</v>
      </c>
      <c r="E324" s="138">
        <f>IFERROR(__xludf.DUMMYFUNCTION("""COMPUTED_VALUE"""),4.0)</f>
        <v>4</v>
      </c>
      <c r="F324" s="138">
        <f>IFERROR(__xludf.DUMMYFUNCTION("""COMPUTED_VALUE"""),4.0)</f>
        <v>4</v>
      </c>
      <c r="G324" s="138">
        <f>IFERROR(__xludf.DUMMYFUNCTION("""COMPUTED_VALUE"""),3.0)</f>
        <v>3</v>
      </c>
      <c r="H324" s="138">
        <f>IFERROR(__xludf.DUMMYFUNCTION("""COMPUTED_VALUE"""),4.0)</f>
        <v>4</v>
      </c>
      <c r="I324" s="138">
        <f>IFERROR(__xludf.DUMMYFUNCTION("""COMPUTED_VALUE"""),3.0)</f>
        <v>3</v>
      </c>
      <c r="J324" s="138">
        <f>IFERROR(__xludf.DUMMYFUNCTION("""COMPUTED_VALUE"""),4.0)</f>
        <v>4</v>
      </c>
      <c r="K324" s="138">
        <f>IFERROR(__xludf.DUMMYFUNCTION("""COMPUTED_VALUE"""),4.0)</f>
        <v>4</v>
      </c>
      <c r="L324" s="138">
        <v>26.0</v>
      </c>
      <c r="M324" s="140" t="str">
        <f>VLOOKUP(text(D324, "#"),'Master Table'!$A:$F, 6, FALSE)</f>
        <v>B-6</v>
      </c>
      <c r="N324" s="141"/>
      <c r="O324" s="142" t="str">
        <f t="shared" si="1"/>
        <v/>
      </c>
      <c r="P324" s="143" t="str">
        <f>IF(ISNA(VLOOKUP(CONCAT(M324,C324), 'Judge Count DO NOT EDIT'!H:H, 1, FALSE)), "ERROR","")</f>
        <v/>
      </c>
      <c r="Q324" s="141"/>
      <c r="R324" s="143"/>
      <c r="S324" s="139" t="str">
        <f t="shared" si="2"/>
        <v>1169187</v>
      </c>
      <c r="T324" s="141"/>
    </row>
    <row r="325">
      <c r="A325" s="137">
        <f>IFERROR(__xludf.DUMMYFUNCTION("""COMPUTED_VALUE"""),45352.51467965278)</f>
        <v>45352.51468</v>
      </c>
      <c r="B325" s="138" t="str">
        <f>IFERROR(__xludf.DUMMYFUNCTION("""COMPUTED_VALUE"""),"Stanley Maloy")</f>
        <v>Stanley Maloy</v>
      </c>
      <c r="C325" s="138">
        <f>IFERROR(__xludf.DUMMYFUNCTION("""COMPUTED_VALUE"""),1041.0)</f>
        <v>1041</v>
      </c>
      <c r="D325" s="139">
        <f>IFERROR(__xludf.DUMMYFUNCTION("""COMPUTED_VALUE"""),187.0)</f>
        <v>187</v>
      </c>
      <c r="E325" s="138">
        <f>IFERROR(__xludf.DUMMYFUNCTION("""COMPUTED_VALUE"""),5.0)</f>
        <v>5</v>
      </c>
      <c r="F325" s="138">
        <f>IFERROR(__xludf.DUMMYFUNCTION("""COMPUTED_VALUE"""),3.0)</f>
        <v>3</v>
      </c>
      <c r="G325" s="138">
        <f>IFERROR(__xludf.DUMMYFUNCTION("""COMPUTED_VALUE"""),4.0)</f>
        <v>4</v>
      </c>
      <c r="H325" s="138">
        <f>IFERROR(__xludf.DUMMYFUNCTION("""COMPUTED_VALUE"""),4.0)</f>
        <v>4</v>
      </c>
      <c r="I325" s="138">
        <f>IFERROR(__xludf.DUMMYFUNCTION("""COMPUTED_VALUE"""),4.0)</f>
        <v>4</v>
      </c>
      <c r="J325" s="138">
        <f>IFERROR(__xludf.DUMMYFUNCTION("""COMPUTED_VALUE"""),4.0)</f>
        <v>4</v>
      </c>
      <c r="K325" s="138">
        <f>IFERROR(__xludf.DUMMYFUNCTION("""COMPUTED_VALUE"""),5.0)</f>
        <v>5</v>
      </c>
      <c r="L325" s="138">
        <v>29.0</v>
      </c>
      <c r="M325" s="140" t="str">
        <f>VLOOKUP(text(D325, "#"),'Master Table'!$A:$F, 6, FALSE)</f>
        <v>B-6</v>
      </c>
      <c r="N325" s="141" t="str">
        <f>IFERROR(__xludf.DUMMYFUNCTION("""COMPUTED_VALUE"""),"Nice presentation!")</f>
        <v>Nice presentation!</v>
      </c>
      <c r="O325" s="142" t="str">
        <f t="shared" si="1"/>
        <v/>
      </c>
      <c r="P325" s="143" t="str">
        <f>IF(ISNA(VLOOKUP(CONCAT(M325,C325), 'Judge Count DO NOT EDIT'!H:H, 1, FALSE)), "ERROR","")</f>
        <v/>
      </c>
      <c r="Q325" s="141"/>
      <c r="R325" s="143"/>
      <c r="S325" s="139" t="str">
        <f t="shared" si="2"/>
        <v>1041187</v>
      </c>
      <c r="T325" s="141"/>
    </row>
    <row r="326">
      <c r="A326" s="137">
        <f>IFERROR(__xludf.DUMMYFUNCTION("""COMPUTED_VALUE"""),45352.51495575231)</f>
        <v>45352.51496</v>
      </c>
      <c r="B326" s="138" t="str">
        <f>IFERROR(__xludf.DUMMYFUNCTION("""COMPUTED_VALUE"""),"Sanford Bernstein")</f>
        <v>Sanford Bernstein</v>
      </c>
      <c r="C326" s="138">
        <f>IFERROR(__xludf.DUMMYFUNCTION("""COMPUTED_VALUE"""),1047.0)</f>
        <v>1047</v>
      </c>
      <c r="D326" s="139">
        <f>IFERROR(__xludf.DUMMYFUNCTION("""COMPUTED_VALUE"""),187.0)</f>
        <v>187</v>
      </c>
      <c r="E326" s="138">
        <f>IFERROR(__xludf.DUMMYFUNCTION("""COMPUTED_VALUE"""),4.0)</f>
        <v>4</v>
      </c>
      <c r="F326" s="138">
        <f>IFERROR(__xludf.DUMMYFUNCTION("""COMPUTED_VALUE"""),4.0)</f>
        <v>4</v>
      </c>
      <c r="G326" s="138">
        <f>IFERROR(__xludf.DUMMYFUNCTION("""COMPUTED_VALUE"""),4.0)</f>
        <v>4</v>
      </c>
      <c r="H326" s="138">
        <f>IFERROR(__xludf.DUMMYFUNCTION("""COMPUTED_VALUE"""),5.0)</f>
        <v>5</v>
      </c>
      <c r="I326" s="138">
        <f>IFERROR(__xludf.DUMMYFUNCTION("""COMPUTED_VALUE"""),4.0)</f>
        <v>4</v>
      </c>
      <c r="J326" s="138">
        <f>IFERROR(__xludf.DUMMYFUNCTION("""COMPUTED_VALUE"""),4.0)</f>
        <v>4</v>
      </c>
      <c r="K326" s="138">
        <f>IFERROR(__xludf.DUMMYFUNCTION("""COMPUTED_VALUE"""),5.0)</f>
        <v>5</v>
      </c>
      <c r="L326" s="138">
        <v>30.0</v>
      </c>
      <c r="M326" s="140" t="str">
        <f>VLOOKUP(text(D326, "#"),'Master Table'!$A:$F, 6, FALSE)</f>
        <v>B-6</v>
      </c>
      <c r="N326" s="141" t="str">
        <f>IFERROR(__xludf.DUMMYFUNCTION("""COMPUTED_VALUE"""),"Very impressive understanding and work!")</f>
        <v>Very impressive understanding and work!</v>
      </c>
      <c r="O326" s="142" t="str">
        <f t="shared" si="1"/>
        <v/>
      </c>
      <c r="P326" s="143" t="str">
        <f>IF(ISNA(VLOOKUP(CONCAT(M326,C326), 'Judge Count DO NOT EDIT'!H:H, 1, FALSE)), "ERROR","")</f>
        <v/>
      </c>
      <c r="Q326" s="141"/>
      <c r="R326" s="143"/>
      <c r="S326" s="139" t="str">
        <f t="shared" si="2"/>
        <v>1047187</v>
      </c>
      <c r="T326" s="141"/>
    </row>
    <row r="327">
      <c r="A327" s="137">
        <f>IFERROR(__xludf.DUMMYFUNCTION("""COMPUTED_VALUE"""),45352.61060001157)</f>
        <v>45352.6106</v>
      </c>
      <c r="B327" s="138" t="str">
        <f>IFERROR(__xludf.DUMMYFUNCTION("""COMPUTED_VALUE"""),"Mark Beatty")</f>
        <v>Mark Beatty</v>
      </c>
      <c r="C327" s="138">
        <f>IFERROR(__xludf.DUMMYFUNCTION("""COMPUTED_VALUE"""),1237.0)</f>
        <v>1237</v>
      </c>
      <c r="D327" s="139">
        <f>IFERROR(__xludf.DUMMYFUNCTION("""COMPUTED_VALUE"""),187.0)</f>
        <v>187</v>
      </c>
      <c r="E327" s="138">
        <f>IFERROR(__xludf.DUMMYFUNCTION("""COMPUTED_VALUE"""),5.0)</f>
        <v>5</v>
      </c>
      <c r="F327" s="138">
        <f>IFERROR(__xludf.DUMMYFUNCTION("""COMPUTED_VALUE"""),5.0)</f>
        <v>5</v>
      </c>
      <c r="G327" s="138">
        <f>IFERROR(__xludf.DUMMYFUNCTION("""COMPUTED_VALUE"""),4.0)</f>
        <v>4</v>
      </c>
      <c r="H327" s="138">
        <f>IFERROR(__xludf.DUMMYFUNCTION("""COMPUTED_VALUE"""),4.0)</f>
        <v>4</v>
      </c>
      <c r="I327" s="138">
        <f>IFERROR(__xludf.DUMMYFUNCTION("""COMPUTED_VALUE"""),5.0)</f>
        <v>5</v>
      </c>
      <c r="J327" s="138">
        <f>IFERROR(__xludf.DUMMYFUNCTION("""COMPUTED_VALUE"""),4.0)</f>
        <v>4</v>
      </c>
      <c r="K327" s="138">
        <f>IFERROR(__xludf.DUMMYFUNCTION("""COMPUTED_VALUE"""),5.0)</f>
        <v>5</v>
      </c>
      <c r="L327" s="138">
        <v>32.0</v>
      </c>
      <c r="M327" s="140" t="str">
        <f>VLOOKUP(text(D327, "#"),'Master Table'!$A:$F, 6, FALSE)</f>
        <v>B-6</v>
      </c>
      <c r="N327" s="141" t="str">
        <f>IFERROR(__xludf.DUMMYFUNCTION("""COMPUTED_VALUE"""),"Seemed very intuitive with problem solving purification issues")</f>
        <v>Seemed very intuitive with problem solving purification issues</v>
      </c>
      <c r="O327" s="142" t="str">
        <f t="shared" si="1"/>
        <v/>
      </c>
      <c r="P327" s="143" t="str">
        <f>IF(ISNA(VLOOKUP(CONCAT(M327,C327), 'Judge Count DO NOT EDIT'!H:H, 1, FALSE)), "ERROR","")</f>
        <v/>
      </c>
      <c r="Q327" s="141"/>
      <c r="R327" s="143"/>
      <c r="S327" s="139" t="str">
        <f t="shared" si="2"/>
        <v>1237187</v>
      </c>
      <c r="T327" s="141"/>
    </row>
    <row r="328">
      <c r="A328" s="137">
        <f>IFERROR(__xludf.DUMMYFUNCTION("""COMPUTED_VALUE"""),45352.543116493056)</f>
        <v>45352.54312</v>
      </c>
      <c r="B328" s="138" t="str">
        <f>IFERROR(__xludf.DUMMYFUNCTION("""COMPUTED_VALUE"""),"delores fisher")</f>
        <v>delores fisher</v>
      </c>
      <c r="C328" s="138">
        <f>IFERROR(__xludf.DUMMYFUNCTION("""COMPUTED_VALUE"""),1169.0)</f>
        <v>1169</v>
      </c>
      <c r="D328" s="139">
        <f>IFERROR(__xludf.DUMMYFUNCTION("""COMPUTED_VALUE"""),189.0)</f>
        <v>189</v>
      </c>
      <c r="E328" s="138">
        <f>IFERROR(__xludf.DUMMYFUNCTION("""COMPUTED_VALUE"""),4.0)</f>
        <v>4</v>
      </c>
      <c r="F328" s="138">
        <f>IFERROR(__xludf.DUMMYFUNCTION("""COMPUTED_VALUE"""),4.0)</f>
        <v>4</v>
      </c>
      <c r="G328" s="138">
        <f>IFERROR(__xludf.DUMMYFUNCTION("""COMPUTED_VALUE"""),4.0)</f>
        <v>4</v>
      </c>
      <c r="H328" s="138">
        <f>IFERROR(__xludf.DUMMYFUNCTION("""COMPUTED_VALUE"""),3.0)</f>
        <v>3</v>
      </c>
      <c r="I328" s="138">
        <f>IFERROR(__xludf.DUMMYFUNCTION("""COMPUTED_VALUE"""),3.0)</f>
        <v>3</v>
      </c>
      <c r="J328" s="138">
        <f>IFERROR(__xludf.DUMMYFUNCTION("""COMPUTED_VALUE"""),3.0)</f>
        <v>3</v>
      </c>
      <c r="K328" s="138">
        <f>IFERROR(__xludf.DUMMYFUNCTION("""COMPUTED_VALUE"""),4.0)</f>
        <v>4</v>
      </c>
      <c r="L328" s="138">
        <v>25.0</v>
      </c>
      <c r="M328" s="140" t="str">
        <f>VLOOKUP(text(D328, "#"),'Master Table'!$A:$F, 6, FALSE)</f>
        <v>B-6</v>
      </c>
      <c r="N328" s="141"/>
      <c r="O328" s="142" t="str">
        <f t="shared" si="1"/>
        <v/>
      </c>
      <c r="P328" s="143" t="str">
        <f>IF(ISNA(VLOOKUP(CONCAT(M328,C328), 'Judge Count DO NOT EDIT'!H:H, 1, FALSE)), "ERROR","")</f>
        <v/>
      </c>
      <c r="Q328" s="141"/>
      <c r="R328" s="143"/>
      <c r="S328" s="139" t="str">
        <f t="shared" si="2"/>
        <v>1169189</v>
      </c>
      <c r="T328" s="141"/>
    </row>
    <row r="329">
      <c r="A329" s="137">
        <f>IFERROR(__xludf.DUMMYFUNCTION("""COMPUTED_VALUE"""),45352.54341790509)</f>
        <v>45352.54342</v>
      </c>
      <c r="B329" s="138" t="str">
        <f>IFERROR(__xludf.DUMMYFUNCTION("""COMPUTED_VALUE"""),"Sanford Bernstein")</f>
        <v>Sanford Bernstein</v>
      </c>
      <c r="C329" s="138">
        <f>IFERROR(__xludf.DUMMYFUNCTION("""COMPUTED_VALUE"""),1047.0)</f>
        <v>1047</v>
      </c>
      <c r="D329" s="139">
        <f>IFERROR(__xludf.DUMMYFUNCTION("""COMPUTED_VALUE"""),189.0)</f>
        <v>189</v>
      </c>
      <c r="E329" s="138">
        <f>IFERROR(__xludf.DUMMYFUNCTION("""COMPUTED_VALUE"""),3.0)</f>
        <v>3</v>
      </c>
      <c r="F329" s="138">
        <f>IFERROR(__xludf.DUMMYFUNCTION("""COMPUTED_VALUE"""),4.0)</f>
        <v>4</v>
      </c>
      <c r="G329" s="138">
        <f>IFERROR(__xludf.DUMMYFUNCTION("""COMPUTED_VALUE"""),4.0)</f>
        <v>4</v>
      </c>
      <c r="H329" s="138">
        <f>IFERROR(__xludf.DUMMYFUNCTION("""COMPUTED_VALUE"""),4.0)</f>
        <v>4</v>
      </c>
      <c r="I329" s="138">
        <f>IFERROR(__xludf.DUMMYFUNCTION("""COMPUTED_VALUE"""),3.0)</f>
        <v>3</v>
      </c>
      <c r="J329" s="138">
        <f>IFERROR(__xludf.DUMMYFUNCTION("""COMPUTED_VALUE"""),4.0)</f>
        <v>4</v>
      </c>
      <c r="K329" s="138">
        <f>IFERROR(__xludf.DUMMYFUNCTION("""COMPUTED_VALUE"""),5.0)</f>
        <v>5</v>
      </c>
      <c r="L329" s="138">
        <v>27.0</v>
      </c>
      <c r="M329" s="140" t="str">
        <f>VLOOKUP(text(D329, "#"),'Master Table'!$A:$F, 6, FALSE)</f>
        <v>B-6</v>
      </c>
      <c r="N329" s="141" t="str">
        <f>IFERROR(__xludf.DUMMYFUNCTION("""COMPUTED_VALUE"""),"Very well done. Only issue was timing. Also doing stats ahead of time would have been helpful. ")</f>
        <v>Very well done. Only issue was timing. Also doing stats ahead of time would have been helpful. </v>
      </c>
      <c r="O329" s="142" t="str">
        <f t="shared" si="1"/>
        <v/>
      </c>
      <c r="P329" s="143" t="str">
        <f>IF(ISNA(VLOOKUP(CONCAT(M329,C329), 'Judge Count DO NOT EDIT'!H:H, 1, FALSE)), "ERROR","")</f>
        <v/>
      </c>
      <c r="Q329" s="141"/>
      <c r="R329" s="143"/>
      <c r="S329" s="139" t="str">
        <f t="shared" si="2"/>
        <v>1047189</v>
      </c>
      <c r="T329" s="141"/>
    </row>
    <row r="330">
      <c r="A330" s="137">
        <f>IFERROR(__xludf.DUMMYFUNCTION("""COMPUTED_VALUE"""),45352.543641122684)</f>
        <v>45352.54364</v>
      </c>
      <c r="B330" s="138" t="str">
        <f>IFERROR(__xludf.DUMMYFUNCTION("""COMPUTED_VALUE"""),"Stanley Maloy")</f>
        <v>Stanley Maloy</v>
      </c>
      <c r="C330" s="138">
        <f>IFERROR(__xludf.DUMMYFUNCTION("""COMPUTED_VALUE"""),1041.0)</f>
        <v>1041</v>
      </c>
      <c r="D330" s="139">
        <f>IFERROR(__xludf.DUMMYFUNCTION("""COMPUTED_VALUE"""),189.0)</f>
        <v>189</v>
      </c>
      <c r="E330" s="138">
        <f>IFERROR(__xludf.DUMMYFUNCTION("""COMPUTED_VALUE"""),3.0)</f>
        <v>3</v>
      </c>
      <c r="F330" s="138">
        <f>IFERROR(__xludf.DUMMYFUNCTION("""COMPUTED_VALUE"""),3.0)</f>
        <v>3</v>
      </c>
      <c r="G330" s="138">
        <f>IFERROR(__xludf.DUMMYFUNCTION("""COMPUTED_VALUE"""),3.0)</f>
        <v>3</v>
      </c>
      <c r="H330" s="138">
        <f>IFERROR(__xludf.DUMMYFUNCTION("""COMPUTED_VALUE"""),3.0)</f>
        <v>3</v>
      </c>
      <c r="I330" s="138">
        <f>IFERROR(__xludf.DUMMYFUNCTION("""COMPUTED_VALUE"""),2.0)</f>
        <v>2</v>
      </c>
      <c r="J330" s="138">
        <f>IFERROR(__xludf.DUMMYFUNCTION("""COMPUTED_VALUE"""),3.0)</f>
        <v>3</v>
      </c>
      <c r="K330" s="138">
        <f>IFERROR(__xludf.DUMMYFUNCTION("""COMPUTED_VALUE"""),4.0)</f>
        <v>4</v>
      </c>
      <c r="L330" s="138">
        <v>21.0</v>
      </c>
      <c r="M330" s="140" t="str">
        <f>VLOOKUP(text(D330, "#"),'Master Table'!$A:$F, 6, FALSE)</f>
        <v>B-6</v>
      </c>
      <c r="N330" s="141"/>
      <c r="O330" s="142" t="str">
        <f t="shared" si="1"/>
        <v/>
      </c>
      <c r="P330" s="143" t="str">
        <f>IF(ISNA(VLOOKUP(CONCAT(M330,C330), 'Judge Count DO NOT EDIT'!H:H, 1, FALSE)), "ERROR","")</f>
        <v/>
      </c>
      <c r="Q330" s="144"/>
      <c r="R330" s="143"/>
      <c r="S330" s="139" t="str">
        <f t="shared" si="2"/>
        <v>1041189</v>
      </c>
      <c r="T330" s="141"/>
    </row>
    <row r="331">
      <c r="A331" s="137">
        <f>IFERROR(__xludf.DUMMYFUNCTION("""COMPUTED_VALUE"""),45352.61157552083)</f>
        <v>45352.61158</v>
      </c>
      <c r="B331" s="138" t="str">
        <f>IFERROR(__xludf.DUMMYFUNCTION("""COMPUTED_VALUE"""),"Mark Beatty")</f>
        <v>Mark Beatty</v>
      </c>
      <c r="C331" s="138">
        <f>IFERROR(__xludf.DUMMYFUNCTION("""COMPUTED_VALUE"""),1237.0)</f>
        <v>1237</v>
      </c>
      <c r="D331" s="139">
        <f>IFERROR(__xludf.DUMMYFUNCTION("""COMPUTED_VALUE"""),189.0)</f>
        <v>189</v>
      </c>
      <c r="E331" s="138">
        <f>IFERROR(__xludf.DUMMYFUNCTION("""COMPUTED_VALUE"""),4.0)</f>
        <v>4</v>
      </c>
      <c r="F331" s="138">
        <f>IFERROR(__xludf.DUMMYFUNCTION("""COMPUTED_VALUE"""),4.0)</f>
        <v>4</v>
      </c>
      <c r="G331" s="138">
        <f>IFERROR(__xludf.DUMMYFUNCTION("""COMPUTED_VALUE"""),4.0)</f>
        <v>4</v>
      </c>
      <c r="H331" s="138">
        <f>IFERROR(__xludf.DUMMYFUNCTION("""COMPUTED_VALUE"""),3.0)</f>
        <v>3</v>
      </c>
      <c r="I331" s="138">
        <f>IFERROR(__xludf.DUMMYFUNCTION("""COMPUTED_VALUE"""),3.0)</f>
        <v>3</v>
      </c>
      <c r="J331" s="138">
        <f>IFERROR(__xludf.DUMMYFUNCTION("""COMPUTED_VALUE"""),2.0)</f>
        <v>2</v>
      </c>
      <c r="K331" s="138">
        <f>IFERROR(__xludf.DUMMYFUNCTION("""COMPUTED_VALUE"""),1.0)</f>
        <v>1</v>
      </c>
      <c r="L331" s="138">
        <v>21.0</v>
      </c>
      <c r="M331" s="140" t="str">
        <f>VLOOKUP(text(D331, "#"),'Master Table'!$A:$F, 6, FALSE)</f>
        <v>B-6</v>
      </c>
      <c r="N331" s="141"/>
      <c r="O331" s="142" t="str">
        <f t="shared" si="1"/>
        <v/>
      </c>
      <c r="P331" s="143" t="str">
        <f>IF(ISNA(VLOOKUP(CONCAT(M331,C331), 'Judge Count DO NOT EDIT'!H:H, 1, FALSE)), "ERROR","")</f>
        <v/>
      </c>
      <c r="Q331" s="141"/>
      <c r="R331" s="143"/>
      <c r="S331" s="139" t="str">
        <f t="shared" si="2"/>
        <v>1237189</v>
      </c>
      <c r="T331" s="141"/>
    </row>
    <row r="332">
      <c r="A332" s="137">
        <f>IFERROR(__xludf.DUMMYFUNCTION("""COMPUTED_VALUE"""),45352.472204652775)</f>
        <v>45352.4722</v>
      </c>
      <c r="B332" s="138" t="str">
        <f>IFERROR(__xludf.DUMMYFUNCTION("""COMPUTED_VALUE"""),"Esra")</f>
        <v>Esra</v>
      </c>
      <c r="C332" s="138">
        <f>IFERROR(__xludf.DUMMYFUNCTION("""COMPUTED_VALUE"""),1008.0)</f>
        <v>1008</v>
      </c>
      <c r="D332" s="139">
        <f>IFERROR(__xludf.DUMMYFUNCTION("""COMPUTED_VALUE"""),190.0)</f>
        <v>190</v>
      </c>
      <c r="E332" s="138">
        <f>IFERROR(__xludf.DUMMYFUNCTION("""COMPUTED_VALUE"""),5.0)</f>
        <v>5</v>
      </c>
      <c r="F332" s="138">
        <f>IFERROR(__xludf.DUMMYFUNCTION("""COMPUTED_VALUE"""),5.0)</f>
        <v>5</v>
      </c>
      <c r="G332" s="138">
        <f>IFERROR(__xludf.DUMMYFUNCTION("""COMPUTED_VALUE"""),5.0)</f>
        <v>5</v>
      </c>
      <c r="H332" s="138">
        <f>IFERROR(__xludf.DUMMYFUNCTION("""COMPUTED_VALUE"""),5.0)</f>
        <v>5</v>
      </c>
      <c r="I332" s="138">
        <f>IFERROR(__xludf.DUMMYFUNCTION("""COMPUTED_VALUE"""),5.0)</f>
        <v>5</v>
      </c>
      <c r="J332" s="138">
        <f>IFERROR(__xludf.DUMMYFUNCTION("""COMPUTED_VALUE"""),5.0)</f>
        <v>5</v>
      </c>
      <c r="K332" s="138">
        <f>IFERROR(__xludf.DUMMYFUNCTION("""COMPUTED_VALUE"""),5.0)</f>
        <v>5</v>
      </c>
      <c r="L332" s="138">
        <v>35.0</v>
      </c>
      <c r="M332" s="140" t="str">
        <f>VLOOKUP(text(D332, "#"),'Master Table'!$A:$F, 6, FALSE)</f>
        <v>B-7</v>
      </c>
      <c r="N332" s="141" t="str">
        <f>IFERROR(__xludf.DUMMYFUNCTION("""COMPUTED_VALUE"""),"Wow! Such an excellent research that uses crucial theoretical frameworks to understand the activism of Black women regarding their involvement in press in Canada. My suggestion is about structural organization. For future revisions, presenting through the"&amp;" stories of these women would strengthen the argument more and would help the flow of the presentation.")</f>
        <v>Wow! Such an excellent research that uses crucial theoretical frameworks to understand the activism of Black women regarding their involvement in press in Canada. My suggestion is about structural organization. For future revisions, presenting through the stories of these women would strengthen the argument more and would help the flow of the presentation.</v>
      </c>
      <c r="O332" s="142" t="str">
        <f t="shared" si="1"/>
        <v/>
      </c>
      <c r="P332" s="143" t="str">
        <f>IF(ISNA(VLOOKUP(CONCAT(M332,C332), 'Judge Count DO NOT EDIT'!H:H, 1, FALSE)), "ERROR","")</f>
        <v/>
      </c>
      <c r="Q332" s="141"/>
      <c r="R332" s="143"/>
      <c r="S332" s="139" t="str">
        <f t="shared" si="2"/>
        <v>1008190</v>
      </c>
      <c r="T332" s="141"/>
    </row>
    <row r="333">
      <c r="A333" s="137">
        <f>IFERROR(__xludf.DUMMYFUNCTION("""COMPUTED_VALUE"""),45352.47403385417)</f>
        <v>45352.47403</v>
      </c>
      <c r="B333" s="138" t="str">
        <f>IFERROR(__xludf.DUMMYFUNCTION("""COMPUTED_VALUE"""),"Wawrytko")</f>
        <v>Wawrytko</v>
      </c>
      <c r="C333" s="138">
        <f>IFERROR(__xludf.DUMMYFUNCTION("""COMPUTED_VALUE"""),1004.0)</f>
        <v>1004</v>
      </c>
      <c r="D333" s="139">
        <f>IFERROR(__xludf.DUMMYFUNCTION("""COMPUTED_VALUE"""),190.0)</f>
        <v>190</v>
      </c>
      <c r="E333" s="138">
        <f>IFERROR(__xludf.DUMMYFUNCTION("""COMPUTED_VALUE"""),4.0)</f>
        <v>4</v>
      </c>
      <c r="F333" s="138">
        <f>IFERROR(__xludf.DUMMYFUNCTION("""COMPUTED_VALUE"""),5.0)</f>
        <v>5</v>
      </c>
      <c r="G333" s="138">
        <f>IFERROR(__xludf.DUMMYFUNCTION("""COMPUTED_VALUE"""),4.0)</f>
        <v>4</v>
      </c>
      <c r="H333" s="138">
        <f>IFERROR(__xludf.DUMMYFUNCTION("""COMPUTED_VALUE"""),4.0)</f>
        <v>4</v>
      </c>
      <c r="I333" s="138">
        <f>IFERROR(__xludf.DUMMYFUNCTION("""COMPUTED_VALUE"""),3.0)</f>
        <v>3</v>
      </c>
      <c r="J333" s="138">
        <f>IFERROR(__xludf.DUMMYFUNCTION("""COMPUTED_VALUE"""),4.0)</f>
        <v>4</v>
      </c>
      <c r="K333" s="138">
        <f>IFERROR(__xludf.DUMMYFUNCTION("""COMPUTED_VALUE"""),5.0)</f>
        <v>5</v>
      </c>
      <c r="L333" s="138">
        <v>29.0</v>
      </c>
      <c r="M333" s="140" t="str">
        <f>VLOOKUP(text(D333, "#"),'Master Table'!$A:$F, 6, FALSE)</f>
        <v>B-7</v>
      </c>
      <c r="N333" s="141"/>
      <c r="O333" s="142" t="str">
        <f t="shared" si="1"/>
        <v/>
      </c>
      <c r="P333" s="143" t="str">
        <f>IF(ISNA(VLOOKUP(CONCAT(M333,C333), 'Judge Count DO NOT EDIT'!H:H, 1, FALSE)), "ERROR","")</f>
        <v/>
      </c>
      <c r="Q333" s="141"/>
      <c r="R333" s="143"/>
      <c r="S333" s="139" t="str">
        <f t="shared" si="2"/>
        <v>1004190</v>
      </c>
      <c r="T333" s="141"/>
    </row>
    <row r="334">
      <c r="A334" s="137">
        <f>IFERROR(__xludf.DUMMYFUNCTION("""COMPUTED_VALUE"""),45352.47508480324)</f>
        <v>45352.47508</v>
      </c>
      <c r="B334" s="138" t="str">
        <f>IFERROR(__xludf.DUMMYFUNCTION("""COMPUTED_VALUE"""),"Eric Smigel")</f>
        <v>Eric Smigel</v>
      </c>
      <c r="C334" s="138">
        <f>IFERROR(__xludf.DUMMYFUNCTION("""COMPUTED_VALUE"""),1026.0)</f>
        <v>1026</v>
      </c>
      <c r="D334" s="139">
        <f>IFERROR(__xludf.DUMMYFUNCTION("""COMPUTED_VALUE"""),190.0)</f>
        <v>190</v>
      </c>
      <c r="E334" s="138">
        <f>IFERROR(__xludf.DUMMYFUNCTION("""COMPUTED_VALUE"""),4.0)</f>
        <v>4</v>
      </c>
      <c r="F334" s="138">
        <f>IFERROR(__xludf.DUMMYFUNCTION("""COMPUTED_VALUE"""),4.0)</f>
        <v>4</v>
      </c>
      <c r="G334" s="138">
        <f>IFERROR(__xludf.DUMMYFUNCTION("""COMPUTED_VALUE"""),5.0)</f>
        <v>5</v>
      </c>
      <c r="H334" s="138">
        <f>IFERROR(__xludf.DUMMYFUNCTION("""COMPUTED_VALUE"""),4.0)</f>
        <v>4</v>
      </c>
      <c r="I334" s="138">
        <f>IFERROR(__xludf.DUMMYFUNCTION("""COMPUTED_VALUE"""),4.0)</f>
        <v>4</v>
      </c>
      <c r="J334" s="138">
        <f>IFERROR(__xludf.DUMMYFUNCTION("""COMPUTED_VALUE"""),4.0)</f>
        <v>4</v>
      </c>
      <c r="K334" s="138">
        <f>IFERROR(__xludf.DUMMYFUNCTION("""COMPUTED_VALUE"""),4.0)</f>
        <v>4</v>
      </c>
      <c r="L334" s="138">
        <v>29.0</v>
      </c>
      <c r="M334" s="140" t="str">
        <f>VLOOKUP(text(D334, "#"),'Master Table'!$A:$F, 6, FALSE)</f>
        <v>B-7</v>
      </c>
      <c r="N334" s="141" t="str">
        <f>IFERROR(__xludf.DUMMYFUNCTION("""COMPUTED_VALUE"""),"Outstanding presentation on such an important topic! I would like to have heard a bit more about the data you collected and analyzed during your Fulbright fellowship.")</f>
        <v>Outstanding presentation on such an important topic! I would like to have heard a bit more about the data you collected and analyzed during your Fulbright fellowship.</v>
      </c>
      <c r="O334" s="142" t="str">
        <f t="shared" si="1"/>
        <v/>
      </c>
      <c r="P334" s="143" t="str">
        <f>IF(ISNA(VLOOKUP(CONCAT(M334,C334), 'Judge Count DO NOT EDIT'!H:H, 1, FALSE)), "ERROR","")</f>
        <v/>
      </c>
      <c r="Q334" s="141"/>
      <c r="R334" s="143"/>
      <c r="S334" s="139" t="str">
        <f t="shared" si="2"/>
        <v>1026190</v>
      </c>
      <c r="T334" s="141"/>
    </row>
    <row r="335">
      <c r="A335" s="137">
        <f>IFERROR(__xludf.DUMMYFUNCTION("""COMPUTED_VALUE"""),45352.589425983795)</f>
        <v>45352.58943</v>
      </c>
      <c r="B335" s="138" t="str">
        <f>IFERROR(__xludf.DUMMYFUNCTION("""COMPUTED_VALUE"""),"Charles Dintrone ")</f>
        <v>Charles Dintrone </v>
      </c>
      <c r="C335" s="138">
        <f>IFERROR(__xludf.DUMMYFUNCTION("""COMPUTED_VALUE"""),1007.0)</f>
        <v>1007</v>
      </c>
      <c r="D335" s="139">
        <f>IFERROR(__xludf.DUMMYFUNCTION("""COMPUTED_VALUE"""),190.0)</f>
        <v>190</v>
      </c>
      <c r="E335" s="138">
        <f>IFERROR(__xludf.DUMMYFUNCTION("""COMPUTED_VALUE"""),4.0)</f>
        <v>4</v>
      </c>
      <c r="F335" s="138">
        <f>IFERROR(__xludf.DUMMYFUNCTION("""COMPUTED_VALUE"""),5.0)</f>
        <v>5</v>
      </c>
      <c r="G335" s="138">
        <f>IFERROR(__xludf.DUMMYFUNCTION("""COMPUTED_VALUE"""),5.0)</f>
        <v>5</v>
      </c>
      <c r="H335" s="138">
        <f>IFERROR(__xludf.DUMMYFUNCTION("""COMPUTED_VALUE"""),4.0)</f>
        <v>4</v>
      </c>
      <c r="I335" s="138">
        <f>IFERROR(__xludf.DUMMYFUNCTION("""COMPUTED_VALUE"""),5.0)</f>
        <v>5</v>
      </c>
      <c r="J335" s="138">
        <f>IFERROR(__xludf.DUMMYFUNCTION("""COMPUTED_VALUE"""),5.0)</f>
        <v>5</v>
      </c>
      <c r="K335" s="138">
        <f>IFERROR(__xludf.DUMMYFUNCTION("""COMPUTED_VALUE"""),4.0)</f>
        <v>4</v>
      </c>
      <c r="L335" s="138">
        <v>32.0</v>
      </c>
      <c r="M335" s="140" t="str">
        <f>VLOOKUP(text(D335, "#"),'Master Table'!$A:$F, 6, FALSE)</f>
        <v>B-7</v>
      </c>
      <c r="N335" s="141" t="str">
        <f>IFERROR(__xludf.DUMMYFUNCTION("""COMPUTED_VALUE"""),"Excellent. Clear and presented within time limit.")</f>
        <v>Excellent. Clear and presented within time limit.</v>
      </c>
      <c r="O335" s="142" t="str">
        <f t="shared" si="1"/>
        <v/>
      </c>
      <c r="P335" s="143" t="str">
        <f>IF(ISNA(VLOOKUP(CONCAT(M335,C335), 'Judge Count DO NOT EDIT'!H:H, 1, FALSE)), "ERROR","")</f>
        <v/>
      </c>
      <c r="Q335" s="141"/>
      <c r="R335" s="143"/>
      <c r="S335" s="139" t="str">
        <f t="shared" si="2"/>
        <v>1007190</v>
      </c>
      <c r="T335" s="141"/>
    </row>
    <row r="336">
      <c r="A336" s="137">
        <f>IFERROR(__xludf.DUMMYFUNCTION("""COMPUTED_VALUE"""),45352.59580784722)</f>
        <v>45352.59581</v>
      </c>
      <c r="B336" s="138" t="str">
        <f>IFERROR(__xludf.DUMMYFUNCTION("""COMPUTED_VALUE"""),"Bill Aaron")</f>
        <v>Bill Aaron</v>
      </c>
      <c r="C336" s="138">
        <f>IFERROR(__xludf.DUMMYFUNCTION("""COMPUTED_VALUE"""),1060.0)</f>
        <v>1060</v>
      </c>
      <c r="D336" s="139">
        <f>IFERROR(__xludf.DUMMYFUNCTION("""COMPUTED_VALUE"""),190.0)</f>
        <v>190</v>
      </c>
      <c r="E336" s="138">
        <f>IFERROR(__xludf.DUMMYFUNCTION("""COMPUTED_VALUE"""),3.0)</f>
        <v>3</v>
      </c>
      <c r="F336" s="138">
        <f>IFERROR(__xludf.DUMMYFUNCTION("""COMPUTED_VALUE"""),3.0)</f>
        <v>3</v>
      </c>
      <c r="G336" s="138">
        <f>IFERROR(__xludf.DUMMYFUNCTION("""COMPUTED_VALUE"""),4.0)</f>
        <v>4</v>
      </c>
      <c r="H336" s="138">
        <f>IFERROR(__xludf.DUMMYFUNCTION("""COMPUTED_VALUE"""),3.0)</f>
        <v>3</v>
      </c>
      <c r="I336" s="138">
        <f>IFERROR(__xludf.DUMMYFUNCTION("""COMPUTED_VALUE"""),4.0)</f>
        <v>4</v>
      </c>
      <c r="J336" s="138">
        <f>IFERROR(__xludf.DUMMYFUNCTION("""COMPUTED_VALUE"""),3.0)</f>
        <v>3</v>
      </c>
      <c r="K336" s="138">
        <f>IFERROR(__xludf.DUMMYFUNCTION("""COMPUTED_VALUE"""),3.0)</f>
        <v>3</v>
      </c>
      <c r="L336" s="138">
        <v>23.0</v>
      </c>
      <c r="M336" s="140" t="str">
        <f>VLOOKUP(text(D336, "#"),'Master Table'!$A:$F, 6, FALSE)</f>
        <v>B-7</v>
      </c>
      <c r="N336" s="141" t="str">
        <f>IFERROR(__xludf.DUMMYFUNCTION("""COMPUTED_VALUE"""),"Very comprehensive subject material which was delivered very seamlessly. ")</f>
        <v>Very comprehensive subject material which was delivered very seamlessly. </v>
      </c>
      <c r="O336" s="142" t="str">
        <f t="shared" si="1"/>
        <v/>
      </c>
      <c r="P336" s="143" t="str">
        <f>IF(ISNA(VLOOKUP(CONCAT(M336,C336), 'Judge Count DO NOT EDIT'!H:H, 1, FALSE)), "ERROR","")</f>
        <v/>
      </c>
      <c r="Q336" s="144"/>
      <c r="R336" s="143"/>
      <c r="S336" s="139" t="str">
        <f t="shared" si="2"/>
        <v>1060190</v>
      </c>
      <c r="T336" s="144"/>
    </row>
    <row r="337">
      <c r="A337" s="137">
        <f>IFERROR(__xludf.DUMMYFUNCTION("""COMPUTED_VALUE"""),45352.486733020836)</f>
        <v>45352.48673</v>
      </c>
      <c r="B337" s="138" t="str">
        <f>IFERROR(__xludf.DUMMYFUNCTION("""COMPUTED_VALUE"""),"Esra")</f>
        <v>Esra</v>
      </c>
      <c r="C337" s="138">
        <f>IFERROR(__xludf.DUMMYFUNCTION("""COMPUTED_VALUE"""),1008.0)</f>
        <v>1008</v>
      </c>
      <c r="D337" s="139">
        <f>IFERROR(__xludf.DUMMYFUNCTION("""COMPUTED_VALUE"""),191.0)</f>
        <v>191</v>
      </c>
      <c r="E337" s="138">
        <f>IFERROR(__xludf.DUMMYFUNCTION("""COMPUTED_VALUE"""),3.0)</f>
        <v>3</v>
      </c>
      <c r="F337" s="138">
        <f>IFERROR(__xludf.DUMMYFUNCTION("""COMPUTED_VALUE"""),5.0)</f>
        <v>5</v>
      </c>
      <c r="G337" s="138">
        <f>IFERROR(__xludf.DUMMYFUNCTION("""COMPUTED_VALUE"""),5.0)</f>
        <v>5</v>
      </c>
      <c r="H337" s="138">
        <f>IFERROR(__xludf.DUMMYFUNCTION("""COMPUTED_VALUE"""),4.0)</f>
        <v>4</v>
      </c>
      <c r="I337" s="138">
        <f>IFERROR(__xludf.DUMMYFUNCTION("""COMPUTED_VALUE"""),5.0)</f>
        <v>5</v>
      </c>
      <c r="J337" s="138">
        <f>IFERROR(__xludf.DUMMYFUNCTION("""COMPUTED_VALUE"""),5.0)</f>
        <v>5</v>
      </c>
      <c r="K337" s="138">
        <f>IFERROR(__xludf.DUMMYFUNCTION("""COMPUTED_VALUE"""),5.0)</f>
        <v>5</v>
      </c>
      <c r="L337" s="138">
        <v>32.0</v>
      </c>
      <c r="M337" s="140" t="str">
        <f>VLOOKUP(text(D337, "#"),'Master Table'!$A:$F, 6, FALSE)</f>
        <v>B-7</v>
      </c>
      <c r="N337" s="141" t="str">
        <f>IFERROR(__xludf.DUMMYFUNCTION("""COMPUTED_VALUE"""),"This is such an inspiring presentation that sheds light on some of the most pressing questions we experience. For future revisions, I would suggest spending less time on the background and more time on the actual research subject. ")</f>
        <v>This is such an inspiring presentation that sheds light on some of the most pressing questions we experience. For future revisions, I would suggest spending less time on the background and more time on the actual research subject. </v>
      </c>
      <c r="O337" s="142" t="str">
        <f t="shared" si="1"/>
        <v/>
      </c>
      <c r="P337" s="143" t="str">
        <f>IF(ISNA(VLOOKUP(CONCAT(M337,C337), 'Judge Count DO NOT EDIT'!H:H, 1, FALSE)), "ERROR","")</f>
        <v/>
      </c>
      <c r="Q337" s="141"/>
      <c r="R337" s="143"/>
      <c r="S337" s="139" t="str">
        <f t="shared" si="2"/>
        <v>1008191</v>
      </c>
      <c r="T337" s="141"/>
    </row>
    <row r="338">
      <c r="A338" s="137">
        <f>IFERROR(__xludf.DUMMYFUNCTION("""COMPUTED_VALUE"""),45352.488091921296)</f>
        <v>45352.48809</v>
      </c>
      <c r="B338" s="138" t="str">
        <f>IFERROR(__xludf.DUMMYFUNCTION("""COMPUTED_VALUE"""),"Wawrytko")</f>
        <v>Wawrytko</v>
      </c>
      <c r="C338" s="138">
        <f>IFERROR(__xludf.DUMMYFUNCTION("""COMPUTED_VALUE"""),1004.0)</f>
        <v>1004</v>
      </c>
      <c r="D338" s="139">
        <f>IFERROR(__xludf.DUMMYFUNCTION("""COMPUTED_VALUE"""),191.0)</f>
        <v>191</v>
      </c>
      <c r="E338" s="138">
        <f>IFERROR(__xludf.DUMMYFUNCTION("""COMPUTED_VALUE"""),3.0)</f>
        <v>3</v>
      </c>
      <c r="F338" s="138">
        <f>IFERROR(__xludf.DUMMYFUNCTION("""COMPUTED_VALUE"""),4.0)</f>
        <v>4</v>
      </c>
      <c r="G338" s="138">
        <f>IFERROR(__xludf.DUMMYFUNCTION("""COMPUTED_VALUE"""),4.0)</f>
        <v>4</v>
      </c>
      <c r="H338" s="138">
        <f>IFERROR(__xludf.DUMMYFUNCTION("""COMPUTED_VALUE"""),4.0)</f>
        <v>4</v>
      </c>
      <c r="I338" s="138">
        <f>IFERROR(__xludf.DUMMYFUNCTION("""COMPUTED_VALUE"""),3.0)</f>
        <v>3</v>
      </c>
      <c r="J338" s="138">
        <f>IFERROR(__xludf.DUMMYFUNCTION("""COMPUTED_VALUE"""),3.0)</f>
        <v>3</v>
      </c>
      <c r="K338" s="138">
        <f>IFERROR(__xludf.DUMMYFUNCTION("""COMPUTED_VALUE"""),4.0)</f>
        <v>4</v>
      </c>
      <c r="L338" s="138">
        <v>25.0</v>
      </c>
      <c r="M338" s="140" t="str">
        <f>VLOOKUP(text(D338, "#"),'Master Table'!$A:$F, 6, FALSE)</f>
        <v>B-7</v>
      </c>
      <c r="N338" s="141"/>
      <c r="O338" s="142" t="str">
        <f t="shared" si="1"/>
        <v/>
      </c>
      <c r="P338" s="143" t="str">
        <f>IF(ISNA(VLOOKUP(CONCAT(M338,C338), 'Judge Count DO NOT EDIT'!H:H, 1, FALSE)), "ERROR","")</f>
        <v/>
      </c>
      <c r="R338" s="143"/>
      <c r="S338" s="139" t="str">
        <f t="shared" si="2"/>
        <v>1004191</v>
      </c>
      <c r="T338" s="141"/>
    </row>
    <row r="339">
      <c r="A339" s="137">
        <f>IFERROR(__xludf.DUMMYFUNCTION("""COMPUTED_VALUE"""),45352.48845981482)</f>
        <v>45352.48846</v>
      </c>
      <c r="B339" s="138" t="str">
        <f>IFERROR(__xludf.DUMMYFUNCTION("""COMPUTED_VALUE"""),"Eric Smigel")</f>
        <v>Eric Smigel</v>
      </c>
      <c r="C339" s="138">
        <f>IFERROR(__xludf.DUMMYFUNCTION("""COMPUTED_VALUE"""),1026.0)</f>
        <v>1026</v>
      </c>
      <c r="D339" s="139">
        <f>IFERROR(__xludf.DUMMYFUNCTION("""COMPUTED_VALUE"""),191.0)</f>
        <v>191</v>
      </c>
      <c r="E339" s="138">
        <f>IFERROR(__xludf.DUMMYFUNCTION("""COMPUTED_VALUE"""),4.0)</f>
        <v>4</v>
      </c>
      <c r="F339" s="138">
        <f>IFERROR(__xludf.DUMMYFUNCTION("""COMPUTED_VALUE"""),4.0)</f>
        <v>4</v>
      </c>
      <c r="G339" s="138">
        <f>IFERROR(__xludf.DUMMYFUNCTION("""COMPUTED_VALUE"""),4.0)</f>
        <v>4</v>
      </c>
      <c r="H339" s="138">
        <f>IFERROR(__xludf.DUMMYFUNCTION("""COMPUTED_VALUE"""),3.0)</f>
        <v>3</v>
      </c>
      <c r="I339" s="138">
        <f>IFERROR(__xludf.DUMMYFUNCTION("""COMPUTED_VALUE"""),4.0)</f>
        <v>4</v>
      </c>
      <c r="J339" s="138">
        <f>IFERROR(__xludf.DUMMYFUNCTION("""COMPUTED_VALUE"""),3.0)</f>
        <v>3</v>
      </c>
      <c r="K339" s="138">
        <f>IFERROR(__xludf.DUMMYFUNCTION("""COMPUTED_VALUE"""),4.0)</f>
        <v>4</v>
      </c>
      <c r="L339" s="138">
        <v>26.0</v>
      </c>
      <c r="M339" s="140" t="str">
        <f>VLOOKUP(text(D339, "#"),'Master Table'!$A:$F, 6, FALSE)</f>
        <v>B-7</v>
      </c>
      <c r="N339" s="141" t="str">
        <f>IFERROR(__xludf.DUMMYFUNCTION("""COMPUTED_VALUE"""),"Such a fascinating topic! I would like to have heard more about how your study of Manea has impacted your own creative writing.")</f>
        <v>Such a fascinating topic! I would like to have heard more about how your study of Manea has impacted your own creative writing.</v>
      </c>
      <c r="O339" s="142" t="str">
        <f t="shared" si="1"/>
        <v/>
      </c>
      <c r="P339" s="143" t="str">
        <f>IF(ISNA(VLOOKUP(CONCAT(M339,C339), 'Judge Count DO NOT EDIT'!H:H, 1, FALSE)), "ERROR","")</f>
        <v/>
      </c>
      <c r="Q339" s="141"/>
      <c r="R339" s="143"/>
      <c r="S339" s="139" t="str">
        <f t="shared" si="2"/>
        <v>1026191</v>
      </c>
      <c r="T339" s="141"/>
    </row>
    <row r="340">
      <c r="A340" s="137">
        <f>IFERROR(__xludf.DUMMYFUNCTION("""COMPUTED_VALUE"""),45352.59163228009)</f>
        <v>45352.59163</v>
      </c>
      <c r="B340" s="138" t="str">
        <f>IFERROR(__xludf.DUMMYFUNCTION("""COMPUTED_VALUE"""),"Charles Dintrone ")</f>
        <v>Charles Dintrone </v>
      </c>
      <c r="C340" s="138">
        <f>IFERROR(__xludf.DUMMYFUNCTION("""COMPUTED_VALUE"""),1007.0)</f>
        <v>1007</v>
      </c>
      <c r="D340" s="139">
        <f>IFERROR(__xludf.DUMMYFUNCTION("""COMPUTED_VALUE"""),191.0)</f>
        <v>191</v>
      </c>
      <c r="E340" s="138">
        <f>IFERROR(__xludf.DUMMYFUNCTION("""COMPUTED_VALUE"""),3.0)</f>
        <v>3</v>
      </c>
      <c r="F340" s="138">
        <f>IFERROR(__xludf.DUMMYFUNCTION("""COMPUTED_VALUE"""),4.0)</f>
        <v>4</v>
      </c>
      <c r="G340" s="138">
        <f>IFERROR(__xludf.DUMMYFUNCTION("""COMPUTED_VALUE"""),4.0)</f>
        <v>4</v>
      </c>
      <c r="H340" s="138">
        <f>IFERROR(__xludf.DUMMYFUNCTION("""COMPUTED_VALUE"""),3.0)</f>
        <v>3</v>
      </c>
      <c r="I340" s="138">
        <f>IFERROR(__xludf.DUMMYFUNCTION("""COMPUTED_VALUE"""),3.0)</f>
        <v>3</v>
      </c>
      <c r="J340" s="138">
        <f>IFERROR(__xludf.DUMMYFUNCTION("""COMPUTED_VALUE"""),4.0)</f>
        <v>4</v>
      </c>
      <c r="K340" s="138">
        <f>IFERROR(__xludf.DUMMYFUNCTION("""COMPUTED_VALUE"""),4.0)</f>
        <v>4</v>
      </c>
      <c r="L340" s="138">
        <v>25.0</v>
      </c>
      <c r="M340" s="140" t="str">
        <f>VLOOKUP(text(D340, "#"),'Master Table'!$A:$F, 6, FALSE)</f>
        <v>B-7</v>
      </c>
      <c r="N340" s="141"/>
      <c r="O340" s="142" t="str">
        <f t="shared" si="1"/>
        <v/>
      </c>
      <c r="P340" s="143" t="str">
        <f>IF(ISNA(VLOOKUP(CONCAT(M340,C340), 'Judge Count DO NOT EDIT'!H:H, 1, FALSE)), "ERROR","")</f>
        <v/>
      </c>
      <c r="Q340" s="141"/>
      <c r="R340" s="143"/>
      <c r="S340" s="139" t="str">
        <f t="shared" si="2"/>
        <v>1007191</v>
      </c>
      <c r="T340" s="141"/>
    </row>
    <row r="341">
      <c r="A341" s="137">
        <f>IFERROR(__xludf.DUMMYFUNCTION("""COMPUTED_VALUE"""),45352.59648057871)</f>
        <v>45352.59648</v>
      </c>
      <c r="B341" s="138" t="str">
        <f>IFERROR(__xludf.DUMMYFUNCTION("""COMPUTED_VALUE"""),"Bill Aaron")</f>
        <v>Bill Aaron</v>
      </c>
      <c r="C341" s="138">
        <f>IFERROR(__xludf.DUMMYFUNCTION("""COMPUTED_VALUE"""),1060.0)</f>
        <v>1060</v>
      </c>
      <c r="D341" s="139">
        <f>IFERROR(__xludf.DUMMYFUNCTION("""COMPUTED_VALUE"""),191.0)</f>
        <v>191</v>
      </c>
      <c r="E341" s="138">
        <f>IFERROR(__xludf.DUMMYFUNCTION("""COMPUTED_VALUE"""),3.0)</f>
        <v>3</v>
      </c>
      <c r="F341" s="138">
        <f>IFERROR(__xludf.DUMMYFUNCTION("""COMPUTED_VALUE"""),3.0)</f>
        <v>3</v>
      </c>
      <c r="G341" s="138">
        <f>IFERROR(__xludf.DUMMYFUNCTION("""COMPUTED_VALUE"""),3.0)</f>
        <v>3</v>
      </c>
      <c r="H341" s="138">
        <f>IFERROR(__xludf.DUMMYFUNCTION("""COMPUTED_VALUE"""),3.0)</f>
        <v>3</v>
      </c>
      <c r="I341" s="138">
        <f>IFERROR(__xludf.DUMMYFUNCTION("""COMPUTED_VALUE"""),2.0)</f>
        <v>2</v>
      </c>
      <c r="J341" s="138">
        <f>IFERROR(__xludf.DUMMYFUNCTION("""COMPUTED_VALUE"""),3.0)</f>
        <v>3</v>
      </c>
      <c r="K341" s="138">
        <f>IFERROR(__xludf.DUMMYFUNCTION("""COMPUTED_VALUE"""),3.0)</f>
        <v>3</v>
      </c>
      <c r="L341" s="138">
        <v>20.0</v>
      </c>
      <c r="M341" s="140" t="str">
        <f>VLOOKUP(text(D341, "#"),'Master Table'!$A:$F, 6, FALSE)</f>
        <v>B-7</v>
      </c>
      <c r="N341" s="141"/>
      <c r="O341" s="142" t="str">
        <f t="shared" si="1"/>
        <v/>
      </c>
      <c r="P341" s="143" t="str">
        <f>IF(ISNA(VLOOKUP(CONCAT(M341,C341), 'Judge Count DO NOT EDIT'!H:H, 1, FALSE)), "ERROR","")</f>
        <v/>
      </c>
      <c r="Q341" s="141"/>
      <c r="R341" s="143"/>
      <c r="S341" s="139" t="str">
        <f t="shared" si="2"/>
        <v>1060191</v>
      </c>
      <c r="T341" s="141"/>
    </row>
    <row r="342">
      <c r="A342" s="137">
        <f>IFERROR(__xludf.DUMMYFUNCTION("""COMPUTED_VALUE"""),45352.498622604166)</f>
        <v>45352.49862</v>
      </c>
      <c r="B342" s="138" t="str">
        <f>IFERROR(__xludf.DUMMYFUNCTION("""COMPUTED_VALUE"""),"Esra")</f>
        <v>Esra</v>
      </c>
      <c r="C342" s="138">
        <f>IFERROR(__xludf.DUMMYFUNCTION("""COMPUTED_VALUE"""),1008.0)</f>
        <v>1008</v>
      </c>
      <c r="D342" s="139">
        <f>IFERROR(__xludf.DUMMYFUNCTION("""COMPUTED_VALUE"""),192.0)</f>
        <v>192</v>
      </c>
      <c r="E342" s="138">
        <f>IFERROR(__xludf.DUMMYFUNCTION("""COMPUTED_VALUE"""),5.0)</f>
        <v>5</v>
      </c>
      <c r="F342" s="138">
        <f>IFERROR(__xludf.DUMMYFUNCTION("""COMPUTED_VALUE"""),5.0)</f>
        <v>5</v>
      </c>
      <c r="G342" s="138">
        <f>IFERROR(__xludf.DUMMYFUNCTION("""COMPUTED_VALUE"""),5.0)</f>
        <v>5</v>
      </c>
      <c r="H342" s="138">
        <f>IFERROR(__xludf.DUMMYFUNCTION("""COMPUTED_VALUE"""),5.0)</f>
        <v>5</v>
      </c>
      <c r="I342" s="138">
        <f>IFERROR(__xludf.DUMMYFUNCTION("""COMPUTED_VALUE"""),5.0)</f>
        <v>5</v>
      </c>
      <c r="J342" s="138">
        <f>IFERROR(__xludf.DUMMYFUNCTION("""COMPUTED_VALUE"""),5.0)</f>
        <v>5</v>
      </c>
      <c r="K342" s="138">
        <f>IFERROR(__xludf.DUMMYFUNCTION("""COMPUTED_VALUE"""),5.0)</f>
        <v>5</v>
      </c>
      <c r="L342" s="138">
        <v>35.0</v>
      </c>
      <c r="M342" s="140" t="str">
        <f>VLOOKUP(text(D342, "#"),'Master Table'!$A:$F, 6, FALSE)</f>
        <v>B-7</v>
      </c>
      <c r="N342" s="141" t="str">
        <f>IFERROR(__xludf.DUMMYFUNCTION("""COMPUTED_VALUE"""),"An exemplary scholarship that offers conceptual tools for future scholarship! A fantastic way of bringing together theory and stories. ")</f>
        <v>An exemplary scholarship that offers conceptual tools for future scholarship! A fantastic way of bringing together theory and stories. </v>
      </c>
      <c r="O342" s="142" t="str">
        <f t="shared" si="1"/>
        <v/>
      </c>
      <c r="P342" s="143" t="str">
        <f>IF(ISNA(VLOOKUP(CONCAT(M342,C342), 'Judge Count DO NOT EDIT'!H:H, 1, FALSE)), "ERROR","")</f>
        <v/>
      </c>
      <c r="Q342" s="144"/>
      <c r="R342" s="143"/>
      <c r="S342" s="139" t="str">
        <f t="shared" si="2"/>
        <v>1008192</v>
      </c>
      <c r="T342" s="141"/>
    </row>
    <row r="343">
      <c r="A343" s="137">
        <f>IFERROR(__xludf.DUMMYFUNCTION("""COMPUTED_VALUE"""),45352.50170811343)</f>
        <v>45352.50171</v>
      </c>
      <c r="B343" s="138" t="str">
        <f>IFERROR(__xludf.DUMMYFUNCTION("""COMPUTED_VALUE"""),"Eric Smigel")</f>
        <v>Eric Smigel</v>
      </c>
      <c r="C343" s="138">
        <f>IFERROR(__xludf.DUMMYFUNCTION("""COMPUTED_VALUE"""),1026.0)</f>
        <v>1026</v>
      </c>
      <c r="D343" s="139">
        <f>IFERROR(__xludf.DUMMYFUNCTION("""COMPUTED_VALUE"""),192.0)</f>
        <v>192</v>
      </c>
      <c r="E343" s="138">
        <f>IFERROR(__xludf.DUMMYFUNCTION("""COMPUTED_VALUE"""),4.0)</f>
        <v>4</v>
      </c>
      <c r="F343" s="138">
        <f>IFERROR(__xludf.DUMMYFUNCTION("""COMPUTED_VALUE"""),5.0)</f>
        <v>5</v>
      </c>
      <c r="G343" s="138">
        <f>IFERROR(__xludf.DUMMYFUNCTION("""COMPUTED_VALUE"""),5.0)</f>
        <v>5</v>
      </c>
      <c r="H343" s="138">
        <f>IFERROR(__xludf.DUMMYFUNCTION("""COMPUTED_VALUE"""),4.0)</f>
        <v>4</v>
      </c>
      <c r="I343" s="138">
        <f>IFERROR(__xludf.DUMMYFUNCTION("""COMPUTED_VALUE"""),4.0)</f>
        <v>4</v>
      </c>
      <c r="J343" s="138">
        <f>IFERROR(__xludf.DUMMYFUNCTION("""COMPUTED_VALUE"""),4.0)</f>
        <v>4</v>
      </c>
      <c r="K343" s="138">
        <f>IFERROR(__xludf.DUMMYFUNCTION("""COMPUTED_VALUE"""),4.0)</f>
        <v>4</v>
      </c>
      <c r="L343" s="138">
        <v>30.0</v>
      </c>
      <c r="M343" s="140" t="str">
        <f>VLOOKUP(text(D343, "#"),'Master Table'!$A:$F, 6, FALSE)</f>
        <v>B-7</v>
      </c>
      <c r="N343" s="141" t="str">
        <f>IFERROR(__xludf.DUMMYFUNCTION("""COMPUTED_VALUE"""),"Excellent presentation on a stimulating topic! I would like to have heard a bit more about how your studies of embodiment theory impact your interpretation of other primary sources.")</f>
        <v>Excellent presentation on a stimulating topic! I would like to have heard a bit more about how your studies of embodiment theory impact your interpretation of other primary sources.</v>
      </c>
      <c r="O343" s="142" t="str">
        <f t="shared" si="1"/>
        <v/>
      </c>
      <c r="P343" s="143" t="str">
        <f>IF(ISNA(VLOOKUP(CONCAT(M343,C343), 'Judge Count DO NOT EDIT'!H:H, 1, FALSE)), "ERROR","")</f>
        <v/>
      </c>
      <c r="Q343" s="141"/>
      <c r="R343" s="143"/>
      <c r="S343" s="139" t="str">
        <f t="shared" si="2"/>
        <v>1026192</v>
      </c>
      <c r="T343" s="141"/>
    </row>
    <row r="344">
      <c r="A344" s="137">
        <f>IFERROR(__xludf.DUMMYFUNCTION("""COMPUTED_VALUE"""),45352.50173413195)</f>
        <v>45352.50173</v>
      </c>
      <c r="B344" s="138" t="str">
        <f>IFERROR(__xludf.DUMMYFUNCTION("""COMPUTED_VALUE"""),"Wawrytko")</f>
        <v>Wawrytko</v>
      </c>
      <c r="C344" s="138">
        <f>IFERROR(__xludf.DUMMYFUNCTION("""COMPUTED_VALUE"""),1004.0)</f>
        <v>1004</v>
      </c>
      <c r="D344" s="139">
        <f>IFERROR(__xludf.DUMMYFUNCTION("""COMPUTED_VALUE"""),192.0)</f>
        <v>192</v>
      </c>
      <c r="E344" s="138">
        <f>IFERROR(__xludf.DUMMYFUNCTION("""COMPUTED_VALUE"""),4.0)</f>
        <v>4</v>
      </c>
      <c r="F344" s="138">
        <f>IFERROR(__xludf.DUMMYFUNCTION("""COMPUTED_VALUE"""),5.0)</f>
        <v>5</v>
      </c>
      <c r="G344" s="138">
        <f>IFERROR(__xludf.DUMMYFUNCTION("""COMPUTED_VALUE"""),5.0)</f>
        <v>5</v>
      </c>
      <c r="H344" s="138">
        <f>IFERROR(__xludf.DUMMYFUNCTION("""COMPUTED_VALUE"""),5.0)</f>
        <v>5</v>
      </c>
      <c r="I344" s="138">
        <f>IFERROR(__xludf.DUMMYFUNCTION("""COMPUTED_VALUE"""),4.0)</f>
        <v>4</v>
      </c>
      <c r="J344" s="138">
        <f>IFERROR(__xludf.DUMMYFUNCTION("""COMPUTED_VALUE"""),4.0)</f>
        <v>4</v>
      </c>
      <c r="K344" s="138">
        <f>IFERROR(__xludf.DUMMYFUNCTION("""COMPUTED_VALUE"""),4.0)</f>
        <v>4</v>
      </c>
      <c r="L344" s="138">
        <v>31.0</v>
      </c>
      <c r="M344" s="140" t="str">
        <f>VLOOKUP(text(D344, "#"),'Master Table'!$A:$F, 6, FALSE)</f>
        <v>B-7</v>
      </c>
      <c r="N344" s="141"/>
      <c r="O344" s="142" t="str">
        <f t="shared" si="1"/>
        <v/>
      </c>
      <c r="P344" s="143" t="str">
        <f>IF(ISNA(VLOOKUP(CONCAT(M344,C344), 'Judge Count DO NOT EDIT'!H:H, 1, FALSE)), "ERROR","")</f>
        <v/>
      </c>
      <c r="Q344" s="141"/>
      <c r="R344" s="143"/>
      <c r="S344" s="139" t="str">
        <f t="shared" si="2"/>
        <v>1004192</v>
      </c>
      <c r="T344" s="141"/>
    </row>
    <row r="345">
      <c r="A345" s="137">
        <f>IFERROR(__xludf.DUMMYFUNCTION("""COMPUTED_VALUE"""),45352.59500016204)</f>
        <v>45352.595</v>
      </c>
      <c r="B345" s="138" t="str">
        <f>IFERROR(__xludf.DUMMYFUNCTION("""COMPUTED_VALUE"""),"Charles Dintrone ")</f>
        <v>Charles Dintrone </v>
      </c>
      <c r="C345" s="138">
        <f>IFERROR(__xludf.DUMMYFUNCTION("""COMPUTED_VALUE"""),1007.0)</f>
        <v>1007</v>
      </c>
      <c r="D345" s="139">
        <f>IFERROR(__xludf.DUMMYFUNCTION("""COMPUTED_VALUE"""),192.0)</f>
        <v>192</v>
      </c>
      <c r="E345" s="138">
        <f>IFERROR(__xludf.DUMMYFUNCTION("""COMPUTED_VALUE"""),5.0)</f>
        <v>5</v>
      </c>
      <c r="F345" s="138">
        <f>IFERROR(__xludf.DUMMYFUNCTION("""COMPUTED_VALUE"""),4.0)</f>
        <v>4</v>
      </c>
      <c r="G345" s="138">
        <f>IFERROR(__xludf.DUMMYFUNCTION("""COMPUTED_VALUE"""),4.0)</f>
        <v>4</v>
      </c>
      <c r="H345" s="138">
        <f>IFERROR(__xludf.DUMMYFUNCTION("""COMPUTED_VALUE"""),5.0)</f>
        <v>5</v>
      </c>
      <c r="I345" s="138">
        <f>IFERROR(__xludf.DUMMYFUNCTION("""COMPUTED_VALUE"""),5.0)</f>
        <v>5</v>
      </c>
      <c r="J345" s="138">
        <f>IFERROR(__xludf.DUMMYFUNCTION("""COMPUTED_VALUE"""),5.0)</f>
        <v>5</v>
      </c>
      <c r="K345" s="138">
        <f>IFERROR(__xludf.DUMMYFUNCTION("""COMPUTED_VALUE"""),5.0)</f>
        <v>5</v>
      </c>
      <c r="L345" s="138">
        <v>33.0</v>
      </c>
      <c r="M345" s="140" t="str">
        <f>VLOOKUP(text(D345, "#"),'Master Table'!$A:$F, 6, FALSE)</f>
        <v>B-7</v>
      </c>
      <c r="N345" s="141" t="str">
        <f>IFERROR(__xludf.DUMMYFUNCTION("""COMPUTED_VALUE"""),"An interesting view of a leader and personality. Well presented.")</f>
        <v>An interesting view of a leader and personality. Well presented.</v>
      </c>
      <c r="O345" s="142" t="str">
        <f t="shared" si="1"/>
        <v/>
      </c>
      <c r="P345" s="143" t="str">
        <f>IF(ISNA(VLOOKUP(CONCAT(M345,C345), 'Judge Count DO NOT EDIT'!H:H, 1, FALSE)), "ERROR","")</f>
        <v/>
      </c>
      <c r="Q345" s="144"/>
      <c r="R345" s="143"/>
      <c r="S345" s="139" t="str">
        <f t="shared" si="2"/>
        <v>1007192</v>
      </c>
      <c r="T345" s="141"/>
    </row>
    <row r="346">
      <c r="A346" s="137">
        <f>IFERROR(__xludf.DUMMYFUNCTION("""COMPUTED_VALUE"""),45352.597887951386)</f>
        <v>45352.59789</v>
      </c>
      <c r="B346" s="138" t="str">
        <f>IFERROR(__xludf.DUMMYFUNCTION("""COMPUTED_VALUE"""),"Bill Aaron")</f>
        <v>Bill Aaron</v>
      </c>
      <c r="C346" s="138">
        <f>IFERROR(__xludf.DUMMYFUNCTION("""COMPUTED_VALUE"""),1060.0)</f>
        <v>1060</v>
      </c>
      <c r="D346" s="139">
        <f>IFERROR(__xludf.DUMMYFUNCTION("""COMPUTED_VALUE"""),192.0)</f>
        <v>192</v>
      </c>
      <c r="E346" s="138">
        <f>IFERROR(__xludf.DUMMYFUNCTION("""COMPUTED_VALUE"""),3.0)</f>
        <v>3</v>
      </c>
      <c r="F346" s="138">
        <f>IFERROR(__xludf.DUMMYFUNCTION("""COMPUTED_VALUE"""),3.0)</f>
        <v>3</v>
      </c>
      <c r="G346" s="138">
        <f>IFERROR(__xludf.DUMMYFUNCTION("""COMPUTED_VALUE"""),3.0)</f>
        <v>3</v>
      </c>
      <c r="H346" s="138">
        <f>IFERROR(__xludf.DUMMYFUNCTION("""COMPUTED_VALUE"""),3.0)</f>
        <v>3</v>
      </c>
      <c r="I346" s="138">
        <f>IFERROR(__xludf.DUMMYFUNCTION("""COMPUTED_VALUE"""),2.0)</f>
        <v>2</v>
      </c>
      <c r="J346" s="138">
        <f>IFERROR(__xludf.DUMMYFUNCTION("""COMPUTED_VALUE"""),2.0)</f>
        <v>2</v>
      </c>
      <c r="K346" s="138">
        <f>IFERROR(__xludf.DUMMYFUNCTION("""COMPUTED_VALUE"""),2.0)</f>
        <v>2</v>
      </c>
      <c r="L346" s="138">
        <v>18.0</v>
      </c>
      <c r="M346" s="140" t="str">
        <f>VLOOKUP(text(D346, "#"),'Master Table'!$A:$F, 6, FALSE)</f>
        <v>B-7</v>
      </c>
      <c r="N346" s="141" t="str">
        <f>IFERROR(__xludf.DUMMYFUNCTION("""COMPUTED_VALUE"""),"Read from note cards which I felt took away from direct eye contact from target audience. ")</f>
        <v>Read from note cards which I felt took away from direct eye contact from target audience. </v>
      </c>
      <c r="O346" s="142" t="str">
        <f t="shared" si="1"/>
        <v/>
      </c>
      <c r="P346" s="143" t="str">
        <f>IF(ISNA(VLOOKUP(CONCAT(M346,C346), 'Judge Count DO NOT EDIT'!H:H, 1, FALSE)), "ERROR","")</f>
        <v/>
      </c>
      <c r="Q346" s="144"/>
      <c r="R346" s="143"/>
      <c r="S346" s="139" t="str">
        <f t="shared" si="2"/>
        <v>1060192</v>
      </c>
      <c r="T346" s="141"/>
    </row>
    <row r="347">
      <c r="A347" s="137">
        <f>IFERROR(__xludf.DUMMYFUNCTION("""COMPUTED_VALUE"""),45352.51260105324)</f>
        <v>45352.5126</v>
      </c>
      <c r="B347" s="138" t="str">
        <f>IFERROR(__xludf.DUMMYFUNCTION("""COMPUTED_VALUE"""),"Eric Smigel")</f>
        <v>Eric Smigel</v>
      </c>
      <c r="C347" s="138">
        <f>IFERROR(__xludf.DUMMYFUNCTION("""COMPUTED_VALUE"""),1026.0)</f>
        <v>1026</v>
      </c>
      <c r="D347" s="139">
        <f>IFERROR(__xludf.DUMMYFUNCTION("""COMPUTED_VALUE"""),193.0)</f>
        <v>193</v>
      </c>
      <c r="E347" s="138">
        <f>IFERROR(__xludf.DUMMYFUNCTION("""COMPUTED_VALUE"""),4.0)</f>
        <v>4</v>
      </c>
      <c r="F347" s="138">
        <f>IFERROR(__xludf.DUMMYFUNCTION("""COMPUTED_VALUE"""),4.0)</f>
        <v>4</v>
      </c>
      <c r="G347" s="138">
        <f>IFERROR(__xludf.DUMMYFUNCTION("""COMPUTED_VALUE"""),5.0)</f>
        <v>5</v>
      </c>
      <c r="H347" s="138">
        <f>IFERROR(__xludf.DUMMYFUNCTION("""COMPUTED_VALUE"""),4.0)</f>
        <v>4</v>
      </c>
      <c r="I347" s="138">
        <f>IFERROR(__xludf.DUMMYFUNCTION("""COMPUTED_VALUE"""),4.0)</f>
        <v>4</v>
      </c>
      <c r="J347" s="138">
        <f>IFERROR(__xludf.DUMMYFUNCTION("""COMPUTED_VALUE"""),4.0)</f>
        <v>4</v>
      </c>
      <c r="K347" s="138">
        <f>IFERROR(__xludf.DUMMYFUNCTION("""COMPUTED_VALUE"""),4.0)</f>
        <v>4</v>
      </c>
      <c r="L347" s="138">
        <v>29.0</v>
      </c>
      <c r="M347" s="140" t="str">
        <f>VLOOKUP(text(D347, "#"),'Master Table'!$A:$F, 6, FALSE)</f>
        <v>B-7</v>
      </c>
      <c r="N347" s="141" t="str">
        <f>IFERROR(__xludf.DUMMYFUNCTION("""COMPUTED_VALUE"""),"Excellent presentation on a fascinating topic!")</f>
        <v>Excellent presentation on a fascinating topic!</v>
      </c>
      <c r="O347" s="142" t="str">
        <f t="shared" si="1"/>
        <v/>
      </c>
      <c r="P347" s="143" t="str">
        <f>IF(ISNA(VLOOKUP(CONCAT(M347,C347), 'Judge Count DO NOT EDIT'!H:H, 1, FALSE)), "ERROR","")</f>
        <v/>
      </c>
      <c r="R347" s="143"/>
      <c r="S347" s="139" t="str">
        <f t="shared" si="2"/>
        <v>1026193</v>
      </c>
      <c r="T347" s="141"/>
    </row>
    <row r="348">
      <c r="A348" s="137">
        <f>IFERROR(__xludf.DUMMYFUNCTION("""COMPUTED_VALUE"""),45352.51321696759)</f>
        <v>45352.51322</v>
      </c>
      <c r="B348" s="138" t="str">
        <f>IFERROR(__xludf.DUMMYFUNCTION("""COMPUTED_VALUE"""),"Wawrytko")</f>
        <v>Wawrytko</v>
      </c>
      <c r="C348" s="138">
        <f>IFERROR(__xludf.DUMMYFUNCTION("""COMPUTED_VALUE"""),1004.0)</f>
        <v>1004</v>
      </c>
      <c r="D348" s="139">
        <f>IFERROR(__xludf.DUMMYFUNCTION("""COMPUTED_VALUE"""),193.0)</f>
        <v>193</v>
      </c>
      <c r="E348" s="138">
        <f>IFERROR(__xludf.DUMMYFUNCTION("""COMPUTED_VALUE"""),4.0)</f>
        <v>4</v>
      </c>
      <c r="F348" s="138">
        <f>IFERROR(__xludf.DUMMYFUNCTION("""COMPUTED_VALUE"""),5.0)</f>
        <v>5</v>
      </c>
      <c r="G348" s="138">
        <f>IFERROR(__xludf.DUMMYFUNCTION("""COMPUTED_VALUE"""),5.0)</f>
        <v>5</v>
      </c>
      <c r="H348" s="138">
        <f>IFERROR(__xludf.DUMMYFUNCTION("""COMPUTED_VALUE"""),5.0)</f>
        <v>5</v>
      </c>
      <c r="I348" s="138">
        <f>IFERROR(__xludf.DUMMYFUNCTION("""COMPUTED_VALUE"""),4.0)</f>
        <v>4</v>
      </c>
      <c r="J348" s="138">
        <f>IFERROR(__xludf.DUMMYFUNCTION("""COMPUTED_VALUE"""),5.0)</f>
        <v>5</v>
      </c>
      <c r="K348" s="138">
        <f>IFERROR(__xludf.DUMMYFUNCTION("""COMPUTED_VALUE"""),4.0)</f>
        <v>4</v>
      </c>
      <c r="L348" s="138">
        <v>32.0</v>
      </c>
      <c r="M348" s="140" t="str">
        <f>VLOOKUP(text(D348, "#"),'Master Table'!$A:$F, 6, FALSE)</f>
        <v>B-7</v>
      </c>
      <c r="N348" s="141"/>
      <c r="O348" s="142" t="str">
        <f t="shared" si="1"/>
        <v/>
      </c>
      <c r="P348" s="143" t="str">
        <f>IF(ISNA(VLOOKUP(CONCAT(M348,C348), 'Judge Count DO NOT EDIT'!H:H, 1, FALSE)), "ERROR","")</f>
        <v/>
      </c>
      <c r="Q348" s="141"/>
      <c r="R348" s="143"/>
      <c r="S348" s="139" t="str">
        <f t="shared" si="2"/>
        <v>1004193</v>
      </c>
      <c r="T348" s="141"/>
    </row>
    <row r="349">
      <c r="A349" s="137">
        <f>IFERROR(__xludf.DUMMYFUNCTION("""COMPUTED_VALUE"""),45352.51332542824)</f>
        <v>45352.51333</v>
      </c>
      <c r="B349" s="138" t="str">
        <f>IFERROR(__xludf.DUMMYFUNCTION("""COMPUTED_VALUE"""),"Esra")</f>
        <v>Esra</v>
      </c>
      <c r="C349" s="138">
        <f>IFERROR(__xludf.DUMMYFUNCTION("""COMPUTED_VALUE"""),1008.0)</f>
        <v>1008</v>
      </c>
      <c r="D349" s="139">
        <f>IFERROR(__xludf.DUMMYFUNCTION("""COMPUTED_VALUE"""),193.0)</f>
        <v>193</v>
      </c>
      <c r="E349" s="138">
        <f>IFERROR(__xludf.DUMMYFUNCTION("""COMPUTED_VALUE"""),5.0)</f>
        <v>5</v>
      </c>
      <c r="F349" s="138">
        <f>IFERROR(__xludf.DUMMYFUNCTION("""COMPUTED_VALUE"""),5.0)</f>
        <v>5</v>
      </c>
      <c r="G349" s="138">
        <f>IFERROR(__xludf.DUMMYFUNCTION("""COMPUTED_VALUE"""),5.0)</f>
        <v>5</v>
      </c>
      <c r="H349" s="138">
        <f>IFERROR(__xludf.DUMMYFUNCTION("""COMPUTED_VALUE"""),5.0)</f>
        <v>5</v>
      </c>
      <c r="I349" s="138">
        <f>IFERROR(__xludf.DUMMYFUNCTION("""COMPUTED_VALUE"""),5.0)</f>
        <v>5</v>
      </c>
      <c r="J349" s="138">
        <f>IFERROR(__xludf.DUMMYFUNCTION("""COMPUTED_VALUE"""),5.0)</f>
        <v>5</v>
      </c>
      <c r="K349" s="138">
        <f>IFERROR(__xludf.DUMMYFUNCTION("""COMPUTED_VALUE"""),5.0)</f>
        <v>5</v>
      </c>
      <c r="L349" s="138">
        <v>35.0</v>
      </c>
      <c r="M349" s="140" t="str">
        <f>VLOOKUP(text(D349, "#"),'Master Table'!$A:$F, 6, FALSE)</f>
        <v>B-7</v>
      </c>
      <c r="N349" s="141" t="str">
        <f>IFERROR(__xludf.DUMMYFUNCTION("""COMPUTED_VALUE"""),"I especially loved the clarity, the structure, and the interdisciplinary aspect of the presentation. Also, such a timely topic on a crucial subject! The presenter has a very deep understanding of their research subject. ")</f>
        <v>I especially loved the clarity, the structure, and the interdisciplinary aspect of the presentation. Also, such a timely topic on a crucial subject! The presenter has a very deep understanding of their research subject. </v>
      </c>
      <c r="O349" s="142" t="str">
        <f t="shared" si="1"/>
        <v/>
      </c>
      <c r="P349" s="143" t="str">
        <f>IF(ISNA(VLOOKUP(CONCAT(M349,C349), 'Judge Count DO NOT EDIT'!H:H, 1, FALSE)), "ERROR","")</f>
        <v/>
      </c>
      <c r="Q349" s="141"/>
      <c r="R349" s="143"/>
      <c r="S349" s="139" t="str">
        <f t="shared" si="2"/>
        <v>1008193</v>
      </c>
      <c r="T349" s="141"/>
    </row>
    <row r="350">
      <c r="A350" s="137">
        <f>IFERROR(__xludf.DUMMYFUNCTION("""COMPUTED_VALUE"""),45352.59723569444)</f>
        <v>45352.59724</v>
      </c>
      <c r="B350" s="138" t="str">
        <f>IFERROR(__xludf.DUMMYFUNCTION("""COMPUTED_VALUE"""),"Charles Dintrone ")</f>
        <v>Charles Dintrone </v>
      </c>
      <c r="C350" s="138">
        <f>IFERROR(__xludf.DUMMYFUNCTION("""COMPUTED_VALUE"""),1007.0)</f>
        <v>1007</v>
      </c>
      <c r="D350" s="139">
        <f>IFERROR(__xludf.DUMMYFUNCTION("""COMPUTED_VALUE"""),193.0)</f>
        <v>193</v>
      </c>
      <c r="E350" s="138">
        <f>IFERROR(__xludf.DUMMYFUNCTION("""COMPUTED_VALUE"""),4.0)</f>
        <v>4</v>
      </c>
      <c r="F350" s="138">
        <f>IFERROR(__xludf.DUMMYFUNCTION("""COMPUTED_VALUE"""),5.0)</f>
        <v>5</v>
      </c>
      <c r="G350" s="138">
        <f>IFERROR(__xludf.DUMMYFUNCTION("""COMPUTED_VALUE"""),4.0)</f>
        <v>4</v>
      </c>
      <c r="H350" s="138">
        <f>IFERROR(__xludf.DUMMYFUNCTION("""COMPUTED_VALUE"""),4.0)</f>
        <v>4</v>
      </c>
      <c r="I350" s="138">
        <f>IFERROR(__xludf.DUMMYFUNCTION("""COMPUTED_VALUE"""),4.0)</f>
        <v>4</v>
      </c>
      <c r="J350" s="138">
        <f>IFERROR(__xludf.DUMMYFUNCTION("""COMPUTED_VALUE"""),4.0)</f>
        <v>4</v>
      </c>
      <c r="K350" s="138">
        <f>IFERROR(__xludf.DUMMYFUNCTION("""COMPUTED_VALUE"""),4.0)</f>
        <v>4</v>
      </c>
      <c r="L350" s="138">
        <v>29.0</v>
      </c>
      <c r="M350" s="140" t="str">
        <f>VLOOKUP(text(D350, "#"),'Master Table'!$A:$F, 6, FALSE)</f>
        <v>B-7</v>
      </c>
      <c r="N350" s="141"/>
      <c r="O350" s="142" t="str">
        <f t="shared" si="1"/>
        <v/>
      </c>
      <c r="P350" s="143" t="str">
        <f>IF(ISNA(VLOOKUP(CONCAT(M350,C350), 'Judge Count DO NOT EDIT'!H:H, 1, FALSE)), "ERROR","")</f>
        <v/>
      </c>
      <c r="Q350" s="141"/>
      <c r="R350" s="143"/>
      <c r="S350" s="139" t="str">
        <f t="shared" si="2"/>
        <v>1007193</v>
      </c>
      <c r="T350" s="141"/>
    </row>
    <row r="351">
      <c r="A351" s="137">
        <f>IFERROR(__xludf.DUMMYFUNCTION("""COMPUTED_VALUE"""),45352.59838766204)</f>
        <v>45352.59839</v>
      </c>
      <c r="B351" s="138" t="str">
        <f>IFERROR(__xludf.DUMMYFUNCTION("""COMPUTED_VALUE"""),"Bill Aaron")</f>
        <v>Bill Aaron</v>
      </c>
      <c r="C351" s="138">
        <f>IFERROR(__xludf.DUMMYFUNCTION("""COMPUTED_VALUE"""),1060.0)</f>
        <v>1060</v>
      </c>
      <c r="D351" s="139">
        <f>IFERROR(__xludf.DUMMYFUNCTION("""COMPUTED_VALUE"""),193.0)</f>
        <v>193</v>
      </c>
      <c r="E351" s="138">
        <f>IFERROR(__xludf.DUMMYFUNCTION("""COMPUTED_VALUE"""),3.0)</f>
        <v>3</v>
      </c>
      <c r="F351" s="138">
        <f>IFERROR(__xludf.DUMMYFUNCTION("""COMPUTED_VALUE"""),3.0)</f>
        <v>3</v>
      </c>
      <c r="G351" s="138">
        <f>IFERROR(__xludf.DUMMYFUNCTION("""COMPUTED_VALUE"""),3.0)</f>
        <v>3</v>
      </c>
      <c r="H351" s="138">
        <f>IFERROR(__xludf.DUMMYFUNCTION("""COMPUTED_VALUE"""),3.0)</f>
        <v>3</v>
      </c>
      <c r="I351" s="138">
        <f>IFERROR(__xludf.DUMMYFUNCTION("""COMPUTED_VALUE"""),3.0)</f>
        <v>3</v>
      </c>
      <c r="J351" s="138">
        <f>IFERROR(__xludf.DUMMYFUNCTION("""COMPUTED_VALUE"""),3.0)</f>
        <v>3</v>
      </c>
      <c r="K351" s="138">
        <f>IFERROR(__xludf.DUMMYFUNCTION("""COMPUTED_VALUE"""),3.0)</f>
        <v>3</v>
      </c>
      <c r="L351" s="138">
        <v>21.0</v>
      </c>
      <c r="M351" s="140" t="str">
        <f>VLOOKUP(text(D351, "#"),'Master Table'!$A:$F, 6, FALSE)</f>
        <v>B-7</v>
      </c>
      <c r="N351" s="141"/>
      <c r="O351" s="142" t="str">
        <f t="shared" si="1"/>
        <v/>
      </c>
      <c r="P351" s="143" t="str">
        <f>IF(ISNA(VLOOKUP(CONCAT(M351,C351), 'Judge Count DO NOT EDIT'!H:H, 1, FALSE)), "ERROR","")</f>
        <v/>
      </c>
      <c r="Q351" s="141"/>
      <c r="R351" s="143"/>
      <c r="S351" s="139" t="str">
        <f t="shared" si="2"/>
        <v>1060193</v>
      </c>
      <c r="T351" s="141"/>
    </row>
    <row r="352" ht="15.75" customHeight="1">
      <c r="A352" s="137">
        <f>IFERROR(__xludf.DUMMYFUNCTION("""COMPUTED_VALUE"""),45352.526378124996)</f>
        <v>45352.52638</v>
      </c>
      <c r="B352" s="138" t="str">
        <f>IFERROR(__xludf.DUMMYFUNCTION("""COMPUTED_VALUE"""),"Eric Smigel")</f>
        <v>Eric Smigel</v>
      </c>
      <c r="C352" s="138">
        <f>IFERROR(__xludf.DUMMYFUNCTION("""COMPUTED_VALUE"""),1026.0)</f>
        <v>1026</v>
      </c>
      <c r="D352" s="139">
        <f>IFERROR(__xludf.DUMMYFUNCTION("""COMPUTED_VALUE"""),194.0)</f>
        <v>194</v>
      </c>
      <c r="E352" s="138">
        <f>IFERROR(__xludf.DUMMYFUNCTION("""COMPUTED_VALUE"""),4.0)</f>
        <v>4</v>
      </c>
      <c r="F352" s="138">
        <f>IFERROR(__xludf.DUMMYFUNCTION("""COMPUTED_VALUE"""),4.0)</f>
        <v>4</v>
      </c>
      <c r="G352" s="138">
        <f>IFERROR(__xludf.DUMMYFUNCTION("""COMPUTED_VALUE"""),4.0)</f>
        <v>4</v>
      </c>
      <c r="H352" s="138">
        <f>IFERROR(__xludf.DUMMYFUNCTION("""COMPUTED_VALUE"""),4.0)</f>
        <v>4</v>
      </c>
      <c r="I352" s="138">
        <f>IFERROR(__xludf.DUMMYFUNCTION("""COMPUTED_VALUE"""),3.0)</f>
        <v>3</v>
      </c>
      <c r="J352" s="138">
        <f>IFERROR(__xludf.DUMMYFUNCTION("""COMPUTED_VALUE"""),4.0)</f>
        <v>4</v>
      </c>
      <c r="K352" s="138">
        <f>IFERROR(__xludf.DUMMYFUNCTION("""COMPUTED_VALUE"""),4.0)</f>
        <v>4</v>
      </c>
      <c r="L352" s="138">
        <v>27.0</v>
      </c>
      <c r="M352" s="140" t="str">
        <f>VLOOKUP(text(D352, "#"),'Master Table'!$A:$F, 6, FALSE)</f>
        <v>B-7</v>
      </c>
      <c r="N352" s="141" t="str">
        <f>IFERROR(__xludf.DUMMYFUNCTION("""COMPUTED_VALUE"""),"Compelling presentation!")</f>
        <v>Compelling presentation!</v>
      </c>
      <c r="O352" s="142" t="str">
        <f t="shared" si="1"/>
        <v/>
      </c>
      <c r="P352" s="143" t="str">
        <f>IF(ISNA(VLOOKUP(CONCAT(M352,C352), 'Judge Count DO NOT EDIT'!H:H, 1, FALSE)), "ERROR","")</f>
        <v/>
      </c>
      <c r="Q352" s="141"/>
      <c r="R352" s="143"/>
      <c r="S352" s="139" t="str">
        <f t="shared" si="2"/>
        <v>1026194</v>
      </c>
      <c r="T352" s="141"/>
    </row>
    <row r="353">
      <c r="A353" s="137">
        <f>IFERROR(__xludf.DUMMYFUNCTION("""COMPUTED_VALUE"""),45352.52696628473)</f>
        <v>45352.52697</v>
      </c>
      <c r="B353" s="138" t="str">
        <f>IFERROR(__xludf.DUMMYFUNCTION("""COMPUTED_VALUE"""),"Esra")</f>
        <v>Esra</v>
      </c>
      <c r="C353" s="138">
        <f>IFERROR(__xludf.DUMMYFUNCTION("""COMPUTED_VALUE"""),1008.0)</f>
        <v>1008</v>
      </c>
      <c r="D353" s="139">
        <f>IFERROR(__xludf.DUMMYFUNCTION("""COMPUTED_VALUE"""),194.0)</f>
        <v>194</v>
      </c>
      <c r="E353" s="138">
        <f>IFERROR(__xludf.DUMMYFUNCTION("""COMPUTED_VALUE"""),5.0)</f>
        <v>5</v>
      </c>
      <c r="F353" s="138">
        <f>IFERROR(__xludf.DUMMYFUNCTION("""COMPUTED_VALUE"""),5.0)</f>
        <v>5</v>
      </c>
      <c r="G353" s="138">
        <f>IFERROR(__xludf.DUMMYFUNCTION("""COMPUTED_VALUE"""),5.0)</f>
        <v>5</v>
      </c>
      <c r="H353" s="138">
        <f>IFERROR(__xludf.DUMMYFUNCTION("""COMPUTED_VALUE"""),5.0)</f>
        <v>5</v>
      </c>
      <c r="I353" s="138">
        <f>IFERROR(__xludf.DUMMYFUNCTION("""COMPUTED_VALUE"""),5.0)</f>
        <v>5</v>
      </c>
      <c r="J353" s="138">
        <f>IFERROR(__xludf.DUMMYFUNCTION("""COMPUTED_VALUE"""),5.0)</f>
        <v>5</v>
      </c>
      <c r="K353" s="138">
        <f>IFERROR(__xludf.DUMMYFUNCTION("""COMPUTED_VALUE"""),5.0)</f>
        <v>5</v>
      </c>
      <c r="L353" s="138">
        <v>35.0</v>
      </c>
      <c r="M353" s="140" t="str">
        <f>VLOOKUP(text(D353, "#"),'Master Table'!$A:$F, 6, FALSE)</f>
        <v>B-7</v>
      </c>
      <c r="N353" s="141" t="str">
        <f>IFERROR(__xludf.DUMMYFUNCTION("""COMPUTED_VALUE""")," A very clear, timely, and sophisticated project! For future revisions, I would suggest a focus on the stories the presenter encountered in the archives (instead of pieces of information from these archives). Also, engaging with theories in interdisciplin"&amp;"ary fields such as ethnic studies and black studies would help the project a lot.")</f>
        <v> A very clear, timely, and sophisticated project! For future revisions, I would suggest a focus on the stories the presenter encountered in the archives (instead of pieces of information from these archives). Also, engaging with theories in interdisciplinary fields such as ethnic studies and black studies would help the project a lot.</v>
      </c>
      <c r="O353" s="142" t="str">
        <f t="shared" si="1"/>
        <v/>
      </c>
      <c r="P353" s="143" t="str">
        <f>IF(ISNA(VLOOKUP(CONCAT(M353,C353), 'Judge Count DO NOT EDIT'!H:H, 1, FALSE)), "ERROR","")</f>
        <v/>
      </c>
      <c r="Q353" s="141"/>
      <c r="R353" s="143"/>
      <c r="S353" s="139" t="str">
        <f t="shared" si="2"/>
        <v>1008194</v>
      </c>
      <c r="T353" s="141"/>
    </row>
    <row r="354">
      <c r="A354" s="137">
        <f>IFERROR(__xludf.DUMMYFUNCTION("""COMPUTED_VALUE"""),45352.52830440972)</f>
        <v>45352.5283</v>
      </c>
      <c r="B354" s="138" t="str">
        <f>IFERROR(__xludf.DUMMYFUNCTION("""COMPUTED_VALUE"""),"Wawrytko")</f>
        <v>Wawrytko</v>
      </c>
      <c r="C354" s="138">
        <f>IFERROR(__xludf.DUMMYFUNCTION("""COMPUTED_VALUE"""),1004.0)</f>
        <v>1004</v>
      </c>
      <c r="D354" s="139">
        <f>IFERROR(__xludf.DUMMYFUNCTION("""COMPUTED_VALUE"""),194.0)</f>
        <v>194</v>
      </c>
      <c r="E354" s="138">
        <f>IFERROR(__xludf.DUMMYFUNCTION("""COMPUTED_VALUE"""),4.0)</f>
        <v>4</v>
      </c>
      <c r="F354" s="138">
        <f>IFERROR(__xludf.DUMMYFUNCTION("""COMPUTED_VALUE"""),4.0)</f>
        <v>4</v>
      </c>
      <c r="G354" s="138">
        <f>IFERROR(__xludf.DUMMYFUNCTION("""COMPUTED_VALUE"""),5.0)</f>
        <v>5</v>
      </c>
      <c r="H354" s="138">
        <f>IFERROR(__xludf.DUMMYFUNCTION("""COMPUTED_VALUE"""),4.0)</f>
        <v>4</v>
      </c>
      <c r="I354" s="138">
        <f>IFERROR(__xludf.DUMMYFUNCTION("""COMPUTED_VALUE"""),3.0)</f>
        <v>3</v>
      </c>
      <c r="J354" s="138">
        <f>IFERROR(__xludf.DUMMYFUNCTION("""COMPUTED_VALUE"""),3.0)</f>
        <v>3</v>
      </c>
      <c r="K354" s="138">
        <f>IFERROR(__xludf.DUMMYFUNCTION("""COMPUTED_VALUE"""),4.0)</f>
        <v>4</v>
      </c>
      <c r="L354" s="138">
        <v>27.0</v>
      </c>
      <c r="M354" s="140" t="str">
        <f>VLOOKUP(text(D354, "#"),'Master Table'!$A:$F, 6, FALSE)</f>
        <v>B-7</v>
      </c>
      <c r="N354" s="141"/>
      <c r="O354" s="142" t="str">
        <f t="shared" si="1"/>
        <v/>
      </c>
      <c r="P354" s="143" t="str">
        <f>IF(ISNA(VLOOKUP(CONCAT(M354,C354), 'Judge Count DO NOT EDIT'!H:H, 1, FALSE)), "ERROR","")</f>
        <v/>
      </c>
      <c r="Q354" s="141"/>
      <c r="R354" s="143"/>
      <c r="S354" s="139" t="str">
        <f t="shared" si="2"/>
        <v>1004194</v>
      </c>
      <c r="T354" s="141"/>
    </row>
    <row r="355">
      <c r="A355" s="137">
        <f>IFERROR(__xludf.DUMMYFUNCTION("""COMPUTED_VALUE"""),45352.59885174768)</f>
        <v>45352.59885</v>
      </c>
      <c r="B355" s="138" t="str">
        <f>IFERROR(__xludf.DUMMYFUNCTION("""COMPUTED_VALUE"""),"Bill Aaron")</f>
        <v>Bill Aaron</v>
      </c>
      <c r="C355" s="138">
        <f>IFERROR(__xludf.DUMMYFUNCTION("""COMPUTED_VALUE"""),1060.0)</f>
        <v>1060</v>
      </c>
      <c r="D355" s="139">
        <f>IFERROR(__xludf.DUMMYFUNCTION("""COMPUTED_VALUE"""),194.0)</f>
        <v>194</v>
      </c>
      <c r="E355" s="138">
        <f>IFERROR(__xludf.DUMMYFUNCTION("""COMPUTED_VALUE"""),4.0)</f>
        <v>4</v>
      </c>
      <c r="F355" s="138">
        <f>IFERROR(__xludf.DUMMYFUNCTION("""COMPUTED_VALUE"""),3.0)</f>
        <v>3</v>
      </c>
      <c r="G355" s="138">
        <f>IFERROR(__xludf.DUMMYFUNCTION("""COMPUTED_VALUE"""),3.0)</f>
        <v>3</v>
      </c>
      <c r="H355" s="138">
        <f>IFERROR(__xludf.DUMMYFUNCTION("""COMPUTED_VALUE"""),2.0)</f>
        <v>2</v>
      </c>
      <c r="I355" s="138">
        <f>IFERROR(__xludf.DUMMYFUNCTION("""COMPUTED_VALUE"""),2.0)</f>
        <v>2</v>
      </c>
      <c r="J355" s="138">
        <f>IFERROR(__xludf.DUMMYFUNCTION("""COMPUTED_VALUE"""),2.0)</f>
        <v>2</v>
      </c>
      <c r="K355" s="138">
        <f>IFERROR(__xludf.DUMMYFUNCTION("""COMPUTED_VALUE"""),3.0)</f>
        <v>3</v>
      </c>
      <c r="L355" s="138">
        <v>19.0</v>
      </c>
      <c r="M355" s="140" t="str">
        <f>VLOOKUP(text(D355, "#"),'Master Table'!$A:$F, 6, FALSE)</f>
        <v>B-7</v>
      </c>
      <c r="N355" s="141"/>
      <c r="O355" s="142" t="str">
        <f t="shared" si="1"/>
        <v/>
      </c>
      <c r="P355" s="143" t="str">
        <f>IF(ISNA(VLOOKUP(CONCAT(M355,C355), 'Judge Count DO NOT EDIT'!H:H, 1, FALSE)), "ERROR","")</f>
        <v/>
      </c>
      <c r="Q355" s="141"/>
      <c r="R355" s="143"/>
      <c r="S355" s="139" t="str">
        <f t="shared" si="2"/>
        <v>1060194</v>
      </c>
      <c r="T355" s="141"/>
    </row>
    <row r="356">
      <c r="A356" s="137">
        <f>IFERROR(__xludf.DUMMYFUNCTION("""COMPUTED_VALUE"""),45352.59893018518)</f>
        <v>45352.59893</v>
      </c>
      <c r="B356" s="138" t="str">
        <f>IFERROR(__xludf.DUMMYFUNCTION("""COMPUTED_VALUE"""),"Charles Dintrone ")</f>
        <v>Charles Dintrone </v>
      </c>
      <c r="C356" s="138">
        <f>IFERROR(__xludf.DUMMYFUNCTION("""COMPUTED_VALUE"""),1007.0)</f>
        <v>1007</v>
      </c>
      <c r="D356" s="139">
        <f>IFERROR(__xludf.DUMMYFUNCTION("""COMPUTED_VALUE"""),194.0)</f>
        <v>194</v>
      </c>
      <c r="E356" s="138">
        <f>IFERROR(__xludf.DUMMYFUNCTION("""COMPUTED_VALUE"""),4.0)</f>
        <v>4</v>
      </c>
      <c r="F356" s="138">
        <f>IFERROR(__xludf.DUMMYFUNCTION("""COMPUTED_VALUE"""),5.0)</f>
        <v>5</v>
      </c>
      <c r="G356" s="138">
        <f>IFERROR(__xludf.DUMMYFUNCTION("""COMPUTED_VALUE"""),5.0)</f>
        <v>5</v>
      </c>
      <c r="H356" s="138">
        <f>IFERROR(__xludf.DUMMYFUNCTION("""COMPUTED_VALUE"""),4.0)</f>
        <v>4</v>
      </c>
      <c r="I356" s="138">
        <f>IFERROR(__xludf.DUMMYFUNCTION("""COMPUTED_VALUE"""),4.0)</f>
        <v>4</v>
      </c>
      <c r="J356" s="138">
        <f>IFERROR(__xludf.DUMMYFUNCTION("""COMPUTED_VALUE"""),4.0)</f>
        <v>4</v>
      </c>
      <c r="K356" s="138">
        <f>IFERROR(__xludf.DUMMYFUNCTION("""COMPUTED_VALUE"""),4.0)</f>
        <v>4</v>
      </c>
      <c r="L356" s="138">
        <v>30.0</v>
      </c>
      <c r="M356" s="140" t="str">
        <f>VLOOKUP(text(D356, "#"),'Master Table'!$A:$F, 6, FALSE)</f>
        <v>B-7</v>
      </c>
      <c r="N356" s="141"/>
      <c r="O356" s="142" t="str">
        <f t="shared" si="1"/>
        <v/>
      </c>
      <c r="P356" s="143" t="str">
        <f>IF(ISNA(VLOOKUP(CONCAT(M356,C356), 'Judge Count DO NOT EDIT'!H:H, 1, FALSE)), "ERROR","")</f>
        <v/>
      </c>
      <c r="Q356" s="141"/>
      <c r="R356" s="143"/>
      <c r="S356" s="139" t="str">
        <f t="shared" si="2"/>
        <v>1007194</v>
      </c>
      <c r="T356" s="141"/>
    </row>
    <row r="357">
      <c r="A357" s="137">
        <f>IFERROR(__xludf.DUMMYFUNCTION("""COMPUTED_VALUE"""),45352.5997584838)</f>
        <v>45352.59976</v>
      </c>
      <c r="B357" s="138" t="str">
        <f>IFERROR(__xludf.DUMMYFUNCTION("""COMPUTED_VALUE"""),"Bill Aaron")</f>
        <v>Bill Aaron</v>
      </c>
      <c r="C357" s="138">
        <f>IFERROR(__xludf.DUMMYFUNCTION("""COMPUTED_VALUE"""),1060.0)</f>
        <v>1060</v>
      </c>
      <c r="D357" s="139">
        <f>IFERROR(__xludf.DUMMYFUNCTION("""COMPUTED_VALUE"""),195.0)</f>
        <v>195</v>
      </c>
      <c r="E357" s="138">
        <f>IFERROR(__xludf.DUMMYFUNCTION("""COMPUTED_VALUE"""),3.0)</f>
        <v>3</v>
      </c>
      <c r="F357" s="138">
        <f>IFERROR(__xludf.DUMMYFUNCTION("""COMPUTED_VALUE"""),3.0)</f>
        <v>3</v>
      </c>
      <c r="G357" s="138">
        <f>IFERROR(__xludf.DUMMYFUNCTION("""COMPUTED_VALUE"""),4.0)</f>
        <v>4</v>
      </c>
      <c r="H357" s="138">
        <f>IFERROR(__xludf.DUMMYFUNCTION("""COMPUTED_VALUE"""),3.0)</f>
        <v>3</v>
      </c>
      <c r="I357" s="138">
        <f>IFERROR(__xludf.DUMMYFUNCTION("""COMPUTED_VALUE"""),3.0)</f>
        <v>3</v>
      </c>
      <c r="J357" s="138">
        <f>IFERROR(__xludf.DUMMYFUNCTION("""COMPUTED_VALUE"""),3.0)</f>
        <v>3</v>
      </c>
      <c r="K357" s="138">
        <f>IFERROR(__xludf.DUMMYFUNCTION("""COMPUTED_VALUE"""),3.0)</f>
        <v>3</v>
      </c>
      <c r="L357" s="138">
        <v>22.0</v>
      </c>
      <c r="M357" s="140" t="str">
        <f>VLOOKUP(text(D357, "#"),'Master Table'!$A:$F, 6, FALSE)</f>
        <v>B-7</v>
      </c>
      <c r="N357" s="141"/>
      <c r="O357" s="142" t="str">
        <f t="shared" si="1"/>
        <v/>
      </c>
      <c r="P357" s="143" t="str">
        <f>IF(ISNA(VLOOKUP(CONCAT(M357,C357), 'Judge Count DO NOT EDIT'!H:H, 1, FALSE)), "ERROR","")</f>
        <v/>
      </c>
      <c r="Q357" s="141"/>
      <c r="R357" s="143"/>
      <c r="S357" s="139" t="str">
        <f t="shared" si="2"/>
        <v>1060195</v>
      </c>
      <c r="T357" s="141"/>
    </row>
    <row r="358">
      <c r="A358" s="137">
        <f>IFERROR(__xludf.DUMMYFUNCTION("""COMPUTED_VALUE"""),45352.470571550926)</f>
        <v>45352.47057</v>
      </c>
      <c r="B358" s="138" t="str">
        <f>IFERROR(__xludf.DUMMYFUNCTION("""COMPUTED_VALUE"""),"Robert Showghi ")</f>
        <v>Robert Showghi </v>
      </c>
      <c r="C358" s="138">
        <f>IFERROR(__xludf.DUMMYFUNCTION("""COMPUTED_VALUE"""),1218.0)</f>
        <v>1218</v>
      </c>
      <c r="D358" s="139">
        <f>IFERROR(__xludf.DUMMYFUNCTION("""COMPUTED_VALUE"""),196.0)</f>
        <v>196</v>
      </c>
      <c r="E358" s="138">
        <f>IFERROR(__xludf.DUMMYFUNCTION("""COMPUTED_VALUE"""),5.0)</f>
        <v>5</v>
      </c>
      <c r="F358" s="138">
        <f>IFERROR(__xludf.DUMMYFUNCTION("""COMPUTED_VALUE"""),4.0)</f>
        <v>4</v>
      </c>
      <c r="G358" s="138">
        <f>IFERROR(__xludf.DUMMYFUNCTION("""COMPUTED_VALUE"""),5.0)</f>
        <v>5</v>
      </c>
      <c r="H358" s="138">
        <f>IFERROR(__xludf.DUMMYFUNCTION("""COMPUTED_VALUE"""),4.0)</f>
        <v>4</v>
      </c>
      <c r="I358" s="138">
        <f>IFERROR(__xludf.DUMMYFUNCTION("""COMPUTED_VALUE"""),5.0)</f>
        <v>5</v>
      </c>
      <c r="J358" s="138">
        <f>IFERROR(__xludf.DUMMYFUNCTION("""COMPUTED_VALUE"""),5.0)</f>
        <v>5</v>
      </c>
      <c r="K358" s="138">
        <f>IFERROR(__xludf.DUMMYFUNCTION("""COMPUTED_VALUE"""),4.0)</f>
        <v>4</v>
      </c>
      <c r="L358" s="138">
        <v>32.0</v>
      </c>
      <c r="M358" s="140" t="str">
        <f>VLOOKUP(text(D358, "#"),'Master Table'!$A:$F, 6, FALSE)</f>
        <v>B-8</v>
      </c>
      <c r="N358" s="141" t="str">
        <f>IFERROR(__xludf.DUMMYFUNCTION("""COMPUTED_VALUE"""),"Clear presentation and a great presenter.")</f>
        <v>Clear presentation and a great presenter.</v>
      </c>
      <c r="O358" s="142" t="str">
        <f t="shared" si="1"/>
        <v/>
      </c>
      <c r="P358" s="143" t="str">
        <f>IF(ISNA(VLOOKUP(CONCAT(M358,C358), 'Judge Count DO NOT EDIT'!H:H, 1, FALSE)), "ERROR","")</f>
        <v/>
      </c>
      <c r="Q358" s="141"/>
      <c r="R358" s="143"/>
      <c r="S358" s="139" t="str">
        <f t="shared" si="2"/>
        <v>1218196</v>
      </c>
      <c r="T358" s="141"/>
    </row>
    <row r="359">
      <c r="A359" s="137">
        <f>IFERROR(__xludf.DUMMYFUNCTION("""COMPUTED_VALUE"""),45352.47270918981)</f>
        <v>45352.47271</v>
      </c>
      <c r="B359" s="138" t="str">
        <f>IFERROR(__xludf.DUMMYFUNCTION("""COMPUTED_VALUE"""),"Xin Wang")</f>
        <v>Xin Wang</v>
      </c>
      <c r="C359" s="138">
        <f>IFERROR(__xludf.DUMMYFUNCTION("""COMPUTED_VALUE"""),1168.0)</f>
        <v>1168</v>
      </c>
      <c r="D359" s="139">
        <f>IFERROR(__xludf.DUMMYFUNCTION("""COMPUTED_VALUE"""),196.0)</f>
        <v>196</v>
      </c>
      <c r="E359" s="138">
        <f>IFERROR(__xludf.DUMMYFUNCTION("""COMPUTED_VALUE"""),4.0)</f>
        <v>4</v>
      </c>
      <c r="F359" s="138">
        <f>IFERROR(__xludf.DUMMYFUNCTION("""COMPUTED_VALUE"""),5.0)</f>
        <v>5</v>
      </c>
      <c r="G359" s="138">
        <f>IFERROR(__xludf.DUMMYFUNCTION("""COMPUTED_VALUE"""),4.0)</f>
        <v>4</v>
      </c>
      <c r="H359" s="138">
        <f>IFERROR(__xludf.DUMMYFUNCTION("""COMPUTED_VALUE"""),3.0)</f>
        <v>3</v>
      </c>
      <c r="I359" s="138">
        <f>IFERROR(__xludf.DUMMYFUNCTION("""COMPUTED_VALUE"""),5.0)</f>
        <v>5</v>
      </c>
      <c r="J359" s="138">
        <f>IFERROR(__xludf.DUMMYFUNCTION("""COMPUTED_VALUE"""),3.0)</f>
        <v>3</v>
      </c>
      <c r="K359" s="138">
        <f>IFERROR(__xludf.DUMMYFUNCTION("""COMPUTED_VALUE"""),5.0)</f>
        <v>5</v>
      </c>
      <c r="L359" s="138">
        <v>29.0</v>
      </c>
      <c r="M359" s="140" t="str">
        <f>VLOOKUP(text(D359, "#"),'Master Table'!$A:$F, 6, FALSE)</f>
        <v>B-8</v>
      </c>
      <c r="N359" s="141"/>
      <c r="O359" s="142" t="str">
        <f t="shared" si="1"/>
        <v/>
      </c>
      <c r="P359" s="143" t="str">
        <f>IF(ISNA(VLOOKUP(CONCAT(M359,C359), 'Judge Count DO NOT EDIT'!H:H, 1, FALSE)), "ERROR","")</f>
        <v/>
      </c>
      <c r="Q359" s="141"/>
      <c r="R359" s="143"/>
      <c r="S359" s="139" t="str">
        <f t="shared" si="2"/>
        <v>1168196</v>
      </c>
      <c r="T359" s="141"/>
    </row>
    <row r="360">
      <c r="A360" s="137">
        <f>IFERROR(__xludf.DUMMYFUNCTION("""COMPUTED_VALUE"""),45352.47481071759)</f>
        <v>45352.47481</v>
      </c>
      <c r="B360" s="138" t="str">
        <f>IFERROR(__xludf.DUMMYFUNCTION("""COMPUTED_VALUE"""),"Margaret Stack")</f>
        <v>Margaret Stack</v>
      </c>
      <c r="C360" s="138">
        <f>IFERROR(__xludf.DUMMYFUNCTION("""COMPUTED_VALUE"""),1155.0)</f>
        <v>1155</v>
      </c>
      <c r="D360" s="139">
        <f>IFERROR(__xludf.DUMMYFUNCTION("""COMPUTED_VALUE"""),196.0)</f>
        <v>196</v>
      </c>
      <c r="E360" s="138">
        <f>IFERROR(__xludf.DUMMYFUNCTION("""COMPUTED_VALUE"""),4.0)</f>
        <v>4</v>
      </c>
      <c r="F360" s="138">
        <f>IFERROR(__xludf.DUMMYFUNCTION("""COMPUTED_VALUE"""),4.0)</f>
        <v>4</v>
      </c>
      <c r="G360" s="138">
        <f>IFERROR(__xludf.DUMMYFUNCTION("""COMPUTED_VALUE"""),4.0)</f>
        <v>4</v>
      </c>
      <c r="H360" s="138">
        <f>IFERROR(__xludf.DUMMYFUNCTION("""COMPUTED_VALUE"""),4.0)</f>
        <v>4</v>
      </c>
      <c r="I360" s="138">
        <f>IFERROR(__xludf.DUMMYFUNCTION("""COMPUTED_VALUE"""),5.0)</f>
        <v>5</v>
      </c>
      <c r="J360" s="138">
        <f>IFERROR(__xludf.DUMMYFUNCTION("""COMPUTED_VALUE"""),4.0)</f>
        <v>4</v>
      </c>
      <c r="K360" s="138">
        <f>IFERROR(__xludf.DUMMYFUNCTION("""COMPUTED_VALUE"""),5.0)</f>
        <v>5</v>
      </c>
      <c r="L360" s="138">
        <v>30.0</v>
      </c>
      <c r="M360" s="140" t="str">
        <f>VLOOKUP(text(D360, "#"),'Master Table'!$A:$F, 6, FALSE)</f>
        <v>B-8</v>
      </c>
      <c r="N360" s="141" t="str">
        <f>IFERROR(__xludf.DUMMYFUNCTION("""COMPUTED_VALUE"""),"Very knowledgeable! I think it could be helpful to know the audience (not all experts in this case), and don’t be afraid to simplify the topic where you can. Student was great at interacting with the audience, answering questions, and the visuals in the p"&amp;"resentation were fabulous! ")</f>
        <v>Very knowledgeable! I think it could be helpful to know the audience (not all experts in this case), and don’t be afraid to simplify the topic where you can. Student was great at interacting with the audience, answering questions, and the visuals in the presentation were fabulous! </v>
      </c>
      <c r="O360" s="142" t="str">
        <f t="shared" si="1"/>
        <v/>
      </c>
      <c r="P360" s="143" t="str">
        <f>IF(ISNA(VLOOKUP(CONCAT(M360,C360), 'Judge Count DO NOT EDIT'!H:H, 1, FALSE)), "ERROR","")</f>
        <v/>
      </c>
      <c r="Q360" s="141"/>
      <c r="R360" s="143"/>
      <c r="S360" s="139" t="str">
        <f t="shared" si="2"/>
        <v>1155196</v>
      </c>
      <c r="T360" s="141"/>
    </row>
    <row r="361">
      <c r="A361" s="137">
        <f>IFERROR(__xludf.DUMMYFUNCTION("""COMPUTED_VALUE"""),45352.47545241898)</f>
        <v>45352.47545</v>
      </c>
      <c r="B361" s="138" t="str">
        <f>IFERROR(__xludf.DUMMYFUNCTION("""COMPUTED_VALUE"""),"Colin McGrane")</f>
        <v>Colin McGrane</v>
      </c>
      <c r="C361" s="138">
        <f>IFERROR(__xludf.DUMMYFUNCTION("""COMPUTED_VALUE"""),1142.0)</f>
        <v>1142</v>
      </c>
      <c r="D361" s="139">
        <f>IFERROR(__xludf.DUMMYFUNCTION("""COMPUTED_VALUE"""),196.0)</f>
        <v>196</v>
      </c>
      <c r="E361" s="138">
        <f>IFERROR(__xludf.DUMMYFUNCTION("""COMPUTED_VALUE"""),5.0)</f>
        <v>5</v>
      </c>
      <c r="F361" s="138">
        <f>IFERROR(__xludf.DUMMYFUNCTION("""COMPUTED_VALUE"""),5.0)</f>
        <v>5</v>
      </c>
      <c r="G361" s="138">
        <f>IFERROR(__xludf.DUMMYFUNCTION("""COMPUTED_VALUE"""),5.0)</f>
        <v>5</v>
      </c>
      <c r="H361" s="138">
        <f>IFERROR(__xludf.DUMMYFUNCTION("""COMPUTED_VALUE"""),5.0)</f>
        <v>5</v>
      </c>
      <c r="I361" s="138">
        <f>IFERROR(__xludf.DUMMYFUNCTION("""COMPUTED_VALUE"""),5.0)</f>
        <v>5</v>
      </c>
      <c r="J361" s="138">
        <f>IFERROR(__xludf.DUMMYFUNCTION("""COMPUTED_VALUE"""),5.0)</f>
        <v>5</v>
      </c>
      <c r="K361" s="138">
        <f>IFERROR(__xludf.DUMMYFUNCTION("""COMPUTED_VALUE"""),5.0)</f>
        <v>5</v>
      </c>
      <c r="L361" s="138">
        <v>35.0</v>
      </c>
      <c r="M361" s="140" t="str">
        <f>VLOOKUP(text(D361, "#"),'Master Table'!$A:$F, 6, FALSE)</f>
        <v>B-8</v>
      </c>
      <c r="N361" s="141" t="str">
        <f>IFERROR(__xludf.DUMMYFUNCTION("""COMPUTED_VALUE"""),"I really enjoyed the visualizations on your slides and the clarity of your language around some really interesting (but difficult) topics. I am not an expert in this whatsoever, but from what I can tell with my mathematics background, the methodology and "&amp;"execution is sound. You really sound like you know what you're talking about, so take that for what it's worth! If I were to change anything, I think the Mario lettering was a bit fuzzy and the meme with the blue head with the spinning thought/buffering i"&amp;"mage were an attempt at a break for humor or a quick laugh-- which is totally fine (I appreciate when things aren't taken TOO serious) but perhaps these two in particular could be updated. Great Job!! Keep up the great work! ")</f>
        <v>I really enjoyed the visualizations on your slides and the clarity of your language around some really interesting (but difficult) topics. I am not an expert in this whatsoever, but from what I can tell with my mathematics background, the methodology and execution is sound. You really sound like you know what you're talking about, so take that for what it's worth! If I were to change anything, I think the Mario lettering was a bit fuzzy and the meme with the blue head with the spinning thought/buffering image were an attempt at a break for humor or a quick laugh-- which is totally fine (I appreciate when things aren't taken TOO serious) but perhaps these two in particular could be updated. Great Job!! Keep up the great work! </v>
      </c>
      <c r="O361" s="142" t="str">
        <f t="shared" si="1"/>
        <v/>
      </c>
      <c r="P361" s="143" t="str">
        <f>IF(ISNA(VLOOKUP(CONCAT(M361,C361), 'Judge Count DO NOT EDIT'!H:H, 1, FALSE)), "ERROR","")</f>
        <v/>
      </c>
      <c r="Q361" s="141"/>
      <c r="R361" s="143"/>
      <c r="S361" s="139" t="str">
        <f t="shared" si="2"/>
        <v>1142196</v>
      </c>
      <c r="T361" s="141"/>
    </row>
    <row r="362">
      <c r="A362" s="137">
        <f>IFERROR(__xludf.DUMMYFUNCTION("""COMPUTED_VALUE"""),45352.48393901621)</f>
        <v>45352.48394</v>
      </c>
      <c r="B362" s="138" t="str">
        <f>IFERROR(__xludf.DUMMYFUNCTION("""COMPUTED_VALUE"""),"Robert Showghi ")</f>
        <v>Robert Showghi </v>
      </c>
      <c r="C362" s="138">
        <f>IFERROR(__xludf.DUMMYFUNCTION("""COMPUTED_VALUE"""),1218.0)</f>
        <v>1218</v>
      </c>
      <c r="D362" s="139">
        <f>IFERROR(__xludf.DUMMYFUNCTION("""COMPUTED_VALUE"""),197.0)</f>
        <v>197</v>
      </c>
      <c r="E362" s="138">
        <f>IFERROR(__xludf.DUMMYFUNCTION("""COMPUTED_VALUE"""),4.0)</f>
        <v>4</v>
      </c>
      <c r="F362" s="138">
        <f>IFERROR(__xludf.DUMMYFUNCTION("""COMPUTED_VALUE"""),3.0)</f>
        <v>3</v>
      </c>
      <c r="G362" s="138">
        <f>IFERROR(__xludf.DUMMYFUNCTION("""COMPUTED_VALUE"""),3.0)</f>
        <v>3</v>
      </c>
      <c r="H362" s="138">
        <f>IFERROR(__xludf.DUMMYFUNCTION("""COMPUTED_VALUE"""),4.0)</f>
        <v>4</v>
      </c>
      <c r="I362" s="138">
        <f>IFERROR(__xludf.DUMMYFUNCTION("""COMPUTED_VALUE"""),3.0)</f>
        <v>3</v>
      </c>
      <c r="J362" s="138">
        <f>IFERROR(__xludf.DUMMYFUNCTION("""COMPUTED_VALUE"""),4.0)</f>
        <v>4</v>
      </c>
      <c r="K362" s="138">
        <f>IFERROR(__xludf.DUMMYFUNCTION("""COMPUTED_VALUE"""),4.0)</f>
        <v>4</v>
      </c>
      <c r="L362" s="138">
        <v>25.0</v>
      </c>
      <c r="M362" s="140" t="str">
        <f>VLOOKUP(text(D362, "#"),'Master Table'!$A:$F, 6, FALSE)</f>
        <v>B-8</v>
      </c>
      <c r="N362" s="141" t="str">
        <f>IFERROR(__xludf.DUMMYFUNCTION("""COMPUTED_VALUE"""),"Enthusiastic presentations.  Could be improved with making some if the slides have more readable content. ")</f>
        <v>Enthusiastic presentations.  Could be improved with making some if the slides have more readable content. </v>
      </c>
      <c r="O362" s="142" t="str">
        <f t="shared" si="1"/>
        <v/>
      </c>
      <c r="P362" s="143" t="str">
        <f>IF(ISNA(VLOOKUP(CONCAT(M362,C362), 'Judge Count DO NOT EDIT'!H:H, 1, FALSE)), "ERROR","")</f>
        <v/>
      </c>
      <c r="Q362" s="141"/>
      <c r="R362" s="143"/>
      <c r="S362" s="139" t="str">
        <f t="shared" si="2"/>
        <v>1218197</v>
      </c>
      <c r="T362" s="141"/>
    </row>
    <row r="363">
      <c r="A363" s="137">
        <f>IFERROR(__xludf.DUMMYFUNCTION("""COMPUTED_VALUE"""),45352.48773057871)</f>
        <v>45352.48773</v>
      </c>
      <c r="B363" s="138" t="str">
        <f>IFERROR(__xludf.DUMMYFUNCTION("""COMPUTED_VALUE"""),"Margaret Stack")</f>
        <v>Margaret Stack</v>
      </c>
      <c r="C363" s="138">
        <f>IFERROR(__xludf.DUMMYFUNCTION("""COMPUTED_VALUE"""),1155.0)</f>
        <v>1155</v>
      </c>
      <c r="D363" s="139">
        <f>IFERROR(__xludf.DUMMYFUNCTION("""COMPUTED_VALUE"""),197.0)</f>
        <v>197</v>
      </c>
      <c r="E363" s="138">
        <f>IFERROR(__xludf.DUMMYFUNCTION("""COMPUTED_VALUE"""),4.0)</f>
        <v>4</v>
      </c>
      <c r="F363" s="138">
        <f>IFERROR(__xludf.DUMMYFUNCTION("""COMPUTED_VALUE"""),4.0)</f>
        <v>4</v>
      </c>
      <c r="G363" s="138">
        <f>IFERROR(__xludf.DUMMYFUNCTION("""COMPUTED_VALUE"""),4.0)</f>
        <v>4</v>
      </c>
      <c r="H363" s="138">
        <f>IFERROR(__xludf.DUMMYFUNCTION("""COMPUTED_VALUE"""),3.0)</f>
        <v>3</v>
      </c>
      <c r="I363" s="138">
        <f>IFERROR(__xludf.DUMMYFUNCTION("""COMPUTED_VALUE"""),4.0)</f>
        <v>4</v>
      </c>
      <c r="J363" s="138">
        <f>IFERROR(__xludf.DUMMYFUNCTION("""COMPUTED_VALUE"""),5.0)</f>
        <v>5</v>
      </c>
      <c r="K363" s="138">
        <f>IFERROR(__xludf.DUMMYFUNCTION("""COMPUTED_VALUE"""),5.0)</f>
        <v>5</v>
      </c>
      <c r="L363" s="138">
        <v>29.0</v>
      </c>
      <c r="M363" s="140" t="str">
        <f>VLOOKUP(text(D363, "#"),'Master Table'!$A:$F, 6, FALSE)</f>
        <v>B-8</v>
      </c>
      <c r="N363" s="141" t="str">
        <f>IFERROR(__xludf.DUMMYFUNCTION("""COMPUTED_VALUE"""),"Really excellent job at explaining the concepts! ")</f>
        <v>Really excellent job at explaining the concepts! </v>
      </c>
      <c r="O363" s="142" t="str">
        <f t="shared" si="1"/>
        <v/>
      </c>
      <c r="P363" s="143" t="str">
        <f>IF(ISNA(VLOOKUP(CONCAT(M363,C363), 'Judge Count DO NOT EDIT'!H:H, 1, FALSE)), "ERROR","")</f>
        <v/>
      </c>
      <c r="Q363" s="141"/>
      <c r="R363" s="143"/>
      <c r="S363" s="139" t="str">
        <f t="shared" si="2"/>
        <v>1155197</v>
      </c>
      <c r="T363" s="141"/>
    </row>
    <row r="364">
      <c r="A364" s="137">
        <f>IFERROR(__xludf.DUMMYFUNCTION("""COMPUTED_VALUE"""),45352.487796180554)</f>
        <v>45352.4878</v>
      </c>
      <c r="B364" s="138" t="str">
        <f>IFERROR(__xludf.DUMMYFUNCTION("""COMPUTED_VALUE"""),"Xin Wang")</f>
        <v>Xin Wang</v>
      </c>
      <c r="C364" s="138">
        <f>IFERROR(__xludf.DUMMYFUNCTION("""COMPUTED_VALUE"""),1168.0)</f>
        <v>1168</v>
      </c>
      <c r="D364" s="139">
        <f>IFERROR(__xludf.DUMMYFUNCTION("""COMPUTED_VALUE"""),197.0)</f>
        <v>197</v>
      </c>
      <c r="E364" s="138">
        <f>IFERROR(__xludf.DUMMYFUNCTION("""COMPUTED_VALUE"""),3.0)</f>
        <v>3</v>
      </c>
      <c r="F364" s="138">
        <f>IFERROR(__xludf.DUMMYFUNCTION("""COMPUTED_VALUE"""),4.0)</f>
        <v>4</v>
      </c>
      <c r="G364" s="138">
        <f>IFERROR(__xludf.DUMMYFUNCTION("""COMPUTED_VALUE"""),3.0)</f>
        <v>3</v>
      </c>
      <c r="H364" s="138">
        <f>IFERROR(__xludf.DUMMYFUNCTION("""COMPUTED_VALUE"""),3.0)</f>
        <v>3</v>
      </c>
      <c r="I364" s="138">
        <f>IFERROR(__xludf.DUMMYFUNCTION("""COMPUTED_VALUE"""),2.0)</f>
        <v>2</v>
      </c>
      <c r="J364" s="138">
        <f>IFERROR(__xludf.DUMMYFUNCTION("""COMPUTED_VALUE"""),3.0)</f>
        <v>3</v>
      </c>
      <c r="K364" s="138">
        <f>IFERROR(__xludf.DUMMYFUNCTION("""COMPUTED_VALUE"""),2.0)</f>
        <v>2</v>
      </c>
      <c r="L364" s="138">
        <v>20.0</v>
      </c>
      <c r="M364" s="140" t="str">
        <f>VLOOKUP(text(D364, "#"),'Master Table'!$A:$F, 6, FALSE)</f>
        <v>B-8</v>
      </c>
      <c r="N364" s="141"/>
      <c r="O364" s="142" t="str">
        <f t="shared" si="1"/>
        <v/>
      </c>
      <c r="P364" s="143" t="str">
        <f>IF(ISNA(VLOOKUP(CONCAT(M364,C364), 'Judge Count DO NOT EDIT'!H:H, 1, FALSE)), "ERROR","")</f>
        <v/>
      </c>
      <c r="Q364" s="141"/>
      <c r="R364" s="143"/>
      <c r="S364" s="139" t="str">
        <f t="shared" si="2"/>
        <v>1168197</v>
      </c>
      <c r="T364" s="141"/>
    </row>
    <row r="365">
      <c r="A365" s="137">
        <f>IFERROR(__xludf.DUMMYFUNCTION("""COMPUTED_VALUE"""),45352.489409525464)</f>
        <v>45352.48941</v>
      </c>
      <c r="B365" s="138" t="str">
        <f>IFERROR(__xludf.DUMMYFUNCTION("""COMPUTED_VALUE"""),"Colin McGrane")</f>
        <v>Colin McGrane</v>
      </c>
      <c r="C365" s="138">
        <f>IFERROR(__xludf.DUMMYFUNCTION("""COMPUTED_VALUE"""),1142.0)</f>
        <v>1142</v>
      </c>
      <c r="D365" s="139">
        <f>IFERROR(__xludf.DUMMYFUNCTION("""COMPUTED_VALUE"""),197.0)</f>
        <v>197</v>
      </c>
      <c r="E365" s="138">
        <f>IFERROR(__xludf.DUMMYFUNCTION("""COMPUTED_VALUE"""),4.0)</f>
        <v>4</v>
      </c>
      <c r="F365" s="138">
        <f>IFERROR(__xludf.DUMMYFUNCTION("""COMPUTED_VALUE"""),4.0)</f>
        <v>4</v>
      </c>
      <c r="G365" s="138">
        <f>IFERROR(__xludf.DUMMYFUNCTION("""COMPUTED_VALUE"""),4.0)</f>
        <v>4</v>
      </c>
      <c r="H365" s="138">
        <f>IFERROR(__xludf.DUMMYFUNCTION("""COMPUTED_VALUE"""),5.0)</f>
        <v>5</v>
      </c>
      <c r="I365" s="138">
        <f>IFERROR(__xludf.DUMMYFUNCTION("""COMPUTED_VALUE"""),5.0)</f>
        <v>5</v>
      </c>
      <c r="J365" s="138">
        <f>IFERROR(__xludf.DUMMYFUNCTION("""COMPUTED_VALUE"""),5.0)</f>
        <v>5</v>
      </c>
      <c r="K365" s="138">
        <f>IFERROR(__xludf.DUMMYFUNCTION("""COMPUTED_VALUE"""),5.0)</f>
        <v>5</v>
      </c>
      <c r="L365" s="138">
        <v>32.0</v>
      </c>
      <c r="M365" s="140" t="str">
        <f>VLOOKUP(text(D365, "#"),'Master Table'!$A:$F, 6, FALSE)</f>
        <v>B-8</v>
      </c>
      <c r="N365" s="141" t="str">
        <f>IFERROR(__xludf.DUMMYFUNCTION("""COMPUTED_VALUE"""),"Great talk, thanks! I thought you did a great job fielding some tough questions. You're poise and attitude throughout the talk were great. I am not an expert in this field, so it was good to have plain and understandable language around your methodology a"&amp;"nd the motivation for this work. I think including some of the limitations of these results near the end of the slides could be an interesting thought-provoking moment for the audience-- for example, this 2.7% of planets you found do not take any atmosphe"&amp;"ric conditions into account! So the real amount of habitable planets is even less realistically. One note on your oral presentation skills is that you spoke clearly and I could understand you, but at times your voice was a bit low for the room we were in."&amp;" This is an effect of the cement floors and undecorated walls. So speaking louder could be beneficial. Thanks and great job! Keep it up! ")</f>
        <v>Great talk, thanks! I thought you did a great job fielding some tough questions. You're poise and attitude throughout the talk were great. I am not an expert in this field, so it was good to have plain and understandable language around your methodology and the motivation for this work. I think including some of the limitations of these results near the end of the slides could be an interesting thought-provoking moment for the audience-- for example, this 2.7% of planets you found do not take any atmospheric conditions into account! So the real amount of habitable planets is even less realistically. One note on your oral presentation skills is that you spoke clearly and I could understand you, but at times your voice was a bit low for the room we were in. This is an effect of the cement floors and undecorated walls. So speaking louder could be beneficial. Thanks and great job! Keep it up! </v>
      </c>
      <c r="O365" s="142" t="str">
        <f t="shared" si="1"/>
        <v/>
      </c>
      <c r="P365" s="143" t="str">
        <f>IF(ISNA(VLOOKUP(CONCAT(M365,C365), 'Judge Count DO NOT EDIT'!H:H, 1, FALSE)), "ERROR","")</f>
        <v/>
      </c>
      <c r="Q365" s="141"/>
      <c r="R365" s="143"/>
      <c r="S365" s="139" t="str">
        <f t="shared" si="2"/>
        <v>1142197</v>
      </c>
      <c r="T365" s="141"/>
    </row>
    <row r="366">
      <c r="A366" s="137">
        <f>IFERROR(__xludf.DUMMYFUNCTION("""COMPUTED_VALUE"""),45352.49902549769)</f>
        <v>45352.49903</v>
      </c>
      <c r="B366" s="138" t="str">
        <f>IFERROR(__xludf.DUMMYFUNCTION("""COMPUTED_VALUE"""),"Robert Showghi ")</f>
        <v>Robert Showghi </v>
      </c>
      <c r="C366" s="138">
        <f>IFERROR(__xludf.DUMMYFUNCTION("""COMPUTED_VALUE"""),1218.0)</f>
        <v>1218</v>
      </c>
      <c r="D366" s="139">
        <f>IFERROR(__xludf.DUMMYFUNCTION("""COMPUTED_VALUE"""),198.0)</f>
        <v>198</v>
      </c>
      <c r="E366" s="138">
        <f>IFERROR(__xludf.DUMMYFUNCTION("""COMPUTED_VALUE"""),3.0)</f>
        <v>3</v>
      </c>
      <c r="F366" s="138">
        <f>IFERROR(__xludf.DUMMYFUNCTION("""COMPUTED_VALUE"""),4.0)</f>
        <v>4</v>
      </c>
      <c r="G366" s="138">
        <f>IFERROR(__xludf.DUMMYFUNCTION("""COMPUTED_VALUE"""),3.0)</f>
        <v>3</v>
      </c>
      <c r="H366" s="138">
        <f>IFERROR(__xludf.DUMMYFUNCTION("""COMPUTED_VALUE"""),3.0)</f>
        <v>3</v>
      </c>
      <c r="I366" s="138">
        <f>IFERROR(__xludf.DUMMYFUNCTION("""COMPUTED_VALUE"""),2.0)</f>
        <v>2</v>
      </c>
      <c r="J366" s="138">
        <f>IFERROR(__xludf.DUMMYFUNCTION("""COMPUTED_VALUE"""),2.0)</f>
        <v>2</v>
      </c>
      <c r="K366" s="138">
        <f>IFERROR(__xludf.DUMMYFUNCTION("""COMPUTED_VALUE"""),4.0)</f>
        <v>4</v>
      </c>
      <c r="L366" s="138">
        <v>21.0</v>
      </c>
      <c r="M366" s="140" t="str">
        <f>VLOOKUP(text(D366, "#"),'Master Table'!$A:$F, 6, FALSE)</f>
        <v>B-8</v>
      </c>
      <c r="N366" s="141" t="str">
        <f>IFERROR(__xludf.DUMMYFUNCTION("""COMPUTED_VALUE"""),"The presentation could have been augmented by a more enthusiastic approach. ")</f>
        <v>The presentation could have been augmented by a more enthusiastic approach. </v>
      </c>
      <c r="O366" s="142" t="str">
        <f t="shared" si="1"/>
        <v/>
      </c>
      <c r="P366" s="143" t="str">
        <f>IF(ISNA(VLOOKUP(CONCAT(M366,C366), 'Judge Count DO NOT EDIT'!H:H, 1, FALSE)), "ERROR","")</f>
        <v/>
      </c>
      <c r="Q366" s="141"/>
      <c r="R366" s="143"/>
      <c r="S366" s="139" t="str">
        <f t="shared" si="2"/>
        <v>1218198</v>
      </c>
      <c r="T366" s="141"/>
    </row>
    <row r="367">
      <c r="A367" s="137">
        <f>IFERROR(__xludf.DUMMYFUNCTION("""COMPUTED_VALUE"""),45352.50225587963)</f>
        <v>45352.50226</v>
      </c>
      <c r="B367" s="138" t="str">
        <f>IFERROR(__xludf.DUMMYFUNCTION("""COMPUTED_VALUE"""),"Xin Wang")</f>
        <v>Xin Wang</v>
      </c>
      <c r="C367" s="138">
        <f>IFERROR(__xludf.DUMMYFUNCTION("""COMPUTED_VALUE"""),1168.0)</f>
        <v>1168</v>
      </c>
      <c r="D367" s="139">
        <f>IFERROR(__xludf.DUMMYFUNCTION("""COMPUTED_VALUE"""),198.0)</f>
        <v>198</v>
      </c>
      <c r="E367" s="138">
        <f>IFERROR(__xludf.DUMMYFUNCTION("""COMPUTED_VALUE"""),4.0)</f>
        <v>4</v>
      </c>
      <c r="F367" s="138">
        <f>IFERROR(__xludf.DUMMYFUNCTION("""COMPUTED_VALUE"""),4.0)</f>
        <v>4</v>
      </c>
      <c r="G367" s="138">
        <f>IFERROR(__xludf.DUMMYFUNCTION("""COMPUTED_VALUE"""),3.0)</f>
        <v>3</v>
      </c>
      <c r="H367" s="138">
        <f>IFERROR(__xludf.DUMMYFUNCTION("""COMPUTED_VALUE"""),3.0)</f>
        <v>3</v>
      </c>
      <c r="I367" s="138">
        <f>IFERROR(__xludf.DUMMYFUNCTION("""COMPUTED_VALUE"""),3.0)</f>
        <v>3</v>
      </c>
      <c r="J367" s="138">
        <f>IFERROR(__xludf.DUMMYFUNCTION("""COMPUTED_VALUE"""),3.0)</f>
        <v>3</v>
      </c>
      <c r="K367" s="138">
        <f>IFERROR(__xludf.DUMMYFUNCTION("""COMPUTED_VALUE"""),3.0)</f>
        <v>3</v>
      </c>
      <c r="L367" s="138">
        <v>23.0</v>
      </c>
      <c r="M367" s="140" t="str">
        <f>VLOOKUP(text(D367, "#"),'Master Table'!$A:$F, 6, FALSE)</f>
        <v>B-8</v>
      </c>
      <c r="N367" s="141"/>
      <c r="O367" s="142" t="str">
        <f t="shared" si="1"/>
        <v/>
      </c>
      <c r="P367" s="143" t="str">
        <f>IF(ISNA(VLOOKUP(CONCAT(M367,C367), 'Judge Count DO NOT EDIT'!H:H, 1, FALSE)), "ERROR","")</f>
        <v/>
      </c>
      <c r="Q367" s="141"/>
      <c r="R367" s="143"/>
      <c r="S367" s="139" t="str">
        <f t="shared" si="2"/>
        <v>1168198</v>
      </c>
      <c r="T367" s="141"/>
    </row>
    <row r="368">
      <c r="A368" s="137">
        <f>IFERROR(__xludf.DUMMYFUNCTION("""COMPUTED_VALUE"""),45352.50461334491)</f>
        <v>45352.50461</v>
      </c>
      <c r="B368" s="138" t="str">
        <f>IFERROR(__xludf.DUMMYFUNCTION("""COMPUTED_VALUE"""),"Colin McGrane")</f>
        <v>Colin McGrane</v>
      </c>
      <c r="C368" s="138">
        <f>IFERROR(__xludf.DUMMYFUNCTION("""COMPUTED_VALUE"""),1142.0)</f>
        <v>1142</v>
      </c>
      <c r="D368" s="139">
        <f>IFERROR(__xludf.DUMMYFUNCTION("""COMPUTED_VALUE"""),198.0)</f>
        <v>198</v>
      </c>
      <c r="E368" s="138">
        <f>IFERROR(__xludf.DUMMYFUNCTION("""COMPUTED_VALUE"""),5.0)</f>
        <v>5</v>
      </c>
      <c r="F368" s="138">
        <f>IFERROR(__xludf.DUMMYFUNCTION("""COMPUTED_VALUE"""),5.0)</f>
        <v>5</v>
      </c>
      <c r="G368" s="138">
        <f>IFERROR(__xludf.DUMMYFUNCTION("""COMPUTED_VALUE"""),4.0)</f>
        <v>4</v>
      </c>
      <c r="H368" s="138">
        <f>IFERROR(__xludf.DUMMYFUNCTION("""COMPUTED_VALUE"""),5.0)</f>
        <v>5</v>
      </c>
      <c r="I368" s="138">
        <f>IFERROR(__xludf.DUMMYFUNCTION("""COMPUTED_VALUE"""),5.0)</f>
        <v>5</v>
      </c>
      <c r="J368" s="138">
        <f>IFERROR(__xludf.DUMMYFUNCTION("""COMPUTED_VALUE"""),5.0)</f>
        <v>5</v>
      </c>
      <c r="K368" s="138">
        <f>IFERROR(__xludf.DUMMYFUNCTION("""COMPUTED_VALUE"""),5.0)</f>
        <v>5</v>
      </c>
      <c r="L368" s="138">
        <v>34.0</v>
      </c>
      <c r="M368" s="140" t="str">
        <f>VLOOKUP(text(D368, "#"),'Master Table'!$A:$F, 6, FALSE)</f>
        <v>B-8</v>
      </c>
      <c r="N368" s="141" t="str">
        <f>IFERROR(__xludf.DUMMYFUNCTION("""COMPUTED_VALUE"""),"Great talk, thank you! I found your slides very well organized and easy to follow and your speech was clear and understandable. The use of notecards for your presentation was fine in my case-- you had a lot of information to share in a short amount of tim"&amp;"e and you handled that well. You also did a great job fielding the questions in the room. My understanding of machine learning is not at an expert level, but your talk did not make me feel like I needed to know everything about it in order to understand t"&amp;"he significance of your results. In the future, my one constructive comment would be to reduce the amount of text on the text-heavy slides. I found most of your slides to be nicely balanced but a few were relatively text-heavy and may be able to be cut do"&amp;"wn. Great job, keep it up! ")</f>
        <v>Great talk, thank you! I found your slides very well organized and easy to follow and your speech was clear and understandable. The use of notecards for your presentation was fine in my case-- you had a lot of information to share in a short amount of time and you handled that well. You also did a great job fielding the questions in the room. My understanding of machine learning is not at an expert level, but your talk did not make me feel like I needed to know everything about it in order to understand the significance of your results. In the future, my one constructive comment would be to reduce the amount of text on the text-heavy slides. I found most of your slides to be nicely balanced but a few were relatively text-heavy and may be able to be cut down. Great job, keep it up! </v>
      </c>
      <c r="O368" s="142" t="str">
        <f t="shared" si="1"/>
        <v/>
      </c>
      <c r="P368" s="143" t="str">
        <f>IF(ISNA(VLOOKUP(CONCAT(M368,C368), 'Judge Count DO NOT EDIT'!H:H, 1, FALSE)), "ERROR","")</f>
        <v/>
      </c>
      <c r="Q368" s="141"/>
      <c r="R368" s="143"/>
      <c r="S368" s="139" t="str">
        <f t="shared" si="2"/>
        <v>1142198</v>
      </c>
      <c r="T368" s="141"/>
    </row>
    <row r="369">
      <c r="A369" s="137">
        <f>IFERROR(__xludf.DUMMYFUNCTION("""COMPUTED_VALUE"""),45352.54203297454)</f>
        <v>45352.54203</v>
      </c>
      <c r="B369" s="138" t="str">
        <f>IFERROR(__xludf.DUMMYFUNCTION("""COMPUTED_VALUE"""),"Xin Wang")</f>
        <v>Xin Wang</v>
      </c>
      <c r="C369" s="138">
        <f>IFERROR(__xludf.DUMMYFUNCTION("""COMPUTED_VALUE"""),1168.0)</f>
        <v>1168</v>
      </c>
      <c r="D369" s="139">
        <f>IFERROR(__xludf.DUMMYFUNCTION("""COMPUTED_VALUE"""),201.0)</f>
        <v>201</v>
      </c>
      <c r="E369" s="138">
        <f>IFERROR(__xludf.DUMMYFUNCTION("""COMPUTED_VALUE"""),4.0)</f>
        <v>4</v>
      </c>
      <c r="F369" s="138">
        <f>IFERROR(__xludf.DUMMYFUNCTION("""COMPUTED_VALUE"""),4.0)</f>
        <v>4</v>
      </c>
      <c r="G369" s="138">
        <f>IFERROR(__xludf.DUMMYFUNCTION("""COMPUTED_VALUE"""),3.0)</f>
        <v>3</v>
      </c>
      <c r="H369" s="138">
        <f>IFERROR(__xludf.DUMMYFUNCTION("""COMPUTED_VALUE"""),3.0)</f>
        <v>3</v>
      </c>
      <c r="I369" s="138">
        <f>IFERROR(__xludf.DUMMYFUNCTION("""COMPUTED_VALUE"""),5.0)</f>
        <v>5</v>
      </c>
      <c r="J369" s="138">
        <f>IFERROR(__xludf.DUMMYFUNCTION("""COMPUTED_VALUE"""),4.0)</f>
        <v>4</v>
      </c>
      <c r="K369" s="138">
        <f>IFERROR(__xludf.DUMMYFUNCTION("""COMPUTED_VALUE"""),5.0)</f>
        <v>5</v>
      </c>
      <c r="L369" s="138">
        <v>28.0</v>
      </c>
      <c r="M369" s="140" t="str">
        <f>VLOOKUP(text(D369, "#"),'Master Table'!$A:$F, 6, FALSE)</f>
        <v>B-8</v>
      </c>
      <c r="N369" s="141"/>
      <c r="O369" s="142" t="str">
        <f t="shared" si="1"/>
        <v/>
      </c>
      <c r="P369" s="143" t="str">
        <f>IF(ISNA(VLOOKUP(CONCAT(M369,C369), 'Judge Count DO NOT EDIT'!H:H, 1, FALSE)), "ERROR","")</f>
        <v/>
      </c>
      <c r="Q369" s="141"/>
      <c r="R369" s="143"/>
      <c r="S369" s="139" t="str">
        <f t="shared" si="2"/>
        <v>1168201</v>
      </c>
      <c r="T369" s="141"/>
    </row>
    <row r="370">
      <c r="A370" s="137">
        <f>IFERROR(__xludf.DUMMYFUNCTION("""COMPUTED_VALUE"""),45352.543421064816)</f>
        <v>45352.54342</v>
      </c>
      <c r="B370" s="138" t="str">
        <f>IFERROR(__xludf.DUMMYFUNCTION("""COMPUTED_VALUE"""),"Colin McGrane")</f>
        <v>Colin McGrane</v>
      </c>
      <c r="C370" s="138">
        <f>IFERROR(__xludf.DUMMYFUNCTION("""COMPUTED_VALUE"""),1142.0)</f>
        <v>1142</v>
      </c>
      <c r="D370" s="139">
        <f>IFERROR(__xludf.DUMMYFUNCTION("""COMPUTED_VALUE"""),201.0)</f>
        <v>201</v>
      </c>
      <c r="E370" s="138">
        <f>IFERROR(__xludf.DUMMYFUNCTION("""COMPUTED_VALUE"""),5.0)</f>
        <v>5</v>
      </c>
      <c r="F370" s="138">
        <f>IFERROR(__xludf.DUMMYFUNCTION("""COMPUTED_VALUE"""),4.0)</f>
        <v>4</v>
      </c>
      <c r="G370" s="138">
        <f>IFERROR(__xludf.DUMMYFUNCTION("""COMPUTED_VALUE"""),4.0)</f>
        <v>4</v>
      </c>
      <c r="H370" s="138">
        <f>IFERROR(__xludf.DUMMYFUNCTION("""COMPUTED_VALUE"""),5.0)</f>
        <v>5</v>
      </c>
      <c r="I370" s="138">
        <f>IFERROR(__xludf.DUMMYFUNCTION("""COMPUTED_VALUE"""),5.0)</f>
        <v>5</v>
      </c>
      <c r="J370" s="138">
        <f>IFERROR(__xludf.DUMMYFUNCTION("""COMPUTED_VALUE"""),5.0)</f>
        <v>5</v>
      </c>
      <c r="K370" s="138">
        <f>IFERROR(__xludf.DUMMYFUNCTION("""COMPUTED_VALUE"""),5.0)</f>
        <v>5</v>
      </c>
      <c r="L370" s="138">
        <v>33.0</v>
      </c>
      <c r="M370" s="140" t="str">
        <f>VLOOKUP(text(D370, "#"),'Master Table'!$A:$F, 6, FALSE)</f>
        <v>B-8</v>
      </c>
      <c r="N370" s="141" t="str">
        <f>IFERROR(__xludf.DUMMYFUNCTION("""COMPUTED_VALUE"""),"Great Talk! I appreciate the clarity and straight-forward presentation of what is likely very difficult topics to discuss to folks who do not have experience in this field. I am not an expert, but my background in mathematics gives me some intuition aroun"&amp;"d your use and understanding of the methodology you used. You spoke clearly and loudly, which was nice. Your slides were clean and not too text-heavy, which is also great. One comment I have about what I would change is to add some more about the signific"&amp;"ance or your motivation for wanting to solve this problem-- what does humanity gain out of solving this problem?  Keep up the good work! ")</f>
        <v>Great Talk! I appreciate the clarity and straight-forward presentation of what is likely very difficult topics to discuss to folks who do not have experience in this field. I am not an expert, but my background in mathematics gives me some intuition around your use and understanding of the methodology you used. You spoke clearly and loudly, which was nice. Your slides were clean and not too text-heavy, which is also great. One comment I have about what I would change is to add some more about the significance or your motivation for wanting to solve this problem-- what does humanity gain out of solving this problem?  Keep up the good work! </v>
      </c>
      <c r="O370" s="142" t="str">
        <f t="shared" si="1"/>
        <v/>
      </c>
      <c r="P370" s="143" t="str">
        <f>IF(ISNA(VLOOKUP(CONCAT(M370,C370), 'Judge Count DO NOT EDIT'!H:H, 1, FALSE)), "ERROR","")</f>
        <v/>
      </c>
      <c r="Q370" s="141"/>
      <c r="R370" s="143"/>
      <c r="S370" s="139" t="str">
        <f t="shared" si="2"/>
        <v>1142201</v>
      </c>
      <c r="T370" s="141"/>
    </row>
    <row r="371">
      <c r="A371" s="137">
        <f>IFERROR(__xludf.DUMMYFUNCTION("""COMPUTED_VALUE"""),45352.54418016203)</f>
        <v>45352.54418</v>
      </c>
      <c r="B371" s="138" t="str">
        <f>IFERROR(__xludf.DUMMYFUNCTION("""COMPUTED_VALUE"""),"Margaret Stack ")</f>
        <v>Margaret Stack </v>
      </c>
      <c r="C371" s="138">
        <f>IFERROR(__xludf.DUMMYFUNCTION("""COMPUTED_VALUE"""),1155.0)</f>
        <v>1155</v>
      </c>
      <c r="D371" s="139">
        <f>IFERROR(__xludf.DUMMYFUNCTION("""COMPUTED_VALUE"""),201.0)</f>
        <v>201</v>
      </c>
      <c r="E371" s="138">
        <f>IFERROR(__xludf.DUMMYFUNCTION("""COMPUTED_VALUE"""),3.0)</f>
        <v>3</v>
      </c>
      <c r="F371" s="138">
        <f>IFERROR(__xludf.DUMMYFUNCTION("""COMPUTED_VALUE"""),4.0)</f>
        <v>4</v>
      </c>
      <c r="G371" s="138">
        <f>IFERROR(__xludf.DUMMYFUNCTION("""COMPUTED_VALUE"""),3.0)</f>
        <v>3</v>
      </c>
      <c r="H371" s="138">
        <f>IFERROR(__xludf.DUMMYFUNCTION("""COMPUTED_VALUE"""),4.0)</f>
        <v>4</v>
      </c>
      <c r="I371" s="138">
        <f>IFERROR(__xludf.DUMMYFUNCTION("""COMPUTED_VALUE"""),4.0)</f>
        <v>4</v>
      </c>
      <c r="J371" s="138">
        <f>IFERROR(__xludf.DUMMYFUNCTION("""COMPUTED_VALUE"""),3.0)</f>
        <v>3</v>
      </c>
      <c r="K371" s="138">
        <f>IFERROR(__xludf.DUMMYFUNCTION("""COMPUTED_VALUE"""),5.0)</f>
        <v>5</v>
      </c>
      <c r="L371" s="138">
        <v>26.0</v>
      </c>
      <c r="M371" s="140" t="str">
        <f>VLOOKUP(text(D371, "#"),'Master Table'!$A:$F, 6, FALSE)</f>
        <v>B-8</v>
      </c>
      <c r="N371" s="141" t="str">
        <f>IFERROR(__xludf.DUMMYFUNCTION("""COMPUTED_VALUE"""),"The student clearly understands their research topic very well! I think the presentation could include more visuals depicting the actual process of creating the templates (e.g., show overlaying). Additionally, the significance and implications could be st"&amp;"ated more clearly. The student answered questions very well and should be proud of the work! ")</f>
        <v>The student clearly understands their research topic very well! I think the presentation could include more visuals depicting the actual process of creating the templates (e.g., show overlaying). Additionally, the significance and implications could be stated more clearly. The student answered questions very well and should be proud of the work! </v>
      </c>
      <c r="O371" s="142" t="str">
        <f t="shared" si="1"/>
        <v/>
      </c>
      <c r="P371" s="143" t="str">
        <f>IF(ISNA(VLOOKUP(CONCAT(M371,C371), 'Judge Count DO NOT EDIT'!H:H, 1, FALSE)), "ERROR","")</f>
        <v/>
      </c>
      <c r="Q371" s="141"/>
      <c r="R371" s="143"/>
      <c r="S371" s="139" t="str">
        <f t="shared" si="2"/>
        <v>1155201</v>
      </c>
      <c r="T371" s="141"/>
    </row>
    <row r="372">
      <c r="A372" s="137">
        <f>IFERROR(__xludf.DUMMYFUNCTION("""COMPUTED_VALUE"""),45352.46743480324)</f>
        <v>45352.46743</v>
      </c>
      <c r="B372" s="138" t="str">
        <f>IFERROR(__xludf.DUMMYFUNCTION("""COMPUTED_VALUE"""),"Krishna Ramamoorthy")</f>
        <v>Krishna Ramamoorthy</v>
      </c>
      <c r="C372" s="138">
        <f>IFERROR(__xludf.DUMMYFUNCTION("""COMPUTED_VALUE"""),1226.0)</f>
        <v>1226</v>
      </c>
      <c r="D372" s="139">
        <f>IFERROR(__xludf.DUMMYFUNCTION("""COMPUTED_VALUE"""),202.0)</f>
        <v>202</v>
      </c>
      <c r="E372" s="138">
        <f>IFERROR(__xludf.DUMMYFUNCTION("""COMPUTED_VALUE"""),3.0)</f>
        <v>3</v>
      </c>
      <c r="F372" s="138">
        <f>IFERROR(__xludf.DUMMYFUNCTION("""COMPUTED_VALUE"""),4.0)</f>
        <v>4</v>
      </c>
      <c r="G372" s="138">
        <f>IFERROR(__xludf.DUMMYFUNCTION("""COMPUTED_VALUE"""),3.0)</f>
        <v>3</v>
      </c>
      <c r="H372" s="138">
        <f>IFERROR(__xludf.DUMMYFUNCTION("""COMPUTED_VALUE"""),3.0)</f>
        <v>3</v>
      </c>
      <c r="I372" s="138">
        <f>IFERROR(__xludf.DUMMYFUNCTION("""COMPUTED_VALUE"""),5.0)</f>
        <v>5</v>
      </c>
      <c r="J372" s="138">
        <f>IFERROR(__xludf.DUMMYFUNCTION("""COMPUTED_VALUE"""),5.0)</f>
        <v>5</v>
      </c>
      <c r="K372" s="138">
        <f>IFERROR(__xludf.DUMMYFUNCTION("""COMPUTED_VALUE"""),4.0)</f>
        <v>4</v>
      </c>
      <c r="L372" s="138">
        <v>27.0</v>
      </c>
      <c r="M372" s="140" t="str">
        <f>VLOOKUP(text(D372, "#"),'Master Table'!$A:$F, 6, FALSE)</f>
        <v>B-9</v>
      </c>
      <c r="N372" s="141" t="str">
        <f>IFERROR(__xludf.DUMMYFUNCTION("""COMPUTED_VALUE"""),"Good talk
 ")</f>
        <v>Good talk
 </v>
      </c>
      <c r="O372" s="142" t="str">
        <f t="shared" si="1"/>
        <v/>
      </c>
      <c r="P372" s="143" t="str">
        <f>IF(ISNA(VLOOKUP(CONCAT(M372,C372), 'Judge Count DO NOT EDIT'!H:H, 1, FALSE)), "ERROR","")</f>
        <v/>
      </c>
      <c r="Q372" s="141"/>
      <c r="R372" s="143"/>
      <c r="S372" s="139" t="str">
        <f t="shared" si="2"/>
        <v>1226202</v>
      </c>
      <c r="T372" s="141"/>
    </row>
    <row r="373">
      <c r="A373" s="137">
        <f>IFERROR(__xludf.DUMMYFUNCTION("""COMPUTED_VALUE"""),45352.479750555554)</f>
        <v>45352.47975</v>
      </c>
      <c r="B373" s="138" t="str">
        <f>IFERROR(__xludf.DUMMYFUNCTION("""COMPUTED_VALUE"""),"Keith Chan")</f>
        <v>Keith Chan</v>
      </c>
      <c r="C373" s="138">
        <f>IFERROR(__xludf.DUMMYFUNCTION("""COMPUTED_VALUE"""),1138.0)</f>
        <v>1138</v>
      </c>
      <c r="D373" s="139">
        <f>IFERROR(__xludf.DUMMYFUNCTION("""COMPUTED_VALUE"""),202.0)</f>
        <v>202</v>
      </c>
      <c r="E373" s="138">
        <f>IFERROR(__xludf.DUMMYFUNCTION("""COMPUTED_VALUE"""),4.0)</f>
        <v>4</v>
      </c>
      <c r="F373" s="138">
        <f>IFERROR(__xludf.DUMMYFUNCTION("""COMPUTED_VALUE"""),4.0)</f>
        <v>4</v>
      </c>
      <c r="G373" s="138">
        <f>IFERROR(__xludf.DUMMYFUNCTION("""COMPUTED_VALUE"""),3.0)</f>
        <v>3</v>
      </c>
      <c r="H373" s="138">
        <f>IFERROR(__xludf.DUMMYFUNCTION("""COMPUTED_VALUE"""),4.0)</f>
        <v>4</v>
      </c>
      <c r="I373" s="138">
        <f>IFERROR(__xludf.DUMMYFUNCTION("""COMPUTED_VALUE"""),3.0)</f>
        <v>3</v>
      </c>
      <c r="J373" s="138">
        <f>IFERROR(__xludf.DUMMYFUNCTION("""COMPUTED_VALUE"""),3.0)</f>
        <v>3</v>
      </c>
      <c r="K373" s="138">
        <f>IFERROR(__xludf.DUMMYFUNCTION("""COMPUTED_VALUE"""),3.0)</f>
        <v>3</v>
      </c>
      <c r="L373" s="138">
        <v>24.0</v>
      </c>
      <c r="M373" s="140" t="str">
        <f>VLOOKUP(text(D373, "#"),'Master Table'!$A:$F, 6, FALSE)</f>
        <v>B-9</v>
      </c>
      <c r="N373" s="141" t="str">
        <f>IFERROR(__xludf.DUMMYFUNCTION("""COMPUTED_VALUE"""),"Great talk overall! The intro section could be slower paced to include more background information on sperm function and the fertilization process. Also the zoo volunteer’s question answered the prior question about the goal of the project so keep an eye "&amp;"out for useful info like that. ")</f>
        <v>Great talk overall! The intro section could be slower paced to include more background information on sperm function and the fertilization process. Also the zoo volunteer’s question answered the prior question about the goal of the project so keep an eye out for useful info like that. </v>
      </c>
      <c r="O373" s="142" t="str">
        <f t="shared" si="1"/>
        <v/>
      </c>
      <c r="P373" s="143" t="str">
        <f>IF(ISNA(VLOOKUP(CONCAT(M373,C373), 'Judge Count DO NOT EDIT'!H:H, 1, FALSE)), "ERROR","")</f>
        <v/>
      </c>
      <c r="Q373" s="141"/>
      <c r="R373" s="143"/>
      <c r="S373" s="139" t="str">
        <f t="shared" si="2"/>
        <v>1138202</v>
      </c>
      <c r="T373" s="141"/>
    </row>
    <row r="374">
      <c r="A374" s="137">
        <f>IFERROR(__xludf.DUMMYFUNCTION("""COMPUTED_VALUE"""),45352.47999041667)</f>
        <v>45352.47999</v>
      </c>
      <c r="B374" s="138" t="str">
        <f>IFERROR(__xludf.DUMMYFUNCTION("""COMPUTED_VALUE"""),"Margaret Henderson")</f>
        <v>Margaret Henderson</v>
      </c>
      <c r="C374" s="138">
        <f>IFERROR(__xludf.DUMMYFUNCTION("""COMPUTED_VALUE"""),1180.0)</f>
        <v>1180</v>
      </c>
      <c r="D374" s="139">
        <f>IFERROR(__xludf.DUMMYFUNCTION("""COMPUTED_VALUE"""),202.0)</f>
        <v>202</v>
      </c>
      <c r="E374" s="138">
        <f>IFERROR(__xludf.DUMMYFUNCTION("""COMPUTED_VALUE"""),4.0)</f>
        <v>4</v>
      </c>
      <c r="F374" s="138">
        <f>IFERROR(__xludf.DUMMYFUNCTION("""COMPUTED_VALUE"""),4.0)</f>
        <v>4</v>
      </c>
      <c r="G374" s="138">
        <f>IFERROR(__xludf.DUMMYFUNCTION("""COMPUTED_VALUE"""),4.0)</f>
        <v>4</v>
      </c>
      <c r="H374" s="138">
        <f>IFERROR(__xludf.DUMMYFUNCTION("""COMPUTED_VALUE"""),4.0)</f>
        <v>4</v>
      </c>
      <c r="I374" s="138">
        <f>IFERROR(__xludf.DUMMYFUNCTION("""COMPUTED_VALUE"""),4.0)</f>
        <v>4</v>
      </c>
      <c r="J374" s="138">
        <f>IFERROR(__xludf.DUMMYFUNCTION("""COMPUTED_VALUE"""),4.0)</f>
        <v>4</v>
      </c>
      <c r="K374" s="138">
        <f>IFERROR(__xludf.DUMMYFUNCTION("""COMPUTED_VALUE"""),4.0)</f>
        <v>4</v>
      </c>
      <c r="L374" s="138">
        <v>28.0</v>
      </c>
      <c r="M374" s="140" t="str">
        <f>VLOOKUP(text(D374, "#"),'Master Table'!$A:$F, 6, FALSE)</f>
        <v>B-9</v>
      </c>
      <c r="N374" s="141" t="str">
        <f>IFERROR(__xludf.DUMMYFUNCTION("""COMPUTED_VALUE"""),"Great work in the presentation. Be sure to be prepared for answering questions about why your work is important and the significance. ")</f>
        <v>Great work in the presentation. Be sure to be prepared for answering questions about why your work is important and the significance. </v>
      </c>
      <c r="O374" s="142" t="str">
        <f t="shared" si="1"/>
        <v/>
      </c>
      <c r="P374" s="143" t="str">
        <f>IF(ISNA(VLOOKUP(CONCAT(M374,C374), 'Judge Count DO NOT EDIT'!H:H, 1, FALSE)), "ERROR","")</f>
        <v/>
      </c>
      <c r="Q374" s="141"/>
      <c r="R374" s="143"/>
      <c r="S374" s="139" t="str">
        <f t="shared" si="2"/>
        <v>1180202</v>
      </c>
      <c r="T374" s="141"/>
    </row>
    <row r="375">
      <c r="A375" s="137">
        <f>IFERROR(__xludf.DUMMYFUNCTION("""COMPUTED_VALUE"""),45352.49459905093)</f>
        <v>45352.4946</v>
      </c>
      <c r="B375" s="138" t="str">
        <f>IFERROR(__xludf.DUMMYFUNCTION("""COMPUTED_VALUE"""),"Terrence")</f>
        <v>Terrence</v>
      </c>
      <c r="C375" s="138">
        <f>IFERROR(__xludf.DUMMYFUNCTION("""COMPUTED_VALUE"""),1144.0)</f>
        <v>1144</v>
      </c>
      <c r="D375" s="139">
        <f>IFERROR(__xludf.DUMMYFUNCTION("""COMPUTED_VALUE"""),202.0)</f>
        <v>202</v>
      </c>
      <c r="E375" s="138">
        <f>IFERROR(__xludf.DUMMYFUNCTION("""COMPUTED_VALUE"""),4.0)</f>
        <v>4</v>
      </c>
      <c r="F375" s="138">
        <f>IFERROR(__xludf.DUMMYFUNCTION("""COMPUTED_VALUE"""),4.0)</f>
        <v>4</v>
      </c>
      <c r="G375" s="138">
        <f>IFERROR(__xludf.DUMMYFUNCTION("""COMPUTED_VALUE"""),3.0)</f>
        <v>3</v>
      </c>
      <c r="H375" s="138">
        <f>IFERROR(__xludf.DUMMYFUNCTION("""COMPUTED_VALUE"""),5.0)</f>
        <v>5</v>
      </c>
      <c r="I375" s="138">
        <f>IFERROR(__xludf.DUMMYFUNCTION("""COMPUTED_VALUE"""),4.0)</f>
        <v>4</v>
      </c>
      <c r="J375" s="138">
        <f>IFERROR(__xludf.DUMMYFUNCTION("""COMPUTED_VALUE"""),4.0)</f>
        <v>4</v>
      </c>
      <c r="K375" s="138">
        <f>IFERROR(__xludf.DUMMYFUNCTION("""COMPUTED_VALUE"""),4.0)</f>
        <v>4</v>
      </c>
      <c r="L375" s="138">
        <v>28.0</v>
      </c>
      <c r="M375" s="140" t="str">
        <f>VLOOKUP(text(D375, "#"),'Master Table'!$A:$F, 6, FALSE)</f>
        <v>B-9</v>
      </c>
      <c r="N375" s="141" t="str">
        <f>IFERROR(__xludf.DUMMYFUNCTION("""COMPUTED_VALUE"""),"Great detailed methodology, presented clearly and easy to understand. Would like to know what the signification of the findings are in our society like helping for reproduction etc")</f>
        <v>Great detailed methodology, presented clearly and easy to understand. Would like to know what the signification of the findings are in our society like helping for reproduction etc</v>
      </c>
      <c r="O375" s="142" t="str">
        <f t="shared" si="1"/>
        <v/>
      </c>
      <c r="P375" s="143" t="str">
        <f>IF(ISNA(VLOOKUP(CONCAT(M375,C375), 'Judge Count DO NOT EDIT'!H:H, 1, FALSE)), "ERROR","")</f>
        <v/>
      </c>
      <c r="Q375" s="141"/>
      <c r="R375" s="143"/>
      <c r="S375" s="139" t="str">
        <f t="shared" si="2"/>
        <v>1144202</v>
      </c>
      <c r="T375" s="141"/>
    </row>
    <row r="376">
      <c r="A376" s="137">
        <f>IFERROR(__xludf.DUMMYFUNCTION("""COMPUTED_VALUE"""),45352.4793583912)</f>
        <v>45352.47936</v>
      </c>
      <c r="B376" s="138" t="str">
        <f>IFERROR(__xludf.DUMMYFUNCTION("""COMPUTED_VALUE"""),"Krishna  Ramamoorthy")</f>
        <v>Krishna  Ramamoorthy</v>
      </c>
      <c r="C376" s="138">
        <f>IFERROR(__xludf.DUMMYFUNCTION("""COMPUTED_VALUE"""),1226.0)</f>
        <v>1226</v>
      </c>
      <c r="D376" s="139">
        <f>IFERROR(__xludf.DUMMYFUNCTION("""COMPUTED_VALUE"""),203.0)</f>
        <v>203</v>
      </c>
      <c r="E376" s="138">
        <f>IFERROR(__xludf.DUMMYFUNCTION("""COMPUTED_VALUE"""),4.0)</f>
        <v>4</v>
      </c>
      <c r="F376" s="138">
        <f>IFERROR(__xludf.DUMMYFUNCTION("""COMPUTED_VALUE"""),4.0)</f>
        <v>4</v>
      </c>
      <c r="G376" s="138">
        <f>IFERROR(__xludf.DUMMYFUNCTION("""COMPUTED_VALUE"""),4.0)</f>
        <v>4</v>
      </c>
      <c r="H376" s="138">
        <f>IFERROR(__xludf.DUMMYFUNCTION("""COMPUTED_VALUE"""),5.0)</f>
        <v>5</v>
      </c>
      <c r="I376" s="138">
        <f>IFERROR(__xludf.DUMMYFUNCTION("""COMPUTED_VALUE"""),5.0)</f>
        <v>5</v>
      </c>
      <c r="J376" s="138">
        <f>IFERROR(__xludf.DUMMYFUNCTION("""COMPUTED_VALUE"""),5.0)</f>
        <v>5</v>
      </c>
      <c r="K376" s="138">
        <f>IFERROR(__xludf.DUMMYFUNCTION("""COMPUTED_VALUE"""),4.0)</f>
        <v>4</v>
      </c>
      <c r="L376" s="138">
        <v>31.0</v>
      </c>
      <c r="M376" s="140" t="str">
        <f>VLOOKUP(text(D376, "#"),'Master Table'!$A:$F, 6, FALSE)</f>
        <v>B-9</v>
      </c>
      <c r="N376" s="141" t="str">
        <f>IFERROR(__xludf.DUMMYFUNCTION("""COMPUTED_VALUE"""),"Great talk ")</f>
        <v>Great talk </v>
      </c>
      <c r="O376" s="142" t="str">
        <f t="shared" si="1"/>
        <v/>
      </c>
      <c r="P376" s="143" t="str">
        <f>IF(ISNA(VLOOKUP(CONCAT(M376,C376), 'Judge Count DO NOT EDIT'!H:H, 1, FALSE)), "ERROR","")</f>
        <v/>
      </c>
      <c r="Q376" s="141"/>
      <c r="R376" s="143"/>
      <c r="S376" s="139" t="str">
        <f t="shared" si="2"/>
        <v>1226203</v>
      </c>
      <c r="T376" s="141"/>
    </row>
    <row r="377">
      <c r="A377" s="137">
        <f>IFERROR(__xludf.DUMMYFUNCTION("""COMPUTED_VALUE"""),45352.49509704861)</f>
        <v>45352.4951</v>
      </c>
      <c r="B377" s="138" t="str">
        <f>IFERROR(__xludf.DUMMYFUNCTION("""COMPUTED_VALUE"""),"Margaret Henderson ")</f>
        <v>Margaret Henderson </v>
      </c>
      <c r="C377" s="138">
        <f>IFERROR(__xludf.DUMMYFUNCTION("""COMPUTED_VALUE"""),1180.0)</f>
        <v>1180</v>
      </c>
      <c r="D377" s="139">
        <f>IFERROR(__xludf.DUMMYFUNCTION("""COMPUTED_VALUE"""),203.0)</f>
        <v>203</v>
      </c>
      <c r="E377" s="138">
        <f>IFERROR(__xludf.DUMMYFUNCTION("""COMPUTED_VALUE"""),3.0)</f>
        <v>3</v>
      </c>
      <c r="F377" s="138">
        <f>IFERROR(__xludf.DUMMYFUNCTION("""COMPUTED_VALUE"""),3.0)</f>
        <v>3</v>
      </c>
      <c r="G377" s="138">
        <f>IFERROR(__xludf.DUMMYFUNCTION("""COMPUTED_VALUE"""),4.0)</f>
        <v>4</v>
      </c>
      <c r="H377" s="138">
        <f>IFERROR(__xludf.DUMMYFUNCTION("""COMPUTED_VALUE"""),4.0)</f>
        <v>4</v>
      </c>
      <c r="I377" s="138">
        <f>IFERROR(__xludf.DUMMYFUNCTION("""COMPUTED_VALUE"""),4.0)</f>
        <v>4</v>
      </c>
      <c r="J377" s="138">
        <f>IFERROR(__xludf.DUMMYFUNCTION("""COMPUTED_VALUE"""),3.0)</f>
        <v>3</v>
      </c>
      <c r="K377" s="138">
        <f>IFERROR(__xludf.DUMMYFUNCTION("""COMPUTED_VALUE"""),4.0)</f>
        <v>4</v>
      </c>
      <c r="L377" s="138">
        <v>25.0</v>
      </c>
      <c r="M377" s="140" t="str">
        <f>VLOOKUP(text(D377, "#"),'Master Table'!$A:$F, 6, FALSE)</f>
        <v>B-9</v>
      </c>
      <c r="N377" s="141" t="str">
        <f>IFERROR(__xludf.DUMMYFUNCTION("""COMPUTED_VALUE"""),"Your enthusiasm and presentation skills were great. There were several slides that were too crowded and the differences would be clearer if images were larger and separated. ")</f>
        <v>Your enthusiasm and presentation skills were great. There were several slides that were too crowded and the differences would be clearer if images were larger and separated. </v>
      </c>
      <c r="O377" s="142" t="str">
        <f t="shared" si="1"/>
        <v/>
      </c>
      <c r="P377" s="143" t="str">
        <f>IF(ISNA(VLOOKUP(CONCAT(M377,C377), 'Judge Count DO NOT EDIT'!H:H, 1, FALSE)), "ERROR","")</f>
        <v/>
      </c>
      <c r="Q377" s="141"/>
      <c r="R377" s="143"/>
      <c r="S377" s="139" t="str">
        <f t="shared" si="2"/>
        <v>1180203</v>
      </c>
      <c r="T377" s="141"/>
    </row>
    <row r="378">
      <c r="A378" s="137">
        <f>IFERROR(__xludf.DUMMYFUNCTION("""COMPUTED_VALUE"""),45352.49581440972)</f>
        <v>45352.49581</v>
      </c>
      <c r="B378" s="138" t="str">
        <f>IFERROR(__xludf.DUMMYFUNCTION("""COMPUTED_VALUE"""),"Keith Chan")</f>
        <v>Keith Chan</v>
      </c>
      <c r="C378" s="138">
        <f>IFERROR(__xludf.DUMMYFUNCTION("""COMPUTED_VALUE"""),1138.0)</f>
        <v>1138</v>
      </c>
      <c r="D378" s="139">
        <f>IFERROR(__xludf.DUMMYFUNCTION("""COMPUTED_VALUE"""),203.0)</f>
        <v>203</v>
      </c>
      <c r="E378" s="138">
        <f>IFERROR(__xludf.DUMMYFUNCTION("""COMPUTED_VALUE"""),4.0)</f>
        <v>4</v>
      </c>
      <c r="F378" s="138">
        <f>IFERROR(__xludf.DUMMYFUNCTION("""COMPUTED_VALUE"""),4.0)</f>
        <v>4</v>
      </c>
      <c r="G378" s="138">
        <f>IFERROR(__xludf.DUMMYFUNCTION("""COMPUTED_VALUE"""),3.0)</f>
        <v>3</v>
      </c>
      <c r="H378" s="138">
        <f>IFERROR(__xludf.DUMMYFUNCTION("""COMPUTED_VALUE"""),3.0)</f>
        <v>3</v>
      </c>
      <c r="I378" s="138">
        <f>IFERROR(__xludf.DUMMYFUNCTION("""COMPUTED_VALUE"""),5.0)</f>
        <v>5</v>
      </c>
      <c r="J378" s="138">
        <f>IFERROR(__xludf.DUMMYFUNCTION("""COMPUTED_VALUE"""),4.0)</f>
        <v>4</v>
      </c>
      <c r="K378" s="138">
        <f>IFERROR(__xludf.DUMMYFUNCTION("""COMPUTED_VALUE"""),4.0)</f>
        <v>4</v>
      </c>
      <c r="L378" s="138">
        <v>27.0</v>
      </c>
      <c r="M378" s="140" t="str">
        <f>VLOOKUP(text(D378, "#"),'Master Table'!$A:$F, 6, FALSE)</f>
        <v>B-9</v>
      </c>
      <c r="N378" s="141" t="str">
        <f>IFERROR(__xludf.DUMMYFUNCTION("""COMPUTED_VALUE"""),"Good talk looking at the early development of primate brains! The results were well explained pointing out the differences in growth measurements. There was a slip in describing the studied primates as new world monkeys though neither bonobos or macaques "&amp;"are in that group. ")</f>
        <v>Good talk looking at the early development of primate brains! The results were well explained pointing out the differences in growth measurements. There was a slip in describing the studied primates as new world monkeys though neither bonobos or macaques are in that group. </v>
      </c>
      <c r="O378" s="142" t="str">
        <f t="shared" si="1"/>
        <v/>
      </c>
      <c r="P378" s="143" t="str">
        <f>IF(ISNA(VLOOKUP(CONCAT(M378,C378), 'Judge Count DO NOT EDIT'!H:H, 1, FALSE)), "ERROR","")</f>
        <v/>
      </c>
      <c r="Q378" s="141"/>
      <c r="R378" s="143"/>
      <c r="S378" s="139" t="str">
        <f t="shared" si="2"/>
        <v>1138203</v>
      </c>
      <c r="T378" s="141"/>
    </row>
    <row r="379">
      <c r="A379" s="137">
        <f>IFERROR(__xludf.DUMMYFUNCTION("""COMPUTED_VALUE"""),45352.49690790509)</f>
        <v>45352.49691</v>
      </c>
      <c r="B379" s="138" t="str">
        <f>IFERROR(__xludf.DUMMYFUNCTION("""COMPUTED_VALUE"""),"Terrence")</f>
        <v>Terrence</v>
      </c>
      <c r="C379" s="138">
        <f>IFERROR(__xludf.DUMMYFUNCTION("""COMPUTED_VALUE"""),1144.0)</f>
        <v>1144</v>
      </c>
      <c r="D379" s="139">
        <f>IFERROR(__xludf.DUMMYFUNCTION("""COMPUTED_VALUE"""),203.0)</f>
        <v>203</v>
      </c>
      <c r="E379" s="138">
        <f>IFERROR(__xludf.DUMMYFUNCTION("""COMPUTED_VALUE"""),4.0)</f>
        <v>4</v>
      </c>
      <c r="F379" s="138">
        <f>IFERROR(__xludf.DUMMYFUNCTION("""COMPUTED_VALUE"""),4.0)</f>
        <v>4</v>
      </c>
      <c r="G379" s="138">
        <f>IFERROR(__xludf.DUMMYFUNCTION("""COMPUTED_VALUE"""),5.0)</f>
        <v>5</v>
      </c>
      <c r="H379" s="138">
        <f>IFERROR(__xludf.DUMMYFUNCTION("""COMPUTED_VALUE"""),4.0)</f>
        <v>4</v>
      </c>
      <c r="I379" s="138">
        <f>IFERROR(__xludf.DUMMYFUNCTION("""COMPUTED_VALUE"""),4.0)</f>
        <v>4</v>
      </c>
      <c r="J379" s="138">
        <f>IFERROR(__xludf.DUMMYFUNCTION("""COMPUTED_VALUE"""),4.0)</f>
        <v>4</v>
      </c>
      <c r="K379" s="138">
        <f>IFERROR(__xludf.DUMMYFUNCTION("""COMPUTED_VALUE"""),4.0)</f>
        <v>4</v>
      </c>
      <c r="L379" s="138">
        <v>29.0</v>
      </c>
      <c r="M379" s="140" t="str">
        <f>VLOOKUP(text(D379, "#"),'Master Table'!$A:$F, 6, FALSE)</f>
        <v>B-9</v>
      </c>
      <c r="N379" s="141" t="str">
        <f>IFERROR(__xludf.DUMMYFUNCTION("""COMPUTED_VALUE"""),"Well done, interesting findings on brain development and can see great significance to the field and human development in general.
Well presented and knowledgeable. Some slides can use laymen vocabulary instead to help those not in the field but not sure "&amp;"if that was a requirement")</f>
        <v>Well done, interesting findings on brain development and can see great significance to the field and human development in general.
Well presented and knowledgeable. Some slides can use laymen vocabulary instead to help those not in the field but not sure if that was a requirement</v>
      </c>
      <c r="O379" s="142" t="str">
        <f t="shared" si="1"/>
        <v/>
      </c>
      <c r="P379" s="143" t="str">
        <f>IF(ISNA(VLOOKUP(CONCAT(M379,C379), 'Judge Count DO NOT EDIT'!H:H, 1, FALSE)), "ERROR","")</f>
        <v/>
      </c>
      <c r="Q379" s="141"/>
      <c r="R379" s="143"/>
      <c r="S379" s="139" t="str">
        <f t="shared" si="2"/>
        <v>1144203</v>
      </c>
      <c r="T379" s="141"/>
    </row>
    <row r="380">
      <c r="A380" s="137">
        <f>IFERROR(__xludf.DUMMYFUNCTION("""COMPUTED_VALUE"""),45352.49195310185)</f>
        <v>45352.49195</v>
      </c>
      <c r="B380" s="138" t="str">
        <f>IFERROR(__xludf.DUMMYFUNCTION("""COMPUTED_VALUE"""),"Krishna Ramamoorthy")</f>
        <v>Krishna Ramamoorthy</v>
      </c>
      <c r="C380" s="138">
        <f>IFERROR(__xludf.DUMMYFUNCTION("""COMPUTED_VALUE"""),1226.0)</f>
        <v>1226</v>
      </c>
      <c r="D380" s="139">
        <f>IFERROR(__xludf.DUMMYFUNCTION("""COMPUTED_VALUE"""),204.0)</f>
        <v>204</v>
      </c>
      <c r="E380" s="138">
        <f>IFERROR(__xludf.DUMMYFUNCTION("""COMPUTED_VALUE"""),5.0)</f>
        <v>5</v>
      </c>
      <c r="F380" s="138">
        <f>IFERROR(__xludf.DUMMYFUNCTION("""COMPUTED_VALUE"""),5.0)</f>
        <v>5</v>
      </c>
      <c r="G380" s="138">
        <f>IFERROR(__xludf.DUMMYFUNCTION("""COMPUTED_VALUE"""),4.0)</f>
        <v>4</v>
      </c>
      <c r="H380" s="138">
        <f>IFERROR(__xludf.DUMMYFUNCTION("""COMPUTED_VALUE"""),5.0)</f>
        <v>5</v>
      </c>
      <c r="I380" s="138">
        <f>IFERROR(__xludf.DUMMYFUNCTION("""COMPUTED_VALUE"""),5.0)</f>
        <v>5</v>
      </c>
      <c r="J380" s="138">
        <f>IFERROR(__xludf.DUMMYFUNCTION("""COMPUTED_VALUE"""),5.0)</f>
        <v>5</v>
      </c>
      <c r="K380" s="138">
        <f>IFERROR(__xludf.DUMMYFUNCTION("""COMPUTED_VALUE"""),5.0)</f>
        <v>5</v>
      </c>
      <c r="L380" s="138">
        <v>34.0</v>
      </c>
      <c r="M380" s="140" t="str">
        <f>VLOOKUP(text(D380, "#"),'Master Table'!$A:$F, 6, FALSE)</f>
        <v>B-9</v>
      </c>
      <c r="N380" s="141" t="str">
        <f>IFERROR(__xludf.DUMMYFUNCTION("""COMPUTED_VALUE"""),"Great work. Solid preliminary work and results. ")</f>
        <v>Great work. Solid preliminary work and results. </v>
      </c>
      <c r="O380" s="142" t="str">
        <f t="shared" si="1"/>
        <v/>
      </c>
      <c r="P380" s="143" t="str">
        <f>IF(ISNA(VLOOKUP(CONCAT(M380,C380), 'Judge Count DO NOT EDIT'!H:H, 1, FALSE)), "ERROR","")</f>
        <v/>
      </c>
      <c r="Q380" s="141"/>
      <c r="R380" s="143"/>
      <c r="S380" s="139" t="str">
        <f t="shared" si="2"/>
        <v>1226204</v>
      </c>
      <c r="T380" s="141"/>
    </row>
    <row r="381">
      <c r="A381" s="137">
        <f>IFERROR(__xludf.DUMMYFUNCTION("""COMPUTED_VALUE"""),45352.498089155095)</f>
        <v>45352.49809</v>
      </c>
      <c r="B381" s="138" t="str">
        <f>IFERROR(__xludf.DUMMYFUNCTION("""COMPUTED_VALUE"""),"Margaret Henderson ")</f>
        <v>Margaret Henderson </v>
      </c>
      <c r="C381" s="138">
        <f>IFERROR(__xludf.DUMMYFUNCTION("""COMPUTED_VALUE"""),1180.0)</f>
        <v>1180</v>
      </c>
      <c r="D381" s="139">
        <f>IFERROR(__xludf.DUMMYFUNCTION("""COMPUTED_VALUE"""),204.0)</f>
        <v>204</v>
      </c>
      <c r="E381" s="138">
        <f>IFERROR(__xludf.DUMMYFUNCTION("""COMPUTED_VALUE"""),3.0)</f>
        <v>3</v>
      </c>
      <c r="F381" s="138">
        <f>IFERROR(__xludf.DUMMYFUNCTION("""COMPUTED_VALUE"""),5.0)</f>
        <v>5</v>
      </c>
      <c r="G381" s="138">
        <f>IFERROR(__xludf.DUMMYFUNCTION("""COMPUTED_VALUE"""),5.0)</f>
        <v>5</v>
      </c>
      <c r="H381" s="138">
        <f>IFERROR(__xludf.DUMMYFUNCTION("""COMPUTED_VALUE"""),5.0)</f>
        <v>5</v>
      </c>
      <c r="I381" s="138">
        <f>IFERROR(__xludf.DUMMYFUNCTION("""COMPUTED_VALUE"""),5.0)</f>
        <v>5</v>
      </c>
      <c r="J381" s="138">
        <f>IFERROR(__xludf.DUMMYFUNCTION("""COMPUTED_VALUE"""),5.0)</f>
        <v>5</v>
      </c>
      <c r="K381" s="138">
        <f>IFERROR(__xludf.DUMMYFUNCTION("""COMPUTED_VALUE"""),5.0)</f>
        <v>5</v>
      </c>
      <c r="L381" s="138">
        <v>33.0</v>
      </c>
      <c r="M381" s="140" t="str">
        <f>VLOOKUP(text(D381, "#"),'Master Table'!$A:$F, 6, FALSE)</f>
        <v>B-9</v>
      </c>
      <c r="N381" s="141" t="str">
        <f>IFERROR(__xludf.DUMMYFUNCTION("""COMPUTED_VALUE"""),"Your work and presentation were excellent. The only thing I would suggest is putting the morphology of fungi after you clearly explain that the identification of the unknown fungi is the point. As an ecology person, I thought at first you were going to di"&amp;"scuss the interactions between fungi and tree for nutrition more than systematics. ")</f>
        <v>Your work and presentation were excellent. The only thing I would suggest is putting the morphology of fungi after you clearly explain that the identification of the unknown fungi is the point. As an ecology person, I thought at first you were going to discuss the interactions between fungi and tree for nutrition more than systematics. </v>
      </c>
      <c r="O381" s="142" t="str">
        <f t="shared" si="1"/>
        <v/>
      </c>
      <c r="P381" s="143" t="str">
        <f>IF(ISNA(VLOOKUP(CONCAT(M381,C381), 'Judge Count DO NOT EDIT'!H:H, 1, FALSE)), "ERROR","")</f>
        <v/>
      </c>
      <c r="Q381" s="141"/>
      <c r="R381" s="143"/>
      <c r="S381" s="139" t="str">
        <f t="shared" si="2"/>
        <v>1180204</v>
      </c>
      <c r="T381" s="141"/>
    </row>
    <row r="382">
      <c r="A382" s="137">
        <f>IFERROR(__xludf.DUMMYFUNCTION("""COMPUTED_VALUE"""),45352.49924625)</f>
        <v>45352.49925</v>
      </c>
      <c r="B382" s="138" t="str">
        <f>IFERROR(__xludf.DUMMYFUNCTION("""COMPUTED_VALUE"""),"Terrence ")</f>
        <v>Terrence </v>
      </c>
      <c r="C382" s="138">
        <f>IFERROR(__xludf.DUMMYFUNCTION("""COMPUTED_VALUE"""),1144.0)</f>
        <v>1144</v>
      </c>
      <c r="D382" s="139">
        <f>IFERROR(__xludf.DUMMYFUNCTION("""COMPUTED_VALUE"""),204.0)</f>
        <v>204</v>
      </c>
      <c r="E382" s="138">
        <f>IFERROR(__xludf.DUMMYFUNCTION("""COMPUTED_VALUE"""),4.0)</f>
        <v>4</v>
      </c>
      <c r="F382" s="138">
        <f>IFERROR(__xludf.DUMMYFUNCTION("""COMPUTED_VALUE"""),4.0)</f>
        <v>4</v>
      </c>
      <c r="G382" s="138">
        <f>IFERROR(__xludf.DUMMYFUNCTION("""COMPUTED_VALUE"""),4.0)</f>
        <v>4</v>
      </c>
      <c r="H382" s="138">
        <f>IFERROR(__xludf.DUMMYFUNCTION("""COMPUTED_VALUE"""),5.0)</f>
        <v>5</v>
      </c>
      <c r="I382" s="138">
        <f>IFERROR(__xludf.DUMMYFUNCTION("""COMPUTED_VALUE"""),3.0)</f>
        <v>3</v>
      </c>
      <c r="J382" s="138">
        <f>IFERROR(__xludf.DUMMYFUNCTION("""COMPUTED_VALUE"""),4.0)</f>
        <v>4</v>
      </c>
      <c r="K382" s="138">
        <f>IFERROR(__xludf.DUMMYFUNCTION("""COMPUTED_VALUE"""),4.0)</f>
        <v>4</v>
      </c>
      <c r="L382" s="138">
        <v>28.0</v>
      </c>
      <c r="M382" s="140" t="str">
        <f>VLOOKUP(text(D382, "#"),'Master Table'!$A:$F, 6, FALSE)</f>
        <v>B-9</v>
      </c>
      <c r="N382" s="141" t="str">
        <f>IFERROR(__xludf.DUMMYFUNCTION("""COMPUTED_VALUE"""),"Very clear and easy to follow, informative and very thorough methodology. Interesting to see how it all came together step by step explanation was great!  Maybe just as a slide on what thought result was and how it’s important to society in general")</f>
        <v>Very clear and easy to follow, informative and very thorough methodology. Interesting to see how it all came together step by step explanation was great!  Maybe just as a slide on what thought result was and how it’s important to society in general</v>
      </c>
      <c r="O382" s="142" t="str">
        <f t="shared" si="1"/>
        <v/>
      </c>
      <c r="P382" s="143" t="str">
        <f>IF(ISNA(VLOOKUP(CONCAT(M382,C382), 'Judge Count DO NOT EDIT'!H:H, 1, FALSE)), "ERROR","")</f>
        <v/>
      </c>
      <c r="Q382" s="141"/>
      <c r="R382" s="143"/>
      <c r="S382" s="139" t="str">
        <f t="shared" si="2"/>
        <v>1144204</v>
      </c>
      <c r="T382" s="141"/>
    </row>
    <row r="383">
      <c r="A383" s="137">
        <f>IFERROR(__xludf.DUMMYFUNCTION("""COMPUTED_VALUE"""),45352.501543032406)</f>
        <v>45352.50154</v>
      </c>
      <c r="B383" s="138" t="str">
        <f>IFERROR(__xludf.DUMMYFUNCTION("""COMPUTED_VALUE"""),"Keith Chan")</f>
        <v>Keith Chan</v>
      </c>
      <c r="C383" s="138">
        <f>IFERROR(__xludf.DUMMYFUNCTION("""COMPUTED_VALUE"""),1138.0)</f>
        <v>1138</v>
      </c>
      <c r="D383" s="139">
        <f>IFERROR(__xludf.DUMMYFUNCTION("""COMPUTED_VALUE"""),204.0)</f>
        <v>204</v>
      </c>
      <c r="E383" s="138">
        <f>IFERROR(__xludf.DUMMYFUNCTION("""COMPUTED_VALUE"""),5.0)</f>
        <v>5</v>
      </c>
      <c r="F383" s="138">
        <f>IFERROR(__xludf.DUMMYFUNCTION("""COMPUTED_VALUE"""),4.0)</f>
        <v>4</v>
      </c>
      <c r="G383" s="138">
        <f>IFERROR(__xludf.DUMMYFUNCTION("""COMPUTED_VALUE"""),4.0)</f>
        <v>4</v>
      </c>
      <c r="H383" s="138">
        <f>IFERROR(__xludf.DUMMYFUNCTION("""COMPUTED_VALUE"""),5.0)</f>
        <v>5</v>
      </c>
      <c r="I383" s="138">
        <f>IFERROR(__xludf.DUMMYFUNCTION("""COMPUTED_VALUE"""),5.0)</f>
        <v>5</v>
      </c>
      <c r="J383" s="138">
        <f>IFERROR(__xludf.DUMMYFUNCTION("""COMPUTED_VALUE"""),5.0)</f>
        <v>5</v>
      </c>
      <c r="K383" s="138">
        <f>IFERROR(__xludf.DUMMYFUNCTION("""COMPUTED_VALUE"""),5.0)</f>
        <v>5</v>
      </c>
      <c r="L383" s="138">
        <v>33.0</v>
      </c>
      <c r="M383" s="140" t="str">
        <f>VLOOKUP(text(D383, "#"),'Master Table'!$A:$F, 6, FALSE)</f>
        <v>B-9</v>
      </c>
      <c r="N383" s="141" t="str">
        <f>IFERROR(__xludf.DUMMYFUNCTION("""COMPUTED_VALUE"""),"Excellent talk! The presentation is expertly paced with the points in the setup being relevant in the results. The speech itself was also very engaging and the questions were all handled confidently. ")</f>
        <v>Excellent talk! The presentation is expertly paced with the points in the setup being relevant in the results. The speech itself was also very engaging and the questions were all handled confidently. </v>
      </c>
      <c r="O383" s="142" t="str">
        <f t="shared" si="1"/>
        <v/>
      </c>
      <c r="P383" s="143" t="str">
        <f>IF(ISNA(VLOOKUP(CONCAT(M383,C383), 'Judge Count DO NOT EDIT'!H:H, 1, FALSE)), "ERROR","")</f>
        <v/>
      </c>
      <c r="Q383" s="141"/>
      <c r="R383" s="143"/>
      <c r="S383" s="139" t="str">
        <f t="shared" si="2"/>
        <v>1138204</v>
      </c>
      <c r="T383" s="141"/>
    </row>
    <row r="384">
      <c r="A384" s="137">
        <f>IFERROR(__xludf.DUMMYFUNCTION("""COMPUTED_VALUE"""),45352.51267946759)</f>
        <v>45352.51268</v>
      </c>
      <c r="B384" s="138" t="str">
        <f>IFERROR(__xludf.DUMMYFUNCTION("""COMPUTED_VALUE"""),"Krishna Ramamoorthy")</f>
        <v>Krishna Ramamoorthy</v>
      </c>
      <c r="C384" s="138">
        <f>IFERROR(__xludf.DUMMYFUNCTION("""COMPUTED_VALUE"""),1226.0)</f>
        <v>1226</v>
      </c>
      <c r="D384" s="139">
        <f>IFERROR(__xludf.DUMMYFUNCTION("""COMPUTED_VALUE"""),205.0)</f>
        <v>205</v>
      </c>
      <c r="E384" s="138">
        <f>IFERROR(__xludf.DUMMYFUNCTION("""COMPUTED_VALUE"""),4.0)</f>
        <v>4</v>
      </c>
      <c r="F384" s="138">
        <f>IFERROR(__xludf.DUMMYFUNCTION("""COMPUTED_VALUE"""),5.0)</f>
        <v>5</v>
      </c>
      <c r="G384" s="138">
        <f>IFERROR(__xludf.DUMMYFUNCTION("""COMPUTED_VALUE"""),4.0)</f>
        <v>4</v>
      </c>
      <c r="H384" s="138">
        <f>IFERROR(__xludf.DUMMYFUNCTION("""COMPUTED_VALUE"""),3.0)</f>
        <v>3</v>
      </c>
      <c r="I384" s="138">
        <f>IFERROR(__xludf.DUMMYFUNCTION("""COMPUTED_VALUE"""),5.0)</f>
        <v>5</v>
      </c>
      <c r="J384" s="138">
        <f>IFERROR(__xludf.DUMMYFUNCTION("""COMPUTED_VALUE"""),4.0)</f>
        <v>4</v>
      </c>
      <c r="K384" s="138">
        <f>IFERROR(__xludf.DUMMYFUNCTION("""COMPUTED_VALUE"""),5.0)</f>
        <v>5</v>
      </c>
      <c r="L384" s="138">
        <v>30.0</v>
      </c>
      <c r="M384" s="140" t="str">
        <f>VLOOKUP(text(D384, "#"),'Master Table'!$A:$F, 6, FALSE)</f>
        <v>B-9</v>
      </c>
      <c r="N384" s="141" t="str">
        <f>IFERROR(__xludf.DUMMYFUNCTION("""COMPUTED_VALUE"""),"Pros - Good sample size (data source), solid research direction. 
Cons - Qualitative analysis plan is not clear (might not address to the hypothesis). I suggest to have solid questions - survey (rather then open ended questions) to make the best out of th"&amp;"e scheduled talks from the farmers. ")</f>
        <v>Pros - Good sample size (data source), solid research direction. 
Cons - Qualitative analysis plan is not clear (might not address to the hypothesis). I suggest to have solid questions - survey (rather then open ended questions) to make the best out of the scheduled talks from the farmers. </v>
      </c>
      <c r="O384" s="142" t="str">
        <f t="shared" si="1"/>
        <v/>
      </c>
      <c r="P384" s="143" t="str">
        <f>IF(ISNA(VLOOKUP(CONCAT(M384,C384), 'Judge Count DO NOT EDIT'!H:H, 1, FALSE)), "ERROR","")</f>
        <v/>
      </c>
      <c r="Q384" s="141"/>
      <c r="R384" s="143"/>
      <c r="S384" s="139" t="str">
        <f t="shared" si="2"/>
        <v>1226205</v>
      </c>
      <c r="T384" s="141"/>
    </row>
    <row r="385">
      <c r="A385" s="137">
        <f>IFERROR(__xludf.DUMMYFUNCTION("""COMPUTED_VALUE"""),45352.51310898148)</f>
        <v>45352.51311</v>
      </c>
      <c r="B385" s="138" t="str">
        <f>IFERROR(__xludf.DUMMYFUNCTION("""COMPUTED_VALUE"""),"Margaret Henderson")</f>
        <v>Margaret Henderson</v>
      </c>
      <c r="C385" s="138">
        <f>IFERROR(__xludf.DUMMYFUNCTION("""COMPUTED_VALUE"""),1180.0)</f>
        <v>1180</v>
      </c>
      <c r="D385" s="139">
        <f>IFERROR(__xludf.DUMMYFUNCTION("""COMPUTED_VALUE"""),205.0)</f>
        <v>205</v>
      </c>
      <c r="E385" s="138">
        <f>IFERROR(__xludf.DUMMYFUNCTION("""COMPUTED_VALUE"""),4.0)</f>
        <v>4</v>
      </c>
      <c r="F385" s="138">
        <f>IFERROR(__xludf.DUMMYFUNCTION("""COMPUTED_VALUE"""),5.0)</f>
        <v>5</v>
      </c>
      <c r="G385" s="138">
        <f>IFERROR(__xludf.DUMMYFUNCTION("""COMPUTED_VALUE"""),5.0)</f>
        <v>5</v>
      </c>
      <c r="H385" s="138">
        <f>IFERROR(__xludf.DUMMYFUNCTION("""COMPUTED_VALUE"""),4.0)</f>
        <v>4</v>
      </c>
      <c r="I385" s="138">
        <f>IFERROR(__xludf.DUMMYFUNCTION("""COMPUTED_VALUE"""),5.0)</f>
        <v>5</v>
      </c>
      <c r="J385" s="138">
        <f>IFERROR(__xludf.DUMMYFUNCTION("""COMPUTED_VALUE"""),5.0)</f>
        <v>5</v>
      </c>
      <c r="K385" s="138">
        <f>IFERROR(__xludf.DUMMYFUNCTION("""COMPUTED_VALUE"""),5.0)</f>
        <v>5</v>
      </c>
      <c r="L385" s="138">
        <v>33.0</v>
      </c>
      <c r="M385" s="140" t="str">
        <f>VLOOKUP(text(D385, "#"),'Master Table'!$A:$F, 6, FALSE)</f>
        <v>B-9</v>
      </c>
      <c r="N385" s="141" t="str">
        <f>IFERROR(__xludf.DUMMYFUNCTION("""COMPUTED_VALUE"""),"Excellent presentation and I’m very impressed with the depth of your background knowledge on the topic and the various data sources needed for your research. ")</f>
        <v>Excellent presentation and I’m very impressed with the depth of your background knowledge on the topic and the various data sources needed for your research. </v>
      </c>
      <c r="O385" s="142" t="str">
        <f t="shared" si="1"/>
        <v/>
      </c>
      <c r="P385" s="143" t="str">
        <f>IF(ISNA(VLOOKUP(CONCAT(M385,C385), 'Judge Count DO NOT EDIT'!H:H, 1, FALSE)), "ERROR","")</f>
        <v/>
      </c>
      <c r="Q385" s="141"/>
      <c r="R385" s="143"/>
      <c r="S385" s="139" t="str">
        <f t="shared" si="2"/>
        <v>1180205</v>
      </c>
      <c r="T385" s="141"/>
    </row>
    <row r="386">
      <c r="A386" s="137">
        <f>IFERROR(__xludf.DUMMYFUNCTION("""COMPUTED_VALUE"""),45352.51471560185)</f>
        <v>45352.51472</v>
      </c>
      <c r="B386" s="138" t="str">
        <f>IFERROR(__xludf.DUMMYFUNCTION("""COMPUTED_VALUE"""),"Keith Chan")</f>
        <v>Keith Chan</v>
      </c>
      <c r="C386" s="138">
        <f>IFERROR(__xludf.DUMMYFUNCTION("""COMPUTED_VALUE"""),1138.0)</f>
        <v>1138</v>
      </c>
      <c r="D386" s="139">
        <f>IFERROR(__xludf.DUMMYFUNCTION("""COMPUTED_VALUE"""),205.0)</f>
        <v>205</v>
      </c>
      <c r="E386" s="138">
        <f>IFERROR(__xludf.DUMMYFUNCTION("""COMPUTED_VALUE"""),4.0)</f>
        <v>4</v>
      </c>
      <c r="F386" s="138">
        <f>IFERROR(__xludf.DUMMYFUNCTION("""COMPUTED_VALUE"""),4.0)</f>
        <v>4</v>
      </c>
      <c r="G386" s="138">
        <f>IFERROR(__xludf.DUMMYFUNCTION("""COMPUTED_VALUE"""),4.0)</f>
        <v>4</v>
      </c>
      <c r="H386" s="138">
        <f>IFERROR(__xludf.DUMMYFUNCTION("""COMPUTED_VALUE"""),3.0)</f>
        <v>3</v>
      </c>
      <c r="I386" s="138">
        <f>IFERROR(__xludf.DUMMYFUNCTION("""COMPUTED_VALUE"""),4.0)</f>
        <v>4</v>
      </c>
      <c r="J386" s="138">
        <f>IFERROR(__xludf.DUMMYFUNCTION("""COMPUTED_VALUE"""),4.0)</f>
        <v>4</v>
      </c>
      <c r="K386" s="138">
        <f>IFERROR(__xludf.DUMMYFUNCTION("""COMPUTED_VALUE"""),4.0)</f>
        <v>4</v>
      </c>
      <c r="L386" s="138">
        <v>27.0</v>
      </c>
      <c r="M386" s="140" t="str">
        <f>VLOOKUP(text(D386, "#"),'Master Table'!$A:$F, 6, FALSE)</f>
        <v>B-9</v>
      </c>
      <c r="N386" s="141" t="str">
        <f>IFERROR(__xludf.DUMMYFUNCTION("""COMPUTED_VALUE"""),"Great presentation of the background and results so far. Good luck with the interviews in Brazil!")</f>
        <v>Great presentation of the background and results so far. Good luck with the interviews in Brazil!</v>
      </c>
      <c r="O386" s="142" t="str">
        <f t="shared" si="1"/>
        <v/>
      </c>
      <c r="P386" s="143" t="str">
        <f>IF(ISNA(VLOOKUP(CONCAT(M386,C386), 'Judge Count DO NOT EDIT'!H:H, 1, FALSE)), "ERROR","")</f>
        <v/>
      </c>
      <c r="Q386" s="141"/>
      <c r="R386" s="143"/>
      <c r="S386" s="139" t="str">
        <f t="shared" si="2"/>
        <v>1138205</v>
      </c>
      <c r="T386" s="141"/>
    </row>
    <row r="387">
      <c r="A387" s="137">
        <f>IFERROR(__xludf.DUMMYFUNCTION("""COMPUTED_VALUE"""),45352.520132453705)</f>
        <v>45352.52013</v>
      </c>
      <c r="B387" s="138" t="str">
        <f>IFERROR(__xludf.DUMMYFUNCTION("""COMPUTED_VALUE"""),"Terrence")</f>
        <v>Terrence</v>
      </c>
      <c r="C387" s="138">
        <f>IFERROR(__xludf.DUMMYFUNCTION("""COMPUTED_VALUE"""),1144.0)</f>
        <v>1144</v>
      </c>
      <c r="D387" s="139">
        <f>IFERROR(__xludf.DUMMYFUNCTION("""COMPUTED_VALUE"""),205.0)</f>
        <v>205</v>
      </c>
      <c r="E387" s="138">
        <f>IFERROR(__xludf.DUMMYFUNCTION("""COMPUTED_VALUE"""),4.0)</f>
        <v>4</v>
      </c>
      <c r="F387" s="138">
        <f>IFERROR(__xludf.DUMMYFUNCTION("""COMPUTED_VALUE"""),5.0)</f>
        <v>5</v>
      </c>
      <c r="G387" s="138">
        <f>IFERROR(__xludf.DUMMYFUNCTION("""COMPUTED_VALUE"""),3.0)</f>
        <v>3</v>
      </c>
      <c r="H387" s="138">
        <f>IFERROR(__xludf.DUMMYFUNCTION("""COMPUTED_VALUE"""),3.0)</f>
        <v>3</v>
      </c>
      <c r="I387" s="138">
        <f>IFERROR(__xludf.DUMMYFUNCTION("""COMPUTED_VALUE"""),4.0)</f>
        <v>4</v>
      </c>
      <c r="J387" s="138">
        <f>IFERROR(__xludf.DUMMYFUNCTION("""COMPUTED_VALUE"""),4.0)</f>
        <v>4</v>
      </c>
      <c r="K387" s="138">
        <f>IFERROR(__xludf.DUMMYFUNCTION("""COMPUTED_VALUE"""),5.0)</f>
        <v>5</v>
      </c>
      <c r="L387" s="138">
        <v>28.0</v>
      </c>
      <c r="M387" s="140" t="str">
        <f>VLOOKUP(text(D387, "#"),'Master Table'!$A:$F, 6, FALSE)</f>
        <v>B-9</v>
      </c>
      <c r="N387" s="141" t="str">
        <f>IFERROR(__xludf.DUMMYFUNCTION("""COMPUTED_VALUE"""),"Great research, unique in its own right, and interesting for the field. Can see cross disciplinary collaborations 
Presented well with much energy and passion 
Would long to know more about results and significance of them in the future")</f>
        <v>Great research, unique in its own right, and interesting for the field. Can see cross disciplinary collaborations 
Presented well with much energy and passion 
Would long to know more about results and significance of them in the future</v>
      </c>
      <c r="O387" s="142" t="str">
        <f t="shared" si="1"/>
        <v/>
      </c>
      <c r="P387" s="143" t="str">
        <f>IF(ISNA(VLOOKUP(CONCAT(M387,C387), 'Judge Count DO NOT EDIT'!H:H, 1, FALSE)), "ERROR","")</f>
        <v/>
      </c>
      <c r="Q387" s="141"/>
      <c r="R387" s="143"/>
      <c r="S387" s="139" t="str">
        <f t="shared" si="2"/>
        <v>1144205</v>
      </c>
      <c r="T387" s="141"/>
    </row>
    <row r="388">
      <c r="A388" s="137">
        <f>IFERROR(__xludf.DUMMYFUNCTION("""COMPUTED_VALUE"""),45352.47131956018)</f>
        <v>45352.47132</v>
      </c>
      <c r="B388" s="138" t="str">
        <f>IFERROR(__xludf.DUMMYFUNCTION("""COMPUTED_VALUE"""),"Helen Ma")</f>
        <v>Helen Ma</v>
      </c>
      <c r="C388" s="138">
        <f>IFERROR(__xludf.DUMMYFUNCTION("""COMPUTED_VALUE"""),1120.0)</f>
        <v>1120</v>
      </c>
      <c r="D388" s="139">
        <f>IFERROR(__xludf.DUMMYFUNCTION("""COMPUTED_VALUE"""),206.0)</f>
        <v>206</v>
      </c>
      <c r="E388" s="138">
        <f>IFERROR(__xludf.DUMMYFUNCTION("""COMPUTED_VALUE"""),4.0)</f>
        <v>4</v>
      </c>
      <c r="F388" s="138">
        <f>IFERROR(__xludf.DUMMYFUNCTION("""COMPUTED_VALUE"""),4.0)</f>
        <v>4</v>
      </c>
      <c r="G388" s="138">
        <f>IFERROR(__xludf.DUMMYFUNCTION("""COMPUTED_VALUE"""),5.0)</f>
        <v>5</v>
      </c>
      <c r="H388" s="138">
        <f>IFERROR(__xludf.DUMMYFUNCTION("""COMPUTED_VALUE"""),3.0)</f>
        <v>3</v>
      </c>
      <c r="I388" s="138">
        <f>IFERROR(__xludf.DUMMYFUNCTION("""COMPUTED_VALUE"""),3.0)</f>
        <v>3</v>
      </c>
      <c r="J388" s="138">
        <f>IFERROR(__xludf.DUMMYFUNCTION("""COMPUTED_VALUE"""),3.0)</f>
        <v>3</v>
      </c>
      <c r="K388" s="138">
        <f>IFERROR(__xludf.DUMMYFUNCTION("""COMPUTED_VALUE"""),4.0)</f>
        <v>4</v>
      </c>
      <c r="L388" s="138">
        <v>26.0</v>
      </c>
      <c r="M388" s="140" t="str">
        <f>VLOOKUP(text(D388, "#"),'Master Table'!$A:$F, 6, FALSE)</f>
        <v>B-10</v>
      </c>
      <c r="N388" s="141"/>
      <c r="O388" s="142" t="str">
        <f t="shared" si="1"/>
        <v/>
      </c>
      <c r="P388" s="143" t="str">
        <f>IF(ISNA(VLOOKUP(CONCAT(M388,C388), 'Judge Count DO NOT EDIT'!H:H, 1, FALSE)), "ERROR","")</f>
        <v/>
      </c>
      <c r="Q388" s="141"/>
      <c r="R388" s="143"/>
      <c r="S388" s="139" t="str">
        <f t="shared" si="2"/>
        <v>1120206</v>
      </c>
      <c r="T388" s="141"/>
    </row>
    <row r="389">
      <c r="A389" s="137">
        <f>IFERROR(__xludf.DUMMYFUNCTION("""COMPUTED_VALUE"""),45352.47426775463)</f>
        <v>45352.47427</v>
      </c>
      <c r="B389" s="138" t="str">
        <f>IFERROR(__xludf.DUMMYFUNCTION("""COMPUTED_VALUE"""),"Sam Kobari")</f>
        <v>Sam Kobari</v>
      </c>
      <c r="C389" s="138">
        <f>IFERROR(__xludf.DUMMYFUNCTION("""COMPUTED_VALUE"""),1112.0)</f>
        <v>1112</v>
      </c>
      <c r="D389" s="139">
        <f>IFERROR(__xludf.DUMMYFUNCTION("""COMPUTED_VALUE"""),206.0)</f>
        <v>206</v>
      </c>
      <c r="E389" s="138">
        <f>IFERROR(__xludf.DUMMYFUNCTION("""COMPUTED_VALUE"""),5.0)</f>
        <v>5</v>
      </c>
      <c r="F389" s="138">
        <f>IFERROR(__xludf.DUMMYFUNCTION("""COMPUTED_VALUE"""),4.0)</f>
        <v>4</v>
      </c>
      <c r="G389" s="138">
        <f>IFERROR(__xludf.DUMMYFUNCTION("""COMPUTED_VALUE"""),5.0)</f>
        <v>5</v>
      </c>
      <c r="H389" s="138">
        <f>IFERROR(__xludf.DUMMYFUNCTION("""COMPUTED_VALUE"""),4.0)</f>
        <v>4</v>
      </c>
      <c r="I389" s="138">
        <f>IFERROR(__xludf.DUMMYFUNCTION("""COMPUTED_VALUE"""),4.0)</f>
        <v>4</v>
      </c>
      <c r="J389" s="138">
        <f>IFERROR(__xludf.DUMMYFUNCTION("""COMPUTED_VALUE"""),5.0)</f>
        <v>5</v>
      </c>
      <c r="K389" s="138">
        <f>IFERROR(__xludf.DUMMYFUNCTION("""COMPUTED_VALUE"""),5.0)</f>
        <v>5</v>
      </c>
      <c r="L389" s="138">
        <v>32.0</v>
      </c>
      <c r="M389" s="140" t="str">
        <f>VLOOKUP(text(D389, "#"),'Master Table'!$A:$F, 6, FALSE)</f>
        <v>B-10</v>
      </c>
      <c r="N389" s="141"/>
      <c r="O389" s="142" t="str">
        <f t="shared" si="1"/>
        <v/>
      </c>
      <c r="P389" s="143" t="str">
        <f>IF(ISNA(VLOOKUP(CONCAT(M389,C389), 'Judge Count DO NOT EDIT'!H:H, 1, FALSE)), "ERROR","")</f>
        <v/>
      </c>
      <c r="Q389" s="141"/>
      <c r="R389" s="143"/>
      <c r="S389" s="139" t="str">
        <f t="shared" si="2"/>
        <v>1112206</v>
      </c>
      <c r="T389" s="141"/>
    </row>
    <row r="390">
      <c r="A390" s="137">
        <f>IFERROR(__xludf.DUMMYFUNCTION("""COMPUTED_VALUE"""),45352.49123480324)</f>
        <v>45352.49123</v>
      </c>
      <c r="B390" s="138" t="str">
        <f>IFERROR(__xludf.DUMMYFUNCTION("""COMPUTED_VALUE"""),"Farnoosh Khodakarami")</f>
        <v>Farnoosh Khodakarami</v>
      </c>
      <c r="C390" s="138">
        <f>IFERROR(__xludf.DUMMYFUNCTION("""COMPUTED_VALUE"""),1017.0)</f>
        <v>1017</v>
      </c>
      <c r="D390" s="139">
        <f>IFERROR(__xludf.DUMMYFUNCTION("""COMPUTED_VALUE"""),206.0)</f>
        <v>206</v>
      </c>
      <c r="E390" s="138">
        <f>IFERROR(__xludf.DUMMYFUNCTION("""COMPUTED_VALUE"""),5.0)</f>
        <v>5</v>
      </c>
      <c r="F390" s="138">
        <f>IFERROR(__xludf.DUMMYFUNCTION("""COMPUTED_VALUE"""),3.0)</f>
        <v>3</v>
      </c>
      <c r="G390" s="138">
        <f>IFERROR(__xludf.DUMMYFUNCTION("""COMPUTED_VALUE"""),5.0)</f>
        <v>5</v>
      </c>
      <c r="H390" s="138">
        <f>IFERROR(__xludf.DUMMYFUNCTION("""COMPUTED_VALUE"""),4.0)</f>
        <v>4</v>
      </c>
      <c r="I390" s="138">
        <f>IFERROR(__xludf.DUMMYFUNCTION("""COMPUTED_VALUE"""),5.0)</f>
        <v>5</v>
      </c>
      <c r="J390" s="138">
        <f>IFERROR(__xludf.DUMMYFUNCTION("""COMPUTED_VALUE"""),5.0)</f>
        <v>5</v>
      </c>
      <c r="K390" s="138">
        <f>IFERROR(__xludf.DUMMYFUNCTION("""COMPUTED_VALUE"""),5.0)</f>
        <v>5</v>
      </c>
      <c r="L390" s="138">
        <v>32.0</v>
      </c>
      <c r="M390" s="140" t="str">
        <f>VLOOKUP(text(D390, "#"),'Master Table'!$A:$F, 6, FALSE)</f>
        <v>B-10</v>
      </c>
      <c r="N390" s="141" t="str">
        <f>IFERROR(__xludf.DUMMYFUNCTION("""COMPUTED_VALUE"""),"very interesting and important topic. I hope you can move this research stream forward and it seems that there is a lot that needs to be done in this space. 
There is also an opportunity to explore more structured analysis of interviews to develop themes"&amp;" ideas for best practice on how to support the victims. 
Overall, you did a fantastic  job with your presentation. Good luck with your research and studies ")</f>
        <v>very interesting and important topic. I hope you can move this research stream forward and it seems that there is a lot that needs to be done in this space. 
There is also an opportunity to explore more structured analysis of interviews to develop themes ideas for best practice on how to support the victims. 
Overall, you did a fantastic  job with your presentation. Good luck with your research and studies </v>
      </c>
      <c r="O390" s="142" t="str">
        <f t="shared" si="1"/>
        <v/>
      </c>
      <c r="P390" s="143" t="str">
        <f>IF(ISNA(VLOOKUP(CONCAT(M390,C390), 'Judge Count DO NOT EDIT'!H:H, 1, FALSE)), "ERROR","")</f>
        <v/>
      </c>
      <c r="Q390" s="141"/>
      <c r="R390" s="143"/>
      <c r="S390" s="139" t="str">
        <f t="shared" si="2"/>
        <v>1017206</v>
      </c>
      <c r="T390" s="141"/>
    </row>
    <row r="391">
      <c r="A391" s="137">
        <f>IFERROR(__xludf.DUMMYFUNCTION("""COMPUTED_VALUE"""),45352.69299923611)</f>
        <v>45352.693</v>
      </c>
      <c r="B391" s="138" t="str">
        <f>IFERROR(__xludf.DUMMYFUNCTION("""COMPUTED_VALUE"""),"Hannah Friesen")</f>
        <v>Hannah Friesen</v>
      </c>
      <c r="C391" s="138">
        <f>IFERROR(__xludf.DUMMYFUNCTION("""COMPUTED_VALUE"""),1101.0)</f>
        <v>1101</v>
      </c>
      <c r="D391" s="139">
        <f>IFERROR(__xludf.DUMMYFUNCTION("""COMPUTED_VALUE"""),206.0)</f>
        <v>206</v>
      </c>
      <c r="E391" s="138">
        <f>IFERROR(__xludf.DUMMYFUNCTION("""COMPUTED_VALUE"""),4.0)</f>
        <v>4</v>
      </c>
      <c r="F391" s="138">
        <f>IFERROR(__xludf.DUMMYFUNCTION("""COMPUTED_VALUE"""),4.0)</f>
        <v>4</v>
      </c>
      <c r="G391" s="138">
        <f>IFERROR(__xludf.DUMMYFUNCTION("""COMPUTED_VALUE"""),5.0)</f>
        <v>5</v>
      </c>
      <c r="H391" s="138">
        <f>IFERROR(__xludf.DUMMYFUNCTION("""COMPUTED_VALUE"""),4.0)</f>
        <v>4</v>
      </c>
      <c r="I391" s="138">
        <f>IFERROR(__xludf.DUMMYFUNCTION("""COMPUTED_VALUE"""),5.0)</f>
        <v>5</v>
      </c>
      <c r="J391" s="138">
        <f>IFERROR(__xludf.DUMMYFUNCTION("""COMPUTED_VALUE"""),4.0)</f>
        <v>4</v>
      </c>
      <c r="K391" s="138">
        <f>IFERROR(__xludf.DUMMYFUNCTION("""COMPUTED_VALUE"""),4.0)</f>
        <v>4</v>
      </c>
      <c r="L391" s="138">
        <v>30.0</v>
      </c>
      <c r="M391" s="140" t="str">
        <f>VLOOKUP(text(D391, "#"),'Master Table'!$A:$F, 6, FALSE)</f>
        <v>B-10</v>
      </c>
      <c r="N391" s="141" t="str">
        <f>IFERROR(__xludf.DUMMYFUNCTION("""COMPUTED_VALUE"""),"What went well: 
-Clearly passionate about the topic and dedicated to her research
-Provided surprising statistics that caught my attention
-Acknowledged current events/context connecting her research to the movement at large (Mar. 8th)
Future Directions"&amp;": 
I would be interested to learn about a global comparison of gendered violence in different cultural regions of the world (Asia, the Middle East, Africa, Pacific Islanders, European and those of European descent) ")</f>
        <v>What went well: 
-Clearly passionate about the topic and dedicated to her research
-Provided surprising statistics that caught my attention
-Acknowledged current events/context connecting her research to the movement at large (Mar. 8th)
Future Directions: 
I would be interested to learn about a global comparison of gendered violence in different cultural regions of the world (Asia, the Middle East, Africa, Pacific Islanders, European and those of European descent) </v>
      </c>
      <c r="O391" s="142" t="str">
        <f t="shared" si="1"/>
        <v/>
      </c>
      <c r="P391" s="143" t="str">
        <f>IF(ISNA(VLOOKUP(CONCAT(M391,C391), 'Judge Count DO NOT EDIT'!H:H, 1, FALSE)), "ERROR","")</f>
        <v/>
      </c>
      <c r="Q391" s="141"/>
      <c r="R391" s="143"/>
      <c r="S391" s="139" t="str">
        <f t="shared" si="2"/>
        <v>1101206</v>
      </c>
      <c r="T391" s="141"/>
    </row>
    <row r="392">
      <c r="A392" s="137">
        <f>IFERROR(__xludf.DUMMYFUNCTION("""COMPUTED_VALUE"""),45352.48691086806)</f>
        <v>45352.48691</v>
      </c>
      <c r="B392" s="138" t="str">
        <f>IFERROR(__xludf.DUMMYFUNCTION("""COMPUTED_VALUE"""),"Helen Ma")</f>
        <v>Helen Ma</v>
      </c>
      <c r="C392" s="138">
        <f>IFERROR(__xludf.DUMMYFUNCTION("""COMPUTED_VALUE"""),1120.0)</f>
        <v>1120</v>
      </c>
      <c r="D392" s="139">
        <f>IFERROR(__xludf.DUMMYFUNCTION("""COMPUTED_VALUE"""),207.0)</f>
        <v>207</v>
      </c>
      <c r="E392" s="138">
        <f>IFERROR(__xludf.DUMMYFUNCTION("""COMPUTED_VALUE"""),4.0)</f>
        <v>4</v>
      </c>
      <c r="F392" s="138">
        <f>IFERROR(__xludf.DUMMYFUNCTION("""COMPUTED_VALUE"""),5.0)</f>
        <v>5</v>
      </c>
      <c r="G392" s="138">
        <f>IFERROR(__xludf.DUMMYFUNCTION("""COMPUTED_VALUE"""),5.0)</f>
        <v>5</v>
      </c>
      <c r="H392" s="138">
        <f>IFERROR(__xludf.DUMMYFUNCTION("""COMPUTED_VALUE"""),4.0)</f>
        <v>4</v>
      </c>
      <c r="I392" s="138">
        <f>IFERROR(__xludf.DUMMYFUNCTION("""COMPUTED_VALUE"""),5.0)</f>
        <v>5</v>
      </c>
      <c r="J392" s="138">
        <f>IFERROR(__xludf.DUMMYFUNCTION("""COMPUTED_VALUE"""),5.0)</f>
        <v>5</v>
      </c>
      <c r="K392" s="138">
        <f>IFERROR(__xludf.DUMMYFUNCTION("""COMPUTED_VALUE"""),5.0)</f>
        <v>5</v>
      </c>
      <c r="L392" s="138">
        <v>33.0</v>
      </c>
      <c r="M392" s="140" t="str">
        <f>VLOOKUP(text(D392, "#"),'Master Table'!$A:$F, 6, FALSE)</f>
        <v>B-10</v>
      </c>
      <c r="N392" s="141"/>
      <c r="O392" s="142" t="str">
        <f t="shared" si="1"/>
        <v/>
      </c>
      <c r="P392" s="143" t="str">
        <f>IF(ISNA(VLOOKUP(CONCAT(M392,C392), 'Judge Count DO NOT EDIT'!H:H, 1, FALSE)), "ERROR","")</f>
        <v/>
      </c>
      <c r="Q392" s="141"/>
      <c r="R392" s="143"/>
      <c r="S392" s="139" t="str">
        <f t="shared" si="2"/>
        <v>1120207</v>
      </c>
      <c r="T392" s="141"/>
    </row>
    <row r="393">
      <c r="A393" s="137">
        <f>IFERROR(__xludf.DUMMYFUNCTION("""COMPUTED_VALUE"""),45352.48757002315)</f>
        <v>45352.48757</v>
      </c>
      <c r="B393" s="138" t="str">
        <f>IFERROR(__xludf.DUMMYFUNCTION("""COMPUTED_VALUE"""),"Sam Kobari")</f>
        <v>Sam Kobari</v>
      </c>
      <c r="C393" s="138">
        <f>IFERROR(__xludf.DUMMYFUNCTION("""COMPUTED_VALUE"""),1112.0)</f>
        <v>1112</v>
      </c>
      <c r="D393" s="139">
        <f>IFERROR(__xludf.DUMMYFUNCTION("""COMPUTED_VALUE"""),207.0)</f>
        <v>207</v>
      </c>
      <c r="E393" s="138">
        <f>IFERROR(__xludf.DUMMYFUNCTION("""COMPUTED_VALUE"""),5.0)</f>
        <v>5</v>
      </c>
      <c r="F393" s="138">
        <f>IFERROR(__xludf.DUMMYFUNCTION("""COMPUTED_VALUE"""),4.0)</f>
        <v>4</v>
      </c>
      <c r="G393" s="138">
        <f>IFERROR(__xludf.DUMMYFUNCTION("""COMPUTED_VALUE"""),3.0)</f>
        <v>3</v>
      </c>
      <c r="H393" s="138">
        <f>IFERROR(__xludf.DUMMYFUNCTION("""COMPUTED_VALUE"""),4.0)</f>
        <v>4</v>
      </c>
      <c r="I393" s="138">
        <f>IFERROR(__xludf.DUMMYFUNCTION("""COMPUTED_VALUE"""),4.0)</f>
        <v>4</v>
      </c>
      <c r="J393" s="138">
        <f>IFERROR(__xludf.DUMMYFUNCTION("""COMPUTED_VALUE"""),4.0)</f>
        <v>4</v>
      </c>
      <c r="K393" s="138">
        <f>IFERROR(__xludf.DUMMYFUNCTION("""COMPUTED_VALUE"""),5.0)</f>
        <v>5</v>
      </c>
      <c r="L393" s="138">
        <v>29.0</v>
      </c>
      <c r="M393" s="140" t="str">
        <f>VLOOKUP(text(D393, "#"),'Master Table'!$A:$F, 6, FALSE)</f>
        <v>B-10</v>
      </c>
      <c r="N393" s="141"/>
      <c r="O393" s="142" t="str">
        <f t="shared" si="1"/>
        <v/>
      </c>
      <c r="P393" s="143" t="str">
        <f>IF(ISNA(VLOOKUP(CONCAT(M393,C393), 'Judge Count DO NOT EDIT'!H:H, 1, FALSE)), "ERROR","")</f>
        <v/>
      </c>
      <c r="Q393" s="141"/>
      <c r="R393" s="143"/>
      <c r="S393" s="139" t="str">
        <f t="shared" si="2"/>
        <v>1112207</v>
      </c>
      <c r="T393" s="141"/>
    </row>
    <row r="394">
      <c r="A394" s="137">
        <f>IFERROR(__xludf.DUMMYFUNCTION("""COMPUTED_VALUE"""),45352.49814391204)</f>
        <v>45352.49814</v>
      </c>
      <c r="B394" s="138" t="str">
        <f>IFERROR(__xludf.DUMMYFUNCTION("""COMPUTED_VALUE"""),"Farnoosh Khodakarami ")</f>
        <v>Farnoosh Khodakarami </v>
      </c>
      <c r="C394" s="138">
        <f>IFERROR(__xludf.DUMMYFUNCTION("""COMPUTED_VALUE"""),1017.0)</f>
        <v>1017</v>
      </c>
      <c r="D394" s="139">
        <f>IFERROR(__xludf.DUMMYFUNCTION("""COMPUTED_VALUE"""),207.0)</f>
        <v>207</v>
      </c>
      <c r="E394" s="138">
        <f>IFERROR(__xludf.DUMMYFUNCTION("""COMPUTED_VALUE"""),4.0)</f>
        <v>4</v>
      </c>
      <c r="F394" s="138">
        <f>IFERROR(__xludf.DUMMYFUNCTION("""COMPUTED_VALUE"""),3.0)</f>
        <v>3</v>
      </c>
      <c r="G394" s="138">
        <f>IFERROR(__xludf.DUMMYFUNCTION("""COMPUTED_VALUE"""),3.0)</f>
        <v>3</v>
      </c>
      <c r="H394" s="138">
        <f>IFERROR(__xludf.DUMMYFUNCTION("""COMPUTED_VALUE"""),4.0)</f>
        <v>4</v>
      </c>
      <c r="I394" s="138">
        <f>IFERROR(__xludf.DUMMYFUNCTION("""COMPUTED_VALUE"""),5.0)</f>
        <v>5</v>
      </c>
      <c r="J394" s="138">
        <f>IFERROR(__xludf.DUMMYFUNCTION("""COMPUTED_VALUE"""),5.0)</f>
        <v>5</v>
      </c>
      <c r="K394" s="138">
        <f>IFERROR(__xludf.DUMMYFUNCTION("""COMPUTED_VALUE"""),5.0)</f>
        <v>5</v>
      </c>
      <c r="L394" s="138">
        <v>29.0</v>
      </c>
      <c r="M394" s="140" t="str">
        <f>VLOOKUP(text(D394, "#"),'Master Table'!$A:$F, 6, FALSE)</f>
        <v>B-10</v>
      </c>
      <c r="N394" s="141" t="str">
        <f>IFERROR(__xludf.DUMMYFUNCTION("""COMPUTED_VALUE"""),"This is an interesting topic, and you had an engaging and high-energy presentation which is a great plus. 
To increase the contribution of your research, you need to carefully think about what is new and exciting about your research? your research shows "&amp;"that customers have negative response to a product when the influencer offers a negative evaluation of a product, which is not really a novel discovery. 
Also, what does the term de-influencer really mean? Is this an influencer who always speaks negative"&amp;"ly of products? most influencers post a mix of positive and negative reviews of products, so who is considered a de-influencer? There is some work left to show that the topic of your study is novel. 
Overall, it was a great presentation. Good luck with y"&amp;"our research and studies.   ")</f>
        <v>This is an interesting topic, and you had an engaging and high-energy presentation which is a great plus. 
To increase the contribution of your research, you need to carefully think about what is new and exciting about your research? your research shows that customers have negative response to a product when the influencer offers a negative evaluation of a product, which is not really a novel discovery. 
Also, what does the term de-influencer really mean? Is this an influencer who always speaks negatively of products? most influencers post a mix of positive and negative reviews of products, so who is considered a de-influencer? There is some work left to show that the topic of your study is novel. 
Overall, it was a great presentation. Good luck with your research and studies.   </v>
      </c>
      <c r="O394" s="142" t="str">
        <f t="shared" si="1"/>
        <v/>
      </c>
      <c r="P394" s="143" t="str">
        <f>IF(ISNA(VLOOKUP(CONCAT(M394,C394), 'Judge Count DO NOT EDIT'!H:H, 1, FALSE)), "ERROR","")</f>
        <v/>
      </c>
      <c r="Q394" s="141"/>
      <c r="R394" s="143"/>
      <c r="S394" s="139" t="str">
        <f t="shared" si="2"/>
        <v>1017207</v>
      </c>
      <c r="T394" s="141"/>
    </row>
    <row r="395">
      <c r="A395" s="137">
        <f>IFERROR(__xludf.DUMMYFUNCTION("""COMPUTED_VALUE"""),45352.69593891204)</f>
        <v>45352.69594</v>
      </c>
      <c r="B395" s="138" t="str">
        <f>IFERROR(__xludf.DUMMYFUNCTION("""COMPUTED_VALUE"""),"Hannah Friesen")</f>
        <v>Hannah Friesen</v>
      </c>
      <c r="C395" s="138">
        <f>IFERROR(__xludf.DUMMYFUNCTION("""COMPUTED_VALUE"""),1101.0)</f>
        <v>1101</v>
      </c>
      <c r="D395" s="139">
        <f>IFERROR(__xludf.DUMMYFUNCTION("""COMPUTED_VALUE"""),207.0)</f>
        <v>207</v>
      </c>
      <c r="E395" s="138">
        <f>IFERROR(__xludf.DUMMYFUNCTION("""COMPUTED_VALUE"""),3.0)</f>
        <v>3</v>
      </c>
      <c r="F395" s="138">
        <f>IFERROR(__xludf.DUMMYFUNCTION("""COMPUTED_VALUE"""),5.0)</f>
        <v>5</v>
      </c>
      <c r="G395" s="138">
        <f>IFERROR(__xludf.DUMMYFUNCTION("""COMPUTED_VALUE"""),4.0)</f>
        <v>4</v>
      </c>
      <c r="H395" s="138">
        <f>IFERROR(__xludf.DUMMYFUNCTION("""COMPUTED_VALUE"""),4.0)</f>
        <v>4</v>
      </c>
      <c r="I395" s="138">
        <f>IFERROR(__xludf.DUMMYFUNCTION("""COMPUTED_VALUE"""),4.0)</f>
        <v>4</v>
      </c>
      <c r="J395" s="138">
        <f>IFERROR(__xludf.DUMMYFUNCTION("""COMPUTED_VALUE"""),3.0)</f>
        <v>3</v>
      </c>
      <c r="K395" s="138">
        <f>IFERROR(__xludf.DUMMYFUNCTION("""COMPUTED_VALUE"""),5.0)</f>
        <v>5</v>
      </c>
      <c r="L395" s="138">
        <v>28.0</v>
      </c>
      <c r="M395" s="140" t="str">
        <f>VLOOKUP(text(D395, "#"),'Master Table'!$A:$F, 6, FALSE)</f>
        <v>B-10</v>
      </c>
      <c r="N395" s="141" t="str">
        <f>IFERROR(__xludf.DUMMYFUNCTION("""COMPUTED_VALUE"""),"What went well: 
-Culturally relevant and interesting topic
-Appreciate her dedication to on-campus research
-Identified other applications for the deinfluencing concept
-Provided key term definitions
Suggestions: 
-At times too much emphasis on methodol"&amp;"ogy
-Slide organization could be improved (flipping back and forth)")</f>
        <v>What went well: 
-Culturally relevant and interesting topic
-Appreciate her dedication to on-campus research
-Identified other applications for the deinfluencing concept
-Provided key term definitions
Suggestions: 
-At times too much emphasis on methodology
-Slide organization could be improved (flipping back and forth)</v>
      </c>
      <c r="O395" s="142" t="str">
        <f t="shared" si="1"/>
        <v/>
      </c>
      <c r="P395" s="143" t="str">
        <f>IF(ISNA(VLOOKUP(CONCAT(M395,C395), 'Judge Count DO NOT EDIT'!H:H, 1, FALSE)), "ERROR","")</f>
        <v/>
      </c>
      <c r="Q395" s="141"/>
      <c r="R395" s="143"/>
      <c r="S395" s="139" t="str">
        <f t="shared" si="2"/>
        <v>1101207</v>
      </c>
      <c r="T395" s="141"/>
    </row>
    <row r="396">
      <c r="A396" s="137">
        <f>IFERROR(__xludf.DUMMYFUNCTION("""COMPUTED_VALUE"""),45352.51484394676)</f>
        <v>45352.51484</v>
      </c>
      <c r="B396" s="138" t="str">
        <f>IFERROR(__xludf.DUMMYFUNCTION("""COMPUTED_VALUE"""),"Helen Ma")</f>
        <v>Helen Ma</v>
      </c>
      <c r="C396" s="138">
        <f>IFERROR(__xludf.DUMMYFUNCTION("""COMPUTED_VALUE"""),1120.0)</f>
        <v>1120</v>
      </c>
      <c r="D396" s="139">
        <f>IFERROR(__xludf.DUMMYFUNCTION("""COMPUTED_VALUE"""),209.0)</f>
        <v>209</v>
      </c>
      <c r="E396" s="138">
        <f>IFERROR(__xludf.DUMMYFUNCTION("""COMPUTED_VALUE"""),5.0)</f>
        <v>5</v>
      </c>
      <c r="F396" s="138">
        <f>IFERROR(__xludf.DUMMYFUNCTION("""COMPUTED_VALUE"""),5.0)</f>
        <v>5</v>
      </c>
      <c r="G396" s="138">
        <f>IFERROR(__xludf.DUMMYFUNCTION("""COMPUTED_VALUE"""),5.0)</f>
        <v>5</v>
      </c>
      <c r="H396" s="138">
        <f>IFERROR(__xludf.DUMMYFUNCTION("""COMPUTED_VALUE"""),4.0)</f>
        <v>4</v>
      </c>
      <c r="I396" s="138">
        <f>IFERROR(__xludf.DUMMYFUNCTION("""COMPUTED_VALUE"""),5.0)</f>
        <v>5</v>
      </c>
      <c r="J396" s="138">
        <f>IFERROR(__xludf.DUMMYFUNCTION("""COMPUTED_VALUE"""),5.0)</f>
        <v>5</v>
      </c>
      <c r="K396" s="138">
        <f>IFERROR(__xludf.DUMMYFUNCTION("""COMPUTED_VALUE"""),5.0)</f>
        <v>5</v>
      </c>
      <c r="L396" s="138">
        <v>34.0</v>
      </c>
      <c r="M396" s="140" t="str">
        <f>VLOOKUP(text(D396, "#"),'Master Table'!$A:$F, 6, FALSE)</f>
        <v>B-10</v>
      </c>
      <c r="N396" s="141"/>
      <c r="O396" s="142" t="str">
        <f t="shared" si="1"/>
        <v/>
      </c>
      <c r="P396" s="143" t="str">
        <f>IF(ISNA(VLOOKUP(CONCAT(M396,C396), 'Judge Count DO NOT EDIT'!H:H, 1, FALSE)), "ERROR","")</f>
        <v/>
      </c>
      <c r="Q396" s="141"/>
      <c r="R396" s="143"/>
      <c r="S396" s="139" t="str">
        <f t="shared" si="2"/>
        <v>1120209</v>
      </c>
      <c r="T396" s="141"/>
    </row>
    <row r="397">
      <c r="A397" s="137">
        <f>IFERROR(__xludf.DUMMYFUNCTION("""COMPUTED_VALUE"""),45352.51597409722)</f>
        <v>45352.51597</v>
      </c>
      <c r="B397" s="138" t="str">
        <f>IFERROR(__xludf.DUMMYFUNCTION("""COMPUTED_VALUE"""),"Sam Kobari")</f>
        <v>Sam Kobari</v>
      </c>
      <c r="C397" s="138">
        <f>IFERROR(__xludf.DUMMYFUNCTION("""COMPUTED_VALUE"""),1112.0)</f>
        <v>1112</v>
      </c>
      <c r="D397" s="139">
        <f>IFERROR(__xludf.DUMMYFUNCTION("""COMPUTED_VALUE"""),209.0)</f>
        <v>209</v>
      </c>
      <c r="E397" s="138">
        <f>IFERROR(__xludf.DUMMYFUNCTION("""COMPUTED_VALUE"""),4.0)</f>
        <v>4</v>
      </c>
      <c r="F397" s="138">
        <f>IFERROR(__xludf.DUMMYFUNCTION("""COMPUTED_VALUE"""),3.0)</f>
        <v>3</v>
      </c>
      <c r="G397" s="138">
        <f>IFERROR(__xludf.DUMMYFUNCTION("""COMPUTED_VALUE"""),4.0)</f>
        <v>4</v>
      </c>
      <c r="H397" s="138">
        <f>IFERROR(__xludf.DUMMYFUNCTION("""COMPUTED_VALUE"""),4.0)</f>
        <v>4</v>
      </c>
      <c r="I397" s="138">
        <f>IFERROR(__xludf.DUMMYFUNCTION("""COMPUTED_VALUE"""),5.0)</f>
        <v>5</v>
      </c>
      <c r="J397" s="138">
        <f>IFERROR(__xludf.DUMMYFUNCTION("""COMPUTED_VALUE"""),4.0)</f>
        <v>4</v>
      </c>
      <c r="K397" s="138">
        <f>IFERROR(__xludf.DUMMYFUNCTION("""COMPUTED_VALUE"""),5.0)</f>
        <v>5</v>
      </c>
      <c r="L397" s="138">
        <v>29.0</v>
      </c>
      <c r="M397" s="140" t="str">
        <f>VLOOKUP(text(D397, "#"),'Master Table'!$A:$F, 6, FALSE)</f>
        <v>B-10</v>
      </c>
      <c r="N397" s="141"/>
      <c r="O397" s="142" t="str">
        <f t="shared" si="1"/>
        <v/>
      </c>
      <c r="P397" s="143" t="str">
        <f>IF(ISNA(VLOOKUP(CONCAT(M397,C397), 'Judge Count DO NOT EDIT'!H:H, 1, FALSE)), "ERROR","")</f>
        <v/>
      </c>
      <c r="Q397" s="141"/>
      <c r="R397" s="143"/>
      <c r="S397" s="139" t="str">
        <f t="shared" si="2"/>
        <v>1112209</v>
      </c>
      <c r="T397" s="141"/>
    </row>
    <row r="398">
      <c r="A398" s="137">
        <f>IFERROR(__xludf.DUMMYFUNCTION("""COMPUTED_VALUE"""),45352.52454726852)</f>
        <v>45352.52455</v>
      </c>
      <c r="B398" s="138" t="str">
        <f>IFERROR(__xludf.DUMMYFUNCTION("""COMPUTED_VALUE"""),"Farnoosh Khodakarami")</f>
        <v>Farnoosh Khodakarami</v>
      </c>
      <c r="C398" s="138">
        <f>IFERROR(__xludf.DUMMYFUNCTION("""COMPUTED_VALUE"""),1017.0)</f>
        <v>1017</v>
      </c>
      <c r="D398" s="139">
        <f>IFERROR(__xludf.DUMMYFUNCTION("""COMPUTED_VALUE"""),209.0)</f>
        <v>209</v>
      </c>
      <c r="E398" s="138">
        <f>IFERROR(__xludf.DUMMYFUNCTION("""COMPUTED_VALUE"""),5.0)</f>
        <v>5</v>
      </c>
      <c r="F398" s="138">
        <f>IFERROR(__xludf.DUMMYFUNCTION("""COMPUTED_VALUE"""),3.0)</f>
        <v>3</v>
      </c>
      <c r="G398" s="138">
        <f>IFERROR(__xludf.DUMMYFUNCTION("""COMPUTED_VALUE"""),4.0)</f>
        <v>4</v>
      </c>
      <c r="H398" s="138">
        <f>IFERROR(__xludf.DUMMYFUNCTION("""COMPUTED_VALUE"""),5.0)</f>
        <v>5</v>
      </c>
      <c r="I398" s="138">
        <f>IFERROR(__xludf.DUMMYFUNCTION("""COMPUTED_VALUE"""),5.0)</f>
        <v>5</v>
      </c>
      <c r="J398" s="138">
        <f>IFERROR(__xludf.DUMMYFUNCTION("""COMPUTED_VALUE"""),5.0)</f>
        <v>5</v>
      </c>
      <c r="K398" s="138">
        <f>IFERROR(__xludf.DUMMYFUNCTION("""COMPUTED_VALUE"""),5.0)</f>
        <v>5</v>
      </c>
      <c r="L398" s="138">
        <v>32.0</v>
      </c>
      <c r="M398" s="140" t="str">
        <f>VLOOKUP(text(D398, "#"),'Master Table'!$A:$F, 6, FALSE)</f>
        <v>B-10</v>
      </c>
      <c r="N398" s="141" t="str">
        <f>IFERROR(__xludf.DUMMYFUNCTION("""COMPUTED_VALUE"""),"This is an interesting project, specially if you develop the app you mentioned it can have significant empirical/policy applications. 
Good luck with your research ")</f>
        <v>This is an interesting project, specially if you develop the app you mentioned it can have significant empirical/policy applications. 
Good luck with your research </v>
      </c>
      <c r="O398" s="142" t="str">
        <f t="shared" si="1"/>
        <v/>
      </c>
      <c r="P398" s="143" t="str">
        <f>IF(ISNA(VLOOKUP(CONCAT(M398,C398), 'Judge Count DO NOT EDIT'!H:H, 1, FALSE)), "ERROR","")</f>
        <v/>
      </c>
      <c r="Q398" s="141"/>
      <c r="R398" s="143"/>
      <c r="S398" s="139" t="str">
        <f t="shared" si="2"/>
        <v>1017209</v>
      </c>
      <c r="T398" s="141"/>
    </row>
    <row r="399">
      <c r="A399" s="137">
        <f>IFERROR(__xludf.DUMMYFUNCTION("""COMPUTED_VALUE"""),45352.69915834491)</f>
        <v>45352.69916</v>
      </c>
      <c r="B399" s="138" t="str">
        <f>IFERROR(__xludf.DUMMYFUNCTION("""COMPUTED_VALUE"""),"Hannah Friesen")</f>
        <v>Hannah Friesen</v>
      </c>
      <c r="C399" s="138">
        <f>IFERROR(__xludf.DUMMYFUNCTION("""COMPUTED_VALUE"""),1101.0)</f>
        <v>1101</v>
      </c>
      <c r="D399" s="139">
        <f>IFERROR(__xludf.DUMMYFUNCTION("""COMPUTED_VALUE"""),209.0)</f>
        <v>209</v>
      </c>
      <c r="E399" s="138">
        <f>IFERROR(__xludf.DUMMYFUNCTION("""COMPUTED_VALUE"""),4.0)</f>
        <v>4</v>
      </c>
      <c r="F399" s="138">
        <f>IFERROR(__xludf.DUMMYFUNCTION("""COMPUTED_VALUE"""),5.0)</f>
        <v>5</v>
      </c>
      <c r="G399" s="138">
        <f>IFERROR(__xludf.DUMMYFUNCTION("""COMPUTED_VALUE"""),5.0)</f>
        <v>5</v>
      </c>
      <c r="H399" s="138">
        <f>IFERROR(__xludf.DUMMYFUNCTION("""COMPUTED_VALUE"""),5.0)</f>
        <v>5</v>
      </c>
      <c r="I399" s="138">
        <f>IFERROR(__xludf.DUMMYFUNCTION("""COMPUTED_VALUE"""),4.0)</f>
        <v>4</v>
      </c>
      <c r="J399" s="138">
        <f>IFERROR(__xludf.DUMMYFUNCTION("""COMPUTED_VALUE"""),4.0)</f>
        <v>4</v>
      </c>
      <c r="K399" s="138">
        <f>IFERROR(__xludf.DUMMYFUNCTION("""COMPUTED_VALUE"""),4.0)</f>
        <v>4</v>
      </c>
      <c r="L399" s="138">
        <v>31.0</v>
      </c>
      <c r="M399" s="140" t="str">
        <f>VLOOKUP(text(D399, "#"),'Master Table'!$A:$F, 6, FALSE)</f>
        <v>B-10</v>
      </c>
      <c r="N399" s="141" t="str">
        <f>IFERROR(__xludf.DUMMYFUNCTION("""COMPUTED_VALUE"""),"What went well: 
-Very original idea that has true real world applications 
-Appreciated the imagined scenario at the end which had closure towards the end 
-Interesting use of her Big Data Analytics major and tackling societal problems
Future Directions"&amp;": 
Maybe you could reach out to one of the smaller cities in San Diego (for example La Mesa) and see what a smaller police force thinks of your idea. They may be more accessible. ")</f>
        <v>What went well: 
-Very original idea that has true real world applications 
-Appreciated the imagined scenario at the end which had closure towards the end 
-Interesting use of her Big Data Analytics major and tackling societal problems
Future Directions: 
Maybe you could reach out to one of the smaller cities in San Diego (for example La Mesa) and see what a smaller police force thinks of your idea. They may be more accessible. </v>
      </c>
      <c r="O399" s="142" t="str">
        <f t="shared" si="1"/>
        <v/>
      </c>
      <c r="P399" s="143" t="str">
        <f>IF(ISNA(VLOOKUP(CONCAT(M399,C399), 'Judge Count DO NOT EDIT'!H:H, 1, FALSE)), "ERROR","")</f>
        <v/>
      </c>
      <c r="Q399" s="141"/>
      <c r="R399" s="143"/>
      <c r="S399" s="139" t="str">
        <f t="shared" si="2"/>
        <v>1101209</v>
      </c>
      <c r="T399" s="141"/>
    </row>
    <row r="400">
      <c r="A400" s="137">
        <f>IFERROR(__xludf.DUMMYFUNCTION("""COMPUTED_VALUE"""),45352.55191915509)</f>
        <v>45352.55192</v>
      </c>
      <c r="B400" s="138" t="str">
        <f>IFERROR(__xludf.DUMMYFUNCTION("""COMPUTED_VALUE"""),"Farnoosh Khodakarami")</f>
        <v>Farnoosh Khodakarami</v>
      </c>
      <c r="C400" s="138">
        <f>IFERROR(__xludf.DUMMYFUNCTION("""COMPUTED_VALUE"""),1017.0)</f>
        <v>1017</v>
      </c>
      <c r="D400" s="139">
        <f>IFERROR(__xludf.DUMMYFUNCTION("""COMPUTED_VALUE"""),211.0)</f>
        <v>211</v>
      </c>
      <c r="E400" s="138">
        <f>IFERROR(__xludf.DUMMYFUNCTION("""COMPUTED_VALUE"""),2.0)</f>
        <v>2</v>
      </c>
      <c r="F400" s="138">
        <f>IFERROR(__xludf.DUMMYFUNCTION("""COMPUTED_VALUE"""),1.0)</f>
        <v>1</v>
      </c>
      <c r="G400" s="138">
        <f>IFERROR(__xludf.DUMMYFUNCTION("""COMPUTED_VALUE"""),1.0)</f>
        <v>1</v>
      </c>
      <c r="H400" s="138">
        <f>IFERROR(__xludf.DUMMYFUNCTION("""COMPUTED_VALUE"""),2.0)</f>
        <v>2</v>
      </c>
      <c r="I400" s="138">
        <f>IFERROR(__xludf.DUMMYFUNCTION("""COMPUTED_VALUE"""),2.0)</f>
        <v>2</v>
      </c>
      <c r="J400" s="138">
        <f>IFERROR(__xludf.DUMMYFUNCTION("""COMPUTED_VALUE"""),3.0)</f>
        <v>3</v>
      </c>
      <c r="K400" s="138">
        <f>IFERROR(__xludf.DUMMYFUNCTION("""COMPUTED_VALUE"""),4.0)</f>
        <v>4</v>
      </c>
      <c r="L400" s="138">
        <v>15.0</v>
      </c>
      <c r="M400" s="140" t="str">
        <f>VLOOKUP(text(D400, "#"),'Master Table'!$A:$F, 6, FALSE)</f>
        <v>B-10</v>
      </c>
      <c r="N400" s="141" t="str">
        <f>IFERROR(__xludf.DUMMYFUNCTION("""COMPUTED_VALUE"""),"One tip for your job search, there are other factors to consider that are more important than the time of the application. you could consider the type of the job you're applying, industry, position, etc. That would be more helpful for you. ")</f>
        <v>One tip for your job search, there are other factors to consider that are more important than the time of the application. you could consider the type of the job you're applying, industry, position, etc. That would be more helpful for you. </v>
      </c>
      <c r="O400" s="142" t="str">
        <f t="shared" si="1"/>
        <v/>
      </c>
      <c r="P400" s="143" t="str">
        <f>IF(ISNA(VLOOKUP(CONCAT(M400,C400), 'Judge Count DO NOT EDIT'!H:H, 1, FALSE)), "ERROR","")</f>
        <v/>
      </c>
      <c r="Q400" s="141"/>
      <c r="R400" s="143"/>
      <c r="S400" s="139" t="str">
        <f t="shared" si="2"/>
        <v>1017211</v>
      </c>
      <c r="T400" s="141"/>
    </row>
    <row r="401">
      <c r="A401" s="137">
        <f>IFERROR(__xludf.DUMMYFUNCTION("""COMPUTED_VALUE"""),45352.70312697916)</f>
        <v>45352.70313</v>
      </c>
      <c r="B401" s="138" t="str">
        <f>IFERROR(__xludf.DUMMYFUNCTION("""COMPUTED_VALUE"""),"Hannah Friesen")</f>
        <v>Hannah Friesen</v>
      </c>
      <c r="C401" s="138">
        <f>IFERROR(__xludf.DUMMYFUNCTION("""COMPUTED_VALUE"""),1101.0)</f>
        <v>1101</v>
      </c>
      <c r="D401" s="139">
        <f>IFERROR(__xludf.DUMMYFUNCTION("""COMPUTED_VALUE"""),211.0)</f>
        <v>211</v>
      </c>
      <c r="E401" s="138">
        <f>IFERROR(__xludf.DUMMYFUNCTION("""COMPUTED_VALUE"""),2.0)</f>
        <v>2</v>
      </c>
      <c r="F401" s="138">
        <f>IFERROR(__xludf.DUMMYFUNCTION("""COMPUTED_VALUE"""),3.0)</f>
        <v>3</v>
      </c>
      <c r="G401" s="138">
        <f>IFERROR(__xludf.DUMMYFUNCTION("""COMPUTED_VALUE"""),3.0)</f>
        <v>3</v>
      </c>
      <c r="H401" s="138">
        <f>IFERROR(__xludf.DUMMYFUNCTION("""COMPUTED_VALUE"""),1.0)</f>
        <v>1</v>
      </c>
      <c r="I401" s="138">
        <f>IFERROR(__xludf.DUMMYFUNCTION("""COMPUTED_VALUE"""),3.0)</f>
        <v>3</v>
      </c>
      <c r="J401" s="138">
        <f>IFERROR(__xludf.DUMMYFUNCTION("""COMPUTED_VALUE"""),3.0)</f>
        <v>3</v>
      </c>
      <c r="K401" s="138">
        <f>IFERROR(__xludf.DUMMYFUNCTION("""COMPUTED_VALUE"""),3.0)</f>
        <v>3</v>
      </c>
      <c r="L401" s="138">
        <v>18.0</v>
      </c>
      <c r="M401" s="140" t="str">
        <f>VLOOKUP(text(D401, "#"),'Master Table'!$A:$F, 6, FALSE)</f>
        <v>B-10</v>
      </c>
      <c r="N401" s="141" t="str">
        <f>IFERROR(__xludf.DUMMYFUNCTION("""COMPUTED_VALUE"""),"What went well: 
It is apparent you have put a lot of thought into this topic
Interesting to look into one person's search for a job
Room for Improvement: 
Could be more research/theory based
Your presentation seemed a bit more casual than the other pres"&amp;"enter's, I would suggest you adopt more professional phrasings (for example you laughed multiple times after discussing how you were rejected over and over). ")</f>
        <v>What went well: 
It is apparent you have put a lot of thought into this topic
Interesting to look into one person's search for a job
Room for Improvement: 
Could be more research/theory based
Your presentation seemed a bit more casual than the other presenter's, I would suggest you adopt more professional phrasings (for example you laughed multiple times after discussing how you were rejected over and over). </v>
      </c>
      <c r="O401" s="142" t="str">
        <f t="shared" si="1"/>
        <v/>
      </c>
      <c r="P401" s="143" t="str">
        <f>IF(ISNA(VLOOKUP(CONCAT(M401,C401), 'Judge Count DO NOT EDIT'!H:H, 1, FALSE)), "ERROR","")</f>
        <v/>
      </c>
      <c r="Q401" s="141"/>
      <c r="R401" s="143"/>
      <c r="S401" s="139" t="str">
        <f t="shared" si="2"/>
        <v>1101211</v>
      </c>
      <c r="T401" s="141"/>
    </row>
    <row r="402">
      <c r="A402" s="137">
        <f>IFERROR(__xludf.DUMMYFUNCTION("""COMPUTED_VALUE"""),45352.55282831019)</f>
        <v>45352.55283</v>
      </c>
      <c r="B402" s="138" t="str">
        <f>IFERROR(__xludf.DUMMYFUNCTION("""COMPUTED_VALUE"""),"Sarah Rieth")</f>
        <v>Sarah Rieth</v>
      </c>
      <c r="C402" s="138">
        <f>IFERROR(__xludf.DUMMYFUNCTION("""COMPUTED_VALUE"""),1013.0)</f>
        <v>1013</v>
      </c>
      <c r="D402" s="139">
        <f>IFERROR(__xludf.DUMMYFUNCTION("""COMPUTED_VALUE"""),212.0)</f>
        <v>212</v>
      </c>
      <c r="E402" s="138">
        <f>IFERROR(__xludf.DUMMYFUNCTION("""COMPUTED_VALUE"""),4.0)</f>
        <v>4</v>
      </c>
      <c r="F402" s="138">
        <f>IFERROR(__xludf.DUMMYFUNCTION("""COMPUTED_VALUE"""),4.0)</f>
        <v>4</v>
      </c>
      <c r="G402" s="138">
        <f>IFERROR(__xludf.DUMMYFUNCTION("""COMPUTED_VALUE"""),5.0)</f>
        <v>5</v>
      </c>
      <c r="H402" s="138">
        <f>IFERROR(__xludf.DUMMYFUNCTION("""COMPUTED_VALUE"""),3.0)</f>
        <v>3</v>
      </c>
      <c r="I402" s="138">
        <f>IFERROR(__xludf.DUMMYFUNCTION("""COMPUTED_VALUE"""),4.0)</f>
        <v>4</v>
      </c>
      <c r="J402" s="138">
        <f>IFERROR(__xludf.DUMMYFUNCTION("""COMPUTED_VALUE"""),5.0)</f>
        <v>5</v>
      </c>
      <c r="K402" s="138">
        <f>IFERROR(__xludf.DUMMYFUNCTION("""COMPUTED_VALUE"""),4.0)</f>
        <v>4</v>
      </c>
      <c r="L402" s="138">
        <v>29.0</v>
      </c>
      <c r="M402" s="140" t="str">
        <f>VLOOKUP(text(D402, "#"),'Master Table'!$A:$F, 6, FALSE)</f>
        <v>C-1</v>
      </c>
      <c r="N402" s="141" t="str">
        <f>IFERROR(__xludf.DUMMYFUNCTION("""COMPUTED_VALUE"""),"Such an important area of work - we need more reliable assessments for Spanish speakers! Consider dissemination activities beyond academic audiences (conferences and publications), if you are not already. It may be helpful to define the psychometric terms"&amp;" (internal consistency, etc.) when presenting to audiences who may or may not be familiar with assessment. ")</f>
        <v>Such an important area of work - we need more reliable assessments for Spanish speakers! Consider dissemination activities beyond academic audiences (conferences and publications), if you are not already. It may be helpful to define the psychometric terms (internal consistency, etc.) when presenting to audiences who may or may not be familiar with assessment. </v>
      </c>
      <c r="O402" s="142" t="str">
        <f t="shared" si="1"/>
        <v/>
      </c>
      <c r="P402" s="143" t="str">
        <f>IF(ISNA(VLOOKUP(CONCAT(M402,C402), 'Judge Count DO NOT EDIT'!H:H, 1, FALSE)), "ERROR","")</f>
        <v/>
      </c>
      <c r="Q402" s="141"/>
      <c r="R402" s="143"/>
      <c r="S402" s="139" t="str">
        <f t="shared" si="2"/>
        <v>1013212</v>
      </c>
      <c r="T402" s="141"/>
    </row>
    <row r="403">
      <c r="A403" s="137">
        <f>IFERROR(__xludf.DUMMYFUNCTION("""COMPUTED_VALUE"""),45352.55288959491)</f>
        <v>45352.55289</v>
      </c>
      <c r="B403" s="138" t="str">
        <f>IFERROR(__xludf.DUMMYFUNCTION("""COMPUTED_VALUE"""),"Lauren Collins")</f>
        <v>Lauren Collins</v>
      </c>
      <c r="C403" s="138">
        <f>IFERROR(__xludf.DUMMYFUNCTION("""COMPUTED_VALUE"""),1002.0)</f>
        <v>1002</v>
      </c>
      <c r="D403" s="139">
        <f>IFERROR(__xludf.DUMMYFUNCTION("""COMPUTED_VALUE"""),212.0)</f>
        <v>212</v>
      </c>
      <c r="E403" s="138">
        <f>IFERROR(__xludf.DUMMYFUNCTION("""COMPUTED_VALUE"""),5.0)</f>
        <v>5</v>
      </c>
      <c r="F403" s="138">
        <f>IFERROR(__xludf.DUMMYFUNCTION("""COMPUTED_VALUE"""),4.0)</f>
        <v>4</v>
      </c>
      <c r="G403" s="138">
        <f>IFERROR(__xludf.DUMMYFUNCTION("""COMPUTED_VALUE"""),5.0)</f>
        <v>5</v>
      </c>
      <c r="H403" s="138">
        <f>IFERROR(__xludf.DUMMYFUNCTION("""COMPUTED_VALUE"""),5.0)</f>
        <v>5</v>
      </c>
      <c r="I403" s="138">
        <f>IFERROR(__xludf.DUMMYFUNCTION("""COMPUTED_VALUE"""),5.0)</f>
        <v>5</v>
      </c>
      <c r="J403" s="138">
        <f>IFERROR(__xludf.DUMMYFUNCTION("""COMPUTED_VALUE"""),3.0)</f>
        <v>3</v>
      </c>
      <c r="K403" s="138">
        <f>IFERROR(__xludf.DUMMYFUNCTION("""COMPUTED_VALUE"""),5.0)</f>
        <v>5</v>
      </c>
      <c r="L403" s="138">
        <v>32.0</v>
      </c>
      <c r="M403" s="140" t="str">
        <f>VLOOKUP(text(D403, "#"),'Master Table'!$A:$F, 6, FALSE)</f>
        <v>C-1</v>
      </c>
      <c r="N403" s="141"/>
      <c r="O403" s="142" t="str">
        <f t="shared" si="1"/>
        <v/>
      </c>
      <c r="P403" s="143" t="str">
        <f>IF(ISNA(VLOOKUP(CONCAT(M403,C403), 'Judge Count DO NOT EDIT'!H:H, 1, FALSE)), "ERROR","")</f>
        <v/>
      </c>
      <c r="Q403" s="141"/>
      <c r="R403" s="143"/>
      <c r="S403" s="139" t="str">
        <f t="shared" si="2"/>
        <v>1002212</v>
      </c>
      <c r="T403" s="141"/>
    </row>
    <row r="404">
      <c r="A404" s="137">
        <f>IFERROR(__xludf.DUMMYFUNCTION("""COMPUTED_VALUE"""),45352.55291165509)</f>
        <v>45352.55291</v>
      </c>
      <c r="B404" s="138" t="str">
        <f>IFERROR(__xludf.DUMMYFUNCTION("""COMPUTED_VALUE"""),"Robert Vargas-Belcher")</f>
        <v>Robert Vargas-Belcher</v>
      </c>
      <c r="C404" s="138">
        <f>IFERROR(__xludf.DUMMYFUNCTION("""COMPUTED_VALUE"""),1020.0)</f>
        <v>1020</v>
      </c>
      <c r="D404" s="139">
        <f>IFERROR(__xludf.DUMMYFUNCTION("""COMPUTED_VALUE"""),212.0)</f>
        <v>212</v>
      </c>
      <c r="E404" s="138">
        <f>IFERROR(__xludf.DUMMYFUNCTION("""COMPUTED_VALUE"""),4.0)</f>
        <v>4</v>
      </c>
      <c r="F404" s="138">
        <f>IFERROR(__xludf.DUMMYFUNCTION("""COMPUTED_VALUE"""),3.0)</f>
        <v>3</v>
      </c>
      <c r="G404" s="138">
        <f>IFERROR(__xludf.DUMMYFUNCTION("""COMPUTED_VALUE"""),4.0)</f>
        <v>4</v>
      </c>
      <c r="H404" s="138">
        <f>IFERROR(__xludf.DUMMYFUNCTION("""COMPUTED_VALUE"""),3.0)</f>
        <v>3</v>
      </c>
      <c r="I404" s="138">
        <f>IFERROR(__xludf.DUMMYFUNCTION("""COMPUTED_VALUE"""),4.0)</f>
        <v>4</v>
      </c>
      <c r="J404" s="138">
        <f>IFERROR(__xludf.DUMMYFUNCTION("""COMPUTED_VALUE"""),3.0)</f>
        <v>3</v>
      </c>
      <c r="K404" s="138">
        <f>IFERROR(__xludf.DUMMYFUNCTION("""COMPUTED_VALUE"""),4.0)</f>
        <v>4</v>
      </c>
      <c r="L404" s="138">
        <v>25.0</v>
      </c>
      <c r="M404" s="140" t="str">
        <f>VLOOKUP(text(D404, "#"),'Master Table'!$A:$F, 6, FALSE)</f>
        <v>C-1</v>
      </c>
      <c r="N404" s="141" t="str">
        <f>IFERROR(__xludf.DUMMYFUNCTION("""COMPUTED_VALUE"""),"Nice presentation and data was presented very well. You can tell you passion from you presentation you interest in the topic of study. The data was present nicely in the charts but you could have elaborated little more on the data. You moved through it qu"&amp;"ickly. Perhaps looking at you whole presentation and shifting focus from background to findings. Or try and use the full amount of time you are given. ")</f>
        <v>Nice presentation and data was presented very well. You can tell you passion from you presentation you interest in the topic of study. The data was present nicely in the charts but you could have elaborated little more on the data. You moved through it quickly. Perhaps looking at you whole presentation and shifting focus from background to findings. Or try and use the full amount of time you are given. </v>
      </c>
      <c r="O404" s="142" t="str">
        <f t="shared" si="1"/>
        <v/>
      </c>
      <c r="P404" s="143" t="str">
        <f>IF(ISNA(VLOOKUP(CONCAT(M404,C404), 'Judge Count DO NOT EDIT'!H:H, 1, FALSE)), "ERROR","")</f>
        <v/>
      </c>
      <c r="Q404" s="141"/>
      <c r="R404" s="143"/>
      <c r="S404" s="139" t="str">
        <f t="shared" si="2"/>
        <v>1020212</v>
      </c>
      <c r="T404" s="141"/>
    </row>
    <row r="405">
      <c r="A405" s="137">
        <f>IFERROR(__xludf.DUMMYFUNCTION("""COMPUTED_VALUE"""),45352.57690429398)</f>
        <v>45352.5769</v>
      </c>
      <c r="B405" s="138" t="str">
        <f>IFERROR(__xludf.DUMMYFUNCTION("""COMPUTED_VALUE"""),"Jennifer Karnopp")</f>
        <v>Jennifer Karnopp</v>
      </c>
      <c r="C405" s="138">
        <f>IFERROR(__xludf.DUMMYFUNCTION("""COMPUTED_VALUE"""),1031.0)</f>
        <v>1031</v>
      </c>
      <c r="D405" s="139">
        <f>IFERROR(__xludf.DUMMYFUNCTION("""COMPUTED_VALUE"""),212.0)</f>
        <v>212</v>
      </c>
      <c r="E405" s="138">
        <f>IFERROR(__xludf.DUMMYFUNCTION("""COMPUTED_VALUE"""),4.0)</f>
        <v>4</v>
      </c>
      <c r="F405" s="138">
        <f>IFERROR(__xludf.DUMMYFUNCTION("""COMPUTED_VALUE"""),4.0)</f>
        <v>4</v>
      </c>
      <c r="G405" s="138">
        <f>IFERROR(__xludf.DUMMYFUNCTION("""COMPUTED_VALUE"""),4.0)</f>
        <v>4</v>
      </c>
      <c r="H405" s="138">
        <f>IFERROR(__xludf.DUMMYFUNCTION("""COMPUTED_VALUE"""),4.0)</f>
        <v>4</v>
      </c>
      <c r="I405" s="138">
        <f>IFERROR(__xludf.DUMMYFUNCTION("""COMPUTED_VALUE"""),4.0)</f>
        <v>4</v>
      </c>
      <c r="J405" s="138">
        <f>IFERROR(__xludf.DUMMYFUNCTION("""COMPUTED_VALUE"""),4.0)</f>
        <v>4</v>
      </c>
      <c r="K405" s="138">
        <f>IFERROR(__xludf.DUMMYFUNCTION("""COMPUTED_VALUE"""),4.0)</f>
        <v>4</v>
      </c>
      <c r="L405" s="138">
        <v>28.0</v>
      </c>
      <c r="M405" s="140" t="str">
        <f>VLOOKUP(text(D405, "#"),'Master Table'!$A:$F, 6, FALSE)</f>
        <v>C-1</v>
      </c>
      <c r="N405" s="141" t="str">
        <f>IFERROR(__xludf.DUMMYFUNCTION("""COMPUTED_VALUE"""),"Diego had excellent presence and pacing during his presentation. The slides were clear and visually appealing. I particularly appreciated the inclusion of citations and the way he mixed English and Spanish words in the explanation of vocabulary prompts. T"&amp;"he research is interesting, and based on the background information provided, novel and important. He answered questions fully and with confidence. Well done!")</f>
        <v>Diego had excellent presence and pacing during his presentation. The slides were clear and visually appealing. I particularly appreciated the inclusion of citations and the way he mixed English and Spanish words in the explanation of vocabulary prompts. The research is interesting, and based on the background information provided, novel and important. He answered questions fully and with confidence. Well done!</v>
      </c>
      <c r="O405" s="142" t="str">
        <f t="shared" si="1"/>
        <v/>
      </c>
      <c r="P405" s="143" t="str">
        <f>IF(ISNA(VLOOKUP(CONCAT(M405,C405), 'Judge Count DO NOT EDIT'!H:H, 1, FALSE)), "ERROR","")</f>
        <v/>
      </c>
      <c r="Q405" s="141"/>
      <c r="R405" s="143"/>
      <c r="S405" s="139" t="str">
        <f t="shared" si="2"/>
        <v>1031212</v>
      </c>
      <c r="T405" s="141"/>
    </row>
    <row r="406">
      <c r="A406" s="137">
        <f>IFERROR(__xludf.DUMMYFUNCTION("""COMPUTED_VALUE"""),45352.56322609953)</f>
        <v>45352.56323</v>
      </c>
      <c r="B406" s="138" t="str">
        <f>IFERROR(__xludf.DUMMYFUNCTION("""COMPUTED_VALUE"""),"Lauren Collins")</f>
        <v>Lauren Collins</v>
      </c>
      <c r="C406" s="138">
        <f>IFERROR(__xludf.DUMMYFUNCTION("""COMPUTED_VALUE"""),1002.0)</f>
        <v>1002</v>
      </c>
      <c r="D406" s="139">
        <f>IFERROR(__xludf.DUMMYFUNCTION("""COMPUTED_VALUE"""),213.0)</f>
        <v>213</v>
      </c>
      <c r="E406" s="138">
        <f>IFERROR(__xludf.DUMMYFUNCTION("""COMPUTED_VALUE"""),5.0)</f>
        <v>5</v>
      </c>
      <c r="F406" s="138">
        <f>IFERROR(__xludf.DUMMYFUNCTION("""COMPUTED_VALUE"""),5.0)</f>
        <v>5</v>
      </c>
      <c r="G406" s="138">
        <f>IFERROR(__xludf.DUMMYFUNCTION("""COMPUTED_VALUE"""),5.0)</f>
        <v>5</v>
      </c>
      <c r="H406" s="138">
        <f>IFERROR(__xludf.DUMMYFUNCTION("""COMPUTED_VALUE"""),2.0)</f>
        <v>2</v>
      </c>
      <c r="I406" s="138">
        <f>IFERROR(__xludf.DUMMYFUNCTION("""COMPUTED_VALUE"""),5.0)</f>
        <v>5</v>
      </c>
      <c r="J406" s="138">
        <f>IFERROR(__xludf.DUMMYFUNCTION("""COMPUTED_VALUE"""),5.0)</f>
        <v>5</v>
      </c>
      <c r="K406" s="138">
        <f>IFERROR(__xludf.DUMMYFUNCTION("""COMPUTED_VALUE"""),5.0)</f>
        <v>5</v>
      </c>
      <c r="L406" s="138">
        <v>32.0</v>
      </c>
      <c r="M406" s="140" t="str">
        <f>VLOOKUP(text(D406, "#"),'Master Table'!$A:$F, 6, FALSE)</f>
        <v>C-1</v>
      </c>
      <c r="N406" s="141"/>
      <c r="O406" s="142" t="str">
        <f t="shared" si="1"/>
        <v/>
      </c>
      <c r="P406" s="143" t="str">
        <f>IF(ISNA(VLOOKUP(CONCAT(M406,C406), 'Judge Count DO NOT EDIT'!H:H, 1, FALSE)), "ERROR","")</f>
        <v/>
      </c>
      <c r="Q406" s="141"/>
      <c r="R406" s="143"/>
      <c r="S406" s="139" t="str">
        <f t="shared" si="2"/>
        <v>1002213</v>
      </c>
      <c r="T406" s="141"/>
    </row>
    <row r="407">
      <c r="A407" s="137">
        <f>IFERROR(__xludf.DUMMYFUNCTION("""COMPUTED_VALUE"""),45352.56463572917)</f>
        <v>45352.56464</v>
      </c>
      <c r="B407" s="138" t="str">
        <f>IFERROR(__xludf.DUMMYFUNCTION("""COMPUTED_VALUE"""),"Robert Vargas-Belcher")</f>
        <v>Robert Vargas-Belcher</v>
      </c>
      <c r="C407" s="138">
        <f>IFERROR(__xludf.DUMMYFUNCTION("""COMPUTED_VALUE"""),1020.0)</f>
        <v>1020</v>
      </c>
      <c r="D407" s="139">
        <f>IFERROR(__xludf.DUMMYFUNCTION("""COMPUTED_VALUE"""),213.0)</f>
        <v>213</v>
      </c>
      <c r="E407" s="138">
        <f>IFERROR(__xludf.DUMMYFUNCTION("""COMPUTED_VALUE"""),3.0)</f>
        <v>3</v>
      </c>
      <c r="F407" s="138">
        <f>IFERROR(__xludf.DUMMYFUNCTION("""COMPUTED_VALUE"""),4.0)</f>
        <v>4</v>
      </c>
      <c r="G407" s="138">
        <f>IFERROR(__xludf.DUMMYFUNCTION("""COMPUTED_VALUE"""),4.0)</f>
        <v>4</v>
      </c>
      <c r="H407" s="138">
        <f>IFERROR(__xludf.DUMMYFUNCTION("""COMPUTED_VALUE"""),3.0)</f>
        <v>3</v>
      </c>
      <c r="I407" s="138">
        <f>IFERROR(__xludf.DUMMYFUNCTION("""COMPUTED_VALUE"""),3.0)</f>
        <v>3</v>
      </c>
      <c r="J407" s="138">
        <f>IFERROR(__xludf.DUMMYFUNCTION("""COMPUTED_VALUE"""),3.0)</f>
        <v>3</v>
      </c>
      <c r="K407" s="138">
        <f>IFERROR(__xludf.DUMMYFUNCTION("""COMPUTED_VALUE"""),4.0)</f>
        <v>4</v>
      </c>
      <c r="L407" s="138">
        <v>24.0</v>
      </c>
      <c r="M407" s="140" t="str">
        <f>VLOOKUP(text(D407, "#"),'Master Table'!$A:$F, 6, FALSE)</f>
        <v>C-1</v>
      </c>
      <c r="N407" s="141" t="str">
        <f>IFERROR(__xludf.DUMMYFUNCTION("""COMPUTED_VALUE"""),"Good Presentation. It is clear you passion for this topic and I would strongly encourage you to continue your focus on this subject matter. Thank you. Make sure you are referencing the data that you are drawing you background information from. If you don'"&amp;"t it looks like you are just drawing these points in your opinion. It would have been nice to see visual with some of the date you mentioned regarding demographics. Still a little unclear on how you made you final conclusions. Make sure to check for spell"&amp;"ing errors on your slides.")</f>
        <v>Good Presentation. It is clear you passion for this topic and I would strongly encourage you to continue your focus on this subject matter. Thank you. Make sure you are referencing the data that you are drawing you background information from. If you don't it looks like you are just drawing these points in your opinion. It would have been nice to see visual with some of the date you mentioned regarding demographics. Still a little unclear on how you made you final conclusions. Make sure to check for spelling errors on your slides.</v>
      </c>
      <c r="O407" s="142" t="str">
        <f t="shared" si="1"/>
        <v/>
      </c>
      <c r="P407" s="143" t="str">
        <f>IF(ISNA(VLOOKUP(CONCAT(M407,C407), 'Judge Count DO NOT EDIT'!H:H, 1, FALSE)), "ERROR","")</f>
        <v/>
      </c>
      <c r="Q407" s="141"/>
      <c r="R407" s="143"/>
      <c r="S407" s="139" t="str">
        <f t="shared" si="2"/>
        <v>1020213</v>
      </c>
      <c r="T407" s="141"/>
    </row>
    <row r="408">
      <c r="A408" s="137">
        <f>IFERROR(__xludf.DUMMYFUNCTION("""COMPUTED_VALUE"""),45352.56502642361)</f>
        <v>45352.56503</v>
      </c>
      <c r="B408" s="138" t="str">
        <f>IFERROR(__xludf.DUMMYFUNCTION("""COMPUTED_VALUE"""),"Sarah Rieth")</f>
        <v>Sarah Rieth</v>
      </c>
      <c r="C408" s="138">
        <f>IFERROR(__xludf.DUMMYFUNCTION("""COMPUTED_VALUE"""),1013.0)</f>
        <v>1013</v>
      </c>
      <c r="D408" s="139">
        <f>IFERROR(__xludf.DUMMYFUNCTION("""COMPUTED_VALUE"""),213.0)</f>
        <v>213</v>
      </c>
      <c r="E408" s="138">
        <f>IFERROR(__xludf.DUMMYFUNCTION("""COMPUTED_VALUE"""),2.0)</f>
        <v>2</v>
      </c>
      <c r="F408" s="138">
        <f>IFERROR(__xludf.DUMMYFUNCTION("""COMPUTED_VALUE"""),3.0)</f>
        <v>3</v>
      </c>
      <c r="G408" s="138">
        <f>IFERROR(__xludf.DUMMYFUNCTION("""COMPUTED_VALUE"""),3.0)</f>
        <v>3</v>
      </c>
      <c r="H408" s="138">
        <f>IFERROR(__xludf.DUMMYFUNCTION("""COMPUTED_VALUE"""),1.0)</f>
        <v>1</v>
      </c>
      <c r="I408" s="138">
        <f>IFERROR(__xludf.DUMMYFUNCTION("""COMPUTED_VALUE"""),3.0)</f>
        <v>3</v>
      </c>
      <c r="J408" s="138">
        <f>IFERROR(__xludf.DUMMYFUNCTION("""COMPUTED_VALUE"""),3.0)</f>
        <v>3</v>
      </c>
      <c r="K408" s="138">
        <f>IFERROR(__xludf.DUMMYFUNCTION("""COMPUTED_VALUE"""),4.0)</f>
        <v>4</v>
      </c>
      <c r="L408" s="138">
        <v>19.0</v>
      </c>
      <c r="M408" s="140" t="str">
        <f>VLOOKUP(text(D408, "#"),'Master Table'!$A:$F, 6, FALSE)</f>
        <v>C-1</v>
      </c>
      <c r="N408" s="141" t="str">
        <f>IFERROR(__xludf.DUMMYFUNCTION("""COMPUTED_VALUE"""),"I appreciated you sharing your personal connection to the topic and your highlighting of the differences between the traditional American narrative regarding conflict in Colombia and the facts in the country. You have clearly delved deeply into this topic"&amp;" and your knowledge and passion are clear. It may be helpful to provide an explicit picture of your overall thesis or argument at the beginning of the presentation, and/or a roadmap of the topics you plan to cover in the talk and briefly how they connect."&amp;" You covered so much important and complex content, and a bit more priming in terms of the structure and methods may help to communicate it more clearly.")</f>
        <v>I appreciated you sharing your personal connection to the topic and your highlighting of the differences between the traditional American narrative regarding conflict in Colombia and the facts in the country. You have clearly delved deeply into this topic and your knowledge and passion are clear. It may be helpful to provide an explicit picture of your overall thesis or argument at the beginning of the presentation, and/or a roadmap of the topics you plan to cover in the talk and briefly how they connect. You covered so much important and complex content, and a bit more priming in terms of the structure and methods may help to communicate it more clearly.</v>
      </c>
      <c r="O408" s="142" t="str">
        <f t="shared" si="1"/>
        <v/>
      </c>
      <c r="P408" s="143" t="str">
        <f>IF(ISNA(VLOOKUP(CONCAT(M408,C408), 'Judge Count DO NOT EDIT'!H:H, 1, FALSE)), "ERROR","")</f>
        <v/>
      </c>
      <c r="Q408" s="141"/>
      <c r="R408" s="143"/>
      <c r="S408" s="139" t="str">
        <f t="shared" si="2"/>
        <v>1013213</v>
      </c>
      <c r="T408" s="141"/>
    </row>
    <row r="409">
      <c r="A409" s="137">
        <f>IFERROR(__xludf.DUMMYFUNCTION("""COMPUTED_VALUE"""),45352.584902187504)</f>
        <v>45352.5849</v>
      </c>
      <c r="B409" s="138" t="str">
        <f>IFERROR(__xludf.DUMMYFUNCTION("""COMPUTED_VALUE"""),"Jennifer Karnopp")</f>
        <v>Jennifer Karnopp</v>
      </c>
      <c r="C409" s="138">
        <f>IFERROR(__xludf.DUMMYFUNCTION("""COMPUTED_VALUE"""),1031.0)</f>
        <v>1031</v>
      </c>
      <c r="D409" s="139">
        <f>IFERROR(__xludf.DUMMYFUNCTION("""COMPUTED_VALUE"""),213.0)</f>
        <v>213</v>
      </c>
      <c r="E409" s="138">
        <f>IFERROR(__xludf.DUMMYFUNCTION("""COMPUTED_VALUE"""),4.0)</f>
        <v>4</v>
      </c>
      <c r="F409" s="138">
        <f>IFERROR(__xludf.DUMMYFUNCTION("""COMPUTED_VALUE"""),4.0)</f>
        <v>4</v>
      </c>
      <c r="G409" s="138">
        <f>IFERROR(__xludf.DUMMYFUNCTION("""COMPUTED_VALUE"""),4.0)</f>
        <v>4</v>
      </c>
      <c r="H409" s="138">
        <f>IFERROR(__xludf.DUMMYFUNCTION("""COMPUTED_VALUE"""),1.0)</f>
        <v>1</v>
      </c>
      <c r="I409" s="138">
        <f>IFERROR(__xludf.DUMMYFUNCTION("""COMPUTED_VALUE"""),2.0)</f>
        <v>2</v>
      </c>
      <c r="J409" s="138">
        <f>IFERROR(__xludf.DUMMYFUNCTION("""COMPUTED_VALUE"""),4.0)</f>
        <v>4</v>
      </c>
      <c r="K409" s="138">
        <f>IFERROR(__xludf.DUMMYFUNCTION("""COMPUTED_VALUE"""),3.0)</f>
        <v>3</v>
      </c>
      <c r="L409" s="138">
        <v>22.0</v>
      </c>
      <c r="M409" s="140" t="str">
        <f>VLOOKUP(text(D409, "#"),'Master Table'!$A:$F, 6, FALSE)</f>
        <v>C-1</v>
      </c>
      <c r="N409" s="141" t="str">
        <f>IFERROR(__xludf.DUMMYFUNCTION("""COMPUTED_VALUE"""),"Max demonstrated clear passion for his topic. His presentation did a nice job of providing context and background information. Citations would add credibility. What didn’t come through was the research methods/process that informed the conclusion he descr"&amp;"ibed, although he was able to talk about methods when asked in the Q&amp;A. Kudos to Max for presenting when feeling under the weather, but more energy, eye contact and clearer enunciation would improve the presentation. The topic is novel and more research i"&amp;"s clearly needed to fully understand what is happening and what needs to be done to support the people of Columbia.")</f>
        <v>Max demonstrated clear passion for his topic. His presentation did a nice job of providing context and background information. Citations would add credibility. What didn’t come through was the research methods/process that informed the conclusion he described, although he was able to talk about methods when asked in the Q&amp;A. Kudos to Max for presenting when feeling under the weather, but more energy, eye contact and clearer enunciation would improve the presentation. The topic is novel and more research is clearly needed to fully understand what is happening and what needs to be done to support the people of Columbia.</v>
      </c>
      <c r="O409" s="142" t="str">
        <f t="shared" si="1"/>
        <v/>
      </c>
      <c r="P409" s="143" t="str">
        <f>IF(ISNA(VLOOKUP(CONCAT(M409,C409), 'Judge Count DO NOT EDIT'!H:H, 1, FALSE)), "ERROR","")</f>
        <v/>
      </c>
      <c r="Q409" s="141"/>
      <c r="R409" s="143"/>
      <c r="S409" s="139" t="str">
        <f t="shared" si="2"/>
        <v>1031213</v>
      </c>
      <c r="T409" s="141"/>
    </row>
    <row r="410">
      <c r="A410" s="137">
        <f>IFERROR(__xludf.DUMMYFUNCTION("""COMPUTED_VALUE"""),45352.59613355324)</f>
        <v>45352.59613</v>
      </c>
      <c r="B410" s="138" t="str">
        <f>IFERROR(__xludf.DUMMYFUNCTION("""COMPUTED_VALUE"""),"Sarah")</f>
        <v>Sarah</v>
      </c>
      <c r="C410" s="138">
        <f>IFERROR(__xludf.DUMMYFUNCTION("""COMPUTED_VALUE"""),1013.0)</f>
        <v>1013</v>
      </c>
      <c r="D410" s="139">
        <f>IFERROR(__xludf.DUMMYFUNCTION("""COMPUTED_VALUE"""),215.0)</f>
        <v>215</v>
      </c>
      <c r="E410" s="138">
        <f>IFERROR(__xludf.DUMMYFUNCTION("""COMPUTED_VALUE"""),3.0)</f>
        <v>3</v>
      </c>
      <c r="F410" s="138">
        <f>IFERROR(__xludf.DUMMYFUNCTION("""COMPUTED_VALUE"""),3.0)</f>
        <v>3</v>
      </c>
      <c r="G410" s="138">
        <f>IFERROR(__xludf.DUMMYFUNCTION("""COMPUTED_VALUE"""),3.0)</f>
        <v>3</v>
      </c>
      <c r="H410" s="138">
        <f>IFERROR(__xludf.DUMMYFUNCTION("""COMPUTED_VALUE"""),4.0)</f>
        <v>4</v>
      </c>
      <c r="I410" s="138">
        <f>IFERROR(__xludf.DUMMYFUNCTION("""COMPUTED_VALUE"""),4.0)</f>
        <v>4</v>
      </c>
      <c r="J410" s="138">
        <f>IFERROR(__xludf.DUMMYFUNCTION("""COMPUTED_VALUE"""),3.0)</f>
        <v>3</v>
      </c>
      <c r="K410" s="138">
        <f>IFERROR(__xludf.DUMMYFUNCTION("""COMPUTED_VALUE"""),4.0)</f>
        <v>4</v>
      </c>
      <c r="L410" s="138">
        <v>24.0</v>
      </c>
      <c r="M410" s="140" t="str">
        <f>VLOOKUP(text(D410, "#"),'Master Table'!$A:$F, 6, FALSE)</f>
        <v>C-1</v>
      </c>
      <c r="N410" s="141" t="str">
        <f>IFERROR(__xludf.DUMMYFUNCTION("""COMPUTED_VALUE"""),"Strong situating of the 'mini project' within the larger effort - it was very helpful in understanding your goal. The description of your methods was clear - I particularly appreciated the clear specification of the question in lay terms and when you made"&amp;" more informal statements regarding your content. ")</f>
        <v>Strong situating of the 'mini project' within the larger effort - it was very helpful in understanding your goal. The description of your methods was clear - I particularly appreciated the clear specification of the question in lay terms and when you made more informal statements regarding your content. </v>
      </c>
      <c r="O410" s="142" t="str">
        <f t="shared" si="1"/>
        <v/>
      </c>
      <c r="P410" s="143" t="str">
        <f>IF(ISNA(VLOOKUP(CONCAT(M410,C410), 'Judge Count DO NOT EDIT'!H:H, 1, FALSE)), "ERROR","")</f>
        <v/>
      </c>
      <c r="Q410" s="141"/>
      <c r="R410" s="143"/>
      <c r="S410" s="139" t="str">
        <f t="shared" si="2"/>
        <v>1013215</v>
      </c>
      <c r="T410" s="141"/>
    </row>
    <row r="411">
      <c r="A411" s="137">
        <f>IFERROR(__xludf.DUMMYFUNCTION("""COMPUTED_VALUE"""),45352.596221898144)</f>
        <v>45352.59622</v>
      </c>
      <c r="B411" s="138" t="str">
        <f>IFERROR(__xludf.DUMMYFUNCTION("""COMPUTED_VALUE"""),"Robert Vargas-Belcher")</f>
        <v>Robert Vargas-Belcher</v>
      </c>
      <c r="C411" s="138">
        <f>IFERROR(__xludf.DUMMYFUNCTION("""COMPUTED_VALUE"""),1020.0)</f>
        <v>1020</v>
      </c>
      <c r="D411" s="139">
        <f>IFERROR(__xludf.DUMMYFUNCTION("""COMPUTED_VALUE"""),215.0)</f>
        <v>215</v>
      </c>
      <c r="E411" s="138">
        <f>IFERROR(__xludf.DUMMYFUNCTION("""COMPUTED_VALUE"""),4.0)</f>
        <v>4</v>
      </c>
      <c r="F411" s="138">
        <f>IFERROR(__xludf.DUMMYFUNCTION("""COMPUTED_VALUE"""),4.0)</f>
        <v>4</v>
      </c>
      <c r="G411" s="138">
        <f>IFERROR(__xludf.DUMMYFUNCTION("""COMPUTED_VALUE"""),3.0)</f>
        <v>3</v>
      </c>
      <c r="H411" s="138">
        <f>IFERROR(__xludf.DUMMYFUNCTION("""COMPUTED_VALUE"""),3.0)</f>
        <v>3</v>
      </c>
      <c r="I411" s="138">
        <f>IFERROR(__xludf.DUMMYFUNCTION("""COMPUTED_VALUE"""),4.0)</f>
        <v>4</v>
      </c>
      <c r="J411" s="138">
        <f>IFERROR(__xludf.DUMMYFUNCTION("""COMPUTED_VALUE"""),4.0)</f>
        <v>4</v>
      </c>
      <c r="K411" s="138">
        <f>IFERROR(__xludf.DUMMYFUNCTION("""COMPUTED_VALUE"""),4.0)</f>
        <v>4</v>
      </c>
      <c r="L411" s="138">
        <v>26.0</v>
      </c>
      <c r="M411" s="140" t="str">
        <f>VLOOKUP(text(D411, "#"),'Master Table'!$A:$F, 6, FALSE)</f>
        <v>C-1</v>
      </c>
      <c r="N411" s="141" t="str">
        <f>IFERROR(__xludf.DUMMYFUNCTION("""COMPUTED_VALUE"""),"Very good presentation. Your background premises for the presentation laid out very nicely. Laid out method clearly. Even with you preliminary data you drew logical and clear conclusions. Thank you for sharing your experiences with us. ")</f>
        <v>Very good presentation. Your background premises for the presentation laid out very nicely. Laid out method clearly. Even with you preliminary data you drew logical and clear conclusions. Thank you for sharing your experiences with us. </v>
      </c>
      <c r="O411" s="142" t="str">
        <f t="shared" si="1"/>
        <v/>
      </c>
      <c r="P411" s="143" t="str">
        <f>IF(ISNA(VLOOKUP(CONCAT(M411,C411), 'Judge Count DO NOT EDIT'!H:H, 1, FALSE)), "ERROR","")</f>
        <v/>
      </c>
      <c r="Q411" s="144"/>
      <c r="R411" s="143"/>
      <c r="S411" s="139" t="str">
        <f t="shared" si="2"/>
        <v>1020215</v>
      </c>
      <c r="T411" s="141"/>
    </row>
    <row r="412">
      <c r="A412" s="137">
        <f>IFERROR(__xludf.DUMMYFUNCTION("""COMPUTED_VALUE"""),45352.5980621412)</f>
        <v>45352.59806</v>
      </c>
      <c r="B412" s="138" t="str">
        <f>IFERROR(__xludf.DUMMYFUNCTION("""COMPUTED_VALUE"""),"Lauren Collins")</f>
        <v>Lauren Collins</v>
      </c>
      <c r="C412" s="138">
        <f>IFERROR(__xludf.DUMMYFUNCTION("""COMPUTED_VALUE"""),1002.0)</f>
        <v>1002</v>
      </c>
      <c r="D412" s="139">
        <f>IFERROR(__xludf.DUMMYFUNCTION("""COMPUTED_VALUE"""),215.0)</f>
        <v>215</v>
      </c>
      <c r="E412" s="138">
        <f>IFERROR(__xludf.DUMMYFUNCTION("""COMPUTED_VALUE"""),5.0)</f>
        <v>5</v>
      </c>
      <c r="F412" s="138">
        <f>IFERROR(__xludf.DUMMYFUNCTION("""COMPUTED_VALUE"""),5.0)</f>
        <v>5</v>
      </c>
      <c r="G412" s="138">
        <f>IFERROR(__xludf.DUMMYFUNCTION("""COMPUTED_VALUE"""),5.0)</f>
        <v>5</v>
      </c>
      <c r="H412" s="138">
        <f>IFERROR(__xludf.DUMMYFUNCTION("""COMPUTED_VALUE"""),5.0)</f>
        <v>5</v>
      </c>
      <c r="I412" s="138">
        <f>IFERROR(__xludf.DUMMYFUNCTION("""COMPUTED_VALUE"""),5.0)</f>
        <v>5</v>
      </c>
      <c r="J412" s="138">
        <f>IFERROR(__xludf.DUMMYFUNCTION("""COMPUTED_VALUE"""),5.0)</f>
        <v>5</v>
      </c>
      <c r="K412" s="138">
        <f>IFERROR(__xludf.DUMMYFUNCTION("""COMPUTED_VALUE"""),5.0)</f>
        <v>5</v>
      </c>
      <c r="L412" s="138">
        <v>35.0</v>
      </c>
      <c r="M412" s="140" t="str">
        <f>VLOOKUP(text(D412, "#"),'Master Table'!$A:$F, 6, FALSE)</f>
        <v>C-1</v>
      </c>
      <c r="N412" s="141"/>
      <c r="O412" s="142" t="str">
        <f t="shared" si="1"/>
        <v/>
      </c>
      <c r="P412" s="143" t="str">
        <f>IF(ISNA(VLOOKUP(CONCAT(M412,C412), 'Judge Count DO NOT EDIT'!H:H, 1, FALSE)), "ERROR","")</f>
        <v/>
      </c>
      <c r="Q412" s="144"/>
      <c r="R412" s="143"/>
      <c r="S412" s="139" t="str">
        <f t="shared" si="2"/>
        <v>1002215</v>
      </c>
      <c r="T412" s="141"/>
    </row>
    <row r="413">
      <c r="A413" s="137">
        <f>IFERROR(__xludf.DUMMYFUNCTION("""COMPUTED_VALUE"""),45352.61448296296)</f>
        <v>45352.61448</v>
      </c>
      <c r="B413" s="138" t="str">
        <f>IFERROR(__xludf.DUMMYFUNCTION("""COMPUTED_VALUE"""),"Jennifer Karnopp")</f>
        <v>Jennifer Karnopp</v>
      </c>
      <c r="C413" s="138">
        <f>IFERROR(__xludf.DUMMYFUNCTION("""COMPUTED_VALUE"""),1031.0)</f>
        <v>1031</v>
      </c>
      <c r="D413" s="139">
        <f>IFERROR(__xludf.DUMMYFUNCTION("""COMPUTED_VALUE"""),215.0)</f>
        <v>215</v>
      </c>
      <c r="E413" s="138">
        <f>IFERROR(__xludf.DUMMYFUNCTION("""COMPUTED_VALUE"""),4.0)</f>
        <v>4</v>
      </c>
      <c r="F413" s="138">
        <f>IFERROR(__xludf.DUMMYFUNCTION("""COMPUTED_VALUE"""),4.0)</f>
        <v>4</v>
      </c>
      <c r="G413" s="138">
        <f>IFERROR(__xludf.DUMMYFUNCTION("""COMPUTED_VALUE"""),4.0)</f>
        <v>4</v>
      </c>
      <c r="H413" s="138">
        <f>IFERROR(__xludf.DUMMYFUNCTION("""COMPUTED_VALUE"""),5.0)</f>
        <v>5</v>
      </c>
      <c r="I413" s="138">
        <f>IFERROR(__xludf.DUMMYFUNCTION("""COMPUTED_VALUE"""),4.0)</f>
        <v>4</v>
      </c>
      <c r="J413" s="138">
        <f>IFERROR(__xludf.DUMMYFUNCTION("""COMPUTED_VALUE"""),4.0)</f>
        <v>4</v>
      </c>
      <c r="K413" s="138">
        <f>IFERROR(__xludf.DUMMYFUNCTION("""COMPUTED_VALUE"""),4.0)</f>
        <v>4</v>
      </c>
      <c r="L413" s="138">
        <v>29.0</v>
      </c>
      <c r="M413" s="140" t="str">
        <f>VLOOKUP(text(D413, "#"),'Master Table'!$A:$F, 6, FALSE)</f>
        <v>C-1</v>
      </c>
      <c r="N413" s="141" t="str">
        <f>IFERROR(__xludf.DUMMYFUNCTION("""COMPUTED_VALUE"""),"Matthew did a phenomenal job communicating his research via the photos he chose to include, the information provided in the slides and the oral presentation. The photos in particular were not only compelling, but with Matthew’s explanations, they deepened"&amp;" the audience understanding of context. I recommend he include the year of publication in slide citations. I really appreciated the detailed methods, particularly related to data collection. He also did an excellent job answering questions with clarity an"&amp;"d confidence.")</f>
        <v>Matthew did a phenomenal job communicating his research via the photos he chose to include, the information provided in the slides and the oral presentation. The photos in particular were not only compelling, but with Matthew’s explanations, they deepened the audience understanding of context. I recommend he include the year of publication in slide citations. I really appreciated the detailed methods, particularly related to data collection. He also did an excellent job answering questions with clarity and confidence.</v>
      </c>
      <c r="O413" s="142" t="str">
        <f t="shared" si="1"/>
        <v/>
      </c>
      <c r="P413" s="143" t="str">
        <f>IF(ISNA(VLOOKUP(CONCAT(M413,C413), 'Judge Count DO NOT EDIT'!H:H, 1, FALSE)), "ERROR","")</f>
        <v/>
      </c>
      <c r="Q413" s="141"/>
      <c r="R413" s="143"/>
      <c r="S413" s="139" t="str">
        <f t="shared" si="2"/>
        <v>1031215</v>
      </c>
      <c r="T413" s="141"/>
    </row>
    <row r="414">
      <c r="A414" s="137">
        <f>IFERROR(__xludf.DUMMYFUNCTION("""COMPUTED_VALUE"""),45352.60911715278)</f>
        <v>45352.60912</v>
      </c>
      <c r="B414" s="138" t="str">
        <f>IFERROR(__xludf.DUMMYFUNCTION("""COMPUTED_VALUE"""),"Lauren Collins")</f>
        <v>Lauren Collins</v>
      </c>
      <c r="C414" s="138">
        <f>IFERROR(__xludf.DUMMYFUNCTION("""COMPUTED_VALUE"""),1002.0)</f>
        <v>1002</v>
      </c>
      <c r="D414" s="139">
        <f>IFERROR(__xludf.DUMMYFUNCTION("""COMPUTED_VALUE"""),216.0)</f>
        <v>216</v>
      </c>
      <c r="E414" s="138">
        <f>IFERROR(__xludf.DUMMYFUNCTION("""COMPUTED_VALUE"""),5.0)</f>
        <v>5</v>
      </c>
      <c r="F414" s="138">
        <f>IFERROR(__xludf.DUMMYFUNCTION("""COMPUTED_VALUE"""),5.0)</f>
        <v>5</v>
      </c>
      <c r="G414" s="138">
        <f>IFERROR(__xludf.DUMMYFUNCTION("""COMPUTED_VALUE"""),5.0)</f>
        <v>5</v>
      </c>
      <c r="H414" s="138">
        <f>IFERROR(__xludf.DUMMYFUNCTION("""COMPUTED_VALUE"""),5.0)</f>
        <v>5</v>
      </c>
      <c r="I414" s="138">
        <f>IFERROR(__xludf.DUMMYFUNCTION("""COMPUTED_VALUE"""),5.0)</f>
        <v>5</v>
      </c>
      <c r="J414" s="138">
        <f>IFERROR(__xludf.DUMMYFUNCTION("""COMPUTED_VALUE"""),5.0)</f>
        <v>5</v>
      </c>
      <c r="K414" s="138">
        <f>IFERROR(__xludf.DUMMYFUNCTION("""COMPUTED_VALUE"""),5.0)</f>
        <v>5</v>
      </c>
      <c r="L414" s="138">
        <v>35.0</v>
      </c>
      <c r="M414" s="140" t="str">
        <f>VLOOKUP(text(D414, "#"),'Master Table'!$A:$F, 6, FALSE)</f>
        <v>C-1</v>
      </c>
      <c r="N414" s="141" t="str">
        <f>IFERROR(__xludf.DUMMYFUNCTION("""COMPUTED_VALUE"""),"Fantastic presentation. Best of luck with your project!")</f>
        <v>Fantastic presentation. Best of luck with your project!</v>
      </c>
      <c r="O414" s="142" t="str">
        <f t="shared" si="1"/>
        <v/>
      </c>
      <c r="P414" s="143" t="str">
        <f>IF(ISNA(VLOOKUP(CONCAT(M414,C414), 'Judge Count DO NOT EDIT'!H:H, 1, FALSE)), "ERROR","")</f>
        <v/>
      </c>
      <c r="Q414" s="141"/>
      <c r="R414" s="143"/>
      <c r="S414" s="139" t="str">
        <f t="shared" si="2"/>
        <v>1002216</v>
      </c>
      <c r="T414" s="141"/>
    </row>
    <row r="415">
      <c r="A415" s="137">
        <f>IFERROR(__xludf.DUMMYFUNCTION("""COMPUTED_VALUE"""),45352.611542326384)</f>
        <v>45352.61154</v>
      </c>
      <c r="B415" s="138" t="str">
        <f>IFERROR(__xludf.DUMMYFUNCTION("""COMPUTED_VALUE"""),"Sarah")</f>
        <v>Sarah</v>
      </c>
      <c r="C415" s="138">
        <f>IFERROR(__xludf.DUMMYFUNCTION("""COMPUTED_VALUE"""),1013.0)</f>
        <v>1013</v>
      </c>
      <c r="D415" s="139">
        <f>IFERROR(__xludf.DUMMYFUNCTION("""COMPUTED_VALUE"""),216.0)</f>
        <v>216</v>
      </c>
      <c r="E415" s="138">
        <f>IFERROR(__xludf.DUMMYFUNCTION("""COMPUTED_VALUE"""),4.0)</f>
        <v>4</v>
      </c>
      <c r="F415" s="138">
        <f>IFERROR(__xludf.DUMMYFUNCTION("""COMPUTED_VALUE"""),5.0)</f>
        <v>5</v>
      </c>
      <c r="G415" s="138">
        <f>IFERROR(__xludf.DUMMYFUNCTION("""COMPUTED_VALUE"""),5.0)</f>
        <v>5</v>
      </c>
      <c r="H415" s="138">
        <f>IFERROR(__xludf.DUMMYFUNCTION("""COMPUTED_VALUE"""),4.0)</f>
        <v>4</v>
      </c>
      <c r="I415" s="138">
        <f>IFERROR(__xludf.DUMMYFUNCTION("""COMPUTED_VALUE"""),3.0)</f>
        <v>3</v>
      </c>
      <c r="J415" s="138">
        <f>IFERROR(__xludf.DUMMYFUNCTION("""COMPUTED_VALUE"""),4.0)</f>
        <v>4</v>
      </c>
      <c r="K415" s="138">
        <f>IFERROR(__xludf.DUMMYFUNCTION("""COMPUTED_VALUE"""),4.0)</f>
        <v>4</v>
      </c>
      <c r="L415" s="138">
        <v>29.0</v>
      </c>
      <c r="M415" s="140" t="str">
        <f>VLOOKUP(text(D415, "#"),'Master Table'!$A:$F, 6, FALSE)</f>
        <v>C-1</v>
      </c>
      <c r="N415" s="141" t="str">
        <f>IFERROR(__xludf.DUMMYFUNCTION("""COMPUTED_VALUE"""),"What a wonderful presentation and important topic. I appreciated the clear structuring of themes in reviewing the literature; your thorough exploration of this complex topic was clear from your review of the content. Great job including dissemination in t"&amp;"he conceptualization of the methodology, and in situating your approach within the global context of talking circles. ")</f>
        <v>What a wonderful presentation and important topic. I appreciated the clear structuring of themes in reviewing the literature; your thorough exploration of this complex topic was clear from your review of the content. Great job including dissemination in the conceptualization of the methodology, and in situating your approach within the global context of talking circles. </v>
      </c>
      <c r="O415" s="142" t="str">
        <f t="shared" si="1"/>
        <v/>
      </c>
      <c r="P415" s="143" t="str">
        <f>IF(ISNA(VLOOKUP(CONCAT(M415,C415), 'Judge Count DO NOT EDIT'!H:H, 1, FALSE)), "ERROR","")</f>
        <v/>
      </c>
      <c r="Q415" s="141"/>
      <c r="R415" s="143"/>
      <c r="S415" s="139" t="str">
        <f t="shared" si="2"/>
        <v>1013216</v>
      </c>
      <c r="T415" s="141"/>
    </row>
    <row r="416">
      <c r="A416" s="137">
        <f>IFERROR(__xludf.DUMMYFUNCTION("""COMPUTED_VALUE"""),45352.62194975694)</f>
        <v>45352.62195</v>
      </c>
      <c r="B416" s="138" t="str">
        <f>IFERROR(__xludf.DUMMYFUNCTION("""COMPUTED_VALUE"""),"Robert Vargas-Belcher")</f>
        <v>Robert Vargas-Belcher</v>
      </c>
      <c r="C416" s="138">
        <f>IFERROR(__xludf.DUMMYFUNCTION("""COMPUTED_VALUE"""),1020.0)</f>
        <v>1020</v>
      </c>
      <c r="D416" s="139">
        <f>IFERROR(__xludf.DUMMYFUNCTION("""COMPUTED_VALUE"""),216.0)</f>
        <v>216</v>
      </c>
      <c r="E416" s="138">
        <f>IFERROR(__xludf.DUMMYFUNCTION("""COMPUTED_VALUE"""),4.0)</f>
        <v>4</v>
      </c>
      <c r="F416" s="138">
        <f>IFERROR(__xludf.DUMMYFUNCTION("""COMPUTED_VALUE"""),5.0)</f>
        <v>5</v>
      </c>
      <c r="G416" s="138">
        <f>IFERROR(__xludf.DUMMYFUNCTION("""COMPUTED_VALUE"""),5.0)</f>
        <v>5</v>
      </c>
      <c r="H416" s="138">
        <f>IFERROR(__xludf.DUMMYFUNCTION("""COMPUTED_VALUE"""),4.0)</f>
        <v>4</v>
      </c>
      <c r="I416" s="138">
        <f>IFERROR(__xludf.DUMMYFUNCTION("""COMPUTED_VALUE"""),4.0)</f>
        <v>4</v>
      </c>
      <c r="J416" s="138">
        <f>IFERROR(__xludf.DUMMYFUNCTION("""COMPUTED_VALUE"""),3.0)</f>
        <v>3</v>
      </c>
      <c r="K416" s="138">
        <f>IFERROR(__xludf.DUMMYFUNCTION("""COMPUTED_VALUE"""),4.0)</f>
        <v>4</v>
      </c>
      <c r="L416" s="138">
        <v>29.0</v>
      </c>
      <c r="M416" s="140" t="str">
        <f>VLOOKUP(text(D416, "#"),'Master Table'!$A:$F, 6, FALSE)</f>
        <v>C-1</v>
      </c>
      <c r="N416" s="141" t="str">
        <f>IFERROR(__xludf.DUMMYFUNCTION("""COMPUTED_VALUE"""),"Thank you for sharing your story and your passion for this topic and study subject. I agree the clear connection and need for understanding this issue more. You clearly lay out the problem you are looking to tackle with your research. Lit Review appeared "&amp;"to include both text and research journal articles, a little unclear as to which is what. You communicated clearly the methodology and walked us through the frame work you intend to use. ")</f>
        <v>Thank you for sharing your story and your passion for this topic and study subject. I agree the clear connection and need for understanding this issue more. You clearly lay out the problem you are looking to tackle with your research. Lit Review appeared to include both text and research journal articles, a little unclear as to which is what. You communicated clearly the methodology and walked us through the frame work you intend to use. </v>
      </c>
      <c r="O416" s="142" t="str">
        <f t="shared" si="1"/>
        <v/>
      </c>
      <c r="P416" s="143" t="str">
        <f>IF(ISNA(VLOOKUP(CONCAT(M416,C416), 'Judge Count DO NOT EDIT'!H:H, 1, FALSE)), "ERROR","")</f>
        <v/>
      </c>
      <c r="Q416" s="141"/>
      <c r="R416" s="143"/>
      <c r="S416" s="139" t="str">
        <f t="shared" si="2"/>
        <v>1020216</v>
      </c>
      <c r="T416" s="141"/>
    </row>
    <row r="417">
      <c r="A417" s="137">
        <f>IFERROR(__xludf.DUMMYFUNCTION("""COMPUTED_VALUE"""),45352.63250759259)</f>
        <v>45352.63251</v>
      </c>
      <c r="B417" s="138" t="str">
        <f>IFERROR(__xludf.DUMMYFUNCTION("""COMPUTED_VALUE"""),"Jennifer Karnopp")</f>
        <v>Jennifer Karnopp</v>
      </c>
      <c r="C417" s="138">
        <f>IFERROR(__xludf.DUMMYFUNCTION("""COMPUTED_VALUE"""),1031.0)</f>
        <v>1031</v>
      </c>
      <c r="D417" s="139">
        <f>IFERROR(__xludf.DUMMYFUNCTION("""COMPUTED_VALUE"""),216.0)</f>
        <v>216</v>
      </c>
      <c r="E417" s="138">
        <f>IFERROR(__xludf.DUMMYFUNCTION("""COMPUTED_VALUE"""),4.0)</f>
        <v>4</v>
      </c>
      <c r="F417" s="138">
        <f>IFERROR(__xludf.DUMMYFUNCTION("""COMPUTED_VALUE"""),5.0)</f>
        <v>5</v>
      </c>
      <c r="G417" s="138">
        <f>IFERROR(__xludf.DUMMYFUNCTION("""COMPUTED_VALUE"""),4.0)</f>
        <v>4</v>
      </c>
      <c r="H417" s="138">
        <f>IFERROR(__xludf.DUMMYFUNCTION("""COMPUTED_VALUE"""),4.0)</f>
        <v>4</v>
      </c>
      <c r="I417" s="138">
        <f>IFERROR(__xludf.DUMMYFUNCTION("""COMPUTED_VALUE"""),4.0)</f>
        <v>4</v>
      </c>
      <c r="J417" s="138">
        <f>IFERROR(__xludf.DUMMYFUNCTION("""COMPUTED_VALUE"""),4.0)</f>
        <v>4</v>
      </c>
      <c r="K417" s="138">
        <f>IFERROR(__xludf.DUMMYFUNCTION("""COMPUTED_VALUE"""),4.0)</f>
        <v>4</v>
      </c>
      <c r="L417" s="138">
        <v>29.0</v>
      </c>
      <c r="M417" s="140" t="str">
        <f>VLOOKUP(text(D417, "#"),'Master Table'!$A:$F, 6, FALSE)</f>
        <v>C-1</v>
      </c>
      <c r="N417" s="141" t="str">
        <f>IFERROR(__xludf.DUMMYFUNCTION("""COMPUTED_VALUE"""),"Tiffany provided clear information in her slides and oral presentation. I loved her interest in connecting the past to the present, as a way to provide future-focused insights. The methodology was clearly explained and well thought out. I particularly com"&amp;"mend the inclusion of a dissemination plan in her research outline. She did a nice job of engaging with the audience. I think the selection of participants will be critical and suggest she develop a criteria or other way to ensure a broad array of group r"&amp;"epresentation.")</f>
        <v>Tiffany provided clear information in her slides and oral presentation. I loved her interest in connecting the past to the present, as a way to provide future-focused insights. The methodology was clearly explained and well thought out. I particularly commend the inclusion of a dissemination plan in her research outline. She did a nice job of engaging with the audience. I think the selection of participants will be critical and suggest she develop a criteria or other way to ensure a broad array of group representation.</v>
      </c>
      <c r="O417" s="142" t="str">
        <f t="shared" si="1"/>
        <v/>
      </c>
      <c r="P417" s="143" t="str">
        <f>IF(ISNA(VLOOKUP(CONCAT(M417,C417), 'Judge Count DO NOT EDIT'!H:H, 1, FALSE)), "ERROR","")</f>
        <v/>
      </c>
      <c r="Q417" s="141"/>
      <c r="R417" s="143"/>
      <c r="S417" s="139" t="str">
        <f t="shared" si="2"/>
        <v>1031216</v>
      </c>
      <c r="T417" s="141"/>
    </row>
    <row r="418">
      <c r="A418" s="137">
        <f>IFERROR(__xludf.DUMMYFUNCTION("""COMPUTED_VALUE"""),45352.55373230324)</f>
        <v>45352.55373</v>
      </c>
      <c r="B418" s="138" t="str">
        <f>IFERROR(__xludf.DUMMYFUNCTION("""COMPUTED_VALUE"""),"Cripps")</f>
        <v>Cripps</v>
      </c>
      <c r="C418" s="138">
        <f>IFERROR(__xludf.DUMMYFUNCTION("""COMPUTED_VALUE"""),1069.0)</f>
        <v>1069</v>
      </c>
      <c r="D418" s="139">
        <f>IFERROR(__xludf.DUMMYFUNCTION("""COMPUTED_VALUE"""),217.0)</f>
        <v>217</v>
      </c>
      <c r="E418" s="138">
        <f>IFERROR(__xludf.DUMMYFUNCTION("""COMPUTED_VALUE"""),5.0)</f>
        <v>5</v>
      </c>
      <c r="F418" s="138">
        <f>IFERROR(__xludf.DUMMYFUNCTION("""COMPUTED_VALUE"""),5.0)</f>
        <v>5</v>
      </c>
      <c r="G418" s="138">
        <f>IFERROR(__xludf.DUMMYFUNCTION("""COMPUTED_VALUE"""),5.0)</f>
        <v>5</v>
      </c>
      <c r="H418" s="138">
        <f>IFERROR(__xludf.DUMMYFUNCTION("""COMPUTED_VALUE"""),3.0)</f>
        <v>3</v>
      </c>
      <c r="I418" s="138">
        <f>IFERROR(__xludf.DUMMYFUNCTION("""COMPUTED_VALUE"""),4.0)</f>
        <v>4</v>
      </c>
      <c r="J418" s="138">
        <f>IFERROR(__xludf.DUMMYFUNCTION("""COMPUTED_VALUE"""),4.0)</f>
        <v>4</v>
      </c>
      <c r="K418" s="138">
        <f>IFERROR(__xludf.DUMMYFUNCTION("""COMPUTED_VALUE"""),4.0)</f>
        <v>4</v>
      </c>
      <c r="L418" s="138">
        <v>30.0</v>
      </c>
      <c r="M418" s="140" t="str">
        <f>VLOOKUP(text(D418, "#"),'Master Table'!$A:$F, 6, FALSE)</f>
        <v>C-2</v>
      </c>
      <c r="N418" s="141"/>
      <c r="O418" s="142" t="str">
        <f t="shared" si="1"/>
        <v/>
      </c>
      <c r="P418" s="143" t="str">
        <f>IF(ISNA(VLOOKUP(CONCAT(M418,C418), 'Judge Count DO NOT EDIT'!H:H, 1, FALSE)), "ERROR","")</f>
        <v/>
      </c>
      <c r="Q418" s="141"/>
      <c r="R418" s="143"/>
      <c r="S418" s="139" t="str">
        <f t="shared" si="2"/>
        <v>1069217</v>
      </c>
      <c r="T418" s="141"/>
    </row>
    <row r="419">
      <c r="A419" s="137">
        <f>IFERROR(__xludf.DUMMYFUNCTION("""COMPUTED_VALUE"""),45352.58741129629)</f>
        <v>45352.58741</v>
      </c>
      <c r="B419" s="138" t="str">
        <f>IFERROR(__xludf.DUMMYFUNCTION("""COMPUTED_VALUE"""),"Joseane Godinho ")</f>
        <v>Joseane Godinho </v>
      </c>
      <c r="C419" s="138">
        <f>IFERROR(__xludf.DUMMYFUNCTION("""COMPUTED_VALUE"""),1121.0)</f>
        <v>1121</v>
      </c>
      <c r="D419" s="139">
        <f>IFERROR(__xludf.DUMMYFUNCTION("""COMPUTED_VALUE"""),217.0)</f>
        <v>217</v>
      </c>
      <c r="E419" s="138">
        <f>IFERROR(__xludf.DUMMYFUNCTION("""COMPUTED_VALUE"""),2.0)</f>
        <v>2</v>
      </c>
      <c r="F419" s="138">
        <f>IFERROR(__xludf.DUMMYFUNCTION("""COMPUTED_VALUE"""),4.0)</f>
        <v>4</v>
      </c>
      <c r="G419" s="138">
        <f>IFERROR(__xludf.DUMMYFUNCTION("""COMPUTED_VALUE"""),3.0)</f>
        <v>3</v>
      </c>
      <c r="H419" s="138">
        <f>IFERROR(__xludf.DUMMYFUNCTION("""COMPUTED_VALUE"""),3.0)</f>
        <v>3</v>
      </c>
      <c r="I419" s="138">
        <f>IFERROR(__xludf.DUMMYFUNCTION("""COMPUTED_VALUE"""),4.0)</f>
        <v>4</v>
      </c>
      <c r="J419" s="138">
        <f>IFERROR(__xludf.DUMMYFUNCTION("""COMPUTED_VALUE"""),3.0)</f>
        <v>3</v>
      </c>
      <c r="K419" s="138">
        <f>IFERROR(__xludf.DUMMYFUNCTION("""COMPUTED_VALUE"""),3.0)</f>
        <v>3</v>
      </c>
      <c r="L419" s="138">
        <v>22.0</v>
      </c>
      <c r="M419" s="140" t="str">
        <f>VLOOKUP(text(D419, "#"),'Master Table'!$A:$F, 6, FALSE)</f>
        <v>C-2</v>
      </c>
      <c r="N419" s="141"/>
      <c r="O419" s="142" t="str">
        <f t="shared" si="1"/>
        <v/>
      </c>
      <c r="P419" s="143" t="str">
        <f>IF(ISNA(VLOOKUP(CONCAT(M419,C419), 'Judge Count DO NOT EDIT'!H:H, 1, FALSE)), "ERROR","")</f>
        <v/>
      </c>
      <c r="Q419" s="141"/>
      <c r="R419" s="143"/>
      <c r="S419" s="139" t="str">
        <f t="shared" si="2"/>
        <v>1121217</v>
      </c>
      <c r="T419" s="141"/>
    </row>
    <row r="420">
      <c r="A420" s="137">
        <f>IFERROR(__xludf.DUMMYFUNCTION("""COMPUTED_VALUE"""),45352.597773587964)</f>
        <v>45352.59777</v>
      </c>
      <c r="B420" s="138" t="str">
        <f>IFERROR(__xludf.DUMMYFUNCTION("""COMPUTED_VALUE"""),"Oliver")</f>
        <v>Oliver</v>
      </c>
      <c r="C420" s="138">
        <f>IFERROR(__xludf.DUMMYFUNCTION("""COMPUTED_VALUE"""),1105.0)</f>
        <v>1105</v>
      </c>
      <c r="D420" s="139">
        <f>IFERROR(__xludf.DUMMYFUNCTION("""COMPUTED_VALUE"""),217.0)</f>
        <v>217</v>
      </c>
      <c r="E420" s="138">
        <f>IFERROR(__xludf.DUMMYFUNCTION("""COMPUTED_VALUE"""),3.0)</f>
        <v>3</v>
      </c>
      <c r="F420" s="138">
        <f>IFERROR(__xludf.DUMMYFUNCTION("""COMPUTED_VALUE"""),4.0)</f>
        <v>4</v>
      </c>
      <c r="G420" s="138">
        <f>IFERROR(__xludf.DUMMYFUNCTION("""COMPUTED_VALUE"""),5.0)</f>
        <v>5</v>
      </c>
      <c r="H420" s="138">
        <f>IFERROR(__xludf.DUMMYFUNCTION("""COMPUTED_VALUE"""),4.0)</f>
        <v>4</v>
      </c>
      <c r="I420" s="138">
        <f>IFERROR(__xludf.DUMMYFUNCTION("""COMPUTED_VALUE"""),3.0)</f>
        <v>3</v>
      </c>
      <c r="J420" s="138">
        <f>IFERROR(__xludf.DUMMYFUNCTION("""COMPUTED_VALUE"""),3.0)</f>
        <v>3</v>
      </c>
      <c r="K420" s="138">
        <f>IFERROR(__xludf.DUMMYFUNCTION("""COMPUTED_VALUE"""),4.0)</f>
        <v>4</v>
      </c>
      <c r="L420" s="138">
        <v>26.0</v>
      </c>
      <c r="M420" s="140" t="str">
        <f>VLOOKUP(text(D420, "#"),'Master Table'!$A:$F, 6, FALSE)</f>
        <v>C-2</v>
      </c>
      <c r="N420" s="141" t="str">
        <f>IFERROR(__xludf.DUMMYFUNCTION("""COMPUTED_VALUE"""),"The work presented is timely and important. We need to find new sources of protein for the planet so Selene is on the leading edge of valuable research. Her presentation could have been organized a bit better as some of the slides had misaligned text. Mos"&amp;"t importantly, a full description of the methods was needed to explain the word clouds that she used. She finished early so there was plenty of time. That said, these questions came up in the Q&amp;A and she handled them very well!  ")</f>
        <v>The work presented is timely and important. We need to find new sources of protein for the planet so Selene is on the leading edge of valuable research. Her presentation could have been organized a bit better as some of the slides had misaligned text. Most importantly, a full description of the methods was needed to explain the word clouds that she used. She finished early so there was plenty of time. That said, these questions came up in the Q&amp;A and she handled them very well!  </v>
      </c>
      <c r="O420" s="142" t="str">
        <f t="shared" si="1"/>
        <v/>
      </c>
      <c r="P420" s="143" t="str">
        <f>IF(ISNA(VLOOKUP(CONCAT(M420,C420), 'Judge Count DO NOT EDIT'!H:H, 1, FALSE)), "ERROR","")</f>
        <v/>
      </c>
      <c r="Q420" s="141"/>
      <c r="R420" s="143"/>
      <c r="S420" s="139" t="str">
        <f t="shared" si="2"/>
        <v>1105217</v>
      </c>
      <c r="T420" s="141"/>
    </row>
    <row r="421">
      <c r="A421" s="137">
        <f>IFERROR(__xludf.DUMMYFUNCTION("""COMPUTED_VALUE"""),45352.71840873842)</f>
        <v>45352.71841</v>
      </c>
      <c r="B421" s="138" t="str">
        <f>IFERROR(__xludf.DUMMYFUNCTION("""COMPUTED_VALUE"""),"Hamza hajama")</f>
        <v>Hamza hajama</v>
      </c>
      <c r="C421" s="138">
        <f>IFERROR(__xludf.DUMMYFUNCTION("""COMPUTED_VALUE"""),1049.0)</f>
        <v>1049</v>
      </c>
      <c r="D421" s="139">
        <f>IFERROR(__xludf.DUMMYFUNCTION("""COMPUTED_VALUE"""),217.0)</f>
        <v>217</v>
      </c>
      <c r="E421" s="138">
        <f>IFERROR(__xludf.DUMMYFUNCTION("""COMPUTED_VALUE"""),3.0)</f>
        <v>3</v>
      </c>
      <c r="F421" s="138">
        <f>IFERROR(__xludf.DUMMYFUNCTION("""COMPUTED_VALUE"""),4.0)</f>
        <v>4</v>
      </c>
      <c r="G421" s="138">
        <f>IFERROR(__xludf.DUMMYFUNCTION("""COMPUTED_VALUE"""),1.0)</f>
        <v>1</v>
      </c>
      <c r="H421" s="138">
        <f>IFERROR(__xludf.DUMMYFUNCTION("""COMPUTED_VALUE"""),2.0)</f>
        <v>2</v>
      </c>
      <c r="I421" s="138">
        <f>IFERROR(__xludf.DUMMYFUNCTION("""COMPUTED_VALUE"""),3.0)</f>
        <v>3</v>
      </c>
      <c r="J421" s="138">
        <f>IFERROR(__xludf.DUMMYFUNCTION("""COMPUTED_VALUE"""),3.0)</f>
        <v>3</v>
      </c>
      <c r="K421" s="138">
        <f>IFERROR(__xludf.DUMMYFUNCTION("""COMPUTED_VALUE"""),3.0)</f>
        <v>3</v>
      </c>
      <c r="L421" s="138">
        <v>19.0</v>
      </c>
      <c r="M421" s="140" t="str">
        <f>VLOOKUP(text(D421, "#"),'Master Table'!$A:$F, 6, FALSE)</f>
        <v>C-2</v>
      </c>
      <c r="N421" s="141" t="str">
        <f>IFERROR(__xludf.DUMMYFUNCTION("""COMPUTED_VALUE"""),"N/a")</f>
        <v>N/a</v>
      </c>
      <c r="O421" s="142" t="str">
        <f t="shared" si="1"/>
        <v/>
      </c>
      <c r="P421" s="143" t="str">
        <f>IF(ISNA(VLOOKUP(CONCAT(M421,C421), 'Judge Count DO NOT EDIT'!H:H, 1, FALSE)), "ERROR","")</f>
        <v/>
      </c>
      <c r="Q421" s="141"/>
      <c r="R421" s="143"/>
      <c r="S421" s="139" t="str">
        <f t="shared" si="2"/>
        <v>1049217</v>
      </c>
      <c r="T421" s="141"/>
    </row>
    <row r="422">
      <c r="A422" s="137">
        <f>IFERROR(__xludf.DUMMYFUNCTION("""COMPUTED_VALUE"""),45352.56711333334)</f>
        <v>45352.56711</v>
      </c>
      <c r="B422" s="138" t="str">
        <f>IFERROR(__xludf.DUMMYFUNCTION("""COMPUTED_VALUE"""),"Cripps")</f>
        <v>Cripps</v>
      </c>
      <c r="C422" s="138">
        <f>IFERROR(__xludf.DUMMYFUNCTION("""COMPUTED_VALUE"""),1069.0)</f>
        <v>1069</v>
      </c>
      <c r="D422" s="139">
        <f>IFERROR(__xludf.DUMMYFUNCTION("""COMPUTED_VALUE"""),218.0)</f>
        <v>218</v>
      </c>
      <c r="E422" s="138">
        <f>IFERROR(__xludf.DUMMYFUNCTION("""COMPUTED_VALUE"""),2.0)</f>
        <v>2</v>
      </c>
      <c r="F422" s="138">
        <f>IFERROR(__xludf.DUMMYFUNCTION("""COMPUTED_VALUE"""),4.0)</f>
        <v>4</v>
      </c>
      <c r="G422" s="138">
        <f>IFERROR(__xludf.DUMMYFUNCTION("""COMPUTED_VALUE"""),4.0)</f>
        <v>4</v>
      </c>
      <c r="H422" s="138">
        <f>IFERROR(__xludf.DUMMYFUNCTION("""COMPUTED_VALUE"""),5.0)</f>
        <v>5</v>
      </c>
      <c r="I422" s="138">
        <f>IFERROR(__xludf.DUMMYFUNCTION("""COMPUTED_VALUE"""),3.0)</f>
        <v>3</v>
      </c>
      <c r="J422" s="138">
        <f>IFERROR(__xludf.DUMMYFUNCTION("""COMPUTED_VALUE"""),2.0)</f>
        <v>2</v>
      </c>
      <c r="K422" s="138">
        <f>IFERROR(__xludf.DUMMYFUNCTION("""COMPUTED_VALUE"""),4.0)</f>
        <v>4</v>
      </c>
      <c r="L422" s="138">
        <v>24.0</v>
      </c>
      <c r="M422" s="140" t="str">
        <f>VLOOKUP(text(D422, "#"),'Master Table'!$A:$F, 6, FALSE)</f>
        <v>C-2</v>
      </c>
      <c r="N422" s="141"/>
      <c r="O422" s="142" t="str">
        <f t="shared" si="1"/>
        <v/>
      </c>
      <c r="P422" s="143" t="str">
        <f>IF(ISNA(VLOOKUP(CONCAT(M422,C422), 'Judge Count DO NOT EDIT'!H:H, 1, FALSE)), "ERROR","")</f>
        <v/>
      </c>
      <c r="Q422" s="141"/>
      <c r="R422" s="143"/>
      <c r="S422" s="139" t="str">
        <f t="shared" si="2"/>
        <v>1069218</v>
      </c>
      <c r="T422" s="141"/>
    </row>
    <row r="423">
      <c r="A423" s="137">
        <f>IFERROR(__xludf.DUMMYFUNCTION("""COMPUTED_VALUE"""),45352.56948266204)</f>
        <v>45352.56948</v>
      </c>
      <c r="B423" s="138" t="str">
        <f>IFERROR(__xludf.DUMMYFUNCTION("""COMPUTED_VALUE"""),"Joseane Godinho")</f>
        <v>Joseane Godinho</v>
      </c>
      <c r="C423" s="138">
        <f>IFERROR(__xludf.DUMMYFUNCTION("""COMPUTED_VALUE"""),1121.0)</f>
        <v>1121</v>
      </c>
      <c r="D423" s="139">
        <f>IFERROR(__xludf.DUMMYFUNCTION("""COMPUTED_VALUE"""),218.0)</f>
        <v>218</v>
      </c>
      <c r="E423" s="138">
        <f>IFERROR(__xludf.DUMMYFUNCTION("""COMPUTED_VALUE"""),3.0)</f>
        <v>3</v>
      </c>
      <c r="F423" s="138">
        <f>IFERROR(__xludf.DUMMYFUNCTION("""COMPUTED_VALUE"""),4.0)</f>
        <v>4</v>
      </c>
      <c r="G423" s="138">
        <f>IFERROR(__xludf.DUMMYFUNCTION("""COMPUTED_VALUE"""),4.0)</f>
        <v>4</v>
      </c>
      <c r="H423" s="138">
        <f>IFERROR(__xludf.DUMMYFUNCTION("""COMPUTED_VALUE"""),4.0)</f>
        <v>4</v>
      </c>
      <c r="I423" s="138">
        <f>IFERROR(__xludf.DUMMYFUNCTION("""COMPUTED_VALUE"""),3.0)</f>
        <v>3</v>
      </c>
      <c r="J423" s="138">
        <f>IFERROR(__xludf.DUMMYFUNCTION("""COMPUTED_VALUE"""),4.0)</f>
        <v>4</v>
      </c>
      <c r="K423" s="138">
        <f>IFERROR(__xludf.DUMMYFUNCTION("""COMPUTED_VALUE"""),4.0)</f>
        <v>4</v>
      </c>
      <c r="L423" s="138">
        <v>26.0</v>
      </c>
      <c r="M423" s="140" t="str">
        <f>VLOOKUP(text(D423, "#"),'Master Table'!$A:$F, 6, FALSE)</f>
        <v>C-2</v>
      </c>
      <c r="N423" s="141"/>
      <c r="O423" s="142" t="str">
        <f t="shared" si="1"/>
        <v/>
      </c>
      <c r="P423" s="143" t="str">
        <f>IF(ISNA(VLOOKUP(CONCAT(M423,C423), 'Judge Count DO NOT EDIT'!H:H, 1, FALSE)), "ERROR","")</f>
        <v/>
      </c>
      <c r="Q423" s="141"/>
      <c r="R423" s="143"/>
      <c r="S423" s="139" t="str">
        <f t="shared" si="2"/>
        <v>1121218</v>
      </c>
      <c r="T423" s="141"/>
    </row>
    <row r="424">
      <c r="A424" s="137">
        <f>IFERROR(__xludf.DUMMYFUNCTION("""COMPUTED_VALUE"""),45352.60972748842)</f>
        <v>45352.60973</v>
      </c>
      <c r="B424" s="138" t="str">
        <f>IFERROR(__xludf.DUMMYFUNCTION("""COMPUTED_VALUE"""),"Oliver")</f>
        <v>Oliver</v>
      </c>
      <c r="C424" s="138">
        <f>IFERROR(__xludf.DUMMYFUNCTION("""COMPUTED_VALUE"""),1105.0)</f>
        <v>1105</v>
      </c>
      <c r="D424" s="139">
        <f>IFERROR(__xludf.DUMMYFUNCTION("""COMPUTED_VALUE"""),218.0)</f>
        <v>218</v>
      </c>
      <c r="E424" s="138">
        <f>IFERROR(__xludf.DUMMYFUNCTION("""COMPUTED_VALUE"""),3.0)</f>
        <v>3</v>
      </c>
      <c r="F424" s="138">
        <f>IFERROR(__xludf.DUMMYFUNCTION("""COMPUTED_VALUE"""),5.0)</f>
        <v>5</v>
      </c>
      <c r="G424" s="138">
        <f>IFERROR(__xludf.DUMMYFUNCTION("""COMPUTED_VALUE"""),4.0)</f>
        <v>4</v>
      </c>
      <c r="H424" s="138">
        <f>IFERROR(__xludf.DUMMYFUNCTION("""COMPUTED_VALUE"""),4.0)</f>
        <v>4</v>
      </c>
      <c r="I424" s="138">
        <f>IFERROR(__xludf.DUMMYFUNCTION("""COMPUTED_VALUE"""),4.0)</f>
        <v>4</v>
      </c>
      <c r="J424" s="138">
        <f>IFERROR(__xludf.DUMMYFUNCTION("""COMPUTED_VALUE"""),3.0)</f>
        <v>3</v>
      </c>
      <c r="K424" s="138">
        <f>IFERROR(__xludf.DUMMYFUNCTION("""COMPUTED_VALUE"""),4.0)</f>
        <v>4</v>
      </c>
      <c r="L424" s="138">
        <v>27.0</v>
      </c>
      <c r="M424" s="140" t="str">
        <f>VLOOKUP(text(D424, "#"),'Master Table'!$A:$F, 6, FALSE)</f>
        <v>C-2</v>
      </c>
      <c r="N424" s="141" t="str">
        <f>IFERROR(__xludf.DUMMYFUNCTION("""COMPUTED_VALUE"""),"I was very impressed by the work being presented and Julio's enthusiasm spread to the audience. I really appreciated his ""Goals"" slide. It is always good to give the audience a clear sense of where things are going. The text on the slides with code was "&amp;"too small to read. Credit to Julio for calming speaking through the person who rudely opened the door and asked for directions during his talk!")</f>
        <v>I was very impressed by the work being presented and Julio's enthusiasm spread to the audience. I really appreciated his "Goals" slide. It is always good to give the audience a clear sense of where things are going. The text on the slides with code was too small to read. Credit to Julio for calming speaking through the person who rudely opened the door and asked for directions during his talk!</v>
      </c>
      <c r="O424" s="142" t="str">
        <f t="shared" si="1"/>
        <v/>
      </c>
      <c r="P424" s="143" t="str">
        <f>IF(ISNA(VLOOKUP(CONCAT(M424,C424), 'Judge Count DO NOT EDIT'!H:H, 1, FALSE)), "ERROR","")</f>
        <v/>
      </c>
      <c r="Q424" s="144"/>
      <c r="R424" s="143"/>
      <c r="S424" s="139" t="str">
        <f t="shared" si="2"/>
        <v>1105218</v>
      </c>
      <c r="T424" s="141"/>
    </row>
    <row r="425">
      <c r="A425" s="137">
        <f>IFERROR(__xludf.DUMMYFUNCTION("""COMPUTED_VALUE"""),45352.71907828704)</f>
        <v>45352.71908</v>
      </c>
      <c r="B425" s="138" t="str">
        <f>IFERROR(__xludf.DUMMYFUNCTION("""COMPUTED_VALUE"""),"Hamza")</f>
        <v>Hamza</v>
      </c>
      <c r="C425" s="138">
        <f>IFERROR(__xludf.DUMMYFUNCTION("""COMPUTED_VALUE"""),1049.0)</f>
        <v>1049</v>
      </c>
      <c r="D425" s="139">
        <f>IFERROR(__xludf.DUMMYFUNCTION("""COMPUTED_VALUE"""),218.0)</f>
        <v>218</v>
      </c>
      <c r="E425" s="138">
        <f>IFERROR(__xludf.DUMMYFUNCTION("""COMPUTED_VALUE"""),3.0)</f>
        <v>3</v>
      </c>
      <c r="F425" s="138">
        <f>IFERROR(__xludf.DUMMYFUNCTION("""COMPUTED_VALUE"""),4.0)</f>
        <v>4</v>
      </c>
      <c r="G425" s="138">
        <f>IFERROR(__xludf.DUMMYFUNCTION("""COMPUTED_VALUE"""),4.0)</f>
        <v>4</v>
      </c>
      <c r="H425" s="138">
        <f>IFERROR(__xludf.DUMMYFUNCTION("""COMPUTED_VALUE"""),3.0)</f>
        <v>3</v>
      </c>
      <c r="I425" s="138">
        <f>IFERROR(__xludf.DUMMYFUNCTION("""COMPUTED_VALUE"""),3.0)</f>
        <v>3</v>
      </c>
      <c r="J425" s="138">
        <f>IFERROR(__xludf.DUMMYFUNCTION("""COMPUTED_VALUE"""),4.0)</f>
        <v>4</v>
      </c>
      <c r="K425" s="138">
        <f>IFERROR(__xludf.DUMMYFUNCTION("""COMPUTED_VALUE"""),3.0)</f>
        <v>3</v>
      </c>
      <c r="L425" s="138">
        <v>24.0</v>
      </c>
      <c r="M425" s="140" t="str">
        <f>VLOOKUP(text(D425, "#"),'Master Table'!$A:$F, 6, FALSE)</f>
        <v>C-2</v>
      </c>
      <c r="N425" s="141"/>
      <c r="O425" s="142" t="str">
        <f t="shared" si="1"/>
        <v/>
      </c>
      <c r="P425" s="143" t="str">
        <f>IF(ISNA(VLOOKUP(CONCAT(M425,C425), 'Judge Count DO NOT EDIT'!H:H, 1, FALSE)), "ERROR","")</f>
        <v/>
      </c>
      <c r="Q425" s="141"/>
      <c r="R425" s="143"/>
      <c r="S425" s="139" t="str">
        <f t="shared" si="2"/>
        <v>1049218</v>
      </c>
      <c r="T425" s="141"/>
    </row>
    <row r="426">
      <c r="A426" s="137">
        <f>IFERROR(__xludf.DUMMYFUNCTION("""COMPUTED_VALUE"""),45352.58088664352)</f>
        <v>45352.58089</v>
      </c>
      <c r="B426" s="138" t="str">
        <f>IFERROR(__xludf.DUMMYFUNCTION("""COMPUTED_VALUE"""),"Cripps")</f>
        <v>Cripps</v>
      </c>
      <c r="C426" s="138">
        <f>IFERROR(__xludf.DUMMYFUNCTION("""COMPUTED_VALUE"""),1069.0)</f>
        <v>1069</v>
      </c>
      <c r="D426" s="139">
        <f>IFERROR(__xludf.DUMMYFUNCTION("""COMPUTED_VALUE"""),219.0)</f>
        <v>219</v>
      </c>
      <c r="E426" s="138">
        <f>IFERROR(__xludf.DUMMYFUNCTION("""COMPUTED_VALUE"""),4.0)</f>
        <v>4</v>
      </c>
      <c r="F426" s="138">
        <f>IFERROR(__xludf.DUMMYFUNCTION("""COMPUTED_VALUE"""),3.0)</f>
        <v>3</v>
      </c>
      <c r="G426" s="138">
        <f>IFERROR(__xludf.DUMMYFUNCTION("""COMPUTED_VALUE"""),4.0)</f>
        <v>4</v>
      </c>
      <c r="H426" s="138">
        <f>IFERROR(__xludf.DUMMYFUNCTION("""COMPUTED_VALUE"""),3.0)</f>
        <v>3</v>
      </c>
      <c r="I426" s="138">
        <f>IFERROR(__xludf.DUMMYFUNCTION("""COMPUTED_VALUE"""),4.0)</f>
        <v>4</v>
      </c>
      <c r="J426" s="138">
        <f>IFERROR(__xludf.DUMMYFUNCTION("""COMPUTED_VALUE"""),2.0)</f>
        <v>2</v>
      </c>
      <c r="K426" s="138">
        <f>IFERROR(__xludf.DUMMYFUNCTION("""COMPUTED_VALUE"""),4.0)</f>
        <v>4</v>
      </c>
      <c r="L426" s="138">
        <v>24.0</v>
      </c>
      <c r="M426" s="140" t="str">
        <f>VLOOKUP(text(D426, "#"),'Master Table'!$A:$F, 6, FALSE)</f>
        <v>C-2</v>
      </c>
      <c r="N426" s="141"/>
      <c r="O426" s="142" t="str">
        <f t="shared" si="1"/>
        <v/>
      </c>
      <c r="P426" s="143" t="str">
        <f>IF(ISNA(VLOOKUP(CONCAT(M426,C426), 'Judge Count DO NOT EDIT'!H:H, 1, FALSE)), "ERROR","")</f>
        <v/>
      </c>
      <c r="Q426" s="141"/>
      <c r="R426" s="143"/>
      <c r="S426" s="139" t="str">
        <f t="shared" si="2"/>
        <v>1069219</v>
      </c>
      <c r="T426" s="141"/>
    </row>
    <row r="427">
      <c r="A427" s="137">
        <f>IFERROR(__xludf.DUMMYFUNCTION("""COMPUTED_VALUE"""),45352.58819733796)</f>
        <v>45352.5882</v>
      </c>
      <c r="B427" s="138" t="str">
        <f>IFERROR(__xludf.DUMMYFUNCTION("""COMPUTED_VALUE"""),"Joseane Godinho")</f>
        <v>Joseane Godinho</v>
      </c>
      <c r="C427" s="138">
        <f>IFERROR(__xludf.DUMMYFUNCTION("""COMPUTED_VALUE"""),1121.0)</f>
        <v>1121</v>
      </c>
      <c r="D427" s="139">
        <f>IFERROR(__xludf.DUMMYFUNCTION("""COMPUTED_VALUE"""),219.0)</f>
        <v>219</v>
      </c>
      <c r="E427" s="138">
        <f>IFERROR(__xludf.DUMMYFUNCTION("""COMPUTED_VALUE"""),4.0)</f>
        <v>4</v>
      </c>
      <c r="F427" s="138">
        <f>IFERROR(__xludf.DUMMYFUNCTION("""COMPUTED_VALUE"""),4.0)</f>
        <v>4</v>
      </c>
      <c r="G427" s="138">
        <f>IFERROR(__xludf.DUMMYFUNCTION("""COMPUTED_VALUE"""),4.0)</f>
        <v>4</v>
      </c>
      <c r="H427" s="138">
        <f>IFERROR(__xludf.DUMMYFUNCTION("""COMPUTED_VALUE"""),4.0)</f>
        <v>4</v>
      </c>
      <c r="I427" s="138">
        <f>IFERROR(__xludf.DUMMYFUNCTION("""COMPUTED_VALUE"""),4.0)</f>
        <v>4</v>
      </c>
      <c r="J427" s="138">
        <f>IFERROR(__xludf.DUMMYFUNCTION("""COMPUTED_VALUE"""),4.0)</f>
        <v>4</v>
      </c>
      <c r="K427" s="138">
        <f>IFERROR(__xludf.DUMMYFUNCTION("""COMPUTED_VALUE"""),4.0)</f>
        <v>4</v>
      </c>
      <c r="L427" s="138">
        <v>28.0</v>
      </c>
      <c r="M427" s="140" t="str">
        <f>VLOOKUP(text(D427, "#"),'Master Table'!$A:$F, 6, FALSE)</f>
        <v>C-2</v>
      </c>
      <c r="N427" s="141"/>
      <c r="O427" s="142" t="str">
        <f t="shared" si="1"/>
        <v/>
      </c>
      <c r="P427" s="143" t="str">
        <f>IF(ISNA(VLOOKUP(CONCAT(M427,C427), 'Judge Count DO NOT EDIT'!H:H, 1, FALSE)), "ERROR","")</f>
        <v/>
      </c>
      <c r="Q427" s="141"/>
      <c r="R427" s="143"/>
      <c r="S427" s="139" t="str">
        <f t="shared" si="2"/>
        <v>1121219</v>
      </c>
      <c r="T427" s="141"/>
    </row>
    <row r="428">
      <c r="A428" s="137">
        <f>IFERROR(__xludf.DUMMYFUNCTION("""COMPUTED_VALUE"""),45352.63375528935)</f>
        <v>45352.63376</v>
      </c>
      <c r="B428" s="138" t="str">
        <f>IFERROR(__xludf.DUMMYFUNCTION("""COMPUTED_VALUE"""),"Oliver")</f>
        <v>Oliver</v>
      </c>
      <c r="C428" s="138">
        <f>IFERROR(__xludf.DUMMYFUNCTION("""COMPUTED_VALUE"""),1105.0)</f>
        <v>1105</v>
      </c>
      <c r="D428" s="139">
        <f>IFERROR(__xludf.DUMMYFUNCTION("""COMPUTED_VALUE"""),219.0)</f>
        <v>219</v>
      </c>
      <c r="E428" s="138">
        <f>IFERROR(__xludf.DUMMYFUNCTION("""COMPUTED_VALUE"""),4.0)</f>
        <v>4</v>
      </c>
      <c r="F428" s="138">
        <f>IFERROR(__xludf.DUMMYFUNCTION("""COMPUTED_VALUE"""),5.0)</f>
        <v>5</v>
      </c>
      <c r="G428" s="138">
        <f>IFERROR(__xludf.DUMMYFUNCTION("""COMPUTED_VALUE"""),4.0)</f>
        <v>4</v>
      </c>
      <c r="H428" s="138">
        <f>IFERROR(__xludf.DUMMYFUNCTION("""COMPUTED_VALUE"""),5.0)</f>
        <v>5</v>
      </c>
      <c r="I428" s="138">
        <f>IFERROR(__xludf.DUMMYFUNCTION("""COMPUTED_VALUE"""),3.0)</f>
        <v>3</v>
      </c>
      <c r="J428" s="138">
        <f>IFERROR(__xludf.DUMMYFUNCTION("""COMPUTED_VALUE"""),4.0)</f>
        <v>4</v>
      </c>
      <c r="K428" s="138">
        <f>IFERROR(__xludf.DUMMYFUNCTION("""COMPUTED_VALUE"""),4.0)</f>
        <v>4</v>
      </c>
      <c r="L428" s="138">
        <v>29.0</v>
      </c>
      <c r="M428" s="140" t="str">
        <f>VLOOKUP(text(D428, "#"),'Master Table'!$A:$F, 6, FALSE)</f>
        <v>C-2</v>
      </c>
      <c r="N428" s="141" t="str">
        <f>IFERROR(__xludf.DUMMYFUNCTION("""COMPUTED_VALUE"""),"A fantastic study. It is clear that a manuscript has been produced because Nicole's command of the information was evident. If there is one small critique, Nicole spoke a little too quickly and rushed over a few things. I think this may have been because "&amp;"many in the audience were also familiar with the study and she knew the material so well. For those of us that weren't, it was a challenge to follow in parts. Nonetheless, a fantastic job!")</f>
        <v>A fantastic study. It is clear that a manuscript has been produced because Nicole's command of the information was evident. If there is one small critique, Nicole spoke a little too quickly and rushed over a few things. I think this may have been because many in the audience were also familiar with the study and she knew the material so well. For those of us that weren't, it was a challenge to follow in parts. Nonetheless, a fantastic job!</v>
      </c>
      <c r="O428" s="142" t="str">
        <f t="shared" si="1"/>
        <v/>
      </c>
      <c r="P428" s="143" t="str">
        <f>IF(ISNA(VLOOKUP(CONCAT(M428,C428), 'Judge Count DO NOT EDIT'!H:H, 1, FALSE)), "ERROR","")</f>
        <v/>
      </c>
      <c r="Q428" s="141"/>
      <c r="R428" s="143"/>
      <c r="S428" s="139" t="str">
        <f t="shared" si="2"/>
        <v>1105219</v>
      </c>
      <c r="T428" s="141"/>
    </row>
    <row r="429">
      <c r="A429" s="137">
        <f>IFERROR(__xludf.DUMMYFUNCTION("""COMPUTED_VALUE"""),45352.60802707176)</f>
        <v>45352.60803</v>
      </c>
      <c r="B429" s="138" t="str">
        <f>IFERROR(__xludf.DUMMYFUNCTION("""COMPUTED_VALUE"""),"Cripps")</f>
        <v>Cripps</v>
      </c>
      <c r="C429" s="138">
        <f>IFERROR(__xludf.DUMMYFUNCTION("""COMPUTED_VALUE"""),1069.0)</f>
        <v>1069</v>
      </c>
      <c r="D429" s="139">
        <f>IFERROR(__xludf.DUMMYFUNCTION("""COMPUTED_VALUE"""),221.0)</f>
        <v>221</v>
      </c>
      <c r="E429" s="138">
        <f>IFERROR(__xludf.DUMMYFUNCTION("""COMPUTED_VALUE"""),5.0)</f>
        <v>5</v>
      </c>
      <c r="F429" s="138">
        <f>IFERROR(__xludf.DUMMYFUNCTION("""COMPUTED_VALUE"""),4.0)</f>
        <v>4</v>
      </c>
      <c r="G429" s="138">
        <f>IFERROR(__xludf.DUMMYFUNCTION("""COMPUTED_VALUE"""),4.0)</f>
        <v>4</v>
      </c>
      <c r="H429" s="138">
        <f>IFERROR(__xludf.DUMMYFUNCTION("""COMPUTED_VALUE"""),3.0)</f>
        <v>3</v>
      </c>
      <c r="I429" s="138">
        <f>IFERROR(__xludf.DUMMYFUNCTION("""COMPUTED_VALUE"""),5.0)</f>
        <v>5</v>
      </c>
      <c r="J429" s="138">
        <f>IFERROR(__xludf.DUMMYFUNCTION("""COMPUTED_VALUE"""),5.0)</f>
        <v>5</v>
      </c>
      <c r="K429" s="138">
        <f>IFERROR(__xludf.DUMMYFUNCTION("""COMPUTED_VALUE"""),4.0)</f>
        <v>4</v>
      </c>
      <c r="L429" s="138">
        <v>30.0</v>
      </c>
      <c r="M429" s="140" t="str">
        <f>VLOOKUP(text(D429, "#"),'Master Table'!$A:$F, 6, FALSE)</f>
        <v>C-2</v>
      </c>
      <c r="N429" s="141"/>
      <c r="O429" s="142" t="str">
        <f t="shared" si="1"/>
        <v/>
      </c>
      <c r="P429" s="143" t="str">
        <f>IF(ISNA(VLOOKUP(CONCAT(M429,C429), 'Judge Count DO NOT EDIT'!H:H, 1, FALSE)), "ERROR","")</f>
        <v/>
      </c>
      <c r="Q429" s="141"/>
      <c r="R429" s="143"/>
      <c r="S429" s="139" t="str">
        <f t="shared" si="2"/>
        <v>1069221</v>
      </c>
      <c r="T429" s="141"/>
    </row>
    <row r="430">
      <c r="A430" s="137">
        <f>IFERROR(__xludf.DUMMYFUNCTION("""COMPUTED_VALUE"""),45352.636816377315)</f>
        <v>45352.63682</v>
      </c>
      <c r="B430" s="138" t="str">
        <f>IFERROR(__xludf.DUMMYFUNCTION("""COMPUTED_VALUE"""),"Oliver")</f>
        <v>Oliver</v>
      </c>
      <c r="C430" s="138">
        <f>IFERROR(__xludf.DUMMYFUNCTION("""COMPUTED_VALUE"""),1105.0)</f>
        <v>1105</v>
      </c>
      <c r="D430" s="139">
        <f>IFERROR(__xludf.DUMMYFUNCTION("""COMPUTED_VALUE"""),221.0)</f>
        <v>221</v>
      </c>
      <c r="E430" s="138">
        <f>IFERROR(__xludf.DUMMYFUNCTION("""COMPUTED_VALUE"""),5.0)</f>
        <v>5</v>
      </c>
      <c r="F430" s="138">
        <f>IFERROR(__xludf.DUMMYFUNCTION("""COMPUTED_VALUE"""),4.0)</f>
        <v>4</v>
      </c>
      <c r="G430" s="138">
        <f>IFERROR(__xludf.DUMMYFUNCTION("""COMPUTED_VALUE"""),4.0)</f>
        <v>4</v>
      </c>
      <c r="H430" s="138">
        <f>IFERROR(__xludf.DUMMYFUNCTION("""COMPUTED_VALUE"""),4.0)</f>
        <v>4</v>
      </c>
      <c r="I430" s="138">
        <f>IFERROR(__xludf.DUMMYFUNCTION("""COMPUTED_VALUE"""),4.0)</f>
        <v>4</v>
      </c>
      <c r="J430" s="138">
        <f>IFERROR(__xludf.DUMMYFUNCTION("""COMPUTED_VALUE"""),5.0)</f>
        <v>5</v>
      </c>
      <c r="K430" s="138">
        <f>IFERROR(__xludf.DUMMYFUNCTION("""COMPUTED_VALUE"""),4.0)</f>
        <v>4</v>
      </c>
      <c r="L430" s="138">
        <v>30.0</v>
      </c>
      <c r="M430" s="140" t="str">
        <f>VLOOKUP(text(D430, "#"),'Master Table'!$A:$F, 6, FALSE)</f>
        <v>C-2</v>
      </c>
      <c r="N430" s="141" t="str">
        <f>IFERROR(__xludf.DUMMYFUNCTION("""COMPUTED_VALUE"""),"An overall great presentation! First, the quality of the visuals on the slides was top notch. The slides were well organized and I really appreciated how Tatyana walked us through the materials and methods clearly. She also handled the Q&amp;A session very we"&amp;"ll. Well done!")</f>
        <v>An overall great presentation! First, the quality of the visuals on the slides was top notch. The slides were well organized and I really appreciated how Tatyana walked us through the materials and methods clearly. She also handled the Q&amp;A session very well. Well done!</v>
      </c>
      <c r="O430" s="142" t="str">
        <f t="shared" si="1"/>
        <v/>
      </c>
      <c r="P430" s="143" t="str">
        <f>IF(ISNA(VLOOKUP(CONCAT(M430,C430), 'Judge Count DO NOT EDIT'!H:H, 1, FALSE)), "ERROR","")</f>
        <v/>
      </c>
      <c r="Q430" s="141"/>
      <c r="R430" s="143"/>
      <c r="S430" s="139" t="str">
        <f t="shared" si="2"/>
        <v>1105221</v>
      </c>
      <c r="T430" s="141"/>
    </row>
    <row r="431">
      <c r="A431" s="137">
        <f>IFERROR(__xludf.DUMMYFUNCTION("""COMPUTED_VALUE"""),45352.667463391204)</f>
        <v>45352.66746</v>
      </c>
      <c r="B431" s="138" t="str">
        <f>IFERROR(__xludf.DUMMYFUNCTION("""COMPUTED_VALUE"""),"Joseane Godinho")</f>
        <v>Joseane Godinho</v>
      </c>
      <c r="C431" s="138">
        <f>IFERROR(__xludf.DUMMYFUNCTION("""COMPUTED_VALUE"""),1121.0)</f>
        <v>1121</v>
      </c>
      <c r="D431" s="139">
        <f>IFERROR(__xludf.DUMMYFUNCTION("""COMPUTED_VALUE"""),221.0)</f>
        <v>221</v>
      </c>
      <c r="E431" s="138">
        <f>IFERROR(__xludf.DUMMYFUNCTION("""COMPUTED_VALUE"""),3.0)</f>
        <v>3</v>
      </c>
      <c r="F431" s="138">
        <f>IFERROR(__xludf.DUMMYFUNCTION("""COMPUTED_VALUE"""),3.0)</f>
        <v>3</v>
      </c>
      <c r="G431" s="138">
        <f>IFERROR(__xludf.DUMMYFUNCTION("""COMPUTED_VALUE"""),3.0)</f>
        <v>3</v>
      </c>
      <c r="H431" s="138">
        <f>IFERROR(__xludf.DUMMYFUNCTION("""COMPUTED_VALUE"""),3.0)</f>
        <v>3</v>
      </c>
      <c r="I431" s="138">
        <f>IFERROR(__xludf.DUMMYFUNCTION("""COMPUTED_VALUE"""),3.0)</f>
        <v>3</v>
      </c>
      <c r="J431" s="138">
        <f>IFERROR(__xludf.DUMMYFUNCTION("""COMPUTED_VALUE"""),3.0)</f>
        <v>3</v>
      </c>
      <c r="K431" s="138">
        <f>IFERROR(__xludf.DUMMYFUNCTION("""COMPUTED_VALUE"""),3.0)</f>
        <v>3</v>
      </c>
      <c r="L431" s="138">
        <v>21.0</v>
      </c>
      <c r="M431" s="140" t="str">
        <f>VLOOKUP(text(D431, "#"),'Master Table'!$A:$F, 6, FALSE)</f>
        <v>C-2</v>
      </c>
      <c r="N431" s="141"/>
      <c r="O431" s="142" t="str">
        <f t="shared" si="1"/>
        <v/>
      </c>
      <c r="P431" s="143" t="str">
        <f>IF(ISNA(VLOOKUP(CONCAT(M431,C431), 'Judge Count DO NOT EDIT'!H:H, 1, FALSE)), "ERROR","")</f>
        <v/>
      </c>
      <c r="Q431" s="141"/>
      <c r="R431" s="143"/>
      <c r="S431" s="139" t="str">
        <f t="shared" si="2"/>
        <v>1121221</v>
      </c>
      <c r="T431" s="141"/>
    </row>
    <row r="432">
      <c r="A432" s="137">
        <f>IFERROR(__xludf.DUMMYFUNCTION("""COMPUTED_VALUE"""),45352.71989032408)</f>
        <v>45352.71989</v>
      </c>
      <c r="B432" s="138" t="str">
        <f>IFERROR(__xludf.DUMMYFUNCTION("""COMPUTED_VALUE"""),"Hamza")</f>
        <v>Hamza</v>
      </c>
      <c r="C432" s="138">
        <f>IFERROR(__xludf.DUMMYFUNCTION("""COMPUTED_VALUE"""),1049.0)</f>
        <v>1049</v>
      </c>
      <c r="D432" s="139">
        <f>IFERROR(__xludf.DUMMYFUNCTION("""COMPUTED_VALUE"""),221.0)</f>
        <v>221</v>
      </c>
      <c r="E432" s="138">
        <f>IFERROR(__xludf.DUMMYFUNCTION("""COMPUTED_VALUE"""),3.0)</f>
        <v>3</v>
      </c>
      <c r="F432" s="138">
        <f>IFERROR(__xludf.DUMMYFUNCTION("""COMPUTED_VALUE"""),4.0)</f>
        <v>4</v>
      </c>
      <c r="G432" s="138">
        <f>IFERROR(__xludf.DUMMYFUNCTION("""COMPUTED_VALUE"""),2.0)</f>
        <v>2</v>
      </c>
      <c r="H432" s="138">
        <f>IFERROR(__xludf.DUMMYFUNCTION("""COMPUTED_VALUE"""),4.0)</f>
        <v>4</v>
      </c>
      <c r="I432" s="138">
        <f>IFERROR(__xludf.DUMMYFUNCTION("""COMPUTED_VALUE"""),3.0)</f>
        <v>3</v>
      </c>
      <c r="J432" s="138">
        <f>IFERROR(__xludf.DUMMYFUNCTION("""COMPUTED_VALUE"""),3.0)</f>
        <v>3</v>
      </c>
      <c r="K432" s="138">
        <f>IFERROR(__xludf.DUMMYFUNCTION("""COMPUTED_VALUE"""),3.0)</f>
        <v>3</v>
      </c>
      <c r="L432" s="138">
        <v>22.0</v>
      </c>
      <c r="M432" s="140" t="str">
        <f>VLOOKUP(text(D432, "#"),'Master Table'!$A:$F, 6, FALSE)</f>
        <v>C-2</v>
      </c>
      <c r="N432" s="141"/>
      <c r="O432" s="142" t="str">
        <f t="shared" si="1"/>
        <v/>
      </c>
      <c r="P432" s="143" t="str">
        <f>IF(ISNA(VLOOKUP(CONCAT(M432,C432), 'Judge Count DO NOT EDIT'!H:H, 1, FALSE)), "ERROR","")</f>
        <v/>
      </c>
      <c r="Q432" s="141"/>
      <c r="R432" s="143"/>
      <c r="S432" s="139" t="str">
        <f t="shared" si="2"/>
        <v>1049221</v>
      </c>
      <c r="T432" s="141"/>
    </row>
    <row r="433">
      <c r="A433" s="137">
        <f>IFERROR(__xludf.DUMMYFUNCTION("""COMPUTED_VALUE"""),45352.623440173615)</f>
        <v>45352.62344</v>
      </c>
      <c r="B433" s="138" t="str">
        <f>IFERROR(__xludf.DUMMYFUNCTION("""COMPUTED_VALUE"""),"Cripps")</f>
        <v>Cripps</v>
      </c>
      <c r="C433" s="138">
        <f>IFERROR(__xludf.DUMMYFUNCTION("""COMPUTED_VALUE"""),1069.0)</f>
        <v>1069</v>
      </c>
      <c r="D433" s="139">
        <f>IFERROR(__xludf.DUMMYFUNCTION("""COMPUTED_VALUE"""),222.0)</f>
        <v>222</v>
      </c>
      <c r="E433" s="138">
        <f>IFERROR(__xludf.DUMMYFUNCTION("""COMPUTED_VALUE"""),5.0)</f>
        <v>5</v>
      </c>
      <c r="F433" s="138">
        <f>IFERROR(__xludf.DUMMYFUNCTION("""COMPUTED_VALUE"""),4.0)</f>
        <v>4</v>
      </c>
      <c r="G433" s="138">
        <f>IFERROR(__xludf.DUMMYFUNCTION("""COMPUTED_VALUE"""),4.0)</f>
        <v>4</v>
      </c>
      <c r="H433" s="138">
        <f>IFERROR(__xludf.DUMMYFUNCTION("""COMPUTED_VALUE"""),2.0)</f>
        <v>2</v>
      </c>
      <c r="I433" s="138">
        <f>IFERROR(__xludf.DUMMYFUNCTION("""COMPUTED_VALUE"""),4.0)</f>
        <v>4</v>
      </c>
      <c r="J433" s="138">
        <f>IFERROR(__xludf.DUMMYFUNCTION("""COMPUTED_VALUE"""),3.0)</f>
        <v>3</v>
      </c>
      <c r="K433" s="138">
        <f>IFERROR(__xludf.DUMMYFUNCTION("""COMPUTED_VALUE"""),3.0)</f>
        <v>3</v>
      </c>
      <c r="L433" s="138">
        <v>25.0</v>
      </c>
      <c r="M433" s="140" t="str">
        <f>VLOOKUP(text(D433, "#"),'Master Table'!$A:$F, 6, FALSE)</f>
        <v>C-2</v>
      </c>
      <c r="N433" s="141"/>
      <c r="O433" s="142" t="str">
        <f t="shared" si="1"/>
        <v/>
      </c>
      <c r="P433" s="143" t="str">
        <f>IF(ISNA(VLOOKUP(CONCAT(M433,C433), 'Judge Count DO NOT EDIT'!H:H, 1, FALSE)), "ERROR","")</f>
        <v/>
      </c>
      <c r="Q433" s="141"/>
      <c r="R433" s="143"/>
      <c r="S433" s="139" t="str">
        <f t="shared" si="2"/>
        <v>1069222</v>
      </c>
      <c r="T433" s="141"/>
    </row>
    <row r="434">
      <c r="A434" s="137">
        <f>IFERROR(__xludf.DUMMYFUNCTION("""COMPUTED_VALUE"""),45352.642763125)</f>
        <v>45352.64276</v>
      </c>
      <c r="B434" s="138" t="str">
        <f>IFERROR(__xludf.DUMMYFUNCTION("""COMPUTED_VALUE"""),"Oliver")</f>
        <v>Oliver</v>
      </c>
      <c r="C434" s="138">
        <f>IFERROR(__xludf.DUMMYFUNCTION("""COMPUTED_VALUE"""),1105.0)</f>
        <v>1105</v>
      </c>
      <c r="D434" s="139">
        <f>IFERROR(__xludf.DUMMYFUNCTION("""COMPUTED_VALUE"""),222.0)</f>
        <v>222</v>
      </c>
      <c r="E434" s="138">
        <f>IFERROR(__xludf.DUMMYFUNCTION("""COMPUTED_VALUE"""),5.0)</f>
        <v>5</v>
      </c>
      <c r="F434" s="138">
        <f>IFERROR(__xludf.DUMMYFUNCTION("""COMPUTED_VALUE"""),5.0)</f>
        <v>5</v>
      </c>
      <c r="G434" s="138">
        <f>IFERROR(__xludf.DUMMYFUNCTION("""COMPUTED_VALUE"""),5.0)</f>
        <v>5</v>
      </c>
      <c r="H434" s="138">
        <f>IFERROR(__xludf.DUMMYFUNCTION("""COMPUTED_VALUE"""),5.0)</f>
        <v>5</v>
      </c>
      <c r="I434" s="138">
        <f>IFERROR(__xludf.DUMMYFUNCTION("""COMPUTED_VALUE"""),4.0)</f>
        <v>4</v>
      </c>
      <c r="J434" s="138">
        <f>IFERROR(__xludf.DUMMYFUNCTION("""COMPUTED_VALUE"""),5.0)</f>
        <v>5</v>
      </c>
      <c r="K434" s="138">
        <f>IFERROR(__xludf.DUMMYFUNCTION("""COMPUTED_VALUE"""),4.0)</f>
        <v>4</v>
      </c>
      <c r="L434" s="138">
        <v>33.0</v>
      </c>
      <c r="M434" s="140" t="str">
        <f>VLOOKUP(text(D434, "#"),'Master Table'!$A:$F, 6, FALSE)</f>
        <v>C-2</v>
      </c>
      <c r="N434" s="141" t="str">
        <f>IFERROR(__xludf.DUMMYFUNCTION("""COMPUTED_VALUE"""),"Simply a great presentation about such important research. I really appreciated the introduction to ALS and how it affects the body to remind those of us who know what ALS is, but don't think about it on a day to day basis. This gave it a very professiona"&amp;"l touch whereas others simply jumped into the technical details as if it were a class presentation. Chloe's delivery may have been a bit fast, but it did not detract from the overall message. I would have liked her to have walked us through the data plots"&amp;" in a little more detail to explain what each quadrant represented and how/why they differed. I know she was frustrated that she couldn't answer one of the questions more clearly, but these things happen and she handled it perfectly. Well done!")</f>
        <v>Simply a great presentation about such important research. I really appreciated the introduction to ALS and how it affects the body to remind those of us who know what ALS is, but don't think about it on a day to day basis. This gave it a very professional touch whereas others simply jumped into the technical details as if it were a class presentation. Chloe's delivery may have been a bit fast, but it did not detract from the overall message. I would have liked her to have walked us through the data plots in a little more detail to explain what each quadrant represented and how/why they differed. I know she was frustrated that she couldn't answer one of the questions more clearly, but these things happen and she handled it perfectly. Well done!</v>
      </c>
      <c r="O434" s="142" t="str">
        <f t="shared" si="1"/>
        <v/>
      </c>
      <c r="P434" s="143" t="str">
        <f>IF(ISNA(VLOOKUP(CONCAT(M434,C434), 'Judge Count DO NOT EDIT'!H:H, 1, FALSE)), "ERROR","")</f>
        <v/>
      </c>
      <c r="Q434" s="141"/>
      <c r="R434" s="143"/>
      <c r="S434" s="139" t="str">
        <f t="shared" si="2"/>
        <v>1105222</v>
      </c>
      <c r="T434" s="141"/>
    </row>
    <row r="435">
      <c r="A435" s="137">
        <f>IFERROR(__xludf.DUMMYFUNCTION("""COMPUTED_VALUE"""),45352.66830829861)</f>
        <v>45352.66831</v>
      </c>
      <c r="B435" s="138" t="str">
        <f>IFERROR(__xludf.DUMMYFUNCTION("""COMPUTED_VALUE"""),"Joseane Godinho ")</f>
        <v>Joseane Godinho </v>
      </c>
      <c r="C435" s="138">
        <f>IFERROR(__xludf.DUMMYFUNCTION("""COMPUTED_VALUE"""),1121.0)</f>
        <v>1121</v>
      </c>
      <c r="D435" s="139">
        <f>IFERROR(__xludf.DUMMYFUNCTION("""COMPUTED_VALUE"""),222.0)</f>
        <v>222</v>
      </c>
      <c r="E435" s="138">
        <f>IFERROR(__xludf.DUMMYFUNCTION("""COMPUTED_VALUE"""),3.0)</f>
        <v>3</v>
      </c>
      <c r="F435" s="138">
        <f>IFERROR(__xludf.DUMMYFUNCTION("""COMPUTED_VALUE"""),4.0)</f>
        <v>4</v>
      </c>
      <c r="G435" s="138">
        <f>IFERROR(__xludf.DUMMYFUNCTION("""COMPUTED_VALUE"""),4.0)</f>
        <v>4</v>
      </c>
      <c r="H435" s="138">
        <f>IFERROR(__xludf.DUMMYFUNCTION("""COMPUTED_VALUE"""),4.0)</f>
        <v>4</v>
      </c>
      <c r="I435" s="138">
        <f>IFERROR(__xludf.DUMMYFUNCTION("""COMPUTED_VALUE"""),3.0)</f>
        <v>3</v>
      </c>
      <c r="J435" s="138">
        <f>IFERROR(__xludf.DUMMYFUNCTION("""COMPUTED_VALUE"""),3.0)</f>
        <v>3</v>
      </c>
      <c r="K435" s="138">
        <f>IFERROR(__xludf.DUMMYFUNCTION("""COMPUTED_VALUE"""),3.0)</f>
        <v>3</v>
      </c>
      <c r="L435" s="138">
        <v>24.0</v>
      </c>
      <c r="M435" s="140" t="str">
        <f>VLOOKUP(text(D435, "#"),'Master Table'!$A:$F, 6, FALSE)</f>
        <v>C-2</v>
      </c>
      <c r="N435" s="141"/>
      <c r="O435" s="142" t="str">
        <f t="shared" si="1"/>
        <v/>
      </c>
      <c r="P435" s="143" t="str">
        <f>IF(ISNA(VLOOKUP(CONCAT(M435,C435), 'Judge Count DO NOT EDIT'!H:H, 1, FALSE)), "ERROR","")</f>
        <v/>
      </c>
      <c r="Q435" s="141"/>
      <c r="R435" s="143"/>
      <c r="S435" s="139" t="str">
        <f t="shared" si="2"/>
        <v>1121222</v>
      </c>
      <c r="T435" s="141"/>
    </row>
    <row r="436">
      <c r="A436" s="137">
        <f>IFERROR(__xludf.DUMMYFUNCTION("""COMPUTED_VALUE"""),45352.58444111111)</f>
        <v>45352.58444</v>
      </c>
      <c r="B436" s="138" t="str">
        <f>IFERROR(__xludf.DUMMYFUNCTION("""COMPUTED_VALUE"""),"Linda Abarbanell")</f>
        <v>Linda Abarbanell</v>
      </c>
      <c r="C436" s="138">
        <f>IFERROR(__xludf.DUMMYFUNCTION("""COMPUTED_VALUE"""),1129.0)</f>
        <v>1129</v>
      </c>
      <c r="D436" s="139">
        <f>IFERROR(__xludf.DUMMYFUNCTION("""COMPUTED_VALUE"""),223.0)</f>
        <v>223</v>
      </c>
      <c r="E436" s="138">
        <f>IFERROR(__xludf.DUMMYFUNCTION("""COMPUTED_VALUE"""),4.0)</f>
        <v>4</v>
      </c>
      <c r="F436" s="138">
        <f>IFERROR(__xludf.DUMMYFUNCTION("""COMPUTED_VALUE"""),4.0)</f>
        <v>4</v>
      </c>
      <c r="G436" s="138">
        <f>IFERROR(__xludf.DUMMYFUNCTION("""COMPUTED_VALUE"""),3.0)</f>
        <v>3</v>
      </c>
      <c r="H436" s="138">
        <f>IFERROR(__xludf.DUMMYFUNCTION("""COMPUTED_VALUE"""),3.0)</f>
        <v>3</v>
      </c>
      <c r="I436" s="138">
        <f>IFERROR(__xludf.DUMMYFUNCTION("""COMPUTED_VALUE"""),4.0)</f>
        <v>4</v>
      </c>
      <c r="J436" s="138">
        <f>IFERROR(__xludf.DUMMYFUNCTION("""COMPUTED_VALUE"""),4.0)</f>
        <v>4</v>
      </c>
      <c r="K436" s="138">
        <f>IFERROR(__xludf.DUMMYFUNCTION("""COMPUTED_VALUE"""),4.0)</f>
        <v>4</v>
      </c>
      <c r="L436" s="138">
        <v>26.0</v>
      </c>
      <c r="M436" s="140" t="str">
        <f>VLOOKUP(text(D436, "#"),'Master Table'!$A:$F, 6, FALSE)</f>
        <v>C-3</v>
      </c>
      <c r="N436" s="141" t="str">
        <f>IFERROR(__xludf.DUMMYFUNCTION("""COMPUTED_VALUE"""),"Very interesting topic, well presented with clear slides. Nice connections to theory throughout. ")</f>
        <v>Very interesting topic, well presented with clear slides. Nice connections to theory throughout. </v>
      </c>
      <c r="O436" s="142" t="str">
        <f t="shared" si="1"/>
        <v/>
      </c>
      <c r="P436" s="143" t="str">
        <f>IF(ISNA(VLOOKUP(CONCAT(M436,C436), 'Judge Count DO NOT EDIT'!H:H, 1, FALSE)), "ERROR","")</f>
        <v/>
      </c>
      <c r="Q436" s="141"/>
      <c r="R436" s="143"/>
      <c r="S436" s="139" t="str">
        <f t="shared" si="2"/>
        <v>1129223</v>
      </c>
      <c r="T436" s="141"/>
    </row>
    <row r="437">
      <c r="A437" s="137">
        <f>IFERROR(__xludf.DUMMYFUNCTION("""COMPUTED_VALUE"""),45352.7342965162)</f>
        <v>45352.7343</v>
      </c>
      <c r="B437" s="138" t="str">
        <f>IFERROR(__xludf.DUMMYFUNCTION("""COMPUTED_VALUE"""),"Jess Whatcott")</f>
        <v>Jess Whatcott</v>
      </c>
      <c r="C437" s="138">
        <f>IFERROR(__xludf.DUMMYFUNCTION("""COMPUTED_VALUE"""),1093.0)</f>
        <v>1093</v>
      </c>
      <c r="D437" s="139">
        <f>IFERROR(__xludf.DUMMYFUNCTION("""COMPUTED_VALUE"""),223.0)</f>
        <v>223</v>
      </c>
      <c r="E437" s="138">
        <f>IFERROR(__xludf.DUMMYFUNCTION("""COMPUTED_VALUE"""),4.0)</f>
        <v>4</v>
      </c>
      <c r="F437" s="138">
        <f>IFERROR(__xludf.DUMMYFUNCTION("""COMPUTED_VALUE"""),4.0)</f>
        <v>4</v>
      </c>
      <c r="G437" s="138">
        <f>IFERROR(__xludf.DUMMYFUNCTION("""COMPUTED_VALUE"""),5.0)</f>
        <v>5</v>
      </c>
      <c r="H437" s="138">
        <f>IFERROR(__xludf.DUMMYFUNCTION("""COMPUTED_VALUE"""),3.0)</f>
        <v>3</v>
      </c>
      <c r="I437" s="138">
        <f>IFERROR(__xludf.DUMMYFUNCTION("""COMPUTED_VALUE"""),5.0)</f>
        <v>5</v>
      </c>
      <c r="J437" s="138">
        <f>IFERROR(__xludf.DUMMYFUNCTION("""COMPUTED_VALUE"""),5.0)</f>
        <v>5</v>
      </c>
      <c r="K437" s="138">
        <f>IFERROR(__xludf.DUMMYFUNCTION("""COMPUTED_VALUE"""),5.0)</f>
        <v>5</v>
      </c>
      <c r="L437" s="138">
        <v>31.0</v>
      </c>
      <c r="M437" s="140" t="str">
        <f>VLOOKUP(text(D437, "#"),'Master Table'!$A:$F, 6, FALSE)</f>
        <v>C-3</v>
      </c>
      <c r="N437" s="141" t="str">
        <f>IFERROR(__xludf.DUMMYFUNCTION("""COMPUTED_VALUE"""),"Well-rehearsed, confident presentation style. Strong answers to audience questions. 
An extremely compelling topic with unique methodology.
The argument/thesis got a little lost in theory -- most clear and compelling claim is that ""children are active in"&amp;" creating their reality."" Foreground that point, and everything else falls into place as evidence to support your claim. 
Before jumping into the theoretical analysis of each case, which was compelling, it would be great to hear more of a brief introduct"&amp;"ion of each case and where their stories came from.
It would also be great to hear more reflection on what is available to know about these children, given that their stories are refracted through social worker interpretations.
Through the questions and a"&amp;"nswers, I learned a lot more about the methodology that was very helpful.")</f>
        <v>Well-rehearsed, confident presentation style. Strong answers to audience questions. 
An extremely compelling topic with unique methodology.
The argument/thesis got a little lost in theory -- most clear and compelling claim is that "children are active in creating their reality." Foreground that point, and everything else falls into place as evidence to support your claim. 
Before jumping into the theoretical analysis of each case, which was compelling, it would be great to hear more of a brief introduction of each case and where their stories came from.
It would also be great to hear more reflection on what is available to know about these children, given that their stories are refracted through social worker interpretations.
Through the questions and answers, I learned a lot more about the methodology that was very helpful.</v>
      </c>
      <c r="O437" s="142" t="str">
        <f t="shared" si="1"/>
        <v/>
      </c>
      <c r="P437" s="143" t="str">
        <f>IF(ISNA(VLOOKUP(CONCAT(M437,C437), 'Judge Count DO NOT EDIT'!H:H, 1, FALSE)), "ERROR","")</f>
        <v/>
      </c>
      <c r="Q437" s="141"/>
      <c r="R437" s="143"/>
      <c r="S437" s="139" t="str">
        <f t="shared" si="2"/>
        <v>1093223</v>
      </c>
      <c r="T437" s="141"/>
    </row>
    <row r="438">
      <c r="A438" s="137">
        <f>IFERROR(__xludf.DUMMYFUNCTION("""COMPUTED_VALUE"""),45352.861098587964)</f>
        <v>45352.8611</v>
      </c>
      <c r="B438" s="138" t="str">
        <f>IFERROR(__xludf.DUMMYFUNCTION("""COMPUTED_VALUE"""),"Jules Bunn")</f>
        <v>Jules Bunn</v>
      </c>
      <c r="C438" s="138">
        <f>IFERROR(__xludf.DUMMYFUNCTION("""COMPUTED_VALUE"""),1084.0)</f>
        <v>1084</v>
      </c>
      <c r="D438" s="139">
        <f>IFERROR(__xludf.DUMMYFUNCTION("""COMPUTED_VALUE"""),223.0)</f>
        <v>223</v>
      </c>
      <c r="E438" s="138">
        <f>IFERROR(__xludf.DUMMYFUNCTION("""COMPUTED_VALUE"""),4.0)</f>
        <v>4</v>
      </c>
      <c r="F438" s="138">
        <f>IFERROR(__xludf.DUMMYFUNCTION("""COMPUTED_VALUE"""),5.0)</f>
        <v>5</v>
      </c>
      <c r="G438" s="138">
        <f>IFERROR(__xludf.DUMMYFUNCTION("""COMPUTED_VALUE"""),4.0)</f>
        <v>4</v>
      </c>
      <c r="H438" s="138">
        <f>IFERROR(__xludf.DUMMYFUNCTION("""COMPUTED_VALUE"""),3.0)</f>
        <v>3</v>
      </c>
      <c r="I438" s="138">
        <f>IFERROR(__xludf.DUMMYFUNCTION("""COMPUTED_VALUE"""),3.0)</f>
        <v>3</v>
      </c>
      <c r="J438" s="138">
        <f>IFERROR(__xludf.DUMMYFUNCTION("""COMPUTED_VALUE"""),4.0)</f>
        <v>4</v>
      </c>
      <c r="K438" s="138">
        <f>IFERROR(__xludf.DUMMYFUNCTION("""COMPUTED_VALUE"""),4.0)</f>
        <v>4</v>
      </c>
      <c r="L438" s="138">
        <v>27.0</v>
      </c>
      <c r="M438" s="140" t="str">
        <f>VLOOKUP(text(D438, "#"),'Master Table'!$A:$F, 6, FALSE)</f>
        <v>C-3</v>
      </c>
      <c r="N438" s="141"/>
      <c r="O438" s="142" t="str">
        <f t="shared" si="1"/>
        <v/>
      </c>
      <c r="P438" s="143" t="str">
        <f>IF(ISNA(VLOOKUP(CONCAT(M438,C438), 'Judge Count DO NOT EDIT'!H:H, 1, FALSE)), "ERROR","")</f>
        <v/>
      </c>
      <c r="Q438" s="141"/>
      <c r="R438" s="143"/>
      <c r="S438" s="139" t="str">
        <f t="shared" si="2"/>
        <v>1084223</v>
      </c>
      <c r="T438" s="141"/>
    </row>
    <row r="439">
      <c r="A439" s="137">
        <f>IFERROR(__xludf.DUMMYFUNCTION("""COMPUTED_VALUE"""),45352.58535246528)</f>
        <v>45352.58535</v>
      </c>
      <c r="B439" s="138" t="str">
        <f>IFERROR(__xludf.DUMMYFUNCTION("""COMPUTED_VALUE"""),"Linda Abarbanell")</f>
        <v>Linda Abarbanell</v>
      </c>
      <c r="C439" s="138">
        <f>IFERROR(__xludf.DUMMYFUNCTION("""COMPUTED_VALUE"""),1129.0)</f>
        <v>1129</v>
      </c>
      <c r="D439" s="139">
        <f>IFERROR(__xludf.DUMMYFUNCTION("""COMPUTED_VALUE"""),224.0)</f>
        <v>224</v>
      </c>
      <c r="E439" s="138">
        <f>IFERROR(__xludf.DUMMYFUNCTION("""COMPUTED_VALUE"""),4.0)</f>
        <v>4</v>
      </c>
      <c r="F439" s="138">
        <f>IFERROR(__xludf.DUMMYFUNCTION("""COMPUTED_VALUE"""),3.0)</f>
        <v>3</v>
      </c>
      <c r="G439" s="138">
        <f>IFERROR(__xludf.DUMMYFUNCTION("""COMPUTED_VALUE"""),3.0)</f>
        <v>3</v>
      </c>
      <c r="H439" s="138">
        <f>IFERROR(__xludf.DUMMYFUNCTION("""COMPUTED_VALUE"""),3.0)</f>
        <v>3</v>
      </c>
      <c r="I439" s="138">
        <f>IFERROR(__xludf.DUMMYFUNCTION("""COMPUTED_VALUE"""),3.0)</f>
        <v>3</v>
      </c>
      <c r="J439" s="138">
        <f>IFERROR(__xludf.DUMMYFUNCTION("""COMPUTED_VALUE"""),3.0)</f>
        <v>3</v>
      </c>
      <c r="K439" s="138">
        <f>IFERROR(__xludf.DUMMYFUNCTION("""COMPUTED_VALUE"""),3.0)</f>
        <v>3</v>
      </c>
      <c r="L439" s="138">
        <v>22.0</v>
      </c>
      <c r="M439" s="140" t="str">
        <f>VLOOKUP(text(D439, "#"),'Master Table'!$A:$F, 6, FALSE)</f>
        <v>C-3</v>
      </c>
      <c r="N439" s="141" t="str">
        <f>IFERROR(__xludf.DUMMYFUNCTION("""COMPUTED_VALUE"""),"Very interesting topic and a good, clear presentation. The presenter conveyed his enthusiasm for the research topic. ")</f>
        <v>Very interesting topic and a good, clear presentation. The presenter conveyed his enthusiasm for the research topic. </v>
      </c>
      <c r="O439" s="142" t="str">
        <f t="shared" si="1"/>
        <v/>
      </c>
      <c r="P439" s="143" t="str">
        <f>IF(ISNA(VLOOKUP(CONCAT(M439,C439), 'Judge Count DO NOT EDIT'!H:H, 1, FALSE)), "ERROR","")</f>
        <v/>
      </c>
      <c r="Q439" s="141"/>
      <c r="R439" s="143"/>
      <c r="S439" s="139" t="str">
        <f t="shared" si="2"/>
        <v>1129224</v>
      </c>
      <c r="T439" s="141"/>
    </row>
    <row r="440">
      <c r="A440" s="137">
        <f>IFERROR(__xludf.DUMMYFUNCTION("""COMPUTED_VALUE"""),45352.7417190625)</f>
        <v>45352.74172</v>
      </c>
      <c r="B440" s="138" t="str">
        <f>IFERROR(__xludf.DUMMYFUNCTION("""COMPUTED_VALUE"""),"Jess Whatcott")</f>
        <v>Jess Whatcott</v>
      </c>
      <c r="C440" s="138">
        <f>IFERROR(__xludf.DUMMYFUNCTION("""COMPUTED_VALUE"""),1093.0)</f>
        <v>1093</v>
      </c>
      <c r="D440" s="139">
        <f>IFERROR(__xludf.DUMMYFUNCTION("""COMPUTED_VALUE"""),224.0)</f>
        <v>224</v>
      </c>
      <c r="E440" s="138">
        <f>IFERROR(__xludf.DUMMYFUNCTION("""COMPUTED_VALUE"""),4.0)</f>
        <v>4</v>
      </c>
      <c r="F440" s="138">
        <f>IFERROR(__xludf.DUMMYFUNCTION("""COMPUTED_VALUE"""),2.0)</f>
        <v>2</v>
      </c>
      <c r="G440" s="138">
        <f>IFERROR(__xludf.DUMMYFUNCTION("""COMPUTED_VALUE"""),3.0)</f>
        <v>3</v>
      </c>
      <c r="H440" s="138">
        <f>IFERROR(__xludf.DUMMYFUNCTION("""COMPUTED_VALUE"""),3.0)</f>
        <v>3</v>
      </c>
      <c r="I440" s="138">
        <f>IFERROR(__xludf.DUMMYFUNCTION("""COMPUTED_VALUE"""),4.0)</f>
        <v>4</v>
      </c>
      <c r="J440" s="138">
        <f>IFERROR(__xludf.DUMMYFUNCTION("""COMPUTED_VALUE"""),4.0)</f>
        <v>4</v>
      </c>
      <c r="K440" s="138">
        <f>IFERROR(__xludf.DUMMYFUNCTION("""COMPUTED_VALUE"""),4.0)</f>
        <v>4</v>
      </c>
      <c r="L440" s="138">
        <v>24.0</v>
      </c>
      <c r="M440" s="140" t="str">
        <f>VLOOKUP(text(D440, "#"),'Master Table'!$A:$F, 6, FALSE)</f>
        <v>C-3</v>
      </c>
      <c r="N440" s="141" t="str">
        <f>IFERROR(__xludf.DUMMYFUNCTION("""COMPUTED_VALUE"""),"Well-rehearsed presentation, clearly this student has given many presentations before. 
Organized presentation with clear beginning, middle, and end.
Comfortable responses to audience questions.
This is a topic that many people are very interested and pas"&amp;"sionate in, it's a great path to go for a senior thesis. 
At least one concrete example from media treatment of women in sport would be very helpful to illustrate your model, otherwise the model is very abstract.
I encourage the student to revisit the ide"&amp;"a that you can't challenge the ""facts"" about women's biology. In ""fact,"" there is a lot of scholarship that challenges assumptions about women performing less well in sport than men. One point is that the average woman athlete is stronger, faster than"&amp;" the average man who is not an athlete. Professional women athletes can outperform the average guy on the street any day, but there are dominant discourses to the contrary. The question then becomes, how do messages about women and sport reinforce the ass"&amp;"umption that women are less capable of athletics than men. ")</f>
        <v>Well-rehearsed presentation, clearly this student has given many presentations before. 
Organized presentation with clear beginning, middle, and end.
Comfortable responses to audience questions.
This is a topic that many people are very interested and passionate in, it's a great path to go for a senior thesis. 
At least one concrete example from media treatment of women in sport would be very helpful to illustrate your model, otherwise the model is very abstract.
I encourage the student to revisit the idea that you can't challenge the "facts" about women's biology. In "fact," there is a lot of scholarship that challenges assumptions about women performing less well in sport than men. One point is that the average woman athlete is stronger, faster than the average man who is not an athlete. Professional women athletes can outperform the average guy on the street any day, but there are dominant discourses to the contrary. The question then becomes, how do messages about women and sport reinforce the assumption that women are less capable of athletics than men. </v>
      </c>
      <c r="O440" s="142" t="str">
        <f t="shared" si="1"/>
        <v/>
      </c>
      <c r="P440" s="143" t="str">
        <f>IF(ISNA(VLOOKUP(CONCAT(M440,C440), 'Judge Count DO NOT EDIT'!H:H, 1, FALSE)), "ERROR","")</f>
        <v/>
      </c>
      <c r="Q440" s="141"/>
      <c r="R440" s="143"/>
      <c r="S440" s="139" t="str">
        <f t="shared" si="2"/>
        <v>1093224</v>
      </c>
      <c r="T440" s="141"/>
    </row>
    <row r="441">
      <c r="A441" s="137">
        <f>IFERROR(__xludf.DUMMYFUNCTION("""COMPUTED_VALUE"""),45352.8619893287)</f>
        <v>45352.86199</v>
      </c>
      <c r="B441" s="138" t="str">
        <f>IFERROR(__xludf.DUMMYFUNCTION("""COMPUTED_VALUE"""),"Jules Bunn")</f>
        <v>Jules Bunn</v>
      </c>
      <c r="C441" s="138">
        <f>IFERROR(__xludf.DUMMYFUNCTION("""COMPUTED_VALUE"""),1084.0)</f>
        <v>1084</v>
      </c>
      <c r="D441" s="139">
        <f>IFERROR(__xludf.DUMMYFUNCTION("""COMPUTED_VALUE"""),224.0)</f>
        <v>224</v>
      </c>
      <c r="E441" s="138">
        <f>IFERROR(__xludf.DUMMYFUNCTION("""COMPUTED_VALUE"""),4.0)</f>
        <v>4</v>
      </c>
      <c r="F441" s="138">
        <f>IFERROR(__xludf.DUMMYFUNCTION("""COMPUTED_VALUE"""),4.0)</f>
        <v>4</v>
      </c>
      <c r="G441" s="138">
        <f>IFERROR(__xludf.DUMMYFUNCTION("""COMPUTED_VALUE"""),5.0)</f>
        <v>5</v>
      </c>
      <c r="H441" s="138">
        <f>IFERROR(__xludf.DUMMYFUNCTION("""COMPUTED_VALUE"""),4.0)</f>
        <v>4</v>
      </c>
      <c r="I441" s="138">
        <f>IFERROR(__xludf.DUMMYFUNCTION("""COMPUTED_VALUE"""),5.0)</f>
        <v>5</v>
      </c>
      <c r="J441" s="138">
        <f>IFERROR(__xludf.DUMMYFUNCTION("""COMPUTED_VALUE"""),4.0)</f>
        <v>4</v>
      </c>
      <c r="K441" s="138">
        <f>IFERROR(__xludf.DUMMYFUNCTION("""COMPUTED_VALUE"""),3.0)</f>
        <v>3</v>
      </c>
      <c r="L441" s="138">
        <v>29.0</v>
      </c>
      <c r="M441" s="140" t="str">
        <f>VLOOKUP(text(D441, "#"),'Master Table'!$A:$F, 6, FALSE)</f>
        <v>C-3</v>
      </c>
      <c r="N441" s="141"/>
      <c r="O441" s="142" t="str">
        <f t="shared" si="1"/>
        <v/>
      </c>
      <c r="P441" s="143" t="str">
        <f>IF(ISNA(VLOOKUP(CONCAT(M441,C441), 'Judge Count DO NOT EDIT'!H:H, 1, FALSE)), "ERROR","")</f>
        <v/>
      </c>
      <c r="Q441" s="141"/>
      <c r="R441" s="143"/>
      <c r="S441" s="139" t="str">
        <f t="shared" si="2"/>
        <v>1084224</v>
      </c>
      <c r="T441" s="141"/>
    </row>
    <row r="442">
      <c r="A442" s="137">
        <f>IFERROR(__xludf.DUMMYFUNCTION("""COMPUTED_VALUE"""),45352.58645641204)</f>
        <v>45352.58646</v>
      </c>
      <c r="B442" s="138" t="str">
        <f>IFERROR(__xludf.DUMMYFUNCTION("""COMPUTED_VALUE"""),"Linda Abarbanell")</f>
        <v>Linda Abarbanell</v>
      </c>
      <c r="C442" s="138">
        <f>IFERROR(__xludf.DUMMYFUNCTION("""COMPUTED_VALUE"""),1129.0)</f>
        <v>1129</v>
      </c>
      <c r="D442" s="139">
        <f>IFERROR(__xludf.DUMMYFUNCTION("""COMPUTED_VALUE"""),225.0)</f>
        <v>225</v>
      </c>
      <c r="E442" s="138">
        <f>IFERROR(__xludf.DUMMYFUNCTION("""COMPUTED_VALUE"""),5.0)</f>
        <v>5</v>
      </c>
      <c r="F442" s="138">
        <f>IFERROR(__xludf.DUMMYFUNCTION("""COMPUTED_VALUE"""),5.0)</f>
        <v>5</v>
      </c>
      <c r="G442" s="138">
        <f>IFERROR(__xludf.DUMMYFUNCTION("""COMPUTED_VALUE"""),5.0)</f>
        <v>5</v>
      </c>
      <c r="H442" s="138">
        <f>IFERROR(__xludf.DUMMYFUNCTION("""COMPUTED_VALUE"""),5.0)</f>
        <v>5</v>
      </c>
      <c r="I442" s="138">
        <f>IFERROR(__xludf.DUMMYFUNCTION("""COMPUTED_VALUE"""),4.0)</f>
        <v>4</v>
      </c>
      <c r="J442" s="138">
        <f>IFERROR(__xludf.DUMMYFUNCTION("""COMPUTED_VALUE"""),5.0)</f>
        <v>5</v>
      </c>
      <c r="K442" s="138">
        <f>IFERROR(__xludf.DUMMYFUNCTION("""COMPUTED_VALUE"""),4.0)</f>
        <v>4</v>
      </c>
      <c r="L442" s="138">
        <v>33.0</v>
      </c>
      <c r="M442" s="140" t="str">
        <f>VLOOKUP(text(D442, "#"),'Master Table'!$A:$F, 6, FALSE)</f>
        <v>C-3</v>
      </c>
      <c r="N442" s="141" t="str">
        <f>IFERROR(__xludf.DUMMYFUNCTION("""COMPUTED_VALUE"""),"Really interesting and important research. Beautiful slides. I encourage the presenter to share her study and findings with the museum. ")</f>
        <v>Really interesting and important research. Beautiful slides. I encourage the presenter to share her study and findings with the museum. </v>
      </c>
      <c r="O442" s="142" t="str">
        <f t="shared" si="1"/>
        <v/>
      </c>
      <c r="P442" s="143" t="str">
        <f>IF(ISNA(VLOOKUP(CONCAT(M442,C442), 'Judge Count DO NOT EDIT'!H:H, 1, FALSE)), "ERROR","")</f>
        <v/>
      </c>
      <c r="Q442" s="141"/>
      <c r="R442" s="143"/>
      <c r="S442" s="139" t="str">
        <f t="shared" si="2"/>
        <v>1129225</v>
      </c>
      <c r="T442" s="141"/>
    </row>
    <row r="443">
      <c r="A443" s="137">
        <f>IFERROR(__xludf.DUMMYFUNCTION("""COMPUTED_VALUE"""),45352.744908912035)</f>
        <v>45352.74491</v>
      </c>
      <c r="B443" s="138" t="str">
        <f>IFERROR(__xludf.DUMMYFUNCTION("""COMPUTED_VALUE"""),"Jess Whatcott")</f>
        <v>Jess Whatcott</v>
      </c>
      <c r="C443" s="138">
        <f>IFERROR(__xludf.DUMMYFUNCTION("""COMPUTED_VALUE"""),1093.0)</f>
        <v>1093</v>
      </c>
      <c r="D443" s="139">
        <f>IFERROR(__xludf.DUMMYFUNCTION("""COMPUTED_VALUE"""),225.0)</f>
        <v>225</v>
      </c>
      <c r="E443" s="138">
        <f>IFERROR(__xludf.DUMMYFUNCTION("""COMPUTED_VALUE"""),5.0)</f>
        <v>5</v>
      </c>
      <c r="F443" s="138">
        <f>IFERROR(__xludf.DUMMYFUNCTION("""COMPUTED_VALUE"""),5.0)</f>
        <v>5</v>
      </c>
      <c r="G443" s="138">
        <f>IFERROR(__xludf.DUMMYFUNCTION("""COMPUTED_VALUE"""),5.0)</f>
        <v>5</v>
      </c>
      <c r="H443" s="138">
        <f>IFERROR(__xludf.DUMMYFUNCTION("""COMPUTED_VALUE"""),5.0)</f>
        <v>5</v>
      </c>
      <c r="I443" s="138">
        <f>IFERROR(__xludf.DUMMYFUNCTION("""COMPUTED_VALUE"""),5.0)</f>
        <v>5</v>
      </c>
      <c r="J443" s="138">
        <f>IFERROR(__xludf.DUMMYFUNCTION("""COMPUTED_VALUE"""),5.0)</f>
        <v>5</v>
      </c>
      <c r="K443" s="138">
        <f>IFERROR(__xludf.DUMMYFUNCTION("""COMPUTED_VALUE"""),5.0)</f>
        <v>5</v>
      </c>
      <c r="L443" s="138">
        <v>35.0</v>
      </c>
      <c r="M443" s="140" t="str">
        <f>VLOOKUP(text(D443, "#"),'Master Table'!$A:$F, 6, FALSE)</f>
        <v>C-3</v>
      </c>
      <c r="N443" s="141" t="str">
        <f>IFERROR(__xludf.DUMMYFUNCTION("""COMPUTED_VALUE"""),"This was a really strong project, very clear methodology, and really original topic. 
Well-rehearsed and strongly organized presentation. 
Great job responding to audience questions.
Great abstract.
Impressed with inclusive language and the wide range of "&amp;"disabilities that were considered. 
Encourage the presenter to continue working on this topic, but to also consider community stakeholder involvement in determining museum accessiblity, as she mentioned during one the questions.")</f>
        <v>This was a really strong project, very clear methodology, and really original topic. 
Well-rehearsed and strongly organized presentation. 
Great job responding to audience questions.
Great abstract.
Impressed with inclusive language and the wide range of disabilities that were considered. 
Encourage the presenter to continue working on this topic, but to also consider community stakeholder involvement in determining museum accessiblity, as she mentioned during one the questions.</v>
      </c>
      <c r="O443" s="142" t="str">
        <f t="shared" si="1"/>
        <v/>
      </c>
      <c r="P443" s="143" t="str">
        <f>IF(ISNA(VLOOKUP(CONCAT(M443,C443), 'Judge Count DO NOT EDIT'!H:H, 1, FALSE)), "ERROR","")</f>
        <v/>
      </c>
      <c r="Q443" s="141"/>
      <c r="R443" s="143"/>
      <c r="S443" s="139" t="str">
        <f t="shared" si="2"/>
        <v>1093225</v>
      </c>
      <c r="T443" s="141"/>
    </row>
    <row r="444">
      <c r="A444" s="137">
        <f>IFERROR(__xludf.DUMMYFUNCTION("""COMPUTED_VALUE"""),45352.86268309028)</f>
        <v>45352.86268</v>
      </c>
      <c r="B444" s="138" t="str">
        <f>IFERROR(__xludf.DUMMYFUNCTION("""COMPUTED_VALUE"""),"Jules Bunn")</f>
        <v>Jules Bunn</v>
      </c>
      <c r="C444" s="138">
        <f>IFERROR(__xludf.DUMMYFUNCTION("""COMPUTED_VALUE"""),1084.0)</f>
        <v>1084</v>
      </c>
      <c r="D444" s="139">
        <f>IFERROR(__xludf.DUMMYFUNCTION("""COMPUTED_VALUE"""),225.0)</f>
        <v>225</v>
      </c>
      <c r="E444" s="138">
        <f>IFERROR(__xludf.DUMMYFUNCTION("""COMPUTED_VALUE"""),3.0)</f>
        <v>3</v>
      </c>
      <c r="F444" s="138">
        <f>IFERROR(__xludf.DUMMYFUNCTION("""COMPUTED_VALUE"""),5.0)</f>
        <v>5</v>
      </c>
      <c r="G444" s="138">
        <f>IFERROR(__xludf.DUMMYFUNCTION("""COMPUTED_VALUE"""),2.0)</f>
        <v>2</v>
      </c>
      <c r="H444" s="138">
        <f>IFERROR(__xludf.DUMMYFUNCTION("""COMPUTED_VALUE"""),3.0)</f>
        <v>3</v>
      </c>
      <c r="I444" s="138">
        <f>IFERROR(__xludf.DUMMYFUNCTION("""COMPUTED_VALUE"""),3.0)</f>
        <v>3</v>
      </c>
      <c r="J444" s="138">
        <f>IFERROR(__xludf.DUMMYFUNCTION("""COMPUTED_VALUE"""),4.0)</f>
        <v>4</v>
      </c>
      <c r="K444" s="138">
        <f>IFERROR(__xludf.DUMMYFUNCTION("""COMPUTED_VALUE"""),3.0)</f>
        <v>3</v>
      </c>
      <c r="L444" s="138">
        <v>23.0</v>
      </c>
      <c r="M444" s="140" t="str">
        <f>VLOOKUP(text(D444, "#"),'Master Table'!$A:$F, 6, FALSE)</f>
        <v>C-3</v>
      </c>
      <c r="N444" s="141"/>
      <c r="O444" s="142" t="str">
        <f t="shared" si="1"/>
        <v/>
      </c>
      <c r="P444" s="143" t="str">
        <f>IF(ISNA(VLOOKUP(CONCAT(M444,C444), 'Judge Count DO NOT EDIT'!H:H, 1, FALSE)), "ERROR","")</f>
        <v/>
      </c>
      <c r="Q444" s="141"/>
      <c r="R444" s="143"/>
      <c r="S444" s="139" t="str">
        <f t="shared" si="2"/>
        <v>1084225</v>
      </c>
      <c r="T444" s="141"/>
    </row>
    <row r="445">
      <c r="A445" s="137">
        <f>IFERROR(__xludf.DUMMYFUNCTION("""COMPUTED_VALUE"""),45352.62757791667)</f>
        <v>45352.62758</v>
      </c>
      <c r="B445" s="138" t="str">
        <f>IFERROR(__xludf.DUMMYFUNCTION("""COMPUTED_VALUE"""),"Linda Abarbanell")</f>
        <v>Linda Abarbanell</v>
      </c>
      <c r="C445" s="138">
        <f>IFERROR(__xludf.DUMMYFUNCTION("""COMPUTED_VALUE"""),1129.0)</f>
        <v>1129</v>
      </c>
      <c r="D445" s="139">
        <f>IFERROR(__xludf.DUMMYFUNCTION("""COMPUTED_VALUE"""),226.0)</f>
        <v>226</v>
      </c>
      <c r="E445" s="138">
        <f>IFERROR(__xludf.DUMMYFUNCTION("""COMPUTED_VALUE"""),3.0)</f>
        <v>3</v>
      </c>
      <c r="F445" s="138">
        <f>IFERROR(__xludf.DUMMYFUNCTION("""COMPUTED_VALUE"""),5.0)</f>
        <v>5</v>
      </c>
      <c r="G445" s="138">
        <f>IFERROR(__xludf.DUMMYFUNCTION("""COMPUTED_VALUE"""),5.0)</f>
        <v>5</v>
      </c>
      <c r="H445" s="138">
        <f>IFERROR(__xludf.DUMMYFUNCTION("""COMPUTED_VALUE"""),2.0)</f>
        <v>2</v>
      </c>
      <c r="I445" s="138">
        <f>IFERROR(__xludf.DUMMYFUNCTION("""COMPUTED_VALUE"""),3.0)</f>
        <v>3</v>
      </c>
      <c r="J445" s="138">
        <f>IFERROR(__xludf.DUMMYFUNCTION("""COMPUTED_VALUE"""),4.0)</f>
        <v>4</v>
      </c>
      <c r="K445" s="138">
        <f>IFERROR(__xludf.DUMMYFUNCTION("""COMPUTED_VALUE"""),4.0)</f>
        <v>4</v>
      </c>
      <c r="L445" s="138">
        <v>26.0</v>
      </c>
      <c r="M445" s="140" t="str">
        <f>VLOOKUP(text(D445, "#"),'Master Table'!$A:$F, 6, FALSE)</f>
        <v>C-3</v>
      </c>
      <c r="N445" s="141" t="str">
        <f>IFERROR(__xludf.DUMMYFUNCTION("""COMPUTED_VALUE"""),"Really interesting and important topic. Very impressive for a 1st year student! I can't want to see where he goes with this and what he presents next year. ")</f>
        <v>Really interesting and important topic. Very impressive for a 1st year student! I can't want to see where he goes with this and what he presents next year. </v>
      </c>
      <c r="O445" s="142" t="str">
        <f t="shared" si="1"/>
        <v/>
      </c>
      <c r="P445" s="143" t="str">
        <f>IF(ISNA(VLOOKUP(CONCAT(M445,C445), 'Judge Count DO NOT EDIT'!H:H, 1, FALSE)), "ERROR","")</f>
        <v/>
      </c>
      <c r="Q445" s="141"/>
      <c r="R445" s="143"/>
      <c r="S445" s="139" t="str">
        <f t="shared" si="2"/>
        <v>1129226</v>
      </c>
      <c r="T445" s="141"/>
    </row>
    <row r="446">
      <c r="A446" s="137">
        <f>IFERROR(__xludf.DUMMYFUNCTION("""COMPUTED_VALUE"""),45352.74861185186)</f>
        <v>45352.74861</v>
      </c>
      <c r="B446" s="138" t="str">
        <f>IFERROR(__xludf.DUMMYFUNCTION("""COMPUTED_VALUE"""),"Jess Whatcott")</f>
        <v>Jess Whatcott</v>
      </c>
      <c r="C446" s="138">
        <f>IFERROR(__xludf.DUMMYFUNCTION("""COMPUTED_VALUE"""),1093.0)</f>
        <v>1093</v>
      </c>
      <c r="D446" s="139">
        <f>IFERROR(__xludf.DUMMYFUNCTION("""COMPUTED_VALUE"""),226.0)</f>
        <v>226</v>
      </c>
      <c r="E446" s="138">
        <f>IFERROR(__xludf.DUMMYFUNCTION("""COMPUTED_VALUE"""),3.0)</f>
        <v>3</v>
      </c>
      <c r="F446" s="138">
        <f>IFERROR(__xludf.DUMMYFUNCTION("""COMPUTED_VALUE"""),4.0)</f>
        <v>4</v>
      </c>
      <c r="G446" s="138">
        <f>IFERROR(__xludf.DUMMYFUNCTION("""COMPUTED_VALUE"""),4.0)</f>
        <v>4</v>
      </c>
      <c r="H446" s="138">
        <f>IFERROR(__xludf.DUMMYFUNCTION("""COMPUTED_VALUE"""),3.0)</f>
        <v>3</v>
      </c>
      <c r="I446" s="138">
        <f>IFERROR(__xludf.DUMMYFUNCTION("""COMPUTED_VALUE"""),3.0)</f>
        <v>3</v>
      </c>
      <c r="J446" s="138">
        <f>IFERROR(__xludf.DUMMYFUNCTION("""COMPUTED_VALUE"""),4.0)</f>
        <v>4</v>
      </c>
      <c r="K446" s="138">
        <f>IFERROR(__xludf.DUMMYFUNCTION("""COMPUTED_VALUE"""),5.0)</f>
        <v>5</v>
      </c>
      <c r="L446" s="138">
        <v>26.0</v>
      </c>
      <c r="M446" s="140" t="str">
        <f>VLOOKUP(text(D446, "#"),'Master Table'!$A:$F, 6, FALSE)</f>
        <v>C-3</v>
      </c>
      <c r="N446" s="141" t="str">
        <f>IFERROR(__xludf.DUMMYFUNCTION("""COMPUTED_VALUE"""),"A really interesting topic and compelling argument. It is still a bit underdeveloped at this point. With some further research, and thinking through the methodology, this will be a great research project. 
There was a slide at the beginning that suggested"&amp;" that the presenter was going to ""challenge the idea that incel culture is harmful/dangerous."" I had a cringe moment before the presenter moved on and I realized that is not exactly what they meant. Work to clarify the point, as I understand it, that yo"&amp;"u are arguing that it is not a mental health issue, it is an issue of misogyny. 
Confident presentation and response to question. Clearly the presenter had done a lot of research and knew a lot about the topic. ")</f>
        <v>A really interesting topic and compelling argument. It is still a bit underdeveloped at this point. With some further research, and thinking through the methodology, this will be a great research project. 
There was a slide at the beginning that suggested that the presenter was going to "challenge the idea that incel culture is harmful/dangerous." I had a cringe moment before the presenter moved on and I realized that is not exactly what they meant. Work to clarify the point, as I understand it, that you are arguing that it is not a mental health issue, it is an issue of misogyny. 
Confident presentation and response to question. Clearly the presenter had done a lot of research and knew a lot about the topic. </v>
      </c>
      <c r="O446" s="142" t="str">
        <f t="shared" si="1"/>
        <v/>
      </c>
      <c r="P446" s="143" t="str">
        <f>IF(ISNA(VLOOKUP(CONCAT(M446,C446), 'Judge Count DO NOT EDIT'!H:H, 1, FALSE)), "ERROR","")</f>
        <v/>
      </c>
      <c r="Q446" s="141"/>
      <c r="R446" s="143"/>
      <c r="S446" s="139" t="str">
        <f t="shared" si="2"/>
        <v>1093226</v>
      </c>
      <c r="T446" s="141"/>
    </row>
    <row r="447">
      <c r="A447" s="137">
        <f>IFERROR(__xludf.DUMMYFUNCTION("""COMPUTED_VALUE"""),45352.863560300924)</f>
        <v>45352.86356</v>
      </c>
      <c r="B447" s="138" t="str">
        <f>IFERROR(__xludf.DUMMYFUNCTION("""COMPUTED_VALUE"""),"Jules Bunn")</f>
        <v>Jules Bunn</v>
      </c>
      <c r="C447" s="138">
        <f>IFERROR(__xludf.DUMMYFUNCTION("""COMPUTED_VALUE"""),1084.0)</f>
        <v>1084</v>
      </c>
      <c r="D447" s="139">
        <f>IFERROR(__xludf.DUMMYFUNCTION("""COMPUTED_VALUE"""),226.0)</f>
        <v>226</v>
      </c>
      <c r="E447" s="138">
        <f>IFERROR(__xludf.DUMMYFUNCTION("""COMPUTED_VALUE"""),2.0)</f>
        <v>2</v>
      </c>
      <c r="F447" s="138">
        <f>IFERROR(__xludf.DUMMYFUNCTION("""COMPUTED_VALUE"""),5.0)</f>
        <v>5</v>
      </c>
      <c r="G447" s="138">
        <f>IFERROR(__xludf.DUMMYFUNCTION("""COMPUTED_VALUE"""),2.0)</f>
        <v>2</v>
      </c>
      <c r="H447" s="138">
        <f>IFERROR(__xludf.DUMMYFUNCTION("""COMPUTED_VALUE"""),3.0)</f>
        <v>3</v>
      </c>
      <c r="I447" s="138">
        <f>IFERROR(__xludf.DUMMYFUNCTION("""COMPUTED_VALUE"""),3.0)</f>
        <v>3</v>
      </c>
      <c r="J447" s="138">
        <f>IFERROR(__xludf.DUMMYFUNCTION("""COMPUTED_VALUE"""),3.0)</f>
        <v>3</v>
      </c>
      <c r="K447" s="138">
        <f>IFERROR(__xludf.DUMMYFUNCTION("""COMPUTED_VALUE"""),4.0)</f>
        <v>4</v>
      </c>
      <c r="L447" s="138">
        <v>22.0</v>
      </c>
      <c r="M447" s="140" t="str">
        <f>VLOOKUP(text(D447, "#"),'Master Table'!$A:$F, 6, FALSE)</f>
        <v>C-3</v>
      </c>
      <c r="N447" s="141"/>
      <c r="O447" s="142" t="str">
        <f t="shared" si="1"/>
        <v/>
      </c>
      <c r="P447" s="143" t="str">
        <f>IF(ISNA(VLOOKUP(CONCAT(M447,C447), 'Judge Count DO NOT EDIT'!H:H, 1, FALSE)), "ERROR","")</f>
        <v/>
      </c>
      <c r="Q447" s="141"/>
      <c r="R447" s="143"/>
      <c r="S447" s="139" t="str">
        <f t="shared" si="2"/>
        <v>1084226</v>
      </c>
      <c r="T447" s="141"/>
    </row>
    <row r="448">
      <c r="A448" s="137">
        <f>IFERROR(__xludf.DUMMYFUNCTION("""COMPUTED_VALUE"""),45352.629081527775)</f>
        <v>45352.62908</v>
      </c>
      <c r="B448" s="138" t="str">
        <f>IFERROR(__xludf.DUMMYFUNCTION("""COMPUTED_VALUE"""),"Linda Abarbanell")</f>
        <v>Linda Abarbanell</v>
      </c>
      <c r="C448" s="138">
        <f>IFERROR(__xludf.DUMMYFUNCTION("""COMPUTED_VALUE"""),1129.0)</f>
        <v>1129</v>
      </c>
      <c r="D448" s="139">
        <f>IFERROR(__xludf.DUMMYFUNCTION("""COMPUTED_VALUE"""),227.0)</f>
        <v>227</v>
      </c>
      <c r="E448" s="138">
        <f>IFERROR(__xludf.DUMMYFUNCTION("""COMPUTED_VALUE"""),4.0)</f>
        <v>4</v>
      </c>
      <c r="F448" s="138">
        <f>IFERROR(__xludf.DUMMYFUNCTION("""COMPUTED_VALUE"""),4.0)</f>
        <v>4</v>
      </c>
      <c r="G448" s="138">
        <f>IFERROR(__xludf.DUMMYFUNCTION("""COMPUTED_VALUE"""),4.0)</f>
        <v>4</v>
      </c>
      <c r="H448" s="138">
        <f>IFERROR(__xludf.DUMMYFUNCTION("""COMPUTED_VALUE"""),3.0)</f>
        <v>3</v>
      </c>
      <c r="I448" s="138">
        <f>IFERROR(__xludf.DUMMYFUNCTION("""COMPUTED_VALUE"""),3.0)</f>
        <v>3</v>
      </c>
      <c r="J448" s="138">
        <f>IFERROR(__xludf.DUMMYFUNCTION("""COMPUTED_VALUE"""),3.0)</f>
        <v>3</v>
      </c>
      <c r="K448" s="138">
        <f>IFERROR(__xludf.DUMMYFUNCTION("""COMPUTED_VALUE"""),4.0)</f>
        <v>4</v>
      </c>
      <c r="L448" s="138">
        <v>25.0</v>
      </c>
      <c r="M448" s="140" t="str">
        <f>VLOOKUP(text(D448, "#"),'Master Table'!$A:$F, 6, FALSE)</f>
        <v>C-3</v>
      </c>
      <c r="N448" s="141" t="str">
        <f>IFERROR(__xludf.DUMMYFUNCTION("""COMPUTED_VALUE"""),"Very interesting work and great presentation. The presenter conveyed her enthusiam for the author and the work. It would have been good to start with a framework that explained more the purpose of the analysis. A lot of things came out in the Q&amp;A that wou"&amp;"ld have been great to include in the presentation. Wonderful work!")</f>
        <v>Very interesting work and great presentation. The presenter conveyed her enthusiam for the author and the work. It would have been good to start with a framework that explained more the purpose of the analysis. A lot of things came out in the Q&amp;A that would have been great to include in the presentation. Wonderful work!</v>
      </c>
      <c r="O448" s="142" t="str">
        <f t="shared" si="1"/>
        <v/>
      </c>
      <c r="P448" s="143" t="str">
        <f>IF(ISNA(VLOOKUP(CONCAT(M448,C448), 'Judge Count DO NOT EDIT'!H:H, 1, FALSE)), "ERROR","")</f>
        <v/>
      </c>
      <c r="Q448" s="141"/>
      <c r="R448" s="143"/>
      <c r="S448" s="139" t="str">
        <f t="shared" si="2"/>
        <v>1129227</v>
      </c>
      <c r="T448" s="141"/>
    </row>
    <row r="449">
      <c r="A449" s="137">
        <f>IFERROR(__xludf.DUMMYFUNCTION("""COMPUTED_VALUE"""),45352.75131384259)</f>
        <v>45352.75131</v>
      </c>
      <c r="B449" s="138" t="str">
        <f>IFERROR(__xludf.DUMMYFUNCTION("""COMPUTED_VALUE"""),"Jess Whatcott")</f>
        <v>Jess Whatcott</v>
      </c>
      <c r="C449" s="138">
        <f>IFERROR(__xludf.DUMMYFUNCTION("""COMPUTED_VALUE"""),1093.0)</f>
        <v>1093</v>
      </c>
      <c r="D449" s="139">
        <f>IFERROR(__xludf.DUMMYFUNCTION("""COMPUTED_VALUE"""),227.0)</f>
        <v>227</v>
      </c>
      <c r="E449" s="138">
        <f>IFERROR(__xludf.DUMMYFUNCTION("""COMPUTED_VALUE"""),3.0)</f>
        <v>3</v>
      </c>
      <c r="F449" s="138">
        <f>IFERROR(__xludf.DUMMYFUNCTION("""COMPUTED_VALUE"""),2.0)</f>
        <v>2</v>
      </c>
      <c r="G449" s="138">
        <f>IFERROR(__xludf.DUMMYFUNCTION("""COMPUTED_VALUE"""),2.0)</f>
        <v>2</v>
      </c>
      <c r="H449" s="138">
        <f>IFERROR(__xludf.DUMMYFUNCTION("""COMPUTED_VALUE"""),1.0)</f>
        <v>1</v>
      </c>
      <c r="I449" s="138">
        <f>IFERROR(__xludf.DUMMYFUNCTION("""COMPUTED_VALUE"""),3.0)</f>
        <v>3</v>
      </c>
      <c r="J449" s="138">
        <f>IFERROR(__xludf.DUMMYFUNCTION("""COMPUTED_VALUE"""),4.0)</f>
        <v>4</v>
      </c>
      <c r="K449" s="138">
        <f>IFERROR(__xludf.DUMMYFUNCTION("""COMPUTED_VALUE"""),4.0)</f>
        <v>4</v>
      </c>
      <c r="L449" s="138">
        <v>19.0</v>
      </c>
      <c r="M449" s="140" t="str">
        <f>VLOOKUP(text(D449, "#"),'Master Table'!$A:$F, 6, FALSE)</f>
        <v>C-3</v>
      </c>
      <c r="N449" s="141" t="str">
        <f>IFERROR(__xludf.DUMMYFUNCTION("""COMPUTED_VALUE"""),"Well-rehearsed presentation on a topic that the student clearly has thought a lot about. 
However, the methodology of the research is very unclear. The presentation at this point is like a book report, with the student having the beginnings of analysis an"&amp;"d interpretation of the meaning of the book. I encourage the student to do some more thinking about what is the meaning of the novel, and how does the author convey that meaning through the symbols and other devices. ")</f>
        <v>Well-rehearsed presentation on a topic that the student clearly has thought a lot about. 
However, the methodology of the research is very unclear. The presentation at this point is like a book report, with the student having the beginnings of analysis and interpretation of the meaning of the book. I encourage the student to do some more thinking about what is the meaning of the novel, and how does the author convey that meaning through the symbols and other devices. </v>
      </c>
      <c r="O449" s="142" t="str">
        <f t="shared" si="1"/>
        <v/>
      </c>
      <c r="P449" s="143" t="str">
        <f>IF(ISNA(VLOOKUP(CONCAT(M449,C449), 'Judge Count DO NOT EDIT'!H:H, 1, FALSE)), "ERROR","")</f>
        <v/>
      </c>
      <c r="Q449" s="141"/>
      <c r="R449" s="143"/>
      <c r="S449" s="139" t="str">
        <f t="shared" si="2"/>
        <v>1093227</v>
      </c>
      <c r="T449" s="141"/>
    </row>
    <row r="450">
      <c r="A450" s="137">
        <f>IFERROR(__xludf.DUMMYFUNCTION("""COMPUTED_VALUE"""),45352.86558572917)</f>
        <v>45352.86559</v>
      </c>
      <c r="B450" s="138" t="str">
        <f>IFERROR(__xludf.DUMMYFUNCTION("""COMPUTED_VALUE"""),"Jules Bunn")</f>
        <v>Jules Bunn</v>
      </c>
      <c r="C450" s="138">
        <f>IFERROR(__xludf.DUMMYFUNCTION("""COMPUTED_VALUE"""),1084.0)</f>
        <v>1084</v>
      </c>
      <c r="D450" s="139">
        <f>IFERROR(__xludf.DUMMYFUNCTION("""COMPUTED_VALUE"""),227.0)</f>
        <v>227</v>
      </c>
      <c r="E450" s="138">
        <f>IFERROR(__xludf.DUMMYFUNCTION("""COMPUTED_VALUE"""),3.0)</f>
        <v>3</v>
      </c>
      <c r="F450" s="138">
        <f>IFERROR(__xludf.DUMMYFUNCTION("""COMPUTED_VALUE"""),5.0)</f>
        <v>5</v>
      </c>
      <c r="G450" s="138">
        <f>IFERROR(__xludf.DUMMYFUNCTION("""COMPUTED_VALUE"""),3.0)</f>
        <v>3</v>
      </c>
      <c r="H450" s="138">
        <f>IFERROR(__xludf.DUMMYFUNCTION("""COMPUTED_VALUE"""),2.0)</f>
        <v>2</v>
      </c>
      <c r="I450" s="138">
        <f>IFERROR(__xludf.DUMMYFUNCTION("""COMPUTED_VALUE"""),4.0)</f>
        <v>4</v>
      </c>
      <c r="J450" s="138">
        <f>IFERROR(__xludf.DUMMYFUNCTION("""COMPUTED_VALUE"""),4.0)</f>
        <v>4</v>
      </c>
      <c r="K450" s="138">
        <f>IFERROR(__xludf.DUMMYFUNCTION("""COMPUTED_VALUE"""),3.0)</f>
        <v>3</v>
      </c>
      <c r="L450" s="138">
        <v>24.0</v>
      </c>
      <c r="M450" s="140" t="str">
        <f>VLOOKUP(text(D450, "#"),'Master Table'!$A:$F, 6, FALSE)</f>
        <v>C-3</v>
      </c>
      <c r="N450" s="141"/>
      <c r="O450" s="142" t="str">
        <f t="shared" si="1"/>
        <v/>
      </c>
      <c r="P450" s="143" t="str">
        <f>IF(ISNA(VLOOKUP(CONCAT(M450,C450), 'Judge Count DO NOT EDIT'!H:H, 1, FALSE)), "ERROR","")</f>
        <v/>
      </c>
      <c r="Q450" s="141"/>
      <c r="R450" s="143"/>
      <c r="S450" s="139" t="str">
        <f t="shared" si="2"/>
        <v>1084227</v>
      </c>
      <c r="T450" s="141"/>
    </row>
    <row r="451">
      <c r="A451" s="137">
        <f>IFERROR(__xludf.DUMMYFUNCTION("""COMPUTED_VALUE"""),45352.75428547454)</f>
        <v>45352.75429</v>
      </c>
      <c r="B451" s="138" t="str">
        <f>IFERROR(__xludf.DUMMYFUNCTION("""COMPUTED_VALUE"""),"Jess Whatcott")</f>
        <v>Jess Whatcott</v>
      </c>
      <c r="C451" s="138">
        <f>IFERROR(__xludf.DUMMYFUNCTION("""COMPUTED_VALUE"""),1093.0)</f>
        <v>1093</v>
      </c>
      <c r="D451" s="139">
        <f>IFERROR(__xludf.DUMMYFUNCTION("""COMPUTED_VALUE"""),228.0)</f>
        <v>228</v>
      </c>
      <c r="E451" s="138">
        <f>IFERROR(__xludf.DUMMYFUNCTION("""COMPUTED_VALUE"""),5.0)</f>
        <v>5</v>
      </c>
      <c r="F451" s="138">
        <f>IFERROR(__xludf.DUMMYFUNCTION("""COMPUTED_VALUE"""),5.0)</f>
        <v>5</v>
      </c>
      <c r="G451" s="138">
        <f>IFERROR(__xludf.DUMMYFUNCTION("""COMPUTED_VALUE"""),5.0)</f>
        <v>5</v>
      </c>
      <c r="H451" s="138">
        <f>IFERROR(__xludf.DUMMYFUNCTION("""COMPUTED_VALUE"""),5.0)</f>
        <v>5</v>
      </c>
      <c r="I451" s="138">
        <f>IFERROR(__xludf.DUMMYFUNCTION("""COMPUTED_VALUE"""),5.0)</f>
        <v>5</v>
      </c>
      <c r="J451" s="138">
        <f>IFERROR(__xludf.DUMMYFUNCTION("""COMPUTED_VALUE"""),5.0)</f>
        <v>5</v>
      </c>
      <c r="K451" s="138">
        <f>IFERROR(__xludf.DUMMYFUNCTION("""COMPUTED_VALUE"""),5.0)</f>
        <v>5</v>
      </c>
      <c r="L451" s="138">
        <v>35.0</v>
      </c>
      <c r="M451" s="140" t="str">
        <f>VLOOKUP(text(D451, "#"),'Master Table'!$A:$F, 6, FALSE)</f>
        <v>C-3</v>
      </c>
      <c r="N451" s="141" t="str">
        <f>IFERROR(__xludf.DUMMYFUNCTION("""COMPUTED_VALUE"""),"This was the best presentation I saw at the symposium. Well rehearsed, with strong presence. Visually strong slideshow and the music was a nice multimedia addition. Strong organization with clear thesis and evidence to support. Close reading of one song a"&amp;"s a method is very compelling. Being familiar with this history, I was impressed that I learned knew things and learned about how to teach this topic from a new angle. The student was even able to respond to a very specific question I asked. Great job.")</f>
        <v>This was the best presentation I saw at the symposium. Well rehearsed, with strong presence. Visually strong slideshow and the music was a nice multimedia addition. Strong organization with clear thesis and evidence to support. Close reading of one song as a method is very compelling. Being familiar with this history, I was impressed that I learned knew things and learned about how to teach this topic from a new angle. The student was even able to respond to a very specific question I asked. Great job.</v>
      </c>
      <c r="O451" s="142" t="str">
        <f t="shared" si="1"/>
        <v/>
      </c>
      <c r="P451" s="143" t="str">
        <f>IF(ISNA(VLOOKUP(CONCAT(M451,C451), 'Judge Count DO NOT EDIT'!H:H, 1, FALSE)), "ERROR","")</f>
        <v/>
      </c>
      <c r="Q451" s="141"/>
      <c r="R451" s="143"/>
      <c r="S451" s="139" t="str">
        <f t="shared" si="2"/>
        <v>1093228</v>
      </c>
      <c r="T451" s="141"/>
    </row>
    <row r="452">
      <c r="A452" s="137">
        <f>IFERROR(__xludf.DUMMYFUNCTION("""COMPUTED_VALUE"""),45352.86632952547)</f>
        <v>45352.86633</v>
      </c>
      <c r="B452" s="138" t="str">
        <f>IFERROR(__xludf.DUMMYFUNCTION("""COMPUTED_VALUE"""),"Jules Bunn")</f>
        <v>Jules Bunn</v>
      </c>
      <c r="C452" s="138">
        <f>IFERROR(__xludf.DUMMYFUNCTION("""COMPUTED_VALUE"""),1084.0)</f>
        <v>1084</v>
      </c>
      <c r="D452" s="139">
        <f>IFERROR(__xludf.DUMMYFUNCTION("""COMPUTED_VALUE"""),228.0)</f>
        <v>228</v>
      </c>
      <c r="E452" s="138">
        <f>IFERROR(__xludf.DUMMYFUNCTION("""COMPUTED_VALUE"""),5.0)</f>
        <v>5</v>
      </c>
      <c r="F452" s="138">
        <f>IFERROR(__xludf.DUMMYFUNCTION("""COMPUTED_VALUE"""),5.0)</f>
        <v>5</v>
      </c>
      <c r="G452" s="138">
        <f>IFERROR(__xludf.DUMMYFUNCTION("""COMPUTED_VALUE"""),4.0)</f>
        <v>4</v>
      </c>
      <c r="H452" s="138">
        <f>IFERROR(__xludf.DUMMYFUNCTION("""COMPUTED_VALUE"""),3.0)</f>
        <v>3</v>
      </c>
      <c r="I452" s="138">
        <f>IFERROR(__xludf.DUMMYFUNCTION("""COMPUTED_VALUE"""),5.0)</f>
        <v>5</v>
      </c>
      <c r="J452" s="138">
        <f>IFERROR(__xludf.DUMMYFUNCTION("""COMPUTED_VALUE"""),5.0)</f>
        <v>5</v>
      </c>
      <c r="K452" s="138">
        <f>IFERROR(__xludf.DUMMYFUNCTION("""COMPUTED_VALUE"""),5.0)</f>
        <v>5</v>
      </c>
      <c r="L452" s="138">
        <v>32.0</v>
      </c>
      <c r="M452" s="140" t="str">
        <f>VLOOKUP(text(D452, "#"),'Master Table'!$A:$F, 6, FALSE)</f>
        <v>C-3</v>
      </c>
      <c r="N452" s="141"/>
      <c r="O452" s="142" t="str">
        <f t="shared" si="1"/>
        <v/>
      </c>
      <c r="P452" s="143" t="str">
        <f>IF(ISNA(VLOOKUP(CONCAT(M452,C452), 'Judge Count DO NOT EDIT'!H:H, 1, FALSE)), "ERROR","")</f>
        <v/>
      </c>
      <c r="Q452" s="141"/>
      <c r="R452" s="143"/>
      <c r="S452" s="139" t="str">
        <f t="shared" si="2"/>
        <v>1084228</v>
      </c>
      <c r="T452" s="141"/>
    </row>
    <row r="453">
      <c r="A453" s="137">
        <f>IFERROR(__xludf.DUMMYFUNCTION("""COMPUTED_VALUE"""),45352.55681709491)</f>
        <v>45352.55682</v>
      </c>
      <c r="B453" s="138" t="str">
        <f>IFERROR(__xludf.DUMMYFUNCTION("""COMPUTED_VALUE"""),"Aner Zhou")</f>
        <v>Aner Zhou</v>
      </c>
      <c r="C453" s="138">
        <f>IFERROR(__xludf.DUMMYFUNCTION("""COMPUTED_VALUE"""),1042.0)</f>
        <v>1042</v>
      </c>
      <c r="D453" s="139">
        <f>IFERROR(__xludf.DUMMYFUNCTION("""COMPUTED_VALUE"""),229.0)</f>
        <v>229</v>
      </c>
      <c r="E453" s="138">
        <f>IFERROR(__xludf.DUMMYFUNCTION("""COMPUTED_VALUE"""),4.0)</f>
        <v>4</v>
      </c>
      <c r="F453" s="138">
        <f>IFERROR(__xludf.DUMMYFUNCTION("""COMPUTED_VALUE"""),4.0)</f>
        <v>4</v>
      </c>
      <c r="G453" s="138">
        <f>IFERROR(__xludf.DUMMYFUNCTION("""COMPUTED_VALUE"""),4.0)</f>
        <v>4</v>
      </c>
      <c r="H453" s="138">
        <f>IFERROR(__xludf.DUMMYFUNCTION("""COMPUTED_VALUE"""),4.0)</f>
        <v>4</v>
      </c>
      <c r="I453" s="138">
        <f>IFERROR(__xludf.DUMMYFUNCTION("""COMPUTED_VALUE"""),4.0)</f>
        <v>4</v>
      </c>
      <c r="J453" s="138">
        <f>IFERROR(__xludf.DUMMYFUNCTION("""COMPUTED_VALUE"""),4.0)</f>
        <v>4</v>
      </c>
      <c r="K453" s="138">
        <f>IFERROR(__xludf.DUMMYFUNCTION("""COMPUTED_VALUE"""),4.0)</f>
        <v>4</v>
      </c>
      <c r="L453" s="138">
        <v>28.0</v>
      </c>
      <c r="M453" s="140" t="str">
        <f>VLOOKUP(text(D453, "#"),'Master Table'!$A:$F, 6, FALSE)</f>
        <v>C-4</v>
      </c>
      <c r="N453" s="141"/>
      <c r="O453" s="142" t="str">
        <f t="shared" si="1"/>
        <v/>
      </c>
      <c r="P453" s="143" t="str">
        <f>IF(ISNA(VLOOKUP(CONCAT(M453,C453), 'Judge Count DO NOT EDIT'!H:H, 1, FALSE)), "ERROR","")</f>
        <v/>
      </c>
      <c r="Q453" s="141"/>
      <c r="R453" s="143"/>
      <c r="S453" s="139" t="str">
        <f t="shared" si="2"/>
        <v>1042229</v>
      </c>
      <c r="T453" s="141"/>
    </row>
    <row r="454">
      <c r="A454" s="137">
        <f>IFERROR(__xludf.DUMMYFUNCTION("""COMPUTED_VALUE"""),45352.55764453704)</f>
        <v>45352.55764</v>
      </c>
      <c r="B454" s="138" t="str">
        <f>IFERROR(__xludf.DUMMYFUNCTION("""COMPUTED_VALUE"""),"Annie Keeney")</f>
        <v>Annie Keeney</v>
      </c>
      <c r="C454" s="138">
        <f>IFERROR(__xludf.DUMMYFUNCTION("""COMPUTED_VALUE"""),1053.0)</f>
        <v>1053</v>
      </c>
      <c r="D454" s="139">
        <f>IFERROR(__xludf.DUMMYFUNCTION("""COMPUTED_VALUE"""),229.0)</f>
        <v>229</v>
      </c>
      <c r="E454" s="138">
        <f>IFERROR(__xludf.DUMMYFUNCTION("""COMPUTED_VALUE"""),3.0)</f>
        <v>3</v>
      </c>
      <c r="F454" s="138">
        <f>IFERROR(__xludf.DUMMYFUNCTION("""COMPUTED_VALUE"""),4.0)</f>
        <v>4</v>
      </c>
      <c r="G454" s="138">
        <f>IFERROR(__xludf.DUMMYFUNCTION("""COMPUTED_VALUE"""),5.0)</f>
        <v>5</v>
      </c>
      <c r="H454" s="138">
        <f>IFERROR(__xludf.DUMMYFUNCTION("""COMPUTED_VALUE"""),3.0)</f>
        <v>3</v>
      </c>
      <c r="I454" s="138">
        <f>IFERROR(__xludf.DUMMYFUNCTION("""COMPUTED_VALUE"""),3.0)</f>
        <v>3</v>
      </c>
      <c r="J454" s="138">
        <f>IFERROR(__xludf.DUMMYFUNCTION("""COMPUTED_VALUE"""),4.0)</f>
        <v>4</v>
      </c>
      <c r="K454" s="138">
        <f>IFERROR(__xludf.DUMMYFUNCTION("""COMPUTED_VALUE"""),4.0)</f>
        <v>4</v>
      </c>
      <c r="L454" s="138">
        <v>26.0</v>
      </c>
      <c r="M454" s="140" t="str">
        <f>VLOOKUP(text(D454, "#"),'Master Table'!$A:$F, 6, FALSE)</f>
        <v>C-4</v>
      </c>
      <c r="N454" s="141" t="str">
        <f>IFERROR(__xludf.DUMMYFUNCTION("""COMPUTED_VALUE"""),"Thank you for the content warning prior to starting the presentation. having an agenda slide would have been helpful to set the tone of the presentation. More information on methods- recruitment strategies, n sought, planned analysis etc. I understand do "&amp;"not have results yet to present, but helpful to have what the plan was.  How was the study funded? ")</f>
        <v>Thank you for the content warning prior to starting the presentation. having an agenda slide would have been helpful to set the tone of the presentation. More information on methods- recruitment strategies, n sought, planned analysis etc. I understand do not have results yet to present, but helpful to have what the plan was.  How was the study funded? </v>
      </c>
      <c r="O454" s="142" t="str">
        <f t="shared" si="1"/>
        <v/>
      </c>
      <c r="P454" s="143" t="str">
        <f>IF(ISNA(VLOOKUP(CONCAT(M454,C454), 'Judge Count DO NOT EDIT'!H:H, 1, FALSE)), "ERROR","")</f>
        <v/>
      </c>
      <c r="Q454" s="141"/>
      <c r="R454" s="143"/>
      <c r="S454" s="139" t="str">
        <f t="shared" si="2"/>
        <v>1053229</v>
      </c>
      <c r="T454" s="141"/>
    </row>
    <row r="455">
      <c r="A455" s="137">
        <f>IFERROR(__xludf.DUMMYFUNCTION("""COMPUTED_VALUE"""),45353.974502349534)</f>
        <v>45353.9745</v>
      </c>
      <c r="B455" s="138" t="str">
        <f>IFERROR(__xludf.DUMMYFUNCTION("""COMPUTED_VALUE"""),"Anthony Roberts")</f>
        <v>Anthony Roberts</v>
      </c>
      <c r="C455" s="138">
        <f>IFERROR(__xludf.DUMMYFUNCTION("""COMPUTED_VALUE"""),1244.0)</f>
        <v>1244</v>
      </c>
      <c r="D455" s="139">
        <f>IFERROR(__xludf.DUMMYFUNCTION("""COMPUTED_VALUE"""),229.0)</f>
        <v>229</v>
      </c>
      <c r="E455" s="138">
        <f>IFERROR(__xludf.DUMMYFUNCTION("""COMPUTED_VALUE"""),4.0)</f>
        <v>4</v>
      </c>
      <c r="F455" s="138">
        <f>IFERROR(__xludf.DUMMYFUNCTION("""COMPUTED_VALUE"""),4.0)</f>
        <v>4</v>
      </c>
      <c r="G455" s="138">
        <f>IFERROR(__xludf.DUMMYFUNCTION("""COMPUTED_VALUE"""),5.0)</f>
        <v>5</v>
      </c>
      <c r="H455" s="138">
        <f>IFERROR(__xludf.DUMMYFUNCTION("""COMPUTED_VALUE"""),4.0)</f>
        <v>4</v>
      </c>
      <c r="I455" s="138">
        <f>IFERROR(__xludf.DUMMYFUNCTION("""COMPUTED_VALUE"""),4.0)</f>
        <v>4</v>
      </c>
      <c r="J455" s="138">
        <f>IFERROR(__xludf.DUMMYFUNCTION("""COMPUTED_VALUE"""),4.0)</f>
        <v>4</v>
      </c>
      <c r="K455" s="138">
        <f>IFERROR(__xludf.DUMMYFUNCTION("""COMPUTED_VALUE"""),4.0)</f>
        <v>4</v>
      </c>
      <c r="L455" s="138">
        <v>29.0</v>
      </c>
      <c r="M455" s="140" t="str">
        <f>VLOOKUP(text(D455, "#"),'Master Table'!$A:$F, 6, FALSE)</f>
        <v>C-4</v>
      </c>
      <c r="N455" s="141" t="str">
        <f>IFERROR(__xludf.DUMMYFUNCTION("""COMPUTED_VALUE"""),"Presenter was able to present and communicate on a heavy topic to the audience. Presenter could improve on the presentation style by standing in front on the audience instead of behind as desk to help remove any defenisve barrier with the audienece.")</f>
        <v>Presenter was able to present and communicate on a heavy topic to the audience. Presenter could improve on the presentation style by standing in front on the audience instead of behind as desk to help remove any defenisve barrier with the audienece.</v>
      </c>
      <c r="O455" s="142" t="str">
        <f t="shared" si="1"/>
        <v/>
      </c>
      <c r="P455" s="143" t="str">
        <f>IF(ISNA(VLOOKUP(CONCAT(M455,C455), 'Judge Count DO NOT EDIT'!H:H, 1, FALSE)), "ERROR","")</f>
        <v>ERROR</v>
      </c>
      <c r="Q455" s="141"/>
      <c r="R455" s="143"/>
      <c r="S455" s="139" t="str">
        <f t="shared" si="2"/>
        <v>1244229</v>
      </c>
      <c r="T455" s="141"/>
    </row>
    <row r="456">
      <c r="A456" s="137">
        <f>IFERROR(__xludf.DUMMYFUNCTION("""COMPUTED_VALUE"""),45352.5706275463)</f>
        <v>45352.57063</v>
      </c>
      <c r="B456" s="138" t="str">
        <f>IFERROR(__xludf.DUMMYFUNCTION("""COMPUTED_VALUE"""),"Aner Zhou")</f>
        <v>Aner Zhou</v>
      </c>
      <c r="C456" s="138">
        <f>IFERROR(__xludf.DUMMYFUNCTION("""COMPUTED_VALUE"""),1042.0)</f>
        <v>1042</v>
      </c>
      <c r="D456" s="139">
        <f>IFERROR(__xludf.DUMMYFUNCTION("""COMPUTED_VALUE"""),230.0)</f>
        <v>230</v>
      </c>
      <c r="E456" s="138">
        <f>IFERROR(__xludf.DUMMYFUNCTION("""COMPUTED_VALUE"""),5.0)</f>
        <v>5</v>
      </c>
      <c r="F456" s="138">
        <f>IFERROR(__xludf.DUMMYFUNCTION("""COMPUTED_VALUE"""),5.0)</f>
        <v>5</v>
      </c>
      <c r="G456" s="138">
        <f>IFERROR(__xludf.DUMMYFUNCTION("""COMPUTED_VALUE"""),5.0)</f>
        <v>5</v>
      </c>
      <c r="H456" s="138">
        <f>IFERROR(__xludf.DUMMYFUNCTION("""COMPUTED_VALUE"""),5.0)</f>
        <v>5</v>
      </c>
      <c r="I456" s="138">
        <f>IFERROR(__xludf.DUMMYFUNCTION("""COMPUTED_VALUE"""),5.0)</f>
        <v>5</v>
      </c>
      <c r="J456" s="138">
        <f>IFERROR(__xludf.DUMMYFUNCTION("""COMPUTED_VALUE"""),5.0)</f>
        <v>5</v>
      </c>
      <c r="K456" s="138">
        <f>IFERROR(__xludf.DUMMYFUNCTION("""COMPUTED_VALUE"""),5.0)</f>
        <v>5</v>
      </c>
      <c r="L456" s="138">
        <v>35.0</v>
      </c>
      <c r="M456" s="140" t="str">
        <f>VLOOKUP(text(D456, "#"),'Master Table'!$A:$F, 6, FALSE)</f>
        <v>C-4</v>
      </c>
      <c r="N456" s="141"/>
      <c r="O456" s="142" t="str">
        <f t="shared" si="1"/>
        <v/>
      </c>
      <c r="P456" s="143" t="str">
        <f>IF(ISNA(VLOOKUP(CONCAT(M456,C456), 'Judge Count DO NOT EDIT'!H:H, 1, FALSE)), "ERROR","")</f>
        <v/>
      </c>
      <c r="Q456" s="141"/>
      <c r="R456" s="143"/>
      <c r="S456" s="139" t="str">
        <f t="shared" si="2"/>
        <v>1042230</v>
      </c>
      <c r="T456" s="141"/>
    </row>
    <row r="457">
      <c r="A457" s="137">
        <f>IFERROR(__xludf.DUMMYFUNCTION("""COMPUTED_VALUE"""),45352.57052947917)</f>
        <v>45352.57053</v>
      </c>
      <c r="B457" s="138" t="str">
        <f>IFERROR(__xludf.DUMMYFUNCTION("""COMPUTED_VALUE"""),"Annie Keeney ")</f>
        <v>Annie Keeney </v>
      </c>
      <c r="C457" s="138">
        <f>IFERROR(__xludf.DUMMYFUNCTION("""COMPUTED_VALUE"""),1053.0)</f>
        <v>1053</v>
      </c>
      <c r="D457" s="139">
        <f>IFERROR(__xludf.DUMMYFUNCTION("""COMPUTED_VALUE"""),230.0)</f>
        <v>230</v>
      </c>
      <c r="E457" s="138">
        <f>IFERROR(__xludf.DUMMYFUNCTION("""COMPUTED_VALUE"""),5.0)</f>
        <v>5</v>
      </c>
      <c r="F457" s="138">
        <f>IFERROR(__xludf.DUMMYFUNCTION("""COMPUTED_VALUE"""),5.0)</f>
        <v>5</v>
      </c>
      <c r="G457" s="138">
        <f>IFERROR(__xludf.DUMMYFUNCTION("""COMPUTED_VALUE"""),5.0)</f>
        <v>5</v>
      </c>
      <c r="H457" s="138">
        <f>IFERROR(__xludf.DUMMYFUNCTION("""COMPUTED_VALUE"""),4.0)</f>
        <v>4</v>
      </c>
      <c r="I457" s="138">
        <f>IFERROR(__xludf.DUMMYFUNCTION("""COMPUTED_VALUE"""),5.0)</f>
        <v>5</v>
      </c>
      <c r="J457" s="138">
        <f>IFERROR(__xludf.DUMMYFUNCTION("""COMPUTED_VALUE"""),5.0)</f>
        <v>5</v>
      </c>
      <c r="K457" s="138">
        <f>IFERROR(__xludf.DUMMYFUNCTION("""COMPUTED_VALUE"""),5.0)</f>
        <v>5</v>
      </c>
      <c r="L457" s="138">
        <v>34.0</v>
      </c>
      <c r="M457" s="140" t="str">
        <f>VLOOKUP(text(D457, "#"),'Master Table'!$A:$F, 6, FALSE)</f>
        <v>C-4</v>
      </c>
      <c r="N457" s="141" t="str">
        <f>IFERROR(__xludf.DUMMYFUNCTION("""COMPUTED_VALUE"""),"Great topic. Would have been helpful to present table of sample/participants etc. discussion on how programs like project rebound at SDSU could build upon these results. ")</f>
        <v>Great topic. Would have been helpful to present table of sample/participants etc. discussion on how programs like project rebound at SDSU could build upon these results. </v>
      </c>
      <c r="O457" s="142" t="str">
        <f t="shared" si="1"/>
        <v/>
      </c>
      <c r="P457" s="143" t="str">
        <f>IF(ISNA(VLOOKUP(CONCAT(M457,C457), 'Judge Count DO NOT EDIT'!H:H, 1, FALSE)), "ERROR","")</f>
        <v/>
      </c>
      <c r="Q457" s="141"/>
      <c r="R457" s="143"/>
      <c r="S457" s="139" t="str">
        <f t="shared" si="2"/>
        <v>1053230</v>
      </c>
      <c r="T457" s="141"/>
    </row>
    <row r="458">
      <c r="A458" s="137">
        <f>IFERROR(__xludf.DUMMYFUNCTION("""COMPUTED_VALUE"""),45353.98515793982)</f>
        <v>45353.98516</v>
      </c>
      <c r="B458" s="138" t="str">
        <f>IFERROR(__xludf.DUMMYFUNCTION("""COMPUTED_VALUE"""),"Anthony Roberts")</f>
        <v>Anthony Roberts</v>
      </c>
      <c r="C458" s="138">
        <f>IFERROR(__xludf.DUMMYFUNCTION("""COMPUTED_VALUE"""),1244.0)</f>
        <v>1244</v>
      </c>
      <c r="D458" s="139">
        <f>IFERROR(__xludf.DUMMYFUNCTION("""COMPUTED_VALUE"""),230.0)</f>
        <v>230</v>
      </c>
      <c r="E458" s="138">
        <f>IFERROR(__xludf.DUMMYFUNCTION("""COMPUTED_VALUE"""),5.0)</f>
        <v>5</v>
      </c>
      <c r="F458" s="138">
        <f>IFERROR(__xludf.DUMMYFUNCTION("""COMPUTED_VALUE"""),4.0)</f>
        <v>4</v>
      </c>
      <c r="G458" s="138">
        <f>IFERROR(__xludf.DUMMYFUNCTION("""COMPUTED_VALUE"""),4.0)</f>
        <v>4</v>
      </c>
      <c r="H458" s="138">
        <f>IFERROR(__xludf.DUMMYFUNCTION("""COMPUTED_VALUE"""),4.0)</f>
        <v>4</v>
      </c>
      <c r="I458" s="138">
        <f>IFERROR(__xludf.DUMMYFUNCTION("""COMPUTED_VALUE"""),5.0)</f>
        <v>5</v>
      </c>
      <c r="J458" s="138">
        <f>IFERROR(__xludf.DUMMYFUNCTION("""COMPUTED_VALUE"""),5.0)</f>
        <v>5</v>
      </c>
      <c r="K458" s="138">
        <f>IFERROR(__xludf.DUMMYFUNCTION("""COMPUTED_VALUE"""),5.0)</f>
        <v>5</v>
      </c>
      <c r="L458" s="138">
        <v>32.0</v>
      </c>
      <c r="M458" s="140" t="str">
        <f>VLOOKUP(text(D458, "#"),'Master Table'!$A:$F, 6, FALSE)</f>
        <v>C-4</v>
      </c>
      <c r="N458" s="141" t="str">
        <f>IFERROR(__xludf.DUMMYFUNCTION("""COMPUTED_VALUE"""),"Presenter was great with the delivery of their presentation putting emphasis in the annunciation, tone, and mannerisms. The presenter could benefit from not relying too much on power point slides to create a deeper connection with the audience.")</f>
        <v>Presenter was great with the delivery of their presentation putting emphasis in the annunciation, tone, and mannerisms. The presenter could benefit from not relying too much on power point slides to create a deeper connection with the audience.</v>
      </c>
      <c r="O458" s="142" t="str">
        <f t="shared" si="1"/>
        <v/>
      </c>
      <c r="P458" s="143" t="str">
        <f>IF(ISNA(VLOOKUP(CONCAT(M458,C458), 'Judge Count DO NOT EDIT'!H:H, 1, FALSE)), "ERROR","")</f>
        <v>ERROR</v>
      </c>
      <c r="Q458" s="141"/>
      <c r="R458" s="143"/>
      <c r="S458" s="139" t="str">
        <f t="shared" si="2"/>
        <v>1244230</v>
      </c>
      <c r="T458" s="141"/>
    </row>
    <row r="459">
      <c r="A459" s="137">
        <f>IFERROR(__xludf.DUMMYFUNCTION("""COMPUTED_VALUE"""),45352.58373778935)</f>
        <v>45352.58374</v>
      </c>
      <c r="B459" s="138" t="str">
        <f>IFERROR(__xludf.DUMMYFUNCTION("""COMPUTED_VALUE"""),"Michelle Weber Rawlins")</f>
        <v>Michelle Weber Rawlins</v>
      </c>
      <c r="C459" s="138">
        <f>IFERROR(__xludf.DUMMYFUNCTION("""COMPUTED_VALUE"""),1074.0)</f>
        <v>1074</v>
      </c>
      <c r="D459" s="139">
        <f>IFERROR(__xludf.DUMMYFUNCTION("""COMPUTED_VALUE"""),231.0)</f>
        <v>231</v>
      </c>
      <c r="E459" s="138">
        <f>IFERROR(__xludf.DUMMYFUNCTION("""COMPUTED_VALUE"""),4.0)</f>
        <v>4</v>
      </c>
      <c r="F459" s="138">
        <f>IFERROR(__xludf.DUMMYFUNCTION("""COMPUTED_VALUE"""),4.0)</f>
        <v>4</v>
      </c>
      <c r="G459" s="138">
        <f>IFERROR(__xludf.DUMMYFUNCTION("""COMPUTED_VALUE"""),4.0)</f>
        <v>4</v>
      </c>
      <c r="H459" s="138">
        <f>IFERROR(__xludf.DUMMYFUNCTION("""COMPUTED_VALUE"""),3.0)</f>
        <v>3</v>
      </c>
      <c r="I459" s="138">
        <f>IFERROR(__xludf.DUMMYFUNCTION("""COMPUTED_VALUE"""),3.0)</f>
        <v>3</v>
      </c>
      <c r="J459" s="138">
        <f>IFERROR(__xludf.DUMMYFUNCTION("""COMPUTED_VALUE"""),4.0)</f>
        <v>4</v>
      </c>
      <c r="K459" s="138">
        <f>IFERROR(__xludf.DUMMYFUNCTION("""COMPUTED_VALUE"""),4.0)</f>
        <v>4</v>
      </c>
      <c r="L459" s="138">
        <v>26.0</v>
      </c>
      <c r="M459" s="140" t="str">
        <f>VLOOKUP(text(D459, "#"),'Master Table'!$A:$F, 6, FALSE)</f>
        <v>C-4</v>
      </c>
      <c r="N459" s="141" t="str">
        <f>IFERROR(__xludf.DUMMYFUNCTION("""COMPUTED_VALUE"""),"Appreciated the terms defined at the beginning of the presentation. Presenter certainly understood the material however looked at slides often. Not necessarily reading though. Really important work and well done focusing your time here. ")</f>
        <v>Appreciated the terms defined at the beginning of the presentation. Presenter certainly understood the material however looked at slides often. Not necessarily reading though. Really important work and well done focusing your time here. </v>
      </c>
      <c r="O459" s="142" t="str">
        <f t="shared" si="1"/>
        <v/>
      </c>
      <c r="P459" s="143" t="str">
        <f>IF(ISNA(VLOOKUP(CONCAT(M459,C459), 'Judge Count DO NOT EDIT'!H:H, 1, FALSE)), "ERROR","")</f>
        <v/>
      </c>
      <c r="Q459" s="141"/>
      <c r="R459" s="143"/>
      <c r="S459" s="139" t="str">
        <f t="shared" si="2"/>
        <v>1074231</v>
      </c>
      <c r="T459" s="141"/>
    </row>
    <row r="460">
      <c r="A460" s="137">
        <f>IFERROR(__xludf.DUMMYFUNCTION("""COMPUTED_VALUE"""),45352.58389489583)</f>
        <v>45352.58389</v>
      </c>
      <c r="B460" s="138" t="str">
        <f>IFERROR(__xludf.DUMMYFUNCTION("""COMPUTED_VALUE"""),"Annie Keeney")</f>
        <v>Annie Keeney</v>
      </c>
      <c r="C460" s="138">
        <f>IFERROR(__xludf.DUMMYFUNCTION("""COMPUTED_VALUE"""),1053.0)</f>
        <v>1053</v>
      </c>
      <c r="D460" s="139">
        <f>IFERROR(__xludf.DUMMYFUNCTION("""COMPUTED_VALUE"""),231.0)</f>
        <v>231</v>
      </c>
      <c r="E460" s="138">
        <f>IFERROR(__xludf.DUMMYFUNCTION("""COMPUTED_VALUE"""),5.0)</f>
        <v>5</v>
      </c>
      <c r="F460" s="138">
        <f>IFERROR(__xludf.DUMMYFUNCTION("""COMPUTED_VALUE"""),4.0)</f>
        <v>4</v>
      </c>
      <c r="G460" s="138">
        <f>IFERROR(__xludf.DUMMYFUNCTION("""COMPUTED_VALUE"""),5.0)</f>
        <v>5</v>
      </c>
      <c r="H460" s="138">
        <f>IFERROR(__xludf.DUMMYFUNCTION("""COMPUTED_VALUE"""),5.0)</f>
        <v>5</v>
      </c>
      <c r="I460" s="138">
        <f>IFERROR(__xludf.DUMMYFUNCTION("""COMPUTED_VALUE"""),5.0)</f>
        <v>5</v>
      </c>
      <c r="J460" s="138">
        <f>IFERROR(__xludf.DUMMYFUNCTION("""COMPUTED_VALUE"""),5.0)</f>
        <v>5</v>
      </c>
      <c r="K460" s="138">
        <f>IFERROR(__xludf.DUMMYFUNCTION("""COMPUTED_VALUE"""),5.0)</f>
        <v>5</v>
      </c>
      <c r="L460" s="138">
        <v>34.0</v>
      </c>
      <c r="M460" s="140" t="str">
        <f>VLOOKUP(text(D460, "#"),'Master Table'!$A:$F, 6, FALSE)</f>
        <v>C-4</v>
      </c>
      <c r="N460" s="141" t="str">
        <f>IFERROR(__xludf.DUMMYFUNCTION("""COMPUTED_VALUE"""),"Nicely done. Very interesting topic and love the community based research approach. ")</f>
        <v>Nicely done. Very interesting topic and love the community based research approach. </v>
      </c>
      <c r="O460" s="142" t="str">
        <f t="shared" si="1"/>
        <v/>
      </c>
      <c r="P460" s="143" t="str">
        <f>IF(ISNA(VLOOKUP(CONCAT(M460,C460), 'Judge Count DO NOT EDIT'!H:H, 1, FALSE)), "ERROR","")</f>
        <v/>
      </c>
      <c r="Q460" s="141"/>
      <c r="R460" s="143"/>
      <c r="S460" s="139" t="str">
        <f t="shared" si="2"/>
        <v>1053231</v>
      </c>
      <c r="T460" s="141"/>
    </row>
    <row r="461">
      <c r="A461" s="137">
        <f>IFERROR(__xludf.DUMMYFUNCTION("""COMPUTED_VALUE"""),45352.656760185186)</f>
        <v>45352.65676</v>
      </c>
      <c r="B461" s="138" t="str">
        <f>IFERROR(__xludf.DUMMYFUNCTION("""COMPUTED_VALUE"""),"Aner Zhou")</f>
        <v>Aner Zhou</v>
      </c>
      <c r="C461" s="138">
        <f>IFERROR(__xludf.DUMMYFUNCTION("""COMPUTED_VALUE"""),1042.0)</f>
        <v>1042</v>
      </c>
      <c r="D461" s="139">
        <f>IFERROR(__xludf.DUMMYFUNCTION("""COMPUTED_VALUE"""),231.0)</f>
        <v>231</v>
      </c>
      <c r="E461" s="138">
        <f>IFERROR(__xludf.DUMMYFUNCTION("""COMPUTED_VALUE"""),4.0)</f>
        <v>4</v>
      </c>
      <c r="F461" s="138">
        <f>IFERROR(__xludf.DUMMYFUNCTION("""COMPUTED_VALUE"""),4.0)</f>
        <v>4</v>
      </c>
      <c r="G461" s="138">
        <f>IFERROR(__xludf.DUMMYFUNCTION("""COMPUTED_VALUE"""),4.0)</f>
        <v>4</v>
      </c>
      <c r="H461" s="138">
        <f>IFERROR(__xludf.DUMMYFUNCTION("""COMPUTED_VALUE"""),4.0)</f>
        <v>4</v>
      </c>
      <c r="I461" s="138">
        <f>IFERROR(__xludf.DUMMYFUNCTION("""COMPUTED_VALUE"""),4.0)</f>
        <v>4</v>
      </c>
      <c r="J461" s="138">
        <f>IFERROR(__xludf.DUMMYFUNCTION("""COMPUTED_VALUE"""),4.0)</f>
        <v>4</v>
      </c>
      <c r="K461" s="138">
        <f>IFERROR(__xludf.DUMMYFUNCTION("""COMPUTED_VALUE"""),4.0)</f>
        <v>4</v>
      </c>
      <c r="L461" s="138">
        <v>28.0</v>
      </c>
      <c r="M461" s="140" t="str">
        <f>VLOOKUP(text(D461, "#"),'Master Table'!$A:$F, 6, FALSE)</f>
        <v>C-4</v>
      </c>
      <c r="N461" s="141"/>
      <c r="O461" s="142" t="str">
        <f t="shared" si="1"/>
        <v/>
      </c>
      <c r="P461" s="143" t="str">
        <f>IF(ISNA(VLOOKUP(CONCAT(M461,C461), 'Judge Count DO NOT EDIT'!H:H, 1, FALSE)), "ERROR","")</f>
        <v/>
      </c>
      <c r="Q461" s="141"/>
      <c r="R461" s="143"/>
      <c r="S461" s="139" t="str">
        <f t="shared" si="2"/>
        <v>1042231</v>
      </c>
      <c r="T461" s="141"/>
    </row>
    <row r="462">
      <c r="A462" s="137">
        <f>IFERROR(__xludf.DUMMYFUNCTION("""COMPUTED_VALUE"""),45353.98896298611)</f>
        <v>45353.98896</v>
      </c>
      <c r="B462" s="138" t="str">
        <f>IFERROR(__xludf.DUMMYFUNCTION("""COMPUTED_VALUE"""),"Anthony Roberts")</f>
        <v>Anthony Roberts</v>
      </c>
      <c r="C462" s="138">
        <f>IFERROR(__xludf.DUMMYFUNCTION("""COMPUTED_VALUE"""),1244.0)</f>
        <v>1244</v>
      </c>
      <c r="D462" s="139">
        <f>IFERROR(__xludf.DUMMYFUNCTION("""COMPUTED_VALUE"""),231.0)</f>
        <v>231</v>
      </c>
      <c r="E462" s="138">
        <f>IFERROR(__xludf.DUMMYFUNCTION("""COMPUTED_VALUE"""),4.0)</f>
        <v>4</v>
      </c>
      <c r="F462" s="138">
        <f>IFERROR(__xludf.DUMMYFUNCTION("""COMPUTED_VALUE"""),4.0)</f>
        <v>4</v>
      </c>
      <c r="G462" s="138">
        <f>IFERROR(__xludf.DUMMYFUNCTION("""COMPUTED_VALUE"""),4.0)</f>
        <v>4</v>
      </c>
      <c r="H462" s="138">
        <f>IFERROR(__xludf.DUMMYFUNCTION("""COMPUTED_VALUE"""),4.0)</f>
        <v>4</v>
      </c>
      <c r="I462" s="138">
        <f>IFERROR(__xludf.DUMMYFUNCTION("""COMPUTED_VALUE"""),4.0)</f>
        <v>4</v>
      </c>
      <c r="J462" s="138">
        <f>IFERROR(__xludf.DUMMYFUNCTION("""COMPUTED_VALUE"""),4.0)</f>
        <v>4</v>
      </c>
      <c r="K462" s="138">
        <f>IFERROR(__xludf.DUMMYFUNCTION("""COMPUTED_VALUE"""),5.0)</f>
        <v>5</v>
      </c>
      <c r="L462" s="138">
        <v>29.0</v>
      </c>
      <c r="M462" s="140" t="str">
        <f>VLOOKUP(text(D462, "#"),'Master Table'!$A:$F, 6, FALSE)</f>
        <v>C-4</v>
      </c>
      <c r="N462" s="141" t="str">
        <f>IFERROR(__xludf.DUMMYFUNCTION("""COMPUTED_VALUE"""),"Presenter did a great job with giving the audience context of the subject to allow a better understanding of the presented information. Presnter could benefit from slowing down and not rushing through the conclusion at the end.")</f>
        <v>Presenter did a great job with giving the audience context of the subject to allow a better understanding of the presented information. Presnter could benefit from slowing down and not rushing through the conclusion at the end.</v>
      </c>
      <c r="O462" s="142" t="str">
        <f t="shared" si="1"/>
        <v/>
      </c>
      <c r="P462" s="143" t="str">
        <f>IF(ISNA(VLOOKUP(CONCAT(M462,C462), 'Judge Count DO NOT EDIT'!H:H, 1, FALSE)), "ERROR","")</f>
        <v>ERROR</v>
      </c>
      <c r="Q462" s="141"/>
      <c r="R462" s="143"/>
      <c r="S462" s="139" t="str">
        <f t="shared" si="2"/>
        <v>1244231</v>
      </c>
      <c r="T462" s="141"/>
    </row>
    <row r="463">
      <c r="A463" s="137">
        <f>IFERROR(__xludf.DUMMYFUNCTION("""COMPUTED_VALUE"""),45352.60067331018)</f>
        <v>45352.60067</v>
      </c>
      <c r="B463" s="138" t="str">
        <f>IFERROR(__xludf.DUMMYFUNCTION("""COMPUTED_VALUE"""),"Michelle Weber Rawlins")</f>
        <v>Michelle Weber Rawlins</v>
      </c>
      <c r="C463" s="138">
        <f>IFERROR(__xludf.DUMMYFUNCTION("""COMPUTED_VALUE"""),1074.0)</f>
        <v>1074</v>
      </c>
      <c r="D463" s="139">
        <f>IFERROR(__xludf.DUMMYFUNCTION("""COMPUTED_VALUE"""),232.0)</f>
        <v>232</v>
      </c>
      <c r="E463" s="138">
        <f>IFERROR(__xludf.DUMMYFUNCTION("""COMPUTED_VALUE"""),3.0)</f>
        <v>3</v>
      </c>
      <c r="F463" s="138">
        <f>IFERROR(__xludf.DUMMYFUNCTION("""COMPUTED_VALUE"""),4.0)</f>
        <v>4</v>
      </c>
      <c r="G463" s="138">
        <f>IFERROR(__xludf.DUMMYFUNCTION("""COMPUTED_VALUE"""),4.0)</f>
        <v>4</v>
      </c>
      <c r="H463" s="138">
        <f>IFERROR(__xludf.DUMMYFUNCTION("""COMPUTED_VALUE"""),4.0)</f>
        <v>4</v>
      </c>
      <c r="I463" s="138">
        <f>IFERROR(__xludf.DUMMYFUNCTION("""COMPUTED_VALUE"""),4.0)</f>
        <v>4</v>
      </c>
      <c r="J463" s="138">
        <f>IFERROR(__xludf.DUMMYFUNCTION("""COMPUTED_VALUE"""),4.0)</f>
        <v>4</v>
      </c>
      <c r="K463" s="138">
        <f>IFERROR(__xludf.DUMMYFUNCTION("""COMPUTED_VALUE"""),4.0)</f>
        <v>4</v>
      </c>
      <c r="L463" s="138">
        <v>27.0</v>
      </c>
      <c r="M463" s="140" t="str">
        <f>VLOOKUP(text(D463, "#"),'Master Table'!$A:$F, 6, FALSE)</f>
        <v>C-4</v>
      </c>
      <c r="N463" s="141" t="str">
        <f>IFERROR(__xludf.DUMMYFUNCTION("""COMPUTED_VALUE"""),"Well practiced. Appreciated the audience participation in asking questions. Slides helped presentation, did not distract. Took a long time to get to research questions though. I would have like to see a much shorter introduction, although it did help the "&amp;"audience set the stage as to why the problems is a problem. Good job identifying limitations")</f>
        <v>Well practiced. Appreciated the audience participation in asking questions. Slides helped presentation, did not distract. Took a long time to get to research questions though. I would have like to see a much shorter introduction, although it did help the audience set the stage as to why the problems is a problem. Good job identifying limitations</v>
      </c>
      <c r="O463" s="142" t="str">
        <f t="shared" si="1"/>
        <v/>
      </c>
      <c r="P463" s="143" t="str">
        <f>IF(ISNA(VLOOKUP(CONCAT(M463,C463), 'Judge Count DO NOT EDIT'!H:H, 1, FALSE)), "ERROR","")</f>
        <v/>
      </c>
      <c r="Q463" s="144"/>
      <c r="R463" s="143"/>
      <c r="S463" s="139" t="str">
        <f t="shared" si="2"/>
        <v>1074232</v>
      </c>
      <c r="T463" s="141"/>
    </row>
    <row r="464">
      <c r="A464" s="137">
        <f>IFERROR(__xludf.DUMMYFUNCTION("""COMPUTED_VALUE"""),45352.60107752315)</f>
        <v>45352.60108</v>
      </c>
      <c r="B464" s="138" t="str">
        <f>IFERROR(__xludf.DUMMYFUNCTION("""COMPUTED_VALUE"""),"Annie Keeney")</f>
        <v>Annie Keeney</v>
      </c>
      <c r="C464" s="138">
        <f>IFERROR(__xludf.DUMMYFUNCTION("""COMPUTED_VALUE"""),1053.0)</f>
        <v>1053</v>
      </c>
      <c r="D464" s="139">
        <f>IFERROR(__xludf.DUMMYFUNCTION("""COMPUTED_VALUE"""),232.0)</f>
        <v>232</v>
      </c>
      <c r="E464" s="138">
        <f>IFERROR(__xludf.DUMMYFUNCTION("""COMPUTED_VALUE"""),5.0)</f>
        <v>5</v>
      </c>
      <c r="F464" s="138">
        <f>IFERROR(__xludf.DUMMYFUNCTION("""COMPUTED_VALUE"""),5.0)</f>
        <v>5</v>
      </c>
      <c r="G464" s="138">
        <f>IFERROR(__xludf.DUMMYFUNCTION("""COMPUTED_VALUE"""),5.0)</f>
        <v>5</v>
      </c>
      <c r="H464" s="138">
        <f>IFERROR(__xludf.DUMMYFUNCTION("""COMPUTED_VALUE"""),4.0)</f>
        <v>4</v>
      </c>
      <c r="I464" s="138">
        <f>IFERROR(__xludf.DUMMYFUNCTION("""COMPUTED_VALUE"""),5.0)</f>
        <v>5</v>
      </c>
      <c r="J464" s="138">
        <f>IFERROR(__xludf.DUMMYFUNCTION("""COMPUTED_VALUE"""),5.0)</f>
        <v>5</v>
      </c>
      <c r="K464" s="138">
        <f>IFERROR(__xludf.DUMMYFUNCTION("""COMPUTED_VALUE"""),5.0)</f>
        <v>5</v>
      </c>
      <c r="L464" s="138">
        <v>34.0</v>
      </c>
      <c r="M464" s="140" t="str">
        <f>VLOOKUP(text(D464, "#"),'Master Table'!$A:$F, 6, FALSE)</f>
        <v>C-4</v>
      </c>
      <c r="N464" s="141" t="str">
        <f>IFERROR(__xludf.DUMMYFUNCTION("""COMPUTED_VALUE"""),"Nicely done. Very interesting topic! Would have liked to seen more visual data represented on the means of knowledge and attitude. ")</f>
        <v>Nicely done. Very interesting topic! Would have liked to seen more visual data represented on the means of knowledge and attitude. </v>
      </c>
      <c r="O464" s="142" t="str">
        <f t="shared" si="1"/>
        <v/>
      </c>
      <c r="P464" s="143" t="str">
        <f>IF(ISNA(VLOOKUP(CONCAT(M464,C464), 'Judge Count DO NOT EDIT'!H:H, 1, FALSE)), "ERROR","")</f>
        <v/>
      </c>
      <c r="Q464" s="141"/>
      <c r="R464" s="143"/>
      <c r="S464" s="139" t="str">
        <f t="shared" si="2"/>
        <v>1053232</v>
      </c>
      <c r="T464" s="141"/>
    </row>
    <row r="465">
      <c r="A465" s="137">
        <f>IFERROR(__xludf.DUMMYFUNCTION("""COMPUTED_VALUE"""),45352.65730511574)</f>
        <v>45352.65731</v>
      </c>
      <c r="B465" s="138" t="str">
        <f>IFERROR(__xludf.DUMMYFUNCTION("""COMPUTED_VALUE"""),"Aner Zhou")</f>
        <v>Aner Zhou</v>
      </c>
      <c r="C465" s="138">
        <f>IFERROR(__xludf.DUMMYFUNCTION("""COMPUTED_VALUE"""),1042.0)</f>
        <v>1042</v>
      </c>
      <c r="D465" s="139">
        <f>IFERROR(__xludf.DUMMYFUNCTION("""COMPUTED_VALUE"""),232.0)</f>
        <v>232</v>
      </c>
      <c r="E465" s="138">
        <f>IFERROR(__xludf.DUMMYFUNCTION("""COMPUTED_VALUE"""),4.0)</f>
        <v>4</v>
      </c>
      <c r="F465" s="138">
        <f>IFERROR(__xludf.DUMMYFUNCTION("""COMPUTED_VALUE"""),4.0)</f>
        <v>4</v>
      </c>
      <c r="G465" s="138">
        <f>IFERROR(__xludf.DUMMYFUNCTION("""COMPUTED_VALUE"""),4.0)</f>
        <v>4</v>
      </c>
      <c r="H465" s="138">
        <f>IFERROR(__xludf.DUMMYFUNCTION("""COMPUTED_VALUE"""),4.0)</f>
        <v>4</v>
      </c>
      <c r="I465" s="138">
        <f>IFERROR(__xludf.DUMMYFUNCTION("""COMPUTED_VALUE"""),4.0)</f>
        <v>4</v>
      </c>
      <c r="J465" s="138">
        <f>IFERROR(__xludf.DUMMYFUNCTION("""COMPUTED_VALUE"""),4.0)</f>
        <v>4</v>
      </c>
      <c r="K465" s="138">
        <f>IFERROR(__xludf.DUMMYFUNCTION("""COMPUTED_VALUE"""),4.0)</f>
        <v>4</v>
      </c>
      <c r="L465" s="138">
        <v>28.0</v>
      </c>
      <c r="M465" s="140" t="str">
        <f>VLOOKUP(text(D465, "#"),'Master Table'!$A:$F, 6, FALSE)</f>
        <v>C-4</v>
      </c>
      <c r="N465" s="141"/>
      <c r="O465" s="142" t="str">
        <f t="shared" si="1"/>
        <v/>
      </c>
      <c r="P465" s="143" t="str">
        <f>IF(ISNA(VLOOKUP(CONCAT(M465,C465), 'Judge Count DO NOT EDIT'!H:H, 1, FALSE)), "ERROR","")</f>
        <v/>
      </c>
      <c r="Q465" s="141"/>
      <c r="R465" s="143"/>
      <c r="S465" s="139" t="str">
        <f t="shared" si="2"/>
        <v>1042232</v>
      </c>
      <c r="T465" s="141"/>
    </row>
    <row r="466">
      <c r="A466" s="137">
        <f>IFERROR(__xludf.DUMMYFUNCTION("""COMPUTED_VALUE"""),45352.61096164351)</f>
        <v>45352.61096</v>
      </c>
      <c r="B466" s="138" t="str">
        <f>IFERROR(__xludf.DUMMYFUNCTION("""COMPUTED_VALUE"""),"Michelle Weber Rawlins")</f>
        <v>Michelle Weber Rawlins</v>
      </c>
      <c r="C466" s="138">
        <f>IFERROR(__xludf.DUMMYFUNCTION("""COMPUTED_VALUE"""),1074.0)</f>
        <v>1074</v>
      </c>
      <c r="D466" s="139">
        <f>IFERROR(__xludf.DUMMYFUNCTION("""COMPUTED_VALUE"""),233.0)</f>
        <v>233</v>
      </c>
      <c r="E466" s="138">
        <f>IFERROR(__xludf.DUMMYFUNCTION("""COMPUTED_VALUE"""),4.0)</f>
        <v>4</v>
      </c>
      <c r="F466" s="138">
        <f>IFERROR(__xludf.DUMMYFUNCTION("""COMPUTED_VALUE"""),3.0)</f>
        <v>3</v>
      </c>
      <c r="G466" s="138">
        <f>IFERROR(__xludf.DUMMYFUNCTION("""COMPUTED_VALUE"""),4.0)</f>
        <v>4</v>
      </c>
      <c r="H466" s="138">
        <f>IFERROR(__xludf.DUMMYFUNCTION("""COMPUTED_VALUE"""),4.0)</f>
        <v>4</v>
      </c>
      <c r="I466" s="138">
        <f>IFERROR(__xludf.DUMMYFUNCTION("""COMPUTED_VALUE"""),3.0)</f>
        <v>3</v>
      </c>
      <c r="J466" s="138">
        <f>IFERROR(__xludf.DUMMYFUNCTION("""COMPUTED_VALUE"""),4.0)</f>
        <v>4</v>
      </c>
      <c r="K466" s="138">
        <f>IFERROR(__xludf.DUMMYFUNCTION("""COMPUTED_VALUE"""),4.0)</f>
        <v>4</v>
      </c>
      <c r="L466" s="138">
        <v>26.0</v>
      </c>
      <c r="M466" s="140" t="str">
        <f>VLOOKUP(text(D466, "#"),'Master Table'!$A:$F, 6, FALSE)</f>
        <v>C-4</v>
      </c>
      <c r="N466" s="141" t="str">
        <f>IFERROR(__xludf.DUMMYFUNCTION("""COMPUTED_VALUE"""),"Very interesting study and you set up the foundational components well, especially for someone not in your field. Relied on notes a bit. Trust the work you’ve done so far, clear you know a lot on the topic. The pictures supported and helped me keep track "&amp;"which what was, very helpful. Well done answering our questions. ")</f>
        <v>Very interesting study and you set up the foundational components well, especially for someone not in your field. Relied on notes a bit. Trust the work you’ve done so far, clear you know a lot on the topic. The pictures supported and helped me keep track which what was, very helpful. Well done answering our questions. </v>
      </c>
      <c r="O466" s="142" t="str">
        <f t="shared" si="1"/>
        <v/>
      </c>
      <c r="P466" s="143" t="str">
        <f>IF(ISNA(VLOOKUP(CONCAT(M466,C466), 'Judge Count DO NOT EDIT'!H:H, 1, FALSE)), "ERROR","")</f>
        <v/>
      </c>
      <c r="Q466" s="141"/>
      <c r="R466" s="143"/>
      <c r="S466" s="139" t="str">
        <f t="shared" si="2"/>
        <v>1074233</v>
      </c>
      <c r="T466" s="141"/>
    </row>
    <row r="467">
      <c r="A467" s="137">
        <f>IFERROR(__xludf.DUMMYFUNCTION("""COMPUTED_VALUE"""),45352.657793148144)</f>
        <v>45352.65779</v>
      </c>
      <c r="B467" s="138" t="str">
        <f>IFERROR(__xludf.DUMMYFUNCTION("""COMPUTED_VALUE"""),"Aner Zhou")</f>
        <v>Aner Zhou</v>
      </c>
      <c r="C467" s="138">
        <f>IFERROR(__xludf.DUMMYFUNCTION("""COMPUTED_VALUE"""),1042.0)</f>
        <v>1042</v>
      </c>
      <c r="D467" s="139">
        <f>IFERROR(__xludf.DUMMYFUNCTION("""COMPUTED_VALUE"""),233.0)</f>
        <v>233</v>
      </c>
      <c r="E467" s="138">
        <f>IFERROR(__xludf.DUMMYFUNCTION("""COMPUTED_VALUE"""),4.0)</f>
        <v>4</v>
      </c>
      <c r="F467" s="138">
        <f>IFERROR(__xludf.DUMMYFUNCTION("""COMPUTED_VALUE"""),4.0)</f>
        <v>4</v>
      </c>
      <c r="G467" s="138">
        <f>IFERROR(__xludf.DUMMYFUNCTION("""COMPUTED_VALUE"""),4.0)</f>
        <v>4</v>
      </c>
      <c r="H467" s="138">
        <f>IFERROR(__xludf.DUMMYFUNCTION("""COMPUTED_VALUE"""),4.0)</f>
        <v>4</v>
      </c>
      <c r="I467" s="138">
        <f>IFERROR(__xludf.DUMMYFUNCTION("""COMPUTED_VALUE"""),4.0)</f>
        <v>4</v>
      </c>
      <c r="J467" s="138">
        <f>IFERROR(__xludf.DUMMYFUNCTION("""COMPUTED_VALUE"""),4.0)</f>
        <v>4</v>
      </c>
      <c r="K467" s="138">
        <f>IFERROR(__xludf.DUMMYFUNCTION("""COMPUTED_VALUE"""),4.0)</f>
        <v>4</v>
      </c>
      <c r="L467" s="138">
        <v>28.0</v>
      </c>
      <c r="M467" s="140" t="str">
        <f>VLOOKUP(text(D467, "#"),'Master Table'!$A:$F, 6, FALSE)</f>
        <v>C-4</v>
      </c>
      <c r="N467" s="141"/>
      <c r="O467" s="142" t="str">
        <f t="shared" si="1"/>
        <v/>
      </c>
      <c r="P467" s="143" t="str">
        <f>IF(ISNA(VLOOKUP(CONCAT(M467,C467), 'Judge Count DO NOT EDIT'!H:H, 1, FALSE)), "ERROR","")</f>
        <v/>
      </c>
      <c r="Q467" s="141"/>
      <c r="R467" s="143"/>
      <c r="S467" s="139" t="str">
        <f t="shared" si="2"/>
        <v>1042233</v>
      </c>
      <c r="T467" s="141"/>
    </row>
    <row r="468">
      <c r="A468" s="137">
        <f>IFERROR(__xludf.DUMMYFUNCTION("""COMPUTED_VALUE"""),45352.6213621875)</f>
        <v>45352.62136</v>
      </c>
      <c r="B468" s="138" t="str">
        <f>IFERROR(__xludf.DUMMYFUNCTION("""COMPUTED_VALUE"""),"Michelle Weber Rawlins")</f>
        <v>Michelle Weber Rawlins</v>
      </c>
      <c r="C468" s="138">
        <f>IFERROR(__xludf.DUMMYFUNCTION("""COMPUTED_VALUE"""),1074.0)</f>
        <v>1074</v>
      </c>
      <c r="D468" s="139">
        <f>IFERROR(__xludf.DUMMYFUNCTION("""COMPUTED_VALUE"""),234.0)</f>
        <v>234</v>
      </c>
      <c r="E468" s="138">
        <f>IFERROR(__xludf.DUMMYFUNCTION("""COMPUTED_VALUE"""),4.0)</f>
        <v>4</v>
      </c>
      <c r="F468" s="138">
        <f>IFERROR(__xludf.DUMMYFUNCTION("""COMPUTED_VALUE"""),4.0)</f>
        <v>4</v>
      </c>
      <c r="G468" s="138">
        <f>IFERROR(__xludf.DUMMYFUNCTION("""COMPUTED_VALUE"""),4.0)</f>
        <v>4</v>
      </c>
      <c r="H468" s="138">
        <f>IFERROR(__xludf.DUMMYFUNCTION("""COMPUTED_VALUE"""),3.0)</f>
        <v>3</v>
      </c>
      <c r="I468" s="138">
        <f>IFERROR(__xludf.DUMMYFUNCTION("""COMPUTED_VALUE"""),4.0)</f>
        <v>4</v>
      </c>
      <c r="J468" s="138">
        <f>IFERROR(__xludf.DUMMYFUNCTION("""COMPUTED_VALUE"""),3.0)</f>
        <v>3</v>
      </c>
      <c r="K468" s="138">
        <f>IFERROR(__xludf.DUMMYFUNCTION("""COMPUTED_VALUE"""),4.0)</f>
        <v>4</v>
      </c>
      <c r="L468" s="138">
        <v>26.0</v>
      </c>
      <c r="M468" s="140" t="str">
        <f>VLOOKUP(text(D468, "#"),'Master Table'!$A:$F, 6, FALSE)</f>
        <v>C-4</v>
      </c>
      <c r="N468" s="141" t="str">
        <f>IFERROR(__xludf.DUMMYFUNCTION("""COMPUTED_VALUE"""),"Well done setting the stage for us. Divided the presentation well. Often relied on slides instead of eye contact with the audience. It is clear you both know and understand the project well, rely on that knowledge. Very interesting and necessary work. ")</f>
        <v>Well done setting the stage for us. Divided the presentation well. Often relied on slides instead of eye contact with the audience. It is clear you both know and understand the project well, rely on that knowledge. Very interesting and necessary work. </v>
      </c>
      <c r="O468" s="142" t="str">
        <f t="shared" si="1"/>
        <v/>
      </c>
      <c r="P468" s="143" t="str">
        <f>IF(ISNA(VLOOKUP(CONCAT(M468,C468), 'Judge Count DO NOT EDIT'!H:H, 1, FALSE)), "ERROR","")</f>
        <v/>
      </c>
      <c r="Q468" s="141"/>
      <c r="R468" s="143"/>
      <c r="S468" s="139" t="str">
        <f t="shared" si="2"/>
        <v>1074234</v>
      </c>
      <c r="T468" s="141"/>
    </row>
    <row r="469">
      <c r="A469" s="137">
        <f>IFERROR(__xludf.DUMMYFUNCTION("""COMPUTED_VALUE"""),45352.65828564815)</f>
        <v>45352.65829</v>
      </c>
      <c r="B469" s="138" t="str">
        <f>IFERROR(__xludf.DUMMYFUNCTION("""COMPUTED_VALUE"""),"Aner Zhou")</f>
        <v>Aner Zhou</v>
      </c>
      <c r="C469" s="138">
        <f>IFERROR(__xludf.DUMMYFUNCTION("""COMPUTED_VALUE"""),1042.0)</f>
        <v>1042</v>
      </c>
      <c r="D469" s="139">
        <f>IFERROR(__xludf.DUMMYFUNCTION("""COMPUTED_VALUE"""),234.0)</f>
        <v>234</v>
      </c>
      <c r="E469" s="138">
        <f>IFERROR(__xludf.DUMMYFUNCTION("""COMPUTED_VALUE"""),4.0)</f>
        <v>4</v>
      </c>
      <c r="F469" s="138">
        <f>IFERROR(__xludf.DUMMYFUNCTION("""COMPUTED_VALUE"""),4.0)</f>
        <v>4</v>
      </c>
      <c r="G469" s="138">
        <f>IFERROR(__xludf.DUMMYFUNCTION("""COMPUTED_VALUE"""),4.0)</f>
        <v>4</v>
      </c>
      <c r="H469" s="138">
        <f>IFERROR(__xludf.DUMMYFUNCTION("""COMPUTED_VALUE"""),4.0)</f>
        <v>4</v>
      </c>
      <c r="I469" s="138">
        <f>IFERROR(__xludf.DUMMYFUNCTION("""COMPUTED_VALUE"""),4.0)</f>
        <v>4</v>
      </c>
      <c r="J469" s="138">
        <f>IFERROR(__xludf.DUMMYFUNCTION("""COMPUTED_VALUE"""),4.0)</f>
        <v>4</v>
      </c>
      <c r="K469" s="138">
        <f>IFERROR(__xludf.DUMMYFUNCTION("""COMPUTED_VALUE"""),4.0)</f>
        <v>4</v>
      </c>
      <c r="L469" s="138">
        <v>28.0</v>
      </c>
      <c r="M469" s="140" t="str">
        <f>VLOOKUP(text(D469, "#"),'Master Table'!$A:$F, 6, FALSE)</f>
        <v>C-4</v>
      </c>
      <c r="N469" s="141"/>
      <c r="O469" s="142" t="str">
        <f t="shared" si="1"/>
        <v/>
      </c>
      <c r="P469" s="143" t="str">
        <f>IF(ISNA(VLOOKUP(CONCAT(M469,C469), 'Judge Count DO NOT EDIT'!H:H, 1, FALSE)), "ERROR","")</f>
        <v/>
      </c>
      <c r="Q469" s="141"/>
      <c r="R469" s="143"/>
      <c r="S469" s="139" t="str">
        <f t="shared" si="2"/>
        <v>1042234</v>
      </c>
      <c r="T469" s="141"/>
    </row>
    <row r="470">
      <c r="A470" s="137">
        <f>IFERROR(__xludf.DUMMYFUNCTION("""COMPUTED_VALUE"""),45352.568196203705)</f>
        <v>45352.5682</v>
      </c>
      <c r="B470" s="138" t="str">
        <f>IFERROR(__xludf.DUMMYFUNCTION("""COMPUTED_VALUE"""),"Miguel Angel Zavala Perez ")</f>
        <v>Miguel Angel Zavala Perez </v>
      </c>
      <c r="C470" s="138">
        <f>IFERROR(__xludf.DUMMYFUNCTION("""COMPUTED_VALUE"""),1030.0)</f>
        <v>1030</v>
      </c>
      <c r="D470" s="139">
        <f>IFERROR(__xludf.DUMMYFUNCTION("""COMPUTED_VALUE"""),236.0)</f>
        <v>236</v>
      </c>
      <c r="E470" s="138">
        <f>IFERROR(__xludf.DUMMYFUNCTION("""COMPUTED_VALUE"""),4.0)</f>
        <v>4</v>
      </c>
      <c r="F470" s="138">
        <f>IFERROR(__xludf.DUMMYFUNCTION("""COMPUTED_VALUE"""),4.0)</f>
        <v>4</v>
      </c>
      <c r="G470" s="138">
        <f>IFERROR(__xludf.DUMMYFUNCTION("""COMPUTED_VALUE"""),4.0)</f>
        <v>4</v>
      </c>
      <c r="H470" s="138">
        <f>IFERROR(__xludf.DUMMYFUNCTION("""COMPUTED_VALUE"""),4.0)</f>
        <v>4</v>
      </c>
      <c r="I470" s="138">
        <f>IFERROR(__xludf.DUMMYFUNCTION("""COMPUTED_VALUE"""),3.0)</f>
        <v>3</v>
      </c>
      <c r="J470" s="138">
        <f>IFERROR(__xludf.DUMMYFUNCTION("""COMPUTED_VALUE"""),4.0)</f>
        <v>4</v>
      </c>
      <c r="K470" s="138">
        <f>IFERROR(__xludf.DUMMYFUNCTION("""COMPUTED_VALUE"""),5.0)</f>
        <v>5</v>
      </c>
      <c r="L470" s="138">
        <v>28.0</v>
      </c>
      <c r="M470" s="140" t="str">
        <f>VLOOKUP(text(D470, "#"),'Master Table'!$A:$F, 6, FALSE)</f>
        <v>C-5</v>
      </c>
      <c r="N470" s="141" t="str">
        <f>IFERROR(__xludf.DUMMYFUNCTION("""COMPUTED_VALUE"""),"Great work, keep it up. Look for genetic interactions ")</f>
        <v>Great work, keep it up. Look for genetic interactions </v>
      </c>
      <c r="O470" s="142" t="str">
        <f t="shared" si="1"/>
        <v/>
      </c>
      <c r="P470" s="143" t="str">
        <f>IF(ISNA(VLOOKUP(CONCAT(M470,C470), 'Judge Count DO NOT EDIT'!H:H, 1, FALSE)), "ERROR","")</f>
        <v/>
      </c>
      <c r="Q470" s="141"/>
      <c r="R470" s="143"/>
      <c r="S470" s="139" t="str">
        <f t="shared" si="2"/>
        <v>1030236</v>
      </c>
      <c r="T470" s="141"/>
    </row>
    <row r="471">
      <c r="A471" s="137">
        <f>IFERROR(__xludf.DUMMYFUNCTION("""COMPUTED_VALUE"""),45352.56872805556)</f>
        <v>45352.56873</v>
      </c>
      <c r="B471" s="138" t="str">
        <f>IFERROR(__xludf.DUMMYFUNCTION("""COMPUTED_VALUE"""),"Juanjuan Fan")</f>
        <v>Juanjuan Fan</v>
      </c>
      <c r="C471" s="138">
        <f>IFERROR(__xludf.DUMMYFUNCTION("""COMPUTED_VALUE"""),1015.0)</f>
        <v>1015</v>
      </c>
      <c r="D471" s="139">
        <f>IFERROR(__xludf.DUMMYFUNCTION("""COMPUTED_VALUE"""),236.0)</f>
        <v>236</v>
      </c>
      <c r="E471" s="138">
        <f>IFERROR(__xludf.DUMMYFUNCTION("""COMPUTED_VALUE"""),4.0)</f>
        <v>4</v>
      </c>
      <c r="F471" s="138">
        <f>IFERROR(__xludf.DUMMYFUNCTION("""COMPUTED_VALUE"""),5.0)</f>
        <v>5</v>
      </c>
      <c r="G471" s="138">
        <f>IFERROR(__xludf.DUMMYFUNCTION("""COMPUTED_VALUE"""),5.0)</f>
        <v>5</v>
      </c>
      <c r="H471" s="138">
        <f>IFERROR(__xludf.DUMMYFUNCTION("""COMPUTED_VALUE"""),5.0)</f>
        <v>5</v>
      </c>
      <c r="I471" s="138">
        <f>IFERROR(__xludf.DUMMYFUNCTION("""COMPUTED_VALUE"""),4.0)</f>
        <v>4</v>
      </c>
      <c r="J471" s="138">
        <f>IFERROR(__xludf.DUMMYFUNCTION("""COMPUTED_VALUE"""),5.0)</f>
        <v>5</v>
      </c>
      <c r="K471" s="138">
        <f>IFERROR(__xludf.DUMMYFUNCTION("""COMPUTED_VALUE"""),5.0)</f>
        <v>5</v>
      </c>
      <c r="L471" s="138">
        <v>33.0</v>
      </c>
      <c r="M471" s="140" t="str">
        <f>VLOOKUP(text(D471, "#"),'Master Table'!$A:$F, 6, FALSE)</f>
        <v>C-5</v>
      </c>
      <c r="N471" s="141"/>
      <c r="O471" s="142" t="str">
        <f t="shared" si="1"/>
        <v/>
      </c>
      <c r="P471" s="143" t="str">
        <f>IF(ISNA(VLOOKUP(CONCAT(M471,C471), 'Judge Count DO NOT EDIT'!H:H, 1, FALSE)), "ERROR","")</f>
        <v/>
      </c>
      <c r="Q471" s="141"/>
      <c r="R471" s="143"/>
      <c r="S471" s="139" t="str">
        <f t="shared" si="2"/>
        <v>1015236</v>
      </c>
      <c r="T471" s="141"/>
    </row>
    <row r="472">
      <c r="A472" s="137">
        <f>IFERROR(__xludf.DUMMYFUNCTION("""COMPUTED_VALUE"""),45352.56919011574)</f>
        <v>45352.56919</v>
      </c>
      <c r="B472" s="138" t="str">
        <f>IFERROR(__xludf.DUMMYFUNCTION("""COMPUTED_VALUE"""),"Carolyn ")</f>
        <v>Carolyn </v>
      </c>
      <c r="C472" s="138">
        <f>IFERROR(__xludf.DUMMYFUNCTION("""COMPUTED_VALUE"""),1111.0)</f>
        <v>1111</v>
      </c>
      <c r="D472" s="139">
        <f>IFERROR(__xludf.DUMMYFUNCTION("""COMPUTED_VALUE"""),236.0)</f>
        <v>236</v>
      </c>
      <c r="E472" s="138">
        <f>IFERROR(__xludf.DUMMYFUNCTION("""COMPUTED_VALUE"""),4.0)</f>
        <v>4</v>
      </c>
      <c r="F472" s="138">
        <f>IFERROR(__xludf.DUMMYFUNCTION("""COMPUTED_VALUE"""),4.0)</f>
        <v>4</v>
      </c>
      <c r="G472" s="138">
        <f>IFERROR(__xludf.DUMMYFUNCTION("""COMPUTED_VALUE"""),5.0)</f>
        <v>5</v>
      </c>
      <c r="H472" s="138">
        <f>IFERROR(__xludf.DUMMYFUNCTION("""COMPUTED_VALUE"""),4.0)</f>
        <v>4</v>
      </c>
      <c r="I472" s="138">
        <f>IFERROR(__xludf.DUMMYFUNCTION("""COMPUTED_VALUE"""),5.0)</f>
        <v>5</v>
      </c>
      <c r="J472" s="138">
        <f>IFERROR(__xludf.DUMMYFUNCTION("""COMPUTED_VALUE"""),5.0)</f>
        <v>5</v>
      </c>
      <c r="K472" s="138">
        <f>IFERROR(__xludf.DUMMYFUNCTION("""COMPUTED_VALUE"""),5.0)</f>
        <v>5</v>
      </c>
      <c r="L472" s="138">
        <v>32.0</v>
      </c>
      <c r="M472" s="140" t="str">
        <f>VLOOKUP(text(D472, "#"),'Master Table'!$A:$F, 6, FALSE)</f>
        <v>C-5</v>
      </c>
      <c r="N472" s="141" t="str">
        <f>IFERROR(__xludf.DUMMYFUNCTION("""COMPUTED_VALUE"""),"Thank you for a well presented research project. The two students showed a professional stance and spoke well. I was impressed with the knowledge of their fields. ")</f>
        <v>Thank you for a well presented research project. The two students showed a professional stance and spoke well. I was impressed with the knowledge of their fields. </v>
      </c>
      <c r="O472" s="142" t="str">
        <f t="shared" si="1"/>
        <v/>
      </c>
      <c r="P472" s="143" t="str">
        <f>IF(ISNA(VLOOKUP(CONCAT(M472,C472), 'Judge Count DO NOT EDIT'!H:H, 1, FALSE)), "ERROR","")</f>
        <v/>
      </c>
      <c r="Q472" s="141"/>
      <c r="R472" s="143"/>
      <c r="S472" s="139" t="str">
        <f t="shared" si="2"/>
        <v>1111236</v>
      </c>
      <c r="T472" s="141"/>
    </row>
    <row r="473">
      <c r="A473" s="137">
        <f>IFERROR(__xludf.DUMMYFUNCTION("""COMPUTED_VALUE"""),45352.57019438657)</f>
        <v>45352.57019</v>
      </c>
      <c r="B473" s="138" t="str">
        <f>IFERROR(__xludf.DUMMYFUNCTION("""COMPUTED_VALUE"""),"Stanley Maloy")</f>
        <v>Stanley Maloy</v>
      </c>
      <c r="C473" s="138">
        <f>IFERROR(__xludf.DUMMYFUNCTION("""COMPUTED_VALUE"""),1041.0)</f>
        <v>1041</v>
      </c>
      <c r="D473" s="139">
        <f>IFERROR(__xludf.DUMMYFUNCTION("""COMPUTED_VALUE"""),236.0)</f>
        <v>236</v>
      </c>
      <c r="E473" s="138">
        <f>IFERROR(__xludf.DUMMYFUNCTION("""COMPUTED_VALUE"""),4.0)</f>
        <v>4</v>
      </c>
      <c r="F473" s="138">
        <f>IFERROR(__xludf.DUMMYFUNCTION("""COMPUTED_VALUE"""),4.0)</f>
        <v>4</v>
      </c>
      <c r="G473" s="138">
        <f>IFERROR(__xludf.DUMMYFUNCTION("""COMPUTED_VALUE"""),5.0)</f>
        <v>5</v>
      </c>
      <c r="H473" s="138">
        <f>IFERROR(__xludf.DUMMYFUNCTION("""COMPUTED_VALUE"""),4.0)</f>
        <v>4</v>
      </c>
      <c r="I473" s="138">
        <f>IFERROR(__xludf.DUMMYFUNCTION("""COMPUTED_VALUE"""),4.0)</f>
        <v>4</v>
      </c>
      <c r="J473" s="138">
        <f>IFERROR(__xludf.DUMMYFUNCTION("""COMPUTED_VALUE"""),4.0)</f>
        <v>4</v>
      </c>
      <c r="K473" s="138">
        <f>IFERROR(__xludf.DUMMYFUNCTION("""COMPUTED_VALUE"""),5.0)</f>
        <v>5</v>
      </c>
      <c r="L473" s="138">
        <v>30.0</v>
      </c>
      <c r="M473" s="140" t="str">
        <f>VLOOKUP(text(D473, "#"),'Master Table'!$A:$F, 6, FALSE)</f>
        <v>C-5</v>
      </c>
      <c r="N473" s="141" t="str">
        <f>IFERROR(__xludf.DUMMYFUNCTION("""COMPUTED_VALUE"""),"Nice personal story at start! Font on initial slide too small to read from audience. ")</f>
        <v>Nice personal story at start! Font on initial slide too small to read from audience. </v>
      </c>
      <c r="O473" s="142" t="str">
        <f t="shared" si="1"/>
        <v/>
      </c>
      <c r="P473" s="143" t="str">
        <f>IF(ISNA(VLOOKUP(CONCAT(M473,C473), 'Judge Count DO NOT EDIT'!H:H, 1, FALSE)), "ERROR","")</f>
        <v/>
      </c>
      <c r="Q473" s="141"/>
      <c r="R473" s="143"/>
      <c r="S473" s="139" t="str">
        <f t="shared" si="2"/>
        <v>1041236</v>
      </c>
      <c r="T473" s="141"/>
    </row>
    <row r="474">
      <c r="A474" s="137">
        <f>IFERROR(__xludf.DUMMYFUNCTION("""COMPUTED_VALUE"""),45352.57074420139)</f>
        <v>45352.57074</v>
      </c>
      <c r="B474" s="138" t="str">
        <f>IFERROR(__xludf.DUMMYFUNCTION("""COMPUTED_VALUE"""),"Sanford Bernstein")</f>
        <v>Sanford Bernstein</v>
      </c>
      <c r="C474" s="138">
        <f>IFERROR(__xludf.DUMMYFUNCTION("""COMPUTED_VALUE"""),1047.0)</f>
        <v>1047</v>
      </c>
      <c r="D474" s="139">
        <f>IFERROR(__xludf.DUMMYFUNCTION("""COMPUTED_VALUE"""),236.0)</f>
        <v>236</v>
      </c>
      <c r="E474" s="138">
        <f>IFERROR(__xludf.DUMMYFUNCTION("""COMPUTED_VALUE"""),4.0)</f>
        <v>4</v>
      </c>
      <c r="F474" s="138">
        <f>IFERROR(__xludf.DUMMYFUNCTION("""COMPUTED_VALUE"""),4.0)</f>
        <v>4</v>
      </c>
      <c r="G474" s="138">
        <f>IFERROR(__xludf.DUMMYFUNCTION("""COMPUTED_VALUE"""),4.0)</f>
        <v>4</v>
      </c>
      <c r="H474" s="138">
        <f>IFERROR(__xludf.DUMMYFUNCTION("""COMPUTED_VALUE"""),4.0)</f>
        <v>4</v>
      </c>
      <c r="I474" s="138">
        <f>IFERROR(__xludf.DUMMYFUNCTION("""COMPUTED_VALUE"""),5.0)</f>
        <v>5</v>
      </c>
      <c r="J474" s="138">
        <f>IFERROR(__xludf.DUMMYFUNCTION("""COMPUTED_VALUE"""),4.0)</f>
        <v>4</v>
      </c>
      <c r="K474" s="138">
        <f>IFERROR(__xludf.DUMMYFUNCTION("""COMPUTED_VALUE"""),4.0)</f>
        <v>4</v>
      </c>
      <c r="L474" s="138">
        <v>29.0</v>
      </c>
      <c r="M474" s="140" t="str">
        <f>VLOOKUP(text(D474, "#"),'Master Table'!$A:$F, 6, FALSE)</f>
        <v>C-5</v>
      </c>
      <c r="N474" s="141" t="str">
        <f>IFERROR(__xludf.DUMMYFUNCTION("""COMPUTED_VALUE"""),"Both presenters were excellent. Very clear and also showed excellent knowledge of project. Might include human relevance upfront to generate interest.  ")</f>
        <v>Both presenters were excellent. Very clear and also showed excellent knowledge of project. Might include human relevance upfront to generate interest.  </v>
      </c>
      <c r="O474" s="142" t="str">
        <f t="shared" si="1"/>
        <v/>
      </c>
      <c r="P474" s="143" t="str">
        <f>IF(ISNA(VLOOKUP(CONCAT(M474,C474), 'Judge Count DO NOT EDIT'!H:H, 1, FALSE)), "ERROR","")</f>
        <v/>
      </c>
      <c r="Q474" s="141"/>
      <c r="R474" s="143"/>
      <c r="S474" s="139" t="str">
        <f t="shared" si="2"/>
        <v>1047236</v>
      </c>
      <c r="T474" s="141"/>
    </row>
    <row r="475">
      <c r="A475" s="137">
        <f>IFERROR(__xludf.DUMMYFUNCTION("""COMPUTED_VALUE"""),45352.58233550926)</f>
        <v>45352.58234</v>
      </c>
      <c r="B475" s="138" t="str">
        <f>IFERROR(__xludf.DUMMYFUNCTION("""COMPUTED_VALUE"""),"Miguel Angel Zavala Perez ")</f>
        <v>Miguel Angel Zavala Perez </v>
      </c>
      <c r="C475" s="138">
        <f>IFERROR(__xludf.DUMMYFUNCTION("""COMPUTED_VALUE"""),1030.0)</f>
        <v>1030</v>
      </c>
      <c r="D475" s="139">
        <f>IFERROR(__xludf.DUMMYFUNCTION("""COMPUTED_VALUE"""),237.0)</f>
        <v>237</v>
      </c>
      <c r="E475" s="138">
        <f>IFERROR(__xludf.DUMMYFUNCTION("""COMPUTED_VALUE"""),5.0)</f>
        <v>5</v>
      </c>
      <c r="F475" s="138">
        <f>IFERROR(__xludf.DUMMYFUNCTION("""COMPUTED_VALUE"""),4.0)</f>
        <v>4</v>
      </c>
      <c r="G475" s="138">
        <f>IFERROR(__xludf.DUMMYFUNCTION("""COMPUTED_VALUE"""),5.0)</f>
        <v>5</v>
      </c>
      <c r="H475" s="138">
        <f>IFERROR(__xludf.DUMMYFUNCTION("""COMPUTED_VALUE"""),5.0)</f>
        <v>5</v>
      </c>
      <c r="I475" s="138">
        <f>IFERROR(__xludf.DUMMYFUNCTION("""COMPUTED_VALUE"""),5.0)</f>
        <v>5</v>
      </c>
      <c r="J475" s="138">
        <f>IFERROR(__xludf.DUMMYFUNCTION("""COMPUTED_VALUE"""),4.0)</f>
        <v>4</v>
      </c>
      <c r="K475" s="138">
        <f>IFERROR(__xludf.DUMMYFUNCTION("""COMPUTED_VALUE"""),5.0)</f>
        <v>5</v>
      </c>
      <c r="L475" s="138">
        <v>33.0</v>
      </c>
      <c r="M475" s="140" t="str">
        <f>VLOOKUP(text(D475, "#"),'Master Table'!$A:$F, 6, FALSE)</f>
        <v>C-5</v>
      </c>
      <c r="N475" s="141" t="str">
        <f>IFERROR(__xludf.DUMMYFUNCTION("""COMPUTED_VALUE"""),"Great work! You may want to explore the use of ML")</f>
        <v>Great work! You may want to explore the use of ML</v>
      </c>
      <c r="O475" s="142" t="str">
        <f t="shared" si="1"/>
        <v/>
      </c>
      <c r="P475" s="143" t="str">
        <f>IF(ISNA(VLOOKUP(CONCAT(M475,C475), 'Judge Count DO NOT EDIT'!H:H, 1, FALSE)), "ERROR","")</f>
        <v/>
      </c>
      <c r="Q475" s="141"/>
      <c r="R475" s="143"/>
      <c r="S475" s="139" t="str">
        <f t="shared" si="2"/>
        <v>1030237</v>
      </c>
      <c r="T475" s="141"/>
    </row>
    <row r="476">
      <c r="A476" s="137">
        <f>IFERROR(__xludf.DUMMYFUNCTION("""COMPUTED_VALUE"""),45352.582906944444)</f>
        <v>45352.58291</v>
      </c>
      <c r="B476" s="138" t="str">
        <f>IFERROR(__xludf.DUMMYFUNCTION("""COMPUTED_VALUE"""),"Juanjuan ")</f>
        <v>Juanjuan </v>
      </c>
      <c r="C476" s="138">
        <f>IFERROR(__xludf.DUMMYFUNCTION("""COMPUTED_VALUE"""),1015.0)</f>
        <v>1015</v>
      </c>
      <c r="D476" s="139">
        <f>IFERROR(__xludf.DUMMYFUNCTION("""COMPUTED_VALUE"""),237.0)</f>
        <v>237</v>
      </c>
      <c r="E476" s="138">
        <f>IFERROR(__xludf.DUMMYFUNCTION("""COMPUTED_VALUE"""),5.0)</f>
        <v>5</v>
      </c>
      <c r="F476" s="138">
        <f>IFERROR(__xludf.DUMMYFUNCTION("""COMPUTED_VALUE"""),5.0)</f>
        <v>5</v>
      </c>
      <c r="G476" s="138">
        <f>IFERROR(__xludf.DUMMYFUNCTION("""COMPUTED_VALUE"""),5.0)</f>
        <v>5</v>
      </c>
      <c r="H476" s="138">
        <f>IFERROR(__xludf.DUMMYFUNCTION("""COMPUTED_VALUE"""),5.0)</f>
        <v>5</v>
      </c>
      <c r="I476" s="138">
        <f>IFERROR(__xludf.DUMMYFUNCTION("""COMPUTED_VALUE"""),5.0)</f>
        <v>5</v>
      </c>
      <c r="J476" s="138">
        <f>IFERROR(__xludf.DUMMYFUNCTION("""COMPUTED_VALUE"""),5.0)</f>
        <v>5</v>
      </c>
      <c r="K476" s="138">
        <f>IFERROR(__xludf.DUMMYFUNCTION("""COMPUTED_VALUE"""),4.0)</f>
        <v>4</v>
      </c>
      <c r="L476" s="138">
        <v>34.0</v>
      </c>
      <c r="M476" s="140" t="str">
        <f>VLOOKUP(text(D476, "#"),'Master Table'!$A:$F, 6, FALSE)</f>
        <v>C-5</v>
      </c>
      <c r="N476" s="141"/>
      <c r="O476" s="142" t="str">
        <f t="shared" si="1"/>
        <v/>
      </c>
      <c r="P476" s="143" t="str">
        <f>IF(ISNA(VLOOKUP(CONCAT(M476,C476), 'Judge Count DO NOT EDIT'!H:H, 1, FALSE)), "ERROR","")</f>
        <v/>
      </c>
      <c r="Q476" s="141"/>
      <c r="R476" s="143"/>
      <c r="S476" s="139" t="str">
        <f t="shared" si="2"/>
        <v>1015237</v>
      </c>
      <c r="T476" s="141"/>
    </row>
    <row r="477">
      <c r="A477" s="137">
        <f>IFERROR(__xludf.DUMMYFUNCTION("""COMPUTED_VALUE"""),45352.583569016206)</f>
        <v>45352.58357</v>
      </c>
      <c r="B477" s="138" t="str">
        <f>IFERROR(__xludf.DUMMYFUNCTION("""COMPUTED_VALUE"""),"Stanley Maloy")</f>
        <v>Stanley Maloy</v>
      </c>
      <c r="C477" s="138">
        <f>IFERROR(__xludf.DUMMYFUNCTION("""COMPUTED_VALUE"""),1041.0)</f>
        <v>1041</v>
      </c>
      <c r="D477" s="139">
        <f>IFERROR(__xludf.DUMMYFUNCTION("""COMPUTED_VALUE"""),237.0)</f>
        <v>237</v>
      </c>
      <c r="E477" s="138">
        <f>IFERROR(__xludf.DUMMYFUNCTION("""COMPUTED_VALUE"""),5.0)</f>
        <v>5</v>
      </c>
      <c r="F477" s="138">
        <f>IFERROR(__xludf.DUMMYFUNCTION("""COMPUTED_VALUE"""),5.0)</f>
        <v>5</v>
      </c>
      <c r="G477" s="138">
        <f>IFERROR(__xludf.DUMMYFUNCTION("""COMPUTED_VALUE"""),5.0)</f>
        <v>5</v>
      </c>
      <c r="H477" s="138">
        <f>IFERROR(__xludf.DUMMYFUNCTION("""COMPUTED_VALUE"""),4.0)</f>
        <v>4</v>
      </c>
      <c r="I477" s="138">
        <f>IFERROR(__xludf.DUMMYFUNCTION("""COMPUTED_VALUE"""),5.0)</f>
        <v>5</v>
      </c>
      <c r="J477" s="138">
        <f>IFERROR(__xludf.DUMMYFUNCTION("""COMPUTED_VALUE"""),4.0)</f>
        <v>4</v>
      </c>
      <c r="K477" s="138">
        <f>IFERROR(__xludf.DUMMYFUNCTION("""COMPUTED_VALUE"""),4.0)</f>
        <v>4</v>
      </c>
      <c r="L477" s="138">
        <v>32.0</v>
      </c>
      <c r="M477" s="140" t="str">
        <f>VLOOKUP(text(D477, "#"),'Master Table'!$A:$F, 6, FALSE)</f>
        <v>C-5</v>
      </c>
      <c r="N477" s="141" t="str">
        <f>IFERROR(__xludf.DUMMYFUNCTION("""COMPUTED_VALUE"""),"Great enthusiasm! Would be good to fully wait for audience question before answering.  ")</f>
        <v>Great enthusiasm! Would be good to fully wait for audience question before answering.  </v>
      </c>
      <c r="O477" s="142" t="str">
        <f t="shared" si="1"/>
        <v/>
      </c>
      <c r="P477" s="143" t="str">
        <f>IF(ISNA(VLOOKUP(CONCAT(M477,C477), 'Judge Count DO NOT EDIT'!H:H, 1, FALSE)), "ERROR","")</f>
        <v/>
      </c>
      <c r="Q477" s="141"/>
      <c r="R477" s="143"/>
      <c r="S477" s="139" t="str">
        <f t="shared" si="2"/>
        <v>1041237</v>
      </c>
      <c r="T477" s="141"/>
    </row>
    <row r="478">
      <c r="A478" s="137">
        <f>IFERROR(__xludf.DUMMYFUNCTION("""COMPUTED_VALUE"""),45352.58373475695)</f>
        <v>45352.58373</v>
      </c>
      <c r="B478" s="138" t="str">
        <f>IFERROR(__xludf.DUMMYFUNCTION("""COMPUTED_VALUE"""),"Sanford Bernstein")</f>
        <v>Sanford Bernstein</v>
      </c>
      <c r="C478" s="138">
        <f>IFERROR(__xludf.DUMMYFUNCTION("""COMPUTED_VALUE"""),1047.0)</f>
        <v>1047</v>
      </c>
      <c r="D478" s="139">
        <f>IFERROR(__xludf.DUMMYFUNCTION("""COMPUTED_VALUE"""),237.0)</f>
        <v>237</v>
      </c>
      <c r="E478" s="138">
        <f>IFERROR(__xludf.DUMMYFUNCTION("""COMPUTED_VALUE"""),4.0)</f>
        <v>4</v>
      </c>
      <c r="F478" s="138">
        <f>IFERROR(__xludf.DUMMYFUNCTION("""COMPUTED_VALUE"""),5.0)</f>
        <v>5</v>
      </c>
      <c r="G478" s="138">
        <f>IFERROR(__xludf.DUMMYFUNCTION("""COMPUTED_VALUE"""),5.0)</f>
        <v>5</v>
      </c>
      <c r="H478" s="138">
        <f>IFERROR(__xludf.DUMMYFUNCTION("""COMPUTED_VALUE"""),4.0)</f>
        <v>4</v>
      </c>
      <c r="I478" s="138">
        <f>IFERROR(__xludf.DUMMYFUNCTION("""COMPUTED_VALUE"""),5.0)</f>
        <v>5</v>
      </c>
      <c r="J478" s="138">
        <f>IFERROR(__xludf.DUMMYFUNCTION("""COMPUTED_VALUE"""),5.0)</f>
        <v>5</v>
      </c>
      <c r="K478" s="138">
        <f>IFERROR(__xludf.DUMMYFUNCTION("""COMPUTED_VALUE"""),5.0)</f>
        <v>5</v>
      </c>
      <c r="L478" s="138">
        <v>33.0</v>
      </c>
      <c r="M478" s="140" t="str">
        <f>VLOOKUP(text(D478, "#"),'Master Table'!$A:$F, 6, FALSE)</f>
        <v>C-5</v>
      </c>
      <c r="N478" s="141" t="str">
        <f>IFERROR(__xludf.DUMMYFUNCTION("""COMPUTED_VALUE"""),"Very knowledgeable and well presented. Good effort at plant analogy. Still it was complex and perhaps less data and more focus would help the nonspecialist audience.  ")</f>
        <v>Very knowledgeable and well presented. Good effort at plant analogy. Still it was complex and perhaps less data and more focus would help the nonspecialist audience.  </v>
      </c>
      <c r="O478" s="142" t="str">
        <f t="shared" si="1"/>
        <v/>
      </c>
      <c r="P478" s="143" t="str">
        <f>IF(ISNA(VLOOKUP(CONCAT(M478,C478), 'Judge Count DO NOT EDIT'!H:H, 1, FALSE)), "ERROR","")</f>
        <v/>
      </c>
      <c r="Q478" s="141"/>
      <c r="R478" s="143"/>
      <c r="S478" s="139" t="str">
        <f t="shared" si="2"/>
        <v>1047237</v>
      </c>
      <c r="T478" s="141"/>
    </row>
    <row r="479">
      <c r="A479" s="137">
        <f>IFERROR(__xludf.DUMMYFUNCTION("""COMPUTED_VALUE"""),45352.59497917824)</f>
        <v>45352.59498</v>
      </c>
      <c r="B479" s="138" t="str">
        <f>IFERROR(__xludf.DUMMYFUNCTION("""COMPUTED_VALUE"""),"Juanjuan")</f>
        <v>Juanjuan</v>
      </c>
      <c r="C479" s="138">
        <f>IFERROR(__xludf.DUMMYFUNCTION("""COMPUTED_VALUE"""),1015.0)</f>
        <v>1015</v>
      </c>
      <c r="D479" s="139">
        <f>IFERROR(__xludf.DUMMYFUNCTION("""COMPUTED_VALUE"""),238.0)</f>
        <v>238</v>
      </c>
      <c r="E479" s="138">
        <f>IFERROR(__xludf.DUMMYFUNCTION("""COMPUTED_VALUE"""),4.0)</f>
        <v>4</v>
      </c>
      <c r="F479" s="138">
        <f>IFERROR(__xludf.DUMMYFUNCTION("""COMPUTED_VALUE"""),4.0)</f>
        <v>4</v>
      </c>
      <c r="G479" s="138">
        <f>IFERROR(__xludf.DUMMYFUNCTION("""COMPUTED_VALUE"""),4.0)</f>
        <v>4</v>
      </c>
      <c r="H479" s="138">
        <f>IFERROR(__xludf.DUMMYFUNCTION("""COMPUTED_VALUE"""),4.0)</f>
        <v>4</v>
      </c>
      <c r="I479" s="138">
        <f>IFERROR(__xludf.DUMMYFUNCTION("""COMPUTED_VALUE"""),4.0)</f>
        <v>4</v>
      </c>
      <c r="J479" s="138">
        <f>IFERROR(__xludf.DUMMYFUNCTION("""COMPUTED_VALUE"""),4.0)</f>
        <v>4</v>
      </c>
      <c r="K479" s="138">
        <f>IFERROR(__xludf.DUMMYFUNCTION("""COMPUTED_VALUE"""),3.0)</f>
        <v>3</v>
      </c>
      <c r="L479" s="138">
        <v>27.0</v>
      </c>
      <c r="M479" s="140" t="str">
        <f>VLOOKUP(text(D479, "#"),'Master Table'!$A:$F, 6, FALSE)</f>
        <v>C-5</v>
      </c>
      <c r="N479" s="141"/>
      <c r="O479" s="142" t="str">
        <f t="shared" si="1"/>
        <v/>
      </c>
      <c r="P479" s="143" t="str">
        <f>IF(ISNA(VLOOKUP(CONCAT(M479,C479), 'Judge Count DO NOT EDIT'!H:H, 1, FALSE)), "ERROR","")</f>
        <v/>
      </c>
      <c r="Q479" s="141"/>
      <c r="R479" s="143"/>
      <c r="S479" s="139" t="str">
        <f t="shared" si="2"/>
        <v>1015238</v>
      </c>
      <c r="T479" s="141"/>
    </row>
    <row r="480">
      <c r="A480" s="137">
        <f>IFERROR(__xludf.DUMMYFUNCTION("""COMPUTED_VALUE"""),45352.59551568287)</f>
        <v>45352.59552</v>
      </c>
      <c r="B480" s="138" t="str">
        <f>IFERROR(__xludf.DUMMYFUNCTION("""COMPUTED_VALUE"""),"Miguel Angel Zavala Perez ")</f>
        <v>Miguel Angel Zavala Perez </v>
      </c>
      <c r="C480" s="138">
        <f>IFERROR(__xludf.DUMMYFUNCTION("""COMPUTED_VALUE"""),1030.0)</f>
        <v>1030</v>
      </c>
      <c r="D480" s="139">
        <f>IFERROR(__xludf.DUMMYFUNCTION("""COMPUTED_VALUE"""),238.0)</f>
        <v>238</v>
      </c>
      <c r="E480" s="138">
        <f>IFERROR(__xludf.DUMMYFUNCTION("""COMPUTED_VALUE"""),4.0)</f>
        <v>4</v>
      </c>
      <c r="F480" s="138">
        <f>IFERROR(__xludf.DUMMYFUNCTION("""COMPUTED_VALUE"""),5.0)</f>
        <v>5</v>
      </c>
      <c r="G480" s="138">
        <f>IFERROR(__xludf.DUMMYFUNCTION("""COMPUTED_VALUE"""),5.0)</f>
        <v>5</v>
      </c>
      <c r="H480" s="138">
        <f>IFERROR(__xludf.DUMMYFUNCTION("""COMPUTED_VALUE"""),5.0)</f>
        <v>5</v>
      </c>
      <c r="I480" s="138">
        <f>IFERROR(__xludf.DUMMYFUNCTION("""COMPUTED_VALUE"""),4.0)</f>
        <v>4</v>
      </c>
      <c r="J480" s="138">
        <f>IFERROR(__xludf.DUMMYFUNCTION("""COMPUTED_VALUE"""),4.0)</f>
        <v>4</v>
      </c>
      <c r="K480" s="138">
        <f>IFERROR(__xludf.DUMMYFUNCTION("""COMPUTED_VALUE"""),4.0)</f>
        <v>4</v>
      </c>
      <c r="L480" s="138">
        <v>31.0</v>
      </c>
      <c r="M480" s="140" t="str">
        <f>VLOOKUP(text(D480, "#"),'Master Table'!$A:$F, 6, FALSE)</f>
        <v>C-5</v>
      </c>
      <c r="N480" s="141" t="str">
        <f>IFERROR(__xludf.DUMMYFUNCTION("""COMPUTED_VALUE"""),"Great work, think of the next steps in your research.")</f>
        <v>Great work, think of the next steps in your research.</v>
      </c>
      <c r="O480" s="142" t="str">
        <f t="shared" si="1"/>
        <v/>
      </c>
      <c r="P480" s="143" t="str">
        <f>IF(ISNA(VLOOKUP(CONCAT(M480,C480), 'Judge Count DO NOT EDIT'!H:H, 1, FALSE)), "ERROR","")</f>
        <v/>
      </c>
      <c r="Q480" s="141"/>
      <c r="R480" s="143"/>
      <c r="S480" s="139" t="str">
        <f t="shared" si="2"/>
        <v>1030238</v>
      </c>
      <c r="T480" s="141"/>
    </row>
    <row r="481">
      <c r="A481" s="137">
        <f>IFERROR(__xludf.DUMMYFUNCTION("""COMPUTED_VALUE"""),45352.59774612269)</f>
        <v>45352.59775</v>
      </c>
      <c r="B481" s="138" t="str">
        <f>IFERROR(__xludf.DUMMYFUNCTION("""COMPUTED_VALUE"""),"Stanlet Maloy")</f>
        <v>Stanlet Maloy</v>
      </c>
      <c r="C481" s="138">
        <f>IFERROR(__xludf.DUMMYFUNCTION("""COMPUTED_VALUE"""),1041.0)</f>
        <v>1041</v>
      </c>
      <c r="D481" s="139">
        <f>IFERROR(__xludf.DUMMYFUNCTION("""COMPUTED_VALUE"""),238.0)</f>
        <v>238</v>
      </c>
      <c r="E481" s="138">
        <f>IFERROR(__xludf.DUMMYFUNCTION("""COMPUTED_VALUE"""),4.0)</f>
        <v>4</v>
      </c>
      <c r="F481" s="138">
        <f>IFERROR(__xludf.DUMMYFUNCTION("""COMPUTED_VALUE"""),4.0)</f>
        <v>4</v>
      </c>
      <c r="G481" s="138">
        <f>IFERROR(__xludf.DUMMYFUNCTION("""COMPUTED_VALUE"""),4.0)</f>
        <v>4</v>
      </c>
      <c r="H481" s="138">
        <f>IFERROR(__xludf.DUMMYFUNCTION("""COMPUTED_VALUE"""),4.0)</f>
        <v>4</v>
      </c>
      <c r="I481" s="138">
        <f>IFERROR(__xludf.DUMMYFUNCTION("""COMPUTED_VALUE"""),4.0)</f>
        <v>4</v>
      </c>
      <c r="J481" s="138">
        <f>IFERROR(__xludf.DUMMYFUNCTION("""COMPUTED_VALUE"""),4.0)</f>
        <v>4</v>
      </c>
      <c r="K481" s="138">
        <f>IFERROR(__xludf.DUMMYFUNCTION("""COMPUTED_VALUE"""),4.0)</f>
        <v>4</v>
      </c>
      <c r="L481" s="138">
        <v>28.0</v>
      </c>
      <c r="M481" s="140" t="str">
        <f>VLOOKUP(text(D481, "#"),'Master Table'!$A:$F, 6, FALSE)</f>
        <v>C-5</v>
      </c>
      <c r="N481" s="141" t="str">
        <f>IFERROR(__xludf.DUMMYFUNCTION("""COMPUTED_VALUE"""),"Small fonts on some slides. Nice presentation. ")</f>
        <v>Small fonts on some slides. Nice presentation. </v>
      </c>
      <c r="O481" s="142" t="str">
        <f t="shared" si="1"/>
        <v/>
      </c>
      <c r="P481" s="143" t="str">
        <f>IF(ISNA(VLOOKUP(CONCAT(M481,C481), 'Judge Count DO NOT EDIT'!H:H, 1, FALSE)), "ERROR","")</f>
        <v/>
      </c>
      <c r="Q481" s="141"/>
      <c r="R481" s="143"/>
      <c r="S481" s="139" t="str">
        <f t="shared" si="2"/>
        <v>1041238</v>
      </c>
      <c r="T481" s="141"/>
    </row>
    <row r="482">
      <c r="A482" s="137">
        <f>IFERROR(__xludf.DUMMYFUNCTION("""COMPUTED_VALUE"""),45352.599037754626)</f>
        <v>45352.59904</v>
      </c>
      <c r="B482" s="138" t="str">
        <f>IFERROR(__xludf.DUMMYFUNCTION("""COMPUTED_VALUE"""),"Sanford Bernstein")</f>
        <v>Sanford Bernstein</v>
      </c>
      <c r="C482" s="138">
        <f>IFERROR(__xludf.DUMMYFUNCTION("""COMPUTED_VALUE"""),1047.0)</f>
        <v>1047</v>
      </c>
      <c r="D482" s="139">
        <f>IFERROR(__xludf.DUMMYFUNCTION("""COMPUTED_VALUE"""),238.0)</f>
        <v>238</v>
      </c>
      <c r="E482" s="138">
        <f>IFERROR(__xludf.DUMMYFUNCTION("""COMPUTED_VALUE"""),4.0)</f>
        <v>4</v>
      </c>
      <c r="F482" s="138">
        <f>IFERROR(__xludf.DUMMYFUNCTION("""COMPUTED_VALUE"""),4.0)</f>
        <v>4</v>
      </c>
      <c r="G482" s="138">
        <f>IFERROR(__xludf.DUMMYFUNCTION("""COMPUTED_VALUE"""),4.0)</f>
        <v>4</v>
      </c>
      <c r="H482" s="138">
        <f>IFERROR(__xludf.DUMMYFUNCTION("""COMPUTED_VALUE"""),4.0)</f>
        <v>4</v>
      </c>
      <c r="I482" s="138">
        <f>IFERROR(__xludf.DUMMYFUNCTION("""COMPUTED_VALUE"""),4.0)</f>
        <v>4</v>
      </c>
      <c r="J482" s="138">
        <f>IFERROR(__xludf.DUMMYFUNCTION("""COMPUTED_VALUE"""),3.0)</f>
        <v>3</v>
      </c>
      <c r="K482" s="138">
        <f>IFERROR(__xludf.DUMMYFUNCTION("""COMPUTED_VALUE"""),3.0)</f>
        <v>3</v>
      </c>
      <c r="L482" s="138">
        <v>26.0</v>
      </c>
      <c r="M482" s="140" t="str">
        <f>VLOOKUP(text(D482, "#"),'Master Table'!$A:$F, 6, FALSE)</f>
        <v>C-5</v>
      </c>
      <c r="N482" s="141" t="str">
        <f>IFERROR(__xludf.DUMMYFUNCTION("""COMPUTED_VALUE"""),"Overall very nice talk. Need to explain some technical aspects for the non specialist audience, eg imaginal disc, UAS sequence. ")</f>
        <v>Overall very nice talk. Need to explain some technical aspects for the non specialist audience, eg imaginal disc, UAS sequence. </v>
      </c>
      <c r="O482" s="142" t="str">
        <f t="shared" si="1"/>
        <v/>
      </c>
      <c r="P482" s="143" t="str">
        <f>IF(ISNA(VLOOKUP(CONCAT(M482,C482), 'Judge Count DO NOT EDIT'!H:H, 1, FALSE)), "ERROR","")</f>
        <v/>
      </c>
      <c r="Q482" s="141"/>
      <c r="R482" s="143"/>
      <c r="S482" s="139" t="str">
        <f t="shared" si="2"/>
        <v>1047238</v>
      </c>
      <c r="T482" s="141"/>
    </row>
    <row r="483">
      <c r="A483" s="137">
        <f>IFERROR(__xludf.DUMMYFUNCTION("""COMPUTED_VALUE"""),45352.613024363425)</f>
        <v>45352.61302</v>
      </c>
      <c r="B483" s="138" t="str">
        <f>IFERROR(__xludf.DUMMYFUNCTION("""COMPUTED_VALUE"""),"Miguel Angel Zavala Perez ")</f>
        <v>Miguel Angel Zavala Perez </v>
      </c>
      <c r="C483" s="138">
        <f>IFERROR(__xludf.DUMMYFUNCTION("""COMPUTED_VALUE"""),1030.0)</f>
        <v>1030</v>
      </c>
      <c r="D483" s="139">
        <f>IFERROR(__xludf.DUMMYFUNCTION("""COMPUTED_VALUE"""),239.0)</f>
        <v>239</v>
      </c>
      <c r="E483" s="138">
        <f>IFERROR(__xludf.DUMMYFUNCTION("""COMPUTED_VALUE"""),3.0)</f>
        <v>3</v>
      </c>
      <c r="F483" s="138">
        <f>IFERROR(__xludf.DUMMYFUNCTION("""COMPUTED_VALUE"""),5.0)</f>
        <v>5</v>
      </c>
      <c r="G483" s="138">
        <f>IFERROR(__xludf.DUMMYFUNCTION("""COMPUTED_VALUE"""),4.0)</f>
        <v>4</v>
      </c>
      <c r="H483" s="138">
        <f>IFERROR(__xludf.DUMMYFUNCTION("""COMPUTED_VALUE"""),4.0)</f>
        <v>4</v>
      </c>
      <c r="I483" s="138">
        <f>IFERROR(__xludf.DUMMYFUNCTION("""COMPUTED_VALUE"""),3.0)</f>
        <v>3</v>
      </c>
      <c r="J483" s="138">
        <f>IFERROR(__xludf.DUMMYFUNCTION("""COMPUTED_VALUE"""),4.0)</f>
        <v>4</v>
      </c>
      <c r="K483" s="138">
        <f>IFERROR(__xludf.DUMMYFUNCTION("""COMPUTED_VALUE"""),4.0)</f>
        <v>4</v>
      </c>
      <c r="L483" s="138">
        <v>27.0</v>
      </c>
      <c r="M483" s="140" t="str">
        <f>VLOOKUP(text(D483, "#"),'Master Table'!$A:$F, 6, FALSE)</f>
        <v>C-5</v>
      </c>
      <c r="N483" s="141" t="str">
        <f>IFERROR(__xludf.DUMMYFUNCTION("""COMPUTED_VALUE"""),"Great work! You may want to increase your sampling size and see if the results change, particularly for genetic diversity ")</f>
        <v>Great work! You may want to increase your sampling size and see if the results change, particularly for genetic diversity </v>
      </c>
      <c r="O483" s="142" t="str">
        <f t="shared" si="1"/>
        <v/>
      </c>
      <c r="P483" s="143" t="str">
        <f>IF(ISNA(VLOOKUP(CONCAT(M483,C483), 'Judge Count DO NOT EDIT'!H:H, 1, FALSE)), "ERROR","")</f>
        <v/>
      </c>
      <c r="Q483" s="141"/>
      <c r="R483" s="143"/>
      <c r="S483" s="139" t="str">
        <f t="shared" si="2"/>
        <v>1030239</v>
      </c>
      <c r="T483" s="141"/>
    </row>
    <row r="484">
      <c r="A484" s="137">
        <f>IFERROR(__xludf.DUMMYFUNCTION("""COMPUTED_VALUE"""),45352.613760231485)</f>
        <v>45352.61376</v>
      </c>
      <c r="B484" s="138" t="str">
        <f>IFERROR(__xludf.DUMMYFUNCTION("""COMPUTED_VALUE"""),"Juanjuan Fan")</f>
        <v>Juanjuan Fan</v>
      </c>
      <c r="C484" s="138">
        <f>IFERROR(__xludf.DUMMYFUNCTION("""COMPUTED_VALUE"""),1015.0)</f>
        <v>1015</v>
      </c>
      <c r="D484" s="139">
        <f>IFERROR(__xludf.DUMMYFUNCTION("""COMPUTED_VALUE"""),239.0)</f>
        <v>239</v>
      </c>
      <c r="E484" s="138">
        <f>IFERROR(__xludf.DUMMYFUNCTION("""COMPUTED_VALUE"""),5.0)</f>
        <v>5</v>
      </c>
      <c r="F484" s="138">
        <f>IFERROR(__xludf.DUMMYFUNCTION("""COMPUTED_VALUE"""),4.0)</f>
        <v>4</v>
      </c>
      <c r="G484" s="138">
        <f>IFERROR(__xludf.DUMMYFUNCTION("""COMPUTED_VALUE"""),4.0)</f>
        <v>4</v>
      </c>
      <c r="H484" s="138">
        <f>IFERROR(__xludf.DUMMYFUNCTION("""COMPUTED_VALUE"""),4.0)</f>
        <v>4</v>
      </c>
      <c r="I484" s="138">
        <f>IFERROR(__xludf.DUMMYFUNCTION("""COMPUTED_VALUE"""),5.0)</f>
        <v>5</v>
      </c>
      <c r="J484" s="138">
        <f>IFERROR(__xludf.DUMMYFUNCTION("""COMPUTED_VALUE"""),5.0)</f>
        <v>5</v>
      </c>
      <c r="K484" s="138">
        <f>IFERROR(__xludf.DUMMYFUNCTION("""COMPUTED_VALUE"""),5.0)</f>
        <v>5</v>
      </c>
      <c r="L484" s="138">
        <v>32.0</v>
      </c>
      <c r="M484" s="140" t="str">
        <f>VLOOKUP(text(D484, "#"),'Master Table'!$A:$F, 6, FALSE)</f>
        <v>C-5</v>
      </c>
      <c r="N484" s="141"/>
      <c r="O484" s="142" t="str">
        <f t="shared" si="1"/>
        <v/>
      </c>
      <c r="P484" s="143" t="str">
        <f>IF(ISNA(VLOOKUP(CONCAT(M484,C484), 'Judge Count DO NOT EDIT'!H:H, 1, FALSE)), "ERROR","")</f>
        <v/>
      </c>
      <c r="Q484" s="141"/>
      <c r="R484" s="143"/>
      <c r="S484" s="139" t="str">
        <f t="shared" si="2"/>
        <v>1015239</v>
      </c>
      <c r="T484" s="141"/>
    </row>
    <row r="485">
      <c r="A485" s="137">
        <f>IFERROR(__xludf.DUMMYFUNCTION("""COMPUTED_VALUE"""),45352.61451417824)</f>
        <v>45352.61451</v>
      </c>
      <c r="B485" s="138" t="str">
        <f>IFERROR(__xludf.DUMMYFUNCTION("""COMPUTED_VALUE"""),"Stanley Maloy ")</f>
        <v>Stanley Maloy </v>
      </c>
      <c r="C485" s="138">
        <f>IFERROR(__xludf.DUMMYFUNCTION("""COMPUTED_VALUE"""),1041.0)</f>
        <v>1041</v>
      </c>
      <c r="D485" s="139">
        <f>IFERROR(__xludf.DUMMYFUNCTION("""COMPUTED_VALUE"""),239.0)</f>
        <v>239</v>
      </c>
      <c r="E485" s="138">
        <f>IFERROR(__xludf.DUMMYFUNCTION("""COMPUTED_VALUE"""),4.0)</f>
        <v>4</v>
      </c>
      <c r="F485" s="138">
        <f>IFERROR(__xludf.DUMMYFUNCTION("""COMPUTED_VALUE"""),3.0)</f>
        <v>3</v>
      </c>
      <c r="G485" s="138">
        <f>IFERROR(__xludf.DUMMYFUNCTION("""COMPUTED_VALUE"""),3.0)</f>
        <v>3</v>
      </c>
      <c r="H485" s="138">
        <f>IFERROR(__xludf.DUMMYFUNCTION("""COMPUTED_VALUE"""),3.0)</f>
        <v>3</v>
      </c>
      <c r="I485" s="138">
        <f>IFERROR(__xludf.DUMMYFUNCTION("""COMPUTED_VALUE"""),3.0)</f>
        <v>3</v>
      </c>
      <c r="J485" s="138">
        <f>IFERROR(__xludf.DUMMYFUNCTION("""COMPUTED_VALUE"""),3.0)</f>
        <v>3</v>
      </c>
      <c r="K485" s="138">
        <f>IFERROR(__xludf.DUMMYFUNCTION("""COMPUTED_VALUE"""),4.0)</f>
        <v>4</v>
      </c>
      <c r="L485" s="138">
        <v>23.0</v>
      </c>
      <c r="M485" s="140" t="str">
        <f>VLOOKUP(text(D485, "#"),'Master Table'!$A:$F, 6, FALSE)</f>
        <v>C-5</v>
      </c>
      <c r="N485" s="141" t="str">
        <f>IFERROR(__xludf.DUMMYFUNCTION("""COMPUTED_VALUE"""),"Interesting question .  Some slide fonts are TOO small for audience to read! ")</f>
        <v>Interesting question .  Some slide fonts are TOO small for audience to read! </v>
      </c>
      <c r="O485" s="142" t="str">
        <f t="shared" si="1"/>
        <v/>
      </c>
      <c r="P485" s="143" t="str">
        <f>IF(ISNA(VLOOKUP(CONCAT(M485,C485), 'Judge Count DO NOT EDIT'!H:H, 1, FALSE)), "ERROR","")</f>
        <v/>
      </c>
      <c r="Q485" s="141"/>
      <c r="R485" s="143"/>
      <c r="S485" s="139" t="str">
        <f t="shared" si="2"/>
        <v>1041239</v>
      </c>
      <c r="T485" s="141"/>
    </row>
    <row r="486">
      <c r="A486" s="137">
        <f>IFERROR(__xludf.DUMMYFUNCTION("""COMPUTED_VALUE"""),45352.61480761574)</f>
        <v>45352.61481</v>
      </c>
      <c r="B486" s="138" t="str">
        <f>IFERROR(__xludf.DUMMYFUNCTION("""COMPUTED_VALUE"""),"Sanford Bernstein")</f>
        <v>Sanford Bernstein</v>
      </c>
      <c r="C486" s="138">
        <f>IFERROR(__xludf.DUMMYFUNCTION("""COMPUTED_VALUE"""),1047.0)</f>
        <v>1047</v>
      </c>
      <c r="D486" s="139">
        <f>IFERROR(__xludf.DUMMYFUNCTION("""COMPUTED_VALUE"""),239.0)</f>
        <v>239</v>
      </c>
      <c r="E486" s="138">
        <f>IFERROR(__xludf.DUMMYFUNCTION("""COMPUTED_VALUE"""),4.0)</f>
        <v>4</v>
      </c>
      <c r="F486" s="138">
        <f>IFERROR(__xludf.DUMMYFUNCTION("""COMPUTED_VALUE"""),3.0)</f>
        <v>3</v>
      </c>
      <c r="G486" s="138">
        <f>IFERROR(__xludf.DUMMYFUNCTION("""COMPUTED_VALUE"""),3.0)</f>
        <v>3</v>
      </c>
      <c r="H486" s="138">
        <f>IFERROR(__xludf.DUMMYFUNCTION("""COMPUTED_VALUE"""),4.0)</f>
        <v>4</v>
      </c>
      <c r="I486" s="138">
        <f>IFERROR(__xludf.DUMMYFUNCTION("""COMPUTED_VALUE"""),4.0)</f>
        <v>4</v>
      </c>
      <c r="J486" s="138">
        <f>IFERROR(__xludf.DUMMYFUNCTION("""COMPUTED_VALUE"""),4.0)</f>
        <v>4</v>
      </c>
      <c r="K486" s="138">
        <f>IFERROR(__xludf.DUMMYFUNCTION("""COMPUTED_VALUE"""),4.0)</f>
        <v>4</v>
      </c>
      <c r="L486" s="138">
        <v>26.0</v>
      </c>
      <c r="M486" s="140" t="str">
        <f>VLOOKUP(text(D486, "#"),'Master Table'!$A:$F, 6, FALSE)</f>
        <v>C-5</v>
      </c>
      <c r="N486" s="141" t="str">
        <f>IFERROR(__xludf.DUMMYFUNCTION("""COMPUTED_VALUE"""),"Generally well done and nice audience interaction. ")</f>
        <v>Generally well done and nice audience interaction. </v>
      </c>
      <c r="O486" s="142" t="str">
        <f t="shared" si="1"/>
        <v/>
      </c>
      <c r="P486" s="143" t="str">
        <f>IF(ISNA(VLOOKUP(CONCAT(M486,C486), 'Judge Count DO NOT EDIT'!H:H, 1, FALSE)), "ERROR","")</f>
        <v/>
      </c>
      <c r="Q486" s="141"/>
      <c r="R486" s="143"/>
      <c r="S486" s="139" t="str">
        <f t="shared" si="2"/>
        <v>1047239</v>
      </c>
      <c r="T486" s="141"/>
    </row>
    <row r="487">
      <c r="A487" s="137">
        <f>IFERROR(__xludf.DUMMYFUNCTION("""COMPUTED_VALUE"""),45352.62077511574)</f>
        <v>45352.62078</v>
      </c>
      <c r="B487" s="138" t="str">
        <f>IFERROR(__xludf.DUMMYFUNCTION("""COMPUTED_VALUE"""),"Juanjuan")</f>
        <v>Juanjuan</v>
      </c>
      <c r="C487" s="138">
        <f>IFERROR(__xludf.DUMMYFUNCTION("""COMPUTED_VALUE"""),1015.0)</f>
        <v>1015</v>
      </c>
      <c r="D487" s="139">
        <f>IFERROR(__xludf.DUMMYFUNCTION("""COMPUTED_VALUE"""),240.0)</f>
        <v>240</v>
      </c>
      <c r="E487" s="138">
        <f>IFERROR(__xludf.DUMMYFUNCTION("""COMPUTED_VALUE"""),3.0)</f>
        <v>3</v>
      </c>
      <c r="F487" s="138">
        <f>IFERROR(__xludf.DUMMYFUNCTION("""COMPUTED_VALUE"""),3.0)</f>
        <v>3</v>
      </c>
      <c r="G487" s="138">
        <f>IFERROR(__xludf.DUMMYFUNCTION("""COMPUTED_VALUE"""),4.0)</f>
        <v>4</v>
      </c>
      <c r="H487" s="138">
        <f>IFERROR(__xludf.DUMMYFUNCTION("""COMPUTED_VALUE"""),4.0)</f>
        <v>4</v>
      </c>
      <c r="I487" s="138">
        <f>IFERROR(__xludf.DUMMYFUNCTION("""COMPUTED_VALUE"""),3.0)</f>
        <v>3</v>
      </c>
      <c r="J487" s="138">
        <f>IFERROR(__xludf.DUMMYFUNCTION("""COMPUTED_VALUE"""),3.0)</f>
        <v>3</v>
      </c>
      <c r="K487" s="138">
        <f>IFERROR(__xludf.DUMMYFUNCTION("""COMPUTED_VALUE"""),4.0)</f>
        <v>4</v>
      </c>
      <c r="L487" s="138">
        <v>24.0</v>
      </c>
      <c r="M487" s="140" t="str">
        <f>VLOOKUP(text(D487, "#"),'Master Table'!$A:$F, 6, FALSE)</f>
        <v>C-5</v>
      </c>
      <c r="N487" s="141"/>
      <c r="O487" s="142" t="str">
        <f t="shared" si="1"/>
        <v/>
      </c>
      <c r="P487" s="143" t="str">
        <f>IF(ISNA(VLOOKUP(CONCAT(M487,C487), 'Judge Count DO NOT EDIT'!H:H, 1, FALSE)), "ERROR","")</f>
        <v/>
      </c>
      <c r="Q487" s="141"/>
      <c r="R487" s="143"/>
      <c r="S487" s="139" t="str">
        <f t="shared" si="2"/>
        <v>1015240</v>
      </c>
      <c r="T487" s="141"/>
    </row>
    <row r="488">
      <c r="A488" s="137">
        <f>IFERROR(__xludf.DUMMYFUNCTION("""COMPUTED_VALUE"""),45352.62302994213)</f>
        <v>45352.62303</v>
      </c>
      <c r="B488" s="138" t="str">
        <f>IFERROR(__xludf.DUMMYFUNCTION("""COMPUTED_VALUE"""),"Miguel Angel Zavala Perez ")</f>
        <v>Miguel Angel Zavala Perez </v>
      </c>
      <c r="C488" s="138">
        <f>IFERROR(__xludf.DUMMYFUNCTION("""COMPUTED_VALUE"""),1030.0)</f>
        <v>1030</v>
      </c>
      <c r="D488" s="139">
        <f>IFERROR(__xludf.DUMMYFUNCTION("""COMPUTED_VALUE"""),240.0)</f>
        <v>240</v>
      </c>
      <c r="E488" s="138">
        <f>IFERROR(__xludf.DUMMYFUNCTION("""COMPUTED_VALUE"""),4.0)</f>
        <v>4</v>
      </c>
      <c r="F488" s="138">
        <f>IFERROR(__xludf.DUMMYFUNCTION("""COMPUTED_VALUE"""),4.0)</f>
        <v>4</v>
      </c>
      <c r="G488" s="138">
        <f>IFERROR(__xludf.DUMMYFUNCTION("""COMPUTED_VALUE"""),5.0)</f>
        <v>5</v>
      </c>
      <c r="H488" s="138">
        <f>IFERROR(__xludf.DUMMYFUNCTION("""COMPUTED_VALUE"""),4.0)</f>
        <v>4</v>
      </c>
      <c r="I488" s="138">
        <f>IFERROR(__xludf.DUMMYFUNCTION("""COMPUTED_VALUE"""),4.0)</f>
        <v>4</v>
      </c>
      <c r="J488" s="138">
        <f>IFERROR(__xludf.DUMMYFUNCTION("""COMPUTED_VALUE"""),4.0)</f>
        <v>4</v>
      </c>
      <c r="K488" s="138">
        <f>IFERROR(__xludf.DUMMYFUNCTION("""COMPUTED_VALUE"""),4.0)</f>
        <v>4</v>
      </c>
      <c r="L488" s="138">
        <v>29.0</v>
      </c>
      <c r="M488" s="140" t="str">
        <f>VLOOKUP(text(D488, "#"),'Master Table'!$A:$F, 6, FALSE)</f>
        <v>C-5</v>
      </c>
      <c r="N488" s="141" t="str">
        <f>IFERROR(__xludf.DUMMYFUNCTION("""COMPUTED_VALUE"""),"Great work, you may want to think on the next steps in your research ")</f>
        <v>Great work, you may want to think on the next steps in your research </v>
      </c>
      <c r="O488" s="142" t="str">
        <f t="shared" si="1"/>
        <v/>
      </c>
      <c r="P488" s="143" t="str">
        <f>IF(ISNA(VLOOKUP(CONCAT(M488,C488), 'Judge Count DO NOT EDIT'!H:H, 1, FALSE)), "ERROR","")</f>
        <v/>
      </c>
      <c r="Q488" s="141"/>
      <c r="R488" s="143"/>
      <c r="S488" s="139" t="str">
        <f t="shared" si="2"/>
        <v>1030240</v>
      </c>
      <c r="T488" s="141"/>
    </row>
    <row r="489">
      <c r="A489" s="137">
        <f>IFERROR(__xludf.DUMMYFUNCTION("""COMPUTED_VALUE"""),45352.62318475694)</f>
        <v>45352.62318</v>
      </c>
      <c r="B489" s="138" t="str">
        <f>IFERROR(__xludf.DUMMYFUNCTION("""COMPUTED_VALUE"""),"Stanley Maloy ")</f>
        <v>Stanley Maloy </v>
      </c>
      <c r="C489" s="138">
        <f>IFERROR(__xludf.DUMMYFUNCTION("""COMPUTED_VALUE"""),1041.0)</f>
        <v>1041</v>
      </c>
      <c r="D489" s="139">
        <f>IFERROR(__xludf.DUMMYFUNCTION("""COMPUTED_VALUE"""),240.0)</f>
        <v>240</v>
      </c>
      <c r="E489" s="138">
        <f>IFERROR(__xludf.DUMMYFUNCTION("""COMPUTED_VALUE"""),4.0)</f>
        <v>4</v>
      </c>
      <c r="F489" s="138">
        <f>IFERROR(__xludf.DUMMYFUNCTION("""COMPUTED_VALUE"""),4.0)</f>
        <v>4</v>
      </c>
      <c r="G489" s="138">
        <f>IFERROR(__xludf.DUMMYFUNCTION("""COMPUTED_VALUE"""),4.0)</f>
        <v>4</v>
      </c>
      <c r="H489" s="138">
        <f>IFERROR(__xludf.DUMMYFUNCTION("""COMPUTED_VALUE"""),3.0)</f>
        <v>3</v>
      </c>
      <c r="I489" s="138">
        <f>IFERROR(__xludf.DUMMYFUNCTION("""COMPUTED_VALUE"""),4.0)</f>
        <v>4</v>
      </c>
      <c r="J489" s="138">
        <f>IFERROR(__xludf.DUMMYFUNCTION("""COMPUTED_VALUE"""),4.0)</f>
        <v>4</v>
      </c>
      <c r="K489" s="138">
        <f>IFERROR(__xludf.DUMMYFUNCTION("""COMPUTED_VALUE"""),4.0)</f>
        <v>4</v>
      </c>
      <c r="L489" s="138">
        <v>27.0</v>
      </c>
      <c r="M489" s="140" t="str">
        <f>VLOOKUP(text(D489, "#"),'Master Table'!$A:$F, 6, FALSE)</f>
        <v>C-5</v>
      </c>
      <c r="N489" s="141"/>
      <c r="O489" s="142" t="str">
        <f t="shared" si="1"/>
        <v/>
      </c>
      <c r="P489" s="143" t="str">
        <f>IF(ISNA(VLOOKUP(CONCAT(M489,C489), 'Judge Count DO NOT EDIT'!H:H, 1, FALSE)), "ERROR","")</f>
        <v/>
      </c>
      <c r="Q489" s="141"/>
      <c r="R489" s="143"/>
      <c r="S489" s="139" t="str">
        <f t="shared" si="2"/>
        <v>1041240</v>
      </c>
      <c r="T489" s="141"/>
    </row>
    <row r="490">
      <c r="A490" s="137">
        <f>IFERROR(__xludf.DUMMYFUNCTION("""COMPUTED_VALUE"""),45352.62400776621)</f>
        <v>45352.62401</v>
      </c>
      <c r="B490" s="138" t="str">
        <f>IFERROR(__xludf.DUMMYFUNCTION("""COMPUTED_VALUE"""),"Sanford Bernstein")</f>
        <v>Sanford Bernstein</v>
      </c>
      <c r="C490" s="138">
        <f>IFERROR(__xludf.DUMMYFUNCTION("""COMPUTED_VALUE"""),1047.0)</f>
        <v>1047</v>
      </c>
      <c r="D490" s="139">
        <f>IFERROR(__xludf.DUMMYFUNCTION("""COMPUTED_VALUE"""),240.0)</f>
        <v>240</v>
      </c>
      <c r="E490" s="138">
        <f>IFERROR(__xludf.DUMMYFUNCTION("""COMPUTED_VALUE"""),4.0)</f>
        <v>4</v>
      </c>
      <c r="F490" s="138">
        <f>IFERROR(__xludf.DUMMYFUNCTION("""COMPUTED_VALUE"""),4.0)</f>
        <v>4</v>
      </c>
      <c r="G490" s="138">
        <f>IFERROR(__xludf.DUMMYFUNCTION("""COMPUTED_VALUE"""),4.0)</f>
        <v>4</v>
      </c>
      <c r="H490" s="138">
        <f>IFERROR(__xludf.DUMMYFUNCTION("""COMPUTED_VALUE"""),5.0)</f>
        <v>5</v>
      </c>
      <c r="I490" s="138">
        <f>IFERROR(__xludf.DUMMYFUNCTION("""COMPUTED_VALUE"""),4.0)</f>
        <v>4</v>
      </c>
      <c r="J490" s="138">
        <f>IFERROR(__xludf.DUMMYFUNCTION("""COMPUTED_VALUE"""),4.0)</f>
        <v>4</v>
      </c>
      <c r="K490" s="138">
        <f>IFERROR(__xludf.DUMMYFUNCTION("""COMPUTED_VALUE"""),5.0)</f>
        <v>5</v>
      </c>
      <c r="L490" s="138">
        <v>30.0</v>
      </c>
      <c r="M490" s="140" t="str">
        <f>VLOOKUP(text(D490, "#"),'Master Table'!$A:$F, 6, FALSE)</f>
        <v>C-5</v>
      </c>
      <c r="N490" s="141" t="str">
        <f>IFERROR(__xludf.DUMMYFUNCTION("""COMPUTED_VALUE"""),"Clearly knows the material and explains it very well. ")</f>
        <v>Clearly knows the material and explains it very well. </v>
      </c>
      <c r="O490" s="142" t="str">
        <f t="shared" si="1"/>
        <v/>
      </c>
      <c r="P490" s="143" t="str">
        <f>IF(ISNA(VLOOKUP(CONCAT(M490,C490), 'Judge Count DO NOT EDIT'!H:H, 1, FALSE)), "ERROR","")</f>
        <v/>
      </c>
      <c r="Q490" s="141"/>
      <c r="R490" s="143"/>
      <c r="S490" s="139" t="str">
        <f t="shared" si="2"/>
        <v>1047240</v>
      </c>
      <c r="T490" s="141"/>
    </row>
    <row r="491">
      <c r="A491" s="137">
        <f>IFERROR(__xludf.DUMMYFUNCTION("""COMPUTED_VALUE"""),45352.600581412036)</f>
        <v>45352.60058</v>
      </c>
      <c r="B491" s="138" t="str">
        <f>IFERROR(__xludf.DUMMYFUNCTION("""COMPUTED_VALUE"""),"Bill Aaron")</f>
        <v>Bill Aaron</v>
      </c>
      <c r="C491" s="138">
        <f>IFERROR(__xludf.DUMMYFUNCTION("""COMPUTED_VALUE"""),1060.0)</f>
        <v>1060</v>
      </c>
      <c r="D491" s="139">
        <f>IFERROR(__xludf.DUMMYFUNCTION("""COMPUTED_VALUE"""),241.0)</f>
        <v>241</v>
      </c>
      <c r="E491" s="138">
        <f>IFERROR(__xludf.DUMMYFUNCTION("""COMPUTED_VALUE"""),3.0)</f>
        <v>3</v>
      </c>
      <c r="F491" s="138">
        <f>IFERROR(__xludf.DUMMYFUNCTION("""COMPUTED_VALUE"""),3.0)</f>
        <v>3</v>
      </c>
      <c r="G491" s="138">
        <f>IFERROR(__xludf.DUMMYFUNCTION("""COMPUTED_VALUE"""),2.0)</f>
        <v>2</v>
      </c>
      <c r="H491" s="138">
        <f>IFERROR(__xludf.DUMMYFUNCTION("""COMPUTED_VALUE"""),2.0)</f>
        <v>2</v>
      </c>
      <c r="I491" s="138">
        <f>IFERROR(__xludf.DUMMYFUNCTION("""COMPUTED_VALUE"""),3.0)</f>
        <v>3</v>
      </c>
      <c r="J491" s="138">
        <f>IFERROR(__xludf.DUMMYFUNCTION("""COMPUTED_VALUE"""),3.0)</f>
        <v>3</v>
      </c>
      <c r="K491" s="138">
        <f>IFERROR(__xludf.DUMMYFUNCTION("""COMPUTED_VALUE"""),3.0)</f>
        <v>3</v>
      </c>
      <c r="L491" s="138">
        <v>19.0</v>
      </c>
      <c r="M491" s="140" t="str">
        <f>VLOOKUP(text(D491, "#"),'Master Table'!$A:$F, 6, FALSE)</f>
        <v>C-6</v>
      </c>
      <c r="N491" s="141"/>
      <c r="O491" s="142" t="str">
        <f t="shared" si="1"/>
        <v/>
      </c>
      <c r="P491" s="143" t="str">
        <f>IF(ISNA(VLOOKUP(CONCAT(M491,C491), 'Judge Count DO NOT EDIT'!H:H, 1, FALSE)), "ERROR","")</f>
        <v/>
      </c>
      <c r="Q491" s="141"/>
      <c r="R491" s="143"/>
      <c r="S491" s="139" t="str">
        <f t="shared" si="2"/>
        <v>1060241</v>
      </c>
      <c r="T491" s="141"/>
    </row>
    <row r="492">
      <c r="A492" s="137">
        <f>IFERROR(__xludf.DUMMYFUNCTION("""COMPUTED_VALUE"""),45352.56755731482)</f>
        <v>45352.56756</v>
      </c>
      <c r="B492" s="138" t="str">
        <f>IFERROR(__xludf.DUMMYFUNCTION("""COMPUTED_VALUE"""),"Esra")</f>
        <v>Esra</v>
      </c>
      <c r="C492" s="138">
        <f>IFERROR(__xludf.DUMMYFUNCTION("""COMPUTED_VALUE"""),1008.0)</f>
        <v>1008</v>
      </c>
      <c r="D492" s="139">
        <f>IFERROR(__xludf.DUMMYFUNCTION("""COMPUTED_VALUE"""),242.0)</f>
        <v>242</v>
      </c>
      <c r="E492" s="138">
        <f>IFERROR(__xludf.DUMMYFUNCTION("""COMPUTED_VALUE"""),5.0)</f>
        <v>5</v>
      </c>
      <c r="F492" s="138">
        <f>IFERROR(__xludf.DUMMYFUNCTION("""COMPUTED_VALUE"""),5.0)</f>
        <v>5</v>
      </c>
      <c r="G492" s="138">
        <f>IFERROR(__xludf.DUMMYFUNCTION("""COMPUTED_VALUE"""),5.0)</f>
        <v>5</v>
      </c>
      <c r="H492" s="138">
        <f>IFERROR(__xludf.DUMMYFUNCTION("""COMPUTED_VALUE"""),5.0)</f>
        <v>5</v>
      </c>
      <c r="I492" s="138">
        <f>IFERROR(__xludf.DUMMYFUNCTION("""COMPUTED_VALUE"""),5.0)</f>
        <v>5</v>
      </c>
      <c r="J492" s="138">
        <f>IFERROR(__xludf.DUMMYFUNCTION("""COMPUTED_VALUE"""),5.0)</f>
        <v>5</v>
      </c>
      <c r="K492" s="138">
        <f>IFERROR(__xludf.DUMMYFUNCTION("""COMPUTED_VALUE"""),5.0)</f>
        <v>5</v>
      </c>
      <c r="L492" s="138">
        <v>35.0</v>
      </c>
      <c r="M492" s="140" t="str">
        <f>VLOOKUP(text(D492, "#"),'Master Table'!$A:$F, 6, FALSE)</f>
        <v>C-6</v>
      </c>
      <c r="N492" s="141" t="str">
        <f>IFERROR(__xludf.DUMMYFUNCTION("""COMPUTED_VALUE"""),"Wow! An exemplary presentation that answered all important questions a listener may wonder: Why is this research important? How did the presenter conduct the research, and more…. The presenter did a fabulous job of captivating the audience’s attention thr"&amp;"ough a sophisticated approach to the interconnection between social conditions and music. ")</f>
        <v>Wow! An exemplary presentation that answered all important questions a listener may wonder: Why is this research important? How did the presenter conduct the research, and more…. The presenter did a fabulous job of captivating the audience’s attention through a sophisticated approach to the interconnection between social conditions and music. </v>
      </c>
      <c r="O492" s="142" t="str">
        <f t="shared" si="1"/>
        <v/>
      </c>
      <c r="P492" s="143" t="str">
        <f>IF(ISNA(VLOOKUP(CONCAT(M492,C492), 'Judge Count DO NOT EDIT'!H:H, 1, FALSE)), "ERROR","")</f>
        <v/>
      </c>
      <c r="Q492" s="141"/>
      <c r="R492" s="143"/>
      <c r="S492" s="139" t="str">
        <f t="shared" si="2"/>
        <v>1008242</v>
      </c>
      <c r="T492" s="141"/>
    </row>
    <row r="493">
      <c r="A493" s="137">
        <f>IFERROR(__xludf.DUMMYFUNCTION("""COMPUTED_VALUE"""),45352.570138090276)</f>
        <v>45352.57014</v>
      </c>
      <c r="B493" s="138" t="str">
        <f>IFERROR(__xludf.DUMMYFUNCTION("""COMPUTED_VALUE"""),"Wawrytko")</f>
        <v>Wawrytko</v>
      </c>
      <c r="C493" s="138">
        <f>IFERROR(__xludf.DUMMYFUNCTION("""COMPUTED_VALUE"""),1004.0)</f>
        <v>1004</v>
      </c>
      <c r="D493" s="139">
        <f>IFERROR(__xludf.DUMMYFUNCTION("""COMPUTED_VALUE"""),242.0)</f>
        <v>242</v>
      </c>
      <c r="E493" s="138">
        <f>IFERROR(__xludf.DUMMYFUNCTION("""COMPUTED_VALUE"""),4.0)</f>
        <v>4</v>
      </c>
      <c r="F493" s="138">
        <f>IFERROR(__xludf.DUMMYFUNCTION("""COMPUTED_VALUE"""),5.0)</f>
        <v>5</v>
      </c>
      <c r="G493" s="138">
        <f>IFERROR(__xludf.DUMMYFUNCTION("""COMPUTED_VALUE"""),5.0)</f>
        <v>5</v>
      </c>
      <c r="H493" s="138">
        <f>IFERROR(__xludf.DUMMYFUNCTION("""COMPUTED_VALUE"""),4.0)</f>
        <v>4</v>
      </c>
      <c r="I493" s="138">
        <f>IFERROR(__xludf.DUMMYFUNCTION("""COMPUTED_VALUE"""),4.0)</f>
        <v>4</v>
      </c>
      <c r="J493" s="138">
        <f>IFERROR(__xludf.DUMMYFUNCTION("""COMPUTED_VALUE"""),4.0)</f>
        <v>4</v>
      </c>
      <c r="K493" s="138">
        <f>IFERROR(__xludf.DUMMYFUNCTION("""COMPUTED_VALUE"""),5.0)</f>
        <v>5</v>
      </c>
      <c r="L493" s="138">
        <v>31.0</v>
      </c>
      <c r="M493" s="140" t="str">
        <f>VLOOKUP(text(D493, "#"),'Master Table'!$A:$F, 6, FALSE)</f>
        <v>C-6</v>
      </c>
      <c r="N493" s="141"/>
      <c r="O493" s="142" t="str">
        <f t="shared" si="1"/>
        <v/>
      </c>
      <c r="P493" s="143" t="str">
        <f>IF(ISNA(VLOOKUP(CONCAT(M493,C493), 'Judge Count DO NOT EDIT'!H:H, 1, FALSE)), "ERROR","")</f>
        <v/>
      </c>
      <c r="Q493" s="141"/>
      <c r="R493" s="143"/>
      <c r="S493" s="139" t="str">
        <f t="shared" si="2"/>
        <v>1004242</v>
      </c>
      <c r="T493" s="141"/>
    </row>
    <row r="494">
      <c r="A494" s="137">
        <f>IFERROR(__xludf.DUMMYFUNCTION("""COMPUTED_VALUE"""),45352.57119456019)</f>
        <v>45352.57119</v>
      </c>
      <c r="B494" s="138" t="str">
        <f>IFERROR(__xludf.DUMMYFUNCTION("""COMPUTED_VALUE"""),"Lucy Campbell")</f>
        <v>Lucy Campbell</v>
      </c>
      <c r="C494" s="138">
        <f>IFERROR(__xludf.DUMMYFUNCTION("""COMPUTED_VALUE"""),1036.0)</f>
        <v>1036</v>
      </c>
      <c r="D494" s="139">
        <f>IFERROR(__xludf.DUMMYFUNCTION("""COMPUTED_VALUE"""),242.0)</f>
        <v>242</v>
      </c>
      <c r="E494" s="138">
        <f>IFERROR(__xludf.DUMMYFUNCTION("""COMPUTED_VALUE"""),4.0)</f>
        <v>4</v>
      </c>
      <c r="F494" s="138">
        <f>IFERROR(__xludf.DUMMYFUNCTION("""COMPUTED_VALUE"""),4.0)</f>
        <v>4</v>
      </c>
      <c r="G494" s="138">
        <f>IFERROR(__xludf.DUMMYFUNCTION("""COMPUTED_VALUE"""),3.0)</f>
        <v>3</v>
      </c>
      <c r="H494" s="138">
        <f>IFERROR(__xludf.DUMMYFUNCTION("""COMPUTED_VALUE"""),3.0)</f>
        <v>3</v>
      </c>
      <c r="I494" s="138">
        <f>IFERROR(__xludf.DUMMYFUNCTION("""COMPUTED_VALUE"""),4.0)</f>
        <v>4</v>
      </c>
      <c r="J494" s="138">
        <f>IFERROR(__xludf.DUMMYFUNCTION("""COMPUTED_VALUE"""),4.0)</f>
        <v>4</v>
      </c>
      <c r="K494" s="138">
        <f>IFERROR(__xludf.DUMMYFUNCTION("""COMPUTED_VALUE"""),4.0)</f>
        <v>4</v>
      </c>
      <c r="L494" s="138">
        <v>26.0</v>
      </c>
      <c r="M494" s="140" t="str">
        <f>VLOOKUP(text(D494, "#"),'Master Table'!$A:$F, 6, FALSE)</f>
        <v>C-6</v>
      </c>
      <c r="N494" s="141" t="str">
        <f>IFERROR(__xludf.DUMMYFUNCTION("""COMPUTED_VALUE"""),"Nice use of multimedia clips. Could have used a stronger argument about the significance of Wilson’s contributions. How would music today be different without him? Why does it matter? ")</f>
        <v>Nice use of multimedia clips. Could have used a stronger argument about the significance of Wilson’s contributions. How would music today be different without him? Why does it matter? </v>
      </c>
      <c r="O494" s="142" t="str">
        <f t="shared" si="1"/>
        <v/>
      </c>
      <c r="P494" s="143" t="str">
        <f>IF(ISNA(VLOOKUP(CONCAT(M494,C494), 'Judge Count DO NOT EDIT'!H:H, 1, FALSE)), "ERROR","")</f>
        <v/>
      </c>
      <c r="Q494" s="141"/>
      <c r="R494" s="143"/>
      <c r="S494" s="139" t="str">
        <f t="shared" si="2"/>
        <v>1036242</v>
      </c>
      <c r="T494" s="141"/>
    </row>
    <row r="495">
      <c r="A495" s="137">
        <f>IFERROR(__xludf.DUMMYFUNCTION("""COMPUTED_VALUE"""),45352.573625081015)</f>
        <v>45352.57363</v>
      </c>
      <c r="B495" s="138" t="str">
        <f>IFERROR(__xludf.DUMMYFUNCTION("""COMPUTED_VALUE"""),"delores fisher")</f>
        <v>delores fisher</v>
      </c>
      <c r="C495" s="138">
        <f>IFERROR(__xludf.DUMMYFUNCTION("""COMPUTED_VALUE"""),1169.0)</f>
        <v>1169</v>
      </c>
      <c r="D495" s="139">
        <f>IFERROR(__xludf.DUMMYFUNCTION("""COMPUTED_VALUE"""),242.0)</f>
        <v>242</v>
      </c>
      <c r="E495" s="138">
        <f>IFERROR(__xludf.DUMMYFUNCTION("""COMPUTED_VALUE"""),3.0)</f>
        <v>3</v>
      </c>
      <c r="F495" s="138">
        <f>IFERROR(__xludf.DUMMYFUNCTION("""COMPUTED_VALUE"""),4.0)</f>
        <v>4</v>
      </c>
      <c r="G495" s="138">
        <f>IFERROR(__xludf.DUMMYFUNCTION("""COMPUTED_VALUE"""),3.0)</f>
        <v>3</v>
      </c>
      <c r="H495" s="138">
        <f>IFERROR(__xludf.DUMMYFUNCTION("""COMPUTED_VALUE"""),4.0)</f>
        <v>4</v>
      </c>
      <c r="I495" s="138">
        <f>IFERROR(__xludf.DUMMYFUNCTION("""COMPUTED_VALUE"""),4.0)</f>
        <v>4</v>
      </c>
      <c r="J495" s="138">
        <f>IFERROR(__xludf.DUMMYFUNCTION("""COMPUTED_VALUE"""),3.0)</f>
        <v>3</v>
      </c>
      <c r="K495" s="138">
        <f>IFERROR(__xludf.DUMMYFUNCTION("""COMPUTED_VALUE"""),3.0)</f>
        <v>3</v>
      </c>
      <c r="L495" s="138">
        <v>24.0</v>
      </c>
      <c r="M495" s="140" t="str">
        <f>VLOOKUP(text(D495, "#"),'Master Table'!$A:$F, 6, FALSE)</f>
        <v>C-6</v>
      </c>
      <c r="N495" s="141" t="str">
        <f>IFERROR(__xludf.DUMMYFUNCTION("""COMPUTED_VALUE"""),"Speaker was able to present with confidence and to elaborate on his knowledge base during audience interaction")</f>
        <v>Speaker was able to present with confidence and to elaborate on his knowledge base during audience interaction</v>
      </c>
      <c r="O495" s="142" t="str">
        <f t="shared" si="1"/>
        <v/>
      </c>
      <c r="P495" s="143" t="str">
        <f>IF(ISNA(VLOOKUP(CONCAT(M495,C495), 'Judge Count DO NOT EDIT'!H:H, 1, FALSE)), "ERROR","")</f>
        <v/>
      </c>
      <c r="Q495" s="141"/>
      <c r="R495" s="143"/>
      <c r="S495" s="139" t="str">
        <f t="shared" si="2"/>
        <v>1169242</v>
      </c>
      <c r="T495" s="141"/>
    </row>
    <row r="496">
      <c r="A496" s="137">
        <f>IFERROR(__xludf.DUMMYFUNCTION("""COMPUTED_VALUE"""),45352.601451689814)</f>
        <v>45352.60145</v>
      </c>
      <c r="B496" s="138" t="str">
        <f>IFERROR(__xludf.DUMMYFUNCTION("""COMPUTED_VALUE"""),"Bill Aaron")</f>
        <v>Bill Aaron</v>
      </c>
      <c r="C496" s="138">
        <f>IFERROR(__xludf.DUMMYFUNCTION("""COMPUTED_VALUE"""),1060.0)</f>
        <v>1060</v>
      </c>
      <c r="D496" s="139">
        <f>IFERROR(__xludf.DUMMYFUNCTION("""COMPUTED_VALUE"""),242.0)</f>
        <v>242</v>
      </c>
      <c r="E496" s="138">
        <f>IFERROR(__xludf.DUMMYFUNCTION("""COMPUTED_VALUE"""),3.0)</f>
        <v>3</v>
      </c>
      <c r="F496" s="138">
        <f>IFERROR(__xludf.DUMMYFUNCTION("""COMPUTED_VALUE"""),3.0)</f>
        <v>3</v>
      </c>
      <c r="G496" s="138">
        <f>IFERROR(__xludf.DUMMYFUNCTION("""COMPUTED_VALUE"""),2.0)</f>
        <v>2</v>
      </c>
      <c r="H496" s="138">
        <f>IFERROR(__xludf.DUMMYFUNCTION("""COMPUTED_VALUE"""),2.0)</f>
        <v>2</v>
      </c>
      <c r="I496" s="138">
        <f>IFERROR(__xludf.DUMMYFUNCTION("""COMPUTED_VALUE"""),3.0)</f>
        <v>3</v>
      </c>
      <c r="J496" s="138">
        <f>IFERROR(__xludf.DUMMYFUNCTION("""COMPUTED_VALUE"""),3.0)</f>
        <v>3</v>
      </c>
      <c r="K496" s="138">
        <f>IFERROR(__xludf.DUMMYFUNCTION("""COMPUTED_VALUE"""),3.0)</f>
        <v>3</v>
      </c>
      <c r="L496" s="138">
        <v>19.0</v>
      </c>
      <c r="M496" s="140" t="str">
        <f>VLOOKUP(text(D496, "#"),'Master Table'!$A:$F, 6, FALSE)</f>
        <v>C-6</v>
      </c>
      <c r="N496" s="141"/>
      <c r="O496" s="142" t="str">
        <f t="shared" si="1"/>
        <v/>
      </c>
      <c r="P496" s="143" t="str">
        <f>IF(ISNA(VLOOKUP(CONCAT(M496,C496), 'Judge Count DO NOT EDIT'!H:H, 1, FALSE)), "ERROR","")</f>
        <v/>
      </c>
      <c r="Q496" s="141"/>
      <c r="R496" s="143"/>
      <c r="S496" s="139" t="str">
        <f t="shared" si="2"/>
        <v>1060242</v>
      </c>
      <c r="T496" s="141"/>
    </row>
    <row r="497">
      <c r="A497" s="137">
        <f>IFERROR(__xludf.DUMMYFUNCTION("""COMPUTED_VALUE"""),45352.58239107639)</f>
        <v>45352.58239</v>
      </c>
      <c r="B497" s="138" t="str">
        <f>IFERROR(__xludf.DUMMYFUNCTION("""COMPUTED_VALUE"""),"Esra")</f>
        <v>Esra</v>
      </c>
      <c r="C497" s="138">
        <f>IFERROR(__xludf.DUMMYFUNCTION("""COMPUTED_VALUE"""),1008.0)</f>
        <v>1008</v>
      </c>
      <c r="D497" s="139">
        <f>IFERROR(__xludf.DUMMYFUNCTION("""COMPUTED_VALUE"""),243.0)</f>
        <v>243</v>
      </c>
      <c r="E497" s="138">
        <f>IFERROR(__xludf.DUMMYFUNCTION("""COMPUTED_VALUE"""),5.0)</f>
        <v>5</v>
      </c>
      <c r="F497" s="138">
        <f>IFERROR(__xludf.DUMMYFUNCTION("""COMPUTED_VALUE"""),5.0)</f>
        <v>5</v>
      </c>
      <c r="G497" s="138">
        <f>IFERROR(__xludf.DUMMYFUNCTION("""COMPUTED_VALUE"""),5.0)</f>
        <v>5</v>
      </c>
      <c r="H497" s="138">
        <f>IFERROR(__xludf.DUMMYFUNCTION("""COMPUTED_VALUE"""),5.0)</f>
        <v>5</v>
      </c>
      <c r="I497" s="138">
        <f>IFERROR(__xludf.DUMMYFUNCTION("""COMPUTED_VALUE"""),5.0)</f>
        <v>5</v>
      </c>
      <c r="J497" s="138">
        <f>IFERROR(__xludf.DUMMYFUNCTION("""COMPUTED_VALUE"""),5.0)</f>
        <v>5</v>
      </c>
      <c r="K497" s="138">
        <f>IFERROR(__xludf.DUMMYFUNCTION("""COMPUTED_VALUE"""),5.0)</f>
        <v>5</v>
      </c>
      <c r="L497" s="138">
        <v>35.0</v>
      </c>
      <c r="M497" s="140" t="str">
        <f>VLOOKUP(text(D497, "#"),'Master Table'!$A:$F, 6, FALSE)</f>
        <v>C-6</v>
      </c>
      <c r="N497" s="141" t="str">
        <f>IFERROR(__xludf.DUMMYFUNCTION("""COMPUTED_VALUE"""),"A very sophisticated presentation! I am truly impressed by theoretical richness of the project: “affect in action,” “affect accumulation,” and more. I have been reading about affect theory for the last few years, and I could say that the presenter has dem"&amp;"onstrated a profound engagement with the previous scholarship! Truly amazing!")</f>
        <v>A very sophisticated presentation! I am truly impressed by theoretical richness of the project: “affect in action,” “affect accumulation,” and more. I have been reading about affect theory for the last few years, and I could say that the presenter has demonstrated a profound engagement with the previous scholarship! Truly amazing!</v>
      </c>
      <c r="O497" s="142" t="str">
        <f t="shared" si="1"/>
        <v/>
      </c>
      <c r="P497" s="143" t="str">
        <f>IF(ISNA(VLOOKUP(CONCAT(M497,C497), 'Judge Count DO NOT EDIT'!H:H, 1, FALSE)), "ERROR","")</f>
        <v/>
      </c>
      <c r="Q497" s="141"/>
      <c r="R497" s="143"/>
      <c r="S497" s="139" t="str">
        <f t="shared" si="2"/>
        <v>1008243</v>
      </c>
      <c r="T497" s="141"/>
    </row>
    <row r="498">
      <c r="A498" s="137">
        <f>IFERROR(__xludf.DUMMYFUNCTION("""COMPUTED_VALUE"""),45352.584336608794)</f>
        <v>45352.58434</v>
      </c>
      <c r="B498" s="138" t="str">
        <f>IFERROR(__xludf.DUMMYFUNCTION("""COMPUTED_VALUE"""),"Wawrytko")</f>
        <v>Wawrytko</v>
      </c>
      <c r="C498" s="138">
        <f>IFERROR(__xludf.DUMMYFUNCTION("""COMPUTED_VALUE"""),1004.0)</f>
        <v>1004</v>
      </c>
      <c r="D498" s="139">
        <f>IFERROR(__xludf.DUMMYFUNCTION("""COMPUTED_VALUE"""),243.0)</f>
        <v>243</v>
      </c>
      <c r="E498" s="138">
        <f>IFERROR(__xludf.DUMMYFUNCTION("""COMPUTED_VALUE"""),4.0)</f>
        <v>4</v>
      </c>
      <c r="F498" s="138">
        <f>IFERROR(__xludf.DUMMYFUNCTION("""COMPUTED_VALUE"""),5.0)</f>
        <v>5</v>
      </c>
      <c r="G498" s="138">
        <f>IFERROR(__xludf.DUMMYFUNCTION("""COMPUTED_VALUE"""),4.0)</f>
        <v>4</v>
      </c>
      <c r="H498" s="138">
        <f>IFERROR(__xludf.DUMMYFUNCTION("""COMPUTED_VALUE"""),4.0)</f>
        <v>4</v>
      </c>
      <c r="I498" s="138">
        <f>IFERROR(__xludf.DUMMYFUNCTION("""COMPUTED_VALUE"""),4.0)</f>
        <v>4</v>
      </c>
      <c r="J498" s="138">
        <f>IFERROR(__xludf.DUMMYFUNCTION("""COMPUTED_VALUE"""),4.0)</f>
        <v>4</v>
      </c>
      <c r="K498" s="138">
        <f>IFERROR(__xludf.DUMMYFUNCTION("""COMPUTED_VALUE"""),4.0)</f>
        <v>4</v>
      </c>
      <c r="L498" s="138">
        <v>29.0</v>
      </c>
      <c r="M498" s="140" t="str">
        <f>VLOOKUP(text(D498, "#"),'Master Table'!$A:$F, 6, FALSE)</f>
        <v>C-6</v>
      </c>
      <c r="N498" s="141" t="str">
        <f>IFERROR(__xludf.DUMMYFUNCTION("""COMPUTED_VALUE"""),"make text larger on slides please")</f>
        <v>make text larger on slides please</v>
      </c>
      <c r="O498" s="142" t="str">
        <f t="shared" si="1"/>
        <v/>
      </c>
      <c r="P498" s="143" t="str">
        <f>IF(ISNA(VLOOKUP(CONCAT(M498,C498), 'Judge Count DO NOT EDIT'!H:H, 1, FALSE)), "ERROR","")</f>
        <v/>
      </c>
      <c r="Q498" s="141"/>
      <c r="R498" s="143"/>
      <c r="S498" s="139" t="str">
        <f t="shared" si="2"/>
        <v>1004243</v>
      </c>
      <c r="T498" s="141"/>
    </row>
    <row r="499">
      <c r="A499" s="137">
        <f>IFERROR(__xludf.DUMMYFUNCTION("""COMPUTED_VALUE"""),45352.586201875005)</f>
        <v>45352.5862</v>
      </c>
      <c r="B499" s="138" t="str">
        <f>IFERROR(__xludf.DUMMYFUNCTION("""COMPUTED_VALUE"""),"Lucy Campbell")</f>
        <v>Lucy Campbell</v>
      </c>
      <c r="C499" s="138">
        <f>IFERROR(__xludf.DUMMYFUNCTION("""COMPUTED_VALUE"""),1036.0)</f>
        <v>1036</v>
      </c>
      <c r="D499" s="139">
        <f>IFERROR(__xludf.DUMMYFUNCTION("""COMPUTED_VALUE"""),243.0)</f>
        <v>243</v>
      </c>
      <c r="E499" s="138">
        <f>IFERROR(__xludf.DUMMYFUNCTION("""COMPUTED_VALUE"""),3.0)</f>
        <v>3</v>
      </c>
      <c r="F499" s="138">
        <f>IFERROR(__xludf.DUMMYFUNCTION("""COMPUTED_VALUE"""),4.0)</f>
        <v>4</v>
      </c>
      <c r="G499" s="138">
        <f>IFERROR(__xludf.DUMMYFUNCTION("""COMPUTED_VALUE"""),3.0)</f>
        <v>3</v>
      </c>
      <c r="H499" s="138">
        <f>IFERROR(__xludf.DUMMYFUNCTION("""COMPUTED_VALUE"""),3.0)</f>
        <v>3</v>
      </c>
      <c r="I499" s="138">
        <f>IFERROR(__xludf.DUMMYFUNCTION("""COMPUTED_VALUE"""),4.0)</f>
        <v>4</v>
      </c>
      <c r="J499" s="138">
        <f>IFERROR(__xludf.DUMMYFUNCTION("""COMPUTED_VALUE"""),3.0)</f>
        <v>3</v>
      </c>
      <c r="K499" s="138">
        <f>IFERROR(__xludf.DUMMYFUNCTION("""COMPUTED_VALUE"""),4.0)</f>
        <v>4</v>
      </c>
      <c r="L499" s="138">
        <v>24.0</v>
      </c>
      <c r="M499" s="140" t="str">
        <f>VLOOKUP(text(D499, "#"),'Master Table'!$A:$F, 6, FALSE)</f>
        <v>C-6</v>
      </c>
      <c r="N499" s="141" t="str">
        <f>IFERROR(__xludf.DUMMYFUNCTION("""COMPUTED_VALUE"""),"Loved the recordings would have loved a live performance more! That would have more affect :) ")</f>
        <v>Loved the recordings would have loved a live performance more! That would have more affect :) </v>
      </c>
      <c r="O499" s="142" t="str">
        <f t="shared" si="1"/>
        <v/>
      </c>
      <c r="P499" s="143" t="str">
        <f>IF(ISNA(VLOOKUP(CONCAT(M499,C499), 'Judge Count DO NOT EDIT'!H:H, 1, FALSE)), "ERROR","")</f>
        <v/>
      </c>
      <c r="Q499" s="141"/>
      <c r="R499" s="143"/>
      <c r="S499" s="139" t="str">
        <f t="shared" si="2"/>
        <v>1036243</v>
      </c>
      <c r="T499" s="141"/>
    </row>
    <row r="500">
      <c r="A500" s="137">
        <f>IFERROR(__xludf.DUMMYFUNCTION("""COMPUTED_VALUE"""),45352.60200565972)</f>
        <v>45352.60201</v>
      </c>
      <c r="B500" s="138" t="str">
        <f>IFERROR(__xludf.DUMMYFUNCTION("""COMPUTED_VALUE"""),"Bill Aaron")</f>
        <v>Bill Aaron</v>
      </c>
      <c r="C500" s="138">
        <f>IFERROR(__xludf.DUMMYFUNCTION("""COMPUTED_VALUE"""),1060.0)</f>
        <v>1060</v>
      </c>
      <c r="D500" s="139">
        <f>IFERROR(__xludf.DUMMYFUNCTION("""COMPUTED_VALUE"""),243.0)</f>
        <v>243</v>
      </c>
      <c r="E500" s="138">
        <f>IFERROR(__xludf.DUMMYFUNCTION("""COMPUTED_VALUE"""),4.0)</f>
        <v>4</v>
      </c>
      <c r="F500" s="138">
        <f>IFERROR(__xludf.DUMMYFUNCTION("""COMPUTED_VALUE"""),3.0)</f>
        <v>3</v>
      </c>
      <c r="G500" s="138">
        <f>IFERROR(__xludf.DUMMYFUNCTION("""COMPUTED_VALUE"""),3.0)</f>
        <v>3</v>
      </c>
      <c r="H500" s="138">
        <f>IFERROR(__xludf.DUMMYFUNCTION("""COMPUTED_VALUE"""),3.0)</f>
        <v>3</v>
      </c>
      <c r="I500" s="138">
        <f>IFERROR(__xludf.DUMMYFUNCTION("""COMPUTED_VALUE"""),3.0)</f>
        <v>3</v>
      </c>
      <c r="J500" s="138">
        <f>IFERROR(__xludf.DUMMYFUNCTION("""COMPUTED_VALUE"""),3.0)</f>
        <v>3</v>
      </c>
      <c r="K500" s="138">
        <f>IFERROR(__xludf.DUMMYFUNCTION("""COMPUTED_VALUE"""),3.0)</f>
        <v>3</v>
      </c>
      <c r="L500" s="138">
        <v>22.0</v>
      </c>
      <c r="M500" s="140" t="str">
        <f>VLOOKUP(text(D500, "#"),'Master Table'!$A:$F, 6, FALSE)</f>
        <v>C-6</v>
      </c>
      <c r="N500" s="141"/>
      <c r="O500" s="142" t="str">
        <f t="shared" si="1"/>
        <v/>
      </c>
      <c r="P500" s="143" t="str">
        <f>IF(ISNA(VLOOKUP(CONCAT(M500,C500), 'Judge Count DO NOT EDIT'!H:H, 1, FALSE)), "ERROR","")</f>
        <v/>
      </c>
      <c r="Q500" s="141"/>
      <c r="R500" s="143"/>
      <c r="S500" s="139" t="str">
        <f t="shared" si="2"/>
        <v>1060243</v>
      </c>
      <c r="T500" s="141"/>
    </row>
    <row r="501">
      <c r="A501" s="137">
        <f>IFERROR(__xludf.DUMMYFUNCTION("""COMPUTED_VALUE"""),45352.6141034375)</f>
        <v>45352.6141</v>
      </c>
      <c r="B501" s="138" t="str">
        <f>IFERROR(__xludf.DUMMYFUNCTION("""COMPUTED_VALUE"""),"delores fisher")</f>
        <v>delores fisher</v>
      </c>
      <c r="C501" s="138">
        <f>IFERROR(__xludf.DUMMYFUNCTION("""COMPUTED_VALUE"""),1169.0)</f>
        <v>1169</v>
      </c>
      <c r="D501" s="139">
        <f>IFERROR(__xludf.DUMMYFUNCTION("""COMPUTED_VALUE"""),243.0)</f>
        <v>243</v>
      </c>
      <c r="E501" s="138">
        <f>IFERROR(__xludf.DUMMYFUNCTION("""COMPUTED_VALUE"""),4.0)</f>
        <v>4</v>
      </c>
      <c r="F501" s="138">
        <f>IFERROR(__xludf.DUMMYFUNCTION("""COMPUTED_VALUE"""),4.0)</f>
        <v>4</v>
      </c>
      <c r="G501" s="138">
        <f>IFERROR(__xludf.DUMMYFUNCTION("""COMPUTED_VALUE"""),4.0)</f>
        <v>4</v>
      </c>
      <c r="H501" s="138">
        <f>IFERROR(__xludf.DUMMYFUNCTION("""COMPUTED_VALUE"""),4.0)</f>
        <v>4</v>
      </c>
      <c r="I501" s="138">
        <f>IFERROR(__xludf.DUMMYFUNCTION("""COMPUTED_VALUE"""),5.0)</f>
        <v>5</v>
      </c>
      <c r="J501" s="138">
        <f>IFERROR(__xludf.DUMMYFUNCTION("""COMPUTED_VALUE"""),4.0)</f>
        <v>4</v>
      </c>
      <c r="K501" s="138">
        <f>IFERROR(__xludf.DUMMYFUNCTION("""COMPUTED_VALUE"""),4.0)</f>
        <v>4</v>
      </c>
      <c r="L501" s="138">
        <v>29.0</v>
      </c>
      <c r="M501" s="140" t="str">
        <f>VLOOKUP(text(D501, "#"),'Master Table'!$A:$F, 6, FALSE)</f>
        <v>C-6</v>
      </c>
      <c r="N501" s="141"/>
      <c r="O501" s="142" t="str">
        <f t="shared" si="1"/>
        <v/>
      </c>
      <c r="P501" s="143" t="str">
        <f>IF(ISNA(VLOOKUP(CONCAT(M501,C501), 'Judge Count DO NOT EDIT'!H:H, 1, FALSE)), "ERROR","")</f>
        <v/>
      </c>
      <c r="Q501" s="141"/>
      <c r="R501" s="143"/>
      <c r="S501" s="139" t="str">
        <f t="shared" si="2"/>
        <v>1169243</v>
      </c>
      <c r="T501" s="141"/>
    </row>
    <row r="502">
      <c r="A502" s="137">
        <f>IFERROR(__xludf.DUMMYFUNCTION("""COMPUTED_VALUE"""),45352.60265325231)</f>
        <v>45352.60265</v>
      </c>
      <c r="B502" s="138" t="str">
        <f>IFERROR(__xludf.DUMMYFUNCTION("""COMPUTED_VALUE"""),"Bill Aaron")</f>
        <v>Bill Aaron</v>
      </c>
      <c r="C502" s="138">
        <f>IFERROR(__xludf.DUMMYFUNCTION("""COMPUTED_VALUE"""),1060.0)</f>
        <v>1060</v>
      </c>
      <c r="D502" s="139">
        <f>IFERROR(__xludf.DUMMYFUNCTION("""COMPUTED_VALUE"""),244.0)</f>
        <v>244</v>
      </c>
      <c r="E502" s="138">
        <f>IFERROR(__xludf.DUMMYFUNCTION("""COMPUTED_VALUE"""),3.0)</f>
        <v>3</v>
      </c>
      <c r="F502" s="138">
        <f>IFERROR(__xludf.DUMMYFUNCTION("""COMPUTED_VALUE"""),3.0)</f>
        <v>3</v>
      </c>
      <c r="G502" s="138">
        <f>IFERROR(__xludf.DUMMYFUNCTION("""COMPUTED_VALUE"""),3.0)</f>
        <v>3</v>
      </c>
      <c r="H502" s="138">
        <f>IFERROR(__xludf.DUMMYFUNCTION("""COMPUTED_VALUE"""),3.0)</f>
        <v>3</v>
      </c>
      <c r="I502" s="138">
        <f>IFERROR(__xludf.DUMMYFUNCTION("""COMPUTED_VALUE"""),4.0)</f>
        <v>4</v>
      </c>
      <c r="J502" s="138">
        <f>IFERROR(__xludf.DUMMYFUNCTION("""COMPUTED_VALUE"""),4.0)</f>
        <v>4</v>
      </c>
      <c r="K502" s="138">
        <f>IFERROR(__xludf.DUMMYFUNCTION("""COMPUTED_VALUE"""),3.0)</f>
        <v>3</v>
      </c>
      <c r="L502" s="138">
        <v>23.0</v>
      </c>
      <c r="M502" s="140" t="str">
        <f>VLOOKUP(text(D502, "#"),'Master Table'!$A:$F, 6, FALSE)</f>
        <v>C-6</v>
      </c>
      <c r="N502" s="141"/>
      <c r="O502" s="142" t="str">
        <f t="shared" si="1"/>
        <v/>
      </c>
      <c r="P502" s="143" t="str">
        <f>IF(ISNA(VLOOKUP(CONCAT(M502,C502), 'Judge Count DO NOT EDIT'!H:H, 1, FALSE)), "ERROR","")</f>
        <v/>
      </c>
      <c r="Q502" s="141"/>
      <c r="R502" s="143"/>
      <c r="S502" s="139" t="str">
        <f t="shared" si="2"/>
        <v>1060244</v>
      </c>
      <c r="T502" s="141"/>
    </row>
    <row r="503">
      <c r="A503" s="137">
        <f>IFERROR(__xludf.DUMMYFUNCTION("""COMPUTED_VALUE"""),45352.608548599535)</f>
        <v>45352.60855</v>
      </c>
      <c r="B503" s="138" t="str">
        <f>IFERROR(__xludf.DUMMYFUNCTION("""COMPUTED_VALUE"""),"Esra")</f>
        <v>Esra</v>
      </c>
      <c r="C503" s="138">
        <f>IFERROR(__xludf.DUMMYFUNCTION("""COMPUTED_VALUE"""),1008.0)</f>
        <v>1008</v>
      </c>
      <c r="D503" s="139">
        <f>IFERROR(__xludf.DUMMYFUNCTION("""COMPUTED_VALUE"""),245.0)</f>
        <v>245</v>
      </c>
      <c r="E503" s="138">
        <f>IFERROR(__xludf.DUMMYFUNCTION("""COMPUTED_VALUE"""),5.0)</f>
        <v>5</v>
      </c>
      <c r="F503" s="138">
        <f>IFERROR(__xludf.DUMMYFUNCTION("""COMPUTED_VALUE"""),5.0)</f>
        <v>5</v>
      </c>
      <c r="G503" s="138">
        <f>IFERROR(__xludf.DUMMYFUNCTION("""COMPUTED_VALUE"""),5.0)</f>
        <v>5</v>
      </c>
      <c r="H503" s="138">
        <f>IFERROR(__xludf.DUMMYFUNCTION("""COMPUTED_VALUE"""),5.0)</f>
        <v>5</v>
      </c>
      <c r="I503" s="138">
        <f>IFERROR(__xludf.DUMMYFUNCTION("""COMPUTED_VALUE"""),5.0)</f>
        <v>5</v>
      </c>
      <c r="J503" s="138">
        <f>IFERROR(__xludf.DUMMYFUNCTION("""COMPUTED_VALUE"""),5.0)</f>
        <v>5</v>
      </c>
      <c r="K503" s="138">
        <f>IFERROR(__xludf.DUMMYFUNCTION("""COMPUTED_VALUE"""),5.0)</f>
        <v>5</v>
      </c>
      <c r="L503" s="138">
        <v>35.0</v>
      </c>
      <c r="M503" s="140" t="str">
        <f>VLOOKUP(text(D503, "#"),'Master Table'!$A:$F, 6, FALSE)</f>
        <v>C-6</v>
      </c>
      <c r="N503" s="141" t="str">
        <f>IFERROR(__xludf.DUMMYFUNCTION("""COMPUTED_VALUE"""),"A fabulous presentation about how different news outlets (English and Spanish) talk about women protesters (in Mexico city). This is very timely and crucial to ensure that news outlets recognize women’s agency. Also, the handouts that were distributed bef"&amp;"ore the presentation were very helpful. The presentation was very clear and well-organized. For future revisions, I would encourage spending more time to interpret the data.")</f>
        <v>A fabulous presentation about how different news outlets (English and Spanish) talk about women protesters (in Mexico city). This is very timely and crucial to ensure that news outlets recognize women’s agency. Also, the handouts that were distributed before the presentation were very helpful. The presentation was very clear and well-organized. For future revisions, I would encourage spending more time to interpret the data.</v>
      </c>
      <c r="O503" s="142" t="str">
        <f t="shared" si="1"/>
        <v/>
      </c>
      <c r="P503" s="143" t="str">
        <f>IF(ISNA(VLOOKUP(CONCAT(M503,C503), 'Judge Count DO NOT EDIT'!H:H, 1, FALSE)), "ERROR","")</f>
        <v/>
      </c>
      <c r="Q503" s="141"/>
      <c r="R503" s="143"/>
      <c r="S503" s="139" t="str">
        <f t="shared" si="2"/>
        <v>1008245</v>
      </c>
      <c r="T503" s="141"/>
    </row>
    <row r="504">
      <c r="A504" s="137">
        <f>IFERROR(__xludf.DUMMYFUNCTION("""COMPUTED_VALUE"""),45352.61254614583)</f>
        <v>45352.61255</v>
      </c>
      <c r="B504" s="138" t="str">
        <f>IFERROR(__xludf.DUMMYFUNCTION("""COMPUTED_VALUE"""),"Wawrytko")</f>
        <v>Wawrytko</v>
      </c>
      <c r="C504" s="138">
        <f>IFERROR(__xludf.DUMMYFUNCTION("""COMPUTED_VALUE"""),1004.0)</f>
        <v>1004</v>
      </c>
      <c r="D504" s="139">
        <f>IFERROR(__xludf.DUMMYFUNCTION("""COMPUTED_VALUE"""),245.0)</f>
        <v>245</v>
      </c>
      <c r="E504" s="138">
        <f>IFERROR(__xludf.DUMMYFUNCTION("""COMPUTED_VALUE"""),4.0)</f>
        <v>4</v>
      </c>
      <c r="F504" s="138">
        <f>IFERROR(__xludf.DUMMYFUNCTION("""COMPUTED_VALUE"""),4.0)</f>
        <v>4</v>
      </c>
      <c r="G504" s="138">
        <f>IFERROR(__xludf.DUMMYFUNCTION("""COMPUTED_VALUE"""),5.0)</f>
        <v>5</v>
      </c>
      <c r="H504" s="138">
        <f>IFERROR(__xludf.DUMMYFUNCTION("""COMPUTED_VALUE"""),5.0)</f>
        <v>5</v>
      </c>
      <c r="I504" s="138">
        <f>IFERROR(__xludf.DUMMYFUNCTION("""COMPUTED_VALUE"""),4.0)</f>
        <v>4</v>
      </c>
      <c r="J504" s="138">
        <f>IFERROR(__xludf.DUMMYFUNCTION("""COMPUTED_VALUE"""),4.0)</f>
        <v>4</v>
      </c>
      <c r="K504" s="138">
        <f>IFERROR(__xludf.DUMMYFUNCTION("""COMPUTED_VALUE"""),4.0)</f>
        <v>4</v>
      </c>
      <c r="L504" s="138">
        <v>30.0</v>
      </c>
      <c r="M504" s="140" t="str">
        <f>VLOOKUP(text(D504, "#"),'Master Table'!$A:$F, 6, FALSE)</f>
        <v>C-6</v>
      </c>
      <c r="N504" s="141"/>
      <c r="O504" s="142" t="str">
        <f t="shared" si="1"/>
        <v/>
      </c>
      <c r="P504" s="143" t="str">
        <f>IF(ISNA(VLOOKUP(CONCAT(M504,C504), 'Judge Count DO NOT EDIT'!H:H, 1, FALSE)), "ERROR","")</f>
        <v/>
      </c>
      <c r="Q504" s="144"/>
      <c r="R504" s="143"/>
      <c r="S504" s="139" t="str">
        <f t="shared" si="2"/>
        <v>1004245</v>
      </c>
      <c r="T504" s="141"/>
    </row>
    <row r="505">
      <c r="A505" s="137">
        <f>IFERROR(__xludf.DUMMYFUNCTION("""COMPUTED_VALUE"""),45352.61266280092)</f>
        <v>45352.61266</v>
      </c>
      <c r="B505" s="138" t="str">
        <f>IFERROR(__xludf.DUMMYFUNCTION("""COMPUTED_VALUE"""),"Lucy Campbell")</f>
        <v>Lucy Campbell</v>
      </c>
      <c r="C505" s="138">
        <f>IFERROR(__xludf.DUMMYFUNCTION("""COMPUTED_VALUE"""),1036.0)</f>
        <v>1036</v>
      </c>
      <c r="D505" s="139">
        <f>IFERROR(__xludf.DUMMYFUNCTION("""COMPUTED_VALUE"""),245.0)</f>
        <v>245</v>
      </c>
      <c r="E505" s="138">
        <f>IFERROR(__xludf.DUMMYFUNCTION("""COMPUTED_VALUE"""),4.0)</f>
        <v>4</v>
      </c>
      <c r="F505" s="138">
        <f>IFERROR(__xludf.DUMMYFUNCTION("""COMPUTED_VALUE"""),3.0)</f>
        <v>3</v>
      </c>
      <c r="G505" s="138">
        <f>IFERROR(__xludf.DUMMYFUNCTION("""COMPUTED_VALUE"""),4.0)</f>
        <v>4</v>
      </c>
      <c r="H505" s="138">
        <f>IFERROR(__xludf.DUMMYFUNCTION("""COMPUTED_VALUE"""),4.0)</f>
        <v>4</v>
      </c>
      <c r="I505" s="138">
        <f>IFERROR(__xludf.DUMMYFUNCTION("""COMPUTED_VALUE"""),4.0)</f>
        <v>4</v>
      </c>
      <c r="J505" s="138">
        <f>IFERROR(__xludf.DUMMYFUNCTION("""COMPUTED_VALUE"""),3.0)</f>
        <v>3</v>
      </c>
      <c r="K505" s="138">
        <f>IFERROR(__xludf.DUMMYFUNCTION("""COMPUTED_VALUE"""),4.0)</f>
        <v>4</v>
      </c>
      <c r="L505" s="138">
        <v>26.0</v>
      </c>
      <c r="M505" s="140" t="str">
        <f>VLOOKUP(text(D505, "#"),'Master Table'!$A:$F, 6, FALSE)</f>
        <v>C-6</v>
      </c>
      <c r="N505" s="141" t="str">
        <f>IFERROR(__xludf.DUMMYFUNCTION("""COMPUTED_VALUE"""),"Lots of different directions this research could go in. You should continue to build this body of work ")</f>
        <v>Lots of different directions this research could go in. You should continue to build this body of work </v>
      </c>
      <c r="O505" s="142" t="str">
        <f t="shared" si="1"/>
        <v/>
      </c>
      <c r="P505" s="143" t="str">
        <f>IF(ISNA(VLOOKUP(CONCAT(M505,C505), 'Judge Count DO NOT EDIT'!H:H, 1, FALSE)), "ERROR","")</f>
        <v/>
      </c>
      <c r="Q505" s="141"/>
      <c r="R505" s="143"/>
      <c r="S505" s="139" t="str">
        <f t="shared" si="2"/>
        <v>1036245</v>
      </c>
      <c r="T505" s="141"/>
    </row>
    <row r="506">
      <c r="A506" s="137">
        <f>IFERROR(__xludf.DUMMYFUNCTION("""COMPUTED_VALUE"""),45352.660887997685)</f>
        <v>45352.66089</v>
      </c>
      <c r="B506" s="138" t="str">
        <f>IFERROR(__xludf.DUMMYFUNCTION("""COMPUTED_VALUE"""),"Bill Aaron")</f>
        <v>Bill Aaron</v>
      </c>
      <c r="C506" s="138">
        <f>IFERROR(__xludf.DUMMYFUNCTION("""COMPUTED_VALUE"""),1060.0)</f>
        <v>1060</v>
      </c>
      <c r="D506" s="139">
        <f>IFERROR(__xludf.DUMMYFUNCTION("""COMPUTED_VALUE"""),245.0)</f>
        <v>245</v>
      </c>
      <c r="E506" s="138">
        <f>IFERROR(__xludf.DUMMYFUNCTION("""COMPUTED_VALUE"""),3.0)</f>
        <v>3</v>
      </c>
      <c r="F506" s="138">
        <f>IFERROR(__xludf.DUMMYFUNCTION("""COMPUTED_VALUE"""),2.0)</f>
        <v>2</v>
      </c>
      <c r="G506" s="138">
        <f>IFERROR(__xludf.DUMMYFUNCTION("""COMPUTED_VALUE"""),3.0)</f>
        <v>3</v>
      </c>
      <c r="H506" s="138">
        <f>IFERROR(__xludf.DUMMYFUNCTION("""COMPUTED_VALUE"""),3.0)</f>
        <v>3</v>
      </c>
      <c r="I506" s="138">
        <f>IFERROR(__xludf.DUMMYFUNCTION("""COMPUTED_VALUE"""),2.0)</f>
        <v>2</v>
      </c>
      <c r="J506" s="138">
        <f>IFERROR(__xludf.DUMMYFUNCTION("""COMPUTED_VALUE"""),3.0)</f>
        <v>3</v>
      </c>
      <c r="K506" s="138">
        <f>IFERROR(__xludf.DUMMYFUNCTION("""COMPUTED_VALUE"""),2.0)</f>
        <v>2</v>
      </c>
      <c r="L506" s="138">
        <v>18.0</v>
      </c>
      <c r="M506" s="140" t="str">
        <f>VLOOKUP(text(D506, "#"),'Master Table'!$A:$F, 6, FALSE)</f>
        <v>C-6</v>
      </c>
      <c r="N506" s="141"/>
      <c r="O506" s="142" t="str">
        <f t="shared" si="1"/>
        <v/>
      </c>
      <c r="P506" s="143" t="str">
        <f>IF(ISNA(VLOOKUP(CONCAT(M506,C506), 'Judge Count DO NOT EDIT'!H:H, 1, FALSE)), "ERROR","")</f>
        <v/>
      </c>
      <c r="Q506" s="141"/>
      <c r="R506" s="143"/>
      <c r="S506" s="139" t="str">
        <f t="shared" si="2"/>
        <v>1060245</v>
      </c>
      <c r="T506" s="141"/>
    </row>
    <row r="507">
      <c r="A507" s="137">
        <f>IFERROR(__xludf.DUMMYFUNCTION("""COMPUTED_VALUE"""),45352.623235879626)</f>
        <v>45352.62324</v>
      </c>
      <c r="B507" s="138" t="str">
        <f>IFERROR(__xludf.DUMMYFUNCTION("""COMPUTED_VALUE"""),"Lucy Campbell")</f>
        <v>Lucy Campbell</v>
      </c>
      <c r="C507" s="138">
        <f>IFERROR(__xludf.DUMMYFUNCTION("""COMPUTED_VALUE"""),1036.0)</f>
        <v>1036</v>
      </c>
      <c r="D507" s="139">
        <f>IFERROR(__xludf.DUMMYFUNCTION("""COMPUTED_VALUE"""),246.0)</f>
        <v>246</v>
      </c>
      <c r="E507" s="138">
        <f>IFERROR(__xludf.DUMMYFUNCTION("""COMPUTED_VALUE"""),4.0)</f>
        <v>4</v>
      </c>
      <c r="F507" s="138">
        <f>IFERROR(__xludf.DUMMYFUNCTION("""COMPUTED_VALUE"""),3.0)</f>
        <v>3</v>
      </c>
      <c r="G507" s="138">
        <f>IFERROR(__xludf.DUMMYFUNCTION("""COMPUTED_VALUE"""),3.0)</f>
        <v>3</v>
      </c>
      <c r="H507" s="138">
        <f>IFERROR(__xludf.DUMMYFUNCTION("""COMPUTED_VALUE"""),4.0)</f>
        <v>4</v>
      </c>
      <c r="I507" s="138">
        <f>IFERROR(__xludf.DUMMYFUNCTION("""COMPUTED_VALUE"""),5.0)</f>
        <v>5</v>
      </c>
      <c r="J507" s="138">
        <f>IFERROR(__xludf.DUMMYFUNCTION("""COMPUTED_VALUE"""),4.0)</f>
        <v>4</v>
      </c>
      <c r="K507" s="138">
        <f>IFERROR(__xludf.DUMMYFUNCTION("""COMPUTED_VALUE"""),4.0)</f>
        <v>4</v>
      </c>
      <c r="L507" s="138">
        <v>27.0</v>
      </c>
      <c r="M507" s="140" t="str">
        <f>VLOOKUP(text(D507, "#"),'Master Table'!$A:$F, 6, FALSE)</f>
        <v>C-6</v>
      </c>
      <c r="N507" s="141" t="str">
        <f>IFERROR(__xludf.DUMMYFUNCTION("""COMPUTED_VALUE"""),"You could write a whole book about how law and justice is represented on stage throughout American history. That would be fascinating ")</f>
        <v>You could write a whole book about how law and justice is represented on stage throughout American history. That would be fascinating </v>
      </c>
      <c r="O507" s="142" t="str">
        <f t="shared" si="1"/>
        <v/>
      </c>
      <c r="P507" s="143" t="str">
        <f>IF(ISNA(VLOOKUP(CONCAT(M507,C507), 'Judge Count DO NOT EDIT'!H:H, 1, FALSE)), "ERROR","")</f>
        <v/>
      </c>
      <c r="Q507" s="141"/>
      <c r="R507" s="143"/>
      <c r="S507" s="139" t="str">
        <f t="shared" si="2"/>
        <v>1036246</v>
      </c>
      <c r="T507" s="141"/>
    </row>
    <row r="508">
      <c r="A508" s="137">
        <f>IFERROR(__xludf.DUMMYFUNCTION("""COMPUTED_VALUE"""),45352.6240596412)</f>
        <v>45352.62406</v>
      </c>
      <c r="B508" s="138" t="str">
        <f>IFERROR(__xludf.DUMMYFUNCTION("""COMPUTED_VALUE"""),"Wawrytko")</f>
        <v>Wawrytko</v>
      </c>
      <c r="C508" s="138">
        <f>IFERROR(__xludf.DUMMYFUNCTION("""COMPUTED_VALUE"""),1004.0)</f>
        <v>1004</v>
      </c>
      <c r="D508" s="139">
        <f>IFERROR(__xludf.DUMMYFUNCTION("""COMPUTED_VALUE"""),246.0)</f>
        <v>246</v>
      </c>
      <c r="E508" s="138">
        <f>IFERROR(__xludf.DUMMYFUNCTION("""COMPUTED_VALUE"""),4.0)</f>
        <v>4</v>
      </c>
      <c r="F508" s="138">
        <f>IFERROR(__xludf.DUMMYFUNCTION("""COMPUTED_VALUE"""),5.0)</f>
        <v>5</v>
      </c>
      <c r="G508" s="138">
        <f>IFERROR(__xludf.DUMMYFUNCTION("""COMPUTED_VALUE"""),5.0)</f>
        <v>5</v>
      </c>
      <c r="H508" s="138">
        <f>IFERROR(__xludf.DUMMYFUNCTION("""COMPUTED_VALUE"""),4.0)</f>
        <v>4</v>
      </c>
      <c r="I508" s="138">
        <f>IFERROR(__xludf.DUMMYFUNCTION("""COMPUTED_VALUE"""),5.0)</f>
        <v>5</v>
      </c>
      <c r="J508" s="138">
        <f>IFERROR(__xludf.DUMMYFUNCTION("""COMPUTED_VALUE"""),4.0)</f>
        <v>4</v>
      </c>
      <c r="K508" s="138">
        <f>IFERROR(__xludf.DUMMYFUNCTION("""COMPUTED_VALUE"""),4.0)</f>
        <v>4</v>
      </c>
      <c r="L508" s="138">
        <v>31.0</v>
      </c>
      <c r="M508" s="140" t="str">
        <f>VLOOKUP(text(D508, "#"),'Master Table'!$A:$F, 6, FALSE)</f>
        <v>C-6</v>
      </c>
      <c r="N508" s="141" t="str">
        <f>IFERROR(__xludf.DUMMYFUNCTION("""COMPUTED_VALUE"""),"very dramatic presentation!  very relevant topic")</f>
        <v>very dramatic presentation!  very relevant topic</v>
      </c>
      <c r="O508" s="142" t="str">
        <f t="shared" si="1"/>
        <v/>
      </c>
      <c r="P508" s="143" t="str">
        <f>IF(ISNA(VLOOKUP(CONCAT(M508,C508), 'Judge Count DO NOT EDIT'!H:H, 1, FALSE)), "ERROR","")</f>
        <v/>
      </c>
      <c r="Q508" s="141"/>
      <c r="R508" s="143"/>
      <c r="S508" s="139" t="str">
        <f t="shared" si="2"/>
        <v>1004246</v>
      </c>
      <c r="T508" s="141"/>
    </row>
    <row r="509">
      <c r="A509" s="137">
        <f>IFERROR(__xludf.DUMMYFUNCTION("""COMPUTED_VALUE"""),45352.62668421296)</f>
        <v>45352.62668</v>
      </c>
      <c r="B509" s="138" t="str">
        <f>IFERROR(__xludf.DUMMYFUNCTION("""COMPUTED_VALUE"""),"Esra")</f>
        <v>Esra</v>
      </c>
      <c r="C509" s="138">
        <f>IFERROR(__xludf.DUMMYFUNCTION("""COMPUTED_VALUE"""),1008.0)</f>
        <v>1008</v>
      </c>
      <c r="D509" s="139">
        <f>IFERROR(__xludf.DUMMYFUNCTION("""COMPUTED_VALUE"""),246.0)</f>
        <v>246</v>
      </c>
      <c r="E509" s="138">
        <f>IFERROR(__xludf.DUMMYFUNCTION("""COMPUTED_VALUE"""),5.0)</f>
        <v>5</v>
      </c>
      <c r="F509" s="138">
        <f>IFERROR(__xludf.DUMMYFUNCTION("""COMPUTED_VALUE"""),5.0)</f>
        <v>5</v>
      </c>
      <c r="G509" s="138">
        <f>IFERROR(__xludf.DUMMYFUNCTION("""COMPUTED_VALUE"""),5.0)</f>
        <v>5</v>
      </c>
      <c r="H509" s="138">
        <f>IFERROR(__xludf.DUMMYFUNCTION("""COMPUTED_VALUE"""),4.0)</f>
        <v>4</v>
      </c>
      <c r="I509" s="138">
        <f>IFERROR(__xludf.DUMMYFUNCTION("""COMPUTED_VALUE"""),5.0)</f>
        <v>5</v>
      </c>
      <c r="J509" s="138">
        <f>IFERROR(__xludf.DUMMYFUNCTION("""COMPUTED_VALUE"""),5.0)</f>
        <v>5</v>
      </c>
      <c r="K509" s="138">
        <f>IFERROR(__xludf.DUMMYFUNCTION("""COMPUTED_VALUE"""),5.0)</f>
        <v>5</v>
      </c>
      <c r="L509" s="138">
        <v>34.0</v>
      </c>
      <c r="M509" s="140" t="str">
        <f>VLOOKUP(text(D509, "#"),'Master Table'!$A:$F, 6, FALSE)</f>
        <v>C-6</v>
      </c>
      <c r="N509" s="141" t="str">
        <f>IFERROR(__xludf.DUMMYFUNCTION("""COMPUTED_VALUE"""),"A very engaging and insightful presentation (a few images in the powerpoint would be good too). Also, spending a bit more time on different understandings of justice among different communities in melodramas would help as well. ")</f>
        <v>A very engaging and insightful presentation (a few images in the powerpoint would be good too). Also, spending a bit more time on different understandings of justice among different communities in melodramas would help as well. </v>
      </c>
      <c r="O509" s="142" t="str">
        <f t="shared" si="1"/>
        <v/>
      </c>
      <c r="P509" s="143" t="str">
        <f>IF(ISNA(VLOOKUP(CONCAT(M509,C509), 'Judge Count DO NOT EDIT'!H:H, 1, FALSE)), "ERROR","")</f>
        <v/>
      </c>
      <c r="Q509" s="141"/>
      <c r="R509" s="143"/>
      <c r="S509" s="139" t="str">
        <f t="shared" si="2"/>
        <v>1008246</v>
      </c>
      <c r="T509" s="141"/>
    </row>
    <row r="510">
      <c r="A510" s="137">
        <f>IFERROR(__xludf.DUMMYFUNCTION("""COMPUTED_VALUE"""),45352.66145140046)</f>
        <v>45352.66145</v>
      </c>
      <c r="B510" s="138" t="str">
        <f>IFERROR(__xludf.DUMMYFUNCTION("""COMPUTED_VALUE"""),"Bill Aaron")</f>
        <v>Bill Aaron</v>
      </c>
      <c r="C510" s="138">
        <f>IFERROR(__xludf.DUMMYFUNCTION("""COMPUTED_VALUE"""),1060.0)</f>
        <v>1060</v>
      </c>
      <c r="D510" s="139">
        <f>IFERROR(__xludf.DUMMYFUNCTION("""COMPUTED_VALUE"""),246.0)</f>
        <v>246</v>
      </c>
      <c r="E510" s="138">
        <f>IFERROR(__xludf.DUMMYFUNCTION("""COMPUTED_VALUE"""),3.0)</f>
        <v>3</v>
      </c>
      <c r="F510" s="138">
        <f>IFERROR(__xludf.DUMMYFUNCTION("""COMPUTED_VALUE"""),3.0)</f>
        <v>3</v>
      </c>
      <c r="G510" s="138">
        <f>IFERROR(__xludf.DUMMYFUNCTION("""COMPUTED_VALUE"""),2.0)</f>
        <v>2</v>
      </c>
      <c r="H510" s="138">
        <f>IFERROR(__xludf.DUMMYFUNCTION("""COMPUTED_VALUE"""),2.0)</f>
        <v>2</v>
      </c>
      <c r="I510" s="138">
        <f>IFERROR(__xludf.DUMMYFUNCTION("""COMPUTED_VALUE"""),3.0)</f>
        <v>3</v>
      </c>
      <c r="J510" s="138">
        <f>IFERROR(__xludf.DUMMYFUNCTION("""COMPUTED_VALUE"""),3.0)</f>
        <v>3</v>
      </c>
      <c r="K510" s="138">
        <f>IFERROR(__xludf.DUMMYFUNCTION("""COMPUTED_VALUE"""),3.0)</f>
        <v>3</v>
      </c>
      <c r="L510" s="138">
        <v>19.0</v>
      </c>
      <c r="M510" s="140" t="str">
        <f>VLOOKUP(text(D510, "#"),'Master Table'!$A:$F, 6, FALSE)</f>
        <v>C-6</v>
      </c>
      <c r="N510" s="141"/>
      <c r="O510" s="142" t="str">
        <f t="shared" si="1"/>
        <v/>
      </c>
      <c r="P510" s="143" t="str">
        <f>IF(ISNA(VLOOKUP(CONCAT(M510,C510), 'Judge Count DO NOT EDIT'!H:H, 1, FALSE)), "ERROR","")</f>
        <v/>
      </c>
      <c r="Q510" s="141"/>
      <c r="R510" s="143"/>
      <c r="S510" s="139" t="str">
        <f t="shared" si="2"/>
        <v>1060246</v>
      </c>
      <c r="T510" s="141"/>
    </row>
    <row r="511">
      <c r="A511" s="137">
        <f>IFERROR(__xludf.DUMMYFUNCTION("""COMPUTED_VALUE"""),45352.555709629625)</f>
        <v>45352.55571</v>
      </c>
      <c r="B511" s="138" t="str">
        <f>IFERROR(__xludf.DUMMYFUNCTION("""COMPUTED_VALUE"""),"Xin Wang")</f>
        <v>Xin Wang</v>
      </c>
      <c r="C511" s="138">
        <f>IFERROR(__xludf.DUMMYFUNCTION("""COMPUTED_VALUE"""),1168.0)</f>
        <v>1168</v>
      </c>
      <c r="D511" s="139">
        <f>IFERROR(__xludf.DUMMYFUNCTION("""COMPUTED_VALUE"""),247.0)</f>
        <v>247</v>
      </c>
      <c r="E511" s="138">
        <f>IFERROR(__xludf.DUMMYFUNCTION("""COMPUTED_VALUE"""),4.0)</f>
        <v>4</v>
      </c>
      <c r="F511" s="138">
        <f>IFERROR(__xludf.DUMMYFUNCTION("""COMPUTED_VALUE"""),4.0)</f>
        <v>4</v>
      </c>
      <c r="G511" s="138">
        <f>IFERROR(__xludf.DUMMYFUNCTION("""COMPUTED_VALUE"""),4.0)</f>
        <v>4</v>
      </c>
      <c r="H511" s="138">
        <f>IFERROR(__xludf.DUMMYFUNCTION("""COMPUTED_VALUE"""),4.0)</f>
        <v>4</v>
      </c>
      <c r="I511" s="138">
        <f>IFERROR(__xludf.DUMMYFUNCTION("""COMPUTED_VALUE"""),3.0)</f>
        <v>3</v>
      </c>
      <c r="J511" s="138">
        <f>IFERROR(__xludf.DUMMYFUNCTION("""COMPUTED_VALUE"""),3.0)</f>
        <v>3</v>
      </c>
      <c r="K511" s="138">
        <f>IFERROR(__xludf.DUMMYFUNCTION("""COMPUTED_VALUE"""),3.0)</f>
        <v>3</v>
      </c>
      <c r="L511" s="138">
        <v>25.0</v>
      </c>
      <c r="M511" s="140" t="str">
        <f>VLOOKUP(text(D511, "#"),'Master Table'!$A:$F, 6, FALSE)</f>
        <v>C-7</v>
      </c>
      <c r="N511" s="141"/>
      <c r="O511" s="142" t="str">
        <f t="shared" si="1"/>
        <v/>
      </c>
      <c r="P511" s="143" t="str">
        <f>IF(ISNA(VLOOKUP(CONCAT(M511,C511), 'Judge Count DO NOT EDIT'!H:H, 1, FALSE)), "ERROR","")</f>
        <v/>
      </c>
      <c r="Q511" s="141"/>
      <c r="R511" s="143"/>
      <c r="S511" s="139" t="str">
        <f t="shared" si="2"/>
        <v>1168247</v>
      </c>
      <c r="T511" s="141"/>
    </row>
    <row r="512">
      <c r="A512" s="137">
        <f>IFERROR(__xludf.DUMMYFUNCTION("""COMPUTED_VALUE"""),45352.5586695949)</f>
        <v>45352.55867</v>
      </c>
      <c r="B512" s="138" t="str">
        <f>IFERROR(__xludf.DUMMYFUNCTION("""COMPUTED_VALUE"""),"Terrence")</f>
        <v>Terrence</v>
      </c>
      <c r="C512" s="138">
        <f>IFERROR(__xludf.DUMMYFUNCTION("""COMPUTED_VALUE"""),1144.0)</f>
        <v>1144</v>
      </c>
      <c r="D512" s="139">
        <f>IFERROR(__xludf.DUMMYFUNCTION("""COMPUTED_VALUE"""),247.0)</f>
        <v>247</v>
      </c>
      <c r="E512" s="138">
        <f>IFERROR(__xludf.DUMMYFUNCTION("""COMPUTED_VALUE"""),3.0)</f>
        <v>3</v>
      </c>
      <c r="F512" s="138">
        <f>IFERROR(__xludf.DUMMYFUNCTION("""COMPUTED_VALUE"""),3.0)</f>
        <v>3</v>
      </c>
      <c r="G512" s="138">
        <f>IFERROR(__xludf.DUMMYFUNCTION("""COMPUTED_VALUE"""),4.0)</f>
        <v>4</v>
      </c>
      <c r="H512" s="138">
        <f>IFERROR(__xludf.DUMMYFUNCTION("""COMPUTED_VALUE"""),5.0)</f>
        <v>5</v>
      </c>
      <c r="I512" s="138">
        <f>IFERROR(__xludf.DUMMYFUNCTION("""COMPUTED_VALUE"""),4.0)</f>
        <v>4</v>
      </c>
      <c r="J512" s="138">
        <f>IFERROR(__xludf.DUMMYFUNCTION("""COMPUTED_VALUE"""),3.0)</f>
        <v>3</v>
      </c>
      <c r="K512" s="138">
        <f>IFERROR(__xludf.DUMMYFUNCTION("""COMPUTED_VALUE"""),4.0)</f>
        <v>4</v>
      </c>
      <c r="L512" s="138">
        <v>26.0</v>
      </c>
      <c r="M512" s="140" t="str">
        <f>VLOOKUP(text(D512, "#"),'Master Table'!$A:$F, 6, FALSE)</f>
        <v>C-7</v>
      </c>
      <c r="N512" s="141" t="str">
        <f>IFERROR(__xludf.DUMMYFUNCTION("""COMPUTED_VALUE"""),"Interesting research, learned a good deal about quantum physics, fascinating about mass vs vibrations theory.  Well done, clear pwpt
For layman could have more laymen language ")</f>
        <v>Interesting research, learned a good deal about quantum physics, fascinating about mass vs vibrations theory.  Well done, clear pwpt
For layman could have more laymen language </v>
      </c>
      <c r="O512" s="142" t="str">
        <f t="shared" si="1"/>
        <v/>
      </c>
      <c r="P512" s="143" t="str">
        <f>IF(ISNA(VLOOKUP(CONCAT(M512,C512), 'Judge Count DO NOT EDIT'!H:H, 1, FALSE)), "ERROR","")</f>
        <v/>
      </c>
      <c r="Q512" s="144"/>
      <c r="R512" s="143"/>
      <c r="S512" s="139" t="str">
        <f t="shared" si="2"/>
        <v>1144247</v>
      </c>
      <c r="T512" s="141"/>
    </row>
    <row r="513">
      <c r="A513" s="137">
        <f>IFERROR(__xludf.DUMMYFUNCTION("""COMPUTED_VALUE"""),45352.558714803235)</f>
        <v>45352.55871</v>
      </c>
      <c r="B513" s="138" t="str">
        <f>IFERROR(__xludf.DUMMYFUNCTION("""COMPUTED_VALUE"""),"Colin McGrane")</f>
        <v>Colin McGrane</v>
      </c>
      <c r="C513" s="138">
        <f>IFERROR(__xludf.DUMMYFUNCTION("""COMPUTED_VALUE"""),1142.0)</f>
        <v>1142</v>
      </c>
      <c r="D513" s="139">
        <f>IFERROR(__xludf.DUMMYFUNCTION("""COMPUTED_VALUE"""),247.0)</f>
        <v>247</v>
      </c>
      <c r="E513" s="138">
        <f>IFERROR(__xludf.DUMMYFUNCTION("""COMPUTED_VALUE"""),5.0)</f>
        <v>5</v>
      </c>
      <c r="F513" s="138">
        <f>IFERROR(__xludf.DUMMYFUNCTION("""COMPUTED_VALUE"""),5.0)</f>
        <v>5</v>
      </c>
      <c r="G513" s="138">
        <f>IFERROR(__xludf.DUMMYFUNCTION("""COMPUTED_VALUE"""),5.0)</f>
        <v>5</v>
      </c>
      <c r="H513" s="138">
        <f>IFERROR(__xludf.DUMMYFUNCTION("""COMPUTED_VALUE"""),5.0)</f>
        <v>5</v>
      </c>
      <c r="I513" s="138">
        <f>IFERROR(__xludf.DUMMYFUNCTION("""COMPUTED_VALUE"""),5.0)</f>
        <v>5</v>
      </c>
      <c r="J513" s="138">
        <f>IFERROR(__xludf.DUMMYFUNCTION("""COMPUTED_VALUE"""),5.0)</f>
        <v>5</v>
      </c>
      <c r="K513" s="138">
        <f>IFERROR(__xludf.DUMMYFUNCTION("""COMPUTED_VALUE"""),5.0)</f>
        <v>5</v>
      </c>
      <c r="L513" s="138">
        <v>35.0</v>
      </c>
      <c r="M513" s="140" t="str">
        <f>VLOOKUP(text(D513, "#"),'Master Table'!$A:$F, 6, FALSE)</f>
        <v>C-7</v>
      </c>
      <c r="N513" s="141" t="str">
        <f>IFERROR(__xludf.DUMMYFUNCTION("""COMPUTED_VALUE"""),"Great talk, thank you! I found your presentation interesting and I felt like I learned something from it-- you are a good teacher too! This skill of being able to explain complex and dense topics in clear and understandable language to a crowd of folks wh"&amp;"o are not experts (like me) is very valuable. Your work sounds important and you are clearly poised to continue succeeding in this field. One comment to improve the talk is to try to reduce the relatively text-heavy slides-- I know this is difficult to do"&amp;" when you are explaining so much background detail in order to lend significance to your results, but it can be overwhelming to the audience when the slide has so much to read. Keep up the great work!  ")</f>
        <v>Great talk, thank you! I found your presentation interesting and I felt like I learned something from it-- you are a good teacher too! This skill of being able to explain complex and dense topics in clear and understandable language to a crowd of folks who are not experts (like me) is very valuable. Your work sounds important and you are clearly poised to continue succeeding in this field. One comment to improve the talk is to try to reduce the relatively text-heavy slides-- I know this is difficult to do when you are explaining so much background detail in order to lend significance to your results, but it can be overwhelming to the audience when the slide has so much to read. Keep up the great work!  </v>
      </c>
      <c r="O513" s="142" t="str">
        <f t="shared" si="1"/>
        <v/>
      </c>
      <c r="P513" s="143" t="str">
        <f>IF(ISNA(VLOOKUP(CONCAT(M513,C513), 'Judge Count DO NOT EDIT'!H:H, 1, FALSE)), "ERROR","")</f>
        <v/>
      </c>
      <c r="Q513" s="141"/>
      <c r="R513" s="143"/>
      <c r="S513" s="139" t="str">
        <f t="shared" si="2"/>
        <v>1142247</v>
      </c>
      <c r="T513" s="141"/>
    </row>
    <row r="514">
      <c r="A514" s="137">
        <f>IFERROR(__xludf.DUMMYFUNCTION("""COMPUTED_VALUE"""),45352.5834703588)</f>
        <v>45352.58347</v>
      </c>
      <c r="B514" s="138" t="str">
        <f>IFERROR(__xludf.DUMMYFUNCTION("""COMPUTED_VALUE"""),"Crystal English")</f>
        <v>Crystal English</v>
      </c>
      <c r="C514" s="138">
        <f>IFERROR(__xludf.DUMMYFUNCTION("""COMPUTED_VALUE"""),1032.0)</f>
        <v>1032</v>
      </c>
      <c r="D514" s="139">
        <f>IFERROR(__xludf.DUMMYFUNCTION("""COMPUTED_VALUE"""),247.0)</f>
        <v>247</v>
      </c>
      <c r="E514" s="138">
        <f>IFERROR(__xludf.DUMMYFUNCTION("""COMPUTED_VALUE"""),4.0)</f>
        <v>4</v>
      </c>
      <c r="F514" s="138">
        <f>IFERROR(__xludf.DUMMYFUNCTION("""COMPUTED_VALUE"""),4.0)</f>
        <v>4</v>
      </c>
      <c r="G514" s="138">
        <f>IFERROR(__xludf.DUMMYFUNCTION("""COMPUTED_VALUE"""),4.0)</f>
        <v>4</v>
      </c>
      <c r="H514" s="138">
        <f>IFERROR(__xludf.DUMMYFUNCTION("""COMPUTED_VALUE"""),4.0)</f>
        <v>4</v>
      </c>
      <c r="I514" s="138">
        <f>IFERROR(__xludf.DUMMYFUNCTION("""COMPUTED_VALUE"""),5.0)</f>
        <v>5</v>
      </c>
      <c r="J514" s="138">
        <f>IFERROR(__xludf.DUMMYFUNCTION("""COMPUTED_VALUE"""),4.0)</f>
        <v>4</v>
      </c>
      <c r="K514" s="138">
        <f>IFERROR(__xludf.DUMMYFUNCTION("""COMPUTED_VALUE"""),5.0)</f>
        <v>5</v>
      </c>
      <c r="L514" s="138">
        <v>30.0</v>
      </c>
      <c r="M514" s="140" t="str">
        <f>VLOOKUP(text(D514, "#"),'Master Table'!$A:$F, 6, FALSE)</f>
        <v>C-7</v>
      </c>
      <c r="N514" s="141" t="str">
        <f>IFERROR(__xludf.DUMMYFUNCTION("""COMPUTED_VALUE"""),"Very good presenting style. Although the talk was a bit quick, it was easy to follow. The visuals were understandable. Suggest slowing down when speaking. Again, it was fast, but still able to follow.")</f>
        <v>Very good presenting style. Although the talk was a bit quick, it was easy to follow. The visuals were understandable. Suggest slowing down when speaking. Again, it was fast, but still able to follow.</v>
      </c>
      <c r="O514" s="142" t="str">
        <f t="shared" si="1"/>
        <v/>
      </c>
      <c r="P514" s="143" t="str">
        <f>IF(ISNA(VLOOKUP(CONCAT(M514,C514), 'Judge Count DO NOT EDIT'!H:H, 1, FALSE)), "ERROR","")</f>
        <v/>
      </c>
      <c r="Q514" s="141"/>
      <c r="R514" s="143"/>
      <c r="S514" s="139" t="str">
        <f t="shared" si="2"/>
        <v>1032247</v>
      </c>
      <c r="T514" s="141"/>
    </row>
    <row r="515">
      <c r="A515" s="137">
        <f>IFERROR(__xludf.DUMMYFUNCTION("""COMPUTED_VALUE"""),45352.56842616898)</f>
        <v>45352.56843</v>
      </c>
      <c r="B515" s="138" t="str">
        <f>IFERROR(__xludf.DUMMYFUNCTION("""COMPUTED_VALUE"""),"Xin Wang")</f>
        <v>Xin Wang</v>
      </c>
      <c r="C515" s="138">
        <f>IFERROR(__xludf.DUMMYFUNCTION("""COMPUTED_VALUE"""),1168.0)</f>
        <v>1168</v>
      </c>
      <c r="D515" s="139">
        <f>IFERROR(__xludf.DUMMYFUNCTION("""COMPUTED_VALUE"""),248.0)</f>
        <v>248</v>
      </c>
      <c r="E515" s="138">
        <f>IFERROR(__xludf.DUMMYFUNCTION("""COMPUTED_VALUE"""),3.0)</f>
        <v>3</v>
      </c>
      <c r="F515" s="138">
        <f>IFERROR(__xludf.DUMMYFUNCTION("""COMPUTED_VALUE"""),3.0)</f>
        <v>3</v>
      </c>
      <c r="G515" s="138">
        <f>IFERROR(__xludf.DUMMYFUNCTION("""COMPUTED_VALUE"""),4.0)</f>
        <v>4</v>
      </c>
      <c r="H515" s="138">
        <f>IFERROR(__xludf.DUMMYFUNCTION("""COMPUTED_VALUE"""),3.0)</f>
        <v>3</v>
      </c>
      <c r="I515" s="138">
        <f>IFERROR(__xludf.DUMMYFUNCTION("""COMPUTED_VALUE"""),3.0)</f>
        <v>3</v>
      </c>
      <c r="J515" s="138">
        <f>IFERROR(__xludf.DUMMYFUNCTION("""COMPUTED_VALUE"""),4.0)</f>
        <v>4</v>
      </c>
      <c r="K515" s="138">
        <f>IFERROR(__xludf.DUMMYFUNCTION("""COMPUTED_VALUE"""),4.0)</f>
        <v>4</v>
      </c>
      <c r="L515" s="138">
        <v>24.0</v>
      </c>
      <c r="M515" s="140" t="str">
        <f>VLOOKUP(text(D515, "#"),'Master Table'!$A:$F, 6, FALSE)</f>
        <v>C-7</v>
      </c>
      <c r="N515" s="141"/>
      <c r="O515" s="142" t="str">
        <f t="shared" si="1"/>
        <v/>
      </c>
      <c r="P515" s="143" t="str">
        <f>IF(ISNA(VLOOKUP(CONCAT(M515,C515), 'Judge Count DO NOT EDIT'!H:H, 1, FALSE)), "ERROR","")</f>
        <v/>
      </c>
      <c r="Q515" s="141"/>
      <c r="R515" s="143"/>
      <c r="S515" s="139" t="str">
        <f t="shared" si="2"/>
        <v>1168248</v>
      </c>
      <c r="T515" s="141"/>
    </row>
    <row r="516">
      <c r="A516" s="137">
        <f>IFERROR(__xludf.DUMMYFUNCTION("""COMPUTED_VALUE"""),45352.57110987269)</f>
        <v>45352.57111</v>
      </c>
      <c r="B516" s="138" t="str">
        <f>IFERROR(__xludf.DUMMYFUNCTION("""COMPUTED_VALUE"""),"Terrence")</f>
        <v>Terrence</v>
      </c>
      <c r="C516" s="138">
        <f>IFERROR(__xludf.DUMMYFUNCTION("""COMPUTED_VALUE"""),1144.0)</f>
        <v>1144</v>
      </c>
      <c r="D516" s="139">
        <f>IFERROR(__xludf.DUMMYFUNCTION("""COMPUTED_VALUE"""),248.0)</f>
        <v>248</v>
      </c>
      <c r="E516" s="138">
        <f>IFERROR(__xludf.DUMMYFUNCTION("""COMPUTED_VALUE"""),4.0)</f>
        <v>4</v>
      </c>
      <c r="F516" s="138">
        <f>IFERROR(__xludf.DUMMYFUNCTION("""COMPUTED_VALUE"""),5.0)</f>
        <v>5</v>
      </c>
      <c r="G516" s="138">
        <f>IFERROR(__xludf.DUMMYFUNCTION("""COMPUTED_VALUE"""),4.0)</f>
        <v>4</v>
      </c>
      <c r="H516" s="138">
        <f>IFERROR(__xludf.DUMMYFUNCTION("""COMPUTED_VALUE"""),4.0)</f>
        <v>4</v>
      </c>
      <c r="I516" s="138">
        <f>IFERROR(__xludf.DUMMYFUNCTION("""COMPUTED_VALUE"""),4.0)</f>
        <v>4</v>
      </c>
      <c r="J516" s="138">
        <f>IFERROR(__xludf.DUMMYFUNCTION("""COMPUTED_VALUE"""),3.0)</f>
        <v>3</v>
      </c>
      <c r="K516" s="138">
        <f>IFERROR(__xludf.DUMMYFUNCTION("""COMPUTED_VALUE"""),4.0)</f>
        <v>4</v>
      </c>
      <c r="L516" s="138">
        <v>28.0</v>
      </c>
      <c r="M516" s="140" t="str">
        <f>VLOOKUP(text(D516, "#"),'Master Table'!$A:$F, 6, FALSE)</f>
        <v>C-7</v>
      </c>
      <c r="N516" s="141" t="str">
        <f>IFERROR(__xludf.DUMMYFUNCTION("""COMPUTED_VALUE"""),"Very unique and significant way to change up for how things are done and for to think outside of the box to create new ways to better the field. Great presentation")</f>
        <v>Very unique and significant way to change up for how things are done and for to think outside of the box to create new ways to better the field. Great presentation</v>
      </c>
      <c r="O516" s="142" t="str">
        <f t="shared" si="1"/>
        <v/>
      </c>
      <c r="P516" s="143" t="str">
        <f>IF(ISNA(VLOOKUP(CONCAT(M516,C516), 'Judge Count DO NOT EDIT'!H:H, 1, FALSE)), "ERROR","")</f>
        <v/>
      </c>
      <c r="Q516" s="141"/>
      <c r="R516" s="143"/>
      <c r="S516" s="139" t="str">
        <f t="shared" si="2"/>
        <v>1144248</v>
      </c>
      <c r="T516" s="141"/>
    </row>
    <row r="517">
      <c r="A517" s="137">
        <f>IFERROR(__xludf.DUMMYFUNCTION("""COMPUTED_VALUE"""),45352.57178320602)</f>
        <v>45352.57178</v>
      </c>
      <c r="B517" s="138" t="str">
        <f>IFERROR(__xludf.DUMMYFUNCTION("""COMPUTED_VALUE"""),"Colin McGrane")</f>
        <v>Colin McGrane</v>
      </c>
      <c r="C517" s="138">
        <f>IFERROR(__xludf.DUMMYFUNCTION("""COMPUTED_VALUE"""),1142.0)</f>
        <v>1142</v>
      </c>
      <c r="D517" s="139">
        <f>IFERROR(__xludf.DUMMYFUNCTION("""COMPUTED_VALUE"""),248.0)</f>
        <v>248</v>
      </c>
      <c r="E517" s="138">
        <f>IFERROR(__xludf.DUMMYFUNCTION("""COMPUTED_VALUE"""),5.0)</f>
        <v>5</v>
      </c>
      <c r="F517" s="138">
        <f>IFERROR(__xludf.DUMMYFUNCTION("""COMPUTED_VALUE"""),5.0)</f>
        <v>5</v>
      </c>
      <c r="G517" s="138">
        <f>IFERROR(__xludf.DUMMYFUNCTION("""COMPUTED_VALUE"""),5.0)</f>
        <v>5</v>
      </c>
      <c r="H517" s="138">
        <f>IFERROR(__xludf.DUMMYFUNCTION("""COMPUTED_VALUE"""),5.0)</f>
        <v>5</v>
      </c>
      <c r="I517" s="138">
        <f>IFERROR(__xludf.DUMMYFUNCTION("""COMPUTED_VALUE"""),4.0)</f>
        <v>4</v>
      </c>
      <c r="J517" s="138">
        <f>IFERROR(__xludf.DUMMYFUNCTION("""COMPUTED_VALUE"""),4.0)</f>
        <v>4</v>
      </c>
      <c r="K517" s="138">
        <f>IFERROR(__xludf.DUMMYFUNCTION("""COMPUTED_VALUE"""),5.0)</f>
        <v>5</v>
      </c>
      <c r="L517" s="138">
        <v>33.0</v>
      </c>
      <c r="M517" s="140" t="str">
        <f>VLOOKUP(text(D517, "#"),'Master Table'!$A:$F, 6, FALSE)</f>
        <v>C-7</v>
      </c>
      <c r="N517" s="141" t="str">
        <f>IFERROR(__xludf.DUMMYFUNCTION("""COMPUTED_VALUE"""),"Great talk, thank you! I appreciated your ability to convey very complex information and methods to an audience who might not be experts (like me!). You spoke clearly and demonstrated a mastery of the knowledge needed for this research. You fielded the qu"&amp;"estions of the room really well, too! One comment I have to improve the audience's experience during your talks would be to attempt to reduce the text-heavy slides. I know this is difficult to do when you are trying to fit in a lot of background informati"&amp;"on and motivation in a 10 minute talk, but it can be overwhelming to have so much text on certain slides-- as if we are supposed to read the details when the majority of what we are soaking in is what you are saying. If something flew by, there is always "&amp;"an opportunity for someone in the audience to ask more details about some particular aspect that was left off of a slide for the sake of visual aesthetic. Keep up the good work, it is wonderful to see you succeeding in this field and creating something th"&amp;"at will help many other researchers (and eventually the entire human race if we need to find an exoplanet to move to). ")</f>
        <v>Great talk, thank you! I appreciated your ability to convey very complex information and methods to an audience who might not be experts (like me!). You spoke clearly and demonstrated a mastery of the knowledge needed for this research. You fielded the questions of the room really well, too! One comment I have to improve the audience's experience during your talks would be to attempt to reduce the text-heavy slides. I know this is difficult to do when you are trying to fit in a lot of background information and motivation in a 10 minute talk, but it can be overwhelming to have so much text on certain slides-- as if we are supposed to read the details when the majority of what we are soaking in is what you are saying. If something flew by, there is always an opportunity for someone in the audience to ask more details about some particular aspect that was left off of a slide for the sake of visual aesthetic. Keep up the good work, it is wonderful to see you succeeding in this field and creating something that will help many other researchers (and eventually the entire human race if we need to find an exoplanet to move to). </v>
      </c>
      <c r="O517" s="142" t="str">
        <f t="shared" si="1"/>
        <v/>
      </c>
      <c r="P517" s="143" t="str">
        <f>IF(ISNA(VLOOKUP(CONCAT(M517,C517), 'Judge Count DO NOT EDIT'!H:H, 1, FALSE)), "ERROR","")</f>
        <v/>
      </c>
      <c r="Q517" s="141"/>
      <c r="R517" s="143"/>
      <c r="S517" s="139" t="str">
        <f t="shared" si="2"/>
        <v>1142248</v>
      </c>
      <c r="T517" s="141"/>
    </row>
    <row r="518">
      <c r="A518" s="137">
        <f>IFERROR(__xludf.DUMMYFUNCTION("""COMPUTED_VALUE"""),45352.58623311343)</f>
        <v>45352.58623</v>
      </c>
      <c r="B518" s="138" t="str">
        <f>IFERROR(__xludf.DUMMYFUNCTION("""COMPUTED_VALUE"""),"Crystal English")</f>
        <v>Crystal English</v>
      </c>
      <c r="C518" s="138">
        <f>IFERROR(__xludf.DUMMYFUNCTION("""COMPUTED_VALUE"""),1032.0)</f>
        <v>1032</v>
      </c>
      <c r="D518" s="139">
        <f>IFERROR(__xludf.DUMMYFUNCTION("""COMPUTED_VALUE"""),248.0)</f>
        <v>248</v>
      </c>
      <c r="E518" s="138">
        <f>IFERROR(__xludf.DUMMYFUNCTION("""COMPUTED_VALUE"""),3.0)</f>
        <v>3</v>
      </c>
      <c r="F518" s="138">
        <f>IFERROR(__xludf.DUMMYFUNCTION("""COMPUTED_VALUE"""),4.0)</f>
        <v>4</v>
      </c>
      <c r="G518" s="138">
        <f>IFERROR(__xludf.DUMMYFUNCTION("""COMPUTED_VALUE"""),3.0)</f>
        <v>3</v>
      </c>
      <c r="H518" s="138">
        <f>IFERROR(__xludf.DUMMYFUNCTION("""COMPUTED_VALUE"""),3.0)</f>
        <v>3</v>
      </c>
      <c r="I518" s="138">
        <f>IFERROR(__xludf.DUMMYFUNCTION("""COMPUTED_VALUE"""),3.0)</f>
        <v>3</v>
      </c>
      <c r="J518" s="138">
        <f>IFERROR(__xludf.DUMMYFUNCTION("""COMPUTED_VALUE"""),3.0)</f>
        <v>3</v>
      </c>
      <c r="K518" s="138">
        <f>IFERROR(__xludf.DUMMYFUNCTION("""COMPUTED_VALUE"""),4.0)</f>
        <v>4</v>
      </c>
      <c r="L518" s="138">
        <v>23.0</v>
      </c>
      <c r="M518" s="140" t="str">
        <f>VLOOKUP(text(D518, "#"),'Master Table'!$A:$F, 6, FALSE)</f>
        <v>C-7</v>
      </c>
      <c r="N518" s="141" t="str">
        <f>IFERROR(__xludf.DUMMYFUNCTION("""COMPUTED_VALUE"""),"The presentation was good and the presenter clearly knew her topic and research. Speak more clearly. That would go a long way to better understanding the complexity of the study. Also, make it very clear in the beginning that the whole of the study is don"&amp;"e with created data, meaning artificially created (generated) data. And if the sampling for experiments also used created data, make sure that is clear as well.")</f>
        <v>The presentation was good and the presenter clearly knew her topic and research. Speak more clearly. That would go a long way to better understanding the complexity of the study. Also, make it very clear in the beginning that the whole of the study is done with created data, meaning artificially created (generated) data. And if the sampling for experiments also used created data, make sure that is clear as well.</v>
      </c>
      <c r="O518" s="142" t="str">
        <f t="shared" si="1"/>
        <v/>
      </c>
      <c r="P518" s="143" t="str">
        <f>IF(ISNA(VLOOKUP(CONCAT(M518,C518), 'Judge Count DO NOT EDIT'!H:H, 1, FALSE)), "ERROR","")</f>
        <v/>
      </c>
      <c r="Q518" s="141"/>
      <c r="R518" s="143"/>
      <c r="S518" s="139" t="str">
        <f t="shared" si="2"/>
        <v>1032248</v>
      </c>
      <c r="T518" s="141"/>
    </row>
    <row r="519">
      <c r="A519" s="137">
        <f>IFERROR(__xludf.DUMMYFUNCTION("""COMPUTED_VALUE"""),45352.5816137963)</f>
        <v>45352.58161</v>
      </c>
      <c r="B519" s="138" t="str">
        <f>IFERROR(__xludf.DUMMYFUNCTION("""COMPUTED_VALUE"""),"Xin Wang")</f>
        <v>Xin Wang</v>
      </c>
      <c r="C519" s="138">
        <f>IFERROR(__xludf.DUMMYFUNCTION("""COMPUTED_VALUE"""),1168.0)</f>
        <v>1168</v>
      </c>
      <c r="D519" s="139">
        <f>IFERROR(__xludf.DUMMYFUNCTION("""COMPUTED_VALUE"""),249.0)</f>
        <v>249</v>
      </c>
      <c r="E519" s="138">
        <f>IFERROR(__xludf.DUMMYFUNCTION("""COMPUTED_VALUE"""),3.0)</f>
        <v>3</v>
      </c>
      <c r="F519" s="138">
        <f>IFERROR(__xludf.DUMMYFUNCTION("""COMPUTED_VALUE"""),4.0)</f>
        <v>4</v>
      </c>
      <c r="G519" s="138">
        <f>IFERROR(__xludf.DUMMYFUNCTION("""COMPUTED_VALUE"""),3.0)</f>
        <v>3</v>
      </c>
      <c r="H519" s="138">
        <f>IFERROR(__xludf.DUMMYFUNCTION("""COMPUTED_VALUE"""),3.0)</f>
        <v>3</v>
      </c>
      <c r="I519" s="138">
        <f>IFERROR(__xludf.DUMMYFUNCTION("""COMPUTED_VALUE"""),3.0)</f>
        <v>3</v>
      </c>
      <c r="J519" s="138">
        <f>IFERROR(__xludf.DUMMYFUNCTION("""COMPUTED_VALUE"""),4.0)</f>
        <v>4</v>
      </c>
      <c r="K519" s="138">
        <f>IFERROR(__xludf.DUMMYFUNCTION("""COMPUTED_VALUE"""),3.0)</f>
        <v>3</v>
      </c>
      <c r="L519" s="138">
        <v>23.0</v>
      </c>
      <c r="M519" s="140" t="str">
        <f>VLOOKUP(text(D519, "#"),'Master Table'!$A:$F, 6, FALSE)</f>
        <v>C-7</v>
      </c>
      <c r="N519" s="141"/>
      <c r="O519" s="142" t="str">
        <f t="shared" si="1"/>
        <v/>
      </c>
      <c r="P519" s="143" t="str">
        <f>IF(ISNA(VLOOKUP(CONCAT(M519,C519), 'Judge Count DO NOT EDIT'!H:H, 1, FALSE)), "ERROR","")</f>
        <v/>
      </c>
      <c r="Q519" s="141"/>
      <c r="R519" s="143"/>
      <c r="S519" s="139" t="str">
        <f t="shared" si="2"/>
        <v>1168249</v>
      </c>
      <c r="T519" s="141"/>
    </row>
    <row r="520">
      <c r="A520" s="137">
        <f>IFERROR(__xludf.DUMMYFUNCTION("""COMPUTED_VALUE"""),45352.58338013889)</f>
        <v>45352.58338</v>
      </c>
      <c r="B520" s="138" t="str">
        <f>IFERROR(__xludf.DUMMYFUNCTION("""COMPUTED_VALUE"""),"Terrence")</f>
        <v>Terrence</v>
      </c>
      <c r="C520" s="138">
        <f>IFERROR(__xludf.DUMMYFUNCTION("""COMPUTED_VALUE"""),1144.0)</f>
        <v>1144</v>
      </c>
      <c r="D520" s="139">
        <f>IFERROR(__xludf.DUMMYFUNCTION("""COMPUTED_VALUE"""),249.0)</f>
        <v>249</v>
      </c>
      <c r="E520" s="138">
        <f>IFERROR(__xludf.DUMMYFUNCTION("""COMPUTED_VALUE"""),3.0)</f>
        <v>3</v>
      </c>
      <c r="F520" s="138">
        <f>IFERROR(__xludf.DUMMYFUNCTION("""COMPUTED_VALUE"""),3.0)</f>
        <v>3</v>
      </c>
      <c r="G520" s="138">
        <f>IFERROR(__xludf.DUMMYFUNCTION("""COMPUTED_VALUE"""),4.0)</f>
        <v>4</v>
      </c>
      <c r="H520" s="138">
        <f>IFERROR(__xludf.DUMMYFUNCTION("""COMPUTED_VALUE"""),4.0)</f>
        <v>4</v>
      </c>
      <c r="I520" s="138">
        <f>IFERROR(__xludf.DUMMYFUNCTION("""COMPUTED_VALUE"""),3.0)</f>
        <v>3</v>
      </c>
      <c r="J520" s="138">
        <f>IFERROR(__xludf.DUMMYFUNCTION("""COMPUTED_VALUE"""),2.0)</f>
        <v>2</v>
      </c>
      <c r="K520" s="138">
        <f>IFERROR(__xludf.DUMMYFUNCTION("""COMPUTED_VALUE"""),3.0)</f>
        <v>3</v>
      </c>
      <c r="L520" s="138">
        <v>22.0</v>
      </c>
      <c r="M520" s="140" t="str">
        <f>VLOOKUP(text(D520, "#"),'Master Table'!$A:$F, 6, FALSE)</f>
        <v>C-7</v>
      </c>
      <c r="N520" s="141" t="str">
        <f>IFERROR(__xludf.DUMMYFUNCTION("""COMPUTED_VALUE"""),"Fascinating findings, very good pwpt slides with great chart info. Not in the field so couldn’t understand some lingo.  Presenter spoke loud and clear, could use more eye contact and less “umms” but it don’t distract from the information")</f>
        <v>Fascinating findings, very good pwpt slides with great chart info. Not in the field so couldn’t understand some lingo.  Presenter spoke loud and clear, could use more eye contact and less “umms” but it don’t distract from the information</v>
      </c>
      <c r="O520" s="142" t="str">
        <f t="shared" si="1"/>
        <v/>
      </c>
      <c r="P520" s="143" t="str">
        <f>IF(ISNA(VLOOKUP(CONCAT(M520,C520), 'Judge Count DO NOT EDIT'!H:H, 1, FALSE)), "ERROR","")</f>
        <v/>
      </c>
      <c r="Q520" s="141"/>
      <c r="R520" s="143"/>
      <c r="S520" s="139" t="str">
        <f t="shared" si="2"/>
        <v>1144249</v>
      </c>
      <c r="T520" s="141"/>
    </row>
    <row r="521">
      <c r="A521" s="137">
        <f>IFERROR(__xludf.DUMMYFUNCTION("""COMPUTED_VALUE"""),45352.600615625)</f>
        <v>45352.60062</v>
      </c>
      <c r="B521" s="138" t="str">
        <f>IFERROR(__xludf.DUMMYFUNCTION("""COMPUTED_VALUE"""),"Colin McGrane")</f>
        <v>Colin McGrane</v>
      </c>
      <c r="C521" s="138">
        <f>IFERROR(__xludf.DUMMYFUNCTION("""COMPUTED_VALUE"""),1142.0)</f>
        <v>1142</v>
      </c>
      <c r="D521" s="139">
        <f>IFERROR(__xludf.DUMMYFUNCTION("""COMPUTED_VALUE"""),249.0)</f>
        <v>249</v>
      </c>
      <c r="E521" s="138">
        <f>IFERROR(__xludf.DUMMYFUNCTION("""COMPUTED_VALUE"""),5.0)</f>
        <v>5</v>
      </c>
      <c r="F521" s="138">
        <f>IFERROR(__xludf.DUMMYFUNCTION("""COMPUTED_VALUE"""),5.0)</f>
        <v>5</v>
      </c>
      <c r="G521" s="138">
        <f>IFERROR(__xludf.DUMMYFUNCTION("""COMPUTED_VALUE"""),5.0)</f>
        <v>5</v>
      </c>
      <c r="H521" s="138">
        <f>IFERROR(__xludf.DUMMYFUNCTION("""COMPUTED_VALUE"""),5.0)</f>
        <v>5</v>
      </c>
      <c r="I521" s="138">
        <f>IFERROR(__xludf.DUMMYFUNCTION("""COMPUTED_VALUE"""),4.0)</f>
        <v>4</v>
      </c>
      <c r="J521" s="138">
        <f>IFERROR(__xludf.DUMMYFUNCTION("""COMPUTED_VALUE"""),5.0)</f>
        <v>5</v>
      </c>
      <c r="K521" s="138">
        <f>IFERROR(__xludf.DUMMYFUNCTION("""COMPUTED_VALUE"""),5.0)</f>
        <v>5</v>
      </c>
      <c r="L521" s="138">
        <v>34.0</v>
      </c>
      <c r="M521" s="140" t="str">
        <f>VLOOKUP(text(D521, "#"),'Master Table'!$A:$F, 6, FALSE)</f>
        <v>C-7</v>
      </c>
      <c r="N521" s="141" t="str">
        <f>IFERROR(__xludf.DUMMYFUNCTION("""COMPUTED_VALUE"""),"Great talk, thank you! I thought your presentation was clear, had the right amount of motivation, and you did a fine job at conveying complicated methods to an audience that mixed with experts and non-experts (like me!) 
I really appreciate the fact that"&amp;" you presented on data and work that actually did not result in ""a candidate"". The reason why this is important is because as researchers, we can often feel that presenting or publishing on work that didn't result in the big result we were looking for c"&amp;"an feel disappointing-- but the result here is that you didn't find a candidate with the methods and data you used... there's nothing wrong with that! Disseminating these results ameliorates issues with ""grey literature"" and what is called ""the file dr"&amp;"awer problem"". The file drawer problem is essentially the idea that ""insignificant"" results are often not published because they don't have ""pizazz"" or they are not ""flashy"" and they are sent to a file drawer to live forever, unread. The problem wi"&amp;"th this is that the lack of this data out there could imply to another researcher elsewhere interested in the same question to repeat the exact process to find similar results-- when they wouldn't have to if they had heard about this so-called ""insignifi"&amp;"cant"" result. 
Two comments I would have that might improve your talk is to reduce text-heavy slides and try not to allow yourself to fidget or repeat certain motions as much. I know it is nerve-wracking to be up there in front of professors and others "&amp;"you don't know. Just for your information, if you did not notice yourself, I noticed a few motions/actions that you repeated several times potentially subconsciously-- adjusting your glasses, moving your hair, saying ""um"" and putting your hands in and o"&amp;"ut of your pockets. I'm not saying this detracted from your talk all that much, but as a constructive criticism from someone who deals with anxiety in front of groups while public speaking, sometimes it is helpful to hear from someone what those motions w"&amp;"ere so that you might work on reducing them in the future. 
It was great to see you succeeding in this field and I want to motivate you to continue and build on the skills you already have-- keep up the great work!! ")</f>
        <v>Great talk, thank you! I thought your presentation was clear, had the right amount of motivation, and you did a fine job at conveying complicated methods to an audience that mixed with experts and non-experts (like me!) 
I really appreciate the fact that you presented on data and work that actually did not result in "a candidate". The reason why this is important is because as researchers, we can often feel that presenting or publishing on work that didn't result in the big result we were looking for can feel disappointing-- but the result here is that you didn't find a candidate with the methods and data you used... there's nothing wrong with that! Disseminating these results ameliorates issues with "grey literature" and what is called "the file drawer problem". The file drawer problem is essentially the idea that "insignificant" results are often not published because they don't have "pizazz" or they are not "flashy" and they are sent to a file drawer to live forever, unread. The problem with this is that the lack of this data out there could imply to another researcher elsewhere interested in the same question to repeat the exact process to find similar results-- when they wouldn't have to if they had heard about this so-called "insignificant" result. 
Two comments I would have that might improve your talk is to reduce text-heavy slides and try not to allow yourself to fidget or repeat certain motions as much. I know it is nerve-wracking to be up there in front of professors and others you don't know. Just for your information, if you did not notice yourself, I noticed a few motions/actions that you repeated several times potentially subconsciously-- adjusting your glasses, moving your hair, saying "um" and putting your hands in and out of your pockets. I'm not saying this detracted from your talk all that much, but as a constructive criticism from someone who deals with anxiety in front of groups while public speaking, sometimes it is helpful to hear from someone what those motions were so that you might work on reducing them in the future. 
It was great to see you succeeding in this field and I want to motivate you to continue and build on the skills you already have-- keep up the great work!! </v>
      </c>
      <c r="O521" s="142" t="str">
        <f t="shared" si="1"/>
        <v/>
      </c>
      <c r="P521" s="143" t="str">
        <f>IF(ISNA(VLOOKUP(CONCAT(M521,C521), 'Judge Count DO NOT EDIT'!H:H, 1, FALSE)), "ERROR","")</f>
        <v/>
      </c>
      <c r="Q521" s="141"/>
      <c r="R521" s="143"/>
      <c r="S521" s="139" t="str">
        <f t="shared" si="2"/>
        <v>1142249</v>
      </c>
      <c r="T521" s="141"/>
    </row>
    <row r="522">
      <c r="A522" s="137">
        <f>IFERROR(__xludf.DUMMYFUNCTION("""COMPUTED_VALUE"""),45352.60108142361)</f>
        <v>45352.60108</v>
      </c>
      <c r="B522" s="138" t="str">
        <f>IFERROR(__xludf.DUMMYFUNCTION("""COMPUTED_VALUE"""),"Crystal English")</f>
        <v>Crystal English</v>
      </c>
      <c r="C522" s="138">
        <f>IFERROR(__xludf.DUMMYFUNCTION("""COMPUTED_VALUE"""),1032.0)</f>
        <v>1032</v>
      </c>
      <c r="D522" s="139">
        <f>IFERROR(__xludf.DUMMYFUNCTION("""COMPUTED_VALUE"""),249.0)</f>
        <v>249</v>
      </c>
      <c r="E522" s="138">
        <f>IFERROR(__xludf.DUMMYFUNCTION("""COMPUTED_VALUE"""),4.0)</f>
        <v>4</v>
      </c>
      <c r="F522" s="138">
        <f>IFERROR(__xludf.DUMMYFUNCTION("""COMPUTED_VALUE"""),4.0)</f>
        <v>4</v>
      </c>
      <c r="G522" s="138">
        <f>IFERROR(__xludf.DUMMYFUNCTION("""COMPUTED_VALUE"""),4.0)</f>
        <v>4</v>
      </c>
      <c r="H522" s="138">
        <f>IFERROR(__xludf.DUMMYFUNCTION("""COMPUTED_VALUE"""),3.0)</f>
        <v>3</v>
      </c>
      <c r="I522" s="138">
        <f>IFERROR(__xludf.DUMMYFUNCTION("""COMPUTED_VALUE"""),2.0)</f>
        <v>2</v>
      </c>
      <c r="J522" s="138">
        <f>IFERROR(__xludf.DUMMYFUNCTION("""COMPUTED_VALUE"""),3.0)</f>
        <v>3</v>
      </c>
      <c r="K522" s="138">
        <f>IFERROR(__xludf.DUMMYFUNCTION("""COMPUTED_VALUE"""),2.0)</f>
        <v>2</v>
      </c>
      <c r="L522" s="138">
        <v>22.0</v>
      </c>
      <c r="M522" s="140" t="str">
        <f>VLOOKUP(text(D522, "#"),'Master Table'!$A:$F, 6, FALSE)</f>
        <v>C-7</v>
      </c>
      <c r="N522" s="141" t="str">
        <f>IFERROR(__xludf.DUMMYFUNCTION("""COMPUTED_VALUE"""),"The presentation slides were put together well. The presenter knew the material and could readily respond to questions. Needs much better eye contact with the audience. Spent a great deal of time talking to the slides instead of the audience. Also spoke v"&amp;"ery quickly and went very quickly through some key points in the methods and results.")</f>
        <v>The presentation slides were put together well. The presenter knew the material and could readily respond to questions. Needs much better eye contact with the audience. Spent a great deal of time talking to the slides instead of the audience. Also spoke very quickly and went very quickly through some key points in the methods and results.</v>
      </c>
      <c r="O522" s="142" t="str">
        <f t="shared" si="1"/>
        <v/>
      </c>
      <c r="P522" s="143" t="str">
        <f>IF(ISNA(VLOOKUP(CONCAT(M522,C522), 'Judge Count DO NOT EDIT'!H:H, 1, FALSE)), "ERROR","")</f>
        <v/>
      </c>
      <c r="Q522" s="141"/>
      <c r="R522" s="143"/>
      <c r="S522" s="139" t="str">
        <f t="shared" si="2"/>
        <v>1032249</v>
      </c>
      <c r="T522" s="141"/>
    </row>
    <row r="523">
      <c r="A523" s="137">
        <f>IFERROR(__xludf.DUMMYFUNCTION("""COMPUTED_VALUE"""),45352.597808136576)</f>
        <v>45352.59781</v>
      </c>
      <c r="B523" s="138" t="str">
        <f>IFERROR(__xludf.DUMMYFUNCTION("""COMPUTED_VALUE"""),"Xin Wang")</f>
        <v>Xin Wang</v>
      </c>
      <c r="C523" s="138">
        <f>IFERROR(__xludf.DUMMYFUNCTION("""COMPUTED_VALUE"""),1168.0)</f>
        <v>1168</v>
      </c>
      <c r="D523" s="139">
        <f>IFERROR(__xludf.DUMMYFUNCTION("""COMPUTED_VALUE"""),250.0)</f>
        <v>250</v>
      </c>
      <c r="E523" s="138">
        <f>IFERROR(__xludf.DUMMYFUNCTION("""COMPUTED_VALUE"""),4.0)</f>
        <v>4</v>
      </c>
      <c r="F523" s="138">
        <f>IFERROR(__xludf.DUMMYFUNCTION("""COMPUTED_VALUE"""),4.0)</f>
        <v>4</v>
      </c>
      <c r="G523" s="138">
        <f>IFERROR(__xludf.DUMMYFUNCTION("""COMPUTED_VALUE"""),3.0)</f>
        <v>3</v>
      </c>
      <c r="H523" s="138">
        <f>IFERROR(__xludf.DUMMYFUNCTION("""COMPUTED_VALUE"""),3.0)</f>
        <v>3</v>
      </c>
      <c r="I523" s="138">
        <f>IFERROR(__xludf.DUMMYFUNCTION("""COMPUTED_VALUE"""),3.0)</f>
        <v>3</v>
      </c>
      <c r="J523" s="138">
        <f>IFERROR(__xludf.DUMMYFUNCTION("""COMPUTED_VALUE"""),3.0)</f>
        <v>3</v>
      </c>
      <c r="K523" s="138">
        <f>IFERROR(__xludf.DUMMYFUNCTION("""COMPUTED_VALUE"""),4.0)</f>
        <v>4</v>
      </c>
      <c r="L523" s="138">
        <v>24.0</v>
      </c>
      <c r="M523" s="140" t="str">
        <f>VLOOKUP(text(D523, "#"),'Master Table'!$A:$F, 6, FALSE)</f>
        <v>C-7</v>
      </c>
      <c r="N523" s="141"/>
      <c r="O523" s="142" t="str">
        <f t="shared" si="1"/>
        <v/>
      </c>
      <c r="P523" s="143" t="str">
        <f>IF(ISNA(VLOOKUP(CONCAT(M523,C523), 'Judge Count DO NOT EDIT'!H:H, 1, FALSE)), "ERROR","")</f>
        <v/>
      </c>
      <c r="Q523" s="141"/>
      <c r="R523" s="143"/>
      <c r="S523" s="139" t="str">
        <f t="shared" si="2"/>
        <v>1168250</v>
      </c>
      <c r="T523" s="141"/>
    </row>
    <row r="524">
      <c r="A524" s="137">
        <f>IFERROR(__xludf.DUMMYFUNCTION("""COMPUTED_VALUE"""),45352.59949748842)</f>
        <v>45352.5995</v>
      </c>
      <c r="B524" s="138" t="str">
        <f>IFERROR(__xludf.DUMMYFUNCTION("""COMPUTED_VALUE"""),"Terrence")</f>
        <v>Terrence</v>
      </c>
      <c r="C524" s="138">
        <f>IFERROR(__xludf.DUMMYFUNCTION("""COMPUTED_VALUE"""),1144.0)</f>
        <v>1144</v>
      </c>
      <c r="D524" s="139">
        <f>IFERROR(__xludf.DUMMYFUNCTION("""COMPUTED_VALUE"""),250.0)</f>
        <v>250</v>
      </c>
      <c r="E524" s="138">
        <f>IFERROR(__xludf.DUMMYFUNCTION("""COMPUTED_VALUE"""),4.0)</f>
        <v>4</v>
      </c>
      <c r="F524" s="138">
        <f>IFERROR(__xludf.DUMMYFUNCTION("""COMPUTED_VALUE"""),3.0)</f>
        <v>3</v>
      </c>
      <c r="G524" s="138">
        <f>IFERROR(__xludf.DUMMYFUNCTION("""COMPUTED_VALUE"""),5.0)</f>
        <v>5</v>
      </c>
      <c r="H524" s="138">
        <f>IFERROR(__xludf.DUMMYFUNCTION("""COMPUTED_VALUE"""),4.0)</f>
        <v>4</v>
      </c>
      <c r="I524" s="138">
        <f>IFERROR(__xludf.DUMMYFUNCTION("""COMPUTED_VALUE"""),3.0)</f>
        <v>3</v>
      </c>
      <c r="J524" s="138">
        <f>IFERROR(__xludf.DUMMYFUNCTION("""COMPUTED_VALUE"""),3.0)</f>
        <v>3</v>
      </c>
      <c r="K524" s="138">
        <f>IFERROR(__xludf.DUMMYFUNCTION("""COMPUTED_VALUE"""),4.0)</f>
        <v>4</v>
      </c>
      <c r="L524" s="138">
        <v>26.0</v>
      </c>
      <c r="M524" s="140" t="str">
        <f>VLOOKUP(text(D524, "#"),'Master Table'!$A:$F, 6, FALSE)</f>
        <v>C-7</v>
      </c>
      <c r="N524" s="141" t="str">
        <f>IFERROR(__xludf.DUMMYFUNCTION("""COMPUTED_VALUE"""),"Very significant research to help first responders with forest fires in the future
Great charts and info on slides
Presenter spoke clearly, could more eye contact throughout the room versus one area only")</f>
        <v>Very significant research to help first responders with forest fires in the future
Great charts and info on slides
Presenter spoke clearly, could more eye contact throughout the room versus one area only</v>
      </c>
      <c r="O524" s="142" t="str">
        <f t="shared" si="1"/>
        <v/>
      </c>
      <c r="P524" s="143" t="str">
        <f>IF(ISNA(VLOOKUP(CONCAT(M524,C524), 'Judge Count DO NOT EDIT'!H:H, 1, FALSE)), "ERROR","")</f>
        <v/>
      </c>
      <c r="Q524" s="141"/>
      <c r="R524" s="143"/>
      <c r="S524" s="139" t="str">
        <f t="shared" si="2"/>
        <v>1144250</v>
      </c>
      <c r="T524" s="141"/>
    </row>
    <row r="525">
      <c r="A525" s="137">
        <f>IFERROR(__xludf.DUMMYFUNCTION("""COMPUTED_VALUE"""),45352.60429392361)</f>
        <v>45352.60429</v>
      </c>
      <c r="B525" s="138" t="str">
        <f>IFERROR(__xludf.DUMMYFUNCTION("""COMPUTED_VALUE"""),"Crystal English")</f>
        <v>Crystal English</v>
      </c>
      <c r="C525" s="138">
        <f>IFERROR(__xludf.DUMMYFUNCTION("""COMPUTED_VALUE"""),1032.0)</f>
        <v>1032</v>
      </c>
      <c r="D525" s="139">
        <f>IFERROR(__xludf.DUMMYFUNCTION("""COMPUTED_VALUE"""),250.0)</f>
        <v>250</v>
      </c>
      <c r="E525" s="138">
        <f>IFERROR(__xludf.DUMMYFUNCTION("""COMPUTED_VALUE"""),4.0)</f>
        <v>4</v>
      </c>
      <c r="F525" s="138">
        <f>IFERROR(__xludf.DUMMYFUNCTION("""COMPUTED_VALUE"""),4.0)</f>
        <v>4</v>
      </c>
      <c r="G525" s="138">
        <f>IFERROR(__xludf.DUMMYFUNCTION("""COMPUTED_VALUE"""),5.0)</f>
        <v>5</v>
      </c>
      <c r="H525" s="138">
        <f>IFERROR(__xludf.DUMMYFUNCTION("""COMPUTED_VALUE"""),4.0)</f>
        <v>4</v>
      </c>
      <c r="I525" s="138">
        <f>IFERROR(__xludf.DUMMYFUNCTION("""COMPUTED_VALUE"""),4.0)</f>
        <v>4</v>
      </c>
      <c r="J525" s="138">
        <f>IFERROR(__xludf.DUMMYFUNCTION("""COMPUTED_VALUE"""),4.0)</f>
        <v>4</v>
      </c>
      <c r="K525" s="138">
        <f>IFERROR(__xludf.DUMMYFUNCTION("""COMPUTED_VALUE"""),5.0)</f>
        <v>5</v>
      </c>
      <c r="L525" s="138">
        <v>30.0</v>
      </c>
      <c r="M525" s="140" t="str">
        <f>VLOOKUP(text(D525, "#"),'Master Table'!$A:$F, 6, FALSE)</f>
        <v>C-7</v>
      </c>
      <c r="N525" s="141" t="str">
        <f>IFERROR(__xludf.DUMMYFUNCTION("""COMPUTED_VALUE"""),"Presenter answered questions very well. Needed to present to the whole room, not just one side of it. The presenter also needed to  project a little more. At times, she was difficult to hear. The organization of the slides was very good. ")</f>
        <v>Presenter answered questions very well. Needed to present to the whole room, not just one side of it. The presenter also needed to  project a little more. At times, she was difficult to hear. The organization of the slides was very good. </v>
      </c>
      <c r="O525" s="142" t="str">
        <f t="shared" si="1"/>
        <v>TRUE</v>
      </c>
      <c r="P525" s="143" t="str">
        <f>IF(ISNA(VLOOKUP(CONCAT(M525,C525), 'Judge Count DO NOT EDIT'!H:H, 1, FALSE)), "ERROR","")</f>
        <v/>
      </c>
      <c r="Q525" s="141"/>
      <c r="R525" s="143"/>
      <c r="S525" s="139" t="str">
        <f t="shared" si="2"/>
        <v>1032250</v>
      </c>
      <c r="T525" s="141"/>
    </row>
    <row r="526">
      <c r="A526" s="137">
        <f>IFERROR(__xludf.DUMMYFUNCTION("""COMPUTED_VALUE"""),45352.60518028935)</f>
        <v>45352.60518</v>
      </c>
      <c r="B526" s="138" t="str">
        <f>IFERROR(__xludf.DUMMYFUNCTION("""COMPUTED_VALUE"""),"Colin McGrane")</f>
        <v>Colin McGrane</v>
      </c>
      <c r="C526" s="138">
        <f>IFERROR(__xludf.DUMMYFUNCTION("""COMPUTED_VALUE"""),1142.0)</f>
        <v>1142</v>
      </c>
      <c r="D526" s="139">
        <f>IFERROR(__xludf.DUMMYFUNCTION("""COMPUTED_VALUE"""),250.0)</f>
        <v>250</v>
      </c>
      <c r="E526" s="138">
        <f>IFERROR(__xludf.DUMMYFUNCTION("""COMPUTED_VALUE"""),5.0)</f>
        <v>5</v>
      </c>
      <c r="F526" s="138">
        <f>IFERROR(__xludf.DUMMYFUNCTION("""COMPUTED_VALUE"""),5.0)</f>
        <v>5</v>
      </c>
      <c r="G526" s="138">
        <f>IFERROR(__xludf.DUMMYFUNCTION("""COMPUTED_VALUE"""),5.0)</f>
        <v>5</v>
      </c>
      <c r="H526" s="138">
        <f>IFERROR(__xludf.DUMMYFUNCTION("""COMPUTED_VALUE"""),5.0)</f>
        <v>5</v>
      </c>
      <c r="I526" s="138">
        <f>IFERROR(__xludf.DUMMYFUNCTION("""COMPUTED_VALUE"""),5.0)</f>
        <v>5</v>
      </c>
      <c r="J526" s="138">
        <f>IFERROR(__xludf.DUMMYFUNCTION("""COMPUTED_VALUE"""),5.0)</f>
        <v>5</v>
      </c>
      <c r="K526" s="138">
        <f>IFERROR(__xludf.DUMMYFUNCTION("""COMPUTED_VALUE"""),5.0)</f>
        <v>5</v>
      </c>
      <c r="L526" s="138">
        <v>35.0</v>
      </c>
      <c r="M526" s="140" t="str">
        <f>VLOOKUP(text(D526, "#"),'Master Table'!$A:$F, 6, FALSE)</f>
        <v>C-7</v>
      </c>
      <c r="N526" s="141" t="str">
        <f>IFERROR(__xludf.DUMMYFUNCTION("""COMPUTED_VALUE"""),"Thanks for a great talk! I think you are not only a great researcher, but also a great teacher-- I learned something during your talk and that's more I can say for some others I saw today! I think this is important work because as I said in my comment/que"&amp;"stion after your talk, results from your work can save lives when this type of fire event inevitably occurs again. Your talk was clear and understandable with lots of information to convey in a short time, and you did a great job of speaking to the audien"&amp;"ce that was a mix of experts and non-experts (like me!) One thing I would comment on that might improve the experience of the audience in your talks is the reduction of text-heavy slides. This did not occur too often in your talk, but It can be overwhelmi"&amp;"ng when there is a lot of text on a slide and it feels like we are meant to read all of it. In reality, it seems the audience soaks in a lot more of the information you are speaking rather than what we read on a slide. That being said, you can reduce the "&amp;"amount of detailed text information that is already being spoken and if anyone has any questions about it, there is always time for them to ask for clarification afterwards. It is a careful balance though, I know. It was great seeing you succeed in this f"&amp;"ield and I want to encourage you to keep up the great work! ")</f>
        <v>Thanks for a great talk! I think you are not only a great researcher, but also a great teacher-- I learned something during your talk and that's more I can say for some others I saw today! I think this is important work because as I said in my comment/question after your talk, results from your work can save lives when this type of fire event inevitably occurs again. Your talk was clear and understandable with lots of information to convey in a short time, and you did a great job of speaking to the audience that was a mix of experts and non-experts (like me!) One thing I would comment on that might improve the experience of the audience in your talks is the reduction of text-heavy slides. This did not occur too often in your talk, but It can be overwhelming when there is a lot of text on a slide and it feels like we are meant to read all of it. In reality, it seems the audience soaks in a lot more of the information you are speaking rather than what we read on a slide. That being said, you can reduce the amount of detailed text information that is already being spoken and if anyone has any questions about it, there is always time for them to ask for clarification afterwards. It is a careful balance though, I know. It was great seeing you succeed in this field and I want to encourage you to keep up the great work! </v>
      </c>
      <c r="O526" s="142" t="str">
        <f t="shared" si="1"/>
        <v/>
      </c>
      <c r="P526" s="143" t="str">
        <f>IF(ISNA(VLOOKUP(CONCAT(M526,C526), 'Judge Count DO NOT EDIT'!H:H, 1, FALSE)), "ERROR","")</f>
        <v/>
      </c>
      <c r="Q526" s="141"/>
      <c r="R526" s="143"/>
      <c r="S526" s="139" t="str">
        <f t="shared" si="2"/>
        <v>1142250</v>
      </c>
      <c r="T526" s="141"/>
    </row>
    <row r="527">
      <c r="A527" s="137">
        <f>IFERROR(__xludf.DUMMYFUNCTION("""COMPUTED_VALUE"""),45352.74491637731)</f>
        <v>45352.74492</v>
      </c>
      <c r="B527" s="138" t="str">
        <f>IFERROR(__xludf.DUMMYFUNCTION("""COMPUTED_VALUE"""),"Crystal English")</f>
        <v>Crystal English</v>
      </c>
      <c r="C527" s="138">
        <f>IFERROR(__xludf.DUMMYFUNCTION("""COMPUTED_VALUE"""),1032.0)</f>
        <v>1032</v>
      </c>
      <c r="D527" s="139">
        <f>IFERROR(__xludf.DUMMYFUNCTION("""COMPUTED_VALUE"""),250.0)</f>
        <v>250</v>
      </c>
      <c r="E527" s="138">
        <f>IFERROR(__xludf.DUMMYFUNCTION("""COMPUTED_VALUE"""),4.0)</f>
        <v>4</v>
      </c>
      <c r="F527" s="138">
        <f>IFERROR(__xludf.DUMMYFUNCTION("""COMPUTED_VALUE"""),4.0)</f>
        <v>4</v>
      </c>
      <c r="G527" s="138">
        <f>IFERROR(__xludf.DUMMYFUNCTION("""COMPUTED_VALUE"""),5.0)</f>
        <v>5</v>
      </c>
      <c r="H527" s="138">
        <f>IFERROR(__xludf.DUMMYFUNCTION("""COMPUTED_VALUE"""),4.0)</f>
        <v>4</v>
      </c>
      <c r="I527" s="138">
        <f>IFERROR(__xludf.DUMMYFUNCTION("""COMPUTED_VALUE"""),4.0)</f>
        <v>4</v>
      </c>
      <c r="J527" s="138">
        <f>IFERROR(__xludf.DUMMYFUNCTION("""COMPUTED_VALUE"""),4.0)</f>
        <v>4</v>
      </c>
      <c r="K527" s="138">
        <f>IFERROR(__xludf.DUMMYFUNCTION("""COMPUTED_VALUE"""),4.0)</f>
        <v>4</v>
      </c>
      <c r="L527" s="138">
        <v>29.0</v>
      </c>
      <c r="M527" s="140" t="str">
        <f>VLOOKUP(text(D527, "#"),'Master Table'!$A:$F, 6, FALSE)</f>
        <v>C-7</v>
      </c>
      <c r="N527" s="141" t="str">
        <f>IFERROR(__xludf.DUMMYFUNCTION("""COMPUTED_VALUE"""),"Very nice presentation. She knew her  material and was able to respond appropriately to audience questions. Consider indicating the area (size) of the study, meaning, how many acres the study covers. Also, include a little more detail on the process of di"&amp;"fferentiating between dead trees and new growth or live trees.")</f>
        <v>Very nice presentation. She knew her  material and was able to respond appropriately to audience questions. Consider indicating the area (size) of the study, meaning, how many acres the study covers. Also, include a little more detail on the process of differentiating between dead trees and new growth or live trees.</v>
      </c>
      <c r="O527" s="142" t="str">
        <f t="shared" si="1"/>
        <v>TRUE</v>
      </c>
      <c r="P527" s="143" t="str">
        <f>IF(ISNA(VLOOKUP(CONCAT(M527,C527), 'Judge Count DO NOT EDIT'!H:H, 1, FALSE)), "ERROR","")</f>
        <v/>
      </c>
      <c r="Q527" s="141"/>
      <c r="R527" s="143"/>
      <c r="S527" s="139" t="str">
        <f t="shared" si="2"/>
        <v>1032250</v>
      </c>
      <c r="T527" s="141"/>
    </row>
    <row r="528">
      <c r="A528" s="137">
        <f>IFERROR(__xludf.DUMMYFUNCTION("""COMPUTED_VALUE"""),45352.556495983794)</f>
        <v>45352.5565</v>
      </c>
      <c r="B528" s="138" t="str">
        <f>IFERROR(__xludf.DUMMYFUNCTION("""COMPUTED_VALUE"""),"Sara Cruz ")</f>
        <v>Sara Cruz </v>
      </c>
      <c r="C528" s="138">
        <f>IFERROR(__xludf.DUMMYFUNCTION("""COMPUTED_VALUE"""),1197.0)</f>
        <v>1197</v>
      </c>
      <c r="D528" s="139">
        <f>IFERROR(__xludf.DUMMYFUNCTION("""COMPUTED_VALUE"""),251.0)</f>
        <v>251</v>
      </c>
      <c r="E528" s="138">
        <f>IFERROR(__xludf.DUMMYFUNCTION("""COMPUTED_VALUE"""),5.0)</f>
        <v>5</v>
      </c>
      <c r="F528" s="138">
        <f>IFERROR(__xludf.DUMMYFUNCTION("""COMPUTED_VALUE"""),5.0)</f>
        <v>5</v>
      </c>
      <c r="G528" s="138">
        <f>IFERROR(__xludf.DUMMYFUNCTION("""COMPUTED_VALUE"""),5.0)</f>
        <v>5</v>
      </c>
      <c r="H528" s="138">
        <f>IFERROR(__xludf.DUMMYFUNCTION("""COMPUTED_VALUE"""),5.0)</f>
        <v>5</v>
      </c>
      <c r="I528" s="138">
        <f>IFERROR(__xludf.DUMMYFUNCTION("""COMPUTED_VALUE"""),4.0)</f>
        <v>4</v>
      </c>
      <c r="J528" s="138">
        <f>IFERROR(__xludf.DUMMYFUNCTION("""COMPUTED_VALUE"""),5.0)</f>
        <v>5</v>
      </c>
      <c r="K528" s="138">
        <f>IFERROR(__xludf.DUMMYFUNCTION("""COMPUTED_VALUE"""),5.0)</f>
        <v>5</v>
      </c>
      <c r="L528" s="138">
        <v>34.0</v>
      </c>
      <c r="M528" s="140" t="str">
        <f>VLOOKUP(text(D528, "#"),'Master Table'!$A:$F, 6, FALSE)</f>
        <v>C-8</v>
      </c>
      <c r="N528" s="141" t="str">
        <f>IFERROR(__xludf.DUMMYFUNCTION("""COMPUTED_VALUE"""),"Phenomenal presentation and very informative. ")</f>
        <v>Phenomenal presentation and very informative. </v>
      </c>
      <c r="O528" s="142" t="str">
        <f t="shared" si="1"/>
        <v/>
      </c>
      <c r="P528" s="143" t="str">
        <f>IF(ISNA(VLOOKUP(CONCAT(M528,C528), 'Judge Count DO NOT EDIT'!H:H, 1, FALSE)), "ERROR","")</f>
        <v/>
      </c>
      <c r="Q528" s="144"/>
      <c r="R528" s="143"/>
      <c r="S528" s="139" t="str">
        <f t="shared" si="2"/>
        <v>1197251</v>
      </c>
      <c r="T528" s="141"/>
    </row>
    <row r="529">
      <c r="A529" s="137">
        <f>IFERROR(__xludf.DUMMYFUNCTION("""COMPUTED_VALUE"""),45352.621534826394)</f>
        <v>45352.62153</v>
      </c>
      <c r="B529" s="138" t="str">
        <f>IFERROR(__xludf.DUMMYFUNCTION("""COMPUTED_VALUE"""),"Sean")</f>
        <v>Sean</v>
      </c>
      <c r="C529" s="138">
        <f>IFERROR(__xludf.DUMMYFUNCTION("""COMPUTED_VALUE"""),1184.0)</f>
        <v>1184</v>
      </c>
      <c r="D529" s="139">
        <f>IFERROR(__xludf.DUMMYFUNCTION("""COMPUTED_VALUE"""),251.0)</f>
        <v>251</v>
      </c>
      <c r="E529" s="138">
        <f>IFERROR(__xludf.DUMMYFUNCTION("""COMPUTED_VALUE"""),5.0)</f>
        <v>5</v>
      </c>
      <c r="F529" s="138">
        <f>IFERROR(__xludf.DUMMYFUNCTION("""COMPUTED_VALUE"""),4.0)</f>
        <v>4</v>
      </c>
      <c r="G529" s="138">
        <f>IFERROR(__xludf.DUMMYFUNCTION("""COMPUTED_VALUE"""),5.0)</f>
        <v>5</v>
      </c>
      <c r="H529" s="138">
        <f>IFERROR(__xludf.DUMMYFUNCTION("""COMPUTED_VALUE"""),5.0)</f>
        <v>5</v>
      </c>
      <c r="I529" s="138">
        <f>IFERROR(__xludf.DUMMYFUNCTION("""COMPUTED_VALUE"""),4.0)</f>
        <v>4</v>
      </c>
      <c r="J529" s="138">
        <f>IFERROR(__xludf.DUMMYFUNCTION("""COMPUTED_VALUE"""),4.0)</f>
        <v>4</v>
      </c>
      <c r="K529" s="138">
        <f>IFERROR(__xludf.DUMMYFUNCTION("""COMPUTED_VALUE"""),4.0)</f>
        <v>4</v>
      </c>
      <c r="L529" s="138">
        <v>31.0</v>
      </c>
      <c r="M529" s="140" t="str">
        <f>VLOOKUP(text(D529, "#"),'Master Table'!$A:$F, 6, FALSE)</f>
        <v>C-8</v>
      </c>
      <c r="N529" s="141"/>
      <c r="O529" s="142" t="str">
        <f t="shared" si="1"/>
        <v/>
      </c>
      <c r="P529" s="143" t="str">
        <f>IF(ISNA(VLOOKUP(CONCAT(M529,C529), 'Judge Count DO NOT EDIT'!H:H, 1, FALSE)), "ERROR","")</f>
        <v/>
      </c>
      <c r="Q529" s="141"/>
      <c r="R529" s="143"/>
      <c r="S529" s="139" t="str">
        <f t="shared" si="2"/>
        <v>1184251</v>
      </c>
      <c r="T529" s="141"/>
    </row>
    <row r="530">
      <c r="A530" s="137">
        <f>IFERROR(__xludf.DUMMYFUNCTION("""COMPUTED_VALUE"""),45352.623429178246)</f>
        <v>45352.62343</v>
      </c>
      <c r="B530" s="138" t="str">
        <f>IFERROR(__xludf.DUMMYFUNCTION("""COMPUTED_VALUE"""),"Sean")</f>
        <v>Sean</v>
      </c>
      <c r="C530" s="138">
        <f>IFERROR(__xludf.DUMMYFUNCTION("""COMPUTED_VALUE"""),1184.0)</f>
        <v>1184</v>
      </c>
      <c r="D530" s="139">
        <f>IFERROR(__xludf.DUMMYFUNCTION("""COMPUTED_VALUE"""),252.0)</f>
        <v>252</v>
      </c>
      <c r="E530" s="138">
        <f>IFERROR(__xludf.DUMMYFUNCTION("""COMPUTED_VALUE"""),5.0)</f>
        <v>5</v>
      </c>
      <c r="F530" s="138">
        <f>IFERROR(__xludf.DUMMYFUNCTION("""COMPUTED_VALUE"""),4.0)</f>
        <v>4</v>
      </c>
      <c r="G530" s="138">
        <f>IFERROR(__xludf.DUMMYFUNCTION("""COMPUTED_VALUE"""),3.0)</f>
        <v>3</v>
      </c>
      <c r="H530" s="138">
        <f>IFERROR(__xludf.DUMMYFUNCTION("""COMPUTED_VALUE"""),4.0)</f>
        <v>4</v>
      </c>
      <c r="I530" s="138">
        <f>IFERROR(__xludf.DUMMYFUNCTION("""COMPUTED_VALUE"""),2.0)</f>
        <v>2</v>
      </c>
      <c r="J530" s="138">
        <f>IFERROR(__xludf.DUMMYFUNCTION("""COMPUTED_VALUE"""),3.0)</f>
        <v>3</v>
      </c>
      <c r="K530" s="138">
        <f>IFERROR(__xludf.DUMMYFUNCTION("""COMPUTED_VALUE"""),5.0)</f>
        <v>5</v>
      </c>
      <c r="L530" s="138">
        <v>26.0</v>
      </c>
      <c r="M530" s="140" t="str">
        <f>VLOOKUP(text(D530, "#"),'Master Table'!$A:$F, 6, FALSE)</f>
        <v>C-8</v>
      </c>
      <c r="N530" s="141" t="str">
        <f>IFERROR(__xludf.DUMMYFUNCTION("""COMPUTED_VALUE"""),"Someone needs to take a course in public speaking! Too many ""ahs"".")</f>
        <v>Someone needs to take a course in public speaking! Too many "ahs".</v>
      </c>
      <c r="O530" s="142" t="str">
        <f t="shared" si="1"/>
        <v/>
      </c>
      <c r="P530" s="143" t="str">
        <f>IF(ISNA(VLOOKUP(CONCAT(M530,C530), 'Judge Count DO NOT EDIT'!H:H, 1, FALSE)), "ERROR","")</f>
        <v/>
      </c>
      <c r="Q530" s="144"/>
      <c r="R530" s="143"/>
      <c r="S530" s="139" t="str">
        <f t="shared" si="2"/>
        <v>1184252</v>
      </c>
      <c r="T530" s="141"/>
    </row>
    <row r="531">
      <c r="A531" s="137">
        <f>IFERROR(__xludf.DUMMYFUNCTION("""COMPUTED_VALUE"""),45352.6241709375)</f>
        <v>45352.62417</v>
      </c>
      <c r="B531" s="138" t="str">
        <f>IFERROR(__xludf.DUMMYFUNCTION("""COMPUTED_VALUE"""),"Sean")</f>
        <v>Sean</v>
      </c>
      <c r="C531" s="138">
        <f>IFERROR(__xludf.DUMMYFUNCTION("""COMPUTED_VALUE"""),1184.0)</f>
        <v>1184</v>
      </c>
      <c r="D531" s="139">
        <f>IFERROR(__xludf.DUMMYFUNCTION("""COMPUTED_VALUE"""),253.0)</f>
        <v>253</v>
      </c>
      <c r="E531" s="138">
        <f>IFERROR(__xludf.DUMMYFUNCTION("""COMPUTED_VALUE"""),5.0)</f>
        <v>5</v>
      </c>
      <c r="F531" s="138">
        <f>IFERROR(__xludf.DUMMYFUNCTION("""COMPUTED_VALUE"""),5.0)</f>
        <v>5</v>
      </c>
      <c r="G531" s="138">
        <f>IFERROR(__xludf.DUMMYFUNCTION("""COMPUTED_VALUE"""),4.0)</f>
        <v>4</v>
      </c>
      <c r="H531" s="138">
        <f>IFERROR(__xludf.DUMMYFUNCTION("""COMPUTED_VALUE"""),4.0)</f>
        <v>4</v>
      </c>
      <c r="I531" s="138">
        <f>IFERROR(__xludf.DUMMYFUNCTION("""COMPUTED_VALUE"""),5.0)</f>
        <v>5</v>
      </c>
      <c r="J531" s="138">
        <f>IFERROR(__xludf.DUMMYFUNCTION("""COMPUTED_VALUE"""),5.0)</f>
        <v>5</v>
      </c>
      <c r="K531" s="138">
        <f>IFERROR(__xludf.DUMMYFUNCTION("""COMPUTED_VALUE"""),5.0)</f>
        <v>5</v>
      </c>
      <c r="L531" s="138">
        <v>33.0</v>
      </c>
      <c r="M531" s="140" t="str">
        <f>VLOOKUP(text(D531, "#"),'Master Table'!$A:$F, 6, FALSE)</f>
        <v>C-8</v>
      </c>
      <c r="N531" s="141"/>
      <c r="O531" s="142" t="str">
        <f t="shared" si="1"/>
        <v/>
      </c>
      <c r="P531" s="143" t="str">
        <f>IF(ISNA(VLOOKUP(CONCAT(M531,C531), 'Judge Count DO NOT EDIT'!H:H, 1, FALSE)), "ERROR","")</f>
        <v/>
      </c>
      <c r="Q531" s="141"/>
      <c r="R531" s="143"/>
      <c r="S531" s="139" t="str">
        <f t="shared" si="2"/>
        <v>1184253</v>
      </c>
      <c r="T531" s="141"/>
    </row>
    <row r="532">
      <c r="A532" s="137">
        <f>IFERROR(__xludf.DUMMYFUNCTION("""COMPUTED_VALUE"""),45352.62490746527)</f>
        <v>45352.62491</v>
      </c>
      <c r="B532" s="138" t="str">
        <f>IFERROR(__xludf.DUMMYFUNCTION("""COMPUTED_VALUE"""),"Sean")</f>
        <v>Sean</v>
      </c>
      <c r="C532" s="138">
        <f>IFERROR(__xludf.DUMMYFUNCTION("""COMPUTED_VALUE"""),1184.0)</f>
        <v>1184</v>
      </c>
      <c r="D532" s="139">
        <f>IFERROR(__xludf.DUMMYFUNCTION("""COMPUTED_VALUE"""),254.0)</f>
        <v>254</v>
      </c>
      <c r="E532" s="138">
        <f>IFERROR(__xludf.DUMMYFUNCTION("""COMPUTED_VALUE"""),5.0)</f>
        <v>5</v>
      </c>
      <c r="F532" s="138">
        <f>IFERROR(__xludf.DUMMYFUNCTION("""COMPUTED_VALUE"""),5.0)</f>
        <v>5</v>
      </c>
      <c r="G532" s="138">
        <f>IFERROR(__xludf.DUMMYFUNCTION("""COMPUTED_VALUE"""),5.0)</f>
        <v>5</v>
      </c>
      <c r="H532" s="138">
        <f>IFERROR(__xludf.DUMMYFUNCTION("""COMPUTED_VALUE"""),5.0)</f>
        <v>5</v>
      </c>
      <c r="I532" s="138">
        <f>IFERROR(__xludf.DUMMYFUNCTION("""COMPUTED_VALUE"""),5.0)</f>
        <v>5</v>
      </c>
      <c r="J532" s="138">
        <f>IFERROR(__xludf.DUMMYFUNCTION("""COMPUTED_VALUE"""),5.0)</f>
        <v>5</v>
      </c>
      <c r="K532" s="138">
        <f>IFERROR(__xludf.DUMMYFUNCTION("""COMPUTED_VALUE"""),5.0)</f>
        <v>5</v>
      </c>
      <c r="L532" s="138">
        <v>35.0</v>
      </c>
      <c r="M532" s="140" t="str">
        <f>VLOOKUP(text(D532, "#"),'Master Table'!$A:$F, 6, FALSE)</f>
        <v>C-8</v>
      </c>
      <c r="N532" s="141"/>
      <c r="O532" s="142" t="str">
        <f t="shared" si="1"/>
        <v/>
      </c>
      <c r="P532" s="143" t="str">
        <f>IF(ISNA(VLOOKUP(CONCAT(M532,C532), 'Judge Count DO NOT EDIT'!H:H, 1, FALSE)), "ERROR","")</f>
        <v/>
      </c>
      <c r="Q532" s="141"/>
      <c r="R532" s="143"/>
      <c r="S532" s="139" t="str">
        <f t="shared" si="2"/>
        <v>1184254</v>
      </c>
      <c r="T532" s="141"/>
    </row>
    <row r="533">
      <c r="A533" s="137">
        <f>IFERROR(__xludf.DUMMYFUNCTION("""COMPUTED_VALUE"""),45352.55459508102)</f>
        <v>45352.5546</v>
      </c>
      <c r="B533" s="138" t="str">
        <f>IFERROR(__xludf.DUMMYFUNCTION("""COMPUTED_VALUE"""),"Edwin Rodríguez ")</f>
        <v>Edwin Rodríguez </v>
      </c>
      <c r="C533" s="138">
        <f>IFERROR(__xludf.DUMMYFUNCTION("""COMPUTED_VALUE"""),1098.0)</f>
        <v>1098</v>
      </c>
      <c r="D533" s="139">
        <f>IFERROR(__xludf.DUMMYFUNCTION("""COMPUTED_VALUE"""),257.0)</f>
        <v>257</v>
      </c>
      <c r="E533" s="138">
        <f>IFERROR(__xludf.DUMMYFUNCTION("""COMPUTED_VALUE"""),4.0)</f>
        <v>4</v>
      </c>
      <c r="F533" s="138">
        <f>IFERROR(__xludf.DUMMYFUNCTION("""COMPUTED_VALUE"""),3.0)</f>
        <v>3</v>
      </c>
      <c r="G533" s="138">
        <f>IFERROR(__xludf.DUMMYFUNCTION("""COMPUTED_VALUE"""),4.0)</f>
        <v>4</v>
      </c>
      <c r="H533" s="138">
        <f>IFERROR(__xludf.DUMMYFUNCTION("""COMPUTED_VALUE"""),5.0)</f>
        <v>5</v>
      </c>
      <c r="I533" s="138">
        <f>IFERROR(__xludf.DUMMYFUNCTION("""COMPUTED_VALUE"""),3.0)</f>
        <v>3</v>
      </c>
      <c r="J533" s="138">
        <f>IFERROR(__xludf.DUMMYFUNCTION("""COMPUTED_VALUE"""),4.0)</f>
        <v>4</v>
      </c>
      <c r="K533" s="138">
        <f>IFERROR(__xludf.DUMMYFUNCTION("""COMPUTED_VALUE"""),3.0)</f>
        <v>3</v>
      </c>
      <c r="L533" s="138">
        <v>26.0</v>
      </c>
      <c r="M533" s="140" t="str">
        <f>VLOOKUP(text(D533, "#"),'Master Table'!$A:$F, 6, FALSE)</f>
        <v>C-9</v>
      </c>
      <c r="N533" s="141" t="str">
        <f>IFERROR(__xludf.DUMMYFUNCTION("""COMPUTED_VALUE"""),"Her explanation was clear and the visual aids were very understandable ")</f>
        <v>Her explanation was clear and the visual aids were very understandable </v>
      </c>
      <c r="O533" s="142" t="str">
        <f t="shared" si="1"/>
        <v/>
      </c>
      <c r="P533" s="143" t="str">
        <f>IF(ISNA(VLOOKUP(CONCAT(M533,C533), 'Judge Count DO NOT EDIT'!H:H, 1, FALSE)), "ERROR","")</f>
        <v/>
      </c>
      <c r="Q533" s="141"/>
      <c r="R533" s="143"/>
      <c r="S533" s="139" t="str">
        <f t="shared" si="2"/>
        <v>1098257</v>
      </c>
      <c r="T533" s="141"/>
    </row>
    <row r="534">
      <c r="A534" s="137">
        <f>IFERROR(__xludf.DUMMYFUNCTION("""COMPUTED_VALUE"""),45352.555586539354)</f>
        <v>45352.55559</v>
      </c>
      <c r="B534" s="138" t="str">
        <f>IFERROR(__xludf.DUMMYFUNCTION("""COMPUTED_VALUE"""),"Nitai Chandra Adak ")</f>
        <v>Nitai Chandra Adak </v>
      </c>
      <c r="C534" s="138">
        <f>IFERROR(__xludf.DUMMYFUNCTION("""COMPUTED_VALUE"""),1092.0)</f>
        <v>1092</v>
      </c>
      <c r="D534" s="139">
        <f>IFERROR(__xludf.DUMMYFUNCTION("""COMPUTED_VALUE"""),257.0)</f>
        <v>257</v>
      </c>
      <c r="E534" s="138">
        <f>IFERROR(__xludf.DUMMYFUNCTION("""COMPUTED_VALUE"""),3.0)</f>
        <v>3</v>
      </c>
      <c r="F534" s="138">
        <f>IFERROR(__xludf.DUMMYFUNCTION("""COMPUTED_VALUE"""),4.0)</f>
        <v>4</v>
      </c>
      <c r="G534" s="138">
        <f>IFERROR(__xludf.DUMMYFUNCTION("""COMPUTED_VALUE"""),3.0)</f>
        <v>3</v>
      </c>
      <c r="H534" s="138">
        <f>IFERROR(__xludf.DUMMYFUNCTION("""COMPUTED_VALUE"""),3.0)</f>
        <v>3</v>
      </c>
      <c r="I534" s="138">
        <f>IFERROR(__xludf.DUMMYFUNCTION("""COMPUTED_VALUE"""),3.0)</f>
        <v>3</v>
      </c>
      <c r="J534" s="138">
        <f>IFERROR(__xludf.DUMMYFUNCTION("""COMPUTED_VALUE"""),3.0)</f>
        <v>3</v>
      </c>
      <c r="K534" s="138">
        <f>IFERROR(__xludf.DUMMYFUNCTION("""COMPUTED_VALUE"""),3.0)</f>
        <v>3</v>
      </c>
      <c r="L534" s="138">
        <v>22.0</v>
      </c>
      <c r="M534" s="140" t="str">
        <f>VLOOKUP(text(D534, "#"),'Master Table'!$A:$F, 6, FALSE)</f>
        <v>C-9</v>
      </c>
      <c r="N534" s="141" t="str">
        <f>IFERROR(__xludf.DUMMYFUNCTION("""COMPUTED_VALUE"""),"Good work for identification of flaws in materials or structures ")</f>
        <v>Good work for identification of flaws in materials or structures </v>
      </c>
      <c r="O534" s="142" t="str">
        <f t="shared" si="1"/>
        <v/>
      </c>
      <c r="P534" s="143" t="str">
        <f>IF(ISNA(VLOOKUP(CONCAT(M534,C534), 'Judge Count DO NOT EDIT'!H:H, 1, FALSE)), "ERROR","")</f>
        <v/>
      </c>
      <c r="Q534" s="141"/>
      <c r="R534" s="143"/>
      <c r="S534" s="139" t="str">
        <f t="shared" si="2"/>
        <v>1092257</v>
      </c>
      <c r="T534" s="141"/>
    </row>
    <row r="535">
      <c r="A535" s="137">
        <f>IFERROR(__xludf.DUMMYFUNCTION("""COMPUTED_VALUE"""),45352.5581103588)</f>
        <v>45352.55811</v>
      </c>
      <c r="B535" s="138" t="str">
        <f>IFERROR(__xludf.DUMMYFUNCTION("""COMPUTED_VALUE"""),"Kenisha Shipley")</f>
        <v>Kenisha Shipley</v>
      </c>
      <c r="C535" s="138">
        <f>IFERROR(__xludf.DUMMYFUNCTION("""COMPUTED_VALUE"""),1014.0)</f>
        <v>1014</v>
      </c>
      <c r="D535" s="139">
        <f>IFERROR(__xludf.DUMMYFUNCTION("""COMPUTED_VALUE"""),257.0)</f>
        <v>257</v>
      </c>
      <c r="E535" s="138">
        <f>IFERROR(__xludf.DUMMYFUNCTION("""COMPUTED_VALUE"""),4.0)</f>
        <v>4</v>
      </c>
      <c r="F535" s="138">
        <f>IFERROR(__xludf.DUMMYFUNCTION("""COMPUTED_VALUE"""),4.0)</f>
        <v>4</v>
      </c>
      <c r="G535" s="138">
        <f>IFERROR(__xludf.DUMMYFUNCTION("""COMPUTED_VALUE"""),4.0)</f>
        <v>4</v>
      </c>
      <c r="H535" s="138">
        <f>IFERROR(__xludf.DUMMYFUNCTION("""COMPUTED_VALUE"""),3.0)</f>
        <v>3</v>
      </c>
      <c r="I535" s="138">
        <f>IFERROR(__xludf.DUMMYFUNCTION("""COMPUTED_VALUE"""),4.0)</f>
        <v>4</v>
      </c>
      <c r="J535" s="138">
        <f>IFERROR(__xludf.DUMMYFUNCTION("""COMPUTED_VALUE"""),5.0)</f>
        <v>5</v>
      </c>
      <c r="K535" s="138">
        <f>IFERROR(__xludf.DUMMYFUNCTION("""COMPUTED_VALUE"""),3.0)</f>
        <v>3</v>
      </c>
      <c r="L535" s="138">
        <v>27.0</v>
      </c>
      <c r="M535" s="140" t="str">
        <f>VLOOKUP(text(D535, "#"),'Master Table'!$A:$F, 6, FALSE)</f>
        <v>C-9</v>
      </c>
      <c r="N535" s="141" t="str">
        <f>IFERROR(__xludf.DUMMYFUNCTION("""COMPUTED_VALUE"""),"Very clear and concise presentation. Work on more audience interaction to provide a more engaging presentation. Overall great job.")</f>
        <v>Very clear and concise presentation. Work on more audience interaction to provide a more engaging presentation. Overall great job.</v>
      </c>
      <c r="O535" s="142" t="str">
        <f t="shared" si="1"/>
        <v/>
      </c>
      <c r="P535" s="143" t="str">
        <f>IF(ISNA(VLOOKUP(CONCAT(M535,C535), 'Judge Count DO NOT EDIT'!H:H, 1, FALSE)), "ERROR","")</f>
        <v/>
      </c>
      <c r="Q535" s="141"/>
      <c r="R535" s="143"/>
      <c r="S535" s="139" t="str">
        <f t="shared" si="2"/>
        <v>1014257</v>
      </c>
      <c r="T535" s="141"/>
    </row>
    <row r="536">
      <c r="A536" s="137">
        <f>IFERROR(__xludf.DUMMYFUNCTION("""COMPUTED_VALUE"""),45352.56826105324)</f>
        <v>45352.56826</v>
      </c>
      <c r="B536" s="138" t="str">
        <f>IFERROR(__xludf.DUMMYFUNCTION("""COMPUTED_VALUE"""),"Edwin Rodríguez ")</f>
        <v>Edwin Rodríguez </v>
      </c>
      <c r="C536" s="138">
        <f>IFERROR(__xludf.DUMMYFUNCTION("""COMPUTED_VALUE"""),1098.0)</f>
        <v>1098</v>
      </c>
      <c r="D536" s="139">
        <f>IFERROR(__xludf.DUMMYFUNCTION("""COMPUTED_VALUE"""),258.0)</f>
        <v>258</v>
      </c>
      <c r="E536" s="138">
        <f>IFERROR(__xludf.DUMMYFUNCTION("""COMPUTED_VALUE"""),4.0)</f>
        <v>4</v>
      </c>
      <c r="F536" s="138">
        <f>IFERROR(__xludf.DUMMYFUNCTION("""COMPUTED_VALUE"""),4.0)</f>
        <v>4</v>
      </c>
      <c r="G536" s="138">
        <f>IFERROR(__xludf.DUMMYFUNCTION("""COMPUTED_VALUE"""),4.0)</f>
        <v>4</v>
      </c>
      <c r="H536" s="138">
        <f>IFERROR(__xludf.DUMMYFUNCTION("""COMPUTED_VALUE"""),5.0)</f>
        <v>5</v>
      </c>
      <c r="I536" s="138">
        <f>IFERROR(__xludf.DUMMYFUNCTION("""COMPUTED_VALUE"""),4.0)</f>
        <v>4</v>
      </c>
      <c r="J536" s="138">
        <f>IFERROR(__xludf.DUMMYFUNCTION("""COMPUTED_VALUE"""),4.0)</f>
        <v>4</v>
      </c>
      <c r="K536" s="138">
        <f>IFERROR(__xludf.DUMMYFUNCTION("""COMPUTED_VALUE"""),4.0)</f>
        <v>4</v>
      </c>
      <c r="L536" s="138">
        <v>29.0</v>
      </c>
      <c r="M536" s="140" t="str">
        <f>VLOOKUP(text(D536, "#"),'Master Table'!$A:$F, 6, FALSE)</f>
        <v>C-9</v>
      </c>
      <c r="N536" s="141"/>
      <c r="O536" s="142" t="str">
        <f t="shared" si="1"/>
        <v/>
      </c>
      <c r="P536" s="143" t="str">
        <f>IF(ISNA(VLOOKUP(CONCAT(M536,C536), 'Judge Count DO NOT EDIT'!H:H, 1, FALSE)), "ERROR","")</f>
        <v/>
      </c>
      <c r="Q536" s="141"/>
      <c r="R536" s="143"/>
      <c r="S536" s="139" t="str">
        <f t="shared" si="2"/>
        <v>1098258</v>
      </c>
      <c r="T536" s="141"/>
    </row>
    <row r="537">
      <c r="A537" s="137">
        <f>IFERROR(__xludf.DUMMYFUNCTION("""COMPUTED_VALUE"""),45352.57045427083)</f>
        <v>45352.57045</v>
      </c>
      <c r="B537" s="138" t="str">
        <f>IFERROR(__xludf.DUMMYFUNCTION("""COMPUTED_VALUE"""),"Nitai Chandra Adak ")</f>
        <v>Nitai Chandra Adak </v>
      </c>
      <c r="C537" s="138">
        <f>IFERROR(__xludf.DUMMYFUNCTION("""COMPUTED_VALUE"""),1092.0)</f>
        <v>1092</v>
      </c>
      <c r="D537" s="139">
        <f>IFERROR(__xludf.DUMMYFUNCTION("""COMPUTED_VALUE"""),258.0)</f>
        <v>258</v>
      </c>
      <c r="E537" s="138">
        <f>IFERROR(__xludf.DUMMYFUNCTION("""COMPUTED_VALUE"""),3.0)</f>
        <v>3</v>
      </c>
      <c r="F537" s="138">
        <f>IFERROR(__xludf.DUMMYFUNCTION("""COMPUTED_VALUE"""),3.0)</f>
        <v>3</v>
      </c>
      <c r="G537" s="138">
        <f>IFERROR(__xludf.DUMMYFUNCTION("""COMPUTED_VALUE"""),3.0)</f>
        <v>3</v>
      </c>
      <c r="H537" s="138">
        <f>IFERROR(__xludf.DUMMYFUNCTION("""COMPUTED_VALUE"""),4.0)</f>
        <v>4</v>
      </c>
      <c r="I537" s="138">
        <f>IFERROR(__xludf.DUMMYFUNCTION("""COMPUTED_VALUE"""),4.0)</f>
        <v>4</v>
      </c>
      <c r="J537" s="138">
        <f>IFERROR(__xludf.DUMMYFUNCTION("""COMPUTED_VALUE"""),3.0)</f>
        <v>3</v>
      </c>
      <c r="K537" s="138">
        <f>IFERROR(__xludf.DUMMYFUNCTION("""COMPUTED_VALUE"""),4.0)</f>
        <v>4</v>
      </c>
      <c r="L537" s="138">
        <v>24.0</v>
      </c>
      <c r="M537" s="140" t="str">
        <f>VLOOKUP(text(D537, "#"),'Master Table'!$A:$F, 6, FALSE)</f>
        <v>C-9</v>
      </c>
      <c r="N537" s="141" t="str">
        <f>IFERROR(__xludf.DUMMYFUNCTION("""COMPUTED_VALUE"""),"Good work for identifying the automozation process of any liquids or fluids ")</f>
        <v>Good work for identifying the automozation process of any liquids or fluids </v>
      </c>
      <c r="O537" s="142" t="str">
        <f t="shared" si="1"/>
        <v/>
      </c>
      <c r="P537" s="143" t="str">
        <f>IF(ISNA(VLOOKUP(CONCAT(M537,C537), 'Judge Count DO NOT EDIT'!H:H, 1, FALSE)), "ERROR","")</f>
        <v/>
      </c>
      <c r="Q537" s="141"/>
      <c r="R537" s="143"/>
      <c r="S537" s="139" t="str">
        <f t="shared" si="2"/>
        <v>1092258</v>
      </c>
      <c r="T537" s="141"/>
    </row>
    <row r="538">
      <c r="A538" s="137">
        <f>IFERROR(__xludf.DUMMYFUNCTION("""COMPUTED_VALUE"""),45352.57296846065)</f>
        <v>45352.57297</v>
      </c>
      <c r="B538" s="138" t="str">
        <f>IFERROR(__xludf.DUMMYFUNCTION("""COMPUTED_VALUE"""),"Kenisha Shipley")</f>
        <v>Kenisha Shipley</v>
      </c>
      <c r="C538" s="138">
        <f>IFERROR(__xludf.DUMMYFUNCTION("""COMPUTED_VALUE"""),1014.0)</f>
        <v>1014</v>
      </c>
      <c r="D538" s="139">
        <f>IFERROR(__xludf.DUMMYFUNCTION("""COMPUTED_VALUE"""),258.0)</f>
        <v>258</v>
      </c>
      <c r="E538" s="138">
        <f>IFERROR(__xludf.DUMMYFUNCTION("""COMPUTED_VALUE"""),5.0)</f>
        <v>5</v>
      </c>
      <c r="F538" s="138">
        <f>IFERROR(__xludf.DUMMYFUNCTION("""COMPUTED_VALUE"""),4.0)</f>
        <v>4</v>
      </c>
      <c r="G538" s="138">
        <f>IFERROR(__xludf.DUMMYFUNCTION("""COMPUTED_VALUE"""),4.0)</f>
        <v>4</v>
      </c>
      <c r="H538" s="138">
        <f>IFERROR(__xludf.DUMMYFUNCTION("""COMPUTED_VALUE"""),5.0)</f>
        <v>5</v>
      </c>
      <c r="I538" s="138">
        <f>IFERROR(__xludf.DUMMYFUNCTION("""COMPUTED_VALUE"""),5.0)</f>
        <v>5</v>
      </c>
      <c r="J538" s="138">
        <f>IFERROR(__xludf.DUMMYFUNCTION("""COMPUTED_VALUE"""),4.0)</f>
        <v>4</v>
      </c>
      <c r="K538" s="138">
        <f>IFERROR(__xludf.DUMMYFUNCTION("""COMPUTED_VALUE"""),4.0)</f>
        <v>4</v>
      </c>
      <c r="L538" s="138">
        <v>31.0</v>
      </c>
      <c r="M538" s="140" t="str">
        <f>VLOOKUP(text(D538, "#"),'Master Table'!$A:$F, 6, FALSE)</f>
        <v>C-9</v>
      </c>
      <c r="N538" s="141" t="str">
        <f>IFERROR(__xludf.DUMMYFUNCTION("""COMPUTED_VALUE"""),"Great presentation and explanations. I would maybe include real world examples of the atomization process for your future presentations especially for audiences less familiar with the topic.")</f>
        <v>Great presentation and explanations. I would maybe include real world examples of the atomization process for your future presentations especially for audiences less familiar with the topic.</v>
      </c>
      <c r="O538" s="142" t="str">
        <f t="shared" si="1"/>
        <v/>
      </c>
      <c r="P538" s="143" t="str">
        <f>IF(ISNA(VLOOKUP(CONCAT(M538,C538), 'Judge Count DO NOT EDIT'!H:H, 1, FALSE)), "ERROR","")</f>
        <v/>
      </c>
      <c r="Q538" s="141"/>
      <c r="R538" s="143"/>
      <c r="S538" s="139" t="str">
        <f t="shared" si="2"/>
        <v>1014258</v>
      </c>
      <c r="T538" s="141"/>
    </row>
    <row r="539">
      <c r="A539" s="137">
        <f>IFERROR(__xludf.DUMMYFUNCTION("""COMPUTED_VALUE"""),45352.58120675926)</f>
        <v>45352.58121</v>
      </c>
      <c r="B539" s="138" t="str">
        <f>IFERROR(__xludf.DUMMYFUNCTION("""COMPUTED_VALUE"""),"Nitai Chandra Adak ")</f>
        <v>Nitai Chandra Adak </v>
      </c>
      <c r="C539" s="138">
        <f>IFERROR(__xludf.DUMMYFUNCTION("""COMPUTED_VALUE"""),1092.0)</f>
        <v>1092</v>
      </c>
      <c r="D539" s="139">
        <f>IFERROR(__xludf.DUMMYFUNCTION("""COMPUTED_VALUE"""),259.0)</f>
        <v>259</v>
      </c>
      <c r="E539" s="138">
        <f>IFERROR(__xludf.DUMMYFUNCTION("""COMPUTED_VALUE"""),3.0)</f>
        <v>3</v>
      </c>
      <c r="F539" s="138">
        <f>IFERROR(__xludf.DUMMYFUNCTION("""COMPUTED_VALUE"""),3.0)</f>
        <v>3</v>
      </c>
      <c r="G539" s="138">
        <f>IFERROR(__xludf.DUMMYFUNCTION("""COMPUTED_VALUE"""),4.0)</f>
        <v>4</v>
      </c>
      <c r="H539" s="138">
        <f>IFERROR(__xludf.DUMMYFUNCTION("""COMPUTED_VALUE"""),3.0)</f>
        <v>3</v>
      </c>
      <c r="I539" s="138">
        <f>IFERROR(__xludf.DUMMYFUNCTION("""COMPUTED_VALUE"""),3.0)</f>
        <v>3</v>
      </c>
      <c r="J539" s="138">
        <f>IFERROR(__xludf.DUMMYFUNCTION("""COMPUTED_VALUE"""),3.0)</f>
        <v>3</v>
      </c>
      <c r="K539" s="138">
        <f>IFERROR(__xludf.DUMMYFUNCTION("""COMPUTED_VALUE"""),3.0)</f>
        <v>3</v>
      </c>
      <c r="L539" s="138">
        <v>22.0</v>
      </c>
      <c r="M539" s="140" t="str">
        <f>VLOOKUP(text(D539, "#"),'Master Table'!$A:$F, 6, FALSE)</f>
        <v>C-9</v>
      </c>
      <c r="N539" s="141" t="str">
        <f>IFERROR(__xludf.DUMMYFUNCTION("""COMPUTED_VALUE"""),"This work is helpful to reduce the road accidents.")</f>
        <v>This work is helpful to reduce the road accidents.</v>
      </c>
      <c r="O539" s="142" t="str">
        <f t="shared" si="1"/>
        <v/>
      </c>
      <c r="P539" s="143" t="str">
        <f>IF(ISNA(VLOOKUP(CONCAT(M539,C539), 'Judge Count DO NOT EDIT'!H:H, 1, FALSE)), "ERROR","")</f>
        <v/>
      </c>
      <c r="Q539" s="141"/>
      <c r="R539" s="143"/>
      <c r="S539" s="139" t="str">
        <f t="shared" si="2"/>
        <v>1092259</v>
      </c>
      <c r="T539" s="141"/>
    </row>
    <row r="540">
      <c r="A540" s="137">
        <f>IFERROR(__xludf.DUMMYFUNCTION("""COMPUTED_VALUE"""),45352.58267591435)</f>
        <v>45352.58268</v>
      </c>
      <c r="B540" s="138" t="str">
        <f>IFERROR(__xludf.DUMMYFUNCTION("""COMPUTED_VALUE"""),"Edwin Rodríguez ")</f>
        <v>Edwin Rodríguez </v>
      </c>
      <c r="C540" s="138">
        <f>IFERROR(__xludf.DUMMYFUNCTION("""COMPUTED_VALUE"""),1098.0)</f>
        <v>1098</v>
      </c>
      <c r="D540" s="139">
        <f>IFERROR(__xludf.DUMMYFUNCTION("""COMPUTED_VALUE"""),259.0)</f>
        <v>259</v>
      </c>
      <c r="E540" s="138">
        <f>IFERROR(__xludf.DUMMYFUNCTION("""COMPUTED_VALUE"""),3.0)</f>
        <v>3</v>
      </c>
      <c r="F540" s="138">
        <f>IFERROR(__xludf.DUMMYFUNCTION("""COMPUTED_VALUE"""),3.0)</f>
        <v>3</v>
      </c>
      <c r="G540" s="138">
        <f>IFERROR(__xludf.DUMMYFUNCTION("""COMPUTED_VALUE"""),4.0)</f>
        <v>4</v>
      </c>
      <c r="H540" s="138">
        <f>IFERROR(__xludf.DUMMYFUNCTION("""COMPUTED_VALUE"""),5.0)</f>
        <v>5</v>
      </c>
      <c r="I540" s="138">
        <f>IFERROR(__xludf.DUMMYFUNCTION("""COMPUTED_VALUE"""),3.0)</f>
        <v>3</v>
      </c>
      <c r="J540" s="138">
        <f>IFERROR(__xludf.DUMMYFUNCTION("""COMPUTED_VALUE"""),4.0)</f>
        <v>4</v>
      </c>
      <c r="K540" s="138">
        <f>IFERROR(__xludf.DUMMYFUNCTION("""COMPUTED_VALUE"""),4.0)</f>
        <v>4</v>
      </c>
      <c r="L540" s="138">
        <v>26.0</v>
      </c>
      <c r="M540" s="140" t="str">
        <f>VLOOKUP(text(D540, "#"),'Master Table'!$A:$F, 6, FALSE)</f>
        <v>C-9</v>
      </c>
      <c r="N540" s="141" t="str">
        <f>IFERROR(__xludf.DUMMYFUNCTION("""COMPUTED_VALUE"""),"This project is very helpful for the society since there is projection to bring it up to real life scenarios ")</f>
        <v>This project is very helpful for the society since there is projection to bring it up to real life scenarios </v>
      </c>
      <c r="O540" s="142" t="str">
        <f t="shared" si="1"/>
        <v/>
      </c>
      <c r="P540" s="143" t="str">
        <f>IF(ISNA(VLOOKUP(CONCAT(M540,C540), 'Judge Count DO NOT EDIT'!H:H, 1, FALSE)), "ERROR","")</f>
        <v/>
      </c>
      <c r="Q540" s="141"/>
      <c r="R540" s="143"/>
      <c r="S540" s="139" t="str">
        <f t="shared" si="2"/>
        <v>1098259</v>
      </c>
      <c r="T540" s="141"/>
    </row>
    <row r="541">
      <c r="A541" s="137">
        <f>IFERROR(__xludf.DUMMYFUNCTION("""COMPUTED_VALUE"""),45352.58504910879)</f>
        <v>45352.58505</v>
      </c>
      <c r="B541" s="138" t="str">
        <f>IFERROR(__xludf.DUMMYFUNCTION("""COMPUTED_VALUE"""),"Kenisha Shipley")</f>
        <v>Kenisha Shipley</v>
      </c>
      <c r="C541" s="138">
        <f>IFERROR(__xludf.DUMMYFUNCTION("""COMPUTED_VALUE"""),1014.0)</f>
        <v>1014</v>
      </c>
      <c r="D541" s="139">
        <f>IFERROR(__xludf.DUMMYFUNCTION("""COMPUTED_VALUE"""),259.0)</f>
        <v>259</v>
      </c>
      <c r="E541" s="138">
        <f>IFERROR(__xludf.DUMMYFUNCTION("""COMPUTED_VALUE"""),4.0)</f>
        <v>4</v>
      </c>
      <c r="F541" s="138">
        <f>IFERROR(__xludf.DUMMYFUNCTION("""COMPUTED_VALUE"""),5.0)</f>
        <v>5</v>
      </c>
      <c r="G541" s="138">
        <f>IFERROR(__xludf.DUMMYFUNCTION("""COMPUTED_VALUE"""),5.0)</f>
        <v>5</v>
      </c>
      <c r="H541" s="138">
        <f>IFERROR(__xludf.DUMMYFUNCTION("""COMPUTED_VALUE"""),5.0)</f>
        <v>5</v>
      </c>
      <c r="I541" s="138">
        <f>IFERROR(__xludf.DUMMYFUNCTION("""COMPUTED_VALUE"""),5.0)</f>
        <v>5</v>
      </c>
      <c r="J541" s="138">
        <f>IFERROR(__xludf.DUMMYFUNCTION("""COMPUTED_VALUE"""),4.0)</f>
        <v>4</v>
      </c>
      <c r="K541" s="138">
        <f>IFERROR(__xludf.DUMMYFUNCTION("""COMPUTED_VALUE"""),4.0)</f>
        <v>4</v>
      </c>
      <c r="L541" s="138">
        <v>32.0</v>
      </c>
      <c r="M541" s="140" t="str">
        <f>VLOOKUP(text(D541, "#"),'Master Table'!$A:$F, 6, FALSE)</f>
        <v>C-9</v>
      </c>
      <c r="N541" s="141" t="str">
        <f>IFERROR(__xludf.DUMMYFUNCTION("""COMPUTED_VALUE"""),"Great job on the presentation. The pdf mode for presenting was slightly distracting and some things were difficult to see, but you described the research very well and it definitely seems like an interesting and necessary study.")</f>
        <v>Great job on the presentation. The pdf mode for presenting was slightly distracting and some things were difficult to see, but you described the research very well and it definitely seems like an interesting and necessary study.</v>
      </c>
      <c r="O541" s="142" t="str">
        <f t="shared" si="1"/>
        <v/>
      </c>
      <c r="P541" s="143" t="str">
        <f>IF(ISNA(VLOOKUP(CONCAT(M541,C541), 'Judge Count DO NOT EDIT'!H:H, 1, FALSE)), "ERROR","")</f>
        <v/>
      </c>
      <c r="Q541" s="141"/>
      <c r="R541" s="143"/>
      <c r="S541" s="139" t="str">
        <f t="shared" si="2"/>
        <v>1014259</v>
      </c>
      <c r="T541" s="141"/>
    </row>
    <row r="542">
      <c r="A542" s="137">
        <f>IFERROR(__xludf.DUMMYFUNCTION("""COMPUTED_VALUE"""),45352.59614046296)</f>
        <v>45352.59614</v>
      </c>
      <c r="B542" s="138" t="str">
        <f>IFERROR(__xludf.DUMMYFUNCTION("""COMPUTED_VALUE"""),"Edwin Rodríguez ")</f>
        <v>Edwin Rodríguez </v>
      </c>
      <c r="C542" s="138">
        <f>IFERROR(__xludf.DUMMYFUNCTION("""COMPUTED_VALUE"""),1098.0)</f>
        <v>1098</v>
      </c>
      <c r="D542" s="139">
        <f>IFERROR(__xludf.DUMMYFUNCTION("""COMPUTED_VALUE"""),260.0)</f>
        <v>260</v>
      </c>
      <c r="E542" s="138">
        <f>IFERROR(__xludf.DUMMYFUNCTION("""COMPUTED_VALUE"""),5.0)</f>
        <v>5</v>
      </c>
      <c r="F542" s="138">
        <f>IFERROR(__xludf.DUMMYFUNCTION("""COMPUTED_VALUE"""),3.0)</f>
        <v>3</v>
      </c>
      <c r="G542" s="138">
        <f>IFERROR(__xludf.DUMMYFUNCTION("""COMPUTED_VALUE"""),3.0)</f>
        <v>3</v>
      </c>
      <c r="H542" s="138">
        <f>IFERROR(__xludf.DUMMYFUNCTION("""COMPUTED_VALUE"""),3.0)</f>
        <v>3</v>
      </c>
      <c r="I542" s="138">
        <f>IFERROR(__xludf.DUMMYFUNCTION("""COMPUTED_VALUE"""),4.0)</f>
        <v>4</v>
      </c>
      <c r="J542" s="138">
        <f>IFERROR(__xludf.DUMMYFUNCTION("""COMPUTED_VALUE"""),4.0)</f>
        <v>4</v>
      </c>
      <c r="K542" s="138">
        <f>IFERROR(__xludf.DUMMYFUNCTION("""COMPUTED_VALUE"""),4.0)</f>
        <v>4</v>
      </c>
      <c r="L542" s="138">
        <v>26.0</v>
      </c>
      <c r="M542" s="140" t="str">
        <f>VLOOKUP(text(D542, "#"),'Master Table'!$A:$F, 6, FALSE)</f>
        <v>C-9</v>
      </c>
      <c r="N542" s="141" t="str">
        <f>IFERROR(__xludf.DUMMYFUNCTION("""COMPUTED_VALUE"""),"The explanation was clear and the distribution of data was proper. He answered all questions without hesitate ")</f>
        <v>The explanation was clear and the distribution of data was proper. He answered all questions without hesitate </v>
      </c>
      <c r="O542" s="142" t="str">
        <f t="shared" si="1"/>
        <v/>
      </c>
      <c r="P542" s="143" t="str">
        <f>IF(ISNA(VLOOKUP(CONCAT(M542,C542), 'Judge Count DO NOT EDIT'!H:H, 1, FALSE)), "ERROR","")</f>
        <v/>
      </c>
      <c r="Q542" s="141"/>
      <c r="R542" s="143"/>
      <c r="S542" s="139" t="str">
        <f t="shared" si="2"/>
        <v>1098260</v>
      </c>
      <c r="T542" s="141"/>
    </row>
    <row r="543">
      <c r="A543" s="137">
        <f>IFERROR(__xludf.DUMMYFUNCTION("""COMPUTED_VALUE"""),45352.5967228125)</f>
        <v>45352.59672</v>
      </c>
      <c r="B543" s="138" t="str">
        <f>IFERROR(__xludf.DUMMYFUNCTION("""COMPUTED_VALUE"""),"Nitai Chandra Adak ")</f>
        <v>Nitai Chandra Adak </v>
      </c>
      <c r="C543" s="138">
        <f>IFERROR(__xludf.DUMMYFUNCTION("""COMPUTED_VALUE"""),1092.0)</f>
        <v>1092</v>
      </c>
      <c r="D543" s="139">
        <f>IFERROR(__xludf.DUMMYFUNCTION("""COMPUTED_VALUE"""),260.0)</f>
        <v>260</v>
      </c>
      <c r="E543" s="138">
        <f>IFERROR(__xludf.DUMMYFUNCTION("""COMPUTED_VALUE"""),5.0)</f>
        <v>5</v>
      </c>
      <c r="F543" s="138">
        <f>IFERROR(__xludf.DUMMYFUNCTION("""COMPUTED_VALUE"""),4.0)</f>
        <v>4</v>
      </c>
      <c r="G543" s="138">
        <f>IFERROR(__xludf.DUMMYFUNCTION("""COMPUTED_VALUE"""),4.0)</f>
        <v>4</v>
      </c>
      <c r="H543" s="138">
        <f>IFERROR(__xludf.DUMMYFUNCTION("""COMPUTED_VALUE"""),3.0)</f>
        <v>3</v>
      </c>
      <c r="I543" s="138">
        <f>IFERROR(__xludf.DUMMYFUNCTION("""COMPUTED_VALUE"""),4.0)</f>
        <v>4</v>
      </c>
      <c r="J543" s="138">
        <f>IFERROR(__xludf.DUMMYFUNCTION("""COMPUTED_VALUE"""),5.0)</f>
        <v>5</v>
      </c>
      <c r="K543" s="138">
        <f>IFERROR(__xludf.DUMMYFUNCTION("""COMPUTED_VALUE"""),4.0)</f>
        <v>4</v>
      </c>
      <c r="L543" s="138">
        <v>29.0</v>
      </c>
      <c r="M543" s="140" t="str">
        <f>VLOOKUP(text(D543, "#"),'Master Table'!$A:$F, 6, FALSE)</f>
        <v>C-9</v>
      </c>
      <c r="N543" s="141" t="str">
        <f>IFERROR(__xludf.DUMMYFUNCTION("""COMPUTED_VALUE"""),"Great work to manufacture any kund of nature inspire lattice structures.")</f>
        <v>Great work to manufacture any kund of nature inspire lattice structures.</v>
      </c>
      <c r="O543" s="142" t="str">
        <f t="shared" si="1"/>
        <v/>
      </c>
      <c r="P543" s="143" t="str">
        <f>IF(ISNA(VLOOKUP(CONCAT(M543,C543), 'Judge Count DO NOT EDIT'!H:H, 1, FALSE)), "ERROR","")</f>
        <v/>
      </c>
      <c r="Q543" s="141"/>
      <c r="R543" s="143"/>
      <c r="S543" s="139" t="str">
        <f t="shared" si="2"/>
        <v>1092260</v>
      </c>
      <c r="T543" s="141"/>
    </row>
    <row r="544">
      <c r="A544" s="137">
        <f>IFERROR(__xludf.DUMMYFUNCTION("""COMPUTED_VALUE"""),45352.60392263889)</f>
        <v>45352.60392</v>
      </c>
      <c r="B544" s="138" t="str">
        <f>IFERROR(__xludf.DUMMYFUNCTION("""COMPUTED_VALUE"""),"Kenisha Shipley")</f>
        <v>Kenisha Shipley</v>
      </c>
      <c r="C544" s="138">
        <f>IFERROR(__xludf.DUMMYFUNCTION("""COMPUTED_VALUE"""),1014.0)</f>
        <v>1014</v>
      </c>
      <c r="D544" s="139">
        <f>IFERROR(__xludf.DUMMYFUNCTION("""COMPUTED_VALUE"""),260.0)</f>
        <v>260</v>
      </c>
      <c r="E544" s="138">
        <f>IFERROR(__xludf.DUMMYFUNCTION("""COMPUTED_VALUE"""),5.0)</f>
        <v>5</v>
      </c>
      <c r="F544" s="138">
        <f>IFERROR(__xludf.DUMMYFUNCTION("""COMPUTED_VALUE"""),5.0)</f>
        <v>5</v>
      </c>
      <c r="G544" s="138">
        <f>IFERROR(__xludf.DUMMYFUNCTION("""COMPUTED_VALUE"""),4.0)</f>
        <v>4</v>
      </c>
      <c r="H544" s="138">
        <f>IFERROR(__xludf.DUMMYFUNCTION("""COMPUTED_VALUE"""),4.0)</f>
        <v>4</v>
      </c>
      <c r="I544" s="138">
        <f>IFERROR(__xludf.DUMMYFUNCTION("""COMPUTED_VALUE"""),5.0)</f>
        <v>5</v>
      </c>
      <c r="J544" s="138">
        <f>IFERROR(__xludf.DUMMYFUNCTION("""COMPUTED_VALUE"""),4.0)</f>
        <v>4</v>
      </c>
      <c r="K544" s="138">
        <f>IFERROR(__xludf.DUMMYFUNCTION("""COMPUTED_VALUE"""),5.0)</f>
        <v>5</v>
      </c>
      <c r="L544" s="138">
        <v>32.0</v>
      </c>
      <c r="M544" s="140" t="str">
        <f>VLOOKUP(text(D544, "#"),'Master Table'!$A:$F, 6, FALSE)</f>
        <v>C-9</v>
      </c>
      <c r="N544" s="141" t="str">
        <f>IFERROR(__xludf.DUMMYFUNCTION("""COMPUTED_VALUE"""),"Presentation was very well executed. Maybe include some research implications, like why your research will advance this field. ")</f>
        <v>Presentation was very well executed. Maybe include some research implications, like why your research will advance this field. </v>
      </c>
      <c r="O544" s="142" t="str">
        <f t="shared" si="1"/>
        <v/>
      </c>
      <c r="P544" s="143" t="str">
        <f>IF(ISNA(VLOOKUP(CONCAT(M544,C544), 'Judge Count DO NOT EDIT'!H:H, 1, FALSE)), "ERROR","")</f>
        <v/>
      </c>
      <c r="Q544" s="141"/>
      <c r="R544" s="143"/>
      <c r="S544" s="139" t="str">
        <f t="shared" si="2"/>
        <v>1014260</v>
      </c>
      <c r="T544" s="141"/>
    </row>
    <row r="545">
      <c r="A545" s="137">
        <f>IFERROR(__xludf.DUMMYFUNCTION("""COMPUTED_VALUE"""),45352.61284271991)</f>
        <v>45352.61284</v>
      </c>
      <c r="B545" s="138" t="str">
        <f>IFERROR(__xludf.DUMMYFUNCTION("""COMPUTED_VALUE"""),"Edwin Rodríguez ")</f>
        <v>Edwin Rodríguez </v>
      </c>
      <c r="C545" s="138">
        <f>IFERROR(__xludf.DUMMYFUNCTION("""COMPUTED_VALUE"""),1098.0)</f>
        <v>1098</v>
      </c>
      <c r="D545" s="139">
        <f>IFERROR(__xludf.DUMMYFUNCTION("""COMPUTED_VALUE"""),261.0)</f>
        <v>261</v>
      </c>
      <c r="E545" s="138">
        <f>IFERROR(__xludf.DUMMYFUNCTION("""COMPUTED_VALUE"""),2.0)</f>
        <v>2</v>
      </c>
      <c r="F545" s="138">
        <f>IFERROR(__xludf.DUMMYFUNCTION("""COMPUTED_VALUE"""),4.0)</f>
        <v>4</v>
      </c>
      <c r="G545" s="138">
        <f>IFERROR(__xludf.DUMMYFUNCTION("""COMPUTED_VALUE"""),4.0)</f>
        <v>4</v>
      </c>
      <c r="H545" s="138">
        <f>IFERROR(__xludf.DUMMYFUNCTION("""COMPUTED_VALUE"""),3.0)</f>
        <v>3</v>
      </c>
      <c r="I545" s="138">
        <f>IFERROR(__xludf.DUMMYFUNCTION("""COMPUTED_VALUE"""),2.0)</f>
        <v>2</v>
      </c>
      <c r="J545" s="138">
        <f>IFERROR(__xludf.DUMMYFUNCTION("""COMPUTED_VALUE"""),2.0)</f>
        <v>2</v>
      </c>
      <c r="K545" s="138">
        <f>IFERROR(__xludf.DUMMYFUNCTION("""COMPUTED_VALUE"""),4.0)</f>
        <v>4</v>
      </c>
      <c r="L545" s="138">
        <v>21.0</v>
      </c>
      <c r="M545" s="140" t="str">
        <f>VLOOKUP(text(D545, "#"),'Master Table'!$A:$F, 6, FALSE)</f>
        <v>C-9</v>
      </c>
      <c r="N545" s="141" t="str">
        <f>IFERROR(__xludf.DUMMYFUNCTION("""COMPUTED_VALUE"""),"The presenter did not manage the time well and overpassed the time limit. He needs to improve the way he organize and summarize the information.  Other than that, the topic was well explained and interesting ")</f>
        <v>The presenter did not manage the time well and overpassed the time limit. He needs to improve the way he organize and summarize the information.  Other than that, the topic was well explained and interesting </v>
      </c>
      <c r="O545" s="142" t="str">
        <f t="shared" si="1"/>
        <v/>
      </c>
      <c r="P545" s="143" t="str">
        <f>IF(ISNA(VLOOKUP(CONCAT(M545,C545), 'Judge Count DO NOT EDIT'!H:H, 1, FALSE)), "ERROR","")</f>
        <v/>
      </c>
      <c r="Q545" s="141"/>
      <c r="R545" s="143"/>
      <c r="S545" s="139" t="str">
        <f t="shared" si="2"/>
        <v>1098261</v>
      </c>
      <c r="T545" s="141"/>
    </row>
    <row r="546">
      <c r="A546" s="137">
        <f>IFERROR(__xludf.DUMMYFUNCTION("""COMPUTED_VALUE"""),45352.61288594907)</f>
        <v>45352.61289</v>
      </c>
      <c r="B546" s="138" t="str">
        <f>IFERROR(__xludf.DUMMYFUNCTION("""COMPUTED_VALUE"""),"Kenisha Shipley")</f>
        <v>Kenisha Shipley</v>
      </c>
      <c r="C546" s="138">
        <f>IFERROR(__xludf.DUMMYFUNCTION("""COMPUTED_VALUE"""),1014.0)</f>
        <v>1014</v>
      </c>
      <c r="D546" s="139">
        <f>IFERROR(__xludf.DUMMYFUNCTION("""COMPUTED_VALUE"""),261.0)</f>
        <v>261</v>
      </c>
      <c r="E546" s="138">
        <f>IFERROR(__xludf.DUMMYFUNCTION("""COMPUTED_VALUE"""),4.0)</f>
        <v>4</v>
      </c>
      <c r="F546" s="138">
        <f>IFERROR(__xludf.DUMMYFUNCTION("""COMPUTED_VALUE"""),5.0)</f>
        <v>5</v>
      </c>
      <c r="G546" s="138">
        <f>IFERROR(__xludf.DUMMYFUNCTION("""COMPUTED_VALUE"""),4.0)</f>
        <v>4</v>
      </c>
      <c r="H546" s="138">
        <f>IFERROR(__xludf.DUMMYFUNCTION("""COMPUTED_VALUE"""),4.0)</f>
        <v>4</v>
      </c>
      <c r="I546" s="138">
        <f>IFERROR(__xludf.DUMMYFUNCTION("""COMPUTED_VALUE"""),4.0)</f>
        <v>4</v>
      </c>
      <c r="J546" s="138">
        <f>IFERROR(__xludf.DUMMYFUNCTION("""COMPUTED_VALUE"""),3.0)</f>
        <v>3</v>
      </c>
      <c r="K546" s="138">
        <f>IFERROR(__xludf.DUMMYFUNCTION("""COMPUTED_VALUE"""),3.0)</f>
        <v>3</v>
      </c>
      <c r="L546" s="138">
        <v>27.0</v>
      </c>
      <c r="M546" s="140" t="str">
        <f>VLOOKUP(text(D546, "#"),'Master Table'!$A:$F, 6, FALSE)</f>
        <v>C-9</v>
      </c>
      <c r="N546" s="141" t="str">
        <f>IFERROR(__xludf.DUMMYFUNCTION("""COMPUTED_VALUE"""),"Good presentation. Went a little long so maybe work on conciseness when describing the different aspects of your project.")</f>
        <v>Good presentation. Went a little long so maybe work on conciseness when describing the different aspects of your project.</v>
      </c>
      <c r="O546" s="142" t="str">
        <f t="shared" si="1"/>
        <v/>
      </c>
      <c r="P546" s="143" t="str">
        <f>IF(ISNA(VLOOKUP(CONCAT(M546,C546), 'Judge Count DO NOT EDIT'!H:H, 1, FALSE)), "ERROR","")</f>
        <v/>
      </c>
      <c r="Q546" s="141"/>
      <c r="R546" s="143"/>
      <c r="S546" s="139" t="str">
        <f t="shared" si="2"/>
        <v>1014261</v>
      </c>
      <c r="T546" s="141"/>
    </row>
    <row r="547">
      <c r="A547" s="137">
        <f>IFERROR(__xludf.DUMMYFUNCTION("""COMPUTED_VALUE"""),45352.61311517361)</f>
        <v>45352.61312</v>
      </c>
      <c r="B547" s="138" t="str">
        <f>IFERROR(__xludf.DUMMYFUNCTION("""COMPUTED_VALUE"""),"Nitai Chandra Adak ")</f>
        <v>Nitai Chandra Adak </v>
      </c>
      <c r="C547" s="138">
        <f>IFERROR(__xludf.DUMMYFUNCTION("""COMPUTED_VALUE"""),1092.0)</f>
        <v>1092</v>
      </c>
      <c r="D547" s="139">
        <f>IFERROR(__xludf.DUMMYFUNCTION("""COMPUTED_VALUE"""),261.0)</f>
        <v>261</v>
      </c>
      <c r="E547" s="138">
        <f>IFERROR(__xludf.DUMMYFUNCTION("""COMPUTED_VALUE"""),3.0)</f>
        <v>3</v>
      </c>
      <c r="F547" s="138">
        <f>IFERROR(__xludf.DUMMYFUNCTION("""COMPUTED_VALUE"""),3.0)</f>
        <v>3</v>
      </c>
      <c r="G547" s="138">
        <f>IFERROR(__xludf.DUMMYFUNCTION("""COMPUTED_VALUE"""),4.0)</f>
        <v>4</v>
      </c>
      <c r="H547" s="138">
        <f>IFERROR(__xludf.DUMMYFUNCTION("""COMPUTED_VALUE"""),2.0)</f>
        <v>2</v>
      </c>
      <c r="I547" s="138">
        <f>IFERROR(__xludf.DUMMYFUNCTION("""COMPUTED_VALUE"""),3.0)</f>
        <v>3</v>
      </c>
      <c r="J547" s="138">
        <f>IFERROR(__xludf.DUMMYFUNCTION("""COMPUTED_VALUE"""),2.0)</f>
        <v>2</v>
      </c>
      <c r="K547" s="138">
        <f>IFERROR(__xludf.DUMMYFUNCTION("""COMPUTED_VALUE"""),3.0)</f>
        <v>3</v>
      </c>
      <c r="L547" s="138">
        <v>20.0</v>
      </c>
      <c r="M547" s="140" t="str">
        <f>VLOOKUP(text(D547, "#"),'Master Table'!$A:$F, 6, FALSE)</f>
        <v>C-9</v>
      </c>
      <c r="N547" s="141" t="str">
        <f>IFERROR(__xludf.DUMMYFUNCTION("""COMPUTED_VALUE"""),"This work is helpful to design of CLT structures.")</f>
        <v>This work is helpful to design of CLT structures.</v>
      </c>
      <c r="O547" s="142" t="str">
        <f t="shared" si="1"/>
        <v/>
      </c>
      <c r="P547" s="143" t="str">
        <f>IF(ISNA(VLOOKUP(CONCAT(M547,C547), 'Judge Count DO NOT EDIT'!H:H, 1, FALSE)), "ERROR","")</f>
        <v/>
      </c>
      <c r="Q547" s="141"/>
      <c r="R547" s="143"/>
      <c r="S547" s="139" t="str">
        <f t="shared" si="2"/>
        <v>1092261</v>
      </c>
      <c r="T547" s="141"/>
    </row>
    <row r="548">
      <c r="A548" s="137">
        <f>IFERROR(__xludf.DUMMYFUNCTION("""COMPUTED_VALUE"""),45352.623943391205)</f>
        <v>45352.62394</v>
      </c>
      <c r="B548" s="138" t="str">
        <f>IFERROR(__xludf.DUMMYFUNCTION("""COMPUTED_VALUE"""),"Kenisha Shipley")</f>
        <v>Kenisha Shipley</v>
      </c>
      <c r="C548" s="138">
        <f>IFERROR(__xludf.DUMMYFUNCTION("""COMPUTED_VALUE"""),1014.0)</f>
        <v>1014</v>
      </c>
      <c r="D548" s="139">
        <f>IFERROR(__xludf.DUMMYFUNCTION("""COMPUTED_VALUE"""),262.0)</f>
        <v>262</v>
      </c>
      <c r="E548" s="138">
        <f>IFERROR(__xludf.DUMMYFUNCTION("""COMPUTED_VALUE"""),5.0)</f>
        <v>5</v>
      </c>
      <c r="F548" s="138">
        <f>IFERROR(__xludf.DUMMYFUNCTION("""COMPUTED_VALUE"""),4.0)</f>
        <v>4</v>
      </c>
      <c r="G548" s="138">
        <f>IFERROR(__xludf.DUMMYFUNCTION("""COMPUTED_VALUE"""),5.0)</f>
        <v>5</v>
      </c>
      <c r="H548" s="138">
        <f>IFERROR(__xludf.DUMMYFUNCTION("""COMPUTED_VALUE"""),4.0)</f>
        <v>4</v>
      </c>
      <c r="I548" s="138">
        <f>IFERROR(__xludf.DUMMYFUNCTION("""COMPUTED_VALUE"""),5.0)</f>
        <v>5</v>
      </c>
      <c r="J548" s="138">
        <f>IFERROR(__xludf.DUMMYFUNCTION("""COMPUTED_VALUE"""),5.0)</f>
        <v>5</v>
      </c>
      <c r="K548" s="138">
        <f>IFERROR(__xludf.DUMMYFUNCTION("""COMPUTED_VALUE"""),5.0)</f>
        <v>5</v>
      </c>
      <c r="L548" s="138">
        <v>33.0</v>
      </c>
      <c r="M548" s="140" t="str">
        <f>VLOOKUP(text(D548, "#"),'Master Table'!$A:$F, 6, FALSE)</f>
        <v>C-9</v>
      </c>
      <c r="N548" s="141" t="str">
        <f>IFERROR(__xludf.DUMMYFUNCTION("""COMPUTED_VALUE"""),"Great presentation. Very cool project, maybe save the video for the end if you have time or make it shorter, but it was a cool video.")</f>
        <v>Great presentation. Very cool project, maybe save the video for the end if you have time or make it shorter, but it was a cool video.</v>
      </c>
      <c r="O548" s="142" t="str">
        <f t="shared" si="1"/>
        <v/>
      </c>
      <c r="P548" s="143" t="str">
        <f>IF(ISNA(VLOOKUP(CONCAT(M548,C548), 'Judge Count DO NOT EDIT'!H:H, 1, FALSE)), "ERROR","")</f>
        <v/>
      </c>
      <c r="Q548" s="141"/>
      <c r="R548" s="143"/>
      <c r="S548" s="139" t="str">
        <f t="shared" si="2"/>
        <v>1014262</v>
      </c>
      <c r="T548" s="141"/>
    </row>
    <row r="549">
      <c r="A549" s="137">
        <f>IFERROR(__xludf.DUMMYFUNCTION("""COMPUTED_VALUE"""),45352.624296168986)</f>
        <v>45352.6243</v>
      </c>
      <c r="B549" s="138" t="str">
        <f>IFERROR(__xludf.DUMMYFUNCTION("""COMPUTED_VALUE"""),"Edwin Rodríguez ")</f>
        <v>Edwin Rodríguez </v>
      </c>
      <c r="C549" s="138">
        <f>IFERROR(__xludf.DUMMYFUNCTION("""COMPUTED_VALUE"""),1098.0)</f>
        <v>1098</v>
      </c>
      <c r="D549" s="139">
        <f>IFERROR(__xludf.DUMMYFUNCTION("""COMPUTED_VALUE"""),262.0)</f>
        <v>262</v>
      </c>
      <c r="E549" s="138">
        <f>IFERROR(__xludf.DUMMYFUNCTION("""COMPUTED_VALUE"""),4.0)</f>
        <v>4</v>
      </c>
      <c r="F549" s="138">
        <f>IFERROR(__xludf.DUMMYFUNCTION("""COMPUTED_VALUE"""),4.0)</f>
        <v>4</v>
      </c>
      <c r="G549" s="138">
        <f>IFERROR(__xludf.DUMMYFUNCTION("""COMPUTED_VALUE"""),4.0)</f>
        <v>4</v>
      </c>
      <c r="H549" s="138">
        <f>IFERROR(__xludf.DUMMYFUNCTION("""COMPUTED_VALUE"""),4.0)</f>
        <v>4</v>
      </c>
      <c r="I549" s="138">
        <f>IFERROR(__xludf.DUMMYFUNCTION("""COMPUTED_VALUE"""),5.0)</f>
        <v>5</v>
      </c>
      <c r="J549" s="138">
        <f>IFERROR(__xludf.DUMMYFUNCTION("""COMPUTED_VALUE"""),5.0)</f>
        <v>5</v>
      </c>
      <c r="K549" s="138">
        <f>IFERROR(__xludf.DUMMYFUNCTION("""COMPUTED_VALUE"""),4.0)</f>
        <v>4</v>
      </c>
      <c r="L549" s="138">
        <v>30.0</v>
      </c>
      <c r="M549" s="140" t="str">
        <f>VLOOKUP(text(D549, "#"),'Master Table'!$A:$F, 6, FALSE)</f>
        <v>C-9</v>
      </c>
      <c r="N549" s="141" t="str">
        <f>IFERROR(__xludf.DUMMYFUNCTION("""COMPUTED_VALUE"""),"The presentation was clear and the materials used were helpful to make people understand the research. ")</f>
        <v>The presentation was clear and the materials used were helpful to make people understand the research. </v>
      </c>
      <c r="O549" s="142" t="str">
        <f t="shared" si="1"/>
        <v/>
      </c>
      <c r="P549" s="143" t="str">
        <f>IF(ISNA(VLOOKUP(CONCAT(M549,C549), 'Judge Count DO NOT EDIT'!H:H, 1, FALSE)), "ERROR","")</f>
        <v/>
      </c>
      <c r="Q549" s="141"/>
      <c r="R549" s="143"/>
      <c r="S549" s="139" t="str">
        <f t="shared" si="2"/>
        <v>1098262</v>
      </c>
      <c r="T549" s="141"/>
    </row>
    <row r="550">
      <c r="A550" s="137">
        <f>IFERROR(__xludf.DUMMYFUNCTION("""COMPUTED_VALUE"""),45352.62591416667)</f>
        <v>45352.62591</v>
      </c>
      <c r="B550" s="138" t="str">
        <f>IFERROR(__xludf.DUMMYFUNCTION("""COMPUTED_VALUE"""),"Nitai Chandra Adak ")</f>
        <v>Nitai Chandra Adak </v>
      </c>
      <c r="C550" s="138">
        <f>IFERROR(__xludf.DUMMYFUNCTION("""COMPUTED_VALUE"""),1092.0)</f>
        <v>1092</v>
      </c>
      <c r="D550" s="139">
        <f>IFERROR(__xludf.DUMMYFUNCTION("""COMPUTED_VALUE"""),262.0)</f>
        <v>262</v>
      </c>
      <c r="E550" s="138">
        <f>IFERROR(__xludf.DUMMYFUNCTION("""COMPUTED_VALUE"""),5.0)</f>
        <v>5</v>
      </c>
      <c r="F550" s="138">
        <f>IFERROR(__xludf.DUMMYFUNCTION("""COMPUTED_VALUE"""),4.0)</f>
        <v>4</v>
      </c>
      <c r="G550" s="138">
        <f>IFERROR(__xludf.DUMMYFUNCTION("""COMPUTED_VALUE"""),5.0)</f>
        <v>5</v>
      </c>
      <c r="H550" s="138">
        <f>IFERROR(__xludf.DUMMYFUNCTION("""COMPUTED_VALUE"""),4.0)</f>
        <v>4</v>
      </c>
      <c r="I550" s="138">
        <f>IFERROR(__xludf.DUMMYFUNCTION("""COMPUTED_VALUE"""),4.0)</f>
        <v>4</v>
      </c>
      <c r="J550" s="138">
        <f>IFERROR(__xludf.DUMMYFUNCTION("""COMPUTED_VALUE"""),5.0)</f>
        <v>5</v>
      </c>
      <c r="K550" s="138">
        <f>IFERROR(__xludf.DUMMYFUNCTION("""COMPUTED_VALUE"""),4.0)</f>
        <v>4</v>
      </c>
      <c r="L550" s="138">
        <v>31.0</v>
      </c>
      <c r="M550" s="140" t="str">
        <f>VLOOKUP(text(D550, "#"),'Master Table'!$A:$F, 6, FALSE)</f>
        <v>C-9</v>
      </c>
      <c r="N550" s="141" t="str">
        <f>IFERROR(__xludf.DUMMYFUNCTION("""COMPUTED_VALUE"""),"Excellent manufacturing method to fabricate any complex fiber reinforced polymer composites which is most demanding materials in aerospace, automotive as well as any building materials. ")</f>
        <v>Excellent manufacturing method to fabricate any complex fiber reinforced polymer composites which is most demanding materials in aerospace, automotive as well as any building materials. </v>
      </c>
      <c r="O550" s="142" t="str">
        <f t="shared" si="1"/>
        <v/>
      </c>
      <c r="P550" s="143" t="str">
        <f>IF(ISNA(VLOOKUP(CONCAT(M550,C550), 'Judge Count DO NOT EDIT'!H:H, 1, FALSE)), "ERROR","")</f>
        <v/>
      </c>
      <c r="Q550" s="141"/>
      <c r="R550" s="143"/>
      <c r="S550" s="139" t="str">
        <f t="shared" si="2"/>
        <v>1092262</v>
      </c>
      <c r="T550" s="141"/>
    </row>
    <row r="551">
      <c r="A551" s="137">
        <f>IFERROR(__xludf.DUMMYFUNCTION("""COMPUTED_VALUE"""),45352.63860685185)</f>
        <v>45352.63861</v>
      </c>
      <c r="B551" s="138" t="str">
        <f>IFERROR(__xludf.DUMMYFUNCTION("""COMPUTED_VALUE"""),"Robert Vargas-Belcher")</f>
        <v>Robert Vargas-Belcher</v>
      </c>
      <c r="C551" s="138">
        <f>IFERROR(__xludf.DUMMYFUNCTION("""COMPUTED_VALUE"""),1020.0)</f>
        <v>1020</v>
      </c>
      <c r="D551" s="139">
        <f>IFERROR(__xludf.DUMMYFUNCTION("""COMPUTED_VALUE"""),263.0)</f>
        <v>263</v>
      </c>
      <c r="E551" s="138">
        <f>IFERROR(__xludf.DUMMYFUNCTION("""COMPUTED_VALUE"""),4.0)</f>
        <v>4</v>
      </c>
      <c r="F551" s="138">
        <f>IFERROR(__xludf.DUMMYFUNCTION("""COMPUTED_VALUE"""),4.0)</f>
        <v>4</v>
      </c>
      <c r="G551" s="138">
        <f>IFERROR(__xludf.DUMMYFUNCTION("""COMPUTED_VALUE"""),4.0)</f>
        <v>4</v>
      </c>
      <c r="H551" s="138">
        <f>IFERROR(__xludf.DUMMYFUNCTION("""COMPUTED_VALUE"""),3.0)</f>
        <v>3</v>
      </c>
      <c r="I551" s="138">
        <f>IFERROR(__xludf.DUMMYFUNCTION("""COMPUTED_VALUE"""),3.0)</f>
        <v>3</v>
      </c>
      <c r="J551" s="138">
        <f>IFERROR(__xludf.DUMMYFUNCTION("""COMPUTED_VALUE"""),3.0)</f>
        <v>3</v>
      </c>
      <c r="K551" s="138">
        <f>IFERROR(__xludf.DUMMYFUNCTION("""COMPUTED_VALUE"""),3.0)</f>
        <v>3</v>
      </c>
      <c r="L551" s="138">
        <v>24.0</v>
      </c>
      <c r="M551" s="140" t="str">
        <f>VLOOKUP(text(D551, "#"),'Master Table'!$A:$F, 6, FALSE)</f>
        <v>D-1</v>
      </c>
      <c r="N551" s="141" t="str">
        <f>IFERROR(__xludf.DUMMYFUNCTION("""COMPUTED_VALUE"""),"Thank you for your presentation. Nice work with laying out the problem in an engaging way. Very closely tied to the situation from personal experience. The passion for this issue come through in the presentation. Methods were outlined, but not very clear "&amp;"on how you recruited participants. While some of conclusions may be drawn from the interviews and your experience, it is still unclear with data how this policy implementations has direct effect on negative outcomes on the youth. ")</f>
        <v>Thank you for your presentation. Nice work with laying out the problem in an engaging way. Very closely tied to the situation from personal experience. The passion for this issue come through in the presentation. Methods were outlined, but not very clear on how you recruited participants. While some of conclusions may be drawn from the interviews and your experience, it is still unclear with data how this policy implementations has direct effect on negative outcomes on the youth. </v>
      </c>
      <c r="O551" s="142" t="str">
        <f t="shared" si="1"/>
        <v/>
      </c>
      <c r="P551" s="143" t="str">
        <f>IF(ISNA(VLOOKUP(CONCAT(M551,C551), 'Judge Count DO NOT EDIT'!H:H, 1, FALSE)), "ERROR","")</f>
        <v/>
      </c>
      <c r="Q551" s="141"/>
      <c r="R551" s="143"/>
      <c r="S551" s="139" t="str">
        <f t="shared" si="2"/>
        <v>1020263</v>
      </c>
      <c r="T551" s="141"/>
    </row>
    <row r="552">
      <c r="A552" s="137">
        <f>IFERROR(__xludf.DUMMYFUNCTION("""COMPUTED_VALUE"""),45352.63943952546)</f>
        <v>45352.63944</v>
      </c>
      <c r="B552" s="138" t="str">
        <f>IFERROR(__xludf.DUMMYFUNCTION("""COMPUTED_VALUE"""),"Anthony villarreal")</f>
        <v>Anthony villarreal</v>
      </c>
      <c r="C552" s="138">
        <f>IFERROR(__xludf.DUMMYFUNCTION("""COMPUTED_VALUE"""),1078.0)</f>
        <v>1078</v>
      </c>
      <c r="D552" s="139">
        <f>IFERROR(__xludf.DUMMYFUNCTION("""COMPUTED_VALUE"""),263.0)</f>
        <v>263</v>
      </c>
      <c r="E552" s="138">
        <f>IFERROR(__xludf.DUMMYFUNCTION("""COMPUTED_VALUE"""),4.0)</f>
        <v>4</v>
      </c>
      <c r="F552" s="138">
        <f>IFERROR(__xludf.DUMMYFUNCTION("""COMPUTED_VALUE"""),3.0)</f>
        <v>3</v>
      </c>
      <c r="G552" s="138">
        <f>IFERROR(__xludf.DUMMYFUNCTION("""COMPUTED_VALUE"""),3.0)</f>
        <v>3</v>
      </c>
      <c r="H552" s="138">
        <f>IFERROR(__xludf.DUMMYFUNCTION("""COMPUTED_VALUE"""),3.0)</f>
        <v>3</v>
      </c>
      <c r="I552" s="138">
        <f>IFERROR(__xludf.DUMMYFUNCTION("""COMPUTED_VALUE"""),3.0)</f>
        <v>3</v>
      </c>
      <c r="J552" s="138">
        <f>IFERROR(__xludf.DUMMYFUNCTION("""COMPUTED_VALUE"""),3.0)</f>
        <v>3</v>
      </c>
      <c r="K552" s="138">
        <f>IFERROR(__xludf.DUMMYFUNCTION("""COMPUTED_VALUE"""),4.0)</f>
        <v>4</v>
      </c>
      <c r="L552" s="138">
        <v>23.0</v>
      </c>
      <c r="M552" s="140" t="str">
        <f>VLOOKUP(text(D552, "#"),'Master Table'!$A:$F, 6, FALSE)</f>
        <v>D-1</v>
      </c>
      <c r="N552" s="141" t="str">
        <f>IFERROR(__xludf.DUMMYFUNCTION("""COMPUTED_VALUE"""),"Great background description of research presentation. Work on more description of policy and more in depth of problem statement. You are passionate about your research. Great stuff.")</f>
        <v>Great background description of research presentation. Work on more description of policy and more in depth of problem statement. You are passionate about your research. Great stuff.</v>
      </c>
      <c r="O552" s="142" t="str">
        <f t="shared" si="1"/>
        <v/>
      </c>
      <c r="P552" s="143" t="str">
        <f>IF(ISNA(VLOOKUP(CONCAT(M552,C552), 'Judge Count DO NOT EDIT'!H:H, 1, FALSE)), "ERROR","")</f>
        <v/>
      </c>
      <c r="Q552" s="141"/>
      <c r="R552" s="143"/>
      <c r="S552" s="139" t="str">
        <f t="shared" si="2"/>
        <v>1078263</v>
      </c>
      <c r="T552" s="141"/>
    </row>
    <row r="553">
      <c r="A553" s="137">
        <f>IFERROR(__xludf.DUMMYFUNCTION("""COMPUTED_VALUE"""),45352.86704803241)</f>
        <v>45352.86705</v>
      </c>
      <c r="B553" s="138" t="str">
        <f>IFERROR(__xludf.DUMMYFUNCTION("""COMPUTED_VALUE"""),"Jules Bunn")</f>
        <v>Jules Bunn</v>
      </c>
      <c r="C553" s="138">
        <f>IFERROR(__xludf.DUMMYFUNCTION("""COMPUTED_VALUE"""),1084.0)</f>
        <v>1084</v>
      </c>
      <c r="D553" s="139">
        <f>IFERROR(__xludf.DUMMYFUNCTION("""COMPUTED_VALUE"""),263.0)</f>
        <v>263</v>
      </c>
      <c r="E553" s="138">
        <f>IFERROR(__xludf.DUMMYFUNCTION("""COMPUTED_VALUE"""),3.0)</f>
        <v>3</v>
      </c>
      <c r="F553" s="138">
        <f>IFERROR(__xludf.DUMMYFUNCTION("""COMPUTED_VALUE"""),5.0)</f>
        <v>5</v>
      </c>
      <c r="G553" s="138">
        <f>IFERROR(__xludf.DUMMYFUNCTION("""COMPUTED_VALUE"""),3.0)</f>
        <v>3</v>
      </c>
      <c r="H553" s="138">
        <f>IFERROR(__xludf.DUMMYFUNCTION("""COMPUTED_VALUE"""),2.0)</f>
        <v>2</v>
      </c>
      <c r="I553" s="138">
        <f>IFERROR(__xludf.DUMMYFUNCTION("""COMPUTED_VALUE"""),4.0)</f>
        <v>4</v>
      </c>
      <c r="J553" s="138">
        <f>IFERROR(__xludf.DUMMYFUNCTION("""COMPUTED_VALUE"""),2.0)</f>
        <v>2</v>
      </c>
      <c r="K553" s="138">
        <f>IFERROR(__xludf.DUMMYFUNCTION("""COMPUTED_VALUE"""),4.0)</f>
        <v>4</v>
      </c>
      <c r="L553" s="138">
        <v>23.0</v>
      </c>
      <c r="M553" s="140" t="str">
        <f>VLOOKUP(text(D553, "#"),'Master Table'!$A:$F, 6, FALSE)</f>
        <v>D-1</v>
      </c>
      <c r="N553" s="141"/>
      <c r="O553" s="142" t="str">
        <f t="shared" si="1"/>
        <v/>
      </c>
      <c r="P553" s="143" t="str">
        <f>IF(ISNA(VLOOKUP(CONCAT(M553,C553), 'Judge Count DO NOT EDIT'!H:H, 1, FALSE)), "ERROR","")</f>
        <v/>
      </c>
      <c r="Q553" s="141"/>
      <c r="R553" s="143"/>
      <c r="S553" s="139" t="str">
        <f t="shared" si="2"/>
        <v>1084263</v>
      </c>
      <c r="T553" s="141"/>
    </row>
    <row r="554">
      <c r="A554" s="137">
        <f>IFERROR(__xludf.DUMMYFUNCTION("""COMPUTED_VALUE"""),45352.65034910879)</f>
        <v>45352.65035</v>
      </c>
      <c r="B554" s="138" t="str">
        <f>IFERROR(__xludf.DUMMYFUNCTION("""COMPUTED_VALUE"""),"Anthony villarreal")</f>
        <v>Anthony villarreal</v>
      </c>
      <c r="C554" s="138">
        <f>IFERROR(__xludf.DUMMYFUNCTION("""COMPUTED_VALUE"""),1078.0)</f>
        <v>1078</v>
      </c>
      <c r="D554" s="139">
        <f>IFERROR(__xludf.DUMMYFUNCTION("""COMPUTED_VALUE"""),264.0)</f>
        <v>264</v>
      </c>
      <c r="E554" s="138">
        <f>IFERROR(__xludf.DUMMYFUNCTION("""COMPUTED_VALUE"""),4.0)</f>
        <v>4</v>
      </c>
      <c r="F554" s="138">
        <f>IFERROR(__xludf.DUMMYFUNCTION("""COMPUTED_VALUE"""),3.0)</f>
        <v>3</v>
      </c>
      <c r="G554" s="138">
        <f>IFERROR(__xludf.DUMMYFUNCTION("""COMPUTED_VALUE"""),4.0)</f>
        <v>4</v>
      </c>
      <c r="H554" s="138">
        <f>IFERROR(__xludf.DUMMYFUNCTION("""COMPUTED_VALUE"""),3.0)</f>
        <v>3</v>
      </c>
      <c r="I554" s="138">
        <f>IFERROR(__xludf.DUMMYFUNCTION("""COMPUTED_VALUE"""),3.0)</f>
        <v>3</v>
      </c>
      <c r="J554" s="138">
        <f>IFERROR(__xludf.DUMMYFUNCTION("""COMPUTED_VALUE"""),4.0)</f>
        <v>4</v>
      </c>
      <c r="K554" s="138">
        <f>IFERROR(__xludf.DUMMYFUNCTION("""COMPUTED_VALUE"""),3.0)</f>
        <v>3</v>
      </c>
      <c r="L554" s="138">
        <v>24.0</v>
      </c>
      <c r="M554" s="140" t="str">
        <f>VLOOKUP(text(D554, "#"),'Master Table'!$A:$F, 6, FALSE)</f>
        <v>D-1</v>
      </c>
      <c r="N554" s="141" t="str">
        <f>IFERROR(__xludf.DUMMYFUNCTION("""COMPUTED_VALUE""")," interesting research.  Would like to see examples or the use of current life scenarios to support uour research. Great information shared. Great use of music and explaining what we listened to.  The breakdown of the audio was really interesting. ")</f>
        <v> interesting research.  Would like to see examples or the use of current life scenarios to support uour research. Great information shared. Great use of music and explaining what we listened to.  The breakdown of the audio was really interesting. </v>
      </c>
      <c r="O554" s="142" t="str">
        <f t="shared" si="1"/>
        <v/>
      </c>
      <c r="P554" s="143" t="str">
        <f>IF(ISNA(VLOOKUP(CONCAT(M554,C554), 'Judge Count DO NOT EDIT'!H:H, 1, FALSE)), "ERROR","")</f>
        <v/>
      </c>
      <c r="Q554" s="141"/>
      <c r="R554" s="143"/>
      <c r="S554" s="139" t="str">
        <f t="shared" si="2"/>
        <v>1078264</v>
      </c>
      <c r="T554" s="141"/>
    </row>
    <row r="555">
      <c r="A555" s="137">
        <f>IFERROR(__xludf.DUMMYFUNCTION("""COMPUTED_VALUE"""),45352.65357876157)</f>
        <v>45352.65358</v>
      </c>
      <c r="B555" s="138" t="str">
        <f>IFERROR(__xludf.DUMMYFUNCTION("""COMPUTED_VALUE"""),"Robert Vargas-Belcher")</f>
        <v>Robert Vargas-Belcher</v>
      </c>
      <c r="C555" s="138">
        <f>IFERROR(__xludf.DUMMYFUNCTION("""COMPUTED_VALUE"""),1020.0)</f>
        <v>1020</v>
      </c>
      <c r="D555" s="139">
        <f>IFERROR(__xludf.DUMMYFUNCTION("""COMPUTED_VALUE"""),264.0)</f>
        <v>264</v>
      </c>
      <c r="E555" s="138">
        <f>IFERROR(__xludf.DUMMYFUNCTION("""COMPUTED_VALUE"""),4.0)</f>
        <v>4</v>
      </c>
      <c r="F555" s="138">
        <f>IFERROR(__xludf.DUMMYFUNCTION("""COMPUTED_VALUE"""),4.0)</f>
        <v>4</v>
      </c>
      <c r="G555" s="138">
        <f>IFERROR(__xludf.DUMMYFUNCTION("""COMPUTED_VALUE"""),4.0)</f>
        <v>4</v>
      </c>
      <c r="H555" s="138">
        <f>IFERROR(__xludf.DUMMYFUNCTION("""COMPUTED_VALUE"""),4.0)</f>
        <v>4</v>
      </c>
      <c r="I555" s="138">
        <f>IFERROR(__xludf.DUMMYFUNCTION("""COMPUTED_VALUE"""),3.0)</f>
        <v>3</v>
      </c>
      <c r="J555" s="138">
        <f>IFERROR(__xludf.DUMMYFUNCTION("""COMPUTED_VALUE"""),3.0)</f>
        <v>3</v>
      </c>
      <c r="K555" s="138">
        <f>IFERROR(__xludf.DUMMYFUNCTION("""COMPUTED_VALUE"""),4.0)</f>
        <v>4</v>
      </c>
      <c r="L555" s="138">
        <v>26.0</v>
      </c>
      <c r="M555" s="140" t="str">
        <f>VLOOKUP(text(D555, "#"),'Master Table'!$A:$F, 6, FALSE)</f>
        <v>D-1</v>
      </c>
      <c r="N555" s="141" t="str">
        <f>IFERROR(__xludf.DUMMYFUNCTION("""COMPUTED_VALUE"""),"Good presentation. Very interesting attempting to explain the musical accomplishments of composer that is not living and wasn't around when current diagnosis exist. In laying out your talking points to those in the audience, you could have dedicated some "&amp;"time to explain the various terms and phrases that might not have knowledge in this area.  Very interesting conceptualization on viewing mental health. This further move to a holistic approach would appear not just have impact on music and mental health, "&amp;"but mental health in general. ")</f>
        <v>Good presentation. Very interesting attempting to explain the musical accomplishments of composer that is not living and wasn't around when current diagnosis exist. In laying out your talking points to those in the audience, you could have dedicated some time to explain the various terms and phrases that might not have knowledge in this area.  Very interesting conceptualization on viewing mental health. This further move to a holistic approach would appear not just have impact on music and mental health, but mental health in general. </v>
      </c>
      <c r="O555" s="142" t="str">
        <f t="shared" si="1"/>
        <v/>
      </c>
      <c r="P555" s="143" t="str">
        <f>IF(ISNA(VLOOKUP(CONCAT(M555,C555), 'Judge Count DO NOT EDIT'!H:H, 1, FALSE)), "ERROR","")</f>
        <v/>
      </c>
      <c r="Q555" s="141"/>
      <c r="R555" s="143"/>
      <c r="S555" s="139" t="str">
        <f t="shared" si="2"/>
        <v>1020264</v>
      </c>
      <c r="T555" s="141"/>
    </row>
    <row r="556">
      <c r="A556" s="137">
        <f>IFERROR(__xludf.DUMMYFUNCTION("""COMPUTED_VALUE"""),45352.86758284722)</f>
        <v>45352.86758</v>
      </c>
      <c r="B556" s="138" t="str">
        <f>IFERROR(__xludf.DUMMYFUNCTION("""COMPUTED_VALUE"""),"Jules Bunn")</f>
        <v>Jules Bunn</v>
      </c>
      <c r="C556" s="138">
        <f>IFERROR(__xludf.DUMMYFUNCTION("""COMPUTED_VALUE"""),1084.0)</f>
        <v>1084</v>
      </c>
      <c r="D556" s="139">
        <f>IFERROR(__xludf.DUMMYFUNCTION("""COMPUTED_VALUE"""),264.0)</f>
        <v>264</v>
      </c>
      <c r="E556" s="138">
        <f>IFERROR(__xludf.DUMMYFUNCTION("""COMPUTED_VALUE"""),4.0)</f>
        <v>4</v>
      </c>
      <c r="F556" s="138">
        <f>IFERROR(__xludf.DUMMYFUNCTION("""COMPUTED_VALUE"""),5.0)</f>
        <v>5</v>
      </c>
      <c r="G556" s="138">
        <f>IFERROR(__xludf.DUMMYFUNCTION("""COMPUTED_VALUE"""),3.0)</f>
        <v>3</v>
      </c>
      <c r="H556" s="138">
        <f>IFERROR(__xludf.DUMMYFUNCTION("""COMPUTED_VALUE"""),4.0)</f>
        <v>4</v>
      </c>
      <c r="I556" s="138">
        <f>IFERROR(__xludf.DUMMYFUNCTION("""COMPUTED_VALUE"""),4.0)</f>
        <v>4</v>
      </c>
      <c r="J556" s="138">
        <f>IFERROR(__xludf.DUMMYFUNCTION("""COMPUTED_VALUE"""),5.0)</f>
        <v>5</v>
      </c>
      <c r="K556" s="138">
        <f>IFERROR(__xludf.DUMMYFUNCTION("""COMPUTED_VALUE"""),4.0)</f>
        <v>4</v>
      </c>
      <c r="L556" s="138">
        <v>29.0</v>
      </c>
      <c r="M556" s="140" t="str">
        <f>VLOOKUP(text(D556, "#"),'Master Table'!$A:$F, 6, FALSE)</f>
        <v>D-1</v>
      </c>
      <c r="N556" s="141"/>
      <c r="O556" s="142" t="str">
        <f t="shared" si="1"/>
        <v/>
      </c>
      <c r="P556" s="143" t="str">
        <f>IF(ISNA(VLOOKUP(CONCAT(M556,C556), 'Judge Count DO NOT EDIT'!H:H, 1, FALSE)), "ERROR","")</f>
        <v/>
      </c>
      <c r="Q556" s="141"/>
      <c r="R556" s="143"/>
      <c r="S556" s="139" t="str">
        <f t="shared" si="2"/>
        <v>1084264</v>
      </c>
      <c r="T556" s="141"/>
    </row>
    <row r="557">
      <c r="A557" s="137">
        <f>IFERROR(__xludf.DUMMYFUNCTION("""COMPUTED_VALUE"""),45352.663008159725)</f>
        <v>45352.66301</v>
      </c>
      <c r="B557" s="138" t="str">
        <f>IFERROR(__xludf.DUMMYFUNCTION("""COMPUTED_VALUE"""),"Anthony villarreal")</f>
        <v>Anthony villarreal</v>
      </c>
      <c r="C557" s="138">
        <f>IFERROR(__xludf.DUMMYFUNCTION("""COMPUTED_VALUE"""),1078.0)</f>
        <v>1078</v>
      </c>
      <c r="D557" s="139">
        <f>IFERROR(__xludf.DUMMYFUNCTION("""COMPUTED_VALUE"""),265.0)</f>
        <v>265</v>
      </c>
      <c r="E557" s="138">
        <f>IFERROR(__xludf.DUMMYFUNCTION("""COMPUTED_VALUE"""),4.0)</f>
        <v>4</v>
      </c>
      <c r="F557" s="138">
        <f>IFERROR(__xludf.DUMMYFUNCTION("""COMPUTED_VALUE"""),3.0)</f>
        <v>3</v>
      </c>
      <c r="G557" s="138">
        <f>IFERROR(__xludf.DUMMYFUNCTION("""COMPUTED_VALUE"""),3.0)</f>
        <v>3</v>
      </c>
      <c r="H557" s="138">
        <f>IFERROR(__xludf.DUMMYFUNCTION("""COMPUTED_VALUE"""),3.0)</f>
        <v>3</v>
      </c>
      <c r="I557" s="138">
        <f>IFERROR(__xludf.DUMMYFUNCTION("""COMPUTED_VALUE"""),3.0)</f>
        <v>3</v>
      </c>
      <c r="J557" s="138">
        <f>IFERROR(__xludf.DUMMYFUNCTION("""COMPUTED_VALUE"""),3.0)</f>
        <v>3</v>
      </c>
      <c r="K557" s="138">
        <f>IFERROR(__xludf.DUMMYFUNCTION("""COMPUTED_VALUE"""),3.0)</f>
        <v>3</v>
      </c>
      <c r="L557" s="138">
        <v>22.0</v>
      </c>
      <c r="M557" s="140" t="str">
        <f>VLOOKUP(text(D557, "#"),'Master Table'!$A:$F, 6, FALSE)</f>
        <v>D-1</v>
      </c>
      <c r="N557" s="141" t="str">
        <f>IFERROR(__xludf.DUMMYFUNCTION("""COMPUTED_VALUE"""),"Great explanation of deodorizing, racial capitalism and the impact it had in the black community. This is great in that it shows how far the African American community has come from in the U.S")</f>
        <v>Great explanation of deodorizing, racial capitalism and the impact it had in the black community. This is great in that it shows how far the African American community has come from in the U.S</v>
      </c>
      <c r="O557" s="142" t="str">
        <f t="shared" si="1"/>
        <v/>
      </c>
      <c r="P557" s="143" t="str">
        <f>IF(ISNA(VLOOKUP(CONCAT(M557,C557), 'Judge Count DO NOT EDIT'!H:H, 1, FALSE)), "ERROR","")</f>
        <v/>
      </c>
      <c r="Q557" s="141"/>
      <c r="R557" s="143"/>
      <c r="S557" s="139" t="str">
        <f t="shared" si="2"/>
        <v>1078265</v>
      </c>
      <c r="T557" s="141"/>
    </row>
    <row r="558">
      <c r="A558" s="137">
        <f>IFERROR(__xludf.DUMMYFUNCTION("""COMPUTED_VALUE"""),45352.66754275463)</f>
        <v>45352.66754</v>
      </c>
      <c r="B558" s="138" t="str">
        <f>IFERROR(__xludf.DUMMYFUNCTION("""COMPUTED_VALUE"""),"Robert Vargas-Belcher")</f>
        <v>Robert Vargas-Belcher</v>
      </c>
      <c r="C558" s="138">
        <f>IFERROR(__xludf.DUMMYFUNCTION("""COMPUTED_VALUE"""),1020.0)</f>
        <v>1020</v>
      </c>
      <c r="D558" s="139">
        <f>IFERROR(__xludf.DUMMYFUNCTION("""COMPUTED_VALUE"""),265.0)</f>
        <v>265</v>
      </c>
      <c r="E558" s="138">
        <f>IFERROR(__xludf.DUMMYFUNCTION("""COMPUTED_VALUE"""),4.0)</f>
        <v>4</v>
      </c>
      <c r="F558" s="138">
        <f>IFERROR(__xludf.DUMMYFUNCTION("""COMPUTED_VALUE"""),4.0)</f>
        <v>4</v>
      </c>
      <c r="G558" s="138">
        <f>IFERROR(__xludf.DUMMYFUNCTION("""COMPUTED_VALUE"""),4.0)</f>
        <v>4</v>
      </c>
      <c r="H558" s="138">
        <f>IFERROR(__xludf.DUMMYFUNCTION("""COMPUTED_VALUE"""),3.0)</f>
        <v>3</v>
      </c>
      <c r="I558" s="138">
        <f>IFERROR(__xludf.DUMMYFUNCTION("""COMPUTED_VALUE"""),4.0)</f>
        <v>4</v>
      </c>
      <c r="J558" s="138">
        <f>IFERROR(__xludf.DUMMYFUNCTION("""COMPUTED_VALUE"""),4.0)</f>
        <v>4</v>
      </c>
      <c r="K558" s="138">
        <f>IFERROR(__xludf.DUMMYFUNCTION("""COMPUTED_VALUE"""),4.0)</f>
        <v>4</v>
      </c>
      <c r="L558" s="138">
        <v>27.0</v>
      </c>
      <c r="M558" s="140" t="str">
        <f>VLOOKUP(text(D558, "#"),'Master Table'!$A:$F, 6, FALSE)</f>
        <v>D-1</v>
      </c>
      <c r="N558" s="141" t="str">
        <f>IFERROR(__xludf.DUMMYFUNCTION("""COMPUTED_VALUE"""),"Thank you for your presentation. I highly important subject matter that needs to be discussed. Appreciate the journey you took the group on to explain your topic, especially for those that might not know much about this topic other then what they hear in "&amp;"the news. I would encourage you to think about practical, on the ground, implications for this research and how it could benefit the community today.")</f>
        <v>Thank you for your presentation. I highly important subject matter that needs to be discussed. Appreciate the journey you took the group on to explain your topic, especially for those that might not know much about this topic other then what they hear in the news. I would encourage you to think about practical, on the ground, implications for this research and how it could benefit the community today.</v>
      </c>
      <c r="O558" s="142" t="str">
        <f t="shared" si="1"/>
        <v/>
      </c>
      <c r="P558" s="143" t="str">
        <f>IF(ISNA(VLOOKUP(CONCAT(M558,C558), 'Judge Count DO NOT EDIT'!H:H, 1, FALSE)), "ERROR","")</f>
        <v/>
      </c>
      <c r="Q558" s="141"/>
      <c r="R558" s="143"/>
      <c r="S558" s="139" t="str">
        <f t="shared" si="2"/>
        <v>1020265</v>
      </c>
      <c r="T558" s="141"/>
    </row>
    <row r="559">
      <c r="A559" s="137">
        <f>IFERROR(__xludf.DUMMYFUNCTION("""COMPUTED_VALUE"""),45352.86830833333)</f>
        <v>45352.86831</v>
      </c>
      <c r="B559" s="138" t="str">
        <f>IFERROR(__xludf.DUMMYFUNCTION("""COMPUTED_VALUE"""),"Jules Bunn")</f>
        <v>Jules Bunn</v>
      </c>
      <c r="C559" s="138">
        <f>IFERROR(__xludf.DUMMYFUNCTION("""COMPUTED_VALUE"""),1084.0)</f>
        <v>1084</v>
      </c>
      <c r="D559" s="139">
        <f>IFERROR(__xludf.DUMMYFUNCTION("""COMPUTED_VALUE"""),265.0)</f>
        <v>265</v>
      </c>
      <c r="E559" s="138">
        <f>IFERROR(__xludf.DUMMYFUNCTION("""COMPUTED_VALUE"""),4.0)</f>
        <v>4</v>
      </c>
      <c r="F559" s="138">
        <f>IFERROR(__xludf.DUMMYFUNCTION("""COMPUTED_VALUE"""),4.0)</f>
        <v>4</v>
      </c>
      <c r="G559" s="138">
        <f>IFERROR(__xludf.DUMMYFUNCTION("""COMPUTED_VALUE"""),3.0)</f>
        <v>3</v>
      </c>
      <c r="H559" s="138">
        <f>IFERROR(__xludf.DUMMYFUNCTION("""COMPUTED_VALUE"""),3.0)</f>
        <v>3</v>
      </c>
      <c r="I559" s="138">
        <f>IFERROR(__xludf.DUMMYFUNCTION("""COMPUTED_VALUE"""),3.0)</f>
        <v>3</v>
      </c>
      <c r="J559" s="138">
        <f>IFERROR(__xludf.DUMMYFUNCTION("""COMPUTED_VALUE"""),5.0)</f>
        <v>5</v>
      </c>
      <c r="K559" s="138">
        <f>IFERROR(__xludf.DUMMYFUNCTION("""COMPUTED_VALUE"""),4.0)</f>
        <v>4</v>
      </c>
      <c r="L559" s="138">
        <v>26.0</v>
      </c>
      <c r="M559" s="140" t="str">
        <f>VLOOKUP(text(D559, "#"),'Master Table'!$A:$F, 6, FALSE)</f>
        <v>D-1</v>
      </c>
      <c r="N559" s="141"/>
      <c r="O559" s="142" t="str">
        <f t="shared" si="1"/>
        <v/>
      </c>
      <c r="P559" s="143" t="str">
        <f>IF(ISNA(VLOOKUP(CONCAT(M559,C559), 'Judge Count DO NOT EDIT'!H:H, 1, FALSE)), "ERROR","")</f>
        <v/>
      </c>
      <c r="Q559" s="141"/>
      <c r="R559" s="143"/>
      <c r="S559" s="139" t="str">
        <f t="shared" si="2"/>
        <v>1084265</v>
      </c>
      <c r="T559" s="141"/>
    </row>
    <row r="560">
      <c r="A560" s="137">
        <f>IFERROR(__xludf.DUMMYFUNCTION("""COMPUTED_VALUE"""),45352.86880145833)</f>
        <v>45352.8688</v>
      </c>
      <c r="B560" s="138" t="str">
        <f>IFERROR(__xludf.DUMMYFUNCTION("""COMPUTED_VALUE"""),"Jules Bunn")</f>
        <v>Jules Bunn</v>
      </c>
      <c r="C560" s="138">
        <f>IFERROR(__xludf.DUMMYFUNCTION("""COMPUTED_VALUE"""),1084.0)</f>
        <v>1084</v>
      </c>
      <c r="D560" s="139">
        <f>IFERROR(__xludf.DUMMYFUNCTION("""COMPUTED_VALUE"""),266.0)</f>
        <v>266</v>
      </c>
      <c r="E560" s="138">
        <f>IFERROR(__xludf.DUMMYFUNCTION("""COMPUTED_VALUE"""),2.0)</f>
        <v>2</v>
      </c>
      <c r="F560" s="138">
        <f>IFERROR(__xludf.DUMMYFUNCTION("""COMPUTED_VALUE"""),5.0)</f>
        <v>5</v>
      </c>
      <c r="G560" s="138">
        <f>IFERROR(__xludf.DUMMYFUNCTION("""COMPUTED_VALUE"""),2.0)</f>
        <v>2</v>
      </c>
      <c r="H560" s="138">
        <f>IFERROR(__xludf.DUMMYFUNCTION("""COMPUTED_VALUE"""),3.0)</f>
        <v>3</v>
      </c>
      <c r="I560" s="138">
        <f>IFERROR(__xludf.DUMMYFUNCTION("""COMPUTED_VALUE"""),3.0)</f>
        <v>3</v>
      </c>
      <c r="J560" s="138">
        <f>IFERROR(__xludf.DUMMYFUNCTION("""COMPUTED_VALUE"""),2.0)</f>
        <v>2</v>
      </c>
      <c r="K560" s="138">
        <f>IFERROR(__xludf.DUMMYFUNCTION("""COMPUTED_VALUE"""),3.0)</f>
        <v>3</v>
      </c>
      <c r="L560" s="138">
        <v>20.0</v>
      </c>
      <c r="M560" s="140" t="str">
        <f>VLOOKUP(text(D560, "#"),'Master Table'!$A:$F, 6, FALSE)</f>
        <v>D-1</v>
      </c>
      <c r="N560" s="141"/>
      <c r="O560" s="142" t="str">
        <f t="shared" si="1"/>
        <v/>
      </c>
      <c r="P560" s="143" t="str">
        <f>IF(ISNA(VLOOKUP(CONCAT(M560,C560), 'Judge Count DO NOT EDIT'!H:H, 1, FALSE)), "ERROR","")</f>
        <v/>
      </c>
      <c r="Q560" s="141"/>
      <c r="R560" s="143"/>
      <c r="S560" s="139" t="str">
        <f t="shared" si="2"/>
        <v>1084266</v>
      </c>
      <c r="T560" s="141"/>
    </row>
    <row r="561">
      <c r="A561" s="137">
        <f>IFERROR(__xludf.DUMMYFUNCTION("""COMPUTED_VALUE"""),45352.70934130787)</f>
        <v>45352.70934</v>
      </c>
      <c r="B561" s="138" t="str">
        <f>IFERROR(__xludf.DUMMYFUNCTION("""COMPUTED_VALUE"""),"Robert Vargas-Belcher")</f>
        <v>Robert Vargas-Belcher</v>
      </c>
      <c r="C561" s="138">
        <f>IFERROR(__xludf.DUMMYFUNCTION("""COMPUTED_VALUE"""),1020.0)</f>
        <v>1020</v>
      </c>
      <c r="D561" s="139">
        <f>IFERROR(__xludf.DUMMYFUNCTION("""COMPUTED_VALUE"""),268.0)</f>
        <v>268</v>
      </c>
      <c r="E561" s="138">
        <f>IFERROR(__xludf.DUMMYFUNCTION("""COMPUTED_VALUE"""),3.0)</f>
        <v>3</v>
      </c>
      <c r="F561" s="138">
        <f>IFERROR(__xludf.DUMMYFUNCTION("""COMPUTED_VALUE"""),4.0)</f>
        <v>4</v>
      </c>
      <c r="G561" s="138">
        <f>IFERROR(__xludf.DUMMYFUNCTION("""COMPUTED_VALUE"""),4.0)</f>
        <v>4</v>
      </c>
      <c r="H561" s="138">
        <f>IFERROR(__xludf.DUMMYFUNCTION("""COMPUTED_VALUE"""),3.0)</f>
        <v>3</v>
      </c>
      <c r="I561" s="138">
        <f>IFERROR(__xludf.DUMMYFUNCTION("""COMPUTED_VALUE"""),3.0)</f>
        <v>3</v>
      </c>
      <c r="J561" s="138">
        <f>IFERROR(__xludf.DUMMYFUNCTION("""COMPUTED_VALUE"""),3.0)</f>
        <v>3</v>
      </c>
      <c r="K561" s="138">
        <f>IFERROR(__xludf.DUMMYFUNCTION("""COMPUTED_VALUE"""),4.0)</f>
        <v>4</v>
      </c>
      <c r="L561" s="138">
        <v>24.0</v>
      </c>
      <c r="M561" s="140" t="str">
        <f>VLOOKUP(text(D561, "#"),'Master Table'!$A:$F, 6, FALSE)</f>
        <v>D-1</v>
      </c>
      <c r="N561" s="141" t="str">
        <f>IFERROR(__xludf.DUMMYFUNCTION("""COMPUTED_VALUE"""),"Thank you for your presentation. Clearly showed how your research will impact the current subject matter. Additionally, I would encourage you to lay your thoughts out a little more plainly. Great data set and I would be interested in seeing where you take"&amp;" this data.")</f>
        <v>Thank you for your presentation. Clearly showed how your research will impact the current subject matter. Additionally, I would encourage you to lay your thoughts out a little more plainly. Great data set and I would be interested in seeing where you take this data.</v>
      </c>
      <c r="O561" s="142" t="str">
        <f t="shared" si="1"/>
        <v/>
      </c>
      <c r="P561" s="143" t="str">
        <f>IF(ISNA(VLOOKUP(CONCAT(M561,C561), 'Judge Count DO NOT EDIT'!H:H, 1, FALSE)), "ERROR","")</f>
        <v/>
      </c>
      <c r="Q561" s="141"/>
      <c r="R561" s="143"/>
      <c r="S561" s="139" t="str">
        <f t="shared" si="2"/>
        <v>1020268</v>
      </c>
      <c r="T561" s="141"/>
    </row>
    <row r="562">
      <c r="A562" s="137">
        <f>IFERROR(__xludf.DUMMYFUNCTION("""COMPUTED_VALUE"""),45352.71837703703)</f>
        <v>45352.71838</v>
      </c>
      <c r="B562" s="138" t="str">
        <f>IFERROR(__xludf.DUMMYFUNCTION("""COMPUTED_VALUE"""),"Matthew Hebert")</f>
        <v>Matthew Hebert</v>
      </c>
      <c r="C562" s="138">
        <f>IFERROR(__xludf.DUMMYFUNCTION("""COMPUTED_VALUE"""),1021.0)</f>
        <v>1021</v>
      </c>
      <c r="D562" s="139">
        <f>IFERROR(__xludf.DUMMYFUNCTION("""COMPUTED_VALUE"""),268.0)</f>
        <v>268</v>
      </c>
      <c r="E562" s="138">
        <f>IFERROR(__xludf.DUMMYFUNCTION("""COMPUTED_VALUE"""),5.0)</f>
        <v>5</v>
      </c>
      <c r="F562" s="138">
        <f>IFERROR(__xludf.DUMMYFUNCTION("""COMPUTED_VALUE"""),5.0)</f>
        <v>5</v>
      </c>
      <c r="G562" s="138">
        <f>IFERROR(__xludf.DUMMYFUNCTION("""COMPUTED_VALUE"""),4.0)</f>
        <v>4</v>
      </c>
      <c r="H562" s="138">
        <f>IFERROR(__xludf.DUMMYFUNCTION("""COMPUTED_VALUE"""),5.0)</f>
        <v>5</v>
      </c>
      <c r="I562" s="138">
        <f>IFERROR(__xludf.DUMMYFUNCTION("""COMPUTED_VALUE"""),5.0)</f>
        <v>5</v>
      </c>
      <c r="J562" s="138">
        <f>IFERROR(__xludf.DUMMYFUNCTION("""COMPUTED_VALUE"""),4.0)</f>
        <v>4</v>
      </c>
      <c r="K562" s="138">
        <f>IFERROR(__xludf.DUMMYFUNCTION("""COMPUTED_VALUE"""),5.0)</f>
        <v>5</v>
      </c>
      <c r="L562" s="138">
        <v>33.0</v>
      </c>
      <c r="M562" s="140" t="str">
        <f>VLOOKUP(text(D562, "#"),'Master Table'!$A:$F, 6, FALSE)</f>
        <v>D-1</v>
      </c>
      <c r="N562" s="141" t="str">
        <f>IFERROR(__xludf.DUMMYFUNCTION("""COMPUTED_VALUE"""),"Great job, your presentation was thoroughly enjoyable and important. I appreciated the way you presented...I know you were trying to speak verbatim to what you may have practiced, but a lot of it came out as if you were just speaking to us so that we coul"&amp;"d understand. For visuals, I would recommend breaking them into additional slides, providing more bullet points and clarity with charts, etc. Great job!")</f>
        <v>Great job, your presentation was thoroughly enjoyable and important. I appreciated the way you presented...I know you were trying to speak verbatim to what you may have practiced, but a lot of it came out as if you were just speaking to us so that we could understand. For visuals, I would recommend breaking them into additional slides, providing more bullet points and clarity with charts, etc. Great job!</v>
      </c>
      <c r="O562" s="142" t="str">
        <f t="shared" si="1"/>
        <v/>
      </c>
      <c r="P562" s="143" t="str">
        <f>IF(ISNA(VLOOKUP(CONCAT(M562,C562), 'Judge Count DO NOT EDIT'!H:H, 1, FALSE)), "ERROR","")</f>
        <v/>
      </c>
      <c r="Q562" s="141"/>
      <c r="R562" s="143"/>
      <c r="S562" s="139" t="str">
        <f t="shared" si="2"/>
        <v>1021268</v>
      </c>
      <c r="T562" s="141"/>
    </row>
    <row r="563">
      <c r="A563" s="137">
        <f>IFERROR(__xludf.DUMMYFUNCTION("""COMPUTED_VALUE"""),45352.86953354167)</f>
        <v>45352.86953</v>
      </c>
      <c r="B563" s="138" t="str">
        <f>IFERROR(__xludf.DUMMYFUNCTION("""COMPUTED_VALUE"""),"Jules Bunn")</f>
        <v>Jules Bunn</v>
      </c>
      <c r="C563" s="138">
        <f>IFERROR(__xludf.DUMMYFUNCTION("""COMPUTED_VALUE"""),1084.0)</f>
        <v>1084</v>
      </c>
      <c r="D563" s="139">
        <f>IFERROR(__xludf.DUMMYFUNCTION("""COMPUTED_VALUE"""),268.0)</f>
        <v>268</v>
      </c>
      <c r="E563" s="138">
        <f>IFERROR(__xludf.DUMMYFUNCTION("""COMPUTED_VALUE"""),4.0)</f>
        <v>4</v>
      </c>
      <c r="F563" s="138">
        <f>IFERROR(__xludf.DUMMYFUNCTION("""COMPUTED_VALUE"""),5.0)</f>
        <v>5</v>
      </c>
      <c r="G563" s="138">
        <f>IFERROR(__xludf.DUMMYFUNCTION("""COMPUTED_VALUE"""),4.0)</f>
        <v>4</v>
      </c>
      <c r="H563" s="138">
        <f>IFERROR(__xludf.DUMMYFUNCTION("""COMPUTED_VALUE"""),4.0)</f>
        <v>4</v>
      </c>
      <c r="I563" s="138">
        <f>IFERROR(__xludf.DUMMYFUNCTION("""COMPUTED_VALUE"""),5.0)</f>
        <v>5</v>
      </c>
      <c r="J563" s="138">
        <f>IFERROR(__xludf.DUMMYFUNCTION("""COMPUTED_VALUE"""),4.0)</f>
        <v>4</v>
      </c>
      <c r="K563" s="138">
        <f>IFERROR(__xludf.DUMMYFUNCTION("""COMPUTED_VALUE"""),4.0)</f>
        <v>4</v>
      </c>
      <c r="L563" s="138">
        <v>30.0</v>
      </c>
      <c r="M563" s="140" t="str">
        <f>VLOOKUP(text(D563, "#"),'Master Table'!$A:$F, 6, FALSE)</f>
        <v>D-1</v>
      </c>
      <c r="N563" s="141"/>
      <c r="O563" s="142" t="str">
        <f t="shared" si="1"/>
        <v/>
      </c>
      <c r="P563" s="143" t="str">
        <f>IF(ISNA(VLOOKUP(CONCAT(M563,C563), 'Judge Count DO NOT EDIT'!H:H, 1, FALSE)), "ERROR","")</f>
        <v/>
      </c>
      <c r="Q563" s="141"/>
      <c r="R563" s="143"/>
      <c r="S563" s="139" t="str">
        <f t="shared" si="2"/>
        <v>1084268</v>
      </c>
      <c r="T563" s="141"/>
    </row>
    <row r="564">
      <c r="A564" s="137">
        <f>IFERROR(__xludf.DUMMYFUNCTION("""COMPUTED_VALUE"""),45352.63710443287)</f>
        <v>45352.6371</v>
      </c>
      <c r="B564" s="138" t="str">
        <f>IFERROR(__xludf.DUMMYFUNCTION("""COMPUTED_VALUE"""),"Kaylee Ramage")</f>
        <v>Kaylee Ramage</v>
      </c>
      <c r="C564" s="138">
        <f>IFERROR(__xludf.DUMMYFUNCTION("""COMPUTED_VALUE"""),1102.0)</f>
        <v>1102</v>
      </c>
      <c r="D564" s="139">
        <f>IFERROR(__xludf.DUMMYFUNCTION("""COMPUTED_VALUE"""),269.0)</f>
        <v>269</v>
      </c>
      <c r="E564" s="138">
        <f>IFERROR(__xludf.DUMMYFUNCTION("""COMPUTED_VALUE"""),4.0)</f>
        <v>4</v>
      </c>
      <c r="F564" s="138">
        <f>IFERROR(__xludf.DUMMYFUNCTION("""COMPUTED_VALUE"""),5.0)</f>
        <v>5</v>
      </c>
      <c r="G564" s="138">
        <f>IFERROR(__xludf.DUMMYFUNCTION("""COMPUTED_VALUE"""),4.0)</f>
        <v>4</v>
      </c>
      <c r="H564" s="138">
        <f>IFERROR(__xludf.DUMMYFUNCTION("""COMPUTED_VALUE"""),4.0)</f>
        <v>4</v>
      </c>
      <c r="I564" s="138">
        <f>IFERROR(__xludf.DUMMYFUNCTION("""COMPUTED_VALUE"""),5.0)</f>
        <v>5</v>
      </c>
      <c r="J564" s="138">
        <f>IFERROR(__xludf.DUMMYFUNCTION("""COMPUTED_VALUE"""),4.0)</f>
        <v>4</v>
      </c>
      <c r="K564" s="138">
        <f>IFERROR(__xludf.DUMMYFUNCTION("""COMPUTED_VALUE"""),5.0)</f>
        <v>5</v>
      </c>
      <c r="L564" s="138">
        <v>31.0</v>
      </c>
      <c r="M564" s="140" t="str">
        <f>VLOOKUP(text(D564, "#"),'Master Table'!$A:$F, 6, FALSE)</f>
        <v>D-2</v>
      </c>
      <c r="N564" s="141" t="str">
        <f>IFERROR(__xludf.DUMMYFUNCTION("""COMPUTED_VALUE"""),"Great presentation.Great oral presentation skills, you had a clear passion for this subject and a depth of knowledge about the subject area. Be aware that not everyone understands the topic or discipline as deeply as you do - you clearly have spent a lot "&amp;"of time with this subject but in a few spots, I had trouble following your arguments because I got stuck on some of the terms.
Excellent discussion with the audience, helped to understand a lot more of what you meant by some of the terms and what the imp"&amp;"lications of the scoping review are. Your discussion with the audience was really engaging.")</f>
        <v>Great presentation.Great oral presentation skills, you had a clear passion for this subject and a depth of knowledge about the subject area. Be aware that not everyone understands the topic or discipline as deeply as you do - you clearly have spent a lot of time with this subject but in a few spots, I had trouble following your arguments because I got stuck on some of the terms.
Excellent discussion with the audience, helped to understand a lot more of what you meant by some of the terms and what the implications of the scoping review are. Your discussion with the audience was really engaging.</v>
      </c>
      <c r="O564" s="142" t="str">
        <f t="shared" si="1"/>
        <v/>
      </c>
      <c r="P564" s="143" t="str">
        <f>IF(ISNA(VLOOKUP(CONCAT(M564,C564), 'Judge Count DO NOT EDIT'!H:H, 1, FALSE)), "ERROR","")</f>
        <v/>
      </c>
      <c r="Q564" s="141"/>
      <c r="R564" s="143"/>
      <c r="S564" s="139" t="str">
        <f t="shared" si="2"/>
        <v>1102269</v>
      </c>
      <c r="T564" s="141"/>
    </row>
    <row r="565">
      <c r="A565" s="137">
        <f>IFERROR(__xludf.DUMMYFUNCTION("""COMPUTED_VALUE"""),45352.638372500005)</f>
        <v>45352.63837</v>
      </c>
      <c r="B565" s="138" t="str">
        <f>IFERROR(__xludf.DUMMYFUNCTION("""COMPUTED_VALUE"""),"Leslie Solomon")</f>
        <v>Leslie Solomon</v>
      </c>
      <c r="C565" s="138">
        <f>IFERROR(__xludf.DUMMYFUNCTION("""COMPUTED_VALUE"""),1178.0)</f>
        <v>1178</v>
      </c>
      <c r="D565" s="139">
        <f>IFERROR(__xludf.DUMMYFUNCTION("""COMPUTED_VALUE"""),269.0)</f>
        <v>269</v>
      </c>
      <c r="E565" s="138">
        <f>IFERROR(__xludf.DUMMYFUNCTION("""COMPUTED_VALUE"""),5.0)</f>
        <v>5</v>
      </c>
      <c r="F565" s="138">
        <f>IFERROR(__xludf.DUMMYFUNCTION("""COMPUTED_VALUE"""),5.0)</f>
        <v>5</v>
      </c>
      <c r="G565" s="138">
        <f>IFERROR(__xludf.DUMMYFUNCTION("""COMPUTED_VALUE"""),4.0)</f>
        <v>4</v>
      </c>
      <c r="H565" s="138">
        <f>IFERROR(__xludf.DUMMYFUNCTION("""COMPUTED_VALUE"""),4.0)</f>
        <v>4</v>
      </c>
      <c r="I565" s="138">
        <f>IFERROR(__xludf.DUMMYFUNCTION("""COMPUTED_VALUE"""),5.0)</f>
        <v>5</v>
      </c>
      <c r="J565" s="138">
        <f>IFERROR(__xludf.DUMMYFUNCTION("""COMPUTED_VALUE"""),5.0)</f>
        <v>5</v>
      </c>
      <c r="K565" s="138">
        <f>IFERROR(__xludf.DUMMYFUNCTION("""COMPUTED_VALUE"""),5.0)</f>
        <v>5</v>
      </c>
      <c r="L565" s="138">
        <v>33.0</v>
      </c>
      <c r="M565" s="140" t="str">
        <f>VLOOKUP(text(D565, "#"),'Master Table'!$A:$F, 6, FALSE)</f>
        <v>D-2</v>
      </c>
      <c r="N565" s="141" t="str">
        <f>IFERROR(__xludf.DUMMYFUNCTION("""COMPUTED_VALUE"""),"Very complex and compelling meta analysis - handled impressively with presence and conviction - wish I’d had a glossary of terms! ")</f>
        <v>Very complex and compelling meta analysis - handled impressively with presence and conviction - wish I’d had a glossary of terms! </v>
      </c>
      <c r="O565" s="142" t="str">
        <f t="shared" si="1"/>
        <v/>
      </c>
      <c r="P565" s="143" t="str">
        <f>IF(ISNA(VLOOKUP(CONCAT(M565,C565), 'Judge Count DO NOT EDIT'!H:H, 1, FALSE)), "ERROR","")</f>
        <v/>
      </c>
      <c r="Q565" s="141"/>
      <c r="R565" s="143"/>
      <c r="S565" s="139" t="str">
        <f t="shared" si="2"/>
        <v>1178269</v>
      </c>
      <c r="T565" s="141"/>
    </row>
    <row r="566">
      <c r="A566" s="137">
        <f>IFERROR(__xludf.DUMMYFUNCTION("""COMPUTED_VALUE"""),45352.6480102662)</f>
        <v>45352.64801</v>
      </c>
      <c r="B566" s="138" t="str">
        <f>IFERROR(__xludf.DUMMYFUNCTION("""COMPUTED_VALUE"""),"kazandra pedroza ")</f>
        <v>kazandra pedroza </v>
      </c>
      <c r="C566" s="138">
        <f>IFERROR(__xludf.DUMMYFUNCTION("""COMPUTED_VALUE"""),1228.0)</f>
        <v>1228</v>
      </c>
      <c r="D566" s="139">
        <f>IFERROR(__xludf.DUMMYFUNCTION("""COMPUTED_VALUE"""),270.0)</f>
        <v>270</v>
      </c>
      <c r="E566" s="138">
        <f>IFERROR(__xludf.DUMMYFUNCTION("""COMPUTED_VALUE"""),4.0)</f>
        <v>4</v>
      </c>
      <c r="F566" s="138">
        <f>IFERROR(__xludf.DUMMYFUNCTION("""COMPUTED_VALUE"""),4.0)</f>
        <v>4</v>
      </c>
      <c r="G566" s="138">
        <f>IFERROR(__xludf.DUMMYFUNCTION("""COMPUTED_VALUE"""),4.0)</f>
        <v>4</v>
      </c>
      <c r="H566" s="138">
        <f>IFERROR(__xludf.DUMMYFUNCTION("""COMPUTED_VALUE"""),3.0)</f>
        <v>3</v>
      </c>
      <c r="I566" s="138">
        <f>IFERROR(__xludf.DUMMYFUNCTION("""COMPUTED_VALUE"""),3.0)</f>
        <v>3</v>
      </c>
      <c r="J566" s="138">
        <f>IFERROR(__xludf.DUMMYFUNCTION("""COMPUTED_VALUE"""),3.0)</f>
        <v>3</v>
      </c>
      <c r="K566" s="138">
        <f>IFERROR(__xludf.DUMMYFUNCTION("""COMPUTED_VALUE"""),4.0)</f>
        <v>4</v>
      </c>
      <c r="L566" s="138">
        <v>25.0</v>
      </c>
      <c r="M566" s="140" t="str">
        <f>VLOOKUP(text(D566, "#"),'Master Table'!$A:$F, 6, FALSE)</f>
        <v>D-2</v>
      </c>
      <c r="N566" s="141"/>
      <c r="O566" s="142" t="str">
        <f t="shared" si="1"/>
        <v/>
      </c>
      <c r="P566" s="143" t="str">
        <f>IF(ISNA(VLOOKUP(CONCAT(M566,C566), 'Judge Count DO NOT EDIT'!H:H, 1, FALSE)), "ERROR","")</f>
        <v/>
      </c>
      <c r="Q566" s="141"/>
      <c r="R566" s="143"/>
      <c r="S566" s="139" t="str">
        <f t="shared" si="2"/>
        <v>1228270</v>
      </c>
      <c r="T566" s="141"/>
    </row>
    <row r="567">
      <c r="A567" s="137">
        <f>IFERROR(__xludf.DUMMYFUNCTION("""COMPUTED_VALUE"""),45352.651794861114)</f>
        <v>45352.65179</v>
      </c>
      <c r="B567" s="138" t="str">
        <f>IFERROR(__xludf.DUMMYFUNCTION("""COMPUTED_VALUE"""),"Leslie Solomon")</f>
        <v>Leslie Solomon</v>
      </c>
      <c r="C567" s="138">
        <f>IFERROR(__xludf.DUMMYFUNCTION("""COMPUTED_VALUE"""),1178.0)</f>
        <v>1178</v>
      </c>
      <c r="D567" s="139">
        <f>IFERROR(__xludf.DUMMYFUNCTION("""COMPUTED_VALUE"""),270.0)</f>
        <v>270</v>
      </c>
      <c r="E567" s="138">
        <f>IFERROR(__xludf.DUMMYFUNCTION("""COMPUTED_VALUE"""),5.0)</f>
        <v>5</v>
      </c>
      <c r="F567" s="138">
        <f>IFERROR(__xludf.DUMMYFUNCTION("""COMPUTED_VALUE"""),5.0)</f>
        <v>5</v>
      </c>
      <c r="G567" s="138">
        <f>IFERROR(__xludf.DUMMYFUNCTION("""COMPUTED_VALUE"""),5.0)</f>
        <v>5</v>
      </c>
      <c r="H567" s="138">
        <f>IFERROR(__xludf.DUMMYFUNCTION("""COMPUTED_VALUE"""),5.0)</f>
        <v>5</v>
      </c>
      <c r="I567" s="138">
        <f>IFERROR(__xludf.DUMMYFUNCTION("""COMPUTED_VALUE"""),5.0)</f>
        <v>5</v>
      </c>
      <c r="J567" s="138">
        <f>IFERROR(__xludf.DUMMYFUNCTION("""COMPUTED_VALUE"""),5.0)</f>
        <v>5</v>
      </c>
      <c r="K567" s="138">
        <f>IFERROR(__xludf.DUMMYFUNCTION("""COMPUTED_VALUE"""),5.0)</f>
        <v>5</v>
      </c>
      <c r="L567" s="138">
        <v>35.0</v>
      </c>
      <c r="M567" s="140" t="str">
        <f>VLOOKUP(text(D567, "#"),'Master Table'!$A:$F, 6, FALSE)</f>
        <v>D-2</v>
      </c>
      <c r="N567" s="141" t="str">
        <f>IFERROR(__xludf.DUMMYFUNCTION("""COMPUTED_VALUE"""),"Wonderful and inspiring ability to present with clarity and impact on a very timely and important topic. Hope more research is funded - ")</f>
        <v>Wonderful and inspiring ability to present with clarity and impact on a very timely and important topic. Hope more research is funded - </v>
      </c>
      <c r="O567" s="142" t="str">
        <f t="shared" si="1"/>
        <v/>
      </c>
      <c r="P567" s="143" t="str">
        <f>IF(ISNA(VLOOKUP(CONCAT(M567,C567), 'Judge Count DO NOT EDIT'!H:H, 1, FALSE)), "ERROR","")</f>
        <v/>
      </c>
      <c r="Q567" s="141"/>
      <c r="R567" s="143"/>
      <c r="S567" s="139" t="str">
        <f t="shared" si="2"/>
        <v>1178270</v>
      </c>
      <c r="T567" s="141"/>
    </row>
    <row r="568">
      <c r="A568" s="137">
        <f>IFERROR(__xludf.DUMMYFUNCTION("""COMPUTED_VALUE"""),45352.65344232639)</f>
        <v>45352.65344</v>
      </c>
      <c r="B568" s="138" t="str">
        <f>IFERROR(__xludf.DUMMYFUNCTION("""COMPUTED_VALUE"""),"Kaylee Ramage")</f>
        <v>Kaylee Ramage</v>
      </c>
      <c r="C568" s="138">
        <f>IFERROR(__xludf.DUMMYFUNCTION("""COMPUTED_VALUE"""),1102.0)</f>
        <v>1102</v>
      </c>
      <c r="D568" s="139">
        <f>IFERROR(__xludf.DUMMYFUNCTION("""COMPUTED_VALUE"""),270.0)</f>
        <v>270</v>
      </c>
      <c r="E568" s="138">
        <f>IFERROR(__xludf.DUMMYFUNCTION("""COMPUTED_VALUE"""),5.0)</f>
        <v>5</v>
      </c>
      <c r="F568" s="138">
        <f>IFERROR(__xludf.DUMMYFUNCTION("""COMPUTED_VALUE"""),5.0)</f>
        <v>5</v>
      </c>
      <c r="G568" s="138">
        <f>IFERROR(__xludf.DUMMYFUNCTION("""COMPUTED_VALUE"""),5.0)</f>
        <v>5</v>
      </c>
      <c r="H568" s="138">
        <f>IFERROR(__xludf.DUMMYFUNCTION("""COMPUTED_VALUE"""),5.0)</f>
        <v>5</v>
      </c>
      <c r="I568" s="138">
        <f>IFERROR(__xludf.DUMMYFUNCTION("""COMPUTED_VALUE"""),4.0)</f>
        <v>4</v>
      </c>
      <c r="J568" s="138">
        <f>IFERROR(__xludf.DUMMYFUNCTION("""COMPUTED_VALUE"""),4.0)</f>
        <v>4</v>
      </c>
      <c r="K568" s="138">
        <f>IFERROR(__xludf.DUMMYFUNCTION("""COMPUTED_VALUE"""),5.0)</f>
        <v>5</v>
      </c>
      <c r="L568" s="138">
        <v>33.0</v>
      </c>
      <c r="M568" s="140" t="str">
        <f>VLOOKUP(text(D568, "#"),'Master Table'!$A:$F, 6, FALSE)</f>
        <v>D-2</v>
      </c>
      <c r="N568" s="141" t="str">
        <f>IFERROR(__xludf.DUMMYFUNCTION("""COMPUTED_VALUE"""),"Great presentation and very interesting topic. I appreciated the discussion of potential barriers to diagnoses and potential issues with using ACEs in research. 
A few things to think about - I think you know the material really well so just speak from t"&amp;"he heart (you don't need the phone). A few of the slides had a lot of text on them so you could think about either providing more of a bullet point format or splitting on to two or more slides (e.g., slide about endo and about ACEs). Finally, try to ident"&amp;"ify the acronym for the audience the first time it's used  (e.g., EIC on your hypothesis slide). These are all minor, great job!")</f>
        <v>Great presentation and very interesting topic. I appreciated the discussion of potential barriers to diagnoses and potential issues with using ACEs in research. 
A few things to think about - I think you know the material really well so just speak from the heart (you don't need the phone). A few of the slides had a lot of text on them so you could think about either providing more of a bullet point format or splitting on to two or more slides (e.g., slide about endo and about ACEs). Finally, try to identify the acronym for the audience the first time it's used  (e.g., EIC on your hypothesis slide). These are all minor, great job!</v>
      </c>
      <c r="O568" s="142" t="str">
        <f t="shared" si="1"/>
        <v/>
      </c>
      <c r="P568" s="143" t="str">
        <f>IF(ISNA(VLOOKUP(CONCAT(M568,C568), 'Judge Count DO NOT EDIT'!H:H, 1, FALSE)), "ERROR","")</f>
        <v/>
      </c>
      <c r="Q568" s="141"/>
      <c r="R568" s="143"/>
      <c r="S568" s="139" t="str">
        <f t="shared" si="2"/>
        <v>1102270</v>
      </c>
      <c r="T568" s="141"/>
    </row>
    <row r="569">
      <c r="A569" s="137">
        <f>IFERROR(__xludf.DUMMYFUNCTION("""COMPUTED_VALUE"""),45352.66371543982)</f>
        <v>45352.66372</v>
      </c>
      <c r="B569" s="138" t="str">
        <f>IFERROR(__xludf.DUMMYFUNCTION("""COMPUTED_VALUE"""),"kazandra pedroza")</f>
        <v>kazandra pedroza</v>
      </c>
      <c r="C569" s="138">
        <f>IFERROR(__xludf.DUMMYFUNCTION("""COMPUTED_VALUE"""),1228.0)</f>
        <v>1228</v>
      </c>
      <c r="D569" s="139">
        <f>IFERROR(__xludf.DUMMYFUNCTION("""COMPUTED_VALUE"""),271.0)</f>
        <v>271</v>
      </c>
      <c r="E569" s="138">
        <f>IFERROR(__xludf.DUMMYFUNCTION("""COMPUTED_VALUE"""),3.0)</f>
        <v>3</v>
      </c>
      <c r="F569" s="138">
        <f>IFERROR(__xludf.DUMMYFUNCTION("""COMPUTED_VALUE"""),4.0)</f>
        <v>4</v>
      </c>
      <c r="G569" s="138">
        <f>IFERROR(__xludf.DUMMYFUNCTION("""COMPUTED_VALUE"""),3.0)</f>
        <v>3</v>
      </c>
      <c r="H569" s="138">
        <f>IFERROR(__xludf.DUMMYFUNCTION("""COMPUTED_VALUE"""),4.0)</f>
        <v>4</v>
      </c>
      <c r="I569" s="138">
        <f>IFERROR(__xludf.DUMMYFUNCTION("""COMPUTED_VALUE"""),3.0)</f>
        <v>3</v>
      </c>
      <c r="J569" s="138">
        <f>IFERROR(__xludf.DUMMYFUNCTION("""COMPUTED_VALUE"""),3.0)</f>
        <v>3</v>
      </c>
      <c r="K569" s="138">
        <f>IFERROR(__xludf.DUMMYFUNCTION("""COMPUTED_VALUE"""),4.0)</f>
        <v>4</v>
      </c>
      <c r="L569" s="138">
        <v>24.0</v>
      </c>
      <c r="M569" s="140" t="str">
        <f>VLOOKUP(text(D569, "#"),'Master Table'!$A:$F, 6, FALSE)</f>
        <v>D-2</v>
      </c>
      <c r="N569" s="141"/>
      <c r="O569" s="142" t="str">
        <f t="shared" si="1"/>
        <v/>
      </c>
      <c r="P569" s="143" t="str">
        <f>IF(ISNA(VLOOKUP(CONCAT(M569,C569), 'Judge Count DO NOT EDIT'!H:H, 1, FALSE)), "ERROR","")</f>
        <v/>
      </c>
      <c r="Q569" s="141"/>
      <c r="R569" s="143"/>
      <c r="S569" s="139" t="str">
        <f t="shared" si="2"/>
        <v>1228271</v>
      </c>
      <c r="T569" s="141"/>
    </row>
    <row r="570">
      <c r="A570" s="137">
        <f>IFERROR(__xludf.DUMMYFUNCTION("""COMPUTED_VALUE"""),45352.6669453125)</f>
        <v>45352.66695</v>
      </c>
      <c r="B570" s="138" t="str">
        <f>IFERROR(__xludf.DUMMYFUNCTION("""COMPUTED_VALUE"""),"Kaylee Ramage")</f>
        <v>Kaylee Ramage</v>
      </c>
      <c r="C570" s="138">
        <f>IFERROR(__xludf.DUMMYFUNCTION("""COMPUTED_VALUE"""),1102.0)</f>
        <v>1102</v>
      </c>
      <c r="D570" s="139">
        <f>IFERROR(__xludf.DUMMYFUNCTION("""COMPUTED_VALUE"""),271.0)</f>
        <v>271</v>
      </c>
      <c r="E570" s="138">
        <f>IFERROR(__xludf.DUMMYFUNCTION("""COMPUTED_VALUE"""),5.0)</f>
        <v>5</v>
      </c>
      <c r="F570" s="138">
        <f>IFERROR(__xludf.DUMMYFUNCTION("""COMPUTED_VALUE"""),4.0)</f>
        <v>4</v>
      </c>
      <c r="G570" s="138">
        <f>IFERROR(__xludf.DUMMYFUNCTION("""COMPUTED_VALUE"""),4.0)</f>
        <v>4</v>
      </c>
      <c r="H570" s="138">
        <f>IFERROR(__xludf.DUMMYFUNCTION("""COMPUTED_VALUE"""),5.0)</f>
        <v>5</v>
      </c>
      <c r="I570" s="138">
        <f>IFERROR(__xludf.DUMMYFUNCTION("""COMPUTED_VALUE"""),5.0)</f>
        <v>5</v>
      </c>
      <c r="J570" s="138">
        <f>IFERROR(__xludf.DUMMYFUNCTION("""COMPUTED_VALUE"""),5.0)</f>
        <v>5</v>
      </c>
      <c r="K570" s="138">
        <f>IFERROR(__xludf.DUMMYFUNCTION("""COMPUTED_VALUE"""),5.0)</f>
        <v>5</v>
      </c>
      <c r="L570" s="138">
        <v>33.0</v>
      </c>
      <c r="M570" s="140" t="str">
        <f>VLOOKUP(text(D570, "#"),'Master Table'!$A:$F, 6, FALSE)</f>
        <v>D-2</v>
      </c>
      <c r="N570" s="141" t="str">
        <f>IFERROR(__xludf.DUMMYFUNCTION("""COMPUTED_VALUE"""),"Very interesting presentation. It was great to see the interaction between the presenters. Very dynamic presentation style. Interesting results and the methods were well-presented, especially related to your explanation of diphthongization. A few technica"&amp;"l issues (e.g., trying to play the specific prompts from the survey) but you both recovered well. Great interaction with the audience and you both answered the questions really well. Great job!")</f>
        <v>Very interesting presentation. It was great to see the interaction between the presenters. Very dynamic presentation style. Interesting results and the methods were well-presented, especially related to your explanation of diphthongization. A few technical issues (e.g., trying to play the specific prompts from the survey) but you both recovered well. Great interaction with the audience and you both answered the questions really well. Great job!</v>
      </c>
      <c r="O570" s="142" t="str">
        <f t="shared" si="1"/>
        <v/>
      </c>
      <c r="P570" s="143" t="str">
        <f>IF(ISNA(VLOOKUP(CONCAT(M570,C570), 'Judge Count DO NOT EDIT'!H:H, 1, FALSE)), "ERROR","")</f>
        <v/>
      </c>
      <c r="Q570" s="141"/>
      <c r="R570" s="143"/>
      <c r="S570" s="139" t="str">
        <f t="shared" si="2"/>
        <v>1102271</v>
      </c>
      <c r="T570" s="141"/>
    </row>
    <row r="571">
      <c r="A571" s="137">
        <f>IFERROR(__xludf.DUMMYFUNCTION("""COMPUTED_VALUE"""),45352.667054143516)</f>
        <v>45352.66705</v>
      </c>
      <c r="B571" s="138" t="str">
        <f>IFERROR(__xludf.DUMMYFUNCTION("""COMPUTED_VALUE"""),"Leslie Solomon")</f>
        <v>Leslie Solomon</v>
      </c>
      <c r="C571" s="138">
        <f>IFERROR(__xludf.DUMMYFUNCTION("""COMPUTED_VALUE"""),1178.0)</f>
        <v>1178</v>
      </c>
      <c r="D571" s="139">
        <f>IFERROR(__xludf.DUMMYFUNCTION("""COMPUTED_VALUE"""),271.0)</f>
        <v>271</v>
      </c>
      <c r="E571" s="138">
        <f>IFERROR(__xludf.DUMMYFUNCTION("""COMPUTED_VALUE"""),4.0)</f>
        <v>4</v>
      </c>
      <c r="F571" s="138">
        <f>IFERROR(__xludf.DUMMYFUNCTION("""COMPUTED_VALUE"""),4.0)</f>
        <v>4</v>
      </c>
      <c r="G571" s="138">
        <f>IFERROR(__xludf.DUMMYFUNCTION("""COMPUTED_VALUE"""),4.0)</f>
        <v>4</v>
      </c>
      <c r="H571" s="138">
        <f>IFERROR(__xludf.DUMMYFUNCTION("""COMPUTED_VALUE"""),4.0)</f>
        <v>4</v>
      </c>
      <c r="I571" s="138">
        <f>IFERROR(__xludf.DUMMYFUNCTION("""COMPUTED_VALUE"""),4.0)</f>
        <v>4</v>
      </c>
      <c r="J571" s="138">
        <f>IFERROR(__xludf.DUMMYFUNCTION("""COMPUTED_VALUE"""),4.0)</f>
        <v>4</v>
      </c>
      <c r="K571" s="138">
        <f>IFERROR(__xludf.DUMMYFUNCTION("""COMPUTED_VALUE"""),5.0)</f>
        <v>5</v>
      </c>
      <c r="L571" s="138">
        <v>29.0</v>
      </c>
      <c r="M571" s="140" t="str">
        <f>VLOOKUP(text(D571, "#"),'Master Table'!$A:$F, 6, FALSE)</f>
        <v>D-2</v>
      </c>
      <c r="N571" s="141" t="str">
        <f>IFERROR(__xludf.DUMMYFUNCTION("""COMPUTED_VALUE"""),"Very well done and important work. Well presented as a team and with passion and clarity. ")</f>
        <v>Very well done and important work. Well presented as a team and with passion and clarity. </v>
      </c>
      <c r="O571" s="142" t="str">
        <f t="shared" si="1"/>
        <v/>
      </c>
      <c r="P571" s="143" t="str">
        <f>IF(ISNA(VLOOKUP(CONCAT(M571,C571), 'Judge Count DO NOT EDIT'!H:H, 1, FALSE)), "ERROR","")</f>
        <v/>
      </c>
      <c r="Q571" s="141"/>
      <c r="R571" s="143"/>
      <c r="S571" s="139" t="str">
        <f t="shared" si="2"/>
        <v>1178271</v>
      </c>
      <c r="T571" s="141"/>
    </row>
    <row r="572">
      <c r="A572" s="137">
        <f>IFERROR(__xludf.DUMMYFUNCTION("""COMPUTED_VALUE"""),45352.67989648148)</f>
        <v>45352.6799</v>
      </c>
      <c r="B572" s="138" t="str">
        <f>IFERROR(__xludf.DUMMYFUNCTION("""COMPUTED_VALUE"""),"Kaylee Ramage")</f>
        <v>Kaylee Ramage</v>
      </c>
      <c r="C572" s="138">
        <f>IFERROR(__xludf.DUMMYFUNCTION("""COMPUTED_VALUE"""),1102.0)</f>
        <v>1102</v>
      </c>
      <c r="D572" s="139">
        <f>IFERROR(__xludf.DUMMYFUNCTION("""COMPUTED_VALUE"""),272.0)</f>
        <v>272</v>
      </c>
      <c r="E572" s="138">
        <f>IFERROR(__xludf.DUMMYFUNCTION("""COMPUTED_VALUE"""),5.0)</f>
        <v>5</v>
      </c>
      <c r="F572" s="138">
        <f>IFERROR(__xludf.DUMMYFUNCTION("""COMPUTED_VALUE"""),4.0)</f>
        <v>4</v>
      </c>
      <c r="G572" s="138">
        <f>IFERROR(__xludf.DUMMYFUNCTION("""COMPUTED_VALUE"""),4.0)</f>
        <v>4</v>
      </c>
      <c r="H572" s="138">
        <f>IFERROR(__xludf.DUMMYFUNCTION("""COMPUTED_VALUE"""),4.0)</f>
        <v>4</v>
      </c>
      <c r="I572" s="138">
        <f>IFERROR(__xludf.DUMMYFUNCTION("""COMPUTED_VALUE"""),5.0)</f>
        <v>5</v>
      </c>
      <c r="J572" s="138">
        <f>IFERROR(__xludf.DUMMYFUNCTION("""COMPUTED_VALUE"""),5.0)</f>
        <v>5</v>
      </c>
      <c r="K572" s="138">
        <f>IFERROR(__xludf.DUMMYFUNCTION("""COMPUTED_VALUE"""),5.0)</f>
        <v>5</v>
      </c>
      <c r="L572" s="138">
        <v>32.0</v>
      </c>
      <c r="M572" s="140" t="str">
        <f>VLOOKUP(text(D572, "#"),'Master Table'!$A:$F, 6, FALSE)</f>
        <v>D-2</v>
      </c>
      <c r="N572" s="141" t="str">
        <f>IFERROR(__xludf.DUMMYFUNCTION("""COMPUTED_VALUE"""),"Great presentation style, clear that you know a lot about your subject. Be careful with the terms female and woman or male and man, they're not interchangeable (e.g., on your Results slide on BBB's impact on MH 1-3 month follow-up). 
Very interesting res"&amp;"ults, especially related to libraries as a potential source of support for the target population. Excellent knowledge of statistics and literature related to the unhoused population in San Diego. Great work!")</f>
        <v>Great presentation style, clear that you know a lot about your subject. Be careful with the terms female and woman or male and man, they're not interchangeable (e.g., on your Results slide on BBB's impact on MH 1-3 month follow-up). 
Very interesting results, especially related to libraries as a potential source of support for the target population. Excellent knowledge of statistics and literature related to the unhoused population in San Diego. Great work!</v>
      </c>
      <c r="O572" s="142" t="str">
        <f t="shared" si="1"/>
        <v/>
      </c>
      <c r="P572" s="143" t="str">
        <f>IF(ISNA(VLOOKUP(CONCAT(M572,C572), 'Judge Count DO NOT EDIT'!H:H, 1, FALSE)), "ERROR","")</f>
        <v/>
      </c>
      <c r="Q572" s="141"/>
      <c r="R572" s="143"/>
      <c r="S572" s="139" t="str">
        <f t="shared" si="2"/>
        <v>1102272</v>
      </c>
      <c r="T572" s="141"/>
    </row>
    <row r="573">
      <c r="A573" s="137">
        <f>IFERROR(__xludf.DUMMYFUNCTION("""COMPUTED_VALUE"""),45352.69819570602)</f>
        <v>45352.6982</v>
      </c>
      <c r="B573" s="138" t="str">
        <f>IFERROR(__xludf.DUMMYFUNCTION("""COMPUTED_VALUE"""),"Kaylee Ramage")</f>
        <v>Kaylee Ramage</v>
      </c>
      <c r="C573" s="138">
        <f>IFERROR(__xludf.DUMMYFUNCTION("""COMPUTED_VALUE"""),1102.0)</f>
        <v>1102</v>
      </c>
      <c r="D573" s="139">
        <f>IFERROR(__xludf.DUMMYFUNCTION("""COMPUTED_VALUE"""),273.0)</f>
        <v>273</v>
      </c>
      <c r="E573" s="138">
        <f>IFERROR(__xludf.DUMMYFUNCTION("""COMPUTED_VALUE"""),4.0)</f>
        <v>4</v>
      </c>
      <c r="F573" s="138">
        <f>IFERROR(__xludf.DUMMYFUNCTION("""COMPUTED_VALUE"""),3.0)</f>
        <v>3</v>
      </c>
      <c r="G573" s="138">
        <f>IFERROR(__xludf.DUMMYFUNCTION("""COMPUTED_VALUE"""),4.0)</f>
        <v>4</v>
      </c>
      <c r="H573" s="138">
        <f>IFERROR(__xludf.DUMMYFUNCTION("""COMPUTED_VALUE"""),4.0)</f>
        <v>4</v>
      </c>
      <c r="I573" s="138">
        <f>IFERROR(__xludf.DUMMYFUNCTION("""COMPUTED_VALUE"""),3.0)</f>
        <v>3</v>
      </c>
      <c r="J573" s="138">
        <f>IFERROR(__xludf.DUMMYFUNCTION("""COMPUTED_VALUE"""),4.0)</f>
        <v>4</v>
      </c>
      <c r="K573" s="138">
        <f>IFERROR(__xludf.DUMMYFUNCTION("""COMPUTED_VALUE"""),4.0)</f>
        <v>4</v>
      </c>
      <c r="L573" s="138">
        <v>26.0</v>
      </c>
      <c r="M573" s="140" t="str">
        <f>VLOOKUP(text(D573, "#"),'Master Table'!$A:$F, 6, FALSE)</f>
        <v>D-2</v>
      </c>
      <c r="N573" s="141" t="str">
        <f>IFERROR(__xludf.DUMMYFUNCTION("""COMPUTED_VALUE"""),"Great presentation and very interesting topic, especially in the first year of your master's program! You seemed a bit nervous during the presentation, but you seemed to get more comfortable as you went through. Try practicing a little more ahead of time "&amp;"and maybe ask others for some potential questions from presenters so that you can practice responses. But overall, great job!")</f>
        <v>Great presentation and very interesting topic, especially in the first year of your master's program! You seemed a bit nervous during the presentation, but you seemed to get more comfortable as you went through. Try practicing a little more ahead of time and maybe ask others for some potential questions from presenters so that you can practice responses. But overall, great job!</v>
      </c>
      <c r="O573" s="142" t="str">
        <f t="shared" si="1"/>
        <v/>
      </c>
      <c r="P573" s="143" t="str">
        <f>IF(ISNA(VLOOKUP(CONCAT(M573,C573), 'Judge Count DO NOT EDIT'!H:H, 1, FALSE)), "ERROR","")</f>
        <v/>
      </c>
      <c r="Q573" s="141"/>
      <c r="R573" s="143"/>
      <c r="S573" s="139" t="str">
        <f t="shared" si="2"/>
        <v>1102273</v>
      </c>
      <c r="T573" s="141"/>
    </row>
    <row r="574">
      <c r="A574" s="137">
        <f>IFERROR(__xludf.DUMMYFUNCTION("""COMPUTED_VALUE"""),45352.708280983796)</f>
        <v>45352.70828</v>
      </c>
      <c r="B574" s="138" t="str">
        <f>IFERROR(__xludf.DUMMYFUNCTION("""COMPUTED_VALUE"""),"Kaylee Ramage")</f>
        <v>Kaylee Ramage</v>
      </c>
      <c r="C574" s="138">
        <f>IFERROR(__xludf.DUMMYFUNCTION("""COMPUTED_VALUE"""),1102.0)</f>
        <v>1102</v>
      </c>
      <c r="D574" s="139">
        <f>IFERROR(__xludf.DUMMYFUNCTION("""COMPUTED_VALUE"""),274.0)</f>
        <v>274</v>
      </c>
      <c r="E574" s="138">
        <f>IFERROR(__xludf.DUMMYFUNCTION("""COMPUTED_VALUE"""),5.0)</f>
        <v>5</v>
      </c>
      <c r="F574" s="138">
        <f>IFERROR(__xludf.DUMMYFUNCTION("""COMPUTED_VALUE"""),4.0)</f>
        <v>4</v>
      </c>
      <c r="G574" s="138">
        <f>IFERROR(__xludf.DUMMYFUNCTION("""COMPUTED_VALUE"""),4.0)</f>
        <v>4</v>
      </c>
      <c r="H574" s="138">
        <f>IFERROR(__xludf.DUMMYFUNCTION("""COMPUTED_VALUE"""),5.0)</f>
        <v>5</v>
      </c>
      <c r="I574" s="138">
        <f>IFERROR(__xludf.DUMMYFUNCTION("""COMPUTED_VALUE"""),5.0)</f>
        <v>5</v>
      </c>
      <c r="J574" s="138">
        <f>IFERROR(__xludf.DUMMYFUNCTION("""COMPUTED_VALUE"""),5.0)</f>
        <v>5</v>
      </c>
      <c r="K574" s="138">
        <f>IFERROR(__xludf.DUMMYFUNCTION("""COMPUTED_VALUE"""),5.0)</f>
        <v>5</v>
      </c>
      <c r="L574" s="138">
        <v>33.0</v>
      </c>
      <c r="M574" s="140" t="str">
        <f>VLOOKUP(text(D574, "#"),'Master Table'!$A:$F, 6, FALSE)</f>
        <v>D-2</v>
      </c>
      <c r="N574" s="141" t="str">
        <f>IFERROR(__xludf.DUMMYFUNCTION("""COMPUTED_VALUE"""),"GREAT presentation! Clear knowledge and facility with research area, the data, methods, etc. Very strong presentation style. You showed a lot of passion for your subject and were prepared for audience questions. Excellent work.")</f>
        <v>GREAT presentation! Clear knowledge and facility with research area, the data, methods, etc. Very strong presentation style. You showed a lot of passion for your subject and were prepared for audience questions. Excellent work.</v>
      </c>
      <c r="O574" s="142" t="str">
        <f t="shared" si="1"/>
        <v/>
      </c>
      <c r="P574" s="143" t="str">
        <f>IF(ISNA(VLOOKUP(CONCAT(M574,C574), 'Judge Count DO NOT EDIT'!H:H, 1, FALSE)), "ERROR","")</f>
        <v/>
      </c>
      <c r="Q574" s="141"/>
      <c r="R574" s="143"/>
      <c r="S574" s="139" t="str">
        <f t="shared" si="2"/>
        <v>1102274</v>
      </c>
      <c r="T574" s="141"/>
    </row>
    <row r="575">
      <c r="A575" s="137">
        <f>IFERROR(__xludf.DUMMYFUNCTION("""COMPUTED_VALUE"""),45352.64166009259)</f>
        <v>45352.64166</v>
      </c>
      <c r="B575" s="138" t="str">
        <f>IFERROR(__xludf.DUMMYFUNCTION("""COMPUTED_VALUE"""),"Karenina Zaballa")</f>
        <v>Karenina Zaballa</v>
      </c>
      <c r="C575" s="138">
        <f>IFERROR(__xludf.DUMMYFUNCTION("""COMPUTED_VALUE"""),1200.0)</f>
        <v>1200</v>
      </c>
      <c r="D575" s="139">
        <f>IFERROR(__xludf.DUMMYFUNCTION("""COMPUTED_VALUE"""),275.0)</f>
        <v>275</v>
      </c>
      <c r="E575" s="138">
        <f>IFERROR(__xludf.DUMMYFUNCTION("""COMPUTED_VALUE"""),4.0)</f>
        <v>4</v>
      </c>
      <c r="F575" s="138">
        <f>IFERROR(__xludf.DUMMYFUNCTION("""COMPUTED_VALUE"""),4.0)</f>
        <v>4</v>
      </c>
      <c r="G575" s="138">
        <f>IFERROR(__xludf.DUMMYFUNCTION("""COMPUTED_VALUE"""),5.0)</f>
        <v>5</v>
      </c>
      <c r="H575" s="138">
        <f>IFERROR(__xludf.DUMMYFUNCTION("""COMPUTED_VALUE"""),4.0)</f>
        <v>4</v>
      </c>
      <c r="I575" s="138">
        <f>IFERROR(__xludf.DUMMYFUNCTION("""COMPUTED_VALUE"""),4.0)</f>
        <v>4</v>
      </c>
      <c r="J575" s="138">
        <f>IFERROR(__xludf.DUMMYFUNCTION("""COMPUTED_VALUE"""),3.0)</f>
        <v>3</v>
      </c>
      <c r="K575" s="138">
        <f>IFERROR(__xludf.DUMMYFUNCTION("""COMPUTED_VALUE"""),3.0)</f>
        <v>3</v>
      </c>
      <c r="L575" s="138">
        <v>27.0</v>
      </c>
      <c r="M575" s="140" t="str">
        <f>VLOOKUP(text(D575, "#"),'Master Table'!$A:$F, 6, FALSE)</f>
        <v>D-3</v>
      </c>
      <c r="N575" s="141"/>
      <c r="O575" s="142" t="str">
        <f t="shared" si="1"/>
        <v/>
      </c>
      <c r="P575" s="143" t="str">
        <f>IF(ISNA(VLOOKUP(CONCAT(M575,C575), 'Judge Count DO NOT EDIT'!H:H, 1, FALSE)), "ERROR","")</f>
        <v/>
      </c>
      <c r="Q575" s="141"/>
      <c r="R575" s="143"/>
      <c r="S575" s="139" t="str">
        <f t="shared" si="2"/>
        <v>1200275</v>
      </c>
      <c r="T575" s="141"/>
    </row>
    <row r="576">
      <c r="A576" s="137">
        <f>IFERROR(__xludf.DUMMYFUNCTION("""COMPUTED_VALUE"""),45352.749785567124)</f>
        <v>45352.74979</v>
      </c>
      <c r="B576" s="138" t="str">
        <f>IFERROR(__xludf.DUMMYFUNCTION("""COMPUTED_VALUE"""),"Crystal English")</f>
        <v>Crystal English</v>
      </c>
      <c r="C576" s="138">
        <f>IFERROR(__xludf.DUMMYFUNCTION("""COMPUTED_VALUE"""),1032.0)</f>
        <v>1032</v>
      </c>
      <c r="D576" s="139">
        <f>IFERROR(__xludf.DUMMYFUNCTION("""COMPUTED_VALUE"""),275.0)</f>
        <v>275</v>
      </c>
      <c r="E576" s="138">
        <f>IFERROR(__xludf.DUMMYFUNCTION("""COMPUTED_VALUE"""),4.0)</f>
        <v>4</v>
      </c>
      <c r="F576" s="138">
        <f>IFERROR(__xludf.DUMMYFUNCTION("""COMPUTED_VALUE"""),3.0)</f>
        <v>3</v>
      </c>
      <c r="G576" s="138">
        <f>IFERROR(__xludf.DUMMYFUNCTION("""COMPUTED_VALUE"""),4.0)</f>
        <v>4</v>
      </c>
      <c r="H576" s="138">
        <f>IFERROR(__xludf.DUMMYFUNCTION("""COMPUTED_VALUE"""),3.0)</f>
        <v>3</v>
      </c>
      <c r="I576" s="138">
        <f>IFERROR(__xludf.DUMMYFUNCTION("""COMPUTED_VALUE"""),5.0)</f>
        <v>5</v>
      </c>
      <c r="J576" s="138">
        <f>IFERROR(__xludf.DUMMYFUNCTION("""COMPUTED_VALUE"""),4.0)</f>
        <v>4</v>
      </c>
      <c r="K576" s="138">
        <f>IFERROR(__xludf.DUMMYFUNCTION("""COMPUTED_VALUE"""),5.0)</f>
        <v>5</v>
      </c>
      <c r="L576" s="138">
        <v>28.0</v>
      </c>
      <c r="M576" s="140" t="str">
        <f>VLOOKUP(text(D576, "#"),'Master Table'!$A:$F, 6, FALSE)</f>
        <v>D-3</v>
      </c>
      <c r="N576" s="141" t="str">
        <f>IFERROR(__xludf.DUMMYFUNCTION("""COMPUTED_VALUE"""),"This was a very good presentation. Both presenters spoke to the audience and knew the material of their subject. The connection between brownfields and community perceptions of exposure to health hazards remained unclear. As mentioned during the presentat"&amp;"ion, if research continues, a Tagalog translator is a must. It is in this way a larger and more diverse sample size can be acheived for analysis.")</f>
        <v>This was a very good presentation. Both presenters spoke to the audience and knew the material of their subject. The connection between brownfields and community perceptions of exposure to health hazards remained unclear. As mentioned during the presentation, if research continues, a Tagalog translator is a must. It is in this way a larger and more diverse sample size can be acheived for analysis.</v>
      </c>
      <c r="O576" s="142" t="str">
        <f t="shared" si="1"/>
        <v/>
      </c>
      <c r="P576" s="143" t="str">
        <f>IF(ISNA(VLOOKUP(CONCAT(M576,C576), 'Judge Count DO NOT EDIT'!H:H, 1, FALSE)), "ERROR","")</f>
        <v/>
      </c>
      <c r="Q576" s="141"/>
      <c r="R576" s="143"/>
      <c r="S576" s="139" t="str">
        <f t="shared" si="2"/>
        <v>1032275</v>
      </c>
      <c r="T576" s="141"/>
    </row>
    <row r="577">
      <c r="A577" s="137">
        <f>IFERROR(__xludf.DUMMYFUNCTION("""COMPUTED_VALUE"""),45352.65576962963)</f>
        <v>45352.65577</v>
      </c>
      <c r="B577" s="138" t="str">
        <f>IFERROR(__xludf.DUMMYFUNCTION("""COMPUTED_VALUE"""),"Karenina Zaballa")</f>
        <v>Karenina Zaballa</v>
      </c>
      <c r="C577" s="138">
        <f>IFERROR(__xludf.DUMMYFUNCTION("""COMPUTED_VALUE"""),1200.0)</f>
        <v>1200</v>
      </c>
      <c r="D577" s="139">
        <f>IFERROR(__xludf.DUMMYFUNCTION("""COMPUTED_VALUE"""),276.0)</f>
        <v>276</v>
      </c>
      <c r="E577" s="138">
        <f>IFERROR(__xludf.DUMMYFUNCTION("""COMPUTED_VALUE"""),5.0)</f>
        <v>5</v>
      </c>
      <c r="F577" s="138">
        <f>IFERROR(__xludf.DUMMYFUNCTION("""COMPUTED_VALUE"""),4.0)</f>
        <v>4</v>
      </c>
      <c r="G577" s="138">
        <f>IFERROR(__xludf.DUMMYFUNCTION("""COMPUTED_VALUE"""),4.0)</f>
        <v>4</v>
      </c>
      <c r="H577" s="138">
        <f>IFERROR(__xludf.DUMMYFUNCTION("""COMPUTED_VALUE"""),4.0)</f>
        <v>4</v>
      </c>
      <c r="I577" s="138">
        <f>IFERROR(__xludf.DUMMYFUNCTION("""COMPUTED_VALUE"""),4.0)</f>
        <v>4</v>
      </c>
      <c r="J577" s="138">
        <f>IFERROR(__xludf.DUMMYFUNCTION("""COMPUTED_VALUE"""),3.0)</f>
        <v>3</v>
      </c>
      <c r="K577" s="138">
        <f>IFERROR(__xludf.DUMMYFUNCTION("""COMPUTED_VALUE"""),5.0)</f>
        <v>5</v>
      </c>
      <c r="L577" s="138">
        <v>29.0</v>
      </c>
      <c r="M577" s="140" t="str">
        <f>VLOOKUP(text(D577, "#"),'Master Table'!$A:$F, 6, FALSE)</f>
        <v>D-3</v>
      </c>
      <c r="N577" s="141" t="str">
        <f>IFERROR(__xludf.DUMMYFUNCTION("""COMPUTED_VALUE"""),"Powerpoints were too wordy but presentation was well-prepared.")</f>
        <v>Powerpoints were too wordy but presentation was well-prepared.</v>
      </c>
      <c r="O577" s="142" t="str">
        <f t="shared" si="1"/>
        <v/>
      </c>
      <c r="P577" s="143" t="str">
        <f>IF(ISNA(VLOOKUP(CONCAT(M577,C577), 'Judge Count DO NOT EDIT'!H:H, 1, FALSE)), "ERROR","")</f>
        <v/>
      </c>
      <c r="Q577" s="141"/>
      <c r="R577" s="143"/>
      <c r="S577" s="139" t="str">
        <f t="shared" si="2"/>
        <v>1200276</v>
      </c>
      <c r="T577" s="141"/>
    </row>
    <row r="578">
      <c r="A578" s="137">
        <f>IFERROR(__xludf.DUMMYFUNCTION("""COMPUTED_VALUE"""),45352.75601254629)</f>
        <v>45352.75601</v>
      </c>
      <c r="B578" s="138" t="str">
        <f>IFERROR(__xludf.DUMMYFUNCTION("""COMPUTED_VALUE"""),"Crystal English")</f>
        <v>Crystal English</v>
      </c>
      <c r="C578" s="138">
        <f>IFERROR(__xludf.DUMMYFUNCTION("""COMPUTED_VALUE"""),1032.0)</f>
        <v>1032</v>
      </c>
      <c r="D578" s="139">
        <f>IFERROR(__xludf.DUMMYFUNCTION("""COMPUTED_VALUE"""),276.0)</f>
        <v>276</v>
      </c>
      <c r="E578" s="138">
        <f>IFERROR(__xludf.DUMMYFUNCTION("""COMPUTED_VALUE"""),4.0)</f>
        <v>4</v>
      </c>
      <c r="F578" s="138">
        <f>IFERROR(__xludf.DUMMYFUNCTION("""COMPUTED_VALUE"""),3.0)</f>
        <v>3</v>
      </c>
      <c r="G578" s="138">
        <f>IFERROR(__xludf.DUMMYFUNCTION("""COMPUTED_VALUE"""),4.0)</f>
        <v>4</v>
      </c>
      <c r="H578" s="138">
        <f>IFERROR(__xludf.DUMMYFUNCTION("""COMPUTED_VALUE"""),3.0)</f>
        <v>3</v>
      </c>
      <c r="I578" s="138">
        <f>IFERROR(__xludf.DUMMYFUNCTION("""COMPUTED_VALUE"""),4.0)</f>
        <v>4</v>
      </c>
      <c r="J578" s="138">
        <f>IFERROR(__xludf.DUMMYFUNCTION("""COMPUTED_VALUE"""),3.0)</f>
        <v>3</v>
      </c>
      <c r="K578" s="138">
        <f>IFERROR(__xludf.DUMMYFUNCTION("""COMPUTED_VALUE"""),4.0)</f>
        <v>4</v>
      </c>
      <c r="L578" s="138">
        <v>25.0</v>
      </c>
      <c r="M578" s="140" t="str">
        <f>VLOOKUP(text(D578, "#"),'Master Table'!$A:$F, 6, FALSE)</f>
        <v>D-3</v>
      </c>
      <c r="N578" s="141" t="str">
        <f>IFERROR(__xludf.DUMMYFUNCTION("""COMPUTED_VALUE"""),"An interesting topic. Beautiful presentation style, akin to teaching in a classroom. An important thing to note is the sample size. Eight is extremely small. To limit your sample population to the tutor staff and not seek a larger campus latinx population"&amp;" to gather additional data on which to base your conclusion may be considered bias, especially if using the conclusion to support or promote action. Just a thought.")</f>
        <v>An interesting topic. Beautiful presentation style, akin to teaching in a classroom. An important thing to note is the sample size. Eight is extremely small. To limit your sample population to the tutor staff and not seek a larger campus latinx population to gather additional data on which to base your conclusion may be considered bias, especially if using the conclusion to support or promote action. Just a thought.</v>
      </c>
      <c r="O578" s="142" t="str">
        <f t="shared" si="1"/>
        <v/>
      </c>
      <c r="P578" s="143" t="str">
        <f>IF(ISNA(VLOOKUP(CONCAT(M578,C578), 'Judge Count DO NOT EDIT'!H:H, 1, FALSE)), "ERROR","")</f>
        <v/>
      </c>
      <c r="Q578" s="141"/>
      <c r="R578" s="143"/>
      <c r="S578" s="139" t="str">
        <f t="shared" si="2"/>
        <v>1032276</v>
      </c>
      <c r="T578" s="141"/>
    </row>
    <row r="579">
      <c r="A579" s="137">
        <f>IFERROR(__xludf.DUMMYFUNCTION("""COMPUTED_VALUE"""),45352.66401561342)</f>
        <v>45352.66402</v>
      </c>
      <c r="B579" s="138" t="str">
        <f>IFERROR(__xludf.DUMMYFUNCTION("""COMPUTED_VALUE"""),"Karenina Zaballa")</f>
        <v>Karenina Zaballa</v>
      </c>
      <c r="C579" s="138">
        <f>IFERROR(__xludf.DUMMYFUNCTION("""COMPUTED_VALUE"""),1200.0)</f>
        <v>1200</v>
      </c>
      <c r="D579" s="139">
        <f>IFERROR(__xludf.DUMMYFUNCTION("""COMPUTED_VALUE"""),277.0)</f>
        <v>277</v>
      </c>
      <c r="E579" s="138">
        <f>IFERROR(__xludf.DUMMYFUNCTION("""COMPUTED_VALUE"""),2.0)</f>
        <v>2</v>
      </c>
      <c r="F579" s="138">
        <f>IFERROR(__xludf.DUMMYFUNCTION("""COMPUTED_VALUE"""),4.0)</f>
        <v>4</v>
      </c>
      <c r="G579" s="138">
        <f>IFERROR(__xludf.DUMMYFUNCTION("""COMPUTED_VALUE"""),4.0)</f>
        <v>4</v>
      </c>
      <c r="H579" s="138">
        <f>IFERROR(__xludf.DUMMYFUNCTION("""COMPUTED_VALUE"""),4.0)</f>
        <v>4</v>
      </c>
      <c r="I579" s="138">
        <f>IFERROR(__xludf.DUMMYFUNCTION("""COMPUTED_VALUE"""),2.0)</f>
        <v>2</v>
      </c>
      <c r="J579" s="138">
        <f>IFERROR(__xludf.DUMMYFUNCTION("""COMPUTED_VALUE"""),1.0)</f>
        <v>1</v>
      </c>
      <c r="K579" s="138">
        <f>IFERROR(__xludf.DUMMYFUNCTION("""COMPUTED_VALUE"""),4.0)</f>
        <v>4</v>
      </c>
      <c r="L579" s="138">
        <v>21.0</v>
      </c>
      <c r="M579" s="140" t="str">
        <f>VLOOKUP(text(D579, "#"),'Master Table'!$A:$F, 6, FALSE)</f>
        <v>D-3</v>
      </c>
      <c r="N579" s="141" t="str">
        <f>IFERROR(__xludf.DUMMYFUNCTION("""COMPUTED_VALUE"""),"More infographics may be helpful")</f>
        <v>More infographics may be helpful</v>
      </c>
      <c r="O579" s="142" t="str">
        <f t="shared" si="1"/>
        <v/>
      </c>
      <c r="P579" s="143" t="str">
        <f>IF(ISNA(VLOOKUP(CONCAT(M579,C579), 'Judge Count DO NOT EDIT'!H:H, 1, FALSE)), "ERROR","")</f>
        <v/>
      </c>
      <c r="Q579" s="141"/>
      <c r="R579" s="143"/>
      <c r="S579" s="139" t="str">
        <f t="shared" si="2"/>
        <v>1200277</v>
      </c>
      <c r="T579" s="141"/>
    </row>
    <row r="580">
      <c r="A580" s="137">
        <f>IFERROR(__xludf.DUMMYFUNCTION("""COMPUTED_VALUE"""),45352.76219664352)</f>
        <v>45352.7622</v>
      </c>
      <c r="B580" s="138" t="str">
        <f>IFERROR(__xludf.DUMMYFUNCTION("""COMPUTED_VALUE"""),"Crystal English")</f>
        <v>Crystal English</v>
      </c>
      <c r="C580" s="138">
        <f>IFERROR(__xludf.DUMMYFUNCTION("""COMPUTED_VALUE"""),1032.0)</f>
        <v>1032</v>
      </c>
      <c r="D580" s="139">
        <f>IFERROR(__xludf.DUMMYFUNCTION("""COMPUTED_VALUE"""),277.0)</f>
        <v>277</v>
      </c>
      <c r="E580" s="138">
        <f>IFERROR(__xludf.DUMMYFUNCTION("""COMPUTED_VALUE"""),3.0)</f>
        <v>3</v>
      </c>
      <c r="F580" s="138">
        <f>IFERROR(__xludf.DUMMYFUNCTION("""COMPUTED_VALUE"""),4.0)</f>
        <v>4</v>
      </c>
      <c r="G580" s="138">
        <f>IFERROR(__xludf.DUMMYFUNCTION("""COMPUTED_VALUE"""),3.0)</f>
        <v>3</v>
      </c>
      <c r="H580" s="138">
        <f>IFERROR(__xludf.DUMMYFUNCTION("""COMPUTED_VALUE"""),2.0)</f>
        <v>2</v>
      </c>
      <c r="I580" s="138">
        <f>IFERROR(__xludf.DUMMYFUNCTION("""COMPUTED_VALUE"""),3.0)</f>
        <v>3</v>
      </c>
      <c r="J580" s="138">
        <f>IFERROR(__xludf.DUMMYFUNCTION("""COMPUTED_VALUE"""),2.0)</f>
        <v>2</v>
      </c>
      <c r="K580" s="138">
        <f>IFERROR(__xludf.DUMMYFUNCTION("""COMPUTED_VALUE"""),4.0)</f>
        <v>4</v>
      </c>
      <c r="L580" s="138">
        <v>21.0</v>
      </c>
      <c r="M580" s="140" t="str">
        <f>VLOOKUP(text(D580, "#"),'Master Table'!$A:$F, 6, FALSE)</f>
        <v>D-3</v>
      </c>
      <c r="N580" s="141" t="str">
        <f>IFERROR(__xludf.DUMMYFUNCTION("""COMPUTED_VALUE"""),"He did quite well with answering questions. And the research topic is an interesting one.  Unfortunately, the delivery of the presentation was not as polished as it could have been. Perhaps slowing down while speaking and using less slides may have helped"&amp;". He went too fast through the data slides and there were no legends on the maps to show what the color scale was representing. The answer of ""my biostatistician suggested it"" is not a good response to the decision to use backwards stepwise regression o"&amp;"ver another regression method. Try the others to give a more authoritative response to such a  question in the future.")</f>
        <v>He did quite well with answering questions. And the research topic is an interesting one.  Unfortunately, the delivery of the presentation was not as polished as it could have been. Perhaps slowing down while speaking and using less slides may have helped. He went too fast through the data slides and there were no legends on the maps to show what the color scale was representing. The answer of "my biostatistician suggested it" is not a good response to the decision to use backwards stepwise regression over another regression method. Try the others to give a more authoritative response to such a  question in the future.</v>
      </c>
      <c r="O580" s="142" t="str">
        <f t="shared" si="1"/>
        <v/>
      </c>
      <c r="P580" s="143" t="str">
        <f>IF(ISNA(VLOOKUP(CONCAT(M580,C580), 'Judge Count DO NOT EDIT'!H:H, 1, FALSE)), "ERROR","")</f>
        <v/>
      </c>
      <c r="Q580" s="141"/>
      <c r="R580" s="143"/>
      <c r="S580" s="139" t="str">
        <f t="shared" si="2"/>
        <v>1032277</v>
      </c>
      <c r="T580" s="141"/>
    </row>
    <row r="581">
      <c r="A581" s="137">
        <f>IFERROR(__xludf.DUMMYFUNCTION("""COMPUTED_VALUE"""),45352.678892337964)</f>
        <v>45352.67889</v>
      </c>
      <c r="B581" s="138" t="str">
        <f>IFERROR(__xludf.DUMMYFUNCTION("""COMPUTED_VALUE"""),"KARENINA ZABALLA")</f>
        <v>KARENINA ZABALLA</v>
      </c>
      <c r="C581" s="138">
        <f>IFERROR(__xludf.DUMMYFUNCTION("""COMPUTED_VALUE"""),1200.0)</f>
        <v>1200</v>
      </c>
      <c r="D581" s="139">
        <f>IFERROR(__xludf.DUMMYFUNCTION("""COMPUTED_VALUE"""),278.0)</f>
        <v>278</v>
      </c>
      <c r="E581" s="138">
        <f>IFERROR(__xludf.DUMMYFUNCTION("""COMPUTED_VALUE"""),4.0)</f>
        <v>4</v>
      </c>
      <c r="F581" s="138">
        <f>IFERROR(__xludf.DUMMYFUNCTION("""COMPUTED_VALUE"""),4.0)</f>
        <v>4</v>
      </c>
      <c r="G581" s="138">
        <f>IFERROR(__xludf.DUMMYFUNCTION("""COMPUTED_VALUE"""),4.0)</f>
        <v>4</v>
      </c>
      <c r="H581" s="138">
        <f>IFERROR(__xludf.DUMMYFUNCTION("""COMPUTED_VALUE"""),4.0)</f>
        <v>4</v>
      </c>
      <c r="I581" s="138">
        <f>IFERROR(__xludf.DUMMYFUNCTION("""COMPUTED_VALUE"""),2.0)</f>
        <v>2</v>
      </c>
      <c r="J581" s="138">
        <f>IFERROR(__xludf.DUMMYFUNCTION("""COMPUTED_VALUE"""),2.0)</f>
        <v>2</v>
      </c>
      <c r="K581" s="138">
        <f>IFERROR(__xludf.DUMMYFUNCTION("""COMPUTED_VALUE"""),3.0)</f>
        <v>3</v>
      </c>
      <c r="L581" s="138">
        <v>23.0</v>
      </c>
      <c r="M581" s="140" t="str">
        <f>VLOOKUP(text(D581, "#"),'Master Table'!$A:$F, 6, FALSE)</f>
        <v>D-3</v>
      </c>
      <c r="N581" s="141" t="str">
        <f>IFERROR(__xludf.DUMMYFUNCTION("""COMPUTED_VALUE"""),"Great knowledge. Delivery needs work")</f>
        <v>Great knowledge. Delivery needs work</v>
      </c>
      <c r="O581" s="142" t="str">
        <f t="shared" si="1"/>
        <v/>
      </c>
      <c r="P581" s="143" t="str">
        <f>IF(ISNA(VLOOKUP(CONCAT(M581,C581), 'Judge Count DO NOT EDIT'!H:H, 1, FALSE)), "ERROR","")</f>
        <v/>
      </c>
      <c r="Q581" s="141"/>
      <c r="R581" s="143"/>
      <c r="S581" s="139" t="str">
        <f t="shared" si="2"/>
        <v>1200278</v>
      </c>
      <c r="T581" s="141"/>
    </row>
    <row r="582">
      <c r="A582" s="137">
        <f>IFERROR(__xludf.DUMMYFUNCTION("""COMPUTED_VALUE"""),45352.76675675926)</f>
        <v>45352.76676</v>
      </c>
      <c r="B582" s="138" t="str">
        <f>IFERROR(__xludf.DUMMYFUNCTION("""COMPUTED_VALUE"""),"Crystal English")</f>
        <v>Crystal English</v>
      </c>
      <c r="C582" s="138">
        <f>IFERROR(__xludf.DUMMYFUNCTION("""COMPUTED_VALUE"""),1032.0)</f>
        <v>1032</v>
      </c>
      <c r="D582" s="139">
        <f>IFERROR(__xludf.DUMMYFUNCTION("""COMPUTED_VALUE"""),278.0)</f>
        <v>278</v>
      </c>
      <c r="E582" s="138">
        <f>IFERROR(__xludf.DUMMYFUNCTION("""COMPUTED_VALUE"""),3.0)</f>
        <v>3</v>
      </c>
      <c r="F582" s="138">
        <f>IFERROR(__xludf.DUMMYFUNCTION("""COMPUTED_VALUE"""),4.0)</f>
        <v>4</v>
      </c>
      <c r="G582" s="138">
        <f>IFERROR(__xludf.DUMMYFUNCTION("""COMPUTED_VALUE"""),4.0)</f>
        <v>4</v>
      </c>
      <c r="H582" s="138">
        <f>IFERROR(__xludf.DUMMYFUNCTION("""COMPUTED_VALUE"""),3.0)</f>
        <v>3</v>
      </c>
      <c r="I582" s="138">
        <f>IFERROR(__xludf.DUMMYFUNCTION("""COMPUTED_VALUE"""),2.0)</f>
        <v>2</v>
      </c>
      <c r="J582" s="138">
        <f>IFERROR(__xludf.DUMMYFUNCTION("""COMPUTED_VALUE"""),3.0)</f>
        <v>3</v>
      </c>
      <c r="K582" s="138">
        <f>IFERROR(__xludf.DUMMYFUNCTION("""COMPUTED_VALUE"""),4.0)</f>
        <v>4</v>
      </c>
      <c r="L582" s="138">
        <v>23.0</v>
      </c>
      <c r="M582" s="140" t="str">
        <f>VLOOKUP(text(D582, "#"),'Master Table'!$A:$F, 6, FALSE)</f>
        <v>D-3</v>
      </c>
      <c r="N582" s="141" t="str">
        <f>IFERROR(__xludf.DUMMYFUNCTION("""COMPUTED_VALUE"""),"An interesting topic, especially given political events that coincided with the period of time being discussed. It was hugely  unfortunate that the presenter read her entire presentation instead of presenting the study. After the first few minutes it beca"&amp;"me difficult to stay engaged. The slides would have  been more useful with a mapped visualization of the region  of which she was speaking. And just as important, speak louder. If the presentation is being read and the presenter is speaking softly, the au"&amp;"dience becomes disinterested.")</f>
        <v>An interesting topic, especially given political events that coincided with the period of time being discussed. It was hugely  unfortunate that the presenter read her entire presentation instead of presenting the study. After the first few minutes it became difficult to stay engaged. The slides would have  been more useful with a mapped visualization of the region  of which she was speaking. And just as important, speak louder. If the presentation is being read and the presenter is speaking softly, the audience becomes disinterested.</v>
      </c>
      <c r="O582" s="142" t="str">
        <f t="shared" si="1"/>
        <v/>
      </c>
      <c r="P582" s="143" t="str">
        <f>IF(ISNA(VLOOKUP(CONCAT(M582,C582), 'Judge Count DO NOT EDIT'!H:H, 1, FALSE)), "ERROR","")</f>
        <v/>
      </c>
      <c r="Q582" s="141"/>
      <c r="R582" s="143"/>
      <c r="S582" s="139" t="str">
        <f t="shared" si="2"/>
        <v>1032278</v>
      </c>
      <c r="T582" s="141"/>
    </row>
    <row r="583">
      <c r="A583" s="137">
        <f>IFERROR(__xludf.DUMMYFUNCTION("""COMPUTED_VALUE"""),45352.690278344904)</f>
        <v>45352.69028</v>
      </c>
      <c r="B583" s="138" t="str">
        <f>IFERROR(__xludf.DUMMYFUNCTION("""COMPUTED_VALUE"""),"Karenina Zaballa")</f>
        <v>Karenina Zaballa</v>
      </c>
      <c r="C583" s="138">
        <f>IFERROR(__xludf.DUMMYFUNCTION("""COMPUTED_VALUE"""),1200.0)</f>
        <v>1200</v>
      </c>
      <c r="D583" s="139">
        <f>IFERROR(__xludf.DUMMYFUNCTION("""COMPUTED_VALUE"""),279.0)</f>
        <v>279</v>
      </c>
      <c r="E583" s="138">
        <f>IFERROR(__xludf.DUMMYFUNCTION("""COMPUTED_VALUE"""),4.0)</f>
        <v>4</v>
      </c>
      <c r="F583" s="138">
        <f>IFERROR(__xludf.DUMMYFUNCTION("""COMPUTED_VALUE"""),3.0)</f>
        <v>3</v>
      </c>
      <c r="G583" s="138">
        <f>IFERROR(__xludf.DUMMYFUNCTION("""COMPUTED_VALUE"""),5.0)</f>
        <v>5</v>
      </c>
      <c r="H583" s="138">
        <f>IFERROR(__xludf.DUMMYFUNCTION("""COMPUTED_VALUE"""),5.0)</f>
        <v>5</v>
      </c>
      <c r="I583" s="138">
        <f>IFERROR(__xludf.DUMMYFUNCTION("""COMPUTED_VALUE"""),4.0)</f>
        <v>4</v>
      </c>
      <c r="J583" s="138">
        <f>IFERROR(__xludf.DUMMYFUNCTION("""COMPUTED_VALUE"""),5.0)</f>
        <v>5</v>
      </c>
      <c r="K583" s="138">
        <f>IFERROR(__xludf.DUMMYFUNCTION("""COMPUTED_VALUE"""),5.0)</f>
        <v>5</v>
      </c>
      <c r="L583" s="138">
        <v>31.0</v>
      </c>
      <c r="M583" s="140" t="str">
        <f>VLOOKUP(text(D583, "#"),'Master Table'!$A:$F, 6, FALSE)</f>
        <v>D-3</v>
      </c>
      <c r="N583" s="141" t="str">
        <f>IFERROR(__xludf.DUMMYFUNCTION("""COMPUTED_VALUE"""),"Excellent delivery and enthusiasm.")</f>
        <v>Excellent delivery and enthusiasm.</v>
      </c>
      <c r="O583" s="142" t="str">
        <f t="shared" si="1"/>
        <v/>
      </c>
      <c r="P583" s="143" t="str">
        <f>IF(ISNA(VLOOKUP(CONCAT(M583,C583), 'Judge Count DO NOT EDIT'!H:H, 1, FALSE)), "ERROR","")</f>
        <v/>
      </c>
      <c r="Q583" s="144"/>
      <c r="R583" s="143"/>
      <c r="S583" s="139" t="str">
        <f t="shared" si="2"/>
        <v>1200279</v>
      </c>
      <c r="T583" s="141"/>
    </row>
    <row r="584">
      <c r="A584" s="137">
        <f>IFERROR(__xludf.DUMMYFUNCTION("""COMPUTED_VALUE"""),45352.777533217595)</f>
        <v>45352.77753</v>
      </c>
      <c r="B584" s="138" t="str">
        <f>IFERROR(__xludf.DUMMYFUNCTION("""COMPUTED_VALUE"""),"Crystal English")</f>
        <v>Crystal English</v>
      </c>
      <c r="C584" s="138">
        <f>IFERROR(__xludf.DUMMYFUNCTION("""COMPUTED_VALUE"""),1032.0)</f>
        <v>1032</v>
      </c>
      <c r="D584" s="139">
        <f>IFERROR(__xludf.DUMMYFUNCTION("""COMPUTED_VALUE"""),279.0)</f>
        <v>279</v>
      </c>
      <c r="E584" s="138">
        <f>IFERROR(__xludf.DUMMYFUNCTION("""COMPUTED_VALUE"""),5.0)</f>
        <v>5</v>
      </c>
      <c r="F584" s="138">
        <f>IFERROR(__xludf.DUMMYFUNCTION("""COMPUTED_VALUE"""),5.0)</f>
        <v>5</v>
      </c>
      <c r="G584" s="138">
        <f>IFERROR(__xludf.DUMMYFUNCTION("""COMPUTED_VALUE"""),4.0)</f>
        <v>4</v>
      </c>
      <c r="H584" s="138">
        <f>IFERROR(__xludf.DUMMYFUNCTION("""COMPUTED_VALUE"""),4.0)</f>
        <v>4</v>
      </c>
      <c r="I584" s="138">
        <f>IFERROR(__xludf.DUMMYFUNCTION("""COMPUTED_VALUE"""),3.0)</f>
        <v>3</v>
      </c>
      <c r="J584" s="138">
        <f>IFERROR(__xludf.DUMMYFUNCTION("""COMPUTED_VALUE"""),4.0)</f>
        <v>4</v>
      </c>
      <c r="K584" s="138">
        <f>IFERROR(__xludf.DUMMYFUNCTION("""COMPUTED_VALUE"""),5.0)</f>
        <v>5</v>
      </c>
      <c r="L584" s="138">
        <v>30.0</v>
      </c>
      <c r="M584" s="140" t="str">
        <f>VLOOKUP(text(D584, "#"),'Master Table'!$A:$F, 6, FALSE)</f>
        <v>D-3</v>
      </c>
      <c r="N584" s="141" t="str">
        <f>IFERROR(__xludf.DUMMYFUNCTION("""COMPUTED_VALUE"""),"Very good presentation and an attention-grabbing topic, considering there is quite a bit of trash floating in our ocean waters. The organization of the slides had  a really good flow. Some things to consider: The riverbed is ""home"" to a large unsheltere"&amp;"d population. As that was pointed to in the presentation, if it is not within the scope of the study,  make sure to indicate that fact. Meaning, if the intent of the study is only to identify those areas where trash is prevelant, make that very clear in t"&amp;"he presentation. Also, make sure to present to the audience, not to the slides (or projector screen). It was evident that the content of the presentation was well rehearsed, which is great. Just make more eye contact with the audience. And the Q&amp;A session"&amp;" was quite well handled, including the questions that were clearly outside  the scope of the research.")</f>
        <v>Very good presentation and an attention-grabbing topic, considering there is quite a bit of trash floating in our ocean waters. The organization of the slides had  a really good flow. Some things to consider: The riverbed is "home" to a large unsheltered population. As that was pointed to in the presentation, if it is not within the scope of the study,  make sure to indicate that fact. Meaning, if the intent of the study is only to identify those areas where trash is prevelant, make that very clear in the presentation. Also, make sure to present to the audience, not to the slides (or projector screen). It was evident that the content of the presentation was well rehearsed, which is great. Just make more eye contact with the audience. And the Q&amp;A session was quite well handled, including the questions that were clearly outside  the scope of the research.</v>
      </c>
      <c r="O584" s="142" t="str">
        <f t="shared" si="1"/>
        <v/>
      </c>
      <c r="P584" s="143" t="str">
        <f>IF(ISNA(VLOOKUP(CONCAT(M584,C584), 'Judge Count DO NOT EDIT'!H:H, 1, FALSE)), "ERROR","")</f>
        <v/>
      </c>
      <c r="Q584" s="141"/>
      <c r="R584" s="143"/>
      <c r="S584" s="139" t="str">
        <f t="shared" si="2"/>
        <v>1032279</v>
      </c>
      <c r="T584" s="141"/>
    </row>
    <row r="585">
      <c r="A585" s="137">
        <f>IFERROR(__xludf.DUMMYFUNCTION("""COMPUTED_VALUE"""),45352.7842428588)</f>
        <v>45352.78424</v>
      </c>
      <c r="B585" s="138" t="str">
        <f>IFERROR(__xludf.DUMMYFUNCTION("""COMPUTED_VALUE"""),"Crystal English")</f>
        <v>Crystal English</v>
      </c>
      <c r="C585" s="138">
        <f>IFERROR(__xludf.DUMMYFUNCTION("""COMPUTED_VALUE"""),1032.0)</f>
        <v>1032</v>
      </c>
      <c r="D585" s="139">
        <f>IFERROR(__xludf.DUMMYFUNCTION("""COMPUTED_VALUE"""),280.0)</f>
        <v>280</v>
      </c>
      <c r="E585" s="138">
        <f>IFERROR(__xludf.DUMMYFUNCTION("""COMPUTED_VALUE"""),4.0)</f>
        <v>4</v>
      </c>
      <c r="F585" s="138">
        <f>IFERROR(__xludf.DUMMYFUNCTION("""COMPUTED_VALUE"""),5.0)</f>
        <v>5</v>
      </c>
      <c r="G585" s="138">
        <f>IFERROR(__xludf.DUMMYFUNCTION("""COMPUTED_VALUE"""),5.0)</f>
        <v>5</v>
      </c>
      <c r="H585" s="138">
        <f>IFERROR(__xludf.DUMMYFUNCTION("""COMPUTED_VALUE"""),4.0)</f>
        <v>4</v>
      </c>
      <c r="I585" s="138">
        <f>IFERROR(__xludf.DUMMYFUNCTION("""COMPUTED_VALUE"""),5.0)</f>
        <v>5</v>
      </c>
      <c r="J585" s="138">
        <f>IFERROR(__xludf.DUMMYFUNCTION("""COMPUTED_VALUE"""),4.0)</f>
        <v>4</v>
      </c>
      <c r="K585" s="138">
        <f>IFERROR(__xludf.DUMMYFUNCTION("""COMPUTED_VALUE"""),5.0)</f>
        <v>5</v>
      </c>
      <c r="L585" s="138">
        <v>32.0</v>
      </c>
      <c r="M585" s="140" t="str">
        <f>VLOOKUP(text(D585, "#"),'Master Table'!$A:$F, 6, FALSE)</f>
        <v>D-3</v>
      </c>
      <c r="N585" s="141" t="str">
        <f>IFERROR(__xludf.DUMMYFUNCTION("""COMPUTED_VALUE"""),"Very impressive presentation. The presenter did a great  job in conveying difficult health measurement concepts. And the slide with the examples of alcohol was helpful in understanding how the measurements (self-reported and otherwise) were quantified. Ex"&amp;"cellent  job in the Q&amp;A portion of the presentation. A suggestion  would be to  expound a little more on the correlation between heavy drinking and HIV as it relates to an increase or decrease in treatment/symptoms/mortality rates. That would be interesti"&amp;"ng to see, given the  involvement of alcohol and the affected population. Again, impressive presentation.")</f>
        <v>Very impressive presentation. The presenter did a great  job in conveying difficult health measurement concepts. And the slide with the examples of alcohol was helpful in understanding how the measurements (self-reported and otherwise) were quantified. Excellent  job in the Q&amp;A portion of the presentation. A suggestion  would be to  expound a little more on the correlation between heavy drinking and HIV as it relates to an increase or decrease in treatment/symptoms/mortality rates. That would be interesting to see, given the  involvement of alcohol and the affected population. Again, impressive presentation.</v>
      </c>
      <c r="O585" s="142" t="str">
        <f t="shared" si="1"/>
        <v/>
      </c>
      <c r="P585" s="143" t="str">
        <f>IF(ISNA(VLOOKUP(CONCAT(M585,C585), 'Judge Count DO NOT EDIT'!H:H, 1, FALSE)), "ERROR","")</f>
        <v/>
      </c>
      <c r="Q585" s="141"/>
      <c r="R585" s="143"/>
      <c r="S585" s="139" t="str">
        <f t="shared" si="2"/>
        <v>1032280</v>
      </c>
      <c r="T585" s="141"/>
    </row>
    <row r="586">
      <c r="A586" s="137">
        <f>IFERROR(__xludf.DUMMYFUNCTION("""COMPUTED_VALUE"""),45352.65302193287)</f>
        <v>45352.65302</v>
      </c>
      <c r="B586" s="138" t="str">
        <f>IFERROR(__xludf.DUMMYFUNCTION("""COMPUTED_VALUE"""),"delores fisher")</f>
        <v>delores fisher</v>
      </c>
      <c r="C586" s="138">
        <f>IFERROR(__xludf.DUMMYFUNCTION("""COMPUTED_VALUE"""),1169.0)</f>
        <v>1169</v>
      </c>
      <c r="D586" s="139">
        <f>IFERROR(__xludf.DUMMYFUNCTION("""COMPUTED_VALUE"""),281.0)</f>
        <v>281</v>
      </c>
      <c r="E586" s="138">
        <f>IFERROR(__xludf.DUMMYFUNCTION("""COMPUTED_VALUE"""),3.0)</f>
        <v>3</v>
      </c>
      <c r="F586" s="138">
        <f>IFERROR(__xludf.DUMMYFUNCTION("""COMPUTED_VALUE"""),4.0)</f>
        <v>4</v>
      </c>
      <c r="G586" s="138">
        <f>IFERROR(__xludf.DUMMYFUNCTION("""COMPUTED_VALUE"""),3.0)</f>
        <v>3</v>
      </c>
      <c r="H586" s="138">
        <f>IFERROR(__xludf.DUMMYFUNCTION("""COMPUTED_VALUE"""),3.0)</f>
        <v>3</v>
      </c>
      <c r="I586" s="138">
        <f>IFERROR(__xludf.DUMMYFUNCTION("""COMPUTED_VALUE"""),3.0)</f>
        <v>3</v>
      </c>
      <c r="J586" s="138">
        <f>IFERROR(__xludf.DUMMYFUNCTION("""COMPUTED_VALUE"""),3.0)</f>
        <v>3</v>
      </c>
      <c r="K586" s="138">
        <f>IFERROR(__xludf.DUMMYFUNCTION("""COMPUTED_VALUE"""),4.0)</f>
        <v>4</v>
      </c>
      <c r="L586" s="138">
        <v>23.0</v>
      </c>
      <c r="M586" s="140" t="str">
        <f>VLOOKUP(text(D586, "#"),'Master Table'!$A:$F, 6, FALSE)</f>
        <v>D-4</v>
      </c>
      <c r="N586" s="141"/>
      <c r="O586" s="142" t="str">
        <f t="shared" si="1"/>
        <v/>
      </c>
      <c r="P586" s="143" t="str">
        <f>IF(ISNA(VLOOKUP(CONCAT(M586,C586), 'Judge Count DO NOT EDIT'!H:H, 1, FALSE)), "ERROR","")</f>
        <v/>
      </c>
      <c r="Q586" s="141"/>
      <c r="R586" s="143"/>
      <c r="S586" s="139" t="str">
        <f t="shared" si="2"/>
        <v>1169281</v>
      </c>
      <c r="T586" s="141"/>
    </row>
    <row r="587">
      <c r="A587" s="137">
        <f>IFERROR(__xludf.DUMMYFUNCTION("""COMPUTED_VALUE"""),45352.64099859954)</f>
        <v>45352.641</v>
      </c>
      <c r="B587" s="138" t="str">
        <f>IFERROR(__xludf.DUMMYFUNCTION("""COMPUTED_VALUE"""),"Lucy Campbell")</f>
        <v>Lucy Campbell</v>
      </c>
      <c r="C587" s="138">
        <f>IFERROR(__xludf.DUMMYFUNCTION("""COMPUTED_VALUE"""),1036.0)</f>
        <v>1036</v>
      </c>
      <c r="D587" s="139">
        <f>IFERROR(__xludf.DUMMYFUNCTION("""COMPUTED_VALUE"""),282.0)</f>
        <v>282</v>
      </c>
      <c r="E587" s="138">
        <f>IFERROR(__xludf.DUMMYFUNCTION("""COMPUTED_VALUE"""),4.0)</f>
        <v>4</v>
      </c>
      <c r="F587" s="138">
        <f>IFERROR(__xludf.DUMMYFUNCTION("""COMPUTED_VALUE"""),4.0)</f>
        <v>4</v>
      </c>
      <c r="G587" s="138">
        <f>IFERROR(__xludf.DUMMYFUNCTION("""COMPUTED_VALUE"""),4.0)</f>
        <v>4</v>
      </c>
      <c r="H587" s="138">
        <f>IFERROR(__xludf.DUMMYFUNCTION("""COMPUTED_VALUE"""),4.0)</f>
        <v>4</v>
      </c>
      <c r="I587" s="138">
        <f>IFERROR(__xludf.DUMMYFUNCTION("""COMPUTED_VALUE"""),3.0)</f>
        <v>3</v>
      </c>
      <c r="J587" s="138">
        <f>IFERROR(__xludf.DUMMYFUNCTION("""COMPUTED_VALUE"""),3.0)</f>
        <v>3</v>
      </c>
      <c r="K587" s="138">
        <f>IFERROR(__xludf.DUMMYFUNCTION("""COMPUTED_VALUE"""),4.0)</f>
        <v>4</v>
      </c>
      <c r="L587" s="138">
        <v>26.0</v>
      </c>
      <c r="M587" s="140" t="str">
        <f>VLOOKUP(text(D587, "#"),'Master Table'!$A:$F, 6, FALSE)</f>
        <v>D-4</v>
      </c>
      <c r="N587" s="141" t="str">
        <f>IFERROR(__xludf.DUMMYFUNCTION("""COMPUTED_VALUE"""),"Fascinating story and connection to the artist. For such a visual treat I would have loved more to look at. More slides and more examples ")</f>
        <v>Fascinating story and connection to the artist. For such a visual treat I would have loved more to look at. More slides and more examples </v>
      </c>
      <c r="O587" s="142" t="str">
        <f t="shared" si="1"/>
        <v/>
      </c>
      <c r="P587" s="143" t="str">
        <f>IF(ISNA(VLOOKUP(CONCAT(M587,C587), 'Judge Count DO NOT EDIT'!H:H, 1, FALSE)), "ERROR","")</f>
        <v/>
      </c>
      <c r="Q587" s="141"/>
      <c r="R587" s="143"/>
      <c r="S587" s="139" t="str">
        <f t="shared" si="2"/>
        <v>1036282</v>
      </c>
      <c r="T587" s="141"/>
    </row>
    <row r="588">
      <c r="A588" s="137">
        <f>IFERROR(__xludf.DUMMYFUNCTION("""COMPUTED_VALUE"""),45352.702062881945)</f>
        <v>45352.70206</v>
      </c>
      <c r="B588" s="138" t="str">
        <f>IFERROR(__xludf.DUMMYFUNCTION("""COMPUTED_VALUE"""),"Terrence")</f>
        <v>Terrence</v>
      </c>
      <c r="C588" s="138">
        <f>IFERROR(__xludf.DUMMYFUNCTION("""COMPUTED_VALUE"""),1144.0)</f>
        <v>1144</v>
      </c>
      <c r="D588" s="139">
        <f>IFERROR(__xludf.DUMMYFUNCTION("""COMPUTED_VALUE"""),282.0)</f>
        <v>282</v>
      </c>
      <c r="E588" s="138">
        <f>IFERROR(__xludf.DUMMYFUNCTION("""COMPUTED_VALUE"""),5.0)</f>
        <v>5</v>
      </c>
      <c r="F588" s="138">
        <f>IFERROR(__xludf.DUMMYFUNCTION("""COMPUTED_VALUE"""),5.0)</f>
        <v>5</v>
      </c>
      <c r="G588" s="138">
        <f>IFERROR(__xludf.DUMMYFUNCTION("""COMPUTED_VALUE"""),4.0)</f>
        <v>4</v>
      </c>
      <c r="H588" s="138">
        <f>IFERROR(__xludf.DUMMYFUNCTION("""COMPUTED_VALUE"""),3.0)</f>
        <v>3</v>
      </c>
      <c r="I588" s="138">
        <f>IFERROR(__xludf.DUMMYFUNCTION("""COMPUTED_VALUE"""),3.0)</f>
        <v>3</v>
      </c>
      <c r="J588" s="138">
        <f>IFERROR(__xludf.DUMMYFUNCTION("""COMPUTED_VALUE"""),4.0)</f>
        <v>4</v>
      </c>
      <c r="K588" s="138">
        <f>IFERROR(__xludf.DUMMYFUNCTION("""COMPUTED_VALUE"""),4.0)</f>
        <v>4</v>
      </c>
      <c r="L588" s="138">
        <v>28.0</v>
      </c>
      <c r="M588" s="140" t="str">
        <f>VLOOKUP(text(D588, "#"),'Master Table'!$A:$F, 6, FALSE)</f>
        <v>D-4</v>
      </c>
      <c r="N588" s="141" t="str">
        <f>IFERROR(__xludf.DUMMYFUNCTION("""COMPUTED_VALUE"""),"Great inclusion of different media and strong imagery. Reading off pretension was ok but speaking of it would make it more personable.  The photos taken were viceral")</f>
        <v>Great inclusion of different media and strong imagery. Reading off pretension was ok but speaking of it would make it more personable.  The photos taken were viceral</v>
      </c>
      <c r="O588" s="142" t="str">
        <f t="shared" si="1"/>
        <v/>
      </c>
      <c r="P588" s="143" t="str">
        <f>IF(ISNA(VLOOKUP(CONCAT(M588,C588), 'Judge Count DO NOT EDIT'!H:H, 1, FALSE)), "ERROR","")</f>
        <v/>
      </c>
      <c r="Q588" s="141"/>
      <c r="R588" s="143"/>
      <c r="S588" s="139" t="str">
        <f t="shared" si="2"/>
        <v>1144282</v>
      </c>
      <c r="T588" s="141"/>
    </row>
    <row r="589">
      <c r="A589" s="137">
        <f>IFERROR(__xludf.DUMMYFUNCTION("""COMPUTED_VALUE"""),45352.66456476852)</f>
        <v>45352.66456</v>
      </c>
      <c r="B589" s="138" t="str">
        <f>IFERROR(__xludf.DUMMYFUNCTION("""COMPUTED_VALUE"""),"Lucy Campbell")</f>
        <v>Lucy Campbell</v>
      </c>
      <c r="C589" s="138">
        <f>IFERROR(__xludf.DUMMYFUNCTION("""COMPUTED_VALUE"""),1036.0)</f>
        <v>1036</v>
      </c>
      <c r="D589" s="139">
        <f>IFERROR(__xludf.DUMMYFUNCTION("""COMPUTED_VALUE"""),283.0)</f>
        <v>283</v>
      </c>
      <c r="E589" s="138">
        <f>IFERROR(__xludf.DUMMYFUNCTION("""COMPUTED_VALUE"""),3.0)</f>
        <v>3</v>
      </c>
      <c r="F589" s="138">
        <f>IFERROR(__xludf.DUMMYFUNCTION("""COMPUTED_VALUE"""),4.0)</f>
        <v>4</v>
      </c>
      <c r="G589" s="138">
        <f>IFERROR(__xludf.DUMMYFUNCTION("""COMPUTED_VALUE"""),4.0)</f>
        <v>4</v>
      </c>
      <c r="H589" s="138">
        <f>IFERROR(__xludf.DUMMYFUNCTION("""COMPUTED_VALUE"""),3.0)</f>
        <v>3</v>
      </c>
      <c r="I589" s="138">
        <f>IFERROR(__xludf.DUMMYFUNCTION("""COMPUTED_VALUE"""),3.0)</f>
        <v>3</v>
      </c>
      <c r="J589" s="138">
        <f>IFERROR(__xludf.DUMMYFUNCTION("""COMPUTED_VALUE"""),3.0)</f>
        <v>3</v>
      </c>
      <c r="K589" s="138">
        <f>IFERROR(__xludf.DUMMYFUNCTION("""COMPUTED_VALUE"""),4.0)</f>
        <v>4</v>
      </c>
      <c r="L589" s="138">
        <v>24.0</v>
      </c>
      <c r="M589" s="140" t="str">
        <f>VLOOKUP(text(D589, "#"),'Master Table'!$A:$F, 6, FALSE)</f>
        <v>D-4</v>
      </c>
      <c r="N589" s="141" t="str">
        <f>IFERROR(__xludf.DUMMYFUNCTION("""COMPUTED_VALUE"""),"Interesting but very early in the research process. Would love to find what you uncover ")</f>
        <v>Interesting but very early in the research process. Would love to find what you uncover </v>
      </c>
      <c r="O589" s="142" t="str">
        <f t="shared" si="1"/>
        <v/>
      </c>
      <c r="P589" s="143" t="str">
        <f>IF(ISNA(VLOOKUP(CONCAT(M589,C589), 'Judge Count DO NOT EDIT'!H:H, 1, FALSE)), "ERROR","")</f>
        <v/>
      </c>
      <c r="Q589" s="141"/>
      <c r="R589" s="143"/>
      <c r="S589" s="139" t="str">
        <f t="shared" si="2"/>
        <v>1036283</v>
      </c>
      <c r="T589" s="141"/>
    </row>
    <row r="590">
      <c r="A590" s="137">
        <f>IFERROR(__xludf.DUMMYFUNCTION("""COMPUTED_VALUE"""),45352.666432928236)</f>
        <v>45352.66643</v>
      </c>
      <c r="B590" s="138" t="str">
        <f>IFERROR(__xludf.DUMMYFUNCTION("""COMPUTED_VALUE"""),"delores fisher")</f>
        <v>delores fisher</v>
      </c>
      <c r="C590" s="138">
        <f>IFERROR(__xludf.DUMMYFUNCTION("""COMPUTED_VALUE"""),1169.0)</f>
        <v>1169</v>
      </c>
      <c r="D590" s="139">
        <f>IFERROR(__xludf.DUMMYFUNCTION("""COMPUTED_VALUE"""),283.0)</f>
        <v>283</v>
      </c>
      <c r="E590" s="138">
        <f>IFERROR(__xludf.DUMMYFUNCTION("""COMPUTED_VALUE"""),3.0)</f>
        <v>3</v>
      </c>
      <c r="F590" s="138">
        <f>IFERROR(__xludf.DUMMYFUNCTION("""COMPUTED_VALUE"""),3.0)</f>
        <v>3</v>
      </c>
      <c r="G590" s="138">
        <f>IFERROR(__xludf.DUMMYFUNCTION("""COMPUTED_VALUE"""),3.0)</f>
        <v>3</v>
      </c>
      <c r="H590" s="138">
        <f>IFERROR(__xludf.DUMMYFUNCTION("""COMPUTED_VALUE"""),3.0)</f>
        <v>3</v>
      </c>
      <c r="I590" s="138">
        <f>IFERROR(__xludf.DUMMYFUNCTION("""COMPUTED_VALUE"""),4.0)</f>
        <v>4</v>
      </c>
      <c r="J590" s="138">
        <f>IFERROR(__xludf.DUMMYFUNCTION("""COMPUTED_VALUE"""),3.0)</f>
        <v>3</v>
      </c>
      <c r="K590" s="138">
        <f>IFERROR(__xludf.DUMMYFUNCTION("""COMPUTED_VALUE"""),3.0)</f>
        <v>3</v>
      </c>
      <c r="L590" s="138">
        <v>22.0</v>
      </c>
      <c r="M590" s="140" t="str">
        <f>VLOOKUP(text(D590, "#"),'Master Table'!$A:$F, 6, FALSE)</f>
        <v>D-4</v>
      </c>
      <c r="N590" s="141"/>
      <c r="O590" s="142" t="str">
        <f t="shared" si="1"/>
        <v/>
      </c>
      <c r="P590" s="143" t="str">
        <f>IF(ISNA(VLOOKUP(CONCAT(M590,C590), 'Judge Count DO NOT EDIT'!H:H, 1, FALSE)), "ERROR","")</f>
        <v/>
      </c>
      <c r="Q590" s="141"/>
      <c r="R590" s="143"/>
      <c r="S590" s="139" t="str">
        <f t="shared" si="2"/>
        <v>1169283</v>
      </c>
      <c r="T590" s="141"/>
    </row>
    <row r="591">
      <c r="A591" s="137">
        <f>IFERROR(__xludf.DUMMYFUNCTION("""COMPUTED_VALUE"""),45352.70399368055)</f>
        <v>45352.70399</v>
      </c>
      <c r="B591" s="138" t="str">
        <f>IFERROR(__xludf.DUMMYFUNCTION("""COMPUTED_VALUE"""),"Terrence")</f>
        <v>Terrence</v>
      </c>
      <c r="C591" s="138">
        <f>IFERROR(__xludf.DUMMYFUNCTION("""COMPUTED_VALUE"""),1144.0)</f>
        <v>1144</v>
      </c>
      <c r="D591" s="139">
        <f>IFERROR(__xludf.DUMMYFUNCTION("""COMPUTED_VALUE"""),283.0)</f>
        <v>283</v>
      </c>
      <c r="E591" s="138">
        <f>IFERROR(__xludf.DUMMYFUNCTION("""COMPUTED_VALUE"""),4.0)</f>
        <v>4</v>
      </c>
      <c r="F591" s="138">
        <f>IFERROR(__xludf.DUMMYFUNCTION("""COMPUTED_VALUE"""),3.0)</f>
        <v>3</v>
      </c>
      <c r="G591" s="138">
        <f>IFERROR(__xludf.DUMMYFUNCTION("""COMPUTED_VALUE"""),4.0)</f>
        <v>4</v>
      </c>
      <c r="H591" s="138">
        <f>IFERROR(__xludf.DUMMYFUNCTION("""COMPUTED_VALUE"""),3.0)</f>
        <v>3</v>
      </c>
      <c r="I591" s="138">
        <f>IFERROR(__xludf.DUMMYFUNCTION("""COMPUTED_VALUE"""),4.0)</f>
        <v>4</v>
      </c>
      <c r="J591" s="138">
        <f>IFERROR(__xludf.DUMMYFUNCTION("""COMPUTED_VALUE"""),5.0)</f>
        <v>5</v>
      </c>
      <c r="K591" s="138">
        <f>IFERROR(__xludf.DUMMYFUNCTION("""COMPUTED_VALUE"""),4.0)</f>
        <v>4</v>
      </c>
      <c r="L591" s="138">
        <v>27.0</v>
      </c>
      <c r="M591" s="140" t="str">
        <f>VLOOKUP(text(D591, "#"),'Master Table'!$A:$F, 6, FALSE)</f>
        <v>D-4</v>
      </c>
      <c r="N591" s="141" t="str">
        <f>IFERROR(__xludf.DUMMYFUNCTION("""COMPUTED_VALUE"""),"Interesting topic especially for the music but all other fields regarding gender conformity
One of the best presenters regarding public speaking and eye contact and clarity.  ")</f>
        <v>Interesting topic especially for the music but all other fields regarding gender conformity
One of the best presenters regarding public speaking and eye contact and clarity.  </v>
      </c>
      <c r="O591" s="142" t="str">
        <f t="shared" si="1"/>
        <v/>
      </c>
      <c r="P591" s="143" t="str">
        <f>IF(ISNA(VLOOKUP(CONCAT(M591,C591), 'Judge Count DO NOT EDIT'!H:H, 1, FALSE)), "ERROR","")</f>
        <v/>
      </c>
      <c r="Q591" s="141"/>
      <c r="R591" s="143"/>
      <c r="S591" s="139" t="str">
        <f t="shared" si="2"/>
        <v>1144283</v>
      </c>
      <c r="T591" s="141"/>
    </row>
    <row r="592">
      <c r="A592" s="137">
        <f>IFERROR(__xludf.DUMMYFUNCTION("""COMPUTED_VALUE"""),45352.67849381945)</f>
        <v>45352.67849</v>
      </c>
      <c r="B592" s="138" t="str">
        <f>IFERROR(__xludf.DUMMYFUNCTION("""COMPUTED_VALUE"""),"Lucy Campbell")</f>
        <v>Lucy Campbell</v>
      </c>
      <c r="C592" s="138">
        <f>IFERROR(__xludf.DUMMYFUNCTION("""COMPUTED_VALUE"""),1036.0)</f>
        <v>1036</v>
      </c>
      <c r="D592" s="139">
        <f>IFERROR(__xludf.DUMMYFUNCTION("""COMPUTED_VALUE"""),284.0)</f>
        <v>284</v>
      </c>
      <c r="E592" s="138">
        <f>IFERROR(__xludf.DUMMYFUNCTION("""COMPUTED_VALUE"""),4.0)</f>
        <v>4</v>
      </c>
      <c r="F592" s="138">
        <f>IFERROR(__xludf.DUMMYFUNCTION("""COMPUTED_VALUE"""),4.0)</f>
        <v>4</v>
      </c>
      <c r="G592" s="138">
        <f>IFERROR(__xludf.DUMMYFUNCTION("""COMPUTED_VALUE"""),3.0)</f>
        <v>3</v>
      </c>
      <c r="H592" s="138">
        <f>IFERROR(__xludf.DUMMYFUNCTION("""COMPUTED_VALUE"""),3.0)</f>
        <v>3</v>
      </c>
      <c r="I592" s="138">
        <f>IFERROR(__xludf.DUMMYFUNCTION("""COMPUTED_VALUE"""),4.0)</f>
        <v>4</v>
      </c>
      <c r="J592" s="138">
        <f>IFERROR(__xludf.DUMMYFUNCTION("""COMPUTED_VALUE"""),4.0)</f>
        <v>4</v>
      </c>
      <c r="K592" s="138">
        <f>IFERROR(__xludf.DUMMYFUNCTION("""COMPUTED_VALUE"""),4.0)</f>
        <v>4</v>
      </c>
      <c r="L592" s="138">
        <v>26.0</v>
      </c>
      <c r="M592" s="140" t="str">
        <f>VLOOKUP(text(D592, "#"),'Master Table'!$A:$F, 6, FALSE)</f>
        <v>D-4</v>
      </c>
      <c r="N592" s="141" t="str">
        <f>IFERROR(__xludf.DUMMYFUNCTION("""COMPUTED_VALUE"""),"Very articulate and thoughtful presentation. Would love to see this theory extended to Jim Henson’s body of work ")</f>
        <v>Very articulate and thoughtful presentation. Would love to see this theory extended to Jim Henson’s body of work </v>
      </c>
      <c r="O592" s="142" t="str">
        <f t="shared" si="1"/>
        <v/>
      </c>
      <c r="P592" s="143" t="str">
        <f>IF(ISNA(VLOOKUP(CONCAT(M592,C592), 'Judge Count DO NOT EDIT'!H:H, 1, FALSE)), "ERROR","")</f>
        <v/>
      </c>
      <c r="Q592" s="141"/>
      <c r="R592" s="143"/>
      <c r="S592" s="139" t="str">
        <f t="shared" si="2"/>
        <v>1036284</v>
      </c>
      <c r="T592" s="141"/>
    </row>
    <row r="593">
      <c r="A593" s="137">
        <f>IFERROR(__xludf.DUMMYFUNCTION("""COMPUTED_VALUE"""),45352.67916613426)</f>
        <v>45352.67917</v>
      </c>
      <c r="B593" s="138" t="str">
        <f>IFERROR(__xludf.DUMMYFUNCTION("""COMPUTED_VALUE"""),"delores fisher")</f>
        <v>delores fisher</v>
      </c>
      <c r="C593" s="138">
        <f>IFERROR(__xludf.DUMMYFUNCTION("""COMPUTED_VALUE"""),1169.0)</f>
        <v>1169</v>
      </c>
      <c r="D593" s="139">
        <f>IFERROR(__xludf.DUMMYFUNCTION("""COMPUTED_VALUE"""),284.0)</f>
        <v>284</v>
      </c>
      <c r="E593" s="138">
        <f>IFERROR(__xludf.DUMMYFUNCTION("""COMPUTED_VALUE"""),3.0)</f>
        <v>3</v>
      </c>
      <c r="F593" s="138">
        <f>IFERROR(__xludf.DUMMYFUNCTION("""COMPUTED_VALUE"""),3.0)</f>
        <v>3</v>
      </c>
      <c r="G593" s="138">
        <f>IFERROR(__xludf.DUMMYFUNCTION("""COMPUTED_VALUE"""),3.0)</f>
        <v>3</v>
      </c>
      <c r="H593" s="138">
        <f>IFERROR(__xludf.DUMMYFUNCTION("""COMPUTED_VALUE"""),3.0)</f>
        <v>3</v>
      </c>
      <c r="I593" s="138">
        <f>IFERROR(__xludf.DUMMYFUNCTION("""COMPUTED_VALUE"""),5.0)</f>
        <v>5</v>
      </c>
      <c r="J593" s="138">
        <f>IFERROR(__xludf.DUMMYFUNCTION("""COMPUTED_VALUE"""),3.0)</f>
        <v>3</v>
      </c>
      <c r="K593" s="138">
        <f>IFERROR(__xludf.DUMMYFUNCTION("""COMPUTED_VALUE"""),5.0)</f>
        <v>5</v>
      </c>
      <c r="L593" s="138">
        <v>25.0</v>
      </c>
      <c r="M593" s="140" t="str">
        <f>VLOOKUP(text(D593, "#"),'Master Table'!$A:$F, 6, FALSE)</f>
        <v>D-4</v>
      </c>
      <c r="N593" s="141"/>
      <c r="O593" s="142" t="str">
        <f t="shared" si="1"/>
        <v/>
      </c>
      <c r="P593" s="143" t="str">
        <f>IF(ISNA(VLOOKUP(CONCAT(M593,C593), 'Judge Count DO NOT EDIT'!H:H, 1, FALSE)), "ERROR","")</f>
        <v/>
      </c>
      <c r="Q593" s="141"/>
      <c r="R593" s="143"/>
      <c r="S593" s="139" t="str">
        <f t="shared" si="2"/>
        <v>1169284</v>
      </c>
      <c r="T593" s="141"/>
    </row>
    <row r="594">
      <c r="A594" s="137">
        <f>IFERROR(__xludf.DUMMYFUNCTION("""COMPUTED_VALUE"""),45352.70574017361)</f>
        <v>45352.70574</v>
      </c>
      <c r="B594" s="138" t="str">
        <f>IFERROR(__xludf.DUMMYFUNCTION("""COMPUTED_VALUE"""),"Terrence")</f>
        <v>Terrence</v>
      </c>
      <c r="C594" s="138">
        <f>IFERROR(__xludf.DUMMYFUNCTION("""COMPUTED_VALUE"""),1144.0)</f>
        <v>1144</v>
      </c>
      <c r="D594" s="139">
        <f>IFERROR(__xludf.DUMMYFUNCTION("""COMPUTED_VALUE"""),284.0)</f>
        <v>284</v>
      </c>
      <c r="E594" s="138">
        <f>IFERROR(__xludf.DUMMYFUNCTION("""COMPUTED_VALUE"""),4.0)</f>
        <v>4</v>
      </c>
      <c r="F594" s="138">
        <f>IFERROR(__xludf.DUMMYFUNCTION("""COMPUTED_VALUE"""),4.0)</f>
        <v>4</v>
      </c>
      <c r="G594" s="138">
        <f>IFERROR(__xludf.DUMMYFUNCTION("""COMPUTED_VALUE"""),3.0)</f>
        <v>3</v>
      </c>
      <c r="H594" s="138">
        <f>IFERROR(__xludf.DUMMYFUNCTION("""COMPUTED_VALUE"""),3.0)</f>
        <v>3</v>
      </c>
      <c r="I594" s="138">
        <f>IFERROR(__xludf.DUMMYFUNCTION("""COMPUTED_VALUE"""),5.0)</f>
        <v>5</v>
      </c>
      <c r="J594" s="138">
        <f>IFERROR(__xludf.DUMMYFUNCTION("""COMPUTED_VALUE"""),4.0)</f>
        <v>4</v>
      </c>
      <c r="K594" s="138">
        <f>IFERROR(__xludf.DUMMYFUNCTION("""COMPUTED_VALUE"""),4.0)</f>
        <v>4</v>
      </c>
      <c r="L594" s="138">
        <v>27.0</v>
      </c>
      <c r="M594" s="140" t="str">
        <f>VLOOKUP(text(D594, "#"),'Master Table'!$A:$F, 6, FALSE)</f>
        <v>D-4</v>
      </c>
      <c r="N594" s="141" t="str">
        <f>IFERROR(__xludf.DUMMYFUNCTION("""COMPUTED_VALUE"""),"Unique research on the film, I will never watch it the same again! Great easy to file pwpt with pics. Presented well, loud clear good pace, and good eye contact. Easy to follow with sounds points on topic")</f>
        <v>Unique research on the film, I will never watch it the same again! Great easy to file pwpt with pics. Presented well, loud clear good pace, and good eye contact. Easy to follow with sounds points on topic</v>
      </c>
      <c r="O594" s="142" t="str">
        <f t="shared" si="1"/>
        <v/>
      </c>
      <c r="P594" s="143" t="str">
        <f>IF(ISNA(VLOOKUP(CONCAT(M594,C594), 'Judge Count DO NOT EDIT'!H:H, 1, FALSE)), "ERROR","")</f>
        <v/>
      </c>
      <c r="Q594" s="141"/>
      <c r="R594" s="143"/>
      <c r="S594" s="139" t="str">
        <f t="shared" si="2"/>
        <v>1144284</v>
      </c>
      <c r="T594" s="141"/>
    </row>
    <row r="595">
      <c r="A595" s="137">
        <f>IFERROR(__xludf.DUMMYFUNCTION("""COMPUTED_VALUE"""),45352.68777230324)</f>
        <v>45352.68777</v>
      </c>
      <c r="B595" s="138" t="str">
        <f>IFERROR(__xludf.DUMMYFUNCTION("""COMPUTED_VALUE"""),"Lucy Campbell")</f>
        <v>Lucy Campbell</v>
      </c>
      <c r="C595" s="138">
        <f>IFERROR(__xludf.DUMMYFUNCTION("""COMPUTED_VALUE"""),1036.0)</f>
        <v>1036</v>
      </c>
      <c r="D595" s="139">
        <f>IFERROR(__xludf.DUMMYFUNCTION("""COMPUTED_VALUE"""),285.0)</f>
        <v>285</v>
      </c>
      <c r="E595" s="138">
        <f>IFERROR(__xludf.DUMMYFUNCTION("""COMPUTED_VALUE"""),4.0)</f>
        <v>4</v>
      </c>
      <c r="F595" s="138">
        <f>IFERROR(__xludf.DUMMYFUNCTION("""COMPUTED_VALUE"""),3.0)</f>
        <v>3</v>
      </c>
      <c r="G595" s="138">
        <f>IFERROR(__xludf.DUMMYFUNCTION("""COMPUTED_VALUE"""),3.0)</f>
        <v>3</v>
      </c>
      <c r="H595" s="138">
        <f>IFERROR(__xludf.DUMMYFUNCTION("""COMPUTED_VALUE"""),4.0)</f>
        <v>4</v>
      </c>
      <c r="I595" s="138">
        <f>IFERROR(__xludf.DUMMYFUNCTION("""COMPUTED_VALUE"""),4.0)</f>
        <v>4</v>
      </c>
      <c r="J595" s="138">
        <f>IFERROR(__xludf.DUMMYFUNCTION("""COMPUTED_VALUE"""),4.0)</f>
        <v>4</v>
      </c>
      <c r="K595" s="138">
        <f>IFERROR(__xludf.DUMMYFUNCTION("""COMPUTED_VALUE"""),4.0)</f>
        <v>4</v>
      </c>
      <c r="L595" s="138">
        <v>26.0</v>
      </c>
      <c r="M595" s="140" t="str">
        <f>VLOOKUP(text(D595, "#"),'Master Table'!$A:$F, 6, FALSE)</f>
        <v>D-4</v>
      </c>
      <c r="N595" s="141" t="str">
        <f>IFERROR(__xludf.DUMMYFUNCTION("""COMPUTED_VALUE"""),"Great monkey pictures. Well presented study that has a lot of potential for further research ")</f>
        <v>Great monkey pictures. Well presented study that has a lot of potential for further research </v>
      </c>
      <c r="O595" s="142" t="str">
        <f t="shared" si="1"/>
        <v/>
      </c>
      <c r="P595" s="143" t="str">
        <f>IF(ISNA(VLOOKUP(CONCAT(M595,C595), 'Judge Count DO NOT EDIT'!H:H, 1, FALSE)), "ERROR","")</f>
        <v/>
      </c>
      <c r="Q595" s="141"/>
      <c r="R595" s="143"/>
      <c r="S595" s="139" t="str">
        <f t="shared" si="2"/>
        <v>1036285</v>
      </c>
      <c r="T595" s="141"/>
    </row>
    <row r="596">
      <c r="A596" s="137">
        <f>IFERROR(__xludf.DUMMYFUNCTION("""COMPUTED_VALUE"""),45352.69298896991)</f>
        <v>45352.69299</v>
      </c>
      <c r="B596" s="138" t="str">
        <f>IFERROR(__xludf.DUMMYFUNCTION("""COMPUTED_VALUE"""),"delores fisher")</f>
        <v>delores fisher</v>
      </c>
      <c r="C596" s="138">
        <f>IFERROR(__xludf.DUMMYFUNCTION("""COMPUTED_VALUE"""),1169.0)</f>
        <v>1169</v>
      </c>
      <c r="D596" s="139">
        <f>IFERROR(__xludf.DUMMYFUNCTION("""COMPUTED_VALUE"""),285.0)</f>
        <v>285</v>
      </c>
      <c r="E596" s="138">
        <f>IFERROR(__xludf.DUMMYFUNCTION("""COMPUTED_VALUE"""),4.0)</f>
        <v>4</v>
      </c>
      <c r="F596" s="138">
        <f>IFERROR(__xludf.DUMMYFUNCTION("""COMPUTED_VALUE"""),4.0)</f>
        <v>4</v>
      </c>
      <c r="G596" s="138">
        <f>IFERROR(__xludf.DUMMYFUNCTION("""COMPUTED_VALUE"""),4.0)</f>
        <v>4</v>
      </c>
      <c r="H596" s="138">
        <f>IFERROR(__xludf.DUMMYFUNCTION("""COMPUTED_VALUE"""),4.0)</f>
        <v>4</v>
      </c>
      <c r="I596" s="138">
        <f>IFERROR(__xludf.DUMMYFUNCTION("""COMPUTED_VALUE"""),3.0)</f>
        <v>3</v>
      </c>
      <c r="J596" s="138">
        <f>IFERROR(__xludf.DUMMYFUNCTION("""COMPUTED_VALUE"""),3.0)</f>
        <v>3</v>
      </c>
      <c r="K596" s="138">
        <f>IFERROR(__xludf.DUMMYFUNCTION("""COMPUTED_VALUE"""),4.0)</f>
        <v>4</v>
      </c>
      <c r="L596" s="138">
        <v>26.0</v>
      </c>
      <c r="M596" s="140" t="str">
        <f>VLOOKUP(text(D596, "#"),'Master Table'!$A:$F, 6, FALSE)</f>
        <v>D-4</v>
      </c>
      <c r="N596" s="141"/>
      <c r="O596" s="142" t="str">
        <f t="shared" si="1"/>
        <v/>
      </c>
      <c r="P596" s="143" t="str">
        <f>IF(ISNA(VLOOKUP(CONCAT(M596,C596), 'Judge Count DO NOT EDIT'!H:H, 1, FALSE)), "ERROR","")</f>
        <v/>
      </c>
      <c r="Q596" s="141"/>
      <c r="R596" s="143"/>
      <c r="S596" s="139" t="str">
        <f t="shared" si="2"/>
        <v>1169285</v>
      </c>
      <c r="T596" s="141"/>
    </row>
    <row r="597">
      <c r="A597" s="137">
        <f>IFERROR(__xludf.DUMMYFUNCTION("""COMPUTED_VALUE"""),45352.70812605324)</f>
        <v>45352.70813</v>
      </c>
      <c r="B597" s="138" t="str">
        <f>IFERROR(__xludf.DUMMYFUNCTION("""COMPUTED_VALUE"""),"Terrence")</f>
        <v>Terrence</v>
      </c>
      <c r="C597" s="138">
        <f>IFERROR(__xludf.DUMMYFUNCTION("""COMPUTED_VALUE"""),1144.0)</f>
        <v>1144</v>
      </c>
      <c r="D597" s="139">
        <f>IFERROR(__xludf.DUMMYFUNCTION("""COMPUTED_VALUE"""),285.0)</f>
        <v>285</v>
      </c>
      <c r="E597" s="138">
        <f>IFERROR(__xludf.DUMMYFUNCTION("""COMPUTED_VALUE"""),4.0)</f>
        <v>4</v>
      </c>
      <c r="F597" s="138">
        <f>IFERROR(__xludf.DUMMYFUNCTION("""COMPUTED_VALUE"""),4.0)</f>
        <v>4</v>
      </c>
      <c r="G597" s="138">
        <f>IFERROR(__xludf.DUMMYFUNCTION("""COMPUTED_VALUE"""),5.0)</f>
        <v>5</v>
      </c>
      <c r="H597" s="138">
        <f>IFERROR(__xludf.DUMMYFUNCTION("""COMPUTED_VALUE"""),4.0)</f>
        <v>4</v>
      </c>
      <c r="I597" s="138">
        <f>IFERROR(__xludf.DUMMYFUNCTION("""COMPUTED_VALUE"""),4.0)</f>
        <v>4</v>
      </c>
      <c r="J597" s="138">
        <f>IFERROR(__xludf.DUMMYFUNCTION("""COMPUTED_VALUE"""),3.0)</f>
        <v>3</v>
      </c>
      <c r="K597" s="138">
        <f>IFERROR(__xludf.DUMMYFUNCTION("""COMPUTED_VALUE"""),4.0)</f>
        <v>4</v>
      </c>
      <c r="L597" s="138">
        <v>28.0</v>
      </c>
      <c r="M597" s="140" t="str">
        <f>VLOOKUP(text(D597, "#"),'Master Table'!$A:$F, 6, FALSE)</f>
        <v>D-4</v>
      </c>
      <c r="N597" s="141" t="str">
        <f>IFERROR(__xludf.DUMMYFUNCTION("""COMPUTED_VALUE"""),"Research has significance on the effects with nature, will be great to continue use. Pwpt has great pics supporting presentation and easy to follow. Presenter spoke at good pace with annunciation and easy to follow.  Very energetic and smiled which helped"&amp;" keep the audience interested")</f>
        <v>Research has significance on the effects with nature, will be great to continue use. Pwpt has great pics supporting presentation and easy to follow. Presenter spoke at good pace with annunciation and easy to follow.  Very energetic and smiled which helped keep the audience interested</v>
      </c>
      <c r="O597" s="142" t="str">
        <f t="shared" si="1"/>
        <v/>
      </c>
      <c r="P597" s="143" t="str">
        <f>IF(ISNA(VLOOKUP(CONCAT(M597,C597), 'Judge Count DO NOT EDIT'!H:H, 1, FALSE)), "ERROR","")</f>
        <v/>
      </c>
      <c r="Q597" s="141"/>
      <c r="R597" s="143"/>
      <c r="S597" s="139" t="str">
        <f t="shared" si="2"/>
        <v>1144285</v>
      </c>
      <c r="T597" s="141"/>
    </row>
    <row r="598">
      <c r="A598" s="137">
        <f>IFERROR(__xludf.DUMMYFUNCTION("""COMPUTED_VALUE"""),45352.6451032176)</f>
        <v>45352.6451</v>
      </c>
      <c r="B598" s="138" t="str">
        <f>IFERROR(__xludf.DUMMYFUNCTION("""COMPUTED_VALUE"""),"Marlene Ruiz")</f>
        <v>Marlene Ruiz</v>
      </c>
      <c r="C598" s="138">
        <f>IFERROR(__xludf.DUMMYFUNCTION("""COMPUTED_VALUE"""),1160.0)</f>
        <v>1160</v>
      </c>
      <c r="D598" s="139">
        <f>IFERROR(__xludf.DUMMYFUNCTION("""COMPUTED_VALUE"""),287.0)</f>
        <v>287</v>
      </c>
      <c r="E598" s="138">
        <f>IFERROR(__xludf.DUMMYFUNCTION("""COMPUTED_VALUE"""),4.0)</f>
        <v>4</v>
      </c>
      <c r="F598" s="138">
        <f>IFERROR(__xludf.DUMMYFUNCTION("""COMPUTED_VALUE"""),4.0)</f>
        <v>4</v>
      </c>
      <c r="G598" s="138">
        <f>IFERROR(__xludf.DUMMYFUNCTION("""COMPUTED_VALUE"""),5.0)</f>
        <v>5</v>
      </c>
      <c r="H598" s="138">
        <f>IFERROR(__xludf.DUMMYFUNCTION("""COMPUTED_VALUE"""),4.0)</f>
        <v>4</v>
      </c>
      <c r="I598" s="138">
        <f>IFERROR(__xludf.DUMMYFUNCTION("""COMPUTED_VALUE"""),5.0)</f>
        <v>5</v>
      </c>
      <c r="J598" s="138">
        <f>IFERROR(__xludf.DUMMYFUNCTION("""COMPUTED_VALUE"""),5.0)</f>
        <v>5</v>
      </c>
      <c r="K598" s="138">
        <f>IFERROR(__xludf.DUMMYFUNCTION("""COMPUTED_VALUE"""),5.0)</f>
        <v>5</v>
      </c>
      <c r="L598" s="138">
        <v>32.0</v>
      </c>
      <c r="M598" s="140" t="str">
        <f>VLOOKUP(text(D598, "#"),'Master Table'!$A:$F, 6, FALSE)</f>
        <v>D-5</v>
      </c>
      <c r="N598" s="141" t="str">
        <f>IFERROR(__xludf.DUMMYFUNCTION("""COMPUTED_VALUE"""),"Professionally dressed and presenting skills were clearly at doctoral student level. Spoke at level appropriate to the audience. Topic especially significant today. Fielded questions with ease.")</f>
        <v>Professionally dressed and presenting skills were clearly at doctoral student level. Spoke at level appropriate to the audience. Topic especially significant today. Fielded questions with ease.</v>
      </c>
      <c r="O598" s="142" t="str">
        <f t="shared" si="1"/>
        <v/>
      </c>
      <c r="P598" s="143" t="str">
        <f>IF(ISNA(VLOOKUP(CONCAT(M598,C598), 'Judge Count DO NOT EDIT'!H:H, 1, FALSE)), "ERROR","")</f>
        <v/>
      </c>
      <c r="Q598" s="141"/>
      <c r="R598" s="143"/>
      <c r="S598" s="139" t="str">
        <f t="shared" si="2"/>
        <v>1160287</v>
      </c>
      <c r="T598" s="141"/>
    </row>
    <row r="599">
      <c r="A599" s="137">
        <f>IFERROR(__xludf.DUMMYFUNCTION("""COMPUTED_VALUE"""),45352.64901869213)</f>
        <v>45352.64902</v>
      </c>
      <c r="B599" s="138" t="str">
        <f>IFERROR(__xludf.DUMMYFUNCTION("""COMPUTED_VALUE"""),"Patricia ")</f>
        <v>Patricia </v>
      </c>
      <c r="C599" s="138">
        <f>IFERROR(__xludf.DUMMYFUNCTION("""COMPUTED_VALUE"""),1182.0)</f>
        <v>1182</v>
      </c>
      <c r="D599" s="139">
        <f>IFERROR(__xludf.DUMMYFUNCTION("""COMPUTED_VALUE"""),287.0)</f>
        <v>287</v>
      </c>
      <c r="E599" s="138">
        <f>IFERROR(__xludf.DUMMYFUNCTION("""COMPUTED_VALUE"""),4.0)</f>
        <v>4</v>
      </c>
      <c r="F599" s="138">
        <f>IFERROR(__xludf.DUMMYFUNCTION("""COMPUTED_VALUE"""),4.0)</f>
        <v>4</v>
      </c>
      <c r="G599" s="138">
        <f>IFERROR(__xludf.DUMMYFUNCTION("""COMPUTED_VALUE"""),4.0)</f>
        <v>4</v>
      </c>
      <c r="H599" s="138">
        <f>IFERROR(__xludf.DUMMYFUNCTION("""COMPUTED_VALUE"""),4.0)</f>
        <v>4</v>
      </c>
      <c r="I599" s="138">
        <f>IFERROR(__xludf.DUMMYFUNCTION("""COMPUTED_VALUE"""),4.0)</f>
        <v>4</v>
      </c>
      <c r="J599" s="138">
        <f>IFERROR(__xludf.DUMMYFUNCTION("""COMPUTED_VALUE"""),4.0)</f>
        <v>4</v>
      </c>
      <c r="K599" s="138">
        <f>IFERROR(__xludf.DUMMYFUNCTION("""COMPUTED_VALUE"""),4.0)</f>
        <v>4</v>
      </c>
      <c r="L599" s="138">
        <v>28.0</v>
      </c>
      <c r="M599" s="140" t="str">
        <f>VLOOKUP(text(D599, "#"),'Master Table'!$A:$F, 6, FALSE)</f>
        <v>D-5</v>
      </c>
      <c r="N599" s="141" t="str">
        <f>IFERROR(__xludf.DUMMYFUNCTION("""COMPUTED_VALUE"""),"Great project.  Congratulations. You address questions very competently. ")</f>
        <v>Great project.  Congratulations. You address questions very competently. </v>
      </c>
      <c r="O599" s="142" t="str">
        <f t="shared" si="1"/>
        <v/>
      </c>
      <c r="P599" s="143" t="str">
        <f>IF(ISNA(VLOOKUP(CONCAT(M599,C599), 'Judge Count DO NOT EDIT'!H:H, 1, FALSE)), "ERROR","")</f>
        <v/>
      </c>
      <c r="R599" s="143"/>
      <c r="S599" s="139" t="str">
        <f t="shared" si="2"/>
        <v>1182287</v>
      </c>
      <c r="T599" s="141"/>
    </row>
    <row r="600">
      <c r="A600" s="137">
        <f>IFERROR(__xludf.DUMMYFUNCTION("""COMPUTED_VALUE"""),45352.66584894676)</f>
        <v>45352.66585</v>
      </c>
      <c r="B600" s="138" t="str">
        <f>IFERROR(__xludf.DUMMYFUNCTION("""COMPUTED_VALUE"""),"Jennifer Karnopp")</f>
        <v>Jennifer Karnopp</v>
      </c>
      <c r="C600" s="138">
        <f>IFERROR(__xludf.DUMMYFUNCTION("""COMPUTED_VALUE"""),1031.0)</f>
        <v>1031</v>
      </c>
      <c r="D600" s="139">
        <f>IFERROR(__xludf.DUMMYFUNCTION("""COMPUTED_VALUE"""),287.0)</f>
        <v>287</v>
      </c>
      <c r="E600" s="138">
        <f>IFERROR(__xludf.DUMMYFUNCTION("""COMPUTED_VALUE"""),4.0)</f>
        <v>4</v>
      </c>
      <c r="F600" s="138">
        <f>IFERROR(__xludf.DUMMYFUNCTION("""COMPUTED_VALUE"""),4.0)</f>
        <v>4</v>
      </c>
      <c r="G600" s="138">
        <f>IFERROR(__xludf.DUMMYFUNCTION("""COMPUTED_VALUE"""),4.0)</f>
        <v>4</v>
      </c>
      <c r="H600" s="138">
        <f>IFERROR(__xludf.DUMMYFUNCTION("""COMPUTED_VALUE"""),4.0)</f>
        <v>4</v>
      </c>
      <c r="I600" s="138">
        <f>IFERROR(__xludf.DUMMYFUNCTION("""COMPUTED_VALUE"""),4.0)</f>
        <v>4</v>
      </c>
      <c r="J600" s="138">
        <f>IFERROR(__xludf.DUMMYFUNCTION("""COMPUTED_VALUE"""),4.0)</f>
        <v>4</v>
      </c>
      <c r="K600" s="138">
        <f>IFERROR(__xludf.DUMMYFUNCTION("""COMPUTED_VALUE"""),4.0)</f>
        <v>4</v>
      </c>
      <c r="L600" s="138">
        <v>28.0</v>
      </c>
      <c r="M600" s="140" t="str">
        <f>VLOOKUP(text(D600, "#"),'Master Table'!$A:$F, 6, FALSE)</f>
        <v>D-5</v>
      </c>
      <c r="N600" s="141" t="str">
        <f>IFERROR(__xludf.DUMMYFUNCTION("""COMPUTED_VALUE"""),"Catherine provided a clear explanation of a complex analysis through her oral presentation and her visual. I would have liked to have seen the full model written out, but I understand the focus on the significant variables. Her answers to questions were c"&amp;"lear and demonstrated her command of and passion for the topic. I am thrilled with the research topic, as more research is needed on rural education!")</f>
        <v>Catherine provided a clear explanation of a complex analysis through her oral presentation and her visual. I would have liked to have seen the full model written out, but I understand the focus on the significant variables. Her answers to questions were clear and demonstrated her command of and passion for the topic. I am thrilled with the research topic, as more research is needed on rural education!</v>
      </c>
      <c r="O600" s="142" t="str">
        <f t="shared" si="1"/>
        <v/>
      </c>
      <c r="P600" s="143" t="str">
        <f>IF(ISNA(VLOOKUP(CONCAT(M600,C600), 'Judge Count DO NOT EDIT'!H:H, 1, FALSE)), "ERROR","")</f>
        <v/>
      </c>
      <c r="Q600" s="144"/>
      <c r="R600" s="143"/>
      <c r="S600" s="139" t="str">
        <f t="shared" si="2"/>
        <v>1031287</v>
      </c>
      <c r="T600" s="141"/>
    </row>
    <row r="601">
      <c r="A601" s="137">
        <f>IFERROR(__xludf.DUMMYFUNCTION("""COMPUTED_VALUE"""),45352.69429384259)</f>
        <v>45352.69429</v>
      </c>
      <c r="B601" s="138" t="str">
        <f>IFERROR(__xludf.DUMMYFUNCTION("""COMPUTED_VALUE"""),"Norah Shultz")</f>
        <v>Norah Shultz</v>
      </c>
      <c r="C601" s="138">
        <f>IFERROR(__xludf.DUMMYFUNCTION("""COMPUTED_VALUE"""),1235.0)</f>
        <v>1235</v>
      </c>
      <c r="D601" s="139">
        <f>IFERROR(__xludf.DUMMYFUNCTION("""COMPUTED_VALUE"""),287.0)</f>
        <v>287</v>
      </c>
      <c r="E601" s="138">
        <f>IFERROR(__xludf.DUMMYFUNCTION("""COMPUTED_VALUE"""),3.0)</f>
        <v>3</v>
      </c>
      <c r="F601" s="138">
        <f>IFERROR(__xludf.DUMMYFUNCTION("""COMPUTED_VALUE"""),4.0)</f>
        <v>4</v>
      </c>
      <c r="G601" s="138">
        <f>IFERROR(__xludf.DUMMYFUNCTION("""COMPUTED_VALUE"""),4.0)</f>
        <v>4</v>
      </c>
      <c r="H601" s="138">
        <f>IFERROR(__xludf.DUMMYFUNCTION("""COMPUTED_VALUE"""),4.0)</f>
        <v>4</v>
      </c>
      <c r="I601" s="138">
        <f>IFERROR(__xludf.DUMMYFUNCTION("""COMPUTED_VALUE"""),4.0)</f>
        <v>4</v>
      </c>
      <c r="J601" s="138">
        <f>IFERROR(__xludf.DUMMYFUNCTION("""COMPUTED_VALUE"""),4.0)</f>
        <v>4</v>
      </c>
      <c r="K601" s="138">
        <f>IFERROR(__xludf.DUMMYFUNCTION("""COMPUTED_VALUE"""),4.0)</f>
        <v>4</v>
      </c>
      <c r="L601" s="138">
        <v>27.0</v>
      </c>
      <c r="M601" s="140" t="str">
        <f>VLOOKUP(text(D601, "#"),'Master Table'!$A:$F, 6, FALSE)</f>
        <v>D-5</v>
      </c>
      <c r="N601" s="141" t="str">
        <f>IFERROR(__xludf.DUMMYFUNCTION("""COMPUTED_VALUE"""),"This was very well organized and the researcher clearly understands her materials and her methodology. She handled all of the questions well. It was a lot of information. She really understands her topic and how she conducted her research. It is unique th"&amp;"at it focuses on rural first gen which we do not know as much about. It was hard to cover the whole dissertation in 10 minutes and might have been better to focus on one finding and expand upon it.")</f>
        <v>This was very well organized and the researcher clearly understands her materials and her methodology. She handled all of the questions well. It was a lot of information. She really understands her topic and how she conducted her research. It is unique that it focuses on rural first gen which we do not know as much about. It was hard to cover the whole dissertation in 10 minutes and might have been better to focus on one finding and expand upon it.</v>
      </c>
      <c r="O601" s="142" t="str">
        <f t="shared" si="1"/>
        <v/>
      </c>
      <c r="P601" s="143" t="str">
        <f>IF(ISNA(VLOOKUP(CONCAT(M601,C601), 'Judge Count DO NOT EDIT'!H:H, 1, FALSE)), "ERROR","")</f>
        <v/>
      </c>
      <c r="Q601" s="141"/>
      <c r="R601" s="143"/>
      <c r="S601" s="139" t="str">
        <f t="shared" si="2"/>
        <v>1235287</v>
      </c>
      <c r="T601" s="141"/>
    </row>
    <row r="602">
      <c r="A602" s="137">
        <f>IFERROR(__xludf.DUMMYFUNCTION("""COMPUTED_VALUE"""),45352.658851354165)</f>
        <v>45352.65885</v>
      </c>
      <c r="B602" s="138" t="str">
        <f>IFERROR(__xludf.DUMMYFUNCTION("""COMPUTED_VALUE"""),"Marlene Ruiz")</f>
        <v>Marlene Ruiz</v>
      </c>
      <c r="C602" s="138">
        <f>IFERROR(__xludf.DUMMYFUNCTION("""COMPUTED_VALUE"""),1160.0)</f>
        <v>1160</v>
      </c>
      <c r="D602" s="139">
        <f>IFERROR(__xludf.DUMMYFUNCTION("""COMPUTED_VALUE"""),288.0)</f>
        <v>288</v>
      </c>
      <c r="E602" s="138">
        <f>IFERROR(__xludf.DUMMYFUNCTION("""COMPUTED_VALUE"""),5.0)</f>
        <v>5</v>
      </c>
      <c r="F602" s="138">
        <f>IFERROR(__xludf.DUMMYFUNCTION("""COMPUTED_VALUE"""),4.0)</f>
        <v>4</v>
      </c>
      <c r="G602" s="138">
        <f>IFERROR(__xludf.DUMMYFUNCTION("""COMPUTED_VALUE"""),4.0)</f>
        <v>4</v>
      </c>
      <c r="H602" s="138">
        <f>IFERROR(__xludf.DUMMYFUNCTION("""COMPUTED_VALUE"""),4.0)</f>
        <v>4</v>
      </c>
      <c r="I602" s="138">
        <f>IFERROR(__xludf.DUMMYFUNCTION("""COMPUTED_VALUE"""),4.0)</f>
        <v>4</v>
      </c>
      <c r="J602" s="138">
        <f>IFERROR(__xludf.DUMMYFUNCTION("""COMPUTED_VALUE"""),5.0)</f>
        <v>5</v>
      </c>
      <c r="K602" s="138">
        <f>IFERROR(__xludf.DUMMYFUNCTION("""COMPUTED_VALUE"""),5.0)</f>
        <v>5</v>
      </c>
      <c r="L602" s="138">
        <v>31.0</v>
      </c>
      <c r="M602" s="140" t="str">
        <f>VLOOKUP(text(D602, "#"),'Master Table'!$A:$F, 6, FALSE)</f>
        <v>D-5</v>
      </c>
      <c r="N602" s="141" t="str">
        <f>IFERROR(__xludf.DUMMYFUNCTION("""COMPUTED_VALUE"""),"Professional appearance and delivery. Rational for selecting research topic current and relevant with drive for inclusion. Content on point. Well done.")</f>
        <v>Professional appearance and delivery. Rational for selecting research topic current and relevant with drive for inclusion. Content on point. Well done.</v>
      </c>
      <c r="O602" s="142" t="str">
        <f t="shared" si="1"/>
        <v/>
      </c>
      <c r="P602" s="143" t="str">
        <f>IF(ISNA(VLOOKUP(CONCAT(M602,C602), 'Judge Count DO NOT EDIT'!H:H, 1, FALSE)), "ERROR","")</f>
        <v/>
      </c>
      <c r="Q602" s="141"/>
      <c r="R602" s="143"/>
      <c r="S602" s="139" t="str">
        <f t="shared" si="2"/>
        <v>1160288</v>
      </c>
      <c r="T602" s="141"/>
    </row>
    <row r="603">
      <c r="A603" s="137">
        <f>IFERROR(__xludf.DUMMYFUNCTION("""COMPUTED_VALUE"""),45352.68311824074)</f>
        <v>45352.68312</v>
      </c>
      <c r="B603" s="138" t="str">
        <f>IFERROR(__xludf.DUMMYFUNCTION("""COMPUTED_VALUE"""),"Jennifer Karnopp")</f>
        <v>Jennifer Karnopp</v>
      </c>
      <c r="C603" s="138">
        <f>IFERROR(__xludf.DUMMYFUNCTION("""COMPUTED_VALUE"""),1031.0)</f>
        <v>1031</v>
      </c>
      <c r="D603" s="139">
        <f>IFERROR(__xludf.DUMMYFUNCTION("""COMPUTED_VALUE"""),288.0)</f>
        <v>288</v>
      </c>
      <c r="E603" s="138">
        <f>IFERROR(__xludf.DUMMYFUNCTION("""COMPUTED_VALUE"""),4.0)</f>
        <v>4</v>
      </c>
      <c r="F603" s="138">
        <f>IFERROR(__xludf.DUMMYFUNCTION("""COMPUTED_VALUE"""),4.0)</f>
        <v>4</v>
      </c>
      <c r="G603" s="138">
        <f>IFERROR(__xludf.DUMMYFUNCTION("""COMPUTED_VALUE"""),4.0)</f>
        <v>4</v>
      </c>
      <c r="H603" s="138">
        <f>IFERROR(__xludf.DUMMYFUNCTION("""COMPUTED_VALUE"""),3.0)</f>
        <v>3</v>
      </c>
      <c r="I603" s="138">
        <f>IFERROR(__xludf.DUMMYFUNCTION("""COMPUTED_VALUE"""),4.0)</f>
        <v>4</v>
      </c>
      <c r="J603" s="138">
        <f>IFERROR(__xludf.DUMMYFUNCTION("""COMPUTED_VALUE"""),4.0)</f>
        <v>4</v>
      </c>
      <c r="K603" s="138">
        <f>IFERROR(__xludf.DUMMYFUNCTION("""COMPUTED_VALUE"""),4.0)</f>
        <v>4</v>
      </c>
      <c r="L603" s="138">
        <v>27.0</v>
      </c>
      <c r="M603" s="140" t="str">
        <f>VLOOKUP(text(D603, "#"),'Master Table'!$A:$F, 6, FALSE)</f>
        <v>D-5</v>
      </c>
      <c r="N603" s="141" t="str">
        <f>IFERROR(__xludf.DUMMYFUNCTION("""COMPUTED_VALUE"""),"Elizabeth is exploring a very important topic. Her problem statement presentation was particularly compelling. Her visuals really helped to illustrate her ideas. I would love to see more synthesis across the literature before she shares her conclusions an"&amp;"d implications so the audience can get a better sense of the gap she wants to address and her rationale for future directions")</f>
        <v>Elizabeth is exploring a very important topic. Her problem statement presentation was particularly compelling. Her visuals really helped to illustrate her ideas. I would love to see more synthesis across the literature before she shares her conclusions and implications so the audience can get a better sense of the gap she wants to address and her rationale for future directions</v>
      </c>
      <c r="O603" s="142" t="str">
        <f t="shared" si="1"/>
        <v/>
      </c>
      <c r="P603" s="143" t="str">
        <f>IF(ISNA(VLOOKUP(CONCAT(M603,C603), 'Judge Count DO NOT EDIT'!H:H, 1, FALSE)), "ERROR","")</f>
        <v/>
      </c>
      <c r="Q603" s="141"/>
      <c r="R603" s="143"/>
      <c r="S603" s="139" t="str">
        <f t="shared" si="2"/>
        <v>1031288</v>
      </c>
      <c r="T603" s="141"/>
    </row>
    <row r="604">
      <c r="A604" s="137">
        <f>IFERROR(__xludf.DUMMYFUNCTION("""COMPUTED_VALUE"""),45352.70004884259)</f>
        <v>45352.70005</v>
      </c>
      <c r="B604" s="138" t="str">
        <f>IFERROR(__xludf.DUMMYFUNCTION("""COMPUTED_VALUE"""),"Norah Shultz")</f>
        <v>Norah Shultz</v>
      </c>
      <c r="C604" s="138">
        <f>IFERROR(__xludf.DUMMYFUNCTION("""COMPUTED_VALUE"""),1235.0)</f>
        <v>1235</v>
      </c>
      <c r="D604" s="139">
        <f>IFERROR(__xludf.DUMMYFUNCTION("""COMPUTED_VALUE"""),288.0)</f>
        <v>288</v>
      </c>
      <c r="E604" s="138">
        <f>IFERROR(__xludf.DUMMYFUNCTION("""COMPUTED_VALUE"""),4.0)</f>
        <v>4</v>
      </c>
      <c r="F604" s="138">
        <f>IFERROR(__xludf.DUMMYFUNCTION("""COMPUTED_VALUE"""),3.0)</f>
        <v>3</v>
      </c>
      <c r="G604" s="138">
        <f>IFERROR(__xludf.DUMMYFUNCTION("""COMPUTED_VALUE"""),4.0)</f>
        <v>4</v>
      </c>
      <c r="H604" s="138">
        <f>IFERROR(__xludf.DUMMYFUNCTION("""COMPUTED_VALUE"""),3.0)</f>
        <v>3</v>
      </c>
      <c r="I604" s="138">
        <f>IFERROR(__xludf.DUMMYFUNCTION("""COMPUTED_VALUE"""),5.0)</f>
        <v>5</v>
      </c>
      <c r="J604" s="138">
        <f>IFERROR(__xludf.DUMMYFUNCTION("""COMPUTED_VALUE"""),5.0)</f>
        <v>5</v>
      </c>
      <c r="K604" s="138">
        <f>IFERROR(__xludf.DUMMYFUNCTION("""COMPUTED_VALUE"""),5.0)</f>
        <v>5</v>
      </c>
      <c r="L604" s="138">
        <v>29.0</v>
      </c>
      <c r="M604" s="140" t="str">
        <f>VLOOKUP(text(D604, "#"),'Master Table'!$A:$F, 6, FALSE)</f>
        <v>D-5</v>
      </c>
      <c r="N604" s="141" t="str">
        <f>IFERROR(__xludf.DUMMYFUNCTION("""COMPUTED_VALUE"""),"This was a tremendous presentation. Extremely clear and very well presented. Having STEM educators incorporate culturally relevant pedagogy is critically important but also I think she'll learn that there is more being done than she may realize.  Again - "&amp;"this was a lit review in a session with a lot of doctoral dissertations well on their way. So a wonderful wonderful presentation but very early on. Looking forward to seeing it further down the road!")</f>
        <v>This was a tremendous presentation. Extremely clear and very well presented. Having STEM educators incorporate culturally relevant pedagogy is critically important but also I think she'll learn that there is more being done than she may realize.  Again - this was a lit review in a session with a lot of doctoral dissertations well on their way. So a wonderful wonderful presentation but very early on. Looking forward to seeing it further down the road!</v>
      </c>
      <c r="O604" s="142" t="str">
        <f t="shared" si="1"/>
        <v/>
      </c>
      <c r="P604" s="143" t="str">
        <f>IF(ISNA(VLOOKUP(CONCAT(M604,C604), 'Judge Count DO NOT EDIT'!H:H, 1, FALSE)), "ERROR","")</f>
        <v/>
      </c>
      <c r="Q604" s="141"/>
      <c r="R604" s="143"/>
      <c r="S604" s="139" t="str">
        <f t="shared" si="2"/>
        <v>1235288</v>
      </c>
      <c r="T604" s="141"/>
    </row>
    <row r="605">
      <c r="A605" s="137">
        <f>IFERROR(__xludf.DUMMYFUNCTION("""COMPUTED_VALUE"""),45352.67619719908)</f>
        <v>45352.6762</v>
      </c>
      <c r="B605" s="138" t="str">
        <f>IFERROR(__xludf.DUMMYFUNCTION("""COMPUTED_VALUE"""),"Marlene Ruiz")</f>
        <v>Marlene Ruiz</v>
      </c>
      <c r="C605" s="138">
        <f>IFERROR(__xludf.DUMMYFUNCTION("""COMPUTED_VALUE"""),1160.0)</f>
        <v>1160</v>
      </c>
      <c r="D605" s="139">
        <f>IFERROR(__xludf.DUMMYFUNCTION("""COMPUTED_VALUE"""),289.0)</f>
        <v>289</v>
      </c>
      <c r="E605" s="138">
        <f>IFERROR(__xludf.DUMMYFUNCTION("""COMPUTED_VALUE"""),4.0)</f>
        <v>4</v>
      </c>
      <c r="F605" s="138">
        <f>IFERROR(__xludf.DUMMYFUNCTION("""COMPUTED_VALUE"""),4.0)</f>
        <v>4</v>
      </c>
      <c r="G605" s="138">
        <f>IFERROR(__xludf.DUMMYFUNCTION("""COMPUTED_VALUE"""),5.0)</f>
        <v>5</v>
      </c>
      <c r="H605" s="138">
        <f>IFERROR(__xludf.DUMMYFUNCTION("""COMPUTED_VALUE"""),3.0)</f>
        <v>3</v>
      </c>
      <c r="I605" s="138">
        <f>IFERROR(__xludf.DUMMYFUNCTION("""COMPUTED_VALUE"""),3.0)</f>
        <v>3</v>
      </c>
      <c r="J605" s="138">
        <f>IFERROR(__xludf.DUMMYFUNCTION("""COMPUTED_VALUE"""),3.0)</f>
        <v>3</v>
      </c>
      <c r="K605" s="138">
        <f>IFERROR(__xludf.DUMMYFUNCTION("""COMPUTED_VALUE"""),3.0)</f>
        <v>3</v>
      </c>
      <c r="L605" s="138">
        <v>25.0</v>
      </c>
      <c r="M605" s="140" t="str">
        <f>VLOOKUP(text(D605, "#"),'Master Table'!$A:$F, 6, FALSE)</f>
        <v>D-5</v>
      </c>
      <c r="N605" s="141" t="str">
        <f>IFERROR(__xludf.DUMMYFUNCTION("""COMPUTED_VALUE"""),"Animated speaker started immediately involving the audience. Rationale for study great. ")</f>
        <v>Animated speaker started immediately involving the audience. Rationale for study great. </v>
      </c>
      <c r="O605" s="142" t="str">
        <f t="shared" si="1"/>
        <v/>
      </c>
      <c r="P605" s="143" t="str">
        <f>IF(ISNA(VLOOKUP(CONCAT(M605,C605), 'Judge Count DO NOT EDIT'!H:H, 1, FALSE)), "ERROR","")</f>
        <v/>
      </c>
      <c r="Q605" s="144"/>
      <c r="R605" s="143"/>
      <c r="S605" s="139" t="str">
        <f t="shared" si="2"/>
        <v>1160289</v>
      </c>
      <c r="T605" s="141"/>
    </row>
    <row r="606">
      <c r="A606" s="137">
        <f>IFERROR(__xludf.DUMMYFUNCTION("""COMPUTED_VALUE"""),45352.68245061343)</f>
        <v>45352.68245</v>
      </c>
      <c r="B606" s="138" t="str">
        <f>IFERROR(__xludf.DUMMYFUNCTION("""COMPUTED_VALUE"""),"Patricia ")</f>
        <v>Patricia </v>
      </c>
      <c r="C606" s="138">
        <f>IFERROR(__xludf.DUMMYFUNCTION("""COMPUTED_VALUE"""),1182.0)</f>
        <v>1182</v>
      </c>
      <c r="D606" s="139">
        <f>IFERROR(__xludf.DUMMYFUNCTION("""COMPUTED_VALUE"""),289.0)</f>
        <v>289</v>
      </c>
      <c r="E606" s="138">
        <f>IFERROR(__xludf.DUMMYFUNCTION("""COMPUTED_VALUE"""),4.0)</f>
        <v>4</v>
      </c>
      <c r="F606" s="138">
        <f>IFERROR(__xludf.DUMMYFUNCTION("""COMPUTED_VALUE"""),5.0)</f>
        <v>5</v>
      </c>
      <c r="G606" s="138">
        <f>IFERROR(__xludf.DUMMYFUNCTION("""COMPUTED_VALUE"""),4.0)</f>
        <v>4</v>
      </c>
      <c r="H606" s="138">
        <f>IFERROR(__xludf.DUMMYFUNCTION("""COMPUTED_VALUE"""),3.0)</f>
        <v>3</v>
      </c>
      <c r="I606" s="138">
        <f>IFERROR(__xludf.DUMMYFUNCTION("""COMPUTED_VALUE"""),4.0)</f>
        <v>4</v>
      </c>
      <c r="J606" s="138">
        <f>IFERROR(__xludf.DUMMYFUNCTION("""COMPUTED_VALUE"""),3.0)</f>
        <v>3</v>
      </c>
      <c r="K606" s="138">
        <f>IFERROR(__xludf.DUMMYFUNCTION("""COMPUTED_VALUE"""),5.0)</f>
        <v>5</v>
      </c>
      <c r="L606" s="138">
        <v>28.0</v>
      </c>
      <c r="M606" s="140" t="str">
        <f>VLOOKUP(text(D606, "#"),'Master Table'!$A:$F, 6, FALSE)</f>
        <v>D-5</v>
      </c>
      <c r="N606" s="141" t="str">
        <f>IFERROR(__xludf.DUMMYFUNCTION("""COMPUTED_VALUE"""),"Super creative project! I also had the same question about how to link the information gathered in your step one to the creation of math problems, but you clarified it. ")</f>
        <v>Super creative project! I also had the same question about how to link the information gathered in your step one to the creation of math problems, but you clarified it. </v>
      </c>
      <c r="O606" s="142" t="str">
        <f t="shared" si="1"/>
        <v/>
      </c>
      <c r="P606" s="143" t="str">
        <f>IF(ISNA(VLOOKUP(CONCAT(M606,C606), 'Judge Count DO NOT EDIT'!H:H, 1, FALSE)), "ERROR","")</f>
        <v/>
      </c>
      <c r="Q606" s="141"/>
      <c r="R606" s="143"/>
      <c r="S606" s="139" t="str">
        <f t="shared" si="2"/>
        <v>1182289</v>
      </c>
      <c r="T606" s="141"/>
    </row>
    <row r="607">
      <c r="A607" s="137">
        <f>IFERROR(__xludf.DUMMYFUNCTION("""COMPUTED_VALUE"""),45352.71381011574)</f>
        <v>45352.71381</v>
      </c>
      <c r="B607" s="138" t="str">
        <f>IFERROR(__xludf.DUMMYFUNCTION("""COMPUTED_VALUE"""),"Norah Shultz")</f>
        <v>Norah Shultz</v>
      </c>
      <c r="C607" s="138">
        <f>IFERROR(__xludf.DUMMYFUNCTION("""COMPUTED_VALUE"""),1235.0)</f>
        <v>1235</v>
      </c>
      <c r="D607" s="139">
        <f>IFERROR(__xludf.DUMMYFUNCTION("""COMPUTED_VALUE"""),289.0)</f>
        <v>289</v>
      </c>
      <c r="E607" s="138">
        <f>IFERROR(__xludf.DUMMYFUNCTION("""COMPUTED_VALUE"""),4.0)</f>
        <v>4</v>
      </c>
      <c r="F607" s="138">
        <f>IFERROR(__xludf.DUMMYFUNCTION("""COMPUTED_VALUE"""),5.0)</f>
        <v>5</v>
      </c>
      <c r="G607" s="138">
        <f>IFERROR(__xludf.DUMMYFUNCTION("""COMPUTED_VALUE"""),5.0)</f>
        <v>5</v>
      </c>
      <c r="H607" s="138">
        <f>IFERROR(__xludf.DUMMYFUNCTION("""COMPUTED_VALUE"""),3.0)</f>
        <v>3</v>
      </c>
      <c r="I607" s="138">
        <f>IFERROR(__xludf.DUMMYFUNCTION("""COMPUTED_VALUE"""),5.0)</f>
        <v>5</v>
      </c>
      <c r="J607" s="138">
        <f>IFERROR(__xludf.DUMMYFUNCTION("""COMPUTED_VALUE"""),3.0)</f>
        <v>3</v>
      </c>
      <c r="K607" s="138">
        <f>IFERROR(__xludf.DUMMYFUNCTION("""COMPUTED_VALUE"""),5.0)</f>
        <v>5</v>
      </c>
      <c r="L607" s="138">
        <v>30.0</v>
      </c>
      <c r="M607" s="140" t="str">
        <f>VLOOKUP(text(D607, "#"),'Master Table'!$A:$F, 6, FALSE)</f>
        <v>D-5</v>
      </c>
      <c r="N607" s="141" t="str">
        <f>IFERROR(__xludf.DUMMYFUNCTION("""COMPUTED_VALUE"""),"Absolutely brilliant idea and the presenter has an incredibly grasp of the theory and cutting edge theory. Very engaging presentation style. What was hard was to grasp where the research is going and I think that's because it's still in it's development s"&amp;"tage and very grounded in its approach. So it was hard to get the ultimate impact. I think we got lost a bit and may have lost the potential of this potentially very very important work.")</f>
        <v>Absolutely brilliant idea and the presenter has an incredibly grasp of the theory and cutting edge theory. Very engaging presentation style. What was hard was to grasp where the research is going and I think that's because it's still in it's development stage and very grounded in its approach. So it was hard to get the ultimate impact. I think we got lost a bit and may have lost the potential of this potentially very very important work.</v>
      </c>
      <c r="O607" s="142" t="str">
        <f t="shared" si="1"/>
        <v/>
      </c>
      <c r="P607" s="143" t="str">
        <f>IF(ISNA(VLOOKUP(CONCAT(M607,C607), 'Judge Count DO NOT EDIT'!H:H, 1, FALSE)), "ERROR","")</f>
        <v/>
      </c>
      <c r="Q607" s="141"/>
      <c r="R607" s="143"/>
      <c r="S607" s="139" t="str">
        <f t="shared" si="2"/>
        <v>1235289</v>
      </c>
      <c r="T607" s="141"/>
    </row>
    <row r="608">
      <c r="A608" s="137">
        <f>IFERROR(__xludf.DUMMYFUNCTION("""COMPUTED_VALUE"""),45352.73426738426)</f>
        <v>45352.73427</v>
      </c>
      <c r="B608" s="138" t="str">
        <f>IFERROR(__xludf.DUMMYFUNCTION("""COMPUTED_VALUE"""),"Jennifer Karnopp")</f>
        <v>Jennifer Karnopp</v>
      </c>
      <c r="C608" s="138">
        <f>IFERROR(__xludf.DUMMYFUNCTION("""COMPUTED_VALUE"""),1031.0)</f>
        <v>1031</v>
      </c>
      <c r="D608" s="139">
        <f>IFERROR(__xludf.DUMMYFUNCTION("""COMPUTED_VALUE"""),289.0)</f>
        <v>289</v>
      </c>
      <c r="E608" s="138">
        <f>IFERROR(__xludf.DUMMYFUNCTION("""COMPUTED_VALUE"""),4.0)</f>
        <v>4</v>
      </c>
      <c r="F608" s="138">
        <f>IFERROR(__xludf.DUMMYFUNCTION("""COMPUTED_VALUE"""),5.0)</f>
        <v>5</v>
      </c>
      <c r="G608" s="138">
        <f>IFERROR(__xludf.DUMMYFUNCTION("""COMPUTED_VALUE"""),4.0)</f>
        <v>4</v>
      </c>
      <c r="H608" s="138">
        <f>IFERROR(__xludf.DUMMYFUNCTION("""COMPUTED_VALUE"""),4.0)</f>
        <v>4</v>
      </c>
      <c r="I608" s="138">
        <f>IFERROR(__xludf.DUMMYFUNCTION("""COMPUTED_VALUE"""),5.0)</f>
        <v>5</v>
      </c>
      <c r="J608" s="138">
        <f>IFERROR(__xludf.DUMMYFUNCTION("""COMPUTED_VALUE"""),4.0)</f>
        <v>4</v>
      </c>
      <c r="K608" s="138">
        <f>IFERROR(__xludf.DUMMYFUNCTION("""COMPUTED_VALUE"""),4.0)</f>
        <v>4</v>
      </c>
      <c r="L608" s="138">
        <v>30.0</v>
      </c>
      <c r="M608" s="140" t="str">
        <f>VLOOKUP(text(D608, "#"),'Master Table'!$A:$F, 6, FALSE)</f>
        <v>D-5</v>
      </c>
      <c r="N608" s="141" t="str">
        <f>IFERROR(__xludf.DUMMYFUNCTION("""COMPUTED_VALUE"""),"This was an outstanding presentation of a very original research project. The visuals and presence were excellent. I loved the infusion of humor. What I particularly valued was the way that Gabriela unapologetically brought her authentic self into both he"&amp;"r research and her presentation. This authentic infusion of identity and research is needed to bring about meaningful change! The Q&amp;A conversation surfaced that the link between phases 1 &amp; 2 require more clarity. Great project")</f>
        <v>This was an outstanding presentation of a very original research project. The visuals and presence were excellent. I loved the infusion of humor. What I particularly valued was the way that Gabriela unapologetically brought her authentic self into both her research and her presentation. This authentic infusion of identity and research is needed to bring about meaningful change! The Q&amp;A conversation surfaced that the link between phases 1 &amp; 2 require more clarity. Great project</v>
      </c>
      <c r="O608" s="142" t="str">
        <f t="shared" si="1"/>
        <v/>
      </c>
      <c r="P608" s="143" t="str">
        <f>IF(ISNA(VLOOKUP(CONCAT(M608,C608), 'Judge Count DO NOT EDIT'!H:H, 1, FALSE)), "ERROR","")</f>
        <v/>
      </c>
      <c r="Q608" s="141"/>
      <c r="R608" s="143"/>
      <c r="S608" s="139" t="str">
        <f t="shared" si="2"/>
        <v>1031289</v>
      </c>
      <c r="T608" s="141"/>
    </row>
    <row r="609">
      <c r="A609" s="137">
        <f>IFERROR(__xludf.DUMMYFUNCTION("""COMPUTED_VALUE"""),45352.69427940973)</f>
        <v>45352.69428</v>
      </c>
      <c r="B609" s="138" t="str">
        <f>IFERROR(__xludf.DUMMYFUNCTION("""COMPUTED_VALUE"""),"Marlene Ruiz")</f>
        <v>Marlene Ruiz</v>
      </c>
      <c r="C609" s="138">
        <f>IFERROR(__xludf.DUMMYFUNCTION("""COMPUTED_VALUE"""),1160.0)</f>
        <v>1160</v>
      </c>
      <c r="D609" s="139">
        <f>IFERROR(__xludf.DUMMYFUNCTION("""COMPUTED_VALUE"""),290.0)</f>
        <v>290</v>
      </c>
      <c r="E609" s="138">
        <f>IFERROR(__xludf.DUMMYFUNCTION("""COMPUTED_VALUE"""),4.0)</f>
        <v>4</v>
      </c>
      <c r="F609" s="138">
        <f>IFERROR(__xludf.DUMMYFUNCTION("""COMPUTED_VALUE"""),5.0)</f>
        <v>5</v>
      </c>
      <c r="G609" s="138">
        <f>IFERROR(__xludf.DUMMYFUNCTION("""COMPUTED_VALUE"""),4.0)</f>
        <v>4</v>
      </c>
      <c r="H609" s="138">
        <f>IFERROR(__xludf.DUMMYFUNCTION("""COMPUTED_VALUE"""),4.0)</f>
        <v>4</v>
      </c>
      <c r="I609" s="138">
        <f>IFERROR(__xludf.DUMMYFUNCTION("""COMPUTED_VALUE"""),4.0)</f>
        <v>4</v>
      </c>
      <c r="J609" s="138">
        <f>IFERROR(__xludf.DUMMYFUNCTION("""COMPUTED_VALUE"""),5.0)</f>
        <v>5</v>
      </c>
      <c r="K609" s="138">
        <f>IFERROR(__xludf.DUMMYFUNCTION("""COMPUTED_VALUE"""),5.0)</f>
        <v>5</v>
      </c>
      <c r="L609" s="138">
        <v>31.0</v>
      </c>
      <c r="M609" s="140" t="str">
        <f>VLOOKUP(text(D609, "#"),'Master Table'!$A:$F, 6, FALSE)</f>
        <v>D-5</v>
      </c>
      <c r="N609" s="141" t="str">
        <f>IFERROR(__xludf.DUMMYFUNCTION("""COMPUTED_VALUE"""),"Professional in appearance and delivery. Had more info than could be shared in 10 min. Great job.")</f>
        <v>Professional in appearance and delivery. Had more info than could be shared in 10 min. Great job.</v>
      </c>
      <c r="O609" s="142" t="str">
        <f t="shared" si="1"/>
        <v/>
      </c>
      <c r="P609" s="143" t="str">
        <f>IF(ISNA(VLOOKUP(CONCAT(M609,C609), 'Judge Count DO NOT EDIT'!H:H, 1, FALSE)), "ERROR","")</f>
        <v/>
      </c>
      <c r="Q609" s="141"/>
      <c r="R609" s="143"/>
      <c r="S609" s="139" t="str">
        <f t="shared" si="2"/>
        <v>1160290</v>
      </c>
      <c r="T609" s="141"/>
    </row>
    <row r="610">
      <c r="A610" s="137">
        <f>IFERROR(__xludf.DUMMYFUNCTION("""COMPUTED_VALUE"""),45352.69518732639)</f>
        <v>45352.69519</v>
      </c>
      <c r="B610" s="138" t="str">
        <f>IFERROR(__xludf.DUMMYFUNCTION("""COMPUTED_VALUE"""),"Patricia ")</f>
        <v>Patricia </v>
      </c>
      <c r="C610" s="138">
        <f>IFERROR(__xludf.DUMMYFUNCTION("""COMPUTED_VALUE"""),1182.0)</f>
        <v>1182</v>
      </c>
      <c r="D610" s="139">
        <f>IFERROR(__xludf.DUMMYFUNCTION("""COMPUTED_VALUE"""),290.0)</f>
        <v>290</v>
      </c>
      <c r="E610" s="138">
        <f>IFERROR(__xludf.DUMMYFUNCTION("""COMPUTED_VALUE"""),4.0)</f>
        <v>4</v>
      </c>
      <c r="F610" s="138">
        <f>IFERROR(__xludf.DUMMYFUNCTION("""COMPUTED_VALUE"""),4.0)</f>
        <v>4</v>
      </c>
      <c r="G610" s="138">
        <f>IFERROR(__xludf.DUMMYFUNCTION("""COMPUTED_VALUE"""),4.0)</f>
        <v>4</v>
      </c>
      <c r="H610" s="138">
        <f>IFERROR(__xludf.DUMMYFUNCTION("""COMPUTED_VALUE"""),3.0)</f>
        <v>3</v>
      </c>
      <c r="I610" s="138">
        <f>IFERROR(__xludf.DUMMYFUNCTION("""COMPUTED_VALUE"""),4.0)</f>
        <v>4</v>
      </c>
      <c r="J610" s="138">
        <f>IFERROR(__xludf.DUMMYFUNCTION("""COMPUTED_VALUE"""),4.0)</f>
        <v>4</v>
      </c>
      <c r="K610" s="138">
        <f>IFERROR(__xludf.DUMMYFUNCTION("""COMPUTED_VALUE"""),4.0)</f>
        <v>4</v>
      </c>
      <c r="L610" s="138">
        <v>27.0</v>
      </c>
      <c r="M610" s="140" t="str">
        <f>VLOOKUP(text(D610, "#"),'Master Table'!$A:$F, 6, FALSE)</f>
        <v>D-5</v>
      </c>
      <c r="N610" s="141" t="str">
        <f>IFERROR(__xludf.DUMMYFUNCTION("""COMPUTED_VALUE"""),"Great project with fantastic potential to support math learning. I appreciate your finding about power imbalance as a reason for why NPM works. ")</f>
        <v>Great project with fantastic potential to support math learning. I appreciate your finding about power imbalance as a reason for why NPM works. </v>
      </c>
      <c r="O610" s="142" t="str">
        <f t="shared" si="1"/>
        <v/>
      </c>
      <c r="P610" s="143" t="str">
        <f>IF(ISNA(VLOOKUP(CONCAT(M610,C610), 'Judge Count DO NOT EDIT'!H:H, 1, FALSE)), "ERROR","")</f>
        <v/>
      </c>
      <c r="Q610" s="141"/>
      <c r="R610" s="143"/>
      <c r="S610" s="139" t="str">
        <f t="shared" si="2"/>
        <v>1182290</v>
      </c>
      <c r="T610" s="141"/>
    </row>
    <row r="611">
      <c r="A611" s="137">
        <f>IFERROR(__xludf.DUMMYFUNCTION("""COMPUTED_VALUE"""),45352.717086793986)</f>
        <v>45352.71709</v>
      </c>
      <c r="B611" s="138" t="str">
        <f>IFERROR(__xludf.DUMMYFUNCTION("""COMPUTED_VALUE"""),"Norah Shultz")</f>
        <v>Norah Shultz</v>
      </c>
      <c r="C611" s="138">
        <f>IFERROR(__xludf.DUMMYFUNCTION("""COMPUTED_VALUE"""),1235.0)</f>
        <v>1235</v>
      </c>
      <c r="D611" s="139">
        <f>IFERROR(__xludf.DUMMYFUNCTION("""COMPUTED_VALUE"""),290.0)</f>
        <v>290</v>
      </c>
      <c r="E611" s="138">
        <f>IFERROR(__xludf.DUMMYFUNCTION("""COMPUTED_VALUE"""),5.0)</f>
        <v>5</v>
      </c>
      <c r="F611" s="138">
        <f>IFERROR(__xludf.DUMMYFUNCTION("""COMPUTED_VALUE"""),4.0)</f>
        <v>4</v>
      </c>
      <c r="G611" s="138">
        <f>IFERROR(__xludf.DUMMYFUNCTION("""COMPUTED_VALUE"""),4.0)</f>
        <v>4</v>
      </c>
      <c r="H611" s="138">
        <f>IFERROR(__xludf.DUMMYFUNCTION("""COMPUTED_VALUE"""),4.0)</f>
        <v>4</v>
      </c>
      <c r="I611" s="138">
        <f>IFERROR(__xludf.DUMMYFUNCTION("""COMPUTED_VALUE"""),4.0)</f>
        <v>4</v>
      </c>
      <c r="J611" s="138">
        <f>IFERROR(__xludf.DUMMYFUNCTION("""COMPUTED_VALUE"""),4.0)</f>
        <v>4</v>
      </c>
      <c r="K611" s="138">
        <f>IFERROR(__xludf.DUMMYFUNCTION("""COMPUTED_VALUE"""),4.0)</f>
        <v>4</v>
      </c>
      <c r="L611" s="138">
        <v>29.0</v>
      </c>
      <c r="M611" s="140" t="str">
        <f>VLOOKUP(text(D611, "#"),'Master Table'!$A:$F, 6, FALSE)</f>
        <v>D-5</v>
      </c>
      <c r="N611" s="141" t="str">
        <f>IFERROR(__xludf.DUMMYFUNCTION("""COMPUTED_VALUE"""),"Solid work and solid presentation. We know a lot about near peer mentor programs and their efficacy but these are important elements. Similar to another presentation I think presenting the entirety of the work was problematic. This would have received exc"&amp;"ellents in some categories but the presenter had to rush (I was moderating and to be fair I was keeping a tight time limit). It's too much to present an entire dissertation in 10 minutes. But overall the presenter is well versed in this area and has a goo"&amp;"d understanding of the higher ed landscape.")</f>
        <v>Solid work and solid presentation. We know a lot about near peer mentor programs and their efficacy but these are important elements. Similar to another presentation I think presenting the entirety of the work was problematic. This would have received excellents in some categories but the presenter had to rush (I was moderating and to be fair I was keeping a tight time limit). It's too much to present an entire dissertation in 10 minutes. But overall the presenter is well versed in this area and has a good understanding of the higher ed landscape.</v>
      </c>
      <c r="O611" s="142" t="str">
        <f t="shared" si="1"/>
        <v/>
      </c>
      <c r="P611" s="143" t="str">
        <f>IF(ISNA(VLOOKUP(CONCAT(M611,C611), 'Judge Count DO NOT EDIT'!H:H, 1, FALSE)), "ERROR","")</f>
        <v/>
      </c>
      <c r="Q611" s="141"/>
      <c r="R611" s="143"/>
      <c r="S611" s="139" t="str">
        <f t="shared" si="2"/>
        <v>1235290</v>
      </c>
      <c r="T611" s="141"/>
    </row>
    <row r="612">
      <c r="A612" s="137">
        <f>IFERROR(__xludf.DUMMYFUNCTION("""COMPUTED_VALUE"""),45352.73941416667)</f>
        <v>45352.73941</v>
      </c>
      <c r="B612" s="138" t="str">
        <f>IFERROR(__xludf.DUMMYFUNCTION("""COMPUTED_VALUE"""),"Jennifer Karnopp")</f>
        <v>Jennifer Karnopp</v>
      </c>
      <c r="C612" s="138">
        <f>IFERROR(__xludf.DUMMYFUNCTION("""COMPUTED_VALUE"""),1031.0)</f>
        <v>1031</v>
      </c>
      <c r="D612" s="139">
        <f>IFERROR(__xludf.DUMMYFUNCTION("""COMPUTED_VALUE"""),290.0)</f>
        <v>290</v>
      </c>
      <c r="E612" s="138">
        <f>IFERROR(__xludf.DUMMYFUNCTION("""COMPUTED_VALUE"""),4.0)</f>
        <v>4</v>
      </c>
      <c r="F612" s="138">
        <f>IFERROR(__xludf.DUMMYFUNCTION("""COMPUTED_VALUE"""),4.0)</f>
        <v>4</v>
      </c>
      <c r="G612" s="138">
        <f>IFERROR(__xludf.DUMMYFUNCTION("""COMPUTED_VALUE"""),4.0)</f>
        <v>4</v>
      </c>
      <c r="H612" s="138">
        <f>IFERROR(__xludf.DUMMYFUNCTION("""COMPUTED_VALUE"""),4.0)</f>
        <v>4</v>
      </c>
      <c r="I612" s="138">
        <f>IFERROR(__xludf.DUMMYFUNCTION("""COMPUTED_VALUE"""),4.0)</f>
        <v>4</v>
      </c>
      <c r="J612" s="138">
        <f>IFERROR(__xludf.DUMMYFUNCTION("""COMPUTED_VALUE"""),4.0)</f>
        <v>4</v>
      </c>
      <c r="K612" s="138">
        <f>IFERROR(__xludf.DUMMYFUNCTION("""COMPUTED_VALUE"""),4.0)</f>
        <v>4</v>
      </c>
      <c r="L612" s="138">
        <v>28.0</v>
      </c>
      <c r="M612" s="140" t="str">
        <f>VLOOKUP(text(D612, "#"),'Master Table'!$A:$F, 6, FALSE)</f>
        <v>D-5</v>
      </c>
      <c r="N612" s="141" t="str">
        <f>IFERROR(__xludf.DUMMYFUNCTION("""COMPUTED_VALUE"""),"Clearly identified gap.Slides clearly explained all important elements of the research project. One implication was regarding the importance of peer mentoring for an emerging Hispanic serving institution, and so more info on demographics of participants a"&amp;"nd those who used the program would have strengthened the presentation. Brinley was confident in her presentation and in audience interactions. Overall it was a very complete presentation and well designed study.")</f>
        <v>Clearly identified gap.Slides clearly explained all important elements of the research project. One implication was regarding the importance of peer mentoring for an emerging Hispanic serving institution, and so more info on demographics of participants and those who used the program would have strengthened the presentation. Brinley was confident in her presentation and in audience interactions. Overall it was a very complete presentation and well designed study.</v>
      </c>
      <c r="O612" s="142" t="str">
        <f t="shared" si="1"/>
        <v/>
      </c>
      <c r="P612" s="143" t="str">
        <f>IF(ISNA(VLOOKUP(CONCAT(M612,C612), 'Judge Count DO NOT EDIT'!H:H, 1, FALSE)), "ERROR","")</f>
        <v/>
      </c>
      <c r="Q612" s="141"/>
      <c r="R612" s="143"/>
      <c r="S612" s="139" t="str">
        <f t="shared" si="2"/>
        <v>1031290</v>
      </c>
      <c r="T612" s="141"/>
    </row>
    <row r="613">
      <c r="A613" s="137">
        <f>IFERROR(__xludf.DUMMYFUNCTION("""COMPUTED_VALUE"""),45352.70874584491)</f>
        <v>45352.70875</v>
      </c>
      <c r="B613" s="138" t="str">
        <f>IFERROR(__xludf.DUMMYFUNCTION("""COMPUTED_VALUE"""),"Marlene Ruiz")</f>
        <v>Marlene Ruiz</v>
      </c>
      <c r="C613" s="138">
        <f>IFERROR(__xludf.DUMMYFUNCTION("""COMPUTED_VALUE"""),1160.0)</f>
        <v>1160</v>
      </c>
      <c r="D613" s="139">
        <f>IFERROR(__xludf.DUMMYFUNCTION("""COMPUTED_VALUE"""),291.0)</f>
        <v>291</v>
      </c>
      <c r="E613" s="138">
        <f>IFERROR(__xludf.DUMMYFUNCTION("""COMPUTED_VALUE"""),4.0)</f>
        <v>4</v>
      </c>
      <c r="F613" s="138">
        <f>IFERROR(__xludf.DUMMYFUNCTION("""COMPUTED_VALUE"""),4.0)</f>
        <v>4</v>
      </c>
      <c r="G613" s="138">
        <f>IFERROR(__xludf.DUMMYFUNCTION("""COMPUTED_VALUE"""),5.0)</f>
        <v>5</v>
      </c>
      <c r="H613" s="138">
        <f>IFERROR(__xludf.DUMMYFUNCTION("""COMPUTED_VALUE"""),4.0)</f>
        <v>4</v>
      </c>
      <c r="I613" s="138">
        <f>IFERROR(__xludf.DUMMYFUNCTION("""COMPUTED_VALUE"""),4.0)</f>
        <v>4</v>
      </c>
      <c r="J613" s="138">
        <f>IFERROR(__xludf.DUMMYFUNCTION("""COMPUTED_VALUE"""),4.0)</f>
        <v>4</v>
      </c>
      <c r="K613" s="138">
        <f>IFERROR(__xludf.DUMMYFUNCTION("""COMPUTED_VALUE"""),5.0)</f>
        <v>5</v>
      </c>
      <c r="L613" s="138">
        <v>30.0</v>
      </c>
      <c r="M613" s="140" t="str">
        <f>VLOOKUP(text(D613, "#"),'Master Table'!$A:$F, 6, FALSE)</f>
        <v>D-5</v>
      </c>
      <c r="N613" s="141" t="str">
        <f>IFERROR(__xludf.DUMMYFUNCTION("""COMPUTED_VALUE"""),"Animated speaker at enjoyable level. Speaking very rapidly to offset time limitation.  Study needs further work, very valuable.")</f>
        <v>Animated speaker at enjoyable level. Speaking very rapidly to offset time limitation.  Study needs further work, very valuable.</v>
      </c>
      <c r="O613" s="142" t="str">
        <f t="shared" si="1"/>
        <v/>
      </c>
      <c r="P613" s="143" t="str">
        <f>IF(ISNA(VLOOKUP(CONCAT(M613,C613), 'Judge Count DO NOT EDIT'!H:H, 1, FALSE)), "ERROR","")</f>
        <v/>
      </c>
      <c r="Q613" s="141"/>
      <c r="R613" s="143"/>
      <c r="S613" s="139" t="str">
        <f t="shared" si="2"/>
        <v>1160291</v>
      </c>
      <c r="T613" s="141"/>
    </row>
    <row r="614">
      <c r="A614" s="137">
        <f>IFERROR(__xludf.DUMMYFUNCTION("""COMPUTED_VALUE"""),45352.71156196759)</f>
        <v>45352.71156</v>
      </c>
      <c r="B614" s="138" t="str">
        <f>IFERROR(__xludf.DUMMYFUNCTION("""COMPUTED_VALUE"""),"Patricia ")</f>
        <v>Patricia </v>
      </c>
      <c r="C614" s="138">
        <f>IFERROR(__xludf.DUMMYFUNCTION("""COMPUTED_VALUE"""),1182.0)</f>
        <v>1182</v>
      </c>
      <c r="D614" s="139">
        <f>IFERROR(__xludf.DUMMYFUNCTION("""COMPUTED_VALUE"""),291.0)</f>
        <v>291</v>
      </c>
      <c r="E614" s="138">
        <f>IFERROR(__xludf.DUMMYFUNCTION("""COMPUTED_VALUE"""),4.0)</f>
        <v>4</v>
      </c>
      <c r="F614" s="138">
        <f>IFERROR(__xludf.DUMMYFUNCTION("""COMPUTED_VALUE"""),4.0)</f>
        <v>4</v>
      </c>
      <c r="G614" s="138">
        <f>IFERROR(__xludf.DUMMYFUNCTION("""COMPUTED_VALUE"""),4.0)</f>
        <v>4</v>
      </c>
      <c r="H614" s="138">
        <f>IFERROR(__xludf.DUMMYFUNCTION("""COMPUTED_VALUE"""),4.0)</f>
        <v>4</v>
      </c>
      <c r="I614" s="138">
        <f>IFERROR(__xludf.DUMMYFUNCTION("""COMPUTED_VALUE"""),4.0)</f>
        <v>4</v>
      </c>
      <c r="J614" s="138">
        <f>IFERROR(__xludf.DUMMYFUNCTION("""COMPUTED_VALUE"""),4.0)</f>
        <v>4</v>
      </c>
      <c r="K614" s="138">
        <f>IFERROR(__xludf.DUMMYFUNCTION("""COMPUTED_VALUE"""),4.0)</f>
        <v>4</v>
      </c>
      <c r="L614" s="138">
        <v>28.0</v>
      </c>
      <c r="M614" s="140" t="str">
        <f>VLOOKUP(text(D614, "#"),'Master Table'!$A:$F, 6, FALSE)</f>
        <v>D-5</v>
      </c>
      <c r="N614" s="141" t="str">
        <f>IFERROR(__xludf.DUMMYFUNCTION("""COMPUTED_VALUE"""),"Great project! So interesting that students did not believe they were doing real programming. You addressed questions and comments beautifully!")</f>
        <v>Great project! So interesting that students did not believe they were doing real programming. You addressed questions and comments beautifully!</v>
      </c>
      <c r="O614" s="142" t="str">
        <f t="shared" si="1"/>
        <v/>
      </c>
      <c r="P614" s="143" t="str">
        <f>IF(ISNA(VLOOKUP(CONCAT(M614,C614), 'Judge Count DO NOT EDIT'!H:H, 1, FALSE)), "ERROR","")</f>
        <v/>
      </c>
      <c r="Q614" s="141"/>
      <c r="R614" s="143"/>
      <c r="S614" s="139" t="str">
        <f t="shared" si="2"/>
        <v>1182291</v>
      </c>
      <c r="T614" s="141"/>
    </row>
    <row r="615">
      <c r="A615" s="137">
        <f>IFERROR(__xludf.DUMMYFUNCTION("""COMPUTED_VALUE"""),45352.72359841435)</f>
        <v>45352.7236</v>
      </c>
      <c r="B615" s="138" t="str">
        <f>IFERROR(__xludf.DUMMYFUNCTION("""COMPUTED_VALUE"""),"Norah Shultz")</f>
        <v>Norah Shultz</v>
      </c>
      <c r="C615" s="138">
        <f>IFERROR(__xludf.DUMMYFUNCTION("""COMPUTED_VALUE"""),1235.0)</f>
        <v>1235</v>
      </c>
      <c r="D615" s="139">
        <f>IFERROR(__xludf.DUMMYFUNCTION("""COMPUTED_VALUE"""),291.0)</f>
        <v>291</v>
      </c>
      <c r="E615" s="138">
        <f>IFERROR(__xludf.DUMMYFUNCTION("""COMPUTED_VALUE"""),5.0)</f>
        <v>5</v>
      </c>
      <c r="F615" s="138">
        <f>IFERROR(__xludf.DUMMYFUNCTION("""COMPUTED_VALUE"""),4.0)</f>
        <v>4</v>
      </c>
      <c r="G615" s="138">
        <f>IFERROR(__xludf.DUMMYFUNCTION("""COMPUTED_VALUE"""),5.0)</f>
        <v>5</v>
      </c>
      <c r="H615" s="138">
        <f>IFERROR(__xludf.DUMMYFUNCTION("""COMPUTED_VALUE"""),5.0)</f>
        <v>5</v>
      </c>
      <c r="I615" s="138">
        <f>IFERROR(__xludf.DUMMYFUNCTION("""COMPUTED_VALUE"""),3.0)</f>
        <v>3</v>
      </c>
      <c r="J615" s="138">
        <f>IFERROR(__xludf.DUMMYFUNCTION("""COMPUTED_VALUE"""),4.0)</f>
        <v>4</v>
      </c>
      <c r="K615" s="138">
        <f>IFERROR(__xludf.DUMMYFUNCTION("""COMPUTED_VALUE"""),3.0)</f>
        <v>3</v>
      </c>
      <c r="L615" s="138">
        <v>29.0</v>
      </c>
      <c r="M615" s="140" t="str">
        <f>VLOOKUP(text(D615, "#"),'Master Table'!$A:$F, 6, FALSE)</f>
        <v>D-5</v>
      </c>
      <c r="N615" s="141" t="str">
        <f>IFERROR(__xludf.DUMMYFUNCTION("""COMPUTED_VALUE"""),"This was a great presentation but, again, the presenter had to rush and it really impacted his style. The work is very important -- to me it may have the most significance for reducing equity gaps of any of the work I've seen lately. He was brought into s"&amp;"omeone else's class so I""m not sure how much of this is his idea, or hers; I wish I'd probed on that. It might make a difference in how I view it. But he really really understands his work and its implications and I really liked what they're doing.")</f>
        <v>This was a great presentation but, again, the presenter had to rush and it really impacted his style. The work is very important -- to me it may have the most significance for reducing equity gaps of any of the work I've seen lately. He was brought into someone else's class so I"m not sure how much of this is his idea, or hers; I wish I'd probed on that. It might make a difference in how I view it. But he really really understands his work and its implications and I really liked what they're doing.</v>
      </c>
      <c r="O615" s="142" t="str">
        <f t="shared" si="1"/>
        <v/>
      </c>
      <c r="P615" s="143" t="str">
        <f>IF(ISNA(VLOOKUP(CONCAT(M615,C615), 'Judge Count DO NOT EDIT'!H:H, 1, FALSE)), "ERROR","")</f>
        <v/>
      </c>
      <c r="Q615" s="141"/>
      <c r="R615" s="143"/>
      <c r="S615" s="139" t="str">
        <f t="shared" si="2"/>
        <v>1235291</v>
      </c>
      <c r="T615" s="141"/>
    </row>
    <row r="616">
      <c r="A616" s="137">
        <f>IFERROR(__xludf.DUMMYFUNCTION("""COMPUTED_VALUE"""),45352.74461871528)</f>
        <v>45352.74462</v>
      </c>
      <c r="B616" s="138" t="str">
        <f>IFERROR(__xludf.DUMMYFUNCTION("""COMPUTED_VALUE"""),"Jennifer Karnopp")</f>
        <v>Jennifer Karnopp</v>
      </c>
      <c r="C616" s="138">
        <f>IFERROR(__xludf.DUMMYFUNCTION("""COMPUTED_VALUE"""),1031.0)</f>
        <v>1031</v>
      </c>
      <c r="D616" s="139">
        <f>IFERROR(__xludf.DUMMYFUNCTION("""COMPUTED_VALUE"""),291.0)</f>
        <v>291</v>
      </c>
      <c r="E616" s="138">
        <f>IFERROR(__xludf.DUMMYFUNCTION("""COMPUTED_VALUE"""),4.0)</f>
        <v>4</v>
      </c>
      <c r="F616" s="138">
        <f>IFERROR(__xludf.DUMMYFUNCTION("""COMPUTED_VALUE"""),4.0)</f>
        <v>4</v>
      </c>
      <c r="G616" s="138">
        <f>IFERROR(__xludf.DUMMYFUNCTION("""COMPUTED_VALUE"""),4.0)</f>
        <v>4</v>
      </c>
      <c r="H616" s="138">
        <f>IFERROR(__xludf.DUMMYFUNCTION("""COMPUTED_VALUE"""),4.0)</f>
        <v>4</v>
      </c>
      <c r="I616" s="138">
        <f>IFERROR(__xludf.DUMMYFUNCTION("""COMPUTED_VALUE"""),4.0)</f>
        <v>4</v>
      </c>
      <c r="J616" s="138">
        <f>IFERROR(__xludf.DUMMYFUNCTION("""COMPUTED_VALUE"""),4.0)</f>
        <v>4</v>
      </c>
      <c r="K616" s="138">
        <f>IFERROR(__xludf.DUMMYFUNCTION("""COMPUTED_VALUE"""),4.0)</f>
        <v>4</v>
      </c>
      <c r="L616" s="138">
        <v>28.0</v>
      </c>
      <c r="M616" s="140" t="str">
        <f>VLOOKUP(text(D616, "#"),'Master Table'!$A:$F, 6, FALSE)</f>
        <v>D-5</v>
      </c>
      <c r="N616" s="141" t="str">
        <f>IFERROR(__xludf.DUMMYFUNCTION("""COMPUTED_VALUE"""),"Austin brought a lot of energy to his end-of-the-day presentation. The slides were well designed and the topic is one that needs more exploration. The methods appear solid and the findings have exciting implications for equity in STEM. I’m particularly in"&amp;"terested in his future research ideas of exploring student perceptions of the legitimacy of the class coding instruction. I wonder if student identity (as a non-coder) plays a role.")</f>
        <v>Austin brought a lot of energy to his end-of-the-day presentation. The slides were well designed and the topic is one that needs more exploration. The methods appear solid and the findings have exciting implications for equity in STEM. I’m particularly interested in his future research ideas of exploring student perceptions of the legitimacy of the class coding instruction. I wonder if student identity (as a non-coder) plays a role.</v>
      </c>
      <c r="O616" s="142" t="str">
        <f t="shared" si="1"/>
        <v/>
      </c>
      <c r="P616" s="143" t="str">
        <f>IF(ISNA(VLOOKUP(CONCAT(M616,C616), 'Judge Count DO NOT EDIT'!H:H, 1, FALSE)), "ERROR","")</f>
        <v/>
      </c>
      <c r="Q616" s="141"/>
      <c r="R616" s="143"/>
      <c r="S616" s="139" t="str">
        <f t="shared" si="2"/>
        <v>1031291</v>
      </c>
      <c r="T616" s="141"/>
    </row>
    <row r="617">
      <c r="A617" s="137">
        <f>IFERROR(__xludf.DUMMYFUNCTION("""COMPUTED_VALUE"""),45352.63764)</f>
        <v>45352.63764</v>
      </c>
      <c r="B617" s="138" t="str">
        <f>IFERROR(__xludf.DUMMYFUNCTION("""COMPUTED_VALUE"""),"Dr. Soljour")</f>
        <v>Dr. Soljour</v>
      </c>
      <c r="C617" s="138">
        <f>IFERROR(__xludf.DUMMYFUNCTION("""COMPUTED_VALUE"""),1106.0)</f>
        <v>1106</v>
      </c>
      <c r="D617" s="139">
        <f>IFERROR(__xludf.DUMMYFUNCTION("""COMPUTED_VALUE"""),292.0)</f>
        <v>292</v>
      </c>
      <c r="E617" s="138">
        <f>IFERROR(__xludf.DUMMYFUNCTION("""COMPUTED_VALUE"""),3.0)</f>
        <v>3</v>
      </c>
      <c r="F617" s="138">
        <f>IFERROR(__xludf.DUMMYFUNCTION("""COMPUTED_VALUE"""),2.0)</f>
        <v>2</v>
      </c>
      <c r="G617" s="138">
        <f>IFERROR(__xludf.DUMMYFUNCTION("""COMPUTED_VALUE"""),3.0)</f>
        <v>3</v>
      </c>
      <c r="H617" s="138">
        <f>IFERROR(__xludf.DUMMYFUNCTION("""COMPUTED_VALUE"""),3.0)</f>
        <v>3</v>
      </c>
      <c r="I617" s="138">
        <f>IFERROR(__xludf.DUMMYFUNCTION("""COMPUTED_VALUE"""),3.0)</f>
        <v>3</v>
      </c>
      <c r="J617" s="138">
        <f>IFERROR(__xludf.DUMMYFUNCTION("""COMPUTED_VALUE"""),3.0)</f>
        <v>3</v>
      </c>
      <c r="K617" s="138">
        <f>IFERROR(__xludf.DUMMYFUNCTION("""COMPUTED_VALUE"""),3.0)</f>
        <v>3</v>
      </c>
      <c r="L617" s="138">
        <v>20.0</v>
      </c>
      <c r="M617" s="140" t="str">
        <f>VLOOKUP(text(D617, "#"),'Master Table'!$A:$F, 6, FALSE)</f>
        <v>D-6</v>
      </c>
      <c r="N617" s="141" t="str">
        <f>IFERROR(__xludf.DUMMYFUNCTION("""COMPUTED_VALUE"""),"The presentation offered many ideas and methods for engagement, however, the presenter was trying to cram a lot of information into the presentation which led to a rushed feeling. Offering a bit more demographic information would be helpful to contextuali"&amp;"ze analysis and results. Clarifying the relationship between the music and the dialogue would help to clarify how others interpret the lyrics. ")</f>
        <v>The presentation offered many ideas and methods for engagement, however, the presenter was trying to cram a lot of information into the presentation which led to a rushed feeling. Offering a bit more demographic information would be helpful to contextualize analysis and results. Clarifying the relationship between the music and the dialogue would help to clarify how others interpret the lyrics. </v>
      </c>
      <c r="O617" s="142" t="str">
        <f t="shared" si="1"/>
        <v/>
      </c>
      <c r="P617" s="143" t="str">
        <f>IF(ISNA(VLOOKUP(CONCAT(M617,C617), 'Judge Count DO NOT EDIT'!H:H, 1, FALSE)), "ERROR","")</f>
        <v/>
      </c>
      <c r="Q617" s="141"/>
      <c r="R617" s="143"/>
      <c r="S617" s="139" t="str">
        <f t="shared" si="2"/>
        <v>1106292</v>
      </c>
      <c r="T617" s="141"/>
    </row>
    <row r="618">
      <c r="A618" s="137">
        <f>IFERROR(__xludf.DUMMYFUNCTION("""COMPUTED_VALUE"""),45352.638482291666)</f>
        <v>45352.63848</v>
      </c>
      <c r="B618" s="138" t="str">
        <f>IFERROR(__xludf.DUMMYFUNCTION("""COMPUTED_VALUE"""),"Gur Windmiller")</f>
        <v>Gur Windmiller</v>
      </c>
      <c r="C618" s="138">
        <f>IFERROR(__xludf.DUMMYFUNCTION("""COMPUTED_VALUE"""),1217.0)</f>
        <v>1217</v>
      </c>
      <c r="D618" s="139">
        <f>IFERROR(__xludf.DUMMYFUNCTION("""COMPUTED_VALUE"""),292.0)</f>
        <v>292</v>
      </c>
      <c r="E618" s="138">
        <f>IFERROR(__xludf.DUMMYFUNCTION("""COMPUTED_VALUE"""),4.0)</f>
        <v>4</v>
      </c>
      <c r="F618" s="138">
        <f>IFERROR(__xludf.DUMMYFUNCTION("""COMPUTED_VALUE"""),4.0)</f>
        <v>4</v>
      </c>
      <c r="G618" s="138">
        <f>IFERROR(__xludf.DUMMYFUNCTION("""COMPUTED_VALUE"""),3.0)</f>
        <v>3</v>
      </c>
      <c r="H618" s="138">
        <f>IFERROR(__xludf.DUMMYFUNCTION("""COMPUTED_VALUE"""),3.0)</f>
        <v>3</v>
      </c>
      <c r="I618" s="138">
        <f>IFERROR(__xludf.DUMMYFUNCTION("""COMPUTED_VALUE"""),3.0)</f>
        <v>3</v>
      </c>
      <c r="J618" s="138">
        <f>IFERROR(__xludf.DUMMYFUNCTION("""COMPUTED_VALUE"""),3.0)</f>
        <v>3</v>
      </c>
      <c r="K618" s="138">
        <f>IFERROR(__xludf.DUMMYFUNCTION("""COMPUTED_VALUE"""),4.0)</f>
        <v>4</v>
      </c>
      <c r="L618" s="138">
        <v>24.0</v>
      </c>
      <c r="M618" s="140" t="str">
        <f>VLOOKUP(text(D618, "#"),'Master Table'!$A:$F, 6, FALSE)</f>
        <v>D-6</v>
      </c>
      <c r="N618" s="141"/>
      <c r="O618" s="142" t="str">
        <f t="shared" si="1"/>
        <v/>
      </c>
      <c r="P618" s="143" t="str">
        <f>IF(ISNA(VLOOKUP(CONCAT(M618,C618), 'Judge Count DO NOT EDIT'!H:H, 1, FALSE)), "ERROR","")</f>
        <v/>
      </c>
      <c r="Q618" s="141"/>
      <c r="R618" s="143"/>
      <c r="S618" s="139" t="str">
        <f t="shared" si="2"/>
        <v>1217292</v>
      </c>
      <c r="T618" s="141"/>
    </row>
    <row r="619">
      <c r="A619" s="137">
        <f>IFERROR(__xludf.DUMMYFUNCTION("""COMPUTED_VALUE"""),45352.662267858796)</f>
        <v>45352.66227</v>
      </c>
      <c r="B619" s="138" t="str">
        <f>IFERROR(__xludf.DUMMYFUNCTION("""COMPUTED_VALUE"""),"Bill Aaron")</f>
        <v>Bill Aaron</v>
      </c>
      <c r="C619" s="138">
        <f>IFERROR(__xludf.DUMMYFUNCTION("""COMPUTED_VALUE"""),1060.0)</f>
        <v>1060</v>
      </c>
      <c r="D619" s="139">
        <f>IFERROR(__xludf.DUMMYFUNCTION("""COMPUTED_VALUE"""),292.0)</f>
        <v>292</v>
      </c>
      <c r="E619" s="138">
        <f>IFERROR(__xludf.DUMMYFUNCTION("""COMPUTED_VALUE"""),3.0)</f>
        <v>3</v>
      </c>
      <c r="F619" s="138">
        <f>IFERROR(__xludf.DUMMYFUNCTION("""COMPUTED_VALUE"""),3.0)</f>
        <v>3</v>
      </c>
      <c r="G619" s="138">
        <f>IFERROR(__xludf.DUMMYFUNCTION("""COMPUTED_VALUE"""),3.0)</f>
        <v>3</v>
      </c>
      <c r="H619" s="138">
        <f>IFERROR(__xludf.DUMMYFUNCTION("""COMPUTED_VALUE"""),2.0)</f>
        <v>2</v>
      </c>
      <c r="I619" s="138">
        <f>IFERROR(__xludf.DUMMYFUNCTION("""COMPUTED_VALUE"""),2.0)</f>
        <v>2</v>
      </c>
      <c r="J619" s="138">
        <f>IFERROR(__xludf.DUMMYFUNCTION("""COMPUTED_VALUE"""),2.0)</f>
        <v>2</v>
      </c>
      <c r="K619" s="138">
        <f>IFERROR(__xludf.DUMMYFUNCTION("""COMPUTED_VALUE"""),2.0)</f>
        <v>2</v>
      </c>
      <c r="L619" s="138">
        <v>17.0</v>
      </c>
      <c r="M619" s="140" t="str">
        <f>VLOOKUP(text(D619, "#"),'Master Table'!$A:$F, 6, FALSE)</f>
        <v>D-6</v>
      </c>
      <c r="N619" s="141"/>
      <c r="O619" s="142" t="str">
        <f t="shared" si="1"/>
        <v/>
      </c>
      <c r="P619" s="143" t="str">
        <f>IF(ISNA(VLOOKUP(CONCAT(M619,C619), 'Judge Count DO NOT EDIT'!H:H, 1, FALSE)), "ERROR","")</f>
        <v/>
      </c>
      <c r="Q619" s="141"/>
      <c r="R619" s="143"/>
      <c r="S619" s="139" t="str">
        <f t="shared" si="2"/>
        <v>1060292</v>
      </c>
      <c r="T619" s="141"/>
    </row>
    <row r="620">
      <c r="A620" s="137">
        <f>IFERROR(__xludf.DUMMYFUNCTION("""COMPUTED_VALUE"""),45352.71914065973)</f>
        <v>45352.71914</v>
      </c>
      <c r="B620" s="138" t="str">
        <f>IFERROR(__xludf.DUMMYFUNCTION("""COMPUTED_VALUE"""),"Erika Rodriguez")</f>
        <v>Erika Rodriguez</v>
      </c>
      <c r="C620" s="138">
        <f>IFERROR(__xludf.DUMMYFUNCTION("""COMPUTED_VALUE"""),1177.0)</f>
        <v>1177</v>
      </c>
      <c r="D620" s="139">
        <f>IFERROR(__xludf.DUMMYFUNCTION("""COMPUTED_VALUE"""),292.0)</f>
        <v>292</v>
      </c>
      <c r="E620" s="138">
        <f>IFERROR(__xludf.DUMMYFUNCTION("""COMPUTED_VALUE"""),1.0)</f>
        <v>1</v>
      </c>
      <c r="F620" s="138">
        <f>IFERROR(__xludf.DUMMYFUNCTION("""COMPUTED_VALUE"""),3.0)</f>
        <v>3</v>
      </c>
      <c r="G620" s="138">
        <f>IFERROR(__xludf.DUMMYFUNCTION("""COMPUTED_VALUE"""),3.0)</f>
        <v>3</v>
      </c>
      <c r="H620" s="138">
        <f>IFERROR(__xludf.DUMMYFUNCTION("""COMPUTED_VALUE"""),3.0)</f>
        <v>3</v>
      </c>
      <c r="I620" s="138">
        <f>IFERROR(__xludf.DUMMYFUNCTION("""COMPUTED_VALUE"""),4.0)</f>
        <v>4</v>
      </c>
      <c r="J620" s="138">
        <f>IFERROR(__xludf.DUMMYFUNCTION("""COMPUTED_VALUE"""),1.0)</f>
        <v>1</v>
      </c>
      <c r="K620" s="138">
        <f>IFERROR(__xludf.DUMMYFUNCTION("""COMPUTED_VALUE"""),4.0)</f>
        <v>4</v>
      </c>
      <c r="L620" s="138">
        <v>19.0</v>
      </c>
      <c r="M620" s="140" t="str">
        <f>VLOOKUP(text(D620, "#"),'Master Table'!$A:$F, 6, FALSE)</f>
        <v>D-6</v>
      </c>
      <c r="N620" s="141" t="str">
        <f>IFERROR(__xludf.DUMMYFUNCTION("""COMPUTED_VALUE"""),"The question of positionality is important but for a quick presentation should be much more concise, particularly as the rest of the information felt rushed. The presenter did not introduce the project by title, takes for granted that we will know who thi"&amp;"s artist is, and did not explain why they chose this artist (vs another one), what lyrics were meaningful, or how they met the participating subjects. The idea of using music to heal is not new, but the particular feminist/Latinx methodology can certainly"&amp;" revitalize and alter perspectives on what healing is, and how it can be enacted in community settings. To that end, the student should showcase their own interventions more clearly. Particularly novel in this kind of approach is its function/place in aca"&amp;"demia (as I believe the student commented that the other participants were also grad students). Curious about how the one participant who was not Mexican/Mex-Am. experienced this engagement. In the Q&amp;A project became clearer.  This is undoubtedly an impor"&amp;"tant perspective to have in US education, and I would have liked for a conclusion to address broader implications, ideas for broader applicability/practice.")</f>
        <v>The question of positionality is important but for a quick presentation should be much more concise, particularly as the rest of the information felt rushed. The presenter did not introduce the project by title, takes for granted that we will know who this artist is, and did not explain why they chose this artist (vs another one), what lyrics were meaningful, or how they met the participating subjects. The idea of using music to heal is not new, but the particular feminist/Latinx methodology can certainly revitalize and alter perspectives on what healing is, and how it can be enacted in community settings. To that end, the student should showcase their own interventions more clearly. Particularly novel in this kind of approach is its function/place in academia (as I believe the student commented that the other participants were also grad students). Curious about how the one participant who was not Mexican/Mex-Am. experienced this engagement. In the Q&amp;A project became clearer.  This is undoubtedly an important perspective to have in US education, and I would have liked for a conclusion to address broader implications, ideas for broader applicability/practice.</v>
      </c>
      <c r="O620" s="142" t="str">
        <f t="shared" si="1"/>
        <v/>
      </c>
      <c r="P620" s="143" t="str">
        <f>IF(ISNA(VLOOKUP(CONCAT(M620,C620), 'Judge Count DO NOT EDIT'!H:H, 1, FALSE)), "ERROR","")</f>
        <v/>
      </c>
      <c r="Q620" s="141"/>
      <c r="R620" s="143"/>
      <c r="S620" s="139" t="str">
        <f t="shared" si="2"/>
        <v>1177292</v>
      </c>
      <c r="T620" s="141"/>
    </row>
    <row r="621">
      <c r="A621" s="137">
        <f>IFERROR(__xludf.DUMMYFUNCTION("""COMPUTED_VALUE"""),45352.66285622685)</f>
        <v>45352.66286</v>
      </c>
      <c r="B621" s="138" t="str">
        <f>IFERROR(__xludf.DUMMYFUNCTION("""COMPUTED_VALUE"""),"Bill Aaron")</f>
        <v>Bill Aaron</v>
      </c>
      <c r="C621" s="138">
        <f>IFERROR(__xludf.DUMMYFUNCTION("""COMPUTED_VALUE"""),1060.0)</f>
        <v>1060</v>
      </c>
      <c r="D621" s="139">
        <f>IFERROR(__xludf.DUMMYFUNCTION("""COMPUTED_VALUE"""),293.0)</f>
        <v>293</v>
      </c>
      <c r="E621" s="138">
        <f>IFERROR(__xludf.DUMMYFUNCTION("""COMPUTED_VALUE"""),3.0)</f>
        <v>3</v>
      </c>
      <c r="F621" s="138">
        <f>IFERROR(__xludf.DUMMYFUNCTION("""COMPUTED_VALUE"""),3.0)</f>
        <v>3</v>
      </c>
      <c r="G621" s="138">
        <f>IFERROR(__xludf.DUMMYFUNCTION("""COMPUTED_VALUE"""),3.0)</f>
        <v>3</v>
      </c>
      <c r="H621" s="138">
        <f>IFERROR(__xludf.DUMMYFUNCTION("""COMPUTED_VALUE"""),3.0)</f>
        <v>3</v>
      </c>
      <c r="I621" s="138">
        <f>IFERROR(__xludf.DUMMYFUNCTION("""COMPUTED_VALUE"""),2.0)</f>
        <v>2</v>
      </c>
      <c r="J621" s="138">
        <f>IFERROR(__xludf.DUMMYFUNCTION("""COMPUTED_VALUE"""),2.0)</f>
        <v>2</v>
      </c>
      <c r="K621" s="138">
        <f>IFERROR(__xludf.DUMMYFUNCTION("""COMPUTED_VALUE"""),3.0)</f>
        <v>3</v>
      </c>
      <c r="L621" s="138">
        <v>19.0</v>
      </c>
      <c r="M621" s="140" t="str">
        <f>VLOOKUP(text(D621, "#"),'Master Table'!$A:$F, 6, FALSE)</f>
        <v>D-6</v>
      </c>
      <c r="N621" s="141"/>
      <c r="O621" s="142" t="str">
        <f t="shared" si="1"/>
        <v/>
      </c>
      <c r="P621" s="143" t="str">
        <f>IF(ISNA(VLOOKUP(CONCAT(M621,C621), 'Judge Count DO NOT EDIT'!H:H, 1, FALSE)), "ERROR","")</f>
        <v/>
      </c>
      <c r="Q621" s="141"/>
      <c r="R621" s="143"/>
      <c r="S621" s="139" t="str">
        <f t="shared" si="2"/>
        <v>1060293</v>
      </c>
      <c r="T621" s="141"/>
    </row>
    <row r="622">
      <c r="A622" s="137">
        <f>IFERROR(__xludf.DUMMYFUNCTION("""COMPUTED_VALUE"""),45352.66338578703)</f>
        <v>45352.66339</v>
      </c>
      <c r="B622" s="138" t="str">
        <f>IFERROR(__xludf.DUMMYFUNCTION("""COMPUTED_VALUE"""),"Bill Aaron")</f>
        <v>Bill Aaron</v>
      </c>
      <c r="C622" s="138">
        <f>IFERROR(__xludf.DUMMYFUNCTION("""COMPUTED_VALUE"""),1060.0)</f>
        <v>1060</v>
      </c>
      <c r="D622" s="139">
        <f>IFERROR(__xludf.DUMMYFUNCTION("""COMPUTED_VALUE"""),294.0)</f>
        <v>294</v>
      </c>
      <c r="E622" s="138">
        <f>IFERROR(__xludf.DUMMYFUNCTION("""COMPUTED_VALUE"""),3.0)</f>
        <v>3</v>
      </c>
      <c r="F622" s="138">
        <f>IFERROR(__xludf.DUMMYFUNCTION("""COMPUTED_VALUE"""),3.0)</f>
        <v>3</v>
      </c>
      <c r="G622" s="138">
        <f>IFERROR(__xludf.DUMMYFUNCTION("""COMPUTED_VALUE"""),3.0)</f>
        <v>3</v>
      </c>
      <c r="H622" s="138">
        <f>IFERROR(__xludf.DUMMYFUNCTION("""COMPUTED_VALUE"""),3.0)</f>
        <v>3</v>
      </c>
      <c r="I622" s="138">
        <f>IFERROR(__xludf.DUMMYFUNCTION("""COMPUTED_VALUE"""),4.0)</f>
        <v>4</v>
      </c>
      <c r="J622" s="138">
        <f>IFERROR(__xludf.DUMMYFUNCTION("""COMPUTED_VALUE"""),3.0)</f>
        <v>3</v>
      </c>
      <c r="K622" s="138">
        <f>IFERROR(__xludf.DUMMYFUNCTION("""COMPUTED_VALUE"""),3.0)</f>
        <v>3</v>
      </c>
      <c r="L622" s="138">
        <v>22.0</v>
      </c>
      <c r="M622" s="140" t="str">
        <f>VLOOKUP(text(D622, "#"),'Master Table'!$A:$F, 6, FALSE)</f>
        <v>D-6</v>
      </c>
      <c r="N622" s="141"/>
      <c r="O622" s="142" t="str">
        <f t="shared" si="1"/>
        <v/>
      </c>
      <c r="P622" s="143" t="str">
        <f>IF(ISNA(VLOOKUP(CONCAT(M622,C622), 'Judge Count DO NOT EDIT'!H:H, 1, FALSE)), "ERROR","")</f>
        <v/>
      </c>
      <c r="Q622" s="141"/>
      <c r="R622" s="143"/>
      <c r="S622" s="139" t="str">
        <f t="shared" si="2"/>
        <v>1060294</v>
      </c>
      <c r="T622" s="141"/>
    </row>
    <row r="623">
      <c r="A623" s="137">
        <f>IFERROR(__xludf.DUMMYFUNCTION("""COMPUTED_VALUE"""),45352.66547636574)</f>
        <v>45352.66548</v>
      </c>
      <c r="B623" s="138" t="str">
        <f>IFERROR(__xludf.DUMMYFUNCTION("""COMPUTED_VALUE"""),"Dr. Soljour ")</f>
        <v>Dr. Soljour </v>
      </c>
      <c r="C623" s="138">
        <f>IFERROR(__xludf.DUMMYFUNCTION("""COMPUTED_VALUE"""),1106.0)</f>
        <v>1106</v>
      </c>
      <c r="D623" s="139">
        <f>IFERROR(__xludf.DUMMYFUNCTION("""COMPUTED_VALUE"""),294.0)</f>
        <v>294</v>
      </c>
      <c r="E623" s="138">
        <f>IFERROR(__xludf.DUMMYFUNCTION("""COMPUTED_VALUE"""),3.0)</f>
        <v>3</v>
      </c>
      <c r="F623" s="138">
        <f>IFERROR(__xludf.DUMMYFUNCTION("""COMPUTED_VALUE"""),4.0)</f>
        <v>4</v>
      </c>
      <c r="G623" s="138">
        <f>IFERROR(__xludf.DUMMYFUNCTION("""COMPUTED_VALUE"""),4.0)</f>
        <v>4</v>
      </c>
      <c r="H623" s="138">
        <f>IFERROR(__xludf.DUMMYFUNCTION("""COMPUTED_VALUE"""),3.0)</f>
        <v>3</v>
      </c>
      <c r="I623" s="138">
        <f>IFERROR(__xludf.DUMMYFUNCTION("""COMPUTED_VALUE"""),3.0)</f>
        <v>3</v>
      </c>
      <c r="J623" s="138">
        <f>IFERROR(__xludf.DUMMYFUNCTION("""COMPUTED_VALUE"""),4.0)</f>
        <v>4</v>
      </c>
      <c r="K623" s="138">
        <f>IFERROR(__xludf.DUMMYFUNCTION("""COMPUTED_VALUE"""),3.0)</f>
        <v>3</v>
      </c>
      <c r="L623" s="138">
        <v>24.0</v>
      </c>
      <c r="M623" s="140" t="str">
        <f>VLOOKUP(text(D623, "#"),'Master Table'!$A:$F, 6, FALSE)</f>
        <v>D-6</v>
      </c>
      <c r="N623" s="141" t="str">
        <f>IFERROR(__xludf.DUMMYFUNCTION("""COMPUTED_VALUE"""),"The presentation maintained a clear focus and student has a sense of direction for research left to complete. It will be exciting to revisit the project upon completion to get a better understanding of the process of translation and performance.")</f>
        <v>The presentation maintained a clear focus and student has a sense of direction for research left to complete. It will be exciting to revisit the project upon completion to get a better understanding of the process of translation and performance.</v>
      </c>
      <c r="O623" s="142" t="str">
        <f t="shared" si="1"/>
        <v/>
      </c>
      <c r="P623" s="143" t="str">
        <f>IF(ISNA(VLOOKUP(CONCAT(M623,C623), 'Judge Count DO NOT EDIT'!H:H, 1, FALSE)), "ERROR","")</f>
        <v/>
      </c>
      <c r="Q623" s="141"/>
      <c r="R623" s="143"/>
      <c r="S623" s="139" t="str">
        <f t="shared" si="2"/>
        <v>1106294</v>
      </c>
      <c r="T623" s="141"/>
    </row>
    <row r="624">
      <c r="A624" s="137">
        <f>IFERROR(__xludf.DUMMYFUNCTION("""COMPUTED_VALUE"""),45352.66688127315)</f>
        <v>45352.66688</v>
      </c>
      <c r="B624" s="138" t="str">
        <f>IFERROR(__xludf.DUMMYFUNCTION("""COMPUTED_VALUE"""),"Gur Windmiller")</f>
        <v>Gur Windmiller</v>
      </c>
      <c r="C624" s="138">
        <f>IFERROR(__xludf.DUMMYFUNCTION("""COMPUTED_VALUE"""),1217.0)</f>
        <v>1217</v>
      </c>
      <c r="D624" s="139">
        <f>IFERROR(__xludf.DUMMYFUNCTION("""COMPUTED_VALUE"""),294.0)</f>
        <v>294</v>
      </c>
      <c r="E624" s="138">
        <f>IFERROR(__xludf.DUMMYFUNCTION("""COMPUTED_VALUE"""),4.0)</f>
        <v>4</v>
      </c>
      <c r="F624" s="138">
        <f>IFERROR(__xludf.DUMMYFUNCTION("""COMPUTED_VALUE"""),4.0)</f>
        <v>4</v>
      </c>
      <c r="G624" s="138">
        <f>IFERROR(__xludf.DUMMYFUNCTION("""COMPUTED_VALUE"""),3.0)</f>
        <v>3</v>
      </c>
      <c r="H624" s="138">
        <f>IFERROR(__xludf.DUMMYFUNCTION("""COMPUTED_VALUE"""),3.0)</f>
        <v>3</v>
      </c>
      <c r="I624" s="138">
        <f>IFERROR(__xludf.DUMMYFUNCTION("""COMPUTED_VALUE"""),3.0)</f>
        <v>3</v>
      </c>
      <c r="J624" s="138">
        <f>IFERROR(__xludf.DUMMYFUNCTION("""COMPUTED_VALUE"""),3.0)</f>
        <v>3</v>
      </c>
      <c r="K624" s="138">
        <f>IFERROR(__xludf.DUMMYFUNCTION("""COMPUTED_VALUE"""),4.0)</f>
        <v>4</v>
      </c>
      <c r="L624" s="138">
        <v>24.0</v>
      </c>
      <c r="M624" s="140" t="str">
        <f>VLOOKUP(text(D624, "#"),'Master Table'!$A:$F, 6, FALSE)</f>
        <v>D-6</v>
      </c>
      <c r="N624" s="141"/>
      <c r="O624" s="142" t="str">
        <f t="shared" si="1"/>
        <v/>
      </c>
      <c r="P624" s="143" t="str">
        <f>IF(ISNA(VLOOKUP(CONCAT(M624,C624), 'Judge Count DO NOT EDIT'!H:H, 1, FALSE)), "ERROR","")</f>
        <v/>
      </c>
      <c r="Q624" s="141"/>
      <c r="R624" s="143"/>
      <c r="S624" s="139" t="str">
        <f t="shared" si="2"/>
        <v>1217294</v>
      </c>
      <c r="T624" s="141"/>
    </row>
    <row r="625">
      <c r="A625" s="137">
        <f>IFERROR(__xludf.DUMMYFUNCTION("""COMPUTED_VALUE"""),45352.721407743054)</f>
        <v>45352.72141</v>
      </c>
      <c r="B625" s="138" t="str">
        <f>IFERROR(__xludf.DUMMYFUNCTION("""COMPUTED_VALUE"""),"Erika Rodriguez")</f>
        <v>Erika Rodriguez</v>
      </c>
      <c r="C625" s="138">
        <f>IFERROR(__xludf.DUMMYFUNCTION("""COMPUTED_VALUE"""),1177.0)</f>
        <v>1177</v>
      </c>
      <c r="D625" s="139">
        <f>IFERROR(__xludf.DUMMYFUNCTION("""COMPUTED_VALUE"""),294.0)</f>
        <v>294</v>
      </c>
      <c r="E625" s="138">
        <f>IFERROR(__xludf.DUMMYFUNCTION("""COMPUTED_VALUE"""),5.0)</f>
        <v>5</v>
      </c>
      <c r="F625" s="138">
        <f>IFERROR(__xludf.DUMMYFUNCTION("""COMPUTED_VALUE"""),2.0)</f>
        <v>2</v>
      </c>
      <c r="G625" s="138">
        <f>IFERROR(__xludf.DUMMYFUNCTION("""COMPUTED_VALUE"""),4.0)</f>
        <v>4</v>
      </c>
      <c r="H625" s="138">
        <f>IFERROR(__xludf.DUMMYFUNCTION("""COMPUTED_VALUE"""),5.0)</f>
        <v>5</v>
      </c>
      <c r="I625" s="138">
        <f>IFERROR(__xludf.DUMMYFUNCTION("""COMPUTED_VALUE"""),5.0)</f>
        <v>5</v>
      </c>
      <c r="J625" s="138">
        <f>IFERROR(__xludf.DUMMYFUNCTION("""COMPUTED_VALUE"""),5.0)</f>
        <v>5</v>
      </c>
      <c r="K625" s="138">
        <f>IFERROR(__xludf.DUMMYFUNCTION("""COMPUTED_VALUE"""),4.0)</f>
        <v>4</v>
      </c>
      <c r="L625" s="138">
        <v>30.0</v>
      </c>
      <c r="M625" s="140" t="str">
        <f>VLOOKUP(text(D625, "#"),'Master Table'!$A:$F, 6, FALSE)</f>
        <v>D-6</v>
      </c>
      <c r="N625" s="141" t="str">
        <f>IFERROR(__xludf.DUMMYFUNCTION("""COMPUTED_VALUE"""),"This was the mostly clearly organized presentation I attended. My only advice would be to have a clear explanation on whether the project has an original contribution to translation or theater studies, as it seemed to me to follow the conventions of trans"&amp;"lation practice. ")</f>
        <v>This was the mostly clearly organized presentation I attended. My only advice would be to have a clear explanation on whether the project has an original contribution to translation or theater studies, as it seemed to me to follow the conventions of translation practice. </v>
      </c>
      <c r="O625" s="142" t="str">
        <f t="shared" si="1"/>
        <v/>
      </c>
      <c r="P625" s="143" t="str">
        <f>IF(ISNA(VLOOKUP(CONCAT(M625,C625), 'Judge Count DO NOT EDIT'!H:H, 1, FALSE)), "ERROR","")</f>
        <v/>
      </c>
      <c r="Q625" s="141"/>
      <c r="R625" s="143"/>
      <c r="S625" s="139" t="str">
        <f t="shared" si="2"/>
        <v>1177294</v>
      </c>
      <c r="T625" s="141"/>
    </row>
    <row r="626">
      <c r="A626" s="137">
        <f>IFERROR(__xludf.DUMMYFUNCTION("""COMPUTED_VALUE"""),45352.67745766204)</f>
        <v>45352.67746</v>
      </c>
      <c r="B626" s="138" t="str">
        <f>IFERROR(__xludf.DUMMYFUNCTION("""COMPUTED_VALUE"""),"Bill Aaron")</f>
        <v>Bill Aaron</v>
      </c>
      <c r="C626" s="138">
        <f>IFERROR(__xludf.DUMMYFUNCTION("""COMPUTED_VALUE"""),1060.0)</f>
        <v>1060</v>
      </c>
      <c r="D626" s="139">
        <f>IFERROR(__xludf.DUMMYFUNCTION("""COMPUTED_VALUE"""),295.0)</f>
        <v>295</v>
      </c>
      <c r="E626" s="138">
        <f>IFERROR(__xludf.DUMMYFUNCTION("""COMPUTED_VALUE"""),4.0)</f>
        <v>4</v>
      </c>
      <c r="F626" s="138">
        <f>IFERROR(__xludf.DUMMYFUNCTION("""COMPUTED_VALUE"""),3.0)</f>
        <v>3</v>
      </c>
      <c r="G626" s="138">
        <f>IFERROR(__xludf.DUMMYFUNCTION("""COMPUTED_VALUE"""),3.0)</f>
        <v>3</v>
      </c>
      <c r="H626" s="138">
        <f>IFERROR(__xludf.DUMMYFUNCTION("""COMPUTED_VALUE"""),3.0)</f>
        <v>3</v>
      </c>
      <c r="I626" s="138">
        <f>IFERROR(__xludf.DUMMYFUNCTION("""COMPUTED_VALUE"""),3.0)</f>
        <v>3</v>
      </c>
      <c r="J626" s="138">
        <f>IFERROR(__xludf.DUMMYFUNCTION("""COMPUTED_VALUE"""),3.0)</f>
        <v>3</v>
      </c>
      <c r="K626" s="138">
        <f>IFERROR(__xludf.DUMMYFUNCTION("""COMPUTED_VALUE"""),3.0)</f>
        <v>3</v>
      </c>
      <c r="L626" s="138">
        <v>22.0</v>
      </c>
      <c r="M626" s="140" t="str">
        <f>VLOOKUP(text(D626, "#"),'Master Table'!$A:$F, 6, FALSE)</f>
        <v>D-6</v>
      </c>
      <c r="N626" s="141" t="str">
        <f>IFERROR(__xludf.DUMMYFUNCTION("""COMPUTED_VALUE"""),"Throughly engaging. ")</f>
        <v>Throughly engaging. </v>
      </c>
      <c r="O626" s="142" t="str">
        <f t="shared" si="1"/>
        <v/>
      </c>
      <c r="P626" s="143" t="str">
        <f>IF(ISNA(VLOOKUP(CONCAT(M626,C626), 'Judge Count DO NOT EDIT'!H:H, 1, FALSE)), "ERROR","")</f>
        <v/>
      </c>
      <c r="Q626" s="141"/>
      <c r="R626" s="143"/>
      <c r="S626" s="139" t="str">
        <f t="shared" si="2"/>
        <v>1060295</v>
      </c>
      <c r="T626" s="141"/>
    </row>
    <row r="627">
      <c r="A627" s="137">
        <f>IFERROR(__xludf.DUMMYFUNCTION("""COMPUTED_VALUE"""),45352.678033819444)</f>
        <v>45352.67803</v>
      </c>
      <c r="B627" s="138" t="str">
        <f>IFERROR(__xludf.DUMMYFUNCTION("""COMPUTED_VALUE"""),"Dr. Soljour ")</f>
        <v>Dr. Soljour </v>
      </c>
      <c r="C627" s="138">
        <f>IFERROR(__xludf.DUMMYFUNCTION("""COMPUTED_VALUE"""),1106.0)</f>
        <v>1106</v>
      </c>
      <c r="D627" s="139">
        <f>IFERROR(__xludf.DUMMYFUNCTION("""COMPUTED_VALUE"""),295.0)</f>
        <v>295</v>
      </c>
      <c r="E627" s="138">
        <f>IFERROR(__xludf.DUMMYFUNCTION("""COMPUTED_VALUE"""),3.0)</f>
        <v>3</v>
      </c>
      <c r="F627" s="138">
        <f>IFERROR(__xludf.DUMMYFUNCTION("""COMPUTED_VALUE"""),4.0)</f>
        <v>4</v>
      </c>
      <c r="G627" s="138">
        <f>IFERROR(__xludf.DUMMYFUNCTION("""COMPUTED_VALUE"""),4.0)</f>
        <v>4</v>
      </c>
      <c r="H627" s="138">
        <f>IFERROR(__xludf.DUMMYFUNCTION("""COMPUTED_VALUE"""),3.0)</f>
        <v>3</v>
      </c>
      <c r="I627" s="138">
        <f>IFERROR(__xludf.DUMMYFUNCTION("""COMPUTED_VALUE"""),3.0)</f>
        <v>3</v>
      </c>
      <c r="J627" s="138">
        <f>IFERROR(__xludf.DUMMYFUNCTION("""COMPUTED_VALUE"""),2.0)</f>
        <v>2</v>
      </c>
      <c r="K627" s="138">
        <f>IFERROR(__xludf.DUMMYFUNCTION("""COMPUTED_VALUE"""),3.0)</f>
        <v>3</v>
      </c>
      <c r="L627" s="138">
        <v>22.0</v>
      </c>
      <c r="M627" s="140" t="str">
        <f>VLOOKUP(text(D627, "#"),'Master Table'!$A:$F, 6, FALSE)</f>
        <v>D-6</v>
      </c>
      <c r="N627" s="141" t="str">
        <f>IFERROR(__xludf.DUMMYFUNCTION("""COMPUTED_VALUE"""),"The presentation engaged important ideas about how these plays helped form a cultural response to the foundations of American society. I would encourage the student to proofread the presentation slides and provide a bit more context to some of the charact"&amp;"ers presented. ")</f>
        <v>The presentation engaged important ideas about how these plays helped form a cultural response to the foundations of American society. I would encourage the student to proofread the presentation slides and provide a bit more context to some of the characters presented. </v>
      </c>
      <c r="O627" s="142" t="str">
        <f t="shared" si="1"/>
        <v/>
      </c>
      <c r="P627" s="143" t="str">
        <f>IF(ISNA(VLOOKUP(CONCAT(M627,C627), 'Judge Count DO NOT EDIT'!H:H, 1, FALSE)), "ERROR","")</f>
        <v/>
      </c>
      <c r="Q627" s="141"/>
      <c r="R627" s="143"/>
      <c r="S627" s="139" t="str">
        <f t="shared" si="2"/>
        <v>1106295</v>
      </c>
      <c r="T627" s="141"/>
    </row>
    <row r="628">
      <c r="A628" s="137">
        <f>IFERROR(__xludf.DUMMYFUNCTION("""COMPUTED_VALUE"""),45352.67845086806)</f>
        <v>45352.67845</v>
      </c>
      <c r="B628" s="138" t="str">
        <f>IFERROR(__xludf.DUMMYFUNCTION("""COMPUTED_VALUE"""),"Gur Windmiller ")</f>
        <v>Gur Windmiller </v>
      </c>
      <c r="C628" s="138">
        <f>IFERROR(__xludf.DUMMYFUNCTION("""COMPUTED_VALUE"""),1217.0)</f>
        <v>1217</v>
      </c>
      <c r="D628" s="139">
        <f>IFERROR(__xludf.DUMMYFUNCTION("""COMPUTED_VALUE"""),295.0)</f>
        <v>295</v>
      </c>
      <c r="E628" s="138">
        <f>IFERROR(__xludf.DUMMYFUNCTION("""COMPUTED_VALUE"""),3.0)</f>
        <v>3</v>
      </c>
      <c r="F628" s="138">
        <f>IFERROR(__xludf.DUMMYFUNCTION("""COMPUTED_VALUE"""),4.0)</f>
        <v>4</v>
      </c>
      <c r="G628" s="138">
        <f>IFERROR(__xludf.DUMMYFUNCTION("""COMPUTED_VALUE"""),3.0)</f>
        <v>3</v>
      </c>
      <c r="H628" s="138">
        <f>IFERROR(__xludf.DUMMYFUNCTION("""COMPUTED_VALUE"""),3.0)</f>
        <v>3</v>
      </c>
      <c r="I628" s="138">
        <f>IFERROR(__xludf.DUMMYFUNCTION("""COMPUTED_VALUE"""),3.0)</f>
        <v>3</v>
      </c>
      <c r="J628" s="138">
        <f>IFERROR(__xludf.DUMMYFUNCTION("""COMPUTED_VALUE"""),2.0)</f>
        <v>2</v>
      </c>
      <c r="K628" s="138">
        <f>IFERROR(__xludf.DUMMYFUNCTION("""COMPUTED_VALUE"""),3.0)</f>
        <v>3</v>
      </c>
      <c r="L628" s="138">
        <v>21.0</v>
      </c>
      <c r="M628" s="140" t="str">
        <f>VLOOKUP(text(D628, "#"),'Master Table'!$A:$F, 6, FALSE)</f>
        <v>D-6</v>
      </c>
      <c r="N628" s="141"/>
      <c r="O628" s="142" t="str">
        <f t="shared" si="1"/>
        <v/>
      </c>
      <c r="P628" s="143" t="str">
        <f>IF(ISNA(VLOOKUP(CONCAT(M628,C628), 'Judge Count DO NOT EDIT'!H:H, 1, FALSE)), "ERROR","")</f>
        <v/>
      </c>
      <c r="Q628" s="141"/>
      <c r="R628" s="143"/>
      <c r="S628" s="139" t="str">
        <f t="shared" si="2"/>
        <v>1217295</v>
      </c>
      <c r="T628" s="141"/>
    </row>
    <row r="629">
      <c r="A629" s="137">
        <f>IFERROR(__xludf.DUMMYFUNCTION("""COMPUTED_VALUE"""),45352.7265064699)</f>
        <v>45352.72651</v>
      </c>
      <c r="B629" s="138" t="str">
        <f>IFERROR(__xludf.DUMMYFUNCTION("""COMPUTED_VALUE"""),"Erika Rodriguez")</f>
        <v>Erika Rodriguez</v>
      </c>
      <c r="C629" s="138">
        <f>IFERROR(__xludf.DUMMYFUNCTION("""COMPUTED_VALUE"""),1177.0)</f>
        <v>1177</v>
      </c>
      <c r="D629" s="139">
        <f>IFERROR(__xludf.DUMMYFUNCTION("""COMPUTED_VALUE"""),295.0)</f>
        <v>295</v>
      </c>
      <c r="E629" s="138">
        <f>IFERROR(__xludf.DUMMYFUNCTION("""COMPUTED_VALUE"""),2.0)</f>
        <v>2</v>
      </c>
      <c r="F629" s="138">
        <f>IFERROR(__xludf.DUMMYFUNCTION("""COMPUTED_VALUE"""),2.0)</f>
        <v>2</v>
      </c>
      <c r="G629" s="138">
        <f>IFERROR(__xludf.DUMMYFUNCTION("""COMPUTED_VALUE"""),2.0)</f>
        <v>2</v>
      </c>
      <c r="H629" s="138">
        <f>IFERROR(__xludf.DUMMYFUNCTION("""COMPUTED_VALUE"""),3.0)</f>
        <v>3</v>
      </c>
      <c r="I629" s="138">
        <f>IFERROR(__xludf.DUMMYFUNCTION("""COMPUTED_VALUE"""),3.0)</f>
        <v>3</v>
      </c>
      <c r="J629" s="138">
        <f>IFERROR(__xludf.DUMMYFUNCTION("""COMPUTED_VALUE"""),1.0)</f>
        <v>1</v>
      </c>
      <c r="K629" s="138">
        <f>IFERROR(__xludf.DUMMYFUNCTION("""COMPUTED_VALUE"""),2.0)</f>
        <v>2</v>
      </c>
      <c r="L629" s="138">
        <v>15.0</v>
      </c>
      <c r="M629" s="140" t="str">
        <f>VLOOKUP(text(D629, "#"),'Master Table'!$A:$F, 6, FALSE)</f>
        <v>D-6</v>
      </c>
      <c r="N629" s="141" t="str">
        <f>IFERROR(__xludf.DUMMYFUNCTION("""COMPUTED_VALUE"""),"Certainly an interesting topic, but while the student is clear in explaining that they are drawing together work on melodrama and the new context of a changing motion of democracy, it is unclear what their original contribution (even in the form of synthe"&amp;"sis) might be. They began the presentation by alluding to the construction of a national identity, but since the previous presentations had been on Mexico, Japan, etc., and Bluebeard at least originated in Europe, I had no idea what country they were refe"&amp;"rring to until the presentation was halfway through. It is also meaningful that “national identity” is highly limited in their timeframe of interest to a few former colonies. Perhaps some over-reliance on a single secondary source, and the student may ben"&amp;"efit from doing their own primary source research. The student rushed through the most meaningful slides. 10 minutes is indeed short but we are here to learn and enjoy — please slow down so we can savor your thoughts and build our own understandings of th"&amp;"em. Mentions middle class, I was also curious about working/lower/begging classes, any mention of enslaved groups, etc. ")</f>
        <v>Certainly an interesting topic, but while the student is clear in explaining that they are drawing together work on melodrama and the new context of a changing motion of democracy, it is unclear what their original contribution (even in the form of synthesis) might be. They began the presentation by alluding to the construction of a national identity, but since the previous presentations had been on Mexico, Japan, etc., and Bluebeard at least originated in Europe, I had no idea what country they were referring to until the presentation was halfway through. It is also meaningful that “national identity” is highly limited in their timeframe of interest to a few former colonies. Perhaps some over-reliance on a single secondary source, and the student may benefit from doing their own primary source research. The student rushed through the most meaningful slides. 10 minutes is indeed short but we are here to learn and enjoy — please slow down so we can savor your thoughts and build our own understandings of them. Mentions middle class, I was also curious about working/lower/begging classes, any mention of enslaved groups, etc. </v>
      </c>
      <c r="O629" s="142" t="str">
        <f t="shared" si="1"/>
        <v/>
      </c>
      <c r="P629" s="143" t="str">
        <f>IF(ISNA(VLOOKUP(CONCAT(M629,C629), 'Judge Count DO NOT EDIT'!H:H, 1, FALSE)), "ERROR","")</f>
        <v/>
      </c>
      <c r="Q629" s="141"/>
      <c r="R629" s="143"/>
      <c r="S629" s="139" t="str">
        <f t="shared" si="2"/>
        <v>1177295</v>
      </c>
      <c r="T629" s="141"/>
    </row>
    <row r="630">
      <c r="A630" s="137">
        <f>IFERROR(__xludf.DUMMYFUNCTION("""COMPUTED_VALUE"""),45352.69018806713)</f>
        <v>45352.69019</v>
      </c>
      <c r="B630" s="138" t="str">
        <f>IFERROR(__xludf.DUMMYFUNCTION("""COMPUTED_VALUE"""),"Dr. Soljour ")</f>
        <v>Dr. Soljour </v>
      </c>
      <c r="C630" s="138">
        <f>IFERROR(__xludf.DUMMYFUNCTION("""COMPUTED_VALUE"""),1106.0)</f>
        <v>1106</v>
      </c>
      <c r="D630" s="139">
        <f>IFERROR(__xludf.DUMMYFUNCTION("""COMPUTED_VALUE"""),296.0)</f>
        <v>296</v>
      </c>
      <c r="E630" s="138">
        <f>IFERROR(__xludf.DUMMYFUNCTION("""COMPUTED_VALUE"""),3.0)</f>
        <v>3</v>
      </c>
      <c r="F630" s="138">
        <f>IFERROR(__xludf.DUMMYFUNCTION("""COMPUTED_VALUE"""),4.0)</f>
        <v>4</v>
      </c>
      <c r="G630" s="138">
        <f>IFERROR(__xludf.DUMMYFUNCTION("""COMPUTED_VALUE"""),4.0)</f>
        <v>4</v>
      </c>
      <c r="H630" s="138">
        <f>IFERROR(__xludf.DUMMYFUNCTION("""COMPUTED_VALUE"""),2.0)</f>
        <v>2</v>
      </c>
      <c r="I630" s="138">
        <f>IFERROR(__xludf.DUMMYFUNCTION("""COMPUTED_VALUE"""),3.0)</f>
        <v>3</v>
      </c>
      <c r="J630" s="138">
        <f>IFERROR(__xludf.DUMMYFUNCTION("""COMPUTED_VALUE"""),3.0)</f>
        <v>3</v>
      </c>
      <c r="K630" s="138">
        <f>IFERROR(__xludf.DUMMYFUNCTION("""COMPUTED_VALUE"""),3.0)</f>
        <v>3</v>
      </c>
      <c r="L630" s="138">
        <v>22.0</v>
      </c>
      <c r="M630" s="140" t="str">
        <f>VLOOKUP(text(D630, "#"),'Master Table'!$A:$F, 6, FALSE)</f>
        <v>D-6</v>
      </c>
      <c r="N630" s="141" t="str">
        <f>IFERROR(__xludf.DUMMYFUNCTION("""COMPUTED_VALUE"""),"Presentation was clear and organized. It would be interesting to provide a bit more detail about selection of interviewees and how presenter is navigating notions of trauma. ")</f>
        <v>Presentation was clear and organized. It would be interesting to provide a bit more detail about selection of interviewees and how presenter is navigating notions of trauma. </v>
      </c>
      <c r="O630" s="142" t="str">
        <f t="shared" si="1"/>
        <v/>
      </c>
      <c r="P630" s="143" t="str">
        <f>IF(ISNA(VLOOKUP(CONCAT(M630,C630), 'Judge Count DO NOT EDIT'!H:H, 1, FALSE)), "ERROR","")</f>
        <v/>
      </c>
      <c r="Q630" s="141"/>
      <c r="R630" s="143"/>
      <c r="S630" s="139" t="str">
        <f t="shared" si="2"/>
        <v>1106296</v>
      </c>
      <c r="T630" s="141"/>
    </row>
    <row r="631">
      <c r="A631" s="137">
        <f>IFERROR(__xludf.DUMMYFUNCTION("""COMPUTED_VALUE"""),45352.69149486111)</f>
        <v>45352.69149</v>
      </c>
      <c r="B631" s="138" t="str">
        <f>IFERROR(__xludf.DUMMYFUNCTION("""COMPUTED_VALUE"""),"Gur Windmiller ")</f>
        <v>Gur Windmiller </v>
      </c>
      <c r="C631" s="138">
        <f>IFERROR(__xludf.DUMMYFUNCTION("""COMPUTED_VALUE"""),1217.0)</f>
        <v>1217</v>
      </c>
      <c r="D631" s="139">
        <f>IFERROR(__xludf.DUMMYFUNCTION("""COMPUTED_VALUE"""),296.0)</f>
        <v>296</v>
      </c>
      <c r="E631" s="138">
        <f>IFERROR(__xludf.DUMMYFUNCTION("""COMPUTED_VALUE"""),4.0)</f>
        <v>4</v>
      </c>
      <c r="F631" s="138">
        <f>IFERROR(__xludf.DUMMYFUNCTION("""COMPUTED_VALUE"""),2.0)</f>
        <v>2</v>
      </c>
      <c r="G631" s="138">
        <f>IFERROR(__xludf.DUMMYFUNCTION("""COMPUTED_VALUE"""),3.0)</f>
        <v>3</v>
      </c>
      <c r="H631" s="138">
        <f>IFERROR(__xludf.DUMMYFUNCTION("""COMPUTED_VALUE"""),2.0)</f>
        <v>2</v>
      </c>
      <c r="I631" s="138">
        <f>IFERROR(__xludf.DUMMYFUNCTION("""COMPUTED_VALUE"""),3.0)</f>
        <v>3</v>
      </c>
      <c r="J631" s="138">
        <f>IFERROR(__xludf.DUMMYFUNCTION("""COMPUTED_VALUE"""),2.0)</f>
        <v>2</v>
      </c>
      <c r="K631" s="138">
        <f>IFERROR(__xludf.DUMMYFUNCTION("""COMPUTED_VALUE"""),4.0)</f>
        <v>4</v>
      </c>
      <c r="L631" s="138">
        <v>20.0</v>
      </c>
      <c r="M631" s="140" t="str">
        <f>VLOOKUP(text(D631, "#"),'Master Table'!$A:$F, 6, FALSE)</f>
        <v>D-6</v>
      </c>
      <c r="N631" s="141"/>
      <c r="O631" s="142" t="str">
        <f t="shared" si="1"/>
        <v/>
      </c>
      <c r="P631" s="143" t="str">
        <f>IF(ISNA(VLOOKUP(CONCAT(M631,C631), 'Judge Count DO NOT EDIT'!H:H, 1, FALSE)), "ERROR","")</f>
        <v/>
      </c>
      <c r="Q631" s="141"/>
      <c r="R631" s="143"/>
      <c r="S631" s="139" t="str">
        <f t="shared" si="2"/>
        <v>1217296</v>
      </c>
      <c r="T631" s="141"/>
    </row>
    <row r="632">
      <c r="A632" s="137">
        <f>IFERROR(__xludf.DUMMYFUNCTION("""COMPUTED_VALUE"""),45352.69313612269)</f>
        <v>45352.69314</v>
      </c>
      <c r="B632" s="138" t="str">
        <f>IFERROR(__xludf.DUMMYFUNCTION("""COMPUTED_VALUE"""),"Bill Aaron")</f>
        <v>Bill Aaron</v>
      </c>
      <c r="C632" s="138">
        <f>IFERROR(__xludf.DUMMYFUNCTION("""COMPUTED_VALUE"""),1060.0)</f>
        <v>1060</v>
      </c>
      <c r="D632" s="139">
        <f>IFERROR(__xludf.DUMMYFUNCTION("""COMPUTED_VALUE"""),296.0)</f>
        <v>296</v>
      </c>
      <c r="E632" s="138">
        <f>IFERROR(__xludf.DUMMYFUNCTION("""COMPUTED_VALUE"""),3.0)</f>
        <v>3</v>
      </c>
      <c r="F632" s="138">
        <f>IFERROR(__xludf.DUMMYFUNCTION("""COMPUTED_VALUE"""),2.0)</f>
        <v>2</v>
      </c>
      <c r="G632" s="138">
        <f>IFERROR(__xludf.DUMMYFUNCTION("""COMPUTED_VALUE"""),3.0)</f>
        <v>3</v>
      </c>
      <c r="H632" s="138">
        <f>IFERROR(__xludf.DUMMYFUNCTION("""COMPUTED_VALUE"""),3.0)</f>
        <v>3</v>
      </c>
      <c r="I632" s="138">
        <f>IFERROR(__xludf.DUMMYFUNCTION("""COMPUTED_VALUE"""),2.0)</f>
        <v>2</v>
      </c>
      <c r="J632" s="138">
        <f>IFERROR(__xludf.DUMMYFUNCTION("""COMPUTED_VALUE"""),2.0)</f>
        <v>2</v>
      </c>
      <c r="K632" s="138">
        <f>IFERROR(__xludf.DUMMYFUNCTION("""COMPUTED_VALUE"""),3.0)</f>
        <v>3</v>
      </c>
      <c r="L632" s="138">
        <v>18.0</v>
      </c>
      <c r="M632" s="140" t="str">
        <f>VLOOKUP(text(D632, "#"),'Master Table'!$A:$F, 6, FALSE)</f>
        <v>D-6</v>
      </c>
      <c r="N632" s="141"/>
      <c r="O632" s="142" t="str">
        <f t="shared" si="1"/>
        <v/>
      </c>
      <c r="P632" s="143" t="str">
        <f>IF(ISNA(VLOOKUP(CONCAT(M632,C632), 'Judge Count DO NOT EDIT'!H:H, 1, FALSE)), "ERROR","")</f>
        <v/>
      </c>
      <c r="Q632" s="141"/>
      <c r="R632" s="143"/>
      <c r="S632" s="139" t="str">
        <f t="shared" si="2"/>
        <v>1060296</v>
      </c>
      <c r="T632" s="141"/>
    </row>
    <row r="633">
      <c r="A633" s="137">
        <f>IFERROR(__xludf.DUMMYFUNCTION("""COMPUTED_VALUE"""),45352.73372954861)</f>
        <v>45352.73373</v>
      </c>
      <c r="B633" s="138" t="str">
        <f>IFERROR(__xludf.DUMMYFUNCTION("""COMPUTED_VALUE"""),"Erika Rodriguez")</f>
        <v>Erika Rodriguez</v>
      </c>
      <c r="C633" s="138">
        <f>IFERROR(__xludf.DUMMYFUNCTION("""COMPUTED_VALUE"""),1177.0)</f>
        <v>1177</v>
      </c>
      <c r="D633" s="139">
        <f>IFERROR(__xludf.DUMMYFUNCTION("""COMPUTED_VALUE"""),296.0)</f>
        <v>296</v>
      </c>
      <c r="E633" s="138">
        <f>IFERROR(__xludf.DUMMYFUNCTION("""COMPUTED_VALUE"""),5.0)</f>
        <v>5</v>
      </c>
      <c r="F633" s="138">
        <f>IFERROR(__xludf.DUMMYFUNCTION("""COMPUTED_VALUE"""),5.0)</f>
        <v>5</v>
      </c>
      <c r="G633" s="138">
        <f>IFERROR(__xludf.DUMMYFUNCTION("""COMPUTED_VALUE"""),5.0)</f>
        <v>5</v>
      </c>
      <c r="H633" s="138">
        <f>IFERROR(__xludf.DUMMYFUNCTION("""COMPUTED_VALUE"""),4.0)</f>
        <v>4</v>
      </c>
      <c r="I633" s="138">
        <f>IFERROR(__xludf.DUMMYFUNCTION("""COMPUTED_VALUE"""),4.0)</f>
        <v>4</v>
      </c>
      <c r="J633" s="138">
        <f>IFERROR(__xludf.DUMMYFUNCTION("""COMPUTED_VALUE"""),4.0)</f>
        <v>4</v>
      </c>
      <c r="K633" s="138">
        <f>IFERROR(__xludf.DUMMYFUNCTION("""COMPUTED_VALUE"""),4.0)</f>
        <v>4</v>
      </c>
      <c r="L633" s="138">
        <v>31.0</v>
      </c>
      <c r="M633" s="140" t="str">
        <f>VLOOKUP(text(D633, "#"),'Master Table'!$A:$F, 6, FALSE)</f>
        <v>D-6</v>
      </c>
      <c r="N633" s="141" t="str">
        <f>IFERROR(__xludf.DUMMYFUNCTION("""COMPUTED_VALUE"""),"Excellent job at identifying an important gap and potential significance. However, the question of IRB is a crucial one, as it can take years for IRB approval regarding human subjects and trauma. It would be horrible for the research to end up being unusa"&amp;"ble due to this problem. Phenomenal presentation style in terms of professionalism, organization, hook; however, please be louder. ")</f>
        <v>Excellent job at identifying an important gap and potential significance. However, the question of IRB is a crucial one, as it can take years for IRB approval regarding human subjects and trauma. It would be horrible for the research to end up being unusable due to this problem. Phenomenal presentation style in terms of professionalism, organization, hook; however, please be louder. </v>
      </c>
      <c r="O633" s="142" t="str">
        <f t="shared" si="1"/>
        <v/>
      </c>
      <c r="P633" s="143" t="str">
        <f>IF(ISNA(VLOOKUP(CONCAT(M633,C633), 'Judge Count DO NOT EDIT'!H:H, 1, FALSE)), "ERROR","")</f>
        <v/>
      </c>
      <c r="Q633" s="144"/>
      <c r="R633" s="143"/>
      <c r="S633" s="139" t="str">
        <f t="shared" si="2"/>
        <v>1177296</v>
      </c>
      <c r="T633" s="141"/>
    </row>
    <row r="634">
      <c r="A634" s="137">
        <f>IFERROR(__xludf.DUMMYFUNCTION("""COMPUTED_VALUE"""),45352.70566443287)</f>
        <v>45352.70566</v>
      </c>
      <c r="B634" s="138" t="str">
        <f>IFERROR(__xludf.DUMMYFUNCTION("""COMPUTED_VALUE"""),"Gur Windmiller")</f>
        <v>Gur Windmiller</v>
      </c>
      <c r="C634" s="138">
        <f>IFERROR(__xludf.DUMMYFUNCTION("""COMPUTED_VALUE"""),1217.0)</f>
        <v>1217</v>
      </c>
      <c r="D634" s="139">
        <f>IFERROR(__xludf.DUMMYFUNCTION("""COMPUTED_VALUE"""),297.0)</f>
        <v>297</v>
      </c>
      <c r="E634" s="138">
        <f>IFERROR(__xludf.DUMMYFUNCTION("""COMPUTED_VALUE"""),4.0)</f>
        <v>4</v>
      </c>
      <c r="F634" s="138">
        <f>IFERROR(__xludf.DUMMYFUNCTION("""COMPUTED_VALUE"""),4.0)</f>
        <v>4</v>
      </c>
      <c r="G634" s="138">
        <f>IFERROR(__xludf.DUMMYFUNCTION("""COMPUTED_VALUE"""),4.0)</f>
        <v>4</v>
      </c>
      <c r="H634" s="138">
        <f>IFERROR(__xludf.DUMMYFUNCTION("""COMPUTED_VALUE"""),3.0)</f>
        <v>3</v>
      </c>
      <c r="I634" s="138">
        <f>IFERROR(__xludf.DUMMYFUNCTION("""COMPUTED_VALUE"""),4.0)</f>
        <v>4</v>
      </c>
      <c r="J634" s="138">
        <f>IFERROR(__xludf.DUMMYFUNCTION("""COMPUTED_VALUE"""),5.0)</f>
        <v>5</v>
      </c>
      <c r="K634" s="138">
        <f>IFERROR(__xludf.DUMMYFUNCTION("""COMPUTED_VALUE"""),5.0)</f>
        <v>5</v>
      </c>
      <c r="L634" s="138">
        <v>29.0</v>
      </c>
      <c r="M634" s="140" t="str">
        <f>VLOOKUP(text(D634, "#"),'Master Table'!$A:$F, 6, FALSE)</f>
        <v>D-6</v>
      </c>
      <c r="N634" s="141"/>
      <c r="O634" s="142" t="str">
        <f t="shared" si="1"/>
        <v/>
      </c>
      <c r="P634" s="143" t="str">
        <f>IF(ISNA(VLOOKUP(CONCAT(M634,C634), 'Judge Count DO NOT EDIT'!H:H, 1, FALSE)), "ERROR","")</f>
        <v/>
      </c>
      <c r="Q634" s="141"/>
      <c r="R634" s="143"/>
      <c r="S634" s="139" t="str">
        <f t="shared" si="2"/>
        <v>1217297</v>
      </c>
      <c r="T634" s="141"/>
    </row>
    <row r="635">
      <c r="A635" s="137">
        <f>IFERROR(__xludf.DUMMYFUNCTION("""COMPUTED_VALUE"""),45352.70634741898)</f>
        <v>45352.70635</v>
      </c>
      <c r="B635" s="138" t="str">
        <f>IFERROR(__xludf.DUMMYFUNCTION("""COMPUTED_VALUE"""),"Dr. Soljour")</f>
        <v>Dr. Soljour</v>
      </c>
      <c r="C635" s="138">
        <f>IFERROR(__xludf.DUMMYFUNCTION("""COMPUTED_VALUE"""),1106.0)</f>
        <v>1106</v>
      </c>
      <c r="D635" s="139">
        <f>IFERROR(__xludf.DUMMYFUNCTION("""COMPUTED_VALUE"""),297.0)</f>
        <v>297</v>
      </c>
      <c r="E635" s="138">
        <f>IFERROR(__xludf.DUMMYFUNCTION("""COMPUTED_VALUE"""),4.0)</f>
        <v>4</v>
      </c>
      <c r="F635" s="138">
        <f>IFERROR(__xludf.DUMMYFUNCTION("""COMPUTED_VALUE"""),4.0)</f>
        <v>4</v>
      </c>
      <c r="G635" s="138">
        <f>IFERROR(__xludf.DUMMYFUNCTION("""COMPUTED_VALUE"""),4.0)</f>
        <v>4</v>
      </c>
      <c r="H635" s="138">
        <f>IFERROR(__xludf.DUMMYFUNCTION("""COMPUTED_VALUE"""),4.0)</f>
        <v>4</v>
      </c>
      <c r="I635" s="138">
        <f>IFERROR(__xludf.DUMMYFUNCTION("""COMPUTED_VALUE"""),4.0)</f>
        <v>4</v>
      </c>
      <c r="J635" s="138">
        <f>IFERROR(__xludf.DUMMYFUNCTION("""COMPUTED_VALUE"""),5.0)</f>
        <v>5</v>
      </c>
      <c r="K635" s="138">
        <f>IFERROR(__xludf.DUMMYFUNCTION("""COMPUTED_VALUE"""),5.0)</f>
        <v>5</v>
      </c>
      <c r="L635" s="138">
        <v>30.0</v>
      </c>
      <c r="M635" s="140" t="str">
        <f>VLOOKUP(text(D635, "#"),'Master Table'!$A:$F, 6, FALSE)</f>
        <v>D-6</v>
      </c>
      <c r="N635" s="141" t="str">
        <f>IFERROR(__xludf.DUMMYFUNCTION("""COMPUTED_VALUE"""),"Presentation was well organized, clear and offered a clear action plan for supporting conservation efforts. It would be interesting for student to present some ideas/models for better presentation of signage. ")</f>
        <v>Presentation was well organized, clear and offered a clear action plan for supporting conservation efforts. It would be interesting for student to present some ideas/models for better presentation of signage. </v>
      </c>
      <c r="O635" s="142" t="str">
        <f t="shared" si="1"/>
        <v/>
      </c>
      <c r="P635" s="143" t="str">
        <f>IF(ISNA(VLOOKUP(CONCAT(M635,C635), 'Judge Count DO NOT EDIT'!H:H, 1, FALSE)), "ERROR","")</f>
        <v/>
      </c>
      <c r="Q635" s="144"/>
      <c r="R635" s="143"/>
      <c r="S635" s="139" t="str">
        <f t="shared" si="2"/>
        <v>1106297</v>
      </c>
      <c r="T635" s="141"/>
    </row>
    <row r="636">
      <c r="A636" s="137">
        <f>IFERROR(__xludf.DUMMYFUNCTION("""COMPUTED_VALUE"""),45352.71403423611)</f>
        <v>45352.71403</v>
      </c>
      <c r="B636" s="138" t="str">
        <f>IFERROR(__xludf.DUMMYFUNCTION("""COMPUTED_VALUE"""),"Bill Aaron")</f>
        <v>Bill Aaron</v>
      </c>
      <c r="C636" s="138">
        <f>IFERROR(__xludf.DUMMYFUNCTION("""COMPUTED_VALUE"""),1060.0)</f>
        <v>1060</v>
      </c>
      <c r="D636" s="139">
        <f>IFERROR(__xludf.DUMMYFUNCTION("""COMPUTED_VALUE"""),297.0)</f>
        <v>297</v>
      </c>
      <c r="E636" s="138">
        <f>IFERROR(__xludf.DUMMYFUNCTION("""COMPUTED_VALUE"""),4.0)</f>
        <v>4</v>
      </c>
      <c r="F636" s="138">
        <f>IFERROR(__xludf.DUMMYFUNCTION("""COMPUTED_VALUE"""),3.0)</f>
        <v>3</v>
      </c>
      <c r="G636" s="138">
        <f>IFERROR(__xludf.DUMMYFUNCTION("""COMPUTED_VALUE"""),3.0)</f>
        <v>3</v>
      </c>
      <c r="H636" s="138">
        <f>IFERROR(__xludf.DUMMYFUNCTION("""COMPUTED_VALUE"""),2.0)</f>
        <v>2</v>
      </c>
      <c r="I636" s="138">
        <f>IFERROR(__xludf.DUMMYFUNCTION("""COMPUTED_VALUE"""),3.0)</f>
        <v>3</v>
      </c>
      <c r="J636" s="138">
        <f>IFERROR(__xludf.DUMMYFUNCTION("""COMPUTED_VALUE"""),3.0)</f>
        <v>3</v>
      </c>
      <c r="K636" s="138">
        <f>IFERROR(__xludf.DUMMYFUNCTION("""COMPUTED_VALUE"""),3.0)</f>
        <v>3</v>
      </c>
      <c r="L636" s="138">
        <v>21.0</v>
      </c>
      <c r="M636" s="140" t="str">
        <f>VLOOKUP(text(D636, "#"),'Master Table'!$A:$F, 6, FALSE)</f>
        <v>D-6</v>
      </c>
      <c r="N636" s="141"/>
      <c r="O636" s="142" t="str">
        <f t="shared" si="1"/>
        <v/>
      </c>
      <c r="P636" s="143" t="str">
        <f>IF(ISNA(VLOOKUP(CONCAT(M636,C636), 'Judge Count DO NOT EDIT'!H:H, 1, FALSE)), "ERROR","")</f>
        <v/>
      </c>
      <c r="Q636" s="141"/>
      <c r="R636" s="143"/>
      <c r="S636" s="139" t="str">
        <f t="shared" si="2"/>
        <v>1060297</v>
      </c>
      <c r="T636" s="141"/>
    </row>
    <row r="637">
      <c r="A637" s="137">
        <f>IFERROR(__xludf.DUMMYFUNCTION("""COMPUTED_VALUE"""),45352.73579146991)</f>
        <v>45352.73579</v>
      </c>
      <c r="B637" s="138" t="str">
        <f>IFERROR(__xludf.DUMMYFUNCTION("""COMPUTED_VALUE"""),"Erika Rodriguez")</f>
        <v>Erika Rodriguez</v>
      </c>
      <c r="C637" s="138">
        <f>IFERROR(__xludf.DUMMYFUNCTION("""COMPUTED_VALUE"""),1177.0)</f>
        <v>1177</v>
      </c>
      <c r="D637" s="139">
        <f>IFERROR(__xludf.DUMMYFUNCTION("""COMPUTED_VALUE"""),297.0)</f>
        <v>297</v>
      </c>
      <c r="E637" s="138">
        <f>IFERROR(__xludf.DUMMYFUNCTION("""COMPUTED_VALUE"""),4.0)</f>
        <v>4</v>
      </c>
      <c r="F637" s="138">
        <f>IFERROR(__xludf.DUMMYFUNCTION("""COMPUTED_VALUE"""),4.0)</f>
        <v>4</v>
      </c>
      <c r="G637" s="138">
        <f>IFERROR(__xludf.DUMMYFUNCTION("""COMPUTED_VALUE"""),4.0)</f>
        <v>4</v>
      </c>
      <c r="H637" s="138">
        <f>IFERROR(__xludf.DUMMYFUNCTION("""COMPUTED_VALUE"""),1.0)</f>
        <v>1</v>
      </c>
      <c r="I637" s="138">
        <f>IFERROR(__xludf.DUMMYFUNCTION("""COMPUTED_VALUE"""),4.0)</f>
        <v>4</v>
      </c>
      <c r="J637" s="138">
        <f>IFERROR(__xludf.DUMMYFUNCTION("""COMPUTED_VALUE"""),4.0)</f>
        <v>4</v>
      </c>
      <c r="K637" s="138">
        <f>IFERROR(__xludf.DUMMYFUNCTION("""COMPUTED_VALUE"""),2.0)</f>
        <v>2</v>
      </c>
      <c r="L637" s="138">
        <v>23.0</v>
      </c>
      <c r="M637" s="140" t="str">
        <f>VLOOKUP(text(D637, "#"),'Master Table'!$A:$F, 6, FALSE)</f>
        <v>D-6</v>
      </c>
      <c r="N637" s="141" t="str">
        <f>IFERROR(__xludf.DUMMYFUNCTION("""COMPUTED_VALUE"""),"The research questions are interesting and important, as is the takeaway that signs should be more accessible and have a clearer call to action. However, I am unclear why so much research had to be done to make those claims. In the humanities, the final t"&amp;"akeaway from the project goes without saying. If there is something deeper here, it should be more clearly articulated. ")</f>
        <v>The research questions are interesting and important, as is the takeaway that signs should be more accessible and have a clearer call to action. However, I am unclear why so much research had to be done to make those claims. In the humanities, the final takeaway from the project goes without saying. If there is something deeper here, it should be more clearly articulated. </v>
      </c>
      <c r="O637" s="142" t="str">
        <f t="shared" si="1"/>
        <v/>
      </c>
      <c r="P637" s="143" t="str">
        <f>IF(ISNA(VLOOKUP(CONCAT(M637,C637), 'Judge Count DO NOT EDIT'!H:H, 1, FALSE)), "ERROR","")</f>
        <v/>
      </c>
      <c r="Q637" s="141"/>
      <c r="R637" s="143"/>
      <c r="S637" s="139" t="str">
        <f t="shared" si="2"/>
        <v>1177297</v>
      </c>
      <c r="T637" s="141"/>
    </row>
    <row r="638">
      <c r="A638" s="137">
        <f>IFERROR(__xludf.DUMMYFUNCTION("""COMPUTED_VALUE"""),45352.6362934375)</f>
        <v>45352.63629</v>
      </c>
      <c r="B638" s="138" t="str">
        <f>IFERROR(__xludf.DUMMYFUNCTION("""COMPUTED_VALUE"""),"Steve Barbone")</f>
        <v>Steve Barbone</v>
      </c>
      <c r="C638" s="138">
        <f>IFERROR(__xludf.DUMMYFUNCTION("""COMPUTED_VALUE"""),1181.0)</f>
        <v>1181</v>
      </c>
      <c r="D638" s="139">
        <f>IFERROR(__xludf.DUMMYFUNCTION("""COMPUTED_VALUE"""),298.0)</f>
        <v>298</v>
      </c>
      <c r="E638" s="138">
        <f>IFERROR(__xludf.DUMMYFUNCTION("""COMPUTED_VALUE"""),1.0)</f>
        <v>1</v>
      </c>
      <c r="F638" s="138">
        <f>IFERROR(__xludf.DUMMYFUNCTION("""COMPUTED_VALUE"""),1.0)</f>
        <v>1</v>
      </c>
      <c r="G638" s="138">
        <f>IFERROR(__xludf.DUMMYFUNCTION("""COMPUTED_VALUE"""),1.0)</f>
        <v>1</v>
      </c>
      <c r="H638" s="138">
        <f>IFERROR(__xludf.DUMMYFUNCTION("""COMPUTED_VALUE"""),1.0)</f>
        <v>1</v>
      </c>
      <c r="I638" s="138">
        <f>IFERROR(__xludf.DUMMYFUNCTION("""COMPUTED_VALUE"""),1.0)</f>
        <v>1</v>
      </c>
      <c r="J638" s="138">
        <f>IFERROR(__xludf.DUMMYFUNCTION("""COMPUTED_VALUE"""),1.0)</f>
        <v>1</v>
      </c>
      <c r="K638" s="138">
        <f>IFERROR(__xludf.DUMMYFUNCTION("""COMPUTED_VALUE"""),1.0)</f>
        <v>1</v>
      </c>
      <c r="L638" s="138">
        <v>7.0</v>
      </c>
      <c r="M638" s="140" t="str">
        <f>VLOOKUP(text(D638, "#"),'Master Table'!$A:$F, 6, FALSE)</f>
        <v>D-7</v>
      </c>
      <c r="N638" s="141" t="str">
        <f>IFERROR(__xludf.DUMMYFUNCTION("""COMPUTED_VALUE"""),"presenter was unable to present")</f>
        <v>presenter was unable to present</v>
      </c>
      <c r="O638" s="142" t="str">
        <f t="shared" si="1"/>
        <v/>
      </c>
      <c r="P638" s="143" t="str">
        <f>IF(ISNA(VLOOKUP(CONCAT(M638,C638), 'Judge Count DO NOT EDIT'!H:H, 1, FALSE)), "ERROR","")</f>
        <v/>
      </c>
      <c r="Q638" s="141"/>
      <c r="R638" s="143"/>
      <c r="S638" s="139" t="str">
        <f t="shared" si="2"/>
        <v>1181298</v>
      </c>
      <c r="T638" s="141"/>
    </row>
    <row r="639">
      <c r="A639" s="137">
        <f>IFERROR(__xludf.DUMMYFUNCTION("""COMPUTED_VALUE"""),45352.653062592595)</f>
        <v>45352.65306</v>
      </c>
      <c r="B639" s="138" t="str">
        <f>IFERROR(__xludf.DUMMYFUNCTION("""COMPUTED_VALUE"""),"Wawrytko")</f>
        <v>Wawrytko</v>
      </c>
      <c r="C639" s="138">
        <f>IFERROR(__xludf.DUMMYFUNCTION("""COMPUTED_VALUE"""),1004.0)</f>
        <v>1004</v>
      </c>
      <c r="D639" s="139">
        <f>IFERROR(__xludf.DUMMYFUNCTION("""COMPUTED_VALUE"""),299.0)</f>
        <v>299</v>
      </c>
      <c r="E639" s="138">
        <f>IFERROR(__xludf.DUMMYFUNCTION("""COMPUTED_VALUE"""),4.0)</f>
        <v>4</v>
      </c>
      <c r="F639" s="138">
        <f>IFERROR(__xludf.DUMMYFUNCTION("""COMPUTED_VALUE"""),4.0)</f>
        <v>4</v>
      </c>
      <c r="G639" s="138">
        <f>IFERROR(__xludf.DUMMYFUNCTION("""COMPUTED_VALUE"""),4.0)</f>
        <v>4</v>
      </c>
      <c r="H639" s="138">
        <f>IFERROR(__xludf.DUMMYFUNCTION("""COMPUTED_VALUE"""),3.0)</f>
        <v>3</v>
      </c>
      <c r="I639" s="138">
        <f>IFERROR(__xludf.DUMMYFUNCTION("""COMPUTED_VALUE"""),3.0)</f>
        <v>3</v>
      </c>
      <c r="J639" s="138">
        <f>IFERROR(__xludf.DUMMYFUNCTION("""COMPUTED_VALUE"""),3.0)</f>
        <v>3</v>
      </c>
      <c r="K639" s="138">
        <f>IFERROR(__xludf.DUMMYFUNCTION("""COMPUTED_VALUE"""),4.0)</f>
        <v>4</v>
      </c>
      <c r="L639" s="138">
        <v>25.0</v>
      </c>
      <c r="M639" s="140" t="str">
        <f>VLOOKUP(text(D639, "#"),'Master Table'!$A:$F, 6, FALSE)</f>
        <v>D-7</v>
      </c>
      <c r="N639" s="141"/>
      <c r="O639" s="142" t="str">
        <f t="shared" si="1"/>
        <v/>
      </c>
      <c r="P639" s="143" t="str">
        <f>IF(ISNA(VLOOKUP(CONCAT(M639,C639), 'Judge Count DO NOT EDIT'!H:H, 1, FALSE)), "ERROR","")</f>
        <v/>
      </c>
      <c r="Q639" s="141"/>
      <c r="R639" s="143"/>
      <c r="S639" s="139" t="str">
        <f t="shared" si="2"/>
        <v>1004299</v>
      </c>
      <c r="T639" s="141"/>
    </row>
    <row r="640">
      <c r="A640" s="137">
        <f>IFERROR(__xludf.DUMMYFUNCTION("""COMPUTED_VALUE"""),45352.65534820602)</f>
        <v>45352.65535</v>
      </c>
      <c r="B640" s="138" t="str">
        <f>IFERROR(__xludf.DUMMYFUNCTION("""COMPUTED_VALUE"""),"Steve Barbone")</f>
        <v>Steve Barbone</v>
      </c>
      <c r="C640" s="138">
        <f>IFERROR(__xludf.DUMMYFUNCTION("""COMPUTED_VALUE"""),1181.0)</f>
        <v>1181</v>
      </c>
      <c r="D640" s="139">
        <f>IFERROR(__xludf.DUMMYFUNCTION("""COMPUTED_VALUE"""),299.0)</f>
        <v>299</v>
      </c>
      <c r="E640" s="138">
        <f>IFERROR(__xludf.DUMMYFUNCTION("""COMPUTED_VALUE"""),3.0)</f>
        <v>3</v>
      </c>
      <c r="F640" s="138">
        <f>IFERROR(__xludf.DUMMYFUNCTION("""COMPUTED_VALUE"""),4.0)</f>
        <v>4</v>
      </c>
      <c r="G640" s="138">
        <f>IFERROR(__xludf.DUMMYFUNCTION("""COMPUTED_VALUE"""),3.0)</f>
        <v>3</v>
      </c>
      <c r="H640" s="138">
        <f>IFERROR(__xludf.DUMMYFUNCTION("""COMPUTED_VALUE"""),4.0)</f>
        <v>4</v>
      </c>
      <c r="I640" s="138">
        <f>IFERROR(__xludf.DUMMYFUNCTION("""COMPUTED_VALUE"""),3.0)</f>
        <v>3</v>
      </c>
      <c r="J640" s="138">
        <f>IFERROR(__xludf.DUMMYFUNCTION("""COMPUTED_VALUE"""),3.0)</f>
        <v>3</v>
      </c>
      <c r="K640" s="138">
        <f>IFERROR(__xludf.DUMMYFUNCTION("""COMPUTED_VALUE"""),4.0)</f>
        <v>4</v>
      </c>
      <c r="L640" s="138">
        <v>24.0</v>
      </c>
      <c r="M640" s="140" t="str">
        <f>VLOOKUP(text(D640, "#"),'Master Table'!$A:$F, 6, FALSE)</f>
        <v>D-7</v>
      </c>
      <c r="N640" s="141" t="str">
        <f>IFERROR(__xludf.DUMMYFUNCTION("""COMPUTED_VALUE"""),"very nice: you use some terms like ""colorway"" that might want an explanation. Interesting presentation and question. The slides were very captivating and helped but also may have distracted us viewers. If you had more time, give time for audience to che"&amp;"ck out the slides and be sure to refer explicitly to this or that aspect of them. Overall, nice job.")</f>
        <v>very nice: you use some terms like "colorway" that might want an explanation. Interesting presentation and question. The slides were very captivating and helped but also may have distracted us viewers. If you had more time, give time for audience to check out the slides and be sure to refer explicitly to this or that aspect of them. Overall, nice job.</v>
      </c>
      <c r="O640" s="142" t="str">
        <f t="shared" si="1"/>
        <v/>
      </c>
      <c r="P640" s="143" t="str">
        <f>IF(ISNA(VLOOKUP(CONCAT(M640,C640), 'Judge Count DO NOT EDIT'!H:H, 1, FALSE)), "ERROR","")</f>
        <v/>
      </c>
      <c r="Q640" s="141"/>
      <c r="R640" s="143"/>
      <c r="S640" s="139" t="str">
        <f t="shared" si="2"/>
        <v>1181299</v>
      </c>
      <c r="T640" s="141"/>
    </row>
    <row r="641">
      <c r="A641" s="137">
        <f>IFERROR(__xludf.DUMMYFUNCTION("""COMPUTED_VALUE"""),45352.68976878472)</f>
        <v>45352.68977</v>
      </c>
      <c r="B641" s="138" t="str">
        <f>IFERROR(__xludf.DUMMYFUNCTION("""COMPUTED_VALUE"""),"Charles Dintrone ")</f>
        <v>Charles Dintrone </v>
      </c>
      <c r="C641" s="138">
        <f>IFERROR(__xludf.DUMMYFUNCTION("""COMPUTED_VALUE"""),1007.0)</f>
        <v>1007</v>
      </c>
      <c r="D641" s="139">
        <f>IFERROR(__xludf.DUMMYFUNCTION("""COMPUTED_VALUE"""),299.0)</f>
        <v>299</v>
      </c>
      <c r="E641" s="138">
        <f>IFERROR(__xludf.DUMMYFUNCTION("""COMPUTED_VALUE"""),4.0)</f>
        <v>4</v>
      </c>
      <c r="F641" s="138">
        <f>IFERROR(__xludf.DUMMYFUNCTION("""COMPUTED_VALUE"""),5.0)</f>
        <v>5</v>
      </c>
      <c r="G641" s="138">
        <f>IFERROR(__xludf.DUMMYFUNCTION("""COMPUTED_VALUE"""),5.0)</f>
        <v>5</v>
      </c>
      <c r="H641" s="138">
        <f>IFERROR(__xludf.DUMMYFUNCTION("""COMPUTED_VALUE"""),5.0)</f>
        <v>5</v>
      </c>
      <c r="I641" s="138">
        <f>IFERROR(__xludf.DUMMYFUNCTION("""COMPUTED_VALUE"""),4.0)</f>
        <v>4</v>
      </c>
      <c r="J641" s="138">
        <f>IFERROR(__xludf.DUMMYFUNCTION("""COMPUTED_VALUE"""),4.0)</f>
        <v>4</v>
      </c>
      <c r="K641" s="138">
        <f>IFERROR(__xludf.DUMMYFUNCTION("""COMPUTED_VALUE"""),5.0)</f>
        <v>5</v>
      </c>
      <c r="L641" s="138">
        <v>32.0</v>
      </c>
      <c r="M641" s="140" t="str">
        <f>VLOOKUP(text(D641, "#"),'Master Table'!$A:$F, 6, FALSE)</f>
        <v>D-7</v>
      </c>
      <c r="N641" s="141"/>
      <c r="O641" s="142" t="str">
        <f t="shared" si="1"/>
        <v/>
      </c>
      <c r="P641" s="143" t="str">
        <f>IF(ISNA(VLOOKUP(CONCAT(M641,C641), 'Judge Count DO NOT EDIT'!H:H, 1, FALSE)), "ERROR","")</f>
        <v/>
      </c>
      <c r="Q641" s="141"/>
      <c r="R641" s="143"/>
      <c r="S641" s="139" t="str">
        <f t="shared" si="2"/>
        <v>1007299</v>
      </c>
      <c r="T641" s="141"/>
    </row>
    <row r="642">
      <c r="A642" s="137">
        <f>IFERROR(__xludf.DUMMYFUNCTION("""COMPUTED_VALUE"""),45352.75659653935)</f>
        <v>45352.7566</v>
      </c>
      <c r="B642" s="138" t="str">
        <f>IFERROR(__xludf.DUMMYFUNCTION("""COMPUTED_VALUE"""),"Jess Whatcott")</f>
        <v>Jess Whatcott</v>
      </c>
      <c r="C642" s="138">
        <f>IFERROR(__xludf.DUMMYFUNCTION("""COMPUTED_VALUE"""),1093.0)</f>
        <v>1093</v>
      </c>
      <c r="D642" s="139">
        <f>IFERROR(__xludf.DUMMYFUNCTION("""COMPUTED_VALUE"""),299.0)</f>
        <v>299</v>
      </c>
      <c r="E642" s="138">
        <f>IFERROR(__xludf.DUMMYFUNCTION("""COMPUTED_VALUE"""),5.0)</f>
        <v>5</v>
      </c>
      <c r="F642" s="138">
        <f>IFERROR(__xludf.DUMMYFUNCTION("""COMPUTED_VALUE"""),4.0)</f>
        <v>4</v>
      </c>
      <c r="G642" s="138">
        <f>IFERROR(__xludf.DUMMYFUNCTION("""COMPUTED_VALUE"""),4.0)</f>
        <v>4</v>
      </c>
      <c r="H642" s="138">
        <f>IFERROR(__xludf.DUMMYFUNCTION("""COMPUTED_VALUE"""),4.0)</f>
        <v>4</v>
      </c>
      <c r="I642" s="138">
        <f>IFERROR(__xludf.DUMMYFUNCTION("""COMPUTED_VALUE"""),5.0)</f>
        <v>5</v>
      </c>
      <c r="J642" s="138">
        <f>IFERROR(__xludf.DUMMYFUNCTION("""COMPUTED_VALUE"""),5.0)</f>
        <v>5</v>
      </c>
      <c r="K642" s="138">
        <f>IFERROR(__xludf.DUMMYFUNCTION("""COMPUTED_VALUE"""),4.0)</f>
        <v>4</v>
      </c>
      <c r="L642" s="138">
        <v>31.0</v>
      </c>
      <c r="M642" s="140" t="str">
        <f>VLOOKUP(text(D642, "#"),'Master Table'!$A:$F, 6, FALSE)</f>
        <v>D-7</v>
      </c>
      <c r="N642" s="141" t="str">
        <f>IFERROR(__xludf.DUMMYFUNCTION("""COMPUTED_VALUE"""),"Well-rehearsed and confident presentation. 
Clear research questions and methodology, but I would have liked to have a slide that matched what the presenter was saying.
Strongly grounded in academic literature.
Really interesting topic with lots of exciti"&amp;"ng examples.
Great response to questions, especially the question about methodology -- add your answer to that question to your presentation. 
Many people are going to be very interested in this.
Think more about gender and race!")</f>
        <v>Well-rehearsed and confident presentation. 
Clear research questions and methodology, but I would have liked to have a slide that matched what the presenter was saying.
Strongly grounded in academic literature.
Really interesting topic with lots of exciting examples.
Great response to questions, especially the question about methodology -- add your answer to that question to your presentation. 
Many people are going to be very interested in this.
Think more about gender and race!</v>
      </c>
      <c r="O642" s="142" t="str">
        <f t="shared" si="1"/>
        <v/>
      </c>
      <c r="P642" s="143" t="str">
        <f>IF(ISNA(VLOOKUP(CONCAT(M642,C642), 'Judge Count DO NOT EDIT'!H:H, 1, FALSE)), "ERROR","")</f>
        <v/>
      </c>
      <c r="Q642" s="141"/>
      <c r="R642" s="143"/>
      <c r="S642" s="139" t="str">
        <f t="shared" si="2"/>
        <v>1093299</v>
      </c>
      <c r="T642" s="141"/>
    </row>
    <row r="643">
      <c r="A643" s="137">
        <f>IFERROR(__xludf.DUMMYFUNCTION("""COMPUTED_VALUE"""),45352.66728318287)</f>
        <v>45352.66728</v>
      </c>
      <c r="B643" s="138" t="str">
        <f>IFERROR(__xludf.DUMMYFUNCTION("""COMPUTED_VALUE"""),"Wawrytko")</f>
        <v>Wawrytko</v>
      </c>
      <c r="C643" s="138">
        <f>IFERROR(__xludf.DUMMYFUNCTION("""COMPUTED_VALUE"""),1004.0)</f>
        <v>1004</v>
      </c>
      <c r="D643" s="139">
        <f>IFERROR(__xludf.DUMMYFUNCTION("""COMPUTED_VALUE"""),300.0)</f>
        <v>300</v>
      </c>
      <c r="E643" s="138">
        <f>IFERROR(__xludf.DUMMYFUNCTION("""COMPUTED_VALUE"""),4.0)</f>
        <v>4</v>
      </c>
      <c r="F643" s="138">
        <f>IFERROR(__xludf.DUMMYFUNCTION("""COMPUTED_VALUE"""),5.0)</f>
        <v>5</v>
      </c>
      <c r="G643" s="138">
        <f>IFERROR(__xludf.DUMMYFUNCTION("""COMPUTED_VALUE"""),5.0)</f>
        <v>5</v>
      </c>
      <c r="H643" s="138">
        <f>IFERROR(__xludf.DUMMYFUNCTION("""COMPUTED_VALUE"""),4.0)</f>
        <v>4</v>
      </c>
      <c r="I643" s="138">
        <f>IFERROR(__xludf.DUMMYFUNCTION("""COMPUTED_VALUE"""),3.0)</f>
        <v>3</v>
      </c>
      <c r="J643" s="138">
        <f>IFERROR(__xludf.DUMMYFUNCTION("""COMPUTED_VALUE"""),4.0)</f>
        <v>4</v>
      </c>
      <c r="K643" s="138">
        <f>IFERROR(__xludf.DUMMYFUNCTION("""COMPUTED_VALUE"""),4.0)</f>
        <v>4</v>
      </c>
      <c r="L643" s="138">
        <v>29.0</v>
      </c>
      <c r="M643" s="140" t="str">
        <f>VLOOKUP(text(D643, "#"),'Master Table'!$A:$F, 6, FALSE)</f>
        <v>D-7</v>
      </c>
      <c r="N643" s="141"/>
      <c r="O643" s="142" t="str">
        <f t="shared" si="1"/>
        <v/>
      </c>
      <c r="P643" s="143" t="str">
        <f>IF(ISNA(VLOOKUP(CONCAT(M643,C643), 'Judge Count DO NOT EDIT'!H:H, 1, FALSE)), "ERROR","")</f>
        <v/>
      </c>
      <c r="Q643" s="141"/>
      <c r="R643" s="143"/>
      <c r="S643" s="139" t="str">
        <f t="shared" si="2"/>
        <v>1004300</v>
      </c>
      <c r="T643" s="141"/>
    </row>
    <row r="644">
      <c r="A644" s="137">
        <f>IFERROR(__xludf.DUMMYFUNCTION("""COMPUTED_VALUE"""),45352.66877693287)</f>
        <v>45352.66878</v>
      </c>
      <c r="B644" s="138" t="str">
        <f>IFERROR(__xludf.DUMMYFUNCTION("""COMPUTED_VALUE"""),"Steve Barbone")</f>
        <v>Steve Barbone</v>
      </c>
      <c r="C644" s="138">
        <f>IFERROR(__xludf.DUMMYFUNCTION("""COMPUTED_VALUE"""),1181.0)</f>
        <v>1181</v>
      </c>
      <c r="D644" s="139">
        <f>IFERROR(__xludf.DUMMYFUNCTION("""COMPUTED_VALUE"""),300.0)</f>
        <v>300</v>
      </c>
      <c r="E644" s="138">
        <f>IFERROR(__xludf.DUMMYFUNCTION("""COMPUTED_VALUE"""),3.0)</f>
        <v>3</v>
      </c>
      <c r="F644" s="138">
        <f>IFERROR(__xludf.DUMMYFUNCTION("""COMPUTED_VALUE"""),3.0)</f>
        <v>3</v>
      </c>
      <c r="G644" s="138">
        <f>IFERROR(__xludf.DUMMYFUNCTION("""COMPUTED_VALUE"""),3.0)</f>
        <v>3</v>
      </c>
      <c r="H644" s="138">
        <f>IFERROR(__xludf.DUMMYFUNCTION("""COMPUTED_VALUE"""),2.0)</f>
        <v>2</v>
      </c>
      <c r="I644" s="138">
        <f>IFERROR(__xludf.DUMMYFUNCTION("""COMPUTED_VALUE"""),3.0)</f>
        <v>3</v>
      </c>
      <c r="J644" s="138">
        <f>IFERROR(__xludf.DUMMYFUNCTION("""COMPUTED_VALUE"""),3.0)</f>
        <v>3</v>
      </c>
      <c r="K644" s="138">
        <f>IFERROR(__xludf.DUMMYFUNCTION("""COMPUTED_VALUE"""),3.0)</f>
        <v>3</v>
      </c>
      <c r="L644" s="138">
        <v>20.0</v>
      </c>
      <c r="M644" s="140" t="str">
        <f>VLOOKUP(text(D644, "#"),'Master Table'!$A:$F, 6, FALSE)</f>
        <v>D-7</v>
      </c>
      <c r="N644" s="141" t="str">
        <f>IFERROR(__xludf.DUMMYFUNCTION("""COMPUTED_VALUE"""),"I'd like to see a more explicit connection between slides and talk, e.g., with ""Indian Princess"" troupe, it was difficult for me to connect what was said with the images. Otherwise, the presentation was energetic and original. Thanks.")</f>
        <v>I'd like to see a more explicit connection between slides and talk, e.g., with "Indian Princess" troupe, it was difficult for me to connect what was said with the images. Otherwise, the presentation was energetic and original. Thanks.</v>
      </c>
      <c r="O644" s="142" t="str">
        <f t="shared" si="1"/>
        <v/>
      </c>
      <c r="P644" s="143" t="str">
        <f>IF(ISNA(VLOOKUP(CONCAT(M644,C644), 'Judge Count DO NOT EDIT'!H:H, 1, FALSE)), "ERROR","")</f>
        <v/>
      </c>
      <c r="Q644" s="141"/>
      <c r="R644" s="143"/>
      <c r="S644" s="139" t="str">
        <f t="shared" si="2"/>
        <v>1181300</v>
      </c>
      <c r="T644" s="141"/>
    </row>
    <row r="645">
      <c r="A645" s="137">
        <f>IFERROR(__xludf.DUMMYFUNCTION("""COMPUTED_VALUE"""),45352.69180335648)</f>
        <v>45352.6918</v>
      </c>
      <c r="B645" s="138" t="str">
        <f>IFERROR(__xludf.DUMMYFUNCTION("""COMPUTED_VALUE"""),"Charles Dintrone ")</f>
        <v>Charles Dintrone </v>
      </c>
      <c r="C645" s="138">
        <f>IFERROR(__xludf.DUMMYFUNCTION("""COMPUTED_VALUE"""),1007.0)</f>
        <v>1007</v>
      </c>
      <c r="D645" s="139">
        <f>IFERROR(__xludf.DUMMYFUNCTION("""COMPUTED_VALUE"""),300.0)</f>
        <v>300</v>
      </c>
      <c r="E645" s="138">
        <f>IFERROR(__xludf.DUMMYFUNCTION("""COMPUTED_VALUE"""),4.0)</f>
        <v>4</v>
      </c>
      <c r="F645" s="138">
        <f>IFERROR(__xludf.DUMMYFUNCTION("""COMPUTED_VALUE"""),5.0)</f>
        <v>5</v>
      </c>
      <c r="G645" s="138">
        <f>IFERROR(__xludf.DUMMYFUNCTION("""COMPUTED_VALUE"""),5.0)</f>
        <v>5</v>
      </c>
      <c r="H645" s="138">
        <f>IFERROR(__xludf.DUMMYFUNCTION("""COMPUTED_VALUE"""),4.0)</f>
        <v>4</v>
      </c>
      <c r="I645" s="138">
        <f>IFERROR(__xludf.DUMMYFUNCTION("""COMPUTED_VALUE"""),5.0)</f>
        <v>5</v>
      </c>
      <c r="J645" s="138">
        <f>IFERROR(__xludf.DUMMYFUNCTION("""COMPUTED_VALUE"""),5.0)</f>
        <v>5</v>
      </c>
      <c r="K645" s="138">
        <f>IFERROR(__xludf.DUMMYFUNCTION("""COMPUTED_VALUE"""),5.0)</f>
        <v>5</v>
      </c>
      <c r="L645" s="138">
        <v>33.0</v>
      </c>
      <c r="M645" s="140" t="str">
        <f>VLOOKUP(text(D645, "#"),'Master Table'!$A:$F, 6, FALSE)</f>
        <v>D-7</v>
      </c>
      <c r="N645" s="141"/>
      <c r="O645" s="142" t="str">
        <f t="shared" si="1"/>
        <v/>
      </c>
      <c r="P645" s="143" t="str">
        <f>IF(ISNA(VLOOKUP(CONCAT(M645,C645), 'Judge Count DO NOT EDIT'!H:H, 1, FALSE)), "ERROR","")</f>
        <v/>
      </c>
      <c r="Q645" s="141"/>
      <c r="R645" s="143"/>
      <c r="S645" s="139" t="str">
        <f t="shared" si="2"/>
        <v>1007300</v>
      </c>
      <c r="T645" s="141"/>
    </row>
    <row r="646">
      <c r="A646" s="137">
        <f>IFERROR(__xludf.DUMMYFUNCTION("""COMPUTED_VALUE"""),45352.760147974535)</f>
        <v>45352.76015</v>
      </c>
      <c r="B646" s="138" t="str">
        <f>IFERROR(__xludf.DUMMYFUNCTION("""COMPUTED_VALUE"""),"Jess Whatcott")</f>
        <v>Jess Whatcott</v>
      </c>
      <c r="C646" s="138">
        <f>IFERROR(__xludf.DUMMYFUNCTION("""COMPUTED_VALUE"""),1093.0)</f>
        <v>1093</v>
      </c>
      <c r="D646" s="139">
        <f>IFERROR(__xludf.DUMMYFUNCTION("""COMPUTED_VALUE"""),300.0)</f>
        <v>300</v>
      </c>
      <c r="E646" s="138">
        <f>IFERROR(__xludf.DUMMYFUNCTION("""COMPUTED_VALUE"""),4.0)</f>
        <v>4</v>
      </c>
      <c r="F646" s="138">
        <f>IFERROR(__xludf.DUMMYFUNCTION("""COMPUTED_VALUE"""),4.0)</f>
        <v>4</v>
      </c>
      <c r="G646" s="138">
        <f>IFERROR(__xludf.DUMMYFUNCTION("""COMPUTED_VALUE"""),4.0)</f>
        <v>4</v>
      </c>
      <c r="H646" s="138">
        <f>IFERROR(__xludf.DUMMYFUNCTION("""COMPUTED_VALUE"""),3.0)</f>
        <v>3</v>
      </c>
      <c r="I646" s="138">
        <f>IFERROR(__xludf.DUMMYFUNCTION("""COMPUTED_VALUE"""),3.0)</f>
        <v>3</v>
      </c>
      <c r="J646" s="138">
        <f>IFERROR(__xludf.DUMMYFUNCTION("""COMPUTED_VALUE"""),3.0)</f>
        <v>3</v>
      </c>
      <c r="K646" s="138">
        <f>IFERROR(__xludf.DUMMYFUNCTION("""COMPUTED_VALUE"""),5.0)</f>
        <v>5</v>
      </c>
      <c r="L646" s="138">
        <v>26.0</v>
      </c>
      <c r="M646" s="140" t="str">
        <f>VLOOKUP(text(D646, "#"),'Master Table'!$A:$F, 6, FALSE)</f>
        <v>D-7</v>
      </c>
      <c r="N646" s="141" t="str">
        <f>IFERROR(__xludf.DUMMYFUNCTION("""COMPUTED_VALUE"""),"Really interesting topic on one of my favorite movies. Compelling thesis with the application of decolonial concepts. The beginning was really strong -- making the case for why art matters! Over time, the points the presenter were making got a bit muddled"&amp;", and I was a bit confused about how the presenter was applying the concepts of ""relationality"" and ""assimilation."" The presenter lost me a bit when she was equating Tupac with gang violence. I encourage the presenter to keep honing in on their main p"&amp;"oint and using evidence to back it up.")</f>
        <v>Really interesting topic on one of my favorite movies. Compelling thesis with the application of decolonial concepts. The beginning was really strong -- making the case for why art matters! Over time, the points the presenter were making got a bit muddled, and I was a bit confused about how the presenter was applying the concepts of "relationality" and "assimilation." The presenter lost me a bit when she was equating Tupac with gang violence. I encourage the presenter to keep honing in on their main point and using evidence to back it up.</v>
      </c>
      <c r="O646" s="142" t="str">
        <f t="shared" si="1"/>
        <v/>
      </c>
      <c r="P646" s="143" t="str">
        <f>IF(ISNA(VLOOKUP(CONCAT(M646,C646), 'Judge Count DO NOT EDIT'!H:H, 1, FALSE)), "ERROR","")</f>
        <v/>
      </c>
      <c r="Q646" s="141"/>
      <c r="R646" s="143"/>
      <c r="S646" s="139" t="str">
        <f t="shared" si="2"/>
        <v>1093300</v>
      </c>
      <c r="T646" s="141"/>
    </row>
    <row r="647">
      <c r="A647" s="137">
        <f>IFERROR(__xludf.DUMMYFUNCTION("""COMPUTED_VALUE"""),45352.63872752315)</f>
        <v>45352.63873</v>
      </c>
      <c r="B647" s="138" t="str">
        <f>IFERROR(__xludf.DUMMYFUNCTION("""COMPUTED_VALUE"""),"William Welsh")</f>
        <v>William Welsh</v>
      </c>
      <c r="C647" s="138">
        <f>IFERROR(__xludf.DUMMYFUNCTION("""COMPUTED_VALUE"""),1045.0)</f>
        <v>1045</v>
      </c>
      <c r="D647" s="139">
        <f>IFERROR(__xludf.DUMMYFUNCTION("""COMPUTED_VALUE"""),302.0)</f>
        <v>302</v>
      </c>
      <c r="E647" s="138">
        <f>IFERROR(__xludf.DUMMYFUNCTION("""COMPUTED_VALUE"""),4.0)</f>
        <v>4</v>
      </c>
      <c r="F647" s="138">
        <f>IFERROR(__xludf.DUMMYFUNCTION("""COMPUTED_VALUE"""),4.0)</f>
        <v>4</v>
      </c>
      <c r="G647" s="138">
        <f>IFERROR(__xludf.DUMMYFUNCTION("""COMPUTED_VALUE"""),4.0)</f>
        <v>4</v>
      </c>
      <c r="H647" s="138">
        <f>IFERROR(__xludf.DUMMYFUNCTION("""COMPUTED_VALUE"""),4.0)</f>
        <v>4</v>
      </c>
      <c r="I647" s="138">
        <f>IFERROR(__xludf.DUMMYFUNCTION("""COMPUTED_VALUE"""),5.0)</f>
        <v>5</v>
      </c>
      <c r="J647" s="138">
        <f>IFERROR(__xludf.DUMMYFUNCTION("""COMPUTED_VALUE"""),4.0)</f>
        <v>4</v>
      </c>
      <c r="K647" s="138">
        <f>IFERROR(__xludf.DUMMYFUNCTION("""COMPUTED_VALUE"""),4.0)</f>
        <v>4</v>
      </c>
      <c r="L647" s="138">
        <v>29.0</v>
      </c>
      <c r="M647" s="140" t="str">
        <f>VLOOKUP(text(D647, "#"),'Master Table'!$A:$F, 6, FALSE)</f>
        <v>D-8</v>
      </c>
      <c r="N647" s="141"/>
      <c r="O647" s="142" t="str">
        <f t="shared" si="1"/>
        <v/>
      </c>
      <c r="P647" s="143" t="str">
        <f>IF(ISNA(VLOOKUP(CONCAT(M647,C647), 'Judge Count DO NOT EDIT'!H:H, 1, FALSE)), "ERROR","")</f>
        <v/>
      </c>
      <c r="Q647" s="141"/>
      <c r="R647" s="143"/>
      <c r="S647" s="139" t="str">
        <f t="shared" si="2"/>
        <v>1045302</v>
      </c>
      <c r="T647" s="141"/>
    </row>
    <row r="648">
      <c r="A648" s="137">
        <f>IFERROR(__xludf.DUMMYFUNCTION("""COMPUTED_VALUE"""),45352.639396956016)</f>
        <v>45352.6394</v>
      </c>
      <c r="B648" s="138" t="str">
        <f>IFERROR(__xludf.DUMMYFUNCTION("""COMPUTED_VALUE"""),"Judy Audas")</f>
        <v>Judy Audas</v>
      </c>
      <c r="C648" s="138">
        <f>IFERROR(__xludf.DUMMYFUNCTION("""COMPUTED_VALUE"""),1164.0)</f>
        <v>1164</v>
      </c>
      <c r="D648" s="139">
        <f>IFERROR(__xludf.DUMMYFUNCTION("""COMPUTED_VALUE"""),302.0)</f>
        <v>302</v>
      </c>
      <c r="E648" s="138">
        <f>IFERROR(__xludf.DUMMYFUNCTION("""COMPUTED_VALUE"""),3.0)</f>
        <v>3</v>
      </c>
      <c r="F648" s="138">
        <f>IFERROR(__xludf.DUMMYFUNCTION("""COMPUTED_VALUE"""),4.0)</f>
        <v>4</v>
      </c>
      <c r="G648" s="138">
        <f>IFERROR(__xludf.DUMMYFUNCTION("""COMPUTED_VALUE"""),4.0)</f>
        <v>4</v>
      </c>
      <c r="H648" s="138">
        <f>IFERROR(__xludf.DUMMYFUNCTION("""COMPUTED_VALUE"""),3.0)</f>
        <v>3</v>
      </c>
      <c r="I648" s="138">
        <f>IFERROR(__xludf.DUMMYFUNCTION("""COMPUTED_VALUE"""),5.0)</f>
        <v>5</v>
      </c>
      <c r="J648" s="138">
        <f>IFERROR(__xludf.DUMMYFUNCTION("""COMPUTED_VALUE"""),3.0)</f>
        <v>3</v>
      </c>
      <c r="K648" s="138">
        <f>IFERROR(__xludf.DUMMYFUNCTION("""COMPUTED_VALUE"""),4.0)</f>
        <v>4</v>
      </c>
      <c r="L648" s="138">
        <v>26.0</v>
      </c>
      <c r="M648" s="140" t="str">
        <f>VLOOKUP(text(D648, "#"),'Master Table'!$A:$F, 6, FALSE)</f>
        <v>D-8</v>
      </c>
      <c r="N648" s="141" t="str">
        <f>IFERROR(__xludf.DUMMYFUNCTION("""COMPUTED_VALUE"""),"Great presentation skills—projection and captivating the audience. I wish the research methodologies had been presented in a clearer fashion. ")</f>
        <v>Great presentation skills—projection and captivating the audience. I wish the research methodologies had been presented in a clearer fashion. </v>
      </c>
      <c r="O648" s="142" t="str">
        <f t="shared" si="1"/>
        <v/>
      </c>
      <c r="P648" s="143" t="str">
        <f>IF(ISNA(VLOOKUP(CONCAT(M648,C648), 'Judge Count DO NOT EDIT'!H:H, 1, FALSE)), "ERROR","")</f>
        <v/>
      </c>
      <c r="Q648" s="141"/>
      <c r="R648" s="143"/>
      <c r="S648" s="139" t="str">
        <f t="shared" si="2"/>
        <v>1164302</v>
      </c>
      <c r="T648" s="141"/>
    </row>
    <row r="649">
      <c r="A649" s="137">
        <f>IFERROR(__xludf.DUMMYFUNCTION("""COMPUTED_VALUE"""),45352.64158898148)</f>
        <v>45352.64159</v>
      </c>
      <c r="B649" s="138" t="str">
        <f>IFERROR(__xludf.DUMMYFUNCTION("""COMPUTED_VALUE"""),"Nitai Chandra Adak ")</f>
        <v>Nitai Chandra Adak </v>
      </c>
      <c r="C649" s="138">
        <f>IFERROR(__xludf.DUMMYFUNCTION("""COMPUTED_VALUE"""),1092.0)</f>
        <v>1092</v>
      </c>
      <c r="D649" s="139">
        <f>IFERROR(__xludf.DUMMYFUNCTION("""COMPUTED_VALUE"""),302.0)</f>
        <v>302</v>
      </c>
      <c r="E649" s="138">
        <f>IFERROR(__xludf.DUMMYFUNCTION("""COMPUTED_VALUE"""),3.0)</f>
        <v>3</v>
      </c>
      <c r="F649" s="138">
        <f>IFERROR(__xludf.DUMMYFUNCTION("""COMPUTED_VALUE"""),3.0)</f>
        <v>3</v>
      </c>
      <c r="G649" s="138">
        <f>IFERROR(__xludf.DUMMYFUNCTION("""COMPUTED_VALUE"""),3.0)</f>
        <v>3</v>
      </c>
      <c r="H649" s="138">
        <f>IFERROR(__xludf.DUMMYFUNCTION("""COMPUTED_VALUE"""),3.0)</f>
        <v>3</v>
      </c>
      <c r="I649" s="138">
        <f>IFERROR(__xludf.DUMMYFUNCTION("""COMPUTED_VALUE"""),4.0)</f>
        <v>4</v>
      </c>
      <c r="J649" s="138">
        <f>IFERROR(__xludf.DUMMYFUNCTION("""COMPUTED_VALUE"""),2.0)</f>
        <v>2</v>
      </c>
      <c r="K649" s="138">
        <f>IFERROR(__xludf.DUMMYFUNCTION("""COMPUTED_VALUE"""),4.0)</f>
        <v>4</v>
      </c>
      <c r="L649" s="138">
        <v>22.0</v>
      </c>
      <c r="M649" s="140" t="str">
        <f>VLOOKUP(text(D649, "#"),'Master Table'!$A:$F, 6, FALSE)</f>
        <v>D-8</v>
      </c>
      <c r="N649" s="141" t="str">
        <f>IFERROR(__xludf.DUMMYFUNCTION("""COMPUTED_VALUE"""),"The research contribution is poor. So the presenter should discuss their particular contribution in the presentation.  ")</f>
        <v>The research contribution is poor. So the presenter should discuss their particular contribution in the presentation.  </v>
      </c>
      <c r="O649" s="142" t="str">
        <f t="shared" si="1"/>
        <v/>
      </c>
      <c r="P649" s="143" t="str">
        <f>IF(ISNA(VLOOKUP(CONCAT(M649,C649), 'Judge Count DO NOT EDIT'!H:H, 1, FALSE)), "ERROR","")</f>
        <v/>
      </c>
      <c r="Q649" s="141"/>
      <c r="R649" s="143"/>
      <c r="S649" s="139" t="str">
        <f t="shared" si="2"/>
        <v>1092302</v>
      </c>
      <c r="T649" s="141"/>
    </row>
    <row r="650">
      <c r="A650" s="137">
        <f>IFERROR(__xludf.DUMMYFUNCTION("""COMPUTED_VALUE"""),45352.652801331016)</f>
        <v>45352.6528</v>
      </c>
      <c r="B650" s="138" t="str">
        <f>IFERROR(__xludf.DUMMYFUNCTION("""COMPUTED_VALUE"""),"William welsh")</f>
        <v>William welsh</v>
      </c>
      <c r="C650" s="138">
        <f>IFERROR(__xludf.DUMMYFUNCTION("""COMPUTED_VALUE"""),1045.0)</f>
        <v>1045</v>
      </c>
      <c r="D650" s="139">
        <f>IFERROR(__xludf.DUMMYFUNCTION("""COMPUTED_VALUE"""),303.0)</f>
        <v>303</v>
      </c>
      <c r="E650" s="138">
        <f>IFERROR(__xludf.DUMMYFUNCTION("""COMPUTED_VALUE"""),4.0)</f>
        <v>4</v>
      </c>
      <c r="F650" s="138">
        <f>IFERROR(__xludf.DUMMYFUNCTION("""COMPUTED_VALUE"""),3.0)</f>
        <v>3</v>
      </c>
      <c r="G650" s="138">
        <f>IFERROR(__xludf.DUMMYFUNCTION("""COMPUTED_VALUE"""),3.0)</f>
        <v>3</v>
      </c>
      <c r="H650" s="138">
        <f>IFERROR(__xludf.DUMMYFUNCTION("""COMPUTED_VALUE"""),4.0)</f>
        <v>4</v>
      </c>
      <c r="I650" s="138">
        <f>IFERROR(__xludf.DUMMYFUNCTION("""COMPUTED_VALUE"""),3.0)</f>
        <v>3</v>
      </c>
      <c r="J650" s="138">
        <f>IFERROR(__xludf.DUMMYFUNCTION("""COMPUTED_VALUE"""),3.0)</f>
        <v>3</v>
      </c>
      <c r="K650" s="138">
        <f>IFERROR(__xludf.DUMMYFUNCTION("""COMPUTED_VALUE"""),3.0)</f>
        <v>3</v>
      </c>
      <c r="L650" s="138">
        <v>23.0</v>
      </c>
      <c r="M650" s="140" t="str">
        <f>VLOOKUP(text(D650, "#"),'Master Table'!$A:$F, 6, FALSE)</f>
        <v>D-8</v>
      </c>
      <c r="N650" s="141"/>
      <c r="O650" s="142" t="str">
        <f t="shared" si="1"/>
        <v/>
      </c>
      <c r="P650" s="143" t="str">
        <f>IF(ISNA(VLOOKUP(CONCAT(M650,C650), 'Judge Count DO NOT EDIT'!H:H, 1, FALSE)), "ERROR","")</f>
        <v/>
      </c>
      <c r="Q650" s="141"/>
      <c r="R650" s="143"/>
      <c r="S650" s="139" t="str">
        <f t="shared" si="2"/>
        <v>1045303</v>
      </c>
      <c r="T650" s="141"/>
    </row>
    <row r="651">
      <c r="A651" s="137">
        <f>IFERROR(__xludf.DUMMYFUNCTION("""COMPUTED_VALUE"""),45352.653344502316)</f>
        <v>45352.65334</v>
      </c>
      <c r="B651" s="138" t="str">
        <f>IFERROR(__xludf.DUMMYFUNCTION("""COMPUTED_VALUE"""),"Nitai Chandra Adak ")</f>
        <v>Nitai Chandra Adak </v>
      </c>
      <c r="C651" s="138">
        <f>IFERROR(__xludf.DUMMYFUNCTION("""COMPUTED_VALUE"""),1092.0)</f>
        <v>1092</v>
      </c>
      <c r="D651" s="139">
        <f>IFERROR(__xludf.DUMMYFUNCTION("""COMPUTED_VALUE"""),303.0)</f>
        <v>303</v>
      </c>
      <c r="E651" s="138">
        <f>IFERROR(__xludf.DUMMYFUNCTION("""COMPUTED_VALUE"""),2.0)</f>
        <v>2</v>
      </c>
      <c r="F651" s="138">
        <f>IFERROR(__xludf.DUMMYFUNCTION("""COMPUTED_VALUE"""),3.0)</f>
        <v>3</v>
      </c>
      <c r="G651" s="138">
        <f>IFERROR(__xludf.DUMMYFUNCTION("""COMPUTED_VALUE"""),4.0)</f>
        <v>4</v>
      </c>
      <c r="H651" s="138">
        <f>IFERROR(__xludf.DUMMYFUNCTION("""COMPUTED_VALUE"""),3.0)</f>
        <v>3</v>
      </c>
      <c r="I651" s="138">
        <f>IFERROR(__xludf.DUMMYFUNCTION("""COMPUTED_VALUE"""),3.0)</f>
        <v>3</v>
      </c>
      <c r="J651" s="138">
        <f>IFERROR(__xludf.DUMMYFUNCTION("""COMPUTED_VALUE"""),2.0)</f>
        <v>2</v>
      </c>
      <c r="K651" s="138">
        <f>IFERROR(__xludf.DUMMYFUNCTION("""COMPUTED_VALUE"""),3.0)</f>
        <v>3</v>
      </c>
      <c r="L651" s="138">
        <v>20.0</v>
      </c>
      <c r="M651" s="140" t="str">
        <f>VLOOKUP(text(D651, "#"),'Master Table'!$A:$F, 6, FALSE)</f>
        <v>D-8</v>
      </c>
      <c r="N651" s="141" t="str">
        <f>IFERROR(__xludf.DUMMYFUNCTION("""COMPUTED_VALUE"""),"The presentation is well but the candidate should discuss more about research works. ")</f>
        <v>The presentation is well but the candidate should discuss more about research works. </v>
      </c>
      <c r="O651" s="142" t="str">
        <f t="shared" si="1"/>
        <v/>
      </c>
      <c r="P651" s="143" t="str">
        <f>IF(ISNA(VLOOKUP(CONCAT(M651,C651), 'Judge Count DO NOT EDIT'!H:H, 1, FALSE)), "ERROR","")</f>
        <v/>
      </c>
      <c r="Q651" s="141"/>
      <c r="R651" s="143"/>
      <c r="S651" s="139" t="str">
        <f t="shared" si="2"/>
        <v>1092303</v>
      </c>
      <c r="T651" s="141"/>
    </row>
    <row r="652">
      <c r="A652" s="137">
        <f>IFERROR(__xludf.DUMMYFUNCTION("""COMPUTED_VALUE"""),45352.654287060184)</f>
        <v>45352.65429</v>
      </c>
      <c r="B652" s="138" t="str">
        <f>IFERROR(__xludf.DUMMYFUNCTION("""COMPUTED_VALUE"""),"Judy Audas")</f>
        <v>Judy Audas</v>
      </c>
      <c r="C652" s="138">
        <f>IFERROR(__xludf.DUMMYFUNCTION("""COMPUTED_VALUE"""),1164.0)</f>
        <v>1164</v>
      </c>
      <c r="D652" s="139">
        <f>IFERROR(__xludf.DUMMYFUNCTION("""COMPUTED_VALUE"""),303.0)</f>
        <v>303</v>
      </c>
      <c r="E652" s="138">
        <f>IFERROR(__xludf.DUMMYFUNCTION("""COMPUTED_VALUE"""),4.0)</f>
        <v>4</v>
      </c>
      <c r="F652" s="138">
        <f>IFERROR(__xludf.DUMMYFUNCTION("""COMPUTED_VALUE"""),3.0)</f>
        <v>3</v>
      </c>
      <c r="G652" s="138">
        <f>IFERROR(__xludf.DUMMYFUNCTION("""COMPUTED_VALUE"""),3.0)</f>
        <v>3</v>
      </c>
      <c r="H652" s="138">
        <f>IFERROR(__xludf.DUMMYFUNCTION("""COMPUTED_VALUE"""),4.0)</f>
        <v>4</v>
      </c>
      <c r="I652" s="138">
        <f>IFERROR(__xludf.DUMMYFUNCTION("""COMPUTED_VALUE"""),3.0)</f>
        <v>3</v>
      </c>
      <c r="J652" s="138">
        <f>IFERROR(__xludf.DUMMYFUNCTION("""COMPUTED_VALUE"""),3.0)</f>
        <v>3</v>
      </c>
      <c r="K652" s="138">
        <f>IFERROR(__xludf.DUMMYFUNCTION("""COMPUTED_VALUE"""),3.0)</f>
        <v>3</v>
      </c>
      <c r="L652" s="138">
        <v>23.0</v>
      </c>
      <c r="M652" s="140" t="str">
        <f>VLOOKUP(text(D652, "#"),'Master Table'!$A:$F, 6, FALSE)</f>
        <v>D-8</v>
      </c>
      <c r="N652" s="141" t="str">
        <f>IFERROR(__xludf.DUMMYFUNCTION("""COMPUTED_VALUE"""),"I thought Ryan’s projection and eye contact were great. Presentation did feel a but rushed and I think the methodologies and information about next steps could have been further expanded upon. ")</f>
        <v>I thought Ryan’s projection and eye contact were great. Presentation did feel a but rushed and I think the methodologies and information about next steps could have been further expanded upon. </v>
      </c>
      <c r="O652" s="142" t="str">
        <f t="shared" si="1"/>
        <v/>
      </c>
      <c r="P652" s="143" t="str">
        <f>IF(ISNA(VLOOKUP(CONCAT(M652,C652), 'Judge Count DO NOT EDIT'!H:H, 1, FALSE)), "ERROR","")</f>
        <v/>
      </c>
      <c r="Q652" s="144"/>
      <c r="R652" s="143"/>
      <c r="S652" s="139" t="str">
        <f t="shared" si="2"/>
        <v>1164303</v>
      </c>
      <c r="T652" s="144"/>
    </row>
    <row r="653">
      <c r="A653" s="137">
        <f>IFERROR(__xludf.DUMMYFUNCTION("""COMPUTED_VALUE"""),45352.66574563658)</f>
        <v>45352.66575</v>
      </c>
      <c r="B653" s="138" t="str">
        <f>IFERROR(__xludf.DUMMYFUNCTION("""COMPUTED_VALUE"""),"Judy Audas")</f>
        <v>Judy Audas</v>
      </c>
      <c r="C653" s="138">
        <f>IFERROR(__xludf.DUMMYFUNCTION("""COMPUTED_VALUE"""),1164.0)</f>
        <v>1164</v>
      </c>
      <c r="D653" s="139">
        <f>IFERROR(__xludf.DUMMYFUNCTION("""COMPUTED_VALUE"""),304.0)</f>
        <v>304</v>
      </c>
      <c r="E653" s="138">
        <f>IFERROR(__xludf.DUMMYFUNCTION("""COMPUTED_VALUE"""),4.0)</f>
        <v>4</v>
      </c>
      <c r="F653" s="138">
        <f>IFERROR(__xludf.DUMMYFUNCTION("""COMPUTED_VALUE"""),3.0)</f>
        <v>3</v>
      </c>
      <c r="G653" s="138">
        <f>IFERROR(__xludf.DUMMYFUNCTION("""COMPUTED_VALUE"""),4.0)</f>
        <v>4</v>
      </c>
      <c r="H653" s="138">
        <f>IFERROR(__xludf.DUMMYFUNCTION("""COMPUTED_VALUE"""),3.0)</f>
        <v>3</v>
      </c>
      <c r="I653" s="138">
        <f>IFERROR(__xludf.DUMMYFUNCTION("""COMPUTED_VALUE"""),5.0)</f>
        <v>5</v>
      </c>
      <c r="J653" s="138">
        <f>IFERROR(__xludf.DUMMYFUNCTION("""COMPUTED_VALUE"""),4.0)</f>
        <v>4</v>
      </c>
      <c r="K653" s="138">
        <f>IFERROR(__xludf.DUMMYFUNCTION("""COMPUTED_VALUE"""),5.0)</f>
        <v>5</v>
      </c>
      <c r="L653" s="138">
        <v>28.0</v>
      </c>
      <c r="M653" s="140" t="str">
        <f>VLOOKUP(text(D653, "#"),'Master Table'!$A:$F, 6, FALSE)</f>
        <v>D-8</v>
      </c>
      <c r="N653" s="141" t="str">
        <f>IFERROR(__xludf.DUMMYFUNCTION("""COMPUTED_VALUE"""),"Excellent presenter and very engaging with audience. As someone not from a STEM background, I did find it quite difficult to follow. ")</f>
        <v>Excellent presenter and very engaging with audience. As someone not from a STEM background, I did find it quite difficult to follow. </v>
      </c>
      <c r="O653" s="142" t="str">
        <f t="shared" si="1"/>
        <v/>
      </c>
      <c r="P653" s="143" t="str">
        <f>IF(ISNA(VLOOKUP(CONCAT(M653,C653), 'Judge Count DO NOT EDIT'!H:H, 1, FALSE)), "ERROR","")</f>
        <v/>
      </c>
      <c r="Q653" s="144"/>
      <c r="R653" s="143"/>
      <c r="S653" s="139" t="str">
        <f t="shared" si="2"/>
        <v>1164304</v>
      </c>
      <c r="T653" s="141"/>
    </row>
    <row r="654">
      <c r="A654" s="137">
        <f>IFERROR(__xludf.DUMMYFUNCTION("""COMPUTED_VALUE"""),45352.66778372685)</f>
        <v>45352.66778</v>
      </c>
      <c r="B654" s="138" t="str">
        <f>IFERROR(__xludf.DUMMYFUNCTION("""COMPUTED_VALUE"""),"William Welsh ")</f>
        <v>William Welsh </v>
      </c>
      <c r="C654" s="138">
        <f>IFERROR(__xludf.DUMMYFUNCTION("""COMPUTED_VALUE"""),1045.0)</f>
        <v>1045</v>
      </c>
      <c r="D654" s="139">
        <f>IFERROR(__xludf.DUMMYFUNCTION("""COMPUTED_VALUE"""),304.0)</f>
        <v>304</v>
      </c>
      <c r="E654" s="138">
        <f>IFERROR(__xludf.DUMMYFUNCTION("""COMPUTED_VALUE"""),3.0)</f>
        <v>3</v>
      </c>
      <c r="F654" s="138">
        <f>IFERROR(__xludf.DUMMYFUNCTION("""COMPUTED_VALUE"""),3.0)</f>
        <v>3</v>
      </c>
      <c r="G654" s="138">
        <f>IFERROR(__xludf.DUMMYFUNCTION("""COMPUTED_VALUE"""),3.0)</f>
        <v>3</v>
      </c>
      <c r="H654" s="138">
        <f>IFERROR(__xludf.DUMMYFUNCTION("""COMPUTED_VALUE"""),4.0)</f>
        <v>4</v>
      </c>
      <c r="I654" s="138">
        <f>IFERROR(__xludf.DUMMYFUNCTION("""COMPUTED_VALUE"""),4.0)</f>
        <v>4</v>
      </c>
      <c r="J654" s="138">
        <f>IFERROR(__xludf.DUMMYFUNCTION("""COMPUTED_VALUE"""),3.0)</f>
        <v>3</v>
      </c>
      <c r="K654" s="138">
        <f>IFERROR(__xludf.DUMMYFUNCTION("""COMPUTED_VALUE"""),4.0)</f>
        <v>4</v>
      </c>
      <c r="L654" s="138">
        <v>24.0</v>
      </c>
      <c r="M654" s="140" t="str">
        <f>VLOOKUP(text(D654, "#"),'Master Table'!$A:$F, 6, FALSE)</f>
        <v>D-8</v>
      </c>
      <c r="N654" s="141"/>
      <c r="O654" s="142" t="str">
        <f t="shared" si="1"/>
        <v/>
      </c>
      <c r="P654" s="143" t="str">
        <f>IF(ISNA(VLOOKUP(CONCAT(M654,C654), 'Judge Count DO NOT EDIT'!H:H, 1, FALSE)), "ERROR","")</f>
        <v/>
      </c>
      <c r="Q654" s="141"/>
      <c r="R654" s="143"/>
      <c r="S654" s="139" t="str">
        <f t="shared" si="2"/>
        <v>1045304</v>
      </c>
      <c r="T654" s="141"/>
    </row>
    <row r="655">
      <c r="A655" s="137">
        <f>IFERROR(__xludf.DUMMYFUNCTION("""COMPUTED_VALUE"""),45352.66842260417)</f>
        <v>45352.66842</v>
      </c>
      <c r="B655" s="138" t="str">
        <f>IFERROR(__xludf.DUMMYFUNCTION("""COMPUTED_VALUE"""),"Nitai Chandra Adak ")</f>
        <v>Nitai Chandra Adak </v>
      </c>
      <c r="C655" s="138">
        <f>IFERROR(__xludf.DUMMYFUNCTION("""COMPUTED_VALUE"""),1092.0)</f>
        <v>1092</v>
      </c>
      <c r="D655" s="139">
        <f>IFERROR(__xludf.DUMMYFUNCTION("""COMPUTED_VALUE"""),304.0)</f>
        <v>304</v>
      </c>
      <c r="E655" s="138">
        <f>IFERROR(__xludf.DUMMYFUNCTION("""COMPUTED_VALUE"""),4.0)</f>
        <v>4</v>
      </c>
      <c r="F655" s="138">
        <f>IFERROR(__xludf.DUMMYFUNCTION("""COMPUTED_VALUE"""),3.0)</f>
        <v>3</v>
      </c>
      <c r="G655" s="138">
        <f>IFERROR(__xludf.DUMMYFUNCTION("""COMPUTED_VALUE"""),3.0)</f>
        <v>3</v>
      </c>
      <c r="H655" s="138">
        <f>IFERROR(__xludf.DUMMYFUNCTION("""COMPUTED_VALUE"""),4.0)</f>
        <v>4</v>
      </c>
      <c r="I655" s="138">
        <f>IFERROR(__xludf.DUMMYFUNCTION("""COMPUTED_VALUE"""),4.0)</f>
        <v>4</v>
      </c>
      <c r="J655" s="138">
        <f>IFERROR(__xludf.DUMMYFUNCTION("""COMPUTED_VALUE"""),3.0)</f>
        <v>3</v>
      </c>
      <c r="K655" s="138">
        <f>IFERROR(__xludf.DUMMYFUNCTION("""COMPUTED_VALUE"""),4.0)</f>
        <v>4</v>
      </c>
      <c r="L655" s="138">
        <v>25.0</v>
      </c>
      <c r="M655" s="140" t="str">
        <f>VLOOKUP(text(D655, "#"),'Master Table'!$A:$F, 6, FALSE)</f>
        <v>D-8</v>
      </c>
      <c r="N655" s="141" t="str">
        <f>IFERROR(__xludf.DUMMYFUNCTION("""COMPUTED_VALUE"""),"Good technique to manufacture conductive  thin film")</f>
        <v>Good technique to manufacture conductive  thin film</v>
      </c>
      <c r="O655" s="142" t="str">
        <f t="shared" si="1"/>
        <v/>
      </c>
      <c r="P655" s="143" t="str">
        <f>IF(ISNA(VLOOKUP(CONCAT(M655,C655), 'Judge Count DO NOT EDIT'!H:H, 1, FALSE)), "ERROR","")</f>
        <v/>
      </c>
      <c r="Q655" s="144"/>
      <c r="R655" s="143"/>
      <c r="S655" s="139" t="str">
        <f t="shared" si="2"/>
        <v>1092304</v>
      </c>
      <c r="T655" s="141"/>
    </row>
    <row r="656">
      <c r="A656" s="137">
        <f>IFERROR(__xludf.DUMMYFUNCTION("""COMPUTED_VALUE"""),45352.67883561343)</f>
        <v>45352.67884</v>
      </c>
      <c r="B656" s="138" t="str">
        <f>IFERROR(__xludf.DUMMYFUNCTION("""COMPUTED_VALUE"""),"Judy Audas")</f>
        <v>Judy Audas</v>
      </c>
      <c r="C656" s="138">
        <f>IFERROR(__xludf.DUMMYFUNCTION("""COMPUTED_VALUE"""),1164.0)</f>
        <v>1164</v>
      </c>
      <c r="D656" s="139">
        <f>IFERROR(__xludf.DUMMYFUNCTION("""COMPUTED_VALUE"""),306.0)</f>
        <v>306</v>
      </c>
      <c r="E656" s="138">
        <f>IFERROR(__xludf.DUMMYFUNCTION("""COMPUTED_VALUE"""),3.0)</f>
        <v>3</v>
      </c>
      <c r="F656" s="138">
        <f>IFERROR(__xludf.DUMMYFUNCTION("""COMPUTED_VALUE"""),4.0)</f>
        <v>4</v>
      </c>
      <c r="G656" s="138">
        <f>IFERROR(__xludf.DUMMYFUNCTION("""COMPUTED_VALUE"""),4.0)</f>
        <v>4</v>
      </c>
      <c r="H656" s="138">
        <f>IFERROR(__xludf.DUMMYFUNCTION("""COMPUTED_VALUE"""),3.0)</f>
        <v>3</v>
      </c>
      <c r="I656" s="138">
        <f>IFERROR(__xludf.DUMMYFUNCTION("""COMPUTED_VALUE"""),3.0)</f>
        <v>3</v>
      </c>
      <c r="J656" s="138">
        <f>IFERROR(__xludf.DUMMYFUNCTION("""COMPUTED_VALUE"""),3.0)</f>
        <v>3</v>
      </c>
      <c r="K656" s="138">
        <f>IFERROR(__xludf.DUMMYFUNCTION("""COMPUTED_VALUE"""),5.0)</f>
        <v>5</v>
      </c>
      <c r="L656" s="138">
        <v>25.0</v>
      </c>
      <c r="M656" s="140" t="str">
        <f>VLOOKUP(text(D656, "#"),'Master Table'!$A:$F, 6, FALSE)</f>
        <v>D-8</v>
      </c>
      <c r="N656" s="141" t="str">
        <f>IFERROR(__xludf.DUMMYFUNCTION("""COMPUTED_VALUE"""),"Very interesting topic and could tell he is passionate about his research. Presentation felt a bit rushed and I think methodologies could have been better explained. Great at answering audience questions—very knowledgable ")</f>
        <v>Very interesting topic and could tell he is passionate about his research. Presentation felt a bit rushed and I think methodologies could have been better explained. Great at answering audience questions—very knowledgable </v>
      </c>
      <c r="O656" s="142" t="str">
        <f t="shared" si="1"/>
        <v/>
      </c>
      <c r="P656" s="143" t="str">
        <f>IF(ISNA(VLOOKUP(CONCAT(M656,C656), 'Judge Count DO NOT EDIT'!H:H, 1, FALSE)), "ERROR","")</f>
        <v/>
      </c>
      <c r="Q656" s="141"/>
      <c r="R656" s="143"/>
      <c r="S656" s="139" t="str">
        <f t="shared" si="2"/>
        <v>1164306</v>
      </c>
      <c r="T656" s="141"/>
    </row>
    <row r="657">
      <c r="A657" s="137">
        <f>IFERROR(__xludf.DUMMYFUNCTION("""COMPUTED_VALUE"""),45352.67993396991)</f>
        <v>45352.67993</v>
      </c>
      <c r="B657" s="138" t="str">
        <f>IFERROR(__xludf.DUMMYFUNCTION("""COMPUTED_VALUE"""),"Nitai Chandra Adak ")</f>
        <v>Nitai Chandra Adak </v>
      </c>
      <c r="C657" s="138">
        <f>IFERROR(__xludf.DUMMYFUNCTION("""COMPUTED_VALUE"""),1092.0)</f>
        <v>1092</v>
      </c>
      <c r="D657" s="139">
        <f>IFERROR(__xludf.DUMMYFUNCTION("""COMPUTED_VALUE"""),306.0)</f>
        <v>306</v>
      </c>
      <c r="E657" s="138">
        <f>IFERROR(__xludf.DUMMYFUNCTION("""COMPUTED_VALUE"""),3.0)</f>
        <v>3</v>
      </c>
      <c r="F657" s="138">
        <f>IFERROR(__xludf.DUMMYFUNCTION("""COMPUTED_VALUE"""),4.0)</f>
        <v>4</v>
      </c>
      <c r="G657" s="138">
        <f>IFERROR(__xludf.DUMMYFUNCTION("""COMPUTED_VALUE"""),3.0)</f>
        <v>3</v>
      </c>
      <c r="H657" s="138">
        <f>IFERROR(__xludf.DUMMYFUNCTION("""COMPUTED_VALUE"""),4.0)</f>
        <v>4</v>
      </c>
      <c r="I657" s="138">
        <f>IFERROR(__xludf.DUMMYFUNCTION("""COMPUTED_VALUE"""),4.0)</f>
        <v>4</v>
      </c>
      <c r="J657" s="138">
        <f>IFERROR(__xludf.DUMMYFUNCTION("""COMPUTED_VALUE"""),3.0)</f>
        <v>3</v>
      </c>
      <c r="K657" s="138">
        <f>IFERROR(__xludf.DUMMYFUNCTION("""COMPUTED_VALUE"""),3.0)</f>
        <v>3</v>
      </c>
      <c r="L657" s="138">
        <v>24.0</v>
      </c>
      <c r="M657" s="140" t="str">
        <f>VLOOKUP(text(D657, "#"),'Master Table'!$A:$F, 6, FALSE)</f>
        <v>D-8</v>
      </c>
      <c r="N657" s="141" t="str">
        <f>IFERROR(__xludf.DUMMYFUNCTION("""COMPUTED_VALUE"""),"Good presentation ")</f>
        <v>Good presentation </v>
      </c>
      <c r="O657" s="142" t="str">
        <f t="shared" si="1"/>
        <v/>
      </c>
      <c r="P657" s="143" t="str">
        <f>IF(ISNA(VLOOKUP(CONCAT(M657,C657), 'Judge Count DO NOT EDIT'!H:H, 1, FALSE)), "ERROR","")</f>
        <v/>
      </c>
      <c r="Q657" s="141"/>
      <c r="R657" s="143"/>
      <c r="S657" s="139" t="str">
        <f t="shared" si="2"/>
        <v>1092306</v>
      </c>
      <c r="T657" s="141"/>
    </row>
    <row r="658">
      <c r="A658" s="137">
        <f>IFERROR(__xludf.DUMMYFUNCTION("""COMPUTED_VALUE"""),45352.75027296296)</f>
        <v>45352.75027</v>
      </c>
      <c r="B658" s="138" t="str">
        <f>IFERROR(__xludf.DUMMYFUNCTION("""COMPUTED_VALUE"""),"Carson Poole")</f>
        <v>Carson Poole</v>
      </c>
      <c r="C658" s="138">
        <f>IFERROR(__xludf.DUMMYFUNCTION("""COMPUTED_VALUE"""),1188.0)</f>
        <v>1188</v>
      </c>
      <c r="D658" s="139">
        <f>IFERROR(__xludf.DUMMYFUNCTION("""COMPUTED_VALUE"""),307.0)</f>
        <v>307</v>
      </c>
      <c r="E658" s="138">
        <f>IFERROR(__xludf.DUMMYFUNCTION("""COMPUTED_VALUE"""),4.0)</f>
        <v>4</v>
      </c>
      <c r="F658" s="138">
        <f>IFERROR(__xludf.DUMMYFUNCTION("""COMPUTED_VALUE"""),5.0)</f>
        <v>5</v>
      </c>
      <c r="G658" s="138">
        <f>IFERROR(__xludf.DUMMYFUNCTION("""COMPUTED_VALUE"""),5.0)</f>
        <v>5</v>
      </c>
      <c r="H658" s="138">
        <f>IFERROR(__xludf.DUMMYFUNCTION("""COMPUTED_VALUE"""),4.0)</f>
        <v>4</v>
      </c>
      <c r="I658" s="138">
        <f>IFERROR(__xludf.DUMMYFUNCTION("""COMPUTED_VALUE"""),5.0)</f>
        <v>5</v>
      </c>
      <c r="J658" s="138">
        <f>IFERROR(__xludf.DUMMYFUNCTION("""COMPUTED_VALUE"""),4.0)</f>
        <v>4</v>
      </c>
      <c r="K658" s="138">
        <f>IFERROR(__xludf.DUMMYFUNCTION("""COMPUTED_VALUE"""),3.0)</f>
        <v>3</v>
      </c>
      <c r="L658" s="138">
        <v>30.0</v>
      </c>
      <c r="M658" s="140" t="str">
        <f>VLOOKUP(text(D658, "#"),'Master Table'!$A:$F, 6, FALSE)</f>
        <v>D-9</v>
      </c>
      <c r="N658" s="141" t="str">
        <f>IFERROR(__xludf.DUMMYFUNCTION("""COMPUTED_VALUE"""),"The research in this project was very relevant and impactful. The presentation was very clear in methodology, scope, and data. ")</f>
        <v>The research in this project was very relevant and impactful. The presentation was very clear in methodology, scope, and data. </v>
      </c>
      <c r="O658" s="142" t="str">
        <f t="shared" si="1"/>
        <v/>
      </c>
      <c r="P658" s="143" t="str">
        <f>IF(ISNA(VLOOKUP(CONCAT(M658,C658), 'Judge Count DO NOT EDIT'!H:H, 1, FALSE)), "ERROR","")</f>
        <v/>
      </c>
      <c r="Q658" s="141"/>
      <c r="R658" s="143"/>
      <c r="S658" s="139" t="str">
        <f t="shared" si="2"/>
        <v>1188307</v>
      </c>
      <c r="T658" s="141"/>
    </row>
    <row r="659">
      <c r="A659" s="137">
        <f>IFERROR(__xludf.DUMMYFUNCTION("""COMPUTED_VALUE"""),45352.751680925925)</f>
        <v>45352.75168</v>
      </c>
      <c r="B659" s="138" t="str">
        <f>IFERROR(__xludf.DUMMYFUNCTION("""COMPUTED_VALUE"""),"Carson Poole")</f>
        <v>Carson Poole</v>
      </c>
      <c r="C659" s="138">
        <f>IFERROR(__xludf.DUMMYFUNCTION("""COMPUTED_VALUE"""),1188.0)</f>
        <v>1188</v>
      </c>
      <c r="D659" s="139">
        <f>IFERROR(__xludf.DUMMYFUNCTION("""COMPUTED_VALUE"""),308.0)</f>
        <v>308</v>
      </c>
      <c r="E659" s="138">
        <f>IFERROR(__xludf.DUMMYFUNCTION("""COMPUTED_VALUE"""),3.0)</f>
        <v>3</v>
      </c>
      <c r="F659" s="138">
        <f>IFERROR(__xludf.DUMMYFUNCTION("""COMPUTED_VALUE"""),5.0)</f>
        <v>5</v>
      </c>
      <c r="G659" s="138">
        <f>IFERROR(__xludf.DUMMYFUNCTION("""COMPUTED_VALUE"""),5.0)</f>
        <v>5</v>
      </c>
      <c r="H659" s="138">
        <f>IFERROR(__xludf.DUMMYFUNCTION("""COMPUTED_VALUE"""),3.0)</f>
        <v>3</v>
      </c>
      <c r="I659" s="138">
        <f>IFERROR(__xludf.DUMMYFUNCTION("""COMPUTED_VALUE"""),3.0)</f>
        <v>3</v>
      </c>
      <c r="J659" s="138">
        <f>IFERROR(__xludf.DUMMYFUNCTION("""COMPUTED_VALUE"""),3.0)</f>
        <v>3</v>
      </c>
      <c r="K659" s="138">
        <f>IFERROR(__xludf.DUMMYFUNCTION("""COMPUTED_VALUE"""),3.0)</f>
        <v>3</v>
      </c>
      <c r="L659" s="138">
        <v>25.0</v>
      </c>
      <c r="M659" s="140" t="str">
        <f>VLOOKUP(text(D659, "#"),'Master Table'!$A:$F, 6, FALSE)</f>
        <v>D-9</v>
      </c>
      <c r="N659" s="141" t="str">
        <f>IFERROR(__xludf.DUMMYFUNCTION("""COMPUTED_VALUE"""),"The research was interesting and valuable, but two of the four presenters seemed very disinterested especially during the Q&amp;A. Danielle led the Q&amp;A and the other presenters did not do much to aid her in answering audience questions. They relied a little t"&amp;"oo much on notecards but overall they still did a good job. ")</f>
        <v>The research was interesting and valuable, but two of the four presenters seemed very disinterested especially during the Q&amp;A. Danielle led the Q&amp;A and the other presenters did not do much to aid her in answering audience questions. They relied a little too much on notecards but overall they still did a good job. </v>
      </c>
      <c r="O659" s="142" t="str">
        <f t="shared" si="1"/>
        <v/>
      </c>
      <c r="P659" s="143" t="str">
        <f>IF(ISNA(VLOOKUP(CONCAT(M659,C659), 'Judge Count DO NOT EDIT'!H:H, 1, FALSE)), "ERROR","")</f>
        <v/>
      </c>
      <c r="Q659" s="141"/>
      <c r="R659" s="143"/>
      <c r="S659" s="139" t="str">
        <f t="shared" si="2"/>
        <v>1188308</v>
      </c>
      <c r="T659" s="141"/>
    </row>
    <row r="660">
      <c r="A660" s="137">
        <f>IFERROR(__xludf.DUMMYFUNCTION("""COMPUTED_VALUE"""),45352.75689240741)</f>
        <v>45352.75689</v>
      </c>
      <c r="B660" s="138" t="str">
        <f>IFERROR(__xludf.DUMMYFUNCTION("""COMPUTED_VALUE"""),"Carson Poole")</f>
        <v>Carson Poole</v>
      </c>
      <c r="C660" s="138">
        <f>IFERROR(__xludf.DUMMYFUNCTION("""COMPUTED_VALUE"""),1188.0)</f>
        <v>1188</v>
      </c>
      <c r="D660" s="139">
        <f>IFERROR(__xludf.DUMMYFUNCTION("""COMPUTED_VALUE"""),309.0)</f>
        <v>309</v>
      </c>
      <c r="E660" s="138">
        <f>IFERROR(__xludf.DUMMYFUNCTION("""COMPUTED_VALUE"""),4.0)</f>
        <v>4</v>
      </c>
      <c r="F660" s="138">
        <f>IFERROR(__xludf.DUMMYFUNCTION("""COMPUTED_VALUE"""),4.0)</f>
        <v>4</v>
      </c>
      <c r="G660" s="138">
        <f>IFERROR(__xludf.DUMMYFUNCTION("""COMPUTED_VALUE"""),5.0)</f>
        <v>5</v>
      </c>
      <c r="H660" s="138">
        <f>IFERROR(__xludf.DUMMYFUNCTION("""COMPUTED_VALUE"""),4.0)</f>
        <v>4</v>
      </c>
      <c r="I660" s="138">
        <f>IFERROR(__xludf.DUMMYFUNCTION("""COMPUTED_VALUE"""),4.0)</f>
        <v>4</v>
      </c>
      <c r="J660" s="138">
        <f>IFERROR(__xludf.DUMMYFUNCTION("""COMPUTED_VALUE"""),4.0)</f>
        <v>4</v>
      </c>
      <c r="K660" s="138">
        <f>IFERROR(__xludf.DUMMYFUNCTION("""COMPUTED_VALUE"""),4.0)</f>
        <v>4</v>
      </c>
      <c r="L660" s="138">
        <v>29.0</v>
      </c>
      <c r="M660" s="140" t="str">
        <f>VLOOKUP(text(D660, "#"),'Master Table'!$A:$F, 6, FALSE)</f>
        <v>D-9</v>
      </c>
      <c r="N660" s="141" t="str">
        <f>IFERROR(__xludf.DUMMYFUNCTION("""COMPUTED_VALUE"""),"The research was relevant and well presented. The presenters were knowledgable but relied a little too heavily on their notecards. ")</f>
        <v>The research was relevant and well presented. The presenters were knowledgable but relied a little too heavily on their notecards. </v>
      </c>
      <c r="O660" s="142" t="str">
        <f t="shared" si="1"/>
        <v/>
      </c>
      <c r="P660" s="143" t="str">
        <f>IF(ISNA(VLOOKUP(CONCAT(M660,C660), 'Judge Count DO NOT EDIT'!H:H, 1, FALSE)), "ERROR","")</f>
        <v/>
      </c>
      <c r="Q660" s="141"/>
      <c r="R660" s="143"/>
      <c r="S660" s="139" t="str">
        <f t="shared" si="2"/>
        <v>1188309</v>
      </c>
      <c r="T660" s="141"/>
    </row>
    <row r="661">
      <c r="A661" s="137">
        <f>IFERROR(__xludf.DUMMYFUNCTION("""COMPUTED_VALUE"""),45352.75823291666)</f>
        <v>45352.75823</v>
      </c>
      <c r="B661" s="138" t="str">
        <f>IFERROR(__xludf.DUMMYFUNCTION("""COMPUTED_VALUE"""),"Carson Poole")</f>
        <v>Carson Poole</v>
      </c>
      <c r="C661" s="138">
        <f>IFERROR(__xludf.DUMMYFUNCTION("""COMPUTED_VALUE"""),1188.0)</f>
        <v>1188</v>
      </c>
      <c r="D661" s="139">
        <f>IFERROR(__xludf.DUMMYFUNCTION("""COMPUTED_VALUE"""),310.0)</f>
        <v>310</v>
      </c>
      <c r="E661" s="138">
        <f>IFERROR(__xludf.DUMMYFUNCTION("""COMPUTED_VALUE"""),4.0)</f>
        <v>4</v>
      </c>
      <c r="F661" s="138">
        <f>IFERROR(__xludf.DUMMYFUNCTION("""COMPUTED_VALUE"""),5.0)</f>
        <v>5</v>
      </c>
      <c r="G661" s="138">
        <f>IFERROR(__xludf.DUMMYFUNCTION("""COMPUTED_VALUE"""),5.0)</f>
        <v>5</v>
      </c>
      <c r="H661" s="138">
        <f>IFERROR(__xludf.DUMMYFUNCTION("""COMPUTED_VALUE"""),5.0)</f>
        <v>5</v>
      </c>
      <c r="I661" s="138">
        <f>IFERROR(__xludf.DUMMYFUNCTION("""COMPUTED_VALUE"""),4.0)</f>
        <v>4</v>
      </c>
      <c r="J661" s="138">
        <f>IFERROR(__xludf.DUMMYFUNCTION("""COMPUTED_VALUE"""),5.0)</f>
        <v>5</v>
      </c>
      <c r="K661" s="138">
        <f>IFERROR(__xludf.DUMMYFUNCTION("""COMPUTED_VALUE"""),5.0)</f>
        <v>5</v>
      </c>
      <c r="L661" s="138">
        <v>33.0</v>
      </c>
      <c r="M661" s="140" t="str">
        <f>VLOOKUP(text(D661, "#"),'Master Table'!$A:$F, 6, FALSE)</f>
        <v>D-9</v>
      </c>
      <c r="N661" s="141" t="str">
        <f>IFERROR(__xludf.DUMMYFUNCTION("""COMPUTED_VALUE"""),"Great presentation of a very timely topic. This presenter handled the Q&amp;A section especially well as some very tough questions were being asked. ")</f>
        <v>Great presentation of a very timely topic. This presenter handled the Q&amp;A section especially well as some very tough questions were being asked. </v>
      </c>
      <c r="O661" s="142" t="str">
        <f t="shared" si="1"/>
        <v/>
      </c>
      <c r="P661" s="143" t="str">
        <f>IF(ISNA(VLOOKUP(CONCAT(M661,C661), 'Judge Count DO NOT EDIT'!H:H, 1, FALSE)), "ERROR","")</f>
        <v/>
      </c>
      <c r="Q661" s="141"/>
      <c r="R661" s="143"/>
      <c r="S661" s="139" t="str">
        <f t="shared" si="2"/>
        <v>1188310</v>
      </c>
      <c r="T661" s="141"/>
    </row>
    <row r="662">
      <c r="A662" s="137">
        <f>IFERROR(__xludf.DUMMYFUNCTION("""COMPUTED_VALUE"""),45352.75950266204)</f>
        <v>45352.7595</v>
      </c>
      <c r="B662" s="138" t="str">
        <f>IFERROR(__xludf.DUMMYFUNCTION("""COMPUTED_VALUE"""),"Carson Poole")</f>
        <v>Carson Poole</v>
      </c>
      <c r="C662" s="138">
        <f>IFERROR(__xludf.DUMMYFUNCTION("""COMPUTED_VALUE"""),1188.0)</f>
        <v>1188</v>
      </c>
      <c r="D662" s="139">
        <f>IFERROR(__xludf.DUMMYFUNCTION("""COMPUTED_VALUE"""),312.0)</f>
        <v>312</v>
      </c>
      <c r="E662" s="138">
        <f>IFERROR(__xludf.DUMMYFUNCTION("""COMPUTED_VALUE"""),5.0)</f>
        <v>5</v>
      </c>
      <c r="F662" s="138">
        <f>IFERROR(__xludf.DUMMYFUNCTION("""COMPUTED_VALUE"""),5.0)</f>
        <v>5</v>
      </c>
      <c r="G662" s="138">
        <f>IFERROR(__xludf.DUMMYFUNCTION("""COMPUTED_VALUE"""),5.0)</f>
        <v>5</v>
      </c>
      <c r="H662" s="138">
        <f>IFERROR(__xludf.DUMMYFUNCTION("""COMPUTED_VALUE"""),5.0)</f>
        <v>5</v>
      </c>
      <c r="I662" s="138">
        <f>IFERROR(__xludf.DUMMYFUNCTION("""COMPUTED_VALUE"""),5.0)</f>
        <v>5</v>
      </c>
      <c r="J662" s="138">
        <f>IFERROR(__xludf.DUMMYFUNCTION("""COMPUTED_VALUE"""),5.0)</f>
        <v>5</v>
      </c>
      <c r="K662" s="138">
        <f>IFERROR(__xludf.DUMMYFUNCTION("""COMPUTED_VALUE"""),5.0)</f>
        <v>5</v>
      </c>
      <c r="L662" s="138">
        <v>35.0</v>
      </c>
      <c r="M662" s="140" t="str">
        <f>VLOOKUP(text(D662, "#"),'Master Table'!$A:$F, 6, FALSE)</f>
        <v>D-9</v>
      </c>
      <c r="N662" s="141" t="str">
        <f>IFERROR(__xludf.DUMMYFUNCTION("""COMPUTED_VALUE"""),"This was the best presentation of the panel. The presenter was very well organized, the PowerPoint was extremely well done, and she was extremely knowledgable of her subject. The way she visualized her data in the PowerPoint was especially insightful and "&amp;"engaging. ")</f>
        <v>This was the best presentation of the panel. The presenter was very well organized, the PowerPoint was extremely well done, and she was extremely knowledgable of her subject. The way she visualized her data in the PowerPoint was especially insightful and engaging. </v>
      </c>
      <c r="O662" s="142" t="str">
        <f t="shared" si="1"/>
        <v/>
      </c>
      <c r="P662" s="143" t="str">
        <f>IF(ISNA(VLOOKUP(CONCAT(M662,C662), 'Judge Count DO NOT EDIT'!H:H, 1, FALSE)), "ERROR","")</f>
        <v/>
      </c>
      <c r="Q662" s="141"/>
      <c r="R662" s="143"/>
      <c r="S662" s="139" t="str">
        <f t="shared" si="2"/>
        <v>1188312</v>
      </c>
      <c r="T662" s="141"/>
    </row>
    <row r="663">
      <c r="A663" s="137">
        <f>IFERROR(__xludf.DUMMYFUNCTION("""COMPUTED_VALUE"""),45352.40920922454)</f>
        <v>45352.40921</v>
      </c>
      <c r="B663" s="138" t="str">
        <f>IFERROR(__xludf.DUMMYFUNCTION("""COMPUTED_VALUE"""),"Valeria ochoa ")</f>
        <v>Valeria ochoa </v>
      </c>
      <c r="C663" s="138">
        <f>IFERROR(__xludf.DUMMYFUNCTION("""COMPUTED_VALUE"""),1219.0)</f>
        <v>1219</v>
      </c>
      <c r="D663" s="139">
        <f>IFERROR(__xludf.DUMMYFUNCTION("""COMPUTED_VALUE"""),318.0)</f>
        <v>318</v>
      </c>
      <c r="E663" s="138">
        <f>IFERROR(__xludf.DUMMYFUNCTION("""COMPUTED_VALUE"""),5.0)</f>
        <v>5</v>
      </c>
      <c r="F663" s="138">
        <f>IFERROR(__xludf.DUMMYFUNCTION("""COMPUTED_VALUE"""),5.0)</f>
        <v>5</v>
      </c>
      <c r="G663" s="138">
        <f>IFERROR(__xludf.DUMMYFUNCTION("""COMPUTED_VALUE"""),5.0)</f>
        <v>5</v>
      </c>
      <c r="H663" s="138">
        <f>IFERROR(__xludf.DUMMYFUNCTION("""COMPUTED_VALUE"""),5.0)</f>
        <v>5</v>
      </c>
      <c r="I663" s="138">
        <f>IFERROR(__xludf.DUMMYFUNCTION("""COMPUTED_VALUE"""),5.0)</f>
        <v>5</v>
      </c>
      <c r="J663" s="138">
        <f>IFERROR(__xludf.DUMMYFUNCTION("""COMPUTED_VALUE"""),5.0)</f>
        <v>5</v>
      </c>
      <c r="K663" s="138">
        <f>IFERROR(__xludf.DUMMYFUNCTION("""COMPUTED_VALUE"""),5.0)</f>
        <v>5</v>
      </c>
      <c r="L663" s="138">
        <v>35.0</v>
      </c>
      <c r="M663" s="140" t="str">
        <f>VLOOKUP(text(D663, "#"),'Master Table'!$A:$F, 6, FALSE)</f>
        <v>F-1</v>
      </c>
      <c r="N663" s="141" t="str">
        <f>IFERROR(__xludf.DUMMYFUNCTION("""COMPUTED_VALUE"""),"Seemed very confident and passionate about their project. Exceptional delivery of content. Answered questions efficiently. Excellent job! ")</f>
        <v>Seemed very confident and passionate about their project. Exceptional delivery of content. Answered questions efficiently. Excellent job! </v>
      </c>
      <c r="O663" s="142" t="str">
        <f t="shared" si="1"/>
        <v/>
      </c>
      <c r="P663" s="143" t="str">
        <f>IF(ISNA(VLOOKUP(CONCAT(M663,C663), 'Judge Count DO NOT EDIT'!H:H, 1, FALSE)), "ERROR","")</f>
        <v/>
      </c>
      <c r="Q663" s="141"/>
      <c r="R663" s="143"/>
      <c r="S663" s="139" t="str">
        <f t="shared" si="2"/>
        <v>1219318</v>
      </c>
      <c r="T663" s="141"/>
    </row>
    <row r="664">
      <c r="A664" s="137">
        <f>IFERROR(__xludf.DUMMYFUNCTION("""COMPUTED_VALUE"""),45352.41095755787)</f>
        <v>45352.41096</v>
      </c>
      <c r="B664" s="138" t="str">
        <f>IFERROR(__xludf.DUMMYFUNCTION("""COMPUTED_VALUE"""),"Stephanie Ries")</f>
        <v>Stephanie Ries</v>
      </c>
      <c r="C664" s="138">
        <f>IFERROR(__xludf.DUMMYFUNCTION("""COMPUTED_VALUE"""),1114.0)</f>
        <v>1114</v>
      </c>
      <c r="D664" s="139">
        <f>IFERROR(__xludf.DUMMYFUNCTION("""COMPUTED_VALUE"""),318.0)</f>
        <v>318</v>
      </c>
      <c r="E664" s="138">
        <f>IFERROR(__xludf.DUMMYFUNCTION("""COMPUTED_VALUE"""),5.0)</f>
        <v>5</v>
      </c>
      <c r="F664" s="138">
        <f>IFERROR(__xludf.DUMMYFUNCTION("""COMPUTED_VALUE"""),5.0)</f>
        <v>5</v>
      </c>
      <c r="G664" s="138">
        <f>IFERROR(__xludf.DUMMYFUNCTION("""COMPUTED_VALUE"""),4.0)</f>
        <v>4</v>
      </c>
      <c r="H664" s="138">
        <f>IFERROR(__xludf.DUMMYFUNCTION("""COMPUTED_VALUE"""),4.0)</f>
        <v>4</v>
      </c>
      <c r="I664" s="138">
        <f>IFERROR(__xludf.DUMMYFUNCTION("""COMPUTED_VALUE"""),5.0)</f>
        <v>5</v>
      </c>
      <c r="J664" s="138">
        <f>IFERROR(__xludf.DUMMYFUNCTION("""COMPUTED_VALUE"""),5.0)</f>
        <v>5</v>
      </c>
      <c r="K664" s="138">
        <f>IFERROR(__xludf.DUMMYFUNCTION("""COMPUTED_VALUE"""),5.0)</f>
        <v>5</v>
      </c>
      <c r="L664" s="138">
        <v>33.0</v>
      </c>
      <c r="M664" s="140" t="str">
        <f>VLOOKUP(text(D664, "#"),'Master Table'!$A:$F, 6, FALSE)</f>
        <v>F-1</v>
      </c>
      <c r="N664" s="141" t="str">
        <f>IFERROR(__xludf.DUMMYFUNCTION("""COMPUTED_VALUE"""),"Really clear presentation on an important topic!! Starts would have been nice to determine which results to pay more attention to, but great study!")</f>
        <v>Really clear presentation on an important topic!! Starts would have been nice to determine which results to pay more attention to, but great study!</v>
      </c>
      <c r="O664" s="142" t="str">
        <f t="shared" si="1"/>
        <v/>
      </c>
      <c r="P664" s="143" t="str">
        <f>IF(ISNA(VLOOKUP(CONCAT(M664,C664), 'Judge Count DO NOT EDIT'!H:H, 1, FALSE)), "ERROR","")</f>
        <v/>
      </c>
      <c r="Q664" s="141"/>
      <c r="R664" s="143"/>
      <c r="S664" s="139" t="str">
        <f t="shared" si="2"/>
        <v>1114318</v>
      </c>
      <c r="T664" s="141"/>
    </row>
    <row r="665">
      <c r="A665" s="137">
        <f>IFERROR(__xludf.DUMMYFUNCTION("""COMPUTED_VALUE"""),45352.4271966088)</f>
        <v>45352.4272</v>
      </c>
      <c r="B665" s="138" t="str">
        <f>IFERROR(__xludf.DUMMYFUNCTION("""COMPUTED_VALUE"""),"JoAnn Silkes")</f>
        <v>JoAnn Silkes</v>
      </c>
      <c r="C665" s="138">
        <f>IFERROR(__xludf.DUMMYFUNCTION("""COMPUTED_VALUE"""),1094.0)</f>
        <v>1094</v>
      </c>
      <c r="D665" s="139">
        <f>IFERROR(__xludf.DUMMYFUNCTION("""COMPUTED_VALUE"""),318.0)</f>
        <v>318</v>
      </c>
      <c r="E665" s="138">
        <f>IFERROR(__xludf.DUMMYFUNCTION("""COMPUTED_VALUE"""),4.0)</f>
        <v>4</v>
      </c>
      <c r="F665" s="138">
        <f>IFERROR(__xludf.DUMMYFUNCTION("""COMPUTED_VALUE"""),5.0)</f>
        <v>5</v>
      </c>
      <c r="G665" s="138">
        <f>IFERROR(__xludf.DUMMYFUNCTION("""COMPUTED_VALUE"""),5.0)</f>
        <v>5</v>
      </c>
      <c r="H665" s="138">
        <f>IFERROR(__xludf.DUMMYFUNCTION("""COMPUTED_VALUE"""),5.0)</f>
        <v>5</v>
      </c>
      <c r="I665" s="138">
        <f>IFERROR(__xludf.DUMMYFUNCTION("""COMPUTED_VALUE"""),5.0)</f>
        <v>5</v>
      </c>
      <c r="J665" s="138">
        <f>IFERROR(__xludf.DUMMYFUNCTION("""COMPUTED_VALUE"""),5.0)</f>
        <v>5</v>
      </c>
      <c r="K665" s="138">
        <f>IFERROR(__xludf.DUMMYFUNCTION("""COMPUTED_VALUE"""),5.0)</f>
        <v>5</v>
      </c>
      <c r="L665" s="138">
        <v>34.0</v>
      </c>
      <c r="M665" s="140" t="str">
        <f>VLOOKUP(text(D665, "#"),'Master Table'!$A:$F, 6, FALSE)</f>
        <v>F-1</v>
      </c>
      <c r="N665" s="141" t="str">
        <f>IFERROR(__xludf.DUMMYFUNCTION("""COMPUTED_VALUE"""),"This was an excellent presentation of a very interesting study. The presenters were poised, well versed in their topic, and answered questions confidently and clearly. ")</f>
        <v>This was an excellent presentation of a very interesting study. The presenters were poised, well versed in their topic, and answered questions confidently and clearly. </v>
      </c>
      <c r="O665" s="142" t="str">
        <f t="shared" si="1"/>
        <v/>
      </c>
      <c r="P665" s="143" t="str">
        <f>IF(ISNA(VLOOKUP(CONCAT(M665,C665), 'Judge Count DO NOT EDIT'!H:H, 1, FALSE)), "ERROR","")</f>
        <v/>
      </c>
      <c r="Q665" s="141"/>
      <c r="R665" s="143"/>
      <c r="S665" s="139" t="str">
        <f t="shared" si="2"/>
        <v>1094318</v>
      </c>
      <c r="T665" s="141"/>
    </row>
    <row r="666">
      <c r="A666" s="137">
        <f>IFERROR(__xludf.DUMMYFUNCTION("""COMPUTED_VALUE"""),45352.4291377662)</f>
        <v>45352.42914</v>
      </c>
      <c r="B666" s="138" t="str">
        <f>IFERROR(__xludf.DUMMYFUNCTION("""COMPUTED_VALUE"""),"Kristine Ehrich")</f>
        <v>Kristine Ehrich</v>
      </c>
      <c r="C666" s="138">
        <f>IFERROR(__xludf.DUMMYFUNCTION("""COMPUTED_VALUE"""),1183.0)</f>
        <v>1183</v>
      </c>
      <c r="D666" s="139">
        <f>IFERROR(__xludf.DUMMYFUNCTION("""COMPUTED_VALUE"""),318.0)</f>
        <v>318</v>
      </c>
      <c r="E666" s="138">
        <f>IFERROR(__xludf.DUMMYFUNCTION("""COMPUTED_VALUE"""),5.0)</f>
        <v>5</v>
      </c>
      <c r="F666" s="138">
        <f>IFERROR(__xludf.DUMMYFUNCTION("""COMPUTED_VALUE"""),4.0)</f>
        <v>4</v>
      </c>
      <c r="G666" s="138">
        <f>IFERROR(__xludf.DUMMYFUNCTION("""COMPUTED_VALUE"""),5.0)</f>
        <v>5</v>
      </c>
      <c r="H666" s="138">
        <f>IFERROR(__xludf.DUMMYFUNCTION("""COMPUTED_VALUE"""),5.0)</f>
        <v>5</v>
      </c>
      <c r="I666" s="138">
        <f>IFERROR(__xludf.DUMMYFUNCTION("""COMPUTED_VALUE"""),4.0)</f>
        <v>4</v>
      </c>
      <c r="J666" s="138">
        <f>IFERROR(__xludf.DUMMYFUNCTION("""COMPUTED_VALUE"""),5.0)</f>
        <v>5</v>
      </c>
      <c r="K666" s="138">
        <f>IFERROR(__xludf.DUMMYFUNCTION("""COMPUTED_VALUE"""),5.0)</f>
        <v>5</v>
      </c>
      <c r="L666" s="138">
        <v>33.0</v>
      </c>
      <c r="M666" s="140" t="str">
        <f>VLOOKUP(text(D666, "#"),'Master Table'!$A:$F, 6, FALSE)</f>
        <v>F-1</v>
      </c>
      <c r="N666" s="141" t="str">
        <f>IFERROR(__xludf.DUMMYFUNCTION("""COMPUTED_VALUE"""),"Wonderful job on the research itself as well as presenting it. This is important research! Thanks for caring and doing a nice job. Enjoyable to listen to, you had a good command of the information you shared. Well done!")</f>
        <v>Wonderful job on the research itself as well as presenting it. This is important research! Thanks for caring and doing a nice job. Enjoyable to listen to, you had a good command of the information you shared. Well done!</v>
      </c>
      <c r="O666" s="142" t="str">
        <f t="shared" si="1"/>
        <v/>
      </c>
      <c r="P666" s="143" t="str">
        <f>IF(ISNA(VLOOKUP(CONCAT(M666,C666), 'Judge Count DO NOT EDIT'!H:H, 1, FALSE)), "ERROR","")</f>
        <v/>
      </c>
      <c r="Q666" s="141"/>
      <c r="R666" s="143"/>
      <c r="S666" s="139" t="str">
        <f t="shared" si="2"/>
        <v>1183318</v>
      </c>
      <c r="T666" s="141"/>
    </row>
    <row r="667">
      <c r="A667" s="137">
        <f>IFERROR(__xludf.DUMMYFUNCTION("""COMPUTED_VALUE"""),45352.4754062963)</f>
        <v>45352.47541</v>
      </c>
      <c r="B667" s="138" t="str">
        <f>IFERROR(__xludf.DUMMYFUNCTION("""COMPUTED_VALUE"""),"Charlene Holkenbrink-Monk")</f>
        <v>Charlene Holkenbrink-Monk</v>
      </c>
      <c r="C667" s="138">
        <f>IFERROR(__xludf.DUMMYFUNCTION("""COMPUTED_VALUE"""),1058.0)</f>
        <v>1058</v>
      </c>
      <c r="D667" s="139">
        <f>IFERROR(__xludf.DUMMYFUNCTION("""COMPUTED_VALUE"""),318.0)</f>
        <v>318</v>
      </c>
      <c r="E667" s="138">
        <f>IFERROR(__xludf.DUMMYFUNCTION("""COMPUTED_VALUE"""),3.0)</f>
        <v>3</v>
      </c>
      <c r="F667" s="138">
        <f>IFERROR(__xludf.DUMMYFUNCTION("""COMPUTED_VALUE"""),5.0)</f>
        <v>5</v>
      </c>
      <c r="G667" s="138">
        <f>IFERROR(__xludf.DUMMYFUNCTION("""COMPUTED_VALUE"""),4.0)</f>
        <v>4</v>
      </c>
      <c r="H667" s="138">
        <f>IFERROR(__xludf.DUMMYFUNCTION("""COMPUTED_VALUE"""),3.0)</f>
        <v>3</v>
      </c>
      <c r="I667" s="138">
        <f>IFERROR(__xludf.DUMMYFUNCTION("""COMPUTED_VALUE"""),3.0)</f>
        <v>3</v>
      </c>
      <c r="J667" s="138">
        <f>IFERROR(__xludf.DUMMYFUNCTION("""COMPUTED_VALUE"""),4.0)</f>
        <v>4</v>
      </c>
      <c r="K667" s="138">
        <f>IFERROR(__xludf.DUMMYFUNCTION("""COMPUTED_VALUE"""),4.0)</f>
        <v>4</v>
      </c>
      <c r="L667" s="138">
        <v>26.0</v>
      </c>
      <c r="M667" s="140" t="str">
        <f>VLOOKUP(text(D667, "#"),'Master Table'!$A:$F, 6, FALSE)</f>
        <v>F-1</v>
      </c>
      <c r="N667" s="141" t="str">
        <f>IFERROR(__xludf.DUMMYFUNCTION("""COMPUTED_VALUE"""),"This work is so necessary especially when thinking about accessibility. Overall, the findings were interesting and relevant. Great immediate interaction and acknowledgement of the audience. Thorough knowledge of the topic. Some advice for future presentat"&amp;"ions is to go through the methodology to highlight the reliability and validity of the research approach. Great job discussing future research and community engagement with the purpose of this project. ")</f>
        <v>This work is so necessary especially when thinking about accessibility. Overall, the findings were interesting and relevant. Great immediate interaction and acknowledgement of the audience. Thorough knowledge of the topic. Some advice for future presentations is to go through the methodology to highlight the reliability and validity of the research approach. Great job discussing future research and community engagement with the purpose of this project. </v>
      </c>
      <c r="O667" s="142" t="str">
        <f t="shared" si="1"/>
        <v/>
      </c>
      <c r="P667" s="143" t="str">
        <f>IF(ISNA(VLOOKUP(CONCAT(M667,C667), 'Judge Count DO NOT EDIT'!H:H, 1, FALSE)), "ERROR","")</f>
        <v/>
      </c>
      <c r="Q667" s="141"/>
      <c r="R667" s="143"/>
      <c r="S667" s="139" t="str">
        <f t="shared" si="2"/>
        <v>1058318</v>
      </c>
      <c r="T667" s="141"/>
    </row>
    <row r="668">
      <c r="A668" s="137">
        <f>IFERROR(__xludf.DUMMYFUNCTION("""COMPUTED_VALUE"""),45352.40274853009)</f>
        <v>45352.40275</v>
      </c>
      <c r="B668" s="138" t="str">
        <f>IFERROR(__xludf.DUMMYFUNCTION("""COMPUTED_VALUE"""),"Valeria ochoa ")</f>
        <v>Valeria ochoa </v>
      </c>
      <c r="C668" s="138">
        <f>IFERROR(__xludf.DUMMYFUNCTION("""COMPUTED_VALUE"""),1219.0)</f>
        <v>1219</v>
      </c>
      <c r="D668" s="139">
        <f>IFERROR(__xludf.DUMMYFUNCTION("""COMPUTED_VALUE"""),319.0)</f>
        <v>319</v>
      </c>
      <c r="E668" s="138">
        <f>IFERROR(__xludf.DUMMYFUNCTION("""COMPUTED_VALUE"""),4.0)</f>
        <v>4</v>
      </c>
      <c r="F668" s="138">
        <f>IFERROR(__xludf.DUMMYFUNCTION("""COMPUTED_VALUE"""),4.0)</f>
        <v>4</v>
      </c>
      <c r="G668" s="138">
        <f>IFERROR(__xludf.DUMMYFUNCTION("""COMPUTED_VALUE"""),4.0)</f>
        <v>4</v>
      </c>
      <c r="H668" s="138">
        <f>IFERROR(__xludf.DUMMYFUNCTION("""COMPUTED_VALUE"""),4.0)</f>
        <v>4</v>
      </c>
      <c r="I668" s="138">
        <f>IFERROR(__xludf.DUMMYFUNCTION("""COMPUTED_VALUE"""),5.0)</f>
        <v>5</v>
      </c>
      <c r="J668" s="138">
        <f>IFERROR(__xludf.DUMMYFUNCTION("""COMPUTED_VALUE"""),4.0)</f>
        <v>4</v>
      </c>
      <c r="K668" s="138">
        <f>IFERROR(__xludf.DUMMYFUNCTION("""COMPUTED_VALUE"""),4.0)</f>
        <v>4</v>
      </c>
      <c r="L668" s="138">
        <v>29.0</v>
      </c>
      <c r="M668" s="140" t="str">
        <f>VLOOKUP(text(D668, "#"),'Master Table'!$A:$F, 6, FALSE)</f>
        <v>F-1</v>
      </c>
      <c r="N668" s="141"/>
      <c r="O668" s="142" t="str">
        <f t="shared" si="1"/>
        <v/>
      </c>
      <c r="P668" s="143" t="str">
        <f>IF(ISNA(VLOOKUP(CONCAT(M668,C668), 'Judge Count DO NOT EDIT'!H:H, 1, FALSE)), "ERROR","")</f>
        <v/>
      </c>
      <c r="Q668" s="144"/>
      <c r="R668" s="143"/>
      <c r="S668" s="139" t="str">
        <f t="shared" si="2"/>
        <v>1219319</v>
      </c>
      <c r="T668" s="141"/>
    </row>
    <row r="669">
      <c r="A669" s="137">
        <f>IFERROR(__xludf.DUMMYFUNCTION("""COMPUTED_VALUE"""),45352.41263586805)</f>
        <v>45352.41264</v>
      </c>
      <c r="B669" s="138" t="str">
        <f>IFERROR(__xludf.DUMMYFUNCTION("""COMPUTED_VALUE"""),"Stephanie Ries ")</f>
        <v>Stephanie Ries </v>
      </c>
      <c r="C669" s="138">
        <f>IFERROR(__xludf.DUMMYFUNCTION("""COMPUTED_VALUE"""),1114.0)</f>
        <v>1114</v>
      </c>
      <c r="D669" s="139">
        <f>IFERROR(__xludf.DUMMYFUNCTION("""COMPUTED_VALUE"""),319.0)</f>
        <v>319</v>
      </c>
      <c r="E669" s="138">
        <f>IFERROR(__xludf.DUMMYFUNCTION("""COMPUTED_VALUE"""),4.0)</f>
        <v>4</v>
      </c>
      <c r="F669" s="138">
        <f>IFERROR(__xludf.DUMMYFUNCTION("""COMPUTED_VALUE"""),4.0)</f>
        <v>4</v>
      </c>
      <c r="G669" s="138">
        <f>IFERROR(__xludf.DUMMYFUNCTION("""COMPUTED_VALUE"""),4.0)</f>
        <v>4</v>
      </c>
      <c r="H669" s="138">
        <f>IFERROR(__xludf.DUMMYFUNCTION("""COMPUTED_VALUE"""),4.0)</f>
        <v>4</v>
      </c>
      <c r="I669" s="138">
        <f>IFERROR(__xludf.DUMMYFUNCTION("""COMPUTED_VALUE"""),4.0)</f>
        <v>4</v>
      </c>
      <c r="J669" s="138">
        <f>IFERROR(__xludf.DUMMYFUNCTION("""COMPUTED_VALUE"""),3.0)</f>
        <v>3</v>
      </c>
      <c r="K669" s="138">
        <f>IFERROR(__xludf.DUMMYFUNCTION("""COMPUTED_VALUE"""),5.0)</f>
        <v>5</v>
      </c>
      <c r="L669" s="138">
        <v>28.0</v>
      </c>
      <c r="M669" s="140" t="str">
        <f>VLOOKUP(text(D669, "#"),'Master Table'!$A:$F, 6, FALSE)</f>
        <v>F-1</v>
      </c>
      <c r="N669" s="141" t="str">
        <f>IFERROR(__xludf.DUMMYFUNCTION("""COMPUTED_VALUE"""),"Very interesting study on Adverse Childhood Experiences and their long term consequences. The poster was a bit busy word wise and the bar graphs lacked error bars, but otherwise very clear presentation!")</f>
        <v>Very interesting study on Adverse Childhood Experiences and their long term consequences. The poster was a bit busy word wise and the bar graphs lacked error bars, but otherwise very clear presentation!</v>
      </c>
      <c r="O669" s="142" t="str">
        <f t="shared" si="1"/>
        <v/>
      </c>
      <c r="P669" s="143" t="str">
        <f>IF(ISNA(VLOOKUP(CONCAT(M669,C669), 'Judge Count DO NOT EDIT'!H:H, 1, FALSE)), "ERROR","")</f>
        <v/>
      </c>
      <c r="Q669" s="141"/>
      <c r="R669" s="143"/>
      <c r="S669" s="139" t="str">
        <f t="shared" si="2"/>
        <v>1114319</v>
      </c>
      <c r="T669" s="141"/>
    </row>
    <row r="670">
      <c r="A670" s="137">
        <f>IFERROR(__xludf.DUMMYFUNCTION("""COMPUTED_VALUE"""),45352.42964148148)</f>
        <v>45352.42964</v>
      </c>
      <c r="B670" s="138" t="str">
        <f>IFERROR(__xludf.DUMMYFUNCTION("""COMPUTED_VALUE"""),"JoAnn Silkes")</f>
        <v>JoAnn Silkes</v>
      </c>
      <c r="C670" s="138">
        <f>IFERROR(__xludf.DUMMYFUNCTION("""COMPUTED_VALUE"""),1094.0)</f>
        <v>1094</v>
      </c>
      <c r="D670" s="139">
        <f>IFERROR(__xludf.DUMMYFUNCTION("""COMPUTED_VALUE"""),319.0)</f>
        <v>319</v>
      </c>
      <c r="E670" s="138">
        <f>IFERROR(__xludf.DUMMYFUNCTION("""COMPUTED_VALUE"""),4.0)</f>
        <v>4</v>
      </c>
      <c r="F670" s="138">
        <f>IFERROR(__xludf.DUMMYFUNCTION("""COMPUTED_VALUE"""),4.0)</f>
        <v>4</v>
      </c>
      <c r="G670" s="138">
        <f>IFERROR(__xludf.DUMMYFUNCTION("""COMPUTED_VALUE"""),4.0)</f>
        <v>4</v>
      </c>
      <c r="H670" s="138">
        <f>IFERROR(__xludf.DUMMYFUNCTION("""COMPUTED_VALUE"""),3.0)</f>
        <v>3</v>
      </c>
      <c r="I670" s="138">
        <f>IFERROR(__xludf.DUMMYFUNCTION("""COMPUTED_VALUE"""),4.0)</f>
        <v>4</v>
      </c>
      <c r="J670" s="138">
        <f>IFERROR(__xludf.DUMMYFUNCTION("""COMPUTED_VALUE"""),4.0)</f>
        <v>4</v>
      </c>
      <c r="K670" s="138">
        <f>IFERROR(__xludf.DUMMYFUNCTION("""COMPUTED_VALUE"""),4.0)</f>
        <v>4</v>
      </c>
      <c r="L670" s="138">
        <v>27.0</v>
      </c>
      <c r="M670" s="140" t="str">
        <f>VLOOKUP(text(D670, "#"),'Master Table'!$A:$F, 6, FALSE)</f>
        <v>F-1</v>
      </c>
      <c r="N670" s="141" t="str">
        <f>IFERROR(__xludf.DUMMYFUNCTION("""COMPUTED_VALUE"""),"Thus was a well done presentation of an interesting study! The presenter did a nice job explaining the study and responding to questions. ")</f>
        <v>Thus was a well done presentation of an interesting study! The presenter did a nice job explaining the study and responding to questions. </v>
      </c>
      <c r="O670" s="142" t="str">
        <f t="shared" si="1"/>
        <v/>
      </c>
      <c r="P670" s="143" t="str">
        <f>IF(ISNA(VLOOKUP(CONCAT(M670,C670), 'Judge Count DO NOT EDIT'!H:H, 1, FALSE)), "ERROR","")</f>
        <v/>
      </c>
      <c r="Q670" s="141"/>
      <c r="R670" s="143"/>
      <c r="S670" s="139" t="str">
        <f t="shared" si="2"/>
        <v>1094319</v>
      </c>
      <c r="T670" s="141"/>
    </row>
    <row r="671">
      <c r="A671" s="137">
        <f>IFERROR(__xludf.DUMMYFUNCTION("""COMPUTED_VALUE"""),45352.43193186342)</f>
        <v>45352.43193</v>
      </c>
      <c r="B671" s="138" t="str">
        <f>IFERROR(__xludf.DUMMYFUNCTION("""COMPUTED_VALUE"""),"Kristine Ehrich")</f>
        <v>Kristine Ehrich</v>
      </c>
      <c r="C671" s="138">
        <f>IFERROR(__xludf.DUMMYFUNCTION("""COMPUTED_VALUE"""),1183.0)</f>
        <v>1183</v>
      </c>
      <c r="D671" s="139">
        <f>IFERROR(__xludf.DUMMYFUNCTION("""COMPUTED_VALUE"""),319.0)</f>
        <v>319</v>
      </c>
      <c r="E671" s="138">
        <f>IFERROR(__xludf.DUMMYFUNCTION("""COMPUTED_VALUE"""),5.0)</f>
        <v>5</v>
      </c>
      <c r="F671" s="138">
        <f>IFERROR(__xludf.DUMMYFUNCTION("""COMPUTED_VALUE"""),5.0)</f>
        <v>5</v>
      </c>
      <c r="G671" s="138">
        <f>IFERROR(__xludf.DUMMYFUNCTION("""COMPUTED_VALUE"""),5.0)</f>
        <v>5</v>
      </c>
      <c r="H671" s="138">
        <f>IFERROR(__xludf.DUMMYFUNCTION("""COMPUTED_VALUE"""),4.0)</f>
        <v>4</v>
      </c>
      <c r="I671" s="138">
        <f>IFERROR(__xludf.DUMMYFUNCTION("""COMPUTED_VALUE"""),5.0)</f>
        <v>5</v>
      </c>
      <c r="J671" s="138">
        <f>IFERROR(__xludf.DUMMYFUNCTION("""COMPUTED_VALUE"""),5.0)</f>
        <v>5</v>
      </c>
      <c r="K671" s="138">
        <f>IFERROR(__xludf.DUMMYFUNCTION("""COMPUTED_VALUE"""),5.0)</f>
        <v>5</v>
      </c>
      <c r="L671" s="138">
        <v>34.0</v>
      </c>
      <c r="M671" s="140" t="str">
        <f>VLOOKUP(text(D671, "#"),'Master Table'!$A:$F, 6, FALSE)</f>
        <v>F-1</v>
      </c>
      <c r="N671" s="141" t="str">
        <f>IFERROR(__xludf.DUMMYFUNCTION("""COMPUTED_VALUE"""),"Wonderful job on the research itself as well as presenting it. This is important research! Thanks for caring and doing a nice job. Enjoyable to listen to, you had a good command of the information you shared. You addressed what I perceived as a potential "&amp;"limitation, which was the small variance in Shipley scores because of the audience (college students). Well done and good luck in the future!")</f>
        <v>Wonderful job on the research itself as well as presenting it. This is important research! Thanks for caring and doing a nice job. Enjoyable to listen to, you had a good command of the information you shared. You addressed what I perceived as a potential limitation, which was the small variance in Shipley scores because of the audience (college students). Well done and good luck in the future!</v>
      </c>
      <c r="O671" s="142" t="str">
        <f t="shared" si="1"/>
        <v/>
      </c>
      <c r="P671" s="143" t="str">
        <f>IF(ISNA(VLOOKUP(CONCAT(M671,C671), 'Judge Count DO NOT EDIT'!H:H, 1, FALSE)), "ERROR","")</f>
        <v/>
      </c>
      <c r="Q671" s="141"/>
      <c r="R671" s="143"/>
      <c r="S671" s="139" t="str">
        <f t="shared" si="2"/>
        <v>1183319</v>
      </c>
      <c r="T671" s="141"/>
    </row>
    <row r="672">
      <c r="A672" s="137">
        <f>IFERROR(__xludf.DUMMYFUNCTION("""COMPUTED_VALUE"""),45352.401949872685)</f>
        <v>45352.40195</v>
      </c>
      <c r="B672" s="138" t="str">
        <f>IFERROR(__xludf.DUMMYFUNCTION("""COMPUTED_VALUE"""),"Valeria ochoa ")</f>
        <v>Valeria ochoa </v>
      </c>
      <c r="C672" s="138">
        <f>IFERROR(__xludf.DUMMYFUNCTION("""COMPUTED_VALUE"""),1219.0)</f>
        <v>1219</v>
      </c>
      <c r="D672" s="139">
        <f>IFERROR(__xludf.DUMMYFUNCTION("""COMPUTED_VALUE"""),320.0)</f>
        <v>320</v>
      </c>
      <c r="E672" s="138">
        <f>IFERROR(__xludf.DUMMYFUNCTION("""COMPUTED_VALUE"""),3.0)</f>
        <v>3</v>
      </c>
      <c r="F672" s="138">
        <f>IFERROR(__xludf.DUMMYFUNCTION("""COMPUTED_VALUE"""),3.0)</f>
        <v>3</v>
      </c>
      <c r="G672" s="138">
        <f>IFERROR(__xludf.DUMMYFUNCTION("""COMPUTED_VALUE"""),4.0)</f>
        <v>4</v>
      </c>
      <c r="H672" s="138">
        <f>IFERROR(__xludf.DUMMYFUNCTION("""COMPUTED_VALUE"""),4.0)</f>
        <v>4</v>
      </c>
      <c r="I672" s="138">
        <f>IFERROR(__xludf.DUMMYFUNCTION("""COMPUTED_VALUE"""),3.0)</f>
        <v>3</v>
      </c>
      <c r="J672" s="138">
        <f>IFERROR(__xludf.DUMMYFUNCTION("""COMPUTED_VALUE"""),3.0)</f>
        <v>3</v>
      </c>
      <c r="K672" s="138">
        <f>IFERROR(__xludf.DUMMYFUNCTION("""COMPUTED_VALUE"""),4.0)</f>
        <v>4</v>
      </c>
      <c r="L672" s="138">
        <v>24.0</v>
      </c>
      <c r="M672" s="140" t="str">
        <f>VLOOKUP(text(D672, "#"),'Master Table'!$A:$F, 6, FALSE)</f>
        <v>F-1</v>
      </c>
      <c r="N672" s="141"/>
      <c r="O672" s="142" t="str">
        <f t="shared" si="1"/>
        <v/>
      </c>
      <c r="P672" s="143" t="str">
        <f>IF(ISNA(VLOOKUP(CONCAT(M672,C672), 'Judge Count DO NOT EDIT'!H:H, 1, FALSE)), "ERROR","")</f>
        <v/>
      </c>
      <c r="Q672" s="141"/>
      <c r="R672" s="143"/>
      <c r="S672" s="139" t="str">
        <f t="shared" si="2"/>
        <v>1219320</v>
      </c>
      <c r="T672" s="141"/>
    </row>
    <row r="673">
      <c r="A673" s="137">
        <f>IFERROR(__xludf.DUMMYFUNCTION("""COMPUTED_VALUE"""),45352.4169824537)</f>
        <v>45352.41698</v>
      </c>
      <c r="B673" s="138" t="str">
        <f>IFERROR(__xludf.DUMMYFUNCTION("""COMPUTED_VALUE"""),"Stephanie Ries ")</f>
        <v>Stephanie Ries </v>
      </c>
      <c r="C673" s="138">
        <f>IFERROR(__xludf.DUMMYFUNCTION("""COMPUTED_VALUE"""),1114.0)</f>
        <v>1114</v>
      </c>
      <c r="D673" s="139">
        <f>IFERROR(__xludf.DUMMYFUNCTION("""COMPUTED_VALUE"""),320.0)</f>
        <v>320</v>
      </c>
      <c r="E673" s="138">
        <f>IFERROR(__xludf.DUMMYFUNCTION("""COMPUTED_VALUE"""),4.0)</f>
        <v>4</v>
      </c>
      <c r="F673" s="138">
        <f>IFERROR(__xludf.DUMMYFUNCTION("""COMPUTED_VALUE"""),4.0)</f>
        <v>4</v>
      </c>
      <c r="G673" s="138">
        <f>IFERROR(__xludf.DUMMYFUNCTION("""COMPUTED_VALUE"""),4.0)</f>
        <v>4</v>
      </c>
      <c r="H673" s="138">
        <f>IFERROR(__xludf.DUMMYFUNCTION("""COMPUTED_VALUE"""),4.0)</f>
        <v>4</v>
      </c>
      <c r="I673" s="138">
        <f>IFERROR(__xludf.DUMMYFUNCTION("""COMPUTED_VALUE"""),3.0)</f>
        <v>3</v>
      </c>
      <c r="J673" s="138">
        <f>IFERROR(__xludf.DUMMYFUNCTION("""COMPUTED_VALUE"""),3.0)</f>
        <v>3</v>
      </c>
      <c r="K673" s="138">
        <f>IFERROR(__xludf.DUMMYFUNCTION("""COMPUTED_VALUE"""),3.0)</f>
        <v>3</v>
      </c>
      <c r="L673" s="138">
        <v>25.0</v>
      </c>
      <c r="M673" s="140" t="str">
        <f>VLOOKUP(text(D673, "#"),'Master Table'!$A:$F, 6, FALSE)</f>
        <v>F-1</v>
      </c>
      <c r="N673" s="141" t="str">
        <f>IFERROR(__xludf.DUMMYFUNCTION("""COMPUTED_VALUE"""),"Interesting study on the effect of binge drinking on cognition. The presentation was a bit vague and colloquial, but good job otherwise.")</f>
        <v>Interesting study on the effect of binge drinking on cognition. The presentation was a bit vague and colloquial, but good job otherwise.</v>
      </c>
      <c r="O673" s="142" t="str">
        <f t="shared" si="1"/>
        <v/>
      </c>
      <c r="P673" s="143" t="str">
        <f>IF(ISNA(VLOOKUP(CONCAT(M673,C673), 'Judge Count DO NOT EDIT'!H:H, 1, FALSE)), "ERROR","")</f>
        <v/>
      </c>
      <c r="Q673" s="144"/>
      <c r="R673" s="143"/>
      <c r="S673" s="139" t="str">
        <f t="shared" si="2"/>
        <v>1114320</v>
      </c>
      <c r="T673" s="141"/>
    </row>
    <row r="674">
      <c r="A674" s="137">
        <f>IFERROR(__xludf.DUMMYFUNCTION("""COMPUTED_VALUE"""),45352.43283431713)</f>
        <v>45352.43283</v>
      </c>
      <c r="B674" s="138" t="str">
        <f>IFERROR(__xludf.DUMMYFUNCTION("""COMPUTED_VALUE"""),"JoAnn Silkes")</f>
        <v>JoAnn Silkes</v>
      </c>
      <c r="C674" s="138">
        <f>IFERROR(__xludf.DUMMYFUNCTION("""COMPUTED_VALUE"""),1094.0)</f>
        <v>1094</v>
      </c>
      <c r="D674" s="139">
        <f>IFERROR(__xludf.DUMMYFUNCTION("""COMPUTED_VALUE"""),320.0)</f>
        <v>320</v>
      </c>
      <c r="E674" s="138">
        <f>IFERROR(__xludf.DUMMYFUNCTION("""COMPUTED_VALUE"""),3.0)</f>
        <v>3</v>
      </c>
      <c r="F674" s="138">
        <f>IFERROR(__xludf.DUMMYFUNCTION("""COMPUTED_VALUE"""),4.0)</f>
        <v>4</v>
      </c>
      <c r="G674" s="138">
        <f>IFERROR(__xludf.DUMMYFUNCTION("""COMPUTED_VALUE"""),4.0)</f>
        <v>4</v>
      </c>
      <c r="H674" s="138">
        <f>IFERROR(__xludf.DUMMYFUNCTION("""COMPUTED_VALUE"""),4.0)</f>
        <v>4</v>
      </c>
      <c r="I674" s="138">
        <f>IFERROR(__xludf.DUMMYFUNCTION("""COMPUTED_VALUE"""),3.0)</f>
        <v>3</v>
      </c>
      <c r="J674" s="138">
        <f>IFERROR(__xludf.DUMMYFUNCTION("""COMPUTED_VALUE"""),2.0)</f>
        <v>2</v>
      </c>
      <c r="K674" s="138">
        <f>IFERROR(__xludf.DUMMYFUNCTION("""COMPUTED_VALUE"""),4.0)</f>
        <v>4</v>
      </c>
      <c r="L674" s="138">
        <v>24.0</v>
      </c>
      <c r="M674" s="140" t="str">
        <f>VLOOKUP(text(D674, "#"),'Master Table'!$A:$F, 6, FALSE)</f>
        <v>F-1</v>
      </c>
      <c r="N674" s="141" t="str">
        <f>IFERROR(__xludf.DUMMYFUNCTION("""COMPUTED_VALUE"""),"Nice presentation of an interesting study. The methodology left me with some questions about how participant characteristics, such as recency of binge drinking, may influence outcomes; the presenter did a nice job handling questions about it. ")</f>
        <v>Nice presentation of an interesting study. The methodology left me with some questions about how participant characteristics, such as recency of binge drinking, may influence outcomes; the presenter did a nice job handling questions about it. </v>
      </c>
      <c r="O674" s="142" t="str">
        <f t="shared" si="1"/>
        <v/>
      </c>
      <c r="P674" s="143" t="str">
        <f>IF(ISNA(VLOOKUP(CONCAT(M674,C674), 'Judge Count DO NOT EDIT'!H:H, 1, FALSE)), "ERROR","")</f>
        <v/>
      </c>
      <c r="Q674" s="141"/>
      <c r="R674" s="143"/>
      <c r="S674" s="139" t="str">
        <f t="shared" si="2"/>
        <v>1094320</v>
      </c>
      <c r="T674" s="141"/>
    </row>
    <row r="675">
      <c r="A675" s="137">
        <f>IFERROR(__xludf.DUMMYFUNCTION("""COMPUTED_VALUE"""),45352.43473366898)</f>
        <v>45352.43473</v>
      </c>
      <c r="B675" s="138" t="str">
        <f>IFERROR(__xludf.DUMMYFUNCTION("""COMPUTED_VALUE"""),"Kristine Ehrich")</f>
        <v>Kristine Ehrich</v>
      </c>
      <c r="C675" s="138">
        <f>IFERROR(__xludf.DUMMYFUNCTION("""COMPUTED_VALUE"""),1183.0)</f>
        <v>1183</v>
      </c>
      <c r="D675" s="139">
        <f>IFERROR(__xludf.DUMMYFUNCTION("""COMPUTED_VALUE"""),320.0)</f>
        <v>320</v>
      </c>
      <c r="E675" s="138">
        <f>IFERROR(__xludf.DUMMYFUNCTION("""COMPUTED_VALUE"""),5.0)</f>
        <v>5</v>
      </c>
      <c r="F675" s="138">
        <f>IFERROR(__xludf.DUMMYFUNCTION("""COMPUTED_VALUE"""),4.0)</f>
        <v>4</v>
      </c>
      <c r="G675" s="138">
        <f>IFERROR(__xludf.DUMMYFUNCTION("""COMPUTED_VALUE"""),5.0)</f>
        <v>5</v>
      </c>
      <c r="H675" s="138">
        <f>IFERROR(__xludf.DUMMYFUNCTION("""COMPUTED_VALUE"""),5.0)</f>
        <v>5</v>
      </c>
      <c r="I675" s="138">
        <f>IFERROR(__xludf.DUMMYFUNCTION("""COMPUTED_VALUE"""),5.0)</f>
        <v>5</v>
      </c>
      <c r="J675" s="138">
        <f>IFERROR(__xludf.DUMMYFUNCTION("""COMPUTED_VALUE"""),5.0)</f>
        <v>5</v>
      </c>
      <c r="K675" s="138">
        <f>IFERROR(__xludf.DUMMYFUNCTION("""COMPUTED_VALUE"""),5.0)</f>
        <v>5</v>
      </c>
      <c r="L675" s="138">
        <v>34.0</v>
      </c>
      <c r="M675" s="140" t="str">
        <f>VLOOKUP(text(D675, "#"),'Master Table'!$A:$F, 6, FALSE)</f>
        <v>F-1</v>
      </c>
      <c r="N675" s="141" t="str">
        <f>IFERROR(__xludf.DUMMYFUNCTION("""COMPUTED_VALUE"""),"Wonderful job on the research itself as well as presenting it. This is important research! Thanks for caring and doing a great job. Enjoyable to listen to, you had a good command of the information you shared. I can see the potential for future research. "&amp;"Well done! Good luck in whatever you do after graduation!")</f>
        <v>Wonderful job on the research itself as well as presenting it. This is important research! Thanks for caring and doing a great job. Enjoyable to listen to, you had a good command of the information you shared. I can see the potential for future research. Well done! Good luck in whatever you do after graduation!</v>
      </c>
      <c r="O675" s="142" t="str">
        <f t="shared" si="1"/>
        <v/>
      </c>
      <c r="P675" s="143" t="str">
        <f>IF(ISNA(VLOOKUP(CONCAT(M675,C675), 'Judge Count DO NOT EDIT'!H:H, 1, FALSE)), "ERROR","")</f>
        <v/>
      </c>
      <c r="Q675" s="141"/>
      <c r="R675" s="143"/>
      <c r="S675" s="139" t="str">
        <f t="shared" si="2"/>
        <v>1183320</v>
      </c>
      <c r="T675" s="141"/>
    </row>
    <row r="676">
      <c r="A676" s="137">
        <f>IFERROR(__xludf.DUMMYFUNCTION("""COMPUTED_VALUE"""),45352.40659951389)</f>
        <v>45352.4066</v>
      </c>
      <c r="B676" s="138" t="str">
        <f>IFERROR(__xludf.DUMMYFUNCTION("""COMPUTED_VALUE"""),"Valeria ochoa ")</f>
        <v>Valeria ochoa </v>
      </c>
      <c r="C676" s="138">
        <f>IFERROR(__xludf.DUMMYFUNCTION("""COMPUTED_VALUE"""),1219.0)</f>
        <v>1219</v>
      </c>
      <c r="D676" s="139">
        <f>IFERROR(__xludf.DUMMYFUNCTION("""COMPUTED_VALUE"""),321.0)</f>
        <v>321</v>
      </c>
      <c r="E676" s="138">
        <f>IFERROR(__xludf.DUMMYFUNCTION("""COMPUTED_VALUE"""),3.0)</f>
        <v>3</v>
      </c>
      <c r="F676" s="138">
        <f>IFERROR(__xludf.DUMMYFUNCTION("""COMPUTED_VALUE"""),3.0)</f>
        <v>3</v>
      </c>
      <c r="G676" s="138">
        <f>IFERROR(__xludf.DUMMYFUNCTION("""COMPUTED_VALUE"""),3.0)</f>
        <v>3</v>
      </c>
      <c r="H676" s="138">
        <f>IFERROR(__xludf.DUMMYFUNCTION("""COMPUTED_VALUE"""),3.0)</f>
        <v>3</v>
      </c>
      <c r="I676" s="138">
        <f>IFERROR(__xludf.DUMMYFUNCTION("""COMPUTED_VALUE"""),3.0)</f>
        <v>3</v>
      </c>
      <c r="J676" s="138">
        <f>IFERROR(__xludf.DUMMYFUNCTION("""COMPUTED_VALUE"""),2.0)</f>
        <v>2</v>
      </c>
      <c r="K676" s="138">
        <f>IFERROR(__xludf.DUMMYFUNCTION("""COMPUTED_VALUE"""),2.0)</f>
        <v>2</v>
      </c>
      <c r="L676" s="138">
        <v>19.0</v>
      </c>
      <c r="M676" s="140" t="str">
        <f>VLOOKUP(text(D676, "#"),'Master Table'!$A:$F, 6, FALSE)</f>
        <v>F-1</v>
      </c>
      <c r="N676" s="141" t="str">
        <f>IFERROR(__xludf.DUMMYFUNCTION("""COMPUTED_VALUE"""),"Did not seem as confident in her project but delivered content well. ")</f>
        <v>Did not seem as confident in her project but delivered content well. </v>
      </c>
      <c r="O676" s="142" t="str">
        <f t="shared" si="1"/>
        <v/>
      </c>
      <c r="P676" s="143" t="str">
        <f>IF(ISNA(VLOOKUP(CONCAT(M676,C676), 'Judge Count DO NOT EDIT'!H:H, 1, FALSE)), "ERROR","")</f>
        <v/>
      </c>
      <c r="Q676" s="141"/>
      <c r="R676" s="143"/>
      <c r="S676" s="139" t="str">
        <f t="shared" si="2"/>
        <v>1219321</v>
      </c>
      <c r="T676" s="141"/>
    </row>
    <row r="677">
      <c r="A677" s="137">
        <f>IFERROR(__xludf.DUMMYFUNCTION("""COMPUTED_VALUE"""),45352.42260480324)</f>
        <v>45352.4226</v>
      </c>
      <c r="B677" s="138" t="str">
        <f>IFERROR(__xludf.DUMMYFUNCTION("""COMPUTED_VALUE"""),"Stephanie Ries ")</f>
        <v>Stephanie Ries </v>
      </c>
      <c r="C677" s="138">
        <f>IFERROR(__xludf.DUMMYFUNCTION("""COMPUTED_VALUE"""),1114.0)</f>
        <v>1114</v>
      </c>
      <c r="D677" s="139">
        <f>IFERROR(__xludf.DUMMYFUNCTION("""COMPUTED_VALUE"""),321.0)</f>
        <v>321</v>
      </c>
      <c r="E677" s="138">
        <f>IFERROR(__xludf.DUMMYFUNCTION("""COMPUTED_VALUE"""),4.0)</f>
        <v>4</v>
      </c>
      <c r="F677" s="138">
        <f>IFERROR(__xludf.DUMMYFUNCTION("""COMPUTED_VALUE"""),4.0)</f>
        <v>4</v>
      </c>
      <c r="G677" s="138">
        <f>IFERROR(__xludf.DUMMYFUNCTION("""COMPUTED_VALUE"""),4.0)</f>
        <v>4</v>
      </c>
      <c r="H677" s="138">
        <f>IFERROR(__xludf.DUMMYFUNCTION("""COMPUTED_VALUE"""),3.0)</f>
        <v>3</v>
      </c>
      <c r="I677" s="138">
        <f>IFERROR(__xludf.DUMMYFUNCTION("""COMPUTED_VALUE"""),4.0)</f>
        <v>4</v>
      </c>
      <c r="J677" s="138">
        <f>IFERROR(__xludf.DUMMYFUNCTION("""COMPUTED_VALUE"""),3.0)</f>
        <v>3</v>
      </c>
      <c r="K677" s="138">
        <f>IFERROR(__xludf.DUMMYFUNCTION("""COMPUTED_VALUE"""),4.0)</f>
        <v>4</v>
      </c>
      <c r="L677" s="138">
        <v>26.0</v>
      </c>
      <c r="M677" s="140" t="str">
        <f>VLOOKUP(text(D677, "#"),'Master Table'!$A:$F, 6, FALSE)</f>
        <v>F-1</v>
      </c>
      <c r="N677" s="141" t="str">
        <f>IFERROR(__xludf.DUMMYFUNCTION("""COMPUTED_VALUE"""),"Interesting study on Hispanic,/Latine stroke survivors and sex differences. Many participants which is a big plus. It would have been nice to have more info on the participants if available, especially concerning risk factors for stroke. But great job ove"&amp;"rall!")</f>
        <v>Interesting study on Hispanic,/Latine stroke survivors and sex differences. Many participants which is a big plus. It would have been nice to have more info on the participants if available, especially concerning risk factors for stroke. But great job overall!</v>
      </c>
      <c r="O677" s="142" t="str">
        <f t="shared" si="1"/>
        <v/>
      </c>
      <c r="P677" s="143" t="str">
        <f>IF(ISNA(VLOOKUP(CONCAT(M677,C677), 'Judge Count DO NOT EDIT'!H:H, 1, FALSE)), "ERROR","")</f>
        <v/>
      </c>
      <c r="Q677" s="141"/>
      <c r="R677" s="143"/>
      <c r="S677" s="139" t="str">
        <f t="shared" si="2"/>
        <v>1114321</v>
      </c>
      <c r="T677" s="141"/>
    </row>
    <row r="678">
      <c r="A678" s="137">
        <f>IFERROR(__xludf.DUMMYFUNCTION("""COMPUTED_VALUE"""),45352.437878020835)</f>
        <v>45352.43788</v>
      </c>
      <c r="B678" s="138" t="str">
        <f>IFERROR(__xludf.DUMMYFUNCTION("""COMPUTED_VALUE"""),"JoAnn Silkes")</f>
        <v>JoAnn Silkes</v>
      </c>
      <c r="C678" s="138">
        <f>IFERROR(__xludf.DUMMYFUNCTION("""COMPUTED_VALUE"""),1094.0)</f>
        <v>1094</v>
      </c>
      <c r="D678" s="139">
        <f>IFERROR(__xludf.DUMMYFUNCTION("""COMPUTED_VALUE"""),321.0)</f>
        <v>321</v>
      </c>
      <c r="E678" s="138">
        <f>IFERROR(__xludf.DUMMYFUNCTION("""COMPUTED_VALUE"""),4.0)</f>
        <v>4</v>
      </c>
      <c r="F678" s="138">
        <f>IFERROR(__xludf.DUMMYFUNCTION("""COMPUTED_VALUE"""),4.0)</f>
        <v>4</v>
      </c>
      <c r="G678" s="138">
        <f>IFERROR(__xludf.DUMMYFUNCTION("""COMPUTED_VALUE"""),3.0)</f>
        <v>3</v>
      </c>
      <c r="H678" s="138">
        <f>IFERROR(__xludf.DUMMYFUNCTION("""COMPUTED_VALUE"""),2.0)</f>
        <v>2</v>
      </c>
      <c r="I678" s="138">
        <f>IFERROR(__xludf.DUMMYFUNCTION("""COMPUTED_VALUE"""),4.0)</f>
        <v>4</v>
      </c>
      <c r="J678" s="138">
        <f>IFERROR(__xludf.DUMMYFUNCTION("""COMPUTED_VALUE"""),3.0)</f>
        <v>3</v>
      </c>
      <c r="K678" s="138">
        <f>IFERROR(__xludf.DUMMYFUNCTION("""COMPUTED_VALUE"""),4.0)</f>
        <v>4</v>
      </c>
      <c r="L678" s="138">
        <v>24.0</v>
      </c>
      <c r="M678" s="140" t="str">
        <f>VLOOKUP(text(D678, "#"),'Master Table'!$A:$F, 6, FALSE)</f>
        <v>F-1</v>
      </c>
      <c r="N678" s="141" t="str">
        <f>IFERROR(__xludf.DUMMYFUNCTION("""COMPUTED_VALUE"""),"Nice presentation on an interesting topic. The presenter engaged well with specific questions about the participants and how the minimal detail available about them (e.g., presence of language disorder after stroke, site/side of lesion) may influence the "&amp;"ability to interpret the data. It would have been good for her to have a clearer understanding of, and ability to interpret, the research results (e.g., why the vegetable fluency task was the only one highlighted when there were several other results with"&amp;" seemingly significant results). Overall, though, a good presentation! ")</f>
        <v>Nice presentation on an interesting topic. The presenter engaged well with specific questions about the participants and how the minimal detail available about them (e.g., presence of language disorder after stroke, site/side of lesion) may influence the ability to interpret the data. It would have been good for her to have a clearer understanding of, and ability to interpret, the research results (e.g., why the vegetable fluency task was the only one highlighted when there were several other results with seemingly significant results). Overall, though, a good presentation! </v>
      </c>
      <c r="O678" s="142" t="str">
        <f t="shared" si="1"/>
        <v/>
      </c>
      <c r="P678" s="143" t="str">
        <f>IF(ISNA(VLOOKUP(CONCAT(M678,C678), 'Judge Count DO NOT EDIT'!H:H, 1, FALSE)), "ERROR","")</f>
        <v/>
      </c>
      <c r="Q678" s="141"/>
      <c r="R678" s="143"/>
      <c r="S678" s="139" t="str">
        <f t="shared" si="2"/>
        <v>1094321</v>
      </c>
      <c r="T678" s="141"/>
    </row>
    <row r="679">
      <c r="A679" s="137">
        <f>IFERROR(__xludf.DUMMYFUNCTION("""COMPUTED_VALUE"""),45352.43792013889)</f>
        <v>45352.43792</v>
      </c>
      <c r="B679" s="138" t="str">
        <f>IFERROR(__xludf.DUMMYFUNCTION("""COMPUTED_VALUE"""),"Kristine Ehrich")</f>
        <v>Kristine Ehrich</v>
      </c>
      <c r="C679" s="138">
        <f>IFERROR(__xludf.DUMMYFUNCTION("""COMPUTED_VALUE"""),1183.0)</f>
        <v>1183</v>
      </c>
      <c r="D679" s="139">
        <f>IFERROR(__xludf.DUMMYFUNCTION("""COMPUTED_VALUE"""),321.0)</f>
        <v>321</v>
      </c>
      <c r="E679" s="138">
        <f>IFERROR(__xludf.DUMMYFUNCTION("""COMPUTED_VALUE"""),5.0)</f>
        <v>5</v>
      </c>
      <c r="F679" s="138">
        <f>IFERROR(__xludf.DUMMYFUNCTION("""COMPUTED_VALUE"""),4.0)</f>
        <v>4</v>
      </c>
      <c r="G679" s="138">
        <f>IFERROR(__xludf.DUMMYFUNCTION("""COMPUTED_VALUE"""),5.0)</f>
        <v>5</v>
      </c>
      <c r="H679" s="138">
        <f>IFERROR(__xludf.DUMMYFUNCTION("""COMPUTED_VALUE"""),5.0)</f>
        <v>5</v>
      </c>
      <c r="I679" s="138">
        <f>IFERROR(__xludf.DUMMYFUNCTION("""COMPUTED_VALUE"""),4.0)</f>
        <v>4</v>
      </c>
      <c r="J679" s="138">
        <f>IFERROR(__xludf.DUMMYFUNCTION("""COMPUTED_VALUE"""),5.0)</f>
        <v>5</v>
      </c>
      <c r="K679" s="138">
        <f>IFERROR(__xludf.DUMMYFUNCTION("""COMPUTED_VALUE"""),5.0)</f>
        <v>5</v>
      </c>
      <c r="L679" s="138">
        <v>33.0</v>
      </c>
      <c r="M679" s="140" t="str">
        <f>VLOOKUP(text(D679, "#"),'Master Table'!$A:$F, 6, FALSE)</f>
        <v>F-1</v>
      </c>
      <c r="N679" s="141" t="str">
        <f>IFERROR(__xludf.DUMMYFUNCTION("""COMPUTED_VALUE"""),"Wonderful job on the research itself as well as presenting it. Thanks for caring and doing a great job. Enjoyable to listen to, you had a good command of the information you shared. If I can give constructive advice - it would be great if you speak a litt"&amp;"le louder. As females, we need to be encouraged to speak up, be proud and confident of what we are saying/presenting. I will encourage you to know that you are saying important things and don’t hesitate to be a little louder. I can see the potential for f"&amp;"uture research. Well done! Good luck in whatever you do after graduation!")</f>
        <v>Wonderful job on the research itself as well as presenting it. Thanks for caring and doing a great job. Enjoyable to listen to, you had a good command of the information you shared. If I can give constructive advice - it would be great if you speak a little louder. As females, we need to be encouraged to speak up, be proud and confident of what we are saying/presenting. I will encourage you to know that you are saying important things and don’t hesitate to be a little louder. I can see the potential for future research. Well done! Good luck in whatever you do after graduation!</v>
      </c>
      <c r="O679" s="142" t="str">
        <f t="shared" si="1"/>
        <v/>
      </c>
      <c r="P679" s="143" t="str">
        <f>IF(ISNA(VLOOKUP(CONCAT(M679,C679), 'Judge Count DO NOT EDIT'!H:H, 1, FALSE)), "ERROR","")</f>
        <v/>
      </c>
      <c r="Q679" s="141"/>
      <c r="R679" s="143"/>
      <c r="S679" s="139" t="str">
        <f t="shared" si="2"/>
        <v>1183321</v>
      </c>
      <c r="T679" s="141"/>
    </row>
    <row r="680">
      <c r="A680" s="137">
        <f>IFERROR(__xludf.DUMMYFUNCTION("""COMPUTED_VALUE"""),45352.40080847222)</f>
        <v>45352.40081</v>
      </c>
      <c r="B680" s="138" t="str">
        <f>IFERROR(__xludf.DUMMYFUNCTION("""COMPUTED_VALUE"""),"Valeria ochoa ")</f>
        <v>Valeria ochoa </v>
      </c>
      <c r="C680" s="138">
        <f>IFERROR(__xludf.DUMMYFUNCTION("""COMPUTED_VALUE"""),1219.0)</f>
        <v>1219</v>
      </c>
      <c r="D680" s="139">
        <f>IFERROR(__xludf.DUMMYFUNCTION("""COMPUTED_VALUE"""),322.0)</f>
        <v>322</v>
      </c>
      <c r="E680" s="138">
        <f>IFERROR(__xludf.DUMMYFUNCTION("""COMPUTED_VALUE"""),4.0)</f>
        <v>4</v>
      </c>
      <c r="F680" s="138">
        <f>IFERROR(__xludf.DUMMYFUNCTION("""COMPUTED_VALUE"""),4.0)</f>
        <v>4</v>
      </c>
      <c r="G680" s="138">
        <f>IFERROR(__xludf.DUMMYFUNCTION("""COMPUTED_VALUE"""),4.0)</f>
        <v>4</v>
      </c>
      <c r="H680" s="138">
        <f>IFERROR(__xludf.DUMMYFUNCTION("""COMPUTED_VALUE"""),4.0)</f>
        <v>4</v>
      </c>
      <c r="I680" s="138">
        <f>IFERROR(__xludf.DUMMYFUNCTION("""COMPUTED_VALUE"""),4.0)</f>
        <v>4</v>
      </c>
      <c r="J680" s="138">
        <f>IFERROR(__xludf.DUMMYFUNCTION("""COMPUTED_VALUE"""),4.0)</f>
        <v>4</v>
      </c>
      <c r="K680" s="138">
        <f>IFERROR(__xludf.DUMMYFUNCTION("""COMPUTED_VALUE"""),4.0)</f>
        <v>4</v>
      </c>
      <c r="L680" s="138">
        <v>28.0</v>
      </c>
      <c r="M680" s="140" t="str">
        <f>VLOOKUP(text(D680, "#"),'Master Table'!$A:$F, 6, FALSE)</f>
        <v>F-1</v>
      </c>
      <c r="N680" s="141"/>
      <c r="O680" s="142" t="str">
        <f t="shared" si="1"/>
        <v/>
      </c>
      <c r="P680" s="143" t="str">
        <f>IF(ISNA(VLOOKUP(CONCAT(M680,C680), 'Judge Count DO NOT EDIT'!H:H, 1, FALSE)), "ERROR","")</f>
        <v/>
      </c>
      <c r="Q680" s="141"/>
      <c r="R680" s="143"/>
      <c r="S680" s="139" t="str">
        <f t="shared" si="2"/>
        <v>1219322</v>
      </c>
      <c r="T680" s="141"/>
    </row>
    <row r="681">
      <c r="A681" s="137">
        <f>IFERROR(__xludf.DUMMYFUNCTION("""COMPUTED_VALUE"""),45352.42643662037)</f>
        <v>45352.42644</v>
      </c>
      <c r="B681" s="138" t="str">
        <f>IFERROR(__xludf.DUMMYFUNCTION("""COMPUTED_VALUE"""),"Stephanie Ries ")</f>
        <v>Stephanie Ries </v>
      </c>
      <c r="C681" s="138">
        <f>IFERROR(__xludf.DUMMYFUNCTION("""COMPUTED_VALUE"""),1114.0)</f>
        <v>1114</v>
      </c>
      <c r="D681" s="139">
        <f>IFERROR(__xludf.DUMMYFUNCTION("""COMPUTED_VALUE"""),322.0)</f>
        <v>322</v>
      </c>
      <c r="E681" s="138">
        <f>IFERROR(__xludf.DUMMYFUNCTION("""COMPUTED_VALUE"""),4.0)</f>
        <v>4</v>
      </c>
      <c r="F681" s="138">
        <f>IFERROR(__xludf.DUMMYFUNCTION("""COMPUTED_VALUE"""),4.0)</f>
        <v>4</v>
      </c>
      <c r="G681" s="138">
        <f>IFERROR(__xludf.DUMMYFUNCTION("""COMPUTED_VALUE"""),5.0)</f>
        <v>5</v>
      </c>
      <c r="H681" s="138">
        <f>IFERROR(__xludf.DUMMYFUNCTION("""COMPUTED_VALUE"""),4.0)</f>
        <v>4</v>
      </c>
      <c r="I681" s="138">
        <f>IFERROR(__xludf.DUMMYFUNCTION("""COMPUTED_VALUE"""),5.0)</f>
        <v>5</v>
      </c>
      <c r="J681" s="138">
        <f>IFERROR(__xludf.DUMMYFUNCTION("""COMPUTED_VALUE"""),4.0)</f>
        <v>4</v>
      </c>
      <c r="K681" s="138">
        <f>IFERROR(__xludf.DUMMYFUNCTION("""COMPUTED_VALUE"""),5.0)</f>
        <v>5</v>
      </c>
      <c r="L681" s="138">
        <v>31.0</v>
      </c>
      <c r="M681" s="140" t="str">
        <f>VLOOKUP(text(D681, "#"),'Master Table'!$A:$F, 6, FALSE)</f>
        <v>F-1</v>
      </c>
      <c r="N681" s="141" t="str">
        <f>IFERROR(__xludf.DUMMYFUNCTION("""COMPUTED_VALUE"""),"Excellent presentation on a very important topic: how the time spent in social media influences body image and satisfaction. Great presentation by a very knowledgeable and personable student. Has good future directions identified. ")</f>
        <v>Excellent presentation on a very important topic: how the time spent in social media influences body image and satisfaction. Great presentation by a very knowledgeable and personable student. Has good future directions identified. </v>
      </c>
      <c r="O681" s="142" t="str">
        <f t="shared" si="1"/>
        <v/>
      </c>
      <c r="P681" s="143" t="str">
        <f>IF(ISNA(VLOOKUP(CONCAT(M681,C681), 'Judge Count DO NOT EDIT'!H:H, 1, FALSE)), "ERROR","")</f>
        <v/>
      </c>
      <c r="Q681" s="141"/>
      <c r="R681" s="143"/>
      <c r="S681" s="139" t="str">
        <f t="shared" si="2"/>
        <v>1114322</v>
      </c>
      <c r="T681" s="141"/>
    </row>
    <row r="682">
      <c r="A682" s="137">
        <f>IFERROR(__xludf.DUMMYFUNCTION("""COMPUTED_VALUE"""),45352.43969375)</f>
        <v>45352.43969</v>
      </c>
      <c r="B682" s="138" t="str">
        <f>IFERROR(__xludf.DUMMYFUNCTION("""COMPUTED_VALUE"""),"Kristine Ehrich")</f>
        <v>Kristine Ehrich</v>
      </c>
      <c r="C682" s="138">
        <f>IFERROR(__xludf.DUMMYFUNCTION("""COMPUTED_VALUE"""),1183.0)</f>
        <v>1183</v>
      </c>
      <c r="D682" s="139">
        <f>IFERROR(__xludf.DUMMYFUNCTION("""COMPUTED_VALUE"""),322.0)</f>
        <v>322</v>
      </c>
      <c r="E682" s="138">
        <f>IFERROR(__xludf.DUMMYFUNCTION("""COMPUTED_VALUE"""),5.0)</f>
        <v>5</v>
      </c>
      <c r="F682" s="138">
        <f>IFERROR(__xludf.DUMMYFUNCTION("""COMPUTED_VALUE"""),4.0)</f>
        <v>4</v>
      </c>
      <c r="G682" s="138">
        <f>IFERROR(__xludf.DUMMYFUNCTION("""COMPUTED_VALUE"""),5.0)</f>
        <v>5</v>
      </c>
      <c r="H682" s="138">
        <f>IFERROR(__xludf.DUMMYFUNCTION("""COMPUTED_VALUE"""),5.0)</f>
        <v>5</v>
      </c>
      <c r="I682" s="138">
        <f>IFERROR(__xludf.DUMMYFUNCTION("""COMPUTED_VALUE"""),5.0)</f>
        <v>5</v>
      </c>
      <c r="J682" s="138">
        <f>IFERROR(__xludf.DUMMYFUNCTION("""COMPUTED_VALUE"""),5.0)</f>
        <v>5</v>
      </c>
      <c r="K682" s="138">
        <f>IFERROR(__xludf.DUMMYFUNCTION("""COMPUTED_VALUE"""),5.0)</f>
        <v>5</v>
      </c>
      <c r="L682" s="138">
        <v>34.0</v>
      </c>
      <c r="M682" s="140" t="str">
        <f>VLOOKUP(text(D682, "#"),'Master Table'!$A:$F, 6, FALSE)</f>
        <v>F-1</v>
      </c>
      <c r="N682" s="141" t="str">
        <f>IFERROR(__xludf.DUMMYFUNCTION("""COMPUTED_VALUE"""),"Wonderful job on the research itself as well as presenting it. This research is SO needed!! I want to shout it from the rooftops. Thanks for caring and doing a great job. Enjoyable to listen to, you had a good command of the information you shared. I can "&amp;"see the potential for future research…in fact, I want to be told when you extend it and what your findings are. :-)  Well done! Good luck in whatever you do after graduation!")</f>
        <v>Wonderful job on the research itself as well as presenting it. This research is SO needed!! I want to shout it from the rooftops. Thanks for caring and doing a great job. Enjoyable to listen to, you had a good command of the information you shared. I can see the potential for future research…in fact, I want to be told when you extend it and what your findings are. :-)  Well done! Good luck in whatever you do after graduation!</v>
      </c>
      <c r="O682" s="142" t="str">
        <f t="shared" si="1"/>
        <v/>
      </c>
      <c r="P682" s="143" t="str">
        <f>IF(ISNA(VLOOKUP(CONCAT(M682,C682), 'Judge Count DO NOT EDIT'!H:H, 1, FALSE)), "ERROR","")</f>
        <v/>
      </c>
      <c r="Q682" s="141"/>
      <c r="R682" s="143"/>
      <c r="S682" s="139" t="str">
        <f t="shared" si="2"/>
        <v>1183322</v>
      </c>
      <c r="T682" s="141"/>
    </row>
    <row r="683">
      <c r="A683" s="137">
        <f>IFERROR(__xludf.DUMMYFUNCTION("""COMPUTED_VALUE"""),45352.44050309028)</f>
        <v>45352.4405</v>
      </c>
      <c r="B683" s="138" t="str">
        <f>IFERROR(__xludf.DUMMYFUNCTION("""COMPUTED_VALUE"""),"JoAnn Silkes")</f>
        <v>JoAnn Silkes</v>
      </c>
      <c r="C683" s="138">
        <f>IFERROR(__xludf.DUMMYFUNCTION("""COMPUTED_VALUE"""),1094.0)</f>
        <v>1094</v>
      </c>
      <c r="D683" s="139">
        <f>IFERROR(__xludf.DUMMYFUNCTION("""COMPUTED_VALUE"""),322.0)</f>
        <v>322</v>
      </c>
      <c r="E683" s="138">
        <f>IFERROR(__xludf.DUMMYFUNCTION("""COMPUTED_VALUE"""),4.0)</f>
        <v>4</v>
      </c>
      <c r="F683" s="138">
        <f>IFERROR(__xludf.DUMMYFUNCTION("""COMPUTED_VALUE"""),4.0)</f>
        <v>4</v>
      </c>
      <c r="G683" s="138">
        <f>IFERROR(__xludf.DUMMYFUNCTION("""COMPUTED_VALUE"""),4.0)</f>
        <v>4</v>
      </c>
      <c r="H683" s="138">
        <f>IFERROR(__xludf.DUMMYFUNCTION("""COMPUTED_VALUE"""),3.0)</f>
        <v>3</v>
      </c>
      <c r="I683" s="138">
        <f>IFERROR(__xludf.DUMMYFUNCTION("""COMPUTED_VALUE"""),4.0)</f>
        <v>4</v>
      </c>
      <c r="J683" s="138">
        <f>IFERROR(__xludf.DUMMYFUNCTION("""COMPUTED_VALUE"""),4.0)</f>
        <v>4</v>
      </c>
      <c r="K683" s="138">
        <f>IFERROR(__xludf.DUMMYFUNCTION("""COMPUTED_VALUE"""),5.0)</f>
        <v>5</v>
      </c>
      <c r="L683" s="138">
        <v>28.0</v>
      </c>
      <c r="M683" s="140" t="str">
        <f>VLOOKUP(text(D683, "#"),'Master Table'!$A:$F, 6, FALSE)</f>
        <v>F-1</v>
      </c>
      <c r="N683" s="141" t="str">
        <f>IFERROR(__xludf.DUMMYFUNCTION("""COMPUTED_VALUE"""),"Nice job with a very interesting project! Presentation was clear and well delivered. The presenter did fairly well responding to questions and considering factors that may have influenced outcomes. Well done! ")</f>
        <v>Nice job with a very interesting project! Presentation was clear and well delivered. The presenter did fairly well responding to questions and considering factors that may have influenced outcomes. Well done! </v>
      </c>
      <c r="O683" s="142" t="str">
        <f t="shared" si="1"/>
        <v/>
      </c>
      <c r="P683" s="143" t="str">
        <f>IF(ISNA(VLOOKUP(CONCAT(M683,C683), 'Judge Count DO NOT EDIT'!H:H, 1, FALSE)), "ERROR","")</f>
        <v/>
      </c>
      <c r="Q683" s="141"/>
      <c r="R683" s="143"/>
      <c r="S683" s="139" t="str">
        <f t="shared" si="2"/>
        <v>1094322</v>
      </c>
      <c r="T683" s="141"/>
    </row>
    <row r="684">
      <c r="A684" s="137">
        <f>IFERROR(__xludf.DUMMYFUNCTION("""COMPUTED_VALUE"""),45352.44458997685)</f>
        <v>45352.44459</v>
      </c>
      <c r="B684" s="138" t="str">
        <f>IFERROR(__xludf.DUMMYFUNCTION("""COMPUTED_VALUE"""),"Charlene Holkenbrink-Monk ")</f>
        <v>Charlene Holkenbrink-Monk </v>
      </c>
      <c r="C684" s="138">
        <f>IFERROR(__xludf.DUMMYFUNCTION("""COMPUTED_VALUE"""),1058.0)</f>
        <v>1058</v>
      </c>
      <c r="D684" s="139">
        <f>IFERROR(__xludf.DUMMYFUNCTION("""COMPUTED_VALUE"""),322.0)</f>
        <v>322</v>
      </c>
      <c r="E684" s="138">
        <f>IFERROR(__xludf.DUMMYFUNCTION("""COMPUTED_VALUE"""),4.0)</f>
        <v>4</v>
      </c>
      <c r="F684" s="138">
        <f>IFERROR(__xludf.DUMMYFUNCTION("""COMPUTED_VALUE"""),4.0)</f>
        <v>4</v>
      </c>
      <c r="G684" s="138">
        <f>IFERROR(__xludf.DUMMYFUNCTION("""COMPUTED_VALUE"""),4.0)</f>
        <v>4</v>
      </c>
      <c r="H684" s="138">
        <f>IFERROR(__xludf.DUMMYFUNCTION("""COMPUTED_VALUE"""),4.0)</f>
        <v>4</v>
      </c>
      <c r="I684" s="138">
        <f>IFERROR(__xludf.DUMMYFUNCTION("""COMPUTED_VALUE"""),5.0)</f>
        <v>5</v>
      </c>
      <c r="J684" s="138">
        <f>IFERROR(__xludf.DUMMYFUNCTION("""COMPUTED_VALUE"""),4.0)</f>
        <v>4</v>
      </c>
      <c r="K684" s="138">
        <f>IFERROR(__xludf.DUMMYFUNCTION("""COMPUTED_VALUE"""),5.0)</f>
        <v>5</v>
      </c>
      <c r="L684" s="138">
        <v>30.0</v>
      </c>
      <c r="M684" s="140" t="str">
        <f>VLOOKUP(text(D684, "#"),'Master Table'!$A:$F, 6, FALSE)</f>
        <v>F-1</v>
      </c>
      <c r="N684" s="141" t="str">
        <f>IFERROR(__xludf.DUMMYFUNCTION("""COMPUTED_VALUE"""),"Great presentation, interaction, and engagement. The critical thinking and thoughts around future research were solid. Considerations for future would be to highlight previous literature a little more to discuss the gaps and contributions to scientific re"&amp;"sarch and how this is significant, but overall, great job. ")</f>
        <v>Great presentation, interaction, and engagement. The critical thinking and thoughts around future research were solid. Considerations for future would be to highlight previous literature a little more to discuss the gaps and contributions to scientific resarch and how this is significant, but overall, great job. </v>
      </c>
      <c r="O684" s="142" t="str">
        <f t="shared" si="1"/>
        <v/>
      </c>
      <c r="P684" s="143" t="str">
        <f>IF(ISNA(VLOOKUP(CONCAT(M684,C684), 'Judge Count DO NOT EDIT'!H:H, 1, FALSE)), "ERROR","")</f>
        <v/>
      </c>
      <c r="Q684" s="141"/>
      <c r="R684" s="143"/>
      <c r="S684" s="139" t="str">
        <f t="shared" si="2"/>
        <v>1058322</v>
      </c>
      <c r="T684" s="141"/>
    </row>
    <row r="685">
      <c r="A685" s="137">
        <f>IFERROR(__xludf.DUMMYFUNCTION("""COMPUTED_VALUE"""),45352.412034884255)</f>
        <v>45352.41203</v>
      </c>
      <c r="B685" s="138" t="str">
        <f>IFERROR(__xludf.DUMMYFUNCTION("""COMPUTED_VALUE"""),"Valeria ochoa ")</f>
        <v>Valeria ochoa </v>
      </c>
      <c r="C685" s="138">
        <f>IFERROR(__xludf.DUMMYFUNCTION("""COMPUTED_VALUE"""),1219.0)</f>
        <v>1219</v>
      </c>
      <c r="D685" s="139">
        <f>IFERROR(__xludf.DUMMYFUNCTION("""COMPUTED_VALUE"""),323.0)</f>
        <v>323</v>
      </c>
      <c r="E685" s="138">
        <f>IFERROR(__xludf.DUMMYFUNCTION("""COMPUTED_VALUE"""),4.0)</f>
        <v>4</v>
      </c>
      <c r="F685" s="138">
        <f>IFERROR(__xludf.DUMMYFUNCTION("""COMPUTED_VALUE"""),4.0)</f>
        <v>4</v>
      </c>
      <c r="G685" s="138">
        <f>IFERROR(__xludf.DUMMYFUNCTION("""COMPUTED_VALUE"""),4.0)</f>
        <v>4</v>
      </c>
      <c r="H685" s="138">
        <f>IFERROR(__xludf.DUMMYFUNCTION("""COMPUTED_VALUE"""),4.0)</f>
        <v>4</v>
      </c>
      <c r="I685" s="138">
        <f>IFERROR(__xludf.DUMMYFUNCTION("""COMPUTED_VALUE"""),3.0)</f>
        <v>3</v>
      </c>
      <c r="J685" s="138">
        <f>IFERROR(__xludf.DUMMYFUNCTION("""COMPUTED_VALUE"""),3.0)</f>
        <v>3</v>
      </c>
      <c r="K685" s="138">
        <f>IFERROR(__xludf.DUMMYFUNCTION("""COMPUTED_VALUE"""),3.0)</f>
        <v>3</v>
      </c>
      <c r="L685" s="138">
        <v>25.0</v>
      </c>
      <c r="M685" s="140" t="str">
        <f>VLOOKUP(text(D685, "#"),'Master Table'!$A:$F, 6, FALSE)</f>
        <v>F-1</v>
      </c>
      <c r="N685" s="141"/>
      <c r="O685" s="142" t="str">
        <f t="shared" si="1"/>
        <v/>
      </c>
      <c r="P685" s="143" t="str">
        <f>IF(ISNA(VLOOKUP(CONCAT(M685,C685), 'Judge Count DO NOT EDIT'!H:H, 1, FALSE)), "ERROR","")</f>
        <v/>
      </c>
      <c r="Q685" s="141"/>
      <c r="R685" s="143"/>
      <c r="S685" s="139" t="str">
        <f t="shared" si="2"/>
        <v>1219323</v>
      </c>
      <c r="T685" s="141"/>
    </row>
    <row r="686">
      <c r="A686" s="137">
        <f>IFERROR(__xludf.DUMMYFUNCTION("""COMPUTED_VALUE"""),45352.43373672453)</f>
        <v>45352.43374</v>
      </c>
      <c r="B686" s="138" t="str">
        <f>IFERROR(__xludf.DUMMYFUNCTION("""COMPUTED_VALUE"""),"Stephanie Ries ")</f>
        <v>Stephanie Ries </v>
      </c>
      <c r="C686" s="138">
        <f>IFERROR(__xludf.DUMMYFUNCTION("""COMPUTED_VALUE"""),1114.0)</f>
        <v>1114</v>
      </c>
      <c r="D686" s="139">
        <f>IFERROR(__xludf.DUMMYFUNCTION("""COMPUTED_VALUE"""),323.0)</f>
        <v>323</v>
      </c>
      <c r="E686" s="138">
        <f>IFERROR(__xludf.DUMMYFUNCTION("""COMPUTED_VALUE"""),5.0)</f>
        <v>5</v>
      </c>
      <c r="F686" s="138">
        <f>IFERROR(__xludf.DUMMYFUNCTION("""COMPUTED_VALUE"""),4.0)</f>
        <v>4</v>
      </c>
      <c r="G686" s="138">
        <f>IFERROR(__xludf.DUMMYFUNCTION("""COMPUTED_VALUE"""),4.0)</f>
        <v>4</v>
      </c>
      <c r="H686" s="138">
        <f>IFERROR(__xludf.DUMMYFUNCTION("""COMPUTED_VALUE"""),5.0)</f>
        <v>5</v>
      </c>
      <c r="I686" s="138">
        <f>IFERROR(__xludf.DUMMYFUNCTION("""COMPUTED_VALUE"""),5.0)</f>
        <v>5</v>
      </c>
      <c r="J686" s="138">
        <f>IFERROR(__xludf.DUMMYFUNCTION("""COMPUTED_VALUE"""),5.0)</f>
        <v>5</v>
      </c>
      <c r="K686" s="138">
        <f>IFERROR(__xludf.DUMMYFUNCTION("""COMPUTED_VALUE"""),5.0)</f>
        <v>5</v>
      </c>
      <c r="L686" s="138">
        <v>33.0</v>
      </c>
      <c r="M686" s="140" t="str">
        <f>VLOOKUP(text(D686, "#"),'Master Table'!$A:$F, 6, FALSE)</f>
        <v>F-1</v>
      </c>
      <c r="N686" s="141" t="str">
        <f>IFERROR(__xludf.DUMMYFUNCTION("""COMPUTED_VALUE"""),"Excellent presentation about cerebral palsy and its effect on switch articulation. The methodology is impressive and uses optical motion capture to measure the movements of different articulators. There were no differences between the typically developing"&amp;" children and those with CP but the presented potential reasons made sense. Great job!!")</f>
        <v>Excellent presentation about cerebral palsy and its effect on switch articulation. The methodology is impressive and uses optical motion capture to measure the movements of different articulators. There were no differences between the typically developing children and those with CP but the presented potential reasons made sense. Great job!!</v>
      </c>
      <c r="O686" s="142" t="str">
        <f t="shared" si="1"/>
        <v/>
      </c>
      <c r="P686" s="143" t="str">
        <f>IF(ISNA(VLOOKUP(CONCAT(M686,C686), 'Judge Count DO NOT EDIT'!H:H, 1, FALSE)), "ERROR","")</f>
        <v/>
      </c>
      <c r="Q686" s="141"/>
      <c r="R686" s="143"/>
      <c r="S686" s="139" t="str">
        <f t="shared" si="2"/>
        <v>1114323</v>
      </c>
      <c r="T686" s="141"/>
    </row>
    <row r="687">
      <c r="A687" s="137">
        <f>IFERROR(__xludf.DUMMYFUNCTION("""COMPUTED_VALUE"""),45352.441449328704)</f>
        <v>45352.44145</v>
      </c>
      <c r="B687" s="138" t="str">
        <f>IFERROR(__xludf.DUMMYFUNCTION("""COMPUTED_VALUE"""),"Kristine Ehrich")</f>
        <v>Kristine Ehrich</v>
      </c>
      <c r="C687" s="138">
        <f>IFERROR(__xludf.DUMMYFUNCTION("""COMPUTED_VALUE"""),1183.0)</f>
        <v>1183</v>
      </c>
      <c r="D687" s="139">
        <f>IFERROR(__xludf.DUMMYFUNCTION("""COMPUTED_VALUE"""),323.0)</f>
        <v>323</v>
      </c>
      <c r="E687" s="138">
        <f>IFERROR(__xludf.DUMMYFUNCTION("""COMPUTED_VALUE"""),5.0)</f>
        <v>5</v>
      </c>
      <c r="F687" s="138">
        <f>IFERROR(__xludf.DUMMYFUNCTION("""COMPUTED_VALUE"""),4.0)</f>
        <v>4</v>
      </c>
      <c r="G687" s="138">
        <f>IFERROR(__xludf.DUMMYFUNCTION("""COMPUTED_VALUE"""),5.0)</f>
        <v>5</v>
      </c>
      <c r="H687" s="138">
        <f>IFERROR(__xludf.DUMMYFUNCTION("""COMPUTED_VALUE"""),4.0)</f>
        <v>4</v>
      </c>
      <c r="I687" s="138">
        <f>IFERROR(__xludf.DUMMYFUNCTION("""COMPUTED_VALUE"""),5.0)</f>
        <v>5</v>
      </c>
      <c r="J687" s="138">
        <f>IFERROR(__xludf.DUMMYFUNCTION("""COMPUTED_VALUE"""),5.0)</f>
        <v>5</v>
      </c>
      <c r="K687" s="138">
        <f>IFERROR(__xludf.DUMMYFUNCTION("""COMPUTED_VALUE"""),5.0)</f>
        <v>5</v>
      </c>
      <c r="L687" s="138">
        <v>33.0</v>
      </c>
      <c r="M687" s="140" t="str">
        <f>VLOOKUP(text(D687, "#"),'Master Table'!$A:$F, 6, FALSE)</f>
        <v>F-1</v>
      </c>
      <c r="N687" s="141" t="str">
        <f>IFERROR(__xludf.DUMMYFUNCTION("""COMPUTED_VALUE"""),"Wonderful job on the research itself as well as presenting it. Thanks for caring and doing a great job. Enjoyable to listen to, you had a good command of the information you shared. I can see the potential for future research and love that you were able t"&amp;"o vocalize what could be done in future data collections. Also good to see that you have an understanding of how this research can be used to positively impact lives. Well done! Good luck in whatever you do after graduation!")</f>
        <v>Wonderful job on the research itself as well as presenting it. Thanks for caring and doing a great job. Enjoyable to listen to, you had a good command of the information you shared. I can see the potential for future research and love that you were able to vocalize what could be done in future data collections. Also good to see that you have an understanding of how this research can be used to positively impact lives. Well done! Good luck in whatever you do after graduation!</v>
      </c>
      <c r="O687" s="142" t="str">
        <f t="shared" si="1"/>
        <v/>
      </c>
      <c r="P687" s="143" t="str">
        <f>IF(ISNA(VLOOKUP(CONCAT(M687,C687), 'Judge Count DO NOT EDIT'!H:H, 1, FALSE)), "ERROR","")</f>
        <v/>
      </c>
      <c r="Q687" s="141"/>
      <c r="R687" s="143"/>
      <c r="S687" s="139" t="str">
        <f t="shared" si="2"/>
        <v>1183323</v>
      </c>
      <c r="T687" s="141"/>
    </row>
    <row r="688">
      <c r="A688" s="137">
        <f>IFERROR(__xludf.DUMMYFUNCTION("""COMPUTED_VALUE"""),45352.45057678241)</f>
        <v>45352.45058</v>
      </c>
      <c r="B688" s="138" t="str">
        <f>IFERROR(__xludf.DUMMYFUNCTION("""COMPUTED_VALUE"""),"JoAnn Silkes")</f>
        <v>JoAnn Silkes</v>
      </c>
      <c r="C688" s="138">
        <f>IFERROR(__xludf.DUMMYFUNCTION("""COMPUTED_VALUE"""),1094.0)</f>
        <v>1094</v>
      </c>
      <c r="D688" s="139">
        <f>IFERROR(__xludf.DUMMYFUNCTION("""COMPUTED_VALUE"""),323.0)</f>
        <v>323</v>
      </c>
      <c r="E688" s="138">
        <f>IFERROR(__xludf.DUMMYFUNCTION("""COMPUTED_VALUE"""),4.0)</f>
        <v>4</v>
      </c>
      <c r="F688" s="138">
        <f>IFERROR(__xludf.DUMMYFUNCTION("""COMPUTED_VALUE"""),4.0)</f>
        <v>4</v>
      </c>
      <c r="G688" s="138">
        <f>IFERROR(__xludf.DUMMYFUNCTION("""COMPUTED_VALUE"""),3.0)</f>
        <v>3</v>
      </c>
      <c r="H688" s="138">
        <f>IFERROR(__xludf.DUMMYFUNCTION("""COMPUTED_VALUE"""),3.0)</f>
        <v>3</v>
      </c>
      <c r="I688" s="138">
        <f>IFERROR(__xludf.DUMMYFUNCTION("""COMPUTED_VALUE"""),4.0)</f>
        <v>4</v>
      </c>
      <c r="J688" s="138">
        <f>IFERROR(__xludf.DUMMYFUNCTION("""COMPUTED_VALUE"""),3.0)</f>
        <v>3</v>
      </c>
      <c r="K688" s="138">
        <f>IFERROR(__xludf.DUMMYFUNCTION("""COMPUTED_VALUE"""),4.0)</f>
        <v>4</v>
      </c>
      <c r="L688" s="138">
        <v>25.0</v>
      </c>
      <c r="M688" s="140" t="str">
        <f>VLOOKUP(text(D688, "#"),'Master Table'!$A:$F, 6, FALSE)</f>
        <v>F-1</v>
      </c>
      <c r="N688" s="141" t="str">
        <f>IFERROR(__xludf.DUMMYFUNCTION("""COMPUTED_VALUE"""),"Nice presentation on a complex project. The presenter answered most questions well and was confident in her presentation overall. ")</f>
        <v>Nice presentation on a complex project. The presenter answered most questions well and was confident in her presentation overall. </v>
      </c>
      <c r="O688" s="142" t="str">
        <f t="shared" si="1"/>
        <v/>
      </c>
      <c r="P688" s="143" t="str">
        <f>IF(ISNA(VLOOKUP(CONCAT(M688,C688), 'Judge Count DO NOT EDIT'!H:H, 1, FALSE)), "ERROR","")</f>
        <v/>
      </c>
      <c r="Q688" s="144"/>
      <c r="R688" s="143"/>
      <c r="S688" s="139" t="str">
        <f t="shared" si="2"/>
        <v>1094323</v>
      </c>
      <c r="T688" s="141"/>
    </row>
    <row r="689">
      <c r="A689" s="137">
        <f>IFERROR(__xludf.DUMMYFUNCTION("""COMPUTED_VALUE"""),45352.436998854166)</f>
        <v>45352.437</v>
      </c>
      <c r="B689" s="138" t="str">
        <f>IFERROR(__xludf.DUMMYFUNCTION("""COMPUTED_VALUE"""),"Valeria ochoa ")</f>
        <v>Valeria ochoa </v>
      </c>
      <c r="C689" s="138">
        <f>IFERROR(__xludf.DUMMYFUNCTION("""COMPUTED_VALUE"""),1219.0)</f>
        <v>1219</v>
      </c>
      <c r="D689" s="139">
        <f>IFERROR(__xludf.DUMMYFUNCTION("""COMPUTED_VALUE"""),324.0)</f>
        <v>324</v>
      </c>
      <c r="E689" s="138">
        <f>IFERROR(__xludf.DUMMYFUNCTION("""COMPUTED_VALUE"""),4.0)</f>
        <v>4</v>
      </c>
      <c r="F689" s="138">
        <f>IFERROR(__xludf.DUMMYFUNCTION("""COMPUTED_VALUE"""),4.0)</f>
        <v>4</v>
      </c>
      <c r="G689" s="138">
        <f>IFERROR(__xludf.DUMMYFUNCTION("""COMPUTED_VALUE"""),4.0)</f>
        <v>4</v>
      </c>
      <c r="H689" s="138">
        <f>IFERROR(__xludf.DUMMYFUNCTION("""COMPUTED_VALUE"""),3.0)</f>
        <v>3</v>
      </c>
      <c r="I689" s="138">
        <f>IFERROR(__xludf.DUMMYFUNCTION("""COMPUTED_VALUE"""),3.0)</f>
        <v>3</v>
      </c>
      <c r="J689" s="138">
        <f>IFERROR(__xludf.DUMMYFUNCTION("""COMPUTED_VALUE"""),4.0)</f>
        <v>4</v>
      </c>
      <c r="K689" s="138">
        <f>IFERROR(__xludf.DUMMYFUNCTION("""COMPUTED_VALUE"""),4.0)</f>
        <v>4</v>
      </c>
      <c r="L689" s="138">
        <v>26.0</v>
      </c>
      <c r="M689" s="140" t="str">
        <f>VLOOKUP(text(D689, "#"),'Master Table'!$A:$F, 6, FALSE)</f>
        <v>F-1</v>
      </c>
      <c r="N689" s="141"/>
      <c r="O689" s="142" t="str">
        <f t="shared" si="1"/>
        <v/>
      </c>
      <c r="P689" s="143" t="str">
        <f>IF(ISNA(VLOOKUP(CONCAT(M689,C689), 'Judge Count DO NOT EDIT'!H:H, 1, FALSE)), "ERROR","")</f>
        <v/>
      </c>
      <c r="Q689" s="141"/>
      <c r="R689" s="143"/>
      <c r="S689" s="139" t="str">
        <f t="shared" si="2"/>
        <v>1219324</v>
      </c>
      <c r="T689" s="141"/>
    </row>
    <row r="690">
      <c r="A690" s="137">
        <f>IFERROR(__xludf.DUMMYFUNCTION("""COMPUTED_VALUE"""),45352.44302089121)</f>
        <v>45352.44302</v>
      </c>
      <c r="B690" s="138" t="str">
        <f>IFERROR(__xludf.DUMMYFUNCTION("""COMPUTED_VALUE"""),"Kristine Ehrich")</f>
        <v>Kristine Ehrich</v>
      </c>
      <c r="C690" s="138">
        <f>IFERROR(__xludf.DUMMYFUNCTION("""COMPUTED_VALUE"""),1183.0)</f>
        <v>1183</v>
      </c>
      <c r="D690" s="139">
        <f>IFERROR(__xludf.DUMMYFUNCTION("""COMPUTED_VALUE"""),324.0)</f>
        <v>324</v>
      </c>
      <c r="E690" s="138">
        <f>IFERROR(__xludf.DUMMYFUNCTION("""COMPUTED_VALUE"""),4.0)</f>
        <v>4</v>
      </c>
      <c r="F690" s="138">
        <f>IFERROR(__xludf.DUMMYFUNCTION("""COMPUTED_VALUE"""),5.0)</f>
        <v>5</v>
      </c>
      <c r="G690" s="138">
        <f>IFERROR(__xludf.DUMMYFUNCTION("""COMPUTED_VALUE"""),5.0)</f>
        <v>5</v>
      </c>
      <c r="H690" s="138">
        <f>IFERROR(__xludf.DUMMYFUNCTION("""COMPUTED_VALUE"""),4.0)</f>
        <v>4</v>
      </c>
      <c r="I690" s="138">
        <f>IFERROR(__xludf.DUMMYFUNCTION("""COMPUTED_VALUE"""),4.0)</f>
        <v>4</v>
      </c>
      <c r="J690" s="138">
        <f>IFERROR(__xludf.DUMMYFUNCTION("""COMPUTED_VALUE"""),5.0)</f>
        <v>5</v>
      </c>
      <c r="K690" s="138">
        <f>IFERROR(__xludf.DUMMYFUNCTION("""COMPUTED_VALUE"""),5.0)</f>
        <v>5</v>
      </c>
      <c r="L690" s="138">
        <v>32.0</v>
      </c>
      <c r="M690" s="140" t="str">
        <f>VLOOKUP(text(D690, "#"),'Master Table'!$A:$F, 6, FALSE)</f>
        <v>F-1</v>
      </c>
      <c r="N690" s="141" t="str">
        <f>IFERROR(__xludf.DUMMYFUNCTION("""COMPUTED_VALUE"""),"Wonderful job presenting the research. I can see that this is important research! Thanks for caring and doing a great job. Enjoyable to listen to, you had a good command of the information you shared. I can see the potential for future research and how it"&amp;" can free up resources down the line. Well done! Good luck in whatever you do after graduation!")</f>
        <v>Wonderful job presenting the research. I can see that this is important research! Thanks for caring and doing a great job. Enjoyable to listen to, you had a good command of the information you shared. I can see the potential for future research and how it can free up resources down the line. Well done! Good luck in whatever you do after graduation!</v>
      </c>
      <c r="O690" s="142" t="str">
        <f t="shared" si="1"/>
        <v/>
      </c>
      <c r="P690" s="143" t="str">
        <f>IF(ISNA(VLOOKUP(CONCAT(M690,C690), 'Judge Count DO NOT EDIT'!H:H, 1, FALSE)), "ERROR","")</f>
        <v/>
      </c>
      <c r="Q690" s="141"/>
      <c r="R690" s="143"/>
      <c r="S690" s="139" t="str">
        <f t="shared" si="2"/>
        <v>1183324</v>
      </c>
      <c r="T690" s="141"/>
    </row>
    <row r="691">
      <c r="A691" s="137">
        <f>IFERROR(__xludf.DUMMYFUNCTION("""COMPUTED_VALUE"""),45352.451461805555)</f>
        <v>45352.45146</v>
      </c>
      <c r="B691" s="138" t="str">
        <f>IFERROR(__xludf.DUMMYFUNCTION("""COMPUTED_VALUE"""),"JoAnn Silkes")</f>
        <v>JoAnn Silkes</v>
      </c>
      <c r="C691" s="138">
        <f>IFERROR(__xludf.DUMMYFUNCTION("""COMPUTED_VALUE"""),1094.0)</f>
        <v>1094</v>
      </c>
      <c r="D691" s="139">
        <f>IFERROR(__xludf.DUMMYFUNCTION("""COMPUTED_VALUE"""),324.0)</f>
        <v>324</v>
      </c>
      <c r="E691" s="138">
        <f>IFERROR(__xludf.DUMMYFUNCTION("""COMPUTED_VALUE"""),4.0)</f>
        <v>4</v>
      </c>
      <c r="F691" s="138">
        <f>IFERROR(__xludf.DUMMYFUNCTION("""COMPUTED_VALUE"""),5.0)</f>
        <v>5</v>
      </c>
      <c r="G691" s="138">
        <f>IFERROR(__xludf.DUMMYFUNCTION("""COMPUTED_VALUE"""),5.0)</f>
        <v>5</v>
      </c>
      <c r="H691" s="138">
        <f>IFERROR(__xludf.DUMMYFUNCTION("""COMPUTED_VALUE"""),4.0)</f>
        <v>4</v>
      </c>
      <c r="I691" s="138">
        <f>IFERROR(__xludf.DUMMYFUNCTION("""COMPUTED_VALUE"""),5.0)</f>
        <v>5</v>
      </c>
      <c r="J691" s="138">
        <f>IFERROR(__xludf.DUMMYFUNCTION("""COMPUTED_VALUE"""),5.0)</f>
        <v>5</v>
      </c>
      <c r="K691" s="138">
        <f>IFERROR(__xludf.DUMMYFUNCTION("""COMPUTED_VALUE"""),5.0)</f>
        <v>5</v>
      </c>
      <c r="L691" s="138">
        <v>33.0</v>
      </c>
      <c r="M691" s="140" t="str">
        <f>VLOOKUP(text(D691, "#"),'Master Table'!$A:$F, 6, FALSE)</f>
        <v>F-1</v>
      </c>
      <c r="N691" s="141" t="str">
        <f>IFERROR(__xludf.DUMMYFUNCTION("""COMPUTED_VALUE"""),"Excellent presentation on very interesting work! ")</f>
        <v>Excellent presentation on very interesting work! </v>
      </c>
      <c r="O691" s="142" t="str">
        <f t="shared" si="1"/>
        <v/>
      </c>
      <c r="P691" s="143" t="str">
        <f>IF(ISNA(VLOOKUP(CONCAT(M691,C691), 'Judge Count DO NOT EDIT'!H:H, 1, FALSE)), "ERROR","")</f>
        <v/>
      </c>
      <c r="Q691" s="144"/>
      <c r="R691" s="143"/>
      <c r="S691" s="139" t="str">
        <f t="shared" si="2"/>
        <v>1094324</v>
      </c>
      <c r="T691" s="141"/>
    </row>
    <row r="692">
      <c r="A692" s="137">
        <f>IFERROR(__xludf.DUMMYFUNCTION("""COMPUTED_VALUE"""),45352.805417372685)</f>
        <v>45352.80542</v>
      </c>
      <c r="B692" s="138" t="str">
        <f>IFERROR(__xludf.DUMMYFUNCTION("""COMPUTED_VALUE"""),"Stephanie Ries ")</f>
        <v>Stephanie Ries </v>
      </c>
      <c r="C692" s="138">
        <f>IFERROR(__xludf.DUMMYFUNCTION("""COMPUTED_VALUE"""),1114.0)</f>
        <v>1114</v>
      </c>
      <c r="D692" s="139">
        <f>IFERROR(__xludf.DUMMYFUNCTION("""COMPUTED_VALUE"""),324.0)</f>
        <v>324</v>
      </c>
      <c r="E692" s="138">
        <f>IFERROR(__xludf.DUMMYFUNCTION("""COMPUTED_VALUE"""),4.0)</f>
        <v>4</v>
      </c>
      <c r="F692" s="138">
        <f>IFERROR(__xludf.DUMMYFUNCTION("""COMPUTED_VALUE"""),4.0)</f>
        <v>4</v>
      </c>
      <c r="G692" s="138">
        <f>IFERROR(__xludf.DUMMYFUNCTION("""COMPUTED_VALUE"""),4.0)</f>
        <v>4</v>
      </c>
      <c r="H692" s="138">
        <f>IFERROR(__xludf.DUMMYFUNCTION("""COMPUTED_VALUE"""),4.0)</f>
        <v>4</v>
      </c>
      <c r="I692" s="138">
        <f>IFERROR(__xludf.DUMMYFUNCTION("""COMPUTED_VALUE"""),4.0)</f>
        <v>4</v>
      </c>
      <c r="J692" s="138">
        <f>IFERROR(__xludf.DUMMYFUNCTION("""COMPUTED_VALUE"""),4.0)</f>
        <v>4</v>
      </c>
      <c r="K692" s="138">
        <f>IFERROR(__xludf.DUMMYFUNCTION("""COMPUTED_VALUE"""),4.0)</f>
        <v>4</v>
      </c>
      <c r="L692" s="138">
        <v>28.0</v>
      </c>
      <c r="M692" s="140" t="str">
        <f>VLOOKUP(text(D692, "#"),'Master Table'!$A:$F, 6, FALSE)</f>
        <v>F-1</v>
      </c>
      <c r="N692" s="141" t="str">
        <f>IFERROR(__xludf.DUMMYFUNCTION("""COMPUTED_VALUE"""),"Very interesting presentation and original work! Motivated and convincing students. Great job!")</f>
        <v>Very interesting presentation and original work! Motivated and convincing students. Great job!</v>
      </c>
      <c r="O692" s="142" t="str">
        <f t="shared" si="1"/>
        <v/>
      </c>
      <c r="P692" s="143" t="str">
        <f>IF(ISNA(VLOOKUP(CONCAT(M692,C692), 'Judge Count DO NOT EDIT'!H:H, 1, FALSE)), "ERROR","")</f>
        <v/>
      </c>
      <c r="Q692" s="141"/>
      <c r="R692" s="143"/>
      <c r="S692" s="139" t="str">
        <f t="shared" si="2"/>
        <v>1114324</v>
      </c>
      <c r="T692" s="141"/>
    </row>
    <row r="693">
      <c r="A693" s="137">
        <f>IFERROR(__xludf.DUMMYFUNCTION("""COMPUTED_VALUE"""),45352.39206174768)</f>
        <v>45352.39206</v>
      </c>
      <c r="B693" s="138" t="str">
        <f>IFERROR(__xludf.DUMMYFUNCTION("""COMPUTED_VALUE"""),"Ian Gibson")</f>
        <v>Ian Gibson</v>
      </c>
      <c r="C693" s="138">
        <f>IFERROR(__xludf.DUMMYFUNCTION("""COMPUTED_VALUE"""),1179.0)</f>
        <v>1179</v>
      </c>
      <c r="D693" s="139">
        <f>IFERROR(__xludf.DUMMYFUNCTION("""COMPUTED_VALUE"""),325.0)</f>
        <v>325</v>
      </c>
      <c r="E693" s="138">
        <f>IFERROR(__xludf.DUMMYFUNCTION("""COMPUTED_VALUE"""),4.0)</f>
        <v>4</v>
      </c>
      <c r="F693" s="138">
        <f>IFERROR(__xludf.DUMMYFUNCTION("""COMPUTED_VALUE"""),3.0)</f>
        <v>3</v>
      </c>
      <c r="G693" s="138">
        <f>IFERROR(__xludf.DUMMYFUNCTION("""COMPUTED_VALUE"""),4.0)</f>
        <v>4</v>
      </c>
      <c r="H693" s="138">
        <f>IFERROR(__xludf.DUMMYFUNCTION("""COMPUTED_VALUE"""),3.0)</f>
        <v>3</v>
      </c>
      <c r="I693" s="138">
        <f>IFERROR(__xludf.DUMMYFUNCTION("""COMPUTED_VALUE"""),4.0)</f>
        <v>4</v>
      </c>
      <c r="J693" s="138">
        <f>IFERROR(__xludf.DUMMYFUNCTION("""COMPUTED_VALUE"""),4.0)</f>
        <v>4</v>
      </c>
      <c r="K693" s="138">
        <f>IFERROR(__xludf.DUMMYFUNCTION("""COMPUTED_VALUE"""),5.0)</f>
        <v>5</v>
      </c>
      <c r="L693" s="138">
        <v>27.0</v>
      </c>
      <c r="M693" s="140" t="str">
        <f>VLOOKUP(text(D693, "#"),'Master Table'!$A:$F, 6, FALSE)</f>
        <v>F-2</v>
      </c>
      <c r="N693" s="141" t="str">
        <f>IFERROR(__xludf.DUMMYFUNCTION("""COMPUTED_VALUE"""),"This researcher was clearly well versed in the project and passionate about the work. She did a great job addressing questions and acknowledging areas for further research. I suggest speaking louder, particularly when facing the poster to be better heard "&amp;"in this noisy environment. ")</f>
        <v>This researcher was clearly well versed in the project and passionate about the work. She did a great job addressing questions and acknowledging areas for further research. I suggest speaking louder, particularly when facing the poster to be better heard in this noisy environment. </v>
      </c>
      <c r="O693" s="142" t="str">
        <f t="shared" si="1"/>
        <v/>
      </c>
      <c r="P693" s="143" t="str">
        <f>IF(ISNA(VLOOKUP(CONCAT(M693,C693), 'Judge Count DO NOT EDIT'!H:H, 1, FALSE)), "ERROR","")</f>
        <v/>
      </c>
      <c r="Q693" s="141"/>
      <c r="R693" s="143"/>
      <c r="S693" s="139" t="str">
        <f t="shared" si="2"/>
        <v>1179325</v>
      </c>
      <c r="T693" s="141"/>
    </row>
    <row r="694">
      <c r="A694" s="137">
        <f>IFERROR(__xludf.DUMMYFUNCTION("""COMPUTED_VALUE"""),45352.44957355324)</f>
        <v>45352.44957</v>
      </c>
      <c r="B694" s="138" t="str">
        <f>IFERROR(__xludf.DUMMYFUNCTION("""COMPUTED_VALUE"""),"John mcmillan")</f>
        <v>John mcmillan</v>
      </c>
      <c r="C694" s="138">
        <f>IFERROR(__xludf.DUMMYFUNCTION("""COMPUTED_VALUE"""),1009.0)</f>
        <v>1009</v>
      </c>
      <c r="D694" s="139">
        <f>IFERROR(__xludf.DUMMYFUNCTION("""COMPUTED_VALUE"""),325.0)</f>
        <v>325</v>
      </c>
      <c r="E694" s="138">
        <f>IFERROR(__xludf.DUMMYFUNCTION("""COMPUTED_VALUE"""),4.0)</f>
        <v>4</v>
      </c>
      <c r="F694" s="138">
        <f>IFERROR(__xludf.DUMMYFUNCTION("""COMPUTED_VALUE"""),4.0)</f>
        <v>4</v>
      </c>
      <c r="G694" s="138">
        <f>IFERROR(__xludf.DUMMYFUNCTION("""COMPUTED_VALUE"""),4.0)</f>
        <v>4</v>
      </c>
      <c r="H694" s="138">
        <f>IFERROR(__xludf.DUMMYFUNCTION("""COMPUTED_VALUE"""),3.0)</f>
        <v>3</v>
      </c>
      <c r="I694" s="138">
        <f>IFERROR(__xludf.DUMMYFUNCTION("""COMPUTED_VALUE"""),4.0)</f>
        <v>4</v>
      </c>
      <c r="J694" s="138">
        <f>IFERROR(__xludf.DUMMYFUNCTION("""COMPUTED_VALUE"""),4.0)</f>
        <v>4</v>
      </c>
      <c r="K694" s="138">
        <f>IFERROR(__xludf.DUMMYFUNCTION("""COMPUTED_VALUE"""),4.0)</f>
        <v>4</v>
      </c>
      <c r="L694" s="138">
        <v>27.0</v>
      </c>
      <c r="M694" s="140" t="str">
        <f>VLOOKUP(text(D694, "#"),'Master Table'!$A:$F, 6, FALSE)</f>
        <v>F-2</v>
      </c>
      <c r="N694" s="141" t="str">
        <f>IFERROR(__xludf.DUMMYFUNCTION("""COMPUTED_VALUE"""),"Great presentation and the content was organized well")</f>
        <v>Great presentation and the content was organized well</v>
      </c>
      <c r="O694" s="142" t="str">
        <f t="shared" si="1"/>
        <v/>
      </c>
      <c r="P694" s="143" t="str">
        <f>IF(ISNA(VLOOKUP(CONCAT(M694,C694), 'Judge Count DO NOT EDIT'!H:H, 1, FALSE)), "ERROR","")</f>
        <v/>
      </c>
      <c r="Q694" s="141"/>
      <c r="R694" s="143"/>
      <c r="S694" s="139" t="str">
        <f t="shared" si="2"/>
        <v>1009325</v>
      </c>
      <c r="T694" s="141"/>
    </row>
    <row r="695">
      <c r="A695" s="137">
        <f>IFERROR(__xludf.DUMMYFUNCTION("""COMPUTED_VALUE"""),45352.45446605324)</f>
        <v>45352.45447</v>
      </c>
      <c r="B695" s="138" t="str">
        <f>IFERROR(__xludf.DUMMYFUNCTION("""COMPUTED_VALUE"""),"Karen Han")</f>
        <v>Karen Han</v>
      </c>
      <c r="C695" s="138">
        <f>IFERROR(__xludf.DUMMYFUNCTION("""COMPUTED_VALUE"""),1039.0)</f>
        <v>1039</v>
      </c>
      <c r="D695" s="139">
        <f>IFERROR(__xludf.DUMMYFUNCTION("""COMPUTED_VALUE"""),325.0)</f>
        <v>325</v>
      </c>
      <c r="E695" s="138">
        <f>IFERROR(__xludf.DUMMYFUNCTION("""COMPUTED_VALUE"""),4.0)</f>
        <v>4</v>
      </c>
      <c r="F695" s="138">
        <f>IFERROR(__xludf.DUMMYFUNCTION("""COMPUTED_VALUE"""),4.0)</f>
        <v>4</v>
      </c>
      <c r="G695" s="138">
        <f>IFERROR(__xludf.DUMMYFUNCTION("""COMPUTED_VALUE"""),4.0)</f>
        <v>4</v>
      </c>
      <c r="H695" s="138">
        <f>IFERROR(__xludf.DUMMYFUNCTION("""COMPUTED_VALUE"""),4.0)</f>
        <v>4</v>
      </c>
      <c r="I695" s="138">
        <f>IFERROR(__xludf.DUMMYFUNCTION("""COMPUTED_VALUE"""),4.0)</f>
        <v>4</v>
      </c>
      <c r="J695" s="138">
        <f>IFERROR(__xludf.DUMMYFUNCTION("""COMPUTED_VALUE"""),4.0)</f>
        <v>4</v>
      </c>
      <c r="K695" s="138">
        <f>IFERROR(__xludf.DUMMYFUNCTION("""COMPUTED_VALUE"""),3.0)</f>
        <v>3</v>
      </c>
      <c r="L695" s="138">
        <v>27.0</v>
      </c>
      <c r="M695" s="140" t="str">
        <f>VLOOKUP(text(D695, "#"),'Master Table'!$A:$F, 6, FALSE)</f>
        <v>F-2</v>
      </c>
      <c r="N695" s="141" t="str">
        <f>IFERROR(__xludf.DUMMYFUNCTION("""COMPUTED_VALUE"""),"I think that the research is very interesting, and the methods are pretty solid. It would have been helpful to include graphs related to other IVs (e.g., frequency of use), not just age")</f>
        <v>I think that the research is very interesting, and the methods are pretty solid. It would have been helpful to include graphs related to other IVs (e.g., frequency of use), not just age</v>
      </c>
      <c r="O695" s="142" t="str">
        <f t="shared" si="1"/>
        <v/>
      </c>
      <c r="P695" s="143" t="str">
        <f>IF(ISNA(VLOOKUP(CONCAT(M695,C695), 'Judge Count DO NOT EDIT'!H:H, 1, FALSE)), "ERROR","")</f>
        <v/>
      </c>
      <c r="Q695" s="141"/>
      <c r="R695" s="143"/>
      <c r="S695" s="139" t="str">
        <f t="shared" si="2"/>
        <v>1039325</v>
      </c>
      <c r="T695" s="141"/>
    </row>
    <row r="696">
      <c r="A696" s="137">
        <f>IFERROR(__xludf.DUMMYFUNCTION("""COMPUTED_VALUE"""),45352.56019130787)</f>
        <v>45352.56019</v>
      </c>
      <c r="B696" s="138" t="str">
        <f>IFERROR(__xludf.DUMMYFUNCTION("""COMPUTED_VALUE"""),"Jeni Green")</f>
        <v>Jeni Green</v>
      </c>
      <c r="C696" s="138">
        <f>IFERROR(__xludf.DUMMYFUNCTION("""COMPUTED_VALUE"""),1022.0)</f>
        <v>1022</v>
      </c>
      <c r="D696" s="139">
        <f>IFERROR(__xludf.DUMMYFUNCTION("""COMPUTED_VALUE"""),325.0)</f>
        <v>325</v>
      </c>
      <c r="E696" s="138">
        <f>IFERROR(__xludf.DUMMYFUNCTION("""COMPUTED_VALUE"""),4.0)</f>
        <v>4</v>
      </c>
      <c r="F696" s="138">
        <f>IFERROR(__xludf.DUMMYFUNCTION("""COMPUTED_VALUE"""),4.0)</f>
        <v>4</v>
      </c>
      <c r="G696" s="138">
        <f>IFERROR(__xludf.DUMMYFUNCTION("""COMPUTED_VALUE"""),4.0)</f>
        <v>4</v>
      </c>
      <c r="H696" s="138">
        <f>IFERROR(__xludf.DUMMYFUNCTION("""COMPUTED_VALUE"""),4.0)</f>
        <v>4</v>
      </c>
      <c r="I696" s="138">
        <f>IFERROR(__xludf.DUMMYFUNCTION("""COMPUTED_VALUE"""),5.0)</f>
        <v>5</v>
      </c>
      <c r="J696" s="138">
        <f>IFERROR(__xludf.DUMMYFUNCTION("""COMPUTED_VALUE"""),5.0)</f>
        <v>5</v>
      </c>
      <c r="K696" s="138">
        <f>IFERROR(__xludf.DUMMYFUNCTION("""COMPUTED_VALUE"""),4.0)</f>
        <v>4</v>
      </c>
      <c r="L696" s="138">
        <v>30.0</v>
      </c>
      <c r="M696" s="140" t="str">
        <f>VLOOKUP(text(D696, "#"),'Master Table'!$A:$F, 6, FALSE)</f>
        <v>F-2</v>
      </c>
      <c r="N696" s="141" t="str">
        <f>IFERROR(__xludf.DUMMYFUNCTION("""COMPUTED_VALUE"""),"Presenter had strong communication skills and demonstrated a thorough understanding of the subject. ")</f>
        <v>Presenter had strong communication skills and demonstrated a thorough understanding of the subject. </v>
      </c>
      <c r="O696" s="142" t="str">
        <f t="shared" si="1"/>
        <v/>
      </c>
      <c r="P696" s="143" t="str">
        <f>IF(ISNA(VLOOKUP(CONCAT(M696,C696), 'Judge Count DO NOT EDIT'!H:H, 1, FALSE)), "ERROR","")</f>
        <v/>
      </c>
      <c r="Q696" s="141"/>
      <c r="R696" s="143"/>
      <c r="S696" s="139" t="str">
        <f t="shared" si="2"/>
        <v>1022325</v>
      </c>
      <c r="T696" s="141"/>
    </row>
    <row r="697">
      <c r="A697" s="137">
        <f>IFERROR(__xludf.DUMMYFUNCTION("""COMPUTED_VALUE"""),45352.3983862037)</f>
        <v>45352.39839</v>
      </c>
      <c r="B697" s="138" t="str">
        <f>IFERROR(__xludf.DUMMYFUNCTION("""COMPUTED_VALUE"""),"Ian Gibson")</f>
        <v>Ian Gibson</v>
      </c>
      <c r="C697" s="138">
        <f>IFERROR(__xludf.DUMMYFUNCTION("""COMPUTED_VALUE"""),1179.0)</f>
        <v>1179</v>
      </c>
      <c r="D697" s="139">
        <f>IFERROR(__xludf.DUMMYFUNCTION("""COMPUTED_VALUE"""),326.0)</f>
        <v>326</v>
      </c>
      <c r="E697" s="138">
        <f>IFERROR(__xludf.DUMMYFUNCTION("""COMPUTED_VALUE"""),4.0)</f>
        <v>4</v>
      </c>
      <c r="F697" s="138">
        <f>IFERROR(__xludf.DUMMYFUNCTION("""COMPUTED_VALUE"""),2.0)</f>
        <v>2</v>
      </c>
      <c r="G697" s="138">
        <f>IFERROR(__xludf.DUMMYFUNCTION("""COMPUTED_VALUE"""),3.0)</f>
        <v>3</v>
      </c>
      <c r="H697" s="138">
        <f>IFERROR(__xludf.DUMMYFUNCTION("""COMPUTED_VALUE"""),4.0)</f>
        <v>4</v>
      </c>
      <c r="I697" s="138">
        <f>IFERROR(__xludf.DUMMYFUNCTION("""COMPUTED_VALUE"""),5.0)</f>
        <v>5</v>
      </c>
      <c r="J697" s="138">
        <f>IFERROR(__xludf.DUMMYFUNCTION("""COMPUTED_VALUE"""),4.0)</f>
        <v>4</v>
      </c>
      <c r="K697" s="138">
        <f>IFERROR(__xludf.DUMMYFUNCTION("""COMPUTED_VALUE"""),4.0)</f>
        <v>4</v>
      </c>
      <c r="L697" s="138">
        <v>26.0</v>
      </c>
      <c r="M697" s="140" t="str">
        <f>VLOOKUP(text(D697, "#"),'Master Table'!$A:$F, 6, FALSE)</f>
        <v>F-2</v>
      </c>
      <c r="N697" s="141" t="str">
        <f>IFERROR(__xludf.DUMMYFUNCTION("""COMPUTED_VALUE"""),"Great energetic delivery, not reading from the poster as many others did. Confident and able to address questions. ")</f>
        <v>Great energetic delivery, not reading from the poster as many others did. Confident and able to address questions. </v>
      </c>
      <c r="O697" s="142" t="str">
        <f t="shared" si="1"/>
        <v/>
      </c>
      <c r="P697" s="143" t="str">
        <f>IF(ISNA(VLOOKUP(CONCAT(M697,C697), 'Judge Count DO NOT EDIT'!H:H, 1, FALSE)), "ERROR","")</f>
        <v/>
      </c>
      <c r="Q697" s="141"/>
      <c r="R697" s="143"/>
      <c r="S697" s="139" t="str">
        <f t="shared" si="2"/>
        <v>1179326</v>
      </c>
      <c r="T697" s="141"/>
    </row>
    <row r="698">
      <c r="A698" s="137">
        <f>IFERROR(__xludf.DUMMYFUNCTION("""COMPUTED_VALUE"""),45352.4510316088)</f>
        <v>45352.45103</v>
      </c>
      <c r="B698" s="138" t="str">
        <f>IFERROR(__xludf.DUMMYFUNCTION("""COMPUTED_VALUE"""),"John McMillan")</f>
        <v>John McMillan</v>
      </c>
      <c r="C698" s="138">
        <f>IFERROR(__xludf.DUMMYFUNCTION("""COMPUTED_VALUE"""),1009.0)</f>
        <v>1009</v>
      </c>
      <c r="D698" s="139">
        <f>IFERROR(__xludf.DUMMYFUNCTION("""COMPUTED_VALUE"""),326.0)</f>
        <v>326</v>
      </c>
      <c r="E698" s="138">
        <f>IFERROR(__xludf.DUMMYFUNCTION("""COMPUTED_VALUE"""),4.0)</f>
        <v>4</v>
      </c>
      <c r="F698" s="138">
        <f>IFERROR(__xludf.DUMMYFUNCTION("""COMPUTED_VALUE"""),4.0)</f>
        <v>4</v>
      </c>
      <c r="G698" s="138">
        <f>IFERROR(__xludf.DUMMYFUNCTION("""COMPUTED_VALUE"""),3.0)</f>
        <v>3</v>
      </c>
      <c r="H698" s="138">
        <f>IFERROR(__xludf.DUMMYFUNCTION("""COMPUTED_VALUE"""),3.0)</f>
        <v>3</v>
      </c>
      <c r="I698" s="138">
        <f>IFERROR(__xludf.DUMMYFUNCTION("""COMPUTED_VALUE"""),4.0)</f>
        <v>4</v>
      </c>
      <c r="J698" s="138">
        <f>IFERROR(__xludf.DUMMYFUNCTION("""COMPUTED_VALUE"""),4.0)</f>
        <v>4</v>
      </c>
      <c r="K698" s="138">
        <f>IFERROR(__xludf.DUMMYFUNCTION("""COMPUTED_VALUE"""),5.0)</f>
        <v>5</v>
      </c>
      <c r="L698" s="138">
        <v>27.0</v>
      </c>
      <c r="M698" s="140" t="str">
        <f>VLOOKUP(text(D698, "#"),'Master Table'!$A:$F, 6, FALSE)</f>
        <v>F-2</v>
      </c>
      <c r="N698" s="141" t="str">
        <f>IFERROR(__xludf.DUMMYFUNCTION("""COMPUTED_VALUE"""),"The content was presented well and I like that they had ideas about activate their findings, increased sample size would have helped but understandable given limitations of study period ")</f>
        <v>The content was presented well and I like that they had ideas about activate their findings, increased sample size would have helped but understandable given limitations of study period </v>
      </c>
      <c r="O698" s="142" t="str">
        <f t="shared" si="1"/>
        <v/>
      </c>
      <c r="P698" s="143" t="str">
        <f>IF(ISNA(VLOOKUP(CONCAT(M698,C698), 'Judge Count DO NOT EDIT'!H:H, 1, FALSE)), "ERROR","")</f>
        <v/>
      </c>
      <c r="Q698" s="141"/>
      <c r="R698" s="143"/>
      <c r="S698" s="139" t="str">
        <f t="shared" si="2"/>
        <v>1009326</v>
      </c>
      <c r="T698" s="141"/>
    </row>
    <row r="699">
      <c r="A699" s="137">
        <f>IFERROR(__xludf.DUMMYFUNCTION("""COMPUTED_VALUE"""),45352.45556599537)</f>
        <v>45352.45557</v>
      </c>
      <c r="B699" s="138" t="str">
        <f>IFERROR(__xludf.DUMMYFUNCTION("""COMPUTED_VALUE"""),"Karen Han")</f>
        <v>Karen Han</v>
      </c>
      <c r="C699" s="138">
        <f>IFERROR(__xludf.DUMMYFUNCTION("""COMPUTED_VALUE"""),1039.0)</f>
        <v>1039</v>
      </c>
      <c r="D699" s="139">
        <f>IFERROR(__xludf.DUMMYFUNCTION("""COMPUTED_VALUE"""),326.0)</f>
        <v>326</v>
      </c>
      <c r="E699" s="138">
        <f>IFERROR(__xludf.DUMMYFUNCTION("""COMPUTED_VALUE"""),3.0)</f>
        <v>3</v>
      </c>
      <c r="F699" s="138">
        <f>IFERROR(__xludf.DUMMYFUNCTION("""COMPUTED_VALUE"""),2.0)</f>
        <v>2</v>
      </c>
      <c r="G699" s="138">
        <f>IFERROR(__xludf.DUMMYFUNCTION("""COMPUTED_VALUE"""),2.0)</f>
        <v>2</v>
      </c>
      <c r="H699" s="138">
        <f>IFERROR(__xludf.DUMMYFUNCTION("""COMPUTED_VALUE"""),2.0)</f>
        <v>2</v>
      </c>
      <c r="I699" s="138">
        <f>IFERROR(__xludf.DUMMYFUNCTION("""COMPUTED_VALUE"""),3.0)</f>
        <v>3</v>
      </c>
      <c r="J699" s="138">
        <f>IFERROR(__xludf.DUMMYFUNCTION("""COMPUTED_VALUE"""),3.0)</f>
        <v>3</v>
      </c>
      <c r="K699" s="138">
        <f>IFERROR(__xludf.DUMMYFUNCTION("""COMPUTED_VALUE"""),3.0)</f>
        <v>3</v>
      </c>
      <c r="L699" s="138">
        <v>18.0</v>
      </c>
      <c r="M699" s="140" t="str">
        <f>VLOOKUP(text(D699, "#"),'Master Table'!$A:$F, 6, FALSE)</f>
        <v>F-2</v>
      </c>
      <c r="N699" s="141" t="str">
        <f>IFERROR(__xludf.DUMMYFUNCTION("""COMPUTED_VALUE"""),"The purpose of the study is straightforward. The sample seems to be small. It would be better to employ a theoretical framework.")</f>
        <v>The purpose of the study is straightforward. The sample seems to be small. It would be better to employ a theoretical framework.</v>
      </c>
      <c r="O699" s="142" t="str">
        <f t="shared" si="1"/>
        <v/>
      </c>
      <c r="P699" s="143" t="str">
        <f>IF(ISNA(VLOOKUP(CONCAT(M699,C699), 'Judge Count DO NOT EDIT'!H:H, 1, FALSE)), "ERROR","")</f>
        <v/>
      </c>
      <c r="Q699" s="141"/>
      <c r="R699" s="143"/>
      <c r="S699" s="139" t="str">
        <f t="shared" si="2"/>
        <v>1039326</v>
      </c>
      <c r="T699" s="141"/>
    </row>
    <row r="700">
      <c r="A700" s="137">
        <f>IFERROR(__xludf.DUMMYFUNCTION("""COMPUTED_VALUE"""),45352.55845681713)</f>
        <v>45352.55846</v>
      </c>
      <c r="B700" s="138" t="str">
        <f>IFERROR(__xludf.DUMMYFUNCTION("""COMPUTED_VALUE"""),"Jeni Green")</f>
        <v>Jeni Green</v>
      </c>
      <c r="C700" s="138">
        <f>IFERROR(__xludf.DUMMYFUNCTION("""COMPUTED_VALUE"""),1022.0)</f>
        <v>1022</v>
      </c>
      <c r="D700" s="139">
        <f>IFERROR(__xludf.DUMMYFUNCTION("""COMPUTED_VALUE"""),326.0)</f>
        <v>326</v>
      </c>
      <c r="E700" s="138">
        <f>IFERROR(__xludf.DUMMYFUNCTION("""COMPUTED_VALUE"""),4.0)</f>
        <v>4</v>
      </c>
      <c r="F700" s="138">
        <f>IFERROR(__xludf.DUMMYFUNCTION("""COMPUTED_VALUE"""),3.0)</f>
        <v>3</v>
      </c>
      <c r="G700" s="138">
        <f>IFERROR(__xludf.DUMMYFUNCTION("""COMPUTED_VALUE"""),3.0)</f>
        <v>3</v>
      </c>
      <c r="H700" s="138">
        <f>IFERROR(__xludf.DUMMYFUNCTION("""COMPUTED_VALUE"""),4.0)</f>
        <v>4</v>
      </c>
      <c r="I700" s="138">
        <f>IFERROR(__xludf.DUMMYFUNCTION("""COMPUTED_VALUE"""),4.0)</f>
        <v>4</v>
      </c>
      <c r="J700" s="138">
        <f>IFERROR(__xludf.DUMMYFUNCTION("""COMPUTED_VALUE"""),4.0)</f>
        <v>4</v>
      </c>
      <c r="K700" s="138">
        <f>IFERROR(__xludf.DUMMYFUNCTION("""COMPUTED_VALUE"""),4.0)</f>
        <v>4</v>
      </c>
      <c r="L700" s="138">
        <v>26.0</v>
      </c>
      <c r="M700" s="140" t="str">
        <f>VLOOKUP(text(D700, "#"),'Master Table'!$A:$F, 6, FALSE)</f>
        <v>F-2</v>
      </c>
      <c r="N700" s="141" t="str">
        <f>IFERROR(__xludf.DUMMYFUNCTION("""COMPUTED_VALUE"""),"The presenter did a fantastic job clearly discussing the project and had strong communication skills. Also appreciated the visual diagram of the findings. Suggestions to enhance the innovation of the work is to either tailor the work specifically to the S"&amp;"DSU community or consider investigating differences in racial groups. ")</f>
        <v>The presenter did a fantastic job clearly discussing the project and had strong communication skills. Also appreciated the visual diagram of the findings. Suggestions to enhance the innovation of the work is to either tailor the work specifically to the SDSU community or consider investigating differences in racial groups. </v>
      </c>
      <c r="O700" s="142" t="str">
        <f t="shared" si="1"/>
        <v/>
      </c>
      <c r="P700" s="143" t="str">
        <f>IF(ISNA(VLOOKUP(CONCAT(M700,C700), 'Judge Count DO NOT EDIT'!H:H, 1, FALSE)), "ERROR","")</f>
        <v/>
      </c>
      <c r="Q700" s="141"/>
      <c r="R700" s="143"/>
      <c r="S700" s="139" t="str">
        <f t="shared" si="2"/>
        <v>1022326</v>
      </c>
      <c r="T700" s="141"/>
    </row>
    <row r="701">
      <c r="A701" s="137">
        <f>IFERROR(__xludf.DUMMYFUNCTION("""COMPUTED_VALUE"""),45352.40554020833)</f>
        <v>45352.40554</v>
      </c>
      <c r="B701" s="138" t="str">
        <f>IFERROR(__xludf.DUMMYFUNCTION("""COMPUTED_VALUE"""),"Ian Gibson")</f>
        <v>Ian Gibson</v>
      </c>
      <c r="C701" s="138">
        <f>IFERROR(__xludf.DUMMYFUNCTION("""COMPUTED_VALUE"""),1179.0)</f>
        <v>1179</v>
      </c>
      <c r="D701" s="139">
        <f>IFERROR(__xludf.DUMMYFUNCTION("""COMPUTED_VALUE"""),327.0)</f>
        <v>327</v>
      </c>
      <c r="E701" s="138">
        <f>IFERROR(__xludf.DUMMYFUNCTION("""COMPUTED_VALUE"""),3.0)</f>
        <v>3</v>
      </c>
      <c r="F701" s="138">
        <f>IFERROR(__xludf.DUMMYFUNCTION("""COMPUTED_VALUE"""),5.0)</f>
        <v>5</v>
      </c>
      <c r="G701" s="138">
        <f>IFERROR(__xludf.DUMMYFUNCTION("""COMPUTED_VALUE"""),4.0)</f>
        <v>4</v>
      </c>
      <c r="H701" s="138">
        <f>IFERROR(__xludf.DUMMYFUNCTION("""COMPUTED_VALUE"""),3.0)</f>
        <v>3</v>
      </c>
      <c r="I701" s="138">
        <f>IFERROR(__xludf.DUMMYFUNCTION("""COMPUTED_VALUE"""),4.0)</f>
        <v>4</v>
      </c>
      <c r="J701" s="138">
        <f>IFERROR(__xludf.DUMMYFUNCTION("""COMPUTED_VALUE"""),4.0)</f>
        <v>4</v>
      </c>
      <c r="K701" s="138">
        <f>IFERROR(__xludf.DUMMYFUNCTION("""COMPUTED_VALUE"""),4.0)</f>
        <v>4</v>
      </c>
      <c r="L701" s="138">
        <v>27.0</v>
      </c>
      <c r="M701" s="140" t="str">
        <f>VLOOKUP(text(D701, "#"),'Master Table'!$A:$F, 6, FALSE)</f>
        <v>F-2</v>
      </c>
      <c r="N701" s="141" t="str">
        <f>IFERROR(__xludf.DUMMYFUNCTION("""COMPUTED_VALUE"""),"Using social networks is an interesting lens through which to explore the efficacy of these protocols. This information could be highly beneficial to the communities who may have failed to include some of the most powerful participants shown to be common "&amp;"among other communities. Adding some specific examples of who the blue squares represent would ease understandability of the poster. ")</f>
        <v>Using social networks is an interesting lens through which to explore the efficacy of these protocols. This information could be highly beneficial to the communities who may have failed to include some of the most powerful participants shown to be common among other communities. Adding some specific examples of who the blue squares represent would ease understandability of the poster. </v>
      </c>
      <c r="O701" s="142" t="str">
        <f t="shared" si="1"/>
        <v/>
      </c>
      <c r="P701" s="143" t="str">
        <f>IF(ISNA(VLOOKUP(CONCAT(M701,C701), 'Judge Count DO NOT EDIT'!H:H, 1, FALSE)), "ERROR","")</f>
        <v/>
      </c>
      <c r="Q701" s="141"/>
      <c r="R701" s="143"/>
      <c r="S701" s="139" t="str">
        <f t="shared" si="2"/>
        <v>1179327</v>
      </c>
      <c r="T701" s="141"/>
    </row>
    <row r="702">
      <c r="A702" s="137">
        <f>IFERROR(__xludf.DUMMYFUNCTION("""COMPUTED_VALUE"""),45352.45699152778)</f>
        <v>45352.45699</v>
      </c>
      <c r="B702" s="138" t="str">
        <f>IFERROR(__xludf.DUMMYFUNCTION("""COMPUTED_VALUE"""),"Karen Han")</f>
        <v>Karen Han</v>
      </c>
      <c r="C702" s="138">
        <f>IFERROR(__xludf.DUMMYFUNCTION("""COMPUTED_VALUE"""),1039.0)</f>
        <v>1039</v>
      </c>
      <c r="D702" s="139">
        <f>IFERROR(__xludf.DUMMYFUNCTION("""COMPUTED_VALUE"""),327.0)</f>
        <v>327</v>
      </c>
      <c r="E702" s="138">
        <f>IFERROR(__xludf.DUMMYFUNCTION("""COMPUTED_VALUE"""),4.0)</f>
        <v>4</v>
      </c>
      <c r="F702" s="138">
        <f>IFERROR(__xludf.DUMMYFUNCTION("""COMPUTED_VALUE"""),4.0)</f>
        <v>4</v>
      </c>
      <c r="G702" s="138">
        <f>IFERROR(__xludf.DUMMYFUNCTION("""COMPUTED_VALUE"""),4.0)</f>
        <v>4</v>
      </c>
      <c r="H702" s="138">
        <f>IFERROR(__xludf.DUMMYFUNCTION("""COMPUTED_VALUE"""),4.0)</f>
        <v>4</v>
      </c>
      <c r="I702" s="138">
        <f>IFERROR(__xludf.DUMMYFUNCTION("""COMPUTED_VALUE"""),5.0)</f>
        <v>5</v>
      </c>
      <c r="J702" s="138">
        <f>IFERROR(__xludf.DUMMYFUNCTION("""COMPUTED_VALUE"""),4.0)</f>
        <v>4</v>
      </c>
      <c r="K702" s="138">
        <f>IFERROR(__xludf.DUMMYFUNCTION("""COMPUTED_VALUE"""),5.0)</f>
        <v>5</v>
      </c>
      <c r="L702" s="138">
        <v>30.0</v>
      </c>
      <c r="M702" s="140" t="str">
        <f>VLOOKUP(text(D702, "#"),'Master Table'!$A:$F, 6, FALSE)</f>
        <v>F-2</v>
      </c>
      <c r="N702" s="141" t="str">
        <f>IFERROR(__xludf.DUMMYFUNCTION("""COMPUTED_VALUE"""),"The presentation was very clear and engaging. The study seems to be original, and the methods were solid. It would have been better to indicate a little more clearly why this study chose those actors (communities) among other variables")</f>
        <v>The presentation was very clear and engaging. The study seems to be original, and the methods were solid. It would have been better to indicate a little more clearly why this study chose those actors (communities) among other variables</v>
      </c>
      <c r="O702" s="142" t="str">
        <f t="shared" si="1"/>
        <v/>
      </c>
      <c r="P702" s="143" t="str">
        <f>IF(ISNA(VLOOKUP(CONCAT(M702,C702), 'Judge Count DO NOT EDIT'!H:H, 1, FALSE)), "ERROR","")</f>
        <v/>
      </c>
      <c r="Q702" s="141"/>
      <c r="R702" s="143"/>
      <c r="S702" s="139" t="str">
        <f t="shared" si="2"/>
        <v>1039327</v>
      </c>
      <c r="T702" s="141"/>
    </row>
    <row r="703">
      <c r="A703" s="137">
        <f>IFERROR(__xludf.DUMMYFUNCTION("""COMPUTED_VALUE"""),45352.561536574074)</f>
        <v>45352.56154</v>
      </c>
      <c r="B703" s="138" t="str">
        <f>IFERROR(__xludf.DUMMYFUNCTION("""COMPUTED_VALUE"""),"Jeni Green")</f>
        <v>Jeni Green</v>
      </c>
      <c r="C703" s="138">
        <f>IFERROR(__xludf.DUMMYFUNCTION("""COMPUTED_VALUE"""),1022.0)</f>
        <v>1022</v>
      </c>
      <c r="D703" s="139">
        <f>IFERROR(__xludf.DUMMYFUNCTION("""COMPUTED_VALUE"""),327.0)</f>
        <v>327</v>
      </c>
      <c r="E703" s="138">
        <f>IFERROR(__xludf.DUMMYFUNCTION("""COMPUTED_VALUE"""),3.0)</f>
        <v>3</v>
      </c>
      <c r="F703" s="138">
        <f>IFERROR(__xludf.DUMMYFUNCTION("""COMPUTED_VALUE"""),4.0)</f>
        <v>4</v>
      </c>
      <c r="G703" s="138">
        <f>IFERROR(__xludf.DUMMYFUNCTION("""COMPUTED_VALUE"""),4.0)</f>
        <v>4</v>
      </c>
      <c r="H703" s="138">
        <f>IFERROR(__xludf.DUMMYFUNCTION("""COMPUTED_VALUE"""),3.0)</f>
        <v>3</v>
      </c>
      <c r="I703" s="138">
        <f>IFERROR(__xludf.DUMMYFUNCTION("""COMPUTED_VALUE"""),5.0)</f>
        <v>5</v>
      </c>
      <c r="J703" s="138">
        <f>IFERROR(__xludf.DUMMYFUNCTION("""COMPUTED_VALUE"""),3.0)</f>
        <v>3</v>
      </c>
      <c r="K703" s="138">
        <f>IFERROR(__xludf.DUMMYFUNCTION("""COMPUTED_VALUE"""),5.0)</f>
        <v>5</v>
      </c>
      <c r="L703" s="138">
        <v>27.0</v>
      </c>
      <c r="M703" s="140" t="str">
        <f>VLOOKUP(text(D703, "#"),'Master Table'!$A:$F, 6, FALSE)</f>
        <v>F-2</v>
      </c>
      <c r="N703" s="141" t="str">
        <f>IFERROR(__xludf.DUMMYFUNCTION("""COMPUTED_VALUE"""),"Presenter had strong presentation skills and demonstrated a thorough understanding on the subject. Suggestions for improvement include minimizing text included on poster. ")</f>
        <v>Presenter had strong presentation skills and demonstrated a thorough understanding on the subject. Suggestions for improvement include minimizing text included on poster. </v>
      </c>
      <c r="O703" s="142" t="str">
        <f t="shared" si="1"/>
        <v/>
      </c>
      <c r="P703" s="143" t="str">
        <f>IF(ISNA(VLOOKUP(CONCAT(M703,C703), 'Judge Count DO NOT EDIT'!H:H, 1, FALSE)), "ERROR","")</f>
        <v/>
      </c>
      <c r="Q703" s="141"/>
      <c r="R703" s="143"/>
      <c r="S703" s="139" t="str">
        <f t="shared" si="2"/>
        <v>1022327</v>
      </c>
      <c r="T703" s="141"/>
    </row>
    <row r="704">
      <c r="A704" s="137">
        <f>IFERROR(__xludf.DUMMYFUNCTION("""COMPUTED_VALUE"""),45352.40853670139)</f>
        <v>45352.40854</v>
      </c>
      <c r="B704" s="138" t="str">
        <f>IFERROR(__xludf.DUMMYFUNCTION("""COMPUTED_VALUE"""),"Karen Han")</f>
        <v>Karen Han</v>
      </c>
      <c r="C704" s="138">
        <f>IFERROR(__xludf.DUMMYFUNCTION("""COMPUTED_VALUE"""),1039.0)</f>
        <v>1039</v>
      </c>
      <c r="D704" s="139">
        <f>IFERROR(__xludf.DUMMYFUNCTION("""COMPUTED_VALUE"""),328.0)</f>
        <v>328</v>
      </c>
      <c r="E704" s="138">
        <f>IFERROR(__xludf.DUMMYFUNCTION("""COMPUTED_VALUE"""),3.0)</f>
        <v>3</v>
      </c>
      <c r="F704" s="138">
        <f>IFERROR(__xludf.DUMMYFUNCTION("""COMPUTED_VALUE"""),3.0)</f>
        <v>3</v>
      </c>
      <c r="G704" s="138">
        <f>IFERROR(__xludf.DUMMYFUNCTION("""COMPUTED_VALUE"""),3.0)</f>
        <v>3</v>
      </c>
      <c r="H704" s="138">
        <f>IFERROR(__xludf.DUMMYFUNCTION("""COMPUTED_VALUE"""),3.0)</f>
        <v>3</v>
      </c>
      <c r="I704" s="138">
        <f>IFERROR(__xludf.DUMMYFUNCTION("""COMPUTED_VALUE"""),3.0)</f>
        <v>3</v>
      </c>
      <c r="J704" s="138">
        <f>IFERROR(__xludf.DUMMYFUNCTION("""COMPUTED_VALUE"""),3.0)</f>
        <v>3</v>
      </c>
      <c r="K704" s="138">
        <f>IFERROR(__xludf.DUMMYFUNCTION("""COMPUTED_VALUE"""),3.0)</f>
        <v>3</v>
      </c>
      <c r="L704" s="138">
        <v>21.0</v>
      </c>
      <c r="M704" s="140" t="str">
        <f>VLOOKUP(text(D704, "#"),'Master Table'!$A:$F, 6, FALSE)</f>
        <v>F-2</v>
      </c>
      <c r="N704" s="141" t="str">
        <f>IFERROR(__xludf.DUMMYFUNCTION("""COMPUTED_VALUE"""),"I think that there’re some practical values of the study, but the theoretical values seem lacking. I would suggest to employ a theory or framework to explain the results. ")</f>
        <v>I think that there’re some practical values of the study, but the theoretical values seem lacking. I would suggest to employ a theory or framework to explain the results. </v>
      </c>
      <c r="O704" s="142" t="str">
        <f t="shared" si="1"/>
        <v/>
      </c>
      <c r="P704" s="143" t="str">
        <f>IF(ISNA(VLOOKUP(CONCAT(M704,C704), 'Judge Count DO NOT EDIT'!H:H, 1, FALSE)), "ERROR","")</f>
        <v/>
      </c>
      <c r="Q704" s="141"/>
      <c r="R704" s="143"/>
      <c r="S704" s="139" t="str">
        <f t="shared" si="2"/>
        <v>1039328</v>
      </c>
      <c r="T704" s="141"/>
    </row>
    <row r="705">
      <c r="A705" s="137">
        <f>IFERROR(__xludf.DUMMYFUNCTION("""COMPUTED_VALUE"""),45352.45487270833)</f>
        <v>45352.45487</v>
      </c>
      <c r="B705" s="138" t="str">
        <f>IFERROR(__xludf.DUMMYFUNCTION("""COMPUTED_VALUE"""),"John McMillan ")</f>
        <v>John McMillan </v>
      </c>
      <c r="C705" s="138">
        <f>IFERROR(__xludf.DUMMYFUNCTION("""COMPUTED_VALUE"""),1009.0)</f>
        <v>1009</v>
      </c>
      <c r="D705" s="139">
        <f>IFERROR(__xludf.DUMMYFUNCTION("""COMPUTED_VALUE"""),328.0)</f>
        <v>328</v>
      </c>
      <c r="E705" s="138">
        <f>IFERROR(__xludf.DUMMYFUNCTION("""COMPUTED_VALUE"""),5.0)</f>
        <v>5</v>
      </c>
      <c r="F705" s="138">
        <f>IFERROR(__xludf.DUMMYFUNCTION("""COMPUTED_VALUE"""),4.0)</f>
        <v>4</v>
      </c>
      <c r="G705" s="138">
        <f>IFERROR(__xludf.DUMMYFUNCTION("""COMPUTED_VALUE"""),5.0)</f>
        <v>5</v>
      </c>
      <c r="H705" s="138">
        <f>IFERROR(__xludf.DUMMYFUNCTION("""COMPUTED_VALUE"""),4.0)</f>
        <v>4</v>
      </c>
      <c r="I705" s="138">
        <f>IFERROR(__xludf.DUMMYFUNCTION("""COMPUTED_VALUE"""),4.0)</f>
        <v>4</v>
      </c>
      <c r="J705" s="138">
        <f>IFERROR(__xludf.DUMMYFUNCTION("""COMPUTED_VALUE"""),4.0)</f>
        <v>4</v>
      </c>
      <c r="K705" s="138">
        <f>IFERROR(__xludf.DUMMYFUNCTION("""COMPUTED_VALUE"""),4.0)</f>
        <v>4</v>
      </c>
      <c r="L705" s="138">
        <v>30.0</v>
      </c>
      <c r="M705" s="140" t="str">
        <f>VLOOKUP(text(D705, "#"),'Master Table'!$A:$F, 6, FALSE)</f>
        <v>F-2</v>
      </c>
      <c r="N705" s="141" t="str">
        <f>IFERROR(__xludf.DUMMYFUNCTION("""COMPUTED_VALUE"""),"Very strong team that highlighted an important problem in imperial county. They presented well as a team. I would have liked more on potential outcomes of this research as that was the smallest section on the poster instead of the large use of space to de"&amp;"scribe the patients. The balance of space could have been better. ")</f>
        <v>Very strong team that highlighted an important problem in imperial county. They presented well as a team. I would have liked more on potential outcomes of this research as that was the smallest section on the poster instead of the large use of space to describe the patients. The balance of space could have been better. </v>
      </c>
      <c r="O705" s="142" t="str">
        <f t="shared" si="1"/>
        <v/>
      </c>
      <c r="P705" s="143" t="str">
        <f>IF(ISNA(VLOOKUP(CONCAT(M705,C705), 'Judge Count DO NOT EDIT'!H:H, 1, FALSE)), "ERROR","")</f>
        <v/>
      </c>
      <c r="Q705" s="141"/>
      <c r="R705" s="143"/>
      <c r="S705" s="139" t="str">
        <f t="shared" si="2"/>
        <v>1009328</v>
      </c>
      <c r="T705" s="141"/>
    </row>
    <row r="706">
      <c r="A706" s="137">
        <f>IFERROR(__xludf.DUMMYFUNCTION("""COMPUTED_VALUE"""),45352.5628091088)</f>
        <v>45352.56281</v>
      </c>
      <c r="B706" s="138" t="str">
        <f>IFERROR(__xludf.DUMMYFUNCTION("""COMPUTED_VALUE"""),"Jeni Green")</f>
        <v>Jeni Green</v>
      </c>
      <c r="C706" s="138">
        <f>IFERROR(__xludf.DUMMYFUNCTION("""COMPUTED_VALUE"""),1022.0)</f>
        <v>1022</v>
      </c>
      <c r="D706" s="139">
        <f>IFERROR(__xludf.DUMMYFUNCTION("""COMPUTED_VALUE"""),328.0)</f>
        <v>328</v>
      </c>
      <c r="E706" s="138">
        <f>IFERROR(__xludf.DUMMYFUNCTION("""COMPUTED_VALUE"""),3.0)</f>
        <v>3</v>
      </c>
      <c r="F706" s="138">
        <f>IFERROR(__xludf.DUMMYFUNCTION("""COMPUTED_VALUE"""),5.0)</f>
        <v>5</v>
      </c>
      <c r="G706" s="138">
        <f>IFERROR(__xludf.DUMMYFUNCTION("""COMPUTED_VALUE"""),5.0)</f>
        <v>5</v>
      </c>
      <c r="H706" s="138">
        <f>IFERROR(__xludf.DUMMYFUNCTION("""COMPUTED_VALUE"""),4.0)</f>
        <v>4</v>
      </c>
      <c r="I706" s="138">
        <f>IFERROR(__xludf.DUMMYFUNCTION("""COMPUTED_VALUE"""),3.0)</f>
        <v>3</v>
      </c>
      <c r="J706" s="138">
        <f>IFERROR(__xludf.DUMMYFUNCTION("""COMPUTED_VALUE"""),3.0)</f>
        <v>3</v>
      </c>
      <c r="K706" s="138">
        <f>IFERROR(__xludf.DUMMYFUNCTION("""COMPUTED_VALUE"""),4.0)</f>
        <v>4</v>
      </c>
      <c r="L706" s="138">
        <v>27.0</v>
      </c>
      <c r="M706" s="140" t="str">
        <f>VLOOKUP(text(D706, "#"),'Master Table'!$A:$F, 6, FALSE)</f>
        <v>F-2</v>
      </c>
      <c r="N706" s="141" t="str">
        <f>IFERROR(__xludf.DUMMYFUNCTION("""COMPUTED_VALUE"""),"Group of presenters did a great job explaining the study. Suggestions for improvement include reducing amount of text on posters and example quotes. ")</f>
        <v>Group of presenters did a great job explaining the study. Suggestions for improvement include reducing amount of text on posters and example quotes. </v>
      </c>
      <c r="O706" s="142" t="str">
        <f t="shared" si="1"/>
        <v/>
      </c>
      <c r="P706" s="143" t="str">
        <f>IF(ISNA(VLOOKUP(CONCAT(M706,C706), 'Judge Count DO NOT EDIT'!H:H, 1, FALSE)), "ERROR","")</f>
        <v/>
      </c>
      <c r="R706" s="143"/>
      <c r="S706" s="139" t="str">
        <f t="shared" si="2"/>
        <v>1022328</v>
      </c>
      <c r="T706" s="141"/>
    </row>
    <row r="707">
      <c r="A707" s="137">
        <f>IFERROR(__xludf.DUMMYFUNCTION("""COMPUTED_VALUE"""),45352.40774221065)</f>
        <v>45352.40774</v>
      </c>
      <c r="B707" s="138" t="str">
        <f>IFERROR(__xludf.DUMMYFUNCTION("""COMPUTED_VALUE"""),"Ian Gibson")</f>
        <v>Ian Gibson</v>
      </c>
      <c r="C707" s="138">
        <f>IFERROR(__xludf.DUMMYFUNCTION("""COMPUTED_VALUE"""),1179.0)</f>
        <v>1179</v>
      </c>
      <c r="D707" s="139">
        <f>IFERROR(__xludf.DUMMYFUNCTION("""COMPUTED_VALUE"""),329.0)</f>
        <v>329</v>
      </c>
      <c r="E707" s="138">
        <f>IFERROR(__xludf.DUMMYFUNCTION("""COMPUTED_VALUE"""),4.0)</f>
        <v>4</v>
      </c>
      <c r="F707" s="138">
        <f>IFERROR(__xludf.DUMMYFUNCTION("""COMPUTED_VALUE"""),3.0)</f>
        <v>3</v>
      </c>
      <c r="G707" s="138">
        <f>IFERROR(__xludf.DUMMYFUNCTION("""COMPUTED_VALUE"""),4.0)</f>
        <v>4</v>
      </c>
      <c r="H707" s="138">
        <f>IFERROR(__xludf.DUMMYFUNCTION("""COMPUTED_VALUE"""),3.0)</f>
        <v>3</v>
      </c>
      <c r="I707" s="138">
        <f>IFERROR(__xludf.DUMMYFUNCTION("""COMPUTED_VALUE"""),4.0)</f>
        <v>4</v>
      </c>
      <c r="J707" s="138">
        <f>IFERROR(__xludf.DUMMYFUNCTION("""COMPUTED_VALUE"""),4.0)</f>
        <v>4</v>
      </c>
      <c r="K707" s="138">
        <f>IFERROR(__xludf.DUMMYFUNCTION("""COMPUTED_VALUE"""),3.0)</f>
        <v>3</v>
      </c>
      <c r="L707" s="138">
        <v>25.0</v>
      </c>
      <c r="M707" s="140" t="str">
        <f>VLOOKUP(text(D707, "#"),'Master Table'!$A:$F, 6, FALSE)</f>
        <v>F-2</v>
      </c>
      <c r="N707" s="141"/>
      <c r="O707" s="142" t="str">
        <f t="shared" si="1"/>
        <v/>
      </c>
      <c r="P707" s="143" t="str">
        <f>IF(ISNA(VLOOKUP(CONCAT(M707,C707), 'Judge Count DO NOT EDIT'!H:H, 1, FALSE)), "ERROR","")</f>
        <v/>
      </c>
      <c r="Q707" s="141"/>
      <c r="R707" s="143"/>
      <c r="S707" s="139" t="str">
        <f t="shared" si="2"/>
        <v>1179329</v>
      </c>
      <c r="T707" s="141"/>
    </row>
    <row r="708">
      <c r="A708" s="137">
        <f>IFERROR(__xludf.DUMMYFUNCTION("""COMPUTED_VALUE"""),45352.41601743056)</f>
        <v>45352.41602</v>
      </c>
      <c r="B708" s="138" t="str">
        <f>IFERROR(__xludf.DUMMYFUNCTION("""COMPUTED_VALUE"""),"Ian Gibson")</f>
        <v>Ian Gibson</v>
      </c>
      <c r="C708" s="138">
        <f>IFERROR(__xludf.DUMMYFUNCTION("""COMPUTED_VALUE"""),1179.0)</f>
        <v>1179</v>
      </c>
      <c r="D708" s="139">
        <f>IFERROR(__xludf.DUMMYFUNCTION("""COMPUTED_VALUE"""),330.0)</f>
        <v>330</v>
      </c>
      <c r="E708" s="138">
        <f>IFERROR(__xludf.DUMMYFUNCTION("""COMPUTED_VALUE"""),4.0)</f>
        <v>4</v>
      </c>
      <c r="F708" s="138">
        <f>IFERROR(__xludf.DUMMYFUNCTION("""COMPUTED_VALUE"""),3.0)</f>
        <v>3</v>
      </c>
      <c r="G708" s="138">
        <f>IFERROR(__xludf.DUMMYFUNCTION("""COMPUTED_VALUE"""),3.0)</f>
        <v>3</v>
      </c>
      <c r="H708" s="138">
        <f>IFERROR(__xludf.DUMMYFUNCTION("""COMPUTED_VALUE"""),3.0)</f>
        <v>3</v>
      </c>
      <c r="I708" s="138">
        <f>IFERROR(__xludf.DUMMYFUNCTION("""COMPUTED_VALUE"""),4.0)</f>
        <v>4</v>
      </c>
      <c r="J708" s="138">
        <f>IFERROR(__xludf.DUMMYFUNCTION("""COMPUTED_VALUE"""),4.0)</f>
        <v>4</v>
      </c>
      <c r="K708" s="138">
        <f>IFERROR(__xludf.DUMMYFUNCTION("""COMPUTED_VALUE"""),4.0)</f>
        <v>4</v>
      </c>
      <c r="L708" s="138">
        <v>25.0</v>
      </c>
      <c r="M708" s="140" t="str">
        <f>VLOOKUP(text(D708, "#"),'Master Table'!$A:$F, 6, FALSE)</f>
        <v>F-2</v>
      </c>
      <c r="N708" s="141" t="str">
        <f>IFERROR(__xludf.DUMMYFUNCTION("""COMPUTED_VALUE"""),"This research is out of my area of expertise, so I can’t opine as to its originality or impact. The presenter was knowledgeable and passionate about the topic. I enjoyed learning from her. ")</f>
        <v>This research is out of my area of expertise, so I can’t opine as to its originality or impact. The presenter was knowledgeable and passionate about the topic. I enjoyed learning from her. </v>
      </c>
      <c r="O708" s="142" t="str">
        <f t="shared" si="1"/>
        <v/>
      </c>
      <c r="P708" s="143" t="str">
        <f>IF(ISNA(VLOOKUP(CONCAT(M708,C708), 'Judge Count DO NOT EDIT'!H:H, 1, FALSE)), "ERROR","")</f>
        <v/>
      </c>
      <c r="Q708" s="141"/>
      <c r="R708" s="143"/>
      <c r="S708" s="139" t="str">
        <f t="shared" si="2"/>
        <v>1179330</v>
      </c>
      <c r="T708" s="141"/>
    </row>
    <row r="709">
      <c r="A709" s="137">
        <f>IFERROR(__xludf.DUMMYFUNCTION("""COMPUTED_VALUE"""),45352.45727565972)</f>
        <v>45352.45728</v>
      </c>
      <c r="B709" s="138" t="str">
        <f>IFERROR(__xludf.DUMMYFUNCTION("""COMPUTED_VALUE"""),"John McMillan ")</f>
        <v>John McMillan </v>
      </c>
      <c r="C709" s="138">
        <f>IFERROR(__xludf.DUMMYFUNCTION("""COMPUTED_VALUE"""),1009.0)</f>
        <v>1009</v>
      </c>
      <c r="D709" s="139">
        <f>IFERROR(__xludf.DUMMYFUNCTION("""COMPUTED_VALUE"""),330.0)</f>
        <v>330</v>
      </c>
      <c r="E709" s="138">
        <f>IFERROR(__xludf.DUMMYFUNCTION("""COMPUTED_VALUE"""),4.0)</f>
        <v>4</v>
      </c>
      <c r="F709" s="138">
        <f>IFERROR(__xludf.DUMMYFUNCTION("""COMPUTED_VALUE"""),4.0)</f>
        <v>4</v>
      </c>
      <c r="G709" s="138">
        <f>IFERROR(__xludf.DUMMYFUNCTION("""COMPUTED_VALUE"""),4.0)</f>
        <v>4</v>
      </c>
      <c r="H709" s="138">
        <f>IFERROR(__xludf.DUMMYFUNCTION("""COMPUTED_VALUE"""),4.0)</f>
        <v>4</v>
      </c>
      <c r="I709" s="138">
        <f>IFERROR(__xludf.DUMMYFUNCTION("""COMPUTED_VALUE"""),4.0)</f>
        <v>4</v>
      </c>
      <c r="J709" s="138">
        <f>IFERROR(__xludf.DUMMYFUNCTION("""COMPUTED_VALUE"""),4.0)</f>
        <v>4</v>
      </c>
      <c r="K709" s="138">
        <f>IFERROR(__xludf.DUMMYFUNCTION("""COMPUTED_VALUE"""),4.0)</f>
        <v>4</v>
      </c>
      <c r="L709" s="138">
        <v>28.0</v>
      </c>
      <c r="M709" s="140" t="str">
        <f>VLOOKUP(text(D709, "#"),'Master Table'!$A:$F, 6, FALSE)</f>
        <v>F-2</v>
      </c>
      <c r="N709" s="141" t="str">
        <f>IFERROR(__xludf.DUMMYFUNCTION("""COMPUTED_VALUE"""),"The student was well versed in methods and findings to that came across well. I would have liked to hear more on the next steps of this research,  impacts of expanding this work and the implications of improved object recognition on society. ")</f>
        <v>The student was well versed in methods and findings to that came across well. I would have liked to hear more on the next steps of this research,  impacts of expanding this work and the implications of improved object recognition on society. </v>
      </c>
      <c r="O709" s="142" t="str">
        <f t="shared" si="1"/>
        <v/>
      </c>
      <c r="P709" s="143" t="str">
        <f>IF(ISNA(VLOOKUP(CONCAT(M709,C709), 'Judge Count DO NOT EDIT'!H:H, 1, FALSE)), "ERROR","")</f>
        <v/>
      </c>
      <c r="Q709" s="141"/>
      <c r="R709" s="143"/>
      <c r="S709" s="139" t="str">
        <f t="shared" si="2"/>
        <v>1009330</v>
      </c>
      <c r="T709" s="141"/>
    </row>
    <row r="710">
      <c r="A710" s="137">
        <f>IFERROR(__xludf.DUMMYFUNCTION("""COMPUTED_VALUE"""),45352.46093274305)</f>
        <v>45352.46093</v>
      </c>
      <c r="B710" s="138" t="str">
        <f>IFERROR(__xludf.DUMMYFUNCTION("""COMPUTED_VALUE"""),"Karen Han")</f>
        <v>Karen Han</v>
      </c>
      <c r="C710" s="138">
        <f>IFERROR(__xludf.DUMMYFUNCTION("""COMPUTED_VALUE"""),1039.0)</f>
        <v>1039</v>
      </c>
      <c r="D710" s="139">
        <f>IFERROR(__xludf.DUMMYFUNCTION("""COMPUTED_VALUE"""),330.0)</f>
        <v>330</v>
      </c>
      <c r="E710" s="138">
        <f>IFERROR(__xludf.DUMMYFUNCTION("""COMPUTED_VALUE"""),2.0)</f>
        <v>2</v>
      </c>
      <c r="F710" s="138">
        <f>IFERROR(__xludf.DUMMYFUNCTION("""COMPUTED_VALUE"""),2.0)</f>
        <v>2</v>
      </c>
      <c r="G710" s="138">
        <f>IFERROR(__xludf.DUMMYFUNCTION("""COMPUTED_VALUE"""),2.0)</f>
        <v>2</v>
      </c>
      <c r="H710" s="138">
        <f>IFERROR(__xludf.DUMMYFUNCTION("""COMPUTED_VALUE"""),4.0)</f>
        <v>4</v>
      </c>
      <c r="I710" s="138">
        <f>IFERROR(__xludf.DUMMYFUNCTION("""COMPUTED_VALUE"""),3.0)</f>
        <v>3</v>
      </c>
      <c r="J710" s="138">
        <f>IFERROR(__xludf.DUMMYFUNCTION("""COMPUTED_VALUE"""),3.0)</f>
        <v>3</v>
      </c>
      <c r="K710" s="138">
        <f>IFERROR(__xludf.DUMMYFUNCTION("""COMPUTED_VALUE"""),3.0)</f>
        <v>3</v>
      </c>
      <c r="L710" s="138">
        <v>19.0</v>
      </c>
      <c r="M710" s="140" t="str">
        <f>VLOOKUP(text(D710, "#"),'Master Table'!$A:$F, 6, FALSE)</f>
        <v>F-2</v>
      </c>
      <c r="N710" s="141" t="str">
        <f>IFERROR(__xludf.DUMMYFUNCTION("""COMPUTED_VALUE"""),"This is an interesting study! However, as the study is in progress, I didn't find much theoretical value in it. The findings don't seem to be very original to me. I believe the study could be developed much more with a larger sample. ")</f>
        <v>This is an interesting study! However, as the study is in progress, I didn't find much theoretical value in it. The findings don't seem to be very original to me. I believe the study could be developed much more with a larger sample. </v>
      </c>
      <c r="O710" s="142" t="str">
        <f t="shared" si="1"/>
        <v/>
      </c>
      <c r="P710" s="143" t="str">
        <f>IF(ISNA(VLOOKUP(CONCAT(M710,C710), 'Judge Count DO NOT EDIT'!H:H, 1, FALSE)), "ERROR","")</f>
        <v/>
      </c>
      <c r="Q710" s="141"/>
      <c r="R710" s="143"/>
      <c r="S710" s="139" t="str">
        <f t="shared" si="2"/>
        <v>1039330</v>
      </c>
      <c r="T710" s="141"/>
    </row>
    <row r="711">
      <c r="A711" s="137">
        <f>IFERROR(__xludf.DUMMYFUNCTION("""COMPUTED_VALUE"""),45352.56392488426)</f>
        <v>45352.56392</v>
      </c>
      <c r="B711" s="138" t="str">
        <f>IFERROR(__xludf.DUMMYFUNCTION("""COMPUTED_VALUE"""),"Jeni Green")</f>
        <v>Jeni Green</v>
      </c>
      <c r="C711" s="138">
        <f>IFERROR(__xludf.DUMMYFUNCTION("""COMPUTED_VALUE"""),1022.0)</f>
        <v>1022</v>
      </c>
      <c r="D711" s="139">
        <f>IFERROR(__xludf.DUMMYFUNCTION("""COMPUTED_VALUE"""),330.0)</f>
        <v>330</v>
      </c>
      <c r="E711" s="138">
        <f>IFERROR(__xludf.DUMMYFUNCTION("""COMPUTED_VALUE"""),4.0)</f>
        <v>4</v>
      </c>
      <c r="F711" s="138">
        <f>IFERROR(__xludf.DUMMYFUNCTION("""COMPUTED_VALUE"""),4.0)</f>
        <v>4</v>
      </c>
      <c r="G711" s="138">
        <f>IFERROR(__xludf.DUMMYFUNCTION("""COMPUTED_VALUE"""),3.0)</f>
        <v>3</v>
      </c>
      <c r="H711" s="138">
        <f>IFERROR(__xludf.DUMMYFUNCTION("""COMPUTED_VALUE"""),4.0)</f>
        <v>4</v>
      </c>
      <c r="I711" s="138">
        <f>IFERROR(__xludf.DUMMYFUNCTION("""COMPUTED_VALUE"""),5.0)</f>
        <v>5</v>
      </c>
      <c r="J711" s="138">
        <f>IFERROR(__xludf.DUMMYFUNCTION("""COMPUTED_VALUE"""),4.0)</f>
        <v>4</v>
      </c>
      <c r="K711" s="138">
        <f>IFERROR(__xludf.DUMMYFUNCTION("""COMPUTED_VALUE"""),4.0)</f>
        <v>4</v>
      </c>
      <c r="L711" s="138">
        <v>28.0</v>
      </c>
      <c r="M711" s="140" t="str">
        <f>VLOOKUP(text(D711, "#"),'Master Table'!$A:$F, 6, FALSE)</f>
        <v>F-2</v>
      </c>
      <c r="N711" s="141" t="str">
        <f>IFERROR(__xludf.DUMMYFUNCTION("""COMPUTED_VALUE"""),"Presenter demonstrated strong communications skills and understanding of the subject. ")</f>
        <v>Presenter demonstrated strong communications skills and understanding of the subject. </v>
      </c>
      <c r="O711" s="142" t="str">
        <f t="shared" si="1"/>
        <v/>
      </c>
      <c r="P711" s="143" t="str">
        <f>IF(ISNA(VLOOKUP(CONCAT(M711,C711), 'Judge Count DO NOT EDIT'!H:H, 1, FALSE)), "ERROR","")</f>
        <v/>
      </c>
      <c r="Q711" s="141"/>
      <c r="R711" s="143"/>
      <c r="S711" s="139" t="str">
        <f t="shared" si="2"/>
        <v>1022330</v>
      </c>
      <c r="T711" s="141"/>
    </row>
    <row r="712">
      <c r="A712" s="137">
        <f>IFERROR(__xludf.DUMMYFUNCTION("""COMPUTED_VALUE"""),45352.49145207176)</f>
        <v>45352.49145</v>
      </c>
      <c r="B712" s="138" t="str">
        <f>IFERROR(__xludf.DUMMYFUNCTION("""COMPUTED_VALUE"""),"John McMillan")</f>
        <v>John McMillan</v>
      </c>
      <c r="C712" s="138">
        <f>IFERROR(__xludf.DUMMYFUNCTION("""COMPUTED_VALUE"""),1009.0)</f>
        <v>1009</v>
      </c>
      <c r="D712" s="139">
        <f>IFERROR(__xludf.DUMMYFUNCTION("""COMPUTED_VALUE"""),331.0)</f>
        <v>331</v>
      </c>
      <c r="E712" s="138">
        <f>IFERROR(__xludf.DUMMYFUNCTION("""COMPUTED_VALUE"""),4.0)</f>
        <v>4</v>
      </c>
      <c r="F712" s="138">
        <f>IFERROR(__xludf.DUMMYFUNCTION("""COMPUTED_VALUE"""),4.0)</f>
        <v>4</v>
      </c>
      <c r="G712" s="138">
        <f>IFERROR(__xludf.DUMMYFUNCTION("""COMPUTED_VALUE"""),4.0)</f>
        <v>4</v>
      </c>
      <c r="H712" s="138">
        <f>IFERROR(__xludf.DUMMYFUNCTION("""COMPUTED_VALUE"""),4.0)</f>
        <v>4</v>
      </c>
      <c r="I712" s="138">
        <f>IFERROR(__xludf.DUMMYFUNCTION("""COMPUTED_VALUE"""),4.0)</f>
        <v>4</v>
      </c>
      <c r="J712" s="138">
        <f>IFERROR(__xludf.DUMMYFUNCTION("""COMPUTED_VALUE"""),4.0)</f>
        <v>4</v>
      </c>
      <c r="K712" s="138">
        <f>IFERROR(__xludf.DUMMYFUNCTION("""COMPUTED_VALUE"""),4.0)</f>
        <v>4</v>
      </c>
      <c r="L712" s="138">
        <v>28.0</v>
      </c>
      <c r="M712" s="140" t="str">
        <f>VLOOKUP(text(D712, "#"),'Master Table'!$A:$F, 6, FALSE)</f>
        <v>F-2</v>
      </c>
      <c r="N712" s="141" t="str">
        <f>IFERROR(__xludf.DUMMYFUNCTION("""COMPUTED_VALUE"""),"Even with the small sample size, which was recognized, the student was able to able to develop conclusions and potential next steps. I would propose to include on the poster what social media means in the context of the findings, which platforms were most"&amp;" important and why, given the  blanket term does not provide enough specificity for potential actions / interventions")</f>
        <v>Even with the small sample size, which was recognized, the student was able to able to develop conclusions and potential next steps. I would propose to include on the poster what social media means in the context of the findings, which platforms were most important and why, given the  blanket term does not provide enough specificity for potential actions / interventions</v>
      </c>
      <c r="O712" s="142" t="str">
        <f t="shared" si="1"/>
        <v/>
      </c>
      <c r="P712" s="143" t="str">
        <f>IF(ISNA(VLOOKUP(CONCAT(M712,C712), 'Judge Count DO NOT EDIT'!H:H, 1, FALSE)), "ERROR","")</f>
        <v/>
      </c>
      <c r="Q712" s="141"/>
      <c r="R712" s="143"/>
      <c r="S712" s="139" t="str">
        <f t="shared" si="2"/>
        <v>1009331</v>
      </c>
      <c r="T712" s="141"/>
    </row>
    <row r="713">
      <c r="A713" s="137">
        <f>IFERROR(__xludf.DUMMYFUNCTION("""COMPUTED_VALUE"""),45352.46210261574)</f>
        <v>45352.4621</v>
      </c>
      <c r="B713" s="138" t="str">
        <f>IFERROR(__xludf.DUMMYFUNCTION("""COMPUTED_VALUE"""),"Karen Han")</f>
        <v>Karen Han</v>
      </c>
      <c r="C713" s="138">
        <f>IFERROR(__xludf.DUMMYFUNCTION("""COMPUTED_VALUE"""),1039.0)</f>
        <v>1039</v>
      </c>
      <c r="D713" s="139">
        <f>IFERROR(__xludf.DUMMYFUNCTION("""COMPUTED_VALUE"""),331.0)</f>
        <v>331</v>
      </c>
      <c r="E713" s="138">
        <f>IFERROR(__xludf.DUMMYFUNCTION("""COMPUTED_VALUE"""),3.0)</f>
        <v>3</v>
      </c>
      <c r="F713" s="138">
        <f>IFERROR(__xludf.DUMMYFUNCTION("""COMPUTED_VALUE"""),4.0)</f>
        <v>4</v>
      </c>
      <c r="G713" s="138">
        <f>IFERROR(__xludf.DUMMYFUNCTION("""COMPUTED_VALUE"""),4.0)</f>
        <v>4</v>
      </c>
      <c r="H713" s="138">
        <f>IFERROR(__xludf.DUMMYFUNCTION("""COMPUTED_VALUE"""),2.0)</f>
        <v>2</v>
      </c>
      <c r="I713" s="138">
        <f>IFERROR(__xludf.DUMMYFUNCTION("""COMPUTED_VALUE"""),3.0)</f>
        <v>3</v>
      </c>
      <c r="J713" s="138">
        <f>IFERROR(__xludf.DUMMYFUNCTION("""COMPUTED_VALUE"""),3.0)</f>
        <v>3</v>
      </c>
      <c r="K713" s="138">
        <f>IFERROR(__xludf.DUMMYFUNCTION("""COMPUTED_VALUE"""),3.0)</f>
        <v>3</v>
      </c>
      <c r="L713" s="138">
        <v>22.0</v>
      </c>
      <c r="M713" s="140" t="str">
        <f>VLOOKUP(text(D713, "#"),'Master Table'!$A:$F, 6, FALSE)</f>
        <v>F-2</v>
      </c>
      <c r="N713" s="141" t="str">
        <f>IFERROR(__xludf.DUMMYFUNCTION("""COMPUTED_VALUE"""),"The study is timely and interesting, but the sample seems to be too small, and the theoretical framework is lacking. The study could be developed much more with a larger sample. ")</f>
        <v>The study is timely and interesting, but the sample seems to be too small, and the theoretical framework is lacking. The study could be developed much more with a larger sample. </v>
      </c>
      <c r="O713" s="142" t="str">
        <f t="shared" si="1"/>
        <v/>
      </c>
      <c r="P713" s="143" t="str">
        <f>IF(ISNA(VLOOKUP(CONCAT(M713,C713), 'Judge Count DO NOT EDIT'!H:H, 1, FALSE)), "ERROR","")</f>
        <v/>
      </c>
      <c r="Q713" s="141"/>
      <c r="R713" s="143"/>
      <c r="S713" s="139" t="str">
        <f t="shared" si="2"/>
        <v>1039331</v>
      </c>
      <c r="T713" s="141"/>
    </row>
    <row r="714">
      <c r="A714" s="137">
        <f>IFERROR(__xludf.DUMMYFUNCTION("""COMPUTED_VALUE"""),45352.56481502314)</f>
        <v>45352.56482</v>
      </c>
      <c r="B714" s="138" t="str">
        <f>IFERROR(__xludf.DUMMYFUNCTION("""COMPUTED_VALUE"""),"Jeni Green")</f>
        <v>Jeni Green</v>
      </c>
      <c r="C714" s="138">
        <f>IFERROR(__xludf.DUMMYFUNCTION("""COMPUTED_VALUE"""),1022.0)</f>
        <v>1022</v>
      </c>
      <c r="D714" s="139">
        <f>IFERROR(__xludf.DUMMYFUNCTION("""COMPUTED_VALUE"""),331.0)</f>
        <v>331</v>
      </c>
      <c r="E714" s="138">
        <f>IFERROR(__xludf.DUMMYFUNCTION("""COMPUTED_VALUE"""),3.0)</f>
        <v>3</v>
      </c>
      <c r="F714" s="138">
        <f>IFERROR(__xludf.DUMMYFUNCTION("""COMPUTED_VALUE"""),5.0)</f>
        <v>5</v>
      </c>
      <c r="G714" s="138">
        <f>IFERROR(__xludf.DUMMYFUNCTION("""COMPUTED_VALUE"""),5.0)</f>
        <v>5</v>
      </c>
      <c r="H714" s="138">
        <f>IFERROR(__xludf.DUMMYFUNCTION("""COMPUTED_VALUE"""),3.0)</f>
        <v>3</v>
      </c>
      <c r="I714" s="138">
        <f>IFERROR(__xludf.DUMMYFUNCTION("""COMPUTED_VALUE"""),5.0)</f>
        <v>5</v>
      </c>
      <c r="J714" s="138">
        <f>IFERROR(__xludf.DUMMYFUNCTION("""COMPUTED_VALUE"""),4.0)</f>
        <v>4</v>
      </c>
      <c r="K714" s="138">
        <f>IFERROR(__xludf.DUMMYFUNCTION("""COMPUTED_VALUE"""),4.0)</f>
        <v>4</v>
      </c>
      <c r="L714" s="138">
        <v>29.0</v>
      </c>
      <c r="M714" s="140" t="str">
        <f>VLOOKUP(text(D714, "#"),'Master Table'!$A:$F, 6, FALSE)</f>
        <v>F-2</v>
      </c>
      <c r="N714" s="141" t="str">
        <f>IFERROR(__xludf.DUMMYFUNCTION("""COMPUTED_VALUE"""),"Presenter did a great job explaining the study and methods used. ")</f>
        <v>Presenter did a great job explaining the study and methods used. </v>
      </c>
      <c r="O714" s="142" t="str">
        <f t="shared" si="1"/>
        <v/>
      </c>
      <c r="P714" s="143" t="str">
        <f>IF(ISNA(VLOOKUP(CONCAT(M714,C714), 'Judge Count DO NOT EDIT'!H:H, 1, FALSE)), "ERROR","")</f>
        <v/>
      </c>
      <c r="Q714" s="141"/>
      <c r="R714" s="143"/>
      <c r="S714" s="139" t="str">
        <f t="shared" si="2"/>
        <v>1022331</v>
      </c>
      <c r="T714" s="141"/>
    </row>
    <row r="715">
      <c r="A715" s="137">
        <f>IFERROR(__xludf.DUMMYFUNCTION("""COMPUTED_VALUE"""),45352.38126165509)</f>
        <v>45352.38126</v>
      </c>
      <c r="B715" s="138" t="str">
        <f>IFERROR(__xludf.DUMMYFUNCTION("""COMPUTED_VALUE"""),"Dan Sousa ")</f>
        <v>Dan Sousa </v>
      </c>
      <c r="C715" s="138">
        <f>IFERROR(__xludf.DUMMYFUNCTION("""COMPUTED_VALUE"""),1151.0)</f>
        <v>1151</v>
      </c>
      <c r="D715" s="139">
        <f>IFERROR(__xludf.DUMMYFUNCTION("""COMPUTED_VALUE"""),333.0)</f>
        <v>333</v>
      </c>
      <c r="E715" s="138">
        <f>IFERROR(__xludf.DUMMYFUNCTION("""COMPUTED_VALUE"""),4.0)</f>
        <v>4</v>
      </c>
      <c r="F715" s="138">
        <f>IFERROR(__xludf.DUMMYFUNCTION("""COMPUTED_VALUE"""),4.0)</f>
        <v>4</v>
      </c>
      <c r="G715" s="138">
        <f>IFERROR(__xludf.DUMMYFUNCTION("""COMPUTED_VALUE"""),4.0)</f>
        <v>4</v>
      </c>
      <c r="H715" s="138">
        <f>IFERROR(__xludf.DUMMYFUNCTION("""COMPUTED_VALUE"""),4.0)</f>
        <v>4</v>
      </c>
      <c r="I715" s="138">
        <f>IFERROR(__xludf.DUMMYFUNCTION("""COMPUTED_VALUE"""),5.0)</f>
        <v>5</v>
      </c>
      <c r="J715" s="138">
        <f>IFERROR(__xludf.DUMMYFUNCTION("""COMPUTED_VALUE"""),5.0)</f>
        <v>5</v>
      </c>
      <c r="K715" s="138">
        <f>IFERROR(__xludf.DUMMYFUNCTION("""COMPUTED_VALUE"""),5.0)</f>
        <v>5</v>
      </c>
      <c r="L715" s="138">
        <v>31.0</v>
      </c>
      <c r="M715" s="140" t="str">
        <f>VLOOKUP(text(D715, "#"),'Master Table'!$A:$F, 6, FALSE)</f>
        <v>F-3</v>
      </c>
      <c r="N715" s="141" t="str">
        <f>IFERROR(__xludf.DUMMYFUNCTION("""COMPUTED_VALUE"""),"Really good job!! Very well practiced. Both presenters clearly knew what they were doing. The work is obviously challenging and meaningful. Some minor areas for improvement with visual presentation (affiliations missing from some authors, graphic resoluti"&amp;"on, etc. ) but those are all very nitpicky. Loved it!")</f>
        <v>Really good job!! Very well practiced. Both presenters clearly knew what they were doing. The work is obviously challenging and meaningful. Some minor areas for improvement with visual presentation (affiliations missing from some authors, graphic resolution, etc. ) but those are all very nitpicky. Loved it!</v>
      </c>
      <c r="O715" s="142" t="str">
        <f t="shared" si="1"/>
        <v/>
      </c>
      <c r="P715" s="143" t="str">
        <f>IF(ISNA(VLOOKUP(CONCAT(M715,C715), 'Judge Count DO NOT EDIT'!H:H, 1, FALSE)), "ERROR","")</f>
        <v/>
      </c>
      <c r="Q715" s="141"/>
      <c r="R715" s="143"/>
      <c r="S715" s="139" t="str">
        <f t="shared" si="2"/>
        <v>1151333</v>
      </c>
      <c r="T715" s="141"/>
    </row>
    <row r="716">
      <c r="A716" s="137">
        <f>IFERROR(__xludf.DUMMYFUNCTION("""COMPUTED_VALUE"""),45352.43599168981)</f>
        <v>45352.43599</v>
      </c>
      <c r="B716" s="138" t="str">
        <f>IFERROR(__xludf.DUMMYFUNCTION("""COMPUTED_VALUE"""),"Rick Sayen")</f>
        <v>Rick Sayen</v>
      </c>
      <c r="C716" s="138">
        <f>IFERROR(__xludf.DUMMYFUNCTION("""COMPUTED_VALUE"""),1028.0)</f>
        <v>1028</v>
      </c>
      <c r="D716" s="139">
        <f>IFERROR(__xludf.DUMMYFUNCTION("""COMPUTED_VALUE"""),333.0)</f>
        <v>333</v>
      </c>
      <c r="E716" s="138">
        <f>IFERROR(__xludf.DUMMYFUNCTION("""COMPUTED_VALUE"""),4.0)</f>
        <v>4</v>
      </c>
      <c r="F716" s="138">
        <f>IFERROR(__xludf.DUMMYFUNCTION("""COMPUTED_VALUE"""),4.0)</f>
        <v>4</v>
      </c>
      <c r="G716" s="138">
        <f>IFERROR(__xludf.DUMMYFUNCTION("""COMPUTED_VALUE"""),5.0)</f>
        <v>5</v>
      </c>
      <c r="H716" s="138">
        <f>IFERROR(__xludf.DUMMYFUNCTION("""COMPUTED_VALUE"""),4.0)</f>
        <v>4</v>
      </c>
      <c r="I716" s="138">
        <f>IFERROR(__xludf.DUMMYFUNCTION("""COMPUTED_VALUE"""),4.0)</f>
        <v>4</v>
      </c>
      <c r="J716" s="138">
        <f>IFERROR(__xludf.DUMMYFUNCTION("""COMPUTED_VALUE"""),4.0)</f>
        <v>4</v>
      </c>
      <c r="K716" s="138">
        <f>IFERROR(__xludf.DUMMYFUNCTION("""COMPUTED_VALUE"""),4.0)</f>
        <v>4</v>
      </c>
      <c r="L716" s="138">
        <v>29.0</v>
      </c>
      <c r="M716" s="140" t="str">
        <f>VLOOKUP(text(D716, "#"),'Master Table'!$A:$F, 6, FALSE)</f>
        <v>F-3</v>
      </c>
      <c r="N716" s="141" t="str">
        <f>IFERROR(__xludf.DUMMYFUNCTION("""COMPUTED_VALUE"""),"Great presentation with each presenter working off the other allowing good flow of the presentation ")</f>
        <v>Great presentation with each presenter working off the other allowing good flow of the presentation </v>
      </c>
      <c r="O716" s="142" t="str">
        <f t="shared" si="1"/>
        <v/>
      </c>
      <c r="P716" s="143" t="str">
        <f>IF(ISNA(VLOOKUP(CONCAT(M716,C716), 'Judge Count DO NOT EDIT'!H:H, 1, FALSE)), "ERROR","")</f>
        <v/>
      </c>
      <c r="Q716" s="144"/>
      <c r="R716" s="143"/>
      <c r="S716" s="139" t="str">
        <f t="shared" si="2"/>
        <v>1028333</v>
      </c>
      <c r="T716" s="141"/>
    </row>
    <row r="717">
      <c r="A717" s="137">
        <f>IFERROR(__xludf.DUMMYFUNCTION("""COMPUTED_VALUE"""),45352.44178005787)</f>
        <v>45352.44178</v>
      </c>
      <c r="B717" s="138" t="str">
        <f>IFERROR(__xludf.DUMMYFUNCTION("""COMPUTED_VALUE"""),"tiantian chen")</f>
        <v>tiantian chen</v>
      </c>
      <c r="C717" s="138">
        <f>IFERROR(__xludf.DUMMYFUNCTION("""COMPUTED_VALUE"""),1224.0)</f>
        <v>1224</v>
      </c>
      <c r="D717" s="139">
        <f>IFERROR(__xludf.DUMMYFUNCTION("""COMPUTED_VALUE"""),333.0)</f>
        <v>333</v>
      </c>
      <c r="E717" s="138">
        <f>IFERROR(__xludf.DUMMYFUNCTION("""COMPUTED_VALUE"""),5.0)</f>
        <v>5</v>
      </c>
      <c r="F717" s="138">
        <f>IFERROR(__xludf.DUMMYFUNCTION("""COMPUTED_VALUE"""),5.0)</f>
        <v>5</v>
      </c>
      <c r="G717" s="138">
        <f>IFERROR(__xludf.DUMMYFUNCTION("""COMPUTED_VALUE"""),5.0)</f>
        <v>5</v>
      </c>
      <c r="H717" s="138">
        <f>IFERROR(__xludf.DUMMYFUNCTION("""COMPUTED_VALUE"""),5.0)</f>
        <v>5</v>
      </c>
      <c r="I717" s="138">
        <f>IFERROR(__xludf.DUMMYFUNCTION("""COMPUTED_VALUE"""),5.0)</f>
        <v>5</v>
      </c>
      <c r="J717" s="138">
        <f>IFERROR(__xludf.DUMMYFUNCTION("""COMPUTED_VALUE"""),5.0)</f>
        <v>5</v>
      </c>
      <c r="K717" s="138">
        <f>IFERROR(__xludf.DUMMYFUNCTION("""COMPUTED_VALUE"""),5.0)</f>
        <v>5</v>
      </c>
      <c r="L717" s="138">
        <v>35.0</v>
      </c>
      <c r="M717" s="140" t="str">
        <f>VLOOKUP(text(D717, "#"),'Master Table'!$A:$F, 6, FALSE)</f>
        <v>F-3</v>
      </c>
      <c r="N717" s="141"/>
      <c r="O717" s="142" t="str">
        <f t="shared" si="1"/>
        <v/>
      </c>
      <c r="P717" s="143" t="str">
        <f>IF(ISNA(VLOOKUP(CONCAT(M717,C717), 'Judge Count DO NOT EDIT'!H:H, 1, FALSE)), "ERROR","")</f>
        <v/>
      </c>
      <c r="Q717" s="141"/>
      <c r="R717" s="143"/>
      <c r="S717" s="139" t="str">
        <f t="shared" si="2"/>
        <v>1224333</v>
      </c>
      <c r="T717" s="141"/>
    </row>
    <row r="718">
      <c r="A718" s="137">
        <f>IFERROR(__xludf.DUMMYFUNCTION("""COMPUTED_VALUE"""),45352.44299726852)</f>
        <v>45352.443</v>
      </c>
      <c r="B718" s="138" t="str">
        <f>IFERROR(__xludf.DUMMYFUNCTION("""COMPUTED_VALUE"""),"Tom Huxford")</f>
        <v>Tom Huxford</v>
      </c>
      <c r="C718" s="138">
        <f>IFERROR(__xludf.DUMMYFUNCTION("""COMPUTED_VALUE"""),1056.0)</f>
        <v>1056</v>
      </c>
      <c r="D718" s="139">
        <f>IFERROR(__xludf.DUMMYFUNCTION("""COMPUTED_VALUE"""),333.0)</f>
        <v>333</v>
      </c>
      <c r="E718" s="138">
        <f>IFERROR(__xludf.DUMMYFUNCTION("""COMPUTED_VALUE"""),4.0)</f>
        <v>4</v>
      </c>
      <c r="F718" s="138">
        <f>IFERROR(__xludf.DUMMYFUNCTION("""COMPUTED_VALUE"""),3.0)</f>
        <v>3</v>
      </c>
      <c r="G718" s="138">
        <f>IFERROR(__xludf.DUMMYFUNCTION("""COMPUTED_VALUE"""),3.0)</f>
        <v>3</v>
      </c>
      <c r="H718" s="138">
        <f>IFERROR(__xludf.DUMMYFUNCTION("""COMPUTED_VALUE"""),3.0)</f>
        <v>3</v>
      </c>
      <c r="I718" s="138">
        <f>IFERROR(__xludf.DUMMYFUNCTION("""COMPUTED_VALUE"""),3.0)</f>
        <v>3</v>
      </c>
      <c r="J718" s="138">
        <f>IFERROR(__xludf.DUMMYFUNCTION("""COMPUTED_VALUE"""),4.0)</f>
        <v>4</v>
      </c>
      <c r="K718" s="138">
        <f>IFERROR(__xludf.DUMMYFUNCTION("""COMPUTED_VALUE"""),3.0)</f>
        <v>3</v>
      </c>
      <c r="L718" s="138">
        <v>23.0</v>
      </c>
      <c r="M718" s="140" t="str">
        <f>VLOOKUP(text(D718, "#"),'Master Table'!$A:$F, 6, FALSE)</f>
        <v>F-3</v>
      </c>
      <c r="N718" s="141" t="str">
        <f>IFERROR(__xludf.DUMMYFUNCTION("""COMPUTED_VALUE"""),"Really nice presentation.  Great research topic.  Don't be shy about engaging in conversations about your research questions, interpretation of results, implications, etc.  It is perfectly acceptable to pause and think over questions and sometimes the bes"&amp;"t answer is ""I don't know.""  If you try to hard to stay on a script then it really limits the opportunity for generating new ideas or observations.")</f>
        <v>Really nice presentation.  Great research topic.  Don't be shy about engaging in conversations about your research questions, interpretation of results, implications, etc.  It is perfectly acceptable to pause and think over questions and sometimes the best answer is "I don't know."  If you try to hard to stay on a script then it really limits the opportunity for generating new ideas or observations.</v>
      </c>
      <c r="O718" s="142" t="str">
        <f t="shared" si="1"/>
        <v/>
      </c>
      <c r="P718" s="143" t="str">
        <f>IF(ISNA(VLOOKUP(CONCAT(M718,C718), 'Judge Count DO NOT EDIT'!H:H, 1, FALSE)), "ERROR","")</f>
        <v/>
      </c>
      <c r="Q718" s="141"/>
      <c r="R718" s="143"/>
      <c r="S718" s="139" t="str">
        <f t="shared" si="2"/>
        <v>1056333</v>
      </c>
      <c r="T718" s="141"/>
    </row>
    <row r="719">
      <c r="A719" s="137">
        <f>IFERROR(__xludf.DUMMYFUNCTION("""COMPUTED_VALUE"""),45352.39803898148)</f>
        <v>45352.39804</v>
      </c>
      <c r="B719" s="138" t="str">
        <f>IFERROR(__xludf.DUMMYFUNCTION("""COMPUTED_VALUE"""),"Dan Sousa")</f>
        <v>Dan Sousa</v>
      </c>
      <c r="C719" s="138">
        <f>IFERROR(__xludf.DUMMYFUNCTION("""COMPUTED_VALUE"""),1151.0)</f>
        <v>1151</v>
      </c>
      <c r="D719" s="139">
        <f>IFERROR(__xludf.DUMMYFUNCTION("""COMPUTED_VALUE"""),334.0)</f>
        <v>334</v>
      </c>
      <c r="E719" s="138">
        <f>IFERROR(__xludf.DUMMYFUNCTION("""COMPUTED_VALUE"""),4.0)</f>
        <v>4</v>
      </c>
      <c r="F719" s="138">
        <f>IFERROR(__xludf.DUMMYFUNCTION("""COMPUTED_VALUE"""),4.0)</f>
        <v>4</v>
      </c>
      <c r="G719" s="138">
        <f>IFERROR(__xludf.DUMMYFUNCTION("""COMPUTED_VALUE"""),5.0)</f>
        <v>5</v>
      </c>
      <c r="H719" s="138">
        <f>IFERROR(__xludf.DUMMYFUNCTION("""COMPUTED_VALUE"""),5.0)</f>
        <v>5</v>
      </c>
      <c r="I719" s="138">
        <f>IFERROR(__xludf.DUMMYFUNCTION("""COMPUTED_VALUE"""),4.0)</f>
        <v>4</v>
      </c>
      <c r="J719" s="138">
        <f>IFERROR(__xludf.DUMMYFUNCTION("""COMPUTED_VALUE"""),3.0)</f>
        <v>3</v>
      </c>
      <c r="K719" s="138">
        <f>IFERROR(__xludf.DUMMYFUNCTION("""COMPUTED_VALUE"""),4.0)</f>
        <v>4</v>
      </c>
      <c r="L719" s="138">
        <v>29.0</v>
      </c>
      <c r="M719" s="140" t="str">
        <f>VLOOKUP(text(D719, "#"),'Master Table'!$A:$F, 6, FALSE)</f>
        <v>F-3</v>
      </c>
      <c r="N719" s="141" t="str">
        <f>IFERROR(__xludf.DUMMYFUNCTION("""COMPUTED_VALUE"""),"Really good job! Obviously important and very interesting. Clearly novel approach, with a ton of work. Some minor grammatical and clarity issues. ")</f>
        <v>Really good job! Obviously important and very interesting. Clearly novel approach, with a ton of work. Some minor grammatical and clarity issues. </v>
      </c>
      <c r="O719" s="142" t="str">
        <f t="shared" si="1"/>
        <v/>
      </c>
      <c r="P719" s="143" t="str">
        <f>IF(ISNA(VLOOKUP(CONCAT(M719,C719), 'Judge Count DO NOT EDIT'!H:H, 1, FALSE)), "ERROR","")</f>
        <v/>
      </c>
      <c r="Q719" s="141"/>
      <c r="R719" s="143"/>
      <c r="S719" s="139" t="str">
        <f t="shared" si="2"/>
        <v>1151334</v>
      </c>
      <c r="T719" s="141"/>
    </row>
    <row r="720">
      <c r="A720" s="137">
        <f>IFERROR(__xludf.DUMMYFUNCTION("""COMPUTED_VALUE"""),45352.43829853009)</f>
        <v>45352.4383</v>
      </c>
      <c r="B720" s="138" t="str">
        <f>IFERROR(__xludf.DUMMYFUNCTION("""COMPUTED_VALUE"""),"Rick Sayen")</f>
        <v>Rick Sayen</v>
      </c>
      <c r="C720" s="138">
        <f>IFERROR(__xludf.DUMMYFUNCTION("""COMPUTED_VALUE"""),1028.0)</f>
        <v>1028</v>
      </c>
      <c r="D720" s="139">
        <f>IFERROR(__xludf.DUMMYFUNCTION("""COMPUTED_VALUE"""),334.0)</f>
        <v>334</v>
      </c>
      <c r="E720" s="138">
        <f>IFERROR(__xludf.DUMMYFUNCTION("""COMPUTED_VALUE"""),4.0)</f>
        <v>4</v>
      </c>
      <c r="F720" s="138">
        <f>IFERROR(__xludf.DUMMYFUNCTION("""COMPUTED_VALUE"""),4.0)</f>
        <v>4</v>
      </c>
      <c r="G720" s="138">
        <f>IFERROR(__xludf.DUMMYFUNCTION("""COMPUTED_VALUE"""),4.0)</f>
        <v>4</v>
      </c>
      <c r="H720" s="138">
        <f>IFERROR(__xludf.DUMMYFUNCTION("""COMPUTED_VALUE"""),4.0)</f>
        <v>4</v>
      </c>
      <c r="I720" s="138">
        <f>IFERROR(__xludf.DUMMYFUNCTION("""COMPUTED_VALUE"""),3.0)</f>
        <v>3</v>
      </c>
      <c r="J720" s="138">
        <f>IFERROR(__xludf.DUMMYFUNCTION("""COMPUTED_VALUE"""),3.0)</f>
        <v>3</v>
      </c>
      <c r="K720" s="138">
        <f>IFERROR(__xludf.DUMMYFUNCTION("""COMPUTED_VALUE"""),4.0)</f>
        <v>4</v>
      </c>
      <c r="L720" s="138">
        <v>26.0</v>
      </c>
      <c r="M720" s="140" t="str">
        <f>VLOOKUP(text(D720, "#"),'Master Table'!$A:$F, 6, FALSE)</f>
        <v>F-3</v>
      </c>
      <c r="N720" s="141" t="str">
        <f>IFERROR(__xludf.DUMMYFUNCTION("""COMPUTED_VALUE"""),"Presenters excitement about the project was evident.  More details on methodology would be interesting ")</f>
        <v>Presenters excitement about the project was evident.  More details on methodology would be interesting </v>
      </c>
      <c r="O720" s="142" t="str">
        <f t="shared" si="1"/>
        <v/>
      </c>
      <c r="P720" s="143" t="str">
        <f>IF(ISNA(VLOOKUP(CONCAT(M720,C720), 'Judge Count DO NOT EDIT'!H:H, 1, FALSE)), "ERROR","")</f>
        <v/>
      </c>
      <c r="Q720" s="141"/>
      <c r="R720" s="143"/>
      <c r="S720" s="139" t="str">
        <f t="shared" si="2"/>
        <v>1028334</v>
      </c>
      <c r="T720" s="141"/>
    </row>
    <row r="721">
      <c r="A721" s="137">
        <f>IFERROR(__xludf.DUMMYFUNCTION("""COMPUTED_VALUE"""),45352.44488596065)</f>
        <v>45352.44489</v>
      </c>
      <c r="B721" s="138" t="str">
        <f>IFERROR(__xludf.DUMMYFUNCTION("""COMPUTED_VALUE"""),"Tom Huxford")</f>
        <v>Tom Huxford</v>
      </c>
      <c r="C721" s="138">
        <f>IFERROR(__xludf.DUMMYFUNCTION("""COMPUTED_VALUE"""),1056.0)</f>
        <v>1056</v>
      </c>
      <c r="D721" s="139">
        <f>IFERROR(__xludf.DUMMYFUNCTION("""COMPUTED_VALUE"""),334.0)</f>
        <v>334</v>
      </c>
      <c r="E721" s="138">
        <f>IFERROR(__xludf.DUMMYFUNCTION("""COMPUTED_VALUE"""),3.0)</f>
        <v>3</v>
      </c>
      <c r="F721" s="138">
        <f>IFERROR(__xludf.DUMMYFUNCTION("""COMPUTED_VALUE"""),4.0)</f>
        <v>4</v>
      </c>
      <c r="G721" s="138">
        <f>IFERROR(__xludf.DUMMYFUNCTION("""COMPUTED_VALUE"""),4.0)</f>
        <v>4</v>
      </c>
      <c r="H721" s="138">
        <f>IFERROR(__xludf.DUMMYFUNCTION("""COMPUTED_VALUE"""),4.0)</f>
        <v>4</v>
      </c>
      <c r="I721" s="138">
        <f>IFERROR(__xludf.DUMMYFUNCTION("""COMPUTED_VALUE"""),3.0)</f>
        <v>3</v>
      </c>
      <c r="J721" s="138">
        <f>IFERROR(__xludf.DUMMYFUNCTION("""COMPUTED_VALUE"""),3.0)</f>
        <v>3</v>
      </c>
      <c r="K721" s="138">
        <f>IFERROR(__xludf.DUMMYFUNCTION("""COMPUTED_VALUE"""),3.0)</f>
        <v>3</v>
      </c>
      <c r="L721" s="138">
        <v>24.0</v>
      </c>
      <c r="M721" s="140" t="str">
        <f>VLOOKUP(text(D721, "#"),'Master Table'!$A:$F, 6, FALSE)</f>
        <v>F-3</v>
      </c>
      <c r="N721" s="141" t="str">
        <f>IFERROR(__xludf.DUMMYFUNCTION("""COMPUTED_VALUE"""),"Really good ideas.  This could be communicated better.  When answering a question, make sure that you have introduced enough background so that your answer will be understood in the proper context.  Otherwise, your answers just lead to more questions and "&amp;"things can get confusing.  The project is outstanding and the initial results seem very promising.")</f>
        <v>Really good ideas.  This could be communicated better.  When answering a question, make sure that you have introduced enough background so that your answer will be understood in the proper context.  Otherwise, your answers just lead to more questions and things can get confusing.  The project is outstanding and the initial results seem very promising.</v>
      </c>
      <c r="O721" s="142" t="str">
        <f t="shared" si="1"/>
        <v/>
      </c>
      <c r="P721" s="143" t="str">
        <f>IF(ISNA(VLOOKUP(CONCAT(M721,C721), 'Judge Count DO NOT EDIT'!H:H, 1, FALSE)), "ERROR","")</f>
        <v/>
      </c>
      <c r="Q721" s="141"/>
      <c r="R721" s="143"/>
      <c r="S721" s="139" t="str">
        <f t="shared" si="2"/>
        <v>1056334</v>
      </c>
      <c r="T721" s="141"/>
    </row>
    <row r="722">
      <c r="A722" s="137">
        <f>IFERROR(__xludf.DUMMYFUNCTION("""COMPUTED_VALUE"""),45352.387118136576)</f>
        <v>45352.38712</v>
      </c>
      <c r="B722" s="138" t="str">
        <f>IFERROR(__xludf.DUMMYFUNCTION("""COMPUTED_VALUE"""),"Dan Sousa ")</f>
        <v>Dan Sousa </v>
      </c>
      <c r="C722" s="138">
        <f>IFERROR(__xludf.DUMMYFUNCTION("""COMPUTED_VALUE"""),1151.0)</f>
        <v>1151</v>
      </c>
      <c r="D722" s="139">
        <f>IFERROR(__xludf.DUMMYFUNCTION("""COMPUTED_VALUE"""),335.0)</f>
        <v>335</v>
      </c>
      <c r="E722" s="138">
        <f>IFERROR(__xludf.DUMMYFUNCTION("""COMPUTED_VALUE"""),5.0)</f>
        <v>5</v>
      </c>
      <c r="F722" s="138">
        <f>IFERROR(__xludf.DUMMYFUNCTION("""COMPUTED_VALUE"""),4.0)</f>
        <v>4</v>
      </c>
      <c r="G722" s="138">
        <f>IFERROR(__xludf.DUMMYFUNCTION("""COMPUTED_VALUE"""),4.0)</f>
        <v>4</v>
      </c>
      <c r="H722" s="138">
        <f>IFERROR(__xludf.DUMMYFUNCTION("""COMPUTED_VALUE"""),5.0)</f>
        <v>5</v>
      </c>
      <c r="I722" s="138">
        <f>IFERROR(__xludf.DUMMYFUNCTION("""COMPUTED_VALUE"""),5.0)</f>
        <v>5</v>
      </c>
      <c r="J722" s="138">
        <f>IFERROR(__xludf.DUMMYFUNCTION("""COMPUTED_VALUE"""),5.0)</f>
        <v>5</v>
      </c>
      <c r="K722" s="138">
        <f>IFERROR(__xludf.DUMMYFUNCTION("""COMPUTED_VALUE"""),5.0)</f>
        <v>5</v>
      </c>
      <c r="L722" s="138">
        <v>33.0</v>
      </c>
      <c r="M722" s="140" t="str">
        <f>VLOOKUP(text(D722, "#"),'Master Table'!$A:$F, 6, FALSE)</f>
        <v>F-3</v>
      </c>
      <c r="N722" s="141" t="str">
        <f>IFERROR(__xludf.DUMMYFUNCTION("""COMPUTED_VALUE"""),"Excellent job! Really interesting research. Good job connecting with the audience - stories about getting samples from campus were great. Only suggestion for improvement is a bit slower presentation style, with a little more detail about the (very cool) d"&amp;"ifference between old school microscopy and flow cytometeru. But this is very minor.    Good luck with the MCAT !")</f>
        <v>Excellent job! Really interesting research. Good job connecting with the audience - stories about getting samples from campus were great. Only suggestion for improvement is a bit slower presentation style, with a little more detail about the (very cool) difference between old school microscopy and flow cytometeru. But this is very minor.    Good luck with the MCAT !</v>
      </c>
      <c r="O722" s="142" t="str">
        <f t="shared" si="1"/>
        <v/>
      </c>
      <c r="P722" s="143" t="str">
        <f>IF(ISNA(VLOOKUP(CONCAT(M722,C722), 'Judge Count DO NOT EDIT'!H:H, 1, FALSE)), "ERROR","")</f>
        <v/>
      </c>
      <c r="Q722" s="141"/>
      <c r="R722" s="143"/>
      <c r="S722" s="139" t="str">
        <f t="shared" si="2"/>
        <v>1151335</v>
      </c>
      <c r="T722" s="141"/>
    </row>
    <row r="723">
      <c r="A723" s="137">
        <f>IFERROR(__xludf.DUMMYFUNCTION("""COMPUTED_VALUE"""),45352.43050376157)</f>
        <v>45352.4305</v>
      </c>
      <c r="B723" s="138" t="str">
        <f>IFERROR(__xludf.DUMMYFUNCTION("""COMPUTED_VALUE"""),"Kelly Ross")</f>
        <v>Kelly Ross</v>
      </c>
      <c r="C723" s="138">
        <f>IFERROR(__xludf.DUMMYFUNCTION("""COMPUTED_VALUE"""),1046.0)</f>
        <v>1046</v>
      </c>
      <c r="D723" s="139">
        <f>IFERROR(__xludf.DUMMYFUNCTION("""COMPUTED_VALUE"""),335.0)</f>
        <v>335</v>
      </c>
      <c r="E723" s="138">
        <f>IFERROR(__xludf.DUMMYFUNCTION("""COMPUTED_VALUE"""),4.0)</f>
        <v>4</v>
      </c>
      <c r="F723" s="138">
        <f>IFERROR(__xludf.DUMMYFUNCTION("""COMPUTED_VALUE"""),4.0)</f>
        <v>4</v>
      </c>
      <c r="G723" s="138">
        <f>IFERROR(__xludf.DUMMYFUNCTION("""COMPUTED_VALUE"""),5.0)</f>
        <v>5</v>
      </c>
      <c r="H723" s="138">
        <f>IFERROR(__xludf.DUMMYFUNCTION("""COMPUTED_VALUE"""),4.0)</f>
        <v>4</v>
      </c>
      <c r="I723" s="138">
        <f>IFERROR(__xludf.DUMMYFUNCTION("""COMPUTED_VALUE"""),5.0)</f>
        <v>5</v>
      </c>
      <c r="J723" s="138">
        <f>IFERROR(__xludf.DUMMYFUNCTION("""COMPUTED_VALUE"""),4.0)</f>
        <v>4</v>
      </c>
      <c r="K723" s="138">
        <f>IFERROR(__xludf.DUMMYFUNCTION("""COMPUTED_VALUE"""),3.0)</f>
        <v>3</v>
      </c>
      <c r="L723" s="138">
        <v>29.0</v>
      </c>
      <c r="M723" s="140" t="str">
        <f>VLOOKUP(text(D723, "#"),'Master Table'!$A:$F, 6, FALSE)</f>
        <v>F-3</v>
      </c>
      <c r="N723" s="141" t="str">
        <f>IFERROR(__xludf.DUMMYFUNCTION("""COMPUTED_VALUE"""),"This was a great poster and very clear and laid out beautifully and cleanly. In the future it would be helpful to provide a bit more background about the gene for which you are studying the mutation. Otherwise, great.")</f>
        <v>This was a great poster and very clear and laid out beautifully and cleanly. In the future it would be helpful to provide a bit more background about the gene for which you are studying the mutation. Otherwise, great.</v>
      </c>
      <c r="O723" s="142" t="str">
        <f t="shared" si="1"/>
        <v/>
      </c>
      <c r="P723" s="143" t="str">
        <f>IF(ISNA(VLOOKUP(CONCAT(M723,C723), 'Judge Count DO NOT EDIT'!H:H, 1, FALSE)), "ERROR","")</f>
        <v/>
      </c>
      <c r="Q723" s="141"/>
      <c r="R723" s="143"/>
      <c r="S723" s="139" t="str">
        <f t="shared" si="2"/>
        <v>1046335</v>
      </c>
      <c r="T723" s="141"/>
    </row>
    <row r="724">
      <c r="A724" s="137">
        <f>IFERROR(__xludf.DUMMYFUNCTION("""COMPUTED_VALUE"""),45352.44078895834)</f>
        <v>45352.44079</v>
      </c>
      <c r="B724" s="138" t="str">
        <f>IFERROR(__xludf.DUMMYFUNCTION("""COMPUTED_VALUE"""),"Rick Sayen ")</f>
        <v>Rick Sayen </v>
      </c>
      <c r="C724" s="138">
        <f>IFERROR(__xludf.DUMMYFUNCTION("""COMPUTED_VALUE"""),1028.0)</f>
        <v>1028</v>
      </c>
      <c r="D724" s="139">
        <f>IFERROR(__xludf.DUMMYFUNCTION("""COMPUTED_VALUE"""),335.0)</f>
        <v>335</v>
      </c>
      <c r="E724" s="138">
        <f>IFERROR(__xludf.DUMMYFUNCTION("""COMPUTED_VALUE"""),4.0)</f>
        <v>4</v>
      </c>
      <c r="F724" s="138">
        <f>IFERROR(__xludf.DUMMYFUNCTION("""COMPUTED_VALUE"""),4.0)</f>
        <v>4</v>
      </c>
      <c r="G724" s="138">
        <f>IFERROR(__xludf.DUMMYFUNCTION("""COMPUTED_VALUE"""),4.0)</f>
        <v>4</v>
      </c>
      <c r="H724" s="138">
        <f>IFERROR(__xludf.DUMMYFUNCTION("""COMPUTED_VALUE"""),4.0)</f>
        <v>4</v>
      </c>
      <c r="I724" s="138">
        <f>IFERROR(__xludf.DUMMYFUNCTION("""COMPUTED_VALUE"""),4.0)</f>
        <v>4</v>
      </c>
      <c r="J724" s="138">
        <f>IFERROR(__xludf.DUMMYFUNCTION("""COMPUTED_VALUE"""),3.0)</f>
        <v>3</v>
      </c>
      <c r="K724" s="138">
        <f>IFERROR(__xludf.DUMMYFUNCTION("""COMPUTED_VALUE"""),4.0)</f>
        <v>4</v>
      </c>
      <c r="L724" s="138">
        <v>27.0</v>
      </c>
      <c r="M724" s="140" t="str">
        <f>VLOOKUP(text(D724, "#"),'Master Table'!$A:$F, 6, FALSE)</f>
        <v>F-3</v>
      </c>
      <c r="N724" s="141" t="str">
        <f>IFERROR(__xludf.DUMMYFUNCTION("""COMPUTED_VALUE"""),"Enthusiasm and interest in the research experience was high.  ")</f>
        <v>Enthusiasm and interest in the research experience was high.  </v>
      </c>
      <c r="O724" s="142" t="str">
        <f t="shared" si="1"/>
        <v/>
      </c>
      <c r="P724" s="143" t="str">
        <f>IF(ISNA(VLOOKUP(CONCAT(M724,C724), 'Judge Count DO NOT EDIT'!H:H, 1, FALSE)), "ERROR","")</f>
        <v/>
      </c>
      <c r="Q724" s="141"/>
      <c r="R724" s="143"/>
      <c r="S724" s="139" t="str">
        <f t="shared" si="2"/>
        <v>1028335</v>
      </c>
      <c r="T724" s="141"/>
    </row>
    <row r="725">
      <c r="A725" s="137">
        <f>IFERROR(__xludf.DUMMYFUNCTION("""COMPUTED_VALUE"""),45352.4449009838)</f>
        <v>45352.4449</v>
      </c>
      <c r="B725" s="138" t="str">
        <f>IFERROR(__xludf.DUMMYFUNCTION("""COMPUTED_VALUE"""),"tiantianchen")</f>
        <v>tiantianchen</v>
      </c>
      <c r="C725" s="138">
        <f>IFERROR(__xludf.DUMMYFUNCTION("""COMPUTED_VALUE"""),1224.0)</f>
        <v>1224</v>
      </c>
      <c r="D725" s="139">
        <f>IFERROR(__xludf.DUMMYFUNCTION("""COMPUTED_VALUE"""),335.0)</f>
        <v>335</v>
      </c>
      <c r="E725" s="138">
        <f>IFERROR(__xludf.DUMMYFUNCTION("""COMPUTED_VALUE"""),4.0)</f>
        <v>4</v>
      </c>
      <c r="F725" s="138">
        <f>IFERROR(__xludf.DUMMYFUNCTION("""COMPUTED_VALUE"""),4.0)</f>
        <v>4</v>
      </c>
      <c r="G725" s="138">
        <f>IFERROR(__xludf.DUMMYFUNCTION("""COMPUTED_VALUE"""),4.0)</f>
        <v>4</v>
      </c>
      <c r="H725" s="138">
        <f>IFERROR(__xludf.DUMMYFUNCTION("""COMPUTED_VALUE"""),4.0)</f>
        <v>4</v>
      </c>
      <c r="I725" s="138">
        <f>IFERROR(__xludf.DUMMYFUNCTION("""COMPUTED_VALUE"""),4.0)</f>
        <v>4</v>
      </c>
      <c r="J725" s="138">
        <f>IFERROR(__xludf.DUMMYFUNCTION("""COMPUTED_VALUE"""),4.0)</f>
        <v>4</v>
      </c>
      <c r="K725" s="138">
        <f>IFERROR(__xludf.DUMMYFUNCTION("""COMPUTED_VALUE"""),4.0)</f>
        <v>4</v>
      </c>
      <c r="L725" s="138">
        <v>28.0</v>
      </c>
      <c r="M725" s="140" t="str">
        <f>VLOOKUP(text(D725, "#"),'Master Table'!$A:$F, 6, FALSE)</f>
        <v>F-3</v>
      </c>
      <c r="N725" s="141"/>
      <c r="O725" s="142" t="str">
        <f t="shared" si="1"/>
        <v/>
      </c>
      <c r="P725" s="143" t="str">
        <f>IF(ISNA(VLOOKUP(CONCAT(M725,C725), 'Judge Count DO NOT EDIT'!H:H, 1, FALSE)), "ERROR","")</f>
        <v/>
      </c>
      <c r="Q725" s="141"/>
      <c r="R725" s="143"/>
      <c r="S725" s="139" t="str">
        <f t="shared" si="2"/>
        <v>1224335</v>
      </c>
      <c r="T725" s="141"/>
    </row>
    <row r="726">
      <c r="A726" s="137">
        <f>IFERROR(__xludf.DUMMYFUNCTION("""COMPUTED_VALUE"""),45352.44775827546)</f>
        <v>45352.44776</v>
      </c>
      <c r="B726" s="138">
        <f>IFERROR(__xludf.DUMMYFUNCTION("""COMPUTED_VALUE"""),18.0)</f>
        <v>18</v>
      </c>
      <c r="C726" s="138">
        <f>IFERROR(__xludf.DUMMYFUNCTION("""COMPUTED_VALUE"""),1056.0)</f>
        <v>1056</v>
      </c>
      <c r="D726" s="139">
        <f>IFERROR(__xludf.DUMMYFUNCTION("""COMPUTED_VALUE"""),335.0)</f>
        <v>335</v>
      </c>
      <c r="E726" s="138">
        <f>IFERROR(__xludf.DUMMYFUNCTION("""COMPUTED_VALUE"""),4.0)</f>
        <v>4</v>
      </c>
      <c r="F726" s="138">
        <f>IFERROR(__xludf.DUMMYFUNCTION("""COMPUTED_VALUE"""),3.0)</f>
        <v>3</v>
      </c>
      <c r="G726" s="138">
        <f>IFERROR(__xludf.DUMMYFUNCTION("""COMPUTED_VALUE"""),3.0)</f>
        <v>3</v>
      </c>
      <c r="H726" s="138">
        <f>IFERROR(__xludf.DUMMYFUNCTION("""COMPUTED_VALUE"""),3.0)</f>
        <v>3</v>
      </c>
      <c r="I726" s="138">
        <f>IFERROR(__xludf.DUMMYFUNCTION("""COMPUTED_VALUE"""),4.0)</f>
        <v>4</v>
      </c>
      <c r="J726" s="138">
        <f>IFERROR(__xludf.DUMMYFUNCTION("""COMPUTED_VALUE"""),4.0)</f>
        <v>4</v>
      </c>
      <c r="K726" s="138">
        <f>IFERROR(__xludf.DUMMYFUNCTION("""COMPUTED_VALUE"""),4.0)</f>
        <v>4</v>
      </c>
      <c r="L726" s="138">
        <v>25.0</v>
      </c>
      <c r="M726" s="140" t="str">
        <f>VLOOKUP(text(D726, "#"),'Master Table'!$A:$F, 6, FALSE)</f>
        <v>F-3</v>
      </c>
      <c r="N726" s="141" t="str">
        <f>IFERROR(__xludf.DUMMYFUNCTION("""COMPUTED_VALUE"""),"Nice job describing the project and the experiments.  The gross phenomenological observation (adherence of fluorescent bacteria in lavaged worms) could likely have many disparate causes so it is important to pay close attention to details.  And quantitati"&amp;"on of the extent and quality of adherence is likely going to be necessary to make certain you understanding exactly what is changing in your mutant worms.  Great presentation and very good response to questions.")</f>
        <v>Nice job describing the project and the experiments.  The gross phenomenological observation (adherence of fluorescent bacteria in lavaged worms) could likely have many disparate causes so it is important to pay close attention to details.  And quantitation of the extent and quality of adherence is likely going to be necessary to make certain you understanding exactly what is changing in your mutant worms.  Great presentation and very good response to questions.</v>
      </c>
      <c r="O726" s="142" t="str">
        <f t="shared" si="1"/>
        <v/>
      </c>
      <c r="P726" s="143" t="str">
        <f>IF(ISNA(VLOOKUP(CONCAT(M726,C726), 'Judge Count DO NOT EDIT'!H:H, 1, FALSE)), "ERROR","")</f>
        <v/>
      </c>
      <c r="Q726" s="144"/>
      <c r="R726" s="143"/>
      <c r="S726" s="139" t="str">
        <f t="shared" si="2"/>
        <v>1056335</v>
      </c>
      <c r="T726" s="141"/>
    </row>
    <row r="727">
      <c r="A727" s="137">
        <f>IFERROR(__xludf.DUMMYFUNCTION("""COMPUTED_VALUE"""),45352.415101307866)</f>
        <v>45352.4151</v>
      </c>
      <c r="B727" s="138" t="str">
        <f>IFERROR(__xludf.DUMMYFUNCTION("""COMPUTED_VALUE"""),"Dan Sousa")</f>
        <v>Dan Sousa</v>
      </c>
      <c r="C727" s="138">
        <f>IFERROR(__xludf.DUMMYFUNCTION("""COMPUTED_VALUE"""),1151.0)</f>
        <v>1151</v>
      </c>
      <c r="D727" s="139">
        <f>IFERROR(__xludf.DUMMYFUNCTION("""COMPUTED_VALUE"""),336.0)</f>
        <v>336</v>
      </c>
      <c r="E727" s="138">
        <f>IFERROR(__xludf.DUMMYFUNCTION("""COMPUTED_VALUE"""),5.0)</f>
        <v>5</v>
      </c>
      <c r="F727" s="138">
        <f>IFERROR(__xludf.DUMMYFUNCTION("""COMPUTED_VALUE"""),4.0)</f>
        <v>4</v>
      </c>
      <c r="G727" s="138">
        <f>IFERROR(__xludf.DUMMYFUNCTION("""COMPUTED_VALUE"""),4.0)</f>
        <v>4</v>
      </c>
      <c r="H727" s="138">
        <f>IFERROR(__xludf.DUMMYFUNCTION("""COMPUTED_VALUE"""),4.0)</f>
        <v>4</v>
      </c>
      <c r="I727" s="138">
        <f>IFERROR(__xludf.DUMMYFUNCTION("""COMPUTED_VALUE"""),5.0)</f>
        <v>5</v>
      </c>
      <c r="J727" s="138">
        <f>IFERROR(__xludf.DUMMYFUNCTION("""COMPUTED_VALUE"""),5.0)</f>
        <v>5</v>
      </c>
      <c r="K727" s="138">
        <f>IFERROR(__xludf.DUMMYFUNCTION("""COMPUTED_VALUE"""),5.0)</f>
        <v>5</v>
      </c>
      <c r="L727" s="138">
        <v>32.0</v>
      </c>
      <c r="M727" s="140" t="str">
        <f>VLOOKUP(text(D727, "#"),'Master Table'!$A:$F, 6, FALSE)</f>
        <v>F-3</v>
      </c>
      <c r="N727" s="141" t="str">
        <f>IFERROR(__xludf.DUMMYFUNCTION("""COMPUTED_VALUE"""),"Great job! Super clear and comprehensible. Obviously meaningful for wildfires. Very cool results , well placed in context of expectations. Impressive amount of work - so many seeds to grow!")</f>
        <v>Great job! Super clear and comprehensible. Obviously meaningful for wildfires. Very cool results , well placed in context of expectations. Impressive amount of work - so many seeds to grow!</v>
      </c>
      <c r="O727" s="142" t="str">
        <f t="shared" si="1"/>
        <v/>
      </c>
      <c r="P727" s="143" t="str">
        <f>IF(ISNA(VLOOKUP(CONCAT(M727,C727), 'Judge Count DO NOT EDIT'!H:H, 1, FALSE)), "ERROR","")</f>
        <v/>
      </c>
      <c r="Q727" s="141"/>
      <c r="R727" s="143"/>
      <c r="S727" s="139" t="str">
        <f t="shared" si="2"/>
        <v>1151336</v>
      </c>
      <c r="T727" s="141"/>
    </row>
    <row r="728">
      <c r="A728" s="137">
        <f>IFERROR(__xludf.DUMMYFUNCTION("""COMPUTED_VALUE"""),45352.43178292824)</f>
        <v>45352.43178</v>
      </c>
      <c r="B728" s="138" t="str">
        <f>IFERROR(__xludf.DUMMYFUNCTION("""COMPUTED_VALUE"""),"Kelly Ross")</f>
        <v>Kelly Ross</v>
      </c>
      <c r="C728" s="138">
        <f>IFERROR(__xludf.DUMMYFUNCTION("""COMPUTED_VALUE"""),1046.0)</f>
        <v>1046</v>
      </c>
      <c r="D728" s="139">
        <f>IFERROR(__xludf.DUMMYFUNCTION("""COMPUTED_VALUE"""),336.0)</f>
        <v>336</v>
      </c>
      <c r="E728" s="138">
        <f>IFERROR(__xludf.DUMMYFUNCTION("""COMPUTED_VALUE"""),4.0)</f>
        <v>4</v>
      </c>
      <c r="F728" s="138">
        <f>IFERROR(__xludf.DUMMYFUNCTION("""COMPUTED_VALUE"""),5.0)</f>
        <v>5</v>
      </c>
      <c r="G728" s="138">
        <f>IFERROR(__xludf.DUMMYFUNCTION("""COMPUTED_VALUE"""),4.0)</f>
        <v>4</v>
      </c>
      <c r="H728" s="138">
        <f>IFERROR(__xludf.DUMMYFUNCTION("""COMPUTED_VALUE"""),4.0)</f>
        <v>4</v>
      </c>
      <c r="I728" s="138">
        <f>IFERROR(__xludf.DUMMYFUNCTION("""COMPUTED_VALUE"""),5.0)</f>
        <v>5</v>
      </c>
      <c r="J728" s="138">
        <f>IFERROR(__xludf.DUMMYFUNCTION("""COMPUTED_VALUE"""),5.0)</f>
        <v>5</v>
      </c>
      <c r="K728" s="138">
        <f>IFERROR(__xludf.DUMMYFUNCTION("""COMPUTED_VALUE"""),5.0)</f>
        <v>5</v>
      </c>
      <c r="L728" s="138">
        <v>32.0</v>
      </c>
      <c r="M728" s="140" t="str">
        <f>VLOOKUP(text(D728, "#"),'Master Table'!$A:$F, 6, FALSE)</f>
        <v>F-3</v>
      </c>
      <c r="N728" s="141" t="str">
        <f>IFERROR(__xludf.DUMMYFUNCTION("""COMPUTED_VALUE"""),"Presenters were infectiously enthusiastic about their work. This is an interesting problem to solve. In the future it would be helpful to show some potential solutions on the poster.")</f>
        <v>Presenters were infectiously enthusiastic about their work. This is an interesting problem to solve. In the future it would be helpful to show some potential solutions on the poster.</v>
      </c>
      <c r="O728" s="142" t="str">
        <f t="shared" si="1"/>
        <v/>
      </c>
      <c r="P728" s="143" t="str">
        <f>IF(ISNA(VLOOKUP(CONCAT(M728,C728), 'Judge Count DO NOT EDIT'!H:H, 1, FALSE)), "ERROR","")</f>
        <v/>
      </c>
      <c r="Q728" s="141"/>
      <c r="R728" s="143"/>
      <c r="S728" s="139" t="str">
        <f t="shared" si="2"/>
        <v>1046336</v>
      </c>
      <c r="T728" s="141"/>
    </row>
    <row r="729">
      <c r="A729" s="137">
        <f>IFERROR(__xludf.DUMMYFUNCTION("""COMPUTED_VALUE"""),45352.44352649305)</f>
        <v>45352.44353</v>
      </c>
      <c r="B729" s="138" t="str">
        <f>IFERROR(__xludf.DUMMYFUNCTION("""COMPUTED_VALUE"""),"Rick Sayen ")</f>
        <v>Rick Sayen </v>
      </c>
      <c r="C729" s="138">
        <f>IFERROR(__xludf.DUMMYFUNCTION("""COMPUTED_VALUE"""),1028.0)</f>
        <v>1028</v>
      </c>
      <c r="D729" s="139">
        <f>IFERROR(__xludf.DUMMYFUNCTION("""COMPUTED_VALUE"""),336.0)</f>
        <v>336</v>
      </c>
      <c r="E729" s="138">
        <f>IFERROR(__xludf.DUMMYFUNCTION("""COMPUTED_VALUE"""),4.0)</f>
        <v>4</v>
      </c>
      <c r="F729" s="138">
        <f>IFERROR(__xludf.DUMMYFUNCTION("""COMPUTED_VALUE"""),4.0)</f>
        <v>4</v>
      </c>
      <c r="G729" s="138">
        <f>IFERROR(__xludf.DUMMYFUNCTION("""COMPUTED_VALUE"""),5.0)</f>
        <v>5</v>
      </c>
      <c r="H729" s="138">
        <f>IFERROR(__xludf.DUMMYFUNCTION("""COMPUTED_VALUE"""),3.0)</f>
        <v>3</v>
      </c>
      <c r="I729" s="138">
        <f>IFERROR(__xludf.DUMMYFUNCTION("""COMPUTED_VALUE"""),4.0)</f>
        <v>4</v>
      </c>
      <c r="J729" s="138">
        <f>IFERROR(__xludf.DUMMYFUNCTION("""COMPUTED_VALUE"""),4.0)</f>
        <v>4</v>
      </c>
      <c r="K729" s="138">
        <f>IFERROR(__xludf.DUMMYFUNCTION("""COMPUTED_VALUE"""),4.0)</f>
        <v>4</v>
      </c>
      <c r="L729" s="138">
        <v>28.0</v>
      </c>
      <c r="M729" s="140" t="str">
        <f>VLOOKUP(text(D729, "#"),'Master Table'!$A:$F, 6, FALSE)</f>
        <v>F-3</v>
      </c>
      <c r="N729" s="141" t="str">
        <f>IFERROR(__xludf.DUMMYFUNCTION("""COMPUTED_VALUE"""),"Presenters worked well together to share the information with the audience.  Interest in a very valuable project need was well communicated ")</f>
        <v>Presenters worked well together to share the information with the audience.  Interest in a very valuable project need was well communicated </v>
      </c>
      <c r="O729" s="142" t="str">
        <f t="shared" si="1"/>
        <v/>
      </c>
      <c r="P729" s="143" t="str">
        <f>IF(ISNA(VLOOKUP(CONCAT(M729,C729), 'Judge Count DO NOT EDIT'!H:H, 1, FALSE)), "ERROR","")</f>
        <v/>
      </c>
      <c r="Q729" s="141"/>
      <c r="R729" s="143"/>
      <c r="S729" s="139" t="str">
        <f t="shared" si="2"/>
        <v>1028336</v>
      </c>
      <c r="T729" s="141"/>
    </row>
    <row r="730">
      <c r="A730" s="137">
        <f>IFERROR(__xludf.DUMMYFUNCTION("""COMPUTED_VALUE"""),45352.4453075)</f>
        <v>45352.44531</v>
      </c>
      <c r="B730" s="138" t="str">
        <f>IFERROR(__xludf.DUMMYFUNCTION("""COMPUTED_VALUE"""),"tiantian chen")</f>
        <v>tiantian chen</v>
      </c>
      <c r="C730" s="138">
        <f>IFERROR(__xludf.DUMMYFUNCTION("""COMPUTED_VALUE"""),1224.0)</f>
        <v>1224</v>
      </c>
      <c r="D730" s="139">
        <f>IFERROR(__xludf.DUMMYFUNCTION("""COMPUTED_VALUE"""),336.0)</f>
        <v>336</v>
      </c>
      <c r="E730" s="138">
        <f>IFERROR(__xludf.DUMMYFUNCTION("""COMPUTED_VALUE"""),4.0)</f>
        <v>4</v>
      </c>
      <c r="F730" s="138">
        <f>IFERROR(__xludf.DUMMYFUNCTION("""COMPUTED_VALUE"""),4.0)</f>
        <v>4</v>
      </c>
      <c r="G730" s="138">
        <f>IFERROR(__xludf.DUMMYFUNCTION("""COMPUTED_VALUE"""),5.0)</f>
        <v>5</v>
      </c>
      <c r="H730" s="138">
        <f>IFERROR(__xludf.DUMMYFUNCTION("""COMPUTED_VALUE"""),5.0)</f>
        <v>5</v>
      </c>
      <c r="I730" s="138">
        <f>IFERROR(__xludf.DUMMYFUNCTION("""COMPUTED_VALUE"""),5.0)</f>
        <v>5</v>
      </c>
      <c r="J730" s="138">
        <f>IFERROR(__xludf.DUMMYFUNCTION("""COMPUTED_VALUE"""),4.0)</f>
        <v>4</v>
      </c>
      <c r="K730" s="138">
        <f>IFERROR(__xludf.DUMMYFUNCTION("""COMPUTED_VALUE"""),4.0)</f>
        <v>4</v>
      </c>
      <c r="L730" s="138">
        <v>31.0</v>
      </c>
      <c r="M730" s="140" t="str">
        <f>VLOOKUP(text(D730, "#"),'Master Table'!$A:$F, 6, FALSE)</f>
        <v>F-3</v>
      </c>
      <c r="N730" s="141"/>
      <c r="O730" s="142" t="str">
        <f t="shared" si="1"/>
        <v/>
      </c>
      <c r="P730" s="143" t="str">
        <f>IF(ISNA(VLOOKUP(CONCAT(M730,C730), 'Judge Count DO NOT EDIT'!H:H, 1, FALSE)), "ERROR","")</f>
        <v/>
      </c>
      <c r="Q730" s="141"/>
      <c r="R730" s="143"/>
      <c r="S730" s="139" t="str">
        <f t="shared" si="2"/>
        <v>1224336</v>
      </c>
      <c r="T730" s="141"/>
    </row>
    <row r="731">
      <c r="A731" s="137">
        <f>IFERROR(__xludf.DUMMYFUNCTION("""COMPUTED_VALUE"""),45352.44916354166)</f>
        <v>45352.44916</v>
      </c>
      <c r="B731" s="138" t="str">
        <f>IFERROR(__xludf.DUMMYFUNCTION("""COMPUTED_VALUE"""),"Tom Huxford")</f>
        <v>Tom Huxford</v>
      </c>
      <c r="C731" s="138">
        <f>IFERROR(__xludf.DUMMYFUNCTION("""COMPUTED_VALUE"""),1056.0)</f>
        <v>1056</v>
      </c>
      <c r="D731" s="139">
        <f>IFERROR(__xludf.DUMMYFUNCTION("""COMPUTED_VALUE"""),336.0)</f>
        <v>336</v>
      </c>
      <c r="E731" s="138">
        <f>IFERROR(__xludf.DUMMYFUNCTION("""COMPUTED_VALUE"""),4.0)</f>
        <v>4</v>
      </c>
      <c r="F731" s="138">
        <f>IFERROR(__xludf.DUMMYFUNCTION("""COMPUTED_VALUE"""),4.0)</f>
        <v>4</v>
      </c>
      <c r="G731" s="138">
        <f>IFERROR(__xludf.DUMMYFUNCTION("""COMPUTED_VALUE"""),4.0)</f>
        <v>4</v>
      </c>
      <c r="H731" s="138">
        <f>IFERROR(__xludf.DUMMYFUNCTION("""COMPUTED_VALUE"""),5.0)</f>
        <v>5</v>
      </c>
      <c r="I731" s="138">
        <f>IFERROR(__xludf.DUMMYFUNCTION("""COMPUTED_VALUE"""),5.0)</f>
        <v>5</v>
      </c>
      <c r="J731" s="138">
        <f>IFERROR(__xludf.DUMMYFUNCTION("""COMPUTED_VALUE"""),5.0)</f>
        <v>5</v>
      </c>
      <c r="K731" s="138">
        <f>IFERROR(__xludf.DUMMYFUNCTION("""COMPUTED_VALUE"""),5.0)</f>
        <v>5</v>
      </c>
      <c r="L731" s="138">
        <v>32.0</v>
      </c>
      <c r="M731" s="140" t="str">
        <f>VLOOKUP(text(D731, "#"),'Master Table'!$A:$F, 6, FALSE)</f>
        <v>F-3</v>
      </c>
      <c r="N731" s="141" t="str">
        <f>IFERROR(__xludf.DUMMYFUNCTION("""COMPUTED_VALUE"""),"Really nice job putting context to a relatively simple experiment.  Great job answering questions and thinking about the bigger picture, alternative explanations, and even potential evolutionary biology.  Good work!")</f>
        <v>Really nice job putting context to a relatively simple experiment.  Great job answering questions and thinking about the bigger picture, alternative explanations, and even potential evolutionary biology.  Good work!</v>
      </c>
      <c r="O731" s="142" t="str">
        <f t="shared" si="1"/>
        <v/>
      </c>
      <c r="P731" s="143" t="str">
        <f>IF(ISNA(VLOOKUP(CONCAT(M731,C731), 'Judge Count DO NOT EDIT'!H:H, 1, FALSE)), "ERROR","")</f>
        <v/>
      </c>
      <c r="Q731" s="141"/>
      <c r="R731" s="143"/>
      <c r="S731" s="139" t="str">
        <f t="shared" si="2"/>
        <v>1056336</v>
      </c>
      <c r="T731" s="141"/>
    </row>
    <row r="732">
      <c r="A732" s="137">
        <f>IFERROR(__xludf.DUMMYFUNCTION("""COMPUTED_VALUE"""),45352.39476386574)</f>
        <v>45352.39476</v>
      </c>
      <c r="B732" s="138" t="str">
        <f>IFERROR(__xludf.DUMMYFUNCTION("""COMPUTED_VALUE"""),"Dan Sousa")</f>
        <v>Dan Sousa</v>
      </c>
      <c r="C732" s="138">
        <f>IFERROR(__xludf.DUMMYFUNCTION("""COMPUTED_VALUE"""),1151.0)</f>
        <v>1151</v>
      </c>
      <c r="D732" s="139">
        <f>IFERROR(__xludf.DUMMYFUNCTION("""COMPUTED_VALUE"""),337.0)</f>
        <v>337</v>
      </c>
      <c r="E732" s="138">
        <f>IFERROR(__xludf.DUMMYFUNCTION("""COMPUTED_VALUE"""),4.0)</f>
        <v>4</v>
      </c>
      <c r="F732" s="138">
        <f>IFERROR(__xludf.DUMMYFUNCTION("""COMPUTED_VALUE"""),4.0)</f>
        <v>4</v>
      </c>
      <c r="G732" s="138">
        <f>IFERROR(__xludf.DUMMYFUNCTION("""COMPUTED_VALUE"""),4.0)</f>
        <v>4</v>
      </c>
      <c r="H732" s="138">
        <f>IFERROR(__xludf.DUMMYFUNCTION("""COMPUTED_VALUE"""),5.0)</f>
        <v>5</v>
      </c>
      <c r="I732" s="138">
        <f>IFERROR(__xludf.DUMMYFUNCTION("""COMPUTED_VALUE"""),4.0)</f>
        <v>4</v>
      </c>
      <c r="J732" s="138">
        <f>IFERROR(__xludf.DUMMYFUNCTION("""COMPUTED_VALUE"""),5.0)</f>
        <v>5</v>
      </c>
      <c r="K732" s="138">
        <f>IFERROR(__xludf.DUMMYFUNCTION("""COMPUTED_VALUE"""),5.0)</f>
        <v>5</v>
      </c>
      <c r="L732" s="138">
        <v>31.0</v>
      </c>
      <c r="M732" s="140" t="str">
        <f>VLOOKUP(text(D732, "#"),'Master Table'!$A:$F, 6, FALSE)</f>
        <v>F-3</v>
      </c>
      <c r="N732" s="141" t="str">
        <f>IFERROR(__xludf.DUMMYFUNCTION("""COMPUTED_VALUE"""),"Really good job! Clearly a ton of work. Main suggestion would be a bit more refinement of the hypothesis. Compelling stories about the power outage!")</f>
        <v>Really good job! Clearly a ton of work. Main suggestion would be a bit more refinement of the hypothesis. Compelling stories about the power outage!</v>
      </c>
      <c r="O732" s="142" t="str">
        <f t="shared" si="1"/>
        <v/>
      </c>
      <c r="P732" s="143" t="str">
        <f>IF(ISNA(VLOOKUP(CONCAT(M732,C732), 'Judge Count DO NOT EDIT'!H:H, 1, FALSE)), "ERROR","")</f>
        <v/>
      </c>
      <c r="Q732" s="141"/>
      <c r="R732" s="143"/>
      <c r="S732" s="139" t="str">
        <f t="shared" si="2"/>
        <v>1151337</v>
      </c>
      <c r="T732" s="141"/>
    </row>
    <row r="733">
      <c r="A733" s="137">
        <f>IFERROR(__xludf.DUMMYFUNCTION("""COMPUTED_VALUE"""),45352.433047025464)</f>
        <v>45352.43305</v>
      </c>
      <c r="B733" s="138" t="str">
        <f>IFERROR(__xludf.DUMMYFUNCTION("""COMPUTED_VALUE"""),"Kelly Ross")</f>
        <v>Kelly Ross</v>
      </c>
      <c r="C733" s="138">
        <f>IFERROR(__xludf.DUMMYFUNCTION("""COMPUTED_VALUE"""),1046.0)</f>
        <v>1046</v>
      </c>
      <c r="D733" s="139">
        <f>IFERROR(__xludf.DUMMYFUNCTION("""COMPUTED_VALUE"""),337.0)</f>
        <v>337</v>
      </c>
      <c r="E733" s="138">
        <f>IFERROR(__xludf.DUMMYFUNCTION("""COMPUTED_VALUE"""),3.0)</f>
        <v>3</v>
      </c>
      <c r="F733" s="138">
        <f>IFERROR(__xludf.DUMMYFUNCTION("""COMPUTED_VALUE"""),4.0)</f>
        <v>4</v>
      </c>
      <c r="G733" s="138">
        <f>IFERROR(__xludf.DUMMYFUNCTION("""COMPUTED_VALUE"""),4.0)</f>
        <v>4</v>
      </c>
      <c r="H733" s="138">
        <f>IFERROR(__xludf.DUMMYFUNCTION("""COMPUTED_VALUE"""),3.0)</f>
        <v>3</v>
      </c>
      <c r="I733" s="138">
        <f>IFERROR(__xludf.DUMMYFUNCTION("""COMPUTED_VALUE"""),3.0)</f>
        <v>3</v>
      </c>
      <c r="J733" s="138">
        <f>IFERROR(__xludf.DUMMYFUNCTION("""COMPUTED_VALUE"""),3.0)</f>
        <v>3</v>
      </c>
      <c r="K733" s="138">
        <f>IFERROR(__xludf.DUMMYFUNCTION("""COMPUTED_VALUE"""),3.0)</f>
        <v>3</v>
      </c>
      <c r="L733" s="138">
        <v>23.0</v>
      </c>
      <c r="M733" s="140" t="str">
        <f>VLOOKUP(text(D733, "#"),'Master Table'!$A:$F, 6, FALSE)</f>
        <v>F-3</v>
      </c>
      <c r="N733" s="141" t="str">
        <f>IFERROR(__xludf.DUMMYFUNCTION("""COMPUTED_VALUE"""),"Cool project. Great microscopy work. It would be helpful in the future to have more background and to have an idea of the future impact of the work.")</f>
        <v>Cool project. Great microscopy work. It would be helpful in the future to have more background and to have an idea of the future impact of the work.</v>
      </c>
      <c r="O733" s="142" t="str">
        <f t="shared" si="1"/>
        <v/>
      </c>
      <c r="P733" s="143" t="str">
        <f>IF(ISNA(VLOOKUP(CONCAT(M733,C733), 'Judge Count DO NOT EDIT'!H:H, 1, FALSE)), "ERROR","")</f>
        <v/>
      </c>
      <c r="Q733" s="141"/>
      <c r="R733" s="143"/>
      <c r="S733" s="139" t="str">
        <f t="shared" si="2"/>
        <v>1046337</v>
      </c>
      <c r="T733" s="141"/>
    </row>
    <row r="734">
      <c r="A734" s="137">
        <f>IFERROR(__xludf.DUMMYFUNCTION("""COMPUTED_VALUE"""),45352.44580043982)</f>
        <v>45352.4458</v>
      </c>
      <c r="B734" s="138" t="str">
        <f>IFERROR(__xludf.DUMMYFUNCTION("""COMPUTED_VALUE"""),"tiantian chen")</f>
        <v>tiantian chen</v>
      </c>
      <c r="C734" s="138">
        <f>IFERROR(__xludf.DUMMYFUNCTION("""COMPUTED_VALUE"""),1224.0)</f>
        <v>1224</v>
      </c>
      <c r="D734" s="139">
        <f>IFERROR(__xludf.DUMMYFUNCTION("""COMPUTED_VALUE"""),337.0)</f>
        <v>337</v>
      </c>
      <c r="E734" s="138">
        <f>IFERROR(__xludf.DUMMYFUNCTION("""COMPUTED_VALUE"""),4.0)</f>
        <v>4</v>
      </c>
      <c r="F734" s="138">
        <f>IFERROR(__xludf.DUMMYFUNCTION("""COMPUTED_VALUE"""),5.0)</f>
        <v>5</v>
      </c>
      <c r="G734" s="138">
        <f>IFERROR(__xludf.DUMMYFUNCTION("""COMPUTED_VALUE"""),5.0)</f>
        <v>5</v>
      </c>
      <c r="H734" s="138">
        <f>IFERROR(__xludf.DUMMYFUNCTION("""COMPUTED_VALUE"""),5.0)</f>
        <v>5</v>
      </c>
      <c r="I734" s="138">
        <f>IFERROR(__xludf.DUMMYFUNCTION("""COMPUTED_VALUE"""),4.0)</f>
        <v>4</v>
      </c>
      <c r="J734" s="138">
        <f>IFERROR(__xludf.DUMMYFUNCTION("""COMPUTED_VALUE"""),4.0)</f>
        <v>4</v>
      </c>
      <c r="K734" s="138">
        <f>IFERROR(__xludf.DUMMYFUNCTION("""COMPUTED_VALUE"""),4.0)</f>
        <v>4</v>
      </c>
      <c r="L734" s="138">
        <v>31.0</v>
      </c>
      <c r="M734" s="140" t="str">
        <f>VLOOKUP(text(D734, "#"),'Master Table'!$A:$F, 6, FALSE)</f>
        <v>F-3</v>
      </c>
      <c r="N734" s="141"/>
      <c r="O734" s="142" t="str">
        <f t="shared" si="1"/>
        <v/>
      </c>
      <c r="P734" s="143" t="str">
        <f>IF(ISNA(VLOOKUP(CONCAT(M734,C734), 'Judge Count DO NOT EDIT'!H:H, 1, FALSE)), "ERROR","")</f>
        <v/>
      </c>
      <c r="Q734" s="141"/>
      <c r="R734" s="143"/>
      <c r="S734" s="139" t="str">
        <f t="shared" si="2"/>
        <v>1224337</v>
      </c>
      <c r="T734" s="141"/>
    </row>
    <row r="735">
      <c r="A735" s="137">
        <f>IFERROR(__xludf.DUMMYFUNCTION("""COMPUTED_VALUE"""),45352.44665618056)</f>
        <v>45352.44666</v>
      </c>
      <c r="B735" s="138" t="str">
        <f>IFERROR(__xludf.DUMMYFUNCTION("""COMPUTED_VALUE"""),"Rick Sayen")</f>
        <v>Rick Sayen</v>
      </c>
      <c r="C735" s="138">
        <f>IFERROR(__xludf.DUMMYFUNCTION("""COMPUTED_VALUE"""),1028.0)</f>
        <v>1028</v>
      </c>
      <c r="D735" s="139">
        <f>IFERROR(__xludf.DUMMYFUNCTION("""COMPUTED_VALUE"""),337.0)</f>
        <v>337</v>
      </c>
      <c r="E735" s="138">
        <f>IFERROR(__xludf.DUMMYFUNCTION("""COMPUTED_VALUE"""),4.0)</f>
        <v>4</v>
      </c>
      <c r="F735" s="138">
        <f>IFERROR(__xludf.DUMMYFUNCTION("""COMPUTED_VALUE"""),4.0)</f>
        <v>4</v>
      </c>
      <c r="G735" s="138">
        <f>IFERROR(__xludf.DUMMYFUNCTION("""COMPUTED_VALUE"""),3.0)</f>
        <v>3</v>
      </c>
      <c r="H735" s="138">
        <f>IFERROR(__xludf.DUMMYFUNCTION("""COMPUTED_VALUE"""),4.0)</f>
        <v>4</v>
      </c>
      <c r="I735" s="138">
        <f>IFERROR(__xludf.DUMMYFUNCTION("""COMPUTED_VALUE"""),3.0)</f>
        <v>3</v>
      </c>
      <c r="J735" s="138">
        <f>IFERROR(__xludf.DUMMYFUNCTION("""COMPUTED_VALUE"""),3.0)</f>
        <v>3</v>
      </c>
      <c r="K735" s="138">
        <f>IFERROR(__xludf.DUMMYFUNCTION("""COMPUTED_VALUE"""),3.0)</f>
        <v>3</v>
      </c>
      <c r="L735" s="138">
        <v>24.0</v>
      </c>
      <c r="M735" s="140" t="str">
        <f>VLOOKUP(text(D735, "#"),'Master Table'!$A:$F, 6, FALSE)</f>
        <v>F-3</v>
      </c>
      <c r="N735" s="141" t="str">
        <f>IFERROR(__xludf.DUMMYFUNCTION("""COMPUTED_VALUE"""),"Presenter was excited about the technical aspects of the EM.  Expansion on future goals or direction of the studies would have been valuable ")</f>
        <v>Presenter was excited about the technical aspects of the EM.  Expansion on future goals or direction of the studies would have been valuable </v>
      </c>
      <c r="O735" s="142" t="str">
        <f t="shared" si="1"/>
        <v/>
      </c>
      <c r="P735" s="143" t="str">
        <f>IF(ISNA(VLOOKUP(CONCAT(M735,C735), 'Judge Count DO NOT EDIT'!H:H, 1, FALSE)), "ERROR","")</f>
        <v/>
      </c>
      <c r="Q735" s="141"/>
      <c r="R735" s="143"/>
      <c r="S735" s="139" t="str">
        <f t="shared" si="2"/>
        <v>1028337</v>
      </c>
      <c r="T735" s="141"/>
    </row>
    <row r="736">
      <c r="A736" s="137">
        <f>IFERROR(__xludf.DUMMYFUNCTION("""COMPUTED_VALUE"""),45352.45088048611)</f>
        <v>45352.45088</v>
      </c>
      <c r="B736" s="138" t="str">
        <f>IFERROR(__xludf.DUMMYFUNCTION("""COMPUTED_VALUE"""),"Tom Huxford")</f>
        <v>Tom Huxford</v>
      </c>
      <c r="C736" s="138">
        <f>IFERROR(__xludf.DUMMYFUNCTION("""COMPUTED_VALUE"""),1056.0)</f>
        <v>1056</v>
      </c>
      <c r="D736" s="139">
        <f>IFERROR(__xludf.DUMMYFUNCTION("""COMPUTED_VALUE"""),337.0)</f>
        <v>337</v>
      </c>
      <c r="E736" s="138">
        <f>IFERROR(__xludf.DUMMYFUNCTION("""COMPUTED_VALUE"""),3.0)</f>
        <v>3</v>
      </c>
      <c r="F736" s="138">
        <f>IFERROR(__xludf.DUMMYFUNCTION("""COMPUTED_VALUE"""),3.0)</f>
        <v>3</v>
      </c>
      <c r="G736" s="138">
        <f>IFERROR(__xludf.DUMMYFUNCTION("""COMPUTED_VALUE"""),3.0)</f>
        <v>3</v>
      </c>
      <c r="H736" s="138">
        <f>IFERROR(__xludf.DUMMYFUNCTION("""COMPUTED_VALUE"""),5.0)</f>
        <v>5</v>
      </c>
      <c r="I736" s="138">
        <f>IFERROR(__xludf.DUMMYFUNCTION("""COMPUTED_VALUE"""),4.0)</f>
        <v>4</v>
      </c>
      <c r="J736" s="138">
        <f>IFERROR(__xludf.DUMMYFUNCTION("""COMPUTED_VALUE"""),4.0)</f>
        <v>4</v>
      </c>
      <c r="K736" s="138">
        <f>IFERROR(__xludf.DUMMYFUNCTION("""COMPUTED_VALUE"""),4.0)</f>
        <v>4</v>
      </c>
      <c r="L736" s="138">
        <v>26.0</v>
      </c>
      <c r="M736" s="140" t="str">
        <f>VLOOKUP(text(D736, "#"),'Master Table'!$A:$F, 6, FALSE)</f>
        <v>F-3</v>
      </c>
      <c r="N736" s="141" t="str">
        <f>IFERROR(__xludf.DUMMYFUNCTION("""COMPUTED_VALUE"""),"Just beautiful SEM images!  Great job!  Now is the time to begin thinking about how to turn these images into as many carefully, quantitative measures as are likely to help frame hypotheses that can be tested by controlled experiment.  This is where disco"&amp;"veries come from and, with your excellent SEM technical abilities, you are well on track.")</f>
        <v>Just beautiful SEM images!  Great job!  Now is the time to begin thinking about how to turn these images into as many carefully, quantitative measures as are likely to help frame hypotheses that can be tested by controlled experiment.  This is where discoveries come from and, with your excellent SEM technical abilities, you are well on track.</v>
      </c>
      <c r="O736" s="142" t="str">
        <f t="shared" si="1"/>
        <v/>
      </c>
      <c r="P736" s="143" t="str">
        <f>IF(ISNA(VLOOKUP(CONCAT(M736,C736), 'Judge Count DO NOT EDIT'!H:H, 1, FALSE)), "ERROR","")</f>
        <v/>
      </c>
      <c r="Q736" s="141"/>
      <c r="R736" s="143"/>
      <c r="S736" s="139" t="str">
        <f t="shared" si="2"/>
        <v>1056337</v>
      </c>
      <c r="T736" s="141"/>
    </row>
    <row r="737">
      <c r="A737" s="137">
        <f>IFERROR(__xludf.DUMMYFUNCTION("""COMPUTED_VALUE"""),45352.41394597222)</f>
        <v>45352.41395</v>
      </c>
      <c r="B737" s="138" t="str">
        <f>IFERROR(__xludf.DUMMYFUNCTION("""COMPUTED_VALUE"""),"Dan Sousa")</f>
        <v>Dan Sousa</v>
      </c>
      <c r="C737" s="138">
        <f>IFERROR(__xludf.DUMMYFUNCTION("""COMPUTED_VALUE"""),1151.0)</f>
        <v>1151</v>
      </c>
      <c r="D737" s="139">
        <f>IFERROR(__xludf.DUMMYFUNCTION("""COMPUTED_VALUE"""),338.0)</f>
        <v>338</v>
      </c>
      <c r="E737" s="138">
        <f>IFERROR(__xludf.DUMMYFUNCTION("""COMPUTED_VALUE"""),4.0)</f>
        <v>4</v>
      </c>
      <c r="F737" s="138">
        <f>IFERROR(__xludf.DUMMYFUNCTION("""COMPUTED_VALUE"""),4.0)</f>
        <v>4</v>
      </c>
      <c r="G737" s="138">
        <f>IFERROR(__xludf.DUMMYFUNCTION("""COMPUTED_VALUE"""),5.0)</f>
        <v>5</v>
      </c>
      <c r="H737" s="138">
        <f>IFERROR(__xludf.DUMMYFUNCTION("""COMPUTED_VALUE"""),5.0)</f>
        <v>5</v>
      </c>
      <c r="I737" s="138">
        <f>IFERROR(__xludf.DUMMYFUNCTION("""COMPUTED_VALUE"""),5.0)</f>
        <v>5</v>
      </c>
      <c r="J737" s="138">
        <f>IFERROR(__xludf.DUMMYFUNCTION("""COMPUTED_VALUE"""),5.0)</f>
        <v>5</v>
      </c>
      <c r="K737" s="138">
        <f>IFERROR(__xludf.DUMMYFUNCTION("""COMPUTED_VALUE"""),5.0)</f>
        <v>5</v>
      </c>
      <c r="L737" s="138">
        <v>33.0</v>
      </c>
      <c r="M737" s="140" t="str">
        <f>VLOOKUP(text(D737, "#"),'Master Table'!$A:$F, 6, FALSE)</f>
        <v>F-3</v>
      </c>
      <c r="N737" s="141" t="str">
        <f>IFERROR(__xludf.DUMMYFUNCTION("""COMPUTED_VALUE"""),"Excellent job! Really cool work. Crazy story about cells bleeding. Only minor suggestion is to make the font smaller and images larger - some of the pictures were cool, but a little hard to see. ")</f>
        <v>Excellent job! Really cool work. Crazy story about cells bleeding. Only minor suggestion is to make the font smaller and images larger - some of the pictures were cool, but a little hard to see. </v>
      </c>
      <c r="O737" s="142" t="str">
        <f t="shared" si="1"/>
        <v/>
      </c>
      <c r="P737" s="143" t="str">
        <f>IF(ISNA(VLOOKUP(CONCAT(M737,C737), 'Judge Count DO NOT EDIT'!H:H, 1, FALSE)), "ERROR","")</f>
        <v/>
      </c>
      <c r="Q737" s="141"/>
      <c r="R737" s="143"/>
      <c r="S737" s="139" t="str">
        <f t="shared" si="2"/>
        <v>1151338</v>
      </c>
      <c r="T737" s="141"/>
    </row>
    <row r="738">
      <c r="A738" s="137">
        <f>IFERROR(__xludf.DUMMYFUNCTION("""COMPUTED_VALUE"""),45352.435226875)</f>
        <v>45352.43523</v>
      </c>
      <c r="B738" s="138" t="str">
        <f>IFERROR(__xludf.DUMMYFUNCTION("""COMPUTED_VALUE"""),"Kelly Ross")</f>
        <v>Kelly Ross</v>
      </c>
      <c r="C738" s="138">
        <f>IFERROR(__xludf.DUMMYFUNCTION("""COMPUTED_VALUE"""),1046.0)</f>
        <v>1046</v>
      </c>
      <c r="D738" s="139">
        <f>IFERROR(__xludf.DUMMYFUNCTION("""COMPUTED_VALUE"""),338.0)</f>
        <v>338</v>
      </c>
      <c r="E738" s="138">
        <f>IFERROR(__xludf.DUMMYFUNCTION("""COMPUTED_VALUE"""),4.0)</f>
        <v>4</v>
      </c>
      <c r="F738" s="138">
        <f>IFERROR(__xludf.DUMMYFUNCTION("""COMPUTED_VALUE"""),3.0)</f>
        <v>3</v>
      </c>
      <c r="G738" s="138">
        <f>IFERROR(__xludf.DUMMYFUNCTION("""COMPUTED_VALUE"""),5.0)</f>
        <v>5</v>
      </c>
      <c r="H738" s="138">
        <f>IFERROR(__xludf.DUMMYFUNCTION("""COMPUTED_VALUE"""),4.0)</f>
        <v>4</v>
      </c>
      <c r="I738" s="138">
        <f>IFERROR(__xludf.DUMMYFUNCTION("""COMPUTED_VALUE"""),3.0)</f>
        <v>3</v>
      </c>
      <c r="J738" s="138">
        <f>IFERROR(__xludf.DUMMYFUNCTION("""COMPUTED_VALUE"""),3.0)</f>
        <v>3</v>
      </c>
      <c r="K738" s="138">
        <f>IFERROR(__xludf.DUMMYFUNCTION("""COMPUTED_VALUE"""),3.0)</f>
        <v>3</v>
      </c>
      <c r="L738" s="138">
        <v>25.0</v>
      </c>
      <c r="M738" s="140" t="str">
        <f>VLOOKUP(text(D738, "#"),'Master Table'!$A:$F, 6, FALSE)</f>
        <v>F-3</v>
      </c>
      <c r="N738" s="141" t="str">
        <f>IFERROR(__xludf.DUMMYFUNCTION("""COMPUTED_VALUE"""),"Fantastic issue to work on. Student has a good grasp of significance of work and is enthusiastic. Student needs to brush up on background knowledge of some simple basics of the genes they are discussing and how that impacts the work they are doing.")</f>
        <v>Fantastic issue to work on. Student has a good grasp of significance of work and is enthusiastic. Student needs to brush up on background knowledge of some simple basics of the genes they are discussing and how that impacts the work they are doing.</v>
      </c>
      <c r="O738" s="142" t="str">
        <f t="shared" si="1"/>
        <v/>
      </c>
      <c r="P738" s="143" t="str">
        <f>IF(ISNA(VLOOKUP(CONCAT(M738,C738), 'Judge Count DO NOT EDIT'!H:H, 1, FALSE)), "ERROR","")</f>
        <v/>
      </c>
      <c r="Q738" s="141"/>
      <c r="R738" s="143"/>
      <c r="S738" s="139" t="str">
        <f t="shared" si="2"/>
        <v>1046338</v>
      </c>
      <c r="T738" s="141"/>
    </row>
    <row r="739">
      <c r="A739" s="137">
        <f>IFERROR(__xludf.DUMMYFUNCTION("""COMPUTED_VALUE"""),45352.44644673611)</f>
        <v>45352.44645</v>
      </c>
      <c r="B739" s="138" t="str">
        <f>IFERROR(__xludf.DUMMYFUNCTION("""COMPUTED_VALUE"""),"tiantian chen")</f>
        <v>tiantian chen</v>
      </c>
      <c r="C739" s="138">
        <f>IFERROR(__xludf.DUMMYFUNCTION("""COMPUTED_VALUE"""),1224.0)</f>
        <v>1224</v>
      </c>
      <c r="D739" s="139">
        <f>IFERROR(__xludf.DUMMYFUNCTION("""COMPUTED_VALUE"""),338.0)</f>
        <v>338</v>
      </c>
      <c r="E739" s="138">
        <f>IFERROR(__xludf.DUMMYFUNCTION("""COMPUTED_VALUE"""),5.0)</f>
        <v>5</v>
      </c>
      <c r="F739" s="138">
        <f>IFERROR(__xludf.DUMMYFUNCTION("""COMPUTED_VALUE"""),4.0)</f>
        <v>4</v>
      </c>
      <c r="G739" s="138">
        <f>IFERROR(__xludf.DUMMYFUNCTION("""COMPUTED_VALUE"""),5.0)</f>
        <v>5</v>
      </c>
      <c r="H739" s="138">
        <f>IFERROR(__xludf.DUMMYFUNCTION("""COMPUTED_VALUE"""),4.0)</f>
        <v>4</v>
      </c>
      <c r="I739" s="138">
        <f>IFERROR(__xludf.DUMMYFUNCTION("""COMPUTED_VALUE"""),5.0)</f>
        <v>5</v>
      </c>
      <c r="J739" s="138">
        <f>IFERROR(__xludf.DUMMYFUNCTION("""COMPUTED_VALUE"""),4.0)</f>
        <v>4</v>
      </c>
      <c r="K739" s="138">
        <f>IFERROR(__xludf.DUMMYFUNCTION("""COMPUTED_VALUE"""),5.0)</f>
        <v>5</v>
      </c>
      <c r="L739" s="138">
        <v>32.0</v>
      </c>
      <c r="M739" s="140" t="str">
        <f>VLOOKUP(text(D739, "#"),'Master Table'!$A:$F, 6, FALSE)</f>
        <v>F-3</v>
      </c>
      <c r="N739" s="141"/>
      <c r="O739" s="142" t="str">
        <f t="shared" si="1"/>
        <v/>
      </c>
      <c r="P739" s="143" t="str">
        <f>IF(ISNA(VLOOKUP(CONCAT(M739,C739), 'Judge Count DO NOT EDIT'!H:H, 1, FALSE)), "ERROR","")</f>
        <v/>
      </c>
      <c r="Q739" s="141"/>
      <c r="R739" s="143"/>
      <c r="S739" s="139" t="str">
        <f t="shared" si="2"/>
        <v>1224338</v>
      </c>
      <c r="T739" s="141"/>
    </row>
    <row r="740">
      <c r="A740" s="137">
        <f>IFERROR(__xludf.DUMMYFUNCTION("""COMPUTED_VALUE"""),45352.44882671296)</f>
        <v>45352.44883</v>
      </c>
      <c r="B740" s="138" t="str">
        <f>IFERROR(__xludf.DUMMYFUNCTION("""COMPUTED_VALUE"""),"Rick Sayen ")</f>
        <v>Rick Sayen </v>
      </c>
      <c r="C740" s="138">
        <f>IFERROR(__xludf.DUMMYFUNCTION("""COMPUTED_VALUE"""),1028.0)</f>
        <v>1028</v>
      </c>
      <c r="D740" s="139">
        <f>IFERROR(__xludf.DUMMYFUNCTION("""COMPUTED_VALUE"""),338.0)</f>
        <v>338</v>
      </c>
      <c r="E740" s="138">
        <f>IFERROR(__xludf.DUMMYFUNCTION("""COMPUTED_VALUE"""),5.0)</f>
        <v>5</v>
      </c>
      <c r="F740" s="138">
        <f>IFERROR(__xludf.DUMMYFUNCTION("""COMPUTED_VALUE"""),4.0)</f>
        <v>4</v>
      </c>
      <c r="G740" s="138">
        <f>IFERROR(__xludf.DUMMYFUNCTION("""COMPUTED_VALUE"""),5.0)</f>
        <v>5</v>
      </c>
      <c r="H740" s="138">
        <f>IFERROR(__xludf.DUMMYFUNCTION("""COMPUTED_VALUE"""),4.0)</f>
        <v>4</v>
      </c>
      <c r="I740" s="138">
        <f>IFERROR(__xludf.DUMMYFUNCTION("""COMPUTED_VALUE"""),5.0)</f>
        <v>5</v>
      </c>
      <c r="J740" s="138">
        <f>IFERROR(__xludf.DUMMYFUNCTION("""COMPUTED_VALUE"""),4.0)</f>
        <v>4</v>
      </c>
      <c r="K740" s="138">
        <f>IFERROR(__xludf.DUMMYFUNCTION("""COMPUTED_VALUE"""),4.0)</f>
        <v>4</v>
      </c>
      <c r="L740" s="138">
        <v>31.0</v>
      </c>
      <c r="M740" s="140" t="str">
        <f>VLOOKUP(text(D740, "#"),'Master Table'!$A:$F, 6, FALSE)</f>
        <v>F-3</v>
      </c>
      <c r="N740" s="141" t="str">
        <f>IFERROR(__xludf.DUMMYFUNCTION("""COMPUTED_VALUE"""),"Enthusiasm and significance of the project was evident.  Motivation was reinforced by brief personal story.")</f>
        <v>Enthusiasm and significance of the project was evident.  Motivation was reinforced by brief personal story.</v>
      </c>
      <c r="O740" s="142" t="str">
        <f t="shared" si="1"/>
        <v/>
      </c>
      <c r="P740" s="143" t="str">
        <f>IF(ISNA(VLOOKUP(CONCAT(M740,C740), 'Judge Count DO NOT EDIT'!H:H, 1, FALSE)), "ERROR","")</f>
        <v/>
      </c>
      <c r="Q740" s="141"/>
      <c r="R740" s="143"/>
      <c r="S740" s="139" t="str">
        <f t="shared" si="2"/>
        <v>1028338</v>
      </c>
      <c r="T740" s="141"/>
    </row>
    <row r="741">
      <c r="A741" s="137">
        <f>IFERROR(__xludf.DUMMYFUNCTION("""COMPUTED_VALUE"""),45352.453488217594)</f>
        <v>45352.45349</v>
      </c>
      <c r="B741" s="138" t="str">
        <f>IFERROR(__xludf.DUMMYFUNCTION("""COMPUTED_VALUE"""),"Tom Huxford")</f>
        <v>Tom Huxford</v>
      </c>
      <c r="C741" s="138">
        <f>IFERROR(__xludf.DUMMYFUNCTION("""COMPUTED_VALUE"""),1056.0)</f>
        <v>1056</v>
      </c>
      <c r="D741" s="139">
        <f>IFERROR(__xludf.DUMMYFUNCTION("""COMPUTED_VALUE"""),338.0)</f>
        <v>338</v>
      </c>
      <c r="E741" s="138">
        <f>IFERROR(__xludf.DUMMYFUNCTION("""COMPUTED_VALUE"""),4.0)</f>
        <v>4</v>
      </c>
      <c r="F741" s="138">
        <f>IFERROR(__xludf.DUMMYFUNCTION("""COMPUTED_VALUE"""),4.0)</f>
        <v>4</v>
      </c>
      <c r="G741" s="138">
        <f>IFERROR(__xludf.DUMMYFUNCTION("""COMPUTED_VALUE"""),5.0)</f>
        <v>5</v>
      </c>
      <c r="H741" s="138">
        <f>IFERROR(__xludf.DUMMYFUNCTION("""COMPUTED_VALUE"""),4.0)</f>
        <v>4</v>
      </c>
      <c r="I741" s="138">
        <f>IFERROR(__xludf.DUMMYFUNCTION("""COMPUTED_VALUE"""),4.0)</f>
        <v>4</v>
      </c>
      <c r="J741" s="138">
        <f>IFERROR(__xludf.DUMMYFUNCTION("""COMPUTED_VALUE"""),4.0)</f>
        <v>4</v>
      </c>
      <c r="K741" s="138">
        <f>IFERROR(__xludf.DUMMYFUNCTION("""COMPUTED_VALUE"""),5.0)</f>
        <v>5</v>
      </c>
      <c r="L741" s="138">
        <v>30.0</v>
      </c>
      <c r="M741" s="140" t="str">
        <f>VLOOKUP(text(D741, "#"),'Master Table'!$A:$F, 6, FALSE)</f>
        <v>F-3</v>
      </c>
      <c r="N741" s="141" t="str">
        <f>IFERROR(__xludf.DUMMYFUNCTION("""COMPUTED_VALUE"""),"Really, really nice job.  The presentation on the poster was very simple and easy to grasp.  Your discussion of the problem, the recent historical basis for the approach, the successes and limitations of its implementation, and future directions were outs"&amp;"tanding.  It is clear you are personally invested in tackling this problem and that is what it is going to take.  Keep and open mind about other ways to activate Wnt signaling that might have fewer side effects than inhibition of GSK-3beta.")</f>
        <v>Really, really nice job.  The presentation on the poster was very simple and easy to grasp.  Your discussion of the problem, the recent historical basis for the approach, the successes and limitations of its implementation, and future directions were outstanding.  It is clear you are personally invested in tackling this problem and that is what it is going to take.  Keep and open mind about other ways to activate Wnt signaling that might have fewer side effects than inhibition of GSK-3beta.</v>
      </c>
      <c r="O741" s="142" t="str">
        <f t="shared" si="1"/>
        <v/>
      </c>
      <c r="P741" s="143" t="str">
        <f>IF(ISNA(VLOOKUP(CONCAT(M741,C741), 'Judge Count DO NOT EDIT'!H:H, 1, FALSE)), "ERROR","")</f>
        <v/>
      </c>
      <c r="Q741" s="141"/>
      <c r="R741" s="143"/>
      <c r="S741" s="139" t="str">
        <f t="shared" si="2"/>
        <v>1056338</v>
      </c>
      <c r="T741" s="141"/>
    </row>
    <row r="742">
      <c r="A742" s="137">
        <f>IFERROR(__xludf.DUMMYFUNCTION("""COMPUTED_VALUE"""),45352.419932453704)</f>
        <v>45352.41993</v>
      </c>
      <c r="B742" s="138" t="str">
        <f>IFERROR(__xludf.DUMMYFUNCTION("""COMPUTED_VALUE"""),"Dan Sousa")</f>
        <v>Dan Sousa</v>
      </c>
      <c r="C742" s="138">
        <f>IFERROR(__xludf.DUMMYFUNCTION("""COMPUTED_VALUE"""),1151.0)</f>
        <v>1151</v>
      </c>
      <c r="D742" s="139">
        <f>IFERROR(__xludf.DUMMYFUNCTION("""COMPUTED_VALUE"""),339.0)</f>
        <v>339</v>
      </c>
      <c r="E742" s="138">
        <f>IFERROR(__xludf.DUMMYFUNCTION("""COMPUTED_VALUE"""),4.0)</f>
        <v>4</v>
      </c>
      <c r="F742" s="138">
        <f>IFERROR(__xludf.DUMMYFUNCTION("""COMPUTED_VALUE"""),3.0)</f>
        <v>3</v>
      </c>
      <c r="G742" s="138">
        <f>IFERROR(__xludf.DUMMYFUNCTION("""COMPUTED_VALUE"""),4.0)</f>
        <v>4</v>
      </c>
      <c r="H742" s="138">
        <f>IFERROR(__xludf.DUMMYFUNCTION("""COMPUTED_VALUE"""),3.0)</f>
        <v>3</v>
      </c>
      <c r="I742" s="138">
        <f>IFERROR(__xludf.DUMMYFUNCTION("""COMPUTED_VALUE"""),5.0)</f>
        <v>5</v>
      </c>
      <c r="J742" s="138">
        <f>IFERROR(__xludf.DUMMYFUNCTION("""COMPUTED_VALUE"""),5.0)</f>
        <v>5</v>
      </c>
      <c r="K742" s="138">
        <f>IFERROR(__xludf.DUMMYFUNCTION("""COMPUTED_VALUE"""),5.0)</f>
        <v>5</v>
      </c>
      <c r="L742" s="138">
        <v>29.0</v>
      </c>
      <c r="M742" s="140" t="str">
        <f>VLOOKUP(text(D742, "#"),'Master Table'!$A:$F, 6, FALSE)</f>
        <v>F-3</v>
      </c>
      <c r="N742" s="141" t="str">
        <f>IFERROR(__xludf.DUMMYFUNCTION("""COMPUTED_VALUE"""),"Great job! Sounds like a really rewarding workshop. Very cool new types of bacteria. Would loved to have seen a bit more about broader implications of research and hypotheses. ")</f>
        <v>Great job! Sounds like a really rewarding workshop. Very cool new types of bacteria. Would loved to have seen a bit more about broader implications of research and hypotheses. </v>
      </c>
      <c r="O742" s="142" t="str">
        <f t="shared" si="1"/>
        <v/>
      </c>
      <c r="P742" s="143" t="str">
        <f>IF(ISNA(VLOOKUP(CONCAT(M742,C742), 'Judge Count DO NOT EDIT'!H:H, 1, FALSE)), "ERROR","")</f>
        <v/>
      </c>
      <c r="Q742" s="141"/>
      <c r="R742" s="143"/>
      <c r="S742" s="139" t="str">
        <f t="shared" si="2"/>
        <v>1151339</v>
      </c>
      <c r="T742" s="141"/>
    </row>
    <row r="743">
      <c r="A743" s="137">
        <f>IFERROR(__xludf.DUMMYFUNCTION("""COMPUTED_VALUE"""),45352.437185937495)</f>
        <v>45352.43719</v>
      </c>
      <c r="B743" s="138" t="str">
        <f>IFERROR(__xludf.DUMMYFUNCTION("""COMPUTED_VALUE"""),"Kelly Ross")</f>
        <v>Kelly Ross</v>
      </c>
      <c r="C743" s="138">
        <f>IFERROR(__xludf.DUMMYFUNCTION("""COMPUTED_VALUE"""),1046.0)</f>
        <v>1046</v>
      </c>
      <c r="D743" s="139">
        <f>IFERROR(__xludf.DUMMYFUNCTION("""COMPUTED_VALUE"""),339.0)</f>
        <v>339</v>
      </c>
      <c r="E743" s="138">
        <f>IFERROR(__xludf.DUMMYFUNCTION("""COMPUTED_VALUE"""),4.0)</f>
        <v>4</v>
      </c>
      <c r="F743" s="138">
        <f>IFERROR(__xludf.DUMMYFUNCTION("""COMPUTED_VALUE"""),5.0)</f>
        <v>5</v>
      </c>
      <c r="G743" s="138">
        <f>IFERROR(__xludf.DUMMYFUNCTION("""COMPUTED_VALUE"""),5.0)</f>
        <v>5</v>
      </c>
      <c r="H743" s="138">
        <f>IFERROR(__xludf.DUMMYFUNCTION("""COMPUTED_VALUE"""),3.0)</f>
        <v>3</v>
      </c>
      <c r="I743" s="138">
        <f>IFERROR(__xludf.DUMMYFUNCTION("""COMPUTED_VALUE"""),4.0)</f>
        <v>4</v>
      </c>
      <c r="J743" s="138">
        <f>IFERROR(__xludf.DUMMYFUNCTION("""COMPUTED_VALUE"""),3.0)</f>
        <v>3</v>
      </c>
      <c r="K743" s="138">
        <f>IFERROR(__xludf.DUMMYFUNCTION("""COMPUTED_VALUE"""),4.0)</f>
        <v>4</v>
      </c>
      <c r="L743" s="138">
        <v>28.0</v>
      </c>
      <c r="M743" s="140" t="str">
        <f>VLOOKUP(text(D743, "#"),'Master Table'!$A:$F, 6, FALSE)</f>
        <v>F-3</v>
      </c>
      <c r="N743" s="141" t="str">
        <f>IFERROR(__xludf.DUMMYFUNCTION("""COMPUTED_VALUE"""),"Great idea for a project. Poster was geared more toward basic pedagogy rather than biological or agricultural sciences, so might be better in a different section. However, I love the idea of this program and student was very enthusiastic and well-spoken a"&amp;"bout the work they are doing. In the future, student should be advised that they can ask questions from judges to gauge level of knowledge to know what kind of background info to give to people coming up to poster. Hope this student keeps up the research!")</f>
        <v>Great idea for a project. Poster was geared more toward basic pedagogy rather than biological or agricultural sciences, so might be better in a different section. However, I love the idea of this program and student was very enthusiastic and well-spoken about the work they are doing. In the future, student should be advised that they can ask questions from judges to gauge level of knowledge to know what kind of background info to give to people coming up to poster. Hope this student keeps up the research!</v>
      </c>
      <c r="O743" s="142" t="str">
        <f t="shared" si="1"/>
        <v/>
      </c>
      <c r="P743" s="143" t="str">
        <f>IF(ISNA(VLOOKUP(CONCAT(M743,C743), 'Judge Count DO NOT EDIT'!H:H, 1, FALSE)), "ERROR","")</f>
        <v/>
      </c>
      <c r="Q743" s="141"/>
      <c r="R743" s="143"/>
      <c r="S743" s="139" t="str">
        <f t="shared" si="2"/>
        <v>1046339</v>
      </c>
      <c r="T743" s="141"/>
    </row>
    <row r="744">
      <c r="A744" s="137">
        <f>IFERROR(__xludf.DUMMYFUNCTION("""COMPUTED_VALUE"""),45352.45251133102)</f>
        <v>45352.45251</v>
      </c>
      <c r="B744" s="138" t="str">
        <f>IFERROR(__xludf.DUMMYFUNCTION("""COMPUTED_VALUE"""),"Rick Sayen")</f>
        <v>Rick Sayen</v>
      </c>
      <c r="C744" s="138">
        <f>IFERROR(__xludf.DUMMYFUNCTION("""COMPUTED_VALUE"""),1028.0)</f>
        <v>1028</v>
      </c>
      <c r="D744" s="139">
        <f>IFERROR(__xludf.DUMMYFUNCTION("""COMPUTED_VALUE"""),339.0)</f>
        <v>339</v>
      </c>
      <c r="E744" s="138">
        <f>IFERROR(__xludf.DUMMYFUNCTION("""COMPUTED_VALUE"""),4.0)</f>
        <v>4</v>
      </c>
      <c r="F744" s="138">
        <f>IFERROR(__xludf.DUMMYFUNCTION("""COMPUTED_VALUE"""),4.0)</f>
        <v>4</v>
      </c>
      <c r="G744" s="138">
        <f>IFERROR(__xludf.DUMMYFUNCTION("""COMPUTED_VALUE"""),4.0)</f>
        <v>4</v>
      </c>
      <c r="H744" s="138">
        <f>IFERROR(__xludf.DUMMYFUNCTION("""COMPUTED_VALUE"""),3.0)</f>
        <v>3</v>
      </c>
      <c r="I744" s="138">
        <f>IFERROR(__xludf.DUMMYFUNCTION("""COMPUTED_VALUE"""),5.0)</f>
        <v>5</v>
      </c>
      <c r="J744" s="138">
        <f>IFERROR(__xludf.DUMMYFUNCTION("""COMPUTED_VALUE"""),4.0)</f>
        <v>4</v>
      </c>
      <c r="K744" s="138">
        <f>IFERROR(__xludf.DUMMYFUNCTION("""COMPUTED_VALUE"""),5.0)</f>
        <v>5</v>
      </c>
      <c r="L744" s="138">
        <v>29.0</v>
      </c>
      <c r="M744" s="140" t="str">
        <f>VLOOKUP(text(D744, "#"),'Master Table'!$A:$F, 6, FALSE)</f>
        <v>F-3</v>
      </c>
      <c r="N744" s="141" t="str">
        <f>IFERROR(__xludf.DUMMYFUNCTION("""COMPUTED_VALUE"""),"Enthusiasm for the opportunity to pass on research experience with high school students was clear.  Additional research experience on the project will be beneficial to this bright, enthusiastic student who hopes to continue with the research as her underg"&amp;"raduate career continues.")</f>
        <v>Enthusiasm for the opportunity to pass on research experience with high school students was clear.  Additional research experience on the project will be beneficial to this bright, enthusiastic student who hopes to continue with the research as her undergraduate career continues.</v>
      </c>
      <c r="O744" s="142" t="str">
        <f t="shared" si="1"/>
        <v/>
      </c>
      <c r="P744" s="143" t="str">
        <f>IF(ISNA(VLOOKUP(CONCAT(M744,C744), 'Judge Count DO NOT EDIT'!H:H, 1, FALSE)), "ERROR","")</f>
        <v/>
      </c>
      <c r="Q744" s="141"/>
      <c r="R744" s="143"/>
      <c r="S744" s="139" t="str">
        <f t="shared" si="2"/>
        <v>1028339</v>
      </c>
      <c r="T744" s="141"/>
    </row>
    <row r="745">
      <c r="A745" s="137">
        <f>IFERROR(__xludf.DUMMYFUNCTION("""COMPUTED_VALUE"""),45352.45596443287)</f>
        <v>45352.45596</v>
      </c>
      <c r="B745" s="138" t="str">
        <f>IFERROR(__xludf.DUMMYFUNCTION("""COMPUTED_VALUE"""),"Tom Huxford")</f>
        <v>Tom Huxford</v>
      </c>
      <c r="C745" s="138">
        <f>IFERROR(__xludf.DUMMYFUNCTION("""COMPUTED_VALUE"""),1056.0)</f>
        <v>1056</v>
      </c>
      <c r="D745" s="139">
        <f>IFERROR(__xludf.DUMMYFUNCTION("""COMPUTED_VALUE"""),339.0)</f>
        <v>339</v>
      </c>
      <c r="E745" s="138">
        <f>IFERROR(__xludf.DUMMYFUNCTION("""COMPUTED_VALUE"""),3.0)</f>
        <v>3</v>
      </c>
      <c r="F745" s="138">
        <f>IFERROR(__xludf.DUMMYFUNCTION("""COMPUTED_VALUE"""),3.0)</f>
        <v>3</v>
      </c>
      <c r="G745" s="138">
        <f>IFERROR(__xludf.DUMMYFUNCTION("""COMPUTED_VALUE"""),3.0)</f>
        <v>3</v>
      </c>
      <c r="H745" s="138">
        <f>IFERROR(__xludf.DUMMYFUNCTION("""COMPUTED_VALUE"""),3.0)</f>
        <v>3</v>
      </c>
      <c r="I745" s="138">
        <f>IFERROR(__xludf.DUMMYFUNCTION("""COMPUTED_VALUE"""),4.0)</f>
        <v>4</v>
      </c>
      <c r="J745" s="138">
        <f>IFERROR(__xludf.DUMMYFUNCTION("""COMPUTED_VALUE"""),4.0)</f>
        <v>4</v>
      </c>
      <c r="K745" s="138">
        <f>IFERROR(__xludf.DUMMYFUNCTION("""COMPUTED_VALUE"""),4.0)</f>
        <v>4</v>
      </c>
      <c r="L745" s="138">
        <v>24.0</v>
      </c>
      <c r="M745" s="140" t="str">
        <f>VLOOKUP(text(D745, "#"),'Master Table'!$A:$F, 6, FALSE)</f>
        <v>F-3</v>
      </c>
      <c r="N745" s="141" t="str">
        <f>IFERROR(__xludf.DUMMYFUNCTION("""COMPUTED_VALUE"""),"Really nice job describing the experience of engaging in sample acquisition for microbiological research studies in C. elegans roundworms.  It would be nice to see some original observations in the poster, which was really an overview of the whole program"&amp;" rather than results from your own investigations.  Keep up the work and don't hesitate to ask for opinions, advice, and help from your faculty and colleagues as you begin research work at SDSU!")</f>
        <v>Really nice job describing the experience of engaging in sample acquisition for microbiological research studies in C. elegans roundworms.  It would be nice to see some original observations in the poster, which was really an overview of the whole program rather than results from your own investigations.  Keep up the work and don't hesitate to ask for opinions, advice, and help from your faculty and colleagues as you begin research work at SDSU!</v>
      </c>
      <c r="O745" s="142" t="str">
        <f t="shared" si="1"/>
        <v/>
      </c>
      <c r="P745" s="143" t="str">
        <f>IF(ISNA(VLOOKUP(CONCAT(M745,C745), 'Judge Count DO NOT EDIT'!H:H, 1, FALSE)), "ERROR","")</f>
        <v/>
      </c>
      <c r="Q745" s="141"/>
      <c r="R745" s="143"/>
      <c r="S745" s="139" t="str">
        <f t="shared" si="2"/>
        <v>1056339</v>
      </c>
      <c r="T745" s="141"/>
    </row>
    <row r="746">
      <c r="A746" s="137">
        <f>IFERROR(__xludf.DUMMYFUNCTION("""COMPUTED_VALUE"""),45352.39488173611)</f>
        <v>45352.39488</v>
      </c>
      <c r="B746" s="138" t="str">
        <f>IFERROR(__xludf.DUMMYFUNCTION("""COMPUTED_VALUE"""),"Yan Luo")</f>
        <v>Yan Luo</v>
      </c>
      <c r="C746" s="138">
        <f>IFERROR(__xludf.DUMMYFUNCTION("""COMPUTED_VALUE"""),1051.0)</f>
        <v>1051</v>
      </c>
      <c r="D746" s="139">
        <f>IFERROR(__xludf.DUMMYFUNCTION("""COMPUTED_VALUE"""),340.0)</f>
        <v>340</v>
      </c>
      <c r="E746" s="138">
        <f>IFERROR(__xludf.DUMMYFUNCTION("""COMPUTED_VALUE"""),4.0)</f>
        <v>4</v>
      </c>
      <c r="F746" s="138">
        <f>IFERROR(__xludf.DUMMYFUNCTION("""COMPUTED_VALUE"""),3.0)</f>
        <v>3</v>
      </c>
      <c r="G746" s="138">
        <f>IFERROR(__xludf.DUMMYFUNCTION("""COMPUTED_VALUE"""),3.0)</f>
        <v>3</v>
      </c>
      <c r="H746" s="138">
        <f>IFERROR(__xludf.DUMMYFUNCTION("""COMPUTED_VALUE"""),3.0)</f>
        <v>3</v>
      </c>
      <c r="I746" s="138">
        <f>IFERROR(__xludf.DUMMYFUNCTION("""COMPUTED_VALUE"""),2.0)</f>
        <v>2</v>
      </c>
      <c r="J746" s="138">
        <f>IFERROR(__xludf.DUMMYFUNCTION("""COMPUTED_VALUE"""),1.0)</f>
        <v>1</v>
      </c>
      <c r="K746" s="138">
        <f>IFERROR(__xludf.DUMMYFUNCTION("""COMPUTED_VALUE"""),1.0)</f>
        <v>1</v>
      </c>
      <c r="L746" s="138">
        <v>17.0</v>
      </c>
      <c r="M746" s="140" t="str">
        <f>VLOOKUP(text(D746, "#"),'Master Table'!$A:$F, 6, FALSE)</f>
        <v>F-4</v>
      </c>
      <c r="N746" s="141" t="str">
        <f>IFERROR(__xludf.DUMMYFUNCTION("""COMPUTED_VALUE"""),"Reading from iPad all the time")</f>
        <v>Reading from iPad all the time</v>
      </c>
      <c r="O746" s="142" t="str">
        <f t="shared" si="1"/>
        <v/>
      </c>
      <c r="P746" s="143" t="str">
        <f>IF(ISNA(VLOOKUP(CONCAT(M746,C746), 'Judge Count DO NOT EDIT'!H:H, 1, FALSE)), "ERROR","")</f>
        <v/>
      </c>
      <c r="Q746" s="141"/>
      <c r="R746" s="143"/>
      <c r="S746" s="139" t="str">
        <f t="shared" si="2"/>
        <v>1051340</v>
      </c>
      <c r="T746" s="141"/>
    </row>
    <row r="747">
      <c r="A747" s="137">
        <f>IFERROR(__xludf.DUMMYFUNCTION("""COMPUTED_VALUE"""),45352.400137881945)</f>
        <v>45352.40014</v>
      </c>
      <c r="B747" s="138" t="str">
        <f>IFERROR(__xludf.DUMMYFUNCTION("""COMPUTED_VALUE"""),"Sanghamitro Das ")</f>
        <v>Sanghamitro Das </v>
      </c>
      <c r="C747" s="138">
        <f>IFERROR(__xludf.DUMMYFUNCTION("""COMPUTED_VALUE"""),1204.0)</f>
        <v>1204</v>
      </c>
      <c r="D747" s="139">
        <f>IFERROR(__xludf.DUMMYFUNCTION("""COMPUTED_VALUE"""),340.0)</f>
        <v>340</v>
      </c>
      <c r="E747" s="138">
        <f>IFERROR(__xludf.DUMMYFUNCTION("""COMPUTED_VALUE"""),4.0)</f>
        <v>4</v>
      </c>
      <c r="F747" s="138">
        <f>IFERROR(__xludf.DUMMYFUNCTION("""COMPUTED_VALUE"""),4.0)</f>
        <v>4</v>
      </c>
      <c r="G747" s="138">
        <f>IFERROR(__xludf.DUMMYFUNCTION("""COMPUTED_VALUE"""),5.0)</f>
        <v>5</v>
      </c>
      <c r="H747" s="138">
        <f>IFERROR(__xludf.DUMMYFUNCTION("""COMPUTED_VALUE"""),4.0)</f>
        <v>4</v>
      </c>
      <c r="I747" s="138">
        <f>IFERROR(__xludf.DUMMYFUNCTION("""COMPUTED_VALUE"""),5.0)</f>
        <v>5</v>
      </c>
      <c r="J747" s="138">
        <f>IFERROR(__xludf.DUMMYFUNCTION("""COMPUTED_VALUE"""),5.0)</f>
        <v>5</v>
      </c>
      <c r="K747" s="138">
        <f>IFERROR(__xludf.DUMMYFUNCTION("""COMPUTED_VALUE"""),5.0)</f>
        <v>5</v>
      </c>
      <c r="L747" s="138">
        <v>32.0</v>
      </c>
      <c r="M747" s="140" t="str">
        <f>VLOOKUP(text(D747, "#"),'Master Table'!$A:$F, 6, FALSE)</f>
        <v>F-4</v>
      </c>
      <c r="N747" s="141"/>
      <c r="O747" s="142" t="str">
        <f t="shared" si="1"/>
        <v/>
      </c>
      <c r="P747" s="143" t="str">
        <f>IF(ISNA(VLOOKUP(CONCAT(M747,C747), 'Judge Count DO NOT EDIT'!H:H, 1, FALSE)), "ERROR","")</f>
        <v/>
      </c>
      <c r="Q747" s="141"/>
      <c r="R747" s="143"/>
      <c r="S747" s="139" t="str">
        <f t="shared" si="2"/>
        <v>1204340</v>
      </c>
      <c r="T747" s="141"/>
    </row>
    <row r="748">
      <c r="A748" s="137">
        <f>IFERROR(__xludf.DUMMYFUNCTION("""COMPUTED_VALUE"""),45352.39551444445)</f>
        <v>45352.39551</v>
      </c>
      <c r="B748" s="138" t="str">
        <f>IFERROR(__xludf.DUMMYFUNCTION("""COMPUTED_VALUE"""),"Yan Luo")</f>
        <v>Yan Luo</v>
      </c>
      <c r="C748" s="138">
        <f>IFERROR(__xludf.DUMMYFUNCTION("""COMPUTED_VALUE"""),1051.0)</f>
        <v>1051</v>
      </c>
      <c r="D748" s="139">
        <f>IFERROR(__xludf.DUMMYFUNCTION("""COMPUTED_VALUE"""),341.0)</f>
        <v>341</v>
      </c>
      <c r="E748" s="138">
        <f>IFERROR(__xludf.DUMMYFUNCTION("""COMPUTED_VALUE"""),5.0)</f>
        <v>5</v>
      </c>
      <c r="F748" s="138">
        <f>IFERROR(__xludf.DUMMYFUNCTION("""COMPUTED_VALUE"""),5.0)</f>
        <v>5</v>
      </c>
      <c r="G748" s="138">
        <f>IFERROR(__xludf.DUMMYFUNCTION("""COMPUTED_VALUE"""),5.0)</f>
        <v>5</v>
      </c>
      <c r="H748" s="138">
        <f>IFERROR(__xludf.DUMMYFUNCTION("""COMPUTED_VALUE"""),5.0)</f>
        <v>5</v>
      </c>
      <c r="I748" s="138">
        <f>IFERROR(__xludf.DUMMYFUNCTION("""COMPUTED_VALUE"""),5.0)</f>
        <v>5</v>
      </c>
      <c r="J748" s="138">
        <f>IFERROR(__xludf.DUMMYFUNCTION("""COMPUTED_VALUE"""),5.0)</f>
        <v>5</v>
      </c>
      <c r="K748" s="138">
        <f>IFERROR(__xludf.DUMMYFUNCTION("""COMPUTED_VALUE"""),5.0)</f>
        <v>5</v>
      </c>
      <c r="L748" s="138">
        <v>35.0</v>
      </c>
      <c r="M748" s="140" t="str">
        <f>VLOOKUP(text(D748, "#"),'Master Table'!$A:$F, 6, FALSE)</f>
        <v>F-4</v>
      </c>
      <c r="N748" s="141" t="str">
        <f>IFERROR(__xludf.DUMMYFUNCTION("""COMPUTED_VALUE"""),"Very impressive")</f>
        <v>Very impressive</v>
      </c>
      <c r="O748" s="142" t="str">
        <f t="shared" si="1"/>
        <v/>
      </c>
      <c r="P748" s="143" t="str">
        <f>IF(ISNA(VLOOKUP(CONCAT(M748,C748), 'Judge Count DO NOT EDIT'!H:H, 1, FALSE)), "ERROR","")</f>
        <v/>
      </c>
      <c r="Q748" s="141"/>
      <c r="R748" s="143"/>
      <c r="S748" s="139" t="str">
        <f t="shared" si="2"/>
        <v>1051341</v>
      </c>
      <c r="T748" s="141"/>
    </row>
    <row r="749">
      <c r="A749" s="137">
        <f>IFERROR(__xludf.DUMMYFUNCTION("""COMPUTED_VALUE"""),45352.418229641204)</f>
        <v>45352.41823</v>
      </c>
      <c r="B749" s="138" t="str">
        <f>IFERROR(__xludf.DUMMYFUNCTION("""COMPUTED_VALUE"""),"Sanghamitro Das ")</f>
        <v>Sanghamitro Das </v>
      </c>
      <c r="C749" s="138">
        <f>IFERROR(__xludf.DUMMYFUNCTION("""COMPUTED_VALUE"""),1204.0)</f>
        <v>1204</v>
      </c>
      <c r="D749" s="139">
        <f>IFERROR(__xludf.DUMMYFUNCTION("""COMPUTED_VALUE"""),341.0)</f>
        <v>341</v>
      </c>
      <c r="E749" s="138">
        <f>IFERROR(__xludf.DUMMYFUNCTION("""COMPUTED_VALUE"""),5.0)</f>
        <v>5</v>
      </c>
      <c r="F749" s="138">
        <f>IFERROR(__xludf.DUMMYFUNCTION("""COMPUTED_VALUE"""),4.0)</f>
        <v>4</v>
      </c>
      <c r="G749" s="138">
        <f>IFERROR(__xludf.DUMMYFUNCTION("""COMPUTED_VALUE"""),5.0)</f>
        <v>5</v>
      </c>
      <c r="H749" s="138">
        <f>IFERROR(__xludf.DUMMYFUNCTION("""COMPUTED_VALUE"""),4.0)</f>
        <v>4</v>
      </c>
      <c r="I749" s="138">
        <f>IFERROR(__xludf.DUMMYFUNCTION("""COMPUTED_VALUE"""),5.0)</f>
        <v>5</v>
      </c>
      <c r="J749" s="138">
        <f>IFERROR(__xludf.DUMMYFUNCTION("""COMPUTED_VALUE"""),5.0)</f>
        <v>5</v>
      </c>
      <c r="K749" s="138">
        <f>IFERROR(__xludf.DUMMYFUNCTION("""COMPUTED_VALUE"""),5.0)</f>
        <v>5</v>
      </c>
      <c r="L749" s="138">
        <v>33.0</v>
      </c>
      <c r="M749" s="140" t="str">
        <f>VLOOKUP(text(D749, "#"),'Master Table'!$A:$F, 6, FALSE)</f>
        <v>F-4</v>
      </c>
      <c r="N749" s="141"/>
      <c r="O749" s="142" t="str">
        <f t="shared" si="1"/>
        <v/>
      </c>
      <c r="P749" s="143" t="str">
        <f>IF(ISNA(VLOOKUP(CONCAT(M749,C749), 'Judge Count DO NOT EDIT'!H:H, 1, FALSE)), "ERROR","")</f>
        <v/>
      </c>
      <c r="Q749" s="141"/>
      <c r="R749" s="143"/>
      <c r="S749" s="139" t="str">
        <f t="shared" si="2"/>
        <v>1204341</v>
      </c>
      <c r="T749" s="141"/>
    </row>
    <row r="750">
      <c r="A750" s="137">
        <f>IFERROR(__xludf.DUMMYFUNCTION("""COMPUTED_VALUE"""),45352.39291775463)</f>
        <v>45352.39292</v>
      </c>
      <c r="B750" s="138" t="str">
        <f>IFERROR(__xludf.DUMMYFUNCTION("""COMPUTED_VALUE"""),"Sanghamitro Das ")</f>
        <v>Sanghamitro Das </v>
      </c>
      <c r="C750" s="138">
        <f>IFERROR(__xludf.DUMMYFUNCTION("""COMPUTED_VALUE"""),1204.0)</f>
        <v>1204</v>
      </c>
      <c r="D750" s="139">
        <f>IFERROR(__xludf.DUMMYFUNCTION("""COMPUTED_VALUE"""),342.0)</f>
        <v>342</v>
      </c>
      <c r="E750" s="138">
        <f>IFERROR(__xludf.DUMMYFUNCTION("""COMPUTED_VALUE"""),4.0)</f>
        <v>4</v>
      </c>
      <c r="F750" s="138">
        <f>IFERROR(__xludf.DUMMYFUNCTION("""COMPUTED_VALUE"""),4.0)</f>
        <v>4</v>
      </c>
      <c r="G750" s="138">
        <f>IFERROR(__xludf.DUMMYFUNCTION("""COMPUTED_VALUE"""),5.0)</f>
        <v>5</v>
      </c>
      <c r="H750" s="138">
        <f>IFERROR(__xludf.DUMMYFUNCTION("""COMPUTED_VALUE"""),5.0)</f>
        <v>5</v>
      </c>
      <c r="I750" s="138">
        <f>IFERROR(__xludf.DUMMYFUNCTION("""COMPUTED_VALUE"""),5.0)</f>
        <v>5</v>
      </c>
      <c r="J750" s="138">
        <f>IFERROR(__xludf.DUMMYFUNCTION("""COMPUTED_VALUE"""),4.0)</f>
        <v>4</v>
      </c>
      <c r="K750" s="138">
        <f>IFERROR(__xludf.DUMMYFUNCTION("""COMPUTED_VALUE"""),5.0)</f>
        <v>5</v>
      </c>
      <c r="L750" s="138">
        <v>32.0</v>
      </c>
      <c r="M750" s="140" t="str">
        <f>VLOOKUP(text(D750, "#"),'Master Table'!$A:$F, 6, FALSE)</f>
        <v>F-4</v>
      </c>
      <c r="N750" s="141"/>
      <c r="O750" s="142" t="str">
        <f t="shared" si="1"/>
        <v/>
      </c>
      <c r="P750" s="143" t="str">
        <f>IF(ISNA(VLOOKUP(CONCAT(M750,C750), 'Judge Count DO NOT EDIT'!H:H, 1, FALSE)), "ERROR","")</f>
        <v/>
      </c>
      <c r="Q750" s="141"/>
      <c r="R750" s="143"/>
      <c r="S750" s="139" t="str">
        <f t="shared" si="2"/>
        <v>1204342</v>
      </c>
      <c r="T750" s="141"/>
    </row>
    <row r="751">
      <c r="A751" s="137">
        <f>IFERROR(__xludf.DUMMYFUNCTION("""COMPUTED_VALUE"""),45352.39612388889)</f>
        <v>45352.39612</v>
      </c>
      <c r="B751" s="138" t="str">
        <f>IFERROR(__xludf.DUMMYFUNCTION("""COMPUTED_VALUE"""),"Yan")</f>
        <v>Yan</v>
      </c>
      <c r="C751" s="138">
        <f>IFERROR(__xludf.DUMMYFUNCTION("""COMPUTED_VALUE"""),1051.0)</f>
        <v>1051</v>
      </c>
      <c r="D751" s="139">
        <f>IFERROR(__xludf.DUMMYFUNCTION("""COMPUTED_VALUE"""),342.0)</f>
        <v>342</v>
      </c>
      <c r="E751" s="138">
        <f>IFERROR(__xludf.DUMMYFUNCTION("""COMPUTED_VALUE"""),3.0)</f>
        <v>3</v>
      </c>
      <c r="F751" s="138">
        <f>IFERROR(__xludf.DUMMYFUNCTION("""COMPUTED_VALUE"""),3.0)</f>
        <v>3</v>
      </c>
      <c r="G751" s="138">
        <f>IFERROR(__xludf.DUMMYFUNCTION("""COMPUTED_VALUE"""),3.0)</f>
        <v>3</v>
      </c>
      <c r="H751" s="138">
        <f>IFERROR(__xludf.DUMMYFUNCTION("""COMPUTED_VALUE"""),3.0)</f>
        <v>3</v>
      </c>
      <c r="I751" s="138">
        <f>IFERROR(__xludf.DUMMYFUNCTION("""COMPUTED_VALUE"""),4.0)</f>
        <v>4</v>
      </c>
      <c r="J751" s="138">
        <f>IFERROR(__xludf.DUMMYFUNCTION("""COMPUTED_VALUE"""),4.0)</f>
        <v>4</v>
      </c>
      <c r="K751" s="138">
        <f>IFERROR(__xludf.DUMMYFUNCTION("""COMPUTED_VALUE"""),3.0)</f>
        <v>3</v>
      </c>
      <c r="L751" s="138">
        <v>23.0</v>
      </c>
      <c r="M751" s="140" t="str">
        <f>VLOOKUP(text(D751, "#"),'Master Table'!$A:$F, 6, FALSE)</f>
        <v>F-4</v>
      </c>
      <c r="N751" s="141"/>
      <c r="O751" s="142" t="str">
        <f t="shared" si="1"/>
        <v/>
      </c>
      <c r="P751" s="143" t="str">
        <f>IF(ISNA(VLOOKUP(CONCAT(M751,C751), 'Judge Count DO NOT EDIT'!H:H, 1, FALSE)), "ERROR","")</f>
        <v/>
      </c>
      <c r="Q751" s="141"/>
      <c r="R751" s="143"/>
      <c r="S751" s="139" t="str">
        <f t="shared" si="2"/>
        <v>1051342</v>
      </c>
      <c r="T751" s="141"/>
    </row>
    <row r="752">
      <c r="A752" s="137">
        <f>IFERROR(__xludf.DUMMYFUNCTION("""COMPUTED_VALUE"""),45352.39673601852)</f>
        <v>45352.39674</v>
      </c>
      <c r="B752" s="138" t="str">
        <f>IFERROR(__xludf.DUMMYFUNCTION("""COMPUTED_VALUE"""),"Yan Luo")</f>
        <v>Yan Luo</v>
      </c>
      <c r="C752" s="138">
        <f>IFERROR(__xludf.DUMMYFUNCTION("""COMPUTED_VALUE"""),1051.0)</f>
        <v>1051</v>
      </c>
      <c r="D752" s="139">
        <f>IFERROR(__xludf.DUMMYFUNCTION("""COMPUTED_VALUE"""),343.0)</f>
        <v>343</v>
      </c>
      <c r="E752" s="138">
        <f>IFERROR(__xludf.DUMMYFUNCTION("""COMPUTED_VALUE"""),3.0)</f>
        <v>3</v>
      </c>
      <c r="F752" s="138">
        <f>IFERROR(__xludf.DUMMYFUNCTION("""COMPUTED_VALUE"""),4.0)</f>
        <v>4</v>
      </c>
      <c r="G752" s="138">
        <f>IFERROR(__xludf.DUMMYFUNCTION("""COMPUTED_VALUE"""),3.0)</f>
        <v>3</v>
      </c>
      <c r="H752" s="138">
        <f>IFERROR(__xludf.DUMMYFUNCTION("""COMPUTED_VALUE"""),3.0)</f>
        <v>3</v>
      </c>
      <c r="I752" s="138">
        <f>IFERROR(__xludf.DUMMYFUNCTION("""COMPUTED_VALUE"""),4.0)</f>
        <v>4</v>
      </c>
      <c r="J752" s="138">
        <f>IFERROR(__xludf.DUMMYFUNCTION("""COMPUTED_VALUE"""),4.0)</f>
        <v>4</v>
      </c>
      <c r="K752" s="138">
        <f>IFERROR(__xludf.DUMMYFUNCTION("""COMPUTED_VALUE"""),4.0)</f>
        <v>4</v>
      </c>
      <c r="L752" s="138">
        <v>25.0</v>
      </c>
      <c r="M752" s="140" t="str">
        <f>VLOOKUP(text(D752, "#"),'Master Table'!$A:$F, 6, FALSE)</f>
        <v>F-4</v>
      </c>
      <c r="N752" s="141"/>
      <c r="O752" s="142" t="str">
        <f t="shared" si="1"/>
        <v/>
      </c>
      <c r="P752" s="143" t="str">
        <f>IF(ISNA(VLOOKUP(CONCAT(M752,C752), 'Judge Count DO NOT EDIT'!H:H, 1, FALSE)), "ERROR","")</f>
        <v/>
      </c>
      <c r="Q752" s="141"/>
      <c r="R752" s="143"/>
      <c r="S752" s="139" t="str">
        <f t="shared" si="2"/>
        <v>1051343</v>
      </c>
      <c r="T752" s="141"/>
    </row>
    <row r="753">
      <c r="A753" s="137">
        <f>IFERROR(__xludf.DUMMYFUNCTION("""COMPUTED_VALUE"""),45352.409677303236)</f>
        <v>45352.40968</v>
      </c>
      <c r="B753" s="138" t="str">
        <f>IFERROR(__xludf.DUMMYFUNCTION("""COMPUTED_VALUE"""),"Sanghamitro Das ")</f>
        <v>Sanghamitro Das </v>
      </c>
      <c r="C753" s="138">
        <f>IFERROR(__xludf.DUMMYFUNCTION("""COMPUTED_VALUE"""),1204.0)</f>
        <v>1204</v>
      </c>
      <c r="D753" s="139">
        <f>IFERROR(__xludf.DUMMYFUNCTION("""COMPUTED_VALUE"""),343.0)</f>
        <v>343</v>
      </c>
      <c r="E753" s="138">
        <f>IFERROR(__xludf.DUMMYFUNCTION("""COMPUTED_VALUE"""),4.0)</f>
        <v>4</v>
      </c>
      <c r="F753" s="138">
        <f>IFERROR(__xludf.DUMMYFUNCTION("""COMPUTED_VALUE"""),4.0)</f>
        <v>4</v>
      </c>
      <c r="G753" s="138">
        <f>IFERROR(__xludf.DUMMYFUNCTION("""COMPUTED_VALUE"""),3.0)</f>
        <v>3</v>
      </c>
      <c r="H753" s="138">
        <f>IFERROR(__xludf.DUMMYFUNCTION("""COMPUTED_VALUE"""),3.0)</f>
        <v>3</v>
      </c>
      <c r="I753" s="138">
        <f>IFERROR(__xludf.DUMMYFUNCTION("""COMPUTED_VALUE"""),4.0)</f>
        <v>4</v>
      </c>
      <c r="J753" s="138">
        <f>IFERROR(__xludf.DUMMYFUNCTION("""COMPUTED_VALUE"""),4.0)</f>
        <v>4</v>
      </c>
      <c r="K753" s="138">
        <f>IFERROR(__xludf.DUMMYFUNCTION("""COMPUTED_VALUE"""),4.0)</f>
        <v>4</v>
      </c>
      <c r="L753" s="138">
        <v>26.0</v>
      </c>
      <c r="M753" s="140" t="str">
        <f>VLOOKUP(text(D753, "#"),'Master Table'!$A:$F, 6, FALSE)</f>
        <v>F-4</v>
      </c>
      <c r="N753" s="141"/>
      <c r="O753" s="142" t="str">
        <f t="shared" si="1"/>
        <v/>
      </c>
      <c r="P753" s="143" t="str">
        <f>IF(ISNA(VLOOKUP(CONCAT(M753,C753), 'Judge Count DO NOT EDIT'!H:H, 1, FALSE)), "ERROR","")</f>
        <v/>
      </c>
      <c r="Q753" s="141"/>
      <c r="R753" s="143"/>
      <c r="S753" s="139" t="str">
        <f t="shared" si="2"/>
        <v>1204343</v>
      </c>
      <c r="T753" s="141"/>
    </row>
    <row r="754">
      <c r="A754" s="137">
        <f>IFERROR(__xludf.DUMMYFUNCTION("""COMPUTED_VALUE"""),45352.387258726856)</f>
        <v>45352.38726</v>
      </c>
      <c r="B754" s="138" t="str">
        <f>IFERROR(__xludf.DUMMYFUNCTION("""COMPUTED_VALUE"""),"Sanghamitro Das ")</f>
        <v>Sanghamitro Das </v>
      </c>
      <c r="C754" s="138">
        <f>IFERROR(__xludf.DUMMYFUNCTION("""COMPUTED_VALUE"""),1204.0)</f>
        <v>1204</v>
      </c>
      <c r="D754" s="139">
        <f>IFERROR(__xludf.DUMMYFUNCTION("""COMPUTED_VALUE"""),344.0)</f>
        <v>344</v>
      </c>
      <c r="E754" s="138">
        <f>IFERROR(__xludf.DUMMYFUNCTION("""COMPUTED_VALUE"""),3.0)</f>
        <v>3</v>
      </c>
      <c r="F754" s="138">
        <f>IFERROR(__xludf.DUMMYFUNCTION("""COMPUTED_VALUE"""),4.0)</f>
        <v>4</v>
      </c>
      <c r="G754" s="138">
        <f>IFERROR(__xludf.DUMMYFUNCTION("""COMPUTED_VALUE"""),5.0)</f>
        <v>5</v>
      </c>
      <c r="H754" s="138">
        <f>IFERROR(__xludf.DUMMYFUNCTION("""COMPUTED_VALUE"""),3.0)</f>
        <v>3</v>
      </c>
      <c r="I754" s="138">
        <f>IFERROR(__xludf.DUMMYFUNCTION("""COMPUTED_VALUE"""),4.0)</f>
        <v>4</v>
      </c>
      <c r="J754" s="138">
        <f>IFERROR(__xludf.DUMMYFUNCTION("""COMPUTED_VALUE"""),4.0)</f>
        <v>4</v>
      </c>
      <c r="K754" s="138">
        <f>IFERROR(__xludf.DUMMYFUNCTION("""COMPUTED_VALUE"""),5.0)</f>
        <v>5</v>
      </c>
      <c r="L754" s="138">
        <v>28.0</v>
      </c>
      <c r="M754" s="140" t="str">
        <f>VLOOKUP(text(D754, "#"),'Master Table'!$A:$F, 6, FALSE)</f>
        <v>F-4</v>
      </c>
      <c r="N754" s="141"/>
      <c r="O754" s="142" t="str">
        <f t="shared" si="1"/>
        <v/>
      </c>
      <c r="P754" s="143" t="str">
        <f>IF(ISNA(VLOOKUP(CONCAT(M754,C754), 'Judge Count DO NOT EDIT'!H:H, 1, FALSE)), "ERROR","")</f>
        <v/>
      </c>
      <c r="Q754" s="141"/>
      <c r="R754" s="143"/>
      <c r="S754" s="139" t="str">
        <f t="shared" si="2"/>
        <v>1204344</v>
      </c>
      <c r="T754" s="141"/>
    </row>
    <row r="755">
      <c r="A755" s="137">
        <f>IFERROR(__xludf.DUMMYFUNCTION("""COMPUTED_VALUE"""),45352.39729340278)</f>
        <v>45352.39729</v>
      </c>
      <c r="B755" s="138" t="str">
        <f>IFERROR(__xludf.DUMMYFUNCTION("""COMPUTED_VALUE"""),"Yan Luo")</f>
        <v>Yan Luo</v>
      </c>
      <c r="C755" s="138">
        <f>IFERROR(__xludf.DUMMYFUNCTION("""COMPUTED_VALUE"""),1051.0)</f>
        <v>1051</v>
      </c>
      <c r="D755" s="139">
        <f>IFERROR(__xludf.DUMMYFUNCTION("""COMPUTED_VALUE"""),344.0)</f>
        <v>344</v>
      </c>
      <c r="E755" s="138">
        <f>IFERROR(__xludf.DUMMYFUNCTION("""COMPUTED_VALUE"""),3.0)</f>
        <v>3</v>
      </c>
      <c r="F755" s="138">
        <f>IFERROR(__xludf.DUMMYFUNCTION("""COMPUTED_VALUE"""),3.0)</f>
        <v>3</v>
      </c>
      <c r="G755" s="138">
        <f>IFERROR(__xludf.DUMMYFUNCTION("""COMPUTED_VALUE"""),3.0)</f>
        <v>3</v>
      </c>
      <c r="H755" s="138">
        <f>IFERROR(__xludf.DUMMYFUNCTION("""COMPUTED_VALUE"""),3.0)</f>
        <v>3</v>
      </c>
      <c r="I755" s="138">
        <f>IFERROR(__xludf.DUMMYFUNCTION("""COMPUTED_VALUE"""),3.0)</f>
        <v>3</v>
      </c>
      <c r="J755" s="138">
        <f>IFERROR(__xludf.DUMMYFUNCTION("""COMPUTED_VALUE"""),2.0)</f>
        <v>2</v>
      </c>
      <c r="K755" s="138">
        <f>IFERROR(__xludf.DUMMYFUNCTION("""COMPUTED_VALUE"""),2.0)</f>
        <v>2</v>
      </c>
      <c r="L755" s="138">
        <v>19.0</v>
      </c>
      <c r="M755" s="140" t="str">
        <f>VLOOKUP(text(D755, "#"),'Master Table'!$A:$F, 6, FALSE)</f>
        <v>F-4</v>
      </c>
      <c r="N755" s="141"/>
      <c r="O755" s="142" t="str">
        <f t="shared" si="1"/>
        <v/>
      </c>
      <c r="P755" s="143" t="str">
        <f>IF(ISNA(VLOOKUP(CONCAT(M755,C755), 'Judge Count DO NOT EDIT'!H:H, 1, FALSE)), "ERROR","")</f>
        <v/>
      </c>
      <c r="Q755" s="141"/>
      <c r="R755" s="143"/>
      <c r="S755" s="139" t="str">
        <f t="shared" si="2"/>
        <v>1051344</v>
      </c>
      <c r="T755" s="141"/>
    </row>
    <row r="756">
      <c r="A756" s="137">
        <f>IFERROR(__xludf.DUMMYFUNCTION("""COMPUTED_VALUE"""),45352.383234849534)</f>
        <v>45352.38323</v>
      </c>
      <c r="B756" s="138" t="str">
        <f>IFERROR(__xludf.DUMMYFUNCTION("""COMPUTED_VALUE"""),"Sanghamitro Das ")</f>
        <v>Sanghamitro Das </v>
      </c>
      <c r="C756" s="138">
        <f>IFERROR(__xludf.DUMMYFUNCTION("""COMPUTED_VALUE"""),1204.0)</f>
        <v>1204</v>
      </c>
      <c r="D756" s="139">
        <f>IFERROR(__xludf.DUMMYFUNCTION("""COMPUTED_VALUE"""),345.0)</f>
        <v>345</v>
      </c>
      <c r="E756" s="138">
        <f>IFERROR(__xludf.DUMMYFUNCTION("""COMPUTED_VALUE"""),4.0)</f>
        <v>4</v>
      </c>
      <c r="F756" s="138">
        <f>IFERROR(__xludf.DUMMYFUNCTION("""COMPUTED_VALUE"""),4.0)</f>
        <v>4</v>
      </c>
      <c r="G756" s="138">
        <f>IFERROR(__xludf.DUMMYFUNCTION("""COMPUTED_VALUE"""),4.0)</f>
        <v>4</v>
      </c>
      <c r="H756" s="138">
        <f>IFERROR(__xludf.DUMMYFUNCTION("""COMPUTED_VALUE"""),4.0)</f>
        <v>4</v>
      </c>
      <c r="I756" s="138">
        <f>IFERROR(__xludf.DUMMYFUNCTION("""COMPUTED_VALUE"""),5.0)</f>
        <v>5</v>
      </c>
      <c r="J756" s="138">
        <f>IFERROR(__xludf.DUMMYFUNCTION("""COMPUTED_VALUE"""),5.0)</f>
        <v>5</v>
      </c>
      <c r="K756" s="138">
        <f>IFERROR(__xludf.DUMMYFUNCTION("""COMPUTED_VALUE"""),5.0)</f>
        <v>5</v>
      </c>
      <c r="L756" s="138">
        <v>31.0</v>
      </c>
      <c r="M756" s="140" t="str">
        <f>VLOOKUP(text(D756, "#"),'Master Table'!$A:$F, 6, FALSE)</f>
        <v>F-4</v>
      </c>
      <c r="N756" s="141"/>
      <c r="O756" s="142" t="str">
        <f t="shared" si="1"/>
        <v/>
      </c>
      <c r="P756" s="143" t="str">
        <f>IF(ISNA(VLOOKUP(CONCAT(M756,C756), 'Judge Count DO NOT EDIT'!H:H, 1, FALSE)), "ERROR","")</f>
        <v/>
      </c>
      <c r="Q756" s="141"/>
      <c r="R756" s="143"/>
      <c r="S756" s="139" t="str">
        <f t="shared" si="2"/>
        <v>1204345</v>
      </c>
      <c r="T756" s="141"/>
    </row>
    <row r="757">
      <c r="A757" s="137">
        <f>IFERROR(__xludf.DUMMYFUNCTION("""COMPUTED_VALUE"""),45352.39792700231)</f>
        <v>45352.39793</v>
      </c>
      <c r="B757" s="138" t="str">
        <f>IFERROR(__xludf.DUMMYFUNCTION("""COMPUTED_VALUE"""),"Yan Luo")</f>
        <v>Yan Luo</v>
      </c>
      <c r="C757" s="138">
        <f>IFERROR(__xludf.DUMMYFUNCTION("""COMPUTED_VALUE"""),1051.0)</f>
        <v>1051</v>
      </c>
      <c r="D757" s="139">
        <f>IFERROR(__xludf.DUMMYFUNCTION("""COMPUTED_VALUE"""),345.0)</f>
        <v>345</v>
      </c>
      <c r="E757" s="138">
        <f>IFERROR(__xludf.DUMMYFUNCTION("""COMPUTED_VALUE"""),4.0)</f>
        <v>4</v>
      </c>
      <c r="F757" s="138">
        <f>IFERROR(__xludf.DUMMYFUNCTION("""COMPUTED_VALUE"""),4.0)</f>
        <v>4</v>
      </c>
      <c r="G757" s="138">
        <f>IFERROR(__xludf.DUMMYFUNCTION("""COMPUTED_VALUE"""),4.0)</f>
        <v>4</v>
      </c>
      <c r="H757" s="138">
        <f>IFERROR(__xludf.DUMMYFUNCTION("""COMPUTED_VALUE"""),4.0)</f>
        <v>4</v>
      </c>
      <c r="I757" s="138">
        <f>IFERROR(__xludf.DUMMYFUNCTION("""COMPUTED_VALUE"""),4.0)</f>
        <v>4</v>
      </c>
      <c r="J757" s="138">
        <f>IFERROR(__xludf.DUMMYFUNCTION("""COMPUTED_VALUE"""),4.0)</f>
        <v>4</v>
      </c>
      <c r="K757" s="138">
        <f>IFERROR(__xludf.DUMMYFUNCTION("""COMPUTED_VALUE"""),4.0)</f>
        <v>4</v>
      </c>
      <c r="L757" s="138">
        <v>28.0</v>
      </c>
      <c r="M757" s="140" t="str">
        <f>VLOOKUP(text(D757, "#"),'Master Table'!$A:$F, 6, FALSE)</f>
        <v>F-4</v>
      </c>
      <c r="N757" s="141"/>
      <c r="O757" s="142" t="str">
        <f t="shared" si="1"/>
        <v/>
      </c>
      <c r="P757" s="143" t="str">
        <f>IF(ISNA(VLOOKUP(CONCAT(M757,C757), 'Judge Count DO NOT EDIT'!H:H, 1, FALSE)), "ERROR","")</f>
        <v/>
      </c>
      <c r="Q757" s="141"/>
      <c r="R757" s="143"/>
      <c r="S757" s="139" t="str">
        <f t="shared" si="2"/>
        <v>1051345</v>
      </c>
      <c r="T757" s="141"/>
    </row>
    <row r="758">
      <c r="A758" s="137">
        <f>IFERROR(__xludf.DUMMYFUNCTION("""COMPUTED_VALUE"""),45352.377891909724)</f>
        <v>45352.37789</v>
      </c>
      <c r="B758" s="138" t="str">
        <f>IFERROR(__xludf.DUMMYFUNCTION("""COMPUTED_VALUE"""),"Nagy")</f>
        <v>Nagy</v>
      </c>
      <c r="C758" s="138">
        <f>IFERROR(__xludf.DUMMYFUNCTION("""COMPUTED_VALUE"""),1206.0)</f>
        <v>1206</v>
      </c>
      <c r="D758" s="139">
        <f>IFERROR(__xludf.DUMMYFUNCTION("""COMPUTED_VALUE"""),346.0)</f>
        <v>346</v>
      </c>
      <c r="E758" s="138">
        <f>IFERROR(__xludf.DUMMYFUNCTION("""COMPUTED_VALUE"""),4.0)</f>
        <v>4</v>
      </c>
      <c r="F758" s="138">
        <f>IFERROR(__xludf.DUMMYFUNCTION("""COMPUTED_VALUE"""),5.0)</f>
        <v>5</v>
      </c>
      <c r="G758" s="138">
        <f>IFERROR(__xludf.DUMMYFUNCTION("""COMPUTED_VALUE"""),4.0)</f>
        <v>4</v>
      </c>
      <c r="H758" s="138">
        <f>IFERROR(__xludf.DUMMYFUNCTION("""COMPUTED_VALUE"""),4.0)</f>
        <v>4</v>
      </c>
      <c r="I758" s="138">
        <f>IFERROR(__xludf.DUMMYFUNCTION("""COMPUTED_VALUE"""),4.0)</f>
        <v>4</v>
      </c>
      <c r="J758" s="138">
        <f>IFERROR(__xludf.DUMMYFUNCTION("""COMPUTED_VALUE"""),4.0)</f>
        <v>4</v>
      </c>
      <c r="K758" s="138">
        <f>IFERROR(__xludf.DUMMYFUNCTION("""COMPUTED_VALUE"""),4.0)</f>
        <v>4</v>
      </c>
      <c r="L758" s="138">
        <v>29.0</v>
      </c>
      <c r="M758" s="140" t="str">
        <f>VLOOKUP(text(D758, "#"),'Master Table'!$A:$F, 6, FALSE)</f>
        <v>F-5</v>
      </c>
      <c r="N758" s="141" t="str">
        <f>IFERROR(__xludf.DUMMYFUNCTION("""COMPUTED_VALUE"""),"Some of the technical definitions were not explained well by the presenter.")</f>
        <v>Some of the technical definitions were not explained well by the presenter.</v>
      </c>
      <c r="O758" s="142" t="str">
        <f t="shared" si="1"/>
        <v/>
      </c>
      <c r="P758" s="143" t="str">
        <f>IF(ISNA(VLOOKUP(CONCAT(M758,C758), 'Judge Count DO NOT EDIT'!H:H, 1, FALSE)), "ERROR","")</f>
        <v/>
      </c>
      <c r="Q758" s="144"/>
      <c r="R758" s="143"/>
      <c r="S758" s="139" t="str">
        <f t="shared" si="2"/>
        <v>1206346</v>
      </c>
      <c r="T758" s="144"/>
    </row>
    <row r="759">
      <c r="A759" s="137">
        <f>IFERROR(__xludf.DUMMYFUNCTION("""COMPUTED_VALUE"""),45352.39655803241)</f>
        <v>45352.39656</v>
      </c>
      <c r="B759" s="138" t="str">
        <f>IFERROR(__xludf.DUMMYFUNCTION("""COMPUTED_VALUE"""),"Manan Katwala ")</f>
        <v>Manan Katwala </v>
      </c>
      <c r="C759" s="138">
        <f>IFERROR(__xludf.DUMMYFUNCTION("""COMPUTED_VALUE"""),1027.0)</f>
        <v>1027</v>
      </c>
      <c r="D759" s="139">
        <f>IFERROR(__xludf.DUMMYFUNCTION("""COMPUTED_VALUE"""),346.0)</f>
        <v>346</v>
      </c>
      <c r="E759" s="138">
        <f>IFERROR(__xludf.DUMMYFUNCTION("""COMPUTED_VALUE"""),4.0)</f>
        <v>4</v>
      </c>
      <c r="F759" s="138">
        <f>IFERROR(__xludf.DUMMYFUNCTION("""COMPUTED_VALUE"""),3.0)</f>
        <v>3</v>
      </c>
      <c r="G759" s="138">
        <f>IFERROR(__xludf.DUMMYFUNCTION("""COMPUTED_VALUE"""),3.0)</f>
        <v>3</v>
      </c>
      <c r="H759" s="138">
        <f>IFERROR(__xludf.DUMMYFUNCTION("""COMPUTED_VALUE"""),2.0)</f>
        <v>2</v>
      </c>
      <c r="I759" s="138">
        <f>IFERROR(__xludf.DUMMYFUNCTION("""COMPUTED_VALUE"""),4.0)</f>
        <v>4</v>
      </c>
      <c r="J759" s="138">
        <f>IFERROR(__xludf.DUMMYFUNCTION("""COMPUTED_VALUE"""),3.0)</f>
        <v>3</v>
      </c>
      <c r="K759" s="138">
        <f>IFERROR(__xludf.DUMMYFUNCTION("""COMPUTED_VALUE"""),4.0)</f>
        <v>4</v>
      </c>
      <c r="L759" s="138">
        <v>23.0</v>
      </c>
      <c r="M759" s="140" t="str">
        <f>VLOOKUP(text(D759, "#"),'Master Table'!$A:$F, 6, FALSE)</f>
        <v>F-5</v>
      </c>
      <c r="N759" s="141" t="str">
        <f>IFERROR(__xludf.DUMMYFUNCTION("""COMPUTED_VALUE"""),"Interesting application that extends the current usage of the technology. The presentation was very well done.")</f>
        <v>Interesting application that extends the current usage of the technology. The presentation was very well done.</v>
      </c>
      <c r="O759" s="142" t="str">
        <f t="shared" si="1"/>
        <v/>
      </c>
      <c r="P759" s="143" t="str">
        <f>IF(ISNA(VLOOKUP(CONCAT(M759,C759), 'Judge Count DO NOT EDIT'!H:H, 1, FALSE)), "ERROR","")</f>
        <v/>
      </c>
      <c r="Q759" s="141"/>
      <c r="R759" s="143"/>
      <c r="S759" s="139" t="str">
        <f t="shared" si="2"/>
        <v>1027346</v>
      </c>
      <c r="T759" s="141"/>
    </row>
    <row r="760">
      <c r="A760" s="137">
        <f>IFERROR(__xludf.DUMMYFUNCTION("""COMPUTED_VALUE"""),45352.42507046297)</f>
        <v>45352.42507</v>
      </c>
      <c r="B760" s="138" t="str">
        <f>IFERROR(__xludf.DUMMYFUNCTION("""COMPUTED_VALUE"""),"Lance Elliott ")</f>
        <v>Lance Elliott </v>
      </c>
      <c r="C760" s="138">
        <f>IFERROR(__xludf.DUMMYFUNCTION("""COMPUTED_VALUE"""),1185.0)</f>
        <v>1185</v>
      </c>
      <c r="D760" s="139">
        <f>IFERROR(__xludf.DUMMYFUNCTION("""COMPUTED_VALUE"""),346.0)</f>
        <v>346</v>
      </c>
      <c r="E760" s="138">
        <f>IFERROR(__xludf.DUMMYFUNCTION("""COMPUTED_VALUE"""),4.0)</f>
        <v>4</v>
      </c>
      <c r="F760" s="138">
        <f>IFERROR(__xludf.DUMMYFUNCTION("""COMPUTED_VALUE"""),4.0)</f>
        <v>4</v>
      </c>
      <c r="G760" s="138">
        <f>IFERROR(__xludf.DUMMYFUNCTION("""COMPUTED_VALUE"""),4.0)</f>
        <v>4</v>
      </c>
      <c r="H760" s="138">
        <f>IFERROR(__xludf.DUMMYFUNCTION("""COMPUTED_VALUE"""),4.0)</f>
        <v>4</v>
      </c>
      <c r="I760" s="138">
        <f>IFERROR(__xludf.DUMMYFUNCTION("""COMPUTED_VALUE"""),4.0)</f>
        <v>4</v>
      </c>
      <c r="J760" s="138">
        <f>IFERROR(__xludf.DUMMYFUNCTION("""COMPUTED_VALUE"""),4.0)</f>
        <v>4</v>
      </c>
      <c r="K760" s="138">
        <f>IFERROR(__xludf.DUMMYFUNCTION("""COMPUTED_VALUE"""),4.0)</f>
        <v>4</v>
      </c>
      <c r="L760" s="138">
        <v>28.0</v>
      </c>
      <c r="M760" s="140" t="str">
        <f>VLOOKUP(text(D760, "#"),'Master Table'!$A:$F, 6, FALSE)</f>
        <v>F-5</v>
      </c>
      <c r="N760" s="141" t="str">
        <f>IFERROR(__xludf.DUMMYFUNCTION("""COMPUTED_VALUE"""),"Knew your process and experiment well. Great job conveying compelx, multilevel information.")</f>
        <v>Knew your process and experiment well. Great job conveying compelx, multilevel information.</v>
      </c>
      <c r="O760" s="142" t="str">
        <f t="shared" si="1"/>
        <v/>
      </c>
      <c r="P760" s="143" t="str">
        <f>IF(ISNA(VLOOKUP(CONCAT(M760,C760), 'Judge Count DO NOT EDIT'!H:H, 1, FALSE)), "ERROR","")</f>
        <v/>
      </c>
      <c r="Q760" s="141"/>
      <c r="R760" s="143"/>
      <c r="S760" s="139" t="str">
        <f t="shared" si="2"/>
        <v>1185346</v>
      </c>
      <c r="T760" s="141"/>
    </row>
    <row r="761">
      <c r="A761" s="137">
        <f>IFERROR(__xludf.DUMMYFUNCTION("""COMPUTED_VALUE"""),45352.4409181713)</f>
        <v>45352.44092</v>
      </c>
      <c r="B761" s="138" t="str">
        <f>IFERROR(__xludf.DUMMYFUNCTION("""COMPUTED_VALUE"""),"Jiali Wang")</f>
        <v>Jiali Wang</v>
      </c>
      <c r="C761" s="138">
        <f>IFERROR(__xludf.DUMMYFUNCTION("""COMPUTED_VALUE"""),1223.0)</f>
        <v>1223</v>
      </c>
      <c r="D761" s="139">
        <f>IFERROR(__xludf.DUMMYFUNCTION("""COMPUTED_VALUE"""),346.0)</f>
        <v>346</v>
      </c>
      <c r="E761" s="138">
        <f>IFERROR(__xludf.DUMMYFUNCTION("""COMPUTED_VALUE"""),5.0)</f>
        <v>5</v>
      </c>
      <c r="F761" s="138">
        <f>IFERROR(__xludf.DUMMYFUNCTION("""COMPUTED_VALUE"""),5.0)</f>
        <v>5</v>
      </c>
      <c r="G761" s="138">
        <f>IFERROR(__xludf.DUMMYFUNCTION("""COMPUTED_VALUE"""),5.0)</f>
        <v>5</v>
      </c>
      <c r="H761" s="138">
        <f>IFERROR(__xludf.DUMMYFUNCTION("""COMPUTED_VALUE"""),5.0)</f>
        <v>5</v>
      </c>
      <c r="I761" s="138">
        <f>IFERROR(__xludf.DUMMYFUNCTION("""COMPUTED_VALUE"""),5.0)</f>
        <v>5</v>
      </c>
      <c r="J761" s="138">
        <f>IFERROR(__xludf.DUMMYFUNCTION("""COMPUTED_VALUE"""),5.0)</f>
        <v>5</v>
      </c>
      <c r="K761" s="138">
        <f>IFERROR(__xludf.DUMMYFUNCTION("""COMPUTED_VALUE"""),5.0)</f>
        <v>5</v>
      </c>
      <c r="L761" s="138">
        <v>35.0</v>
      </c>
      <c r="M761" s="140" t="str">
        <f>VLOOKUP(text(D761, "#"),'Master Table'!$A:$F, 6, FALSE)</f>
        <v>F-5</v>
      </c>
      <c r="N761" s="141" t="str">
        <f>IFERROR(__xludf.DUMMYFUNCTION("""COMPUTED_VALUE"""),"Excellent job")</f>
        <v>Excellent job</v>
      </c>
      <c r="O761" s="142" t="str">
        <f t="shared" si="1"/>
        <v/>
      </c>
      <c r="P761" s="143" t="str">
        <f>IF(ISNA(VLOOKUP(CONCAT(M761,C761), 'Judge Count DO NOT EDIT'!H:H, 1, FALSE)), "ERROR","")</f>
        <v/>
      </c>
      <c r="Q761" s="141"/>
      <c r="R761" s="143"/>
      <c r="S761" s="139" t="str">
        <f t="shared" si="2"/>
        <v>1223346</v>
      </c>
      <c r="T761" s="141"/>
    </row>
    <row r="762">
      <c r="A762" s="137">
        <f>IFERROR(__xludf.DUMMYFUNCTION("""COMPUTED_VALUE"""),45352.38548888889)</f>
        <v>45352.38549</v>
      </c>
      <c r="B762" s="138" t="str">
        <f>IFERROR(__xludf.DUMMYFUNCTION("""COMPUTED_VALUE"""),"Manan Katwala")</f>
        <v>Manan Katwala</v>
      </c>
      <c r="C762" s="138">
        <f>IFERROR(__xludf.DUMMYFUNCTION("""COMPUTED_VALUE"""),1027.0)</f>
        <v>1027</v>
      </c>
      <c r="D762" s="139">
        <f>IFERROR(__xludf.DUMMYFUNCTION("""COMPUTED_VALUE"""),347.0)</f>
        <v>347</v>
      </c>
      <c r="E762" s="138">
        <f>IFERROR(__xludf.DUMMYFUNCTION("""COMPUTED_VALUE"""),2.0)</f>
        <v>2</v>
      </c>
      <c r="F762" s="138">
        <f>IFERROR(__xludf.DUMMYFUNCTION("""COMPUTED_VALUE"""),3.0)</f>
        <v>3</v>
      </c>
      <c r="G762" s="138">
        <f>IFERROR(__xludf.DUMMYFUNCTION("""COMPUTED_VALUE"""),3.0)</f>
        <v>3</v>
      </c>
      <c r="H762" s="138">
        <f>IFERROR(__xludf.DUMMYFUNCTION("""COMPUTED_VALUE"""),2.0)</f>
        <v>2</v>
      </c>
      <c r="I762" s="138">
        <f>IFERROR(__xludf.DUMMYFUNCTION("""COMPUTED_VALUE"""),4.0)</f>
        <v>4</v>
      </c>
      <c r="J762" s="138">
        <f>IFERROR(__xludf.DUMMYFUNCTION("""COMPUTED_VALUE"""),3.0)</f>
        <v>3</v>
      </c>
      <c r="K762" s="138">
        <f>IFERROR(__xludf.DUMMYFUNCTION("""COMPUTED_VALUE"""),4.0)</f>
        <v>4</v>
      </c>
      <c r="L762" s="138">
        <v>21.0</v>
      </c>
      <c r="M762" s="140" t="str">
        <f>VLOOKUP(text(D762, "#"),'Master Table'!$A:$F, 6, FALSE)</f>
        <v>F-5</v>
      </c>
      <c r="N762" s="141" t="str">
        <f>IFERROR(__xludf.DUMMYFUNCTION("""COMPUTED_VALUE"""),"Interesting application of quantum physics to a classical problems. The presenters had a good presentation about the topic matter.")</f>
        <v>Interesting application of quantum physics to a classical problems. The presenters had a good presentation about the topic matter.</v>
      </c>
      <c r="O762" s="142" t="str">
        <f t="shared" si="1"/>
        <v/>
      </c>
      <c r="P762" s="143" t="str">
        <f>IF(ISNA(VLOOKUP(CONCAT(M762,C762), 'Judge Count DO NOT EDIT'!H:H, 1, FALSE)), "ERROR","")</f>
        <v/>
      </c>
      <c r="Q762" s="141"/>
      <c r="R762" s="143"/>
      <c r="S762" s="139" t="str">
        <f t="shared" si="2"/>
        <v>1027347</v>
      </c>
      <c r="T762" s="141"/>
    </row>
    <row r="763">
      <c r="A763" s="137">
        <f>IFERROR(__xludf.DUMMYFUNCTION("""COMPUTED_VALUE"""),45352.38872740741)</f>
        <v>45352.38873</v>
      </c>
      <c r="B763" s="138" t="str">
        <f>IFERROR(__xludf.DUMMYFUNCTION("""COMPUTED_VALUE"""),"Nagy")</f>
        <v>Nagy</v>
      </c>
      <c r="C763" s="138">
        <f>IFERROR(__xludf.DUMMYFUNCTION("""COMPUTED_VALUE"""),1206.0)</f>
        <v>1206</v>
      </c>
      <c r="D763" s="139">
        <f>IFERROR(__xludf.DUMMYFUNCTION("""COMPUTED_VALUE"""),347.0)</f>
        <v>347</v>
      </c>
      <c r="E763" s="138">
        <f>IFERROR(__xludf.DUMMYFUNCTION("""COMPUTED_VALUE"""),4.0)</f>
        <v>4</v>
      </c>
      <c r="F763" s="138">
        <f>IFERROR(__xludf.DUMMYFUNCTION("""COMPUTED_VALUE"""),5.0)</f>
        <v>5</v>
      </c>
      <c r="G763" s="138">
        <f>IFERROR(__xludf.DUMMYFUNCTION("""COMPUTED_VALUE"""),4.0)</f>
        <v>4</v>
      </c>
      <c r="H763" s="138">
        <f>IFERROR(__xludf.DUMMYFUNCTION("""COMPUTED_VALUE"""),4.0)</f>
        <v>4</v>
      </c>
      <c r="I763" s="138">
        <f>IFERROR(__xludf.DUMMYFUNCTION("""COMPUTED_VALUE"""),3.0)</f>
        <v>3</v>
      </c>
      <c r="J763" s="138">
        <f>IFERROR(__xludf.DUMMYFUNCTION("""COMPUTED_VALUE"""),3.0)</f>
        <v>3</v>
      </c>
      <c r="K763" s="138">
        <f>IFERROR(__xludf.DUMMYFUNCTION("""COMPUTED_VALUE"""),3.0)</f>
        <v>3</v>
      </c>
      <c r="L763" s="138">
        <v>26.0</v>
      </c>
      <c r="M763" s="140" t="str">
        <f>VLOOKUP(text(D763, "#"),'Master Table'!$A:$F, 6, FALSE)</f>
        <v>F-5</v>
      </c>
      <c r="N763" s="141" t="str">
        <f>IFERROR(__xludf.DUMMYFUNCTION("""COMPUTED_VALUE"""),"Oral presentation need to be adequate for someone outside of the field. ")</f>
        <v>Oral presentation need to be adequate for someone outside of the field. </v>
      </c>
      <c r="O763" s="142" t="str">
        <f t="shared" si="1"/>
        <v/>
      </c>
      <c r="P763" s="143" t="str">
        <f>IF(ISNA(VLOOKUP(CONCAT(M763,C763), 'Judge Count DO NOT EDIT'!H:H, 1, FALSE)), "ERROR","")</f>
        <v/>
      </c>
      <c r="Q763" s="141"/>
      <c r="R763" s="143"/>
      <c r="S763" s="139" t="str">
        <f t="shared" si="2"/>
        <v>1206347</v>
      </c>
      <c r="T763" s="141"/>
    </row>
    <row r="764">
      <c r="A764" s="137">
        <f>IFERROR(__xludf.DUMMYFUNCTION("""COMPUTED_VALUE"""),45352.40352704861)</f>
        <v>45352.40353</v>
      </c>
      <c r="B764" s="138" t="str">
        <f>IFERROR(__xludf.DUMMYFUNCTION("""COMPUTED_VALUE"""),"Lance Elliott ")</f>
        <v>Lance Elliott </v>
      </c>
      <c r="C764" s="138">
        <f>IFERROR(__xludf.DUMMYFUNCTION("""COMPUTED_VALUE"""),1185.0)</f>
        <v>1185</v>
      </c>
      <c r="D764" s="139">
        <f>IFERROR(__xludf.DUMMYFUNCTION("""COMPUTED_VALUE"""),347.0)</f>
        <v>347</v>
      </c>
      <c r="E764" s="138">
        <f>IFERROR(__xludf.DUMMYFUNCTION("""COMPUTED_VALUE"""),4.0)</f>
        <v>4</v>
      </c>
      <c r="F764" s="138">
        <f>IFERROR(__xludf.DUMMYFUNCTION("""COMPUTED_VALUE"""),5.0)</f>
        <v>5</v>
      </c>
      <c r="G764" s="138">
        <f>IFERROR(__xludf.DUMMYFUNCTION("""COMPUTED_VALUE"""),5.0)</f>
        <v>5</v>
      </c>
      <c r="H764" s="138">
        <f>IFERROR(__xludf.DUMMYFUNCTION("""COMPUTED_VALUE"""),4.0)</f>
        <v>4</v>
      </c>
      <c r="I764" s="138">
        <f>IFERROR(__xludf.DUMMYFUNCTION("""COMPUTED_VALUE"""),4.0)</f>
        <v>4</v>
      </c>
      <c r="J764" s="138">
        <f>IFERROR(__xludf.DUMMYFUNCTION("""COMPUTED_VALUE"""),4.0)</f>
        <v>4</v>
      </c>
      <c r="K764" s="138">
        <f>IFERROR(__xludf.DUMMYFUNCTION("""COMPUTED_VALUE"""),4.0)</f>
        <v>4</v>
      </c>
      <c r="L764" s="138">
        <v>30.0</v>
      </c>
      <c r="M764" s="140" t="str">
        <f>VLOOKUP(text(D764, "#"),'Master Table'!$A:$F, 6, FALSE)</f>
        <v>F-5</v>
      </c>
      <c r="N764" s="141" t="str">
        <f>IFERROR(__xludf.DUMMYFUNCTION("""COMPUTED_VALUE"""),"Great energy. Looking forward to applications of the science.")</f>
        <v>Great energy. Looking forward to applications of the science.</v>
      </c>
      <c r="O764" s="142" t="str">
        <f t="shared" si="1"/>
        <v/>
      </c>
      <c r="P764" s="143" t="str">
        <f>IF(ISNA(VLOOKUP(CONCAT(M764,C764), 'Judge Count DO NOT EDIT'!H:H, 1, FALSE)), "ERROR","")</f>
        <v/>
      </c>
      <c r="Q764" s="141"/>
      <c r="R764" s="143"/>
      <c r="S764" s="139" t="str">
        <f t="shared" si="2"/>
        <v>1185347</v>
      </c>
      <c r="T764" s="141"/>
    </row>
    <row r="765">
      <c r="A765" s="137">
        <f>IFERROR(__xludf.DUMMYFUNCTION("""COMPUTED_VALUE"""),45352.44156170139)</f>
        <v>45352.44156</v>
      </c>
      <c r="B765" s="138" t="str">
        <f>IFERROR(__xludf.DUMMYFUNCTION("""COMPUTED_VALUE"""),"Jiali Wang")</f>
        <v>Jiali Wang</v>
      </c>
      <c r="C765" s="138">
        <f>IFERROR(__xludf.DUMMYFUNCTION("""COMPUTED_VALUE"""),1223.0)</f>
        <v>1223</v>
      </c>
      <c r="D765" s="139">
        <f>IFERROR(__xludf.DUMMYFUNCTION("""COMPUTED_VALUE"""),347.0)</f>
        <v>347</v>
      </c>
      <c r="E765" s="138">
        <f>IFERROR(__xludf.DUMMYFUNCTION("""COMPUTED_VALUE"""),5.0)</f>
        <v>5</v>
      </c>
      <c r="F765" s="138">
        <f>IFERROR(__xludf.DUMMYFUNCTION("""COMPUTED_VALUE"""),4.0)</f>
        <v>4</v>
      </c>
      <c r="G765" s="138">
        <f>IFERROR(__xludf.DUMMYFUNCTION("""COMPUTED_VALUE"""),4.0)</f>
        <v>4</v>
      </c>
      <c r="H765" s="138">
        <f>IFERROR(__xludf.DUMMYFUNCTION("""COMPUTED_VALUE"""),5.0)</f>
        <v>5</v>
      </c>
      <c r="I765" s="138">
        <f>IFERROR(__xludf.DUMMYFUNCTION("""COMPUTED_VALUE"""),5.0)</f>
        <v>5</v>
      </c>
      <c r="J765" s="138">
        <f>IFERROR(__xludf.DUMMYFUNCTION("""COMPUTED_VALUE"""),5.0)</f>
        <v>5</v>
      </c>
      <c r="K765" s="138">
        <f>IFERROR(__xludf.DUMMYFUNCTION("""COMPUTED_VALUE"""),5.0)</f>
        <v>5</v>
      </c>
      <c r="L765" s="138">
        <v>33.0</v>
      </c>
      <c r="M765" s="140" t="str">
        <f>VLOOKUP(text(D765, "#"),'Master Table'!$A:$F, 6, FALSE)</f>
        <v>F-5</v>
      </c>
      <c r="N765" s="141"/>
      <c r="O765" s="142" t="str">
        <f t="shared" si="1"/>
        <v/>
      </c>
      <c r="P765" s="143" t="str">
        <f>IF(ISNA(VLOOKUP(CONCAT(M765,C765), 'Judge Count DO NOT EDIT'!H:H, 1, FALSE)), "ERROR","")</f>
        <v/>
      </c>
      <c r="Q765" s="141"/>
      <c r="R765" s="143"/>
      <c r="S765" s="139" t="str">
        <f t="shared" si="2"/>
        <v>1223347</v>
      </c>
      <c r="T765" s="141"/>
    </row>
    <row r="766">
      <c r="A766" s="137">
        <f>IFERROR(__xludf.DUMMYFUNCTION("""COMPUTED_VALUE"""),45352.38780453704)</f>
        <v>45352.3878</v>
      </c>
      <c r="B766" s="138" t="str">
        <f>IFERROR(__xludf.DUMMYFUNCTION("""COMPUTED_VALUE"""),"Lance Elliott ")</f>
        <v>Lance Elliott </v>
      </c>
      <c r="C766" s="138">
        <f>IFERROR(__xludf.DUMMYFUNCTION("""COMPUTED_VALUE"""),1185.0)</f>
        <v>1185</v>
      </c>
      <c r="D766" s="139">
        <f>IFERROR(__xludf.DUMMYFUNCTION("""COMPUTED_VALUE"""),348.0)</f>
        <v>348</v>
      </c>
      <c r="E766" s="138">
        <f>IFERROR(__xludf.DUMMYFUNCTION("""COMPUTED_VALUE"""),4.0)</f>
        <v>4</v>
      </c>
      <c r="F766" s="138">
        <f>IFERROR(__xludf.DUMMYFUNCTION("""COMPUTED_VALUE"""),3.0)</f>
        <v>3</v>
      </c>
      <c r="G766" s="138">
        <f>IFERROR(__xludf.DUMMYFUNCTION("""COMPUTED_VALUE"""),3.0)</f>
        <v>3</v>
      </c>
      <c r="H766" s="138">
        <f>IFERROR(__xludf.DUMMYFUNCTION("""COMPUTED_VALUE"""),3.0)</f>
        <v>3</v>
      </c>
      <c r="I766" s="138">
        <f>IFERROR(__xludf.DUMMYFUNCTION("""COMPUTED_VALUE"""),4.0)</f>
        <v>4</v>
      </c>
      <c r="J766" s="138">
        <f>IFERROR(__xludf.DUMMYFUNCTION("""COMPUTED_VALUE"""),4.0)</f>
        <v>4</v>
      </c>
      <c r="K766" s="138">
        <f>IFERROR(__xludf.DUMMYFUNCTION("""COMPUTED_VALUE"""),4.0)</f>
        <v>4</v>
      </c>
      <c r="L766" s="138">
        <v>25.0</v>
      </c>
      <c r="M766" s="140" t="str">
        <f>VLOOKUP(text(D766, "#"),'Master Table'!$A:$F, 6, FALSE)</f>
        <v>F-5</v>
      </c>
      <c r="N766" s="141"/>
      <c r="O766" s="142" t="str">
        <f t="shared" si="1"/>
        <v/>
      </c>
      <c r="P766" s="143" t="str">
        <f>IF(ISNA(VLOOKUP(CONCAT(M766,C766), 'Judge Count DO NOT EDIT'!H:H, 1, FALSE)), "ERROR","")</f>
        <v/>
      </c>
      <c r="Q766" s="141"/>
      <c r="R766" s="143"/>
      <c r="S766" s="139" t="str">
        <f t="shared" si="2"/>
        <v>1185348</v>
      </c>
      <c r="T766" s="141"/>
    </row>
    <row r="767">
      <c r="A767" s="137">
        <f>IFERROR(__xludf.DUMMYFUNCTION("""COMPUTED_VALUE"""),45352.39662668981)</f>
        <v>45352.39663</v>
      </c>
      <c r="B767" s="138" t="str">
        <f>IFERROR(__xludf.DUMMYFUNCTION("""COMPUTED_VALUE"""),"Nagy")</f>
        <v>Nagy</v>
      </c>
      <c r="C767" s="138">
        <f>IFERROR(__xludf.DUMMYFUNCTION("""COMPUTED_VALUE"""),1206.0)</f>
        <v>1206</v>
      </c>
      <c r="D767" s="139">
        <f>IFERROR(__xludf.DUMMYFUNCTION("""COMPUTED_VALUE"""),348.0)</f>
        <v>348</v>
      </c>
      <c r="E767" s="138">
        <f>IFERROR(__xludf.DUMMYFUNCTION("""COMPUTED_VALUE"""),4.0)</f>
        <v>4</v>
      </c>
      <c r="F767" s="138">
        <f>IFERROR(__xludf.DUMMYFUNCTION("""COMPUTED_VALUE"""),4.0)</f>
        <v>4</v>
      </c>
      <c r="G767" s="138">
        <f>IFERROR(__xludf.DUMMYFUNCTION("""COMPUTED_VALUE"""),3.0)</f>
        <v>3</v>
      </c>
      <c r="H767" s="138">
        <f>IFERROR(__xludf.DUMMYFUNCTION("""COMPUTED_VALUE"""),3.0)</f>
        <v>3</v>
      </c>
      <c r="I767" s="138">
        <f>IFERROR(__xludf.DUMMYFUNCTION("""COMPUTED_VALUE"""),4.0)</f>
        <v>4</v>
      </c>
      <c r="J767" s="138">
        <f>IFERROR(__xludf.DUMMYFUNCTION("""COMPUTED_VALUE"""),3.0)</f>
        <v>3</v>
      </c>
      <c r="K767" s="138">
        <f>IFERROR(__xludf.DUMMYFUNCTION("""COMPUTED_VALUE"""),4.0)</f>
        <v>4</v>
      </c>
      <c r="L767" s="138">
        <v>25.0</v>
      </c>
      <c r="M767" s="140" t="str">
        <f>VLOOKUP(text(D767, "#"),'Master Table'!$A:$F, 6, FALSE)</f>
        <v>F-5</v>
      </c>
      <c r="N767" s="141"/>
      <c r="O767" s="142" t="str">
        <f t="shared" si="1"/>
        <v/>
      </c>
      <c r="P767" s="143" t="str">
        <f>IF(ISNA(VLOOKUP(CONCAT(M767,C767), 'Judge Count DO NOT EDIT'!H:H, 1, FALSE)), "ERROR","")</f>
        <v/>
      </c>
      <c r="Q767" s="144"/>
      <c r="R767" s="143"/>
      <c r="S767" s="139" t="str">
        <f t="shared" si="2"/>
        <v>1206348</v>
      </c>
      <c r="T767" s="141"/>
    </row>
    <row r="768">
      <c r="A768" s="137">
        <f>IFERROR(__xludf.DUMMYFUNCTION("""COMPUTED_VALUE"""),45352.40569716435)</f>
        <v>45352.4057</v>
      </c>
      <c r="B768" s="138" t="str">
        <f>IFERROR(__xludf.DUMMYFUNCTION("""COMPUTED_VALUE"""),"Manan Katwala ")</f>
        <v>Manan Katwala </v>
      </c>
      <c r="C768" s="138">
        <f>IFERROR(__xludf.DUMMYFUNCTION("""COMPUTED_VALUE"""),1027.0)</f>
        <v>1027</v>
      </c>
      <c r="D768" s="139">
        <f>IFERROR(__xludf.DUMMYFUNCTION("""COMPUTED_VALUE"""),348.0)</f>
        <v>348</v>
      </c>
      <c r="E768" s="138">
        <f>IFERROR(__xludf.DUMMYFUNCTION("""COMPUTED_VALUE"""),3.0)</f>
        <v>3</v>
      </c>
      <c r="F768" s="138">
        <f>IFERROR(__xludf.DUMMYFUNCTION("""COMPUTED_VALUE"""),2.0)</f>
        <v>2</v>
      </c>
      <c r="G768" s="138">
        <f>IFERROR(__xludf.DUMMYFUNCTION("""COMPUTED_VALUE"""),3.0)</f>
        <v>3</v>
      </c>
      <c r="H768" s="138">
        <f>IFERROR(__xludf.DUMMYFUNCTION("""COMPUTED_VALUE"""),2.0)</f>
        <v>2</v>
      </c>
      <c r="I768" s="138">
        <f>IFERROR(__xludf.DUMMYFUNCTION("""COMPUTED_VALUE"""),3.0)</f>
        <v>3</v>
      </c>
      <c r="J768" s="138">
        <f>IFERROR(__xludf.DUMMYFUNCTION("""COMPUTED_VALUE"""),3.0)</f>
        <v>3</v>
      </c>
      <c r="K768" s="138">
        <f>IFERROR(__xludf.DUMMYFUNCTION("""COMPUTED_VALUE"""),3.0)</f>
        <v>3</v>
      </c>
      <c r="L768" s="138">
        <v>19.0</v>
      </c>
      <c r="M768" s="140" t="str">
        <f>VLOOKUP(text(D768, "#"),'Master Table'!$A:$F, 6, FALSE)</f>
        <v>F-5</v>
      </c>
      <c r="N768" s="141" t="str">
        <f>IFERROR(__xludf.DUMMYFUNCTION("""COMPUTED_VALUE"""),"Interesting ML application with a lot of scaling up opportunities. Good amount of effort put in each step of the pipeline.")</f>
        <v>Interesting ML application with a lot of scaling up opportunities. Good amount of effort put in each step of the pipeline.</v>
      </c>
      <c r="O768" s="142" t="str">
        <f t="shared" si="1"/>
        <v/>
      </c>
      <c r="P768" s="143" t="str">
        <f>IF(ISNA(VLOOKUP(CONCAT(M768,C768), 'Judge Count DO NOT EDIT'!H:H, 1, FALSE)), "ERROR","")</f>
        <v/>
      </c>
      <c r="Q768" s="141"/>
      <c r="R768" s="143"/>
      <c r="S768" s="139" t="str">
        <f t="shared" si="2"/>
        <v>1027348</v>
      </c>
      <c r="T768" s="141"/>
    </row>
    <row r="769">
      <c r="A769" s="137">
        <f>IFERROR(__xludf.DUMMYFUNCTION("""COMPUTED_VALUE"""),45352.44202314815)</f>
        <v>45352.44202</v>
      </c>
      <c r="B769" s="138" t="str">
        <f>IFERROR(__xludf.DUMMYFUNCTION("""COMPUTED_VALUE"""),"Jiali Wang")</f>
        <v>Jiali Wang</v>
      </c>
      <c r="C769" s="138">
        <f>IFERROR(__xludf.DUMMYFUNCTION("""COMPUTED_VALUE"""),1223.0)</f>
        <v>1223</v>
      </c>
      <c r="D769" s="139">
        <f>IFERROR(__xludf.DUMMYFUNCTION("""COMPUTED_VALUE"""),348.0)</f>
        <v>348</v>
      </c>
      <c r="E769" s="138">
        <f>IFERROR(__xludf.DUMMYFUNCTION("""COMPUTED_VALUE"""),5.0)</f>
        <v>5</v>
      </c>
      <c r="F769" s="138">
        <f>IFERROR(__xludf.DUMMYFUNCTION("""COMPUTED_VALUE"""),5.0)</f>
        <v>5</v>
      </c>
      <c r="G769" s="138">
        <f>IFERROR(__xludf.DUMMYFUNCTION("""COMPUTED_VALUE"""),5.0)</f>
        <v>5</v>
      </c>
      <c r="H769" s="138">
        <f>IFERROR(__xludf.DUMMYFUNCTION("""COMPUTED_VALUE"""),4.0)</f>
        <v>4</v>
      </c>
      <c r="I769" s="138">
        <f>IFERROR(__xludf.DUMMYFUNCTION("""COMPUTED_VALUE"""),4.0)</f>
        <v>4</v>
      </c>
      <c r="J769" s="138">
        <f>IFERROR(__xludf.DUMMYFUNCTION("""COMPUTED_VALUE"""),4.0)</f>
        <v>4</v>
      </c>
      <c r="K769" s="138">
        <f>IFERROR(__xludf.DUMMYFUNCTION("""COMPUTED_VALUE"""),4.0)</f>
        <v>4</v>
      </c>
      <c r="L769" s="138">
        <v>31.0</v>
      </c>
      <c r="M769" s="140" t="str">
        <f>VLOOKUP(text(D769, "#"),'Master Table'!$A:$F, 6, FALSE)</f>
        <v>F-5</v>
      </c>
      <c r="N769" s="141"/>
      <c r="O769" s="142" t="str">
        <f t="shared" si="1"/>
        <v/>
      </c>
      <c r="P769" s="143" t="str">
        <f>IF(ISNA(VLOOKUP(CONCAT(M769,C769), 'Judge Count DO NOT EDIT'!H:H, 1, FALSE)), "ERROR","")</f>
        <v/>
      </c>
      <c r="Q769" s="141"/>
      <c r="R769" s="143"/>
      <c r="S769" s="139" t="str">
        <f t="shared" si="2"/>
        <v>1223348</v>
      </c>
      <c r="T769" s="141"/>
    </row>
    <row r="770">
      <c r="A770" s="137">
        <f>IFERROR(__xludf.DUMMYFUNCTION("""COMPUTED_VALUE"""),45352.388796493055)</f>
        <v>45352.3888</v>
      </c>
      <c r="B770" s="138" t="str">
        <f>IFERROR(__xludf.DUMMYFUNCTION("""COMPUTED_VALUE"""),"Lance Elliott ")</f>
        <v>Lance Elliott </v>
      </c>
      <c r="C770" s="138">
        <f>IFERROR(__xludf.DUMMYFUNCTION("""COMPUTED_VALUE"""),1185.0)</f>
        <v>1185</v>
      </c>
      <c r="D770" s="139">
        <f>IFERROR(__xludf.DUMMYFUNCTION("""COMPUTED_VALUE"""),349.0)</f>
        <v>349</v>
      </c>
      <c r="E770" s="138">
        <f>IFERROR(__xludf.DUMMYFUNCTION("""COMPUTED_VALUE"""),4.0)</f>
        <v>4</v>
      </c>
      <c r="F770" s="138">
        <f>IFERROR(__xludf.DUMMYFUNCTION("""COMPUTED_VALUE"""),4.0)</f>
        <v>4</v>
      </c>
      <c r="G770" s="138">
        <f>IFERROR(__xludf.DUMMYFUNCTION("""COMPUTED_VALUE"""),3.0)</f>
        <v>3</v>
      </c>
      <c r="H770" s="138">
        <f>IFERROR(__xludf.DUMMYFUNCTION("""COMPUTED_VALUE"""),3.0)</f>
        <v>3</v>
      </c>
      <c r="I770" s="138">
        <f>IFERROR(__xludf.DUMMYFUNCTION("""COMPUTED_VALUE"""),4.0)</f>
        <v>4</v>
      </c>
      <c r="J770" s="138">
        <f>IFERROR(__xludf.DUMMYFUNCTION("""COMPUTED_VALUE"""),4.0)</f>
        <v>4</v>
      </c>
      <c r="K770" s="138">
        <f>IFERROR(__xludf.DUMMYFUNCTION("""COMPUTED_VALUE"""),4.0)</f>
        <v>4</v>
      </c>
      <c r="L770" s="138">
        <v>26.0</v>
      </c>
      <c r="M770" s="140" t="str">
        <f>VLOOKUP(text(D770, "#"),'Master Table'!$A:$F, 6, FALSE)</f>
        <v>F-5</v>
      </c>
      <c r="N770" s="141" t="str">
        <f>IFERROR(__xludf.DUMMYFUNCTION("""COMPUTED_VALUE"""),"Looking forward to the next steps.")</f>
        <v>Looking forward to the next steps.</v>
      </c>
      <c r="O770" s="142" t="str">
        <f t="shared" si="1"/>
        <v/>
      </c>
      <c r="P770" s="143" t="str">
        <f>IF(ISNA(VLOOKUP(CONCAT(M770,C770), 'Judge Count DO NOT EDIT'!H:H, 1, FALSE)), "ERROR","")</f>
        <v/>
      </c>
      <c r="Q770" s="141"/>
      <c r="R770" s="143"/>
      <c r="S770" s="139" t="str">
        <f t="shared" si="2"/>
        <v>1185349</v>
      </c>
      <c r="T770" s="141"/>
    </row>
    <row r="771">
      <c r="A771" s="137">
        <f>IFERROR(__xludf.DUMMYFUNCTION("""COMPUTED_VALUE"""),45352.405170011574)</f>
        <v>45352.40517</v>
      </c>
      <c r="B771" s="138" t="str">
        <f>IFERROR(__xludf.DUMMYFUNCTION("""COMPUTED_VALUE"""),"Nagy")</f>
        <v>Nagy</v>
      </c>
      <c r="C771" s="138">
        <f>IFERROR(__xludf.DUMMYFUNCTION("""COMPUTED_VALUE"""),1206.0)</f>
        <v>1206</v>
      </c>
      <c r="D771" s="139">
        <f>IFERROR(__xludf.DUMMYFUNCTION("""COMPUTED_VALUE"""),349.0)</f>
        <v>349</v>
      </c>
      <c r="E771" s="138">
        <f>IFERROR(__xludf.DUMMYFUNCTION("""COMPUTED_VALUE"""),3.0)</f>
        <v>3</v>
      </c>
      <c r="F771" s="138">
        <f>IFERROR(__xludf.DUMMYFUNCTION("""COMPUTED_VALUE"""),4.0)</f>
        <v>4</v>
      </c>
      <c r="G771" s="138">
        <f>IFERROR(__xludf.DUMMYFUNCTION("""COMPUTED_VALUE"""),5.0)</f>
        <v>5</v>
      </c>
      <c r="H771" s="138">
        <f>IFERROR(__xludf.DUMMYFUNCTION("""COMPUTED_VALUE"""),3.0)</f>
        <v>3</v>
      </c>
      <c r="I771" s="138">
        <f>IFERROR(__xludf.DUMMYFUNCTION("""COMPUTED_VALUE"""),4.0)</f>
        <v>4</v>
      </c>
      <c r="J771" s="138">
        <f>IFERROR(__xludf.DUMMYFUNCTION("""COMPUTED_VALUE"""),3.0)</f>
        <v>3</v>
      </c>
      <c r="K771" s="138">
        <f>IFERROR(__xludf.DUMMYFUNCTION("""COMPUTED_VALUE"""),4.0)</f>
        <v>4</v>
      </c>
      <c r="L771" s="138">
        <v>26.0</v>
      </c>
      <c r="M771" s="140" t="str">
        <f>VLOOKUP(text(D771, "#"),'Master Table'!$A:$F, 6, FALSE)</f>
        <v>F-5</v>
      </c>
      <c r="N771" s="141" t="str">
        <f>IFERROR(__xludf.DUMMYFUNCTION("""COMPUTED_VALUE"""),"Still not clear how fiber glass would improve tensile strength due to bending!")</f>
        <v>Still not clear how fiber glass would improve tensile strength due to bending!</v>
      </c>
      <c r="O771" s="142" t="str">
        <f t="shared" si="1"/>
        <v/>
      </c>
      <c r="P771" s="143" t="str">
        <f>IF(ISNA(VLOOKUP(CONCAT(M771,C771), 'Judge Count DO NOT EDIT'!H:H, 1, FALSE)), "ERROR","")</f>
        <v/>
      </c>
      <c r="Q771" s="141"/>
      <c r="R771" s="143"/>
      <c r="S771" s="139" t="str">
        <f t="shared" si="2"/>
        <v>1206349</v>
      </c>
      <c r="T771" s="141"/>
    </row>
    <row r="772">
      <c r="A772" s="137">
        <f>IFERROR(__xludf.DUMMYFUNCTION("""COMPUTED_VALUE"""),45352.41234969907)</f>
        <v>45352.41235</v>
      </c>
      <c r="B772" s="138" t="str">
        <f>IFERROR(__xludf.DUMMYFUNCTION("""COMPUTED_VALUE"""),"Manan Katwala ")</f>
        <v>Manan Katwala </v>
      </c>
      <c r="C772" s="138">
        <f>IFERROR(__xludf.DUMMYFUNCTION("""COMPUTED_VALUE"""),1027.0)</f>
        <v>1027</v>
      </c>
      <c r="D772" s="139">
        <f>IFERROR(__xludf.DUMMYFUNCTION("""COMPUTED_VALUE"""),349.0)</f>
        <v>349</v>
      </c>
      <c r="E772" s="138">
        <f>IFERROR(__xludf.DUMMYFUNCTION("""COMPUTED_VALUE"""),2.0)</f>
        <v>2</v>
      </c>
      <c r="F772" s="138">
        <f>IFERROR(__xludf.DUMMYFUNCTION("""COMPUTED_VALUE"""),3.0)</f>
        <v>3</v>
      </c>
      <c r="G772" s="138">
        <f>IFERROR(__xludf.DUMMYFUNCTION("""COMPUTED_VALUE"""),3.0)</f>
        <v>3</v>
      </c>
      <c r="H772" s="138">
        <f>IFERROR(__xludf.DUMMYFUNCTION("""COMPUTED_VALUE"""),2.0)</f>
        <v>2</v>
      </c>
      <c r="I772" s="138">
        <f>IFERROR(__xludf.DUMMYFUNCTION("""COMPUTED_VALUE"""),3.0)</f>
        <v>3</v>
      </c>
      <c r="J772" s="138">
        <f>IFERROR(__xludf.DUMMYFUNCTION("""COMPUTED_VALUE"""),2.0)</f>
        <v>2</v>
      </c>
      <c r="K772" s="138">
        <f>IFERROR(__xludf.DUMMYFUNCTION("""COMPUTED_VALUE"""),2.0)</f>
        <v>2</v>
      </c>
      <c r="L772" s="138">
        <v>17.0</v>
      </c>
      <c r="M772" s="140" t="str">
        <f>VLOOKUP(text(D772, "#"),'Master Table'!$A:$F, 6, FALSE)</f>
        <v>F-5</v>
      </c>
      <c r="N772" s="141" t="str">
        <f>IFERROR(__xludf.DUMMYFUNCTION("""COMPUTED_VALUE"""),"Interesting application to look at alternatives of the currently used methods. ")</f>
        <v>Interesting application to look at alternatives of the currently used methods. </v>
      </c>
      <c r="O772" s="142" t="str">
        <f t="shared" si="1"/>
        <v/>
      </c>
      <c r="P772" s="143" t="str">
        <f>IF(ISNA(VLOOKUP(CONCAT(M772,C772), 'Judge Count DO NOT EDIT'!H:H, 1, FALSE)), "ERROR","")</f>
        <v/>
      </c>
      <c r="Q772" s="141"/>
      <c r="R772" s="143">
        <f>Countif(P772:P2293, "ERROR")</f>
        <v>677</v>
      </c>
      <c r="S772" s="139" t="str">
        <f t="shared" si="2"/>
        <v>1027349</v>
      </c>
      <c r="T772" s="141"/>
    </row>
    <row r="773">
      <c r="A773" s="137">
        <f>IFERROR(__xludf.DUMMYFUNCTION("""COMPUTED_VALUE"""),45352.44254859954)</f>
        <v>45352.44255</v>
      </c>
      <c r="B773" s="138" t="str">
        <f>IFERROR(__xludf.DUMMYFUNCTION("""COMPUTED_VALUE"""),"Jiali Wang")</f>
        <v>Jiali Wang</v>
      </c>
      <c r="C773" s="138">
        <f>IFERROR(__xludf.DUMMYFUNCTION("""COMPUTED_VALUE"""),1223.0)</f>
        <v>1223</v>
      </c>
      <c r="D773" s="139">
        <f>IFERROR(__xludf.DUMMYFUNCTION("""COMPUTED_VALUE"""),349.0)</f>
        <v>349</v>
      </c>
      <c r="E773" s="138">
        <f>IFERROR(__xludf.DUMMYFUNCTION("""COMPUTED_VALUE"""),4.0)</f>
        <v>4</v>
      </c>
      <c r="F773" s="138">
        <f>IFERROR(__xludf.DUMMYFUNCTION("""COMPUTED_VALUE"""),4.0)</f>
        <v>4</v>
      </c>
      <c r="G773" s="138">
        <f>IFERROR(__xludf.DUMMYFUNCTION("""COMPUTED_VALUE"""),5.0)</f>
        <v>5</v>
      </c>
      <c r="H773" s="138">
        <f>IFERROR(__xludf.DUMMYFUNCTION("""COMPUTED_VALUE"""),5.0)</f>
        <v>5</v>
      </c>
      <c r="I773" s="138">
        <f>IFERROR(__xludf.DUMMYFUNCTION("""COMPUTED_VALUE"""),5.0)</f>
        <v>5</v>
      </c>
      <c r="J773" s="138">
        <f>IFERROR(__xludf.DUMMYFUNCTION("""COMPUTED_VALUE"""),5.0)</f>
        <v>5</v>
      </c>
      <c r="K773" s="138">
        <f>IFERROR(__xludf.DUMMYFUNCTION("""COMPUTED_VALUE"""),5.0)</f>
        <v>5</v>
      </c>
      <c r="L773" s="138">
        <v>33.0</v>
      </c>
      <c r="M773" s="140" t="str">
        <f>VLOOKUP(text(D773, "#"),'Master Table'!$A:$F, 6, FALSE)</f>
        <v>F-5</v>
      </c>
      <c r="N773" s="141"/>
      <c r="O773" s="142" t="str">
        <f t="shared" si="1"/>
        <v/>
      </c>
      <c r="P773" s="143" t="str">
        <f>IF(ISNA(VLOOKUP(CONCAT(M773,C773), 'Judge Count DO NOT EDIT'!H:H, 1, FALSE)), "ERROR","")</f>
        <v/>
      </c>
      <c r="Q773" s="141"/>
      <c r="R773" s="143"/>
      <c r="S773" s="139" t="str">
        <f t="shared" si="2"/>
        <v>1223349</v>
      </c>
      <c r="T773" s="141"/>
    </row>
    <row r="774">
      <c r="A774" s="137">
        <f>IFERROR(__xludf.DUMMYFUNCTION("""COMPUTED_VALUE"""),45352.41535236111)</f>
        <v>45352.41535</v>
      </c>
      <c r="B774" s="138" t="str">
        <f>IFERROR(__xludf.DUMMYFUNCTION("""COMPUTED_VALUE"""),"Nagy")</f>
        <v>Nagy</v>
      </c>
      <c r="C774" s="138">
        <f>IFERROR(__xludf.DUMMYFUNCTION("""COMPUTED_VALUE"""),1206.0)</f>
        <v>1206</v>
      </c>
      <c r="D774" s="139">
        <f>IFERROR(__xludf.DUMMYFUNCTION("""COMPUTED_VALUE"""),350.0)</f>
        <v>350</v>
      </c>
      <c r="E774" s="138">
        <f>IFERROR(__xludf.DUMMYFUNCTION("""COMPUTED_VALUE"""),3.0)</f>
        <v>3</v>
      </c>
      <c r="F774" s="138">
        <f>IFERROR(__xludf.DUMMYFUNCTION("""COMPUTED_VALUE"""),4.0)</f>
        <v>4</v>
      </c>
      <c r="G774" s="138">
        <f>IFERROR(__xludf.DUMMYFUNCTION("""COMPUTED_VALUE"""),4.0)</f>
        <v>4</v>
      </c>
      <c r="H774" s="138">
        <f>IFERROR(__xludf.DUMMYFUNCTION("""COMPUTED_VALUE"""),3.0)</f>
        <v>3</v>
      </c>
      <c r="I774" s="138">
        <f>IFERROR(__xludf.DUMMYFUNCTION("""COMPUTED_VALUE"""),4.0)</f>
        <v>4</v>
      </c>
      <c r="J774" s="138">
        <f>IFERROR(__xludf.DUMMYFUNCTION("""COMPUTED_VALUE"""),3.0)</f>
        <v>3</v>
      </c>
      <c r="K774" s="138">
        <f>IFERROR(__xludf.DUMMYFUNCTION("""COMPUTED_VALUE"""),5.0)</f>
        <v>5</v>
      </c>
      <c r="L774" s="138">
        <v>26.0</v>
      </c>
      <c r="M774" s="140" t="str">
        <f>VLOOKUP(text(D774, "#"),'Master Table'!$A:$F, 6, FALSE)</f>
        <v>F-5</v>
      </c>
      <c r="N774" s="141" t="str">
        <f>IFERROR(__xludf.DUMMYFUNCTION("""COMPUTED_VALUE"""),"Should exhibit the definition of HF183:PMMoV!")</f>
        <v>Should exhibit the definition of HF183:PMMoV!</v>
      </c>
      <c r="O774" s="142" t="str">
        <f t="shared" si="1"/>
        <v/>
      </c>
      <c r="P774" s="143" t="str">
        <f>IF(ISNA(VLOOKUP(CONCAT(M774,C774), 'Judge Count DO NOT EDIT'!H:H, 1, FALSE)), "ERROR","")</f>
        <v/>
      </c>
      <c r="Q774" s="141"/>
      <c r="R774" s="143"/>
      <c r="S774" s="139" t="str">
        <f t="shared" si="2"/>
        <v>1206350</v>
      </c>
      <c r="T774" s="141"/>
    </row>
    <row r="775">
      <c r="A775" s="137">
        <f>IFERROR(__xludf.DUMMYFUNCTION("""COMPUTED_VALUE"""),45352.43156140046)</f>
        <v>45352.43156</v>
      </c>
      <c r="B775" s="138" t="str">
        <f>IFERROR(__xludf.DUMMYFUNCTION("""COMPUTED_VALUE"""),"Lance Elliott ")</f>
        <v>Lance Elliott </v>
      </c>
      <c r="C775" s="138">
        <f>IFERROR(__xludf.DUMMYFUNCTION("""COMPUTED_VALUE"""),1185.0)</f>
        <v>1185</v>
      </c>
      <c r="D775" s="139">
        <f>IFERROR(__xludf.DUMMYFUNCTION("""COMPUTED_VALUE"""),350.0)</f>
        <v>350</v>
      </c>
      <c r="E775" s="138">
        <f>IFERROR(__xludf.DUMMYFUNCTION("""COMPUTED_VALUE"""),4.0)</f>
        <v>4</v>
      </c>
      <c r="F775" s="138">
        <f>IFERROR(__xludf.DUMMYFUNCTION("""COMPUTED_VALUE"""),3.0)</f>
        <v>3</v>
      </c>
      <c r="G775" s="138">
        <f>IFERROR(__xludf.DUMMYFUNCTION("""COMPUTED_VALUE"""),4.0)</f>
        <v>4</v>
      </c>
      <c r="H775" s="138">
        <f>IFERROR(__xludf.DUMMYFUNCTION("""COMPUTED_VALUE"""),3.0)</f>
        <v>3</v>
      </c>
      <c r="I775" s="138">
        <f>IFERROR(__xludf.DUMMYFUNCTION("""COMPUTED_VALUE"""),4.0)</f>
        <v>4</v>
      </c>
      <c r="J775" s="138">
        <f>IFERROR(__xludf.DUMMYFUNCTION("""COMPUTED_VALUE"""),4.0)</f>
        <v>4</v>
      </c>
      <c r="K775" s="138">
        <f>IFERROR(__xludf.DUMMYFUNCTION("""COMPUTED_VALUE"""),4.0)</f>
        <v>4</v>
      </c>
      <c r="L775" s="138">
        <v>26.0</v>
      </c>
      <c r="M775" s="140" t="str">
        <f>VLOOKUP(text(D775, "#"),'Master Table'!$A:$F, 6, FALSE)</f>
        <v>F-5</v>
      </c>
      <c r="N775" s="141"/>
      <c r="O775" s="142" t="str">
        <f t="shared" si="1"/>
        <v/>
      </c>
      <c r="P775" s="143" t="str">
        <f>IF(ISNA(VLOOKUP(CONCAT(M775,C775), 'Judge Count DO NOT EDIT'!H:H, 1, FALSE)), "ERROR","")</f>
        <v/>
      </c>
      <c r="Q775" s="141"/>
      <c r="R775" s="143"/>
      <c r="S775" s="139" t="str">
        <f t="shared" si="2"/>
        <v>1185350</v>
      </c>
      <c r="T775" s="141"/>
    </row>
    <row r="776">
      <c r="A776" s="137">
        <f>IFERROR(__xludf.DUMMYFUNCTION("""COMPUTED_VALUE"""),45352.43719835648)</f>
        <v>45352.4372</v>
      </c>
      <c r="B776" s="138" t="str">
        <f>IFERROR(__xludf.DUMMYFUNCTION("""COMPUTED_VALUE"""),"Manan Katwala")</f>
        <v>Manan Katwala</v>
      </c>
      <c r="C776" s="138">
        <f>IFERROR(__xludf.DUMMYFUNCTION("""COMPUTED_VALUE"""),1027.0)</f>
        <v>1027</v>
      </c>
      <c r="D776" s="139">
        <f>IFERROR(__xludf.DUMMYFUNCTION("""COMPUTED_VALUE"""),350.0)</f>
        <v>350</v>
      </c>
      <c r="E776" s="138">
        <f>IFERROR(__xludf.DUMMYFUNCTION("""COMPUTED_VALUE"""),3.0)</f>
        <v>3</v>
      </c>
      <c r="F776" s="138">
        <f>IFERROR(__xludf.DUMMYFUNCTION("""COMPUTED_VALUE"""),4.0)</f>
        <v>4</v>
      </c>
      <c r="G776" s="138">
        <f>IFERROR(__xludf.DUMMYFUNCTION("""COMPUTED_VALUE"""),3.0)</f>
        <v>3</v>
      </c>
      <c r="H776" s="138">
        <f>IFERROR(__xludf.DUMMYFUNCTION("""COMPUTED_VALUE"""),4.0)</f>
        <v>4</v>
      </c>
      <c r="I776" s="138">
        <f>IFERROR(__xludf.DUMMYFUNCTION("""COMPUTED_VALUE"""),3.0)</f>
        <v>3</v>
      </c>
      <c r="J776" s="138">
        <f>IFERROR(__xludf.DUMMYFUNCTION("""COMPUTED_VALUE"""),3.0)</f>
        <v>3</v>
      </c>
      <c r="K776" s="138">
        <f>IFERROR(__xludf.DUMMYFUNCTION("""COMPUTED_VALUE"""),2.0)</f>
        <v>2</v>
      </c>
      <c r="L776" s="138">
        <v>22.0</v>
      </c>
      <c r="M776" s="140" t="str">
        <f>VLOOKUP(text(D776, "#"),'Master Table'!$A:$F, 6, FALSE)</f>
        <v>F-5</v>
      </c>
      <c r="N776" s="141" t="str">
        <f>IFERROR(__xludf.DUMMYFUNCTION("""COMPUTED_VALUE"""),"Interesting project and extensive analysis was done to get the results. Nice work!")</f>
        <v>Interesting project and extensive analysis was done to get the results. Nice work!</v>
      </c>
      <c r="O776" s="142" t="str">
        <f t="shared" si="1"/>
        <v/>
      </c>
      <c r="P776" s="143" t="str">
        <f>IF(ISNA(VLOOKUP(CONCAT(M776,C776), 'Judge Count DO NOT EDIT'!H:H, 1, FALSE)), "ERROR","")</f>
        <v/>
      </c>
      <c r="Q776" s="141"/>
      <c r="R776" s="143"/>
      <c r="S776" s="139" t="str">
        <f t="shared" si="2"/>
        <v>1027350</v>
      </c>
      <c r="T776" s="141"/>
    </row>
    <row r="777">
      <c r="A777" s="137">
        <f>IFERROR(__xludf.DUMMYFUNCTION("""COMPUTED_VALUE"""),45352.44360907408)</f>
        <v>45352.44361</v>
      </c>
      <c r="B777" s="138" t="str">
        <f>IFERROR(__xludf.DUMMYFUNCTION("""COMPUTED_VALUE"""),"Jiali Wang")</f>
        <v>Jiali Wang</v>
      </c>
      <c r="C777" s="138">
        <f>IFERROR(__xludf.DUMMYFUNCTION("""COMPUTED_VALUE"""),1223.0)</f>
        <v>1223</v>
      </c>
      <c r="D777" s="139">
        <f>IFERROR(__xludf.DUMMYFUNCTION("""COMPUTED_VALUE"""),350.0)</f>
        <v>350</v>
      </c>
      <c r="E777" s="138">
        <f>IFERROR(__xludf.DUMMYFUNCTION("""COMPUTED_VALUE"""),4.0)</f>
        <v>4</v>
      </c>
      <c r="F777" s="138">
        <f>IFERROR(__xludf.DUMMYFUNCTION("""COMPUTED_VALUE"""),4.0)</f>
        <v>4</v>
      </c>
      <c r="G777" s="138">
        <f>IFERROR(__xludf.DUMMYFUNCTION("""COMPUTED_VALUE"""),4.0)</f>
        <v>4</v>
      </c>
      <c r="H777" s="138">
        <f>IFERROR(__xludf.DUMMYFUNCTION("""COMPUTED_VALUE"""),5.0)</f>
        <v>5</v>
      </c>
      <c r="I777" s="138">
        <f>IFERROR(__xludf.DUMMYFUNCTION("""COMPUTED_VALUE"""),5.0)</f>
        <v>5</v>
      </c>
      <c r="J777" s="138">
        <f>IFERROR(__xludf.DUMMYFUNCTION("""COMPUTED_VALUE"""),5.0)</f>
        <v>5</v>
      </c>
      <c r="K777" s="138">
        <f>IFERROR(__xludf.DUMMYFUNCTION("""COMPUTED_VALUE"""),5.0)</f>
        <v>5</v>
      </c>
      <c r="L777" s="138">
        <v>32.0</v>
      </c>
      <c r="M777" s="140" t="str">
        <f>VLOOKUP(text(D777, "#"),'Master Table'!$A:$F, 6, FALSE)</f>
        <v>F-5</v>
      </c>
      <c r="N777" s="141"/>
      <c r="O777" s="142" t="str">
        <f t="shared" si="1"/>
        <v/>
      </c>
      <c r="P777" s="143" t="str">
        <f>IF(ISNA(VLOOKUP(CONCAT(M777,C777), 'Judge Count DO NOT EDIT'!H:H, 1, FALSE)), "ERROR","")</f>
        <v/>
      </c>
      <c r="Q777" s="141"/>
      <c r="R777" s="143"/>
      <c r="S777" s="139" t="str">
        <f t="shared" si="2"/>
        <v>1223350</v>
      </c>
      <c r="T777" s="141"/>
    </row>
    <row r="778">
      <c r="A778" s="137">
        <f>IFERROR(__xludf.DUMMYFUNCTION("""COMPUTED_VALUE"""),45352.41216363426)</f>
        <v>45352.41216</v>
      </c>
      <c r="B778" s="138" t="str">
        <f>IFERROR(__xludf.DUMMYFUNCTION("""COMPUTED_VALUE"""),"Lance Elliott ")</f>
        <v>Lance Elliott </v>
      </c>
      <c r="C778" s="138">
        <f>IFERROR(__xludf.DUMMYFUNCTION("""COMPUTED_VALUE"""),1185.0)</f>
        <v>1185</v>
      </c>
      <c r="D778" s="139">
        <f>IFERROR(__xludf.DUMMYFUNCTION("""COMPUTED_VALUE"""),351.0)</f>
        <v>351</v>
      </c>
      <c r="E778" s="138">
        <f>IFERROR(__xludf.DUMMYFUNCTION("""COMPUTED_VALUE"""),3.0)</f>
        <v>3</v>
      </c>
      <c r="F778" s="138">
        <f>IFERROR(__xludf.DUMMYFUNCTION("""COMPUTED_VALUE"""),3.0)</f>
        <v>3</v>
      </c>
      <c r="G778" s="138">
        <f>IFERROR(__xludf.DUMMYFUNCTION("""COMPUTED_VALUE"""),3.0)</f>
        <v>3</v>
      </c>
      <c r="H778" s="138">
        <f>IFERROR(__xludf.DUMMYFUNCTION("""COMPUTED_VALUE"""),2.0)</f>
        <v>2</v>
      </c>
      <c r="I778" s="138">
        <f>IFERROR(__xludf.DUMMYFUNCTION("""COMPUTED_VALUE"""),4.0)</f>
        <v>4</v>
      </c>
      <c r="J778" s="138">
        <f>IFERROR(__xludf.DUMMYFUNCTION("""COMPUTED_VALUE"""),3.0)</f>
        <v>3</v>
      </c>
      <c r="K778" s="138">
        <f>IFERROR(__xludf.DUMMYFUNCTION("""COMPUTED_VALUE"""),3.0)</f>
        <v>3</v>
      </c>
      <c r="L778" s="138">
        <v>21.0</v>
      </c>
      <c r="M778" s="140" t="str">
        <f>VLOOKUP(text(D778, "#"),'Master Table'!$A:$F, 6, FALSE)</f>
        <v>F-5</v>
      </c>
      <c r="N778" s="141"/>
      <c r="O778" s="142" t="str">
        <f t="shared" si="1"/>
        <v/>
      </c>
      <c r="P778" s="143" t="str">
        <f>IF(ISNA(VLOOKUP(CONCAT(M778,C778), 'Judge Count DO NOT EDIT'!H:H, 1, FALSE)), "ERROR","")</f>
        <v/>
      </c>
      <c r="Q778" s="144"/>
      <c r="R778" s="143"/>
      <c r="S778" s="139" t="str">
        <f t="shared" si="2"/>
        <v>1185351</v>
      </c>
      <c r="T778" s="141"/>
    </row>
    <row r="779">
      <c r="A779" s="137">
        <f>IFERROR(__xludf.DUMMYFUNCTION("""COMPUTED_VALUE"""),45352.41968766204)</f>
        <v>45352.41969</v>
      </c>
      <c r="B779" s="138" t="str">
        <f>IFERROR(__xludf.DUMMYFUNCTION("""COMPUTED_VALUE"""),"Nagy")</f>
        <v>Nagy</v>
      </c>
      <c r="C779" s="138">
        <f>IFERROR(__xludf.DUMMYFUNCTION("""COMPUTED_VALUE"""),1206.0)</f>
        <v>1206</v>
      </c>
      <c r="D779" s="139">
        <f>IFERROR(__xludf.DUMMYFUNCTION("""COMPUTED_VALUE"""),351.0)</f>
        <v>351</v>
      </c>
      <c r="E779" s="138">
        <f>IFERROR(__xludf.DUMMYFUNCTION("""COMPUTED_VALUE"""),3.0)</f>
        <v>3</v>
      </c>
      <c r="F779" s="138">
        <f>IFERROR(__xludf.DUMMYFUNCTION("""COMPUTED_VALUE"""),3.0)</f>
        <v>3</v>
      </c>
      <c r="G779" s="138">
        <f>IFERROR(__xludf.DUMMYFUNCTION("""COMPUTED_VALUE"""),4.0)</f>
        <v>4</v>
      </c>
      <c r="H779" s="138">
        <f>IFERROR(__xludf.DUMMYFUNCTION("""COMPUTED_VALUE"""),3.0)</f>
        <v>3</v>
      </c>
      <c r="I779" s="138">
        <f>IFERROR(__xludf.DUMMYFUNCTION("""COMPUTED_VALUE"""),4.0)</f>
        <v>4</v>
      </c>
      <c r="J779" s="138">
        <f>IFERROR(__xludf.DUMMYFUNCTION("""COMPUTED_VALUE"""),4.0)</f>
        <v>4</v>
      </c>
      <c r="K779" s="138">
        <f>IFERROR(__xludf.DUMMYFUNCTION("""COMPUTED_VALUE"""),4.0)</f>
        <v>4</v>
      </c>
      <c r="L779" s="138">
        <v>25.0</v>
      </c>
      <c r="M779" s="140" t="str">
        <f>VLOOKUP(text(D779, "#"),'Master Table'!$A:$F, 6, FALSE)</f>
        <v>F-5</v>
      </c>
      <c r="N779" s="141"/>
      <c r="O779" s="142" t="str">
        <f t="shared" si="1"/>
        <v/>
      </c>
      <c r="P779" s="143" t="str">
        <f>IF(ISNA(VLOOKUP(CONCAT(M779,C779), 'Judge Count DO NOT EDIT'!H:H, 1, FALSE)), "ERROR","")</f>
        <v/>
      </c>
      <c r="Q779" s="141"/>
      <c r="R779" s="143"/>
      <c r="S779" s="139" t="str">
        <f t="shared" si="2"/>
        <v>1206351</v>
      </c>
      <c r="T779" s="141"/>
    </row>
    <row r="780">
      <c r="A780" s="137">
        <f>IFERROR(__xludf.DUMMYFUNCTION("""COMPUTED_VALUE"""),45352.428002569446)</f>
        <v>45352.428</v>
      </c>
      <c r="B780" s="138" t="str">
        <f>IFERROR(__xludf.DUMMYFUNCTION("""COMPUTED_VALUE"""),"Manan Katwala ")</f>
        <v>Manan Katwala </v>
      </c>
      <c r="C780" s="138">
        <f>IFERROR(__xludf.DUMMYFUNCTION("""COMPUTED_VALUE"""),1027.0)</f>
        <v>1027</v>
      </c>
      <c r="D780" s="139">
        <f>IFERROR(__xludf.DUMMYFUNCTION("""COMPUTED_VALUE"""),351.0)</f>
        <v>351</v>
      </c>
      <c r="E780" s="138">
        <f>IFERROR(__xludf.DUMMYFUNCTION("""COMPUTED_VALUE"""),2.0)</f>
        <v>2</v>
      </c>
      <c r="F780" s="138">
        <f>IFERROR(__xludf.DUMMYFUNCTION("""COMPUTED_VALUE"""),2.0)</f>
        <v>2</v>
      </c>
      <c r="G780" s="138">
        <f>IFERROR(__xludf.DUMMYFUNCTION("""COMPUTED_VALUE"""),3.0)</f>
        <v>3</v>
      </c>
      <c r="H780" s="138">
        <f>IFERROR(__xludf.DUMMYFUNCTION("""COMPUTED_VALUE"""),2.0)</f>
        <v>2</v>
      </c>
      <c r="I780" s="138">
        <f>IFERROR(__xludf.DUMMYFUNCTION("""COMPUTED_VALUE"""),3.0)</f>
        <v>3</v>
      </c>
      <c r="J780" s="138">
        <f>IFERROR(__xludf.DUMMYFUNCTION("""COMPUTED_VALUE"""),3.0)</f>
        <v>3</v>
      </c>
      <c r="K780" s="138">
        <f>IFERROR(__xludf.DUMMYFUNCTION("""COMPUTED_VALUE"""),2.0)</f>
        <v>2</v>
      </c>
      <c r="L780" s="138">
        <v>17.0</v>
      </c>
      <c r="M780" s="140" t="str">
        <f>VLOOKUP(text(D780, "#"),'Master Table'!$A:$F, 6, FALSE)</f>
        <v>F-5</v>
      </c>
      <c r="N780" s="141" t="str">
        <f>IFERROR(__xludf.DUMMYFUNCTION("""COMPUTED_VALUE"""),"Interesting project with real world applications. Nice use of wearables to extend medical data to the doctors. ")</f>
        <v>Interesting project with real world applications. Nice use of wearables to extend medical data to the doctors. </v>
      </c>
      <c r="O780" s="142" t="str">
        <f t="shared" si="1"/>
        <v/>
      </c>
      <c r="P780" s="143" t="str">
        <f>IF(ISNA(VLOOKUP(CONCAT(M780,C780), 'Judge Count DO NOT EDIT'!H:H, 1, FALSE)), "ERROR","")</f>
        <v/>
      </c>
      <c r="Q780" s="141"/>
      <c r="R780" s="143"/>
      <c r="S780" s="139" t="str">
        <f t="shared" si="2"/>
        <v>1027351</v>
      </c>
      <c r="T780" s="141"/>
    </row>
    <row r="781">
      <c r="A781" s="137">
        <f>IFERROR(__xludf.DUMMYFUNCTION("""COMPUTED_VALUE"""),45352.44400491898)</f>
        <v>45352.444</v>
      </c>
      <c r="B781" s="138" t="str">
        <f>IFERROR(__xludf.DUMMYFUNCTION("""COMPUTED_VALUE"""),"Jiali Wang")</f>
        <v>Jiali Wang</v>
      </c>
      <c r="C781" s="138">
        <f>IFERROR(__xludf.DUMMYFUNCTION("""COMPUTED_VALUE"""),1223.0)</f>
        <v>1223</v>
      </c>
      <c r="D781" s="139">
        <f>IFERROR(__xludf.DUMMYFUNCTION("""COMPUTED_VALUE"""),351.0)</f>
        <v>351</v>
      </c>
      <c r="E781" s="138">
        <f>IFERROR(__xludf.DUMMYFUNCTION("""COMPUTED_VALUE"""),5.0)</f>
        <v>5</v>
      </c>
      <c r="F781" s="138">
        <f>IFERROR(__xludf.DUMMYFUNCTION("""COMPUTED_VALUE"""),5.0)</f>
        <v>5</v>
      </c>
      <c r="G781" s="138">
        <f>IFERROR(__xludf.DUMMYFUNCTION("""COMPUTED_VALUE"""),4.0)</f>
        <v>4</v>
      </c>
      <c r="H781" s="138">
        <f>IFERROR(__xludf.DUMMYFUNCTION("""COMPUTED_VALUE"""),5.0)</f>
        <v>5</v>
      </c>
      <c r="I781" s="138">
        <f>IFERROR(__xludf.DUMMYFUNCTION("""COMPUTED_VALUE"""),5.0)</f>
        <v>5</v>
      </c>
      <c r="J781" s="138">
        <f>IFERROR(__xludf.DUMMYFUNCTION("""COMPUTED_VALUE"""),5.0)</f>
        <v>5</v>
      </c>
      <c r="K781" s="138">
        <f>IFERROR(__xludf.DUMMYFUNCTION("""COMPUTED_VALUE"""),5.0)</f>
        <v>5</v>
      </c>
      <c r="L781" s="138">
        <v>34.0</v>
      </c>
      <c r="M781" s="140" t="str">
        <f>VLOOKUP(text(D781, "#"),'Master Table'!$A:$F, 6, FALSE)</f>
        <v>F-5</v>
      </c>
      <c r="N781" s="141"/>
      <c r="O781" s="142" t="str">
        <f t="shared" si="1"/>
        <v/>
      </c>
      <c r="P781" s="143" t="str">
        <f>IF(ISNA(VLOOKUP(CONCAT(M781,C781), 'Judge Count DO NOT EDIT'!H:H, 1, FALSE)), "ERROR","")</f>
        <v/>
      </c>
      <c r="Q781" s="141"/>
      <c r="R781" s="143"/>
      <c r="S781" s="139" t="str">
        <f t="shared" si="2"/>
        <v>1223351</v>
      </c>
      <c r="T781" s="141"/>
    </row>
    <row r="782">
      <c r="A782" s="137">
        <f>IFERROR(__xludf.DUMMYFUNCTION("""COMPUTED_VALUE"""),45352.406549189815)</f>
        <v>45352.40655</v>
      </c>
      <c r="B782" s="138" t="str">
        <f>IFERROR(__xludf.DUMMYFUNCTION("""COMPUTED_VALUE"""),"Lance Elliott ")</f>
        <v>Lance Elliott </v>
      </c>
      <c r="C782" s="138">
        <f>IFERROR(__xludf.DUMMYFUNCTION("""COMPUTED_VALUE"""),1185.0)</f>
        <v>1185</v>
      </c>
      <c r="D782" s="139">
        <f>IFERROR(__xludf.DUMMYFUNCTION("""COMPUTED_VALUE"""),352.0)</f>
        <v>352</v>
      </c>
      <c r="E782" s="138">
        <f>IFERROR(__xludf.DUMMYFUNCTION("""COMPUTED_VALUE"""),4.0)</f>
        <v>4</v>
      </c>
      <c r="F782" s="138">
        <f>IFERROR(__xludf.DUMMYFUNCTION("""COMPUTED_VALUE"""),3.0)</f>
        <v>3</v>
      </c>
      <c r="G782" s="138">
        <f>IFERROR(__xludf.DUMMYFUNCTION("""COMPUTED_VALUE"""),3.0)</f>
        <v>3</v>
      </c>
      <c r="H782" s="138">
        <f>IFERROR(__xludf.DUMMYFUNCTION("""COMPUTED_VALUE"""),4.0)</f>
        <v>4</v>
      </c>
      <c r="I782" s="138">
        <f>IFERROR(__xludf.DUMMYFUNCTION("""COMPUTED_VALUE"""),4.0)</f>
        <v>4</v>
      </c>
      <c r="J782" s="138">
        <f>IFERROR(__xludf.DUMMYFUNCTION("""COMPUTED_VALUE"""),3.0)</f>
        <v>3</v>
      </c>
      <c r="K782" s="138">
        <f>IFERROR(__xludf.DUMMYFUNCTION("""COMPUTED_VALUE"""),4.0)</f>
        <v>4</v>
      </c>
      <c r="L782" s="138">
        <v>25.0</v>
      </c>
      <c r="M782" s="140" t="str">
        <f>VLOOKUP(text(D782, "#"),'Master Table'!$A:$F, 6, FALSE)</f>
        <v>F-5</v>
      </c>
      <c r="N782" s="141" t="str">
        <f>IFERROR(__xludf.DUMMYFUNCTION("""COMPUTED_VALUE"""),"Definitely follow up with the CDOM measurements. Great work.")</f>
        <v>Definitely follow up with the CDOM measurements. Great work.</v>
      </c>
      <c r="O782" s="142" t="str">
        <f t="shared" si="1"/>
        <v/>
      </c>
      <c r="P782" s="143" t="str">
        <f>IF(ISNA(VLOOKUP(CONCAT(M782,C782), 'Judge Count DO NOT EDIT'!H:H, 1, FALSE)), "ERROR","")</f>
        <v/>
      </c>
      <c r="Q782" s="141"/>
      <c r="R782" s="143"/>
      <c r="S782" s="139" t="str">
        <f t="shared" si="2"/>
        <v>1185352</v>
      </c>
      <c r="T782" s="141"/>
    </row>
    <row r="783">
      <c r="A783" s="137">
        <f>IFERROR(__xludf.DUMMYFUNCTION("""COMPUTED_VALUE"""),45352.421305497686)</f>
        <v>45352.42131</v>
      </c>
      <c r="B783" s="138" t="str">
        <f>IFERROR(__xludf.DUMMYFUNCTION("""COMPUTED_VALUE"""),"Manan Katwala ")</f>
        <v>Manan Katwala </v>
      </c>
      <c r="C783" s="138">
        <f>IFERROR(__xludf.DUMMYFUNCTION("""COMPUTED_VALUE"""),1027.0)</f>
        <v>1027</v>
      </c>
      <c r="D783" s="139">
        <f>IFERROR(__xludf.DUMMYFUNCTION("""COMPUTED_VALUE"""),352.0)</f>
        <v>352</v>
      </c>
      <c r="E783" s="138">
        <f>IFERROR(__xludf.DUMMYFUNCTION("""COMPUTED_VALUE"""),4.0)</f>
        <v>4</v>
      </c>
      <c r="F783" s="138">
        <f>IFERROR(__xludf.DUMMYFUNCTION("""COMPUTED_VALUE"""),3.0)</f>
        <v>3</v>
      </c>
      <c r="G783" s="138">
        <f>IFERROR(__xludf.DUMMYFUNCTION("""COMPUTED_VALUE"""),3.0)</f>
        <v>3</v>
      </c>
      <c r="H783" s="138">
        <f>IFERROR(__xludf.DUMMYFUNCTION("""COMPUTED_VALUE"""),2.0)</f>
        <v>2</v>
      </c>
      <c r="I783" s="138">
        <f>IFERROR(__xludf.DUMMYFUNCTION("""COMPUTED_VALUE"""),3.0)</f>
        <v>3</v>
      </c>
      <c r="J783" s="138">
        <f>IFERROR(__xludf.DUMMYFUNCTION("""COMPUTED_VALUE"""),3.0)</f>
        <v>3</v>
      </c>
      <c r="K783" s="138">
        <f>IFERROR(__xludf.DUMMYFUNCTION("""COMPUTED_VALUE"""),3.0)</f>
        <v>3</v>
      </c>
      <c r="L783" s="138">
        <v>21.0</v>
      </c>
      <c r="M783" s="140" t="str">
        <f>VLOOKUP(text(D783, "#"),'Master Table'!$A:$F, 6, FALSE)</f>
        <v>F-5</v>
      </c>
      <c r="N783" s="141" t="str">
        <f>IFERROR(__xludf.DUMMYFUNCTION("""COMPUTED_VALUE"""),"Interesting project with potential real life usage. The use of charts to visualize was excellent for the poster. ")</f>
        <v>Interesting project with potential real life usage. The use of charts to visualize was excellent for the poster. </v>
      </c>
      <c r="O783" s="142" t="str">
        <f t="shared" si="1"/>
        <v/>
      </c>
      <c r="P783" s="143" t="str">
        <f>IF(ISNA(VLOOKUP(CONCAT(M783,C783), 'Judge Count DO NOT EDIT'!H:H, 1, FALSE)), "ERROR","")</f>
        <v/>
      </c>
      <c r="Q783" s="141"/>
      <c r="R783" s="143"/>
      <c r="S783" s="139" t="str">
        <f t="shared" si="2"/>
        <v>1027352</v>
      </c>
      <c r="T783" s="141"/>
    </row>
    <row r="784">
      <c r="A784" s="137">
        <f>IFERROR(__xludf.DUMMYFUNCTION("""COMPUTED_VALUE"""),45352.426406388884)</f>
        <v>45352.42641</v>
      </c>
      <c r="B784" s="138" t="str">
        <f>IFERROR(__xludf.DUMMYFUNCTION("""COMPUTED_VALUE"""),"Nagy")</f>
        <v>Nagy</v>
      </c>
      <c r="C784" s="138">
        <f>IFERROR(__xludf.DUMMYFUNCTION("""COMPUTED_VALUE"""),1206.0)</f>
        <v>1206</v>
      </c>
      <c r="D784" s="139">
        <f>IFERROR(__xludf.DUMMYFUNCTION("""COMPUTED_VALUE"""),352.0)</f>
        <v>352</v>
      </c>
      <c r="E784" s="138">
        <f>IFERROR(__xludf.DUMMYFUNCTION("""COMPUTED_VALUE"""),3.0)</f>
        <v>3</v>
      </c>
      <c r="F784" s="138">
        <f>IFERROR(__xludf.DUMMYFUNCTION("""COMPUTED_VALUE"""),3.0)</f>
        <v>3</v>
      </c>
      <c r="G784" s="138">
        <f>IFERROR(__xludf.DUMMYFUNCTION("""COMPUTED_VALUE"""),4.0)</f>
        <v>4</v>
      </c>
      <c r="H784" s="138">
        <f>IFERROR(__xludf.DUMMYFUNCTION("""COMPUTED_VALUE"""),4.0)</f>
        <v>4</v>
      </c>
      <c r="I784" s="138">
        <f>IFERROR(__xludf.DUMMYFUNCTION("""COMPUTED_VALUE"""),3.0)</f>
        <v>3</v>
      </c>
      <c r="J784" s="138">
        <f>IFERROR(__xludf.DUMMYFUNCTION("""COMPUTED_VALUE"""),3.0)</f>
        <v>3</v>
      </c>
      <c r="K784" s="138">
        <f>IFERROR(__xludf.DUMMYFUNCTION("""COMPUTED_VALUE"""),4.0)</f>
        <v>4</v>
      </c>
      <c r="L784" s="138">
        <v>24.0</v>
      </c>
      <c r="M784" s="140" t="str">
        <f>VLOOKUP(text(D784, "#"),'Master Table'!$A:$F, 6, FALSE)</f>
        <v>F-5</v>
      </c>
      <c r="N784" s="141"/>
      <c r="O784" s="142" t="str">
        <f t="shared" si="1"/>
        <v/>
      </c>
      <c r="P784" s="143" t="str">
        <f>IF(ISNA(VLOOKUP(CONCAT(M784,C784), 'Judge Count DO NOT EDIT'!H:H, 1, FALSE)), "ERROR","")</f>
        <v/>
      </c>
      <c r="Q784" s="141"/>
      <c r="R784" s="143"/>
      <c r="S784" s="139" t="str">
        <f t="shared" si="2"/>
        <v>1206352</v>
      </c>
      <c r="T784" s="141"/>
    </row>
    <row r="785">
      <c r="A785" s="137">
        <f>IFERROR(__xludf.DUMMYFUNCTION("""COMPUTED_VALUE"""),45352.44447974537)</f>
        <v>45352.44448</v>
      </c>
      <c r="B785" s="138" t="str">
        <f>IFERROR(__xludf.DUMMYFUNCTION("""COMPUTED_VALUE"""),"Jiali Wang")</f>
        <v>Jiali Wang</v>
      </c>
      <c r="C785" s="138">
        <f>IFERROR(__xludf.DUMMYFUNCTION("""COMPUTED_VALUE"""),1223.0)</f>
        <v>1223</v>
      </c>
      <c r="D785" s="139">
        <f>IFERROR(__xludf.DUMMYFUNCTION("""COMPUTED_VALUE"""),352.0)</f>
        <v>352</v>
      </c>
      <c r="E785" s="138">
        <f>IFERROR(__xludf.DUMMYFUNCTION("""COMPUTED_VALUE"""),5.0)</f>
        <v>5</v>
      </c>
      <c r="F785" s="138">
        <f>IFERROR(__xludf.DUMMYFUNCTION("""COMPUTED_VALUE"""),5.0)</f>
        <v>5</v>
      </c>
      <c r="G785" s="138">
        <f>IFERROR(__xludf.DUMMYFUNCTION("""COMPUTED_VALUE"""),5.0)</f>
        <v>5</v>
      </c>
      <c r="H785" s="138">
        <f>IFERROR(__xludf.DUMMYFUNCTION("""COMPUTED_VALUE"""),4.0)</f>
        <v>4</v>
      </c>
      <c r="I785" s="138">
        <f>IFERROR(__xludf.DUMMYFUNCTION("""COMPUTED_VALUE"""),5.0)</f>
        <v>5</v>
      </c>
      <c r="J785" s="138">
        <f>IFERROR(__xludf.DUMMYFUNCTION("""COMPUTED_VALUE"""),5.0)</f>
        <v>5</v>
      </c>
      <c r="K785" s="138">
        <f>IFERROR(__xludf.DUMMYFUNCTION("""COMPUTED_VALUE"""),5.0)</f>
        <v>5</v>
      </c>
      <c r="L785" s="138">
        <v>34.0</v>
      </c>
      <c r="M785" s="140" t="str">
        <f>VLOOKUP(text(D785, "#"),'Master Table'!$A:$F, 6, FALSE)</f>
        <v>F-5</v>
      </c>
      <c r="N785" s="141"/>
      <c r="O785" s="142" t="str">
        <f t="shared" si="1"/>
        <v/>
      </c>
      <c r="P785" s="143" t="str">
        <f>IF(ISNA(VLOOKUP(CONCAT(M785,C785), 'Judge Count DO NOT EDIT'!H:H, 1, FALSE)), "ERROR","")</f>
        <v/>
      </c>
      <c r="Q785" s="141"/>
      <c r="R785" s="143"/>
      <c r="S785" s="139" t="str">
        <f t="shared" si="2"/>
        <v>1223352</v>
      </c>
      <c r="T785" s="141"/>
    </row>
    <row r="786">
      <c r="A786" s="137">
        <f>IFERROR(__xludf.DUMMYFUNCTION("""COMPUTED_VALUE"""),45352.38425471065)</f>
        <v>45352.38425</v>
      </c>
      <c r="B786" s="138" t="str">
        <f>IFERROR(__xludf.DUMMYFUNCTION("""COMPUTED_VALUE"""),"Huiyu Qian")</f>
        <v>Huiyu Qian</v>
      </c>
      <c r="C786" s="138">
        <f>IFERROR(__xludf.DUMMYFUNCTION("""COMPUTED_VALUE"""),1141.0)</f>
        <v>1141</v>
      </c>
      <c r="D786" s="139">
        <f>IFERROR(__xludf.DUMMYFUNCTION("""COMPUTED_VALUE"""),353.0)</f>
        <v>353</v>
      </c>
      <c r="E786" s="138">
        <f>IFERROR(__xludf.DUMMYFUNCTION("""COMPUTED_VALUE"""),3.0)</f>
        <v>3</v>
      </c>
      <c r="F786" s="138">
        <f>IFERROR(__xludf.DUMMYFUNCTION("""COMPUTED_VALUE"""),4.0)</f>
        <v>4</v>
      </c>
      <c r="G786" s="138">
        <f>IFERROR(__xludf.DUMMYFUNCTION("""COMPUTED_VALUE"""),4.0)</f>
        <v>4</v>
      </c>
      <c r="H786" s="138">
        <f>IFERROR(__xludf.DUMMYFUNCTION("""COMPUTED_VALUE"""),3.0)</f>
        <v>3</v>
      </c>
      <c r="I786" s="138">
        <f>IFERROR(__xludf.DUMMYFUNCTION("""COMPUTED_VALUE"""),4.0)</f>
        <v>4</v>
      </c>
      <c r="J786" s="138">
        <f>IFERROR(__xludf.DUMMYFUNCTION("""COMPUTED_VALUE"""),4.0)</f>
        <v>4</v>
      </c>
      <c r="K786" s="138">
        <f>IFERROR(__xludf.DUMMYFUNCTION("""COMPUTED_VALUE"""),4.0)</f>
        <v>4</v>
      </c>
      <c r="L786" s="138">
        <v>26.0</v>
      </c>
      <c r="M786" s="140" t="str">
        <f>VLOOKUP(text(D786, "#"),'Master Table'!$A:$F, 6, FALSE)</f>
        <v>F-6</v>
      </c>
      <c r="N786" s="141" t="str">
        <f>IFERROR(__xludf.DUMMYFUNCTION("""COMPUTED_VALUE"""),"Interesting and important project with a lot of potentials.")</f>
        <v>Interesting and important project with a lot of potentials.</v>
      </c>
      <c r="O786" s="142" t="str">
        <f t="shared" si="1"/>
        <v/>
      </c>
      <c r="P786" s="143" t="str">
        <f>IF(ISNA(VLOOKUP(CONCAT(M786,C786), 'Judge Count DO NOT EDIT'!H:H, 1, FALSE)), "ERROR","")</f>
        <v/>
      </c>
      <c r="Q786" s="141"/>
      <c r="R786" s="143"/>
      <c r="S786" s="139" t="str">
        <f t="shared" si="2"/>
        <v>1141353</v>
      </c>
      <c r="T786" s="141"/>
    </row>
    <row r="787">
      <c r="A787" s="137">
        <f>IFERROR(__xludf.DUMMYFUNCTION("""COMPUTED_VALUE"""),45352.39188859954)</f>
        <v>45352.39189</v>
      </c>
      <c r="B787" s="138" t="str">
        <f>IFERROR(__xludf.DUMMYFUNCTION("""COMPUTED_VALUE"""),"Nitai Chandra Adak ")</f>
        <v>Nitai Chandra Adak </v>
      </c>
      <c r="C787" s="138">
        <f>IFERROR(__xludf.DUMMYFUNCTION("""COMPUTED_VALUE"""),1092.0)</f>
        <v>1092</v>
      </c>
      <c r="D787" s="139">
        <f>IFERROR(__xludf.DUMMYFUNCTION("""COMPUTED_VALUE"""),353.0)</f>
        <v>353</v>
      </c>
      <c r="E787" s="138">
        <f>IFERROR(__xludf.DUMMYFUNCTION("""COMPUTED_VALUE"""),4.0)</f>
        <v>4</v>
      </c>
      <c r="F787" s="138">
        <f>IFERROR(__xludf.DUMMYFUNCTION("""COMPUTED_VALUE"""),5.0)</f>
        <v>5</v>
      </c>
      <c r="G787" s="138">
        <f>IFERROR(__xludf.DUMMYFUNCTION("""COMPUTED_VALUE"""),5.0)</f>
        <v>5</v>
      </c>
      <c r="H787" s="138">
        <f>IFERROR(__xludf.DUMMYFUNCTION("""COMPUTED_VALUE"""),4.0)</f>
        <v>4</v>
      </c>
      <c r="I787" s="138">
        <f>IFERROR(__xludf.DUMMYFUNCTION("""COMPUTED_VALUE"""),5.0)</f>
        <v>5</v>
      </c>
      <c r="J787" s="138">
        <f>IFERROR(__xludf.DUMMYFUNCTION("""COMPUTED_VALUE"""),4.0)</f>
        <v>4</v>
      </c>
      <c r="K787" s="138">
        <f>IFERROR(__xludf.DUMMYFUNCTION("""COMPUTED_VALUE"""),5.0)</f>
        <v>5</v>
      </c>
      <c r="L787" s="138">
        <v>32.0</v>
      </c>
      <c r="M787" s="140" t="str">
        <f>VLOOKUP(text(D787, "#"),'Master Table'!$A:$F, 6, FALSE)</f>
        <v>F-6</v>
      </c>
      <c r="N787" s="141" t="str">
        <f>IFERROR(__xludf.DUMMYFUNCTION("""COMPUTED_VALUE"""),"Excellent research work in terms of future naval research as well as social transportation systems.")</f>
        <v>Excellent research work in terms of future naval research as well as social transportation systems.</v>
      </c>
      <c r="O787" s="142" t="str">
        <f t="shared" si="1"/>
        <v/>
      </c>
      <c r="P787" s="143" t="str">
        <f>IF(ISNA(VLOOKUP(CONCAT(M787,C787), 'Judge Count DO NOT EDIT'!H:H, 1, FALSE)), "ERROR","")</f>
        <v/>
      </c>
      <c r="Q787" s="141"/>
      <c r="R787" s="143"/>
      <c r="S787" s="139" t="str">
        <f t="shared" si="2"/>
        <v>1092353</v>
      </c>
      <c r="T787" s="141"/>
    </row>
    <row r="788">
      <c r="A788" s="137">
        <f>IFERROR(__xludf.DUMMYFUNCTION("""COMPUTED_VALUE"""),45352.42645141204)</f>
        <v>45352.42645</v>
      </c>
      <c r="B788" s="138" t="str">
        <f>IFERROR(__xludf.DUMMYFUNCTION("""COMPUTED_VALUE"""),"Jing Gu")</f>
        <v>Jing Gu</v>
      </c>
      <c r="C788" s="138">
        <f>IFERROR(__xludf.DUMMYFUNCTION("""COMPUTED_VALUE"""),1086.0)</f>
        <v>1086</v>
      </c>
      <c r="D788" s="139">
        <f>IFERROR(__xludf.DUMMYFUNCTION("""COMPUTED_VALUE"""),353.0)</f>
        <v>353</v>
      </c>
      <c r="E788" s="138">
        <f>IFERROR(__xludf.DUMMYFUNCTION("""COMPUTED_VALUE"""),4.0)</f>
        <v>4</v>
      </c>
      <c r="F788" s="138">
        <f>IFERROR(__xludf.DUMMYFUNCTION("""COMPUTED_VALUE"""),4.0)</f>
        <v>4</v>
      </c>
      <c r="G788" s="138">
        <f>IFERROR(__xludf.DUMMYFUNCTION("""COMPUTED_VALUE"""),4.0)</f>
        <v>4</v>
      </c>
      <c r="H788" s="138">
        <f>IFERROR(__xludf.DUMMYFUNCTION("""COMPUTED_VALUE"""),4.0)</f>
        <v>4</v>
      </c>
      <c r="I788" s="138">
        <f>IFERROR(__xludf.DUMMYFUNCTION("""COMPUTED_VALUE"""),3.0)</f>
        <v>3</v>
      </c>
      <c r="J788" s="138">
        <f>IFERROR(__xludf.DUMMYFUNCTION("""COMPUTED_VALUE"""),3.0)</f>
        <v>3</v>
      </c>
      <c r="K788" s="138">
        <f>IFERROR(__xludf.DUMMYFUNCTION("""COMPUTED_VALUE"""),3.0)</f>
        <v>3</v>
      </c>
      <c r="L788" s="138">
        <v>25.0</v>
      </c>
      <c r="M788" s="140" t="str">
        <f>VLOOKUP(text(D788, "#"),'Master Table'!$A:$F, 6, FALSE)</f>
        <v>F-6</v>
      </c>
      <c r="N788" s="141" t="str">
        <f>IFERROR(__xludf.DUMMYFUNCTION("""COMPUTED_VALUE"""),"The student has a lot of demos which attracts a lot of audience")</f>
        <v>The student has a lot of demos which attracts a lot of audience</v>
      </c>
      <c r="O788" s="142" t="str">
        <f t="shared" si="1"/>
        <v/>
      </c>
      <c r="P788" s="143" t="str">
        <f>IF(ISNA(VLOOKUP(CONCAT(M788,C788), 'Judge Count DO NOT EDIT'!H:H, 1, FALSE)), "ERROR","")</f>
        <v/>
      </c>
      <c r="Q788" s="144"/>
      <c r="R788" s="143"/>
      <c r="S788" s="139" t="str">
        <f t="shared" si="2"/>
        <v>1086353</v>
      </c>
      <c r="T788" s="141"/>
    </row>
    <row r="789">
      <c r="A789" s="137">
        <f>IFERROR(__xludf.DUMMYFUNCTION("""COMPUTED_VALUE"""),45352.4296331713)</f>
        <v>45352.42963</v>
      </c>
      <c r="B789" s="138" t="str">
        <f>IFERROR(__xludf.DUMMYFUNCTION("""COMPUTED_VALUE"""),"Terrence")</f>
        <v>Terrence</v>
      </c>
      <c r="C789" s="138">
        <f>IFERROR(__xludf.DUMMYFUNCTION("""COMPUTED_VALUE"""),1144.0)</f>
        <v>1144</v>
      </c>
      <c r="D789" s="139">
        <f>IFERROR(__xludf.DUMMYFUNCTION("""COMPUTED_VALUE"""),353.0)</f>
        <v>353</v>
      </c>
      <c r="E789" s="138">
        <f>IFERROR(__xludf.DUMMYFUNCTION("""COMPUTED_VALUE"""),4.0)</f>
        <v>4</v>
      </c>
      <c r="F789" s="138">
        <f>IFERROR(__xludf.DUMMYFUNCTION("""COMPUTED_VALUE"""),3.0)</f>
        <v>3</v>
      </c>
      <c r="G789" s="138">
        <f>IFERROR(__xludf.DUMMYFUNCTION("""COMPUTED_VALUE"""),4.0)</f>
        <v>4</v>
      </c>
      <c r="H789" s="138">
        <f>IFERROR(__xludf.DUMMYFUNCTION("""COMPUTED_VALUE"""),5.0)</f>
        <v>5</v>
      </c>
      <c r="I789" s="138">
        <f>IFERROR(__xludf.DUMMYFUNCTION("""COMPUTED_VALUE"""),4.0)</f>
        <v>4</v>
      </c>
      <c r="J789" s="138">
        <f>IFERROR(__xludf.DUMMYFUNCTION("""COMPUTED_VALUE"""),4.0)</f>
        <v>4</v>
      </c>
      <c r="K789" s="138">
        <f>IFERROR(__xludf.DUMMYFUNCTION("""COMPUTED_VALUE"""),5.0)</f>
        <v>5</v>
      </c>
      <c r="L789" s="138">
        <v>29.0</v>
      </c>
      <c r="M789" s="140" t="str">
        <f>VLOOKUP(text(D789, "#"),'Master Table'!$A:$F, 6, FALSE)</f>
        <v>F-6</v>
      </c>
      <c r="N789" s="141" t="str">
        <f>IFERROR(__xludf.DUMMYFUNCTION("""COMPUTED_VALUE"""),"Very well presented and clarified any language used in the field. Also had product for observers to test which no one else had.  Showed enthusiasm and energy.  The research wasn’t original but very significant to the many industries. Presenter also very k"&amp;"nowledgeable in subject.  Can work on streamlining presentation so flows smoothly but was still able to understand everything")</f>
        <v>Very well presented and clarified any language used in the field. Also had product for observers to test which no one else had.  Showed enthusiasm and energy.  The research wasn’t original but very significant to the many industries. Presenter also very knowledgeable in subject.  Can work on streamlining presentation so flows smoothly but was still able to understand everything</v>
      </c>
      <c r="O789" s="142" t="str">
        <f t="shared" si="1"/>
        <v/>
      </c>
      <c r="P789" s="143" t="str">
        <f>IF(ISNA(VLOOKUP(CONCAT(M789,C789), 'Judge Count DO NOT EDIT'!H:H, 1, FALSE)), "ERROR","")</f>
        <v/>
      </c>
      <c r="Q789" s="141"/>
      <c r="R789" s="143"/>
      <c r="S789" s="139" t="str">
        <f t="shared" si="2"/>
        <v>1144353</v>
      </c>
      <c r="T789" s="141"/>
    </row>
    <row r="790">
      <c r="A790" s="137">
        <f>IFERROR(__xludf.DUMMYFUNCTION("""COMPUTED_VALUE"""),45352.489337708335)</f>
        <v>45352.48934</v>
      </c>
      <c r="B790" s="138" t="str">
        <f>IFERROR(__xludf.DUMMYFUNCTION("""COMPUTED_VALUE"""),"MARLENE RUIZ")</f>
        <v>MARLENE RUIZ</v>
      </c>
      <c r="C790" s="138">
        <f>IFERROR(__xludf.DUMMYFUNCTION("""COMPUTED_VALUE"""),1160.0)</f>
        <v>1160</v>
      </c>
      <c r="D790" s="139">
        <f>IFERROR(__xludf.DUMMYFUNCTION("""COMPUTED_VALUE"""),353.0)</f>
        <v>353</v>
      </c>
      <c r="E790" s="138">
        <f>IFERROR(__xludf.DUMMYFUNCTION("""COMPUTED_VALUE"""),5.0)</f>
        <v>5</v>
      </c>
      <c r="F790" s="138">
        <f>IFERROR(__xludf.DUMMYFUNCTION("""COMPUTED_VALUE"""),4.0)</f>
        <v>4</v>
      </c>
      <c r="G790" s="138">
        <f>IFERROR(__xludf.DUMMYFUNCTION("""COMPUTED_VALUE"""),5.0)</f>
        <v>5</v>
      </c>
      <c r="H790" s="138">
        <f>IFERROR(__xludf.DUMMYFUNCTION("""COMPUTED_VALUE"""),5.0)</f>
        <v>5</v>
      </c>
      <c r="I790" s="138">
        <f>IFERROR(__xludf.DUMMYFUNCTION("""COMPUTED_VALUE"""),5.0)</f>
        <v>5</v>
      </c>
      <c r="J790" s="138">
        <f>IFERROR(__xludf.DUMMYFUNCTION("""COMPUTED_VALUE"""),5.0)</f>
        <v>5</v>
      </c>
      <c r="K790" s="138">
        <f>IFERROR(__xludf.DUMMYFUNCTION("""COMPUTED_VALUE"""),5.0)</f>
        <v>5</v>
      </c>
      <c r="L790" s="138">
        <v>34.0</v>
      </c>
      <c r="M790" s="140" t="str">
        <f>VLOOKUP(text(D790, "#"),'Master Table'!$A:$F, 6, FALSE)</f>
        <v>F-6</v>
      </c>
      <c r="N790" s="141" t="str">
        <f>IFERROR(__xludf.DUMMYFUNCTION("""COMPUTED_VALUE"""),"Ansel asked my level of awareness with the subject then brought the presentation to that level. I didn't feel he spoke down to me and was able to understand the content.
He was poised and comfortable presenting. He knew his Subject, it's application and f"&amp;"uture value of the research. He had hands on so we could actually test his project while there. 
His poster shared equal space with graphics/pictures but the font was hard to read from 4ft.
Great job.")</f>
        <v>Ansel asked my level of awareness with the subject then brought the presentation to that level. I didn't feel he spoke down to me and was able to understand the content.
He was poised and comfortable presenting. He knew his Subject, it's application and future value of the research. He had hands on so we could actually test his project while there. 
His poster shared equal space with graphics/pictures but the font was hard to read from 4ft.
Great job.</v>
      </c>
      <c r="O790" s="142" t="str">
        <f t="shared" si="1"/>
        <v/>
      </c>
      <c r="P790" s="143" t="str">
        <f>IF(ISNA(VLOOKUP(CONCAT(M790,C790), 'Judge Count DO NOT EDIT'!H:H, 1, FALSE)), "ERROR","")</f>
        <v/>
      </c>
      <c r="Q790" s="141"/>
      <c r="R790" s="143"/>
      <c r="S790" s="139" t="str">
        <f t="shared" si="2"/>
        <v>1160353</v>
      </c>
      <c r="T790" s="141"/>
    </row>
    <row r="791">
      <c r="A791" s="137">
        <f>IFERROR(__xludf.DUMMYFUNCTION("""COMPUTED_VALUE"""),45352.384654050926)</f>
        <v>45352.38465</v>
      </c>
      <c r="B791" s="138" t="str">
        <f>IFERROR(__xludf.DUMMYFUNCTION("""COMPUTED_VALUE"""),"Nitai Chandra Adak ")</f>
        <v>Nitai Chandra Adak </v>
      </c>
      <c r="C791" s="138">
        <f>IFERROR(__xludf.DUMMYFUNCTION("""COMPUTED_VALUE"""),1092.0)</f>
        <v>1092</v>
      </c>
      <c r="D791" s="139">
        <f>IFERROR(__xludf.DUMMYFUNCTION("""COMPUTED_VALUE"""),354.0)</f>
        <v>354</v>
      </c>
      <c r="E791" s="138">
        <f>IFERROR(__xludf.DUMMYFUNCTION("""COMPUTED_VALUE"""),3.0)</f>
        <v>3</v>
      </c>
      <c r="F791" s="138">
        <f>IFERROR(__xludf.DUMMYFUNCTION("""COMPUTED_VALUE"""),3.0)</f>
        <v>3</v>
      </c>
      <c r="G791" s="138">
        <f>IFERROR(__xludf.DUMMYFUNCTION("""COMPUTED_VALUE"""),2.0)</f>
        <v>2</v>
      </c>
      <c r="H791" s="138">
        <f>IFERROR(__xludf.DUMMYFUNCTION("""COMPUTED_VALUE"""),3.0)</f>
        <v>3</v>
      </c>
      <c r="I791" s="138">
        <f>IFERROR(__xludf.DUMMYFUNCTION("""COMPUTED_VALUE"""),4.0)</f>
        <v>4</v>
      </c>
      <c r="J791" s="138">
        <f>IFERROR(__xludf.DUMMYFUNCTION("""COMPUTED_VALUE"""),2.0)</f>
        <v>2</v>
      </c>
      <c r="K791" s="138">
        <f>IFERROR(__xludf.DUMMYFUNCTION("""COMPUTED_VALUE"""),3.0)</f>
        <v>3</v>
      </c>
      <c r="L791" s="138">
        <v>20.0</v>
      </c>
      <c r="M791" s="140" t="str">
        <f>VLOOKUP(text(D791, "#"),'Master Table'!$A:$F, 6, FALSE)</f>
        <v>F-6</v>
      </c>
      <c r="N791" s="141" t="str">
        <f>IFERROR(__xludf.DUMMYFUNCTION("""COMPUTED_VALUE"""),"Good research objective ")</f>
        <v>Good research objective </v>
      </c>
      <c r="O791" s="142" t="str">
        <f t="shared" si="1"/>
        <v/>
      </c>
      <c r="P791" s="143" t="str">
        <f>IF(ISNA(VLOOKUP(CONCAT(M791,C791), 'Judge Count DO NOT EDIT'!H:H, 1, FALSE)), "ERROR","")</f>
        <v/>
      </c>
      <c r="Q791" s="141"/>
      <c r="R791" s="143"/>
      <c r="S791" s="139" t="str">
        <f t="shared" si="2"/>
        <v>1092354</v>
      </c>
      <c r="T791" s="141"/>
    </row>
    <row r="792">
      <c r="A792" s="137">
        <f>IFERROR(__xludf.DUMMYFUNCTION("""COMPUTED_VALUE"""),45352.3932893287)</f>
        <v>45352.39329</v>
      </c>
      <c r="B792" s="138" t="str">
        <f>IFERROR(__xludf.DUMMYFUNCTION("""COMPUTED_VALUE"""),"Huiyu Qian")</f>
        <v>Huiyu Qian</v>
      </c>
      <c r="C792" s="138">
        <f>IFERROR(__xludf.DUMMYFUNCTION("""COMPUTED_VALUE"""),1141.0)</f>
        <v>1141</v>
      </c>
      <c r="D792" s="139">
        <f>IFERROR(__xludf.DUMMYFUNCTION("""COMPUTED_VALUE"""),354.0)</f>
        <v>354</v>
      </c>
      <c r="E792" s="138">
        <f>IFERROR(__xludf.DUMMYFUNCTION("""COMPUTED_VALUE"""),3.0)</f>
        <v>3</v>
      </c>
      <c r="F792" s="138">
        <f>IFERROR(__xludf.DUMMYFUNCTION("""COMPUTED_VALUE"""),3.0)</f>
        <v>3</v>
      </c>
      <c r="G792" s="138">
        <f>IFERROR(__xludf.DUMMYFUNCTION("""COMPUTED_VALUE"""),2.0)</f>
        <v>2</v>
      </c>
      <c r="H792" s="138">
        <f>IFERROR(__xludf.DUMMYFUNCTION("""COMPUTED_VALUE"""),2.0)</f>
        <v>2</v>
      </c>
      <c r="I792" s="138">
        <f>IFERROR(__xludf.DUMMYFUNCTION("""COMPUTED_VALUE"""),4.0)</f>
        <v>4</v>
      </c>
      <c r="J792" s="138">
        <f>IFERROR(__xludf.DUMMYFUNCTION("""COMPUTED_VALUE"""),4.0)</f>
        <v>4</v>
      </c>
      <c r="K792" s="138">
        <f>IFERROR(__xludf.DUMMYFUNCTION("""COMPUTED_VALUE"""),4.0)</f>
        <v>4</v>
      </c>
      <c r="L792" s="138">
        <v>22.0</v>
      </c>
      <c r="M792" s="140" t="str">
        <f>VLOOKUP(text(D792, "#"),'Master Table'!$A:$F, 6, FALSE)</f>
        <v>F-6</v>
      </c>
      <c r="N792" s="141" t="str">
        <f>IFERROR(__xludf.DUMMYFUNCTION("""COMPUTED_VALUE"""),"Great presentation! Keep up the passion!")</f>
        <v>Great presentation! Keep up the passion!</v>
      </c>
      <c r="O792" s="142" t="str">
        <f t="shared" si="1"/>
        <v/>
      </c>
      <c r="P792" s="143" t="str">
        <f>IF(ISNA(VLOOKUP(CONCAT(M792,C792), 'Judge Count DO NOT EDIT'!H:H, 1, FALSE)), "ERROR","")</f>
        <v/>
      </c>
      <c r="Q792" s="141"/>
      <c r="R792" s="143"/>
      <c r="S792" s="139" t="str">
        <f t="shared" si="2"/>
        <v>1141354</v>
      </c>
      <c r="T792" s="141"/>
    </row>
    <row r="793">
      <c r="A793" s="137">
        <f>IFERROR(__xludf.DUMMYFUNCTION("""COMPUTED_VALUE"""),45352.42702091435)</f>
        <v>45352.42702</v>
      </c>
      <c r="B793" s="138" t="str">
        <f>IFERROR(__xludf.DUMMYFUNCTION("""COMPUTED_VALUE"""),"Jing Gu")</f>
        <v>Jing Gu</v>
      </c>
      <c r="C793" s="138">
        <f>IFERROR(__xludf.DUMMYFUNCTION("""COMPUTED_VALUE"""),1086.0)</f>
        <v>1086</v>
      </c>
      <c r="D793" s="139">
        <f>IFERROR(__xludf.DUMMYFUNCTION("""COMPUTED_VALUE"""),354.0)</f>
        <v>354</v>
      </c>
      <c r="E793" s="138">
        <f>IFERROR(__xludf.DUMMYFUNCTION("""COMPUTED_VALUE"""),4.0)</f>
        <v>4</v>
      </c>
      <c r="F793" s="138">
        <f>IFERROR(__xludf.DUMMYFUNCTION("""COMPUTED_VALUE"""),3.0)</f>
        <v>3</v>
      </c>
      <c r="G793" s="138">
        <f>IFERROR(__xludf.DUMMYFUNCTION("""COMPUTED_VALUE"""),4.0)</f>
        <v>4</v>
      </c>
      <c r="H793" s="138">
        <f>IFERROR(__xludf.DUMMYFUNCTION("""COMPUTED_VALUE"""),3.0)</f>
        <v>3</v>
      </c>
      <c r="I793" s="138">
        <f>IFERROR(__xludf.DUMMYFUNCTION("""COMPUTED_VALUE"""),4.0)</f>
        <v>4</v>
      </c>
      <c r="J793" s="138">
        <f>IFERROR(__xludf.DUMMYFUNCTION("""COMPUTED_VALUE"""),3.0)</f>
        <v>3</v>
      </c>
      <c r="K793" s="138">
        <f>IFERROR(__xludf.DUMMYFUNCTION("""COMPUTED_VALUE"""),4.0)</f>
        <v>4</v>
      </c>
      <c r="L793" s="138">
        <v>25.0</v>
      </c>
      <c r="M793" s="140" t="str">
        <f>VLOOKUP(text(D793, "#"),'Master Table'!$A:$F, 6, FALSE)</f>
        <v>F-6</v>
      </c>
      <c r="N793" s="141"/>
      <c r="O793" s="142" t="str">
        <f t="shared" si="1"/>
        <v/>
      </c>
      <c r="P793" s="143" t="str">
        <f>IF(ISNA(VLOOKUP(CONCAT(M793,C793), 'Judge Count DO NOT EDIT'!H:H, 1, FALSE)), "ERROR","")</f>
        <v/>
      </c>
      <c r="Q793" s="141"/>
      <c r="R793" s="143"/>
      <c r="S793" s="139" t="str">
        <f t="shared" si="2"/>
        <v>1086354</v>
      </c>
      <c r="T793" s="141"/>
    </row>
    <row r="794">
      <c r="A794" s="137">
        <f>IFERROR(__xludf.DUMMYFUNCTION("""COMPUTED_VALUE"""),45352.440262696764)</f>
        <v>45352.44026</v>
      </c>
      <c r="B794" s="138" t="str">
        <f>IFERROR(__xludf.DUMMYFUNCTION("""COMPUTED_VALUE"""),"Terrence")</f>
        <v>Terrence</v>
      </c>
      <c r="C794" s="138">
        <f>IFERROR(__xludf.DUMMYFUNCTION("""COMPUTED_VALUE"""),1144.0)</f>
        <v>1144</v>
      </c>
      <c r="D794" s="139">
        <f>IFERROR(__xludf.DUMMYFUNCTION("""COMPUTED_VALUE"""),354.0)</f>
        <v>354</v>
      </c>
      <c r="E794" s="138">
        <f>IFERROR(__xludf.DUMMYFUNCTION("""COMPUTED_VALUE"""),3.0)</f>
        <v>3</v>
      </c>
      <c r="F794" s="138">
        <f>IFERROR(__xludf.DUMMYFUNCTION("""COMPUTED_VALUE"""),3.0)</f>
        <v>3</v>
      </c>
      <c r="G794" s="138">
        <f>IFERROR(__xludf.DUMMYFUNCTION("""COMPUTED_VALUE"""),4.0)</f>
        <v>4</v>
      </c>
      <c r="H794" s="138">
        <f>IFERROR(__xludf.DUMMYFUNCTION("""COMPUTED_VALUE"""),4.0)</f>
        <v>4</v>
      </c>
      <c r="I794" s="138">
        <f>IFERROR(__xludf.DUMMYFUNCTION("""COMPUTED_VALUE"""),3.0)</f>
        <v>3</v>
      </c>
      <c r="J794" s="138">
        <f>IFERROR(__xludf.DUMMYFUNCTION("""COMPUTED_VALUE"""),3.0)</f>
        <v>3</v>
      </c>
      <c r="K794" s="138">
        <f>IFERROR(__xludf.DUMMYFUNCTION("""COMPUTED_VALUE"""),4.0)</f>
        <v>4</v>
      </c>
      <c r="L794" s="138">
        <v>24.0</v>
      </c>
      <c r="M794" s="140" t="str">
        <f>VLOOKUP(text(D794, "#"),'Master Table'!$A:$F, 6, FALSE)</f>
        <v>F-6</v>
      </c>
      <c r="N794" s="141" t="str">
        <f>IFERROR(__xludf.DUMMYFUNCTION("""COMPUTED_VALUE"""),"Organized and kept things simple. Knowledgeable background in field. Answered questions well. Hands on method a plus.  Presented basic info needed.  Could include pics of how the method works to remove sediments like the sizes and correlate them to water "&amp;"quality? But good for an undergrad")</f>
        <v>Organized and kept things simple. Knowledgeable background in field. Answered questions well. Hands on method a plus.  Presented basic info needed.  Could include pics of how the method works to remove sediments like the sizes and correlate them to water quality? But good for an undergrad</v>
      </c>
      <c r="O794" s="142" t="str">
        <f t="shared" si="1"/>
        <v/>
      </c>
      <c r="P794" s="143" t="str">
        <f>IF(ISNA(VLOOKUP(CONCAT(M794,C794), 'Judge Count DO NOT EDIT'!H:H, 1, FALSE)), "ERROR","")</f>
        <v/>
      </c>
      <c r="Q794" s="141"/>
      <c r="R794" s="143"/>
      <c r="S794" s="139" t="str">
        <f t="shared" si="2"/>
        <v>1144354</v>
      </c>
      <c r="T794" s="141"/>
    </row>
    <row r="795">
      <c r="A795" s="137">
        <f>IFERROR(__xludf.DUMMYFUNCTION("""COMPUTED_VALUE"""),45352.49324739583)</f>
        <v>45352.49325</v>
      </c>
      <c r="B795" s="138" t="str">
        <f>IFERROR(__xludf.DUMMYFUNCTION("""COMPUTED_VALUE"""),"Marlene Ruiz")</f>
        <v>Marlene Ruiz</v>
      </c>
      <c r="C795" s="138">
        <f>IFERROR(__xludf.DUMMYFUNCTION("""COMPUTED_VALUE"""),1160.0)</f>
        <v>1160</v>
      </c>
      <c r="D795" s="139">
        <f>IFERROR(__xludf.DUMMYFUNCTION("""COMPUTED_VALUE"""),354.0)</f>
        <v>354</v>
      </c>
      <c r="E795" s="138">
        <f>IFERROR(__xludf.DUMMYFUNCTION("""COMPUTED_VALUE"""),3.0)</f>
        <v>3</v>
      </c>
      <c r="F795" s="138">
        <f>IFERROR(__xludf.DUMMYFUNCTION("""COMPUTED_VALUE"""),3.0)</f>
        <v>3</v>
      </c>
      <c r="G795" s="138">
        <f>IFERROR(__xludf.DUMMYFUNCTION("""COMPUTED_VALUE"""),4.0)</f>
        <v>4</v>
      </c>
      <c r="H795" s="138">
        <f>IFERROR(__xludf.DUMMYFUNCTION("""COMPUTED_VALUE"""),3.0)</f>
        <v>3</v>
      </c>
      <c r="I795" s="138">
        <f>IFERROR(__xludf.DUMMYFUNCTION("""COMPUTED_VALUE"""),3.0)</f>
        <v>3</v>
      </c>
      <c r="J795" s="138">
        <f>IFERROR(__xludf.DUMMYFUNCTION("""COMPUTED_VALUE"""),4.0)</f>
        <v>4</v>
      </c>
      <c r="K795" s="138">
        <f>IFERROR(__xludf.DUMMYFUNCTION("""COMPUTED_VALUE"""),3.0)</f>
        <v>3</v>
      </c>
      <c r="L795" s="138">
        <v>23.0</v>
      </c>
      <c r="M795" s="140" t="str">
        <f>VLOOKUP(text(D795, "#"),'Master Table'!$A:$F, 6, FALSE)</f>
        <v>F-6</v>
      </c>
      <c r="N795" s="141" t="str">
        <f>IFERROR(__xludf.DUMMYFUNCTION("""COMPUTED_VALUE"""),"Callie was so soft spoken I had a hard time hearing everything. She was able to define what she had done but was weak on the future use of the info. Her poster was equal with graphics and verbiage and able to read at 4 ft distance. Her appearance was very"&amp;" professional.
Good start but needs to speak out to demonstrate full comfort with presentation.")</f>
        <v>Callie was so soft spoken I had a hard time hearing everything. She was able to define what she had done but was weak on the future use of the info. Her poster was equal with graphics and verbiage and able to read at 4 ft distance. Her appearance was very professional.
Good start but needs to speak out to demonstrate full comfort with presentation.</v>
      </c>
      <c r="O795" s="142" t="str">
        <f t="shared" si="1"/>
        <v/>
      </c>
      <c r="P795" s="143" t="str">
        <f>IF(ISNA(VLOOKUP(CONCAT(M795,C795), 'Judge Count DO NOT EDIT'!H:H, 1, FALSE)), "ERROR","")</f>
        <v/>
      </c>
      <c r="Q795" s="141"/>
      <c r="R795" s="143"/>
      <c r="S795" s="139" t="str">
        <f t="shared" si="2"/>
        <v>1160354</v>
      </c>
      <c r="T795" s="141"/>
    </row>
    <row r="796">
      <c r="A796" s="137">
        <f>IFERROR(__xludf.DUMMYFUNCTION("""COMPUTED_VALUE"""),45352.39391896991)</f>
        <v>45352.39392</v>
      </c>
      <c r="B796" s="138" t="str">
        <f>IFERROR(__xludf.DUMMYFUNCTION("""COMPUTED_VALUE"""),"Nitai Chandra Adak ")</f>
        <v>Nitai Chandra Adak </v>
      </c>
      <c r="C796" s="138">
        <f>IFERROR(__xludf.DUMMYFUNCTION("""COMPUTED_VALUE"""),1092.0)</f>
        <v>1092</v>
      </c>
      <c r="D796" s="139">
        <f>IFERROR(__xludf.DUMMYFUNCTION("""COMPUTED_VALUE"""),355.0)</f>
        <v>355</v>
      </c>
      <c r="E796" s="138">
        <f>IFERROR(__xludf.DUMMYFUNCTION("""COMPUTED_VALUE"""),1.0)</f>
        <v>1</v>
      </c>
      <c r="F796" s="138">
        <f>IFERROR(__xludf.DUMMYFUNCTION("""COMPUTED_VALUE"""),1.0)</f>
        <v>1</v>
      </c>
      <c r="G796" s="138">
        <f>IFERROR(__xludf.DUMMYFUNCTION("""COMPUTED_VALUE"""),1.0)</f>
        <v>1</v>
      </c>
      <c r="H796" s="138">
        <f>IFERROR(__xludf.DUMMYFUNCTION("""COMPUTED_VALUE"""),1.0)</f>
        <v>1</v>
      </c>
      <c r="I796" s="138">
        <f>IFERROR(__xludf.DUMMYFUNCTION("""COMPUTED_VALUE"""),1.0)</f>
        <v>1</v>
      </c>
      <c r="J796" s="138">
        <f>IFERROR(__xludf.DUMMYFUNCTION("""COMPUTED_VALUE"""),1.0)</f>
        <v>1</v>
      </c>
      <c r="K796" s="138">
        <f>IFERROR(__xludf.DUMMYFUNCTION("""COMPUTED_VALUE"""),1.0)</f>
        <v>1</v>
      </c>
      <c r="L796" s="138">
        <v>7.0</v>
      </c>
      <c r="M796" s="140" t="str">
        <f>VLOOKUP(text(D796, "#"),'Master Table'!$A:$F, 6, FALSE)</f>
        <v>F-6</v>
      </c>
      <c r="N796" s="141" t="str">
        <f>IFERROR(__xludf.DUMMYFUNCTION("""COMPUTED_VALUE"""),"The candidate was not present during session ")</f>
        <v>The candidate was not present during session </v>
      </c>
      <c r="O796" s="142" t="str">
        <f t="shared" si="1"/>
        <v/>
      </c>
      <c r="P796" s="143" t="str">
        <f>IF(ISNA(VLOOKUP(CONCAT(M796,C796), 'Judge Count DO NOT EDIT'!H:H, 1, FALSE)), "ERROR","")</f>
        <v/>
      </c>
      <c r="Q796" s="141"/>
      <c r="R796" s="143"/>
      <c r="S796" s="139" t="str">
        <f t="shared" si="2"/>
        <v>1092355</v>
      </c>
      <c r="T796" s="141"/>
    </row>
    <row r="797">
      <c r="A797" s="137">
        <f>IFERROR(__xludf.DUMMYFUNCTION("""COMPUTED_VALUE"""),45352.38831148148)</f>
        <v>45352.38831</v>
      </c>
      <c r="B797" s="138" t="str">
        <f>IFERROR(__xludf.DUMMYFUNCTION("""COMPUTED_VALUE"""),"Nitai Chandra Adak ")</f>
        <v>Nitai Chandra Adak </v>
      </c>
      <c r="C797" s="138">
        <f>IFERROR(__xludf.DUMMYFUNCTION("""COMPUTED_VALUE"""),1092.0)</f>
        <v>1092</v>
      </c>
      <c r="D797" s="139">
        <f>IFERROR(__xludf.DUMMYFUNCTION("""COMPUTED_VALUE"""),357.0)</f>
        <v>357</v>
      </c>
      <c r="E797" s="138">
        <f>IFERROR(__xludf.DUMMYFUNCTION("""COMPUTED_VALUE"""),3.0)</f>
        <v>3</v>
      </c>
      <c r="F797" s="138">
        <f>IFERROR(__xludf.DUMMYFUNCTION("""COMPUTED_VALUE"""),3.0)</f>
        <v>3</v>
      </c>
      <c r="G797" s="138">
        <f>IFERROR(__xludf.DUMMYFUNCTION("""COMPUTED_VALUE"""),2.0)</f>
        <v>2</v>
      </c>
      <c r="H797" s="138">
        <f>IFERROR(__xludf.DUMMYFUNCTION("""COMPUTED_VALUE"""),2.0)</f>
        <v>2</v>
      </c>
      <c r="I797" s="138">
        <f>IFERROR(__xludf.DUMMYFUNCTION("""COMPUTED_VALUE"""),4.0)</f>
        <v>4</v>
      </c>
      <c r="J797" s="138">
        <f>IFERROR(__xludf.DUMMYFUNCTION("""COMPUTED_VALUE"""),3.0)</f>
        <v>3</v>
      </c>
      <c r="K797" s="138">
        <f>IFERROR(__xludf.DUMMYFUNCTION("""COMPUTED_VALUE"""),4.0)</f>
        <v>4</v>
      </c>
      <c r="L797" s="138">
        <v>21.0</v>
      </c>
      <c r="M797" s="140" t="str">
        <f>VLOOKUP(text(D797, "#"),'Master Table'!$A:$F, 6, FALSE)</f>
        <v>F-6</v>
      </c>
      <c r="N797" s="141" t="str">
        <f>IFERROR(__xludf.DUMMYFUNCTION("""COMPUTED_VALUE"""),"Important for measuring effective temperature of red supergiants")</f>
        <v>Important for measuring effective temperature of red supergiants</v>
      </c>
      <c r="O797" s="142" t="str">
        <f t="shared" si="1"/>
        <v/>
      </c>
      <c r="P797" s="143" t="str">
        <f>IF(ISNA(VLOOKUP(CONCAT(M797,C797), 'Judge Count DO NOT EDIT'!H:H, 1, FALSE)), "ERROR","")</f>
        <v/>
      </c>
      <c r="Q797" s="141"/>
      <c r="R797" s="143"/>
      <c r="S797" s="139" t="str">
        <f t="shared" si="2"/>
        <v>1092357</v>
      </c>
      <c r="T797" s="141"/>
    </row>
    <row r="798">
      <c r="A798" s="137">
        <f>IFERROR(__xludf.DUMMYFUNCTION("""COMPUTED_VALUE"""),45352.40157342593)</f>
        <v>45352.40157</v>
      </c>
      <c r="B798" s="138" t="str">
        <f>IFERROR(__xludf.DUMMYFUNCTION("""COMPUTED_VALUE"""),"Huiyu Qian")</f>
        <v>Huiyu Qian</v>
      </c>
      <c r="C798" s="138">
        <f>IFERROR(__xludf.DUMMYFUNCTION("""COMPUTED_VALUE"""),1141.0)</f>
        <v>1141</v>
      </c>
      <c r="D798" s="139">
        <f>IFERROR(__xludf.DUMMYFUNCTION("""COMPUTED_VALUE"""),357.0)</f>
        <v>357</v>
      </c>
      <c r="E798" s="138">
        <f>IFERROR(__xludf.DUMMYFUNCTION("""COMPUTED_VALUE"""),3.0)</f>
        <v>3</v>
      </c>
      <c r="F798" s="138">
        <f>IFERROR(__xludf.DUMMYFUNCTION("""COMPUTED_VALUE"""),4.0)</f>
        <v>4</v>
      </c>
      <c r="G798" s="138">
        <f>IFERROR(__xludf.DUMMYFUNCTION("""COMPUTED_VALUE"""),3.0)</f>
        <v>3</v>
      </c>
      <c r="H798" s="138">
        <f>IFERROR(__xludf.DUMMYFUNCTION("""COMPUTED_VALUE"""),4.0)</f>
        <v>4</v>
      </c>
      <c r="I798" s="138">
        <f>IFERROR(__xludf.DUMMYFUNCTION("""COMPUTED_VALUE"""),4.0)</f>
        <v>4</v>
      </c>
      <c r="J798" s="138">
        <f>IFERROR(__xludf.DUMMYFUNCTION("""COMPUTED_VALUE"""),4.0)</f>
        <v>4</v>
      </c>
      <c r="K798" s="138">
        <f>IFERROR(__xludf.DUMMYFUNCTION("""COMPUTED_VALUE"""),4.0)</f>
        <v>4</v>
      </c>
      <c r="L798" s="138">
        <v>26.0</v>
      </c>
      <c r="M798" s="140" t="str">
        <f>VLOOKUP(text(D798, "#"),'Master Table'!$A:$F, 6, FALSE)</f>
        <v>F-6</v>
      </c>
      <c r="N798" s="141" t="str">
        <f>IFERROR(__xludf.DUMMYFUNCTION("""COMPUTED_VALUE"""),"Great presentation! Nice project!")</f>
        <v>Great presentation! Nice project!</v>
      </c>
      <c r="O798" s="142" t="str">
        <f t="shared" si="1"/>
        <v/>
      </c>
      <c r="P798" s="143" t="str">
        <f>IF(ISNA(VLOOKUP(CONCAT(M798,C798), 'Judge Count DO NOT EDIT'!H:H, 1, FALSE)), "ERROR","")</f>
        <v/>
      </c>
      <c r="Q798" s="141"/>
      <c r="R798" s="143"/>
      <c r="S798" s="139" t="str">
        <f t="shared" si="2"/>
        <v>1141357</v>
      </c>
      <c r="T798" s="141"/>
    </row>
    <row r="799">
      <c r="A799" s="137">
        <f>IFERROR(__xludf.DUMMYFUNCTION("""COMPUTED_VALUE"""),45352.425126319446)</f>
        <v>45352.42513</v>
      </c>
      <c r="B799" s="138" t="str">
        <f>IFERROR(__xludf.DUMMYFUNCTION("""COMPUTED_VALUE"""),"Terrence")</f>
        <v>Terrence</v>
      </c>
      <c r="C799" s="138">
        <f>IFERROR(__xludf.DUMMYFUNCTION("""COMPUTED_VALUE"""),1144.0)</f>
        <v>1144</v>
      </c>
      <c r="D799" s="139">
        <f>IFERROR(__xludf.DUMMYFUNCTION("""COMPUTED_VALUE"""),357.0)</f>
        <v>357</v>
      </c>
      <c r="E799" s="138">
        <f>IFERROR(__xludf.DUMMYFUNCTION("""COMPUTED_VALUE"""),4.0)</f>
        <v>4</v>
      </c>
      <c r="F799" s="138">
        <f>IFERROR(__xludf.DUMMYFUNCTION("""COMPUTED_VALUE"""),3.0)</f>
        <v>3</v>
      </c>
      <c r="G799" s="138">
        <f>IFERROR(__xludf.DUMMYFUNCTION("""COMPUTED_VALUE"""),4.0)</f>
        <v>4</v>
      </c>
      <c r="H799" s="138">
        <f>IFERROR(__xludf.DUMMYFUNCTION("""COMPUTED_VALUE"""),3.0)</f>
        <v>3</v>
      </c>
      <c r="I799" s="138">
        <f>IFERROR(__xludf.DUMMYFUNCTION("""COMPUTED_VALUE"""),4.0)</f>
        <v>4</v>
      </c>
      <c r="J799" s="138">
        <f>IFERROR(__xludf.DUMMYFUNCTION("""COMPUTED_VALUE"""),3.0)</f>
        <v>3</v>
      </c>
      <c r="K799" s="138">
        <f>IFERROR(__xludf.DUMMYFUNCTION("""COMPUTED_VALUE"""),4.0)</f>
        <v>4</v>
      </c>
      <c r="L799" s="138">
        <v>25.0</v>
      </c>
      <c r="M799" s="140" t="str">
        <f>VLOOKUP(text(D799, "#"),'Master Table'!$A:$F, 6, FALSE)</f>
        <v>F-6</v>
      </c>
      <c r="N799" s="141" t="str">
        <f>IFERROR(__xludf.DUMMYFUNCTION("""COMPUTED_VALUE"""),"Very good charts and organized poster, student is very knowledgeable with field, answered questions well.  Interesting topic. Suggest using lamen language when presenting. Or explain specific language used in the field")</f>
        <v>Very good charts and organized poster, student is very knowledgeable with field, answered questions well.  Interesting topic. Suggest using lamen language when presenting. Or explain specific language used in the field</v>
      </c>
      <c r="O799" s="142" t="str">
        <f t="shared" si="1"/>
        <v/>
      </c>
      <c r="P799" s="143" t="str">
        <f>IF(ISNA(VLOOKUP(CONCAT(M799,C799), 'Judge Count DO NOT EDIT'!H:H, 1, FALSE)), "ERROR","")</f>
        <v/>
      </c>
      <c r="Q799" s="141"/>
      <c r="R799" s="143"/>
      <c r="S799" s="139" t="str">
        <f t="shared" si="2"/>
        <v>1144357</v>
      </c>
      <c r="T799" s="141"/>
    </row>
    <row r="800">
      <c r="A800" s="137">
        <f>IFERROR(__xludf.DUMMYFUNCTION("""COMPUTED_VALUE"""),45352.42778489583)</f>
        <v>45352.42778</v>
      </c>
      <c r="B800" s="138" t="str">
        <f>IFERROR(__xludf.DUMMYFUNCTION("""COMPUTED_VALUE"""),"Jing Gu")</f>
        <v>Jing Gu</v>
      </c>
      <c r="C800" s="138">
        <f>IFERROR(__xludf.DUMMYFUNCTION("""COMPUTED_VALUE"""),1086.0)</f>
        <v>1086</v>
      </c>
      <c r="D800" s="139">
        <f>IFERROR(__xludf.DUMMYFUNCTION("""COMPUTED_VALUE"""),357.0)</f>
        <v>357</v>
      </c>
      <c r="E800" s="138">
        <f>IFERROR(__xludf.DUMMYFUNCTION("""COMPUTED_VALUE"""),4.0)</f>
        <v>4</v>
      </c>
      <c r="F800" s="138">
        <f>IFERROR(__xludf.DUMMYFUNCTION("""COMPUTED_VALUE"""),4.0)</f>
        <v>4</v>
      </c>
      <c r="G800" s="138">
        <f>IFERROR(__xludf.DUMMYFUNCTION("""COMPUTED_VALUE"""),4.0)</f>
        <v>4</v>
      </c>
      <c r="H800" s="138">
        <f>IFERROR(__xludf.DUMMYFUNCTION("""COMPUTED_VALUE"""),4.0)</f>
        <v>4</v>
      </c>
      <c r="I800" s="138">
        <f>IFERROR(__xludf.DUMMYFUNCTION("""COMPUTED_VALUE"""),5.0)</f>
        <v>5</v>
      </c>
      <c r="J800" s="138">
        <f>IFERROR(__xludf.DUMMYFUNCTION("""COMPUTED_VALUE"""),4.0)</f>
        <v>4</v>
      </c>
      <c r="K800" s="138">
        <f>IFERROR(__xludf.DUMMYFUNCTION("""COMPUTED_VALUE"""),4.0)</f>
        <v>4</v>
      </c>
      <c r="L800" s="138">
        <v>29.0</v>
      </c>
      <c r="M800" s="140" t="str">
        <f>VLOOKUP(text(D800, "#"),'Master Table'!$A:$F, 6, FALSE)</f>
        <v>F-6</v>
      </c>
      <c r="N800" s="141" t="str">
        <f>IFERROR(__xludf.DUMMYFUNCTION("""COMPUTED_VALUE"""),"TiO should be TiO2, otherwise, she did an excellent job.")</f>
        <v>TiO should be TiO2, otherwise, she did an excellent job.</v>
      </c>
      <c r="O800" s="142" t="str">
        <f t="shared" si="1"/>
        <v/>
      </c>
      <c r="P800" s="143" t="str">
        <f>IF(ISNA(VLOOKUP(CONCAT(M800,C800), 'Judge Count DO NOT EDIT'!H:H, 1, FALSE)), "ERROR","")</f>
        <v/>
      </c>
      <c r="Q800" s="144"/>
      <c r="R800" s="143"/>
      <c r="S800" s="139" t="str">
        <f t="shared" si="2"/>
        <v>1086357</v>
      </c>
      <c r="T800" s="141"/>
    </row>
    <row r="801">
      <c r="A801" s="137">
        <f>IFERROR(__xludf.DUMMYFUNCTION("""COMPUTED_VALUE"""),45352.499450821764)</f>
        <v>45352.49945</v>
      </c>
      <c r="B801" s="138" t="str">
        <f>IFERROR(__xludf.DUMMYFUNCTION("""COMPUTED_VALUE"""),"MARLENE RUIZ")</f>
        <v>MARLENE RUIZ</v>
      </c>
      <c r="C801" s="138">
        <f>IFERROR(__xludf.DUMMYFUNCTION("""COMPUTED_VALUE"""),1160.0)</f>
        <v>1160</v>
      </c>
      <c r="D801" s="139">
        <f>IFERROR(__xludf.DUMMYFUNCTION("""COMPUTED_VALUE"""),357.0)</f>
        <v>357</v>
      </c>
      <c r="E801" s="138">
        <f>IFERROR(__xludf.DUMMYFUNCTION("""COMPUTED_VALUE"""),3.0)</f>
        <v>3</v>
      </c>
      <c r="F801" s="138">
        <f>IFERROR(__xludf.DUMMYFUNCTION("""COMPUTED_VALUE"""),3.0)</f>
        <v>3</v>
      </c>
      <c r="G801" s="138">
        <f>IFERROR(__xludf.DUMMYFUNCTION("""COMPUTED_VALUE"""),3.0)</f>
        <v>3</v>
      </c>
      <c r="H801" s="138">
        <f>IFERROR(__xludf.DUMMYFUNCTION("""COMPUTED_VALUE"""),3.0)</f>
        <v>3</v>
      </c>
      <c r="I801" s="138">
        <f>IFERROR(__xludf.DUMMYFUNCTION("""COMPUTED_VALUE"""),4.0)</f>
        <v>4</v>
      </c>
      <c r="J801" s="138">
        <f>IFERROR(__xludf.DUMMYFUNCTION("""COMPUTED_VALUE"""),3.0)</f>
        <v>3</v>
      </c>
      <c r="K801" s="138">
        <f>IFERROR(__xludf.DUMMYFUNCTION("""COMPUTED_VALUE"""),4.0)</f>
        <v>4</v>
      </c>
      <c r="L801" s="138">
        <v>23.0</v>
      </c>
      <c r="M801" s="140" t="str">
        <f>VLOOKUP(text(D801, "#"),'Master Table'!$A:$F, 6, FALSE)</f>
        <v>F-6</v>
      </c>
      <c r="N801" s="141" t="str">
        <f>IFERROR(__xludf.DUMMYFUNCTION("""COMPUTED_VALUE"""),"Beatriz was very energetic with her presentation. She knew her Subject but was weak on what importance it had for application in today's world. I questioned why she had selected it and she referred to a Beatles song and lost me. Her appearance was not as "&amp;"professional as this environment would encourage. Suggest more mentoring before next year's symposium.")</f>
        <v>Beatriz was very energetic with her presentation. She knew her Subject but was weak on what importance it had for application in today's world. I questioned why she had selected it and she referred to a Beatles song and lost me. Her appearance was not as professional as this environment would encourage. Suggest more mentoring before next year's symposium.</v>
      </c>
      <c r="O801" s="142" t="str">
        <f t="shared" si="1"/>
        <v/>
      </c>
      <c r="P801" s="143" t="str">
        <f>IF(ISNA(VLOOKUP(CONCAT(M801,C801), 'Judge Count DO NOT EDIT'!H:H, 1, FALSE)), "ERROR","")</f>
        <v/>
      </c>
      <c r="Q801" s="141"/>
      <c r="R801" s="143"/>
      <c r="S801" s="139" t="str">
        <f t="shared" si="2"/>
        <v>1160357</v>
      </c>
      <c r="T801" s="141"/>
    </row>
    <row r="802">
      <c r="A802" s="137">
        <f>IFERROR(__xludf.DUMMYFUNCTION("""COMPUTED_VALUE"""),45352.3818372338)</f>
        <v>45352.38184</v>
      </c>
      <c r="B802" s="138" t="str">
        <f>IFERROR(__xludf.DUMMYFUNCTION("""COMPUTED_VALUE"""),"Brittany Logan")</f>
        <v>Brittany Logan</v>
      </c>
      <c r="C802" s="138">
        <f>IFERROR(__xludf.DUMMYFUNCTION("""COMPUTED_VALUE"""),1145.0)</f>
        <v>1145</v>
      </c>
      <c r="D802" s="139">
        <f>IFERROR(__xludf.DUMMYFUNCTION("""COMPUTED_VALUE"""),358.0)</f>
        <v>358</v>
      </c>
      <c r="E802" s="138">
        <f>IFERROR(__xludf.DUMMYFUNCTION("""COMPUTED_VALUE"""),3.0)</f>
        <v>3</v>
      </c>
      <c r="F802" s="138">
        <f>IFERROR(__xludf.DUMMYFUNCTION("""COMPUTED_VALUE"""),4.0)</f>
        <v>4</v>
      </c>
      <c r="G802" s="138">
        <f>IFERROR(__xludf.DUMMYFUNCTION("""COMPUTED_VALUE"""),4.0)</f>
        <v>4</v>
      </c>
      <c r="H802" s="138">
        <f>IFERROR(__xludf.DUMMYFUNCTION("""COMPUTED_VALUE"""),4.0)</f>
        <v>4</v>
      </c>
      <c r="I802" s="138">
        <f>IFERROR(__xludf.DUMMYFUNCTION("""COMPUTED_VALUE"""),3.0)</f>
        <v>3</v>
      </c>
      <c r="J802" s="138">
        <f>IFERROR(__xludf.DUMMYFUNCTION("""COMPUTED_VALUE"""),4.0)</f>
        <v>4</v>
      </c>
      <c r="K802" s="138">
        <f>IFERROR(__xludf.DUMMYFUNCTION("""COMPUTED_VALUE"""),4.0)</f>
        <v>4</v>
      </c>
      <c r="L802" s="138">
        <v>26.0</v>
      </c>
      <c r="M802" s="140" t="str">
        <f>VLOOKUP(text(D802, "#"),'Master Table'!$A:$F, 6, FALSE)</f>
        <v>F-7</v>
      </c>
      <c r="N802" s="141" t="str">
        <f>IFERROR(__xludf.DUMMYFUNCTION("""COMPUTED_VALUE"""),"Presenter provided exceptional detail on challenges experienced in gathering resources ")</f>
        <v>Presenter provided exceptional detail on challenges experienced in gathering resources </v>
      </c>
      <c r="O802" s="142" t="str">
        <f t="shared" si="1"/>
        <v/>
      </c>
      <c r="P802" s="143" t="str">
        <f>IF(ISNA(VLOOKUP(CONCAT(M802,C802), 'Judge Count DO NOT EDIT'!H:H, 1, FALSE)), "ERROR","")</f>
        <v/>
      </c>
      <c r="Q802" s="141"/>
      <c r="R802" s="143"/>
      <c r="S802" s="139" t="str">
        <f t="shared" si="2"/>
        <v>1145358</v>
      </c>
      <c r="T802" s="141"/>
    </row>
    <row r="803">
      <c r="A803" s="137">
        <f>IFERROR(__xludf.DUMMYFUNCTION("""COMPUTED_VALUE"""),45352.38610225695)</f>
        <v>45352.3861</v>
      </c>
      <c r="B803" s="138" t="str">
        <f>IFERROR(__xludf.DUMMYFUNCTION("""COMPUTED_VALUE"""),"Noelle Abbott")</f>
        <v>Noelle Abbott</v>
      </c>
      <c r="C803" s="138">
        <f>IFERROR(__xludf.DUMMYFUNCTION("""COMPUTED_VALUE"""),1117.0)</f>
        <v>1117</v>
      </c>
      <c r="D803" s="139">
        <f>IFERROR(__xludf.DUMMYFUNCTION("""COMPUTED_VALUE"""),358.0)</f>
        <v>358</v>
      </c>
      <c r="E803" s="138">
        <f>IFERROR(__xludf.DUMMYFUNCTION("""COMPUTED_VALUE"""),4.0)</f>
        <v>4</v>
      </c>
      <c r="F803" s="138">
        <f>IFERROR(__xludf.DUMMYFUNCTION("""COMPUTED_VALUE"""),4.0)</f>
        <v>4</v>
      </c>
      <c r="G803" s="138">
        <f>IFERROR(__xludf.DUMMYFUNCTION("""COMPUTED_VALUE"""),4.0)</f>
        <v>4</v>
      </c>
      <c r="H803" s="138">
        <f>IFERROR(__xludf.DUMMYFUNCTION("""COMPUTED_VALUE"""),4.0)</f>
        <v>4</v>
      </c>
      <c r="I803" s="138">
        <f>IFERROR(__xludf.DUMMYFUNCTION("""COMPUTED_VALUE"""),5.0)</f>
        <v>5</v>
      </c>
      <c r="J803" s="138">
        <f>IFERROR(__xludf.DUMMYFUNCTION("""COMPUTED_VALUE"""),4.0)</f>
        <v>4</v>
      </c>
      <c r="K803" s="138">
        <f>IFERROR(__xludf.DUMMYFUNCTION("""COMPUTED_VALUE"""),5.0)</f>
        <v>5</v>
      </c>
      <c r="L803" s="138">
        <v>30.0</v>
      </c>
      <c r="M803" s="140" t="str">
        <f>VLOOKUP(text(D803, "#"),'Master Table'!$A:$F, 6, FALSE)</f>
        <v>F-7</v>
      </c>
      <c r="N803" s="141" t="str">
        <f>IFERROR(__xludf.DUMMYFUNCTION("""COMPUTED_VALUE"""),"It was clear that the presenter had a solid command of the material. My only piece of advice would be to reference the poster more when discussing the intro/background info, but other than that, great job!!")</f>
        <v>It was clear that the presenter had a solid command of the material. My only piece of advice would be to reference the poster more when discussing the intro/background info, but other than that, great job!!</v>
      </c>
      <c r="O803" s="142" t="str">
        <f t="shared" si="1"/>
        <v/>
      </c>
      <c r="P803" s="143" t="str">
        <f>IF(ISNA(VLOOKUP(CONCAT(M803,C803), 'Judge Count DO NOT EDIT'!H:H, 1, FALSE)), "ERROR","")</f>
        <v/>
      </c>
      <c r="Q803" s="141"/>
      <c r="R803" s="143"/>
      <c r="S803" s="139" t="str">
        <f t="shared" si="2"/>
        <v>1117358</v>
      </c>
      <c r="T803" s="141"/>
    </row>
    <row r="804">
      <c r="A804" s="137">
        <f>IFERROR(__xludf.DUMMYFUNCTION("""COMPUTED_VALUE"""),45352.41849438657)</f>
        <v>45352.41849</v>
      </c>
      <c r="B804" s="138" t="str">
        <f>IFERROR(__xludf.DUMMYFUNCTION("""COMPUTED_VALUE"""),"Jeff Conte")</f>
        <v>Jeff Conte</v>
      </c>
      <c r="C804" s="138">
        <f>IFERROR(__xludf.DUMMYFUNCTION("""COMPUTED_VALUE"""),1132.0)</f>
        <v>1132</v>
      </c>
      <c r="D804" s="139">
        <f>IFERROR(__xludf.DUMMYFUNCTION("""COMPUTED_VALUE"""),358.0)</f>
        <v>358</v>
      </c>
      <c r="E804" s="138">
        <f>IFERROR(__xludf.DUMMYFUNCTION("""COMPUTED_VALUE"""),4.0)</f>
        <v>4</v>
      </c>
      <c r="F804" s="138">
        <f>IFERROR(__xludf.DUMMYFUNCTION("""COMPUTED_VALUE"""),4.0)</f>
        <v>4</v>
      </c>
      <c r="G804" s="138">
        <f>IFERROR(__xludf.DUMMYFUNCTION("""COMPUTED_VALUE"""),4.0)</f>
        <v>4</v>
      </c>
      <c r="H804" s="138">
        <f>IFERROR(__xludf.DUMMYFUNCTION("""COMPUTED_VALUE"""),4.0)</f>
        <v>4</v>
      </c>
      <c r="I804" s="138">
        <f>IFERROR(__xludf.DUMMYFUNCTION("""COMPUTED_VALUE"""),4.0)</f>
        <v>4</v>
      </c>
      <c r="J804" s="138">
        <f>IFERROR(__xludf.DUMMYFUNCTION("""COMPUTED_VALUE"""),4.0)</f>
        <v>4</v>
      </c>
      <c r="K804" s="138">
        <f>IFERROR(__xludf.DUMMYFUNCTION("""COMPUTED_VALUE"""),4.0)</f>
        <v>4</v>
      </c>
      <c r="L804" s="138">
        <v>28.0</v>
      </c>
      <c r="M804" s="140" t="str">
        <f>VLOOKUP(text(D804, "#"),'Master Table'!$A:$F, 6, FALSE)</f>
        <v>F-7</v>
      </c>
      <c r="N804" s="141"/>
      <c r="O804" s="142" t="str">
        <f t="shared" si="1"/>
        <v/>
      </c>
      <c r="P804" s="143" t="str">
        <f>IF(ISNA(VLOOKUP(CONCAT(M804,C804), 'Judge Count DO NOT EDIT'!H:H, 1, FALSE)), "ERROR","")</f>
        <v/>
      </c>
      <c r="Q804" s="141"/>
      <c r="R804" s="143"/>
      <c r="S804" s="139" t="str">
        <f t="shared" si="2"/>
        <v>1132358</v>
      </c>
      <c r="T804" s="141"/>
    </row>
    <row r="805">
      <c r="A805" s="137">
        <f>IFERROR(__xludf.DUMMYFUNCTION("""COMPUTED_VALUE"""),45352.45020290509)</f>
        <v>45352.4502</v>
      </c>
      <c r="B805" s="138" t="str">
        <f>IFERROR(__xludf.DUMMYFUNCTION("""COMPUTED_VALUE"""),"Sisi Cao")</f>
        <v>Sisi Cao</v>
      </c>
      <c r="C805" s="138">
        <f>IFERROR(__xludf.DUMMYFUNCTION("""COMPUTED_VALUE"""),1038.0)</f>
        <v>1038</v>
      </c>
      <c r="D805" s="139">
        <f>IFERROR(__xludf.DUMMYFUNCTION("""COMPUTED_VALUE"""),358.0)</f>
        <v>358</v>
      </c>
      <c r="E805" s="138">
        <f>IFERROR(__xludf.DUMMYFUNCTION("""COMPUTED_VALUE"""),4.0)</f>
        <v>4</v>
      </c>
      <c r="F805" s="138">
        <f>IFERROR(__xludf.DUMMYFUNCTION("""COMPUTED_VALUE"""),4.0)</f>
        <v>4</v>
      </c>
      <c r="G805" s="138">
        <f>IFERROR(__xludf.DUMMYFUNCTION("""COMPUTED_VALUE"""),3.0)</f>
        <v>3</v>
      </c>
      <c r="H805" s="138">
        <f>IFERROR(__xludf.DUMMYFUNCTION("""COMPUTED_VALUE"""),3.0)</f>
        <v>3</v>
      </c>
      <c r="I805" s="138">
        <f>IFERROR(__xludf.DUMMYFUNCTION("""COMPUTED_VALUE"""),5.0)</f>
        <v>5</v>
      </c>
      <c r="J805" s="138">
        <f>IFERROR(__xludf.DUMMYFUNCTION("""COMPUTED_VALUE"""),4.0)</f>
        <v>4</v>
      </c>
      <c r="K805" s="138">
        <f>IFERROR(__xludf.DUMMYFUNCTION("""COMPUTED_VALUE"""),4.0)</f>
        <v>4</v>
      </c>
      <c r="L805" s="138">
        <v>27.0</v>
      </c>
      <c r="M805" s="140" t="str">
        <f>VLOOKUP(text(D805, "#"),'Master Table'!$A:$F, 6, FALSE)</f>
        <v>F-7</v>
      </c>
      <c r="N805" s="141" t="str">
        <f>IFERROR(__xludf.DUMMYFUNCTION("""COMPUTED_VALUE"""),"Very organized presentation. The student was able to deliver the content clearly and logically. She was also excellent in the q&amp;a. Keep up with the good work. ")</f>
        <v>Very organized presentation. The student was able to deliver the content clearly and logically. She was also excellent in the q&amp;a. Keep up with the good work. </v>
      </c>
      <c r="O805" s="142" t="str">
        <f t="shared" si="1"/>
        <v/>
      </c>
      <c r="P805" s="143" t="str">
        <f>IF(ISNA(VLOOKUP(CONCAT(M805,C805), 'Judge Count DO NOT EDIT'!H:H, 1, FALSE)), "ERROR","")</f>
        <v/>
      </c>
      <c r="Q805" s="141"/>
      <c r="R805" s="143"/>
      <c r="S805" s="139" t="str">
        <f t="shared" si="2"/>
        <v>1038358</v>
      </c>
      <c r="T805" s="141"/>
    </row>
    <row r="806">
      <c r="A806" s="137">
        <f>IFERROR(__xludf.DUMMYFUNCTION("""COMPUTED_VALUE"""),45352.39438987269)</f>
        <v>45352.39439</v>
      </c>
      <c r="B806" s="138" t="str">
        <f>IFERROR(__xludf.DUMMYFUNCTION("""COMPUTED_VALUE"""),"Noelle Abbott")</f>
        <v>Noelle Abbott</v>
      </c>
      <c r="C806" s="138">
        <f>IFERROR(__xludf.DUMMYFUNCTION("""COMPUTED_VALUE"""),1117.0)</f>
        <v>1117</v>
      </c>
      <c r="D806" s="139">
        <f>IFERROR(__xludf.DUMMYFUNCTION("""COMPUTED_VALUE"""),360.0)</f>
        <v>360</v>
      </c>
      <c r="E806" s="138">
        <f>IFERROR(__xludf.DUMMYFUNCTION("""COMPUTED_VALUE"""),4.0)</f>
        <v>4</v>
      </c>
      <c r="F806" s="138">
        <f>IFERROR(__xludf.DUMMYFUNCTION("""COMPUTED_VALUE"""),4.0)</f>
        <v>4</v>
      </c>
      <c r="G806" s="138">
        <f>IFERROR(__xludf.DUMMYFUNCTION("""COMPUTED_VALUE"""),5.0)</f>
        <v>5</v>
      </c>
      <c r="H806" s="138">
        <f>IFERROR(__xludf.DUMMYFUNCTION("""COMPUTED_VALUE"""),3.0)</f>
        <v>3</v>
      </c>
      <c r="I806" s="138">
        <f>IFERROR(__xludf.DUMMYFUNCTION("""COMPUTED_VALUE"""),4.0)</f>
        <v>4</v>
      </c>
      <c r="J806" s="138">
        <f>IFERROR(__xludf.DUMMYFUNCTION("""COMPUTED_VALUE"""),5.0)</f>
        <v>5</v>
      </c>
      <c r="K806" s="138">
        <f>IFERROR(__xludf.DUMMYFUNCTION("""COMPUTED_VALUE"""),4.0)</f>
        <v>4</v>
      </c>
      <c r="L806" s="138">
        <v>29.0</v>
      </c>
      <c r="M806" s="140" t="str">
        <f>VLOOKUP(text(D806, "#"),'Master Table'!$A:$F, 6, FALSE)</f>
        <v>F-7</v>
      </c>
      <c r="N806" s="141" t="str">
        <f>IFERROR(__xludf.DUMMYFUNCTION("""COMPUTED_VALUE"""),"Great presentation and important work! I could tell the presenter was passionate about the research and was able to connect it to future goals. The only suggestion I have for improvement was in the results. They were a little hard to read and I wasn’t tot"&amp;"ally clear how it connected to research questions.")</f>
        <v>Great presentation and important work! I could tell the presenter was passionate about the research and was able to connect it to future goals. The only suggestion I have for improvement was in the results. They were a little hard to read and I wasn’t totally clear how it connected to research questions.</v>
      </c>
      <c r="O806" s="142" t="str">
        <f t="shared" si="1"/>
        <v/>
      </c>
      <c r="P806" s="143" t="str">
        <f>IF(ISNA(VLOOKUP(CONCAT(M806,C806), 'Judge Count DO NOT EDIT'!H:H, 1, FALSE)), "ERROR","")</f>
        <v/>
      </c>
      <c r="Q806" s="141"/>
      <c r="R806" s="143"/>
      <c r="S806" s="139" t="str">
        <f t="shared" si="2"/>
        <v>1117360</v>
      </c>
      <c r="T806" s="141"/>
    </row>
    <row r="807">
      <c r="A807" s="137">
        <f>IFERROR(__xludf.DUMMYFUNCTION("""COMPUTED_VALUE"""),45352.42022785879)</f>
        <v>45352.42023</v>
      </c>
      <c r="B807" s="138" t="str">
        <f>IFERROR(__xludf.DUMMYFUNCTION("""COMPUTED_VALUE"""),"Jeff Conte")</f>
        <v>Jeff Conte</v>
      </c>
      <c r="C807" s="138">
        <f>IFERROR(__xludf.DUMMYFUNCTION("""COMPUTED_VALUE"""),1132.0)</f>
        <v>1132</v>
      </c>
      <c r="D807" s="139">
        <f>IFERROR(__xludf.DUMMYFUNCTION("""COMPUTED_VALUE"""),360.0)</f>
        <v>360</v>
      </c>
      <c r="E807" s="138">
        <f>IFERROR(__xludf.DUMMYFUNCTION("""COMPUTED_VALUE"""),5.0)</f>
        <v>5</v>
      </c>
      <c r="F807" s="138">
        <f>IFERROR(__xludf.DUMMYFUNCTION("""COMPUTED_VALUE"""),5.0)</f>
        <v>5</v>
      </c>
      <c r="G807" s="138">
        <f>IFERROR(__xludf.DUMMYFUNCTION("""COMPUTED_VALUE"""),5.0)</f>
        <v>5</v>
      </c>
      <c r="H807" s="138">
        <f>IFERROR(__xludf.DUMMYFUNCTION("""COMPUTED_VALUE"""),5.0)</f>
        <v>5</v>
      </c>
      <c r="I807" s="138">
        <f>IFERROR(__xludf.DUMMYFUNCTION("""COMPUTED_VALUE"""),4.0)</f>
        <v>4</v>
      </c>
      <c r="J807" s="138">
        <f>IFERROR(__xludf.DUMMYFUNCTION("""COMPUTED_VALUE"""),5.0)</f>
        <v>5</v>
      </c>
      <c r="K807" s="138">
        <f>IFERROR(__xludf.DUMMYFUNCTION("""COMPUTED_VALUE"""),4.0)</f>
        <v>4</v>
      </c>
      <c r="L807" s="138">
        <v>33.0</v>
      </c>
      <c r="M807" s="140" t="str">
        <f>VLOOKUP(text(D807, "#"),'Master Table'!$A:$F, 6, FALSE)</f>
        <v>F-7</v>
      </c>
      <c r="N807" s="141"/>
      <c r="O807" s="142" t="str">
        <f t="shared" si="1"/>
        <v/>
      </c>
      <c r="P807" s="143" t="str">
        <f>IF(ISNA(VLOOKUP(CONCAT(M807,C807), 'Judge Count DO NOT EDIT'!H:H, 1, FALSE)), "ERROR","")</f>
        <v/>
      </c>
      <c r="Q807" s="141"/>
      <c r="R807" s="143"/>
      <c r="S807" s="139" t="str">
        <f t="shared" si="2"/>
        <v>1132360</v>
      </c>
      <c r="T807" s="141"/>
    </row>
    <row r="808">
      <c r="A808" s="137">
        <f>IFERROR(__xludf.DUMMYFUNCTION("""COMPUTED_VALUE"""),45352.451577569445)</f>
        <v>45352.45158</v>
      </c>
      <c r="B808" s="138" t="str">
        <f>IFERROR(__xludf.DUMMYFUNCTION("""COMPUTED_VALUE"""),"Sisi Cao")</f>
        <v>Sisi Cao</v>
      </c>
      <c r="C808" s="138">
        <f>IFERROR(__xludf.DUMMYFUNCTION("""COMPUTED_VALUE"""),1038.0)</f>
        <v>1038</v>
      </c>
      <c r="D808" s="139">
        <f>IFERROR(__xludf.DUMMYFUNCTION("""COMPUTED_VALUE"""),360.0)</f>
        <v>360</v>
      </c>
      <c r="E808" s="138">
        <f>IFERROR(__xludf.DUMMYFUNCTION("""COMPUTED_VALUE"""),4.0)</f>
        <v>4</v>
      </c>
      <c r="F808" s="138">
        <f>IFERROR(__xludf.DUMMYFUNCTION("""COMPUTED_VALUE"""),4.0)</f>
        <v>4</v>
      </c>
      <c r="G808" s="138">
        <f>IFERROR(__xludf.DUMMYFUNCTION("""COMPUTED_VALUE"""),4.0)</f>
        <v>4</v>
      </c>
      <c r="H808" s="138">
        <f>IFERROR(__xludf.DUMMYFUNCTION("""COMPUTED_VALUE"""),3.0)</f>
        <v>3</v>
      </c>
      <c r="I808" s="138">
        <f>IFERROR(__xludf.DUMMYFUNCTION("""COMPUTED_VALUE"""),5.0)</f>
        <v>5</v>
      </c>
      <c r="J808" s="138">
        <f>IFERROR(__xludf.DUMMYFUNCTION("""COMPUTED_VALUE"""),5.0)</f>
        <v>5</v>
      </c>
      <c r="K808" s="138">
        <f>IFERROR(__xludf.DUMMYFUNCTION("""COMPUTED_VALUE"""),4.0)</f>
        <v>4</v>
      </c>
      <c r="L808" s="138">
        <v>29.0</v>
      </c>
      <c r="M808" s="140" t="str">
        <f>VLOOKUP(text(D808, "#"),'Master Table'!$A:$F, 6, FALSE)</f>
        <v>F-7</v>
      </c>
      <c r="N808" s="141" t="str">
        <f>IFERROR(__xludf.DUMMYFUNCTION("""COMPUTED_VALUE"""),"Job very well done. The student was able to present the content clearly and logically. The poster was very well organized and presented, so as the Q&amp;A session, keep up with the good work.")</f>
        <v>Job very well done. The student was able to present the content clearly and logically. The poster was very well organized and presented, so as the Q&amp;A session, keep up with the good work.</v>
      </c>
      <c r="O808" s="142" t="str">
        <f t="shared" si="1"/>
        <v/>
      </c>
      <c r="P808" s="143" t="str">
        <f>IF(ISNA(VLOOKUP(CONCAT(M808,C808), 'Judge Count DO NOT EDIT'!H:H, 1, FALSE)), "ERROR","")</f>
        <v/>
      </c>
      <c r="Q808" s="141"/>
      <c r="R808" s="143"/>
      <c r="S808" s="139" t="str">
        <f t="shared" si="2"/>
        <v>1038360</v>
      </c>
      <c r="T808" s="141"/>
    </row>
    <row r="809">
      <c r="A809" s="137">
        <f>IFERROR(__xludf.DUMMYFUNCTION("""COMPUTED_VALUE"""),45352.59763289352)</f>
        <v>45352.59763</v>
      </c>
      <c r="B809" s="138" t="str">
        <f>IFERROR(__xludf.DUMMYFUNCTION("""COMPUTED_VALUE"""),"Brittany Logan")</f>
        <v>Brittany Logan</v>
      </c>
      <c r="C809" s="138">
        <f>IFERROR(__xludf.DUMMYFUNCTION("""COMPUTED_VALUE"""),1145.0)</f>
        <v>1145</v>
      </c>
      <c r="D809" s="139">
        <f>IFERROR(__xludf.DUMMYFUNCTION("""COMPUTED_VALUE"""),360.0)</f>
        <v>360</v>
      </c>
      <c r="E809" s="138">
        <f>IFERROR(__xludf.DUMMYFUNCTION("""COMPUTED_VALUE"""),4.0)</f>
        <v>4</v>
      </c>
      <c r="F809" s="138">
        <f>IFERROR(__xludf.DUMMYFUNCTION("""COMPUTED_VALUE"""),3.0)</f>
        <v>3</v>
      </c>
      <c r="G809" s="138">
        <f>IFERROR(__xludf.DUMMYFUNCTION("""COMPUTED_VALUE"""),4.0)</f>
        <v>4</v>
      </c>
      <c r="H809" s="138">
        <f>IFERROR(__xludf.DUMMYFUNCTION("""COMPUTED_VALUE"""),3.0)</f>
        <v>3</v>
      </c>
      <c r="I809" s="138">
        <f>IFERROR(__xludf.DUMMYFUNCTION("""COMPUTED_VALUE"""),3.0)</f>
        <v>3</v>
      </c>
      <c r="J809" s="138">
        <f>IFERROR(__xludf.DUMMYFUNCTION("""COMPUTED_VALUE"""),4.0)</f>
        <v>4</v>
      </c>
      <c r="K809" s="138">
        <f>IFERROR(__xludf.DUMMYFUNCTION("""COMPUTED_VALUE"""),3.0)</f>
        <v>3</v>
      </c>
      <c r="L809" s="138">
        <v>24.0</v>
      </c>
      <c r="M809" s="140" t="str">
        <f>VLOOKUP(text(D809, "#"),'Master Table'!$A:$F, 6, FALSE)</f>
        <v>F-7</v>
      </c>
      <c r="N809" s="141"/>
      <c r="O809" s="142" t="str">
        <f t="shared" si="1"/>
        <v/>
      </c>
      <c r="P809" s="143" t="str">
        <f>IF(ISNA(VLOOKUP(CONCAT(M809,C809), 'Judge Count DO NOT EDIT'!H:H, 1, FALSE)), "ERROR","")</f>
        <v/>
      </c>
      <c r="Q809" s="141"/>
      <c r="R809" s="143"/>
      <c r="S809" s="139" t="str">
        <f t="shared" si="2"/>
        <v>1145360</v>
      </c>
      <c r="T809" s="141"/>
    </row>
    <row r="810">
      <c r="A810" s="137">
        <f>IFERROR(__xludf.DUMMYFUNCTION("""COMPUTED_VALUE"""),45352.40699398148)</f>
        <v>45352.40699</v>
      </c>
      <c r="B810" s="138" t="str">
        <f>IFERROR(__xludf.DUMMYFUNCTION("""COMPUTED_VALUE"""),"Noelle Abbott")</f>
        <v>Noelle Abbott</v>
      </c>
      <c r="C810" s="138">
        <f>IFERROR(__xludf.DUMMYFUNCTION("""COMPUTED_VALUE"""),1117.0)</f>
        <v>1117</v>
      </c>
      <c r="D810" s="139">
        <f>IFERROR(__xludf.DUMMYFUNCTION("""COMPUTED_VALUE"""),361.0)</f>
        <v>361</v>
      </c>
      <c r="E810" s="138">
        <f>IFERROR(__xludf.DUMMYFUNCTION("""COMPUTED_VALUE"""),4.0)</f>
        <v>4</v>
      </c>
      <c r="F810" s="138">
        <f>IFERROR(__xludf.DUMMYFUNCTION("""COMPUTED_VALUE"""),3.0)</f>
        <v>3</v>
      </c>
      <c r="G810" s="138">
        <f>IFERROR(__xludf.DUMMYFUNCTION("""COMPUTED_VALUE"""),5.0)</f>
        <v>5</v>
      </c>
      <c r="H810" s="138">
        <f>IFERROR(__xludf.DUMMYFUNCTION("""COMPUTED_VALUE"""),4.0)</f>
        <v>4</v>
      </c>
      <c r="I810" s="138">
        <f>IFERROR(__xludf.DUMMYFUNCTION("""COMPUTED_VALUE"""),4.0)</f>
        <v>4</v>
      </c>
      <c r="J810" s="138">
        <f>IFERROR(__xludf.DUMMYFUNCTION("""COMPUTED_VALUE"""),4.0)</f>
        <v>4</v>
      </c>
      <c r="K810" s="138">
        <f>IFERROR(__xludf.DUMMYFUNCTION("""COMPUTED_VALUE"""),5.0)</f>
        <v>5</v>
      </c>
      <c r="L810" s="138">
        <v>29.0</v>
      </c>
      <c r="M810" s="140" t="str">
        <f>VLOOKUP(text(D810, "#"),'Master Table'!$A:$F, 6, FALSE)</f>
        <v>F-7</v>
      </c>
      <c r="N810" s="141" t="str">
        <f>IFERROR(__xludf.DUMMYFUNCTION("""COMPUTED_VALUE"""),"Really nice job organizing and presenting a large amount of data! My only suggestion is to focus on a few important metrics of interest as it is a lot to digest for a single poster, but again, the presenter did well managing the info!")</f>
        <v>Really nice job organizing and presenting a large amount of data! My only suggestion is to focus on a few important metrics of interest as it is a lot to digest for a single poster, but again, the presenter did well managing the info!</v>
      </c>
      <c r="O810" s="142" t="str">
        <f t="shared" si="1"/>
        <v/>
      </c>
      <c r="P810" s="143" t="str">
        <f>IF(ISNA(VLOOKUP(CONCAT(M810,C810), 'Judge Count DO NOT EDIT'!H:H, 1, FALSE)), "ERROR","")</f>
        <v/>
      </c>
      <c r="Q810" s="141"/>
      <c r="R810" s="143"/>
      <c r="S810" s="139" t="str">
        <f t="shared" si="2"/>
        <v>1117361</v>
      </c>
      <c r="T810" s="141"/>
    </row>
    <row r="811">
      <c r="A811" s="137">
        <f>IFERROR(__xludf.DUMMYFUNCTION("""COMPUTED_VALUE"""),45352.43164015046)</f>
        <v>45352.43164</v>
      </c>
      <c r="B811" s="138" t="str">
        <f>IFERROR(__xludf.DUMMYFUNCTION("""COMPUTED_VALUE"""),"Jeff Conte")</f>
        <v>Jeff Conte</v>
      </c>
      <c r="C811" s="138">
        <f>IFERROR(__xludf.DUMMYFUNCTION("""COMPUTED_VALUE"""),1132.0)</f>
        <v>1132</v>
      </c>
      <c r="D811" s="139">
        <f>IFERROR(__xludf.DUMMYFUNCTION("""COMPUTED_VALUE"""),361.0)</f>
        <v>361</v>
      </c>
      <c r="E811" s="138">
        <f>IFERROR(__xludf.DUMMYFUNCTION("""COMPUTED_VALUE"""),4.0)</f>
        <v>4</v>
      </c>
      <c r="F811" s="138">
        <f>IFERROR(__xludf.DUMMYFUNCTION("""COMPUTED_VALUE"""),4.0)</f>
        <v>4</v>
      </c>
      <c r="G811" s="138">
        <f>IFERROR(__xludf.DUMMYFUNCTION("""COMPUTED_VALUE"""),5.0)</f>
        <v>5</v>
      </c>
      <c r="H811" s="138">
        <f>IFERROR(__xludf.DUMMYFUNCTION("""COMPUTED_VALUE"""),5.0)</f>
        <v>5</v>
      </c>
      <c r="I811" s="138">
        <f>IFERROR(__xludf.DUMMYFUNCTION("""COMPUTED_VALUE"""),4.0)</f>
        <v>4</v>
      </c>
      <c r="J811" s="138">
        <f>IFERROR(__xludf.DUMMYFUNCTION("""COMPUTED_VALUE"""),5.0)</f>
        <v>5</v>
      </c>
      <c r="K811" s="138">
        <f>IFERROR(__xludf.DUMMYFUNCTION("""COMPUTED_VALUE"""),5.0)</f>
        <v>5</v>
      </c>
      <c r="L811" s="138">
        <v>32.0</v>
      </c>
      <c r="M811" s="140" t="str">
        <f>VLOOKUP(text(D811, "#"),'Master Table'!$A:$F, 6, FALSE)</f>
        <v>F-7</v>
      </c>
      <c r="N811" s="141"/>
      <c r="O811" s="142" t="str">
        <f t="shared" si="1"/>
        <v/>
      </c>
      <c r="P811" s="143" t="str">
        <f>IF(ISNA(VLOOKUP(CONCAT(M811,C811), 'Judge Count DO NOT EDIT'!H:H, 1, FALSE)), "ERROR","")</f>
        <v/>
      </c>
      <c r="Q811" s="141"/>
      <c r="R811" s="143"/>
      <c r="S811" s="139" t="str">
        <f t="shared" si="2"/>
        <v>1132361</v>
      </c>
      <c r="T811" s="141"/>
    </row>
    <row r="812">
      <c r="A812" s="137">
        <f>IFERROR(__xludf.DUMMYFUNCTION("""COMPUTED_VALUE"""),45352.45490494213)</f>
        <v>45352.4549</v>
      </c>
      <c r="B812" s="138" t="str">
        <f>IFERROR(__xludf.DUMMYFUNCTION("""COMPUTED_VALUE"""),"Sisi Cao")</f>
        <v>Sisi Cao</v>
      </c>
      <c r="C812" s="138">
        <f>IFERROR(__xludf.DUMMYFUNCTION("""COMPUTED_VALUE"""),1038.0)</f>
        <v>1038</v>
      </c>
      <c r="D812" s="139">
        <f>IFERROR(__xludf.DUMMYFUNCTION("""COMPUTED_VALUE"""),361.0)</f>
        <v>361</v>
      </c>
      <c r="E812" s="138">
        <f>IFERROR(__xludf.DUMMYFUNCTION("""COMPUTED_VALUE"""),4.0)</f>
        <v>4</v>
      </c>
      <c r="F812" s="138">
        <f>IFERROR(__xludf.DUMMYFUNCTION("""COMPUTED_VALUE"""),4.0)</f>
        <v>4</v>
      </c>
      <c r="G812" s="138">
        <f>IFERROR(__xludf.DUMMYFUNCTION("""COMPUTED_VALUE"""),3.0)</f>
        <v>3</v>
      </c>
      <c r="H812" s="138">
        <f>IFERROR(__xludf.DUMMYFUNCTION("""COMPUTED_VALUE"""),3.0)</f>
        <v>3</v>
      </c>
      <c r="I812" s="138">
        <f>IFERROR(__xludf.DUMMYFUNCTION("""COMPUTED_VALUE"""),4.0)</f>
        <v>4</v>
      </c>
      <c r="J812" s="138">
        <f>IFERROR(__xludf.DUMMYFUNCTION("""COMPUTED_VALUE"""),4.0)</f>
        <v>4</v>
      </c>
      <c r="K812" s="138">
        <f>IFERROR(__xludf.DUMMYFUNCTION("""COMPUTED_VALUE"""),4.0)</f>
        <v>4</v>
      </c>
      <c r="L812" s="138">
        <v>26.0</v>
      </c>
      <c r="M812" s="140" t="str">
        <f>VLOOKUP(text(D812, "#"),'Master Table'!$A:$F, 6, FALSE)</f>
        <v>F-7</v>
      </c>
      <c r="N812" s="141" t="str">
        <f>IFERROR(__xludf.DUMMYFUNCTION("""COMPUTED_VALUE"""),"Job very well done. The student was able to present the content in a very enthusiastic manner which shows that she understands her content and research very well. Kudos to that. She was able to answer all the questions very well. One little thing to pay a"&amp;"ttention to is the length of the presentation. The student is very passionate about her research and gives out a lot of detailed information during presentation, which could make the audience lose focus in the end. A more precise presentation with main po"&amp;"ints focused would make it perfect. ")</f>
        <v>Job very well done. The student was able to present the content in a very enthusiastic manner which shows that she understands her content and research very well. Kudos to that. She was able to answer all the questions very well. One little thing to pay attention to is the length of the presentation. The student is very passionate about her research and gives out a lot of detailed information during presentation, which could make the audience lose focus in the end. A more precise presentation with main points focused would make it perfect. </v>
      </c>
      <c r="O812" s="142" t="str">
        <f t="shared" si="1"/>
        <v/>
      </c>
      <c r="P812" s="143" t="str">
        <f>IF(ISNA(VLOOKUP(CONCAT(M812,C812), 'Judge Count DO NOT EDIT'!H:H, 1, FALSE)), "ERROR","")</f>
        <v/>
      </c>
      <c r="Q812" s="141"/>
      <c r="R812" s="143"/>
      <c r="S812" s="139" t="str">
        <f t="shared" si="2"/>
        <v>1038361</v>
      </c>
      <c r="T812" s="141"/>
    </row>
    <row r="813">
      <c r="A813" s="137">
        <f>IFERROR(__xludf.DUMMYFUNCTION("""COMPUTED_VALUE"""),45352.60569805556)</f>
        <v>45352.6057</v>
      </c>
      <c r="B813" s="138" t="str">
        <f>IFERROR(__xludf.DUMMYFUNCTION("""COMPUTED_VALUE"""),"Brittany Logan")</f>
        <v>Brittany Logan</v>
      </c>
      <c r="C813" s="138">
        <f>IFERROR(__xludf.DUMMYFUNCTION("""COMPUTED_VALUE"""),1145.0)</f>
        <v>1145</v>
      </c>
      <c r="D813" s="139">
        <f>IFERROR(__xludf.DUMMYFUNCTION("""COMPUTED_VALUE"""),361.0)</f>
        <v>361</v>
      </c>
      <c r="E813" s="138">
        <f>IFERROR(__xludf.DUMMYFUNCTION("""COMPUTED_VALUE"""),3.0)</f>
        <v>3</v>
      </c>
      <c r="F813" s="138">
        <f>IFERROR(__xludf.DUMMYFUNCTION("""COMPUTED_VALUE"""),4.0)</f>
        <v>4</v>
      </c>
      <c r="G813" s="138">
        <f>IFERROR(__xludf.DUMMYFUNCTION("""COMPUTED_VALUE"""),4.0)</f>
        <v>4</v>
      </c>
      <c r="H813" s="138">
        <f>IFERROR(__xludf.DUMMYFUNCTION("""COMPUTED_VALUE"""),3.0)</f>
        <v>3</v>
      </c>
      <c r="I813" s="138">
        <f>IFERROR(__xludf.DUMMYFUNCTION("""COMPUTED_VALUE"""),3.0)</f>
        <v>3</v>
      </c>
      <c r="J813" s="138">
        <f>IFERROR(__xludf.DUMMYFUNCTION("""COMPUTED_VALUE"""),4.0)</f>
        <v>4</v>
      </c>
      <c r="K813" s="138">
        <f>IFERROR(__xludf.DUMMYFUNCTION("""COMPUTED_VALUE"""),4.0)</f>
        <v>4</v>
      </c>
      <c r="L813" s="138">
        <v>25.0</v>
      </c>
      <c r="M813" s="140" t="str">
        <f>VLOOKUP(text(D813, "#"),'Master Table'!$A:$F, 6, FALSE)</f>
        <v>F-7</v>
      </c>
      <c r="N813" s="141"/>
      <c r="O813" s="142" t="str">
        <f t="shared" si="1"/>
        <v/>
      </c>
      <c r="P813" s="143" t="str">
        <f>IF(ISNA(VLOOKUP(CONCAT(M813,C813), 'Judge Count DO NOT EDIT'!H:H, 1, FALSE)), "ERROR","")</f>
        <v/>
      </c>
      <c r="Q813" s="141"/>
      <c r="R813" s="143"/>
      <c r="S813" s="139" t="str">
        <f t="shared" si="2"/>
        <v>1145361</v>
      </c>
      <c r="T813" s="141"/>
    </row>
    <row r="814">
      <c r="A814" s="137">
        <f>IFERROR(__xludf.DUMMYFUNCTION("""COMPUTED_VALUE"""),45352.39886318287)</f>
        <v>45352.39886</v>
      </c>
      <c r="B814" s="138" t="str">
        <f>IFERROR(__xludf.DUMMYFUNCTION("""COMPUTED_VALUE"""),"Brittany Logan")</f>
        <v>Brittany Logan</v>
      </c>
      <c r="C814" s="138">
        <f>IFERROR(__xludf.DUMMYFUNCTION("""COMPUTED_VALUE"""),1145.0)</f>
        <v>1145</v>
      </c>
      <c r="D814" s="139">
        <f>IFERROR(__xludf.DUMMYFUNCTION("""COMPUTED_VALUE"""),362.0)</f>
        <v>362</v>
      </c>
      <c r="E814" s="138">
        <f>IFERROR(__xludf.DUMMYFUNCTION("""COMPUTED_VALUE"""),3.0)</f>
        <v>3</v>
      </c>
      <c r="F814" s="138">
        <f>IFERROR(__xludf.DUMMYFUNCTION("""COMPUTED_VALUE"""),3.0)</f>
        <v>3</v>
      </c>
      <c r="G814" s="138">
        <f>IFERROR(__xludf.DUMMYFUNCTION("""COMPUTED_VALUE"""),4.0)</f>
        <v>4</v>
      </c>
      <c r="H814" s="138">
        <f>IFERROR(__xludf.DUMMYFUNCTION("""COMPUTED_VALUE"""),4.0)</f>
        <v>4</v>
      </c>
      <c r="I814" s="138">
        <f>IFERROR(__xludf.DUMMYFUNCTION("""COMPUTED_VALUE"""),3.0)</f>
        <v>3</v>
      </c>
      <c r="J814" s="138">
        <f>IFERROR(__xludf.DUMMYFUNCTION("""COMPUTED_VALUE"""),4.0)</f>
        <v>4</v>
      </c>
      <c r="K814" s="138">
        <f>IFERROR(__xludf.DUMMYFUNCTION("""COMPUTED_VALUE"""),3.0)</f>
        <v>3</v>
      </c>
      <c r="L814" s="138">
        <v>24.0</v>
      </c>
      <c r="M814" s="140" t="str">
        <f>VLOOKUP(text(D814, "#"),'Master Table'!$A:$F, 6, FALSE)</f>
        <v>F-7</v>
      </c>
      <c r="N814" s="141" t="str">
        <f>IFERROR(__xludf.DUMMYFUNCTION("""COMPUTED_VALUE"""),"Big kudos for having the student abstract info on the poster.  It was the only poster that had this info which is helpful for the judges. The graphics on the poster were clear and easy to understand given the topic. Very nicely done with the graphic depic"&amp;"ting the muscle contraction device!")</f>
        <v>Big kudos for having the student abstract info on the poster.  It was the only poster that had this info which is helpful for the judges. The graphics on the poster were clear and easy to understand given the topic. Very nicely done with the graphic depicting the muscle contraction device!</v>
      </c>
      <c r="O814" s="142" t="str">
        <f t="shared" si="1"/>
        <v/>
      </c>
      <c r="P814" s="143" t="str">
        <f>IF(ISNA(VLOOKUP(CONCAT(M814,C814), 'Judge Count DO NOT EDIT'!H:H, 1, FALSE)), "ERROR","")</f>
        <v/>
      </c>
      <c r="Q814" s="141"/>
      <c r="R814" s="143"/>
      <c r="S814" s="139" t="str">
        <f t="shared" si="2"/>
        <v>1145362</v>
      </c>
      <c r="T814" s="141"/>
    </row>
    <row r="815">
      <c r="A815" s="137">
        <f>IFERROR(__xludf.DUMMYFUNCTION("""COMPUTED_VALUE"""),45352.40451581018)</f>
        <v>45352.40452</v>
      </c>
      <c r="B815" s="138" t="str">
        <f>IFERROR(__xludf.DUMMYFUNCTION("""COMPUTED_VALUE"""),"JD Weidman")</f>
        <v>JD Weidman</v>
      </c>
      <c r="C815" s="138">
        <f>IFERROR(__xludf.DUMMYFUNCTION("""COMPUTED_VALUE"""),1214.0)</f>
        <v>1214</v>
      </c>
      <c r="D815" s="139">
        <f>IFERROR(__xludf.DUMMYFUNCTION("""COMPUTED_VALUE"""),362.0)</f>
        <v>362</v>
      </c>
      <c r="E815" s="138">
        <f>IFERROR(__xludf.DUMMYFUNCTION("""COMPUTED_VALUE"""),4.0)</f>
        <v>4</v>
      </c>
      <c r="F815" s="138">
        <f>IFERROR(__xludf.DUMMYFUNCTION("""COMPUTED_VALUE"""),4.0)</f>
        <v>4</v>
      </c>
      <c r="G815" s="138">
        <f>IFERROR(__xludf.DUMMYFUNCTION("""COMPUTED_VALUE"""),4.0)</f>
        <v>4</v>
      </c>
      <c r="H815" s="138">
        <f>IFERROR(__xludf.DUMMYFUNCTION("""COMPUTED_VALUE"""),4.0)</f>
        <v>4</v>
      </c>
      <c r="I815" s="138">
        <f>IFERROR(__xludf.DUMMYFUNCTION("""COMPUTED_VALUE"""),4.0)</f>
        <v>4</v>
      </c>
      <c r="J815" s="138">
        <f>IFERROR(__xludf.DUMMYFUNCTION("""COMPUTED_VALUE"""),4.0)</f>
        <v>4</v>
      </c>
      <c r="K815" s="138">
        <f>IFERROR(__xludf.DUMMYFUNCTION("""COMPUTED_VALUE"""),4.0)</f>
        <v>4</v>
      </c>
      <c r="L815" s="138">
        <v>28.0</v>
      </c>
      <c r="M815" s="140" t="str">
        <f>VLOOKUP(text(D815, "#"),'Master Table'!$A:$F, 6, FALSE)</f>
        <v>F-7</v>
      </c>
      <c r="N815" s="141" t="str">
        <f>IFERROR(__xludf.DUMMYFUNCTION("""COMPUTED_VALUE"""),"Decent pitch but too much jargon and acronyms. Did a good job of explaining real world application ")</f>
        <v>Decent pitch but too much jargon and acronyms. Did a good job of explaining real world application </v>
      </c>
      <c r="O815" s="142" t="str">
        <f t="shared" si="1"/>
        <v/>
      </c>
      <c r="P815" s="143" t="str">
        <f>IF(ISNA(VLOOKUP(CONCAT(M815,C815), 'Judge Count DO NOT EDIT'!H:H, 1, FALSE)), "ERROR","")</f>
        <v/>
      </c>
      <c r="Q815" s="141"/>
      <c r="R815" s="143"/>
      <c r="S815" s="139" t="str">
        <f t="shared" si="2"/>
        <v>1214362</v>
      </c>
      <c r="T815" s="141"/>
    </row>
    <row r="816">
      <c r="A816" s="137">
        <f>IFERROR(__xludf.DUMMYFUNCTION("""COMPUTED_VALUE"""),45352.42155221065)</f>
        <v>45352.42155</v>
      </c>
      <c r="B816" s="138" t="str">
        <f>IFERROR(__xludf.DUMMYFUNCTION("""COMPUTED_VALUE"""),"Jeff Conte")</f>
        <v>Jeff Conte</v>
      </c>
      <c r="C816" s="138">
        <f>IFERROR(__xludf.DUMMYFUNCTION("""COMPUTED_VALUE"""),1132.0)</f>
        <v>1132</v>
      </c>
      <c r="D816" s="139">
        <f>IFERROR(__xludf.DUMMYFUNCTION("""COMPUTED_VALUE"""),362.0)</f>
        <v>362</v>
      </c>
      <c r="E816" s="138">
        <f>IFERROR(__xludf.DUMMYFUNCTION("""COMPUTED_VALUE"""),4.0)</f>
        <v>4</v>
      </c>
      <c r="F816" s="138">
        <f>IFERROR(__xludf.DUMMYFUNCTION("""COMPUTED_VALUE"""),4.0)</f>
        <v>4</v>
      </c>
      <c r="G816" s="138">
        <f>IFERROR(__xludf.DUMMYFUNCTION("""COMPUTED_VALUE"""),5.0)</f>
        <v>5</v>
      </c>
      <c r="H816" s="138">
        <f>IFERROR(__xludf.DUMMYFUNCTION("""COMPUTED_VALUE"""),5.0)</f>
        <v>5</v>
      </c>
      <c r="I816" s="138">
        <f>IFERROR(__xludf.DUMMYFUNCTION("""COMPUTED_VALUE"""),4.0)</f>
        <v>4</v>
      </c>
      <c r="J816" s="138">
        <f>IFERROR(__xludf.DUMMYFUNCTION("""COMPUTED_VALUE"""),4.0)</f>
        <v>4</v>
      </c>
      <c r="K816" s="138">
        <f>IFERROR(__xludf.DUMMYFUNCTION("""COMPUTED_VALUE"""),5.0)</f>
        <v>5</v>
      </c>
      <c r="L816" s="138">
        <v>31.0</v>
      </c>
      <c r="M816" s="140" t="str">
        <f>VLOOKUP(text(D816, "#"),'Master Table'!$A:$F, 6, FALSE)</f>
        <v>F-7</v>
      </c>
      <c r="N816" s="141"/>
      <c r="O816" s="142" t="str">
        <f t="shared" si="1"/>
        <v/>
      </c>
      <c r="P816" s="143" t="str">
        <f>IF(ISNA(VLOOKUP(CONCAT(M816,C816), 'Judge Count DO NOT EDIT'!H:H, 1, FALSE)), "ERROR","")</f>
        <v/>
      </c>
      <c r="Q816" s="141"/>
      <c r="R816" s="143"/>
      <c r="S816" s="139" t="str">
        <f t="shared" si="2"/>
        <v>1132362</v>
      </c>
      <c r="T816" s="141"/>
    </row>
    <row r="817">
      <c r="A817" s="137">
        <f>IFERROR(__xludf.DUMMYFUNCTION("""COMPUTED_VALUE"""),45352.42321320601)</f>
        <v>45352.42321</v>
      </c>
      <c r="B817" s="145" t="str">
        <f>IFERROR(__xludf.DUMMYFUNCTION("""COMPUTED_VALUE"""),"Noelle Abbott")</f>
        <v>Noelle Abbott</v>
      </c>
      <c r="C817" s="138">
        <f>IFERROR(__xludf.DUMMYFUNCTION("""COMPUTED_VALUE"""),1117.0)</f>
        <v>1117</v>
      </c>
      <c r="D817" s="139">
        <f>IFERROR(__xludf.DUMMYFUNCTION("""COMPUTED_VALUE"""),362.0)</f>
        <v>362</v>
      </c>
      <c r="E817" s="138">
        <f>IFERROR(__xludf.DUMMYFUNCTION("""COMPUTED_VALUE"""),4.0)</f>
        <v>4</v>
      </c>
      <c r="F817" s="138">
        <f>IFERROR(__xludf.DUMMYFUNCTION("""COMPUTED_VALUE"""),4.0)</f>
        <v>4</v>
      </c>
      <c r="G817" s="138">
        <f>IFERROR(__xludf.DUMMYFUNCTION("""COMPUTED_VALUE"""),4.0)</f>
        <v>4</v>
      </c>
      <c r="H817" s="138">
        <f>IFERROR(__xludf.DUMMYFUNCTION("""COMPUTED_VALUE"""),4.0)</f>
        <v>4</v>
      </c>
      <c r="I817" s="138">
        <f>IFERROR(__xludf.DUMMYFUNCTION("""COMPUTED_VALUE"""),5.0)</f>
        <v>5</v>
      </c>
      <c r="J817" s="138">
        <f>IFERROR(__xludf.DUMMYFUNCTION("""COMPUTED_VALUE"""),4.0)</f>
        <v>4</v>
      </c>
      <c r="K817" s="138">
        <f>IFERROR(__xludf.DUMMYFUNCTION("""COMPUTED_VALUE"""),5.0)</f>
        <v>5</v>
      </c>
      <c r="L817" s="138">
        <v>30.0</v>
      </c>
      <c r="M817" s="140" t="str">
        <f>VLOOKUP(text(D817, "#"),'Master Table'!$A:$F, 6, FALSE)</f>
        <v>F-7</v>
      </c>
      <c r="N817" s="141" t="str">
        <f>IFERROR(__xludf.DUMMYFUNCTION("""COMPUTED_VALUE"""),"The presenter had a great command of complicated material and presented it well. My only suggestion would be to explain some of the more technical terms. Good job!")</f>
        <v>The presenter had a great command of complicated material and presented it well. My only suggestion would be to explain some of the more technical terms. Good job!</v>
      </c>
      <c r="O817" s="142" t="str">
        <f t="shared" si="1"/>
        <v/>
      </c>
      <c r="P817" s="143" t="str">
        <f>IF(ISNA(VLOOKUP(CONCAT(M817,C817), 'Judge Count DO NOT EDIT'!H:H, 1, FALSE)), "ERROR","")</f>
        <v/>
      </c>
      <c r="Q817" s="141"/>
      <c r="R817" s="143"/>
      <c r="S817" s="139" t="str">
        <f t="shared" si="2"/>
        <v>1117362</v>
      </c>
      <c r="T817" s="141"/>
    </row>
    <row r="818">
      <c r="A818" s="137">
        <f>IFERROR(__xludf.DUMMYFUNCTION("""COMPUTED_VALUE"""),45352.455821944444)</f>
        <v>45352.45582</v>
      </c>
      <c r="B818" s="138" t="str">
        <f>IFERROR(__xludf.DUMMYFUNCTION("""COMPUTED_VALUE"""),"Sisi Cao")</f>
        <v>Sisi Cao</v>
      </c>
      <c r="C818" s="138">
        <f>IFERROR(__xludf.DUMMYFUNCTION("""COMPUTED_VALUE"""),1038.0)</f>
        <v>1038</v>
      </c>
      <c r="D818" s="139">
        <f>IFERROR(__xludf.DUMMYFUNCTION("""COMPUTED_VALUE"""),362.0)</f>
        <v>362</v>
      </c>
      <c r="E818" s="138">
        <f>IFERROR(__xludf.DUMMYFUNCTION("""COMPUTED_VALUE"""),5.0)</f>
        <v>5</v>
      </c>
      <c r="F818" s="138">
        <f>IFERROR(__xludf.DUMMYFUNCTION("""COMPUTED_VALUE"""),5.0)</f>
        <v>5</v>
      </c>
      <c r="G818" s="138">
        <f>IFERROR(__xludf.DUMMYFUNCTION("""COMPUTED_VALUE"""),5.0)</f>
        <v>5</v>
      </c>
      <c r="H818" s="138">
        <f>IFERROR(__xludf.DUMMYFUNCTION("""COMPUTED_VALUE"""),5.0)</f>
        <v>5</v>
      </c>
      <c r="I818" s="138">
        <f>IFERROR(__xludf.DUMMYFUNCTION("""COMPUTED_VALUE"""),5.0)</f>
        <v>5</v>
      </c>
      <c r="J818" s="138">
        <f>IFERROR(__xludf.DUMMYFUNCTION("""COMPUTED_VALUE"""),5.0)</f>
        <v>5</v>
      </c>
      <c r="K818" s="138">
        <f>IFERROR(__xludf.DUMMYFUNCTION("""COMPUTED_VALUE"""),5.0)</f>
        <v>5</v>
      </c>
      <c r="L818" s="138">
        <v>35.0</v>
      </c>
      <c r="M818" s="140" t="str">
        <f>VLOOKUP(text(D818, "#"),'Master Table'!$A:$F, 6, FALSE)</f>
        <v>F-7</v>
      </c>
      <c r="N818" s="141" t="str">
        <f>IFERROR(__xludf.DUMMYFUNCTION("""COMPUTED_VALUE"""),"Drop very well done. The student was able to deliver the content in a very organized and clear manner which shows that he understands his research very well. Keep up with the good work.")</f>
        <v>Drop very well done. The student was able to deliver the content in a very organized and clear manner which shows that he understands his research very well. Keep up with the good work.</v>
      </c>
      <c r="O818" s="142" t="str">
        <f t="shared" si="1"/>
        <v/>
      </c>
      <c r="P818" s="143" t="str">
        <f>IF(ISNA(VLOOKUP(CONCAT(M818,C818), 'Judge Count DO NOT EDIT'!H:H, 1, FALSE)), "ERROR","")</f>
        <v/>
      </c>
      <c r="Q818" s="141"/>
      <c r="R818" s="143"/>
      <c r="S818" s="139" t="str">
        <f t="shared" si="2"/>
        <v>1038362</v>
      </c>
      <c r="T818" s="141"/>
    </row>
    <row r="819">
      <c r="A819" s="137">
        <f>IFERROR(__xludf.DUMMYFUNCTION("""COMPUTED_VALUE"""),45352.41540106482)</f>
        <v>45352.4154</v>
      </c>
      <c r="B819" s="138" t="str">
        <f>IFERROR(__xludf.DUMMYFUNCTION("""COMPUTED_VALUE"""),"Noelle Abbott")</f>
        <v>Noelle Abbott</v>
      </c>
      <c r="C819" s="138">
        <f>IFERROR(__xludf.DUMMYFUNCTION("""COMPUTED_VALUE"""),1117.0)</f>
        <v>1117</v>
      </c>
      <c r="D819" s="139">
        <f>IFERROR(__xludf.DUMMYFUNCTION("""COMPUTED_VALUE"""),363.0)</f>
        <v>363</v>
      </c>
      <c r="E819" s="138">
        <f>IFERROR(__xludf.DUMMYFUNCTION("""COMPUTED_VALUE"""),3.0)</f>
        <v>3</v>
      </c>
      <c r="F819" s="138">
        <f>IFERROR(__xludf.DUMMYFUNCTION("""COMPUTED_VALUE"""),3.0)</f>
        <v>3</v>
      </c>
      <c r="G819" s="138">
        <f>IFERROR(__xludf.DUMMYFUNCTION("""COMPUTED_VALUE"""),3.0)</f>
        <v>3</v>
      </c>
      <c r="H819" s="138">
        <f>IFERROR(__xludf.DUMMYFUNCTION("""COMPUTED_VALUE"""),4.0)</f>
        <v>4</v>
      </c>
      <c r="I819" s="138">
        <f>IFERROR(__xludf.DUMMYFUNCTION("""COMPUTED_VALUE"""),4.0)</f>
        <v>4</v>
      </c>
      <c r="J819" s="138">
        <f>IFERROR(__xludf.DUMMYFUNCTION("""COMPUTED_VALUE"""),3.0)</f>
        <v>3</v>
      </c>
      <c r="K819" s="138">
        <f>IFERROR(__xludf.DUMMYFUNCTION("""COMPUTED_VALUE"""),4.0)</f>
        <v>4</v>
      </c>
      <c r="L819" s="138">
        <v>24.0</v>
      </c>
      <c r="M819" s="140" t="str">
        <f>VLOOKUP(text(D819, "#"),'Master Table'!$A:$F, 6, FALSE)</f>
        <v>F-7</v>
      </c>
      <c r="N819" s="141" t="str">
        <f>IFERROR(__xludf.DUMMYFUNCTION("""COMPUTED_VALUE"""),"Very interesting study and nice delivery of information! My suggestion is to connect the hypotheses a little more to the discussion and results.")</f>
        <v>Very interesting study and nice delivery of information! My suggestion is to connect the hypotheses a little more to the discussion and results.</v>
      </c>
      <c r="O819" s="142" t="str">
        <f t="shared" si="1"/>
        <v/>
      </c>
      <c r="P819" s="143" t="str">
        <f>IF(ISNA(VLOOKUP(CONCAT(M819,C819), 'Judge Count DO NOT EDIT'!H:H, 1, FALSE)), "ERROR","")</f>
        <v/>
      </c>
      <c r="Q819" s="141"/>
      <c r="R819" s="143"/>
      <c r="S819" s="139" t="str">
        <f t="shared" si="2"/>
        <v>1117363</v>
      </c>
      <c r="T819" s="141"/>
    </row>
    <row r="820">
      <c r="A820" s="137">
        <f>IFERROR(__xludf.DUMMYFUNCTION("""COMPUTED_VALUE"""),45352.42550207176)</f>
        <v>45352.4255</v>
      </c>
      <c r="B820" s="138" t="str">
        <f>IFERROR(__xludf.DUMMYFUNCTION("""COMPUTED_VALUE"""),"Jeff Conte")</f>
        <v>Jeff Conte</v>
      </c>
      <c r="C820" s="138">
        <f>IFERROR(__xludf.DUMMYFUNCTION("""COMPUTED_VALUE"""),1132.0)</f>
        <v>1132</v>
      </c>
      <c r="D820" s="139">
        <f>IFERROR(__xludf.DUMMYFUNCTION("""COMPUTED_VALUE"""),363.0)</f>
        <v>363</v>
      </c>
      <c r="E820" s="138">
        <f>IFERROR(__xludf.DUMMYFUNCTION("""COMPUTED_VALUE"""),5.0)</f>
        <v>5</v>
      </c>
      <c r="F820" s="138">
        <f>IFERROR(__xludf.DUMMYFUNCTION("""COMPUTED_VALUE"""),5.0)</f>
        <v>5</v>
      </c>
      <c r="G820" s="138">
        <f>IFERROR(__xludf.DUMMYFUNCTION("""COMPUTED_VALUE"""),5.0)</f>
        <v>5</v>
      </c>
      <c r="H820" s="138">
        <f>IFERROR(__xludf.DUMMYFUNCTION("""COMPUTED_VALUE"""),5.0)</f>
        <v>5</v>
      </c>
      <c r="I820" s="138">
        <f>IFERROR(__xludf.DUMMYFUNCTION("""COMPUTED_VALUE"""),5.0)</f>
        <v>5</v>
      </c>
      <c r="J820" s="138">
        <f>IFERROR(__xludf.DUMMYFUNCTION("""COMPUTED_VALUE"""),5.0)</f>
        <v>5</v>
      </c>
      <c r="K820" s="138">
        <f>IFERROR(__xludf.DUMMYFUNCTION("""COMPUTED_VALUE"""),4.0)</f>
        <v>4</v>
      </c>
      <c r="L820" s="138">
        <v>34.0</v>
      </c>
      <c r="M820" s="140" t="str">
        <f>VLOOKUP(text(D820, "#"),'Master Table'!$A:$F, 6, FALSE)</f>
        <v>F-7</v>
      </c>
      <c r="N820" s="141"/>
      <c r="O820" s="142" t="str">
        <f t="shared" si="1"/>
        <v/>
      </c>
      <c r="P820" s="143" t="str">
        <f>IF(ISNA(VLOOKUP(CONCAT(M820,C820), 'Judge Count DO NOT EDIT'!H:H, 1, FALSE)), "ERROR","")</f>
        <v/>
      </c>
      <c r="Q820" s="141"/>
      <c r="R820" s="143"/>
      <c r="S820" s="139" t="str">
        <f t="shared" si="2"/>
        <v>1132363</v>
      </c>
      <c r="T820" s="141"/>
    </row>
    <row r="821">
      <c r="A821" s="137">
        <f>IFERROR(__xludf.DUMMYFUNCTION("""COMPUTED_VALUE"""),45352.45691729167)</f>
        <v>45352.45692</v>
      </c>
      <c r="B821" s="138" t="str">
        <f>IFERROR(__xludf.DUMMYFUNCTION("""COMPUTED_VALUE"""),"Sisi Cao")</f>
        <v>Sisi Cao</v>
      </c>
      <c r="C821" s="138">
        <f>IFERROR(__xludf.DUMMYFUNCTION("""COMPUTED_VALUE"""),1038.0)</f>
        <v>1038</v>
      </c>
      <c r="D821" s="139">
        <f>IFERROR(__xludf.DUMMYFUNCTION("""COMPUTED_VALUE"""),363.0)</f>
        <v>363</v>
      </c>
      <c r="E821" s="138">
        <f>IFERROR(__xludf.DUMMYFUNCTION("""COMPUTED_VALUE"""),3.0)</f>
        <v>3</v>
      </c>
      <c r="F821" s="138">
        <f>IFERROR(__xludf.DUMMYFUNCTION("""COMPUTED_VALUE"""),3.0)</f>
        <v>3</v>
      </c>
      <c r="G821" s="138">
        <f>IFERROR(__xludf.DUMMYFUNCTION("""COMPUTED_VALUE"""),3.0)</f>
        <v>3</v>
      </c>
      <c r="H821" s="138">
        <f>IFERROR(__xludf.DUMMYFUNCTION("""COMPUTED_VALUE"""),3.0)</f>
        <v>3</v>
      </c>
      <c r="I821" s="138">
        <f>IFERROR(__xludf.DUMMYFUNCTION("""COMPUTED_VALUE"""),2.0)</f>
        <v>2</v>
      </c>
      <c r="J821" s="138">
        <f>IFERROR(__xludf.DUMMYFUNCTION("""COMPUTED_VALUE"""),3.0)</f>
        <v>3</v>
      </c>
      <c r="K821" s="138">
        <f>IFERROR(__xludf.DUMMYFUNCTION("""COMPUTED_VALUE"""),3.0)</f>
        <v>3</v>
      </c>
      <c r="L821" s="138">
        <v>20.0</v>
      </c>
      <c r="M821" s="140" t="str">
        <f>VLOOKUP(text(D821, "#"),'Master Table'!$A:$F, 6, FALSE)</f>
        <v>F-7</v>
      </c>
      <c r="N821" s="141" t="str">
        <f>IFERROR(__xludf.DUMMYFUNCTION("""COMPUTED_VALUE"""),"The student generally presented her work well. But more work needs to be done to improve the fluency in presentation, and also work on the Q&amp;A session.")</f>
        <v>The student generally presented her work well. But more work needs to be done to improve the fluency in presentation, and also work on the Q&amp;A session.</v>
      </c>
      <c r="O821" s="142" t="str">
        <f t="shared" si="1"/>
        <v/>
      </c>
      <c r="P821" s="143" t="str">
        <f>IF(ISNA(VLOOKUP(CONCAT(M821,C821), 'Judge Count DO NOT EDIT'!H:H, 1, FALSE)), "ERROR","")</f>
        <v/>
      </c>
      <c r="Q821" s="141"/>
      <c r="R821" s="143"/>
      <c r="S821" s="139" t="str">
        <f t="shared" si="2"/>
        <v>1038363</v>
      </c>
      <c r="T821" s="141"/>
    </row>
    <row r="822">
      <c r="A822" s="137">
        <f>IFERROR(__xludf.DUMMYFUNCTION("""COMPUTED_VALUE"""),45352.60712893518)</f>
        <v>45352.60713</v>
      </c>
      <c r="B822" s="138" t="str">
        <f>IFERROR(__xludf.DUMMYFUNCTION("""COMPUTED_VALUE"""),"Brittany Logan")</f>
        <v>Brittany Logan</v>
      </c>
      <c r="C822" s="138">
        <f>IFERROR(__xludf.DUMMYFUNCTION("""COMPUTED_VALUE"""),1145.0)</f>
        <v>1145</v>
      </c>
      <c r="D822" s="139">
        <f>IFERROR(__xludf.DUMMYFUNCTION("""COMPUTED_VALUE"""),363.0)</f>
        <v>363</v>
      </c>
      <c r="E822" s="138">
        <f>IFERROR(__xludf.DUMMYFUNCTION("""COMPUTED_VALUE"""),3.0)</f>
        <v>3</v>
      </c>
      <c r="F822" s="138">
        <f>IFERROR(__xludf.DUMMYFUNCTION("""COMPUTED_VALUE"""),4.0)</f>
        <v>4</v>
      </c>
      <c r="G822" s="138">
        <f>IFERROR(__xludf.DUMMYFUNCTION("""COMPUTED_VALUE"""),3.0)</f>
        <v>3</v>
      </c>
      <c r="H822" s="138">
        <f>IFERROR(__xludf.DUMMYFUNCTION("""COMPUTED_VALUE"""),4.0)</f>
        <v>4</v>
      </c>
      <c r="I822" s="138">
        <f>IFERROR(__xludf.DUMMYFUNCTION("""COMPUTED_VALUE"""),4.0)</f>
        <v>4</v>
      </c>
      <c r="J822" s="138">
        <f>IFERROR(__xludf.DUMMYFUNCTION("""COMPUTED_VALUE"""),3.0)</f>
        <v>3</v>
      </c>
      <c r="K822" s="138">
        <f>IFERROR(__xludf.DUMMYFUNCTION("""COMPUTED_VALUE"""),4.0)</f>
        <v>4</v>
      </c>
      <c r="L822" s="138">
        <v>25.0</v>
      </c>
      <c r="M822" s="140" t="str">
        <f>VLOOKUP(text(D822, "#"),'Master Table'!$A:$F, 6, FALSE)</f>
        <v>F-7</v>
      </c>
      <c r="N822" s="141"/>
      <c r="O822" s="142" t="str">
        <f t="shared" si="1"/>
        <v/>
      </c>
      <c r="P822" s="143" t="str">
        <f>IF(ISNA(VLOOKUP(CONCAT(M822,C822), 'Judge Count DO NOT EDIT'!H:H, 1, FALSE)), "ERROR","")</f>
        <v/>
      </c>
      <c r="Q822" s="141"/>
      <c r="R822" s="143"/>
      <c r="S822" s="139" t="str">
        <f t="shared" si="2"/>
        <v>1145363</v>
      </c>
      <c r="T822" s="141"/>
    </row>
    <row r="823">
      <c r="A823" s="137">
        <f>IFERROR(__xludf.DUMMYFUNCTION("""COMPUTED_VALUE"""),45352.42930503472)</f>
        <v>45352.42931</v>
      </c>
      <c r="B823" s="138" t="str">
        <f>IFERROR(__xludf.DUMMYFUNCTION("""COMPUTED_VALUE"""),"Jeff Conte")</f>
        <v>Jeff Conte</v>
      </c>
      <c r="C823" s="138">
        <f>IFERROR(__xludf.DUMMYFUNCTION("""COMPUTED_VALUE"""),1132.0)</f>
        <v>1132</v>
      </c>
      <c r="D823" s="139">
        <f>IFERROR(__xludf.DUMMYFUNCTION("""COMPUTED_VALUE"""),364.0)</f>
        <v>364</v>
      </c>
      <c r="E823" s="138">
        <f>IFERROR(__xludf.DUMMYFUNCTION("""COMPUTED_VALUE"""),4.0)</f>
        <v>4</v>
      </c>
      <c r="F823" s="138">
        <f>IFERROR(__xludf.DUMMYFUNCTION("""COMPUTED_VALUE"""),4.0)</f>
        <v>4</v>
      </c>
      <c r="G823" s="138">
        <f>IFERROR(__xludf.DUMMYFUNCTION("""COMPUTED_VALUE"""),4.0)</f>
        <v>4</v>
      </c>
      <c r="H823" s="138">
        <f>IFERROR(__xludf.DUMMYFUNCTION("""COMPUTED_VALUE"""),3.0)</f>
        <v>3</v>
      </c>
      <c r="I823" s="138">
        <f>IFERROR(__xludf.DUMMYFUNCTION("""COMPUTED_VALUE"""),4.0)</f>
        <v>4</v>
      </c>
      <c r="J823" s="138">
        <f>IFERROR(__xludf.DUMMYFUNCTION("""COMPUTED_VALUE"""),4.0)</f>
        <v>4</v>
      </c>
      <c r="K823" s="138">
        <f>IFERROR(__xludf.DUMMYFUNCTION("""COMPUTED_VALUE"""),5.0)</f>
        <v>5</v>
      </c>
      <c r="L823" s="138">
        <v>28.0</v>
      </c>
      <c r="M823" s="140" t="str">
        <f>VLOOKUP(text(D823, "#"),'Master Table'!$A:$F, 6, FALSE)</f>
        <v>F-7</v>
      </c>
      <c r="N823" s="141"/>
      <c r="O823" s="142" t="str">
        <f t="shared" si="1"/>
        <v/>
      </c>
      <c r="P823" s="143" t="str">
        <f>IF(ISNA(VLOOKUP(CONCAT(M823,C823), 'Judge Count DO NOT EDIT'!H:H, 1, FALSE)), "ERROR","")</f>
        <v/>
      </c>
      <c r="Q823" s="144"/>
      <c r="R823" s="143"/>
      <c r="S823" s="139" t="str">
        <f t="shared" si="2"/>
        <v>1132364</v>
      </c>
      <c r="T823" s="141"/>
    </row>
    <row r="824">
      <c r="A824" s="137">
        <f>IFERROR(__xludf.DUMMYFUNCTION("""COMPUTED_VALUE"""),45352.43491739583)</f>
        <v>45352.43492</v>
      </c>
      <c r="B824" s="138" t="str">
        <f>IFERROR(__xludf.DUMMYFUNCTION("""COMPUTED_VALUE"""),"Noelle Abbott")</f>
        <v>Noelle Abbott</v>
      </c>
      <c r="C824" s="138">
        <f>IFERROR(__xludf.DUMMYFUNCTION("""COMPUTED_VALUE"""),1117.0)</f>
        <v>1117</v>
      </c>
      <c r="D824" s="139">
        <f>IFERROR(__xludf.DUMMYFUNCTION("""COMPUTED_VALUE"""),364.0)</f>
        <v>364</v>
      </c>
      <c r="E824" s="138">
        <f>IFERROR(__xludf.DUMMYFUNCTION("""COMPUTED_VALUE"""),4.0)</f>
        <v>4</v>
      </c>
      <c r="F824" s="138">
        <f>IFERROR(__xludf.DUMMYFUNCTION("""COMPUTED_VALUE"""),5.0)</f>
        <v>5</v>
      </c>
      <c r="G824" s="138">
        <f>IFERROR(__xludf.DUMMYFUNCTION("""COMPUTED_VALUE"""),5.0)</f>
        <v>5</v>
      </c>
      <c r="H824" s="138">
        <f>IFERROR(__xludf.DUMMYFUNCTION("""COMPUTED_VALUE"""),4.0)</f>
        <v>4</v>
      </c>
      <c r="I824" s="138">
        <f>IFERROR(__xludf.DUMMYFUNCTION("""COMPUTED_VALUE"""),4.0)</f>
        <v>4</v>
      </c>
      <c r="J824" s="138">
        <f>IFERROR(__xludf.DUMMYFUNCTION("""COMPUTED_VALUE"""),4.0)</f>
        <v>4</v>
      </c>
      <c r="K824" s="138">
        <f>IFERROR(__xludf.DUMMYFUNCTION("""COMPUTED_VALUE"""),4.0)</f>
        <v>4</v>
      </c>
      <c r="L824" s="138">
        <v>30.0</v>
      </c>
      <c r="M824" s="140" t="str">
        <f>VLOOKUP(text(D824, "#"),'Master Table'!$A:$F, 6, FALSE)</f>
        <v>F-7</v>
      </c>
      <c r="N824" s="141" t="str">
        <f>IFERROR(__xludf.DUMMYFUNCTION("""COMPUTED_VALUE"""),"The presenters did an excellent job of explaining the importance of their work for bilingual language learners. My only suggestion would be to clarify what they plan to do with the information they learned from their study.")</f>
        <v>The presenters did an excellent job of explaining the importance of their work for bilingual language learners. My only suggestion would be to clarify what they plan to do with the information they learned from their study.</v>
      </c>
      <c r="O824" s="142" t="str">
        <f t="shared" si="1"/>
        <v/>
      </c>
      <c r="P824" s="143" t="str">
        <f>IF(ISNA(VLOOKUP(CONCAT(M824,C824), 'Judge Count DO NOT EDIT'!H:H, 1, FALSE)), "ERROR","")</f>
        <v/>
      </c>
      <c r="Q824" s="141"/>
      <c r="R824" s="143"/>
      <c r="S824" s="139" t="str">
        <f t="shared" si="2"/>
        <v>1117364</v>
      </c>
      <c r="T824" s="141"/>
    </row>
    <row r="825">
      <c r="A825" s="137">
        <f>IFERROR(__xludf.DUMMYFUNCTION("""COMPUTED_VALUE"""),45352.457686574075)</f>
        <v>45352.45769</v>
      </c>
      <c r="B825" s="138" t="str">
        <f>IFERROR(__xludf.DUMMYFUNCTION("""COMPUTED_VALUE"""),"Sisi Cao")</f>
        <v>Sisi Cao</v>
      </c>
      <c r="C825" s="138">
        <f>IFERROR(__xludf.DUMMYFUNCTION("""COMPUTED_VALUE"""),1038.0)</f>
        <v>1038</v>
      </c>
      <c r="D825" s="139">
        <f>IFERROR(__xludf.DUMMYFUNCTION("""COMPUTED_VALUE"""),364.0)</f>
        <v>364</v>
      </c>
      <c r="E825" s="138">
        <f>IFERROR(__xludf.DUMMYFUNCTION("""COMPUTED_VALUE"""),3.0)</f>
        <v>3</v>
      </c>
      <c r="F825" s="138">
        <f>IFERROR(__xludf.DUMMYFUNCTION("""COMPUTED_VALUE"""),3.0)</f>
        <v>3</v>
      </c>
      <c r="G825" s="138">
        <f>IFERROR(__xludf.DUMMYFUNCTION("""COMPUTED_VALUE"""),3.0)</f>
        <v>3</v>
      </c>
      <c r="H825" s="138">
        <f>IFERROR(__xludf.DUMMYFUNCTION("""COMPUTED_VALUE"""),3.0)</f>
        <v>3</v>
      </c>
      <c r="I825" s="138">
        <f>IFERROR(__xludf.DUMMYFUNCTION("""COMPUTED_VALUE"""),4.0)</f>
        <v>4</v>
      </c>
      <c r="J825" s="138">
        <f>IFERROR(__xludf.DUMMYFUNCTION("""COMPUTED_VALUE"""),4.0)</f>
        <v>4</v>
      </c>
      <c r="K825" s="138">
        <f>IFERROR(__xludf.DUMMYFUNCTION("""COMPUTED_VALUE"""),4.0)</f>
        <v>4</v>
      </c>
      <c r="L825" s="138">
        <v>24.0</v>
      </c>
      <c r="M825" s="140" t="str">
        <f>VLOOKUP(text(D825, "#"),'Master Table'!$A:$F, 6, FALSE)</f>
        <v>F-7</v>
      </c>
      <c r="N825" s="141" t="str">
        <f>IFERROR(__xludf.DUMMYFUNCTION("""COMPUTED_VALUE"""),"Keep up with the good work! ")</f>
        <v>Keep up with the good work! </v>
      </c>
      <c r="O825" s="142" t="str">
        <f t="shared" si="1"/>
        <v/>
      </c>
      <c r="P825" s="143" t="str">
        <f>IF(ISNA(VLOOKUP(CONCAT(M825,C825), 'Judge Count DO NOT EDIT'!H:H, 1, FALSE)), "ERROR","")</f>
        <v/>
      </c>
      <c r="Q825" s="141"/>
      <c r="R825" s="143"/>
      <c r="S825" s="139" t="str">
        <f t="shared" si="2"/>
        <v>1038364</v>
      </c>
      <c r="T825" s="141"/>
    </row>
    <row r="826">
      <c r="A826" s="137">
        <f>IFERROR(__xludf.DUMMYFUNCTION("""COMPUTED_VALUE"""),45352.60349046296)</f>
        <v>45352.60349</v>
      </c>
      <c r="B826" s="138" t="str">
        <f>IFERROR(__xludf.DUMMYFUNCTION("""COMPUTED_VALUE"""),"Brittany Logan")</f>
        <v>Brittany Logan</v>
      </c>
      <c r="C826" s="138">
        <f>IFERROR(__xludf.DUMMYFUNCTION("""COMPUTED_VALUE"""),1145.0)</f>
        <v>1145</v>
      </c>
      <c r="D826" s="139">
        <f>IFERROR(__xludf.DUMMYFUNCTION("""COMPUTED_VALUE"""),364.0)</f>
        <v>364</v>
      </c>
      <c r="E826" s="138">
        <f>IFERROR(__xludf.DUMMYFUNCTION("""COMPUTED_VALUE"""),4.0)</f>
        <v>4</v>
      </c>
      <c r="F826" s="138">
        <f>IFERROR(__xludf.DUMMYFUNCTION("""COMPUTED_VALUE"""),3.0)</f>
        <v>3</v>
      </c>
      <c r="G826" s="138">
        <f>IFERROR(__xludf.DUMMYFUNCTION("""COMPUTED_VALUE"""),3.0)</f>
        <v>3</v>
      </c>
      <c r="H826" s="138">
        <f>IFERROR(__xludf.DUMMYFUNCTION("""COMPUTED_VALUE"""),4.0)</f>
        <v>4</v>
      </c>
      <c r="I826" s="138">
        <f>IFERROR(__xludf.DUMMYFUNCTION("""COMPUTED_VALUE"""),3.0)</f>
        <v>3</v>
      </c>
      <c r="J826" s="138">
        <f>IFERROR(__xludf.DUMMYFUNCTION("""COMPUTED_VALUE"""),3.0)</f>
        <v>3</v>
      </c>
      <c r="K826" s="138">
        <f>IFERROR(__xludf.DUMMYFUNCTION("""COMPUTED_VALUE"""),4.0)</f>
        <v>4</v>
      </c>
      <c r="L826" s="138">
        <v>24.0</v>
      </c>
      <c r="M826" s="140" t="str">
        <f>VLOOKUP(text(D826, "#"),'Master Table'!$A:$F, 6, FALSE)</f>
        <v>F-7</v>
      </c>
      <c r="N826" s="141" t="str">
        <f>IFERROR(__xludf.DUMMYFUNCTION("""COMPUTED_VALUE"""),"The layout and presentation of the poster was good. The statistical data was easy to read and both presenters did an excellent job of describing what the data meant. ")</f>
        <v>The layout and presentation of the poster was good. The statistical data was easy to read and both presenters did an excellent job of describing what the data meant. </v>
      </c>
      <c r="O826" s="142" t="str">
        <f t="shared" si="1"/>
        <v/>
      </c>
      <c r="P826" s="143" t="str">
        <f>IF(ISNA(VLOOKUP(CONCAT(M826,C826), 'Judge Count DO NOT EDIT'!H:H, 1, FALSE)), "ERROR","")</f>
        <v/>
      </c>
      <c r="Q826" s="141"/>
      <c r="R826" s="143"/>
      <c r="S826" s="139" t="str">
        <f t="shared" si="2"/>
        <v>1145364</v>
      </c>
      <c r="T826" s="141"/>
    </row>
    <row r="827">
      <c r="A827" s="137">
        <f>IFERROR(__xludf.DUMMYFUNCTION("""COMPUTED_VALUE"""),45352.403152071754)</f>
        <v>45352.40315</v>
      </c>
      <c r="B827" s="138" t="str">
        <f>IFERROR(__xludf.DUMMYFUNCTION("""COMPUTED_VALUE"""),"Isaac Ullah ")</f>
        <v>Isaac Ullah </v>
      </c>
      <c r="C827" s="138">
        <f>IFERROR(__xludf.DUMMYFUNCTION("""COMPUTED_VALUE"""),1059.0)</f>
        <v>1059</v>
      </c>
      <c r="D827" s="139">
        <f>IFERROR(__xludf.DUMMYFUNCTION("""COMPUTED_VALUE"""),365.0)</f>
        <v>365</v>
      </c>
      <c r="E827" s="138">
        <f>IFERROR(__xludf.DUMMYFUNCTION("""COMPUTED_VALUE"""),4.0)</f>
        <v>4</v>
      </c>
      <c r="F827" s="138">
        <f>IFERROR(__xludf.DUMMYFUNCTION("""COMPUTED_VALUE"""),4.0)</f>
        <v>4</v>
      </c>
      <c r="G827" s="138">
        <f>IFERROR(__xludf.DUMMYFUNCTION("""COMPUTED_VALUE"""),4.0)</f>
        <v>4</v>
      </c>
      <c r="H827" s="138">
        <f>IFERROR(__xludf.DUMMYFUNCTION("""COMPUTED_VALUE"""),4.0)</f>
        <v>4</v>
      </c>
      <c r="I827" s="138">
        <f>IFERROR(__xludf.DUMMYFUNCTION("""COMPUTED_VALUE"""),4.0)</f>
        <v>4</v>
      </c>
      <c r="J827" s="138">
        <f>IFERROR(__xludf.DUMMYFUNCTION("""COMPUTED_VALUE"""),4.0)</f>
        <v>4</v>
      </c>
      <c r="K827" s="138">
        <f>IFERROR(__xludf.DUMMYFUNCTION("""COMPUTED_VALUE"""),4.0)</f>
        <v>4</v>
      </c>
      <c r="L827" s="138">
        <v>28.0</v>
      </c>
      <c r="M827" s="140" t="str">
        <f>VLOOKUP(text(D827, "#"),'Master Table'!$A:$F, 6, FALSE)</f>
        <v>F-8</v>
      </c>
      <c r="N827" s="141" t="str">
        <f>IFERROR(__xludf.DUMMYFUNCTION("""COMPUTED_VALUE"""),"I interacted with a second author, but presentation was very clear and seemed like a good study. Well outside my area of expertise, but the presentation was clear enough for me to understand. ")</f>
        <v>I interacted with a second author, but presentation was very clear and seemed like a good study. Well outside my area of expertise, but the presentation was clear enough for me to understand. </v>
      </c>
      <c r="O827" s="142" t="str">
        <f t="shared" si="1"/>
        <v/>
      </c>
      <c r="P827" s="143" t="str">
        <f>IF(ISNA(VLOOKUP(CONCAT(M827,C827), 'Judge Count DO NOT EDIT'!H:H, 1, FALSE)), "ERROR","")</f>
        <v/>
      </c>
      <c r="Q827" s="141"/>
      <c r="R827" s="143"/>
      <c r="S827" s="139" t="str">
        <f t="shared" si="2"/>
        <v>1059365</v>
      </c>
      <c r="T827" s="141"/>
    </row>
    <row r="828">
      <c r="A828" s="137">
        <f>IFERROR(__xludf.DUMMYFUNCTION("""COMPUTED_VALUE"""),45352.41233179398)</f>
        <v>45352.41233</v>
      </c>
      <c r="B828" s="138" t="str">
        <f>IFERROR(__xludf.DUMMYFUNCTION("""COMPUTED_VALUE"""),"Nip")</f>
        <v>Nip</v>
      </c>
      <c r="C828" s="138">
        <f>IFERROR(__xludf.DUMMYFUNCTION("""COMPUTED_VALUE"""),1085.0)</f>
        <v>1085</v>
      </c>
      <c r="D828" s="139">
        <f>IFERROR(__xludf.DUMMYFUNCTION("""COMPUTED_VALUE"""),365.0)</f>
        <v>365</v>
      </c>
      <c r="E828" s="138">
        <f>IFERROR(__xludf.DUMMYFUNCTION("""COMPUTED_VALUE"""),5.0)</f>
        <v>5</v>
      </c>
      <c r="F828" s="138">
        <f>IFERROR(__xludf.DUMMYFUNCTION("""COMPUTED_VALUE"""),5.0)</f>
        <v>5</v>
      </c>
      <c r="G828" s="138">
        <f>IFERROR(__xludf.DUMMYFUNCTION("""COMPUTED_VALUE"""),5.0)</f>
        <v>5</v>
      </c>
      <c r="H828" s="138">
        <f>IFERROR(__xludf.DUMMYFUNCTION("""COMPUTED_VALUE"""),5.0)</f>
        <v>5</v>
      </c>
      <c r="I828" s="138">
        <f>IFERROR(__xludf.DUMMYFUNCTION("""COMPUTED_VALUE"""),5.0)</f>
        <v>5</v>
      </c>
      <c r="J828" s="138">
        <f>IFERROR(__xludf.DUMMYFUNCTION("""COMPUTED_VALUE"""),5.0)</f>
        <v>5</v>
      </c>
      <c r="K828" s="138">
        <f>IFERROR(__xludf.DUMMYFUNCTION("""COMPUTED_VALUE"""),5.0)</f>
        <v>5</v>
      </c>
      <c r="L828" s="138">
        <v>35.0</v>
      </c>
      <c r="M828" s="140" t="str">
        <f>VLOOKUP(text(D828, "#"),'Master Table'!$A:$F, 6, FALSE)</f>
        <v>F-8</v>
      </c>
      <c r="N828" s="141" t="str">
        <f>IFERROR(__xludf.DUMMYFUNCTION("""COMPUTED_VALUE"""),"Really interesting work and well presented!")</f>
        <v>Really interesting work and well presented!</v>
      </c>
      <c r="O828" s="142" t="str">
        <f t="shared" si="1"/>
        <v/>
      </c>
      <c r="P828" s="143" t="str">
        <f>IF(ISNA(VLOOKUP(CONCAT(M828,C828), 'Judge Count DO NOT EDIT'!H:H, 1, FALSE)), "ERROR","")</f>
        <v/>
      </c>
      <c r="Q828" s="141"/>
      <c r="R828" s="143"/>
      <c r="S828" s="139" t="str">
        <f t="shared" si="2"/>
        <v>1085365</v>
      </c>
      <c r="T828" s="141"/>
    </row>
    <row r="829">
      <c r="A829" s="137">
        <f>IFERROR(__xludf.DUMMYFUNCTION("""COMPUTED_VALUE"""),45352.42933060185)</f>
        <v>45352.42933</v>
      </c>
      <c r="B829" s="138" t="str">
        <f>IFERROR(__xludf.DUMMYFUNCTION("""COMPUTED_VALUE"""),"Kris Rodenberg ")</f>
        <v>Kris Rodenberg </v>
      </c>
      <c r="C829" s="138">
        <f>IFERROR(__xludf.DUMMYFUNCTION("""COMPUTED_VALUE"""),1110.0)</f>
        <v>1110</v>
      </c>
      <c r="D829" s="139">
        <f>IFERROR(__xludf.DUMMYFUNCTION("""COMPUTED_VALUE"""),365.0)</f>
        <v>365</v>
      </c>
      <c r="E829" s="138">
        <f>IFERROR(__xludf.DUMMYFUNCTION("""COMPUTED_VALUE"""),5.0)</f>
        <v>5</v>
      </c>
      <c r="F829" s="138">
        <f>IFERROR(__xludf.DUMMYFUNCTION("""COMPUTED_VALUE"""),5.0)</f>
        <v>5</v>
      </c>
      <c r="G829" s="138">
        <f>IFERROR(__xludf.DUMMYFUNCTION("""COMPUTED_VALUE"""),5.0)</f>
        <v>5</v>
      </c>
      <c r="H829" s="138">
        <f>IFERROR(__xludf.DUMMYFUNCTION("""COMPUTED_VALUE"""),5.0)</f>
        <v>5</v>
      </c>
      <c r="I829" s="138">
        <f>IFERROR(__xludf.DUMMYFUNCTION("""COMPUTED_VALUE"""),4.0)</f>
        <v>4</v>
      </c>
      <c r="J829" s="138">
        <f>IFERROR(__xludf.DUMMYFUNCTION("""COMPUTED_VALUE"""),4.0)</f>
        <v>4</v>
      </c>
      <c r="K829" s="138">
        <f>IFERROR(__xludf.DUMMYFUNCTION("""COMPUTED_VALUE"""),4.0)</f>
        <v>4</v>
      </c>
      <c r="L829" s="138">
        <v>32.0</v>
      </c>
      <c r="M829" s="140" t="str">
        <f>VLOOKUP(text(D829, "#"),'Master Table'!$A:$F, 6, FALSE)</f>
        <v>F-8</v>
      </c>
      <c r="N829" s="141" t="str">
        <f>IFERROR(__xludf.DUMMYFUNCTION("""COMPUTED_VALUE"""),"Important research ")</f>
        <v>Important research </v>
      </c>
      <c r="O829" s="142" t="str">
        <f t="shared" si="1"/>
        <v/>
      </c>
      <c r="P829" s="143" t="str">
        <f>IF(ISNA(VLOOKUP(CONCAT(M829,C829), 'Judge Count DO NOT EDIT'!H:H, 1, FALSE)), "ERROR","")</f>
        <v/>
      </c>
      <c r="Q829" s="141"/>
      <c r="R829" s="143"/>
      <c r="S829" s="139" t="str">
        <f t="shared" si="2"/>
        <v>1110365</v>
      </c>
      <c r="T829" s="141"/>
    </row>
    <row r="830">
      <c r="A830" s="137">
        <f>IFERROR(__xludf.DUMMYFUNCTION("""COMPUTED_VALUE"""),45352.39099201389)</f>
        <v>45352.39099</v>
      </c>
      <c r="B830" s="138" t="str">
        <f>IFERROR(__xludf.DUMMYFUNCTION("""COMPUTED_VALUE"""),"Kris Todenberg ")</f>
        <v>Kris Todenberg </v>
      </c>
      <c r="C830" s="138">
        <f>IFERROR(__xludf.DUMMYFUNCTION("""COMPUTED_VALUE"""),1110.0)</f>
        <v>1110</v>
      </c>
      <c r="D830" s="139">
        <f>IFERROR(__xludf.DUMMYFUNCTION("""COMPUTED_VALUE"""),367.0)</f>
        <v>367</v>
      </c>
      <c r="E830" s="138">
        <f>IFERROR(__xludf.DUMMYFUNCTION("""COMPUTED_VALUE"""),4.0)</f>
        <v>4</v>
      </c>
      <c r="F830" s="138">
        <f>IFERROR(__xludf.DUMMYFUNCTION("""COMPUTED_VALUE"""),5.0)</f>
        <v>5</v>
      </c>
      <c r="G830" s="138">
        <f>IFERROR(__xludf.DUMMYFUNCTION("""COMPUTED_VALUE"""),4.0)</f>
        <v>4</v>
      </c>
      <c r="H830" s="138">
        <f>IFERROR(__xludf.DUMMYFUNCTION("""COMPUTED_VALUE"""),5.0)</f>
        <v>5</v>
      </c>
      <c r="I830" s="138">
        <f>IFERROR(__xludf.DUMMYFUNCTION("""COMPUTED_VALUE"""),5.0)</f>
        <v>5</v>
      </c>
      <c r="J830" s="138">
        <f>IFERROR(__xludf.DUMMYFUNCTION("""COMPUTED_VALUE"""),5.0)</f>
        <v>5</v>
      </c>
      <c r="K830" s="138">
        <f>IFERROR(__xludf.DUMMYFUNCTION("""COMPUTED_VALUE"""),5.0)</f>
        <v>5</v>
      </c>
      <c r="L830" s="138">
        <v>33.0</v>
      </c>
      <c r="M830" s="140" t="str">
        <f>VLOOKUP(text(D830, "#"),'Master Table'!$A:$F, 6, FALSE)</f>
        <v>F-8</v>
      </c>
      <c r="N830" s="141" t="str">
        <f>IFERROR(__xludf.DUMMYFUNCTION("""COMPUTED_VALUE"""),"We'll thought out ""next steps""")</f>
        <v>We'll thought out "next steps"</v>
      </c>
      <c r="O830" s="142" t="str">
        <f t="shared" si="1"/>
        <v/>
      </c>
      <c r="P830" s="143" t="str">
        <f>IF(ISNA(VLOOKUP(CONCAT(M830,C830), 'Judge Count DO NOT EDIT'!H:H, 1, FALSE)), "ERROR","")</f>
        <v/>
      </c>
      <c r="Q830" s="141"/>
      <c r="R830" s="143"/>
      <c r="S830" s="139" t="str">
        <f t="shared" si="2"/>
        <v>1110367</v>
      </c>
      <c r="T830" s="141"/>
    </row>
    <row r="831">
      <c r="A831" s="137">
        <f>IFERROR(__xludf.DUMMYFUNCTION("""COMPUTED_VALUE"""),45352.39929454861)</f>
        <v>45352.39929</v>
      </c>
      <c r="B831" s="138" t="str">
        <f>IFERROR(__xludf.DUMMYFUNCTION("""COMPUTED_VALUE"""),"Isaac Ullah ")</f>
        <v>Isaac Ullah </v>
      </c>
      <c r="C831" s="138">
        <f>IFERROR(__xludf.DUMMYFUNCTION("""COMPUTED_VALUE"""),1059.0)</f>
        <v>1059</v>
      </c>
      <c r="D831" s="139">
        <f>IFERROR(__xludf.DUMMYFUNCTION("""COMPUTED_VALUE"""),367.0)</f>
        <v>367</v>
      </c>
      <c r="E831" s="138">
        <f>IFERROR(__xludf.DUMMYFUNCTION("""COMPUTED_VALUE"""),4.0)</f>
        <v>4</v>
      </c>
      <c r="F831" s="138">
        <f>IFERROR(__xludf.DUMMYFUNCTION("""COMPUTED_VALUE"""),5.0)</f>
        <v>5</v>
      </c>
      <c r="G831" s="138">
        <f>IFERROR(__xludf.DUMMYFUNCTION("""COMPUTED_VALUE"""),5.0)</f>
        <v>5</v>
      </c>
      <c r="H831" s="138">
        <f>IFERROR(__xludf.DUMMYFUNCTION("""COMPUTED_VALUE"""),4.0)</f>
        <v>4</v>
      </c>
      <c r="I831" s="138">
        <f>IFERROR(__xludf.DUMMYFUNCTION("""COMPUTED_VALUE"""),5.0)</f>
        <v>5</v>
      </c>
      <c r="J831" s="138">
        <f>IFERROR(__xludf.DUMMYFUNCTION("""COMPUTED_VALUE"""),5.0)</f>
        <v>5</v>
      </c>
      <c r="K831" s="138">
        <f>IFERROR(__xludf.DUMMYFUNCTION("""COMPUTED_VALUE"""),5.0)</f>
        <v>5</v>
      </c>
      <c r="L831" s="138">
        <v>33.0</v>
      </c>
      <c r="M831" s="140" t="str">
        <f>VLOOKUP(text(D831, "#"),'Master Table'!$A:$F, 6, FALSE)</f>
        <v>F-8</v>
      </c>
      <c r="N831" s="141" t="str">
        <f>IFERROR(__xludf.DUMMYFUNCTION("""COMPUTED_VALUE"""),"This was a really comprehensive and very interactive presentation. The study methods and results were very clearly communicated, and the q and a was exceptionally well handled. Excellent! ")</f>
        <v>This was a really comprehensive and very interactive presentation. The study methods and results were very clearly communicated, and the q and a was exceptionally well handled. Excellent! </v>
      </c>
      <c r="O831" s="142" t="str">
        <f t="shared" si="1"/>
        <v/>
      </c>
      <c r="P831" s="143" t="str">
        <f>IF(ISNA(VLOOKUP(CONCAT(M831,C831), 'Judge Count DO NOT EDIT'!H:H, 1, FALSE)), "ERROR","")</f>
        <v/>
      </c>
      <c r="Q831" s="141"/>
      <c r="R831" s="143"/>
      <c r="S831" s="139" t="str">
        <f t="shared" si="2"/>
        <v>1059367</v>
      </c>
      <c r="T831" s="141"/>
    </row>
    <row r="832">
      <c r="A832" s="137">
        <f>IFERROR(__xludf.DUMMYFUNCTION("""COMPUTED_VALUE"""),45352.437056423616)</f>
        <v>45352.43706</v>
      </c>
      <c r="B832" s="138" t="str">
        <f>IFERROR(__xludf.DUMMYFUNCTION("""COMPUTED_VALUE"""),"Nip")</f>
        <v>Nip</v>
      </c>
      <c r="C832" s="138">
        <f>IFERROR(__xludf.DUMMYFUNCTION("""COMPUTED_VALUE"""),1085.0)</f>
        <v>1085</v>
      </c>
      <c r="D832" s="139">
        <f>IFERROR(__xludf.DUMMYFUNCTION("""COMPUTED_VALUE"""),367.0)</f>
        <v>367</v>
      </c>
      <c r="E832" s="138">
        <f>IFERROR(__xludf.DUMMYFUNCTION("""COMPUTED_VALUE"""),5.0)</f>
        <v>5</v>
      </c>
      <c r="F832" s="138">
        <f>IFERROR(__xludf.DUMMYFUNCTION("""COMPUTED_VALUE"""),4.0)</f>
        <v>4</v>
      </c>
      <c r="G832" s="138">
        <f>IFERROR(__xludf.DUMMYFUNCTION("""COMPUTED_VALUE"""),4.0)</f>
        <v>4</v>
      </c>
      <c r="H832" s="138">
        <f>IFERROR(__xludf.DUMMYFUNCTION("""COMPUTED_VALUE"""),5.0)</f>
        <v>5</v>
      </c>
      <c r="I832" s="138">
        <f>IFERROR(__xludf.DUMMYFUNCTION("""COMPUTED_VALUE"""),5.0)</f>
        <v>5</v>
      </c>
      <c r="J832" s="138">
        <f>IFERROR(__xludf.DUMMYFUNCTION("""COMPUTED_VALUE"""),5.0)</f>
        <v>5</v>
      </c>
      <c r="K832" s="138">
        <f>IFERROR(__xludf.DUMMYFUNCTION("""COMPUTED_VALUE"""),5.0)</f>
        <v>5</v>
      </c>
      <c r="L832" s="138">
        <v>33.0</v>
      </c>
      <c r="M832" s="140" t="str">
        <f>VLOOKUP(text(D832, "#"),'Master Table'!$A:$F, 6, FALSE)</f>
        <v>F-8</v>
      </c>
      <c r="N832" s="141" t="str">
        <f>IFERROR(__xludf.DUMMYFUNCTION("""COMPUTED_VALUE"""),"Really excellent delivery of the poster and answering questions")</f>
        <v>Really excellent delivery of the poster and answering questions</v>
      </c>
      <c r="O832" s="142" t="str">
        <f t="shared" si="1"/>
        <v/>
      </c>
      <c r="P832" s="143" t="str">
        <f>IF(ISNA(VLOOKUP(CONCAT(M832,C832), 'Judge Count DO NOT EDIT'!H:H, 1, FALSE)), "ERROR","")</f>
        <v/>
      </c>
      <c r="Q832" s="141"/>
      <c r="R832" s="143"/>
      <c r="S832" s="139" t="str">
        <f t="shared" si="2"/>
        <v>1085367</v>
      </c>
      <c r="T832" s="141"/>
    </row>
    <row r="833">
      <c r="A833" s="137">
        <f>IFERROR(__xludf.DUMMYFUNCTION("""COMPUTED_VALUE"""),45352.39714621528)</f>
        <v>45352.39715</v>
      </c>
      <c r="B833" s="138" t="str">
        <f>IFERROR(__xludf.DUMMYFUNCTION("""COMPUTED_VALUE"""),"Nip")</f>
        <v>Nip</v>
      </c>
      <c r="C833" s="138">
        <f>IFERROR(__xludf.DUMMYFUNCTION("""COMPUTED_VALUE"""),1085.0)</f>
        <v>1085</v>
      </c>
      <c r="D833" s="139">
        <f>IFERROR(__xludf.DUMMYFUNCTION("""COMPUTED_VALUE"""),368.0)</f>
        <v>368</v>
      </c>
      <c r="E833" s="138">
        <f>IFERROR(__xludf.DUMMYFUNCTION("""COMPUTED_VALUE"""),3.0)</f>
        <v>3</v>
      </c>
      <c r="F833" s="138">
        <f>IFERROR(__xludf.DUMMYFUNCTION("""COMPUTED_VALUE"""),4.0)</f>
        <v>4</v>
      </c>
      <c r="G833" s="138">
        <f>IFERROR(__xludf.DUMMYFUNCTION("""COMPUTED_VALUE"""),4.0)</f>
        <v>4</v>
      </c>
      <c r="H833" s="138">
        <f>IFERROR(__xludf.DUMMYFUNCTION("""COMPUTED_VALUE"""),4.0)</f>
        <v>4</v>
      </c>
      <c r="I833" s="138">
        <f>IFERROR(__xludf.DUMMYFUNCTION("""COMPUTED_VALUE"""),3.0)</f>
        <v>3</v>
      </c>
      <c r="J833" s="138">
        <f>IFERROR(__xludf.DUMMYFUNCTION("""COMPUTED_VALUE"""),3.0)</f>
        <v>3</v>
      </c>
      <c r="K833" s="138">
        <f>IFERROR(__xludf.DUMMYFUNCTION("""COMPUTED_VALUE"""),4.0)</f>
        <v>4</v>
      </c>
      <c r="L833" s="138">
        <v>25.0</v>
      </c>
      <c r="M833" s="140" t="str">
        <f>VLOOKUP(text(D833, "#"),'Master Table'!$A:$F, 6, FALSE)</f>
        <v>F-8</v>
      </c>
      <c r="N833" s="141" t="str">
        <f>IFERROR(__xludf.DUMMYFUNCTION("""COMPUTED_VALUE"""),"Interesting study looking at education and other health factors on cortical thickness and white matter density in areas of the brain associated with dementia. Referencing the poster while discussing the study would be helpful. Two figures presented the sa"&amp;"me data which was a little confusing. More discussion in the intro (e.g., role of the brain area in dementia) and discussion (e.g., what do the results mean beyond that it was surprising) would be helpful in helping the listener fully grasp the significan"&amp;"ce of the research study")</f>
        <v>Interesting study looking at education and other health factors on cortical thickness and white matter density in areas of the brain associated with dementia. Referencing the poster while discussing the study would be helpful. Two figures presented the same data which was a little confusing. More discussion in the intro (e.g., role of the brain area in dementia) and discussion (e.g., what do the results mean beyond that it was surprising) would be helpful in helping the listener fully grasp the significance of the research study</v>
      </c>
      <c r="O833" s="142" t="str">
        <f t="shared" si="1"/>
        <v/>
      </c>
      <c r="P833" s="143" t="str">
        <f>IF(ISNA(VLOOKUP(CONCAT(M833,C833), 'Judge Count DO NOT EDIT'!H:H, 1, FALSE)), "ERROR","")</f>
        <v/>
      </c>
      <c r="Q833" s="141"/>
      <c r="R833" s="143"/>
      <c r="S833" s="139" t="str">
        <f t="shared" si="2"/>
        <v>1085368</v>
      </c>
      <c r="T833" s="141"/>
    </row>
    <row r="834">
      <c r="A834" s="137">
        <f>IFERROR(__xludf.DUMMYFUNCTION("""COMPUTED_VALUE"""),45352.398538587964)</f>
        <v>45352.39854</v>
      </c>
      <c r="B834" s="138" t="str">
        <f>IFERROR(__xludf.DUMMYFUNCTION("""COMPUTED_VALUE"""),"Kris Rodenberg ")</f>
        <v>Kris Rodenberg </v>
      </c>
      <c r="C834" s="138">
        <f>IFERROR(__xludf.DUMMYFUNCTION("""COMPUTED_VALUE"""),1110.0)</f>
        <v>1110</v>
      </c>
      <c r="D834" s="139">
        <f>IFERROR(__xludf.DUMMYFUNCTION("""COMPUTED_VALUE"""),368.0)</f>
        <v>368</v>
      </c>
      <c r="E834" s="138">
        <f>IFERROR(__xludf.DUMMYFUNCTION("""COMPUTED_VALUE"""),4.0)</f>
        <v>4</v>
      </c>
      <c r="F834" s="138">
        <f>IFERROR(__xludf.DUMMYFUNCTION("""COMPUTED_VALUE"""),5.0)</f>
        <v>5</v>
      </c>
      <c r="G834" s="138">
        <f>IFERROR(__xludf.DUMMYFUNCTION("""COMPUTED_VALUE"""),5.0)</f>
        <v>5</v>
      </c>
      <c r="H834" s="138">
        <f>IFERROR(__xludf.DUMMYFUNCTION("""COMPUTED_VALUE"""),5.0)</f>
        <v>5</v>
      </c>
      <c r="I834" s="138">
        <f>IFERROR(__xludf.DUMMYFUNCTION("""COMPUTED_VALUE"""),4.0)</f>
        <v>4</v>
      </c>
      <c r="J834" s="138">
        <f>IFERROR(__xludf.DUMMYFUNCTION("""COMPUTED_VALUE"""),5.0)</f>
        <v>5</v>
      </c>
      <c r="K834" s="138">
        <f>IFERROR(__xludf.DUMMYFUNCTION("""COMPUTED_VALUE"""),5.0)</f>
        <v>5</v>
      </c>
      <c r="L834" s="138">
        <v>33.0</v>
      </c>
      <c r="M834" s="140" t="str">
        <f>VLOOKUP(text(D834, "#"),'Master Table'!$A:$F, 6, FALSE)</f>
        <v>F-8</v>
      </c>
      <c r="N834" s="141" t="str">
        <f>IFERROR(__xludf.DUMMYFUNCTION("""COMPUTED_VALUE"""),"Very important study, several threads for extended study.")</f>
        <v>Very important study, several threads for extended study.</v>
      </c>
      <c r="O834" s="142" t="str">
        <f t="shared" si="1"/>
        <v/>
      </c>
      <c r="P834" s="143" t="str">
        <f>IF(ISNA(VLOOKUP(CONCAT(M834,C834), 'Judge Count DO NOT EDIT'!H:H, 1, FALSE)), "ERROR","")</f>
        <v/>
      </c>
      <c r="Q834" s="141"/>
      <c r="R834" s="143"/>
      <c r="S834" s="139" t="str">
        <f t="shared" si="2"/>
        <v>1110368</v>
      </c>
      <c r="T834" s="141"/>
    </row>
    <row r="835">
      <c r="A835" s="137">
        <f>IFERROR(__xludf.DUMMYFUNCTION("""COMPUTED_VALUE"""),45352.40728878472)</f>
        <v>45352.40729</v>
      </c>
      <c r="B835" s="138" t="str">
        <f>IFERROR(__xludf.DUMMYFUNCTION("""COMPUTED_VALUE"""),"Isaac Ullah")</f>
        <v>Isaac Ullah</v>
      </c>
      <c r="C835" s="138">
        <f>IFERROR(__xludf.DUMMYFUNCTION("""COMPUTED_VALUE"""),1059.0)</f>
        <v>1059</v>
      </c>
      <c r="D835" s="139">
        <f>IFERROR(__xludf.DUMMYFUNCTION("""COMPUTED_VALUE"""),368.0)</f>
        <v>368</v>
      </c>
      <c r="E835" s="138">
        <f>IFERROR(__xludf.DUMMYFUNCTION("""COMPUTED_VALUE"""),4.0)</f>
        <v>4</v>
      </c>
      <c r="F835" s="138">
        <f>IFERROR(__xludf.DUMMYFUNCTION("""COMPUTED_VALUE"""),4.0)</f>
        <v>4</v>
      </c>
      <c r="G835" s="138">
        <f>IFERROR(__xludf.DUMMYFUNCTION("""COMPUTED_VALUE"""),4.0)</f>
        <v>4</v>
      </c>
      <c r="H835" s="138">
        <f>IFERROR(__xludf.DUMMYFUNCTION("""COMPUTED_VALUE"""),4.0)</f>
        <v>4</v>
      </c>
      <c r="I835" s="138">
        <f>IFERROR(__xludf.DUMMYFUNCTION("""COMPUTED_VALUE"""),4.0)</f>
        <v>4</v>
      </c>
      <c r="J835" s="138">
        <f>IFERROR(__xludf.DUMMYFUNCTION("""COMPUTED_VALUE"""),4.0)</f>
        <v>4</v>
      </c>
      <c r="K835" s="138">
        <f>IFERROR(__xludf.DUMMYFUNCTION("""COMPUTED_VALUE"""),4.0)</f>
        <v>4</v>
      </c>
      <c r="L835" s="138">
        <v>28.0</v>
      </c>
      <c r="M835" s="140" t="str">
        <f>VLOOKUP(text(D835, "#"),'Master Table'!$A:$F, 6, FALSE)</f>
        <v>F-8</v>
      </c>
      <c r="N835" s="141" t="str">
        <f>IFERROR(__xludf.DUMMYFUNCTION("""COMPUTED_VALUE"""),"A very clear presentation with some clear significance of the research communicated well. The results were a bit inconclusive, but a good sense of how to move forward. Well done! ")</f>
        <v>A very clear presentation with some clear significance of the research communicated well. The results were a bit inconclusive, but a good sense of how to move forward. Well done! </v>
      </c>
      <c r="O835" s="142" t="str">
        <f t="shared" si="1"/>
        <v/>
      </c>
      <c r="P835" s="143" t="str">
        <f>IF(ISNA(VLOOKUP(CONCAT(M835,C835), 'Judge Count DO NOT EDIT'!H:H, 1, FALSE)), "ERROR","")</f>
        <v/>
      </c>
      <c r="Q835" s="141"/>
      <c r="R835" s="143"/>
      <c r="S835" s="139" t="str">
        <f t="shared" si="2"/>
        <v>1059368</v>
      </c>
      <c r="T835" s="141"/>
    </row>
    <row r="836">
      <c r="A836" s="137">
        <f>IFERROR(__xludf.DUMMYFUNCTION("""COMPUTED_VALUE"""),45352.390780173606)</f>
        <v>45352.39078</v>
      </c>
      <c r="B836" s="138" t="str">
        <f>IFERROR(__xludf.DUMMYFUNCTION("""COMPUTED_VALUE"""),"Isaac Ullah")</f>
        <v>Isaac Ullah</v>
      </c>
      <c r="C836" s="138">
        <f>IFERROR(__xludf.DUMMYFUNCTION("""COMPUTED_VALUE"""),1059.0)</f>
        <v>1059</v>
      </c>
      <c r="D836" s="139">
        <f>IFERROR(__xludf.DUMMYFUNCTION("""COMPUTED_VALUE"""),369.0)</f>
        <v>369</v>
      </c>
      <c r="E836" s="138">
        <f>IFERROR(__xludf.DUMMYFUNCTION("""COMPUTED_VALUE"""),4.0)</f>
        <v>4</v>
      </c>
      <c r="F836" s="138">
        <f>IFERROR(__xludf.DUMMYFUNCTION("""COMPUTED_VALUE"""),4.0)</f>
        <v>4</v>
      </c>
      <c r="G836" s="138">
        <f>IFERROR(__xludf.DUMMYFUNCTION("""COMPUTED_VALUE"""),5.0)</f>
        <v>5</v>
      </c>
      <c r="H836" s="138">
        <f>IFERROR(__xludf.DUMMYFUNCTION("""COMPUTED_VALUE"""),3.0)</f>
        <v>3</v>
      </c>
      <c r="I836" s="138">
        <f>IFERROR(__xludf.DUMMYFUNCTION("""COMPUTED_VALUE"""),4.0)</f>
        <v>4</v>
      </c>
      <c r="J836" s="138">
        <f>IFERROR(__xludf.DUMMYFUNCTION("""COMPUTED_VALUE"""),4.0)</f>
        <v>4</v>
      </c>
      <c r="K836" s="138">
        <f>IFERROR(__xludf.DUMMYFUNCTION("""COMPUTED_VALUE"""),4.0)</f>
        <v>4</v>
      </c>
      <c r="L836" s="138">
        <v>28.0</v>
      </c>
      <c r="M836" s="140" t="str">
        <f>VLOOKUP(text(D836, "#"),'Master Table'!$A:$F, 6, FALSE)</f>
        <v>F-8</v>
      </c>
      <c r="N836" s="141" t="str">
        <f>IFERROR(__xludf.DUMMYFUNCTION("""COMPUTED_VALUE"""),"Very important topic, and a nice oral presentation of the work. Oral presentation did not make reference to the poster graphics, which could have helped put the pints across more clearly. Overall great job, however! ")</f>
        <v>Very important topic, and a nice oral presentation of the work. Oral presentation did not make reference to the poster graphics, which could have helped put the pints across more clearly. Overall great job, however! </v>
      </c>
      <c r="O836" s="142" t="str">
        <f t="shared" si="1"/>
        <v/>
      </c>
      <c r="P836" s="143" t="str">
        <f>IF(ISNA(VLOOKUP(CONCAT(M836,C836), 'Judge Count DO NOT EDIT'!H:H, 1, FALSE)), "ERROR","")</f>
        <v/>
      </c>
      <c r="Q836" s="144"/>
      <c r="R836" s="143"/>
      <c r="S836" s="139" t="str">
        <f t="shared" si="2"/>
        <v>1059369</v>
      </c>
      <c r="T836" s="141"/>
    </row>
    <row r="837">
      <c r="A837" s="137">
        <f>IFERROR(__xludf.DUMMYFUNCTION("""COMPUTED_VALUE"""),45352.40308225695)</f>
        <v>45352.40308</v>
      </c>
      <c r="B837" s="138" t="str">
        <f>IFERROR(__xludf.DUMMYFUNCTION("""COMPUTED_VALUE"""),"Nip")</f>
        <v>Nip</v>
      </c>
      <c r="C837" s="138">
        <f>IFERROR(__xludf.DUMMYFUNCTION("""COMPUTED_VALUE"""),1085.0)</f>
        <v>1085</v>
      </c>
      <c r="D837" s="139">
        <f>IFERROR(__xludf.DUMMYFUNCTION("""COMPUTED_VALUE"""),369.0)</f>
        <v>369</v>
      </c>
      <c r="E837" s="138">
        <f>IFERROR(__xludf.DUMMYFUNCTION("""COMPUTED_VALUE"""),4.0)</f>
        <v>4</v>
      </c>
      <c r="F837" s="138">
        <f>IFERROR(__xludf.DUMMYFUNCTION("""COMPUTED_VALUE"""),4.0)</f>
        <v>4</v>
      </c>
      <c r="G837" s="138">
        <f>IFERROR(__xludf.DUMMYFUNCTION("""COMPUTED_VALUE"""),4.0)</f>
        <v>4</v>
      </c>
      <c r="H837" s="138">
        <f>IFERROR(__xludf.DUMMYFUNCTION("""COMPUTED_VALUE"""),3.0)</f>
        <v>3</v>
      </c>
      <c r="I837" s="138">
        <f>IFERROR(__xludf.DUMMYFUNCTION("""COMPUTED_VALUE"""),4.0)</f>
        <v>4</v>
      </c>
      <c r="J837" s="138">
        <f>IFERROR(__xludf.DUMMYFUNCTION("""COMPUTED_VALUE"""),4.0)</f>
        <v>4</v>
      </c>
      <c r="K837" s="138">
        <f>IFERROR(__xludf.DUMMYFUNCTION("""COMPUTED_VALUE"""),5.0)</f>
        <v>5</v>
      </c>
      <c r="L837" s="138">
        <v>28.0</v>
      </c>
      <c r="M837" s="140" t="str">
        <f>VLOOKUP(text(D837, "#"),'Master Table'!$A:$F, 6, FALSE)</f>
        <v>F-8</v>
      </c>
      <c r="N837" s="141" t="str">
        <f>IFERROR(__xludf.DUMMYFUNCTION("""COMPUTED_VALUE"""),"Really interesting project to highlight the need to support the science education of ELLs. I would suggest spending some more time talk about the methods (e.g., nature of survey, how the interviews were structured, etc.) Nice delivery overall!")</f>
        <v>Really interesting project to highlight the need to support the science education of ELLs. I would suggest spending some more time talk about the methods (e.g., nature of survey, how the interviews were structured, etc.) Nice delivery overall!</v>
      </c>
      <c r="O837" s="142" t="str">
        <f t="shared" si="1"/>
        <v/>
      </c>
      <c r="P837" s="143" t="str">
        <f>IF(ISNA(VLOOKUP(CONCAT(M837,C837), 'Judge Count DO NOT EDIT'!H:H, 1, FALSE)), "ERROR","")</f>
        <v/>
      </c>
      <c r="Q837" s="141"/>
      <c r="R837" s="143"/>
      <c r="S837" s="139" t="str">
        <f t="shared" si="2"/>
        <v>1085369</v>
      </c>
      <c r="T837" s="141"/>
    </row>
    <row r="838">
      <c r="A838" s="137">
        <f>IFERROR(__xludf.DUMMYFUNCTION("""COMPUTED_VALUE"""),45352.406556863425)</f>
        <v>45352.40656</v>
      </c>
      <c r="B838" s="138" t="str">
        <f>IFERROR(__xludf.DUMMYFUNCTION("""COMPUTED_VALUE"""),"Kris Rodenberg ")</f>
        <v>Kris Rodenberg </v>
      </c>
      <c r="C838" s="138">
        <f>IFERROR(__xludf.DUMMYFUNCTION("""COMPUTED_VALUE"""),1110.0)</f>
        <v>1110</v>
      </c>
      <c r="D838" s="139">
        <f>IFERROR(__xludf.DUMMYFUNCTION("""COMPUTED_VALUE"""),369.0)</f>
        <v>369</v>
      </c>
      <c r="E838" s="138">
        <f>IFERROR(__xludf.DUMMYFUNCTION("""COMPUTED_VALUE"""),4.0)</f>
        <v>4</v>
      </c>
      <c r="F838" s="138">
        <f>IFERROR(__xludf.DUMMYFUNCTION("""COMPUTED_VALUE"""),4.0)</f>
        <v>4</v>
      </c>
      <c r="G838" s="138">
        <f>IFERROR(__xludf.DUMMYFUNCTION("""COMPUTED_VALUE"""),4.0)</f>
        <v>4</v>
      </c>
      <c r="H838" s="138">
        <f>IFERROR(__xludf.DUMMYFUNCTION("""COMPUTED_VALUE"""),4.0)</f>
        <v>4</v>
      </c>
      <c r="I838" s="138">
        <f>IFERROR(__xludf.DUMMYFUNCTION("""COMPUTED_VALUE"""),5.0)</f>
        <v>5</v>
      </c>
      <c r="J838" s="138">
        <f>IFERROR(__xludf.DUMMYFUNCTION("""COMPUTED_VALUE"""),5.0)</f>
        <v>5</v>
      </c>
      <c r="K838" s="138">
        <f>IFERROR(__xludf.DUMMYFUNCTION("""COMPUTED_VALUE"""),5.0)</f>
        <v>5</v>
      </c>
      <c r="L838" s="138">
        <v>31.0</v>
      </c>
      <c r="M838" s="140" t="str">
        <f>VLOOKUP(text(D838, "#"),'Master Table'!$A:$F, 6, FALSE)</f>
        <v>F-8</v>
      </c>
      <c r="N838" s="141" t="str">
        <f>IFERROR(__xludf.DUMMYFUNCTION("""COMPUTED_VALUE"""),"Knowledgeable and clear presence ")</f>
        <v>Knowledgeable and clear presence </v>
      </c>
      <c r="O838" s="142" t="str">
        <f t="shared" si="1"/>
        <v/>
      </c>
      <c r="P838" s="143" t="str">
        <f>IF(ISNA(VLOOKUP(CONCAT(M838,C838), 'Judge Count DO NOT EDIT'!H:H, 1, FALSE)), "ERROR","")</f>
        <v/>
      </c>
      <c r="Q838" s="141"/>
      <c r="R838" s="143"/>
      <c r="S838" s="139" t="str">
        <f t="shared" si="2"/>
        <v>1110369</v>
      </c>
      <c r="T838" s="141"/>
    </row>
    <row r="839">
      <c r="A839" s="137">
        <f>IFERROR(__xludf.DUMMYFUNCTION("""COMPUTED_VALUE"""),45352.41235005787)</f>
        <v>45352.41235</v>
      </c>
      <c r="B839" s="138" t="str">
        <f>IFERROR(__xludf.DUMMYFUNCTION("""COMPUTED_VALUE"""),"Isaac Ullah ")</f>
        <v>Isaac Ullah </v>
      </c>
      <c r="C839" s="138">
        <f>IFERROR(__xludf.DUMMYFUNCTION("""COMPUTED_VALUE"""),1059.0)</f>
        <v>1059</v>
      </c>
      <c r="D839" s="139">
        <f>IFERROR(__xludf.DUMMYFUNCTION("""COMPUTED_VALUE"""),370.0)</f>
        <v>370</v>
      </c>
      <c r="E839" s="138">
        <f>IFERROR(__xludf.DUMMYFUNCTION("""COMPUTED_VALUE"""),5.0)</f>
        <v>5</v>
      </c>
      <c r="F839" s="138">
        <f>IFERROR(__xludf.DUMMYFUNCTION("""COMPUTED_VALUE"""),5.0)</f>
        <v>5</v>
      </c>
      <c r="G839" s="138">
        <f>IFERROR(__xludf.DUMMYFUNCTION("""COMPUTED_VALUE"""),5.0)</f>
        <v>5</v>
      </c>
      <c r="H839" s="138">
        <f>IFERROR(__xludf.DUMMYFUNCTION("""COMPUTED_VALUE"""),5.0)</f>
        <v>5</v>
      </c>
      <c r="I839" s="138">
        <f>IFERROR(__xludf.DUMMYFUNCTION("""COMPUTED_VALUE"""),5.0)</f>
        <v>5</v>
      </c>
      <c r="J839" s="138">
        <f>IFERROR(__xludf.DUMMYFUNCTION("""COMPUTED_VALUE"""),5.0)</f>
        <v>5</v>
      </c>
      <c r="K839" s="138">
        <f>IFERROR(__xludf.DUMMYFUNCTION("""COMPUTED_VALUE"""),5.0)</f>
        <v>5</v>
      </c>
      <c r="L839" s="138">
        <v>35.0</v>
      </c>
      <c r="M839" s="140" t="str">
        <f>VLOOKUP(text(D839, "#"),'Master Table'!$A:$F, 6, FALSE)</f>
        <v>F-8</v>
      </c>
      <c r="N839" s="141" t="str">
        <f>IFERROR(__xludf.DUMMYFUNCTION("""COMPUTED_VALUE"""),"I have to say that this was one of the most exceptional student presentations I've seen in a long while. Not only was the topic fascinating, but the personal experience of the researcher was brought to bear in a way that made the work really resonate. Phe"&amp;"nomenal job. ")</f>
        <v>I have to say that this was one of the most exceptional student presentations I've seen in a long while. Not only was the topic fascinating, but the personal experience of the researcher was brought to bear in a way that made the work really resonate. Phenomenal job. </v>
      </c>
      <c r="O839" s="142" t="str">
        <f t="shared" si="1"/>
        <v/>
      </c>
      <c r="P839" s="143" t="str">
        <f>IF(ISNA(VLOOKUP(CONCAT(M839,C839), 'Judge Count DO NOT EDIT'!H:H, 1, FALSE)), "ERROR","")</f>
        <v/>
      </c>
      <c r="Q839" s="141"/>
      <c r="R839" s="143"/>
      <c r="S839" s="139" t="str">
        <f t="shared" si="2"/>
        <v>1059370</v>
      </c>
      <c r="T839" s="141"/>
    </row>
    <row r="840">
      <c r="A840" s="137">
        <f>IFERROR(__xludf.DUMMYFUNCTION("""COMPUTED_VALUE"""),45352.41706715278)</f>
        <v>45352.41707</v>
      </c>
      <c r="B840" s="138" t="str">
        <f>IFERROR(__xludf.DUMMYFUNCTION("""COMPUTED_VALUE"""),"Kris Rodenberg ")</f>
        <v>Kris Rodenberg </v>
      </c>
      <c r="C840" s="138">
        <f>IFERROR(__xludf.DUMMYFUNCTION("""COMPUTED_VALUE"""),1110.0)</f>
        <v>1110</v>
      </c>
      <c r="D840" s="139">
        <f>IFERROR(__xludf.DUMMYFUNCTION("""COMPUTED_VALUE"""),370.0)</f>
        <v>370</v>
      </c>
      <c r="E840" s="138">
        <f>IFERROR(__xludf.DUMMYFUNCTION("""COMPUTED_VALUE"""),4.0)</f>
        <v>4</v>
      </c>
      <c r="F840" s="138">
        <f>IFERROR(__xludf.DUMMYFUNCTION("""COMPUTED_VALUE"""),5.0)</f>
        <v>5</v>
      </c>
      <c r="G840" s="138">
        <f>IFERROR(__xludf.DUMMYFUNCTION("""COMPUTED_VALUE"""),5.0)</f>
        <v>5</v>
      </c>
      <c r="H840" s="138">
        <f>IFERROR(__xludf.DUMMYFUNCTION("""COMPUTED_VALUE"""),4.0)</f>
        <v>4</v>
      </c>
      <c r="I840" s="138">
        <f>IFERROR(__xludf.DUMMYFUNCTION("""COMPUTED_VALUE"""),5.0)</f>
        <v>5</v>
      </c>
      <c r="J840" s="138">
        <f>IFERROR(__xludf.DUMMYFUNCTION("""COMPUTED_VALUE"""),4.0)</f>
        <v>4</v>
      </c>
      <c r="K840" s="138">
        <f>IFERROR(__xludf.DUMMYFUNCTION("""COMPUTED_VALUE"""),5.0)</f>
        <v>5</v>
      </c>
      <c r="L840" s="138">
        <v>32.0</v>
      </c>
      <c r="M840" s="140" t="str">
        <f>VLOOKUP(text(D840, "#"),'Master Table'!$A:$F, 6, FALSE)</f>
        <v>F-8</v>
      </c>
      <c r="N840" s="141" t="str">
        <f>IFERROR(__xludf.DUMMYFUNCTION("""COMPUTED_VALUE"""),"Very personable, clearly has counseling proficiency ")</f>
        <v>Very personable, clearly has counseling proficiency </v>
      </c>
      <c r="O840" s="142" t="str">
        <f t="shared" si="1"/>
        <v/>
      </c>
      <c r="P840" s="143" t="str">
        <f>IF(ISNA(VLOOKUP(CONCAT(M840,C840), 'Judge Count DO NOT EDIT'!H:H, 1, FALSE)), "ERROR","")</f>
        <v/>
      </c>
      <c r="Q840" s="141"/>
      <c r="R840" s="143"/>
      <c r="S840" s="139" t="str">
        <f t="shared" si="2"/>
        <v>1110370</v>
      </c>
      <c r="T840" s="141"/>
    </row>
    <row r="841">
      <c r="A841" s="137">
        <f>IFERROR(__xludf.DUMMYFUNCTION("""COMPUTED_VALUE"""),45352.435547581015)</f>
        <v>45352.43555</v>
      </c>
      <c r="B841" s="138" t="str">
        <f>IFERROR(__xludf.DUMMYFUNCTION("""COMPUTED_VALUE"""),"Nip")</f>
        <v>Nip</v>
      </c>
      <c r="C841" s="138">
        <f>IFERROR(__xludf.DUMMYFUNCTION("""COMPUTED_VALUE"""),1085.0)</f>
        <v>1085</v>
      </c>
      <c r="D841" s="139">
        <f>IFERROR(__xludf.DUMMYFUNCTION("""COMPUTED_VALUE"""),370.0)</f>
        <v>370</v>
      </c>
      <c r="E841" s="138">
        <f>IFERROR(__xludf.DUMMYFUNCTION("""COMPUTED_VALUE"""),4.0)</f>
        <v>4</v>
      </c>
      <c r="F841" s="138">
        <f>IFERROR(__xludf.DUMMYFUNCTION("""COMPUTED_VALUE"""),5.0)</f>
        <v>5</v>
      </c>
      <c r="G841" s="138">
        <f>IFERROR(__xludf.DUMMYFUNCTION("""COMPUTED_VALUE"""),5.0)</f>
        <v>5</v>
      </c>
      <c r="H841" s="138">
        <f>IFERROR(__xludf.DUMMYFUNCTION("""COMPUTED_VALUE"""),4.0)</f>
        <v>4</v>
      </c>
      <c r="I841" s="138">
        <f>IFERROR(__xludf.DUMMYFUNCTION("""COMPUTED_VALUE"""),5.0)</f>
        <v>5</v>
      </c>
      <c r="J841" s="138">
        <f>IFERROR(__xludf.DUMMYFUNCTION("""COMPUTED_VALUE"""),5.0)</f>
        <v>5</v>
      </c>
      <c r="K841" s="138">
        <f>IFERROR(__xludf.DUMMYFUNCTION("""COMPUTED_VALUE"""),5.0)</f>
        <v>5</v>
      </c>
      <c r="L841" s="138">
        <v>33.0</v>
      </c>
      <c r="M841" s="140" t="str">
        <f>VLOOKUP(text(D841, "#"),'Master Table'!$A:$F, 6, FALSE)</f>
        <v>F-8</v>
      </c>
      <c r="N841" s="141" t="str">
        <f>IFERROR(__xludf.DUMMYFUNCTION("""COMPUTED_VALUE"""),"Great project with clear impact on the community! I look forward to hearing how the follow up study goes")</f>
        <v>Great project with clear impact on the community! I look forward to hearing how the follow up study goes</v>
      </c>
      <c r="O841" s="142" t="str">
        <f t="shared" si="1"/>
        <v/>
      </c>
      <c r="P841" s="143" t="str">
        <f>IF(ISNA(VLOOKUP(CONCAT(M841,C841), 'Judge Count DO NOT EDIT'!H:H, 1, FALSE)), "ERROR","")</f>
        <v/>
      </c>
      <c r="Q841" s="144"/>
      <c r="R841" s="143"/>
      <c r="S841" s="139" t="str">
        <f t="shared" si="2"/>
        <v>1085370</v>
      </c>
      <c r="T841" s="144"/>
    </row>
    <row r="842">
      <c r="A842" s="137">
        <f>IFERROR(__xludf.DUMMYFUNCTION("""COMPUTED_VALUE"""),45352.38601649305)</f>
        <v>45352.38602</v>
      </c>
      <c r="B842" s="138" t="str">
        <f>IFERROR(__xludf.DUMMYFUNCTION("""COMPUTED_VALUE"""),"Isaac Ullah")</f>
        <v>Isaac Ullah</v>
      </c>
      <c r="C842" s="138">
        <f>IFERROR(__xludf.DUMMYFUNCTION("""COMPUTED_VALUE"""),1059.0)</f>
        <v>1059</v>
      </c>
      <c r="D842" s="139">
        <f>IFERROR(__xludf.DUMMYFUNCTION("""COMPUTED_VALUE"""),372.0)</f>
        <v>372</v>
      </c>
      <c r="E842" s="138">
        <f>IFERROR(__xludf.DUMMYFUNCTION("""COMPUTED_VALUE"""),4.0)</f>
        <v>4</v>
      </c>
      <c r="F842" s="138">
        <f>IFERROR(__xludf.DUMMYFUNCTION("""COMPUTED_VALUE"""),4.0)</f>
        <v>4</v>
      </c>
      <c r="G842" s="138">
        <f>IFERROR(__xludf.DUMMYFUNCTION("""COMPUTED_VALUE"""),5.0)</f>
        <v>5</v>
      </c>
      <c r="H842" s="138">
        <f>IFERROR(__xludf.DUMMYFUNCTION("""COMPUTED_VALUE"""),3.0)</f>
        <v>3</v>
      </c>
      <c r="I842" s="138">
        <f>IFERROR(__xludf.DUMMYFUNCTION("""COMPUTED_VALUE"""),4.0)</f>
        <v>4</v>
      </c>
      <c r="J842" s="138">
        <f>IFERROR(__xludf.DUMMYFUNCTION("""COMPUTED_VALUE"""),4.0)</f>
        <v>4</v>
      </c>
      <c r="K842" s="138">
        <f>IFERROR(__xludf.DUMMYFUNCTION("""COMPUTED_VALUE"""),4.0)</f>
        <v>4</v>
      </c>
      <c r="L842" s="138">
        <v>28.0</v>
      </c>
      <c r="M842" s="140" t="str">
        <f>VLOOKUP(text(D842, "#"),'Master Table'!$A:$F, 6, FALSE)</f>
        <v>F-8</v>
      </c>
      <c r="N842" s="141" t="str">
        <f>IFERROR(__xludf.DUMMYFUNCTION("""COMPUTED_VALUE"""),"Very confident delivery and important topic. A little difficult to understand methods as someone not familiar with the discipline. Poster was text heavy -- more graphical content would have been welcome. Good job overall! ")</f>
        <v>Very confident delivery and important topic. A little difficult to understand methods as someone not familiar with the discipline. Poster was text heavy -- more graphical content would have been welcome. Good job overall! </v>
      </c>
      <c r="O842" s="142" t="str">
        <f t="shared" si="1"/>
        <v/>
      </c>
      <c r="P842" s="143" t="str">
        <f>IF(ISNA(VLOOKUP(CONCAT(M842,C842), 'Judge Count DO NOT EDIT'!H:H, 1, FALSE)), "ERROR","")</f>
        <v/>
      </c>
      <c r="Q842" s="141"/>
      <c r="R842" s="143"/>
      <c r="S842" s="139" t="str">
        <f t="shared" si="2"/>
        <v>1059372</v>
      </c>
      <c r="T842" s="141"/>
    </row>
    <row r="843">
      <c r="A843" s="137">
        <f>IFERROR(__xludf.DUMMYFUNCTION("""COMPUTED_VALUE"""),45352.394550324076)</f>
        <v>45352.39455</v>
      </c>
      <c r="B843" s="138" t="str">
        <f>IFERROR(__xludf.DUMMYFUNCTION("""COMPUTED_VALUE"""),"Nip")</f>
        <v>Nip</v>
      </c>
      <c r="C843" s="138">
        <f>IFERROR(__xludf.DUMMYFUNCTION("""COMPUTED_VALUE"""),1085.0)</f>
        <v>1085</v>
      </c>
      <c r="D843" s="139">
        <f>IFERROR(__xludf.DUMMYFUNCTION("""COMPUTED_VALUE"""),372.0)</f>
        <v>372</v>
      </c>
      <c r="E843" s="138">
        <f>IFERROR(__xludf.DUMMYFUNCTION("""COMPUTED_VALUE"""),4.0)</f>
        <v>4</v>
      </c>
      <c r="F843" s="138">
        <f>IFERROR(__xludf.DUMMYFUNCTION("""COMPUTED_VALUE"""),4.0)</f>
        <v>4</v>
      </c>
      <c r="G843" s="138">
        <f>IFERROR(__xludf.DUMMYFUNCTION("""COMPUTED_VALUE"""),5.0)</f>
        <v>5</v>
      </c>
      <c r="H843" s="138">
        <f>IFERROR(__xludf.DUMMYFUNCTION("""COMPUTED_VALUE"""),4.0)</f>
        <v>4</v>
      </c>
      <c r="I843" s="138">
        <f>IFERROR(__xludf.DUMMYFUNCTION("""COMPUTED_VALUE"""),4.0)</f>
        <v>4</v>
      </c>
      <c r="J843" s="138">
        <f>IFERROR(__xludf.DUMMYFUNCTION("""COMPUTED_VALUE"""),4.0)</f>
        <v>4</v>
      </c>
      <c r="K843" s="138">
        <f>IFERROR(__xludf.DUMMYFUNCTION("""COMPUTED_VALUE"""),5.0)</f>
        <v>5</v>
      </c>
      <c r="L843" s="138">
        <v>30.0</v>
      </c>
      <c r="M843" s="140" t="str">
        <f>VLOOKUP(text(D843, "#"),'Master Table'!$A:$F, 6, FALSE)</f>
        <v>F-8</v>
      </c>
      <c r="N843" s="141" t="str">
        <f>IFERROR(__xludf.DUMMYFUNCTION("""COMPUTED_VALUE"""),"Really interesting study! It would be helpful to note for the listener to talk about who was doing the reporting for all variables (control, Big 5j but that was clarifies well in the questions. Did a great job answering the questions!")</f>
        <v>Really interesting study! It would be helpful to note for the listener to talk about who was doing the reporting for all variables (control, Big 5j but that was clarifies well in the questions. Did a great job answering the questions!</v>
      </c>
      <c r="O843" s="142" t="str">
        <f t="shared" si="1"/>
        <v/>
      </c>
      <c r="P843" s="143" t="str">
        <f>IF(ISNA(VLOOKUP(CONCAT(M843,C843), 'Judge Count DO NOT EDIT'!H:H, 1, FALSE)), "ERROR","")</f>
        <v/>
      </c>
      <c r="Q843" s="141"/>
      <c r="R843" s="143"/>
      <c r="S843" s="139" t="str">
        <f t="shared" si="2"/>
        <v>1085372</v>
      </c>
      <c r="T843" s="141"/>
    </row>
    <row r="844">
      <c r="A844" s="137">
        <f>IFERROR(__xludf.DUMMYFUNCTION("""COMPUTED_VALUE"""),45352.42277927083)</f>
        <v>45352.42278</v>
      </c>
      <c r="B844" s="138" t="str">
        <f>IFERROR(__xludf.DUMMYFUNCTION("""COMPUTED_VALUE"""),"Kris Rodenberg ")</f>
        <v>Kris Rodenberg </v>
      </c>
      <c r="C844" s="138">
        <f>IFERROR(__xludf.DUMMYFUNCTION("""COMPUTED_VALUE"""),1110.0)</f>
        <v>1110</v>
      </c>
      <c r="D844" s="139">
        <f>IFERROR(__xludf.DUMMYFUNCTION("""COMPUTED_VALUE"""),372.0)</f>
        <v>372</v>
      </c>
      <c r="E844" s="138">
        <f>IFERROR(__xludf.DUMMYFUNCTION("""COMPUTED_VALUE"""),5.0)</f>
        <v>5</v>
      </c>
      <c r="F844" s="138">
        <f>IFERROR(__xludf.DUMMYFUNCTION("""COMPUTED_VALUE"""),5.0)</f>
        <v>5</v>
      </c>
      <c r="G844" s="138">
        <f>IFERROR(__xludf.DUMMYFUNCTION("""COMPUTED_VALUE"""),5.0)</f>
        <v>5</v>
      </c>
      <c r="H844" s="138">
        <f>IFERROR(__xludf.DUMMYFUNCTION("""COMPUTED_VALUE"""),4.0)</f>
        <v>4</v>
      </c>
      <c r="I844" s="138">
        <f>IFERROR(__xludf.DUMMYFUNCTION("""COMPUTED_VALUE"""),5.0)</f>
        <v>5</v>
      </c>
      <c r="J844" s="138">
        <f>IFERROR(__xludf.DUMMYFUNCTION("""COMPUTED_VALUE"""),5.0)</f>
        <v>5</v>
      </c>
      <c r="K844" s="138">
        <f>IFERROR(__xludf.DUMMYFUNCTION("""COMPUTED_VALUE"""),5.0)</f>
        <v>5</v>
      </c>
      <c r="L844" s="138">
        <v>34.0</v>
      </c>
      <c r="M844" s="140" t="str">
        <f>VLOOKUP(text(D844, "#"),'Master Table'!$A:$F, 6, FALSE)</f>
        <v>F-8</v>
      </c>
      <c r="N844" s="141" t="str">
        <f>IFERROR(__xludf.DUMMYFUNCTION("""COMPUTED_VALUE"""),"Can't wait to read final paper!")</f>
        <v>Can't wait to read final paper!</v>
      </c>
      <c r="O844" s="142" t="str">
        <f t="shared" si="1"/>
        <v/>
      </c>
      <c r="P844" s="143" t="str">
        <f>IF(ISNA(VLOOKUP(CONCAT(M844,C844), 'Judge Count DO NOT EDIT'!H:H, 1, FALSE)), "ERROR","")</f>
        <v/>
      </c>
      <c r="Q844" s="141"/>
      <c r="R844" s="143"/>
      <c r="S844" s="139" t="str">
        <f t="shared" si="2"/>
        <v>1110372</v>
      </c>
      <c r="T844" s="141"/>
    </row>
    <row r="845">
      <c r="A845" s="137">
        <f>IFERROR(__xludf.DUMMYFUNCTION("""COMPUTED_VALUE"""),45352.441888587964)</f>
        <v>45352.44189</v>
      </c>
      <c r="B845" s="138" t="str">
        <f>IFERROR(__xludf.DUMMYFUNCTION("""COMPUTED_VALUE"""),"Kate Broderick")</f>
        <v>Kate Broderick</v>
      </c>
      <c r="C845" s="138">
        <f>IFERROR(__xludf.DUMMYFUNCTION("""COMPUTED_VALUE"""),1072.0)</f>
        <v>1072</v>
      </c>
      <c r="D845" s="139">
        <f>IFERROR(__xludf.DUMMYFUNCTION("""COMPUTED_VALUE"""),373.0)</f>
        <v>373</v>
      </c>
      <c r="E845" s="138">
        <f>IFERROR(__xludf.DUMMYFUNCTION("""COMPUTED_VALUE"""),1.0)</f>
        <v>1</v>
      </c>
      <c r="F845" s="138">
        <f>IFERROR(__xludf.DUMMYFUNCTION("""COMPUTED_VALUE"""),1.0)</f>
        <v>1</v>
      </c>
      <c r="G845" s="138">
        <f>IFERROR(__xludf.DUMMYFUNCTION("""COMPUTED_VALUE"""),1.0)</f>
        <v>1</v>
      </c>
      <c r="H845" s="138">
        <f>IFERROR(__xludf.DUMMYFUNCTION("""COMPUTED_VALUE"""),1.0)</f>
        <v>1</v>
      </c>
      <c r="I845" s="138">
        <f>IFERROR(__xludf.DUMMYFUNCTION("""COMPUTED_VALUE"""),1.0)</f>
        <v>1</v>
      </c>
      <c r="J845" s="138">
        <f>IFERROR(__xludf.DUMMYFUNCTION("""COMPUTED_VALUE"""),1.0)</f>
        <v>1</v>
      </c>
      <c r="K845" s="138">
        <f>IFERROR(__xludf.DUMMYFUNCTION("""COMPUTED_VALUE"""),1.0)</f>
        <v>1</v>
      </c>
      <c r="L845" s="138">
        <v>7.0</v>
      </c>
      <c r="M845" s="140" t="str">
        <f>VLOOKUP(text(D845, "#"),'Master Table'!$A:$F, 6, FALSE)</f>
        <v>F-9</v>
      </c>
      <c r="N845" s="141" t="str">
        <f>IFERROR(__xludf.DUMMYFUNCTION("""COMPUTED_VALUE"""),"No poster")</f>
        <v>No poster</v>
      </c>
      <c r="O845" s="142" t="str">
        <f t="shared" si="1"/>
        <v/>
      </c>
      <c r="P845" s="143" t="str">
        <f>IF(ISNA(VLOOKUP(CONCAT(M845,C845), 'Judge Count DO NOT EDIT'!H:H, 1, FALSE)), "ERROR","")</f>
        <v/>
      </c>
      <c r="Q845" s="141"/>
      <c r="R845" s="143"/>
      <c r="S845" s="139" t="str">
        <f t="shared" si="2"/>
        <v>1072373</v>
      </c>
      <c r="T845" s="141"/>
    </row>
    <row r="846">
      <c r="A846" s="137">
        <f>IFERROR(__xludf.DUMMYFUNCTION("""COMPUTED_VALUE"""),45352.39966896991)</f>
        <v>45352.39967</v>
      </c>
      <c r="B846" s="138" t="str">
        <f>IFERROR(__xludf.DUMMYFUNCTION("""COMPUTED_VALUE"""),"Daniel Caro")</f>
        <v>Daniel Caro</v>
      </c>
      <c r="C846" s="138">
        <f>IFERROR(__xludf.DUMMYFUNCTION("""COMPUTED_VALUE"""),1231.0)</f>
        <v>1231</v>
      </c>
      <c r="D846" s="139">
        <f>IFERROR(__xludf.DUMMYFUNCTION("""COMPUTED_VALUE"""),374.0)</f>
        <v>374</v>
      </c>
      <c r="E846" s="138">
        <f>IFERROR(__xludf.DUMMYFUNCTION("""COMPUTED_VALUE"""),5.0)</f>
        <v>5</v>
      </c>
      <c r="F846" s="138">
        <f>IFERROR(__xludf.DUMMYFUNCTION("""COMPUTED_VALUE"""),4.0)</f>
        <v>4</v>
      </c>
      <c r="G846" s="138">
        <f>IFERROR(__xludf.DUMMYFUNCTION("""COMPUTED_VALUE"""),3.0)</f>
        <v>3</v>
      </c>
      <c r="H846" s="138">
        <f>IFERROR(__xludf.DUMMYFUNCTION("""COMPUTED_VALUE"""),3.0)</f>
        <v>3</v>
      </c>
      <c r="I846" s="138">
        <f>IFERROR(__xludf.DUMMYFUNCTION("""COMPUTED_VALUE"""),5.0)</f>
        <v>5</v>
      </c>
      <c r="J846" s="138">
        <f>IFERROR(__xludf.DUMMYFUNCTION("""COMPUTED_VALUE"""),5.0)</f>
        <v>5</v>
      </c>
      <c r="K846" s="138">
        <f>IFERROR(__xludf.DUMMYFUNCTION("""COMPUTED_VALUE"""),4.0)</f>
        <v>4</v>
      </c>
      <c r="L846" s="138">
        <v>29.0</v>
      </c>
      <c r="M846" s="140" t="str">
        <f>VLOOKUP(text(D846, "#"),'Master Table'!$A:$F, 6, FALSE)</f>
        <v>F-9</v>
      </c>
      <c r="N846" s="141" t="str">
        <f>IFERROR(__xludf.DUMMYFUNCTION("""COMPUTED_VALUE"""),"The organization of the poster and the methodologies are impressive. This is a very novel way to study evolutionary biology. The student did a great job explaining a topic that is not mainstream. Eager to hear more about the analysis of polyploidy in plan"&amp;"ts.")</f>
        <v>The organization of the poster and the methodologies are impressive. This is a very novel way to study evolutionary biology. The student did a great job explaining a topic that is not mainstream. Eager to hear more about the analysis of polyploidy in plants.</v>
      </c>
      <c r="O846" s="142" t="str">
        <f t="shared" si="1"/>
        <v/>
      </c>
      <c r="P846" s="143" t="str">
        <f>IF(ISNA(VLOOKUP(CONCAT(M846,C846), 'Judge Count DO NOT EDIT'!H:H, 1, FALSE)), "ERROR","")</f>
        <v/>
      </c>
      <c r="Q846" s="141"/>
      <c r="R846" s="143"/>
      <c r="S846" s="139" t="str">
        <f t="shared" si="2"/>
        <v>1231374</v>
      </c>
      <c r="T846" s="141"/>
    </row>
    <row r="847">
      <c r="A847" s="137">
        <f>IFERROR(__xludf.DUMMYFUNCTION("""COMPUTED_VALUE"""),45352.40946556713)</f>
        <v>45352.40947</v>
      </c>
      <c r="B847" s="138" t="str">
        <f>IFERROR(__xludf.DUMMYFUNCTION("""COMPUTED_VALUE"""),"Jenn Cossaboon")</f>
        <v>Jenn Cossaboon</v>
      </c>
      <c r="C847" s="138">
        <f>IFERROR(__xludf.DUMMYFUNCTION("""COMPUTED_VALUE"""),1163.0)</f>
        <v>1163</v>
      </c>
      <c r="D847" s="139">
        <f>IFERROR(__xludf.DUMMYFUNCTION("""COMPUTED_VALUE"""),374.0)</f>
        <v>374</v>
      </c>
      <c r="E847" s="138">
        <f>IFERROR(__xludf.DUMMYFUNCTION("""COMPUTED_VALUE"""),5.0)</f>
        <v>5</v>
      </c>
      <c r="F847" s="138">
        <f>IFERROR(__xludf.DUMMYFUNCTION("""COMPUTED_VALUE"""),4.0)</f>
        <v>4</v>
      </c>
      <c r="G847" s="138">
        <f>IFERROR(__xludf.DUMMYFUNCTION("""COMPUTED_VALUE"""),4.0)</f>
        <v>4</v>
      </c>
      <c r="H847" s="138">
        <f>IFERROR(__xludf.DUMMYFUNCTION("""COMPUTED_VALUE"""),5.0)</f>
        <v>5</v>
      </c>
      <c r="I847" s="138">
        <f>IFERROR(__xludf.DUMMYFUNCTION("""COMPUTED_VALUE"""),5.0)</f>
        <v>5</v>
      </c>
      <c r="J847" s="138">
        <f>IFERROR(__xludf.DUMMYFUNCTION("""COMPUTED_VALUE"""),5.0)</f>
        <v>5</v>
      </c>
      <c r="K847" s="138">
        <f>IFERROR(__xludf.DUMMYFUNCTION("""COMPUTED_VALUE"""),5.0)</f>
        <v>5</v>
      </c>
      <c r="L847" s="138">
        <v>33.0</v>
      </c>
      <c r="M847" s="140" t="str">
        <f>VLOOKUP(text(D847, "#"),'Master Table'!$A:$F, 6, FALSE)</f>
        <v>F-9</v>
      </c>
      <c r="N847" s="141" t="str">
        <f>IFERROR(__xludf.DUMMYFUNCTION("""COMPUTED_VALUE"""),"Excellent concise and clear explanations, her passion shows!! ")</f>
        <v>Excellent concise and clear explanations, her passion shows!! </v>
      </c>
      <c r="O847" s="142" t="str">
        <f t="shared" si="1"/>
        <v/>
      </c>
      <c r="P847" s="143" t="str">
        <f>IF(ISNA(VLOOKUP(CONCAT(M847,C847), 'Judge Count DO NOT EDIT'!H:H, 1, FALSE)), "ERROR","")</f>
        <v/>
      </c>
      <c r="Q847" s="141"/>
      <c r="R847" s="143"/>
      <c r="S847" s="139" t="str">
        <f t="shared" si="2"/>
        <v>1163374</v>
      </c>
      <c r="T847" s="141"/>
    </row>
    <row r="848">
      <c r="A848" s="137">
        <f>IFERROR(__xludf.DUMMYFUNCTION("""COMPUTED_VALUE"""),45352.442668483796)</f>
        <v>45352.44267</v>
      </c>
      <c r="B848" s="138" t="str">
        <f>IFERROR(__xludf.DUMMYFUNCTION("""COMPUTED_VALUE"""),"Kate Broderick")</f>
        <v>Kate Broderick</v>
      </c>
      <c r="C848" s="138">
        <f>IFERROR(__xludf.DUMMYFUNCTION("""COMPUTED_VALUE"""),1072.0)</f>
        <v>1072</v>
      </c>
      <c r="D848" s="139">
        <f>IFERROR(__xludf.DUMMYFUNCTION("""COMPUTED_VALUE"""),374.0)</f>
        <v>374</v>
      </c>
      <c r="E848" s="138">
        <f>IFERROR(__xludf.DUMMYFUNCTION("""COMPUTED_VALUE"""),5.0)</f>
        <v>5</v>
      </c>
      <c r="F848" s="138">
        <f>IFERROR(__xludf.DUMMYFUNCTION("""COMPUTED_VALUE"""),5.0)</f>
        <v>5</v>
      </c>
      <c r="G848" s="138">
        <f>IFERROR(__xludf.DUMMYFUNCTION("""COMPUTED_VALUE"""),4.0)</f>
        <v>4</v>
      </c>
      <c r="H848" s="138">
        <f>IFERROR(__xludf.DUMMYFUNCTION("""COMPUTED_VALUE"""),4.0)</f>
        <v>4</v>
      </c>
      <c r="I848" s="138">
        <f>IFERROR(__xludf.DUMMYFUNCTION("""COMPUTED_VALUE"""),5.0)</f>
        <v>5</v>
      </c>
      <c r="J848" s="138">
        <f>IFERROR(__xludf.DUMMYFUNCTION("""COMPUTED_VALUE"""),5.0)</f>
        <v>5</v>
      </c>
      <c r="K848" s="138">
        <f>IFERROR(__xludf.DUMMYFUNCTION("""COMPUTED_VALUE"""),5.0)</f>
        <v>5</v>
      </c>
      <c r="L848" s="138">
        <v>33.0</v>
      </c>
      <c r="M848" s="140" t="str">
        <f>VLOOKUP(text(D848, "#"),'Master Table'!$A:$F, 6, FALSE)</f>
        <v>F-9</v>
      </c>
      <c r="N848" s="141" t="str">
        <f>IFERROR(__xludf.DUMMYFUNCTION("""COMPUTED_VALUE"""),"Wonderful enthusiasm for an exciting topic")</f>
        <v>Wonderful enthusiasm for an exciting topic</v>
      </c>
      <c r="O848" s="142" t="str">
        <f t="shared" si="1"/>
        <v/>
      </c>
      <c r="P848" s="143" t="str">
        <f>IF(ISNA(VLOOKUP(CONCAT(M848,C848), 'Judge Count DO NOT EDIT'!H:H, 1, FALSE)), "ERROR","")</f>
        <v/>
      </c>
      <c r="Q848" s="141"/>
      <c r="R848" s="143"/>
      <c r="S848" s="139" t="str">
        <f t="shared" si="2"/>
        <v>1072374</v>
      </c>
      <c r="T848" s="141"/>
    </row>
    <row r="849">
      <c r="A849" s="137">
        <f>IFERROR(__xludf.DUMMYFUNCTION("""COMPUTED_VALUE"""),45352.44384479166)</f>
        <v>45352.44384</v>
      </c>
      <c r="B849" s="138" t="str">
        <f>IFERROR(__xludf.DUMMYFUNCTION("""COMPUTED_VALUE"""),"Luis Cruz")</f>
        <v>Luis Cruz</v>
      </c>
      <c r="C849" s="138">
        <f>IFERROR(__xludf.DUMMYFUNCTION("""COMPUTED_VALUE"""),1189.0)</f>
        <v>1189</v>
      </c>
      <c r="D849" s="139">
        <f>IFERROR(__xludf.DUMMYFUNCTION("""COMPUTED_VALUE"""),374.0)</f>
        <v>374</v>
      </c>
      <c r="E849" s="138">
        <f>IFERROR(__xludf.DUMMYFUNCTION("""COMPUTED_VALUE"""),4.0)</f>
        <v>4</v>
      </c>
      <c r="F849" s="138">
        <f>IFERROR(__xludf.DUMMYFUNCTION("""COMPUTED_VALUE"""),5.0)</f>
        <v>5</v>
      </c>
      <c r="G849" s="138">
        <f>IFERROR(__xludf.DUMMYFUNCTION("""COMPUTED_VALUE"""),4.0)</f>
        <v>4</v>
      </c>
      <c r="H849" s="138">
        <f>IFERROR(__xludf.DUMMYFUNCTION("""COMPUTED_VALUE"""),4.0)</f>
        <v>4</v>
      </c>
      <c r="I849" s="138">
        <f>IFERROR(__xludf.DUMMYFUNCTION("""COMPUTED_VALUE"""),5.0)</f>
        <v>5</v>
      </c>
      <c r="J849" s="138">
        <f>IFERROR(__xludf.DUMMYFUNCTION("""COMPUTED_VALUE"""),5.0)</f>
        <v>5</v>
      </c>
      <c r="K849" s="138">
        <f>IFERROR(__xludf.DUMMYFUNCTION("""COMPUTED_VALUE"""),5.0)</f>
        <v>5</v>
      </c>
      <c r="L849" s="138">
        <v>32.0</v>
      </c>
      <c r="M849" s="140" t="str">
        <f>VLOOKUP(text(D849, "#"),'Master Table'!$A:$F, 6, FALSE)</f>
        <v>F-9</v>
      </c>
      <c r="N849" s="141" t="str">
        <f>IFERROR(__xludf.DUMMYFUNCTION("""COMPUTED_VALUE"""),"This presenters did a great job explaining their work to a non plant biologist. Very clear and knowledgeable ")</f>
        <v>This presenters did a great job explaining their work to a non plant biologist. Very clear and knowledgeable </v>
      </c>
      <c r="O849" s="142" t="str">
        <f t="shared" si="1"/>
        <v/>
      </c>
      <c r="P849" s="143" t="str">
        <f>IF(ISNA(VLOOKUP(CONCAT(M849,C849), 'Judge Count DO NOT EDIT'!H:H, 1, FALSE)), "ERROR","")</f>
        <v/>
      </c>
      <c r="Q849" s="141"/>
      <c r="R849" s="143"/>
      <c r="S849" s="139" t="str">
        <f t="shared" si="2"/>
        <v>1189374</v>
      </c>
      <c r="T849" s="141"/>
    </row>
    <row r="850">
      <c r="A850" s="137">
        <f>IFERROR(__xludf.DUMMYFUNCTION("""COMPUTED_VALUE"""),45352.394216307875)</f>
        <v>45352.39422</v>
      </c>
      <c r="B850" s="138" t="str">
        <f>IFERROR(__xludf.DUMMYFUNCTION("""COMPUTED_VALUE"""),"Luis Cruz")</f>
        <v>Luis Cruz</v>
      </c>
      <c r="C850" s="138">
        <f>IFERROR(__xludf.DUMMYFUNCTION("""COMPUTED_VALUE"""),1189.0)</f>
        <v>1189</v>
      </c>
      <c r="D850" s="139">
        <f>IFERROR(__xludf.DUMMYFUNCTION("""COMPUTED_VALUE"""),375.0)</f>
        <v>375</v>
      </c>
      <c r="E850" s="138">
        <f>IFERROR(__xludf.DUMMYFUNCTION("""COMPUTED_VALUE"""),4.0)</f>
        <v>4</v>
      </c>
      <c r="F850" s="138">
        <f>IFERROR(__xludf.DUMMYFUNCTION("""COMPUTED_VALUE"""),3.0)</f>
        <v>3</v>
      </c>
      <c r="G850" s="138">
        <f>IFERROR(__xludf.DUMMYFUNCTION("""COMPUTED_VALUE"""),4.0)</f>
        <v>4</v>
      </c>
      <c r="H850" s="138">
        <f>IFERROR(__xludf.DUMMYFUNCTION("""COMPUTED_VALUE"""),3.0)</f>
        <v>3</v>
      </c>
      <c r="I850" s="138">
        <f>IFERROR(__xludf.DUMMYFUNCTION("""COMPUTED_VALUE"""),3.0)</f>
        <v>3</v>
      </c>
      <c r="J850" s="138">
        <f>IFERROR(__xludf.DUMMYFUNCTION("""COMPUTED_VALUE"""),3.0)</f>
        <v>3</v>
      </c>
      <c r="K850" s="138">
        <f>IFERROR(__xludf.DUMMYFUNCTION("""COMPUTED_VALUE"""),4.0)</f>
        <v>4</v>
      </c>
      <c r="L850" s="138">
        <v>24.0</v>
      </c>
      <c r="M850" s="140" t="str">
        <f>VLOOKUP(text(D850, "#"),'Master Table'!$A:$F, 6, FALSE)</f>
        <v>F-9</v>
      </c>
      <c r="N850" s="141" t="str">
        <f>IFERROR(__xludf.DUMMYFUNCTION("""COMPUTED_VALUE"""),"Organization of the work was great! When asked for clarification they were able to reiterate their point across. When asked for future directions and troubleshooting the presenters were knowledgeable. ")</f>
        <v>Organization of the work was great! When asked for clarification they were able to reiterate their point across. When asked for future directions and troubleshooting the presenters were knowledgeable. </v>
      </c>
      <c r="O850" s="142" t="str">
        <f t="shared" si="1"/>
        <v/>
      </c>
      <c r="P850" s="143" t="str">
        <f>IF(ISNA(VLOOKUP(CONCAT(M850,C850), 'Judge Count DO NOT EDIT'!H:H, 1, FALSE)), "ERROR","")</f>
        <v/>
      </c>
      <c r="Q850" s="141"/>
      <c r="R850" s="143"/>
      <c r="S850" s="139" t="str">
        <f t="shared" si="2"/>
        <v>1189375</v>
      </c>
      <c r="T850" s="141"/>
    </row>
    <row r="851">
      <c r="A851" s="137">
        <f>IFERROR(__xludf.DUMMYFUNCTION("""COMPUTED_VALUE"""),45352.41130791667)</f>
        <v>45352.41131</v>
      </c>
      <c r="B851" s="138" t="str">
        <f>IFERROR(__xludf.DUMMYFUNCTION("""COMPUTED_VALUE"""),"Jenn Cossaboon")</f>
        <v>Jenn Cossaboon</v>
      </c>
      <c r="C851" s="138">
        <f>IFERROR(__xludf.DUMMYFUNCTION("""COMPUTED_VALUE"""),1163.0)</f>
        <v>1163</v>
      </c>
      <c r="D851" s="139">
        <f>IFERROR(__xludf.DUMMYFUNCTION("""COMPUTED_VALUE"""),375.0)</f>
        <v>375</v>
      </c>
      <c r="E851" s="138">
        <f>IFERROR(__xludf.DUMMYFUNCTION("""COMPUTED_VALUE"""),4.0)</f>
        <v>4</v>
      </c>
      <c r="F851" s="138">
        <f>IFERROR(__xludf.DUMMYFUNCTION("""COMPUTED_VALUE"""),4.0)</f>
        <v>4</v>
      </c>
      <c r="G851" s="138">
        <f>IFERROR(__xludf.DUMMYFUNCTION("""COMPUTED_VALUE"""),4.0)</f>
        <v>4</v>
      </c>
      <c r="H851" s="138">
        <f>IFERROR(__xludf.DUMMYFUNCTION("""COMPUTED_VALUE"""),4.0)</f>
        <v>4</v>
      </c>
      <c r="I851" s="138">
        <f>IFERROR(__xludf.DUMMYFUNCTION("""COMPUTED_VALUE"""),4.0)</f>
        <v>4</v>
      </c>
      <c r="J851" s="138">
        <f>IFERROR(__xludf.DUMMYFUNCTION("""COMPUTED_VALUE"""),4.0)</f>
        <v>4</v>
      </c>
      <c r="K851" s="138">
        <f>IFERROR(__xludf.DUMMYFUNCTION("""COMPUTED_VALUE"""),4.0)</f>
        <v>4</v>
      </c>
      <c r="L851" s="138">
        <v>28.0</v>
      </c>
      <c r="M851" s="140" t="str">
        <f>VLOOKUP(text(D851, "#"),'Master Table'!$A:$F, 6, FALSE)</f>
        <v>F-9</v>
      </c>
      <c r="N851" s="141" t="str">
        <f>IFERROR(__xludf.DUMMYFUNCTION("""COMPUTED_VALUE"""),"Very interesting work, great job!! My only suggestion would be identifying some big picture impacts of the work")</f>
        <v>Very interesting work, great job!! My only suggestion would be identifying some big picture impacts of the work</v>
      </c>
      <c r="O851" s="142" t="str">
        <f t="shared" si="1"/>
        <v/>
      </c>
      <c r="P851" s="143" t="str">
        <f>IF(ISNA(VLOOKUP(CONCAT(M851,C851), 'Judge Count DO NOT EDIT'!H:H, 1, FALSE)), "ERROR","")</f>
        <v/>
      </c>
      <c r="Q851" s="141"/>
      <c r="R851" s="143"/>
      <c r="S851" s="139" t="str">
        <f t="shared" si="2"/>
        <v>1163375</v>
      </c>
      <c r="T851" s="141"/>
    </row>
    <row r="852">
      <c r="A852" s="137">
        <f>IFERROR(__xludf.DUMMYFUNCTION("""COMPUTED_VALUE"""),45352.443709432875)</f>
        <v>45352.44371</v>
      </c>
      <c r="B852" s="138" t="str">
        <f>IFERROR(__xludf.DUMMYFUNCTION("""COMPUTED_VALUE"""),"Kate Broderick")</f>
        <v>Kate Broderick</v>
      </c>
      <c r="C852" s="138">
        <f>IFERROR(__xludf.DUMMYFUNCTION("""COMPUTED_VALUE"""),1072.0)</f>
        <v>1072</v>
      </c>
      <c r="D852" s="139">
        <f>IFERROR(__xludf.DUMMYFUNCTION("""COMPUTED_VALUE"""),375.0)</f>
        <v>375</v>
      </c>
      <c r="E852" s="138">
        <f>IFERROR(__xludf.DUMMYFUNCTION("""COMPUTED_VALUE"""),3.0)</f>
        <v>3</v>
      </c>
      <c r="F852" s="138">
        <f>IFERROR(__xludf.DUMMYFUNCTION("""COMPUTED_VALUE"""),4.0)</f>
        <v>4</v>
      </c>
      <c r="G852" s="138">
        <f>IFERROR(__xludf.DUMMYFUNCTION("""COMPUTED_VALUE"""),3.0)</f>
        <v>3</v>
      </c>
      <c r="H852" s="138">
        <f>IFERROR(__xludf.DUMMYFUNCTION("""COMPUTED_VALUE"""),3.0)</f>
        <v>3</v>
      </c>
      <c r="I852" s="138">
        <f>IFERROR(__xludf.DUMMYFUNCTION("""COMPUTED_VALUE"""),3.0)</f>
        <v>3</v>
      </c>
      <c r="J852" s="138">
        <f>IFERROR(__xludf.DUMMYFUNCTION("""COMPUTED_VALUE"""),3.0)</f>
        <v>3</v>
      </c>
      <c r="K852" s="138">
        <f>IFERROR(__xludf.DUMMYFUNCTION("""COMPUTED_VALUE"""),4.0)</f>
        <v>4</v>
      </c>
      <c r="L852" s="138">
        <v>23.0</v>
      </c>
      <c r="M852" s="140" t="str">
        <f>VLOOKUP(text(D852, "#"),'Master Table'!$A:$F, 6, FALSE)</f>
        <v>F-9</v>
      </c>
      <c r="N852" s="141" t="str">
        <f>IFERROR(__xludf.DUMMYFUNCTION("""COMPUTED_VALUE"""),"Interesting topic but could have used some more background understanding to explain the relevance of the research")</f>
        <v>Interesting topic but could have used some more background understanding to explain the relevance of the research</v>
      </c>
      <c r="O852" s="142" t="str">
        <f t="shared" si="1"/>
        <v/>
      </c>
      <c r="P852" s="143" t="str">
        <f>IF(ISNA(VLOOKUP(CONCAT(M852,C852), 'Judge Count DO NOT EDIT'!H:H, 1, FALSE)), "ERROR","")</f>
        <v/>
      </c>
      <c r="Q852" s="141"/>
      <c r="R852" s="143"/>
      <c r="S852" s="139" t="str">
        <f t="shared" si="2"/>
        <v>1072375</v>
      </c>
      <c r="T852" s="141"/>
    </row>
    <row r="853">
      <c r="A853" s="137">
        <f>IFERROR(__xludf.DUMMYFUNCTION("""COMPUTED_VALUE"""),45352.453436701384)</f>
        <v>45352.45344</v>
      </c>
      <c r="B853" s="138" t="str">
        <f>IFERROR(__xludf.DUMMYFUNCTION("""COMPUTED_VALUE"""),"Daniel Caro")</f>
        <v>Daniel Caro</v>
      </c>
      <c r="C853" s="138">
        <f>IFERROR(__xludf.DUMMYFUNCTION("""COMPUTED_VALUE"""),1231.0)</f>
        <v>1231</v>
      </c>
      <c r="D853" s="139">
        <f>IFERROR(__xludf.DUMMYFUNCTION("""COMPUTED_VALUE"""),375.0)</f>
        <v>375</v>
      </c>
      <c r="E853" s="138">
        <f>IFERROR(__xludf.DUMMYFUNCTION("""COMPUTED_VALUE"""),3.0)</f>
        <v>3</v>
      </c>
      <c r="F853" s="138">
        <f>IFERROR(__xludf.DUMMYFUNCTION("""COMPUTED_VALUE"""),4.0)</f>
        <v>4</v>
      </c>
      <c r="G853" s="138">
        <f>IFERROR(__xludf.DUMMYFUNCTION("""COMPUTED_VALUE"""),4.0)</f>
        <v>4</v>
      </c>
      <c r="H853" s="138">
        <f>IFERROR(__xludf.DUMMYFUNCTION("""COMPUTED_VALUE"""),3.0)</f>
        <v>3</v>
      </c>
      <c r="I853" s="138">
        <f>IFERROR(__xludf.DUMMYFUNCTION("""COMPUTED_VALUE"""),3.0)</f>
        <v>3</v>
      </c>
      <c r="J853" s="138">
        <f>IFERROR(__xludf.DUMMYFUNCTION("""COMPUTED_VALUE"""),4.0)</f>
        <v>4</v>
      </c>
      <c r="K853" s="138">
        <f>IFERROR(__xludf.DUMMYFUNCTION("""COMPUTED_VALUE"""),4.0)</f>
        <v>4</v>
      </c>
      <c r="L853" s="138">
        <v>25.0</v>
      </c>
      <c r="M853" s="140" t="str">
        <f>VLOOKUP(text(D853, "#"),'Master Table'!$A:$F, 6, FALSE)</f>
        <v>F-9</v>
      </c>
      <c r="N853" s="141" t="str">
        <f>IFERROR(__xludf.DUMMYFUNCTION("""COMPUTED_VALUE"""),"Very interesting research topic. The students are gaining valuable research experience to study cancer triggers.  Very good job at explaining the significance and engaging the audience.")</f>
        <v>Very interesting research topic. The students are gaining valuable research experience to study cancer triggers.  Very good job at explaining the significance and engaging the audience.</v>
      </c>
      <c r="O853" s="142" t="str">
        <f t="shared" si="1"/>
        <v/>
      </c>
      <c r="P853" s="143" t="str">
        <f>IF(ISNA(VLOOKUP(CONCAT(M853,C853), 'Judge Count DO NOT EDIT'!H:H, 1, FALSE)), "ERROR","")</f>
        <v/>
      </c>
      <c r="Q853" s="141"/>
      <c r="R853" s="143"/>
      <c r="S853" s="139" t="str">
        <f t="shared" si="2"/>
        <v>1231375</v>
      </c>
      <c r="T853" s="141"/>
    </row>
    <row r="854">
      <c r="A854" s="137">
        <f>IFERROR(__xludf.DUMMYFUNCTION("""COMPUTED_VALUE"""),45352.44444644676)</f>
        <v>45352.44445</v>
      </c>
      <c r="B854" s="138" t="str">
        <f>IFERROR(__xludf.DUMMYFUNCTION("""COMPUTED_VALUE"""),"Kate Broderick")</f>
        <v>Kate Broderick</v>
      </c>
      <c r="C854" s="138">
        <f>IFERROR(__xludf.DUMMYFUNCTION("""COMPUTED_VALUE"""),1072.0)</f>
        <v>1072</v>
      </c>
      <c r="D854" s="139">
        <f>IFERROR(__xludf.DUMMYFUNCTION("""COMPUTED_VALUE"""),376.0)</f>
        <v>376</v>
      </c>
      <c r="E854" s="138">
        <f>IFERROR(__xludf.DUMMYFUNCTION("""COMPUTED_VALUE"""),5.0)</f>
        <v>5</v>
      </c>
      <c r="F854" s="138">
        <f>IFERROR(__xludf.DUMMYFUNCTION("""COMPUTED_VALUE"""),5.0)</f>
        <v>5</v>
      </c>
      <c r="G854" s="138">
        <f>IFERROR(__xludf.DUMMYFUNCTION("""COMPUTED_VALUE"""),5.0)</f>
        <v>5</v>
      </c>
      <c r="H854" s="138">
        <f>IFERROR(__xludf.DUMMYFUNCTION("""COMPUTED_VALUE"""),5.0)</f>
        <v>5</v>
      </c>
      <c r="I854" s="138">
        <f>IFERROR(__xludf.DUMMYFUNCTION("""COMPUTED_VALUE"""),5.0)</f>
        <v>5</v>
      </c>
      <c r="J854" s="138">
        <f>IFERROR(__xludf.DUMMYFUNCTION("""COMPUTED_VALUE"""),5.0)</f>
        <v>5</v>
      </c>
      <c r="K854" s="138">
        <f>IFERROR(__xludf.DUMMYFUNCTION("""COMPUTED_VALUE"""),5.0)</f>
        <v>5</v>
      </c>
      <c r="L854" s="138">
        <v>35.0</v>
      </c>
      <c r="M854" s="140" t="str">
        <f>VLOOKUP(text(D854, "#"),'Master Table'!$A:$F, 6, FALSE)</f>
        <v>F-9</v>
      </c>
      <c r="N854" s="141" t="str">
        <f>IFERROR(__xludf.DUMMYFUNCTION("""COMPUTED_VALUE"""),"Fabulous presentation and understanding of the research. Very impressed. ")</f>
        <v>Fabulous presentation and understanding of the research. Very impressed. </v>
      </c>
      <c r="O854" s="142" t="str">
        <f t="shared" si="1"/>
        <v/>
      </c>
      <c r="P854" s="143" t="str">
        <f>IF(ISNA(VLOOKUP(CONCAT(M854,C854), 'Judge Count DO NOT EDIT'!H:H, 1, FALSE)), "ERROR","")</f>
        <v/>
      </c>
      <c r="Q854" s="141"/>
      <c r="R854" s="143"/>
      <c r="S854" s="139" t="str">
        <f t="shared" si="2"/>
        <v>1072376</v>
      </c>
      <c r="T854" s="141"/>
    </row>
    <row r="855">
      <c r="A855" s="137">
        <f>IFERROR(__xludf.DUMMYFUNCTION("""COMPUTED_VALUE"""),45352.45304439815)</f>
        <v>45352.45304</v>
      </c>
      <c r="B855" s="138" t="str">
        <f>IFERROR(__xludf.DUMMYFUNCTION("""COMPUTED_VALUE"""),"Jenn Cossaboon")</f>
        <v>Jenn Cossaboon</v>
      </c>
      <c r="C855" s="138">
        <f>IFERROR(__xludf.DUMMYFUNCTION("""COMPUTED_VALUE"""),1163.0)</f>
        <v>1163</v>
      </c>
      <c r="D855" s="139">
        <f>IFERROR(__xludf.DUMMYFUNCTION("""COMPUTED_VALUE"""),376.0)</f>
        <v>376</v>
      </c>
      <c r="E855" s="138">
        <f>IFERROR(__xludf.DUMMYFUNCTION("""COMPUTED_VALUE"""),5.0)</f>
        <v>5</v>
      </c>
      <c r="F855" s="138">
        <f>IFERROR(__xludf.DUMMYFUNCTION("""COMPUTED_VALUE"""),4.0)</f>
        <v>4</v>
      </c>
      <c r="G855" s="138">
        <f>IFERROR(__xludf.DUMMYFUNCTION("""COMPUTED_VALUE"""),4.0)</f>
        <v>4</v>
      </c>
      <c r="H855" s="138">
        <f>IFERROR(__xludf.DUMMYFUNCTION("""COMPUTED_VALUE"""),4.0)</f>
        <v>4</v>
      </c>
      <c r="I855" s="138">
        <f>IFERROR(__xludf.DUMMYFUNCTION("""COMPUTED_VALUE"""),5.0)</f>
        <v>5</v>
      </c>
      <c r="J855" s="138">
        <f>IFERROR(__xludf.DUMMYFUNCTION("""COMPUTED_VALUE"""),5.0)</f>
        <v>5</v>
      </c>
      <c r="K855" s="138">
        <f>IFERROR(__xludf.DUMMYFUNCTION("""COMPUTED_VALUE"""),5.0)</f>
        <v>5</v>
      </c>
      <c r="L855" s="138">
        <v>32.0</v>
      </c>
      <c r="M855" s="140" t="str">
        <f>VLOOKUP(text(D855, "#"),'Master Table'!$A:$F, 6, FALSE)</f>
        <v>F-9</v>
      </c>
      <c r="N855" s="141" t="str">
        <f>IFERROR(__xludf.DUMMYFUNCTION("""COMPUTED_VALUE"""),"Excellent job!! Very clear explanations and thoughtful answers to questions. Nice figures and flow of information on the poster!")</f>
        <v>Excellent job!! Very clear explanations and thoughtful answers to questions. Nice figures and flow of information on the poster!</v>
      </c>
      <c r="O855" s="142" t="str">
        <f t="shared" si="1"/>
        <v/>
      </c>
      <c r="P855" s="143" t="str">
        <f>IF(ISNA(VLOOKUP(CONCAT(M855,C855), 'Judge Count DO NOT EDIT'!H:H, 1, FALSE)), "ERROR","")</f>
        <v/>
      </c>
      <c r="Q855" s="141"/>
      <c r="R855" s="143"/>
      <c r="S855" s="139" t="str">
        <f t="shared" si="2"/>
        <v>1163376</v>
      </c>
      <c r="T855" s="141"/>
    </row>
    <row r="856">
      <c r="A856" s="137">
        <f>IFERROR(__xludf.DUMMYFUNCTION("""COMPUTED_VALUE"""),45352.45876271991)</f>
        <v>45352.45876</v>
      </c>
      <c r="B856" s="138" t="str">
        <f>IFERROR(__xludf.DUMMYFUNCTION("""COMPUTED_VALUE"""),"Daniel Caro")</f>
        <v>Daniel Caro</v>
      </c>
      <c r="C856" s="138">
        <f>IFERROR(__xludf.DUMMYFUNCTION("""COMPUTED_VALUE"""),1231.0)</f>
        <v>1231</v>
      </c>
      <c r="D856" s="139">
        <f>IFERROR(__xludf.DUMMYFUNCTION("""COMPUTED_VALUE"""),376.0)</f>
        <v>376</v>
      </c>
      <c r="E856" s="138">
        <f>IFERROR(__xludf.DUMMYFUNCTION("""COMPUTED_VALUE"""),4.0)</f>
        <v>4</v>
      </c>
      <c r="F856" s="138">
        <f>IFERROR(__xludf.DUMMYFUNCTION("""COMPUTED_VALUE"""),4.0)</f>
        <v>4</v>
      </c>
      <c r="G856" s="138">
        <f>IFERROR(__xludf.DUMMYFUNCTION("""COMPUTED_VALUE"""),4.0)</f>
        <v>4</v>
      </c>
      <c r="H856" s="138">
        <f>IFERROR(__xludf.DUMMYFUNCTION("""COMPUTED_VALUE"""),3.0)</f>
        <v>3</v>
      </c>
      <c r="I856" s="138">
        <f>IFERROR(__xludf.DUMMYFUNCTION("""COMPUTED_VALUE"""),4.0)</f>
        <v>4</v>
      </c>
      <c r="J856" s="138">
        <f>IFERROR(__xludf.DUMMYFUNCTION("""COMPUTED_VALUE"""),4.0)</f>
        <v>4</v>
      </c>
      <c r="K856" s="138">
        <f>IFERROR(__xludf.DUMMYFUNCTION("""COMPUTED_VALUE"""),4.0)</f>
        <v>4</v>
      </c>
      <c r="L856" s="138">
        <v>27.0</v>
      </c>
      <c r="M856" s="140" t="str">
        <f>VLOOKUP(text(D856, "#"),'Master Table'!$A:$F, 6, FALSE)</f>
        <v>F-9</v>
      </c>
      <c r="N856" s="141" t="str">
        <f>IFERROR(__xludf.DUMMYFUNCTION("""COMPUTED_VALUE"""),"The students delivered a very cohesive presentation. The methodology to study the toxicity of TCE is innovative and addresses the specific problem under conditions in the placenta. The experience of the students in the lab has been very productive for the"&amp;"m and their PI. My main suggestion is to add metabolic data and analytical chemistry (e.g., LC) to fully characterize the toxicity and determine better DCVC concentrations.")</f>
        <v>The students delivered a very cohesive presentation. The methodology to study the toxicity of TCE is innovative and addresses the specific problem under conditions in the placenta. The experience of the students in the lab has been very productive for them and their PI. My main suggestion is to add metabolic data and analytical chemistry (e.g., LC) to fully characterize the toxicity and determine better DCVC concentrations.</v>
      </c>
      <c r="O856" s="142" t="str">
        <f t="shared" si="1"/>
        <v/>
      </c>
      <c r="P856" s="143" t="str">
        <f>IF(ISNA(VLOOKUP(CONCAT(M856,C856), 'Judge Count DO NOT EDIT'!H:H, 1, FALSE)), "ERROR","")</f>
        <v/>
      </c>
      <c r="Q856" s="141"/>
      <c r="R856" s="143"/>
      <c r="S856" s="139" t="str">
        <f t="shared" si="2"/>
        <v>1231376</v>
      </c>
      <c r="T856" s="141"/>
    </row>
    <row r="857">
      <c r="A857" s="137">
        <f>IFERROR(__xludf.DUMMYFUNCTION("""COMPUTED_VALUE"""),45352.401770173616)</f>
        <v>45352.40177</v>
      </c>
      <c r="B857" s="138" t="str">
        <f>IFERROR(__xludf.DUMMYFUNCTION("""COMPUTED_VALUE"""),"Daniel Caro")</f>
        <v>Daniel Caro</v>
      </c>
      <c r="C857" s="138">
        <f>IFERROR(__xludf.DUMMYFUNCTION("""COMPUTED_VALUE"""),1231.0)</f>
        <v>1231</v>
      </c>
      <c r="D857" s="139">
        <f>IFERROR(__xludf.DUMMYFUNCTION("""COMPUTED_VALUE"""),377.0)</f>
        <v>377</v>
      </c>
      <c r="E857" s="138">
        <f>IFERROR(__xludf.DUMMYFUNCTION("""COMPUTED_VALUE"""),4.0)</f>
        <v>4</v>
      </c>
      <c r="F857" s="138">
        <f>IFERROR(__xludf.DUMMYFUNCTION("""COMPUTED_VALUE"""),4.0)</f>
        <v>4</v>
      </c>
      <c r="G857" s="138">
        <f>IFERROR(__xludf.DUMMYFUNCTION("""COMPUTED_VALUE"""),4.0)</f>
        <v>4</v>
      </c>
      <c r="H857" s="138">
        <f>IFERROR(__xludf.DUMMYFUNCTION("""COMPUTED_VALUE"""),4.0)</f>
        <v>4</v>
      </c>
      <c r="I857" s="138">
        <f>IFERROR(__xludf.DUMMYFUNCTION("""COMPUTED_VALUE"""),3.0)</f>
        <v>3</v>
      </c>
      <c r="J857" s="138">
        <f>IFERROR(__xludf.DUMMYFUNCTION("""COMPUTED_VALUE"""),4.0)</f>
        <v>4</v>
      </c>
      <c r="K857" s="138">
        <f>IFERROR(__xludf.DUMMYFUNCTION("""COMPUTED_VALUE"""),4.0)</f>
        <v>4</v>
      </c>
      <c r="L857" s="138">
        <v>27.0</v>
      </c>
      <c r="M857" s="140" t="str">
        <f>VLOOKUP(text(D857, "#"),'Master Table'!$A:$F, 6, FALSE)</f>
        <v>F-9</v>
      </c>
      <c r="N857" s="141" t="str">
        <f>IFERROR(__xludf.DUMMYFUNCTION("""COMPUTED_VALUE"""),"This is a very significant topic to understand the triggers of cancer. The methodology is helping better understand the mechanism of dimerization. The student was clear with her results but needed to provide a little more engagement at the beginning of th"&amp;"e presentation. She eventually picked up and was able to explain a very significant research project.")</f>
        <v>This is a very significant topic to understand the triggers of cancer. The methodology is helping better understand the mechanism of dimerization. The student was clear with her results but needed to provide a little more engagement at the beginning of the presentation. She eventually picked up and was able to explain a very significant research project.</v>
      </c>
      <c r="O857" s="142" t="str">
        <f t="shared" si="1"/>
        <v/>
      </c>
      <c r="P857" s="143" t="str">
        <f>IF(ISNA(VLOOKUP(CONCAT(M857,C857), 'Judge Count DO NOT EDIT'!H:H, 1, FALSE)), "ERROR","")</f>
        <v/>
      </c>
      <c r="Q857" s="144"/>
      <c r="R857" s="143"/>
      <c r="S857" s="139" t="str">
        <f t="shared" si="2"/>
        <v>1231377</v>
      </c>
      <c r="T857" s="141"/>
    </row>
    <row r="858">
      <c r="A858" s="137">
        <f>IFERROR(__xludf.DUMMYFUNCTION("""COMPUTED_VALUE"""),45352.413264421295)</f>
        <v>45352.41326</v>
      </c>
      <c r="B858" s="138" t="str">
        <f>IFERROR(__xludf.DUMMYFUNCTION("""COMPUTED_VALUE"""),"Jenn Cossaboon")</f>
        <v>Jenn Cossaboon</v>
      </c>
      <c r="C858" s="138">
        <f>IFERROR(__xludf.DUMMYFUNCTION("""COMPUTED_VALUE"""),1163.0)</f>
        <v>1163</v>
      </c>
      <c r="D858" s="139">
        <f>IFERROR(__xludf.DUMMYFUNCTION("""COMPUTED_VALUE"""),377.0)</f>
        <v>377</v>
      </c>
      <c r="E858" s="138">
        <f>IFERROR(__xludf.DUMMYFUNCTION("""COMPUTED_VALUE"""),4.0)</f>
        <v>4</v>
      </c>
      <c r="F858" s="138">
        <f>IFERROR(__xludf.DUMMYFUNCTION("""COMPUTED_VALUE"""),4.0)</f>
        <v>4</v>
      </c>
      <c r="G858" s="138">
        <f>IFERROR(__xludf.DUMMYFUNCTION("""COMPUTED_VALUE"""),4.0)</f>
        <v>4</v>
      </c>
      <c r="H858" s="138">
        <f>IFERROR(__xludf.DUMMYFUNCTION("""COMPUTED_VALUE"""),4.0)</f>
        <v>4</v>
      </c>
      <c r="I858" s="138">
        <f>IFERROR(__xludf.DUMMYFUNCTION("""COMPUTED_VALUE"""),5.0)</f>
        <v>5</v>
      </c>
      <c r="J858" s="138">
        <f>IFERROR(__xludf.DUMMYFUNCTION("""COMPUTED_VALUE"""),4.0)</f>
        <v>4</v>
      </c>
      <c r="K858" s="138">
        <f>IFERROR(__xludf.DUMMYFUNCTION("""COMPUTED_VALUE"""),5.0)</f>
        <v>5</v>
      </c>
      <c r="L858" s="138">
        <v>30.0</v>
      </c>
      <c r="M858" s="140" t="str">
        <f>VLOOKUP(text(D858, "#"),'Master Table'!$A:$F, 6, FALSE)</f>
        <v>F-9</v>
      </c>
      <c r="N858" s="141" t="str">
        <f>IFERROR(__xludf.DUMMYFUNCTION("""COMPUTED_VALUE"""),"Very interesting work!! Great job!! My only suggestion would be adding a statement of big picture impacts of the work.")</f>
        <v>Very interesting work!! Great job!! My only suggestion would be adding a statement of big picture impacts of the work.</v>
      </c>
      <c r="O858" s="142" t="str">
        <f t="shared" si="1"/>
        <v/>
      </c>
      <c r="P858" s="143" t="str">
        <f>IF(ISNA(VLOOKUP(CONCAT(M858,C858), 'Judge Count DO NOT EDIT'!H:H, 1, FALSE)), "ERROR","")</f>
        <v/>
      </c>
      <c r="Q858" s="144"/>
      <c r="R858" s="143"/>
      <c r="S858" s="139" t="str">
        <f t="shared" si="2"/>
        <v>1163377</v>
      </c>
      <c r="T858" s="141"/>
    </row>
    <row r="859">
      <c r="A859" s="137">
        <f>IFERROR(__xludf.DUMMYFUNCTION("""COMPUTED_VALUE"""),45352.43551642361)</f>
        <v>45352.43552</v>
      </c>
      <c r="B859" s="138" t="str">
        <f>IFERROR(__xludf.DUMMYFUNCTION("""COMPUTED_VALUE"""),"Luis Cruz")</f>
        <v>Luis Cruz</v>
      </c>
      <c r="C859" s="138">
        <f>IFERROR(__xludf.DUMMYFUNCTION("""COMPUTED_VALUE"""),1189.0)</f>
        <v>1189</v>
      </c>
      <c r="D859" s="139">
        <f>IFERROR(__xludf.DUMMYFUNCTION("""COMPUTED_VALUE"""),377.0)</f>
        <v>377</v>
      </c>
      <c r="E859" s="138">
        <f>IFERROR(__xludf.DUMMYFUNCTION("""COMPUTED_VALUE"""),4.0)</f>
        <v>4</v>
      </c>
      <c r="F859" s="138">
        <f>IFERROR(__xludf.DUMMYFUNCTION("""COMPUTED_VALUE"""),4.0)</f>
        <v>4</v>
      </c>
      <c r="G859" s="138">
        <f>IFERROR(__xludf.DUMMYFUNCTION("""COMPUTED_VALUE"""),3.0)</f>
        <v>3</v>
      </c>
      <c r="H859" s="138">
        <f>IFERROR(__xludf.DUMMYFUNCTION("""COMPUTED_VALUE"""),3.0)</f>
        <v>3</v>
      </c>
      <c r="I859" s="138">
        <f>IFERROR(__xludf.DUMMYFUNCTION("""COMPUTED_VALUE"""),4.0)</f>
        <v>4</v>
      </c>
      <c r="J859" s="138">
        <f>IFERROR(__xludf.DUMMYFUNCTION("""COMPUTED_VALUE"""),4.0)</f>
        <v>4</v>
      </c>
      <c r="K859" s="138">
        <f>IFERROR(__xludf.DUMMYFUNCTION("""COMPUTED_VALUE"""),5.0)</f>
        <v>5</v>
      </c>
      <c r="L859" s="138">
        <v>27.0</v>
      </c>
      <c r="M859" s="140" t="str">
        <f>VLOOKUP(text(D859, "#"),'Master Table'!$A:$F, 6, FALSE)</f>
        <v>F-9</v>
      </c>
      <c r="N859" s="141"/>
      <c r="O859" s="142" t="str">
        <f t="shared" si="1"/>
        <v/>
      </c>
      <c r="P859" s="143" t="str">
        <f>IF(ISNA(VLOOKUP(CONCAT(M859,C859), 'Judge Count DO NOT EDIT'!H:H, 1, FALSE)), "ERROR","")</f>
        <v/>
      </c>
      <c r="Q859" s="141"/>
      <c r="R859" s="143"/>
      <c r="S859" s="139" t="str">
        <f t="shared" si="2"/>
        <v>1189377</v>
      </c>
      <c r="T859" s="141"/>
    </row>
    <row r="860">
      <c r="A860" s="137">
        <f>IFERROR(__xludf.DUMMYFUNCTION("""COMPUTED_VALUE"""),45352.44556327546)</f>
        <v>45352.44556</v>
      </c>
      <c r="B860" s="138" t="str">
        <f>IFERROR(__xludf.DUMMYFUNCTION("""COMPUTED_VALUE"""),"Kate Broderick")</f>
        <v>Kate Broderick</v>
      </c>
      <c r="C860" s="138">
        <f>IFERROR(__xludf.DUMMYFUNCTION("""COMPUTED_VALUE"""),1072.0)</f>
        <v>1072</v>
      </c>
      <c r="D860" s="139">
        <f>IFERROR(__xludf.DUMMYFUNCTION("""COMPUTED_VALUE"""),377.0)</f>
        <v>377</v>
      </c>
      <c r="E860" s="138">
        <f>IFERROR(__xludf.DUMMYFUNCTION("""COMPUTED_VALUE"""),4.0)</f>
        <v>4</v>
      </c>
      <c r="F860" s="138">
        <f>IFERROR(__xludf.DUMMYFUNCTION("""COMPUTED_VALUE"""),4.0)</f>
        <v>4</v>
      </c>
      <c r="G860" s="138">
        <f>IFERROR(__xludf.DUMMYFUNCTION("""COMPUTED_VALUE"""),4.0)</f>
        <v>4</v>
      </c>
      <c r="H860" s="138">
        <f>IFERROR(__xludf.DUMMYFUNCTION("""COMPUTED_VALUE"""),4.0)</f>
        <v>4</v>
      </c>
      <c r="I860" s="138">
        <f>IFERROR(__xludf.DUMMYFUNCTION("""COMPUTED_VALUE"""),4.0)</f>
        <v>4</v>
      </c>
      <c r="J860" s="138">
        <f>IFERROR(__xludf.DUMMYFUNCTION("""COMPUTED_VALUE"""),4.0)</f>
        <v>4</v>
      </c>
      <c r="K860" s="138">
        <f>IFERROR(__xludf.DUMMYFUNCTION("""COMPUTED_VALUE"""),5.0)</f>
        <v>5</v>
      </c>
      <c r="L860" s="138">
        <v>29.0</v>
      </c>
      <c r="M860" s="140" t="str">
        <f>VLOOKUP(text(D860, "#"),'Master Table'!$A:$F, 6, FALSE)</f>
        <v>F-9</v>
      </c>
      <c r="N860" s="141" t="str">
        <f>IFERROR(__xludf.DUMMYFUNCTION("""COMPUTED_VALUE"""),"Nice poster and presentation but needed a bit more work on understanding the background ")</f>
        <v>Nice poster and presentation but needed a bit more work on understanding the background </v>
      </c>
      <c r="O860" s="142" t="str">
        <f t="shared" si="1"/>
        <v/>
      </c>
      <c r="P860" s="143" t="str">
        <f>IF(ISNA(VLOOKUP(CONCAT(M860,C860), 'Judge Count DO NOT EDIT'!H:H, 1, FALSE)), "ERROR","")</f>
        <v/>
      </c>
      <c r="Q860" s="141"/>
      <c r="R860" s="143"/>
      <c r="S860" s="139" t="str">
        <f t="shared" si="2"/>
        <v>1072377</v>
      </c>
      <c r="T860" s="141"/>
    </row>
    <row r="861">
      <c r="A861" s="137">
        <f>IFERROR(__xludf.DUMMYFUNCTION("""COMPUTED_VALUE"""),45352.41497158565)</f>
        <v>45352.41497</v>
      </c>
      <c r="B861" s="138" t="str">
        <f>IFERROR(__xludf.DUMMYFUNCTION("""COMPUTED_VALUE"""),"Jenn Cossaboon")</f>
        <v>Jenn Cossaboon</v>
      </c>
      <c r="C861" s="138">
        <f>IFERROR(__xludf.DUMMYFUNCTION("""COMPUTED_VALUE"""),1163.0)</f>
        <v>1163</v>
      </c>
      <c r="D861" s="139">
        <f>IFERROR(__xludf.DUMMYFUNCTION("""COMPUTED_VALUE"""),378.0)</f>
        <v>378</v>
      </c>
      <c r="E861" s="138">
        <f>IFERROR(__xludf.DUMMYFUNCTION("""COMPUTED_VALUE"""),4.0)</f>
        <v>4</v>
      </c>
      <c r="F861" s="138">
        <f>IFERROR(__xludf.DUMMYFUNCTION("""COMPUTED_VALUE"""),4.0)</f>
        <v>4</v>
      </c>
      <c r="G861" s="138">
        <f>IFERROR(__xludf.DUMMYFUNCTION("""COMPUTED_VALUE"""),4.0)</f>
        <v>4</v>
      </c>
      <c r="H861" s="138">
        <f>IFERROR(__xludf.DUMMYFUNCTION("""COMPUTED_VALUE"""),4.0)</f>
        <v>4</v>
      </c>
      <c r="I861" s="138">
        <f>IFERROR(__xludf.DUMMYFUNCTION("""COMPUTED_VALUE"""),5.0)</f>
        <v>5</v>
      </c>
      <c r="J861" s="138">
        <f>IFERROR(__xludf.DUMMYFUNCTION("""COMPUTED_VALUE"""),5.0)</f>
        <v>5</v>
      </c>
      <c r="K861" s="138">
        <f>IFERROR(__xludf.DUMMYFUNCTION("""COMPUTED_VALUE"""),4.0)</f>
        <v>4</v>
      </c>
      <c r="L861" s="138">
        <v>30.0</v>
      </c>
      <c r="M861" s="140" t="str">
        <f>VLOOKUP(text(D861, "#"),'Master Table'!$A:$F, 6, FALSE)</f>
        <v>F-9</v>
      </c>
      <c r="N861" s="141" t="str">
        <f>IFERROR(__xludf.DUMMYFUNCTION("""COMPUTED_VALUE"""),"Great job!! Very impressive and clear explanation of your workflow methodology! The figures could be a bit larger in font so they are easier to read.")</f>
        <v>Great job!! Very impressive and clear explanation of your workflow methodology! The figures could be a bit larger in font so they are easier to read.</v>
      </c>
      <c r="O861" s="142" t="str">
        <f t="shared" si="1"/>
        <v/>
      </c>
      <c r="P861" s="143" t="str">
        <f>IF(ISNA(VLOOKUP(CONCAT(M861,C861), 'Judge Count DO NOT EDIT'!H:H, 1, FALSE)), "ERROR","")</f>
        <v/>
      </c>
      <c r="Q861" s="141"/>
      <c r="R861" s="143"/>
      <c r="S861" s="139" t="str">
        <f t="shared" si="2"/>
        <v>1163378</v>
      </c>
      <c r="T861" s="141"/>
    </row>
    <row r="862">
      <c r="A862" s="137">
        <f>IFERROR(__xludf.DUMMYFUNCTION("""COMPUTED_VALUE"""),45352.446620347226)</f>
        <v>45352.44662</v>
      </c>
      <c r="B862" s="138" t="str">
        <f>IFERROR(__xludf.DUMMYFUNCTION("""COMPUTED_VALUE"""),"Kate Broderick")</f>
        <v>Kate Broderick</v>
      </c>
      <c r="C862" s="138">
        <f>IFERROR(__xludf.DUMMYFUNCTION("""COMPUTED_VALUE"""),1072.0)</f>
        <v>1072</v>
      </c>
      <c r="D862" s="139">
        <f>IFERROR(__xludf.DUMMYFUNCTION("""COMPUTED_VALUE"""),378.0)</f>
        <v>378</v>
      </c>
      <c r="E862" s="138">
        <f>IFERROR(__xludf.DUMMYFUNCTION("""COMPUTED_VALUE"""),4.0)</f>
        <v>4</v>
      </c>
      <c r="F862" s="138">
        <f>IFERROR(__xludf.DUMMYFUNCTION("""COMPUTED_VALUE"""),4.0)</f>
        <v>4</v>
      </c>
      <c r="G862" s="138">
        <f>IFERROR(__xludf.DUMMYFUNCTION("""COMPUTED_VALUE"""),5.0)</f>
        <v>5</v>
      </c>
      <c r="H862" s="138">
        <f>IFERROR(__xludf.DUMMYFUNCTION("""COMPUTED_VALUE"""),4.0)</f>
        <v>4</v>
      </c>
      <c r="I862" s="138">
        <f>IFERROR(__xludf.DUMMYFUNCTION("""COMPUTED_VALUE"""),5.0)</f>
        <v>5</v>
      </c>
      <c r="J862" s="138">
        <f>IFERROR(__xludf.DUMMYFUNCTION("""COMPUTED_VALUE"""),5.0)</f>
        <v>5</v>
      </c>
      <c r="K862" s="138">
        <f>IFERROR(__xludf.DUMMYFUNCTION("""COMPUTED_VALUE"""),5.0)</f>
        <v>5</v>
      </c>
      <c r="L862" s="138">
        <v>32.0</v>
      </c>
      <c r="M862" s="140" t="str">
        <f>VLOOKUP(text(D862, "#"),'Master Table'!$A:$F, 6, FALSE)</f>
        <v>F-9</v>
      </c>
      <c r="N862" s="141" t="str">
        <f>IFERROR(__xludf.DUMMYFUNCTION("""COMPUTED_VALUE"""),"Incredibly impressive performance from a HS student. Understood his research and background well. Great job. ")</f>
        <v>Incredibly impressive performance from a HS student. Understood his research and background well. Great job. </v>
      </c>
      <c r="O862" s="142" t="str">
        <f t="shared" si="1"/>
        <v/>
      </c>
      <c r="P862" s="143" t="str">
        <f>IF(ISNA(VLOOKUP(CONCAT(M862,C862), 'Judge Count DO NOT EDIT'!H:H, 1, FALSE)), "ERROR","")</f>
        <v/>
      </c>
      <c r="Q862" s="141"/>
      <c r="R862" s="143"/>
      <c r="S862" s="139" t="str">
        <f t="shared" si="2"/>
        <v>1072378</v>
      </c>
      <c r="T862" s="141"/>
    </row>
    <row r="863">
      <c r="A863" s="137">
        <f>IFERROR(__xludf.DUMMYFUNCTION("""COMPUTED_VALUE"""),45352.45415255787)</f>
        <v>45352.45415</v>
      </c>
      <c r="B863" s="138" t="str">
        <f>IFERROR(__xludf.DUMMYFUNCTION("""COMPUTED_VALUE"""),"Luis cruz")</f>
        <v>Luis cruz</v>
      </c>
      <c r="C863" s="138">
        <f>IFERROR(__xludf.DUMMYFUNCTION("""COMPUTED_VALUE"""),1189.0)</f>
        <v>1189</v>
      </c>
      <c r="D863" s="139">
        <f>IFERROR(__xludf.DUMMYFUNCTION("""COMPUTED_VALUE"""),378.0)</f>
        <v>378</v>
      </c>
      <c r="E863" s="138">
        <f>IFERROR(__xludf.DUMMYFUNCTION("""COMPUTED_VALUE"""),5.0)</f>
        <v>5</v>
      </c>
      <c r="F863" s="138">
        <f>IFERROR(__xludf.DUMMYFUNCTION("""COMPUTED_VALUE"""),4.0)</f>
        <v>4</v>
      </c>
      <c r="G863" s="138">
        <f>IFERROR(__xludf.DUMMYFUNCTION("""COMPUTED_VALUE"""),5.0)</f>
        <v>5</v>
      </c>
      <c r="H863" s="138">
        <f>IFERROR(__xludf.DUMMYFUNCTION("""COMPUTED_VALUE"""),4.0)</f>
        <v>4</v>
      </c>
      <c r="I863" s="138">
        <f>IFERROR(__xludf.DUMMYFUNCTION("""COMPUTED_VALUE"""),4.0)</f>
        <v>4</v>
      </c>
      <c r="J863" s="138">
        <f>IFERROR(__xludf.DUMMYFUNCTION("""COMPUTED_VALUE"""),4.0)</f>
        <v>4</v>
      </c>
      <c r="K863" s="138">
        <f>IFERROR(__xludf.DUMMYFUNCTION("""COMPUTED_VALUE"""),5.0)</f>
        <v>5</v>
      </c>
      <c r="L863" s="138">
        <v>31.0</v>
      </c>
      <c r="M863" s="140" t="str">
        <f>VLOOKUP(text(D863, "#"),'Master Table'!$A:$F, 6, FALSE)</f>
        <v>F-9</v>
      </c>
      <c r="N863" s="141" t="str">
        <f>IFERROR(__xludf.DUMMYFUNCTION("""COMPUTED_VALUE"""),"Presenter was very knowledgeable and very clear. ")</f>
        <v>Presenter was very knowledgeable and very clear. </v>
      </c>
      <c r="O863" s="142" t="str">
        <f t="shared" si="1"/>
        <v/>
      </c>
      <c r="P863" s="143" t="str">
        <f>IF(ISNA(VLOOKUP(CONCAT(M863,C863), 'Judge Count DO NOT EDIT'!H:H, 1, FALSE)), "ERROR","")</f>
        <v/>
      </c>
      <c r="Q863" s="141"/>
      <c r="R863" s="143"/>
      <c r="S863" s="139" t="str">
        <f t="shared" si="2"/>
        <v>1189378</v>
      </c>
      <c r="T863" s="141"/>
    </row>
    <row r="864">
      <c r="A864" s="137">
        <f>IFERROR(__xludf.DUMMYFUNCTION("""COMPUTED_VALUE"""),45352.42886236111)</f>
        <v>45352.42886</v>
      </c>
      <c r="B864" s="138" t="str">
        <f>IFERROR(__xludf.DUMMYFUNCTION("""COMPUTED_VALUE"""),"Luis Cruz ")</f>
        <v>Luis Cruz </v>
      </c>
      <c r="C864" s="138">
        <f>IFERROR(__xludf.DUMMYFUNCTION("""COMPUTED_VALUE"""),1189.0)</f>
        <v>1189</v>
      </c>
      <c r="D864" s="139">
        <f>IFERROR(__xludf.DUMMYFUNCTION("""COMPUTED_VALUE"""),379.0)</f>
        <v>379</v>
      </c>
      <c r="E864" s="138">
        <f>IFERROR(__xludf.DUMMYFUNCTION("""COMPUTED_VALUE"""),3.0)</f>
        <v>3</v>
      </c>
      <c r="F864" s="138">
        <f>IFERROR(__xludf.DUMMYFUNCTION("""COMPUTED_VALUE"""),4.0)</f>
        <v>4</v>
      </c>
      <c r="G864" s="138">
        <f>IFERROR(__xludf.DUMMYFUNCTION("""COMPUTED_VALUE"""),4.0)</f>
        <v>4</v>
      </c>
      <c r="H864" s="138">
        <f>IFERROR(__xludf.DUMMYFUNCTION("""COMPUTED_VALUE"""),3.0)</f>
        <v>3</v>
      </c>
      <c r="I864" s="138">
        <f>IFERROR(__xludf.DUMMYFUNCTION("""COMPUTED_VALUE"""),4.0)</f>
        <v>4</v>
      </c>
      <c r="J864" s="138">
        <f>IFERROR(__xludf.DUMMYFUNCTION("""COMPUTED_VALUE"""),4.0)</f>
        <v>4</v>
      </c>
      <c r="K864" s="138">
        <f>IFERROR(__xludf.DUMMYFUNCTION("""COMPUTED_VALUE"""),5.0)</f>
        <v>5</v>
      </c>
      <c r="L864" s="138">
        <v>27.0</v>
      </c>
      <c r="M864" s="140" t="str">
        <f>VLOOKUP(text(D864, "#"),'Master Table'!$A:$F, 6, FALSE)</f>
        <v>F-9</v>
      </c>
      <c r="N864" s="141"/>
      <c r="O864" s="142" t="str">
        <f t="shared" si="1"/>
        <v/>
      </c>
      <c r="P864" s="143" t="str">
        <f>IF(ISNA(VLOOKUP(CONCAT(M864,C864), 'Judge Count DO NOT EDIT'!H:H, 1, FALSE)), "ERROR","")</f>
        <v/>
      </c>
      <c r="Q864" s="141"/>
      <c r="R864" s="143"/>
      <c r="S864" s="139" t="str">
        <f t="shared" si="2"/>
        <v>1189379</v>
      </c>
      <c r="T864" s="141"/>
    </row>
    <row r="865">
      <c r="A865" s="137">
        <f>IFERROR(__xludf.DUMMYFUNCTION("""COMPUTED_VALUE"""),45352.45158258102)</f>
        <v>45352.45158</v>
      </c>
      <c r="B865" s="138" t="str">
        <f>IFERROR(__xludf.DUMMYFUNCTION("""COMPUTED_VALUE"""),"Kate Broderick")</f>
        <v>Kate Broderick</v>
      </c>
      <c r="C865" s="138">
        <f>IFERROR(__xludf.DUMMYFUNCTION("""COMPUTED_VALUE"""),1072.0)</f>
        <v>1072</v>
      </c>
      <c r="D865" s="139">
        <f>IFERROR(__xludf.DUMMYFUNCTION("""COMPUTED_VALUE"""),379.0)</f>
        <v>379</v>
      </c>
      <c r="E865" s="138">
        <f>IFERROR(__xludf.DUMMYFUNCTION("""COMPUTED_VALUE"""),4.0)</f>
        <v>4</v>
      </c>
      <c r="F865" s="138">
        <f>IFERROR(__xludf.DUMMYFUNCTION("""COMPUTED_VALUE"""),4.0)</f>
        <v>4</v>
      </c>
      <c r="G865" s="138">
        <f>IFERROR(__xludf.DUMMYFUNCTION("""COMPUTED_VALUE"""),4.0)</f>
        <v>4</v>
      </c>
      <c r="H865" s="138">
        <f>IFERROR(__xludf.DUMMYFUNCTION("""COMPUTED_VALUE"""),4.0)</f>
        <v>4</v>
      </c>
      <c r="I865" s="138">
        <f>IFERROR(__xludf.DUMMYFUNCTION("""COMPUTED_VALUE"""),4.0)</f>
        <v>4</v>
      </c>
      <c r="J865" s="138">
        <f>IFERROR(__xludf.DUMMYFUNCTION("""COMPUTED_VALUE"""),4.0)</f>
        <v>4</v>
      </c>
      <c r="K865" s="138">
        <f>IFERROR(__xludf.DUMMYFUNCTION("""COMPUTED_VALUE"""),5.0)</f>
        <v>5</v>
      </c>
      <c r="L865" s="138">
        <v>29.0</v>
      </c>
      <c r="M865" s="140" t="str">
        <f>VLOOKUP(text(D865, "#"),'Master Table'!$A:$F, 6, FALSE)</f>
        <v>F-9</v>
      </c>
      <c r="N865" s="141" t="str">
        <f>IFERROR(__xludf.DUMMYFUNCTION("""COMPUTED_VALUE"""),"Very nice and clear presentation. 
Interesting work with good conclusions. 
Suggest to better understand the clinical treatment of PT with CF. ")</f>
        <v>Very nice and clear presentation. 
Interesting work with good conclusions. 
Suggest to better understand the clinical treatment of PT with CF. </v>
      </c>
      <c r="O865" s="142" t="str">
        <f t="shared" si="1"/>
        <v/>
      </c>
      <c r="P865" s="143" t="str">
        <f>IF(ISNA(VLOOKUP(CONCAT(M865,C865), 'Judge Count DO NOT EDIT'!H:H, 1, FALSE)), "ERROR","")</f>
        <v/>
      </c>
      <c r="Q865" s="144"/>
      <c r="R865" s="143"/>
      <c r="S865" s="139" t="str">
        <f t="shared" si="2"/>
        <v>1072379</v>
      </c>
      <c r="T865" s="141"/>
    </row>
    <row r="866">
      <c r="A866" s="137">
        <f>IFERROR(__xludf.DUMMYFUNCTION("""COMPUTED_VALUE"""),45352.45211515046)</f>
        <v>45352.45212</v>
      </c>
      <c r="B866" s="138" t="str">
        <f>IFERROR(__xludf.DUMMYFUNCTION("""COMPUTED_VALUE"""),"Jenn Cossaboon")</f>
        <v>Jenn Cossaboon</v>
      </c>
      <c r="C866" s="138">
        <f>IFERROR(__xludf.DUMMYFUNCTION("""COMPUTED_VALUE"""),1163.0)</f>
        <v>1163</v>
      </c>
      <c r="D866" s="139">
        <f>IFERROR(__xludf.DUMMYFUNCTION("""COMPUTED_VALUE"""),379.0)</f>
        <v>379</v>
      </c>
      <c r="E866" s="138">
        <f>IFERROR(__xludf.DUMMYFUNCTION("""COMPUTED_VALUE"""),5.0)</f>
        <v>5</v>
      </c>
      <c r="F866" s="138">
        <f>IFERROR(__xludf.DUMMYFUNCTION("""COMPUTED_VALUE"""),4.0)</f>
        <v>4</v>
      </c>
      <c r="G866" s="138">
        <f>IFERROR(__xludf.DUMMYFUNCTION("""COMPUTED_VALUE"""),4.0)</f>
        <v>4</v>
      </c>
      <c r="H866" s="138">
        <f>IFERROR(__xludf.DUMMYFUNCTION("""COMPUTED_VALUE"""),4.0)</f>
        <v>4</v>
      </c>
      <c r="I866" s="138">
        <f>IFERROR(__xludf.DUMMYFUNCTION("""COMPUTED_VALUE"""),5.0)</f>
        <v>5</v>
      </c>
      <c r="J866" s="138">
        <f>IFERROR(__xludf.DUMMYFUNCTION("""COMPUTED_VALUE"""),5.0)</f>
        <v>5</v>
      </c>
      <c r="K866" s="138">
        <f>IFERROR(__xludf.DUMMYFUNCTION("""COMPUTED_VALUE"""),5.0)</f>
        <v>5</v>
      </c>
      <c r="L866" s="138">
        <v>32.0</v>
      </c>
      <c r="M866" s="140" t="str">
        <f>VLOOKUP(text(D866, "#"),'Master Table'!$A:$F, 6, FALSE)</f>
        <v>F-9</v>
      </c>
      <c r="N866" s="141" t="str">
        <f>IFERROR(__xludf.DUMMYFUNCTION("""COMPUTED_VALUE"""),"Excellent job- such clear explanations of everything in a very important field!!")</f>
        <v>Excellent job- such clear explanations of everything in a very important field!!</v>
      </c>
      <c r="O866" s="142" t="str">
        <f t="shared" si="1"/>
        <v/>
      </c>
      <c r="P866" s="143" t="str">
        <f>IF(ISNA(VLOOKUP(CONCAT(M866,C866), 'Judge Count DO NOT EDIT'!H:H, 1, FALSE)), "ERROR","")</f>
        <v/>
      </c>
      <c r="Q866" s="141"/>
      <c r="R866" s="143"/>
      <c r="S866" s="139" t="str">
        <f t="shared" si="2"/>
        <v>1163379</v>
      </c>
      <c r="T866" s="141"/>
    </row>
    <row r="867">
      <c r="A867" s="137">
        <f>IFERROR(__xludf.DUMMYFUNCTION("""COMPUTED_VALUE"""),45352.4616234375)</f>
        <v>45352.46162</v>
      </c>
      <c r="B867" s="138" t="str">
        <f>IFERROR(__xludf.DUMMYFUNCTION("""COMPUTED_VALUE"""),"Daniel Caro")</f>
        <v>Daniel Caro</v>
      </c>
      <c r="C867" s="138">
        <f>IFERROR(__xludf.DUMMYFUNCTION("""COMPUTED_VALUE"""),1231.0)</f>
        <v>1231</v>
      </c>
      <c r="D867" s="139">
        <f>IFERROR(__xludf.DUMMYFUNCTION("""COMPUTED_VALUE"""),379.0)</f>
        <v>379</v>
      </c>
      <c r="E867" s="138">
        <f>IFERROR(__xludf.DUMMYFUNCTION("""COMPUTED_VALUE"""),4.0)</f>
        <v>4</v>
      </c>
      <c r="F867" s="138">
        <f>IFERROR(__xludf.DUMMYFUNCTION("""COMPUTED_VALUE"""),4.0)</f>
        <v>4</v>
      </c>
      <c r="G867" s="138">
        <f>IFERROR(__xludf.DUMMYFUNCTION("""COMPUTED_VALUE"""),5.0)</f>
        <v>5</v>
      </c>
      <c r="H867" s="138">
        <f>IFERROR(__xludf.DUMMYFUNCTION("""COMPUTED_VALUE"""),3.0)</f>
        <v>3</v>
      </c>
      <c r="I867" s="138">
        <f>IFERROR(__xludf.DUMMYFUNCTION("""COMPUTED_VALUE"""),4.0)</f>
        <v>4</v>
      </c>
      <c r="J867" s="138">
        <f>IFERROR(__xludf.DUMMYFUNCTION("""COMPUTED_VALUE"""),4.0)</f>
        <v>4</v>
      </c>
      <c r="K867" s="138">
        <f>IFERROR(__xludf.DUMMYFUNCTION("""COMPUTED_VALUE"""),4.0)</f>
        <v>4</v>
      </c>
      <c r="L867" s="138">
        <v>28.0</v>
      </c>
      <c r="M867" s="140" t="str">
        <f>VLOOKUP(text(D867, "#"),'Master Table'!$A:$F, 6, FALSE)</f>
        <v>F-9</v>
      </c>
      <c r="N867" s="141" t="str">
        <f>IFERROR(__xludf.DUMMYFUNCTION("""COMPUTED_VALUE"""),"The student is very passionate about the topic and effectively explained it's significance. The flow of the information was logical and well organized. The information from the DNA digestion gels will be nicely completed with LC data for example.")</f>
        <v>The student is very passionate about the topic and effectively explained it's significance. The flow of the information was logical and well organized. The information from the DNA digestion gels will be nicely completed with LC data for example.</v>
      </c>
      <c r="O867" s="142" t="str">
        <f t="shared" si="1"/>
        <v/>
      </c>
      <c r="P867" s="143" t="str">
        <f>IF(ISNA(VLOOKUP(CONCAT(M867,C867), 'Judge Count DO NOT EDIT'!H:H, 1, FALSE)), "ERROR","")</f>
        <v/>
      </c>
      <c r="Q867" s="141"/>
      <c r="R867" s="143"/>
      <c r="S867" s="139" t="str">
        <f t="shared" si="2"/>
        <v>1231379</v>
      </c>
      <c r="T867" s="141"/>
    </row>
    <row r="868">
      <c r="A868" s="137">
        <f>IFERROR(__xludf.DUMMYFUNCTION("""COMPUTED_VALUE"""),45352.40800122685)</f>
        <v>45352.408</v>
      </c>
      <c r="B868" s="138" t="str">
        <f>IFERROR(__xludf.DUMMYFUNCTION("""COMPUTED_VALUE"""),"Jenn Cossaboon")</f>
        <v>Jenn Cossaboon</v>
      </c>
      <c r="C868" s="138">
        <f>IFERROR(__xludf.DUMMYFUNCTION("""COMPUTED_VALUE"""),1163.0)</f>
        <v>1163</v>
      </c>
      <c r="D868" s="139">
        <f>IFERROR(__xludf.DUMMYFUNCTION("""COMPUTED_VALUE"""),380.0)</f>
        <v>380</v>
      </c>
      <c r="E868" s="138">
        <f>IFERROR(__xludf.DUMMYFUNCTION("""COMPUTED_VALUE"""),5.0)</f>
        <v>5</v>
      </c>
      <c r="F868" s="138">
        <f>IFERROR(__xludf.DUMMYFUNCTION("""COMPUTED_VALUE"""),4.0)</f>
        <v>4</v>
      </c>
      <c r="G868" s="138">
        <f>IFERROR(__xludf.DUMMYFUNCTION("""COMPUTED_VALUE"""),4.0)</f>
        <v>4</v>
      </c>
      <c r="H868" s="138">
        <f>IFERROR(__xludf.DUMMYFUNCTION("""COMPUTED_VALUE"""),4.0)</f>
        <v>4</v>
      </c>
      <c r="I868" s="138">
        <f>IFERROR(__xludf.DUMMYFUNCTION("""COMPUTED_VALUE"""),5.0)</f>
        <v>5</v>
      </c>
      <c r="J868" s="138">
        <f>IFERROR(__xludf.DUMMYFUNCTION("""COMPUTED_VALUE"""),5.0)</f>
        <v>5</v>
      </c>
      <c r="K868" s="138">
        <f>IFERROR(__xludf.DUMMYFUNCTION("""COMPUTED_VALUE"""),5.0)</f>
        <v>5</v>
      </c>
      <c r="L868" s="138">
        <v>32.0</v>
      </c>
      <c r="M868" s="140" t="str">
        <f>VLOOKUP(text(D868, "#"),'Master Table'!$A:$F, 6, FALSE)</f>
        <v>F-9</v>
      </c>
      <c r="N868" s="141" t="str">
        <f>IFERROR(__xludf.DUMMYFUNCTION("""COMPUTED_VALUE"""),"Excellent poster and presentation! Beautiful figures and very clearly explained")</f>
        <v>Excellent poster and presentation! Beautiful figures and very clearly explained</v>
      </c>
      <c r="O868" s="142" t="str">
        <f t="shared" si="1"/>
        <v/>
      </c>
      <c r="P868" s="143" t="str">
        <f>IF(ISNA(VLOOKUP(CONCAT(M868,C868), 'Judge Count DO NOT EDIT'!H:H, 1, FALSE)), "ERROR","")</f>
        <v/>
      </c>
      <c r="Q868" s="146"/>
      <c r="R868" s="143"/>
      <c r="S868" s="139" t="str">
        <f t="shared" si="2"/>
        <v>1163380</v>
      </c>
      <c r="T868" s="146"/>
    </row>
    <row r="869">
      <c r="A869" s="137">
        <f>IFERROR(__xludf.DUMMYFUNCTION("""COMPUTED_VALUE"""),45352.41979811343)</f>
        <v>45352.4198</v>
      </c>
      <c r="B869" s="138" t="str">
        <f>IFERROR(__xludf.DUMMYFUNCTION("""COMPUTED_VALUE"""),"Luis Cruz ")</f>
        <v>Luis Cruz </v>
      </c>
      <c r="C869" s="138">
        <f>IFERROR(__xludf.DUMMYFUNCTION("""COMPUTED_VALUE"""),1189.0)</f>
        <v>1189</v>
      </c>
      <c r="D869" s="139">
        <f>IFERROR(__xludf.DUMMYFUNCTION("""COMPUTED_VALUE"""),380.0)</f>
        <v>380</v>
      </c>
      <c r="E869" s="138">
        <f>IFERROR(__xludf.DUMMYFUNCTION("""COMPUTED_VALUE"""),5.0)</f>
        <v>5</v>
      </c>
      <c r="F869" s="138">
        <f>IFERROR(__xludf.DUMMYFUNCTION("""COMPUTED_VALUE"""),4.0)</f>
        <v>4</v>
      </c>
      <c r="G869" s="138">
        <f>IFERROR(__xludf.DUMMYFUNCTION("""COMPUTED_VALUE"""),4.0)</f>
        <v>4</v>
      </c>
      <c r="H869" s="138">
        <f>IFERROR(__xludf.DUMMYFUNCTION("""COMPUTED_VALUE"""),4.0)</f>
        <v>4</v>
      </c>
      <c r="I869" s="138">
        <f>IFERROR(__xludf.DUMMYFUNCTION("""COMPUTED_VALUE"""),5.0)</f>
        <v>5</v>
      </c>
      <c r="J869" s="138">
        <f>IFERROR(__xludf.DUMMYFUNCTION("""COMPUTED_VALUE"""),5.0)</f>
        <v>5</v>
      </c>
      <c r="K869" s="138">
        <f>IFERROR(__xludf.DUMMYFUNCTION("""COMPUTED_VALUE"""),5.0)</f>
        <v>5</v>
      </c>
      <c r="L869" s="138">
        <v>32.0</v>
      </c>
      <c r="M869" s="140" t="str">
        <f>VLOOKUP(text(D869, "#"),'Master Table'!$A:$F, 6, FALSE)</f>
        <v>F-9</v>
      </c>
      <c r="N869" s="141" t="str">
        <f>IFERROR(__xludf.DUMMYFUNCTION("""COMPUTED_VALUE"""),"Great work! Presenter had a great understanding of background rational and future directions ")</f>
        <v>Great work! Presenter had a great understanding of background rational and future directions </v>
      </c>
      <c r="O869" s="142" t="str">
        <f t="shared" si="1"/>
        <v/>
      </c>
      <c r="P869" s="143" t="str">
        <f>IF(ISNA(VLOOKUP(CONCAT(M869,C869), 'Judge Count DO NOT EDIT'!H:H, 1, FALSE)), "ERROR","")</f>
        <v/>
      </c>
      <c r="Q869" s="141"/>
      <c r="R869" s="143"/>
      <c r="S869" s="139" t="str">
        <f t="shared" si="2"/>
        <v>1189380</v>
      </c>
      <c r="T869" s="141"/>
    </row>
    <row r="870">
      <c r="A870" s="137">
        <f>IFERROR(__xludf.DUMMYFUNCTION("""COMPUTED_VALUE"""),45352.45272230324)</f>
        <v>45352.45272</v>
      </c>
      <c r="B870" s="138" t="str">
        <f>IFERROR(__xludf.DUMMYFUNCTION("""COMPUTED_VALUE"""),"Kate Broderick")</f>
        <v>Kate Broderick</v>
      </c>
      <c r="C870" s="138">
        <f>IFERROR(__xludf.DUMMYFUNCTION("""COMPUTED_VALUE"""),1072.0)</f>
        <v>1072</v>
      </c>
      <c r="D870" s="139">
        <f>IFERROR(__xludf.DUMMYFUNCTION("""COMPUTED_VALUE"""),380.0)</f>
        <v>380</v>
      </c>
      <c r="E870" s="138">
        <f>IFERROR(__xludf.DUMMYFUNCTION("""COMPUTED_VALUE"""),5.0)</f>
        <v>5</v>
      </c>
      <c r="F870" s="138">
        <f>IFERROR(__xludf.DUMMYFUNCTION("""COMPUTED_VALUE"""),5.0)</f>
        <v>5</v>
      </c>
      <c r="G870" s="138">
        <f>IFERROR(__xludf.DUMMYFUNCTION("""COMPUTED_VALUE"""),5.0)</f>
        <v>5</v>
      </c>
      <c r="H870" s="138">
        <f>IFERROR(__xludf.DUMMYFUNCTION("""COMPUTED_VALUE"""),5.0)</f>
        <v>5</v>
      </c>
      <c r="I870" s="138">
        <f>IFERROR(__xludf.DUMMYFUNCTION("""COMPUTED_VALUE"""),5.0)</f>
        <v>5</v>
      </c>
      <c r="J870" s="138">
        <f>IFERROR(__xludf.DUMMYFUNCTION("""COMPUTED_VALUE"""),5.0)</f>
        <v>5</v>
      </c>
      <c r="K870" s="138">
        <f>IFERROR(__xludf.DUMMYFUNCTION("""COMPUTED_VALUE"""),5.0)</f>
        <v>5</v>
      </c>
      <c r="L870" s="138">
        <v>35.0</v>
      </c>
      <c r="M870" s="140" t="str">
        <f>VLOOKUP(text(D870, "#"),'Master Table'!$A:$F, 6, FALSE)</f>
        <v>F-9</v>
      </c>
      <c r="N870" s="141" t="str">
        <f>IFERROR(__xludf.DUMMYFUNCTION("""COMPUTED_VALUE"""),"High quality research and excellent understanding of topic. 
Very impressive presentation. ")</f>
        <v>High quality research and excellent understanding of topic. 
Very impressive presentation. </v>
      </c>
      <c r="O870" s="142" t="str">
        <f t="shared" si="1"/>
        <v/>
      </c>
      <c r="P870" s="143" t="str">
        <f>IF(ISNA(VLOOKUP(CONCAT(M870,C870), 'Judge Count DO NOT EDIT'!H:H, 1, FALSE)), "ERROR","")</f>
        <v/>
      </c>
      <c r="Q870" s="144"/>
      <c r="R870" s="143"/>
      <c r="S870" s="139" t="str">
        <f t="shared" si="2"/>
        <v>1072380</v>
      </c>
      <c r="T870" s="141"/>
    </row>
    <row r="871">
      <c r="A871" s="137">
        <f>IFERROR(__xludf.DUMMYFUNCTION("""COMPUTED_VALUE"""),45352.46399121528)</f>
        <v>45352.46399</v>
      </c>
      <c r="B871" s="138" t="str">
        <f>IFERROR(__xludf.DUMMYFUNCTION("""COMPUTED_VALUE"""),"Daniel Caro")</f>
        <v>Daniel Caro</v>
      </c>
      <c r="C871" s="138">
        <f>IFERROR(__xludf.DUMMYFUNCTION("""COMPUTED_VALUE"""),1231.0)</f>
        <v>1231</v>
      </c>
      <c r="D871" s="139">
        <f>IFERROR(__xludf.DUMMYFUNCTION("""COMPUTED_VALUE"""),380.0)</f>
        <v>380</v>
      </c>
      <c r="E871" s="138">
        <f>IFERROR(__xludf.DUMMYFUNCTION("""COMPUTED_VALUE"""),5.0)</f>
        <v>5</v>
      </c>
      <c r="F871" s="138">
        <f>IFERROR(__xludf.DUMMYFUNCTION("""COMPUTED_VALUE"""),5.0)</f>
        <v>5</v>
      </c>
      <c r="G871" s="138">
        <f>IFERROR(__xludf.DUMMYFUNCTION("""COMPUTED_VALUE"""),5.0)</f>
        <v>5</v>
      </c>
      <c r="H871" s="138">
        <f>IFERROR(__xludf.DUMMYFUNCTION("""COMPUTED_VALUE"""),5.0)</f>
        <v>5</v>
      </c>
      <c r="I871" s="138">
        <f>IFERROR(__xludf.DUMMYFUNCTION("""COMPUTED_VALUE"""),5.0)</f>
        <v>5</v>
      </c>
      <c r="J871" s="138">
        <f>IFERROR(__xludf.DUMMYFUNCTION("""COMPUTED_VALUE"""),5.0)</f>
        <v>5</v>
      </c>
      <c r="K871" s="138">
        <f>IFERROR(__xludf.DUMMYFUNCTION("""COMPUTED_VALUE"""),5.0)</f>
        <v>5</v>
      </c>
      <c r="L871" s="138">
        <v>35.0</v>
      </c>
      <c r="M871" s="140" t="str">
        <f>VLOOKUP(text(D871, "#"),'Master Table'!$A:$F, 6, FALSE)</f>
        <v>F-9</v>
      </c>
      <c r="N871" s="141" t="str">
        <f>IFERROR(__xludf.DUMMYFUNCTION("""COMPUTED_VALUE"""),"Excellent work. This research is fully rounded and uses a variety of techniques to better understand the progression of ovarian cancer. The methodologies are accurate and innovative. The statistical analysis is well done and easy to follow. I wish the stu"&amp;"dent to be very successful in her future doctoral studies.")</f>
        <v>Excellent work. This research is fully rounded and uses a variety of techniques to better understand the progression of ovarian cancer. The methodologies are accurate and innovative. The statistical analysis is well done and easy to follow. I wish the student to be very successful in her future doctoral studies.</v>
      </c>
      <c r="O871" s="142" t="str">
        <f t="shared" si="1"/>
        <v/>
      </c>
      <c r="P871" s="143" t="str">
        <f>IF(ISNA(VLOOKUP(CONCAT(M871,C871), 'Judge Count DO NOT EDIT'!H:H, 1, FALSE)), "ERROR","")</f>
        <v/>
      </c>
      <c r="Q871" s="141"/>
      <c r="R871" s="143"/>
      <c r="S871" s="139" t="str">
        <f t="shared" si="2"/>
        <v>1231380</v>
      </c>
      <c r="T871" s="141"/>
    </row>
    <row r="872">
      <c r="A872" s="137">
        <f>IFERROR(__xludf.DUMMYFUNCTION("""COMPUTED_VALUE"""),45352.41511780093)</f>
        <v>45352.41512</v>
      </c>
      <c r="B872" s="138" t="str">
        <f>IFERROR(__xludf.DUMMYFUNCTION("""COMPUTED_VALUE"""),"David trejo")</f>
        <v>David trejo</v>
      </c>
      <c r="C872" s="138">
        <f>IFERROR(__xludf.DUMMYFUNCTION("""COMPUTED_VALUE"""),1170.0)</f>
        <v>1170</v>
      </c>
      <c r="D872" s="139">
        <f>IFERROR(__xludf.DUMMYFUNCTION("""COMPUTED_VALUE"""),381.0)</f>
        <v>381</v>
      </c>
      <c r="E872" s="138">
        <f>IFERROR(__xludf.DUMMYFUNCTION("""COMPUTED_VALUE"""),3.0)</f>
        <v>3</v>
      </c>
      <c r="F872" s="138">
        <f>IFERROR(__xludf.DUMMYFUNCTION("""COMPUTED_VALUE"""),4.0)</f>
        <v>4</v>
      </c>
      <c r="G872" s="138">
        <f>IFERROR(__xludf.DUMMYFUNCTION("""COMPUTED_VALUE"""),4.0)</f>
        <v>4</v>
      </c>
      <c r="H872" s="138">
        <f>IFERROR(__xludf.DUMMYFUNCTION("""COMPUTED_VALUE"""),3.0)</f>
        <v>3</v>
      </c>
      <c r="I872" s="138">
        <f>IFERROR(__xludf.DUMMYFUNCTION("""COMPUTED_VALUE"""),4.0)</f>
        <v>4</v>
      </c>
      <c r="J872" s="138">
        <f>IFERROR(__xludf.DUMMYFUNCTION("""COMPUTED_VALUE"""),4.0)</f>
        <v>4</v>
      </c>
      <c r="K872" s="138">
        <f>IFERROR(__xludf.DUMMYFUNCTION("""COMPUTED_VALUE"""),4.0)</f>
        <v>4</v>
      </c>
      <c r="L872" s="138">
        <v>26.0</v>
      </c>
      <c r="M872" s="140" t="str">
        <f>VLOOKUP(text(D872, "#"),'Master Table'!$A:$F, 6, FALSE)</f>
        <v>F-10</v>
      </c>
      <c r="N872" s="141"/>
      <c r="O872" s="142" t="str">
        <f t="shared" si="1"/>
        <v/>
      </c>
      <c r="P872" s="143" t="str">
        <f>IF(ISNA(VLOOKUP(CONCAT(M872,C872), 'Judge Count DO NOT EDIT'!H:H, 1, FALSE)), "ERROR","")</f>
        <v/>
      </c>
      <c r="Q872" s="141"/>
      <c r="R872" s="143"/>
      <c r="S872" s="139" t="str">
        <f t="shared" si="2"/>
        <v>1170381</v>
      </c>
      <c r="T872" s="141"/>
    </row>
    <row r="873">
      <c r="A873" s="137">
        <f>IFERROR(__xludf.DUMMYFUNCTION("""COMPUTED_VALUE"""),45352.42509503472)</f>
        <v>45352.4251</v>
      </c>
      <c r="B873" s="138" t="str">
        <f>IFERROR(__xludf.DUMMYFUNCTION("""COMPUTED_VALUE"""),"Miranda Parker ")</f>
        <v>Miranda Parker </v>
      </c>
      <c r="C873" s="138">
        <f>IFERROR(__xludf.DUMMYFUNCTION("""COMPUTED_VALUE"""),1149.0)</f>
        <v>1149</v>
      </c>
      <c r="D873" s="139">
        <f>IFERROR(__xludf.DUMMYFUNCTION("""COMPUTED_VALUE"""),381.0)</f>
        <v>381</v>
      </c>
      <c r="E873" s="138">
        <f>IFERROR(__xludf.DUMMYFUNCTION("""COMPUTED_VALUE"""),4.0)</f>
        <v>4</v>
      </c>
      <c r="F873" s="138">
        <f>IFERROR(__xludf.DUMMYFUNCTION("""COMPUTED_VALUE"""),4.0)</f>
        <v>4</v>
      </c>
      <c r="G873" s="138">
        <f>IFERROR(__xludf.DUMMYFUNCTION("""COMPUTED_VALUE"""),4.0)</f>
        <v>4</v>
      </c>
      <c r="H873" s="138">
        <f>IFERROR(__xludf.DUMMYFUNCTION("""COMPUTED_VALUE"""),4.0)</f>
        <v>4</v>
      </c>
      <c r="I873" s="138">
        <f>IFERROR(__xludf.DUMMYFUNCTION("""COMPUTED_VALUE"""),5.0)</f>
        <v>5</v>
      </c>
      <c r="J873" s="138">
        <f>IFERROR(__xludf.DUMMYFUNCTION("""COMPUTED_VALUE"""),4.0)</f>
        <v>4</v>
      </c>
      <c r="K873" s="138">
        <f>IFERROR(__xludf.DUMMYFUNCTION("""COMPUTED_VALUE"""),5.0)</f>
        <v>5</v>
      </c>
      <c r="L873" s="138">
        <v>30.0</v>
      </c>
      <c r="M873" s="140" t="str">
        <f>VLOOKUP(text(D873, "#"),'Master Table'!$A:$F, 6, FALSE)</f>
        <v>F-10</v>
      </c>
      <c r="N873" s="141" t="str">
        <f>IFERROR(__xludf.DUMMYFUNCTION("""COMPUTED_VALUE"""),"You're a great presenter! Thank you for sharing about this project. You did a great job providing background and making the project understandable to a wide audience. You are clearly excited to conduct this research, and I look forward to your poster next"&amp;" year discussing the results!")</f>
        <v>You're a great presenter! Thank you for sharing about this project. You did a great job providing background and making the project understandable to a wide audience. You are clearly excited to conduct this research, and I look forward to your poster next year discussing the results!</v>
      </c>
      <c r="O873" s="142" t="str">
        <f t="shared" si="1"/>
        <v/>
      </c>
      <c r="P873" s="143" t="str">
        <f>IF(ISNA(VLOOKUP(CONCAT(M873,C873), 'Judge Count DO NOT EDIT'!H:H, 1, FALSE)), "ERROR","")</f>
        <v/>
      </c>
      <c r="Q873" s="141"/>
      <c r="R873" s="143"/>
      <c r="S873" s="139" t="str">
        <f t="shared" si="2"/>
        <v>1149381</v>
      </c>
      <c r="T873" s="141"/>
    </row>
    <row r="874">
      <c r="A874" s="137">
        <f>IFERROR(__xludf.DUMMYFUNCTION("""COMPUTED_VALUE"""),45352.44472817129)</f>
        <v>45352.44473</v>
      </c>
      <c r="B874" s="138" t="str">
        <f>IFERROR(__xludf.DUMMYFUNCTION("""COMPUTED_VALUE"""),"Qingqing He")</f>
        <v>Qingqing He</v>
      </c>
      <c r="C874" s="138">
        <f>IFERROR(__xludf.DUMMYFUNCTION("""COMPUTED_VALUE"""),1222.0)</f>
        <v>1222</v>
      </c>
      <c r="D874" s="139">
        <f>IFERROR(__xludf.DUMMYFUNCTION("""COMPUTED_VALUE"""),381.0)</f>
        <v>381</v>
      </c>
      <c r="E874" s="138">
        <f>IFERROR(__xludf.DUMMYFUNCTION("""COMPUTED_VALUE"""),4.0)</f>
        <v>4</v>
      </c>
      <c r="F874" s="138">
        <f>IFERROR(__xludf.DUMMYFUNCTION("""COMPUTED_VALUE"""),4.0)</f>
        <v>4</v>
      </c>
      <c r="G874" s="138">
        <f>IFERROR(__xludf.DUMMYFUNCTION("""COMPUTED_VALUE"""),4.0)</f>
        <v>4</v>
      </c>
      <c r="H874" s="138">
        <f>IFERROR(__xludf.DUMMYFUNCTION("""COMPUTED_VALUE"""),4.0)</f>
        <v>4</v>
      </c>
      <c r="I874" s="138">
        <f>IFERROR(__xludf.DUMMYFUNCTION("""COMPUTED_VALUE"""),4.0)</f>
        <v>4</v>
      </c>
      <c r="J874" s="138">
        <f>IFERROR(__xludf.DUMMYFUNCTION("""COMPUTED_VALUE"""),4.0)</f>
        <v>4</v>
      </c>
      <c r="K874" s="138">
        <f>IFERROR(__xludf.DUMMYFUNCTION("""COMPUTED_VALUE"""),4.0)</f>
        <v>4</v>
      </c>
      <c r="L874" s="138">
        <v>28.0</v>
      </c>
      <c r="M874" s="140" t="str">
        <f>VLOOKUP(text(D874, "#"),'Master Table'!$A:$F, 6, FALSE)</f>
        <v>F-10</v>
      </c>
      <c r="N874" s="141"/>
      <c r="O874" s="142" t="str">
        <f t="shared" si="1"/>
        <v/>
      </c>
      <c r="P874" s="143" t="str">
        <f>IF(ISNA(VLOOKUP(CONCAT(M874,C874), 'Judge Count DO NOT EDIT'!H:H, 1, FALSE)), "ERROR","")</f>
        <v/>
      </c>
      <c r="Q874" s="141"/>
      <c r="R874" s="143"/>
      <c r="S874" s="139" t="str">
        <f t="shared" si="2"/>
        <v>1222381</v>
      </c>
      <c r="T874" s="141"/>
    </row>
    <row r="875">
      <c r="A875" s="137">
        <f>IFERROR(__xludf.DUMMYFUNCTION("""COMPUTED_VALUE"""),45352.50591824074)</f>
        <v>45352.50592</v>
      </c>
      <c r="B875" s="138" t="str">
        <f>IFERROR(__xludf.DUMMYFUNCTION("""COMPUTED_VALUE"""),"Trent biggs")</f>
        <v>Trent biggs</v>
      </c>
      <c r="C875" s="138">
        <f>IFERROR(__xludf.DUMMYFUNCTION("""COMPUTED_VALUE"""),1146.0)</f>
        <v>1146</v>
      </c>
      <c r="D875" s="139">
        <f>IFERROR(__xludf.DUMMYFUNCTION("""COMPUTED_VALUE"""),381.0)</f>
        <v>381</v>
      </c>
      <c r="E875" s="138">
        <f>IFERROR(__xludf.DUMMYFUNCTION("""COMPUTED_VALUE"""),4.0)</f>
        <v>4</v>
      </c>
      <c r="F875" s="138">
        <f>IFERROR(__xludf.DUMMYFUNCTION("""COMPUTED_VALUE"""),4.0)</f>
        <v>4</v>
      </c>
      <c r="G875" s="138">
        <f>IFERROR(__xludf.DUMMYFUNCTION("""COMPUTED_VALUE"""),4.0)</f>
        <v>4</v>
      </c>
      <c r="H875" s="138">
        <f>IFERROR(__xludf.DUMMYFUNCTION("""COMPUTED_VALUE"""),2.0)</f>
        <v>2</v>
      </c>
      <c r="I875" s="138">
        <f>IFERROR(__xludf.DUMMYFUNCTION("""COMPUTED_VALUE"""),3.0)</f>
        <v>3</v>
      </c>
      <c r="J875" s="138">
        <f>IFERROR(__xludf.DUMMYFUNCTION("""COMPUTED_VALUE"""),3.0)</f>
        <v>3</v>
      </c>
      <c r="K875" s="138">
        <f>IFERROR(__xludf.DUMMYFUNCTION("""COMPUTED_VALUE"""),4.0)</f>
        <v>4</v>
      </c>
      <c r="L875" s="138">
        <v>24.0</v>
      </c>
      <c r="M875" s="140" t="str">
        <f>VLOOKUP(text(D875, "#"),'Master Table'!$A:$F, 6, FALSE)</f>
        <v>F-10</v>
      </c>
      <c r="N875" s="141" t="str">
        <f>IFERROR(__xludf.DUMMYFUNCTION("""COMPUTED_VALUE"""),"Interesting research question and clear overall study design.  The connection between landscape type and surface material to be used in the laboratory needs clarification.")</f>
        <v>Interesting research question and clear overall study design.  The connection between landscape type and surface material to be used in the laboratory needs clarification.</v>
      </c>
      <c r="O875" s="142" t="str">
        <f t="shared" si="1"/>
        <v/>
      </c>
      <c r="P875" s="143" t="str">
        <f>IF(ISNA(VLOOKUP(CONCAT(M875,C875), 'Judge Count DO NOT EDIT'!H:H, 1, FALSE)), "ERROR","")</f>
        <v/>
      </c>
      <c r="Q875" s="141"/>
      <c r="R875" s="143"/>
      <c r="S875" s="139" t="str">
        <f t="shared" si="2"/>
        <v>1146381</v>
      </c>
      <c r="T875" s="141"/>
    </row>
    <row r="876">
      <c r="A876" s="137">
        <f>IFERROR(__xludf.DUMMYFUNCTION("""COMPUTED_VALUE"""),45352.527659618056)</f>
        <v>45352.52766</v>
      </c>
      <c r="B876" s="138" t="str">
        <f>IFERROR(__xludf.DUMMYFUNCTION("""COMPUTED_VALUE"""),"Matthew Verbyla")</f>
        <v>Matthew Verbyla</v>
      </c>
      <c r="C876" s="138">
        <f>IFERROR(__xludf.DUMMYFUNCTION("""COMPUTED_VALUE"""),1159.0)</f>
        <v>1159</v>
      </c>
      <c r="D876" s="139">
        <f>IFERROR(__xludf.DUMMYFUNCTION("""COMPUTED_VALUE"""),381.0)</f>
        <v>381</v>
      </c>
      <c r="E876" s="138">
        <f>IFERROR(__xludf.DUMMYFUNCTION("""COMPUTED_VALUE"""),5.0)</f>
        <v>5</v>
      </c>
      <c r="F876" s="138">
        <f>IFERROR(__xludf.DUMMYFUNCTION("""COMPUTED_VALUE"""),3.0)</f>
        <v>3</v>
      </c>
      <c r="G876" s="138">
        <f>IFERROR(__xludf.DUMMYFUNCTION("""COMPUTED_VALUE"""),4.0)</f>
        <v>4</v>
      </c>
      <c r="H876" s="138">
        <f>IFERROR(__xludf.DUMMYFUNCTION("""COMPUTED_VALUE"""),4.0)</f>
        <v>4</v>
      </c>
      <c r="I876" s="138">
        <f>IFERROR(__xludf.DUMMYFUNCTION("""COMPUTED_VALUE"""),5.0)</f>
        <v>5</v>
      </c>
      <c r="J876" s="138">
        <f>IFERROR(__xludf.DUMMYFUNCTION("""COMPUTED_VALUE"""),5.0)</f>
        <v>5</v>
      </c>
      <c r="K876" s="138">
        <f>IFERROR(__xludf.DUMMYFUNCTION("""COMPUTED_VALUE"""),5.0)</f>
        <v>5</v>
      </c>
      <c r="L876" s="138">
        <v>31.0</v>
      </c>
      <c r="M876" s="140" t="str">
        <f>VLOOKUP(text(D876, "#"),'Master Table'!$A:$F, 6, FALSE)</f>
        <v>F-10</v>
      </c>
      <c r="N876" s="141" t="str">
        <f>IFERROR(__xludf.DUMMYFUNCTION("""COMPUTED_VALUE"""),"Great job on the presentation. The student clearly had an understanding of the research from the small scale (was able to drill down into the technical details) to the large scale (was able to talk about the importance of the research and implications). E"&amp;"xcellent delivery and interaction with audience. Only area that could have used some improvement is to better communicate the originality of the work and comparison to the state-of-the-art (for example, what has been found previously by other researchers "&amp;"and why is this study needed?). Otherwise, excellent job!")</f>
        <v>Great job on the presentation. The student clearly had an understanding of the research from the small scale (was able to drill down into the technical details) to the large scale (was able to talk about the importance of the research and implications). Excellent delivery and interaction with audience. Only area that could have used some improvement is to better communicate the originality of the work and comparison to the state-of-the-art (for example, what has been found previously by other researchers and why is this study needed?). Otherwise, excellent job!</v>
      </c>
      <c r="O876" s="142" t="str">
        <f t="shared" si="1"/>
        <v/>
      </c>
      <c r="P876" s="143" t="str">
        <f>IF(ISNA(VLOOKUP(CONCAT(M876,C876), 'Judge Count DO NOT EDIT'!H:H, 1, FALSE)), "ERROR","")</f>
        <v/>
      </c>
      <c r="Q876" s="141"/>
      <c r="R876" s="143"/>
      <c r="S876" s="139" t="str">
        <f t="shared" si="2"/>
        <v>1159381</v>
      </c>
      <c r="T876" s="141"/>
    </row>
    <row r="877">
      <c r="A877" s="137">
        <f>IFERROR(__xludf.DUMMYFUNCTION("""COMPUTED_VALUE"""),45352.41363079861)</f>
        <v>45352.41363</v>
      </c>
      <c r="B877" s="138" t="str">
        <f>IFERROR(__xludf.DUMMYFUNCTION("""COMPUTED_VALUE"""),"Miranda Parker ")</f>
        <v>Miranda Parker </v>
      </c>
      <c r="C877" s="138">
        <f>IFERROR(__xludf.DUMMYFUNCTION("""COMPUTED_VALUE"""),1149.0)</f>
        <v>1149</v>
      </c>
      <c r="D877" s="139">
        <f>IFERROR(__xludf.DUMMYFUNCTION("""COMPUTED_VALUE"""),382.0)</f>
        <v>382</v>
      </c>
      <c r="E877" s="138">
        <f>IFERROR(__xludf.DUMMYFUNCTION("""COMPUTED_VALUE"""),5.0)</f>
        <v>5</v>
      </c>
      <c r="F877" s="138">
        <f>IFERROR(__xludf.DUMMYFUNCTION("""COMPUTED_VALUE"""),3.0)</f>
        <v>3</v>
      </c>
      <c r="G877" s="138">
        <f>IFERROR(__xludf.DUMMYFUNCTION("""COMPUTED_VALUE"""),3.0)</f>
        <v>3</v>
      </c>
      <c r="H877" s="138">
        <f>IFERROR(__xludf.DUMMYFUNCTION("""COMPUTED_VALUE"""),3.0)</f>
        <v>3</v>
      </c>
      <c r="I877" s="138">
        <f>IFERROR(__xludf.DUMMYFUNCTION("""COMPUTED_VALUE"""),5.0)</f>
        <v>5</v>
      </c>
      <c r="J877" s="138">
        <f>IFERROR(__xludf.DUMMYFUNCTION("""COMPUTED_VALUE"""),4.0)</f>
        <v>4</v>
      </c>
      <c r="K877" s="138">
        <f>IFERROR(__xludf.DUMMYFUNCTION("""COMPUTED_VALUE"""),4.0)</f>
        <v>4</v>
      </c>
      <c r="L877" s="138">
        <v>27.0</v>
      </c>
      <c r="M877" s="140" t="str">
        <f>VLOOKUP(text(D877, "#"),'Master Table'!$A:$F, 6, FALSE)</f>
        <v>F-10</v>
      </c>
      <c r="N877" s="141" t="str">
        <f>IFERROR(__xludf.DUMMYFUNCTION("""COMPUTED_VALUE"""),"You're clearly very passionate and knowledgeable about this work! You did a great job walking through every step of the project and poster. I would have appreciated more of an overview upfront: why is this work important on the big scale. The graphics on "&amp;"your poster were perfect. Each time I was about to ask about something, I saw it was already illustrated right there. Great job!")</f>
        <v>You're clearly very passionate and knowledgeable about this work! You did a great job walking through every step of the project and poster. I would have appreciated more of an overview upfront: why is this work important on the big scale. The graphics on your poster were perfect. Each time I was about to ask about something, I saw it was already illustrated right there. Great job!</v>
      </c>
      <c r="O877" s="142" t="str">
        <f t="shared" si="1"/>
        <v/>
      </c>
      <c r="P877" s="143" t="str">
        <f>IF(ISNA(VLOOKUP(CONCAT(M877,C877), 'Judge Count DO NOT EDIT'!H:H, 1, FALSE)), "ERROR","")</f>
        <v/>
      </c>
      <c r="Q877" s="141"/>
      <c r="R877" s="143"/>
      <c r="S877" s="139" t="str">
        <f t="shared" si="2"/>
        <v>1149382</v>
      </c>
      <c r="T877" s="141"/>
    </row>
    <row r="878">
      <c r="A878" s="137">
        <f>IFERROR(__xludf.DUMMYFUNCTION("""COMPUTED_VALUE"""),45352.41615072917)</f>
        <v>45352.41615</v>
      </c>
      <c r="B878" s="138" t="str">
        <f>IFERROR(__xludf.DUMMYFUNCTION("""COMPUTED_VALUE"""),"Trent biggs")</f>
        <v>Trent biggs</v>
      </c>
      <c r="C878" s="138">
        <f>IFERROR(__xludf.DUMMYFUNCTION("""COMPUTED_VALUE"""),1146.0)</f>
        <v>1146</v>
      </c>
      <c r="D878" s="139">
        <f>IFERROR(__xludf.DUMMYFUNCTION("""COMPUTED_VALUE"""),382.0)</f>
        <v>382</v>
      </c>
      <c r="E878" s="138">
        <f>IFERROR(__xludf.DUMMYFUNCTION("""COMPUTED_VALUE"""),3.0)</f>
        <v>3</v>
      </c>
      <c r="F878" s="138">
        <f>IFERROR(__xludf.DUMMYFUNCTION("""COMPUTED_VALUE"""),3.0)</f>
        <v>3</v>
      </c>
      <c r="G878" s="138">
        <f>IFERROR(__xludf.DUMMYFUNCTION("""COMPUTED_VALUE"""),4.0)</f>
        <v>4</v>
      </c>
      <c r="H878" s="138">
        <f>IFERROR(__xludf.DUMMYFUNCTION("""COMPUTED_VALUE"""),4.0)</f>
        <v>4</v>
      </c>
      <c r="I878" s="138">
        <f>IFERROR(__xludf.DUMMYFUNCTION("""COMPUTED_VALUE"""),4.0)</f>
        <v>4</v>
      </c>
      <c r="J878" s="138">
        <f>IFERROR(__xludf.DUMMYFUNCTION("""COMPUTED_VALUE"""),3.0)</f>
        <v>3</v>
      </c>
      <c r="K878" s="138">
        <f>IFERROR(__xludf.DUMMYFUNCTION("""COMPUTED_VALUE"""),4.0)</f>
        <v>4</v>
      </c>
      <c r="L878" s="138">
        <v>25.0</v>
      </c>
      <c r="M878" s="140" t="str">
        <f>VLOOKUP(text(D878, "#"),'Master Table'!$A:$F, 6, FALSE)</f>
        <v>F-10</v>
      </c>
      <c r="N878" s="141" t="str">
        <f>IFERROR(__xludf.DUMMYFUNCTION("""COMPUTED_VALUE"""),"Very cool experimental setup.  Good articulation of the purpose and rationale for the study.  They were a few too many graphs for a poster, and some of the comparisons between your and NASA results could be clarified.  Very interesting study, and impact c"&amp;"ould be greater by selecting some highlighted results.  Good job!")</f>
        <v>Very cool experimental setup.  Good articulation of the purpose and rationale for the study.  They were a few too many graphs for a poster, and some of the comparisons between your and NASA results could be clarified.  Very interesting study, and impact could be greater by selecting some highlighted results.  Good job!</v>
      </c>
      <c r="O878" s="142" t="str">
        <f t="shared" si="1"/>
        <v/>
      </c>
      <c r="P878" s="143" t="str">
        <f>IF(ISNA(VLOOKUP(CONCAT(M878,C878), 'Judge Count DO NOT EDIT'!H:H, 1, FALSE)), "ERROR","")</f>
        <v/>
      </c>
      <c r="Q878" s="141"/>
      <c r="R878" s="143"/>
      <c r="S878" s="139" t="str">
        <f t="shared" si="2"/>
        <v>1146382</v>
      </c>
      <c r="T878" s="141"/>
    </row>
    <row r="879">
      <c r="A879" s="137">
        <f>IFERROR(__xludf.DUMMYFUNCTION("""COMPUTED_VALUE"""),45352.42624144676)</f>
        <v>45352.42624</v>
      </c>
      <c r="B879" s="138" t="str">
        <f>IFERROR(__xludf.DUMMYFUNCTION("""COMPUTED_VALUE"""),"David trejo")</f>
        <v>David trejo</v>
      </c>
      <c r="C879" s="138">
        <f>IFERROR(__xludf.DUMMYFUNCTION("""COMPUTED_VALUE"""),1170.0)</f>
        <v>1170</v>
      </c>
      <c r="D879" s="139">
        <f>IFERROR(__xludf.DUMMYFUNCTION("""COMPUTED_VALUE"""),382.0)</f>
        <v>382</v>
      </c>
      <c r="E879" s="138">
        <f>IFERROR(__xludf.DUMMYFUNCTION("""COMPUTED_VALUE"""),4.0)</f>
        <v>4</v>
      </c>
      <c r="F879" s="138">
        <f>IFERROR(__xludf.DUMMYFUNCTION("""COMPUTED_VALUE"""),3.0)</f>
        <v>3</v>
      </c>
      <c r="G879" s="138">
        <f>IFERROR(__xludf.DUMMYFUNCTION("""COMPUTED_VALUE"""),3.0)</f>
        <v>3</v>
      </c>
      <c r="H879" s="138">
        <f>IFERROR(__xludf.DUMMYFUNCTION("""COMPUTED_VALUE"""),4.0)</f>
        <v>4</v>
      </c>
      <c r="I879" s="138">
        <f>IFERROR(__xludf.DUMMYFUNCTION("""COMPUTED_VALUE"""),3.0)</f>
        <v>3</v>
      </c>
      <c r="J879" s="138">
        <f>IFERROR(__xludf.DUMMYFUNCTION("""COMPUTED_VALUE"""),3.0)</f>
        <v>3</v>
      </c>
      <c r="K879" s="138">
        <f>IFERROR(__xludf.DUMMYFUNCTION("""COMPUTED_VALUE"""),3.0)</f>
        <v>3</v>
      </c>
      <c r="L879" s="138">
        <v>23.0</v>
      </c>
      <c r="M879" s="140" t="str">
        <f>VLOOKUP(text(D879, "#"),'Master Table'!$A:$F, 6, FALSE)</f>
        <v>F-10</v>
      </c>
      <c r="N879" s="141"/>
      <c r="O879" s="142" t="str">
        <f t="shared" si="1"/>
        <v/>
      </c>
      <c r="P879" s="143" t="str">
        <f>IF(ISNA(VLOOKUP(CONCAT(M879,C879), 'Judge Count DO NOT EDIT'!H:H, 1, FALSE)), "ERROR","")</f>
        <v/>
      </c>
      <c r="Q879" s="141"/>
      <c r="R879" s="143"/>
      <c r="S879" s="139" t="str">
        <f t="shared" si="2"/>
        <v>1170382</v>
      </c>
      <c r="T879" s="141"/>
    </row>
    <row r="880">
      <c r="A880" s="137">
        <f>IFERROR(__xludf.DUMMYFUNCTION("""COMPUTED_VALUE"""),45352.44513040509)</f>
        <v>45352.44513</v>
      </c>
      <c r="B880" s="138" t="str">
        <f>IFERROR(__xludf.DUMMYFUNCTION("""COMPUTED_VALUE"""),"Qingqing He")</f>
        <v>Qingqing He</v>
      </c>
      <c r="C880" s="138">
        <f>IFERROR(__xludf.DUMMYFUNCTION("""COMPUTED_VALUE"""),1222.0)</f>
        <v>1222</v>
      </c>
      <c r="D880" s="139">
        <f>IFERROR(__xludf.DUMMYFUNCTION("""COMPUTED_VALUE"""),382.0)</f>
        <v>382</v>
      </c>
      <c r="E880" s="138">
        <f>IFERROR(__xludf.DUMMYFUNCTION("""COMPUTED_VALUE"""),5.0)</f>
        <v>5</v>
      </c>
      <c r="F880" s="138">
        <f>IFERROR(__xludf.DUMMYFUNCTION("""COMPUTED_VALUE"""),5.0)</f>
        <v>5</v>
      </c>
      <c r="G880" s="138">
        <f>IFERROR(__xludf.DUMMYFUNCTION("""COMPUTED_VALUE"""),5.0)</f>
        <v>5</v>
      </c>
      <c r="H880" s="138">
        <f>IFERROR(__xludf.DUMMYFUNCTION("""COMPUTED_VALUE"""),5.0)</f>
        <v>5</v>
      </c>
      <c r="I880" s="138">
        <f>IFERROR(__xludf.DUMMYFUNCTION("""COMPUTED_VALUE"""),5.0)</f>
        <v>5</v>
      </c>
      <c r="J880" s="138">
        <f>IFERROR(__xludf.DUMMYFUNCTION("""COMPUTED_VALUE"""),5.0)</f>
        <v>5</v>
      </c>
      <c r="K880" s="138">
        <f>IFERROR(__xludf.DUMMYFUNCTION("""COMPUTED_VALUE"""),5.0)</f>
        <v>5</v>
      </c>
      <c r="L880" s="138">
        <v>35.0</v>
      </c>
      <c r="M880" s="140" t="str">
        <f>VLOOKUP(text(D880, "#"),'Master Table'!$A:$F, 6, FALSE)</f>
        <v>F-10</v>
      </c>
      <c r="N880" s="141"/>
      <c r="O880" s="142" t="str">
        <f t="shared" si="1"/>
        <v/>
      </c>
      <c r="P880" s="143" t="str">
        <f>IF(ISNA(VLOOKUP(CONCAT(M880,C880), 'Judge Count DO NOT EDIT'!H:H, 1, FALSE)), "ERROR","")</f>
        <v/>
      </c>
      <c r="Q880" s="141"/>
      <c r="R880" s="143"/>
      <c r="S880" s="139" t="str">
        <f t="shared" si="2"/>
        <v>1222382</v>
      </c>
      <c r="T880" s="141"/>
    </row>
    <row r="881">
      <c r="A881" s="137">
        <f>IFERROR(__xludf.DUMMYFUNCTION("""COMPUTED_VALUE"""),45352.532419745374)</f>
        <v>45352.53242</v>
      </c>
      <c r="B881" s="138" t="str">
        <f>IFERROR(__xludf.DUMMYFUNCTION("""COMPUTED_VALUE"""),"Matthew Verbyla")</f>
        <v>Matthew Verbyla</v>
      </c>
      <c r="C881" s="138">
        <f>IFERROR(__xludf.DUMMYFUNCTION("""COMPUTED_VALUE"""),1159.0)</f>
        <v>1159</v>
      </c>
      <c r="D881" s="139">
        <f>IFERROR(__xludf.DUMMYFUNCTION("""COMPUTED_VALUE"""),382.0)</f>
        <v>382</v>
      </c>
      <c r="E881" s="138">
        <f>IFERROR(__xludf.DUMMYFUNCTION("""COMPUTED_VALUE"""),3.0)</f>
        <v>3</v>
      </c>
      <c r="F881" s="138">
        <f>IFERROR(__xludf.DUMMYFUNCTION("""COMPUTED_VALUE"""),4.0)</f>
        <v>4</v>
      </c>
      <c r="G881" s="138">
        <f>IFERROR(__xludf.DUMMYFUNCTION("""COMPUTED_VALUE"""),3.0)</f>
        <v>3</v>
      </c>
      <c r="H881" s="138">
        <f>IFERROR(__xludf.DUMMYFUNCTION("""COMPUTED_VALUE"""),4.0)</f>
        <v>4</v>
      </c>
      <c r="I881" s="138">
        <f>IFERROR(__xludf.DUMMYFUNCTION("""COMPUTED_VALUE"""),5.0)</f>
        <v>5</v>
      </c>
      <c r="J881" s="138">
        <f>IFERROR(__xludf.DUMMYFUNCTION("""COMPUTED_VALUE"""),2.0)</f>
        <v>2</v>
      </c>
      <c r="K881" s="138">
        <f>IFERROR(__xludf.DUMMYFUNCTION("""COMPUTED_VALUE"""),3.0)</f>
        <v>3</v>
      </c>
      <c r="L881" s="138">
        <v>24.0</v>
      </c>
      <c r="M881" s="140" t="str">
        <f>VLOOKUP(text(D881, "#"),'Master Table'!$A:$F, 6, FALSE)</f>
        <v>F-10</v>
      </c>
      <c r="N881" s="141" t="str">
        <f>IFERROR(__xludf.DUMMYFUNCTION("""COMPUTED_VALUE"""),"The student did an exceptional job with the delivery of the research findings, and also did an excellent job explaining the originality of the research and benchmarking it against previous findings by NASA. The content was highly technical, but the presen"&amp;"ter adequately explained concepts in a simpler way when asked. There was some room for improvement on the clarity of the presentation. There were a LOT of figures and it was a lot of information to process, many of the figure captions and legends had text"&amp;" with font size that was too small to be read. There may have been opportunities to combine multiple figures into one common figure that could have been made larger (like the figures that showed the student's results and the figures that showed NASA's pre"&amp;"vious results, they perhaps could have been plotted on a common figure to more easily see how the student's results compared to NASA's previous findings). Otherwise, the student did a great job and clearly had an in-depth understanding of the research met"&amp;"hodology and fundamental engineering concepts.")</f>
        <v>The student did an exceptional job with the delivery of the research findings, and also did an excellent job explaining the originality of the research and benchmarking it against previous findings by NASA. The content was highly technical, but the presenter adequately explained concepts in a simpler way when asked. There was some room for improvement on the clarity of the presentation. There were a LOT of figures and it was a lot of information to process, many of the figure captions and legends had text with font size that was too small to be read. There may have been opportunities to combine multiple figures into one common figure that could have been made larger (like the figures that showed the student's results and the figures that showed NASA's previous results, they perhaps could have been plotted on a common figure to more easily see how the student's results compared to NASA's previous findings). Otherwise, the student did a great job and clearly had an in-depth understanding of the research methodology and fundamental engineering concepts.</v>
      </c>
      <c r="O881" s="142" t="str">
        <f t="shared" si="1"/>
        <v/>
      </c>
      <c r="P881" s="143" t="str">
        <f>IF(ISNA(VLOOKUP(CONCAT(M881,C881), 'Judge Count DO NOT EDIT'!H:H, 1, FALSE)), "ERROR","")</f>
        <v/>
      </c>
      <c r="Q881" s="141"/>
      <c r="R881" s="143"/>
      <c r="S881" s="139" t="str">
        <f t="shared" si="2"/>
        <v>1159382</v>
      </c>
      <c r="T881" s="141"/>
    </row>
    <row r="882">
      <c r="A882" s="137">
        <f>IFERROR(__xludf.DUMMYFUNCTION("""COMPUTED_VALUE"""),45352.414597442126)</f>
        <v>45352.4146</v>
      </c>
      <c r="B882" s="138" t="str">
        <f>IFERROR(__xludf.DUMMYFUNCTION("""COMPUTED_VALUE"""),"Trent biggs")</f>
        <v>Trent biggs</v>
      </c>
      <c r="C882" s="138">
        <f>IFERROR(__xludf.DUMMYFUNCTION("""COMPUTED_VALUE"""),1146.0)</f>
        <v>1146</v>
      </c>
      <c r="D882" s="139">
        <f>IFERROR(__xludf.DUMMYFUNCTION("""COMPUTED_VALUE"""),383.0)</f>
        <v>383</v>
      </c>
      <c r="E882" s="138">
        <f>IFERROR(__xludf.DUMMYFUNCTION("""COMPUTED_VALUE"""),3.0)</f>
        <v>3</v>
      </c>
      <c r="F882" s="138">
        <f>IFERROR(__xludf.DUMMYFUNCTION("""COMPUTED_VALUE"""),3.0)</f>
        <v>3</v>
      </c>
      <c r="G882" s="138">
        <f>IFERROR(__xludf.DUMMYFUNCTION("""COMPUTED_VALUE"""),3.0)</f>
        <v>3</v>
      </c>
      <c r="H882" s="138">
        <f>IFERROR(__xludf.DUMMYFUNCTION("""COMPUTED_VALUE"""),4.0)</f>
        <v>4</v>
      </c>
      <c r="I882" s="138">
        <f>IFERROR(__xludf.DUMMYFUNCTION("""COMPUTED_VALUE"""),3.0)</f>
        <v>3</v>
      </c>
      <c r="J882" s="138">
        <f>IFERROR(__xludf.DUMMYFUNCTION("""COMPUTED_VALUE"""),3.0)</f>
        <v>3</v>
      </c>
      <c r="K882" s="138">
        <f>IFERROR(__xludf.DUMMYFUNCTION("""COMPUTED_VALUE"""),4.0)</f>
        <v>4</v>
      </c>
      <c r="L882" s="138">
        <v>23.0</v>
      </c>
      <c r="M882" s="140" t="str">
        <f>VLOOKUP(text(D882, "#"),'Master Table'!$A:$F, 6, FALSE)</f>
        <v>F-10</v>
      </c>
      <c r="N882" s="141" t="str">
        <f>IFERROR(__xludf.DUMMYFUNCTION("""COMPUTED_VALUE"""),"Excellent combination of experimental and numerical methods.  The motivation is a bit unclear and only emerged after questioning. Stating a research question and hypotheses might help. Interesting and publishable research, just needs a bit of organization"&amp;" for motivation and significance. ")</f>
        <v>Excellent combination of experimental and numerical methods.  The motivation is a bit unclear and only emerged after questioning. Stating a research question and hypotheses might help. Interesting and publishable research, just needs a bit of organization for motivation and significance. </v>
      </c>
      <c r="O882" s="142" t="str">
        <f t="shared" si="1"/>
        <v/>
      </c>
      <c r="P882" s="143" t="str">
        <f>IF(ISNA(VLOOKUP(CONCAT(M882,C882), 'Judge Count DO NOT EDIT'!H:H, 1, FALSE)), "ERROR","")</f>
        <v/>
      </c>
      <c r="Q882" s="141"/>
      <c r="R882" s="143"/>
      <c r="S882" s="139" t="str">
        <f t="shared" si="2"/>
        <v>1146383</v>
      </c>
      <c r="T882" s="141"/>
    </row>
    <row r="883">
      <c r="A883" s="137">
        <f>IFERROR(__xludf.DUMMYFUNCTION("""COMPUTED_VALUE"""),45352.41954319444)</f>
        <v>45352.41954</v>
      </c>
      <c r="B883" s="138" t="str">
        <f>IFERROR(__xludf.DUMMYFUNCTION("""COMPUTED_VALUE"""),"David trejo")</f>
        <v>David trejo</v>
      </c>
      <c r="C883" s="138">
        <f>IFERROR(__xludf.DUMMYFUNCTION("""COMPUTED_VALUE"""),1170.0)</f>
        <v>1170</v>
      </c>
      <c r="D883" s="139">
        <f>IFERROR(__xludf.DUMMYFUNCTION("""COMPUTED_VALUE"""),383.0)</f>
        <v>383</v>
      </c>
      <c r="E883" s="138">
        <f>IFERROR(__xludf.DUMMYFUNCTION("""COMPUTED_VALUE"""),3.0)</f>
        <v>3</v>
      </c>
      <c r="F883" s="138">
        <f>IFERROR(__xludf.DUMMYFUNCTION("""COMPUTED_VALUE"""),3.0)</f>
        <v>3</v>
      </c>
      <c r="G883" s="138">
        <f>IFERROR(__xludf.DUMMYFUNCTION("""COMPUTED_VALUE"""),2.0)</f>
        <v>2</v>
      </c>
      <c r="H883" s="138">
        <f>IFERROR(__xludf.DUMMYFUNCTION("""COMPUTED_VALUE"""),2.0)</f>
        <v>2</v>
      </c>
      <c r="I883" s="138">
        <f>IFERROR(__xludf.DUMMYFUNCTION("""COMPUTED_VALUE"""),3.0)</f>
        <v>3</v>
      </c>
      <c r="J883" s="138">
        <f>IFERROR(__xludf.DUMMYFUNCTION("""COMPUTED_VALUE"""),3.0)</f>
        <v>3</v>
      </c>
      <c r="K883" s="138">
        <f>IFERROR(__xludf.DUMMYFUNCTION("""COMPUTED_VALUE"""),2.0)</f>
        <v>2</v>
      </c>
      <c r="L883" s="138">
        <v>18.0</v>
      </c>
      <c r="M883" s="140" t="str">
        <f>VLOOKUP(text(D883, "#"),'Master Table'!$A:$F, 6, FALSE)</f>
        <v>F-10</v>
      </c>
      <c r="N883" s="141"/>
      <c r="O883" s="142" t="str">
        <f t="shared" si="1"/>
        <v/>
      </c>
      <c r="P883" s="143" t="str">
        <f>IF(ISNA(VLOOKUP(CONCAT(M883,C883), 'Judge Count DO NOT EDIT'!H:H, 1, FALSE)), "ERROR","")</f>
        <v/>
      </c>
      <c r="Q883" s="141"/>
      <c r="R883" s="143"/>
      <c r="S883" s="139" t="str">
        <f t="shared" si="2"/>
        <v>1170383</v>
      </c>
      <c r="T883" s="141"/>
    </row>
    <row r="884">
      <c r="A884" s="137">
        <f>IFERROR(__xludf.DUMMYFUNCTION("""COMPUTED_VALUE"""),45352.44549657407)</f>
        <v>45352.4455</v>
      </c>
      <c r="B884" s="138" t="str">
        <f>IFERROR(__xludf.DUMMYFUNCTION("""COMPUTED_VALUE"""),"Qingqing He")</f>
        <v>Qingqing He</v>
      </c>
      <c r="C884" s="138">
        <f>IFERROR(__xludf.DUMMYFUNCTION("""COMPUTED_VALUE"""),1222.0)</f>
        <v>1222</v>
      </c>
      <c r="D884" s="139">
        <f>IFERROR(__xludf.DUMMYFUNCTION("""COMPUTED_VALUE"""),383.0)</f>
        <v>383</v>
      </c>
      <c r="E884" s="138">
        <f>IFERROR(__xludf.DUMMYFUNCTION("""COMPUTED_VALUE"""),5.0)</f>
        <v>5</v>
      </c>
      <c r="F884" s="138">
        <f>IFERROR(__xludf.DUMMYFUNCTION("""COMPUTED_VALUE"""),5.0)</f>
        <v>5</v>
      </c>
      <c r="G884" s="138">
        <f>IFERROR(__xludf.DUMMYFUNCTION("""COMPUTED_VALUE"""),5.0)</f>
        <v>5</v>
      </c>
      <c r="H884" s="138">
        <f>IFERROR(__xludf.DUMMYFUNCTION("""COMPUTED_VALUE"""),5.0)</f>
        <v>5</v>
      </c>
      <c r="I884" s="138">
        <f>IFERROR(__xludf.DUMMYFUNCTION("""COMPUTED_VALUE"""),5.0)</f>
        <v>5</v>
      </c>
      <c r="J884" s="138">
        <f>IFERROR(__xludf.DUMMYFUNCTION("""COMPUTED_VALUE"""),5.0)</f>
        <v>5</v>
      </c>
      <c r="K884" s="138">
        <f>IFERROR(__xludf.DUMMYFUNCTION("""COMPUTED_VALUE"""),5.0)</f>
        <v>5</v>
      </c>
      <c r="L884" s="138">
        <v>35.0</v>
      </c>
      <c r="M884" s="140" t="str">
        <f>VLOOKUP(text(D884, "#"),'Master Table'!$A:$F, 6, FALSE)</f>
        <v>F-10</v>
      </c>
      <c r="N884" s="141"/>
      <c r="O884" s="142" t="str">
        <f t="shared" si="1"/>
        <v/>
      </c>
      <c r="P884" s="143" t="str">
        <f>IF(ISNA(VLOOKUP(CONCAT(M884,C884), 'Judge Count DO NOT EDIT'!H:H, 1, FALSE)), "ERROR","")</f>
        <v/>
      </c>
      <c r="Q884" s="141"/>
      <c r="R884" s="143"/>
      <c r="S884" s="139" t="str">
        <f t="shared" si="2"/>
        <v>1222383</v>
      </c>
      <c r="T884" s="141"/>
    </row>
    <row r="885">
      <c r="A885" s="137">
        <f>IFERROR(__xludf.DUMMYFUNCTION("""COMPUTED_VALUE"""),45352.534623831016)</f>
        <v>45352.53462</v>
      </c>
      <c r="B885" s="138" t="str">
        <f>IFERROR(__xludf.DUMMYFUNCTION("""COMPUTED_VALUE"""),"Matthew Verbyla")</f>
        <v>Matthew Verbyla</v>
      </c>
      <c r="C885" s="138">
        <f>IFERROR(__xludf.DUMMYFUNCTION("""COMPUTED_VALUE"""),1159.0)</f>
        <v>1159</v>
      </c>
      <c r="D885" s="139">
        <f>IFERROR(__xludf.DUMMYFUNCTION("""COMPUTED_VALUE"""),383.0)</f>
        <v>383</v>
      </c>
      <c r="E885" s="138">
        <f>IFERROR(__xludf.DUMMYFUNCTION("""COMPUTED_VALUE"""),5.0)</f>
        <v>5</v>
      </c>
      <c r="F885" s="138">
        <f>IFERROR(__xludf.DUMMYFUNCTION("""COMPUTED_VALUE"""),4.0)</f>
        <v>4</v>
      </c>
      <c r="G885" s="138">
        <f>IFERROR(__xludf.DUMMYFUNCTION("""COMPUTED_VALUE"""),4.0)</f>
        <v>4</v>
      </c>
      <c r="H885" s="138">
        <f>IFERROR(__xludf.DUMMYFUNCTION("""COMPUTED_VALUE"""),5.0)</f>
        <v>5</v>
      </c>
      <c r="I885" s="138">
        <f>IFERROR(__xludf.DUMMYFUNCTION("""COMPUTED_VALUE"""),5.0)</f>
        <v>5</v>
      </c>
      <c r="J885" s="138">
        <f>IFERROR(__xludf.DUMMYFUNCTION("""COMPUTED_VALUE"""),4.0)</f>
        <v>4</v>
      </c>
      <c r="K885" s="138">
        <f>IFERROR(__xludf.DUMMYFUNCTION("""COMPUTED_VALUE"""),5.0)</f>
        <v>5</v>
      </c>
      <c r="L885" s="138">
        <v>32.0</v>
      </c>
      <c r="M885" s="140" t="str">
        <f>VLOOKUP(text(D885, "#"),'Master Table'!$A:$F, 6, FALSE)</f>
        <v>F-10</v>
      </c>
      <c r="N885" s="141" t="str">
        <f>IFERROR(__xludf.DUMMYFUNCTION("""COMPUTED_VALUE"""),"Great job overall. The student adequately explained the importance of the research and related it to the previous work (development of a solar collector device and the need to provide some cooling for one of its components). When asked detailed and techni"&amp;"cal questions about the methodology, the student demonstrated excellent proficiency and understanding about what was done and how it was done and why. ")</f>
        <v>Great job overall. The student adequately explained the importance of the research and related it to the previous work (development of a solar collector device and the need to provide some cooling for one of its components). When asked detailed and technical questions about the methodology, the student demonstrated excellent proficiency and understanding about what was done and how it was done and why. </v>
      </c>
      <c r="O885" s="142" t="str">
        <f t="shared" si="1"/>
        <v/>
      </c>
      <c r="P885" s="143" t="str">
        <f>IF(ISNA(VLOOKUP(CONCAT(M885,C885), 'Judge Count DO NOT EDIT'!H:H, 1, FALSE)), "ERROR","")</f>
        <v/>
      </c>
      <c r="Q885" s="144"/>
      <c r="R885" s="143"/>
      <c r="S885" s="139" t="str">
        <f t="shared" si="2"/>
        <v>1159383</v>
      </c>
      <c r="T885" s="141"/>
    </row>
    <row r="886">
      <c r="A886" s="137">
        <f>IFERROR(__xludf.DUMMYFUNCTION("""COMPUTED_VALUE"""),45352.41077315972)</f>
        <v>45352.41077</v>
      </c>
      <c r="B886" s="138" t="str">
        <f>IFERROR(__xludf.DUMMYFUNCTION("""COMPUTED_VALUE"""),"David trejo")</f>
        <v>David trejo</v>
      </c>
      <c r="C886" s="138">
        <f>IFERROR(__xludf.DUMMYFUNCTION("""COMPUTED_VALUE"""),1170.0)</f>
        <v>1170</v>
      </c>
      <c r="D886" s="139">
        <f>IFERROR(__xludf.DUMMYFUNCTION("""COMPUTED_VALUE"""),385.0)</f>
        <v>385</v>
      </c>
      <c r="E886" s="138">
        <f>IFERROR(__xludf.DUMMYFUNCTION("""COMPUTED_VALUE"""),3.0)</f>
        <v>3</v>
      </c>
      <c r="F886" s="138">
        <f>IFERROR(__xludf.DUMMYFUNCTION("""COMPUTED_VALUE"""),3.0)</f>
        <v>3</v>
      </c>
      <c r="G886" s="138">
        <f>IFERROR(__xludf.DUMMYFUNCTION("""COMPUTED_VALUE"""),3.0)</f>
        <v>3</v>
      </c>
      <c r="H886" s="138">
        <f>IFERROR(__xludf.DUMMYFUNCTION("""COMPUTED_VALUE"""),4.0)</f>
        <v>4</v>
      </c>
      <c r="I886" s="138">
        <f>IFERROR(__xludf.DUMMYFUNCTION("""COMPUTED_VALUE"""),4.0)</f>
        <v>4</v>
      </c>
      <c r="J886" s="138">
        <f>IFERROR(__xludf.DUMMYFUNCTION("""COMPUTED_VALUE"""),4.0)</f>
        <v>4</v>
      </c>
      <c r="K886" s="138">
        <f>IFERROR(__xludf.DUMMYFUNCTION("""COMPUTED_VALUE"""),4.0)</f>
        <v>4</v>
      </c>
      <c r="L886" s="138">
        <v>25.0</v>
      </c>
      <c r="M886" s="140" t="str">
        <f>VLOOKUP(text(D886, "#"),'Master Table'!$A:$F, 6, FALSE)</f>
        <v>F-10</v>
      </c>
      <c r="N886" s="141"/>
      <c r="O886" s="142" t="str">
        <f t="shared" si="1"/>
        <v/>
      </c>
      <c r="P886" s="143" t="str">
        <f>IF(ISNA(VLOOKUP(CONCAT(M886,C886), 'Judge Count DO NOT EDIT'!H:H, 1, FALSE)), "ERROR","")</f>
        <v/>
      </c>
      <c r="Q886" s="141"/>
      <c r="R886" s="143"/>
      <c r="S886" s="139" t="str">
        <f t="shared" si="2"/>
        <v>1170385</v>
      </c>
      <c r="T886" s="141"/>
    </row>
    <row r="887">
      <c r="A887" s="137">
        <f>IFERROR(__xludf.DUMMYFUNCTION("""COMPUTED_VALUE"""),45352.44593184028)</f>
        <v>45352.44593</v>
      </c>
      <c r="B887" s="138" t="str">
        <f>IFERROR(__xludf.DUMMYFUNCTION("""COMPUTED_VALUE"""),"Qingqing He")</f>
        <v>Qingqing He</v>
      </c>
      <c r="C887" s="138">
        <f>IFERROR(__xludf.DUMMYFUNCTION("""COMPUTED_VALUE"""),1222.0)</f>
        <v>1222</v>
      </c>
      <c r="D887" s="139">
        <f>IFERROR(__xludf.DUMMYFUNCTION("""COMPUTED_VALUE"""),385.0)</f>
        <v>385</v>
      </c>
      <c r="E887" s="138">
        <f>IFERROR(__xludf.DUMMYFUNCTION("""COMPUTED_VALUE"""),3.0)</f>
        <v>3</v>
      </c>
      <c r="F887" s="138">
        <f>IFERROR(__xludf.DUMMYFUNCTION("""COMPUTED_VALUE"""),3.0)</f>
        <v>3</v>
      </c>
      <c r="G887" s="138">
        <f>IFERROR(__xludf.DUMMYFUNCTION("""COMPUTED_VALUE"""),3.0)</f>
        <v>3</v>
      </c>
      <c r="H887" s="138">
        <f>IFERROR(__xludf.DUMMYFUNCTION("""COMPUTED_VALUE"""),3.0)</f>
        <v>3</v>
      </c>
      <c r="I887" s="138">
        <f>IFERROR(__xludf.DUMMYFUNCTION("""COMPUTED_VALUE"""),3.0)</f>
        <v>3</v>
      </c>
      <c r="J887" s="138">
        <f>IFERROR(__xludf.DUMMYFUNCTION("""COMPUTED_VALUE"""),3.0)</f>
        <v>3</v>
      </c>
      <c r="K887" s="138">
        <f>IFERROR(__xludf.DUMMYFUNCTION("""COMPUTED_VALUE"""),3.0)</f>
        <v>3</v>
      </c>
      <c r="L887" s="138">
        <v>21.0</v>
      </c>
      <c r="M887" s="140" t="str">
        <f>VLOOKUP(text(D887, "#"),'Master Table'!$A:$F, 6, FALSE)</f>
        <v>F-10</v>
      </c>
      <c r="N887" s="141"/>
      <c r="O887" s="142" t="str">
        <f t="shared" si="1"/>
        <v/>
      </c>
      <c r="P887" s="143" t="str">
        <f>IF(ISNA(VLOOKUP(CONCAT(M887,C887), 'Judge Count DO NOT EDIT'!H:H, 1, FALSE)), "ERROR","")</f>
        <v/>
      </c>
      <c r="Q887" s="141"/>
      <c r="R887" s="143"/>
      <c r="S887" s="139" t="str">
        <f t="shared" si="2"/>
        <v>1222385</v>
      </c>
      <c r="T887" s="141"/>
    </row>
    <row r="888">
      <c r="A888" s="137">
        <f>IFERROR(__xludf.DUMMYFUNCTION("""COMPUTED_VALUE"""),45352.50413917824)</f>
        <v>45352.50414</v>
      </c>
      <c r="B888" s="138" t="str">
        <f>IFERROR(__xludf.DUMMYFUNCTION("""COMPUTED_VALUE"""),"Trent biggs")</f>
        <v>Trent biggs</v>
      </c>
      <c r="C888" s="138">
        <f>IFERROR(__xludf.DUMMYFUNCTION("""COMPUTED_VALUE"""),1146.0)</f>
        <v>1146</v>
      </c>
      <c r="D888" s="139">
        <f>IFERROR(__xludf.DUMMYFUNCTION("""COMPUTED_VALUE"""),385.0)</f>
        <v>385</v>
      </c>
      <c r="E888" s="138">
        <f>IFERROR(__xludf.DUMMYFUNCTION("""COMPUTED_VALUE"""),4.0)</f>
        <v>4</v>
      </c>
      <c r="F888" s="138">
        <f>IFERROR(__xludf.DUMMYFUNCTION("""COMPUTED_VALUE"""),3.0)</f>
        <v>3</v>
      </c>
      <c r="G888" s="138">
        <f>IFERROR(__xludf.DUMMYFUNCTION("""COMPUTED_VALUE"""),4.0)</f>
        <v>4</v>
      </c>
      <c r="H888" s="138">
        <f>IFERROR(__xludf.DUMMYFUNCTION("""COMPUTED_VALUE"""),2.0)</f>
        <v>2</v>
      </c>
      <c r="I888" s="138">
        <f>IFERROR(__xludf.DUMMYFUNCTION("""COMPUTED_VALUE"""),4.0)</f>
        <v>4</v>
      </c>
      <c r="J888" s="138">
        <f>IFERROR(__xludf.DUMMYFUNCTION("""COMPUTED_VALUE"""),3.0)</f>
        <v>3</v>
      </c>
      <c r="K888" s="138">
        <f>IFERROR(__xludf.DUMMYFUNCTION("""COMPUTED_VALUE"""),3.0)</f>
        <v>3</v>
      </c>
      <c r="L888" s="138">
        <v>23.0</v>
      </c>
      <c r="M888" s="140" t="str">
        <f>VLOOKUP(text(D888, "#"),'Master Table'!$A:$F, 6, FALSE)</f>
        <v>F-10</v>
      </c>
      <c r="N888" s="141" t="str">
        <f>IFERROR(__xludf.DUMMYFUNCTION("""COMPUTED_VALUE"""),"Excellent research question Good motivation, good contrast to previous studies.  Excellent maps!  Methods need to be clarified and inventory of data (locations, times, hydrologic conditions) more systematically documented.  ")</f>
        <v>Excellent research question Good motivation, good contrast to previous studies.  Excellent maps!  Methods need to be clarified and inventory of data (locations, times, hydrologic conditions) more systematically documented.  </v>
      </c>
      <c r="O888" s="142" t="str">
        <f t="shared" si="1"/>
        <v/>
      </c>
      <c r="P888" s="143" t="str">
        <f>IF(ISNA(VLOOKUP(CONCAT(M888,C888), 'Judge Count DO NOT EDIT'!H:H, 1, FALSE)), "ERROR","")</f>
        <v/>
      </c>
      <c r="Q888" s="141"/>
      <c r="R888" s="143"/>
      <c r="S888" s="139" t="str">
        <f t="shared" si="2"/>
        <v>1146385</v>
      </c>
      <c r="T888" s="141"/>
    </row>
    <row r="889">
      <c r="A889" s="137">
        <f>IFERROR(__xludf.DUMMYFUNCTION("""COMPUTED_VALUE"""),45352.53930738426)</f>
        <v>45352.53931</v>
      </c>
      <c r="B889" s="138" t="str">
        <f>IFERROR(__xludf.DUMMYFUNCTION("""COMPUTED_VALUE"""),"Matthew Verbyla")</f>
        <v>Matthew Verbyla</v>
      </c>
      <c r="C889" s="138">
        <f>IFERROR(__xludf.DUMMYFUNCTION("""COMPUTED_VALUE"""),1159.0)</f>
        <v>1159</v>
      </c>
      <c r="D889" s="139">
        <f>IFERROR(__xludf.DUMMYFUNCTION("""COMPUTED_VALUE"""),385.0)</f>
        <v>385</v>
      </c>
      <c r="E889" s="138">
        <f>IFERROR(__xludf.DUMMYFUNCTION("""COMPUTED_VALUE"""),5.0)</f>
        <v>5</v>
      </c>
      <c r="F889" s="138">
        <f>IFERROR(__xludf.DUMMYFUNCTION("""COMPUTED_VALUE"""),5.0)</f>
        <v>5</v>
      </c>
      <c r="G889" s="138">
        <f>IFERROR(__xludf.DUMMYFUNCTION("""COMPUTED_VALUE"""),5.0)</f>
        <v>5</v>
      </c>
      <c r="H889" s="138">
        <f>IFERROR(__xludf.DUMMYFUNCTION("""COMPUTED_VALUE"""),2.0)</f>
        <v>2</v>
      </c>
      <c r="I889" s="138">
        <f>IFERROR(__xludf.DUMMYFUNCTION("""COMPUTED_VALUE"""),5.0)</f>
        <v>5</v>
      </c>
      <c r="J889" s="138">
        <f>IFERROR(__xludf.DUMMYFUNCTION("""COMPUTED_VALUE"""),4.0)</f>
        <v>4</v>
      </c>
      <c r="K889" s="138">
        <f>IFERROR(__xludf.DUMMYFUNCTION("""COMPUTED_VALUE"""),5.0)</f>
        <v>5</v>
      </c>
      <c r="L889" s="138">
        <v>31.0</v>
      </c>
      <c r="M889" s="140" t="str">
        <f>VLOOKUP(text(D889, "#"),'Master Table'!$A:$F, 6, FALSE)</f>
        <v>F-10</v>
      </c>
      <c r="N889" s="141" t="str">
        <f>IFERROR(__xludf.DUMMYFUNCTION("""COMPUTED_VALUE"""),"Really, the presentation was excellent/exceptional in almost all aspects. The student demonstrated a detailed understanding of the research approach, significance, and originality. She interacted very well with the audience, and presented the material in "&amp;"a way that was very clear, relatable and did not use excessive scientific jargon. The only area where I saw some room for improvement was the methodology. Clearly the research was in an earlier stage, so the main findings were not ready to present yet, bu"&amp;"t also, I didn't hear much detail about the proposed processes that would be used to collect information and data to really address the research question. I understood that community water quality reports would be gathered to collect water quality data to"&amp;" answer the overall research question, but it was not clear if this was referring to consumer confidence reports or NPDES water quality reports, and more importantly it was not clear what the hypothesis was regarding how the fires would specifically affec"&amp;"t water quality. I'm sure the reasoning was there, I just did not really hear it. Otherwise, the work was very well presented and the presenter did an outstanding job!")</f>
        <v>Really, the presentation was excellent/exceptional in almost all aspects. The student demonstrated a detailed understanding of the research approach, significance, and originality. She interacted very well with the audience, and presented the material in a way that was very clear, relatable and did not use excessive scientific jargon. The only area where I saw some room for improvement was the methodology. Clearly the research was in an earlier stage, so the main findings were not ready to present yet, but also, I didn't hear much detail about the proposed processes that would be used to collect information and data to really address the research question. I understood that community water quality reports would be gathered to collect water quality data to answer the overall research question, but it was not clear if this was referring to consumer confidence reports or NPDES water quality reports, and more importantly it was not clear what the hypothesis was regarding how the fires would specifically affect water quality. I'm sure the reasoning was there, I just did not really hear it. Otherwise, the work was very well presented and the presenter did an outstanding job!</v>
      </c>
      <c r="O889" s="142" t="str">
        <f t="shared" si="1"/>
        <v/>
      </c>
      <c r="P889" s="143" t="str">
        <f>IF(ISNA(VLOOKUP(CONCAT(M889,C889), 'Judge Count DO NOT EDIT'!H:H, 1, FALSE)), "ERROR","")</f>
        <v/>
      </c>
      <c r="Q889" s="141"/>
      <c r="R889" s="143"/>
      <c r="S889" s="139" t="str">
        <f t="shared" si="2"/>
        <v>1159385</v>
      </c>
      <c r="T889" s="141"/>
    </row>
    <row r="890">
      <c r="A890" s="137">
        <f>IFERROR(__xludf.DUMMYFUNCTION("""COMPUTED_VALUE"""),45352.38597239583)</f>
        <v>45352.38597</v>
      </c>
      <c r="B890" s="138" t="str">
        <f>IFERROR(__xludf.DUMMYFUNCTION("""COMPUTED_VALUE"""),"Jeff Gustafson ")</f>
        <v>Jeff Gustafson </v>
      </c>
      <c r="C890" s="138">
        <f>IFERROR(__xludf.DUMMYFUNCTION("""COMPUTED_VALUE"""),1205.0)</f>
        <v>1205</v>
      </c>
      <c r="D890" s="139">
        <f>IFERROR(__xludf.DUMMYFUNCTION("""COMPUTED_VALUE"""),386.0)</f>
        <v>386</v>
      </c>
      <c r="E890" s="138">
        <f>IFERROR(__xludf.DUMMYFUNCTION("""COMPUTED_VALUE"""),1.0)</f>
        <v>1</v>
      </c>
      <c r="F890" s="138">
        <f>IFERROR(__xludf.DUMMYFUNCTION("""COMPUTED_VALUE"""),1.0)</f>
        <v>1</v>
      </c>
      <c r="G890" s="138">
        <f>IFERROR(__xludf.DUMMYFUNCTION("""COMPUTED_VALUE"""),1.0)</f>
        <v>1</v>
      </c>
      <c r="H890" s="138">
        <f>IFERROR(__xludf.DUMMYFUNCTION("""COMPUTED_VALUE"""),1.0)</f>
        <v>1</v>
      </c>
      <c r="I890" s="138">
        <f>IFERROR(__xludf.DUMMYFUNCTION("""COMPUTED_VALUE"""),1.0)</f>
        <v>1</v>
      </c>
      <c r="J890" s="138">
        <f>IFERROR(__xludf.DUMMYFUNCTION("""COMPUTED_VALUE"""),1.0)</f>
        <v>1</v>
      </c>
      <c r="K890" s="138">
        <f>IFERROR(__xludf.DUMMYFUNCTION("""COMPUTED_VALUE"""),1.0)</f>
        <v>1</v>
      </c>
      <c r="L890" s="138">
        <v>7.0</v>
      </c>
      <c r="M890" s="140" t="str">
        <f>VLOOKUP(text(D890, "#"),'Master Table'!$A:$F, 6, FALSE)</f>
        <v>F-11</v>
      </c>
      <c r="N890" s="141" t="str">
        <f>IFERROR(__xludf.DUMMYFUNCTION("""COMPUTED_VALUE"""),"Not present ")</f>
        <v>Not present </v>
      </c>
      <c r="O890" s="142" t="str">
        <f t="shared" si="1"/>
        <v/>
      </c>
      <c r="P890" s="143" t="str">
        <f>IF(ISNA(VLOOKUP(CONCAT(M890,C890), 'Judge Count DO NOT EDIT'!H:H, 1, FALSE)), "ERROR","")</f>
        <v/>
      </c>
      <c r="Q890" s="141"/>
      <c r="R890" s="143"/>
      <c r="S890" s="139" t="str">
        <f t="shared" si="2"/>
        <v>1205386</v>
      </c>
      <c r="T890" s="141"/>
    </row>
    <row r="891">
      <c r="A891" s="137">
        <f>IFERROR(__xludf.DUMMYFUNCTION("""COMPUTED_VALUE"""),45352.38323824074)</f>
        <v>45352.38324</v>
      </c>
      <c r="B891" s="138" t="str">
        <f>IFERROR(__xludf.DUMMYFUNCTION("""COMPUTED_VALUE"""),"Kelly Sawyer")</f>
        <v>Kelly Sawyer</v>
      </c>
      <c r="C891" s="138">
        <f>IFERROR(__xludf.DUMMYFUNCTION("""COMPUTED_VALUE"""),1196.0)</f>
        <v>1196</v>
      </c>
      <c r="D891" s="139">
        <f>IFERROR(__xludf.DUMMYFUNCTION("""COMPUTED_VALUE"""),387.0)</f>
        <v>387</v>
      </c>
      <c r="E891" s="138">
        <f>IFERROR(__xludf.DUMMYFUNCTION("""COMPUTED_VALUE"""),4.0)</f>
        <v>4</v>
      </c>
      <c r="F891" s="138">
        <f>IFERROR(__xludf.DUMMYFUNCTION("""COMPUTED_VALUE"""),3.0)</f>
        <v>3</v>
      </c>
      <c r="G891" s="138">
        <f>IFERROR(__xludf.DUMMYFUNCTION("""COMPUTED_VALUE"""),3.0)</f>
        <v>3</v>
      </c>
      <c r="H891" s="138">
        <f>IFERROR(__xludf.DUMMYFUNCTION("""COMPUTED_VALUE"""),3.0)</f>
        <v>3</v>
      </c>
      <c r="I891" s="138">
        <f>IFERROR(__xludf.DUMMYFUNCTION("""COMPUTED_VALUE"""),3.0)</f>
        <v>3</v>
      </c>
      <c r="J891" s="138">
        <f>IFERROR(__xludf.DUMMYFUNCTION("""COMPUTED_VALUE"""),4.0)</f>
        <v>4</v>
      </c>
      <c r="K891" s="138">
        <f>IFERROR(__xludf.DUMMYFUNCTION("""COMPUTED_VALUE"""),4.0)</f>
        <v>4</v>
      </c>
      <c r="L891" s="138">
        <v>24.0</v>
      </c>
      <c r="M891" s="140" t="str">
        <f>VLOOKUP(text(D891, "#"),'Master Table'!$A:$F, 6, FALSE)</f>
        <v>F-11</v>
      </c>
      <c r="N891" s="141" t="str">
        <f>IFERROR(__xludf.DUMMYFUNCTION("""COMPUTED_VALUE"""),"This topic is very nuance so the ability to summarize in a digestible way was one of this presenter’s strengths. Granted given the complexity of the topic and how “far out” (in space), it was hard to follow the logistics of the poster but the organization"&amp;" of the poster overall was very well put together. I think if I had some additional background or was in the related field, I would have appreciated this poster much more. ")</f>
        <v>This topic is very nuance so the ability to summarize in a digestible way was one of this presenter’s strengths. Granted given the complexity of the topic and how “far out” (in space), it was hard to follow the logistics of the poster but the organization of the poster overall was very well put together. I think if I had some additional background or was in the related field, I would have appreciated this poster much more. </v>
      </c>
      <c r="O891" s="142" t="str">
        <f t="shared" si="1"/>
        <v/>
      </c>
      <c r="P891" s="143" t="str">
        <f>IF(ISNA(VLOOKUP(CONCAT(M891,C891), 'Judge Count DO NOT EDIT'!H:H, 1, FALSE)), "ERROR","")</f>
        <v/>
      </c>
      <c r="Q891" s="141"/>
      <c r="R891" s="143"/>
      <c r="S891" s="139" t="str">
        <f t="shared" si="2"/>
        <v>1196387</v>
      </c>
      <c r="T891" s="141"/>
    </row>
    <row r="892">
      <c r="A892" s="137">
        <f>IFERROR(__xludf.DUMMYFUNCTION("""COMPUTED_VALUE"""),45352.39792653936)</f>
        <v>45352.39793</v>
      </c>
      <c r="B892" s="138" t="str">
        <f>IFERROR(__xludf.DUMMYFUNCTION("""COMPUTED_VALUE"""),"Jerome Gilles")</f>
        <v>Jerome Gilles</v>
      </c>
      <c r="C892" s="138">
        <f>IFERROR(__xludf.DUMMYFUNCTION("""COMPUTED_VALUE"""),1166.0)</f>
        <v>1166</v>
      </c>
      <c r="D892" s="139">
        <f>IFERROR(__xludf.DUMMYFUNCTION("""COMPUTED_VALUE"""),387.0)</f>
        <v>387</v>
      </c>
      <c r="E892" s="138">
        <f>IFERROR(__xludf.DUMMYFUNCTION("""COMPUTED_VALUE"""),3.0)</f>
        <v>3</v>
      </c>
      <c r="F892" s="138">
        <f>IFERROR(__xludf.DUMMYFUNCTION("""COMPUTED_VALUE"""),4.0)</f>
        <v>4</v>
      </c>
      <c r="G892" s="138">
        <f>IFERROR(__xludf.DUMMYFUNCTION("""COMPUTED_VALUE"""),4.0)</f>
        <v>4</v>
      </c>
      <c r="H892" s="138">
        <f>IFERROR(__xludf.DUMMYFUNCTION("""COMPUTED_VALUE"""),4.0)</f>
        <v>4</v>
      </c>
      <c r="I892" s="138">
        <f>IFERROR(__xludf.DUMMYFUNCTION("""COMPUTED_VALUE"""),4.0)</f>
        <v>4</v>
      </c>
      <c r="J892" s="138">
        <f>IFERROR(__xludf.DUMMYFUNCTION("""COMPUTED_VALUE"""),3.0)</f>
        <v>3</v>
      </c>
      <c r="K892" s="138">
        <f>IFERROR(__xludf.DUMMYFUNCTION("""COMPUTED_VALUE"""),4.0)</f>
        <v>4</v>
      </c>
      <c r="L892" s="138">
        <v>26.0</v>
      </c>
      <c r="M892" s="140" t="str">
        <f>VLOOKUP(text(D892, "#"),'Master Table'!$A:$F, 6, FALSE)</f>
        <v>F-11</v>
      </c>
      <c r="N892" s="141" t="str">
        <f>IFERROR(__xludf.DUMMYFUNCTION("""COMPUTED_VALUE"""),"Knowledgeable and clear explanation")</f>
        <v>Knowledgeable and clear explanation</v>
      </c>
      <c r="O892" s="142" t="str">
        <f t="shared" si="1"/>
        <v/>
      </c>
      <c r="P892" s="143" t="str">
        <f>IF(ISNA(VLOOKUP(CONCAT(M892,C892), 'Judge Count DO NOT EDIT'!H:H, 1, FALSE)), "ERROR","")</f>
        <v/>
      </c>
      <c r="Q892" s="141"/>
      <c r="R892" s="143"/>
      <c r="S892" s="139" t="str">
        <f t="shared" si="2"/>
        <v>1166387</v>
      </c>
      <c r="T892" s="141"/>
    </row>
    <row r="893">
      <c r="A893" s="137">
        <f>IFERROR(__xludf.DUMMYFUNCTION("""COMPUTED_VALUE"""),45352.43114361112)</f>
        <v>45352.43114</v>
      </c>
      <c r="B893" s="138" t="str">
        <f>IFERROR(__xludf.DUMMYFUNCTION("""COMPUTED_VALUE"""),"Jeff Gustafson ")</f>
        <v>Jeff Gustafson </v>
      </c>
      <c r="C893" s="138">
        <f>IFERROR(__xludf.DUMMYFUNCTION("""COMPUTED_VALUE"""),1205.0)</f>
        <v>1205</v>
      </c>
      <c r="D893" s="139">
        <f>IFERROR(__xludf.DUMMYFUNCTION("""COMPUTED_VALUE"""),387.0)</f>
        <v>387</v>
      </c>
      <c r="E893" s="138">
        <f>IFERROR(__xludf.DUMMYFUNCTION("""COMPUTED_VALUE"""),5.0)</f>
        <v>5</v>
      </c>
      <c r="F893" s="138">
        <f>IFERROR(__xludf.DUMMYFUNCTION("""COMPUTED_VALUE"""),5.0)</f>
        <v>5</v>
      </c>
      <c r="G893" s="138">
        <f>IFERROR(__xludf.DUMMYFUNCTION("""COMPUTED_VALUE"""),5.0)</f>
        <v>5</v>
      </c>
      <c r="H893" s="138">
        <f>IFERROR(__xludf.DUMMYFUNCTION("""COMPUTED_VALUE"""),4.0)</f>
        <v>4</v>
      </c>
      <c r="I893" s="138">
        <f>IFERROR(__xludf.DUMMYFUNCTION("""COMPUTED_VALUE"""),5.0)</f>
        <v>5</v>
      </c>
      <c r="J893" s="138">
        <f>IFERROR(__xludf.DUMMYFUNCTION("""COMPUTED_VALUE"""),5.0)</f>
        <v>5</v>
      </c>
      <c r="K893" s="138">
        <f>IFERROR(__xludf.DUMMYFUNCTION("""COMPUTED_VALUE"""),5.0)</f>
        <v>5</v>
      </c>
      <c r="L893" s="138">
        <v>34.0</v>
      </c>
      <c r="M893" s="140" t="str">
        <f>VLOOKUP(text(D893, "#"),'Master Table'!$A:$F, 6, FALSE)</f>
        <v>F-11</v>
      </c>
      <c r="N893" s="141"/>
      <c r="O893" s="142" t="str">
        <f t="shared" si="1"/>
        <v/>
      </c>
      <c r="P893" s="143" t="str">
        <f>IF(ISNA(VLOOKUP(CONCAT(M893,C893), 'Judge Count DO NOT EDIT'!H:H, 1, FALSE)), "ERROR","")</f>
        <v/>
      </c>
      <c r="Q893" s="141"/>
      <c r="R893" s="143"/>
      <c r="S893" s="139" t="str">
        <f t="shared" si="2"/>
        <v>1205387</v>
      </c>
      <c r="T893" s="141"/>
    </row>
    <row r="894">
      <c r="A894" s="137">
        <f>IFERROR(__xludf.DUMMYFUNCTION("""COMPUTED_VALUE"""),45352.46482302083)</f>
        <v>45352.46482</v>
      </c>
      <c r="B894" s="138" t="str">
        <f>IFERROR(__xludf.DUMMYFUNCTION("""COMPUTED_VALUE"""),"Douglas Leonard")</f>
        <v>Douglas Leonard</v>
      </c>
      <c r="C894" s="138">
        <f>IFERROR(__xludf.DUMMYFUNCTION("""COMPUTED_VALUE"""),1040.0)</f>
        <v>1040</v>
      </c>
      <c r="D894" s="139">
        <f>IFERROR(__xludf.DUMMYFUNCTION("""COMPUTED_VALUE"""),387.0)</f>
        <v>387</v>
      </c>
      <c r="E894" s="138">
        <f>IFERROR(__xludf.DUMMYFUNCTION("""COMPUTED_VALUE"""),4.0)</f>
        <v>4</v>
      </c>
      <c r="F894" s="138">
        <f>IFERROR(__xludf.DUMMYFUNCTION("""COMPUTED_VALUE"""),4.0)</f>
        <v>4</v>
      </c>
      <c r="G894" s="138">
        <f>IFERROR(__xludf.DUMMYFUNCTION("""COMPUTED_VALUE"""),4.0)</f>
        <v>4</v>
      </c>
      <c r="H894" s="138">
        <f>IFERROR(__xludf.DUMMYFUNCTION("""COMPUTED_VALUE"""),4.0)</f>
        <v>4</v>
      </c>
      <c r="I894" s="138">
        <f>IFERROR(__xludf.DUMMYFUNCTION("""COMPUTED_VALUE"""),5.0)</f>
        <v>5</v>
      </c>
      <c r="J894" s="138">
        <f>IFERROR(__xludf.DUMMYFUNCTION("""COMPUTED_VALUE"""),4.0)</f>
        <v>4</v>
      </c>
      <c r="K894" s="138">
        <f>IFERROR(__xludf.DUMMYFUNCTION("""COMPUTED_VALUE"""),5.0)</f>
        <v>5</v>
      </c>
      <c r="L894" s="138">
        <v>30.0</v>
      </c>
      <c r="M894" s="140" t="str">
        <f>VLOOKUP(text(D894, "#"),'Master Table'!$A:$F, 6, FALSE)</f>
        <v>F-11</v>
      </c>
      <c r="N894" s="141" t="str">
        <f>IFERROR(__xludf.DUMMYFUNCTION("""COMPUTED_VALUE"""),"As a 1st-year Master's student the Presenter distinguished themselves through a calm, coherent delivery of information -- confident where appropriate, but not afraid to indicate the boundaries of their knowledge.  As a poster presentation, the oral delive"&amp;"ry was particularly strong, both to the expert and non-expert.  The poster itself presented the information well enough, although I would encourage the Presenter to consider including a bit more about the context of the work - what has been done in the fi"&amp;"eld prior?")</f>
        <v>As a 1st-year Master's student the Presenter distinguished themselves through a calm, coherent delivery of information -- confident where appropriate, but not afraid to indicate the boundaries of their knowledge.  As a poster presentation, the oral delivery was particularly strong, both to the expert and non-expert.  The poster itself presented the information well enough, although I would encourage the Presenter to consider including a bit more about the context of the work - what has been done in the field prior?</v>
      </c>
      <c r="O894" s="142" t="str">
        <f t="shared" si="1"/>
        <v/>
      </c>
      <c r="P894" s="143" t="str">
        <f>IF(ISNA(VLOOKUP(CONCAT(M894,C894), 'Judge Count DO NOT EDIT'!H:H, 1, FALSE)), "ERROR","")</f>
        <v/>
      </c>
      <c r="Q894" s="141"/>
      <c r="R894" s="143"/>
      <c r="S894" s="139" t="str">
        <f t="shared" si="2"/>
        <v>1040387</v>
      </c>
      <c r="T894" s="141"/>
    </row>
    <row r="895">
      <c r="A895" s="137">
        <f>IFERROR(__xludf.DUMMYFUNCTION("""COMPUTED_VALUE"""),45352.393297048606)</f>
        <v>45352.3933</v>
      </c>
      <c r="B895" s="138" t="str">
        <f>IFERROR(__xludf.DUMMYFUNCTION("""COMPUTED_VALUE"""),"Kelly Sawyer")</f>
        <v>Kelly Sawyer</v>
      </c>
      <c r="C895" s="138">
        <f>IFERROR(__xludf.DUMMYFUNCTION("""COMPUTED_VALUE"""),1196.0)</f>
        <v>1196</v>
      </c>
      <c r="D895" s="139">
        <f>IFERROR(__xludf.DUMMYFUNCTION("""COMPUTED_VALUE"""),388.0)</f>
        <v>388</v>
      </c>
      <c r="E895" s="138">
        <f>IFERROR(__xludf.DUMMYFUNCTION("""COMPUTED_VALUE"""),4.0)</f>
        <v>4</v>
      </c>
      <c r="F895" s="138">
        <f>IFERROR(__xludf.DUMMYFUNCTION("""COMPUTED_VALUE"""),3.0)</f>
        <v>3</v>
      </c>
      <c r="G895" s="138">
        <f>IFERROR(__xludf.DUMMYFUNCTION("""COMPUTED_VALUE"""),3.0)</f>
        <v>3</v>
      </c>
      <c r="H895" s="138">
        <f>IFERROR(__xludf.DUMMYFUNCTION("""COMPUTED_VALUE"""),3.0)</f>
        <v>3</v>
      </c>
      <c r="I895" s="138">
        <f>IFERROR(__xludf.DUMMYFUNCTION("""COMPUTED_VALUE"""),4.0)</f>
        <v>4</v>
      </c>
      <c r="J895" s="138">
        <f>IFERROR(__xludf.DUMMYFUNCTION("""COMPUTED_VALUE"""),3.0)</f>
        <v>3</v>
      </c>
      <c r="K895" s="138">
        <f>IFERROR(__xludf.DUMMYFUNCTION("""COMPUTED_VALUE"""),4.0)</f>
        <v>4</v>
      </c>
      <c r="L895" s="138">
        <v>24.0</v>
      </c>
      <c r="M895" s="140" t="str">
        <f>VLOOKUP(text(D895, "#"),'Master Table'!$A:$F, 6, FALSE)</f>
        <v>F-11</v>
      </c>
      <c r="N895" s="141" t="str">
        <f>IFERROR(__xludf.DUMMYFUNCTION("""COMPUTED_VALUE"""),"Poster had some nice summary text which was helpful because it established what the paragraph discussing hence easier to follow along. Speaker was clearly passionate about the topic which engaged me, but it got so specific I was having trouble towards the"&amp;" end. Presenter was able to establish not why this necessarily effects our earth at the moment, but able to connect to the significance of the field overall especially with the modeling potential capabilities.")</f>
        <v>Poster had some nice summary text which was helpful because it established what the paragraph discussing hence easier to follow along. Speaker was clearly passionate about the topic which engaged me, but it got so specific I was having trouble towards the end. Presenter was able to establish not why this necessarily effects our earth at the moment, but able to connect to the significance of the field overall especially with the modeling potential capabilities.</v>
      </c>
      <c r="O895" s="142" t="str">
        <f t="shared" si="1"/>
        <v/>
      </c>
      <c r="P895" s="143" t="str">
        <f>IF(ISNA(VLOOKUP(CONCAT(M895,C895), 'Judge Count DO NOT EDIT'!H:H, 1, FALSE)), "ERROR","")</f>
        <v/>
      </c>
      <c r="Q895" s="141"/>
      <c r="R895" s="143"/>
      <c r="S895" s="139" t="str">
        <f t="shared" si="2"/>
        <v>1196388</v>
      </c>
      <c r="T895" s="141"/>
    </row>
    <row r="896">
      <c r="A896" s="137">
        <f>IFERROR(__xludf.DUMMYFUNCTION("""COMPUTED_VALUE"""),45352.403791550925)</f>
        <v>45352.40379</v>
      </c>
      <c r="B896" s="138" t="str">
        <f>IFERROR(__xludf.DUMMYFUNCTION("""COMPUTED_VALUE"""),"Jerome Gilles ")</f>
        <v>Jerome Gilles </v>
      </c>
      <c r="C896" s="138">
        <f>IFERROR(__xludf.DUMMYFUNCTION("""COMPUTED_VALUE"""),1166.0)</f>
        <v>1166</v>
      </c>
      <c r="D896" s="139">
        <f>IFERROR(__xludf.DUMMYFUNCTION("""COMPUTED_VALUE"""),388.0)</f>
        <v>388</v>
      </c>
      <c r="E896" s="138">
        <f>IFERROR(__xludf.DUMMYFUNCTION("""COMPUTED_VALUE"""),3.0)</f>
        <v>3</v>
      </c>
      <c r="F896" s="138">
        <f>IFERROR(__xludf.DUMMYFUNCTION("""COMPUTED_VALUE"""),3.0)</f>
        <v>3</v>
      </c>
      <c r="G896" s="138">
        <f>IFERROR(__xludf.DUMMYFUNCTION("""COMPUTED_VALUE"""),4.0)</f>
        <v>4</v>
      </c>
      <c r="H896" s="138">
        <f>IFERROR(__xludf.DUMMYFUNCTION("""COMPUTED_VALUE"""),3.0)</f>
        <v>3</v>
      </c>
      <c r="I896" s="138">
        <f>IFERROR(__xludf.DUMMYFUNCTION("""COMPUTED_VALUE"""),3.0)</f>
        <v>3</v>
      </c>
      <c r="J896" s="138">
        <f>IFERROR(__xludf.DUMMYFUNCTION("""COMPUTED_VALUE"""),4.0)</f>
        <v>4</v>
      </c>
      <c r="K896" s="138">
        <f>IFERROR(__xludf.DUMMYFUNCTION("""COMPUTED_VALUE"""),3.0)</f>
        <v>3</v>
      </c>
      <c r="L896" s="138">
        <v>23.0</v>
      </c>
      <c r="M896" s="140" t="str">
        <f>VLOOKUP(text(D896, "#"),'Master Table'!$A:$F, 6, FALSE)</f>
        <v>F-11</v>
      </c>
      <c r="N896" s="141"/>
      <c r="O896" s="142" t="str">
        <f t="shared" si="1"/>
        <v/>
      </c>
      <c r="P896" s="143" t="str">
        <f>IF(ISNA(VLOOKUP(CONCAT(M896,C896), 'Judge Count DO NOT EDIT'!H:H, 1, FALSE)), "ERROR","")</f>
        <v/>
      </c>
      <c r="Q896" s="144"/>
      <c r="R896" s="143"/>
      <c r="S896" s="139" t="str">
        <f t="shared" si="2"/>
        <v>1166388</v>
      </c>
      <c r="T896" s="141"/>
    </row>
    <row r="897">
      <c r="A897" s="137">
        <f>IFERROR(__xludf.DUMMYFUNCTION("""COMPUTED_VALUE"""),45352.4317096875)</f>
        <v>45352.43171</v>
      </c>
      <c r="B897" s="138" t="str">
        <f>IFERROR(__xludf.DUMMYFUNCTION("""COMPUTED_VALUE"""),"Jeff Gustafson ")</f>
        <v>Jeff Gustafson </v>
      </c>
      <c r="C897" s="138">
        <f>IFERROR(__xludf.DUMMYFUNCTION("""COMPUTED_VALUE"""),1205.0)</f>
        <v>1205</v>
      </c>
      <c r="D897" s="139">
        <f>IFERROR(__xludf.DUMMYFUNCTION("""COMPUTED_VALUE"""),388.0)</f>
        <v>388</v>
      </c>
      <c r="E897" s="138">
        <f>IFERROR(__xludf.DUMMYFUNCTION("""COMPUTED_VALUE"""),3.0)</f>
        <v>3</v>
      </c>
      <c r="F897" s="138">
        <f>IFERROR(__xludf.DUMMYFUNCTION("""COMPUTED_VALUE"""),4.0)</f>
        <v>4</v>
      </c>
      <c r="G897" s="138">
        <f>IFERROR(__xludf.DUMMYFUNCTION("""COMPUTED_VALUE"""),4.0)</f>
        <v>4</v>
      </c>
      <c r="H897" s="138">
        <f>IFERROR(__xludf.DUMMYFUNCTION("""COMPUTED_VALUE"""),4.0)</f>
        <v>4</v>
      </c>
      <c r="I897" s="138">
        <f>IFERROR(__xludf.DUMMYFUNCTION("""COMPUTED_VALUE"""),3.0)</f>
        <v>3</v>
      </c>
      <c r="J897" s="138">
        <f>IFERROR(__xludf.DUMMYFUNCTION("""COMPUTED_VALUE"""),3.0)</f>
        <v>3</v>
      </c>
      <c r="K897" s="138">
        <f>IFERROR(__xludf.DUMMYFUNCTION("""COMPUTED_VALUE"""),3.0)</f>
        <v>3</v>
      </c>
      <c r="L897" s="138">
        <v>24.0</v>
      </c>
      <c r="M897" s="140" t="str">
        <f>VLOOKUP(text(D897, "#"),'Master Table'!$A:$F, 6, FALSE)</f>
        <v>F-11</v>
      </c>
      <c r="N897" s="141"/>
      <c r="O897" s="142" t="str">
        <f t="shared" si="1"/>
        <v/>
      </c>
      <c r="P897" s="143" t="str">
        <f>IF(ISNA(VLOOKUP(CONCAT(M897,C897), 'Judge Count DO NOT EDIT'!H:H, 1, FALSE)), "ERROR","")</f>
        <v/>
      </c>
      <c r="Q897" s="141"/>
      <c r="R897" s="143"/>
      <c r="S897" s="139" t="str">
        <f t="shared" si="2"/>
        <v>1205388</v>
      </c>
      <c r="T897" s="141"/>
    </row>
    <row r="898">
      <c r="A898" s="137">
        <f>IFERROR(__xludf.DUMMYFUNCTION("""COMPUTED_VALUE"""),45352.47025238426)</f>
        <v>45352.47025</v>
      </c>
      <c r="B898" s="138" t="str">
        <f>IFERROR(__xludf.DUMMYFUNCTION("""COMPUTED_VALUE""")," Douglas Leonard")</f>
        <v> Douglas Leonard</v>
      </c>
      <c r="C898" s="138">
        <f>IFERROR(__xludf.DUMMYFUNCTION("""COMPUTED_VALUE"""),1040.0)</f>
        <v>1040</v>
      </c>
      <c r="D898" s="139">
        <f>IFERROR(__xludf.DUMMYFUNCTION("""COMPUTED_VALUE"""),388.0)</f>
        <v>388</v>
      </c>
      <c r="E898" s="138">
        <f>IFERROR(__xludf.DUMMYFUNCTION("""COMPUTED_VALUE"""),3.0)</f>
        <v>3</v>
      </c>
      <c r="F898" s="138">
        <f>IFERROR(__xludf.DUMMYFUNCTION("""COMPUTED_VALUE"""),3.0)</f>
        <v>3</v>
      </c>
      <c r="G898" s="138">
        <f>IFERROR(__xludf.DUMMYFUNCTION("""COMPUTED_VALUE"""),4.0)</f>
        <v>4</v>
      </c>
      <c r="H898" s="138">
        <f>IFERROR(__xludf.DUMMYFUNCTION("""COMPUTED_VALUE"""),4.0)</f>
        <v>4</v>
      </c>
      <c r="I898" s="138">
        <f>IFERROR(__xludf.DUMMYFUNCTION("""COMPUTED_VALUE"""),3.0)</f>
        <v>3</v>
      </c>
      <c r="J898" s="138">
        <f>IFERROR(__xludf.DUMMYFUNCTION("""COMPUTED_VALUE"""),4.0)</f>
        <v>4</v>
      </c>
      <c r="K898" s="138">
        <f>IFERROR(__xludf.DUMMYFUNCTION("""COMPUTED_VALUE"""),3.0)</f>
        <v>3</v>
      </c>
      <c r="L898" s="138">
        <v>24.0</v>
      </c>
      <c r="M898" s="140" t="str">
        <f>VLOOKUP(text(D898, "#"),'Master Table'!$A:$F, 6, FALSE)</f>
        <v>F-11</v>
      </c>
      <c r="N898" s="141" t="str">
        <f>IFERROR(__xludf.DUMMYFUNCTION("""COMPUTED_VALUE"""),"As a 1st year Master's student, the Presenter comported themselves well to queries from those visiting the poster, giving competent responses to a range of questions.  The poster itself concerned a quite technical field, focusing on the interface of compu"&amp;"tational modeling/theory and observations that is a challenge to present to the non-expert while avoiding discipline-specific language.  Presenter did a good job with this, although I would encourage some thinking about how to best convey such complex mat"&amp;"erial; the poster itself presented a lot of information, perhaps a bit much to take in quickly.  Again, some thought on how to present only the most important/relevant material could make for better absorption by the more casual viewer.  But overall a ver"&amp;"y nice start on a complex topic!")</f>
        <v>As a 1st year Master's student, the Presenter comported themselves well to queries from those visiting the poster, giving competent responses to a range of questions.  The poster itself concerned a quite technical field, focusing on the interface of computational modeling/theory and observations that is a challenge to present to the non-expert while avoiding discipline-specific language.  Presenter did a good job with this, although I would encourage some thinking about how to best convey such complex material; the poster itself presented a lot of information, perhaps a bit much to take in quickly.  Again, some thought on how to present only the most important/relevant material could make for better absorption by the more casual viewer.  But overall a very nice start on a complex topic!</v>
      </c>
      <c r="O898" s="142" t="str">
        <f t="shared" si="1"/>
        <v/>
      </c>
      <c r="P898" s="143" t="str">
        <f>IF(ISNA(VLOOKUP(CONCAT(M898,C898), 'Judge Count DO NOT EDIT'!H:H, 1, FALSE)), "ERROR","")</f>
        <v/>
      </c>
      <c r="Q898" s="141"/>
      <c r="R898" s="143"/>
      <c r="S898" s="139" t="str">
        <f t="shared" si="2"/>
        <v>1040388</v>
      </c>
      <c r="T898" s="141"/>
    </row>
    <row r="899">
      <c r="A899" s="137">
        <f>IFERROR(__xludf.DUMMYFUNCTION("""COMPUTED_VALUE"""),45352.40617487268)</f>
        <v>45352.40617</v>
      </c>
      <c r="B899" s="138" t="str">
        <f>IFERROR(__xludf.DUMMYFUNCTION("""COMPUTED_VALUE"""),"Kelly Sawyer")</f>
        <v>Kelly Sawyer</v>
      </c>
      <c r="C899" s="138">
        <f>IFERROR(__xludf.DUMMYFUNCTION("""COMPUTED_VALUE"""),1196.0)</f>
        <v>1196</v>
      </c>
      <c r="D899" s="139">
        <f>IFERROR(__xludf.DUMMYFUNCTION("""COMPUTED_VALUE"""),389.0)</f>
        <v>389</v>
      </c>
      <c r="E899" s="138">
        <f>IFERROR(__xludf.DUMMYFUNCTION("""COMPUTED_VALUE"""),3.0)</f>
        <v>3</v>
      </c>
      <c r="F899" s="138">
        <f>IFERROR(__xludf.DUMMYFUNCTION("""COMPUTED_VALUE"""),4.0)</f>
        <v>4</v>
      </c>
      <c r="G899" s="138">
        <f>IFERROR(__xludf.DUMMYFUNCTION("""COMPUTED_VALUE"""),4.0)</f>
        <v>4</v>
      </c>
      <c r="H899" s="138">
        <f>IFERROR(__xludf.DUMMYFUNCTION("""COMPUTED_VALUE"""),3.0)</f>
        <v>3</v>
      </c>
      <c r="I899" s="138">
        <f>IFERROR(__xludf.DUMMYFUNCTION("""COMPUTED_VALUE"""),4.0)</f>
        <v>4</v>
      </c>
      <c r="J899" s="138">
        <f>IFERROR(__xludf.DUMMYFUNCTION("""COMPUTED_VALUE"""),3.0)</f>
        <v>3</v>
      </c>
      <c r="K899" s="138">
        <f>IFERROR(__xludf.DUMMYFUNCTION("""COMPUTED_VALUE"""),4.0)</f>
        <v>4</v>
      </c>
      <c r="L899" s="138">
        <v>25.0</v>
      </c>
      <c r="M899" s="140" t="str">
        <f>VLOOKUP(text(D899, "#"),'Master Table'!$A:$F, 6, FALSE)</f>
        <v>F-11</v>
      </c>
      <c r="N899" s="141" t="str">
        <f>IFERROR(__xludf.DUMMYFUNCTION("""COMPUTED_VALUE"""),"This topic had a very descriptive title so grasping the essence of the topic at first was unclear, but the presenters gave a very clear summary of what “fluorescence based assay”, and “protein protein” meant. The center of the poster of images was not as "&amp;"clear to see of the workflow referred to the overall process or just the image above. ")</f>
        <v>This topic had a very descriptive title so grasping the essence of the topic at first was unclear, but the presenters gave a very clear summary of what “fluorescence based assay”, and “protein protein” meant. The center of the poster of images was not as clear to see of the workflow referred to the overall process or just the image above. </v>
      </c>
      <c r="O899" s="142" t="str">
        <f t="shared" si="1"/>
        <v/>
      </c>
      <c r="P899" s="143" t="str">
        <f>IF(ISNA(VLOOKUP(CONCAT(M899,C899), 'Judge Count DO NOT EDIT'!H:H, 1, FALSE)), "ERROR","")</f>
        <v/>
      </c>
      <c r="Q899" s="141"/>
      <c r="R899" s="143"/>
      <c r="S899" s="139" t="str">
        <f t="shared" si="2"/>
        <v>1196389</v>
      </c>
      <c r="T899" s="141"/>
    </row>
    <row r="900">
      <c r="A900" s="137">
        <f>IFERROR(__xludf.DUMMYFUNCTION("""COMPUTED_VALUE"""),45352.40841002315)</f>
        <v>45352.40841</v>
      </c>
      <c r="B900" s="138" t="str">
        <f>IFERROR(__xludf.DUMMYFUNCTION("""COMPUTED_VALUE"""),"Jerome Gilles ")</f>
        <v>Jerome Gilles </v>
      </c>
      <c r="C900" s="138">
        <f>IFERROR(__xludf.DUMMYFUNCTION("""COMPUTED_VALUE"""),1166.0)</f>
        <v>1166</v>
      </c>
      <c r="D900" s="139">
        <f>IFERROR(__xludf.DUMMYFUNCTION("""COMPUTED_VALUE"""),389.0)</f>
        <v>389</v>
      </c>
      <c r="E900" s="138">
        <f>IFERROR(__xludf.DUMMYFUNCTION("""COMPUTED_VALUE"""),3.0)</f>
        <v>3</v>
      </c>
      <c r="F900" s="138">
        <f>IFERROR(__xludf.DUMMYFUNCTION("""COMPUTED_VALUE"""),3.0)</f>
        <v>3</v>
      </c>
      <c r="G900" s="138">
        <f>IFERROR(__xludf.DUMMYFUNCTION("""COMPUTED_VALUE"""),3.0)</f>
        <v>3</v>
      </c>
      <c r="H900" s="138">
        <f>IFERROR(__xludf.DUMMYFUNCTION("""COMPUTED_VALUE"""),3.0)</f>
        <v>3</v>
      </c>
      <c r="I900" s="138">
        <f>IFERROR(__xludf.DUMMYFUNCTION("""COMPUTED_VALUE"""),4.0)</f>
        <v>4</v>
      </c>
      <c r="J900" s="138">
        <f>IFERROR(__xludf.DUMMYFUNCTION("""COMPUTED_VALUE"""),4.0)</f>
        <v>4</v>
      </c>
      <c r="K900" s="138">
        <f>IFERROR(__xludf.DUMMYFUNCTION("""COMPUTED_VALUE"""),4.0)</f>
        <v>4</v>
      </c>
      <c r="L900" s="138">
        <v>24.0</v>
      </c>
      <c r="M900" s="140" t="str">
        <f>VLOOKUP(text(D900, "#"),'Master Table'!$A:$F, 6, FALSE)</f>
        <v>F-11</v>
      </c>
      <c r="N900" s="141"/>
      <c r="O900" s="142" t="str">
        <f t="shared" si="1"/>
        <v/>
      </c>
      <c r="P900" s="143" t="str">
        <f>IF(ISNA(VLOOKUP(CONCAT(M900,C900), 'Judge Count DO NOT EDIT'!H:H, 1, FALSE)), "ERROR","")</f>
        <v/>
      </c>
      <c r="Q900" s="141"/>
      <c r="R900" s="143"/>
      <c r="S900" s="139" t="str">
        <f t="shared" si="2"/>
        <v>1166389</v>
      </c>
      <c r="T900" s="141"/>
    </row>
    <row r="901">
      <c r="A901" s="137">
        <f>IFERROR(__xludf.DUMMYFUNCTION("""COMPUTED_VALUE"""),45352.43230393519)</f>
        <v>45352.4323</v>
      </c>
      <c r="B901" s="138" t="str">
        <f>IFERROR(__xludf.DUMMYFUNCTION("""COMPUTED_VALUE"""),"Jeff Gustafson ")</f>
        <v>Jeff Gustafson </v>
      </c>
      <c r="C901" s="138">
        <f>IFERROR(__xludf.DUMMYFUNCTION("""COMPUTED_VALUE"""),1205.0)</f>
        <v>1205</v>
      </c>
      <c r="D901" s="139">
        <f>IFERROR(__xludf.DUMMYFUNCTION("""COMPUTED_VALUE"""),389.0)</f>
        <v>389</v>
      </c>
      <c r="E901" s="138">
        <f>IFERROR(__xludf.DUMMYFUNCTION("""COMPUTED_VALUE"""),4.0)</f>
        <v>4</v>
      </c>
      <c r="F901" s="138">
        <f>IFERROR(__xludf.DUMMYFUNCTION("""COMPUTED_VALUE"""),3.0)</f>
        <v>3</v>
      </c>
      <c r="G901" s="138">
        <f>IFERROR(__xludf.DUMMYFUNCTION("""COMPUTED_VALUE"""),4.0)</f>
        <v>4</v>
      </c>
      <c r="H901" s="138">
        <f>IFERROR(__xludf.DUMMYFUNCTION("""COMPUTED_VALUE"""),3.0)</f>
        <v>3</v>
      </c>
      <c r="I901" s="138">
        <f>IFERROR(__xludf.DUMMYFUNCTION("""COMPUTED_VALUE"""),3.0)</f>
        <v>3</v>
      </c>
      <c r="J901" s="138">
        <f>IFERROR(__xludf.DUMMYFUNCTION("""COMPUTED_VALUE"""),3.0)</f>
        <v>3</v>
      </c>
      <c r="K901" s="138">
        <f>IFERROR(__xludf.DUMMYFUNCTION("""COMPUTED_VALUE"""),3.0)</f>
        <v>3</v>
      </c>
      <c r="L901" s="138">
        <v>23.0</v>
      </c>
      <c r="M901" s="140" t="str">
        <f>VLOOKUP(text(D901, "#"),'Master Table'!$A:$F, 6, FALSE)</f>
        <v>F-11</v>
      </c>
      <c r="N901" s="141"/>
      <c r="O901" s="142" t="str">
        <f t="shared" si="1"/>
        <v/>
      </c>
      <c r="P901" s="143" t="str">
        <f>IF(ISNA(VLOOKUP(CONCAT(M901,C901), 'Judge Count DO NOT EDIT'!H:H, 1, FALSE)), "ERROR","")</f>
        <v/>
      </c>
      <c r="Q901" s="141"/>
      <c r="R901" s="143"/>
      <c r="S901" s="139" t="str">
        <f t="shared" si="2"/>
        <v>1205389</v>
      </c>
      <c r="T901" s="141"/>
    </row>
    <row r="902">
      <c r="A902" s="137">
        <f>IFERROR(__xludf.DUMMYFUNCTION("""COMPUTED_VALUE"""),45352.47456189815)</f>
        <v>45352.47456</v>
      </c>
      <c r="B902" s="138" t="str">
        <f>IFERROR(__xludf.DUMMYFUNCTION("""COMPUTED_VALUE"""),"Douglas Leonard")</f>
        <v>Douglas Leonard</v>
      </c>
      <c r="C902" s="138">
        <f>IFERROR(__xludf.DUMMYFUNCTION("""COMPUTED_VALUE"""),1040.0)</f>
        <v>1040</v>
      </c>
      <c r="D902" s="139">
        <f>IFERROR(__xludf.DUMMYFUNCTION("""COMPUTED_VALUE"""),389.0)</f>
        <v>389</v>
      </c>
      <c r="E902" s="138">
        <f>IFERROR(__xludf.DUMMYFUNCTION("""COMPUTED_VALUE"""),3.0)</f>
        <v>3</v>
      </c>
      <c r="F902" s="138">
        <f>IFERROR(__xludf.DUMMYFUNCTION("""COMPUTED_VALUE"""),4.0)</f>
        <v>4</v>
      </c>
      <c r="G902" s="138">
        <f>IFERROR(__xludf.DUMMYFUNCTION("""COMPUTED_VALUE"""),5.0)</f>
        <v>5</v>
      </c>
      <c r="H902" s="138">
        <f>IFERROR(__xludf.DUMMYFUNCTION("""COMPUTED_VALUE"""),4.0)</f>
        <v>4</v>
      </c>
      <c r="I902" s="138">
        <f>IFERROR(__xludf.DUMMYFUNCTION("""COMPUTED_VALUE"""),4.0)</f>
        <v>4</v>
      </c>
      <c r="J902" s="138">
        <f>IFERROR(__xludf.DUMMYFUNCTION("""COMPUTED_VALUE"""),3.0)</f>
        <v>3</v>
      </c>
      <c r="K902" s="138">
        <f>IFERROR(__xludf.DUMMYFUNCTION("""COMPUTED_VALUE"""),3.0)</f>
        <v>3</v>
      </c>
      <c r="L902" s="138">
        <v>26.0</v>
      </c>
      <c r="M902" s="140" t="str">
        <f>VLOOKUP(text(D902, "#"),'Master Table'!$A:$F, 6, FALSE)</f>
        <v>F-11</v>
      </c>
      <c r="N902" s="141" t="str">
        <f>IFERROR(__xludf.DUMMYFUNCTION("""COMPUTED_VALUE"""),"Very technically challenging material to convey to the non-expert and I enjoyed interacting with both the Presenter, a Master's student, as well as the undergraduate student also involved in the work.  Both were able to discuss well the specific work they"&amp;" were doing on the project.  As a relative outsider to the field, I would encourage some more thought on the ""big picture"" of the research -- what ""problem"" is it trying to solve, how they are going about addressing it, and what the prognosis is at th"&amp;"is point, since I struggled a bit in getting them to state this in broad terms that I could easily understand!  That said, it was clear they were deeply invested in the work and were looking forward to additional pursuits with it, complicated stuff to be "&amp;"sure.  ")</f>
        <v>Very technically challenging material to convey to the non-expert and I enjoyed interacting with both the Presenter, a Master's student, as well as the undergraduate student also involved in the work.  Both were able to discuss well the specific work they were doing on the project.  As a relative outsider to the field, I would encourage some more thought on the "big picture" of the research -- what "problem" is it trying to solve, how they are going about addressing it, and what the prognosis is at this point, since I struggled a bit in getting them to state this in broad terms that I could easily understand!  That said, it was clear they were deeply invested in the work and were looking forward to additional pursuits with it, complicated stuff to be sure.  </v>
      </c>
      <c r="O902" s="142" t="str">
        <f t="shared" si="1"/>
        <v/>
      </c>
      <c r="P902" s="143" t="str">
        <f>IF(ISNA(VLOOKUP(CONCAT(M902,C902), 'Judge Count DO NOT EDIT'!H:H, 1, FALSE)), "ERROR","")</f>
        <v/>
      </c>
      <c r="Q902" s="141"/>
      <c r="R902" s="143"/>
      <c r="S902" s="139" t="str">
        <f t="shared" si="2"/>
        <v>1040389</v>
      </c>
      <c r="T902" s="141"/>
    </row>
    <row r="903">
      <c r="A903" s="137">
        <f>IFERROR(__xludf.DUMMYFUNCTION("""COMPUTED_VALUE"""),45352.419297500004)</f>
        <v>45352.4193</v>
      </c>
      <c r="B903" s="138" t="str">
        <f>IFERROR(__xludf.DUMMYFUNCTION("""COMPUTED_VALUE"""),"Kelly Sawyer")</f>
        <v>Kelly Sawyer</v>
      </c>
      <c r="C903" s="138">
        <f>IFERROR(__xludf.DUMMYFUNCTION("""COMPUTED_VALUE"""),1196.0)</f>
        <v>1196</v>
      </c>
      <c r="D903" s="139">
        <f>IFERROR(__xludf.DUMMYFUNCTION("""COMPUTED_VALUE"""),390.0)</f>
        <v>390</v>
      </c>
      <c r="E903" s="138">
        <f>IFERROR(__xludf.DUMMYFUNCTION("""COMPUTED_VALUE"""),4.0)</f>
        <v>4</v>
      </c>
      <c r="F903" s="138">
        <f>IFERROR(__xludf.DUMMYFUNCTION("""COMPUTED_VALUE"""),4.0)</f>
        <v>4</v>
      </c>
      <c r="G903" s="138">
        <f>IFERROR(__xludf.DUMMYFUNCTION("""COMPUTED_VALUE"""),4.0)</f>
        <v>4</v>
      </c>
      <c r="H903" s="138">
        <f>IFERROR(__xludf.DUMMYFUNCTION("""COMPUTED_VALUE"""),3.0)</f>
        <v>3</v>
      </c>
      <c r="I903" s="138">
        <f>IFERROR(__xludf.DUMMYFUNCTION("""COMPUTED_VALUE"""),4.0)</f>
        <v>4</v>
      </c>
      <c r="J903" s="138">
        <f>IFERROR(__xludf.DUMMYFUNCTION("""COMPUTED_VALUE"""),4.0)</f>
        <v>4</v>
      </c>
      <c r="K903" s="138">
        <f>IFERROR(__xludf.DUMMYFUNCTION("""COMPUTED_VALUE"""),4.0)</f>
        <v>4</v>
      </c>
      <c r="L903" s="138">
        <v>27.0</v>
      </c>
      <c r="M903" s="140" t="str">
        <f>VLOOKUP(text(D903, "#"),'Master Table'!$A:$F, 6, FALSE)</f>
        <v>F-11</v>
      </c>
      <c r="N903" s="141" t="str">
        <f>IFERROR(__xludf.DUMMYFUNCTION("""COMPUTED_VALUE"""),"One of the clearest and interesting topics I visited today. The speaker was engaging and aware of the acronyms used so it did not feel like I had to keep interrupting to ask for clarification. While there were two different models, it was clear how they i"&amp;"ntertwined speaker was able to expand on the limits of both. Overall poster was clean, but my eyes gravitated to the images and the descriptions were not as clear unless you were following the speaker. Very impressed with the implications of what this mea"&amp;"ns to potential HIV treatments especially the effects given accessibility to drugs/treatments that are not as available in other countries.")</f>
        <v>One of the clearest and interesting topics I visited today. The speaker was engaging and aware of the acronyms used so it did not feel like I had to keep interrupting to ask for clarification. While there were two different models, it was clear how they intertwined speaker was able to expand on the limits of both. Overall poster was clean, but my eyes gravitated to the images and the descriptions were not as clear unless you were following the speaker. Very impressed with the implications of what this means to potential HIV treatments especially the effects given accessibility to drugs/treatments that are not as available in other countries.</v>
      </c>
      <c r="O903" s="142" t="str">
        <f t="shared" si="1"/>
        <v/>
      </c>
      <c r="P903" s="143" t="str">
        <f>IF(ISNA(VLOOKUP(CONCAT(M903,C903), 'Judge Count DO NOT EDIT'!H:H, 1, FALSE)), "ERROR","")</f>
        <v/>
      </c>
      <c r="Q903" s="141"/>
      <c r="R903" s="143"/>
      <c r="S903" s="139" t="str">
        <f t="shared" si="2"/>
        <v>1196390</v>
      </c>
      <c r="T903" s="141"/>
    </row>
    <row r="904">
      <c r="A904" s="137">
        <f>IFERROR(__xludf.DUMMYFUNCTION("""COMPUTED_VALUE"""),45352.419922789355)</f>
        <v>45352.41992</v>
      </c>
      <c r="B904" s="138" t="str">
        <f>IFERROR(__xludf.DUMMYFUNCTION("""COMPUTED_VALUE"""),"Jerome Gilles ")</f>
        <v>Jerome Gilles </v>
      </c>
      <c r="C904" s="138">
        <f>IFERROR(__xludf.DUMMYFUNCTION("""COMPUTED_VALUE"""),1166.0)</f>
        <v>1166</v>
      </c>
      <c r="D904" s="139">
        <f>IFERROR(__xludf.DUMMYFUNCTION("""COMPUTED_VALUE"""),390.0)</f>
        <v>390</v>
      </c>
      <c r="E904" s="138">
        <f>IFERROR(__xludf.DUMMYFUNCTION("""COMPUTED_VALUE"""),4.0)</f>
        <v>4</v>
      </c>
      <c r="F904" s="138">
        <f>IFERROR(__xludf.DUMMYFUNCTION("""COMPUTED_VALUE"""),4.0)</f>
        <v>4</v>
      </c>
      <c r="G904" s="138">
        <f>IFERROR(__xludf.DUMMYFUNCTION("""COMPUTED_VALUE"""),5.0)</f>
        <v>5</v>
      </c>
      <c r="H904" s="138">
        <f>IFERROR(__xludf.DUMMYFUNCTION("""COMPUTED_VALUE"""),4.0)</f>
        <v>4</v>
      </c>
      <c r="I904" s="138">
        <f>IFERROR(__xludf.DUMMYFUNCTION("""COMPUTED_VALUE"""),4.0)</f>
        <v>4</v>
      </c>
      <c r="J904" s="138">
        <f>IFERROR(__xludf.DUMMYFUNCTION("""COMPUTED_VALUE"""),4.0)</f>
        <v>4</v>
      </c>
      <c r="K904" s="138">
        <f>IFERROR(__xludf.DUMMYFUNCTION("""COMPUTED_VALUE"""),4.0)</f>
        <v>4</v>
      </c>
      <c r="L904" s="138">
        <v>29.0</v>
      </c>
      <c r="M904" s="140" t="str">
        <f>VLOOKUP(text(D904, "#"),'Master Table'!$A:$F, 6, FALSE)</f>
        <v>F-11</v>
      </c>
      <c r="N904" s="141"/>
      <c r="O904" s="142" t="str">
        <f t="shared" si="1"/>
        <v/>
      </c>
      <c r="P904" s="143" t="str">
        <f>IF(ISNA(VLOOKUP(CONCAT(M904,C904), 'Judge Count DO NOT EDIT'!H:H, 1, FALSE)), "ERROR","")</f>
        <v/>
      </c>
      <c r="Q904" s="141"/>
      <c r="R904" s="143"/>
      <c r="S904" s="139" t="str">
        <f t="shared" si="2"/>
        <v>1166390</v>
      </c>
      <c r="T904" s="141"/>
    </row>
    <row r="905">
      <c r="A905" s="137">
        <f>IFERROR(__xludf.DUMMYFUNCTION("""COMPUTED_VALUE"""),45352.43337106481)</f>
        <v>45352.43337</v>
      </c>
      <c r="B905" s="138" t="str">
        <f>IFERROR(__xludf.DUMMYFUNCTION("""COMPUTED_VALUE"""),"Jeff Gustafson ")</f>
        <v>Jeff Gustafson </v>
      </c>
      <c r="C905" s="138">
        <f>IFERROR(__xludf.DUMMYFUNCTION("""COMPUTED_VALUE"""),1205.0)</f>
        <v>1205</v>
      </c>
      <c r="D905" s="139">
        <f>IFERROR(__xludf.DUMMYFUNCTION("""COMPUTED_VALUE"""),390.0)</f>
        <v>390</v>
      </c>
      <c r="E905" s="138">
        <f>IFERROR(__xludf.DUMMYFUNCTION("""COMPUTED_VALUE"""),5.0)</f>
        <v>5</v>
      </c>
      <c r="F905" s="138">
        <f>IFERROR(__xludf.DUMMYFUNCTION("""COMPUTED_VALUE"""),5.0)</f>
        <v>5</v>
      </c>
      <c r="G905" s="138">
        <f>IFERROR(__xludf.DUMMYFUNCTION("""COMPUTED_VALUE"""),5.0)</f>
        <v>5</v>
      </c>
      <c r="H905" s="138">
        <f>IFERROR(__xludf.DUMMYFUNCTION("""COMPUTED_VALUE"""),5.0)</f>
        <v>5</v>
      </c>
      <c r="I905" s="138">
        <f>IFERROR(__xludf.DUMMYFUNCTION("""COMPUTED_VALUE"""),5.0)</f>
        <v>5</v>
      </c>
      <c r="J905" s="138">
        <f>IFERROR(__xludf.DUMMYFUNCTION("""COMPUTED_VALUE"""),5.0)</f>
        <v>5</v>
      </c>
      <c r="K905" s="138">
        <f>IFERROR(__xludf.DUMMYFUNCTION("""COMPUTED_VALUE"""),5.0)</f>
        <v>5</v>
      </c>
      <c r="L905" s="138">
        <v>35.0</v>
      </c>
      <c r="M905" s="140" t="str">
        <f>VLOOKUP(text(D905, "#"),'Master Table'!$A:$F, 6, FALSE)</f>
        <v>F-11</v>
      </c>
      <c r="N905" s="141"/>
      <c r="O905" s="142" t="str">
        <f t="shared" si="1"/>
        <v/>
      </c>
      <c r="P905" s="143" t="str">
        <f>IF(ISNA(VLOOKUP(CONCAT(M905,C905), 'Judge Count DO NOT EDIT'!H:H, 1, FALSE)), "ERROR","")</f>
        <v/>
      </c>
      <c r="Q905" s="141"/>
      <c r="R905" s="143"/>
      <c r="S905" s="139" t="str">
        <f t="shared" si="2"/>
        <v>1205390</v>
      </c>
      <c r="T905" s="141"/>
    </row>
    <row r="906">
      <c r="A906" s="137">
        <f>IFERROR(__xludf.DUMMYFUNCTION("""COMPUTED_VALUE"""),45352.47863055556)</f>
        <v>45352.47863</v>
      </c>
      <c r="B906" s="138" t="str">
        <f>IFERROR(__xludf.DUMMYFUNCTION("""COMPUTED_VALUE"""),"Douglas Leonard")</f>
        <v>Douglas Leonard</v>
      </c>
      <c r="C906" s="138">
        <f>IFERROR(__xludf.DUMMYFUNCTION("""COMPUTED_VALUE"""),1040.0)</f>
        <v>1040</v>
      </c>
      <c r="D906" s="139">
        <f>IFERROR(__xludf.DUMMYFUNCTION("""COMPUTED_VALUE"""),390.0)</f>
        <v>390</v>
      </c>
      <c r="E906" s="138">
        <f>IFERROR(__xludf.DUMMYFUNCTION("""COMPUTED_VALUE"""),4.0)</f>
        <v>4</v>
      </c>
      <c r="F906" s="138">
        <f>IFERROR(__xludf.DUMMYFUNCTION("""COMPUTED_VALUE"""),5.0)</f>
        <v>5</v>
      </c>
      <c r="G906" s="138">
        <f>IFERROR(__xludf.DUMMYFUNCTION("""COMPUTED_VALUE"""),5.0)</f>
        <v>5</v>
      </c>
      <c r="H906" s="138">
        <f>IFERROR(__xludf.DUMMYFUNCTION("""COMPUTED_VALUE"""),4.0)</f>
        <v>4</v>
      </c>
      <c r="I906" s="138">
        <f>IFERROR(__xludf.DUMMYFUNCTION("""COMPUTED_VALUE"""),5.0)</f>
        <v>5</v>
      </c>
      <c r="J906" s="138">
        <f>IFERROR(__xludf.DUMMYFUNCTION("""COMPUTED_VALUE"""),4.0)</f>
        <v>4</v>
      </c>
      <c r="K906" s="138">
        <f>IFERROR(__xludf.DUMMYFUNCTION("""COMPUTED_VALUE"""),4.0)</f>
        <v>4</v>
      </c>
      <c r="L906" s="138">
        <v>31.0</v>
      </c>
      <c r="M906" s="140" t="str">
        <f>VLOOKUP(text(D906, "#"),'Master Table'!$A:$F, 6, FALSE)</f>
        <v>F-11</v>
      </c>
      <c r="N906" s="141" t="str">
        <f>IFERROR(__xludf.DUMMYFUNCTION("""COMPUTED_VALUE"""),"A really impressive presentation, especially to an ""outsider"" in the field who learned  a fair amount about viral reservoirs through interaction with the Presenter!  The oral skills of the Presenter were evident and assisted in getting across the main p"&amp;"oints of the poster itself.  The work is quite interesting, and certainly seems significant as the lack of cure for HIV remains a longstanding problem.  One area I might suggest to look into a bit more is the background of the field -- what has been done "&amp;"before, and where precisely this new modeling work pushes that boundary?")</f>
        <v>A really impressive presentation, especially to an "outsider" in the field who learned  a fair amount about viral reservoirs through interaction with the Presenter!  The oral skills of the Presenter were evident and assisted in getting across the main points of the poster itself.  The work is quite interesting, and certainly seems significant as the lack of cure for HIV remains a longstanding problem.  One area I might suggest to look into a bit more is the background of the field -- what has been done before, and where precisely this new modeling work pushes that boundary?</v>
      </c>
      <c r="O906" s="142" t="str">
        <f t="shared" si="1"/>
        <v/>
      </c>
      <c r="P906" s="143" t="str">
        <f>IF(ISNA(VLOOKUP(CONCAT(M906,C906), 'Judge Count DO NOT EDIT'!H:H, 1, FALSE)), "ERROR","")</f>
        <v/>
      </c>
      <c r="Q906" s="141"/>
      <c r="R906" s="143"/>
      <c r="S906" s="139" t="str">
        <f t="shared" si="2"/>
        <v>1040390</v>
      </c>
      <c r="T906" s="141"/>
    </row>
    <row r="907">
      <c r="A907" s="137">
        <f>IFERROR(__xludf.DUMMYFUNCTION("""COMPUTED_VALUE"""),45352.429208738424)</f>
        <v>45352.42921</v>
      </c>
      <c r="B907" s="138" t="str">
        <f>IFERROR(__xludf.DUMMYFUNCTION("""COMPUTED_VALUE"""),"Jerome Gilles ")</f>
        <v>Jerome Gilles </v>
      </c>
      <c r="C907" s="138">
        <f>IFERROR(__xludf.DUMMYFUNCTION("""COMPUTED_VALUE"""),1166.0)</f>
        <v>1166</v>
      </c>
      <c r="D907" s="139">
        <f>IFERROR(__xludf.DUMMYFUNCTION("""COMPUTED_VALUE"""),391.0)</f>
        <v>391</v>
      </c>
      <c r="E907" s="138">
        <f>IFERROR(__xludf.DUMMYFUNCTION("""COMPUTED_VALUE"""),4.0)</f>
        <v>4</v>
      </c>
      <c r="F907" s="138">
        <f>IFERROR(__xludf.DUMMYFUNCTION("""COMPUTED_VALUE"""),3.0)</f>
        <v>3</v>
      </c>
      <c r="G907" s="138">
        <f>IFERROR(__xludf.DUMMYFUNCTION("""COMPUTED_VALUE"""),3.0)</f>
        <v>3</v>
      </c>
      <c r="H907" s="138">
        <f>IFERROR(__xludf.DUMMYFUNCTION("""COMPUTED_VALUE"""),3.0)</f>
        <v>3</v>
      </c>
      <c r="I907" s="138">
        <f>IFERROR(__xludf.DUMMYFUNCTION("""COMPUTED_VALUE"""),5.0)</f>
        <v>5</v>
      </c>
      <c r="J907" s="138">
        <f>IFERROR(__xludf.DUMMYFUNCTION("""COMPUTED_VALUE"""),5.0)</f>
        <v>5</v>
      </c>
      <c r="K907" s="138">
        <f>IFERROR(__xludf.DUMMYFUNCTION("""COMPUTED_VALUE"""),5.0)</f>
        <v>5</v>
      </c>
      <c r="L907" s="138">
        <v>28.0</v>
      </c>
      <c r="M907" s="140" t="str">
        <f>VLOOKUP(text(D907, "#"),'Master Table'!$A:$F, 6, FALSE)</f>
        <v>F-11</v>
      </c>
      <c r="N907" s="141" t="str">
        <f>IFERROR(__xludf.DUMMYFUNCTION("""COMPUTED_VALUE"""),"Excellent interaction with the audience")</f>
        <v>Excellent interaction with the audience</v>
      </c>
      <c r="O907" s="142" t="str">
        <f t="shared" si="1"/>
        <v/>
      </c>
      <c r="P907" s="143" t="str">
        <f>IF(ISNA(VLOOKUP(CONCAT(M907,C907), 'Judge Count DO NOT EDIT'!H:H, 1, FALSE)), "ERROR","")</f>
        <v/>
      </c>
      <c r="Q907" s="141"/>
      <c r="R907" s="143"/>
      <c r="S907" s="139" t="str">
        <f t="shared" si="2"/>
        <v>1166391</v>
      </c>
      <c r="T907" s="141"/>
    </row>
    <row r="908">
      <c r="A908" s="137">
        <f>IFERROR(__xludf.DUMMYFUNCTION("""COMPUTED_VALUE"""),45352.43462640046)</f>
        <v>45352.43463</v>
      </c>
      <c r="B908" s="138" t="str">
        <f>IFERROR(__xludf.DUMMYFUNCTION("""COMPUTED_VALUE"""),"Jeff Gustafson ")</f>
        <v>Jeff Gustafson </v>
      </c>
      <c r="C908" s="138">
        <f>IFERROR(__xludf.DUMMYFUNCTION("""COMPUTED_VALUE"""),1205.0)</f>
        <v>1205</v>
      </c>
      <c r="D908" s="139">
        <f>IFERROR(__xludf.DUMMYFUNCTION("""COMPUTED_VALUE"""),391.0)</f>
        <v>391</v>
      </c>
      <c r="E908" s="138">
        <f>IFERROR(__xludf.DUMMYFUNCTION("""COMPUTED_VALUE"""),4.0)</f>
        <v>4</v>
      </c>
      <c r="F908" s="138">
        <f>IFERROR(__xludf.DUMMYFUNCTION("""COMPUTED_VALUE"""),4.0)</f>
        <v>4</v>
      </c>
      <c r="G908" s="138">
        <f>IFERROR(__xludf.DUMMYFUNCTION("""COMPUTED_VALUE"""),3.0)</f>
        <v>3</v>
      </c>
      <c r="H908" s="138">
        <f>IFERROR(__xludf.DUMMYFUNCTION("""COMPUTED_VALUE"""),3.0)</f>
        <v>3</v>
      </c>
      <c r="I908" s="138">
        <f>IFERROR(__xludf.DUMMYFUNCTION("""COMPUTED_VALUE"""),3.0)</f>
        <v>3</v>
      </c>
      <c r="J908" s="138">
        <f>IFERROR(__xludf.DUMMYFUNCTION("""COMPUTED_VALUE"""),3.0)</f>
        <v>3</v>
      </c>
      <c r="K908" s="138">
        <f>IFERROR(__xludf.DUMMYFUNCTION("""COMPUTED_VALUE"""),3.0)</f>
        <v>3</v>
      </c>
      <c r="L908" s="138">
        <v>23.0</v>
      </c>
      <c r="M908" s="140" t="str">
        <f>VLOOKUP(text(D908, "#"),'Master Table'!$A:$F, 6, FALSE)</f>
        <v>F-11</v>
      </c>
      <c r="N908" s="141"/>
      <c r="O908" s="142" t="str">
        <f t="shared" si="1"/>
        <v/>
      </c>
      <c r="P908" s="143" t="str">
        <f>IF(ISNA(VLOOKUP(CONCAT(M908,C908), 'Judge Count DO NOT EDIT'!H:H, 1, FALSE)), "ERROR","")</f>
        <v/>
      </c>
      <c r="Q908" s="141"/>
      <c r="R908" s="143"/>
      <c r="S908" s="139" t="str">
        <f t="shared" si="2"/>
        <v>1205391</v>
      </c>
      <c r="T908" s="141"/>
    </row>
    <row r="909">
      <c r="A909" s="137">
        <f>IFERROR(__xludf.DUMMYFUNCTION("""COMPUTED_VALUE"""),45352.45022677083)</f>
        <v>45352.45023</v>
      </c>
      <c r="B909" s="138" t="str">
        <f>IFERROR(__xludf.DUMMYFUNCTION("""COMPUTED_VALUE"""),"Kelly Sawyer")</f>
        <v>Kelly Sawyer</v>
      </c>
      <c r="C909" s="138">
        <f>IFERROR(__xludf.DUMMYFUNCTION("""COMPUTED_VALUE"""),1196.0)</f>
        <v>1196</v>
      </c>
      <c r="D909" s="139">
        <f>IFERROR(__xludf.DUMMYFUNCTION("""COMPUTED_VALUE"""),391.0)</f>
        <v>391</v>
      </c>
      <c r="E909" s="138">
        <f>IFERROR(__xludf.DUMMYFUNCTION("""COMPUTED_VALUE"""),4.0)</f>
        <v>4</v>
      </c>
      <c r="F909" s="138">
        <f>IFERROR(__xludf.DUMMYFUNCTION("""COMPUTED_VALUE"""),3.0)</f>
        <v>3</v>
      </c>
      <c r="G909" s="138">
        <f>IFERROR(__xludf.DUMMYFUNCTION("""COMPUTED_VALUE"""),3.0)</f>
        <v>3</v>
      </c>
      <c r="H909" s="138">
        <f>IFERROR(__xludf.DUMMYFUNCTION("""COMPUTED_VALUE"""),3.0)</f>
        <v>3</v>
      </c>
      <c r="I909" s="138">
        <f>IFERROR(__xludf.DUMMYFUNCTION("""COMPUTED_VALUE"""),4.0)</f>
        <v>4</v>
      </c>
      <c r="J909" s="138">
        <f>IFERROR(__xludf.DUMMYFUNCTION("""COMPUTED_VALUE"""),4.0)</f>
        <v>4</v>
      </c>
      <c r="K909" s="138">
        <f>IFERROR(__xludf.DUMMYFUNCTION("""COMPUTED_VALUE"""),4.0)</f>
        <v>4</v>
      </c>
      <c r="L909" s="138">
        <v>25.0</v>
      </c>
      <c r="M909" s="140" t="str">
        <f>VLOOKUP(text(D909, "#"),'Master Table'!$A:$F, 6, FALSE)</f>
        <v>F-11</v>
      </c>
      <c r="N909" s="141" t="str">
        <f>IFERROR(__xludf.DUMMYFUNCTION("""COMPUTED_VALUE"""),"Speaker gave very in-depth description of what a protostar is which established the bounds of the presentation. Very knowledgeable and able to translate into digestible jargon especially when asked for clarification. While the graphs looked simple to unde"&amp;"rstand as there was not so much “noise” on it, it gave the impression of being oversimplified.")</f>
        <v>Speaker gave very in-depth description of what a protostar is which established the bounds of the presentation. Very knowledgeable and able to translate into digestible jargon especially when asked for clarification. While the graphs looked simple to understand as there was not so much “noise” on it, it gave the impression of being oversimplified.</v>
      </c>
      <c r="O909" s="142" t="str">
        <f t="shared" si="1"/>
        <v/>
      </c>
      <c r="P909" s="143" t="str">
        <f>IF(ISNA(VLOOKUP(CONCAT(M909,C909), 'Judge Count DO NOT EDIT'!H:H, 1, FALSE)), "ERROR","")</f>
        <v/>
      </c>
      <c r="Q909" s="141"/>
      <c r="R909" s="143"/>
      <c r="S909" s="139" t="str">
        <f t="shared" si="2"/>
        <v>1196391</v>
      </c>
      <c r="T909" s="141"/>
    </row>
    <row r="910">
      <c r="A910" s="137">
        <f>IFERROR(__xludf.DUMMYFUNCTION("""COMPUTED_VALUE"""),45352.48226092593)</f>
        <v>45352.48226</v>
      </c>
      <c r="B910" s="138" t="str">
        <f>IFERROR(__xludf.DUMMYFUNCTION("""COMPUTED_VALUE"""),"Douglas Leonard")</f>
        <v>Douglas Leonard</v>
      </c>
      <c r="C910" s="138">
        <f>IFERROR(__xludf.DUMMYFUNCTION("""COMPUTED_VALUE"""),1040.0)</f>
        <v>1040</v>
      </c>
      <c r="D910" s="139">
        <f>IFERROR(__xludf.DUMMYFUNCTION("""COMPUTED_VALUE"""),391.0)</f>
        <v>391</v>
      </c>
      <c r="E910" s="138">
        <f>IFERROR(__xludf.DUMMYFUNCTION("""COMPUTED_VALUE"""),3.0)</f>
        <v>3</v>
      </c>
      <c r="F910" s="138">
        <f>IFERROR(__xludf.DUMMYFUNCTION("""COMPUTED_VALUE"""),4.0)</f>
        <v>4</v>
      </c>
      <c r="G910" s="138">
        <f>IFERROR(__xludf.DUMMYFUNCTION("""COMPUTED_VALUE"""),4.0)</f>
        <v>4</v>
      </c>
      <c r="H910" s="138">
        <f>IFERROR(__xludf.DUMMYFUNCTION("""COMPUTED_VALUE"""),4.0)</f>
        <v>4</v>
      </c>
      <c r="I910" s="138">
        <f>IFERROR(__xludf.DUMMYFUNCTION("""COMPUTED_VALUE"""),3.0)</f>
        <v>3</v>
      </c>
      <c r="J910" s="138">
        <f>IFERROR(__xludf.DUMMYFUNCTION("""COMPUTED_VALUE"""),3.0)</f>
        <v>3</v>
      </c>
      <c r="K910" s="138">
        <f>IFERROR(__xludf.DUMMYFUNCTION("""COMPUTED_VALUE"""),4.0)</f>
        <v>4</v>
      </c>
      <c r="L910" s="138">
        <v>25.0</v>
      </c>
      <c r="M910" s="140" t="str">
        <f>VLOOKUP(text(D910, "#"),'Master Table'!$A:$F, 6, FALSE)</f>
        <v>F-11</v>
      </c>
      <c r="N910" s="141" t="str">
        <f>IFERROR(__xludf.DUMMYFUNCTION("""COMPUTED_VALUE"""),"Well done poster presentation and oral interaction for a 1st-year Master's student just starting work in a complex field.   Impressively pushing the limits of a computer code that wasn't specifically designed for the work the Presenter is attempting to ca"&amp;"rry out.  Presenter was clearly able to articulate thoughts well, despite some apparent nerves (understandable!); one area to dig a bit more on is the background of the field (what has been done theoretically and observationally) to set the context of the"&amp;" current work.  To be sure, this is all in the very early stages of the Presenter's graduate work, and impressive to be presenting so early on.  I look forward to checking in again in a year!")</f>
        <v>Well done poster presentation and oral interaction for a 1st-year Master's student just starting work in a complex field.   Impressively pushing the limits of a computer code that wasn't specifically designed for the work the Presenter is attempting to carry out.  Presenter was clearly able to articulate thoughts well, despite some apparent nerves (understandable!); one area to dig a bit more on is the background of the field (what has been done theoretically and observationally) to set the context of the current work.  To be sure, this is all in the very early stages of the Presenter's graduate work, and impressive to be presenting so early on.  I look forward to checking in again in a year!</v>
      </c>
      <c r="O910" s="142" t="str">
        <f t="shared" si="1"/>
        <v/>
      </c>
      <c r="P910" s="143" t="str">
        <f>IF(ISNA(VLOOKUP(CONCAT(M910,C910), 'Judge Count DO NOT EDIT'!H:H, 1, FALSE)), "ERROR","")</f>
        <v/>
      </c>
      <c r="Q910" s="141"/>
      <c r="R910" s="143"/>
      <c r="S910" s="139" t="str">
        <f t="shared" si="2"/>
        <v>1040391</v>
      </c>
      <c r="T910" s="141"/>
    </row>
    <row r="911">
      <c r="A911" s="137">
        <f>IFERROR(__xludf.DUMMYFUNCTION("""COMPUTED_VALUE"""),45352.48590850695)</f>
        <v>45352.48591</v>
      </c>
      <c r="B911" s="138" t="str">
        <f>IFERROR(__xludf.DUMMYFUNCTION("""COMPUTED_VALUE"""),"Karen Han")</f>
        <v>Karen Han</v>
      </c>
      <c r="C911" s="138">
        <f>IFERROR(__xludf.DUMMYFUNCTION("""COMPUTED_VALUE"""),1039.0)</f>
        <v>1039</v>
      </c>
      <c r="D911" s="139">
        <f>IFERROR(__xludf.DUMMYFUNCTION("""COMPUTED_VALUE"""),394.0)</f>
        <v>394</v>
      </c>
      <c r="E911" s="138">
        <f>IFERROR(__xludf.DUMMYFUNCTION("""COMPUTED_VALUE"""),4.0)</f>
        <v>4</v>
      </c>
      <c r="F911" s="138">
        <f>IFERROR(__xludf.DUMMYFUNCTION("""COMPUTED_VALUE"""),3.0)</f>
        <v>3</v>
      </c>
      <c r="G911" s="138">
        <f>IFERROR(__xludf.DUMMYFUNCTION("""COMPUTED_VALUE"""),3.0)</f>
        <v>3</v>
      </c>
      <c r="H911" s="138">
        <f>IFERROR(__xludf.DUMMYFUNCTION("""COMPUTED_VALUE"""),4.0)</f>
        <v>4</v>
      </c>
      <c r="I911" s="138">
        <f>IFERROR(__xludf.DUMMYFUNCTION("""COMPUTED_VALUE"""),4.0)</f>
        <v>4</v>
      </c>
      <c r="J911" s="138">
        <f>IFERROR(__xludf.DUMMYFUNCTION("""COMPUTED_VALUE"""),4.0)</f>
        <v>4</v>
      </c>
      <c r="K911" s="138">
        <f>IFERROR(__xludf.DUMMYFUNCTION("""COMPUTED_VALUE"""),5.0)</f>
        <v>5</v>
      </c>
      <c r="L911" s="138">
        <v>27.0</v>
      </c>
      <c r="M911" s="140" t="str">
        <f>VLOOKUP(text(D911, "#"),'Master Table'!$A:$F, 6, FALSE)</f>
        <v>G-1</v>
      </c>
      <c r="N911" s="141" t="str">
        <f>IFERROR(__xludf.DUMMYFUNCTION("""COMPUTED_VALUE"""),"The study design and the method seems clear. I wasn’t sure how much original the findings were. More discussion about the theoretical implications would be helpful. ")</f>
        <v>The study design and the method seems clear. I wasn’t sure how much original the findings were. More discussion about the theoretical implications would be helpful. </v>
      </c>
      <c r="O911" s="142" t="str">
        <f t="shared" si="1"/>
        <v/>
      </c>
      <c r="P911" s="143" t="str">
        <f>IF(ISNA(VLOOKUP(CONCAT(M911,C911), 'Judge Count DO NOT EDIT'!H:H, 1, FALSE)), "ERROR","")</f>
        <v/>
      </c>
      <c r="Q911" s="141"/>
      <c r="R911" s="143"/>
      <c r="S911" s="139" t="str">
        <f t="shared" si="2"/>
        <v>1039394</v>
      </c>
      <c r="T911" s="141"/>
    </row>
    <row r="912">
      <c r="A912" s="137">
        <f>IFERROR(__xludf.DUMMYFUNCTION("""COMPUTED_VALUE"""),45352.501748553244)</f>
        <v>45352.50175</v>
      </c>
      <c r="B912" s="138" t="str">
        <f>IFERROR(__xludf.DUMMYFUNCTION("""COMPUTED_VALUE"""),"Alicia Nunez ")</f>
        <v>Alicia Nunez </v>
      </c>
      <c r="C912" s="138">
        <f>IFERROR(__xludf.DUMMYFUNCTION("""COMPUTED_VALUE"""),1019.0)</f>
        <v>1019</v>
      </c>
      <c r="D912" s="139">
        <f>IFERROR(__xludf.DUMMYFUNCTION("""COMPUTED_VALUE"""),394.0)</f>
        <v>394</v>
      </c>
      <c r="E912" s="138">
        <f>IFERROR(__xludf.DUMMYFUNCTION("""COMPUTED_VALUE"""),5.0)</f>
        <v>5</v>
      </c>
      <c r="F912" s="138">
        <f>IFERROR(__xludf.DUMMYFUNCTION("""COMPUTED_VALUE"""),4.0)</f>
        <v>4</v>
      </c>
      <c r="G912" s="138">
        <f>IFERROR(__xludf.DUMMYFUNCTION("""COMPUTED_VALUE"""),4.0)</f>
        <v>4</v>
      </c>
      <c r="H912" s="138">
        <f>IFERROR(__xludf.DUMMYFUNCTION("""COMPUTED_VALUE"""),4.0)</f>
        <v>4</v>
      </c>
      <c r="I912" s="138">
        <f>IFERROR(__xludf.DUMMYFUNCTION("""COMPUTED_VALUE"""),5.0)</f>
        <v>5</v>
      </c>
      <c r="J912" s="138">
        <f>IFERROR(__xludf.DUMMYFUNCTION("""COMPUTED_VALUE"""),5.0)</f>
        <v>5</v>
      </c>
      <c r="K912" s="138">
        <f>IFERROR(__xludf.DUMMYFUNCTION("""COMPUTED_VALUE"""),5.0)</f>
        <v>5</v>
      </c>
      <c r="L912" s="138">
        <v>32.0</v>
      </c>
      <c r="M912" s="140" t="str">
        <f>VLOOKUP(text(D912, "#"),'Master Table'!$A:$F, 6, FALSE)</f>
        <v>G-1</v>
      </c>
      <c r="N912" s="141" t="str">
        <f>IFERROR(__xludf.DUMMYFUNCTION("""COMPUTED_VALUE"""),"Very professional in presentation delivery! Encouraged to take more time describing methods including measures.")</f>
        <v>Very professional in presentation delivery! Encouraged to take more time describing methods including measures.</v>
      </c>
      <c r="O912" s="142" t="str">
        <f t="shared" si="1"/>
        <v/>
      </c>
      <c r="P912" s="143" t="str">
        <f>IF(ISNA(VLOOKUP(CONCAT(M912,C912), 'Judge Count DO NOT EDIT'!H:H, 1, FALSE)), "ERROR","")</f>
        <v/>
      </c>
      <c r="Q912" s="141"/>
      <c r="R912" s="143"/>
      <c r="S912" s="139" t="str">
        <f t="shared" si="2"/>
        <v>1019394</v>
      </c>
      <c r="T912" s="141"/>
    </row>
    <row r="913">
      <c r="A913" s="137">
        <f>IFERROR(__xludf.DUMMYFUNCTION("""COMPUTED_VALUE"""),45352.48714114583)</f>
        <v>45352.48714</v>
      </c>
      <c r="B913" s="138" t="str">
        <f>IFERROR(__xludf.DUMMYFUNCTION("""COMPUTED_VALUE"""),"Alicia Nunez ")</f>
        <v>Alicia Nunez </v>
      </c>
      <c r="C913" s="138">
        <f>IFERROR(__xludf.DUMMYFUNCTION("""COMPUTED_VALUE"""),1019.0)</f>
        <v>1019</v>
      </c>
      <c r="D913" s="139">
        <f>IFERROR(__xludf.DUMMYFUNCTION("""COMPUTED_VALUE"""),395.0)</f>
        <v>395</v>
      </c>
      <c r="E913" s="138">
        <f>IFERROR(__xludf.DUMMYFUNCTION("""COMPUTED_VALUE"""),4.0)</f>
        <v>4</v>
      </c>
      <c r="F913" s="138">
        <f>IFERROR(__xludf.DUMMYFUNCTION("""COMPUTED_VALUE"""),5.0)</f>
        <v>5</v>
      </c>
      <c r="G913" s="138">
        <f>IFERROR(__xludf.DUMMYFUNCTION("""COMPUTED_VALUE"""),5.0)</f>
        <v>5</v>
      </c>
      <c r="H913" s="138">
        <f>IFERROR(__xludf.DUMMYFUNCTION("""COMPUTED_VALUE"""),4.0)</f>
        <v>4</v>
      </c>
      <c r="I913" s="138">
        <f>IFERROR(__xludf.DUMMYFUNCTION("""COMPUTED_VALUE"""),4.0)</f>
        <v>4</v>
      </c>
      <c r="J913" s="138">
        <f>IFERROR(__xludf.DUMMYFUNCTION("""COMPUTED_VALUE"""),5.0)</f>
        <v>5</v>
      </c>
      <c r="K913" s="138">
        <f>IFERROR(__xludf.DUMMYFUNCTION("""COMPUTED_VALUE"""),5.0)</f>
        <v>5</v>
      </c>
      <c r="L913" s="138">
        <v>32.0</v>
      </c>
      <c r="M913" s="140" t="str">
        <f>VLOOKUP(text(D913, "#"),'Master Table'!$A:$F, 6, FALSE)</f>
        <v>G-1</v>
      </c>
      <c r="N913" s="141" t="str">
        <f>IFERROR(__xludf.DUMMYFUNCTION("""COMPUTED_VALUE"""),"Great presentation! Encouraged to take more time to describe methods and participants.")</f>
        <v>Great presentation! Encouraged to take more time to describe methods and participants.</v>
      </c>
      <c r="O913" s="142" t="str">
        <f t="shared" si="1"/>
        <v/>
      </c>
      <c r="P913" s="143" t="str">
        <f>IF(ISNA(VLOOKUP(CONCAT(M913,C913), 'Judge Count DO NOT EDIT'!H:H, 1, FALSE)), "ERROR","")</f>
        <v/>
      </c>
      <c r="Q913" s="141"/>
      <c r="R913" s="143"/>
      <c r="S913" s="139" t="str">
        <f t="shared" si="2"/>
        <v>1019395</v>
      </c>
      <c r="T913" s="141"/>
    </row>
    <row r="914">
      <c r="A914" s="137">
        <f>IFERROR(__xludf.DUMMYFUNCTION("""COMPUTED_VALUE"""),45352.491425914355)</f>
        <v>45352.49143</v>
      </c>
      <c r="B914" s="138" t="str">
        <f>IFERROR(__xludf.DUMMYFUNCTION("""COMPUTED_VALUE"""),"Karen Han")</f>
        <v>Karen Han</v>
      </c>
      <c r="C914" s="138">
        <f>IFERROR(__xludf.DUMMYFUNCTION("""COMPUTED_VALUE"""),1039.0)</f>
        <v>1039</v>
      </c>
      <c r="D914" s="139">
        <f>IFERROR(__xludf.DUMMYFUNCTION("""COMPUTED_VALUE"""),395.0)</f>
        <v>395</v>
      </c>
      <c r="E914" s="138">
        <f>IFERROR(__xludf.DUMMYFUNCTION("""COMPUTED_VALUE"""),4.0)</f>
        <v>4</v>
      </c>
      <c r="F914" s="138">
        <f>IFERROR(__xludf.DUMMYFUNCTION("""COMPUTED_VALUE"""),4.0)</f>
        <v>4</v>
      </c>
      <c r="G914" s="138">
        <f>IFERROR(__xludf.DUMMYFUNCTION("""COMPUTED_VALUE"""),5.0)</f>
        <v>5</v>
      </c>
      <c r="H914" s="138">
        <f>IFERROR(__xludf.DUMMYFUNCTION("""COMPUTED_VALUE"""),4.0)</f>
        <v>4</v>
      </c>
      <c r="I914" s="138">
        <f>IFERROR(__xludf.DUMMYFUNCTION("""COMPUTED_VALUE"""),5.0)</f>
        <v>5</v>
      </c>
      <c r="J914" s="138">
        <f>IFERROR(__xludf.DUMMYFUNCTION("""COMPUTED_VALUE"""),5.0)</f>
        <v>5</v>
      </c>
      <c r="K914" s="138">
        <f>IFERROR(__xludf.DUMMYFUNCTION("""COMPUTED_VALUE"""),5.0)</f>
        <v>5</v>
      </c>
      <c r="L914" s="138">
        <v>32.0</v>
      </c>
      <c r="M914" s="140" t="str">
        <f>VLOOKUP(text(D914, "#"),'Master Table'!$A:$F, 6, FALSE)</f>
        <v>G-1</v>
      </c>
      <c r="N914" s="141" t="str">
        <f>IFERROR(__xludf.DUMMYFUNCTION("""COMPUTED_VALUE"""),"The presenter was great delivering the research and interacting with the audiences. This study seems to be a good pilot study that requires additional experiment studies. The three themes were interesting and I suggest additional experiment studies based "&amp;"on the results.")</f>
        <v>The presenter was great delivering the research and interacting with the audiences. This study seems to be a good pilot study that requires additional experiment studies. The three themes were interesting and I suggest additional experiment studies based on the results.</v>
      </c>
      <c r="O914" s="142" t="str">
        <f t="shared" si="1"/>
        <v/>
      </c>
      <c r="P914" s="143" t="str">
        <f>IF(ISNA(VLOOKUP(CONCAT(M914,C914), 'Judge Count DO NOT EDIT'!H:H, 1, FALSE)), "ERROR","")</f>
        <v/>
      </c>
      <c r="Q914" s="141"/>
      <c r="R914" s="143"/>
      <c r="S914" s="139" t="str">
        <f t="shared" si="2"/>
        <v>1039395</v>
      </c>
      <c r="T914" s="141"/>
    </row>
    <row r="915">
      <c r="A915" s="137">
        <f>IFERROR(__xludf.DUMMYFUNCTION("""COMPUTED_VALUE"""),45352.493207962965)</f>
        <v>45352.49321</v>
      </c>
      <c r="B915" s="138" t="str">
        <f>IFERROR(__xludf.DUMMYFUNCTION("""COMPUTED_VALUE"""),"Karen Han")</f>
        <v>Karen Han</v>
      </c>
      <c r="C915" s="138">
        <f>IFERROR(__xludf.DUMMYFUNCTION("""COMPUTED_VALUE"""),1039.0)</f>
        <v>1039</v>
      </c>
      <c r="D915" s="139">
        <f>IFERROR(__xludf.DUMMYFUNCTION("""COMPUTED_VALUE"""),396.0)</f>
        <v>396</v>
      </c>
      <c r="E915" s="138">
        <f>IFERROR(__xludf.DUMMYFUNCTION("""COMPUTED_VALUE"""),3.0)</f>
        <v>3</v>
      </c>
      <c r="F915" s="138">
        <f>IFERROR(__xludf.DUMMYFUNCTION("""COMPUTED_VALUE"""),3.0)</f>
        <v>3</v>
      </c>
      <c r="G915" s="138">
        <f>IFERROR(__xludf.DUMMYFUNCTION("""COMPUTED_VALUE"""),3.0)</f>
        <v>3</v>
      </c>
      <c r="H915" s="138">
        <f>IFERROR(__xludf.DUMMYFUNCTION("""COMPUTED_VALUE"""),3.0)</f>
        <v>3</v>
      </c>
      <c r="I915" s="138">
        <f>IFERROR(__xludf.DUMMYFUNCTION("""COMPUTED_VALUE"""),1.0)</f>
        <v>1</v>
      </c>
      <c r="J915" s="138">
        <f>IFERROR(__xludf.DUMMYFUNCTION("""COMPUTED_VALUE"""),3.0)</f>
        <v>3</v>
      </c>
      <c r="K915" s="138">
        <f>IFERROR(__xludf.DUMMYFUNCTION("""COMPUTED_VALUE"""),1.0)</f>
        <v>1</v>
      </c>
      <c r="L915" s="138">
        <v>17.0</v>
      </c>
      <c r="M915" s="140" t="str">
        <f>VLOOKUP(text(D915, "#"),'Master Table'!$A:$F, 6, FALSE)</f>
        <v>G-1</v>
      </c>
      <c r="N915" s="141" t="str">
        <f>IFERROR(__xludf.DUMMYFUNCTION("""COMPUTED_VALUE"""),"There were no presenters. The study seems well-designed.")</f>
        <v>There were no presenters. The study seems well-designed.</v>
      </c>
      <c r="O915" s="142" t="str">
        <f t="shared" si="1"/>
        <v/>
      </c>
      <c r="P915" s="143" t="str">
        <f>IF(ISNA(VLOOKUP(CONCAT(M915,C915), 'Judge Count DO NOT EDIT'!H:H, 1, FALSE)), "ERROR","")</f>
        <v/>
      </c>
      <c r="Q915" s="141"/>
      <c r="R915" s="143"/>
      <c r="S915" s="139" t="str">
        <f t="shared" si="2"/>
        <v>1039396</v>
      </c>
      <c r="T915" s="141"/>
    </row>
    <row r="916">
      <c r="A916" s="137">
        <f>IFERROR(__xludf.DUMMYFUNCTION("""COMPUTED_VALUE"""),45352.474365462964)</f>
        <v>45352.47437</v>
      </c>
      <c r="B916" s="138" t="str">
        <f>IFERROR(__xludf.DUMMYFUNCTION("""COMPUTED_VALUE"""),"Alicia Nunez ")</f>
        <v>Alicia Nunez </v>
      </c>
      <c r="C916" s="138">
        <f>IFERROR(__xludf.DUMMYFUNCTION("""COMPUTED_VALUE"""),1019.0)</f>
        <v>1019</v>
      </c>
      <c r="D916" s="139">
        <f>IFERROR(__xludf.DUMMYFUNCTION("""COMPUTED_VALUE"""),397.0)</f>
        <v>397</v>
      </c>
      <c r="E916" s="138">
        <f>IFERROR(__xludf.DUMMYFUNCTION("""COMPUTED_VALUE"""),5.0)</f>
        <v>5</v>
      </c>
      <c r="F916" s="138">
        <f>IFERROR(__xludf.DUMMYFUNCTION("""COMPUTED_VALUE"""),5.0)</f>
        <v>5</v>
      </c>
      <c r="G916" s="138">
        <f>IFERROR(__xludf.DUMMYFUNCTION("""COMPUTED_VALUE"""),5.0)</f>
        <v>5</v>
      </c>
      <c r="H916" s="138">
        <f>IFERROR(__xludf.DUMMYFUNCTION("""COMPUTED_VALUE"""),4.0)</f>
        <v>4</v>
      </c>
      <c r="I916" s="138">
        <f>IFERROR(__xludf.DUMMYFUNCTION("""COMPUTED_VALUE"""),5.0)</f>
        <v>5</v>
      </c>
      <c r="J916" s="138">
        <f>IFERROR(__xludf.DUMMYFUNCTION("""COMPUTED_VALUE"""),5.0)</f>
        <v>5</v>
      </c>
      <c r="K916" s="138">
        <f>IFERROR(__xludf.DUMMYFUNCTION("""COMPUTED_VALUE"""),5.0)</f>
        <v>5</v>
      </c>
      <c r="L916" s="138">
        <v>34.0</v>
      </c>
      <c r="M916" s="140" t="str">
        <f>VLOOKUP(text(D916, "#"),'Master Table'!$A:$F, 6, FALSE)</f>
        <v>G-1</v>
      </c>
      <c r="N916" s="141" t="str">
        <f>IFERROR(__xludf.DUMMYFUNCTION("""COMPUTED_VALUE"""),"Excellent presentation!")</f>
        <v>Excellent presentation!</v>
      </c>
      <c r="O916" s="142" t="str">
        <f t="shared" si="1"/>
        <v/>
      </c>
      <c r="P916" s="143" t="str">
        <f>IF(ISNA(VLOOKUP(CONCAT(M916,C916), 'Judge Count DO NOT EDIT'!H:H, 1, FALSE)), "ERROR","")</f>
        <v/>
      </c>
      <c r="Q916" s="141"/>
      <c r="R916" s="143"/>
      <c r="S916" s="139" t="str">
        <f t="shared" si="2"/>
        <v>1019397</v>
      </c>
      <c r="T916" s="141"/>
    </row>
    <row r="917">
      <c r="A917" s="137">
        <f>IFERROR(__xludf.DUMMYFUNCTION("""COMPUTED_VALUE"""),45352.5000487037)</f>
        <v>45352.50005</v>
      </c>
      <c r="B917" s="138" t="str">
        <f>IFERROR(__xludf.DUMMYFUNCTION("""COMPUTED_VALUE"""),"Karen Han")</f>
        <v>Karen Han</v>
      </c>
      <c r="C917" s="138">
        <f>IFERROR(__xludf.DUMMYFUNCTION("""COMPUTED_VALUE"""),1039.0)</f>
        <v>1039</v>
      </c>
      <c r="D917" s="139">
        <f>IFERROR(__xludf.DUMMYFUNCTION("""COMPUTED_VALUE"""),397.0)</f>
        <v>397</v>
      </c>
      <c r="E917" s="138">
        <f>IFERROR(__xludf.DUMMYFUNCTION("""COMPUTED_VALUE"""),3.0)</f>
        <v>3</v>
      </c>
      <c r="F917" s="138">
        <f>IFERROR(__xludf.DUMMYFUNCTION("""COMPUTED_VALUE"""),2.0)</f>
        <v>2</v>
      </c>
      <c r="G917" s="138">
        <f>IFERROR(__xludf.DUMMYFUNCTION("""COMPUTED_VALUE"""),3.0)</f>
        <v>3</v>
      </c>
      <c r="H917" s="138">
        <f>IFERROR(__xludf.DUMMYFUNCTION("""COMPUTED_VALUE"""),3.0)</f>
        <v>3</v>
      </c>
      <c r="I917" s="138">
        <f>IFERROR(__xludf.DUMMYFUNCTION("""COMPUTED_VALUE"""),2.0)</f>
        <v>2</v>
      </c>
      <c r="J917" s="138">
        <f>IFERROR(__xludf.DUMMYFUNCTION("""COMPUTED_VALUE"""),2.0)</f>
        <v>2</v>
      </c>
      <c r="K917" s="138">
        <f>IFERROR(__xludf.DUMMYFUNCTION("""COMPUTED_VALUE"""),2.0)</f>
        <v>2</v>
      </c>
      <c r="L917" s="138">
        <v>17.0</v>
      </c>
      <c r="M917" s="140" t="str">
        <f>VLOOKUP(text(D917, "#"),'Master Table'!$A:$F, 6, FALSE)</f>
        <v>G-1</v>
      </c>
      <c r="N917" s="141" t="str">
        <f>IFERROR(__xludf.DUMMYFUNCTION("""COMPUTED_VALUE"""),"The results were unexpected but the presenter explained well about the potential factors. Future studies with these factors would be meaningful.")</f>
        <v>The results were unexpected but the presenter explained well about the potential factors. Future studies with these factors would be meaningful.</v>
      </c>
      <c r="O917" s="142" t="str">
        <f t="shared" si="1"/>
        <v/>
      </c>
      <c r="P917" s="143" t="str">
        <f>IF(ISNA(VLOOKUP(CONCAT(M917,C917), 'Judge Count DO NOT EDIT'!H:H, 1, FALSE)), "ERROR","")</f>
        <v/>
      </c>
      <c r="Q917" s="141"/>
      <c r="R917" s="143"/>
      <c r="S917" s="139" t="str">
        <f t="shared" si="2"/>
        <v>1039397</v>
      </c>
      <c r="T917" s="141"/>
    </row>
    <row r="918">
      <c r="A918" s="137">
        <f>IFERROR(__xludf.DUMMYFUNCTION("""COMPUTED_VALUE"""),45352.47783325231)</f>
        <v>45352.47783</v>
      </c>
      <c r="B918" s="138" t="str">
        <f>IFERROR(__xludf.DUMMYFUNCTION("""COMPUTED_VALUE"""),"Karen Han")</f>
        <v>Karen Han</v>
      </c>
      <c r="C918" s="138">
        <f>IFERROR(__xludf.DUMMYFUNCTION("""COMPUTED_VALUE"""),1039.0)</f>
        <v>1039</v>
      </c>
      <c r="D918" s="139">
        <f>IFERROR(__xludf.DUMMYFUNCTION("""COMPUTED_VALUE"""),398.0)</f>
        <v>398</v>
      </c>
      <c r="E918" s="138">
        <f>IFERROR(__xludf.DUMMYFUNCTION("""COMPUTED_VALUE"""),3.0)</f>
        <v>3</v>
      </c>
      <c r="F918" s="138">
        <f>IFERROR(__xludf.DUMMYFUNCTION("""COMPUTED_VALUE"""),2.0)</f>
        <v>2</v>
      </c>
      <c r="G918" s="138">
        <f>IFERROR(__xludf.DUMMYFUNCTION("""COMPUTED_VALUE"""),2.0)</f>
        <v>2</v>
      </c>
      <c r="H918" s="138">
        <f>IFERROR(__xludf.DUMMYFUNCTION("""COMPUTED_VALUE"""),4.0)</f>
        <v>4</v>
      </c>
      <c r="I918" s="138">
        <f>IFERROR(__xludf.DUMMYFUNCTION("""COMPUTED_VALUE"""),3.0)</f>
        <v>3</v>
      </c>
      <c r="J918" s="138">
        <f>IFERROR(__xludf.DUMMYFUNCTION("""COMPUTED_VALUE"""),3.0)</f>
        <v>3</v>
      </c>
      <c r="K918" s="138">
        <f>IFERROR(__xludf.DUMMYFUNCTION("""COMPUTED_VALUE"""),4.0)</f>
        <v>4</v>
      </c>
      <c r="L918" s="138">
        <v>21.0</v>
      </c>
      <c r="M918" s="140" t="str">
        <f>VLOOKUP(text(D918, "#"),'Master Table'!$A:$F, 6, FALSE)</f>
        <v>G-1</v>
      </c>
      <c r="N918" s="141" t="str">
        <f>IFERROR(__xludf.DUMMYFUNCTION("""COMPUTED_VALUE"""),"The study includes only insignificant results, lacking implications or originality of the study. The study design and the methods were solid.")</f>
        <v>The study includes only insignificant results, lacking implications or originality of the study. The study design and the methods were solid.</v>
      </c>
      <c r="O918" s="142" t="str">
        <f t="shared" si="1"/>
        <v/>
      </c>
      <c r="P918" s="143" t="str">
        <f>IF(ISNA(VLOOKUP(CONCAT(M918,C918), 'Judge Count DO NOT EDIT'!H:H, 1, FALSE)), "ERROR","")</f>
        <v/>
      </c>
      <c r="Q918" s="141"/>
      <c r="R918" s="143"/>
      <c r="S918" s="139" t="str">
        <f t="shared" si="2"/>
        <v>1039398</v>
      </c>
      <c r="T918" s="141"/>
    </row>
    <row r="919">
      <c r="A919" s="137">
        <f>IFERROR(__xludf.DUMMYFUNCTION("""COMPUTED_VALUE"""),45352.49561175926)</f>
        <v>45352.49561</v>
      </c>
      <c r="B919" s="138" t="str">
        <f>IFERROR(__xludf.DUMMYFUNCTION("""COMPUTED_VALUE"""),"Alicia Nunez ")</f>
        <v>Alicia Nunez </v>
      </c>
      <c r="C919" s="138">
        <f>IFERROR(__xludf.DUMMYFUNCTION("""COMPUTED_VALUE"""),1019.0)</f>
        <v>1019</v>
      </c>
      <c r="D919" s="139">
        <f>IFERROR(__xludf.DUMMYFUNCTION("""COMPUTED_VALUE"""),398.0)</f>
        <v>398</v>
      </c>
      <c r="E919" s="138">
        <f>IFERROR(__xludf.DUMMYFUNCTION("""COMPUTED_VALUE"""),4.0)</f>
        <v>4</v>
      </c>
      <c r="F919" s="138">
        <f>IFERROR(__xludf.DUMMYFUNCTION("""COMPUTED_VALUE"""),4.0)</f>
        <v>4</v>
      </c>
      <c r="G919" s="138">
        <f>IFERROR(__xludf.DUMMYFUNCTION("""COMPUTED_VALUE"""),4.0)</f>
        <v>4</v>
      </c>
      <c r="H919" s="138">
        <f>IFERROR(__xludf.DUMMYFUNCTION("""COMPUTED_VALUE"""),4.0)</f>
        <v>4</v>
      </c>
      <c r="I919" s="138">
        <f>IFERROR(__xludf.DUMMYFUNCTION("""COMPUTED_VALUE"""),4.0)</f>
        <v>4</v>
      </c>
      <c r="J919" s="138">
        <f>IFERROR(__xludf.DUMMYFUNCTION("""COMPUTED_VALUE"""),4.0)</f>
        <v>4</v>
      </c>
      <c r="K919" s="138">
        <f>IFERROR(__xludf.DUMMYFUNCTION("""COMPUTED_VALUE"""),5.0)</f>
        <v>5</v>
      </c>
      <c r="L919" s="138">
        <v>29.0</v>
      </c>
      <c r="M919" s="140" t="str">
        <f>VLOOKUP(text(D919, "#"),'Master Table'!$A:$F, 6, FALSE)</f>
        <v>G-1</v>
      </c>
      <c r="N919" s="141" t="str">
        <f>IFERROR(__xludf.DUMMYFUNCTION("""COMPUTED_VALUE"""),"Well presented. Student encouraged to take more time describing study methods.")</f>
        <v>Well presented. Student encouraged to take more time describing study methods.</v>
      </c>
      <c r="O919" s="142" t="str">
        <f t="shared" si="1"/>
        <v/>
      </c>
      <c r="P919" s="143" t="str">
        <f>IF(ISNA(VLOOKUP(CONCAT(M919,C919), 'Judge Count DO NOT EDIT'!H:H, 1, FALSE)), "ERROR","")</f>
        <v/>
      </c>
      <c r="Q919" s="141"/>
      <c r="R919" s="143"/>
      <c r="S919" s="139" t="str">
        <f t="shared" si="2"/>
        <v>1019398</v>
      </c>
      <c r="T919" s="141"/>
    </row>
    <row r="920">
      <c r="A920" s="137">
        <f>IFERROR(__xludf.DUMMYFUNCTION("""COMPUTED_VALUE"""),45352.48104236111)</f>
        <v>45352.48104</v>
      </c>
      <c r="B920" s="138" t="str">
        <f>IFERROR(__xludf.DUMMYFUNCTION("""COMPUTED_VALUE"""),"Alicia Nunez ")</f>
        <v>Alicia Nunez </v>
      </c>
      <c r="C920" s="138">
        <f>IFERROR(__xludf.DUMMYFUNCTION("""COMPUTED_VALUE"""),1019.0)</f>
        <v>1019</v>
      </c>
      <c r="D920" s="139">
        <f>IFERROR(__xludf.DUMMYFUNCTION("""COMPUTED_VALUE"""),399.0)</f>
        <v>399</v>
      </c>
      <c r="E920" s="138">
        <f>IFERROR(__xludf.DUMMYFUNCTION("""COMPUTED_VALUE"""),5.0)</f>
        <v>5</v>
      </c>
      <c r="F920" s="138">
        <f>IFERROR(__xludf.DUMMYFUNCTION("""COMPUTED_VALUE"""),5.0)</f>
        <v>5</v>
      </c>
      <c r="G920" s="138">
        <f>IFERROR(__xludf.DUMMYFUNCTION("""COMPUTED_VALUE"""),5.0)</f>
        <v>5</v>
      </c>
      <c r="H920" s="138">
        <f>IFERROR(__xludf.DUMMYFUNCTION("""COMPUTED_VALUE"""),5.0)</f>
        <v>5</v>
      </c>
      <c r="I920" s="138">
        <f>IFERROR(__xludf.DUMMYFUNCTION("""COMPUTED_VALUE"""),4.0)</f>
        <v>4</v>
      </c>
      <c r="J920" s="138">
        <f>IFERROR(__xludf.DUMMYFUNCTION("""COMPUTED_VALUE"""),5.0)</f>
        <v>5</v>
      </c>
      <c r="K920" s="138">
        <f>IFERROR(__xludf.DUMMYFUNCTION("""COMPUTED_VALUE"""),5.0)</f>
        <v>5</v>
      </c>
      <c r="L920" s="138">
        <v>34.0</v>
      </c>
      <c r="M920" s="140" t="str">
        <f>VLOOKUP(text(D920, "#"),'Master Table'!$A:$F, 6, FALSE)</f>
        <v>G-1</v>
      </c>
      <c r="N920" s="141" t="str">
        <f>IFERROR(__xludf.DUMMYFUNCTION("""COMPUTED_VALUE"""),"Great job with Q&amp;A! ")</f>
        <v>Great job with Q&amp;A! </v>
      </c>
      <c r="O920" s="142" t="str">
        <f t="shared" si="1"/>
        <v/>
      </c>
      <c r="P920" s="143" t="str">
        <f>IF(ISNA(VLOOKUP(CONCAT(M920,C920), 'Judge Count DO NOT EDIT'!H:H, 1, FALSE)), "ERROR","")</f>
        <v/>
      </c>
      <c r="Q920" s="144"/>
      <c r="R920" s="143"/>
      <c r="S920" s="139" t="str">
        <f t="shared" si="2"/>
        <v>1019399</v>
      </c>
      <c r="T920" s="141"/>
    </row>
    <row r="921">
      <c r="A921" s="137">
        <f>IFERROR(__xludf.DUMMYFUNCTION("""COMPUTED_VALUE"""),45352.51282768519)</f>
        <v>45352.51283</v>
      </c>
      <c r="B921" s="138" t="str">
        <f>IFERROR(__xludf.DUMMYFUNCTION("""COMPUTED_VALUE"""),"Karen Han")</f>
        <v>Karen Han</v>
      </c>
      <c r="C921" s="138">
        <f>IFERROR(__xludf.DUMMYFUNCTION("""COMPUTED_VALUE"""),1039.0)</f>
        <v>1039</v>
      </c>
      <c r="D921" s="139">
        <f>IFERROR(__xludf.DUMMYFUNCTION("""COMPUTED_VALUE"""),399.0)</f>
        <v>399</v>
      </c>
      <c r="E921" s="138">
        <f>IFERROR(__xludf.DUMMYFUNCTION("""COMPUTED_VALUE"""),4.0)</f>
        <v>4</v>
      </c>
      <c r="F921" s="138">
        <f>IFERROR(__xludf.DUMMYFUNCTION("""COMPUTED_VALUE"""),5.0)</f>
        <v>5</v>
      </c>
      <c r="G921" s="138">
        <f>IFERROR(__xludf.DUMMYFUNCTION("""COMPUTED_VALUE"""),4.0)</f>
        <v>4</v>
      </c>
      <c r="H921" s="138">
        <f>IFERROR(__xludf.DUMMYFUNCTION("""COMPUTED_VALUE"""),4.0)</f>
        <v>4</v>
      </c>
      <c r="I921" s="138">
        <f>IFERROR(__xludf.DUMMYFUNCTION("""COMPUTED_VALUE"""),3.0)</f>
        <v>3</v>
      </c>
      <c r="J921" s="138">
        <f>IFERROR(__xludf.DUMMYFUNCTION("""COMPUTED_VALUE"""),3.0)</f>
        <v>3</v>
      </c>
      <c r="K921" s="138">
        <f>IFERROR(__xludf.DUMMYFUNCTION("""COMPUTED_VALUE"""),3.0)</f>
        <v>3</v>
      </c>
      <c r="L921" s="138">
        <v>26.0</v>
      </c>
      <c r="M921" s="140" t="str">
        <f>VLOOKUP(text(D921, "#"),'Master Table'!$A:$F, 6, FALSE)</f>
        <v>G-1</v>
      </c>
      <c r="N921" s="141" t="str">
        <f>IFERROR(__xludf.DUMMYFUNCTION("""COMPUTED_VALUE"""),"The study was well-design and the methods was solid. The findings were very interesting. I would love to see if there's any difference between zoom participants and in-person participants. ")</f>
        <v>The study was well-design and the methods was solid. The findings were very interesting. I would love to see if there's any difference between zoom participants and in-person participants. </v>
      </c>
      <c r="O921" s="142" t="str">
        <f t="shared" si="1"/>
        <v/>
      </c>
      <c r="P921" s="143" t="str">
        <f>IF(ISNA(VLOOKUP(CONCAT(M921,C921), 'Judge Count DO NOT EDIT'!H:H, 1, FALSE)), "ERROR","")</f>
        <v/>
      </c>
      <c r="Q921" s="141"/>
      <c r="R921" s="143"/>
      <c r="S921" s="139" t="str">
        <f t="shared" si="2"/>
        <v>1039399</v>
      </c>
      <c r="T921" s="141"/>
    </row>
    <row r="922">
      <c r="A922" s="137">
        <f>IFERROR(__xludf.DUMMYFUNCTION("""COMPUTED_VALUE"""),45352.47046347222)</f>
        <v>45352.47046</v>
      </c>
      <c r="B922" s="138" t="str">
        <f>IFERROR(__xludf.DUMMYFUNCTION("""COMPUTED_VALUE"""),"Melanie Nicholls")</f>
        <v>Melanie Nicholls</v>
      </c>
      <c r="C922" s="138">
        <f>IFERROR(__xludf.DUMMYFUNCTION("""COMPUTED_VALUE"""),1097.0)</f>
        <v>1097</v>
      </c>
      <c r="D922" s="139">
        <f>IFERROR(__xludf.DUMMYFUNCTION("""COMPUTED_VALUE"""),400.0)</f>
        <v>400</v>
      </c>
      <c r="E922" s="138">
        <f>IFERROR(__xludf.DUMMYFUNCTION("""COMPUTED_VALUE"""),4.0)</f>
        <v>4</v>
      </c>
      <c r="F922" s="138">
        <f>IFERROR(__xludf.DUMMYFUNCTION("""COMPUTED_VALUE"""),3.0)</f>
        <v>3</v>
      </c>
      <c r="G922" s="138">
        <f>IFERROR(__xludf.DUMMYFUNCTION("""COMPUTED_VALUE"""),3.0)</f>
        <v>3</v>
      </c>
      <c r="H922" s="138">
        <f>IFERROR(__xludf.DUMMYFUNCTION("""COMPUTED_VALUE"""),3.0)</f>
        <v>3</v>
      </c>
      <c r="I922" s="138">
        <f>IFERROR(__xludf.DUMMYFUNCTION("""COMPUTED_VALUE"""),4.0)</f>
        <v>4</v>
      </c>
      <c r="J922" s="138">
        <f>IFERROR(__xludf.DUMMYFUNCTION("""COMPUTED_VALUE"""),4.0)</f>
        <v>4</v>
      </c>
      <c r="K922" s="138">
        <f>IFERROR(__xludf.DUMMYFUNCTION("""COMPUTED_VALUE"""),4.0)</f>
        <v>4</v>
      </c>
      <c r="L922" s="138">
        <v>25.0</v>
      </c>
      <c r="M922" s="140" t="str">
        <f>VLOOKUP(text(D922, "#"),'Master Table'!$A:$F, 6, FALSE)</f>
        <v>G-2</v>
      </c>
      <c r="N922" s="141" t="str">
        <f>IFERROR(__xludf.DUMMYFUNCTION("""COMPUTED_VALUE"""),"Great job with talking through the poster and showed a grasp on the material and literature and was able to speak to the limitations of the data. ")</f>
        <v>Great job with talking through the poster and showed a grasp on the material and literature and was able to speak to the limitations of the data. </v>
      </c>
      <c r="O922" s="142" t="str">
        <f t="shared" si="1"/>
        <v/>
      </c>
      <c r="P922" s="143" t="str">
        <f>IF(ISNA(VLOOKUP(CONCAT(M922,C922), 'Judge Count DO NOT EDIT'!H:H, 1, FALSE)), "ERROR","")</f>
        <v/>
      </c>
      <c r="Q922" s="144"/>
      <c r="R922" s="143"/>
      <c r="S922" s="139" t="str">
        <f t="shared" si="2"/>
        <v>1097400</v>
      </c>
      <c r="T922" s="141"/>
    </row>
    <row r="923">
      <c r="A923" s="137">
        <f>IFERROR(__xludf.DUMMYFUNCTION("""COMPUTED_VALUE"""),45352.474738414356)</f>
        <v>45352.47474</v>
      </c>
      <c r="B923" s="138" t="str">
        <f>IFERROR(__xludf.DUMMYFUNCTION("""COMPUTED_VALUE"""),"Edwin Rodríguez ")</f>
        <v>Edwin Rodríguez </v>
      </c>
      <c r="C923" s="138">
        <f>IFERROR(__xludf.DUMMYFUNCTION("""COMPUTED_VALUE"""),1098.0)</f>
        <v>1098</v>
      </c>
      <c r="D923" s="139">
        <f>IFERROR(__xludf.DUMMYFUNCTION("""COMPUTED_VALUE"""),400.0)</f>
        <v>400</v>
      </c>
      <c r="E923" s="138">
        <f>IFERROR(__xludf.DUMMYFUNCTION("""COMPUTED_VALUE"""),3.0)</f>
        <v>3</v>
      </c>
      <c r="F923" s="138">
        <f>IFERROR(__xludf.DUMMYFUNCTION("""COMPUTED_VALUE"""),4.0)</f>
        <v>4</v>
      </c>
      <c r="G923" s="138">
        <f>IFERROR(__xludf.DUMMYFUNCTION("""COMPUTED_VALUE"""),3.0)</f>
        <v>3</v>
      </c>
      <c r="H923" s="138">
        <f>IFERROR(__xludf.DUMMYFUNCTION("""COMPUTED_VALUE"""),4.0)</f>
        <v>4</v>
      </c>
      <c r="I923" s="138">
        <f>IFERROR(__xludf.DUMMYFUNCTION("""COMPUTED_VALUE"""),4.0)</f>
        <v>4</v>
      </c>
      <c r="J923" s="138">
        <f>IFERROR(__xludf.DUMMYFUNCTION("""COMPUTED_VALUE"""),4.0)</f>
        <v>4</v>
      </c>
      <c r="K923" s="138">
        <f>IFERROR(__xludf.DUMMYFUNCTION("""COMPUTED_VALUE"""),4.0)</f>
        <v>4</v>
      </c>
      <c r="L923" s="138">
        <v>26.0</v>
      </c>
      <c r="M923" s="140" t="str">
        <f>VLOOKUP(text(D923, "#"),'Master Table'!$A:$F, 6, FALSE)</f>
        <v>G-2</v>
      </c>
      <c r="N923" s="141" t="str">
        <f>IFERROR(__xludf.DUMMYFUNCTION("""COMPUTED_VALUE"""),"The data she is presenting is from 2016, so I suggested her to carry out future research showing the newst data and contrasting to this.")</f>
        <v>The data she is presenting is from 2016, so I suggested her to carry out future research showing the newst data and contrasting to this.</v>
      </c>
      <c r="O923" s="142" t="str">
        <f t="shared" si="1"/>
        <v/>
      </c>
      <c r="P923" s="143" t="str">
        <f>IF(ISNA(VLOOKUP(CONCAT(M923,C923), 'Judge Count DO NOT EDIT'!H:H, 1, FALSE)), "ERROR","")</f>
        <v/>
      </c>
      <c r="Q923" s="144"/>
      <c r="R923" s="143"/>
      <c r="S923" s="139" t="str">
        <f t="shared" si="2"/>
        <v>1098400</v>
      </c>
      <c r="T923" s="141"/>
    </row>
    <row r="924">
      <c r="A924" s="137">
        <f>IFERROR(__xludf.DUMMYFUNCTION("""COMPUTED_VALUE"""),45352.489641990745)</f>
        <v>45352.48964</v>
      </c>
      <c r="B924" s="138" t="str">
        <f>IFERROR(__xludf.DUMMYFUNCTION("""COMPUTED_VALUE"""),"Kristine Ehrich")</f>
        <v>Kristine Ehrich</v>
      </c>
      <c r="C924" s="138">
        <f>IFERROR(__xludf.DUMMYFUNCTION("""COMPUTED_VALUE"""),1183.0)</f>
        <v>1183</v>
      </c>
      <c r="D924" s="139">
        <f>IFERROR(__xludf.DUMMYFUNCTION("""COMPUTED_VALUE"""),400.0)</f>
        <v>400</v>
      </c>
      <c r="E924" s="138">
        <f>IFERROR(__xludf.DUMMYFUNCTION("""COMPUTED_VALUE"""),5.0)</f>
        <v>5</v>
      </c>
      <c r="F924" s="138">
        <f>IFERROR(__xludf.DUMMYFUNCTION("""COMPUTED_VALUE"""),5.0)</f>
        <v>5</v>
      </c>
      <c r="G924" s="138">
        <f>IFERROR(__xludf.DUMMYFUNCTION("""COMPUTED_VALUE"""),4.0)</f>
        <v>4</v>
      </c>
      <c r="H924" s="138">
        <f>IFERROR(__xludf.DUMMYFUNCTION("""COMPUTED_VALUE"""),5.0)</f>
        <v>5</v>
      </c>
      <c r="I924" s="138">
        <f>IFERROR(__xludf.DUMMYFUNCTION("""COMPUTED_VALUE"""),5.0)</f>
        <v>5</v>
      </c>
      <c r="J924" s="138">
        <f>IFERROR(__xludf.DUMMYFUNCTION("""COMPUTED_VALUE"""),5.0)</f>
        <v>5</v>
      </c>
      <c r="K924" s="138">
        <f>IFERROR(__xludf.DUMMYFUNCTION("""COMPUTED_VALUE"""),5.0)</f>
        <v>5</v>
      </c>
      <c r="L924" s="138">
        <v>34.0</v>
      </c>
      <c r="M924" s="140" t="str">
        <f>VLOOKUP(text(D924, "#"),'Master Table'!$A:$F, 6, FALSE)</f>
        <v>G-2</v>
      </c>
      <c r="N924" s="141" t="str">
        <f>IFERROR(__xludf.DUMMYFUNCTION("""COMPUTED_VALUE"""),"This was great research. Nice job on presenting it in an understandable way. You have good command of the findings and it seems you also can see the future potential and avenues for additional research. It seems you also understand the limitations of the "&amp;"current data set and have ideas for how to overcome that in the future.  Thank you for caring and for doing a nice job! I hope the research experience was fulfilling. Good luck in your future career. ")</f>
        <v>This was great research. Nice job on presenting it in an understandable way. You have good command of the findings and it seems you also can see the future potential and avenues for additional research. It seems you also understand the limitations of the current data set and have ideas for how to overcome that in the future.  Thank you for caring and for doing a nice job! I hope the research experience was fulfilling. Good luck in your future career. </v>
      </c>
      <c r="O924" s="142" t="str">
        <f t="shared" si="1"/>
        <v/>
      </c>
      <c r="P924" s="143" t="str">
        <f>IF(ISNA(VLOOKUP(CONCAT(M924,C924), 'Judge Count DO NOT EDIT'!H:H, 1, FALSE)), "ERROR","")</f>
        <v/>
      </c>
      <c r="Q924" s="141"/>
      <c r="R924" s="143"/>
      <c r="S924" s="139" t="str">
        <f t="shared" si="2"/>
        <v>1183400</v>
      </c>
      <c r="T924" s="141"/>
    </row>
    <row r="925">
      <c r="A925" s="137">
        <f>IFERROR(__xludf.DUMMYFUNCTION("""COMPUTED_VALUE"""),45352.51041145834)</f>
        <v>45352.51041</v>
      </c>
      <c r="B925" s="138" t="str">
        <f>IFERROR(__xludf.DUMMYFUNCTION("""COMPUTED_VALUE"""),"Valeria Ochoa ")</f>
        <v>Valeria Ochoa </v>
      </c>
      <c r="C925" s="138">
        <f>IFERROR(__xludf.DUMMYFUNCTION("""COMPUTED_VALUE"""),1219.0)</f>
        <v>1219</v>
      </c>
      <c r="D925" s="139">
        <f>IFERROR(__xludf.DUMMYFUNCTION("""COMPUTED_VALUE"""),400.0)</f>
        <v>400</v>
      </c>
      <c r="E925" s="138">
        <f>IFERROR(__xludf.DUMMYFUNCTION("""COMPUTED_VALUE"""),4.0)</f>
        <v>4</v>
      </c>
      <c r="F925" s="138">
        <f>IFERROR(__xludf.DUMMYFUNCTION("""COMPUTED_VALUE"""),3.0)</f>
        <v>3</v>
      </c>
      <c r="G925" s="138">
        <f>IFERROR(__xludf.DUMMYFUNCTION("""COMPUTED_VALUE"""),3.0)</f>
        <v>3</v>
      </c>
      <c r="H925" s="138">
        <f>IFERROR(__xludf.DUMMYFUNCTION("""COMPUTED_VALUE"""),3.0)</f>
        <v>3</v>
      </c>
      <c r="I925" s="138">
        <f>IFERROR(__xludf.DUMMYFUNCTION("""COMPUTED_VALUE"""),4.0)</f>
        <v>4</v>
      </c>
      <c r="J925" s="138">
        <f>IFERROR(__xludf.DUMMYFUNCTION("""COMPUTED_VALUE"""),3.0)</f>
        <v>3</v>
      </c>
      <c r="K925" s="138">
        <f>IFERROR(__xludf.DUMMYFUNCTION("""COMPUTED_VALUE"""),4.0)</f>
        <v>4</v>
      </c>
      <c r="L925" s="138">
        <v>24.0</v>
      </c>
      <c r="M925" s="140" t="str">
        <f>VLOOKUP(text(D925, "#"),'Master Table'!$A:$F, 6, FALSE)</f>
        <v>G-2</v>
      </c>
      <c r="N925" s="141"/>
      <c r="O925" s="142" t="str">
        <f t="shared" si="1"/>
        <v/>
      </c>
      <c r="P925" s="143" t="str">
        <f>IF(ISNA(VLOOKUP(CONCAT(M925,C925), 'Judge Count DO NOT EDIT'!H:H, 1, FALSE)), "ERROR","")</f>
        <v/>
      </c>
      <c r="Q925" s="141"/>
      <c r="R925" s="143"/>
      <c r="S925" s="139" t="str">
        <f t="shared" si="2"/>
        <v>1219400</v>
      </c>
      <c r="T925" s="141"/>
    </row>
    <row r="926">
      <c r="A926" s="137">
        <f>IFERROR(__xludf.DUMMYFUNCTION("""COMPUTED_VALUE"""),45352.471623958336)</f>
        <v>45352.47162</v>
      </c>
      <c r="B926" s="138" t="str">
        <f>IFERROR(__xludf.DUMMYFUNCTION("""COMPUTED_VALUE"""),"Melanie Nicholls")</f>
        <v>Melanie Nicholls</v>
      </c>
      <c r="C926" s="138">
        <f>IFERROR(__xludf.DUMMYFUNCTION("""COMPUTED_VALUE"""),1097.0)</f>
        <v>1097</v>
      </c>
      <c r="D926" s="139">
        <f>IFERROR(__xludf.DUMMYFUNCTION("""COMPUTED_VALUE"""),401.0)</f>
        <v>401</v>
      </c>
      <c r="E926" s="138">
        <f>IFERROR(__xludf.DUMMYFUNCTION("""COMPUTED_VALUE"""),3.0)</f>
        <v>3</v>
      </c>
      <c r="F926" s="138">
        <f>IFERROR(__xludf.DUMMYFUNCTION("""COMPUTED_VALUE"""),3.0)</f>
        <v>3</v>
      </c>
      <c r="G926" s="138">
        <f>IFERROR(__xludf.DUMMYFUNCTION("""COMPUTED_VALUE"""),3.0)</f>
        <v>3</v>
      </c>
      <c r="H926" s="138">
        <f>IFERROR(__xludf.DUMMYFUNCTION("""COMPUTED_VALUE"""),3.0)</f>
        <v>3</v>
      </c>
      <c r="I926" s="138">
        <f>IFERROR(__xludf.DUMMYFUNCTION("""COMPUTED_VALUE"""),4.0)</f>
        <v>4</v>
      </c>
      <c r="J926" s="138">
        <f>IFERROR(__xludf.DUMMYFUNCTION("""COMPUTED_VALUE"""),4.0)</f>
        <v>4</v>
      </c>
      <c r="K926" s="138">
        <f>IFERROR(__xludf.DUMMYFUNCTION("""COMPUTED_VALUE"""),3.0)</f>
        <v>3</v>
      </c>
      <c r="L926" s="138">
        <v>23.0</v>
      </c>
      <c r="M926" s="140" t="str">
        <f>VLOOKUP(text(D926, "#"),'Master Table'!$A:$F, 6, FALSE)</f>
        <v>G-2</v>
      </c>
      <c r="N926" s="141" t="str">
        <f>IFERROR(__xludf.DUMMYFUNCTION("""COMPUTED_VALUE"""),"Interesting presentation and was able to speak on the lack of results and what relationships they were hoping to find. Operationalizing social support more could have been helpful. ")</f>
        <v>Interesting presentation and was able to speak on the lack of results and what relationships they were hoping to find. Operationalizing social support more could have been helpful. </v>
      </c>
      <c r="O926" s="142" t="str">
        <f t="shared" si="1"/>
        <v/>
      </c>
      <c r="P926" s="143" t="str">
        <f>IF(ISNA(VLOOKUP(CONCAT(M926,C926), 'Judge Count DO NOT EDIT'!H:H, 1, FALSE)), "ERROR","")</f>
        <v/>
      </c>
      <c r="Q926" s="144"/>
      <c r="R926" s="143"/>
      <c r="S926" s="139" t="str">
        <f t="shared" si="2"/>
        <v>1097401</v>
      </c>
      <c r="T926" s="141"/>
    </row>
    <row r="927">
      <c r="A927" s="137">
        <f>IFERROR(__xludf.DUMMYFUNCTION("""COMPUTED_VALUE"""),45352.49733409722)</f>
        <v>45352.49733</v>
      </c>
      <c r="B927" s="138" t="str">
        <f>IFERROR(__xludf.DUMMYFUNCTION("""COMPUTED_VALUE"""),"Edwin Rodríguez ")</f>
        <v>Edwin Rodríguez </v>
      </c>
      <c r="C927" s="138">
        <f>IFERROR(__xludf.DUMMYFUNCTION("""COMPUTED_VALUE"""),1098.0)</f>
        <v>1098</v>
      </c>
      <c r="D927" s="139">
        <f>IFERROR(__xludf.DUMMYFUNCTION("""COMPUTED_VALUE"""),401.0)</f>
        <v>401</v>
      </c>
      <c r="E927" s="138">
        <f>IFERROR(__xludf.DUMMYFUNCTION("""COMPUTED_VALUE"""),4.0)</f>
        <v>4</v>
      </c>
      <c r="F927" s="138">
        <f>IFERROR(__xludf.DUMMYFUNCTION("""COMPUTED_VALUE"""),3.0)</f>
        <v>3</v>
      </c>
      <c r="G927" s="138">
        <f>IFERROR(__xludf.DUMMYFUNCTION("""COMPUTED_VALUE"""),4.0)</f>
        <v>4</v>
      </c>
      <c r="H927" s="138">
        <f>IFERROR(__xludf.DUMMYFUNCTION("""COMPUTED_VALUE"""),3.0)</f>
        <v>3</v>
      </c>
      <c r="I927" s="138">
        <f>IFERROR(__xludf.DUMMYFUNCTION("""COMPUTED_VALUE"""),4.0)</f>
        <v>4</v>
      </c>
      <c r="J927" s="138">
        <f>IFERROR(__xludf.DUMMYFUNCTION("""COMPUTED_VALUE"""),4.0)</f>
        <v>4</v>
      </c>
      <c r="K927" s="138">
        <f>IFERROR(__xludf.DUMMYFUNCTION("""COMPUTED_VALUE"""),5.0)</f>
        <v>5</v>
      </c>
      <c r="L927" s="138">
        <v>27.0</v>
      </c>
      <c r="M927" s="140" t="str">
        <f>VLOOKUP(text(D927, "#"),'Master Table'!$A:$F, 6, FALSE)</f>
        <v>G-2</v>
      </c>
      <c r="N927" s="141" t="str">
        <f>IFERROR(__xludf.DUMMYFUNCTION("""COMPUTED_VALUE"""),"She understands her research and her objectives.  Her explanation was smooth and straightforward ")</f>
        <v>She understands her research and her objectives.  Her explanation was smooth and straightforward </v>
      </c>
      <c r="O927" s="142" t="str">
        <f t="shared" si="1"/>
        <v/>
      </c>
      <c r="P927" s="143" t="str">
        <f>IF(ISNA(VLOOKUP(CONCAT(M927,C927), 'Judge Count DO NOT EDIT'!H:H, 1, FALSE)), "ERROR","")</f>
        <v/>
      </c>
      <c r="Q927" s="144"/>
      <c r="R927" s="143"/>
      <c r="S927" s="139" t="str">
        <f t="shared" si="2"/>
        <v>1098401</v>
      </c>
      <c r="T927" s="141"/>
    </row>
    <row r="928">
      <c r="A928" s="137">
        <f>IFERROR(__xludf.DUMMYFUNCTION("""COMPUTED_VALUE"""),45352.51149611111)</f>
        <v>45352.5115</v>
      </c>
      <c r="B928" s="138" t="str">
        <f>IFERROR(__xludf.DUMMYFUNCTION("""COMPUTED_VALUE"""),"Valeria Ochoa ")</f>
        <v>Valeria Ochoa </v>
      </c>
      <c r="C928" s="138">
        <f>IFERROR(__xludf.DUMMYFUNCTION("""COMPUTED_VALUE"""),1219.0)</f>
        <v>1219</v>
      </c>
      <c r="D928" s="139">
        <f>IFERROR(__xludf.DUMMYFUNCTION("""COMPUTED_VALUE"""),401.0)</f>
        <v>401</v>
      </c>
      <c r="E928" s="138">
        <f>IFERROR(__xludf.DUMMYFUNCTION("""COMPUTED_VALUE"""),4.0)</f>
        <v>4</v>
      </c>
      <c r="F928" s="138">
        <f>IFERROR(__xludf.DUMMYFUNCTION("""COMPUTED_VALUE"""),3.0)</f>
        <v>3</v>
      </c>
      <c r="G928" s="138">
        <f>IFERROR(__xludf.DUMMYFUNCTION("""COMPUTED_VALUE"""),3.0)</f>
        <v>3</v>
      </c>
      <c r="H928" s="138">
        <f>IFERROR(__xludf.DUMMYFUNCTION("""COMPUTED_VALUE"""),3.0)</f>
        <v>3</v>
      </c>
      <c r="I928" s="138">
        <f>IFERROR(__xludf.DUMMYFUNCTION("""COMPUTED_VALUE"""),5.0)</f>
        <v>5</v>
      </c>
      <c r="J928" s="138">
        <f>IFERROR(__xludf.DUMMYFUNCTION("""COMPUTED_VALUE"""),5.0)</f>
        <v>5</v>
      </c>
      <c r="K928" s="138">
        <f>IFERROR(__xludf.DUMMYFUNCTION("""COMPUTED_VALUE"""),5.0)</f>
        <v>5</v>
      </c>
      <c r="L928" s="138">
        <v>28.0</v>
      </c>
      <c r="M928" s="140" t="str">
        <f>VLOOKUP(text(D928, "#"),'Master Table'!$A:$F, 6, FALSE)</f>
        <v>G-2</v>
      </c>
      <c r="N928" s="141" t="str">
        <f>IFERROR(__xludf.DUMMYFUNCTION("""COMPUTED_VALUE"""),"Presenter was exceptional. However, I was a bit confused with the data was collected in 2016-2017 rather than at an earlier year. Presenter seemed to be rehearsing a script and did not understand what the next steps with this data would be. ")</f>
        <v>Presenter was exceptional. However, I was a bit confused with the data was collected in 2016-2017 rather than at an earlier year. Presenter seemed to be rehearsing a script and did not understand what the next steps with this data would be. </v>
      </c>
      <c r="O928" s="142" t="str">
        <f t="shared" si="1"/>
        <v/>
      </c>
      <c r="P928" s="143" t="str">
        <f>IF(ISNA(VLOOKUP(CONCAT(M928,C928), 'Judge Count DO NOT EDIT'!H:H, 1, FALSE)), "ERROR","")</f>
        <v/>
      </c>
      <c r="Q928" s="144"/>
      <c r="R928" s="143"/>
      <c r="S928" s="139" t="str">
        <f t="shared" si="2"/>
        <v>1219401</v>
      </c>
      <c r="T928" s="141"/>
    </row>
    <row r="929">
      <c r="A929" s="137">
        <f>IFERROR(__xludf.DUMMYFUNCTION("""COMPUTED_VALUE"""),45352.47701716435)</f>
        <v>45352.47702</v>
      </c>
      <c r="B929" s="138" t="str">
        <f>IFERROR(__xludf.DUMMYFUNCTION("""COMPUTED_VALUE"""),"Melanie Nicholls")</f>
        <v>Melanie Nicholls</v>
      </c>
      <c r="C929" s="138">
        <f>IFERROR(__xludf.DUMMYFUNCTION("""COMPUTED_VALUE"""),1097.0)</f>
        <v>1097</v>
      </c>
      <c r="D929" s="139">
        <f>IFERROR(__xludf.DUMMYFUNCTION("""COMPUTED_VALUE"""),402.0)</f>
        <v>402</v>
      </c>
      <c r="E929" s="138">
        <f>IFERROR(__xludf.DUMMYFUNCTION("""COMPUTED_VALUE"""),3.0)</f>
        <v>3</v>
      </c>
      <c r="F929" s="138">
        <f>IFERROR(__xludf.DUMMYFUNCTION("""COMPUTED_VALUE"""),4.0)</f>
        <v>4</v>
      </c>
      <c r="G929" s="138">
        <f>IFERROR(__xludf.DUMMYFUNCTION("""COMPUTED_VALUE"""),4.0)</f>
        <v>4</v>
      </c>
      <c r="H929" s="138">
        <f>IFERROR(__xludf.DUMMYFUNCTION("""COMPUTED_VALUE"""),3.0)</f>
        <v>3</v>
      </c>
      <c r="I929" s="138">
        <f>IFERROR(__xludf.DUMMYFUNCTION("""COMPUTED_VALUE"""),4.0)</f>
        <v>4</v>
      </c>
      <c r="J929" s="138">
        <f>IFERROR(__xludf.DUMMYFUNCTION("""COMPUTED_VALUE"""),4.0)</f>
        <v>4</v>
      </c>
      <c r="K929" s="138">
        <f>IFERROR(__xludf.DUMMYFUNCTION("""COMPUTED_VALUE"""),4.0)</f>
        <v>4</v>
      </c>
      <c r="L929" s="138">
        <v>26.0</v>
      </c>
      <c r="M929" s="140" t="str">
        <f>VLOOKUP(text(D929, "#"),'Master Table'!$A:$F, 6, FALSE)</f>
        <v>G-2</v>
      </c>
      <c r="N929" s="141" t="str">
        <f>IFERROR(__xludf.DUMMYFUNCTION("""COMPUTED_VALUE"""),"Very knowledgeable about topic and methods used to answer the research question. Great job in communicating her findings and the importance of the work. ")</f>
        <v>Very knowledgeable about topic and methods used to answer the research question. Great job in communicating her findings and the importance of the work. </v>
      </c>
      <c r="O929" s="142" t="str">
        <f t="shared" si="1"/>
        <v/>
      </c>
      <c r="P929" s="143" t="str">
        <f>IF(ISNA(VLOOKUP(CONCAT(M929,C929), 'Judge Count DO NOT EDIT'!H:H, 1, FALSE)), "ERROR","")</f>
        <v/>
      </c>
      <c r="Q929" s="144"/>
      <c r="R929" s="143"/>
      <c r="S929" s="139" t="str">
        <f t="shared" si="2"/>
        <v>1097402</v>
      </c>
      <c r="T929" s="141"/>
    </row>
    <row r="930">
      <c r="A930" s="137">
        <f>IFERROR(__xludf.DUMMYFUNCTION("""COMPUTED_VALUE"""),45352.48184421296)</f>
        <v>45352.48184</v>
      </c>
      <c r="B930" s="138" t="str">
        <f>IFERROR(__xludf.DUMMYFUNCTION("""COMPUTED_VALUE"""),"Edwin Rodríguez ")</f>
        <v>Edwin Rodríguez </v>
      </c>
      <c r="C930" s="138">
        <f>IFERROR(__xludf.DUMMYFUNCTION("""COMPUTED_VALUE"""),1098.0)</f>
        <v>1098</v>
      </c>
      <c r="D930" s="139">
        <f>IFERROR(__xludf.DUMMYFUNCTION("""COMPUTED_VALUE"""),402.0)</f>
        <v>402</v>
      </c>
      <c r="E930" s="138">
        <f>IFERROR(__xludf.DUMMYFUNCTION("""COMPUTED_VALUE"""),4.0)</f>
        <v>4</v>
      </c>
      <c r="F930" s="138">
        <f>IFERROR(__xludf.DUMMYFUNCTION("""COMPUTED_VALUE"""),5.0)</f>
        <v>5</v>
      </c>
      <c r="G930" s="138">
        <f>IFERROR(__xludf.DUMMYFUNCTION("""COMPUTED_VALUE"""),4.0)</f>
        <v>4</v>
      </c>
      <c r="H930" s="138">
        <f>IFERROR(__xludf.DUMMYFUNCTION("""COMPUTED_VALUE"""),5.0)</f>
        <v>5</v>
      </c>
      <c r="I930" s="138">
        <f>IFERROR(__xludf.DUMMYFUNCTION("""COMPUTED_VALUE"""),4.0)</f>
        <v>4</v>
      </c>
      <c r="J930" s="138">
        <f>IFERROR(__xludf.DUMMYFUNCTION("""COMPUTED_VALUE"""),4.0)</f>
        <v>4</v>
      </c>
      <c r="K930" s="138">
        <f>IFERROR(__xludf.DUMMYFUNCTION("""COMPUTED_VALUE"""),4.0)</f>
        <v>4</v>
      </c>
      <c r="L930" s="138">
        <v>30.0</v>
      </c>
      <c r="M930" s="140" t="str">
        <f>VLOOKUP(text(D930, "#"),'Master Table'!$A:$F, 6, FALSE)</f>
        <v>G-2</v>
      </c>
      <c r="N930" s="141" t="str">
        <f>IFERROR(__xludf.DUMMYFUNCTION("""COMPUTED_VALUE"""),"The presenter is very interested in this research and her efforts are notable.  She explained very clearly and well paced")</f>
        <v>The presenter is very interested in this research and her efforts are notable.  She explained very clearly and well paced</v>
      </c>
      <c r="O930" s="142" t="str">
        <f t="shared" si="1"/>
        <v/>
      </c>
      <c r="P930" s="143" t="str">
        <f>IF(ISNA(VLOOKUP(CONCAT(M930,C930), 'Judge Count DO NOT EDIT'!H:H, 1, FALSE)), "ERROR","")</f>
        <v/>
      </c>
      <c r="Q930" s="141"/>
      <c r="R930" s="143"/>
      <c r="S930" s="139" t="str">
        <f t="shared" si="2"/>
        <v>1098402</v>
      </c>
      <c r="T930" s="141"/>
    </row>
    <row r="931">
      <c r="A931" s="137">
        <f>IFERROR(__xludf.DUMMYFUNCTION("""COMPUTED_VALUE"""),45352.49195744213)</f>
        <v>45352.49196</v>
      </c>
      <c r="B931" s="138" t="str">
        <f>IFERROR(__xludf.DUMMYFUNCTION("""COMPUTED_VALUE"""),"Kristine Ehrich")</f>
        <v>Kristine Ehrich</v>
      </c>
      <c r="C931" s="138">
        <f>IFERROR(__xludf.DUMMYFUNCTION("""COMPUTED_VALUE"""),1183.0)</f>
        <v>1183</v>
      </c>
      <c r="D931" s="139">
        <f>IFERROR(__xludf.DUMMYFUNCTION("""COMPUTED_VALUE"""),402.0)</f>
        <v>402</v>
      </c>
      <c r="E931" s="138">
        <f>IFERROR(__xludf.DUMMYFUNCTION("""COMPUTED_VALUE"""),5.0)</f>
        <v>5</v>
      </c>
      <c r="F931" s="138">
        <f>IFERROR(__xludf.DUMMYFUNCTION("""COMPUTED_VALUE"""),5.0)</f>
        <v>5</v>
      </c>
      <c r="G931" s="138">
        <f>IFERROR(__xludf.DUMMYFUNCTION("""COMPUTED_VALUE"""),5.0)</f>
        <v>5</v>
      </c>
      <c r="H931" s="138">
        <f>IFERROR(__xludf.DUMMYFUNCTION("""COMPUTED_VALUE"""),5.0)</f>
        <v>5</v>
      </c>
      <c r="I931" s="138">
        <f>IFERROR(__xludf.DUMMYFUNCTION("""COMPUTED_VALUE"""),5.0)</f>
        <v>5</v>
      </c>
      <c r="J931" s="138">
        <f>IFERROR(__xludf.DUMMYFUNCTION("""COMPUTED_VALUE"""),5.0)</f>
        <v>5</v>
      </c>
      <c r="K931" s="138">
        <f>IFERROR(__xludf.DUMMYFUNCTION("""COMPUTED_VALUE"""),5.0)</f>
        <v>5</v>
      </c>
      <c r="L931" s="138">
        <v>35.0</v>
      </c>
      <c r="M931" s="140" t="str">
        <f>VLOOKUP(text(D931, "#"),'Master Table'!$A:$F, 6, FALSE)</f>
        <v>G-2</v>
      </c>
      <c r="N931" s="141" t="str">
        <f>IFERROR(__xludf.DUMMYFUNCTION("""COMPUTED_VALUE"""),"This was cool research. Nice job on presenting it in an understandable way. You have good command of the findings and it seems you also can see the future potential and avenues for additional research. I liked hearing your thoughts on how this research co"&amp;"uld be used to benefit relationships, counseling, etc. Thank you for caring and for doing a nice job! I hope the research experience was fulfilling. Good luck in your future career. ")</f>
        <v>This was cool research. Nice job on presenting it in an understandable way. You have good command of the findings and it seems you also can see the future potential and avenues for additional research. I liked hearing your thoughts on how this research could be used to benefit relationships, counseling, etc. Thank you for caring and for doing a nice job! I hope the research experience was fulfilling. Good luck in your future career. </v>
      </c>
      <c r="O931" s="142" t="str">
        <f t="shared" si="1"/>
        <v/>
      </c>
      <c r="P931" s="143" t="str">
        <f>IF(ISNA(VLOOKUP(CONCAT(M931,C931), 'Judge Count DO NOT EDIT'!H:H, 1, FALSE)), "ERROR","")</f>
        <v/>
      </c>
      <c r="Q931" s="141"/>
      <c r="R931" s="143"/>
      <c r="S931" s="139" t="str">
        <f t="shared" si="2"/>
        <v>1183402</v>
      </c>
      <c r="T931" s="141"/>
    </row>
    <row r="932">
      <c r="A932" s="137">
        <f>IFERROR(__xludf.DUMMYFUNCTION("""COMPUTED_VALUE"""),45352.51199625)</f>
        <v>45352.512</v>
      </c>
      <c r="B932" s="138" t="str">
        <f>IFERROR(__xludf.DUMMYFUNCTION("""COMPUTED_VALUE"""),"Valeria Ochoa ")</f>
        <v>Valeria Ochoa </v>
      </c>
      <c r="C932" s="138">
        <f>IFERROR(__xludf.DUMMYFUNCTION("""COMPUTED_VALUE"""),1219.0)</f>
        <v>1219</v>
      </c>
      <c r="D932" s="139">
        <f>IFERROR(__xludf.DUMMYFUNCTION("""COMPUTED_VALUE"""),402.0)</f>
        <v>402</v>
      </c>
      <c r="E932" s="138">
        <f>IFERROR(__xludf.DUMMYFUNCTION("""COMPUTED_VALUE"""),4.0)</f>
        <v>4</v>
      </c>
      <c r="F932" s="138">
        <f>IFERROR(__xludf.DUMMYFUNCTION("""COMPUTED_VALUE"""),3.0)</f>
        <v>3</v>
      </c>
      <c r="G932" s="138">
        <f>IFERROR(__xludf.DUMMYFUNCTION("""COMPUTED_VALUE"""),3.0)</f>
        <v>3</v>
      </c>
      <c r="H932" s="138">
        <f>IFERROR(__xludf.DUMMYFUNCTION("""COMPUTED_VALUE"""),3.0)</f>
        <v>3</v>
      </c>
      <c r="I932" s="138">
        <f>IFERROR(__xludf.DUMMYFUNCTION("""COMPUTED_VALUE"""),4.0)</f>
        <v>4</v>
      </c>
      <c r="J932" s="138">
        <f>IFERROR(__xludf.DUMMYFUNCTION("""COMPUTED_VALUE"""),5.0)</f>
        <v>5</v>
      </c>
      <c r="K932" s="138">
        <f>IFERROR(__xludf.DUMMYFUNCTION("""COMPUTED_VALUE"""),5.0)</f>
        <v>5</v>
      </c>
      <c r="L932" s="138">
        <v>27.0</v>
      </c>
      <c r="M932" s="140" t="str">
        <f>VLOOKUP(text(D932, "#"),'Master Table'!$A:$F, 6, FALSE)</f>
        <v>G-2</v>
      </c>
      <c r="N932" s="141"/>
      <c r="O932" s="142" t="str">
        <f t="shared" si="1"/>
        <v/>
      </c>
      <c r="P932" s="143" t="str">
        <f>IF(ISNA(VLOOKUP(CONCAT(M932,C932), 'Judge Count DO NOT EDIT'!H:H, 1, FALSE)), "ERROR","")</f>
        <v/>
      </c>
      <c r="Q932" s="141"/>
      <c r="R932" s="143"/>
      <c r="S932" s="139" t="str">
        <f t="shared" si="2"/>
        <v>1219402</v>
      </c>
      <c r="T932" s="141"/>
    </row>
    <row r="933">
      <c r="A933" s="137">
        <f>IFERROR(__xludf.DUMMYFUNCTION("""COMPUTED_VALUE"""),45352.480822812504)</f>
        <v>45352.48082</v>
      </c>
      <c r="B933" s="138" t="str">
        <f>IFERROR(__xludf.DUMMYFUNCTION("""COMPUTED_VALUE"""),"Melanie Nicholls")</f>
        <v>Melanie Nicholls</v>
      </c>
      <c r="C933" s="138">
        <f>IFERROR(__xludf.DUMMYFUNCTION("""COMPUTED_VALUE"""),1097.0)</f>
        <v>1097</v>
      </c>
      <c r="D933" s="139">
        <f>IFERROR(__xludf.DUMMYFUNCTION("""COMPUTED_VALUE"""),403.0)</f>
        <v>403</v>
      </c>
      <c r="E933" s="138">
        <f>IFERROR(__xludf.DUMMYFUNCTION("""COMPUTED_VALUE"""),3.0)</f>
        <v>3</v>
      </c>
      <c r="F933" s="138">
        <f>IFERROR(__xludf.DUMMYFUNCTION("""COMPUTED_VALUE"""),3.0)</f>
        <v>3</v>
      </c>
      <c r="G933" s="138">
        <f>IFERROR(__xludf.DUMMYFUNCTION("""COMPUTED_VALUE"""),3.0)</f>
        <v>3</v>
      </c>
      <c r="H933" s="138">
        <f>IFERROR(__xludf.DUMMYFUNCTION("""COMPUTED_VALUE"""),3.0)</f>
        <v>3</v>
      </c>
      <c r="I933" s="138">
        <f>IFERROR(__xludf.DUMMYFUNCTION("""COMPUTED_VALUE"""),4.0)</f>
        <v>4</v>
      </c>
      <c r="J933" s="138">
        <f>IFERROR(__xludf.DUMMYFUNCTION("""COMPUTED_VALUE"""),4.0)</f>
        <v>4</v>
      </c>
      <c r="K933" s="138">
        <f>IFERROR(__xludf.DUMMYFUNCTION("""COMPUTED_VALUE"""),4.0)</f>
        <v>4</v>
      </c>
      <c r="L933" s="138">
        <v>24.0</v>
      </c>
      <c r="M933" s="140" t="str">
        <f>VLOOKUP(text(D933, "#"),'Master Table'!$A:$F, 6, FALSE)</f>
        <v>G-2</v>
      </c>
      <c r="N933" s="141" t="str">
        <f>IFERROR(__xludf.DUMMYFUNCTION("""COMPUTED_VALUE"""),"Good grasp on topic and acknowledge the limitations of the study. Great job with the methods and operationalizing their variables. ")</f>
        <v>Good grasp on topic and acknowledge the limitations of the study. Great job with the methods and operationalizing their variables. </v>
      </c>
      <c r="O933" s="142" t="str">
        <f t="shared" si="1"/>
        <v/>
      </c>
      <c r="P933" s="143" t="str">
        <f>IF(ISNA(VLOOKUP(CONCAT(M933,C933), 'Judge Count DO NOT EDIT'!H:H, 1, FALSE)), "ERROR","")</f>
        <v/>
      </c>
      <c r="Q933" s="141"/>
      <c r="R933" s="143"/>
      <c r="S933" s="139" t="str">
        <f t="shared" si="2"/>
        <v>1097403</v>
      </c>
      <c r="T933" s="141"/>
    </row>
    <row r="934">
      <c r="A934" s="137">
        <f>IFERROR(__xludf.DUMMYFUNCTION("""COMPUTED_VALUE"""),45352.48824142361)</f>
        <v>45352.48824</v>
      </c>
      <c r="B934" s="138" t="str">
        <f>IFERROR(__xludf.DUMMYFUNCTION("""COMPUTED_VALUE"""),"Edwin Rodríguez ")</f>
        <v>Edwin Rodríguez </v>
      </c>
      <c r="C934" s="138">
        <f>IFERROR(__xludf.DUMMYFUNCTION("""COMPUTED_VALUE"""),1098.0)</f>
        <v>1098</v>
      </c>
      <c r="D934" s="139">
        <f>IFERROR(__xludf.DUMMYFUNCTION("""COMPUTED_VALUE"""),403.0)</f>
        <v>403</v>
      </c>
      <c r="E934" s="138">
        <f>IFERROR(__xludf.DUMMYFUNCTION("""COMPUTED_VALUE"""),4.0)</f>
        <v>4</v>
      </c>
      <c r="F934" s="138">
        <f>IFERROR(__xludf.DUMMYFUNCTION("""COMPUTED_VALUE"""),4.0)</f>
        <v>4</v>
      </c>
      <c r="G934" s="138">
        <f>IFERROR(__xludf.DUMMYFUNCTION("""COMPUTED_VALUE"""),5.0)</f>
        <v>5</v>
      </c>
      <c r="H934" s="138">
        <f>IFERROR(__xludf.DUMMYFUNCTION("""COMPUTED_VALUE"""),3.0)</f>
        <v>3</v>
      </c>
      <c r="I934" s="138">
        <f>IFERROR(__xludf.DUMMYFUNCTION("""COMPUTED_VALUE"""),4.0)</f>
        <v>4</v>
      </c>
      <c r="J934" s="138">
        <f>IFERROR(__xludf.DUMMYFUNCTION("""COMPUTED_VALUE"""),4.0)</f>
        <v>4</v>
      </c>
      <c r="K934" s="138">
        <f>IFERROR(__xludf.DUMMYFUNCTION("""COMPUTED_VALUE"""),4.0)</f>
        <v>4</v>
      </c>
      <c r="L934" s="138">
        <v>28.0</v>
      </c>
      <c r="M934" s="140" t="str">
        <f>VLOOKUP(text(D934, "#"),'Master Table'!$A:$F, 6, FALSE)</f>
        <v>G-2</v>
      </c>
      <c r="N934" s="141" t="str">
        <f>IFERROR(__xludf.DUMMYFUNCTION("""COMPUTED_VALUE"""),"This research can have a huge impact if the presenters keep it up and gather more information to support assumptions. Many latino children will benefit from it")</f>
        <v>This research can have a huge impact if the presenters keep it up and gather more information to support assumptions. Many latino children will benefit from it</v>
      </c>
      <c r="O934" s="142" t="str">
        <f t="shared" si="1"/>
        <v/>
      </c>
      <c r="P934" s="143" t="str">
        <f>IF(ISNA(VLOOKUP(CONCAT(M934,C934), 'Judge Count DO NOT EDIT'!H:H, 1, FALSE)), "ERROR","")</f>
        <v/>
      </c>
      <c r="Q934" s="141"/>
      <c r="R934" s="143"/>
      <c r="S934" s="139" t="str">
        <f t="shared" si="2"/>
        <v>1098403</v>
      </c>
      <c r="T934" s="141"/>
    </row>
    <row r="935">
      <c r="A935" s="137">
        <f>IFERROR(__xludf.DUMMYFUNCTION("""COMPUTED_VALUE"""),45352.509610243054)</f>
        <v>45352.50961</v>
      </c>
      <c r="B935" s="138" t="str">
        <f>IFERROR(__xludf.DUMMYFUNCTION("""COMPUTED_VALUE"""),"Valeria Ochoa ")</f>
        <v>Valeria Ochoa </v>
      </c>
      <c r="C935" s="138">
        <f>IFERROR(__xludf.DUMMYFUNCTION("""COMPUTED_VALUE"""),1219.0)</f>
        <v>1219</v>
      </c>
      <c r="D935" s="139">
        <f>IFERROR(__xludf.DUMMYFUNCTION("""COMPUTED_VALUE"""),403.0)</f>
        <v>403</v>
      </c>
      <c r="E935" s="138">
        <f>IFERROR(__xludf.DUMMYFUNCTION("""COMPUTED_VALUE"""),3.0)</f>
        <v>3</v>
      </c>
      <c r="F935" s="138">
        <f>IFERROR(__xludf.DUMMYFUNCTION("""COMPUTED_VALUE"""),3.0)</f>
        <v>3</v>
      </c>
      <c r="G935" s="138">
        <f>IFERROR(__xludf.DUMMYFUNCTION("""COMPUTED_VALUE"""),3.0)</f>
        <v>3</v>
      </c>
      <c r="H935" s="138">
        <f>IFERROR(__xludf.DUMMYFUNCTION("""COMPUTED_VALUE"""),3.0)</f>
        <v>3</v>
      </c>
      <c r="I935" s="138">
        <f>IFERROR(__xludf.DUMMYFUNCTION("""COMPUTED_VALUE"""),3.0)</f>
        <v>3</v>
      </c>
      <c r="J935" s="138">
        <f>IFERROR(__xludf.DUMMYFUNCTION("""COMPUTED_VALUE"""),4.0)</f>
        <v>4</v>
      </c>
      <c r="K935" s="138">
        <f>IFERROR(__xludf.DUMMYFUNCTION("""COMPUTED_VALUE"""),4.0)</f>
        <v>4</v>
      </c>
      <c r="L935" s="138">
        <v>23.0</v>
      </c>
      <c r="M935" s="140" t="str">
        <f>VLOOKUP(text(D935, "#"),'Master Table'!$A:$F, 6, FALSE)</f>
        <v>G-2</v>
      </c>
      <c r="N935" s="141" t="str">
        <f>IFERROR(__xludf.DUMMYFUNCTION("""COMPUTED_VALUE"""),"There was a lot of reading from the poster. Would recommend looking at the audience more. ")</f>
        <v>There was a lot of reading from the poster. Would recommend looking at the audience more. </v>
      </c>
      <c r="O935" s="142" t="str">
        <f t="shared" si="1"/>
        <v/>
      </c>
      <c r="P935" s="143" t="str">
        <f>IF(ISNA(VLOOKUP(CONCAT(M935,C935), 'Judge Count DO NOT EDIT'!H:H, 1, FALSE)), "ERROR","")</f>
        <v/>
      </c>
      <c r="Q935" s="141"/>
      <c r="R935" s="143"/>
      <c r="S935" s="139" t="str">
        <f t="shared" si="2"/>
        <v>1219403</v>
      </c>
      <c r="T935" s="141"/>
    </row>
    <row r="936">
      <c r="A936" s="137">
        <f>IFERROR(__xludf.DUMMYFUNCTION("""COMPUTED_VALUE"""),45352.53024951389)</f>
        <v>45352.53025</v>
      </c>
      <c r="B936" s="138" t="str">
        <f>IFERROR(__xludf.DUMMYFUNCTION("""COMPUTED_VALUE"""),"Kristine Ehrich")</f>
        <v>Kristine Ehrich</v>
      </c>
      <c r="C936" s="138">
        <f>IFERROR(__xludf.DUMMYFUNCTION("""COMPUTED_VALUE"""),1183.0)</f>
        <v>1183</v>
      </c>
      <c r="D936" s="139">
        <f>IFERROR(__xludf.DUMMYFUNCTION("""COMPUTED_VALUE"""),403.0)</f>
        <v>403</v>
      </c>
      <c r="E936" s="138">
        <f>IFERROR(__xludf.DUMMYFUNCTION("""COMPUTED_VALUE"""),5.0)</f>
        <v>5</v>
      </c>
      <c r="F936" s="138">
        <f>IFERROR(__xludf.DUMMYFUNCTION("""COMPUTED_VALUE"""),5.0)</f>
        <v>5</v>
      </c>
      <c r="G936" s="138">
        <f>IFERROR(__xludf.DUMMYFUNCTION("""COMPUTED_VALUE"""),5.0)</f>
        <v>5</v>
      </c>
      <c r="H936" s="138">
        <f>IFERROR(__xludf.DUMMYFUNCTION("""COMPUTED_VALUE"""),4.0)</f>
        <v>4</v>
      </c>
      <c r="I936" s="138">
        <f>IFERROR(__xludf.DUMMYFUNCTION("""COMPUTED_VALUE"""),4.0)</f>
        <v>4</v>
      </c>
      <c r="J936" s="138">
        <f>IFERROR(__xludf.DUMMYFUNCTION("""COMPUTED_VALUE"""),5.0)</f>
        <v>5</v>
      </c>
      <c r="K936" s="138">
        <f>IFERROR(__xludf.DUMMYFUNCTION("""COMPUTED_VALUE"""),5.0)</f>
        <v>5</v>
      </c>
      <c r="L936" s="138">
        <v>33.0</v>
      </c>
      <c r="M936" s="140" t="str">
        <f>VLOOKUP(text(D936, "#"),'Master Table'!$A:$F, 6, FALSE)</f>
        <v>G-2</v>
      </c>
      <c r="N936" s="141" t="str">
        <f>IFERROR(__xludf.DUMMYFUNCTION("""COMPUTED_VALUE"""),"This was great research. Nice job on presenting it in an understandable way. You have good command of the findings and it seems you also can see the future potential and avenues for additional research. It seems you also understand the limitations of the "&amp;"current data set and have ideas for how to overcome that in the future. Thank you for caring and for doing a nice job! I hope the research experience was fulfilling. One piece of advice is to try to look at the person you’re presenting to, rather than to "&amp;"focus on the poster. It is a hard thing to do correctly….i still struggle sometimes, when lecturing. Trust your knowledge! :-) Good luck in your future career and enjoy!")</f>
        <v>This was great research. Nice job on presenting it in an understandable way. You have good command of the findings and it seems you also can see the future potential and avenues for additional research. It seems you also understand the limitations of the current data set and have ideas for how to overcome that in the future. Thank you for caring and for doing a nice job! I hope the research experience was fulfilling. One piece of advice is to try to look at the person you’re presenting to, rather than to focus on the poster. It is a hard thing to do correctly….i still struggle sometimes, when lecturing. Trust your knowledge! :-) Good luck in your future career and enjoy!</v>
      </c>
      <c r="O936" s="142" t="str">
        <f t="shared" si="1"/>
        <v/>
      </c>
      <c r="P936" s="143" t="str">
        <f>IF(ISNA(VLOOKUP(CONCAT(M936,C936), 'Judge Count DO NOT EDIT'!H:H, 1, FALSE)), "ERROR","")</f>
        <v/>
      </c>
      <c r="Q936" s="141"/>
      <c r="R936" s="143"/>
      <c r="S936" s="139" t="str">
        <f t="shared" si="2"/>
        <v>1183403</v>
      </c>
      <c r="T936" s="141"/>
    </row>
    <row r="937">
      <c r="A937" s="137">
        <f>IFERROR(__xludf.DUMMYFUNCTION("""COMPUTED_VALUE"""),45352.49043877315)</f>
        <v>45352.49044</v>
      </c>
      <c r="B937" s="138" t="str">
        <f>IFERROR(__xludf.DUMMYFUNCTION("""COMPUTED_VALUE"""),"Melanie Nicholls")</f>
        <v>Melanie Nicholls</v>
      </c>
      <c r="C937" s="138">
        <f>IFERROR(__xludf.DUMMYFUNCTION("""COMPUTED_VALUE"""),1097.0)</f>
        <v>1097</v>
      </c>
      <c r="D937" s="139">
        <f>IFERROR(__xludf.DUMMYFUNCTION("""COMPUTED_VALUE"""),404.0)</f>
        <v>404</v>
      </c>
      <c r="E937" s="138">
        <f>IFERROR(__xludf.DUMMYFUNCTION("""COMPUTED_VALUE"""),5.0)</f>
        <v>5</v>
      </c>
      <c r="F937" s="138">
        <f>IFERROR(__xludf.DUMMYFUNCTION("""COMPUTED_VALUE"""),5.0)</f>
        <v>5</v>
      </c>
      <c r="G937" s="138">
        <f>IFERROR(__xludf.DUMMYFUNCTION("""COMPUTED_VALUE"""),5.0)</f>
        <v>5</v>
      </c>
      <c r="H937" s="138">
        <f>IFERROR(__xludf.DUMMYFUNCTION("""COMPUTED_VALUE"""),3.0)</f>
        <v>3</v>
      </c>
      <c r="I937" s="138">
        <f>IFERROR(__xludf.DUMMYFUNCTION("""COMPUTED_VALUE"""),4.0)</f>
        <v>4</v>
      </c>
      <c r="J937" s="138">
        <f>IFERROR(__xludf.DUMMYFUNCTION("""COMPUTED_VALUE"""),4.0)</f>
        <v>4</v>
      </c>
      <c r="K937" s="138">
        <f>IFERROR(__xludf.DUMMYFUNCTION("""COMPUTED_VALUE"""),5.0)</f>
        <v>5</v>
      </c>
      <c r="L937" s="138">
        <v>31.0</v>
      </c>
      <c r="M937" s="140" t="str">
        <f>VLOOKUP(text(D937, "#"),'Master Table'!$A:$F, 6, FALSE)</f>
        <v>G-2</v>
      </c>
      <c r="N937" s="141" t="str">
        <f>IFERROR(__xludf.DUMMYFUNCTION("""COMPUTED_VALUE"""),"Very innovative idea and something new! The two presenters had a clear grasp on the topic and answered all questions thoroughly and in depth. Would love to see how they could use past research in other areas of the country to inform future findings. ")</f>
        <v>Very innovative idea and something new! The two presenters had a clear grasp on the topic and answered all questions thoroughly and in depth. Would love to see how they could use past research in other areas of the country to inform future findings. </v>
      </c>
      <c r="O937" s="142" t="str">
        <f t="shared" si="1"/>
        <v/>
      </c>
      <c r="P937" s="143" t="str">
        <f>IF(ISNA(VLOOKUP(CONCAT(M937,C937), 'Judge Count DO NOT EDIT'!H:H, 1, FALSE)), "ERROR","")</f>
        <v/>
      </c>
      <c r="Q937" s="141"/>
      <c r="R937" s="143"/>
      <c r="S937" s="139" t="str">
        <f t="shared" si="2"/>
        <v>1097404</v>
      </c>
      <c r="T937" s="141"/>
    </row>
    <row r="938">
      <c r="A938" s="137">
        <f>IFERROR(__xludf.DUMMYFUNCTION("""COMPUTED_VALUE"""),45352.49577792824)</f>
        <v>45352.49578</v>
      </c>
      <c r="B938" s="138" t="str">
        <f>IFERROR(__xludf.DUMMYFUNCTION("""COMPUTED_VALUE"""),"Kristine Ehrich")</f>
        <v>Kristine Ehrich</v>
      </c>
      <c r="C938" s="138">
        <f>IFERROR(__xludf.DUMMYFUNCTION("""COMPUTED_VALUE"""),1183.0)</f>
        <v>1183</v>
      </c>
      <c r="D938" s="139">
        <f>IFERROR(__xludf.DUMMYFUNCTION("""COMPUTED_VALUE"""),404.0)</f>
        <v>404</v>
      </c>
      <c r="E938" s="138">
        <f>IFERROR(__xludf.DUMMYFUNCTION("""COMPUTED_VALUE"""),5.0)</f>
        <v>5</v>
      </c>
      <c r="F938" s="138">
        <f>IFERROR(__xludf.DUMMYFUNCTION("""COMPUTED_VALUE"""),4.0)</f>
        <v>4</v>
      </c>
      <c r="G938" s="138">
        <f>IFERROR(__xludf.DUMMYFUNCTION("""COMPUTED_VALUE"""),5.0)</f>
        <v>5</v>
      </c>
      <c r="H938" s="138">
        <f>IFERROR(__xludf.DUMMYFUNCTION("""COMPUTED_VALUE"""),4.0)</f>
        <v>4</v>
      </c>
      <c r="I938" s="138">
        <f>IFERROR(__xludf.DUMMYFUNCTION("""COMPUTED_VALUE"""),5.0)</f>
        <v>5</v>
      </c>
      <c r="J938" s="138">
        <f>IFERROR(__xludf.DUMMYFUNCTION("""COMPUTED_VALUE"""),5.0)</f>
        <v>5</v>
      </c>
      <c r="K938" s="138">
        <f>IFERROR(__xludf.DUMMYFUNCTION("""COMPUTED_VALUE"""),5.0)</f>
        <v>5</v>
      </c>
      <c r="L938" s="138">
        <v>33.0</v>
      </c>
      <c r="M938" s="140" t="str">
        <f>VLOOKUP(text(D938, "#"),'Master Table'!$A:$F, 6, FALSE)</f>
        <v>G-2</v>
      </c>
      <c r="N938" s="141" t="str">
        <f>IFERROR(__xludf.DUMMYFUNCTION("""COMPUTED_VALUE"""),"This was great research. Nice job on presenting it in an understandable way. It is easy to see your passion for the project and you have a good feel for of the findings.  It seems you also can see the future potential and avenues for additional research. "&amp;"I fear (?) there are many examples of this and resulting stigma and further behaviors to be studied. Thanks for getting started on an important topic. Thank you for caring and for doing a nice job! I hope the research experience was fulfilling. Good luck "&amp;"in your future career. ")</f>
        <v>This was great research. Nice job on presenting it in an understandable way. It is easy to see your passion for the project and you have a good feel for of the findings.  It seems you also can see the future potential and avenues for additional research. I fear (?) there are many examples of this and resulting stigma and further behaviors to be studied. Thanks for getting started on an important topic. Thank you for caring and for doing a nice job! I hope the research experience was fulfilling. Good luck in your future career. </v>
      </c>
      <c r="O938" s="142" t="str">
        <f t="shared" si="1"/>
        <v/>
      </c>
      <c r="P938" s="143" t="str">
        <f>IF(ISNA(VLOOKUP(CONCAT(M938,C938), 'Judge Count DO NOT EDIT'!H:H, 1, FALSE)), "ERROR","")</f>
        <v/>
      </c>
      <c r="Q938" s="141"/>
      <c r="R938" s="143"/>
      <c r="S938" s="139" t="str">
        <f t="shared" si="2"/>
        <v>1183404</v>
      </c>
      <c r="T938" s="141"/>
    </row>
    <row r="939">
      <c r="A939" s="137">
        <f>IFERROR(__xludf.DUMMYFUNCTION("""COMPUTED_VALUE"""),45352.50805103009)</f>
        <v>45352.50805</v>
      </c>
      <c r="B939" s="138" t="str">
        <f>IFERROR(__xludf.DUMMYFUNCTION("""COMPUTED_VALUE"""),"Valeria Ochoa ")</f>
        <v>Valeria Ochoa </v>
      </c>
      <c r="C939" s="138">
        <f>IFERROR(__xludf.DUMMYFUNCTION("""COMPUTED_VALUE"""),1219.0)</f>
        <v>1219</v>
      </c>
      <c r="D939" s="139">
        <f>IFERROR(__xludf.DUMMYFUNCTION("""COMPUTED_VALUE"""),404.0)</f>
        <v>404</v>
      </c>
      <c r="E939" s="138">
        <f>IFERROR(__xludf.DUMMYFUNCTION("""COMPUTED_VALUE"""),5.0)</f>
        <v>5</v>
      </c>
      <c r="F939" s="138">
        <f>IFERROR(__xludf.DUMMYFUNCTION("""COMPUTED_VALUE"""),5.0)</f>
        <v>5</v>
      </c>
      <c r="G939" s="138">
        <f>IFERROR(__xludf.DUMMYFUNCTION("""COMPUTED_VALUE"""),5.0)</f>
        <v>5</v>
      </c>
      <c r="H939" s="138">
        <f>IFERROR(__xludf.DUMMYFUNCTION("""COMPUTED_VALUE"""),5.0)</f>
        <v>5</v>
      </c>
      <c r="I939" s="138">
        <f>IFERROR(__xludf.DUMMYFUNCTION("""COMPUTED_VALUE"""),4.0)</f>
        <v>4</v>
      </c>
      <c r="J939" s="138">
        <f>IFERROR(__xludf.DUMMYFUNCTION("""COMPUTED_VALUE"""),5.0)</f>
        <v>5</v>
      </c>
      <c r="K939" s="138">
        <f>IFERROR(__xludf.DUMMYFUNCTION("""COMPUTED_VALUE"""),5.0)</f>
        <v>5</v>
      </c>
      <c r="L939" s="138">
        <v>34.0</v>
      </c>
      <c r="M939" s="140" t="str">
        <f>VLOOKUP(text(D939, "#"),'Master Table'!$A:$F, 6, FALSE)</f>
        <v>G-2</v>
      </c>
      <c r="N939" s="141" t="str">
        <f>IFERROR(__xludf.DUMMYFUNCTION("""COMPUTED_VALUE"""),"Excellent poster and delivery of the content! My one suggestion is to lose the flashcards. You were very knowledgeable about the content on your poster, no need for flash cards. They were a bit distracting but not a deal breaker. ")</f>
        <v>Excellent poster and delivery of the content! My one suggestion is to lose the flashcards. You were very knowledgeable about the content on your poster, no need for flash cards. They were a bit distracting but not a deal breaker. </v>
      </c>
      <c r="O939" s="142" t="str">
        <f t="shared" si="1"/>
        <v/>
      </c>
      <c r="P939" s="143" t="str">
        <f>IF(ISNA(VLOOKUP(CONCAT(M939,C939), 'Judge Count DO NOT EDIT'!H:H, 1, FALSE)), "ERROR","")</f>
        <v/>
      </c>
      <c r="Q939" s="141"/>
      <c r="R939" s="143"/>
      <c r="S939" s="139" t="str">
        <f t="shared" si="2"/>
        <v>1219404</v>
      </c>
      <c r="T939" s="141"/>
    </row>
    <row r="940">
      <c r="A940" s="137">
        <f>IFERROR(__xludf.DUMMYFUNCTION("""COMPUTED_VALUE"""),45352.51692834491)</f>
        <v>45352.51693</v>
      </c>
      <c r="B940" s="138" t="str">
        <f>IFERROR(__xludf.DUMMYFUNCTION("""COMPUTED_VALUE"""),"Edwin Rodríguez ")</f>
        <v>Edwin Rodríguez </v>
      </c>
      <c r="C940" s="138">
        <f>IFERROR(__xludf.DUMMYFUNCTION("""COMPUTED_VALUE"""),1098.0)</f>
        <v>1098</v>
      </c>
      <c r="D940" s="139">
        <f>IFERROR(__xludf.DUMMYFUNCTION("""COMPUTED_VALUE"""),404.0)</f>
        <v>404</v>
      </c>
      <c r="E940" s="138">
        <f>IFERROR(__xludf.DUMMYFUNCTION("""COMPUTED_VALUE"""),4.0)</f>
        <v>4</v>
      </c>
      <c r="F940" s="138">
        <f>IFERROR(__xludf.DUMMYFUNCTION("""COMPUTED_VALUE"""),5.0)</f>
        <v>5</v>
      </c>
      <c r="G940" s="138">
        <f>IFERROR(__xludf.DUMMYFUNCTION("""COMPUTED_VALUE"""),5.0)</f>
        <v>5</v>
      </c>
      <c r="H940" s="138">
        <f>IFERROR(__xludf.DUMMYFUNCTION("""COMPUTED_VALUE"""),4.0)</f>
        <v>4</v>
      </c>
      <c r="I940" s="138">
        <f>IFERROR(__xludf.DUMMYFUNCTION("""COMPUTED_VALUE"""),5.0)</f>
        <v>5</v>
      </c>
      <c r="J940" s="138">
        <f>IFERROR(__xludf.DUMMYFUNCTION("""COMPUTED_VALUE"""),4.0)</f>
        <v>4</v>
      </c>
      <c r="K940" s="138">
        <f>IFERROR(__xludf.DUMMYFUNCTION("""COMPUTED_VALUE"""),5.0)</f>
        <v>5</v>
      </c>
      <c r="L940" s="138">
        <v>32.0</v>
      </c>
      <c r="M940" s="140" t="str">
        <f>VLOOKUP(text(D940, "#"),'Master Table'!$A:$F, 6, FALSE)</f>
        <v>G-2</v>
      </c>
      <c r="N940" s="141" t="str">
        <f>IFERROR(__xludf.DUMMYFUNCTION("""COMPUTED_VALUE"""),"Their research is very innovative and will benefit society if presented to the right audience.  They are very engaged en interested and the explanation was very digestible and clear")</f>
        <v>Their research is very innovative and will benefit society if presented to the right audience.  They are very engaged en interested and the explanation was very digestible and clear</v>
      </c>
      <c r="O940" s="142" t="str">
        <f t="shared" si="1"/>
        <v/>
      </c>
      <c r="P940" s="143" t="str">
        <f>IF(ISNA(VLOOKUP(CONCAT(M940,C940), 'Judge Count DO NOT EDIT'!H:H, 1, FALSE)), "ERROR","")</f>
        <v/>
      </c>
      <c r="Q940" s="144"/>
      <c r="R940" s="143"/>
      <c r="S940" s="139" t="str">
        <f t="shared" si="2"/>
        <v>1098404</v>
      </c>
      <c r="T940" s="141"/>
    </row>
    <row r="941">
      <c r="A941" s="137">
        <f>IFERROR(__xludf.DUMMYFUNCTION("""COMPUTED_VALUE"""),45352.49720387731)</f>
        <v>45352.4972</v>
      </c>
      <c r="B941" s="138" t="str">
        <f>IFERROR(__xludf.DUMMYFUNCTION("""COMPUTED_VALUE"""),"Melanie Nicholls")</f>
        <v>Melanie Nicholls</v>
      </c>
      <c r="C941" s="138">
        <f>IFERROR(__xludf.DUMMYFUNCTION("""COMPUTED_VALUE"""),1097.0)</f>
        <v>1097</v>
      </c>
      <c r="D941" s="139">
        <f>IFERROR(__xludf.DUMMYFUNCTION("""COMPUTED_VALUE"""),405.0)</f>
        <v>405</v>
      </c>
      <c r="E941" s="138">
        <f>IFERROR(__xludf.DUMMYFUNCTION("""COMPUTED_VALUE"""),4.0)</f>
        <v>4</v>
      </c>
      <c r="F941" s="138">
        <f>IFERROR(__xludf.DUMMYFUNCTION("""COMPUTED_VALUE"""),4.0)</f>
        <v>4</v>
      </c>
      <c r="G941" s="138">
        <f>IFERROR(__xludf.DUMMYFUNCTION("""COMPUTED_VALUE"""),4.0)</f>
        <v>4</v>
      </c>
      <c r="H941" s="138">
        <f>IFERROR(__xludf.DUMMYFUNCTION("""COMPUTED_VALUE"""),4.0)</f>
        <v>4</v>
      </c>
      <c r="I941" s="138">
        <f>IFERROR(__xludf.DUMMYFUNCTION("""COMPUTED_VALUE"""),5.0)</f>
        <v>5</v>
      </c>
      <c r="J941" s="138">
        <f>IFERROR(__xludf.DUMMYFUNCTION("""COMPUTED_VALUE"""),5.0)</f>
        <v>5</v>
      </c>
      <c r="K941" s="138">
        <f>IFERROR(__xludf.DUMMYFUNCTION("""COMPUTED_VALUE"""),5.0)</f>
        <v>5</v>
      </c>
      <c r="L941" s="138">
        <v>31.0</v>
      </c>
      <c r="M941" s="140" t="str">
        <f>VLOOKUP(text(D941, "#"),'Master Table'!$A:$F, 6, FALSE)</f>
        <v>G-2</v>
      </c>
      <c r="N941" s="141" t="str">
        <f>IFERROR(__xludf.DUMMYFUNCTION("""COMPUTED_VALUE"""),"Presenter was excited and passionate about the topic! Very knowledgeable and was able to speak to future directions and limitations. Had a strong grasp on the topic and lived experience that helped strengthen the presentation. ")</f>
        <v>Presenter was excited and passionate about the topic! Very knowledgeable and was able to speak to future directions and limitations. Had a strong grasp on the topic and lived experience that helped strengthen the presentation. </v>
      </c>
      <c r="O941" s="142" t="str">
        <f t="shared" si="1"/>
        <v/>
      </c>
      <c r="P941" s="143" t="str">
        <f>IF(ISNA(VLOOKUP(CONCAT(M941,C941), 'Judge Count DO NOT EDIT'!H:H, 1, FALSE)), "ERROR","")</f>
        <v/>
      </c>
      <c r="Q941" s="144"/>
      <c r="R941" s="143"/>
      <c r="S941" s="139" t="str">
        <f t="shared" si="2"/>
        <v>1097405</v>
      </c>
      <c r="T941" s="141"/>
    </row>
    <row r="942">
      <c r="A942" s="137">
        <f>IFERROR(__xludf.DUMMYFUNCTION("""COMPUTED_VALUE"""),45352.505301736106)</f>
        <v>45352.5053</v>
      </c>
      <c r="B942" s="138" t="str">
        <f>IFERROR(__xludf.DUMMYFUNCTION("""COMPUTED_VALUE"""),"Edwin Rodríguez ")</f>
        <v>Edwin Rodríguez </v>
      </c>
      <c r="C942" s="138">
        <f>IFERROR(__xludf.DUMMYFUNCTION("""COMPUTED_VALUE"""),1098.0)</f>
        <v>1098</v>
      </c>
      <c r="D942" s="139">
        <f>IFERROR(__xludf.DUMMYFUNCTION("""COMPUTED_VALUE"""),405.0)</f>
        <v>405</v>
      </c>
      <c r="E942" s="138">
        <f>IFERROR(__xludf.DUMMYFUNCTION("""COMPUTED_VALUE"""),3.0)</f>
        <v>3</v>
      </c>
      <c r="F942" s="138">
        <f>IFERROR(__xludf.DUMMYFUNCTION("""COMPUTED_VALUE"""),4.0)</f>
        <v>4</v>
      </c>
      <c r="G942" s="138">
        <f>IFERROR(__xludf.DUMMYFUNCTION("""COMPUTED_VALUE"""),5.0)</f>
        <v>5</v>
      </c>
      <c r="H942" s="138">
        <f>IFERROR(__xludf.DUMMYFUNCTION("""COMPUTED_VALUE"""),4.0)</f>
        <v>4</v>
      </c>
      <c r="I942" s="138">
        <f>IFERROR(__xludf.DUMMYFUNCTION("""COMPUTED_VALUE"""),4.0)</f>
        <v>4</v>
      </c>
      <c r="J942" s="138">
        <f>IFERROR(__xludf.DUMMYFUNCTION("""COMPUTED_VALUE"""),4.0)</f>
        <v>4</v>
      </c>
      <c r="K942" s="138">
        <f>IFERROR(__xludf.DUMMYFUNCTION("""COMPUTED_VALUE"""),5.0)</f>
        <v>5</v>
      </c>
      <c r="L942" s="138">
        <v>29.0</v>
      </c>
      <c r="M942" s="140" t="str">
        <f>VLOOKUP(text(D942, "#"),'Master Table'!$A:$F, 6, FALSE)</f>
        <v>G-2</v>
      </c>
      <c r="N942" s="141" t="str">
        <f>IFERROR(__xludf.DUMMYFUNCTION("""COMPUTED_VALUE"""),"She explained very clearly the research and looked highly interested in continuing working on it. ")</f>
        <v>She explained very clearly the research and looked highly interested in continuing working on it. </v>
      </c>
      <c r="O942" s="142" t="str">
        <f t="shared" si="1"/>
        <v/>
      </c>
      <c r="P942" s="143" t="str">
        <f>IF(ISNA(VLOOKUP(CONCAT(M942,C942), 'Judge Count DO NOT EDIT'!H:H, 1, FALSE)), "ERROR","")</f>
        <v/>
      </c>
      <c r="Q942" s="141"/>
      <c r="R942" s="143"/>
      <c r="S942" s="139" t="str">
        <f t="shared" si="2"/>
        <v>1098405</v>
      </c>
      <c r="T942" s="141"/>
    </row>
    <row r="943">
      <c r="A943" s="137">
        <f>IFERROR(__xludf.DUMMYFUNCTION("""COMPUTED_VALUE"""),45352.50682643519)</f>
        <v>45352.50683</v>
      </c>
      <c r="B943" s="138" t="str">
        <f>IFERROR(__xludf.DUMMYFUNCTION("""COMPUTED_VALUE"""),"Valeria Ochoa ")</f>
        <v>Valeria Ochoa </v>
      </c>
      <c r="C943" s="138">
        <f>IFERROR(__xludf.DUMMYFUNCTION("""COMPUTED_VALUE"""),1219.0)</f>
        <v>1219</v>
      </c>
      <c r="D943" s="139">
        <f>IFERROR(__xludf.DUMMYFUNCTION("""COMPUTED_VALUE"""),405.0)</f>
        <v>405</v>
      </c>
      <c r="E943" s="138">
        <f>IFERROR(__xludf.DUMMYFUNCTION("""COMPUTED_VALUE"""),4.0)</f>
        <v>4</v>
      </c>
      <c r="F943" s="138">
        <f>IFERROR(__xludf.DUMMYFUNCTION("""COMPUTED_VALUE"""),4.0)</f>
        <v>4</v>
      </c>
      <c r="G943" s="138">
        <f>IFERROR(__xludf.DUMMYFUNCTION("""COMPUTED_VALUE"""),3.0)</f>
        <v>3</v>
      </c>
      <c r="H943" s="138">
        <f>IFERROR(__xludf.DUMMYFUNCTION("""COMPUTED_VALUE"""),4.0)</f>
        <v>4</v>
      </c>
      <c r="I943" s="138">
        <f>IFERROR(__xludf.DUMMYFUNCTION("""COMPUTED_VALUE"""),5.0)</f>
        <v>5</v>
      </c>
      <c r="J943" s="138">
        <f>IFERROR(__xludf.DUMMYFUNCTION("""COMPUTED_VALUE"""),4.0)</f>
        <v>4</v>
      </c>
      <c r="K943" s="138">
        <f>IFERROR(__xludf.DUMMYFUNCTION("""COMPUTED_VALUE"""),5.0)</f>
        <v>5</v>
      </c>
      <c r="L943" s="138">
        <v>29.0</v>
      </c>
      <c r="M943" s="140" t="str">
        <f>VLOOKUP(text(D943, "#"),'Master Table'!$A:$F, 6, FALSE)</f>
        <v>G-2</v>
      </c>
      <c r="N943" s="141"/>
      <c r="O943" s="142" t="str">
        <f t="shared" si="1"/>
        <v/>
      </c>
      <c r="P943" s="143" t="str">
        <f>IF(ISNA(VLOOKUP(CONCAT(M943,C943), 'Judge Count DO NOT EDIT'!H:H, 1, FALSE)), "ERROR","")</f>
        <v/>
      </c>
      <c r="Q943" s="141"/>
      <c r="R943" s="143"/>
      <c r="S943" s="139" t="str">
        <f t="shared" si="2"/>
        <v>1219405</v>
      </c>
      <c r="T943" s="141"/>
    </row>
    <row r="944">
      <c r="A944" s="137">
        <f>IFERROR(__xludf.DUMMYFUNCTION("""COMPUTED_VALUE"""),45352.52167563657)</f>
        <v>45352.52168</v>
      </c>
      <c r="B944" s="138" t="str">
        <f>IFERROR(__xludf.DUMMYFUNCTION("""COMPUTED_VALUE"""),"Kristine Ehrich")</f>
        <v>Kristine Ehrich</v>
      </c>
      <c r="C944" s="138">
        <f>IFERROR(__xludf.DUMMYFUNCTION("""COMPUTED_VALUE"""),1183.0)</f>
        <v>1183</v>
      </c>
      <c r="D944" s="139">
        <f>IFERROR(__xludf.DUMMYFUNCTION("""COMPUTED_VALUE"""),405.0)</f>
        <v>405</v>
      </c>
      <c r="E944" s="138">
        <f>IFERROR(__xludf.DUMMYFUNCTION("""COMPUTED_VALUE"""),5.0)</f>
        <v>5</v>
      </c>
      <c r="F944" s="138">
        <f>IFERROR(__xludf.DUMMYFUNCTION("""COMPUTED_VALUE"""),5.0)</f>
        <v>5</v>
      </c>
      <c r="G944" s="138">
        <f>IFERROR(__xludf.DUMMYFUNCTION("""COMPUTED_VALUE"""),5.0)</f>
        <v>5</v>
      </c>
      <c r="H944" s="138">
        <f>IFERROR(__xludf.DUMMYFUNCTION("""COMPUTED_VALUE"""),5.0)</f>
        <v>5</v>
      </c>
      <c r="I944" s="138">
        <f>IFERROR(__xludf.DUMMYFUNCTION("""COMPUTED_VALUE"""),5.0)</f>
        <v>5</v>
      </c>
      <c r="J944" s="138">
        <f>IFERROR(__xludf.DUMMYFUNCTION("""COMPUTED_VALUE"""),5.0)</f>
        <v>5</v>
      </c>
      <c r="K944" s="138">
        <f>IFERROR(__xludf.DUMMYFUNCTION("""COMPUTED_VALUE"""),5.0)</f>
        <v>5</v>
      </c>
      <c r="L944" s="138">
        <v>35.0</v>
      </c>
      <c r="M944" s="140" t="str">
        <f>VLOOKUP(text(D944, "#"),'Master Table'!$A:$F, 6, FALSE)</f>
        <v>G-2</v>
      </c>
      <c r="N944" s="141" t="str">
        <f>IFERROR(__xludf.DUMMYFUNCTION("""COMPUTED_VALUE"""),"This is such important research. Nice job on presenting it in very understandable way. I love the passion you have for the topic and it is great to hear your thoughts on how to further explore this. You have a solid understanding of the findings and it se"&amp;"ems you also can see the future potential and avenues for additional research. Love that! Please keep exploring. Thank you for caring and for doing a nice job! It seems the research experience was fulfilling. I urge you to reach out to that high school te"&amp;"acher and thank them. ;-) Good luck in your future career!!")</f>
        <v>This is such important research. Nice job on presenting it in very understandable way. I love the passion you have for the topic and it is great to hear your thoughts on how to further explore this. You have a solid understanding of the findings and it seems you also can see the future potential and avenues for additional research. Love that! Please keep exploring. Thank you for caring and for doing a nice job! It seems the research experience was fulfilling. I urge you to reach out to that high school teacher and thank them. ;-) Good luck in your future career!!</v>
      </c>
      <c r="O944" s="142" t="str">
        <f t="shared" si="1"/>
        <v/>
      </c>
      <c r="P944" s="143" t="str">
        <f>IF(ISNA(VLOOKUP(CONCAT(M944,C944), 'Judge Count DO NOT EDIT'!H:H, 1, FALSE)), "ERROR","")</f>
        <v/>
      </c>
      <c r="Q944" s="141"/>
      <c r="R944" s="143"/>
      <c r="S944" s="139" t="str">
        <f t="shared" si="2"/>
        <v>1183405</v>
      </c>
      <c r="T944" s="141"/>
    </row>
    <row r="945">
      <c r="A945" s="137">
        <f>IFERROR(__xludf.DUMMYFUNCTION("""COMPUTED_VALUE"""),45352.46702443287)</f>
        <v>45352.46702</v>
      </c>
      <c r="B945" s="138" t="str">
        <f>IFERROR(__xludf.DUMMYFUNCTION("""COMPUTED_VALUE"""),"Cripps")</f>
        <v>Cripps</v>
      </c>
      <c r="C945" s="138">
        <f>IFERROR(__xludf.DUMMYFUNCTION("""COMPUTED_VALUE"""),1069.0)</f>
        <v>1069</v>
      </c>
      <c r="D945" s="139">
        <f>IFERROR(__xludf.DUMMYFUNCTION("""COMPUTED_VALUE"""),406.0)</f>
        <v>406</v>
      </c>
      <c r="E945" s="138">
        <f>IFERROR(__xludf.DUMMYFUNCTION("""COMPUTED_VALUE"""),3.0)</f>
        <v>3</v>
      </c>
      <c r="F945" s="138">
        <f>IFERROR(__xludf.DUMMYFUNCTION("""COMPUTED_VALUE"""),4.0)</f>
        <v>4</v>
      </c>
      <c r="G945" s="138">
        <f>IFERROR(__xludf.DUMMYFUNCTION("""COMPUTED_VALUE"""),4.0)</f>
        <v>4</v>
      </c>
      <c r="H945" s="138">
        <f>IFERROR(__xludf.DUMMYFUNCTION("""COMPUTED_VALUE"""),4.0)</f>
        <v>4</v>
      </c>
      <c r="I945" s="138">
        <f>IFERROR(__xludf.DUMMYFUNCTION("""COMPUTED_VALUE"""),4.0)</f>
        <v>4</v>
      </c>
      <c r="J945" s="138">
        <f>IFERROR(__xludf.DUMMYFUNCTION("""COMPUTED_VALUE"""),3.0)</f>
        <v>3</v>
      </c>
      <c r="K945" s="138">
        <f>IFERROR(__xludf.DUMMYFUNCTION("""COMPUTED_VALUE"""),4.0)</f>
        <v>4</v>
      </c>
      <c r="L945" s="138">
        <v>26.0</v>
      </c>
      <c r="M945" s="140" t="str">
        <f>VLOOKUP(text(D945, "#"),'Master Table'!$A:$F, 6, FALSE)</f>
        <v>G-3</v>
      </c>
      <c r="N945" s="141"/>
      <c r="O945" s="142" t="str">
        <f t="shared" si="1"/>
        <v/>
      </c>
      <c r="P945" s="143" t="str">
        <f>IF(ISNA(VLOOKUP(CONCAT(M945,C945), 'Judge Count DO NOT EDIT'!H:H, 1, FALSE)), "ERROR","")</f>
        <v/>
      </c>
      <c r="Q945" s="144"/>
      <c r="R945" s="143"/>
      <c r="S945" s="139" t="str">
        <f t="shared" si="2"/>
        <v>1069406</v>
      </c>
      <c r="T945" s="141"/>
    </row>
    <row r="946">
      <c r="A946" s="137">
        <f>IFERROR(__xludf.DUMMYFUNCTION("""COMPUTED_VALUE"""),45352.52293497685)</f>
        <v>45352.52293</v>
      </c>
      <c r="B946" s="138" t="str">
        <f>IFERROR(__xludf.DUMMYFUNCTION("""COMPUTED_VALUE"""),"Rick Sayen")</f>
        <v>Rick Sayen</v>
      </c>
      <c r="C946" s="138">
        <f>IFERROR(__xludf.DUMMYFUNCTION("""COMPUTED_VALUE"""),1028.0)</f>
        <v>1028</v>
      </c>
      <c r="D946" s="139">
        <f>IFERROR(__xludf.DUMMYFUNCTION("""COMPUTED_VALUE"""),406.0)</f>
        <v>406</v>
      </c>
      <c r="E946" s="138">
        <f>IFERROR(__xludf.DUMMYFUNCTION("""COMPUTED_VALUE"""),4.0)</f>
        <v>4</v>
      </c>
      <c r="F946" s="138">
        <f>IFERROR(__xludf.DUMMYFUNCTION("""COMPUTED_VALUE"""),4.0)</f>
        <v>4</v>
      </c>
      <c r="G946" s="138">
        <f>IFERROR(__xludf.DUMMYFUNCTION("""COMPUTED_VALUE"""),4.0)</f>
        <v>4</v>
      </c>
      <c r="H946" s="138">
        <f>IFERROR(__xludf.DUMMYFUNCTION("""COMPUTED_VALUE"""),5.0)</f>
        <v>5</v>
      </c>
      <c r="I946" s="138">
        <f>IFERROR(__xludf.DUMMYFUNCTION("""COMPUTED_VALUE"""),4.0)</f>
        <v>4</v>
      </c>
      <c r="J946" s="138">
        <f>IFERROR(__xludf.DUMMYFUNCTION("""COMPUTED_VALUE"""),4.0)</f>
        <v>4</v>
      </c>
      <c r="K946" s="138">
        <f>IFERROR(__xludf.DUMMYFUNCTION("""COMPUTED_VALUE"""),4.0)</f>
        <v>4</v>
      </c>
      <c r="L946" s="138">
        <v>29.0</v>
      </c>
      <c r="M946" s="140" t="str">
        <f>VLOOKUP(text(D946, "#"),'Master Table'!$A:$F, 6, FALSE)</f>
        <v>G-3</v>
      </c>
      <c r="N946" s="141" t="str">
        <f>IFERROR(__xludf.DUMMYFUNCTION("""COMPUTED_VALUE"""),"Interesting real world study of local water phenomenon impacts on marine species.  Students enthusiasm was clearly evident")</f>
        <v>Interesting real world study of local water phenomenon impacts on marine species.  Students enthusiasm was clearly evident</v>
      </c>
      <c r="O946" s="142" t="str">
        <f t="shared" si="1"/>
        <v/>
      </c>
      <c r="P946" s="143" t="str">
        <f>IF(ISNA(VLOOKUP(CONCAT(M946,C946), 'Judge Count DO NOT EDIT'!H:H, 1, FALSE)), "ERROR","")</f>
        <v/>
      </c>
      <c r="Q946" s="141"/>
      <c r="R946" s="143"/>
      <c r="S946" s="139" t="str">
        <f t="shared" si="2"/>
        <v>1028406</v>
      </c>
      <c r="T946" s="141"/>
    </row>
    <row r="947">
      <c r="A947" s="137">
        <f>IFERROR(__xludf.DUMMYFUNCTION("""COMPUTED_VALUE"""),45352.49474300926)</f>
        <v>45352.49474</v>
      </c>
      <c r="B947" s="138" t="str">
        <f>IFERROR(__xludf.DUMMYFUNCTION("""COMPUTED_VALUE"""),"Cripps")</f>
        <v>Cripps</v>
      </c>
      <c r="C947" s="138">
        <f>IFERROR(__xludf.DUMMYFUNCTION("""COMPUTED_VALUE"""),1069.0)</f>
        <v>1069</v>
      </c>
      <c r="D947" s="139">
        <f>IFERROR(__xludf.DUMMYFUNCTION("""COMPUTED_VALUE"""),407.0)</f>
        <v>407</v>
      </c>
      <c r="E947" s="138">
        <f>IFERROR(__xludf.DUMMYFUNCTION("""COMPUTED_VALUE"""),4.0)</f>
        <v>4</v>
      </c>
      <c r="F947" s="138">
        <f>IFERROR(__xludf.DUMMYFUNCTION("""COMPUTED_VALUE"""),3.0)</f>
        <v>3</v>
      </c>
      <c r="G947" s="138">
        <f>IFERROR(__xludf.DUMMYFUNCTION("""COMPUTED_VALUE"""),4.0)</f>
        <v>4</v>
      </c>
      <c r="H947" s="138">
        <f>IFERROR(__xludf.DUMMYFUNCTION("""COMPUTED_VALUE"""),4.0)</f>
        <v>4</v>
      </c>
      <c r="I947" s="138">
        <f>IFERROR(__xludf.DUMMYFUNCTION("""COMPUTED_VALUE"""),5.0)</f>
        <v>5</v>
      </c>
      <c r="J947" s="138">
        <f>IFERROR(__xludf.DUMMYFUNCTION("""COMPUTED_VALUE"""),5.0)</f>
        <v>5</v>
      </c>
      <c r="K947" s="138">
        <f>IFERROR(__xludf.DUMMYFUNCTION("""COMPUTED_VALUE"""),4.0)</f>
        <v>4</v>
      </c>
      <c r="L947" s="138">
        <v>29.0</v>
      </c>
      <c r="M947" s="140" t="str">
        <f>VLOOKUP(text(D947, "#"),'Master Table'!$A:$F, 6, FALSE)</f>
        <v>G-3</v>
      </c>
      <c r="N947" s="141"/>
      <c r="O947" s="142" t="str">
        <f t="shared" si="1"/>
        <v/>
      </c>
      <c r="P947" s="143" t="str">
        <f>IF(ISNA(VLOOKUP(CONCAT(M947,C947), 'Judge Count DO NOT EDIT'!H:H, 1, FALSE)), "ERROR","")</f>
        <v/>
      </c>
      <c r="Q947" s="141"/>
      <c r="R947" s="143"/>
      <c r="S947" s="139" t="str">
        <f t="shared" si="2"/>
        <v>1069407</v>
      </c>
      <c r="T947" s="141"/>
    </row>
    <row r="948">
      <c r="A948" s="137">
        <f>IFERROR(__xludf.DUMMYFUNCTION("""COMPUTED_VALUE"""),45352.52587923611)</f>
        <v>45352.52588</v>
      </c>
      <c r="B948" s="138" t="str">
        <f>IFERROR(__xludf.DUMMYFUNCTION("""COMPUTED_VALUE"""),"Rick Sayen ")</f>
        <v>Rick Sayen </v>
      </c>
      <c r="C948" s="138">
        <f>IFERROR(__xludf.DUMMYFUNCTION("""COMPUTED_VALUE"""),1028.0)</f>
        <v>1028</v>
      </c>
      <c r="D948" s="139">
        <f>IFERROR(__xludf.DUMMYFUNCTION("""COMPUTED_VALUE"""),407.0)</f>
        <v>407</v>
      </c>
      <c r="E948" s="138">
        <f>IFERROR(__xludf.DUMMYFUNCTION("""COMPUTED_VALUE"""),5.0)</f>
        <v>5</v>
      </c>
      <c r="F948" s="138">
        <f>IFERROR(__xludf.DUMMYFUNCTION("""COMPUTED_VALUE"""),4.0)</f>
        <v>4</v>
      </c>
      <c r="G948" s="138">
        <f>IFERROR(__xludf.DUMMYFUNCTION("""COMPUTED_VALUE"""),5.0)</f>
        <v>5</v>
      </c>
      <c r="H948" s="138">
        <f>IFERROR(__xludf.DUMMYFUNCTION("""COMPUTED_VALUE"""),4.0)</f>
        <v>4</v>
      </c>
      <c r="I948" s="138">
        <f>IFERROR(__xludf.DUMMYFUNCTION("""COMPUTED_VALUE"""),4.0)</f>
        <v>4</v>
      </c>
      <c r="J948" s="138">
        <f>IFERROR(__xludf.DUMMYFUNCTION("""COMPUTED_VALUE"""),4.0)</f>
        <v>4</v>
      </c>
      <c r="K948" s="138">
        <f>IFERROR(__xludf.DUMMYFUNCTION("""COMPUTED_VALUE"""),5.0)</f>
        <v>5</v>
      </c>
      <c r="L948" s="138">
        <v>31.0</v>
      </c>
      <c r="M948" s="140" t="str">
        <f>VLOOKUP(text(D948, "#"),'Master Table'!$A:$F, 6, FALSE)</f>
        <v>G-3</v>
      </c>
      <c r="N948" s="141" t="str">
        <f>IFERROR(__xludf.DUMMYFUNCTION("""COMPUTED_VALUE"""),"Great enthusiasm for the project was clearly evident.  Ability to draw significance of some of the measures may have been in impacted by Small sample size ")</f>
        <v>Great enthusiasm for the project was clearly evident.  Ability to draw significance of some of the measures may have been in impacted by Small sample size </v>
      </c>
      <c r="O948" s="142" t="str">
        <f t="shared" si="1"/>
        <v/>
      </c>
      <c r="P948" s="143" t="str">
        <f>IF(ISNA(VLOOKUP(CONCAT(M948,C948), 'Judge Count DO NOT EDIT'!H:H, 1, FALSE)), "ERROR","")</f>
        <v/>
      </c>
      <c r="Q948" s="144"/>
      <c r="R948" s="143"/>
      <c r="S948" s="139" t="str">
        <f t="shared" si="2"/>
        <v>1028407</v>
      </c>
      <c r="T948" s="141"/>
    </row>
    <row r="949">
      <c r="A949" s="137">
        <f>IFERROR(__xludf.DUMMYFUNCTION("""COMPUTED_VALUE"""),45352.50218181713)</f>
        <v>45352.50218</v>
      </c>
      <c r="B949" s="138" t="str">
        <f>IFERROR(__xludf.DUMMYFUNCTION("""COMPUTED_VALUE"""),"Cripps")</f>
        <v>Cripps</v>
      </c>
      <c r="C949" s="138">
        <f>IFERROR(__xludf.DUMMYFUNCTION("""COMPUTED_VALUE"""),1069.0)</f>
        <v>1069</v>
      </c>
      <c r="D949" s="139">
        <f>IFERROR(__xludf.DUMMYFUNCTION("""COMPUTED_VALUE"""),408.0)</f>
        <v>408</v>
      </c>
      <c r="E949" s="138">
        <f>IFERROR(__xludf.DUMMYFUNCTION("""COMPUTED_VALUE"""),4.0)</f>
        <v>4</v>
      </c>
      <c r="F949" s="138">
        <f>IFERROR(__xludf.DUMMYFUNCTION("""COMPUTED_VALUE"""),4.0)</f>
        <v>4</v>
      </c>
      <c r="G949" s="138">
        <f>IFERROR(__xludf.DUMMYFUNCTION("""COMPUTED_VALUE"""),5.0)</f>
        <v>5</v>
      </c>
      <c r="H949" s="138">
        <f>IFERROR(__xludf.DUMMYFUNCTION("""COMPUTED_VALUE"""),3.0)</f>
        <v>3</v>
      </c>
      <c r="I949" s="138">
        <f>IFERROR(__xludf.DUMMYFUNCTION("""COMPUTED_VALUE"""),4.0)</f>
        <v>4</v>
      </c>
      <c r="J949" s="138">
        <f>IFERROR(__xludf.DUMMYFUNCTION("""COMPUTED_VALUE"""),4.0)</f>
        <v>4</v>
      </c>
      <c r="K949" s="138">
        <f>IFERROR(__xludf.DUMMYFUNCTION("""COMPUTED_VALUE"""),4.0)</f>
        <v>4</v>
      </c>
      <c r="L949" s="138">
        <v>28.0</v>
      </c>
      <c r="M949" s="140" t="str">
        <f>VLOOKUP(text(D949, "#"),'Master Table'!$A:$F, 6, FALSE)</f>
        <v>G-3</v>
      </c>
      <c r="N949" s="141"/>
      <c r="O949" s="142" t="str">
        <f t="shared" si="1"/>
        <v/>
      </c>
      <c r="P949" s="143" t="str">
        <f>IF(ISNA(VLOOKUP(CONCAT(M949,C949), 'Judge Count DO NOT EDIT'!H:H, 1, FALSE)), "ERROR","")</f>
        <v/>
      </c>
      <c r="Q949" s="141"/>
      <c r="R949" s="143"/>
      <c r="S949" s="139" t="str">
        <f t="shared" si="2"/>
        <v>1069408</v>
      </c>
      <c r="T949" s="141"/>
    </row>
    <row r="950">
      <c r="A950" s="137">
        <f>IFERROR(__xludf.DUMMYFUNCTION("""COMPUTED_VALUE"""),45352.52751637732)</f>
        <v>45352.52752</v>
      </c>
      <c r="B950" s="138" t="str">
        <f>IFERROR(__xludf.DUMMYFUNCTION("""COMPUTED_VALUE"""),"Rick Sayen ")</f>
        <v>Rick Sayen </v>
      </c>
      <c r="C950" s="138">
        <f>IFERROR(__xludf.DUMMYFUNCTION("""COMPUTED_VALUE"""),1028.0)</f>
        <v>1028</v>
      </c>
      <c r="D950" s="139">
        <f>IFERROR(__xludf.DUMMYFUNCTION("""COMPUTED_VALUE"""),408.0)</f>
        <v>408</v>
      </c>
      <c r="E950" s="138">
        <f>IFERROR(__xludf.DUMMYFUNCTION("""COMPUTED_VALUE"""),4.0)</f>
        <v>4</v>
      </c>
      <c r="F950" s="138">
        <f>IFERROR(__xludf.DUMMYFUNCTION("""COMPUTED_VALUE"""),4.0)</f>
        <v>4</v>
      </c>
      <c r="G950" s="138">
        <f>IFERROR(__xludf.DUMMYFUNCTION("""COMPUTED_VALUE"""),4.0)</f>
        <v>4</v>
      </c>
      <c r="H950" s="138">
        <f>IFERROR(__xludf.DUMMYFUNCTION("""COMPUTED_VALUE"""),4.0)</f>
        <v>4</v>
      </c>
      <c r="I950" s="138">
        <f>IFERROR(__xludf.DUMMYFUNCTION("""COMPUTED_VALUE"""),4.0)</f>
        <v>4</v>
      </c>
      <c r="J950" s="138">
        <f>IFERROR(__xludf.DUMMYFUNCTION("""COMPUTED_VALUE"""),4.0)</f>
        <v>4</v>
      </c>
      <c r="K950" s="138">
        <f>IFERROR(__xludf.DUMMYFUNCTION("""COMPUTED_VALUE"""),4.0)</f>
        <v>4</v>
      </c>
      <c r="L950" s="138">
        <v>28.0</v>
      </c>
      <c r="M950" s="140" t="str">
        <f>VLOOKUP(text(D950, "#"),'Master Table'!$A:$F, 6, FALSE)</f>
        <v>G-3</v>
      </c>
      <c r="N950" s="141" t="str">
        <f>IFERROR(__xludf.DUMMYFUNCTION("""COMPUTED_VALUE"""),"Presenter was obviously enthusiastic about the research opportunity and project ")</f>
        <v>Presenter was obviously enthusiastic about the research opportunity and project </v>
      </c>
      <c r="O950" s="142" t="str">
        <f t="shared" si="1"/>
        <v/>
      </c>
      <c r="P950" s="143" t="str">
        <f>IF(ISNA(VLOOKUP(CONCAT(M950,C950), 'Judge Count DO NOT EDIT'!H:H, 1, FALSE)), "ERROR","")</f>
        <v/>
      </c>
      <c r="Q950" s="141"/>
      <c r="R950" s="143"/>
      <c r="S950" s="139" t="str">
        <f t="shared" si="2"/>
        <v>1028408</v>
      </c>
      <c r="T950" s="141"/>
    </row>
    <row r="951">
      <c r="A951" s="137">
        <f>IFERROR(__xludf.DUMMYFUNCTION("""COMPUTED_VALUE"""),45352.47124694445)</f>
        <v>45352.47125</v>
      </c>
      <c r="B951" s="138" t="str">
        <f>IFERROR(__xludf.DUMMYFUNCTION("""COMPUTED_VALUE"""),"Cripps")</f>
        <v>Cripps</v>
      </c>
      <c r="C951" s="138">
        <f>IFERROR(__xludf.DUMMYFUNCTION("""COMPUTED_VALUE"""),1069.0)</f>
        <v>1069</v>
      </c>
      <c r="D951" s="139">
        <f>IFERROR(__xludf.DUMMYFUNCTION("""COMPUTED_VALUE"""),409.0)</f>
        <v>409</v>
      </c>
      <c r="E951" s="138">
        <f>IFERROR(__xludf.DUMMYFUNCTION("""COMPUTED_VALUE"""),3.0)</f>
        <v>3</v>
      </c>
      <c r="F951" s="138">
        <f>IFERROR(__xludf.DUMMYFUNCTION("""COMPUTED_VALUE"""),5.0)</f>
        <v>5</v>
      </c>
      <c r="G951" s="138">
        <f>IFERROR(__xludf.DUMMYFUNCTION("""COMPUTED_VALUE"""),4.0)</f>
        <v>4</v>
      </c>
      <c r="H951" s="138">
        <f>IFERROR(__xludf.DUMMYFUNCTION("""COMPUTED_VALUE"""),4.0)</f>
        <v>4</v>
      </c>
      <c r="I951" s="138">
        <f>IFERROR(__xludf.DUMMYFUNCTION("""COMPUTED_VALUE"""),3.0)</f>
        <v>3</v>
      </c>
      <c r="J951" s="138">
        <f>IFERROR(__xludf.DUMMYFUNCTION("""COMPUTED_VALUE"""),3.0)</f>
        <v>3</v>
      </c>
      <c r="K951" s="138">
        <f>IFERROR(__xludf.DUMMYFUNCTION("""COMPUTED_VALUE"""),4.0)</f>
        <v>4</v>
      </c>
      <c r="L951" s="138">
        <v>26.0</v>
      </c>
      <c r="M951" s="140" t="str">
        <f>VLOOKUP(text(D951, "#"),'Master Table'!$A:$F, 6, FALSE)</f>
        <v>G-3</v>
      </c>
      <c r="N951" s="141"/>
      <c r="O951" s="142" t="str">
        <f t="shared" si="1"/>
        <v/>
      </c>
      <c r="P951" s="143" t="str">
        <f>IF(ISNA(VLOOKUP(CONCAT(M951,C951), 'Judge Count DO NOT EDIT'!H:H, 1, FALSE)), "ERROR","")</f>
        <v/>
      </c>
      <c r="Q951" s="141"/>
      <c r="R951" s="143"/>
      <c r="S951" s="139" t="str">
        <f t="shared" si="2"/>
        <v>1069409</v>
      </c>
      <c r="T951" s="141"/>
    </row>
    <row r="952">
      <c r="A952" s="137">
        <f>IFERROR(__xludf.DUMMYFUNCTION("""COMPUTED_VALUE"""),45352.52960390046)</f>
        <v>45352.5296</v>
      </c>
      <c r="B952" s="138" t="str">
        <f>IFERROR(__xludf.DUMMYFUNCTION("""COMPUTED_VALUE"""),"Rick Sayen")</f>
        <v>Rick Sayen</v>
      </c>
      <c r="C952" s="138">
        <f>IFERROR(__xludf.DUMMYFUNCTION("""COMPUTED_VALUE"""),1028.0)</f>
        <v>1028</v>
      </c>
      <c r="D952" s="139">
        <f>IFERROR(__xludf.DUMMYFUNCTION("""COMPUTED_VALUE"""),409.0)</f>
        <v>409</v>
      </c>
      <c r="E952" s="138">
        <f>IFERROR(__xludf.DUMMYFUNCTION("""COMPUTED_VALUE"""),4.0)</f>
        <v>4</v>
      </c>
      <c r="F952" s="138">
        <f>IFERROR(__xludf.DUMMYFUNCTION("""COMPUTED_VALUE"""),5.0)</f>
        <v>5</v>
      </c>
      <c r="G952" s="138">
        <f>IFERROR(__xludf.DUMMYFUNCTION("""COMPUTED_VALUE"""),4.0)</f>
        <v>4</v>
      </c>
      <c r="H952" s="138">
        <f>IFERROR(__xludf.DUMMYFUNCTION("""COMPUTED_VALUE"""),3.0)</f>
        <v>3</v>
      </c>
      <c r="I952" s="138">
        <f>IFERROR(__xludf.DUMMYFUNCTION("""COMPUTED_VALUE"""),5.0)</f>
        <v>5</v>
      </c>
      <c r="J952" s="138">
        <f>IFERROR(__xludf.DUMMYFUNCTION("""COMPUTED_VALUE"""),4.0)</f>
        <v>4</v>
      </c>
      <c r="K952" s="138">
        <f>IFERROR(__xludf.DUMMYFUNCTION("""COMPUTED_VALUE"""),5.0)</f>
        <v>5</v>
      </c>
      <c r="L952" s="138">
        <v>30.0</v>
      </c>
      <c r="M952" s="140" t="str">
        <f>VLOOKUP(text(D952, "#"),'Master Table'!$A:$F, 6, FALSE)</f>
        <v>G-3</v>
      </c>
      <c r="N952" s="141" t="str">
        <f>IFERROR(__xludf.DUMMYFUNCTION("""COMPUTED_VALUE"""),"Project is in its early stages but presenter did an exceptional job of discussing the science and potential future directions")</f>
        <v>Project is in its early stages but presenter did an exceptional job of discussing the science and potential future directions</v>
      </c>
      <c r="O952" s="142" t="str">
        <f t="shared" si="1"/>
        <v/>
      </c>
      <c r="P952" s="143" t="str">
        <f>IF(ISNA(VLOOKUP(CONCAT(M952,C952), 'Judge Count DO NOT EDIT'!H:H, 1, FALSE)), "ERROR","")</f>
        <v/>
      </c>
      <c r="Q952" s="141"/>
      <c r="R952" s="143"/>
      <c r="S952" s="139" t="str">
        <f t="shared" si="2"/>
        <v>1028409</v>
      </c>
      <c r="T952" s="141"/>
    </row>
    <row r="953">
      <c r="A953" s="137">
        <f>IFERROR(__xludf.DUMMYFUNCTION("""COMPUTED_VALUE"""),45352.4895284838)</f>
        <v>45352.48953</v>
      </c>
      <c r="B953" s="138" t="str">
        <f>IFERROR(__xludf.DUMMYFUNCTION("""COMPUTED_VALUE"""),"Cripps")</f>
        <v>Cripps</v>
      </c>
      <c r="C953" s="138">
        <f>IFERROR(__xludf.DUMMYFUNCTION("""COMPUTED_VALUE"""),1069.0)</f>
        <v>1069</v>
      </c>
      <c r="D953" s="139">
        <f>IFERROR(__xludf.DUMMYFUNCTION("""COMPUTED_VALUE"""),410.0)</f>
        <v>410</v>
      </c>
      <c r="E953" s="138">
        <f>IFERROR(__xludf.DUMMYFUNCTION("""COMPUTED_VALUE"""),3.0)</f>
        <v>3</v>
      </c>
      <c r="F953" s="138">
        <f>IFERROR(__xludf.DUMMYFUNCTION("""COMPUTED_VALUE"""),4.0)</f>
        <v>4</v>
      </c>
      <c r="G953" s="138">
        <f>IFERROR(__xludf.DUMMYFUNCTION("""COMPUTED_VALUE"""),4.0)</f>
        <v>4</v>
      </c>
      <c r="H953" s="138">
        <f>IFERROR(__xludf.DUMMYFUNCTION("""COMPUTED_VALUE"""),3.0)</f>
        <v>3</v>
      </c>
      <c r="I953" s="138">
        <f>IFERROR(__xludf.DUMMYFUNCTION("""COMPUTED_VALUE"""),3.0)</f>
        <v>3</v>
      </c>
      <c r="J953" s="138">
        <f>IFERROR(__xludf.DUMMYFUNCTION("""COMPUTED_VALUE"""),3.0)</f>
        <v>3</v>
      </c>
      <c r="K953" s="138">
        <f>IFERROR(__xludf.DUMMYFUNCTION("""COMPUTED_VALUE"""),4.0)</f>
        <v>4</v>
      </c>
      <c r="L953" s="138">
        <v>24.0</v>
      </c>
      <c r="M953" s="140" t="str">
        <f>VLOOKUP(text(D953, "#"),'Master Table'!$A:$F, 6, FALSE)</f>
        <v>G-3</v>
      </c>
      <c r="N953" s="141"/>
      <c r="O953" s="142" t="str">
        <f t="shared" si="1"/>
        <v/>
      </c>
      <c r="P953" s="143" t="str">
        <f>IF(ISNA(VLOOKUP(CONCAT(M953,C953), 'Judge Count DO NOT EDIT'!H:H, 1, FALSE)), "ERROR","")</f>
        <v/>
      </c>
      <c r="Q953" s="141"/>
      <c r="R953" s="143"/>
      <c r="S953" s="139" t="str">
        <f t="shared" si="2"/>
        <v>1069410</v>
      </c>
      <c r="T953" s="141"/>
    </row>
    <row r="954">
      <c r="A954" s="137">
        <f>IFERROR(__xludf.DUMMYFUNCTION("""COMPUTED_VALUE"""),45352.531142685184)</f>
        <v>45352.53114</v>
      </c>
      <c r="B954" s="138" t="str">
        <f>IFERROR(__xludf.DUMMYFUNCTION("""COMPUTED_VALUE"""),"Rick Sayen ")</f>
        <v>Rick Sayen </v>
      </c>
      <c r="C954" s="138">
        <f>IFERROR(__xludf.DUMMYFUNCTION("""COMPUTED_VALUE"""),1028.0)</f>
        <v>1028</v>
      </c>
      <c r="D954" s="139">
        <f>IFERROR(__xludf.DUMMYFUNCTION("""COMPUTED_VALUE"""),410.0)</f>
        <v>410</v>
      </c>
      <c r="E954" s="138">
        <f>IFERROR(__xludf.DUMMYFUNCTION("""COMPUTED_VALUE"""),4.0)</f>
        <v>4</v>
      </c>
      <c r="F954" s="138">
        <f>IFERROR(__xludf.DUMMYFUNCTION("""COMPUTED_VALUE"""),4.0)</f>
        <v>4</v>
      </c>
      <c r="G954" s="138">
        <f>IFERROR(__xludf.DUMMYFUNCTION("""COMPUTED_VALUE"""),4.0)</f>
        <v>4</v>
      </c>
      <c r="H954" s="138">
        <f>IFERROR(__xludf.DUMMYFUNCTION("""COMPUTED_VALUE"""),4.0)</f>
        <v>4</v>
      </c>
      <c r="I954" s="138">
        <f>IFERROR(__xludf.DUMMYFUNCTION("""COMPUTED_VALUE"""),5.0)</f>
        <v>5</v>
      </c>
      <c r="J954" s="138">
        <f>IFERROR(__xludf.DUMMYFUNCTION("""COMPUTED_VALUE"""),4.0)</f>
        <v>4</v>
      </c>
      <c r="K954" s="138">
        <f>IFERROR(__xludf.DUMMYFUNCTION("""COMPUTED_VALUE"""),5.0)</f>
        <v>5</v>
      </c>
      <c r="L954" s="138">
        <v>30.0</v>
      </c>
      <c r="M954" s="140" t="str">
        <f>VLOOKUP(text(D954, "#"),'Master Table'!$A:$F, 6, FALSE)</f>
        <v>G-3</v>
      </c>
      <c r="N954" s="141" t="str">
        <f>IFERROR(__xludf.DUMMYFUNCTION("""COMPUTED_VALUE"""),"Presenter was very enthusiastic about the research and presentation ")</f>
        <v>Presenter was very enthusiastic about the research and presentation </v>
      </c>
      <c r="O954" s="142" t="str">
        <f t="shared" si="1"/>
        <v/>
      </c>
      <c r="P954" s="143" t="str">
        <f>IF(ISNA(VLOOKUP(CONCAT(M954,C954), 'Judge Count DO NOT EDIT'!H:H, 1, FALSE)), "ERROR","")</f>
        <v/>
      </c>
      <c r="Q954" s="141"/>
      <c r="R954" s="143"/>
      <c r="S954" s="139" t="str">
        <f t="shared" si="2"/>
        <v>1028410</v>
      </c>
      <c r="T954" s="141"/>
    </row>
    <row r="955">
      <c r="A955" s="137">
        <f>IFERROR(__xludf.DUMMYFUNCTION("""COMPUTED_VALUE"""),45352.4858493287)</f>
        <v>45352.48585</v>
      </c>
      <c r="B955" s="138" t="str">
        <f>IFERROR(__xludf.DUMMYFUNCTION("""COMPUTED_VALUE"""),"Cripps")</f>
        <v>Cripps</v>
      </c>
      <c r="C955" s="138">
        <f>IFERROR(__xludf.DUMMYFUNCTION("""COMPUTED_VALUE"""),1069.0)</f>
        <v>1069</v>
      </c>
      <c r="D955" s="139">
        <f>IFERROR(__xludf.DUMMYFUNCTION("""COMPUTED_VALUE"""),411.0)</f>
        <v>411</v>
      </c>
      <c r="E955" s="138">
        <f>IFERROR(__xludf.DUMMYFUNCTION("""COMPUTED_VALUE"""),3.0)</f>
        <v>3</v>
      </c>
      <c r="F955" s="138">
        <f>IFERROR(__xludf.DUMMYFUNCTION("""COMPUTED_VALUE"""),4.0)</f>
        <v>4</v>
      </c>
      <c r="G955" s="138">
        <f>IFERROR(__xludf.DUMMYFUNCTION("""COMPUTED_VALUE"""),4.0)</f>
        <v>4</v>
      </c>
      <c r="H955" s="138">
        <f>IFERROR(__xludf.DUMMYFUNCTION("""COMPUTED_VALUE"""),3.0)</f>
        <v>3</v>
      </c>
      <c r="I955" s="138">
        <f>IFERROR(__xludf.DUMMYFUNCTION("""COMPUTED_VALUE"""),3.0)</f>
        <v>3</v>
      </c>
      <c r="J955" s="138">
        <f>IFERROR(__xludf.DUMMYFUNCTION("""COMPUTED_VALUE"""),3.0)</f>
        <v>3</v>
      </c>
      <c r="K955" s="138">
        <f>IFERROR(__xludf.DUMMYFUNCTION("""COMPUTED_VALUE"""),4.0)</f>
        <v>4</v>
      </c>
      <c r="L955" s="138">
        <v>24.0</v>
      </c>
      <c r="M955" s="140" t="str">
        <f>VLOOKUP(text(D955, "#"),'Master Table'!$A:$F, 6, FALSE)</f>
        <v>G-3</v>
      </c>
      <c r="N955" s="141"/>
      <c r="O955" s="142" t="str">
        <f t="shared" si="1"/>
        <v/>
      </c>
      <c r="P955" s="143" t="str">
        <f>IF(ISNA(VLOOKUP(CONCAT(M955,C955), 'Judge Count DO NOT EDIT'!H:H, 1, FALSE)), "ERROR","")</f>
        <v/>
      </c>
      <c r="Q955" s="141"/>
      <c r="R955" s="143"/>
      <c r="S955" s="139" t="str">
        <f t="shared" si="2"/>
        <v>1069411</v>
      </c>
      <c r="T955" s="141"/>
    </row>
    <row r="956">
      <c r="A956" s="137">
        <f>IFERROR(__xludf.DUMMYFUNCTION("""COMPUTED_VALUE"""),45352.533274270834)</f>
        <v>45352.53327</v>
      </c>
      <c r="B956" s="138" t="str">
        <f>IFERROR(__xludf.DUMMYFUNCTION("""COMPUTED_VALUE"""),"Rick Sayen ")</f>
        <v>Rick Sayen </v>
      </c>
      <c r="C956" s="138">
        <f>IFERROR(__xludf.DUMMYFUNCTION("""COMPUTED_VALUE"""),1028.0)</f>
        <v>1028</v>
      </c>
      <c r="D956" s="139">
        <f>IFERROR(__xludf.DUMMYFUNCTION("""COMPUTED_VALUE"""),411.0)</f>
        <v>411</v>
      </c>
      <c r="E956" s="138">
        <f>IFERROR(__xludf.DUMMYFUNCTION("""COMPUTED_VALUE"""),4.0)</f>
        <v>4</v>
      </c>
      <c r="F956" s="138">
        <f>IFERROR(__xludf.DUMMYFUNCTION("""COMPUTED_VALUE"""),4.0)</f>
        <v>4</v>
      </c>
      <c r="G956" s="138">
        <f>IFERROR(__xludf.DUMMYFUNCTION("""COMPUTED_VALUE"""),4.0)</f>
        <v>4</v>
      </c>
      <c r="H956" s="138">
        <f>IFERROR(__xludf.DUMMYFUNCTION("""COMPUTED_VALUE"""),4.0)</f>
        <v>4</v>
      </c>
      <c r="I956" s="138">
        <f>IFERROR(__xludf.DUMMYFUNCTION("""COMPUTED_VALUE"""),4.0)</f>
        <v>4</v>
      </c>
      <c r="J956" s="138">
        <f>IFERROR(__xludf.DUMMYFUNCTION("""COMPUTED_VALUE"""),3.0)</f>
        <v>3</v>
      </c>
      <c r="K956" s="138">
        <f>IFERROR(__xludf.DUMMYFUNCTION("""COMPUTED_VALUE"""),4.0)</f>
        <v>4</v>
      </c>
      <c r="L956" s="138">
        <v>27.0</v>
      </c>
      <c r="M956" s="140" t="str">
        <f>VLOOKUP(text(D956, "#"),'Master Table'!$A:$F, 6, FALSE)</f>
        <v>G-3</v>
      </c>
      <c r="N956" s="141" t="str">
        <f>IFERROR(__xludf.DUMMYFUNCTION("""COMPUTED_VALUE"""),"Unique and exciting field of study with high potential for future impacts.  Presenter did a great job of explaining a complex subject ")</f>
        <v>Unique and exciting field of study with high potential for future impacts.  Presenter did a great job of explaining a complex subject </v>
      </c>
      <c r="O956" s="142" t="str">
        <f t="shared" si="1"/>
        <v/>
      </c>
      <c r="P956" s="143" t="str">
        <f>IF(ISNA(VLOOKUP(CONCAT(M956,C956), 'Judge Count DO NOT EDIT'!H:H, 1, FALSE)), "ERROR","")</f>
        <v/>
      </c>
      <c r="Q956" s="141"/>
      <c r="R956" s="143"/>
      <c r="S956" s="139" t="str">
        <f t="shared" si="2"/>
        <v>1028411</v>
      </c>
      <c r="T956" s="141"/>
    </row>
    <row r="957">
      <c r="A957" s="137">
        <f>IFERROR(__xludf.DUMMYFUNCTION("""COMPUTED_VALUE"""),45352.49855954861)</f>
        <v>45352.49856</v>
      </c>
      <c r="B957" s="138" t="str">
        <f>IFERROR(__xludf.DUMMYFUNCTION("""COMPUTED_VALUE"""),"Cripps")</f>
        <v>Cripps</v>
      </c>
      <c r="C957" s="138">
        <f>IFERROR(__xludf.DUMMYFUNCTION("""COMPUTED_VALUE"""),1069.0)</f>
        <v>1069</v>
      </c>
      <c r="D957" s="139">
        <f>IFERROR(__xludf.DUMMYFUNCTION("""COMPUTED_VALUE"""),412.0)</f>
        <v>412</v>
      </c>
      <c r="E957" s="138">
        <f>IFERROR(__xludf.DUMMYFUNCTION("""COMPUTED_VALUE"""),4.0)</f>
        <v>4</v>
      </c>
      <c r="F957" s="138">
        <f>IFERROR(__xludf.DUMMYFUNCTION("""COMPUTED_VALUE"""),3.0)</f>
        <v>3</v>
      </c>
      <c r="G957" s="138">
        <f>IFERROR(__xludf.DUMMYFUNCTION("""COMPUTED_VALUE"""),5.0)</f>
        <v>5</v>
      </c>
      <c r="H957" s="138">
        <f>IFERROR(__xludf.DUMMYFUNCTION("""COMPUTED_VALUE"""),4.0)</f>
        <v>4</v>
      </c>
      <c r="I957" s="138">
        <f>IFERROR(__xludf.DUMMYFUNCTION("""COMPUTED_VALUE"""),4.0)</f>
        <v>4</v>
      </c>
      <c r="J957" s="138">
        <f>IFERROR(__xludf.DUMMYFUNCTION("""COMPUTED_VALUE"""),4.0)</f>
        <v>4</v>
      </c>
      <c r="K957" s="138">
        <f>IFERROR(__xludf.DUMMYFUNCTION("""COMPUTED_VALUE"""),4.0)</f>
        <v>4</v>
      </c>
      <c r="L957" s="138">
        <v>28.0</v>
      </c>
      <c r="M957" s="140" t="str">
        <f>VLOOKUP(text(D957, "#"),'Master Table'!$A:$F, 6, FALSE)</f>
        <v>G-3</v>
      </c>
      <c r="N957" s="141"/>
      <c r="O957" s="142" t="str">
        <f t="shared" si="1"/>
        <v/>
      </c>
      <c r="P957" s="143" t="str">
        <f>IF(ISNA(VLOOKUP(CONCAT(M957,C957), 'Judge Count DO NOT EDIT'!H:H, 1, FALSE)), "ERROR","")</f>
        <v/>
      </c>
      <c r="Q957" s="141"/>
      <c r="R957" s="143"/>
      <c r="S957" s="139" t="str">
        <f t="shared" si="2"/>
        <v>1069412</v>
      </c>
      <c r="T957" s="141"/>
    </row>
    <row r="958">
      <c r="A958" s="137">
        <f>IFERROR(__xludf.DUMMYFUNCTION("""COMPUTED_VALUE"""),45352.5355657176)</f>
        <v>45352.53557</v>
      </c>
      <c r="B958" s="138" t="str">
        <f>IFERROR(__xludf.DUMMYFUNCTION("""COMPUTED_VALUE"""),"Rick Sayen")</f>
        <v>Rick Sayen</v>
      </c>
      <c r="C958" s="138">
        <f>IFERROR(__xludf.DUMMYFUNCTION("""COMPUTED_VALUE"""),1028.0)</f>
        <v>1028</v>
      </c>
      <c r="D958" s="139">
        <f>IFERROR(__xludf.DUMMYFUNCTION("""COMPUTED_VALUE"""),412.0)</f>
        <v>412</v>
      </c>
      <c r="E958" s="138">
        <f>IFERROR(__xludf.DUMMYFUNCTION("""COMPUTED_VALUE"""),4.0)</f>
        <v>4</v>
      </c>
      <c r="F958" s="138">
        <f>IFERROR(__xludf.DUMMYFUNCTION("""COMPUTED_VALUE"""),4.0)</f>
        <v>4</v>
      </c>
      <c r="G958" s="138">
        <f>IFERROR(__xludf.DUMMYFUNCTION("""COMPUTED_VALUE"""),5.0)</f>
        <v>5</v>
      </c>
      <c r="H958" s="138">
        <f>IFERROR(__xludf.DUMMYFUNCTION("""COMPUTED_VALUE"""),4.0)</f>
        <v>4</v>
      </c>
      <c r="I958" s="138">
        <f>IFERROR(__xludf.DUMMYFUNCTION("""COMPUTED_VALUE"""),4.0)</f>
        <v>4</v>
      </c>
      <c r="J958" s="138">
        <f>IFERROR(__xludf.DUMMYFUNCTION("""COMPUTED_VALUE"""),5.0)</f>
        <v>5</v>
      </c>
      <c r="K958" s="138">
        <f>IFERROR(__xludf.DUMMYFUNCTION("""COMPUTED_VALUE"""),4.0)</f>
        <v>4</v>
      </c>
      <c r="L958" s="138">
        <v>30.0</v>
      </c>
      <c r="M958" s="140" t="str">
        <f>VLOOKUP(text(D958, "#"),'Master Table'!$A:$F, 6, FALSE)</f>
        <v>G-3</v>
      </c>
      <c r="N958" s="141" t="str">
        <f>IFERROR(__xludf.DUMMYFUNCTION("""COMPUTED_VALUE"""),"Enthusiasm for an impactful study was evident.  Motivation to move research into impactful public policy was appreciated ")</f>
        <v>Enthusiasm for an impactful study was evident.  Motivation to move research into impactful public policy was appreciated </v>
      </c>
      <c r="O958" s="142" t="str">
        <f t="shared" si="1"/>
        <v/>
      </c>
      <c r="P958" s="143" t="str">
        <f>IF(ISNA(VLOOKUP(CONCAT(M958,C958), 'Judge Count DO NOT EDIT'!H:H, 1, FALSE)), "ERROR","")</f>
        <v/>
      </c>
      <c r="Q958" s="141"/>
      <c r="R958" s="143"/>
      <c r="S958" s="139" t="str">
        <f t="shared" si="2"/>
        <v>1028412</v>
      </c>
      <c r="T958" s="141"/>
    </row>
    <row r="959">
      <c r="A959" s="137">
        <f>IFERROR(__xludf.DUMMYFUNCTION("""COMPUTED_VALUE"""),45352.47846975694)</f>
        <v>45352.47847</v>
      </c>
      <c r="B959" s="138" t="str">
        <f>IFERROR(__xludf.DUMMYFUNCTION("""COMPUTED_VALUE"""),"Cripps")</f>
        <v>Cripps</v>
      </c>
      <c r="C959" s="138">
        <f>IFERROR(__xludf.DUMMYFUNCTION("""COMPUTED_VALUE"""),1069.0)</f>
        <v>1069</v>
      </c>
      <c r="D959" s="139">
        <f>IFERROR(__xludf.DUMMYFUNCTION("""COMPUTED_VALUE"""),413.0)</f>
        <v>413</v>
      </c>
      <c r="E959" s="138">
        <f>IFERROR(__xludf.DUMMYFUNCTION("""COMPUTED_VALUE"""),4.0)</f>
        <v>4</v>
      </c>
      <c r="F959" s="138">
        <f>IFERROR(__xludf.DUMMYFUNCTION("""COMPUTED_VALUE"""),3.0)</f>
        <v>3</v>
      </c>
      <c r="G959" s="138">
        <f>IFERROR(__xludf.DUMMYFUNCTION("""COMPUTED_VALUE"""),3.0)</f>
        <v>3</v>
      </c>
      <c r="H959" s="138">
        <f>IFERROR(__xludf.DUMMYFUNCTION("""COMPUTED_VALUE"""),4.0)</f>
        <v>4</v>
      </c>
      <c r="I959" s="138">
        <f>IFERROR(__xludf.DUMMYFUNCTION("""COMPUTED_VALUE"""),4.0)</f>
        <v>4</v>
      </c>
      <c r="J959" s="138">
        <f>IFERROR(__xludf.DUMMYFUNCTION("""COMPUTED_VALUE"""),4.0)</f>
        <v>4</v>
      </c>
      <c r="K959" s="138">
        <f>IFERROR(__xludf.DUMMYFUNCTION("""COMPUTED_VALUE"""),4.0)</f>
        <v>4</v>
      </c>
      <c r="L959" s="138">
        <v>26.0</v>
      </c>
      <c r="M959" s="140" t="str">
        <f>VLOOKUP(text(D959, "#"),'Master Table'!$A:$F, 6, FALSE)</f>
        <v>G-3</v>
      </c>
      <c r="N959" s="141"/>
      <c r="O959" s="142" t="str">
        <f t="shared" si="1"/>
        <v/>
      </c>
      <c r="P959" s="143" t="str">
        <f>IF(ISNA(VLOOKUP(CONCAT(M959,C959), 'Judge Count DO NOT EDIT'!H:H, 1, FALSE)), "ERROR","")</f>
        <v/>
      </c>
      <c r="Q959" s="141"/>
      <c r="R959" s="143"/>
      <c r="S959" s="139" t="str">
        <f t="shared" si="2"/>
        <v>1069413</v>
      </c>
      <c r="T959" s="141"/>
    </row>
    <row r="960">
      <c r="A960" s="137">
        <f>IFERROR(__xludf.DUMMYFUNCTION("""COMPUTED_VALUE"""),45352.53751199074)</f>
        <v>45352.53751</v>
      </c>
      <c r="B960" s="138" t="str">
        <f>IFERROR(__xludf.DUMMYFUNCTION("""COMPUTED_VALUE"""),"Rick Sayen ")</f>
        <v>Rick Sayen </v>
      </c>
      <c r="C960" s="138">
        <f>IFERROR(__xludf.DUMMYFUNCTION("""COMPUTED_VALUE"""),1028.0)</f>
        <v>1028</v>
      </c>
      <c r="D960" s="139">
        <f>IFERROR(__xludf.DUMMYFUNCTION("""COMPUTED_VALUE"""),413.0)</f>
        <v>413</v>
      </c>
      <c r="E960" s="138">
        <f>IFERROR(__xludf.DUMMYFUNCTION("""COMPUTED_VALUE"""),4.0)</f>
        <v>4</v>
      </c>
      <c r="F960" s="138">
        <f>IFERROR(__xludf.DUMMYFUNCTION("""COMPUTED_VALUE"""),4.0)</f>
        <v>4</v>
      </c>
      <c r="G960" s="138">
        <f>IFERROR(__xludf.DUMMYFUNCTION("""COMPUTED_VALUE"""),4.0)</f>
        <v>4</v>
      </c>
      <c r="H960" s="138">
        <f>IFERROR(__xludf.DUMMYFUNCTION("""COMPUTED_VALUE"""),5.0)</f>
        <v>5</v>
      </c>
      <c r="I960" s="138">
        <f>IFERROR(__xludf.DUMMYFUNCTION("""COMPUTED_VALUE"""),5.0)</f>
        <v>5</v>
      </c>
      <c r="J960" s="138">
        <f>IFERROR(__xludf.DUMMYFUNCTION("""COMPUTED_VALUE"""),4.0)</f>
        <v>4</v>
      </c>
      <c r="K960" s="138">
        <f>IFERROR(__xludf.DUMMYFUNCTION("""COMPUTED_VALUE"""),5.0)</f>
        <v>5</v>
      </c>
      <c r="L960" s="138">
        <v>31.0</v>
      </c>
      <c r="M960" s="140" t="str">
        <f>VLOOKUP(text(D960, "#"),'Master Table'!$A:$F, 6, FALSE)</f>
        <v>G-3</v>
      </c>
      <c r="N960" s="141" t="str">
        <f>IFERROR(__xludf.DUMMYFUNCTION("""COMPUTED_VALUE"""),"Enthusiasm and interaction with audience was exceptional.  Presentation of a complex experiment was very well done")</f>
        <v>Enthusiasm and interaction with audience was exceptional.  Presentation of a complex experiment was very well done</v>
      </c>
      <c r="O960" s="142" t="str">
        <f t="shared" si="1"/>
        <v/>
      </c>
      <c r="P960" s="143" t="str">
        <f>IF(ISNA(VLOOKUP(CONCAT(M960,C960), 'Judge Count DO NOT EDIT'!H:H, 1, FALSE)), "ERROR","")</f>
        <v/>
      </c>
      <c r="Q960" s="144"/>
      <c r="R960" s="143"/>
      <c r="S960" s="139" t="str">
        <f t="shared" si="2"/>
        <v>1028413</v>
      </c>
      <c r="T960" s="141"/>
    </row>
    <row r="961">
      <c r="A961" s="137">
        <f>IFERROR(__xludf.DUMMYFUNCTION("""COMPUTED_VALUE"""),45352.475725439814)</f>
        <v>45352.47573</v>
      </c>
      <c r="B961" s="138" t="str">
        <f>IFERROR(__xludf.DUMMYFUNCTION("""COMPUTED_VALUE"""),"Jeanne")</f>
        <v>Jeanne</v>
      </c>
      <c r="C961" s="138">
        <f>IFERROR(__xludf.DUMMYFUNCTION("""COMPUTED_VALUE"""),1029.0)</f>
        <v>1029</v>
      </c>
      <c r="D961" s="139">
        <f>IFERROR(__xludf.DUMMYFUNCTION("""COMPUTED_VALUE"""),415.0)</f>
        <v>415</v>
      </c>
      <c r="E961" s="138">
        <f>IFERROR(__xludf.DUMMYFUNCTION("""COMPUTED_VALUE"""),4.0)</f>
        <v>4</v>
      </c>
      <c r="F961" s="138">
        <f>IFERROR(__xludf.DUMMYFUNCTION("""COMPUTED_VALUE"""),4.0)</f>
        <v>4</v>
      </c>
      <c r="G961" s="138">
        <f>IFERROR(__xludf.DUMMYFUNCTION("""COMPUTED_VALUE"""),4.0)</f>
        <v>4</v>
      </c>
      <c r="H961" s="138">
        <f>IFERROR(__xludf.DUMMYFUNCTION("""COMPUTED_VALUE"""),3.0)</f>
        <v>3</v>
      </c>
      <c r="I961" s="138">
        <f>IFERROR(__xludf.DUMMYFUNCTION("""COMPUTED_VALUE"""),4.0)</f>
        <v>4</v>
      </c>
      <c r="J961" s="138">
        <f>IFERROR(__xludf.DUMMYFUNCTION("""COMPUTED_VALUE"""),4.0)</f>
        <v>4</v>
      </c>
      <c r="K961" s="138">
        <f>IFERROR(__xludf.DUMMYFUNCTION("""COMPUTED_VALUE"""),4.0)</f>
        <v>4</v>
      </c>
      <c r="L961" s="138">
        <v>27.0</v>
      </c>
      <c r="M961" s="140" t="str">
        <f>VLOOKUP(text(D961, "#"),'Master Table'!$A:$F, 6, FALSE)</f>
        <v>G-4</v>
      </c>
      <c r="N961" s="141" t="str">
        <f>IFERROR(__xludf.DUMMYFUNCTION("""COMPUTED_VALUE"""),"The presenter did an excellent job, explaining her project and the usefulness of the research on student learning. She was very knowledgeable about the process and outcomes. She answered questions confidently. The poster itself was well organized and show"&amp;"ed the significant parts of the project. She may have benefited by including a few more details on the methodology, but overall super job ")</f>
        <v>The presenter did an excellent job, explaining her project and the usefulness of the research on student learning. She was very knowledgeable about the process and outcomes. She answered questions confidently. The poster itself was well organized and showed the significant parts of the project. She may have benefited by including a few more details on the methodology, but overall super job </v>
      </c>
      <c r="O961" s="142" t="str">
        <f t="shared" si="1"/>
        <v/>
      </c>
      <c r="P961" s="143" t="str">
        <f>IF(ISNA(VLOOKUP(CONCAT(M961,C961), 'Judge Count DO NOT EDIT'!H:H, 1, FALSE)), "ERROR","")</f>
        <v/>
      </c>
      <c r="Q961" s="144"/>
      <c r="R961" s="143"/>
      <c r="S961" s="139" t="str">
        <f t="shared" si="2"/>
        <v>1029415</v>
      </c>
      <c r="T961" s="141"/>
    </row>
    <row r="962">
      <c r="A962" s="137">
        <f>IFERROR(__xludf.DUMMYFUNCTION("""COMPUTED_VALUE"""),45352.48316476852)</f>
        <v>45352.48316</v>
      </c>
      <c r="B962" s="138" t="str">
        <f>IFERROR(__xludf.DUMMYFUNCTION("""COMPUTED_VALUE"""),"Sahar Machiani")</f>
        <v>Sahar Machiani</v>
      </c>
      <c r="C962" s="138">
        <f>IFERROR(__xludf.DUMMYFUNCTION("""COMPUTED_VALUE"""),1083.0)</f>
        <v>1083</v>
      </c>
      <c r="D962" s="139">
        <f>IFERROR(__xludf.DUMMYFUNCTION("""COMPUTED_VALUE"""),415.0)</f>
        <v>415</v>
      </c>
      <c r="E962" s="138">
        <f>IFERROR(__xludf.DUMMYFUNCTION("""COMPUTED_VALUE"""),3.0)</f>
        <v>3</v>
      </c>
      <c r="F962" s="138">
        <f>IFERROR(__xludf.DUMMYFUNCTION("""COMPUTED_VALUE"""),3.0)</f>
        <v>3</v>
      </c>
      <c r="G962" s="138">
        <f>IFERROR(__xludf.DUMMYFUNCTION("""COMPUTED_VALUE"""),4.0)</f>
        <v>4</v>
      </c>
      <c r="H962" s="138">
        <f>IFERROR(__xludf.DUMMYFUNCTION("""COMPUTED_VALUE"""),3.0)</f>
        <v>3</v>
      </c>
      <c r="I962" s="138">
        <f>IFERROR(__xludf.DUMMYFUNCTION("""COMPUTED_VALUE"""),3.0)</f>
        <v>3</v>
      </c>
      <c r="J962" s="138">
        <f>IFERROR(__xludf.DUMMYFUNCTION("""COMPUTED_VALUE"""),3.0)</f>
        <v>3</v>
      </c>
      <c r="K962" s="138">
        <f>IFERROR(__xludf.DUMMYFUNCTION("""COMPUTED_VALUE"""),3.0)</f>
        <v>3</v>
      </c>
      <c r="L962" s="138">
        <v>22.0</v>
      </c>
      <c r="M962" s="140" t="str">
        <f>VLOOKUP(text(D962, "#"),'Master Table'!$A:$F, 6, FALSE)</f>
        <v>G-4</v>
      </c>
      <c r="N962" s="141"/>
      <c r="O962" s="142" t="str">
        <f t="shared" si="1"/>
        <v/>
      </c>
      <c r="P962" s="143" t="str">
        <f>IF(ISNA(VLOOKUP(CONCAT(M962,C962), 'Judge Count DO NOT EDIT'!H:H, 1, FALSE)), "ERROR","")</f>
        <v/>
      </c>
      <c r="Q962" s="141"/>
      <c r="R962" s="143"/>
      <c r="S962" s="139" t="str">
        <f t="shared" si="2"/>
        <v>1083415</v>
      </c>
      <c r="T962" s="141"/>
    </row>
    <row r="963">
      <c r="A963" s="137">
        <f>IFERROR(__xludf.DUMMYFUNCTION("""COMPUTED_VALUE"""),45352.48452025463)</f>
        <v>45352.48452</v>
      </c>
      <c r="B963" s="138" t="str">
        <f>IFERROR(__xludf.DUMMYFUNCTION("""COMPUTED_VALUE"""),"Manan Katwala ")</f>
        <v>Manan Katwala </v>
      </c>
      <c r="C963" s="138">
        <f>IFERROR(__xludf.DUMMYFUNCTION("""COMPUTED_VALUE"""),1027.0)</f>
        <v>1027</v>
      </c>
      <c r="D963" s="139">
        <f>IFERROR(__xludf.DUMMYFUNCTION("""COMPUTED_VALUE"""),415.0)</f>
        <v>415</v>
      </c>
      <c r="E963" s="138">
        <f>IFERROR(__xludf.DUMMYFUNCTION("""COMPUTED_VALUE"""),4.0)</f>
        <v>4</v>
      </c>
      <c r="F963" s="138">
        <f>IFERROR(__xludf.DUMMYFUNCTION("""COMPUTED_VALUE"""),3.0)</f>
        <v>3</v>
      </c>
      <c r="G963" s="138">
        <f>IFERROR(__xludf.DUMMYFUNCTION("""COMPUTED_VALUE"""),4.0)</f>
        <v>4</v>
      </c>
      <c r="H963" s="138">
        <f>IFERROR(__xludf.DUMMYFUNCTION("""COMPUTED_VALUE"""),3.0)</f>
        <v>3</v>
      </c>
      <c r="I963" s="138">
        <f>IFERROR(__xludf.DUMMYFUNCTION("""COMPUTED_VALUE"""),4.0)</f>
        <v>4</v>
      </c>
      <c r="J963" s="138">
        <f>IFERROR(__xludf.DUMMYFUNCTION("""COMPUTED_VALUE"""),3.0)</f>
        <v>3</v>
      </c>
      <c r="K963" s="138">
        <f>IFERROR(__xludf.DUMMYFUNCTION("""COMPUTED_VALUE"""),3.0)</f>
        <v>3</v>
      </c>
      <c r="L963" s="138">
        <v>24.0</v>
      </c>
      <c r="M963" s="140" t="str">
        <f>VLOOKUP(text(D963, "#"),'Master Table'!$A:$F, 6, FALSE)</f>
        <v>G-4</v>
      </c>
      <c r="N963" s="141" t="str">
        <f>IFERROR(__xludf.DUMMYFUNCTION("""COMPUTED_VALUE"""),"Interesting approach to revising the introductory courses and hopefully implemented at SDSU given the impact it could have for later classes. ")</f>
        <v>Interesting approach to revising the introductory courses and hopefully implemented at SDSU given the impact it could have for later classes. </v>
      </c>
      <c r="O963" s="142" t="str">
        <f t="shared" si="1"/>
        <v/>
      </c>
      <c r="P963" s="143" t="str">
        <f>IF(ISNA(VLOOKUP(CONCAT(M963,C963), 'Judge Count DO NOT EDIT'!H:H, 1, FALSE)), "ERROR","")</f>
        <v/>
      </c>
      <c r="Q963" s="141"/>
      <c r="R963" s="143"/>
      <c r="S963" s="139" t="str">
        <f t="shared" si="2"/>
        <v>1027415</v>
      </c>
      <c r="T963" s="141"/>
    </row>
    <row r="964">
      <c r="A964" s="137">
        <f>IFERROR(__xludf.DUMMYFUNCTION("""COMPUTED_VALUE"""),45352.494174374995)</f>
        <v>45352.49417</v>
      </c>
      <c r="B964" s="138" t="str">
        <f>IFERROR(__xludf.DUMMYFUNCTION("""COMPUTED_VALUE"""),"John McMillan ")</f>
        <v>John McMillan </v>
      </c>
      <c r="C964" s="138">
        <f>IFERROR(__xludf.DUMMYFUNCTION("""COMPUTED_VALUE"""),1009.0)</f>
        <v>1009</v>
      </c>
      <c r="D964" s="139">
        <f>IFERROR(__xludf.DUMMYFUNCTION("""COMPUTED_VALUE"""),415.0)</f>
        <v>415</v>
      </c>
      <c r="E964" s="138">
        <f>IFERROR(__xludf.DUMMYFUNCTION("""COMPUTED_VALUE"""),4.0)</f>
        <v>4</v>
      </c>
      <c r="F964" s="138">
        <f>IFERROR(__xludf.DUMMYFUNCTION("""COMPUTED_VALUE"""),5.0)</f>
        <v>5</v>
      </c>
      <c r="G964" s="138">
        <f>IFERROR(__xludf.DUMMYFUNCTION("""COMPUTED_VALUE"""),4.0)</f>
        <v>4</v>
      </c>
      <c r="H964" s="138">
        <f>IFERROR(__xludf.DUMMYFUNCTION("""COMPUTED_VALUE"""),4.0)</f>
        <v>4</v>
      </c>
      <c r="I964" s="138">
        <f>IFERROR(__xludf.DUMMYFUNCTION("""COMPUTED_VALUE"""),4.0)</f>
        <v>4</v>
      </c>
      <c r="J964" s="138">
        <f>IFERROR(__xludf.DUMMYFUNCTION("""COMPUTED_VALUE"""),4.0)</f>
        <v>4</v>
      </c>
      <c r="K964" s="138">
        <f>IFERROR(__xludf.DUMMYFUNCTION("""COMPUTED_VALUE"""),4.0)</f>
        <v>4</v>
      </c>
      <c r="L964" s="138">
        <v>29.0</v>
      </c>
      <c r="M964" s="140" t="str">
        <f>VLOOKUP(text(D964, "#"),'Master Table'!$A:$F, 6, FALSE)</f>
        <v>G-4</v>
      </c>
      <c r="N964" s="141" t="str">
        <f>IFERROR(__xludf.DUMMYFUNCTION("""COMPUTED_VALUE"""),"Presenter did a great job explaining the research, methods and next steps. I would have liked to have seen a visual representation on how each of the 27 questions were-  replaced, rewritten, or modified, to have better clarity on the impact this analysis "&amp;"had on the overall structure of the assessment. ")</f>
        <v>Presenter did a great job explaining the research, methods and next steps. I would have liked to have seen a visual representation on how each of the 27 questions were-  replaced, rewritten, or modified, to have better clarity on the impact this analysis had on the overall structure of the assessment. </v>
      </c>
      <c r="O964" s="142" t="str">
        <f t="shared" si="1"/>
        <v/>
      </c>
      <c r="P964" s="143" t="str">
        <f>IF(ISNA(VLOOKUP(CONCAT(M964,C964), 'Judge Count DO NOT EDIT'!H:H, 1, FALSE)), "ERROR","")</f>
        <v/>
      </c>
      <c r="Q964" s="141"/>
      <c r="R964" s="143"/>
      <c r="S964" s="139" t="str">
        <f t="shared" si="2"/>
        <v>1009415</v>
      </c>
      <c r="T964" s="141"/>
    </row>
    <row r="965">
      <c r="A965" s="137">
        <f>IFERROR(__xludf.DUMMYFUNCTION("""COMPUTED_VALUE"""),45352.46659681713)</f>
        <v>45352.4666</v>
      </c>
      <c r="B965" s="138" t="str">
        <f>IFERROR(__xludf.DUMMYFUNCTION("""COMPUTED_VALUE"""),"Jeanne")</f>
        <v>Jeanne</v>
      </c>
      <c r="C965" s="138">
        <f>IFERROR(__xludf.DUMMYFUNCTION("""COMPUTED_VALUE"""),1029.0)</f>
        <v>1029</v>
      </c>
      <c r="D965" s="139">
        <f>IFERROR(__xludf.DUMMYFUNCTION("""COMPUTED_VALUE"""),416.0)</f>
        <v>416</v>
      </c>
      <c r="E965" s="138">
        <f>IFERROR(__xludf.DUMMYFUNCTION("""COMPUTED_VALUE"""),4.0)</f>
        <v>4</v>
      </c>
      <c r="F965" s="138">
        <f>IFERROR(__xludf.DUMMYFUNCTION("""COMPUTED_VALUE"""),3.0)</f>
        <v>3</v>
      </c>
      <c r="G965" s="138">
        <f>IFERROR(__xludf.DUMMYFUNCTION("""COMPUTED_VALUE"""),4.0)</f>
        <v>4</v>
      </c>
      <c r="H965" s="138">
        <f>IFERROR(__xludf.DUMMYFUNCTION("""COMPUTED_VALUE"""),3.0)</f>
        <v>3</v>
      </c>
      <c r="I965" s="138">
        <f>IFERROR(__xludf.DUMMYFUNCTION("""COMPUTED_VALUE"""),4.0)</f>
        <v>4</v>
      </c>
      <c r="J965" s="138">
        <f>IFERROR(__xludf.DUMMYFUNCTION("""COMPUTED_VALUE"""),3.0)</f>
        <v>3</v>
      </c>
      <c r="K965" s="138">
        <f>IFERROR(__xludf.DUMMYFUNCTION("""COMPUTED_VALUE"""),4.0)</f>
        <v>4</v>
      </c>
      <c r="L965" s="138">
        <v>25.0</v>
      </c>
      <c r="M965" s="140" t="str">
        <f>VLOOKUP(text(D965, "#"),'Master Table'!$A:$F, 6, FALSE)</f>
        <v>G-4</v>
      </c>
      <c r="N965" s="141" t="str">
        <f>IFERROR(__xludf.DUMMYFUNCTION("""COMPUTED_VALUE"""),"Information was presented clearly. High-level of enthusiasm. Very knowledgeable about the subject area. Was able to answer all of my questions. maybe needs more clarity on the inputs for the AI model. Great project!")</f>
        <v>Information was presented clearly. High-level of enthusiasm. Very knowledgeable about the subject area. Was able to answer all of my questions. maybe needs more clarity on the inputs for the AI model. Great project!</v>
      </c>
      <c r="O965" s="142" t="str">
        <f t="shared" si="1"/>
        <v/>
      </c>
      <c r="P965" s="143" t="str">
        <f>IF(ISNA(VLOOKUP(CONCAT(M965,C965), 'Judge Count DO NOT EDIT'!H:H, 1, FALSE)), "ERROR","")</f>
        <v/>
      </c>
      <c r="Q965" s="141"/>
      <c r="R965" s="143"/>
      <c r="S965" s="139" t="str">
        <f t="shared" si="2"/>
        <v>1029416</v>
      </c>
      <c r="T965" s="141"/>
    </row>
    <row r="966">
      <c r="A966" s="137">
        <f>IFERROR(__xludf.DUMMYFUNCTION("""COMPUTED_VALUE"""),45352.47687741898)</f>
        <v>45352.47688</v>
      </c>
      <c r="B966" s="138" t="str">
        <f>IFERROR(__xludf.DUMMYFUNCTION("""COMPUTED_VALUE"""),"Manan Katwala ")</f>
        <v>Manan Katwala </v>
      </c>
      <c r="C966" s="138">
        <f>IFERROR(__xludf.DUMMYFUNCTION("""COMPUTED_VALUE"""),1027.0)</f>
        <v>1027</v>
      </c>
      <c r="D966" s="139">
        <f>IFERROR(__xludf.DUMMYFUNCTION("""COMPUTED_VALUE"""),416.0)</f>
        <v>416</v>
      </c>
      <c r="E966" s="138">
        <f>IFERROR(__xludf.DUMMYFUNCTION("""COMPUTED_VALUE"""),2.0)</f>
        <v>2</v>
      </c>
      <c r="F966" s="138">
        <f>IFERROR(__xludf.DUMMYFUNCTION("""COMPUTED_VALUE"""),3.0)</f>
        <v>3</v>
      </c>
      <c r="G966" s="138">
        <f>IFERROR(__xludf.DUMMYFUNCTION("""COMPUTED_VALUE"""),3.0)</f>
        <v>3</v>
      </c>
      <c r="H966" s="138">
        <f>IFERROR(__xludf.DUMMYFUNCTION("""COMPUTED_VALUE"""),2.0)</f>
        <v>2</v>
      </c>
      <c r="I966" s="138">
        <f>IFERROR(__xludf.DUMMYFUNCTION("""COMPUTED_VALUE"""),2.0)</f>
        <v>2</v>
      </c>
      <c r="J966" s="138">
        <f>IFERROR(__xludf.DUMMYFUNCTION("""COMPUTED_VALUE"""),2.0)</f>
        <v>2</v>
      </c>
      <c r="K966" s="138">
        <f>IFERROR(__xludf.DUMMYFUNCTION("""COMPUTED_VALUE"""),2.0)</f>
        <v>2</v>
      </c>
      <c r="L966" s="138">
        <v>16.0</v>
      </c>
      <c r="M966" s="140" t="str">
        <f>VLOOKUP(text(D966, "#"),'Master Table'!$A:$F, 6, FALSE)</f>
        <v>G-4</v>
      </c>
      <c r="N966" s="141" t="str">
        <f>IFERROR(__xludf.DUMMYFUNCTION("""COMPUTED_VALUE"""),"Interesting experiment to determine the accurate parameters for the printing process. Looks like a lot of effort was put in. ")</f>
        <v>Interesting experiment to determine the accurate parameters for the printing process. Looks like a lot of effort was put in. </v>
      </c>
      <c r="O966" s="142" t="str">
        <f t="shared" si="1"/>
        <v/>
      </c>
      <c r="P966" s="143" t="str">
        <f>IF(ISNA(VLOOKUP(CONCAT(M966,C966), 'Judge Count DO NOT EDIT'!H:H, 1, FALSE)), "ERROR","")</f>
        <v/>
      </c>
      <c r="Q966" s="141"/>
      <c r="R966" s="143"/>
      <c r="S966" s="139" t="str">
        <f t="shared" si="2"/>
        <v>1027416</v>
      </c>
      <c r="T966" s="141"/>
    </row>
    <row r="967">
      <c r="A967" s="137">
        <f>IFERROR(__xludf.DUMMYFUNCTION("""COMPUTED_VALUE"""),45352.48373637731)</f>
        <v>45352.48374</v>
      </c>
      <c r="B967" s="138" t="str">
        <f>IFERROR(__xludf.DUMMYFUNCTION("""COMPUTED_VALUE"""),"Sahar Machiani")</f>
        <v>Sahar Machiani</v>
      </c>
      <c r="C967" s="138">
        <f>IFERROR(__xludf.DUMMYFUNCTION("""COMPUTED_VALUE"""),1083.0)</f>
        <v>1083</v>
      </c>
      <c r="D967" s="139">
        <f>IFERROR(__xludf.DUMMYFUNCTION("""COMPUTED_VALUE"""),416.0)</f>
        <v>416</v>
      </c>
      <c r="E967" s="138">
        <f>IFERROR(__xludf.DUMMYFUNCTION("""COMPUTED_VALUE"""),3.0)</f>
        <v>3</v>
      </c>
      <c r="F967" s="138">
        <f>IFERROR(__xludf.DUMMYFUNCTION("""COMPUTED_VALUE"""),3.0)</f>
        <v>3</v>
      </c>
      <c r="G967" s="138">
        <f>IFERROR(__xludf.DUMMYFUNCTION("""COMPUTED_VALUE"""),3.0)</f>
        <v>3</v>
      </c>
      <c r="H967" s="138">
        <f>IFERROR(__xludf.DUMMYFUNCTION("""COMPUTED_VALUE"""),4.0)</f>
        <v>4</v>
      </c>
      <c r="I967" s="138">
        <f>IFERROR(__xludf.DUMMYFUNCTION("""COMPUTED_VALUE"""),3.0)</f>
        <v>3</v>
      </c>
      <c r="J967" s="138">
        <f>IFERROR(__xludf.DUMMYFUNCTION("""COMPUTED_VALUE"""),3.0)</f>
        <v>3</v>
      </c>
      <c r="K967" s="138">
        <f>IFERROR(__xludf.DUMMYFUNCTION("""COMPUTED_VALUE"""),3.0)</f>
        <v>3</v>
      </c>
      <c r="L967" s="138">
        <v>22.0</v>
      </c>
      <c r="M967" s="140" t="str">
        <f>VLOOKUP(text(D967, "#"),'Master Table'!$A:$F, 6, FALSE)</f>
        <v>G-4</v>
      </c>
      <c r="N967" s="141"/>
      <c r="O967" s="142" t="str">
        <f t="shared" si="1"/>
        <v/>
      </c>
      <c r="P967" s="143" t="str">
        <f>IF(ISNA(VLOOKUP(CONCAT(M967,C967), 'Judge Count DO NOT EDIT'!H:H, 1, FALSE)), "ERROR","")</f>
        <v/>
      </c>
      <c r="Q967" s="141"/>
      <c r="R967" s="143"/>
      <c r="S967" s="139" t="str">
        <f t="shared" si="2"/>
        <v>1083416</v>
      </c>
      <c r="T967" s="141"/>
    </row>
    <row r="968">
      <c r="A968" s="137">
        <f>IFERROR(__xludf.DUMMYFUNCTION("""COMPUTED_VALUE"""),45352.49569393518)</f>
        <v>45352.49569</v>
      </c>
      <c r="B968" s="138" t="str">
        <f>IFERROR(__xludf.DUMMYFUNCTION("""COMPUTED_VALUE"""),"John McMillan")</f>
        <v>John McMillan</v>
      </c>
      <c r="C968" s="138">
        <f>IFERROR(__xludf.DUMMYFUNCTION("""COMPUTED_VALUE"""),1009.0)</f>
        <v>1009</v>
      </c>
      <c r="D968" s="139">
        <f>IFERROR(__xludf.DUMMYFUNCTION("""COMPUTED_VALUE"""),416.0)</f>
        <v>416</v>
      </c>
      <c r="E968" s="138">
        <f>IFERROR(__xludf.DUMMYFUNCTION("""COMPUTED_VALUE"""),3.0)</f>
        <v>3</v>
      </c>
      <c r="F968" s="138">
        <f>IFERROR(__xludf.DUMMYFUNCTION("""COMPUTED_VALUE"""),4.0)</f>
        <v>4</v>
      </c>
      <c r="G968" s="138">
        <f>IFERROR(__xludf.DUMMYFUNCTION("""COMPUTED_VALUE"""),4.0)</f>
        <v>4</v>
      </c>
      <c r="H968" s="138">
        <f>IFERROR(__xludf.DUMMYFUNCTION("""COMPUTED_VALUE"""),4.0)</f>
        <v>4</v>
      </c>
      <c r="I968" s="138">
        <f>IFERROR(__xludf.DUMMYFUNCTION("""COMPUTED_VALUE"""),4.0)</f>
        <v>4</v>
      </c>
      <c r="J968" s="138">
        <f>IFERROR(__xludf.DUMMYFUNCTION("""COMPUTED_VALUE"""),3.0)</f>
        <v>3</v>
      </c>
      <c r="K968" s="138">
        <f>IFERROR(__xludf.DUMMYFUNCTION("""COMPUTED_VALUE"""),4.0)</f>
        <v>4</v>
      </c>
      <c r="L968" s="138">
        <v>26.0</v>
      </c>
      <c r="M968" s="140" t="str">
        <f>VLOOKUP(text(D968, "#"),'Master Table'!$A:$F, 6, FALSE)</f>
        <v>G-4</v>
      </c>
      <c r="N968" s="141" t="str">
        <f>IFERROR(__xludf.DUMMYFUNCTION("""COMPUTED_VALUE"""),"The presenter did a great job of explaining what they found and the new method of keep consistent temperature in the bed, I thought the new heating element and the work that took could have been better highlighted on the paper instead of including the abs"&amp;"tract. I really liked that the presenter focused on multidisciplinary collaboration as key takeaway. ")</f>
        <v>The presenter did a great job of explaining what they found and the new method of keep consistent temperature in the bed, I thought the new heating element and the work that took could have been better highlighted on the paper instead of including the abstract. I really liked that the presenter focused on multidisciplinary collaboration as key takeaway. </v>
      </c>
      <c r="O968" s="142" t="str">
        <f t="shared" si="1"/>
        <v/>
      </c>
      <c r="P968" s="143" t="str">
        <f>IF(ISNA(VLOOKUP(CONCAT(M968,C968), 'Judge Count DO NOT EDIT'!H:H, 1, FALSE)), "ERROR","")</f>
        <v/>
      </c>
      <c r="Q968" s="141"/>
      <c r="R968" s="143"/>
      <c r="S968" s="139" t="str">
        <f t="shared" si="2"/>
        <v>1009416</v>
      </c>
      <c r="T968" s="141"/>
    </row>
    <row r="969">
      <c r="A969" s="137">
        <f>IFERROR(__xludf.DUMMYFUNCTION("""COMPUTED_VALUE"""),45352.48418476852)</f>
        <v>45352.48418</v>
      </c>
      <c r="B969" s="138" t="str">
        <f>IFERROR(__xludf.DUMMYFUNCTION("""COMPUTED_VALUE"""),"Sahar Machiani")</f>
        <v>Sahar Machiani</v>
      </c>
      <c r="C969" s="138">
        <f>IFERROR(__xludf.DUMMYFUNCTION("""COMPUTED_VALUE"""),1083.0)</f>
        <v>1083</v>
      </c>
      <c r="D969" s="139">
        <f>IFERROR(__xludf.DUMMYFUNCTION("""COMPUTED_VALUE"""),417.0)</f>
        <v>417</v>
      </c>
      <c r="E969" s="138">
        <f>IFERROR(__xludf.DUMMYFUNCTION("""COMPUTED_VALUE"""),4.0)</f>
        <v>4</v>
      </c>
      <c r="F969" s="138">
        <f>IFERROR(__xludf.DUMMYFUNCTION("""COMPUTED_VALUE"""),4.0)</f>
        <v>4</v>
      </c>
      <c r="G969" s="138">
        <f>IFERROR(__xludf.DUMMYFUNCTION("""COMPUTED_VALUE"""),4.0)</f>
        <v>4</v>
      </c>
      <c r="H969" s="138">
        <f>IFERROR(__xludf.DUMMYFUNCTION("""COMPUTED_VALUE"""),4.0)</f>
        <v>4</v>
      </c>
      <c r="I969" s="138">
        <f>IFERROR(__xludf.DUMMYFUNCTION("""COMPUTED_VALUE"""),4.0)</f>
        <v>4</v>
      </c>
      <c r="J969" s="138">
        <f>IFERROR(__xludf.DUMMYFUNCTION("""COMPUTED_VALUE"""),4.0)</f>
        <v>4</v>
      </c>
      <c r="K969" s="138">
        <f>IFERROR(__xludf.DUMMYFUNCTION("""COMPUTED_VALUE"""),5.0)</f>
        <v>5</v>
      </c>
      <c r="L969" s="138">
        <v>29.0</v>
      </c>
      <c r="M969" s="140" t="str">
        <f>VLOOKUP(text(D969, "#"),'Master Table'!$A:$F, 6, FALSE)</f>
        <v>G-4</v>
      </c>
      <c r="N969" s="141"/>
      <c r="O969" s="142" t="str">
        <f t="shared" si="1"/>
        <v/>
      </c>
      <c r="P969" s="143" t="str">
        <f>IF(ISNA(VLOOKUP(CONCAT(M969,C969), 'Judge Count DO NOT EDIT'!H:H, 1, FALSE)), "ERROR","")</f>
        <v/>
      </c>
      <c r="Q969" s="141"/>
      <c r="R969" s="143"/>
      <c r="S969" s="139" t="str">
        <f t="shared" si="2"/>
        <v>1083417</v>
      </c>
      <c r="T969" s="141"/>
    </row>
    <row r="970">
      <c r="A970" s="137">
        <f>IFERROR(__xludf.DUMMYFUNCTION("""COMPUTED_VALUE"""),45352.48759076389)</f>
        <v>45352.48759</v>
      </c>
      <c r="B970" s="138" t="str">
        <f>IFERROR(__xludf.DUMMYFUNCTION("""COMPUTED_VALUE"""),"Jeanne")</f>
        <v>Jeanne</v>
      </c>
      <c r="C970" s="138">
        <f>IFERROR(__xludf.DUMMYFUNCTION("""COMPUTED_VALUE"""),1029.0)</f>
        <v>1029</v>
      </c>
      <c r="D970" s="139">
        <f>IFERROR(__xludf.DUMMYFUNCTION("""COMPUTED_VALUE"""),417.0)</f>
        <v>417</v>
      </c>
      <c r="E970" s="138">
        <f>IFERROR(__xludf.DUMMYFUNCTION("""COMPUTED_VALUE"""),4.0)</f>
        <v>4</v>
      </c>
      <c r="F970" s="138">
        <f>IFERROR(__xludf.DUMMYFUNCTION("""COMPUTED_VALUE"""),5.0)</f>
        <v>5</v>
      </c>
      <c r="G970" s="138">
        <f>IFERROR(__xludf.DUMMYFUNCTION("""COMPUTED_VALUE"""),4.0)</f>
        <v>4</v>
      </c>
      <c r="H970" s="138">
        <f>IFERROR(__xludf.DUMMYFUNCTION("""COMPUTED_VALUE"""),4.0)</f>
        <v>4</v>
      </c>
      <c r="I970" s="138">
        <f>IFERROR(__xludf.DUMMYFUNCTION("""COMPUTED_VALUE"""),4.0)</f>
        <v>4</v>
      </c>
      <c r="J970" s="138">
        <f>IFERROR(__xludf.DUMMYFUNCTION("""COMPUTED_VALUE"""),4.0)</f>
        <v>4</v>
      </c>
      <c r="K970" s="138">
        <f>IFERROR(__xludf.DUMMYFUNCTION("""COMPUTED_VALUE"""),4.0)</f>
        <v>4</v>
      </c>
      <c r="L970" s="138">
        <v>29.0</v>
      </c>
      <c r="M970" s="140" t="str">
        <f>VLOOKUP(text(D970, "#"),'Master Table'!$A:$F, 6, FALSE)</f>
        <v>G-4</v>
      </c>
      <c r="N970" s="141" t="str">
        <f>IFERROR(__xludf.DUMMYFUNCTION("""COMPUTED_VALUE"""),"Incredible presentation. The presenter was extremely enthusiastic and knowledgeable. The impact of this research was well demonstrated and impactful. Future directions are laid out, and the practical application of this research is very evident. The poste"&amp;"r itself was engaging and informative. Overall an excellent research project and presentation. Amazing job.")</f>
        <v>Incredible presentation. The presenter was extremely enthusiastic and knowledgeable. The impact of this research was well demonstrated and impactful. Future directions are laid out, and the practical application of this research is very evident. The poster itself was engaging and informative. Overall an excellent research project and presentation. Amazing job.</v>
      </c>
      <c r="O970" s="142" t="str">
        <f t="shared" si="1"/>
        <v/>
      </c>
      <c r="P970" s="143" t="str">
        <f>IF(ISNA(VLOOKUP(CONCAT(M970,C970), 'Judge Count DO NOT EDIT'!H:H, 1, FALSE)), "ERROR","")</f>
        <v/>
      </c>
      <c r="Q970" s="141"/>
      <c r="R970" s="143"/>
      <c r="S970" s="139" t="str">
        <f t="shared" si="2"/>
        <v>1029417</v>
      </c>
      <c r="T970" s="141"/>
    </row>
    <row r="971">
      <c r="A971" s="137">
        <f>IFERROR(__xludf.DUMMYFUNCTION("""COMPUTED_VALUE"""),45352.494251701384)</f>
        <v>45352.49425</v>
      </c>
      <c r="B971" s="138" t="str">
        <f>IFERROR(__xludf.DUMMYFUNCTION("""COMPUTED_VALUE"""),"Manan Katwala ")</f>
        <v>Manan Katwala </v>
      </c>
      <c r="C971" s="138">
        <f>IFERROR(__xludf.DUMMYFUNCTION("""COMPUTED_VALUE"""),1027.0)</f>
        <v>1027</v>
      </c>
      <c r="D971" s="139">
        <f>IFERROR(__xludf.DUMMYFUNCTION("""COMPUTED_VALUE"""),417.0)</f>
        <v>417</v>
      </c>
      <c r="E971" s="138">
        <f>IFERROR(__xludf.DUMMYFUNCTION("""COMPUTED_VALUE"""),4.0)</f>
        <v>4</v>
      </c>
      <c r="F971" s="138">
        <f>IFERROR(__xludf.DUMMYFUNCTION("""COMPUTED_VALUE"""),3.0)</f>
        <v>3</v>
      </c>
      <c r="G971" s="138">
        <f>IFERROR(__xludf.DUMMYFUNCTION("""COMPUTED_VALUE"""),3.0)</f>
        <v>3</v>
      </c>
      <c r="H971" s="138">
        <f>IFERROR(__xludf.DUMMYFUNCTION("""COMPUTED_VALUE"""),3.0)</f>
        <v>3</v>
      </c>
      <c r="I971" s="138">
        <f>IFERROR(__xludf.DUMMYFUNCTION("""COMPUTED_VALUE"""),3.0)</f>
        <v>3</v>
      </c>
      <c r="J971" s="138">
        <f>IFERROR(__xludf.DUMMYFUNCTION("""COMPUTED_VALUE"""),3.0)</f>
        <v>3</v>
      </c>
      <c r="K971" s="138">
        <f>IFERROR(__xludf.DUMMYFUNCTION("""COMPUTED_VALUE"""),3.0)</f>
        <v>3</v>
      </c>
      <c r="L971" s="138">
        <v>22.0</v>
      </c>
      <c r="M971" s="140" t="str">
        <f>VLOOKUP(text(D971, "#"),'Master Table'!$A:$F, 6, FALSE)</f>
        <v>G-4</v>
      </c>
      <c r="N971" s="141" t="str">
        <f>IFERROR(__xludf.DUMMYFUNCTION("""COMPUTED_VALUE"""),"Interesting project and well presented across all the information in the poster. Nice work!")</f>
        <v>Interesting project and well presented across all the information in the poster. Nice work!</v>
      </c>
      <c r="O971" s="142" t="str">
        <f t="shared" si="1"/>
        <v/>
      </c>
      <c r="P971" s="143" t="str">
        <f>IF(ISNA(VLOOKUP(CONCAT(M971,C971), 'Judge Count DO NOT EDIT'!H:H, 1, FALSE)), "ERROR","")</f>
        <v/>
      </c>
      <c r="Q971" s="141"/>
      <c r="R971" s="143"/>
      <c r="S971" s="139" t="str">
        <f t="shared" si="2"/>
        <v>1027417</v>
      </c>
      <c r="T971" s="141"/>
    </row>
    <row r="972">
      <c r="A972" s="137">
        <f>IFERROR(__xludf.DUMMYFUNCTION("""COMPUTED_VALUE"""),45352.49828075232)</f>
        <v>45352.49828</v>
      </c>
      <c r="B972" s="138" t="str">
        <f>IFERROR(__xludf.DUMMYFUNCTION("""COMPUTED_VALUE"""),"John McMillan")</f>
        <v>John McMillan</v>
      </c>
      <c r="C972" s="138">
        <f>IFERROR(__xludf.DUMMYFUNCTION("""COMPUTED_VALUE"""),1009.0)</f>
        <v>1009</v>
      </c>
      <c r="D972" s="139">
        <f>IFERROR(__xludf.DUMMYFUNCTION("""COMPUTED_VALUE"""),417.0)</f>
        <v>417</v>
      </c>
      <c r="E972" s="138">
        <f>IFERROR(__xludf.DUMMYFUNCTION("""COMPUTED_VALUE"""),5.0)</f>
        <v>5</v>
      </c>
      <c r="F972" s="138">
        <f>IFERROR(__xludf.DUMMYFUNCTION("""COMPUTED_VALUE"""),4.0)</f>
        <v>4</v>
      </c>
      <c r="G972" s="138">
        <f>IFERROR(__xludf.DUMMYFUNCTION("""COMPUTED_VALUE"""),4.0)</f>
        <v>4</v>
      </c>
      <c r="H972" s="138">
        <f>IFERROR(__xludf.DUMMYFUNCTION("""COMPUTED_VALUE"""),5.0)</f>
        <v>5</v>
      </c>
      <c r="I972" s="138">
        <f>IFERROR(__xludf.DUMMYFUNCTION("""COMPUTED_VALUE"""),4.0)</f>
        <v>4</v>
      </c>
      <c r="J972" s="138">
        <f>IFERROR(__xludf.DUMMYFUNCTION("""COMPUTED_VALUE"""),4.0)</f>
        <v>4</v>
      </c>
      <c r="K972" s="138">
        <f>IFERROR(__xludf.DUMMYFUNCTION("""COMPUTED_VALUE"""),4.0)</f>
        <v>4</v>
      </c>
      <c r="L972" s="138">
        <v>30.0</v>
      </c>
      <c r="M972" s="140" t="str">
        <f>VLOOKUP(text(D972, "#"),'Master Table'!$A:$F, 6, FALSE)</f>
        <v>G-4</v>
      </c>
      <c r="N972" s="141" t="str">
        <f>IFERROR(__xludf.DUMMYFUNCTION("""COMPUTED_VALUE"""),"The presenter was well versed in the experiment design and outcomes and could speak about every aspect of the project including building the acoustic and thermal testing equipment, which was a highlight. I would have liked a little more on potential next "&amp;"steps now that it was determined that mechanical process improved with percentage but thermal and acoustic did not. ")</f>
        <v>The presenter was well versed in the experiment design and outcomes and could speak about every aspect of the project including building the acoustic and thermal testing equipment, which was a highlight. I would have liked a little more on potential next steps now that it was determined that mechanical process improved with percentage but thermal and acoustic did not. </v>
      </c>
      <c r="O972" s="142" t="str">
        <f t="shared" si="1"/>
        <v/>
      </c>
      <c r="P972" s="143" t="str">
        <f>IF(ISNA(VLOOKUP(CONCAT(M972,C972), 'Judge Count DO NOT EDIT'!H:H, 1, FALSE)), "ERROR","")</f>
        <v/>
      </c>
      <c r="Q972" s="141"/>
      <c r="R972" s="143"/>
      <c r="S972" s="139" t="str">
        <f t="shared" si="2"/>
        <v>1009417</v>
      </c>
      <c r="T972" s="141"/>
    </row>
    <row r="973">
      <c r="A973" s="137">
        <f>IFERROR(__xludf.DUMMYFUNCTION("""COMPUTED_VALUE"""),45352.47175597222)</f>
        <v>45352.47176</v>
      </c>
      <c r="B973" s="138" t="str">
        <f>IFERROR(__xludf.DUMMYFUNCTION("""COMPUTED_VALUE"""),"Manan Katwala ")</f>
        <v>Manan Katwala </v>
      </c>
      <c r="C973" s="138">
        <f>IFERROR(__xludf.DUMMYFUNCTION("""COMPUTED_VALUE"""),1027.0)</f>
        <v>1027</v>
      </c>
      <c r="D973" s="139">
        <f>IFERROR(__xludf.DUMMYFUNCTION("""COMPUTED_VALUE"""),418.0)</f>
        <v>418</v>
      </c>
      <c r="E973" s="138">
        <f>IFERROR(__xludf.DUMMYFUNCTION("""COMPUTED_VALUE"""),3.0)</f>
        <v>3</v>
      </c>
      <c r="F973" s="138">
        <f>IFERROR(__xludf.DUMMYFUNCTION("""COMPUTED_VALUE"""),4.0)</f>
        <v>4</v>
      </c>
      <c r="G973" s="138">
        <f>IFERROR(__xludf.DUMMYFUNCTION("""COMPUTED_VALUE"""),3.0)</f>
        <v>3</v>
      </c>
      <c r="H973" s="138">
        <f>IFERROR(__xludf.DUMMYFUNCTION("""COMPUTED_VALUE"""),2.0)</f>
        <v>2</v>
      </c>
      <c r="I973" s="138">
        <f>IFERROR(__xludf.DUMMYFUNCTION("""COMPUTED_VALUE"""),3.0)</f>
        <v>3</v>
      </c>
      <c r="J973" s="138">
        <f>IFERROR(__xludf.DUMMYFUNCTION("""COMPUTED_VALUE"""),3.0)</f>
        <v>3</v>
      </c>
      <c r="K973" s="138">
        <f>IFERROR(__xludf.DUMMYFUNCTION("""COMPUTED_VALUE"""),3.0)</f>
        <v>3</v>
      </c>
      <c r="L973" s="138">
        <v>21.0</v>
      </c>
      <c r="M973" s="140" t="str">
        <f>VLOOKUP(text(D973, "#"),'Master Table'!$A:$F, 6, FALSE)</f>
        <v>G-4</v>
      </c>
      <c r="N973" s="141" t="str">
        <f>IFERROR(__xludf.DUMMYFUNCTION("""COMPUTED_VALUE"""),"Interesting work with a lot of information. The use of ML to gather more information on the subject was fascinating.")</f>
        <v>Interesting work with a lot of information. The use of ML to gather more information on the subject was fascinating.</v>
      </c>
      <c r="O973" s="142" t="str">
        <f t="shared" si="1"/>
        <v/>
      </c>
      <c r="P973" s="143" t="str">
        <f>IF(ISNA(VLOOKUP(CONCAT(M973,C973), 'Judge Count DO NOT EDIT'!H:H, 1, FALSE)), "ERROR","")</f>
        <v/>
      </c>
      <c r="Q973" s="141"/>
      <c r="R973" s="143"/>
      <c r="S973" s="139" t="str">
        <f t="shared" si="2"/>
        <v>1027418</v>
      </c>
      <c r="T973" s="141"/>
    </row>
    <row r="974">
      <c r="A974" s="137">
        <f>IFERROR(__xludf.DUMMYFUNCTION("""COMPUTED_VALUE"""),45352.48457918981)</f>
        <v>45352.48458</v>
      </c>
      <c r="B974" s="138" t="str">
        <f>IFERROR(__xludf.DUMMYFUNCTION("""COMPUTED_VALUE"""),"Sahar Machiani")</f>
        <v>Sahar Machiani</v>
      </c>
      <c r="C974" s="138">
        <f>IFERROR(__xludf.DUMMYFUNCTION("""COMPUTED_VALUE"""),1083.0)</f>
        <v>1083</v>
      </c>
      <c r="D974" s="139">
        <f>IFERROR(__xludf.DUMMYFUNCTION("""COMPUTED_VALUE"""),418.0)</f>
        <v>418</v>
      </c>
      <c r="E974" s="138">
        <f>IFERROR(__xludf.DUMMYFUNCTION("""COMPUTED_VALUE"""),4.0)</f>
        <v>4</v>
      </c>
      <c r="F974" s="138">
        <f>IFERROR(__xludf.DUMMYFUNCTION("""COMPUTED_VALUE"""),4.0)</f>
        <v>4</v>
      </c>
      <c r="G974" s="138">
        <f>IFERROR(__xludf.DUMMYFUNCTION("""COMPUTED_VALUE"""),3.0)</f>
        <v>3</v>
      </c>
      <c r="H974" s="138">
        <f>IFERROR(__xludf.DUMMYFUNCTION("""COMPUTED_VALUE"""),3.0)</f>
        <v>3</v>
      </c>
      <c r="I974" s="138">
        <f>IFERROR(__xludf.DUMMYFUNCTION("""COMPUTED_VALUE"""),4.0)</f>
        <v>4</v>
      </c>
      <c r="J974" s="138">
        <f>IFERROR(__xludf.DUMMYFUNCTION("""COMPUTED_VALUE"""),3.0)</f>
        <v>3</v>
      </c>
      <c r="K974" s="138">
        <f>IFERROR(__xludf.DUMMYFUNCTION("""COMPUTED_VALUE"""),3.0)</f>
        <v>3</v>
      </c>
      <c r="L974" s="138">
        <v>24.0</v>
      </c>
      <c r="M974" s="140" t="str">
        <f>VLOOKUP(text(D974, "#"),'Master Table'!$A:$F, 6, FALSE)</f>
        <v>G-4</v>
      </c>
      <c r="N974" s="141"/>
      <c r="O974" s="142" t="str">
        <f t="shared" si="1"/>
        <v/>
      </c>
      <c r="P974" s="143" t="str">
        <f>IF(ISNA(VLOOKUP(CONCAT(M974,C974), 'Judge Count DO NOT EDIT'!H:H, 1, FALSE)), "ERROR","")</f>
        <v/>
      </c>
      <c r="Q974" s="141"/>
      <c r="R974" s="143"/>
      <c r="S974" s="139" t="str">
        <f t="shared" si="2"/>
        <v>1083418</v>
      </c>
      <c r="T974" s="141"/>
    </row>
    <row r="975">
      <c r="A975" s="137">
        <f>IFERROR(__xludf.DUMMYFUNCTION("""COMPUTED_VALUE"""),45352.50043134259)</f>
        <v>45352.50043</v>
      </c>
      <c r="B975" s="138" t="str">
        <f>IFERROR(__xludf.DUMMYFUNCTION("""COMPUTED_VALUE"""),"John McMillan")</f>
        <v>John McMillan</v>
      </c>
      <c r="C975" s="138">
        <f>IFERROR(__xludf.DUMMYFUNCTION("""COMPUTED_VALUE"""),1009.0)</f>
        <v>1009</v>
      </c>
      <c r="D975" s="139">
        <f>IFERROR(__xludf.DUMMYFUNCTION("""COMPUTED_VALUE"""),418.0)</f>
        <v>418</v>
      </c>
      <c r="E975" s="138">
        <f>IFERROR(__xludf.DUMMYFUNCTION("""COMPUTED_VALUE"""),4.0)</f>
        <v>4</v>
      </c>
      <c r="F975" s="138">
        <f>IFERROR(__xludf.DUMMYFUNCTION("""COMPUTED_VALUE"""),4.0)</f>
        <v>4</v>
      </c>
      <c r="G975" s="138">
        <f>IFERROR(__xludf.DUMMYFUNCTION("""COMPUTED_VALUE"""),4.0)</f>
        <v>4</v>
      </c>
      <c r="H975" s="138">
        <f>IFERROR(__xludf.DUMMYFUNCTION("""COMPUTED_VALUE"""),4.0)</f>
        <v>4</v>
      </c>
      <c r="I975" s="138">
        <f>IFERROR(__xludf.DUMMYFUNCTION("""COMPUTED_VALUE"""),5.0)</f>
        <v>5</v>
      </c>
      <c r="J975" s="138">
        <f>IFERROR(__xludf.DUMMYFUNCTION("""COMPUTED_VALUE"""),4.0)</f>
        <v>4</v>
      </c>
      <c r="K975" s="138">
        <f>IFERROR(__xludf.DUMMYFUNCTION("""COMPUTED_VALUE"""),4.0)</f>
        <v>4</v>
      </c>
      <c r="L975" s="138">
        <v>29.0</v>
      </c>
      <c r="M975" s="140" t="str">
        <f>VLOOKUP(text(D975, "#"),'Master Table'!$A:$F, 6, FALSE)</f>
        <v>G-4</v>
      </c>
      <c r="N975" s="141" t="str">
        <f>IFERROR(__xludf.DUMMYFUNCTION("""COMPUTED_VALUE"""),"The presenters were very engaging and did a great job of exposing their roles and what they did in the project. The poster was a bit busy and could have used more images and key points rather than full sentences, but they presenters made up for that with "&amp;"verbal highlights. I would have liked to have seen more detail on next steps and insights on the poster as those were sort of lost in small space at the bottom, but again presenters did a better job at verbally explaining that. ")</f>
        <v>The presenters were very engaging and did a great job of exposing their roles and what they did in the project. The poster was a bit busy and could have used more images and key points rather than full sentences, but they presenters made up for that with verbal highlights. I would have liked to have seen more detail on next steps and insights on the poster as those were sort of lost in small space at the bottom, but again presenters did a better job at verbally explaining that. </v>
      </c>
      <c r="O975" s="142" t="str">
        <f t="shared" si="1"/>
        <v/>
      </c>
      <c r="P975" s="143" t="str">
        <f>IF(ISNA(VLOOKUP(CONCAT(M975,C975), 'Judge Count DO NOT EDIT'!H:H, 1, FALSE)), "ERROR","")</f>
        <v/>
      </c>
      <c r="Q975" s="141"/>
      <c r="R975" s="143"/>
      <c r="S975" s="139" t="str">
        <f t="shared" si="2"/>
        <v>1009418</v>
      </c>
      <c r="T975" s="141"/>
    </row>
    <row r="976">
      <c r="A976" s="137">
        <f>IFERROR(__xludf.DUMMYFUNCTION("""COMPUTED_VALUE"""),45352.50587195602)</f>
        <v>45352.50587</v>
      </c>
      <c r="B976" s="138" t="str">
        <f>IFERROR(__xludf.DUMMYFUNCTION("""COMPUTED_VALUE"""),"Jeanne")</f>
        <v>Jeanne</v>
      </c>
      <c r="C976" s="138">
        <f>IFERROR(__xludf.DUMMYFUNCTION("""COMPUTED_VALUE"""),1029.0)</f>
        <v>1029</v>
      </c>
      <c r="D976" s="139">
        <f>IFERROR(__xludf.DUMMYFUNCTION("""COMPUTED_VALUE"""),418.0)</f>
        <v>418</v>
      </c>
      <c r="E976" s="138">
        <f>IFERROR(__xludf.DUMMYFUNCTION("""COMPUTED_VALUE"""),4.0)</f>
        <v>4</v>
      </c>
      <c r="F976" s="138">
        <f>IFERROR(__xludf.DUMMYFUNCTION("""COMPUTED_VALUE"""),3.0)</f>
        <v>3</v>
      </c>
      <c r="G976" s="138">
        <f>IFERROR(__xludf.DUMMYFUNCTION("""COMPUTED_VALUE"""),3.0)</f>
        <v>3</v>
      </c>
      <c r="H976" s="138">
        <f>IFERROR(__xludf.DUMMYFUNCTION("""COMPUTED_VALUE"""),4.0)</f>
        <v>4</v>
      </c>
      <c r="I976" s="138">
        <f>IFERROR(__xludf.DUMMYFUNCTION("""COMPUTED_VALUE"""),4.0)</f>
        <v>4</v>
      </c>
      <c r="J976" s="138">
        <f>IFERROR(__xludf.DUMMYFUNCTION("""COMPUTED_VALUE"""),4.0)</f>
        <v>4</v>
      </c>
      <c r="K976" s="138">
        <f>IFERROR(__xludf.DUMMYFUNCTION("""COMPUTED_VALUE"""),4.0)</f>
        <v>4</v>
      </c>
      <c r="L976" s="138">
        <v>26.0</v>
      </c>
      <c r="M976" s="140" t="str">
        <f>VLOOKUP(text(D976, "#"),'Master Table'!$A:$F, 6, FALSE)</f>
        <v>G-4</v>
      </c>
      <c r="N976" s="141" t="str">
        <f>IFERROR(__xludf.DUMMYFUNCTION("""COMPUTED_VALUE"""),"The presenters were very knowledgeable. They were very enthusiastic and answered questions thoroughly. The topic was interesting, and they were able to explain in layperson‘s terms, some of the technical aspects of their work. They demonstrated the applic"&amp;"ability of their work, although that part could’ve been a bit more evident. Excellent work! ")</f>
        <v>The presenters were very knowledgeable. They were very enthusiastic and answered questions thoroughly. The topic was interesting, and they were able to explain in layperson‘s terms, some of the technical aspects of their work. They demonstrated the applicability of their work, although that part could’ve been a bit more evident. Excellent work! </v>
      </c>
      <c r="O976" s="142" t="str">
        <f t="shared" si="1"/>
        <v/>
      </c>
      <c r="P976" s="143" t="str">
        <f>IF(ISNA(VLOOKUP(CONCAT(M976,C976), 'Judge Count DO NOT EDIT'!H:H, 1, FALSE)), "ERROR","")</f>
        <v/>
      </c>
      <c r="Q976" s="141"/>
      <c r="R976" s="143"/>
      <c r="S976" s="139" t="str">
        <f t="shared" si="2"/>
        <v>1029418</v>
      </c>
      <c r="T976" s="141"/>
    </row>
    <row r="977">
      <c r="A977" s="137">
        <f>IFERROR(__xludf.DUMMYFUNCTION("""COMPUTED_VALUE"""),45352.491840104165)</f>
        <v>45352.49184</v>
      </c>
      <c r="B977" s="138" t="str">
        <f>IFERROR(__xludf.DUMMYFUNCTION("""COMPUTED_VALUE"""),"Lance Elliott ")</f>
        <v>Lance Elliott </v>
      </c>
      <c r="C977" s="138">
        <f>IFERROR(__xludf.DUMMYFUNCTION("""COMPUTED_VALUE"""),1185.0)</f>
        <v>1185</v>
      </c>
      <c r="D977" s="139">
        <f>IFERROR(__xludf.DUMMYFUNCTION("""COMPUTED_VALUE"""),420.0)</f>
        <v>420</v>
      </c>
      <c r="E977" s="138">
        <f>IFERROR(__xludf.DUMMYFUNCTION("""COMPUTED_VALUE"""),4.0)</f>
        <v>4</v>
      </c>
      <c r="F977" s="138">
        <f>IFERROR(__xludf.DUMMYFUNCTION("""COMPUTED_VALUE"""),4.0)</f>
        <v>4</v>
      </c>
      <c r="G977" s="138">
        <f>IFERROR(__xludf.DUMMYFUNCTION("""COMPUTED_VALUE"""),4.0)</f>
        <v>4</v>
      </c>
      <c r="H977" s="138">
        <f>IFERROR(__xludf.DUMMYFUNCTION("""COMPUTED_VALUE"""),3.0)</f>
        <v>3</v>
      </c>
      <c r="I977" s="138">
        <f>IFERROR(__xludf.DUMMYFUNCTION("""COMPUTED_VALUE"""),4.0)</f>
        <v>4</v>
      </c>
      <c r="J977" s="138">
        <f>IFERROR(__xludf.DUMMYFUNCTION("""COMPUTED_VALUE"""),4.0)</f>
        <v>4</v>
      </c>
      <c r="K977" s="138">
        <f>IFERROR(__xludf.DUMMYFUNCTION("""COMPUTED_VALUE"""),4.0)</f>
        <v>4</v>
      </c>
      <c r="L977" s="138">
        <v>27.0</v>
      </c>
      <c r="M977" s="140" t="str">
        <f>VLOOKUP(text(D977, "#"),'Master Table'!$A:$F, 6, FALSE)</f>
        <v>G-5</v>
      </c>
      <c r="N977" s="141"/>
      <c r="O977" s="142" t="str">
        <f t="shared" si="1"/>
        <v/>
      </c>
      <c r="P977" s="143" t="str">
        <f>IF(ISNA(VLOOKUP(CONCAT(M977,C977), 'Judge Count DO NOT EDIT'!H:H, 1, FALSE)), "ERROR","")</f>
        <v/>
      </c>
      <c r="Q977" s="141"/>
      <c r="R977" s="143"/>
      <c r="S977" s="139" t="str">
        <f t="shared" si="2"/>
        <v>1185420</v>
      </c>
      <c r="T977" s="141"/>
    </row>
    <row r="978">
      <c r="A978" s="137">
        <f>IFERROR(__xludf.DUMMYFUNCTION("""COMPUTED_VALUE"""),45352.51332508102)</f>
        <v>45352.51333</v>
      </c>
      <c r="B978" s="138" t="str">
        <f>IFERROR(__xludf.DUMMYFUNCTION("""COMPUTED_VALUE"""),"Jeff Gustafson ")</f>
        <v>Jeff Gustafson </v>
      </c>
      <c r="C978" s="138">
        <f>IFERROR(__xludf.DUMMYFUNCTION("""COMPUTED_VALUE"""),1205.0)</f>
        <v>1205</v>
      </c>
      <c r="D978" s="139">
        <f>IFERROR(__xludf.DUMMYFUNCTION("""COMPUTED_VALUE"""),420.0)</f>
        <v>420</v>
      </c>
      <c r="E978" s="138">
        <f>IFERROR(__xludf.DUMMYFUNCTION("""COMPUTED_VALUE"""),4.0)</f>
        <v>4</v>
      </c>
      <c r="F978" s="138">
        <f>IFERROR(__xludf.DUMMYFUNCTION("""COMPUTED_VALUE"""),4.0)</f>
        <v>4</v>
      </c>
      <c r="G978" s="138">
        <f>IFERROR(__xludf.DUMMYFUNCTION("""COMPUTED_VALUE"""),4.0)</f>
        <v>4</v>
      </c>
      <c r="H978" s="138">
        <f>IFERROR(__xludf.DUMMYFUNCTION("""COMPUTED_VALUE"""),3.0)</f>
        <v>3</v>
      </c>
      <c r="I978" s="138">
        <f>IFERROR(__xludf.DUMMYFUNCTION("""COMPUTED_VALUE"""),4.0)</f>
        <v>4</v>
      </c>
      <c r="J978" s="138">
        <f>IFERROR(__xludf.DUMMYFUNCTION("""COMPUTED_VALUE"""),4.0)</f>
        <v>4</v>
      </c>
      <c r="K978" s="138">
        <f>IFERROR(__xludf.DUMMYFUNCTION("""COMPUTED_VALUE"""),3.0)</f>
        <v>3</v>
      </c>
      <c r="L978" s="138">
        <v>26.0</v>
      </c>
      <c r="M978" s="140" t="str">
        <f>VLOOKUP(text(D978, "#"),'Master Table'!$A:$F, 6, FALSE)</f>
        <v>G-5</v>
      </c>
      <c r="N978" s="141"/>
      <c r="O978" s="142" t="str">
        <f t="shared" si="1"/>
        <v/>
      </c>
      <c r="P978" s="143" t="str">
        <f>IF(ISNA(VLOOKUP(CONCAT(M978,C978), 'Judge Count DO NOT EDIT'!H:H, 1, FALSE)), "ERROR","")</f>
        <v/>
      </c>
      <c r="Q978" s="141"/>
      <c r="R978" s="143"/>
      <c r="S978" s="139" t="str">
        <f t="shared" si="2"/>
        <v>1205420</v>
      </c>
      <c r="T978" s="141"/>
    </row>
    <row r="979">
      <c r="A979" s="137">
        <f>IFERROR(__xludf.DUMMYFUNCTION("""COMPUTED_VALUE"""),45352.533183368054)</f>
        <v>45352.53318</v>
      </c>
      <c r="B979" s="138" t="str">
        <f>IFERROR(__xludf.DUMMYFUNCTION("""COMPUTED_VALUE"""),"Melad Shaikh")</f>
        <v>Melad Shaikh</v>
      </c>
      <c r="C979" s="138">
        <f>IFERROR(__xludf.DUMMYFUNCTION("""COMPUTED_VALUE"""),1165.0)</f>
        <v>1165</v>
      </c>
      <c r="D979" s="139">
        <f>IFERROR(__xludf.DUMMYFUNCTION("""COMPUTED_VALUE"""),420.0)</f>
        <v>420</v>
      </c>
      <c r="E979" s="138">
        <f>IFERROR(__xludf.DUMMYFUNCTION("""COMPUTED_VALUE"""),3.0)</f>
        <v>3</v>
      </c>
      <c r="F979" s="138">
        <f>IFERROR(__xludf.DUMMYFUNCTION("""COMPUTED_VALUE"""),3.0)</f>
        <v>3</v>
      </c>
      <c r="G979" s="138">
        <f>IFERROR(__xludf.DUMMYFUNCTION("""COMPUTED_VALUE"""),3.0)</f>
        <v>3</v>
      </c>
      <c r="H979" s="138">
        <f>IFERROR(__xludf.DUMMYFUNCTION("""COMPUTED_VALUE"""),2.0)</f>
        <v>2</v>
      </c>
      <c r="I979" s="138">
        <f>IFERROR(__xludf.DUMMYFUNCTION("""COMPUTED_VALUE"""),2.0)</f>
        <v>2</v>
      </c>
      <c r="J979" s="138">
        <f>IFERROR(__xludf.DUMMYFUNCTION("""COMPUTED_VALUE"""),2.0)</f>
        <v>2</v>
      </c>
      <c r="K979" s="138">
        <f>IFERROR(__xludf.DUMMYFUNCTION("""COMPUTED_VALUE"""),3.0)</f>
        <v>3</v>
      </c>
      <c r="L979" s="138">
        <v>18.0</v>
      </c>
      <c r="M979" s="140" t="str">
        <f>VLOOKUP(text(D979, "#"),'Master Table'!$A:$F, 6, FALSE)</f>
        <v>G-5</v>
      </c>
      <c r="N979" s="141"/>
      <c r="O979" s="142" t="str">
        <f t="shared" si="1"/>
        <v/>
      </c>
      <c r="P979" s="143" t="str">
        <f>IF(ISNA(VLOOKUP(CONCAT(M979,C979), 'Judge Count DO NOT EDIT'!H:H, 1, FALSE)), "ERROR","")</f>
        <v/>
      </c>
      <c r="Q979" s="141"/>
      <c r="R979" s="143"/>
      <c r="S979" s="139" t="str">
        <f t="shared" si="2"/>
        <v>1165420</v>
      </c>
      <c r="T979" s="141"/>
    </row>
    <row r="980">
      <c r="A980" s="137">
        <f>IFERROR(__xludf.DUMMYFUNCTION("""COMPUTED_VALUE"""),45352.542599039356)</f>
        <v>45352.5426</v>
      </c>
      <c r="B980" s="138" t="str">
        <f>IFERROR(__xludf.DUMMYFUNCTION("""COMPUTED_VALUE"""),"Tom Huxford")</f>
        <v>Tom Huxford</v>
      </c>
      <c r="C980" s="138">
        <f>IFERROR(__xludf.DUMMYFUNCTION("""COMPUTED_VALUE"""),1056.0)</f>
        <v>1056</v>
      </c>
      <c r="D980" s="139">
        <f>IFERROR(__xludf.DUMMYFUNCTION("""COMPUTED_VALUE"""),420.0)</f>
        <v>420</v>
      </c>
      <c r="E980" s="138">
        <f>IFERROR(__xludf.DUMMYFUNCTION("""COMPUTED_VALUE"""),4.0)</f>
        <v>4</v>
      </c>
      <c r="F980" s="138">
        <f>IFERROR(__xludf.DUMMYFUNCTION("""COMPUTED_VALUE"""),4.0)</f>
        <v>4</v>
      </c>
      <c r="G980" s="138">
        <f>IFERROR(__xludf.DUMMYFUNCTION("""COMPUTED_VALUE"""),4.0)</f>
        <v>4</v>
      </c>
      <c r="H980" s="138">
        <f>IFERROR(__xludf.DUMMYFUNCTION("""COMPUTED_VALUE"""),4.0)</f>
        <v>4</v>
      </c>
      <c r="I980" s="138">
        <f>IFERROR(__xludf.DUMMYFUNCTION("""COMPUTED_VALUE"""),4.0)</f>
        <v>4</v>
      </c>
      <c r="J980" s="138">
        <f>IFERROR(__xludf.DUMMYFUNCTION("""COMPUTED_VALUE"""),4.0)</f>
        <v>4</v>
      </c>
      <c r="K980" s="138">
        <f>IFERROR(__xludf.DUMMYFUNCTION("""COMPUTED_VALUE"""),4.0)</f>
        <v>4</v>
      </c>
      <c r="L980" s="138">
        <v>28.0</v>
      </c>
      <c r="M980" s="140" t="str">
        <f>VLOOKUP(text(D980, "#"),'Master Table'!$A:$F, 6, FALSE)</f>
        <v>G-5</v>
      </c>
      <c r="N980" s="141" t="str">
        <f>IFERROR(__xludf.DUMMYFUNCTION("""COMPUTED_VALUE"""),"Good work.")</f>
        <v>Good work.</v>
      </c>
      <c r="O980" s="142" t="str">
        <f t="shared" si="1"/>
        <v/>
      </c>
      <c r="P980" s="143" t="str">
        <f>IF(ISNA(VLOOKUP(CONCAT(M980,C980), 'Judge Count DO NOT EDIT'!H:H, 1, FALSE)), "ERROR","")</f>
        <v/>
      </c>
      <c r="Q980" s="144"/>
      <c r="R980" s="143"/>
      <c r="S980" s="139" t="str">
        <f t="shared" si="2"/>
        <v>1056420</v>
      </c>
      <c r="T980" s="141"/>
    </row>
    <row r="981">
      <c r="A981" s="137">
        <f>IFERROR(__xludf.DUMMYFUNCTION("""COMPUTED_VALUE"""),45352.50637751157)</f>
        <v>45352.50638</v>
      </c>
      <c r="B981" s="138" t="str">
        <f>IFERROR(__xludf.DUMMYFUNCTION("""COMPUTED_VALUE"""),"Lance Elliott ")</f>
        <v>Lance Elliott </v>
      </c>
      <c r="C981" s="138">
        <f>IFERROR(__xludf.DUMMYFUNCTION("""COMPUTED_VALUE"""),1185.0)</f>
        <v>1185</v>
      </c>
      <c r="D981" s="139">
        <f>IFERROR(__xludf.DUMMYFUNCTION("""COMPUTED_VALUE"""),421.0)</f>
        <v>421</v>
      </c>
      <c r="E981" s="138">
        <f>IFERROR(__xludf.DUMMYFUNCTION("""COMPUTED_VALUE"""),4.0)</f>
        <v>4</v>
      </c>
      <c r="F981" s="138">
        <f>IFERROR(__xludf.DUMMYFUNCTION("""COMPUTED_VALUE"""),4.0)</f>
        <v>4</v>
      </c>
      <c r="G981" s="138">
        <f>IFERROR(__xludf.DUMMYFUNCTION("""COMPUTED_VALUE"""),3.0)</f>
        <v>3</v>
      </c>
      <c r="H981" s="138">
        <f>IFERROR(__xludf.DUMMYFUNCTION("""COMPUTED_VALUE"""),4.0)</f>
        <v>4</v>
      </c>
      <c r="I981" s="138">
        <f>IFERROR(__xludf.DUMMYFUNCTION("""COMPUTED_VALUE"""),4.0)</f>
        <v>4</v>
      </c>
      <c r="J981" s="138">
        <f>IFERROR(__xludf.DUMMYFUNCTION("""COMPUTED_VALUE"""),4.0)</f>
        <v>4</v>
      </c>
      <c r="K981" s="138">
        <f>IFERROR(__xludf.DUMMYFUNCTION("""COMPUTED_VALUE"""),5.0)</f>
        <v>5</v>
      </c>
      <c r="L981" s="138">
        <v>28.0</v>
      </c>
      <c r="M981" s="140" t="str">
        <f>VLOOKUP(text(D981, "#"),'Master Table'!$A:$F, 6, FALSE)</f>
        <v>G-5</v>
      </c>
      <c r="N981" s="141" t="str">
        <f>IFERROR(__xludf.DUMMYFUNCTION("""COMPUTED_VALUE"""),"Great tag team presentation.")</f>
        <v>Great tag team presentation.</v>
      </c>
      <c r="O981" s="142" t="str">
        <f t="shared" si="1"/>
        <v/>
      </c>
      <c r="P981" s="143" t="str">
        <f>IF(ISNA(VLOOKUP(CONCAT(M981,C981), 'Judge Count DO NOT EDIT'!H:H, 1, FALSE)), "ERROR","")</f>
        <v/>
      </c>
      <c r="R981" s="143"/>
      <c r="S981" s="139" t="str">
        <f t="shared" si="2"/>
        <v>1185421</v>
      </c>
      <c r="T981" s="141"/>
    </row>
    <row r="982">
      <c r="A982" s="137">
        <f>IFERROR(__xludf.DUMMYFUNCTION("""COMPUTED_VALUE"""),45352.51386262731)</f>
        <v>45352.51386</v>
      </c>
      <c r="B982" s="138" t="str">
        <f>IFERROR(__xludf.DUMMYFUNCTION("""COMPUTED_VALUE"""),"Jeff Gustafson ")</f>
        <v>Jeff Gustafson </v>
      </c>
      <c r="C982" s="138">
        <f>IFERROR(__xludf.DUMMYFUNCTION("""COMPUTED_VALUE"""),1205.0)</f>
        <v>1205</v>
      </c>
      <c r="D982" s="139">
        <f>IFERROR(__xludf.DUMMYFUNCTION("""COMPUTED_VALUE"""),421.0)</f>
        <v>421</v>
      </c>
      <c r="E982" s="138">
        <f>IFERROR(__xludf.DUMMYFUNCTION("""COMPUTED_VALUE"""),4.0)</f>
        <v>4</v>
      </c>
      <c r="F982" s="138">
        <f>IFERROR(__xludf.DUMMYFUNCTION("""COMPUTED_VALUE"""),4.0)</f>
        <v>4</v>
      </c>
      <c r="G982" s="138">
        <f>IFERROR(__xludf.DUMMYFUNCTION("""COMPUTED_VALUE"""),4.0)</f>
        <v>4</v>
      </c>
      <c r="H982" s="138">
        <f>IFERROR(__xludf.DUMMYFUNCTION("""COMPUTED_VALUE"""),5.0)</f>
        <v>5</v>
      </c>
      <c r="I982" s="138">
        <f>IFERROR(__xludf.DUMMYFUNCTION("""COMPUTED_VALUE"""),5.0)</f>
        <v>5</v>
      </c>
      <c r="J982" s="138">
        <f>IFERROR(__xludf.DUMMYFUNCTION("""COMPUTED_VALUE"""),5.0)</f>
        <v>5</v>
      </c>
      <c r="K982" s="138">
        <f>IFERROR(__xludf.DUMMYFUNCTION("""COMPUTED_VALUE"""),5.0)</f>
        <v>5</v>
      </c>
      <c r="L982" s="138">
        <v>32.0</v>
      </c>
      <c r="M982" s="140" t="str">
        <f>VLOOKUP(text(D982, "#"),'Master Table'!$A:$F, 6, FALSE)</f>
        <v>G-5</v>
      </c>
      <c r="N982" s="141"/>
      <c r="O982" s="142" t="str">
        <f t="shared" si="1"/>
        <v/>
      </c>
      <c r="P982" s="143" t="str">
        <f>IF(ISNA(VLOOKUP(CONCAT(M982,C982), 'Judge Count DO NOT EDIT'!H:H, 1, FALSE)), "ERROR","")</f>
        <v/>
      </c>
      <c r="Q982" s="144"/>
      <c r="R982" s="143"/>
      <c r="S982" s="139" t="str">
        <f t="shared" si="2"/>
        <v>1205421</v>
      </c>
      <c r="T982" s="141"/>
    </row>
    <row r="983">
      <c r="A983" s="137">
        <f>IFERROR(__xludf.DUMMYFUNCTION("""COMPUTED_VALUE"""),45352.532548993055)</f>
        <v>45352.53255</v>
      </c>
      <c r="B983" s="138" t="str">
        <f>IFERROR(__xludf.DUMMYFUNCTION("""COMPUTED_VALUE"""),"Melad Shaikh")</f>
        <v>Melad Shaikh</v>
      </c>
      <c r="C983" s="138">
        <f>IFERROR(__xludf.DUMMYFUNCTION("""COMPUTED_VALUE"""),1165.0)</f>
        <v>1165</v>
      </c>
      <c r="D983" s="139">
        <f>IFERROR(__xludf.DUMMYFUNCTION("""COMPUTED_VALUE"""),421.0)</f>
        <v>421</v>
      </c>
      <c r="E983" s="138">
        <f>IFERROR(__xludf.DUMMYFUNCTION("""COMPUTED_VALUE"""),3.0)</f>
        <v>3</v>
      </c>
      <c r="F983" s="138">
        <f>IFERROR(__xludf.DUMMYFUNCTION("""COMPUTED_VALUE"""),3.0)</f>
        <v>3</v>
      </c>
      <c r="G983" s="138">
        <f>IFERROR(__xludf.DUMMYFUNCTION("""COMPUTED_VALUE"""),3.0)</f>
        <v>3</v>
      </c>
      <c r="H983" s="138">
        <f>IFERROR(__xludf.DUMMYFUNCTION("""COMPUTED_VALUE"""),2.0)</f>
        <v>2</v>
      </c>
      <c r="I983" s="138">
        <f>IFERROR(__xludf.DUMMYFUNCTION("""COMPUTED_VALUE"""),2.0)</f>
        <v>2</v>
      </c>
      <c r="J983" s="138">
        <f>IFERROR(__xludf.DUMMYFUNCTION("""COMPUTED_VALUE"""),2.0)</f>
        <v>2</v>
      </c>
      <c r="K983" s="138">
        <f>IFERROR(__xludf.DUMMYFUNCTION("""COMPUTED_VALUE"""),3.0)</f>
        <v>3</v>
      </c>
      <c r="L983" s="138">
        <v>18.0</v>
      </c>
      <c r="M983" s="140" t="str">
        <f>VLOOKUP(text(D983, "#"),'Master Table'!$A:$F, 6, FALSE)</f>
        <v>G-5</v>
      </c>
      <c r="N983" s="141"/>
      <c r="O983" s="142" t="str">
        <f t="shared" si="1"/>
        <v/>
      </c>
      <c r="P983" s="143" t="str">
        <f>IF(ISNA(VLOOKUP(CONCAT(M983,C983), 'Judge Count DO NOT EDIT'!H:H, 1, FALSE)), "ERROR","")</f>
        <v/>
      </c>
      <c r="Q983" s="141"/>
      <c r="R983" s="143"/>
      <c r="S983" s="139" t="str">
        <f t="shared" si="2"/>
        <v>1165421</v>
      </c>
      <c r="T983" s="141"/>
    </row>
    <row r="984">
      <c r="A984" s="137">
        <f>IFERROR(__xludf.DUMMYFUNCTION("""COMPUTED_VALUE"""),45352.55696451389)</f>
        <v>45352.55696</v>
      </c>
      <c r="B984" s="138" t="str">
        <f>IFERROR(__xludf.DUMMYFUNCTION("""COMPUTED_VALUE"""),"Tom Huxford")</f>
        <v>Tom Huxford</v>
      </c>
      <c r="C984" s="138">
        <f>IFERROR(__xludf.DUMMYFUNCTION("""COMPUTED_VALUE"""),1056.0)</f>
        <v>1056</v>
      </c>
      <c r="D984" s="139">
        <f>IFERROR(__xludf.DUMMYFUNCTION("""COMPUTED_VALUE"""),421.0)</f>
        <v>421</v>
      </c>
      <c r="E984" s="138">
        <f>IFERROR(__xludf.DUMMYFUNCTION("""COMPUTED_VALUE"""),4.0)</f>
        <v>4</v>
      </c>
      <c r="F984" s="138">
        <f>IFERROR(__xludf.DUMMYFUNCTION("""COMPUTED_VALUE"""),4.0)</f>
        <v>4</v>
      </c>
      <c r="G984" s="138">
        <f>IFERROR(__xludf.DUMMYFUNCTION("""COMPUTED_VALUE"""),4.0)</f>
        <v>4</v>
      </c>
      <c r="H984" s="138">
        <f>IFERROR(__xludf.DUMMYFUNCTION("""COMPUTED_VALUE"""),4.0)</f>
        <v>4</v>
      </c>
      <c r="I984" s="138">
        <f>IFERROR(__xludf.DUMMYFUNCTION("""COMPUTED_VALUE"""),4.0)</f>
        <v>4</v>
      </c>
      <c r="J984" s="138">
        <f>IFERROR(__xludf.DUMMYFUNCTION("""COMPUTED_VALUE"""),4.0)</f>
        <v>4</v>
      </c>
      <c r="K984" s="138">
        <f>IFERROR(__xludf.DUMMYFUNCTION("""COMPUTED_VALUE"""),4.0)</f>
        <v>4</v>
      </c>
      <c r="L984" s="138">
        <v>28.0</v>
      </c>
      <c r="M984" s="140" t="str">
        <f>VLOOKUP(text(D984, "#"),'Master Table'!$A:$F, 6, FALSE)</f>
        <v>G-5</v>
      </c>
      <c r="N984" s="141" t="str">
        <f>IFERROR(__xludf.DUMMYFUNCTION("""COMPUTED_VALUE"""),"Good work.")</f>
        <v>Good work.</v>
      </c>
      <c r="O984" s="142" t="str">
        <f t="shared" si="1"/>
        <v/>
      </c>
      <c r="P984" s="143" t="str">
        <f>IF(ISNA(VLOOKUP(CONCAT(M984,C984), 'Judge Count DO NOT EDIT'!H:H, 1, FALSE)), "ERROR","")</f>
        <v/>
      </c>
      <c r="Q984" s="141"/>
      <c r="R984" s="143"/>
      <c r="S984" s="139" t="str">
        <f t="shared" si="2"/>
        <v>1056421</v>
      </c>
      <c r="T984" s="141"/>
    </row>
    <row r="985">
      <c r="A985" s="137">
        <f>IFERROR(__xludf.DUMMYFUNCTION("""COMPUTED_VALUE"""),45352.53066603009)</f>
        <v>45352.53067</v>
      </c>
      <c r="B985" s="138" t="str">
        <f>IFERROR(__xludf.DUMMYFUNCTION("""COMPUTED_VALUE"""),"Melad Shaikh")</f>
        <v>Melad Shaikh</v>
      </c>
      <c r="C985" s="138">
        <f>IFERROR(__xludf.DUMMYFUNCTION("""COMPUTED_VALUE"""),1165.0)</f>
        <v>1165</v>
      </c>
      <c r="D985" s="139">
        <f>IFERROR(__xludf.DUMMYFUNCTION("""COMPUTED_VALUE"""),422.0)</f>
        <v>422</v>
      </c>
      <c r="E985" s="138">
        <f>IFERROR(__xludf.DUMMYFUNCTION("""COMPUTED_VALUE"""),3.0)</f>
        <v>3</v>
      </c>
      <c r="F985" s="138">
        <f>IFERROR(__xludf.DUMMYFUNCTION("""COMPUTED_VALUE"""),3.0)</f>
        <v>3</v>
      </c>
      <c r="G985" s="138">
        <f>IFERROR(__xludf.DUMMYFUNCTION("""COMPUTED_VALUE"""),3.0)</f>
        <v>3</v>
      </c>
      <c r="H985" s="138">
        <f>IFERROR(__xludf.DUMMYFUNCTION("""COMPUTED_VALUE"""),2.0)</f>
        <v>2</v>
      </c>
      <c r="I985" s="138">
        <f>IFERROR(__xludf.DUMMYFUNCTION("""COMPUTED_VALUE"""),3.0)</f>
        <v>3</v>
      </c>
      <c r="J985" s="138">
        <f>IFERROR(__xludf.DUMMYFUNCTION("""COMPUTED_VALUE"""),3.0)</f>
        <v>3</v>
      </c>
      <c r="K985" s="138">
        <f>IFERROR(__xludf.DUMMYFUNCTION("""COMPUTED_VALUE"""),2.0)</f>
        <v>2</v>
      </c>
      <c r="L985" s="138">
        <v>19.0</v>
      </c>
      <c r="M985" s="140" t="str">
        <f>VLOOKUP(text(D985, "#"),'Master Table'!$A:$F, 6, FALSE)</f>
        <v>G-5</v>
      </c>
      <c r="N985" s="141"/>
      <c r="O985" s="142" t="str">
        <f t="shared" si="1"/>
        <v/>
      </c>
      <c r="P985" s="143" t="str">
        <f>IF(ISNA(VLOOKUP(CONCAT(M985,C985), 'Judge Count DO NOT EDIT'!H:H, 1, FALSE)), "ERROR","")</f>
        <v/>
      </c>
      <c r="Q985" s="141"/>
      <c r="R985" s="143"/>
      <c r="S985" s="139" t="str">
        <f t="shared" si="2"/>
        <v>1165422</v>
      </c>
      <c r="T985" s="141"/>
    </row>
    <row r="986">
      <c r="A986" s="137">
        <f>IFERROR(__xludf.DUMMYFUNCTION("""COMPUTED_VALUE"""),45352.54386130787)</f>
        <v>45352.54386</v>
      </c>
      <c r="B986" s="138" t="str">
        <f>IFERROR(__xludf.DUMMYFUNCTION("""COMPUTED_VALUE"""),"Tom Huxford")</f>
        <v>Tom Huxford</v>
      </c>
      <c r="C986" s="138">
        <f>IFERROR(__xludf.DUMMYFUNCTION("""COMPUTED_VALUE"""),1056.0)</f>
        <v>1056</v>
      </c>
      <c r="D986" s="139">
        <f>IFERROR(__xludf.DUMMYFUNCTION("""COMPUTED_VALUE"""),422.0)</f>
        <v>422</v>
      </c>
      <c r="E986" s="138">
        <f>IFERROR(__xludf.DUMMYFUNCTION("""COMPUTED_VALUE"""),4.0)</f>
        <v>4</v>
      </c>
      <c r="F986" s="138">
        <f>IFERROR(__xludf.DUMMYFUNCTION("""COMPUTED_VALUE"""),3.0)</f>
        <v>3</v>
      </c>
      <c r="G986" s="138">
        <f>IFERROR(__xludf.DUMMYFUNCTION("""COMPUTED_VALUE"""),3.0)</f>
        <v>3</v>
      </c>
      <c r="H986" s="138">
        <f>IFERROR(__xludf.DUMMYFUNCTION("""COMPUTED_VALUE"""),3.0)</f>
        <v>3</v>
      </c>
      <c r="I986" s="138">
        <f>IFERROR(__xludf.DUMMYFUNCTION("""COMPUTED_VALUE"""),4.0)</f>
        <v>4</v>
      </c>
      <c r="J986" s="138">
        <f>IFERROR(__xludf.DUMMYFUNCTION("""COMPUTED_VALUE"""),4.0)</f>
        <v>4</v>
      </c>
      <c r="K986" s="138">
        <f>IFERROR(__xludf.DUMMYFUNCTION("""COMPUTED_VALUE"""),5.0)</f>
        <v>5</v>
      </c>
      <c r="L986" s="138">
        <v>26.0</v>
      </c>
      <c r="M986" s="140" t="str">
        <f>VLOOKUP(text(D986, "#"),'Master Table'!$A:$F, 6, FALSE)</f>
        <v>G-5</v>
      </c>
      <c r="N986" s="141" t="str">
        <f>IFERROR(__xludf.DUMMYFUNCTION("""COMPUTED_VALUE"""),"Very nice job discussing your experimental design and interpretation of results.  Also, very good thinking about changes to the experiment that might improve the ability to detect a signal.  Keep up the great work!")</f>
        <v>Very nice job discussing your experimental design and interpretation of results.  Also, very good thinking about changes to the experiment that might improve the ability to detect a signal.  Keep up the great work!</v>
      </c>
      <c r="O986" s="142" t="str">
        <f t="shared" si="1"/>
        <v/>
      </c>
      <c r="P986" s="143" t="str">
        <f>IF(ISNA(VLOOKUP(CONCAT(M986,C986), 'Judge Count DO NOT EDIT'!H:H, 1, FALSE)), "ERROR","")</f>
        <v/>
      </c>
      <c r="Q986" s="141"/>
      <c r="R986" s="143"/>
      <c r="S986" s="139" t="str">
        <f t="shared" si="2"/>
        <v>1056422</v>
      </c>
      <c r="T986" s="141"/>
    </row>
    <row r="987">
      <c r="A987" s="137">
        <f>IFERROR(__xludf.DUMMYFUNCTION("""COMPUTED_VALUE"""),45352.514435879624)</f>
        <v>45352.51444</v>
      </c>
      <c r="B987" s="138" t="str">
        <f>IFERROR(__xludf.DUMMYFUNCTION("""COMPUTED_VALUE"""),"Jeff Gustafson ")</f>
        <v>Jeff Gustafson </v>
      </c>
      <c r="C987" s="138">
        <f>IFERROR(__xludf.DUMMYFUNCTION("""COMPUTED_VALUE"""),1205.0)</f>
        <v>1205</v>
      </c>
      <c r="D987" s="139">
        <f>IFERROR(__xludf.DUMMYFUNCTION("""COMPUTED_VALUE"""),423.0)</f>
        <v>423</v>
      </c>
      <c r="E987" s="138">
        <f>IFERROR(__xludf.DUMMYFUNCTION("""COMPUTED_VALUE"""),5.0)</f>
        <v>5</v>
      </c>
      <c r="F987" s="138">
        <f>IFERROR(__xludf.DUMMYFUNCTION("""COMPUTED_VALUE"""),5.0)</f>
        <v>5</v>
      </c>
      <c r="G987" s="138">
        <f>IFERROR(__xludf.DUMMYFUNCTION("""COMPUTED_VALUE"""),5.0)</f>
        <v>5</v>
      </c>
      <c r="H987" s="138">
        <f>IFERROR(__xludf.DUMMYFUNCTION("""COMPUTED_VALUE"""),5.0)</f>
        <v>5</v>
      </c>
      <c r="I987" s="138">
        <f>IFERROR(__xludf.DUMMYFUNCTION("""COMPUTED_VALUE"""),5.0)</f>
        <v>5</v>
      </c>
      <c r="J987" s="138">
        <f>IFERROR(__xludf.DUMMYFUNCTION("""COMPUTED_VALUE"""),5.0)</f>
        <v>5</v>
      </c>
      <c r="K987" s="138">
        <f>IFERROR(__xludf.DUMMYFUNCTION("""COMPUTED_VALUE"""),5.0)</f>
        <v>5</v>
      </c>
      <c r="L987" s="138">
        <v>35.0</v>
      </c>
      <c r="M987" s="140" t="str">
        <f>VLOOKUP(text(D987, "#"),'Master Table'!$A:$F, 6, FALSE)</f>
        <v>G-5</v>
      </c>
      <c r="N987" s="141"/>
      <c r="O987" s="142" t="str">
        <f t="shared" si="1"/>
        <v/>
      </c>
      <c r="P987" s="143" t="str">
        <f>IF(ISNA(VLOOKUP(CONCAT(M987,C987), 'Judge Count DO NOT EDIT'!H:H, 1, FALSE)), "ERROR","")</f>
        <v/>
      </c>
      <c r="Q987" s="141"/>
      <c r="R987" s="143"/>
      <c r="S987" s="139" t="str">
        <f t="shared" si="2"/>
        <v>1205423</v>
      </c>
      <c r="T987" s="141"/>
    </row>
    <row r="988">
      <c r="A988" s="137">
        <f>IFERROR(__xludf.DUMMYFUNCTION("""COMPUTED_VALUE"""),45352.47845097222)</f>
        <v>45352.47845</v>
      </c>
      <c r="B988" s="138" t="str">
        <f>IFERROR(__xludf.DUMMYFUNCTION("""COMPUTED_VALUE"""),"Lance Elliott ")</f>
        <v>Lance Elliott </v>
      </c>
      <c r="C988" s="138">
        <f>IFERROR(__xludf.DUMMYFUNCTION("""COMPUTED_VALUE"""),1185.0)</f>
        <v>1185</v>
      </c>
      <c r="D988" s="139">
        <f>IFERROR(__xludf.DUMMYFUNCTION("""COMPUTED_VALUE"""),424.0)</f>
        <v>424</v>
      </c>
      <c r="E988" s="138">
        <f>IFERROR(__xludf.DUMMYFUNCTION("""COMPUTED_VALUE"""),4.0)</f>
        <v>4</v>
      </c>
      <c r="F988" s="138">
        <f>IFERROR(__xludf.DUMMYFUNCTION("""COMPUTED_VALUE"""),4.0)</f>
        <v>4</v>
      </c>
      <c r="G988" s="138">
        <f>IFERROR(__xludf.DUMMYFUNCTION("""COMPUTED_VALUE"""),3.0)</f>
        <v>3</v>
      </c>
      <c r="H988" s="138">
        <f>IFERROR(__xludf.DUMMYFUNCTION("""COMPUTED_VALUE"""),4.0)</f>
        <v>4</v>
      </c>
      <c r="I988" s="138">
        <f>IFERROR(__xludf.DUMMYFUNCTION("""COMPUTED_VALUE"""),3.0)</f>
        <v>3</v>
      </c>
      <c r="J988" s="138">
        <f>IFERROR(__xludf.DUMMYFUNCTION("""COMPUTED_VALUE"""),4.0)</f>
        <v>4</v>
      </c>
      <c r="K988" s="138">
        <f>IFERROR(__xludf.DUMMYFUNCTION("""COMPUTED_VALUE"""),4.0)</f>
        <v>4</v>
      </c>
      <c r="L988" s="138">
        <v>26.0</v>
      </c>
      <c r="M988" s="140" t="str">
        <f>VLOOKUP(text(D988, "#"),'Master Table'!$A:$F, 6, FALSE)</f>
        <v>G-5</v>
      </c>
      <c r="N988" s="141" t="str">
        <f>IFERROR(__xludf.DUMMYFUNCTION("""COMPUTED_VALUE"""),"Great Job")</f>
        <v>Great Job</v>
      </c>
      <c r="O988" s="142" t="str">
        <f t="shared" si="1"/>
        <v/>
      </c>
      <c r="P988" s="143" t="str">
        <f>IF(ISNA(VLOOKUP(CONCAT(M988,C988), 'Judge Count DO NOT EDIT'!H:H, 1, FALSE)), "ERROR","")</f>
        <v/>
      </c>
      <c r="Q988" s="141"/>
      <c r="R988" s="143"/>
      <c r="S988" s="139" t="str">
        <f t="shared" si="2"/>
        <v>1185424</v>
      </c>
      <c r="T988" s="141"/>
    </row>
    <row r="989">
      <c r="A989" s="137">
        <f>IFERROR(__xludf.DUMMYFUNCTION("""COMPUTED_VALUE"""),45352.514863379634)</f>
        <v>45352.51486</v>
      </c>
      <c r="B989" s="138" t="str">
        <f>IFERROR(__xludf.DUMMYFUNCTION("""COMPUTED_VALUE"""),"Jeff Gustafson ")</f>
        <v>Jeff Gustafson </v>
      </c>
      <c r="C989" s="138">
        <f>IFERROR(__xludf.DUMMYFUNCTION("""COMPUTED_VALUE"""),1205.0)</f>
        <v>1205</v>
      </c>
      <c r="D989" s="139">
        <f>IFERROR(__xludf.DUMMYFUNCTION("""COMPUTED_VALUE"""),424.0)</f>
        <v>424</v>
      </c>
      <c r="E989" s="138">
        <f>IFERROR(__xludf.DUMMYFUNCTION("""COMPUTED_VALUE"""),4.0)</f>
        <v>4</v>
      </c>
      <c r="F989" s="138">
        <f>IFERROR(__xludf.DUMMYFUNCTION("""COMPUTED_VALUE"""),5.0)</f>
        <v>5</v>
      </c>
      <c r="G989" s="138">
        <f>IFERROR(__xludf.DUMMYFUNCTION("""COMPUTED_VALUE"""),4.0)</f>
        <v>4</v>
      </c>
      <c r="H989" s="138">
        <f>IFERROR(__xludf.DUMMYFUNCTION("""COMPUTED_VALUE"""),3.0)</f>
        <v>3</v>
      </c>
      <c r="I989" s="138">
        <f>IFERROR(__xludf.DUMMYFUNCTION("""COMPUTED_VALUE"""),3.0)</f>
        <v>3</v>
      </c>
      <c r="J989" s="138">
        <f>IFERROR(__xludf.DUMMYFUNCTION("""COMPUTED_VALUE"""),3.0)</f>
        <v>3</v>
      </c>
      <c r="K989" s="138">
        <f>IFERROR(__xludf.DUMMYFUNCTION("""COMPUTED_VALUE"""),3.0)</f>
        <v>3</v>
      </c>
      <c r="L989" s="138">
        <v>25.0</v>
      </c>
      <c r="M989" s="140" t="str">
        <f>VLOOKUP(text(D989, "#"),'Master Table'!$A:$F, 6, FALSE)</f>
        <v>G-5</v>
      </c>
      <c r="N989" s="141"/>
      <c r="O989" s="142" t="str">
        <f t="shared" si="1"/>
        <v/>
      </c>
      <c r="P989" s="143" t="str">
        <f>IF(ISNA(VLOOKUP(CONCAT(M989,C989), 'Judge Count DO NOT EDIT'!H:H, 1, FALSE)), "ERROR","")</f>
        <v/>
      </c>
      <c r="Q989" s="141"/>
      <c r="R989" s="143"/>
      <c r="S989" s="139" t="str">
        <f t="shared" si="2"/>
        <v>1205424</v>
      </c>
      <c r="T989" s="141"/>
    </row>
    <row r="990">
      <c r="A990" s="137">
        <f>IFERROR(__xludf.DUMMYFUNCTION("""COMPUTED_VALUE"""),45352.546865474535)</f>
        <v>45352.54687</v>
      </c>
      <c r="B990" s="138" t="str">
        <f>IFERROR(__xludf.DUMMYFUNCTION("""COMPUTED_VALUE"""),"Tom Huxford")</f>
        <v>Tom Huxford</v>
      </c>
      <c r="C990" s="138">
        <f>IFERROR(__xludf.DUMMYFUNCTION("""COMPUTED_VALUE"""),1056.0)</f>
        <v>1056</v>
      </c>
      <c r="D990" s="139">
        <f>IFERROR(__xludf.DUMMYFUNCTION("""COMPUTED_VALUE"""),424.0)</f>
        <v>424</v>
      </c>
      <c r="E990" s="138">
        <f>IFERROR(__xludf.DUMMYFUNCTION("""COMPUTED_VALUE"""),3.0)</f>
        <v>3</v>
      </c>
      <c r="F990" s="138">
        <f>IFERROR(__xludf.DUMMYFUNCTION("""COMPUTED_VALUE"""),3.0)</f>
        <v>3</v>
      </c>
      <c r="G990" s="138">
        <f>IFERROR(__xludf.DUMMYFUNCTION("""COMPUTED_VALUE"""),3.0)</f>
        <v>3</v>
      </c>
      <c r="H990" s="138">
        <f>IFERROR(__xludf.DUMMYFUNCTION("""COMPUTED_VALUE"""),3.0)</f>
        <v>3</v>
      </c>
      <c r="I990" s="138">
        <f>IFERROR(__xludf.DUMMYFUNCTION("""COMPUTED_VALUE"""),4.0)</f>
        <v>4</v>
      </c>
      <c r="J990" s="138">
        <f>IFERROR(__xludf.DUMMYFUNCTION("""COMPUTED_VALUE"""),4.0)</f>
        <v>4</v>
      </c>
      <c r="K990" s="138">
        <f>IFERROR(__xludf.DUMMYFUNCTION("""COMPUTED_VALUE"""),4.0)</f>
        <v>4</v>
      </c>
      <c r="L990" s="138">
        <v>24.0</v>
      </c>
      <c r="M990" s="140" t="str">
        <f>VLOOKUP(text(D990, "#"),'Master Table'!$A:$F, 6, FALSE)</f>
        <v>G-5</v>
      </c>
      <c r="N990" s="141" t="str">
        <f>IFERROR(__xludf.DUMMYFUNCTION("""COMPUTED_VALUE"""),"Instead of thinking about the consequence of introducing point mutations like random events, try to use the available protein structural information and particularly the chemical environment surrounding the proposed mutations to direct your modifications."&amp;"  This might suggest additional changes at other sites or even whole regions (domains, subdomains, etc.) that could relatively easily be swapped between IDH2 and IDH1 to test the source of differences in their respective activities.  Good looking poster. "&amp;" Keep thinking about the bigger picture.")</f>
        <v>Instead of thinking about the consequence of introducing point mutations like random events, try to use the available protein structural information and particularly the chemical environment surrounding the proposed mutations to direct your modifications.  This might suggest additional changes at other sites or even whole regions (domains, subdomains, etc.) that could relatively easily be swapped between IDH2 and IDH1 to test the source of differences in their respective activities.  Good looking poster.  Keep thinking about the bigger picture.</v>
      </c>
      <c r="O990" s="142" t="str">
        <f t="shared" si="1"/>
        <v/>
      </c>
      <c r="P990" s="143" t="str">
        <f>IF(ISNA(VLOOKUP(CONCAT(M990,C990), 'Judge Count DO NOT EDIT'!H:H, 1, FALSE)), "ERROR","")</f>
        <v/>
      </c>
      <c r="Q990" s="141"/>
      <c r="R990" s="143"/>
      <c r="S990" s="139" t="str">
        <f t="shared" si="2"/>
        <v>1056424</v>
      </c>
      <c r="T990" s="141"/>
    </row>
    <row r="991">
      <c r="A991" s="137">
        <f>IFERROR(__xludf.DUMMYFUNCTION("""COMPUTED_VALUE"""),45352.50766942129)</f>
        <v>45352.50767</v>
      </c>
      <c r="B991" s="138" t="str">
        <f>IFERROR(__xludf.DUMMYFUNCTION("""COMPUTED_VALUE"""),"Lance Elliott ")</f>
        <v>Lance Elliott </v>
      </c>
      <c r="C991" s="138">
        <f>IFERROR(__xludf.DUMMYFUNCTION("""COMPUTED_VALUE"""),1185.0)</f>
        <v>1185</v>
      </c>
      <c r="D991" s="139">
        <f>IFERROR(__xludf.DUMMYFUNCTION("""COMPUTED_VALUE"""),425.0)</f>
        <v>425</v>
      </c>
      <c r="E991" s="138">
        <f>IFERROR(__xludf.DUMMYFUNCTION("""COMPUTED_VALUE"""),4.0)</f>
        <v>4</v>
      </c>
      <c r="F991" s="138">
        <f>IFERROR(__xludf.DUMMYFUNCTION("""COMPUTED_VALUE"""),4.0)</f>
        <v>4</v>
      </c>
      <c r="G991" s="138">
        <f>IFERROR(__xludf.DUMMYFUNCTION("""COMPUTED_VALUE"""),4.0)</f>
        <v>4</v>
      </c>
      <c r="H991" s="138">
        <f>IFERROR(__xludf.DUMMYFUNCTION("""COMPUTED_VALUE"""),4.0)</f>
        <v>4</v>
      </c>
      <c r="I991" s="138">
        <f>IFERROR(__xludf.DUMMYFUNCTION("""COMPUTED_VALUE"""),4.0)</f>
        <v>4</v>
      </c>
      <c r="J991" s="138">
        <f>IFERROR(__xludf.DUMMYFUNCTION("""COMPUTED_VALUE"""),3.0)</f>
        <v>3</v>
      </c>
      <c r="K991" s="138">
        <f>IFERROR(__xludf.DUMMYFUNCTION("""COMPUTED_VALUE"""),4.0)</f>
        <v>4</v>
      </c>
      <c r="L991" s="138">
        <v>27.0</v>
      </c>
      <c r="M991" s="140" t="str">
        <f>VLOOKUP(text(D991, "#"),'Master Table'!$A:$F, 6, FALSE)</f>
        <v>G-5</v>
      </c>
      <c r="N991" s="141"/>
      <c r="O991" s="142" t="str">
        <f t="shared" si="1"/>
        <v/>
      </c>
      <c r="P991" s="143" t="str">
        <f>IF(ISNA(VLOOKUP(CONCAT(M991,C991), 'Judge Count DO NOT EDIT'!H:H, 1, FALSE)), "ERROR","")</f>
        <v/>
      </c>
      <c r="Q991" s="141"/>
      <c r="R991" s="143"/>
      <c r="S991" s="139" t="str">
        <f t="shared" si="2"/>
        <v>1185425</v>
      </c>
      <c r="T991" s="141"/>
    </row>
    <row r="992">
      <c r="A992" s="137">
        <f>IFERROR(__xludf.DUMMYFUNCTION("""COMPUTED_VALUE"""),45352.51545943287)</f>
        <v>45352.51546</v>
      </c>
      <c r="B992" s="138" t="str">
        <f>IFERROR(__xludf.DUMMYFUNCTION("""COMPUTED_VALUE"""),"Jeff gustafson")</f>
        <v>Jeff gustafson</v>
      </c>
      <c r="C992" s="138">
        <f>IFERROR(__xludf.DUMMYFUNCTION("""COMPUTED_VALUE"""),1205.0)</f>
        <v>1205</v>
      </c>
      <c r="D992" s="139">
        <f>IFERROR(__xludf.DUMMYFUNCTION("""COMPUTED_VALUE"""),425.0)</f>
        <v>425</v>
      </c>
      <c r="E992" s="138">
        <f>IFERROR(__xludf.DUMMYFUNCTION("""COMPUTED_VALUE"""),4.0)</f>
        <v>4</v>
      </c>
      <c r="F992" s="138">
        <f>IFERROR(__xludf.DUMMYFUNCTION("""COMPUTED_VALUE"""),4.0)</f>
        <v>4</v>
      </c>
      <c r="G992" s="138">
        <f>IFERROR(__xludf.DUMMYFUNCTION("""COMPUTED_VALUE"""),4.0)</f>
        <v>4</v>
      </c>
      <c r="H992" s="138">
        <f>IFERROR(__xludf.DUMMYFUNCTION("""COMPUTED_VALUE"""),4.0)</f>
        <v>4</v>
      </c>
      <c r="I992" s="138">
        <f>IFERROR(__xludf.DUMMYFUNCTION("""COMPUTED_VALUE"""),3.0)</f>
        <v>3</v>
      </c>
      <c r="J992" s="138">
        <f>IFERROR(__xludf.DUMMYFUNCTION("""COMPUTED_VALUE"""),3.0)</f>
        <v>3</v>
      </c>
      <c r="K992" s="138">
        <f>IFERROR(__xludf.DUMMYFUNCTION("""COMPUTED_VALUE"""),2.0)</f>
        <v>2</v>
      </c>
      <c r="L992" s="138">
        <v>24.0</v>
      </c>
      <c r="M992" s="140" t="str">
        <f>VLOOKUP(text(D992, "#"),'Master Table'!$A:$F, 6, FALSE)</f>
        <v>G-5</v>
      </c>
      <c r="N992" s="141"/>
      <c r="O992" s="142" t="str">
        <f t="shared" si="1"/>
        <v/>
      </c>
      <c r="P992" s="143" t="str">
        <f>IF(ISNA(VLOOKUP(CONCAT(M992,C992), 'Judge Count DO NOT EDIT'!H:H, 1, FALSE)), "ERROR","")</f>
        <v/>
      </c>
      <c r="Q992" s="141"/>
      <c r="R992" s="143"/>
      <c r="S992" s="139" t="str">
        <f t="shared" si="2"/>
        <v>1205425</v>
      </c>
      <c r="T992" s="141"/>
    </row>
    <row r="993">
      <c r="A993" s="137">
        <f>IFERROR(__xludf.DUMMYFUNCTION("""COMPUTED_VALUE"""),45352.52879957176)</f>
        <v>45352.5288</v>
      </c>
      <c r="B993" s="138" t="str">
        <f>IFERROR(__xludf.DUMMYFUNCTION("""COMPUTED_VALUE"""),"Melad Shaikh")</f>
        <v>Melad Shaikh</v>
      </c>
      <c r="C993" s="138">
        <f>IFERROR(__xludf.DUMMYFUNCTION("""COMPUTED_VALUE"""),1165.0)</f>
        <v>1165</v>
      </c>
      <c r="D993" s="139">
        <f>IFERROR(__xludf.DUMMYFUNCTION("""COMPUTED_VALUE"""),425.0)</f>
        <v>425</v>
      </c>
      <c r="E993" s="138">
        <f>IFERROR(__xludf.DUMMYFUNCTION("""COMPUTED_VALUE"""),4.0)</f>
        <v>4</v>
      </c>
      <c r="F993" s="138">
        <f>IFERROR(__xludf.DUMMYFUNCTION("""COMPUTED_VALUE"""),3.0)</f>
        <v>3</v>
      </c>
      <c r="G993" s="138">
        <f>IFERROR(__xludf.DUMMYFUNCTION("""COMPUTED_VALUE"""),4.0)</f>
        <v>4</v>
      </c>
      <c r="H993" s="138">
        <f>IFERROR(__xludf.DUMMYFUNCTION("""COMPUTED_VALUE"""),2.0)</f>
        <v>2</v>
      </c>
      <c r="I993" s="138">
        <f>IFERROR(__xludf.DUMMYFUNCTION("""COMPUTED_VALUE"""),2.0)</f>
        <v>2</v>
      </c>
      <c r="J993" s="138">
        <f>IFERROR(__xludf.DUMMYFUNCTION("""COMPUTED_VALUE"""),2.0)</f>
        <v>2</v>
      </c>
      <c r="K993" s="138">
        <f>IFERROR(__xludf.DUMMYFUNCTION("""COMPUTED_VALUE"""),3.0)</f>
        <v>3</v>
      </c>
      <c r="L993" s="138">
        <v>20.0</v>
      </c>
      <c r="M993" s="140" t="str">
        <f>VLOOKUP(text(D993, "#"),'Master Table'!$A:$F, 6, FALSE)</f>
        <v>G-5</v>
      </c>
      <c r="N993" s="141"/>
      <c r="O993" s="142" t="str">
        <f t="shared" si="1"/>
        <v/>
      </c>
      <c r="P993" s="143" t="str">
        <f>IF(ISNA(VLOOKUP(CONCAT(M993,C993), 'Judge Count DO NOT EDIT'!H:H, 1, FALSE)), "ERROR","")</f>
        <v/>
      </c>
      <c r="Q993" s="141"/>
      <c r="R993" s="143"/>
      <c r="S993" s="139" t="str">
        <f t="shared" si="2"/>
        <v>1165425</v>
      </c>
      <c r="T993" s="141"/>
    </row>
    <row r="994">
      <c r="A994" s="137">
        <f>IFERROR(__xludf.DUMMYFUNCTION("""COMPUTED_VALUE"""),45352.54843755787)</f>
        <v>45352.54844</v>
      </c>
      <c r="B994" s="138" t="str">
        <f>IFERROR(__xludf.DUMMYFUNCTION("""COMPUTED_VALUE"""),"Tom Huxford")</f>
        <v>Tom Huxford</v>
      </c>
      <c r="C994" s="138">
        <f>IFERROR(__xludf.DUMMYFUNCTION("""COMPUTED_VALUE"""),1056.0)</f>
        <v>1056</v>
      </c>
      <c r="D994" s="139">
        <f>IFERROR(__xludf.DUMMYFUNCTION("""COMPUTED_VALUE"""),425.0)</f>
        <v>425</v>
      </c>
      <c r="E994" s="138">
        <f>IFERROR(__xludf.DUMMYFUNCTION("""COMPUTED_VALUE"""),5.0)</f>
        <v>5</v>
      </c>
      <c r="F994" s="138">
        <f>IFERROR(__xludf.DUMMYFUNCTION("""COMPUTED_VALUE"""),4.0)</f>
        <v>4</v>
      </c>
      <c r="G994" s="138">
        <f>IFERROR(__xludf.DUMMYFUNCTION("""COMPUTED_VALUE"""),4.0)</f>
        <v>4</v>
      </c>
      <c r="H994" s="138">
        <f>IFERROR(__xludf.DUMMYFUNCTION("""COMPUTED_VALUE"""),5.0)</f>
        <v>5</v>
      </c>
      <c r="I994" s="138">
        <f>IFERROR(__xludf.DUMMYFUNCTION("""COMPUTED_VALUE"""),5.0)</f>
        <v>5</v>
      </c>
      <c r="J994" s="138">
        <f>IFERROR(__xludf.DUMMYFUNCTION("""COMPUTED_VALUE"""),5.0)</f>
        <v>5</v>
      </c>
      <c r="K994" s="138">
        <f>IFERROR(__xludf.DUMMYFUNCTION("""COMPUTED_VALUE"""),5.0)</f>
        <v>5</v>
      </c>
      <c r="L994" s="138">
        <v>33.0</v>
      </c>
      <c r="M994" s="140" t="str">
        <f>VLOOKUP(text(D994, "#"),'Master Table'!$A:$F, 6, FALSE)</f>
        <v>G-5</v>
      </c>
      <c r="N994" s="141" t="str">
        <f>IFERROR(__xludf.DUMMYFUNCTION("""COMPUTED_VALUE"""),"Excellent work.  Well organized and very well presented poster.  You have a good grasp of the problem and the significance of what you have measured.  You have also thought carefully about how this knowledge might be applied in astrobiology.  Really good "&amp;"work!")</f>
        <v>Excellent work.  Well organized and very well presented poster.  You have a good grasp of the problem and the significance of what you have measured.  You have also thought carefully about how this knowledge might be applied in astrobiology.  Really good work!</v>
      </c>
      <c r="O994" s="142" t="str">
        <f t="shared" si="1"/>
        <v/>
      </c>
      <c r="P994" s="143" t="str">
        <f>IF(ISNA(VLOOKUP(CONCAT(M994,C994), 'Judge Count DO NOT EDIT'!H:H, 1, FALSE)), "ERROR","")</f>
        <v/>
      </c>
      <c r="Q994" s="141"/>
      <c r="R994" s="143"/>
      <c r="S994" s="139" t="str">
        <f t="shared" si="2"/>
        <v>1056425</v>
      </c>
      <c r="T994" s="141"/>
    </row>
    <row r="995">
      <c r="A995" s="137">
        <f>IFERROR(__xludf.DUMMYFUNCTION("""COMPUTED_VALUE"""),45352.4793091551)</f>
        <v>45352.47931</v>
      </c>
      <c r="B995" s="138" t="str">
        <f>IFERROR(__xludf.DUMMYFUNCTION("""COMPUTED_VALUE"""),"Lance Elliott ")</f>
        <v>Lance Elliott </v>
      </c>
      <c r="C995" s="138">
        <f>IFERROR(__xludf.DUMMYFUNCTION("""COMPUTED_VALUE"""),1185.0)</f>
        <v>1185</v>
      </c>
      <c r="D995" s="139">
        <f>IFERROR(__xludf.DUMMYFUNCTION("""COMPUTED_VALUE"""),426.0)</f>
        <v>426</v>
      </c>
      <c r="E995" s="138">
        <f>IFERROR(__xludf.DUMMYFUNCTION("""COMPUTED_VALUE"""),4.0)</f>
        <v>4</v>
      </c>
      <c r="F995" s="138">
        <f>IFERROR(__xludf.DUMMYFUNCTION("""COMPUTED_VALUE"""),4.0)</f>
        <v>4</v>
      </c>
      <c r="G995" s="138">
        <f>IFERROR(__xludf.DUMMYFUNCTION("""COMPUTED_VALUE"""),4.0)</f>
        <v>4</v>
      </c>
      <c r="H995" s="138">
        <f>IFERROR(__xludf.DUMMYFUNCTION("""COMPUTED_VALUE"""),4.0)</f>
        <v>4</v>
      </c>
      <c r="I995" s="138">
        <f>IFERROR(__xludf.DUMMYFUNCTION("""COMPUTED_VALUE"""),3.0)</f>
        <v>3</v>
      </c>
      <c r="J995" s="138">
        <f>IFERROR(__xludf.DUMMYFUNCTION("""COMPUTED_VALUE"""),4.0)</f>
        <v>4</v>
      </c>
      <c r="K995" s="138">
        <f>IFERROR(__xludf.DUMMYFUNCTION("""COMPUTED_VALUE"""),4.0)</f>
        <v>4</v>
      </c>
      <c r="L995" s="138">
        <v>27.0</v>
      </c>
      <c r="M995" s="140" t="str">
        <f>VLOOKUP(text(D995, "#"),'Master Table'!$A:$F, 6, FALSE)</f>
        <v>G-5</v>
      </c>
      <c r="N995" s="141" t="str">
        <f>IFERROR(__xludf.DUMMYFUNCTION("""COMPUTED_VALUE"""),"Great to see your work.")</f>
        <v>Great to see your work.</v>
      </c>
      <c r="O995" s="142" t="str">
        <f t="shared" si="1"/>
        <v/>
      </c>
      <c r="P995" s="143" t="str">
        <f>IF(ISNA(VLOOKUP(CONCAT(M995,C995), 'Judge Count DO NOT EDIT'!H:H, 1, FALSE)), "ERROR","")</f>
        <v/>
      </c>
      <c r="Q995" s="141"/>
      <c r="R995" s="143"/>
      <c r="S995" s="139" t="str">
        <f t="shared" si="2"/>
        <v>1185426</v>
      </c>
      <c r="T995" s="141"/>
    </row>
    <row r="996">
      <c r="A996" s="137">
        <f>IFERROR(__xludf.DUMMYFUNCTION("""COMPUTED_VALUE"""),45352.52591678241)</f>
        <v>45352.52592</v>
      </c>
      <c r="B996" s="138" t="str">
        <f>IFERROR(__xludf.DUMMYFUNCTION("""COMPUTED_VALUE"""),"Melad Shaikh")</f>
        <v>Melad Shaikh</v>
      </c>
      <c r="C996" s="138">
        <f>IFERROR(__xludf.DUMMYFUNCTION("""COMPUTED_VALUE"""),1165.0)</f>
        <v>1165</v>
      </c>
      <c r="D996" s="139">
        <f>IFERROR(__xludf.DUMMYFUNCTION("""COMPUTED_VALUE"""),426.0)</f>
        <v>426</v>
      </c>
      <c r="E996" s="138">
        <f>IFERROR(__xludf.DUMMYFUNCTION("""COMPUTED_VALUE"""),4.0)</f>
        <v>4</v>
      </c>
      <c r="F996" s="138">
        <f>IFERROR(__xludf.DUMMYFUNCTION("""COMPUTED_VALUE"""),4.0)</f>
        <v>4</v>
      </c>
      <c r="G996" s="138">
        <f>IFERROR(__xludf.DUMMYFUNCTION("""COMPUTED_VALUE"""),4.0)</f>
        <v>4</v>
      </c>
      <c r="H996" s="138">
        <f>IFERROR(__xludf.DUMMYFUNCTION("""COMPUTED_VALUE"""),4.0)</f>
        <v>4</v>
      </c>
      <c r="I996" s="138">
        <f>IFERROR(__xludf.DUMMYFUNCTION("""COMPUTED_VALUE"""),2.0)</f>
        <v>2</v>
      </c>
      <c r="J996" s="138">
        <f>IFERROR(__xludf.DUMMYFUNCTION("""COMPUTED_VALUE"""),3.0)</f>
        <v>3</v>
      </c>
      <c r="K996" s="138">
        <f>IFERROR(__xludf.DUMMYFUNCTION("""COMPUTED_VALUE"""),3.0)</f>
        <v>3</v>
      </c>
      <c r="L996" s="138">
        <v>24.0</v>
      </c>
      <c r="M996" s="140" t="str">
        <f>VLOOKUP(text(D996, "#"),'Master Table'!$A:$F, 6, FALSE)</f>
        <v>G-5</v>
      </c>
      <c r="N996" s="141"/>
      <c r="O996" s="142" t="str">
        <f t="shared" si="1"/>
        <v/>
      </c>
      <c r="P996" s="143" t="str">
        <f>IF(ISNA(VLOOKUP(CONCAT(M996,C996), 'Judge Count DO NOT EDIT'!H:H, 1, FALSE)), "ERROR","")</f>
        <v/>
      </c>
      <c r="Q996" s="141"/>
      <c r="R996" s="143"/>
      <c r="S996" s="139" t="str">
        <f t="shared" si="2"/>
        <v>1165426</v>
      </c>
      <c r="T996" s="141"/>
    </row>
    <row r="997">
      <c r="A997" s="137">
        <f>IFERROR(__xludf.DUMMYFUNCTION("""COMPUTED_VALUE"""),45352.55032278935)</f>
        <v>45352.55032</v>
      </c>
      <c r="B997" s="138" t="str">
        <f>IFERROR(__xludf.DUMMYFUNCTION("""COMPUTED_VALUE"""),"Tom Huxford")</f>
        <v>Tom Huxford</v>
      </c>
      <c r="C997" s="138">
        <f>IFERROR(__xludf.DUMMYFUNCTION("""COMPUTED_VALUE"""),1056.0)</f>
        <v>1056</v>
      </c>
      <c r="D997" s="139">
        <f>IFERROR(__xludf.DUMMYFUNCTION("""COMPUTED_VALUE"""),426.0)</f>
        <v>426</v>
      </c>
      <c r="E997" s="138">
        <f>IFERROR(__xludf.DUMMYFUNCTION("""COMPUTED_VALUE"""),4.0)</f>
        <v>4</v>
      </c>
      <c r="F997" s="138">
        <f>IFERROR(__xludf.DUMMYFUNCTION("""COMPUTED_VALUE"""),4.0)</f>
        <v>4</v>
      </c>
      <c r="G997" s="138">
        <f>IFERROR(__xludf.DUMMYFUNCTION("""COMPUTED_VALUE"""),4.0)</f>
        <v>4</v>
      </c>
      <c r="H997" s="138">
        <f>IFERROR(__xludf.DUMMYFUNCTION("""COMPUTED_VALUE"""),4.0)</f>
        <v>4</v>
      </c>
      <c r="I997" s="138">
        <f>IFERROR(__xludf.DUMMYFUNCTION("""COMPUTED_VALUE"""),4.0)</f>
        <v>4</v>
      </c>
      <c r="J997" s="138">
        <f>IFERROR(__xludf.DUMMYFUNCTION("""COMPUTED_VALUE"""),4.0)</f>
        <v>4</v>
      </c>
      <c r="K997" s="138">
        <f>IFERROR(__xludf.DUMMYFUNCTION("""COMPUTED_VALUE"""),4.0)</f>
        <v>4</v>
      </c>
      <c r="L997" s="138">
        <v>28.0</v>
      </c>
      <c r="M997" s="140" t="str">
        <f>VLOOKUP(text(D997, "#"),'Master Table'!$A:$F, 6, FALSE)</f>
        <v>G-5</v>
      </c>
      <c r="N997" s="141" t="str">
        <f>IFERROR(__xludf.DUMMYFUNCTION("""COMPUTED_VALUE"""),"Really nice poster and very good presentation.  You have a firm grasp on the background that frames your current research study questions.  Keep an open mind and think about the greater significance of what you are observing beyond simply improving select"&amp;"ivity and affinity of this inhibitor class for this particularly kinase.")</f>
        <v>Really nice poster and very good presentation.  You have a firm grasp on the background that frames your current research study questions.  Keep an open mind and think about the greater significance of what you are observing beyond simply improving selectivity and affinity of this inhibitor class for this particularly kinase.</v>
      </c>
      <c r="O997" s="142" t="str">
        <f t="shared" si="1"/>
        <v/>
      </c>
      <c r="P997" s="143" t="str">
        <f>IF(ISNA(VLOOKUP(CONCAT(M997,C997), 'Judge Count DO NOT EDIT'!H:H, 1, FALSE)), "ERROR","")</f>
        <v/>
      </c>
      <c r="Q997" s="141"/>
      <c r="R997" s="143"/>
      <c r="S997" s="139" t="str">
        <f t="shared" si="2"/>
        <v>1056426</v>
      </c>
      <c r="T997" s="141"/>
    </row>
    <row r="998">
      <c r="A998" s="137">
        <f>IFERROR(__xludf.DUMMYFUNCTION("""COMPUTED_VALUE"""),45352.471520590276)</f>
        <v>45352.47152</v>
      </c>
      <c r="B998" s="138" t="str">
        <f>IFERROR(__xludf.DUMMYFUNCTION("""COMPUTED_VALUE"""),"Cat Ellis")</f>
        <v>Cat Ellis</v>
      </c>
      <c r="C998" s="138">
        <f>IFERROR(__xludf.DUMMYFUNCTION("""COMPUTED_VALUE"""),1033.0)</f>
        <v>1033</v>
      </c>
      <c r="D998" s="139">
        <f>IFERROR(__xludf.DUMMYFUNCTION("""COMPUTED_VALUE"""),427.0)</f>
        <v>427</v>
      </c>
      <c r="E998" s="138">
        <f>IFERROR(__xludf.DUMMYFUNCTION("""COMPUTED_VALUE"""),4.0)</f>
        <v>4</v>
      </c>
      <c r="F998" s="138">
        <f>IFERROR(__xludf.DUMMYFUNCTION("""COMPUTED_VALUE"""),5.0)</f>
        <v>5</v>
      </c>
      <c r="G998" s="138">
        <f>IFERROR(__xludf.DUMMYFUNCTION("""COMPUTED_VALUE"""),5.0)</f>
        <v>5</v>
      </c>
      <c r="H998" s="138">
        <f>IFERROR(__xludf.DUMMYFUNCTION("""COMPUTED_VALUE"""),4.0)</f>
        <v>4</v>
      </c>
      <c r="I998" s="138">
        <f>IFERROR(__xludf.DUMMYFUNCTION("""COMPUTED_VALUE"""),5.0)</f>
        <v>5</v>
      </c>
      <c r="J998" s="138">
        <f>IFERROR(__xludf.DUMMYFUNCTION("""COMPUTED_VALUE"""),5.0)</f>
        <v>5</v>
      </c>
      <c r="K998" s="138">
        <f>IFERROR(__xludf.DUMMYFUNCTION("""COMPUTED_VALUE"""),5.0)</f>
        <v>5</v>
      </c>
      <c r="L998" s="138">
        <v>33.0</v>
      </c>
      <c r="M998" s="140" t="str">
        <f>VLOOKUP(text(D998, "#"),'Master Table'!$A:$F, 6, FALSE)</f>
        <v>G-6</v>
      </c>
      <c r="N998" s="141" t="str">
        <f>IFERROR(__xludf.DUMMYFUNCTION("""COMPUTED_VALUE"""),"This is a great project, and I look forward to seeing its end results. For further searching, I would recommend using MeSH terms to find more articles specific to your research.")</f>
        <v>This is a great project, and I look forward to seeing its end results. For further searching, I would recommend using MeSH terms to find more articles specific to your research.</v>
      </c>
      <c r="O998" s="142" t="str">
        <f t="shared" si="1"/>
        <v/>
      </c>
      <c r="P998" s="143" t="str">
        <f>IF(ISNA(VLOOKUP(CONCAT(M998,C998), 'Judge Count DO NOT EDIT'!H:H, 1, FALSE)), "ERROR","")</f>
        <v/>
      </c>
      <c r="Q998" s="141"/>
      <c r="R998" s="143"/>
      <c r="S998" s="139" t="str">
        <f t="shared" si="2"/>
        <v>1033427</v>
      </c>
      <c r="T998" s="141"/>
    </row>
    <row r="999">
      <c r="A999" s="137">
        <f>IFERROR(__xludf.DUMMYFUNCTION("""COMPUTED_VALUE"""),45352.48911862269)</f>
        <v>45352.48912</v>
      </c>
      <c r="B999" s="138" t="str">
        <f>IFERROR(__xludf.DUMMYFUNCTION("""COMPUTED_VALUE"""),"Humberto Parada")</f>
        <v>Humberto Parada</v>
      </c>
      <c r="C999" s="138">
        <f>IFERROR(__xludf.DUMMYFUNCTION("""COMPUTED_VALUE"""),1062.0)</f>
        <v>1062</v>
      </c>
      <c r="D999" s="139">
        <f>IFERROR(__xludf.DUMMYFUNCTION("""COMPUTED_VALUE"""),427.0)</f>
        <v>427</v>
      </c>
      <c r="E999" s="138">
        <f>IFERROR(__xludf.DUMMYFUNCTION("""COMPUTED_VALUE"""),4.0)</f>
        <v>4</v>
      </c>
      <c r="F999" s="138">
        <f>IFERROR(__xludf.DUMMYFUNCTION("""COMPUTED_VALUE"""),5.0)</f>
        <v>5</v>
      </c>
      <c r="G999" s="138">
        <f>IFERROR(__xludf.DUMMYFUNCTION("""COMPUTED_VALUE"""),5.0)</f>
        <v>5</v>
      </c>
      <c r="H999" s="138">
        <f>IFERROR(__xludf.DUMMYFUNCTION("""COMPUTED_VALUE"""),4.0)</f>
        <v>4</v>
      </c>
      <c r="I999" s="138">
        <f>IFERROR(__xludf.DUMMYFUNCTION("""COMPUTED_VALUE"""),4.0)</f>
        <v>4</v>
      </c>
      <c r="J999" s="138">
        <f>IFERROR(__xludf.DUMMYFUNCTION("""COMPUTED_VALUE"""),5.0)</f>
        <v>5</v>
      </c>
      <c r="K999" s="138">
        <f>IFERROR(__xludf.DUMMYFUNCTION("""COMPUTED_VALUE"""),5.0)</f>
        <v>5</v>
      </c>
      <c r="L999" s="138">
        <v>32.0</v>
      </c>
      <c r="M999" s="140" t="str">
        <f>VLOOKUP(text(D999, "#"),'Master Table'!$A:$F, 6, FALSE)</f>
        <v>G-6</v>
      </c>
      <c r="N999" s="141"/>
      <c r="O999" s="142" t="str">
        <f t="shared" si="1"/>
        <v/>
      </c>
      <c r="P999" s="143" t="str">
        <f>IF(ISNA(VLOOKUP(CONCAT(M999,C999), 'Judge Count DO NOT EDIT'!H:H, 1, FALSE)), "ERROR","")</f>
        <v/>
      </c>
      <c r="Q999" s="141"/>
      <c r="R999" s="143"/>
      <c r="S999" s="139" t="str">
        <f t="shared" si="2"/>
        <v>1062427</v>
      </c>
      <c r="T999" s="141"/>
    </row>
    <row r="1000">
      <c r="A1000" s="137">
        <f>IFERROR(__xludf.DUMMYFUNCTION("""COMPUTED_VALUE"""),45352.50466398148)</f>
        <v>45352.50466</v>
      </c>
      <c r="B1000" s="138" t="str">
        <f>IFERROR(__xludf.DUMMYFUNCTION("""COMPUTED_VALUE"""),"Michelle Weber Rawlins")</f>
        <v>Michelle Weber Rawlins</v>
      </c>
      <c r="C1000" s="138">
        <f>IFERROR(__xludf.DUMMYFUNCTION("""COMPUTED_VALUE"""),1074.0)</f>
        <v>1074</v>
      </c>
      <c r="D1000" s="139">
        <f>IFERROR(__xludf.DUMMYFUNCTION("""COMPUTED_VALUE"""),427.0)</f>
        <v>427</v>
      </c>
      <c r="E1000" s="138">
        <f>IFERROR(__xludf.DUMMYFUNCTION("""COMPUTED_VALUE"""),4.0)</f>
        <v>4</v>
      </c>
      <c r="F1000" s="138">
        <f>IFERROR(__xludf.DUMMYFUNCTION("""COMPUTED_VALUE"""),4.0)</f>
        <v>4</v>
      </c>
      <c r="G1000" s="138">
        <f>IFERROR(__xludf.DUMMYFUNCTION("""COMPUTED_VALUE"""),4.0)</f>
        <v>4</v>
      </c>
      <c r="H1000" s="138">
        <f>IFERROR(__xludf.DUMMYFUNCTION("""COMPUTED_VALUE"""),3.0)</f>
        <v>3</v>
      </c>
      <c r="I1000" s="138">
        <f>IFERROR(__xludf.DUMMYFUNCTION("""COMPUTED_VALUE"""),4.0)</f>
        <v>4</v>
      </c>
      <c r="J1000" s="138">
        <f>IFERROR(__xludf.DUMMYFUNCTION("""COMPUTED_VALUE"""),4.0)</f>
        <v>4</v>
      </c>
      <c r="K1000" s="138">
        <f>IFERROR(__xludf.DUMMYFUNCTION("""COMPUTED_VALUE"""),4.0)</f>
        <v>4</v>
      </c>
      <c r="L1000" s="138">
        <v>27.0</v>
      </c>
      <c r="M1000" s="140" t="str">
        <f>VLOOKUP(text(D1000, "#"),'Master Table'!$A:$F, 6, FALSE)</f>
        <v>G-6</v>
      </c>
      <c r="N1000" s="141" t="str">
        <f>IFERROR(__xludf.DUMMYFUNCTION("""COMPUTED_VALUE"""),"The student did a really great job presenting the information. I didn’t get a sense necessarily how the methods were done, but I could have asked additional questions to tease that information out on how exactly the findings were comprised in their narrat"&amp;"ive review. The student did a great job answering my questions especially as it relates to patient care. ")</f>
        <v>The student did a really great job presenting the information. I didn’t get a sense necessarily how the methods were done, but I could have asked additional questions to tease that information out on how exactly the findings were comprised in their narrative review. The student did a great job answering my questions especially as it relates to patient care. </v>
      </c>
      <c r="O1000" s="142" t="str">
        <f t="shared" si="1"/>
        <v/>
      </c>
      <c r="P1000" s="143" t="str">
        <f>IF(ISNA(VLOOKUP(CONCAT(M1000,C1000), 'Judge Count DO NOT EDIT'!H:H, 1, FALSE)), "ERROR","")</f>
        <v/>
      </c>
      <c r="Q1000" s="141"/>
      <c r="R1000" s="143"/>
      <c r="S1000" s="139" t="str">
        <f t="shared" si="2"/>
        <v>1074427</v>
      </c>
      <c r="T1000" s="141"/>
    </row>
    <row r="1001">
      <c r="A1001" s="137">
        <f>IFERROR(__xludf.DUMMYFUNCTION("""COMPUTED_VALUE"""),45352.475418761576)</f>
        <v>45352.47542</v>
      </c>
      <c r="B1001" s="138" t="str">
        <f>IFERROR(__xludf.DUMMYFUNCTION("""COMPUTED_VALUE"""),"Humberto Parada")</f>
        <v>Humberto Parada</v>
      </c>
      <c r="C1001" s="138">
        <f>IFERROR(__xludf.DUMMYFUNCTION("""COMPUTED_VALUE"""),1062.0)</f>
        <v>1062</v>
      </c>
      <c r="D1001" s="139">
        <f>IFERROR(__xludf.DUMMYFUNCTION("""COMPUTED_VALUE"""),428.0)</f>
        <v>428</v>
      </c>
      <c r="E1001" s="138">
        <f>IFERROR(__xludf.DUMMYFUNCTION("""COMPUTED_VALUE"""),4.0)</f>
        <v>4</v>
      </c>
      <c r="F1001" s="138">
        <f>IFERROR(__xludf.DUMMYFUNCTION("""COMPUTED_VALUE"""),4.0)</f>
        <v>4</v>
      </c>
      <c r="G1001" s="138">
        <f>IFERROR(__xludf.DUMMYFUNCTION("""COMPUTED_VALUE"""),5.0)</f>
        <v>5</v>
      </c>
      <c r="H1001" s="138">
        <f>IFERROR(__xludf.DUMMYFUNCTION("""COMPUTED_VALUE"""),5.0)</f>
        <v>5</v>
      </c>
      <c r="I1001" s="138">
        <f>IFERROR(__xludf.DUMMYFUNCTION("""COMPUTED_VALUE"""),5.0)</f>
        <v>5</v>
      </c>
      <c r="J1001" s="138">
        <f>IFERROR(__xludf.DUMMYFUNCTION("""COMPUTED_VALUE"""),5.0)</f>
        <v>5</v>
      </c>
      <c r="K1001" s="138">
        <f>IFERROR(__xludf.DUMMYFUNCTION("""COMPUTED_VALUE"""),5.0)</f>
        <v>5</v>
      </c>
      <c r="L1001" s="138">
        <v>33.0</v>
      </c>
      <c r="M1001" s="140" t="str">
        <f>VLOOKUP(text(D1001, "#"),'Master Table'!$A:$F, 6, FALSE)</f>
        <v>G-6</v>
      </c>
      <c r="N1001" s="141"/>
      <c r="O1001" s="142" t="str">
        <f t="shared" si="1"/>
        <v/>
      </c>
      <c r="P1001" s="143" t="str">
        <f>IF(ISNA(VLOOKUP(CONCAT(M1001,C1001), 'Judge Count DO NOT EDIT'!H:H, 1, FALSE)), "ERROR","")</f>
        <v/>
      </c>
      <c r="Q1001" s="141"/>
      <c r="R1001" s="143"/>
      <c r="S1001" s="139" t="str">
        <f t="shared" si="2"/>
        <v>1062428</v>
      </c>
      <c r="T1001" s="141"/>
    </row>
    <row r="1002">
      <c r="A1002" s="137">
        <f>IFERROR(__xludf.DUMMYFUNCTION("""COMPUTED_VALUE"""),45352.48414006944)</f>
        <v>45352.48414</v>
      </c>
      <c r="B1002" s="138" t="str">
        <f>IFERROR(__xludf.DUMMYFUNCTION("""COMPUTED_VALUE"""),"Cat Ellis")</f>
        <v>Cat Ellis</v>
      </c>
      <c r="C1002" s="138">
        <f>IFERROR(__xludf.DUMMYFUNCTION("""COMPUTED_VALUE"""),1033.0)</f>
        <v>1033</v>
      </c>
      <c r="D1002" s="139">
        <f>IFERROR(__xludf.DUMMYFUNCTION("""COMPUTED_VALUE"""),428.0)</f>
        <v>428</v>
      </c>
      <c r="E1002" s="138">
        <f>IFERROR(__xludf.DUMMYFUNCTION("""COMPUTED_VALUE"""),4.0)</f>
        <v>4</v>
      </c>
      <c r="F1002" s="138">
        <f>IFERROR(__xludf.DUMMYFUNCTION("""COMPUTED_VALUE"""),4.0)</f>
        <v>4</v>
      </c>
      <c r="G1002" s="138">
        <f>IFERROR(__xludf.DUMMYFUNCTION("""COMPUTED_VALUE"""),5.0)</f>
        <v>5</v>
      </c>
      <c r="H1002" s="138">
        <f>IFERROR(__xludf.DUMMYFUNCTION("""COMPUTED_VALUE"""),5.0)</f>
        <v>5</v>
      </c>
      <c r="I1002" s="138">
        <f>IFERROR(__xludf.DUMMYFUNCTION("""COMPUTED_VALUE"""),4.0)</f>
        <v>4</v>
      </c>
      <c r="J1002" s="138">
        <f>IFERROR(__xludf.DUMMYFUNCTION("""COMPUTED_VALUE"""),4.0)</f>
        <v>4</v>
      </c>
      <c r="K1002" s="138">
        <f>IFERROR(__xludf.DUMMYFUNCTION("""COMPUTED_VALUE"""),4.0)</f>
        <v>4</v>
      </c>
      <c r="L1002" s="138">
        <v>30.0</v>
      </c>
      <c r="M1002" s="140" t="str">
        <f>VLOOKUP(text(D1002, "#"),'Master Table'!$A:$F, 6, FALSE)</f>
        <v>G-6</v>
      </c>
      <c r="N1002" s="141" t="str">
        <f>IFERROR(__xludf.DUMMYFUNCTION("""COMPUTED_VALUE"""),"This is an important project that I am excited to see the final results of. For future posters, I would recommend using more white space and less text.")</f>
        <v>This is an important project that I am excited to see the final results of. For future posters, I would recommend using more white space and less text.</v>
      </c>
      <c r="O1002" s="142" t="str">
        <f t="shared" si="1"/>
        <v/>
      </c>
      <c r="P1002" s="143" t="str">
        <f>IF(ISNA(VLOOKUP(CONCAT(M1002,C1002), 'Judge Count DO NOT EDIT'!H:H, 1, FALSE)), "ERROR","")</f>
        <v/>
      </c>
      <c r="Q1002" s="141"/>
      <c r="R1002" s="143"/>
      <c r="S1002" s="139" t="str">
        <f t="shared" si="2"/>
        <v>1033428</v>
      </c>
      <c r="T1002" s="141"/>
    </row>
    <row r="1003">
      <c r="A1003" s="137">
        <f>IFERROR(__xludf.DUMMYFUNCTION("""COMPUTED_VALUE"""),45352.50290417824)</f>
        <v>45352.5029</v>
      </c>
      <c r="B1003" s="138" t="str">
        <f>IFERROR(__xludf.DUMMYFUNCTION("""COMPUTED_VALUE"""),"Michelle Weber Rawlins")</f>
        <v>Michelle Weber Rawlins</v>
      </c>
      <c r="C1003" s="138">
        <f>IFERROR(__xludf.DUMMYFUNCTION("""COMPUTED_VALUE"""),1074.0)</f>
        <v>1074</v>
      </c>
      <c r="D1003" s="139">
        <f>IFERROR(__xludf.DUMMYFUNCTION("""COMPUTED_VALUE"""),428.0)</f>
        <v>428</v>
      </c>
      <c r="E1003" s="138">
        <f>IFERROR(__xludf.DUMMYFUNCTION("""COMPUTED_VALUE"""),4.0)</f>
        <v>4</v>
      </c>
      <c r="F1003" s="138">
        <f>IFERROR(__xludf.DUMMYFUNCTION("""COMPUTED_VALUE"""),4.0)</f>
        <v>4</v>
      </c>
      <c r="G1003" s="138">
        <f>IFERROR(__xludf.DUMMYFUNCTION("""COMPUTED_VALUE"""),4.0)</f>
        <v>4</v>
      </c>
      <c r="H1003" s="138">
        <f>IFERROR(__xludf.DUMMYFUNCTION("""COMPUTED_VALUE"""),3.0)</f>
        <v>3</v>
      </c>
      <c r="I1003" s="138">
        <f>IFERROR(__xludf.DUMMYFUNCTION("""COMPUTED_VALUE"""),4.0)</f>
        <v>4</v>
      </c>
      <c r="J1003" s="138">
        <f>IFERROR(__xludf.DUMMYFUNCTION("""COMPUTED_VALUE"""),4.0)</f>
        <v>4</v>
      </c>
      <c r="K1003" s="138">
        <f>IFERROR(__xludf.DUMMYFUNCTION("""COMPUTED_VALUE"""),3.0)</f>
        <v>3</v>
      </c>
      <c r="L1003" s="138">
        <v>26.0</v>
      </c>
      <c r="M1003" s="140" t="str">
        <f>VLOOKUP(text(D1003, "#"),'Master Table'!$A:$F, 6, FALSE)</f>
        <v>G-6</v>
      </c>
      <c r="N1003" s="141" t="str">
        <f>IFERROR(__xludf.DUMMYFUNCTION("""COMPUTED_VALUE"""),"The presenter had a great summary of their work. Well organized that I could the presented information well. The student answered questions well, I think there could have been a little bit more thoughtfulness in answers, however it was still very proficie"&amp;"nt based on the students’ experience and background. ")</f>
        <v>The presenter had a great summary of their work. Well organized that I could the presented information well. The student answered questions well, I think there could have been a little bit more thoughtfulness in answers, however it was still very proficient based on the students’ experience and background. </v>
      </c>
      <c r="O1003" s="142" t="str">
        <f t="shared" si="1"/>
        <v/>
      </c>
      <c r="P1003" s="143" t="str">
        <f>IF(ISNA(VLOOKUP(CONCAT(M1003,C1003), 'Judge Count DO NOT EDIT'!H:H, 1, FALSE)), "ERROR","")</f>
        <v/>
      </c>
      <c r="Q1003" s="141"/>
      <c r="R1003" s="143"/>
      <c r="S1003" s="139" t="str">
        <f t="shared" si="2"/>
        <v>1074428</v>
      </c>
      <c r="T1003" s="141"/>
    </row>
    <row r="1004">
      <c r="A1004" s="137">
        <f>IFERROR(__xludf.DUMMYFUNCTION("""COMPUTED_VALUE"""),45352.49747101852)</f>
        <v>45352.49747</v>
      </c>
      <c r="B1004" s="138" t="str">
        <f>IFERROR(__xludf.DUMMYFUNCTION("""COMPUTED_VALUE"""),"Humberto Parada")</f>
        <v>Humberto Parada</v>
      </c>
      <c r="C1004" s="138">
        <f>IFERROR(__xludf.DUMMYFUNCTION("""COMPUTED_VALUE"""),1062.0)</f>
        <v>1062</v>
      </c>
      <c r="D1004" s="139">
        <f>IFERROR(__xludf.DUMMYFUNCTION("""COMPUTED_VALUE"""),429.0)</f>
        <v>429</v>
      </c>
      <c r="E1004" s="138">
        <f>IFERROR(__xludf.DUMMYFUNCTION("""COMPUTED_VALUE"""),4.0)</f>
        <v>4</v>
      </c>
      <c r="F1004" s="138">
        <f>IFERROR(__xludf.DUMMYFUNCTION("""COMPUTED_VALUE"""),4.0)</f>
        <v>4</v>
      </c>
      <c r="G1004" s="138">
        <f>IFERROR(__xludf.DUMMYFUNCTION("""COMPUTED_VALUE"""),4.0)</f>
        <v>4</v>
      </c>
      <c r="H1004" s="138">
        <f>IFERROR(__xludf.DUMMYFUNCTION("""COMPUTED_VALUE"""),4.0)</f>
        <v>4</v>
      </c>
      <c r="I1004" s="138">
        <f>IFERROR(__xludf.DUMMYFUNCTION("""COMPUTED_VALUE"""),5.0)</f>
        <v>5</v>
      </c>
      <c r="J1004" s="138">
        <f>IFERROR(__xludf.DUMMYFUNCTION("""COMPUTED_VALUE"""),5.0)</f>
        <v>5</v>
      </c>
      <c r="K1004" s="138">
        <f>IFERROR(__xludf.DUMMYFUNCTION("""COMPUTED_VALUE"""),5.0)</f>
        <v>5</v>
      </c>
      <c r="L1004" s="138">
        <v>31.0</v>
      </c>
      <c r="M1004" s="140" t="str">
        <f>VLOOKUP(text(D1004, "#"),'Master Table'!$A:$F, 6, FALSE)</f>
        <v>G-6</v>
      </c>
      <c r="N1004" s="141"/>
      <c r="O1004" s="142" t="str">
        <f t="shared" si="1"/>
        <v/>
      </c>
      <c r="P1004" s="143" t="str">
        <f>IF(ISNA(VLOOKUP(CONCAT(M1004,C1004), 'Judge Count DO NOT EDIT'!H:H, 1, FALSE)), "ERROR","")</f>
        <v/>
      </c>
      <c r="Q1004" s="141"/>
      <c r="R1004" s="143"/>
      <c r="S1004" s="139" t="str">
        <f t="shared" si="2"/>
        <v>1062429</v>
      </c>
      <c r="T1004" s="141"/>
    </row>
    <row r="1005">
      <c r="A1005" s="137">
        <f>IFERROR(__xludf.DUMMYFUNCTION("""COMPUTED_VALUE"""),45352.51095978009)</f>
        <v>45352.51096</v>
      </c>
      <c r="B1005" s="138" t="str">
        <f>IFERROR(__xludf.DUMMYFUNCTION("""COMPUTED_VALUE"""),"Cat Ellis")</f>
        <v>Cat Ellis</v>
      </c>
      <c r="C1005" s="138">
        <f>IFERROR(__xludf.DUMMYFUNCTION("""COMPUTED_VALUE"""),1033.0)</f>
        <v>1033</v>
      </c>
      <c r="D1005" s="139">
        <f>IFERROR(__xludf.DUMMYFUNCTION("""COMPUTED_VALUE"""),429.0)</f>
        <v>429</v>
      </c>
      <c r="E1005" s="138">
        <f>IFERROR(__xludf.DUMMYFUNCTION("""COMPUTED_VALUE"""),5.0)</f>
        <v>5</v>
      </c>
      <c r="F1005" s="138">
        <f>IFERROR(__xludf.DUMMYFUNCTION("""COMPUTED_VALUE"""),5.0)</f>
        <v>5</v>
      </c>
      <c r="G1005" s="138">
        <f>IFERROR(__xludf.DUMMYFUNCTION("""COMPUTED_VALUE"""),5.0)</f>
        <v>5</v>
      </c>
      <c r="H1005" s="138">
        <f>IFERROR(__xludf.DUMMYFUNCTION("""COMPUTED_VALUE"""),5.0)</f>
        <v>5</v>
      </c>
      <c r="I1005" s="138">
        <f>IFERROR(__xludf.DUMMYFUNCTION("""COMPUTED_VALUE"""),5.0)</f>
        <v>5</v>
      </c>
      <c r="J1005" s="138">
        <f>IFERROR(__xludf.DUMMYFUNCTION("""COMPUTED_VALUE"""),5.0)</f>
        <v>5</v>
      </c>
      <c r="K1005" s="138">
        <f>IFERROR(__xludf.DUMMYFUNCTION("""COMPUTED_VALUE"""),5.0)</f>
        <v>5</v>
      </c>
      <c r="L1005" s="138">
        <v>35.0</v>
      </c>
      <c r="M1005" s="140" t="str">
        <f>VLOOKUP(text(D1005, "#"),'Master Table'!$A:$F, 6, FALSE)</f>
        <v>G-6</v>
      </c>
      <c r="N1005" s="141" t="str">
        <f>IFERROR(__xludf.DUMMYFUNCTION("""COMPUTED_VALUE"""),"This was well done. I look forward to seeing your future research.")</f>
        <v>This was well done. I look forward to seeing your future research.</v>
      </c>
      <c r="O1005" s="142" t="str">
        <f t="shared" si="1"/>
        <v/>
      </c>
      <c r="P1005" s="143" t="str">
        <f>IF(ISNA(VLOOKUP(CONCAT(M1005,C1005), 'Judge Count DO NOT EDIT'!H:H, 1, FALSE)), "ERROR","")</f>
        <v/>
      </c>
      <c r="Q1005" s="141"/>
      <c r="R1005" s="143"/>
      <c r="S1005" s="139" t="str">
        <f t="shared" si="2"/>
        <v>1033429</v>
      </c>
      <c r="T1005" s="141"/>
    </row>
    <row r="1006">
      <c r="A1006" s="137">
        <f>IFERROR(__xludf.DUMMYFUNCTION("""COMPUTED_VALUE"""),45352.51225168981)</f>
        <v>45352.51225</v>
      </c>
      <c r="B1006" s="138" t="str">
        <f>IFERROR(__xludf.DUMMYFUNCTION("""COMPUTED_VALUE"""),"Michelle Weber Rawlins")</f>
        <v>Michelle Weber Rawlins</v>
      </c>
      <c r="C1006" s="138">
        <f>IFERROR(__xludf.DUMMYFUNCTION("""COMPUTED_VALUE"""),1074.0)</f>
        <v>1074</v>
      </c>
      <c r="D1006" s="139">
        <f>IFERROR(__xludf.DUMMYFUNCTION("""COMPUTED_VALUE"""),429.0)</f>
        <v>429</v>
      </c>
      <c r="E1006" s="138">
        <f>IFERROR(__xludf.DUMMYFUNCTION("""COMPUTED_VALUE"""),4.0)</f>
        <v>4</v>
      </c>
      <c r="F1006" s="138">
        <f>IFERROR(__xludf.DUMMYFUNCTION("""COMPUTED_VALUE"""),4.0)</f>
        <v>4</v>
      </c>
      <c r="G1006" s="138">
        <f>IFERROR(__xludf.DUMMYFUNCTION("""COMPUTED_VALUE"""),4.0)</f>
        <v>4</v>
      </c>
      <c r="H1006" s="138">
        <f>IFERROR(__xludf.DUMMYFUNCTION("""COMPUTED_VALUE"""),4.0)</f>
        <v>4</v>
      </c>
      <c r="I1006" s="138">
        <f>IFERROR(__xludf.DUMMYFUNCTION("""COMPUTED_VALUE"""),3.0)</f>
        <v>3</v>
      </c>
      <c r="J1006" s="138">
        <f>IFERROR(__xludf.DUMMYFUNCTION("""COMPUTED_VALUE"""),4.0)</f>
        <v>4</v>
      </c>
      <c r="K1006" s="138">
        <f>IFERROR(__xludf.DUMMYFUNCTION("""COMPUTED_VALUE"""),4.0)</f>
        <v>4</v>
      </c>
      <c r="L1006" s="138">
        <v>27.0</v>
      </c>
      <c r="M1006" s="140" t="str">
        <f>VLOOKUP(text(D1006, "#"),'Master Table'!$A:$F, 6, FALSE)</f>
        <v>G-6</v>
      </c>
      <c r="N1006" s="141" t="str">
        <f>IFERROR(__xludf.DUMMYFUNCTION("""COMPUTED_VALUE"""),"I can tell that this student did a lot of work on this project. They did a great job describing the work and answering any follow up questions we had. I was slightly distracted sometimes from the postural sway, but that is a very easy fix and minor compar"&amp;"ed to everything else the student did well. I think the expanded version of these results will be great. ")</f>
        <v>I can tell that this student did a lot of work on this project. They did a great job describing the work and answering any follow up questions we had. I was slightly distracted sometimes from the postural sway, but that is a very easy fix and minor compared to everything else the student did well. I think the expanded version of these results will be great. </v>
      </c>
      <c r="O1006" s="142" t="str">
        <f t="shared" si="1"/>
        <v/>
      </c>
      <c r="P1006" s="143" t="str">
        <f>IF(ISNA(VLOOKUP(CONCAT(M1006,C1006), 'Judge Count DO NOT EDIT'!H:H, 1, FALSE)), "ERROR","")</f>
        <v/>
      </c>
      <c r="Q1006" s="141"/>
      <c r="R1006" s="143"/>
      <c r="S1006" s="139" t="str">
        <f t="shared" si="2"/>
        <v>1074429</v>
      </c>
      <c r="T1006" s="141"/>
    </row>
    <row r="1007">
      <c r="A1007" s="137">
        <f>IFERROR(__xludf.DUMMYFUNCTION("""COMPUTED_VALUE"""),45352.48175398148)</f>
        <v>45352.48175</v>
      </c>
      <c r="B1007" s="138" t="str">
        <f>IFERROR(__xludf.DUMMYFUNCTION("""COMPUTED_VALUE"""),"Humberto Parada")</f>
        <v>Humberto Parada</v>
      </c>
      <c r="C1007" s="138">
        <f>IFERROR(__xludf.DUMMYFUNCTION("""COMPUTED_VALUE"""),1062.0)</f>
        <v>1062</v>
      </c>
      <c r="D1007" s="139">
        <f>IFERROR(__xludf.DUMMYFUNCTION("""COMPUTED_VALUE"""),431.0)</f>
        <v>431</v>
      </c>
      <c r="E1007" s="138">
        <f>IFERROR(__xludf.DUMMYFUNCTION("""COMPUTED_VALUE"""),4.0)</f>
        <v>4</v>
      </c>
      <c r="F1007" s="138">
        <f>IFERROR(__xludf.DUMMYFUNCTION("""COMPUTED_VALUE"""),4.0)</f>
        <v>4</v>
      </c>
      <c r="G1007" s="138">
        <f>IFERROR(__xludf.DUMMYFUNCTION("""COMPUTED_VALUE"""),4.0)</f>
        <v>4</v>
      </c>
      <c r="H1007" s="138">
        <f>IFERROR(__xludf.DUMMYFUNCTION("""COMPUTED_VALUE"""),3.0)</f>
        <v>3</v>
      </c>
      <c r="I1007" s="138">
        <f>IFERROR(__xludf.DUMMYFUNCTION("""COMPUTED_VALUE"""),4.0)</f>
        <v>4</v>
      </c>
      <c r="J1007" s="138">
        <f>IFERROR(__xludf.DUMMYFUNCTION("""COMPUTED_VALUE"""),5.0)</f>
        <v>5</v>
      </c>
      <c r="K1007" s="138">
        <f>IFERROR(__xludf.DUMMYFUNCTION("""COMPUTED_VALUE"""),5.0)</f>
        <v>5</v>
      </c>
      <c r="L1007" s="138">
        <v>29.0</v>
      </c>
      <c r="M1007" s="140" t="str">
        <f>VLOOKUP(text(D1007, "#"),'Master Table'!$A:$F, 6, FALSE)</f>
        <v>G-6</v>
      </c>
      <c r="N1007" s="141"/>
      <c r="O1007" s="142" t="str">
        <f t="shared" si="1"/>
        <v/>
      </c>
      <c r="P1007" s="143" t="str">
        <f>IF(ISNA(VLOOKUP(CONCAT(M1007,C1007), 'Judge Count DO NOT EDIT'!H:H, 1, FALSE)), "ERROR","")</f>
        <v/>
      </c>
      <c r="Q1007" s="147"/>
      <c r="R1007" s="143"/>
      <c r="S1007" s="139" t="str">
        <f t="shared" si="2"/>
        <v>1062431</v>
      </c>
      <c r="T1007" s="141"/>
    </row>
    <row r="1008">
      <c r="A1008" s="137">
        <f>IFERROR(__xludf.DUMMYFUNCTION("""COMPUTED_VALUE"""),45352.491671979165)</f>
        <v>45352.49167</v>
      </c>
      <c r="B1008" s="138" t="str">
        <f>IFERROR(__xludf.DUMMYFUNCTION("""COMPUTED_VALUE"""),"Cat Ellis")</f>
        <v>Cat Ellis</v>
      </c>
      <c r="C1008" s="138">
        <f>IFERROR(__xludf.DUMMYFUNCTION("""COMPUTED_VALUE"""),1033.0)</f>
        <v>1033</v>
      </c>
      <c r="D1008" s="139">
        <f>IFERROR(__xludf.DUMMYFUNCTION("""COMPUTED_VALUE"""),431.0)</f>
        <v>431</v>
      </c>
      <c r="E1008" s="138">
        <f>IFERROR(__xludf.DUMMYFUNCTION("""COMPUTED_VALUE"""),5.0)</f>
        <v>5</v>
      </c>
      <c r="F1008" s="138">
        <f>IFERROR(__xludf.DUMMYFUNCTION("""COMPUTED_VALUE"""),5.0)</f>
        <v>5</v>
      </c>
      <c r="G1008" s="138">
        <f>IFERROR(__xludf.DUMMYFUNCTION("""COMPUTED_VALUE"""),5.0)</f>
        <v>5</v>
      </c>
      <c r="H1008" s="138">
        <f>IFERROR(__xludf.DUMMYFUNCTION("""COMPUTED_VALUE"""),5.0)</f>
        <v>5</v>
      </c>
      <c r="I1008" s="138">
        <f>IFERROR(__xludf.DUMMYFUNCTION("""COMPUTED_VALUE"""),5.0)</f>
        <v>5</v>
      </c>
      <c r="J1008" s="138">
        <f>IFERROR(__xludf.DUMMYFUNCTION("""COMPUTED_VALUE"""),5.0)</f>
        <v>5</v>
      </c>
      <c r="K1008" s="138">
        <f>IFERROR(__xludf.DUMMYFUNCTION("""COMPUTED_VALUE"""),5.0)</f>
        <v>5</v>
      </c>
      <c r="L1008" s="138">
        <v>35.0</v>
      </c>
      <c r="M1008" s="140" t="str">
        <f>VLOOKUP(text(D1008, "#"),'Master Table'!$A:$F, 6, FALSE)</f>
        <v>G-6</v>
      </c>
      <c r="N1008" s="141" t="str">
        <f>IFERROR(__xludf.DUMMYFUNCTION("""COMPUTED_VALUE"""),"You did a great job with presenting this research. I look forward to seeing your future research.")</f>
        <v>You did a great job with presenting this research. I look forward to seeing your future research.</v>
      </c>
      <c r="O1008" s="142" t="str">
        <f t="shared" si="1"/>
        <v/>
      </c>
      <c r="P1008" s="143" t="str">
        <f>IF(ISNA(VLOOKUP(CONCAT(M1008,C1008), 'Judge Count DO NOT EDIT'!H:H, 1, FALSE)), "ERROR","")</f>
        <v/>
      </c>
      <c r="Q1008" s="141"/>
      <c r="R1008" s="143"/>
      <c r="S1008" s="139" t="str">
        <f t="shared" si="2"/>
        <v>1033431</v>
      </c>
      <c r="T1008" s="141"/>
    </row>
    <row r="1009">
      <c r="A1009" s="137">
        <f>IFERROR(__xludf.DUMMYFUNCTION("""COMPUTED_VALUE"""),45352.51102314815)</f>
        <v>45352.51102</v>
      </c>
      <c r="B1009" s="138" t="str">
        <f>IFERROR(__xludf.DUMMYFUNCTION("""COMPUTED_VALUE"""),"Michelle Weber Rawlins")</f>
        <v>Michelle Weber Rawlins</v>
      </c>
      <c r="C1009" s="138">
        <f>IFERROR(__xludf.DUMMYFUNCTION("""COMPUTED_VALUE"""),1074.0)</f>
        <v>1074</v>
      </c>
      <c r="D1009" s="139">
        <f>IFERROR(__xludf.DUMMYFUNCTION("""COMPUTED_VALUE"""),431.0)</f>
        <v>431</v>
      </c>
      <c r="E1009" s="138">
        <f>IFERROR(__xludf.DUMMYFUNCTION("""COMPUTED_VALUE"""),4.0)</f>
        <v>4</v>
      </c>
      <c r="F1009" s="138">
        <f>IFERROR(__xludf.DUMMYFUNCTION("""COMPUTED_VALUE"""),4.0)</f>
        <v>4</v>
      </c>
      <c r="G1009" s="138">
        <f>IFERROR(__xludf.DUMMYFUNCTION("""COMPUTED_VALUE"""),3.0)</f>
        <v>3</v>
      </c>
      <c r="H1009" s="138">
        <f>IFERROR(__xludf.DUMMYFUNCTION("""COMPUTED_VALUE"""),4.0)</f>
        <v>4</v>
      </c>
      <c r="I1009" s="138">
        <f>IFERROR(__xludf.DUMMYFUNCTION("""COMPUTED_VALUE"""),4.0)</f>
        <v>4</v>
      </c>
      <c r="J1009" s="138">
        <f>IFERROR(__xludf.DUMMYFUNCTION("""COMPUTED_VALUE"""),4.0)</f>
        <v>4</v>
      </c>
      <c r="K1009" s="138">
        <f>IFERROR(__xludf.DUMMYFUNCTION("""COMPUTED_VALUE"""),4.0)</f>
        <v>4</v>
      </c>
      <c r="L1009" s="138">
        <v>27.0</v>
      </c>
      <c r="M1009" s="140" t="str">
        <f>VLOOKUP(text(D1009, "#"),'Master Table'!$A:$F, 6, FALSE)</f>
        <v>G-6</v>
      </c>
      <c r="N1009" s="141" t="str">
        <f>IFERROR(__xludf.DUMMYFUNCTION("""COMPUTED_VALUE"""),"The students’ presentation was excellent. They did a great job describing their work and answering questions. I appreciated their insight too on what the next steps could be. ")</f>
        <v>The students’ presentation was excellent. They did a great job describing their work and answering questions. I appreciated their insight too on what the next steps could be. </v>
      </c>
      <c r="O1009" s="142" t="str">
        <f t="shared" si="1"/>
        <v/>
      </c>
      <c r="P1009" s="143" t="str">
        <f>IF(ISNA(VLOOKUP(CONCAT(M1009,C1009), 'Judge Count DO NOT EDIT'!H:H, 1, FALSE)), "ERROR","")</f>
        <v/>
      </c>
      <c r="Q1009" s="141"/>
      <c r="R1009" s="143"/>
      <c r="S1009" s="139" t="str">
        <f t="shared" si="2"/>
        <v>1074431</v>
      </c>
      <c r="T1009" s="141"/>
    </row>
    <row r="1010">
      <c r="A1010" s="137">
        <f>IFERROR(__xludf.DUMMYFUNCTION("""COMPUTED_VALUE"""),45352.46830079861)</f>
        <v>45352.4683</v>
      </c>
      <c r="B1010" s="138" t="str">
        <f>IFERROR(__xludf.DUMMYFUNCTION("""COMPUTED_VALUE"""),"Humberto Parada")</f>
        <v>Humberto Parada</v>
      </c>
      <c r="C1010" s="138">
        <f>IFERROR(__xludf.DUMMYFUNCTION("""COMPUTED_VALUE"""),1062.0)</f>
        <v>1062</v>
      </c>
      <c r="D1010" s="139">
        <f>IFERROR(__xludf.DUMMYFUNCTION("""COMPUTED_VALUE"""),432.0)</f>
        <v>432</v>
      </c>
      <c r="E1010" s="138">
        <f>IFERROR(__xludf.DUMMYFUNCTION("""COMPUTED_VALUE"""),5.0)</f>
        <v>5</v>
      </c>
      <c r="F1010" s="138">
        <f>IFERROR(__xludf.DUMMYFUNCTION("""COMPUTED_VALUE"""),4.0)</f>
        <v>4</v>
      </c>
      <c r="G1010" s="138">
        <f>IFERROR(__xludf.DUMMYFUNCTION("""COMPUTED_VALUE"""),5.0)</f>
        <v>5</v>
      </c>
      <c r="H1010" s="138">
        <f>IFERROR(__xludf.DUMMYFUNCTION("""COMPUTED_VALUE"""),5.0)</f>
        <v>5</v>
      </c>
      <c r="I1010" s="138">
        <f>IFERROR(__xludf.DUMMYFUNCTION("""COMPUTED_VALUE"""),3.0)</f>
        <v>3</v>
      </c>
      <c r="J1010" s="138">
        <f>IFERROR(__xludf.DUMMYFUNCTION("""COMPUTED_VALUE"""),4.0)</f>
        <v>4</v>
      </c>
      <c r="K1010" s="138">
        <f>IFERROR(__xludf.DUMMYFUNCTION("""COMPUTED_VALUE"""),4.0)</f>
        <v>4</v>
      </c>
      <c r="L1010" s="138">
        <v>30.0</v>
      </c>
      <c r="M1010" s="140" t="str">
        <f>VLOOKUP(text(D1010, "#"),'Master Table'!$A:$F, 6, FALSE)</f>
        <v>G-6</v>
      </c>
      <c r="N1010" s="141"/>
      <c r="O1010" s="142" t="str">
        <f t="shared" si="1"/>
        <v/>
      </c>
      <c r="P1010" s="143" t="str">
        <f>IF(ISNA(VLOOKUP(CONCAT(M1010,C1010), 'Judge Count DO NOT EDIT'!H:H, 1, FALSE)), "ERROR","")</f>
        <v/>
      </c>
      <c r="Q1010" s="141"/>
      <c r="R1010" s="143"/>
      <c r="S1010" s="139" t="str">
        <f t="shared" si="2"/>
        <v>1062432</v>
      </c>
      <c r="T1010" s="141"/>
    </row>
    <row r="1011">
      <c r="A1011" s="137">
        <f>IFERROR(__xludf.DUMMYFUNCTION("""COMPUTED_VALUE"""),45352.47742444444)</f>
        <v>45352.47742</v>
      </c>
      <c r="B1011" s="138" t="str">
        <f>IFERROR(__xludf.DUMMYFUNCTION("""COMPUTED_VALUE"""),"Cat Ellis")</f>
        <v>Cat Ellis</v>
      </c>
      <c r="C1011" s="138">
        <f>IFERROR(__xludf.DUMMYFUNCTION("""COMPUTED_VALUE"""),1033.0)</f>
        <v>1033</v>
      </c>
      <c r="D1011" s="139">
        <f>IFERROR(__xludf.DUMMYFUNCTION("""COMPUTED_VALUE"""),432.0)</f>
        <v>432</v>
      </c>
      <c r="E1011" s="138">
        <f>IFERROR(__xludf.DUMMYFUNCTION("""COMPUTED_VALUE"""),4.0)</f>
        <v>4</v>
      </c>
      <c r="F1011" s="138">
        <f>IFERROR(__xludf.DUMMYFUNCTION("""COMPUTED_VALUE"""),5.0)</f>
        <v>5</v>
      </c>
      <c r="G1011" s="138">
        <f>IFERROR(__xludf.DUMMYFUNCTION("""COMPUTED_VALUE"""),5.0)</f>
        <v>5</v>
      </c>
      <c r="H1011" s="138">
        <f>IFERROR(__xludf.DUMMYFUNCTION("""COMPUTED_VALUE"""),5.0)</f>
        <v>5</v>
      </c>
      <c r="I1011" s="138">
        <f>IFERROR(__xludf.DUMMYFUNCTION("""COMPUTED_VALUE"""),5.0)</f>
        <v>5</v>
      </c>
      <c r="J1011" s="138">
        <f>IFERROR(__xludf.DUMMYFUNCTION("""COMPUTED_VALUE"""),5.0)</f>
        <v>5</v>
      </c>
      <c r="K1011" s="138">
        <f>IFERROR(__xludf.DUMMYFUNCTION("""COMPUTED_VALUE"""),5.0)</f>
        <v>5</v>
      </c>
      <c r="L1011" s="138">
        <v>34.0</v>
      </c>
      <c r="M1011" s="140" t="str">
        <f>VLOOKUP(text(D1011, "#"),'Master Table'!$A:$F, 6, FALSE)</f>
        <v>G-6</v>
      </c>
      <c r="N1011" s="141" t="str">
        <f>IFERROR(__xludf.DUMMYFUNCTION("""COMPUTED_VALUE"""),"This is a really interesting project that has the potential to lead to policy change. I recommend speaking with a librarian to see if there are additional resources about chemical toxicity.")</f>
        <v>This is a really interesting project that has the potential to lead to policy change. I recommend speaking with a librarian to see if there are additional resources about chemical toxicity.</v>
      </c>
      <c r="O1011" s="142" t="str">
        <f t="shared" si="1"/>
        <v/>
      </c>
      <c r="P1011" s="143" t="str">
        <f>IF(ISNA(VLOOKUP(CONCAT(M1011,C1011), 'Judge Count DO NOT EDIT'!H:H, 1, FALSE)), "ERROR","")</f>
        <v/>
      </c>
      <c r="Q1011" s="141"/>
      <c r="R1011" s="143"/>
      <c r="S1011" s="139" t="str">
        <f t="shared" si="2"/>
        <v>1033432</v>
      </c>
      <c r="T1011" s="141"/>
    </row>
    <row r="1012">
      <c r="A1012" s="137">
        <f>IFERROR(__xludf.DUMMYFUNCTION("""COMPUTED_VALUE"""),45352.50763361111)</f>
        <v>45352.50763</v>
      </c>
      <c r="B1012" s="138" t="str">
        <f>IFERROR(__xludf.DUMMYFUNCTION("""COMPUTED_VALUE"""),"Michelle Weber Rawlins")</f>
        <v>Michelle Weber Rawlins</v>
      </c>
      <c r="C1012" s="138">
        <f>IFERROR(__xludf.DUMMYFUNCTION("""COMPUTED_VALUE"""),1074.0)</f>
        <v>1074</v>
      </c>
      <c r="D1012" s="139">
        <f>IFERROR(__xludf.DUMMYFUNCTION("""COMPUTED_VALUE"""),432.0)</f>
        <v>432</v>
      </c>
      <c r="E1012" s="138">
        <f>IFERROR(__xludf.DUMMYFUNCTION("""COMPUTED_VALUE"""),4.0)</f>
        <v>4</v>
      </c>
      <c r="F1012" s="138">
        <f>IFERROR(__xludf.DUMMYFUNCTION("""COMPUTED_VALUE"""),4.0)</f>
        <v>4</v>
      </c>
      <c r="G1012" s="138">
        <f>IFERROR(__xludf.DUMMYFUNCTION("""COMPUTED_VALUE"""),3.0)</f>
        <v>3</v>
      </c>
      <c r="H1012" s="138">
        <f>IFERROR(__xludf.DUMMYFUNCTION("""COMPUTED_VALUE"""),3.0)</f>
        <v>3</v>
      </c>
      <c r="I1012" s="138">
        <f>IFERROR(__xludf.DUMMYFUNCTION("""COMPUTED_VALUE"""),4.0)</f>
        <v>4</v>
      </c>
      <c r="J1012" s="138">
        <f>IFERROR(__xludf.DUMMYFUNCTION("""COMPUTED_VALUE"""),4.0)</f>
        <v>4</v>
      </c>
      <c r="K1012" s="138">
        <f>IFERROR(__xludf.DUMMYFUNCTION("""COMPUTED_VALUE"""),3.0)</f>
        <v>3</v>
      </c>
      <c r="L1012" s="138">
        <v>25.0</v>
      </c>
      <c r="M1012" s="140" t="str">
        <f>VLOOKUP(text(D1012, "#"),'Master Table'!$A:$F, 6, FALSE)</f>
        <v>G-6</v>
      </c>
      <c r="N1012" s="141" t="str">
        <f>IFERROR(__xludf.DUMMYFUNCTION("""COMPUTED_VALUE"""),"They student’s presentation was great. I would have like to understand a little more how this information matters, however, I could have asked that and it like is there I just missed it. The student did a well at answering my questions for practical impli"&amp;"cations of the information. ")</f>
        <v>They student’s presentation was great. I would have like to understand a little more how this information matters, however, I could have asked that and it like is there I just missed it. The student did a well at answering my questions for practical implications of the information. </v>
      </c>
      <c r="O1012" s="142" t="str">
        <f t="shared" si="1"/>
        <v/>
      </c>
      <c r="P1012" s="143" t="str">
        <f>IF(ISNA(VLOOKUP(CONCAT(M1012,C1012), 'Judge Count DO NOT EDIT'!H:H, 1, FALSE)), "ERROR","")</f>
        <v/>
      </c>
      <c r="Q1012" s="141"/>
      <c r="R1012" s="143"/>
      <c r="S1012" s="139" t="str">
        <f t="shared" si="2"/>
        <v>1074432</v>
      </c>
      <c r="T1012" s="141"/>
    </row>
    <row r="1013">
      <c r="A1013" s="137">
        <f>IFERROR(__xludf.DUMMYFUNCTION("""COMPUTED_VALUE"""),45352.50001847222)</f>
        <v>45352.50002</v>
      </c>
      <c r="B1013" s="138" t="str">
        <f>IFERROR(__xludf.DUMMYFUNCTION("""COMPUTED_VALUE"""),"Cat Ellis")</f>
        <v>Cat Ellis</v>
      </c>
      <c r="C1013" s="138">
        <f>IFERROR(__xludf.DUMMYFUNCTION("""COMPUTED_VALUE"""),1033.0)</f>
        <v>1033</v>
      </c>
      <c r="D1013" s="139">
        <f>IFERROR(__xludf.DUMMYFUNCTION("""COMPUTED_VALUE"""),433.0)</f>
        <v>433</v>
      </c>
      <c r="E1013" s="138">
        <f>IFERROR(__xludf.DUMMYFUNCTION("""COMPUTED_VALUE"""),4.0)</f>
        <v>4</v>
      </c>
      <c r="F1013" s="138">
        <f>IFERROR(__xludf.DUMMYFUNCTION("""COMPUTED_VALUE"""),5.0)</f>
        <v>5</v>
      </c>
      <c r="G1013" s="138">
        <f>IFERROR(__xludf.DUMMYFUNCTION("""COMPUTED_VALUE"""),5.0)</f>
        <v>5</v>
      </c>
      <c r="H1013" s="138">
        <f>IFERROR(__xludf.DUMMYFUNCTION("""COMPUTED_VALUE"""),5.0)</f>
        <v>5</v>
      </c>
      <c r="I1013" s="138">
        <f>IFERROR(__xludf.DUMMYFUNCTION("""COMPUTED_VALUE"""),5.0)</f>
        <v>5</v>
      </c>
      <c r="J1013" s="138">
        <f>IFERROR(__xludf.DUMMYFUNCTION("""COMPUTED_VALUE"""),4.0)</f>
        <v>4</v>
      </c>
      <c r="K1013" s="138">
        <f>IFERROR(__xludf.DUMMYFUNCTION("""COMPUTED_VALUE"""),5.0)</f>
        <v>5</v>
      </c>
      <c r="L1013" s="138">
        <v>33.0</v>
      </c>
      <c r="M1013" s="140" t="str">
        <f>VLOOKUP(text(D1013, "#"),'Master Table'!$A:$F, 6, FALSE)</f>
        <v>G-6</v>
      </c>
      <c r="N1013" s="141" t="str">
        <f>IFERROR(__xludf.DUMMYFUNCTION("""COMPUTED_VALUE"""),"This is an important area of research, and I’m glad to see our students engaging in it. One thing to remember for future posters is color contrast; the white text on a light background was hard to read.")</f>
        <v>This is an important area of research, and I’m glad to see our students engaging in it. One thing to remember for future posters is color contrast; the white text on a light background was hard to read.</v>
      </c>
      <c r="O1013" s="142" t="str">
        <f t="shared" si="1"/>
        <v/>
      </c>
      <c r="P1013" s="143" t="str">
        <f>IF(ISNA(VLOOKUP(CONCAT(M1013,C1013), 'Judge Count DO NOT EDIT'!H:H, 1, FALSE)), "ERROR","")</f>
        <v/>
      </c>
      <c r="Q1013" s="141"/>
      <c r="R1013" s="143"/>
      <c r="S1013" s="139" t="str">
        <f t="shared" si="2"/>
        <v>1033433</v>
      </c>
      <c r="T1013" s="141"/>
    </row>
    <row r="1014">
      <c r="A1014" s="137">
        <f>IFERROR(__xludf.DUMMYFUNCTION("""COMPUTED_VALUE"""),45352.505637256945)</f>
        <v>45352.50564</v>
      </c>
      <c r="B1014" s="138" t="str">
        <f>IFERROR(__xludf.DUMMYFUNCTION("""COMPUTED_VALUE"""),"Humberto Parada")</f>
        <v>Humberto Parada</v>
      </c>
      <c r="C1014" s="138">
        <f>IFERROR(__xludf.DUMMYFUNCTION("""COMPUTED_VALUE"""),1062.0)</f>
        <v>1062</v>
      </c>
      <c r="D1014" s="139">
        <f>IFERROR(__xludf.DUMMYFUNCTION("""COMPUTED_VALUE"""),433.0)</f>
        <v>433</v>
      </c>
      <c r="E1014" s="138">
        <f>IFERROR(__xludf.DUMMYFUNCTION("""COMPUTED_VALUE"""),4.0)</f>
        <v>4</v>
      </c>
      <c r="F1014" s="138">
        <f>IFERROR(__xludf.DUMMYFUNCTION("""COMPUTED_VALUE"""),4.0)</f>
        <v>4</v>
      </c>
      <c r="G1014" s="138">
        <f>IFERROR(__xludf.DUMMYFUNCTION("""COMPUTED_VALUE"""),4.0)</f>
        <v>4</v>
      </c>
      <c r="H1014" s="138">
        <f>IFERROR(__xludf.DUMMYFUNCTION("""COMPUTED_VALUE"""),5.0)</f>
        <v>5</v>
      </c>
      <c r="I1014" s="138">
        <f>IFERROR(__xludf.DUMMYFUNCTION("""COMPUTED_VALUE"""),5.0)</f>
        <v>5</v>
      </c>
      <c r="J1014" s="138">
        <f>IFERROR(__xludf.DUMMYFUNCTION("""COMPUTED_VALUE"""),5.0)</f>
        <v>5</v>
      </c>
      <c r="K1014" s="138">
        <f>IFERROR(__xludf.DUMMYFUNCTION("""COMPUTED_VALUE"""),5.0)</f>
        <v>5</v>
      </c>
      <c r="L1014" s="138">
        <v>32.0</v>
      </c>
      <c r="M1014" s="140" t="str">
        <f>VLOOKUP(text(D1014, "#"),'Master Table'!$A:$F, 6, FALSE)</f>
        <v>G-6</v>
      </c>
      <c r="N1014" s="141"/>
      <c r="O1014" s="142" t="str">
        <f t="shared" si="1"/>
        <v/>
      </c>
      <c r="P1014" s="143" t="str">
        <f>IF(ISNA(VLOOKUP(CONCAT(M1014,C1014), 'Judge Count DO NOT EDIT'!H:H, 1, FALSE)), "ERROR","")</f>
        <v/>
      </c>
      <c r="Q1014" s="141"/>
      <c r="R1014" s="143"/>
      <c r="S1014" s="139" t="str">
        <f t="shared" si="2"/>
        <v>1062433</v>
      </c>
      <c r="T1014" s="141"/>
    </row>
    <row r="1015">
      <c r="A1015" s="137">
        <f>IFERROR(__xludf.DUMMYFUNCTION("""COMPUTED_VALUE"""),45352.50983756944)</f>
        <v>45352.50984</v>
      </c>
      <c r="B1015" s="138" t="str">
        <f>IFERROR(__xludf.DUMMYFUNCTION("""COMPUTED_VALUE"""),"Michelle Weber Rawlins")</f>
        <v>Michelle Weber Rawlins</v>
      </c>
      <c r="C1015" s="138">
        <f>IFERROR(__xludf.DUMMYFUNCTION("""COMPUTED_VALUE"""),1074.0)</f>
        <v>1074</v>
      </c>
      <c r="D1015" s="139">
        <f>IFERROR(__xludf.DUMMYFUNCTION("""COMPUTED_VALUE"""),433.0)</f>
        <v>433</v>
      </c>
      <c r="E1015" s="138">
        <f>IFERROR(__xludf.DUMMYFUNCTION("""COMPUTED_VALUE"""),3.0)</f>
        <v>3</v>
      </c>
      <c r="F1015" s="138">
        <f>IFERROR(__xludf.DUMMYFUNCTION("""COMPUTED_VALUE"""),4.0)</f>
        <v>4</v>
      </c>
      <c r="G1015" s="138">
        <f>IFERROR(__xludf.DUMMYFUNCTION("""COMPUTED_VALUE"""),5.0)</f>
        <v>5</v>
      </c>
      <c r="H1015" s="138">
        <f>IFERROR(__xludf.DUMMYFUNCTION("""COMPUTED_VALUE"""),4.0)</f>
        <v>4</v>
      </c>
      <c r="I1015" s="138">
        <f>IFERROR(__xludf.DUMMYFUNCTION("""COMPUTED_VALUE"""),4.0)</f>
        <v>4</v>
      </c>
      <c r="J1015" s="138">
        <f>IFERROR(__xludf.DUMMYFUNCTION("""COMPUTED_VALUE"""),4.0)</f>
        <v>4</v>
      </c>
      <c r="K1015" s="138">
        <f>IFERROR(__xludf.DUMMYFUNCTION("""COMPUTED_VALUE"""),4.0)</f>
        <v>4</v>
      </c>
      <c r="L1015" s="138">
        <v>28.0</v>
      </c>
      <c r="M1015" s="140" t="str">
        <f>VLOOKUP(text(D1015, "#"),'Master Table'!$A:$F, 6, FALSE)</f>
        <v>G-6</v>
      </c>
      <c r="N1015" s="141" t="str">
        <f>IFERROR(__xludf.DUMMYFUNCTION("""COMPUTED_VALUE"""),"The student did a great job answering my questions. I appreciated their insight. I got a little confused during the methological presentation but when I asked my follow up questions the student answered them well. This topic was very interesting and I’m l"&amp;"ooking forward to this project making an impact. ")</f>
        <v>The student did a great job answering my questions. I appreciated their insight. I got a little confused during the methological presentation but when I asked my follow up questions the student answered them well. This topic was very interesting and I’m looking forward to this project making an impact. </v>
      </c>
      <c r="O1015" s="142" t="str">
        <f t="shared" si="1"/>
        <v/>
      </c>
      <c r="P1015" s="143" t="str">
        <f>IF(ISNA(VLOOKUP(CONCAT(M1015,C1015), 'Judge Count DO NOT EDIT'!H:H, 1, FALSE)), "ERROR","")</f>
        <v/>
      </c>
      <c r="Q1015" s="141"/>
      <c r="R1015" s="143"/>
      <c r="S1015" s="139" t="str">
        <f t="shared" si="2"/>
        <v>1074433</v>
      </c>
      <c r="T1015" s="141"/>
    </row>
    <row r="1016">
      <c r="A1016" s="137">
        <f>IFERROR(__xludf.DUMMYFUNCTION("""COMPUTED_VALUE"""),45352.47708700231)</f>
        <v>45352.47709</v>
      </c>
      <c r="B1016" s="138" t="str">
        <f>IFERROR(__xludf.DUMMYFUNCTION("""COMPUTED_VALUE"""),"Sara Gombatto")</f>
        <v>Sara Gombatto</v>
      </c>
      <c r="C1016" s="138">
        <f>IFERROR(__xludf.DUMMYFUNCTION("""COMPUTED_VALUE"""),1193.0)</f>
        <v>1193</v>
      </c>
      <c r="D1016" s="139">
        <f>IFERROR(__xludf.DUMMYFUNCTION("""COMPUTED_VALUE"""),434.0)</f>
        <v>434</v>
      </c>
      <c r="E1016" s="138">
        <f>IFERROR(__xludf.DUMMYFUNCTION("""COMPUTED_VALUE"""),4.0)</f>
        <v>4</v>
      </c>
      <c r="F1016" s="138">
        <f>IFERROR(__xludf.DUMMYFUNCTION("""COMPUTED_VALUE"""),5.0)</f>
        <v>5</v>
      </c>
      <c r="G1016" s="138">
        <f>IFERROR(__xludf.DUMMYFUNCTION("""COMPUTED_VALUE"""),4.0)</f>
        <v>4</v>
      </c>
      <c r="H1016" s="138">
        <f>IFERROR(__xludf.DUMMYFUNCTION("""COMPUTED_VALUE"""),4.0)</f>
        <v>4</v>
      </c>
      <c r="I1016" s="138">
        <f>IFERROR(__xludf.DUMMYFUNCTION("""COMPUTED_VALUE"""),4.0)</f>
        <v>4</v>
      </c>
      <c r="J1016" s="138">
        <f>IFERROR(__xludf.DUMMYFUNCTION("""COMPUTED_VALUE"""),4.0)</f>
        <v>4</v>
      </c>
      <c r="K1016" s="138">
        <f>IFERROR(__xludf.DUMMYFUNCTION("""COMPUTED_VALUE"""),5.0)</f>
        <v>5</v>
      </c>
      <c r="L1016" s="138">
        <v>30.0</v>
      </c>
      <c r="M1016" s="140" t="str">
        <f>VLOOKUP(text(D1016, "#"),'Master Table'!$A:$F, 6, FALSE)</f>
        <v>G-7</v>
      </c>
      <c r="N1016" s="141" t="str">
        <f>IFERROR(__xludf.DUMMYFUNCTION("""COMPUTED_VALUE"""),"Excellent knowledge of topic")</f>
        <v>Excellent knowledge of topic</v>
      </c>
      <c r="O1016" s="142" t="str">
        <f t="shared" si="1"/>
        <v/>
      </c>
      <c r="P1016" s="143" t="str">
        <f>IF(ISNA(VLOOKUP(CONCAT(M1016,C1016), 'Judge Count DO NOT EDIT'!H:H, 1, FALSE)), "ERROR","")</f>
        <v/>
      </c>
      <c r="Q1016" s="144"/>
      <c r="R1016" s="143"/>
      <c r="S1016" s="139" t="str">
        <f t="shared" si="2"/>
        <v>1193434</v>
      </c>
      <c r="T1016" s="141"/>
    </row>
    <row r="1017">
      <c r="A1017" s="137">
        <f>IFERROR(__xludf.DUMMYFUNCTION("""COMPUTED_VALUE"""),45352.49331480324)</f>
        <v>45352.49331</v>
      </c>
      <c r="B1017" s="138" t="str">
        <f>IFERROR(__xludf.DUMMYFUNCTION("""COMPUTED_VALUE"""),"Francesca Wade")</f>
        <v>Francesca Wade</v>
      </c>
      <c r="C1017" s="138">
        <f>IFERROR(__xludf.DUMMYFUNCTION("""COMPUTED_VALUE"""),1061.0)</f>
        <v>1061</v>
      </c>
      <c r="D1017" s="139">
        <f>IFERROR(__xludf.DUMMYFUNCTION("""COMPUTED_VALUE"""),434.0)</f>
        <v>434</v>
      </c>
      <c r="E1017" s="138">
        <f>IFERROR(__xludf.DUMMYFUNCTION("""COMPUTED_VALUE"""),4.0)</f>
        <v>4</v>
      </c>
      <c r="F1017" s="138">
        <f>IFERROR(__xludf.DUMMYFUNCTION("""COMPUTED_VALUE"""),4.0)</f>
        <v>4</v>
      </c>
      <c r="G1017" s="138">
        <f>IFERROR(__xludf.DUMMYFUNCTION("""COMPUTED_VALUE"""),3.0)</f>
        <v>3</v>
      </c>
      <c r="H1017" s="138">
        <f>IFERROR(__xludf.DUMMYFUNCTION("""COMPUTED_VALUE"""),4.0)</f>
        <v>4</v>
      </c>
      <c r="I1017" s="138">
        <f>IFERROR(__xludf.DUMMYFUNCTION("""COMPUTED_VALUE"""),3.0)</f>
        <v>3</v>
      </c>
      <c r="J1017" s="138">
        <f>IFERROR(__xludf.DUMMYFUNCTION("""COMPUTED_VALUE"""),4.0)</f>
        <v>4</v>
      </c>
      <c r="K1017" s="138">
        <f>IFERROR(__xludf.DUMMYFUNCTION("""COMPUTED_VALUE"""),3.0)</f>
        <v>3</v>
      </c>
      <c r="L1017" s="138">
        <v>25.0</v>
      </c>
      <c r="M1017" s="140" t="str">
        <f>VLOOKUP(text(D1017, "#"),'Master Table'!$A:$F, 6, FALSE)</f>
        <v>G-7</v>
      </c>
      <c r="N1017" s="141" t="str">
        <f>IFERROR(__xludf.DUMMYFUNCTION("""COMPUTED_VALUE"""),"Poster is very clear with a good balance of text and photos. Audience interaction was fine, yet didn’t always incorporate everyone who is listening. ")</f>
        <v>Poster is very clear with a good balance of text and photos. Audience interaction was fine, yet didn’t always incorporate everyone who is listening. </v>
      </c>
      <c r="O1017" s="142" t="str">
        <f t="shared" si="1"/>
        <v/>
      </c>
      <c r="P1017" s="143" t="str">
        <f>IF(ISNA(VLOOKUP(CONCAT(M1017,C1017), 'Judge Count DO NOT EDIT'!H:H, 1, FALSE)), "ERROR","")</f>
        <v/>
      </c>
      <c r="Q1017" s="144"/>
      <c r="R1017" s="143"/>
      <c r="S1017" s="139" t="str">
        <f t="shared" si="2"/>
        <v>1061434</v>
      </c>
      <c r="T1017" s="141"/>
    </row>
    <row r="1018">
      <c r="A1018" s="137">
        <f>IFERROR(__xludf.DUMMYFUNCTION("""COMPUTED_VALUE"""),45352.4959471412)</f>
        <v>45352.49595</v>
      </c>
      <c r="B1018" s="138" t="str">
        <f>IFERROR(__xludf.DUMMYFUNCTION("""COMPUTED_VALUE"""),"Arjan van der Star")</f>
        <v>Arjan van der Star</v>
      </c>
      <c r="C1018" s="138">
        <f>IFERROR(__xludf.DUMMYFUNCTION("""COMPUTED_VALUE"""),1207.0)</f>
        <v>1207</v>
      </c>
      <c r="D1018" s="139">
        <f>IFERROR(__xludf.DUMMYFUNCTION("""COMPUTED_VALUE"""),434.0)</f>
        <v>434</v>
      </c>
      <c r="E1018" s="138">
        <f>IFERROR(__xludf.DUMMYFUNCTION("""COMPUTED_VALUE"""),5.0)</f>
        <v>5</v>
      </c>
      <c r="F1018" s="138">
        <f>IFERROR(__xludf.DUMMYFUNCTION("""COMPUTED_VALUE"""),5.0)</f>
        <v>5</v>
      </c>
      <c r="G1018" s="138">
        <f>IFERROR(__xludf.DUMMYFUNCTION("""COMPUTED_VALUE"""),4.0)</f>
        <v>4</v>
      </c>
      <c r="H1018" s="138">
        <f>IFERROR(__xludf.DUMMYFUNCTION("""COMPUTED_VALUE"""),4.0)</f>
        <v>4</v>
      </c>
      <c r="I1018" s="138">
        <f>IFERROR(__xludf.DUMMYFUNCTION("""COMPUTED_VALUE"""),4.0)</f>
        <v>4</v>
      </c>
      <c r="J1018" s="138">
        <f>IFERROR(__xludf.DUMMYFUNCTION("""COMPUTED_VALUE"""),4.0)</f>
        <v>4</v>
      </c>
      <c r="K1018" s="138">
        <f>IFERROR(__xludf.DUMMYFUNCTION("""COMPUTED_VALUE"""),4.0)</f>
        <v>4</v>
      </c>
      <c r="L1018" s="138">
        <v>30.0</v>
      </c>
      <c r="M1018" s="140" t="str">
        <f>VLOOKUP(text(D1018, "#"),'Master Table'!$A:$F, 6, FALSE)</f>
        <v>G-7</v>
      </c>
      <c r="N1018" s="141" t="str">
        <f>IFERROR(__xludf.DUMMYFUNCTION("""COMPUTED_VALUE"""),"Group presented finding in an engaging way and had some good transitions prepared to move between divided parts. Presentation could perhaps benefit, visually, from making direct comparisons with existing product and also test the perceptions of the produc"&amp;"ts in a comparative design.")</f>
        <v>Group presented finding in an engaging way and had some good transitions prepared to move between divided parts. Presentation could perhaps benefit, visually, from making direct comparisons with existing product and also test the perceptions of the products in a comparative design.</v>
      </c>
      <c r="O1018" s="142" t="str">
        <f t="shared" si="1"/>
        <v/>
      </c>
      <c r="P1018" s="143" t="str">
        <f>IF(ISNA(VLOOKUP(CONCAT(M1018,C1018), 'Judge Count DO NOT EDIT'!H:H, 1, FALSE)), "ERROR","")</f>
        <v/>
      </c>
      <c r="Q1018" s="141"/>
      <c r="R1018" s="143"/>
      <c r="S1018" s="139" t="str">
        <f t="shared" si="2"/>
        <v>1207434</v>
      </c>
      <c r="T1018" s="141"/>
    </row>
    <row r="1019">
      <c r="A1019" s="137">
        <f>IFERROR(__xludf.DUMMYFUNCTION("""COMPUTED_VALUE"""),45352.60547255787)</f>
        <v>45352.60547</v>
      </c>
      <c r="B1019" s="138" t="str">
        <f>IFERROR(__xludf.DUMMYFUNCTION("""COMPUTED_VALUE"""),"Brendan Daly")</f>
        <v>Brendan Daly</v>
      </c>
      <c r="C1019" s="138">
        <f>IFERROR(__xludf.DUMMYFUNCTION("""COMPUTED_VALUE"""),1220.0)</f>
        <v>1220</v>
      </c>
      <c r="D1019" s="139">
        <f>IFERROR(__xludf.DUMMYFUNCTION("""COMPUTED_VALUE"""),434.0)</f>
        <v>434</v>
      </c>
      <c r="E1019" s="138">
        <f>IFERROR(__xludf.DUMMYFUNCTION("""COMPUTED_VALUE"""),4.0)</f>
        <v>4</v>
      </c>
      <c r="F1019" s="138">
        <f>IFERROR(__xludf.DUMMYFUNCTION("""COMPUTED_VALUE"""),5.0)</f>
        <v>5</v>
      </c>
      <c r="G1019" s="138">
        <f>IFERROR(__xludf.DUMMYFUNCTION("""COMPUTED_VALUE"""),4.0)</f>
        <v>4</v>
      </c>
      <c r="H1019" s="138">
        <f>IFERROR(__xludf.DUMMYFUNCTION("""COMPUTED_VALUE"""),4.0)</f>
        <v>4</v>
      </c>
      <c r="I1019" s="138">
        <f>IFERROR(__xludf.DUMMYFUNCTION("""COMPUTED_VALUE"""),4.0)</f>
        <v>4</v>
      </c>
      <c r="J1019" s="138">
        <f>IFERROR(__xludf.DUMMYFUNCTION("""COMPUTED_VALUE"""),5.0)</f>
        <v>5</v>
      </c>
      <c r="K1019" s="138">
        <f>IFERROR(__xludf.DUMMYFUNCTION("""COMPUTED_VALUE"""),5.0)</f>
        <v>5</v>
      </c>
      <c r="L1019" s="138">
        <v>31.0</v>
      </c>
      <c r="M1019" s="140" t="str">
        <f>VLOOKUP(text(D1019, "#"),'Master Table'!$A:$F, 6, FALSE)</f>
        <v>G-7</v>
      </c>
      <c r="N1019" s="141" t="str">
        <f>IFERROR(__xludf.DUMMYFUNCTION("""COMPUTED_VALUE"""),"good concept, excellent market research, creative")</f>
        <v>good concept, excellent market research, creative</v>
      </c>
      <c r="O1019" s="142" t="str">
        <f t="shared" si="1"/>
        <v/>
      </c>
      <c r="P1019" s="143" t="str">
        <f>IF(ISNA(VLOOKUP(CONCAT(M1019,C1019), 'Judge Count DO NOT EDIT'!H:H, 1, FALSE)), "ERROR","")</f>
        <v/>
      </c>
      <c r="Q1019" s="141"/>
      <c r="R1019" s="143"/>
      <c r="S1019" s="139" t="str">
        <f t="shared" si="2"/>
        <v>1220434</v>
      </c>
      <c r="T1019" s="141"/>
    </row>
    <row r="1020">
      <c r="A1020" s="137">
        <f>IFERROR(__xludf.DUMMYFUNCTION("""COMPUTED_VALUE"""),45352.638492384256)</f>
        <v>45352.63849</v>
      </c>
      <c r="B1020" s="138" t="str">
        <f>IFERROR(__xludf.DUMMYFUNCTION("""COMPUTED_VALUE"""),"Sonja Pruitt-Lord")</f>
        <v>Sonja Pruitt-Lord</v>
      </c>
      <c r="C1020" s="138">
        <f>IFERROR(__xludf.DUMMYFUNCTION("""COMPUTED_VALUE"""),1191.0)</f>
        <v>1191</v>
      </c>
      <c r="D1020" s="139">
        <f>IFERROR(__xludf.DUMMYFUNCTION("""COMPUTED_VALUE"""),434.0)</f>
        <v>434</v>
      </c>
      <c r="E1020" s="138">
        <f>IFERROR(__xludf.DUMMYFUNCTION("""COMPUTED_VALUE"""),4.0)</f>
        <v>4</v>
      </c>
      <c r="F1020" s="138">
        <f>IFERROR(__xludf.DUMMYFUNCTION("""COMPUTED_VALUE"""),5.0)</f>
        <v>5</v>
      </c>
      <c r="G1020" s="138">
        <f>IFERROR(__xludf.DUMMYFUNCTION("""COMPUTED_VALUE"""),4.0)</f>
        <v>4</v>
      </c>
      <c r="H1020" s="138">
        <f>IFERROR(__xludf.DUMMYFUNCTION("""COMPUTED_VALUE"""),4.0)</f>
        <v>4</v>
      </c>
      <c r="I1020" s="138">
        <f>IFERROR(__xludf.DUMMYFUNCTION("""COMPUTED_VALUE"""),4.0)</f>
        <v>4</v>
      </c>
      <c r="J1020" s="138">
        <f>IFERROR(__xludf.DUMMYFUNCTION("""COMPUTED_VALUE"""),4.0)</f>
        <v>4</v>
      </c>
      <c r="K1020" s="138">
        <f>IFERROR(__xludf.DUMMYFUNCTION("""COMPUTED_VALUE"""),5.0)</f>
        <v>5</v>
      </c>
      <c r="L1020" s="138">
        <v>30.0</v>
      </c>
      <c r="M1020" s="140" t="str">
        <f>VLOOKUP(text(D1020, "#"),'Master Table'!$A:$F, 6, FALSE)</f>
        <v>G-7</v>
      </c>
      <c r="N1020" s="141" t="str">
        <f>IFERROR(__xludf.DUMMYFUNCTION("""COMPUTED_VALUE"""),"Unique idea - - - students were enthusiastic and well-informed; images were helpful; consider bullets/bolding for heavy text areas")</f>
        <v>Unique idea - - - students were enthusiastic and well-informed; images were helpful; consider bullets/bolding for heavy text areas</v>
      </c>
      <c r="O1020" s="142" t="str">
        <f t="shared" si="1"/>
        <v/>
      </c>
      <c r="P1020" s="143" t="str">
        <f>IF(ISNA(VLOOKUP(CONCAT(M1020,C1020), 'Judge Count DO NOT EDIT'!H:H, 1, FALSE)), "ERROR","")</f>
        <v/>
      </c>
      <c r="Q1020" s="141"/>
      <c r="R1020" s="143"/>
      <c r="S1020" s="139" t="str">
        <f t="shared" si="2"/>
        <v>1191434</v>
      </c>
      <c r="T1020" s="141"/>
    </row>
    <row r="1021">
      <c r="A1021" s="137">
        <f>IFERROR(__xludf.DUMMYFUNCTION("""COMPUTED_VALUE"""),45352.47395784722)</f>
        <v>45352.47396</v>
      </c>
      <c r="B1021" s="138" t="str">
        <f>IFERROR(__xludf.DUMMYFUNCTION("""COMPUTED_VALUE"""),"Francesca Wade")</f>
        <v>Francesca Wade</v>
      </c>
      <c r="C1021" s="138">
        <f>IFERROR(__xludf.DUMMYFUNCTION("""COMPUTED_VALUE"""),1061.0)</f>
        <v>1061</v>
      </c>
      <c r="D1021" s="139">
        <f>IFERROR(__xludf.DUMMYFUNCTION("""COMPUTED_VALUE"""),436.0)</f>
        <v>436</v>
      </c>
      <c r="E1021" s="138">
        <f>IFERROR(__xludf.DUMMYFUNCTION("""COMPUTED_VALUE"""),4.0)</f>
        <v>4</v>
      </c>
      <c r="F1021" s="138">
        <f>IFERROR(__xludf.DUMMYFUNCTION("""COMPUTED_VALUE"""),3.0)</f>
        <v>3</v>
      </c>
      <c r="G1021" s="138">
        <f>IFERROR(__xludf.DUMMYFUNCTION("""COMPUTED_VALUE"""),4.0)</f>
        <v>4</v>
      </c>
      <c r="H1021" s="138">
        <f>IFERROR(__xludf.DUMMYFUNCTION("""COMPUTED_VALUE"""),4.0)</f>
        <v>4</v>
      </c>
      <c r="I1021" s="138">
        <f>IFERROR(__xludf.DUMMYFUNCTION("""COMPUTED_VALUE"""),3.0)</f>
        <v>3</v>
      </c>
      <c r="J1021" s="138">
        <f>IFERROR(__xludf.DUMMYFUNCTION("""COMPUTED_VALUE"""),2.0)</f>
        <v>2</v>
      </c>
      <c r="K1021" s="138">
        <f>IFERROR(__xludf.DUMMYFUNCTION("""COMPUTED_VALUE"""),4.0)</f>
        <v>4</v>
      </c>
      <c r="L1021" s="138">
        <v>24.0</v>
      </c>
      <c r="M1021" s="140" t="str">
        <f>VLOOKUP(text(D1021, "#"),'Master Table'!$A:$F, 6, FALSE)</f>
        <v>G-7</v>
      </c>
      <c r="N1021" s="141" t="str">
        <f>IFERROR(__xludf.DUMMYFUNCTION("""COMPUTED_VALUE"""),"Very clear responses to questions and good insights to limitations. Poster itself is very text heavy and hard to read. ")</f>
        <v>Very clear responses to questions and good insights to limitations. Poster itself is very text heavy and hard to read. </v>
      </c>
      <c r="O1021" s="142" t="str">
        <f t="shared" si="1"/>
        <v/>
      </c>
      <c r="P1021" s="143" t="str">
        <f>IF(ISNA(VLOOKUP(CONCAT(M1021,C1021), 'Judge Count DO NOT EDIT'!H:H, 1, FALSE)), "ERROR","")</f>
        <v/>
      </c>
      <c r="Q1021" s="141"/>
      <c r="R1021" s="143"/>
      <c r="S1021" s="139" t="str">
        <f t="shared" si="2"/>
        <v>1061436</v>
      </c>
      <c r="T1021" s="141"/>
    </row>
    <row r="1022">
      <c r="A1022" s="137">
        <f>IFERROR(__xludf.DUMMYFUNCTION("""COMPUTED_VALUE"""),45352.48475957176)</f>
        <v>45352.48476</v>
      </c>
      <c r="B1022" s="138" t="str">
        <f>IFERROR(__xludf.DUMMYFUNCTION("""COMPUTED_VALUE"""),"Sara Gombatto")</f>
        <v>Sara Gombatto</v>
      </c>
      <c r="C1022" s="138">
        <f>IFERROR(__xludf.DUMMYFUNCTION("""COMPUTED_VALUE"""),1193.0)</f>
        <v>1193</v>
      </c>
      <c r="D1022" s="139">
        <f>IFERROR(__xludf.DUMMYFUNCTION("""COMPUTED_VALUE"""),436.0)</f>
        <v>436</v>
      </c>
      <c r="E1022" s="138">
        <f>IFERROR(__xludf.DUMMYFUNCTION("""COMPUTED_VALUE"""),4.0)</f>
        <v>4</v>
      </c>
      <c r="F1022" s="138">
        <f>IFERROR(__xludf.DUMMYFUNCTION("""COMPUTED_VALUE"""),5.0)</f>
        <v>5</v>
      </c>
      <c r="G1022" s="138">
        <f>IFERROR(__xludf.DUMMYFUNCTION("""COMPUTED_VALUE"""),4.0)</f>
        <v>4</v>
      </c>
      <c r="H1022" s="138">
        <f>IFERROR(__xludf.DUMMYFUNCTION("""COMPUTED_VALUE"""),4.0)</f>
        <v>4</v>
      </c>
      <c r="I1022" s="138">
        <f>IFERROR(__xludf.DUMMYFUNCTION("""COMPUTED_VALUE"""),3.0)</f>
        <v>3</v>
      </c>
      <c r="J1022" s="138">
        <f>IFERROR(__xludf.DUMMYFUNCTION("""COMPUTED_VALUE"""),3.0)</f>
        <v>3</v>
      </c>
      <c r="K1022" s="138">
        <f>IFERROR(__xludf.DUMMYFUNCTION("""COMPUTED_VALUE"""),4.0)</f>
        <v>4</v>
      </c>
      <c r="L1022" s="138">
        <v>27.0</v>
      </c>
      <c r="M1022" s="140" t="str">
        <f>VLOOKUP(text(D1022, "#"),'Master Table'!$A:$F, 6, FALSE)</f>
        <v>G-7</v>
      </c>
      <c r="N1022" s="141" t="str">
        <f>IFERROR(__xludf.DUMMYFUNCTION("""COMPUTED_VALUE"""),"Had to prompt to present all aspects of research")</f>
        <v>Had to prompt to present all aspects of research</v>
      </c>
      <c r="O1022" s="142" t="str">
        <f t="shared" si="1"/>
        <v/>
      </c>
      <c r="P1022" s="143" t="str">
        <f>IF(ISNA(VLOOKUP(CONCAT(M1022,C1022), 'Judge Count DO NOT EDIT'!H:H, 1, FALSE)), "ERROR","")</f>
        <v/>
      </c>
      <c r="Q1022" s="141"/>
      <c r="R1022" s="143"/>
      <c r="S1022" s="139" t="str">
        <f t="shared" si="2"/>
        <v>1193436</v>
      </c>
      <c r="T1022" s="141"/>
    </row>
    <row r="1023">
      <c r="A1023" s="137">
        <f>IFERROR(__xludf.DUMMYFUNCTION("""COMPUTED_VALUE"""),45352.502213182874)</f>
        <v>45352.50221</v>
      </c>
      <c r="B1023" s="138" t="str">
        <f>IFERROR(__xludf.DUMMYFUNCTION("""COMPUTED_VALUE"""),"Arjan van der Star")</f>
        <v>Arjan van der Star</v>
      </c>
      <c r="C1023" s="138">
        <f>IFERROR(__xludf.DUMMYFUNCTION("""COMPUTED_VALUE"""),1207.0)</f>
        <v>1207</v>
      </c>
      <c r="D1023" s="139">
        <f>IFERROR(__xludf.DUMMYFUNCTION("""COMPUTED_VALUE"""),436.0)</f>
        <v>436</v>
      </c>
      <c r="E1023" s="138">
        <f>IFERROR(__xludf.DUMMYFUNCTION("""COMPUTED_VALUE"""),4.0)</f>
        <v>4</v>
      </c>
      <c r="F1023" s="138">
        <f>IFERROR(__xludf.DUMMYFUNCTION("""COMPUTED_VALUE"""),4.0)</f>
        <v>4</v>
      </c>
      <c r="G1023" s="138">
        <f>IFERROR(__xludf.DUMMYFUNCTION("""COMPUTED_VALUE"""),4.0)</f>
        <v>4</v>
      </c>
      <c r="H1023" s="138">
        <f>IFERROR(__xludf.DUMMYFUNCTION("""COMPUTED_VALUE"""),4.0)</f>
        <v>4</v>
      </c>
      <c r="I1023" s="138">
        <f>IFERROR(__xludf.DUMMYFUNCTION("""COMPUTED_VALUE"""),3.0)</f>
        <v>3</v>
      </c>
      <c r="J1023" s="138">
        <f>IFERROR(__xludf.DUMMYFUNCTION("""COMPUTED_VALUE"""),3.0)</f>
        <v>3</v>
      </c>
      <c r="K1023" s="138">
        <f>IFERROR(__xludf.DUMMYFUNCTION("""COMPUTED_VALUE"""),4.0)</f>
        <v>4</v>
      </c>
      <c r="L1023" s="138">
        <v>26.0</v>
      </c>
      <c r="M1023" s="140" t="str">
        <f>VLOOKUP(text(D1023, "#"),'Master Table'!$A:$F, 6, FALSE)</f>
        <v>G-7</v>
      </c>
      <c r="N1023" s="141" t="str">
        <f>IFERROR(__xludf.DUMMYFUNCTION("""COMPUTED_VALUE"""),"Presenter had a great understanding of the topic and the methodology. Presenter knew a lot about the project and answered any questions really well. The presentation could have benefited from a more comprehensive approach to guide the audience through all"&amp;" the sections of the poster, and not just mostly limited to the background.")</f>
        <v>Presenter had a great understanding of the topic and the methodology. Presenter knew a lot about the project and answered any questions really well. The presentation could have benefited from a more comprehensive approach to guide the audience through all the sections of the poster, and not just mostly limited to the background.</v>
      </c>
      <c r="O1023" s="142" t="str">
        <f t="shared" si="1"/>
        <v/>
      </c>
      <c r="P1023" s="143" t="str">
        <f>IF(ISNA(VLOOKUP(CONCAT(M1023,C1023), 'Judge Count DO NOT EDIT'!H:H, 1, FALSE)), "ERROR","")</f>
        <v/>
      </c>
      <c r="Q1023" s="141"/>
      <c r="R1023" s="143"/>
      <c r="S1023" s="139" t="str">
        <f t="shared" si="2"/>
        <v>1207436</v>
      </c>
      <c r="T1023" s="141"/>
    </row>
    <row r="1024">
      <c r="A1024" s="137">
        <f>IFERROR(__xludf.DUMMYFUNCTION("""COMPUTED_VALUE"""),45352.60723194444)</f>
        <v>45352.60723</v>
      </c>
      <c r="B1024" s="138" t="str">
        <f>IFERROR(__xludf.DUMMYFUNCTION("""COMPUTED_VALUE"""),"Brendan Daly")</f>
        <v>Brendan Daly</v>
      </c>
      <c r="C1024" s="138">
        <f>IFERROR(__xludf.DUMMYFUNCTION("""COMPUTED_VALUE"""),1220.0)</f>
        <v>1220</v>
      </c>
      <c r="D1024" s="139">
        <f>IFERROR(__xludf.DUMMYFUNCTION("""COMPUTED_VALUE"""),436.0)</f>
        <v>436</v>
      </c>
      <c r="E1024" s="138">
        <f>IFERROR(__xludf.DUMMYFUNCTION("""COMPUTED_VALUE"""),4.0)</f>
        <v>4</v>
      </c>
      <c r="F1024" s="138">
        <f>IFERROR(__xludf.DUMMYFUNCTION("""COMPUTED_VALUE"""),3.0)</f>
        <v>3</v>
      </c>
      <c r="G1024" s="138">
        <f>IFERROR(__xludf.DUMMYFUNCTION("""COMPUTED_VALUE"""),5.0)</f>
        <v>5</v>
      </c>
      <c r="H1024" s="138">
        <f>IFERROR(__xludf.DUMMYFUNCTION("""COMPUTED_VALUE"""),4.0)</f>
        <v>4</v>
      </c>
      <c r="I1024" s="138">
        <f>IFERROR(__xludf.DUMMYFUNCTION("""COMPUTED_VALUE"""),4.0)</f>
        <v>4</v>
      </c>
      <c r="J1024" s="138">
        <f>IFERROR(__xludf.DUMMYFUNCTION("""COMPUTED_VALUE"""),4.0)</f>
        <v>4</v>
      </c>
      <c r="K1024" s="138">
        <f>IFERROR(__xludf.DUMMYFUNCTION("""COMPUTED_VALUE"""),4.0)</f>
        <v>4</v>
      </c>
      <c r="L1024" s="138">
        <v>28.0</v>
      </c>
      <c r="M1024" s="140" t="str">
        <f>VLOOKUP(text(D1024, "#"),'Master Table'!$A:$F, 6, FALSE)</f>
        <v>G-7</v>
      </c>
      <c r="N1024" s="141" t="str">
        <f>IFERROR(__xludf.DUMMYFUNCTION("""COMPUTED_VALUE"""),"seems headed for journal publication with significant impact/importance")</f>
        <v>seems headed for journal publication with significant impact/importance</v>
      </c>
      <c r="O1024" s="142" t="str">
        <f t="shared" si="1"/>
        <v/>
      </c>
      <c r="P1024" s="143" t="str">
        <f>IF(ISNA(VLOOKUP(CONCAT(M1024,C1024), 'Judge Count DO NOT EDIT'!H:H, 1, FALSE)), "ERROR","")</f>
        <v/>
      </c>
      <c r="Q1024" s="141"/>
      <c r="R1024" s="143"/>
      <c r="S1024" s="139" t="str">
        <f t="shared" si="2"/>
        <v>1220436</v>
      </c>
      <c r="T1024" s="141"/>
    </row>
    <row r="1025">
      <c r="A1025" s="137">
        <f>IFERROR(__xludf.DUMMYFUNCTION("""COMPUTED_VALUE"""),45352.64027690972)</f>
        <v>45352.64028</v>
      </c>
      <c r="B1025" s="138" t="str">
        <f>IFERROR(__xludf.DUMMYFUNCTION("""COMPUTED_VALUE"""),"Sonja Pruitt-Lord")</f>
        <v>Sonja Pruitt-Lord</v>
      </c>
      <c r="C1025" s="138">
        <f>IFERROR(__xludf.DUMMYFUNCTION("""COMPUTED_VALUE"""),1191.0)</f>
        <v>1191</v>
      </c>
      <c r="D1025" s="139">
        <f>IFERROR(__xludf.DUMMYFUNCTION("""COMPUTED_VALUE"""),436.0)</f>
        <v>436</v>
      </c>
      <c r="E1025" s="138">
        <f>IFERROR(__xludf.DUMMYFUNCTION("""COMPUTED_VALUE"""),4.0)</f>
        <v>4</v>
      </c>
      <c r="F1025" s="138">
        <f>IFERROR(__xludf.DUMMYFUNCTION("""COMPUTED_VALUE"""),4.0)</f>
        <v>4</v>
      </c>
      <c r="G1025" s="138">
        <f>IFERROR(__xludf.DUMMYFUNCTION("""COMPUTED_VALUE"""),5.0)</f>
        <v>5</v>
      </c>
      <c r="H1025" s="138">
        <f>IFERROR(__xludf.DUMMYFUNCTION("""COMPUTED_VALUE"""),4.0)</f>
        <v>4</v>
      </c>
      <c r="I1025" s="138">
        <f>IFERROR(__xludf.DUMMYFUNCTION("""COMPUTED_VALUE"""),4.0)</f>
        <v>4</v>
      </c>
      <c r="J1025" s="138">
        <f>IFERROR(__xludf.DUMMYFUNCTION("""COMPUTED_VALUE"""),4.0)</f>
        <v>4</v>
      </c>
      <c r="K1025" s="138">
        <f>IFERROR(__xludf.DUMMYFUNCTION("""COMPUTED_VALUE"""),4.0)</f>
        <v>4</v>
      </c>
      <c r="L1025" s="138">
        <v>29.0</v>
      </c>
      <c r="M1025" s="140" t="str">
        <f>VLOOKUP(text(D1025, "#"),'Master Table'!$A:$F, 6, FALSE)</f>
        <v>G-7</v>
      </c>
      <c r="N1025" s="141" t="str">
        <f>IFERROR(__xludf.DUMMYFUNCTION("""COMPUTED_VALUE"""),"Student is truly committed to the project! Explained the benefits of the qualitative analyses well; great job answering questions. ")</f>
        <v>Student is truly committed to the project! Explained the benefits of the qualitative analyses well; great job answering questions. </v>
      </c>
      <c r="O1025" s="142" t="str">
        <f t="shared" si="1"/>
        <v/>
      </c>
      <c r="P1025" s="143" t="str">
        <f>IF(ISNA(VLOOKUP(CONCAT(M1025,C1025), 'Judge Count DO NOT EDIT'!H:H, 1, FALSE)), "ERROR","")</f>
        <v/>
      </c>
      <c r="Q1025" s="141"/>
      <c r="R1025" s="143"/>
      <c r="S1025" s="139" t="str">
        <f t="shared" si="2"/>
        <v>1191436</v>
      </c>
      <c r="T1025" s="141"/>
    </row>
    <row r="1026">
      <c r="A1026" s="137">
        <f>IFERROR(__xludf.DUMMYFUNCTION("""COMPUTED_VALUE"""),45352.478530416665)</f>
        <v>45352.47853</v>
      </c>
      <c r="B1026" s="138" t="str">
        <f>IFERROR(__xludf.DUMMYFUNCTION("""COMPUTED_VALUE"""),"Francesca Wade")</f>
        <v>Francesca Wade</v>
      </c>
      <c r="C1026" s="138">
        <f>IFERROR(__xludf.DUMMYFUNCTION("""COMPUTED_VALUE"""),1061.0)</f>
        <v>1061</v>
      </c>
      <c r="D1026" s="139">
        <f>IFERROR(__xludf.DUMMYFUNCTION("""COMPUTED_VALUE"""),437.0)</f>
        <v>437</v>
      </c>
      <c r="E1026" s="138">
        <f>IFERROR(__xludf.DUMMYFUNCTION("""COMPUTED_VALUE"""),4.0)</f>
        <v>4</v>
      </c>
      <c r="F1026" s="138">
        <f>IFERROR(__xludf.DUMMYFUNCTION("""COMPUTED_VALUE"""),5.0)</f>
        <v>5</v>
      </c>
      <c r="G1026" s="138">
        <f>IFERROR(__xludf.DUMMYFUNCTION("""COMPUTED_VALUE"""),4.0)</f>
        <v>4</v>
      </c>
      <c r="H1026" s="138">
        <f>IFERROR(__xludf.DUMMYFUNCTION("""COMPUTED_VALUE"""),5.0)</f>
        <v>5</v>
      </c>
      <c r="I1026" s="138">
        <f>IFERROR(__xludf.DUMMYFUNCTION("""COMPUTED_VALUE"""),3.0)</f>
        <v>3</v>
      </c>
      <c r="J1026" s="138">
        <f>IFERROR(__xludf.DUMMYFUNCTION("""COMPUTED_VALUE"""),4.0)</f>
        <v>4</v>
      </c>
      <c r="K1026" s="138">
        <f>IFERROR(__xludf.DUMMYFUNCTION("""COMPUTED_VALUE"""),4.0)</f>
        <v>4</v>
      </c>
      <c r="L1026" s="138">
        <v>29.0</v>
      </c>
      <c r="M1026" s="140" t="str">
        <f>VLOOKUP(text(D1026, "#"),'Master Table'!$A:$F, 6, FALSE)</f>
        <v>G-7</v>
      </c>
      <c r="N1026" s="141" t="str">
        <f>IFERROR(__xludf.DUMMYFUNCTION("""COMPUTED_VALUE"""),"Almost too much info was given when being walked through the poster. Not clear why left and right lumbar was looked at independently until questioned. Otherwise clear and good communication with audience. ")</f>
        <v>Almost too much info was given when being walked through the poster. Not clear why left and right lumbar was looked at independently until questioned. Otherwise clear and good communication with audience. </v>
      </c>
      <c r="O1026" s="142" t="str">
        <f t="shared" si="1"/>
        <v/>
      </c>
      <c r="P1026" s="143" t="str">
        <f>IF(ISNA(VLOOKUP(CONCAT(M1026,C1026), 'Judge Count DO NOT EDIT'!H:H, 1, FALSE)), "ERROR","")</f>
        <v/>
      </c>
      <c r="Q1026" s="141"/>
      <c r="R1026" s="143"/>
      <c r="S1026" s="139" t="str">
        <f t="shared" si="2"/>
        <v>1061437</v>
      </c>
      <c r="T1026" s="141"/>
    </row>
    <row r="1027">
      <c r="A1027" s="137">
        <f>IFERROR(__xludf.DUMMYFUNCTION("""COMPUTED_VALUE"""),45352.512036307875)</f>
        <v>45352.51204</v>
      </c>
      <c r="B1027" s="138" t="str">
        <f>IFERROR(__xludf.DUMMYFUNCTION("""COMPUTED_VALUE"""),"Arjan van der Star")</f>
        <v>Arjan van der Star</v>
      </c>
      <c r="C1027" s="138">
        <f>IFERROR(__xludf.DUMMYFUNCTION("""COMPUTED_VALUE"""),1207.0)</f>
        <v>1207</v>
      </c>
      <c r="D1027" s="139">
        <f>IFERROR(__xludf.DUMMYFUNCTION("""COMPUTED_VALUE"""),437.0)</f>
        <v>437</v>
      </c>
      <c r="E1027" s="138">
        <f>IFERROR(__xludf.DUMMYFUNCTION("""COMPUTED_VALUE"""),4.0)</f>
        <v>4</v>
      </c>
      <c r="F1027" s="138">
        <f>IFERROR(__xludf.DUMMYFUNCTION("""COMPUTED_VALUE"""),4.0)</f>
        <v>4</v>
      </c>
      <c r="G1027" s="138">
        <f>IFERROR(__xludf.DUMMYFUNCTION("""COMPUTED_VALUE"""),4.0)</f>
        <v>4</v>
      </c>
      <c r="H1027" s="138">
        <f>IFERROR(__xludf.DUMMYFUNCTION("""COMPUTED_VALUE"""),4.0)</f>
        <v>4</v>
      </c>
      <c r="I1027" s="138">
        <f>IFERROR(__xludf.DUMMYFUNCTION("""COMPUTED_VALUE"""),5.0)</f>
        <v>5</v>
      </c>
      <c r="J1027" s="138">
        <f>IFERROR(__xludf.DUMMYFUNCTION("""COMPUTED_VALUE"""),5.0)</f>
        <v>5</v>
      </c>
      <c r="K1027" s="138">
        <f>IFERROR(__xludf.DUMMYFUNCTION("""COMPUTED_VALUE"""),5.0)</f>
        <v>5</v>
      </c>
      <c r="L1027" s="138">
        <v>31.0</v>
      </c>
      <c r="M1027" s="140" t="str">
        <f>VLOOKUP(text(D1027, "#"),'Master Table'!$A:$F, 6, FALSE)</f>
        <v>G-7</v>
      </c>
      <c r="N1027" s="141" t="str">
        <f>IFERROR(__xludf.DUMMYFUNCTION("""COMPUTED_VALUE"""),"Presenters had a great presentation prepared and spoke eloquently about their project. They highlighted all the important details and have put a lot of thought into the interpretation of their findings. Students could have expanded more on what the implic"&amp;"ations should be, in terms of practical solutions/interventions, etc.")</f>
        <v>Presenters had a great presentation prepared and spoke eloquently about their project. They highlighted all the important details and have put a lot of thought into the interpretation of their findings. Students could have expanded more on what the implications should be, in terms of practical solutions/interventions, etc.</v>
      </c>
      <c r="O1027" s="142" t="str">
        <f t="shared" si="1"/>
        <v/>
      </c>
      <c r="P1027" s="143" t="str">
        <f>IF(ISNA(VLOOKUP(CONCAT(M1027,C1027), 'Judge Count DO NOT EDIT'!H:H, 1, FALSE)), "ERROR","")</f>
        <v/>
      </c>
      <c r="Q1027" s="141"/>
      <c r="R1027" s="143"/>
      <c r="S1027" s="139" t="str">
        <f t="shared" si="2"/>
        <v>1207437</v>
      </c>
      <c r="T1027" s="141"/>
    </row>
    <row r="1028">
      <c r="A1028" s="137">
        <f>IFERROR(__xludf.DUMMYFUNCTION("""COMPUTED_VALUE"""),45352.60882267361)</f>
        <v>45352.60882</v>
      </c>
      <c r="B1028" s="138" t="str">
        <f>IFERROR(__xludf.DUMMYFUNCTION("""COMPUTED_VALUE"""),"Brendan Daly")</f>
        <v>Brendan Daly</v>
      </c>
      <c r="C1028" s="138">
        <f>IFERROR(__xludf.DUMMYFUNCTION("""COMPUTED_VALUE"""),1220.0)</f>
        <v>1220</v>
      </c>
      <c r="D1028" s="139">
        <f>IFERROR(__xludf.DUMMYFUNCTION("""COMPUTED_VALUE"""),437.0)</f>
        <v>437</v>
      </c>
      <c r="E1028" s="138">
        <f>IFERROR(__xludf.DUMMYFUNCTION("""COMPUTED_VALUE"""),4.0)</f>
        <v>4</v>
      </c>
      <c r="F1028" s="138">
        <f>IFERROR(__xludf.DUMMYFUNCTION("""COMPUTED_VALUE"""),3.0)</f>
        <v>3</v>
      </c>
      <c r="G1028" s="138">
        <f>IFERROR(__xludf.DUMMYFUNCTION("""COMPUTED_VALUE"""),3.0)</f>
        <v>3</v>
      </c>
      <c r="H1028" s="138">
        <f>IFERROR(__xludf.DUMMYFUNCTION("""COMPUTED_VALUE"""),5.0)</f>
        <v>5</v>
      </c>
      <c r="I1028" s="138">
        <f>IFERROR(__xludf.DUMMYFUNCTION("""COMPUTED_VALUE"""),4.0)</f>
        <v>4</v>
      </c>
      <c r="J1028" s="138">
        <f>IFERROR(__xludf.DUMMYFUNCTION("""COMPUTED_VALUE"""),3.0)</f>
        <v>3</v>
      </c>
      <c r="K1028" s="138">
        <f>IFERROR(__xludf.DUMMYFUNCTION("""COMPUTED_VALUE"""),4.0)</f>
        <v>4</v>
      </c>
      <c r="L1028" s="138">
        <v>26.0</v>
      </c>
      <c r="M1028" s="140" t="str">
        <f>VLOOKUP(text(D1028, "#"),'Master Table'!$A:$F, 6, FALSE)</f>
        <v>G-7</v>
      </c>
      <c r="N1028" s="141" t="str">
        <f>IFERROR(__xludf.DUMMYFUNCTION("""COMPUTED_VALUE"""),"disproving hypothesis - a significant finding with culture, labor and environment impacts")</f>
        <v>disproving hypothesis - a significant finding with culture, labor and environment impacts</v>
      </c>
      <c r="O1028" s="142" t="str">
        <f t="shared" si="1"/>
        <v/>
      </c>
      <c r="P1028" s="143" t="str">
        <f>IF(ISNA(VLOOKUP(CONCAT(M1028,C1028), 'Judge Count DO NOT EDIT'!H:H, 1, FALSE)), "ERROR","")</f>
        <v/>
      </c>
      <c r="Q1028" s="141"/>
      <c r="R1028" s="143"/>
      <c r="S1028" s="139" t="str">
        <f t="shared" si="2"/>
        <v>1220437</v>
      </c>
      <c r="T1028" s="141"/>
    </row>
    <row r="1029">
      <c r="A1029" s="137">
        <f>IFERROR(__xludf.DUMMYFUNCTION("""COMPUTED_VALUE"""),45352.64266034722)</f>
        <v>45352.64266</v>
      </c>
      <c r="B1029" s="138" t="str">
        <f>IFERROR(__xludf.DUMMYFUNCTION("""COMPUTED_VALUE"""),"Sonja Pruitt-Lord")</f>
        <v>Sonja Pruitt-Lord</v>
      </c>
      <c r="C1029" s="138">
        <f>IFERROR(__xludf.DUMMYFUNCTION("""COMPUTED_VALUE"""),1191.0)</f>
        <v>1191</v>
      </c>
      <c r="D1029" s="139">
        <f>IFERROR(__xludf.DUMMYFUNCTION("""COMPUTED_VALUE"""),437.0)</f>
        <v>437</v>
      </c>
      <c r="E1029" s="138">
        <f>IFERROR(__xludf.DUMMYFUNCTION("""COMPUTED_VALUE"""),4.0)</f>
        <v>4</v>
      </c>
      <c r="F1029" s="138">
        <f>IFERROR(__xludf.DUMMYFUNCTION("""COMPUTED_VALUE"""),4.0)</f>
        <v>4</v>
      </c>
      <c r="G1029" s="138">
        <f>IFERROR(__xludf.DUMMYFUNCTION("""COMPUTED_VALUE"""),4.0)</f>
        <v>4</v>
      </c>
      <c r="H1029" s="138">
        <f>IFERROR(__xludf.DUMMYFUNCTION("""COMPUTED_VALUE"""),5.0)</f>
        <v>5</v>
      </c>
      <c r="I1029" s="138">
        <f>IFERROR(__xludf.DUMMYFUNCTION("""COMPUTED_VALUE"""),4.0)</f>
        <v>4</v>
      </c>
      <c r="J1029" s="138">
        <f>IFERROR(__xludf.DUMMYFUNCTION("""COMPUTED_VALUE"""),5.0)</f>
        <v>5</v>
      </c>
      <c r="K1029" s="138">
        <f>IFERROR(__xludf.DUMMYFUNCTION("""COMPUTED_VALUE"""),4.0)</f>
        <v>4</v>
      </c>
      <c r="L1029" s="138">
        <v>30.0</v>
      </c>
      <c r="M1029" s="140" t="str">
        <f>VLOOKUP(text(D1029, "#"),'Master Table'!$A:$F, 6, FALSE)</f>
        <v>G-7</v>
      </c>
      <c r="N1029" s="141" t="str">
        <f>IFERROR(__xludf.DUMMYFUNCTION("""COMPUTED_VALUE"""),"Students truly understood the project! Enthusiasm for serving the Latino community was contagious. In the future, I would encourage them to be able to better articulate the health implications of the work.")</f>
        <v>Students truly understood the project! Enthusiasm for serving the Latino community was contagious. In the future, I would encourage them to be able to better articulate the health implications of the work.</v>
      </c>
      <c r="O1029" s="142" t="str">
        <f t="shared" si="1"/>
        <v/>
      </c>
      <c r="P1029" s="143" t="str">
        <f>IF(ISNA(VLOOKUP(CONCAT(M1029,C1029), 'Judge Count DO NOT EDIT'!H:H, 1, FALSE)), "ERROR","")</f>
        <v/>
      </c>
      <c r="Q1029" s="141"/>
      <c r="R1029" s="143"/>
      <c r="S1029" s="139" t="str">
        <f t="shared" si="2"/>
        <v>1191437</v>
      </c>
      <c r="T1029" s="141"/>
    </row>
    <row r="1030">
      <c r="A1030" s="137">
        <f>IFERROR(__xludf.DUMMYFUNCTION("""COMPUTED_VALUE"""),45352.48809414352)</f>
        <v>45352.48809</v>
      </c>
      <c r="B1030" s="138" t="str">
        <f>IFERROR(__xludf.DUMMYFUNCTION("""COMPUTED_VALUE"""),"Arjan van der Star")</f>
        <v>Arjan van der Star</v>
      </c>
      <c r="C1030" s="138">
        <f>IFERROR(__xludf.DUMMYFUNCTION("""COMPUTED_VALUE"""),1207.0)</f>
        <v>1207</v>
      </c>
      <c r="D1030" s="139">
        <f>IFERROR(__xludf.DUMMYFUNCTION("""COMPUTED_VALUE"""),438.0)</f>
        <v>438</v>
      </c>
      <c r="E1030" s="138">
        <f>IFERROR(__xludf.DUMMYFUNCTION("""COMPUTED_VALUE"""),4.0)</f>
        <v>4</v>
      </c>
      <c r="F1030" s="138">
        <f>IFERROR(__xludf.DUMMYFUNCTION("""COMPUTED_VALUE"""),4.0)</f>
        <v>4</v>
      </c>
      <c r="G1030" s="138">
        <f>IFERROR(__xludf.DUMMYFUNCTION("""COMPUTED_VALUE"""),4.0)</f>
        <v>4</v>
      </c>
      <c r="H1030" s="138">
        <f>IFERROR(__xludf.DUMMYFUNCTION("""COMPUTED_VALUE"""),4.0)</f>
        <v>4</v>
      </c>
      <c r="I1030" s="138">
        <f>IFERROR(__xludf.DUMMYFUNCTION("""COMPUTED_VALUE"""),5.0)</f>
        <v>5</v>
      </c>
      <c r="J1030" s="138">
        <f>IFERROR(__xludf.DUMMYFUNCTION("""COMPUTED_VALUE"""),4.0)</f>
        <v>4</v>
      </c>
      <c r="K1030" s="138">
        <f>IFERROR(__xludf.DUMMYFUNCTION("""COMPUTED_VALUE"""),4.0)</f>
        <v>4</v>
      </c>
      <c r="L1030" s="138">
        <v>29.0</v>
      </c>
      <c r="M1030" s="140" t="str">
        <f>VLOOKUP(text(D1030, "#"),'Master Table'!$A:$F, 6, FALSE)</f>
        <v>G-7</v>
      </c>
      <c r="N1030" s="141" t="str">
        <f>IFERROR(__xludf.DUMMYFUNCTION("""COMPUTED_VALUE"""),"Presenter was very knowledgeable and well spoken. Some information about methodology, like search strategy and exclusion process, but otherwise very comprehensive.")</f>
        <v>Presenter was very knowledgeable and well spoken. Some information about methodology, like search strategy and exclusion process, but otherwise very comprehensive.</v>
      </c>
      <c r="O1030" s="142" t="str">
        <f t="shared" si="1"/>
        <v/>
      </c>
      <c r="P1030" s="143" t="str">
        <f>IF(ISNA(VLOOKUP(CONCAT(M1030,C1030), 'Judge Count DO NOT EDIT'!H:H, 1, FALSE)), "ERROR","")</f>
        <v/>
      </c>
      <c r="Q1030" s="141"/>
      <c r="R1030" s="143"/>
      <c r="S1030" s="139" t="str">
        <f t="shared" si="2"/>
        <v>1207438</v>
      </c>
      <c r="T1030" s="141"/>
    </row>
    <row r="1031">
      <c r="A1031" s="137">
        <f>IFERROR(__xludf.DUMMYFUNCTION("""COMPUTED_VALUE"""),45352.49085800926)</f>
        <v>45352.49086</v>
      </c>
      <c r="B1031" s="138" t="str">
        <f>IFERROR(__xludf.DUMMYFUNCTION("""COMPUTED_VALUE"""),"Francesca Wade")</f>
        <v>Francesca Wade</v>
      </c>
      <c r="C1031" s="138">
        <f>IFERROR(__xludf.DUMMYFUNCTION("""COMPUTED_VALUE"""),1061.0)</f>
        <v>1061</v>
      </c>
      <c r="D1031" s="139">
        <f>IFERROR(__xludf.DUMMYFUNCTION("""COMPUTED_VALUE"""),438.0)</f>
        <v>438</v>
      </c>
      <c r="E1031" s="138">
        <f>IFERROR(__xludf.DUMMYFUNCTION("""COMPUTED_VALUE"""),4.0)</f>
        <v>4</v>
      </c>
      <c r="F1031" s="138">
        <f>IFERROR(__xludf.DUMMYFUNCTION("""COMPUTED_VALUE"""),5.0)</f>
        <v>5</v>
      </c>
      <c r="G1031" s="138">
        <f>IFERROR(__xludf.DUMMYFUNCTION("""COMPUTED_VALUE"""),4.0)</f>
        <v>4</v>
      </c>
      <c r="H1031" s="138">
        <f>IFERROR(__xludf.DUMMYFUNCTION("""COMPUTED_VALUE"""),3.0)</f>
        <v>3</v>
      </c>
      <c r="I1031" s="138">
        <f>IFERROR(__xludf.DUMMYFUNCTION("""COMPUTED_VALUE"""),4.0)</f>
        <v>4</v>
      </c>
      <c r="J1031" s="138">
        <f>IFERROR(__xludf.DUMMYFUNCTION("""COMPUTED_VALUE"""),4.0)</f>
        <v>4</v>
      </c>
      <c r="K1031" s="138">
        <f>IFERROR(__xludf.DUMMYFUNCTION("""COMPUTED_VALUE"""),4.0)</f>
        <v>4</v>
      </c>
      <c r="L1031" s="138">
        <v>28.0</v>
      </c>
      <c r="M1031" s="140" t="str">
        <f>VLOOKUP(text(D1031, "#"),'Master Table'!$A:$F, 6, FALSE)</f>
        <v>G-7</v>
      </c>
      <c r="N1031" s="141" t="str">
        <f>IFERROR(__xludf.DUMMYFUNCTION("""COMPUTED_VALUE"""),"Your presentation was great, with lots of useful and important information shared. Moving forward, there’s a lot of poster space taken up with references which could be used to really emphasize the importance of this work. You handled questions well and i"&amp;"nteracted with those looking at your poster in a confident way. Nice job!")</f>
        <v>Your presentation was great, with lots of useful and important information shared. Moving forward, there’s a lot of poster space taken up with references which could be used to really emphasize the importance of this work. You handled questions well and interacted with those looking at your poster in a confident way. Nice job!</v>
      </c>
      <c r="O1031" s="142" t="str">
        <f t="shared" si="1"/>
        <v/>
      </c>
      <c r="P1031" s="143" t="str">
        <f>IF(ISNA(VLOOKUP(CONCAT(M1031,C1031), 'Judge Count DO NOT EDIT'!H:H, 1, FALSE)), "ERROR","")</f>
        <v/>
      </c>
      <c r="Q1031" s="141"/>
      <c r="R1031" s="143"/>
      <c r="S1031" s="139" t="str">
        <f t="shared" si="2"/>
        <v>1061438</v>
      </c>
      <c r="T1031" s="141"/>
    </row>
    <row r="1032">
      <c r="A1032" s="137">
        <f>IFERROR(__xludf.DUMMYFUNCTION("""COMPUTED_VALUE"""),45352.502982881946)</f>
        <v>45352.50298</v>
      </c>
      <c r="B1032" s="138" t="str">
        <f>IFERROR(__xludf.DUMMYFUNCTION("""COMPUTED_VALUE"""),"Sara Gombatto")</f>
        <v>Sara Gombatto</v>
      </c>
      <c r="C1032" s="138">
        <f>IFERROR(__xludf.DUMMYFUNCTION("""COMPUTED_VALUE"""),1193.0)</f>
        <v>1193</v>
      </c>
      <c r="D1032" s="139">
        <f>IFERROR(__xludf.DUMMYFUNCTION("""COMPUTED_VALUE"""),438.0)</f>
        <v>438</v>
      </c>
      <c r="E1032" s="138">
        <f>IFERROR(__xludf.DUMMYFUNCTION("""COMPUTED_VALUE"""),4.0)</f>
        <v>4</v>
      </c>
      <c r="F1032" s="138">
        <f>IFERROR(__xludf.DUMMYFUNCTION("""COMPUTED_VALUE"""),5.0)</f>
        <v>5</v>
      </c>
      <c r="G1032" s="138">
        <f>IFERROR(__xludf.DUMMYFUNCTION("""COMPUTED_VALUE"""),4.0)</f>
        <v>4</v>
      </c>
      <c r="H1032" s="138">
        <f>IFERROR(__xludf.DUMMYFUNCTION("""COMPUTED_VALUE"""),3.0)</f>
        <v>3</v>
      </c>
      <c r="I1032" s="138">
        <f>IFERROR(__xludf.DUMMYFUNCTION("""COMPUTED_VALUE"""),5.0)</f>
        <v>5</v>
      </c>
      <c r="J1032" s="138">
        <f>IFERROR(__xludf.DUMMYFUNCTION("""COMPUTED_VALUE"""),5.0)</f>
        <v>5</v>
      </c>
      <c r="K1032" s="138">
        <f>IFERROR(__xludf.DUMMYFUNCTION("""COMPUTED_VALUE"""),5.0)</f>
        <v>5</v>
      </c>
      <c r="L1032" s="138">
        <v>31.0</v>
      </c>
      <c r="M1032" s="140" t="str">
        <f>VLOOKUP(text(D1032, "#"),'Master Table'!$A:$F, 6, FALSE)</f>
        <v>G-7</v>
      </c>
      <c r="N1032" s="141"/>
      <c r="O1032" s="142" t="str">
        <f t="shared" si="1"/>
        <v/>
      </c>
      <c r="P1032" s="143" t="str">
        <f>IF(ISNA(VLOOKUP(CONCAT(M1032,C1032), 'Judge Count DO NOT EDIT'!H:H, 1, FALSE)), "ERROR","")</f>
        <v/>
      </c>
      <c r="Q1032" s="141"/>
      <c r="R1032" s="143"/>
      <c r="S1032" s="139" t="str">
        <f t="shared" si="2"/>
        <v>1193438</v>
      </c>
      <c r="T1032" s="141"/>
    </row>
    <row r="1033">
      <c r="A1033" s="137">
        <f>IFERROR(__xludf.DUMMYFUNCTION("""COMPUTED_VALUE"""),45352.60957408565)</f>
        <v>45352.60957</v>
      </c>
      <c r="B1033" s="138" t="str">
        <f>IFERROR(__xludf.DUMMYFUNCTION("""COMPUTED_VALUE"""),"Brendan Daly")</f>
        <v>Brendan Daly</v>
      </c>
      <c r="C1033" s="138">
        <f>IFERROR(__xludf.DUMMYFUNCTION("""COMPUTED_VALUE"""),1220.0)</f>
        <v>1220</v>
      </c>
      <c r="D1033" s="139">
        <f>IFERROR(__xludf.DUMMYFUNCTION("""COMPUTED_VALUE"""),438.0)</f>
        <v>438</v>
      </c>
      <c r="E1033" s="138">
        <f>IFERROR(__xludf.DUMMYFUNCTION("""COMPUTED_VALUE"""),5.0)</f>
        <v>5</v>
      </c>
      <c r="F1033" s="138">
        <f>IFERROR(__xludf.DUMMYFUNCTION("""COMPUTED_VALUE"""),3.0)</f>
        <v>3</v>
      </c>
      <c r="G1033" s="138">
        <f>IFERROR(__xludf.DUMMYFUNCTION("""COMPUTED_VALUE"""),4.0)</f>
        <v>4</v>
      </c>
      <c r="H1033" s="138">
        <f>IFERROR(__xludf.DUMMYFUNCTION("""COMPUTED_VALUE"""),3.0)</f>
        <v>3</v>
      </c>
      <c r="I1033" s="138">
        <f>IFERROR(__xludf.DUMMYFUNCTION("""COMPUTED_VALUE"""),5.0)</f>
        <v>5</v>
      </c>
      <c r="J1033" s="138">
        <f>IFERROR(__xludf.DUMMYFUNCTION("""COMPUTED_VALUE"""),5.0)</f>
        <v>5</v>
      </c>
      <c r="K1033" s="138">
        <f>IFERROR(__xludf.DUMMYFUNCTION("""COMPUTED_VALUE"""),4.0)</f>
        <v>4</v>
      </c>
      <c r="L1033" s="138">
        <v>29.0</v>
      </c>
      <c r="M1033" s="140" t="str">
        <f>VLOOKUP(text(D1033, "#"),'Master Table'!$A:$F, 6, FALSE)</f>
        <v>G-7</v>
      </c>
      <c r="N1033" s="141" t="str">
        <f>IFERROR(__xludf.DUMMYFUNCTION("""COMPUTED_VALUE"""),"clear, concise, excellent poster and presentation")</f>
        <v>clear, concise, excellent poster and presentation</v>
      </c>
      <c r="O1033" s="142" t="str">
        <f t="shared" si="1"/>
        <v/>
      </c>
      <c r="P1033" s="143" t="str">
        <f>IF(ISNA(VLOOKUP(CONCAT(M1033,C1033), 'Judge Count DO NOT EDIT'!H:H, 1, FALSE)), "ERROR","")</f>
        <v/>
      </c>
      <c r="Q1033" s="141"/>
      <c r="R1033" s="143"/>
      <c r="S1033" s="139" t="str">
        <f t="shared" si="2"/>
        <v>1220438</v>
      </c>
      <c r="T1033" s="141"/>
    </row>
    <row r="1034">
      <c r="A1034" s="137">
        <f>IFERROR(__xludf.DUMMYFUNCTION("""COMPUTED_VALUE"""),45352.64455162037)</f>
        <v>45352.64455</v>
      </c>
      <c r="B1034" s="138" t="str">
        <f>IFERROR(__xludf.DUMMYFUNCTION("""COMPUTED_VALUE"""),"Sonja Pruitt-Lord")</f>
        <v>Sonja Pruitt-Lord</v>
      </c>
      <c r="C1034" s="138">
        <f>IFERROR(__xludf.DUMMYFUNCTION("""COMPUTED_VALUE"""),1191.0)</f>
        <v>1191</v>
      </c>
      <c r="D1034" s="139">
        <f>IFERROR(__xludf.DUMMYFUNCTION("""COMPUTED_VALUE"""),438.0)</f>
        <v>438</v>
      </c>
      <c r="E1034" s="138">
        <f>IFERROR(__xludf.DUMMYFUNCTION("""COMPUTED_VALUE"""),5.0)</f>
        <v>5</v>
      </c>
      <c r="F1034" s="138">
        <f>IFERROR(__xludf.DUMMYFUNCTION("""COMPUTED_VALUE"""),5.0)</f>
        <v>5</v>
      </c>
      <c r="G1034" s="138">
        <f>IFERROR(__xludf.DUMMYFUNCTION("""COMPUTED_VALUE"""),5.0)</f>
        <v>5</v>
      </c>
      <c r="H1034" s="138">
        <f>IFERROR(__xludf.DUMMYFUNCTION("""COMPUTED_VALUE"""),4.0)</f>
        <v>4</v>
      </c>
      <c r="I1034" s="138">
        <f>IFERROR(__xludf.DUMMYFUNCTION("""COMPUTED_VALUE"""),5.0)</f>
        <v>5</v>
      </c>
      <c r="J1034" s="138">
        <f>IFERROR(__xludf.DUMMYFUNCTION("""COMPUTED_VALUE"""),5.0)</f>
        <v>5</v>
      </c>
      <c r="K1034" s="138">
        <f>IFERROR(__xludf.DUMMYFUNCTION("""COMPUTED_VALUE"""),5.0)</f>
        <v>5</v>
      </c>
      <c r="L1034" s="138">
        <v>34.0</v>
      </c>
      <c r="M1034" s="140" t="str">
        <f>VLOOKUP(text(D1034, "#"),'Master Table'!$A:$F, 6, FALSE)</f>
        <v>G-7</v>
      </c>
      <c r="N1034" s="141" t="str">
        <f>IFERROR(__xludf.DUMMYFUNCTION("""COMPUTED_VALUE"""),"Wow! Student was so committed to the work and clearly linked the project to patient care. Great job answering the questions. One of the most enthusiastic and prepared presenters.")</f>
        <v>Wow! Student was so committed to the work and clearly linked the project to patient care. Great job answering the questions. One of the most enthusiastic and prepared presenters.</v>
      </c>
      <c r="O1034" s="142" t="str">
        <f t="shared" si="1"/>
        <v/>
      </c>
      <c r="P1034" s="143" t="str">
        <f>IF(ISNA(VLOOKUP(CONCAT(M1034,C1034), 'Judge Count DO NOT EDIT'!H:H, 1, FALSE)), "ERROR","")</f>
        <v/>
      </c>
      <c r="Q1034" s="141"/>
      <c r="R1034" s="143"/>
      <c r="S1034" s="139" t="str">
        <f t="shared" si="2"/>
        <v>1191438</v>
      </c>
      <c r="T1034" s="141"/>
    </row>
    <row r="1035">
      <c r="A1035" s="137">
        <f>IFERROR(__xludf.DUMMYFUNCTION("""COMPUTED_VALUE"""),45352.47588918982)</f>
        <v>45352.47589</v>
      </c>
      <c r="B1035" s="138" t="str">
        <f>IFERROR(__xludf.DUMMYFUNCTION("""COMPUTED_VALUE"""),"Arjan van der Star")</f>
        <v>Arjan van der Star</v>
      </c>
      <c r="C1035" s="138">
        <f>IFERROR(__xludf.DUMMYFUNCTION("""COMPUTED_VALUE"""),1207.0)</f>
        <v>1207</v>
      </c>
      <c r="D1035" s="139">
        <f>IFERROR(__xludf.DUMMYFUNCTION("""COMPUTED_VALUE"""),439.0)</f>
        <v>439</v>
      </c>
      <c r="E1035" s="138">
        <f>IFERROR(__xludf.DUMMYFUNCTION("""COMPUTED_VALUE"""),5.0)</f>
        <v>5</v>
      </c>
      <c r="F1035" s="138">
        <f>IFERROR(__xludf.DUMMYFUNCTION("""COMPUTED_VALUE"""),4.0)</f>
        <v>4</v>
      </c>
      <c r="G1035" s="138">
        <f>IFERROR(__xludf.DUMMYFUNCTION("""COMPUTED_VALUE"""),4.0)</f>
        <v>4</v>
      </c>
      <c r="H1035" s="138">
        <f>IFERROR(__xludf.DUMMYFUNCTION("""COMPUTED_VALUE"""),4.0)</f>
        <v>4</v>
      </c>
      <c r="I1035" s="138">
        <f>IFERROR(__xludf.DUMMYFUNCTION("""COMPUTED_VALUE"""),5.0)</f>
        <v>5</v>
      </c>
      <c r="J1035" s="138">
        <f>IFERROR(__xludf.DUMMYFUNCTION("""COMPUTED_VALUE"""),5.0)</f>
        <v>5</v>
      </c>
      <c r="K1035" s="138">
        <f>IFERROR(__xludf.DUMMYFUNCTION("""COMPUTED_VALUE"""),4.0)</f>
        <v>4</v>
      </c>
      <c r="L1035" s="138">
        <v>31.0</v>
      </c>
      <c r="M1035" s="140" t="str">
        <f>VLOOKUP(text(D1035, "#"),'Master Table'!$A:$F, 6, FALSE)</f>
        <v>G-7</v>
      </c>
      <c r="N1035" s="141" t="str">
        <f>IFERROR(__xludf.DUMMYFUNCTION("""COMPUTED_VALUE"""),"Presenter was very knowledgeable on the topic, had a very clear presentation prepared, and spoke passionately about the project. Student could further elaborate on practical implications of the findings.")</f>
        <v>Presenter was very knowledgeable on the topic, had a very clear presentation prepared, and spoke passionately about the project. Student could further elaborate on practical implications of the findings.</v>
      </c>
      <c r="O1035" s="142" t="str">
        <f t="shared" si="1"/>
        <v/>
      </c>
      <c r="P1035" s="143" t="str">
        <f>IF(ISNA(VLOOKUP(CONCAT(M1035,C1035), 'Judge Count DO NOT EDIT'!H:H, 1, FALSE)), "ERROR","")</f>
        <v/>
      </c>
      <c r="Q1035" s="141"/>
      <c r="R1035" s="143"/>
      <c r="S1035" s="139" t="str">
        <f t="shared" si="2"/>
        <v>1207439</v>
      </c>
      <c r="T1035" s="141"/>
    </row>
    <row r="1036">
      <c r="A1036" s="137">
        <f>IFERROR(__xludf.DUMMYFUNCTION("""COMPUTED_VALUE"""),45352.48161587963)</f>
        <v>45352.48162</v>
      </c>
      <c r="B1036" s="138" t="str">
        <f>IFERROR(__xludf.DUMMYFUNCTION("""COMPUTED_VALUE"""),"Francesca Wade")</f>
        <v>Francesca Wade</v>
      </c>
      <c r="C1036" s="138">
        <f>IFERROR(__xludf.DUMMYFUNCTION("""COMPUTED_VALUE"""),1061.0)</f>
        <v>1061</v>
      </c>
      <c r="D1036" s="139">
        <f>IFERROR(__xludf.DUMMYFUNCTION("""COMPUTED_VALUE"""),439.0)</f>
        <v>439</v>
      </c>
      <c r="E1036" s="138">
        <f>IFERROR(__xludf.DUMMYFUNCTION("""COMPUTED_VALUE"""),5.0)</f>
        <v>5</v>
      </c>
      <c r="F1036" s="138">
        <f>IFERROR(__xludf.DUMMYFUNCTION("""COMPUTED_VALUE"""),5.0)</f>
        <v>5</v>
      </c>
      <c r="G1036" s="138">
        <f>IFERROR(__xludf.DUMMYFUNCTION("""COMPUTED_VALUE"""),4.0)</f>
        <v>4</v>
      </c>
      <c r="H1036" s="138">
        <f>IFERROR(__xludf.DUMMYFUNCTION("""COMPUTED_VALUE"""),4.0)</f>
        <v>4</v>
      </c>
      <c r="I1036" s="138">
        <f>IFERROR(__xludf.DUMMYFUNCTION("""COMPUTED_VALUE"""),5.0)</f>
        <v>5</v>
      </c>
      <c r="J1036" s="138">
        <f>IFERROR(__xludf.DUMMYFUNCTION("""COMPUTED_VALUE"""),5.0)</f>
        <v>5</v>
      </c>
      <c r="K1036" s="138">
        <f>IFERROR(__xludf.DUMMYFUNCTION("""COMPUTED_VALUE"""),5.0)</f>
        <v>5</v>
      </c>
      <c r="L1036" s="138">
        <v>33.0</v>
      </c>
      <c r="M1036" s="140" t="str">
        <f>VLOOKUP(text(D1036, "#"),'Master Table'!$A:$F, 6, FALSE)</f>
        <v>G-7</v>
      </c>
      <c r="N1036" s="141" t="str">
        <f>IFERROR(__xludf.DUMMYFUNCTION("""COMPUTED_VALUE"""),"Excellent conduct, clear interaction with audience, seemed very confident and knowledgeable. Great job! Poster was very clear too.")</f>
        <v>Excellent conduct, clear interaction with audience, seemed very confident and knowledgeable. Great job! Poster was very clear too.</v>
      </c>
      <c r="O1036" s="142" t="str">
        <f t="shared" si="1"/>
        <v/>
      </c>
      <c r="P1036" s="143" t="str">
        <f>IF(ISNA(VLOOKUP(CONCAT(M1036,C1036), 'Judge Count DO NOT EDIT'!H:H, 1, FALSE)), "ERROR","")</f>
        <v/>
      </c>
      <c r="Q1036" s="141"/>
      <c r="R1036" s="143"/>
      <c r="S1036" s="139" t="str">
        <f t="shared" si="2"/>
        <v>1061439</v>
      </c>
      <c r="T1036" s="141"/>
    </row>
    <row r="1037">
      <c r="A1037" s="137">
        <f>IFERROR(__xludf.DUMMYFUNCTION("""COMPUTED_VALUE"""),45352.49215318287)</f>
        <v>45352.49215</v>
      </c>
      <c r="B1037" s="138" t="str">
        <f>IFERROR(__xludf.DUMMYFUNCTION("""COMPUTED_VALUE"""),"Sara Gombatto")</f>
        <v>Sara Gombatto</v>
      </c>
      <c r="C1037" s="138">
        <f>IFERROR(__xludf.DUMMYFUNCTION("""COMPUTED_VALUE"""),1193.0)</f>
        <v>1193</v>
      </c>
      <c r="D1037" s="139">
        <f>IFERROR(__xludf.DUMMYFUNCTION("""COMPUTED_VALUE"""),439.0)</f>
        <v>439</v>
      </c>
      <c r="E1037" s="138">
        <f>IFERROR(__xludf.DUMMYFUNCTION("""COMPUTED_VALUE"""),5.0)</f>
        <v>5</v>
      </c>
      <c r="F1037" s="138">
        <f>IFERROR(__xludf.DUMMYFUNCTION("""COMPUTED_VALUE"""),4.0)</f>
        <v>4</v>
      </c>
      <c r="G1037" s="138">
        <f>IFERROR(__xludf.DUMMYFUNCTION("""COMPUTED_VALUE"""),4.0)</f>
        <v>4</v>
      </c>
      <c r="H1037" s="138">
        <f>IFERROR(__xludf.DUMMYFUNCTION("""COMPUTED_VALUE"""),4.0)</f>
        <v>4</v>
      </c>
      <c r="I1037" s="138">
        <f>IFERROR(__xludf.DUMMYFUNCTION("""COMPUTED_VALUE"""),5.0)</f>
        <v>5</v>
      </c>
      <c r="J1037" s="138">
        <f>IFERROR(__xludf.DUMMYFUNCTION("""COMPUTED_VALUE"""),5.0)</f>
        <v>5</v>
      </c>
      <c r="K1037" s="138">
        <f>IFERROR(__xludf.DUMMYFUNCTION("""COMPUTED_VALUE"""),5.0)</f>
        <v>5</v>
      </c>
      <c r="L1037" s="138">
        <v>32.0</v>
      </c>
      <c r="M1037" s="140" t="str">
        <f>VLOOKUP(text(D1037, "#"),'Master Table'!$A:$F, 6, FALSE)</f>
        <v>G-7</v>
      </c>
      <c r="N1037" s="141" t="str">
        <f>IFERROR(__xludf.DUMMYFUNCTION("""COMPUTED_VALUE"""),"Excellent knowledge, presentation and answers to questions ")</f>
        <v>Excellent knowledge, presentation and answers to questions </v>
      </c>
      <c r="O1037" s="142" t="str">
        <f t="shared" si="1"/>
        <v/>
      </c>
      <c r="P1037" s="143" t="str">
        <f>IF(ISNA(VLOOKUP(CONCAT(M1037,C1037), 'Judge Count DO NOT EDIT'!H:H, 1, FALSE)), "ERROR","")</f>
        <v/>
      </c>
      <c r="Q1037" s="141"/>
      <c r="R1037" s="143"/>
      <c r="S1037" s="139" t="str">
        <f t="shared" si="2"/>
        <v>1193439</v>
      </c>
      <c r="T1037" s="141"/>
    </row>
    <row r="1038">
      <c r="A1038" s="137">
        <f>IFERROR(__xludf.DUMMYFUNCTION("""COMPUTED_VALUE"""),45352.61047547453)</f>
        <v>45352.61048</v>
      </c>
      <c r="B1038" s="138" t="str">
        <f>IFERROR(__xludf.DUMMYFUNCTION("""COMPUTED_VALUE"""),"Brendan Daly")</f>
        <v>Brendan Daly</v>
      </c>
      <c r="C1038" s="138">
        <f>IFERROR(__xludf.DUMMYFUNCTION("""COMPUTED_VALUE"""),1220.0)</f>
        <v>1220</v>
      </c>
      <c r="D1038" s="139">
        <f>IFERROR(__xludf.DUMMYFUNCTION("""COMPUTED_VALUE"""),439.0)</f>
        <v>439</v>
      </c>
      <c r="E1038" s="138">
        <f>IFERROR(__xludf.DUMMYFUNCTION("""COMPUTED_VALUE"""),4.0)</f>
        <v>4</v>
      </c>
      <c r="F1038" s="138">
        <f>IFERROR(__xludf.DUMMYFUNCTION("""COMPUTED_VALUE"""),4.0)</f>
        <v>4</v>
      </c>
      <c r="G1038" s="138">
        <f>IFERROR(__xludf.DUMMYFUNCTION("""COMPUTED_VALUE"""),4.0)</f>
        <v>4</v>
      </c>
      <c r="H1038" s="138">
        <f>IFERROR(__xludf.DUMMYFUNCTION("""COMPUTED_VALUE"""),4.0)</f>
        <v>4</v>
      </c>
      <c r="I1038" s="138">
        <f>IFERROR(__xludf.DUMMYFUNCTION("""COMPUTED_VALUE"""),5.0)</f>
        <v>5</v>
      </c>
      <c r="J1038" s="138">
        <f>IFERROR(__xludf.DUMMYFUNCTION("""COMPUTED_VALUE"""),4.0)</f>
        <v>4</v>
      </c>
      <c r="K1038" s="138">
        <f>IFERROR(__xludf.DUMMYFUNCTION("""COMPUTED_VALUE"""),5.0)</f>
        <v>5</v>
      </c>
      <c r="L1038" s="138">
        <v>30.0</v>
      </c>
      <c r="M1038" s="140" t="str">
        <f>VLOOKUP(text(D1038, "#"),'Master Table'!$A:$F, 6, FALSE)</f>
        <v>G-7</v>
      </c>
      <c r="N1038" s="141" t="str">
        <f>IFERROR(__xludf.DUMMYFUNCTION("""COMPUTED_VALUE"""),"impressive breadth of research, interesting concept with potentially important outcomes")</f>
        <v>impressive breadth of research, interesting concept with potentially important outcomes</v>
      </c>
      <c r="O1038" s="142" t="str">
        <f t="shared" si="1"/>
        <v/>
      </c>
      <c r="P1038" s="143" t="str">
        <f>IF(ISNA(VLOOKUP(CONCAT(M1038,C1038), 'Judge Count DO NOT EDIT'!H:H, 1, FALSE)), "ERROR","")</f>
        <v/>
      </c>
      <c r="Q1038" s="141"/>
      <c r="R1038" s="143"/>
      <c r="S1038" s="139" t="str">
        <f t="shared" si="2"/>
        <v>1220439</v>
      </c>
      <c r="T1038" s="141"/>
    </row>
    <row r="1039">
      <c r="A1039" s="137">
        <f>IFERROR(__xludf.DUMMYFUNCTION("""COMPUTED_VALUE"""),45352.64657736111)</f>
        <v>45352.64658</v>
      </c>
      <c r="B1039" s="138" t="str">
        <f>IFERROR(__xludf.DUMMYFUNCTION("""COMPUTED_VALUE"""),"Sonja Pruitt-Lord")</f>
        <v>Sonja Pruitt-Lord</v>
      </c>
      <c r="C1039" s="138">
        <f>IFERROR(__xludf.DUMMYFUNCTION("""COMPUTED_VALUE"""),1191.0)</f>
        <v>1191</v>
      </c>
      <c r="D1039" s="139">
        <f>IFERROR(__xludf.DUMMYFUNCTION("""COMPUTED_VALUE"""),439.0)</f>
        <v>439</v>
      </c>
      <c r="E1039" s="138">
        <f>IFERROR(__xludf.DUMMYFUNCTION("""COMPUTED_VALUE"""),4.0)</f>
        <v>4</v>
      </c>
      <c r="F1039" s="138">
        <f>IFERROR(__xludf.DUMMYFUNCTION("""COMPUTED_VALUE"""),5.0)</f>
        <v>5</v>
      </c>
      <c r="G1039" s="138">
        <f>IFERROR(__xludf.DUMMYFUNCTION("""COMPUTED_VALUE"""),4.0)</f>
        <v>4</v>
      </c>
      <c r="H1039" s="138">
        <f>IFERROR(__xludf.DUMMYFUNCTION("""COMPUTED_VALUE"""),4.0)</f>
        <v>4</v>
      </c>
      <c r="I1039" s="138">
        <f>IFERROR(__xludf.DUMMYFUNCTION("""COMPUTED_VALUE"""),4.0)</f>
        <v>4</v>
      </c>
      <c r="J1039" s="138">
        <f>IFERROR(__xludf.DUMMYFUNCTION("""COMPUTED_VALUE"""),4.0)</f>
        <v>4</v>
      </c>
      <c r="K1039" s="138">
        <f>IFERROR(__xludf.DUMMYFUNCTION("""COMPUTED_VALUE"""),4.0)</f>
        <v>4</v>
      </c>
      <c r="L1039" s="138">
        <v>29.0</v>
      </c>
      <c r="M1039" s="140" t="str">
        <f>VLOOKUP(text(D1039, "#"),'Master Table'!$A:$F, 6, FALSE)</f>
        <v>G-7</v>
      </c>
      <c r="N1039" s="141" t="str">
        <f>IFERROR(__xludf.DUMMYFUNCTION("""COMPUTED_VALUE"""),"Presenter was prepared and had a natural, easy, humorous presentation style! ")</f>
        <v>Presenter was prepared and had a natural, easy, humorous presentation style! </v>
      </c>
      <c r="O1039" s="142" t="str">
        <f t="shared" si="1"/>
        <v/>
      </c>
      <c r="P1039" s="143" t="str">
        <f>IF(ISNA(VLOOKUP(CONCAT(M1039,C1039), 'Judge Count DO NOT EDIT'!H:H, 1, FALSE)), "ERROR","")</f>
        <v/>
      </c>
      <c r="Q1039" s="141"/>
      <c r="R1039" s="143"/>
      <c r="S1039" s="139" t="str">
        <f t="shared" si="2"/>
        <v>1191439</v>
      </c>
      <c r="T1039" s="141"/>
    </row>
    <row r="1040">
      <c r="A1040" s="137">
        <f>IFERROR(__xludf.DUMMYFUNCTION("""COMPUTED_VALUE"""),45352.51011179398)</f>
        <v>45352.51011</v>
      </c>
      <c r="B1040" s="138" t="str">
        <f>IFERROR(__xludf.DUMMYFUNCTION("""COMPUTED_VALUE"""),"Liang Ma")</f>
        <v>Liang Ma</v>
      </c>
      <c r="C1040" s="138">
        <f>IFERROR(__xludf.DUMMYFUNCTION("""COMPUTED_VALUE"""),1050.0)</f>
        <v>1050</v>
      </c>
      <c r="D1040" s="139">
        <f>IFERROR(__xludf.DUMMYFUNCTION("""COMPUTED_VALUE"""),440.0)</f>
        <v>440</v>
      </c>
      <c r="E1040" s="138">
        <f>IFERROR(__xludf.DUMMYFUNCTION("""COMPUTED_VALUE"""),4.0)</f>
        <v>4</v>
      </c>
      <c r="F1040" s="138">
        <f>IFERROR(__xludf.DUMMYFUNCTION("""COMPUTED_VALUE"""),3.0)</f>
        <v>3</v>
      </c>
      <c r="G1040" s="138">
        <f>IFERROR(__xludf.DUMMYFUNCTION("""COMPUTED_VALUE"""),3.0)</f>
        <v>3</v>
      </c>
      <c r="H1040" s="138">
        <f>IFERROR(__xludf.DUMMYFUNCTION("""COMPUTED_VALUE"""),4.0)</f>
        <v>4</v>
      </c>
      <c r="I1040" s="138">
        <f>IFERROR(__xludf.DUMMYFUNCTION("""COMPUTED_VALUE"""),3.0)</f>
        <v>3</v>
      </c>
      <c r="J1040" s="138">
        <f>IFERROR(__xludf.DUMMYFUNCTION("""COMPUTED_VALUE"""),4.0)</f>
        <v>4</v>
      </c>
      <c r="K1040" s="138">
        <f>IFERROR(__xludf.DUMMYFUNCTION("""COMPUTED_VALUE"""),4.0)</f>
        <v>4</v>
      </c>
      <c r="L1040" s="138">
        <v>25.0</v>
      </c>
      <c r="M1040" s="140" t="str">
        <f>VLOOKUP(text(D1040, "#"),'Master Table'!$A:$F, 6, FALSE)</f>
        <v>G-8</v>
      </c>
      <c r="N1040" s="141"/>
      <c r="O1040" s="142" t="str">
        <f t="shared" si="1"/>
        <v/>
      </c>
      <c r="P1040" s="143" t="str">
        <f>IF(ISNA(VLOOKUP(CONCAT(M1040,C1040), 'Judge Count DO NOT EDIT'!H:H, 1, FALSE)), "ERROR","")</f>
        <v/>
      </c>
      <c r="Q1040" s="144"/>
      <c r="R1040" s="143"/>
      <c r="S1040" s="139" t="str">
        <f t="shared" si="2"/>
        <v>1050440</v>
      </c>
      <c r="T1040" s="141"/>
    </row>
    <row r="1041">
      <c r="A1041" s="137">
        <f>IFERROR(__xludf.DUMMYFUNCTION("""COMPUTED_VALUE"""),45352.531836319446)</f>
        <v>45352.53184</v>
      </c>
      <c r="B1041" s="138" t="str">
        <f>IFERROR(__xludf.DUMMYFUNCTION("""COMPUTED_VALUE"""),"Dan Gross")</f>
        <v>Dan Gross</v>
      </c>
      <c r="C1041" s="138">
        <f>IFERROR(__xludf.DUMMYFUNCTION("""COMPUTED_VALUE"""),1233.0)</f>
        <v>1233</v>
      </c>
      <c r="D1041" s="139">
        <f>IFERROR(__xludf.DUMMYFUNCTION("""COMPUTED_VALUE"""),440.0)</f>
        <v>440</v>
      </c>
      <c r="E1041" s="138">
        <f>IFERROR(__xludf.DUMMYFUNCTION("""COMPUTED_VALUE"""),5.0)</f>
        <v>5</v>
      </c>
      <c r="F1041" s="138">
        <f>IFERROR(__xludf.DUMMYFUNCTION("""COMPUTED_VALUE"""),5.0)</f>
        <v>5</v>
      </c>
      <c r="G1041" s="138">
        <f>IFERROR(__xludf.DUMMYFUNCTION("""COMPUTED_VALUE"""),4.0)</f>
        <v>4</v>
      </c>
      <c r="H1041" s="138">
        <f>IFERROR(__xludf.DUMMYFUNCTION("""COMPUTED_VALUE"""),4.0)</f>
        <v>4</v>
      </c>
      <c r="I1041" s="138">
        <f>IFERROR(__xludf.DUMMYFUNCTION("""COMPUTED_VALUE"""),4.0)</f>
        <v>4</v>
      </c>
      <c r="J1041" s="138">
        <f>IFERROR(__xludf.DUMMYFUNCTION("""COMPUTED_VALUE"""),4.0)</f>
        <v>4</v>
      </c>
      <c r="K1041" s="138">
        <f>IFERROR(__xludf.DUMMYFUNCTION("""COMPUTED_VALUE"""),5.0)</f>
        <v>5</v>
      </c>
      <c r="L1041" s="138">
        <v>31.0</v>
      </c>
      <c r="M1041" s="140" t="str">
        <f>VLOOKUP(text(D1041, "#"),'Master Table'!$A:$F, 6, FALSE)</f>
        <v>G-8</v>
      </c>
      <c r="N1041" s="141" t="str">
        <f>IFERROR(__xludf.DUMMYFUNCTION("""COMPUTED_VALUE"""),"Interesting, exciing, important study.  Ecourage additional research as presentor referenced; looking at mathmatics and biology variables.  Also recommend continued evaluation of influencing variables for self identity and the interplay between the variab"&amp;"les of efficacy, identity, and values.  ")</f>
        <v>Interesting, exciing, important study.  Ecourage additional research as presentor referenced; looking at mathmatics and biology variables.  Also recommend continued evaluation of influencing variables for self identity and the interplay between the variables of efficacy, identity, and values.  </v>
      </c>
      <c r="O1041" s="142" t="str">
        <f t="shared" si="1"/>
        <v/>
      </c>
      <c r="P1041" s="143" t="str">
        <f>IF(ISNA(VLOOKUP(CONCAT(M1041,C1041), 'Judge Count DO NOT EDIT'!H:H, 1, FALSE)), "ERROR","")</f>
        <v/>
      </c>
      <c r="Q1041" s="141"/>
      <c r="R1041" s="143"/>
      <c r="S1041" s="139" t="str">
        <f t="shared" si="2"/>
        <v>1233440</v>
      </c>
      <c r="T1041" s="141"/>
    </row>
    <row r="1042">
      <c r="A1042" s="137">
        <f>IFERROR(__xludf.DUMMYFUNCTION("""COMPUTED_VALUE"""),45352.532182905095)</f>
        <v>45352.53218</v>
      </c>
      <c r="B1042" s="138" t="str">
        <f>IFERROR(__xludf.DUMMYFUNCTION("""COMPUTED_VALUE"""),"Ashley Sanabria ")</f>
        <v>Ashley Sanabria </v>
      </c>
      <c r="C1042" s="138">
        <f>IFERROR(__xludf.DUMMYFUNCTION("""COMPUTED_VALUE"""),1198.0)</f>
        <v>1198</v>
      </c>
      <c r="D1042" s="139">
        <f>IFERROR(__xludf.DUMMYFUNCTION("""COMPUTED_VALUE"""),440.0)</f>
        <v>440</v>
      </c>
      <c r="E1042" s="138">
        <f>IFERROR(__xludf.DUMMYFUNCTION("""COMPUTED_VALUE"""),4.0)</f>
        <v>4</v>
      </c>
      <c r="F1042" s="138">
        <f>IFERROR(__xludf.DUMMYFUNCTION("""COMPUTED_VALUE"""),4.0)</f>
        <v>4</v>
      </c>
      <c r="G1042" s="138">
        <f>IFERROR(__xludf.DUMMYFUNCTION("""COMPUTED_VALUE"""),4.0)</f>
        <v>4</v>
      </c>
      <c r="H1042" s="138">
        <f>IFERROR(__xludf.DUMMYFUNCTION("""COMPUTED_VALUE"""),4.0)</f>
        <v>4</v>
      </c>
      <c r="I1042" s="138">
        <f>IFERROR(__xludf.DUMMYFUNCTION("""COMPUTED_VALUE"""),4.0)</f>
        <v>4</v>
      </c>
      <c r="J1042" s="138">
        <f>IFERROR(__xludf.DUMMYFUNCTION("""COMPUTED_VALUE"""),3.0)</f>
        <v>3</v>
      </c>
      <c r="K1042" s="138">
        <f>IFERROR(__xludf.DUMMYFUNCTION("""COMPUTED_VALUE"""),4.0)</f>
        <v>4</v>
      </c>
      <c r="L1042" s="138">
        <v>27.0</v>
      </c>
      <c r="M1042" s="140" t="str">
        <f>VLOOKUP(text(D1042, "#"),'Master Table'!$A:$F, 6, FALSE)</f>
        <v>G-8</v>
      </c>
      <c r="N1042" s="141" t="str">
        <f>IFERROR(__xludf.DUMMYFUNCTION("""COMPUTED_VALUE"""),"Great presentation of some advanced statistical methods dealing with an issue of high importance. Additional Information was needed to orient your listeners to what your different analyses allow you to conclude. Excellent job with the Q&amp;A. I was hoping to"&amp;" see more practical implications discussed in the main presentation but they did come up in your answers to the questions. Great job! ")</f>
        <v>Great presentation of some advanced statistical methods dealing with an issue of high importance. Additional Information was needed to orient your listeners to what your different analyses allow you to conclude. Excellent job with the Q&amp;A. I was hoping to see more practical implications discussed in the main presentation but they did come up in your answers to the questions. Great job! </v>
      </c>
      <c r="O1042" s="142" t="str">
        <f t="shared" si="1"/>
        <v/>
      </c>
      <c r="P1042" s="143" t="str">
        <f>IF(ISNA(VLOOKUP(CONCAT(M1042,C1042), 'Judge Count DO NOT EDIT'!H:H, 1, FALSE)), "ERROR","")</f>
        <v/>
      </c>
      <c r="Q1042" s="141"/>
      <c r="R1042" s="143"/>
      <c r="S1042" s="139" t="str">
        <f t="shared" si="2"/>
        <v>1198440</v>
      </c>
      <c r="T1042" s="141"/>
    </row>
    <row r="1043">
      <c r="A1043" s="137">
        <f>IFERROR(__xludf.DUMMYFUNCTION("""COMPUTED_VALUE"""),45352.56638427083)</f>
        <v>45352.56638</v>
      </c>
      <c r="B1043" s="138" t="str">
        <f>IFERROR(__xludf.DUMMYFUNCTION("""COMPUTED_VALUE"""),"Jeni Green")</f>
        <v>Jeni Green</v>
      </c>
      <c r="C1043" s="138">
        <f>IFERROR(__xludf.DUMMYFUNCTION("""COMPUTED_VALUE"""),1022.0)</f>
        <v>1022</v>
      </c>
      <c r="D1043" s="139">
        <f>IFERROR(__xludf.DUMMYFUNCTION("""COMPUTED_VALUE"""),440.0)</f>
        <v>440</v>
      </c>
      <c r="E1043" s="138">
        <f>IFERROR(__xludf.DUMMYFUNCTION("""COMPUTED_VALUE"""),4.0)</f>
        <v>4</v>
      </c>
      <c r="F1043" s="138">
        <f>IFERROR(__xludf.DUMMYFUNCTION("""COMPUTED_VALUE"""),4.0)</f>
        <v>4</v>
      </c>
      <c r="G1043" s="138">
        <f>IFERROR(__xludf.DUMMYFUNCTION("""COMPUTED_VALUE"""),4.0)</f>
        <v>4</v>
      </c>
      <c r="H1043" s="138">
        <f>IFERROR(__xludf.DUMMYFUNCTION("""COMPUTED_VALUE"""),4.0)</f>
        <v>4</v>
      </c>
      <c r="I1043" s="138">
        <f>IFERROR(__xludf.DUMMYFUNCTION("""COMPUTED_VALUE"""),5.0)</f>
        <v>5</v>
      </c>
      <c r="J1043" s="138">
        <f>IFERROR(__xludf.DUMMYFUNCTION("""COMPUTED_VALUE"""),4.0)</f>
        <v>4</v>
      </c>
      <c r="K1043" s="138">
        <f>IFERROR(__xludf.DUMMYFUNCTION("""COMPUTED_VALUE"""),5.0)</f>
        <v>5</v>
      </c>
      <c r="L1043" s="138">
        <v>30.0</v>
      </c>
      <c r="M1043" s="140" t="str">
        <f>VLOOKUP(text(D1043, "#"),'Master Table'!$A:$F, 6, FALSE)</f>
        <v>G-8</v>
      </c>
      <c r="N1043" s="141" t="str">
        <f>IFERROR(__xludf.DUMMYFUNCTION("""COMPUTED_VALUE"""),"Presenter did a great job explaining the project, statistical analysis, and translating the findings. ")</f>
        <v>Presenter did a great job explaining the project, statistical analysis, and translating the findings. </v>
      </c>
      <c r="O1043" s="142" t="str">
        <f t="shared" si="1"/>
        <v/>
      </c>
      <c r="P1043" s="143" t="str">
        <f>IF(ISNA(VLOOKUP(CONCAT(M1043,C1043), 'Judge Count DO NOT EDIT'!H:H, 1, FALSE)), "ERROR","")</f>
        <v/>
      </c>
      <c r="Q1043" s="141"/>
      <c r="R1043" s="143"/>
      <c r="S1043" s="139" t="str">
        <f t="shared" si="2"/>
        <v>1022440</v>
      </c>
      <c r="T1043" s="141"/>
    </row>
    <row r="1044">
      <c r="A1044" s="137">
        <f>IFERROR(__xludf.DUMMYFUNCTION("""COMPUTED_VALUE"""),45352.50797841435)</f>
        <v>45352.50798</v>
      </c>
      <c r="B1044" s="138" t="str">
        <f>IFERROR(__xludf.DUMMYFUNCTION("""COMPUTED_VALUE"""),"Ashley Sanabria ")</f>
        <v>Ashley Sanabria </v>
      </c>
      <c r="C1044" s="138">
        <f>IFERROR(__xludf.DUMMYFUNCTION("""COMPUTED_VALUE"""),1198.0)</f>
        <v>1198</v>
      </c>
      <c r="D1044" s="139">
        <f>IFERROR(__xludf.DUMMYFUNCTION("""COMPUTED_VALUE"""),441.0)</f>
        <v>441</v>
      </c>
      <c r="E1044" s="138">
        <f>IFERROR(__xludf.DUMMYFUNCTION("""COMPUTED_VALUE"""),4.0)</f>
        <v>4</v>
      </c>
      <c r="F1044" s="138">
        <f>IFERROR(__xludf.DUMMYFUNCTION("""COMPUTED_VALUE"""),4.0)</f>
        <v>4</v>
      </c>
      <c r="G1044" s="138">
        <f>IFERROR(__xludf.DUMMYFUNCTION("""COMPUTED_VALUE"""),4.0)</f>
        <v>4</v>
      </c>
      <c r="H1044" s="138">
        <f>IFERROR(__xludf.DUMMYFUNCTION("""COMPUTED_VALUE"""),3.0)</f>
        <v>3</v>
      </c>
      <c r="I1044" s="138">
        <f>IFERROR(__xludf.DUMMYFUNCTION("""COMPUTED_VALUE"""),4.0)</f>
        <v>4</v>
      </c>
      <c r="J1044" s="138">
        <f>IFERROR(__xludf.DUMMYFUNCTION("""COMPUTED_VALUE"""),4.0)</f>
        <v>4</v>
      </c>
      <c r="K1044" s="138">
        <f>IFERROR(__xludf.DUMMYFUNCTION("""COMPUTED_VALUE"""),4.0)</f>
        <v>4</v>
      </c>
      <c r="L1044" s="138">
        <v>27.0</v>
      </c>
      <c r="M1044" s="140" t="str">
        <f>VLOOKUP(text(D1044, "#"),'Master Table'!$A:$F, 6, FALSE)</f>
        <v>G-8</v>
      </c>
      <c r="N1044" s="141" t="str">
        <f>IFERROR(__xludf.DUMMYFUNCTION("""COMPUTED_VALUE"""),"Clear reporting of an important project with a vulnerable population. A bit more background info was needed to feel confident about what the research question was addressing (what EMA means) but results and potential future direction were explained very c"&amp;"learly. Good job with Q&amp;A. ")</f>
        <v>Clear reporting of an important project with a vulnerable population. A bit more background info was needed to feel confident about what the research question was addressing (what EMA means) but results and potential future direction were explained very clearly. Good job with Q&amp;A. </v>
      </c>
      <c r="O1044" s="142" t="str">
        <f t="shared" si="1"/>
        <v/>
      </c>
      <c r="P1044" s="143" t="str">
        <f>IF(ISNA(VLOOKUP(CONCAT(M1044,C1044), 'Judge Count DO NOT EDIT'!H:H, 1, FALSE)), "ERROR","")</f>
        <v/>
      </c>
      <c r="Q1044" s="141"/>
      <c r="R1044" s="143"/>
      <c r="S1044" s="139" t="str">
        <f t="shared" si="2"/>
        <v>1198441</v>
      </c>
      <c r="T1044" s="141"/>
    </row>
    <row r="1045">
      <c r="A1045" s="137">
        <f>IFERROR(__xludf.DUMMYFUNCTION("""COMPUTED_VALUE"""),45352.51081019676)</f>
        <v>45352.51081</v>
      </c>
      <c r="B1045" s="138" t="str">
        <f>IFERROR(__xludf.DUMMYFUNCTION("""COMPUTED_VALUE"""),"Liang Ma")</f>
        <v>Liang Ma</v>
      </c>
      <c r="C1045" s="138">
        <f>IFERROR(__xludf.DUMMYFUNCTION("""COMPUTED_VALUE"""),1050.0)</f>
        <v>1050</v>
      </c>
      <c r="D1045" s="139">
        <f>IFERROR(__xludf.DUMMYFUNCTION("""COMPUTED_VALUE"""),441.0)</f>
        <v>441</v>
      </c>
      <c r="E1045" s="138">
        <f>IFERROR(__xludf.DUMMYFUNCTION("""COMPUTED_VALUE"""),3.0)</f>
        <v>3</v>
      </c>
      <c r="F1045" s="138">
        <f>IFERROR(__xludf.DUMMYFUNCTION("""COMPUTED_VALUE"""),2.0)</f>
        <v>2</v>
      </c>
      <c r="G1045" s="138">
        <f>IFERROR(__xludf.DUMMYFUNCTION("""COMPUTED_VALUE"""),2.0)</f>
        <v>2</v>
      </c>
      <c r="H1045" s="138">
        <f>IFERROR(__xludf.DUMMYFUNCTION("""COMPUTED_VALUE"""),2.0)</f>
        <v>2</v>
      </c>
      <c r="I1045" s="138">
        <f>IFERROR(__xludf.DUMMYFUNCTION("""COMPUTED_VALUE"""),3.0)</f>
        <v>3</v>
      </c>
      <c r="J1045" s="138">
        <f>IFERROR(__xludf.DUMMYFUNCTION("""COMPUTED_VALUE"""),3.0)</f>
        <v>3</v>
      </c>
      <c r="K1045" s="138">
        <f>IFERROR(__xludf.DUMMYFUNCTION("""COMPUTED_VALUE"""),3.0)</f>
        <v>3</v>
      </c>
      <c r="L1045" s="138">
        <v>18.0</v>
      </c>
      <c r="M1045" s="140" t="str">
        <f>VLOOKUP(text(D1045, "#"),'Master Table'!$A:$F, 6, FALSE)</f>
        <v>G-8</v>
      </c>
      <c r="N1045" s="141"/>
      <c r="O1045" s="142" t="str">
        <f t="shared" si="1"/>
        <v/>
      </c>
      <c r="P1045" s="143" t="str">
        <f>IF(ISNA(VLOOKUP(CONCAT(M1045,C1045), 'Judge Count DO NOT EDIT'!H:H, 1, FALSE)), "ERROR","")</f>
        <v/>
      </c>
      <c r="Q1045" s="141"/>
      <c r="R1045" s="143"/>
      <c r="S1045" s="139" t="str">
        <f t="shared" si="2"/>
        <v>1050441</v>
      </c>
      <c r="T1045" s="141"/>
    </row>
    <row r="1046">
      <c r="A1046" s="137">
        <f>IFERROR(__xludf.DUMMYFUNCTION("""COMPUTED_VALUE"""),45352.53564649305)</f>
        <v>45352.53565</v>
      </c>
      <c r="B1046" s="138" t="str">
        <f>IFERROR(__xludf.DUMMYFUNCTION("""COMPUTED_VALUE"""),"Dan Gross")</f>
        <v>Dan Gross</v>
      </c>
      <c r="C1046" s="138">
        <f>IFERROR(__xludf.DUMMYFUNCTION("""COMPUTED_VALUE"""),1233.0)</f>
        <v>1233</v>
      </c>
      <c r="D1046" s="139">
        <f>IFERROR(__xludf.DUMMYFUNCTION("""COMPUTED_VALUE"""),441.0)</f>
        <v>441</v>
      </c>
      <c r="E1046" s="138">
        <f>IFERROR(__xludf.DUMMYFUNCTION("""COMPUTED_VALUE"""),5.0)</f>
        <v>5</v>
      </c>
      <c r="F1046" s="138">
        <f>IFERROR(__xludf.DUMMYFUNCTION("""COMPUTED_VALUE"""),4.0)</f>
        <v>4</v>
      </c>
      <c r="G1046" s="138">
        <f>IFERROR(__xludf.DUMMYFUNCTION("""COMPUTED_VALUE"""),4.0)</f>
        <v>4</v>
      </c>
      <c r="H1046" s="138">
        <f>IFERROR(__xludf.DUMMYFUNCTION("""COMPUTED_VALUE"""),4.0)</f>
        <v>4</v>
      </c>
      <c r="I1046" s="138">
        <f>IFERROR(__xludf.DUMMYFUNCTION("""COMPUTED_VALUE"""),5.0)</f>
        <v>5</v>
      </c>
      <c r="J1046" s="138">
        <f>IFERROR(__xludf.DUMMYFUNCTION("""COMPUTED_VALUE"""),5.0)</f>
        <v>5</v>
      </c>
      <c r="K1046" s="138">
        <f>IFERROR(__xludf.DUMMYFUNCTION("""COMPUTED_VALUE"""),5.0)</f>
        <v>5</v>
      </c>
      <c r="L1046" s="138">
        <v>32.0</v>
      </c>
      <c r="M1046" s="140" t="str">
        <f>VLOOKUP(text(D1046, "#"),'Master Table'!$A:$F, 6, FALSE)</f>
        <v>G-8</v>
      </c>
      <c r="N1046" s="141" t="str">
        <f>IFERROR(__xludf.DUMMYFUNCTION("""COMPUTED_VALUE"""),"Study very relavant and timely.  Exceedingly impressed with insights to strengthen research methods and focus of future studies.  Specifically, looking at the length and frequency of study, expanding questions to include broader set of stressors, and expl"&amp;"oration of validity and reliability data collection instrument.  Excellent oral presentation.")</f>
        <v>Study very relavant and timely.  Exceedingly impressed with insights to strengthen research methods and focus of future studies.  Specifically, looking at the length and frequency of study, expanding questions to include broader set of stressors, and exploration of validity and reliability data collection instrument.  Excellent oral presentation.</v>
      </c>
      <c r="O1046" s="142" t="str">
        <f t="shared" si="1"/>
        <v/>
      </c>
      <c r="P1046" s="143" t="str">
        <f>IF(ISNA(VLOOKUP(CONCAT(M1046,C1046), 'Judge Count DO NOT EDIT'!H:H, 1, FALSE)), "ERROR","")</f>
        <v/>
      </c>
      <c r="Q1046" s="141"/>
      <c r="R1046" s="143"/>
      <c r="S1046" s="139" t="str">
        <f t="shared" si="2"/>
        <v>1233441</v>
      </c>
      <c r="T1046" s="141"/>
    </row>
    <row r="1047">
      <c r="A1047" s="137">
        <f>IFERROR(__xludf.DUMMYFUNCTION("""COMPUTED_VALUE"""),45352.56731599537)</f>
        <v>45352.56732</v>
      </c>
      <c r="B1047" s="138" t="str">
        <f>IFERROR(__xludf.DUMMYFUNCTION("""COMPUTED_VALUE"""),"Jeni Green")</f>
        <v>Jeni Green</v>
      </c>
      <c r="C1047" s="138">
        <f>IFERROR(__xludf.DUMMYFUNCTION("""COMPUTED_VALUE"""),1022.0)</f>
        <v>1022</v>
      </c>
      <c r="D1047" s="139">
        <f>IFERROR(__xludf.DUMMYFUNCTION("""COMPUTED_VALUE"""),441.0)</f>
        <v>441</v>
      </c>
      <c r="E1047" s="138">
        <f>IFERROR(__xludf.DUMMYFUNCTION("""COMPUTED_VALUE"""),4.0)</f>
        <v>4</v>
      </c>
      <c r="F1047" s="138">
        <f>IFERROR(__xludf.DUMMYFUNCTION("""COMPUTED_VALUE"""),4.0)</f>
        <v>4</v>
      </c>
      <c r="G1047" s="138">
        <f>IFERROR(__xludf.DUMMYFUNCTION("""COMPUTED_VALUE"""),5.0)</f>
        <v>5</v>
      </c>
      <c r="H1047" s="138">
        <f>IFERROR(__xludf.DUMMYFUNCTION("""COMPUTED_VALUE"""),5.0)</f>
        <v>5</v>
      </c>
      <c r="I1047" s="138">
        <f>IFERROR(__xludf.DUMMYFUNCTION("""COMPUTED_VALUE"""),5.0)</f>
        <v>5</v>
      </c>
      <c r="J1047" s="138">
        <f>IFERROR(__xludf.DUMMYFUNCTION("""COMPUTED_VALUE"""),4.0)</f>
        <v>4</v>
      </c>
      <c r="K1047" s="138">
        <f>IFERROR(__xludf.DUMMYFUNCTION("""COMPUTED_VALUE"""),5.0)</f>
        <v>5</v>
      </c>
      <c r="L1047" s="138">
        <v>32.0</v>
      </c>
      <c r="M1047" s="140" t="str">
        <f>VLOOKUP(text(D1047, "#"),'Master Table'!$A:$F, 6, FALSE)</f>
        <v>G-8</v>
      </c>
      <c r="N1047" s="141" t="str">
        <f>IFERROR(__xludf.DUMMYFUNCTION("""COMPUTED_VALUE"""),"Both presenters did a great job explaining the study and had strong communication skills. ")</f>
        <v>Both presenters did a great job explaining the study and had strong communication skills. </v>
      </c>
      <c r="O1047" s="142" t="str">
        <f t="shared" si="1"/>
        <v/>
      </c>
      <c r="P1047" s="143" t="str">
        <f>IF(ISNA(VLOOKUP(CONCAT(M1047,C1047), 'Judge Count DO NOT EDIT'!H:H, 1, FALSE)), "ERROR","")</f>
        <v/>
      </c>
      <c r="Q1047" s="141"/>
      <c r="R1047" s="143"/>
      <c r="S1047" s="139" t="str">
        <f t="shared" si="2"/>
        <v>1022441</v>
      </c>
      <c r="T1047" s="141"/>
    </row>
    <row r="1048">
      <c r="A1048" s="137">
        <f>IFERROR(__xludf.DUMMYFUNCTION("""COMPUTED_VALUE"""),45352.5114159838)</f>
        <v>45352.51142</v>
      </c>
      <c r="B1048" s="138" t="str">
        <f>IFERROR(__xludf.DUMMYFUNCTION("""COMPUTED_VALUE"""),"Liang Ma")</f>
        <v>Liang Ma</v>
      </c>
      <c r="C1048" s="138">
        <f>IFERROR(__xludf.DUMMYFUNCTION("""COMPUTED_VALUE"""),1050.0)</f>
        <v>1050</v>
      </c>
      <c r="D1048" s="139">
        <f>IFERROR(__xludf.DUMMYFUNCTION("""COMPUTED_VALUE"""),442.0)</f>
        <v>442</v>
      </c>
      <c r="E1048" s="138">
        <f>IFERROR(__xludf.DUMMYFUNCTION("""COMPUTED_VALUE"""),4.0)</f>
        <v>4</v>
      </c>
      <c r="F1048" s="138">
        <f>IFERROR(__xludf.DUMMYFUNCTION("""COMPUTED_VALUE"""),4.0)</f>
        <v>4</v>
      </c>
      <c r="G1048" s="138">
        <f>IFERROR(__xludf.DUMMYFUNCTION("""COMPUTED_VALUE"""),4.0)</f>
        <v>4</v>
      </c>
      <c r="H1048" s="138">
        <f>IFERROR(__xludf.DUMMYFUNCTION("""COMPUTED_VALUE"""),3.0)</f>
        <v>3</v>
      </c>
      <c r="I1048" s="138">
        <f>IFERROR(__xludf.DUMMYFUNCTION("""COMPUTED_VALUE"""),4.0)</f>
        <v>4</v>
      </c>
      <c r="J1048" s="138">
        <f>IFERROR(__xludf.DUMMYFUNCTION("""COMPUTED_VALUE"""),5.0)</f>
        <v>5</v>
      </c>
      <c r="K1048" s="138">
        <f>IFERROR(__xludf.DUMMYFUNCTION("""COMPUTED_VALUE"""),5.0)</f>
        <v>5</v>
      </c>
      <c r="L1048" s="138">
        <v>29.0</v>
      </c>
      <c r="M1048" s="140" t="str">
        <f>VLOOKUP(text(D1048, "#"),'Master Table'!$A:$F, 6, FALSE)</f>
        <v>G-8</v>
      </c>
      <c r="N1048" s="141"/>
      <c r="O1048" s="142" t="str">
        <f t="shared" si="1"/>
        <v/>
      </c>
      <c r="P1048" s="143" t="str">
        <f>IF(ISNA(VLOOKUP(CONCAT(M1048,C1048), 'Judge Count DO NOT EDIT'!H:H, 1, FALSE)), "ERROR","")</f>
        <v/>
      </c>
      <c r="Q1048" s="141"/>
      <c r="R1048" s="143"/>
      <c r="S1048" s="139" t="str">
        <f t="shared" si="2"/>
        <v>1050442</v>
      </c>
      <c r="T1048" s="141"/>
    </row>
    <row r="1049">
      <c r="A1049" s="137">
        <f>IFERROR(__xludf.DUMMYFUNCTION("""COMPUTED_VALUE"""),45352.516875601854)</f>
        <v>45352.51688</v>
      </c>
      <c r="B1049" s="138" t="str">
        <f>IFERROR(__xludf.DUMMYFUNCTION("""COMPUTED_VALUE"""),"Ashley Sanabria")</f>
        <v>Ashley Sanabria</v>
      </c>
      <c r="C1049" s="138">
        <f>IFERROR(__xludf.DUMMYFUNCTION("""COMPUTED_VALUE"""),1198.0)</f>
        <v>1198</v>
      </c>
      <c r="D1049" s="139">
        <f>IFERROR(__xludf.DUMMYFUNCTION("""COMPUTED_VALUE"""),442.0)</f>
        <v>442</v>
      </c>
      <c r="E1049" s="138">
        <f>IFERROR(__xludf.DUMMYFUNCTION("""COMPUTED_VALUE"""),4.0)</f>
        <v>4</v>
      </c>
      <c r="F1049" s="138">
        <f>IFERROR(__xludf.DUMMYFUNCTION("""COMPUTED_VALUE"""),4.0)</f>
        <v>4</v>
      </c>
      <c r="G1049" s="138">
        <f>IFERROR(__xludf.DUMMYFUNCTION("""COMPUTED_VALUE"""),5.0)</f>
        <v>5</v>
      </c>
      <c r="H1049" s="138">
        <f>IFERROR(__xludf.DUMMYFUNCTION("""COMPUTED_VALUE"""),3.0)</f>
        <v>3</v>
      </c>
      <c r="I1049" s="138">
        <f>IFERROR(__xludf.DUMMYFUNCTION("""COMPUTED_VALUE"""),4.0)</f>
        <v>4</v>
      </c>
      <c r="J1049" s="138">
        <f>IFERROR(__xludf.DUMMYFUNCTION("""COMPUTED_VALUE"""),4.0)</f>
        <v>4</v>
      </c>
      <c r="K1049" s="138">
        <f>IFERROR(__xludf.DUMMYFUNCTION("""COMPUTED_VALUE"""),4.0)</f>
        <v>4</v>
      </c>
      <c r="L1049" s="138">
        <v>28.0</v>
      </c>
      <c r="M1049" s="140" t="str">
        <f>VLOOKUP(text(D1049, "#"),'Master Table'!$A:$F, 6, FALSE)</f>
        <v>G-8</v>
      </c>
      <c r="N1049" s="141" t="str">
        <f>IFERROR(__xludf.DUMMYFUNCTION("""COMPUTED_VALUE"""),"Really great presentation on an important topic. Very clear that presenter was knowledgeable about the significance. More detail about the methodology and practical implications of the work would strengthen the presentation. Overall, great job! ")</f>
        <v>Really great presentation on an important topic. Very clear that presenter was knowledgeable about the significance. More detail about the methodology and practical implications of the work would strengthen the presentation. Overall, great job! </v>
      </c>
      <c r="O1049" s="142" t="str">
        <f t="shared" si="1"/>
        <v/>
      </c>
      <c r="P1049" s="143" t="str">
        <f>IF(ISNA(VLOOKUP(CONCAT(M1049,C1049), 'Judge Count DO NOT EDIT'!H:H, 1, FALSE)), "ERROR","")</f>
        <v/>
      </c>
      <c r="Q1049" s="141"/>
      <c r="R1049" s="143"/>
      <c r="S1049" s="139" t="str">
        <f t="shared" si="2"/>
        <v>1198442</v>
      </c>
      <c r="T1049" s="141"/>
    </row>
    <row r="1050">
      <c r="A1050" s="137">
        <f>IFERROR(__xludf.DUMMYFUNCTION("""COMPUTED_VALUE"""),45352.54250361111)</f>
        <v>45352.5425</v>
      </c>
      <c r="B1050" s="138" t="str">
        <f>IFERROR(__xludf.DUMMYFUNCTION("""COMPUTED_VALUE"""),"Dan Gross")</f>
        <v>Dan Gross</v>
      </c>
      <c r="C1050" s="138">
        <f>IFERROR(__xludf.DUMMYFUNCTION("""COMPUTED_VALUE"""),1233.0)</f>
        <v>1233</v>
      </c>
      <c r="D1050" s="139">
        <f>IFERROR(__xludf.DUMMYFUNCTION("""COMPUTED_VALUE"""),442.0)</f>
        <v>442</v>
      </c>
      <c r="E1050" s="138">
        <f>IFERROR(__xludf.DUMMYFUNCTION("""COMPUTED_VALUE"""),4.0)</f>
        <v>4</v>
      </c>
      <c r="F1050" s="138">
        <f>IFERROR(__xludf.DUMMYFUNCTION("""COMPUTED_VALUE"""),5.0)</f>
        <v>5</v>
      </c>
      <c r="G1050" s="138">
        <f>IFERROR(__xludf.DUMMYFUNCTION("""COMPUTED_VALUE"""),4.0)</f>
        <v>4</v>
      </c>
      <c r="H1050" s="138">
        <f>IFERROR(__xludf.DUMMYFUNCTION("""COMPUTED_VALUE"""),4.0)</f>
        <v>4</v>
      </c>
      <c r="I1050" s="138">
        <f>IFERROR(__xludf.DUMMYFUNCTION("""COMPUTED_VALUE"""),4.0)</f>
        <v>4</v>
      </c>
      <c r="J1050" s="138">
        <f>IFERROR(__xludf.DUMMYFUNCTION("""COMPUTED_VALUE"""),4.0)</f>
        <v>4</v>
      </c>
      <c r="K1050" s="138">
        <f>IFERROR(__xludf.DUMMYFUNCTION("""COMPUTED_VALUE"""),4.0)</f>
        <v>4</v>
      </c>
      <c r="L1050" s="138">
        <v>29.0</v>
      </c>
      <c r="M1050" s="140" t="str">
        <f>VLOOKUP(text(D1050, "#"),'Master Table'!$A:$F, 6, FALSE)</f>
        <v>G-8</v>
      </c>
      <c r="N1050" s="141" t="str">
        <f>IFERROR(__xludf.DUMMYFUNCTION("""COMPUTED_VALUE"""),"Continued resarch would be vaulable seeking greater insight into what creates individual bias.  Agree with researcher that methodologically adding a qualitative component to future study.  Exploration of existing research about skin bias in african americ"&amp;"an populaton and learnings regarding intervention might be valuable.  Study very original.  ")</f>
        <v>Continued resarch would be vaulable seeking greater insight into what creates individual bias.  Agree with researcher that methodologically adding a qualitative component to future study.  Exploration of existing research about skin bias in african american populaton and learnings regarding intervention might be valuable.  Study very original.  </v>
      </c>
      <c r="O1050" s="142" t="str">
        <f t="shared" si="1"/>
        <v/>
      </c>
      <c r="P1050" s="143" t="str">
        <f>IF(ISNA(VLOOKUP(CONCAT(M1050,C1050), 'Judge Count DO NOT EDIT'!H:H, 1, FALSE)), "ERROR","")</f>
        <v/>
      </c>
      <c r="Q1050" s="141"/>
      <c r="R1050" s="143"/>
      <c r="S1050" s="139" t="str">
        <f t="shared" si="2"/>
        <v>1233442</v>
      </c>
      <c r="T1050" s="141"/>
    </row>
    <row r="1051">
      <c r="A1051" s="137">
        <f>IFERROR(__xludf.DUMMYFUNCTION("""COMPUTED_VALUE"""),45352.56809284722)</f>
        <v>45352.56809</v>
      </c>
      <c r="B1051" s="138" t="str">
        <f>IFERROR(__xludf.DUMMYFUNCTION("""COMPUTED_VALUE"""),"Jeni Green")</f>
        <v>Jeni Green</v>
      </c>
      <c r="C1051" s="138">
        <f>IFERROR(__xludf.DUMMYFUNCTION("""COMPUTED_VALUE"""),1022.0)</f>
        <v>1022</v>
      </c>
      <c r="D1051" s="139">
        <f>IFERROR(__xludf.DUMMYFUNCTION("""COMPUTED_VALUE"""),442.0)</f>
        <v>442</v>
      </c>
      <c r="E1051" s="138">
        <f>IFERROR(__xludf.DUMMYFUNCTION("""COMPUTED_VALUE"""),4.0)</f>
        <v>4</v>
      </c>
      <c r="F1051" s="138">
        <f>IFERROR(__xludf.DUMMYFUNCTION("""COMPUTED_VALUE"""),4.0)</f>
        <v>4</v>
      </c>
      <c r="G1051" s="138">
        <f>IFERROR(__xludf.DUMMYFUNCTION("""COMPUTED_VALUE"""),4.0)</f>
        <v>4</v>
      </c>
      <c r="H1051" s="138">
        <f>IFERROR(__xludf.DUMMYFUNCTION("""COMPUTED_VALUE"""),3.0)</f>
        <v>3</v>
      </c>
      <c r="I1051" s="138">
        <f>IFERROR(__xludf.DUMMYFUNCTION("""COMPUTED_VALUE"""),4.0)</f>
        <v>4</v>
      </c>
      <c r="J1051" s="138">
        <f>IFERROR(__xludf.DUMMYFUNCTION("""COMPUTED_VALUE"""),4.0)</f>
        <v>4</v>
      </c>
      <c r="K1051" s="138">
        <f>IFERROR(__xludf.DUMMYFUNCTION("""COMPUTED_VALUE"""),4.0)</f>
        <v>4</v>
      </c>
      <c r="L1051" s="138">
        <v>27.0</v>
      </c>
      <c r="M1051" s="140" t="str">
        <f>VLOOKUP(text(D1051, "#"),'Master Table'!$A:$F, 6, FALSE)</f>
        <v>G-8</v>
      </c>
      <c r="N1051" s="141" t="str">
        <f>IFERROR(__xludf.DUMMYFUNCTION("""COMPUTED_VALUE"""),"Presenter demonstrated strong communication skills and understanding of the subject.")</f>
        <v>Presenter demonstrated strong communication skills and understanding of the subject.</v>
      </c>
      <c r="O1051" s="142" t="str">
        <f t="shared" si="1"/>
        <v/>
      </c>
      <c r="P1051" s="143" t="str">
        <f>IF(ISNA(VLOOKUP(CONCAT(M1051,C1051), 'Judge Count DO NOT EDIT'!H:H, 1, FALSE)), "ERROR","")</f>
        <v/>
      </c>
      <c r="Q1051" s="141"/>
      <c r="R1051" s="143"/>
      <c r="S1051" s="139" t="str">
        <f t="shared" si="2"/>
        <v>1022442</v>
      </c>
      <c r="T1051" s="141"/>
    </row>
    <row r="1052">
      <c r="A1052" s="137">
        <f>IFERROR(__xludf.DUMMYFUNCTION("""COMPUTED_VALUE"""),45352.47395596065)</f>
        <v>45352.47396</v>
      </c>
      <c r="B1052" s="138" t="str">
        <f>IFERROR(__xludf.DUMMYFUNCTION("""COMPUTED_VALUE"""),"Ashley Sanabria ")</f>
        <v>Ashley Sanabria </v>
      </c>
      <c r="C1052" s="138">
        <f>IFERROR(__xludf.DUMMYFUNCTION("""COMPUTED_VALUE"""),1198.0)</f>
        <v>1198</v>
      </c>
      <c r="D1052" s="139">
        <f>IFERROR(__xludf.DUMMYFUNCTION("""COMPUTED_VALUE"""),443.0)</f>
        <v>443</v>
      </c>
      <c r="E1052" s="138">
        <f>IFERROR(__xludf.DUMMYFUNCTION("""COMPUTED_VALUE"""),4.0)</f>
        <v>4</v>
      </c>
      <c r="F1052" s="138">
        <f>IFERROR(__xludf.DUMMYFUNCTION("""COMPUTED_VALUE"""),4.0)</f>
        <v>4</v>
      </c>
      <c r="G1052" s="138">
        <f>IFERROR(__xludf.DUMMYFUNCTION("""COMPUTED_VALUE"""),4.0)</f>
        <v>4</v>
      </c>
      <c r="H1052" s="138">
        <f>IFERROR(__xludf.DUMMYFUNCTION("""COMPUTED_VALUE"""),3.0)</f>
        <v>3</v>
      </c>
      <c r="I1052" s="138">
        <f>IFERROR(__xludf.DUMMYFUNCTION("""COMPUTED_VALUE"""),4.0)</f>
        <v>4</v>
      </c>
      <c r="J1052" s="138">
        <f>IFERROR(__xludf.DUMMYFUNCTION("""COMPUTED_VALUE"""),4.0)</f>
        <v>4</v>
      </c>
      <c r="K1052" s="138">
        <f>IFERROR(__xludf.DUMMYFUNCTION("""COMPUTED_VALUE"""),4.0)</f>
        <v>4</v>
      </c>
      <c r="L1052" s="138">
        <v>27.0</v>
      </c>
      <c r="M1052" s="140" t="str">
        <f>VLOOKUP(text(D1052, "#"),'Master Table'!$A:$F, 6, FALSE)</f>
        <v>G-8</v>
      </c>
      <c r="N1052" s="141" t="str">
        <f>IFERROR(__xludf.DUMMYFUNCTION("""COMPUTED_VALUE"""),"Very important work. Presenter had strong understanding of importance of work. Could improve on description of participants and methodology. Don’t forget to end with a strong statement of the importance of this work because it’s very important! ")</f>
        <v>Very important work. Presenter had strong understanding of importance of work. Could improve on description of participants and methodology. Don’t forget to end with a strong statement of the importance of this work because it’s very important! </v>
      </c>
      <c r="O1052" s="142" t="str">
        <f t="shared" si="1"/>
        <v/>
      </c>
      <c r="P1052" s="143" t="str">
        <f>IF(ISNA(VLOOKUP(CONCAT(M1052,C1052), 'Judge Count DO NOT EDIT'!H:H, 1, FALSE)), "ERROR","")</f>
        <v/>
      </c>
      <c r="Q1052" s="141"/>
      <c r="R1052" s="143"/>
      <c r="S1052" s="139" t="str">
        <f t="shared" si="2"/>
        <v>1198443</v>
      </c>
      <c r="T1052" s="141"/>
    </row>
    <row r="1053">
      <c r="A1053" s="137">
        <f>IFERROR(__xludf.DUMMYFUNCTION("""COMPUTED_VALUE"""),45352.511919571756)</f>
        <v>45352.51192</v>
      </c>
      <c r="B1053" s="138" t="str">
        <f>IFERROR(__xludf.DUMMYFUNCTION("""COMPUTED_VALUE"""),"Liang Ma")</f>
        <v>Liang Ma</v>
      </c>
      <c r="C1053" s="138">
        <f>IFERROR(__xludf.DUMMYFUNCTION("""COMPUTED_VALUE"""),1050.0)</f>
        <v>1050</v>
      </c>
      <c r="D1053" s="139">
        <f>IFERROR(__xludf.DUMMYFUNCTION("""COMPUTED_VALUE"""),443.0)</f>
        <v>443</v>
      </c>
      <c r="E1053" s="138">
        <f>IFERROR(__xludf.DUMMYFUNCTION("""COMPUTED_VALUE"""),3.0)</f>
        <v>3</v>
      </c>
      <c r="F1053" s="138">
        <f>IFERROR(__xludf.DUMMYFUNCTION("""COMPUTED_VALUE"""),2.0)</f>
        <v>2</v>
      </c>
      <c r="G1053" s="138">
        <f>IFERROR(__xludf.DUMMYFUNCTION("""COMPUTED_VALUE"""),2.0)</f>
        <v>2</v>
      </c>
      <c r="H1053" s="138">
        <f>IFERROR(__xludf.DUMMYFUNCTION("""COMPUTED_VALUE"""),2.0)</f>
        <v>2</v>
      </c>
      <c r="I1053" s="138">
        <f>IFERROR(__xludf.DUMMYFUNCTION("""COMPUTED_VALUE"""),3.0)</f>
        <v>3</v>
      </c>
      <c r="J1053" s="138">
        <f>IFERROR(__xludf.DUMMYFUNCTION("""COMPUTED_VALUE"""),3.0)</f>
        <v>3</v>
      </c>
      <c r="K1053" s="138">
        <f>IFERROR(__xludf.DUMMYFUNCTION("""COMPUTED_VALUE"""),3.0)</f>
        <v>3</v>
      </c>
      <c r="L1053" s="138">
        <v>18.0</v>
      </c>
      <c r="M1053" s="140" t="str">
        <f>VLOOKUP(text(D1053, "#"),'Master Table'!$A:$F, 6, FALSE)</f>
        <v>G-8</v>
      </c>
      <c r="N1053" s="141"/>
      <c r="O1053" s="142" t="str">
        <f t="shared" si="1"/>
        <v/>
      </c>
      <c r="P1053" s="143" t="str">
        <f>IF(ISNA(VLOOKUP(CONCAT(M1053,C1053), 'Judge Count DO NOT EDIT'!H:H, 1, FALSE)), "ERROR","")</f>
        <v/>
      </c>
      <c r="Q1053" s="141"/>
      <c r="R1053" s="143"/>
      <c r="S1053" s="139" t="str">
        <f t="shared" si="2"/>
        <v>1050443</v>
      </c>
      <c r="T1053" s="141"/>
    </row>
    <row r="1054">
      <c r="A1054" s="137">
        <f>IFERROR(__xludf.DUMMYFUNCTION("""COMPUTED_VALUE"""),45352.54844932871)</f>
        <v>45352.54845</v>
      </c>
      <c r="B1054" s="138" t="str">
        <f>IFERROR(__xludf.DUMMYFUNCTION("""COMPUTED_VALUE"""),"Dan Gross")</f>
        <v>Dan Gross</v>
      </c>
      <c r="C1054" s="138">
        <f>IFERROR(__xludf.DUMMYFUNCTION("""COMPUTED_VALUE"""),1233.0)</f>
        <v>1233</v>
      </c>
      <c r="D1054" s="139">
        <f>IFERROR(__xludf.DUMMYFUNCTION("""COMPUTED_VALUE"""),443.0)</f>
        <v>443</v>
      </c>
      <c r="E1054" s="138">
        <f>IFERROR(__xludf.DUMMYFUNCTION("""COMPUTED_VALUE"""),4.0)</f>
        <v>4</v>
      </c>
      <c r="F1054" s="138">
        <f>IFERROR(__xludf.DUMMYFUNCTION("""COMPUTED_VALUE"""),4.0)</f>
        <v>4</v>
      </c>
      <c r="G1054" s="138">
        <f>IFERROR(__xludf.DUMMYFUNCTION("""COMPUTED_VALUE"""),5.0)</f>
        <v>5</v>
      </c>
      <c r="H1054" s="138">
        <f>IFERROR(__xludf.DUMMYFUNCTION("""COMPUTED_VALUE"""),3.0)</f>
        <v>3</v>
      </c>
      <c r="I1054" s="138">
        <f>IFERROR(__xludf.DUMMYFUNCTION("""COMPUTED_VALUE"""),4.0)</f>
        <v>4</v>
      </c>
      <c r="J1054" s="138">
        <f>IFERROR(__xludf.DUMMYFUNCTION("""COMPUTED_VALUE"""),4.0)</f>
        <v>4</v>
      </c>
      <c r="K1054" s="138">
        <f>IFERROR(__xludf.DUMMYFUNCTION("""COMPUTED_VALUE"""),4.0)</f>
        <v>4</v>
      </c>
      <c r="L1054" s="138">
        <v>28.0</v>
      </c>
      <c r="M1054" s="140" t="str">
        <f>VLOOKUP(text(D1054, "#"),'Master Table'!$A:$F, 6, FALSE)</f>
        <v>G-8</v>
      </c>
      <c r="N1054" s="141" t="str">
        <f>IFERROR(__xludf.DUMMYFUNCTION("""COMPUTED_VALUE"""),"Superb, interesting resarch study.  Focus on arab/muslim population is very timely and less researched.  Continued study using alternate research methods recommended.  Using a qualitative method with semi structured interviews could prove valuable.  Great"&amp;"er insights into drivers of explicit bias would be valuable.  Also encourage broad dissemination of research to create greater awareness and dialog.")</f>
        <v>Superb, interesting resarch study.  Focus on arab/muslim population is very timely and less researched.  Continued study using alternate research methods recommended.  Using a qualitative method with semi structured interviews could prove valuable.  Greater insights into drivers of explicit bias would be valuable.  Also encourage broad dissemination of research to create greater awareness and dialog.</v>
      </c>
      <c r="O1054" s="142" t="str">
        <f t="shared" si="1"/>
        <v/>
      </c>
      <c r="P1054" s="143" t="str">
        <f>IF(ISNA(VLOOKUP(CONCAT(M1054,C1054), 'Judge Count DO NOT EDIT'!H:H, 1, FALSE)), "ERROR","")</f>
        <v/>
      </c>
      <c r="Q1054" s="141"/>
      <c r="R1054" s="143"/>
      <c r="S1054" s="139" t="str">
        <f t="shared" si="2"/>
        <v>1233443</v>
      </c>
      <c r="T1054" s="141"/>
    </row>
    <row r="1055">
      <c r="A1055" s="137">
        <f>IFERROR(__xludf.DUMMYFUNCTION("""COMPUTED_VALUE"""),45352.56897767361)</f>
        <v>45352.56898</v>
      </c>
      <c r="B1055" s="138" t="str">
        <f>IFERROR(__xludf.DUMMYFUNCTION("""COMPUTED_VALUE"""),"Jeni Green")</f>
        <v>Jeni Green</v>
      </c>
      <c r="C1055" s="138">
        <f>IFERROR(__xludf.DUMMYFUNCTION("""COMPUTED_VALUE"""),1022.0)</f>
        <v>1022</v>
      </c>
      <c r="D1055" s="139">
        <f>IFERROR(__xludf.DUMMYFUNCTION("""COMPUTED_VALUE"""),443.0)</f>
        <v>443</v>
      </c>
      <c r="E1055" s="138">
        <f>IFERROR(__xludf.DUMMYFUNCTION("""COMPUTED_VALUE"""),4.0)</f>
        <v>4</v>
      </c>
      <c r="F1055" s="138">
        <f>IFERROR(__xludf.DUMMYFUNCTION("""COMPUTED_VALUE"""),4.0)</f>
        <v>4</v>
      </c>
      <c r="G1055" s="138">
        <f>IFERROR(__xludf.DUMMYFUNCTION("""COMPUTED_VALUE"""),4.0)</f>
        <v>4</v>
      </c>
      <c r="H1055" s="138">
        <f>IFERROR(__xludf.DUMMYFUNCTION("""COMPUTED_VALUE"""),3.0)</f>
        <v>3</v>
      </c>
      <c r="I1055" s="138">
        <f>IFERROR(__xludf.DUMMYFUNCTION("""COMPUTED_VALUE"""),4.0)</f>
        <v>4</v>
      </c>
      <c r="J1055" s="138">
        <f>IFERROR(__xludf.DUMMYFUNCTION("""COMPUTED_VALUE"""),4.0)</f>
        <v>4</v>
      </c>
      <c r="K1055" s="138">
        <f>IFERROR(__xludf.DUMMYFUNCTION("""COMPUTED_VALUE"""),4.0)</f>
        <v>4</v>
      </c>
      <c r="L1055" s="138">
        <v>27.0</v>
      </c>
      <c r="M1055" s="140" t="str">
        <f>VLOOKUP(text(D1055, "#"),'Master Table'!$A:$F, 6, FALSE)</f>
        <v>G-8</v>
      </c>
      <c r="N1055" s="141" t="str">
        <f>IFERROR(__xludf.DUMMYFUNCTION("""COMPUTED_VALUE"""),"Presenter did a great job explaining the study and methods used. ")</f>
        <v>Presenter did a great job explaining the study and methods used. </v>
      </c>
      <c r="O1055" s="142" t="str">
        <f t="shared" si="1"/>
        <v/>
      </c>
      <c r="P1055" s="143" t="str">
        <f>IF(ISNA(VLOOKUP(CONCAT(M1055,C1055), 'Judge Count DO NOT EDIT'!H:H, 1, FALSE)), "ERROR","")</f>
        <v/>
      </c>
      <c r="Q1055" s="141"/>
      <c r="R1055" s="143"/>
      <c r="S1055" s="139" t="str">
        <f t="shared" si="2"/>
        <v>1022443</v>
      </c>
      <c r="T1055" s="141"/>
    </row>
    <row r="1056">
      <c r="A1056" s="137">
        <f>IFERROR(__xludf.DUMMYFUNCTION("""COMPUTED_VALUE"""),45352.48129165509)</f>
        <v>45352.48129</v>
      </c>
      <c r="B1056" s="138" t="str">
        <f>IFERROR(__xludf.DUMMYFUNCTION("""COMPUTED_VALUE"""),"Ashley Sanabria")</f>
        <v>Ashley Sanabria</v>
      </c>
      <c r="C1056" s="138">
        <f>IFERROR(__xludf.DUMMYFUNCTION("""COMPUTED_VALUE"""),1198.0)</f>
        <v>1198</v>
      </c>
      <c r="D1056" s="139">
        <f>IFERROR(__xludf.DUMMYFUNCTION("""COMPUTED_VALUE"""),444.0)</f>
        <v>444</v>
      </c>
      <c r="E1056" s="138">
        <f>IFERROR(__xludf.DUMMYFUNCTION("""COMPUTED_VALUE"""),4.0)</f>
        <v>4</v>
      </c>
      <c r="F1056" s="138">
        <f>IFERROR(__xludf.DUMMYFUNCTION("""COMPUTED_VALUE"""),4.0)</f>
        <v>4</v>
      </c>
      <c r="G1056" s="138">
        <f>IFERROR(__xludf.DUMMYFUNCTION("""COMPUTED_VALUE"""),4.0)</f>
        <v>4</v>
      </c>
      <c r="H1056" s="138">
        <f>IFERROR(__xludf.DUMMYFUNCTION("""COMPUTED_VALUE"""),4.0)</f>
        <v>4</v>
      </c>
      <c r="I1056" s="138">
        <f>IFERROR(__xludf.DUMMYFUNCTION("""COMPUTED_VALUE"""),5.0)</f>
        <v>5</v>
      </c>
      <c r="J1056" s="138">
        <f>IFERROR(__xludf.DUMMYFUNCTION("""COMPUTED_VALUE"""),4.0)</f>
        <v>4</v>
      </c>
      <c r="K1056" s="138">
        <f>IFERROR(__xludf.DUMMYFUNCTION("""COMPUTED_VALUE"""),4.0)</f>
        <v>4</v>
      </c>
      <c r="L1056" s="138">
        <v>29.0</v>
      </c>
      <c r="M1056" s="140" t="str">
        <f>VLOOKUP(text(D1056, "#"),'Master Table'!$A:$F, 6, FALSE)</f>
        <v>G-8</v>
      </c>
      <c r="N1056" s="141" t="str">
        <f>IFERROR(__xludf.DUMMYFUNCTION("""COMPUTED_VALUE"""),"Really nice presentation on an important topic. Lacking some detail about the methodology initially but did a great job responding to questions about the coding process. Very clear importance statement and conclusions about systems-level interventions. Gr"&amp;"eat job! ")</f>
        <v>Really nice presentation on an important topic. Lacking some detail about the methodology initially but did a great job responding to questions about the coding process. Very clear importance statement and conclusions about systems-level interventions. Great job! </v>
      </c>
      <c r="O1056" s="142" t="str">
        <f t="shared" si="1"/>
        <v/>
      </c>
      <c r="P1056" s="143" t="str">
        <f>IF(ISNA(VLOOKUP(CONCAT(M1056,C1056), 'Judge Count DO NOT EDIT'!H:H, 1, FALSE)), "ERROR","")</f>
        <v/>
      </c>
      <c r="Q1056" s="141"/>
      <c r="R1056" s="143"/>
      <c r="S1056" s="139" t="str">
        <f t="shared" si="2"/>
        <v>1198444</v>
      </c>
      <c r="T1056" s="141"/>
    </row>
    <row r="1057">
      <c r="A1057" s="137">
        <f>IFERROR(__xludf.DUMMYFUNCTION("""COMPUTED_VALUE"""),45352.51265679398)</f>
        <v>45352.51266</v>
      </c>
      <c r="B1057" s="138" t="str">
        <f>IFERROR(__xludf.DUMMYFUNCTION("""COMPUTED_VALUE"""),"Liang Ma")</f>
        <v>Liang Ma</v>
      </c>
      <c r="C1057" s="138">
        <f>IFERROR(__xludf.DUMMYFUNCTION("""COMPUTED_VALUE"""),1050.0)</f>
        <v>1050</v>
      </c>
      <c r="D1057" s="139">
        <f>IFERROR(__xludf.DUMMYFUNCTION("""COMPUTED_VALUE"""),444.0)</f>
        <v>444</v>
      </c>
      <c r="E1057" s="138">
        <f>IFERROR(__xludf.DUMMYFUNCTION("""COMPUTED_VALUE"""),3.0)</f>
        <v>3</v>
      </c>
      <c r="F1057" s="138">
        <f>IFERROR(__xludf.DUMMYFUNCTION("""COMPUTED_VALUE"""),2.0)</f>
        <v>2</v>
      </c>
      <c r="G1057" s="138">
        <f>IFERROR(__xludf.DUMMYFUNCTION("""COMPUTED_VALUE"""),2.0)</f>
        <v>2</v>
      </c>
      <c r="H1057" s="138">
        <f>IFERROR(__xludf.DUMMYFUNCTION("""COMPUTED_VALUE"""),3.0)</f>
        <v>3</v>
      </c>
      <c r="I1057" s="138">
        <f>IFERROR(__xludf.DUMMYFUNCTION("""COMPUTED_VALUE"""),3.0)</f>
        <v>3</v>
      </c>
      <c r="J1057" s="138">
        <f>IFERROR(__xludf.DUMMYFUNCTION("""COMPUTED_VALUE"""),3.0)</f>
        <v>3</v>
      </c>
      <c r="K1057" s="138">
        <f>IFERROR(__xludf.DUMMYFUNCTION("""COMPUTED_VALUE"""),3.0)</f>
        <v>3</v>
      </c>
      <c r="L1057" s="138">
        <v>19.0</v>
      </c>
      <c r="M1057" s="140" t="str">
        <f>VLOOKUP(text(D1057, "#"),'Master Table'!$A:$F, 6, FALSE)</f>
        <v>G-8</v>
      </c>
      <c r="N1057" s="141"/>
      <c r="O1057" s="142" t="str">
        <f t="shared" si="1"/>
        <v/>
      </c>
      <c r="P1057" s="143" t="str">
        <f>IF(ISNA(VLOOKUP(CONCAT(M1057,C1057), 'Judge Count DO NOT EDIT'!H:H, 1, FALSE)), "ERROR","")</f>
        <v/>
      </c>
      <c r="Q1057" s="141"/>
      <c r="R1057" s="143"/>
      <c r="S1057" s="139" t="str">
        <f t="shared" si="2"/>
        <v>1050444</v>
      </c>
      <c r="T1057" s="141"/>
    </row>
    <row r="1058">
      <c r="A1058" s="137">
        <f>IFERROR(__xludf.DUMMYFUNCTION("""COMPUTED_VALUE"""),45352.554160844906)</f>
        <v>45352.55416</v>
      </c>
      <c r="B1058" s="138" t="str">
        <f>IFERROR(__xludf.DUMMYFUNCTION("""COMPUTED_VALUE"""),"Dan Gross")</f>
        <v>Dan Gross</v>
      </c>
      <c r="C1058" s="138">
        <f>IFERROR(__xludf.DUMMYFUNCTION("""COMPUTED_VALUE"""),1233.0)</f>
        <v>1233</v>
      </c>
      <c r="D1058" s="139">
        <f>IFERROR(__xludf.DUMMYFUNCTION("""COMPUTED_VALUE"""),444.0)</f>
        <v>444</v>
      </c>
      <c r="E1058" s="138">
        <f>IFERROR(__xludf.DUMMYFUNCTION("""COMPUTED_VALUE"""),4.0)</f>
        <v>4</v>
      </c>
      <c r="F1058" s="138">
        <f>IFERROR(__xludf.DUMMYFUNCTION("""COMPUTED_VALUE"""),4.0)</f>
        <v>4</v>
      </c>
      <c r="G1058" s="138">
        <f>IFERROR(__xludf.DUMMYFUNCTION("""COMPUTED_VALUE"""),4.0)</f>
        <v>4</v>
      </c>
      <c r="H1058" s="138">
        <f>IFERROR(__xludf.DUMMYFUNCTION("""COMPUTED_VALUE"""),4.0)</f>
        <v>4</v>
      </c>
      <c r="I1058" s="138">
        <f>IFERROR(__xludf.DUMMYFUNCTION("""COMPUTED_VALUE"""),5.0)</f>
        <v>5</v>
      </c>
      <c r="J1058" s="138">
        <f>IFERROR(__xludf.DUMMYFUNCTION("""COMPUTED_VALUE"""),5.0)</f>
        <v>5</v>
      </c>
      <c r="K1058" s="138">
        <f>IFERROR(__xludf.DUMMYFUNCTION("""COMPUTED_VALUE"""),5.0)</f>
        <v>5</v>
      </c>
      <c r="L1058" s="138">
        <v>31.0</v>
      </c>
      <c r="M1058" s="140" t="str">
        <f>VLOOKUP(text(D1058, "#"),'Master Table'!$A:$F, 6, FALSE)</f>
        <v>G-8</v>
      </c>
      <c r="N1058" s="141" t="str">
        <f>IFERROR(__xludf.DUMMYFUNCTION("""COMPUTED_VALUE"""),"Interesting study and well presented.  I think the significance of the study was somewhat limited as value/importance of sleep is well known.  However, foccus on marines exclusively new may be new but no ah ha moments noted in results.  Variables identifi"&amp;"ed of influencers of impaired sleep  could produce the most fruit  if pursued.  Identified influencers appear to be outside of the control of research subjects.  That may be an of further study and significance.   ")</f>
        <v>Interesting study and well presented.  I think the significance of the study was somewhat limited as value/importance of sleep is well known.  However, foccus on marines exclusively new may be new but no ah ha moments noted in results.  Variables identified of influencers of impaired sleep  could produce the most fruit  if pursued.  Identified influencers appear to be outside of the control of research subjects.  That may be an of further study and significance.   </v>
      </c>
      <c r="O1058" s="142" t="str">
        <f t="shared" si="1"/>
        <v/>
      </c>
      <c r="P1058" s="143" t="str">
        <f>IF(ISNA(VLOOKUP(CONCAT(M1058,C1058), 'Judge Count DO NOT EDIT'!H:H, 1, FALSE)), "ERROR","")</f>
        <v/>
      </c>
      <c r="Q1058" s="141"/>
      <c r="R1058" s="143"/>
      <c r="S1058" s="139" t="str">
        <f t="shared" si="2"/>
        <v>1233444</v>
      </c>
      <c r="T1058" s="141"/>
    </row>
    <row r="1059">
      <c r="A1059" s="137">
        <f>IFERROR(__xludf.DUMMYFUNCTION("""COMPUTED_VALUE"""),45352.569803969905)</f>
        <v>45352.5698</v>
      </c>
      <c r="B1059" s="138" t="str">
        <f>IFERROR(__xludf.DUMMYFUNCTION("""COMPUTED_VALUE"""),"Jeni Green")</f>
        <v>Jeni Green</v>
      </c>
      <c r="C1059" s="138">
        <f>IFERROR(__xludf.DUMMYFUNCTION("""COMPUTED_VALUE"""),1022.0)</f>
        <v>1022</v>
      </c>
      <c r="D1059" s="139">
        <f>IFERROR(__xludf.DUMMYFUNCTION("""COMPUTED_VALUE"""),444.0)</f>
        <v>444</v>
      </c>
      <c r="E1059" s="138">
        <f>IFERROR(__xludf.DUMMYFUNCTION("""COMPUTED_VALUE"""),3.0)</f>
        <v>3</v>
      </c>
      <c r="F1059" s="138">
        <f>IFERROR(__xludf.DUMMYFUNCTION("""COMPUTED_VALUE"""),3.0)</f>
        <v>3</v>
      </c>
      <c r="G1059" s="138">
        <f>IFERROR(__xludf.DUMMYFUNCTION("""COMPUTED_VALUE"""),4.0)</f>
        <v>4</v>
      </c>
      <c r="H1059" s="138">
        <f>IFERROR(__xludf.DUMMYFUNCTION("""COMPUTED_VALUE"""),3.0)</f>
        <v>3</v>
      </c>
      <c r="I1059" s="138">
        <f>IFERROR(__xludf.DUMMYFUNCTION("""COMPUTED_VALUE"""),3.0)</f>
        <v>3</v>
      </c>
      <c r="J1059" s="138">
        <f>IFERROR(__xludf.DUMMYFUNCTION("""COMPUTED_VALUE"""),3.0)</f>
        <v>3</v>
      </c>
      <c r="K1059" s="138">
        <f>IFERROR(__xludf.DUMMYFUNCTION("""COMPUTED_VALUE"""),4.0)</f>
        <v>4</v>
      </c>
      <c r="L1059" s="138">
        <v>23.0</v>
      </c>
      <c r="M1059" s="140" t="str">
        <f>VLOOKUP(text(D1059, "#"),'Master Table'!$A:$F, 6, FALSE)</f>
        <v>G-8</v>
      </c>
      <c r="N1059" s="141" t="str">
        <f>IFERROR(__xludf.DUMMYFUNCTION("""COMPUTED_VALUE"""),"Presenter had strong communication skills and demonstrated a clear understanding of the methods used. ")</f>
        <v>Presenter had strong communication skills and demonstrated a clear understanding of the methods used. </v>
      </c>
      <c r="O1059" s="142" t="str">
        <f t="shared" si="1"/>
        <v/>
      </c>
      <c r="P1059" s="143" t="str">
        <f>IF(ISNA(VLOOKUP(CONCAT(M1059,C1059), 'Judge Count DO NOT EDIT'!H:H, 1, FALSE)), "ERROR","")</f>
        <v/>
      </c>
      <c r="Q1059" s="141"/>
      <c r="R1059" s="143"/>
      <c r="S1059" s="139" t="str">
        <f t="shared" si="2"/>
        <v>1022444</v>
      </c>
      <c r="T1059" s="141"/>
    </row>
    <row r="1060">
      <c r="A1060" s="137">
        <f>IFERROR(__xludf.DUMMYFUNCTION("""COMPUTED_VALUE"""),45352.49976568287)</f>
        <v>45352.49977</v>
      </c>
      <c r="B1060" s="138" t="str">
        <f>IFERROR(__xludf.DUMMYFUNCTION("""COMPUTED_VALUE"""),"Ashley Sanabria")</f>
        <v>Ashley Sanabria</v>
      </c>
      <c r="C1060" s="138">
        <f>IFERROR(__xludf.DUMMYFUNCTION("""COMPUTED_VALUE"""),1198.0)</f>
        <v>1198</v>
      </c>
      <c r="D1060" s="139">
        <f>IFERROR(__xludf.DUMMYFUNCTION("""COMPUTED_VALUE"""),445.0)</f>
        <v>445</v>
      </c>
      <c r="E1060" s="138">
        <f>IFERROR(__xludf.DUMMYFUNCTION("""COMPUTED_VALUE"""),5.0)</f>
        <v>5</v>
      </c>
      <c r="F1060" s="138">
        <f>IFERROR(__xludf.DUMMYFUNCTION("""COMPUTED_VALUE"""),4.0)</f>
        <v>4</v>
      </c>
      <c r="G1060" s="138">
        <f>IFERROR(__xludf.DUMMYFUNCTION("""COMPUTED_VALUE"""),4.0)</f>
        <v>4</v>
      </c>
      <c r="H1060" s="138">
        <f>IFERROR(__xludf.DUMMYFUNCTION("""COMPUTED_VALUE"""),4.0)</f>
        <v>4</v>
      </c>
      <c r="I1060" s="138">
        <f>IFERROR(__xludf.DUMMYFUNCTION("""COMPUTED_VALUE"""),4.0)</f>
        <v>4</v>
      </c>
      <c r="J1060" s="138">
        <f>IFERROR(__xludf.DUMMYFUNCTION("""COMPUTED_VALUE"""),5.0)</f>
        <v>5</v>
      </c>
      <c r="K1060" s="138">
        <f>IFERROR(__xludf.DUMMYFUNCTION("""COMPUTED_VALUE"""),4.0)</f>
        <v>4</v>
      </c>
      <c r="L1060" s="138">
        <v>30.0</v>
      </c>
      <c r="M1060" s="140" t="str">
        <f>VLOOKUP(text(D1060, "#"),'Master Table'!$A:$F, 6, FALSE)</f>
        <v>G-8</v>
      </c>
      <c r="N1060" s="141" t="str">
        <f>IFERROR(__xludf.DUMMYFUNCTION("""COMPUTED_VALUE"""),"Really great job by this team of women! They were very prepared although in the future I encourage them to favor un-memorized presentation without notecards. The significance of the topic was very clear and the methodology was well-described. They handled"&amp;" questions well. Great job overall! ")</f>
        <v>Really great job by this team of women! They were very prepared although in the future I encourage them to favor un-memorized presentation without notecards. The significance of the topic was very clear and the methodology was well-described. They handled questions well. Great job overall! </v>
      </c>
      <c r="O1060" s="142" t="str">
        <f t="shared" si="1"/>
        <v/>
      </c>
      <c r="P1060" s="143" t="str">
        <f>IF(ISNA(VLOOKUP(CONCAT(M1060,C1060), 'Judge Count DO NOT EDIT'!H:H, 1, FALSE)), "ERROR","")</f>
        <v/>
      </c>
      <c r="Q1060" s="141"/>
      <c r="R1060" s="143"/>
      <c r="S1060" s="139" t="str">
        <f t="shared" si="2"/>
        <v>1198445</v>
      </c>
      <c r="T1060" s="141"/>
    </row>
    <row r="1061">
      <c r="A1061" s="137">
        <f>IFERROR(__xludf.DUMMYFUNCTION("""COMPUTED_VALUE"""),45352.51317226852)</f>
        <v>45352.51317</v>
      </c>
      <c r="B1061" s="138" t="str">
        <f>IFERROR(__xludf.DUMMYFUNCTION("""COMPUTED_VALUE"""),"Liang Ma")</f>
        <v>Liang Ma</v>
      </c>
      <c r="C1061" s="138">
        <f>IFERROR(__xludf.DUMMYFUNCTION("""COMPUTED_VALUE"""),1050.0)</f>
        <v>1050</v>
      </c>
      <c r="D1061" s="139">
        <f>IFERROR(__xludf.DUMMYFUNCTION("""COMPUTED_VALUE"""),445.0)</f>
        <v>445</v>
      </c>
      <c r="E1061" s="138">
        <f>IFERROR(__xludf.DUMMYFUNCTION("""COMPUTED_VALUE"""),4.0)</f>
        <v>4</v>
      </c>
      <c r="F1061" s="138">
        <f>IFERROR(__xludf.DUMMYFUNCTION("""COMPUTED_VALUE"""),4.0)</f>
        <v>4</v>
      </c>
      <c r="G1061" s="138">
        <f>IFERROR(__xludf.DUMMYFUNCTION("""COMPUTED_VALUE"""),4.0)</f>
        <v>4</v>
      </c>
      <c r="H1061" s="138">
        <f>IFERROR(__xludf.DUMMYFUNCTION("""COMPUTED_VALUE"""),4.0)</f>
        <v>4</v>
      </c>
      <c r="I1061" s="138">
        <f>IFERROR(__xludf.DUMMYFUNCTION("""COMPUTED_VALUE"""),4.0)</f>
        <v>4</v>
      </c>
      <c r="J1061" s="138">
        <f>IFERROR(__xludf.DUMMYFUNCTION("""COMPUTED_VALUE"""),4.0)</f>
        <v>4</v>
      </c>
      <c r="K1061" s="138">
        <f>IFERROR(__xludf.DUMMYFUNCTION("""COMPUTED_VALUE"""),4.0)</f>
        <v>4</v>
      </c>
      <c r="L1061" s="138">
        <v>28.0</v>
      </c>
      <c r="M1061" s="140" t="str">
        <f>VLOOKUP(text(D1061, "#"),'Master Table'!$A:$F, 6, FALSE)</f>
        <v>G-8</v>
      </c>
      <c r="N1061" s="141"/>
      <c r="O1061" s="142" t="str">
        <f t="shared" si="1"/>
        <v/>
      </c>
      <c r="P1061" s="143" t="str">
        <f>IF(ISNA(VLOOKUP(CONCAT(M1061,C1061), 'Judge Count DO NOT EDIT'!H:H, 1, FALSE)), "ERROR","")</f>
        <v/>
      </c>
      <c r="Q1061" s="141"/>
      <c r="R1061" s="143"/>
      <c r="S1061" s="139" t="str">
        <f t="shared" si="2"/>
        <v>1050445</v>
      </c>
      <c r="T1061" s="141"/>
    </row>
    <row r="1062">
      <c r="A1062" s="137">
        <f>IFERROR(__xludf.DUMMYFUNCTION("""COMPUTED_VALUE"""),45352.55932248842)</f>
        <v>45352.55932</v>
      </c>
      <c r="B1062" s="138" t="str">
        <f>IFERROR(__xludf.DUMMYFUNCTION("""COMPUTED_VALUE"""),"Dan Gross")</f>
        <v>Dan Gross</v>
      </c>
      <c r="C1062" s="138">
        <f>IFERROR(__xludf.DUMMYFUNCTION("""COMPUTED_VALUE"""),1233.0)</f>
        <v>1233</v>
      </c>
      <c r="D1062" s="139">
        <f>IFERROR(__xludf.DUMMYFUNCTION("""COMPUTED_VALUE"""),445.0)</f>
        <v>445</v>
      </c>
      <c r="E1062" s="138">
        <f>IFERROR(__xludf.DUMMYFUNCTION("""COMPUTED_VALUE"""),4.0)</f>
        <v>4</v>
      </c>
      <c r="F1062" s="138">
        <f>IFERROR(__xludf.DUMMYFUNCTION("""COMPUTED_VALUE"""),4.0)</f>
        <v>4</v>
      </c>
      <c r="G1062" s="138">
        <f>IFERROR(__xludf.DUMMYFUNCTION("""COMPUTED_VALUE"""),5.0)</f>
        <v>5</v>
      </c>
      <c r="H1062" s="138">
        <f>IFERROR(__xludf.DUMMYFUNCTION("""COMPUTED_VALUE"""),4.0)</f>
        <v>4</v>
      </c>
      <c r="I1062" s="138">
        <f>IFERROR(__xludf.DUMMYFUNCTION("""COMPUTED_VALUE"""),4.0)</f>
        <v>4</v>
      </c>
      <c r="J1062" s="138">
        <f>IFERROR(__xludf.DUMMYFUNCTION("""COMPUTED_VALUE"""),3.0)</f>
        <v>3</v>
      </c>
      <c r="K1062" s="138">
        <f>IFERROR(__xludf.DUMMYFUNCTION("""COMPUTED_VALUE"""),4.0)</f>
        <v>4</v>
      </c>
      <c r="L1062" s="138">
        <v>28.0</v>
      </c>
      <c r="M1062" s="140" t="str">
        <f>VLOOKUP(text(D1062, "#"),'Master Table'!$A:$F, 6, FALSE)</f>
        <v>G-8</v>
      </c>
      <c r="N1062" s="141" t="str">
        <f>IFERROR(__xludf.DUMMYFUNCTION("""COMPUTED_VALUE"""),"Very relevant significant study.  Findings produce many opportunities for future research seeking greater insight to attribution of results and interventions.  From a methods perspective a more heterogenous participant population could be value added....."&amp;".although potentially difficult.  Also insight into the influence of multiple foster children influences on results could be interesting.  Presentation was a little more difficult to follow.  Study variables may need a little more definition upfront.  ")</f>
        <v>Very relevant significant study.  Findings produce many opportunities for future research seeking greater insight to attribution of results and interventions.  From a methods perspective a more heterogenous participant population could be value added......although potentially difficult.  Also insight into the influence of multiple foster children influences on results could be interesting.  Presentation was a little more difficult to follow.  Study variables may need a little more definition upfront.  </v>
      </c>
      <c r="O1062" s="142" t="str">
        <f t="shared" si="1"/>
        <v/>
      </c>
      <c r="P1062" s="143" t="str">
        <f>IF(ISNA(VLOOKUP(CONCAT(M1062,C1062), 'Judge Count DO NOT EDIT'!H:H, 1, FALSE)), "ERROR","")</f>
        <v/>
      </c>
      <c r="Q1062" s="141"/>
      <c r="R1062" s="143"/>
      <c r="S1062" s="139" t="str">
        <f t="shared" si="2"/>
        <v>1233445</v>
      </c>
      <c r="T1062" s="141"/>
    </row>
    <row r="1063">
      <c r="A1063" s="137">
        <f>IFERROR(__xludf.DUMMYFUNCTION("""COMPUTED_VALUE"""),45352.570423530095)</f>
        <v>45352.57042</v>
      </c>
      <c r="B1063" s="138" t="str">
        <f>IFERROR(__xludf.DUMMYFUNCTION("""COMPUTED_VALUE"""),"Jeni Green")</f>
        <v>Jeni Green</v>
      </c>
      <c r="C1063" s="138">
        <f>IFERROR(__xludf.DUMMYFUNCTION("""COMPUTED_VALUE"""),1022.0)</f>
        <v>1022</v>
      </c>
      <c r="D1063" s="139">
        <f>IFERROR(__xludf.DUMMYFUNCTION("""COMPUTED_VALUE"""),445.0)</f>
        <v>445</v>
      </c>
      <c r="E1063" s="138">
        <f>IFERROR(__xludf.DUMMYFUNCTION("""COMPUTED_VALUE"""),3.0)</f>
        <v>3</v>
      </c>
      <c r="F1063" s="138">
        <f>IFERROR(__xludf.DUMMYFUNCTION("""COMPUTED_VALUE"""),5.0)</f>
        <v>5</v>
      </c>
      <c r="G1063" s="138">
        <f>IFERROR(__xludf.DUMMYFUNCTION("""COMPUTED_VALUE"""),5.0)</f>
        <v>5</v>
      </c>
      <c r="H1063" s="138">
        <f>IFERROR(__xludf.DUMMYFUNCTION("""COMPUTED_VALUE"""),3.0)</f>
        <v>3</v>
      </c>
      <c r="I1063" s="138">
        <f>IFERROR(__xludf.DUMMYFUNCTION("""COMPUTED_VALUE"""),3.0)</f>
        <v>3</v>
      </c>
      <c r="J1063" s="138">
        <f>IFERROR(__xludf.DUMMYFUNCTION("""COMPUTED_VALUE"""),3.0)</f>
        <v>3</v>
      </c>
      <c r="K1063" s="138">
        <f>IFERROR(__xludf.DUMMYFUNCTION("""COMPUTED_VALUE"""),3.0)</f>
        <v>3</v>
      </c>
      <c r="L1063" s="138">
        <v>25.0</v>
      </c>
      <c r="M1063" s="140" t="str">
        <f>VLOOKUP(text(D1063, "#"),'Master Table'!$A:$F, 6, FALSE)</f>
        <v>G-8</v>
      </c>
      <c r="N1063" s="141"/>
      <c r="O1063" s="142" t="str">
        <f t="shared" si="1"/>
        <v/>
      </c>
      <c r="P1063" s="143" t="str">
        <f>IF(ISNA(VLOOKUP(CONCAT(M1063,C1063), 'Judge Count DO NOT EDIT'!H:H, 1, FALSE)), "ERROR","")</f>
        <v/>
      </c>
      <c r="Q1063" s="141"/>
      <c r="R1063" s="143"/>
      <c r="S1063" s="139" t="str">
        <f t="shared" si="2"/>
        <v>1022445</v>
      </c>
      <c r="T1063" s="141"/>
    </row>
    <row r="1064">
      <c r="A1064" s="137">
        <f>IFERROR(__xludf.DUMMYFUNCTION("""COMPUTED_VALUE"""),45352.5137419213)</f>
        <v>45352.51374</v>
      </c>
      <c r="B1064" s="138" t="str">
        <f>IFERROR(__xludf.DUMMYFUNCTION("""COMPUTED_VALUE"""),"Liang Ma")</f>
        <v>Liang Ma</v>
      </c>
      <c r="C1064" s="138">
        <f>IFERROR(__xludf.DUMMYFUNCTION("""COMPUTED_VALUE"""),1050.0)</f>
        <v>1050</v>
      </c>
      <c r="D1064" s="139">
        <f>IFERROR(__xludf.DUMMYFUNCTION("""COMPUTED_VALUE"""),446.0)</f>
        <v>446</v>
      </c>
      <c r="E1064" s="138">
        <f>IFERROR(__xludf.DUMMYFUNCTION("""COMPUTED_VALUE"""),5.0)</f>
        <v>5</v>
      </c>
      <c r="F1064" s="138">
        <f>IFERROR(__xludf.DUMMYFUNCTION("""COMPUTED_VALUE"""),5.0)</f>
        <v>5</v>
      </c>
      <c r="G1064" s="138">
        <f>IFERROR(__xludf.DUMMYFUNCTION("""COMPUTED_VALUE"""),5.0)</f>
        <v>5</v>
      </c>
      <c r="H1064" s="138">
        <f>IFERROR(__xludf.DUMMYFUNCTION("""COMPUTED_VALUE"""),5.0)</f>
        <v>5</v>
      </c>
      <c r="I1064" s="138">
        <f>IFERROR(__xludf.DUMMYFUNCTION("""COMPUTED_VALUE"""),5.0)</f>
        <v>5</v>
      </c>
      <c r="J1064" s="138">
        <f>IFERROR(__xludf.DUMMYFUNCTION("""COMPUTED_VALUE"""),5.0)</f>
        <v>5</v>
      </c>
      <c r="K1064" s="138">
        <f>IFERROR(__xludf.DUMMYFUNCTION("""COMPUTED_VALUE"""),5.0)</f>
        <v>5</v>
      </c>
      <c r="L1064" s="138">
        <v>35.0</v>
      </c>
      <c r="M1064" s="140" t="str">
        <f>VLOOKUP(text(D1064, "#"),'Master Table'!$A:$F, 6, FALSE)</f>
        <v>G-8</v>
      </c>
      <c r="N1064" s="141"/>
      <c r="O1064" s="142" t="str">
        <f t="shared" si="1"/>
        <v/>
      </c>
      <c r="P1064" s="143" t="str">
        <f>IF(ISNA(VLOOKUP(CONCAT(M1064,C1064), 'Judge Count DO NOT EDIT'!H:H, 1, FALSE)), "ERROR","")</f>
        <v/>
      </c>
      <c r="Q1064" s="141"/>
      <c r="R1064" s="143"/>
      <c r="S1064" s="139" t="str">
        <f t="shared" si="2"/>
        <v>1050446</v>
      </c>
      <c r="T1064" s="141"/>
    </row>
    <row r="1065">
      <c r="A1065" s="137">
        <f>IFERROR(__xludf.DUMMYFUNCTION("""COMPUTED_VALUE"""),45352.53371122685)</f>
        <v>45352.53371</v>
      </c>
      <c r="B1065" s="138" t="str">
        <f>IFERROR(__xludf.DUMMYFUNCTION("""COMPUTED_VALUE"""),"Ashley Sanabria")</f>
        <v>Ashley Sanabria</v>
      </c>
      <c r="C1065" s="138">
        <f>IFERROR(__xludf.DUMMYFUNCTION("""COMPUTED_VALUE"""),1198.0)</f>
        <v>1198</v>
      </c>
      <c r="D1065" s="139">
        <f>IFERROR(__xludf.DUMMYFUNCTION("""COMPUTED_VALUE"""),446.0)</f>
        <v>446</v>
      </c>
      <c r="E1065" s="138">
        <f>IFERROR(__xludf.DUMMYFUNCTION("""COMPUTED_VALUE"""),4.0)</f>
        <v>4</v>
      </c>
      <c r="F1065" s="138">
        <f>IFERROR(__xludf.DUMMYFUNCTION("""COMPUTED_VALUE"""),4.0)</f>
        <v>4</v>
      </c>
      <c r="G1065" s="138">
        <f>IFERROR(__xludf.DUMMYFUNCTION("""COMPUTED_VALUE"""),4.0)</f>
        <v>4</v>
      </c>
      <c r="H1065" s="138">
        <f>IFERROR(__xludf.DUMMYFUNCTION("""COMPUTED_VALUE"""),4.0)</f>
        <v>4</v>
      </c>
      <c r="I1065" s="138">
        <f>IFERROR(__xludf.DUMMYFUNCTION("""COMPUTED_VALUE"""),4.0)</f>
        <v>4</v>
      </c>
      <c r="J1065" s="138">
        <f>IFERROR(__xludf.DUMMYFUNCTION("""COMPUTED_VALUE"""),3.0)</f>
        <v>3</v>
      </c>
      <c r="K1065" s="138">
        <f>IFERROR(__xludf.DUMMYFUNCTION("""COMPUTED_VALUE"""),4.0)</f>
        <v>4</v>
      </c>
      <c r="L1065" s="138">
        <v>27.0</v>
      </c>
      <c r="M1065" s="140" t="str">
        <f>VLOOKUP(text(D1065, "#"),'Master Table'!$A:$F, 6, FALSE)</f>
        <v>G-8</v>
      </c>
      <c r="N1065" s="141" t="str">
        <f>IFERROR(__xludf.DUMMYFUNCTION("""COMPUTED_VALUE"""),"This was a great poster packed full of information. I could tell the presenter really knew her topic and results well. Some of the results were presented really quickly and I think the listeners could have used additional explanation of variables and grap"&amp;"hs to understand conclusions. More I formation about practical implications of this work will strengthen the presentation. ")</f>
        <v>This was a great poster packed full of information. I could tell the presenter really knew her topic and results well. Some of the results were presented really quickly and I think the listeners could have used additional explanation of variables and graphs to understand conclusions. More I formation about practical implications of this work will strengthen the presentation. </v>
      </c>
      <c r="O1065" s="142" t="str">
        <f t="shared" si="1"/>
        <v/>
      </c>
      <c r="P1065" s="143" t="str">
        <f>IF(ISNA(VLOOKUP(CONCAT(M1065,C1065), 'Judge Count DO NOT EDIT'!H:H, 1, FALSE)), "ERROR","")</f>
        <v/>
      </c>
      <c r="Q1065" s="141"/>
      <c r="R1065" s="143"/>
      <c r="S1065" s="139" t="str">
        <f t="shared" si="2"/>
        <v>1198446</v>
      </c>
      <c r="T1065" s="141"/>
    </row>
    <row r="1066">
      <c r="A1066" s="137">
        <f>IFERROR(__xludf.DUMMYFUNCTION("""COMPUTED_VALUE"""),45352.56283113426)</f>
        <v>45352.56283</v>
      </c>
      <c r="B1066" s="138" t="str">
        <f>IFERROR(__xludf.DUMMYFUNCTION("""COMPUTED_VALUE"""),"Dan Gross")</f>
        <v>Dan Gross</v>
      </c>
      <c r="C1066" s="138">
        <f>IFERROR(__xludf.DUMMYFUNCTION("""COMPUTED_VALUE"""),1233.0)</f>
        <v>1233</v>
      </c>
      <c r="D1066" s="139">
        <f>IFERROR(__xludf.DUMMYFUNCTION("""COMPUTED_VALUE"""),446.0)</f>
        <v>446</v>
      </c>
      <c r="E1066" s="138">
        <f>IFERROR(__xludf.DUMMYFUNCTION("""COMPUTED_VALUE"""),5.0)</f>
        <v>5</v>
      </c>
      <c r="F1066" s="138">
        <f>IFERROR(__xludf.DUMMYFUNCTION("""COMPUTED_VALUE"""),5.0)</f>
        <v>5</v>
      </c>
      <c r="G1066" s="138">
        <f>IFERROR(__xludf.DUMMYFUNCTION("""COMPUTED_VALUE"""),5.0)</f>
        <v>5</v>
      </c>
      <c r="H1066" s="138">
        <f>IFERROR(__xludf.DUMMYFUNCTION("""COMPUTED_VALUE"""),5.0)</f>
        <v>5</v>
      </c>
      <c r="I1066" s="138">
        <f>IFERROR(__xludf.DUMMYFUNCTION("""COMPUTED_VALUE"""),5.0)</f>
        <v>5</v>
      </c>
      <c r="J1066" s="138">
        <f>IFERROR(__xludf.DUMMYFUNCTION("""COMPUTED_VALUE"""),4.0)</f>
        <v>4</v>
      </c>
      <c r="K1066" s="138">
        <f>IFERROR(__xludf.DUMMYFUNCTION("""COMPUTED_VALUE"""),5.0)</f>
        <v>5</v>
      </c>
      <c r="L1066" s="138">
        <v>34.0</v>
      </c>
      <c r="M1066" s="140" t="str">
        <f>VLOOKUP(text(D1066, "#"),'Master Table'!$A:$F, 6, FALSE)</f>
        <v>G-8</v>
      </c>
      <c r="N1066" s="141" t="str">
        <f>IFERROR(__xludf.DUMMYFUNCTION("""COMPUTED_VALUE"""),"Unique, complex, innovative, significant study.  A complex study for presentation in such limited time.  Presentor did an excellent job displayed superior knowledge of study/content.  Well articulated future study opportunities.  No recommendations unfort"&amp;"unately except for more time for presentation.  A little like drinking from a fire hose and I know the general topic but not the study intervention.  ")</f>
        <v>Unique, complex, innovative, significant study.  A complex study for presentation in such limited time.  Presentor did an excellent job displayed superior knowledge of study/content.  Well articulated future study opportunities.  No recommendations unfortunately except for more time for presentation.  A little like drinking from a fire hose and I know the general topic but not the study intervention.  </v>
      </c>
      <c r="O1066" s="142" t="str">
        <f t="shared" si="1"/>
        <v/>
      </c>
      <c r="P1066" s="143" t="str">
        <f>IF(ISNA(VLOOKUP(CONCAT(M1066,C1066), 'Judge Count DO NOT EDIT'!H:H, 1, FALSE)), "ERROR","")</f>
        <v/>
      </c>
      <c r="Q1066" s="141"/>
      <c r="R1066" s="143"/>
      <c r="S1066" s="139" t="str">
        <f t="shared" si="2"/>
        <v>1233446</v>
      </c>
      <c r="T1066" s="141"/>
    </row>
    <row r="1067">
      <c r="A1067" s="137">
        <f>IFERROR(__xludf.DUMMYFUNCTION("""COMPUTED_VALUE"""),45352.57129533565)</f>
        <v>45352.5713</v>
      </c>
      <c r="B1067" s="138" t="str">
        <f>IFERROR(__xludf.DUMMYFUNCTION("""COMPUTED_VALUE"""),"Jeni Green")</f>
        <v>Jeni Green</v>
      </c>
      <c r="C1067" s="138">
        <f>IFERROR(__xludf.DUMMYFUNCTION("""COMPUTED_VALUE"""),1022.0)</f>
        <v>1022</v>
      </c>
      <c r="D1067" s="139">
        <f>IFERROR(__xludf.DUMMYFUNCTION("""COMPUTED_VALUE"""),446.0)</f>
        <v>446</v>
      </c>
      <c r="E1067" s="138">
        <f>IFERROR(__xludf.DUMMYFUNCTION("""COMPUTED_VALUE"""),4.0)</f>
        <v>4</v>
      </c>
      <c r="F1067" s="138">
        <f>IFERROR(__xludf.DUMMYFUNCTION("""COMPUTED_VALUE"""),3.0)</f>
        <v>3</v>
      </c>
      <c r="G1067" s="138">
        <f>IFERROR(__xludf.DUMMYFUNCTION("""COMPUTED_VALUE"""),3.0)</f>
        <v>3</v>
      </c>
      <c r="H1067" s="138">
        <f>IFERROR(__xludf.DUMMYFUNCTION("""COMPUTED_VALUE"""),4.0)</f>
        <v>4</v>
      </c>
      <c r="I1067" s="138">
        <f>IFERROR(__xludf.DUMMYFUNCTION("""COMPUTED_VALUE"""),5.0)</f>
        <v>5</v>
      </c>
      <c r="J1067" s="138">
        <f>IFERROR(__xludf.DUMMYFUNCTION("""COMPUTED_VALUE"""),3.0)</f>
        <v>3</v>
      </c>
      <c r="K1067" s="138">
        <f>IFERROR(__xludf.DUMMYFUNCTION("""COMPUTED_VALUE"""),4.0)</f>
        <v>4</v>
      </c>
      <c r="L1067" s="138">
        <v>26.0</v>
      </c>
      <c r="M1067" s="140" t="str">
        <f>VLOOKUP(text(D1067, "#"),'Master Table'!$A:$F, 6, FALSE)</f>
        <v>G-8</v>
      </c>
      <c r="N1067" s="141" t="str">
        <f>IFERROR(__xludf.DUMMYFUNCTION("""COMPUTED_VALUE"""),"Presenter demonstrated strong presentation skills and a deep understanding of the subject matter and complex methods used. ")</f>
        <v>Presenter demonstrated strong presentation skills and a deep understanding of the subject matter and complex methods used. </v>
      </c>
      <c r="O1067" s="142" t="str">
        <f t="shared" si="1"/>
        <v/>
      </c>
      <c r="P1067" s="143" t="str">
        <f>IF(ISNA(VLOOKUP(CONCAT(M1067,C1067), 'Judge Count DO NOT EDIT'!H:H, 1, FALSE)), "ERROR","")</f>
        <v/>
      </c>
      <c r="Q1067" s="144"/>
      <c r="R1067" s="143"/>
      <c r="S1067" s="139" t="str">
        <f t="shared" si="2"/>
        <v>1022446</v>
      </c>
      <c r="T1067" s="141"/>
    </row>
    <row r="1068">
      <c r="A1068" s="137">
        <f>IFERROR(__xludf.DUMMYFUNCTION("""COMPUTED_VALUE"""),45352.49018232639)</f>
        <v>45352.49018</v>
      </c>
      <c r="B1068" s="138" t="str">
        <f>IFERROR(__xludf.DUMMYFUNCTION("""COMPUTED_VALUE"""),"Ashley Sanabria")</f>
        <v>Ashley Sanabria</v>
      </c>
      <c r="C1068" s="138">
        <f>IFERROR(__xludf.DUMMYFUNCTION("""COMPUTED_VALUE"""),1198.0)</f>
        <v>1198</v>
      </c>
      <c r="D1068" s="139">
        <f>IFERROR(__xludf.DUMMYFUNCTION("""COMPUTED_VALUE"""),447.0)</f>
        <v>447</v>
      </c>
      <c r="E1068" s="138">
        <f>IFERROR(__xludf.DUMMYFUNCTION("""COMPUTED_VALUE"""),4.0)</f>
        <v>4</v>
      </c>
      <c r="F1068" s="138">
        <f>IFERROR(__xludf.DUMMYFUNCTION("""COMPUTED_VALUE"""),4.0)</f>
        <v>4</v>
      </c>
      <c r="G1068" s="138">
        <f>IFERROR(__xludf.DUMMYFUNCTION("""COMPUTED_VALUE"""),4.0)</f>
        <v>4</v>
      </c>
      <c r="H1068" s="138">
        <f>IFERROR(__xludf.DUMMYFUNCTION("""COMPUTED_VALUE"""),3.0)</f>
        <v>3</v>
      </c>
      <c r="I1068" s="138">
        <f>IFERROR(__xludf.DUMMYFUNCTION("""COMPUTED_VALUE"""),4.0)</f>
        <v>4</v>
      </c>
      <c r="J1068" s="138">
        <f>IFERROR(__xludf.DUMMYFUNCTION("""COMPUTED_VALUE"""),4.0)</f>
        <v>4</v>
      </c>
      <c r="K1068" s="138">
        <f>IFERROR(__xludf.DUMMYFUNCTION("""COMPUTED_VALUE"""),4.0)</f>
        <v>4</v>
      </c>
      <c r="L1068" s="138">
        <v>27.0</v>
      </c>
      <c r="M1068" s="140" t="str">
        <f>VLOOKUP(text(D1068, "#"),'Master Table'!$A:$F, 6, FALSE)</f>
        <v>G-8</v>
      </c>
      <c r="N1068" s="141" t="str">
        <f>IFERROR(__xludf.DUMMYFUNCTION("""COMPUTED_VALUE"""),"Strong presentation. Very interesting topic.  A little more discussion of the methodology and possible interpretations of the data was needed. ")</f>
        <v>Strong presentation. Very interesting topic.  A little more discussion of the methodology and possible interpretations of the data was needed. </v>
      </c>
      <c r="O1068" s="142" t="str">
        <f t="shared" si="1"/>
        <v/>
      </c>
      <c r="P1068" s="143" t="str">
        <f>IF(ISNA(VLOOKUP(CONCAT(M1068,C1068), 'Judge Count DO NOT EDIT'!H:H, 1, FALSE)), "ERROR","")</f>
        <v/>
      </c>
      <c r="Q1068" s="141"/>
      <c r="R1068" s="143"/>
      <c r="S1068" s="139" t="str">
        <f t="shared" si="2"/>
        <v>1198447</v>
      </c>
      <c r="T1068" s="141"/>
    </row>
    <row r="1069">
      <c r="A1069" s="137">
        <f>IFERROR(__xludf.DUMMYFUNCTION("""COMPUTED_VALUE"""),45352.51412723379)</f>
        <v>45352.51413</v>
      </c>
      <c r="B1069" s="138" t="str">
        <f>IFERROR(__xludf.DUMMYFUNCTION("""COMPUTED_VALUE"""),"Liang Ma")</f>
        <v>Liang Ma</v>
      </c>
      <c r="C1069" s="138">
        <f>IFERROR(__xludf.DUMMYFUNCTION("""COMPUTED_VALUE"""),1050.0)</f>
        <v>1050</v>
      </c>
      <c r="D1069" s="139">
        <f>IFERROR(__xludf.DUMMYFUNCTION("""COMPUTED_VALUE"""),447.0)</f>
        <v>447</v>
      </c>
      <c r="E1069" s="138">
        <f>IFERROR(__xludf.DUMMYFUNCTION("""COMPUTED_VALUE"""),4.0)</f>
        <v>4</v>
      </c>
      <c r="F1069" s="138">
        <f>IFERROR(__xludf.DUMMYFUNCTION("""COMPUTED_VALUE"""),4.0)</f>
        <v>4</v>
      </c>
      <c r="G1069" s="138">
        <f>IFERROR(__xludf.DUMMYFUNCTION("""COMPUTED_VALUE"""),4.0)</f>
        <v>4</v>
      </c>
      <c r="H1069" s="138">
        <f>IFERROR(__xludf.DUMMYFUNCTION("""COMPUTED_VALUE"""),4.0)</f>
        <v>4</v>
      </c>
      <c r="I1069" s="138">
        <f>IFERROR(__xludf.DUMMYFUNCTION("""COMPUTED_VALUE"""),5.0)</f>
        <v>5</v>
      </c>
      <c r="J1069" s="138">
        <f>IFERROR(__xludf.DUMMYFUNCTION("""COMPUTED_VALUE"""),5.0)</f>
        <v>5</v>
      </c>
      <c r="K1069" s="138">
        <f>IFERROR(__xludf.DUMMYFUNCTION("""COMPUTED_VALUE"""),5.0)</f>
        <v>5</v>
      </c>
      <c r="L1069" s="138">
        <v>31.0</v>
      </c>
      <c r="M1069" s="140" t="str">
        <f>VLOOKUP(text(D1069, "#"),'Master Table'!$A:$F, 6, FALSE)</f>
        <v>G-8</v>
      </c>
      <c r="N1069" s="141"/>
      <c r="O1069" s="142" t="str">
        <f t="shared" si="1"/>
        <v/>
      </c>
      <c r="P1069" s="143" t="str">
        <f>IF(ISNA(VLOOKUP(CONCAT(M1069,C1069), 'Judge Count DO NOT EDIT'!H:H, 1, FALSE)), "ERROR","")</f>
        <v/>
      </c>
      <c r="Q1069" s="141"/>
      <c r="R1069" s="143"/>
      <c r="S1069" s="139" t="str">
        <f t="shared" si="2"/>
        <v>1050447</v>
      </c>
      <c r="T1069" s="141"/>
    </row>
    <row r="1070">
      <c r="A1070" s="137">
        <f>IFERROR(__xludf.DUMMYFUNCTION("""COMPUTED_VALUE"""),45352.566311828705)</f>
        <v>45352.56631</v>
      </c>
      <c r="B1070" s="138" t="str">
        <f>IFERROR(__xludf.DUMMYFUNCTION("""COMPUTED_VALUE"""),"Dan Gross")</f>
        <v>Dan Gross</v>
      </c>
      <c r="C1070" s="138">
        <f>IFERROR(__xludf.DUMMYFUNCTION("""COMPUTED_VALUE"""),1233.0)</f>
        <v>1233</v>
      </c>
      <c r="D1070" s="139">
        <f>IFERROR(__xludf.DUMMYFUNCTION("""COMPUTED_VALUE"""),447.0)</f>
        <v>447</v>
      </c>
      <c r="E1070" s="138">
        <f>IFERROR(__xludf.DUMMYFUNCTION("""COMPUTED_VALUE"""),4.0)</f>
        <v>4</v>
      </c>
      <c r="F1070" s="138">
        <f>IFERROR(__xludf.DUMMYFUNCTION("""COMPUTED_VALUE"""),5.0)</f>
        <v>5</v>
      </c>
      <c r="G1070" s="138">
        <f>IFERROR(__xludf.DUMMYFUNCTION("""COMPUTED_VALUE"""),4.0)</f>
        <v>4</v>
      </c>
      <c r="H1070" s="138">
        <f>IFERROR(__xludf.DUMMYFUNCTION("""COMPUTED_VALUE"""),4.0)</f>
        <v>4</v>
      </c>
      <c r="I1070" s="138">
        <f>IFERROR(__xludf.DUMMYFUNCTION("""COMPUTED_VALUE"""),4.0)</f>
        <v>4</v>
      </c>
      <c r="J1070" s="138">
        <f>IFERROR(__xludf.DUMMYFUNCTION("""COMPUTED_VALUE"""),4.0)</f>
        <v>4</v>
      </c>
      <c r="K1070" s="138">
        <f>IFERROR(__xludf.DUMMYFUNCTION("""COMPUTED_VALUE"""),5.0)</f>
        <v>5</v>
      </c>
      <c r="L1070" s="138">
        <v>30.0</v>
      </c>
      <c r="M1070" s="140" t="str">
        <f>VLOOKUP(text(D1070, "#"),'Master Table'!$A:$F, 6, FALSE)</f>
        <v>G-8</v>
      </c>
      <c r="N1070" s="141" t="str">
        <f>IFERROR(__xludf.DUMMYFUNCTION("""COMPUTED_VALUE"""),"Interesting study and very well presented.  Uncertain as to significance/impact of the study a bit and how researchers will build on the findings or suggest utilization of findings.  Researcher identified potential value in future study to have a qualitat"&amp;"ive design for increased value which I agree with.  Also, more insight/assessment into regional cultural influences on findings may be valuable.  ")</f>
        <v>Interesting study and very well presented.  Uncertain as to significance/impact of the study a bit and how researchers will build on the findings or suggest utilization of findings.  Researcher identified potential value in future study to have a qualitative design for increased value which I agree with.  Also, more insight/assessment into regional cultural influences on findings may be valuable.  </v>
      </c>
      <c r="O1070" s="142" t="str">
        <f t="shared" si="1"/>
        <v/>
      </c>
      <c r="P1070" s="143" t="str">
        <f>IF(ISNA(VLOOKUP(CONCAT(M1070,C1070), 'Judge Count DO NOT EDIT'!H:H, 1, FALSE)), "ERROR","")</f>
        <v/>
      </c>
      <c r="Q1070" s="141"/>
      <c r="R1070" s="143"/>
      <c r="S1070" s="139" t="str">
        <f t="shared" si="2"/>
        <v>1233447</v>
      </c>
      <c r="T1070" s="141"/>
    </row>
    <row r="1071">
      <c r="A1071" s="137">
        <f>IFERROR(__xludf.DUMMYFUNCTION("""COMPUTED_VALUE"""),45352.57244133102)</f>
        <v>45352.57244</v>
      </c>
      <c r="B1071" s="138" t="str">
        <f>IFERROR(__xludf.DUMMYFUNCTION("""COMPUTED_VALUE"""),"Jeni Green")</f>
        <v>Jeni Green</v>
      </c>
      <c r="C1071" s="138">
        <f>IFERROR(__xludf.DUMMYFUNCTION("""COMPUTED_VALUE"""),1022.0)</f>
        <v>1022</v>
      </c>
      <c r="D1071" s="139">
        <f>IFERROR(__xludf.DUMMYFUNCTION("""COMPUTED_VALUE"""),447.0)</f>
        <v>447</v>
      </c>
      <c r="E1071" s="138">
        <f>IFERROR(__xludf.DUMMYFUNCTION("""COMPUTED_VALUE"""),4.0)</f>
        <v>4</v>
      </c>
      <c r="F1071" s="138">
        <f>IFERROR(__xludf.DUMMYFUNCTION("""COMPUTED_VALUE"""),4.0)</f>
        <v>4</v>
      </c>
      <c r="G1071" s="138">
        <f>IFERROR(__xludf.DUMMYFUNCTION("""COMPUTED_VALUE"""),3.0)</f>
        <v>3</v>
      </c>
      <c r="H1071" s="138">
        <f>IFERROR(__xludf.DUMMYFUNCTION("""COMPUTED_VALUE"""),4.0)</f>
        <v>4</v>
      </c>
      <c r="I1071" s="138">
        <f>IFERROR(__xludf.DUMMYFUNCTION("""COMPUTED_VALUE"""),4.0)</f>
        <v>4</v>
      </c>
      <c r="J1071" s="138">
        <f>IFERROR(__xludf.DUMMYFUNCTION("""COMPUTED_VALUE"""),3.0)</f>
        <v>3</v>
      </c>
      <c r="K1071" s="138">
        <f>IFERROR(__xludf.DUMMYFUNCTION("""COMPUTED_VALUE"""),4.0)</f>
        <v>4</v>
      </c>
      <c r="L1071" s="138">
        <v>26.0</v>
      </c>
      <c r="M1071" s="140" t="str">
        <f>VLOOKUP(text(D1071, "#"),'Master Table'!$A:$F, 6, FALSE)</f>
        <v>G-8</v>
      </c>
      <c r="N1071" s="141"/>
      <c r="O1071" s="142" t="str">
        <f t="shared" si="1"/>
        <v/>
      </c>
      <c r="P1071" s="143" t="str">
        <f>IF(ISNA(VLOOKUP(CONCAT(M1071,C1071), 'Judge Count DO NOT EDIT'!H:H, 1, FALSE)), "ERROR","")</f>
        <v/>
      </c>
      <c r="Q1071" s="141"/>
      <c r="R1071" s="143"/>
      <c r="S1071" s="139" t="str">
        <f t="shared" si="2"/>
        <v>1022447</v>
      </c>
      <c r="T1071" s="141"/>
    </row>
    <row r="1072">
      <c r="A1072" s="137">
        <f>IFERROR(__xludf.DUMMYFUNCTION("""COMPUTED_VALUE"""),45352.54174672454)</f>
        <v>45352.54175</v>
      </c>
      <c r="B1072" s="138" t="str">
        <f>IFERROR(__xludf.DUMMYFUNCTION("""COMPUTED_VALUE"""),"Crystal English")</f>
        <v>Crystal English</v>
      </c>
      <c r="C1072" s="138">
        <f>IFERROR(__xludf.DUMMYFUNCTION("""COMPUTED_VALUE"""),1032.0)</f>
        <v>1032</v>
      </c>
      <c r="D1072" s="139">
        <f>IFERROR(__xludf.DUMMYFUNCTION("""COMPUTED_VALUE"""),448.0)</f>
        <v>448</v>
      </c>
      <c r="E1072" s="138">
        <f>IFERROR(__xludf.DUMMYFUNCTION("""COMPUTED_VALUE"""),4.0)</f>
        <v>4</v>
      </c>
      <c r="F1072" s="138">
        <f>IFERROR(__xludf.DUMMYFUNCTION("""COMPUTED_VALUE"""),4.0)</f>
        <v>4</v>
      </c>
      <c r="G1072" s="138">
        <f>IFERROR(__xludf.DUMMYFUNCTION("""COMPUTED_VALUE"""),4.0)</f>
        <v>4</v>
      </c>
      <c r="H1072" s="138">
        <f>IFERROR(__xludf.DUMMYFUNCTION("""COMPUTED_VALUE"""),5.0)</f>
        <v>5</v>
      </c>
      <c r="I1072" s="138">
        <f>IFERROR(__xludf.DUMMYFUNCTION("""COMPUTED_VALUE"""),4.0)</f>
        <v>4</v>
      </c>
      <c r="J1072" s="138">
        <f>IFERROR(__xludf.DUMMYFUNCTION("""COMPUTED_VALUE"""),4.0)</f>
        <v>4</v>
      </c>
      <c r="K1072" s="138">
        <f>IFERROR(__xludf.DUMMYFUNCTION("""COMPUTED_VALUE"""),5.0)</f>
        <v>5</v>
      </c>
      <c r="L1072" s="138">
        <v>30.0</v>
      </c>
      <c r="M1072" s="140" t="str">
        <f>VLOOKUP(text(D1072, "#"),'Master Table'!$A:$F, 6, FALSE)</f>
        <v>G-9</v>
      </c>
      <c r="N1072" s="141" t="str">
        <f>IFERROR(__xludf.DUMMYFUNCTION("""COMPUTED_VALUE"""),"A beautiful job presenting and explaining th difficult concepts. The poster was well organized. Perhaps my only criticism is being on-time for the presentation time-frame. ")</f>
        <v>A beautiful job presenting and explaining th difficult concepts. The poster was well organized. Perhaps my only criticism is being on-time for the presentation time-frame. </v>
      </c>
      <c r="O1072" s="142" t="str">
        <f t="shared" si="1"/>
        <v/>
      </c>
      <c r="P1072" s="143" t="str">
        <f>IF(ISNA(VLOOKUP(CONCAT(M1072,C1072), 'Judge Count DO NOT EDIT'!H:H, 1, FALSE)), "ERROR","")</f>
        <v/>
      </c>
      <c r="Q1072" s="141"/>
      <c r="R1072" s="143"/>
      <c r="S1072" s="139" t="str">
        <f t="shared" si="2"/>
        <v>1032448</v>
      </c>
      <c r="T1072" s="141"/>
    </row>
    <row r="1073">
      <c r="A1073" s="137">
        <f>IFERROR(__xludf.DUMMYFUNCTION("""COMPUTED_VALUE"""),45352.56598738426)</f>
        <v>45352.56599</v>
      </c>
      <c r="B1073" s="138" t="str">
        <f>IFERROR(__xludf.DUMMYFUNCTION("""COMPUTED_VALUE"""),"Natalie Gude")</f>
        <v>Natalie Gude</v>
      </c>
      <c r="C1073" s="138">
        <f>IFERROR(__xludf.DUMMYFUNCTION("""COMPUTED_VALUE"""),1010.0)</f>
        <v>1010</v>
      </c>
      <c r="D1073" s="139">
        <f>IFERROR(__xludf.DUMMYFUNCTION("""COMPUTED_VALUE"""),448.0)</f>
        <v>448</v>
      </c>
      <c r="E1073" s="138">
        <f>IFERROR(__xludf.DUMMYFUNCTION("""COMPUTED_VALUE"""),4.0)</f>
        <v>4</v>
      </c>
      <c r="F1073" s="138">
        <f>IFERROR(__xludf.DUMMYFUNCTION("""COMPUTED_VALUE"""),4.0)</f>
        <v>4</v>
      </c>
      <c r="G1073" s="138">
        <f>IFERROR(__xludf.DUMMYFUNCTION("""COMPUTED_VALUE"""),5.0)</f>
        <v>5</v>
      </c>
      <c r="H1073" s="138">
        <f>IFERROR(__xludf.DUMMYFUNCTION("""COMPUTED_VALUE"""),4.0)</f>
        <v>4</v>
      </c>
      <c r="I1073" s="138">
        <f>IFERROR(__xludf.DUMMYFUNCTION("""COMPUTED_VALUE"""),5.0)</f>
        <v>5</v>
      </c>
      <c r="J1073" s="138">
        <f>IFERROR(__xludf.DUMMYFUNCTION("""COMPUTED_VALUE"""),4.0)</f>
        <v>4</v>
      </c>
      <c r="K1073" s="138">
        <f>IFERROR(__xludf.DUMMYFUNCTION("""COMPUTED_VALUE"""),5.0)</f>
        <v>5</v>
      </c>
      <c r="L1073" s="138">
        <v>31.0</v>
      </c>
      <c r="M1073" s="140" t="str">
        <f>VLOOKUP(text(D1073, "#"),'Master Table'!$A:$F, 6, FALSE)</f>
        <v>G-9</v>
      </c>
      <c r="N1073" s="141"/>
      <c r="O1073" s="142" t="str">
        <f t="shared" si="1"/>
        <v/>
      </c>
      <c r="P1073" s="143" t="str">
        <f>IF(ISNA(VLOOKUP(CONCAT(M1073,C1073), 'Judge Count DO NOT EDIT'!H:H, 1, FALSE)), "ERROR","")</f>
        <v/>
      </c>
      <c r="Q1073" s="144"/>
      <c r="R1073" s="143"/>
      <c r="S1073" s="139" t="str">
        <f t="shared" si="2"/>
        <v>1010448</v>
      </c>
      <c r="T1073" s="141"/>
    </row>
    <row r="1074">
      <c r="A1074" s="137">
        <f>IFERROR(__xludf.DUMMYFUNCTION("""COMPUTED_VALUE"""),45352.5846041551)</f>
        <v>45352.5846</v>
      </c>
      <c r="B1074" s="138" t="str">
        <f>IFERROR(__xludf.DUMMYFUNCTION("""COMPUTED_VALUE"""),"Juanjuan Fan")</f>
        <v>Juanjuan Fan</v>
      </c>
      <c r="C1074" s="138">
        <f>IFERROR(__xludf.DUMMYFUNCTION("""COMPUTED_VALUE"""),1015.0)</f>
        <v>1015</v>
      </c>
      <c r="D1074" s="139">
        <f>IFERROR(__xludf.DUMMYFUNCTION("""COMPUTED_VALUE"""),448.0)</f>
        <v>448</v>
      </c>
      <c r="E1074" s="138">
        <f>IFERROR(__xludf.DUMMYFUNCTION("""COMPUTED_VALUE"""),5.0)</f>
        <v>5</v>
      </c>
      <c r="F1074" s="138">
        <f>IFERROR(__xludf.DUMMYFUNCTION("""COMPUTED_VALUE"""),4.0)</f>
        <v>4</v>
      </c>
      <c r="G1074" s="138">
        <f>IFERROR(__xludf.DUMMYFUNCTION("""COMPUTED_VALUE"""),4.0)</f>
        <v>4</v>
      </c>
      <c r="H1074" s="138">
        <f>IFERROR(__xludf.DUMMYFUNCTION("""COMPUTED_VALUE"""),4.0)</f>
        <v>4</v>
      </c>
      <c r="I1074" s="138">
        <f>IFERROR(__xludf.DUMMYFUNCTION("""COMPUTED_VALUE"""),4.0)</f>
        <v>4</v>
      </c>
      <c r="J1074" s="138">
        <f>IFERROR(__xludf.DUMMYFUNCTION("""COMPUTED_VALUE"""),4.0)</f>
        <v>4</v>
      </c>
      <c r="K1074" s="138">
        <f>IFERROR(__xludf.DUMMYFUNCTION("""COMPUTED_VALUE"""),5.0)</f>
        <v>5</v>
      </c>
      <c r="L1074" s="138">
        <v>30.0</v>
      </c>
      <c r="M1074" s="140" t="str">
        <f>VLOOKUP(text(D1074, "#"),'Master Table'!$A:$F, 6, FALSE)</f>
        <v>G-9</v>
      </c>
      <c r="N1074" s="141"/>
      <c r="O1074" s="142" t="str">
        <f t="shared" si="1"/>
        <v/>
      </c>
      <c r="P1074" s="143" t="str">
        <f>IF(ISNA(VLOOKUP(CONCAT(M1074,C1074), 'Judge Count DO NOT EDIT'!H:H, 1, FALSE)), "ERROR","")</f>
        <v/>
      </c>
      <c r="Q1074" s="141"/>
      <c r="R1074" s="143"/>
      <c r="S1074" s="139" t="str">
        <f t="shared" si="2"/>
        <v>1015448</v>
      </c>
      <c r="T1074" s="141"/>
    </row>
    <row r="1075">
      <c r="A1075" s="137">
        <f>IFERROR(__xludf.DUMMYFUNCTION("""COMPUTED_VALUE"""),45352.63261526621)</f>
        <v>45352.63262</v>
      </c>
      <c r="B1075" s="138" t="str">
        <f>IFERROR(__xludf.DUMMYFUNCTION("""COMPUTED_VALUE"""),"Jing Zhao")</f>
        <v>Jing Zhao</v>
      </c>
      <c r="C1075" s="138">
        <f>IFERROR(__xludf.DUMMYFUNCTION("""COMPUTED_VALUE"""),1068.0)</f>
        <v>1068</v>
      </c>
      <c r="D1075" s="139">
        <f>IFERROR(__xludf.DUMMYFUNCTION("""COMPUTED_VALUE"""),448.0)</f>
        <v>448</v>
      </c>
      <c r="E1075" s="138">
        <f>IFERROR(__xludf.DUMMYFUNCTION("""COMPUTED_VALUE"""),4.0)</f>
        <v>4</v>
      </c>
      <c r="F1075" s="138">
        <f>IFERROR(__xludf.DUMMYFUNCTION("""COMPUTED_VALUE"""),5.0)</f>
        <v>5</v>
      </c>
      <c r="G1075" s="138">
        <f>IFERROR(__xludf.DUMMYFUNCTION("""COMPUTED_VALUE"""),4.0)</f>
        <v>4</v>
      </c>
      <c r="H1075" s="138">
        <f>IFERROR(__xludf.DUMMYFUNCTION("""COMPUTED_VALUE"""),4.0)</f>
        <v>4</v>
      </c>
      <c r="I1075" s="138">
        <f>IFERROR(__xludf.DUMMYFUNCTION("""COMPUTED_VALUE"""),5.0)</f>
        <v>5</v>
      </c>
      <c r="J1075" s="138">
        <f>IFERROR(__xludf.DUMMYFUNCTION("""COMPUTED_VALUE"""),5.0)</f>
        <v>5</v>
      </c>
      <c r="K1075" s="138">
        <f>IFERROR(__xludf.DUMMYFUNCTION("""COMPUTED_VALUE"""),5.0)</f>
        <v>5</v>
      </c>
      <c r="L1075" s="138">
        <v>32.0</v>
      </c>
      <c r="M1075" s="140" t="str">
        <f>VLOOKUP(text(D1075, "#"),'Master Table'!$A:$F, 6, FALSE)</f>
        <v>G-9</v>
      </c>
      <c r="N1075" s="141" t="str">
        <f>IFERROR(__xludf.DUMMYFUNCTION("""COMPUTED_VALUE"""),"Original work that will have practical applications. The presenter is very natural and confident.")</f>
        <v>Original work that will have practical applications. The presenter is very natural and confident.</v>
      </c>
      <c r="O1075" s="142" t="str">
        <f t="shared" si="1"/>
        <v/>
      </c>
      <c r="P1075" s="143" t="str">
        <f>IF(ISNA(VLOOKUP(CONCAT(M1075,C1075), 'Judge Count DO NOT EDIT'!H:H, 1, FALSE)), "ERROR","")</f>
        <v/>
      </c>
      <c r="Q1075" s="141"/>
      <c r="R1075" s="143"/>
      <c r="S1075" s="139" t="str">
        <f t="shared" si="2"/>
        <v>1068448</v>
      </c>
      <c r="T1075" s="141"/>
    </row>
    <row r="1076">
      <c r="A1076" s="137">
        <f>IFERROR(__xludf.DUMMYFUNCTION("""COMPUTED_VALUE"""),45352.5669040162)</f>
        <v>45352.5669</v>
      </c>
      <c r="B1076" s="138" t="str">
        <f>IFERROR(__xludf.DUMMYFUNCTION("""COMPUTED_VALUE"""),"Natalie Gude")</f>
        <v>Natalie Gude</v>
      </c>
      <c r="C1076" s="138">
        <f>IFERROR(__xludf.DUMMYFUNCTION("""COMPUTED_VALUE"""),1010.0)</f>
        <v>1010</v>
      </c>
      <c r="D1076" s="139">
        <f>IFERROR(__xludf.DUMMYFUNCTION("""COMPUTED_VALUE"""),449.0)</f>
        <v>449</v>
      </c>
      <c r="E1076" s="138">
        <f>IFERROR(__xludf.DUMMYFUNCTION("""COMPUTED_VALUE"""),5.0)</f>
        <v>5</v>
      </c>
      <c r="F1076" s="138">
        <f>IFERROR(__xludf.DUMMYFUNCTION("""COMPUTED_VALUE"""),4.0)</f>
        <v>4</v>
      </c>
      <c r="G1076" s="138">
        <f>IFERROR(__xludf.DUMMYFUNCTION("""COMPUTED_VALUE"""),5.0)</f>
        <v>5</v>
      </c>
      <c r="H1076" s="138">
        <f>IFERROR(__xludf.DUMMYFUNCTION("""COMPUTED_VALUE"""),5.0)</f>
        <v>5</v>
      </c>
      <c r="I1076" s="138">
        <f>IFERROR(__xludf.DUMMYFUNCTION("""COMPUTED_VALUE"""),5.0)</f>
        <v>5</v>
      </c>
      <c r="J1076" s="138">
        <f>IFERROR(__xludf.DUMMYFUNCTION("""COMPUTED_VALUE"""),5.0)</f>
        <v>5</v>
      </c>
      <c r="K1076" s="138">
        <f>IFERROR(__xludf.DUMMYFUNCTION("""COMPUTED_VALUE"""),5.0)</f>
        <v>5</v>
      </c>
      <c r="L1076" s="138">
        <v>34.0</v>
      </c>
      <c r="M1076" s="140" t="str">
        <f>VLOOKUP(text(D1076, "#"),'Master Table'!$A:$F, 6, FALSE)</f>
        <v>G-9</v>
      </c>
      <c r="N1076" s="141"/>
      <c r="O1076" s="142" t="str">
        <f t="shared" si="1"/>
        <v/>
      </c>
      <c r="P1076" s="143" t="str">
        <f>IF(ISNA(VLOOKUP(CONCAT(M1076,C1076), 'Judge Count DO NOT EDIT'!H:H, 1, FALSE)), "ERROR","")</f>
        <v/>
      </c>
      <c r="Q1076" s="141"/>
      <c r="R1076" s="143"/>
      <c r="S1076" s="139" t="str">
        <f t="shared" si="2"/>
        <v>1010449</v>
      </c>
      <c r="T1076" s="141"/>
    </row>
    <row r="1077">
      <c r="A1077" s="137">
        <f>IFERROR(__xludf.DUMMYFUNCTION("""COMPUTED_VALUE"""),45352.63394991898)</f>
        <v>45352.63395</v>
      </c>
      <c r="B1077" s="138" t="str">
        <f>IFERROR(__xludf.DUMMYFUNCTION("""COMPUTED_VALUE"""),"Jing Zhao")</f>
        <v>Jing Zhao</v>
      </c>
      <c r="C1077" s="138">
        <f>IFERROR(__xludf.DUMMYFUNCTION("""COMPUTED_VALUE"""),1068.0)</f>
        <v>1068</v>
      </c>
      <c r="D1077" s="139">
        <f>IFERROR(__xludf.DUMMYFUNCTION("""COMPUTED_VALUE"""),449.0)</f>
        <v>449</v>
      </c>
      <c r="E1077" s="138">
        <f>IFERROR(__xludf.DUMMYFUNCTION("""COMPUTED_VALUE"""),4.0)</f>
        <v>4</v>
      </c>
      <c r="F1077" s="138">
        <f>IFERROR(__xludf.DUMMYFUNCTION("""COMPUTED_VALUE"""),5.0)</f>
        <v>5</v>
      </c>
      <c r="G1077" s="138">
        <f>IFERROR(__xludf.DUMMYFUNCTION("""COMPUTED_VALUE"""),4.0)</f>
        <v>4</v>
      </c>
      <c r="H1077" s="138">
        <f>IFERROR(__xludf.DUMMYFUNCTION("""COMPUTED_VALUE"""),4.0)</f>
        <v>4</v>
      </c>
      <c r="I1077" s="138">
        <f>IFERROR(__xludf.DUMMYFUNCTION("""COMPUTED_VALUE"""),3.0)</f>
        <v>3</v>
      </c>
      <c r="J1077" s="138">
        <f>IFERROR(__xludf.DUMMYFUNCTION("""COMPUTED_VALUE"""),4.0)</f>
        <v>4</v>
      </c>
      <c r="K1077" s="138">
        <f>IFERROR(__xludf.DUMMYFUNCTION("""COMPUTED_VALUE"""),4.0)</f>
        <v>4</v>
      </c>
      <c r="L1077" s="138">
        <v>28.0</v>
      </c>
      <c r="M1077" s="140" t="str">
        <f>VLOOKUP(text(D1077, "#"),'Master Table'!$A:$F, 6, FALSE)</f>
        <v>G-9</v>
      </c>
      <c r="N1077" s="141" t="str">
        <f>IFERROR(__xludf.DUMMYFUNCTION("""COMPUTED_VALUE"""),"Great foundamental research on an important topic.")</f>
        <v>Great foundamental research on an important topic.</v>
      </c>
      <c r="O1077" s="142" t="str">
        <f t="shared" si="1"/>
        <v/>
      </c>
      <c r="P1077" s="143" t="str">
        <f>IF(ISNA(VLOOKUP(CONCAT(M1077,C1077), 'Judge Count DO NOT EDIT'!H:H, 1, FALSE)), "ERROR","")</f>
        <v/>
      </c>
      <c r="Q1077" s="141"/>
      <c r="R1077" s="143"/>
      <c r="S1077" s="139" t="str">
        <f t="shared" si="2"/>
        <v>1068449</v>
      </c>
      <c r="T1077" s="141"/>
    </row>
    <row r="1078">
      <c r="A1078" s="137">
        <f>IFERROR(__xludf.DUMMYFUNCTION("""COMPUTED_VALUE"""),45352.659403171296)</f>
        <v>45352.6594</v>
      </c>
      <c r="B1078" s="138" t="str">
        <f>IFERROR(__xludf.DUMMYFUNCTION("""COMPUTED_VALUE"""),"Juanjuan Fan")</f>
        <v>Juanjuan Fan</v>
      </c>
      <c r="C1078" s="138">
        <f>IFERROR(__xludf.DUMMYFUNCTION("""COMPUTED_VALUE"""),1015.0)</f>
        <v>1015</v>
      </c>
      <c r="D1078" s="139">
        <f>IFERROR(__xludf.DUMMYFUNCTION("""COMPUTED_VALUE"""),449.0)</f>
        <v>449</v>
      </c>
      <c r="E1078" s="138">
        <f>IFERROR(__xludf.DUMMYFUNCTION("""COMPUTED_VALUE"""),4.0)</f>
        <v>4</v>
      </c>
      <c r="F1078" s="138">
        <f>IFERROR(__xludf.DUMMYFUNCTION("""COMPUTED_VALUE"""),4.0)</f>
        <v>4</v>
      </c>
      <c r="G1078" s="138">
        <f>IFERROR(__xludf.DUMMYFUNCTION("""COMPUTED_VALUE"""),3.0)</f>
        <v>3</v>
      </c>
      <c r="H1078" s="138">
        <f>IFERROR(__xludf.DUMMYFUNCTION("""COMPUTED_VALUE"""),3.0)</f>
        <v>3</v>
      </c>
      <c r="I1078" s="138">
        <f>IFERROR(__xludf.DUMMYFUNCTION("""COMPUTED_VALUE"""),3.0)</f>
        <v>3</v>
      </c>
      <c r="J1078" s="138">
        <f>IFERROR(__xludf.DUMMYFUNCTION("""COMPUTED_VALUE"""),4.0)</f>
        <v>4</v>
      </c>
      <c r="K1078" s="138">
        <f>IFERROR(__xludf.DUMMYFUNCTION("""COMPUTED_VALUE"""),4.0)</f>
        <v>4</v>
      </c>
      <c r="L1078" s="138">
        <v>25.0</v>
      </c>
      <c r="M1078" s="140" t="str">
        <f>VLOOKUP(text(D1078, "#"),'Master Table'!$A:$F, 6, FALSE)</f>
        <v>G-9</v>
      </c>
      <c r="N1078" s="141"/>
      <c r="O1078" s="142" t="str">
        <f t="shared" si="1"/>
        <v/>
      </c>
      <c r="P1078" s="143" t="str">
        <f>IF(ISNA(VLOOKUP(CONCAT(M1078,C1078), 'Judge Count DO NOT EDIT'!H:H, 1, FALSE)), "ERROR","")</f>
        <v/>
      </c>
      <c r="Q1078" s="141"/>
      <c r="R1078" s="143"/>
      <c r="S1078" s="139" t="str">
        <f t="shared" si="2"/>
        <v>1015449</v>
      </c>
      <c r="T1078" s="141"/>
    </row>
    <row r="1079">
      <c r="A1079" s="137">
        <f>IFERROR(__xludf.DUMMYFUNCTION("""COMPUTED_VALUE"""),45352.56762135417)</f>
        <v>45352.56762</v>
      </c>
      <c r="B1079" s="138" t="str">
        <f>IFERROR(__xludf.DUMMYFUNCTION("""COMPUTED_VALUE"""),"Natalie Gude")</f>
        <v>Natalie Gude</v>
      </c>
      <c r="C1079" s="138">
        <f>IFERROR(__xludf.DUMMYFUNCTION("""COMPUTED_VALUE"""),1010.0)</f>
        <v>1010</v>
      </c>
      <c r="D1079" s="139">
        <f>IFERROR(__xludf.DUMMYFUNCTION("""COMPUTED_VALUE"""),450.0)</f>
        <v>450</v>
      </c>
      <c r="E1079" s="138">
        <f>IFERROR(__xludf.DUMMYFUNCTION("""COMPUTED_VALUE"""),4.0)</f>
        <v>4</v>
      </c>
      <c r="F1079" s="138">
        <f>IFERROR(__xludf.DUMMYFUNCTION("""COMPUTED_VALUE"""),4.0)</f>
        <v>4</v>
      </c>
      <c r="G1079" s="138">
        <f>IFERROR(__xludf.DUMMYFUNCTION("""COMPUTED_VALUE"""),5.0)</f>
        <v>5</v>
      </c>
      <c r="H1079" s="138">
        <f>IFERROR(__xludf.DUMMYFUNCTION("""COMPUTED_VALUE"""),5.0)</f>
        <v>5</v>
      </c>
      <c r="I1079" s="138">
        <f>IFERROR(__xludf.DUMMYFUNCTION("""COMPUTED_VALUE"""),5.0)</f>
        <v>5</v>
      </c>
      <c r="J1079" s="138">
        <f>IFERROR(__xludf.DUMMYFUNCTION("""COMPUTED_VALUE"""),5.0)</f>
        <v>5</v>
      </c>
      <c r="K1079" s="138">
        <f>IFERROR(__xludf.DUMMYFUNCTION("""COMPUTED_VALUE"""),5.0)</f>
        <v>5</v>
      </c>
      <c r="L1079" s="138">
        <v>33.0</v>
      </c>
      <c r="M1079" s="140" t="str">
        <f>VLOOKUP(text(D1079, "#"),'Master Table'!$A:$F, 6, FALSE)</f>
        <v>G-9</v>
      </c>
      <c r="N1079" s="141"/>
      <c r="O1079" s="142" t="str">
        <f t="shared" si="1"/>
        <v/>
      </c>
      <c r="P1079" s="143" t="str">
        <f>IF(ISNA(VLOOKUP(CONCAT(M1079,C1079), 'Judge Count DO NOT EDIT'!H:H, 1, FALSE)), "ERROR","")</f>
        <v/>
      </c>
      <c r="Q1079" s="141"/>
      <c r="R1079" s="143"/>
      <c r="S1079" s="139" t="str">
        <f t="shared" si="2"/>
        <v>1010450</v>
      </c>
      <c r="T1079" s="141"/>
    </row>
    <row r="1080">
      <c r="A1080" s="137">
        <f>IFERROR(__xludf.DUMMYFUNCTION("""COMPUTED_VALUE"""),45352.57128583333)</f>
        <v>45352.57129</v>
      </c>
      <c r="B1080" s="138" t="str">
        <f>IFERROR(__xludf.DUMMYFUNCTION("""COMPUTED_VALUE"""),"Juanjuan Fan")</f>
        <v>Juanjuan Fan</v>
      </c>
      <c r="C1080" s="138">
        <f>IFERROR(__xludf.DUMMYFUNCTION("""COMPUTED_VALUE"""),1015.0)</f>
        <v>1015</v>
      </c>
      <c r="D1080" s="139">
        <f>IFERROR(__xludf.DUMMYFUNCTION("""COMPUTED_VALUE"""),450.0)</f>
        <v>450</v>
      </c>
      <c r="E1080" s="138">
        <f>IFERROR(__xludf.DUMMYFUNCTION("""COMPUTED_VALUE"""),5.0)</f>
        <v>5</v>
      </c>
      <c r="F1080" s="138">
        <f>IFERROR(__xludf.DUMMYFUNCTION("""COMPUTED_VALUE"""),4.0)</f>
        <v>4</v>
      </c>
      <c r="G1080" s="138">
        <f>IFERROR(__xludf.DUMMYFUNCTION("""COMPUTED_VALUE"""),5.0)</f>
        <v>5</v>
      </c>
      <c r="H1080" s="138">
        <f>IFERROR(__xludf.DUMMYFUNCTION("""COMPUTED_VALUE"""),5.0)</f>
        <v>5</v>
      </c>
      <c r="I1080" s="138">
        <f>IFERROR(__xludf.DUMMYFUNCTION("""COMPUTED_VALUE"""),5.0)</f>
        <v>5</v>
      </c>
      <c r="J1080" s="138">
        <f>IFERROR(__xludf.DUMMYFUNCTION("""COMPUTED_VALUE"""),5.0)</f>
        <v>5</v>
      </c>
      <c r="K1080" s="138">
        <f>IFERROR(__xludf.DUMMYFUNCTION("""COMPUTED_VALUE"""),5.0)</f>
        <v>5</v>
      </c>
      <c r="L1080" s="138">
        <v>34.0</v>
      </c>
      <c r="M1080" s="140" t="str">
        <f>VLOOKUP(text(D1080, "#"),'Master Table'!$A:$F, 6, FALSE)</f>
        <v>G-9</v>
      </c>
      <c r="N1080" s="141"/>
      <c r="O1080" s="142" t="str">
        <f t="shared" si="1"/>
        <v/>
      </c>
      <c r="P1080" s="143" t="str">
        <f>IF(ISNA(VLOOKUP(CONCAT(M1080,C1080), 'Judge Count DO NOT EDIT'!H:H, 1, FALSE)), "ERROR","")</f>
        <v/>
      </c>
      <c r="Q1080" s="141"/>
      <c r="R1080" s="143"/>
      <c r="S1080" s="139" t="str">
        <f t="shared" si="2"/>
        <v>1015450</v>
      </c>
      <c r="T1080" s="141"/>
    </row>
    <row r="1081">
      <c r="A1081" s="137">
        <f>IFERROR(__xludf.DUMMYFUNCTION("""COMPUTED_VALUE"""),45352.60732270833)</f>
        <v>45352.60732</v>
      </c>
      <c r="B1081" s="138" t="str">
        <f>IFERROR(__xludf.DUMMYFUNCTION("""COMPUTED_VALUE"""),"Crystal English")</f>
        <v>Crystal English</v>
      </c>
      <c r="C1081" s="138">
        <f>IFERROR(__xludf.DUMMYFUNCTION("""COMPUTED_VALUE"""),1032.0)</f>
        <v>1032</v>
      </c>
      <c r="D1081" s="139">
        <f>IFERROR(__xludf.DUMMYFUNCTION("""COMPUTED_VALUE"""),450.0)</f>
        <v>450</v>
      </c>
      <c r="E1081" s="138">
        <f>IFERROR(__xludf.DUMMYFUNCTION("""COMPUTED_VALUE"""),4.0)</f>
        <v>4</v>
      </c>
      <c r="F1081" s="138">
        <f>IFERROR(__xludf.DUMMYFUNCTION("""COMPUTED_VALUE"""),4.0)</f>
        <v>4</v>
      </c>
      <c r="G1081" s="138">
        <f>IFERROR(__xludf.DUMMYFUNCTION("""COMPUTED_VALUE"""),5.0)</f>
        <v>5</v>
      </c>
      <c r="H1081" s="138">
        <f>IFERROR(__xludf.DUMMYFUNCTION("""COMPUTED_VALUE"""),4.0)</f>
        <v>4</v>
      </c>
      <c r="I1081" s="138">
        <f>IFERROR(__xludf.DUMMYFUNCTION("""COMPUTED_VALUE"""),4.0)</f>
        <v>4</v>
      </c>
      <c r="J1081" s="138">
        <f>IFERROR(__xludf.DUMMYFUNCTION("""COMPUTED_VALUE"""),4.0)</f>
        <v>4</v>
      </c>
      <c r="K1081" s="138">
        <f>IFERROR(__xludf.DUMMYFUNCTION("""COMPUTED_VALUE"""),5.0)</f>
        <v>5</v>
      </c>
      <c r="L1081" s="138">
        <v>30.0</v>
      </c>
      <c r="M1081" s="140" t="str">
        <f>VLOOKUP(text(D1081, "#"),'Master Table'!$A:$F, 6, FALSE)</f>
        <v>G-9</v>
      </c>
      <c r="N1081" s="141" t="str">
        <f>IFERROR(__xludf.DUMMYFUNCTION("""COMPUTED_VALUE"""),"The poster was well laid out and the presentation was very good. Suggest the presenter take a moment to acknowledge someone with a head nod or something while waiting to ask questions.")</f>
        <v>The poster was well laid out and the presentation was very good. Suggest the presenter take a moment to acknowledge someone with a head nod or something while waiting to ask questions.</v>
      </c>
      <c r="O1081" s="142" t="str">
        <f t="shared" si="1"/>
        <v/>
      </c>
      <c r="P1081" s="143" t="str">
        <f>IF(ISNA(VLOOKUP(CONCAT(M1081,C1081), 'Judge Count DO NOT EDIT'!H:H, 1, FALSE)), "ERROR","")</f>
        <v/>
      </c>
      <c r="Q1081" s="141"/>
      <c r="R1081" s="143"/>
      <c r="S1081" s="139" t="str">
        <f t="shared" si="2"/>
        <v>1032450</v>
      </c>
      <c r="T1081" s="141"/>
    </row>
    <row r="1082">
      <c r="A1082" s="137">
        <f>IFERROR(__xludf.DUMMYFUNCTION("""COMPUTED_VALUE"""),45352.63533651621)</f>
        <v>45352.63534</v>
      </c>
      <c r="B1082" s="138" t="str">
        <f>IFERROR(__xludf.DUMMYFUNCTION("""COMPUTED_VALUE"""),"Jing Zhao")</f>
        <v>Jing Zhao</v>
      </c>
      <c r="C1082" s="138">
        <f>IFERROR(__xludf.DUMMYFUNCTION("""COMPUTED_VALUE"""),1068.0)</f>
        <v>1068</v>
      </c>
      <c r="D1082" s="139">
        <f>IFERROR(__xludf.DUMMYFUNCTION("""COMPUTED_VALUE"""),450.0)</f>
        <v>450</v>
      </c>
      <c r="E1082" s="138">
        <f>IFERROR(__xludf.DUMMYFUNCTION("""COMPUTED_VALUE"""),5.0)</f>
        <v>5</v>
      </c>
      <c r="F1082" s="138">
        <f>IFERROR(__xludf.DUMMYFUNCTION("""COMPUTED_VALUE"""),5.0)</f>
        <v>5</v>
      </c>
      <c r="G1082" s="138">
        <f>IFERROR(__xludf.DUMMYFUNCTION("""COMPUTED_VALUE"""),5.0)</f>
        <v>5</v>
      </c>
      <c r="H1082" s="138">
        <f>IFERROR(__xludf.DUMMYFUNCTION("""COMPUTED_VALUE"""),5.0)</f>
        <v>5</v>
      </c>
      <c r="I1082" s="138">
        <f>IFERROR(__xludf.DUMMYFUNCTION("""COMPUTED_VALUE"""),5.0)</f>
        <v>5</v>
      </c>
      <c r="J1082" s="138">
        <f>IFERROR(__xludf.DUMMYFUNCTION("""COMPUTED_VALUE"""),5.0)</f>
        <v>5</v>
      </c>
      <c r="K1082" s="138">
        <f>IFERROR(__xludf.DUMMYFUNCTION("""COMPUTED_VALUE"""),5.0)</f>
        <v>5</v>
      </c>
      <c r="L1082" s="138">
        <v>35.0</v>
      </c>
      <c r="M1082" s="140" t="str">
        <f>VLOOKUP(text(D1082, "#"),'Master Table'!$A:$F, 6, FALSE)</f>
        <v>G-9</v>
      </c>
      <c r="N1082" s="141" t="str">
        <f>IFERROR(__xludf.DUMMYFUNCTION("""COMPUTED_VALUE"""),"Great work with a large amount of data. The poster is vell organized and very clear. The presenter is very natural and confident. I am very impressed with the amount of work done in the short period time.")</f>
        <v>Great work with a large amount of data. The poster is vell organized and very clear. The presenter is very natural and confident. I am very impressed with the amount of work done in the short period time.</v>
      </c>
      <c r="O1082" s="142" t="str">
        <f t="shared" si="1"/>
        <v/>
      </c>
      <c r="P1082" s="143" t="str">
        <f>IF(ISNA(VLOOKUP(CONCAT(M1082,C1082), 'Judge Count DO NOT EDIT'!H:H, 1, FALSE)), "ERROR","")</f>
        <v/>
      </c>
      <c r="Q1082" s="141"/>
      <c r="R1082" s="143"/>
      <c r="S1082" s="139" t="str">
        <f t="shared" si="2"/>
        <v>1068450</v>
      </c>
      <c r="T1082" s="141"/>
    </row>
    <row r="1083">
      <c r="A1083" s="137">
        <f>IFERROR(__xludf.DUMMYFUNCTION("""COMPUTED_VALUE"""),45352.56849547454)</f>
        <v>45352.5685</v>
      </c>
      <c r="B1083" s="138" t="str">
        <f>IFERROR(__xludf.DUMMYFUNCTION("""COMPUTED_VALUE"""),"Natalie Gude")</f>
        <v>Natalie Gude</v>
      </c>
      <c r="C1083" s="138">
        <f>IFERROR(__xludf.DUMMYFUNCTION("""COMPUTED_VALUE"""),1010.0)</f>
        <v>1010</v>
      </c>
      <c r="D1083" s="139">
        <f>IFERROR(__xludf.DUMMYFUNCTION("""COMPUTED_VALUE"""),451.0)</f>
        <v>451</v>
      </c>
      <c r="E1083" s="138">
        <f>IFERROR(__xludf.DUMMYFUNCTION("""COMPUTED_VALUE"""),4.0)</f>
        <v>4</v>
      </c>
      <c r="F1083" s="138">
        <f>IFERROR(__xludf.DUMMYFUNCTION("""COMPUTED_VALUE"""),5.0)</f>
        <v>5</v>
      </c>
      <c r="G1083" s="138">
        <f>IFERROR(__xludf.DUMMYFUNCTION("""COMPUTED_VALUE"""),5.0)</f>
        <v>5</v>
      </c>
      <c r="H1083" s="138">
        <f>IFERROR(__xludf.DUMMYFUNCTION("""COMPUTED_VALUE"""),5.0)</f>
        <v>5</v>
      </c>
      <c r="I1083" s="138">
        <f>IFERROR(__xludf.DUMMYFUNCTION("""COMPUTED_VALUE"""),5.0)</f>
        <v>5</v>
      </c>
      <c r="J1083" s="138">
        <f>IFERROR(__xludf.DUMMYFUNCTION("""COMPUTED_VALUE"""),5.0)</f>
        <v>5</v>
      </c>
      <c r="K1083" s="138">
        <f>IFERROR(__xludf.DUMMYFUNCTION("""COMPUTED_VALUE"""),5.0)</f>
        <v>5</v>
      </c>
      <c r="L1083" s="138">
        <v>34.0</v>
      </c>
      <c r="M1083" s="140" t="str">
        <f>VLOOKUP(text(D1083, "#"),'Master Table'!$A:$F, 6, FALSE)</f>
        <v>G-9</v>
      </c>
      <c r="N1083" s="141"/>
      <c r="O1083" s="142" t="str">
        <f t="shared" si="1"/>
        <v/>
      </c>
      <c r="P1083" s="143" t="str">
        <f>IF(ISNA(VLOOKUP(CONCAT(M1083,C1083), 'Judge Count DO NOT EDIT'!H:H, 1, FALSE)), "ERROR","")</f>
        <v/>
      </c>
      <c r="Q1083" s="141"/>
      <c r="R1083" s="143"/>
      <c r="S1083" s="139" t="str">
        <f t="shared" si="2"/>
        <v>1010451</v>
      </c>
      <c r="T1083" s="141"/>
    </row>
    <row r="1084">
      <c r="A1084" s="137">
        <f>IFERROR(__xludf.DUMMYFUNCTION("""COMPUTED_VALUE"""),45352.57182819444)</f>
        <v>45352.57183</v>
      </c>
      <c r="B1084" s="138" t="str">
        <f>IFERROR(__xludf.DUMMYFUNCTION("""COMPUTED_VALUE"""),"Juanjuan")</f>
        <v>Juanjuan</v>
      </c>
      <c r="C1084" s="138">
        <f>IFERROR(__xludf.DUMMYFUNCTION("""COMPUTED_VALUE"""),1015.0)</f>
        <v>1015</v>
      </c>
      <c r="D1084" s="139">
        <f>IFERROR(__xludf.DUMMYFUNCTION("""COMPUTED_VALUE"""),451.0)</f>
        <v>451</v>
      </c>
      <c r="E1084" s="138">
        <f>IFERROR(__xludf.DUMMYFUNCTION("""COMPUTED_VALUE"""),5.0)</f>
        <v>5</v>
      </c>
      <c r="F1084" s="138">
        <f>IFERROR(__xludf.DUMMYFUNCTION("""COMPUTED_VALUE"""),5.0)</f>
        <v>5</v>
      </c>
      <c r="G1084" s="138">
        <f>IFERROR(__xludf.DUMMYFUNCTION("""COMPUTED_VALUE"""),4.0)</f>
        <v>4</v>
      </c>
      <c r="H1084" s="138">
        <f>IFERROR(__xludf.DUMMYFUNCTION("""COMPUTED_VALUE"""),5.0)</f>
        <v>5</v>
      </c>
      <c r="I1084" s="138">
        <f>IFERROR(__xludf.DUMMYFUNCTION("""COMPUTED_VALUE"""),5.0)</f>
        <v>5</v>
      </c>
      <c r="J1084" s="138">
        <f>IFERROR(__xludf.DUMMYFUNCTION("""COMPUTED_VALUE"""),5.0)</f>
        <v>5</v>
      </c>
      <c r="K1084" s="138">
        <f>IFERROR(__xludf.DUMMYFUNCTION("""COMPUTED_VALUE"""),5.0)</f>
        <v>5</v>
      </c>
      <c r="L1084" s="138">
        <v>34.0</v>
      </c>
      <c r="M1084" s="140" t="str">
        <f>VLOOKUP(text(D1084, "#"),'Master Table'!$A:$F, 6, FALSE)</f>
        <v>G-9</v>
      </c>
      <c r="N1084" s="141"/>
      <c r="O1084" s="142" t="str">
        <f t="shared" si="1"/>
        <v/>
      </c>
      <c r="P1084" s="143" t="str">
        <f>IF(ISNA(VLOOKUP(CONCAT(M1084,C1084), 'Judge Count DO NOT EDIT'!H:H, 1, FALSE)), "ERROR","")</f>
        <v/>
      </c>
      <c r="Q1084" s="141"/>
      <c r="R1084" s="143"/>
      <c r="S1084" s="139" t="str">
        <f t="shared" si="2"/>
        <v>1015451</v>
      </c>
      <c r="T1084" s="141"/>
    </row>
    <row r="1085">
      <c r="A1085" s="137">
        <f>IFERROR(__xludf.DUMMYFUNCTION("""COMPUTED_VALUE"""),45352.62592672453)</f>
        <v>45352.62593</v>
      </c>
      <c r="B1085" s="138" t="str">
        <f>IFERROR(__xludf.DUMMYFUNCTION("""COMPUTED_VALUE"""),"Crystal English")</f>
        <v>Crystal English</v>
      </c>
      <c r="C1085" s="138">
        <f>IFERROR(__xludf.DUMMYFUNCTION("""COMPUTED_VALUE"""),1032.0)</f>
        <v>1032</v>
      </c>
      <c r="D1085" s="139">
        <f>IFERROR(__xludf.DUMMYFUNCTION("""COMPUTED_VALUE"""),451.0)</f>
        <v>451</v>
      </c>
      <c r="E1085" s="138">
        <f>IFERROR(__xludf.DUMMYFUNCTION("""COMPUTED_VALUE"""),4.0)</f>
        <v>4</v>
      </c>
      <c r="F1085" s="138">
        <f>IFERROR(__xludf.DUMMYFUNCTION("""COMPUTED_VALUE"""),5.0)</f>
        <v>5</v>
      </c>
      <c r="G1085" s="138">
        <f>IFERROR(__xludf.DUMMYFUNCTION("""COMPUTED_VALUE"""),4.0)</f>
        <v>4</v>
      </c>
      <c r="H1085" s="138">
        <f>IFERROR(__xludf.DUMMYFUNCTION("""COMPUTED_VALUE"""),4.0)</f>
        <v>4</v>
      </c>
      <c r="I1085" s="138">
        <f>IFERROR(__xludf.DUMMYFUNCTION("""COMPUTED_VALUE"""),5.0)</f>
        <v>5</v>
      </c>
      <c r="J1085" s="138">
        <f>IFERROR(__xludf.DUMMYFUNCTION("""COMPUTED_VALUE"""),4.0)</f>
        <v>4</v>
      </c>
      <c r="K1085" s="138">
        <f>IFERROR(__xludf.DUMMYFUNCTION("""COMPUTED_VALUE"""),5.0)</f>
        <v>5</v>
      </c>
      <c r="L1085" s="138">
        <v>31.0</v>
      </c>
      <c r="M1085" s="140" t="str">
        <f>VLOOKUP(text(D1085, "#"),'Master Table'!$A:$F, 6, FALSE)</f>
        <v>G-9</v>
      </c>
      <c r="N1085" s="141" t="str">
        <f>IFERROR(__xludf.DUMMYFUNCTION("""COMPUTED_VALUE"""),"Very good job answering some difficult questions regarding methods. The only critque would be to maybe consider adding information about the  outliers in the data and possible effects (skewness, etc.)")</f>
        <v>Very good job answering some difficult questions regarding methods. The only critque would be to maybe consider adding information about the  outliers in the data and possible effects (skewness, etc.)</v>
      </c>
      <c r="O1085" s="142" t="str">
        <f t="shared" si="1"/>
        <v/>
      </c>
      <c r="P1085" s="143" t="str">
        <f>IF(ISNA(VLOOKUP(CONCAT(M1085,C1085), 'Judge Count DO NOT EDIT'!H:H, 1, FALSE)), "ERROR","")</f>
        <v/>
      </c>
      <c r="Q1085" s="141"/>
      <c r="R1085" s="143"/>
      <c r="S1085" s="139" t="str">
        <f t="shared" si="2"/>
        <v>1032451</v>
      </c>
      <c r="T1085" s="141"/>
    </row>
    <row r="1086">
      <c r="A1086" s="137">
        <f>IFERROR(__xludf.DUMMYFUNCTION("""COMPUTED_VALUE"""),45352.637137314814)</f>
        <v>45352.63714</v>
      </c>
      <c r="B1086" s="138" t="str">
        <f>IFERROR(__xludf.DUMMYFUNCTION("""COMPUTED_VALUE"""),"Jing Zhao")</f>
        <v>Jing Zhao</v>
      </c>
      <c r="C1086" s="138">
        <f>IFERROR(__xludf.DUMMYFUNCTION("""COMPUTED_VALUE"""),1068.0)</f>
        <v>1068</v>
      </c>
      <c r="D1086" s="139">
        <f>IFERROR(__xludf.DUMMYFUNCTION("""COMPUTED_VALUE"""),451.0)</f>
        <v>451</v>
      </c>
      <c r="E1086" s="138">
        <f>IFERROR(__xludf.DUMMYFUNCTION("""COMPUTED_VALUE"""),5.0)</f>
        <v>5</v>
      </c>
      <c r="F1086" s="138">
        <f>IFERROR(__xludf.DUMMYFUNCTION("""COMPUTED_VALUE"""),5.0)</f>
        <v>5</v>
      </c>
      <c r="G1086" s="138">
        <f>IFERROR(__xludf.DUMMYFUNCTION("""COMPUTED_VALUE"""),4.0)</f>
        <v>4</v>
      </c>
      <c r="H1086" s="138">
        <f>IFERROR(__xludf.DUMMYFUNCTION("""COMPUTED_VALUE"""),5.0)</f>
        <v>5</v>
      </c>
      <c r="I1086" s="138">
        <f>IFERROR(__xludf.DUMMYFUNCTION("""COMPUTED_VALUE"""),4.0)</f>
        <v>4</v>
      </c>
      <c r="J1086" s="138">
        <f>IFERROR(__xludf.DUMMYFUNCTION("""COMPUTED_VALUE"""),5.0)</f>
        <v>5</v>
      </c>
      <c r="K1086" s="138">
        <f>IFERROR(__xludf.DUMMYFUNCTION("""COMPUTED_VALUE"""),5.0)</f>
        <v>5</v>
      </c>
      <c r="L1086" s="138">
        <v>33.0</v>
      </c>
      <c r="M1086" s="140" t="str">
        <f>VLOOKUP(text(D1086, "#"),'Master Table'!$A:$F, 6, FALSE)</f>
        <v>G-9</v>
      </c>
      <c r="N1086" s="141" t="str">
        <f>IFERROR(__xludf.DUMMYFUNCTION("""COMPUTED_VALUE"""),"It is a trendy topic to use deep learning. Great pioneering work.")</f>
        <v>It is a trendy topic to use deep learning. Great pioneering work.</v>
      </c>
      <c r="O1086" s="142" t="str">
        <f t="shared" si="1"/>
        <v/>
      </c>
      <c r="P1086" s="143" t="str">
        <f>IF(ISNA(VLOOKUP(CONCAT(M1086,C1086), 'Judge Count DO NOT EDIT'!H:H, 1, FALSE)), "ERROR","")</f>
        <v/>
      </c>
      <c r="Q1086" s="141"/>
      <c r="R1086" s="143"/>
      <c r="S1086" s="139" t="str">
        <f t="shared" si="2"/>
        <v>1068451</v>
      </c>
      <c r="T1086" s="141"/>
    </row>
    <row r="1087">
      <c r="A1087" s="137">
        <f>IFERROR(__xludf.DUMMYFUNCTION("""COMPUTED_VALUE"""),45352.5692215625)</f>
        <v>45352.56922</v>
      </c>
      <c r="B1087" s="138" t="str">
        <f>IFERROR(__xludf.DUMMYFUNCTION("""COMPUTED_VALUE"""),"Natalie Gude")</f>
        <v>Natalie Gude</v>
      </c>
      <c r="C1087" s="138">
        <f>IFERROR(__xludf.DUMMYFUNCTION("""COMPUTED_VALUE"""),1010.0)</f>
        <v>1010</v>
      </c>
      <c r="D1087" s="139">
        <f>IFERROR(__xludf.DUMMYFUNCTION("""COMPUTED_VALUE"""),452.0)</f>
        <v>452</v>
      </c>
      <c r="E1087" s="138">
        <f>IFERROR(__xludf.DUMMYFUNCTION("""COMPUTED_VALUE"""),4.0)</f>
        <v>4</v>
      </c>
      <c r="F1087" s="138">
        <f>IFERROR(__xludf.DUMMYFUNCTION("""COMPUTED_VALUE"""),5.0)</f>
        <v>5</v>
      </c>
      <c r="G1087" s="138">
        <f>IFERROR(__xludf.DUMMYFUNCTION("""COMPUTED_VALUE"""),5.0)</f>
        <v>5</v>
      </c>
      <c r="H1087" s="138">
        <f>IFERROR(__xludf.DUMMYFUNCTION("""COMPUTED_VALUE"""),5.0)</f>
        <v>5</v>
      </c>
      <c r="I1087" s="138">
        <f>IFERROR(__xludf.DUMMYFUNCTION("""COMPUTED_VALUE"""),5.0)</f>
        <v>5</v>
      </c>
      <c r="J1087" s="138">
        <f>IFERROR(__xludf.DUMMYFUNCTION("""COMPUTED_VALUE"""),4.0)</f>
        <v>4</v>
      </c>
      <c r="K1087" s="138">
        <f>IFERROR(__xludf.DUMMYFUNCTION("""COMPUTED_VALUE"""),5.0)</f>
        <v>5</v>
      </c>
      <c r="L1087" s="138">
        <v>33.0</v>
      </c>
      <c r="M1087" s="140" t="str">
        <f>VLOOKUP(text(D1087, "#"),'Master Table'!$A:$F, 6, FALSE)</f>
        <v>G-9</v>
      </c>
      <c r="N1087" s="141"/>
      <c r="O1087" s="142" t="str">
        <f t="shared" si="1"/>
        <v/>
      </c>
      <c r="P1087" s="143" t="str">
        <f>IF(ISNA(VLOOKUP(CONCAT(M1087,C1087), 'Judge Count DO NOT EDIT'!H:H, 1, FALSE)), "ERROR","")</f>
        <v/>
      </c>
      <c r="Q1087" s="141"/>
      <c r="R1087" s="143"/>
      <c r="S1087" s="139" t="str">
        <f t="shared" si="2"/>
        <v>1010452</v>
      </c>
      <c r="T1087" s="141"/>
    </row>
    <row r="1088">
      <c r="A1088" s="137">
        <f>IFERROR(__xludf.DUMMYFUNCTION("""COMPUTED_VALUE"""),45352.58531782407)</f>
        <v>45352.58532</v>
      </c>
      <c r="B1088" s="138" t="str">
        <f>IFERROR(__xludf.DUMMYFUNCTION("""COMPUTED_VALUE"""),"Juanjuan Fan")</f>
        <v>Juanjuan Fan</v>
      </c>
      <c r="C1088" s="138">
        <f>IFERROR(__xludf.DUMMYFUNCTION("""COMPUTED_VALUE"""),1015.0)</f>
        <v>1015</v>
      </c>
      <c r="D1088" s="139">
        <f>IFERROR(__xludf.DUMMYFUNCTION("""COMPUTED_VALUE"""),452.0)</f>
        <v>452</v>
      </c>
      <c r="E1088" s="138">
        <f>IFERROR(__xludf.DUMMYFUNCTION("""COMPUTED_VALUE"""),4.0)</f>
        <v>4</v>
      </c>
      <c r="F1088" s="138">
        <f>IFERROR(__xludf.DUMMYFUNCTION("""COMPUTED_VALUE"""),5.0)</f>
        <v>5</v>
      </c>
      <c r="G1088" s="138">
        <f>IFERROR(__xludf.DUMMYFUNCTION("""COMPUTED_VALUE"""),5.0)</f>
        <v>5</v>
      </c>
      <c r="H1088" s="138">
        <f>IFERROR(__xludf.DUMMYFUNCTION("""COMPUTED_VALUE"""),4.0)</f>
        <v>4</v>
      </c>
      <c r="I1088" s="138">
        <f>IFERROR(__xludf.DUMMYFUNCTION("""COMPUTED_VALUE"""),4.0)</f>
        <v>4</v>
      </c>
      <c r="J1088" s="138">
        <f>IFERROR(__xludf.DUMMYFUNCTION("""COMPUTED_VALUE"""),4.0)</f>
        <v>4</v>
      </c>
      <c r="K1088" s="138">
        <f>IFERROR(__xludf.DUMMYFUNCTION("""COMPUTED_VALUE"""),5.0)</f>
        <v>5</v>
      </c>
      <c r="L1088" s="138">
        <v>31.0</v>
      </c>
      <c r="M1088" s="140" t="str">
        <f>VLOOKUP(text(D1088, "#"),'Master Table'!$A:$F, 6, FALSE)</f>
        <v>G-9</v>
      </c>
      <c r="N1088" s="141"/>
      <c r="O1088" s="142" t="str">
        <f t="shared" si="1"/>
        <v/>
      </c>
      <c r="P1088" s="143" t="str">
        <f>IF(ISNA(VLOOKUP(CONCAT(M1088,C1088), 'Judge Count DO NOT EDIT'!H:H, 1, FALSE)), "ERROR","")</f>
        <v/>
      </c>
      <c r="Q1088" s="141"/>
      <c r="R1088" s="143"/>
      <c r="S1088" s="139" t="str">
        <f t="shared" si="2"/>
        <v>1015452</v>
      </c>
      <c r="T1088" s="141"/>
    </row>
    <row r="1089">
      <c r="A1089" s="137">
        <f>IFERROR(__xludf.DUMMYFUNCTION("""COMPUTED_VALUE"""),45352.62996385417)</f>
        <v>45352.62996</v>
      </c>
      <c r="B1089" s="138" t="str">
        <f>IFERROR(__xludf.DUMMYFUNCTION("""COMPUTED_VALUE"""),"Crystal English")</f>
        <v>Crystal English</v>
      </c>
      <c r="C1089" s="138">
        <f>IFERROR(__xludf.DUMMYFUNCTION("""COMPUTED_VALUE"""),1032.0)</f>
        <v>1032</v>
      </c>
      <c r="D1089" s="139">
        <f>IFERROR(__xludf.DUMMYFUNCTION("""COMPUTED_VALUE"""),452.0)</f>
        <v>452</v>
      </c>
      <c r="E1089" s="138">
        <f>IFERROR(__xludf.DUMMYFUNCTION("""COMPUTED_VALUE"""),4.0)</f>
        <v>4</v>
      </c>
      <c r="F1089" s="138">
        <f>IFERROR(__xludf.DUMMYFUNCTION("""COMPUTED_VALUE"""),5.0)</f>
        <v>5</v>
      </c>
      <c r="G1089" s="138">
        <f>IFERROR(__xludf.DUMMYFUNCTION("""COMPUTED_VALUE"""),4.0)</f>
        <v>4</v>
      </c>
      <c r="H1089" s="138">
        <f>IFERROR(__xludf.DUMMYFUNCTION("""COMPUTED_VALUE"""),5.0)</f>
        <v>5</v>
      </c>
      <c r="I1089" s="138">
        <f>IFERROR(__xludf.DUMMYFUNCTION("""COMPUTED_VALUE"""),5.0)</f>
        <v>5</v>
      </c>
      <c r="J1089" s="138">
        <f>IFERROR(__xludf.DUMMYFUNCTION("""COMPUTED_VALUE"""),5.0)</f>
        <v>5</v>
      </c>
      <c r="K1089" s="138">
        <f>IFERROR(__xludf.DUMMYFUNCTION("""COMPUTED_VALUE"""),5.0)</f>
        <v>5</v>
      </c>
      <c r="L1089" s="138">
        <v>33.0</v>
      </c>
      <c r="M1089" s="140" t="str">
        <f>VLOOKUP(text(D1089, "#"),'Master Table'!$A:$F, 6, FALSE)</f>
        <v>G-9</v>
      </c>
      <c r="N1089" s="141" t="str">
        <f>IFERROR(__xludf.DUMMYFUNCTION("""COMPUTED_VALUE"""),"A noteably remarkable poster presentation. Wondering why she did not do this as an oral presentation. She definitely knew her material well beyond what was on the text on the poster and was able to answer challenging questions. One critique, would be to u"&amp;"se a different color scheme to make it easier to differentiate between the text and the images. Other than that, wonderful work.")</f>
        <v>A noteably remarkable poster presentation. Wondering why she did not do this as an oral presentation. She definitely knew her material well beyond what was on the text on the poster and was able to answer challenging questions. One critique, would be to use a different color scheme to make it easier to differentiate between the text and the images. Other than that, wonderful work.</v>
      </c>
      <c r="O1089" s="142" t="str">
        <f t="shared" si="1"/>
        <v/>
      </c>
      <c r="P1089" s="143" t="str">
        <f>IF(ISNA(VLOOKUP(CONCAT(M1089,C1089), 'Judge Count DO NOT EDIT'!H:H, 1, FALSE)), "ERROR","")</f>
        <v/>
      </c>
      <c r="R1089" s="143"/>
      <c r="S1089" s="139" t="str">
        <f t="shared" si="2"/>
        <v>1032452</v>
      </c>
      <c r="T1089" s="141"/>
    </row>
    <row r="1090">
      <c r="A1090" s="137">
        <f>IFERROR(__xludf.DUMMYFUNCTION("""COMPUTED_VALUE"""),45352.63830219908)</f>
        <v>45352.6383</v>
      </c>
      <c r="B1090" s="138" t="str">
        <f>IFERROR(__xludf.DUMMYFUNCTION("""COMPUTED_VALUE"""),"Jing Zhao")</f>
        <v>Jing Zhao</v>
      </c>
      <c r="C1090" s="138">
        <f>IFERROR(__xludf.DUMMYFUNCTION("""COMPUTED_VALUE"""),1068.0)</f>
        <v>1068</v>
      </c>
      <c r="D1090" s="139">
        <f>IFERROR(__xludf.DUMMYFUNCTION("""COMPUTED_VALUE"""),452.0)</f>
        <v>452</v>
      </c>
      <c r="E1090" s="138">
        <f>IFERROR(__xludf.DUMMYFUNCTION("""COMPUTED_VALUE"""),3.0)</f>
        <v>3</v>
      </c>
      <c r="F1090" s="138">
        <f>IFERROR(__xludf.DUMMYFUNCTION("""COMPUTED_VALUE"""),5.0)</f>
        <v>5</v>
      </c>
      <c r="G1090" s="138">
        <f>IFERROR(__xludf.DUMMYFUNCTION("""COMPUTED_VALUE"""),4.0)</f>
        <v>4</v>
      </c>
      <c r="H1090" s="138">
        <f>IFERROR(__xludf.DUMMYFUNCTION("""COMPUTED_VALUE"""),4.0)</f>
        <v>4</v>
      </c>
      <c r="I1090" s="138">
        <f>IFERROR(__xludf.DUMMYFUNCTION("""COMPUTED_VALUE"""),4.0)</f>
        <v>4</v>
      </c>
      <c r="J1090" s="138">
        <f>IFERROR(__xludf.DUMMYFUNCTION("""COMPUTED_VALUE"""),4.0)</f>
        <v>4</v>
      </c>
      <c r="K1090" s="138">
        <f>IFERROR(__xludf.DUMMYFUNCTION("""COMPUTED_VALUE"""),4.0)</f>
        <v>4</v>
      </c>
      <c r="L1090" s="138">
        <v>28.0</v>
      </c>
      <c r="M1090" s="140" t="str">
        <f>VLOOKUP(text(D1090, "#"),'Master Table'!$A:$F, 6, FALSE)</f>
        <v>G-9</v>
      </c>
      <c r="N1090" s="141" t="str">
        <f>IFERROR(__xludf.DUMMYFUNCTION("""COMPUTED_VALUE"""),"The presenter is confident and knows the topic well. The poster could be improved.")</f>
        <v>The presenter is confident and knows the topic well. The poster could be improved.</v>
      </c>
      <c r="O1090" s="142" t="str">
        <f t="shared" si="1"/>
        <v/>
      </c>
      <c r="P1090" s="143" t="str">
        <f>IF(ISNA(VLOOKUP(CONCAT(M1090,C1090), 'Judge Count DO NOT EDIT'!H:H, 1, FALSE)), "ERROR","")</f>
        <v/>
      </c>
      <c r="Q1090" s="141"/>
      <c r="R1090" s="143"/>
      <c r="S1090" s="139" t="str">
        <f t="shared" si="2"/>
        <v>1068452</v>
      </c>
      <c r="T1090" s="141"/>
    </row>
    <row r="1091">
      <c r="A1091" s="137">
        <f>IFERROR(__xludf.DUMMYFUNCTION("""COMPUTED_VALUE"""),45352.56981872686)</f>
        <v>45352.56982</v>
      </c>
      <c r="B1091" s="138" t="str">
        <f>IFERROR(__xludf.DUMMYFUNCTION("""COMPUTED_VALUE"""),"Natalie Gude")</f>
        <v>Natalie Gude</v>
      </c>
      <c r="C1091" s="138">
        <f>IFERROR(__xludf.DUMMYFUNCTION("""COMPUTED_VALUE"""),1010.0)</f>
        <v>1010</v>
      </c>
      <c r="D1091" s="139">
        <f>IFERROR(__xludf.DUMMYFUNCTION("""COMPUTED_VALUE"""),453.0)</f>
        <v>453</v>
      </c>
      <c r="E1091" s="138">
        <f>IFERROR(__xludf.DUMMYFUNCTION("""COMPUTED_VALUE"""),4.0)</f>
        <v>4</v>
      </c>
      <c r="F1091" s="138">
        <f>IFERROR(__xludf.DUMMYFUNCTION("""COMPUTED_VALUE"""),4.0)</f>
        <v>4</v>
      </c>
      <c r="G1091" s="138">
        <f>IFERROR(__xludf.DUMMYFUNCTION("""COMPUTED_VALUE"""),5.0)</f>
        <v>5</v>
      </c>
      <c r="H1091" s="138">
        <f>IFERROR(__xludf.DUMMYFUNCTION("""COMPUTED_VALUE"""),4.0)</f>
        <v>4</v>
      </c>
      <c r="I1091" s="138">
        <f>IFERROR(__xludf.DUMMYFUNCTION("""COMPUTED_VALUE"""),5.0)</f>
        <v>5</v>
      </c>
      <c r="J1091" s="138">
        <f>IFERROR(__xludf.DUMMYFUNCTION("""COMPUTED_VALUE"""),5.0)</f>
        <v>5</v>
      </c>
      <c r="K1091" s="138">
        <f>IFERROR(__xludf.DUMMYFUNCTION("""COMPUTED_VALUE"""),5.0)</f>
        <v>5</v>
      </c>
      <c r="L1091" s="138">
        <v>32.0</v>
      </c>
      <c r="M1091" s="140" t="str">
        <f>VLOOKUP(text(D1091, "#"),'Master Table'!$A:$F, 6, FALSE)</f>
        <v>G-9</v>
      </c>
      <c r="N1091" s="141"/>
      <c r="O1091" s="142" t="str">
        <f t="shared" si="1"/>
        <v/>
      </c>
      <c r="P1091" s="143" t="str">
        <f>IF(ISNA(VLOOKUP(CONCAT(M1091,C1091), 'Judge Count DO NOT EDIT'!H:H, 1, FALSE)), "ERROR","")</f>
        <v/>
      </c>
      <c r="Q1091" s="141"/>
      <c r="R1091" s="143"/>
      <c r="S1091" s="139" t="str">
        <f t="shared" si="2"/>
        <v>1010453</v>
      </c>
      <c r="T1091" s="141"/>
    </row>
    <row r="1092">
      <c r="A1092" s="137">
        <f>IFERROR(__xludf.DUMMYFUNCTION("""COMPUTED_VALUE"""),45352.6393362963)</f>
        <v>45352.63934</v>
      </c>
      <c r="B1092" s="138" t="str">
        <f>IFERROR(__xludf.DUMMYFUNCTION("""COMPUTED_VALUE"""),"Jing Zhao")</f>
        <v>Jing Zhao</v>
      </c>
      <c r="C1092" s="138">
        <f>IFERROR(__xludf.DUMMYFUNCTION("""COMPUTED_VALUE"""),1068.0)</f>
        <v>1068</v>
      </c>
      <c r="D1092" s="139">
        <f>IFERROR(__xludf.DUMMYFUNCTION("""COMPUTED_VALUE"""),453.0)</f>
        <v>453</v>
      </c>
      <c r="E1092" s="138">
        <f>IFERROR(__xludf.DUMMYFUNCTION("""COMPUTED_VALUE"""),3.0)</f>
        <v>3</v>
      </c>
      <c r="F1092" s="138">
        <f>IFERROR(__xludf.DUMMYFUNCTION("""COMPUTED_VALUE"""),4.0)</f>
        <v>4</v>
      </c>
      <c r="G1092" s="138">
        <f>IFERROR(__xludf.DUMMYFUNCTION("""COMPUTED_VALUE"""),4.0)</f>
        <v>4</v>
      </c>
      <c r="H1092" s="138">
        <f>IFERROR(__xludf.DUMMYFUNCTION("""COMPUTED_VALUE"""),4.0)</f>
        <v>4</v>
      </c>
      <c r="I1092" s="138">
        <f>IFERROR(__xludf.DUMMYFUNCTION("""COMPUTED_VALUE"""),4.0)</f>
        <v>4</v>
      </c>
      <c r="J1092" s="138">
        <f>IFERROR(__xludf.DUMMYFUNCTION("""COMPUTED_VALUE"""),4.0)</f>
        <v>4</v>
      </c>
      <c r="K1092" s="138">
        <f>IFERROR(__xludf.DUMMYFUNCTION("""COMPUTED_VALUE"""),4.0)</f>
        <v>4</v>
      </c>
      <c r="L1092" s="138">
        <v>27.0</v>
      </c>
      <c r="M1092" s="140" t="str">
        <f>VLOOKUP(text(D1092, "#"),'Master Table'!$A:$F, 6, FALSE)</f>
        <v>G-9</v>
      </c>
      <c r="N1092" s="141" t="str">
        <f>IFERROR(__xludf.DUMMYFUNCTION("""COMPUTED_VALUE"""),"The presenter presented the topic clearly. The slides could be improved.")</f>
        <v>The presenter presented the topic clearly. The slides could be improved.</v>
      </c>
      <c r="O1092" s="142" t="str">
        <f t="shared" si="1"/>
        <v/>
      </c>
      <c r="P1092" s="143" t="str">
        <f>IF(ISNA(VLOOKUP(CONCAT(M1092,C1092), 'Judge Count DO NOT EDIT'!H:H, 1, FALSE)), "ERROR","")</f>
        <v/>
      </c>
      <c r="Q1092" s="141"/>
      <c r="R1092" s="143"/>
      <c r="S1092" s="139" t="str">
        <f t="shared" si="2"/>
        <v>1068453</v>
      </c>
      <c r="T1092" s="141"/>
    </row>
    <row r="1093">
      <c r="A1093" s="137">
        <f>IFERROR(__xludf.DUMMYFUNCTION("""COMPUTED_VALUE"""),45352.66026618055)</f>
        <v>45352.66027</v>
      </c>
      <c r="B1093" s="138" t="str">
        <f>IFERROR(__xludf.DUMMYFUNCTION("""COMPUTED_VALUE"""),"Juanjuan Fan")</f>
        <v>Juanjuan Fan</v>
      </c>
      <c r="C1093" s="138">
        <f>IFERROR(__xludf.DUMMYFUNCTION("""COMPUTED_VALUE"""),1015.0)</f>
        <v>1015</v>
      </c>
      <c r="D1093" s="139">
        <f>IFERROR(__xludf.DUMMYFUNCTION("""COMPUTED_VALUE"""),453.0)</f>
        <v>453</v>
      </c>
      <c r="E1093" s="138">
        <f>IFERROR(__xludf.DUMMYFUNCTION("""COMPUTED_VALUE"""),3.0)</f>
        <v>3</v>
      </c>
      <c r="F1093" s="138">
        <f>IFERROR(__xludf.DUMMYFUNCTION("""COMPUTED_VALUE"""),4.0)</f>
        <v>4</v>
      </c>
      <c r="G1093" s="138">
        <f>IFERROR(__xludf.DUMMYFUNCTION("""COMPUTED_VALUE"""),4.0)</f>
        <v>4</v>
      </c>
      <c r="H1093" s="138">
        <f>IFERROR(__xludf.DUMMYFUNCTION("""COMPUTED_VALUE"""),3.0)</f>
        <v>3</v>
      </c>
      <c r="I1093" s="138">
        <f>IFERROR(__xludf.DUMMYFUNCTION("""COMPUTED_VALUE"""),3.0)</f>
        <v>3</v>
      </c>
      <c r="J1093" s="138">
        <f>IFERROR(__xludf.DUMMYFUNCTION("""COMPUTED_VALUE"""),4.0)</f>
        <v>4</v>
      </c>
      <c r="K1093" s="138">
        <f>IFERROR(__xludf.DUMMYFUNCTION("""COMPUTED_VALUE"""),4.0)</f>
        <v>4</v>
      </c>
      <c r="L1093" s="138">
        <v>25.0</v>
      </c>
      <c r="M1093" s="140" t="str">
        <f>VLOOKUP(text(D1093, "#"),'Master Table'!$A:$F, 6, FALSE)</f>
        <v>G-9</v>
      </c>
      <c r="N1093" s="141"/>
      <c r="O1093" s="142" t="str">
        <f t="shared" si="1"/>
        <v/>
      </c>
      <c r="P1093" s="143" t="str">
        <f>IF(ISNA(VLOOKUP(CONCAT(M1093,C1093), 'Judge Count DO NOT EDIT'!H:H, 1, FALSE)), "ERROR","")</f>
        <v/>
      </c>
      <c r="Q1093" s="141"/>
      <c r="R1093" s="143"/>
      <c r="S1093" s="139" t="str">
        <f t="shared" si="2"/>
        <v>1015453</v>
      </c>
      <c r="T1093" s="141"/>
    </row>
    <row r="1094">
      <c r="A1094" s="137">
        <f>IFERROR(__xludf.DUMMYFUNCTION("""COMPUTED_VALUE"""),45352.57053096065)</f>
        <v>45352.57053</v>
      </c>
      <c r="B1094" s="138" t="str">
        <f>IFERROR(__xludf.DUMMYFUNCTION("""COMPUTED_VALUE"""),"Natalie Gude")</f>
        <v>Natalie Gude</v>
      </c>
      <c r="C1094" s="138">
        <f>IFERROR(__xludf.DUMMYFUNCTION("""COMPUTED_VALUE"""),1010.0)</f>
        <v>1010</v>
      </c>
      <c r="D1094" s="139">
        <f>IFERROR(__xludf.DUMMYFUNCTION("""COMPUTED_VALUE"""),454.0)</f>
        <v>454</v>
      </c>
      <c r="E1094" s="138">
        <f>IFERROR(__xludf.DUMMYFUNCTION("""COMPUTED_VALUE"""),4.0)</f>
        <v>4</v>
      </c>
      <c r="F1094" s="138">
        <f>IFERROR(__xludf.DUMMYFUNCTION("""COMPUTED_VALUE"""),4.0)</f>
        <v>4</v>
      </c>
      <c r="G1094" s="138">
        <f>IFERROR(__xludf.DUMMYFUNCTION("""COMPUTED_VALUE"""),5.0)</f>
        <v>5</v>
      </c>
      <c r="H1094" s="138">
        <f>IFERROR(__xludf.DUMMYFUNCTION("""COMPUTED_VALUE"""),5.0)</f>
        <v>5</v>
      </c>
      <c r="I1094" s="138">
        <f>IFERROR(__xludf.DUMMYFUNCTION("""COMPUTED_VALUE"""),5.0)</f>
        <v>5</v>
      </c>
      <c r="J1094" s="138">
        <f>IFERROR(__xludf.DUMMYFUNCTION("""COMPUTED_VALUE"""),4.0)</f>
        <v>4</v>
      </c>
      <c r="K1094" s="138">
        <f>IFERROR(__xludf.DUMMYFUNCTION("""COMPUTED_VALUE"""),5.0)</f>
        <v>5</v>
      </c>
      <c r="L1094" s="138">
        <v>32.0</v>
      </c>
      <c r="M1094" s="140" t="str">
        <f>VLOOKUP(text(D1094, "#"),'Master Table'!$A:$F, 6, FALSE)</f>
        <v>G-9</v>
      </c>
      <c r="N1094" s="141"/>
      <c r="O1094" s="142" t="str">
        <f t="shared" si="1"/>
        <v/>
      </c>
      <c r="P1094" s="143" t="str">
        <f>IF(ISNA(VLOOKUP(CONCAT(M1094,C1094), 'Judge Count DO NOT EDIT'!H:H, 1, FALSE)), "ERROR","")</f>
        <v/>
      </c>
      <c r="Q1094" s="141"/>
      <c r="R1094" s="143"/>
      <c r="S1094" s="139" t="str">
        <f t="shared" si="2"/>
        <v>1010454</v>
      </c>
      <c r="T1094" s="141"/>
    </row>
    <row r="1095">
      <c r="A1095" s="137">
        <f>IFERROR(__xludf.DUMMYFUNCTION("""COMPUTED_VALUE"""),45352.64063446759)</f>
        <v>45352.64063</v>
      </c>
      <c r="B1095" s="138" t="str">
        <f>IFERROR(__xludf.DUMMYFUNCTION("""COMPUTED_VALUE"""),"Jing Zhao")</f>
        <v>Jing Zhao</v>
      </c>
      <c r="C1095" s="138">
        <f>IFERROR(__xludf.DUMMYFUNCTION("""COMPUTED_VALUE"""),1068.0)</f>
        <v>1068</v>
      </c>
      <c r="D1095" s="139">
        <f>IFERROR(__xludf.DUMMYFUNCTION("""COMPUTED_VALUE"""),454.0)</f>
        <v>454</v>
      </c>
      <c r="E1095" s="138">
        <f>IFERROR(__xludf.DUMMYFUNCTION("""COMPUTED_VALUE"""),3.0)</f>
        <v>3</v>
      </c>
      <c r="F1095" s="138">
        <f>IFERROR(__xludf.DUMMYFUNCTION("""COMPUTED_VALUE"""),4.0)</f>
        <v>4</v>
      </c>
      <c r="G1095" s="138">
        <f>IFERROR(__xludf.DUMMYFUNCTION("""COMPUTED_VALUE"""),4.0)</f>
        <v>4</v>
      </c>
      <c r="H1095" s="138">
        <f>IFERROR(__xludf.DUMMYFUNCTION("""COMPUTED_VALUE"""),4.0)</f>
        <v>4</v>
      </c>
      <c r="I1095" s="138">
        <f>IFERROR(__xludf.DUMMYFUNCTION("""COMPUTED_VALUE"""),4.0)</f>
        <v>4</v>
      </c>
      <c r="J1095" s="138">
        <f>IFERROR(__xludf.DUMMYFUNCTION("""COMPUTED_VALUE"""),4.0)</f>
        <v>4</v>
      </c>
      <c r="K1095" s="138">
        <f>IFERROR(__xludf.DUMMYFUNCTION("""COMPUTED_VALUE"""),4.0)</f>
        <v>4</v>
      </c>
      <c r="L1095" s="138">
        <v>27.0</v>
      </c>
      <c r="M1095" s="140" t="str">
        <f>VLOOKUP(text(D1095, "#"),'Master Table'!$A:$F, 6, FALSE)</f>
        <v>G-9</v>
      </c>
      <c r="N1095" s="141" t="str">
        <f>IFERROR(__xludf.DUMMYFUNCTION("""COMPUTED_VALUE"""),"The flow cytomotry work is interesting. The project is at the beginning stage. ")</f>
        <v>The flow cytomotry work is interesting. The project is at the beginning stage. </v>
      </c>
      <c r="O1095" s="142" t="str">
        <f t="shared" si="1"/>
        <v/>
      </c>
      <c r="P1095" s="143" t="str">
        <f>IF(ISNA(VLOOKUP(CONCAT(M1095,C1095), 'Judge Count DO NOT EDIT'!H:H, 1, FALSE)), "ERROR","")</f>
        <v/>
      </c>
      <c r="Q1095" s="141"/>
      <c r="R1095" s="143"/>
      <c r="S1095" s="139" t="str">
        <f t="shared" si="2"/>
        <v>1068454</v>
      </c>
      <c r="T1095" s="141"/>
    </row>
    <row r="1096">
      <c r="A1096" s="137">
        <f>IFERROR(__xludf.DUMMYFUNCTION("""COMPUTED_VALUE"""),45352.66077475694)</f>
        <v>45352.66077</v>
      </c>
      <c r="B1096" s="138" t="str">
        <f>IFERROR(__xludf.DUMMYFUNCTION("""COMPUTED_VALUE"""),"Juanjuan Fan")</f>
        <v>Juanjuan Fan</v>
      </c>
      <c r="C1096" s="138">
        <f>IFERROR(__xludf.DUMMYFUNCTION("""COMPUTED_VALUE"""),1015.0)</f>
        <v>1015</v>
      </c>
      <c r="D1096" s="139">
        <f>IFERROR(__xludf.DUMMYFUNCTION("""COMPUTED_VALUE"""),454.0)</f>
        <v>454</v>
      </c>
      <c r="E1096" s="138">
        <f>IFERROR(__xludf.DUMMYFUNCTION("""COMPUTED_VALUE"""),3.0)</f>
        <v>3</v>
      </c>
      <c r="F1096" s="138">
        <f>IFERROR(__xludf.DUMMYFUNCTION("""COMPUTED_VALUE"""),4.0)</f>
        <v>4</v>
      </c>
      <c r="G1096" s="138">
        <f>IFERROR(__xludf.DUMMYFUNCTION("""COMPUTED_VALUE"""),3.0)</f>
        <v>3</v>
      </c>
      <c r="H1096" s="138">
        <f>IFERROR(__xludf.DUMMYFUNCTION("""COMPUTED_VALUE"""),4.0)</f>
        <v>4</v>
      </c>
      <c r="I1096" s="138">
        <f>IFERROR(__xludf.DUMMYFUNCTION("""COMPUTED_VALUE"""),3.0)</f>
        <v>3</v>
      </c>
      <c r="J1096" s="138">
        <f>IFERROR(__xludf.DUMMYFUNCTION("""COMPUTED_VALUE"""),4.0)</f>
        <v>4</v>
      </c>
      <c r="K1096" s="138">
        <f>IFERROR(__xludf.DUMMYFUNCTION("""COMPUTED_VALUE"""),4.0)</f>
        <v>4</v>
      </c>
      <c r="L1096" s="138">
        <v>25.0</v>
      </c>
      <c r="M1096" s="140" t="str">
        <f>VLOOKUP(text(D1096, "#"),'Master Table'!$A:$F, 6, FALSE)</f>
        <v>G-9</v>
      </c>
      <c r="N1096" s="141"/>
      <c r="O1096" s="142" t="str">
        <f t="shared" si="1"/>
        <v/>
      </c>
      <c r="P1096" s="143" t="str">
        <f>IF(ISNA(VLOOKUP(CONCAT(M1096,C1096), 'Judge Count DO NOT EDIT'!H:H, 1, FALSE)), "ERROR","")</f>
        <v/>
      </c>
      <c r="Q1096" s="141"/>
      <c r="R1096" s="143"/>
      <c r="S1096" s="139" t="str">
        <f t="shared" si="2"/>
        <v>1015454</v>
      </c>
      <c r="T1096" s="141"/>
    </row>
    <row r="1097">
      <c r="A1097" s="137">
        <f>IFERROR(__xludf.DUMMYFUNCTION("""COMPUTED_VALUE"""),45352.73943537037)</f>
        <v>45352.73944</v>
      </c>
      <c r="B1097" s="138" t="str">
        <f>IFERROR(__xludf.DUMMYFUNCTION("""COMPUTED_VALUE"""),"Crystal English")</f>
        <v>Crystal English</v>
      </c>
      <c r="C1097" s="138">
        <f>IFERROR(__xludf.DUMMYFUNCTION("""COMPUTED_VALUE"""),1032.0)</f>
        <v>1032</v>
      </c>
      <c r="D1097" s="139">
        <f>IFERROR(__xludf.DUMMYFUNCTION("""COMPUTED_VALUE"""),454.0)</f>
        <v>454</v>
      </c>
      <c r="E1097" s="138">
        <f>IFERROR(__xludf.DUMMYFUNCTION("""COMPUTED_VALUE"""),4.0)</f>
        <v>4</v>
      </c>
      <c r="F1097" s="138">
        <f>IFERROR(__xludf.DUMMYFUNCTION("""COMPUTED_VALUE"""),5.0)</f>
        <v>5</v>
      </c>
      <c r="G1097" s="138">
        <f>IFERROR(__xludf.DUMMYFUNCTION("""COMPUTED_VALUE"""),4.0)</f>
        <v>4</v>
      </c>
      <c r="H1097" s="138">
        <f>IFERROR(__xludf.DUMMYFUNCTION("""COMPUTED_VALUE"""),3.0)</f>
        <v>3</v>
      </c>
      <c r="I1097" s="138">
        <f>IFERROR(__xludf.DUMMYFUNCTION("""COMPUTED_VALUE"""),4.0)</f>
        <v>4</v>
      </c>
      <c r="J1097" s="138">
        <f>IFERROR(__xludf.DUMMYFUNCTION("""COMPUTED_VALUE"""),3.0)</f>
        <v>3</v>
      </c>
      <c r="K1097" s="138">
        <f>IFERROR(__xludf.DUMMYFUNCTION("""COMPUTED_VALUE"""),5.0)</f>
        <v>5</v>
      </c>
      <c r="L1097" s="138">
        <v>28.0</v>
      </c>
      <c r="M1097" s="140" t="str">
        <f>VLOOKUP(text(D1097, "#"),'Master Table'!$A:$F, 6, FALSE)</f>
        <v>G-9</v>
      </c>
      <c r="N1097" s="141" t="str">
        <f>IFERROR(__xludf.DUMMYFUNCTION("""COMPUTED_VALUE"""),"Such a great subject and though the presentation of the material was longer than anticipated, he did a very good job. A conderation would be to better illustrate the limitations of the findings, for example, the samples used were frozen and therefore may "&amp;"not have yielded the best results. Also, document the actual process  in the methods section, not the ideal process, unless it is shown in the further research section of the poster.")</f>
        <v>Such a great subject and though the presentation of the material was longer than anticipated, he did a very good job. A conderation would be to better illustrate the limitations of the findings, for example, the samples used were frozen and therefore may not have yielded the best results. Also, document the actual process  in the methods section, not the ideal process, unless it is shown in the further research section of the poster.</v>
      </c>
      <c r="O1097" s="142" t="str">
        <f t="shared" si="1"/>
        <v/>
      </c>
      <c r="P1097" s="143" t="str">
        <f>IF(ISNA(VLOOKUP(CONCAT(M1097,C1097), 'Judge Count DO NOT EDIT'!H:H, 1, FALSE)), "ERROR","")</f>
        <v/>
      </c>
      <c r="Q1097" s="141"/>
      <c r="R1097" s="143"/>
      <c r="S1097" s="139" t="str">
        <f t="shared" si="2"/>
        <v>1032454</v>
      </c>
      <c r="T1097" s="141"/>
    </row>
    <row r="1098">
      <c r="A1098" s="137">
        <f>IFERROR(__xludf.DUMMYFUNCTION("""COMPUTED_VALUE"""),45352.57128121528)</f>
        <v>45352.57128</v>
      </c>
      <c r="B1098" s="138" t="str">
        <f>IFERROR(__xludf.DUMMYFUNCTION("""COMPUTED_VALUE"""),"Natalie Gude")</f>
        <v>Natalie Gude</v>
      </c>
      <c r="C1098" s="138">
        <f>IFERROR(__xludf.DUMMYFUNCTION("""COMPUTED_VALUE"""),1010.0)</f>
        <v>1010</v>
      </c>
      <c r="D1098" s="139">
        <f>IFERROR(__xludf.DUMMYFUNCTION("""COMPUTED_VALUE"""),455.0)</f>
        <v>455</v>
      </c>
      <c r="E1098" s="138">
        <f>IFERROR(__xludf.DUMMYFUNCTION("""COMPUTED_VALUE"""),4.0)</f>
        <v>4</v>
      </c>
      <c r="F1098" s="138">
        <f>IFERROR(__xludf.DUMMYFUNCTION("""COMPUTED_VALUE"""),5.0)</f>
        <v>5</v>
      </c>
      <c r="G1098" s="138">
        <f>IFERROR(__xludf.DUMMYFUNCTION("""COMPUTED_VALUE"""),5.0)</f>
        <v>5</v>
      </c>
      <c r="H1098" s="138">
        <f>IFERROR(__xludf.DUMMYFUNCTION("""COMPUTED_VALUE"""),5.0)</f>
        <v>5</v>
      </c>
      <c r="I1098" s="138">
        <f>IFERROR(__xludf.DUMMYFUNCTION("""COMPUTED_VALUE"""),4.0)</f>
        <v>4</v>
      </c>
      <c r="J1098" s="138">
        <f>IFERROR(__xludf.DUMMYFUNCTION("""COMPUTED_VALUE"""),4.0)</f>
        <v>4</v>
      </c>
      <c r="K1098" s="138">
        <f>IFERROR(__xludf.DUMMYFUNCTION("""COMPUTED_VALUE"""),5.0)</f>
        <v>5</v>
      </c>
      <c r="L1098" s="138">
        <v>32.0</v>
      </c>
      <c r="M1098" s="140" t="str">
        <f>VLOOKUP(text(D1098, "#"),'Master Table'!$A:$F, 6, FALSE)</f>
        <v>G-9</v>
      </c>
      <c r="N1098" s="141"/>
      <c r="O1098" s="142" t="str">
        <f t="shared" si="1"/>
        <v/>
      </c>
      <c r="P1098" s="143" t="str">
        <f>IF(ISNA(VLOOKUP(CONCAT(M1098,C1098), 'Judge Count DO NOT EDIT'!H:H, 1, FALSE)), "ERROR","")</f>
        <v/>
      </c>
      <c r="Q1098" s="141"/>
      <c r="R1098" s="143"/>
      <c r="S1098" s="139" t="str">
        <f t="shared" si="2"/>
        <v>1010455</v>
      </c>
      <c r="T1098" s="141"/>
    </row>
    <row r="1099">
      <c r="A1099" s="137">
        <f>IFERROR(__xludf.DUMMYFUNCTION("""COMPUTED_VALUE"""),45352.58368461806)</f>
        <v>45352.58368</v>
      </c>
      <c r="B1099" s="138" t="str">
        <f>IFERROR(__xludf.DUMMYFUNCTION("""COMPUTED_VALUE"""),"Juanjuan Fan")</f>
        <v>Juanjuan Fan</v>
      </c>
      <c r="C1099" s="138">
        <f>IFERROR(__xludf.DUMMYFUNCTION("""COMPUTED_VALUE"""),1015.0)</f>
        <v>1015</v>
      </c>
      <c r="D1099" s="139">
        <f>IFERROR(__xludf.DUMMYFUNCTION("""COMPUTED_VALUE"""),455.0)</f>
        <v>455</v>
      </c>
      <c r="E1099" s="138">
        <f>IFERROR(__xludf.DUMMYFUNCTION("""COMPUTED_VALUE"""),5.0)</f>
        <v>5</v>
      </c>
      <c r="F1099" s="138">
        <f>IFERROR(__xludf.DUMMYFUNCTION("""COMPUTED_VALUE"""),5.0)</f>
        <v>5</v>
      </c>
      <c r="G1099" s="138">
        <f>IFERROR(__xludf.DUMMYFUNCTION("""COMPUTED_VALUE"""),5.0)</f>
        <v>5</v>
      </c>
      <c r="H1099" s="138">
        <f>IFERROR(__xludf.DUMMYFUNCTION("""COMPUTED_VALUE"""),5.0)</f>
        <v>5</v>
      </c>
      <c r="I1099" s="138">
        <f>IFERROR(__xludf.DUMMYFUNCTION("""COMPUTED_VALUE"""),5.0)</f>
        <v>5</v>
      </c>
      <c r="J1099" s="138">
        <f>IFERROR(__xludf.DUMMYFUNCTION("""COMPUTED_VALUE"""),4.0)</f>
        <v>4</v>
      </c>
      <c r="K1099" s="138">
        <f>IFERROR(__xludf.DUMMYFUNCTION("""COMPUTED_VALUE"""),5.0)</f>
        <v>5</v>
      </c>
      <c r="L1099" s="138">
        <v>34.0</v>
      </c>
      <c r="M1099" s="140" t="str">
        <f>VLOOKUP(text(D1099, "#"),'Master Table'!$A:$F, 6, FALSE)</f>
        <v>G-9</v>
      </c>
      <c r="N1099" s="141"/>
      <c r="O1099" s="142" t="str">
        <f t="shared" si="1"/>
        <v/>
      </c>
      <c r="P1099" s="143" t="str">
        <f>IF(ISNA(VLOOKUP(CONCAT(M1099,C1099), 'Judge Count DO NOT EDIT'!H:H, 1, FALSE)), "ERROR","")</f>
        <v/>
      </c>
      <c r="Q1099" s="141"/>
      <c r="R1099" s="143"/>
      <c r="S1099" s="139" t="str">
        <f t="shared" si="2"/>
        <v>1015455</v>
      </c>
      <c r="T1099" s="141"/>
    </row>
    <row r="1100">
      <c r="A1100" s="137">
        <f>IFERROR(__xludf.DUMMYFUNCTION("""COMPUTED_VALUE"""),45352.623525312505)</f>
        <v>45352.62353</v>
      </c>
      <c r="B1100" s="138" t="str">
        <f>IFERROR(__xludf.DUMMYFUNCTION("""COMPUTED_VALUE"""),"Crystal English")</f>
        <v>Crystal English</v>
      </c>
      <c r="C1100" s="138">
        <f>IFERROR(__xludf.DUMMYFUNCTION("""COMPUTED_VALUE"""),1032.0)</f>
        <v>1032</v>
      </c>
      <c r="D1100" s="139">
        <f>IFERROR(__xludf.DUMMYFUNCTION("""COMPUTED_VALUE"""),455.0)</f>
        <v>455</v>
      </c>
      <c r="E1100" s="138">
        <f>IFERROR(__xludf.DUMMYFUNCTION("""COMPUTED_VALUE"""),4.0)</f>
        <v>4</v>
      </c>
      <c r="F1100" s="138">
        <f>IFERROR(__xludf.DUMMYFUNCTION("""COMPUTED_VALUE"""),5.0)</f>
        <v>5</v>
      </c>
      <c r="G1100" s="138">
        <f>IFERROR(__xludf.DUMMYFUNCTION("""COMPUTED_VALUE"""),4.0)</f>
        <v>4</v>
      </c>
      <c r="H1100" s="138">
        <f>IFERROR(__xludf.DUMMYFUNCTION("""COMPUTED_VALUE"""),4.0)</f>
        <v>4</v>
      </c>
      <c r="I1100" s="138">
        <f>IFERROR(__xludf.DUMMYFUNCTION("""COMPUTED_VALUE"""),5.0)</f>
        <v>5</v>
      </c>
      <c r="J1100" s="138">
        <f>IFERROR(__xludf.DUMMYFUNCTION("""COMPUTED_VALUE"""),5.0)</f>
        <v>5</v>
      </c>
      <c r="K1100" s="138">
        <f>IFERROR(__xludf.DUMMYFUNCTION("""COMPUTED_VALUE"""),5.0)</f>
        <v>5</v>
      </c>
      <c r="L1100" s="138">
        <v>32.0</v>
      </c>
      <c r="M1100" s="140" t="str">
        <f>VLOOKUP(text(D1100, "#"),'Master Table'!$A:$F, 6, FALSE)</f>
        <v>G-9</v>
      </c>
      <c r="N1100" s="141" t="str">
        <f>IFERROR(__xludf.DUMMYFUNCTION("""COMPUTED_VALUE"""),"Well designed poster. Very good at communicating the more complicated aspects of the subject. Good eye contact with audience. Would suggest making the poster a little bigger so the smaller images are larger and can be better identified.")</f>
        <v>Well designed poster. Very good at communicating the more complicated aspects of the subject. Good eye contact with audience. Would suggest making the poster a little bigger so the smaller images are larger and can be better identified.</v>
      </c>
      <c r="O1100" s="142" t="str">
        <f t="shared" si="1"/>
        <v/>
      </c>
      <c r="P1100" s="143" t="str">
        <f>IF(ISNA(VLOOKUP(CONCAT(M1100,C1100), 'Judge Count DO NOT EDIT'!H:H, 1, FALSE)), "ERROR","")</f>
        <v/>
      </c>
      <c r="Q1100" s="141"/>
      <c r="R1100" s="143"/>
      <c r="S1100" s="139" t="str">
        <f t="shared" si="2"/>
        <v>1032455</v>
      </c>
      <c r="T1100" s="141"/>
    </row>
    <row r="1101">
      <c r="A1101" s="137">
        <f>IFERROR(__xludf.DUMMYFUNCTION("""COMPUTED_VALUE"""),45352.64162069444)</f>
        <v>45352.64162</v>
      </c>
      <c r="B1101" s="138" t="str">
        <f>IFERROR(__xludf.DUMMYFUNCTION("""COMPUTED_VALUE"""),"Jing Zhao")</f>
        <v>Jing Zhao</v>
      </c>
      <c r="C1101" s="138">
        <f>IFERROR(__xludf.DUMMYFUNCTION("""COMPUTED_VALUE"""),1068.0)</f>
        <v>1068</v>
      </c>
      <c r="D1101" s="139">
        <f>IFERROR(__xludf.DUMMYFUNCTION("""COMPUTED_VALUE"""),455.0)</f>
        <v>455</v>
      </c>
      <c r="E1101" s="138">
        <f>IFERROR(__xludf.DUMMYFUNCTION("""COMPUTED_VALUE"""),3.0)</f>
        <v>3</v>
      </c>
      <c r="F1101" s="138">
        <f>IFERROR(__xludf.DUMMYFUNCTION("""COMPUTED_VALUE"""),5.0)</f>
        <v>5</v>
      </c>
      <c r="G1101" s="138">
        <f>IFERROR(__xludf.DUMMYFUNCTION("""COMPUTED_VALUE"""),4.0)</f>
        <v>4</v>
      </c>
      <c r="H1101" s="138">
        <f>IFERROR(__xludf.DUMMYFUNCTION("""COMPUTED_VALUE"""),4.0)</f>
        <v>4</v>
      </c>
      <c r="I1101" s="138">
        <f>IFERROR(__xludf.DUMMYFUNCTION("""COMPUTED_VALUE"""),4.0)</f>
        <v>4</v>
      </c>
      <c r="J1101" s="138">
        <f>IFERROR(__xludf.DUMMYFUNCTION("""COMPUTED_VALUE"""),5.0)</f>
        <v>5</v>
      </c>
      <c r="K1101" s="138">
        <f>IFERROR(__xludf.DUMMYFUNCTION("""COMPUTED_VALUE"""),5.0)</f>
        <v>5</v>
      </c>
      <c r="L1101" s="138">
        <v>30.0</v>
      </c>
      <c r="M1101" s="140" t="str">
        <f>VLOOKUP(text(D1101, "#"),'Master Table'!$A:$F, 6, FALSE)</f>
        <v>G-9</v>
      </c>
      <c r="N1101" s="141" t="str">
        <f>IFERROR(__xludf.DUMMYFUNCTION("""COMPUTED_VALUE"""),"The speaker is natural and professional. The poster layout/alignment could be improved.")</f>
        <v>The speaker is natural and professional. The poster layout/alignment could be improved.</v>
      </c>
      <c r="O1101" s="142" t="str">
        <f t="shared" si="1"/>
        <v/>
      </c>
      <c r="P1101" s="143" t="str">
        <f>IF(ISNA(VLOOKUP(CONCAT(M1101,C1101), 'Judge Count DO NOT EDIT'!H:H, 1, FALSE)), "ERROR","")</f>
        <v/>
      </c>
      <c r="Q1101" s="141"/>
      <c r="R1101" s="143"/>
      <c r="S1101" s="139" t="str">
        <f t="shared" si="2"/>
        <v>1068455</v>
      </c>
      <c r="T1101" s="141"/>
    </row>
    <row r="1102">
      <c r="A1102" s="137">
        <f>IFERROR(__xludf.DUMMYFUNCTION("""COMPUTED_VALUE"""),45352.48498944445)</f>
        <v>45352.48499</v>
      </c>
      <c r="B1102" s="138" t="str">
        <f>IFERROR(__xludf.DUMMYFUNCTION("""COMPUTED_VALUE"""),"David trejo")</f>
        <v>David trejo</v>
      </c>
      <c r="C1102" s="138">
        <f>IFERROR(__xludf.DUMMYFUNCTION("""COMPUTED_VALUE"""),1170.0)</f>
        <v>1170</v>
      </c>
      <c r="D1102" s="139">
        <f>IFERROR(__xludf.DUMMYFUNCTION("""COMPUTED_VALUE"""),456.0)</f>
        <v>456</v>
      </c>
      <c r="E1102" s="138">
        <f>IFERROR(__xludf.DUMMYFUNCTION("""COMPUTED_VALUE"""),4.0)</f>
        <v>4</v>
      </c>
      <c r="F1102" s="138">
        <f>IFERROR(__xludf.DUMMYFUNCTION("""COMPUTED_VALUE"""),4.0)</f>
        <v>4</v>
      </c>
      <c r="G1102" s="138">
        <f>IFERROR(__xludf.DUMMYFUNCTION("""COMPUTED_VALUE"""),3.0)</f>
        <v>3</v>
      </c>
      <c r="H1102" s="138">
        <f>IFERROR(__xludf.DUMMYFUNCTION("""COMPUTED_VALUE"""),3.0)</f>
        <v>3</v>
      </c>
      <c r="I1102" s="138">
        <f>IFERROR(__xludf.DUMMYFUNCTION("""COMPUTED_VALUE"""),3.0)</f>
        <v>3</v>
      </c>
      <c r="J1102" s="138">
        <f>IFERROR(__xludf.DUMMYFUNCTION("""COMPUTED_VALUE"""),4.0)</f>
        <v>4</v>
      </c>
      <c r="K1102" s="138">
        <f>IFERROR(__xludf.DUMMYFUNCTION("""COMPUTED_VALUE"""),4.0)</f>
        <v>4</v>
      </c>
      <c r="L1102" s="138">
        <v>25.0</v>
      </c>
      <c r="M1102" s="140" t="str">
        <f>VLOOKUP(text(D1102, "#"),'Master Table'!$A:$F, 6, FALSE)</f>
        <v>G-10</v>
      </c>
      <c r="N1102" s="141"/>
      <c r="O1102" s="142" t="str">
        <f t="shared" si="1"/>
        <v/>
      </c>
      <c r="P1102" s="143" t="str">
        <f>IF(ISNA(VLOOKUP(CONCAT(M1102,C1102), 'Judge Count DO NOT EDIT'!H:H, 1, FALSE)), "ERROR","")</f>
        <v/>
      </c>
      <c r="Q1102" s="144"/>
      <c r="R1102" s="143"/>
      <c r="S1102" s="139" t="str">
        <f t="shared" si="2"/>
        <v>1170456</v>
      </c>
      <c r="T1102" s="141"/>
    </row>
    <row r="1103">
      <c r="A1103" s="137">
        <f>IFERROR(__xludf.DUMMYFUNCTION("""COMPUTED_VALUE"""),45352.50928153935)</f>
        <v>45352.50928</v>
      </c>
      <c r="B1103" s="138" t="str">
        <f>IFERROR(__xludf.DUMMYFUNCTION("""COMPUTED_VALUE"""),"Jade Roccoforte ")</f>
        <v>Jade Roccoforte </v>
      </c>
      <c r="C1103" s="138">
        <f>IFERROR(__xludf.DUMMYFUNCTION("""COMPUTED_VALUE"""),1107.0)</f>
        <v>1107</v>
      </c>
      <c r="D1103" s="139">
        <f>IFERROR(__xludf.DUMMYFUNCTION("""COMPUTED_VALUE"""),456.0)</f>
        <v>456</v>
      </c>
      <c r="E1103" s="138">
        <f>IFERROR(__xludf.DUMMYFUNCTION("""COMPUTED_VALUE"""),5.0)</f>
        <v>5</v>
      </c>
      <c r="F1103" s="138">
        <f>IFERROR(__xludf.DUMMYFUNCTION("""COMPUTED_VALUE"""),4.0)</f>
        <v>4</v>
      </c>
      <c r="G1103" s="138">
        <f>IFERROR(__xludf.DUMMYFUNCTION("""COMPUTED_VALUE"""),5.0)</f>
        <v>5</v>
      </c>
      <c r="H1103" s="138">
        <f>IFERROR(__xludf.DUMMYFUNCTION("""COMPUTED_VALUE"""),5.0)</f>
        <v>5</v>
      </c>
      <c r="I1103" s="138">
        <f>IFERROR(__xludf.DUMMYFUNCTION("""COMPUTED_VALUE"""),5.0)</f>
        <v>5</v>
      </c>
      <c r="J1103" s="138">
        <f>IFERROR(__xludf.DUMMYFUNCTION("""COMPUTED_VALUE"""),5.0)</f>
        <v>5</v>
      </c>
      <c r="K1103" s="138">
        <f>IFERROR(__xludf.DUMMYFUNCTION("""COMPUTED_VALUE"""),5.0)</f>
        <v>5</v>
      </c>
      <c r="L1103" s="138">
        <v>34.0</v>
      </c>
      <c r="M1103" s="140" t="str">
        <f>VLOOKUP(text(D1103, "#"),'Master Table'!$A:$F, 6, FALSE)</f>
        <v>G-10</v>
      </c>
      <c r="N1103" s="141" t="str">
        <f>IFERROR(__xludf.DUMMYFUNCTION("""COMPUTED_VALUE"""),"Delivery was exceptional, Student demonstrated great expertise and enthusiasm. The work is important and it was well presented, it looks publication ready. ")</f>
        <v>Delivery was exceptional, Student demonstrated great expertise and enthusiasm. The work is important and it was well presented, it looks publication ready. </v>
      </c>
      <c r="O1103" s="142" t="str">
        <f t="shared" si="1"/>
        <v/>
      </c>
      <c r="P1103" s="143" t="str">
        <f>IF(ISNA(VLOOKUP(CONCAT(M1103,C1103), 'Judge Count DO NOT EDIT'!H:H, 1, FALSE)), "ERROR","")</f>
        <v/>
      </c>
      <c r="Q1103" s="141"/>
      <c r="R1103" s="143"/>
      <c r="S1103" s="139" t="str">
        <f t="shared" si="2"/>
        <v>1107456</v>
      </c>
      <c r="T1103" s="141"/>
    </row>
    <row r="1104">
      <c r="A1104" s="137">
        <f>IFERROR(__xludf.DUMMYFUNCTION("""COMPUTED_VALUE"""),45352.51308943287)</f>
        <v>45352.51309</v>
      </c>
      <c r="B1104" s="138" t="str">
        <f>IFERROR(__xludf.DUMMYFUNCTION("""COMPUTED_VALUE"""),"Roger whitney")</f>
        <v>Roger whitney</v>
      </c>
      <c r="C1104" s="138">
        <f>IFERROR(__xludf.DUMMYFUNCTION("""COMPUTED_VALUE"""),1091.0)</f>
        <v>1091</v>
      </c>
      <c r="D1104" s="139">
        <f>IFERROR(__xludf.DUMMYFUNCTION("""COMPUTED_VALUE"""),456.0)</f>
        <v>456</v>
      </c>
      <c r="E1104" s="138">
        <f>IFERROR(__xludf.DUMMYFUNCTION("""COMPUTED_VALUE"""),4.0)</f>
        <v>4</v>
      </c>
      <c r="F1104" s="138">
        <f>IFERROR(__xludf.DUMMYFUNCTION("""COMPUTED_VALUE"""),4.0)</f>
        <v>4</v>
      </c>
      <c r="G1104" s="138">
        <f>IFERROR(__xludf.DUMMYFUNCTION("""COMPUTED_VALUE"""),5.0)</f>
        <v>5</v>
      </c>
      <c r="H1104" s="138">
        <f>IFERROR(__xludf.DUMMYFUNCTION("""COMPUTED_VALUE"""),4.0)</f>
        <v>4</v>
      </c>
      <c r="I1104" s="138">
        <f>IFERROR(__xludf.DUMMYFUNCTION("""COMPUTED_VALUE"""),5.0)</f>
        <v>5</v>
      </c>
      <c r="J1104" s="138">
        <f>IFERROR(__xludf.DUMMYFUNCTION("""COMPUTED_VALUE"""),4.0)</f>
        <v>4</v>
      </c>
      <c r="K1104" s="138">
        <f>IFERROR(__xludf.DUMMYFUNCTION("""COMPUTED_VALUE"""),4.0)</f>
        <v>4</v>
      </c>
      <c r="L1104" s="138">
        <v>30.0</v>
      </c>
      <c r="M1104" s="140" t="str">
        <f>VLOOKUP(text(D1104, "#"),'Master Table'!$A:$F, 6, FALSE)</f>
        <v>G-10</v>
      </c>
      <c r="N1104" s="141"/>
      <c r="O1104" s="142" t="str">
        <f t="shared" si="1"/>
        <v/>
      </c>
      <c r="P1104" s="143" t="str">
        <f>IF(ISNA(VLOOKUP(CONCAT(M1104,C1104), 'Judge Count DO NOT EDIT'!H:H, 1, FALSE)), "ERROR","")</f>
        <v/>
      </c>
      <c r="Q1104" s="141"/>
      <c r="R1104" s="143"/>
      <c r="S1104" s="139" t="str">
        <f t="shared" si="2"/>
        <v>1091456</v>
      </c>
      <c r="T1104" s="141"/>
    </row>
    <row r="1105">
      <c r="A1105" s="137">
        <f>IFERROR(__xludf.DUMMYFUNCTION("""COMPUTED_VALUE"""),45352.53126857639)</f>
        <v>45352.53127</v>
      </c>
      <c r="B1105" s="138" t="str">
        <f>IFERROR(__xludf.DUMMYFUNCTION("""COMPUTED_VALUE"""),"Carmelo Interlando")</f>
        <v>Carmelo Interlando</v>
      </c>
      <c r="C1105" s="138">
        <f>IFERROR(__xludf.DUMMYFUNCTION("""COMPUTED_VALUE"""),1096.0)</f>
        <v>1096</v>
      </c>
      <c r="D1105" s="139">
        <f>IFERROR(__xludf.DUMMYFUNCTION("""COMPUTED_VALUE"""),456.0)</f>
        <v>456</v>
      </c>
      <c r="E1105" s="138">
        <f>IFERROR(__xludf.DUMMYFUNCTION("""COMPUTED_VALUE"""),4.0)</f>
        <v>4</v>
      </c>
      <c r="F1105" s="138">
        <f>IFERROR(__xludf.DUMMYFUNCTION("""COMPUTED_VALUE"""),4.0)</f>
        <v>4</v>
      </c>
      <c r="G1105" s="138">
        <f>IFERROR(__xludf.DUMMYFUNCTION("""COMPUTED_VALUE"""),4.0)</f>
        <v>4</v>
      </c>
      <c r="H1105" s="138">
        <f>IFERROR(__xludf.DUMMYFUNCTION("""COMPUTED_VALUE"""),3.0)</f>
        <v>3</v>
      </c>
      <c r="I1105" s="138">
        <f>IFERROR(__xludf.DUMMYFUNCTION("""COMPUTED_VALUE"""),4.0)</f>
        <v>4</v>
      </c>
      <c r="J1105" s="138">
        <f>IFERROR(__xludf.DUMMYFUNCTION("""COMPUTED_VALUE"""),4.0)</f>
        <v>4</v>
      </c>
      <c r="K1105" s="138">
        <f>IFERROR(__xludf.DUMMYFUNCTION("""COMPUTED_VALUE"""),5.0)</f>
        <v>5</v>
      </c>
      <c r="L1105" s="138">
        <v>28.0</v>
      </c>
      <c r="M1105" s="140" t="str">
        <f>VLOOKUP(text(D1105, "#"),'Master Table'!$A:$F, 6, FALSE)</f>
        <v>G-10</v>
      </c>
      <c r="N1105" s="141"/>
      <c r="O1105" s="142" t="str">
        <f t="shared" si="1"/>
        <v/>
      </c>
      <c r="P1105" s="143" t="str">
        <f>IF(ISNA(VLOOKUP(CONCAT(M1105,C1105), 'Judge Count DO NOT EDIT'!H:H, 1, FALSE)), "ERROR","")</f>
        <v/>
      </c>
      <c r="Q1105" s="141"/>
      <c r="R1105" s="143"/>
      <c r="S1105" s="139" t="str">
        <f t="shared" si="2"/>
        <v>1096456</v>
      </c>
      <c r="T1105" s="141"/>
    </row>
    <row r="1106">
      <c r="A1106" s="137">
        <f>IFERROR(__xludf.DUMMYFUNCTION("""COMPUTED_VALUE"""),45352.48344822916)</f>
        <v>45352.48345</v>
      </c>
      <c r="B1106" s="138" t="str">
        <f>IFERROR(__xludf.DUMMYFUNCTION("""COMPUTED_VALUE"""),"Roger whitney")</f>
        <v>Roger whitney</v>
      </c>
      <c r="C1106" s="138">
        <f>IFERROR(__xludf.DUMMYFUNCTION("""COMPUTED_VALUE"""),1091.0)</f>
        <v>1091</v>
      </c>
      <c r="D1106" s="139">
        <f>IFERROR(__xludf.DUMMYFUNCTION("""COMPUTED_VALUE"""),457.0)</f>
        <v>457</v>
      </c>
      <c r="E1106" s="138">
        <f>IFERROR(__xludf.DUMMYFUNCTION("""COMPUTED_VALUE"""),2.0)</f>
        <v>2</v>
      </c>
      <c r="F1106" s="138">
        <f>IFERROR(__xludf.DUMMYFUNCTION("""COMPUTED_VALUE"""),3.0)</f>
        <v>3</v>
      </c>
      <c r="G1106" s="138">
        <f>IFERROR(__xludf.DUMMYFUNCTION("""COMPUTED_VALUE"""),4.0)</f>
        <v>4</v>
      </c>
      <c r="H1106" s="138">
        <f>IFERROR(__xludf.DUMMYFUNCTION("""COMPUTED_VALUE"""),4.0)</f>
        <v>4</v>
      </c>
      <c r="I1106" s="138">
        <f>IFERROR(__xludf.DUMMYFUNCTION("""COMPUTED_VALUE"""),3.0)</f>
        <v>3</v>
      </c>
      <c r="J1106" s="138">
        <f>IFERROR(__xludf.DUMMYFUNCTION("""COMPUTED_VALUE"""),3.0)</f>
        <v>3</v>
      </c>
      <c r="K1106" s="138">
        <f>IFERROR(__xludf.DUMMYFUNCTION("""COMPUTED_VALUE"""),4.0)</f>
        <v>4</v>
      </c>
      <c r="L1106" s="138">
        <v>23.0</v>
      </c>
      <c r="M1106" s="140" t="str">
        <f>VLOOKUP(text(D1106, "#"),'Master Table'!$A:$F, 6, FALSE)</f>
        <v>G-10</v>
      </c>
      <c r="N1106" s="141"/>
      <c r="O1106" s="142" t="str">
        <f t="shared" si="1"/>
        <v/>
      </c>
      <c r="P1106" s="143" t="str">
        <f>IF(ISNA(VLOOKUP(CONCAT(M1106,C1106), 'Judge Count DO NOT EDIT'!H:H, 1, FALSE)), "ERROR","")</f>
        <v/>
      </c>
      <c r="Q1106" s="141"/>
      <c r="R1106" s="143"/>
      <c r="S1106" s="139" t="str">
        <f t="shared" si="2"/>
        <v>1091457</v>
      </c>
      <c r="T1106" s="141"/>
    </row>
    <row r="1107">
      <c r="A1107" s="137">
        <f>IFERROR(__xludf.DUMMYFUNCTION("""COMPUTED_VALUE"""),45352.49583846064)</f>
        <v>45352.49584</v>
      </c>
      <c r="B1107" s="138" t="str">
        <f>IFERROR(__xludf.DUMMYFUNCTION("""COMPUTED_VALUE"""),"David trejo")</f>
        <v>David trejo</v>
      </c>
      <c r="C1107" s="138">
        <f>IFERROR(__xludf.DUMMYFUNCTION("""COMPUTED_VALUE"""),1170.0)</f>
        <v>1170</v>
      </c>
      <c r="D1107" s="139">
        <f>IFERROR(__xludf.DUMMYFUNCTION("""COMPUTED_VALUE"""),457.0)</f>
        <v>457</v>
      </c>
      <c r="E1107" s="138">
        <f>IFERROR(__xludf.DUMMYFUNCTION("""COMPUTED_VALUE"""),2.0)</f>
        <v>2</v>
      </c>
      <c r="F1107" s="138">
        <f>IFERROR(__xludf.DUMMYFUNCTION("""COMPUTED_VALUE"""),2.0)</f>
        <v>2</v>
      </c>
      <c r="G1107" s="138">
        <f>IFERROR(__xludf.DUMMYFUNCTION("""COMPUTED_VALUE"""),3.0)</f>
        <v>3</v>
      </c>
      <c r="H1107" s="138">
        <f>IFERROR(__xludf.DUMMYFUNCTION("""COMPUTED_VALUE"""),3.0)</f>
        <v>3</v>
      </c>
      <c r="I1107" s="138">
        <f>IFERROR(__xludf.DUMMYFUNCTION("""COMPUTED_VALUE"""),3.0)</f>
        <v>3</v>
      </c>
      <c r="J1107" s="138">
        <f>IFERROR(__xludf.DUMMYFUNCTION("""COMPUTED_VALUE"""),3.0)</f>
        <v>3</v>
      </c>
      <c r="K1107" s="138">
        <f>IFERROR(__xludf.DUMMYFUNCTION("""COMPUTED_VALUE"""),4.0)</f>
        <v>4</v>
      </c>
      <c r="L1107" s="138">
        <v>20.0</v>
      </c>
      <c r="M1107" s="140" t="str">
        <f>VLOOKUP(text(D1107, "#"),'Master Table'!$A:$F, 6, FALSE)</f>
        <v>G-10</v>
      </c>
      <c r="N1107" s="141"/>
      <c r="O1107" s="142" t="str">
        <f t="shared" si="1"/>
        <v/>
      </c>
      <c r="P1107" s="143" t="str">
        <f>IF(ISNA(VLOOKUP(CONCAT(M1107,C1107), 'Judge Count DO NOT EDIT'!H:H, 1, FALSE)), "ERROR","")</f>
        <v/>
      </c>
      <c r="Q1107" s="141"/>
      <c r="R1107" s="143"/>
      <c r="S1107" s="139" t="str">
        <f t="shared" si="2"/>
        <v>1170457</v>
      </c>
      <c r="T1107" s="141"/>
    </row>
    <row r="1108">
      <c r="A1108" s="137">
        <f>IFERROR(__xludf.DUMMYFUNCTION("""COMPUTED_VALUE"""),45352.51083570602)</f>
        <v>45352.51084</v>
      </c>
      <c r="B1108" s="138" t="str">
        <f>IFERROR(__xludf.DUMMYFUNCTION("""COMPUTED_VALUE"""),"Jade Roccoforte")</f>
        <v>Jade Roccoforte</v>
      </c>
      <c r="C1108" s="138">
        <f>IFERROR(__xludf.DUMMYFUNCTION("""COMPUTED_VALUE"""),1107.0)</f>
        <v>1107</v>
      </c>
      <c r="D1108" s="139">
        <f>IFERROR(__xludf.DUMMYFUNCTION("""COMPUTED_VALUE"""),457.0)</f>
        <v>457</v>
      </c>
      <c r="E1108" s="138">
        <f>IFERROR(__xludf.DUMMYFUNCTION("""COMPUTED_VALUE"""),2.0)</f>
        <v>2</v>
      </c>
      <c r="F1108" s="138">
        <f>IFERROR(__xludf.DUMMYFUNCTION("""COMPUTED_VALUE"""),3.0)</f>
        <v>3</v>
      </c>
      <c r="G1108" s="138">
        <f>IFERROR(__xludf.DUMMYFUNCTION("""COMPUTED_VALUE"""),4.0)</f>
        <v>4</v>
      </c>
      <c r="H1108" s="138">
        <f>IFERROR(__xludf.DUMMYFUNCTION("""COMPUTED_VALUE"""),2.0)</f>
        <v>2</v>
      </c>
      <c r="I1108" s="138">
        <f>IFERROR(__xludf.DUMMYFUNCTION("""COMPUTED_VALUE"""),2.0)</f>
        <v>2</v>
      </c>
      <c r="J1108" s="138">
        <f>IFERROR(__xludf.DUMMYFUNCTION("""COMPUTED_VALUE"""),2.0)</f>
        <v>2</v>
      </c>
      <c r="K1108" s="138">
        <f>IFERROR(__xludf.DUMMYFUNCTION("""COMPUTED_VALUE"""),3.0)</f>
        <v>3</v>
      </c>
      <c r="L1108" s="138">
        <v>18.0</v>
      </c>
      <c r="M1108" s="140" t="str">
        <f>VLOOKUP(text(D1108, "#"),'Master Table'!$A:$F, 6, FALSE)</f>
        <v>G-10</v>
      </c>
      <c r="N1108" s="141" t="str">
        <f>IFERROR(__xludf.DUMMYFUNCTION("""COMPUTED_VALUE"""),"Students answered judges questions very well. The results and methodology could have been emphasized more, figures should be larger. ")</f>
        <v>Students answered judges questions very well. The results and methodology could have been emphasized more, figures should be larger. </v>
      </c>
      <c r="O1108" s="142" t="str">
        <f t="shared" si="1"/>
        <v/>
      </c>
      <c r="P1108" s="143" t="str">
        <f>IF(ISNA(VLOOKUP(CONCAT(M1108,C1108), 'Judge Count DO NOT EDIT'!H:H, 1, FALSE)), "ERROR","")</f>
        <v/>
      </c>
      <c r="Q1108" s="141"/>
      <c r="R1108" s="143"/>
      <c r="S1108" s="139" t="str">
        <f t="shared" si="2"/>
        <v>1107457</v>
      </c>
      <c r="T1108" s="141"/>
    </row>
    <row r="1109">
      <c r="A1109" s="137">
        <f>IFERROR(__xludf.DUMMYFUNCTION("""COMPUTED_VALUE"""),45352.531990034724)</f>
        <v>45352.53199</v>
      </c>
      <c r="B1109" s="138" t="str">
        <f>IFERROR(__xludf.DUMMYFUNCTION("""COMPUTED_VALUE"""),"Carmelo Interlando")</f>
        <v>Carmelo Interlando</v>
      </c>
      <c r="C1109" s="138">
        <f>IFERROR(__xludf.DUMMYFUNCTION("""COMPUTED_VALUE"""),1096.0)</f>
        <v>1096</v>
      </c>
      <c r="D1109" s="139">
        <f>IFERROR(__xludf.DUMMYFUNCTION("""COMPUTED_VALUE"""),457.0)</f>
        <v>457</v>
      </c>
      <c r="E1109" s="138">
        <f>IFERROR(__xludf.DUMMYFUNCTION("""COMPUTED_VALUE"""),3.0)</f>
        <v>3</v>
      </c>
      <c r="F1109" s="138">
        <f>IFERROR(__xludf.DUMMYFUNCTION("""COMPUTED_VALUE"""),3.0)</f>
        <v>3</v>
      </c>
      <c r="G1109" s="138">
        <f>IFERROR(__xludf.DUMMYFUNCTION("""COMPUTED_VALUE"""),4.0)</f>
        <v>4</v>
      </c>
      <c r="H1109" s="138">
        <f>IFERROR(__xludf.DUMMYFUNCTION("""COMPUTED_VALUE"""),3.0)</f>
        <v>3</v>
      </c>
      <c r="I1109" s="138">
        <f>IFERROR(__xludf.DUMMYFUNCTION("""COMPUTED_VALUE"""),3.0)</f>
        <v>3</v>
      </c>
      <c r="J1109" s="138">
        <f>IFERROR(__xludf.DUMMYFUNCTION("""COMPUTED_VALUE"""),3.0)</f>
        <v>3</v>
      </c>
      <c r="K1109" s="138">
        <f>IFERROR(__xludf.DUMMYFUNCTION("""COMPUTED_VALUE"""),4.0)</f>
        <v>4</v>
      </c>
      <c r="L1109" s="138">
        <v>23.0</v>
      </c>
      <c r="M1109" s="140" t="str">
        <f>VLOOKUP(text(D1109, "#"),'Master Table'!$A:$F, 6, FALSE)</f>
        <v>G-10</v>
      </c>
      <c r="N1109" s="141"/>
      <c r="O1109" s="142" t="str">
        <f t="shared" si="1"/>
        <v/>
      </c>
      <c r="P1109" s="143" t="str">
        <f>IF(ISNA(VLOOKUP(CONCAT(M1109,C1109), 'Judge Count DO NOT EDIT'!H:H, 1, FALSE)), "ERROR","")</f>
        <v/>
      </c>
      <c r="Q1109" s="141"/>
      <c r="R1109" s="143"/>
      <c r="S1109" s="139" t="str">
        <f t="shared" si="2"/>
        <v>1096457</v>
      </c>
      <c r="T1109" s="141"/>
    </row>
    <row r="1110">
      <c r="A1110" s="137">
        <f>IFERROR(__xludf.DUMMYFUNCTION("""COMPUTED_VALUE"""),45352.491040787034)</f>
        <v>45352.49104</v>
      </c>
      <c r="B1110" s="138" t="str">
        <f>IFERROR(__xludf.DUMMYFUNCTION("""COMPUTED_VALUE"""),"Roger whitney")</f>
        <v>Roger whitney</v>
      </c>
      <c r="C1110" s="138">
        <f>IFERROR(__xludf.DUMMYFUNCTION("""COMPUTED_VALUE"""),1091.0)</f>
        <v>1091</v>
      </c>
      <c r="D1110" s="139">
        <f>IFERROR(__xludf.DUMMYFUNCTION("""COMPUTED_VALUE"""),458.0)</f>
        <v>458</v>
      </c>
      <c r="E1110" s="138">
        <f>IFERROR(__xludf.DUMMYFUNCTION("""COMPUTED_VALUE"""),2.0)</f>
        <v>2</v>
      </c>
      <c r="F1110" s="138">
        <f>IFERROR(__xludf.DUMMYFUNCTION("""COMPUTED_VALUE"""),4.0)</f>
        <v>4</v>
      </c>
      <c r="G1110" s="138">
        <f>IFERROR(__xludf.DUMMYFUNCTION("""COMPUTED_VALUE"""),4.0)</f>
        <v>4</v>
      </c>
      <c r="H1110" s="138">
        <f>IFERROR(__xludf.DUMMYFUNCTION("""COMPUTED_VALUE"""),3.0)</f>
        <v>3</v>
      </c>
      <c r="I1110" s="138">
        <f>IFERROR(__xludf.DUMMYFUNCTION("""COMPUTED_VALUE"""),4.0)</f>
        <v>4</v>
      </c>
      <c r="J1110" s="138">
        <f>IFERROR(__xludf.DUMMYFUNCTION("""COMPUTED_VALUE"""),4.0)</f>
        <v>4</v>
      </c>
      <c r="K1110" s="138">
        <f>IFERROR(__xludf.DUMMYFUNCTION("""COMPUTED_VALUE"""),4.0)</f>
        <v>4</v>
      </c>
      <c r="L1110" s="138">
        <v>25.0</v>
      </c>
      <c r="M1110" s="140" t="str">
        <f>VLOOKUP(text(D1110, "#"),'Master Table'!$A:$F, 6, FALSE)</f>
        <v>G-10</v>
      </c>
      <c r="N1110" s="141" t="str">
        <f>IFERROR(__xludf.DUMMYFUNCTION("""COMPUTED_VALUE"""),"Need more on results less on motivation ")</f>
        <v>Need more on results less on motivation </v>
      </c>
      <c r="O1110" s="142" t="str">
        <f t="shared" si="1"/>
        <v/>
      </c>
      <c r="P1110" s="143" t="str">
        <f>IF(ISNA(VLOOKUP(CONCAT(M1110,C1110), 'Judge Count DO NOT EDIT'!H:H, 1, FALSE)), "ERROR","")</f>
        <v/>
      </c>
      <c r="Q1110" s="141"/>
      <c r="R1110" s="143"/>
      <c r="S1110" s="139" t="str">
        <f t="shared" si="2"/>
        <v>1091458</v>
      </c>
      <c r="T1110" s="141"/>
    </row>
    <row r="1111">
      <c r="A1111" s="137">
        <f>IFERROR(__xludf.DUMMYFUNCTION("""COMPUTED_VALUE"""),45352.52731226852)</f>
        <v>45352.52731</v>
      </c>
      <c r="B1111" s="138" t="str">
        <f>IFERROR(__xludf.DUMMYFUNCTION("""COMPUTED_VALUE"""),"Jade Roccoforte ")</f>
        <v>Jade Roccoforte </v>
      </c>
      <c r="C1111" s="138">
        <f>IFERROR(__xludf.DUMMYFUNCTION("""COMPUTED_VALUE"""),1107.0)</f>
        <v>1107</v>
      </c>
      <c r="D1111" s="139">
        <f>IFERROR(__xludf.DUMMYFUNCTION("""COMPUTED_VALUE"""),458.0)</f>
        <v>458</v>
      </c>
      <c r="E1111" s="138">
        <f>IFERROR(__xludf.DUMMYFUNCTION("""COMPUTED_VALUE"""),3.0)</f>
        <v>3</v>
      </c>
      <c r="F1111" s="138">
        <f>IFERROR(__xludf.DUMMYFUNCTION("""COMPUTED_VALUE"""),3.0)</f>
        <v>3</v>
      </c>
      <c r="G1111" s="138">
        <f>IFERROR(__xludf.DUMMYFUNCTION("""COMPUTED_VALUE"""),4.0)</f>
        <v>4</v>
      </c>
      <c r="H1111" s="138">
        <f>IFERROR(__xludf.DUMMYFUNCTION("""COMPUTED_VALUE"""),2.0)</f>
        <v>2</v>
      </c>
      <c r="I1111" s="138">
        <f>IFERROR(__xludf.DUMMYFUNCTION("""COMPUTED_VALUE"""),3.0)</f>
        <v>3</v>
      </c>
      <c r="J1111" s="138">
        <f>IFERROR(__xludf.DUMMYFUNCTION("""COMPUTED_VALUE"""),3.0)</f>
        <v>3</v>
      </c>
      <c r="K1111" s="138">
        <f>IFERROR(__xludf.DUMMYFUNCTION("""COMPUTED_VALUE"""),2.0)</f>
        <v>2</v>
      </c>
      <c r="L1111" s="138">
        <v>20.0</v>
      </c>
      <c r="M1111" s="140" t="str">
        <f>VLOOKUP(text(D1111, "#"),'Master Table'!$A:$F, 6, FALSE)</f>
        <v>G-10</v>
      </c>
      <c r="N1111" s="141" t="str">
        <f>IFERROR(__xludf.DUMMYFUNCTION("""COMPUTED_VALUE"""),"Student had a great introduction and explanation of background and significance of the work. Wished the student would have emphasized the methodology of the research and mentioned more data points collected and results of the survey (such as how many part"&amp;"icipants surveyed/how many responded/etc). ")</f>
        <v>Student had a great introduction and explanation of background and significance of the work. Wished the student would have emphasized the methodology of the research and mentioned more data points collected and results of the survey (such as how many participants surveyed/how many responded/etc). </v>
      </c>
      <c r="O1111" s="142" t="str">
        <f t="shared" si="1"/>
        <v/>
      </c>
      <c r="P1111" s="143" t="str">
        <f>IF(ISNA(VLOOKUP(CONCAT(M1111,C1111), 'Judge Count DO NOT EDIT'!H:H, 1, FALSE)), "ERROR","")</f>
        <v/>
      </c>
      <c r="Q1111" s="141"/>
      <c r="R1111" s="143"/>
      <c r="S1111" s="139" t="str">
        <f t="shared" si="2"/>
        <v>1107458</v>
      </c>
      <c r="T1111" s="141"/>
    </row>
    <row r="1112">
      <c r="A1112" s="137">
        <f>IFERROR(__xludf.DUMMYFUNCTION("""COMPUTED_VALUE"""),45352.533096342595)</f>
        <v>45352.5331</v>
      </c>
      <c r="B1112" s="138" t="str">
        <f>IFERROR(__xludf.DUMMYFUNCTION("""COMPUTED_VALUE"""),"Carmelo Interlando")</f>
        <v>Carmelo Interlando</v>
      </c>
      <c r="C1112" s="138">
        <f>IFERROR(__xludf.DUMMYFUNCTION("""COMPUTED_VALUE"""),1096.0)</f>
        <v>1096</v>
      </c>
      <c r="D1112" s="139">
        <f>IFERROR(__xludf.DUMMYFUNCTION("""COMPUTED_VALUE"""),458.0)</f>
        <v>458</v>
      </c>
      <c r="E1112" s="138">
        <f>IFERROR(__xludf.DUMMYFUNCTION("""COMPUTED_VALUE"""),3.0)</f>
        <v>3</v>
      </c>
      <c r="F1112" s="138">
        <f>IFERROR(__xludf.DUMMYFUNCTION("""COMPUTED_VALUE"""),4.0)</f>
        <v>4</v>
      </c>
      <c r="G1112" s="138">
        <f>IFERROR(__xludf.DUMMYFUNCTION("""COMPUTED_VALUE"""),4.0)</f>
        <v>4</v>
      </c>
      <c r="H1112" s="138">
        <f>IFERROR(__xludf.DUMMYFUNCTION("""COMPUTED_VALUE"""),3.0)</f>
        <v>3</v>
      </c>
      <c r="I1112" s="138">
        <f>IFERROR(__xludf.DUMMYFUNCTION("""COMPUTED_VALUE"""),4.0)</f>
        <v>4</v>
      </c>
      <c r="J1112" s="138">
        <f>IFERROR(__xludf.DUMMYFUNCTION("""COMPUTED_VALUE"""),3.0)</f>
        <v>3</v>
      </c>
      <c r="K1112" s="138">
        <f>IFERROR(__xludf.DUMMYFUNCTION("""COMPUTED_VALUE"""),4.0)</f>
        <v>4</v>
      </c>
      <c r="L1112" s="138">
        <v>25.0</v>
      </c>
      <c r="M1112" s="140" t="str">
        <f>VLOOKUP(text(D1112, "#"),'Master Table'!$A:$F, 6, FALSE)</f>
        <v>G-10</v>
      </c>
      <c r="N1112" s="141"/>
      <c r="O1112" s="142" t="str">
        <f t="shared" si="1"/>
        <v/>
      </c>
      <c r="P1112" s="143" t="str">
        <f>IF(ISNA(VLOOKUP(CONCAT(M1112,C1112), 'Judge Count DO NOT EDIT'!H:H, 1, FALSE)), "ERROR","")</f>
        <v/>
      </c>
      <c r="Q1112" s="141"/>
      <c r="R1112" s="143"/>
      <c r="S1112" s="139" t="str">
        <f t="shared" si="2"/>
        <v>1096458</v>
      </c>
      <c r="T1112" s="141"/>
    </row>
    <row r="1113">
      <c r="A1113" s="137">
        <f>IFERROR(__xludf.DUMMYFUNCTION("""COMPUTED_VALUE"""),45352.46876120371)</f>
        <v>45352.46876</v>
      </c>
      <c r="B1113" s="138" t="str">
        <f>IFERROR(__xludf.DUMMYFUNCTION("""COMPUTED_VALUE"""),"Roger whitney")</f>
        <v>Roger whitney</v>
      </c>
      <c r="C1113" s="138">
        <f>IFERROR(__xludf.DUMMYFUNCTION("""COMPUTED_VALUE"""),1091.0)</f>
        <v>1091</v>
      </c>
      <c r="D1113" s="139">
        <f>IFERROR(__xludf.DUMMYFUNCTION("""COMPUTED_VALUE"""),459.0)</f>
        <v>459</v>
      </c>
      <c r="E1113" s="138">
        <f>IFERROR(__xludf.DUMMYFUNCTION("""COMPUTED_VALUE"""),4.0)</f>
        <v>4</v>
      </c>
      <c r="F1113" s="138">
        <f>IFERROR(__xludf.DUMMYFUNCTION("""COMPUTED_VALUE"""),3.0)</f>
        <v>3</v>
      </c>
      <c r="G1113" s="138">
        <f>IFERROR(__xludf.DUMMYFUNCTION("""COMPUTED_VALUE"""),4.0)</f>
        <v>4</v>
      </c>
      <c r="H1113" s="138">
        <f>IFERROR(__xludf.DUMMYFUNCTION("""COMPUTED_VALUE"""),4.0)</f>
        <v>4</v>
      </c>
      <c r="I1113" s="138">
        <f>IFERROR(__xludf.DUMMYFUNCTION("""COMPUTED_VALUE"""),4.0)</f>
        <v>4</v>
      </c>
      <c r="J1113" s="138">
        <f>IFERROR(__xludf.DUMMYFUNCTION("""COMPUTED_VALUE"""),4.0)</f>
        <v>4</v>
      </c>
      <c r="K1113" s="138">
        <f>IFERROR(__xludf.DUMMYFUNCTION("""COMPUTED_VALUE"""),4.0)</f>
        <v>4</v>
      </c>
      <c r="L1113" s="138">
        <v>27.0</v>
      </c>
      <c r="M1113" s="140" t="str">
        <f>VLOOKUP(text(D1113, "#"),'Master Table'!$A:$F, 6, FALSE)</f>
        <v>G-10</v>
      </c>
      <c r="N1113" s="141"/>
      <c r="O1113" s="142" t="str">
        <f t="shared" si="1"/>
        <v/>
      </c>
      <c r="P1113" s="143" t="str">
        <f>IF(ISNA(VLOOKUP(CONCAT(M1113,C1113), 'Judge Count DO NOT EDIT'!H:H, 1, FALSE)), "ERROR","")</f>
        <v/>
      </c>
      <c r="Q1113" s="141"/>
      <c r="R1113" s="143"/>
      <c r="S1113" s="139" t="str">
        <f t="shared" si="2"/>
        <v>1091459</v>
      </c>
      <c r="T1113" s="141"/>
    </row>
    <row r="1114">
      <c r="A1114" s="137">
        <f>IFERROR(__xludf.DUMMYFUNCTION("""COMPUTED_VALUE"""),45352.48564280092)</f>
        <v>45352.48564</v>
      </c>
      <c r="B1114" s="138" t="str">
        <f>IFERROR(__xludf.DUMMYFUNCTION("""COMPUTED_VALUE"""),"David trejo ")</f>
        <v>David trejo </v>
      </c>
      <c r="C1114" s="138">
        <f>IFERROR(__xludf.DUMMYFUNCTION("""COMPUTED_VALUE"""),1170.0)</f>
        <v>1170</v>
      </c>
      <c r="D1114" s="139">
        <f>IFERROR(__xludf.DUMMYFUNCTION("""COMPUTED_VALUE"""),459.0)</f>
        <v>459</v>
      </c>
      <c r="E1114" s="138">
        <f>IFERROR(__xludf.DUMMYFUNCTION("""COMPUTED_VALUE"""),4.0)</f>
        <v>4</v>
      </c>
      <c r="F1114" s="138">
        <f>IFERROR(__xludf.DUMMYFUNCTION("""COMPUTED_VALUE"""),4.0)</f>
        <v>4</v>
      </c>
      <c r="G1114" s="138">
        <f>IFERROR(__xludf.DUMMYFUNCTION("""COMPUTED_VALUE"""),5.0)</f>
        <v>5</v>
      </c>
      <c r="H1114" s="138">
        <f>IFERROR(__xludf.DUMMYFUNCTION("""COMPUTED_VALUE"""),4.0)</f>
        <v>4</v>
      </c>
      <c r="I1114" s="138">
        <f>IFERROR(__xludf.DUMMYFUNCTION("""COMPUTED_VALUE"""),4.0)</f>
        <v>4</v>
      </c>
      <c r="J1114" s="138">
        <f>IFERROR(__xludf.DUMMYFUNCTION("""COMPUTED_VALUE"""),4.0)</f>
        <v>4</v>
      </c>
      <c r="K1114" s="138">
        <f>IFERROR(__xludf.DUMMYFUNCTION("""COMPUTED_VALUE"""),4.0)</f>
        <v>4</v>
      </c>
      <c r="L1114" s="138">
        <v>29.0</v>
      </c>
      <c r="M1114" s="140" t="str">
        <f>VLOOKUP(text(D1114, "#"),'Master Table'!$A:$F, 6, FALSE)</f>
        <v>G-10</v>
      </c>
      <c r="N1114" s="141"/>
      <c r="O1114" s="142" t="str">
        <f t="shared" si="1"/>
        <v/>
      </c>
      <c r="P1114" s="143" t="str">
        <f>IF(ISNA(VLOOKUP(CONCAT(M1114,C1114), 'Judge Count DO NOT EDIT'!H:H, 1, FALSE)), "ERROR","")</f>
        <v/>
      </c>
      <c r="Q1114" s="141"/>
      <c r="R1114" s="143"/>
      <c r="S1114" s="139" t="str">
        <f t="shared" si="2"/>
        <v>1170459</v>
      </c>
      <c r="T1114" s="141"/>
    </row>
    <row r="1115">
      <c r="A1115" s="137">
        <f>IFERROR(__xludf.DUMMYFUNCTION("""COMPUTED_VALUE"""),45352.53023931713)</f>
        <v>45352.53024</v>
      </c>
      <c r="B1115" s="138" t="str">
        <f>IFERROR(__xludf.DUMMYFUNCTION("""COMPUTED_VALUE"""),"Jade Roccoforte")</f>
        <v>Jade Roccoforte</v>
      </c>
      <c r="C1115" s="138">
        <f>IFERROR(__xludf.DUMMYFUNCTION("""COMPUTED_VALUE"""),1107.0)</f>
        <v>1107</v>
      </c>
      <c r="D1115" s="139">
        <f>IFERROR(__xludf.DUMMYFUNCTION("""COMPUTED_VALUE"""),459.0)</f>
        <v>459</v>
      </c>
      <c r="E1115" s="138">
        <f>IFERROR(__xludf.DUMMYFUNCTION("""COMPUTED_VALUE"""),4.0)</f>
        <v>4</v>
      </c>
      <c r="F1115" s="138">
        <f>IFERROR(__xludf.DUMMYFUNCTION("""COMPUTED_VALUE"""),3.0)</f>
        <v>3</v>
      </c>
      <c r="G1115" s="138">
        <f>IFERROR(__xludf.DUMMYFUNCTION("""COMPUTED_VALUE"""),3.0)</f>
        <v>3</v>
      </c>
      <c r="H1115" s="138">
        <f>IFERROR(__xludf.DUMMYFUNCTION("""COMPUTED_VALUE"""),4.0)</f>
        <v>4</v>
      </c>
      <c r="I1115" s="138">
        <f>IFERROR(__xludf.DUMMYFUNCTION("""COMPUTED_VALUE"""),5.0)</f>
        <v>5</v>
      </c>
      <c r="J1115" s="138">
        <f>IFERROR(__xludf.DUMMYFUNCTION("""COMPUTED_VALUE"""),5.0)</f>
        <v>5</v>
      </c>
      <c r="K1115" s="138">
        <f>IFERROR(__xludf.DUMMYFUNCTION("""COMPUTED_VALUE"""),4.0)</f>
        <v>4</v>
      </c>
      <c r="L1115" s="138">
        <v>28.0</v>
      </c>
      <c r="M1115" s="140" t="str">
        <f>VLOOKUP(text(D1115, "#"),'Master Table'!$A:$F, 6, FALSE)</f>
        <v>G-10</v>
      </c>
      <c r="N1115" s="141" t="str">
        <f>IFERROR(__xludf.DUMMYFUNCTION("""COMPUTED_VALUE"""),"Student was very professional, described the significance methodology and results well. Would have been interesting to include more context via some literature review , ie how does the work compare to similar published work. ")</f>
        <v>Student was very professional, described the significance methodology and results well. Would have been interesting to include more context via some literature review , ie how does the work compare to similar published work. </v>
      </c>
      <c r="O1115" s="142" t="str">
        <f t="shared" si="1"/>
        <v/>
      </c>
      <c r="P1115" s="143" t="str">
        <f>IF(ISNA(VLOOKUP(CONCAT(M1115,C1115), 'Judge Count DO NOT EDIT'!H:H, 1, FALSE)), "ERROR","")</f>
        <v/>
      </c>
      <c r="Q1115" s="141"/>
      <c r="R1115" s="143"/>
      <c r="S1115" s="139" t="str">
        <f t="shared" si="2"/>
        <v>1107459</v>
      </c>
      <c r="T1115" s="141"/>
    </row>
    <row r="1116">
      <c r="A1116" s="137">
        <f>IFERROR(__xludf.DUMMYFUNCTION("""COMPUTED_VALUE"""),45352.534043611115)</f>
        <v>45352.53404</v>
      </c>
      <c r="B1116" s="138" t="str">
        <f>IFERROR(__xludf.DUMMYFUNCTION("""COMPUTED_VALUE"""),"Carmelo Interlando")</f>
        <v>Carmelo Interlando</v>
      </c>
      <c r="C1116" s="138">
        <f>IFERROR(__xludf.DUMMYFUNCTION("""COMPUTED_VALUE"""),1096.0)</f>
        <v>1096</v>
      </c>
      <c r="D1116" s="139">
        <f>IFERROR(__xludf.DUMMYFUNCTION("""COMPUTED_VALUE"""),459.0)</f>
        <v>459</v>
      </c>
      <c r="E1116" s="138">
        <f>IFERROR(__xludf.DUMMYFUNCTION("""COMPUTED_VALUE"""),4.0)</f>
        <v>4</v>
      </c>
      <c r="F1116" s="138">
        <f>IFERROR(__xludf.DUMMYFUNCTION("""COMPUTED_VALUE"""),3.0)</f>
        <v>3</v>
      </c>
      <c r="G1116" s="138">
        <f>IFERROR(__xludf.DUMMYFUNCTION("""COMPUTED_VALUE"""),5.0)</f>
        <v>5</v>
      </c>
      <c r="H1116" s="138">
        <f>IFERROR(__xludf.DUMMYFUNCTION("""COMPUTED_VALUE"""),4.0)</f>
        <v>4</v>
      </c>
      <c r="I1116" s="138">
        <f>IFERROR(__xludf.DUMMYFUNCTION("""COMPUTED_VALUE"""),4.0)</f>
        <v>4</v>
      </c>
      <c r="J1116" s="138">
        <f>IFERROR(__xludf.DUMMYFUNCTION("""COMPUTED_VALUE"""),3.0)</f>
        <v>3</v>
      </c>
      <c r="K1116" s="138">
        <f>IFERROR(__xludf.DUMMYFUNCTION("""COMPUTED_VALUE"""),4.0)</f>
        <v>4</v>
      </c>
      <c r="L1116" s="138">
        <v>27.0</v>
      </c>
      <c r="M1116" s="140" t="str">
        <f>VLOOKUP(text(D1116, "#"),'Master Table'!$A:$F, 6, FALSE)</f>
        <v>G-10</v>
      </c>
      <c r="N1116" s="141"/>
      <c r="O1116" s="142" t="str">
        <f t="shared" si="1"/>
        <v/>
      </c>
      <c r="P1116" s="143" t="str">
        <f>IF(ISNA(VLOOKUP(CONCAT(M1116,C1116), 'Judge Count DO NOT EDIT'!H:H, 1, FALSE)), "ERROR","")</f>
        <v/>
      </c>
      <c r="Q1116" s="141"/>
      <c r="R1116" s="143"/>
      <c r="S1116" s="139" t="str">
        <f t="shared" si="2"/>
        <v>1096459</v>
      </c>
      <c r="T1116" s="141"/>
    </row>
    <row r="1117">
      <c r="A1117" s="137">
        <f>IFERROR(__xludf.DUMMYFUNCTION("""COMPUTED_VALUE"""),45352.47216675926)</f>
        <v>45352.47217</v>
      </c>
      <c r="B1117" s="138" t="str">
        <f>IFERROR(__xludf.DUMMYFUNCTION("""COMPUTED_VALUE"""),"David trejo")</f>
        <v>David trejo</v>
      </c>
      <c r="C1117" s="138">
        <f>IFERROR(__xludf.DUMMYFUNCTION("""COMPUTED_VALUE"""),1170.0)</f>
        <v>1170</v>
      </c>
      <c r="D1117" s="139">
        <f>IFERROR(__xludf.DUMMYFUNCTION("""COMPUTED_VALUE"""),460.0)</f>
        <v>460</v>
      </c>
      <c r="E1117" s="138">
        <f>IFERROR(__xludf.DUMMYFUNCTION("""COMPUTED_VALUE"""),4.0)</f>
        <v>4</v>
      </c>
      <c r="F1117" s="138">
        <f>IFERROR(__xludf.DUMMYFUNCTION("""COMPUTED_VALUE"""),4.0)</f>
        <v>4</v>
      </c>
      <c r="G1117" s="138">
        <f>IFERROR(__xludf.DUMMYFUNCTION("""COMPUTED_VALUE"""),5.0)</f>
        <v>5</v>
      </c>
      <c r="H1117" s="138">
        <f>IFERROR(__xludf.DUMMYFUNCTION("""COMPUTED_VALUE"""),4.0)</f>
        <v>4</v>
      </c>
      <c r="I1117" s="138">
        <f>IFERROR(__xludf.DUMMYFUNCTION("""COMPUTED_VALUE"""),4.0)</f>
        <v>4</v>
      </c>
      <c r="J1117" s="138">
        <f>IFERROR(__xludf.DUMMYFUNCTION("""COMPUTED_VALUE"""),4.0)</f>
        <v>4</v>
      </c>
      <c r="K1117" s="138">
        <f>IFERROR(__xludf.DUMMYFUNCTION("""COMPUTED_VALUE"""),5.0)</f>
        <v>5</v>
      </c>
      <c r="L1117" s="138">
        <v>30.0</v>
      </c>
      <c r="M1117" s="140" t="str">
        <f>VLOOKUP(text(D1117, "#"),'Master Table'!$A:$F, 6, FALSE)</f>
        <v>G-10</v>
      </c>
      <c r="N1117" s="141"/>
      <c r="O1117" s="142" t="str">
        <f t="shared" si="1"/>
        <v/>
      </c>
      <c r="P1117" s="143" t="str">
        <f>IF(ISNA(VLOOKUP(CONCAT(M1117,C1117), 'Judge Count DO NOT EDIT'!H:H, 1, FALSE)), "ERROR","")</f>
        <v/>
      </c>
      <c r="Q1117" s="141"/>
      <c r="R1117" s="143"/>
      <c r="S1117" s="139" t="str">
        <f t="shared" si="2"/>
        <v>1170460</v>
      </c>
      <c r="T1117" s="141"/>
    </row>
    <row r="1118">
      <c r="A1118" s="137">
        <f>IFERROR(__xludf.DUMMYFUNCTION("""COMPUTED_VALUE"""),45352.50154261574)</f>
        <v>45352.50154</v>
      </c>
      <c r="B1118" s="138" t="str">
        <f>IFERROR(__xludf.DUMMYFUNCTION("""COMPUTED_VALUE"""),"Roger Whitney ")</f>
        <v>Roger Whitney </v>
      </c>
      <c r="C1118" s="138">
        <f>IFERROR(__xludf.DUMMYFUNCTION("""COMPUTED_VALUE"""),1091.0)</f>
        <v>1091</v>
      </c>
      <c r="D1118" s="139">
        <f>IFERROR(__xludf.DUMMYFUNCTION("""COMPUTED_VALUE"""),460.0)</f>
        <v>460</v>
      </c>
      <c r="E1118" s="138">
        <f>IFERROR(__xludf.DUMMYFUNCTION("""COMPUTED_VALUE"""),4.0)</f>
        <v>4</v>
      </c>
      <c r="F1118" s="138">
        <f>IFERROR(__xludf.DUMMYFUNCTION("""COMPUTED_VALUE"""),4.0)</f>
        <v>4</v>
      </c>
      <c r="G1118" s="138">
        <f>IFERROR(__xludf.DUMMYFUNCTION("""COMPUTED_VALUE"""),4.0)</f>
        <v>4</v>
      </c>
      <c r="H1118" s="138">
        <f>IFERROR(__xludf.DUMMYFUNCTION("""COMPUTED_VALUE"""),4.0)</f>
        <v>4</v>
      </c>
      <c r="I1118" s="138">
        <f>IFERROR(__xludf.DUMMYFUNCTION("""COMPUTED_VALUE"""),4.0)</f>
        <v>4</v>
      </c>
      <c r="J1118" s="138">
        <f>IFERROR(__xludf.DUMMYFUNCTION("""COMPUTED_VALUE"""),4.0)</f>
        <v>4</v>
      </c>
      <c r="K1118" s="138">
        <f>IFERROR(__xludf.DUMMYFUNCTION("""COMPUTED_VALUE"""),4.0)</f>
        <v>4</v>
      </c>
      <c r="L1118" s="138">
        <v>28.0</v>
      </c>
      <c r="M1118" s="140" t="str">
        <f>VLOOKUP(text(D1118, "#"),'Master Table'!$A:$F, 6, FALSE)</f>
        <v>G-10</v>
      </c>
      <c r="N1118" s="141"/>
      <c r="O1118" s="142" t="str">
        <f t="shared" si="1"/>
        <v/>
      </c>
      <c r="P1118" s="143" t="str">
        <f>IF(ISNA(VLOOKUP(CONCAT(M1118,C1118), 'Judge Count DO NOT EDIT'!H:H, 1, FALSE)), "ERROR","")</f>
        <v/>
      </c>
      <c r="Q1118" s="141"/>
      <c r="R1118" s="143"/>
      <c r="S1118" s="139" t="str">
        <f t="shared" si="2"/>
        <v>1091460</v>
      </c>
      <c r="T1118" s="141"/>
    </row>
    <row r="1119">
      <c r="A1119" s="137">
        <f>IFERROR(__xludf.DUMMYFUNCTION("""COMPUTED_VALUE"""),45352.524548692134)</f>
        <v>45352.52455</v>
      </c>
      <c r="B1119" s="138" t="str">
        <f>IFERROR(__xludf.DUMMYFUNCTION("""COMPUTED_VALUE"""),"Jade Roccoforte")</f>
        <v>Jade Roccoforte</v>
      </c>
      <c r="C1119" s="138">
        <f>IFERROR(__xludf.DUMMYFUNCTION("""COMPUTED_VALUE"""),1107.0)</f>
        <v>1107</v>
      </c>
      <c r="D1119" s="139">
        <f>IFERROR(__xludf.DUMMYFUNCTION("""COMPUTED_VALUE"""),460.0)</f>
        <v>460</v>
      </c>
      <c r="E1119" s="138">
        <f>IFERROR(__xludf.DUMMYFUNCTION("""COMPUTED_VALUE"""),5.0)</f>
        <v>5</v>
      </c>
      <c r="F1119" s="138">
        <f>IFERROR(__xludf.DUMMYFUNCTION("""COMPUTED_VALUE"""),5.0)</f>
        <v>5</v>
      </c>
      <c r="G1119" s="138">
        <f>IFERROR(__xludf.DUMMYFUNCTION("""COMPUTED_VALUE"""),5.0)</f>
        <v>5</v>
      </c>
      <c r="H1119" s="138">
        <f>IFERROR(__xludf.DUMMYFUNCTION("""COMPUTED_VALUE"""),5.0)</f>
        <v>5</v>
      </c>
      <c r="I1119" s="138">
        <f>IFERROR(__xludf.DUMMYFUNCTION("""COMPUTED_VALUE"""),5.0)</f>
        <v>5</v>
      </c>
      <c r="J1119" s="138">
        <f>IFERROR(__xludf.DUMMYFUNCTION("""COMPUTED_VALUE"""),5.0)</f>
        <v>5</v>
      </c>
      <c r="K1119" s="138">
        <f>IFERROR(__xludf.DUMMYFUNCTION("""COMPUTED_VALUE"""),5.0)</f>
        <v>5</v>
      </c>
      <c r="L1119" s="138">
        <v>35.0</v>
      </c>
      <c r="M1119" s="140" t="str">
        <f>VLOOKUP(text(D1119, "#"),'Master Table'!$A:$F, 6, FALSE)</f>
        <v>G-10</v>
      </c>
      <c r="N1119" s="141" t="str">
        <f>IFERROR(__xludf.DUMMYFUNCTION("""COMPUTED_VALUE"""),"Poster is well organized and unique to grab audience attention. Student demonstrates exceptional independent and critical thinking, has own ideas of what she would like to investigate next. ")</f>
        <v>Poster is well organized and unique to grab audience attention. Student demonstrates exceptional independent and critical thinking, has own ideas of what she would like to investigate next. </v>
      </c>
      <c r="O1119" s="142" t="str">
        <f t="shared" si="1"/>
        <v/>
      </c>
      <c r="P1119" s="143" t="str">
        <f>IF(ISNA(VLOOKUP(CONCAT(M1119,C1119), 'Judge Count DO NOT EDIT'!H:H, 1, FALSE)), "ERROR","")</f>
        <v/>
      </c>
      <c r="Q1119" s="141"/>
      <c r="R1119" s="143"/>
      <c r="S1119" s="139" t="str">
        <f t="shared" si="2"/>
        <v>1107460</v>
      </c>
      <c r="T1119" s="141"/>
    </row>
    <row r="1120">
      <c r="A1120" s="137">
        <f>IFERROR(__xludf.DUMMYFUNCTION("""COMPUTED_VALUE"""),45352.535191863426)</f>
        <v>45352.53519</v>
      </c>
      <c r="B1120" s="138" t="str">
        <f>IFERROR(__xludf.DUMMYFUNCTION("""COMPUTED_VALUE"""),"Carmelo Interlando")</f>
        <v>Carmelo Interlando</v>
      </c>
      <c r="C1120" s="138">
        <f>IFERROR(__xludf.DUMMYFUNCTION("""COMPUTED_VALUE"""),1096.0)</f>
        <v>1096</v>
      </c>
      <c r="D1120" s="139">
        <f>IFERROR(__xludf.DUMMYFUNCTION("""COMPUTED_VALUE"""),460.0)</f>
        <v>460</v>
      </c>
      <c r="E1120" s="138">
        <f>IFERROR(__xludf.DUMMYFUNCTION("""COMPUTED_VALUE"""),5.0)</f>
        <v>5</v>
      </c>
      <c r="F1120" s="138">
        <f>IFERROR(__xludf.DUMMYFUNCTION("""COMPUTED_VALUE"""),4.0)</f>
        <v>4</v>
      </c>
      <c r="G1120" s="138">
        <f>IFERROR(__xludf.DUMMYFUNCTION("""COMPUTED_VALUE"""),5.0)</f>
        <v>5</v>
      </c>
      <c r="H1120" s="138">
        <f>IFERROR(__xludf.DUMMYFUNCTION("""COMPUTED_VALUE"""),5.0)</f>
        <v>5</v>
      </c>
      <c r="I1120" s="138">
        <f>IFERROR(__xludf.DUMMYFUNCTION("""COMPUTED_VALUE"""),5.0)</f>
        <v>5</v>
      </c>
      <c r="J1120" s="138">
        <f>IFERROR(__xludf.DUMMYFUNCTION("""COMPUTED_VALUE"""),4.0)</f>
        <v>4</v>
      </c>
      <c r="K1120" s="138">
        <f>IFERROR(__xludf.DUMMYFUNCTION("""COMPUTED_VALUE"""),5.0)</f>
        <v>5</v>
      </c>
      <c r="L1120" s="138">
        <v>33.0</v>
      </c>
      <c r="M1120" s="140" t="str">
        <f>VLOOKUP(text(D1120, "#"),'Master Table'!$A:$F, 6, FALSE)</f>
        <v>G-10</v>
      </c>
      <c r="N1120" s="141"/>
      <c r="O1120" s="142" t="str">
        <f t="shared" si="1"/>
        <v/>
      </c>
      <c r="P1120" s="143" t="str">
        <f>IF(ISNA(VLOOKUP(CONCAT(M1120,C1120), 'Judge Count DO NOT EDIT'!H:H, 1, FALSE)), "ERROR","")</f>
        <v/>
      </c>
      <c r="Q1120" s="141"/>
      <c r="R1120" s="143"/>
      <c r="S1120" s="139" t="str">
        <f t="shared" si="2"/>
        <v>1096460</v>
      </c>
      <c r="T1120" s="141"/>
    </row>
    <row r="1121">
      <c r="A1121" s="137">
        <f>IFERROR(__xludf.DUMMYFUNCTION("""COMPUTED_VALUE"""),45352.5161787963)</f>
        <v>45352.51618</v>
      </c>
      <c r="B1121" s="138" t="str">
        <f>IFERROR(__xludf.DUMMYFUNCTION("""COMPUTED_VALUE"""),"Sanjay Yadav")</f>
        <v>Sanjay Yadav</v>
      </c>
      <c r="C1121" s="138">
        <f>IFERROR(__xludf.DUMMYFUNCTION("""COMPUTED_VALUE"""),1143.0)</f>
        <v>1143</v>
      </c>
      <c r="D1121" s="139">
        <f>IFERROR(__xludf.DUMMYFUNCTION("""COMPUTED_VALUE"""),461.0)</f>
        <v>461</v>
      </c>
      <c r="E1121" s="138">
        <f>IFERROR(__xludf.DUMMYFUNCTION("""COMPUTED_VALUE"""),4.0)</f>
        <v>4</v>
      </c>
      <c r="F1121" s="138">
        <f>IFERROR(__xludf.DUMMYFUNCTION("""COMPUTED_VALUE"""),4.0)</f>
        <v>4</v>
      </c>
      <c r="G1121" s="138">
        <f>IFERROR(__xludf.DUMMYFUNCTION("""COMPUTED_VALUE"""),4.0)</f>
        <v>4</v>
      </c>
      <c r="H1121" s="138">
        <f>IFERROR(__xludf.DUMMYFUNCTION("""COMPUTED_VALUE"""),4.0)</f>
        <v>4</v>
      </c>
      <c r="I1121" s="138">
        <f>IFERROR(__xludf.DUMMYFUNCTION("""COMPUTED_VALUE"""),4.0)</f>
        <v>4</v>
      </c>
      <c r="J1121" s="138">
        <f>IFERROR(__xludf.DUMMYFUNCTION("""COMPUTED_VALUE"""),4.0)</f>
        <v>4</v>
      </c>
      <c r="K1121" s="138">
        <f>IFERROR(__xludf.DUMMYFUNCTION("""COMPUTED_VALUE"""),4.0)</f>
        <v>4</v>
      </c>
      <c r="L1121" s="138">
        <v>28.0</v>
      </c>
      <c r="M1121" s="140" t="str">
        <f>VLOOKUP(text(D1121, "#"),'Master Table'!$A:$F, 6, FALSE)</f>
        <v>G-11</v>
      </c>
      <c r="N1121" s="141"/>
      <c r="O1121" s="142" t="str">
        <f t="shared" si="1"/>
        <v/>
      </c>
      <c r="P1121" s="143" t="str">
        <f>IF(ISNA(VLOOKUP(CONCAT(M1121,C1121), 'Judge Count DO NOT EDIT'!H:H, 1, FALSE)), "ERROR","")</f>
        <v/>
      </c>
      <c r="Q1121" s="141"/>
      <c r="R1121" s="143"/>
      <c r="S1121" s="139" t="str">
        <f t="shared" si="2"/>
        <v>1143461</v>
      </c>
      <c r="T1121" s="141"/>
    </row>
    <row r="1122">
      <c r="A1122" s="137">
        <f>IFERROR(__xludf.DUMMYFUNCTION("""COMPUTED_VALUE"""),45352.51635497685)</f>
        <v>45352.51635</v>
      </c>
      <c r="B1122" s="138" t="str">
        <f>IFERROR(__xludf.DUMMYFUNCTION("""COMPUTED_VALUE"""),"Kanchan Mishra")</f>
        <v>Kanchan Mishra</v>
      </c>
      <c r="C1122" s="138">
        <f>IFERROR(__xludf.DUMMYFUNCTION("""COMPUTED_VALUE"""),1126.0)</f>
        <v>1126</v>
      </c>
      <c r="D1122" s="139">
        <f>IFERROR(__xludf.DUMMYFUNCTION("""COMPUTED_VALUE"""),461.0)</f>
        <v>461</v>
      </c>
      <c r="E1122" s="138">
        <f>IFERROR(__xludf.DUMMYFUNCTION("""COMPUTED_VALUE"""),4.0)</f>
        <v>4</v>
      </c>
      <c r="F1122" s="138">
        <f>IFERROR(__xludf.DUMMYFUNCTION("""COMPUTED_VALUE"""),4.0)</f>
        <v>4</v>
      </c>
      <c r="G1122" s="138">
        <f>IFERROR(__xludf.DUMMYFUNCTION("""COMPUTED_VALUE"""),4.0)</f>
        <v>4</v>
      </c>
      <c r="H1122" s="138">
        <f>IFERROR(__xludf.DUMMYFUNCTION("""COMPUTED_VALUE"""),4.0)</f>
        <v>4</v>
      </c>
      <c r="I1122" s="138">
        <f>IFERROR(__xludf.DUMMYFUNCTION("""COMPUTED_VALUE"""),4.0)</f>
        <v>4</v>
      </c>
      <c r="J1122" s="138">
        <f>IFERROR(__xludf.DUMMYFUNCTION("""COMPUTED_VALUE"""),4.0)</f>
        <v>4</v>
      </c>
      <c r="K1122" s="138">
        <f>IFERROR(__xludf.DUMMYFUNCTION("""COMPUTED_VALUE"""),4.0)</f>
        <v>4</v>
      </c>
      <c r="L1122" s="138">
        <v>28.0</v>
      </c>
      <c r="M1122" s="140" t="str">
        <f>VLOOKUP(text(D1122, "#"),'Master Table'!$A:$F, 6, FALSE)</f>
        <v>G-11</v>
      </c>
      <c r="N1122" s="141"/>
      <c r="O1122" s="142" t="str">
        <f t="shared" si="1"/>
        <v/>
      </c>
      <c r="P1122" s="143" t="str">
        <f>IF(ISNA(VLOOKUP(CONCAT(M1122,C1122), 'Judge Count DO NOT EDIT'!H:H, 1, FALSE)), "ERROR","")</f>
        <v/>
      </c>
      <c r="Q1122" s="141"/>
      <c r="R1122" s="143"/>
      <c r="S1122" s="139" t="str">
        <f t="shared" si="2"/>
        <v>1126461</v>
      </c>
      <c r="T1122" s="141"/>
    </row>
    <row r="1123">
      <c r="A1123" s="137">
        <f>IFERROR(__xludf.DUMMYFUNCTION("""COMPUTED_VALUE"""),45352.5350503588)</f>
        <v>45352.53505</v>
      </c>
      <c r="B1123" s="138" t="str">
        <f>IFERROR(__xludf.DUMMYFUNCTION("""COMPUTED_VALUE"""),"Jing Gu")</f>
        <v>Jing Gu</v>
      </c>
      <c r="C1123" s="138">
        <f>IFERROR(__xludf.DUMMYFUNCTION("""COMPUTED_VALUE"""),1086.0)</f>
        <v>1086</v>
      </c>
      <c r="D1123" s="139">
        <f>IFERROR(__xludf.DUMMYFUNCTION("""COMPUTED_VALUE"""),461.0)</f>
        <v>461</v>
      </c>
      <c r="E1123" s="138">
        <f>IFERROR(__xludf.DUMMYFUNCTION("""COMPUTED_VALUE"""),3.0)</f>
        <v>3</v>
      </c>
      <c r="F1123" s="138">
        <f>IFERROR(__xludf.DUMMYFUNCTION("""COMPUTED_VALUE"""),4.0)</f>
        <v>4</v>
      </c>
      <c r="G1123" s="138">
        <f>IFERROR(__xludf.DUMMYFUNCTION("""COMPUTED_VALUE"""),5.0)</f>
        <v>5</v>
      </c>
      <c r="H1123" s="138">
        <f>IFERROR(__xludf.DUMMYFUNCTION("""COMPUTED_VALUE"""),4.0)</f>
        <v>4</v>
      </c>
      <c r="I1123" s="138">
        <f>IFERROR(__xludf.DUMMYFUNCTION("""COMPUTED_VALUE"""),3.0)</f>
        <v>3</v>
      </c>
      <c r="J1123" s="138">
        <f>IFERROR(__xludf.DUMMYFUNCTION("""COMPUTED_VALUE"""),3.0)</f>
        <v>3</v>
      </c>
      <c r="K1123" s="138">
        <f>IFERROR(__xludf.DUMMYFUNCTION("""COMPUTED_VALUE"""),4.0)</f>
        <v>4</v>
      </c>
      <c r="L1123" s="138">
        <v>26.0</v>
      </c>
      <c r="M1123" s="140" t="str">
        <f>VLOOKUP(text(D1123, "#"),'Master Table'!$A:$F, 6, FALSE)</f>
        <v>G-11</v>
      </c>
      <c r="N1123" s="141"/>
      <c r="O1123" s="142" t="str">
        <f t="shared" si="1"/>
        <v/>
      </c>
      <c r="P1123" s="143" t="str">
        <f>IF(ISNA(VLOOKUP(CONCAT(M1123,C1123), 'Judge Count DO NOT EDIT'!H:H, 1, FALSE)), "ERROR","")</f>
        <v/>
      </c>
      <c r="Q1123" s="141"/>
      <c r="R1123" s="143"/>
      <c r="S1123" s="139" t="str">
        <f t="shared" si="2"/>
        <v>1086461</v>
      </c>
      <c r="T1123" s="141"/>
    </row>
    <row r="1124">
      <c r="A1124" s="137">
        <f>IFERROR(__xludf.DUMMYFUNCTION("""COMPUTED_VALUE"""),45352.51742445602)</f>
        <v>45352.51742</v>
      </c>
      <c r="B1124" s="138" t="str">
        <f>IFERROR(__xludf.DUMMYFUNCTION("""COMPUTED_VALUE"""),"Kanchan Mishra")</f>
        <v>Kanchan Mishra</v>
      </c>
      <c r="C1124" s="138">
        <f>IFERROR(__xludf.DUMMYFUNCTION("""COMPUTED_VALUE"""),1126.0)</f>
        <v>1126</v>
      </c>
      <c r="D1124" s="139">
        <f>IFERROR(__xludf.DUMMYFUNCTION("""COMPUTED_VALUE"""),462.0)</f>
        <v>462</v>
      </c>
      <c r="E1124" s="138">
        <f>IFERROR(__xludf.DUMMYFUNCTION("""COMPUTED_VALUE"""),4.0)</f>
        <v>4</v>
      </c>
      <c r="F1124" s="138">
        <f>IFERROR(__xludf.DUMMYFUNCTION("""COMPUTED_VALUE"""),4.0)</f>
        <v>4</v>
      </c>
      <c r="G1124" s="138">
        <f>IFERROR(__xludf.DUMMYFUNCTION("""COMPUTED_VALUE"""),4.0)</f>
        <v>4</v>
      </c>
      <c r="H1124" s="138">
        <f>IFERROR(__xludf.DUMMYFUNCTION("""COMPUTED_VALUE"""),4.0)</f>
        <v>4</v>
      </c>
      <c r="I1124" s="138">
        <f>IFERROR(__xludf.DUMMYFUNCTION("""COMPUTED_VALUE"""),4.0)</f>
        <v>4</v>
      </c>
      <c r="J1124" s="138">
        <f>IFERROR(__xludf.DUMMYFUNCTION("""COMPUTED_VALUE"""),4.0)</f>
        <v>4</v>
      </c>
      <c r="K1124" s="138">
        <f>IFERROR(__xludf.DUMMYFUNCTION("""COMPUTED_VALUE"""),4.0)</f>
        <v>4</v>
      </c>
      <c r="L1124" s="138">
        <v>28.0</v>
      </c>
      <c r="M1124" s="140" t="str">
        <f>VLOOKUP(text(D1124, "#"),'Master Table'!$A:$F, 6, FALSE)</f>
        <v>G-11</v>
      </c>
      <c r="N1124" s="141"/>
      <c r="O1124" s="142" t="str">
        <f t="shared" si="1"/>
        <v/>
      </c>
      <c r="P1124" s="143" t="str">
        <f>IF(ISNA(VLOOKUP(CONCAT(M1124,C1124), 'Judge Count DO NOT EDIT'!H:H, 1, FALSE)), "ERROR","")</f>
        <v/>
      </c>
      <c r="Q1124" s="141"/>
      <c r="R1124" s="143"/>
      <c r="S1124" s="139" t="str">
        <f t="shared" si="2"/>
        <v>1126462</v>
      </c>
      <c r="T1124" s="141"/>
    </row>
    <row r="1125">
      <c r="A1125" s="137">
        <f>IFERROR(__xludf.DUMMYFUNCTION("""COMPUTED_VALUE"""),45352.52194106481)</f>
        <v>45352.52194</v>
      </c>
      <c r="B1125" s="138" t="str">
        <f>IFERROR(__xludf.DUMMYFUNCTION("""COMPUTED_VALUE"""),"Sanjay Yadav")</f>
        <v>Sanjay Yadav</v>
      </c>
      <c r="C1125" s="138">
        <f>IFERROR(__xludf.DUMMYFUNCTION("""COMPUTED_VALUE"""),1143.0)</f>
        <v>1143</v>
      </c>
      <c r="D1125" s="139">
        <f>IFERROR(__xludf.DUMMYFUNCTION("""COMPUTED_VALUE"""),462.0)</f>
        <v>462</v>
      </c>
      <c r="E1125" s="138">
        <f>IFERROR(__xludf.DUMMYFUNCTION("""COMPUTED_VALUE"""),4.0)</f>
        <v>4</v>
      </c>
      <c r="F1125" s="138">
        <f>IFERROR(__xludf.DUMMYFUNCTION("""COMPUTED_VALUE"""),4.0)</f>
        <v>4</v>
      </c>
      <c r="G1125" s="138">
        <f>IFERROR(__xludf.DUMMYFUNCTION("""COMPUTED_VALUE"""),4.0)</f>
        <v>4</v>
      </c>
      <c r="H1125" s="138">
        <f>IFERROR(__xludf.DUMMYFUNCTION("""COMPUTED_VALUE"""),4.0)</f>
        <v>4</v>
      </c>
      <c r="I1125" s="138">
        <f>IFERROR(__xludf.DUMMYFUNCTION("""COMPUTED_VALUE"""),3.0)</f>
        <v>3</v>
      </c>
      <c r="J1125" s="138">
        <f>IFERROR(__xludf.DUMMYFUNCTION("""COMPUTED_VALUE"""),4.0)</f>
        <v>4</v>
      </c>
      <c r="K1125" s="138">
        <f>IFERROR(__xludf.DUMMYFUNCTION("""COMPUTED_VALUE"""),4.0)</f>
        <v>4</v>
      </c>
      <c r="L1125" s="138">
        <v>27.0</v>
      </c>
      <c r="M1125" s="140" t="str">
        <f>VLOOKUP(text(D1125, "#"),'Master Table'!$A:$F, 6, FALSE)</f>
        <v>G-11</v>
      </c>
      <c r="N1125" s="141"/>
      <c r="O1125" s="142" t="str">
        <f t="shared" si="1"/>
        <v/>
      </c>
      <c r="P1125" s="143" t="str">
        <f>IF(ISNA(VLOOKUP(CONCAT(M1125,C1125), 'Judge Count DO NOT EDIT'!H:H, 1, FALSE)), "ERROR","")</f>
        <v/>
      </c>
      <c r="Q1125" s="141"/>
      <c r="R1125" s="143"/>
      <c r="S1125" s="139" t="str">
        <f t="shared" si="2"/>
        <v>1143462</v>
      </c>
      <c r="T1125" s="141"/>
    </row>
    <row r="1126">
      <c r="A1126" s="137">
        <f>IFERROR(__xludf.DUMMYFUNCTION("""COMPUTED_VALUE"""),45352.535469270835)</f>
        <v>45352.53547</v>
      </c>
      <c r="B1126" s="138" t="str">
        <f>IFERROR(__xludf.DUMMYFUNCTION("""COMPUTED_VALUE"""),"Jing Gu")</f>
        <v>Jing Gu</v>
      </c>
      <c r="C1126" s="138">
        <f>IFERROR(__xludf.DUMMYFUNCTION("""COMPUTED_VALUE"""),1086.0)</f>
        <v>1086</v>
      </c>
      <c r="D1126" s="139">
        <f>IFERROR(__xludf.DUMMYFUNCTION("""COMPUTED_VALUE"""),462.0)</f>
        <v>462</v>
      </c>
      <c r="E1126" s="138">
        <f>IFERROR(__xludf.DUMMYFUNCTION("""COMPUTED_VALUE"""),4.0)</f>
        <v>4</v>
      </c>
      <c r="F1126" s="138">
        <f>IFERROR(__xludf.DUMMYFUNCTION("""COMPUTED_VALUE"""),5.0)</f>
        <v>5</v>
      </c>
      <c r="G1126" s="138">
        <f>IFERROR(__xludf.DUMMYFUNCTION("""COMPUTED_VALUE"""),4.0)</f>
        <v>4</v>
      </c>
      <c r="H1126" s="138">
        <f>IFERROR(__xludf.DUMMYFUNCTION("""COMPUTED_VALUE"""),4.0)</f>
        <v>4</v>
      </c>
      <c r="I1126" s="138">
        <f>IFERROR(__xludf.DUMMYFUNCTION("""COMPUTED_VALUE"""),3.0)</f>
        <v>3</v>
      </c>
      <c r="J1126" s="138">
        <f>IFERROR(__xludf.DUMMYFUNCTION("""COMPUTED_VALUE"""),3.0)</f>
        <v>3</v>
      </c>
      <c r="K1126" s="138">
        <f>IFERROR(__xludf.DUMMYFUNCTION("""COMPUTED_VALUE"""),3.0)</f>
        <v>3</v>
      </c>
      <c r="L1126" s="138">
        <v>26.0</v>
      </c>
      <c r="M1126" s="140" t="str">
        <f>VLOOKUP(text(D1126, "#"),'Master Table'!$A:$F, 6, FALSE)</f>
        <v>G-11</v>
      </c>
      <c r="N1126" s="141"/>
      <c r="O1126" s="142" t="str">
        <f t="shared" si="1"/>
        <v/>
      </c>
      <c r="P1126" s="143" t="str">
        <f>IF(ISNA(VLOOKUP(CONCAT(M1126,C1126), 'Judge Count DO NOT EDIT'!H:H, 1, FALSE)), "ERROR","")</f>
        <v/>
      </c>
      <c r="Q1126" s="141"/>
      <c r="R1126" s="143"/>
      <c r="S1126" s="139" t="str">
        <f t="shared" si="2"/>
        <v>1086462</v>
      </c>
      <c r="T1126" s="141"/>
    </row>
    <row r="1127">
      <c r="A1127" s="137">
        <f>IFERROR(__xludf.DUMMYFUNCTION("""COMPUTED_VALUE"""),45352.51059837963)</f>
        <v>45352.5106</v>
      </c>
      <c r="B1127" s="138" t="str">
        <f>IFERROR(__xludf.DUMMYFUNCTION("""COMPUTED_VALUE"""),"Kanchan Mishra")</f>
        <v>Kanchan Mishra</v>
      </c>
      <c r="C1127" s="138">
        <f>IFERROR(__xludf.DUMMYFUNCTION("""COMPUTED_VALUE"""),1126.0)</f>
        <v>1126</v>
      </c>
      <c r="D1127" s="139">
        <f>IFERROR(__xludf.DUMMYFUNCTION("""COMPUTED_VALUE"""),463.0)</f>
        <v>463</v>
      </c>
      <c r="E1127" s="138">
        <f>IFERROR(__xludf.DUMMYFUNCTION("""COMPUTED_VALUE"""),4.0)</f>
        <v>4</v>
      </c>
      <c r="F1127" s="138">
        <f>IFERROR(__xludf.DUMMYFUNCTION("""COMPUTED_VALUE"""),4.0)</f>
        <v>4</v>
      </c>
      <c r="G1127" s="138">
        <f>IFERROR(__xludf.DUMMYFUNCTION("""COMPUTED_VALUE"""),4.0)</f>
        <v>4</v>
      </c>
      <c r="H1127" s="138">
        <f>IFERROR(__xludf.DUMMYFUNCTION("""COMPUTED_VALUE"""),4.0)</f>
        <v>4</v>
      </c>
      <c r="I1127" s="138">
        <f>IFERROR(__xludf.DUMMYFUNCTION("""COMPUTED_VALUE"""),4.0)</f>
        <v>4</v>
      </c>
      <c r="J1127" s="138">
        <f>IFERROR(__xludf.DUMMYFUNCTION("""COMPUTED_VALUE"""),4.0)</f>
        <v>4</v>
      </c>
      <c r="K1127" s="138">
        <f>IFERROR(__xludf.DUMMYFUNCTION("""COMPUTED_VALUE"""),4.0)</f>
        <v>4</v>
      </c>
      <c r="L1127" s="138">
        <v>28.0</v>
      </c>
      <c r="M1127" s="140" t="str">
        <f>VLOOKUP(text(D1127, "#"),'Master Table'!$A:$F, 6, FALSE)</f>
        <v>G-11</v>
      </c>
      <c r="N1127" s="141"/>
      <c r="O1127" s="142" t="str">
        <f t="shared" si="1"/>
        <v/>
      </c>
      <c r="P1127" s="143" t="str">
        <f>IF(ISNA(VLOOKUP(CONCAT(M1127,C1127), 'Judge Count DO NOT EDIT'!H:H, 1, FALSE)), "ERROR","")</f>
        <v/>
      </c>
      <c r="Q1127" s="141"/>
      <c r="R1127" s="143"/>
      <c r="S1127" s="139" t="str">
        <f t="shared" si="2"/>
        <v>1126463</v>
      </c>
      <c r="T1127" s="141"/>
    </row>
    <row r="1128">
      <c r="A1128" s="137">
        <f>IFERROR(__xludf.DUMMYFUNCTION("""COMPUTED_VALUE"""),45352.511804953705)</f>
        <v>45352.5118</v>
      </c>
      <c r="B1128" s="138" t="str">
        <f>IFERROR(__xludf.DUMMYFUNCTION("""COMPUTED_VALUE"""),"Sanjay Yadav")</f>
        <v>Sanjay Yadav</v>
      </c>
      <c r="C1128" s="138">
        <f>IFERROR(__xludf.DUMMYFUNCTION("""COMPUTED_VALUE"""),1143.0)</f>
        <v>1143</v>
      </c>
      <c r="D1128" s="139">
        <f>IFERROR(__xludf.DUMMYFUNCTION("""COMPUTED_VALUE"""),463.0)</f>
        <v>463</v>
      </c>
      <c r="E1128" s="138">
        <f>IFERROR(__xludf.DUMMYFUNCTION("""COMPUTED_VALUE"""),3.0)</f>
        <v>3</v>
      </c>
      <c r="F1128" s="138">
        <f>IFERROR(__xludf.DUMMYFUNCTION("""COMPUTED_VALUE"""),4.0)</f>
        <v>4</v>
      </c>
      <c r="G1128" s="138">
        <f>IFERROR(__xludf.DUMMYFUNCTION("""COMPUTED_VALUE"""),4.0)</f>
        <v>4</v>
      </c>
      <c r="H1128" s="138">
        <f>IFERROR(__xludf.DUMMYFUNCTION("""COMPUTED_VALUE"""),4.0)</f>
        <v>4</v>
      </c>
      <c r="I1128" s="138">
        <f>IFERROR(__xludf.DUMMYFUNCTION("""COMPUTED_VALUE"""),4.0)</f>
        <v>4</v>
      </c>
      <c r="J1128" s="138">
        <f>IFERROR(__xludf.DUMMYFUNCTION("""COMPUTED_VALUE"""),4.0)</f>
        <v>4</v>
      </c>
      <c r="K1128" s="138">
        <f>IFERROR(__xludf.DUMMYFUNCTION("""COMPUTED_VALUE"""),4.0)</f>
        <v>4</v>
      </c>
      <c r="L1128" s="138">
        <v>27.0</v>
      </c>
      <c r="M1128" s="140" t="str">
        <f>VLOOKUP(text(D1128, "#"),'Master Table'!$A:$F, 6, FALSE)</f>
        <v>G-11</v>
      </c>
      <c r="N1128" s="141"/>
      <c r="O1128" s="142" t="str">
        <f t="shared" si="1"/>
        <v/>
      </c>
      <c r="P1128" s="143" t="str">
        <f>IF(ISNA(VLOOKUP(CONCAT(M1128,C1128), 'Judge Count DO NOT EDIT'!H:H, 1, FALSE)), "ERROR","")</f>
        <v/>
      </c>
      <c r="Q1128" s="141"/>
      <c r="R1128" s="143"/>
      <c r="S1128" s="139" t="str">
        <f t="shared" si="2"/>
        <v>1143463</v>
      </c>
      <c r="T1128" s="141"/>
    </row>
    <row r="1129">
      <c r="A1129" s="137">
        <f>IFERROR(__xludf.DUMMYFUNCTION("""COMPUTED_VALUE"""),45352.53585552084)</f>
        <v>45352.53586</v>
      </c>
      <c r="B1129" s="138" t="str">
        <f>IFERROR(__xludf.DUMMYFUNCTION("""COMPUTED_VALUE"""),"Jing Gu")</f>
        <v>Jing Gu</v>
      </c>
      <c r="C1129" s="138">
        <f>IFERROR(__xludf.DUMMYFUNCTION("""COMPUTED_VALUE"""),1086.0)</f>
        <v>1086</v>
      </c>
      <c r="D1129" s="139">
        <f>IFERROR(__xludf.DUMMYFUNCTION("""COMPUTED_VALUE"""),463.0)</f>
        <v>463</v>
      </c>
      <c r="E1129" s="138">
        <f>IFERROR(__xludf.DUMMYFUNCTION("""COMPUTED_VALUE"""),5.0)</f>
        <v>5</v>
      </c>
      <c r="F1129" s="138">
        <f>IFERROR(__xludf.DUMMYFUNCTION("""COMPUTED_VALUE"""),4.0)</f>
        <v>4</v>
      </c>
      <c r="G1129" s="138">
        <f>IFERROR(__xludf.DUMMYFUNCTION("""COMPUTED_VALUE"""),4.0)</f>
        <v>4</v>
      </c>
      <c r="H1129" s="138">
        <f>IFERROR(__xludf.DUMMYFUNCTION("""COMPUTED_VALUE"""),4.0)</f>
        <v>4</v>
      </c>
      <c r="I1129" s="138">
        <f>IFERROR(__xludf.DUMMYFUNCTION("""COMPUTED_VALUE"""),4.0)</f>
        <v>4</v>
      </c>
      <c r="J1129" s="138">
        <f>IFERROR(__xludf.DUMMYFUNCTION("""COMPUTED_VALUE"""),4.0)</f>
        <v>4</v>
      </c>
      <c r="K1129" s="138">
        <f>IFERROR(__xludf.DUMMYFUNCTION("""COMPUTED_VALUE"""),5.0)</f>
        <v>5</v>
      </c>
      <c r="L1129" s="138">
        <v>30.0</v>
      </c>
      <c r="M1129" s="140" t="str">
        <f>VLOOKUP(text(D1129, "#"),'Master Table'!$A:$F, 6, FALSE)</f>
        <v>G-11</v>
      </c>
      <c r="N1129" s="141"/>
      <c r="O1129" s="142" t="str">
        <f t="shared" si="1"/>
        <v/>
      </c>
      <c r="P1129" s="143" t="str">
        <f>IF(ISNA(VLOOKUP(CONCAT(M1129,C1129), 'Judge Count DO NOT EDIT'!H:H, 1, FALSE)), "ERROR","")</f>
        <v/>
      </c>
      <c r="Q1129" s="141"/>
      <c r="R1129" s="143"/>
      <c r="S1129" s="139" t="str">
        <f t="shared" si="2"/>
        <v>1086463</v>
      </c>
      <c r="T1129" s="141"/>
    </row>
    <row r="1130">
      <c r="A1130" s="137">
        <f>IFERROR(__xludf.DUMMYFUNCTION("""COMPUTED_VALUE"""),45352.5183550463)</f>
        <v>45352.51836</v>
      </c>
      <c r="B1130" s="138" t="str">
        <f>IFERROR(__xludf.DUMMYFUNCTION("""COMPUTED_VALUE"""),"Sanjay Yadav")</f>
        <v>Sanjay Yadav</v>
      </c>
      <c r="C1130" s="138">
        <f>IFERROR(__xludf.DUMMYFUNCTION("""COMPUTED_VALUE"""),1143.0)</f>
        <v>1143</v>
      </c>
      <c r="D1130" s="139">
        <f>IFERROR(__xludf.DUMMYFUNCTION("""COMPUTED_VALUE"""),464.0)</f>
        <v>464</v>
      </c>
      <c r="E1130" s="138">
        <f>IFERROR(__xludf.DUMMYFUNCTION("""COMPUTED_VALUE"""),3.0)</f>
        <v>3</v>
      </c>
      <c r="F1130" s="138">
        <f>IFERROR(__xludf.DUMMYFUNCTION("""COMPUTED_VALUE"""),3.0)</f>
        <v>3</v>
      </c>
      <c r="G1130" s="138">
        <f>IFERROR(__xludf.DUMMYFUNCTION("""COMPUTED_VALUE"""),4.0)</f>
        <v>4</v>
      </c>
      <c r="H1130" s="138">
        <f>IFERROR(__xludf.DUMMYFUNCTION("""COMPUTED_VALUE"""),4.0)</f>
        <v>4</v>
      </c>
      <c r="I1130" s="138">
        <f>IFERROR(__xludf.DUMMYFUNCTION("""COMPUTED_VALUE"""),3.0)</f>
        <v>3</v>
      </c>
      <c r="J1130" s="138">
        <f>IFERROR(__xludf.DUMMYFUNCTION("""COMPUTED_VALUE"""),3.0)</f>
        <v>3</v>
      </c>
      <c r="K1130" s="138">
        <f>IFERROR(__xludf.DUMMYFUNCTION("""COMPUTED_VALUE"""),4.0)</f>
        <v>4</v>
      </c>
      <c r="L1130" s="138">
        <v>24.0</v>
      </c>
      <c r="M1130" s="140" t="str">
        <f>VLOOKUP(text(D1130, "#"),'Master Table'!$A:$F, 6, FALSE)</f>
        <v>G-11</v>
      </c>
      <c r="N1130" s="141"/>
      <c r="O1130" s="142" t="str">
        <f t="shared" si="1"/>
        <v/>
      </c>
      <c r="P1130" s="143" t="str">
        <f>IF(ISNA(VLOOKUP(CONCAT(M1130,C1130), 'Judge Count DO NOT EDIT'!H:H, 1, FALSE)), "ERROR","")</f>
        <v/>
      </c>
      <c r="Q1130" s="141"/>
      <c r="R1130" s="143"/>
      <c r="S1130" s="139" t="str">
        <f t="shared" si="2"/>
        <v>1143464</v>
      </c>
      <c r="T1130" s="141"/>
    </row>
    <row r="1131">
      <c r="A1131" s="137">
        <f>IFERROR(__xludf.DUMMYFUNCTION("""COMPUTED_VALUE"""),45352.51857108796)</f>
        <v>45352.51857</v>
      </c>
      <c r="B1131" s="138" t="str">
        <f>IFERROR(__xludf.DUMMYFUNCTION("""COMPUTED_VALUE"""),"Kanchan Mishra")</f>
        <v>Kanchan Mishra</v>
      </c>
      <c r="C1131" s="138">
        <f>IFERROR(__xludf.DUMMYFUNCTION("""COMPUTED_VALUE"""),1126.0)</f>
        <v>1126</v>
      </c>
      <c r="D1131" s="139">
        <f>IFERROR(__xludf.DUMMYFUNCTION("""COMPUTED_VALUE"""),464.0)</f>
        <v>464</v>
      </c>
      <c r="E1131" s="138">
        <f>IFERROR(__xludf.DUMMYFUNCTION("""COMPUTED_VALUE"""),3.0)</f>
        <v>3</v>
      </c>
      <c r="F1131" s="138">
        <f>IFERROR(__xludf.DUMMYFUNCTION("""COMPUTED_VALUE"""),3.0)</f>
        <v>3</v>
      </c>
      <c r="G1131" s="138">
        <f>IFERROR(__xludf.DUMMYFUNCTION("""COMPUTED_VALUE"""),4.0)</f>
        <v>4</v>
      </c>
      <c r="H1131" s="138">
        <f>IFERROR(__xludf.DUMMYFUNCTION("""COMPUTED_VALUE"""),4.0)</f>
        <v>4</v>
      </c>
      <c r="I1131" s="138">
        <f>IFERROR(__xludf.DUMMYFUNCTION("""COMPUTED_VALUE"""),4.0)</f>
        <v>4</v>
      </c>
      <c r="J1131" s="138">
        <f>IFERROR(__xludf.DUMMYFUNCTION("""COMPUTED_VALUE"""),3.0)</f>
        <v>3</v>
      </c>
      <c r="K1131" s="138">
        <f>IFERROR(__xludf.DUMMYFUNCTION("""COMPUTED_VALUE"""),4.0)</f>
        <v>4</v>
      </c>
      <c r="L1131" s="138">
        <v>25.0</v>
      </c>
      <c r="M1131" s="140" t="str">
        <f>VLOOKUP(text(D1131, "#"),'Master Table'!$A:$F, 6, FALSE)</f>
        <v>G-11</v>
      </c>
      <c r="N1131" s="141"/>
      <c r="O1131" s="142" t="str">
        <f t="shared" si="1"/>
        <v/>
      </c>
      <c r="P1131" s="143" t="str">
        <f>IF(ISNA(VLOOKUP(CONCAT(M1131,C1131), 'Judge Count DO NOT EDIT'!H:H, 1, FALSE)), "ERROR","")</f>
        <v/>
      </c>
      <c r="Q1131" s="141"/>
      <c r="R1131" s="143"/>
      <c r="S1131" s="139" t="str">
        <f t="shared" si="2"/>
        <v>1126464</v>
      </c>
      <c r="T1131" s="141"/>
    </row>
    <row r="1132">
      <c r="A1132" s="137">
        <f>IFERROR(__xludf.DUMMYFUNCTION("""COMPUTED_VALUE"""),45352.53633989583)</f>
        <v>45352.53634</v>
      </c>
      <c r="B1132" s="138" t="str">
        <f>IFERROR(__xludf.DUMMYFUNCTION("""COMPUTED_VALUE"""),"Jing Gu")</f>
        <v>Jing Gu</v>
      </c>
      <c r="C1132" s="138">
        <f>IFERROR(__xludf.DUMMYFUNCTION("""COMPUTED_VALUE"""),1086.0)</f>
        <v>1086</v>
      </c>
      <c r="D1132" s="139">
        <f>IFERROR(__xludf.DUMMYFUNCTION("""COMPUTED_VALUE"""),464.0)</f>
        <v>464</v>
      </c>
      <c r="E1132" s="138">
        <f>IFERROR(__xludf.DUMMYFUNCTION("""COMPUTED_VALUE"""),3.0)</f>
        <v>3</v>
      </c>
      <c r="F1132" s="138">
        <f>IFERROR(__xludf.DUMMYFUNCTION("""COMPUTED_VALUE"""),3.0)</f>
        <v>3</v>
      </c>
      <c r="G1132" s="138">
        <f>IFERROR(__xludf.DUMMYFUNCTION("""COMPUTED_VALUE"""),4.0)</f>
        <v>4</v>
      </c>
      <c r="H1132" s="138">
        <f>IFERROR(__xludf.DUMMYFUNCTION("""COMPUTED_VALUE"""),4.0)</f>
        <v>4</v>
      </c>
      <c r="I1132" s="138">
        <f>IFERROR(__xludf.DUMMYFUNCTION("""COMPUTED_VALUE"""),3.0)</f>
        <v>3</v>
      </c>
      <c r="J1132" s="138">
        <f>IFERROR(__xludf.DUMMYFUNCTION("""COMPUTED_VALUE"""),3.0)</f>
        <v>3</v>
      </c>
      <c r="K1132" s="138">
        <f>IFERROR(__xludf.DUMMYFUNCTION("""COMPUTED_VALUE"""),3.0)</f>
        <v>3</v>
      </c>
      <c r="L1132" s="138">
        <v>23.0</v>
      </c>
      <c r="M1132" s="140" t="str">
        <f>VLOOKUP(text(D1132, "#"),'Master Table'!$A:$F, 6, FALSE)</f>
        <v>G-11</v>
      </c>
      <c r="N1132" s="141"/>
      <c r="O1132" s="142" t="str">
        <f t="shared" si="1"/>
        <v/>
      </c>
      <c r="P1132" s="143" t="str">
        <f>IF(ISNA(VLOOKUP(CONCAT(M1132,C1132), 'Judge Count DO NOT EDIT'!H:H, 1, FALSE)), "ERROR","")</f>
        <v/>
      </c>
      <c r="Q1132" s="141"/>
      <c r="R1132" s="143"/>
      <c r="S1132" s="139" t="str">
        <f t="shared" si="2"/>
        <v>1086464</v>
      </c>
      <c r="T1132" s="141"/>
    </row>
    <row r="1133">
      <c r="A1133" s="137">
        <f>IFERROR(__xludf.DUMMYFUNCTION("""COMPUTED_VALUE"""),45352.52003579861)</f>
        <v>45352.52004</v>
      </c>
      <c r="B1133" s="138" t="str">
        <f>IFERROR(__xludf.DUMMYFUNCTION("""COMPUTED_VALUE"""),"Sanjay Yadav")</f>
        <v>Sanjay Yadav</v>
      </c>
      <c r="C1133" s="138">
        <f>IFERROR(__xludf.DUMMYFUNCTION("""COMPUTED_VALUE"""),1143.0)</f>
        <v>1143</v>
      </c>
      <c r="D1133" s="139">
        <f>IFERROR(__xludf.DUMMYFUNCTION("""COMPUTED_VALUE"""),465.0)</f>
        <v>465</v>
      </c>
      <c r="E1133" s="138">
        <f>IFERROR(__xludf.DUMMYFUNCTION("""COMPUTED_VALUE"""),3.0)</f>
        <v>3</v>
      </c>
      <c r="F1133" s="138">
        <f>IFERROR(__xludf.DUMMYFUNCTION("""COMPUTED_VALUE"""),4.0)</f>
        <v>4</v>
      </c>
      <c r="G1133" s="138">
        <f>IFERROR(__xludf.DUMMYFUNCTION("""COMPUTED_VALUE"""),3.0)</f>
        <v>3</v>
      </c>
      <c r="H1133" s="138">
        <f>IFERROR(__xludf.DUMMYFUNCTION("""COMPUTED_VALUE"""),3.0)</f>
        <v>3</v>
      </c>
      <c r="I1133" s="138">
        <f>IFERROR(__xludf.DUMMYFUNCTION("""COMPUTED_VALUE"""),4.0)</f>
        <v>4</v>
      </c>
      <c r="J1133" s="138">
        <f>IFERROR(__xludf.DUMMYFUNCTION("""COMPUTED_VALUE"""),3.0)</f>
        <v>3</v>
      </c>
      <c r="K1133" s="138">
        <f>IFERROR(__xludf.DUMMYFUNCTION("""COMPUTED_VALUE"""),4.0)</f>
        <v>4</v>
      </c>
      <c r="L1133" s="138">
        <v>24.0</v>
      </c>
      <c r="M1133" s="140" t="str">
        <f>VLOOKUP(text(D1133, "#"),'Master Table'!$A:$F, 6, FALSE)</f>
        <v>G-11</v>
      </c>
      <c r="N1133" s="141"/>
      <c r="O1133" s="142" t="str">
        <f t="shared" si="1"/>
        <v/>
      </c>
      <c r="P1133" s="143" t="str">
        <f>IF(ISNA(VLOOKUP(CONCAT(M1133,C1133), 'Judge Count DO NOT EDIT'!H:H, 1, FALSE)), "ERROR","")</f>
        <v/>
      </c>
      <c r="Q1133" s="141"/>
      <c r="R1133" s="143"/>
      <c r="S1133" s="139" t="str">
        <f t="shared" si="2"/>
        <v>1143465</v>
      </c>
      <c r="T1133" s="141"/>
    </row>
    <row r="1134">
      <c r="A1134" s="137">
        <f>IFERROR(__xludf.DUMMYFUNCTION("""COMPUTED_VALUE"""),45352.52019821759)</f>
        <v>45352.5202</v>
      </c>
      <c r="B1134" s="138" t="str">
        <f>IFERROR(__xludf.DUMMYFUNCTION("""COMPUTED_VALUE"""),"Kanchan Mishra")</f>
        <v>Kanchan Mishra</v>
      </c>
      <c r="C1134" s="138">
        <f>IFERROR(__xludf.DUMMYFUNCTION("""COMPUTED_VALUE"""),1126.0)</f>
        <v>1126</v>
      </c>
      <c r="D1134" s="139">
        <f>IFERROR(__xludf.DUMMYFUNCTION("""COMPUTED_VALUE"""),465.0)</f>
        <v>465</v>
      </c>
      <c r="E1134" s="138">
        <f>IFERROR(__xludf.DUMMYFUNCTION("""COMPUTED_VALUE"""),4.0)</f>
        <v>4</v>
      </c>
      <c r="F1134" s="138">
        <f>IFERROR(__xludf.DUMMYFUNCTION("""COMPUTED_VALUE"""),4.0)</f>
        <v>4</v>
      </c>
      <c r="G1134" s="138">
        <f>IFERROR(__xludf.DUMMYFUNCTION("""COMPUTED_VALUE"""),3.0)</f>
        <v>3</v>
      </c>
      <c r="H1134" s="138">
        <f>IFERROR(__xludf.DUMMYFUNCTION("""COMPUTED_VALUE"""),4.0)</f>
        <v>4</v>
      </c>
      <c r="I1134" s="138">
        <f>IFERROR(__xludf.DUMMYFUNCTION("""COMPUTED_VALUE"""),4.0)</f>
        <v>4</v>
      </c>
      <c r="J1134" s="138">
        <f>IFERROR(__xludf.DUMMYFUNCTION("""COMPUTED_VALUE"""),4.0)</f>
        <v>4</v>
      </c>
      <c r="K1134" s="138">
        <f>IFERROR(__xludf.DUMMYFUNCTION("""COMPUTED_VALUE"""),4.0)</f>
        <v>4</v>
      </c>
      <c r="L1134" s="138">
        <v>27.0</v>
      </c>
      <c r="M1134" s="140" t="str">
        <f>VLOOKUP(text(D1134, "#"),'Master Table'!$A:$F, 6, FALSE)</f>
        <v>G-11</v>
      </c>
      <c r="N1134" s="141"/>
      <c r="O1134" s="142" t="str">
        <f t="shared" si="1"/>
        <v/>
      </c>
      <c r="P1134" s="143" t="str">
        <f>IF(ISNA(VLOOKUP(CONCAT(M1134,C1134), 'Judge Count DO NOT EDIT'!H:H, 1, FALSE)), "ERROR","")</f>
        <v/>
      </c>
      <c r="Q1134" s="144"/>
      <c r="R1134" s="143"/>
      <c r="S1134" s="139" t="str">
        <f t="shared" si="2"/>
        <v>1126465</v>
      </c>
      <c r="T1134" s="141"/>
    </row>
    <row r="1135">
      <c r="A1135" s="137">
        <f>IFERROR(__xludf.DUMMYFUNCTION("""COMPUTED_VALUE"""),45352.536873425925)</f>
        <v>45352.53687</v>
      </c>
      <c r="B1135" s="138" t="str">
        <f>IFERROR(__xludf.DUMMYFUNCTION("""COMPUTED_VALUE"""),"Jing Gu")</f>
        <v>Jing Gu</v>
      </c>
      <c r="C1135" s="138">
        <f>IFERROR(__xludf.DUMMYFUNCTION("""COMPUTED_VALUE"""),1086.0)</f>
        <v>1086</v>
      </c>
      <c r="D1135" s="139">
        <f>IFERROR(__xludf.DUMMYFUNCTION("""COMPUTED_VALUE"""),465.0)</f>
        <v>465</v>
      </c>
      <c r="E1135" s="138">
        <f>IFERROR(__xludf.DUMMYFUNCTION("""COMPUTED_VALUE"""),4.0)</f>
        <v>4</v>
      </c>
      <c r="F1135" s="138">
        <f>IFERROR(__xludf.DUMMYFUNCTION("""COMPUTED_VALUE"""),3.0)</f>
        <v>3</v>
      </c>
      <c r="G1135" s="138">
        <f>IFERROR(__xludf.DUMMYFUNCTION("""COMPUTED_VALUE"""),4.0)</f>
        <v>4</v>
      </c>
      <c r="H1135" s="138">
        <f>IFERROR(__xludf.DUMMYFUNCTION("""COMPUTED_VALUE"""),4.0)</f>
        <v>4</v>
      </c>
      <c r="I1135" s="138">
        <f>IFERROR(__xludf.DUMMYFUNCTION("""COMPUTED_VALUE"""),3.0)</f>
        <v>3</v>
      </c>
      <c r="J1135" s="138">
        <f>IFERROR(__xludf.DUMMYFUNCTION("""COMPUTED_VALUE"""),3.0)</f>
        <v>3</v>
      </c>
      <c r="K1135" s="138">
        <f>IFERROR(__xludf.DUMMYFUNCTION("""COMPUTED_VALUE"""),3.0)</f>
        <v>3</v>
      </c>
      <c r="L1135" s="138">
        <v>24.0</v>
      </c>
      <c r="M1135" s="140" t="str">
        <f>VLOOKUP(text(D1135, "#"),'Master Table'!$A:$F, 6, FALSE)</f>
        <v>G-11</v>
      </c>
      <c r="N1135" s="141"/>
      <c r="O1135" s="142" t="str">
        <f t="shared" si="1"/>
        <v/>
      </c>
      <c r="P1135" s="143" t="str">
        <f>IF(ISNA(VLOOKUP(CONCAT(M1135,C1135), 'Judge Count DO NOT EDIT'!H:H, 1, FALSE)), "ERROR","")</f>
        <v/>
      </c>
      <c r="Q1135" s="141"/>
      <c r="R1135" s="143"/>
      <c r="S1135" s="139" t="str">
        <f t="shared" si="2"/>
        <v>1086465</v>
      </c>
      <c r="T1135" s="141"/>
    </row>
    <row r="1136">
      <c r="A1136" s="137">
        <f>IFERROR(__xludf.DUMMYFUNCTION("""COMPUTED_VALUE"""),45352.52138604167)</f>
        <v>45352.52139</v>
      </c>
      <c r="B1136" s="138" t="str">
        <f>IFERROR(__xludf.DUMMYFUNCTION("""COMPUTED_VALUE"""),"Sanjay Yadav")</f>
        <v>Sanjay Yadav</v>
      </c>
      <c r="C1136" s="138">
        <f>IFERROR(__xludf.DUMMYFUNCTION("""COMPUTED_VALUE"""),1143.0)</f>
        <v>1143</v>
      </c>
      <c r="D1136" s="139">
        <f>IFERROR(__xludf.DUMMYFUNCTION("""COMPUTED_VALUE"""),466.0)</f>
        <v>466</v>
      </c>
      <c r="E1136" s="138">
        <f>IFERROR(__xludf.DUMMYFUNCTION("""COMPUTED_VALUE"""),4.0)</f>
        <v>4</v>
      </c>
      <c r="F1136" s="138">
        <f>IFERROR(__xludf.DUMMYFUNCTION("""COMPUTED_VALUE"""),4.0)</f>
        <v>4</v>
      </c>
      <c r="G1136" s="138">
        <f>IFERROR(__xludf.DUMMYFUNCTION("""COMPUTED_VALUE"""),4.0)</f>
        <v>4</v>
      </c>
      <c r="H1136" s="138">
        <f>IFERROR(__xludf.DUMMYFUNCTION("""COMPUTED_VALUE"""),4.0)</f>
        <v>4</v>
      </c>
      <c r="I1136" s="138">
        <f>IFERROR(__xludf.DUMMYFUNCTION("""COMPUTED_VALUE"""),4.0)</f>
        <v>4</v>
      </c>
      <c r="J1136" s="138">
        <f>IFERROR(__xludf.DUMMYFUNCTION("""COMPUTED_VALUE"""),4.0)</f>
        <v>4</v>
      </c>
      <c r="K1136" s="138">
        <f>IFERROR(__xludf.DUMMYFUNCTION("""COMPUTED_VALUE"""),4.0)</f>
        <v>4</v>
      </c>
      <c r="L1136" s="138">
        <v>28.0</v>
      </c>
      <c r="M1136" s="140" t="str">
        <f>VLOOKUP(text(D1136, "#"),'Master Table'!$A:$F, 6, FALSE)</f>
        <v>G-11</v>
      </c>
      <c r="N1136" s="141"/>
      <c r="O1136" s="142" t="str">
        <f t="shared" si="1"/>
        <v/>
      </c>
      <c r="P1136" s="143" t="str">
        <f>IF(ISNA(VLOOKUP(CONCAT(M1136,C1136), 'Judge Count DO NOT EDIT'!H:H, 1, FALSE)), "ERROR","")</f>
        <v/>
      </c>
      <c r="Q1136" s="144"/>
      <c r="R1136" s="143"/>
      <c r="S1136" s="139" t="str">
        <f t="shared" si="2"/>
        <v>1143466</v>
      </c>
      <c r="T1136" s="141"/>
    </row>
    <row r="1137">
      <c r="A1137" s="137">
        <f>IFERROR(__xludf.DUMMYFUNCTION("""COMPUTED_VALUE"""),45352.521188506944)</f>
        <v>45352.52119</v>
      </c>
      <c r="B1137" s="138" t="str">
        <f>IFERROR(__xludf.DUMMYFUNCTION("""COMPUTED_VALUE"""),"Kanchan Mishra")</f>
        <v>Kanchan Mishra</v>
      </c>
      <c r="C1137" s="138">
        <f>IFERROR(__xludf.DUMMYFUNCTION("""COMPUTED_VALUE"""),1126.0)</f>
        <v>1126</v>
      </c>
      <c r="D1137" s="139">
        <f>IFERROR(__xludf.DUMMYFUNCTION("""COMPUTED_VALUE"""),466.0)</f>
        <v>466</v>
      </c>
      <c r="E1137" s="138">
        <f>IFERROR(__xludf.DUMMYFUNCTION("""COMPUTED_VALUE"""),5.0)</f>
        <v>5</v>
      </c>
      <c r="F1137" s="138">
        <f>IFERROR(__xludf.DUMMYFUNCTION("""COMPUTED_VALUE"""),4.0)</f>
        <v>4</v>
      </c>
      <c r="G1137" s="138">
        <f>IFERROR(__xludf.DUMMYFUNCTION("""COMPUTED_VALUE"""),5.0)</f>
        <v>5</v>
      </c>
      <c r="H1137" s="138">
        <f>IFERROR(__xludf.DUMMYFUNCTION("""COMPUTED_VALUE"""),4.0)</f>
        <v>4</v>
      </c>
      <c r="I1137" s="138">
        <f>IFERROR(__xludf.DUMMYFUNCTION("""COMPUTED_VALUE"""),4.0)</f>
        <v>4</v>
      </c>
      <c r="J1137" s="138">
        <f>IFERROR(__xludf.DUMMYFUNCTION("""COMPUTED_VALUE"""),5.0)</f>
        <v>5</v>
      </c>
      <c r="K1137" s="138">
        <f>IFERROR(__xludf.DUMMYFUNCTION("""COMPUTED_VALUE"""),5.0)</f>
        <v>5</v>
      </c>
      <c r="L1137" s="138">
        <v>32.0</v>
      </c>
      <c r="M1137" s="140" t="str">
        <f>VLOOKUP(text(D1137, "#"),'Master Table'!$A:$F, 6, FALSE)</f>
        <v>G-11</v>
      </c>
      <c r="N1137" s="141"/>
      <c r="O1137" s="142" t="str">
        <f t="shared" si="1"/>
        <v/>
      </c>
      <c r="P1137" s="143" t="str">
        <f>IF(ISNA(VLOOKUP(CONCAT(M1137,C1137), 'Judge Count DO NOT EDIT'!H:H, 1, FALSE)), "ERROR","")</f>
        <v/>
      </c>
      <c r="Q1137" s="141"/>
      <c r="R1137" s="143"/>
      <c r="S1137" s="139" t="str">
        <f t="shared" si="2"/>
        <v>1126466</v>
      </c>
      <c r="T1137" s="141"/>
    </row>
    <row r="1138">
      <c r="A1138" s="137">
        <f>IFERROR(__xludf.DUMMYFUNCTION("""COMPUTED_VALUE"""),45352.53775773148)</f>
        <v>45352.53776</v>
      </c>
      <c r="B1138" s="138" t="str">
        <f>IFERROR(__xludf.DUMMYFUNCTION("""COMPUTED_VALUE"""),"Jing Gu")</f>
        <v>Jing Gu</v>
      </c>
      <c r="C1138" s="138">
        <f>IFERROR(__xludf.DUMMYFUNCTION("""COMPUTED_VALUE"""),1086.0)</f>
        <v>1086</v>
      </c>
      <c r="D1138" s="139">
        <f>IFERROR(__xludf.DUMMYFUNCTION("""COMPUTED_VALUE"""),466.0)</f>
        <v>466</v>
      </c>
      <c r="E1138" s="138">
        <f>IFERROR(__xludf.DUMMYFUNCTION("""COMPUTED_VALUE"""),3.0)</f>
        <v>3</v>
      </c>
      <c r="F1138" s="138">
        <f>IFERROR(__xludf.DUMMYFUNCTION("""COMPUTED_VALUE"""),3.0)</f>
        <v>3</v>
      </c>
      <c r="G1138" s="138">
        <f>IFERROR(__xludf.DUMMYFUNCTION("""COMPUTED_VALUE"""),3.0)</f>
        <v>3</v>
      </c>
      <c r="H1138" s="138">
        <f>IFERROR(__xludf.DUMMYFUNCTION("""COMPUTED_VALUE"""),3.0)</f>
        <v>3</v>
      </c>
      <c r="I1138" s="138">
        <f>IFERROR(__xludf.DUMMYFUNCTION("""COMPUTED_VALUE"""),4.0)</f>
        <v>4</v>
      </c>
      <c r="J1138" s="138">
        <f>IFERROR(__xludf.DUMMYFUNCTION("""COMPUTED_VALUE"""),4.0)</f>
        <v>4</v>
      </c>
      <c r="K1138" s="138">
        <f>IFERROR(__xludf.DUMMYFUNCTION("""COMPUTED_VALUE"""),3.0)</f>
        <v>3</v>
      </c>
      <c r="L1138" s="138">
        <v>23.0</v>
      </c>
      <c r="M1138" s="140" t="str">
        <f>VLOOKUP(text(D1138, "#"),'Master Table'!$A:$F, 6, FALSE)</f>
        <v>G-11</v>
      </c>
      <c r="N1138" s="141"/>
      <c r="O1138" s="142" t="str">
        <f t="shared" si="1"/>
        <v/>
      </c>
      <c r="P1138" s="143" t="str">
        <f>IF(ISNA(VLOOKUP(CONCAT(M1138,C1138), 'Judge Count DO NOT EDIT'!H:H, 1, FALSE)), "ERROR","")</f>
        <v/>
      </c>
      <c r="Q1138" s="141"/>
      <c r="R1138" s="143"/>
      <c r="S1138" s="139" t="str">
        <f t="shared" si="2"/>
        <v>1086466</v>
      </c>
      <c r="T1138" s="141"/>
    </row>
    <row r="1139">
      <c r="A1139" s="137">
        <f>IFERROR(__xludf.DUMMYFUNCTION("""COMPUTED_VALUE"""),45352.52201487268)</f>
        <v>45352.52201</v>
      </c>
      <c r="B1139" s="138" t="str">
        <f>IFERROR(__xludf.DUMMYFUNCTION("""COMPUTED_VALUE"""),"Kanchan Mishra")</f>
        <v>Kanchan Mishra</v>
      </c>
      <c r="C1139" s="138">
        <f>IFERROR(__xludf.DUMMYFUNCTION("""COMPUTED_VALUE"""),1126.0)</f>
        <v>1126</v>
      </c>
      <c r="D1139" s="139">
        <f>IFERROR(__xludf.DUMMYFUNCTION("""COMPUTED_VALUE"""),467.0)</f>
        <v>467</v>
      </c>
      <c r="E1139" s="138">
        <f>IFERROR(__xludf.DUMMYFUNCTION("""COMPUTED_VALUE"""),4.0)</f>
        <v>4</v>
      </c>
      <c r="F1139" s="138">
        <f>IFERROR(__xludf.DUMMYFUNCTION("""COMPUTED_VALUE"""),4.0)</f>
        <v>4</v>
      </c>
      <c r="G1139" s="138">
        <f>IFERROR(__xludf.DUMMYFUNCTION("""COMPUTED_VALUE"""),4.0)</f>
        <v>4</v>
      </c>
      <c r="H1139" s="138">
        <f>IFERROR(__xludf.DUMMYFUNCTION("""COMPUTED_VALUE"""),3.0)</f>
        <v>3</v>
      </c>
      <c r="I1139" s="138">
        <f>IFERROR(__xludf.DUMMYFUNCTION("""COMPUTED_VALUE"""),3.0)</f>
        <v>3</v>
      </c>
      <c r="J1139" s="138">
        <f>IFERROR(__xludf.DUMMYFUNCTION("""COMPUTED_VALUE"""),3.0)</f>
        <v>3</v>
      </c>
      <c r="K1139" s="138">
        <f>IFERROR(__xludf.DUMMYFUNCTION("""COMPUTED_VALUE"""),3.0)</f>
        <v>3</v>
      </c>
      <c r="L1139" s="138">
        <v>24.0</v>
      </c>
      <c r="M1139" s="140" t="str">
        <f>VLOOKUP(text(D1139, "#"),'Master Table'!$A:$F, 6, FALSE)</f>
        <v>G-11</v>
      </c>
      <c r="N1139" s="141"/>
      <c r="O1139" s="142" t="str">
        <f t="shared" si="1"/>
        <v/>
      </c>
      <c r="P1139" s="143" t="str">
        <f>IF(ISNA(VLOOKUP(CONCAT(M1139,C1139), 'Judge Count DO NOT EDIT'!H:H, 1, FALSE)), "ERROR","")</f>
        <v/>
      </c>
      <c r="Q1139" s="144"/>
      <c r="R1139" s="143"/>
      <c r="S1139" s="139" t="str">
        <f t="shared" si="2"/>
        <v>1126467</v>
      </c>
      <c r="T1139" s="141"/>
    </row>
    <row r="1140">
      <c r="A1140" s="137">
        <f>IFERROR(__xludf.DUMMYFUNCTION("""COMPUTED_VALUE"""),45352.52278425926)</f>
        <v>45352.52278</v>
      </c>
      <c r="B1140" s="138" t="str">
        <f>IFERROR(__xludf.DUMMYFUNCTION("""COMPUTED_VALUE"""),"Sanjay Yadav")</f>
        <v>Sanjay Yadav</v>
      </c>
      <c r="C1140" s="138">
        <f>IFERROR(__xludf.DUMMYFUNCTION("""COMPUTED_VALUE"""),1143.0)</f>
        <v>1143</v>
      </c>
      <c r="D1140" s="139">
        <f>IFERROR(__xludf.DUMMYFUNCTION("""COMPUTED_VALUE"""),467.0)</f>
        <v>467</v>
      </c>
      <c r="E1140" s="138">
        <f>IFERROR(__xludf.DUMMYFUNCTION("""COMPUTED_VALUE"""),4.0)</f>
        <v>4</v>
      </c>
      <c r="F1140" s="138">
        <f>IFERROR(__xludf.DUMMYFUNCTION("""COMPUTED_VALUE"""),3.0)</f>
        <v>3</v>
      </c>
      <c r="G1140" s="138">
        <f>IFERROR(__xludf.DUMMYFUNCTION("""COMPUTED_VALUE"""),4.0)</f>
        <v>4</v>
      </c>
      <c r="H1140" s="138">
        <f>IFERROR(__xludf.DUMMYFUNCTION("""COMPUTED_VALUE"""),3.0)</f>
        <v>3</v>
      </c>
      <c r="I1140" s="138">
        <f>IFERROR(__xludf.DUMMYFUNCTION("""COMPUTED_VALUE"""),3.0)</f>
        <v>3</v>
      </c>
      <c r="J1140" s="138">
        <f>IFERROR(__xludf.DUMMYFUNCTION("""COMPUTED_VALUE"""),4.0)</f>
        <v>4</v>
      </c>
      <c r="K1140" s="138">
        <f>IFERROR(__xludf.DUMMYFUNCTION("""COMPUTED_VALUE"""),4.0)</f>
        <v>4</v>
      </c>
      <c r="L1140" s="138">
        <v>25.0</v>
      </c>
      <c r="M1140" s="140" t="str">
        <f>VLOOKUP(text(D1140, "#"),'Master Table'!$A:$F, 6, FALSE)</f>
        <v>G-11</v>
      </c>
      <c r="N1140" s="141"/>
      <c r="O1140" s="142" t="str">
        <f t="shared" si="1"/>
        <v/>
      </c>
      <c r="P1140" s="143" t="str">
        <f>IF(ISNA(VLOOKUP(CONCAT(M1140,C1140), 'Judge Count DO NOT EDIT'!H:H, 1, FALSE)), "ERROR","")</f>
        <v/>
      </c>
      <c r="Q1140" s="141"/>
      <c r="R1140" s="143"/>
      <c r="S1140" s="139" t="str">
        <f t="shared" si="2"/>
        <v>1143467</v>
      </c>
      <c r="T1140" s="141"/>
    </row>
    <row r="1141">
      <c r="A1141" s="137">
        <f>IFERROR(__xludf.DUMMYFUNCTION("""COMPUTED_VALUE"""),45352.56006296296)</f>
        <v>45352.56006</v>
      </c>
      <c r="B1141" s="138" t="str">
        <f>IFERROR(__xludf.DUMMYFUNCTION("""COMPUTED_VALUE"""),"Dongbowei Zhang")</f>
        <v>Dongbowei Zhang</v>
      </c>
      <c r="C1141" s="138">
        <f>IFERROR(__xludf.DUMMYFUNCTION("""COMPUTED_VALUE"""),1175.0)</f>
        <v>1175</v>
      </c>
      <c r="D1141" s="139">
        <f>IFERROR(__xludf.DUMMYFUNCTION("""COMPUTED_VALUE"""),468.0)</f>
        <v>468</v>
      </c>
      <c r="E1141" s="138">
        <f>IFERROR(__xludf.DUMMYFUNCTION("""COMPUTED_VALUE"""),3.0)</f>
        <v>3</v>
      </c>
      <c r="F1141" s="138">
        <f>IFERROR(__xludf.DUMMYFUNCTION("""COMPUTED_VALUE"""),4.0)</f>
        <v>4</v>
      </c>
      <c r="G1141" s="138">
        <f>IFERROR(__xludf.DUMMYFUNCTION("""COMPUTED_VALUE"""),3.0)</f>
        <v>3</v>
      </c>
      <c r="H1141" s="138">
        <f>IFERROR(__xludf.DUMMYFUNCTION("""COMPUTED_VALUE"""),3.0)</f>
        <v>3</v>
      </c>
      <c r="I1141" s="138">
        <f>IFERROR(__xludf.DUMMYFUNCTION("""COMPUTED_VALUE"""),3.0)</f>
        <v>3</v>
      </c>
      <c r="J1141" s="138">
        <f>IFERROR(__xludf.DUMMYFUNCTION("""COMPUTED_VALUE"""),4.0)</f>
        <v>4</v>
      </c>
      <c r="K1141" s="138">
        <f>IFERROR(__xludf.DUMMYFUNCTION("""COMPUTED_VALUE"""),3.0)</f>
        <v>3</v>
      </c>
      <c r="L1141" s="138">
        <v>23.0</v>
      </c>
      <c r="M1141" s="140" t="str">
        <f>VLOOKUP(text(D1141, "#"),'Master Table'!$A:$F, 6, FALSE)</f>
        <v>H-1</v>
      </c>
      <c r="N1141" s="141" t="str">
        <f>IFERROR(__xludf.DUMMYFUNCTION("""COMPUTED_VALUE"""),"Professional explanation and expressions about the poster. Knows clearly and sufficiently about the study to answer all my questions. Also possessed sense of humor :) There could be more explanation about the background of the study and the literature tha"&amp;"t indicated the necessity of the study. Look forward to the study being done on bugger and more diverse samples:)")</f>
        <v>Professional explanation and expressions about the poster. Knows clearly and sufficiently about the study to answer all my questions. Also possessed sense of humor :) There could be more explanation about the background of the study and the literature that indicated the necessity of the study. Look forward to the study being done on bugger and more diverse samples:)</v>
      </c>
      <c r="O1141" s="142" t="str">
        <f t="shared" si="1"/>
        <v/>
      </c>
      <c r="P1141" s="143" t="str">
        <f>IF(ISNA(VLOOKUP(CONCAT(M1141,C1141), 'Judge Count DO NOT EDIT'!H:H, 1, FALSE)), "ERROR","")</f>
        <v/>
      </c>
      <c r="Q1141" s="141"/>
      <c r="R1141" s="143"/>
      <c r="S1141" s="139" t="str">
        <f t="shared" si="2"/>
        <v>1175468</v>
      </c>
      <c r="T1141" s="141"/>
    </row>
    <row r="1142">
      <c r="A1142" s="137">
        <f>IFERROR(__xludf.DUMMYFUNCTION("""COMPUTED_VALUE"""),45352.58398923611)</f>
        <v>45352.58399</v>
      </c>
      <c r="B1142" s="138" t="str">
        <f>IFERROR(__xludf.DUMMYFUNCTION("""COMPUTED_VALUE"""),"Liang Ma")</f>
        <v>Liang Ma</v>
      </c>
      <c r="C1142" s="138">
        <f>IFERROR(__xludf.DUMMYFUNCTION("""COMPUTED_VALUE"""),1050.0)</f>
        <v>1050</v>
      </c>
      <c r="D1142" s="139">
        <f>IFERROR(__xludf.DUMMYFUNCTION("""COMPUTED_VALUE"""),468.0)</f>
        <v>468</v>
      </c>
      <c r="E1142" s="138">
        <f>IFERROR(__xludf.DUMMYFUNCTION("""COMPUTED_VALUE"""),4.0)</f>
        <v>4</v>
      </c>
      <c r="F1142" s="138">
        <f>IFERROR(__xludf.DUMMYFUNCTION("""COMPUTED_VALUE"""),4.0)</f>
        <v>4</v>
      </c>
      <c r="G1142" s="138">
        <f>IFERROR(__xludf.DUMMYFUNCTION("""COMPUTED_VALUE"""),3.0)</f>
        <v>3</v>
      </c>
      <c r="H1142" s="138">
        <f>IFERROR(__xludf.DUMMYFUNCTION("""COMPUTED_VALUE"""),3.0)</f>
        <v>3</v>
      </c>
      <c r="I1142" s="138">
        <f>IFERROR(__xludf.DUMMYFUNCTION("""COMPUTED_VALUE"""),4.0)</f>
        <v>4</v>
      </c>
      <c r="J1142" s="138">
        <f>IFERROR(__xludf.DUMMYFUNCTION("""COMPUTED_VALUE"""),4.0)</f>
        <v>4</v>
      </c>
      <c r="K1142" s="138">
        <f>IFERROR(__xludf.DUMMYFUNCTION("""COMPUTED_VALUE"""),4.0)</f>
        <v>4</v>
      </c>
      <c r="L1142" s="138">
        <v>26.0</v>
      </c>
      <c r="M1142" s="140" t="str">
        <f>VLOOKUP(text(D1142, "#"),'Master Table'!$A:$F, 6, FALSE)</f>
        <v>H-1</v>
      </c>
      <c r="N1142" s="141"/>
      <c r="O1142" s="142" t="str">
        <f t="shared" si="1"/>
        <v/>
      </c>
      <c r="P1142" s="143" t="str">
        <f>IF(ISNA(VLOOKUP(CONCAT(M1142,C1142), 'Judge Count DO NOT EDIT'!H:H, 1, FALSE)), "ERROR","")</f>
        <v/>
      </c>
      <c r="Q1142" s="141"/>
      <c r="R1142" s="143"/>
      <c r="S1142" s="139" t="str">
        <f t="shared" si="2"/>
        <v>1050468</v>
      </c>
      <c r="T1142" s="141"/>
    </row>
    <row r="1143">
      <c r="A1143" s="137">
        <f>IFERROR(__xludf.DUMMYFUNCTION("""COMPUTED_VALUE"""),45352.59125561343)</f>
        <v>45352.59126</v>
      </c>
      <c r="B1143" s="138" t="str">
        <f>IFERROR(__xludf.DUMMYFUNCTION("""COMPUTED_VALUE"""),"Tam Lieu ")</f>
        <v>Tam Lieu </v>
      </c>
      <c r="C1143" s="138">
        <f>IFERROR(__xludf.DUMMYFUNCTION("""COMPUTED_VALUE"""),1023.0)</f>
        <v>1023</v>
      </c>
      <c r="D1143" s="139">
        <f>IFERROR(__xludf.DUMMYFUNCTION("""COMPUTED_VALUE"""),468.0)</f>
        <v>468</v>
      </c>
      <c r="E1143" s="138">
        <f>IFERROR(__xludf.DUMMYFUNCTION("""COMPUTED_VALUE"""),3.0)</f>
        <v>3</v>
      </c>
      <c r="F1143" s="138">
        <f>IFERROR(__xludf.DUMMYFUNCTION("""COMPUTED_VALUE"""),3.0)</f>
        <v>3</v>
      </c>
      <c r="G1143" s="138">
        <f>IFERROR(__xludf.DUMMYFUNCTION("""COMPUTED_VALUE"""),3.0)</f>
        <v>3</v>
      </c>
      <c r="H1143" s="138">
        <f>IFERROR(__xludf.DUMMYFUNCTION("""COMPUTED_VALUE"""),2.0)</f>
        <v>2</v>
      </c>
      <c r="I1143" s="138">
        <f>IFERROR(__xludf.DUMMYFUNCTION("""COMPUTED_VALUE"""),3.0)</f>
        <v>3</v>
      </c>
      <c r="J1143" s="138">
        <f>IFERROR(__xludf.DUMMYFUNCTION("""COMPUTED_VALUE"""),3.0)</f>
        <v>3</v>
      </c>
      <c r="K1143" s="138">
        <f>IFERROR(__xludf.DUMMYFUNCTION("""COMPUTED_VALUE"""),4.0)</f>
        <v>4</v>
      </c>
      <c r="L1143" s="138">
        <v>21.0</v>
      </c>
      <c r="M1143" s="140" t="str">
        <f>VLOOKUP(text(D1143, "#"),'Master Table'!$A:$F, 6, FALSE)</f>
        <v>H-1</v>
      </c>
      <c r="N1143" s="141" t="str">
        <f>IFERROR(__xludf.DUMMYFUNCTION("""COMPUTED_VALUE"""),"1) Positive - Glad to see students are interested/invested on how their peers are receiving support/services from academic advising 
2) Improvements - Responses only from COMM 103, which is a course for General Education Oral Communications requirement. P"&amp;"erhaps responses from other courses from one department, one College, etc. Also, share with Assistant Dean for Student Affairs in the College of Professional Studies and Fine Arts (PSFA) about this project since she oversees academic advising for her Coll"&amp;"ege")</f>
        <v>1) Positive - Glad to see students are interested/invested on how their peers are receiving support/services from academic advising 
2) Improvements - Responses only from COMM 103, which is a course for General Education Oral Communications requirement. Perhaps responses from other courses from one department, one College, etc. Also, share with Assistant Dean for Student Affairs in the College of Professional Studies and Fine Arts (PSFA) about this project since she oversees academic advising for her College</v>
      </c>
      <c r="O1143" s="142" t="str">
        <f t="shared" si="1"/>
        <v/>
      </c>
      <c r="P1143" s="143" t="str">
        <f>IF(ISNA(VLOOKUP(CONCAT(M1143,C1143), 'Judge Count DO NOT EDIT'!H:H, 1, FALSE)), "ERROR","")</f>
        <v/>
      </c>
      <c r="Q1143" s="141"/>
      <c r="R1143" s="143"/>
      <c r="S1143" s="139" t="str">
        <f t="shared" si="2"/>
        <v>1023468</v>
      </c>
      <c r="T1143" s="141"/>
    </row>
    <row r="1144">
      <c r="A1144" s="137">
        <f>IFERROR(__xludf.DUMMYFUNCTION("""COMPUTED_VALUE"""),45352.598541597225)</f>
        <v>45352.59854</v>
      </c>
      <c r="B1144" s="138" t="str">
        <f>IFERROR(__xludf.DUMMYFUNCTION("""COMPUTED_VALUE"""),"Anthony villarreal")</f>
        <v>Anthony villarreal</v>
      </c>
      <c r="C1144" s="138">
        <f>IFERROR(__xludf.DUMMYFUNCTION("""COMPUTED_VALUE"""),1078.0)</f>
        <v>1078</v>
      </c>
      <c r="D1144" s="139">
        <f>IFERROR(__xludf.DUMMYFUNCTION("""COMPUTED_VALUE"""),468.0)</f>
        <v>468</v>
      </c>
      <c r="E1144" s="138">
        <f>IFERROR(__xludf.DUMMYFUNCTION("""COMPUTED_VALUE"""),3.0)</f>
        <v>3</v>
      </c>
      <c r="F1144" s="138">
        <f>IFERROR(__xludf.DUMMYFUNCTION("""COMPUTED_VALUE"""),3.0)</f>
        <v>3</v>
      </c>
      <c r="G1144" s="138">
        <f>IFERROR(__xludf.DUMMYFUNCTION("""COMPUTED_VALUE"""),3.0)</f>
        <v>3</v>
      </c>
      <c r="H1144" s="138">
        <f>IFERROR(__xludf.DUMMYFUNCTION("""COMPUTED_VALUE"""),4.0)</f>
        <v>4</v>
      </c>
      <c r="I1144" s="138">
        <f>IFERROR(__xludf.DUMMYFUNCTION("""COMPUTED_VALUE"""),4.0)</f>
        <v>4</v>
      </c>
      <c r="J1144" s="138">
        <f>IFERROR(__xludf.DUMMYFUNCTION("""COMPUTED_VALUE"""),4.0)</f>
        <v>4</v>
      </c>
      <c r="K1144" s="138">
        <f>IFERROR(__xludf.DUMMYFUNCTION("""COMPUTED_VALUE"""),4.0)</f>
        <v>4</v>
      </c>
      <c r="L1144" s="138">
        <v>25.0</v>
      </c>
      <c r="M1144" s="140" t="str">
        <f>VLOOKUP(text(D1144, "#"),'Master Table'!$A:$F, 6, FALSE)</f>
        <v>H-1</v>
      </c>
      <c r="N1144" s="141" t="str">
        <f>IFERROR(__xludf.DUMMYFUNCTION("""COMPUTED_VALUE"""),"Very natural delivery. Great information on topic. More visuals on poster")</f>
        <v>Very natural delivery. Great information on topic. More visuals on poster</v>
      </c>
      <c r="O1144" s="142" t="str">
        <f t="shared" si="1"/>
        <v/>
      </c>
      <c r="P1144" s="143" t="str">
        <f>IF(ISNA(VLOOKUP(CONCAT(M1144,C1144), 'Judge Count DO NOT EDIT'!H:H, 1, FALSE)), "ERROR","")</f>
        <v/>
      </c>
      <c r="Q1144" s="141"/>
      <c r="R1144" s="143"/>
      <c r="S1144" s="139" t="str">
        <f t="shared" si="2"/>
        <v>1078468</v>
      </c>
      <c r="T1144" s="141"/>
    </row>
    <row r="1145">
      <c r="A1145" s="137">
        <f>IFERROR(__xludf.DUMMYFUNCTION("""COMPUTED_VALUE"""),45352.58441217593)</f>
        <v>45352.58441</v>
      </c>
      <c r="B1145" s="138" t="str">
        <f>IFERROR(__xludf.DUMMYFUNCTION("""COMPUTED_VALUE"""),"Liang Ma")</f>
        <v>Liang Ma</v>
      </c>
      <c r="C1145" s="138">
        <f>IFERROR(__xludf.DUMMYFUNCTION("""COMPUTED_VALUE"""),1050.0)</f>
        <v>1050</v>
      </c>
      <c r="D1145" s="139">
        <f>IFERROR(__xludf.DUMMYFUNCTION("""COMPUTED_VALUE"""),469.0)</f>
        <v>469</v>
      </c>
      <c r="E1145" s="138">
        <f>IFERROR(__xludf.DUMMYFUNCTION("""COMPUTED_VALUE"""),2.0)</f>
        <v>2</v>
      </c>
      <c r="F1145" s="138">
        <f>IFERROR(__xludf.DUMMYFUNCTION("""COMPUTED_VALUE"""),3.0)</f>
        <v>3</v>
      </c>
      <c r="G1145" s="138">
        <f>IFERROR(__xludf.DUMMYFUNCTION("""COMPUTED_VALUE"""),2.0)</f>
        <v>2</v>
      </c>
      <c r="H1145" s="138">
        <f>IFERROR(__xludf.DUMMYFUNCTION("""COMPUTED_VALUE"""),2.0)</f>
        <v>2</v>
      </c>
      <c r="I1145" s="138">
        <f>IFERROR(__xludf.DUMMYFUNCTION("""COMPUTED_VALUE"""),3.0)</f>
        <v>3</v>
      </c>
      <c r="J1145" s="138">
        <f>IFERROR(__xludf.DUMMYFUNCTION("""COMPUTED_VALUE"""),3.0)</f>
        <v>3</v>
      </c>
      <c r="K1145" s="138">
        <f>IFERROR(__xludf.DUMMYFUNCTION("""COMPUTED_VALUE"""),3.0)</f>
        <v>3</v>
      </c>
      <c r="L1145" s="138">
        <v>18.0</v>
      </c>
      <c r="M1145" s="140" t="str">
        <f>VLOOKUP(text(D1145, "#"),'Master Table'!$A:$F, 6, FALSE)</f>
        <v>H-1</v>
      </c>
      <c r="N1145" s="141"/>
      <c r="O1145" s="142" t="str">
        <f t="shared" si="1"/>
        <v/>
      </c>
      <c r="P1145" s="143" t="str">
        <f>IF(ISNA(VLOOKUP(CONCAT(M1145,C1145), 'Judge Count DO NOT EDIT'!H:H, 1, FALSE)), "ERROR","")</f>
        <v/>
      </c>
      <c r="Q1145" s="141"/>
      <c r="R1145" s="143"/>
      <c r="S1145" s="139" t="str">
        <f t="shared" si="2"/>
        <v>1050469</v>
      </c>
      <c r="T1145" s="141"/>
    </row>
    <row r="1146">
      <c r="A1146" s="137">
        <f>IFERROR(__xludf.DUMMYFUNCTION("""COMPUTED_VALUE"""),45352.58827548611)</f>
        <v>45352.58828</v>
      </c>
      <c r="B1146" s="138" t="str">
        <f>IFERROR(__xludf.DUMMYFUNCTION("""COMPUTED_VALUE"""),"Anthony villarreal")</f>
        <v>Anthony villarreal</v>
      </c>
      <c r="C1146" s="138">
        <f>IFERROR(__xludf.DUMMYFUNCTION("""COMPUTED_VALUE"""),1078.0)</f>
        <v>1078</v>
      </c>
      <c r="D1146" s="139">
        <f>IFERROR(__xludf.DUMMYFUNCTION("""COMPUTED_VALUE"""),469.0)</f>
        <v>469</v>
      </c>
      <c r="E1146" s="138">
        <f>IFERROR(__xludf.DUMMYFUNCTION("""COMPUTED_VALUE"""),3.0)</f>
        <v>3</v>
      </c>
      <c r="F1146" s="138">
        <f>IFERROR(__xludf.DUMMYFUNCTION("""COMPUTED_VALUE"""),3.0)</f>
        <v>3</v>
      </c>
      <c r="G1146" s="138">
        <f>IFERROR(__xludf.DUMMYFUNCTION("""COMPUTED_VALUE"""),4.0)</f>
        <v>4</v>
      </c>
      <c r="H1146" s="138">
        <f>IFERROR(__xludf.DUMMYFUNCTION("""COMPUTED_VALUE"""),4.0)</f>
        <v>4</v>
      </c>
      <c r="I1146" s="138">
        <f>IFERROR(__xludf.DUMMYFUNCTION("""COMPUTED_VALUE"""),3.0)</f>
        <v>3</v>
      </c>
      <c r="J1146" s="138">
        <f>IFERROR(__xludf.DUMMYFUNCTION("""COMPUTED_VALUE"""),4.0)</f>
        <v>4</v>
      </c>
      <c r="K1146" s="138">
        <f>IFERROR(__xludf.DUMMYFUNCTION("""COMPUTED_VALUE"""),4.0)</f>
        <v>4</v>
      </c>
      <c r="L1146" s="138">
        <v>25.0</v>
      </c>
      <c r="M1146" s="140" t="str">
        <f>VLOOKUP(text(D1146, "#"),'Master Table'!$A:$F, 6, FALSE)</f>
        <v>H-1</v>
      </c>
      <c r="N1146" s="141" t="str">
        <f>IFERROR(__xludf.DUMMYFUNCTION("""COMPUTED_VALUE"""),"Great info on sound baths. Need more visuals and pister would benefit from more visuals and less vocabulary or paragraphs. ")</f>
        <v>Great info on sound baths. Need more visuals and pister would benefit from more visuals and less vocabulary or paragraphs. </v>
      </c>
      <c r="O1146" s="142" t="str">
        <f t="shared" si="1"/>
        <v/>
      </c>
      <c r="P1146" s="143" t="str">
        <f>IF(ISNA(VLOOKUP(CONCAT(M1146,C1146), 'Judge Count DO NOT EDIT'!H:H, 1, FALSE)), "ERROR","")</f>
        <v/>
      </c>
      <c r="Q1146" s="141"/>
      <c r="R1146" s="143"/>
      <c r="S1146" s="139" t="str">
        <f t="shared" si="2"/>
        <v>1078469</v>
      </c>
      <c r="T1146" s="141"/>
    </row>
    <row r="1147">
      <c r="A1147" s="137">
        <f>IFERROR(__xludf.DUMMYFUNCTION("""COMPUTED_VALUE"""),45352.60444159722)</f>
        <v>45352.60444</v>
      </c>
      <c r="B1147" s="138" t="str">
        <f>IFERROR(__xludf.DUMMYFUNCTION("""COMPUTED_VALUE"""),"Tam Lieu ")</f>
        <v>Tam Lieu </v>
      </c>
      <c r="C1147" s="138">
        <f>IFERROR(__xludf.DUMMYFUNCTION("""COMPUTED_VALUE"""),1023.0)</f>
        <v>1023</v>
      </c>
      <c r="D1147" s="139">
        <f>IFERROR(__xludf.DUMMYFUNCTION("""COMPUTED_VALUE"""),469.0)</f>
        <v>469</v>
      </c>
      <c r="E1147" s="138">
        <f>IFERROR(__xludf.DUMMYFUNCTION("""COMPUTED_VALUE"""),4.0)</f>
        <v>4</v>
      </c>
      <c r="F1147" s="138">
        <f>IFERROR(__xludf.DUMMYFUNCTION("""COMPUTED_VALUE"""),4.0)</f>
        <v>4</v>
      </c>
      <c r="G1147" s="138">
        <f>IFERROR(__xludf.DUMMYFUNCTION("""COMPUTED_VALUE"""),4.0)</f>
        <v>4</v>
      </c>
      <c r="H1147" s="138">
        <f>IFERROR(__xludf.DUMMYFUNCTION("""COMPUTED_VALUE"""),4.0)</f>
        <v>4</v>
      </c>
      <c r="I1147" s="138">
        <f>IFERROR(__xludf.DUMMYFUNCTION("""COMPUTED_VALUE"""),4.0)</f>
        <v>4</v>
      </c>
      <c r="J1147" s="138">
        <f>IFERROR(__xludf.DUMMYFUNCTION("""COMPUTED_VALUE"""),4.0)</f>
        <v>4</v>
      </c>
      <c r="K1147" s="138">
        <f>IFERROR(__xludf.DUMMYFUNCTION("""COMPUTED_VALUE"""),5.0)</f>
        <v>5</v>
      </c>
      <c r="L1147" s="138">
        <v>29.0</v>
      </c>
      <c r="M1147" s="140" t="str">
        <f>VLOOKUP(text(D1147, "#"),'Master Table'!$A:$F, 6, FALSE)</f>
        <v>H-1</v>
      </c>
      <c r="N1147" s="141" t="str">
        <f>IFERROR(__xludf.DUMMYFUNCTION("""COMPUTED_VALUE"""),"1) Positive - Since practice self-care is one of the six SDSU's Successful Students, sound baths would be a great addition at SDSU. Hopefully, student's research would lead it to become a reality at SDSU
2) Improvements - More sample sizes. Would it be p"&amp;"ossible to include staff and faculty?")</f>
        <v>1) Positive - Since practice self-care is one of the six SDSU's Successful Students, sound baths would be a great addition at SDSU. Hopefully, student's research would lead it to become a reality at SDSU
2) Improvements - More sample sizes. Would it be possible to include staff and faculty?</v>
      </c>
      <c r="O1147" s="142" t="str">
        <f t="shared" si="1"/>
        <v/>
      </c>
      <c r="P1147" s="143" t="str">
        <f>IF(ISNA(VLOOKUP(CONCAT(M1147,C1147), 'Judge Count DO NOT EDIT'!H:H, 1, FALSE)), "ERROR","")</f>
        <v/>
      </c>
      <c r="Q1147" s="141"/>
      <c r="R1147" s="143"/>
      <c r="S1147" s="139" t="str">
        <f t="shared" si="2"/>
        <v>1023469</v>
      </c>
      <c r="T1147" s="141"/>
    </row>
    <row r="1148">
      <c r="A1148" s="137">
        <f>IFERROR(__xludf.DUMMYFUNCTION("""COMPUTED_VALUE"""),45352.58179804398)</f>
        <v>45352.5818</v>
      </c>
      <c r="B1148" s="138" t="str">
        <f>IFERROR(__xludf.DUMMYFUNCTION("""COMPUTED_VALUE"""),"Anthony villarreal")</f>
        <v>Anthony villarreal</v>
      </c>
      <c r="C1148" s="138">
        <f>IFERROR(__xludf.DUMMYFUNCTION("""COMPUTED_VALUE"""),1078.0)</f>
        <v>1078</v>
      </c>
      <c r="D1148" s="139">
        <f>IFERROR(__xludf.DUMMYFUNCTION("""COMPUTED_VALUE"""),470.0)</f>
        <v>470</v>
      </c>
      <c r="E1148" s="138">
        <f>IFERROR(__xludf.DUMMYFUNCTION("""COMPUTED_VALUE"""),4.0)</f>
        <v>4</v>
      </c>
      <c r="F1148" s="138">
        <f>IFERROR(__xludf.DUMMYFUNCTION("""COMPUTED_VALUE"""),3.0)</f>
        <v>3</v>
      </c>
      <c r="G1148" s="138">
        <f>IFERROR(__xludf.DUMMYFUNCTION("""COMPUTED_VALUE"""),3.0)</f>
        <v>3</v>
      </c>
      <c r="H1148" s="138">
        <f>IFERROR(__xludf.DUMMYFUNCTION("""COMPUTED_VALUE"""),3.0)</f>
        <v>3</v>
      </c>
      <c r="I1148" s="138">
        <f>IFERROR(__xludf.DUMMYFUNCTION("""COMPUTED_VALUE"""),4.0)</f>
        <v>4</v>
      </c>
      <c r="J1148" s="138">
        <f>IFERROR(__xludf.DUMMYFUNCTION("""COMPUTED_VALUE"""),4.0)</f>
        <v>4</v>
      </c>
      <c r="K1148" s="138">
        <f>IFERROR(__xludf.DUMMYFUNCTION("""COMPUTED_VALUE"""),4.0)</f>
        <v>4</v>
      </c>
      <c r="L1148" s="138">
        <v>25.0</v>
      </c>
      <c r="M1148" s="140" t="str">
        <f>VLOOKUP(text(D1148, "#"),'Master Table'!$A:$F, 6, FALSE)</f>
        <v>H-1</v>
      </c>
      <c r="N1148" s="141" t="str">
        <f>IFERROR(__xludf.DUMMYFUNCTION("""COMPUTED_VALUE"""),"Great breakdown of data and relating information to real life.")</f>
        <v>Great breakdown of data and relating information to real life.</v>
      </c>
      <c r="O1148" s="142" t="str">
        <f t="shared" si="1"/>
        <v/>
      </c>
      <c r="P1148" s="143" t="str">
        <f>IF(ISNA(VLOOKUP(CONCAT(M1148,C1148), 'Judge Count DO NOT EDIT'!H:H, 1, FALSE)), "ERROR","")</f>
        <v/>
      </c>
      <c r="Q1148" s="141"/>
      <c r="R1148" s="143"/>
      <c r="S1148" s="139" t="str">
        <f t="shared" si="2"/>
        <v>1078470</v>
      </c>
      <c r="T1148" s="141"/>
    </row>
    <row r="1149">
      <c r="A1149" s="137">
        <f>IFERROR(__xludf.DUMMYFUNCTION("""COMPUTED_VALUE"""),45352.584889895836)</f>
        <v>45352.58489</v>
      </c>
      <c r="B1149" s="138" t="str">
        <f>IFERROR(__xludf.DUMMYFUNCTION("""COMPUTED_VALUE"""),"Liang Ma")</f>
        <v>Liang Ma</v>
      </c>
      <c r="C1149" s="138">
        <f>IFERROR(__xludf.DUMMYFUNCTION("""COMPUTED_VALUE"""),1050.0)</f>
        <v>1050</v>
      </c>
      <c r="D1149" s="139">
        <f>IFERROR(__xludf.DUMMYFUNCTION("""COMPUTED_VALUE"""),470.0)</f>
        <v>470</v>
      </c>
      <c r="E1149" s="138">
        <f>IFERROR(__xludf.DUMMYFUNCTION("""COMPUTED_VALUE"""),4.0)</f>
        <v>4</v>
      </c>
      <c r="F1149" s="138">
        <f>IFERROR(__xludf.DUMMYFUNCTION("""COMPUTED_VALUE"""),3.0)</f>
        <v>3</v>
      </c>
      <c r="G1149" s="138">
        <f>IFERROR(__xludf.DUMMYFUNCTION("""COMPUTED_VALUE"""),3.0)</f>
        <v>3</v>
      </c>
      <c r="H1149" s="138">
        <f>IFERROR(__xludf.DUMMYFUNCTION("""COMPUTED_VALUE"""),4.0)</f>
        <v>4</v>
      </c>
      <c r="I1149" s="138">
        <f>IFERROR(__xludf.DUMMYFUNCTION("""COMPUTED_VALUE"""),4.0)</f>
        <v>4</v>
      </c>
      <c r="J1149" s="138">
        <f>IFERROR(__xludf.DUMMYFUNCTION("""COMPUTED_VALUE"""),4.0)</f>
        <v>4</v>
      </c>
      <c r="K1149" s="138">
        <f>IFERROR(__xludf.DUMMYFUNCTION("""COMPUTED_VALUE"""),4.0)</f>
        <v>4</v>
      </c>
      <c r="L1149" s="138">
        <v>26.0</v>
      </c>
      <c r="M1149" s="140" t="str">
        <f>VLOOKUP(text(D1149, "#"),'Master Table'!$A:$F, 6, FALSE)</f>
        <v>H-1</v>
      </c>
      <c r="N1149" s="141"/>
      <c r="O1149" s="142" t="str">
        <f t="shared" si="1"/>
        <v/>
      </c>
      <c r="P1149" s="143" t="str">
        <f>IF(ISNA(VLOOKUP(CONCAT(M1149,C1149), 'Judge Count DO NOT EDIT'!H:H, 1, FALSE)), "ERROR","")</f>
        <v/>
      </c>
      <c r="Q1149" s="141"/>
      <c r="R1149" s="143"/>
      <c r="S1149" s="139" t="str">
        <f t="shared" si="2"/>
        <v>1050470</v>
      </c>
      <c r="T1149" s="141"/>
    </row>
    <row r="1150">
      <c r="A1150" s="137">
        <f>IFERROR(__xludf.DUMMYFUNCTION("""COMPUTED_VALUE"""),45352.61131422454)</f>
        <v>45352.61131</v>
      </c>
      <c r="B1150" s="138" t="str">
        <f>IFERROR(__xludf.DUMMYFUNCTION("""COMPUTED_VALUE"""),"Tam Lieu")</f>
        <v>Tam Lieu</v>
      </c>
      <c r="C1150" s="138">
        <f>IFERROR(__xludf.DUMMYFUNCTION("""COMPUTED_VALUE"""),1023.0)</f>
        <v>1023</v>
      </c>
      <c r="D1150" s="139">
        <f>IFERROR(__xludf.DUMMYFUNCTION("""COMPUTED_VALUE"""),470.0)</f>
        <v>470</v>
      </c>
      <c r="E1150" s="138">
        <f>IFERROR(__xludf.DUMMYFUNCTION("""COMPUTED_VALUE"""),3.0)</f>
        <v>3</v>
      </c>
      <c r="F1150" s="138">
        <f>IFERROR(__xludf.DUMMYFUNCTION("""COMPUTED_VALUE"""),3.0)</f>
        <v>3</v>
      </c>
      <c r="G1150" s="138">
        <f>IFERROR(__xludf.DUMMYFUNCTION("""COMPUTED_VALUE"""),3.0)</f>
        <v>3</v>
      </c>
      <c r="H1150" s="138">
        <f>IFERROR(__xludf.DUMMYFUNCTION("""COMPUTED_VALUE"""),3.0)</f>
        <v>3</v>
      </c>
      <c r="I1150" s="138">
        <f>IFERROR(__xludf.DUMMYFUNCTION("""COMPUTED_VALUE"""),3.0)</f>
        <v>3</v>
      </c>
      <c r="J1150" s="138">
        <f>IFERROR(__xludf.DUMMYFUNCTION("""COMPUTED_VALUE"""),3.0)</f>
        <v>3</v>
      </c>
      <c r="K1150" s="138">
        <f>IFERROR(__xludf.DUMMYFUNCTION("""COMPUTED_VALUE"""),4.0)</f>
        <v>4</v>
      </c>
      <c r="L1150" s="138">
        <v>22.0</v>
      </c>
      <c r="M1150" s="140" t="str">
        <f>VLOOKUP(text(D1150, "#"),'Master Table'!$A:$F, 6, FALSE)</f>
        <v>H-1</v>
      </c>
      <c r="N1150" s="141" t="str">
        <f>IFERROR(__xludf.DUMMYFUNCTION("""COMPUTED_VALUE"""),"1) Positive - Appreciate the student willingness to respond to all my inquiries in a positive tone.                                                                                                                                                            "&amp;"                                                                           
2) Improvements - Larger sample size. Since career readiness is a top priority for many academic colleges, would love to see this study for it so Career Services, Career Managemen"&amp;"t Center, etc. know how to improve or increase career readiness for SDSU students ")</f>
        <v>1) Positive - Appreciate the student willingness to respond to all my inquiries in a positive tone.                                                                                                                                                                                                                                       
2) Improvements - Larger sample size. Since career readiness is a top priority for many academic colleges, would love to see this study for it so Career Services, Career Management Center, etc. know how to improve or increase career readiness for SDSU students </v>
      </c>
      <c r="O1150" s="142" t="str">
        <f t="shared" si="1"/>
        <v/>
      </c>
      <c r="P1150" s="143" t="str">
        <f>IF(ISNA(VLOOKUP(CONCAT(M1150,C1150), 'Judge Count DO NOT EDIT'!H:H, 1, FALSE)), "ERROR","")</f>
        <v/>
      </c>
      <c r="Q1150" s="141"/>
      <c r="R1150" s="143"/>
      <c r="S1150" s="139" t="str">
        <f t="shared" si="2"/>
        <v>1023470</v>
      </c>
      <c r="T1150" s="141"/>
    </row>
    <row r="1151">
      <c r="A1151" s="137">
        <f>IFERROR(__xludf.DUMMYFUNCTION("""COMPUTED_VALUE"""),45352.63836725694)</f>
        <v>45352.63837</v>
      </c>
      <c r="B1151" s="138" t="str">
        <f>IFERROR(__xludf.DUMMYFUNCTION("""COMPUTED_VALUE"""),"Dongbowei Zhang")</f>
        <v>Dongbowei Zhang</v>
      </c>
      <c r="C1151" s="138">
        <f>IFERROR(__xludf.DUMMYFUNCTION("""COMPUTED_VALUE"""),1175.0)</f>
        <v>1175</v>
      </c>
      <c r="D1151" s="139">
        <f>IFERROR(__xludf.DUMMYFUNCTION("""COMPUTED_VALUE"""),470.0)</f>
        <v>470</v>
      </c>
      <c r="E1151" s="138">
        <f>IFERROR(__xludf.DUMMYFUNCTION("""COMPUTED_VALUE"""),4.0)</f>
        <v>4</v>
      </c>
      <c r="F1151" s="138">
        <f>IFERROR(__xludf.DUMMYFUNCTION("""COMPUTED_VALUE"""),4.0)</f>
        <v>4</v>
      </c>
      <c r="G1151" s="138">
        <f>IFERROR(__xludf.DUMMYFUNCTION("""COMPUTED_VALUE"""),5.0)</f>
        <v>5</v>
      </c>
      <c r="H1151" s="138">
        <f>IFERROR(__xludf.DUMMYFUNCTION("""COMPUTED_VALUE"""),4.0)</f>
        <v>4</v>
      </c>
      <c r="I1151" s="138">
        <f>IFERROR(__xludf.DUMMYFUNCTION("""COMPUTED_VALUE"""),5.0)</f>
        <v>5</v>
      </c>
      <c r="J1151" s="138">
        <f>IFERROR(__xludf.DUMMYFUNCTION("""COMPUTED_VALUE"""),4.0)</f>
        <v>4</v>
      </c>
      <c r="K1151" s="138">
        <f>IFERROR(__xludf.DUMMYFUNCTION("""COMPUTED_VALUE"""),5.0)</f>
        <v>5</v>
      </c>
      <c r="L1151" s="138">
        <v>31.0</v>
      </c>
      <c r="M1151" s="140" t="str">
        <f>VLOOKUP(text(D1151, "#"),'Master Table'!$A:$F, 6, FALSE)</f>
        <v>H-1</v>
      </c>
      <c r="N1151" s="141" t="str">
        <f>IFERROR(__xludf.DUMMYFUNCTION("""COMPUTED_VALUE"""),"The delivery of content was great, and interaction with audience is very professional. Could be better if more thoughts on future direction are given.")</f>
        <v>The delivery of content was great, and interaction with audience is very professional. Could be better if more thoughts on future direction are given.</v>
      </c>
      <c r="O1151" s="142" t="str">
        <f t="shared" si="1"/>
        <v/>
      </c>
      <c r="P1151" s="143" t="str">
        <f>IF(ISNA(VLOOKUP(CONCAT(M1151,C1151), 'Judge Count DO NOT EDIT'!H:H, 1, FALSE)), "ERROR","")</f>
        <v/>
      </c>
      <c r="Q1151" s="141"/>
      <c r="R1151" s="143"/>
      <c r="S1151" s="139" t="str">
        <f t="shared" si="2"/>
        <v>1175470</v>
      </c>
      <c r="T1151" s="141"/>
    </row>
    <row r="1152">
      <c r="A1152" s="137">
        <f>IFERROR(__xludf.DUMMYFUNCTION("""COMPUTED_VALUE"""),45352.56898128473)</f>
        <v>45352.56898</v>
      </c>
      <c r="B1152" s="138" t="str">
        <f>IFERROR(__xludf.DUMMYFUNCTION("""COMPUTED_VALUE"""),"Dongbowei Zhang")</f>
        <v>Dongbowei Zhang</v>
      </c>
      <c r="C1152" s="138">
        <f>IFERROR(__xludf.DUMMYFUNCTION("""COMPUTED_VALUE"""),1175.0)</f>
        <v>1175</v>
      </c>
      <c r="D1152" s="139">
        <f>IFERROR(__xludf.DUMMYFUNCTION("""COMPUTED_VALUE"""),471.0)</f>
        <v>471</v>
      </c>
      <c r="E1152" s="138">
        <f>IFERROR(__xludf.DUMMYFUNCTION("""COMPUTED_VALUE"""),3.0)</f>
        <v>3</v>
      </c>
      <c r="F1152" s="138">
        <f>IFERROR(__xludf.DUMMYFUNCTION("""COMPUTED_VALUE"""),4.0)</f>
        <v>4</v>
      </c>
      <c r="G1152" s="138">
        <f>IFERROR(__xludf.DUMMYFUNCTION("""COMPUTED_VALUE"""),2.0)</f>
        <v>2</v>
      </c>
      <c r="H1152" s="138">
        <f>IFERROR(__xludf.DUMMYFUNCTION("""COMPUTED_VALUE"""),4.0)</f>
        <v>4</v>
      </c>
      <c r="I1152" s="138">
        <f>IFERROR(__xludf.DUMMYFUNCTION("""COMPUTED_VALUE"""),3.0)</f>
        <v>3</v>
      </c>
      <c r="J1152" s="138">
        <f>IFERROR(__xludf.DUMMYFUNCTION("""COMPUTED_VALUE"""),3.0)</f>
        <v>3</v>
      </c>
      <c r="K1152" s="138">
        <f>IFERROR(__xludf.DUMMYFUNCTION("""COMPUTED_VALUE"""),3.0)</f>
        <v>3</v>
      </c>
      <c r="L1152" s="138">
        <v>22.0</v>
      </c>
      <c r="M1152" s="140" t="str">
        <f>VLOOKUP(text(D1152, "#"),'Master Table'!$A:$F, 6, FALSE)</f>
        <v>H-1</v>
      </c>
      <c r="N1152" s="141" t="str">
        <f>IFERROR(__xludf.DUMMYFUNCTION("""COMPUTED_VALUE"""),"Interesting study and great delivery of the content. Showed sufficient understanding and knowledge about the methods and findings of the study. It would be great if more thoughts be put into considering the potential influence of the study and how to gene"&amp;"ralize the findings.")</f>
        <v>Interesting study and great delivery of the content. Showed sufficient understanding and knowledge about the methods and findings of the study. It would be great if more thoughts be put into considering the potential influence of the study and how to generalize the findings.</v>
      </c>
      <c r="O1152" s="142" t="str">
        <f t="shared" si="1"/>
        <v/>
      </c>
      <c r="P1152" s="143" t="str">
        <f>IF(ISNA(VLOOKUP(CONCAT(M1152,C1152), 'Judge Count DO NOT EDIT'!H:H, 1, FALSE)), "ERROR","")</f>
        <v/>
      </c>
      <c r="Q1152" s="141"/>
      <c r="R1152" s="143"/>
      <c r="S1152" s="139" t="str">
        <f t="shared" si="2"/>
        <v>1175471</v>
      </c>
      <c r="T1152" s="141"/>
    </row>
    <row r="1153">
      <c r="A1153" s="137">
        <f>IFERROR(__xludf.DUMMYFUNCTION("""COMPUTED_VALUE"""),45352.58519996528)</f>
        <v>45352.5852</v>
      </c>
      <c r="B1153" s="138" t="str">
        <f>IFERROR(__xludf.DUMMYFUNCTION("""COMPUTED_VALUE"""),"Liang Ma")</f>
        <v>Liang Ma</v>
      </c>
      <c r="C1153" s="138">
        <f>IFERROR(__xludf.DUMMYFUNCTION("""COMPUTED_VALUE"""),1050.0)</f>
        <v>1050</v>
      </c>
      <c r="D1153" s="139">
        <f>IFERROR(__xludf.DUMMYFUNCTION("""COMPUTED_VALUE"""),471.0)</f>
        <v>471</v>
      </c>
      <c r="E1153" s="138">
        <f>IFERROR(__xludf.DUMMYFUNCTION("""COMPUTED_VALUE"""),4.0)</f>
        <v>4</v>
      </c>
      <c r="F1153" s="138">
        <f>IFERROR(__xludf.DUMMYFUNCTION("""COMPUTED_VALUE"""),4.0)</f>
        <v>4</v>
      </c>
      <c r="G1153" s="138">
        <f>IFERROR(__xludf.DUMMYFUNCTION("""COMPUTED_VALUE"""),4.0)</f>
        <v>4</v>
      </c>
      <c r="H1153" s="138">
        <f>IFERROR(__xludf.DUMMYFUNCTION("""COMPUTED_VALUE"""),5.0)</f>
        <v>5</v>
      </c>
      <c r="I1153" s="138">
        <f>IFERROR(__xludf.DUMMYFUNCTION("""COMPUTED_VALUE"""),4.0)</f>
        <v>4</v>
      </c>
      <c r="J1153" s="138">
        <f>IFERROR(__xludf.DUMMYFUNCTION("""COMPUTED_VALUE"""),3.0)</f>
        <v>3</v>
      </c>
      <c r="K1153" s="138">
        <f>IFERROR(__xludf.DUMMYFUNCTION("""COMPUTED_VALUE"""),3.0)</f>
        <v>3</v>
      </c>
      <c r="L1153" s="138">
        <v>27.0</v>
      </c>
      <c r="M1153" s="140" t="str">
        <f>VLOOKUP(text(D1153, "#"),'Master Table'!$A:$F, 6, FALSE)</f>
        <v>H-1</v>
      </c>
      <c r="N1153" s="141"/>
      <c r="O1153" s="142" t="str">
        <f t="shared" si="1"/>
        <v/>
      </c>
      <c r="P1153" s="143" t="str">
        <f>IF(ISNA(VLOOKUP(CONCAT(M1153,C1153), 'Judge Count DO NOT EDIT'!H:H, 1, FALSE)), "ERROR","")</f>
        <v/>
      </c>
      <c r="Q1153" s="141"/>
      <c r="R1153" s="143"/>
      <c r="S1153" s="139" t="str">
        <f t="shared" si="2"/>
        <v>1050471</v>
      </c>
      <c r="T1153" s="141"/>
    </row>
    <row r="1154">
      <c r="A1154" s="137">
        <f>IFERROR(__xludf.DUMMYFUNCTION("""COMPUTED_VALUE"""),45352.603963229165)</f>
        <v>45352.60396</v>
      </c>
      <c r="B1154" s="138" t="str">
        <f>IFERROR(__xludf.DUMMYFUNCTION("""COMPUTED_VALUE"""),"Anthony villarreal")</f>
        <v>Anthony villarreal</v>
      </c>
      <c r="C1154" s="138">
        <f>IFERROR(__xludf.DUMMYFUNCTION("""COMPUTED_VALUE"""),1078.0)</f>
        <v>1078</v>
      </c>
      <c r="D1154" s="139">
        <f>IFERROR(__xludf.DUMMYFUNCTION("""COMPUTED_VALUE"""),471.0)</f>
        <v>471</v>
      </c>
      <c r="E1154" s="138">
        <f>IFERROR(__xludf.DUMMYFUNCTION("""COMPUTED_VALUE"""),4.0)</f>
        <v>4</v>
      </c>
      <c r="F1154" s="138">
        <f>IFERROR(__xludf.DUMMYFUNCTION("""COMPUTED_VALUE"""),4.0)</f>
        <v>4</v>
      </c>
      <c r="G1154" s="138">
        <f>IFERROR(__xludf.DUMMYFUNCTION("""COMPUTED_VALUE"""),4.0)</f>
        <v>4</v>
      </c>
      <c r="H1154" s="138">
        <f>IFERROR(__xludf.DUMMYFUNCTION("""COMPUTED_VALUE"""),4.0)</f>
        <v>4</v>
      </c>
      <c r="I1154" s="138">
        <f>IFERROR(__xludf.DUMMYFUNCTION("""COMPUTED_VALUE"""),3.0)</f>
        <v>3</v>
      </c>
      <c r="J1154" s="138">
        <f>IFERROR(__xludf.DUMMYFUNCTION("""COMPUTED_VALUE"""),3.0)</f>
        <v>3</v>
      </c>
      <c r="K1154" s="138">
        <f>IFERROR(__xludf.DUMMYFUNCTION("""COMPUTED_VALUE"""),4.0)</f>
        <v>4</v>
      </c>
      <c r="L1154" s="138">
        <v>26.0</v>
      </c>
      <c r="M1154" s="140" t="str">
        <f>VLOOKUP(text(D1154, "#"),'Master Table'!$A:$F, 6, FALSE)</f>
        <v>H-1</v>
      </c>
      <c r="N1154" s="141" t="str">
        <f>IFERROR(__xludf.DUMMYFUNCTION("""COMPUTED_VALUE"""),"Great deliver of presentation. ")</f>
        <v>Great deliver of presentation. </v>
      </c>
      <c r="O1154" s="142" t="str">
        <f t="shared" si="1"/>
        <v/>
      </c>
      <c r="P1154" s="143" t="str">
        <f>IF(ISNA(VLOOKUP(CONCAT(M1154,C1154), 'Judge Count DO NOT EDIT'!H:H, 1, FALSE)), "ERROR","")</f>
        <v/>
      </c>
      <c r="Q1154" s="141"/>
      <c r="R1154" s="143"/>
      <c r="S1154" s="139" t="str">
        <f t="shared" si="2"/>
        <v>1078471</v>
      </c>
      <c r="T1154" s="141"/>
    </row>
    <row r="1155">
      <c r="A1155" s="137">
        <f>IFERROR(__xludf.DUMMYFUNCTION("""COMPUTED_VALUE"""),45352.61458140046)</f>
        <v>45352.61458</v>
      </c>
      <c r="B1155" s="138" t="str">
        <f>IFERROR(__xludf.DUMMYFUNCTION("""COMPUTED_VALUE"""),"Tam Lieu")</f>
        <v>Tam Lieu</v>
      </c>
      <c r="C1155" s="138">
        <f>IFERROR(__xludf.DUMMYFUNCTION("""COMPUTED_VALUE"""),1023.0)</f>
        <v>1023</v>
      </c>
      <c r="D1155" s="139">
        <f>IFERROR(__xludf.DUMMYFUNCTION("""COMPUTED_VALUE"""),471.0)</f>
        <v>471</v>
      </c>
      <c r="E1155" s="138">
        <f>IFERROR(__xludf.DUMMYFUNCTION("""COMPUTED_VALUE"""),4.0)</f>
        <v>4</v>
      </c>
      <c r="F1155" s="138">
        <f>IFERROR(__xludf.DUMMYFUNCTION("""COMPUTED_VALUE"""),4.0)</f>
        <v>4</v>
      </c>
      <c r="G1155" s="138">
        <f>IFERROR(__xludf.DUMMYFUNCTION("""COMPUTED_VALUE"""),4.0)</f>
        <v>4</v>
      </c>
      <c r="H1155" s="138">
        <f>IFERROR(__xludf.DUMMYFUNCTION("""COMPUTED_VALUE"""),4.0)</f>
        <v>4</v>
      </c>
      <c r="I1155" s="138">
        <f>IFERROR(__xludf.DUMMYFUNCTION("""COMPUTED_VALUE"""),4.0)</f>
        <v>4</v>
      </c>
      <c r="J1155" s="138">
        <f>IFERROR(__xludf.DUMMYFUNCTION("""COMPUTED_VALUE"""),4.0)</f>
        <v>4</v>
      </c>
      <c r="K1155" s="138">
        <f>IFERROR(__xludf.DUMMYFUNCTION("""COMPUTED_VALUE"""),4.0)</f>
        <v>4</v>
      </c>
      <c r="L1155" s="138">
        <v>28.0</v>
      </c>
      <c r="M1155" s="140" t="str">
        <f>VLOOKUP(text(D1155, "#"),'Master Table'!$A:$F, 6, FALSE)</f>
        <v>H-1</v>
      </c>
      <c r="N1155" s="141" t="str">
        <f>IFERROR(__xludf.DUMMYFUNCTION("""COMPUTED_VALUE"""),"1) Positive - Appreciate the student responding to my and another judge's inquiries with a positive tone. 
2) Improvements - Larger sample size. Curious about how identity plays a role.")</f>
        <v>1) Positive - Appreciate the student responding to my and another judge's inquiries with a positive tone. 
2) Improvements - Larger sample size. Curious about how identity plays a role.</v>
      </c>
      <c r="O1155" s="142" t="str">
        <f t="shared" si="1"/>
        <v/>
      </c>
      <c r="P1155" s="143" t="str">
        <f>IF(ISNA(VLOOKUP(CONCAT(M1155,C1155), 'Judge Count DO NOT EDIT'!H:H, 1, FALSE)), "ERROR","")</f>
        <v/>
      </c>
      <c r="Q1155" s="141"/>
      <c r="R1155" s="143"/>
      <c r="S1155" s="139" t="str">
        <f t="shared" si="2"/>
        <v>1023471</v>
      </c>
      <c r="T1155" s="141"/>
    </row>
    <row r="1156">
      <c r="A1156" s="137">
        <f>IFERROR(__xludf.DUMMYFUNCTION("""COMPUTED_VALUE"""),45352.57782497685)</f>
        <v>45352.57782</v>
      </c>
      <c r="B1156" s="138" t="str">
        <f>IFERROR(__xludf.DUMMYFUNCTION("""COMPUTED_VALUE"""),"Anthony villarreal")</f>
        <v>Anthony villarreal</v>
      </c>
      <c r="C1156" s="138">
        <f>IFERROR(__xludf.DUMMYFUNCTION("""COMPUTED_VALUE"""),1078.0)</f>
        <v>1078</v>
      </c>
      <c r="D1156" s="139">
        <f>IFERROR(__xludf.DUMMYFUNCTION("""COMPUTED_VALUE"""),472.0)</f>
        <v>472</v>
      </c>
      <c r="E1156" s="138">
        <f>IFERROR(__xludf.DUMMYFUNCTION("""COMPUTED_VALUE"""),4.0)</f>
        <v>4</v>
      </c>
      <c r="F1156" s="138">
        <f>IFERROR(__xludf.DUMMYFUNCTION("""COMPUTED_VALUE"""),3.0)</f>
        <v>3</v>
      </c>
      <c r="G1156" s="138">
        <f>IFERROR(__xludf.DUMMYFUNCTION("""COMPUTED_VALUE"""),3.0)</f>
        <v>3</v>
      </c>
      <c r="H1156" s="138">
        <f>IFERROR(__xludf.DUMMYFUNCTION("""COMPUTED_VALUE"""),4.0)</f>
        <v>4</v>
      </c>
      <c r="I1156" s="138">
        <f>IFERROR(__xludf.DUMMYFUNCTION("""COMPUTED_VALUE"""),3.0)</f>
        <v>3</v>
      </c>
      <c r="J1156" s="138">
        <f>IFERROR(__xludf.DUMMYFUNCTION("""COMPUTED_VALUE"""),4.0)</f>
        <v>4</v>
      </c>
      <c r="K1156" s="138">
        <f>IFERROR(__xludf.DUMMYFUNCTION("""COMPUTED_VALUE"""),4.0)</f>
        <v>4</v>
      </c>
      <c r="L1156" s="138">
        <v>25.0</v>
      </c>
      <c r="M1156" s="140" t="str">
        <f>VLOOKUP(text(D1156, "#"),'Master Table'!$A:$F, 6, FALSE)</f>
        <v>H-1</v>
      </c>
      <c r="N1156" s="141" t="str">
        <f>IFERROR(__xludf.DUMMYFUNCTION("""COMPUTED_VALUE"""),"Great visuals and introduction of topic. ")</f>
        <v>Great visuals and introduction of topic. </v>
      </c>
      <c r="O1156" s="142" t="str">
        <f t="shared" si="1"/>
        <v/>
      </c>
      <c r="P1156" s="143" t="str">
        <f>IF(ISNA(VLOOKUP(CONCAT(M1156,C1156), 'Judge Count DO NOT EDIT'!H:H, 1, FALSE)), "ERROR","")</f>
        <v/>
      </c>
      <c r="Q1156" s="141"/>
      <c r="R1156" s="143"/>
      <c r="S1156" s="139" t="str">
        <f t="shared" si="2"/>
        <v>1078472</v>
      </c>
      <c r="T1156" s="141"/>
    </row>
    <row r="1157">
      <c r="A1157" s="137">
        <f>IFERROR(__xludf.DUMMYFUNCTION("""COMPUTED_VALUE"""),45352.58554616898)</f>
        <v>45352.58555</v>
      </c>
      <c r="B1157" s="138" t="str">
        <f>IFERROR(__xludf.DUMMYFUNCTION("""COMPUTED_VALUE"""),"Liang Ma")</f>
        <v>Liang Ma</v>
      </c>
      <c r="C1157" s="138">
        <f>IFERROR(__xludf.DUMMYFUNCTION("""COMPUTED_VALUE"""),1050.0)</f>
        <v>1050</v>
      </c>
      <c r="D1157" s="139">
        <f>IFERROR(__xludf.DUMMYFUNCTION("""COMPUTED_VALUE"""),472.0)</f>
        <v>472</v>
      </c>
      <c r="E1157" s="138">
        <f>IFERROR(__xludf.DUMMYFUNCTION("""COMPUTED_VALUE"""),5.0)</f>
        <v>5</v>
      </c>
      <c r="F1157" s="138">
        <f>IFERROR(__xludf.DUMMYFUNCTION("""COMPUTED_VALUE"""),4.0)</f>
        <v>4</v>
      </c>
      <c r="G1157" s="138">
        <f>IFERROR(__xludf.DUMMYFUNCTION("""COMPUTED_VALUE"""),4.0)</f>
        <v>4</v>
      </c>
      <c r="H1157" s="138">
        <f>IFERROR(__xludf.DUMMYFUNCTION("""COMPUTED_VALUE"""),4.0)</f>
        <v>4</v>
      </c>
      <c r="I1157" s="138">
        <f>IFERROR(__xludf.DUMMYFUNCTION("""COMPUTED_VALUE"""),5.0)</f>
        <v>5</v>
      </c>
      <c r="J1157" s="138">
        <f>IFERROR(__xludf.DUMMYFUNCTION("""COMPUTED_VALUE"""),5.0)</f>
        <v>5</v>
      </c>
      <c r="K1157" s="138">
        <f>IFERROR(__xludf.DUMMYFUNCTION("""COMPUTED_VALUE"""),5.0)</f>
        <v>5</v>
      </c>
      <c r="L1157" s="138">
        <v>32.0</v>
      </c>
      <c r="M1157" s="140" t="str">
        <f>VLOOKUP(text(D1157, "#"),'Master Table'!$A:$F, 6, FALSE)</f>
        <v>H-1</v>
      </c>
      <c r="N1157" s="141"/>
      <c r="O1157" s="142" t="str">
        <f t="shared" si="1"/>
        <v/>
      </c>
      <c r="P1157" s="143" t="str">
        <f>IF(ISNA(VLOOKUP(CONCAT(M1157,C1157), 'Judge Count DO NOT EDIT'!H:H, 1, FALSE)), "ERROR","")</f>
        <v/>
      </c>
      <c r="Q1157" s="141"/>
      <c r="R1157" s="143"/>
      <c r="S1157" s="139" t="str">
        <f t="shared" si="2"/>
        <v>1050472</v>
      </c>
      <c r="T1157" s="141"/>
    </row>
    <row r="1158">
      <c r="A1158" s="137">
        <f>IFERROR(__xludf.DUMMYFUNCTION("""COMPUTED_VALUE"""),45352.61675686343)</f>
        <v>45352.61676</v>
      </c>
      <c r="B1158" s="138" t="str">
        <f>IFERROR(__xludf.DUMMYFUNCTION("""COMPUTED_VALUE"""),"Tam Lieu")</f>
        <v>Tam Lieu</v>
      </c>
      <c r="C1158" s="138">
        <f>IFERROR(__xludf.DUMMYFUNCTION("""COMPUTED_VALUE"""),1023.0)</f>
        <v>1023</v>
      </c>
      <c r="D1158" s="139">
        <f>IFERROR(__xludf.DUMMYFUNCTION("""COMPUTED_VALUE"""),472.0)</f>
        <v>472</v>
      </c>
      <c r="E1158" s="138">
        <f>IFERROR(__xludf.DUMMYFUNCTION("""COMPUTED_VALUE"""),4.0)</f>
        <v>4</v>
      </c>
      <c r="F1158" s="138">
        <f>IFERROR(__xludf.DUMMYFUNCTION("""COMPUTED_VALUE"""),4.0)</f>
        <v>4</v>
      </c>
      <c r="G1158" s="138">
        <f>IFERROR(__xludf.DUMMYFUNCTION("""COMPUTED_VALUE"""),4.0)</f>
        <v>4</v>
      </c>
      <c r="H1158" s="138">
        <f>IFERROR(__xludf.DUMMYFUNCTION("""COMPUTED_VALUE"""),4.0)</f>
        <v>4</v>
      </c>
      <c r="I1158" s="138">
        <f>IFERROR(__xludf.DUMMYFUNCTION("""COMPUTED_VALUE"""),4.0)</f>
        <v>4</v>
      </c>
      <c r="J1158" s="138">
        <f>IFERROR(__xludf.DUMMYFUNCTION("""COMPUTED_VALUE"""),4.0)</f>
        <v>4</v>
      </c>
      <c r="K1158" s="138">
        <f>IFERROR(__xludf.DUMMYFUNCTION("""COMPUTED_VALUE"""),4.0)</f>
        <v>4</v>
      </c>
      <c r="L1158" s="138">
        <v>28.0</v>
      </c>
      <c r="M1158" s="140" t="str">
        <f>VLOOKUP(text(D1158, "#"),'Master Table'!$A:$F, 6, FALSE)</f>
        <v>H-1</v>
      </c>
      <c r="N1158" s="141" t="str">
        <f>IFERROR(__xludf.DUMMYFUNCTION("""COMPUTED_VALUE"""),"1) Positive - Great sample size. Appreciate the student responding to inquiries in a positive tone. 
2) Improvements - Collaboration is constantly being mentioned in a professional setting. If possible, other disciplines. Or, STEM in various geographic lo"&amp;"cations")</f>
        <v>1) Positive - Great sample size. Appreciate the student responding to inquiries in a positive tone. 
2) Improvements - Collaboration is constantly being mentioned in a professional setting. If possible, other disciplines. Or, STEM in various geographic locations</v>
      </c>
      <c r="O1158" s="142" t="str">
        <f t="shared" si="1"/>
        <v/>
      </c>
      <c r="P1158" s="143" t="str">
        <f>IF(ISNA(VLOOKUP(CONCAT(M1158,C1158), 'Judge Count DO NOT EDIT'!H:H, 1, FALSE)), "ERROR","")</f>
        <v/>
      </c>
      <c r="Q1158" s="141"/>
      <c r="R1158" s="143"/>
      <c r="S1158" s="139" t="str">
        <f t="shared" si="2"/>
        <v>1023472</v>
      </c>
      <c r="T1158" s="141"/>
    </row>
    <row r="1159">
      <c r="A1159" s="137">
        <f>IFERROR(__xludf.DUMMYFUNCTION("""COMPUTED_VALUE"""),45352.641828368054)</f>
        <v>45352.64183</v>
      </c>
      <c r="B1159" s="138" t="str">
        <f>IFERROR(__xludf.DUMMYFUNCTION("""COMPUTED_VALUE"""),"Dongbowei Zhang")</f>
        <v>Dongbowei Zhang</v>
      </c>
      <c r="C1159" s="138">
        <f>IFERROR(__xludf.DUMMYFUNCTION("""COMPUTED_VALUE"""),1175.0)</f>
        <v>1175</v>
      </c>
      <c r="D1159" s="139">
        <f>IFERROR(__xludf.DUMMYFUNCTION("""COMPUTED_VALUE"""),472.0)</f>
        <v>472</v>
      </c>
      <c r="E1159" s="138">
        <f>IFERROR(__xludf.DUMMYFUNCTION("""COMPUTED_VALUE"""),4.0)</f>
        <v>4</v>
      </c>
      <c r="F1159" s="138">
        <f>IFERROR(__xludf.DUMMYFUNCTION("""COMPUTED_VALUE"""),4.0)</f>
        <v>4</v>
      </c>
      <c r="G1159" s="138">
        <f>IFERROR(__xludf.DUMMYFUNCTION("""COMPUTED_VALUE"""),4.0)</f>
        <v>4</v>
      </c>
      <c r="H1159" s="138">
        <f>IFERROR(__xludf.DUMMYFUNCTION("""COMPUTED_VALUE"""),2.0)</f>
        <v>2</v>
      </c>
      <c r="I1159" s="138">
        <f>IFERROR(__xludf.DUMMYFUNCTION("""COMPUTED_VALUE"""),3.0)</f>
        <v>3</v>
      </c>
      <c r="J1159" s="138">
        <f>IFERROR(__xludf.DUMMYFUNCTION("""COMPUTED_VALUE"""),3.0)</f>
        <v>3</v>
      </c>
      <c r="K1159" s="138">
        <f>IFERROR(__xludf.DUMMYFUNCTION("""COMPUTED_VALUE"""),3.0)</f>
        <v>3</v>
      </c>
      <c r="L1159" s="138">
        <v>23.0</v>
      </c>
      <c r="M1159" s="140" t="str">
        <f>VLOOKUP(text(D1159, "#"),'Master Table'!$A:$F, 6, FALSE)</f>
        <v>H-1</v>
      </c>
      <c r="N1159" s="141" t="str">
        <f>IFERROR(__xludf.DUMMYFUNCTION("""COMPUTED_VALUE"""),"Great presentation and highly familiar with the contents and findings. But would be better if methodology and implications of the study are explained.")</f>
        <v>Great presentation and highly familiar with the contents and findings. But would be better if methodology and implications of the study are explained.</v>
      </c>
      <c r="O1159" s="142" t="str">
        <f t="shared" si="1"/>
        <v/>
      </c>
      <c r="P1159" s="143" t="str">
        <f>IF(ISNA(VLOOKUP(CONCAT(M1159,C1159), 'Judge Count DO NOT EDIT'!H:H, 1, FALSE)), "ERROR","")</f>
        <v/>
      </c>
      <c r="Q1159" s="141"/>
      <c r="R1159" s="143"/>
      <c r="S1159" s="139" t="str">
        <f t="shared" si="2"/>
        <v>1175472</v>
      </c>
      <c r="T1159" s="141"/>
    </row>
    <row r="1160">
      <c r="A1160" s="137">
        <f>IFERROR(__xludf.DUMMYFUNCTION("""COMPUTED_VALUE"""),45352.586591493055)</f>
        <v>45352.58659</v>
      </c>
      <c r="B1160" s="138" t="str">
        <f>IFERROR(__xludf.DUMMYFUNCTION("""COMPUTED_VALUE"""),"Liang Ma")</f>
        <v>Liang Ma</v>
      </c>
      <c r="C1160" s="138">
        <f>IFERROR(__xludf.DUMMYFUNCTION("""COMPUTED_VALUE"""),1050.0)</f>
        <v>1050</v>
      </c>
      <c r="D1160" s="139">
        <f>IFERROR(__xludf.DUMMYFUNCTION("""COMPUTED_VALUE"""),473.0)</f>
        <v>473</v>
      </c>
      <c r="E1160" s="138">
        <f>IFERROR(__xludf.DUMMYFUNCTION("""COMPUTED_VALUE"""),5.0)</f>
        <v>5</v>
      </c>
      <c r="F1160" s="138">
        <f>IFERROR(__xludf.DUMMYFUNCTION("""COMPUTED_VALUE"""),4.0)</f>
        <v>4</v>
      </c>
      <c r="G1160" s="138">
        <f>IFERROR(__xludf.DUMMYFUNCTION("""COMPUTED_VALUE"""),4.0)</f>
        <v>4</v>
      </c>
      <c r="H1160" s="138">
        <f>IFERROR(__xludf.DUMMYFUNCTION("""COMPUTED_VALUE"""),4.0)</f>
        <v>4</v>
      </c>
      <c r="I1160" s="138">
        <f>IFERROR(__xludf.DUMMYFUNCTION("""COMPUTED_VALUE"""),5.0)</f>
        <v>5</v>
      </c>
      <c r="J1160" s="138">
        <f>IFERROR(__xludf.DUMMYFUNCTION("""COMPUTED_VALUE"""),5.0)</f>
        <v>5</v>
      </c>
      <c r="K1160" s="138">
        <f>IFERROR(__xludf.DUMMYFUNCTION("""COMPUTED_VALUE"""),5.0)</f>
        <v>5</v>
      </c>
      <c r="L1160" s="138">
        <v>32.0</v>
      </c>
      <c r="M1160" s="140" t="str">
        <f>VLOOKUP(text(D1160, "#"),'Master Table'!$A:$F, 6, FALSE)</f>
        <v>H-1</v>
      </c>
      <c r="N1160" s="141"/>
      <c r="O1160" s="142" t="str">
        <f t="shared" si="1"/>
        <v/>
      </c>
      <c r="P1160" s="143" t="str">
        <f>IF(ISNA(VLOOKUP(CONCAT(M1160,C1160), 'Judge Count DO NOT EDIT'!H:H, 1, FALSE)), "ERROR","")</f>
        <v/>
      </c>
      <c r="Q1160" s="144"/>
      <c r="R1160" s="143"/>
      <c r="S1160" s="139" t="str">
        <f t="shared" si="2"/>
        <v>1050473</v>
      </c>
      <c r="T1160" s="141"/>
    </row>
    <row r="1161">
      <c r="A1161" s="137">
        <f>IFERROR(__xludf.DUMMYFUNCTION("""COMPUTED_VALUE"""),45352.59196273148)</f>
        <v>45352.59196</v>
      </c>
      <c r="B1161" s="138" t="str">
        <f>IFERROR(__xludf.DUMMYFUNCTION("""COMPUTED_VALUE"""),"Dongbowei Zhang")</f>
        <v>Dongbowei Zhang</v>
      </c>
      <c r="C1161" s="138">
        <f>IFERROR(__xludf.DUMMYFUNCTION("""COMPUTED_VALUE"""),1175.0)</f>
        <v>1175</v>
      </c>
      <c r="D1161" s="139">
        <f>IFERROR(__xludf.DUMMYFUNCTION("""COMPUTED_VALUE"""),473.0)</f>
        <v>473</v>
      </c>
      <c r="E1161" s="138">
        <f>IFERROR(__xludf.DUMMYFUNCTION("""COMPUTED_VALUE"""),3.0)</f>
        <v>3</v>
      </c>
      <c r="F1161" s="138">
        <f>IFERROR(__xludf.DUMMYFUNCTION("""COMPUTED_VALUE"""),4.0)</f>
        <v>4</v>
      </c>
      <c r="G1161" s="138">
        <f>IFERROR(__xludf.DUMMYFUNCTION("""COMPUTED_VALUE"""),4.0)</f>
        <v>4</v>
      </c>
      <c r="H1161" s="138">
        <f>IFERROR(__xludf.DUMMYFUNCTION("""COMPUTED_VALUE"""),3.0)</f>
        <v>3</v>
      </c>
      <c r="I1161" s="138">
        <f>IFERROR(__xludf.DUMMYFUNCTION("""COMPUTED_VALUE"""),2.0)</f>
        <v>2</v>
      </c>
      <c r="J1161" s="138">
        <f>IFERROR(__xludf.DUMMYFUNCTION("""COMPUTED_VALUE"""),3.0)</f>
        <v>3</v>
      </c>
      <c r="K1161" s="138">
        <f>IFERROR(__xludf.DUMMYFUNCTION("""COMPUTED_VALUE"""),2.0)</f>
        <v>2</v>
      </c>
      <c r="L1161" s="138">
        <v>21.0</v>
      </c>
      <c r="M1161" s="140" t="str">
        <f>VLOOKUP(text(D1161, "#"),'Master Table'!$A:$F, 6, FALSE)</f>
        <v>H-1</v>
      </c>
      <c r="N1161" s="141" t="str">
        <f>IFERROR(__xludf.DUMMYFUNCTION("""COMPUTED_VALUE"""),"Great study and super meaningful! Presenters had informative presentations and thoughtful answers to my questions. Would be better if they had more knowledge of the statistics of the study. ")</f>
        <v>Great study and super meaningful! Presenters had informative presentations and thoughtful answers to my questions. Would be better if they had more knowledge of the statistics of the study. </v>
      </c>
      <c r="O1161" s="142" t="str">
        <f t="shared" si="1"/>
        <v/>
      </c>
      <c r="P1161" s="143" t="str">
        <f>IF(ISNA(VLOOKUP(CONCAT(M1161,C1161), 'Judge Count DO NOT EDIT'!H:H, 1, FALSE)), "ERROR","")</f>
        <v/>
      </c>
      <c r="Q1161" s="141"/>
      <c r="R1161" s="143"/>
      <c r="S1161" s="139" t="str">
        <f t="shared" si="2"/>
        <v>1175473</v>
      </c>
      <c r="T1161" s="141"/>
    </row>
    <row r="1162">
      <c r="A1162" s="137">
        <f>IFERROR(__xludf.DUMMYFUNCTION("""COMPUTED_VALUE"""),45352.611729212964)</f>
        <v>45352.61173</v>
      </c>
      <c r="B1162" s="138" t="str">
        <f>IFERROR(__xludf.DUMMYFUNCTION("""COMPUTED_VALUE"""),"Anthony vilarreal")</f>
        <v>Anthony vilarreal</v>
      </c>
      <c r="C1162" s="138">
        <f>IFERROR(__xludf.DUMMYFUNCTION("""COMPUTED_VALUE"""),1078.0)</f>
        <v>1078</v>
      </c>
      <c r="D1162" s="139">
        <f>IFERROR(__xludf.DUMMYFUNCTION("""COMPUTED_VALUE"""),473.0)</f>
        <v>473</v>
      </c>
      <c r="E1162" s="138">
        <f>IFERROR(__xludf.DUMMYFUNCTION("""COMPUTED_VALUE"""),5.0)</f>
        <v>5</v>
      </c>
      <c r="F1162" s="138">
        <f>IFERROR(__xludf.DUMMYFUNCTION("""COMPUTED_VALUE"""),4.0)</f>
        <v>4</v>
      </c>
      <c r="G1162" s="138">
        <f>IFERROR(__xludf.DUMMYFUNCTION("""COMPUTED_VALUE"""),5.0)</f>
        <v>5</v>
      </c>
      <c r="H1162" s="138">
        <f>IFERROR(__xludf.DUMMYFUNCTION("""COMPUTED_VALUE"""),5.0)</f>
        <v>5</v>
      </c>
      <c r="I1162" s="138">
        <f>IFERROR(__xludf.DUMMYFUNCTION("""COMPUTED_VALUE"""),5.0)</f>
        <v>5</v>
      </c>
      <c r="J1162" s="138">
        <f>IFERROR(__xludf.DUMMYFUNCTION("""COMPUTED_VALUE"""),5.0)</f>
        <v>5</v>
      </c>
      <c r="K1162" s="138">
        <f>IFERROR(__xludf.DUMMYFUNCTION("""COMPUTED_VALUE"""),5.0)</f>
        <v>5</v>
      </c>
      <c r="L1162" s="138">
        <v>34.0</v>
      </c>
      <c r="M1162" s="140" t="str">
        <f>VLOOKUP(text(D1162, "#"),'Master Table'!$A:$F, 6, FALSE)</f>
        <v>H-1</v>
      </c>
      <c r="N1162" s="141" t="str">
        <f>IFERROR(__xludf.DUMMYFUNCTION("""COMPUTED_VALUE"""),"Great presentation. Great explanation of visuals. ")</f>
        <v>Great presentation. Great explanation of visuals. </v>
      </c>
      <c r="O1162" s="142" t="str">
        <f t="shared" si="1"/>
        <v/>
      </c>
      <c r="P1162" s="143" t="str">
        <f>IF(ISNA(VLOOKUP(CONCAT(M1162,C1162), 'Judge Count DO NOT EDIT'!H:H, 1, FALSE)), "ERROR","")</f>
        <v/>
      </c>
      <c r="Q1162" s="141"/>
      <c r="R1162" s="143"/>
      <c r="S1162" s="139" t="str">
        <f t="shared" si="2"/>
        <v>1078473</v>
      </c>
      <c r="T1162" s="141"/>
    </row>
    <row r="1163">
      <c r="A1163" s="137">
        <f>IFERROR(__xludf.DUMMYFUNCTION("""COMPUTED_VALUE"""),45352.61855438657)</f>
        <v>45352.61855</v>
      </c>
      <c r="B1163" s="138" t="str">
        <f>IFERROR(__xludf.DUMMYFUNCTION("""COMPUTED_VALUE"""),"Tam Lieu")</f>
        <v>Tam Lieu</v>
      </c>
      <c r="C1163" s="138">
        <f>IFERROR(__xludf.DUMMYFUNCTION("""COMPUTED_VALUE"""),1023.0)</f>
        <v>1023</v>
      </c>
      <c r="D1163" s="139">
        <f>IFERROR(__xludf.DUMMYFUNCTION("""COMPUTED_VALUE"""),473.0)</f>
        <v>473</v>
      </c>
      <c r="E1163" s="138">
        <f>IFERROR(__xludf.DUMMYFUNCTION("""COMPUTED_VALUE"""),4.0)</f>
        <v>4</v>
      </c>
      <c r="F1163" s="138">
        <f>IFERROR(__xludf.DUMMYFUNCTION("""COMPUTED_VALUE"""),4.0)</f>
        <v>4</v>
      </c>
      <c r="G1163" s="138">
        <f>IFERROR(__xludf.DUMMYFUNCTION("""COMPUTED_VALUE"""),4.0)</f>
        <v>4</v>
      </c>
      <c r="H1163" s="138">
        <f>IFERROR(__xludf.DUMMYFUNCTION("""COMPUTED_VALUE"""),4.0)</f>
        <v>4</v>
      </c>
      <c r="I1163" s="138">
        <f>IFERROR(__xludf.DUMMYFUNCTION("""COMPUTED_VALUE"""),4.0)</f>
        <v>4</v>
      </c>
      <c r="J1163" s="138">
        <f>IFERROR(__xludf.DUMMYFUNCTION("""COMPUTED_VALUE"""),4.0)</f>
        <v>4</v>
      </c>
      <c r="K1163" s="138">
        <f>IFERROR(__xludf.DUMMYFUNCTION("""COMPUTED_VALUE"""),4.0)</f>
        <v>4</v>
      </c>
      <c r="L1163" s="138">
        <v>28.0</v>
      </c>
      <c r="M1163" s="140" t="str">
        <f>VLOOKUP(text(D1163, "#"),'Master Table'!$A:$F, 6, FALSE)</f>
        <v>H-1</v>
      </c>
      <c r="N1163" s="141" t="str">
        <f>IFERROR(__xludf.DUMMYFUNCTION("""COMPUTED_VALUE"""),"1) Positive - Appreciate the students responding to inquiries in a positive tone. 
2) Improvements - Larger sample size. Expand outside of Southern California.")</f>
        <v>1) Positive - Appreciate the students responding to inquiries in a positive tone. 
2) Improvements - Larger sample size. Expand outside of Southern California.</v>
      </c>
      <c r="O1163" s="142" t="str">
        <f t="shared" si="1"/>
        <v/>
      </c>
      <c r="P1163" s="143" t="str">
        <f>IF(ISNA(VLOOKUP(CONCAT(M1163,C1163), 'Judge Count DO NOT EDIT'!H:H, 1, FALSE)), "ERROR","")</f>
        <v/>
      </c>
      <c r="Q1163" s="141"/>
      <c r="R1163" s="143"/>
      <c r="S1163" s="139" t="str">
        <f t="shared" si="2"/>
        <v>1023473</v>
      </c>
      <c r="T1163" s="141"/>
    </row>
    <row r="1164">
      <c r="A1164" s="137">
        <f>IFERROR(__xludf.DUMMYFUNCTION("""COMPUTED_VALUE"""),45352.55263493056)</f>
        <v>45352.55263</v>
      </c>
      <c r="B1164" s="138" t="str">
        <f>IFERROR(__xludf.DUMMYFUNCTION("""COMPUTED_VALUE"""),"Jeanne")</f>
        <v>Jeanne</v>
      </c>
      <c r="C1164" s="138">
        <f>IFERROR(__xludf.DUMMYFUNCTION("""COMPUTED_VALUE"""),1029.0)</f>
        <v>1029</v>
      </c>
      <c r="D1164" s="139">
        <f>IFERROR(__xludf.DUMMYFUNCTION("""COMPUTED_VALUE"""),474.0)</f>
        <v>474</v>
      </c>
      <c r="E1164" s="138">
        <f>IFERROR(__xludf.DUMMYFUNCTION("""COMPUTED_VALUE"""),3.0)</f>
        <v>3</v>
      </c>
      <c r="F1164" s="138">
        <f>IFERROR(__xludf.DUMMYFUNCTION("""COMPUTED_VALUE"""),4.0)</f>
        <v>4</v>
      </c>
      <c r="G1164" s="138">
        <f>IFERROR(__xludf.DUMMYFUNCTION("""COMPUTED_VALUE"""),4.0)</f>
        <v>4</v>
      </c>
      <c r="H1164" s="138">
        <f>IFERROR(__xludf.DUMMYFUNCTION("""COMPUTED_VALUE"""),3.0)</f>
        <v>3</v>
      </c>
      <c r="I1164" s="138">
        <f>IFERROR(__xludf.DUMMYFUNCTION("""COMPUTED_VALUE"""),3.0)</f>
        <v>3</v>
      </c>
      <c r="J1164" s="138">
        <f>IFERROR(__xludf.DUMMYFUNCTION("""COMPUTED_VALUE"""),3.0)</f>
        <v>3</v>
      </c>
      <c r="K1164" s="138">
        <f>IFERROR(__xludf.DUMMYFUNCTION("""COMPUTED_VALUE"""),4.0)</f>
        <v>4</v>
      </c>
      <c r="L1164" s="138">
        <v>24.0</v>
      </c>
      <c r="M1164" s="140" t="str">
        <f>VLOOKUP(text(D1164, "#"),'Master Table'!$A:$F, 6, FALSE)</f>
        <v>H-2</v>
      </c>
      <c r="N1164" s="141" t="str">
        <f>IFERROR(__xludf.DUMMYFUNCTION("""COMPUTED_VALUE"""),"The presenter did a great job, answering questions, and demonstrating her enthusiasm for the subject matter. The impact on the subjects in her research are twofold both to students and the community and she made that clear. As a second year student, this "&amp;"presentation was excellent. As she continues her studies and research, I suspect that her research will become even more refined And I look forward to seeing ")</f>
        <v>The presenter did a great job, answering questions, and demonstrating her enthusiasm for the subject matter. The impact on the subjects in her research are twofold both to students and the community and she made that clear. As a second year student, this presentation was excellent. As she continues her studies and research, I suspect that her research will become even more refined And I look forward to seeing </v>
      </c>
      <c r="O1164" s="142" t="str">
        <f t="shared" si="1"/>
        <v/>
      </c>
      <c r="P1164" s="143" t="str">
        <f>IF(ISNA(VLOOKUP(CONCAT(M1164,C1164), 'Judge Count DO NOT EDIT'!H:H, 1, FALSE)), "ERROR","")</f>
        <v/>
      </c>
      <c r="R1164" s="143"/>
      <c r="S1164" s="139" t="str">
        <f t="shared" si="2"/>
        <v>1029474</v>
      </c>
      <c r="T1164" s="141"/>
    </row>
    <row r="1165">
      <c r="A1165" s="137">
        <f>IFERROR(__xludf.DUMMYFUNCTION("""COMPUTED_VALUE"""),45352.57003664352)</f>
        <v>45352.57004</v>
      </c>
      <c r="B1165" s="138" t="str">
        <f>IFERROR(__xludf.DUMMYFUNCTION("""COMPUTED_VALUE"""),"Yifan Yuan")</f>
        <v>Yifan Yuan</v>
      </c>
      <c r="C1165" s="138">
        <f>IFERROR(__xludf.DUMMYFUNCTION("""COMPUTED_VALUE"""),1176.0)</f>
        <v>1176</v>
      </c>
      <c r="D1165" s="139">
        <f>IFERROR(__xludf.DUMMYFUNCTION("""COMPUTED_VALUE"""),474.0)</f>
        <v>474</v>
      </c>
      <c r="E1165" s="138">
        <f>IFERROR(__xludf.DUMMYFUNCTION("""COMPUTED_VALUE"""),2.0)</f>
        <v>2</v>
      </c>
      <c r="F1165" s="138">
        <f>IFERROR(__xludf.DUMMYFUNCTION("""COMPUTED_VALUE"""),3.0)</f>
        <v>3</v>
      </c>
      <c r="G1165" s="138">
        <f>IFERROR(__xludf.DUMMYFUNCTION("""COMPUTED_VALUE"""),4.0)</f>
        <v>4</v>
      </c>
      <c r="H1165" s="138">
        <f>IFERROR(__xludf.DUMMYFUNCTION("""COMPUTED_VALUE"""),3.0)</f>
        <v>3</v>
      </c>
      <c r="I1165" s="138">
        <f>IFERROR(__xludf.DUMMYFUNCTION("""COMPUTED_VALUE"""),3.0)</f>
        <v>3</v>
      </c>
      <c r="J1165" s="138">
        <f>IFERROR(__xludf.DUMMYFUNCTION("""COMPUTED_VALUE"""),2.0)</f>
        <v>2</v>
      </c>
      <c r="K1165" s="138">
        <f>IFERROR(__xludf.DUMMYFUNCTION("""COMPUTED_VALUE"""),4.0)</f>
        <v>4</v>
      </c>
      <c r="L1165" s="138">
        <v>21.0</v>
      </c>
      <c r="M1165" s="140" t="str">
        <f>VLOOKUP(text(D1165, "#"),'Master Table'!$A:$F, 6, FALSE)</f>
        <v>H-2</v>
      </c>
      <c r="N1165" s="141" t="str">
        <f>IFERROR(__xludf.DUMMYFUNCTION("""COMPUTED_VALUE"""),"Research question is very interesting and meaningful, directly applicable to real world situations. Presentation could be clearer especially to audiences with limited knowledge of nursing and SLEs.")</f>
        <v>Research question is very interesting and meaningful, directly applicable to real world situations. Presentation could be clearer especially to audiences with limited knowledge of nursing and SLEs.</v>
      </c>
      <c r="O1165" s="142" t="str">
        <f t="shared" si="1"/>
        <v/>
      </c>
      <c r="P1165" s="143" t="str">
        <f>IF(ISNA(VLOOKUP(CONCAT(M1165,C1165), 'Judge Count DO NOT EDIT'!H:H, 1, FALSE)), "ERROR","")</f>
        <v/>
      </c>
      <c r="Q1165" s="144"/>
      <c r="R1165" s="143"/>
      <c r="S1165" s="139" t="str">
        <f t="shared" si="2"/>
        <v>1176474</v>
      </c>
      <c r="T1165" s="141"/>
    </row>
    <row r="1166">
      <c r="A1166" s="137">
        <f>IFERROR(__xludf.DUMMYFUNCTION("""COMPUTED_VALUE"""),45352.59241049769)</f>
        <v>45352.59241</v>
      </c>
      <c r="B1166" s="138" t="str">
        <f>IFERROR(__xludf.DUMMYFUNCTION("""COMPUTED_VALUE"""),"Keven Jeffery")</f>
        <v>Keven Jeffery</v>
      </c>
      <c r="C1166" s="138">
        <f>IFERROR(__xludf.DUMMYFUNCTION("""COMPUTED_VALUE"""),1087.0)</f>
        <v>1087</v>
      </c>
      <c r="D1166" s="139">
        <f>IFERROR(__xludf.DUMMYFUNCTION("""COMPUTED_VALUE"""),474.0)</f>
        <v>474</v>
      </c>
      <c r="E1166" s="138">
        <f>IFERROR(__xludf.DUMMYFUNCTION("""COMPUTED_VALUE"""),3.0)</f>
        <v>3</v>
      </c>
      <c r="F1166" s="138">
        <f>IFERROR(__xludf.DUMMYFUNCTION("""COMPUTED_VALUE"""),3.0)</f>
        <v>3</v>
      </c>
      <c r="G1166" s="138">
        <f>IFERROR(__xludf.DUMMYFUNCTION("""COMPUTED_VALUE"""),3.0)</f>
        <v>3</v>
      </c>
      <c r="H1166" s="138">
        <f>IFERROR(__xludf.DUMMYFUNCTION("""COMPUTED_VALUE"""),3.0)</f>
        <v>3</v>
      </c>
      <c r="I1166" s="138">
        <f>IFERROR(__xludf.DUMMYFUNCTION("""COMPUTED_VALUE"""),4.0)</f>
        <v>4</v>
      </c>
      <c r="J1166" s="138">
        <f>IFERROR(__xludf.DUMMYFUNCTION("""COMPUTED_VALUE"""),3.0)</f>
        <v>3</v>
      </c>
      <c r="K1166" s="138">
        <f>IFERROR(__xludf.DUMMYFUNCTION("""COMPUTED_VALUE"""),4.0)</f>
        <v>4</v>
      </c>
      <c r="L1166" s="138">
        <v>23.0</v>
      </c>
      <c r="M1166" s="140" t="str">
        <f>VLOOKUP(text(D1166, "#"),'Master Table'!$A:$F, 6, FALSE)</f>
        <v>H-2</v>
      </c>
      <c r="N1166" s="141" t="str">
        <f>IFERROR(__xludf.DUMMYFUNCTION("""COMPUTED_VALUE"""),"The student was comfortable presenting and communicated well with the audience. While the project itself was notable, and the goal of engaging student nurses in rural service learning opportunities would have a great impact on both the students and the co"&amp;"mmunities, I was not able to get a good sense of the research methodology from the presentation. A sample of some of the questions asked of people, or even a survey of the nurses to gauge their perceptions of the interaction with the communities would hav"&amp;"e been impactful in communicating the study impact. Interesting work though and an exciting idea to build on.")</f>
        <v>The student was comfortable presenting and communicated well with the audience. While the project itself was notable, and the goal of engaging student nurses in rural service learning opportunities would have a great impact on both the students and the communities, I was not able to get a good sense of the research methodology from the presentation. A sample of some of the questions asked of people, or even a survey of the nurses to gauge their perceptions of the interaction with the communities would have been impactful in communicating the study impact. Interesting work though and an exciting idea to build on.</v>
      </c>
      <c r="O1166" s="142" t="str">
        <f t="shared" si="1"/>
        <v/>
      </c>
      <c r="P1166" s="143" t="str">
        <f>IF(ISNA(VLOOKUP(CONCAT(M1166,C1166), 'Judge Count DO NOT EDIT'!H:H, 1, FALSE)), "ERROR","")</f>
        <v/>
      </c>
      <c r="R1166" s="143"/>
      <c r="S1166" s="139" t="str">
        <f t="shared" si="2"/>
        <v>1087474</v>
      </c>
      <c r="T1166" s="141"/>
    </row>
    <row r="1167">
      <c r="A1167" s="137">
        <f>IFERROR(__xludf.DUMMYFUNCTION("""COMPUTED_VALUE"""),45352.60930694445)</f>
        <v>45352.60931</v>
      </c>
      <c r="B1167" s="138" t="str">
        <f>IFERROR(__xludf.DUMMYFUNCTION("""COMPUTED_VALUE"""),"Heidy Mendez-Rodriguez")</f>
        <v>Heidy Mendez-Rodriguez</v>
      </c>
      <c r="C1167" s="138">
        <f>IFERROR(__xludf.DUMMYFUNCTION("""COMPUTED_VALUE"""),1174.0)</f>
        <v>1174</v>
      </c>
      <c r="D1167" s="139">
        <f>IFERROR(__xludf.DUMMYFUNCTION("""COMPUTED_VALUE"""),474.0)</f>
        <v>474</v>
      </c>
      <c r="E1167" s="138">
        <f>IFERROR(__xludf.DUMMYFUNCTION("""COMPUTED_VALUE"""),2.0)</f>
        <v>2</v>
      </c>
      <c r="F1167" s="138">
        <f>IFERROR(__xludf.DUMMYFUNCTION("""COMPUTED_VALUE"""),3.0)</f>
        <v>3</v>
      </c>
      <c r="G1167" s="138">
        <f>IFERROR(__xludf.DUMMYFUNCTION("""COMPUTED_VALUE"""),4.0)</f>
        <v>4</v>
      </c>
      <c r="H1167" s="138">
        <f>IFERROR(__xludf.DUMMYFUNCTION("""COMPUTED_VALUE"""),3.0)</f>
        <v>3</v>
      </c>
      <c r="I1167" s="138">
        <f>IFERROR(__xludf.DUMMYFUNCTION("""COMPUTED_VALUE"""),3.0)</f>
        <v>3</v>
      </c>
      <c r="J1167" s="138">
        <f>IFERROR(__xludf.DUMMYFUNCTION("""COMPUTED_VALUE"""),3.0)</f>
        <v>3</v>
      </c>
      <c r="K1167" s="138">
        <f>IFERROR(__xludf.DUMMYFUNCTION("""COMPUTED_VALUE"""),4.0)</f>
        <v>4</v>
      </c>
      <c r="L1167" s="138">
        <v>22.0</v>
      </c>
      <c r="M1167" s="140" t="str">
        <f>VLOOKUP(text(D1167, "#"),'Master Table'!$A:$F, 6, FALSE)</f>
        <v>H-2</v>
      </c>
      <c r="N1167" s="141" t="str">
        <f>IFERROR(__xludf.DUMMYFUNCTION("""COMPUTED_VALUE"""),"This was a great study presentation and such an important research area! I appreciated the student's openness to questions! I would have loved some figures or a highlight of the important themes of social determinants of health that were surveyed to draw "&amp;"attention to the most important findings. ")</f>
        <v>This was a great study presentation and such an important research area! I appreciated the student's openness to questions! I would have loved some figures or a highlight of the important themes of social determinants of health that were surveyed to draw attention to the most important findings. </v>
      </c>
      <c r="O1167" s="142" t="str">
        <f t="shared" si="1"/>
        <v/>
      </c>
      <c r="P1167" s="143" t="str">
        <f>IF(ISNA(VLOOKUP(CONCAT(M1167,C1167), 'Judge Count DO NOT EDIT'!H:H, 1, FALSE)), "ERROR","")</f>
        <v/>
      </c>
      <c r="Q1167" s="141"/>
      <c r="R1167" s="143"/>
      <c r="S1167" s="139" t="str">
        <f t="shared" si="2"/>
        <v>1174474</v>
      </c>
      <c r="T1167" s="141"/>
    </row>
    <row r="1168">
      <c r="A1168" s="137">
        <f>IFERROR(__xludf.DUMMYFUNCTION("""COMPUTED_VALUE"""),45352.69596065972)</f>
        <v>45352.69596</v>
      </c>
      <c r="B1168" s="138" t="str">
        <f>IFERROR(__xludf.DUMMYFUNCTION("""COMPUTED_VALUE"""),"Tonni Xia")</f>
        <v>Tonni Xia</v>
      </c>
      <c r="C1168" s="138">
        <f>IFERROR(__xludf.DUMMYFUNCTION("""COMPUTED_VALUE"""),1005.0)</f>
        <v>1005</v>
      </c>
      <c r="D1168" s="139">
        <f>IFERROR(__xludf.DUMMYFUNCTION("""COMPUTED_VALUE"""),474.0)</f>
        <v>474</v>
      </c>
      <c r="E1168" s="138">
        <f>IFERROR(__xludf.DUMMYFUNCTION("""COMPUTED_VALUE"""),2.0)</f>
        <v>2</v>
      </c>
      <c r="F1168" s="138">
        <f>IFERROR(__xludf.DUMMYFUNCTION("""COMPUTED_VALUE"""),4.0)</f>
        <v>4</v>
      </c>
      <c r="G1168" s="138">
        <f>IFERROR(__xludf.DUMMYFUNCTION("""COMPUTED_VALUE"""),3.0)</f>
        <v>3</v>
      </c>
      <c r="H1168" s="138">
        <f>IFERROR(__xludf.DUMMYFUNCTION("""COMPUTED_VALUE"""),1.0)</f>
        <v>1</v>
      </c>
      <c r="I1168" s="138">
        <f>IFERROR(__xludf.DUMMYFUNCTION("""COMPUTED_VALUE"""),5.0)</f>
        <v>5</v>
      </c>
      <c r="J1168" s="138">
        <f>IFERROR(__xludf.DUMMYFUNCTION("""COMPUTED_VALUE"""),3.0)</f>
        <v>3</v>
      </c>
      <c r="K1168" s="138">
        <f>IFERROR(__xludf.DUMMYFUNCTION("""COMPUTED_VALUE"""),5.0)</f>
        <v>5</v>
      </c>
      <c r="L1168" s="138">
        <v>23.0</v>
      </c>
      <c r="M1168" s="140" t="str">
        <f>VLOOKUP(text(D1168, "#"),'Master Table'!$A:$F, 6, FALSE)</f>
        <v>H-2</v>
      </c>
      <c r="N1168" s="141" t="str">
        <f>IFERROR(__xludf.DUMMYFUNCTION("""COMPUTED_VALUE"""),"try to do some further anlysis using OLS or Probit regression tools.")</f>
        <v>try to do some further anlysis using OLS or Probit regression tools.</v>
      </c>
      <c r="O1168" s="142" t="str">
        <f t="shared" si="1"/>
        <v/>
      </c>
      <c r="P1168" s="143" t="str">
        <f>IF(ISNA(VLOOKUP(CONCAT(M1168,C1168), 'Judge Count DO NOT EDIT'!H:H, 1, FALSE)), "ERROR","")</f>
        <v/>
      </c>
      <c r="R1168" s="143"/>
      <c r="S1168" s="139" t="str">
        <f t="shared" si="2"/>
        <v>1005474</v>
      </c>
      <c r="T1168" s="141"/>
    </row>
    <row r="1169">
      <c r="A1169" s="137">
        <f>IFERROR(__xludf.DUMMYFUNCTION("""COMPUTED_VALUE"""),45352.56967285879)</f>
        <v>45352.56967</v>
      </c>
      <c r="B1169" s="138" t="str">
        <f>IFERROR(__xludf.DUMMYFUNCTION("""COMPUTED_VALUE"""),"Jeanne")</f>
        <v>Jeanne</v>
      </c>
      <c r="C1169" s="138">
        <f>IFERROR(__xludf.DUMMYFUNCTION("""COMPUTED_VALUE"""),1029.0)</f>
        <v>1029</v>
      </c>
      <c r="D1169" s="139">
        <f>IFERROR(__xludf.DUMMYFUNCTION("""COMPUTED_VALUE"""),475.0)</f>
        <v>475</v>
      </c>
      <c r="E1169" s="138">
        <f>IFERROR(__xludf.DUMMYFUNCTION("""COMPUTED_VALUE"""),4.0)</f>
        <v>4</v>
      </c>
      <c r="F1169" s="138">
        <f>IFERROR(__xludf.DUMMYFUNCTION("""COMPUTED_VALUE"""),4.0)</f>
        <v>4</v>
      </c>
      <c r="G1169" s="138">
        <f>IFERROR(__xludf.DUMMYFUNCTION("""COMPUTED_VALUE"""),4.0)</f>
        <v>4</v>
      </c>
      <c r="H1169" s="138">
        <f>IFERROR(__xludf.DUMMYFUNCTION("""COMPUTED_VALUE"""),3.0)</f>
        <v>3</v>
      </c>
      <c r="I1169" s="138">
        <f>IFERROR(__xludf.DUMMYFUNCTION("""COMPUTED_VALUE"""),4.0)</f>
        <v>4</v>
      </c>
      <c r="J1169" s="138">
        <f>IFERROR(__xludf.DUMMYFUNCTION("""COMPUTED_VALUE"""),4.0)</f>
        <v>4</v>
      </c>
      <c r="K1169" s="138">
        <f>IFERROR(__xludf.DUMMYFUNCTION("""COMPUTED_VALUE"""),4.0)</f>
        <v>4</v>
      </c>
      <c r="L1169" s="138">
        <v>27.0</v>
      </c>
      <c r="M1169" s="140" t="str">
        <f>VLOOKUP(text(D1169, "#"),'Master Table'!$A:$F, 6, FALSE)</f>
        <v>H-2</v>
      </c>
      <c r="N1169" s="141" t="str">
        <f>IFERROR(__xludf.DUMMYFUNCTION("""COMPUTED_VALUE"""),"The presenter was well prepared for questions. She explained her research project very clearly, and demonstrated the relationship and impact for the community. She was willing to discuss the drawbacks of some of the methodology, and the steps she would ta"&amp;"ke to remedy these in the future. Her poster was engaging. Well organized, and thorough. Excellent work! ")</f>
        <v>The presenter was well prepared for questions. She explained her research project very clearly, and demonstrated the relationship and impact for the community. She was willing to discuss the drawbacks of some of the methodology, and the steps she would take to remedy these in the future. Her poster was engaging. Well organized, and thorough. Excellent work! </v>
      </c>
      <c r="O1169" s="142" t="str">
        <f t="shared" si="1"/>
        <v/>
      </c>
      <c r="P1169" s="143" t="str">
        <f>IF(ISNA(VLOOKUP(CONCAT(M1169,C1169), 'Judge Count DO NOT EDIT'!H:H, 1, FALSE)), "ERROR","")</f>
        <v/>
      </c>
      <c r="Q1169" s="141"/>
      <c r="R1169" s="143"/>
      <c r="S1169" s="139" t="str">
        <f t="shared" si="2"/>
        <v>1029475</v>
      </c>
      <c r="T1169" s="141"/>
    </row>
    <row r="1170">
      <c r="A1170" s="137">
        <f>IFERROR(__xludf.DUMMYFUNCTION("""COMPUTED_VALUE"""),45352.58083600695)</f>
        <v>45352.58084</v>
      </c>
      <c r="B1170" s="138" t="str">
        <f>IFERROR(__xludf.DUMMYFUNCTION("""COMPUTED_VALUE"""),"Yifan Yuan")</f>
        <v>Yifan Yuan</v>
      </c>
      <c r="C1170" s="138">
        <f>IFERROR(__xludf.DUMMYFUNCTION("""COMPUTED_VALUE"""),1176.0)</f>
        <v>1176</v>
      </c>
      <c r="D1170" s="139">
        <f>IFERROR(__xludf.DUMMYFUNCTION("""COMPUTED_VALUE"""),475.0)</f>
        <v>475</v>
      </c>
      <c r="E1170" s="138">
        <f>IFERROR(__xludf.DUMMYFUNCTION("""COMPUTED_VALUE"""),5.0)</f>
        <v>5</v>
      </c>
      <c r="F1170" s="138">
        <f>IFERROR(__xludf.DUMMYFUNCTION("""COMPUTED_VALUE"""),4.0)</f>
        <v>4</v>
      </c>
      <c r="G1170" s="138">
        <f>IFERROR(__xludf.DUMMYFUNCTION("""COMPUTED_VALUE"""),5.0)</f>
        <v>5</v>
      </c>
      <c r="H1170" s="138">
        <f>IFERROR(__xludf.DUMMYFUNCTION("""COMPUTED_VALUE"""),4.0)</f>
        <v>4</v>
      </c>
      <c r="I1170" s="138">
        <f>IFERROR(__xludf.DUMMYFUNCTION("""COMPUTED_VALUE"""),5.0)</f>
        <v>5</v>
      </c>
      <c r="J1170" s="138">
        <f>IFERROR(__xludf.DUMMYFUNCTION("""COMPUTED_VALUE"""),4.0)</f>
        <v>4</v>
      </c>
      <c r="K1170" s="138">
        <f>IFERROR(__xludf.DUMMYFUNCTION("""COMPUTED_VALUE"""),4.0)</f>
        <v>4</v>
      </c>
      <c r="L1170" s="138">
        <v>31.0</v>
      </c>
      <c r="M1170" s="140" t="str">
        <f>VLOOKUP(text(D1170, "#"),'Master Table'!$A:$F, 6, FALSE)</f>
        <v>H-2</v>
      </c>
      <c r="N1170" s="141"/>
      <c r="O1170" s="142" t="str">
        <f t="shared" si="1"/>
        <v/>
      </c>
      <c r="P1170" s="143" t="str">
        <f>IF(ISNA(VLOOKUP(CONCAT(M1170,C1170), 'Judge Count DO NOT EDIT'!H:H, 1, FALSE)), "ERROR","")</f>
        <v/>
      </c>
      <c r="Q1170" s="141"/>
      <c r="R1170" s="143"/>
      <c r="S1170" s="139" t="str">
        <f t="shared" si="2"/>
        <v>1176475</v>
      </c>
      <c r="T1170" s="141"/>
    </row>
    <row r="1171">
      <c r="A1171" s="137">
        <f>IFERROR(__xludf.DUMMYFUNCTION("""COMPUTED_VALUE"""),45352.59538644676)</f>
        <v>45352.59539</v>
      </c>
      <c r="B1171" s="138" t="str">
        <f>IFERROR(__xludf.DUMMYFUNCTION("""COMPUTED_VALUE"""),"Keven Jeffery")</f>
        <v>Keven Jeffery</v>
      </c>
      <c r="C1171" s="138">
        <f>IFERROR(__xludf.DUMMYFUNCTION("""COMPUTED_VALUE"""),1087.0)</f>
        <v>1087</v>
      </c>
      <c r="D1171" s="139">
        <f>IFERROR(__xludf.DUMMYFUNCTION("""COMPUTED_VALUE"""),475.0)</f>
        <v>475</v>
      </c>
      <c r="E1171" s="138">
        <f>IFERROR(__xludf.DUMMYFUNCTION("""COMPUTED_VALUE"""),5.0)</f>
        <v>5</v>
      </c>
      <c r="F1171" s="138">
        <f>IFERROR(__xludf.DUMMYFUNCTION("""COMPUTED_VALUE"""),4.0)</f>
        <v>4</v>
      </c>
      <c r="G1171" s="138">
        <f>IFERROR(__xludf.DUMMYFUNCTION("""COMPUTED_VALUE"""),4.0)</f>
        <v>4</v>
      </c>
      <c r="H1171" s="138">
        <f>IFERROR(__xludf.DUMMYFUNCTION("""COMPUTED_VALUE"""),4.0)</f>
        <v>4</v>
      </c>
      <c r="I1171" s="138">
        <f>IFERROR(__xludf.DUMMYFUNCTION("""COMPUTED_VALUE"""),5.0)</f>
        <v>5</v>
      </c>
      <c r="J1171" s="138">
        <f>IFERROR(__xludf.DUMMYFUNCTION("""COMPUTED_VALUE"""),5.0)</f>
        <v>5</v>
      </c>
      <c r="K1171" s="138">
        <f>IFERROR(__xludf.DUMMYFUNCTION("""COMPUTED_VALUE"""),5.0)</f>
        <v>5</v>
      </c>
      <c r="L1171" s="138">
        <v>32.0</v>
      </c>
      <c r="M1171" s="140" t="str">
        <f>VLOOKUP(text(D1171, "#"),'Master Table'!$A:$F, 6, FALSE)</f>
        <v>H-2</v>
      </c>
      <c r="N1171" s="141" t="str">
        <f>IFERROR(__xludf.DUMMYFUNCTION("""COMPUTED_VALUE"""),"The presenter was very comfortable engaging with the audience and presented the information very clearly. The poster itself was very clearly laid out and it was easy to understand the study methodology. The only critical feedback I might give is the refer"&amp;"ence to the small sample size, but the presenter was also well aware of this and the reasons for it. It was an interesting international look at an international issue. Nicely done.")</f>
        <v>The presenter was very comfortable engaging with the audience and presented the information very clearly. The poster itself was very clearly laid out and it was easy to understand the study methodology. The only critical feedback I might give is the reference to the small sample size, but the presenter was also well aware of this and the reasons for it. It was an interesting international look at an international issue. Nicely done.</v>
      </c>
      <c r="O1171" s="142" t="str">
        <f t="shared" si="1"/>
        <v/>
      </c>
      <c r="P1171" s="143" t="str">
        <f>IF(ISNA(VLOOKUP(CONCAT(M1171,C1171), 'Judge Count DO NOT EDIT'!H:H, 1, FALSE)), "ERROR","")</f>
        <v/>
      </c>
      <c r="Q1171" s="141"/>
      <c r="R1171" s="143"/>
      <c r="S1171" s="139" t="str">
        <f t="shared" si="2"/>
        <v>1087475</v>
      </c>
      <c r="T1171" s="141"/>
    </row>
    <row r="1172">
      <c r="A1172" s="137">
        <f>IFERROR(__xludf.DUMMYFUNCTION("""COMPUTED_VALUE"""),45352.613797928236)</f>
        <v>45352.6138</v>
      </c>
      <c r="B1172" s="138" t="str">
        <f>IFERROR(__xludf.DUMMYFUNCTION("""COMPUTED_VALUE"""),"Heidy Mendez-Rodriguez")</f>
        <v>Heidy Mendez-Rodriguez</v>
      </c>
      <c r="C1172" s="138">
        <f>IFERROR(__xludf.DUMMYFUNCTION("""COMPUTED_VALUE"""),1174.0)</f>
        <v>1174</v>
      </c>
      <c r="D1172" s="139">
        <f>IFERROR(__xludf.DUMMYFUNCTION("""COMPUTED_VALUE"""),475.0)</f>
        <v>475</v>
      </c>
      <c r="E1172" s="138">
        <f>IFERROR(__xludf.DUMMYFUNCTION("""COMPUTED_VALUE"""),3.0)</f>
        <v>3</v>
      </c>
      <c r="F1172" s="138">
        <f>IFERROR(__xludf.DUMMYFUNCTION("""COMPUTED_VALUE"""),4.0)</f>
        <v>4</v>
      </c>
      <c r="G1172" s="138">
        <f>IFERROR(__xludf.DUMMYFUNCTION("""COMPUTED_VALUE"""),4.0)</f>
        <v>4</v>
      </c>
      <c r="H1172" s="138">
        <f>IFERROR(__xludf.DUMMYFUNCTION("""COMPUTED_VALUE"""),3.0)</f>
        <v>3</v>
      </c>
      <c r="I1172" s="138">
        <f>IFERROR(__xludf.DUMMYFUNCTION("""COMPUTED_VALUE"""),4.0)</f>
        <v>4</v>
      </c>
      <c r="J1172" s="138">
        <f>IFERROR(__xludf.DUMMYFUNCTION("""COMPUTED_VALUE"""),4.0)</f>
        <v>4</v>
      </c>
      <c r="K1172" s="138">
        <f>IFERROR(__xludf.DUMMYFUNCTION("""COMPUTED_VALUE"""),4.0)</f>
        <v>4</v>
      </c>
      <c r="L1172" s="138">
        <v>26.0</v>
      </c>
      <c r="M1172" s="140" t="str">
        <f>VLOOKUP(text(D1172, "#"),'Master Table'!$A:$F, 6, FALSE)</f>
        <v>H-2</v>
      </c>
      <c r="N1172" s="141" t="str">
        <f>IFERROR(__xludf.DUMMYFUNCTION("""COMPUTED_VALUE"""),"
The presenter was really engaging and their passion for the study and their work was wonderfully clear! The poster was very informative and interesting but maybe just adding some of the most important figures to highlight the most crucial findings will h"&amp;"elp draw attention to those findings even more next time.  ")</f>
        <v>
The presenter was really engaging and their passion for the study and their work was wonderfully clear! The poster was very informative and interesting but maybe just adding some of the most important figures to highlight the most crucial findings will help draw attention to those findings even more next time.  </v>
      </c>
      <c r="O1172" s="142" t="str">
        <f t="shared" si="1"/>
        <v/>
      </c>
      <c r="P1172" s="143" t="str">
        <f>IF(ISNA(VLOOKUP(CONCAT(M1172,C1172), 'Judge Count DO NOT EDIT'!H:H, 1, FALSE)), "ERROR","")</f>
        <v/>
      </c>
      <c r="Q1172" s="141"/>
      <c r="R1172" s="143"/>
      <c r="S1172" s="139" t="str">
        <f t="shared" si="2"/>
        <v>1174475</v>
      </c>
      <c r="T1172" s="141"/>
    </row>
    <row r="1173">
      <c r="A1173" s="137">
        <f>IFERROR(__xludf.DUMMYFUNCTION("""COMPUTED_VALUE"""),45352.6973533912)</f>
        <v>45352.69735</v>
      </c>
      <c r="B1173" s="138" t="str">
        <f>IFERROR(__xludf.DUMMYFUNCTION("""COMPUTED_VALUE"""),"Tonni Xia")</f>
        <v>Tonni Xia</v>
      </c>
      <c r="C1173" s="138">
        <f>IFERROR(__xludf.DUMMYFUNCTION("""COMPUTED_VALUE"""),1005.0)</f>
        <v>1005</v>
      </c>
      <c r="D1173" s="139">
        <f>IFERROR(__xludf.DUMMYFUNCTION("""COMPUTED_VALUE"""),475.0)</f>
        <v>475</v>
      </c>
      <c r="E1173" s="138">
        <f>IFERROR(__xludf.DUMMYFUNCTION("""COMPUTED_VALUE"""),4.0)</f>
        <v>4</v>
      </c>
      <c r="F1173" s="138">
        <f>IFERROR(__xludf.DUMMYFUNCTION("""COMPUTED_VALUE"""),3.0)</f>
        <v>3</v>
      </c>
      <c r="G1173" s="138">
        <f>IFERROR(__xludf.DUMMYFUNCTION("""COMPUTED_VALUE"""),3.0)</f>
        <v>3</v>
      </c>
      <c r="H1173" s="138">
        <f>IFERROR(__xludf.DUMMYFUNCTION("""COMPUTED_VALUE"""),2.0)</f>
        <v>2</v>
      </c>
      <c r="I1173" s="138">
        <f>IFERROR(__xludf.DUMMYFUNCTION("""COMPUTED_VALUE"""),5.0)</f>
        <v>5</v>
      </c>
      <c r="J1173" s="138">
        <f>IFERROR(__xludf.DUMMYFUNCTION("""COMPUTED_VALUE"""),5.0)</f>
        <v>5</v>
      </c>
      <c r="K1173" s="138">
        <f>IFERROR(__xludf.DUMMYFUNCTION("""COMPUTED_VALUE"""),5.0)</f>
        <v>5</v>
      </c>
      <c r="L1173" s="138">
        <v>27.0</v>
      </c>
      <c r="M1173" s="140" t="str">
        <f>VLOOKUP(text(D1173, "#"),'Master Table'!$A:$F, 6, FALSE)</f>
        <v>H-2</v>
      </c>
      <c r="N1173" s="141" t="str">
        <f>IFERROR(__xludf.DUMMYFUNCTION("""COMPUTED_VALUE"""),"Glad to see you do survey in two contries and survey around a quite broad demographics. Would like to see more rigorous analysis using statistical tools such as OLS or Probit regressions. ")</f>
        <v>Glad to see you do survey in two contries and survey around a quite broad demographics. Would like to see more rigorous analysis using statistical tools such as OLS or Probit regressions. </v>
      </c>
      <c r="O1173" s="142" t="str">
        <f t="shared" si="1"/>
        <v/>
      </c>
      <c r="P1173" s="143" t="str">
        <f>IF(ISNA(VLOOKUP(CONCAT(M1173,C1173), 'Judge Count DO NOT EDIT'!H:H, 1, FALSE)), "ERROR","")</f>
        <v/>
      </c>
      <c r="Q1173" s="141"/>
      <c r="R1173" s="143"/>
      <c r="S1173" s="139" t="str">
        <f t="shared" si="2"/>
        <v>1005475</v>
      </c>
      <c r="T1173" s="141"/>
    </row>
    <row r="1174">
      <c r="A1174" s="137">
        <f>IFERROR(__xludf.DUMMYFUNCTION("""COMPUTED_VALUE"""),45352.582052638885)</f>
        <v>45352.58205</v>
      </c>
      <c r="B1174" s="138" t="str">
        <f>IFERROR(__xludf.DUMMYFUNCTION("""COMPUTED_VALUE"""),"Jeanne")</f>
        <v>Jeanne</v>
      </c>
      <c r="C1174" s="138">
        <f>IFERROR(__xludf.DUMMYFUNCTION("""COMPUTED_VALUE"""),1029.0)</f>
        <v>1029</v>
      </c>
      <c r="D1174" s="139">
        <f>IFERROR(__xludf.DUMMYFUNCTION("""COMPUTED_VALUE"""),476.0)</f>
        <v>476</v>
      </c>
      <c r="E1174" s="138">
        <f>IFERROR(__xludf.DUMMYFUNCTION("""COMPUTED_VALUE"""),4.0)</f>
        <v>4</v>
      </c>
      <c r="F1174" s="138">
        <f>IFERROR(__xludf.DUMMYFUNCTION("""COMPUTED_VALUE"""),3.0)</f>
        <v>3</v>
      </c>
      <c r="G1174" s="138">
        <f>IFERROR(__xludf.DUMMYFUNCTION("""COMPUTED_VALUE"""),3.0)</f>
        <v>3</v>
      </c>
      <c r="H1174" s="138">
        <f>IFERROR(__xludf.DUMMYFUNCTION("""COMPUTED_VALUE"""),3.0)</f>
        <v>3</v>
      </c>
      <c r="I1174" s="138">
        <f>IFERROR(__xludf.DUMMYFUNCTION("""COMPUTED_VALUE"""),4.0)</f>
        <v>4</v>
      </c>
      <c r="J1174" s="138">
        <f>IFERROR(__xludf.DUMMYFUNCTION("""COMPUTED_VALUE"""),4.0)</f>
        <v>4</v>
      </c>
      <c r="K1174" s="138">
        <f>IFERROR(__xludf.DUMMYFUNCTION("""COMPUTED_VALUE"""),4.0)</f>
        <v>4</v>
      </c>
      <c r="L1174" s="138">
        <v>25.0</v>
      </c>
      <c r="M1174" s="140" t="str">
        <f>VLOOKUP(text(D1174, "#"),'Master Table'!$A:$F, 6, FALSE)</f>
        <v>H-2</v>
      </c>
      <c r="N1174" s="141" t="str">
        <f>IFERROR(__xludf.DUMMYFUNCTION("""COMPUTED_VALUE"""),"The presenter was very enthusiastic about her research topic. She was knowledgeable about the topic had conducted a thorough literature review and shared her field observations in detail. Her poster was well organized and engaging. She explained how her r"&amp;"esearch could be used to improve the community. a well designed and executed research project. ")</f>
        <v>The presenter was very enthusiastic about her research topic. She was knowledgeable about the topic had conducted a thorough literature review and shared her field observations in detail. Her poster was well organized and engaging. She explained how her research could be used to improve the community. a well designed and executed research project. </v>
      </c>
      <c r="O1174" s="142" t="str">
        <f t="shared" si="1"/>
        <v/>
      </c>
      <c r="P1174" s="143" t="str">
        <f>IF(ISNA(VLOOKUP(CONCAT(M1174,C1174), 'Judge Count DO NOT EDIT'!H:H, 1, FALSE)), "ERROR","")</f>
        <v/>
      </c>
      <c r="Q1174" s="141"/>
      <c r="R1174" s="143"/>
      <c r="S1174" s="139" t="str">
        <f t="shared" si="2"/>
        <v>1029476</v>
      </c>
      <c r="T1174" s="141"/>
    </row>
    <row r="1175">
      <c r="A1175" s="137">
        <f>IFERROR(__xludf.DUMMYFUNCTION("""COMPUTED_VALUE"""),45352.58884390046)</f>
        <v>45352.58884</v>
      </c>
      <c r="B1175" s="138" t="str">
        <f>IFERROR(__xludf.DUMMYFUNCTION("""COMPUTED_VALUE"""),"Yifan Yuan")</f>
        <v>Yifan Yuan</v>
      </c>
      <c r="C1175" s="138">
        <f>IFERROR(__xludf.DUMMYFUNCTION("""COMPUTED_VALUE"""),1176.0)</f>
        <v>1176</v>
      </c>
      <c r="D1175" s="139">
        <f>IFERROR(__xludf.DUMMYFUNCTION("""COMPUTED_VALUE"""),476.0)</f>
        <v>476</v>
      </c>
      <c r="E1175" s="138">
        <f>IFERROR(__xludf.DUMMYFUNCTION("""COMPUTED_VALUE"""),4.0)</f>
        <v>4</v>
      </c>
      <c r="F1175" s="138">
        <f>IFERROR(__xludf.DUMMYFUNCTION("""COMPUTED_VALUE"""),4.0)</f>
        <v>4</v>
      </c>
      <c r="G1175" s="138">
        <f>IFERROR(__xludf.DUMMYFUNCTION("""COMPUTED_VALUE"""),4.0)</f>
        <v>4</v>
      </c>
      <c r="H1175" s="138">
        <f>IFERROR(__xludf.DUMMYFUNCTION("""COMPUTED_VALUE"""),3.0)</f>
        <v>3</v>
      </c>
      <c r="I1175" s="138">
        <f>IFERROR(__xludf.DUMMYFUNCTION("""COMPUTED_VALUE"""),5.0)</f>
        <v>5</v>
      </c>
      <c r="J1175" s="138">
        <f>IFERROR(__xludf.DUMMYFUNCTION("""COMPUTED_VALUE"""),5.0)</f>
        <v>5</v>
      </c>
      <c r="K1175" s="138">
        <f>IFERROR(__xludf.DUMMYFUNCTION("""COMPUTED_VALUE"""),5.0)</f>
        <v>5</v>
      </c>
      <c r="L1175" s="138">
        <v>30.0</v>
      </c>
      <c r="M1175" s="140" t="str">
        <f>VLOOKUP(text(D1175, "#"),'Master Table'!$A:$F, 6, FALSE)</f>
        <v>H-2</v>
      </c>
      <c r="N1175" s="141" t="str">
        <f>IFERROR(__xludf.DUMMYFUNCTION("""COMPUTED_VALUE"""),"Great presentation! Very clear and highly interactive!")</f>
        <v>Great presentation! Very clear and highly interactive!</v>
      </c>
      <c r="O1175" s="142" t="str">
        <f t="shared" si="1"/>
        <v/>
      </c>
      <c r="P1175" s="143" t="str">
        <f>IF(ISNA(VLOOKUP(CONCAT(M1175,C1175), 'Judge Count DO NOT EDIT'!H:H, 1, FALSE)), "ERROR","")</f>
        <v/>
      </c>
      <c r="Q1175" s="141"/>
      <c r="R1175" s="143"/>
      <c r="S1175" s="139" t="str">
        <f t="shared" si="2"/>
        <v>1176476</v>
      </c>
      <c r="T1175" s="141"/>
    </row>
    <row r="1176">
      <c r="A1176" s="137">
        <f>IFERROR(__xludf.DUMMYFUNCTION("""COMPUTED_VALUE"""),45352.59880790509)</f>
        <v>45352.59881</v>
      </c>
      <c r="B1176" s="138" t="str">
        <f>IFERROR(__xludf.DUMMYFUNCTION("""COMPUTED_VALUE"""),"Keven Jeffery")</f>
        <v>Keven Jeffery</v>
      </c>
      <c r="C1176" s="138">
        <f>IFERROR(__xludf.DUMMYFUNCTION("""COMPUTED_VALUE"""),1087.0)</f>
        <v>1087</v>
      </c>
      <c r="D1176" s="139">
        <f>IFERROR(__xludf.DUMMYFUNCTION("""COMPUTED_VALUE"""),476.0)</f>
        <v>476</v>
      </c>
      <c r="E1176" s="138">
        <f>IFERROR(__xludf.DUMMYFUNCTION("""COMPUTED_VALUE"""),4.0)</f>
        <v>4</v>
      </c>
      <c r="F1176" s="138">
        <f>IFERROR(__xludf.DUMMYFUNCTION("""COMPUTED_VALUE"""),3.0)</f>
        <v>3</v>
      </c>
      <c r="G1176" s="138">
        <f>IFERROR(__xludf.DUMMYFUNCTION("""COMPUTED_VALUE"""),3.0)</f>
        <v>3</v>
      </c>
      <c r="H1176" s="138">
        <f>IFERROR(__xludf.DUMMYFUNCTION("""COMPUTED_VALUE"""),3.0)</f>
        <v>3</v>
      </c>
      <c r="I1176" s="138">
        <f>IFERROR(__xludf.DUMMYFUNCTION("""COMPUTED_VALUE"""),5.0)</f>
        <v>5</v>
      </c>
      <c r="J1176" s="138">
        <f>IFERROR(__xludf.DUMMYFUNCTION("""COMPUTED_VALUE"""),5.0)</f>
        <v>5</v>
      </c>
      <c r="K1176" s="138">
        <f>IFERROR(__xludf.DUMMYFUNCTION("""COMPUTED_VALUE"""),5.0)</f>
        <v>5</v>
      </c>
      <c r="L1176" s="138">
        <v>28.0</v>
      </c>
      <c r="M1176" s="140" t="str">
        <f>VLOOKUP(text(D1176, "#"),'Master Table'!$A:$F, 6, FALSE)</f>
        <v>H-2</v>
      </c>
      <c r="N1176" s="141" t="str">
        <f>IFERROR(__xludf.DUMMYFUNCTION("""COMPUTED_VALUE"""),"The presenter was very comfortable engaging with the audience and communicated the research methodology clearly. This is definitely research that could be built on and could be important in understanding how wildlife adjusts to human intervention. I think"&amp;" there where limitations outside of the researchers control that limited the data able to be collected, but it was still very interesting. The researcher suggested ways the community surrounding the habitat could be engaged with, which I thought were grea"&amp;"t ideas for a follow up study. Very interesting work.")</f>
        <v>The presenter was very comfortable engaging with the audience and communicated the research methodology clearly. This is definitely research that could be built on and could be important in understanding how wildlife adjusts to human intervention. I think there where limitations outside of the researchers control that limited the data able to be collected, but it was still very interesting. The researcher suggested ways the community surrounding the habitat could be engaged with, which I thought were great ideas for a follow up study. Very interesting work.</v>
      </c>
      <c r="O1176" s="142" t="str">
        <f t="shared" si="1"/>
        <v/>
      </c>
      <c r="P1176" s="143" t="str">
        <f>IF(ISNA(VLOOKUP(CONCAT(M1176,C1176), 'Judge Count DO NOT EDIT'!H:H, 1, FALSE)), "ERROR","")</f>
        <v/>
      </c>
      <c r="Q1176" s="141"/>
      <c r="R1176" s="143"/>
      <c r="S1176" s="139" t="str">
        <f t="shared" si="2"/>
        <v>1087476</v>
      </c>
      <c r="T1176" s="141"/>
    </row>
    <row r="1177">
      <c r="A1177" s="137">
        <f>IFERROR(__xludf.DUMMYFUNCTION("""COMPUTED_VALUE"""),45352.62150039352)</f>
        <v>45352.6215</v>
      </c>
      <c r="B1177" s="138" t="str">
        <f>IFERROR(__xludf.DUMMYFUNCTION("""COMPUTED_VALUE"""),"Heidy Mendez-Rodriguez")</f>
        <v>Heidy Mendez-Rodriguez</v>
      </c>
      <c r="C1177" s="138">
        <f>IFERROR(__xludf.DUMMYFUNCTION("""COMPUTED_VALUE"""),1174.0)</f>
        <v>1174</v>
      </c>
      <c r="D1177" s="139">
        <f>IFERROR(__xludf.DUMMYFUNCTION("""COMPUTED_VALUE"""),476.0)</f>
        <v>476</v>
      </c>
      <c r="E1177" s="138">
        <f>IFERROR(__xludf.DUMMYFUNCTION("""COMPUTED_VALUE"""),3.0)</f>
        <v>3</v>
      </c>
      <c r="F1177" s="138">
        <f>IFERROR(__xludf.DUMMYFUNCTION("""COMPUTED_VALUE"""),4.0)</f>
        <v>4</v>
      </c>
      <c r="G1177" s="138">
        <f>IFERROR(__xludf.DUMMYFUNCTION("""COMPUTED_VALUE"""),3.0)</f>
        <v>3</v>
      </c>
      <c r="H1177" s="138">
        <f>IFERROR(__xludf.DUMMYFUNCTION("""COMPUTED_VALUE"""),4.0)</f>
        <v>4</v>
      </c>
      <c r="I1177" s="138">
        <f>IFERROR(__xludf.DUMMYFUNCTION("""COMPUTED_VALUE"""),4.0)</f>
        <v>4</v>
      </c>
      <c r="J1177" s="138">
        <f>IFERROR(__xludf.DUMMYFUNCTION("""COMPUTED_VALUE"""),4.0)</f>
        <v>4</v>
      </c>
      <c r="K1177" s="138">
        <f>IFERROR(__xludf.DUMMYFUNCTION("""COMPUTED_VALUE"""),4.0)</f>
        <v>4</v>
      </c>
      <c r="L1177" s="138">
        <v>26.0</v>
      </c>
      <c r="M1177" s="140" t="str">
        <f>VLOOKUP(text(D1177, "#"),'Master Table'!$A:$F, 6, FALSE)</f>
        <v>H-2</v>
      </c>
      <c r="N1177" s="141" t="str">
        <f>IFERROR(__xludf.DUMMYFUNCTION("""COMPUTED_VALUE"""),"The student's passion for the study and project was wonderful to see! And it was clear how they learned so much from having been involved in the study, as well as their motivation to do similarly important work in the future. Next time, I think highlighti"&amp;"ng why the methodology was chosen to answer their research question might help boost the poster's clarity. ")</f>
        <v>The student's passion for the study and project was wonderful to see! And it was clear how they learned so much from having been involved in the study, as well as their motivation to do similarly important work in the future. Next time, I think highlighting why the methodology was chosen to answer their research question might help boost the poster's clarity. </v>
      </c>
      <c r="O1177" s="142" t="str">
        <f t="shared" si="1"/>
        <v/>
      </c>
      <c r="P1177" s="143" t="str">
        <f>IF(ISNA(VLOOKUP(CONCAT(M1177,C1177), 'Judge Count DO NOT EDIT'!H:H, 1, FALSE)), "ERROR","")</f>
        <v/>
      </c>
      <c r="Q1177" s="141"/>
      <c r="R1177" s="143"/>
      <c r="S1177" s="139" t="str">
        <f t="shared" si="2"/>
        <v>1174476</v>
      </c>
      <c r="T1177" s="141"/>
    </row>
    <row r="1178">
      <c r="A1178" s="137">
        <f>IFERROR(__xludf.DUMMYFUNCTION("""COMPUTED_VALUE"""),45352.69840609954)</f>
        <v>45352.69841</v>
      </c>
      <c r="B1178" s="138" t="str">
        <f>IFERROR(__xludf.DUMMYFUNCTION("""COMPUTED_VALUE"""),"Tonni Xia")</f>
        <v>Tonni Xia</v>
      </c>
      <c r="C1178" s="138">
        <f>IFERROR(__xludf.DUMMYFUNCTION("""COMPUTED_VALUE"""),1005.0)</f>
        <v>1005</v>
      </c>
      <c r="D1178" s="139">
        <f>IFERROR(__xludf.DUMMYFUNCTION("""COMPUTED_VALUE"""),476.0)</f>
        <v>476</v>
      </c>
      <c r="E1178" s="138">
        <f>IFERROR(__xludf.DUMMYFUNCTION("""COMPUTED_VALUE"""),3.0)</f>
        <v>3</v>
      </c>
      <c r="F1178" s="138">
        <f>IFERROR(__xludf.DUMMYFUNCTION("""COMPUTED_VALUE"""),3.0)</f>
        <v>3</v>
      </c>
      <c r="G1178" s="138">
        <f>IFERROR(__xludf.DUMMYFUNCTION("""COMPUTED_VALUE"""),2.0)</f>
        <v>2</v>
      </c>
      <c r="H1178" s="138">
        <f>IFERROR(__xludf.DUMMYFUNCTION("""COMPUTED_VALUE"""),2.0)</f>
        <v>2</v>
      </c>
      <c r="I1178" s="138">
        <f>IFERROR(__xludf.DUMMYFUNCTION("""COMPUTED_VALUE"""),5.0)</f>
        <v>5</v>
      </c>
      <c r="J1178" s="138">
        <f>IFERROR(__xludf.DUMMYFUNCTION("""COMPUTED_VALUE"""),5.0)</f>
        <v>5</v>
      </c>
      <c r="K1178" s="138">
        <f>IFERROR(__xludf.DUMMYFUNCTION("""COMPUTED_VALUE"""),5.0)</f>
        <v>5</v>
      </c>
      <c r="L1178" s="138">
        <v>25.0</v>
      </c>
      <c r="M1178" s="140" t="str">
        <f>VLOOKUP(text(D1178, "#"),'Master Table'!$A:$F, 6, FALSE)</f>
        <v>H-2</v>
      </c>
      <c r="N1178" s="141" t="str">
        <f>IFERROR(__xludf.DUMMYFUNCTION("""COMPUTED_VALUE"""),"Very interesting topic. Would like see your next step:)")</f>
        <v>Very interesting topic. Would like see your next step:)</v>
      </c>
      <c r="O1178" s="142" t="str">
        <f t="shared" si="1"/>
        <v/>
      </c>
      <c r="P1178" s="143" t="str">
        <f>IF(ISNA(VLOOKUP(CONCAT(M1178,C1178), 'Judge Count DO NOT EDIT'!H:H, 1, FALSE)), "ERROR","")</f>
        <v/>
      </c>
      <c r="Q1178" s="141"/>
      <c r="R1178" s="143"/>
      <c r="S1178" s="139" t="str">
        <f t="shared" si="2"/>
        <v>1005476</v>
      </c>
      <c r="T1178" s="141"/>
    </row>
    <row r="1179">
      <c r="A1179" s="137">
        <f>IFERROR(__xludf.DUMMYFUNCTION("""COMPUTED_VALUE"""),45352.55950520834)</f>
        <v>45352.55951</v>
      </c>
      <c r="B1179" s="138" t="str">
        <f>IFERROR(__xludf.DUMMYFUNCTION("""COMPUTED_VALUE"""),"Jeanne")</f>
        <v>Jeanne</v>
      </c>
      <c r="C1179" s="138">
        <f>IFERROR(__xludf.DUMMYFUNCTION("""COMPUTED_VALUE"""),1029.0)</f>
        <v>1029</v>
      </c>
      <c r="D1179" s="139">
        <f>IFERROR(__xludf.DUMMYFUNCTION("""COMPUTED_VALUE"""),478.0)</f>
        <v>478</v>
      </c>
      <c r="E1179" s="138">
        <f>IFERROR(__xludf.DUMMYFUNCTION("""COMPUTED_VALUE"""),3.0)</f>
        <v>3</v>
      </c>
      <c r="F1179" s="138">
        <f>IFERROR(__xludf.DUMMYFUNCTION("""COMPUTED_VALUE"""),3.0)</f>
        <v>3</v>
      </c>
      <c r="G1179" s="138">
        <f>IFERROR(__xludf.DUMMYFUNCTION("""COMPUTED_VALUE"""),3.0)</f>
        <v>3</v>
      </c>
      <c r="H1179" s="138">
        <f>IFERROR(__xludf.DUMMYFUNCTION("""COMPUTED_VALUE"""),3.0)</f>
        <v>3</v>
      </c>
      <c r="I1179" s="138">
        <f>IFERROR(__xludf.DUMMYFUNCTION("""COMPUTED_VALUE"""),4.0)</f>
        <v>4</v>
      </c>
      <c r="J1179" s="138">
        <f>IFERROR(__xludf.DUMMYFUNCTION("""COMPUTED_VALUE"""),3.0)</f>
        <v>3</v>
      </c>
      <c r="K1179" s="138">
        <f>IFERROR(__xludf.DUMMYFUNCTION("""COMPUTED_VALUE"""),4.0)</f>
        <v>4</v>
      </c>
      <c r="L1179" s="138">
        <v>23.0</v>
      </c>
      <c r="M1179" s="140" t="str">
        <f>VLOOKUP(text(D1179, "#"),'Master Table'!$A:$F, 6, FALSE)</f>
        <v>H-2</v>
      </c>
      <c r="N1179" s="141" t="str">
        <f>IFERROR(__xludf.DUMMYFUNCTION("""COMPUTED_VALUE"""),"The presenter did a great job explaining the process in her research project. While the results did not show what she had theorized, she laid out the next steps for her research very clearly. Her poster was well organized, and she answered questions thoro"&amp;"ughly.")</f>
        <v>The presenter did a great job explaining the process in her research project. While the results did not show what she had theorized, she laid out the next steps for her research very clearly. Her poster was well organized, and she answered questions thoroughly.</v>
      </c>
      <c r="O1179" s="142" t="str">
        <f t="shared" si="1"/>
        <v/>
      </c>
      <c r="P1179" s="143" t="str">
        <f>IF(ISNA(VLOOKUP(CONCAT(M1179,C1179), 'Judge Count DO NOT EDIT'!H:H, 1, FALSE)), "ERROR","")</f>
        <v/>
      </c>
      <c r="Q1179" s="141"/>
      <c r="R1179" s="143"/>
      <c r="S1179" s="139" t="str">
        <f t="shared" si="2"/>
        <v>1029478</v>
      </c>
      <c r="T1179" s="141"/>
    </row>
    <row r="1180">
      <c r="A1180" s="137">
        <f>IFERROR(__xludf.DUMMYFUNCTION("""COMPUTED_VALUE"""),45352.60133971064)</f>
        <v>45352.60134</v>
      </c>
      <c r="B1180" s="138" t="str">
        <f>IFERROR(__xludf.DUMMYFUNCTION("""COMPUTED_VALUE"""),"Keven Jeffery")</f>
        <v>Keven Jeffery</v>
      </c>
      <c r="C1180" s="138">
        <f>IFERROR(__xludf.DUMMYFUNCTION("""COMPUTED_VALUE"""),1087.0)</f>
        <v>1087</v>
      </c>
      <c r="D1180" s="139">
        <f>IFERROR(__xludf.DUMMYFUNCTION("""COMPUTED_VALUE"""),478.0)</f>
        <v>478</v>
      </c>
      <c r="E1180" s="138">
        <f>IFERROR(__xludf.DUMMYFUNCTION("""COMPUTED_VALUE"""),3.0)</f>
        <v>3</v>
      </c>
      <c r="F1180" s="138">
        <f>IFERROR(__xludf.DUMMYFUNCTION("""COMPUTED_VALUE"""),3.0)</f>
        <v>3</v>
      </c>
      <c r="G1180" s="138">
        <f>IFERROR(__xludf.DUMMYFUNCTION("""COMPUTED_VALUE"""),4.0)</f>
        <v>4</v>
      </c>
      <c r="H1180" s="138">
        <f>IFERROR(__xludf.DUMMYFUNCTION("""COMPUTED_VALUE"""),3.0)</f>
        <v>3</v>
      </c>
      <c r="I1180" s="138">
        <f>IFERROR(__xludf.DUMMYFUNCTION("""COMPUTED_VALUE"""),5.0)</f>
        <v>5</v>
      </c>
      <c r="J1180" s="138">
        <f>IFERROR(__xludf.DUMMYFUNCTION("""COMPUTED_VALUE"""),4.0)</f>
        <v>4</v>
      </c>
      <c r="K1180" s="138">
        <f>IFERROR(__xludf.DUMMYFUNCTION("""COMPUTED_VALUE"""),5.0)</f>
        <v>5</v>
      </c>
      <c r="L1180" s="138">
        <v>27.0</v>
      </c>
      <c r="M1180" s="140" t="str">
        <f>VLOOKUP(text(D1180, "#"),'Master Table'!$A:$F, 6, FALSE)</f>
        <v>H-2</v>
      </c>
      <c r="N1180" s="141" t="str">
        <f>IFERROR(__xludf.DUMMYFUNCTION("""COMPUTED_VALUE"""),"The presenter was very comfortable engaging with the audience to deliver the research findings. This is very interesting study and the researcher had some very good ideas for how to expand on the population reached by engaging different communities, and p"&amp;"erhaps enhancing the instrument used to get at different data. I thought this was a great start on a larger initiative and I'd be very interested to see subsequent research based on this study. Very nicely done.")</f>
        <v>The presenter was very comfortable engaging with the audience to deliver the research findings. This is very interesting study and the researcher had some very good ideas for how to expand on the population reached by engaging different communities, and perhaps enhancing the instrument used to get at different data. I thought this was a great start on a larger initiative and I'd be very interested to see subsequent research based on this study. Very nicely done.</v>
      </c>
      <c r="O1180" s="142" t="str">
        <f t="shared" si="1"/>
        <v/>
      </c>
      <c r="P1180" s="143" t="str">
        <f>IF(ISNA(VLOOKUP(CONCAT(M1180,C1180), 'Judge Count DO NOT EDIT'!H:H, 1, FALSE)), "ERROR","")</f>
        <v/>
      </c>
      <c r="Q1180" s="141"/>
      <c r="R1180" s="143"/>
      <c r="S1180" s="139" t="str">
        <f t="shared" si="2"/>
        <v>1087478</v>
      </c>
      <c r="T1180" s="141"/>
    </row>
    <row r="1181">
      <c r="A1181" s="137">
        <f>IFERROR(__xludf.DUMMYFUNCTION("""COMPUTED_VALUE"""),45352.612608553245)</f>
        <v>45352.61261</v>
      </c>
      <c r="B1181" s="138" t="str">
        <f>IFERROR(__xludf.DUMMYFUNCTION("""COMPUTED_VALUE"""),"Yifan Yuan")</f>
        <v>Yifan Yuan</v>
      </c>
      <c r="C1181" s="138">
        <f>IFERROR(__xludf.DUMMYFUNCTION("""COMPUTED_VALUE"""),1176.0)</f>
        <v>1176</v>
      </c>
      <c r="D1181" s="139">
        <f>IFERROR(__xludf.DUMMYFUNCTION("""COMPUTED_VALUE"""),478.0)</f>
        <v>478</v>
      </c>
      <c r="E1181" s="138">
        <f>IFERROR(__xludf.DUMMYFUNCTION("""COMPUTED_VALUE"""),4.0)</f>
        <v>4</v>
      </c>
      <c r="F1181" s="138">
        <f>IFERROR(__xludf.DUMMYFUNCTION("""COMPUTED_VALUE"""),3.0)</f>
        <v>3</v>
      </c>
      <c r="G1181" s="138">
        <f>IFERROR(__xludf.DUMMYFUNCTION("""COMPUTED_VALUE"""),3.0)</f>
        <v>3</v>
      </c>
      <c r="H1181" s="138">
        <f>IFERROR(__xludf.DUMMYFUNCTION("""COMPUTED_VALUE"""),3.0)</f>
        <v>3</v>
      </c>
      <c r="I1181" s="138">
        <f>IFERROR(__xludf.DUMMYFUNCTION("""COMPUTED_VALUE"""),4.0)</f>
        <v>4</v>
      </c>
      <c r="J1181" s="138">
        <f>IFERROR(__xludf.DUMMYFUNCTION("""COMPUTED_VALUE"""),4.0)</f>
        <v>4</v>
      </c>
      <c r="K1181" s="138">
        <f>IFERROR(__xludf.DUMMYFUNCTION("""COMPUTED_VALUE"""),5.0)</f>
        <v>5</v>
      </c>
      <c r="L1181" s="138">
        <v>26.0</v>
      </c>
      <c r="M1181" s="140" t="str">
        <f>VLOOKUP(text(D1181, "#"),'Master Table'!$A:$F, 6, FALSE)</f>
        <v>H-2</v>
      </c>
      <c r="N1181" s="141" t="str">
        <f>IFERROR(__xludf.DUMMYFUNCTION("""COMPUTED_VALUE"""),"Clear presentation and explanation of research questions and process! Could have better understanding of the methodology and the big picture of the research question, great work!")</f>
        <v>Clear presentation and explanation of research questions and process! Could have better understanding of the methodology and the big picture of the research question, great work!</v>
      </c>
      <c r="O1181" s="142" t="str">
        <f t="shared" si="1"/>
        <v/>
      </c>
      <c r="P1181" s="143" t="str">
        <f>IF(ISNA(VLOOKUP(CONCAT(M1181,C1181), 'Judge Count DO NOT EDIT'!H:H, 1, FALSE)), "ERROR","")</f>
        <v/>
      </c>
      <c r="Q1181" s="141"/>
      <c r="R1181" s="143"/>
      <c r="S1181" s="139" t="str">
        <f t="shared" si="2"/>
        <v>1176478</v>
      </c>
      <c r="T1181" s="141"/>
    </row>
    <row r="1182">
      <c r="A1182" s="137">
        <f>IFERROR(__xludf.DUMMYFUNCTION("""COMPUTED_VALUE"""),45352.62647931713)</f>
        <v>45352.62648</v>
      </c>
      <c r="B1182" s="138" t="str">
        <f>IFERROR(__xludf.DUMMYFUNCTION("""COMPUTED_VALUE"""),"Heidy Mendez-Rodriguez")</f>
        <v>Heidy Mendez-Rodriguez</v>
      </c>
      <c r="C1182" s="138">
        <f>IFERROR(__xludf.DUMMYFUNCTION("""COMPUTED_VALUE"""),1174.0)</f>
        <v>1174</v>
      </c>
      <c r="D1182" s="139">
        <f>IFERROR(__xludf.DUMMYFUNCTION("""COMPUTED_VALUE"""),478.0)</f>
        <v>478</v>
      </c>
      <c r="E1182" s="138">
        <f>IFERROR(__xludf.DUMMYFUNCTION("""COMPUTED_VALUE"""),3.0)</f>
        <v>3</v>
      </c>
      <c r="F1182" s="138">
        <f>IFERROR(__xludf.DUMMYFUNCTION("""COMPUTED_VALUE"""),4.0)</f>
        <v>4</v>
      </c>
      <c r="G1182" s="138">
        <f>IFERROR(__xludf.DUMMYFUNCTION("""COMPUTED_VALUE"""),4.0)</f>
        <v>4</v>
      </c>
      <c r="H1182" s="138">
        <f>IFERROR(__xludf.DUMMYFUNCTION("""COMPUTED_VALUE"""),4.0)</f>
        <v>4</v>
      </c>
      <c r="I1182" s="138">
        <f>IFERROR(__xludf.DUMMYFUNCTION("""COMPUTED_VALUE"""),4.0)</f>
        <v>4</v>
      </c>
      <c r="J1182" s="138">
        <f>IFERROR(__xludf.DUMMYFUNCTION("""COMPUTED_VALUE"""),4.0)</f>
        <v>4</v>
      </c>
      <c r="K1182" s="138">
        <f>IFERROR(__xludf.DUMMYFUNCTION("""COMPUTED_VALUE"""),4.0)</f>
        <v>4</v>
      </c>
      <c r="L1182" s="138">
        <v>27.0</v>
      </c>
      <c r="M1182" s="140" t="str">
        <f>VLOOKUP(text(D1182, "#"),'Master Table'!$A:$F, 6, FALSE)</f>
        <v>H-2</v>
      </c>
      <c r="N1182" s="141" t="str">
        <f>IFERROR(__xludf.DUMMYFUNCTION("""COMPUTED_VALUE"""),"It was great talking with this student! It was evident how they've been thinking critically about future directions for this work and how they would want to strengthen the methodology. Next time, adding more details explaining the tables and figures would"&amp;" further boost the poster! ")</f>
        <v>It was great talking with this student! It was evident how they've been thinking critically about future directions for this work and how they would want to strengthen the methodology. Next time, adding more details explaining the tables and figures would further boost the poster! </v>
      </c>
      <c r="O1182" s="142" t="str">
        <f t="shared" si="1"/>
        <v/>
      </c>
      <c r="P1182" s="143" t="str">
        <f>IF(ISNA(VLOOKUP(CONCAT(M1182,C1182), 'Judge Count DO NOT EDIT'!H:H, 1, FALSE)), "ERROR","")</f>
        <v/>
      </c>
      <c r="Q1182" s="141"/>
      <c r="R1182" s="143"/>
      <c r="S1182" s="139" t="str">
        <f t="shared" si="2"/>
        <v>1174478</v>
      </c>
      <c r="T1182" s="141"/>
    </row>
    <row r="1183">
      <c r="A1183" s="137">
        <f>IFERROR(__xludf.DUMMYFUNCTION("""COMPUTED_VALUE"""),45352.69993181713)</f>
        <v>45352.69993</v>
      </c>
      <c r="B1183" s="138" t="str">
        <f>IFERROR(__xludf.DUMMYFUNCTION("""COMPUTED_VALUE"""),"Tonni Xia")</f>
        <v>Tonni Xia</v>
      </c>
      <c r="C1183" s="138">
        <f>IFERROR(__xludf.DUMMYFUNCTION("""COMPUTED_VALUE"""),1005.0)</f>
        <v>1005</v>
      </c>
      <c r="D1183" s="139">
        <f>IFERROR(__xludf.DUMMYFUNCTION("""COMPUTED_VALUE"""),478.0)</f>
        <v>478</v>
      </c>
      <c r="E1183" s="138">
        <f>IFERROR(__xludf.DUMMYFUNCTION("""COMPUTED_VALUE"""),5.0)</f>
        <v>5</v>
      </c>
      <c r="F1183" s="138">
        <f>IFERROR(__xludf.DUMMYFUNCTION("""COMPUTED_VALUE"""),5.0)</f>
        <v>5</v>
      </c>
      <c r="G1183" s="138">
        <f>IFERROR(__xludf.DUMMYFUNCTION("""COMPUTED_VALUE"""),5.0)</f>
        <v>5</v>
      </c>
      <c r="H1183" s="138">
        <f>IFERROR(__xludf.DUMMYFUNCTION("""COMPUTED_VALUE"""),3.0)</f>
        <v>3</v>
      </c>
      <c r="I1183" s="138">
        <f>IFERROR(__xludf.DUMMYFUNCTION("""COMPUTED_VALUE"""),5.0)</f>
        <v>5</v>
      </c>
      <c r="J1183" s="138">
        <f>IFERROR(__xludf.DUMMYFUNCTION("""COMPUTED_VALUE"""),5.0)</f>
        <v>5</v>
      </c>
      <c r="K1183" s="138">
        <f>IFERROR(__xludf.DUMMYFUNCTION("""COMPUTED_VALUE"""),5.0)</f>
        <v>5</v>
      </c>
      <c r="L1183" s="138">
        <v>33.0</v>
      </c>
      <c r="M1183" s="140" t="str">
        <f>VLOOKUP(text(D1183, "#"),'Master Table'!$A:$F, 6, FALSE)</f>
        <v>H-2</v>
      </c>
      <c r="N1183" s="141" t="str">
        <f>IFERROR(__xludf.DUMMYFUNCTION("""COMPUTED_VALUE"""),"Overall, very good research as an undergraduate student. My suggestions :1) use other analysis tool (such as a simple OLS regression) instead of chi-square analysis. 2) try to enlarge your sample size. I look forward to your publication in the near future"&amp;". ")</f>
        <v>Overall, very good research as an undergraduate student. My suggestions :1) use other analysis tool (such as a simple OLS regression) instead of chi-square analysis. 2) try to enlarge your sample size. I look forward to your publication in the near future. </v>
      </c>
      <c r="O1183" s="142" t="str">
        <f t="shared" si="1"/>
        <v/>
      </c>
      <c r="P1183" s="143" t="str">
        <f>IF(ISNA(VLOOKUP(CONCAT(M1183,C1183), 'Judge Count DO NOT EDIT'!H:H, 1, FALSE)), "ERROR","")</f>
        <v/>
      </c>
      <c r="Q1183" s="141"/>
      <c r="R1183" s="143"/>
      <c r="S1183" s="139" t="str">
        <f t="shared" si="2"/>
        <v>1005478</v>
      </c>
      <c r="T1183" s="141"/>
    </row>
    <row r="1184">
      <c r="A1184" s="137">
        <f>IFERROR(__xludf.DUMMYFUNCTION("""COMPUTED_VALUE"""),45352.59579732639)</f>
        <v>45352.5958</v>
      </c>
      <c r="B1184" s="138" t="str">
        <f>IFERROR(__xludf.DUMMYFUNCTION("""COMPUTED_VALUE"""),"Jeanne")</f>
        <v>Jeanne</v>
      </c>
      <c r="C1184" s="138">
        <f>IFERROR(__xludf.DUMMYFUNCTION("""COMPUTED_VALUE"""),1029.0)</f>
        <v>1029</v>
      </c>
      <c r="D1184" s="139">
        <f>IFERROR(__xludf.DUMMYFUNCTION("""COMPUTED_VALUE"""),479.0)</f>
        <v>479</v>
      </c>
      <c r="E1184" s="138">
        <f>IFERROR(__xludf.DUMMYFUNCTION("""COMPUTED_VALUE"""),4.0)</f>
        <v>4</v>
      </c>
      <c r="F1184" s="138">
        <f>IFERROR(__xludf.DUMMYFUNCTION("""COMPUTED_VALUE"""),4.0)</f>
        <v>4</v>
      </c>
      <c r="G1184" s="138">
        <f>IFERROR(__xludf.DUMMYFUNCTION("""COMPUTED_VALUE"""),4.0)</f>
        <v>4</v>
      </c>
      <c r="H1184" s="138">
        <f>IFERROR(__xludf.DUMMYFUNCTION("""COMPUTED_VALUE"""),3.0)</f>
        <v>3</v>
      </c>
      <c r="I1184" s="138">
        <f>IFERROR(__xludf.DUMMYFUNCTION("""COMPUTED_VALUE"""),4.0)</f>
        <v>4</v>
      </c>
      <c r="J1184" s="138">
        <f>IFERROR(__xludf.DUMMYFUNCTION("""COMPUTED_VALUE"""),4.0)</f>
        <v>4</v>
      </c>
      <c r="K1184" s="138">
        <f>IFERROR(__xludf.DUMMYFUNCTION("""COMPUTED_VALUE"""),4.0)</f>
        <v>4</v>
      </c>
      <c r="L1184" s="138">
        <v>27.0</v>
      </c>
      <c r="M1184" s="140" t="str">
        <f>VLOOKUP(text(D1184, "#"),'Master Table'!$A:$F, 6, FALSE)</f>
        <v>H-2</v>
      </c>
      <c r="N1184" s="141" t="str">
        <f>IFERROR(__xludf.DUMMYFUNCTION("""COMPUTED_VALUE"""),"The presenters shared their research question clearly to the audience. They explain technical terms, and summarized their research results well. They were engaging, knowledgeable and enthusiastic about their work. The results have a practical application "&amp;"and usefulness within higher education. Their poster was well organized and highlighted the aspects of the research. It would be great to know how they could put their research into action at San Diego State, or at any higher education institution. Great "&amp;"job!")</f>
        <v>The presenters shared their research question clearly to the audience. They explain technical terms, and summarized their research results well. They were engaging, knowledgeable and enthusiastic about their work. The results have a practical application and usefulness within higher education. Their poster was well organized and highlighted the aspects of the research. It would be great to know how they could put their research into action at San Diego State, or at any higher education institution. Great job!</v>
      </c>
      <c r="O1184" s="142" t="str">
        <f t="shared" si="1"/>
        <v/>
      </c>
      <c r="P1184" s="143" t="str">
        <f>IF(ISNA(VLOOKUP(CONCAT(M1184,C1184), 'Judge Count DO NOT EDIT'!H:H, 1, FALSE)), "ERROR","")</f>
        <v/>
      </c>
      <c r="Q1184" s="141"/>
      <c r="R1184" s="143"/>
      <c r="S1184" s="139" t="str">
        <f t="shared" si="2"/>
        <v>1029479</v>
      </c>
      <c r="T1184" s="141"/>
    </row>
    <row r="1185">
      <c r="A1185" s="137">
        <f>IFERROR(__xludf.DUMMYFUNCTION("""COMPUTED_VALUE"""),45352.60602770833)</f>
        <v>45352.60603</v>
      </c>
      <c r="B1185" s="138" t="str">
        <f>IFERROR(__xludf.DUMMYFUNCTION("""COMPUTED_VALUE"""),"Keven Jeffery")</f>
        <v>Keven Jeffery</v>
      </c>
      <c r="C1185" s="138">
        <f>IFERROR(__xludf.DUMMYFUNCTION("""COMPUTED_VALUE"""),1087.0)</f>
        <v>1087</v>
      </c>
      <c r="D1185" s="139">
        <f>IFERROR(__xludf.DUMMYFUNCTION("""COMPUTED_VALUE"""),479.0)</f>
        <v>479</v>
      </c>
      <c r="E1185" s="138">
        <f>IFERROR(__xludf.DUMMYFUNCTION("""COMPUTED_VALUE"""),4.0)</f>
        <v>4</v>
      </c>
      <c r="F1185" s="138">
        <f>IFERROR(__xludf.DUMMYFUNCTION("""COMPUTED_VALUE"""),5.0)</f>
        <v>5</v>
      </c>
      <c r="G1185" s="138">
        <f>IFERROR(__xludf.DUMMYFUNCTION("""COMPUTED_VALUE"""),5.0)</f>
        <v>5</v>
      </c>
      <c r="H1185" s="138">
        <f>IFERROR(__xludf.DUMMYFUNCTION("""COMPUTED_VALUE"""),4.0)</f>
        <v>4</v>
      </c>
      <c r="I1185" s="138">
        <f>IFERROR(__xludf.DUMMYFUNCTION("""COMPUTED_VALUE"""),5.0)</f>
        <v>5</v>
      </c>
      <c r="J1185" s="138">
        <f>IFERROR(__xludf.DUMMYFUNCTION("""COMPUTED_VALUE"""),4.0)</f>
        <v>4</v>
      </c>
      <c r="K1185" s="138">
        <f>IFERROR(__xludf.DUMMYFUNCTION("""COMPUTED_VALUE"""),5.0)</f>
        <v>5</v>
      </c>
      <c r="L1185" s="138">
        <v>32.0</v>
      </c>
      <c r="M1185" s="140" t="str">
        <f>VLOOKUP(text(D1185, "#"),'Master Table'!$A:$F, 6, FALSE)</f>
        <v>H-2</v>
      </c>
      <c r="N1185" s="141" t="str">
        <f>IFERROR(__xludf.DUMMYFUNCTION("""COMPUTED_VALUE"""),"I thought this was a very interesting project that was very nicely presented. All of the presenters were very comfortable engaging with the audience. Autoethnography seemed like a very interesting tool to reflect on the experiences as university students,"&amp;" and comparing the results with others a nice way to create understanding in a community. I would have liked to have seen more of the concepts that came out of these studies, but what was shared was very interesting. I was very engaged by this idea and wo"&amp;"nder if the researchers couldn't develop a guide for other students to engage in autoethnography themselves? I hope that the researchers will communicate their experieces more broadly to the university community, perhaps during the open strategic planning"&amp;" sessions? Very nicely done!")</f>
        <v>I thought this was a very interesting project that was very nicely presented. All of the presenters were very comfortable engaging with the audience. Autoethnography seemed like a very interesting tool to reflect on the experiences as university students, and comparing the results with others a nice way to create understanding in a community. I would have liked to have seen more of the concepts that came out of these studies, but what was shared was very interesting. I was very engaged by this idea and wonder if the researchers couldn't develop a guide for other students to engage in autoethnography themselves? I hope that the researchers will communicate their experieces more broadly to the university community, perhaps during the open strategic planning sessions? Very nicely done!</v>
      </c>
      <c r="O1185" s="142" t="str">
        <f t="shared" si="1"/>
        <v/>
      </c>
      <c r="P1185" s="143" t="str">
        <f>IF(ISNA(VLOOKUP(CONCAT(M1185,C1185), 'Judge Count DO NOT EDIT'!H:H, 1, FALSE)), "ERROR","")</f>
        <v/>
      </c>
      <c r="Q1185" s="141"/>
      <c r="R1185" s="143"/>
      <c r="S1185" s="139" t="str">
        <f t="shared" si="2"/>
        <v>1087479</v>
      </c>
      <c r="T1185" s="141"/>
    </row>
    <row r="1186">
      <c r="A1186" s="137">
        <f>IFERROR(__xludf.DUMMYFUNCTION("""COMPUTED_VALUE"""),45352.61409016204)</f>
        <v>45352.61409</v>
      </c>
      <c r="B1186" s="138" t="str">
        <f>IFERROR(__xludf.DUMMYFUNCTION("""COMPUTED_VALUE"""),"Yifan Yuan")</f>
        <v>Yifan Yuan</v>
      </c>
      <c r="C1186" s="138">
        <f>IFERROR(__xludf.DUMMYFUNCTION("""COMPUTED_VALUE"""),1176.0)</f>
        <v>1176</v>
      </c>
      <c r="D1186" s="139">
        <f>IFERROR(__xludf.DUMMYFUNCTION("""COMPUTED_VALUE"""),479.0)</f>
        <v>479</v>
      </c>
      <c r="E1186" s="138">
        <f>IFERROR(__xludf.DUMMYFUNCTION("""COMPUTED_VALUE"""),4.0)</f>
        <v>4</v>
      </c>
      <c r="F1186" s="138">
        <f>IFERROR(__xludf.DUMMYFUNCTION("""COMPUTED_VALUE"""),5.0)</f>
        <v>5</v>
      </c>
      <c r="G1186" s="138">
        <f>IFERROR(__xludf.DUMMYFUNCTION("""COMPUTED_VALUE"""),5.0)</f>
        <v>5</v>
      </c>
      <c r="H1186" s="138">
        <f>IFERROR(__xludf.DUMMYFUNCTION("""COMPUTED_VALUE"""),4.0)</f>
        <v>4</v>
      </c>
      <c r="I1186" s="138">
        <f>IFERROR(__xludf.DUMMYFUNCTION("""COMPUTED_VALUE"""),5.0)</f>
        <v>5</v>
      </c>
      <c r="J1186" s="138">
        <f>IFERROR(__xludf.DUMMYFUNCTION("""COMPUTED_VALUE"""),4.0)</f>
        <v>4</v>
      </c>
      <c r="K1186" s="138">
        <f>IFERROR(__xludf.DUMMYFUNCTION("""COMPUTED_VALUE"""),5.0)</f>
        <v>5</v>
      </c>
      <c r="L1186" s="138">
        <v>32.0</v>
      </c>
      <c r="M1186" s="140" t="str">
        <f>VLOOKUP(text(D1186, "#"),'Master Table'!$A:$F, 6, FALSE)</f>
        <v>H-2</v>
      </c>
      <c r="N1186" s="141" t="str">
        <f>IFERROR(__xludf.DUMMYFUNCTION("""COMPUTED_VALUE"""),"Impressive work! Great to hear about the passion and efforts of all presenters/authors, best of luck to your incoming presentation and publication opportunities!")</f>
        <v>Impressive work! Great to hear about the passion and efforts of all presenters/authors, best of luck to your incoming presentation and publication opportunities!</v>
      </c>
      <c r="O1186" s="142" t="str">
        <f t="shared" si="1"/>
        <v/>
      </c>
      <c r="P1186" s="143" t="str">
        <f>IF(ISNA(VLOOKUP(CONCAT(M1186,C1186), 'Judge Count DO NOT EDIT'!H:H, 1, FALSE)), "ERROR","")</f>
        <v/>
      </c>
      <c r="Q1186" s="141"/>
      <c r="R1186" s="143"/>
      <c r="S1186" s="139" t="str">
        <f t="shared" si="2"/>
        <v>1176479</v>
      </c>
      <c r="T1186" s="141"/>
    </row>
    <row r="1187">
      <c r="A1187" s="137">
        <f>IFERROR(__xludf.DUMMYFUNCTION("""COMPUTED_VALUE"""),45352.63319978009)</f>
        <v>45352.6332</v>
      </c>
      <c r="B1187" s="138" t="str">
        <f>IFERROR(__xludf.DUMMYFUNCTION("""COMPUTED_VALUE"""),"Heidy Mendez-Rodriguez ")</f>
        <v>Heidy Mendez-Rodriguez </v>
      </c>
      <c r="C1187" s="138">
        <f>IFERROR(__xludf.DUMMYFUNCTION("""COMPUTED_VALUE"""),1174.0)</f>
        <v>1174</v>
      </c>
      <c r="D1187" s="139">
        <f>IFERROR(__xludf.DUMMYFUNCTION("""COMPUTED_VALUE"""),479.0)</f>
        <v>479</v>
      </c>
      <c r="E1187" s="138">
        <f>IFERROR(__xludf.DUMMYFUNCTION("""COMPUTED_VALUE"""),3.0)</f>
        <v>3</v>
      </c>
      <c r="F1187" s="138">
        <f>IFERROR(__xludf.DUMMYFUNCTION("""COMPUTED_VALUE"""),4.0)</f>
        <v>4</v>
      </c>
      <c r="G1187" s="138">
        <f>IFERROR(__xludf.DUMMYFUNCTION("""COMPUTED_VALUE"""),4.0)</f>
        <v>4</v>
      </c>
      <c r="H1187" s="138">
        <f>IFERROR(__xludf.DUMMYFUNCTION("""COMPUTED_VALUE"""),5.0)</f>
        <v>5</v>
      </c>
      <c r="I1187" s="138">
        <f>IFERROR(__xludf.DUMMYFUNCTION("""COMPUTED_VALUE"""),5.0)</f>
        <v>5</v>
      </c>
      <c r="J1187" s="138">
        <f>IFERROR(__xludf.DUMMYFUNCTION("""COMPUTED_VALUE"""),4.0)</f>
        <v>4</v>
      </c>
      <c r="K1187" s="138">
        <f>IFERROR(__xludf.DUMMYFUNCTION("""COMPUTED_VALUE"""),5.0)</f>
        <v>5</v>
      </c>
      <c r="L1187" s="138">
        <v>30.0</v>
      </c>
      <c r="M1187" s="140" t="str">
        <f>VLOOKUP(text(D1187, "#"),'Master Table'!$A:$F, 6, FALSE)</f>
        <v>H-2</v>
      </c>
      <c r="N1187" s="141" t="str">
        <f>IFERROR(__xludf.DUMMYFUNCTION("""COMPUTED_VALUE"""),"I really appreciated talking with the presenters, their enthusiasm for the project was so evident! They were very knowledgeable about their methodology and the significance of it.  Next time, adding less text to their poster would help draw further attent"&amp;"ion to the importance of their work and findings. ")</f>
        <v>I really appreciated talking with the presenters, their enthusiasm for the project was so evident! They were very knowledgeable about their methodology and the significance of it.  Next time, adding less text to their poster would help draw further attention to the importance of their work and findings. </v>
      </c>
      <c r="O1187" s="142" t="str">
        <f t="shared" si="1"/>
        <v/>
      </c>
      <c r="P1187" s="143" t="str">
        <f>IF(ISNA(VLOOKUP(CONCAT(M1187,C1187), 'Judge Count DO NOT EDIT'!H:H, 1, FALSE)), "ERROR","")</f>
        <v/>
      </c>
      <c r="Q1187" s="141"/>
      <c r="R1187" s="143"/>
      <c r="S1187" s="139" t="str">
        <f t="shared" si="2"/>
        <v>1174479</v>
      </c>
      <c r="T1187" s="141"/>
    </row>
    <row r="1188">
      <c r="A1188" s="137">
        <f>IFERROR(__xludf.DUMMYFUNCTION("""COMPUTED_VALUE"""),45352.70069240741)</f>
        <v>45352.70069</v>
      </c>
      <c r="B1188" s="138" t="str">
        <f>IFERROR(__xludf.DUMMYFUNCTION("""COMPUTED_VALUE"""),"Tonni Xia")</f>
        <v>Tonni Xia</v>
      </c>
      <c r="C1188" s="138">
        <f>IFERROR(__xludf.DUMMYFUNCTION("""COMPUTED_VALUE"""),1005.0)</f>
        <v>1005</v>
      </c>
      <c r="D1188" s="139">
        <f>IFERROR(__xludf.DUMMYFUNCTION("""COMPUTED_VALUE"""),479.0)</f>
        <v>479</v>
      </c>
      <c r="E1188" s="138">
        <f>IFERROR(__xludf.DUMMYFUNCTION("""COMPUTED_VALUE"""),3.0)</f>
        <v>3</v>
      </c>
      <c r="F1188" s="138">
        <f>IFERROR(__xludf.DUMMYFUNCTION("""COMPUTED_VALUE"""),5.0)</f>
        <v>5</v>
      </c>
      <c r="G1188" s="138">
        <f>IFERROR(__xludf.DUMMYFUNCTION("""COMPUTED_VALUE"""),4.0)</f>
        <v>4</v>
      </c>
      <c r="H1188" s="138">
        <f>IFERROR(__xludf.DUMMYFUNCTION("""COMPUTED_VALUE"""),1.0)</f>
        <v>1</v>
      </c>
      <c r="I1188" s="138">
        <f>IFERROR(__xludf.DUMMYFUNCTION("""COMPUTED_VALUE"""),5.0)</f>
        <v>5</v>
      </c>
      <c r="J1188" s="138">
        <f>IFERROR(__xludf.DUMMYFUNCTION("""COMPUTED_VALUE"""),5.0)</f>
        <v>5</v>
      </c>
      <c r="K1188" s="138">
        <f>IFERROR(__xludf.DUMMYFUNCTION("""COMPUTED_VALUE"""),5.0)</f>
        <v>5</v>
      </c>
      <c r="L1188" s="138">
        <v>28.0</v>
      </c>
      <c r="M1188" s="140" t="str">
        <f>VLOOKUP(text(D1188, "#"),'Master Table'!$A:$F, 6, FALSE)</f>
        <v>H-2</v>
      </c>
      <c r="N1188" s="141" t="str">
        <f>IFERROR(__xludf.DUMMYFUNCTION("""COMPUTED_VALUE"""),"Sample only includes five observations. ")</f>
        <v>Sample only includes five observations. </v>
      </c>
      <c r="O1188" s="142" t="str">
        <f t="shared" si="1"/>
        <v/>
      </c>
      <c r="P1188" s="143" t="str">
        <f>IF(ISNA(VLOOKUP(CONCAT(M1188,C1188), 'Judge Count DO NOT EDIT'!H:H, 1, FALSE)), "ERROR","")</f>
        <v/>
      </c>
      <c r="Q1188" s="141"/>
      <c r="R1188" s="143"/>
      <c r="S1188" s="139" t="str">
        <f t="shared" si="2"/>
        <v>1005479</v>
      </c>
      <c r="T1188" s="141"/>
    </row>
    <row r="1189">
      <c r="A1189" s="137">
        <f>IFERROR(__xludf.DUMMYFUNCTION("""COMPUTED_VALUE"""),45352.59660233796)</f>
        <v>45352.5966</v>
      </c>
      <c r="B1189" s="138" t="str">
        <f>IFERROR(__xludf.DUMMYFUNCTION("""COMPUTED_VALUE"""),"Yifan Yuan")</f>
        <v>Yifan Yuan</v>
      </c>
      <c r="C1189" s="138">
        <f>IFERROR(__xludf.DUMMYFUNCTION("""COMPUTED_VALUE"""),1176.0)</f>
        <v>1176</v>
      </c>
      <c r="D1189" s="139">
        <f>IFERROR(__xludf.DUMMYFUNCTION("""COMPUTED_VALUE"""),480.0)</f>
        <v>480</v>
      </c>
      <c r="E1189" s="138">
        <f>IFERROR(__xludf.DUMMYFUNCTION("""COMPUTED_VALUE"""),4.0)</f>
        <v>4</v>
      </c>
      <c r="F1189" s="138">
        <f>IFERROR(__xludf.DUMMYFUNCTION("""COMPUTED_VALUE"""),4.0)</f>
        <v>4</v>
      </c>
      <c r="G1189" s="138">
        <f>IFERROR(__xludf.DUMMYFUNCTION("""COMPUTED_VALUE"""),4.0)</f>
        <v>4</v>
      </c>
      <c r="H1189" s="138">
        <f>IFERROR(__xludf.DUMMYFUNCTION("""COMPUTED_VALUE"""),3.0)</f>
        <v>3</v>
      </c>
      <c r="I1189" s="138">
        <f>IFERROR(__xludf.DUMMYFUNCTION("""COMPUTED_VALUE"""),4.0)</f>
        <v>4</v>
      </c>
      <c r="J1189" s="138">
        <f>IFERROR(__xludf.DUMMYFUNCTION("""COMPUTED_VALUE"""),5.0)</f>
        <v>5</v>
      </c>
      <c r="K1189" s="138">
        <f>IFERROR(__xludf.DUMMYFUNCTION("""COMPUTED_VALUE"""),4.0)</f>
        <v>4</v>
      </c>
      <c r="L1189" s="138">
        <v>28.0</v>
      </c>
      <c r="M1189" s="140" t="str">
        <f>VLOOKUP(text(D1189, "#"),'Master Table'!$A:$F, 6, FALSE)</f>
        <v>H-2</v>
      </c>
      <c r="N1189" s="141"/>
      <c r="O1189" s="142" t="str">
        <f t="shared" si="1"/>
        <v/>
      </c>
      <c r="P1189" s="143" t="str">
        <f>IF(ISNA(VLOOKUP(CONCAT(M1189,C1189), 'Judge Count DO NOT EDIT'!H:H, 1, FALSE)), "ERROR","")</f>
        <v/>
      </c>
      <c r="Q1189" s="141"/>
      <c r="R1189" s="143"/>
      <c r="S1189" s="139" t="str">
        <f t="shared" si="2"/>
        <v>1176480</v>
      </c>
      <c r="T1189" s="141"/>
    </row>
    <row r="1190">
      <c r="A1190" s="137">
        <f>IFERROR(__xludf.DUMMYFUNCTION("""COMPUTED_VALUE"""),45352.605261805555)</f>
        <v>45352.60526</v>
      </c>
      <c r="B1190" s="138" t="str">
        <f>IFERROR(__xludf.DUMMYFUNCTION("""COMPUTED_VALUE"""),"Jeanne")</f>
        <v>Jeanne</v>
      </c>
      <c r="C1190" s="138">
        <f>IFERROR(__xludf.DUMMYFUNCTION("""COMPUTED_VALUE"""),1029.0)</f>
        <v>1029</v>
      </c>
      <c r="D1190" s="139">
        <f>IFERROR(__xludf.DUMMYFUNCTION("""COMPUTED_VALUE"""),480.0)</f>
        <v>480</v>
      </c>
      <c r="E1190" s="138">
        <f>IFERROR(__xludf.DUMMYFUNCTION("""COMPUTED_VALUE"""),4.0)</f>
        <v>4</v>
      </c>
      <c r="F1190" s="138">
        <f>IFERROR(__xludf.DUMMYFUNCTION("""COMPUTED_VALUE"""),3.0)</f>
        <v>3</v>
      </c>
      <c r="G1190" s="138">
        <f>IFERROR(__xludf.DUMMYFUNCTION("""COMPUTED_VALUE"""),3.0)</f>
        <v>3</v>
      </c>
      <c r="H1190" s="138">
        <f>IFERROR(__xludf.DUMMYFUNCTION("""COMPUTED_VALUE"""),3.0)</f>
        <v>3</v>
      </c>
      <c r="I1190" s="138">
        <f>IFERROR(__xludf.DUMMYFUNCTION("""COMPUTED_VALUE"""),4.0)</f>
        <v>4</v>
      </c>
      <c r="J1190" s="138">
        <f>IFERROR(__xludf.DUMMYFUNCTION("""COMPUTED_VALUE"""),3.0)</f>
        <v>3</v>
      </c>
      <c r="K1190" s="138">
        <f>IFERROR(__xludf.DUMMYFUNCTION("""COMPUTED_VALUE"""),4.0)</f>
        <v>4</v>
      </c>
      <c r="L1190" s="138">
        <v>24.0</v>
      </c>
      <c r="M1190" s="140" t="str">
        <f>VLOOKUP(text(D1190, "#"),'Master Table'!$A:$F, 6, FALSE)</f>
        <v>H-2</v>
      </c>
      <c r="N1190" s="141" t="str">
        <f>IFERROR(__xludf.DUMMYFUNCTION("""COMPUTED_VALUE"""),"This research project was well organized and well presented. The presenter was very enthusiastic and motivated to make a difference. She answered all my questions thoroughly and had great ideas for further exploration. The poster told the story well, and "&amp;"was engaging and clear. There are ways that she could Improve the analysis and she was very open to exploring those opportunities. Excellent work. ")</f>
        <v>This research project was well organized and well presented. The presenter was very enthusiastic and motivated to make a difference. She answered all my questions thoroughly and had great ideas for further exploration. The poster told the story well, and was engaging and clear. There are ways that she could Improve the analysis and she was very open to exploring those opportunities. Excellent work. </v>
      </c>
      <c r="O1190" s="142" t="str">
        <f t="shared" si="1"/>
        <v/>
      </c>
      <c r="P1190" s="143" t="str">
        <f>IF(ISNA(VLOOKUP(CONCAT(M1190,C1190), 'Judge Count DO NOT EDIT'!H:H, 1, FALSE)), "ERROR","")</f>
        <v/>
      </c>
      <c r="Q1190" s="141"/>
      <c r="R1190" s="143"/>
      <c r="S1190" s="139" t="str">
        <f t="shared" si="2"/>
        <v>1029480</v>
      </c>
      <c r="T1190" s="141"/>
    </row>
    <row r="1191">
      <c r="A1191" s="137">
        <f>IFERROR(__xludf.DUMMYFUNCTION("""COMPUTED_VALUE"""),45352.60972927083)</f>
        <v>45352.60973</v>
      </c>
      <c r="B1191" s="138" t="str">
        <f>IFERROR(__xludf.DUMMYFUNCTION("""COMPUTED_VALUE"""),"Keven Jeffery")</f>
        <v>Keven Jeffery</v>
      </c>
      <c r="C1191" s="138">
        <f>IFERROR(__xludf.DUMMYFUNCTION("""COMPUTED_VALUE"""),1087.0)</f>
        <v>1087</v>
      </c>
      <c r="D1191" s="139">
        <f>IFERROR(__xludf.DUMMYFUNCTION("""COMPUTED_VALUE"""),480.0)</f>
        <v>480</v>
      </c>
      <c r="E1191" s="138">
        <f>IFERROR(__xludf.DUMMYFUNCTION("""COMPUTED_VALUE"""),4.0)</f>
        <v>4</v>
      </c>
      <c r="F1191" s="138">
        <f>IFERROR(__xludf.DUMMYFUNCTION("""COMPUTED_VALUE"""),3.0)</f>
        <v>3</v>
      </c>
      <c r="G1191" s="138">
        <f>IFERROR(__xludf.DUMMYFUNCTION("""COMPUTED_VALUE"""),3.0)</f>
        <v>3</v>
      </c>
      <c r="H1191" s="138">
        <f>IFERROR(__xludf.DUMMYFUNCTION("""COMPUTED_VALUE"""),3.0)</f>
        <v>3</v>
      </c>
      <c r="I1191" s="138">
        <f>IFERROR(__xludf.DUMMYFUNCTION("""COMPUTED_VALUE"""),4.0)</f>
        <v>4</v>
      </c>
      <c r="J1191" s="138">
        <f>IFERROR(__xludf.DUMMYFUNCTION("""COMPUTED_VALUE"""),3.0)</f>
        <v>3</v>
      </c>
      <c r="K1191" s="138">
        <f>IFERROR(__xludf.DUMMYFUNCTION("""COMPUTED_VALUE"""),5.0)</f>
        <v>5</v>
      </c>
      <c r="L1191" s="138">
        <v>25.0</v>
      </c>
      <c r="M1191" s="140" t="str">
        <f>VLOOKUP(text(D1191, "#"),'Master Table'!$A:$F, 6, FALSE)</f>
        <v>H-2</v>
      </c>
      <c r="N1191" s="141" t="str">
        <f>IFERROR(__xludf.DUMMYFUNCTION("""COMPUTED_VALUE"""),"The presenter was very comfortable engaging with the audience to present their results. This was a very interesting thesis, and although the results weren't conclusive the researcher had some interesting ideas to expand on the concepts and reach other  po"&amp;"pulations. I think this would be interesting research to see applied to other communities in different areas of San Diego and beyond. Definitely research that can be expanded on. Nice work!")</f>
        <v>The presenter was very comfortable engaging with the audience to present their results. This was a very interesting thesis, and although the results weren't conclusive the researcher had some interesting ideas to expand on the concepts and reach other  populations. I think this would be interesting research to see applied to other communities in different areas of San Diego and beyond. Definitely research that can be expanded on. Nice work!</v>
      </c>
      <c r="O1191" s="142" t="str">
        <f t="shared" si="1"/>
        <v/>
      </c>
      <c r="P1191" s="143" t="str">
        <f>IF(ISNA(VLOOKUP(CONCAT(M1191,C1191), 'Judge Count DO NOT EDIT'!H:H, 1, FALSE)), "ERROR","")</f>
        <v/>
      </c>
      <c r="Q1191" s="141"/>
      <c r="R1191" s="143"/>
      <c r="S1191" s="139" t="str">
        <f t="shared" si="2"/>
        <v>1087480</v>
      </c>
      <c r="T1191" s="141"/>
    </row>
    <row r="1192">
      <c r="A1192" s="137">
        <f>IFERROR(__xludf.DUMMYFUNCTION("""COMPUTED_VALUE"""),45352.63125181713)</f>
        <v>45352.63125</v>
      </c>
      <c r="B1192" s="138" t="str">
        <f>IFERROR(__xludf.DUMMYFUNCTION("""COMPUTED_VALUE"""),"Heidy Mendez-Rodriguez")</f>
        <v>Heidy Mendez-Rodriguez</v>
      </c>
      <c r="C1192" s="138">
        <f>IFERROR(__xludf.DUMMYFUNCTION("""COMPUTED_VALUE"""),1174.0)</f>
        <v>1174</v>
      </c>
      <c r="D1192" s="139">
        <f>IFERROR(__xludf.DUMMYFUNCTION("""COMPUTED_VALUE"""),480.0)</f>
        <v>480</v>
      </c>
      <c r="E1192" s="138">
        <f>IFERROR(__xludf.DUMMYFUNCTION("""COMPUTED_VALUE"""),5.0)</f>
        <v>5</v>
      </c>
      <c r="F1192" s="138">
        <f>IFERROR(__xludf.DUMMYFUNCTION("""COMPUTED_VALUE"""),4.0)</f>
        <v>4</v>
      </c>
      <c r="G1192" s="138">
        <f>IFERROR(__xludf.DUMMYFUNCTION("""COMPUTED_VALUE"""),4.0)</f>
        <v>4</v>
      </c>
      <c r="H1192" s="138">
        <f>IFERROR(__xludf.DUMMYFUNCTION("""COMPUTED_VALUE"""),4.0)</f>
        <v>4</v>
      </c>
      <c r="I1192" s="138">
        <f>IFERROR(__xludf.DUMMYFUNCTION("""COMPUTED_VALUE"""),5.0)</f>
        <v>5</v>
      </c>
      <c r="J1192" s="138">
        <f>IFERROR(__xludf.DUMMYFUNCTION("""COMPUTED_VALUE"""),4.0)</f>
        <v>4</v>
      </c>
      <c r="K1192" s="138">
        <f>IFERROR(__xludf.DUMMYFUNCTION("""COMPUTED_VALUE"""),5.0)</f>
        <v>5</v>
      </c>
      <c r="L1192" s="138">
        <v>31.0</v>
      </c>
      <c r="M1192" s="140" t="str">
        <f>VLOOKUP(text(D1192, "#"),'Master Table'!$A:$F, 6, FALSE)</f>
        <v>H-2</v>
      </c>
      <c r="N1192" s="141" t="str">
        <f>IFERROR(__xludf.DUMMYFUNCTION("""COMPUTED_VALUE"""),"The student's passion and enthusiasm for the study came across so clearly! They had clearly spent time reflecting on the results of their study and how they could improve this work in the future.  Next time, it would be great to hear how their work could "&amp;"be applied in three clinical setting. ")</f>
        <v>The student's passion and enthusiasm for the study came across so clearly! They had clearly spent time reflecting on the results of their study and how they could improve this work in the future.  Next time, it would be great to hear how their work could be applied in three clinical setting. </v>
      </c>
      <c r="O1192" s="142" t="str">
        <f t="shared" si="1"/>
        <v/>
      </c>
      <c r="P1192" s="143" t="str">
        <f>IF(ISNA(VLOOKUP(CONCAT(M1192,C1192), 'Judge Count DO NOT EDIT'!H:H, 1, FALSE)), "ERROR","")</f>
        <v/>
      </c>
      <c r="Q1192" s="141"/>
      <c r="R1192" s="143"/>
      <c r="S1192" s="139" t="str">
        <f t="shared" si="2"/>
        <v>1174480</v>
      </c>
      <c r="T1192" s="141"/>
    </row>
    <row r="1193">
      <c r="A1193" s="137">
        <f>IFERROR(__xludf.DUMMYFUNCTION("""COMPUTED_VALUE"""),45352.70184245371)</f>
        <v>45352.70184</v>
      </c>
      <c r="B1193" s="138" t="str">
        <f>IFERROR(__xludf.DUMMYFUNCTION("""COMPUTED_VALUE"""),"Tonni Xia")</f>
        <v>Tonni Xia</v>
      </c>
      <c r="C1193" s="138">
        <f>IFERROR(__xludf.DUMMYFUNCTION("""COMPUTED_VALUE"""),1005.0)</f>
        <v>1005</v>
      </c>
      <c r="D1193" s="139">
        <f>IFERROR(__xludf.DUMMYFUNCTION("""COMPUTED_VALUE"""),480.0)</f>
        <v>480</v>
      </c>
      <c r="E1193" s="138">
        <f>IFERROR(__xludf.DUMMYFUNCTION("""COMPUTED_VALUE"""),4.0)</f>
        <v>4</v>
      </c>
      <c r="F1193" s="138">
        <f>IFERROR(__xludf.DUMMYFUNCTION("""COMPUTED_VALUE"""),4.0)</f>
        <v>4</v>
      </c>
      <c r="G1193" s="138">
        <f>IFERROR(__xludf.DUMMYFUNCTION("""COMPUTED_VALUE"""),3.0)</f>
        <v>3</v>
      </c>
      <c r="H1193" s="138">
        <f>IFERROR(__xludf.DUMMYFUNCTION("""COMPUTED_VALUE"""),1.0)</f>
        <v>1</v>
      </c>
      <c r="I1193" s="138">
        <f>IFERROR(__xludf.DUMMYFUNCTION("""COMPUTED_VALUE"""),5.0)</f>
        <v>5</v>
      </c>
      <c r="J1193" s="138">
        <f>IFERROR(__xludf.DUMMYFUNCTION("""COMPUTED_VALUE"""),5.0)</f>
        <v>5</v>
      </c>
      <c r="K1193" s="138">
        <f>IFERROR(__xludf.DUMMYFUNCTION("""COMPUTED_VALUE"""),4.0)</f>
        <v>4</v>
      </c>
      <c r="L1193" s="138">
        <v>26.0</v>
      </c>
      <c r="M1193" s="140" t="str">
        <f>VLOOKUP(text(D1193, "#"),'Master Table'!$A:$F, 6, FALSE)</f>
        <v>H-2</v>
      </c>
      <c r="N1193" s="141" t="str">
        <f>IFERROR(__xludf.DUMMYFUNCTION("""COMPUTED_VALUE"""),"For next step, I would recommend run a probit/logit regression to see whether your results are statistically significant. ")</f>
        <v>For next step, I would recommend run a probit/logit regression to see whether your results are statistically significant. </v>
      </c>
      <c r="O1193" s="142" t="str">
        <f t="shared" si="1"/>
        <v/>
      </c>
      <c r="P1193" s="143" t="str">
        <f>IF(ISNA(VLOOKUP(CONCAT(M1193,C1193), 'Judge Count DO NOT EDIT'!H:H, 1, FALSE)), "ERROR","")</f>
        <v/>
      </c>
      <c r="Q1193" s="141"/>
      <c r="R1193" s="143"/>
      <c r="S1193" s="139" t="str">
        <f t="shared" si="2"/>
        <v>1005480</v>
      </c>
      <c r="T1193" s="141"/>
    </row>
    <row r="1194">
      <c r="A1194" s="137">
        <f>IFERROR(__xludf.DUMMYFUNCTION("""COMPUTED_VALUE"""),45352.5540884838)</f>
        <v>45352.55409</v>
      </c>
      <c r="B1194" s="138" t="str">
        <f>IFERROR(__xludf.DUMMYFUNCTION("""COMPUTED_VALUE"""),"Valeria ochoa ")</f>
        <v>Valeria ochoa </v>
      </c>
      <c r="C1194" s="138">
        <f>IFERROR(__xludf.DUMMYFUNCTION("""COMPUTED_VALUE"""),1219.0)</f>
        <v>1219</v>
      </c>
      <c r="D1194" s="139">
        <f>IFERROR(__xludf.DUMMYFUNCTION("""COMPUTED_VALUE"""),481.0)</f>
        <v>481</v>
      </c>
      <c r="E1194" s="138">
        <f>IFERROR(__xludf.DUMMYFUNCTION("""COMPUTED_VALUE"""),3.0)</f>
        <v>3</v>
      </c>
      <c r="F1194" s="138">
        <f>IFERROR(__xludf.DUMMYFUNCTION("""COMPUTED_VALUE"""),3.0)</f>
        <v>3</v>
      </c>
      <c r="G1194" s="138">
        <f>IFERROR(__xludf.DUMMYFUNCTION("""COMPUTED_VALUE"""),3.0)</f>
        <v>3</v>
      </c>
      <c r="H1194" s="138">
        <f>IFERROR(__xludf.DUMMYFUNCTION("""COMPUTED_VALUE"""),3.0)</f>
        <v>3</v>
      </c>
      <c r="I1194" s="138">
        <f>IFERROR(__xludf.DUMMYFUNCTION("""COMPUTED_VALUE"""),3.0)</f>
        <v>3</v>
      </c>
      <c r="J1194" s="138">
        <f>IFERROR(__xludf.DUMMYFUNCTION("""COMPUTED_VALUE"""),3.0)</f>
        <v>3</v>
      </c>
      <c r="K1194" s="138">
        <f>IFERROR(__xludf.DUMMYFUNCTION("""COMPUTED_VALUE"""),3.0)</f>
        <v>3</v>
      </c>
      <c r="L1194" s="138">
        <v>21.0</v>
      </c>
      <c r="M1194" s="140" t="str">
        <f>VLOOKUP(text(D1194, "#"),'Master Table'!$A:$F, 6, FALSE)</f>
        <v>H-3</v>
      </c>
      <c r="N1194" s="141"/>
      <c r="O1194" s="142" t="str">
        <f t="shared" si="1"/>
        <v/>
      </c>
      <c r="P1194" s="143" t="str">
        <f>IF(ISNA(VLOOKUP(CONCAT(M1194,C1194), 'Judge Count DO NOT EDIT'!H:H, 1, FALSE)), "ERROR","")</f>
        <v/>
      </c>
      <c r="Q1194" s="141"/>
      <c r="R1194" s="143"/>
      <c r="S1194" s="139" t="str">
        <f t="shared" si="2"/>
        <v>1219481</v>
      </c>
      <c r="T1194" s="141"/>
    </row>
    <row r="1195">
      <c r="A1195" s="137">
        <f>IFERROR(__xludf.DUMMYFUNCTION("""COMPUTED_VALUE"""),45352.55905974537)</f>
        <v>45352.55906</v>
      </c>
      <c r="B1195" s="138" t="str">
        <f>IFERROR(__xludf.DUMMYFUNCTION("""COMPUTED_VALUE"""),"Margaret Stack")</f>
        <v>Margaret Stack</v>
      </c>
      <c r="C1195" s="138">
        <f>IFERROR(__xludf.DUMMYFUNCTION("""COMPUTED_VALUE"""),1155.0)</f>
        <v>1155</v>
      </c>
      <c r="D1195" s="139">
        <f>IFERROR(__xludf.DUMMYFUNCTION("""COMPUTED_VALUE"""),481.0)</f>
        <v>481</v>
      </c>
      <c r="E1195" s="138">
        <f>IFERROR(__xludf.DUMMYFUNCTION("""COMPUTED_VALUE"""),5.0)</f>
        <v>5</v>
      </c>
      <c r="F1195" s="138">
        <f>IFERROR(__xludf.DUMMYFUNCTION("""COMPUTED_VALUE"""),5.0)</f>
        <v>5</v>
      </c>
      <c r="G1195" s="138">
        <f>IFERROR(__xludf.DUMMYFUNCTION("""COMPUTED_VALUE"""),5.0)</f>
        <v>5</v>
      </c>
      <c r="H1195" s="138">
        <f>IFERROR(__xludf.DUMMYFUNCTION("""COMPUTED_VALUE"""),4.0)</f>
        <v>4</v>
      </c>
      <c r="I1195" s="138">
        <f>IFERROR(__xludf.DUMMYFUNCTION("""COMPUTED_VALUE"""),5.0)</f>
        <v>5</v>
      </c>
      <c r="J1195" s="138">
        <f>IFERROR(__xludf.DUMMYFUNCTION("""COMPUTED_VALUE"""),5.0)</f>
        <v>5</v>
      </c>
      <c r="K1195" s="138">
        <f>IFERROR(__xludf.DUMMYFUNCTION("""COMPUTED_VALUE"""),5.0)</f>
        <v>5</v>
      </c>
      <c r="L1195" s="138">
        <v>34.0</v>
      </c>
      <c r="M1195" s="140" t="str">
        <f>VLOOKUP(text(D1195, "#"),'Master Table'!$A:$F, 6, FALSE)</f>
        <v>H-3</v>
      </c>
      <c r="N1195" s="141" t="str">
        <f>IFERROR(__xludf.DUMMYFUNCTION("""COMPUTED_VALUE"""),"A very clear and well-thought out poster, and very interesting work that has important implications ")</f>
        <v>A very clear and well-thought out poster, and very interesting work that has important implications </v>
      </c>
      <c r="O1195" s="142" t="str">
        <f t="shared" si="1"/>
        <v/>
      </c>
      <c r="P1195" s="143" t="str">
        <f>IF(ISNA(VLOOKUP(CONCAT(M1195,C1195), 'Judge Count DO NOT EDIT'!H:H, 1, FALSE)), "ERROR","")</f>
        <v/>
      </c>
      <c r="Q1195" s="141"/>
      <c r="R1195" s="143"/>
      <c r="S1195" s="139" t="str">
        <f t="shared" si="2"/>
        <v>1155481</v>
      </c>
      <c r="T1195" s="141"/>
    </row>
    <row r="1196">
      <c r="A1196" s="137">
        <f>IFERROR(__xludf.DUMMYFUNCTION("""COMPUTED_VALUE"""),45352.59353640046)</f>
        <v>45352.59354</v>
      </c>
      <c r="B1196" s="138" t="str">
        <f>IFERROR(__xludf.DUMMYFUNCTION("""COMPUTED_VALUE"""),"Keith Chan")</f>
        <v>Keith Chan</v>
      </c>
      <c r="C1196" s="138">
        <f>IFERROR(__xludf.DUMMYFUNCTION("""COMPUTED_VALUE"""),1138.0)</f>
        <v>1138</v>
      </c>
      <c r="D1196" s="139">
        <f>IFERROR(__xludf.DUMMYFUNCTION("""COMPUTED_VALUE"""),481.0)</f>
        <v>481</v>
      </c>
      <c r="E1196" s="138">
        <f>IFERROR(__xludf.DUMMYFUNCTION("""COMPUTED_VALUE"""),4.0)</f>
        <v>4</v>
      </c>
      <c r="F1196" s="138">
        <f>IFERROR(__xludf.DUMMYFUNCTION("""COMPUTED_VALUE"""),4.0)</f>
        <v>4</v>
      </c>
      <c r="G1196" s="138">
        <f>IFERROR(__xludf.DUMMYFUNCTION("""COMPUTED_VALUE"""),4.0)</f>
        <v>4</v>
      </c>
      <c r="H1196" s="138">
        <f>IFERROR(__xludf.DUMMYFUNCTION("""COMPUTED_VALUE"""),4.0)</f>
        <v>4</v>
      </c>
      <c r="I1196" s="138">
        <f>IFERROR(__xludf.DUMMYFUNCTION("""COMPUTED_VALUE"""),4.0)</f>
        <v>4</v>
      </c>
      <c r="J1196" s="138">
        <f>IFERROR(__xludf.DUMMYFUNCTION("""COMPUTED_VALUE"""),4.0)</f>
        <v>4</v>
      </c>
      <c r="K1196" s="138">
        <f>IFERROR(__xludf.DUMMYFUNCTION("""COMPUTED_VALUE"""),4.0)</f>
        <v>4</v>
      </c>
      <c r="L1196" s="138">
        <v>28.0</v>
      </c>
      <c r="M1196" s="140" t="str">
        <f>VLOOKUP(text(D1196, "#"),'Master Table'!$A:$F, 6, FALSE)</f>
        <v>H-3</v>
      </c>
      <c r="N1196" s="141"/>
      <c r="O1196" s="142" t="str">
        <f t="shared" si="1"/>
        <v/>
      </c>
      <c r="P1196" s="143" t="str">
        <f>IF(ISNA(VLOOKUP(CONCAT(M1196,C1196), 'Judge Count DO NOT EDIT'!H:H, 1, FALSE)), "ERROR","")</f>
        <v/>
      </c>
      <c r="Q1196" s="141"/>
      <c r="R1196" s="143"/>
      <c r="S1196" s="139" t="str">
        <f t="shared" si="2"/>
        <v>1138481</v>
      </c>
      <c r="T1196" s="141"/>
    </row>
    <row r="1197">
      <c r="A1197" s="137">
        <f>IFERROR(__xludf.DUMMYFUNCTION("""COMPUTED_VALUE"""),45352.556194108794)</f>
        <v>45352.55619</v>
      </c>
      <c r="B1197" s="138" t="str">
        <f>IFERROR(__xludf.DUMMYFUNCTION("""COMPUTED_VALUE"""),"Valeria Ochoa ")</f>
        <v>Valeria Ochoa </v>
      </c>
      <c r="C1197" s="138">
        <f>IFERROR(__xludf.DUMMYFUNCTION("""COMPUTED_VALUE"""),1219.0)</f>
        <v>1219</v>
      </c>
      <c r="D1197" s="139">
        <f>IFERROR(__xludf.DUMMYFUNCTION("""COMPUTED_VALUE"""),482.0)</f>
        <v>482</v>
      </c>
      <c r="E1197" s="138">
        <f>IFERROR(__xludf.DUMMYFUNCTION("""COMPUTED_VALUE"""),5.0)</f>
        <v>5</v>
      </c>
      <c r="F1197" s="138">
        <f>IFERROR(__xludf.DUMMYFUNCTION("""COMPUTED_VALUE"""),5.0)</f>
        <v>5</v>
      </c>
      <c r="G1197" s="138">
        <f>IFERROR(__xludf.DUMMYFUNCTION("""COMPUTED_VALUE"""),5.0)</f>
        <v>5</v>
      </c>
      <c r="H1197" s="138">
        <f>IFERROR(__xludf.DUMMYFUNCTION("""COMPUTED_VALUE"""),5.0)</f>
        <v>5</v>
      </c>
      <c r="I1197" s="138">
        <f>IFERROR(__xludf.DUMMYFUNCTION("""COMPUTED_VALUE"""),5.0)</f>
        <v>5</v>
      </c>
      <c r="J1197" s="138">
        <f>IFERROR(__xludf.DUMMYFUNCTION("""COMPUTED_VALUE"""),5.0)</f>
        <v>5</v>
      </c>
      <c r="K1197" s="138">
        <f>IFERROR(__xludf.DUMMYFUNCTION("""COMPUTED_VALUE"""),5.0)</f>
        <v>5</v>
      </c>
      <c r="L1197" s="138">
        <v>35.0</v>
      </c>
      <c r="M1197" s="140" t="str">
        <f>VLOOKUP(text(D1197, "#"),'Master Table'!$A:$F, 6, FALSE)</f>
        <v>H-3</v>
      </c>
      <c r="N1197" s="141" t="str">
        <f>IFERROR(__xludf.DUMMYFUNCTION("""COMPUTED_VALUE"""),"The poster was exceptional and delivered with great passion. I highly enjoyed listening to Elora’s explanation of the data and the important of understanding aquatic taxicological hazards. I judged the posters from 9am until now, 1pm, and this is the best"&amp;" delivery/presentation I have seen so far. Great job!   ")</f>
        <v>The poster was exceptional and delivered with great passion. I highly enjoyed listening to Elora’s explanation of the data and the important of understanding aquatic taxicological hazards. I judged the posters from 9am until now, 1pm, and this is the best delivery/presentation I have seen so far. Great job!   </v>
      </c>
      <c r="O1197" s="142" t="str">
        <f t="shared" si="1"/>
        <v/>
      </c>
      <c r="P1197" s="143" t="str">
        <f>IF(ISNA(VLOOKUP(CONCAT(M1197,C1197), 'Judge Count DO NOT EDIT'!H:H, 1, FALSE)), "ERROR","")</f>
        <v/>
      </c>
      <c r="Q1197" s="141"/>
      <c r="R1197" s="143"/>
      <c r="S1197" s="139" t="str">
        <f t="shared" si="2"/>
        <v>1219482</v>
      </c>
      <c r="T1197" s="141"/>
    </row>
    <row r="1198">
      <c r="A1198" s="137">
        <f>IFERROR(__xludf.DUMMYFUNCTION("""COMPUTED_VALUE"""),45352.59324292824)</f>
        <v>45352.59324</v>
      </c>
      <c r="B1198" s="138" t="str">
        <f>IFERROR(__xludf.DUMMYFUNCTION("""COMPUTED_VALUE"""),"Margaret Stack")</f>
        <v>Margaret Stack</v>
      </c>
      <c r="C1198" s="138">
        <f>IFERROR(__xludf.DUMMYFUNCTION("""COMPUTED_VALUE"""),1155.0)</f>
        <v>1155</v>
      </c>
      <c r="D1198" s="139">
        <f>IFERROR(__xludf.DUMMYFUNCTION("""COMPUTED_VALUE"""),482.0)</f>
        <v>482</v>
      </c>
      <c r="E1198" s="138">
        <f>IFERROR(__xludf.DUMMYFUNCTION("""COMPUTED_VALUE"""),5.0)</f>
        <v>5</v>
      </c>
      <c r="F1198" s="138">
        <f>IFERROR(__xludf.DUMMYFUNCTION("""COMPUTED_VALUE"""),4.0)</f>
        <v>4</v>
      </c>
      <c r="G1198" s="138">
        <f>IFERROR(__xludf.DUMMYFUNCTION("""COMPUTED_VALUE"""),5.0)</f>
        <v>5</v>
      </c>
      <c r="H1198" s="138">
        <f>IFERROR(__xludf.DUMMYFUNCTION("""COMPUTED_VALUE"""),5.0)</f>
        <v>5</v>
      </c>
      <c r="I1198" s="138">
        <f>IFERROR(__xludf.DUMMYFUNCTION("""COMPUTED_VALUE"""),5.0)</f>
        <v>5</v>
      </c>
      <c r="J1198" s="138">
        <f>IFERROR(__xludf.DUMMYFUNCTION("""COMPUTED_VALUE"""),5.0)</f>
        <v>5</v>
      </c>
      <c r="K1198" s="138">
        <f>IFERROR(__xludf.DUMMYFUNCTION("""COMPUTED_VALUE"""),5.0)</f>
        <v>5</v>
      </c>
      <c r="L1198" s="138">
        <v>34.0</v>
      </c>
      <c r="M1198" s="140" t="str">
        <f>VLOOKUP(text(D1198, "#"),'Master Table'!$A:$F, 6, FALSE)</f>
        <v>H-3</v>
      </c>
      <c r="N1198" s="141" t="str">
        <f>IFERROR(__xludf.DUMMYFUNCTION("""COMPUTED_VALUE"""),"Excellent presentation and great grasp of project and its implications ")</f>
        <v>Excellent presentation and great grasp of project and its implications </v>
      </c>
      <c r="O1198" s="142" t="str">
        <f t="shared" si="1"/>
        <v/>
      </c>
      <c r="P1198" s="143" t="str">
        <f>IF(ISNA(VLOOKUP(CONCAT(M1198,C1198), 'Judge Count DO NOT EDIT'!H:H, 1, FALSE)), "ERROR","")</f>
        <v/>
      </c>
      <c r="Q1198" s="141"/>
      <c r="R1198" s="143"/>
      <c r="S1198" s="139" t="str">
        <f t="shared" si="2"/>
        <v>1155482</v>
      </c>
      <c r="T1198" s="141"/>
    </row>
    <row r="1199">
      <c r="A1199" s="137">
        <f>IFERROR(__xludf.DUMMYFUNCTION("""COMPUTED_VALUE"""),45352.61577878472)</f>
        <v>45352.61578</v>
      </c>
      <c r="B1199" s="138" t="str">
        <f>IFERROR(__xludf.DUMMYFUNCTION("""COMPUTED_VALUE"""),"Keith Chan")</f>
        <v>Keith Chan</v>
      </c>
      <c r="C1199" s="138">
        <f>IFERROR(__xludf.DUMMYFUNCTION("""COMPUTED_VALUE"""),1138.0)</f>
        <v>1138</v>
      </c>
      <c r="D1199" s="139">
        <f>IFERROR(__xludf.DUMMYFUNCTION("""COMPUTED_VALUE"""),482.0)</f>
        <v>482</v>
      </c>
      <c r="E1199" s="138">
        <f>IFERROR(__xludf.DUMMYFUNCTION("""COMPUTED_VALUE"""),5.0)</f>
        <v>5</v>
      </c>
      <c r="F1199" s="138">
        <f>IFERROR(__xludf.DUMMYFUNCTION("""COMPUTED_VALUE"""),4.0)</f>
        <v>4</v>
      </c>
      <c r="G1199" s="138">
        <f>IFERROR(__xludf.DUMMYFUNCTION("""COMPUTED_VALUE"""),5.0)</f>
        <v>5</v>
      </c>
      <c r="H1199" s="138">
        <f>IFERROR(__xludf.DUMMYFUNCTION("""COMPUTED_VALUE"""),5.0)</f>
        <v>5</v>
      </c>
      <c r="I1199" s="138">
        <f>IFERROR(__xludf.DUMMYFUNCTION("""COMPUTED_VALUE"""),5.0)</f>
        <v>5</v>
      </c>
      <c r="J1199" s="138">
        <f>IFERROR(__xludf.DUMMYFUNCTION("""COMPUTED_VALUE"""),5.0)</f>
        <v>5</v>
      </c>
      <c r="K1199" s="138">
        <f>IFERROR(__xludf.DUMMYFUNCTION("""COMPUTED_VALUE"""),5.0)</f>
        <v>5</v>
      </c>
      <c r="L1199" s="138">
        <v>34.0</v>
      </c>
      <c r="M1199" s="140" t="str">
        <f>VLOOKUP(text(D1199, "#"),'Master Table'!$A:$F, 6, FALSE)</f>
        <v>H-3</v>
      </c>
      <c r="N1199" s="141"/>
      <c r="O1199" s="142" t="str">
        <f t="shared" si="1"/>
        <v/>
      </c>
      <c r="P1199" s="143" t="str">
        <f>IF(ISNA(VLOOKUP(CONCAT(M1199,C1199), 'Judge Count DO NOT EDIT'!H:H, 1, FALSE)), "ERROR","")</f>
        <v/>
      </c>
      <c r="Q1199" s="141"/>
      <c r="R1199" s="143"/>
      <c r="S1199" s="139" t="str">
        <f t="shared" si="2"/>
        <v>1138482</v>
      </c>
      <c r="T1199" s="141"/>
    </row>
    <row r="1200">
      <c r="A1200" s="137">
        <f>IFERROR(__xludf.DUMMYFUNCTION("""COMPUTED_VALUE"""),45352.55679153935)</f>
        <v>45352.55679</v>
      </c>
      <c r="B1200" s="138" t="str">
        <f>IFERROR(__xludf.DUMMYFUNCTION("""COMPUTED_VALUE"""),"Valeria Ochoa ")</f>
        <v>Valeria Ochoa </v>
      </c>
      <c r="C1200" s="138">
        <f>IFERROR(__xludf.DUMMYFUNCTION("""COMPUTED_VALUE"""),1219.0)</f>
        <v>1219</v>
      </c>
      <c r="D1200" s="139">
        <f>IFERROR(__xludf.DUMMYFUNCTION("""COMPUTED_VALUE"""),483.0)</f>
        <v>483</v>
      </c>
      <c r="E1200" s="138">
        <f>IFERROR(__xludf.DUMMYFUNCTION("""COMPUTED_VALUE"""),5.0)</f>
        <v>5</v>
      </c>
      <c r="F1200" s="138">
        <f>IFERROR(__xludf.DUMMYFUNCTION("""COMPUTED_VALUE"""),5.0)</f>
        <v>5</v>
      </c>
      <c r="G1200" s="138">
        <f>IFERROR(__xludf.DUMMYFUNCTION("""COMPUTED_VALUE"""),4.0)</f>
        <v>4</v>
      </c>
      <c r="H1200" s="138">
        <f>IFERROR(__xludf.DUMMYFUNCTION("""COMPUTED_VALUE"""),4.0)</f>
        <v>4</v>
      </c>
      <c r="I1200" s="138">
        <f>IFERROR(__xludf.DUMMYFUNCTION("""COMPUTED_VALUE"""),4.0)</f>
        <v>4</v>
      </c>
      <c r="J1200" s="138">
        <f>IFERROR(__xludf.DUMMYFUNCTION("""COMPUTED_VALUE"""),4.0)</f>
        <v>4</v>
      </c>
      <c r="K1200" s="138">
        <f>IFERROR(__xludf.DUMMYFUNCTION("""COMPUTED_VALUE"""),4.0)</f>
        <v>4</v>
      </c>
      <c r="L1200" s="138">
        <v>30.0</v>
      </c>
      <c r="M1200" s="140" t="str">
        <f>VLOOKUP(text(D1200, "#"),'Master Table'!$A:$F, 6, FALSE)</f>
        <v>H-3</v>
      </c>
      <c r="N1200" s="141"/>
      <c r="O1200" s="142" t="str">
        <f t="shared" si="1"/>
        <v/>
      </c>
      <c r="P1200" s="143" t="str">
        <f>IF(ISNA(VLOOKUP(CONCAT(M1200,C1200), 'Judge Count DO NOT EDIT'!H:H, 1, FALSE)), "ERROR","")</f>
        <v/>
      </c>
      <c r="Q1200" s="141"/>
      <c r="R1200" s="143"/>
      <c r="S1200" s="139" t="str">
        <f t="shared" si="2"/>
        <v>1219483</v>
      </c>
      <c r="T1200" s="141"/>
    </row>
    <row r="1201">
      <c r="A1201" s="137">
        <f>IFERROR(__xludf.DUMMYFUNCTION("""COMPUTED_VALUE"""),45352.571267569445)</f>
        <v>45352.57127</v>
      </c>
      <c r="B1201" s="138" t="str">
        <f>IFERROR(__xludf.DUMMYFUNCTION("""COMPUTED_VALUE"""),"Margaret Stack")</f>
        <v>Margaret Stack</v>
      </c>
      <c r="C1201" s="138">
        <f>IFERROR(__xludf.DUMMYFUNCTION("""COMPUTED_VALUE"""),1155.0)</f>
        <v>1155</v>
      </c>
      <c r="D1201" s="139">
        <f>IFERROR(__xludf.DUMMYFUNCTION("""COMPUTED_VALUE"""),483.0)</f>
        <v>483</v>
      </c>
      <c r="E1201" s="138">
        <f>IFERROR(__xludf.DUMMYFUNCTION("""COMPUTED_VALUE"""),5.0)</f>
        <v>5</v>
      </c>
      <c r="F1201" s="138">
        <f>IFERROR(__xludf.DUMMYFUNCTION("""COMPUTED_VALUE"""),4.0)</f>
        <v>4</v>
      </c>
      <c r="G1201" s="138">
        <f>IFERROR(__xludf.DUMMYFUNCTION("""COMPUTED_VALUE"""),4.0)</f>
        <v>4</v>
      </c>
      <c r="H1201" s="138">
        <f>IFERROR(__xludf.DUMMYFUNCTION("""COMPUTED_VALUE"""),5.0)</f>
        <v>5</v>
      </c>
      <c r="I1201" s="138">
        <f>IFERROR(__xludf.DUMMYFUNCTION("""COMPUTED_VALUE"""),4.0)</f>
        <v>4</v>
      </c>
      <c r="J1201" s="138">
        <f>IFERROR(__xludf.DUMMYFUNCTION("""COMPUTED_VALUE"""),5.0)</f>
        <v>5</v>
      </c>
      <c r="K1201" s="138">
        <f>IFERROR(__xludf.DUMMYFUNCTION("""COMPUTED_VALUE"""),4.0)</f>
        <v>4</v>
      </c>
      <c r="L1201" s="138">
        <v>31.0</v>
      </c>
      <c r="M1201" s="140" t="str">
        <f>VLOOKUP(text(D1201, "#"),'Master Table'!$A:$F, 6, FALSE)</f>
        <v>H-3</v>
      </c>
      <c r="N1201" s="141" t="str">
        <f>IFERROR(__xludf.DUMMYFUNCTION("""COMPUTED_VALUE"""),"The student is very knowledgeable and passionate about their work! They may consider reducing their poster presentation time (quite long), but I appreciated learning about all of their work!")</f>
        <v>The student is very knowledgeable and passionate about their work! They may consider reducing their poster presentation time (quite long), but I appreciated learning about all of their work!</v>
      </c>
      <c r="O1201" s="142" t="str">
        <f t="shared" si="1"/>
        <v/>
      </c>
      <c r="P1201" s="143" t="str">
        <f>IF(ISNA(VLOOKUP(CONCAT(M1201,C1201), 'Judge Count DO NOT EDIT'!H:H, 1, FALSE)), "ERROR","")</f>
        <v/>
      </c>
      <c r="Q1201" s="141"/>
      <c r="R1201" s="143"/>
      <c r="S1201" s="139" t="str">
        <f t="shared" si="2"/>
        <v>1155483</v>
      </c>
      <c r="T1201" s="141"/>
    </row>
    <row r="1202">
      <c r="A1202" s="137">
        <f>IFERROR(__xludf.DUMMYFUNCTION("""COMPUTED_VALUE"""),45352.61625327547)</f>
        <v>45352.61625</v>
      </c>
      <c r="B1202" s="138" t="str">
        <f>IFERROR(__xludf.DUMMYFUNCTION("""COMPUTED_VALUE"""),"Keith Chan")</f>
        <v>Keith Chan</v>
      </c>
      <c r="C1202" s="138">
        <f>IFERROR(__xludf.DUMMYFUNCTION("""COMPUTED_VALUE"""),1138.0)</f>
        <v>1138</v>
      </c>
      <c r="D1202" s="139">
        <f>IFERROR(__xludf.DUMMYFUNCTION("""COMPUTED_VALUE"""),483.0)</f>
        <v>483</v>
      </c>
      <c r="E1202" s="138">
        <f>IFERROR(__xludf.DUMMYFUNCTION("""COMPUTED_VALUE"""),4.0)</f>
        <v>4</v>
      </c>
      <c r="F1202" s="138">
        <f>IFERROR(__xludf.DUMMYFUNCTION("""COMPUTED_VALUE"""),4.0)</f>
        <v>4</v>
      </c>
      <c r="G1202" s="138">
        <f>IFERROR(__xludf.DUMMYFUNCTION("""COMPUTED_VALUE"""),4.0)</f>
        <v>4</v>
      </c>
      <c r="H1202" s="138">
        <f>IFERROR(__xludf.DUMMYFUNCTION("""COMPUTED_VALUE"""),4.0)</f>
        <v>4</v>
      </c>
      <c r="I1202" s="138">
        <f>IFERROR(__xludf.DUMMYFUNCTION("""COMPUTED_VALUE"""),4.0)</f>
        <v>4</v>
      </c>
      <c r="J1202" s="138">
        <f>IFERROR(__xludf.DUMMYFUNCTION("""COMPUTED_VALUE"""),4.0)</f>
        <v>4</v>
      </c>
      <c r="K1202" s="138">
        <f>IFERROR(__xludf.DUMMYFUNCTION("""COMPUTED_VALUE"""),4.0)</f>
        <v>4</v>
      </c>
      <c r="L1202" s="138">
        <v>28.0</v>
      </c>
      <c r="M1202" s="140" t="str">
        <f>VLOOKUP(text(D1202, "#"),'Master Table'!$A:$F, 6, FALSE)</f>
        <v>H-3</v>
      </c>
      <c r="N1202" s="141"/>
      <c r="O1202" s="142" t="str">
        <f t="shared" si="1"/>
        <v/>
      </c>
      <c r="P1202" s="143" t="str">
        <f>IF(ISNA(VLOOKUP(CONCAT(M1202,C1202), 'Judge Count DO NOT EDIT'!H:H, 1, FALSE)), "ERROR","")</f>
        <v/>
      </c>
      <c r="Q1202" s="141"/>
      <c r="R1202" s="143"/>
      <c r="S1202" s="139" t="str">
        <f t="shared" si="2"/>
        <v>1138483</v>
      </c>
      <c r="T1202" s="141"/>
    </row>
    <row r="1203">
      <c r="A1203" s="137">
        <f>IFERROR(__xludf.DUMMYFUNCTION("""COMPUTED_VALUE"""),45352.57380436343)</f>
        <v>45352.5738</v>
      </c>
      <c r="B1203" s="138" t="str">
        <f>IFERROR(__xludf.DUMMYFUNCTION("""COMPUTED_VALUE"""),"Valeria ochoa ")</f>
        <v>Valeria ochoa </v>
      </c>
      <c r="C1203" s="138">
        <f>IFERROR(__xludf.DUMMYFUNCTION("""COMPUTED_VALUE"""),1219.0)</f>
        <v>1219</v>
      </c>
      <c r="D1203" s="139">
        <f>IFERROR(__xludf.DUMMYFUNCTION("""COMPUTED_VALUE"""),484.0)</f>
        <v>484</v>
      </c>
      <c r="E1203" s="138">
        <f>IFERROR(__xludf.DUMMYFUNCTION("""COMPUTED_VALUE"""),5.0)</f>
        <v>5</v>
      </c>
      <c r="F1203" s="138">
        <f>IFERROR(__xludf.DUMMYFUNCTION("""COMPUTED_VALUE"""),4.0)</f>
        <v>4</v>
      </c>
      <c r="G1203" s="138">
        <f>IFERROR(__xludf.DUMMYFUNCTION("""COMPUTED_VALUE"""),4.0)</f>
        <v>4</v>
      </c>
      <c r="H1203" s="138">
        <f>IFERROR(__xludf.DUMMYFUNCTION("""COMPUTED_VALUE"""),4.0)</f>
        <v>4</v>
      </c>
      <c r="I1203" s="138">
        <f>IFERROR(__xludf.DUMMYFUNCTION("""COMPUTED_VALUE"""),5.0)</f>
        <v>5</v>
      </c>
      <c r="J1203" s="138">
        <f>IFERROR(__xludf.DUMMYFUNCTION("""COMPUTED_VALUE"""),5.0)</f>
        <v>5</v>
      </c>
      <c r="K1203" s="138">
        <f>IFERROR(__xludf.DUMMYFUNCTION("""COMPUTED_VALUE"""),5.0)</f>
        <v>5</v>
      </c>
      <c r="L1203" s="138">
        <v>32.0</v>
      </c>
      <c r="M1203" s="140" t="str">
        <f>VLOOKUP(text(D1203, "#"),'Master Table'!$A:$F, 6, FALSE)</f>
        <v>H-3</v>
      </c>
      <c r="N1203" s="141"/>
      <c r="O1203" s="142" t="str">
        <f t="shared" si="1"/>
        <v/>
      </c>
      <c r="P1203" s="143" t="str">
        <f>IF(ISNA(VLOOKUP(CONCAT(M1203,C1203), 'Judge Count DO NOT EDIT'!H:H, 1, FALSE)), "ERROR","")</f>
        <v/>
      </c>
      <c r="Q1203" s="141"/>
      <c r="R1203" s="143"/>
      <c r="S1203" s="139" t="str">
        <f t="shared" si="2"/>
        <v>1219484</v>
      </c>
      <c r="T1203" s="141"/>
    </row>
    <row r="1204">
      <c r="A1204" s="137">
        <f>IFERROR(__xludf.DUMMYFUNCTION("""COMPUTED_VALUE"""),45352.58381359954)</f>
        <v>45352.58381</v>
      </c>
      <c r="B1204" s="138" t="str">
        <f>IFERROR(__xludf.DUMMYFUNCTION("""COMPUTED_VALUE"""),"Margaret Stack")</f>
        <v>Margaret Stack</v>
      </c>
      <c r="C1204" s="138">
        <f>IFERROR(__xludf.DUMMYFUNCTION("""COMPUTED_VALUE"""),1155.0)</f>
        <v>1155</v>
      </c>
      <c r="D1204" s="139">
        <f>IFERROR(__xludf.DUMMYFUNCTION("""COMPUTED_VALUE"""),484.0)</f>
        <v>484</v>
      </c>
      <c r="E1204" s="138">
        <f>IFERROR(__xludf.DUMMYFUNCTION("""COMPUTED_VALUE"""),5.0)</f>
        <v>5</v>
      </c>
      <c r="F1204" s="138">
        <f>IFERROR(__xludf.DUMMYFUNCTION("""COMPUTED_VALUE"""),4.0)</f>
        <v>4</v>
      </c>
      <c r="G1204" s="138">
        <f>IFERROR(__xludf.DUMMYFUNCTION("""COMPUTED_VALUE"""),5.0)</f>
        <v>5</v>
      </c>
      <c r="H1204" s="138">
        <f>IFERROR(__xludf.DUMMYFUNCTION("""COMPUTED_VALUE"""),5.0)</f>
        <v>5</v>
      </c>
      <c r="I1204" s="138">
        <f>IFERROR(__xludf.DUMMYFUNCTION("""COMPUTED_VALUE"""),5.0)</f>
        <v>5</v>
      </c>
      <c r="J1204" s="138">
        <f>IFERROR(__xludf.DUMMYFUNCTION("""COMPUTED_VALUE"""),5.0)</f>
        <v>5</v>
      </c>
      <c r="K1204" s="138">
        <f>IFERROR(__xludf.DUMMYFUNCTION("""COMPUTED_VALUE"""),4.0)</f>
        <v>4</v>
      </c>
      <c r="L1204" s="138">
        <v>33.0</v>
      </c>
      <c r="M1204" s="140" t="str">
        <f>VLOOKUP(text(D1204, "#"),'Master Table'!$A:$F, 6, FALSE)</f>
        <v>H-3</v>
      </c>
      <c r="N1204" s="141" t="str">
        <f>IFERROR(__xludf.DUMMYFUNCTION("""COMPUTED_VALUE"""),"The student very good at explaining the concepts of their work and the implications. They use a variety of techniques and can discuss the future directions of work ")</f>
        <v>The student very good at explaining the concepts of their work and the implications. They use a variety of techniques and can discuss the future directions of work </v>
      </c>
      <c r="O1204" s="142" t="str">
        <f t="shared" si="1"/>
        <v/>
      </c>
      <c r="P1204" s="143" t="str">
        <f>IF(ISNA(VLOOKUP(CONCAT(M1204,C1204), 'Judge Count DO NOT EDIT'!H:H, 1, FALSE)), "ERROR","")</f>
        <v/>
      </c>
      <c r="Q1204" s="141"/>
      <c r="R1204" s="143"/>
      <c r="S1204" s="139" t="str">
        <f t="shared" si="2"/>
        <v>1155484</v>
      </c>
      <c r="T1204" s="141"/>
    </row>
    <row r="1205">
      <c r="A1205" s="137">
        <f>IFERROR(__xludf.DUMMYFUNCTION("""COMPUTED_VALUE"""),45352.59420040509)</f>
        <v>45352.5942</v>
      </c>
      <c r="B1205" s="138" t="str">
        <f>IFERROR(__xludf.DUMMYFUNCTION("""COMPUTED_VALUE"""),"Keith Chan")</f>
        <v>Keith Chan</v>
      </c>
      <c r="C1205" s="138">
        <f>IFERROR(__xludf.DUMMYFUNCTION("""COMPUTED_VALUE"""),1138.0)</f>
        <v>1138</v>
      </c>
      <c r="D1205" s="139">
        <f>IFERROR(__xludf.DUMMYFUNCTION("""COMPUTED_VALUE"""),484.0)</f>
        <v>484</v>
      </c>
      <c r="E1205" s="138">
        <f>IFERROR(__xludf.DUMMYFUNCTION("""COMPUTED_VALUE"""),4.0)</f>
        <v>4</v>
      </c>
      <c r="F1205" s="138">
        <f>IFERROR(__xludf.DUMMYFUNCTION("""COMPUTED_VALUE"""),5.0)</f>
        <v>5</v>
      </c>
      <c r="G1205" s="138">
        <f>IFERROR(__xludf.DUMMYFUNCTION("""COMPUTED_VALUE"""),5.0)</f>
        <v>5</v>
      </c>
      <c r="H1205" s="138">
        <f>IFERROR(__xludf.DUMMYFUNCTION("""COMPUTED_VALUE"""),5.0)</f>
        <v>5</v>
      </c>
      <c r="I1205" s="138">
        <f>IFERROR(__xludf.DUMMYFUNCTION("""COMPUTED_VALUE"""),5.0)</f>
        <v>5</v>
      </c>
      <c r="J1205" s="138">
        <f>IFERROR(__xludf.DUMMYFUNCTION("""COMPUTED_VALUE"""),4.0)</f>
        <v>4</v>
      </c>
      <c r="K1205" s="138">
        <f>IFERROR(__xludf.DUMMYFUNCTION("""COMPUTED_VALUE"""),5.0)</f>
        <v>5</v>
      </c>
      <c r="L1205" s="138">
        <v>33.0</v>
      </c>
      <c r="M1205" s="140" t="str">
        <f>VLOOKUP(text(D1205, "#"),'Master Table'!$A:$F, 6, FALSE)</f>
        <v>H-3</v>
      </c>
      <c r="N1205" s="141"/>
      <c r="O1205" s="142" t="str">
        <f t="shared" si="1"/>
        <v/>
      </c>
      <c r="P1205" s="143" t="str">
        <f>IF(ISNA(VLOOKUP(CONCAT(M1205,C1205), 'Judge Count DO NOT EDIT'!H:H, 1, FALSE)), "ERROR","")</f>
        <v/>
      </c>
      <c r="Q1205" s="141"/>
      <c r="R1205" s="143"/>
      <c r="S1205" s="139" t="str">
        <f t="shared" si="2"/>
        <v>1138484</v>
      </c>
      <c r="T1205" s="141"/>
    </row>
    <row r="1206">
      <c r="A1206" s="137">
        <f>IFERROR(__xludf.DUMMYFUNCTION("""COMPUTED_VALUE"""),45352.574345497684)</f>
        <v>45352.57435</v>
      </c>
      <c r="B1206" s="138" t="str">
        <f>IFERROR(__xludf.DUMMYFUNCTION("""COMPUTED_VALUE"""),"Valeria Ochoa ")</f>
        <v>Valeria Ochoa </v>
      </c>
      <c r="C1206" s="138">
        <f>IFERROR(__xludf.DUMMYFUNCTION("""COMPUTED_VALUE"""),1219.0)</f>
        <v>1219</v>
      </c>
      <c r="D1206" s="139">
        <f>IFERROR(__xludf.DUMMYFUNCTION("""COMPUTED_VALUE"""),485.0)</f>
        <v>485</v>
      </c>
      <c r="E1206" s="138">
        <f>IFERROR(__xludf.DUMMYFUNCTION("""COMPUTED_VALUE"""),5.0)</f>
        <v>5</v>
      </c>
      <c r="F1206" s="138">
        <f>IFERROR(__xludf.DUMMYFUNCTION("""COMPUTED_VALUE"""),5.0)</f>
        <v>5</v>
      </c>
      <c r="G1206" s="138">
        <f>IFERROR(__xludf.DUMMYFUNCTION("""COMPUTED_VALUE"""),5.0)</f>
        <v>5</v>
      </c>
      <c r="H1206" s="138">
        <f>IFERROR(__xludf.DUMMYFUNCTION("""COMPUTED_VALUE"""),5.0)</f>
        <v>5</v>
      </c>
      <c r="I1206" s="138">
        <f>IFERROR(__xludf.DUMMYFUNCTION("""COMPUTED_VALUE"""),5.0)</f>
        <v>5</v>
      </c>
      <c r="J1206" s="138">
        <f>IFERROR(__xludf.DUMMYFUNCTION("""COMPUTED_VALUE"""),5.0)</f>
        <v>5</v>
      </c>
      <c r="K1206" s="138">
        <f>IFERROR(__xludf.DUMMYFUNCTION("""COMPUTED_VALUE"""),5.0)</f>
        <v>5</v>
      </c>
      <c r="L1206" s="138">
        <v>35.0</v>
      </c>
      <c r="M1206" s="140" t="str">
        <f>VLOOKUP(text(D1206, "#"),'Master Table'!$A:$F, 6, FALSE)</f>
        <v>H-3</v>
      </c>
      <c r="N1206" s="141"/>
      <c r="O1206" s="142" t="str">
        <f t="shared" si="1"/>
        <v/>
      </c>
      <c r="P1206" s="143" t="str">
        <f>IF(ISNA(VLOOKUP(CONCAT(M1206,C1206), 'Judge Count DO NOT EDIT'!H:H, 1, FALSE)), "ERROR","")</f>
        <v/>
      </c>
      <c r="Q1206" s="141"/>
      <c r="R1206" s="143"/>
      <c r="S1206" s="139" t="str">
        <f t="shared" si="2"/>
        <v>1219485</v>
      </c>
      <c r="T1206" s="141"/>
    </row>
    <row r="1207">
      <c r="A1207" s="137">
        <f>IFERROR(__xludf.DUMMYFUNCTION("""COMPUTED_VALUE"""),45352.59513678241)</f>
        <v>45352.59514</v>
      </c>
      <c r="B1207" s="138" t="str">
        <f>IFERROR(__xludf.DUMMYFUNCTION("""COMPUTED_VALUE"""),"Keith Chan")</f>
        <v>Keith Chan</v>
      </c>
      <c r="C1207" s="138">
        <f>IFERROR(__xludf.DUMMYFUNCTION("""COMPUTED_VALUE"""),1138.0)</f>
        <v>1138</v>
      </c>
      <c r="D1207" s="139">
        <f>IFERROR(__xludf.DUMMYFUNCTION("""COMPUTED_VALUE"""),485.0)</f>
        <v>485</v>
      </c>
      <c r="E1207" s="138">
        <f>IFERROR(__xludf.DUMMYFUNCTION("""COMPUTED_VALUE"""),5.0)</f>
        <v>5</v>
      </c>
      <c r="F1207" s="138">
        <f>IFERROR(__xludf.DUMMYFUNCTION("""COMPUTED_VALUE"""),5.0)</f>
        <v>5</v>
      </c>
      <c r="G1207" s="138">
        <f>IFERROR(__xludf.DUMMYFUNCTION("""COMPUTED_VALUE"""),5.0)</f>
        <v>5</v>
      </c>
      <c r="H1207" s="138">
        <f>IFERROR(__xludf.DUMMYFUNCTION("""COMPUTED_VALUE"""),5.0)</f>
        <v>5</v>
      </c>
      <c r="I1207" s="138">
        <f>IFERROR(__xludf.DUMMYFUNCTION("""COMPUTED_VALUE"""),5.0)</f>
        <v>5</v>
      </c>
      <c r="J1207" s="138">
        <f>IFERROR(__xludf.DUMMYFUNCTION("""COMPUTED_VALUE"""),5.0)</f>
        <v>5</v>
      </c>
      <c r="K1207" s="138">
        <f>IFERROR(__xludf.DUMMYFUNCTION("""COMPUTED_VALUE"""),5.0)</f>
        <v>5</v>
      </c>
      <c r="L1207" s="138">
        <v>35.0</v>
      </c>
      <c r="M1207" s="140" t="str">
        <f>VLOOKUP(text(D1207, "#"),'Master Table'!$A:$F, 6, FALSE)</f>
        <v>H-3</v>
      </c>
      <c r="N1207" s="141"/>
      <c r="O1207" s="142" t="str">
        <f t="shared" si="1"/>
        <v/>
      </c>
      <c r="P1207" s="143" t="str">
        <f>IF(ISNA(VLOOKUP(CONCAT(M1207,C1207), 'Judge Count DO NOT EDIT'!H:H, 1, FALSE)), "ERROR","")</f>
        <v/>
      </c>
      <c r="Q1207" s="141"/>
      <c r="R1207" s="143"/>
      <c r="S1207" s="139" t="str">
        <f t="shared" si="2"/>
        <v>1138485</v>
      </c>
      <c r="T1207" s="141"/>
    </row>
    <row r="1208">
      <c r="A1208" s="137">
        <f>IFERROR(__xludf.DUMMYFUNCTION("""COMPUTED_VALUE"""),45352.61320638889)</f>
        <v>45352.61321</v>
      </c>
      <c r="B1208" s="138" t="str">
        <f>IFERROR(__xludf.DUMMYFUNCTION("""COMPUTED_VALUE"""),"Margaret Stack")</f>
        <v>Margaret Stack</v>
      </c>
      <c r="C1208" s="138">
        <f>IFERROR(__xludf.DUMMYFUNCTION("""COMPUTED_VALUE"""),1155.0)</f>
        <v>1155</v>
      </c>
      <c r="D1208" s="139">
        <f>IFERROR(__xludf.DUMMYFUNCTION("""COMPUTED_VALUE"""),485.0)</f>
        <v>485</v>
      </c>
      <c r="E1208" s="138">
        <f>IFERROR(__xludf.DUMMYFUNCTION("""COMPUTED_VALUE"""),4.0)</f>
        <v>4</v>
      </c>
      <c r="F1208" s="138">
        <f>IFERROR(__xludf.DUMMYFUNCTION("""COMPUTED_VALUE"""),4.0)</f>
        <v>4</v>
      </c>
      <c r="G1208" s="138">
        <f>IFERROR(__xludf.DUMMYFUNCTION("""COMPUTED_VALUE"""),4.0)</f>
        <v>4</v>
      </c>
      <c r="H1208" s="138">
        <f>IFERROR(__xludf.DUMMYFUNCTION("""COMPUTED_VALUE"""),4.0)</f>
        <v>4</v>
      </c>
      <c r="I1208" s="138">
        <f>IFERROR(__xludf.DUMMYFUNCTION("""COMPUTED_VALUE"""),4.0)</f>
        <v>4</v>
      </c>
      <c r="J1208" s="138">
        <f>IFERROR(__xludf.DUMMYFUNCTION("""COMPUTED_VALUE"""),3.0)</f>
        <v>3</v>
      </c>
      <c r="K1208" s="138">
        <f>IFERROR(__xludf.DUMMYFUNCTION("""COMPUTED_VALUE"""),5.0)</f>
        <v>5</v>
      </c>
      <c r="L1208" s="138">
        <v>28.0</v>
      </c>
      <c r="M1208" s="140" t="str">
        <f>VLOOKUP(text(D1208, "#"),'Master Table'!$A:$F, 6, FALSE)</f>
        <v>H-3</v>
      </c>
      <c r="N1208" s="141" t="str">
        <f>IFERROR(__xludf.DUMMYFUNCTION("""COMPUTED_VALUE"""),"The students did a great job of presenting, although a bit more explanation on background could be helpful. They were knowledgeable about their work. ")</f>
        <v>The students did a great job of presenting, although a bit more explanation on background could be helpful. They were knowledgeable about their work. </v>
      </c>
      <c r="O1208" s="142" t="str">
        <f t="shared" si="1"/>
        <v/>
      </c>
      <c r="P1208" s="143" t="str">
        <f>IF(ISNA(VLOOKUP(CONCAT(M1208,C1208), 'Judge Count DO NOT EDIT'!H:H, 1, FALSE)), "ERROR","")</f>
        <v/>
      </c>
      <c r="Q1208" s="141"/>
      <c r="R1208" s="143"/>
      <c r="S1208" s="139" t="str">
        <f t="shared" si="2"/>
        <v>1155485</v>
      </c>
      <c r="T1208" s="141"/>
    </row>
    <row r="1209">
      <c r="A1209" s="137">
        <f>IFERROR(__xludf.DUMMYFUNCTION("""COMPUTED_VALUE"""),45352.55131363426)</f>
        <v>45352.55131</v>
      </c>
      <c r="B1209" s="138" t="str">
        <f>IFERROR(__xludf.DUMMYFUNCTION("""COMPUTED_VALUE"""),"Margaret Stack")</f>
        <v>Margaret Stack</v>
      </c>
      <c r="C1209" s="138">
        <f>IFERROR(__xludf.DUMMYFUNCTION("""COMPUTED_VALUE"""),1155.0)</f>
        <v>1155</v>
      </c>
      <c r="D1209" s="139">
        <f>IFERROR(__xludf.DUMMYFUNCTION("""COMPUTED_VALUE"""),486.0)</f>
        <v>486</v>
      </c>
      <c r="E1209" s="138">
        <f>IFERROR(__xludf.DUMMYFUNCTION("""COMPUTED_VALUE"""),3.0)</f>
        <v>3</v>
      </c>
      <c r="F1209" s="138">
        <f>IFERROR(__xludf.DUMMYFUNCTION("""COMPUTED_VALUE"""),3.0)</f>
        <v>3</v>
      </c>
      <c r="G1209" s="138">
        <f>IFERROR(__xludf.DUMMYFUNCTION("""COMPUTED_VALUE"""),3.0)</f>
        <v>3</v>
      </c>
      <c r="H1209" s="138">
        <f>IFERROR(__xludf.DUMMYFUNCTION("""COMPUTED_VALUE"""),3.0)</f>
        <v>3</v>
      </c>
      <c r="I1209" s="138">
        <f>IFERROR(__xludf.DUMMYFUNCTION("""COMPUTED_VALUE"""),4.0)</f>
        <v>4</v>
      </c>
      <c r="J1209" s="138">
        <f>IFERROR(__xludf.DUMMYFUNCTION("""COMPUTED_VALUE"""),4.0)</f>
        <v>4</v>
      </c>
      <c r="K1209" s="138">
        <f>IFERROR(__xludf.DUMMYFUNCTION("""COMPUTED_VALUE"""),5.0)</f>
        <v>5</v>
      </c>
      <c r="L1209" s="138">
        <v>25.0</v>
      </c>
      <c r="M1209" s="140" t="str">
        <f>VLOOKUP(text(D1209, "#"),'Master Table'!$A:$F, 6, FALSE)</f>
        <v>H-3</v>
      </c>
      <c r="N1209" s="141" t="str">
        <f>IFERROR(__xludf.DUMMYFUNCTION("""COMPUTED_VALUE"""),"The student was knowledgeable about their subject, but the poster could contain further information and data. ")</f>
        <v>The student was knowledgeable about their subject, but the poster could contain further information and data. </v>
      </c>
      <c r="O1209" s="142" t="str">
        <f t="shared" si="1"/>
        <v/>
      </c>
      <c r="P1209" s="143" t="str">
        <f>IF(ISNA(VLOOKUP(CONCAT(M1209,C1209), 'Judge Count DO NOT EDIT'!H:H, 1, FALSE)), "ERROR","")</f>
        <v/>
      </c>
      <c r="Q1209" s="141"/>
      <c r="R1209" s="143"/>
      <c r="S1209" s="139" t="str">
        <f t="shared" si="2"/>
        <v>1155486</v>
      </c>
      <c r="T1209" s="141"/>
    </row>
    <row r="1210">
      <c r="A1210" s="137">
        <f>IFERROR(__xludf.DUMMYFUNCTION("""COMPUTED_VALUE"""),45352.57509247685)</f>
        <v>45352.57509</v>
      </c>
      <c r="B1210" s="138" t="str">
        <f>IFERROR(__xludf.DUMMYFUNCTION("""COMPUTED_VALUE"""),"Valeria Ochoa ")</f>
        <v>Valeria Ochoa </v>
      </c>
      <c r="C1210" s="138">
        <f>IFERROR(__xludf.DUMMYFUNCTION("""COMPUTED_VALUE"""),1219.0)</f>
        <v>1219</v>
      </c>
      <c r="D1210" s="139">
        <f>IFERROR(__xludf.DUMMYFUNCTION("""COMPUTED_VALUE"""),486.0)</f>
        <v>486</v>
      </c>
      <c r="E1210" s="138">
        <f>IFERROR(__xludf.DUMMYFUNCTION("""COMPUTED_VALUE"""),4.0)</f>
        <v>4</v>
      </c>
      <c r="F1210" s="138">
        <f>IFERROR(__xludf.DUMMYFUNCTION("""COMPUTED_VALUE"""),4.0)</f>
        <v>4</v>
      </c>
      <c r="G1210" s="138">
        <f>IFERROR(__xludf.DUMMYFUNCTION("""COMPUTED_VALUE"""),3.0)</f>
        <v>3</v>
      </c>
      <c r="H1210" s="138">
        <f>IFERROR(__xludf.DUMMYFUNCTION("""COMPUTED_VALUE"""),4.0)</f>
        <v>4</v>
      </c>
      <c r="I1210" s="138">
        <f>IFERROR(__xludf.DUMMYFUNCTION("""COMPUTED_VALUE"""),4.0)</f>
        <v>4</v>
      </c>
      <c r="J1210" s="138">
        <f>IFERROR(__xludf.DUMMYFUNCTION("""COMPUTED_VALUE"""),3.0)</f>
        <v>3</v>
      </c>
      <c r="K1210" s="138">
        <f>IFERROR(__xludf.DUMMYFUNCTION("""COMPUTED_VALUE"""),3.0)</f>
        <v>3</v>
      </c>
      <c r="L1210" s="138">
        <v>25.0</v>
      </c>
      <c r="M1210" s="140" t="str">
        <f>VLOOKUP(text(D1210, "#"),'Master Table'!$A:$F, 6, FALSE)</f>
        <v>H-3</v>
      </c>
      <c r="N1210" s="141"/>
      <c r="O1210" s="142" t="str">
        <f t="shared" si="1"/>
        <v/>
      </c>
      <c r="P1210" s="143" t="str">
        <f>IF(ISNA(VLOOKUP(CONCAT(M1210,C1210), 'Judge Count DO NOT EDIT'!H:H, 1, FALSE)), "ERROR","")</f>
        <v/>
      </c>
      <c r="Q1210" s="141"/>
      <c r="R1210" s="143"/>
      <c r="S1210" s="139" t="str">
        <f t="shared" si="2"/>
        <v>1219486</v>
      </c>
      <c r="T1210" s="141"/>
    </row>
    <row r="1211">
      <c r="A1211" s="137">
        <f>IFERROR(__xludf.DUMMYFUNCTION("""COMPUTED_VALUE"""),45352.59556366898)</f>
        <v>45352.59556</v>
      </c>
      <c r="B1211" s="138" t="str">
        <f>IFERROR(__xludf.DUMMYFUNCTION("""COMPUTED_VALUE"""),"Keith Chan")</f>
        <v>Keith Chan</v>
      </c>
      <c r="C1211" s="138">
        <f>IFERROR(__xludf.DUMMYFUNCTION("""COMPUTED_VALUE"""),1138.0)</f>
        <v>1138</v>
      </c>
      <c r="D1211" s="139">
        <f>IFERROR(__xludf.DUMMYFUNCTION("""COMPUTED_VALUE"""),486.0)</f>
        <v>486</v>
      </c>
      <c r="E1211" s="138">
        <f>IFERROR(__xludf.DUMMYFUNCTION("""COMPUTED_VALUE"""),4.0)</f>
        <v>4</v>
      </c>
      <c r="F1211" s="138">
        <f>IFERROR(__xludf.DUMMYFUNCTION("""COMPUTED_VALUE"""),4.0)</f>
        <v>4</v>
      </c>
      <c r="G1211" s="138">
        <f>IFERROR(__xludf.DUMMYFUNCTION("""COMPUTED_VALUE"""),4.0)</f>
        <v>4</v>
      </c>
      <c r="H1211" s="138">
        <f>IFERROR(__xludf.DUMMYFUNCTION("""COMPUTED_VALUE"""),4.0)</f>
        <v>4</v>
      </c>
      <c r="I1211" s="138">
        <f>IFERROR(__xludf.DUMMYFUNCTION("""COMPUTED_VALUE"""),4.0)</f>
        <v>4</v>
      </c>
      <c r="J1211" s="138">
        <f>IFERROR(__xludf.DUMMYFUNCTION("""COMPUTED_VALUE"""),4.0)</f>
        <v>4</v>
      </c>
      <c r="K1211" s="138">
        <f>IFERROR(__xludf.DUMMYFUNCTION("""COMPUTED_VALUE"""),4.0)</f>
        <v>4</v>
      </c>
      <c r="L1211" s="138">
        <v>28.0</v>
      </c>
      <c r="M1211" s="140" t="str">
        <f>VLOOKUP(text(D1211, "#"),'Master Table'!$A:$F, 6, FALSE)</f>
        <v>H-3</v>
      </c>
      <c r="N1211" s="141"/>
      <c r="O1211" s="142" t="str">
        <f t="shared" si="1"/>
        <v/>
      </c>
      <c r="P1211" s="143" t="str">
        <f>IF(ISNA(VLOOKUP(CONCAT(M1211,C1211), 'Judge Count DO NOT EDIT'!H:H, 1, FALSE)), "ERROR","")</f>
        <v/>
      </c>
      <c r="Q1211" s="141"/>
      <c r="R1211" s="143"/>
      <c r="S1211" s="139" t="str">
        <f t="shared" si="2"/>
        <v>1138486</v>
      </c>
      <c r="T1211" s="141"/>
    </row>
    <row r="1212">
      <c r="A1212" s="137">
        <f>IFERROR(__xludf.DUMMYFUNCTION("""COMPUTED_VALUE"""),45352.57580145833)</f>
        <v>45352.5758</v>
      </c>
      <c r="B1212" s="138" t="str">
        <f>IFERROR(__xludf.DUMMYFUNCTION("""COMPUTED_VALUE"""),"Valeria Ochoa ")</f>
        <v>Valeria Ochoa </v>
      </c>
      <c r="C1212" s="138">
        <f>IFERROR(__xludf.DUMMYFUNCTION("""COMPUTED_VALUE"""),1219.0)</f>
        <v>1219</v>
      </c>
      <c r="D1212" s="139">
        <f>IFERROR(__xludf.DUMMYFUNCTION("""COMPUTED_VALUE"""),488.0)</f>
        <v>488</v>
      </c>
      <c r="E1212" s="138">
        <f>IFERROR(__xludf.DUMMYFUNCTION("""COMPUTED_VALUE"""),4.0)</f>
        <v>4</v>
      </c>
      <c r="F1212" s="138">
        <f>IFERROR(__xludf.DUMMYFUNCTION("""COMPUTED_VALUE"""),4.0)</f>
        <v>4</v>
      </c>
      <c r="G1212" s="138">
        <f>IFERROR(__xludf.DUMMYFUNCTION("""COMPUTED_VALUE"""),4.0)</f>
        <v>4</v>
      </c>
      <c r="H1212" s="138">
        <f>IFERROR(__xludf.DUMMYFUNCTION("""COMPUTED_VALUE"""),4.0)</f>
        <v>4</v>
      </c>
      <c r="I1212" s="138">
        <f>IFERROR(__xludf.DUMMYFUNCTION("""COMPUTED_VALUE"""),4.0)</f>
        <v>4</v>
      </c>
      <c r="J1212" s="138">
        <f>IFERROR(__xludf.DUMMYFUNCTION("""COMPUTED_VALUE"""),3.0)</f>
        <v>3</v>
      </c>
      <c r="K1212" s="138">
        <f>IFERROR(__xludf.DUMMYFUNCTION("""COMPUTED_VALUE"""),3.0)</f>
        <v>3</v>
      </c>
      <c r="L1212" s="138">
        <v>26.0</v>
      </c>
      <c r="M1212" s="140" t="str">
        <f>VLOOKUP(text(D1212, "#"),'Master Table'!$A:$F, 6, FALSE)</f>
        <v>H-3</v>
      </c>
      <c r="N1212" s="141"/>
      <c r="O1212" s="142" t="str">
        <f t="shared" si="1"/>
        <v/>
      </c>
      <c r="P1212" s="143" t="str">
        <f>IF(ISNA(VLOOKUP(CONCAT(M1212,C1212), 'Judge Count DO NOT EDIT'!H:H, 1, FALSE)), "ERROR","")</f>
        <v/>
      </c>
      <c r="Q1212" s="141"/>
      <c r="R1212" s="143"/>
      <c r="S1212" s="139" t="str">
        <f t="shared" si="2"/>
        <v>1219488</v>
      </c>
      <c r="T1212" s="141"/>
    </row>
    <row r="1213">
      <c r="A1213" s="137">
        <f>IFERROR(__xludf.DUMMYFUNCTION("""COMPUTED_VALUE"""),45352.57806392361)</f>
        <v>45352.57806</v>
      </c>
      <c r="B1213" s="138" t="str">
        <f>IFERROR(__xludf.DUMMYFUNCTION("""COMPUTED_VALUE"""),"Margaret Stack")</f>
        <v>Margaret Stack</v>
      </c>
      <c r="C1213" s="138">
        <f>IFERROR(__xludf.DUMMYFUNCTION("""COMPUTED_VALUE"""),1155.0)</f>
        <v>1155</v>
      </c>
      <c r="D1213" s="139">
        <f>IFERROR(__xludf.DUMMYFUNCTION("""COMPUTED_VALUE"""),488.0)</f>
        <v>488</v>
      </c>
      <c r="E1213" s="138">
        <f>IFERROR(__xludf.DUMMYFUNCTION("""COMPUTED_VALUE"""),5.0)</f>
        <v>5</v>
      </c>
      <c r="F1213" s="138">
        <f>IFERROR(__xludf.DUMMYFUNCTION("""COMPUTED_VALUE"""),4.0)</f>
        <v>4</v>
      </c>
      <c r="G1213" s="138">
        <f>IFERROR(__xludf.DUMMYFUNCTION("""COMPUTED_VALUE"""),5.0)</f>
        <v>5</v>
      </c>
      <c r="H1213" s="138">
        <f>IFERROR(__xludf.DUMMYFUNCTION("""COMPUTED_VALUE"""),4.0)</f>
        <v>4</v>
      </c>
      <c r="I1213" s="138">
        <f>IFERROR(__xludf.DUMMYFUNCTION("""COMPUTED_VALUE"""),5.0)</f>
        <v>5</v>
      </c>
      <c r="J1213" s="138">
        <f>IFERROR(__xludf.DUMMYFUNCTION("""COMPUTED_VALUE"""),5.0)</f>
        <v>5</v>
      </c>
      <c r="K1213" s="138">
        <f>IFERROR(__xludf.DUMMYFUNCTION("""COMPUTED_VALUE"""),5.0)</f>
        <v>5</v>
      </c>
      <c r="L1213" s="138">
        <v>33.0</v>
      </c>
      <c r="M1213" s="140" t="str">
        <f>VLOOKUP(text(D1213, "#"),'Master Table'!$A:$F, 6, FALSE)</f>
        <v>H-3</v>
      </c>
      <c r="N1213" s="141" t="str">
        <f>IFERROR(__xludf.DUMMYFUNCTION("""COMPUTED_VALUE"""),"The student was very good at answering questions and addressing limitations or challenges in their research. The explanations were clear. Well done!")</f>
        <v>The student was very good at answering questions and addressing limitations or challenges in their research. The explanations were clear. Well done!</v>
      </c>
      <c r="O1213" s="142" t="str">
        <f t="shared" si="1"/>
        <v/>
      </c>
      <c r="P1213" s="143" t="str">
        <f>IF(ISNA(VLOOKUP(CONCAT(M1213,C1213), 'Judge Count DO NOT EDIT'!H:H, 1, FALSE)), "ERROR","")</f>
        <v/>
      </c>
      <c r="Q1213" s="141"/>
      <c r="R1213" s="143"/>
      <c r="S1213" s="139" t="str">
        <f t="shared" si="2"/>
        <v>1155488</v>
      </c>
      <c r="T1213" s="141"/>
    </row>
    <row r="1214">
      <c r="A1214" s="137">
        <f>IFERROR(__xludf.DUMMYFUNCTION("""COMPUTED_VALUE"""),45352.59619358796)</f>
        <v>45352.59619</v>
      </c>
      <c r="B1214" s="138" t="str">
        <f>IFERROR(__xludf.DUMMYFUNCTION("""COMPUTED_VALUE"""),"Keith Chan")</f>
        <v>Keith Chan</v>
      </c>
      <c r="C1214" s="138">
        <f>IFERROR(__xludf.DUMMYFUNCTION("""COMPUTED_VALUE"""),1138.0)</f>
        <v>1138</v>
      </c>
      <c r="D1214" s="139">
        <f>IFERROR(__xludf.DUMMYFUNCTION("""COMPUTED_VALUE"""),488.0)</f>
        <v>488</v>
      </c>
      <c r="E1214" s="138">
        <f>IFERROR(__xludf.DUMMYFUNCTION("""COMPUTED_VALUE"""),4.0)</f>
        <v>4</v>
      </c>
      <c r="F1214" s="138">
        <f>IFERROR(__xludf.DUMMYFUNCTION("""COMPUTED_VALUE"""),4.0)</f>
        <v>4</v>
      </c>
      <c r="G1214" s="138">
        <f>IFERROR(__xludf.DUMMYFUNCTION("""COMPUTED_VALUE"""),5.0)</f>
        <v>5</v>
      </c>
      <c r="H1214" s="138">
        <f>IFERROR(__xludf.DUMMYFUNCTION("""COMPUTED_VALUE"""),4.0)</f>
        <v>4</v>
      </c>
      <c r="I1214" s="138">
        <f>IFERROR(__xludf.DUMMYFUNCTION("""COMPUTED_VALUE"""),5.0)</f>
        <v>5</v>
      </c>
      <c r="J1214" s="138">
        <f>IFERROR(__xludf.DUMMYFUNCTION("""COMPUTED_VALUE"""),5.0)</f>
        <v>5</v>
      </c>
      <c r="K1214" s="138">
        <f>IFERROR(__xludf.DUMMYFUNCTION("""COMPUTED_VALUE"""),5.0)</f>
        <v>5</v>
      </c>
      <c r="L1214" s="138">
        <v>32.0</v>
      </c>
      <c r="M1214" s="140" t="str">
        <f>VLOOKUP(text(D1214, "#"),'Master Table'!$A:$F, 6, FALSE)</f>
        <v>H-3</v>
      </c>
      <c r="N1214" s="141"/>
      <c r="O1214" s="142" t="str">
        <f t="shared" si="1"/>
        <v/>
      </c>
      <c r="P1214" s="143" t="str">
        <f>IF(ISNA(VLOOKUP(CONCAT(M1214,C1214), 'Judge Count DO NOT EDIT'!H:H, 1, FALSE)), "ERROR","")</f>
        <v/>
      </c>
      <c r="Q1214" s="141"/>
      <c r="R1214" s="143"/>
      <c r="S1214" s="139" t="str">
        <f t="shared" si="2"/>
        <v>1138488</v>
      </c>
      <c r="T1214" s="141"/>
    </row>
    <row r="1215">
      <c r="A1215" s="137">
        <f>IFERROR(__xludf.DUMMYFUNCTION("""COMPUTED_VALUE"""),45352.546812002314)</f>
        <v>45352.54681</v>
      </c>
      <c r="B1215" s="138" t="str">
        <f>IFERROR(__xludf.DUMMYFUNCTION("""COMPUTED_VALUE"""),"Judy Audas")</f>
        <v>Judy Audas</v>
      </c>
      <c r="C1215" s="138">
        <f>IFERROR(__xludf.DUMMYFUNCTION("""COMPUTED_VALUE"""),1164.0)</f>
        <v>1164</v>
      </c>
      <c r="D1215" s="139">
        <f>IFERROR(__xludf.DUMMYFUNCTION("""COMPUTED_VALUE"""),489.0)</f>
        <v>489</v>
      </c>
      <c r="E1215" s="138">
        <f>IFERROR(__xludf.DUMMYFUNCTION("""COMPUTED_VALUE"""),4.0)</f>
        <v>4</v>
      </c>
      <c r="F1215" s="138">
        <f>IFERROR(__xludf.DUMMYFUNCTION("""COMPUTED_VALUE"""),3.0)</f>
        <v>3</v>
      </c>
      <c r="G1215" s="138">
        <f>IFERROR(__xludf.DUMMYFUNCTION("""COMPUTED_VALUE"""),3.0)</f>
        <v>3</v>
      </c>
      <c r="H1215" s="138">
        <f>IFERROR(__xludf.DUMMYFUNCTION("""COMPUTED_VALUE"""),3.0)</f>
        <v>3</v>
      </c>
      <c r="I1215" s="138">
        <f>IFERROR(__xludf.DUMMYFUNCTION("""COMPUTED_VALUE"""),4.0)</f>
        <v>4</v>
      </c>
      <c r="J1215" s="138">
        <f>IFERROR(__xludf.DUMMYFUNCTION("""COMPUTED_VALUE"""),4.0)</f>
        <v>4</v>
      </c>
      <c r="K1215" s="138">
        <f>IFERROR(__xludf.DUMMYFUNCTION("""COMPUTED_VALUE"""),4.0)</f>
        <v>4</v>
      </c>
      <c r="L1215" s="138">
        <v>25.0</v>
      </c>
      <c r="M1215" s="140" t="str">
        <f>VLOOKUP(text(D1215, "#"),'Master Table'!$A:$F, 6, FALSE)</f>
        <v>H-4</v>
      </c>
      <c r="N1215" s="141" t="str">
        <f>IFERROR(__xludf.DUMMYFUNCTION("""COMPUTED_VALUE"""),"Excellent presentation skills and ability to answer questions. Poster could have provided more clarity about the research methodology and why it was chosen. ")</f>
        <v>Excellent presentation skills and ability to answer questions. Poster could have provided more clarity about the research methodology and why it was chosen. </v>
      </c>
      <c r="O1215" s="142" t="str">
        <f t="shared" si="1"/>
        <v/>
      </c>
      <c r="P1215" s="143" t="str">
        <f>IF(ISNA(VLOOKUP(CONCAT(M1215,C1215), 'Judge Count DO NOT EDIT'!H:H, 1, FALSE)), "ERROR","")</f>
        <v/>
      </c>
      <c r="Q1215" s="141"/>
      <c r="R1215" s="143"/>
      <c r="S1215" s="139" t="str">
        <f t="shared" si="2"/>
        <v>1164489</v>
      </c>
      <c r="T1215" s="141"/>
    </row>
    <row r="1216">
      <c r="A1216" s="137">
        <f>IFERROR(__xludf.DUMMYFUNCTION("""COMPUTED_VALUE"""),45352.566885636574)</f>
        <v>45352.56689</v>
      </c>
      <c r="B1216" s="138" t="str">
        <f>IFERROR(__xludf.DUMMYFUNCTION("""COMPUTED_VALUE"""),"Amanda Brown")</f>
        <v>Amanda Brown</v>
      </c>
      <c r="C1216" s="138">
        <f>IFERROR(__xludf.DUMMYFUNCTION("""COMPUTED_VALUE"""),1190.0)</f>
        <v>1190</v>
      </c>
      <c r="D1216" s="139">
        <f>IFERROR(__xludf.DUMMYFUNCTION("""COMPUTED_VALUE"""),489.0)</f>
        <v>489</v>
      </c>
      <c r="E1216" s="138">
        <f>IFERROR(__xludf.DUMMYFUNCTION("""COMPUTED_VALUE"""),4.0)</f>
        <v>4</v>
      </c>
      <c r="F1216" s="138">
        <f>IFERROR(__xludf.DUMMYFUNCTION("""COMPUTED_VALUE"""),3.0)</f>
        <v>3</v>
      </c>
      <c r="G1216" s="138">
        <f>IFERROR(__xludf.DUMMYFUNCTION("""COMPUTED_VALUE"""),4.0)</f>
        <v>4</v>
      </c>
      <c r="H1216" s="138">
        <f>IFERROR(__xludf.DUMMYFUNCTION("""COMPUTED_VALUE"""),4.0)</f>
        <v>4</v>
      </c>
      <c r="I1216" s="138">
        <f>IFERROR(__xludf.DUMMYFUNCTION("""COMPUTED_VALUE"""),5.0)</f>
        <v>5</v>
      </c>
      <c r="J1216" s="138">
        <f>IFERROR(__xludf.DUMMYFUNCTION("""COMPUTED_VALUE"""),4.0)</f>
        <v>4</v>
      </c>
      <c r="K1216" s="138">
        <f>IFERROR(__xludf.DUMMYFUNCTION("""COMPUTED_VALUE"""),4.0)</f>
        <v>4</v>
      </c>
      <c r="L1216" s="138">
        <v>28.0</v>
      </c>
      <c r="M1216" s="140" t="str">
        <f>VLOOKUP(text(D1216, "#"),'Master Table'!$A:$F, 6, FALSE)</f>
        <v>H-4</v>
      </c>
      <c r="N1216" s="141"/>
      <c r="O1216" s="142" t="str">
        <f t="shared" si="1"/>
        <v/>
      </c>
      <c r="P1216" s="143" t="str">
        <f>IF(ISNA(VLOOKUP(CONCAT(M1216,C1216), 'Judge Count DO NOT EDIT'!H:H, 1, FALSE)), "ERROR","")</f>
        <v/>
      </c>
      <c r="Q1216" s="141"/>
      <c r="R1216" s="143"/>
      <c r="S1216" s="139" t="str">
        <f t="shared" si="2"/>
        <v>1190489</v>
      </c>
      <c r="T1216" s="141"/>
    </row>
    <row r="1217">
      <c r="A1217" s="137">
        <f>IFERROR(__xludf.DUMMYFUNCTION("""COMPUTED_VALUE"""),45352.571884398145)</f>
        <v>45352.57188</v>
      </c>
      <c r="B1217" s="138" t="str">
        <f>IFERROR(__xludf.DUMMYFUNCTION("""COMPUTED_VALUE"""),"Krishna Ramamoorthy")</f>
        <v>Krishna Ramamoorthy</v>
      </c>
      <c r="C1217" s="138">
        <f>IFERROR(__xludf.DUMMYFUNCTION("""COMPUTED_VALUE"""),1226.0)</f>
        <v>1226</v>
      </c>
      <c r="D1217" s="139">
        <f>IFERROR(__xludf.DUMMYFUNCTION("""COMPUTED_VALUE"""),489.0)</f>
        <v>489</v>
      </c>
      <c r="E1217" s="138">
        <f>IFERROR(__xludf.DUMMYFUNCTION("""COMPUTED_VALUE"""),4.0)</f>
        <v>4</v>
      </c>
      <c r="F1217" s="138">
        <f>IFERROR(__xludf.DUMMYFUNCTION("""COMPUTED_VALUE"""),4.0)</f>
        <v>4</v>
      </c>
      <c r="G1217" s="138">
        <f>IFERROR(__xludf.DUMMYFUNCTION("""COMPUTED_VALUE"""),4.0)</f>
        <v>4</v>
      </c>
      <c r="H1217" s="138">
        <f>IFERROR(__xludf.DUMMYFUNCTION("""COMPUTED_VALUE"""),3.0)</f>
        <v>3</v>
      </c>
      <c r="I1217" s="138">
        <f>IFERROR(__xludf.DUMMYFUNCTION("""COMPUTED_VALUE"""),3.0)</f>
        <v>3</v>
      </c>
      <c r="J1217" s="138">
        <f>IFERROR(__xludf.DUMMYFUNCTION("""COMPUTED_VALUE"""),4.0)</f>
        <v>4</v>
      </c>
      <c r="K1217" s="138">
        <f>IFERROR(__xludf.DUMMYFUNCTION("""COMPUTED_VALUE"""),4.0)</f>
        <v>4</v>
      </c>
      <c r="L1217" s="138">
        <v>26.0</v>
      </c>
      <c r="M1217" s="140" t="str">
        <f>VLOOKUP(text(D1217, "#"),'Master Table'!$A:$F, 6, FALSE)</f>
        <v>H-4</v>
      </c>
      <c r="N1217" s="141" t="str">
        <f>IFERROR(__xludf.DUMMYFUNCTION("""COMPUTED_VALUE"""),"Regarding the research: if you are introducing a mutation as methionine amino acid - which is a start codon - will that impact where a Transcription factor will attach and start the transcription.
Great work overall. ")</f>
        <v>Regarding the research: if you are introducing a mutation as methionine amino acid - which is a start codon - will that impact where a Transcription factor will attach and start the transcription.
Great work overall. </v>
      </c>
      <c r="O1217" s="142" t="str">
        <f t="shared" si="1"/>
        <v/>
      </c>
      <c r="P1217" s="143" t="str">
        <f>IF(ISNA(VLOOKUP(CONCAT(M1217,C1217), 'Judge Count DO NOT EDIT'!H:H, 1, FALSE)), "ERROR","")</f>
        <v/>
      </c>
      <c r="Q1217" s="141"/>
      <c r="R1217" s="143"/>
      <c r="S1217" s="139" t="str">
        <f t="shared" si="2"/>
        <v>1226489</v>
      </c>
      <c r="T1217" s="141"/>
    </row>
    <row r="1218">
      <c r="A1218" s="137">
        <f>IFERROR(__xludf.DUMMYFUNCTION("""COMPUTED_VALUE"""),45352.59813644676)</f>
        <v>45352.59814</v>
      </c>
      <c r="B1218" s="138" t="str">
        <f>IFERROR(__xludf.DUMMYFUNCTION("""COMPUTED_VALUE"""),"Anupama Singh")</f>
        <v>Anupama Singh</v>
      </c>
      <c r="C1218" s="138">
        <f>IFERROR(__xludf.DUMMYFUNCTION("""COMPUTED_VALUE"""),1186.0)</f>
        <v>1186</v>
      </c>
      <c r="D1218" s="139">
        <f>IFERROR(__xludf.DUMMYFUNCTION("""COMPUTED_VALUE"""),489.0)</f>
        <v>489</v>
      </c>
      <c r="E1218" s="138">
        <f>IFERROR(__xludf.DUMMYFUNCTION("""COMPUTED_VALUE"""),3.0)</f>
        <v>3</v>
      </c>
      <c r="F1218" s="138">
        <f>IFERROR(__xludf.DUMMYFUNCTION("""COMPUTED_VALUE"""),3.0)</f>
        <v>3</v>
      </c>
      <c r="G1218" s="138">
        <f>IFERROR(__xludf.DUMMYFUNCTION("""COMPUTED_VALUE"""),3.0)</f>
        <v>3</v>
      </c>
      <c r="H1218" s="138">
        <f>IFERROR(__xludf.DUMMYFUNCTION("""COMPUTED_VALUE"""),3.0)</f>
        <v>3</v>
      </c>
      <c r="I1218" s="138">
        <f>IFERROR(__xludf.DUMMYFUNCTION("""COMPUTED_VALUE"""),4.0)</f>
        <v>4</v>
      </c>
      <c r="J1218" s="138">
        <f>IFERROR(__xludf.DUMMYFUNCTION("""COMPUTED_VALUE"""),3.0)</f>
        <v>3</v>
      </c>
      <c r="K1218" s="138">
        <f>IFERROR(__xludf.DUMMYFUNCTION("""COMPUTED_VALUE"""),3.0)</f>
        <v>3</v>
      </c>
      <c r="L1218" s="138">
        <v>22.0</v>
      </c>
      <c r="M1218" s="140" t="str">
        <f>VLOOKUP(text(D1218, "#"),'Master Table'!$A:$F, 6, FALSE)</f>
        <v>H-4</v>
      </c>
      <c r="N1218" s="141" t="str">
        <f>IFERROR(__xludf.DUMMYFUNCTION("""COMPUTED_VALUE"""),"Darius presented his work with confidence and brought the personal connection for his drive to do cancer research, that was great. However, it is also important to zoom into the problem at hand and understand the relevance of his research for broader and "&amp;"better insights. I remember he had a very vague and generic answer for why he chose this problem, he addressed his interest and passion for Science, rather than focusing on the gap and significance of understanding IDH1 enzyme kinetics and functions. Over"&amp;"all, he appeared passionate for the work he is doing. ")</f>
        <v>Darius presented his work with confidence and brought the personal connection for his drive to do cancer research, that was great. However, it is also important to zoom into the problem at hand and understand the relevance of his research for broader and better insights. I remember he had a very vague and generic answer for why he chose this problem, he addressed his interest and passion for Science, rather than focusing on the gap and significance of understanding IDH1 enzyme kinetics and functions. Overall, he appeared passionate for the work he is doing. </v>
      </c>
      <c r="O1218" s="142" t="str">
        <f t="shared" si="1"/>
        <v/>
      </c>
      <c r="P1218" s="143" t="str">
        <f>IF(ISNA(VLOOKUP(CONCAT(M1218,C1218), 'Judge Count DO NOT EDIT'!H:H, 1, FALSE)), "ERROR","")</f>
        <v/>
      </c>
      <c r="Q1218" s="141"/>
      <c r="R1218" s="143"/>
      <c r="S1218" s="139" t="str">
        <f t="shared" si="2"/>
        <v>1186489</v>
      </c>
      <c r="T1218" s="141"/>
    </row>
    <row r="1219">
      <c r="A1219" s="137">
        <f>IFERROR(__xludf.DUMMYFUNCTION("""COMPUTED_VALUE"""),45352.60077712963)</f>
        <v>45352.60078</v>
      </c>
      <c r="B1219" s="138" t="str">
        <f>IFERROR(__xludf.DUMMYFUNCTION("""COMPUTED_VALUE"""),"Tiffany Luong")</f>
        <v>Tiffany Luong</v>
      </c>
      <c r="C1219" s="138">
        <f>IFERROR(__xludf.DUMMYFUNCTION("""COMPUTED_VALUE"""),1158.0)</f>
        <v>1158</v>
      </c>
      <c r="D1219" s="139">
        <f>IFERROR(__xludf.DUMMYFUNCTION("""COMPUTED_VALUE"""),489.0)</f>
        <v>489</v>
      </c>
      <c r="E1219" s="138">
        <f>IFERROR(__xludf.DUMMYFUNCTION("""COMPUTED_VALUE"""),5.0)</f>
        <v>5</v>
      </c>
      <c r="F1219" s="138">
        <f>IFERROR(__xludf.DUMMYFUNCTION("""COMPUTED_VALUE"""),4.0)</f>
        <v>4</v>
      </c>
      <c r="G1219" s="138">
        <f>IFERROR(__xludf.DUMMYFUNCTION("""COMPUTED_VALUE"""),5.0)</f>
        <v>5</v>
      </c>
      <c r="H1219" s="138">
        <f>IFERROR(__xludf.DUMMYFUNCTION("""COMPUTED_VALUE"""),5.0)</f>
        <v>5</v>
      </c>
      <c r="I1219" s="138">
        <f>IFERROR(__xludf.DUMMYFUNCTION("""COMPUTED_VALUE"""),5.0)</f>
        <v>5</v>
      </c>
      <c r="J1219" s="138">
        <f>IFERROR(__xludf.DUMMYFUNCTION("""COMPUTED_VALUE"""),4.0)</f>
        <v>4</v>
      </c>
      <c r="K1219" s="138">
        <f>IFERROR(__xludf.DUMMYFUNCTION("""COMPUTED_VALUE"""),5.0)</f>
        <v>5</v>
      </c>
      <c r="L1219" s="138">
        <v>33.0</v>
      </c>
      <c r="M1219" s="140" t="str">
        <f>VLOOKUP(text(D1219, "#"),'Master Table'!$A:$F, 6, FALSE)</f>
        <v>H-4</v>
      </c>
      <c r="N1219" s="141" t="str">
        <f>IFERROR(__xludf.DUMMYFUNCTION("""COMPUTED_VALUE"""),"Student had clear understanding of methodology and project goals and results. Student was clearly engaged with the topic and the findings and the bigger picture (therapeutic design). Only minor critique is to double check the figures (typos, titles).")</f>
        <v>Student had clear understanding of methodology and project goals and results. Student was clearly engaged with the topic and the findings and the bigger picture (therapeutic design). Only minor critique is to double check the figures (typos, titles).</v>
      </c>
      <c r="O1219" s="142" t="str">
        <f t="shared" si="1"/>
        <v/>
      </c>
      <c r="P1219" s="143" t="str">
        <f>IF(ISNA(VLOOKUP(CONCAT(M1219,C1219), 'Judge Count DO NOT EDIT'!H:H, 1, FALSE)), "ERROR","")</f>
        <v/>
      </c>
      <c r="Q1219" s="141"/>
      <c r="R1219" s="143"/>
      <c r="S1219" s="139" t="str">
        <f t="shared" si="2"/>
        <v>1158489</v>
      </c>
      <c r="T1219" s="141"/>
    </row>
    <row r="1220">
      <c r="A1220" s="137">
        <f>IFERROR(__xludf.DUMMYFUNCTION("""COMPUTED_VALUE"""),45352.56517760416)</f>
        <v>45352.56518</v>
      </c>
      <c r="B1220" s="138" t="str">
        <f>IFERROR(__xludf.DUMMYFUNCTION("""COMPUTED_VALUE"""),"Judy Audas")</f>
        <v>Judy Audas</v>
      </c>
      <c r="C1220" s="138">
        <f>IFERROR(__xludf.DUMMYFUNCTION("""COMPUTED_VALUE"""),1164.0)</f>
        <v>1164</v>
      </c>
      <c r="D1220" s="139">
        <f>IFERROR(__xludf.DUMMYFUNCTION("""COMPUTED_VALUE"""),490.0)</f>
        <v>490</v>
      </c>
      <c r="E1220" s="138">
        <f>IFERROR(__xludf.DUMMYFUNCTION("""COMPUTED_VALUE"""),4.0)</f>
        <v>4</v>
      </c>
      <c r="F1220" s="138">
        <f>IFERROR(__xludf.DUMMYFUNCTION("""COMPUTED_VALUE"""),3.0)</f>
        <v>3</v>
      </c>
      <c r="G1220" s="138">
        <f>IFERROR(__xludf.DUMMYFUNCTION("""COMPUTED_VALUE"""),4.0)</f>
        <v>4</v>
      </c>
      <c r="H1220" s="138">
        <f>IFERROR(__xludf.DUMMYFUNCTION("""COMPUTED_VALUE"""),4.0)</f>
        <v>4</v>
      </c>
      <c r="I1220" s="138">
        <f>IFERROR(__xludf.DUMMYFUNCTION("""COMPUTED_VALUE"""),3.0)</f>
        <v>3</v>
      </c>
      <c r="J1220" s="138">
        <f>IFERROR(__xludf.DUMMYFUNCTION("""COMPUTED_VALUE"""),3.0)</f>
        <v>3</v>
      </c>
      <c r="K1220" s="138">
        <f>IFERROR(__xludf.DUMMYFUNCTION("""COMPUTED_VALUE"""),3.0)</f>
        <v>3</v>
      </c>
      <c r="L1220" s="138">
        <v>24.0</v>
      </c>
      <c r="M1220" s="140" t="str">
        <f>VLOOKUP(text(D1220, "#"),'Master Table'!$A:$F, 6, FALSE)</f>
        <v>H-4</v>
      </c>
      <c r="N1220" s="141" t="str">
        <f>IFERROR(__xludf.DUMMYFUNCTION("""COMPUTED_VALUE"""),"Very exciting topic and research methodolgies. I wish the poster or presenter had given more background information and information on the importance of UNC-45 ")</f>
        <v>Very exciting topic and research methodolgies. I wish the poster or presenter had given more background information and information on the importance of UNC-45 </v>
      </c>
      <c r="O1220" s="142" t="str">
        <f t="shared" si="1"/>
        <v/>
      </c>
      <c r="P1220" s="143" t="str">
        <f>IF(ISNA(VLOOKUP(CONCAT(M1220,C1220), 'Judge Count DO NOT EDIT'!H:H, 1, FALSE)), "ERROR","")</f>
        <v/>
      </c>
      <c r="Q1220" s="141"/>
      <c r="R1220" s="143"/>
      <c r="S1220" s="139" t="str">
        <f t="shared" si="2"/>
        <v>1164490</v>
      </c>
      <c r="T1220" s="141"/>
    </row>
    <row r="1221">
      <c r="A1221" s="137">
        <f>IFERROR(__xludf.DUMMYFUNCTION("""COMPUTED_VALUE"""),45352.567534131944)</f>
        <v>45352.56753</v>
      </c>
      <c r="B1221" s="138" t="str">
        <f>IFERROR(__xludf.DUMMYFUNCTION("""COMPUTED_VALUE"""),"Amanda Brown")</f>
        <v>Amanda Brown</v>
      </c>
      <c r="C1221" s="138">
        <f>IFERROR(__xludf.DUMMYFUNCTION("""COMPUTED_VALUE"""),1190.0)</f>
        <v>1190</v>
      </c>
      <c r="D1221" s="139">
        <f>IFERROR(__xludf.DUMMYFUNCTION("""COMPUTED_VALUE"""),490.0)</f>
        <v>490</v>
      </c>
      <c r="E1221" s="138">
        <f>IFERROR(__xludf.DUMMYFUNCTION("""COMPUTED_VALUE"""),3.0)</f>
        <v>3</v>
      </c>
      <c r="F1221" s="138">
        <f>IFERROR(__xludf.DUMMYFUNCTION("""COMPUTED_VALUE"""),4.0)</f>
        <v>4</v>
      </c>
      <c r="G1221" s="138">
        <f>IFERROR(__xludf.DUMMYFUNCTION("""COMPUTED_VALUE"""),4.0)</f>
        <v>4</v>
      </c>
      <c r="H1221" s="138">
        <f>IFERROR(__xludf.DUMMYFUNCTION("""COMPUTED_VALUE"""),5.0)</f>
        <v>5</v>
      </c>
      <c r="I1221" s="138">
        <f>IFERROR(__xludf.DUMMYFUNCTION("""COMPUTED_VALUE"""),5.0)</f>
        <v>5</v>
      </c>
      <c r="J1221" s="138">
        <f>IFERROR(__xludf.DUMMYFUNCTION("""COMPUTED_VALUE"""),5.0)</f>
        <v>5</v>
      </c>
      <c r="K1221" s="138">
        <f>IFERROR(__xludf.DUMMYFUNCTION("""COMPUTED_VALUE"""),5.0)</f>
        <v>5</v>
      </c>
      <c r="L1221" s="138">
        <v>31.0</v>
      </c>
      <c r="M1221" s="140" t="str">
        <f>VLOOKUP(text(D1221, "#"),'Master Table'!$A:$F, 6, FALSE)</f>
        <v>H-4</v>
      </c>
      <c r="N1221" s="141"/>
      <c r="O1221" s="142" t="str">
        <f t="shared" si="1"/>
        <v/>
      </c>
      <c r="P1221" s="143" t="str">
        <f>IF(ISNA(VLOOKUP(CONCAT(M1221,C1221), 'Judge Count DO NOT EDIT'!H:H, 1, FALSE)), "ERROR","")</f>
        <v/>
      </c>
      <c r="Q1221" s="141"/>
      <c r="R1221" s="143"/>
      <c r="S1221" s="139" t="str">
        <f t="shared" si="2"/>
        <v>1190490</v>
      </c>
      <c r="T1221" s="141"/>
    </row>
    <row r="1222">
      <c r="A1222" s="137">
        <f>IFERROR(__xludf.DUMMYFUNCTION("""COMPUTED_VALUE"""),45352.57307832176)</f>
        <v>45352.57308</v>
      </c>
      <c r="B1222" s="138" t="str">
        <f>IFERROR(__xludf.DUMMYFUNCTION("""COMPUTED_VALUE"""),"Krishna Ramamoorthy")</f>
        <v>Krishna Ramamoorthy</v>
      </c>
      <c r="C1222" s="138">
        <f>IFERROR(__xludf.DUMMYFUNCTION("""COMPUTED_VALUE"""),1226.0)</f>
        <v>1226</v>
      </c>
      <c r="D1222" s="139">
        <f>IFERROR(__xludf.DUMMYFUNCTION("""COMPUTED_VALUE"""),490.0)</f>
        <v>490</v>
      </c>
      <c r="E1222" s="138">
        <f>IFERROR(__xludf.DUMMYFUNCTION("""COMPUTED_VALUE"""),3.0)</f>
        <v>3</v>
      </c>
      <c r="F1222" s="138">
        <f>IFERROR(__xludf.DUMMYFUNCTION("""COMPUTED_VALUE"""),4.0)</f>
        <v>4</v>
      </c>
      <c r="G1222" s="138">
        <f>IFERROR(__xludf.DUMMYFUNCTION("""COMPUTED_VALUE"""),3.0)</f>
        <v>3</v>
      </c>
      <c r="H1222" s="138">
        <f>IFERROR(__xludf.DUMMYFUNCTION("""COMPUTED_VALUE"""),3.0)</f>
        <v>3</v>
      </c>
      <c r="I1222" s="138">
        <f>IFERROR(__xludf.DUMMYFUNCTION("""COMPUTED_VALUE"""),4.0)</f>
        <v>4</v>
      </c>
      <c r="J1222" s="138">
        <f>IFERROR(__xludf.DUMMYFUNCTION("""COMPUTED_VALUE"""),4.0)</f>
        <v>4</v>
      </c>
      <c r="K1222" s="138">
        <f>IFERROR(__xludf.DUMMYFUNCTION("""COMPUTED_VALUE"""),4.0)</f>
        <v>4</v>
      </c>
      <c r="L1222" s="138">
        <v>25.0</v>
      </c>
      <c r="M1222" s="140" t="str">
        <f>VLOOKUP(text(D1222, "#"),'Master Table'!$A:$F, 6, FALSE)</f>
        <v>H-4</v>
      </c>
      <c r="N1222" s="141" t="str">
        <f>IFERROR(__xludf.DUMMYFUNCTION("""COMPUTED_VALUE"""),"Presentation could have been simplified. Applications of the work were unclear. Overall excellent work.")</f>
        <v>Presentation could have been simplified. Applications of the work were unclear. Overall excellent work.</v>
      </c>
      <c r="O1222" s="142" t="str">
        <f t="shared" si="1"/>
        <v/>
      </c>
      <c r="P1222" s="143" t="str">
        <f>IF(ISNA(VLOOKUP(CONCAT(M1222,C1222), 'Judge Count DO NOT EDIT'!H:H, 1, FALSE)), "ERROR","")</f>
        <v/>
      </c>
      <c r="Q1222" s="141"/>
      <c r="R1222" s="143"/>
      <c r="S1222" s="139" t="str">
        <f t="shared" si="2"/>
        <v>1226490</v>
      </c>
      <c r="T1222" s="141"/>
    </row>
    <row r="1223">
      <c r="A1223" s="137">
        <f>IFERROR(__xludf.DUMMYFUNCTION("""COMPUTED_VALUE"""),45352.60513399306)</f>
        <v>45352.60513</v>
      </c>
      <c r="B1223" s="138" t="str">
        <f>IFERROR(__xludf.DUMMYFUNCTION("""COMPUTED_VALUE"""),"Tiffany Luong")</f>
        <v>Tiffany Luong</v>
      </c>
      <c r="C1223" s="138">
        <f>IFERROR(__xludf.DUMMYFUNCTION("""COMPUTED_VALUE"""),1158.0)</f>
        <v>1158</v>
      </c>
      <c r="D1223" s="139">
        <f>IFERROR(__xludf.DUMMYFUNCTION("""COMPUTED_VALUE"""),490.0)</f>
        <v>490</v>
      </c>
      <c r="E1223" s="138">
        <f>IFERROR(__xludf.DUMMYFUNCTION("""COMPUTED_VALUE"""),3.0)</f>
        <v>3</v>
      </c>
      <c r="F1223" s="138">
        <f>IFERROR(__xludf.DUMMYFUNCTION("""COMPUTED_VALUE"""),3.0)</f>
        <v>3</v>
      </c>
      <c r="G1223" s="138">
        <f>IFERROR(__xludf.DUMMYFUNCTION("""COMPUTED_VALUE"""),4.0)</f>
        <v>4</v>
      </c>
      <c r="H1223" s="138">
        <f>IFERROR(__xludf.DUMMYFUNCTION("""COMPUTED_VALUE"""),3.0)</f>
        <v>3</v>
      </c>
      <c r="I1223" s="138">
        <f>IFERROR(__xludf.DUMMYFUNCTION("""COMPUTED_VALUE"""),4.0)</f>
        <v>4</v>
      </c>
      <c r="J1223" s="138">
        <f>IFERROR(__xludf.DUMMYFUNCTION("""COMPUTED_VALUE"""),4.0)</f>
        <v>4</v>
      </c>
      <c r="K1223" s="138">
        <f>IFERROR(__xludf.DUMMYFUNCTION("""COMPUTED_VALUE"""),5.0)</f>
        <v>5</v>
      </c>
      <c r="L1223" s="138">
        <v>26.0</v>
      </c>
      <c r="M1223" s="140" t="str">
        <f>VLOOKUP(text(D1223, "#"),'Master Table'!$A:$F, 6, FALSE)</f>
        <v>H-4</v>
      </c>
      <c r="N1223" s="141" t="str">
        <f>IFERROR(__xludf.DUMMYFUNCTION("""COMPUTED_VALUE"""),"Interesting topic, student was very engaged and familiar with the project goals and future directions.")</f>
        <v>Interesting topic, student was very engaged and familiar with the project goals and future directions.</v>
      </c>
      <c r="O1223" s="142" t="str">
        <f t="shared" si="1"/>
        <v/>
      </c>
      <c r="P1223" s="143" t="str">
        <f>IF(ISNA(VLOOKUP(CONCAT(M1223,C1223), 'Judge Count DO NOT EDIT'!H:H, 1, FALSE)), "ERROR","")</f>
        <v/>
      </c>
      <c r="Q1223" s="141"/>
      <c r="R1223" s="143"/>
      <c r="S1223" s="139" t="str">
        <f t="shared" si="2"/>
        <v>1158490</v>
      </c>
      <c r="T1223" s="141"/>
    </row>
    <row r="1224">
      <c r="A1224" s="137">
        <f>IFERROR(__xludf.DUMMYFUNCTION("""COMPUTED_VALUE"""),45352.60680625)</f>
        <v>45352.60681</v>
      </c>
      <c r="B1224" s="138" t="str">
        <f>IFERROR(__xludf.DUMMYFUNCTION("""COMPUTED_VALUE"""),"Anupama Singh")</f>
        <v>Anupama Singh</v>
      </c>
      <c r="C1224" s="138">
        <f>IFERROR(__xludf.DUMMYFUNCTION("""COMPUTED_VALUE"""),1186.0)</f>
        <v>1186</v>
      </c>
      <c r="D1224" s="139">
        <f>IFERROR(__xludf.DUMMYFUNCTION("""COMPUTED_VALUE"""),490.0)</f>
        <v>490</v>
      </c>
      <c r="E1224" s="138">
        <f>IFERROR(__xludf.DUMMYFUNCTION("""COMPUTED_VALUE"""),3.0)</f>
        <v>3</v>
      </c>
      <c r="F1224" s="138">
        <f>IFERROR(__xludf.DUMMYFUNCTION("""COMPUTED_VALUE"""),4.0)</f>
        <v>4</v>
      </c>
      <c r="G1224" s="138">
        <f>IFERROR(__xludf.DUMMYFUNCTION("""COMPUTED_VALUE"""),3.0)</f>
        <v>3</v>
      </c>
      <c r="H1224" s="138">
        <f>IFERROR(__xludf.DUMMYFUNCTION("""COMPUTED_VALUE"""),3.0)</f>
        <v>3</v>
      </c>
      <c r="I1224" s="138">
        <f>IFERROR(__xludf.DUMMYFUNCTION("""COMPUTED_VALUE"""),4.0)</f>
        <v>4</v>
      </c>
      <c r="J1224" s="138">
        <f>IFERROR(__xludf.DUMMYFUNCTION("""COMPUTED_VALUE"""),3.0)</f>
        <v>3</v>
      </c>
      <c r="K1224" s="138">
        <f>IFERROR(__xludf.DUMMYFUNCTION("""COMPUTED_VALUE"""),3.0)</f>
        <v>3</v>
      </c>
      <c r="L1224" s="138">
        <v>23.0</v>
      </c>
      <c r="M1224" s="140" t="str">
        <f>VLOOKUP(text(D1224, "#"),'Master Table'!$A:$F, 6, FALSE)</f>
        <v>H-4</v>
      </c>
      <c r="N1224" s="141" t="str">
        <f>IFERROR(__xludf.DUMMYFUNCTION("""COMPUTED_VALUE"""),"Esmeralda did a great job in explaining her experiments and the rationale for using mouse samples and need to use purified microtubules for understanding their organization when complexed with UNC-45. The results were very dramatic to miss. She also demon"&amp;"strated a good knowledge of known literature on the forms of UNC45 in humans and flies. However, she was not very clear on how such results can impact biology or parts of it, and the bigger picture involved. I was also intrigued about altered fly behavior"&amp;"s if any, that she was not aware of whether known to lab or otherwise. ")</f>
        <v>Esmeralda did a great job in explaining her experiments and the rationale for using mouse samples and need to use purified microtubules for understanding their organization when complexed with UNC-45. The results were very dramatic to miss. She also demonstrated a good knowledge of known literature on the forms of UNC45 in humans and flies. However, she was not very clear on how such results can impact biology or parts of it, and the bigger picture involved. I was also intrigued about altered fly behaviors if any, that she was not aware of whether known to lab or otherwise. </v>
      </c>
      <c r="O1224" s="142" t="str">
        <f t="shared" si="1"/>
        <v/>
      </c>
      <c r="P1224" s="143" t="str">
        <f>IF(ISNA(VLOOKUP(CONCAT(M1224,C1224), 'Judge Count DO NOT EDIT'!H:H, 1, FALSE)), "ERROR","")</f>
        <v/>
      </c>
      <c r="Q1224" s="141"/>
      <c r="R1224" s="143"/>
      <c r="S1224" s="139" t="str">
        <f t="shared" si="2"/>
        <v>1186490</v>
      </c>
      <c r="T1224" s="141"/>
    </row>
    <row r="1225">
      <c r="A1225" s="137">
        <f>IFERROR(__xludf.DUMMYFUNCTION("""COMPUTED_VALUE"""),45352.55809420139)</f>
        <v>45352.55809</v>
      </c>
      <c r="B1225" s="138" t="str">
        <f>IFERROR(__xludf.DUMMYFUNCTION("""COMPUTED_VALUE"""),"Judy Audas")</f>
        <v>Judy Audas</v>
      </c>
      <c r="C1225" s="138">
        <f>IFERROR(__xludf.DUMMYFUNCTION("""COMPUTED_VALUE"""),1164.0)</f>
        <v>1164</v>
      </c>
      <c r="D1225" s="139">
        <f>IFERROR(__xludf.DUMMYFUNCTION("""COMPUTED_VALUE"""),491.0)</f>
        <v>491</v>
      </c>
      <c r="E1225" s="138">
        <f>IFERROR(__xludf.DUMMYFUNCTION("""COMPUTED_VALUE"""),4.0)</f>
        <v>4</v>
      </c>
      <c r="F1225" s="138">
        <f>IFERROR(__xludf.DUMMYFUNCTION("""COMPUTED_VALUE"""),4.0)</f>
        <v>4</v>
      </c>
      <c r="G1225" s="138">
        <f>IFERROR(__xludf.DUMMYFUNCTION("""COMPUTED_VALUE"""),4.0)</f>
        <v>4</v>
      </c>
      <c r="H1225" s="138">
        <f>IFERROR(__xludf.DUMMYFUNCTION("""COMPUTED_VALUE"""),4.0)</f>
        <v>4</v>
      </c>
      <c r="I1225" s="138">
        <f>IFERROR(__xludf.DUMMYFUNCTION("""COMPUTED_VALUE"""),5.0)</f>
        <v>5</v>
      </c>
      <c r="J1225" s="138">
        <f>IFERROR(__xludf.DUMMYFUNCTION("""COMPUTED_VALUE"""),4.0)</f>
        <v>4</v>
      </c>
      <c r="K1225" s="138">
        <f>IFERROR(__xludf.DUMMYFUNCTION("""COMPUTED_VALUE"""),5.0)</f>
        <v>5</v>
      </c>
      <c r="L1225" s="138">
        <v>30.0</v>
      </c>
      <c r="M1225" s="140" t="str">
        <f>VLOOKUP(text(D1225, "#"),'Master Table'!$A:$F, 6, FALSE)</f>
        <v>H-4</v>
      </c>
      <c r="N1225" s="141" t="str">
        <f>IFERROR(__xludf.DUMMYFUNCTION("""COMPUTED_VALUE"""),"I thought Ryan did a great job explaining, especially to someone not from a STEM background. He made an effort to understand what the audience’s level of understanding was before he presented. ")</f>
        <v>I thought Ryan did a great job explaining, especially to someone not from a STEM background. He made an effort to understand what the audience’s level of understanding was before he presented. </v>
      </c>
      <c r="O1225" s="142" t="str">
        <f t="shared" si="1"/>
        <v/>
      </c>
      <c r="P1225" s="143" t="str">
        <f>IF(ISNA(VLOOKUP(CONCAT(M1225,C1225), 'Judge Count DO NOT EDIT'!H:H, 1, FALSE)), "ERROR","")</f>
        <v/>
      </c>
      <c r="Q1225" s="141"/>
      <c r="R1225" s="143"/>
      <c r="S1225" s="139" t="str">
        <f t="shared" si="2"/>
        <v>1164491</v>
      </c>
      <c r="T1225" s="141"/>
    </row>
    <row r="1226">
      <c r="A1226" s="137">
        <f>IFERROR(__xludf.DUMMYFUNCTION("""COMPUTED_VALUE"""),45352.56802810185)</f>
        <v>45352.56803</v>
      </c>
      <c r="B1226" s="138" t="str">
        <f>IFERROR(__xludf.DUMMYFUNCTION("""COMPUTED_VALUE"""),"Amanda Brown")</f>
        <v>Amanda Brown</v>
      </c>
      <c r="C1226" s="138">
        <f>IFERROR(__xludf.DUMMYFUNCTION("""COMPUTED_VALUE"""),1190.0)</f>
        <v>1190</v>
      </c>
      <c r="D1226" s="139">
        <f>IFERROR(__xludf.DUMMYFUNCTION("""COMPUTED_VALUE"""),491.0)</f>
        <v>491</v>
      </c>
      <c r="E1226" s="138">
        <f>IFERROR(__xludf.DUMMYFUNCTION("""COMPUTED_VALUE"""),5.0)</f>
        <v>5</v>
      </c>
      <c r="F1226" s="138">
        <f>IFERROR(__xludf.DUMMYFUNCTION("""COMPUTED_VALUE"""),5.0)</f>
        <v>5</v>
      </c>
      <c r="G1226" s="138">
        <f>IFERROR(__xludf.DUMMYFUNCTION("""COMPUTED_VALUE"""),4.0)</f>
        <v>4</v>
      </c>
      <c r="H1226" s="138">
        <f>IFERROR(__xludf.DUMMYFUNCTION("""COMPUTED_VALUE"""),4.0)</f>
        <v>4</v>
      </c>
      <c r="I1226" s="138">
        <f>IFERROR(__xludf.DUMMYFUNCTION("""COMPUTED_VALUE"""),3.0)</f>
        <v>3</v>
      </c>
      <c r="J1226" s="138">
        <f>IFERROR(__xludf.DUMMYFUNCTION("""COMPUTED_VALUE"""),4.0)</f>
        <v>4</v>
      </c>
      <c r="K1226" s="138">
        <f>IFERROR(__xludf.DUMMYFUNCTION("""COMPUTED_VALUE"""),4.0)</f>
        <v>4</v>
      </c>
      <c r="L1226" s="138">
        <v>29.0</v>
      </c>
      <c r="M1226" s="140" t="str">
        <f>VLOOKUP(text(D1226, "#"),'Master Table'!$A:$F, 6, FALSE)</f>
        <v>H-4</v>
      </c>
      <c r="N1226" s="141"/>
      <c r="O1226" s="142" t="str">
        <f t="shared" si="1"/>
        <v/>
      </c>
      <c r="P1226" s="143" t="str">
        <f>IF(ISNA(VLOOKUP(CONCAT(M1226,C1226), 'Judge Count DO NOT EDIT'!H:H, 1, FALSE)), "ERROR","")</f>
        <v/>
      </c>
      <c r="Q1226" s="141"/>
      <c r="R1226" s="143"/>
      <c r="S1226" s="139" t="str">
        <f t="shared" si="2"/>
        <v>1190491</v>
      </c>
      <c r="T1226" s="141"/>
    </row>
    <row r="1227">
      <c r="A1227" s="137">
        <f>IFERROR(__xludf.DUMMYFUNCTION("""COMPUTED_VALUE"""),45352.57422256944)</f>
        <v>45352.57422</v>
      </c>
      <c r="B1227" s="138" t="str">
        <f>IFERROR(__xludf.DUMMYFUNCTION("""COMPUTED_VALUE"""),"Krishna Ramamoorthy")</f>
        <v>Krishna Ramamoorthy</v>
      </c>
      <c r="C1227" s="138">
        <f>IFERROR(__xludf.DUMMYFUNCTION("""COMPUTED_VALUE"""),1226.0)</f>
        <v>1226</v>
      </c>
      <c r="D1227" s="139">
        <f>IFERROR(__xludf.DUMMYFUNCTION("""COMPUTED_VALUE"""),491.0)</f>
        <v>491</v>
      </c>
      <c r="E1227" s="138">
        <f>IFERROR(__xludf.DUMMYFUNCTION("""COMPUTED_VALUE"""),3.0)</f>
        <v>3</v>
      </c>
      <c r="F1227" s="138">
        <f>IFERROR(__xludf.DUMMYFUNCTION("""COMPUTED_VALUE"""),4.0)</f>
        <v>4</v>
      </c>
      <c r="G1227" s="138">
        <f>IFERROR(__xludf.DUMMYFUNCTION("""COMPUTED_VALUE"""),3.0)</f>
        <v>3</v>
      </c>
      <c r="H1227" s="138">
        <f>IFERROR(__xludf.DUMMYFUNCTION("""COMPUTED_VALUE"""),2.0)</f>
        <v>2</v>
      </c>
      <c r="I1227" s="138">
        <f>IFERROR(__xludf.DUMMYFUNCTION("""COMPUTED_VALUE"""),4.0)</f>
        <v>4</v>
      </c>
      <c r="J1227" s="138">
        <f>IFERROR(__xludf.DUMMYFUNCTION("""COMPUTED_VALUE"""),4.0)</f>
        <v>4</v>
      </c>
      <c r="K1227" s="138">
        <f>IFERROR(__xludf.DUMMYFUNCTION("""COMPUTED_VALUE"""),4.0)</f>
        <v>4</v>
      </c>
      <c r="L1227" s="138">
        <v>24.0</v>
      </c>
      <c r="M1227" s="140" t="str">
        <f>VLOOKUP(text(D1227, "#"),'Master Table'!$A:$F, 6, FALSE)</f>
        <v>H-4</v>
      </c>
      <c r="N1227" s="141" t="str">
        <f>IFERROR(__xludf.DUMMYFUNCTION("""COMPUTED_VALUE"""),"The work is very novel and has a wide array of applications. The methodology was little unclear. ")</f>
        <v>The work is very novel and has a wide array of applications. The methodology was little unclear. </v>
      </c>
      <c r="O1227" s="142" t="str">
        <f t="shared" si="1"/>
        <v/>
      </c>
      <c r="P1227" s="143" t="str">
        <f>IF(ISNA(VLOOKUP(CONCAT(M1227,C1227), 'Judge Count DO NOT EDIT'!H:H, 1, FALSE)), "ERROR","")</f>
        <v/>
      </c>
      <c r="Q1227" s="141"/>
      <c r="R1227" s="143"/>
      <c r="S1227" s="139" t="str">
        <f t="shared" si="2"/>
        <v>1226491</v>
      </c>
      <c r="T1227" s="141"/>
    </row>
    <row r="1228">
      <c r="A1228" s="137">
        <f>IFERROR(__xludf.DUMMYFUNCTION("""COMPUTED_VALUE"""),45352.60696392361)</f>
        <v>45352.60696</v>
      </c>
      <c r="B1228" s="138" t="str">
        <f>IFERROR(__xludf.DUMMYFUNCTION("""COMPUTED_VALUE"""),"Tiffany Luong")</f>
        <v>Tiffany Luong</v>
      </c>
      <c r="C1228" s="138">
        <f>IFERROR(__xludf.DUMMYFUNCTION("""COMPUTED_VALUE"""),1158.0)</f>
        <v>1158</v>
      </c>
      <c r="D1228" s="139">
        <f>IFERROR(__xludf.DUMMYFUNCTION("""COMPUTED_VALUE"""),491.0)</f>
        <v>491</v>
      </c>
      <c r="E1228" s="138">
        <f>IFERROR(__xludf.DUMMYFUNCTION("""COMPUTED_VALUE"""),4.0)</f>
        <v>4</v>
      </c>
      <c r="F1228" s="138">
        <f>IFERROR(__xludf.DUMMYFUNCTION("""COMPUTED_VALUE"""),5.0)</f>
        <v>5</v>
      </c>
      <c r="G1228" s="138">
        <f>IFERROR(__xludf.DUMMYFUNCTION("""COMPUTED_VALUE"""),4.0)</f>
        <v>4</v>
      </c>
      <c r="H1228" s="138">
        <f>IFERROR(__xludf.DUMMYFUNCTION("""COMPUTED_VALUE"""),4.0)</f>
        <v>4</v>
      </c>
      <c r="I1228" s="138">
        <f>IFERROR(__xludf.DUMMYFUNCTION("""COMPUTED_VALUE"""),5.0)</f>
        <v>5</v>
      </c>
      <c r="J1228" s="138">
        <f>IFERROR(__xludf.DUMMYFUNCTION("""COMPUTED_VALUE"""),5.0)</f>
        <v>5</v>
      </c>
      <c r="K1228" s="138">
        <f>IFERROR(__xludf.DUMMYFUNCTION("""COMPUTED_VALUE"""),5.0)</f>
        <v>5</v>
      </c>
      <c r="L1228" s="138">
        <v>32.0</v>
      </c>
      <c r="M1228" s="140" t="str">
        <f>VLOOKUP(text(D1228, "#"),'Master Table'!$A:$F, 6, FALSE)</f>
        <v>H-4</v>
      </c>
      <c r="N1228" s="141" t="str">
        <f>IFERROR(__xludf.DUMMYFUNCTION("""COMPUTED_VALUE"""),"Excellent presentation, able to explain topic clearly and describe complex data to a layperson.")</f>
        <v>Excellent presentation, able to explain topic clearly and describe complex data to a layperson.</v>
      </c>
      <c r="O1228" s="142" t="str">
        <f t="shared" si="1"/>
        <v/>
      </c>
      <c r="P1228" s="143" t="str">
        <f>IF(ISNA(VLOOKUP(CONCAT(M1228,C1228), 'Judge Count DO NOT EDIT'!H:H, 1, FALSE)), "ERROR","")</f>
        <v/>
      </c>
      <c r="Q1228" s="141"/>
      <c r="R1228" s="143"/>
      <c r="S1228" s="139" t="str">
        <f t="shared" si="2"/>
        <v>1158491</v>
      </c>
      <c r="T1228" s="141"/>
    </row>
    <row r="1229">
      <c r="A1229" s="137">
        <f>IFERROR(__xludf.DUMMYFUNCTION("""COMPUTED_VALUE"""),45352.61453716435)</f>
        <v>45352.61454</v>
      </c>
      <c r="B1229" s="138" t="str">
        <f>IFERROR(__xludf.DUMMYFUNCTION("""COMPUTED_VALUE"""),"Anupama Singh")</f>
        <v>Anupama Singh</v>
      </c>
      <c r="C1229" s="138">
        <f>IFERROR(__xludf.DUMMYFUNCTION("""COMPUTED_VALUE"""),1186.0)</f>
        <v>1186</v>
      </c>
      <c r="D1229" s="139">
        <f>IFERROR(__xludf.DUMMYFUNCTION("""COMPUTED_VALUE"""),491.0)</f>
        <v>491</v>
      </c>
      <c r="E1229" s="138">
        <f>IFERROR(__xludf.DUMMYFUNCTION("""COMPUTED_VALUE"""),4.0)</f>
        <v>4</v>
      </c>
      <c r="F1229" s="138">
        <f>IFERROR(__xludf.DUMMYFUNCTION("""COMPUTED_VALUE"""),4.0)</f>
        <v>4</v>
      </c>
      <c r="G1229" s="138">
        <f>IFERROR(__xludf.DUMMYFUNCTION("""COMPUTED_VALUE"""),4.0)</f>
        <v>4</v>
      </c>
      <c r="H1229" s="138">
        <f>IFERROR(__xludf.DUMMYFUNCTION("""COMPUTED_VALUE"""),3.0)</f>
        <v>3</v>
      </c>
      <c r="I1229" s="138">
        <f>IFERROR(__xludf.DUMMYFUNCTION("""COMPUTED_VALUE"""),4.0)</f>
        <v>4</v>
      </c>
      <c r="J1229" s="138">
        <f>IFERROR(__xludf.DUMMYFUNCTION("""COMPUTED_VALUE"""),4.0)</f>
        <v>4</v>
      </c>
      <c r="K1229" s="138">
        <f>IFERROR(__xludf.DUMMYFUNCTION("""COMPUTED_VALUE"""),4.0)</f>
        <v>4</v>
      </c>
      <c r="L1229" s="138">
        <v>27.0</v>
      </c>
      <c r="M1229" s="140" t="str">
        <f>VLOOKUP(text(D1229, "#"),'Master Table'!$A:$F, 6, FALSE)</f>
        <v>H-4</v>
      </c>
      <c r="N1229" s="141" t="str">
        <f>IFERROR(__xludf.DUMMYFUNCTION("""COMPUTED_VALUE"""),"Ryan did a good job in explaining his research and the broad impact, and the relevance of the methods implemented. In general he appeared to understand the research process and possibilities. Also, he was very receptive to the Scientific and broader discu"&amp;"ssions. He was quick to understand how limiting concentrations of some compounds (Quinone, ~10 mg instead of 1000mg used for others), could be resulting in their inability to fluoresce, that they might fluoresce at higher concentrations. I enjoyed asking "&amp;"him where he would go to raise money for this study, and he was quick to answer to people who care. I think it would be nice for him to develop his awareness around sustainable business and how Tire manufactures might be interested in funding such researc"&amp;"h, if they function on sustainable business model.")</f>
        <v>Ryan did a good job in explaining his research and the broad impact, and the relevance of the methods implemented. In general he appeared to understand the research process and possibilities. Also, he was very receptive to the Scientific and broader discussions. He was quick to understand how limiting concentrations of some compounds (Quinone, ~10 mg instead of 1000mg used for others), could be resulting in their inability to fluoresce, that they might fluoresce at higher concentrations. I enjoyed asking him where he would go to raise money for this study, and he was quick to answer to people who care. I think it would be nice for him to develop his awareness around sustainable business and how Tire manufactures might be interested in funding such research, if they function on sustainable business model.</v>
      </c>
      <c r="O1229" s="142" t="str">
        <f t="shared" si="1"/>
        <v/>
      </c>
      <c r="P1229" s="143" t="str">
        <f>IF(ISNA(VLOOKUP(CONCAT(M1229,C1229), 'Judge Count DO NOT EDIT'!H:H, 1, FALSE)), "ERROR","")</f>
        <v/>
      </c>
      <c r="Q1229" s="141"/>
      <c r="R1229" s="143"/>
      <c r="S1229" s="139" t="str">
        <f t="shared" si="2"/>
        <v>1186491</v>
      </c>
      <c r="T1229" s="141"/>
    </row>
    <row r="1230">
      <c r="A1230" s="137">
        <f>IFERROR(__xludf.DUMMYFUNCTION("""COMPUTED_VALUE"""),45352.568604687505)</f>
        <v>45352.5686</v>
      </c>
      <c r="B1230" s="138" t="str">
        <f>IFERROR(__xludf.DUMMYFUNCTION("""COMPUTED_VALUE"""),"Amanda Brown")</f>
        <v>Amanda Brown</v>
      </c>
      <c r="C1230" s="138">
        <f>IFERROR(__xludf.DUMMYFUNCTION("""COMPUTED_VALUE"""),1190.0)</f>
        <v>1190</v>
      </c>
      <c r="D1230" s="139">
        <f>IFERROR(__xludf.DUMMYFUNCTION("""COMPUTED_VALUE"""),494.0)</f>
        <v>494</v>
      </c>
      <c r="E1230" s="138">
        <f>IFERROR(__xludf.DUMMYFUNCTION("""COMPUTED_VALUE"""),3.0)</f>
        <v>3</v>
      </c>
      <c r="F1230" s="138">
        <f>IFERROR(__xludf.DUMMYFUNCTION("""COMPUTED_VALUE"""),3.0)</f>
        <v>3</v>
      </c>
      <c r="G1230" s="138">
        <f>IFERROR(__xludf.DUMMYFUNCTION("""COMPUTED_VALUE"""),4.0)</f>
        <v>4</v>
      </c>
      <c r="H1230" s="138">
        <f>IFERROR(__xludf.DUMMYFUNCTION("""COMPUTED_VALUE"""),4.0)</f>
        <v>4</v>
      </c>
      <c r="I1230" s="138">
        <f>IFERROR(__xludf.DUMMYFUNCTION("""COMPUTED_VALUE"""),4.0)</f>
        <v>4</v>
      </c>
      <c r="J1230" s="138">
        <f>IFERROR(__xludf.DUMMYFUNCTION("""COMPUTED_VALUE"""),4.0)</f>
        <v>4</v>
      </c>
      <c r="K1230" s="138">
        <f>IFERROR(__xludf.DUMMYFUNCTION("""COMPUTED_VALUE"""),4.0)</f>
        <v>4</v>
      </c>
      <c r="L1230" s="138">
        <v>26.0</v>
      </c>
      <c r="M1230" s="140" t="str">
        <f>VLOOKUP(text(D1230, "#"),'Master Table'!$A:$F, 6, FALSE)</f>
        <v>H-4</v>
      </c>
      <c r="N1230" s="141"/>
      <c r="O1230" s="142" t="str">
        <f t="shared" si="1"/>
        <v/>
      </c>
      <c r="P1230" s="143" t="str">
        <f>IF(ISNA(VLOOKUP(CONCAT(M1230,C1230), 'Judge Count DO NOT EDIT'!H:H, 1, FALSE)), "ERROR","")</f>
        <v/>
      </c>
      <c r="Q1230" s="141"/>
      <c r="R1230" s="143"/>
      <c r="S1230" s="139" t="str">
        <f t="shared" si="2"/>
        <v>1190494</v>
      </c>
      <c r="T1230" s="141"/>
    </row>
    <row r="1231">
      <c r="A1231" s="137">
        <f>IFERROR(__xludf.DUMMYFUNCTION("""COMPUTED_VALUE"""),45352.57173239584)</f>
        <v>45352.57173</v>
      </c>
      <c r="B1231" s="138" t="str">
        <f>IFERROR(__xludf.DUMMYFUNCTION("""COMPUTED_VALUE"""),"Judy Audas")</f>
        <v>Judy Audas</v>
      </c>
      <c r="C1231" s="138">
        <f>IFERROR(__xludf.DUMMYFUNCTION("""COMPUTED_VALUE"""),1164.0)</f>
        <v>1164</v>
      </c>
      <c r="D1231" s="139">
        <f>IFERROR(__xludf.DUMMYFUNCTION("""COMPUTED_VALUE"""),494.0)</f>
        <v>494</v>
      </c>
      <c r="E1231" s="138">
        <f>IFERROR(__xludf.DUMMYFUNCTION("""COMPUTED_VALUE"""),4.0)</f>
        <v>4</v>
      </c>
      <c r="F1231" s="138">
        <f>IFERROR(__xludf.DUMMYFUNCTION("""COMPUTED_VALUE"""),4.0)</f>
        <v>4</v>
      </c>
      <c r="G1231" s="138">
        <f>IFERROR(__xludf.DUMMYFUNCTION("""COMPUTED_VALUE"""),4.0)</f>
        <v>4</v>
      </c>
      <c r="H1231" s="138">
        <f>IFERROR(__xludf.DUMMYFUNCTION("""COMPUTED_VALUE"""),4.0)</f>
        <v>4</v>
      </c>
      <c r="I1231" s="138">
        <f>IFERROR(__xludf.DUMMYFUNCTION("""COMPUTED_VALUE"""),5.0)</f>
        <v>5</v>
      </c>
      <c r="J1231" s="138">
        <f>IFERROR(__xludf.DUMMYFUNCTION("""COMPUTED_VALUE"""),4.0)</f>
        <v>4</v>
      </c>
      <c r="K1231" s="138">
        <f>IFERROR(__xludf.DUMMYFUNCTION("""COMPUTED_VALUE"""),4.0)</f>
        <v>4</v>
      </c>
      <c r="L1231" s="138">
        <v>29.0</v>
      </c>
      <c r="M1231" s="140" t="str">
        <f>VLOOKUP(text(D1231, "#"),'Master Table'!$A:$F, 6, FALSE)</f>
        <v>H-4</v>
      </c>
      <c r="N1231" s="141" t="str">
        <f>IFERROR(__xludf.DUMMYFUNCTION("""COMPUTED_VALUE"""),"Alejandra was great at answering questions and simplifying her explanation for someone without a chemistry background. ")</f>
        <v>Alejandra was great at answering questions and simplifying her explanation for someone without a chemistry background. </v>
      </c>
      <c r="O1231" s="142" t="str">
        <f t="shared" si="1"/>
        <v/>
      </c>
      <c r="P1231" s="143" t="str">
        <f>IF(ISNA(VLOOKUP(CONCAT(M1231,C1231), 'Judge Count DO NOT EDIT'!H:H, 1, FALSE)), "ERROR","")</f>
        <v/>
      </c>
      <c r="Q1231" s="141"/>
      <c r="R1231" s="143"/>
      <c r="S1231" s="139" t="str">
        <f t="shared" si="2"/>
        <v>1164494</v>
      </c>
      <c r="T1231" s="141"/>
    </row>
    <row r="1232">
      <c r="A1232" s="137">
        <f>IFERROR(__xludf.DUMMYFUNCTION("""COMPUTED_VALUE"""),45352.57579824074)</f>
        <v>45352.5758</v>
      </c>
      <c r="B1232" s="138" t="str">
        <f>IFERROR(__xludf.DUMMYFUNCTION("""COMPUTED_VALUE"""),"Krishna Ramamoorthy")</f>
        <v>Krishna Ramamoorthy</v>
      </c>
      <c r="C1232" s="138">
        <f>IFERROR(__xludf.DUMMYFUNCTION("""COMPUTED_VALUE"""),1226.0)</f>
        <v>1226</v>
      </c>
      <c r="D1232" s="139">
        <f>IFERROR(__xludf.DUMMYFUNCTION("""COMPUTED_VALUE"""),494.0)</f>
        <v>494</v>
      </c>
      <c r="E1232" s="138">
        <f>IFERROR(__xludf.DUMMYFUNCTION("""COMPUTED_VALUE"""),5.0)</f>
        <v>5</v>
      </c>
      <c r="F1232" s="138">
        <f>IFERROR(__xludf.DUMMYFUNCTION("""COMPUTED_VALUE"""),4.0)</f>
        <v>4</v>
      </c>
      <c r="G1232" s="138">
        <f>IFERROR(__xludf.DUMMYFUNCTION("""COMPUTED_VALUE"""),4.0)</f>
        <v>4</v>
      </c>
      <c r="H1232" s="138">
        <f>IFERROR(__xludf.DUMMYFUNCTION("""COMPUTED_VALUE"""),3.0)</f>
        <v>3</v>
      </c>
      <c r="I1232" s="138">
        <f>IFERROR(__xludf.DUMMYFUNCTION("""COMPUTED_VALUE"""),4.0)</f>
        <v>4</v>
      </c>
      <c r="J1232" s="138">
        <f>IFERROR(__xludf.DUMMYFUNCTION("""COMPUTED_VALUE"""),4.0)</f>
        <v>4</v>
      </c>
      <c r="K1232" s="138">
        <f>IFERROR(__xludf.DUMMYFUNCTION("""COMPUTED_VALUE"""),4.0)</f>
        <v>4</v>
      </c>
      <c r="L1232" s="138">
        <v>28.0</v>
      </c>
      <c r="M1232" s="140" t="str">
        <f>VLOOKUP(text(D1232, "#"),'Master Table'!$A:$F, 6, FALSE)</f>
        <v>H-4</v>
      </c>
      <c r="N1232" s="141" t="str">
        <f>IFERROR(__xludf.DUMMYFUNCTION("""COMPUTED_VALUE"""),"the significance of adding functional groups was not clear. The student could have dialed-down the methology of isolating borate - it was harder to understand the approach.  ")</f>
        <v>the significance of adding functional groups was not clear. The student could have dialed-down the methology of isolating borate - it was harder to understand the approach.  </v>
      </c>
      <c r="O1232" s="142" t="str">
        <f t="shared" si="1"/>
        <v/>
      </c>
      <c r="P1232" s="143" t="str">
        <f>IF(ISNA(VLOOKUP(CONCAT(M1232,C1232), 'Judge Count DO NOT EDIT'!H:H, 1, FALSE)), "ERROR","")</f>
        <v/>
      </c>
      <c r="Q1232" s="141"/>
      <c r="R1232" s="143"/>
      <c r="S1232" s="139" t="str">
        <f t="shared" si="2"/>
        <v>1226494</v>
      </c>
      <c r="T1232" s="141"/>
    </row>
    <row r="1233">
      <c r="A1233" s="137">
        <f>IFERROR(__xludf.DUMMYFUNCTION("""COMPUTED_VALUE"""),45352.60917491898)</f>
        <v>45352.60917</v>
      </c>
      <c r="B1233" s="138" t="str">
        <f>IFERROR(__xludf.DUMMYFUNCTION("""COMPUTED_VALUE"""),"Tiffany Luong")</f>
        <v>Tiffany Luong</v>
      </c>
      <c r="C1233" s="138">
        <f>IFERROR(__xludf.DUMMYFUNCTION("""COMPUTED_VALUE"""),1158.0)</f>
        <v>1158</v>
      </c>
      <c r="D1233" s="139">
        <f>IFERROR(__xludf.DUMMYFUNCTION("""COMPUTED_VALUE"""),494.0)</f>
        <v>494</v>
      </c>
      <c r="E1233" s="138">
        <f>IFERROR(__xludf.DUMMYFUNCTION("""COMPUTED_VALUE"""),5.0)</f>
        <v>5</v>
      </c>
      <c r="F1233" s="138">
        <f>IFERROR(__xludf.DUMMYFUNCTION("""COMPUTED_VALUE"""),5.0)</f>
        <v>5</v>
      </c>
      <c r="G1233" s="138">
        <f>IFERROR(__xludf.DUMMYFUNCTION("""COMPUTED_VALUE"""),5.0)</f>
        <v>5</v>
      </c>
      <c r="H1233" s="138">
        <f>IFERROR(__xludf.DUMMYFUNCTION("""COMPUTED_VALUE"""),4.0)</f>
        <v>4</v>
      </c>
      <c r="I1233" s="138">
        <f>IFERROR(__xludf.DUMMYFUNCTION("""COMPUTED_VALUE"""),5.0)</f>
        <v>5</v>
      </c>
      <c r="J1233" s="138">
        <f>IFERROR(__xludf.DUMMYFUNCTION("""COMPUTED_VALUE"""),4.0)</f>
        <v>4</v>
      </c>
      <c r="K1233" s="138">
        <f>IFERROR(__xludf.DUMMYFUNCTION("""COMPUTED_VALUE"""),5.0)</f>
        <v>5</v>
      </c>
      <c r="L1233" s="138">
        <v>33.0</v>
      </c>
      <c r="M1233" s="140" t="str">
        <f>VLOOKUP(text(D1233, "#"),'Master Table'!$A:$F, 6, FALSE)</f>
        <v>H-4</v>
      </c>
      <c r="N1233" s="141" t="str">
        <f>IFERROR(__xludf.DUMMYFUNCTION("""COMPUTED_VALUE"""),"Excellent presentation, gauged audience familiarity with the topic before speaking. Clear and descriptive presentation despite complexity of topic.")</f>
        <v>Excellent presentation, gauged audience familiarity with the topic before speaking. Clear and descriptive presentation despite complexity of topic.</v>
      </c>
      <c r="O1233" s="142" t="str">
        <f t="shared" si="1"/>
        <v/>
      </c>
      <c r="P1233" s="143" t="str">
        <f>IF(ISNA(VLOOKUP(CONCAT(M1233,C1233), 'Judge Count DO NOT EDIT'!H:H, 1, FALSE)), "ERROR","")</f>
        <v/>
      </c>
      <c r="Q1233" s="141"/>
      <c r="R1233" s="143"/>
      <c r="S1233" s="139" t="str">
        <f t="shared" si="2"/>
        <v>1158494</v>
      </c>
      <c r="T1233" s="141"/>
    </row>
    <row r="1234">
      <c r="A1234" s="137">
        <f>IFERROR(__xludf.DUMMYFUNCTION("""COMPUTED_VALUE"""),45352.619982476856)</f>
        <v>45352.61998</v>
      </c>
      <c r="B1234" s="138" t="str">
        <f>IFERROR(__xludf.DUMMYFUNCTION("""COMPUTED_VALUE"""),"Anupama Singh")</f>
        <v>Anupama Singh</v>
      </c>
      <c r="C1234" s="138">
        <f>IFERROR(__xludf.DUMMYFUNCTION("""COMPUTED_VALUE"""),1186.0)</f>
        <v>1186</v>
      </c>
      <c r="D1234" s="139">
        <f>IFERROR(__xludf.DUMMYFUNCTION("""COMPUTED_VALUE"""),494.0)</f>
        <v>494</v>
      </c>
      <c r="E1234" s="138">
        <f>IFERROR(__xludf.DUMMYFUNCTION("""COMPUTED_VALUE"""),3.0)</f>
        <v>3</v>
      </c>
      <c r="F1234" s="138">
        <f>IFERROR(__xludf.DUMMYFUNCTION("""COMPUTED_VALUE"""),3.0)</f>
        <v>3</v>
      </c>
      <c r="G1234" s="138">
        <f>IFERROR(__xludf.DUMMYFUNCTION("""COMPUTED_VALUE"""),3.0)</f>
        <v>3</v>
      </c>
      <c r="H1234" s="138">
        <f>IFERROR(__xludf.DUMMYFUNCTION("""COMPUTED_VALUE"""),4.0)</f>
        <v>4</v>
      </c>
      <c r="I1234" s="138">
        <f>IFERROR(__xludf.DUMMYFUNCTION("""COMPUTED_VALUE"""),4.0)</f>
        <v>4</v>
      </c>
      <c r="J1234" s="138">
        <f>IFERROR(__xludf.DUMMYFUNCTION("""COMPUTED_VALUE"""),3.0)</f>
        <v>3</v>
      </c>
      <c r="K1234" s="138">
        <f>IFERROR(__xludf.DUMMYFUNCTION("""COMPUTED_VALUE"""),3.0)</f>
        <v>3</v>
      </c>
      <c r="L1234" s="138">
        <v>23.0</v>
      </c>
      <c r="M1234" s="140" t="str">
        <f>VLOOKUP(text(D1234, "#"),'Master Table'!$A:$F, 6, FALSE)</f>
        <v>H-4</v>
      </c>
      <c r="N1234" s="141" t="str">
        <f>IFERROR(__xludf.DUMMYFUNCTION("""COMPUTED_VALUE"""),"Alahandra did a nice job is explaining her research. I appreciate her asking me about my proficiency in Chemistry and was patient in answering all my questions, some were very basic due to lack of my own understanding of her subject. She explained the sig"&amp;"nificance of her approach with great clarity, and how it is more efficient chemistry-wise. However, it would be nice for her to think on the broader implications of her research, like if she can think of existing drugs that would benefit from her research"&amp;". ")</f>
        <v>Alahandra did a nice job is explaining her research. I appreciate her asking me about my proficiency in Chemistry and was patient in answering all my questions, some were very basic due to lack of my own understanding of her subject. She explained the significance of her approach with great clarity, and how it is more efficient chemistry-wise. However, it would be nice for her to think on the broader implications of her research, like if she can think of existing drugs that would benefit from her research. </v>
      </c>
      <c r="O1234" s="142" t="str">
        <f t="shared" si="1"/>
        <v/>
      </c>
      <c r="P1234" s="143" t="str">
        <f>IF(ISNA(VLOOKUP(CONCAT(M1234,C1234), 'Judge Count DO NOT EDIT'!H:H, 1, FALSE)), "ERROR","")</f>
        <v/>
      </c>
      <c r="Q1234" s="141"/>
      <c r="R1234" s="143"/>
      <c r="S1234" s="139" t="str">
        <f t="shared" si="2"/>
        <v>1186494</v>
      </c>
      <c r="T1234" s="141"/>
    </row>
    <row r="1235">
      <c r="A1235" s="137">
        <f>IFERROR(__xludf.DUMMYFUNCTION("""COMPUTED_VALUE"""),45352.55335988426)</f>
        <v>45352.55336</v>
      </c>
      <c r="B1235" s="138" t="str">
        <f>IFERROR(__xludf.DUMMYFUNCTION("""COMPUTED_VALUE"""),"Naveen Vaidya")</f>
        <v>Naveen Vaidya</v>
      </c>
      <c r="C1235" s="138">
        <f>IFERROR(__xludf.DUMMYFUNCTION("""COMPUTED_VALUE"""),1192.0)</f>
        <v>1192</v>
      </c>
      <c r="D1235" s="139">
        <f>IFERROR(__xludf.DUMMYFUNCTION("""COMPUTED_VALUE"""),495.0)</f>
        <v>495</v>
      </c>
      <c r="E1235" s="138">
        <f>IFERROR(__xludf.DUMMYFUNCTION("""COMPUTED_VALUE"""),3.0)</f>
        <v>3</v>
      </c>
      <c r="F1235" s="138">
        <f>IFERROR(__xludf.DUMMYFUNCTION("""COMPUTED_VALUE"""),3.0)</f>
        <v>3</v>
      </c>
      <c r="G1235" s="138">
        <f>IFERROR(__xludf.DUMMYFUNCTION("""COMPUTED_VALUE"""),4.0)</f>
        <v>4</v>
      </c>
      <c r="H1235" s="138">
        <f>IFERROR(__xludf.DUMMYFUNCTION("""COMPUTED_VALUE"""),3.0)</f>
        <v>3</v>
      </c>
      <c r="I1235" s="138">
        <f>IFERROR(__xludf.DUMMYFUNCTION("""COMPUTED_VALUE"""),3.0)</f>
        <v>3</v>
      </c>
      <c r="J1235" s="138">
        <f>IFERROR(__xludf.DUMMYFUNCTION("""COMPUTED_VALUE"""),4.0)</f>
        <v>4</v>
      </c>
      <c r="K1235" s="138">
        <f>IFERROR(__xludf.DUMMYFUNCTION("""COMPUTED_VALUE"""),3.0)</f>
        <v>3</v>
      </c>
      <c r="L1235" s="138">
        <v>23.0</v>
      </c>
      <c r="M1235" s="140" t="str">
        <f>VLOOKUP(text(D1235, "#"),'Master Table'!$A:$F, 6, FALSE)</f>
        <v>H-5</v>
      </c>
      <c r="N1235" s="141"/>
      <c r="O1235" s="142" t="str">
        <f t="shared" si="1"/>
        <v/>
      </c>
      <c r="P1235" s="143" t="str">
        <f>IF(ISNA(VLOOKUP(CONCAT(M1235,C1235), 'Judge Count DO NOT EDIT'!H:H, 1, FALSE)), "ERROR","")</f>
        <v/>
      </c>
      <c r="Q1235" s="141"/>
      <c r="R1235" s="143"/>
      <c r="S1235" s="139" t="str">
        <f t="shared" si="2"/>
        <v>1192495</v>
      </c>
      <c r="T1235" s="141"/>
    </row>
    <row r="1236">
      <c r="A1236" s="137">
        <f>IFERROR(__xludf.DUMMYFUNCTION("""COMPUTED_VALUE"""),45352.55883328704)</f>
        <v>45352.55883</v>
      </c>
      <c r="B1236" s="138" t="str">
        <f>IFERROR(__xludf.DUMMYFUNCTION("""COMPUTED_VALUE"""),"Peaceibisia Jack")</f>
        <v>Peaceibisia Jack</v>
      </c>
      <c r="C1236" s="138">
        <f>IFERROR(__xludf.DUMMYFUNCTION("""COMPUTED_VALUE"""),1079.0)</f>
        <v>1079</v>
      </c>
      <c r="D1236" s="139">
        <f>IFERROR(__xludf.DUMMYFUNCTION("""COMPUTED_VALUE"""),495.0)</f>
        <v>495</v>
      </c>
      <c r="E1236" s="138">
        <f>IFERROR(__xludf.DUMMYFUNCTION("""COMPUTED_VALUE"""),5.0)</f>
        <v>5</v>
      </c>
      <c r="F1236" s="138">
        <f>IFERROR(__xludf.DUMMYFUNCTION("""COMPUTED_VALUE"""),5.0)</f>
        <v>5</v>
      </c>
      <c r="G1236" s="138">
        <f>IFERROR(__xludf.DUMMYFUNCTION("""COMPUTED_VALUE"""),5.0)</f>
        <v>5</v>
      </c>
      <c r="H1236" s="138">
        <f>IFERROR(__xludf.DUMMYFUNCTION("""COMPUTED_VALUE"""),5.0)</f>
        <v>5</v>
      </c>
      <c r="I1236" s="138">
        <f>IFERROR(__xludf.DUMMYFUNCTION("""COMPUTED_VALUE"""),5.0)</f>
        <v>5</v>
      </c>
      <c r="J1236" s="138">
        <f>IFERROR(__xludf.DUMMYFUNCTION("""COMPUTED_VALUE"""),5.0)</f>
        <v>5</v>
      </c>
      <c r="K1236" s="138">
        <f>IFERROR(__xludf.DUMMYFUNCTION("""COMPUTED_VALUE"""),5.0)</f>
        <v>5</v>
      </c>
      <c r="L1236" s="138">
        <v>35.0</v>
      </c>
      <c r="M1236" s="140" t="str">
        <f>VLOOKUP(text(D1236, "#"),'Master Table'!$A:$F, 6, FALSE)</f>
        <v>H-5</v>
      </c>
      <c r="N1236" s="141" t="str">
        <f>IFERROR(__xludf.DUMMYFUNCTION("""COMPUTED_VALUE"""),"Great job!
Note: sounded confident, explained in details and has an in depth knowledge. ")</f>
        <v>Great job!
Note: sounded confident, explained in details and has an in depth knowledge. </v>
      </c>
      <c r="O1236" s="142" t="str">
        <f t="shared" si="1"/>
        <v/>
      </c>
      <c r="P1236" s="143" t="str">
        <f>IF(ISNA(VLOOKUP(CONCAT(M1236,C1236), 'Judge Count DO NOT EDIT'!H:H, 1, FALSE)), "ERROR","")</f>
        <v/>
      </c>
      <c r="Q1236" s="141"/>
      <c r="R1236" s="143"/>
      <c r="S1236" s="139" t="str">
        <f t="shared" si="2"/>
        <v>1079495</v>
      </c>
      <c r="T1236" s="141"/>
    </row>
    <row r="1237">
      <c r="A1237" s="137">
        <f>IFERROR(__xludf.DUMMYFUNCTION("""COMPUTED_VALUE"""),45352.622686006944)</f>
        <v>45352.62269</v>
      </c>
      <c r="B1237" s="138" t="str">
        <f>IFERROR(__xludf.DUMMYFUNCTION("""COMPUTED_VALUE"""),"Lin Wang")</f>
        <v>Lin Wang</v>
      </c>
      <c r="C1237" s="138">
        <f>IFERROR(__xludf.DUMMYFUNCTION("""COMPUTED_VALUE"""),1167.0)</f>
        <v>1167</v>
      </c>
      <c r="D1237" s="139">
        <f>IFERROR(__xludf.DUMMYFUNCTION("""COMPUTED_VALUE"""),495.0)</f>
        <v>495</v>
      </c>
      <c r="E1237" s="138">
        <f>IFERROR(__xludf.DUMMYFUNCTION("""COMPUTED_VALUE"""),4.0)</f>
        <v>4</v>
      </c>
      <c r="F1237" s="138">
        <f>IFERROR(__xludf.DUMMYFUNCTION("""COMPUTED_VALUE"""),4.0)</f>
        <v>4</v>
      </c>
      <c r="G1237" s="138">
        <f>IFERROR(__xludf.DUMMYFUNCTION("""COMPUTED_VALUE"""),4.0)</f>
        <v>4</v>
      </c>
      <c r="H1237" s="138">
        <f>IFERROR(__xludf.DUMMYFUNCTION("""COMPUTED_VALUE"""),4.0)</f>
        <v>4</v>
      </c>
      <c r="I1237" s="138">
        <f>IFERROR(__xludf.DUMMYFUNCTION("""COMPUTED_VALUE"""),4.0)</f>
        <v>4</v>
      </c>
      <c r="J1237" s="138">
        <f>IFERROR(__xludf.DUMMYFUNCTION("""COMPUTED_VALUE"""),4.0)</f>
        <v>4</v>
      </c>
      <c r="K1237" s="138">
        <f>IFERROR(__xludf.DUMMYFUNCTION("""COMPUTED_VALUE"""),4.0)</f>
        <v>4</v>
      </c>
      <c r="L1237" s="138">
        <v>28.0</v>
      </c>
      <c r="M1237" s="140" t="str">
        <f>VLOOKUP(text(D1237, "#"),'Master Table'!$A:$F, 6, FALSE)</f>
        <v>H-5</v>
      </c>
      <c r="N1237" s="141" t="str">
        <f>IFERROR(__xludf.DUMMYFUNCTION("""COMPUTED_VALUE"""),"This is an interesting research. The poster is well organized. The presenter is very interactive and knowledgeable. ")</f>
        <v>This is an interesting research. The poster is well organized. The presenter is very interactive and knowledgeable. </v>
      </c>
      <c r="O1237" s="142" t="str">
        <f t="shared" si="1"/>
        <v/>
      </c>
      <c r="P1237" s="143" t="str">
        <f>IF(ISNA(VLOOKUP(CONCAT(M1237,C1237), 'Judge Count DO NOT EDIT'!H:H, 1, FALSE)), "ERROR","")</f>
        <v/>
      </c>
      <c r="Q1237" s="144"/>
      <c r="R1237" s="143"/>
      <c r="S1237" s="139" t="str">
        <f t="shared" si="2"/>
        <v>1167495</v>
      </c>
      <c r="T1237" s="141"/>
    </row>
    <row r="1238">
      <c r="A1238" s="137">
        <f>IFERROR(__xludf.DUMMYFUNCTION("""COMPUTED_VALUE"""),45352.62824611111)</f>
        <v>45352.62825</v>
      </c>
      <c r="B1238" s="138" t="str">
        <f>IFERROR(__xludf.DUMMYFUNCTION("""COMPUTED_VALUE"""),"Zhao")</f>
        <v>Zhao</v>
      </c>
      <c r="C1238" s="138">
        <f>IFERROR(__xludf.DUMMYFUNCTION("""COMPUTED_VALUE"""),1153.0)</f>
        <v>1153</v>
      </c>
      <c r="D1238" s="139">
        <f>IFERROR(__xludf.DUMMYFUNCTION("""COMPUTED_VALUE"""),495.0)</f>
        <v>495</v>
      </c>
      <c r="E1238" s="138">
        <f>IFERROR(__xludf.DUMMYFUNCTION("""COMPUTED_VALUE"""),2.0)</f>
        <v>2</v>
      </c>
      <c r="F1238" s="138">
        <f>IFERROR(__xludf.DUMMYFUNCTION("""COMPUTED_VALUE"""),2.0)</f>
        <v>2</v>
      </c>
      <c r="G1238" s="138">
        <f>IFERROR(__xludf.DUMMYFUNCTION("""COMPUTED_VALUE"""),4.0)</f>
        <v>4</v>
      </c>
      <c r="H1238" s="138">
        <f>IFERROR(__xludf.DUMMYFUNCTION("""COMPUTED_VALUE"""),2.0)</f>
        <v>2</v>
      </c>
      <c r="I1238" s="138">
        <f>IFERROR(__xludf.DUMMYFUNCTION("""COMPUTED_VALUE"""),3.0)</f>
        <v>3</v>
      </c>
      <c r="J1238" s="138">
        <f>IFERROR(__xludf.DUMMYFUNCTION("""COMPUTED_VALUE"""),3.0)</f>
        <v>3</v>
      </c>
      <c r="K1238" s="138">
        <f>IFERROR(__xludf.DUMMYFUNCTION("""COMPUTED_VALUE"""),4.0)</f>
        <v>4</v>
      </c>
      <c r="L1238" s="138">
        <v>20.0</v>
      </c>
      <c r="M1238" s="140" t="str">
        <f>VLOOKUP(text(D1238, "#"),'Master Table'!$A:$F, 6, FALSE)</f>
        <v>H-5</v>
      </c>
      <c r="N1238" s="141"/>
      <c r="O1238" s="142" t="str">
        <f t="shared" si="1"/>
        <v/>
      </c>
      <c r="P1238" s="143" t="str">
        <f>IF(ISNA(VLOOKUP(CONCAT(M1238,C1238), 'Judge Count DO NOT EDIT'!H:H, 1, FALSE)), "ERROR","")</f>
        <v/>
      </c>
      <c r="Q1238" s="141"/>
      <c r="R1238" s="143"/>
      <c r="S1238" s="139" t="str">
        <f t="shared" si="2"/>
        <v>1153495</v>
      </c>
      <c r="T1238" s="141"/>
    </row>
    <row r="1239">
      <c r="A1239" s="137">
        <f>IFERROR(__xludf.DUMMYFUNCTION("""COMPUTED_VALUE"""),45352.67456932871)</f>
        <v>45352.67457</v>
      </c>
      <c r="B1239" s="138" t="str">
        <f>IFERROR(__xludf.DUMMYFUNCTION("""COMPUTED_VALUE"""),"Tom Cole")</f>
        <v>Tom Cole</v>
      </c>
      <c r="C1239" s="138">
        <f>IFERROR(__xludf.DUMMYFUNCTION("""COMPUTED_VALUE"""),1236.0)</f>
        <v>1236</v>
      </c>
      <c r="D1239" s="139">
        <f>IFERROR(__xludf.DUMMYFUNCTION("""COMPUTED_VALUE"""),495.0)</f>
        <v>495</v>
      </c>
      <c r="E1239" s="138">
        <f>IFERROR(__xludf.DUMMYFUNCTION("""COMPUTED_VALUE"""),4.0)</f>
        <v>4</v>
      </c>
      <c r="F1239" s="138">
        <f>IFERROR(__xludf.DUMMYFUNCTION("""COMPUTED_VALUE"""),3.0)</f>
        <v>3</v>
      </c>
      <c r="G1239" s="138">
        <f>IFERROR(__xludf.DUMMYFUNCTION("""COMPUTED_VALUE"""),3.0)</f>
        <v>3</v>
      </c>
      <c r="H1239" s="138">
        <f>IFERROR(__xludf.DUMMYFUNCTION("""COMPUTED_VALUE"""),5.0)</f>
        <v>5</v>
      </c>
      <c r="I1239" s="138">
        <f>IFERROR(__xludf.DUMMYFUNCTION("""COMPUTED_VALUE"""),4.0)</f>
        <v>4</v>
      </c>
      <c r="J1239" s="138">
        <f>IFERROR(__xludf.DUMMYFUNCTION("""COMPUTED_VALUE"""),4.0)</f>
        <v>4</v>
      </c>
      <c r="K1239" s="138">
        <f>IFERROR(__xludf.DUMMYFUNCTION("""COMPUTED_VALUE"""),4.0)</f>
        <v>4</v>
      </c>
      <c r="L1239" s="138">
        <v>27.0</v>
      </c>
      <c r="M1239" s="140" t="str">
        <f>VLOOKUP(text(D1239, "#"),'Master Table'!$A:$F, 6, FALSE)</f>
        <v>H-5</v>
      </c>
      <c r="N1239" s="141"/>
      <c r="O1239" s="142" t="str">
        <f t="shared" si="1"/>
        <v/>
      </c>
      <c r="P1239" s="143" t="str">
        <f>IF(ISNA(VLOOKUP(CONCAT(M1239,C1239), 'Judge Count DO NOT EDIT'!H:H, 1, FALSE)), "ERROR","")</f>
        <v/>
      </c>
      <c r="Q1239" s="141"/>
      <c r="R1239" s="143"/>
      <c r="S1239" s="139" t="str">
        <f t="shared" si="2"/>
        <v>1236495</v>
      </c>
      <c r="T1239" s="141"/>
    </row>
    <row r="1240">
      <c r="A1240" s="137">
        <f>IFERROR(__xludf.DUMMYFUNCTION("""COMPUTED_VALUE"""),45352.57544204861)</f>
        <v>45352.57544</v>
      </c>
      <c r="B1240" s="138" t="str">
        <f>IFERROR(__xludf.DUMMYFUNCTION("""COMPUTED_VALUE"""),"PeaceIbisia Jack ")</f>
        <v>PeaceIbisia Jack </v>
      </c>
      <c r="C1240" s="138">
        <f>IFERROR(__xludf.DUMMYFUNCTION("""COMPUTED_VALUE"""),1079.0)</f>
        <v>1079</v>
      </c>
      <c r="D1240" s="139">
        <f>IFERROR(__xludf.DUMMYFUNCTION("""COMPUTED_VALUE"""),498.0)</f>
        <v>498</v>
      </c>
      <c r="E1240" s="138">
        <f>IFERROR(__xludf.DUMMYFUNCTION("""COMPUTED_VALUE"""),4.0)</f>
        <v>4</v>
      </c>
      <c r="F1240" s="138">
        <f>IFERROR(__xludf.DUMMYFUNCTION("""COMPUTED_VALUE"""),5.0)</f>
        <v>5</v>
      </c>
      <c r="G1240" s="138">
        <f>IFERROR(__xludf.DUMMYFUNCTION("""COMPUTED_VALUE"""),5.0)</f>
        <v>5</v>
      </c>
      <c r="H1240" s="138">
        <f>IFERROR(__xludf.DUMMYFUNCTION("""COMPUTED_VALUE"""),5.0)</f>
        <v>5</v>
      </c>
      <c r="I1240" s="138">
        <f>IFERROR(__xludf.DUMMYFUNCTION("""COMPUTED_VALUE"""),5.0)</f>
        <v>5</v>
      </c>
      <c r="J1240" s="138">
        <f>IFERROR(__xludf.DUMMYFUNCTION("""COMPUTED_VALUE"""),5.0)</f>
        <v>5</v>
      </c>
      <c r="K1240" s="138">
        <f>IFERROR(__xludf.DUMMYFUNCTION("""COMPUTED_VALUE"""),5.0)</f>
        <v>5</v>
      </c>
      <c r="L1240" s="138">
        <v>34.0</v>
      </c>
      <c r="M1240" s="140" t="str">
        <f>VLOOKUP(text(D1240, "#"),'Master Table'!$A:$F, 6, FALSE)</f>
        <v>H-5</v>
      </c>
      <c r="N1240" s="141" t="str">
        <f>IFERROR(__xludf.DUMMYFUNCTION("""COMPUTED_VALUE"""),"Great job! 
Note: Great presentation and explaining of the research. ")</f>
        <v>Great job! 
Note: Great presentation and explaining of the research. </v>
      </c>
      <c r="O1240" s="142" t="str">
        <f t="shared" si="1"/>
        <v/>
      </c>
      <c r="P1240" s="143" t="str">
        <f>IF(ISNA(VLOOKUP(CONCAT(M1240,C1240), 'Judge Count DO NOT EDIT'!H:H, 1, FALSE)), "ERROR","")</f>
        <v/>
      </c>
      <c r="Q1240" s="141"/>
      <c r="R1240" s="143"/>
      <c r="S1240" s="139" t="str">
        <f t="shared" si="2"/>
        <v>1079498</v>
      </c>
      <c r="T1240" s="141"/>
    </row>
    <row r="1241">
      <c r="A1241" s="137">
        <f>IFERROR(__xludf.DUMMYFUNCTION("""COMPUTED_VALUE"""),45352.60516994213)</f>
        <v>45352.60517</v>
      </c>
      <c r="B1241" s="138" t="str">
        <f>IFERROR(__xludf.DUMMYFUNCTION("""COMPUTED_VALUE"""),"Naveen Vaidya")</f>
        <v>Naveen Vaidya</v>
      </c>
      <c r="C1241" s="138">
        <f>IFERROR(__xludf.DUMMYFUNCTION("""COMPUTED_VALUE"""),1192.0)</f>
        <v>1192</v>
      </c>
      <c r="D1241" s="139">
        <f>IFERROR(__xludf.DUMMYFUNCTION("""COMPUTED_VALUE"""),498.0)</f>
        <v>498</v>
      </c>
      <c r="E1241" s="138">
        <f>IFERROR(__xludf.DUMMYFUNCTION("""COMPUTED_VALUE"""),3.0)</f>
        <v>3</v>
      </c>
      <c r="F1241" s="138">
        <f>IFERROR(__xludf.DUMMYFUNCTION("""COMPUTED_VALUE"""),4.0)</f>
        <v>4</v>
      </c>
      <c r="G1241" s="138">
        <f>IFERROR(__xludf.DUMMYFUNCTION("""COMPUTED_VALUE"""),4.0)</f>
        <v>4</v>
      </c>
      <c r="H1241" s="138">
        <f>IFERROR(__xludf.DUMMYFUNCTION("""COMPUTED_VALUE"""),3.0)</f>
        <v>3</v>
      </c>
      <c r="I1241" s="138">
        <f>IFERROR(__xludf.DUMMYFUNCTION("""COMPUTED_VALUE"""),4.0)</f>
        <v>4</v>
      </c>
      <c r="J1241" s="138">
        <f>IFERROR(__xludf.DUMMYFUNCTION("""COMPUTED_VALUE"""),3.0)</f>
        <v>3</v>
      </c>
      <c r="K1241" s="138">
        <f>IFERROR(__xludf.DUMMYFUNCTION("""COMPUTED_VALUE"""),3.0)</f>
        <v>3</v>
      </c>
      <c r="L1241" s="138">
        <v>24.0</v>
      </c>
      <c r="M1241" s="140" t="str">
        <f>VLOOKUP(text(D1241, "#"),'Master Table'!$A:$F, 6, FALSE)</f>
        <v>H-5</v>
      </c>
      <c r="N1241" s="141"/>
      <c r="O1241" s="142" t="str">
        <f t="shared" si="1"/>
        <v/>
      </c>
      <c r="P1241" s="143" t="str">
        <f>IF(ISNA(VLOOKUP(CONCAT(M1241,C1241), 'Judge Count DO NOT EDIT'!H:H, 1, FALSE)), "ERROR","")</f>
        <v/>
      </c>
      <c r="Q1241" s="141"/>
      <c r="R1241" s="143"/>
      <c r="S1241" s="139" t="str">
        <f t="shared" si="2"/>
        <v>1192498</v>
      </c>
      <c r="T1241" s="141"/>
    </row>
    <row r="1242">
      <c r="A1242" s="137">
        <f>IFERROR(__xludf.DUMMYFUNCTION("""COMPUTED_VALUE"""),45352.62477581018)</f>
        <v>45352.62478</v>
      </c>
      <c r="B1242" s="138" t="str">
        <f>IFERROR(__xludf.DUMMYFUNCTION("""COMPUTED_VALUE"""),"Lin Wang")</f>
        <v>Lin Wang</v>
      </c>
      <c r="C1242" s="138">
        <f>IFERROR(__xludf.DUMMYFUNCTION("""COMPUTED_VALUE"""),1167.0)</f>
        <v>1167</v>
      </c>
      <c r="D1242" s="139">
        <f>IFERROR(__xludf.DUMMYFUNCTION("""COMPUTED_VALUE"""),498.0)</f>
        <v>498</v>
      </c>
      <c r="E1242" s="138">
        <f>IFERROR(__xludf.DUMMYFUNCTION("""COMPUTED_VALUE"""),3.0)</f>
        <v>3</v>
      </c>
      <c r="F1242" s="138">
        <f>IFERROR(__xludf.DUMMYFUNCTION("""COMPUTED_VALUE"""),4.0)</f>
        <v>4</v>
      </c>
      <c r="G1242" s="138">
        <f>IFERROR(__xludf.DUMMYFUNCTION("""COMPUTED_VALUE"""),3.0)</f>
        <v>3</v>
      </c>
      <c r="H1242" s="138">
        <f>IFERROR(__xludf.DUMMYFUNCTION("""COMPUTED_VALUE"""),4.0)</f>
        <v>4</v>
      </c>
      <c r="I1242" s="138">
        <f>IFERROR(__xludf.DUMMYFUNCTION("""COMPUTED_VALUE"""),4.0)</f>
        <v>4</v>
      </c>
      <c r="J1242" s="138">
        <f>IFERROR(__xludf.DUMMYFUNCTION("""COMPUTED_VALUE"""),4.0)</f>
        <v>4</v>
      </c>
      <c r="K1242" s="138">
        <f>IFERROR(__xludf.DUMMYFUNCTION("""COMPUTED_VALUE"""),4.0)</f>
        <v>4</v>
      </c>
      <c r="L1242" s="138">
        <v>26.0</v>
      </c>
      <c r="M1242" s="140" t="str">
        <f>VLOOKUP(text(D1242, "#"),'Master Table'!$A:$F, 6, FALSE)</f>
        <v>H-5</v>
      </c>
      <c r="N1242" s="141" t="str">
        <f>IFERROR(__xludf.DUMMYFUNCTION("""COMPUTED_VALUE"""),"Well organized. Great presenter very knowledgeable and very interactive with audience. ")</f>
        <v>Well organized. Great presenter very knowledgeable and very interactive with audience. </v>
      </c>
      <c r="O1242" s="142" t="str">
        <f t="shared" si="1"/>
        <v/>
      </c>
      <c r="P1242" s="143" t="str">
        <f>IF(ISNA(VLOOKUP(CONCAT(M1242,C1242), 'Judge Count DO NOT EDIT'!H:H, 1, FALSE)), "ERROR","")</f>
        <v/>
      </c>
      <c r="Q1242" s="141"/>
      <c r="R1242" s="143"/>
      <c r="S1242" s="139" t="str">
        <f t="shared" si="2"/>
        <v>1167498</v>
      </c>
      <c r="T1242" s="141"/>
    </row>
    <row r="1243">
      <c r="A1243" s="137">
        <f>IFERROR(__xludf.DUMMYFUNCTION("""COMPUTED_VALUE"""),45352.6275066088)</f>
        <v>45352.62751</v>
      </c>
      <c r="B1243" s="138" t="str">
        <f>IFERROR(__xludf.DUMMYFUNCTION("""COMPUTED_VALUE"""),"Zhao")</f>
        <v>Zhao</v>
      </c>
      <c r="C1243" s="138">
        <f>IFERROR(__xludf.DUMMYFUNCTION("""COMPUTED_VALUE"""),1153.0)</f>
        <v>1153</v>
      </c>
      <c r="D1243" s="139">
        <f>IFERROR(__xludf.DUMMYFUNCTION("""COMPUTED_VALUE"""),498.0)</f>
        <v>498</v>
      </c>
      <c r="E1243" s="138">
        <f>IFERROR(__xludf.DUMMYFUNCTION("""COMPUTED_VALUE"""),4.0)</f>
        <v>4</v>
      </c>
      <c r="F1243" s="138">
        <f>IFERROR(__xludf.DUMMYFUNCTION("""COMPUTED_VALUE"""),1.0)</f>
        <v>1</v>
      </c>
      <c r="G1243" s="138">
        <f>IFERROR(__xludf.DUMMYFUNCTION("""COMPUTED_VALUE"""),5.0)</f>
        <v>5</v>
      </c>
      <c r="H1243" s="138">
        <f>IFERROR(__xludf.DUMMYFUNCTION("""COMPUTED_VALUE"""),2.0)</f>
        <v>2</v>
      </c>
      <c r="I1243" s="138">
        <f>IFERROR(__xludf.DUMMYFUNCTION("""COMPUTED_VALUE"""),2.0)</f>
        <v>2</v>
      </c>
      <c r="J1243" s="138">
        <f>IFERROR(__xludf.DUMMYFUNCTION("""COMPUTED_VALUE"""),2.0)</f>
        <v>2</v>
      </c>
      <c r="K1243" s="138">
        <f>IFERROR(__xludf.DUMMYFUNCTION("""COMPUTED_VALUE"""),3.0)</f>
        <v>3</v>
      </c>
      <c r="L1243" s="138">
        <v>19.0</v>
      </c>
      <c r="M1243" s="140" t="str">
        <f>VLOOKUP(text(D1243, "#"),'Master Table'!$A:$F, 6, FALSE)</f>
        <v>H-5</v>
      </c>
      <c r="N1243" s="141"/>
      <c r="O1243" s="142" t="str">
        <f t="shared" si="1"/>
        <v/>
      </c>
      <c r="P1243" s="143" t="str">
        <f>IF(ISNA(VLOOKUP(CONCAT(M1243,C1243), 'Judge Count DO NOT EDIT'!H:H, 1, FALSE)), "ERROR","")</f>
        <v/>
      </c>
      <c r="Q1243" s="141"/>
      <c r="R1243" s="143"/>
      <c r="S1243" s="139" t="str">
        <f t="shared" si="2"/>
        <v>1153498</v>
      </c>
      <c r="T1243" s="141"/>
    </row>
    <row r="1244">
      <c r="A1244" s="137">
        <f>IFERROR(__xludf.DUMMYFUNCTION("""COMPUTED_VALUE"""),45352.67802346065)</f>
        <v>45352.67802</v>
      </c>
      <c r="B1244" s="138" t="str">
        <f>IFERROR(__xludf.DUMMYFUNCTION("""COMPUTED_VALUE"""),"Tom Cole")</f>
        <v>Tom Cole</v>
      </c>
      <c r="C1244" s="138">
        <f>IFERROR(__xludf.DUMMYFUNCTION("""COMPUTED_VALUE"""),1236.0)</f>
        <v>1236</v>
      </c>
      <c r="D1244" s="139">
        <f>IFERROR(__xludf.DUMMYFUNCTION("""COMPUTED_VALUE"""),498.0)</f>
        <v>498</v>
      </c>
      <c r="E1244" s="138">
        <f>IFERROR(__xludf.DUMMYFUNCTION("""COMPUTED_VALUE"""),4.0)</f>
        <v>4</v>
      </c>
      <c r="F1244" s="138">
        <f>IFERROR(__xludf.DUMMYFUNCTION("""COMPUTED_VALUE"""),5.0)</f>
        <v>5</v>
      </c>
      <c r="G1244" s="138">
        <f>IFERROR(__xludf.DUMMYFUNCTION("""COMPUTED_VALUE"""),5.0)</f>
        <v>5</v>
      </c>
      <c r="H1244" s="138">
        <f>IFERROR(__xludf.DUMMYFUNCTION("""COMPUTED_VALUE"""),3.0)</f>
        <v>3</v>
      </c>
      <c r="I1244" s="138">
        <f>IFERROR(__xludf.DUMMYFUNCTION("""COMPUTED_VALUE"""),2.0)</f>
        <v>2</v>
      </c>
      <c r="J1244" s="138">
        <f>IFERROR(__xludf.DUMMYFUNCTION("""COMPUTED_VALUE"""),4.0)</f>
        <v>4</v>
      </c>
      <c r="K1244" s="138">
        <f>IFERROR(__xludf.DUMMYFUNCTION("""COMPUTED_VALUE"""),4.0)</f>
        <v>4</v>
      </c>
      <c r="L1244" s="138">
        <v>27.0</v>
      </c>
      <c r="M1244" s="140" t="str">
        <f>VLOOKUP(text(D1244, "#"),'Master Table'!$A:$F, 6, FALSE)</f>
        <v>H-5</v>
      </c>
      <c r="N1244" s="141"/>
      <c r="O1244" s="142" t="str">
        <f t="shared" si="1"/>
        <v/>
      </c>
      <c r="P1244" s="143" t="str">
        <f>IF(ISNA(VLOOKUP(CONCAT(M1244,C1244), 'Judge Count DO NOT EDIT'!H:H, 1, FALSE)), "ERROR","")</f>
        <v/>
      </c>
      <c r="Q1244" s="141"/>
      <c r="R1244" s="143"/>
      <c r="S1244" s="139" t="str">
        <f t="shared" si="2"/>
        <v>1236498</v>
      </c>
      <c r="T1244" s="141"/>
    </row>
    <row r="1245">
      <c r="A1245" s="137">
        <f>IFERROR(__xludf.DUMMYFUNCTION("""COMPUTED_VALUE"""),45352.56773751158)</f>
        <v>45352.56774</v>
      </c>
      <c r="B1245" s="138" t="str">
        <f>IFERROR(__xludf.DUMMYFUNCTION("""COMPUTED_VALUE"""),"Naveen Vaidya ")</f>
        <v>Naveen Vaidya </v>
      </c>
      <c r="C1245" s="138">
        <f>IFERROR(__xludf.DUMMYFUNCTION("""COMPUTED_VALUE"""),1192.0)</f>
        <v>1192</v>
      </c>
      <c r="D1245" s="139">
        <f>IFERROR(__xludf.DUMMYFUNCTION("""COMPUTED_VALUE"""),499.0)</f>
        <v>499</v>
      </c>
      <c r="E1245" s="138">
        <f>IFERROR(__xludf.DUMMYFUNCTION("""COMPUTED_VALUE"""),4.0)</f>
        <v>4</v>
      </c>
      <c r="F1245" s="138">
        <f>IFERROR(__xludf.DUMMYFUNCTION("""COMPUTED_VALUE"""),4.0)</f>
        <v>4</v>
      </c>
      <c r="G1245" s="138">
        <f>IFERROR(__xludf.DUMMYFUNCTION("""COMPUTED_VALUE"""),5.0)</f>
        <v>5</v>
      </c>
      <c r="H1245" s="138">
        <f>IFERROR(__xludf.DUMMYFUNCTION("""COMPUTED_VALUE"""),3.0)</f>
        <v>3</v>
      </c>
      <c r="I1245" s="138">
        <f>IFERROR(__xludf.DUMMYFUNCTION("""COMPUTED_VALUE"""),4.0)</f>
        <v>4</v>
      </c>
      <c r="J1245" s="138">
        <f>IFERROR(__xludf.DUMMYFUNCTION("""COMPUTED_VALUE"""),4.0)</f>
        <v>4</v>
      </c>
      <c r="K1245" s="138">
        <f>IFERROR(__xludf.DUMMYFUNCTION("""COMPUTED_VALUE"""),4.0)</f>
        <v>4</v>
      </c>
      <c r="L1245" s="138">
        <v>28.0</v>
      </c>
      <c r="M1245" s="140" t="str">
        <f>VLOOKUP(text(D1245, "#"),'Master Table'!$A:$F, 6, FALSE)</f>
        <v>H-5</v>
      </c>
      <c r="N1245" s="141"/>
      <c r="O1245" s="142" t="str">
        <f t="shared" si="1"/>
        <v/>
      </c>
      <c r="P1245" s="143" t="str">
        <f>IF(ISNA(VLOOKUP(CONCAT(M1245,C1245), 'Judge Count DO NOT EDIT'!H:H, 1, FALSE)), "ERROR","")</f>
        <v/>
      </c>
      <c r="Q1245" s="141"/>
      <c r="R1245" s="143"/>
      <c r="S1245" s="139" t="str">
        <f t="shared" si="2"/>
        <v>1192499</v>
      </c>
      <c r="T1245" s="141"/>
    </row>
    <row r="1246">
      <c r="A1246" s="137">
        <f>IFERROR(__xludf.DUMMYFUNCTION("""COMPUTED_VALUE"""),45352.581230462965)</f>
        <v>45352.58123</v>
      </c>
      <c r="B1246" s="138" t="str">
        <f>IFERROR(__xludf.DUMMYFUNCTION("""COMPUTED_VALUE"""),"PeaceIbisia Jack ")</f>
        <v>PeaceIbisia Jack </v>
      </c>
      <c r="C1246" s="138">
        <f>IFERROR(__xludf.DUMMYFUNCTION("""COMPUTED_VALUE"""),1079.0)</f>
        <v>1079</v>
      </c>
      <c r="D1246" s="139">
        <f>IFERROR(__xludf.DUMMYFUNCTION("""COMPUTED_VALUE"""),499.0)</f>
        <v>499</v>
      </c>
      <c r="E1246" s="138">
        <f>IFERROR(__xludf.DUMMYFUNCTION("""COMPUTED_VALUE"""),5.0)</f>
        <v>5</v>
      </c>
      <c r="F1246" s="138">
        <f>IFERROR(__xludf.DUMMYFUNCTION("""COMPUTED_VALUE"""),5.0)</f>
        <v>5</v>
      </c>
      <c r="G1246" s="138">
        <f>IFERROR(__xludf.DUMMYFUNCTION("""COMPUTED_VALUE"""),5.0)</f>
        <v>5</v>
      </c>
      <c r="H1246" s="138">
        <f>IFERROR(__xludf.DUMMYFUNCTION("""COMPUTED_VALUE"""),5.0)</f>
        <v>5</v>
      </c>
      <c r="I1246" s="138">
        <f>IFERROR(__xludf.DUMMYFUNCTION("""COMPUTED_VALUE"""),5.0)</f>
        <v>5</v>
      </c>
      <c r="J1246" s="138">
        <f>IFERROR(__xludf.DUMMYFUNCTION("""COMPUTED_VALUE"""),5.0)</f>
        <v>5</v>
      </c>
      <c r="K1246" s="138">
        <f>IFERROR(__xludf.DUMMYFUNCTION("""COMPUTED_VALUE"""),5.0)</f>
        <v>5</v>
      </c>
      <c r="L1246" s="138">
        <v>35.0</v>
      </c>
      <c r="M1246" s="140" t="str">
        <f>VLOOKUP(text(D1246, "#"),'Master Table'!$A:$F, 6, FALSE)</f>
        <v>H-5</v>
      </c>
      <c r="N1246" s="141" t="str">
        <f>IFERROR(__xludf.DUMMYFUNCTION("""COMPUTED_VALUE"""),"Great job Carly! I can’t wait to see the paper strips on the counters at the store! ")</f>
        <v>Great job Carly! I can’t wait to see the paper strips on the counters at the store! </v>
      </c>
      <c r="O1246" s="142" t="str">
        <f t="shared" si="1"/>
        <v/>
      </c>
      <c r="P1246" s="143" t="str">
        <f>IF(ISNA(VLOOKUP(CONCAT(M1246,C1246), 'Judge Count DO NOT EDIT'!H:H, 1, FALSE)), "ERROR","")</f>
        <v/>
      </c>
      <c r="Q1246" s="141"/>
      <c r="R1246" s="143"/>
      <c r="S1246" s="139" t="str">
        <f t="shared" si="2"/>
        <v>1079499</v>
      </c>
      <c r="T1246" s="141"/>
    </row>
    <row r="1247">
      <c r="A1247" s="137">
        <f>IFERROR(__xludf.DUMMYFUNCTION("""COMPUTED_VALUE"""),45352.62650878472)</f>
        <v>45352.62651</v>
      </c>
      <c r="B1247" s="138" t="str">
        <f>IFERROR(__xludf.DUMMYFUNCTION("""COMPUTED_VALUE"""),"Lin Wang")</f>
        <v>Lin Wang</v>
      </c>
      <c r="C1247" s="138">
        <f>IFERROR(__xludf.DUMMYFUNCTION("""COMPUTED_VALUE"""),1167.0)</f>
        <v>1167</v>
      </c>
      <c r="D1247" s="139">
        <f>IFERROR(__xludf.DUMMYFUNCTION("""COMPUTED_VALUE"""),499.0)</f>
        <v>499</v>
      </c>
      <c r="E1247" s="138">
        <f>IFERROR(__xludf.DUMMYFUNCTION("""COMPUTED_VALUE"""),4.0)</f>
        <v>4</v>
      </c>
      <c r="F1247" s="138">
        <f>IFERROR(__xludf.DUMMYFUNCTION("""COMPUTED_VALUE"""),4.0)</f>
        <v>4</v>
      </c>
      <c r="G1247" s="138">
        <f>IFERROR(__xludf.DUMMYFUNCTION("""COMPUTED_VALUE"""),3.0)</f>
        <v>3</v>
      </c>
      <c r="H1247" s="138">
        <f>IFERROR(__xludf.DUMMYFUNCTION("""COMPUTED_VALUE"""),4.0)</f>
        <v>4</v>
      </c>
      <c r="I1247" s="138">
        <f>IFERROR(__xludf.DUMMYFUNCTION("""COMPUTED_VALUE"""),5.0)</f>
        <v>5</v>
      </c>
      <c r="J1247" s="138">
        <f>IFERROR(__xludf.DUMMYFUNCTION("""COMPUTED_VALUE"""),4.0)</f>
        <v>4</v>
      </c>
      <c r="K1247" s="138">
        <f>IFERROR(__xludf.DUMMYFUNCTION("""COMPUTED_VALUE"""),5.0)</f>
        <v>5</v>
      </c>
      <c r="L1247" s="138">
        <v>29.0</v>
      </c>
      <c r="M1247" s="140" t="str">
        <f>VLOOKUP(text(D1247, "#"),'Master Table'!$A:$F, 6, FALSE)</f>
        <v>H-5</v>
      </c>
      <c r="N1247" s="141" t="str">
        <f>IFERROR(__xludf.DUMMYFUNCTION("""COMPUTED_VALUE"""),"Great presentation. Poster well designed and organized. The presenter is very knowledgeable. Great interaction with the audience. ")</f>
        <v>Great presentation. Poster well designed and organized. The presenter is very knowledgeable. Great interaction with the audience. </v>
      </c>
      <c r="O1247" s="142" t="str">
        <f t="shared" si="1"/>
        <v/>
      </c>
      <c r="P1247" s="143" t="str">
        <f>IF(ISNA(VLOOKUP(CONCAT(M1247,C1247), 'Judge Count DO NOT EDIT'!H:H, 1, FALSE)), "ERROR","")</f>
        <v/>
      </c>
      <c r="Q1247" s="141"/>
      <c r="R1247" s="143"/>
      <c r="S1247" s="139" t="str">
        <f t="shared" si="2"/>
        <v>1167499</v>
      </c>
      <c r="T1247" s="141"/>
    </row>
    <row r="1248">
      <c r="A1248" s="137">
        <f>IFERROR(__xludf.DUMMYFUNCTION("""COMPUTED_VALUE"""),45352.626891527776)</f>
        <v>45352.62689</v>
      </c>
      <c r="B1248" s="138" t="str">
        <f>IFERROR(__xludf.DUMMYFUNCTION("""COMPUTED_VALUE"""),"Zhao")</f>
        <v>Zhao</v>
      </c>
      <c r="C1248" s="138">
        <f>IFERROR(__xludf.DUMMYFUNCTION("""COMPUTED_VALUE"""),1153.0)</f>
        <v>1153</v>
      </c>
      <c r="D1248" s="139">
        <f>IFERROR(__xludf.DUMMYFUNCTION("""COMPUTED_VALUE"""),499.0)</f>
        <v>499</v>
      </c>
      <c r="E1248" s="138">
        <f>IFERROR(__xludf.DUMMYFUNCTION("""COMPUTED_VALUE"""),3.0)</f>
        <v>3</v>
      </c>
      <c r="F1248" s="138">
        <f>IFERROR(__xludf.DUMMYFUNCTION("""COMPUTED_VALUE"""),1.0)</f>
        <v>1</v>
      </c>
      <c r="G1248" s="138">
        <f>IFERROR(__xludf.DUMMYFUNCTION("""COMPUTED_VALUE"""),3.0)</f>
        <v>3</v>
      </c>
      <c r="H1248" s="138">
        <f>IFERROR(__xludf.DUMMYFUNCTION("""COMPUTED_VALUE"""),2.0)</f>
        <v>2</v>
      </c>
      <c r="I1248" s="138">
        <f>IFERROR(__xludf.DUMMYFUNCTION("""COMPUTED_VALUE"""),2.0)</f>
        <v>2</v>
      </c>
      <c r="J1248" s="138">
        <f>IFERROR(__xludf.DUMMYFUNCTION("""COMPUTED_VALUE"""),2.0)</f>
        <v>2</v>
      </c>
      <c r="K1248" s="138">
        <f>IFERROR(__xludf.DUMMYFUNCTION("""COMPUTED_VALUE"""),3.0)</f>
        <v>3</v>
      </c>
      <c r="L1248" s="138">
        <v>16.0</v>
      </c>
      <c r="M1248" s="140" t="str">
        <f>VLOOKUP(text(D1248, "#"),'Master Table'!$A:$F, 6, FALSE)</f>
        <v>H-5</v>
      </c>
      <c r="N1248" s="141"/>
      <c r="O1248" s="142" t="str">
        <f t="shared" si="1"/>
        <v/>
      </c>
      <c r="P1248" s="143" t="str">
        <f>IF(ISNA(VLOOKUP(CONCAT(M1248,C1248), 'Judge Count DO NOT EDIT'!H:H, 1, FALSE)), "ERROR","")</f>
        <v/>
      </c>
      <c r="Q1248" s="141"/>
      <c r="R1248" s="143"/>
      <c r="S1248" s="139" t="str">
        <f t="shared" si="2"/>
        <v>1153499</v>
      </c>
      <c r="T1248" s="141"/>
    </row>
    <row r="1249">
      <c r="A1249" s="137">
        <f>IFERROR(__xludf.DUMMYFUNCTION("""COMPUTED_VALUE"""),45352.679494571756)</f>
        <v>45352.67949</v>
      </c>
      <c r="B1249" s="138" t="str">
        <f>IFERROR(__xludf.DUMMYFUNCTION("""COMPUTED_VALUE"""),"Tom Cole")</f>
        <v>Tom Cole</v>
      </c>
      <c r="C1249" s="138">
        <f>IFERROR(__xludf.DUMMYFUNCTION("""COMPUTED_VALUE"""),1236.0)</f>
        <v>1236</v>
      </c>
      <c r="D1249" s="139">
        <f>IFERROR(__xludf.DUMMYFUNCTION("""COMPUTED_VALUE"""),499.0)</f>
        <v>499</v>
      </c>
      <c r="E1249" s="138">
        <f>IFERROR(__xludf.DUMMYFUNCTION("""COMPUTED_VALUE"""),4.0)</f>
        <v>4</v>
      </c>
      <c r="F1249" s="138">
        <f>IFERROR(__xludf.DUMMYFUNCTION("""COMPUTED_VALUE"""),3.0)</f>
        <v>3</v>
      </c>
      <c r="G1249" s="138">
        <f>IFERROR(__xludf.DUMMYFUNCTION("""COMPUTED_VALUE"""),4.0)</f>
        <v>4</v>
      </c>
      <c r="H1249" s="138">
        <f>IFERROR(__xludf.DUMMYFUNCTION("""COMPUTED_VALUE"""),3.0)</f>
        <v>3</v>
      </c>
      <c r="I1249" s="138">
        <f>IFERROR(__xludf.DUMMYFUNCTION("""COMPUTED_VALUE"""),4.0)</f>
        <v>4</v>
      </c>
      <c r="J1249" s="138">
        <f>IFERROR(__xludf.DUMMYFUNCTION("""COMPUTED_VALUE"""),2.0)</f>
        <v>2</v>
      </c>
      <c r="K1249" s="138">
        <f>IFERROR(__xludf.DUMMYFUNCTION("""COMPUTED_VALUE"""),4.0)</f>
        <v>4</v>
      </c>
      <c r="L1249" s="138">
        <v>24.0</v>
      </c>
      <c r="M1249" s="140" t="str">
        <f>VLOOKUP(text(D1249, "#"),'Master Table'!$A:$F, 6, FALSE)</f>
        <v>H-5</v>
      </c>
      <c r="N1249" s="141"/>
      <c r="O1249" s="142" t="str">
        <f t="shared" si="1"/>
        <v/>
      </c>
      <c r="P1249" s="143" t="str">
        <f>IF(ISNA(VLOOKUP(CONCAT(M1249,C1249), 'Judge Count DO NOT EDIT'!H:H, 1, FALSE)), "ERROR","")</f>
        <v/>
      </c>
      <c r="Q1249" s="141"/>
      <c r="R1249" s="143"/>
      <c r="S1249" s="139" t="str">
        <f t="shared" si="2"/>
        <v>1236499</v>
      </c>
      <c r="T1249" s="141"/>
    </row>
    <row r="1250">
      <c r="A1250" s="137">
        <f>IFERROR(__xludf.DUMMYFUNCTION("""COMPUTED_VALUE"""),45352.55275015046)</f>
        <v>45352.55275</v>
      </c>
      <c r="B1250" s="138" t="str">
        <f>IFERROR(__xludf.DUMMYFUNCTION("""COMPUTED_VALUE"""),"PeaceIbisia Jack ")</f>
        <v>PeaceIbisia Jack </v>
      </c>
      <c r="C1250" s="138">
        <f>IFERROR(__xludf.DUMMYFUNCTION("""COMPUTED_VALUE"""),1079.0)</f>
        <v>1079</v>
      </c>
      <c r="D1250" s="139">
        <f>IFERROR(__xludf.DUMMYFUNCTION("""COMPUTED_VALUE"""),500.0)</f>
        <v>500</v>
      </c>
      <c r="E1250" s="138">
        <f>IFERROR(__xludf.DUMMYFUNCTION("""COMPUTED_VALUE"""),5.0)</f>
        <v>5</v>
      </c>
      <c r="F1250" s="138">
        <f>IFERROR(__xludf.DUMMYFUNCTION("""COMPUTED_VALUE"""),5.0)</f>
        <v>5</v>
      </c>
      <c r="G1250" s="138">
        <f>IFERROR(__xludf.DUMMYFUNCTION("""COMPUTED_VALUE"""),5.0)</f>
        <v>5</v>
      </c>
      <c r="H1250" s="138">
        <f>IFERROR(__xludf.DUMMYFUNCTION("""COMPUTED_VALUE"""),5.0)</f>
        <v>5</v>
      </c>
      <c r="I1250" s="138">
        <f>IFERROR(__xludf.DUMMYFUNCTION("""COMPUTED_VALUE"""),5.0)</f>
        <v>5</v>
      </c>
      <c r="J1250" s="138">
        <f>IFERROR(__xludf.DUMMYFUNCTION("""COMPUTED_VALUE"""),5.0)</f>
        <v>5</v>
      </c>
      <c r="K1250" s="138">
        <f>IFERROR(__xludf.DUMMYFUNCTION("""COMPUTED_VALUE"""),5.0)</f>
        <v>5</v>
      </c>
      <c r="L1250" s="138">
        <v>35.0</v>
      </c>
      <c r="M1250" s="140" t="str">
        <f>VLOOKUP(text(D1250, "#"),'Master Table'!$A:$F, 6, FALSE)</f>
        <v>H-5</v>
      </c>
      <c r="N1250" s="141" t="str">
        <f>IFERROR(__xludf.DUMMYFUNCTION("""COMPUTED_VALUE"""),"Great job Shruti! 
Articulation and explanation were well done! 
Goodluck with the research! ")</f>
        <v>Great job Shruti! 
Articulation and explanation were well done! 
Goodluck with the research! </v>
      </c>
      <c r="O1250" s="142" t="str">
        <f t="shared" si="1"/>
        <v/>
      </c>
      <c r="P1250" s="143" t="str">
        <f>IF(ISNA(VLOOKUP(CONCAT(M1250,C1250), 'Judge Count DO NOT EDIT'!H:H, 1, FALSE)), "ERROR","")</f>
        <v/>
      </c>
      <c r="Q1250" s="141"/>
      <c r="R1250" s="143"/>
      <c r="S1250" s="139" t="str">
        <f t="shared" si="2"/>
        <v>1079500</v>
      </c>
      <c r="T1250" s="141"/>
    </row>
    <row r="1251">
      <c r="A1251" s="137">
        <f>IFERROR(__xludf.DUMMYFUNCTION("""COMPUTED_VALUE"""),45352.56090984953)</f>
        <v>45352.56091</v>
      </c>
      <c r="B1251" s="138" t="str">
        <f>IFERROR(__xludf.DUMMYFUNCTION("""COMPUTED_VALUE"""),"Naveen Vaidya")</f>
        <v>Naveen Vaidya</v>
      </c>
      <c r="C1251" s="138">
        <f>IFERROR(__xludf.DUMMYFUNCTION("""COMPUTED_VALUE"""),1192.0)</f>
        <v>1192</v>
      </c>
      <c r="D1251" s="139">
        <f>IFERROR(__xludf.DUMMYFUNCTION("""COMPUTED_VALUE"""),500.0)</f>
        <v>500</v>
      </c>
      <c r="E1251" s="138">
        <f>IFERROR(__xludf.DUMMYFUNCTION("""COMPUTED_VALUE"""),4.0)</f>
        <v>4</v>
      </c>
      <c r="F1251" s="138">
        <f>IFERROR(__xludf.DUMMYFUNCTION("""COMPUTED_VALUE"""),3.0)</f>
        <v>3</v>
      </c>
      <c r="G1251" s="138">
        <f>IFERROR(__xludf.DUMMYFUNCTION("""COMPUTED_VALUE"""),4.0)</f>
        <v>4</v>
      </c>
      <c r="H1251" s="138">
        <f>IFERROR(__xludf.DUMMYFUNCTION("""COMPUTED_VALUE"""),3.0)</f>
        <v>3</v>
      </c>
      <c r="I1251" s="138">
        <f>IFERROR(__xludf.DUMMYFUNCTION("""COMPUTED_VALUE"""),3.0)</f>
        <v>3</v>
      </c>
      <c r="J1251" s="138">
        <f>IFERROR(__xludf.DUMMYFUNCTION("""COMPUTED_VALUE"""),4.0)</f>
        <v>4</v>
      </c>
      <c r="K1251" s="138">
        <f>IFERROR(__xludf.DUMMYFUNCTION("""COMPUTED_VALUE"""),3.0)</f>
        <v>3</v>
      </c>
      <c r="L1251" s="138">
        <v>24.0</v>
      </c>
      <c r="M1251" s="140" t="str">
        <f>VLOOKUP(text(D1251, "#"),'Master Table'!$A:$F, 6, FALSE)</f>
        <v>H-5</v>
      </c>
      <c r="N1251" s="141"/>
      <c r="O1251" s="142" t="str">
        <f t="shared" si="1"/>
        <v/>
      </c>
      <c r="P1251" s="143" t="str">
        <f>IF(ISNA(VLOOKUP(CONCAT(M1251,C1251), 'Judge Count DO NOT EDIT'!H:H, 1, FALSE)), "ERROR","")</f>
        <v/>
      </c>
      <c r="Q1251" s="141"/>
      <c r="R1251" s="143"/>
      <c r="S1251" s="139" t="str">
        <f t="shared" si="2"/>
        <v>1192500</v>
      </c>
      <c r="T1251" s="141"/>
    </row>
    <row r="1252">
      <c r="A1252" s="137">
        <f>IFERROR(__xludf.DUMMYFUNCTION("""COMPUTED_VALUE"""),45352.625511886574)</f>
        <v>45352.62551</v>
      </c>
      <c r="B1252" s="138" t="str">
        <f>IFERROR(__xludf.DUMMYFUNCTION("""COMPUTED_VALUE"""),"Zhao")</f>
        <v>Zhao</v>
      </c>
      <c r="C1252" s="138">
        <f>IFERROR(__xludf.DUMMYFUNCTION("""COMPUTED_VALUE"""),1153.0)</f>
        <v>1153</v>
      </c>
      <c r="D1252" s="139">
        <f>IFERROR(__xludf.DUMMYFUNCTION("""COMPUTED_VALUE"""),500.0)</f>
        <v>500</v>
      </c>
      <c r="E1252" s="138">
        <f>IFERROR(__xludf.DUMMYFUNCTION("""COMPUTED_VALUE"""),5.0)</f>
        <v>5</v>
      </c>
      <c r="F1252" s="138">
        <f>IFERROR(__xludf.DUMMYFUNCTION("""COMPUTED_VALUE"""),4.0)</f>
        <v>4</v>
      </c>
      <c r="G1252" s="138">
        <f>IFERROR(__xludf.DUMMYFUNCTION("""COMPUTED_VALUE"""),1.0)</f>
        <v>1</v>
      </c>
      <c r="H1252" s="138">
        <f>IFERROR(__xludf.DUMMYFUNCTION("""COMPUTED_VALUE"""),1.0)</f>
        <v>1</v>
      </c>
      <c r="I1252" s="138">
        <f>IFERROR(__xludf.DUMMYFUNCTION("""COMPUTED_VALUE"""),5.0)</f>
        <v>5</v>
      </c>
      <c r="J1252" s="138">
        <f>IFERROR(__xludf.DUMMYFUNCTION("""COMPUTED_VALUE"""),4.0)</f>
        <v>4</v>
      </c>
      <c r="K1252" s="138">
        <f>IFERROR(__xludf.DUMMYFUNCTION("""COMPUTED_VALUE"""),3.0)</f>
        <v>3</v>
      </c>
      <c r="L1252" s="138">
        <v>23.0</v>
      </c>
      <c r="M1252" s="140" t="str">
        <f>VLOOKUP(text(D1252, "#"),'Master Table'!$A:$F, 6, FALSE)</f>
        <v>H-5</v>
      </c>
      <c r="N1252" s="141"/>
      <c r="O1252" s="142" t="str">
        <f t="shared" si="1"/>
        <v/>
      </c>
      <c r="P1252" s="143" t="str">
        <f>IF(ISNA(VLOOKUP(CONCAT(M1252,C1252), 'Judge Count DO NOT EDIT'!H:H, 1, FALSE)), "ERROR","")</f>
        <v/>
      </c>
      <c r="Q1252" s="141"/>
      <c r="R1252" s="143"/>
      <c r="S1252" s="139" t="str">
        <f t="shared" si="2"/>
        <v>1153500</v>
      </c>
      <c r="T1252" s="141"/>
    </row>
    <row r="1253">
      <c r="A1253" s="137">
        <f>IFERROR(__xludf.DUMMYFUNCTION("""COMPUTED_VALUE"""),45352.631562650466)</f>
        <v>45352.63156</v>
      </c>
      <c r="B1253" s="138" t="str">
        <f>IFERROR(__xludf.DUMMYFUNCTION("""COMPUTED_VALUE"""),"Lin Wang")</f>
        <v>Lin Wang</v>
      </c>
      <c r="C1253" s="138">
        <f>IFERROR(__xludf.DUMMYFUNCTION("""COMPUTED_VALUE"""),1167.0)</f>
        <v>1167</v>
      </c>
      <c r="D1253" s="139">
        <f>IFERROR(__xludf.DUMMYFUNCTION("""COMPUTED_VALUE"""),500.0)</f>
        <v>500</v>
      </c>
      <c r="E1253" s="138">
        <f>IFERROR(__xludf.DUMMYFUNCTION("""COMPUTED_VALUE"""),4.0)</f>
        <v>4</v>
      </c>
      <c r="F1253" s="138">
        <f>IFERROR(__xludf.DUMMYFUNCTION("""COMPUTED_VALUE"""),4.0)</f>
        <v>4</v>
      </c>
      <c r="G1253" s="138">
        <f>IFERROR(__xludf.DUMMYFUNCTION("""COMPUTED_VALUE"""),3.0)</f>
        <v>3</v>
      </c>
      <c r="H1253" s="138">
        <f>IFERROR(__xludf.DUMMYFUNCTION("""COMPUTED_VALUE"""),3.0)</f>
        <v>3</v>
      </c>
      <c r="I1253" s="138">
        <f>IFERROR(__xludf.DUMMYFUNCTION("""COMPUTED_VALUE"""),4.0)</f>
        <v>4</v>
      </c>
      <c r="J1253" s="138">
        <f>IFERROR(__xludf.DUMMYFUNCTION("""COMPUTED_VALUE"""),4.0)</f>
        <v>4</v>
      </c>
      <c r="K1253" s="138">
        <f>IFERROR(__xludf.DUMMYFUNCTION("""COMPUTED_VALUE"""),4.0)</f>
        <v>4</v>
      </c>
      <c r="L1253" s="138">
        <v>26.0</v>
      </c>
      <c r="M1253" s="140" t="str">
        <f>VLOOKUP(text(D1253, "#"),'Master Table'!$A:$F, 6, FALSE)</f>
        <v>H-5</v>
      </c>
      <c r="N1253" s="141" t="str">
        <f>IFERROR(__xludf.DUMMYFUNCTION("""COMPUTED_VALUE"""),"Very interesting research. The presenter is very knowledgeable, clear and professional. ")</f>
        <v>Very interesting research. The presenter is very knowledgeable, clear and professional. </v>
      </c>
      <c r="O1253" s="142" t="str">
        <f t="shared" si="1"/>
        <v/>
      </c>
      <c r="P1253" s="143" t="str">
        <f>IF(ISNA(VLOOKUP(CONCAT(M1253,C1253), 'Judge Count DO NOT EDIT'!H:H, 1, FALSE)), "ERROR","")</f>
        <v/>
      </c>
      <c r="Q1253" s="141"/>
      <c r="R1253" s="143"/>
      <c r="S1253" s="139" t="str">
        <f t="shared" si="2"/>
        <v>1167500</v>
      </c>
      <c r="T1253" s="141"/>
    </row>
    <row r="1254">
      <c r="A1254" s="137">
        <f>IFERROR(__xludf.DUMMYFUNCTION("""COMPUTED_VALUE"""),45352.68083841435)</f>
        <v>45352.68084</v>
      </c>
      <c r="B1254" s="138" t="str">
        <f>IFERROR(__xludf.DUMMYFUNCTION("""COMPUTED_VALUE"""),"Tom Cole")</f>
        <v>Tom Cole</v>
      </c>
      <c r="C1254" s="138">
        <f>IFERROR(__xludf.DUMMYFUNCTION("""COMPUTED_VALUE"""),1236.0)</f>
        <v>1236</v>
      </c>
      <c r="D1254" s="139">
        <f>IFERROR(__xludf.DUMMYFUNCTION("""COMPUTED_VALUE"""),500.0)</f>
        <v>500</v>
      </c>
      <c r="E1254" s="138">
        <f>IFERROR(__xludf.DUMMYFUNCTION("""COMPUTED_VALUE"""),3.0)</f>
        <v>3</v>
      </c>
      <c r="F1254" s="138">
        <f>IFERROR(__xludf.DUMMYFUNCTION("""COMPUTED_VALUE"""),4.0)</f>
        <v>4</v>
      </c>
      <c r="G1254" s="138">
        <f>IFERROR(__xludf.DUMMYFUNCTION("""COMPUTED_VALUE"""),5.0)</f>
        <v>5</v>
      </c>
      <c r="H1254" s="138">
        <f>IFERROR(__xludf.DUMMYFUNCTION("""COMPUTED_VALUE"""),4.0)</f>
        <v>4</v>
      </c>
      <c r="I1254" s="138">
        <f>IFERROR(__xludf.DUMMYFUNCTION("""COMPUTED_VALUE"""),2.0)</f>
        <v>2</v>
      </c>
      <c r="J1254" s="138">
        <f>IFERROR(__xludf.DUMMYFUNCTION("""COMPUTED_VALUE"""),3.0)</f>
        <v>3</v>
      </c>
      <c r="K1254" s="138">
        <f>IFERROR(__xludf.DUMMYFUNCTION("""COMPUTED_VALUE"""),4.0)</f>
        <v>4</v>
      </c>
      <c r="L1254" s="138">
        <v>25.0</v>
      </c>
      <c r="M1254" s="140" t="str">
        <f>VLOOKUP(text(D1254, "#"),'Master Table'!$A:$F, 6, FALSE)</f>
        <v>H-5</v>
      </c>
      <c r="N1254" s="141"/>
      <c r="O1254" s="142" t="str">
        <f t="shared" si="1"/>
        <v/>
      </c>
      <c r="P1254" s="143" t="str">
        <f>IF(ISNA(VLOOKUP(CONCAT(M1254,C1254), 'Judge Count DO NOT EDIT'!H:H, 1, FALSE)), "ERROR","")</f>
        <v/>
      </c>
      <c r="Q1254" s="141"/>
      <c r="R1254" s="143"/>
      <c r="S1254" s="139" t="str">
        <f t="shared" si="2"/>
        <v>1236500</v>
      </c>
      <c r="T1254" s="141"/>
    </row>
    <row r="1255">
      <c r="A1255" s="137">
        <f>IFERROR(__xludf.DUMMYFUNCTION("""COMPUTED_VALUE"""),45352.56630685185)</f>
        <v>45352.56631</v>
      </c>
      <c r="B1255" s="138" t="str">
        <f>IFERROR(__xludf.DUMMYFUNCTION("""COMPUTED_VALUE"""),"PeaceIbisia Jack ")</f>
        <v>PeaceIbisia Jack </v>
      </c>
      <c r="C1255" s="138">
        <f>IFERROR(__xludf.DUMMYFUNCTION("""COMPUTED_VALUE"""),1079.0)</f>
        <v>1079</v>
      </c>
      <c r="D1255" s="139">
        <f>IFERROR(__xludf.DUMMYFUNCTION("""COMPUTED_VALUE"""),501.0)</f>
        <v>501</v>
      </c>
      <c r="E1255" s="138">
        <f>IFERROR(__xludf.DUMMYFUNCTION("""COMPUTED_VALUE"""),4.0)</f>
        <v>4</v>
      </c>
      <c r="F1255" s="138">
        <f>IFERROR(__xludf.DUMMYFUNCTION("""COMPUTED_VALUE"""),4.0)</f>
        <v>4</v>
      </c>
      <c r="G1255" s="138">
        <f>IFERROR(__xludf.DUMMYFUNCTION("""COMPUTED_VALUE"""),3.0)</f>
        <v>3</v>
      </c>
      <c r="H1255" s="138">
        <f>IFERROR(__xludf.DUMMYFUNCTION("""COMPUTED_VALUE"""),3.0)</f>
        <v>3</v>
      </c>
      <c r="I1255" s="138">
        <f>IFERROR(__xludf.DUMMYFUNCTION("""COMPUTED_VALUE"""),4.0)</f>
        <v>4</v>
      </c>
      <c r="J1255" s="138">
        <f>IFERROR(__xludf.DUMMYFUNCTION("""COMPUTED_VALUE"""),4.0)</f>
        <v>4</v>
      </c>
      <c r="K1255" s="138">
        <f>IFERROR(__xludf.DUMMYFUNCTION("""COMPUTED_VALUE"""),5.0)</f>
        <v>5</v>
      </c>
      <c r="L1255" s="138">
        <v>27.0</v>
      </c>
      <c r="M1255" s="140" t="str">
        <f>VLOOKUP(text(D1255, "#"),'Master Table'!$A:$F, 6, FALSE)</f>
        <v>H-5</v>
      </c>
      <c r="N1255" s="141" t="str">
        <f>IFERROR(__xludf.DUMMYFUNCTION("""COMPUTED_VALUE"""),"Great job with the presentation.
Note: Sound confident in subsequent presentations.")</f>
        <v>Great job with the presentation.
Note: Sound confident in subsequent presentations.</v>
      </c>
      <c r="O1255" s="142" t="str">
        <f t="shared" si="1"/>
        <v/>
      </c>
      <c r="P1255" s="143" t="str">
        <f>IF(ISNA(VLOOKUP(CONCAT(M1255,C1255), 'Judge Count DO NOT EDIT'!H:H, 1, FALSE)), "ERROR","")</f>
        <v/>
      </c>
      <c r="Q1255" s="141"/>
      <c r="R1255" s="143"/>
      <c r="S1255" s="139" t="str">
        <f t="shared" si="2"/>
        <v>1079501</v>
      </c>
      <c r="T1255" s="141"/>
    </row>
    <row r="1256">
      <c r="A1256" s="137">
        <f>IFERROR(__xludf.DUMMYFUNCTION("""COMPUTED_VALUE"""),45352.58837327546)</f>
        <v>45352.58837</v>
      </c>
      <c r="B1256" s="138" t="str">
        <f>IFERROR(__xludf.DUMMYFUNCTION("""COMPUTED_VALUE"""),"Naveen Vaidya")</f>
        <v>Naveen Vaidya</v>
      </c>
      <c r="C1256" s="138">
        <f>IFERROR(__xludf.DUMMYFUNCTION("""COMPUTED_VALUE"""),1192.0)</f>
        <v>1192</v>
      </c>
      <c r="D1256" s="139">
        <f>IFERROR(__xludf.DUMMYFUNCTION("""COMPUTED_VALUE"""),501.0)</f>
        <v>501</v>
      </c>
      <c r="E1256" s="138">
        <f>IFERROR(__xludf.DUMMYFUNCTION("""COMPUTED_VALUE"""),3.0)</f>
        <v>3</v>
      </c>
      <c r="F1256" s="138">
        <f>IFERROR(__xludf.DUMMYFUNCTION("""COMPUTED_VALUE"""),3.0)</f>
        <v>3</v>
      </c>
      <c r="G1256" s="138">
        <f>IFERROR(__xludf.DUMMYFUNCTION("""COMPUTED_VALUE"""),3.0)</f>
        <v>3</v>
      </c>
      <c r="H1256" s="138">
        <f>IFERROR(__xludf.DUMMYFUNCTION("""COMPUTED_VALUE"""),3.0)</f>
        <v>3</v>
      </c>
      <c r="I1256" s="138">
        <f>IFERROR(__xludf.DUMMYFUNCTION("""COMPUTED_VALUE"""),2.0)</f>
        <v>2</v>
      </c>
      <c r="J1256" s="138">
        <f>IFERROR(__xludf.DUMMYFUNCTION("""COMPUTED_VALUE"""),3.0)</f>
        <v>3</v>
      </c>
      <c r="K1256" s="138">
        <f>IFERROR(__xludf.DUMMYFUNCTION("""COMPUTED_VALUE"""),3.0)</f>
        <v>3</v>
      </c>
      <c r="L1256" s="138">
        <v>20.0</v>
      </c>
      <c r="M1256" s="140" t="str">
        <f>VLOOKUP(text(D1256, "#"),'Master Table'!$A:$F, 6, FALSE)</f>
        <v>H-5</v>
      </c>
      <c r="N1256" s="141"/>
      <c r="O1256" s="142" t="str">
        <f t="shared" si="1"/>
        <v/>
      </c>
      <c r="P1256" s="143" t="str">
        <f>IF(ISNA(VLOOKUP(CONCAT(M1256,C1256), 'Judge Count DO NOT EDIT'!H:H, 1, FALSE)), "ERROR","")</f>
        <v/>
      </c>
      <c r="Q1256" s="144"/>
      <c r="R1256" s="143"/>
      <c r="S1256" s="139" t="str">
        <f t="shared" si="2"/>
        <v>1192501</v>
      </c>
      <c r="T1256" s="141"/>
    </row>
    <row r="1257">
      <c r="A1257" s="137">
        <f>IFERROR(__xludf.DUMMYFUNCTION("""COMPUTED_VALUE"""),45352.625090104164)</f>
        <v>45352.62509</v>
      </c>
      <c r="B1257" s="138" t="str">
        <f>IFERROR(__xludf.DUMMYFUNCTION("""COMPUTED_VALUE"""),"Zhao")</f>
        <v>Zhao</v>
      </c>
      <c r="C1257" s="138">
        <f>IFERROR(__xludf.DUMMYFUNCTION("""COMPUTED_VALUE"""),1153.0)</f>
        <v>1153</v>
      </c>
      <c r="D1257" s="139">
        <f>IFERROR(__xludf.DUMMYFUNCTION("""COMPUTED_VALUE"""),501.0)</f>
        <v>501</v>
      </c>
      <c r="E1257" s="138">
        <f>IFERROR(__xludf.DUMMYFUNCTION("""COMPUTED_VALUE"""),4.0)</f>
        <v>4</v>
      </c>
      <c r="F1257" s="138">
        <f>IFERROR(__xludf.DUMMYFUNCTION("""COMPUTED_VALUE"""),2.0)</f>
        <v>2</v>
      </c>
      <c r="G1257" s="138">
        <f>IFERROR(__xludf.DUMMYFUNCTION("""COMPUTED_VALUE"""),4.0)</f>
        <v>4</v>
      </c>
      <c r="H1257" s="138">
        <f>IFERROR(__xludf.DUMMYFUNCTION("""COMPUTED_VALUE"""),2.0)</f>
        <v>2</v>
      </c>
      <c r="I1257" s="138">
        <f>IFERROR(__xludf.DUMMYFUNCTION("""COMPUTED_VALUE"""),4.0)</f>
        <v>4</v>
      </c>
      <c r="J1257" s="138">
        <f>IFERROR(__xludf.DUMMYFUNCTION("""COMPUTED_VALUE"""),2.0)</f>
        <v>2</v>
      </c>
      <c r="K1257" s="138">
        <f>IFERROR(__xludf.DUMMYFUNCTION("""COMPUTED_VALUE"""),4.0)</f>
        <v>4</v>
      </c>
      <c r="L1257" s="138">
        <v>22.0</v>
      </c>
      <c r="M1257" s="140" t="str">
        <f>VLOOKUP(text(D1257, "#"),'Master Table'!$A:$F, 6, FALSE)</f>
        <v>H-5</v>
      </c>
      <c r="N1257" s="141" t="str">
        <f>IFERROR(__xludf.DUMMYFUNCTION("""COMPUTED_VALUE"""),"Silver nano triangle may have photocatalysis potential")</f>
        <v>Silver nano triangle may have photocatalysis potential</v>
      </c>
      <c r="O1257" s="142" t="str">
        <f t="shared" si="1"/>
        <v/>
      </c>
      <c r="P1257" s="143" t="str">
        <f>IF(ISNA(VLOOKUP(CONCAT(M1257,C1257), 'Judge Count DO NOT EDIT'!H:H, 1, FALSE)), "ERROR","")</f>
        <v/>
      </c>
      <c r="Q1257" s="141"/>
      <c r="R1257" s="143"/>
      <c r="S1257" s="139" t="str">
        <f t="shared" si="2"/>
        <v>1153501</v>
      </c>
      <c r="T1257" s="141"/>
    </row>
    <row r="1258">
      <c r="A1258" s="137">
        <f>IFERROR(__xludf.DUMMYFUNCTION("""COMPUTED_VALUE"""),45352.63245237268)</f>
        <v>45352.63245</v>
      </c>
      <c r="B1258" s="138" t="str">
        <f>IFERROR(__xludf.DUMMYFUNCTION("""COMPUTED_VALUE"""),"Lin Wang")</f>
        <v>Lin Wang</v>
      </c>
      <c r="C1258" s="138">
        <f>IFERROR(__xludf.DUMMYFUNCTION("""COMPUTED_VALUE"""),1167.0)</f>
        <v>1167</v>
      </c>
      <c r="D1258" s="139">
        <f>IFERROR(__xludf.DUMMYFUNCTION("""COMPUTED_VALUE"""),501.0)</f>
        <v>501</v>
      </c>
      <c r="E1258" s="138">
        <f>IFERROR(__xludf.DUMMYFUNCTION("""COMPUTED_VALUE"""),4.0)</f>
        <v>4</v>
      </c>
      <c r="F1258" s="138">
        <f>IFERROR(__xludf.DUMMYFUNCTION("""COMPUTED_VALUE"""),4.0)</f>
        <v>4</v>
      </c>
      <c r="G1258" s="138">
        <f>IFERROR(__xludf.DUMMYFUNCTION("""COMPUTED_VALUE"""),3.0)</f>
        <v>3</v>
      </c>
      <c r="H1258" s="138">
        <f>IFERROR(__xludf.DUMMYFUNCTION("""COMPUTED_VALUE"""),4.0)</f>
        <v>4</v>
      </c>
      <c r="I1258" s="138">
        <f>IFERROR(__xludf.DUMMYFUNCTION("""COMPUTED_VALUE"""),3.0)</f>
        <v>3</v>
      </c>
      <c r="J1258" s="138">
        <f>IFERROR(__xludf.DUMMYFUNCTION("""COMPUTED_VALUE"""),4.0)</f>
        <v>4</v>
      </c>
      <c r="K1258" s="138">
        <f>IFERROR(__xludf.DUMMYFUNCTION("""COMPUTED_VALUE"""),3.0)</f>
        <v>3</v>
      </c>
      <c r="L1258" s="138">
        <v>25.0</v>
      </c>
      <c r="M1258" s="140" t="str">
        <f>VLOOKUP(text(D1258, "#"),'Master Table'!$A:$F, 6, FALSE)</f>
        <v>H-5</v>
      </c>
      <c r="N1258" s="141"/>
      <c r="O1258" s="142" t="str">
        <f t="shared" si="1"/>
        <v/>
      </c>
      <c r="P1258" s="143" t="str">
        <f>IF(ISNA(VLOOKUP(CONCAT(M1258,C1258), 'Judge Count DO NOT EDIT'!H:H, 1, FALSE)), "ERROR","")</f>
        <v/>
      </c>
      <c r="Q1258" s="141"/>
      <c r="R1258" s="143"/>
      <c r="S1258" s="139" t="str">
        <f t="shared" si="2"/>
        <v>1167501</v>
      </c>
      <c r="T1258" s="141"/>
    </row>
    <row r="1259">
      <c r="A1259" s="137">
        <f>IFERROR(__xludf.DUMMYFUNCTION("""COMPUTED_VALUE"""),45352.68168984954)</f>
        <v>45352.68169</v>
      </c>
      <c r="B1259" s="138" t="str">
        <f>IFERROR(__xludf.DUMMYFUNCTION("""COMPUTED_VALUE"""),"Tom Cole")</f>
        <v>Tom Cole</v>
      </c>
      <c r="C1259" s="138">
        <f>IFERROR(__xludf.DUMMYFUNCTION("""COMPUTED_VALUE"""),1236.0)</f>
        <v>1236</v>
      </c>
      <c r="D1259" s="139">
        <f>IFERROR(__xludf.DUMMYFUNCTION("""COMPUTED_VALUE"""),501.0)</f>
        <v>501</v>
      </c>
      <c r="E1259" s="138">
        <f>IFERROR(__xludf.DUMMYFUNCTION("""COMPUTED_VALUE"""),5.0)</f>
        <v>5</v>
      </c>
      <c r="F1259" s="138">
        <f>IFERROR(__xludf.DUMMYFUNCTION("""COMPUTED_VALUE"""),5.0)</f>
        <v>5</v>
      </c>
      <c r="G1259" s="138">
        <f>IFERROR(__xludf.DUMMYFUNCTION("""COMPUTED_VALUE"""),4.0)</f>
        <v>4</v>
      </c>
      <c r="H1259" s="138">
        <f>IFERROR(__xludf.DUMMYFUNCTION("""COMPUTED_VALUE"""),3.0)</f>
        <v>3</v>
      </c>
      <c r="I1259" s="138">
        <f>IFERROR(__xludf.DUMMYFUNCTION("""COMPUTED_VALUE"""),4.0)</f>
        <v>4</v>
      </c>
      <c r="J1259" s="138">
        <f>IFERROR(__xludf.DUMMYFUNCTION("""COMPUTED_VALUE"""),4.0)</f>
        <v>4</v>
      </c>
      <c r="K1259" s="138">
        <f>IFERROR(__xludf.DUMMYFUNCTION("""COMPUTED_VALUE"""),5.0)</f>
        <v>5</v>
      </c>
      <c r="L1259" s="138">
        <v>30.0</v>
      </c>
      <c r="M1259" s="140" t="str">
        <f>VLOOKUP(text(D1259, "#"),'Master Table'!$A:$F, 6, FALSE)</f>
        <v>H-5</v>
      </c>
      <c r="N1259" s="141"/>
      <c r="O1259" s="142" t="str">
        <f t="shared" si="1"/>
        <v/>
      </c>
      <c r="P1259" s="143" t="str">
        <f>IF(ISNA(VLOOKUP(CONCAT(M1259,C1259), 'Judge Count DO NOT EDIT'!H:H, 1, FALSE)), "ERROR","")</f>
        <v/>
      </c>
      <c r="Q1259" s="141"/>
      <c r="R1259" s="143"/>
      <c r="S1259" s="139" t="str">
        <f t="shared" si="2"/>
        <v>1236501</v>
      </c>
      <c r="T1259" s="141"/>
    </row>
    <row r="1260">
      <c r="A1260" s="137">
        <f>IFERROR(__xludf.DUMMYFUNCTION("""COMPUTED_VALUE"""),45352.548566087964)</f>
        <v>45352.54857</v>
      </c>
      <c r="B1260" s="138" t="str">
        <f>IFERROR(__xludf.DUMMYFUNCTION("""COMPUTED_VALUE"""),"Kelly Sawyer")</f>
        <v>Kelly Sawyer</v>
      </c>
      <c r="C1260" s="138">
        <f>IFERROR(__xludf.DUMMYFUNCTION("""COMPUTED_VALUE"""),1196.0)</f>
        <v>1196</v>
      </c>
      <c r="D1260" s="139">
        <f>IFERROR(__xludf.DUMMYFUNCTION("""COMPUTED_VALUE"""),502.0)</f>
        <v>502</v>
      </c>
      <c r="E1260" s="138">
        <f>IFERROR(__xludf.DUMMYFUNCTION("""COMPUTED_VALUE"""),4.0)</f>
        <v>4</v>
      </c>
      <c r="F1260" s="138">
        <f>IFERROR(__xludf.DUMMYFUNCTION("""COMPUTED_VALUE"""),4.0)</f>
        <v>4</v>
      </c>
      <c r="G1260" s="138">
        <f>IFERROR(__xludf.DUMMYFUNCTION("""COMPUTED_VALUE"""),4.0)</f>
        <v>4</v>
      </c>
      <c r="H1260" s="138">
        <f>IFERROR(__xludf.DUMMYFUNCTION("""COMPUTED_VALUE"""),3.0)</f>
        <v>3</v>
      </c>
      <c r="I1260" s="138">
        <f>IFERROR(__xludf.DUMMYFUNCTION("""COMPUTED_VALUE"""),2.0)</f>
        <v>2</v>
      </c>
      <c r="J1260" s="138">
        <f>IFERROR(__xludf.DUMMYFUNCTION("""COMPUTED_VALUE"""),3.0)</f>
        <v>3</v>
      </c>
      <c r="K1260" s="138">
        <f>IFERROR(__xludf.DUMMYFUNCTION("""COMPUTED_VALUE"""),4.0)</f>
        <v>4</v>
      </c>
      <c r="L1260" s="138">
        <v>24.0</v>
      </c>
      <c r="M1260" s="140" t="str">
        <f>VLOOKUP(text(D1260, "#"),'Master Table'!$A:$F, 6, FALSE)</f>
        <v>H-6</v>
      </c>
      <c r="N1260" s="141" t="str">
        <f>IFERROR(__xludf.DUMMYFUNCTION("""COMPUTED_VALUE"""),"Both presenters were very excited to describe their research which sometimes interrupted the flow of each other’s points as it was borderline interrupting at times. Their passion in the topic and ability to explain the nuances in at an elementary level ke"&amp;"pt me engaged and eager to ask follow-up questions. While they did not delved into what the plots on their poster described, I felt like I did not need it to understand their research and importance. ")</f>
        <v>Both presenters were very excited to describe their research which sometimes interrupted the flow of each other’s points as it was borderline interrupting at times. Their passion in the topic and ability to explain the nuances in at an elementary level kept me engaged and eager to ask follow-up questions. While they did not delved into what the plots on their poster described, I felt like I did not need it to understand their research and importance. </v>
      </c>
      <c r="O1260" s="142" t="str">
        <f t="shared" si="1"/>
        <v/>
      </c>
      <c r="P1260" s="143" t="str">
        <f>IF(ISNA(VLOOKUP(CONCAT(M1260,C1260), 'Judge Count DO NOT EDIT'!H:H, 1, FALSE)), "ERROR","")</f>
        <v/>
      </c>
      <c r="Q1260" s="147"/>
      <c r="R1260" s="143"/>
      <c r="S1260" s="139" t="str">
        <f t="shared" si="2"/>
        <v>1196502</v>
      </c>
      <c r="T1260" s="141"/>
    </row>
    <row r="1261">
      <c r="A1261" s="137">
        <f>IFERROR(__xludf.DUMMYFUNCTION("""COMPUTED_VALUE"""),45352.56854092593)</f>
        <v>45352.56854</v>
      </c>
      <c r="B1261" s="138" t="str">
        <f>IFERROR(__xludf.DUMMYFUNCTION("""COMPUTED_VALUE"""),"Lance Elliott ")</f>
        <v>Lance Elliott </v>
      </c>
      <c r="C1261" s="138">
        <f>IFERROR(__xludf.DUMMYFUNCTION("""COMPUTED_VALUE"""),1185.0)</f>
        <v>1185</v>
      </c>
      <c r="D1261" s="139">
        <f>IFERROR(__xludf.DUMMYFUNCTION("""COMPUTED_VALUE"""),502.0)</f>
        <v>502</v>
      </c>
      <c r="E1261" s="138">
        <f>IFERROR(__xludf.DUMMYFUNCTION("""COMPUTED_VALUE"""),3.0)</f>
        <v>3</v>
      </c>
      <c r="F1261" s="138">
        <f>IFERROR(__xludf.DUMMYFUNCTION("""COMPUTED_VALUE"""),4.0)</f>
        <v>4</v>
      </c>
      <c r="G1261" s="138">
        <f>IFERROR(__xludf.DUMMYFUNCTION("""COMPUTED_VALUE"""),4.0)</f>
        <v>4</v>
      </c>
      <c r="H1261" s="138">
        <f>IFERROR(__xludf.DUMMYFUNCTION("""COMPUTED_VALUE"""),4.0)</f>
        <v>4</v>
      </c>
      <c r="I1261" s="138">
        <f>IFERROR(__xludf.DUMMYFUNCTION("""COMPUTED_VALUE"""),3.0)</f>
        <v>3</v>
      </c>
      <c r="J1261" s="138">
        <f>IFERROR(__xludf.DUMMYFUNCTION("""COMPUTED_VALUE"""),4.0)</f>
        <v>4</v>
      </c>
      <c r="K1261" s="138">
        <f>IFERROR(__xludf.DUMMYFUNCTION("""COMPUTED_VALUE"""),4.0)</f>
        <v>4</v>
      </c>
      <c r="L1261" s="138">
        <v>26.0</v>
      </c>
      <c r="M1261" s="140" t="str">
        <f>VLOOKUP(text(D1261, "#"),'Master Table'!$A:$F, 6, FALSE)</f>
        <v>H-6</v>
      </c>
      <c r="N1261" s="141"/>
      <c r="O1261" s="142" t="str">
        <f t="shared" si="1"/>
        <v/>
      </c>
      <c r="P1261" s="143" t="str">
        <f>IF(ISNA(VLOOKUP(CONCAT(M1261,C1261), 'Judge Count DO NOT EDIT'!H:H, 1, FALSE)), "ERROR","")</f>
        <v/>
      </c>
      <c r="Q1261" s="147"/>
      <c r="R1261" s="143"/>
      <c r="S1261" s="139" t="str">
        <f t="shared" si="2"/>
        <v>1185502</v>
      </c>
      <c r="T1261" s="141"/>
    </row>
    <row r="1262">
      <c r="A1262" s="137">
        <f>IFERROR(__xludf.DUMMYFUNCTION("""COMPUTED_VALUE"""),45352.588935011576)</f>
        <v>45352.58894</v>
      </c>
      <c r="B1262" s="138" t="str">
        <f>IFERROR(__xludf.DUMMYFUNCTION("""COMPUTED_VALUE"""),"Margarita Perez")</f>
        <v>Margarita Perez</v>
      </c>
      <c r="C1262" s="138">
        <f>IFERROR(__xludf.DUMMYFUNCTION("""COMPUTED_VALUE"""),1195.0)</f>
        <v>1195</v>
      </c>
      <c r="D1262" s="139">
        <f>IFERROR(__xludf.DUMMYFUNCTION("""COMPUTED_VALUE"""),502.0)</f>
        <v>502</v>
      </c>
      <c r="E1262" s="138">
        <f>IFERROR(__xludf.DUMMYFUNCTION("""COMPUTED_VALUE"""),4.0)</f>
        <v>4</v>
      </c>
      <c r="F1262" s="138">
        <f>IFERROR(__xludf.DUMMYFUNCTION("""COMPUTED_VALUE"""),3.0)</f>
        <v>3</v>
      </c>
      <c r="G1262" s="138">
        <f>IFERROR(__xludf.DUMMYFUNCTION("""COMPUTED_VALUE"""),4.0)</f>
        <v>4</v>
      </c>
      <c r="H1262" s="138">
        <f>IFERROR(__xludf.DUMMYFUNCTION("""COMPUTED_VALUE"""),3.0)</f>
        <v>3</v>
      </c>
      <c r="I1262" s="138">
        <f>IFERROR(__xludf.DUMMYFUNCTION("""COMPUTED_VALUE"""),4.0)</f>
        <v>4</v>
      </c>
      <c r="J1262" s="138">
        <f>IFERROR(__xludf.DUMMYFUNCTION("""COMPUTED_VALUE"""),4.0)</f>
        <v>4</v>
      </c>
      <c r="K1262" s="138">
        <f>IFERROR(__xludf.DUMMYFUNCTION("""COMPUTED_VALUE"""),4.0)</f>
        <v>4</v>
      </c>
      <c r="L1262" s="138">
        <v>26.0</v>
      </c>
      <c r="M1262" s="140" t="str">
        <f>VLOOKUP(text(D1262, "#"),'Master Table'!$A:$F, 6, FALSE)</f>
        <v>H-6</v>
      </c>
      <c r="N1262" s="141"/>
      <c r="O1262" s="142" t="str">
        <f t="shared" si="1"/>
        <v/>
      </c>
      <c r="P1262" s="143" t="str">
        <f>IF(ISNA(VLOOKUP(CONCAT(M1262,C1262), 'Judge Count DO NOT EDIT'!H:H, 1, FALSE)), "ERROR","")</f>
        <v/>
      </c>
      <c r="Q1262" s="141"/>
      <c r="R1262" s="143"/>
      <c r="S1262" s="139" t="str">
        <f t="shared" si="2"/>
        <v>1195502</v>
      </c>
      <c r="T1262" s="141"/>
    </row>
    <row r="1263">
      <c r="A1263" s="137">
        <f>IFERROR(__xludf.DUMMYFUNCTION("""COMPUTED_VALUE"""),45352.59131560185)</f>
        <v>45352.59132</v>
      </c>
      <c r="B1263" s="138" t="str">
        <f>IFERROR(__xludf.DUMMYFUNCTION("""COMPUTED_VALUE"""),"Margarita Perez")</f>
        <v>Margarita Perez</v>
      </c>
      <c r="C1263" s="138">
        <f>IFERROR(__xludf.DUMMYFUNCTION("""COMPUTED_VALUE"""),1195.0)</f>
        <v>1195</v>
      </c>
      <c r="D1263" s="139">
        <f>IFERROR(__xludf.DUMMYFUNCTION("""COMPUTED_VALUE"""),503.0)</f>
        <v>503</v>
      </c>
      <c r="E1263" s="138">
        <f>IFERROR(__xludf.DUMMYFUNCTION("""COMPUTED_VALUE"""),4.0)</f>
        <v>4</v>
      </c>
      <c r="F1263" s="138">
        <f>IFERROR(__xludf.DUMMYFUNCTION("""COMPUTED_VALUE"""),3.0)</f>
        <v>3</v>
      </c>
      <c r="G1263" s="138">
        <f>IFERROR(__xludf.DUMMYFUNCTION("""COMPUTED_VALUE"""),3.0)</f>
        <v>3</v>
      </c>
      <c r="H1263" s="138">
        <f>IFERROR(__xludf.DUMMYFUNCTION("""COMPUTED_VALUE"""),3.0)</f>
        <v>3</v>
      </c>
      <c r="I1263" s="138">
        <f>IFERROR(__xludf.DUMMYFUNCTION("""COMPUTED_VALUE"""),4.0)</f>
        <v>4</v>
      </c>
      <c r="J1263" s="138">
        <f>IFERROR(__xludf.DUMMYFUNCTION("""COMPUTED_VALUE"""),4.0)</f>
        <v>4</v>
      </c>
      <c r="K1263" s="138">
        <f>IFERROR(__xludf.DUMMYFUNCTION("""COMPUTED_VALUE"""),4.0)</f>
        <v>4</v>
      </c>
      <c r="L1263" s="138">
        <v>25.0</v>
      </c>
      <c r="M1263" s="140" t="str">
        <f>VLOOKUP(text(D1263, "#"),'Master Table'!$A:$F, 6, FALSE)</f>
        <v>H-6</v>
      </c>
      <c r="N1263" s="141"/>
      <c r="O1263" s="142" t="str">
        <f t="shared" si="1"/>
        <v/>
      </c>
      <c r="P1263" s="143" t="str">
        <f>IF(ISNA(VLOOKUP(CONCAT(M1263,C1263), 'Judge Count DO NOT EDIT'!H:H, 1, FALSE)), "ERROR","")</f>
        <v/>
      </c>
      <c r="Q1263" s="141"/>
      <c r="R1263" s="143"/>
      <c r="S1263" s="139" t="str">
        <f t="shared" si="2"/>
        <v>1195503</v>
      </c>
      <c r="T1263" s="141"/>
    </row>
    <row r="1264">
      <c r="A1264" s="137">
        <f>IFERROR(__xludf.DUMMYFUNCTION("""COMPUTED_VALUE"""),45352.59414822917)</f>
        <v>45352.59415</v>
      </c>
      <c r="B1264" s="138" t="str">
        <f>IFERROR(__xludf.DUMMYFUNCTION("""COMPUTED_VALUE"""),"Lance Elliott ")</f>
        <v>Lance Elliott </v>
      </c>
      <c r="C1264" s="138">
        <f>IFERROR(__xludf.DUMMYFUNCTION("""COMPUTED_VALUE"""),1185.0)</f>
        <v>1185</v>
      </c>
      <c r="D1264" s="139">
        <f>IFERROR(__xludf.DUMMYFUNCTION("""COMPUTED_VALUE"""),503.0)</f>
        <v>503</v>
      </c>
      <c r="E1264" s="138">
        <f>IFERROR(__xludf.DUMMYFUNCTION("""COMPUTED_VALUE"""),4.0)</f>
        <v>4</v>
      </c>
      <c r="F1264" s="138">
        <f>IFERROR(__xludf.DUMMYFUNCTION("""COMPUTED_VALUE"""),3.0)</f>
        <v>3</v>
      </c>
      <c r="G1264" s="138">
        <f>IFERROR(__xludf.DUMMYFUNCTION("""COMPUTED_VALUE"""),3.0)</f>
        <v>3</v>
      </c>
      <c r="H1264" s="138">
        <f>IFERROR(__xludf.DUMMYFUNCTION("""COMPUTED_VALUE"""),4.0)</f>
        <v>4</v>
      </c>
      <c r="I1264" s="138">
        <f>IFERROR(__xludf.DUMMYFUNCTION("""COMPUTED_VALUE"""),4.0)</f>
        <v>4</v>
      </c>
      <c r="J1264" s="138">
        <f>IFERROR(__xludf.DUMMYFUNCTION("""COMPUTED_VALUE"""),4.0)</f>
        <v>4</v>
      </c>
      <c r="K1264" s="138">
        <f>IFERROR(__xludf.DUMMYFUNCTION("""COMPUTED_VALUE"""),4.0)</f>
        <v>4</v>
      </c>
      <c r="L1264" s="138">
        <v>26.0</v>
      </c>
      <c r="M1264" s="140" t="str">
        <f>VLOOKUP(text(D1264, "#"),'Master Table'!$A:$F, 6, FALSE)</f>
        <v>H-6</v>
      </c>
      <c r="N1264" s="141"/>
      <c r="O1264" s="142" t="str">
        <f t="shared" si="1"/>
        <v/>
      </c>
      <c r="P1264" s="143" t="str">
        <f>IF(ISNA(VLOOKUP(CONCAT(M1264,C1264), 'Judge Count DO NOT EDIT'!H:H, 1, FALSE)), "ERROR","")</f>
        <v/>
      </c>
      <c r="Q1264" s="141"/>
      <c r="R1264" s="143"/>
      <c r="S1264" s="139" t="str">
        <f t="shared" si="2"/>
        <v>1185503</v>
      </c>
      <c r="T1264" s="141"/>
    </row>
    <row r="1265">
      <c r="A1265" s="137">
        <f>IFERROR(__xludf.DUMMYFUNCTION("""COMPUTED_VALUE"""),45352.62264195602)</f>
        <v>45352.62264</v>
      </c>
      <c r="B1265" s="138" t="str">
        <f>IFERROR(__xludf.DUMMYFUNCTION("""COMPUTED_VALUE"""),"Kelly Sawyer")</f>
        <v>Kelly Sawyer</v>
      </c>
      <c r="C1265" s="138">
        <f>IFERROR(__xludf.DUMMYFUNCTION("""COMPUTED_VALUE"""),1196.0)</f>
        <v>1196</v>
      </c>
      <c r="D1265" s="139">
        <f>IFERROR(__xludf.DUMMYFUNCTION("""COMPUTED_VALUE"""),503.0)</f>
        <v>503</v>
      </c>
      <c r="E1265" s="138">
        <f>IFERROR(__xludf.DUMMYFUNCTION("""COMPUTED_VALUE"""),3.0)</f>
        <v>3</v>
      </c>
      <c r="F1265" s="138">
        <f>IFERROR(__xludf.DUMMYFUNCTION("""COMPUTED_VALUE"""),4.0)</f>
        <v>4</v>
      </c>
      <c r="G1265" s="138">
        <f>IFERROR(__xludf.DUMMYFUNCTION("""COMPUTED_VALUE"""),4.0)</f>
        <v>4</v>
      </c>
      <c r="H1265" s="138">
        <f>IFERROR(__xludf.DUMMYFUNCTION("""COMPUTED_VALUE"""),3.0)</f>
        <v>3</v>
      </c>
      <c r="I1265" s="138">
        <f>IFERROR(__xludf.DUMMYFUNCTION("""COMPUTED_VALUE"""),3.0)</f>
        <v>3</v>
      </c>
      <c r="J1265" s="138">
        <f>IFERROR(__xludf.DUMMYFUNCTION("""COMPUTED_VALUE"""),4.0)</f>
        <v>4</v>
      </c>
      <c r="K1265" s="138">
        <f>IFERROR(__xludf.DUMMYFUNCTION("""COMPUTED_VALUE"""),3.0)</f>
        <v>3</v>
      </c>
      <c r="L1265" s="138">
        <v>24.0</v>
      </c>
      <c r="M1265" s="140" t="str">
        <f>VLOOKUP(text(D1265, "#"),'Master Table'!$A:$F, 6, FALSE)</f>
        <v>H-6</v>
      </c>
      <c r="N1265" s="141" t="str">
        <f>IFERROR(__xludf.DUMMYFUNCTION("""COMPUTED_VALUE"""),"Unfortunately due to time constraints as this was closer to the end of the session the presentation felt rushed but I believe that may have been more associated to the fact everyone was cleaning up around us. That said, their cadence was consistent and ab"&amp;"le to really walk me through the rudimentales of the definition they were trying to establish. ")</f>
        <v>Unfortunately due to time constraints as this was closer to the end of the session the presentation felt rushed but I believe that may have been more associated to the fact everyone was cleaning up around us. That said, their cadence was consistent and able to really walk me through the rudimentales of the definition they were trying to establish. </v>
      </c>
      <c r="O1265" s="142" t="str">
        <f t="shared" si="1"/>
        <v/>
      </c>
      <c r="P1265" s="143" t="str">
        <f>IF(ISNA(VLOOKUP(CONCAT(M1265,C1265), 'Judge Count DO NOT EDIT'!H:H, 1, FALSE)), "ERROR","")</f>
        <v/>
      </c>
      <c r="Q1265" s="141"/>
      <c r="R1265" s="143"/>
      <c r="S1265" s="139" t="str">
        <f t="shared" si="2"/>
        <v>1196503</v>
      </c>
      <c r="T1265" s="141"/>
    </row>
    <row r="1266">
      <c r="A1266" s="137">
        <f>IFERROR(__xludf.DUMMYFUNCTION("""COMPUTED_VALUE"""),45352.587211736114)</f>
        <v>45352.58721</v>
      </c>
      <c r="B1266" s="138" t="str">
        <f>IFERROR(__xludf.DUMMYFUNCTION("""COMPUTED_VALUE"""),"Kelly Sawyer")</f>
        <v>Kelly Sawyer</v>
      </c>
      <c r="C1266" s="138">
        <f>IFERROR(__xludf.DUMMYFUNCTION("""COMPUTED_VALUE"""),1196.0)</f>
        <v>1196</v>
      </c>
      <c r="D1266" s="139">
        <f>IFERROR(__xludf.DUMMYFUNCTION("""COMPUTED_VALUE"""),504.0)</f>
        <v>504</v>
      </c>
      <c r="E1266" s="138">
        <f>IFERROR(__xludf.DUMMYFUNCTION("""COMPUTED_VALUE"""),3.0)</f>
        <v>3</v>
      </c>
      <c r="F1266" s="138">
        <f>IFERROR(__xludf.DUMMYFUNCTION("""COMPUTED_VALUE"""),3.0)</f>
        <v>3</v>
      </c>
      <c r="G1266" s="138">
        <f>IFERROR(__xludf.DUMMYFUNCTION("""COMPUTED_VALUE"""),3.0)</f>
        <v>3</v>
      </c>
      <c r="H1266" s="138">
        <f>IFERROR(__xludf.DUMMYFUNCTION("""COMPUTED_VALUE"""),4.0)</f>
        <v>4</v>
      </c>
      <c r="I1266" s="138">
        <f>IFERROR(__xludf.DUMMYFUNCTION("""COMPUTED_VALUE"""),4.0)</f>
        <v>4</v>
      </c>
      <c r="J1266" s="138">
        <f>IFERROR(__xludf.DUMMYFUNCTION("""COMPUTED_VALUE"""),4.0)</f>
        <v>4</v>
      </c>
      <c r="K1266" s="138">
        <f>IFERROR(__xludf.DUMMYFUNCTION("""COMPUTED_VALUE"""),4.0)</f>
        <v>4</v>
      </c>
      <c r="L1266" s="138">
        <v>25.0</v>
      </c>
      <c r="M1266" s="140" t="str">
        <f>VLOOKUP(text(D1266, "#"),'Master Table'!$A:$F, 6, FALSE)</f>
        <v>H-6</v>
      </c>
      <c r="N1266" s="141" t="str">
        <f>IFERROR(__xludf.DUMMYFUNCTION("""COMPUTED_VALUE"""),"The presenter appeared very concise and intentional with their point in terms of how it connected overall to the methodology used and why. While I was not familiar with the terminology I was able to follow their explanation of their use of images and such"&amp;". I do wish they were able to elaborate on their conclusion further and where they wanted to go further in their research.")</f>
        <v>The presenter appeared very concise and intentional with their point in terms of how it connected overall to the methodology used and why. While I was not familiar with the terminology I was able to follow their explanation of their use of images and such. I do wish they were able to elaborate on their conclusion further and where they wanted to go further in their research.</v>
      </c>
      <c r="O1266" s="142" t="str">
        <f t="shared" si="1"/>
        <v/>
      </c>
      <c r="P1266" s="143" t="str">
        <f>IF(ISNA(VLOOKUP(CONCAT(M1266,C1266), 'Judge Count DO NOT EDIT'!H:H, 1, FALSE)), "ERROR","")</f>
        <v/>
      </c>
      <c r="Q1266" s="141"/>
      <c r="R1266" s="143"/>
      <c r="S1266" s="139" t="str">
        <f t="shared" si="2"/>
        <v>1196504</v>
      </c>
      <c r="T1266" s="141"/>
    </row>
    <row r="1267">
      <c r="A1267" s="137">
        <f>IFERROR(__xludf.DUMMYFUNCTION("""COMPUTED_VALUE"""),45352.59278931713)</f>
        <v>45352.59279</v>
      </c>
      <c r="B1267" s="138" t="str">
        <f>IFERROR(__xludf.DUMMYFUNCTION("""COMPUTED_VALUE"""),"Margarita Perez")</f>
        <v>Margarita Perez</v>
      </c>
      <c r="C1267" s="138">
        <f>IFERROR(__xludf.DUMMYFUNCTION("""COMPUTED_VALUE"""),1195.0)</f>
        <v>1195</v>
      </c>
      <c r="D1267" s="139">
        <f>IFERROR(__xludf.DUMMYFUNCTION("""COMPUTED_VALUE"""),504.0)</f>
        <v>504</v>
      </c>
      <c r="E1267" s="138">
        <f>IFERROR(__xludf.DUMMYFUNCTION("""COMPUTED_VALUE"""),4.0)</f>
        <v>4</v>
      </c>
      <c r="F1267" s="138">
        <f>IFERROR(__xludf.DUMMYFUNCTION("""COMPUTED_VALUE"""),3.0)</f>
        <v>3</v>
      </c>
      <c r="G1267" s="138">
        <f>IFERROR(__xludf.DUMMYFUNCTION("""COMPUTED_VALUE"""),4.0)</f>
        <v>4</v>
      </c>
      <c r="H1267" s="138">
        <f>IFERROR(__xludf.DUMMYFUNCTION("""COMPUTED_VALUE"""),3.0)</f>
        <v>3</v>
      </c>
      <c r="I1267" s="138">
        <f>IFERROR(__xludf.DUMMYFUNCTION("""COMPUTED_VALUE"""),4.0)</f>
        <v>4</v>
      </c>
      <c r="J1267" s="138">
        <f>IFERROR(__xludf.DUMMYFUNCTION("""COMPUTED_VALUE"""),4.0)</f>
        <v>4</v>
      </c>
      <c r="K1267" s="138">
        <f>IFERROR(__xludf.DUMMYFUNCTION("""COMPUTED_VALUE"""),4.0)</f>
        <v>4</v>
      </c>
      <c r="L1267" s="138">
        <v>26.0</v>
      </c>
      <c r="M1267" s="140" t="str">
        <f>VLOOKUP(text(D1267, "#"),'Master Table'!$A:$F, 6, FALSE)</f>
        <v>H-6</v>
      </c>
      <c r="N1267" s="141"/>
      <c r="O1267" s="142" t="str">
        <f t="shared" si="1"/>
        <v/>
      </c>
      <c r="P1267" s="143" t="str">
        <f>IF(ISNA(VLOOKUP(CONCAT(M1267,C1267), 'Judge Count DO NOT EDIT'!H:H, 1, FALSE)), "ERROR","")</f>
        <v/>
      </c>
      <c r="Q1267" s="141"/>
      <c r="R1267" s="143"/>
      <c r="S1267" s="139" t="str">
        <f t="shared" si="2"/>
        <v>1195504</v>
      </c>
      <c r="T1267" s="141"/>
    </row>
    <row r="1268">
      <c r="A1268" s="137">
        <f>IFERROR(__xludf.DUMMYFUNCTION("""COMPUTED_VALUE"""),45352.593491817126)</f>
        <v>45352.59349</v>
      </c>
      <c r="B1268" s="138" t="str">
        <f>IFERROR(__xludf.DUMMYFUNCTION("""COMPUTED_VALUE"""),"Lance Elliott ")</f>
        <v>Lance Elliott </v>
      </c>
      <c r="C1268" s="138">
        <f>IFERROR(__xludf.DUMMYFUNCTION("""COMPUTED_VALUE"""),1185.0)</f>
        <v>1185</v>
      </c>
      <c r="D1268" s="139">
        <f>IFERROR(__xludf.DUMMYFUNCTION("""COMPUTED_VALUE"""),504.0)</f>
        <v>504</v>
      </c>
      <c r="E1268" s="138">
        <f>IFERROR(__xludf.DUMMYFUNCTION("""COMPUTED_VALUE"""),4.0)</f>
        <v>4</v>
      </c>
      <c r="F1268" s="138">
        <f>IFERROR(__xludf.DUMMYFUNCTION("""COMPUTED_VALUE"""),3.0)</f>
        <v>3</v>
      </c>
      <c r="G1268" s="138">
        <f>IFERROR(__xludf.DUMMYFUNCTION("""COMPUTED_VALUE"""),4.0)</f>
        <v>4</v>
      </c>
      <c r="H1268" s="138">
        <f>IFERROR(__xludf.DUMMYFUNCTION("""COMPUTED_VALUE"""),4.0)</f>
        <v>4</v>
      </c>
      <c r="I1268" s="138">
        <f>IFERROR(__xludf.DUMMYFUNCTION("""COMPUTED_VALUE"""),5.0)</f>
        <v>5</v>
      </c>
      <c r="J1268" s="138">
        <f>IFERROR(__xludf.DUMMYFUNCTION("""COMPUTED_VALUE"""),5.0)</f>
        <v>5</v>
      </c>
      <c r="K1268" s="138">
        <f>IFERROR(__xludf.DUMMYFUNCTION("""COMPUTED_VALUE"""),4.0)</f>
        <v>4</v>
      </c>
      <c r="L1268" s="138">
        <v>29.0</v>
      </c>
      <c r="M1268" s="140" t="str">
        <f>VLOOKUP(text(D1268, "#"),'Master Table'!$A:$F, 6, FALSE)</f>
        <v>H-6</v>
      </c>
      <c r="N1268" s="141"/>
      <c r="O1268" s="142" t="str">
        <f t="shared" si="1"/>
        <v/>
      </c>
      <c r="P1268" s="143" t="str">
        <f>IF(ISNA(VLOOKUP(CONCAT(M1268,C1268), 'Judge Count DO NOT EDIT'!H:H, 1, FALSE)), "ERROR","")</f>
        <v/>
      </c>
      <c r="Q1268" s="141"/>
      <c r="R1268" s="143"/>
      <c r="S1268" s="139" t="str">
        <f t="shared" si="2"/>
        <v>1185504</v>
      </c>
      <c r="T1268" s="141"/>
    </row>
    <row r="1269">
      <c r="A1269" s="137">
        <f>IFERROR(__xludf.DUMMYFUNCTION("""COMPUTED_VALUE"""),45352.558528611116)</f>
        <v>45352.55853</v>
      </c>
      <c r="B1269" s="138" t="str">
        <f>IFERROR(__xludf.DUMMYFUNCTION("""COMPUTED_VALUE"""),"Lance Elliott ")</f>
        <v>Lance Elliott </v>
      </c>
      <c r="C1269" s="138">
        <f>IFERROR(__xludf.DUMMYFUNCTION("""COMPUTED_VALUE"""),1185.0)</f>
        <v>1185</v>
      </c>
      <c r="D1269" s="139">
        <f>IFERROR(__xludf.DUMMYFUNCTION("""COMPUTED_VALUE"""),505.0)</f>
        <v>505</v>
      </c>
      <c r="E1269" s="138">
        <f>IFERROR(__xludf.DUMMYFUNCTION("""COMPUTED_VALUE"""),4.0)</f>
        <v>4</v>
      </c>
      <c r="F1269" s="138">
        <f>IFERROR(__xludf.DUMMYFUNCTION("""COMPUTED_VALUE"""),4.0)</f>
        <v>4</v>
      </c>
      <c r="G1269" s="138">
        <f>IFERROR(__xludf.DUMMYFUNCTION("""COMPUTED_VALUE"""),3.0)</f>
        <v>3</v>
      </c>
      <c r="H1269" s="138">
        <f>IFERROR(__xludf.DUMMYFUNCTION("""COMPUTED_VALUE"""),4.0)</f>
        <v>4</v>
      </c>
      <c r="I1269" s="138">
        <f>IFERROR(__xludf.DUMMYFUNCTION("""COMPUTED_VALUE"""),4.0)</f>
        <v>4</v>
      </c>
      <c r="J1269" s="138">
        <f>IFERROR(__xludf.DUMMYFUNCTION("""COMPUTED_VALUE"""),3.0)</f>
        <v>3</v>
      </c>
      <c r="K1269" s="138">
        <f>IFERROR(__xludf.DUMMYFUNCTION("""COMPUTED_VALUE"""),3.0)</f>
        <v>3</v>
      </c>
      <c r="L1269" s="138">
        <v>25.0</v>
      </c>
      <c r="M1269" s="140" t="str">
        <f>VLOOKUP(text(D1269, "#"),'Master Table'!$A:$F, 6, FALSE)</f>
        <v>H-6</v>
      </c>
      <c r="N1269" s="141"/>
      <c r="O1269" s="142" t="str">
        <f t="shared" si="1"/>
        <v/>
      </c>
      <c r="P1269" s="143" t="str">
        <f>IF(ISNA(VLOOKUP(CONCAT(M1269,C1269), 'Judge Count DO NOT EDIT'!H:H, 1, FALSE)), "ERROR","")</f>
        <v/>
      </c>
      <c r="Q1269" s="141"/>
      <c r="R1269" s="143"/>
      <c r="S1269" s="139" t="str">
        <f t="shared" si="2"/>
        <v>1185505</v>
      </c>
      <c r="T1269" s="141"/>
    </row>
    <row r="1270">
      <c r="A1270" s="137">
        <f>IFERROR(__xludf.DUMMYFUNCTION("""COMPUTED_VALUE"""),45352.5593878588)</f>
        <v>45352.55939</v>
      </c>
      <c r="B1270" s="138" t="str">
        <f>IFERROR(__xludf.DUMMYFUNCTION("""COMPUTED_VALUE"""),"Kelly Sawyer")</f>
        <v>Kelly Sawyer</v>
      </c>
      <c r="C1270" s="138">
        <f>IFERROR(__xludf.DUMMYFUNCTION("""COMPUTED_VALUE"""),1196.0)</f>
        <v>1196</v>
      </c>
      <c r="D1270" s="139">
        <f>IFERROR(__xludf.DUMMYFUNCTION("""COMPUTED_VALUE"""),505.0)</f>
        <v>505</v>
      </c>
      <c r="E1270" s="138">
        <f>IFERROR(__xludf.DUMMYFUNCTION("""COMPUTED_VALUE"""),4.0)</f>
        <v>4</v>
      </c>
      <c r="F1270" s="138">
        <f>IFERROR(__xludf.DUMMYFUNCTION("""COMPUTED_VALUE"""),3.0)</f>
        <v>3</v>
      </c>
      <c r="G1270" s="138">
        <f>IFERROR(__xludf.DUMMYFUNCTION("""COMPUTED_VALUE"""),3.0)</f>
        <v>3</v>
      </c>
      <c r="H1270" s="138">
        <f>IFERROR(__xludf.DUMMYFUNCTION("""COMPUTED_VALUE"""),3.0)</f>
        <v>3</v>
      </c>
      <c r="I1270" s="138">
        <f>IFERROR(__xludf.DUMMYFUNCTION("""COMPUTED_VALUE"""),4.0)</f>
        <v>4</v>
      </c>
      <c r="J1270" s="138">
        <f>IFERROR(__xludf.DUMMYFUNCTION("""COMPUTED_VALUE"""),3.0)</f>
        <v>3</v>
      </c>
      <c r="K1270" s="138">
        <f>IFERROR(__xludf.DUMMYFUNCTION("""COMPUTED_VALUE"""),4.0)</f>
        <v>4</v>
      </c>
      <c r="L1270" s="138">
        <v>24.0</v>
      </c>
      <c r="M1270" s="140" t="str">
        <f>VLOOKUP(text(D1270, "#"),'Master Table'!$A:$F, 6, FALSE)</f>
        <v>H-6</v>
      </c>
      <c r="N1270" s="141" t="str">
        <f>IFERROR(__xludf.DUMMYFUNCTION("""COMPUTED_VALUE"""),"The speaker naturally talked at as higher cadence so it became harder to understand as they delved further into their presentation. That being said, they gave themselves moments to elaborate on the “why” rather than just focusing on the what which I follo"&amp;"wed very easily. Maintained good eye contact and was able to be proactive in where I needed further clarification.")</f>
        <v>The speaker naturally talked at as higher cadence so it became harder to understand as they delved further into their presentation. That being said, they gave themselves moments to elaborate on the “why” rather than just focusing on the what which I followed very easily. Maintained good eye contact and was able to be proactive in where I needed further clarification.</v>
      </c>
      <c r="O1270" s="142" t="str">
        <f t="shared" si="1"/>
        <v/>
      </c>
      <c r="P1270" s="143" t="str">
        <f>IF(ISNA(VLOOKUP(CONCAT(M1270,C1270), 'Judge Count DO NOT EDIT'!H:H, 1, FALSE)), "ERROR","")</f>
        <v/>
      </c>
      <c r="Q1270" s="141"/>
      <c r="R1270" s="143"/>
      <c r="S1270" s="139" t="str">
        <f t="shared" si="2"/>
        <v>1196505</v>
      </c>
      <c r="T1270" s="141"/>
    </row>
    <row r="1271">
      <c r="A1271" s="137">
        <f>IFERROR(__xludf.DUMMYFUNCTION("""COMPUTED_VALUE"""),45352.59521943287)</f>
        <v>45352.59522</v>
      </c>
      <c r="B1271" s="138" t="str">
        <f>IFERROR(__xludf.DUMMYFUNCTION("""COMPUTED_VALUE"""),"Margarita Perez")</f>
        <v>Margarita Perez</v>
      </c>
      <c r="C1271" s="138">
        <f>IFERROR(__xludf.DUMMYFUNCTION("""COMPUTED_VALUE"""),1195.0)</f>
        <v>1195</v>
      </c>
      <c r="D1271" s="139">
        <f>IFERROR(__xludf.DUMMYFUNCTION("""COMPUTED_VALUE"""),505.0)</f>
        <v>505</v>
      </c>
      <c r="E1271" s="138">
        <f>IFERROR(__xludf.DUMMYFUNCTION("""COMPUTED_VALUE"""),4.0)</f>
        <v>4</v>
      </c>
      <c r="F1271" s="138">
        <f>IFERROR(__xludf.DUMMYFUNCTION("""COMPUTED_VALUE"""),3.0)</f>
        <v>3</v>
      </c>
      <c r="G1271" s="138">
        <f>IFERROR(__xludf.DUMMYFUNCTION("""COMPUTED_VALUE"""),3.0)</f>
        <v>3</v>
      </c>
      <c r="H1271" s="138">
        <f>IFERROR(__xludf.DUMMYFUNCTION("""COMPUTED_VALUE"""),3.0)</f>
        <v>3</v>
      </c>
      <c r="I1271" s="138">
        <f>IFERROR(__xludf.DUMMYFUNCTION("""COMPUTED_VALUE"""),4.0)</f>
        <v>4</v>
      </c>
      <c r="J1271" s="138">
        <f>IFERROR(__xludf.DUMMYFUNCTION("""COMPUTED_VALUE"""),4.0)</f>
        <v>4</v>
      </c>
      <c r="K1271" s="138">
        <f>IFERROR(__xludf.DUMMYFUNCTION("""COMPUTED_VALUE"""),4.0)</f>
        <v>4</v>
      </c>
      <c r="L1271" s="138">
        <v>25.0</v>
      </c>
      <c r="M1271" s="140" t="str">
        <f>VLOOKUP(text(D1271, "#"),'Master Table'!$A:$F, 6, FALSE)</f>
        <v>H-6</v>
      </c>
      <c r="N1271" s="141"/>
      <c r="O1271" s="142" t="str">
        <f t="shared" si="1"/>
        <v/>
      </c>
      <c r="P1271" s="143" t="str">
        <f>IF(ISNA(VLOOKUP(CONCAT(M1271,C1271), 'Judge Count DO NOT EDIT'!H:H, 1, FALSE)), "ERROR","")</f>
        <v/>
      </c>
      <c r="Q1271" s="141"/>
      <c r="R1271" s="143"/>
      <c r="S1271" s="139" t="str">
        <f t="shared" si="2"/>
        <v>1195505</v>
      </c>
      <c r="T1271" s="141"/>
    </row>
    <row r="1272">
      <c r="A1272" s="137">
        <f>IFERROR(__xludf.DUMMYFUNCTION("""COMPUTED_VALUE"""),45352.55925576389)</f>
        <v>45352.55926</v>
      </c>
      <c r="B1272" s="138" t="str">
        <f>IFERROR(__xludf.DUMMYFUNCTION("""COMPUTED_VALUE"""),"Lance Elliott ")</f>
        <v>Lance Elliott </v>
      </c>
      <c r="C1272" s="138">
        <f>IFERROR(__xludf.DUMMYFUNCTION("""COMPUTED_VALUE"""),1185.0)</f>
        <v>1185</v>
      </c>
      <c r="D1272" s="139">
        <f>IFERROR(__xludf.DUMMYFUNCTION("""COMPUTED_VALUE"""),506.0)</f>
        <v>506</v>
      </c>
      <c r="E1272" s="138">
        <f>IFERROR(__xludf.DUMMYFUNCTION("""COMPUTED_VALUE"""),4.0)</f>
        <v>4</v>
      </c>
      <c r="F1272" s="138">
        <f>IFERROR(__xludf.DUMMYFUNCTION("""COMPUTED_VALUE"""),3.0)</f>
        <v>3</v>
      </c>
      <c r="G1272" s="138">
        <f>IFERROR(__xludf.DUMMYFUNCTION("""COMPUTED_VALUE"""),4.0)</f>
        <v>4</v>
      </c>
      <c r="H1272" s="138">
        <f>IFERROR(__xludf.DUMMYFUNCTION("""COMPUTED_VALUE"""),4.0)</f>
        <v>4</v>
      </c>
      <c r="I1272" s="138">
        <f>IFERROR(__xludf.DUMMYFUNCTION("""COMPUTED_VALUE"""),4.0)</f>
        <v>4</v>
      </c>
      <c r="J1272" s="138">
        <f>IFERROR(__xludf.DUMMYFUNCTION("""COMPUTED_VALUE"""),4.0)</f>
        <v>4</v>
      </c>
      <c r="K1272" s="138">
        <f>IFERROR(__xludf.DUMMYFUNCTION("""COMPUTED_VALUE"""),3.0)</f>
        <v>3</v>
      </c>
      <c r="L1272" s="138">
        <v>26.0</v>
      </c>
      <c r="M1272" s="140" t="str">
        <f>VLOOKUP(text(D1272, "#"),'Master Table'!$A:$F, 6, FALSE)</f>
        <v>H-6</v>
      </c>
      <c r="N1272" s="141"/>
      <c r="O1272" s="142" t="str">
        <f t="shared" si="1"/>
        <v/>
      </c>
      <c r="P1272" s="143" t="str">
        <f>IF(ISNA(VLOOKUP(CONCAT(M1272,C1272), 'Judge Count DO NOT EDIT'!H:H, 1, FALSE)), "ERROR","")</f>
        <v/>
      </c>
      <c r="Q1272" s="141"/>
      <c r="R1272" s="143"/>
      <c r="S1272" s="139" t="str">
        <f t="shared" si="2"/>
        <v>1185506</v>
      </c>
      <c r="T1272" s="141"/>
    </row>
    <row r="1273">
      <c r="A1273" s="137">
        <f>IFERROR(__xludf.DUMMYFUNCTION("""COMPUTED_VALUE"""),45352.57306028935)</f>
        <v>45352.57306</v>
      </c>
      <c r="B1273" s="138" t="str">
        <f>IFERROR(__xludf.DUMMYFUNCTION("""COMPUTED_VALUE"""),"Kelly Sawyer")</f>
        <v>Kelly Sawyer</v>
      </c>
      <c r="C1273" s="138">
        <f>IFERROR(__xludf.DUMMYFUNCTION("""COMPUTED_VALUE"""),1196.0)</f>
        <v>1196</v>
      </c>
      <c r="D1273" s="139">
        <f>IFERROR(__xludf.DUMMYFUNCTION("""COMPUTED_VALUE"""),506.0)</f>
        <v>506</v>
      </c>
      <c r="E1273" s="138">
        <f>IFERROR(__xludf.DUMMYFUNCTION("""COMPUTED_VALUE"""),4.0)</f>
        <v>4</v>
      </c>
      <c r="F1273" s="138">
        <f>IFERROR(__xludf.DUMMYFUNCTION("""COMPUTED_VALUE"""),3.0)</f>
        <v>3</v>
      </c>
      <c r="G1273" s="138">
        <f>IFERROR(__xludf.DUMMYFUNCTION("""COMPUTED_VALUE"""),3.0)</f>
        <v>3</v>
      </c>
      <c r="H1273" s="138">
        <f>IFERROR(__xludf.DUMMYFUNCTION("""COMPUTED_VALUE"""),3.0)</f>
        <v>3</v>
      </c>
      <c r="I1273" s="138">
        <f>IFERROR(__xludf.DUMMYFUNCTION("""COMPUTED_VALUE"""),4.0)</f>
        <v>4</v>
      </c>
      <c r="J1273" s="138">
        <f>IFERROR(__xludf.DUMMYFUNCTION("""COMPUTED_VALUE"""),4.0)</f>
        <v>4</v>
      </c>
      <c r="K1273" s="138">
        <f>IFERROR(__xludf.DUMMYFUNCTION("""COMPUTED_VALUE"""),4.0)</f>
        <v>4</v>
      </c>
      <c r="L1273" s="138">
        <v>25.0</v>
      </c>
      <c r="M1273" s="140" t="str">
        <f>VLOOKUP(text(D1273, "#"),'Master Table'!$A:$F, 6, FALSE)</f>
        <v>H-6</v>
      </c>
      <c r="N1273" s="141" t="str">
        <f>IFERROR(__xludf.DUMMYFUNCTION("""COMPUTED_VALUE"""),"Both presenters were able to ping pong between topics and the overall elevator pitch very smoothly. It did not feel choppy and they were able to elaborate on the “so what” of their research and where this can go further. They were honest about their limit"&amp;"ations and appeared well prepared. ")</f>
        <v>Both presenters were able to ping pong between topics and the overall elevator pitch very smoothly. It did not feel choppy and they were able to elaborate on the “so what” of their research and where this can go further. They were honest about their limitations and appeared well prepared. </v>
      </c>
      <c r="O1273" s="142" t="str">
        <f t="shared" si="1"/>
        <v/>
      </c>
      <c r="P1273" s="143" t="str">
        <f>IF(ISNA(VLOOKUP(CONCAT(M1273,C1273), 'Judge Count DO NOT EDIT'!H:H, 1, FALSE)), "ERROR","")</f>
        <v/>
      </c>
      <c r="Q1273" s="141"/>
      <c r="R1273" s="143"/>
      <c r="S1273" s="139" t="str">
        <f t="shared" si="2"/>
        <v>1196506</v>
      </c>
      <c r="T1273" s="141"/>
    </row>
    <row r="1274">
      <c r="A1274" s="137">
        <f>IFERROR(__xludf.DUMMYFUNCTION("""COMPUTED_VALUE"""),45352.59736164352)</f>
        <v>45352.59736</v>
      </c>
      <c r="B1274" s="138" t="str">
        <f>IFERROR(__xludf.DUMMYFUNCTION("""COMPUTED_VALUE"""),"Margarita Perez")</f>
        <v>Margarita Perez</v>
      </c>
      <c r="C1274" s="138">
        <f>IFERROR(__xludf.DUMMYFUNCTION("""COMPUTED_VALUE"""),1195.0)</f>
        <v>1195</v>
      </c>
      <c r="D1274" s="139">
        <f>IFERROR(__xludf.DUMMYFUNCTION("""COMPUTED_VALUE"""),506.0)</f>
        <v>506</v>
      </c>
      <c r="E1274" s="138">
        <f>IFERROR(__xludf.DUMMYFUNCTION("""COMPUTED_VALUE"""),4.0)</f>
        <v>4</v>
      </c>
      <c r="F1274" s="138">
        <f>IFERROR(__xludf.DUMMYFUNCTION("""COMPUTED_VALUE"""),4.0)</f>
        <v>4</v>
      </c>
      <c r="G1274" s="138">
        <f>IFERROR(__xludf.DUMMYFUNCTION("""COMPUTED_VALUE"""),4.0)</f>
        <v>4</v>
      </c>
      <c r="H1274" s="138">
        <f>IFERROR(__xludf.DUMMYFUNCTION("""COMPUTED_VALUE"""),4.0)</f>
        <v>4</v>
      </c>
      <c r="I1274" s="138">
        <f>IFERROR(__xludf.DUMMYFUNCTION("""COMPUTED_VALUE"""),4.0)</f>
        <v>4</v>
      </c>
      <c r="J1274" s="138">
        <f>IFERROR(__xludf.DUMMYFUNCTION("""COMPUTED_VALUE"""),4.0)</f>
        <v>4</v>
      </c>
      <c r="K1274" s="138">
        <f>IFERROR(__xludf.DUMMYFUNCTION("""COMPUTED_VALUE"""),4.0)</f>
        <v>4</v>
      </c>
      <c r="L1274" s="138">
        <v>28.0</v>
      </c>
      <c r="M1274" s="140" t="str">
        <f>VLOOKUP(text(D1274, "#"),'Master Table'!$A:$F, 6, FALSE)</f>
        <v>H-6</v>
      </c>
      <c r="N1274" s="141"/>
      <c r="O1274" s="142" t="str">
        <f t="shared" si="1"/>
        <v/>
      </c>
      <c r="P1274" s="143" t="str">
        <f>IF(ISNA(VLOOKUP(CONCAT(M1274,C1274), 'Judge Count DO NOT EDIT'!H:H, 1, FALSE)), "ERROR","")</f>
        <v/>
      </c>
      <c r="Q1274" s="141"/>
      <c r="R1274" s="143"/>
      <c r="S1274" s="139" t="str">
        <f t="shared" si="2"/>
        <v>1195506</v>
      </c>
      <c r="T1274" s="141"/>
    </row>
    <row r="1275">
      <c r="A1275" s="137">
        <f>IFERROR(__xludf.DUMMYFUNCTION("""COMPUTED_VALUE"""),45352.578265104166)</f>
        <v>45352.57827</v>
      </c>
      <c r="B1275" s="138" t="str">
        <f>IFERROR(__xludf.DUMMYFUNCTION("""COMPUTED_VALUE"""),"Lance Elliott ")</f>
        <v>Lance Elliott </v>
      </c>
      <c r="C1275" s="138">
        <f>IFERROR(__xludf.DUMMYFUNCTION("""COMPUTED_VALUE"""),1185.0)</f>
        <v>1185</v>
      </c>
      <c r="D1275" s="139">
        <f>IFERROR(__xludf.DUMMYFUNCTION("""COMPUTED_VALUE"""),507.0)</f>
        <v>507</v>
      </c>
      <c r="E1275" s="138">
        <f>IFERROR(__xludf.DUMMYFUNCTION("""COMPUTED_VALUE"""),4.0)</f>
        <v>4</v>
      </c>
      <c r="F1275" s="138">
        <f>IFERROR(__xludf.DUMMYFUNCTION("""COMPUTED_VALUE"""),4.0)</f>
        <v>4</v>
      </c>
      <c r="G1275" s="138">
        <f>IFERROR(__xludf.DUMMYFUNCTION("""COMPUTED_VALUE"""),4.0)</f>
        <v>4</v>
      </c>
      <c r="H1275" s="138">
        <f>IFERROR(__xludf.DUMMYFUNCTION("""COMPUTED_VALUE"""),4.0)</f>
        <v>4</v>
      </c>
      <c r="I1275" s="138">
        <f>IFERROR(__xludf.DUMMYFUNCTION("""COMPUTED_VALUE"""),4.0)</f>
        <v>4</v>
      </c>
      <c r="J1275" s="138">
        <f>IFERROR(__xludf.DUMMYFUNCTION("""COMPUTED_VALUE"""),4.0)</f>
        <v>4</v>
      </c>
      <c r="K1275" s="138">
        <f>IFERROR(__xludf.DUMMYFUNCTION("""COMPUTED_VALUE"""),4.0)</f>
        <v>4</v>
      </c>
      <c r="L1275" s="138">
        <v>28.0</v>
      </c>
      <c r="M1275" s="140" t="str">
        <f>VLOOKUP(text(D1275, "#"),'Master Table'!$A:$F, 6, FALSE)</f>
        <v>H-6</v>
      </c>
      <c r="N1275" s="141" t="str">
        <f>IFERROR(__xludf.DUMMYFUNCTION("""COMPUTED_VALUE"""),"Great job presenting.")</f>
        <v>Great job presenting.</v>
      </c>
      <c r="O1275" s="142" t="str">
        <f t="shared" si="1"/>
        <v/>
      </c>
      <c r="P1275" s="143" t="str">
        <f>IF(ISNA(VLOOKUP(CONCAT(M1275,C1275), 'Judge Count DO NOT EDIT'!H:H, 1, FALSE)), "ERROR","")</f>
        <v/>
      </c>
      <c r="Q1275" s="141"/>
      <c r="R1275" s="143"/>
      <c r="S1275" s="139" t="str">
        <f t="shared" si="2"/>
        <v>1185507</v>
      </c>
      <c r="T1275" s="141"/>
    </row>
    <row r="1276">
      <c r="A1276" s="137">
        <f>IFERROR(__xludf.DUMMYFUNCTION("""COMPUTED_VALUE"""),45352.60006030093)</f>
        <v>45352.60006</v>
      </c>
      <c r="B1276" s="138" t="str">
        <f>IFERROR(__xludf.DUMMYFUNCTION("""COMPUTED_VALUE"""),"Margarita Perez")</f>
        <v>Margarita Perez</v>
      </c>
      <c r="C1276" s="138">
        <f>IFERROR(__xludf.DUMMYFUNCTION("""COMPUTED_VALUE"""),1195.0)</f>
        <v>1195</v>
      </c>
      <c r="D1276" s="139">
        <f>IFERROR(__xludf.DUMMYFUNCTION("""COMPUTED_VALUE"""),507.0)</f>
        <v>507</v>
      </c>
      <c r="E1276" s="138">
        <f>IFERROR(__xludf.DUMMYFUNCTION("""COMPUTED_VALUE"""),3.0)</f>
        <v>3</v>
      </c>
      <c r="F1276" s="138">
        <f>IFERROR(__xludf.DUMMYFUNCTION("""COMPUTED_VALUE"""),3.0)</f>
        <v>3</v>
      </c>
      <c r="G1276" s="138">
        <f>IFERROR(__xludf.DUMMYFUNCTION("""COMPUTED_VALUE"""),3.0)</f>
        <v>3</v>
      </c>
      <c r="H1276" s="138">
        <f>IFERROR(__xludf.DUMMYFUNCTION("""COMPUTED_VALUE"""),3.0)</f>
        <v>3</v>
      </c>
      <c r="I1276" s="138">
        <f>IFERROR(__xludf.DUMMYFUNCTION("""COMPUTED_VALUE"""),4.0)</f>
        <v>4</v>
      </c>
      <c r="J1276" s="138">
        <f>IFERROR(__xludf.DUMMYFUNCTION("""COMPUTED_VALUE"""),4.0)</f>
        <v>4</v>
      </c>
      <c r="K1276" s="138">
        <f>IFERROR(__xludf.DUMMYFUNCTION("""COMPUTED_VALUE"""),4.0)</f>
        <v>4</v>
      </c>
      <c r="L1276" s="138">
        <v>24.0</v>
      </c>
      <c r="M1276" s="140" t="str">
        <f>VLOOKUP(text(D1276, "#"),'Master Table'!$A:$F, 6, FALSE)</f>
        <v>H-6</v>
      </c>
      <c r="N1276" s="141" t="str">
        <f>IFERROR(__xludf.DUMMYFUNCTION("""COMPUTED_VALUE"""),"Will be helpful to add explanation rather than formulas with subtitles.")</f>
        <v>Will be helpful to add explanation rather than formulas with subtitles.</v>
      </c>
      <c r="O1276" s="142" t="str">
        <f t="shared" si="1"/>
        <v/>
      </c>
      <c r="P1276" s="143" t="str">
        <f>IF(ISNA(VLOOKUP(CONCAT(M1276,C1276), 'Judge Count DO NOT EDIT'!H:H, 1, FALSE)), "ERROR","")</f>
        <v/>
      </c>
      <c r="Q1276" s="144"/>
      <c r="R1276" s="143"/>
      <c r="S1276" s="139" t="str">
        <f t="shared" si="2"/>
        <v>1195507</v>
      </c>
      <c r="T1276" s="141"/>
    </row>
    <row r="1277">
      <c r="A1277" s="137">
        <f>IFERROR(__xludf.DUMMYFUNCTION("""COMPUTED_VALUE"""),45352.60825167824)</f>
        <v>45352.60825</v>
      </c>
      <c r="B1277" s="138" t="str">
        <f>IFERROR(__xludf.DUMMYFUNCTION("""COMPUTED_VALUE"""),"Kelly Sawyer")</f>
        <v>Kelly Sawyer</v>
      </c>
      <c r="C1277" s="138">
        <f>IFERROR(__xludf.DUMMYFUNCTION("""COMPUTED_VALUE"""),1196.0)</f>
        <v>1196</v>
      </c>
      <c r="D1277" s="139">
        <f>IFERROR(__xludf.DUMMYFUNCTION("""COMPUTED_VALUE"""),507.0)</f>
        <v>507</v>
      </c>
      <c r="E1277" s="138">
        <f>IFERROR(__xludf.DUMMYFUNCTION("""COMPUTED_VALUE"""),4.0)</f>
        <v>4</v>
      </c>
      <c r="F1277" s="138">
        <f>IFERROR(__xludf.DUMMYFUNCTION("""COMPUTED_VALUE"""),4.0)</f>
        <v>4</v>
      </c>
      <c r="G1277" s="138">
        <f>IFERROR(__xludf.DUMMYFUNCTION("""COMPUTED_VALUE"""),4.0)</f>
        <v>4</v>
      </c>
      <c r="H1277" s="138">
        <f>IFERROR(__xludf.DUMMYFUNCTION("""COMPUTED_VALUE"""),4.0)</f>
        <v>4</v>
      </c>
      <c r="I1277" s="138">
        <f>IFERROR(__xludf.DUMMYFUNCTION("""COMPUTED_VALUE"""),5.0)</f>
        <v>5</v>
      </c>
      <c r="J1277" s="138">
        <f>IFERROR(__xludf.DUMMYFUNCTION("""COMPUTED_VALUE"""),5.0)</f>
        <v>5</v>
      </c>
      <c r="K1277" s="138">
        <f>IFERROR(__xludf.DUMMYFUNCTION("""COMPUTED_VALUE"""),5.0)</f>
        <v>5</v>
      </c>
      <c r="L1277" s="138">
        <v>31.0</v>
      </c>
      <c r="M1277" s="140" t="str">
        <f>VLOOKUP(text(D1277, "#"),'Master Table'!$A:$F, 6, FALSE)</f>
        <v>H-6</v>
      </c>
      <c r="N1277" s="141" t="str">
        <f>IFERROR(__xludf.DUMMYFUNCTION("""COMPUTED_VALUE"""),"One of the most passionate and infectious presenters I saw today. Their ability to revert back to the so what and their previous points was so well timed I felt like I was listening to a lecture. The images left room for them to speak to them rather than "&amp;"I just read the description. The flow was smooth, they did throw a few acronyms sporadically which left some of the previous statements a bite more nuance to comprehend but it was said with so much confidence I did not distract from the overall point. Ver"&amp;"y well done, I would have stayed longer if I did not have more posters to visit.")</f>
        <v>One of the most passionate and infectious presenters I saw today. Their ability to revert back to the so what and their previous points was so well timed I felt like I was listening to a lecture. The images left room for them to speak to them rather than I just read the description. The flow was smooth, they did throw a few acronyms sporadically which left some of the previous statements a bite more nuance to comprehend but it was said with so much confidence I did not distract from the overall point. Very well done, I would have stayed longer if I did not have more posters to visit.</v>
      </c>
      <c r="O1277" s="142" t="str">
        <f t="shared" si="1"/>
        <v/>
      </c>
      <c r="P1277" s="143" t="str">
        <f>IF(ISNA(VLOOKUP(CONCAT(M1277,C1277), 'Judge Count DO NOT EDIT'!H:H, 1, FALSE)), "ERROR","")</f>
        <v/>
      </c>
      <c r="Q1277" s="141"/>
      <c r="R1277" s="143"/>
      <c r="S1277" s="139" t="str">
        <f t="shared" si="2"/>
        <v>1196507</v>
      </c>
      <c r="T1277" s="141"/>
    </row>
    <row r="1278">
      <c r="A1278" s="137">
        <f>IFERROR(__xludf.DUMMYFUNCTION("""COMPUTED_VALUE"""),45352.58346055556)</f>
        <v>45352.58346</v>
      </c>
      <c r="B1278" s="138" t="str">
        <f>IFERROR(__xludf.DUMMYFUNCTION("""COMPUTED_VALUE"""),"Cat Ellis")</f>
        <v>Cat Ellis</v>
      </c>
      <c r="C1278" s="138">
        <f>IFERROR(__xludf.DUMMYFUNCTION("""COMPUTED_VALUE"""),1033.0)</f>
        <v>1033</v>
      </c>
      <c r="D1278" s="139">
        <f>IFERROR(__xludf.DUMMYFUNCTION("""COMPUTED_VALUE"""),508.0)</f>
        <v>508</v>
      </c>
      <c r="E1278" s="138">
        <f>IFERROR(__xludf.DUMMYFUNCTION("""COMPUTED_VALUE"""),5.0)</f>
        <v>5</v>
      </c>
      <c r="F1278" s="138">
        <f>IFERROR(__xludf.DUMMYFUNCTION("""COMPUTED_VALUE"""),5.0)</f>
        <v>5</v>
      </c>
      <c r="G1278" s="138">
        <f>IFERROR(__xludf.DUMMYFUNCTION("""COMPUTED_VALUE"""),5.0)</f>
        <v>5</v>
      </c>
      <c r="H1278" s="138">
        <f>IFERROR(__xludf.DUMMYFUNCTION("""COMPUTED_VALUE"""),5.0)</f>
        <v>5</v>
      </c>
      <c r="I1278" s="138">
        <f>IFERROR(__xludf.DUMMYFUNCTION("""COMPUTED_VALUE"""),4.0)</f>
        <v>4</v>
      </c>
      <c r="J1278" s="138">
        <f>IFERROR(__xludf.DUMMYFUNCTION("""COMPUTED_VALUE"""),5.0)</f>
        <v>5</v>
      </c>
      <c r="K1278" s="138">
        <f>IFERROR(__xludf.DUMMYFUNCTION("""COMPUTED_VALUE"""),5.0)</f>
        <v>5</v>
      </c>
      <c r="L1278" s="138">
        <v>34.0</v>
      </c>
      <c r="M1278" s="140" t="str">
        <f>VLOOKUP(text(D1278, "#"),'Master Table'!$A:$F, 6, FALSE)</f>
        <v>H-7</v>
      </c>
      <c r="N1278" s="141" t="str">
        <f>IFERROR(__xludf.DUMMYFUNCTION("""COMPUTED_VALUE"""),"This is a wonderful project with the potential for further research. I recommend using less text and more bullet points.")</f>
        <v>This is a wonderful project with the potential for further research. I recommend using less text and more bullet points.</v>
      </c>
      <c r="O1278" s="142" t="str">
        <f t="shared" si="1"/>
        <v/>
      </c>
      <c r="P1278" s="143" t="str">
        <f>IF(ISNA(VLOOKUP(CONCAT(M1278,C1278), 'Judge Count DO NOT EDIT'!H:H, 1, FALSE)), "ERROR","")</f>
        <v/>
      </c>
      <c r="Q1278" s="141"/>
      <c r="R1278" s="143"/>
      <c r="S1278" s="139" t="str">
        <f t="shared" si="2"/>
        <v>1033508</v>
      </c>
      <c r="T1278" s="141"/>
    </row>
    <row r="1279">
      <c r="A1279" s="137">
        <f>IFERROR(__xludf.DUMMYFUNCTION("""COMPUTED_VALUE"""),45352.58743835648)</f>
        <v>45352.58744</v>
      </c>
      <c r="B1279" s="138" t="str">
        <f>IFERROR(__xludf.DUMMYFUNCTION("""COMPUTED_VALUE"""),"Hannah Friesen")</f>
        <v>Hannah Friesen</v>
      </c>
      <c r="C1279" s="138">
        <f>IFERROR(__xludf.DUMMYFUNCTION("""COMPUTED_VALUE"""),1101.0)</f>
        <v>1101</v>
      </c>
      <c r="D1279" s="139">
        <f>IFERROR(__xludf.DUMMYFUNCTION("""COMPUTED_VALUE"""),508.0)</f>
        <v>508</v>
      </c>
      <c r="E1279" s="138">
        <f>IFERROR(__xludf.DUMMYFUNCTION("""COMPUTED_VALUE"""),4.0)</f>
        <v>4</v>
      </c>
      <c r="F1279" s="138">
        <f>IFERROR(__xludf.DUMMYFUNCTION("""COMPUTED_VALUE"""),4.0)</f>
        <v>4</v>
      </c>
      <c r="G1279" s="138">
        <f>IFERROR(__xludf.DUMMYFUNCTION("""COMPUTED_VALUE"""),5.0)</f>
        <v>5</v>
      </c>
      <c r="H1279" s="138">
        <f>IFERROR(__xludf.DUMMYFUNCTION("""COMPUTED_VALUE"""),3.0)</f>
        <v>3</v>
      </c>
      <c r="I1279" s="138">
        <f>IFERROR(__xludf.DUMMYFUNCTION("""COMPUTED_VALUE"""),4.0)</f>
        <v>4</v>
      </c>
      <c r="J1279" s="138">
        <f>IFERROR(__xludf.DUMMYFUNCTION("""COMPUTED_VALUE"""),4.0)</f>
        <v>4</v>
      </c>
      <c r="K1279" s="138">
        <f>IFERROR(__xludf.DUMMYFUNCTION("""COMPUTED_VALUE"""),4.0)</f>
        <v>4</v>
      </c>
      <c r="L1279" s="138">
        <v>28.0</v>
      </c>
      <c r="M1279" s="140" t="str">
        <f>VLOOKUP(text(D1279, "#"),'Master Table'!$A:$F, 6, FALSE)</f>
        <v>H-7</v>
      </c>
      <c r="N1279" s="141" t="str">
        <f>IFERROR(__xludf.DUMMYFUNCTION("""COMPUTED_VALUE"""),"What went well: 
-Clear purpose/motivation/inspiration, 
-Passion for the project is clear
-was able to answer the questions I posed in a thoughtful manner
Suggestions: 
-Poster had a lot of text and could have been made more visually interesting with mo"&amp;"re images/symbols")</f>
        <v>What went well: 
-Clear purpose/motivation/inspiration, 
-Passion for the project is clear
-was able to answer the questions I posed in a thoughtful manner
Suggestions: 
-Poster had a lot of text and could have been made more visually interesting with more images/symbols</v>
      </c>
      <c r="O1279" s="142" t="str">
        <f t="shared" si="1"/>
        <v/>
      </c>
      <c r="P1279" s="143" t="str">
        <f>IF(ISNA(VLOOKUP(CONCAT(M1279,C1279), 'Judge Count DO NOT EDIT'!H:H, 1, FALSE)), "ERROR","")</f>
        <v/>
      </c>
      <c r="Q1279" s="141"/>
      <c r="R1279" s="143"/>
      <c r="S1279" s="139" t="str">
        <f t="shared" si="2"/>
        <v>1101508</v>
      </c>
      <c r="T1279" s="141"/>
    </row>
    <row r="1280">
      <c r="A1280" s="137">
        <f>IFERROR(__xludf.DUMMYFUNCTION("""COMPUTED_VALUE"""),45352.61031333334)</f>
        <v>45352.61031</v>
      </c>
      <c r="B1280" s="138" t="str">
        <f>IFERROR(__xludf.DUMMYFUNCTION("""COMPUTED_VALUE"""),"Yu Ni")</f>
        <v>Yu Ni</v>
      </c>
      <c r="C1280" s="138">
        <f>IFERROR(__xludf.DUMMYFUNCTION("""COMPUTED_VALUE"""),1122.0)</f>
        <v>1122</v>
      </c>
      <c r="D1280" s="139">
        <f>IFERROR(__xludf.DUMMYFUNCTION("""COMPUTED_VALUE"""),508.0)</f>
        <v>508</v>
      </c>
      <c r="E1280" s="138">
        <f>IFERROR(__xludf.DUMMYFUNCTION("""COMPUTED_VALUE"""),3.0)</f>
        <v>3</v>
      </c>
      <c r="F1280" s="138">
        <f>IFERROR(__xludf.DUMMYFUNCTION("""COMPUTED_VALUE"""),4.0)</f>
        <v>4</v>
      </c>
      <c r="G1280" s="138">
        <f>IFERROR(__xludf.DUMMYFUNCTION("""COMPUTED_VALUE"""),4.0)</f>
        <v>4</v>
      </c>
      <c r="H1280" s="138">
        <f>IFERROR(__xludf.DUMMYFUNCTION("""COMPUTED_VALUE"""),3.0)</f>
        <v>3</v>
      </c>
      <c r="I1280" s="138">
        <f>IFERROR(__xludf.DUMMYFUNCTION("""COMPUTED_VALUE"""),3.0)</f>
        <v>3</v>
      </c>
      <c r="J1280" s="138">
        <f>IFERROR(__xludf.DUMMYFUNCTION("""COMPUTED_VALUE"""),3.0)</f>
        <v>3</v>
      </c>
      <c r="K1280" s="138">
        <f>IFERROR(__xludf.DUMMYFUNCTION("""COMPUTED_VALUE"""),3.0)</f>
        <v>3</v>
      </c>
      <c r="L1280" s="138">
        <v>23.0</v>
      </c>
      <c r="M1280" s="140" t="str">
        <f>VLOOKUP(text(D1280, "#"),'Master Table'!$A:$F, 6, FALSE)</f>
        <v>H-7</v>
      </c>
      <c r="N1280" s="141" t="str">
        <f>IFERROR(__xludf.DUMMYFUNCTION("""COMPUTED_VALUE"""),"Suggest collecting information about response rate to assess potential selection bias. Suggest adding figure titles in the poster.")</f>
        <v>Suggest collecting information about response rate to assess potential selection bias. Suggest adding figure titles in the poster.</v>
      </c>
      <c r="O1280" s="142" t="str">
        <f t="shared" si="1"/>
        <v/>
      </c>
      <c r="P1280" s="143" t="str">
        <f>IF(ISNA(VLOOKUP(CONCAT(M1280,C1280), 'Judge Count DO NOT EDIT'!H:H, 1, FALSE)), "ERROR","")</f>
        <v/>
      </c>
      <c r="Q1280" s="144"/>
      <c r="R1280" s="143"/>
      <c r="S1280" s="139" t="str">
        <f t="shared" si="2"/>
        <v>1122508</v>
      </c>
      <c r="T1280" s="141"/>
    </row>
    <row r="1281">
      <c r="A1281" s="137">
        <f>IFERROR(__xludf.DUMMYFUNCTION("""COMPUTED_VALUE"""),45352.61103925926)</f>
        <v>45352.61104</v>
      </c>
      <c r="B1281" s="138" t="str">
        <f>IFERROR(__xludf.DUMMYFUNCTION("""COMPUTED_VALUE"""),"Margaret Henderson ")</f>
        <v>Margaret Henderson </v>
      </c>
      <c r="C1281" s="138">
        <f>IFERROR(__xludf.DUMMYFUNCTION("""COMPUTED_VALUE"""),1180.0)</f>
        <v>1180</v>
      </c>
      <c r="D1281" s="139">
        <f>IFERROR(__xludf.DUMMYFUNCTION("""COMPUTED_VALUE"""),508.0)</f>
        <v>508</v>
      </c>
      <c r="E1281" s="138">
        <f>IFERROR(__xludf.DUMMYFUNCTION("""COMPUTED_VALUE"""),3.0)</f>
        <v>3</v>
      </c>
      <c r="F1281" s="138">
        <f>IFERROR(__xludf.DUMMYFUNCTION("""COMPUTED_VALUE"""),4.0)</f>
        <v>4</v>
      </c>
      <c r="G1281" s="138">
        <f>IFERROR(__xludf.DUMMYFUNCTION("""COMPUTED_VALUE"""),3.0)</f>
        <v>3</v>
      </c>
      <c r="H1281" s="138">
        <f>IFERROR(__xludf.DUMMYFUNCTION("""COMPUTED_VALUE"""),3.0)</f>
        <v>3</v>
      </c>
      <c r="I1281" s="138">
        <f>IFERROR(__xludf.DUMMYFUNCTION("""COMPUTED_VALUE"""),3.0)</f>
        <v>3</v>
      </c>
      <c r="J1281" s="138">
        <f>IFERROR(__xludf.DUMMYFUNCTION("""COMPUTED_VALUE"""),3.0)</f>
        <v>3</v>
      </c>
      <c r="K1281" s="138">
        <f>IFERROR(__xludf.DUMMYFUNCTION("""COMPUTED_VALUE"""),3.0)</f>
        <v>3</v>
      </c>
      <c r="L1281" s="138">
        <v>22.0</v>
      </c>
      <c r="M1281" s="140" t="str">
        <f>VLOOKUP(text(D1281, "#"),'Master Table'!$A:$F, 6, FALSE)</f>
        <v>H-7</v>
      </c>
      <c r="N1281" s="141" t="str">
        <f>IFERROR(__xludf.DUMMYFUNCTION("""COMPUTED_VALUE"""),"Your study is very interesting but when describing the work don’t focus on the service learning work, unless in future you compare different service learning programs. You should focus on your work to look at student perceptions. Your work is interesting "&amp;"and important for the field. ")</f>
        <v>Your study is very interesting but when describing the work don’t focus on the service learning work, unless in future you compare different service learning programs. You should focus on your work to look at student perceptions. Your work is interesting and important for the field. </v>
      </c>
      <c r="O1281" s="142" t="str">
        <f t="shared" si="1"/>
        <v/>
      </c>
      <c r="P1281" s="143" t="str">
        <f>IF(ISNA(VLOOKUP(CONCAT(M1281,C1281), 'Judge Count DO NOT EDIT'!H:H, 1, FALSE)), "ERROR","")</f>
        <v/>
      </c>
      <c r="Q1281" s="141"/>
      <c r="R1281" s="143"/>
      <c r="S1281" s="139" t="str">
        <f t="shared" si="2"/>
        <v>1180508</v>
      </c>
      <c r="T1281" s="141"/>
    </row>
    <row r="1282">
      <c r="A1282" s="137">
        <f>IFERROR(__xludf.DUMMYFUNCTION("""COMPUTED_VALUE"""),45352.61421900463)</f>
        <v>45352.61422</v>
      </c>
      <c r="B1282" s="138" t="str">
        <f>IFERROR(__xludf.DUMMYFUNCTION("""COMPUTED_VALUE"""),"Patricia Dionicio")</f>
        <v>Patricia Dionicio</v>
      </c>
      <c r="C1282" s="138">
        <f>IFERROR(__xludf.DUMMYFUNCTION("""COMPUTED_VALUE"""),1109.0)</f>
        <v>1109</v>
      </c>
      <c r="D1282" s="139">
        <f>IFERROR(__xludf.DUMMYFUNCTION("""COMPUTED_VALUE"""),508.0)</f>
        <v>508</v>
      </c>
      <c r="E1282" s="138">
        <f>IFERROR(__xludf.DUMMYFUNCTION("""COMPUTED_VALUE"""),3.0)</f>
        <v>3</v>
      </c>
      <c r="F1282" s="138">
        <f>IFERROR(__xludf.DUMMYFUNCTION("""COMPUTED_VALUE"""),4.0)</f>
        <v>4</v>
      </c>
      <c r="G1282" s="138">
        <f>IFERROR(__xludf.DUMMYFUNCTION("""COMPUTED_VALUE"""),4.0)</f>
        <v>4</v>
      </c>
      <c r="H1282" s="138">
        <f>IFERROR(__xludf.DUMMYFUNCTION("""COMPUTED_VALUE"""),3.0)</f>
        <v>3</v>
      </c>
      <c r="I1282" s="138">
        <f>IFERROR(__xludf.DUMMYFUNCTION("""COMPUTED_VALUE"""),3.0)</f>
        <v>3</v>
      </c>
      <c r="J1282" s="138">
        <f>IFERROR(__xludf.DUMMYFUNCTION("""COMPUTED_VALUE"""),3.0)</f>
        <v>3</v>
      </c>
      <c r="K1282" s="138">
        <f>IFERROR(__xludf.DUMMYFUNCTION("""COMPUTED_VALUE"""),3.0)</f>
        <v>3</v>
      </c>
      <c r="L1282" s="138">
        <v>23.0</v>
      </c>
      <c r="M1282" s="140" t="str">
        <f>VLOOKUP(text(D1282, "#"),'Master Table'!$A:$F, 6, FALSE)</f>
        <v>H-7</v>
      </c>
      <c r="N1282" s="141" t="str">
        <f>IFERROR(__xludf.DUMMYFUNCTION("""COMPUTED_VALUE"""),"Very interesting findings and comprehension of information. Only critique would be of presentation of information on poster which was very text heavy, could present findings using more visuals to make more clear to audience.")</f>
        <v>Very interesting findings and comprehension of information. Only critique would be of presentation of information on poster which was very text heavy, could present findings using more visuals to make more clear to audience.</v>
      </c>
      <c r="O1282" s="142" t="str">
        <f t="shared" si="1"/>
        <v/>
      </c>
      <c r="P1282" s="143" t="str">
        <f>IF(ISNA(VLOOKUP(CONCAT(M1282,C1282), 'Judge Count DO NOT EDIT'!H:H, 1, FALSE)), "ERROR","")</f>
        <v/>
      </c>
      <c r="Q1282" s="141"/>
      <c r="R1282" s="143"/>
      <c r="S1282" s="139" t="str">
        <f t="shared" si="2"/>
        <v>1109508</v>
      </c>
      <c r="T1282" s="141"/>
    </row>
    <row r="1283">
      <c r="A1283" s="137">
        <f>IFERROR(__xludf.DUMMYFUNCTION("""COMPUTED_VALUE"""),45352.54595954861)</f>
        <v>45352.54596</v>
      </c>
      <c r="B1283" s="138" t="str">
        <f>IFERROR(__xludf.DUMMYFUNCTION("""COMPUTED_VALUE"""),"Cat Ellis")</f>
        <v>Cat Ellis</v>
      </c>
      <c r="C1283" s="138">
        <f>IFERROR(__xludf.DUMMYFUNCTION("""COMPUTED_VALUE"""),1033.0)</f>
        <v>1033</v>
      </c>
      <c r="D1283" s="139">
        <f>IFERROR(__xludf.DUMMYFUNCTION("""COMPUTED_VALUE"""),509.0)</f>
        <v>509</v>
      </c>
      <c r="E1283" s="138">
        <f>IFERROR(__xludf.DUMMYFUNCTION("""COMPUTED_VALUE"""),4.0)</f>
        <v>4</v>
      </c>
      <c r="F1283" s="138">
        <f>IFERROR(__xludf.DUMMYFUNCTION("""COMPUTED_VALUE"""),5.0)</f>
        <v>5</v>
      </c>
      <c r="G1283" s="138">
        <f>IFERROR(__xludf.DUMMYFUNCTION("""COMPUTED_VALUE"""),5.0)</f>
        <v>5</v>
      </c>
      <c r="H1283" s="138">
        <f>IFERROR(__xludf.DUMMYFUNCTION("""COMPUTED_VALUE"""),5.0)</f>
        <v>5</v>
      </c>
      <c r="I1283" s="138">
        <f>IFERROR(__xludf.DUMMYFUNCTION("""COMPUTED_VALUE"""),5.0)</f>
        <v>5</v>
      </c>
      <c r="J1283" s="138">
        <f>IFERROR(__xludf.DUMMYFUNCTION("""COMPUTED_VALUE"""),5.0)</f>
        <v>5</v>
      </c>
      <c r="K1283" s="138">
        <f>IFERROR(__xludf.DUMMYFUNCTION("""COMPUTED_VALUE"""),5.0)</f>
        <v>5</v>
      </c>
      <c r="L1283" s="138">
        <v>34.0</v>
      </c>
      <c r="M1283" s="140" t="str">
        <f>VLOOKUP(text(D1283, "#"),'Master Table'!$A:$F, 6, FALSE)</f>
        <v>H-7</v>
      </c>
      <c r="N1283" s="141" t="str">
        <f>IFERROR(__xludf.DUMMYFUNCTION("""COMPUTED_VALUE"""),"This is a well-designed research project. However, there was a lot of text on this poster, so I would remember to use more white space next time.")</f>
        <v>This is a well-designed research project. However, there was a lot of text on this poster, so I would remember to use more white space next time.</v>
      </c>
      <c r="O1283" s="142" t="str">
        <f t="shared" si="1"/>
        <v/>
      </c>
      <c r="P1283" s="143" t="str">
        <f>IF(ISNA(VLOOKUP(CONCAT(M1283,C1283), 'Judge Count DO NOT EDIT'!H:H, 1, FALSE)), "ERROR","")</f>
        <v/>
      </c>
      <c r="Q1283" s="141"/>
      <c r="R1283" s="143"/>
      <c r="S1283" s="139" t="str">
        <f t="shared" si="2"/>
        <v>1033509</v>
      </c>
      <c r="T1283" s="141"/>
    </row>
    <row r="1284">
      <c r="A1284" s="137">
        <f>IFERROR(__xludf.DUMMYFUNCTION("""COMPUTED_VALUE"""),45352.56377209491)</f>
        <v>45352.56377</v>
      </c>
      <c r="B1284" s="138" t="str">
        <f>IFERROR(__xludf.DUMMYFUNCTION("""COMPUTED_VALUE"""),"Patricia")</f>
        <v>Patricia</v>
      </c>
      <c r="C1284" s="138">
        <f>IFERROR(__xludf.DUMMYFUNCTION("""COMPUTED_VALUE"""),1109.0)</f>
        <v>1109</v>
      </c>
      <c r="D1284" s="139">
        <f>IFERROR(__xludf.DUMMYFUNCTION("""COMPUTED_VALUE"""),509.0)</f>
        <v>509</v>
      </c>
      <c r="E1284" s="138">
        <f>IFERROR(__xludf.DUMMYFUNCTION("""COMPUTED_VALUE"""),4.0)</f>
        <v>4</v>
      </c>
      <c r="F1284" s="138">
        <f>IFERROR(__xludf.DUMMYFUNCTION("""COMPUTED_VALUE"""),5.0)</f>
        <v>5</v>
      </c>
      <c r="G1284" s="138">
        <f>IFERROR(__xludf.DUMMYFUNCTION("""COMPUTED_VALUE"""),4.0)</f>
        <v>4</v>
      </c>
      <c r="H1284" s="138">
        <f>IFERROR(__xludf.DUMMYFUNCTION("""COMPUTED_VALUE"""),4.0)</f>
        <v>4</v>
      </c>
      <c r="I1284" s="138">
        <f>IFERROR(__xludf.DUMMYFUNCTION("""COMPUTED_VALUE"""),5.0)</f>
        <v>5</v>
      </c>
      <c r="J1284" s="138">
        <f>IFERROR(__xludf.DUMMYFUNCTION("""COMPUTED_VALUE"""),3.0)</f>
        <v>3</v>
      </c>
      <c r="K1284" s="138">
        <f>IFERROR(__xludf.DUMMYFUNCTION("""COMPUTED_VALUE"""),5.0)</f>
        <v>5</v>
      </c>
      <c r="L1284" s="138">
        <v>30.0</v>
      </c>
      <c r="M1284" s="140" t="str">
        <f>VLOOKUP(text(D1284, "#"),'Master Table'!$A:$F, 6, FALSE)</f>
        <v>H-7</v>
      </c>
      <c r="N1284" s="141" t="str">
        <f>IFERROR(__xludf.DUMMYFUNCTION("""COMPUTED_VALUE"""),"Organization and presentation  of data was excellent, research significance is clear and it is clear that presenter is well-knowledge in his area of research. Minor suggestions would be poster and presentation used complex concepts/methodology that could "&amp;"be defined for an audience not in their field. ")</f>
        <v>Organization and presentation  of data was excellent, research significance is clear and it is clear that presenter is well-knowledge in his area of research. Minor suggestions would be poster and presentation used complex concepts/methodology that could be defined for an audience not in their field. </v>
      </c>
      <c r="O1284" s="142" t="str">
        <f t="shared" si="1"/>
        <v/>
      </c>
      <c r="P1284" s="143" t="str">
        <f>IF(ISNA(VLOOKUP(CONCAT(M1284,C1284), 'Judge Count DO NOT EDIT'!H:H, 1, FALSE)), "ERROR","")</f>
        <v/>
      </c>
      <c r="Q1284" s="141"/>
      <c r="R1284" s="143"/>
      <c r="S1284" s="139" t="str">
        <f t="shared" si="2"/>
        <v>1109509</v>
      </c>
      <c r="T1284" s="141"/>
    </row>
    <row r="1285">
      <c r="A1285" s="137">
        <f>IFERROR(__xludf.DUMMYFUNCTION("""COMPUTED_VALUE"""),45352.5769846412)</f>
        <v>45352.57698</v>
      </c>
      <c r="B1285" s="138" t="str">
        <f>IFERROR(__xludf.DUMMYFUNCTION("""COMPUTED_VALUE"""),"Hannah Friesen")</f>
        <v>Hannah Friesen</v>
      </c>
      <c r="C1285" s="138">
        <f>IFERROR(__xludf.DUMMYFUNCTION("""COMPUTED_VALUE"""),1101.0)</f>
        <v>1101</v>
      </c>
      <c r="D1285" s="139">
        <f>IFERROR(__xludf.DUMMYFUNCTION("""COMPUTED_VALUE"""),509.0)</f>
        <v>509</v>
      </c>
      <c r="E1285" s="138">
        <f>IFERROR(__xludf.DUMMYFUNCTION("""COMPUTED_VALUE"""),4.0)</f>
        <v>4</v>
      </c>
      <c r="F1285" s="138">
        <f>IFERROR(__xludf.DUMMYFUNCTION("""COMPUTED_VALUE"""),4.0)</f>
        <v>4</v>
      </c>
      <c r="G1285" s="138">
        <f>IFERROR(__xludf.DUMMYFUNCTION("""COMPUTED_VALUE"""),4.0)</f>
        <v>4</v>
      </c>
      <c r="H1285" s="138">
        <f>IFERROR(__xludf.DUMMYFUNCTION("""COMPUTED_VALUE"""),5.0)</f>
        <v>5</v>
      </c>
      <c r="I1285" s="138">
        <f>IFERROR(__xludf.DUMMYFUNCTION("""COMPUTED_VALUE"""),4.0)</f>
        <v>4</v>
      </c>
      <c r="J1285" s="138">
        <f>IFERROR(__xludf.DUMMYFUNCTION("""COMPUTED_VALUE"""),3.0)</f>
        <v>3</v>
      </c>
      <c r="K1285" s="138">
        <f>IFERROR(__xludf.DUMMYFUNCTION("""COMPUTED_VALUE"""),4.0)</f>
        <v>4</v>
      </c>
      <c r="L1285" s="138">
        <v>28.0</v>
      </c>
      <c r="M1285" s="140" t="str">
        <f>VLOOKUP(text(D1285, "#"),'Master Table'!$A:$F, 6, FALSE)</f>
        <v>H-7</v>
      </c>
      <c r="N1285" s="141" t="str">
        <f>IFERROR(__xludf.DUMMYFUNCTION("""COMPUTED_VALUE"""),"What went well: 
-As someone who's not usually in the scientific space, he did a great job of explaining his project in layman's terms
-He masterfully described his methodology and the step-by-step process
Suggestions: 
-I would make the connection betwe"&amp;"en the tobacco disease sponsorship clear from the start. ")</f>
        <v>What went well: 
-As someone who's not usually in the scientific space, he did a great job of explaining his project in layman's terms
-He masterfully described his methodology and the step-by-step process
Suggestions: 
-I would make the connection between the tobacco disease sponsorship clear from the start. </v>
      </c>
      <c r="O1285" s="142" t="str">
        <f t="shared" si="1"/>
        <v/>
      </c>
      <c r="P1285" s="143" t="str">
        <f>IF(ISNA(VLOOKUP(CONCAT(M1285,C1285), 'Judge Count DO NOT EDIT'!H:H, 1, FALSE)), "ERROR","")</f>
        <v/>
      </c>
      <c r="Q1285" s="141"/>
      <c r="R1285" s="143"/>
      <c r="S1285" s="139" t="str">
        <f t="shared" si="2"/>
        <v>1101509</v>
      </c>
      <c r="T1285" s="141"/>
    </row>
    <row r="1286">
      <c r="A1286" s="137">
        <f>IFERROR(__xludf.DUMMYFUNCTION("""COMPUTED_VALUE"""),45352.61144049768)</f>
        <v>45352.61144</v>
      </c>
      <c r="B1286" s="138" t="str">
        <f>IFERROR(__xludf.DUMMYFUNCTION("""COMPUTED_VALUE"""),"Yu Nj")</f>
        <v>Yu Nj</v>
      </c>
      <c r="C1286" s="138">
        <f>IFERROR(__xludf.DUMMYFUNCTION("""COMPUTED_VALUE"""),1122.0)</f>
        <v>1122</v>
      </c>
      <c r="D1286" s="139">
        <f>IFERROR(__xludf.DUMMYFUNCTION("""COMPUTED_VALUE"""),509.0)</f>
        <v>509</v>
      </c>
      <c r="E1286" s="138">
        <f>IFERROR(__xludf.DUMMYFUNCTION("""COMPUTED_VALUE"""),4.0)</f>
        <v>4</v>
      </c>
      <c r="F1286" s="138">
        <f>IFERROR(__xludf.DUMMYFUNCTION("""COMPUTED_VALUE"""),4.0)</f>
        <v>4</v>
      </c>
      <c r="G1286" s="138">
        <f>IFERROR(__xludf.DUMMYFUNCTION("""COMPUTED_VALUE"""),4.0)</f>
        <v>4</v>
      </c>
      <c r="H1286" s="138">
        <f>IFERROR(__xludf.DUMMYFUNCTION("""COMPUTED_VALUE"""),3.0)</f>
        <v>3</v>
      </c>
      <c r="I1286" s="138">
        <f>IFERROR(__xludf.DUMMYFUNCTION("""COMPUTED_VALUE"""),3.0)</f>
        <v>3</v>
      </c>
      <c r="J1286" s="138">
        <f>IFERROR(__xludf.DUMMYFUNCTION("""COMPUTED_VALUE"""),4.0)</f>
        <v>4</v>
      </c>
      <c r="K1286" s="138">
        <f>IFERROR(__xludf.DUMMYFUNCTION("""COMPUTED_VALUE"""),3.0)</f>
        <v>3</v>
      </c>
      <c r="L1286" s="138">
        <v>25.0</v>
      </c>
      <c r="M1286" s="140" t="str">
        <f>VLOOKUP(text(D1286, "#"),'Master Table'!$A:$F, 6, FALSE)</f>
        <v>H-7</v>
      </c>
      <c r="N1286" s="141" t="str">
        <f>IFERROR(__xludf.DUMMYFUNCTION("""COMPUTED_VALUE"""),"Neat and clear poster with good figures. Interesting research topic.")</f>
        <v>Neat and clear poster with good figures. Interesting research topic.</v>
      </c>
      <c r="O1286" s="142" t="str">
        <f t="shared" si="1"/>
        <v/>
      </c>
      <c r="P1286" s="143" t="str">
        <f>IF(ISNA(VLOOKUP(CONCAT(M1286,C1286), 'Judge Count DO NOT EDIT'!H:H, 1, FALSE)), "ERROR","")</f>
        <v/>
      </c>
      <c r="Q1286" s="141"/>
      <c r="R1286" s="143"/>
      <c r="S1286" s="139" t="str">
        <f t="shared" si="2"/>
        <v>1122509</v>
      </c>
      <c r="T1286" s="141"/>
    </row>
    <row r="1287">
      <c r="A1287" s="137">
        <f>IFERROR(__xludf.DUMMYFUNCTION("""COMPUTED_VALUE"""),45352.61301887731)</f>
        <v>45352.61302</v>
      </c>
      <c r="B1287" s="138" t="str">
        <f>IFERROR(__xludf.DUMMYFUNCTION("""COMPUTED_VALUE"""),"Margaret Henderson ")</f>
        <v>Margaret Henderson </v>
      </c>
      <c r="C1287" s="138">
        <f>IFERROR(__xludf.DUMMYFUNCTION("""COMPUTED_VALUE"""),1180.0)</f>
        <v>1180</v>
      </c>
      <c r="D1287" s="139">
        <f>IFERROR(__xludf.DUMMYFUNCTION("""COMPUTED_VALUE"""),509.0)</f>
        <v>509</v>
      </c>
      <c r="E1287" s="138">
        <f>IFERROR(__xludf.DUMMYFUNCTION("""COMPUTED_VALUE"""),4.0)</f>
        <v>4</v>
      </c>
      <c r="F1287" s="138">
        <f>IFERROR(__xludf.DUMMYFUNCTION("""COMPUTED_VALUE"""),4.0)</f>
        <v>4</v>
      </c>
      <c r="G1287" s="138">
        <f>IFERROR(__xludf.DUMMYFUNCTION("""COMPUTED_VALUE"""),3.0)</f>
        <v>3</v>
      </c>
      <c r="H1287" s="138">
        <f>IFERROR(__xludf.DUMMYFUNCTION("""COMPUTED_VALUE"""),4.0)</f>
        <v>4</v>
      </c>
      <c r="I1287" s="138">
        <f>IFERROR(__xludf.DUMMYFUNCTION("""COMPUTED_VALUE"""),4.0)</f>
        <v>4</v>
      </c>
      <c r="J1287" s="138">
        <f>IFERROR(__xludf.DUMMYFUNCTION("""COMPUTED_VALUE"""),4.0)</f>
        <v>4</v>
      </c>
      <c r="K1287" s="138">
        <f>IFERROR(__xludf.DUMMYFUNCTION("""COMPUTED_VALUE"""),4.0)</f>
        <v>4</v>
      </c>
      <c r="L1287" s="138">
        <v>27.0</v>
      </c>
      <c r="M1287" s="140" t="str">
        <f>VLOOKUP(text(D1287, "#"),'Master Table'!$A:$F, 6, FALSE)</f>
        <v>H-7</v>
      </c>
      <c r="N1287" s="141" t="str">
        <f>IFERROR(__xludf.DUMMYFUNCTION("""COMPUTED_VALUE"""),"Good explanation and answers. Don’t forget to discuss not being not future research ideas but also applications to humans")</f>
        <v>Good explanation and answers. Don’t forget to discuss not being not future research ideas but also applications to humans</v>
      </c>
      <c r="O1287" s="142" t="str">
        <f t="shared" si="1"/>
        <v/>
      </c>
      <c r="P1287" s="143" t="str">
        <f>IF(ISNA(VLOOKUP(CONCAT(M1287,C1287), 'Judge Count DO NOT EDIT'!H:H, 1, FALSE)), "ERROR","")</f>
        <v/>
      </c>
      <c r="Q1287" s="141"/>
      <c r="R1287" s="143"/>
      <c r="S1287" s="139" t="str">
        <f t="shared" si="2"/>
        <v>1180509</v>
      </c>
      <c r="T1287" s="141"/>
    </row>
    <row r="1288">
      <c r="A1288" s="137">
        <f>IFERROR(__xludf.DUMMYFUNCTION("""COMPUTED_VALUE"""),45352.58496578704)</f>
        <v>45352.58497</v>
      </c>
      <c r="B1288" s="138" t="str">
        <f>IFERROR(__xludf.DUMMYFUNCTION("""COMPUTED_VALUE"""),"Cat Ellis")</f>
        <v>Cat Ellis</v>
      </c>
      <c r="C1288" s="138">
        <f>IFERROR(__xludf.DUMMYFUNCTION("""COMPUTED_VALUE"""),1033.0)</f>
        <v>1033</v>
      </c>
      <c r="D1288" s="139">
        <f>IFERROR(__xludf.DUMMYFUNCTION("""COMPUTED_VALUE"""),510.0)</f>
        <v>510</v>
      </c>
      <c r="E1288" s="138">
        <f>IFERROR(__xludf.DUMMYFUNCTION("""COMPUTED_VALUE"""),4.0)</f>
        <v>4</v>
      </c>
      <c r="F1288" s="138">
        <f>IFERROR(__xludf.DUMMYFUNCTION("""COMPUTED_VALUE"""),5.0)</f>
        <v>5</v>
      </c>
      <c r="G1288" s="138">
        <f>IFERROR(__xludf.DUMMYFUNCTION("""COMPUTED_VALUE"""),5.0)</f>
        <v>5</v>
      </c>
      <c r="H1288" s="138">
        <f>IFERROR(__xludf.DUMMYFUNCTION("""COMPUTED_VALUE"""),5.0)</f>
        <v>5</v>
      </c>
      <c r="I1288" s="138">
        <f>IFERROR(__xludf.DUMMYFUNCTION("""COMPUTED_VALUE"""),5.0)</f>
        <v>5</v>
      </c>
      <c r="J1288" s="138">
        <f>IFERROR(__xludf.DUMMYFUNCTION("""COMPUTED_VALUE"""),5.0)</f>
        <v>5</v>
      </c>
      <c r="K1288" s="138">
        <f>IFERROR(__xludf.DUMMYFUNCTION("""COMPUTED_VALUE"""),5.0)</f>
        <v>5</v>
      </c>
      <c r="L1288" s="138">
        <v>34.0</v>
      </c>
      <c r="M1288" s="140" t="str">
        <f>VLOOKUP(text(D1288, "#"),'Master Table'!$A:$F, 6, FALSE)</f>
        <v>H-7</v>
      </c>
      <c r="N1288" s="141" t="str">
        <f>IFERROR(__xludf.DUMMYFUNCTION("""COMPUTED_VALUE"""),"This a well designed research project with good potential for expansion. I recommend using less text and more blank space on future posters.")</f>
        <v>This a well designed research project with good potential for expansion. I recommend using less text and more blank space on future posters.</v>
      </c>
      <c r="O1288" s="142" t="str">
        <f t="shared" si="1"/>
        <v/>
      </c>
      <c r="P1288" s="143" t="str">
        <f>IF(ISNA(VLOOKUP(CONCAT(M1288,C1288), 'Judge Count DO NOT EDIT'!H:H, 1, FALSE)), "ERROR","")</f>
        <v/>
      </c>
      <c r="Q1288" s="141"/>
      <c r="R1288" s="143"/>
      <c r="S1288" s="139" t="str">
        <f t="shared" si="2"/>
        <v>1033510</v>
      </c>
      <c r="T1288" s="141"/>
    </row>
    <row r="1289">
      <c r="A1289" s="137">
        <f>IFERROR(__xludf.DUMMYFUNCTION("""COMPUTED_VALUE"""),45352.590831828704)</f>
        <v>45352.59083</v>
      </c>
      <c r="B1289" s="138" t="str">
        <f>IFERROR(__xludf.DUMMYFUNCTION("""COMPUTED_VALUE"""),"Patricia Dionicio")</f>
        <v>Patricia Dionicio</v>
      </c>
      <c r="C1289" s="138">
        <f>IFERROR(__xludf.DUMMYFUNCTION("""COMPUTED_VALUE"""),1109.0)</f>
        <v>1109</v>
      </c>
      <c r="D1289" s="139">
        <f>IFERROR(__xludf.DUMMYFUNCTION("""COMPUTED_VALUE"""),510.0)</f>
        <v>510</v>
      </c>
      <c r="E1289" s="138">
        <f>IFERROR(__xludf.DUMMYFUNCTION("""COMPUTED_VALUE"""),4.0)</f>
        <v>4</v>
      </c>
      <c r="F1289" s="138">
        <f>IFERROR(__xludf.DUMMYFUNCTION("""COMPUTED_VALUE"""),4.0)</f>
        <v>4</v>
      </c>
      <c r="G1289" s="138">
        <f>IFERROR(__xludf.DUMMYFUNCTION("""COMPUTED_VALUE"""),4.0)</f>
        <v>4</v>
      </c>
      <c r="H1289" s="138">
        <f>IFERROR(__xludf.DUMMYFUNCTION("""COMPUTED_VALUE"""),4.0)</f>
        <v>4</v>
      </c>
      <c r="I1289" s="138">
        <f>IFERROR(__xludf.DUMMYFUNCTION("""COMPUTED_VALUE"""),5.0)</f>
        <v>5</v>
      </c>
      <c r="J1289" s="138">
        <f>IFERROR(__xludf.DUMMYFUNCTION("""COMPUTED_VALUE"""),3.0)</f>
        <v>3</v>
      </c>
      <c r="K1289" s="138">
        <f>IFERROR(__xludf.DUMMYFUNCTION("""COMPUTED_VALUE"""),5.0)</f>
        <v>5</v>
      </c>
      <c r="L1289" s="138">
        <v>29.0</v>
      </c>
      <c r="M1289" s="140" t="str">
        <f>VLOOKUP(text(D1289, "#"),'Master Table'!$A:$F, 6, FALSE)</f>
        <v>H-7</v>
      </c>
      <c r="N1289" s="141" t="str">
        <f>IFERROR(__xludf.DUMMYFUNCTION("""COMPUTED_VALUE"""),"Incredible breakdown of complex information and concepts. Very interesting findings and graphics of muscle. Only suggestion would be to reduce text, was a lot of information and could use more visuals/space to further clarify methods.")</f>
        <v>Incredible breakdown of complex information and concepts. Very interesting findings and graphics of muscle. Only suggestion would be to reduce text, was a lot of information and could use more visuals/space to further clarify methods.</v>
      </c>
      <c r="O1289" s="142" t="str">
        <f t="shared" si="1"/>
        <v/>
      </c>
      <c r="P1289" s="143" t="str">
        <f>IF(ISNA(VLOOKUP(CONCAT(M1289,C1289), 'Judge Count DO NOT EDIT'!H:H, 1, FALSE)), "ERROR","")</f>
        <v/>
      </c>
      <c r="Q1289" s="141"/>
      <c r="R1289" s="143"/>
      <c r="S1289" s="139" t="str">
        <f t="shared" si="2"/>
        <v>1109510</v>
      </c>
      <c r="T1289" s="141"/>
    </row>
    <row r="1290">
      <c r="A1290" s="137">
        <f>IFERROR(__xludf.DUMMYFUNCTION("""COMPUTED_VALUE"""),45352.612284664356)</f>
        <v>45352.61228</v>
      </c>
      <c r="B1290" s="138" t="str">
        <f>IFERROR(__xludf.DUMMYFUNCTION("""COMPUTED_VALUE"""),"Yu Ni")</f>
        <v>Yu Ni</v>
      </c>
      <c r="C1290" s="138">
        <f>IFERROR(__xludf.DUMMYFUNCTION("""COMPUTED_VALUE"""),1122.0)</f>
        <v>1122</v>
      </c>
      <c r="D1290" s="139">
        <f>IFERROR(__xludf.DUMMYFUNCTION("""COMPUTED_VALUE"""),510.0)</f>
        <v>510</v>
      </c>
      <c r="E1290" s="138">
        <f>IFERROR(__xludf.DUMMYFUNCTION("""COMPUTED_VALUE"""),4.0)</f>
        <v>4</v>
      </c>
      <c r="F1290" s="138">
        <f>IFERROR(__xludf.DUMMYFUNCTION("""COMPUTED_VALUE"""),5.0)</f>
        <v>5</v>
      </c>
      <c r="G1290" s="138">
        <f>IFERROR(__xludf.DUMMYFUNCTION("""COMPUTED_VALUE"""),4.0)</f>
        <v>4</v>
      </c>
      <c r="H1290" s="138">
        <f>IFERROR(__xludf.DUMMYFUNCTION("""COMPUTED_VALUE"""),4.0)</f>
        <v>4</v>
      </c>
      <c r="I1290" s="138">
        <f>IFERROR(__xludf.DUMMYFUNCTION("""COMPUTED_VALUE"""),3.0)</f>
        <v>3</v>
      </c>
      <c r="J1290" s="138">
        <f>IFERROR(__xludf.DUMMYFUNCTION("""COMPUTED_VALUE"""),4.0)</f>
        <v>4</v>
      </c>
      <c r="K1290" s="138">
        <f>IFERROR(__xludf.DUMMYFUNCTION("""COMPUTED_VALUE"""),3.0)</f>
        <v>3</v>
      </c>
      <c r="L1290" s="138">
        <v>27.0</v>
      </c>
      <c r="M1290" s="140" t="str">
        <f>VLOOKUP(text(D1290, "#"),'Master Table'!$A:$F, 6, FALSE)</f>
        <v>H-7</v>
      </c>
      <c r="N1290" s="141" t="str">
        <f>IFERROR(__xludf.DUMMYFUNCTION("""COMPUTED_VALUE"""),"The poster is clear and neat, and easy to follow. ")</f>
        <v>The poster is clear and neat, and easy to follow. </v>
      </c>
      <c r="O1290" s="142" t="str">
        <f t="shared" si="1"/>
        <v/>
      </c>
      <c r="P1290" s="143" t="str">
        <f>IF(ISNA(VLOOKUP(CONCAT(M1290,C1290), 'Judge Count DO NOT EDIT'!H:H, 1, FALSE)), "ERROR","")</f>
        <v/>
      </c>
      <c r="Q1290" s="141"/>
      <c r="R1290" s="143"/>
      <c r="S1290" s="139" t="str">
        <f t="shared" si="2"/>
        <v>1122510</v>
      </c>
      <c r="T1290" s="141"/>
    </row>
    <row r="1291">
      <c r="A1291" s="137">
        <f>IFERROR(__xludf.DUMMYFUNCTION("""COMPUTED_VALUE"""),45352.61538574074)</f>
        <v>45352.61539</v>
      </c>
      <c r="B1291" s="138" t="str">
        <f>IFERROR(__xludf.DUMMYFUNCTION("""COMPUTED_VALUE"""),"Hannah Friesen")</f>
        <v>Hannah Friesen</v>
      </c>
      <c r="C1291" s="138">
        <f>IFERROR(__xludf.DUMMYFUNCTION("""COMPUTED_VALUE"""),1101.0)</f>
        <v>1101</v>
      </c>
      <c r="D1291" s="139">
        <f>IFERROR(__xludf.DUMMYFUNCTION("""COMPUTED_VALUE"""),510.0)</f>
        <v>510</v>
      </c>
      <c r="E1291" s="138">
        <f>IFERROR(__xludf.DUMMYFUNCTION("""COMPUTED_VALUE"""),4.0)</f>
        <v>4</v>
      </c>
      <c r="F1291" s="138">
        <f>IFERROR(__xludf.DUMMYFUNCTION("""COMPUTED_VALUE"""),3.0)</f>
        <v>3</v>
      </c>
      <c r="G1291" s="138">
        <f>IFERROR(__xludf.DUMMYFUNCTION("""COMPUTED_VALUE"""),4.0)</f>
        <v>4</v>
      </c>
      <c r="H1291" s="138">
        <f>IFERROR(__xludf.DUMMYFUNCTION("""COMPUTED_VALUE"""),5.0)</f>
        <v>5</v>
      </c>
      <c r="I1291" s="138">
        <f>IFERROR(__xludf.DUMMYFUNCTION("""COMPUTED_VALUE"""),4.0)</f>
        <v>4</v>
      </c>
      <c r="J1291" s="138">
        <f>IFERROR(__xludf.DUMMYFUNCTION("""COMPUTED_VALUE"""),4.0)</f>
        <v>4</v>
      </c>
      <c r="K1291" s="138">
        <f>IFERROR(__xludf.DUMMYFUNCTION("""COMPUTED_VALUE"""),4.0)</f>
        <v>4</v>
      </c>
      <c r="L1291" s="138">
        <v>28.0</v>
      </c>
      <c r="M1291" s="140" t="str">
        <f>VLOOKUP(text(D1291, "#"),'Master Table'!$A:$F, 6, FALSE)</f>
        <v>H-7</v>
      </c>
      <c r="N1291" s="141" t="str">
        <f>IFERROR(__xludf.DUMMYFUNCTION("""COMPUTED_VALUE"""),"What went well: 
-Explanation of topic was clear and concise 
-Appreciated the additional close up images provided of the muscle fibers, etc. which did not fit on the poster
-Clearly is passionate about the project  
Suggestions: 
-Mouse to human applica"&amp;"tions for research were not entirely clear ")</f>
        <v>What went well: 
-Explanation of topic was clear and concise 
-Appreciated the additional close up images provided of the muscle fibers, etc. which did not fit on the poster
-Clearly is passionate about the project  
Suggestions: 
-Mouse to human applications for research were not entirely clear </v>
      </c>
      <c r="O1291" s="142" t="str">
        <f t="shared" si="1"/>
        <v/>
      </c>
      <c r="P1291" s="143" t="str">
        <f>IF(ISNA(VLOOKUP(CONCAT(M1291,C1291), 'Judge Count DO NOT EDIT'!H:H, 1, FALSE)), "ERROR","")</f>
        <v/>
      </c>
      <c r="Q1291" s="141"/>
      <c r="R1291" s="143"/>
      <c r="S1291" s="139" t="str">
        <f t="shared" si="2"/>
        <v>1101510</v>
      </c>
      <c r="T1291" s="141"/>
    </row>
    <row r="1292">
      <c r="A1292" s="137">
        <f>IFERROR(__xludf.DUMMYFUNCTION("""COMPUTED_VALUE"""),45352.61526899306)</f>
        <v>45352.61527</v>
      </c>
      <c r="B1292" s="138" t="str">
        <f>IFERROR(__xludf.DUMMYFUNCTION("""COMPUTED_VALUE"""),"Margaret Henderson ")</f>
        <v>Margaret Henderson </v>
      </c>
      <c r="C1292" s="138">
        <f>IFERROR(__xludf.DUMMYFUNCTION("""COMPUTED_VALUE"""),1180.0)</f>
        <v>1180</v>
      </c>
      <c r="D1292" s="139">
        <f>IFERROR(__xludf.DUMMYFUNCTION("""COMPUTED_VALUE"""),510.0)</f>
        <v>510</v>
      </c>
      <c r="E1292" s="138">
        <f>IFERROR(__xludf.DUMMYFUNCTION("""COMPUTED_VALUE"""),4.0)</f>
        <v>4</v>
      </c>
      <c r="F1292" s="138">
        <f>IFERROR(__xludf.DUMMYFUNCTION("""COMPUTED_VALUE"""),5.0)</f>
        <v>5</v>
      </c>
      <c r="G1292" s="138">
        <f>IFERROR(__xludf.DUMMYFUNCTION("""COMPUTED_VALUE"""),4.0)</f>
        <v>4</v>
      </c>
      <c r="H1292" s="138">
        <f>IFERROR(__xludf.DUMMYFUNCTION("""COMPUTED_VALUE"""),4.0)</f>
        <v>4</v>
      </c>
      <c r="I1292" s="138">
        <f>IFERROR(__xludf.DUMMYFUNCTION("""COMPUTED_VALUE"""),4.0)</f>
        <v>4</v>
      </c>
      <c r="J1292" s="138">
        <f>IFERROR(__xludf.DUMMYFUNCTION("""COMPUTED_VALUE"""),4.0)</f>
        <v>4</v>
      </c>
      <c r="K1292" s="138">
        <f>IFERROR(__xludf.DUMMYFUNCTION("""COMPUTED_VALUE"""),5.0)</f>
        <v>5</v>
      </c>
      <c r="L1292" s="138">
        <v>30.0</v>
      </c>
      <c r="M1292" s="140" t="str">
        <f>VLOOKUP(text(D1292, "#"),'Master Table'!$A:$F, 6, FALSE)</f>
        <v>H-7</v>
      </c>
      <c r="N1292" s="141" t="str">
        <f>IFERROR(__xludf.DUMMYFUNCTION("""COMPUTED_VALUE"""),"Really good overview and answers. Your knowledge and of the background research is good. ")</f>
        <v>Really good overview and answers. Your knowledge and of the background research is good. </v>
      </c>
      <c r="O1292" s="142" t="str">
        <f t="shared" si="1"/>
        <v/>
      </c>
      <c r="P1292" s="143" t="str">
        <f>IF(ISNA(VLOOKUP(CONCAT(M1292,C1292), 'Judge Count DO NOT EDIT'!H:H, 1, FALSE)), "ERROR","")</f>
        <v/>
      </c>
      <c r="Q1292" s="141"/>
      <c r="R1292" s="143"/>
      <c r="S1292" s="139" t="str">
        <f t="shared" si="2"/>
        <v>1180510</v>
      </c>
      <c r="T1292" s="141"/>
    </row>
    <row r="1293">
      <c r="A1293" s="137">
        <f>IFERROR(__xludf.DUMMYFUNCTION("""COMPUTED_VALUE"""),45352.58635222222)</f>
        <v>45352.58635</v>
      </c>
      <c r="B1293" s="138" t="str">
        <f>IFERROR(__xludf.DUMMYFUNCTION("""COMPUTED_VALUE"""),"Cat Ellis")</f>
        <v>Cat Ellis</v>
      </c>
      <c r="C1293" s="138">
        <f>IFERROR(__xludf.DUMMYFUNCTION("""COMPUTED_VALUE"""),1033.0)</f>
        <v>1033</v>
      </c>
      <c r="D1293" s="139">
        <f>IFERROR(__xludf.DUMMYFUNCTION("""COMPUTED_VALUE"""),512.0)</f>
        <v>512</v>
      </c>
      <c r="E1293" s="138">
        <f>IFERROR(__xludf.DUMMYFUNCTION("""COMPUTED_VALUE"""),5.0)</f>
        <v>5</v>
      </c>
      <c r="F1293" s="138">
        <f>IFERROR(__xludf.DUMMYFUNCTION("""COMPUTED_VALUE"""),5.0)</f>
        <v>5</v>
      </c>
      <c r="G1293" s="138">
        <f>IFERROR(__xludf.DUMMYFUNCTION("""COMPUTED_VALUE"""),5.0)</f>
        <v>5</v>
      </c>
      <c r="H1293" s="138">
        <f>IFERROR(__xludf.DUMMYFUNCTION("""COMPUTED_VALUE"""),5.0)</f>
        <v>5</v>
      </c>
      <c r="I1293" s="138">
        <f>IFERROR(__xludf.DUMMYFUNCTION("""COMPUTED_VALUE"""),5.0)</f>
        <v>5</v>
      </c>
      <c r="J1293" s="138">
        <f>IFERROR(__xludf.DUMMYFUNCTION("""COMPUTED_VALUE"""),4.0)</f>
        <v>4</v>
      </c>
      <c r="K1293" s="138">
        <f>IFERROR(__xludf.DUMMYFUNCTION("""COMPUTED_VALUE"""),5.0)</f>
        <v>5</v>
      </c>
      <c r="L1293" s="138">
        <v>34.0</v>
      </c>
      <c r="M1293" s="140" t="str">
        <f>VLOOKUP(text(D1293, "#"),'Master Table'!$A:$F, 6, FALSE)</f>
        <v>H-7</v>
      </c>
      <c r="N1293" s="141" t="str">
        <f>IFERROR(__xludf.DUMMYFUNCTION("""COMPUTED_VALUE"""),"This was a well-designed study. Your presentation was great and engaging. However, this poster had some text that was hard to read because of the colors that were chosen. With future posters, I recommend using a color contrast checker to ensure that text "&amp;"is easier to read.")</f>
        <v>This was a well-designed study. Your presentation was great and engaging. However, this poster had some text that was hard to read because of the colors that were chosen. With future posters, I recommend using a color contrast checker to ensure that text is easier to read.</v>
      </c>
      <c r="O1293" s="142" t="str">
        <f t="shared" si="1"/>
        <v/>
      </c>
      <c r="P1293" s="143" t="str">
        <f>IF(ISNA(VLOOKUP(CONCAT(M1293,C1293), 'Judge Count DO NOT EDIT'!H:H, 1, FALSE)), "ERROR","")</f>
        <v/>
      </c>
      <c r="Q1293" s="141"/>
      <c r="R1293" s="143"/>
      <c r="S1293" s="139" t="str">
        <f t="shared" si="2"/>
        <v>1033512</v>
      </c>
      <c r="T1293" s="141"/>
    </row>
    <row r="1294">
      <c r="A1294" s="137">
        <f>IFERROR(__xludf.DUMMYFUNCTION("""COMPUTED_VALUE"""),45352.59061986111)</f>
        <v>45352.59062</v>
      </c>
      <c r="B1294" s="138" t="str">
        <f>IFERROR(__xludf.DUMMYFUNCTION("""COMPUTED_VALUE"""),"Hannah Friesen")</f>
        <v>Hannah Friesen</v>
      </c>
      <c r="C1294" s="138">
        <f>IFERROR(__xludf.DUMMYFUNCTION("""COMPUTED_VALUE"""),1101.0)</f>
        <v>1101</v>
      </c>
      <c r="D1294" s="139">
        <f>IFERROR(__xludf.DUMMYFUNCTION("""COMPUTED_VALUE"""),512.0)</f>
        <v>512</v>
      </c>
      <c r="E1294" s="138">
        <f>IFERROR(__xludf.DUMMYFUNCTION("""COMPUTED_VALUE"""),5.0)</f>
        <v>5</v>
      </c>
      <c r="F1294" s="138">
        <f>IFERROR(__xludf.DUMMYFUNCTION("""COMPUTED_VALUE"""),4.0)</f>
        <v>4</v>
      </c>
      <c r="G1294" s="138">
        <f>IFERROR(__xludf.DUMMYFUNCTION("""COMPUTED_VALUE"""),4.0)</f>
        <v>4</v>
      </c>
      <c r="H1294" s="138">
        <f>IFERROR(__xludf.DUMMYFUNCTION("""COMPUTED_VALUE"""),4.0)</f>
        <v>4</v>
      </c>
      <c r="I1294" s="138">
        <f>IFERROR(__xludf.DUMMYFUNCTION("""COMPUTED_VALUE"""),5.0)</f>
        <v>5</v>
      </c>
      <c r="J1294" s="138">
        <f>IFERROR(__xludf.DUMMYFUNCTION("""COMPUTED_VALUE"""),5.0)</f>
        <v>5</v>
      </c>
      <c r="K1294" s="138">
        <f>IFERROR(__xludf.DUMMYFUNCTION("""COMPUTED_VALUE"""),5.0)</f>
        <v>5</v>
      </c>
      <c r="L1294" s="138">
        <v>32.0</v>
      </c>
      <c r="M1294" s="140" t="str">
        <f>VLOOKUP(text(D1294, "#"),'Master Table'!$A:$F, 6, FALSE)</f>
        <v>H-7</v>
      </c>
      <c r="N1294" s="141" t="str">
        <f>IFERROR(__xludf.DUMMYFUNCTION("""COMPUTED_VALUE"""),"What went well: 
-Amazing organization and coordination between the three presenters, the time and effort they put into their project really showed
-Defined key terms for me that I was unfamiliar with
-Answered all questions appropriately and enthusiastic"&amp;"ally
Suggestion: 
-The poster presentation was well laid out but could have used more images to make it more visually appealing ")</f>
        <v>What went well: 
-Amazing organization and coordination between the three presenters, the time and effort they put into their project really showed
-Defined key terms for me that I was unfamiliar with
-Answered all questions appropriately and enthusiastically
Suggestion: 
-The poster presentation was well laid out but could have used more images to make it more visually appealing </v>
      </c>
      <c r="O1294" s="142" t="str">
        <f t="shared" si="1"/>
        <v/>
      </c>
      <c r="P1294" s="143" t="str">
        <f>IF(ISNA(VLOOKUP(CONCAT(M1294,C1294), 'Judge Count DO NOT EDIT'!H:H, 1, FALSE)), "ERROR","")</f>
        <v/>
      </c>
      <c r="Q1294" s="141"/>
      <c r="R1294" s="143"/>
      <c r="S1294" s="139" t="str">
        <f t="shared" si="2"/>
        <v>1101512</v>
      </c>
      <c r="T1294" s="141"/>
    </row>
    <row r="1295">
      <c r="A1295" s="137">
        <f>IFERROR(__xludf.DUMMYFUNCTION("""COMPUTED_VALUE"""),45352.611673125)</f>
        <v>45352.61167</v>
      </c>
      <c r="B1295" s="138" t="str">
        <f>IFERROR(__xludf.DUMMYFUNCTION("""COMPUTED_VALUE"""),"Patricia Dionicio")</f>
        <v>Patricia Dionicio</v>
      </c>
      <c r="C1295" s="138">
        <f>IFERROR(__xludf.DUMMYFUNCTION("""COMPUTED_VALUE"""),1109.0)</f>
        <v>1109</v>
      </c>
      <c r="D1295" s="139">
        <f>IFERROR(__xludf.DUMMYFUNCTION("""COMPUTED_VALUE"""),512.0)</f>
        <v>512</v>
      </c>
      <c r="E1295" s="138">
        <f>IFERROR(__xludf.DUMMYFUNCTION("""COMPUTED_VALUE"""),5.0)</f>
        <v>5</v>
      </c>
      <c r="F1295" s="138">
        <f>IFERROR(__xludf.DUMMYFUNCTION("""COMPUTED_VALUE"""),4.0)</f>
        <v>4</v>
      </c>
      <c r="G1295" s="138">
        <f>IFERROR(__xludf.DUMMYFUNCTION("""COMPUTED_VALUE"""),4.0)</f>
        <v>4</v>
      </c>
      <c r="H1295" s="138">
        <f>IFERROR(__xludf.DUMMYFUNCTION("""COMPUTED_VALUE"""),3.0)</f>
        <v>3</v>
      </c>
      <c r="I1295" s="138">
        <f>IFERROR(__xludf.DUMMYFUNCTION("""COMPUTED_VALUE"""),5.0)</f>
        <v>5</v>
      </c>
      <c r="J1295" s="138">
        <f>IFERROR(__xludf.DUMMYFUNCTION("""COMPUTED_VALUE"""),5.0)</f>
        <v>5</v>
      </c>
      <c r="K1295" s="138">
        <f>IFERROR(__xludf.DUMMYFUNCTION("""COMPUTED_VALUE"""),5.0)</f>
        <v>5</v>
      </c>
      <c r="L1295" s="138">
        <v>31.0</v>
      </c>
      <c r="M1295" s="140" t="str">
        <f>VLOOKUP(text(D1295, "#"),'Master Table'!$A:$F, 6, FALSE)</f>
        <v>H-7</v>
      </c>
      <c r="N1295" s="141" t="str">
        <f>IFERROR(__xludf.DUMMYFUNCTION("""COMPUTED_VALUE"""),"Incredible presentation of research information, poster and presentation was clear and organized. Only critique was it was a relatively small sample size and a great number of interactions. Overall fantastic job!")</f>
        <v>Incredible presentation of research information, poster and presentation was clear and organized. Only critique was it was a relatively small sample size and a great number of interactions. Overall fantastic job!</v>
      </c>
      <c r="O1295" s="142" t="str">
        <f t="shared" si="1"/>
        <v/>
      </c>
      <c r="P1295" s="143" t="str">
        <f>IF(ISNA(VLOOKUP(CONCAT(M1295,C1295), 'Judge Count DO NOT EDIT'!H:H, 1, FALSE)), "ERROR","")</f>
        <v/>
      </c>
      <c r="Q1295" s="141"/>
      <c r="R1295" s="143"/>
      <c r="S1295" s="139" t="str">
        <f t="shared" si="2"/>
        <v>1109512</v>
      </c>
      <c r="T1295" s="141"/>
    </row>
    <row r="1296">
      <c r="A1296" s="137">
        <f>IFERROR(__xludf.DUMMYFUNCTION("""COMPUTED_VALUE"""),45352.61334885417)</f>
        <v>45352.61335</v>
      </c>
      <c r="B1296" s="138" t="str">
        <f>IFERROR(__xludf.DUMMYFUNCTION("""COMPUTED_VALUE"""),"Yu Ni")</f>
        <v>Yu Ni</v>
      </c>
      <c r="C1296" s="138">
        <f>IFERROR(__xludf.DUMMYFUNCTION("""COMPUTED_VALUE"""),1122.0)</f>
        <v>1122</v>
      </c>
      <c r="D1296" s="139">
        <f>IFERROR(__xludf.DUMMYFUNCTION("""COMPUTED_VALUE"""),512.0)</f>
        <v>512</v>
      </c>
      <c r="E1296" s="138">
        <f>IFERROR(__xludf.DUMMYFUNCTION("""COMPUTED_VALUE"""),4.0)</f>
        <v>4</v>
      </c>
      <c r="F1296" s="138">
        <f>IFERROR(__xludf.DUMMYFUNCTION("""COMPUTED_VALUE"""),4.0)</f>
        <v>4</v>
      </c>
      <c r="G1296" s="138">
        <f>IFERROR(__xludf.DUMMYFUNCTION("""COMPUTED_VALUE"""),3.0)</f>
        <v>3</v>
      </c>
      <c r="H1296" s="138">
        <f>IFERROR(__xludf.DUMMYFUNCTION("""COMPUTED_VALUE"""),3.0)</f>
        <v>3</v>
      </c>
      <c r="I1296" s="138">
        <f>IFERROR(__xludf.DUMMYFUNCTION("""COMPUTED_VALUE"""),4.0)</f>
        <v>4</v>
      </c>
      <c r="J1296" s="138">
        <f>IFERROR(__xludf.DUMMYFUNCTION("""COMPUTED_VALUE"""),4.0)</f>
        <v>4</v>
      </c>
      <c r="K1296" s="138">
        <f>IFERROR(__xludf.DUMMYFUNCTION("""COMPUTED_VALUE"""),5.0)</f>
        <v>5</v>
      </c>
      <c r="L1296" s="138">
        <v>27.0</v>
      </c>
      <c r="M1296" s="140" t="str">
        <f>VLOOKUP(text(D1296, "#"),'Master Table'!$A:$F, 6, FALSE)</f>
        <v>H-7</v>
      </c>
      <c r="N1296" s="141" t="str">
        <f>IFERROR(__xludf.DUMMYFUNCTION("""COMPUTED_VALUE"""),"Interesting topic. Clear presentation. Great interaction. Know the topic very well to address questions. ")</f>
        <v>Interesting topic. Clear presentation. Great interaction. Know the topic very well to address questions. </v>
      </c>
      <c r="O1296" s="142" t="str">
        <f t="shared" si="1"/>
        <v/>
      </c>
      <c r="P1296" s="143" t="str">
        <f>IF(ISNA(VLOOKUP(CONCAT(M1296,C1296), 'Judge Count DO NOT EDIT'!H:H, 1, FALSE)), "ERROR","")</f>
        <v/>
      </c>
      <c r="Q1296" s="141"/>
      <c r="R1296" s="143"/>
      <c r="S1296" s="139" t="str">
        <f t="shared" si="2"/>
        <v>1122512</v>
      </c>
      <c r="T1296" s="141"/>
    </row>
    <row r="1297">
      <c r="A1297" s="137">
        <f>IFERROR(__xludf.DUMMYFUNCTION("""COMPUTED_VALUE"""),45352.62053884259)</f>
        <v>45352.62054</v>
      </c>
      <c r="B1297" s="138" t="str">
        <f>IFERROR(__xludf.DUMMYFUNCTION("""COMPUTED_VALUE"""),"Margaret Henderson")</f>
        <v>Margaret Henderson</v>
      </c>
      <c r="C1297" s="138">
        <f>IFERROR(__xludf.DUMMYFUNCTION("""COMPUTED_VALUE"""),1180.0)</f>
        <v>1180</v>
      </c>
      <c r="D1297" s="139">
        <f>IFERROR(__xludf.DUMMYFUNCTION("""COMPUTED_VALUE"""),512.0)</f>
        <v>512</v>
      </c>
      <c r="E1297" s="138">
        <f>IFERROR(__xludf.DUMMYFUNCTION("""COMPUTED_VALUE"""),4.0)</f>
        <v>4</v>
      </c>
      <c r="F1297" s="138">
        <f>IFERROR(__xludf.DUMMYFUNCTION("""COMPUTED_VALUE"""),4.0)</f>
        <v>4</v>
      </c>
      <c r="G1297" s="138">
        <f>IFERROR(__xludf.DUMMYFUNCTION("""COMPUTED_VALUE"""),4.0)</f>
        <v>4</v>
      </c>
      <c r="H1297" s="138">
        <f>IFERROR(__xludf.DUMMYFUNCTION("""COMPUTED_VALUE"""),4.0)</f>
        <v>4</v>
      </c>
      <c r="I1297" s="138">
        <f>IFERROR(__xludf.DUMMYFUNCTION("""COMPUTED_VALUE"""),5.0)</f>
        <v>5</v>
      </c>
      <c r="J1297" s="138">
        <f>IFERROR(__xludf.DUMMYFUNCTION("""COMPUTED_VALUE"""),5.0)</f>
        <v>5</v>
      </c>
      <c r="K1297" s="138">
        <f>IFERROR(__xludf.DUMMYFUNCTION("""COMPUTED_VALUE"""),5.0)</f>
        <v>5</v>
      </c>
      <c r="L1297" s="138">
        <v>31.0</v>
      </c>
      <c r="M1297" s="140" t="str">
        <f>VLOOKUP(text(D1297, "#"),'Master Table'!$A:$F, 6, FALSE)</f>
        <v>H-7</v>
      </c>
      <c r="N1297" s="141" t="str">
        <f>IFERROR(__xludf.DUMMYFUNCTION("""COMPUTED_VALUE"""),"Great job working together on the overview and answering questions. Very interesting research  ")</f>
        <v>Great job working together on the overview and answering questions. Very interesting research  </v>
      </c>
      <c r="O1297" s="142" t="str">
        <f t="shared" si="1"/>
        <v/>
      </c>
      <c r="P1297" s="143" t="str">
        <f>IF(ISNA(VLOOKUP(CONCAT(M1297,C1297), 'Judge Count DO NOT EDIT'!H:H, 1, FALSE)), "ERROR","")</f>
        <v/>
      </c>
      <c r="Q1297" s="141"/>
      <c r="R1297" s="143"/>
      <c r="S1297" s="139" t="str">
        <f t="shared" si="2"/>
        <v>1180512</v>
      </c>
      <c r="T1297" s="141"/>
    </row>
    <row r="1298">
      <c r="A1298" s="137">
        <f>IFERROR(__xludf.DUMMYFUNCTION("""COMPUTED_VALUE"""),45352.57879799769)</f>
        <v>45352.5788</v>
      </c>
      <c r="B1298" s="138" t="str">
        <f>IFERROR(__xludf.DUMMYFUNCTION("""COMPUTED_VALUE"""),"Patricia Dionicio")</f>
        <v>Patricia Dionicio</v>
      </c>
      <c r="C1298" s="138">
        <f>IFERROR(__xludf.DUMMYFUNCTION("""COMPUTED_VALUE"""),1109.0)</f>
        <v>1109</v>
      </c>
      <c r="D1298" s="139">
        <f>IFERROR(__xludf.DUMMYFUNCTION("""COMPUTED_VALUE"""),513.0)</f>
        <v>513</v>
      </c>
      <c r="E1298" s="138">
        <f>IFERROR(__xludf.DUMMYFUNCTION("""COMPUTED_VALUE"""),4.0)</f>
        <v>4</v>
      </c>
      <c r="F1298" s="138">
        <f>IFERROR(__xludf.DUMMYFUNCTION("""COMPUTED_VALUE"""),4.0)</f>
        <v>4</v>
      </c>
      <c r="G1298" s="138">
        <f>IFERROR(__xludf.DUMMYFUNCTION("""COMPUTED_VALUE"""),4.0)</f>
        <v>4</v>
      </c>
      <c r="H1298" s="138">
        <f>IFERROR(__xludf.DUMMYFUNCTION("""COMPUTED_VALUE"""),4.0)</f>
        <v>4</v>
      </c>
      <c r="I1298" s="138">
        <f>IFERROR(__xludf.DUMMYFUNCTION("""COMPUTED_VALUE"""),5.0)</f>
        <v>5</v>
      </c>
      <c r="J1298" s="138">
        <f>IFERROR(__xludf.DUMMYFUNCTION("""COMPUTED_VALUE"""),4.0)</f>
        <v>4</v>
      </c>
      <c r="K1298" s="138">
        <f>IFERROR(__xludf.DUMMYFUNCTION("""COMPUTED_VALUE"""),5.0)</f>
        <v>5</v>
      </c>
      <c r="L1298" s="138">
        <v>30.0</v>
      </c>
      <c r="M1298" s="140" t="str">
        <f>VLOOKUP(text(D1298, "#"),'Master Table'!$A:$F, 6, FALSE)</f>
        <v>H-7</v>
      </c>
      <c r="N1298" s="141" t="str">
        <f>IFERROR(__xludf.DUMMYFUNCTION("""COMPUTED_VALUE"""),"Excellent overview of data, graphs, and results! Presenters were very knowledgeable and interactive with audience. Minor suggestion of thinking of longer term significance and impact of findings and research. ")</f>
        <v>Excellent overview of data, graphs, and results! Presenters were very knowledgeable and interactive with audience. Minor suggestion of thinking of longer term significance and impact of findings and research. </v>
      </c>
      <c r="O1298" s="142" t="str">
        <f t="shared" si="1"/>
        <v/>
      </c>
      <c r="P1298" s="143" t="str">
        <f>IF(ISNA(VLOOKUP(CONCAT(M1298,C1298), 'Judge Count DO NOT EDIT'!H:H, 1, FALSE)), "ERROR","")</f>
        <v/>
      </c>
      <c r="Q1298" s="141"/>
      <c r="R1298" s="143"/>
      <c r="S1298" s="139" t="str">
        <f t="shared" si="2"/>
        <v>1109513</v>
      </c>
      <c r="T1298" s="141"/>
    </row>
    <row r="1299">
      <c r="A1299" s="137">
        <f>IFERROR(__xludf.DUMMYFUNCTION("""COMPUTED_VALUE"""),45352.58760841435)</f>
        <v>45352.58761</v>
      </c>
      <c r="B1299" s="138" t="str">
        <f>IFERROR(__xludf.DUMMYFUNCTION("""COMPUTED_VALUE"""),"Cat Ellis")</f>
        <v>Cat Ellis</v>
      </c>
      <c r="C1299" s="138">
        <f>IFERROR(__xludf.DUMMYFUNCTION("""COMPUTED_VALUE"""),1033.0)</f>
        <v>1033</v>
      </c>
      <c r="D1299" s="139">
        <f>IFERROR(__xludf.DUMMYFUNCTION("""COMPUTED_VALUE"""),513.0)</f>
        <v>513</v>
      </c>
      <c r="E1299" s="138">
        <f>IFERROR(__xludf.DUMMYFUNCTION("""COMPUTED_VALUE"""),5.0)</f>
        <v>5</v>
      </c>
      <c r="F1299" s="138">
        <f>IFERROR(__xludf.DUMMYFUNCTION("""COMPUTED_VALUE"""),5.0)</f>
        <v>5</v>
      </c>
      <c r="G1299" s="138">
        <f>IFERROR(__xludf.DUMMYFUNCTION("""COMPUTED_VALUE"""),5.0)</f>
        <v>5</v>
      </c>
      <c r="H1299" s="138">
        <f>IFERROR(__xludf.DUMMYFUNCTION("""COMPUTED_VALUE"""),5.0)</f>
        <v>5</v>
      </c>
      <c r="I1299" s="138">
        <f>IFERROR(__xludf.DUMMYFUNCTION("""COMPUTED_VALUE"""),5.0)</f>
        <v>5</v>
      </c>
      <c r="J1299" s="138">
        <f>IFERROR(__xludf.DUMMYFUNCTION("""COMPUTED_VALUE"""),4.0)</f>
        <v>4</v>
      </c>
      <c r="K1299" s="138">
        <f>IFERROR(__xludf.DUMMYFUNCTION("""COMPUTED_VALUE"""),5.0)</f>
        <v>5</v>
      </c>
      <c r="L1299" s="138">
        <v>34.0</v>
      </c>
      <c r="M1299" s="140" t="str">
        <f>VLOOKUP(text(D1299, "#"),'Master Table'!$A:$F, 6, FALSE)</f>
        <v>H-7</v>
      </c>
      <c r="N1299" s="141" t="str">
        <f>IFERROR(__xludf.DUMMYFUNCTION("""COMPUTED_VALUE"""),"This was a well-designed project with the potential for future research. For future posters, I recommend using less text and more blank space to allow for greater reading ability.")</f>
        <v>This was a well-designed project with the potential for future research. For future posters, I recommend using less text and more blank space to allow for greater reading ability.</v>
      </c>
      <c r="O1299" s="142" t="str">
        <f t="shared" si="1"/>
        <v/>
      </c>
      <c r="P1299" s="143" t="str">
        <f>IF(ISNA(VLOOKUP(CONCAT(M1299,C1299), 'Judge Count DO NOT EDIT'!H:H, 1, FALSE)), "ERROR","")</f>
        <v/>
      </c>
      <c r="Q1299" s="141"/>
      <c r="R1299" s="143"/>
      <c r="S1299" s="139" t="str">
        <f t="shared" si="2"/>
        <v>1033513</v>
      </c>
      <c r="T1299" s="141"/>
    </row>
    <row r="1300">
      <c r="A1300" s="137">
        <f>IFERROR(__xludf.DUMMYFUNCTION("""COMPUTED_VALUE"""),45352.601052847225)</f>
        <v>45352.60105</v>
      </c>
      <c r="B1300" s="138" t="str">
        <f>IFERROR(__xludf.DUMMYFUNCTION("""COMPUTED_VALUE"""),"Hannah Friesen")</f>
        <v>Hannah Friesen</v>
      </c>
      <c r="C1300" s="138">
        <f>IFERROR(__xludf.DUMMYFUNCTION("""COMPUTED_VALUE"""),1101.0)</f>
        <v>1101</v>
      </c>
      <c r="D1300" s="139">
        <f>IFERROR(__xludf.DUMMYFUNCTION("""COMPUTED_VALUE"""),513.0)</f>
        <v>513</v>
      </c>
      <c r="E1300" s="138">
        <f>IFERROR(__xludf.DUMMYFUNCTION("""COMPUTED_VALUE"""),3.0)</f>
        <v>3</v>
      </c>
      <c r="F1300" s="138">
        <f>IFERROR(__xludf.DUMMYFUNCTION("""COMPUTED_VALUE"""),5.0)</f>
        <v>5</v>
      </c>
      <c r="G1300" s="138">
        <f>IFERROR(__xludf.DUMMYFUNCTION("""COMPUTED_VALUE"""),4.0)</f>
        <v>4</v>
      </c>
      <c r="H1300" s="138">
        <f>IFERROR(__xludf.DUMMYFUNCTION("""COMPUTED_VALUE"""),4.0)</f>
        <v>4</v>
      </c>
      <c r="I1300" s="138">
        <f>IFERROR(__xludf.DUMMYFUNCTION("""COMPUTED_VALUE"""),4.0)</f>
        <v>4</v>
      </c>
      <c r="J1300" s="138">
        <f>IFERROR(__xludf.DUMMYFUNCTION("""COMPUTED_VALUE"""),4.0)</f>
        <v>4</v>
      </c>
      <c r="K1300" s="138">
        <f>IFERROR(__xludf.DUMMYFUNCTION("""COMPUTED_VALUE"""),4.0)</f>
        <v>4</v>
      </c>
      <c r="L1300" s="138">
        <v>28.0</v>
      </c>
      <c r="M1300" s="140" t="str">
        <f>VLOOKUP(text(D1300, "#"),'Master Table'!$A:$F, 6, FALSE)</f>
        <v>H-7</v>
      </c>
      <c r="N1300" s="141" t="str">
        <f>IFERROR(__xludf.DUMMYFUNCTION("""COMPUTED_VALUE"""),"What went well: 
-Fascinating topic and emerging field of study (ear plugs are becoming more prevalent)
-Enthusiasm and passion for their topic was palpable 
-Methods were followed and communicated well 
Suggestions: 
-Poster was a little text heavy and "&amp;"there didn't seem to be a center focal point ")</f>
        <v>What went well: 
-Fascinating topic and emerging field of study (ear plugs are becoming more prevalent)
-Enthusiasm and passion for their topic was palpable 
-Methods were followed and communicated well 
Suggestions: 
-Poster was a little text heavy and there didn't seem to be a center focal point </v>
      </c>
      <c r="O1300" s="142" t="str">
        <f t="shared" si="1"/>
        <v/>
      </c>
      <c r="P1300" s="143" t="str">
        <f>IF(ISNA(VLOOKUP(CONCAT(M1300,C1300), 'Judge Count DO NOT EDIT'!H:H, 1, FALSE)), "ERROR","")</f>
        <v/>
      </c>
      <c r="Q1300" s="144"/>
      <c r="R1300" s="143"/>
      <c r="S1300" s="139" t="str">
        <f t="shared" si="2"/>
        <v>1101513</v>
      </c>
      <c r="T1300" s="141"/>
    </row>
    <row r="1301">
      <c r="A1301" s="137">
        <f>IFERROR(__xludf.DUMMYFUNCTION("""COMPUTED_VALUE"""),45352.614804212964)</f>
        <v>45352.6148</v>
      </c>
      <c r="B1301" s="138" t="str">
        <f>IFERROR(__xludf.DUMMYFUNCTION("""COMPUTED_VALUE"""),"Yu Ni")</f>
        <v>Yu Ni</v>
      </c>
      <c r="C1301" s="138">
        <f>IFERROR(__xludf.DUMMYFUNCTION("""COMPUTED_VALUE"""),1122.0)</f>
        <v>1122</v>
      </c>
      <c r="D1301" s="139">
        <f>IFERROR(__xludf.DUMMYFUNCTION("""COMPUTED_VALUE"""),513.0)</f>
        <v>513</v>
      </c>
      <c r="E1301" s="138">
        <f>IFERROR(__xludf.DUMMYFUNCTION("""COMPUTED_VALUE"""),4.0)</f>
        <v>4</v>
      </c>
      <c r="F1301" s="138">
        <f>IFERROR(__xludf.DUMMYFUNCTION("""COMPUTED_VALUE"""),4.0)</f>
        <v>4</v>
      </c>
      <c r="G1301" s="138">
        <f>IFERROR(__xludf.DUMMYFUNCTION("""COMPUTED_VALUE"""),4.0)</f>
        <v>4</v>
      </c>
      <c r="H1301" s="138">
        <f>IFERROR(__xludf.DUMMYFUNCTION("""COMPUTED_VALUE"""),3.0)</f>
        <v>3</v>
      </c>
      <c r="I1301" s="138">
        <f>IFERROR(__xludf.DUMMYFUNCTION("""COMPUTED_VALUE"""),4.0)</f>
        <v>4</v>
      </c>
      <c r="J1301" s="138">
        <f>IFERROR(__xludf.DUMMYFUNCTION("""COMPUTED_VALUE"""),3.0)</f>
        <v>3</v>
      </c>
      <c r="K1301" s="138">
        <f>IFERROR(__xludf.DUMMYFUNCTION("""COMPUTED_VALUE"""),4.0)</f>
        <v>4</v>
      </c>
      <c r="L1301" s="138">
        <v>26.0</v>
      </c>
      <c r="M1301" s="140" t="str">
        <f>VLOOKUP(text(D1301, "#"),'Master Table'!$A:$F, 6, FALSE)</f>
        <v>H-7</v>
      </c>
      <c r="N1301" s="141" t="str">
        <f>IFERROR(__xludf.DUMMYFUNCTION("""COMPUTED_VALUE"""),"Very interesting project. Passionate what their work. Know well about this topic and can address audiences’ questions. Poster could have less words and can highlight the figures.")</f>
        <v>Very interesting project. Passionate what their work. Know well about this topic and can address audiences’ questions. Poster could have less words and can highlight the figures.</v>
      </c>
      <c r="O1301" s="142" t="str">
        <f t="shared" si="1"/>
        <v/>
      </c>
      <c r="P1301" s="143" t="str">
        <f>IF(ISNA(VLOOKUP(CONCAT(M1301,C1301), 'Judge Count DO NOT EDIT'!H:H, 1, FALSE)), "ERROR","")</f>
        <v/>
      </c>
      <c r="Q1301" s="141"/>
      <c r="R1301" s="143"/>
      <c r="S1301" s="139" t="str">
        <f t="shared" si="2"/>
        <v>1122513</v>
      </c>
      <c r="T1301" s="141"/>
    </row>
    <row r="1302">
      <c r="A1302" s="137">
        <f>IFERROR(__xludf.DUMMYFUNCTION("""COMPUTED_VALUE"""),45352.622431805554)</f>
        <v>45352.62243</v>
      </c>
      <c r="B1302" s="138" t="str">
        <f>IFERROR(__xludf.DUMMYFUNCTION("""COMPUTED_VALUE"""),"Margaret Henderson ")</f>
        <v>Margaret Henderson </v>
      </c>
      <c r="C1302" s="138">
        <f>IFERROR(__xludf.DUMMYFUNCTION("""COMPUTED_VALUE"""),1180.0)</f>
        <v>1180</v>
      </c>
      <c r="D1302" s="139">
        <f>IFERROR(__xludf.DUMMYFUNCTION("""COMPUTED_VALUE"""),513.0)</f>
        <v>513</v>
      </c>
      <c r="E1302" s="138">
        <f>IFERROR(__xludf.DUMMYFUNCTION("""COMPUTED_VALUE"""),3.0)</f>
        <v>3</v>
      </c>
      <c r="F1302" s="138">
        <f>IFERROR(__xludf.DUMMYFUNCTION("""COMPUTED_VALUE"""),3.0)</f>
        <v>3</v>
      </c>
      <c r="G1302" s="138">
        <f>IFERROR(__xludf.DUMMYFUNCTION("""COMPUTED_VALUE"""),3.0)</f>
        <v>3</v>
      </c>
      <c r="H1302" s="138">
        <f>IFERROR(__xludf.DUMMYFUNCTION("""COMPUTED_VALUE"""),4.0)</f>
        <v>4</v>
      </c>
      <c r="I1302" s="138">
        <f>IFERROR(__xludf.DUMMYFUNCTION("""COMPUTED_VALUE"""),4.0)</f>
        <v>4</v>
      </c>
      <c r="J1302" s="138">
        <f>IFERROR(__xludf.DUMMYFUNCTION("""COMPUTED_VALUE"""),4.0)</f>
        <v>4</v>
      </c>
      <c r="K1302" s="138">
        <f>IFERROR(__xludf.DUMMYFUNCTION("""COMPUTED_VALUE"""),4.0)</f>
        <v>4</v>
      </c>
      <c r="L1302" s="138">
        <v>25.0</v>
      </c>
      <c r="M1302" s="140" t="str">
        <f>VLOOKUP(text(D1302, "#"),'Master Table'!$A:$F, 6, FALSE)</f>
        <v>H-7</v>
      </c>
      <c r="N1302" s="141" t="str">
        <f>IFERROR(__xludf.DUMMYFUNCTION("""COMPUTED_VALUE"""),"Good overview and answers. Good job working together. ")</f>
        <v>Good overview and answers. Good job working together. </v>
      </c>
      <c r="O1302" s="142" t="str">
        <f t="shared" si="1"/>
        <v/>
      </c>
      <c r="P1302" s="143" t="str">
        <f>IF(ISNA(VLOOKUP(CONCAT(M1302,C1302), 'Judge Count DO NOT EDIT'!H:H, 1, FALSE)), "ERROR","")</f>
        <v/>
      </c>
      <c r="Q1302" s="141"/>
      <c r="R1302" s="143"/>
      <c r="S1302" s="139" t="str">
        <f t="shared" si="2"/>
        <v>1180513</v>
      </c>
      <c r="T1302" s="141"/>
    </row>
    <row r="1303">
      <c r="A1303" s="137">
        <f>IFERROR(__xludf.DUMMYFUNCTION("""COMPUTED_VALUE"""),45352.601035555555)</f>
        <v>45352.60104</v>
      </c>
      <c r="B1303" s="138" t="str">
        <f>IFERROR(__xludf.DUMMYFUNCTION("""COMPUTED_VALUE"""),"Ashleigh Johnson")</f>
        <v>Ashleigh Johnson</v>
      </c>
      <c r="C1303" s="138">
        <f>IFERROR(__xludf.DUMMYFUNCTION("""COMPUTED_VALUE"""),1016.0)</f>
        <v>1016</v>
      </c>
      <c r="D1303" s="139">
        <f>IFERROR(__xludf.DUMMYFUNCTION("""COMPUTED_VALUE"""),514.0)</f>
        <v>514</v>
      </c>
      <c r="E1303" s="138">
        <f>IFERROR(__xludf.DUMMYFUNCTION("""COMPUTED_VALUE"""),4.0)</f>
        <v>4</v>
      </c>
      <c r="F1303" s="138">
        <f>IFERROR(__xludf.DUMMYFUNCTION("""COMPUTED_VALUE"""),5.0)</f>
        <v>5</v>
      </c>
      <c r="G1303" s="138">
        <f>IFERROR(__xludf.DUMMYFUNCTION("""COMPUTED_VALUE"""),3.0)</f>
        <v>3</v>
      </c>
      <c r="H1303" s="138">
        <f>IFERROR(__xludf.DUMMYFUNCTION("""COMPUTED_VALUE"""),3.0)</f>
        <v>3</v>
      </c>
      <c r="I1303" s="138">
        <f>IFERROR(__xludf.DUMMYFUNCTION("""COMPUTED_VALUE"""),4.0)</f>
        <v>4</v>
      </c>
      <c r="J1303" s="138">
        <f>IFERROR(__xludf.DUMMYFUNCTION("""COMPUTED_VALUE"""),4.0)</f>
        <v>4</v>
      </c>
      <c r="K1303" s="138">
        <f>IFERROR(__xludf.DUMMYFUNCTION("""COMPUTED_VALUE"""),4.0)</f>
        <v>4</v>
      </c>
      <c r="L1303" s="138">
        <v>27.0</v>
      </c>
      <c r="M1303" s="140" t="str">
        <f>VLOOKUP(text(D1303, "#"),'Master Table'!$A:$F, 6, FALSE)</f>
        <v>H-8</v>
      </c>
      <c r="N1303" s="141" t="str">
        <f>IFERROR(__xludf.DUMMYFUNCTION("""COMPUTED_VALUE"""),"The presenters did a great job of highlighting how this research was inspired, and walked the viewer through their methodology and next steps. ")</f>
        <v>The presenters did a great job of highlighting how this research was inspired, and walked the viewer through their methodology and next steps. </v>
      </c>
      <c r="O1303" s="142" t="str">
        <f t="shared" si="1"/>
        <v/>
      </c>
      <c r="P1303" s="143" t="str">
        <f>IF(ISNA(VLOOKUP(CONCAT(M1303,C1303), 'Judge Count DO NOT EDIT'!H:H, 1, FALSE)), "ERROR","")</f>
        <v/>
      </c>
      <c r="Q1303" s="141"/>
      <c r="R1303" s="143"/>
      <c r="S1303" s="139" t="str">
        <f t="shared" si="2"/>
        <v>1016514</v>
      </c>
      <c r="T1303" s="141"/>
    </row>
    <row r="1304">
      <c r="A1304" s="137">
        <f>IFERROR(__xludf.DUMMYFUNCTION("""COMPUTED_VALUE"""),45352.609641400464)</f>
        <v>45352.60964</v>
      </c>
      <c r="B1304" s="138" t="str">
        <f>IFERROR(__xludf.DUMMYFUNCTION("""COMPUTED_VALUE"""),"Erin Riley")</f>
        <v>Erin Riley</v>
      </c>
      <c r="C1304" s="138">
        <f>IFERROR(__xludf.DUMMYFUNCTION("""COMPUTED_VALUE"""),1054.0)</f>
        <v>1054</v>
      </c>
      <c r="D1304" s="139">
        <f>IFERROR(__xludf.DUMMYFUNCTION("""COMPUTED_VALUE"""),514.0)</f>
        <v>514</v>
      </c>
      <c r="E1304" s="138">
        <f>IFERROR(__xludf.DUMMYFUNCTION("""COMPUTED_VALUE"""),4.0)</f>
        <v>4</v>
      </c>
      <c r="F1304" s="138">
        <f>IFERROR(__xludf.DUMMYFUNCTION("""COMPUTED_VALUE"""),3.0)</f>
        <v>3</v>
      </c>
      <c r="G1304" s="138">
        <f>IFERROR(__xludf.DUMMYFUNCTION("""COMPUTED_VALUE"""),3.0)</f>
        <v>3</v>
      </c>
      <c r="H1304" s="138">
        <f>IFERROR(__xludf.DUMMYFUNCTION("""COMPUTED_VALUE"""),3.0)</f>
        <v>3</v>
      </c>
      <c r="I1304" s="138">
        <f>IFERROR(__xludf.DUMMYFUNCTION("""COMPUTED_VALUE"""),3.0)</f>
        <v>3</v>
      </c>
      <c r="J1304" s="138">
        <f>IFERROR(__xludf.DUMMYFUNCTION("""COMPUTED_VALUE"""),4.0)</f>
        <v>4</v>
      </c>
      <c r="K1304" s="138">
        <f>IFERROR(__xludf.DUMMYFUNCTION("""COMPUTED_VALUE"""),4.0)</f>
        <v>4</v>
      </c>
      <c r="L1304" s="138">
        <v>24.0</v>
      </c>
      <c r="M1304" s="140" t="str">
        <f>VLOOKUP(text(D1304, "#"),'Master Table'!$A:$F, 6, FALSE)</f>
        <v>H-8</v>
      </c>
      <c r="N1304" s="141" t="str">
        <f>IFERROR(__xludf.DUMMYFUNCTION("""COMPUTED_VALUE"""),"Color coding was helpful. The hand-drawn images distracted somewhat from the professionalism of the poster. ")</f>
        <v>Color coding was helpful. The hand-drawn images distracted somewhat from the professionalism of the poster. </v>
      </c>
      <c r="O1304" s="142" t="str">
        <f t="shared" si="1"/>
        <v/>
      </c>
      <c r="P1304" s="143" t="str">
        <f>IF(ISNA(VLOOKUP(CONCAT(M1304,C1304), 'Judge Count DO NOT EDIT'!H:H, 1, FALSE)), "ERROR","")</f>
        <v/>
      </c>
      <c r="Q1304" s="141"/>
      <c r="R1304" s="143"/>
      <c r="S1304" s="139" t="str">
        <f t="shared" si="2"/>
        <v>1054514</v>
      </c>
      <c r="T1304" s="141"/>
    </row>
    <row r="1305">
      <c r="A1305" s="137">
        <f>IFERROR(__xludf.DUMMYFUNCTION("""COMPUTED_VALUE"""),45352.61194540509)</f>
        <v>45352.61195</v>
      </c>
      <c r="B1305" s="138" t="str">
        <f>IFERROR(__xludf.DUMMYFUNCTION("""COMPUTED_VALUE"""),"Brendan Daly")</f>
        <v>Brendan Daly</v>
      </c>
      <c r="C1305" s="138">
        <f>IFERROR(__xludf.DUMMYFUNCTION("""COMPUTED_VALUE"""),1220.0)</f>
        <v>1220</v>
      </c>
      <c r="D1305" s="139">
        <f>IFERROR(__xludf.DUMMYFUNCTION("""COMPUTED_VALUE"""),514.0)</f>
        <v>514</v>
      </c>
      <c r="E1305" s="138">
        <f>IFERROR(__xludf.DUMMYFUNCTION("""COMPUTED_VALUE"""),3.0)</f>
        <v>3</v>
      </c>
      <c r="F1305" s="138">
        <f>IFERROR(__xludf.DUMMYFUNCTION("""COMPUTED_VALUE"""),4.0)</f>
        <v>4</v>
      </c>
      <c r="G1305" s="138">
        <f>IFERROR(__xludf.DUMMYFUNCTION("""COMPUTED_VALUE"""),3.0)</f>
        <v>3</v>
      </c>
      <c r="H1305" s="138">
        <f>IFERROR(__xludf.DUMMYFUNCTION("""COMPUTED_VALUE"""),2.0)</f>
        <v>2</v>
      </c>
      <c r="I1305" s="138">
        <f>IFERROR(__xludf.DUMMYFUNCTION("""COMPUTED_VALUE"""),3.0)</f>
        <v>3</v>
      </c>
      <c r="J1305" s="138">
        <f>IFERROR(__xludf.DUMMYFUNCTION("""COMPUTED_VALUE"""),3.0)</f>
        <v>3</v>
      </c>
      <c r="K1305" s="138">
        <f>IFERROR(__xludf.DUMMYFUNCTION("""COMPUTED_VALUE"""),4.0)</f>
        <v>4</v>
      </c>
      <c r="L1305" s="138">
        <v>22.0</v>
      </c>
      <c r="M1305" s="140" t="str">
        <f>VLOOKUP(text(D1305, "#"),'Master Table'!$A:$F, 6, FALSE)</f>
        <v>H-8</v>
      </c>
      <c r="N1305" s="141" t="str">
        <f>IFERROR(__xludf.DUMMYFUNCTION("""COMPUTED_VALUE"""),"interesting topic and well established dichotomy, some spelling/grammar errors on poster, topic is worthy of further research")</f>
        <v>interesting topic and well established dichotomy, some spelling/grammar errors on poster, topic is worthy of further research</v>
      </c>
      <c r="O1305" s="142" t="str">
        <f t="shared" si="1"/>
        <v/>
      </c>
      <c r="P1305" s="143" t="str">
        <f>IF(ISNA(VLOOKUP(CONCAT(M1305,C1305), 'Judge Count DO NOT EDIT'!H:H, 1, FALSE)), "ERROR","")</f>
        <v/>
      </c>
      <c r="Q1305" s="141"/>
      <c r="R1305" s="143"/>
      <c r="S1305" s="139" t="str">
        <f t="shared" si="2"/>
        <v>1220514</v>
      </c>
      <c r="T1305" s="141"/>
    </row>
    <row r="1306">
      <c r="A1306" s="137">
        <f>IFERROR(__xludf.DUMMYFUNCTION("""COMPUTED_VALUE"""),45352.602972939814)</f>
        <v>45352.60297</v>
      </c>
      <c r="B1306" s="138" t="str">
        <f>IFERROR(__xludf.DUMMYFUNCTION("""COMPUTED_VALUE"""),"Ashleigh Johnson")</f>
        <v>Ashleigh Johnson</v>
      </c>
      <c r="C1306" s="138">
        <f>IFERROR(__xludf.DUMMYFUNCTION("""COMPUTED_VALUE"""),1016.0)</f>
        <v>1016</v>
      </c>
      <c r="D1306" s="139">
        <f>IFERROR(__xludf.DUMMYFUNCTION("""COMPUTED_VALUE"""),515.0)</f>
        <v>515</v>
      </c>
      <c r="E1306" s="138">
        <f>IFERROR(__xludf.DUMMYFUNCTION("""COMPUTED_VALUE"""),3.0)</f>
        <v>3</v>
      </c>
      <c r="F1306" s="138">
        <f>IFERROR(__xludf.DUMMYFUNCTION("""COMPUTED_VALUE"""),4.0)</f>
        <v>4</v>
      </c>
      <c r="G1306" s="138">
        <f>IFERROR(__xludf.DUMMYFUNCTION("""COMPUTED_VALUE"""),3.0)</f>
        <v>3</v>
      </c>
      <c r="H1306" s="138">
        <f>IFERROR(__xludf.DUMMYFUNCTION("""COMPUTED_VALUE"""),3.0)</f>
        <v>3</v>
      </c>
      <c r="I1306" s="138">
        <f>IFERROR(__xludf.DUMMYFUNCTION("""COMPUTED_VALUE"""),3.0)</f>
        <v>3</v>
      </c>
      <c r="J1306" s="138">
        <f>IFERROR(__xludf.DUMMYFUNCTION("""COMPUTED_VALUE"""),3.0)</f>
        <v>3</v>
      </c>
      <c r="K1306" s="138">
        <f>IFERROR(__xludf.DUMMYFUNCTION("""COMPUTED_VALUE"""),3.0)</f>
        <v>3</v>
      </c>
      <c r="L1306" s="138">
        <v>22.0</v>
      </c>
      <c r="M1306" s="140" t="str">
        <f>VLOOKUP(text(D1306, "#"),'Master Table'!$A:$F, 6, FALSE)</f>
        <v>H-8</v>
      </c>
      <c r="N1306" s="141" t="str">
        <f>IFERROR(__xludf.DUMMYFUNCTION("""COMPUTED_VALUE"""),"This was an interesting topic that involved exploration of the topic of burdensomeness. Student was engaging and passionate about the topic. One suggestion is to be sure to orient the viewer to the graphs/figures to clearly convey the key takeaways. Well "&amp;"done overall.")</f>
        <v>This was an interesting topic that involved exploration of the topic of burdensomeness. Student was engaging and passionate about the topic. One suggestion is to be sure to orient the viewer to the graphs/figures to clearly convey the key takeaways. Well done overall.</v>
      </c>
      <c r="O1306" s="142" t="str">
        <f t="shared" si="1"/>
        <v/>
      </c>
      <c r="P1306" s="143" t="str">
        <f>IF(ISNA(VLOOKUP(CONCAT(M1306,C1306), 'Judge Count DO NOT EDIT'!H:H, 1, FALSE)), "ERROR","")</f>
        <v/>
      </c>
      <c r="Q1306" s="141"/>
      <c r="R1306" s="143"/>
      <c r="S1306" s="139" t="str">
        <f t="shared" si="2"/>
        <v>1016515</v>
      </c>
      <c r="T1306" s="141"/>
    </row>
    <row r="1307">
      <c r="A1307" s="137">
        <f>IFERROR(__xludf.DUMMYFUNCTION("""COMPUTED_VALUE"""),45352.61302858796)</f>
        <v>45352.61303</v>
      </c>
      <c r="B1307" s="138" t="str">
        <f>IFERROR(__xludf.DUMMYFUNCTION("""COMPUTED_VALUE"""),"Erin Riley")</f>
        <v>Erin Riley</v>
      </c>
      <c r="C1307" s="138">
        <f>IFERROR(__xludf.DUMMYFUNCTION("""COMPUTED_VALUE"""),1054.0)</f>
        <v>1054</v>
      </c>
      <c r="D1307" s="139">
        <f>IFERROR(__xludf.DUMMYFUNCTION("""COMPUTED_VALUE"""),515.0)</f>
        <v>515</v>
      </c>
      <c r="E1307" s="138">
        <f>IFERROR(__xludf.DUMMYFUNCTION("""COMPUTED_VALUE"""),3.0)</f>
        <v>3</v>
      </c>
      <c r="F1307" s="138">
        <f>IFERROR(__xludf.DUMMYFUNCTION("""COMPUTED_VALUE"""),3.0)</f>
        <v>3</v>
      </c>
      <c r="G1307" s="138">
        <f>IFERROR(__xludf.DUMMYFUNCTION("""COMPUTED_VALUE"""),3.0)</f>
        <v>3</v>
      </c>
      <c r="H1307" s="138">
        <f>IFERROR(__xludf.DUMMYFUNCTION("""COMPUTED_VALUE"""),3.0)</f>
        <v>3</v>
      </c>
      <c r="I1307" s="138">
        <f>IFERROR(__xludf.DUMMYFUNCTION("""COMPUTED_VALUE"""),2.0)</f>
        <v>2</v>
      </c>
      <c r="J1307" s="138">
        <f>IFERROR(__xludf.DUMMYFUNCTION("""COMPUTED_VALUE"""),3.0)</f>
        <v>3</v>
      </c>
      <c r="K1307" s="138">
        <f>IFERROR(__xludf.DUMMYFUNCTION("""COMPUTED_VALUE"""),4.0)</f>
        <v>4</v>
      </c>
      <c r="L1307" s="138">
        <v>21.0</v>
      </c>
      <c r="M1307" s="140" t="str">
        <f>VLOOKUP(text(D1307, "#"),'Master Table'!$A:$F, 6, FALSE)</f>
        <v>H-8</v>
      </c>
      <c r="N1307" s="141"/>
      <c r="O1307" s="142" t="str">
        <f t="shared" si="1"/>
        <v/>
      </c>
      <c r="P1307" s="143" t="str">
        <f>IF(ISNA(VLOOKUP(CONCAT(M1307,C1307), 'Judge Count DO NOT EDIT'!H:H, 1, FALSE)), "ERROR","")</f>
        <v/>
      </c>
      <c r="Q1307" s="141"/>
      <c r="R1307" s="143"/>
      <c r="S1307" s="139" t="str">
        <f t="shared" si="2"/>
        <v>1054515</v>
      </c>
      <c r="T1307" s="141"/>
    </row>
    <row r="1308">
      <c r="A1308" s="137">
        <f>IFERROR(__xludf.DUMMYFUNCTION("""COMPUTED_VALUE"""),45352.613307719905)</f>
        <v>45352.61331</v>
      </c>
      <c r="B1308" s="138" t="str">
        <f>IFERROR(__xludf.DUMMYFUNCTION("""COMPUTED_VALUE"""),"Brendan Daly")</f>
        <v>Brendan Daly</v>
      </c>
      <c r="C1308" s="138">
        <f>IFERROR(__xludf.DUMMYFUNCTION("""COMPUTED_VALUE"""),1220.0)</f>
        <v>1220</v>
      </c>
      <c r="D1308" s="139">
        <f>IFERROR(__xludf.DUMMYFUNCTION("""COMPUTED_VALUE"""),515.0)</f>
        <v>515</v>
      </c>
      <c r="E1308" s="138">
        <f>IFERROR(__xludf.DUMMYFUNCTION("""COMPUTED_VALUE"""),4.0)</f>
        <v>4</v>
      </c>
      <c r="F1308" s="138">
        <f>IFERROR(__xludf.DUMMYFUNCTION("""COMPUTED_VALUE"""),5.0)</f>
        <v>5</v>
      </c>
      <c r="G1308" s="138">
        <f>IFERROR(__xludf.DUMMYFUNCTION("""COMPUTED_VALUE"""),3.0)</f>
        <v>3</v>
      </c>
      <c r="H1308" s="138">
        <f>IFERROR(__xludf.DUMMYFUNCTION("""COMPUTED_VALUE"""),4.0)</f>
        <v>4</v>
      </c>
      <c r="I1308" s="138">
        <f>IFERROR(__xludf.DUMMYFUNCTION("""COMPUTED_VALUE"""),4.0)</f>
        <v>4</v>
      </c>
      <c r="J1308" s="138">
        <f>IFERROR(__xludf.DUMMYFUNCTION("""COMPUTED_VALUE"""),3.0)</f>
        <v>3</v>
      </c>
      <c r="K1308" s="138">
        <f>IFERROR(__xludf.DUMMYFUNCTION("""COMPUTED_VALUE"""),5.0)</f>
        <v>5</v>
      </c>
      <c r="L1308" s="138">
        <v>28.0</v>
      </c>
      <c r="M1308" s="140" t="str">
        <f>VLOOKUP(text(D1308, "#"),'Master Table'!$A:$F, 6, FALSE)</f>
        <v>H-8</v>
      </c>
      <c r="N1308" s="141" t="str">
        <f>IFERROR(__xludf.DUMMYFUNCTION("""COMPUTED_VALUE"""),"particularly difficult study design (complex), challenge to create benchmark, positive learnings and room for further exploration ")</f>
        <v>particularly difficult study design (complex), challenge to create benchmark, positive learnings and room for further exploration </v>
      </c>
      <c r="O1308" s="142" t="str">
        <f t="shared" si="1"/>
        <v/>
      </c>
      <c r="P1308" s="143" t="str">
        <f>IF(ISNA(VLOOKUP(CONCAT(M1308,C1308), 'Judge Count DO NOT EDIT'!H:H, 1, FALSE)), "ERROR","")</f>
        <v/>
      </c>
      <c r="Q1308" s="141"/>
      <c r="R1308" s="143"/>
      <c r="S1308" s="139" t="str">
        <f t="shared" si="2"/>
        <v>1220515</v>
      </c>
      <c r="T1308" s="141"/>
    </row>
    <row r="1309">
      <c r="A1309" s="137">
        <f>IFERROR(__xludf.DUMMYFUNCTION("""COMPUTED_VALUE"""),45352.6043961574)</f>
        <v>45352.6044</v>
      </c>
      <c r="B1309" s="138" t="str">
        <f>IFERROR(__xludf.DUMMYFUNCTION("""COMPUTED_VALUE"""),"Ashleigh Johnson")</f>
        <v>Ashleigh Johnson</v>
      </c>
      <c r="C1309" s="138">
        <f>IFERROR(__xludf.DUMMYFUNCTION("""COMPUTED_VALUE"""),1016.0)</f>
        <v>1016</v>
      </c>
      <c r="D1309" s="139">
        <f>IFERROR(__xludf.DUMMYFUNCTION("""COMPUTED_VALUE"""),516.0)</f>
        <v>516</v>
      </c>
      <c r="E1309" s="138">
        <f>IFERROR(__xludf.DUMMYFUNCTION("""COMPUTED_VALUE"""),5.0)</f>
        <v>5</v>
      </c>
      <c r="F1309" s="138">
        <f>IFERROR(__xludf.DUMMYFUNCTION("""COMPUTED_VALUE"""),5.0)</f>
        <v>5</v>
      </c>
      <c r="G1309" s="138">
        <f>IFERROR(__xludf.DUMMYFUNCTION("""COMPUTED_VALUE"""),4.0)</f>
        <v>4</v>
      </c>
      <c r="H1309" s="138">
        <f>IFERROR(__xludf.DUMMYFUNCTION("""COMPUTED_VALUE"""),4.0)</f>
        <v>4</v>
      </c>
      <c r="I1309" s="138">
        <f>IFERROR(__xludf.DUMMYFUNCTION("""COMPUTED_VALUE"""),3.0)</f>
        <v>3</v>
      </c>
      <c r="J1309" s="138">
        <f>IFERROR(__xludf.DUMMYFUNCTION("""COMPUTED_VALUE"""),4.0)</f>
        <v>4</v>
      </c>
      <c r="K1309" s="138">
        <f>IFERROR(__xludf.DUMMYFUNCTION("""COMPUTED_VALUE"""),3.0)</f>
        <v>3</v>
      </c>
      <c r="L1309" s="138">
        <v>28.0</v>
      </c>
      <c r="M1309" s="140" t="str">
        <f>VLOOKUP(text(D1309, "#"),'Master Table'!$A:$F, 6, FALSE)</f>
        <v>H-8</v>
      </c>
      <c r="N1309" s="141" t="str">
        <f>IFERROR(__xludf.DUMMYFUNCTION("""COMPUTED_VALUE"""),"This was such an interesting look at the environment in which research is conducted, and has wide-scale relevance. The poster was very well organized and easy to understand. One suggestion I have for the student is to be more confident in their presentati"&amp;"on. It is such great work and the student should be proud! ")</f>
        <v>This was such an interesting look at the environment in which research is conducted, and has wide-scale relevance. The poster was very well organized and easy to understand. One suggestion I have for the student is to be more confident in their presentation. It is such great work and the student should be proud! </v>
      </c>
      <c r="O1309" s="142" t="str">
        <f t="shared" si="1"/>
        <v/>
      </c>
      <c r="P1309" s="143" t="str">
        <f>IF(ISNA(VLOOKUP(CONCAT(M1309,C1309), 'Judge Count DO NOT EDIT'!H:H, 1, FALSE)), "ERROR","")</f>
        <v/>
      </c>
      <c r="Q1309" s="141"/>
      <c r="R1309" s="143"/>
      <c r="S1309" s="139" t="str">
        <f t="shared" si="2"/>
        <v>1016516</v>
      </c>
      <c r="T1309" s="141"/>
    </row>
    <row r="1310">
      <c r="A1310" s="137">
        <f>IFERROR(__xludf.DUMMYFUNCTION("""COMPUTED_VALUE"""),45352.61417543981)</f>
        <v>45352.61418</v>
      </c>
      <c r="B1310" s="138" t="str">
        <f>IFERROR(__xludf.DUMMYFUNCTION("""COMPUTED_VALUE"""),"Brendan Daly")</f>
        <v>Brendan Daly</v>
      </c>
      <c r="C1310" s="138">
        <f>IFERROR(__xludf.DUMMYFUNCTION("""COMPUTED_VALUE"""),1220.0)</f>
        <v>1220</v>
      </c>
      <c r="D1310" s="139">
        <f>IFERROR(__xludf.DUMMYFUNCTION("""COMPUTED_VALUE"""),516.0)</f>
        <v>516</v>
      </c>
      <c r="E1310" s="138">
        <f>IFERROR(__xludf.DUMMYFUNCTION("""COMPUTED_VALUE"""),4.0)</f>
        <v>4</v>
      </c>
      <c r="F1310" s="138">
        <f>IFERROR(__xludf.DUMMYFUNCTION("""COMPUTED_VALUE"""),3.0)</f>
        <v>3</v>
      </c>
      <c r="G1310" s="138">
        <f>IFERROR(__xludf.DUMMYFUNCTION("""COMPUTED_VALUE"""),4.0)</f>
        <v>4</v>
      </c>
      <c r="H1310" s="138">
        <f>IFERROR(__xludf.DUMMYFUNCTION("""COMPUTED_VALUE"""),3.0)</f>
        <v>3</v>
      </c>
      <c r="I1310" s="138">
        <f>IFERROR(__xludf.DUMMYFUNCTION("""COMPUTED_VALUE"""),5.0)</f>
        <v>5</v>
      </c>
      <c r="J1310" s="138">
        <f>IFERROR(__xludf.DUMMYFUNCTION("""COMPUTED_VALUE"""),5.0)</f>
        <v>5</v>
      </c>
      <c r="K1310" s="138">
        <f>IFERROR(__xludf.DUMMYFUNCTION("""COMPUTED_VALUE"""),4.0)</f>
        <v>4</v>
      </c>
      <c r="L1310" s="138">
        <v>28.0</v>
      </c>
      <c r="M1310" s="140" t="str">
        <f>VLOOKUP(text(D1310, "#"),'Master Table'!$A:$F, 6, FALSE)</f>
        <v>H-8</v>
      </c>
      <c r="N1310" s="141" t="str">
        <f>IFERROR(__xludf.DUMMYFUNCTION("""COMPUTED_VALUE"""),"well prepared and presented, clear takeaways, more on study design would have been helpful")</f>
        <v>well prepared and presented, clear takeaways, more on study design would have been helpful</v>
      </c>
      <c r="O1310" s="142" t="str">
        <f t="shared" si="1"/>
        <v/>
      </c>
      <c r="P1310" s="143" t="str">
        <f>IF(ISNA(VLOOKUP(CONCAT(M1310,C1310), 'Judge Count DO NOT EDIT'!H:H, 1, FALSE)), "ERROR","")</f>
        <v/>
      </c>
      <c r="Q1310" s="141"/>
      <c r="R1310" s="143"/>
      <c r="S1310" s="139" t="str">
        <f t="shared" si="2"/>
        <v>1220516</v>
      </c>
      <c r="T1310" s="141"/>
    </row>
    <row r="1311">
      <c r="A1311" s="137">
        <f>IFERROR(__xludf.DUMMYFUNCTION("""COMPUTED_VALUE"""),45352.616136157405)</f>
        <v>45352.61614</v>
      </c>
      <c r="B1311" s="138" t="str">
        <f>IFERROR(__xludf.DUMMYFUNCTION("""COMPUTED_VALUE"""),"Erin Riley")</f>
        <v>Erin Riley</v>
      </c>
      <c r="C1311" s="138">
        <f>IFERROR(__xludf.DUMMYFUNCTION("""COMPUTED_VALUE"""),1054.0)</f>
        <v>1054</v>
      </c>
      <c r="D1311" s="139">
        <f>IFERROR(__xludf.DUMMYFUNCTION("""COMPUTED_VALUE"""),516.0)</f>
        <v>516</v>
      </c>
      <c r="E1311" s="138">
        <f>IFERROR(__xludf.DUMMYFUNCTION("""COMPUTED_VALUE"""),4.0)</f>
        <v>4</v>
      </c>
      <c r="F1311" s="138">
        <f>IFERROR(__xludf.DUMMYFUNCTION("""COMPUTED_VALUE"""),3.0)</f>
        <v>3</v>
      </c>
      <c r="G1311" s="138">
        <f>IFERROR(__xludf.DUMMYFUNCTION("""COMPUTED_VALUE"""),3.0)</f>
        <v>3</v>
      </c>
      <c r="H1311" s="138">
        <f>IFERROR(__xludf.DUMMYFUNCTION("""COMPUTED_VALUE"""),3.0)</f>
        <v>3</v>
      </c>
      <c r="I1311" s="138">
        <f>IFERROR(__xludf.DUMMYFUNCTION("""COMPUTED_VALUE"""),4.0)</f>
        <v>4</v>
      </c>
      <c r="J1311" s="138">
        <f>IFERROR(__xludf.DUMMYFUNCTION("""COMPUTED_VALUE"""),3.0)</f>
        <v>3</v>
      </c>
      <c r="K1311" s="138">
        <f>IFERROR(__xludf.DUMMYFUNCTION("""COMPUTED_VALUE"""),4.0)</f>
        <v>4</v>
      </c>
      <c r="L1311" s="138">
        <v>24.0</v>
      </c>
      <c r="M1311" s="140" t="str">
        <f>VLOOKUP(text(D1311, "#"),'Master Table'!$A:$F, 6, FALSE)</f>
        <v>H-8</v>
      </c>
      <c r="N1311" s="141" t="str">
        <f>IFERROR(__xludf.DUMMYFUNCTION("""COMPUTED_VALUE"""),"Nice layout; facilitated quick comprehension of the topic &amp; findings")</f>
        <v>Nice layout; facilitated quick comprehension of the topic &amp; findings</v>
      </c>
      <c r="O1311" s="142" t="str">
        <f t="shared" si="1"/>
        <v/>
      </c>
      <c r="P1311" s="143" t="str">
        <f>IF(ISNA(VLOOKUP(CONCAT(M1311,C1311), 'Judge Count DO NOT EDIT'!H:H, 1, FALSE)), "ERROR","")</f>
        <v/>
      </c>
      <c r="Q1311" s="141"/>
      <c r="R1311" s="143"/>
      <c r="S1311" s="139" t="str">
        <f t="shared" si="2"/>
        <v>1054516</v>
      </c>
      <c r="T1311" s="141"/>
    </row>
    <row r="1312">
      <c r="A1312" s="137">
        <f>IFERROR(__xludf.DUMMYFUNCTION("""COMPUTED_VALUE"""),45352.60619832176)</f>
        <v>45352.6062</v>
      </c>
      <c r="B1312" s="138" t="str">
        <f>IFERROR(__xludf.DUMMYFUNCTION("""COMPUTED_VALUE"""),"Ashleigh Johnson")</f>
        <v>Ashleigh Johnson</v>
      </c>
      <c r="C1312" s="138">
        <f>IFERROR(__xludf.DUMMYFUNCTION("""COMPUTED_VALUE"""),1016.0)</f>
        <v>1016</v>
      </c>
      <c r="D1312" s="139">
        <f>IFERROR(__xludf.DUMMYFUNCTION("""COMPUTED_VALUE"""),517.0)</f>
        <v>517</v>
      </c>
      <c r="E1312" s="138">
        <f>IFERROR(__xludf.DUMMYFUNCTION("""COMPUTED_VALUE"""),3.0)</f>
        <v>3</v>
      </c>
      <c r="F1312" s="138">
        <f>IFERROR(__xludf.DUMMYFUNCTION("""COMPUTED_VALUE"""),3.0)</f>
        <v>3</v>
      </c>
      <c r="G1312" s="138">
        <f>IFERROR(__xludf.DUMMYFUNCTION("""COMPUTED_VALUE"""),4.0)</f>
        <v>4</v>
      </c>
      <c r="H1312" s="138">
        <f>IFERROR(__xludf.DUMMYFUNCTION("""COMPUTED_VALUE"""),4.0)</f>
        <v>4</v>
      </c>
      <c r="I1312" s="138">
        <f>IFERROR(__xludf.DUMMYFUNCTION("""COMPUTED_VALUE"""),3.0)</f>
        <v>3</v>
      </c>
      <c r="J1312" s="138">
        <f>IFERROR(__xludf.DUMMYFUNCTION("""COMPUTED_VALUE"""),3.0)</f>
        <v>3</v>
      </c>
      <c r="K1312" s="138">
        <f>IFERROR(__xludf.DUMMYFUNCTION("""COMPUTED_VALUE"""),3.0)</f>
        <v>3</v>
      </c>
      <c r="L1312" s="138">
        <v>23.0</v>
      </c>
      <c r="M1312" s="140" t="str">
        <f>VLOOKUP(text(D1312, "#"),'Master Table'!$A:$F, 6, FALSE)</f>
        <v>H-8</v>
      </c>
      <c r="N1312" s="141" t="str">
        <f>IFERROR(__xludf.DUMMYFUNCTION("""COMPUTED_VALUE"""),"This was an interesting look at a unique community. The student did a good job of walking through the rationale and methodology. They showed a strong understanding for limitations, strengths, and potential next steps.")</f>
        <v>This was an interesting look at a unique community. The student did a good job of walking through the rationale and methodology. They showed a strong understanding for limitations, strengths, and potential next steps.</v>
      </c>
      <c r="O1312" s="142" t="str">
        <f t="shared" si="1"/>
        <v/>
      </c>
      <c r="P1312" s="143" t="str">
        <f>IF(ISNA(VLOOKUP(CONCAT(M1312,C1312), 'Judge Count DO NOT EDIT'!H:H, 1, FALSE)), "ERROR","")</f>
        <v/>
      </c>
      <c r="Q1312" s="141"/>
      <c r="R1312" s="143"/>
      <c r="S1312" s="139" t="str">
        <f t="shared" si="2"/>
        <v>1016517</v>
      </c>
      <c r="T1312" s="141"/>
    </row>
    <row r="1313">
      <c r="A1313" s="137">
        <f>IFERROR(__xludf.DUMMYFUNCTION("""COMPUTED_VALUE"""),45352.61542638889)</f>
        <v>45352.61543</v>
      </c>
      <c r="B1313" s="138" t="str">
        <f>IFERROR(__xludf.DUMMYFUNCTION("""COMPUTED_VALUE"""),"Brendan Daly")</f>
        <v>Brendan Daly</v>
      </c>
      <c r="C1313" s="138">
        <f>IFERROR(__xludf.DUMMYFUNCTION("""COMPUTED_VALUE"""),1220.0)</f>
        <v>1220</v>
      </c>
      <c r="D1313" s="139">
        <f>IFERROR(__xludf.DUMMYFUNCTION("""COMPUTED_VALUE"""),517.0)</f>
        <v>517</v>
      </c>
      <c r="E1313" s="138">
        <f>IFERROR(__xludf.DUMMYFUNCTION("""COMPUTED_VALUE"""),4.0)</f>
        <v>4</v>
      </c>
      <c r="F1313" s="138">
        <f>IFERROR(__xludf.DUMMYFUNCTION("""COMPUTED_VALUE"""),3.0)</f>
        <v>3</v>
      </c>
      <c r="G1313" s="138">
        <f>IFERROR(__xludf.DUMMYFUNCTION("""COMPUTED_VALUE"""),4.0)</f>
        <v>4</v>
      </c>
      <c r="H1313" s="138">
        <f>IFERROR(__xludf.DUMMYFUNCTION("""COMPUTED_VALUE"""),4.0)</f>
        <v>4</v>
      </c>
      <c r="I1313" s="138">
        <f>IFERROR(__xludf.DUMMYFUNCTION("""COMPUTED_VALUE"""),4.0)</f>
        <v>4</v>
      </c>
      <c r="J1313" s="138">
        <f>IFERROR(__xludf.DUMMYFUNCTION("""COMPUTED_VALUE"""),4.0)</f>
        <v>4</v>
      </c>
      <c r="K1313" s="138">
        <f>IFERROR(__xludf.DUMMYFUNCTION("""COMPUTED_VALUE"""),4.0)</f>
        <v>4</v>
      </c>
      <c r="L1313" s="138">
        <v>27.0</v>
      </c>
      <c r="M1313" s="140" t="str">
        <f>VLOOKUP(text(D1313, "#"),'Master Table'!$A:$F, 6, FALSE)</f>
        <v>H-8</v>
      </c>
      <c r="N1313" s="141" t="str">
        <f>IFERROR(__xludf.DUMMYFUNCTION("""COMPUTED_VALUE"""),"clear understanding of limitations of research and opportunities for next steps")</f>
        <v>clear understanding of limitations of research and opportunities for next steps</v>
      </c>
      <c r="O1313" s="142" t="str">
        <f t="shared" si="1"/>
        <v/>
      </c>
      <c r="P1313" s="143" t="str">
        <f>IF(ISNA(VLOOKUP(CONCAT(M1313,C1313), 'Judge Count DO NOT EDIT'!H:H, 1, FALSE)), "ERROR","")</f>
        <v/>
      </c>
      <c r="Q1313" s="141"/>
      <c r="R1313" s="143"/>
      <c r="S1313" s="139" t="str">
        <f t="shared" si="2"/>
        <v>1220517</v>
      </c>
      <c r="T1313" s="141"/>
    </row>
    <row r="1314">
      <c r="A1314" s="137">
        <f>IFERROR(__xludf.DUMMYFUNCTION("""COMPUTED_VALUE"""),45352.60875287037)</f>
        <v>45352.60875</v>
      </c>
      <c r="B1314" s="138" t="str">
        <f>IFERROR(__xludf.DUMMYFUNCTION("""COMPUTED_VALUE"""),"Ashleigh Johnson")</f>
        <v>Ashleigh Johnson</v>
      </c>
      <c r="C1314" s="138">
        <f>IFERROR(__xludf.DUMMYFUNCTION("""COMPUTED_VALUE"""),1016.0)</f>
        <v>1016</v>
      </c>
      <c r="D1314" s="139">
        <f>IFERROR(__xludf.DUMMYFUNCTION("""COMPUTED_VALUE"""),518.0)</f>
        <v>518</v>
      </c>
      <c r="E1314" s="138">
        <f>IFERROR(__xludf.DUMMYFUNCTION("""COMPUTED_VALUE"""),3.0)</f>
        <v>3</v>
      </c>
      <c r="F1314" s="138">
        <f>IFERROR(__xludf.DUMMYFUNCTION("""COMPUTED_VALUE"""),3.0)</f>
        <v>3</v>
      </c>
      <c r="G1314" s="138">
        <f>IFERROR(__xludf.DUMMYFUNCTION("""COMPUTED_VALUE"""),3.0)</f>
        <v>3</v>
      </c>
      <c r="H1314" s="138">
        <f>IFERROR(__xludf.DUMMYFUNCTION("""COMPUTED_VALUE"""),3.0)</f>
        <v>3</v>
      </c>
      <c r="I1314" s="138">
        <f>IFERROR(__xludf.DUMMYFUNCTION("""COMPUTED_VALUE"""),3.0)</f>
        <v>3</v>
      </c>
      <c r="J1314" s="138">
        <f>IFERROR(__xludf.DUMMYFUNCTION("""COMPUTED_VALUE"""),3.0)</f>
        <v>3</v>
      </c>
      <c r="K1314" s="138">
        <f>IFERROR(__xludf.DUMMYFUNCTION("""COMPUTED_VALUE"""),3.0)</f>
        <v>3</v>
      </c>
      <c r="L1314" s="138">
        <v>21.0</v>
      </c>
      <c r="M1314" s="140" t="str">
        <f>VLOOKUP(text(D1314, "#"),'Master Table'!$A:$F, 6, FALSE)</f>
        <v>H-8</v>
      </c>
      <c r="N1314" s="141" t="str">
        <f>IFERROR(__xludf.DUMMYFUNCTION("""COMPUTED_VALUE"""),"This was an interesting concept looking at the delivery of a mental health intervention. The student demonstrated a passion and interest in the study topic, and noted the limitations and next steps for the study. One suggestion I have is to walk the viewe"&amp;"r more slowly through the methodology, perhaps providing more background on the techniques measured (e.g., are these best practices, why were these included) to help give context to the results. Good work overall.")</f>
        <v>This was an interesting concept looking at the delivery of a mental health intervention. The student demonstrated a passion and interest in the study topic, and noted the limitations and next steps for the study. One suggestion I have is to walk the viewer more slowly through the methodology, perhaps providing more background on the techniques measured (e.g., are these best practices, why were these included) to help give context to the results. Good work overall.</v>
      </c>
      <c r="O1314" s="142" t="str">
        <f t="shared" si="1"/>
        <v/>
      </c>
      <c r="P1314" s="143" t="str">
        <f>IF(ISNA(VLOOKUP(CONCAT(M1314,C1314), 'Judge Count DO NOT EDIT'!H:H, 1, FALSE)), "ERROR","")</f>
        <v/>
      </c>
      <c r="Q1314" s="141"/>
      <c r="R1314" s="143"/>
      <c r="S1314" s="139" t="str">
        <f t="shared" si="2"/>
        <v>1016518</v>
      </c>
      <c r="T1314" s="141"/>
    </row>
    <row r="1315">
      <c r="A1315" s="137">
        <f>IFERROR(__xludf.DUMMYFUNCTION("""COMPUTED_VALUE"""),45352.620803356476)</f>
        <v>45352.6208</v>
      </c>
      <c r="B1315" s="138" t="str">
        <f>IFERROR(__xludf.DUMMYFUNCTION("""COMPUTED_VALUE"""),"Erin Riley")</f>
        <v>Erin Riley</v>
      </c>
      <c r="C1315" s="138">
        <f>IFERROR(__xludf.DUMMYFUNCTION("""COMPUTED_VALUE"""),1054.0)</f>
        <v>1054</v>
      </c>
      <c r="D1315" s="139">
        <f>IFERROR(__xludf.DUMMYFUNCTION("""COMPUTED_VALUE"""),518.0)</f>
        <v>518</v>
      </c>
      <c r="E1315" s="138">
        <f>IFERROR(__xludf.DUMMYFUNCTION("""COMPUTED_VALUE"""),3.0)</f>
        <v>3</v>
      </c>
      <c r="F1315" s="138">
        <f>IFERROR(__xludf.DUMMYFUNCTION("""COMPUTED_VALUE"""),2.0)</f>
        <v>2</v>
      </c>
      <c r="G1315" s="138">
        <f>IFERROR(__xludf.DUMMYFUNCTION("""COMPUTED_VALUE"""),3.0)</f>
        <v>3</v>
      </c>
      <c r="H1315" s="138">
        <f>IFERROR(__xludf.DUMMYFUNCTION("""COMPUTED_VALUE"""),3.0)</f>
        <v>3</v>
      </c>
      <c r="I1315" s="138">
        <f>IFERROR(__xludf.DUMMYFUNCTION("""COMPUTED_VALUE"""),2.0)</f>
        <v>2</v>
      </c>
      <c r="J1315" s="138">
        <f>IFERROR(__xludf.DUMMYFUNCTION("""COMPUTED_VALUE"""),2.0)</f>
        <v>2</v>
      </c>
      <c r="K1315" s="138">
        <f>IFERROR(__xludf.DUMMYFUNCTION("""COMPUTED_VALUE"""),3.0)</f>
        <v>3</v>
      </c>
      <c r="L1315" s="138">
        <v>18.0</v>
      </c>
      <c r="M1315" s="140" t="str">
        <f>VLOOKUP(text(D1315, "#"),'Master Table'!$A:$F, 6, FALSE)</f>
        <v>H-8</v>
      </c>
      <c r="N1315" s="141"/>
      <c r="O1315" s="142" t="str">
        <f t="shared" si="1"/>
        <v/>
      </c>
      <c r="P1315" s="143" t="str">
        <f>IF(ISNA(VLOOKUP(CONCAT(M1315,C1315), 'Judge Count DO NOT EDIT'!H:H, 1, FALSE)), "ERROR","")</f>
        <v/>
      </c>
      <c r="Q1315" s="141"/>
      <c r="R1315" s="143"/>
      <c r="S1315" s="139" t="str">
        <f t="shared" si="2"/>
        <v>1054518</v>
      </c>
      <c r="T1315" s="141"/>
    </row>
    <row r="1316">
      <c r="A1316" s="137">
        <f>IFERROR(__xludf.DUMMYFUNCTION("""COMPUTED_VALUE"""),45352.61041552083)</f>
        <v>45352.61042</v>
      </c>
      <c r="B1316" s="138" t="str">
        <f>IFERROR(__xludf.DUMMYFUNCTION("""COMPUTED_VALUE"""),"Ashleigh Johnson")</f>
        <v>Ashleigh Johnson</v>
      </c>
      <c r="C1316" s="138">
        <f>IFERROR(__xludf.DUMMYFUNCTION("""COMPUTED_VALUE"""),1016.0)</f>
        <v>1016</v>
      </c>
      <c r="D1316" s="139">
        <f>IFERROR(__xludf.DUMMYFUNCTION("""COMPUTED_VALUE"""),519.0)</f>
        <v>519</v>
      </c>
      <c r="E1316" s="138">
        <f>IFERROR(__xludf.DUMMYFUNCTION("""COMPUTED_VALUE"""),3.0)</f>
        <v>3</v>
      </c>
      <c r="F1316" s="138">
        <f>IFERROR(__xludf.DUMMYFUNCTION("""COMPUTED_VALUE"""),3.0)</f>
        <v>3</v>
      </c>
      <c r="G1316" s="138">
        <f>IFERROR(__xludf.DUMMYFUNCTION("""COMPUTED_VALUE"""),3.0)</f>
        <v>3</v>
      </c>
      <c r="H1316" s="138">
        <f>IFERROR(__xludf.DUMMYFUNCTION("""COMPUTED_VALUE"""),3.0)</f>
        <v>3</v>
      </c>
      <c r="I1316" s="138">
        <f>IFERROR(__xludf.DUMMYFUNCTION("""COMPUTED_VALUE"""),3.0)</f>
        <v>3</v>
      </c>
      <c r="J1316" s="138">
        <f>IFERROR(__xludf.DUMMYFUNCTION("""COMPUTED_VALUE"""),3.0)</f>
        <v>3</v>
      </c>
      <c r="K1316" s="138">
        <f>IFERROR(__xludf.DUMMYFUNCTION("""COMPUTED_VALUE"""),3.0)</f>
        <v>3</v>
      </c>
      <c r="L1316" s="138">
        <v>21.0</v>
      </c>
      <c r="M1316" s="140" t="str">
        <f>VLOOKUP(text(D1316, "#"),'Master Table'!$A:$F, 6, FALSE)</f>
        <v>H-8</v>
      </c>
      <c r="N1316" s="141" t="str">
        <f>IFERROR(__xludf.DUMMYFUNCTION("""COMPUTED_VALUE"""),"This was an interesting study, and the student had a strong grasp on ways to improve the methodology and next steps. One suggestion I have is on the visual representation - the poster was a bit text-heavy, so it was somewhat difficult to follow the method"&amp;"ology and results and to know where to focus. Well done overall")</f>
        <v>This was an interesting study, and the student had a strong grasp on ways to improve the methodology and next steps. One suggestion I have is on the visual representation - the poster was a bit text-heavy, so it was somewhat difficult to follow the methodology and results and to know where to focus. Well done overall</v>
      </c>
      <c r="O1316" s="142" t="str">
        <f t="shared" si="1"/>
        <v/>
      </c>
      <c r="P1316" s="143" t="str">
        <f>IF(ISNA(VLOOKUP(CONCAT(M1316,C1316), 'Judge Count DO NOT EDIT'!H:H, 1, FALSE)), "ERROR","")</f>
        <v/>
      </c>
      <c r="Q1316" s="141"/>
      <c r="R1316" s="143"/>
      <c r="S1316" s="139" t="str">
        <f t="shared" si="2"/>
        <v>1016519</v>
      </c>
      <c r="T1316" s="141"/>
    </row>
    <row r="1317">
      <c r="A1317" s="137">
        <f>IFERROR(__xludf.DUMMYFUNCTION("""COMPUTED_VALUE"""),45352.61728853009)</f>
        <v>45352.61729</v>
      </c>
      <c r="B1317" s="138" t="str">
        <f>IFERROR(__xludf.DUMMYFUNCTION("""COMPUTED_VALUE"""),"Brendan Daly")</f>
        <v>Brendan Daly</v>
      </c>
      <c r="C1317" s="138">
        <f>IFERROR(__xludf.DUMMYFUNCTION("""COMPUTED_VALUE"""),1220.0)</f>
        <v>1220</v>
      </c>
      <c r="D1317" s="139">
        <f>IFERROR(__xludf.DUMMYFUNCTION("""COMPUTED_VALUE"""),519.0)</f>
        <v>519</v>
      </c>
      <c r="E1317" s="138">
        <f>IFERROR(__xludf.DUMMYFUNCTION("""COMPUTED_VALUE"""),4.0)</f>
        <v>4</v>
      </c>
      <c r="F1317" s="138">
        <f>IFERROR(__xludf.DUMMYFUNCTION("""COMPUTED_VALUE"""),5.0)</f>
        <v>5</v>
      </c>
      <c r="G1317" s="138">
        <f>IFERROR(__xludf.DUMMYFUNCTION("""COMPUTED_VALUE"""),4.0)</f>
        <v>4</v>
      </c>
      <c r="H1317" s="138">
        <f>IFERROR(__xludf.DUMMYFUNCTION("""COMPUTED_VALUE"""),4.0)</f>
        <v>4</v>
      </c>
      <c r="I1317" s="138">
        <f>IFERROR(__xludf.DUMMYFUNCTION("""COMPUTED_VALUE"""),5.0)</f>
        <v>5</v>
      </c>
      <c r="J1317" s="138">
        <f>IFERROR(__xludf.DUMMYFUNCTION("""COMPUTED_VALUE"""),5.0)</f>
        <v>5</v>
      </c>
      <c r="K1317" s="138">
        <f>IFERROR(__xludf.DUMMYFUNCTION("""COMPUTED_VALUE"""),5.0)</f>
        <v>5</v>
      </c>
      <c r="L1317" s="138">
        <v>32.0</v>
      </c>
      <c r="M1317" s="140" t="str">
        <f>VLOOKUP(text(D1317, "#"),'Master Table'!$A:$F, 6, FALSE)</f>
        <v>H-8</v>
      </c>
      <c r="N1317" s="141" t="str">
        <f>IFERROR(__xludf.DUMMYFUNCTION("""COMPUTED_VALUE"""),"excellent preparation and explanation, poster was well organized with relevant content - may consider bulleting/consolidating poster info, well executed, showed depth of knowledge, impressive engagement with multi-disciplined approach.")</f>
        <v>excellent preparation and explanation, poster was well organized with relevant content - may consider bulleting/consolidating poster info, well executed, showed depth of knowledge, impressive engagement with multi-disciplined approach.</v>
      </c>
      <c r="O1317" s="142" t="str">
        <f t="shared" si="1"/>
        <v/>
      </c>
      <c r="P1317" s="143" t="str">
        <f>IF(ISNA(VLOOKUP(CONCAT(M1317,C1317), 'Judge Count DO NOT EDIT'!H:H, 1, FALSE)), "ERROR","")</f>
        <v/>
      </c>
      <c r="Q1317" s="141"/>
      <c r="R1317" s="143"/>
      <c r="S1317" s="139" t="str">
        <f t="shared" si="2"/>
        <v>1220519</v>
      </c>
      <c r="T1317" s="141"/>
    </row>
    <row r="1318">
      <c r="A1318" s="137">
        <f>IFERROR(__xludf.DUMMYFUNCTION("""COMPUTED_VALUE"""),45352.629285057876)</f>
        <v>45352.62929</v>
      </c>
      <c r="B1318" s="138" t="str">
        <f>IFERROR(__xludf.DUMMYFUNCTION("""COMPUTED_VALUE"""),"Erin Riley")</f>
        <v>Erin Riley</v>
      </c>
      <c r="C1318" s="138">
        <f>IFERROR(__xludf.DUMMYFUNCTION("""COMPUTED_VALUE"""),1054.0)</f>
        <v>1054</v>
      </c>
      <c r="D1318" s="139">
        <f>IFERROR(__xludf.DUMMYFUNCTION("""COMPUTED_VALUE"""),519.0)</f>
        <v>519</v>
      </c>
      <c r="E1318" s="138">
        <f>IFERROR(__xludf.DUMMYFUNCTION("""COMPUTED_VALUE"""),3.0)</f>
        <v>3</v>
      </c>
      <c r="F1318" s="138">
        <f>IFERROR(__xludf.DUMMYFUNCTION("""COMPUTED_VALUE"""),2.0)</f>
        <v>2</v>
      </c>
      <c r="G1318" s="138">
        <f>IFERROR(__xludf.DUMMYFUNCTION("""COMPUTED_VALUE"""),2.0)</f>
        <v>2</v>
      </c>
      <c r="H1318" s="138">
        <f>IFERROR(__xludf.DUMMYFUNCTION("""COMPUTED_VALUE"""),2.0)</f>
        <v>2</v>
      </c>
      <c r="I1318" s="138">
        <f>IFERROR(__xludf.DUMMYFUNCTION("""COMPUTED_VALUE"""),3.0)</f>
        <v>3</v>
      </c>
      <c r="J1318" s="138">
        <f>IFERROR(__xludf.DUMMYFUNCTION("""COMPUTED_VALUE"""),2.0)</f>
        <v>2</v>
      </c>
      <c r="K1318" s="138">
        <f>IFERROR(__xludf.DUMMYFUNCTION("""COMPUTED_VALUE"""),4.0)</f>
        <v>4</v>
      </c>
      <c r="L1318" s="138">
        <v>18.0</v>
      </c>
      <c r="M1318" s="140" t="str">
        <f>VLOOKUP(text(D1318, "#"),'Master Table'!$A:$F, 6, FALSE)</f>
        <v>H-8</v>
      </c>
      <c r="N1318" s="141" t="str">
        <f>IFERROR(__xludf.DUMMYFUNCTION("""COMPUTED_VALUE"""),"There was a lot of text on the slide; suggest using bullet points &amp; reducing text amount. Would have been helpful to see a definition of brownfield. Nice job noting limitations.")</f>
        <v>There was a lot of text on the slide; suggest using bullet points &amp; reducing text amount. Would have been helpful to see a definition of brownfield. Nice job noting limitations.</v>
      </c>
      <c r="O1318" s="142" t="str">
        <f t="shared" si="1"/>
        <v/>
      </c>
      <c r="P1318" s="143" t="str">
        <f>IF(ISNA(VLOOKUP(CONCAT(M1318,C1318), 'Judge Count DO NOT EDIT'!H:H, 1, FALSE)), "ERROR","")</f>
        <v/>
      </c>
      <c r="Q1318" s="141"/>
      <c r="R1318" s="143"/>
      <c r="S1318" s="139" t="str">
        <f t="shared" si="2"/>
        <v>1054519</v>
      </c>
      <c r="T1318" s="141"/>
    </row>
    <row r="1319">
      <c r="A1319" s="137">
        <f>IFERROR(__xludf.DUMMYFUNCTION("""COMPUTED_VALUE"""),45352.611528379624)</f>
        <v>45352.61153</v>
      </c>
      <c r="B1319" s="138" t="str">
        <f>IFERROR(__xludf.DUMMYFUNCTION("""COMPUTED_VALUE"""),"Ashleigh Johnson")</f>
        <v>Ashleigh Johnson</v>
      </c>
      <c r="C1319" s="138">
        <f>IFERROR(__xludf.DUMMYFUNCTION("""COMPUTED_VALUE"""),1016.0)</f>
        <v>1016</v>
      </c>
      <c r="D1319" s="139">
        <f>IFERROR(__xludf.DUMMYFUNCTION("""COMPUTED_VALUE"""),520.0)</f>
        <v>520</v>
      </c>
      <c r="E1319" s="138">
        <f>IFERROR(__xludf.DUMMYFUNCTION("""COMPUTED_VALUE"""),4.0)</f>
        <v>4</v>
      </c>
      <c r="F1319" s="138">
        <f>IFERROR(__xludf.DUMMYFUNCTION("""COMPUTED_VALUE"""),3.0)</f>
        <v>3</v>
      </c>
      <c r="G1319" s="138">
        <f>IFERROR(__xludf.DUMMYFUNCTION("""COMPUTED_VALUE"""),4.0)</f>
        <v>4</v>
      </c>
      <c r="H1319" s="138">
        <f>IFERROR(__xludf.DUMMYFUNCTION("""COMPUTED_VALUE"""),3.0)</f>
        <v>3</v>
      </c>
      <c r="I1319" s="138">
        <f>IFERROR(__xludf.DUMMYFUNCTION("""COMPUTED_VALUE"""),4.0)</f>
        <v>4</v>
      </c>
      <c r="J1319" s="138">
        <f>IFERROR(__xludf.DUMMYFUNCTION("""COMPUTED_VALUE"""),4.0)</f>
        <v>4</v>
      </c>
      <c r="K1319" s="138">
        <f>IFERROR(__xludf.DUMMYFUNCTION("""COMPUTED_VALUE"""),4.0)</f>
        <v>4</v>
      </c>
      <c r="L1319" s="138">
        <v>26.0</v>
      </c>
      <c r="M1319" s="140" t="str">
        <f>VLOOKUP(text(D1319, "#"),'Master Table'!$A:$F, 6, FALSE)</f>
        <v>H-8</v>
      </c>
      <c r="N1319" s="141" t="str">
        <f>IFERROR(__xludf.DUMMYFUNCTION("""COMPUTED_VALUE"""),"The student was engaging and knowledgeable, and was able to highlight key takeaways. The poster was well put together and easy to follow. ")</f>
        <v>The student was engaging and knowledgeable, and was able to highlight key takeaways. The poster was well put together and easy to follow. </v>
      </c>
      <c r="O1319" s="142" t="str">
        <f t="shared" si="1"/>
        <v/>
      </c>
      <c r="P1319" s="143" t="str">
        <f>IF(ISNA(VLOOKUP(CONCAT(M1319,C1319), 'Judge Count DO NOT EDIT'!H:H, 1, FALSE)), "ERROR","")</f>
        <v/>
      </c>
      <c r="Q1319" s="141"/>
      <c r="R1319" s="143"/>
      <c r="S1319" s="139" t="str">
        <f t="shared" si="2"/>
        <v>1016520</v>
      </c>
      <c r="T1319" s="141"/>
    </row>
    <row r="1320">
      <c r="A1320" s="137">
        <f>IFERROR(__xludf.DUMMYFUNCTION("""COMPUTED_VALUE"""),45352.61829114583)</f>
        <v>45352.61829</v>
      </c>
      <c r="B1320" s="138" t="str">
        <f>IFERROR(__xludf.DUMMYFUNCTION("""COMPUTED_VALUE"""),"Brendan Daly")</f>
        <v>Brendan Daly</v>
      </c>
      <c r="C1320" s="138">
        <f>IFERROR(__xludf.DUMMYFUNCTION("""COMPUTED_VALUE"""),1220.0)</f>
        <v>1220</v>
      </c>
      <c r="D1320" s="139">
        <f>IFERROR(__xludf.DUMMYFUNCTION("""COMPUTED_VALUE"""),520.0)</f>
        <v>520</v>
      </c>
      <c r="E1320" s="138">
        <f>IFERROR(__xludf.DUMMYFUNCTION("""COMPUTED_VALUE"""),5.0)</f>
        <v>5</v>
      </c>
      <c r="F1320" s="138">
        <f>IFERROR(__xludf.DUMMYFUNCTION("""COMPUTED_VALUE"""),4.0)</f>
        <v>4</v>
      </c>
      <c r="G1320" s="138">
        <f>IFERROR(__xludf.DUMMYFUNCTION("""COMPUTED_VALUE"""),4.0)</f>
        <v>4</v>
      </c>
      <c r="H1320" s="138">
        <f>IFERROR(__xludf.DUMMYFUNCTION("""COMPUTED_VALUE"""),3.0)</f>
        <v>3</v>
      </c>
      <c r="I1320" s="138">
        <f>IFERROR(__xludf.DUMMYFUNCTION("""COMPUTED_VALUE"""),4.0)</f>
        <v>4</v>
      </c>
      <c r="J1320" s="138">
        <f>IFERROR(__xludf.DUMMYFUNCTION("""COMPUTED_VALUE"""),3.0)</f>
        <v>3</v>
      </c>
      <c r="K1320" s="138">
        <f>IFERROR(__xludf.DUMMYFUNCTION("""COMPUTED_VALUE"""),4.0)</f>
        <v>4</v>
      </c>
      <c r="L1320" s="138">
        <v>27.0</v>
      </c>
      <c r="M1320" s="140" t="str">
        <f>VLOOKUP(text(D1320, "#"),'Master Table'!$A:$F, 6, FALSE)</f>
        <v>H-8</v>
      </c>
      <c r="N1320" s="141" t="str">
        <f>IFERROR(__xludf.DUMMYFUNCTION("""COMPUTED_VALUE"""),"polished presentation, clear identification of major factors, opportunity for identification of key takeaways and clear policy initiatives from further data analysis")</f>
        <v>polished presentation, clear identification of major factors, opportunity for identification of key takeaways and clear policy initiatives from further data analysis</v>
      </c>
      <c r="O1320" s="142" t="str">
        <f t="shared" si="1"/>
        <v/>
      </c>
      <c r="P1320" s="143" t="str">
        <f>IF(ISNA(VLOOKUP(CONCAT(M1320,C1320), 'Judge Count DO NOT EDIT'!H:H, 1, FALSE)), "ERROR","")</f>
        <v/>
      </c>
      <c r="Q1320" s="141"/>
      <c r="R1320" s="143"/>
      <c r="S1320" s="139" t="str">
        <f t="shared" si="2"/>
        <v>1220520</v>
      </c>
      <c r="T1320" s="141"/>
    </row>
    <row r="1321">
      <c r="A1321" s="137">
        <f>IFERROR(__xludf.DUMMYFUNCTION("""COMPUTED_VALUE"""),45352.633049490745)</f>
        <v>45352.63305</v>
      </c>
      <c r="B1321" s="138" t="str">
        <f>IFERROR(__xludf.DUMMYFUNCTION("""COMPUTED_VALUE"""),"Erin Riley")</f>
        <v>Erin Riley</v>
      </c>
      <c r="C1321" s="138">
        <f>IFERROR(__xludf.DUMMYFUNCTION("""COMPUTED_VALUE"""),1054.0)</f>
        <v>1054</v>
      </c>
      <c r="D1321" s="139">
        <f>IFERROR(__xludf.DUMMYFUNCTION("""COMPUTED_VALUE"""),520.0)</f>
        <v>520</v>
      </c>
      <c r="E1321" s="138">
        <f>IFERROR(__xludf.DUMMYFUNCTION("""COMPUTED_VALUE"""),3.0)</f>
        <v>3</v>
      </c>
      <c r="F1321" s="138">
        <f>IFERROR(__xludf.DUMMYFUNCTION("""COMPUTED_VALUE"""),3.0)</f>
        <v>3</v>
      </c>
      <c r="G1321" s="138">
        <f>IFERROR(__xludf.DUMMYFUNCTION("""COMPUTED_VALUE"""),3.0)</f>
        <v>3</v>
      </c>
      <c r="H1321" s="138">
        <f>IFERROR(__xludf.DUMMYFUNCTION("""COMPUTED_VALUE"""),3.0)</f>
        <v>3</v>
      </c>
      <c r="I1321" s="138">
        <f>IFERROR(__xludf.DUMMYFUNCTION("""COMPUTED_VALUE"""),2.0)</f>
        <v>2</v>
      </c>
      <c r="J1321" s="138">
        <f>IFERROR(__xludf.DUMMYFUNCTION("""COMPUTED_VALUE"""),2.0)</f>
        <v>2</v>
      </c>
      <c r="K1321" s="138">
        <f>IFERROR(__xludf.DUMMYFUNCTION("""COMPUTED_VALUE"""),4.0)</f>
        <v>4</v>
      </c>
      <c r="L1321" s="138">
        <v>20.0</v>
      </c>
      <c r="M1321" s="140" t="str">
        <f>VLOOKUP(text(D1321, "#"),'Master Table'!$A:$F, 6, FALSE)</f>
        <v>H-8</v>
      </c>
      <c r="N1321" s="141" t="str">
        <f>IFERROR(__xludf.DUMMYFUNCTION("""COMPUTED_VALUE"""),"Suggest using fewer colors; it was somewhat distracting. Nice job succinctly explaining key findings")</f>
        <v>Suggest using fewer colors; it was somewhat distracting. Nice job succinctly explaining key findings</v>
      </c>
      <c r="O1321" s="142" t="str">
        <f t="shared" si="1"/>
        <v/>
      </c>
      <c r="P1321" s="143" t="str">
        <f>IF(ISNA(VLOOKUP(CONCAT(M1321,C1321), 'Judge Count DO NOT EDIT'!H:H, 1, FALSE)), "ERROR","")</f>
        <v/>
      </c>
      <c r="Q1321" s="141"/>
      <c r="R1321" s="143"/>
      <c r="S1321" s="139" t="str">
        <f t="shared" si="2"/>
        <v>1054520</v>
      </c>
      <c r="T1321" s="141"/>
    </row>
    <row r="1322">
      <c r="A1322" s="137">
        <f>IFERROR(__xludf.DUMMYFUNCTION("""COMPUTED_VALUE"""),45352.61323326389)</f>
        <v>45352.61323</v>
      </c>
      <c r="B1322" s="138" t="str">
        <f>IFERROR(__xludf.DUMMYFUNCTION("""COMPUTED_VALUE"""),"Ashleigh Johnson")</f>
        <v>Ashleigh Johnson</v>
      </c>
      <c r="C1322" s="138">
        <f>IFERROR(__xludf.DUMMYFUNCTION("""COMPUTED_VALUE"""),1016.0)</f>
        <v>1016</v>
      </c>
      <c r="D1322" s="139">
        <f>IFERROR(__xludf.DUMMYFUNCTION("""COMPUTED_VALUE"""),521.0)</f>
        <v>521</v>
      </c>
      <c r="E1322" s="138">
        <f>IFERROR(__xludf.DUMMYFUNCTION("""COMPUTED_VALUE"""),4.0)</f>
        <v>4</v>
      </c>
      <c r="F1322" s="138">
        <f>IFERROR(__xludf.DUMMYFUNCTION("""COMPUTED_VALUE"""),5.0)</f>
        <v>5</v>
      </c>
      <c r="G1322" s="138">
        <f>IFERROR(__xludf.DUMMYFUNCTION("""COMPUTED_VALUE"""),4.0)</f>
        <v>4</v>
      </c>
      <c r="H1322" s="138">
        <f>IFERROR(__xludf.DUMMYFUNCTION("""COMPUTED_VALUE"""),4.0)</f>
        <v>4</v>
      </c>
      <c r="I1322" s="138">
        <f>IFERROR(__xludf.DUMMYFUNCTION("""COMPUTED_VALUE"""),5.0)</f>
        <v>5</v>
      </c>
      <c r="J1322" s="138">
        <f>IFERROR(__xludf.DUMMYFUNCTION("""COMPUTED_VALUE"""),5.0)</f>
        <v>5</v>
      </c>
      <c r="K1322" s="138">
        <f>IFERROR(__xludf.DUMMYFUNCTION("""COMPUTED_VALUE"""),5.0)</f>
        <v>5</v>
      </c>
      <c r="L1322" s="138">
        <v>32.0</v>
      </c>
      <c r="M1322" s="140" t="str">
        <f>VLOOKUP(text(D1322, "#"),'Master Table'!$A:$F, 6, FALSE)</f>
        <v>H-8</v>
      </c>
      <c r="N1322" s="141" t="str">
        <f>IFERROR(__xludf.DUMMYFUNCTION("""COMPUTED_VALUE"""),"I was very impressed by this student. It was clear they had a strong grasp of the concept, including rationale for this research, interpretation of the findings, and important next steps. They showed a genuine curiosity for this topic and a research-minde"&amp;"d approach to why they saw the results. Further, they did an excellent job of communicating these findings in a concise, clear, and engaging way. Very well done.")</f>
        <v>I was very impressed by this student. It was clear they had a strong grasp of the concept, including rationale for this research, interpretation of the findings, and important next steps. They showed a genuine curiosity for this topic and a research-minded approach to why they saw the results. Further, they did an excellent job of communicating these findings in a concise, clear, and engaging way. Very well done.</v>
      </c>
      <c r="O1322" s="142" t="str">
        <f t="shared" si="1"/>
        <v/>
      </c>
      <c r="P1322" s="143" t="str">
        <f>IF(ISNA(VLOOKUP(CONCAT(M1322,C1322), 'Judge Count DO NOT EDIT'!H:H, 1, FALSE)), "ERROR","")</f>
        <v/>
      </c>
      <c r="Q1322" s="141"/>
      <c r="R1322" s="143"/>
      <c r="S1322" s="139" t="str">
        <f t="shared" si="2"/>
        <v>1016521</v>
      </c>
      <c r="T1322" s="141"/>
    </row>
    <row r="1323">
      <c r="A1323" s="137">
        <f>IFERROR(__xludf.DUMMYFUNCTION("""COMPUTED_VALUE"""),45352.619242824076)</f>
        <v>45352.61924</v>
      </c>
      <c r="B1323" s="138" t="str">
        <f>IFERROR(__xludf.DUMMYFUNCTION("""COMPUTED_VALUE"""),"Brendan Daly")</f>
        <v>Brendan Daly</v>
      </c>
      <c r="C1323" s="138">
        <f>IFERROR(__xludf.DUMMYFUNCTION("""COMPUTED_VALUE"""),1220.0)</f>
        <v>1220</v>
      </c>
      <c r="D1323" s="139">
        <f>IFERROR(__xludf.DUMMYFUNCTION("""COMPUTED_VALUE"""),521.0)</f>
        <v>521</v>
      </c>
      <c r="E1323" s="138">
        <f>IFERROR(__xludf.DUMMYFUNCTION("""COMPUTED_VALUE"""),5.0)</f>
        <v>5</v>
      </c>
      <c r="F1323" s="138">
        <f>IFERROR(__xludf.DUMMYFUNCTION("""COMPUTED_VALUE"""),4.0)</f>
        <v>4</v>
      </c>
      <c r="G1323" s="138">
        <f>IFERROR(__xludf.DUMMYFUNCTION("""COMPUTED_VALUE"""),4.0)</f>
        <v>4</v>
      </c>
      <c r="H1323" s="138">
        <f>IFERROR(__xludf.DUMMYFUNCTION("""COMPUTED_VALUE"""),5.0)</f>
        <v>5</v>
      </c>
      <c r="I1323" s="138">
        <f>IFERROR(__xludf.DUMMYFUNCTION("""COMPUTED_VALUE"""),4.0)</f>
        <v>4</v>
      </c>
      <c r="J1323" s="138">
        <f>IFERROR(__xludf.DUMMYFUNCTION("""COMPUTED_VALUE"""),4.0)</f>
        <v>4</v>
      </c>
      <c r="K1323" s="138">
        <f>IFERROR(__xludf.DUMMYFUNCTION("""COMPUTED_VALUE"""),4.0)</f>
        <v>4</v>
      </c>
      <c r="L1323" s="138">
        <v>30.0</v>
      </c>
      <c r="M1323" s="140" t="str">
        <f>VLOOKUP(text(D1323, "#"),'Master Table'!$A:$F, 6, FALSE)</f>
        <v>H-8</v>
      </c>
      <c r="N1323" s="141" t="str">
        <f>IFERROR(__xludf.DUMMYFUNCTION("""COMPUTED_VALUE"""),"excellent methodology, clear presentation and explanation, good understanding of opportunities for further analysis and modification of test for future experiments")</f>
        <v>excellent methodology, clear presentation and explanation, good understanding of opportunities for further analysis and modification of test for future experiments</v>
      </c>
      <c r="O1323" s="142" t="str">
        <f t="shared" si="1"/>
        <v/>
      </c>
      <c r="P1323" s="143" t="str">
        <f>IF(ISNA(VLOOKUP(CONCAT(M1323,C1323), 'Judge Count DO NOT EDIT'!H:H, 1, FALSE)), "ERROR","")</f>
        <v/>
      </c>
      <c r="Q1323" s="141"/>
      <c r="R1323" s="143"/>
      <c r="S1323" s="139" t="str">
        <f t="shared" si="2"/>
        <v>1220521</v>
      </c>
      <c r="T1323" s="141"/>
    </row>
    <row r="1324">
      <c r="A1324" s="137">
        <f>IFERROR(__xludf.DUMMYFUNCTION("""COMPUTED_VALUE"""),45352.63464914352)</f>
        <v>45352.63465</v>
      </c>
      <c r="B1324" s="138" t="str">
        <f>IFERROR(__xludf.DUMMYFUNCTION("""COMPUTED_VALUE"""),"Erin Riley")</f>
        <v>Erin Riley</v>
      </c>
      <c r="C1324" s="138">
        <f>IFERROR(__xludf.DUMMYFUNCTION("""COMPUTED_VALUE"""),1054.0)</f>
        <v>1054</v>
      </c>
      <c r="D1324" s="139">
        <f>IFERROR(__xludf.DUMMYFUNCTION("""COMPUTED_VALUE"""),521.0)</f>
        <v>521</v>
      </c>
      <c r="E1324" s="138">
        <f>IFERROR(__xludf.DUMMYFUNCTION("""COMPUTED_VALUE"""),3.0)</f>
        <v>3</v>
      </c>
      <c r="F1324" s="138">
        <f>IFERROR(__xludf.DUMMYFUNCTION("""COMPUTED_VALUE"""),3.0)</f>
        <v>3</v>
      </c>
      <c r="G1324" s="138">
        <f>IFERROR(__xludf.DUMMYFUNCTION("""COMPUTED_VALUE"""),3.0)</f>
        <v>3</v>
      </c>
      <c r="H1324" s="138">
        <f>IFERROR(__xludf.DUMMYFUNCTION("""COMPUTED_VALUE"""),3.0)</f>
        <v>3</v>
      </c>
      <c r="I1324" s="138">
        <f>IFERROR(__xludf.DUMMYFUNCTION("""COMPUTED_VALUE"""),2.0)</f>
        <v>2</v>
      </c>
      <c r="J1324" s="138">
        <f>IFERROR(__xludf.DUMMYFUNCTION("""COMPUTED_VALUE"""),2.0)</f>
        <v>2</v>
      </c>
      <c r="K1324" s="138">
        <f>IFERROR(__xludf.DUMMYFUNCTION("""COMPUTED_VALUE"""),4.0)</f>
        <v>4</v>
      </c>
      <c r="L1324" s="138">
        <v>20.0</v>
      </c>
      <c r="M1324" s="140" t="str">
        <f>VLOOKUP(text(D1324, "#"),'Master Table'!$A:$F, 6, FALSE)</f>
        <v>H-8</v>
      </c>
      <c r="N1324" s="141"/>
      <c r="O1324" s="142" t="str">
        <f t="shared" si="1"/>
        <v/>
      </c>
      <c r="P1324" s="143" t="str">
        <f>IF(ISNA(VLOOKUP(CONCAT(M1324,C1324), 'Judge Count DO NOT EDIT'!H:H, 1, FALSE)), "ERROR","")</f>
        <v/>
      </c>
      <c r="Q1324" s="141"/>
      <c r="R1324" s="143"/>
      <c r="S1324" s="139" t="str">
        <f t="shared" si="2"/>
        <v>1054521</v>
      </c>
      <c r="T1324" s="141"/>
    </row>
    <row r="1325">
      <c r="A1325" s="137">
        <f>IFERROR(__xludf.DUMMYFUNCTION("""COMPUTED_VALUE"""),45352.55047476852)</f>
        <v>45352.55047</v>
      </c>
      <c r="B1325" s="138" t="str">
        <f>IFERROR(__xludf.DUMMYFUNCTION("""COMPUTED_VALUE"""),"Chaztyn Pangelina")</f>
        <v>Chaztyn Pangelina</v>
      </c>
      <c r="C1325" s="138">
        <f>IFERROR(__xludf.DUMMYFUNCTION("""COMPUTED_VALUE"""),1162.0)</f>
        <v>1162</v>
      </c>
      <c r="D1325" s="139">
        <f>IFERROR(__xludf.DUMMYFUNCTION("""COMPUTED_VALUE"""),522.0)</f>
        <v>522</v>
      </c>
      <c r="E1325" s="138">
        <f>IFERROR(__xludf.DUMMYFUNCTION("""COMPUTED_VALUE"""),5.0)</f>
        <v>5</v>
      </c>
      <c r="F1325" s="138">
        <f>IFERROR(__xludf.DUMMYFUNCTION("""COMPUTED_VALUE"""),5.0)</f>
        <v>5</v>
      </c>
      <c r="G1325" s="138">
        <f>IFERROR(__xludf.DUMMYFUNCTION("""COMPUTED_VALUE"""),5.0)</f>
        <v>5</v>
      </c>
      <c r="H1325" s="138">
        <f>IFERROR(__xludf.DUMMYFUNCTION("""COMPUTED_VALUE"""),5.0)</f>
        <v>5</v>
      </c>
      <c r="I1325" s="138">
        <f>IFERROR(__xludf.DUMMYFUNCTION("""COMPUTED_VALUE"""),5.0)</f>
        <v>5</v>
      </c>
      <c r="J1325" s="138">
        <f>IFERROR(__xludf.DUMMYFUNCTION("""COMPUTED_VALUE"""),5.0)</f>
        <v>5</v>
      </c>
      <c r="K1325" s="138">
        <f>IFERROR(__xludf.DUMMYFUNCTION("""COMPUTED_VALUE"""),5.0)</f>
        <v>5</v>
      </c>
      <c r="L1325" s="138">
        <v>35.0</v>
      </c>
      <c r="M1325" s="140" t="str">
        <f>VLOOKUP(text(D1325, "#"),'Master Table'!$A:$F, 6, FALSE)</f>
        <v>H-9</v>
      </c>
      <c r="N1325" s="141"/>
      <c r="O1325" s="142" t="str">
        <f t="shared" si="1"/>
        <v/>
      </c>
      <c r="P1325" s="143" t="str">
        <f>IF(ISNA(VLOOKUP(CONCAT(M1325,C1325), 'Judge Count DO NOT EDIT'!H:H, 1, FALSE)), "ERROR","")</f>
        <v/>
      </c>
      <c r="Q1325" s="141"/>
      <c r="R1325" s="143"/>
      <c r="S1325" s="139" t="str">
        <f t="shared" si="2"/>
        <v>1162522</v>
      </c>
      <c r="T1325" s="141"/>
    </row>
    <row r="1326">
      <c r="A1326" s="137">
        <f>IFERROR(__xludf.DUMMYFUNCTION("""COMPUTED_VALUE"""),45352.555062604166)</f>
        <v>45352.55506</v>
      </c>
      <c r="B1326" s="138" t="str">
        <f>IFERROR(__xludf.DUMMYFUNCTION("""COMPUTED_VALUE"""),"Carrie House")</f>
        <v>Carrie House</v>
      </c>
      <c r="C1326" s="138">
        <f>IFERROR(__xludf.DUMMYFUNCTION("""COMPUTED_VALUE"""),1137.0)</f>
        <v>1137</v>
      </c>
      <c r="D1326" s="139">
        <f>IFERROR(__xludf.DUMMYFUNCTION("""COMPUTED_VALUE"""),522.0)</f>
        <v>522</v>
      </c>
      <c r="E1326" s="138">
        <f>IFERROR(__xludf.DUMMYFUNCTION("""COMPUTED_VALUE"""),5.0)</f>
        <v>5</v>
      </c>
      <c r="F1326" s="138">
        <f>IFERROR(__xludf.DUMMYFUNCTION("""COMPUTED_VALUE"""),4.0)</f>
        <v>4</v>
      </c>
      <c r="G1326" s="138">
        <f>IFERROR(__xludf.DUMMYFUNCTION("""COMPUTED_VALUE"""),4.0)</f>
        <v>4</v>
      </c>
      <c r="H1326" s="138">
        <f>IFERROR(__xludf.DUMMYFUNCTION("""COMPUTED_VALUE"""),4.0)</f>
        <v>4</v>
      </c>
      <c r="I1326" s="138">
        <f>IFERROR(__xludf.DUMMYFUNCTION("""COMPUTED_VALUE"""),5.0)</f>
        <v>5</v>
      </c>
      <c r="J1326" s="138">
        <f>IFERROR(__xludf.DUMMYFUNCTION("""COMPUTED_VALUE"""),5.0)</f>
        <v>5</v>
      </c>
      <c r="K1326" s="138">
        <f>IFERROR(__xludf.DUMMYFUNCTION("""COMPUTED_VALUE"""),5.0)</f>
        <v>5</v>
      </c>
      <c r="L1326" s="138">
        <v>32.0</v>
      </c>
      <c r="M1326" s="140" t="str">
        <f>VLOOKUP(text(D1326, "#"),'Master Table'!$A:$F, 6, FALSE)</f>
        <v>H-9</v>
      </c>
      <c r="N1326" s="141"/>
      <c r="O1326" s="142" t="str">
        <f t="shared" si="1"/>
        <v/>
      </c>
      <c r="P1326" s="143" t="str">
        <f>IF(ISNA(VLOOKUP(CONCAT(M1326,C1326), 'Judge Count DO NOT EDIT'!H:H, 1, FALSE)), "ERROR","")</f>
        <v/>
      </c>
      <c r="Q1326" s="144"/>
      <c r="R1326" s="143"/>
      <c r="S1326" s="139" t="str">
        <f t="shared" si="2"/>
        <v>1137522</v>
      </c>
      <c r="T1326" s="141"/>
    </row>
    <row r="1327">
      <c r="A1327" s="137">
        <f>IFERROR(__xludf.DUMMYFUNCTION("""COMPUTED_VALUE"""),45352.609550925925)</f>
        <v>45352.60955</v>
      </c>
      <c r="B1327" s="138" t="str">
        <f>IFERROR(__xludf.DUMMYFUNCTION("""COMPUTED_VALUE"""),"Ali Raza")</f>
        <v>Ali Raza</v>
      </c>
      <c r="C1327" s="138">
        <f>IFERROR(__xludf.DUMMYFUNCTION("""COMPUTED_VALUE"""),1187.0)</f>
        <v>1187</v>
      </c>
      <c r="D1327" s="139">
        <f>IFERROR(__xludf.DUMMYFUNCTION("""COMPUTED_VALUE"""),522.0)</f>
        <v>522</v>
      </c>
      <c r="E1327" s="138">
        <f>IFERROR(__xludf.DUMMYFUNCTION("""COMPUTED_VALUE"""),4.0)</f>
        <v>4</v>
      </c>
      <c r="F1327" s="138">
        <f>IFERROR(__xludf.DUMMYFUNCTION("""COMPUTED_VALUE"""),3.0)</f>
        <v>3</v>
      </c>
      <c r="G1327" s="138">
        <f>IFERROR(__xludf.DUMMYFUNCTION("""COMPUTED_VALUE"""),5.0)</f>
        <v>5</v>
      </c>
      <c r="H1327" s="138">
        <f>IFERROR(__xludf.DUMMYFUNCTION("""COMPUTED_VALUE"""),3.0)</f>
        <v>3</v>
      </c>
      <c r="I1327" s="138">
        <f>IFERROR(__xludf.DUMMYFUNCTION("""COMPUTED_VALUE"""),4.0)</f>
        <v>4</v>
      </c>
      <c r="J1327" s="138">
        <f>IFERROR(__xludf.DUMMYFUNCTION("""COMPUTED_VALUE"""),4.0)</f>
        <v>4</v>
      </c>
      <c r="K1327" s="138">
        <f>IFERROR(__xludf.DUMMYFUNCTION("""COMPUTED_VALUE"""),5.0)</f>
        <v>5</v>
      </c>
      <c r="L1327" s="138">
        <v>28.0</v>
      </c>
      <c r="M1327" s="140" t="str">
        <f>VLOOKUP(text(D1327, "#"),'Master Table'!$A:$F, 6, FALSE)</f>
        <v>H-9</v>
      </c>
      <c r="N1327" s="141" t="str">
        <f>IFERROR(__xludf.DUMMYFUNCTION("""COMPUTED_VALUE"""),"Great work in terms of cancer treatment ")</f>
        <v>Great work in terms of cancer treatment </v>
      </c>
      <c r="O1327" s="142" t="str">
        <f t="shared" si="1"/>
        <v/>
      </c>
      <c r="P1327" s="143" t="str">
        <f>IF(ISNA(VLOOKUP(CONCAT(M1327,C1327), 'Judge Count DO NOT EDIT'!H:H, 1, FALSE)), "ERROR","")</f>
        <v/>
      </c>
      <c r="Q1327" s="141"/>
      <c r="R1327" s="143"/>
      <c r="S1327" s="139" t="str">
        <f t="shared" si="2"/>
        <v>1187522</v>
      </c>
      <c r="T1327" s="141"/>
    </row>
    <row r="1328">
      <c r="A1328" s="137">
        <f>IFERROR(__xludf.DUMMYFUNCTION("""COMPUTED_VALUE"""),45352.56354391204)</f>
        <v>45352.56354</v>
      </c>
      <c r="B1328" s="138" t="str">
        <f>IFERROR(__xludf.DUMMYFUNCTION("""COMPUTED_VALUE"""),"Carrie House")</f>
        <v>Carrie House</v>
      </c>
      <c r="C1328" s="138">
        <f>IFERROR(__xludf.DUMMYFUNCTION("""COMPUTED_VALUE"""),1137.0)</f>
        <v>1137</v>
      </c>
      <c r="D1328" s="139">
        <f>IFERROR(__xludf.DUMMYFUNCTION("""COMPUTED_VALUE"""),523.0)</f>
        <v>523</v>
      </c>
      <c r="E1328" s="138">
        <f>IFERROR(__xludf.DUMMYFUNCTION("""COMPUTED_VALUE"""),4.0)</f>
        <v>4</v>
      </c>
      <c r="F1328" s="138">
        <f>IFERROR(__xludf.DUMMYFUNCTION("""COMPUTED_VALUE"""),4.0)</f>
        <v>4</v>
      </c>
      <c r="G1328" s="138">
        <f>IFERROR(__xludf.DUMMYFUNCTION("""COMPUTED_VALUE"""),3.0)</f>
        <v>3</v>
      </c>
      <c r="H1328" s="138">
        <f>IFERROR(__xludf.DUMMYFUNCTION("""COMPUTED_VALUE"""),4.0)</f>
        <v>4</v>
      </c>
      <c r="I1328" s="138">
        <f>IFERROR(__xludf.DUMMYFUNCTION("""COMPUTED_VALUE"""),3.0)</f>
        <v>3</v>
      </c>
      <c r="J1328" s="138">
        <f>IFERROR(__xludf.DUMMYFUNCTION("""COMPUTED_VALUE"""),3.0)</f>
        <v>3</v>
      </c>
      <c r="K1328" s="138">
        <f>IFERROR(__xludf.DUMMYFUNCTION("""COMPUTED_VALUE"""),4.0)</f>
        <v>4</v>
      </c>
      <c r="L1328" s="138">
        <v>25.0</v>
      </c>
      <c r="M1328" s="140" t="str">
        <f>VLOOKUP(text(D1328, "#"),'Master Table'!$A:$F, 6, FALSE)</f>
        <v>H-9</v>
      </c>
      <c r="N1328" s="141"/>
      <c r="O1328" s="142" t="str">
        <f t="shared" si="1"/>
        <v/>
      </c>
      <c r="P1328" s="143" t="str">
        <f>IF(ISNA(VLOOKUP(CONCAT(M1328,C1328), 'Judge Count DO NOT EDIT'!H:H, 1, FALSE)), "ERROR","")</f>
        <v/>
      </c>
      <c r="Q1328" s="141"/>
      <c r="R1328" s="143"/>
      <c r="S1328" s="139" t="str">
        <f t="shared" si="2"/>
        <v>1137523</v>
      </c>
      <c r="T1328" s="141"/>
    </row>
    <row r="1329">
      <c r="A1329" s="137">
        <f>IFERROR(__xludf.DUMMYFUNCTION("""COMPUTED_VALUE"""),45352.57270834491)</f>
        <v>45352.57271</v>
      </c>
      <c r="B1329" s="138" t="str">
        <f>IFERROR(__xludf.DUMMYFUNCTION("""COMPUTED_VALUE"""),"Chaztyn Pangelina")</f>
        <v>Chaztyn Pangelina</v>
      </c>
      <c r="C1329" s="138">
        <f>IFERROR(__xludf.DUMMYFUNCTION("""COMPUTED_VALUE"""),1162.0)</f>
        <v>1162</v>
      </c>
      <c r="D1329" s="139">
        <f>IFERROR(__xludf.DUMMYFUNCTION("""COMPUTED_VALUE"""),523.0)</f>
        <v>523</v>
      </c>
      <c r="E1329" s="138">
        <f>IFERROR(__xludf.DUMMYFUNCTION("""COMPUTED_VALUE"""),5.0)</f>
        <v>5</v>
      </c>
      <c r="F1329" s="138">
        <f>IFERROR(__xludf.DUMMYFUNCTION("""COMPUTED_VALUE"""),5.0)</f>
        <v>5</v>
      </c>
      <c r="G1329" s="138">
        <f>IFERROR(__xludf.DUMMYFUNCTION("""COMPUTED_VALUE"""),5.0)</f>
        <v>5</v>
      </c>
      <c r="H1329" s="138">
        <f>IFERROR(__xludf.DUMMYFUNCTION("""COMPUTED_VALUE"""),5.0)</f>
        <v>5</v>
      </c>
      <c r="I1329" s="138">
        <f>IFERROR(__xludf.DUMMYFUNCTION("""COMPUTED_VALUE"""),5.0)</f>
        <v>5</v>
      </c>
      <c r="J1329" s="138">
        <f>IFERROR(__xludf.DUMMYFUNCTION("""COMPUTED_VALUE"""),5.0)</f>
        <v>5</v>
      </c>
      <c r="K1329" s="138">
        <f>IFERROR(__xludf.DUMMYFUNCTION("""COMPUTED_VALUE"""),5.0)</f>
        <v>5</v>
      </c>
      <c r="L1329" s="138">
        <v>35.0</v>
      </c>
      <c r="M1329" s="140" t="str">
        <f>VLOOKUP(text(D1329, "#"),'Master Table'!$A:$F, 6, FALSE)</f>
        <v>H-9</v>
      </c>
      <c r="N1329" s="141"/>
      <c r="O1329" s="142" t="str">
        <f t="shared" si="1"/>
        <v/>
      </c>
      <c r="P1329" s="143" t="str">
        <f>IF(ISNA(VLOOKUP(CONCAT(M1329,C1329), 'Judge Count DO NOT EDIT'!H:H, 1, FALSE)), "ERROR","")</f>
        <v/>
      </c>
      <c r="Q1329" s="141"/>
      <c r="R1329" s="143"/>
      <c r="S1329" s="139" t="str">
        <f t="shared" si="2"/>
        <v>1162523</v>
      </c>
      <c r="T1329" s="141"/>
    </row>
    <row r="1330">
      <c r="A1330" s="137">
        <f>IFERROR(__xludf.DUMMYFUNCTION("""COMPUTED_VALUE"""),45352.610178877316)</f>
        <v>45352.61018</v>
      </c>
      <c r="B1330" s="138" t="str">
        <f>IFERROR(__xludf.DUMMYFUNCTION("""COMPUTED_VALUE"""),"Ali Raza")</f>
        <v>Ali Raza</v>
      </c>
      <c r="C1330" s="138">
        <f>IFERROR(__xludf.DUMMYFUNCTION("""COMPUTED_VALUE"""),1187.0)</f>
        <v>1187</v>
      </c>
      <c r="D1330" s="139">
        <f>IFERROR(__xludf.DUMMYFUNCTION("""COMPUTED_VALUE"""),523.0)</f>
        <v>523</v>
      </c>
      <c r="E1330" s="138">
        <f>IFERROR(__xludf.DUMMYFUNCTION("""COMPUTED_VALUE"""),4.0)</f>
        <v>4</v>
      </c>
      <c r="F1330" s="138">
        <f>IFERROR(__xludf.DUMMYFUNCTION("""COMPUTED_VALUE"""),4.0)</f>
        <v>4</v>
      </c>
      <c r="G1330" s="138">
        <f>IFERROR(__xludf.DUMMYFUNCTION("""COMPUTED_VALUE"""),3.0)</f>
        <v>3</v>
      </c>
      <c r="H1330" s="138">
        <f>IFERROR(__xludf.DUMMYFUNCTION("""COMPUTED_VALUE"""),2.0)</f>
        <v>2</v>
      </c>
      <c r="I1330" s="138">
        <f>IFERROR(__xludf.DUMMYFUNCTION("""COMPUTED_VALUE"""),3.0)</f>
        <v>3</v>
      </c>
      <c r="J1330" s="138">
        <f>IFERROR(__xludf.DUMMYFUNCTION("""COMPUTED_VALUE"""),2.0)</f>
        <v>2</v>
      </c>
      <c r="K1330" s="138">
        <f>IFERROR(__xludf.DUMMYFUNCTION("""COMPUTED_VALUE"""),2.0)</f>
        <v>2</v>
      </c>
      <c r="L1330" s="138">
        <v>20.0</v>
      </c>
      <c r="M1330" s="140" t="str">
        <f>VLOOKUP(text(D1330, "#"),'Master Table'!$A:$F, 6, FALSE)</f>
        <v>H-9</v>
      </c>
      <c r="N1330" s="141"/>
      <c r="O1330" s="142" t="str">
        <f t="shared" si="1"/>
        <v/>
      </c>
      <c r="P1330" s="143" t="str">
        <f>IF(ISNA(VLOOKUP(CONCAT(M1330,C1330), 'Judge Count DO NOT EDIT'!H:H, 1, FALSE)), "ERROR","")</f>
        <v/>
      </c>
      <c r="Q1330" s="141"/>
      <c r="R1330" s="143"/>
      <c r="S1330" s="139" t="str">
        <f t="shared" si="2"/>
        <v>1187523</v>
      </c>
      <c r="T1330" s="141"/>
    </row>
    <row r="1331">
      <c r="A1331" s="137">
        <f>IFERROR(__xludf.DUMMYFUNCTION("""COMPUTED_VALUE"""),45352.594944745375)</f>
        <v>45352.59494</v>
      </c>
      <c r="B1331" s="138" t="str">
        <f>IFERROR(__xludf.DUMMYFUNCTION("""COMPUTED_VALUE"""),"Carrie House")</f>
        <v>Carrie House</v>
      </c>
      <c r="C1331" s="138">
        <f>IFERROR(__xludf.DUMMYFUNCTION("""COMPUTED_VALUE"""),1137.0)</f>
        <v>1137</v>
      </c>
      <c r="D1331" s="139">
        <f>IFERROR(__xludf.DUMMYFUNCTION("""COMPUTED_VALUE"""),524.0)</f>
        <v>524</v>
      </c>
      <c r="E1331" s="138">
        <f>IFERROR(__xludf.DUMMYFUNCTION("""COMPUTED_VALUE"""),4.0)</f>
        <v>4</v>
      </c>
      <c r="F1331" s="138">
        <f>IFERROR(__xludf.DUMMYFUNCTION("""COMPUTED_VALUE"""),4.0)</f>
        <v>4</v>
      </c>
      <c r="G1331" s="138">
        <f>IFERROR(__xludf.DUMMYFUNCTION("""COMPUTED_VALUE"""),3.0)</f>
        <v>3</v>
      </c>
      <c r="H1331" s="138">
        <f>IFERROR(__xludf.DUMMYFUNCTION("""COMPUTED_VALUE"""),4.0)</f>
        <v>4</v>
      </c>
      <c r="I1331" s="138">
        <f>IFERROR(__xludf.DUMMYFUNCTION("""COMPUTED_VALUE"""),4.0)</f>
        <v>4</v>
      </c>
      <c r="J1331" s="138">
        <f>IFERROR(__xludf.DUMMYFUNCTION("""COMPUTED_VALUE"""),4.0)</f>
        <v>4</v>
      </c>
      <c r="K1331" s="138">
        <f>IFERROR(__xludf.DUMMYFUNCTION("""COMPUTED_VALUE"""),5.0)</f>
        <v>5</v>
      </c>
      <c r="L1331" s="138">
        <v>28.0</v>
      </c>
      <c r="M1331" s="140" t="str">
        <f>VLOOKUP(text(D1331, "#"),'Master Table'!$A:$F, 6, FALSE)</f>
        <v>H-9</v>
      </c>
      <c r="N1331" s="141"/>
      <c r="O1331" s="142" t="str">
        <f t="shared" si="1"/>
        <v/>
      </c>
      <c r="P1331" s="143" t="str">
        <f>IF(ISNA(VLOOKUP(CONCAT(M1331,C1331), 'Judge Count DO NOT EDIT'!H:H, 1, FALSE)), "ERROR","")</f>
        <v/>
      </c>
      <c r="Q1331" s="141"/>
      <c r="R1331" s="143"/>
      <c r="S1331" s="139" t="str">
        <f t="shared" si="2"/>
        <v>1137524</v>
      </c>
      <c r="T1331" s="141"/>
    </row>
    <row r="1332">
      <c r="A1332" s="137">
        <f>IFERROR(__xludf.DUMMYFUNCTION("""COMPUTED_VALUE"""),45352.59604171297)</f>
        <v>45352.59604</v>
      </c>
      <c r="B1332" s="138" t="str">
        <f>IFERROR(__xludf.DUMMYFUNCTION("""COMPUTED_VALUE"""),"Chaztyn Pangelina")</f>
        <v>Chaztyn Pangelina</v>
      </c>
      <c r="C1332" s="138">
        <f>IFERROR(__xludf.DUMMYFUNCTION("""COMPUTED_VALUE"""),1162.0)</f>
        <v>1162</v>
      </c>
      <c r="D1332" s="139">
        <f>IFERROR(__xludf.DUMMYFUNCTION("""COMPUTED_VALUE"""),524.0)</f>
        <v>524</v>
      </c>
      <c r="E1332" s="138">
        <f>IFERROR(__xludf.DUMMYFUNCTION("""COMPUTED_VALUE"""),5.0)</f>
        <v>5</v>
      </c>
      <c r="F1332" s="138">
        <f>IFERROR(__xludf.DUMMYFUNCTION("""COMPUTED_VALUE"""),5.0)</f>
        <v>5</v>
      </c>
      <c r="G1332" s="138">
        <f>IFERROR(__xludf.DUMMYFUNCTION("""COMPUTED_VALUE"""),5.0)</f>
        <v>5</v>
      </c>
      <c r="H1332" s="138">
        <f>IFERROR(__xludf.DUMMYFUNCTION("""COMPUTED_VALUE"""),5.0)</f>
        <v>5</v>
      </c>
      <c r="I1332" s="138">
        <f>IFERROR(__xludf.DUMMYFUNCTION("""COMPUTED_VALUE"""),5.0)</f>
        <v>5</v>
      </c>
      <c r="J1332" s="138">
        <f>IFERROR(__xludf.DUMMYFUNCTION("""COMPUTED_VALUE"""),5.0)</f>
        <v>5</v>
      </c>
      <c r="K1332" s="138">
        <f>IFERROR(__xludf.DUMMYFUNCTION("""COMPUTED_VALUE"""),5.0)</f>
        <v>5</v>
      </c>
      <c r="L1332" s="138">
        <v>35.0</v>
      </c>
      <c r="M1332" s="140" t="str">
        <f>VLOOKUP(text(D1332, "#"),'Master Table'!$A:$F, 6, FALSE)</f>
        <v>H-9</v>
      </c>
      <c r="N1332" s="141"/>
      <c r="O1332" s="142" t="str">
        <f t="shared" si="1"/>
        <v/>
      </c>
      <c r="P1332" s="143" t="str">
        <f>IF(ISNA(VLOOKUP(CONCAT(M1332,C1332), 'Judge Count DO NOT EDIT'!H:H, 1, FALSE)), "ERROR","")</f>
        <v/>
      </c>
      <c r="Q1332" s="141"/>
      <c r="R1332" s="143"/>
      <c r="S1332" s="139" t="str">
        <f t="shared" si="2"/>
        <v>1162524</v>
      </c>
      <c r="T1332" s="141"/>
    </row>
    <row r="1333">
      <c r="A1333" s="137">
        <f>IFERROR(__xludf.DUMMYFUNCTION("""COMPUTED_VALUE"""),45352.61085967593)</f>
        <v>45352.61086</v>
      </c>
      <c r="B1333" s="138" t="str">
        <f>IFERROR(__xludf.DUMMYFUNCTION("""COMPUTED_VALUE"""),"Ali Raza")</f>
        <v>Ali Raza</v>
      </c>
      <c r="C1333" s="138">
        <f>IFERROR(__xludf.DUMMYFUNCTION("""COMPUTED_VALUE"""),1187.0)</f>
        <v>1187</v>
      </c>
      <c r="D1333" s="139">
        <f>IFERROR(__xludf.DUMMYFUNCTION("""COMPUTED_VALUE"""),524.0)</f>
        <v>524</v>
      </c>
      <c r="E1333" s="138">
        <f>IFERROR(__xludf.DUMMYFUNCTION("""COMPUTED_VALUE"""),5.0)</f>
        <v>5</v>
      </c>
      <c r="F1333" s="138">
        <f>IFERROR(__xludf.DUMMYFUNCTION("""COMPUTED_VALUE"""),4.0)</f>
        <v>4</v>
      </c>
      <c r="G1333" s="138">
        <f>IFERROR(__xludf.DUMMYFUNCTION("""COMPUTED_VALUE"""),4.0)</f>
        <v>4</v>
      </c>
      <c r="H1333" s="138">
        <f>IFERROR(__xludf.DUMMYFUNCTION("""COMPUTED_VALUE"""),3.0)</f>
        <v>3</v>
      </c>
      <c r="I1333" s="138">
        <f>IFERROR(__xludf.DUMMYFUNCTION("""COMPUTED_VALUE"""),3.0)</f>
        <v>3</v>
      </c>
      <c r="J1333" s="138">
        <f>IFERROR(__xludf.DUMMYFUNCTION("""COMPUTED_VALUE"""),5.0)</f>
        <v>5</v>
      </c>
      <c r="K1333" s="138">
        <f>IFERROR(__xludf.DUMMYFUNCTION("""COMPUTED_VALUE"""),5.0)</f>
        <v>5</v>
      </c>
      <c r="L1333" s="138">
        <v>29.0</v>
      </c>
      <c r="M1333" s="140" t="str">
        <f>VLOOKUP(text(D1333, "#"),'Master Table'!$A:$F, 6, FALSE)</f>
        <v>H-9</v>
      </c>
      <c r="N1333" s="141"/>
      <c r="O1333" s="142" t="str">
        <f t="shared" si="1"/>
        <v/>
      </c>
      <c r="P1333" s="143" t="str">
        <f>IF(ISNA(VLOOKUP(CONCAT(M1333,C1333), 'Judge Count DO NOT EDIT'!H:H, 1, FALSE)), "ERROR","")</f>
        <v/>
      </c>
      <c r="Q1333" s="141"/>
      <c r="R1333" s="143"/>
      <c r="S1333" s="139" t="str">
        <f t="shared" si="2"/>
        <v>1187524</v>
      </c>
      <c r="T1333" s="141"/>
    </row>
    <row r="1334">
      <c r="A1334" s="137">
        <f>IFERROR(__xludf.DUMMYFUNCTION("""COMPUTED_VALUE"""),45352.586985462964)</f>
        <v>45352.58699</v>
      </c>
      <c r="B1334" s="138" t="str">
        <f>IFERROR(__xludf.DUMMYFUNCTION("""COMPUTED_VALUE"""),"Chaztyn Pangelina")</f>
        <v>Chaztyn Pangelina</v>
      </c>
      <c r="C1334" s="138">
        <f>IFERROR(__xludf.DUMMYFUNCTION("""COMPUTED_VALUE"""),1162.0)</f>
        <v>1162</v>
      </c>
      <c r="D1334" s="139">
        <f>IFERROR(__xludf.DUMMYFUNCTION("""COMPUTED_VALUE"""),525.0)</f>
        <v>525</v>
      </c>
      <c r="E1334" s="138">
        <f>IFERROR(__xludf.DUMMYFUNCTION("""COMPUTED_VALUE"""),5.0)</f>
        <v>5</v>
      </c>
      <c r="F1334" s="138">
        <f>IFERROR(__xludf.DUMMYFUNCTION("""COMPUTED_VALUE"""),5.0)</f>
        <v>5</v>
      </c>
      <c r="G1334" s="138">
        <f>IFERROR(__xludf.DUMMYFUNCTION("""COMPUTED_VALUE"""),5.0)</f>
        <v>5</v>
      </c>
      <c r="H1334" s="138">
        <f>IFERROR(__xludf.DUMMYFUNCTION("""COMPUTED_VALUE"""),5.0)</f>
        <v>5</v>
      </c>
      <c r="I1334" s="138">
        <f>IFERROR(__xludf.DUMMYFUNCTION("""COMPUTED_VALUE"""),5.0)</f>
        <v>5</v>
      </c>
      <c r="J1334" s="138">
        <f>IFERROR(__xludf.DUMMYFUNCTION("""COMPUTED_VALUE"""),5.0)</f>
        <v>5</v>
      </c>
      <c r="K1334" s="138">
        <f>IFERROR(__xludf.DUMMYFUNCTION("""COMPUTED_VALUE"""),5.0)</f>
        <v>5</v>
      </c>
      <c r="L1334" s="138">
        <v>35.0</v>
      </c>
      <c r="M1334" s="140" t="str">
        <f>VLOOKUP(text(D1334, "#"),'Master Table'!$A:$F, 6, FALSE)</f>
        <v>H-9</v>
      </c>
      <c r="N1334" s="141"/>
      <c r="O1334" s="142" t="str">
        <f t="shared" si="1"/>
        <v/>
      </c>
      <c r="P1334" s="143" t="str">
        <f>IF(ISNA(VLOOKUP(CONCAT(M1334,C1334), 'Judge Count DO NOT EDIT'!H:H, 1, FALSE)), "ERROR","")</f>
        <v/>
      </c>
      <c r="Q1334" s="141"/>
      <c r="R1334" s="143"/>
      <c r="S1334" s="139" t="str">
        <f t="shared" si="2"/>
        <v>1162525</v>
      </c>
      <c r="T1334" s="141"/>
    </row>
    <row r="1335">
      <c r="A1335" s="137">
        <f>IFERROR(__xludf.DUMMYFUNCTION("""COMPUTED_VALUE"""),45352.602839837964)</f>
        <v>45352.60284</v>
      </c>
      <c r="B1335" s="138" t="str">
        <f>IFERROR(__xludf.DUMMYFUNCTION("""COMPUTED_VALUE"""),"Carrie House")</f>
        <v>Carrie House</v>
      </c>
      <c r="C1335" s="138">
        <f>IFERROR(__xludf.DUMMYFUNCTION("""COMPUTED_VALUE"""),1137.0)</f>
        <v>1137</v>
      </c>
      <c r="D1335" s="139">
        <f>IFERROR(__xludf.DUMMYFUNCTION("""COMPUTED_VALUE"""),525.0)</f>
        <v>525</v>
      </c>
      <c r="E1335" s="138">
        <f>IFERROR(__xludf.DUMMYFUNCTION("""COMPUTED_VALUE"""),4.0)</f>
        <v>4</v>
      </c>
      <c r="F1335" s="138">
        <f>IFERROR(__xludf.DUMMYFUNCTION("""COMPUTED_VALUE"""),4.0)</f>
        <v>4</v>
      </c>
      <c r="G1335" s="138">
        <f>IFERROR(__xludf.DUMMYFUNCTION("""COMPUTED_VALUE"""),4.0)</f>
        <v>4</v>
      </c>
      <c r="H1335" s="138">
        <f>IFERROR(__xludf.DUMMYFUNCTION("""COMPUTED_VALUE"""),4.0)</f>
        <v>4</v>
      </c>
      <c r="I1335" s="138">
        <f>IFERROR(__xludf.DUMMYFUNCTION("""COMPUTED_VALUE"""),4.0)</f>
        <v>4</v>
      </c>
      <c r="J1335" s="138">
        <f>IFERROR(__xludf.DUMMYFUNCTION("""COMPUTED_VALUE"""),4.0)</f>
        <v>4</v>
      </c>
      <c r="K1335" s="138">
        <f>IFERROR(__xludf.DUMMYFUNCTION("""COMPUTED_VALUE"""),4.0)</f>
        <v>4</v>
      </c>
      <c r="L1335" s="138">
        <v>28.0</v>
      </c>
      <c r="M1335" s="140" t="str">
        <f>VLOOKUP(text(D1335, "#"),'Master Table'!$A:$F, 6, FALSE)</f>
        <v>H-9</v>
      </c>
      <c r="N1335" s="141"/>
      <c r="O1335" s="142" t="str">
        <f t="shared" si="1"/>
        <v/>
      </c>
      <c r="P1335" s="143" t="str">
        <f>IF(ISNA(VLOOKUP(CONCAT(M1335,C1335), 'Judge Count DO NOT EDIT'!H:H, 1, FALSE)), "ERROR","")</f>
        <v/>
      </c>
      <c r="Q1335" s="141"/>
      <c r="R1335" s="143"/>
      <c r="S1335" s="139" t="str">
        <f t="shared" si="2"/>
        <v>1137525</v>
      </c>
      <c r="T1335" s="141"/>
    </row>
    <row r="1336">
      <c r="A1336" s="137">
        <f>IFERROR(__xludf.DUMMYFUNCTION("""COMPUTED_VALUE"""),45352.611984375)</f>
        <v>45352.61198</v>
      </c>
      <c r="B1336" s="138" t="str">
        <f>IFERROR(__xludf.DUMMYFUNCTION("""COMPUTED_VALUE"""),"Ali Raza")</f>
        <v>Ali Raza</v>
      </c>
      <c r="C1336" s="138">
        <f>IFERROR(__xludf.DUMMYFUNCTION("""COMPUTED_VALUE"""),1187.0)</f>
        <v>1187</v>
      </c>
      <c r="D1336" s="139">
        <f>IFERROR(__xludf.DUMMYFUNCTION("""COMPUTED_VALUE"""),525.0)</f>
        <v>525</v>
      </c>
      <c r="E1336" s="138">
        <f>IFERROR(__xludf.DUMMYFUNCTION("""COMPUTED_VALUE"""),5.0)</f>
        <v>5</v>
      </c>
      <c r="F1336" s="138">
        <f>IFERROR(__xludf.DUMMYFUNCTION("""COMPUTED_VALUE"""),4.0)</f>
        <v>4</v>
      </c>
      <c r="G1336" s="138">
        <f>IFERROR(__xludf.DUMMYFUNCTION("""COMPUTED_VALUE"""),3.0)</f>
        <v>3</v>
      </c>
      <c r="H1336" s="138">
        <f>IFERROR(__xludf.DUMMYFUNCTION("""COMPUTED_VALUE"""),3.0)</f>
        <v>3</v>
      </c>
      <c r="I1336" s="138">
        <f>IFERROR(__xludf.DUMMYFUNCTION("""COMPUTED_VALUE"""),3.0)</f>
        <v>3</v>
      </c>
      <c r="J1336" s="138">
        <f>IFERROR(__xludf.DUMMYFUNCTION("""COMPUTED_VALUE"""),2.0)</f>
        <v>2</v>
      </c>
      <c r="K1336" s="138">
        <f>IFERROR(__xludf.DUMMYFUNCTION("""COMPUTED_VALUE"""),3.0)</f>
        <v>3</v>
      </c>
      <c r="L1336" s="138">
        <v>23.0</v>
      </c>
      <c r="M1336" s="140" t="str">
        <f>VLOOKUP(text(D1336, "#"),'Master Table'!$A:$F, 6, FALSE)</f>
        <v>H-9</v>
      </c>
      <c r="N1336" s="141"/>
      <c r="O1336" s="142" t="str">
        <f t="shared" si="1"/>
        <v/>
      </c>
      <c r="P1336" s="143" t="str">
        <f>IF(ISNA(VLOOKUP(CONCAT(M1336,C1336), 'Judge Count DO NOT EDIT'!H:H, 1, FALSE)), "ERROR","")</f>
        <v/>
      </c>
      <c r="Q1336" s="141"/>
      <c r="R1336" s="143"/>
      <c r="S1336" s="139" t="str">
        <f t="shared" si="2"/>
        <v>1187525</v>
      </c>
      <c r="T1336" s="141"/>
    </row>
    <row r="1337">
      <c r="A1337" s="137">
        <f>IFERROR(__xludf.DUMMYFUNCTION("""COMPUTED_VALUE"""),45352.54971460648)</f>
        <v>45352.54971</v>
      </c>
      <c r="B1337" s="138" t="str">
        <f>IFERROR(__xludf.DUMMYFUNCTION("""COMPUTED_VALUE"""),"Carrie house")</f>
        <v>Carrie house</v>
      </c>
      <c r="C1337" s="138">
        <f>IFERROR(__xludf.DUMMYFUNCTION("""COMPUTED_VALUE"""),1137.0)</f>
        <v>1137</v>
      </c>
      <c r="D1337" s="139">
        <f>IFERROR(__xludf.DUMMYFUNCTION("""COMPUTED_VALUE"""),526.0)</f>
        <v>526</v>
      </c>
      <c r="E1337" s="138">
        <f>IFERROR(__xludf.DUMMYFUNCTION("""COMPUTED_VALUE"""),5.0)</f>
        <v>5</v>
      </c>
      <c r="F1337" s="138">
        <f>IFERROR(__xludf.DUMMYFUNCTION("""COMPUTED_VALUE"""),4.0)</f>
        <v>4</v>
      </c>
      <c r="G1337" s="138">
        <f>IFERROR(__xludf.DUMMYFUNCTION("""COMPUTED_VALUE"""),4.0)</f>
        <v>4</v>
      </c>
      <c r="H1337" s="138">
        <f>IFERROR(__xludf.DUMMYFUNCTION("""COMPUTED_VALUE"""),4.0)</f>
        <v>4</v>
      </c>
      <c r="I1337" s="138">
        <f>IFERROR(__xludf.DUMMYFUNCTION("""COMPUTED_VALUE"""),4.0)</f>
        <v>4</v>
      </c>
      <c r="J1337" s="138">
        <f>IFERROR(__xludf.DUMMYFUNCTION("""COMPUTED_VALUE"""),4.0)</f>
        <v>4</v>
      </c>
      <c r="K1337" s="138">
        <f>IFERROR(__xludf.DUMMYFUNCTION("""COMPUTED_VALUE"""),4.0)</f>
        <v>4</v>
      </c>
      <c r="L1337" s="138">
        <v>29.0</v>
      </c>
      <c r="M1337" s="140" t="str">
        <f>VLOOKUP(text(D1337, "#"),'Master Table'!$A:$F, 6, FALSE)</f>
        <v>H-9</v>
      </c>
      <c r="N1337" s="141"/>
      <c r="O1337" s="142" t="str">
        <f t="shared" si="1"/>
        <v/>
      </c>
      <c r="P1337" s="143" t="str">
        <f>IF(ISNA(VLOOKUP(CONCAT(M1337,C1337), 'Judge Count DO NOT EDIT'!H:H, 1, FALSE)), "ERROR","")</f>
        <v/>
      </c>
      <c r="Q1337" s="141"/>
      <c r="R1337" s="143"/>
      <c r="S1337" s="139" t="str">
        <f t="shared" si="2"/>
        <v>1137526</v>
      </c>
      <c r="T1337" s="141"/>
    </row>
    <row r="1338">
      <c r="A1338" s="137">
        <f>IFERROR(__xludf.DUMMYFUNCTION("""COMPUTED_VALUE"""),45352.58737789352)</f>
        <v>45352.58738</v>
      </c>
      <c r="B1338" s="138" t="str">
        <f>IFERROR(__xludf.DUMMYFUNCTION("""COMPUTED_VALUE"""),"Chaztyn Pangelina")</f>
        <v>Chaztyn Pangelina</v>
      </c>
      <c r="C1338" s="138">
        <f>IFERROR(__xludf.DUMMYFUNCTION("""COMPUTED_VALUE"""),1162.0)</f>
        <v>1162</v>
      </c>
      <c r="D1338" s="139">
        <f>IFERROR(__xludf.DUMMYFUNCTION("""COMPUTED_VALUE"""),526.0)</f>
        <v>526</v>
      </c>
      <c r="E1338" s="138">
        <f>IFERROR(__xludf.DUMMYFUNCTION("""COMPUTED_VALUE"""),5.0)</f>
        <v>5</v>
      </c>
      <c r="F1338" s="138">
        <f>IFERROR(__xludf.DUMMYFUNCTION("""COMPUTED_VALUE"""),5.0)</f>
        <v>5</v>
      </c>
      <c r="G1338" s="138">
        <f>IFERROR(__xludf.DUMMYFUNCTION("""COMPUTED_VALUE"""),5.0)</f>
        <v>5</v>
      </c>
      <c r="H1338" s="138">
        <f>IFERROR(__xludf.DUMMYFUNCTION("""COMPUTED_VALUE"""),5.0)</f>
        <v>5</v>
      </c>
      <c r="I1338" s="138">
        <f>IFERROR(__xludf.DUMMYFUNCTION("""COMPUTED_VALUE"""),5.0)</f>
        <v>5</v>
      </c>
      <c r="J1338" s="138">
        <f>IFERROR(__xludf.DUMMYFUNCTION("""COMPUTED_VALUE"""),5.0)</f>
        <v>5</v>
      </c>
      <c r="K1338" s="138">
        <f>IFERROR(__xludf.DUMMYFUNCTION("""COMPUTED_VALUE"""),5.0)</f>
        <v>5</v>
      </c>
      <c r="L1338" s="138">
        <v>35.0</v>
      </c>
      <c r="M1338" s="140" t="str">
        <f>VLOOKUP(text(D1338, "#"),'Master Table'!$A:$F, 6, FALSE)</f>
        <v>H-9</v>
      </c>
      <c r="N1338" s="141"/>
      <c r="O1338" s="142" t="str">
        <f t="shared" si="1"/>
        <v/>
      </c>
      <c r="P1338" s="143" t="str">
        <f>IF(ISNA(VLOOKUP(CONCAT(M1338,C1338), 'Judge Count DO NOT EDIT'!H:H, 1, FALSE)), "ERROR","")</f>
        <v/>
      </c>
      <c r="Q1338" s="141"/>
      <c r="R1338" s="143"/>
      <c r="S1338" s="139" t="str">
        <f t="shared" si="2"/>
        <v>1162526</v>
      </c>
      <c r="T1338" s="141"/>
    </row>
    <row r="1339">
      <c r="A1339" s="137">
        <f>IFERROR(__xludf.DUMMYFUNCTION("""COMPUTED_VALUE"""),45352.606810474535)</f>
        <v>45352.60681</v>
      </c>
      <c r="B1339" s="138" t="str">
        <f>IFERROR(__xludf.DUMMYFUNCTION("""COMPUTED_VALUE"""),"Ali Raza")</f>
        <v>Ali Raza</v>
      </c>
      <c r="C1339" s="138">
        <f>IFERROR(__xludf.DUMMYFUNCTION("""COMPUTED_VALUE"""),1187.0)</f>
        <v>1187</v>
      </c>
      <c r="D1339" s="139">
        <f>IFERROR(__xludf.DUMMYFUNCTION("""COMPUTED_VALUE"""),526.0)</f>
        <v>526</v>
      </c>
      <c r="E1339" s="138">
        <f>IFERROR(__xludf.DUMMYFUNCTION("""COMPUTED_VALUE"""),4.0)</f>
        <v>4</v>
      </c>
      <c r="F1339" s="138">
        <f>IFERROR(__xludf.DUMMYFUNCTION("""COMPUTED_VALUE"""),5.0)</f>
        <v>5</v>
      </c>
      <c r="G1339" s="138">
        <f>IFERROR(__xludf.DUMMYFUNCTION("""COMPUTED_VALUE"""),4.0)</f>
        <v>4</v>
      </c>
      <c r="H1339" s="138">
        <f>IFERROR(__xludf.DUMMYFUNCTION("""COMPUTED_VALUE"""),4.0)</f>
        <v>4</v>
      </c>
      <c r="I1339" s="138">
        <f>IFERROR(__xludf.DUMMYFUNCTION("""COMPUTED_VALUE"""),5.0)</f>
        <v>5</v>
      </c>
      <c r="J1339" s="138">
        <f>IFERROR(__xludf.DUMMYFUNCTION("""COMPUTED_VALUE"""),5.0)</f>
        <v>5</v>
      </c>
      <c r="K1339" s="138">
        <f>IFERROR(__xludf.DUMMYFUNCTION("""COMPUTED_VALUE"""),5.0)</f>
        <v>5</v>
      </c>
      <c r="L1339" s="138">
        <v>32.0</v>
      </c>
      <c r="M1339" s="140" t="str">
        <f>VLOOKUP(text(D1339, "#"),'Master Table'!$A:$F, 6, FALSE)</f>
        <v>H-9</v>
      </c>
      <c r="N1339" s="141" t="str">
        <f>IFERROR(__xludf.DUMMYFUNCTION("""COMPUTED_VALUE"""),"Excellent work")</f>
        <v>Excellent work</v>
      </c>
      <c r="O1339" s="142" t="str">
        <f t="shared" si="1"/>
        <v/>
      </c>
      <c r="P1339" s="143" t="str">
        <f>IF(ISNA(VLOOKUP(CONCAT(M1339,C1339), 'Judge Count DO NOT EDIT'!H:H, 1, FALSE)), "ERROR","")</f>
        <v/>
      </c>
      <c r="Q1339" s="141"/>
      <c r="R1339" s="143"/>
      <c r="S1339" s="139" t="str">
        <f t="shared" si="2"/>
        <v>1187526</v>
      </c>
      <c r="T1339" s="141"/>
    </row>
    <row r="1340">
      <c r="A1340" s="137">
        <f>IFERROR(__xludf.DUMMYFUNCTION("""COMPUTED_VALUE"""),45352.56219474537)</f>
        <v>45352.56219</v>
      </c>
      <c r="B1340" s="138" t="str">
        <f>IFERROR(__xludf.DUMMYFUNCTION("""COMPUTED_VALUE"""),"Chaztyn Pangelina")</f>
        <v>Chaztyn Pangelina</v>
      </c>
      <c r="C1340" s="138">
        <f>IFERROR(__xludf.DUMMYFUNCTION("""COMPUTED_VALUE"""),1162.0)</f>
        <v>1162</v>
      </c>
      <c r="D1340" s="139">
        <f>IFERROR(__xludf.DUMMYFUNCTION("""COMPUTED_VALUE"""),527.0)</f>
        <v>527</v>
      </c>
      <c r="E1340" s="138">
        <f>IFERROR(__xludf.DUMMYFUNCTION("""COMPUTED_VALUE"""),5.0)</f>
        <v>5</v>
      </c>
      <c r="F1340" s="138">
        <f>IFERROR(__xludf.DUMMYFUNCTION("""COMPUTED_VALUE"""),5.0)</f>
        <v>5</v>
      </c>
      <c r="G1340" s="138">
        <f>IFERROR(__xludf.DUMMYFUNCTION("""COMPUTED_VALUE"""),5.0)</f>
        <v>5</v>
      </c>
      <c r="H1340" s="138">
        <f>IFERROR(__xludf.DUMMYFUNCTION("""COMPUTED_VALUE"""),5.0)</f>
        <v>5</v>
      </c>
      <c r="I1340" s="138">
        <f>IFERROR(__xludf.DUMMYFUNCTION("""COMPUTED_VALUE"""),5.0)</f>
        <v>5</v>
      </c>
      <c r="J1340" s="138">
        <f>IFERROR(__xludf.DUMMYFUNCTION("""COMPUTED_VALUE"""),5.0)</f>
        <v>5</v>
      </c>
      <c r="K1340" s="138">
        <f>IFERROR(__xludf.DUMMYFUNCTION("""COMPUTED_VALUE"""),5.0)</f>
        <v>5</v>
      </c>
      <c r="L1340" s="138">
        <v>35.0</v>
      </c>
      <c r="M1340" s="140" t="str">
        <f>VLOOKUP(text(D1340, "#"),'Master Table'!$A:$F, 6, FALSE)</f>
        <v>H-9</v>
      </c>
      <c r="N1340" s="141"/>
      <c r="O1340" s="142" t="str">
        <f t="shared" si="1"/>
        <v/>
      </c>
      <c r="P1340" s="143" t="str">
        <f>IF(ISNA(VLOOKUP(CONCAT(M1340,C1340), 'Judge Count DO NOT EDIT'!H:H, 1, FALSE)), "ERROR","")</f>
        <v/>
      </c>
      <c r="Q1340" s="141"/>
      <c r="R1340" s="143"/>
      <c r="S1340" s="139" t="str">
        <f t="shared" si="2"/>
        <v>1162527</v>
      </c>
      <c r="T1340" s="141"/>
    </row>
    <row r="1341">
      <c r="A1341" s="137">
        <f>IFERROR(__xludf.DUMMYFUNCTION("""COMPUTED_VALUE"""),45352.60816467593)</f>
        <v>45352.60816</v>
      </c>
      <c r="B1341" s="138" t="str">
        <f>IFERROR(__xludf.DUMMYFUNCTION("""COMPUTED_VALUE"""),"Ali Raza")</f>
        <v>Ali Raza</v>
      </c>
      <c r="C1341" s="138">
        <f>IFERROR(__xludf.DUMMYFUNCTION("""COMPUTED_VALUE"""),1187.0)</f>
        <v>1187</v>
      </c>
      <c r="D1341" s="139">
        <f>IFERROR(__xludf.DUMMYFUNCTION("""COMPUTED_VALUE"""),527.0)</f>
        <v>527</v>
      </c>
      <c r="E1341" s="138">
        <f>IFERROR(__xludf.DUMMYFUNCTION("""COMPUTED_VALUE"""),4.0)</f>
        <v>4</v>
      </c>
      <c r="F1341" s="138">
        <f>IFERROR(__xludf.DUMMYFUNCTION("""COMPUTED_VALUE"""),5.0)</f>
        <v>5</v>
      </c>
      <c r="G1341" s="138">
        <f>IFERROR(__xludf.DUMMYFUNCTION("""COMPUTED_VALUE"""),5.0)</f>
        <v>5</v>
      </c>
      <c r="H1341" s="138">
        <f>IFERROR(__xludf.DUMMYFUNCTION("""COMPUTED_VALUE"""),4.0)</f>
        <v>4</v>
      </c>
      <c r="I1341" s="138">
        <f>IFERROR(__xludf.DUMMYFUNCTION("""COMPUTED_VALUE"""),5.0)</f>
        <v>5</v>
      </c>
      <c r="J1341" s="138">
        <f>IFERROR(__xludf.DUMMYFUNCTION("""COMPUTED_VALUE"""),4.0)</f>
        <v>4</v>
      </c>
      <c r="K1341" s="138">
        <f>IFERROR(__xludf.DUMMYFUNCTION("""COMPUTED_VALUE"""),5.0)</f>
        <v>5</v>
      </c>
      <c r="L1341" s="138">
        <v>32.0</v>
      </c>
      <c r="M1341" s="140" t="str">
        <f>VLOOKUP(text(D1341, "#"),'Master Table'!$A:$F, 6, FALSE)</f>
        <v>H-9</v>
      </c>
      <c r="N1341" s="141" t="str">
        <f>IFERROR(__xludf.DUMMYFUNCTION("""COMPUTED_VALUE"""),"Very creative approach ")</f>
        <v>Very creative approach </v>
      </c>
      <c r="O1341" s="142" t="str">
        <f t="shared" si="1"/>
        <v/>
      </c>
      <c r="P1341" s="143" t="str">
        <f>IF(ISNA(VLOOKUP(CONCAT(M1341,C1341), 'Judge Count DO NOT EDIT'!H:H, 1, FALSE)), "ERROR","")</f>
        <v/>
      </c>
      <c r="Q1341" s="141"/>
      <c r="R1341" s="143"/>
      <c r="S1341" s="139" t="str">
        <f t="shared" si="2"/>
        <v>1187527</v>
      </c>
      <c r="T1341" s="141"/>
    </row>
    <row r="1342">
      <c r="A1342" s="137">
        <f>IFERROR(__xludf.DUMMYFUNCTION("""COMPUTED_VALUE"""),45352.6264896412)</f>
        <v>45352.62649</v>
      </c>
      <c r="B1342" s="138" t="str">
        <f>IFERROR(__xludf.DUMMYFUNCTION("""COMPUTED_VALUE"""),"Carrie House")</f>
        <v>Carrie House</v>
      </c>
      <c r="C1342" s="138">
        <f>IFERROR(__xludf.DUMMYFUNCTION("""COMPUTED_VALUE"""),1137.0)</f>
        <v>1137</v>
      </c>
      <c r="D1342" s="139">
        <f>IFERROR(__xludf.DUMMYFUNCTION("""COMPUTED_VALUE"""),527.0)</f>
        <v>527</v>
      </c>
      <c r="E1342" s="138">
        <f>IFERROR(__xludf.DUMMYFUNCTION("""COMPUTED_VALUE"""),4.0)</f>
        <v>4</v>
      </c>
      <c r="F1342" s="138">
        <f>IFERROR(__xludf.DUMMYFUNCTION("""COMPUTED_VALUE"""),4.0)</f>
        <v>4</v>
      </c>
      <c r="G1342" s="138">
        <f>IFERROR(__xludf.DUMMYFUNCTION("""COMPUTED_VALUE"""),4.0)</f>
        <v>4</v>
      </c>
      <c r="H1342" s="138">
        <f>IFERROR(__xludf.DUMMYFUNCTION("""COMPUTED_VALUE"""),4.0)</f>
        <v>4</v>
      </c>
      <c r="I1342" s="138">
        <f>IFERROR(__xludf.DUMMYFUNCTION("""COMPUTED_VALUE"""),5.0)</f>
        <v>5</v>
      </c>
      <c r="J1342" s="138">
        <f>IFERROR(__xludf.DUMMYFUNCTION("""COMPUTED_VALUE"""),5.0)</f>
        <v>5</v>
      </c>
      <c r="K1342" s="138">
        <f>IFERROR(__xludf.DUMMYFUNCTION("""COMPUTED_VALUE"""),5.0)</f>
        <v>5</v>
      </c>
      <c r="L1342" s="138">
        <v>31.0</v>
      </c>
      <c r="M1342" s="140" t="str">
        <f>VLOOKUP(text(D1342, "#"),'Master Table'!$A:$F, 6, FALSE)</f>
        <v>H-9</v>
      </c>
      <c r="N1342" s="141"/>
      <c r="O1342" s="142" t="str">
        <f t="shared" si="1"/>
        <v/>
      </c>
      <c r="P1342" s="143" t="str">
        <f>IF(ISNA(VLOOKUP(CONCAT(M1342,C1342), 'Judge Count DO NOT EDIT'!H:H, 1, FALSE)), "ERROR","")</f>
        <v/>
      </c>
      <c r="Q1342" s="141"/>
      <c r="R1342" s="143"/>
      <c r="S1342" s="139" t="str">
        <f t="shared" si="2"/>
        <v>1137527</v>
      </c>
      <c r="T1342" s="141"/>
    </row>
    <row r="1343">
      <c r="A1343" s="137">
        <f>IFERROR(__xludf.DUMMYFUNCTION("""COMPUTED_VALUE"""),45352.60327337963)</f>
        <v>45352.60327</v>
      </c>
      <c r="B1343" s="138" t="str">
        <f>IFERROR(__xludf.DUMMYFUNCTION("""COMPUTED_VALUE"""),"Chaztyn Pangelina")</f>
        <v>Chaztyn Pangelina</v>
      </c>
      <c r="C1343" s="138">
        <f>IFERROR(__xludf.DUMMYFUNCTION("""COMPUTED_VALUE"""),1162.0)</f>
        <v>1162</v>
      </c>
      <c r="D1343" s="139">
        <f>IFERROR(__xludf.DUMMYFUNCTION("""COMPUTED_VALUE"""),528.0)</f>
        <v>528</v>
      </c>
      <c r="E1343" s="138">
        <f>IFERROR(__xludf.DUMMYFUNCTION("""COMPUTED_VALUE"""),5.0)</f>
        <v>5</v>
      </c>
      <c r="F1343" s="138">
        <f>IFERROR(__xludf.DUMMYFUNCTION("""COMPUTED_VALUE"""),5.0)</f>
        <v>5</v>
      </c>
      <c r="G1343" s="138">
        <f>IFERROR(__xludf.DUMMYFUNCTION("""COMPUTED_VALUE"""),5.0)</f>
        <v>5</v>
      </c>
      <c r="H1343" s="138">
        <f>IFERROR(__xludf.DUMMYFUNCTION("""COMPUTED_VALUE"""),5.0)</f>
        <v>5</v>
      </c>
      <c r="I1343" s="138">
        <f>IFERROR(__xludf.DUMMYFUNCTION("""COMPUTED_VALUE"""),5.0)</f>
        <v>5</v>
      </c>
      <c r="J1343" s="138">
        <f>IFERROR(__xludf.DUMMYFUNCTION("""COMPUTED_VALUE"""),5.0)</f>
        <v>5</v>
      </c>
      <c r="K1343" s="138">
        <f>IFERROR(__xludf.DUMMYFUNCTION("""COMPUTED_VALUE"""),5.0)</f>
        <v>5</v>
      </c>
      <c r="L1343" s="138">
        <v>35.0</v>
      </c>
      <c r="M1343" s="140" t="str">
        <f>VLOOKUP(text(D1343, "#"),'Master Table'!$A:$F, 6, FALSE)</f>
        <v>H-9</v>
      </c>
      <c r="N1343" s="141"/>
      <c r="O1343" s="142" t="str">
        <f t="shared" si="1"/>
        <v/>
      </c>
      <c r="P1343" s="143" t="str">
        <f>IF(ISNA(VLOOKUP(CONCAT(M1343,C1343), 'Judge Count DO NOT EDIT'!H:H, 1, FALSE)), "ERROR","")</f>
        <v/>
      </c>
      <c r="Q1343" s="141"/>
      <c r="R1343" s="143"/>
      <c r="S1343" s="139" t="str">
        <f t="shared" si="2"/>
        <v>1162528</v>
      </c>
      <c r="T1343" s="141"/>
    </row>
    <row r="1344">
      <c r="A1344" s="137">
        <f>IFERROR(__xludf.DUMMYFUNCTION("""COMPUTED_VALUE"""),45352.61273637731)</f>
        <v>45352.61274</v>
      </c>
      <c r="B1344" s="138" t="str">
        <f>IFERROR(__xludf.DUMMYFUNCTION("""COMPUTED_VALUE"""),"Ali Raza")</f>
        <v>Ali Raza</v>
      </c>
      <c r="C1344" s="138">
        <f>IFERROR(__xludf.DUMMYFUNCTION("""COMPUTED_VALUE"""),1187.0)</f>
        <v>1187</v>
      </c>
      <c r="D1344" s="139">
        <f>IFERROR(__xludf.DUMMYFUNCTION("""COMPUTED_VALUE"""),528.0)</f>
        <v>528</v>
      </c>
      <c r="E1344" s="138">
        <f>IFERROR(__xludf.DUMMYFUNCTION("""COMPUTED_VALUE"""),3.0)</f>
        <v>3</v>
      </c>
      <c r="F1344" s="138">
        <f>IFERROR(__xludf.DUMMYFUNCTION("""COMPUTED_VALUE"""),3.0)</f>
        <v>3</v>
      </c>
      <c r="G1344" s="138">
        <f>IFERROR(__xludf.DUMMYFUNCTION("""COMPUTED_VALUE"""),2.0)</f>
        <v>2</v>
      </c>
      <c r="H1344" s="138">
        <f>IFERROR(__xludf.DUMMYFUNCTION("""COMPUTED_VALUE"""),3.0)</f>
        <v>3</v>
      </c>
      <c r="I1344" s="138">
        <f>IFERROR(__xludf.DUMMYFUNCTION("""COMPUTED_VALUE"""),4.0)</f>
        <v>4</v>
      </c>
      <c r="J1344" s="138">
        <f>IFERROR(__xludf.DUMMYFUNCTION("""COMPUTED_VALUE"""),3.0)</f>
        <v>3</v>
      </c>
      <c r="K1344" s="138">
        <f>IFERROR(__xludf.DUMMYFUNCTION("""COMPUTED_VALUE"""),4.0)</f>
        <v>4</v>
      </c>
      <c r="L1344" s="138">
        <v>22.0</v>
      </c>
      <c r="M1344" s="140" t="str">
        <f>VLOOKUP(text(D1344, "#"),'Master Table'!$A:$F, 6, FALSE)</f>
        <v>H-9</v>
      </c>
      <c r="N1344" s="141"/>
      <c r="O1344" s="142" t="str">
        <f t="shared" si="1"/>
        <v/>
      </c>
      <c r="P1344" s="143" t="str">
        <f>IF(ISNA(VLOOKUP(CONCAT(M1344,C1344), 'Judge Count DO NOT EDIT'!H:H, 1, FALSE)), "ERROR","")</f>
        <v/>
      </c>
      <c r="Q1344" s="141"/>
      <c r="R1344" s="143"/>
      <c r="S1344" s="139" t="str">
        <f t="shared" si="2"/>
        <v>1187528</v>
      </c>
      <c r="T1344" s="141"/>
    </row>
    <row r="1345">
      <c r="A1345" s="137">
        <f>IFERROR(__xludf.DUMMYFUNCTION("""COMPUTED_VALUE"""),45352.62576810185)</f>
        <v>45352.62577</v>
      </c>
      <c r="B1345" s="138" t="str">
        <f>IFERROR(__xludf.DUMMYFUNCTION("""COMPUTED_VALUE"""),"Carrie House")</f>
        <v>Carrie House</v>
      </c>
      <c r="C1345" s="138">
        <f>IFERROR(__xludf.DUMMYFUNCTION("""COMPUTED_VALUE"""),1137.0)</f>
        <v>1137</v>
      </c>
      <c r="D1345" s="139">
        <f>IFERROR(__xludf.DUMMYFUNCTION("""COMPUTED_VALUE"""),528.0)</f>
        <v>528</v>
      </c>
      <c r="E1345" s="138">
        <f>IFERROR(__xludf.DUMMYFUNCTION("""COMPUTED_VALUE"""),4.0)</f>
        <v>4</v>
      </c>
      <c r="F1345" s="138">
        <f>IFERROR(__xludf.DUMMYFUNCTION("""COMPUTED_VALUE"""),4.0)</f>
        <v>4</v>
      </c>
      <c r="G1345" s="138">
        <f>IFERROR(__xludf.DUMMYFUNCTION("""COMPUTED_VALUE"""),4.0)</f>
        <v>4</v>
      </c>
      <c r="H1345" s="138">
        <f>IFERROR(__xludf.DUMMYFUNCTION("""COMPUTED_VALUE"""),4.0)</f>
        <v>4</v>
      </c>
      <c r="I1345" s="138">
        <f>IFERROR(__xludf.DUMMYFUNCTION("""COMPUTED_VALUE"""),5.0)</f>
        <v>5</v>
      </c>
      <c r="J1345" s="138">
        <f>IFERROR(__xludf.DUMMYFUNCTION("""COMPUTED_VALUE"""),4.0)</f>
        <v>4</v>
      </c>
      <c r="K1345" s="138">
        <f>IFERROR(__xludf.DUMMYFUNCTION("""COMPUTED_VALUE"""),5.0)</f>
        <v>5</v>
      </c>
      <c r="L1345" s="138">
        <v>30.0</v>
      </c>
      <c r="M1345" s="140" t="str">
        <f>VLOOKUP(text(D1345, "#"),'Master Table'!$A:$F, 6, FALSE)</f>
        <v>H-9</v>
      </c>
      <c r="N1345" s="141"/>
      <c r="O1345" s="142" t="str">
        <f t="shared" si="1"/>
        <v/>
      </c>
      <c r="P1345" s="143" t="str">
        <f>IF(ISNA(VLOOKUP(CONCAT(M1345,C1345), 'Judge Count DO NOT EDIT'!H:H, 1, FALSE)), "ERROR","")</f>
        <v/>
      </c>
      <c r="Q1345" s="141"/>
      <c r="R1345" s="143"/>
      <c r="S1345" s="139" t="str">
        <f t="shared" si="2"/>
        <v>1137528</v>
      </c>
      <c r="T1345" s="141"/>
    </row>
    <row r="1346">
      <c r="A1346" s="137">
        <f>IFERROR(__xludf.DUMMYFUNCTION("""COMPUTED_VALUE"""),45352.57591047454)</f>
        <v>45352.57591</v>
      </c>
      <c r="B1346" s="138" t="str">
        <f>IFERROR(__xludf.DUMMYFUNCTION("""COMPUTED_VALUE"""),"Margherita Capriotti")</f>
        <v>Margherita Capriotti</v>
      </c>
      <c r="C1346" s="138">
        <f>IFERROR(__xludf.DUMMYFUNCTION("""COMPUTED_VALUE"""),1073.0)</f>
        <v>1073</v>
      </c>
      <c r="D1346" s="139">
        <f>IFERROR(__xludf.DUMMYFUNCTION("""COMPUTED_VALUE"""),529.0)</f>
        <v>529</v>
      </c>
      <c r="E1346" s="138">
        <f>IFERROR(__xludf.DUMMYFUNCTION("""COMPUTED_VALUE"""),3.0)</f>
        <v>3</v>
      </c>
      <c r="F1346" s="138">
        <f>IFERROR(__xludf.DUMMYFUNCTION("""COMPUTED_VALUE"""),4.0)</f>
        <v>4</v>
      </c>
      <c r="G1346" s="138">
        <f>IFERROR(__xludf.DUMMYFUNCTION("""COMPUTED_VALUE"""),5.0)</f>
        <v>5</v>
      </c>
      <c r="H1346" s="138">
        <f>IFERROR(__xludf.DUMMYFUNCTION("""COMPUTED_VALUE"""),3.0)</f>
        <v>3</v>
      </c>
      <c r="I1346" s="138">
        <f>IFERROR(__xludf.DUMMYFUNCTION("""COMPUTED_VALUE"""),4.0)</f>
        <v>4</v>
      </c>
      <c r="J1346" s="138">
        <f>IFERROR(__xludf.DUMMYFUNCTION("""COMPUTED_VALUE"""),4.0)</f>
        <v>4</v>
      </c>
      <c r="K1346" s="138">
        <f>IFERROR(__xludf.DUMMYFUNCTION("""COMPUTED_VALUE"""),5.0)</f>
        <v>5</v>
      </c>
      <c r="L1346" s="138">
        <v>28.0</v>
      </c>
      <c r="M1346" s="140" t="str">
        <f>VLOOKUP(text(D1346, "#"),'Master Table'!$A:$F, 6, FALSE)</f>
        <v>H-10</v>
      </c>
      <c r="N1346" s="141" t="str">
        <f>IFERROR(__xludf.DUMMYFUNCTION("""COMPUTED_VALUE"""),"Interesting and relevant work! Great interaction with audience and explanations. Suggestions could be on the organization of the content of the poster.")</f>
        <v>Interesting and relevant work! Great interaction with audience and explanations. Suggestions could be on the organization of the content of the poster.</v>
      </c>
      <c r="O1346" s="142" t="str">
        <f t="shared" si="1"/>
        <v/>
      </c>
      <c r="P1346" s="143" t="str">
        <f>IF(ISNA(VLOOKUP(CONCAT(M1346,C1346), 'Judge Count DO NOT EDIT'!H:H, 1, FALSE)), "ERROR","")</f>
        <v/>
      </c>
      <c r="Q1346" s="141"/>
      <c r="R1346" s="143"/>
      <c r="S1346" s="139" t="str">
        <f t="shared" si="2"/>
        <v>1073529</v>
      </c>
      <c r="T1346" s="141"/>
    </row>
    <row r="1347">
      <c r="A1347" s="137">
        <f>IFERROR(__xludf.DUMMYFUNCTION("""COMPUTED_VALUE"""),45352.57917855324)</f>
        <v>45352.57918</v>
      </c>
      <c r="B1347" s="138" t="str">
        <f>IFERROR(__xludf.DUMMYFUNCTION("""COMPUTED_VALUE"""),"Roger whitney")</f>
        <v>Roger whitney</v>
      </c>
      <c r="C1347" s="138">
        <f>IFERROR(__xludf.DUMMYFUNCTION("""COMPUTED_VALUE"""),1091.0)</f>
        <v>1091</v>
      </c>
      <c r="D1347" s="139">
        <f>IFERROR(__xludf.DUMMYFUNCTION("""COMPUTED_VALUE"""),529.0)</f>
        <v>529</v>
      </c>
      <c r="E1347" s="138">
        <f>IFERROR(__xludf.DUMMYFUNCTION("""COMPUTED_VALUE"""),4.0)</f>
        <v>4</v>
      </c>
      <c r="F1347" s="138">
        <f>IFERROR(__xludf.DUMMYFUNCTION("""COMPUTED_VALUE"""),4.0)</f>
        <v>4</v>
      </c>
      <c r="G1347" s="138">
        <f>IFERROR(__xludf.DUMMYFUNCTION("""COMPUTED_VALUE"""),4.0)</f>
        <v>4</v>
      </c>
      <c r="H1347" s="138">
        <f>IFERROR(__xludf.DUMMYFUNCTION("""COMPUTED_VALUE"""),3.0)</f>
        <v>3</v>
      </c>
      <c r="I1347" s="138">
        <f>IFERROR(__xludf.DUMMYFUNCTION("""COMPUTED_VALUE"""),4.0)</f>
        <v>4</v>
      </c>
      <c r="J1347" s="138">
        <f>IFERROR(__xludf.DUMMYFUNCTION("""COMPUTED_VALUE"""),4.0)</f>
        <v>4</v>
      </c>
      <c r="K1347" s="138">
        <f>IFERROR(__xludf.DUMMYFUNCTION("""COMPUTED_VALUE"""),4.0)</f>
        <v>4</v>
      </c>
      <c r="L1347" s="138">
        <v>27.0</v>
      </c>
      <c r="M1347" s="140" t="str">
        <f>VLOOKUP(text(D1347, "#"),'Master Table'!$A:$F, 6, FALSE)</f>
        <v>H-10</v>
      </c>
      <c r="N1347" s="141"/>
      <c r="O1347" s="142" t="str">
        <f t="shared" si="1"/>
        <v/>
      </c>
      <c r="P1347" s="143" t="str">
        <f>IF(ISNA(VLOOKUP(CONCAT(M1347,C1347), 'Judge Count DO NOT EDIT'!H:H, 1, FALSE)), "ERROR","")</f>
        <v/>
      </c>
      <c r="Q1347" s="141"/>
      <c r="R1347" s="143"/>
      <c r="S1347" s="139" t="str">
        <f t="shared" si="2"/>
        <v>1091529</v>
      </c>
      <c r="T1347" s="141"/>
    </row>
    <row r="1348">
      <c r="A1348" s="137">
        <f>IFERROR(__xludf.DUMMYFUNCTION("""COMPUTED_VALUE"""),45352.896838506946)</f>
        <v>45352.89684</v>
      </c>
      <c r="B1348" s="138" t="str">
        <f>IFERROR(__xludf.DUMMYFUNCTION("""COMPUTED_VALUE"""),"Reza Sabzehgar")</f>
        <v>Reza Sabzehgar</v>
      </c>
      <c r="C1348" s="138">
        <f>IFERROR(__xludf.DUMMYFUNCTION("""COMPUTED_VALUE"""),1099.0)</f>
        <v>1099</v>
      </c>
      <c r="D1348" s="139">
        <f>IFERROR(__xludf.DUMMYFUNCTION("""COMPUTED_VALUE"""),529.0)</f>
        <v>529</v>
      </c>
      <c r="E1348" s="138">
        <f>IFERROR(__xludf.DUMMYFUNCTION("""COMPUTED_VALUE"""),2.0)</f>
        <v>2</v>
      </c>
      <c r="F1348" s="138">
        <f>IFERROR(__xludf.DUMMYFUNCTION("""COMPUTED_VALUE"""),3.0)</f>
        <v>3</v>
      </c>
      <c r="G1348" s="138">
        <f>IFERROR(__xludf.DUMMYFUNCTION("""COMPUTED_VALUE"""),3.0)</f>
        <v>3</v>
      </c>
      <c r="H1348" s="138">
        <f>IFERROR(__xludf.DUMMYFUNCTION("""COMPUTED_VALUE"""),3.0)</f>
        <v>3</v>
      </c>
      <c r="I1348" s="138">
        <f>IFERROR(__xludf.DUMMYFUNCTION("""COMPUTED_VALUE"""),4.0)</f>
        <v>4</v>
      </c>
      <c r="J1348" s="138">
        <f>IFERROR(__xludf.DUMMYFUNCTION("""COMPUTED_VALUE"""),3.0)</f>
        <v>3</v>
      </c>
      <c r="K1348" s="138">
        <f>IFERROR(__xludf.DUMMYFUNCTION("""COMPUTED_VALUE"""),3.0)</f>
        <v>3</v>
      </c>
      <c r="L1348" s="138">
        <v>21.0</v>
      </c>
      <c r="M1348" s="140" t="str">
        <f>VLOOKUP(text(D1348, "#"),'Master Table'!$A:$F, 6, FALSE)</f>
        <v>H-10</v>
      </c>
      <c r="N1348" s="141" t="str">
        <f>IFERROR(__xludf.DUMMYFUNCTION("""COMPUTED_VALUE"""),"Poster organization was good but wordy. Methodology was accepted but did not highlight the significance of the proposed method.")</f>
        <v>Poster organization was good but wordy. Methodology was accepted but did not highlight the significance of the proposed method.</v>
      </c>
      <c r="O1348" s="142" t="str">
        <f t="shared" si="1"/>
        <v/>
      </c>
      <c r="P1348" s="143" t="str">
        <f>IF(ISNA(VLOOKUP(CONCAT(M1348,C1348), 'Judge Count DO NOT EDIT'!H:H, 1, FALSE)), "ERROR","")</f>
        <v/>
      </c>
      <c r="Q1348" s="141"/>
      <c r="R1348" s="143"/>
      <c r="S1348" s="139" t="str">
        <f t="shared" si="2"/>
        <v>1099529</v>
      </c>
      <c r="T1348" s="141"/>
    </row>
    <row r="1349">
      <c r="A1349" s="137">
        <f>IFERROR(__xludf.DUMMYFUNCTION("""COMPUTED_VALUE"""),45352.555007372684)</f>
        <v>45352.55501</v>
      </c>
      <c r="B1349" s="138" t="str">
        <f>IFERROR(__xludf.DUMMYFUNCTION("""COMPUTED_VALUE"""),"Roger whitney")</f>
        <v>Roger whitney</v>
      </c>
      <c r="C1349" s="138">
        <f>IFERROR(__xludf.DUMMYFUNCTION("""COMPUTED_VALUE"""),1091.0)</f>
        <v>1091</v>
      </c>
      <c r="D1349" s="139">
        <f>IFERROR(__xludf.DUMMYFUNCTION("""COMPUTED_VALUE"""),530.0)</f>
        <v>530</v>
      </c>
      <c r="E1349" s="138">
        <f>IFERROR(__xludf.DUMMYFUNCTION("""COMPUTED_VALUE"""),4.0)</f>
        <v>4</v>
      </c>
      <c r="F1349" s="138">
        <f>IFERROR(__xludf.DUMMYFUNCTION("""COMPUTED_VALUE"""),4.0)</f>
        <v>4</v>
      </c>
      <c r="G1349" s="138">
        <f>IFERROR(__xludf.DUMMYFUNCTION("""COMPUTED_VALUE"""),4.0)</f>
        <v>4</v>
      </c>
      <c r="H1349" s="138">
        <f>IFERROR(__xludf.DUMMYFUNCTION("""COMPUTED_VALUE"""),4.0)</f>
        <v>4</v>
      </c>
      <c r="I1349" s="138">
        <f>IFERROR(__xludf.DUMMYFUNCTION("""COMPUTED_VALUE"""),4.0)</f>
        <v>4</v>
      </c>
      <c r="J1349" s="138">
        <f>IFERROR(__xludf.DUMMYFUNCTION("""COMPUTED_VALUE"""),4.0)</f>
        <v>4</v>
      </c>
      <c r="K1349" s="138">
        <f>IFERROR(__xludf.DUMMYFUNCTION("""COMPUTED_VALUE"""),4.0)</f>
        <v>4</v>
      </c>
      <c r="L1349" s="138">
        <v>28.0</v>
      </c>
      <c r="M1349" s="140" t="str">
        <f>VLOOKUP(text(D1349, "#"),'Master Table'!$A:$F, 6, FALSE)</f>
        <v>H-10</v>
      </c>
      <c r="N1349" s="141"/>
      <c r="O1349" s="142" t="str">
        <f t="shared" si="1"/>
        <v/>
      </c>
      <c r="P1349" s="143" t="str">
        <f>IF(ISNA(VLOOKUP(CONCAT(M1349,C1349), 'Judge Count DO NOT EDIT'!H:H, 1, FALSE)), "ERROR","")</f>
        <v/>
      </c>
      <c r="Q1349" s="144"/>
      <c r="R1349" s="143"/>
      <c r="S1349" s="139" t="str">
        <f t="shared" si="2"/>
        <v>1091530</v>
      </c>
      <c r="T1349" s="141"/>
    </row>
    <row r="1350">
      <c r="A1350" s="137">
        <f>IFERROR(__xludf.DUMMYFUNCTION("""COMPUTED_VALUE"""),45352.58325246528)</f>
        <v>45352.58325</v>
      </c>
      <c r="B1350" s="138" t="str">
        <f>IFERROR(__xludf.DUMMYFUNCTION("""COMPUTED_VALUE"""),"Margherita Capriotti")</f>
        <v>Margherita Capriotti</v>
      </c>
      <c r="C1350" s="138">
        <f>IFERROR(__xludf.DUMMYFUNCTION("""COMPUTED_VALUE"""),1073.0)</f>
        <v>1073</v>
      </c>
      <c r="D1350" s="139">
        <f>IFERROR(__xludf.DUMMYFUNCTION("""COMPUTED_VALUE"""),530.0)</f>
        <v>530</v>
      </c>
      <c r="E1350" s="138">
        <f>IFERROR(__xludf.DUMMYFUNCTION("""COMPUTED_VALUE"""),4.0)</f>
        <v>4</v>
      </c>
      <c r="F1350" s="138">
        <f>IFERROR(__xludf.DUMMYFUNCTION("""COMPUTED_VALUE"""),5.0)</f>
        <v>5</v>
      </c>
      <c r="G1350" s="138">
        <f>IFERROR(__xludf.DUMMYFUNCTION("""COMPUTED_VALUE"""),4.0)</f>
        <v>4</v>
      </c>
      <c r="H1350" s="138">
        <f>IFERROR(__xludf.DUMMYFUNCTION("""COMPUTED_VALUE"""),5.0)</f>
        <v>5</v>
      </c>
      <c r="I1350" s="138">
        <f>IFERROR(__xludf.DUMMYFUNCTION("""COMPUTED_VALUE"""),4.0)</f>
        <v>4</v>
      </c>
      <c r="J1350" s="138">
        <f>IFERROR(__xludf.DUMMYFUNCTION("""COMPUTED_VALUE"""),3.0)</f>
        <v>3</v>
      </c>
      <c r="K1350" s="138">
        <f>IFERROR(__xludf.DUMMYFUNCTION("""COMPUTED_VALUE"""),4.0)</f>
        <v>4</v>
      </c>
      <c r="L1350" s="138">
        <v>29.0</v>
      </c>
      <c r="M1350" s="140" t="str">
        <f>VLOOKUP(text(D1350, "#"),'Master Table'!$A:$F, 6, FALSE)</f>
        <v>H-10</v>
      </c>
      <c r="N1350" s="141" t="str">
        <f>IFERROR(__xludf.DUMMYFUNCTION("""COMPUTED_VALUE"""),"Very relevant work!  A suggestion could be to have less words/long paragraphs and more key words or plots/tables.")</f>
        <v>Very relevant work!  A suggestion could be to have less words/long paragraphs and more key words or plots/tables.</v>
      </c>
      <c r="O1350" s="142" t="str">
        <f t="shared" si="1"/>
        <v/>
      </c>
      <c r="P1350" s="143" t="str">
        <f>IF(ISNA(VLOOKUP(CONCAT(M1350,C1350), 'Judge Count DO NOT EDIT'!H:H, 1, FALSE)), "ERROR","")</f>
        <v/>
      </c>
      <c r="Q1350" s="141"/>
      <c r="R1350" s="143"/>
      <c r="S1350" s="139" t="str">
        <f t="shared" si="2"/>
        <v>1073530</v>
      </c>
      <c r="T1350" s="141"/>
    </row>
    <row r="1351">
      <c r="A1351" s="137">
        <f>IFERROR(__xludf.DUMMYFUNCTION("""COMPUTED_VALUE"""),45353.694845289356)</f>
        <v>45353.69485</v>
      </c>
      <c r="B1351" s="138" t="str">
        <f>IFERROR(__xludf.DUMMYFUNCTION("""COMPUTED_VALUE"""),"Reza Sabzehgar")</f>
        <v>Reza Sabzehgar</v>
      </c>
      <c r="C1351" s="138">
        <f>IFERROR(__xludf.DUMMYFUNCTION("""COMPUTED_VALUE"""),1099.0)</f>
        <v>1099</v>
      </c>
      <c r="D1351" s="139">
        <f>IFERROR(__xludf.DUMMYFUNCTION("""COMPUTED_VALUE"""),530.0)</f>
        <v>530</v>
      </c>
      <c r="E1351" s="138">
        <f>IFERROR(__xludf.DUMMYFUNCTION("""COMPUTED_VALUE"""),4.0)</f>
        <v>4</v>
      </c>
      <c r="F1351" s="138">
        <f>IFERROR(__xludf.DUMMYFUNCTION("""COMPUTED_VALUE"""),3.0)</f>
        <v>3</v>
      </c>
      <c r="G1351" s="138">
        <f>IFERROR(__xludf.DUMMYFUNCTION("""COMPUTED_VALUE"""),3.0)</f>
        <v>3</v>
      </c>
      <c r="H1351" s="138">
        <f>IFERROR(__xludf.DUMMYFUNCTION("""COMPUTED_VALUE"""),3.0)</f>
        <v>3</v>
      </c>
      <c r="I1351" s="138">
        <f>IFERROR(__xludf.DUMMYFUNCTION("""COMPUTED_VALUE"""),4.0)</f>
        <v>4</v>
      </c>
      <c r="J1351" s="138">
        <f>IFERROR(__xludf.DUMMYFUNCTION("""COMPUTED_VALUE"""),4.0)</f>
        <v>4</v>
      </c>
      <c r="K1351" s="138">
        <f>IFERROR(__xludf.DUMMYFUNCTION("""COMPUTED_VALUE"""),5.0)</f>
        <v>5</v>
      </c>
      <c r="L1351" s="138">
        <v>26.0</v>
      </c>
      <c r="M1351" s="140" t="str">
        <f>VLOOKUP(text(D1351, "#"),'Master Table'!$A:$F, 6, FALSE)</f>
        <v>H-10</v>
      </c>
      <c r="N1351" s="141"/>
      <c r="O1351" s="142" t="str">
        <f t="shared" si="1"/>
        <v/>
      </c>
      <c r="P1351" s="143" t="str">
        <f>IF(ISNA(VLOOKUP(CONCAT(M1351,C1351), 'Judge Count DO NOT EDIT'!H:H, 1, FALSE)), "ERROR","")</f>
        <v/>
      </c>
      <c r="Q1351" s="144"/>
      <c r="R1351" s="143"/>
      <c r="S1351" s="139" t="str">
        <f t="shared" si="2"/>
        <v>1099530</v>
      </c>
      <c r="T1351" s="141"/>
    </row>
    <row r="1352">
      <c r="A1352" s="137">
        <f>IFERROR(__xludf.DUMMYFUNCTION("""COMPUTED_VALUE"""),45352.551957222226)</f>
        <v>45352.55196</v>
      </c>
      <c r="B1352" s="138" t="str">
        <f>IFERROR(__xludf.DUMMYFUNCTION("""COMPUTED_VALUE"""),"Hyunjong Choi")</f>
        <v>Hyunjong Choi</v>
      </c>
      <c r="C1352" s="138">
        <f>IFERROR(__xludf.DUMMYFUNCTION("""COMPUTED_VALUE"""),1075.0)</f>
        <v>1075</v>
      </c>
      <c r="D1352" s="139">
        <f>IFERROR(__xludf.DUMMYFUNCTION("""COMPUTED_VALUE"""),531.0)</f>
        <v>531</v>
      </c>
      <c r="E1352" s="138">
        <f>IFERROR(__xludf.DUMMYFUNCTION("""COMPUTED_VALUE"""),3.0)</f>
        <v>3</v>
      </c>
      <c r="F1352" s="138">
        <f>IFERROR(__xludf.DUMMYFUNCTION("""COMPUTED_VALUE"""),4.0)</f>
        <v>4</v>
      </c>
      <c r="G1352" s="138">
        <f>IFERROR(__xludf.DUMMYFUNCTION("""COMPUTED_VALUE"""),3.0)</f>
        <v>3</v>
      </c>
      <c r="H1352" s="138">
        <f>IFERROR(__xludf.DUMMYFUNCTION("""COMPUTED_VALUE"""),3.0)</f>
        <v>3</v>
      </c>
      <c r="I1352" s="138">
        <f>IFERROR(__xludf.DUMMYFUNCTION("""COMPUTED_VALUE"""),4.0)</f>
        <v>4</v>
      </c>
      <c r="J1352" s="138">
        <f>IFERROR(__xludf.DUMMYFUNCTION("""COMPUTED_VALUE"""),4.0)</f>
        <v>4</v>
      </c>
      <c r="K1352" s="138">
        <f>IFERROR(__xludf.DUMMYFUNCTION("""COMPUTED_VALUE"""),4.0)</f>
        <v>4</v>
      </c>
      <c r="L1352" s="138">
        <v>25.0</v>
      </c>
      <c r="M1352" s="140" t="str">
        <f>VLOOKUP(text(D1352, "#"),'Master Table'!$A:$F, 6, FALSE)</f>
        <v>H-10</v>
      </c>
      <c r="N1352" s="141"/>
      <c r="O1352" s="142" t="str">
        <f t="shared" si="1"/>
        <v/>
      </c>
      <c r="P1352" s="143" t="str">
        <f>IF(ISNA(VLOOKUP(CONCAT(M1352,C1352), 'Judge Count DO NOT EDIT'!H:H, 1, FALSE)), "ERROR","")</f>
        <v/>
      </c>
      <c r="Q1352" s="144"/>
      <c r="R1352" s="143"/>
      <c r="S1352" s="139" t="str">
        <f t="shared" si="2"/>
        <v>1075531</v>
      </c>
      <c r="T1352" s="141"/>
    </row>
    <row r="1353">
      <c r="A1353" s="137">
        <f>IFERROR(__xludf.DUMMYFUNCTION("""COMPUTED_VALUE"""),45352.59701233797)</f>
        <v>45352.59701</v>
      </c>
      <c r="B1353" s="138" t="str">
        <f>IFERROR(__xludf.DUMMYFUNCTION("""COMPUTED_VALUE"""),"Margherita Capriotti")</f>
        <v>Margherita Capriotti</v>
      </c>
      <c r="C1353" s="138">
        <f>IFERROR(__xludf.DUMMYFUNCTION("""COMPUTED_VALUE"""),1073.0)</f>
        <v>1073</v>
      </c>
      <c r="D1353" s="139">
        <f>IFERROR(__xludf.DUMMYFUNCTION("""COMPUTED_VALUE"""),531.0)</f>
        <v>531</v>
      </c>
      <c r="E1353" s="138">
        <f>IFERROR(__xludf.DUMMYFUNCTION("""COMPUTED_VALUE"""),4.0)</f>
        <v>4</v>
      </c>
      <c r="F1353" s="138">
        <f>IFERROR(__xludf.DUMMYFUNCTION("""COMPUTED_VALUE"""),3.0)</f>
        <v>3</v>
      </c>
      <c r="G1353" s="138">
        <f>IFERROR(__xludf.DUMMYFUNCTION("""COMPUTED_VALUE"""),3.0)</f>
        <v>3</v>
      </c>
      <c r="H1353" s="138">
        <f>IFERROR(__xludf.DUMMYFUNCTION("""COMPUTED_VALUE"""),3.0)</f>
        <v>3</v>
      </c>
      <c r="I1353" s="138">
        <f>IFERROR(__xludf.DUMMYFUNCTION("""COMPUTED_VALUE"""),4.0)</f>
        <v>4</v>
      </c>
      <c r="J1353" s="138">
        <f>IFERROR(__xludf.DUMMYFUNCTION("""COMPUTED_VALUE"""),3.0)</f>
        <v>3</v>
      </c>
      <c r="K1353" s="138">
        <f>IFERROR(__xludf.DUMMYFUNCTION("""COMPUTED_VALUE"""),4.0)</f>
        <v>4</v>
      </c>
      <c r="L1353" s="138">
        <v>24.0</v>
      </c>
      <c r="M1353" s="140" t="str">
        <f>VLOOKUP(text(D1353, "#"),'Master Table'!$A:$F, 6, FALSE)</f>
        <v>H-10</v>
      </c>
      <c r="N1353" s="141" t="str">
        <f>IFERROR(__xludf.DUMMYFUNCTION("""COMPUTED_VALUE"""),"My suggestion is to improve the visuals and add more quantitative details about your materials, methodology, results. Long paragraphs cannot usually be read by the audience . The work is interesting and we can appreciate it more with more plots/images/sch"&amp;"emes than words.")</f>
        <v>My suggestion is to improve the visuals and add more quantitative details about your materials, methodology, results. Long paragraphs cannot usually be read by the audience . The work is interesting and we can appreciate it more with more plots/images/schemes than words.</v>
      </c>
      <c r="O1353" s="142" t="str">
        <f t="shared" si="1"/>
        <v/>
      </c>
      <c r="P1353" s="143" t="str">
        <f>IF(ISNA(VLOOKUP(CONCAT(M1353,C1353), 'Judge Count DO NOT EDIT'!H:H, 1, FALSE)), "ERROR","")</f>
        <v/>
      </c>
      <c r="Q1353" s="141"/>
      <c r="R1353" s="143"/>
      <c r="S1353" s="139" t="str">
        <f t="shared" si="2"/>
        <v>1073531</v>
      </c>
      <c r="T1353" s="141"/>
    </row>
    <row r="1354">
      <c r="A1354" s="137">
        <f>IFERROR(__xludf.DUMMYFUNCTION("""COMPUTED_VALUE"""),45353.69586314815)</f>
        <v>45353.69586</v>
      </c>
      <c r="B1354" s="138" t="str">
        <f>IFERROR(__xludf.DUMMYFUNCTION("""COMPUTED_VALUE"""),"Reza Sabzehgar")</f>
        <v>Reza Sabzehgar</v>
      </c>
      <c r="C1354" s="138">
        <f>IFERROR(__xludf.DUMMYFUNCTION("""COMPUTED_VALUE"""),1099.0)</f>
        <v>1099</v>
      </c>
      <c r="D1354" s="139">
        <f>IFERROR(__xludf.DUMMYFUNCTION("""COMPUTED_VALUE"""),531.0)</f>
        <v>531</v>
      </c>
      <c r="E1354" s="138">
        <f>IFERROR(__xludf.DUMMYFUNCTION("""COMPUTED_VALUE"""),2.0)</f>
        <v>2</v>
      </c>
      <c r="F1354" s="138">
        <f>IFERROR(__xludf.DUMMYFUNCTION("""COMPUTED_VALUE"""),3.0)</f>
        <v>3</v>
      </c>
      <c r="G1354" s="138">
        <f>IFERROR(__xludf.DUMMYFUNCTION("""COMPUTED_VALUE"""),2.0)</f>
        <v>2</v>
      </c>
      <c r="H1354" s="138">
        <f>IFERROR(__xludf.DUMMYFUNCTION("""COMPUTED_VALUE"""),3.0)</f>
        <v>3</v>
      </c>
      <c r="I1354" s="138">
        <f>IFERROR(__xludf.DUMMYFUNCTION("""COMPUTED_VALUE"""),2.0)</f>
        <v>2</v>
      </c>
      <c r="J1354" s="138">
        <f>IFERROR(__xludf.DUMMYFUNCTION("""COMPUTED_VALUE"""),2.0)</f>
        <v>2</v>
      </c>
      <c r="K1354" s="138">
        <f>IFERROR(__xludf.DUMMYFUNCTION("""COMPUTED_VALUE"""),2.0)</f>
        <v>2</v>
      </c>
      <c r="L1354" s="138">
        <v>16.0</v>
      </c>
      <c r="M1354" s="140" t="str">
        <f>VLOOKUP(text(D1354, "#"),'Master Table'!$A:$F, 6, FALSE)</f>
        <v>H-10</v>
      </c>
      <c r="N1354" s="141"/>
      <c r="O1354" s="142" t="str">
        <f t="shared" si="1"/>
        <v/>
      </c>
      <c r="P1354" s="143" t="str">
        <f>IF(ISNA(VLOOKUP(CONCAT(M1354,C1354), 'Judge Count DO NOT EDIT'!H:H, 1, FALSE)), "ERROR","")</f>
        <v/>
      </c>
      <c r="Q1354" s="141"/>
      <c r="R1354" s="143"/>
      <c r="S1354" s="139" t="str">
        <f t="shared" si="2"/>
        <v>1099531</v>
      </c>
      <c r="T1354" s="141"/>
    </row>
    <row r="1355">
      <c r="A1355" s="137">
        <f>IFERROR(__xludf.DUMMYFUNCTION("""COMPUTED_VALUE"""),45352.56175005787)</f>
        <v>45352.56175</v>
      </c>
      <c r="B1355" s="138" t="str">
        <f>IFERROR(__xludf.DUMMYFUNCTION("""COMPUTED_VALUE"""),"Roger Whitney ")</f>
        <v>Roger Whitney </v>
      </c>
      <c r="C1355" s="138">
        <f>IFERROR(__xludf.DUMMYFUNCTION("""COMPUTED_VALUE"""),1091.0)</f>
        <v>1091</v>
      </c>
      <c r="D1355" s="139">
        <f>IFERROR(__xludf.DUMMYFUNCTION("""COMPUTED_VALUE"""),533.0)</f>
        <v>533</v>
      </c>
      <c r="E1355" s="138">
        <f>IFERROR(__xludf.DUMMYFUNCTION("""COMPUTED_VALUE"""),4.0)</f>
        <v>4</v>
      </c>
      <c r="F1355" s="138">
        <f>IFERROR(__xludf.DUMMYFUNCTION("""COMPUTED_VALUE"""),3.0)</f>
        <v>3</v>
      </c>
      <c r="G1355" s="138">
        <f>IFERROR(__xludf.DUMMYFUNCTION("""COMPUTED_VALUE"""),4.0)</f>
        <v>4</v>
      </c>
      <c r="H1355" s="138">
        <f>IFERROR(__xludf.DUMMYFUNCTION("""COMPUTED_VALUE"""),3.0)</f>
        <v>3</v>
      </c>
      <c r="I1355" s="138">
        <f>IFERROR(__xludf.DUMMYFUNCTION("""COMPUTED_VALUE"""),4.0)</f>
        <v>4</v>
      </c>
      <c r="J1355" s="138">
        <f>IFERROR(__xludf.DUMMYFUNCTION("""COMPUTED_VALUE"""),4.0)</f>
        <v>4</v>
      </c>
      <c r="K1355" s="138">
        <f>IFERROR(__xludf.DUMMYFUNCTION("""COMPUTED_VALUE"""),4.0)</f>
        <v>4</v>
      </c>
      <c r="L1355" s="138">
        <v>26.0</v>
      </c>
      <c r="M1355" s="140" t="str">
        <f>VLOOKUP(text(D1355, "#"),'Master Table'!$A:$F, 6, FALSE)</f>
        <v>H-10</v>
      </c>
      <c r="N1355" s="141"/>
      <c r="O1355" s="142" t="str">
        <f t="shared" si="1"/>
        <v/>
      </c>
      <c r="P1355" s="143" t="str">
        <f>IF(ISNA(VLOOKUP(CONCAT(M1355,C1355), 'Judge Count DO NOT EDIT'!H:H, 1, FALSE)), "ERROR","")</f>
        <v/>
      </c>
      <c r="Q1355" s="141"/>
      <c r="R1355" s="143"/>
      <c r="S1355" s="139" t="str">
        <f t="shared" si="2"/>
        <v>1091533</v>
      </c>
      <c r="T1355" s="141"/>
    </row>
    <row r="1356">
      <c r="A1356" s="137">
        <f>IFERROR(__xludf.DUMMYFUNCTION("""COMPUTED_VALUE"""),45352.56185049769)</f>
        <v>45352.56185</v>
      </c>
      <c r="B1356" s="138" t="str">
        <f>IFERROR(__xludf.DUMMYFUNCTION("""COMPUTED_VALUE"""),"Hyunjong Choi")</f>
        <v>Hyunjong Choi</v>
      </c>
      <c r="C1356" s="138">
        <f>IFERROR(__xludf.DUMMYFUNCTION("""COMPUTED_VALUE"""),1075.0)</f>
        <v>1075</v>
      </c>
      <c r="D1356" s="139">
        <f>IFERROR(__xludf.DUMMYFUNCTION("""COMPUTED_VALUE"""),533.0)</f>
        <v>533</v>
      </c>
      <c r="E1356" s="138">
        <f>IFERROR(__xludf.DUMMYFUNCTION("""COMPUTED_VALUE"""),4.0)</f>
        <v>4</v>
      </c>
      <c r="F1356" s="138">
        <f>IFERROR(__xludf.DUMMYFUNCTION("""COMPUTED_VALUE"""),4.0)</f>
        <v>4</v>
      </c>
      <c r="G1356" s="138">
        <f>IFERROR(__xludf.DUMMYFUNCTION("""COMPUTED_VALUE"""),4.0)</f>
        <v>4</v>
      </c>
      <c r="H1356" s="138">
        <f>IFERROR(__xludf.DUMMYFUNCTION("""COMPUTED_VALUE"""),3.0)</f>
        <v>3</v>
      </c>
      <c r="I1356" s="138">
        <f>IFERROR(__xludf.DUMMYFUNCTION("""COMPUTED_VALUE"""),4.0)</f>
        <v>4</v>
      </c>
      <c r="J1356" s="138">
        <f>IFERROR(__xludf.DUMMYFUNCTION("""COMPUTED_VALUE"""),3.0)</f>
        <v>3</v>
      </c>
      <c r="K1356" s="138">
        <f>IFERROR(__xludf.DUMMYFUNCTION("""COMPUTED_VALUE"""),3.0)</f>
        <v>3</v>
      </c>
      <c r="L1356" s="138">
        <v>25.0</v>
      </c>
      <c r="M1356" s="140" t="str">
        <f>VLOOKUP(text(D1356, "#"),'Master Table'!$A:$F, 6, FALSE)</f>
        <v>H-10</v>
      </c>
      <c r="N1356" s="141"/>
      <c r="O1356" s="142" t="str">
        <f t="shared" si="1"/>
        <v/>
      </c>
      <c r="P1356" s="143" t="str">
        <f>IF(ISNA(VLOOKUP(CONCAT(M1356,C1356), 'Judge Count DO NOT EDIT'!H:H, 1, FALSE)), "ERROR","")</f>
        <v/>
      </c>
      <c r="Q1356" s="141"/>
      <c r="R1356" s="143"/>
      <c r="S1356" s="139" t="str">
        <f t="shared" si="2"/>
        <v>1075533</v>
      </c>
      <c r="T1356" s="141"/>
    </row>
    <row r="1357">
      <c r="A1357" s="137">
        <f>IFERROR(__xludf.DUMMYFUNCTION("""COMPUTED_VALUE"""),45352.60928229167)</f>
        <v>45352.60928</v>
      </c>
      <c r="B1357" s="138" t="str">
        <f>IFERROR(__xludf.DUMMYFUNCTION("""COMPUTED_VALUE"""),"Margherita Capriotti")</f>
        <v>Margherita Capriotti</v>
      </c>
      <c r="C1357" s="138">
        <f>IFERROR(__xludf.DUMMYFUNCTION("""COMPUTED_VALUE"""),1073.0)</f>
        <v>1073</v>
      </c>
      <c r="D1357" s="139">
        <f>IFERROR(__xludf.DUMMYFUNCTION("""COMPUTED_VALUE"""),533.0)</f>
        <v>533</v>
      </c>
      <c r="E1357" s="138">
        <f>IFERROR(__xludf.DUMMYFUNCTION("""COMPUTED_VALUE"""),3.0)</f>
        <v>3</v>
      </c>
      <c r="F1357" s="138">
        <f>IFERROR(__xludf.DUMMYFUNCTION("""COMPUTED_VALUE"""),3.0)</f>
        <v>3</v>
      </c>
      <c r="G1357" s="138">
        <f>IFERROR(__xludf.DUMMYFUNCTION("""COMPUTED_VALUE"""),4.0)</f>
        <v>4</v>
      </c>
      <c r="H1357" s="138">
        <f>IFERROR(__xludf.DUMMYFUNCTION("""COMPUTED_VALUE"""),3.0)</f>
        <v>3</v>
      </c>
      <c r="I1357" s="138">
        <f>IFERROR(__xludf.DUMMYFUNCTION("""COMPUTED_VALUE"""),3.0)</f>
        <v>3</v>
      </c>
      <c r="J1357" s="138">
        <f>IFERROR(__xludf.DUMMYFUNCTION("""COMPUTED_VALUE"""),2.0)</f>
        <v>2</v>
      </c>
      <c r="K1357" s="138">
        <f>IFERROR(__xludf.DUMMYFUNCTION("""COMPUTED_VALUE"""),3.0)</f>
        <v>3</v>
      </c>
      <c r="L1357" s="138">
        <v>21.0</v>
      </c>
      <c r="M1357" s="140" t="str">
        <f>VLOOKUP(text(D1357, "#"),'Master Table'!$A:$F, 6, FALSE)</f>
        <v>H-10</v>
      </c>
      <c r="N1357" s="141" t="str">
        <f>IFERROR(__xludf.DUMMYFUNCTION("""COMPUTED_VALUE"""),"The work is very relevant! Providing as much context and background information as possible would enable higher audience understanding.")</f>
        <v>The work is very relevant! Providing as much context and background information as possible would enable higher audience understanding.</v>
      </c>
      <c r="O1357" s="142" t="str">
        <f t="shared" si="1"/>
        <v/>
      </c>
      <c r="P1357" s="143" t="str">
        <f>IF(ISNA(VLOOKUP(CONCAT(M1357,C1357), 'Judge Count DO NOT EDIT'!H:H, 1, FALSE)), "ERROR","")</f>
        <v/>
      </c>
      <c r="Q1357" s="141"/>
      <c r="R1357" s="143"/>
      <c r="S1357" s="139" t="str">
        <f t="shared" si="2"/>
        <v>1073533</v>
      </c>
      <c r="T1357" s="141"/>
    </row>
    <row r="1358">
      <c r="A1358" s="137">
        <f>IFERROR(__xludf.DUMMYFUNCTION("""COMPUTED_VALUE"""),45352.56847215278)</f>
        <v>45352.56847</v>
      </c>
      <c r="B1358" s="138" t="str">
        <f>IFERROR(__xludf.DUMMYFUNCTION("""COMPUTED_VALUE"""),"Roger whitney")</f>
        <v>Roger whitney</v>
      </c>
      <c r="C1358" s="138">
        <f>IFERROR(__xludf.DUMMYFUNCTION("""COMPUTED_VALUE"""),1091.0)</f>
        <v>1091</v>
      </c>
      <c r="D1358" s="139">
        <f>IFERROR(__xludf.DUMMYFUNCTION("""COMPUTED_VALUE"""),534.0)</f>
        <v>534</v>
      </c>
      <c r="E1358" s="138">
        <f>IFERROR(__xludf.DUMMYFUNCTION("""COMPUTED_VALUE"""),4.0)</f>
        <v>4</v>
      </c>
      <c r="F1358" s="138">
        <f>IFERROR(__xludf.DUMMYFUNCTION("""COMPUTED_VALUE"""),3.0)</f>
        <v>3</v>
      </c>
      <c r="G1358" s="138">
        <f>IFERROR(__xludf.DUMMYFUNCTION("""COMPUTED_VALUE"""),4.0)</f>
        <v>4</v>
      </c>
      <c r="H1358" s="138">
        <f>IFERROR(__xludf.DUMMYFUNCTION("""COMPUTED_VALUE"""),4.0)</f>
        <v>4</v>
      </c>
      <c r="I1358" s="138">
        <f>IFERROR(__xludf.DUMMYFUNCTION("""COMPUTED_VALUE"""),4.0)</f>
        <v>4</v>
      </c>
      <c r="J1358" s="138">
        <f>IFERROR(__xludf.DUMMYFUNCTION("""COMPUTED_VALUE"""),4.0)</f>
        <v>4</v>
      </c>
      <c r="K1358" s="138">
        <f>IFERROR(__xludf.DUMMYFUNCTION("""COMPUTED_VALUE"""),4.0)</f>
        <v>4</v>
      </c>
      <c r="L1358" s="138">
        <v>27.0</v>
      </c>
      <c r="M1358" s="140" t="str">
        <f>VLOOKUP(text(D1358, "#"),'Master Table'!$A:$F, 6, FALSE)</f>
        <v>H-10</v>
      </c>
      <c r="N1358" s="141"/>
      <c r="O1358" s="142" t="str">
        <f t="shared" si="1"/>
        <v/>
      </c>
      <c r="P1358" s="143" t="str">
        <f>IF(ISNA(VLOOKUP(CONCAT(M1358,C1358), 'Judge Count DO NOT EDIT'!H:H, 1, FALSE)), "ERROR","")</f>
        <v/>
      </c>
      <c r="Q1358" s="141"/>
      <c r="R1358" s="143"/>
      <c r="S1358" s="139" t="str">
        <f t="shared" si="2"/>
        <v>1091534</v>
      </c>
      <c r="T1358" s="141"/>
    </row>
    <row r="1359">
      <c r="A1359" s="137">
        <f>IFERROR(__xludf.DUMMYFUNCTION("""COMPUTED_VALUE"""),45352.60463850695)</f>
        <v>45352.60464</v>
      </c>
      <c r="B1359" s="138" t="str">
        <f>IFERROR(__xludf.DUMMYFUNCTION("""COMPUTED_VALUE"""),"Margherita Capriotti")</f>
        <v>Margherita Capriotti</v>
      </c>
      <c r="C1359" s="138">
        <f>IFERROR(__xludf.DUMMYFUNCTION("""COMPUTED_VALUE"""),1073.0)</f>
        <v>1073</v>
      </c>
      <c r="D1359" s="139">
        <f>IFERROR(__xludf.DUMMYFUNCTION("""COMPUTED_VALUE"""),534.0)</f>
        <v>534</v>
      </c>
      <c r="E1359" s="138">
        <f>IFERROR(__xludf.DUMMYFUNCTION("""COMPUTED_VALUE"""),4.0)</f>
        <v>4</v>
      </c>
      <c r="F1359" s="138">
        <f>IFERROR(__xludf.DUMMYFUNCTION("""COMPUTED_VALUE"""),4.0)</f>
        <v>4</v>
      </c>
      <c r="G1359" s="138">
        <f>IFERROR(__xludf.DUMMYFUNCTION("""COMPUTED_VALUE"""),4.0)</f>
        <v>4</v>
      </c>
      <c r="H1359" s="138">
        <f>IFERROR(__xludf.DUMMYFUNCTION("""COMPUTED_VALUE"""),4.0)</f>
        <v>4</v>
      </c>
      <c r="I1359" s="138">
        <f>IFERROR(__xludf.DUMMYFUNCTION("""COMPUTED_VALUE"""),4.0)</f>
        <v>4</v>
      </c>
      <c r="J1359" s="138">
        <f>IFERROR(__xludf.DUMMYFUNCTION("""COMPUTED_VALUE"""),5.0)</f>
        <v>5</v>
      </c>
      <c r="K1359" s="138">
        <f>IFERROR(__xludf.DUMMYFUNCTION("""COMPUTED_VALUE"""),4.0)</f>
        <v>4</v>
      </c>
      <c r="L1359" s="138">
        <v>29.0</v>
      </c>
      <c r="M1359" s="140" t="str">
        <f>VLOOKUP(text(D1359, "#"),'Master Table'!$A:$F, 6, FALSE)</f>
        <v>H-10</v>
      </c>
      <c r="N1359" s="141" t="str">
        <f>IFERROR(__xludf.DUMMYFUNCTION("""COMPUTED_VALUE"""),"Excellent! ")</f>
        <v>Excellent! </v>
      </c>
      <c r="O1359" s="142" t="str">
        <f t="shared" si="1"/>
        <v/>
      </c>
      <c r="P1359" s="143" t="str">
        <f>IF(ISNA(VLOOKUP(CONCAT(M1359,C1359), 'Judge Count DO NOT EDIT'!H:H, 1, FALSE)), "ERROR","")</f>
        <v/>
      </c>
      <c r="Q1359" s="141"/>
      <c r="R1359" s="143"/>
      <c r="S1359" s="139" t="str">
        <f t="shared" si="2"/>
        <v>1073534</v>
      </c>
      <c r="T1359" s="141"/>
    </row>
    <row r="1360">
      <c r="A1360" s="137">
        <f>IFERROR(__xludf.DUMMYFUNCTION("""COMPUTED_VALUE"""),45353.69985488426)</f>
        <v>45353.69985</v>
      </c>
      <c r="B1360" s="138" t="str">
        <f>IFERROR(__xludf.DUMMYFUNCTION("""COMPUTED_VALUE"""),"Reza Sabzehgar")</f>
        <v>Reza Sabzehgar</v>
      </c>
      <c r="C1360" s="138">
        <f>IFERROR(__xludf.DUMMYFUNCTION("""COMPUTED_VALUE"""),1099.0)</f>
        <v>1099</v>
      </c>
      <c r="D1360" s="139">
        <f>IFERROR(__xludf.DUMMYFUNCTION("""COMPUTED_VALUE"""),534.0)</f>
        <v>534</v>
      </c>
      <c r="E1360" s="138">
        <f>IFERROR(__xludf.DUMMYFUNCTION("""COMPUTED_VALUE"""),4.0)</f>
        <v>4</v>
      </c>
      <c r="F1360" s="138">
        <f>IFERROR(__xludf.DUMMYFUNCTION("""COMPUTED_VALUE"""),4.0)</f>
        <v>4</v>
      </c>
      <c r="G1360" s="138">
        <f>IFERROR(__xludf.DUMMYFUNCTION("""COMPUTED_VALUE"""),4.0)</f>
        <v>4</v>
      </c>
      <c r="H1360" s="138">
        <f>IFERROR(__xludf.DUMMYFUNCTION("""COMPUTED_VALUE"""),4.0)</f>
        <v>4</v>
      </c>
      <c r="I1360" s="138">
        <f>IFERROR(__xludf.DUMMYFUNCTION("""COMPUTED_VALUE"""),3.0)</f>
        <v>3</v>
      </c>
      <c r="J1360" s="138">
        <f>IFERROR(__xludf.DUMMYFUNCTION("""COMPUTED_VALUE"""),4.0)</f>
        <v>4</v>
      </c>
      <c r="K1360" s="138">
        <f>IFERROR(__xludf.DUMMYFUNCTION("""COMPUTED_VALUE"""),4.0)</f>
        <v>4</v>
      </c>
      <c r="L1360" s="138">
        <v>27.0</v>
      </c>
      <c r="M1360" s="140" t="str">
        <f>VLOOKUP(text(D1360, "#"),'Master Table'!$A:$F, 6, FALSE)</f>
        <v>H-10</v>
      </c>
      <c r="N1360" s="141"/>
      <c r="O1360" s="142" t="str">
        <f t="shared" si="1"/>
        <v/>
      </c>
      <c r="P1360" s="143" t="str">
        <f>IF(ISNA(VLOOKUP(CONCAT(M1360,C1360), 'Judge Count DO NOT EDIT'!H:H, 1, FALSE)), "ERROR","")</f>
        <v/>
      </c>
      <c r="Q1360" s="141"/>
      <c r="R1360" s="143"/>
      <c r="S1360" s="139" t="str">
        <f t="shared" si="2"/>
        <v>1099534</v>
      </c>
      <c r="T1360" s="141"/>
    </row>
    <row r="1361">
      <c r="A1361" s="137">
        <f>IFERROR(__xludf.DUMMYFUNCTION("""COMPUTED_VALUE"""),45352.55011150463)</f>
        <v>45352.55011</v>
      </c>
      <c r="B1361" s="138" t="str">
        <f>IFERROR(__xludf.DUMMYFUNCTION("""COMPUTED_VALUE"""),"Eyal Oren")</f>
        <v>Eyal Oren</v>
      </c>
      <c r="C1361" s="138">
        <f>IFERROR(__xludf.DUMMYFUNCTION("""COMPUTED_VALUE"""),1057.0)</f>
        <v>1057</v>
      </c>
      <c r="D1361" s="139">
        <f>IFERROR(__xludf.DUMMYFUNCTION("""COMPUTED_VALUE"""),535.0)</f>
        <v>535</v>
      </c>
      <c r="E1361" s="138">
        <f>IFERROR(__xludf.DUMMYFUNCTION("""COMPUTED_VALUE"""),4.0)</f>
        <v>4</v>
      </c>
      <c r="F1361" s="138">
        <f>IFERROR(__xludf.DUMMYFUNCTION("""COMPUTED_VALUE"""),4.0)</f>
        <v>4</v>
      </c>
      <c r="G1361" s="138">
        <f>IFERROR(__xludf.DUMMYFUNCTION("""COMPUTED_VALUE"""),5.0)</f>
        <v>5</v>
      </c>
      <c r="H1361" s="138">
        <f>IFERROR(__xludf.DUMMYFUNCTION("""COMPUTED_VALUE"""),4.0)</f>
        <v>4</v>
      </c>
      <c r="I1361" s="138">
        <f>IFERROR(__xludf.DUMMYFUNCTION("""COMPUTED_VALUE"""),5.0)</f>
        <v>5</v>
      </c>
      <c r="J1361" s="138">
        <f>IFERROR(__xludf.DUMMYFUNCTION("""COMPUTED_VALUE"""),5.0)</f>
        <v>5</v>
      </c>
      <c r="K1361" s="138">
        <f>IFERROR(__xludf.DUMMYFUNCTION("""COMPUTED_VALUE"""),5.0)</f>
        <v>5</v>
      </c>
      <c r="L1361" s="138">
        <v>32.0</v>
      </c>
      <c r="M1361" s="140" t="str">
        <f>VLOOKUP(text(D1361, "#"),'Master Table'!$A:$F, 6, FALSE)</f>
        <v>H-11</v>
      </c>
      <c r="N1361" s="141"/>
      <c r="O1361" s="142" t="str">
        <f t="shared" si="1"/>
        <v/>
      </c>
      <c r="P1361" s="143" t="str">
        <f>IF(ISNA(VLOOKUP(CONCAT(M1361,C1361), 'Judge Count DO NOT EDIT'!H:H, 1, FALSE)), "ERROR","")</f>
        <v/>
      </c>
      <c r="Q1361" s="141"/>
      <c r="R1361" s="143"/>
      <c r="S1361" s="139" t="str">
        <f t="shared" si="2"/>
        <v>1057535</v>
      </c>
      <c r="T1361" s="141"/>
    </row>
    <row r="1362">
      <c r="A1362" s="137">
        <f>IFERROR(__xludf.DUMMYFUNCTION("""COMPUTED_VALUE"""),45352.570865312504)</f>
        <v>45352.57087</v>
      </c>
      <c r="B1362" s="138" t="str">
        <f>IFERROR(__xludf.DUMMYFUNCTION("""COMPUTED_VALUE"""),"Francesca Wade")</f>
        <v>Francesca Wade</v>
      </c>
      <c r="C1362" s="138">
        <f>IFERROR(__xludf.DUMMYFUNCTION("""COMPUTED_VALUE"""),1061.0)</f>
        <v>1061</v>
      </c>
      <c r="D1362" s="139">
        <f>IFERROR(__xludf.DUMMYFUNCTION("""COMPUTED_VALUE"""),535.0)</f>
        <v>535</v>
      </c>
      <c r="E1362" s="138">
        <f>IFERROR(__xludf.DUMMYFUNCTION("""COMPUTED_VALUE"""),4.0)</f>
        <v>4</v>
      </c>
      <c r="F1362" s="138">
        <f>IFERROR(__xludf.DUMMYFUNCTION("""COMPUTED_VALUE"""),4.0)</f>
        <v>4</v>
      </c>
      <c r="G1362" s="138">
        <f>IFERROR(__xludf.DUMMYFUNCTION("""COMPUTED_VALUE"""),5.0)</f>
        <v>5</v>
      </c>
      <c r="H1362" s="138">
        <f>IFERROR(__xludf.DUMMYFUNCTION("""COMPUTED_VALUE"""),5.0)</f>
        <v>5</v>
      </c>
      <c r="I1362" s="138">
        <f>IFERROR(__xludf.DUMMYFUNCTION("""COMPUTED_VALUE"""),5.0)</f>
        <v>5</v>
      </c>
      <c r="J1362" s="138">
        <f>IFERROR(__xludf.DUMMYFUNCTION("""COMPUTED_VALUE"""),4.0)</f>
        <v>4</v>
      </c>
      <c r="K1362" s="138">
        <f>IFERROR(__xludf.DUMMYFUNCTION("""COMPUTED_VALUE"""),4.0)</f>
        <v>4</v>
      </c>
      <c r="L1362" s="138">
        <v>31.0</v>
      </c>
      <c r="M1362" s="140" t="str">
        <f>VLOOKUP(text(D1362, "#"),'Master Table'!$A:$F, 6, FALSE)</f>
        <v>H-11</v>
      </c>
      <c r="N1362" s="141" t="str">
        <f>IFERROR(__xludf.DUMMYFUNCTION("""COMPUTED_VALUE"""),"Excellent study and you communicated your approach and findings in a clear, concise way. ")</f>
        <v>Excellent study and you communicated your approach and findings in a clear, concise way. </v>
      </c>
      <c r="O1362" s="142" t="str">
        <f t="shared" si="1"/>
        <v/>
      </c>
      <c r="P1362" s="143" t="str">
        <f>IF(ISNA(VLOOKUP(CONCAT(M1362,C1362), 'Judge Count DO NOT EDIT'!H:H, 1, FALSE)), "ERROR","")</f>
        <v/>
      </c>
      <c r="Q1362" s="141"/>
      <c r="R1362" s="143"/>
      <c r="S1362" s="139" t="str">
        <f t="shared" si="2"/>
        <v>1061535</v>
      </c>
      <c r="T1362" s="141"/>
    </row>
    <row r="1363">
      <c r="A1363" s="137">
        <f>IFERROR(__xludf.DUMMYFUNCTION("""COMPUTED_VALUE"""),45352.611196157406)</f>
        <v>45352.6112</v>
      </c>
      <c r="B1363" s="138" t="str">
        <f>IFERROR(__xludf.DUMMYFUNCTION("""COMPUTED_VALUE"""),"JoAnn Silkes")</f>
        <v>JoAnn Silkes</v>
      </c>
      <c r="C1363" s="138">
        <f>IFERROR(__xludf.DUMMYFUNCTION("""COMPUTED_VALUE"""),1094.0)</f>
        <v>1094</v>
      </c>
      <c r="D1363" s="139">
        <f>IFERROR(__xludf.DUMMYFUNCTION("""COMPUTED_VALUE"""),535.0)</f>
        <v>535</v>
      </c>
      <c r="E1363" s="138">
        <f>IFERROR(__xludf.DUMMYFUNCTION("""COMPUTED_VALUE"""),4.0)</f>
        <v>4</v>
      </c>
      <c r="F1363" s="138">
        <f>IFERROR(__xludf.DUMMYFUNCTION("""COMPUTED_VALUE"""),5.0)</f>
        <v>5</v>
      </c>
      <c r="G1363" s="138">
        <f>IFERROR(__xludf.DUMMYFUNCTION("""COMPUTED_VALUE"""),4.0)</f>
        <v>4</v>
      </c>
      <c r="H1363" s="138">
        <f>IFERROR(__xludf.DUMMYFUNCTION("""COMPUTED_VALUE"""),5.0)</f>
        <v>5</v>
      </c>
      <c r="I1363" s="138">
        <f>IFERROR(__xludf.DUMMYFUNCTION("""COMPUTED_VALUE"""),4.0)</f>
        <v>4</v>
      </c>
      <c r="J1363" s="138">
        <f>IFERROR(__xludf.DUMMYFUNCTION("""COMPUTED_VALUE"""),4.0)</f>
        <v>4</v>
      </c>
      <c r="K1363" s="138">
        <f>IFERROR(__xludf.DUMMYFUNCTION("""COMPUTED_VALUE"""),4.0)</f>
        <v>4</v>
      </c>
      <c r="L1363" s="138">
        <v>30.0</v>
      </c>
      <c r="M1363" s="140" t="str">
        <f>VLOOKUP(text(D1363, "#"),'Master Table'!$A:$F, 6, FALSE)</f>
        <v>H-11</v>
      </c>
      <c r="N1363" s="141" t="str">
        <f>IFERROR(__xludf.DUMMYFUNCTION("""COMPUTED_VALUE"""),"Excellent presentation of a fascinating study on an important topic! ")</f>
        <v>Excellent presentation of a fascinating study on an important topic! </v>
      </c>
      <c r="O1363" s="142" t="str">
        <f t="shared" si="1"/>
        <v/>
      </c>
      <c r="P1363" s="143" t="str">
        <f>IF(ISNA(VLOOKUP(CONCAT(M1363,C1363), 'Judge Count DO NOT EDIT'!H:H, 1, FALSE)), "ERROR","")</f>
        <v/>
      </c>
      <c r="Q1363" s="141"/>
      <c r="R1363" s="143"/>
      <c r="S1363" s="139" t="str">
        <f t="shared" si="2"/>
        <v>1094535</v>
      </c>
      <c r="T1363" s="141"/>
    </row>
    <row r="1364">
      <c r="A1364" s="137">
        <f>IFERROR(__xludf.DUMMYFUNCTION("""COMPUTED_VALUE"""),45352.62393797454)</f>
        <v>45352.62394</v>
      </c>
      <c r="B1364" s="138" t="str">
        <f>IFERROR(__xludf.DUMMYFUNCTION("""COMPUTED_VALUE"""),"Michael Peddecord")</f>
        <v>Michael Peddecord</v>
      </c>
      <c r="C1364" s="138">
        <f>IFERROR(__xludf.DUMMYFUNCTION("""COMPUTED_VALUE"""),1035.0)</f>
        <v>1035</v>
      </c>
      <c r="D1364" s="139">
        <f>IFERROR(__xludf.DUMMYFUNCTION("""COMPUTED_VALUE"""),535.0)</f>
        <v>535</v>
      </c>
      <c r="E1364" s="138">
        <f>IFERROR(__xludf.DUMMYFUNCTION("""COMPUTED_VALUE"""),3.0)</f>
        <v>3</v>
      </c>
      <c r="F1364" s="138">
        <f>IFERROR(__xludf.DUMMYFUNCTION("""COMPUTED_VALUE"""),3.0)</f>
        <v>3</v>
      </c>
      <c r="G1364" s="138">
        <f>IFERROR(__xludf.DUMMYFUNCTION("""COMPUTED_VALUE"""),2.0)</f>
        <v>2</v>
      </c>
      <c r="H1364" s="138">
        <f>IFERROR(__xludf.DUMMYFUNCTION("""COMPUTED_VALUE"""),3.0)</f>
        <v>3</v>
      </c>
      <c r="I1364" s="138">
        <f>IFERROR(__xludf.DUMMYFUNCTION("""COMPUTED_VALUE"""),4.0)</f>
        <v>4</v>
      </c>
      <c r="J1364" s="138">
        <f>IFERROR(__xludf.DUMMYFUNCTION("""COMPUTED_VALUE"""),3.0)</f>
        <v>3</v>
      </c>
      <c r="K1364" s="138">
        <f>IFERROR(__xludf.DUMMYFUNCTION("""COMPUTED_VALUE"""),4.0)</f>
        <v>4</v>
      </c>
      <c r="L1364" s="138">
        <v>22.0</v>
      </c>
      <c r="M1364" s="140" t="str">
        <f>VLOOKUP(text(D1364, "#"),'Master Table'!$A:$F, 6, FALSE)</f>
        <v>H-11</v>
      </c>
      <c r="N1364" s="141" t="str">
        <f>IFERROR(__xludf.DUMMYFUNCTION("""COMPUTED_VALUE"""),"Did a fine job of explaining data that was gathered from project in Uganda.  Secondary data analysis so author did not have many choices. Seem to have done the best she could with very limited data.  She did have good ideas about other data that would be "&amp;"needed to improve this study.  However, given all the other problems of HIV care not sure that addition travel is too important (my opinion).  ")</f>
        <v>Did a fine job of explaining data that was gathered from project in Uganda.  Secondary data analysis so author did not have many choices. Seem to have done the best she could with very limited data.  She did have good ideas about other data that would be needed to improve this study.  However, given all the other problems of HIV care not sure that addition travel is too important (my opinion).  </v>
      </c>
      <c r="O1364" s="142" t="str">
        <f t="shared" si="1"/>
        <v/>
      </c>
      <c r="P1364" s="143" t="str">
        <f>IF(ISNA(VLOOKUP(CONCAT(M1364,C1364), 'Judge Count DO NOT EDIT'!H:H, 1, FALSE)), "ERROR","")</f>
        <v/>
      </c>
      <c r="Q1364" s="141"/>
      <c r="R1364" s="143"/>
      <c r="S1364" s="139" t="str">
        <f t="shared" si="2"/>
        <v>1035535</v>
      </c>
      <c r="T1364" s="141"/>
    </row>
    <row r="1365">
      <c r="A1365" s="137">
        <f>IFERROR(__xludf.DUMMYFUNCTION("""COMPUTED_VALUE"""),45352.55312278935)</f>
        <v>45352.55312</v>
      </c>
      <c r="B1365" s="138" t="str">
        <f>IFERROR(__xludf.DUMMYFUNCTION("""COMPUTED_VALUE"""),"Eyal Oren")</f>
        <v>Eyal Oren</v>
      </c>
      <c r="C1365" s="138">
        <f>IFERROR(__xludf.DUMMYFUNCTION("""COMPUTED_VALUE"""),1057.0)</f>
        <v>1057</v>
      </c>
      <c r="D1365" s="139">
        <f>IFERROR(__xludf.DUMMYFUNCTION("""COMPUTED_VALUE"""),536.0)</f>
        <v>536</v>
      </c>
      <c r="E1365" s="138">
        <f>IFERROR(__xludf.DUMMYFUNCTION("""COMPUTED_VALUE"""),4.0)</f>
        <v>4</v>
      </c>
      <c r="F1365" s="138">
        <f>IFERROR(__xludf.DUMMYFUNCTION("""COMPUTED_VALUE"""),4.0)</f>
        <v>4</v>
      </c>
      <c r="G1365" s="138">
        <f>IFERROR(__xludf.DUMMYFUNCTION("""COMPUTED_VALUE"""),4.0)</f>
        <v>4</v>
      </c>
      <c r="H1365" s="138">
        <f>IFERROR(__xludf.DUMMYFUNCTION("""COMPUTED_VALUE"""),4.0)</f>
        <v>4</v>
      </c>
      <c r="I1365" s="138">
        <f>IFERROR(__xludf.DUMMYFUNCTION("""COMPUTED_VALUE"""),4.0)</f>
        <v>4</v>
      </c>
      <c r="J1365" s="138">
        <f>IFERROR(__xludf.DUMMYFUNCTION("""COMPUTED_VALUE"""),4.0)</f>
        <v>4</v>
      </c>
      <c r="K1365" s="138">
        <f>IFERROR(__xludf.DUMMYFUNCTION("""COMPUTED_VALUE"""),4.0)</f>
        <v>4</v>
      </c>
      <c r="L1365" s="138">
        <v>28.0</v>
      </c>
      <c r="M1365" s="140" t="str">
        <f>VLOOKUP(text(D1365, "#"),'Master Table'!$A:$F, 6, FALSE)</f>
        <v>H-11</v>
      </c>
      <c r="N1365" s="141"/>
      <c r="O1365" s="142" t="str">
        <f t="shared" si="1"/>
        <v/>
      </c>
      <c r="P1365" s="143" t="str">
        <f>IF(ISNA(VLOOKUP(CONCAT(M1365,C1365), 'Judge Count DO NOT EDIT'!H:H, 1, FALSE)), "ERROR","")</f>
        <v/>
      </c>
      <c r="Q1365" s="141"/>
      <c r="R1365" s="143"/>
      <c r="S1365" s="139" t="str">
        <f t="shared" si="2"/>
        <v>1057536</v>
      </c>
      <c r="T1365" s="141"/>
    </row>
    <row r="1366">
      <c r="A1366" s="137">
        <f>IFERROR(__xludf.DUMMYFUNCTION("""COMPUTED_VALUE"""),45352.56273636574)</f>
        <v>45352.56274</v>
      </c>
      <c r="B1366" s="138" t="str">
        <f>IFERROR(__xludf.DUMMYFUNCTION("""COMPUTED_VALUE"""),"Francesca Wade")</f>
        <v>Francesca Wade</v>
      </c>
      <c r="C1366" s="138">
        <f>IFERROR(__xludf.DUMMYFUNCTION("""COMPUTED_VALUE"""),1061.0)</f>
        <v>1061</v>
      </c>
      <c r="D1366" s="139">
        <f>IFERROR(__xludf.DUMMYFUNCTION("""COMPUTED_VALUE"""),536.0)</f>
        <v>536</v>
      </c>
      <c r="E1366" s="138">
        <f>IFERROR(__xludf.DUMMYFUNCTION("""COMPUTED_VALUE"""),5.0)</f>
        <v>5</v>
      </c>
      <c r="F1366" s="138">
        <f>IFERROR(__xludf.DUMMYFUNCTION("""COMPUTED_VALUE"""),5.0)</f>
        <v>5</v>
      </c>
      <c r="G1366" s="138">
        <f>IFERROR(__xludf.DUMMYFUNCTION("""COMPUTED_VALUE"""),4.0)</f>
        <v>4</v>
      </c>
      <c r="H1366" s="138">
        <f>IFERROR(__xludf.DUMMYFUNCTION("""COMPUTED_VALUE"""),5.0)</f>
        <v>5</v>
      </c>
      <c r="I1366" s="138">
        <f>IFERROR(__xludf.DUMMYFUNCTION("""COMPUTED_VALUE"""),5.0)</f>
        <v>5</v>
      </c>
      <c r="J1366" s="138">
        <f>IFERROR(__xludf.DUMMYFUNCTION("""COMPUTED_VALUE"""),5.0)</f>
        <v>5</v>
      </c>
      <c r="K1366" s="138">
        <f>IFERROR(__xludf.DUMMYFUNCTION("""COMPUTED_VALUE"""),5.0)</f>
        <v>5</v>
      </c>
      <c r="L1366" s="138">
        <v>34.0</v>
      </c>
      <c r="M1366" s="140" t="str">
        <f>VLOOKUP(text(D1366, "#"),'Master Table'!$A:$F, 6, FALSE)</f>
        <v>H-11</v>
      </c>
      <c r="N1366" s="141" t="str">
        <f>IFERROR(__xludf.DUMMYFUNCTION("""COMPUTED_VALUE"""),"I was blown away by the sophisticated communication and your ability to explain something complicated at a level a novice can understand. Truly exceptional, and I wish you luck on the rest of your project. This was the best explanation of research I heard"&amp;" all day.")</f>
        <v>I was blown away by the sophisticated communication and your ability to explain something complicated at a level a novice can understand. Truly exceptional, and I wish you luck on the rest of your project. This was the best explanation of research I heard all day.</v>
      </c>
      <c r="O1366" s="142" t="str">
        <f t="shared" si="1"/>
        <v/>
      </c>
      <c r="P1366" s="143" t="str">
        <f>IF(ISNA(VLOOKUP(CONCAT(M1366,C1366), 'Judge Count DO NOT EDIT'!H:H, 1, FALSE)), "ERROR","")</f>
        <v/>
      </c>
      <c r="Q1366" s="141"/>
      <c r="R1366" s="143"/>
      <c r="S1366" s="139" t="str">
        <f t="shared" si="2"/>
        <v>1061536</v>
      </c>
      <c r="T1366" s="141"/>
    </row>
    <row r="1367">
      <c r="A1367" s="137">
        <f>IFERROR(__xludf.DUMMYFUNCTION("""COMPUTED_VALUE"""),45352.58066759259)</f>
        <v>45352.58067</v>
      </c>
      <c r="B1367" s="138" t="str">
        <f>IFERROR(__xludf.DUMMYFUNCTION("""COMPUTED_VALUE"""),"JoAnn Silkes")</f>
        <v>JoAnn Silkes</v>
      </c>
      <c r="C1367" s="138">
        <f>IFERROR(__xludf.DUMMYFUNCTION("""COMPUTED_VALUE"""),1094.0)</f>
        <v>1094</v>
      </c>
      <c r="D1367" s="139">
        <f>IFERROR(__xludf.DUMMYFUNCTION("""COMPUTED_VALUE"""),536.0)</f>
        <v>536</v>
      </c>
      <c r="E1367" s="138">
        <f>IFERROR(__xludf.DUMMYFUNCTION("""COMPUTED_VALUE"""),5.0)</f>
        <v>5</v>
      </c>
      <c r="F1367" s="138">
        <f>IFERROR(__xludf.DUMMYFUNCTION("""COMPUTED_VALUE"""),5.0)</f>
        <v>5</v>
      </c>
      <c r="G1367" s="138">
        <f>IFERROR(__xludf.DUMMYFUNCTION("""COMPUTED_VALUE"""),5.0)</f>
        <v>5</v>
      </c>
      <c r="H1367" s="138">
        <f>IFERROR(__xludf.DUMMYFUNCTION("""COMPUTED_VALUE"""),5.0)</f>
        <v>5</v>
      </c>
      <c r="I1367" s="138">
        <f>IFERROR(__xludf.DUMMYFUNCTION("""COMPUTED_VALUE"""),5.0)</f>
        <v>5</v>
      </c>
      <c r="J1367" s="138">
        <f>IFERROR(__xludf.DUMMYFUNCTION("""COMPUTED_VALUE"""),5.0)</f>
        <v>5</v>
      </c>
      <c r="K1367" s="138">
        <f>IFERROR(__xludf.DUMMYFUNCTION("""COMPUTED_VALUE"""),5.0)</f>
        <v>5</v>
      </c>
      <c r="L1367" s="138">
        <v>35.0</v>
      </c>
      <c r="M1367" s="140" t="str">
        <f>VLOOKUP(text(D1367, "#"),'Master Table'!$A:$F, 6, FALSE)</f>
        <v>H-11</v>
      </c>
      <c r="N1367" s="141" t="str">
        <f>IFERROR(__xludf.DUMMYFUNCTION("""COMPUTED_VALUE"""),"Excellent, clear presentation, appropriately targeted to the knowledge level of the listener. So interesting! ")</f>
        <v>Excellent, clear presentation, appropriately targeted to the knowledge level of the listener. So interesting! </v>
      </c>
      <c r="O1367" s="142" t="str">
        <f t="shared" si="1"/>
        <v/>
      </c>
      <c r="P1367" s="143" t="str">
        <f>IF(ISNA(VLOOKUP(CONCAT(M1367,C1367), 'Judge Count DO NOT EDIT'!H:H, 1, FALSE)), "ERROR","")</f>
        <v/>
      </c>
      <c r="Q1367" s="141"/>
      <c r="R1367" s="143"/>
      <c r="S1367" s="139" t="str">
        <f t="shared" si="2"/>
        <v>1094536</v>
      </c>
      <c r="T1367" s="141"/>
    </row>
    <row r="1368">
      <c r="A1368" s="137">
        <f>IFERROR(__xludf.DUMMYFUNCTION("""COMPUTED_VALUE"""),45352.62760479166)</f>
        <v>45352.6276</v>
      </c>
      <c r="B1368" s="138" t="str">
        <f>IFERROR(__xludf.DUMMYFUNCTION("""COMPUTED_VALUE"""),"Michael Peddecord")</f>
        <v>Michael Peddecord</v>
      </c>
      <c r="C1368" s="138">
        <f>IFERROR(__xludf.DUMMYFUNCTION("""COMPUTED_VALUE"""),1035.0)</f>
        <v>1035</v>
      </c>
      <c r="D1368" s="139">
        <f>IFERROR(__xludf.DUMMYFUNCTION("""COMPUTED_VALUE"""),536.0)</f>
        <v>536</v>
      </c>
      <c r="E1368" s="138">
        <f>IFERROR(__xludf.DUMMYFUNCTION("""COMPUTED_VALUE"""),3.0)</f>
        <v>3</v>
      </c>
      <c r="F1368" s="138">
        <f>IFERROR(__xludf.DUMMYFUNCTION("""COMPUTED_VALUE"""),4.0)</f>
        <v>4</v>
      </c>
      <c r="G1368" s="138">
        <f>IFERROR(__xludf.DUMMYFUNCTION("""COMPUTED_VALUE"""),3.0)</f>
        <v>3</v>
      </c>
      <c r="H1368" s="138">
        <f>IFERROR(__xludf.DUMMYFUNCTION("""COMPUTED_VALUE"""),5.0)</f>
        <v>5</v>
      </c>
      <c r="I1368" s="138">
        <f>IFERROR(__xludf.DUMMYFUNCTION("""COMPUTED_VALUE"""),3.0)</f>
        <v>3</v>
      </c>
      <c r="J1368" s="138">
        <f>IFERROR(__xludf.DUMMYFUNCTION("""COMPUTED_VALUE"""),3.0)</f>
        <v>3</v>
      </c>
      <c r="K1368" s="138">
        <f>IFERROR(__xludf.DUMMYFUNCTION("""COMPUTED_VALUE"""),4.0)</f>
        <v>4</v>
      </c>
      <c r="L1368" s="138">
        <v>25.0</v>
      </c>
      <c r="M1368" s="140" t="str">
        <f>VLOOKUP(text(D1368, "#"),'Master Table'!$A:$F, 6, FALSE)</f>
        <v>H-11</v>
      </c>
      <c r="N1368" s="141" t="str">
        <f>IFERROR(__xludf.DUMMYFUNCTION("""COMPUTED_VALUE"""),"This is complicated work and the author took a lot of time to explain her project and technology.  Very basic research related to potential cancer treatments.  She seem to have a strong mastery of the technologies used in this complex study. ")</f>
        <v>This is complicated work and the author took a lot of time to explain her project and technology.  Very basic research related to potential cancer treatments.  She seem to have a strong mastery of the technologies used in this complex study. </v>
      </c>
      <c r="O1368" s="142" t="str">
        <f t="shared" si="1"/>
        <v/>
      </c>
      <c r="P1368" s="143" t="str">
        <f>IF(ISNA(VLOOKUP(CONCAT(M1368,C1368), 'Judge Count DO NOT EDIT'!H:H, 1, FALSE)), "ERROR","")</f>
        <v/>
      </c>
      <c r="Q1368" s="141"/>
      <c r="R1368" s="143"/>
      <c r="S1368" s="139" t="str">
        <f t="shared" si="2"/>
        <v>1035536</v>
      </c>
      <c r="T1368" s="141"/>
    </row>
    <row r="1369">
      <c r="A1369" s="137">
        <f>IFERROR(__xludf.DUMMYFUNCTION("""COMPUTED_VALUE"""),45352.56989130787)</f>
        <v>45352.56989</v>
      </c>
      <c r="B1369" s="138" t="str">
        <f>IFERROR(__xludf.DUMMYFUNCTION("""COMPUTED_VALUE"""),"JoAnn Silkes")</f>
        <v>JoAnn Silkes</v>
      </c>
      <c r="C1369" s="138">
        <f>IFERROR(__xludf.DUMMYFUNCTION("""COMPUTED_VALUE"""),1094.0)</f>
        <v>1094</v>
      </c>
      <c r="D1369" s="139">
        <f>IFERROR(__xludf.DUMMYFUNCTION("""COMPUTED_VALUE"""),537.0)</f>
        <v>537</v>
      </c>
      <c r="E1369" s="138">
        <f>IFERROR(__xludf.DUMMYFUNCTION("""COMPUTED_VALUE"""),3.0)</f>
        <v>3</v>
      </c>
      <c r="F1369" s="138">
        <f>IFERROR(__xludf.DUMMYFUNCTION("""COMPUTED_VALUE"""),4.0)</f>
        <v>4</v>
      </c>
      <c r="G1369" s="138">
        <f>IFERROR(__xludf.DUMMYFUNCTION("""COMPUTED_VALUE"""),3.0)</f>
        <v>3</v>
      </c>
      <c r="H1369" s="138">
        <f>IFERROR(__xludf.DUMMYFUNCTION("""COMPUTED_VALUE"""),4.0)</f>
        <v>4</v>
      </c>
      <c r="I1369" s="138">
        <f>IFERROR(__xludf.DUMMYFUNCTION("""COMPUTED_VALUE"""),4.0)</f>
        <v>4</v>
      </c>
      <c r="J1369" s="138">
        <f>IFERROR(__xludf.DUMMYFUNCTION("""COMPUTED_VALUE"""),4.0)</f>
        <v>4</v>
      </c>
      <c r="K1369" s="138">
        <f>IFERROR(__xludf.DUMMYFUNCTION("""COMPUTED_VALUE"""),4.0)</f>
        <v>4</v>
      </c>
      <c r="L1369" s="138">
        <v>26.0</v>
      </c>
      <c r="M1369" s="140" t="str">
        <f>VLOOKUP(text(D1369, "#"),'Master Table'!$A:$F, 6, FALSE)</f>
        <v>H-11</v>
      </c>
      <c r="N1369" s="141" t="str">
        <f>IFERROR(__xludf.DUMMYFUNCTION("""COMPUTED_VALUE"""),"So interesting! This was a clear presentation on a topic I'd never thought about before. The present was mostly clear and I appreciated the clear responses to questions. Nicely done! ")</f>
        <v>So interesting! This was a clear presentation on a topic I'd never thought about before. The present was mostly clear and I appreciated the clear responses to questions. Nicely done! </v>
      </c>
      <c r="O1369" s="142" t="str">
        <f t="shared" si="1"/>
        <v/>
      </c>
      <c r="P1369" s="143" t="str">
        <f>IF(ISNA(VLOOKUP(CONCAT(M1369,C1369), 'Judge Count DO NOT EDIT'!H:H, 1, FALSE)), "ERROR","")</f>
        <v/>
      </c>
      <c r="Q1369" s="141"/>
      <c r="R1369" s="143"/>
      <c r="S1369" s="139" t="str">
        <f t="shared" si="2"/>
        <v>1094537</v>
      </c>
      <c r="T1369" s="141"/>
    </row>
    <row r="1370">
      <c r="A1370" s="137">
        <f>IFERROR(__xludf.DUMMYFUNCTION("""COMPUTED_VALUE"""),45352.57550111111)</f>
        <v>45352.5755</v>
      </c>
      <c r="B1370" s="138" t="str">
        <f>IFERROR(__xludf.DUMMYFUNCTION("""COMPUTED_VALUE"""),"Francesca Wade")</f>
        <v>Francesca Wade</v>
      </c>
      <c r="C1370" s="138">
        <f>IFERROR(__xludf.DUMMYFUNCTION("""COMPUTED_VALUE"""),1061.0)</f>
        <v>1061</v>
      </c>
      <c r="D1370" s="139">
        <f>IFERROR(__xludf.DUMMYFUNCTION("""COMPUTED_VALUE"""),537.0)</f>
        <v>537</v>
      </c>
      <c r="E1370" s="138">
        <f>IFERROR(__xludf.DUMMYFUNCTION("""COMPUTED_VALUE"""),2.0)</f>
        <v>2</v>
      </c>
      <c r="F1370" s="138">
        <f>IFERROR(__xludf.DUMMYFUNCTION("""COMPUTED_VALUE"""),4.0)</f>
        <v>4</v>
      </c>
      <c r="G1370" s="138">
        <f>IFERROR(__xludf.DUMMYFUNCTION("""COMPUTED_VALUE"""),2.0)</f>
        <v>2</v>
      </c>
      <c r="H1370" s="138">
        <f>IFERROR(__xludf.DUMMYFUNCTION("""COMPUTED_VALUE"""),3.0)</f>
        <v>3</v>
      </c>
      <c r="I1370" s="138">
        <f>IFERROR(__xludf.DUMMYFUNCTION("""COMPUTED_VALUE"""),2.0)</f>
        <v>2</v>
      </c>
      <c r="J1370" s="138">
        <f>IFERROR(__xludf.DUMMYFUNCTION("""COMPUTED_VALUE"""),2.0)</f>
        <v>2</v>
      </c>
      <c r="K1370" s="138">
        <f>IFERROR(__xludf.DUMMYFUNCTION("""COMPUTED_VALUE"""),3.0)</f>
        <v>3</v>
      </c>
      <c r="L1370" s="138">
        <v>18.0</v>
      </c>
      <c r="M1370" s="140" t="str">
        <f>VLOOKUP(text(D1370, "#"),'Master Table'!$A:$F, 6, FALSE)</f>
        <v>H-11</v>
      </c>
      <c r="N1370" s="141" t="str">
        <f>IFERROR(__xludf.DUMMYFUNCTION("""COMPUTED_VALUE"""),"The motivation behind your study was not super clear, nor was why we should care about these findings. I think the work was well done, I love the poster visuals, but I was left thinking “so what?”. ")</f>
        <v>The motivation behind your study was not super clear, nor was why we should care about these findings. I think the work was well done, I love the poster visuals, but I was left thinking “so what?”. </v>
      </c>
      <c r="O1370" s="142" t="str">
        <f t="shared" si="1"/>
        <v/>
      </c>
      <c r="P1370" s="143" t="str">
        <f>IF(ISNA(VLOOKUP(CONCAT(M1370,C1370), 'Judge Count DO NOT EDIT'!H:H, 1, FALSE)), "ERROR","")</f>
        <v/>
      </c>
      <c r="Q1370" s="141"/>
      <c r="R1370" s="143"/>
      <c r="S1370" s="139" t="str">
        <f t="shared" si="2"/>
        <v>1061537</v>
      </c>
      <c r="T1370" s="141"/>
    </row>
    <row r="1371">
      <c r="A1371" s="137">
        <f>IFERROR(__xludf.DUMMYFUNCTION("""COMPUTED_VALUE"""),45352.63196944444)</f>
        <v>45352.63197</v>
      </c>
      <c r="B1371" s="138" t="str">
        <f>IFERROR(__xludf.DUMMYFUNCTION("""COMPUTED_VALUE"""),"Michael Peddecord ")</f>
        <v>Michael Peddecord </v>
      </c>
      <c r="C1371" s="138">
        <f>IFERROR(__xludf.DUMMYFUNCTION("""COMPUTED_VALUE"""),1035.0)</f>
        <v>1035</v>
      </c>
      <c r="D1371" s="139">
        <f>IFERROR(__xludf.DUMMYFUNCTION("""COMPUTED_VALUE"""),537.0)</f>
        <v>537</v>
      </c>
      <c r="E1371" s="138">
        <f>IFERROR(__xludf.DUMMYFUNCTION("""COMPUTED_VALUE"""),3.0)</f>
        <v>3</v>
      </c>
      <c r="F1371" s="138">
        <f>IFERROR(__xludf.DUMMYFUNCTION("""COMPUTED_VALUE"""),2.0)</f>
        <v>2</v>
      </c>
      <c r="G1371" s="138">
        <f>IFERROR(__xludf.DUMMYFUNCTION("""COMPUTED_VALUE"""),3.0)</f>
        <v>3</v>
      </c>
      <c r="H1371" s="138">
        <f>IFERROR(__xludf.DUMMYFUNCTION("""COMPUTED_VALUE"""),4.0)</f>
        <v>4</v>
      </c>
      <c r="I1371" s="138">
        <f>IFERROR(__xludf.DUMMYFUNCTION("""COMPUTED_VALUE"""),3.0)</f>
        <v>3</v>
      </c>
      <c r="J1371" s="138">
        <f>IFERROR(__xludf.DUMMYFUNCTION("""COMPUTED_VALUE"""),2.0)</f>
        <v>2</v>
      </c>
      <c r="K1371" s="138">
        <f>IFERROR(__xludf.DUMMYFUNCTION("""COMPUTED_VALUE"""),3.0)</f>
        <v>3</v>
      </c>
      <c r="L1371" s="138">
        <v>20.0</v>
      </c>
      <c r="M1371" s="140" t="str">
        <f>VLOOKUP(text(D1371, "#"),'Master Table'!$A:$F, 6, FALSE)</f>
        <v>H-11</v>
      </c>
      <c r="N1371" s="141" t="str">
        <f>IFERROR(__xludf.DUMMYFUNCTION("""COMPUTED_VALUE"""),"Interesting project for a student. It would have been good to have a photo of a chia plant and a little more context to understand the relevance of the project.  I was able to get good explanations from the author just looking at the poster was not enough")</f>
        <v>Interesting project for a student. It would have been good to have a photo of a chia plant and a little more context to understand the relevance of the project.  I was able to get good explanations from the author just looking at the poster was not enough</v>
      </c>
      <c r="O1371" s="142" t="str">
        <f t="shared" si="1"/>
        <v/>
      </c>
      <c r="P1371" s="143" t="str">
        <f>IF(ISNA(VLOOKUP(CONCAT(M1371,C1371), 'Judge Count DO NOT EDIT'!H:H, 1, FALSE)), "ERROR","")</f>
        <v/>
      </c>
      <c r="Q1371" s="141"/>
      <c r="R1371" s="143"/>
      <c r="S1371" s="139" t="str">
        <f t="shared" si="2"/>
        <v>1035537</v>
      </c>
      <c r="T1371" s="141"/>
    </row>
    <row r="1372">
      <c r="A1372" s="137">
        <f>IFERROR(__xludf.DUMMYFUNCTION("""COMPUTED_VALUE"""),45352.55395821759)</f>
        <v>45352.55396</v>
      </c>
      <c r="B1372" s="138" t="str">
        <f>IFERROR(__xludf.DUMMYFUNCTION("""COMPUTED_VALUE"""),"Eyal Oren")</f>
        <v>Eyal Oren</v>
      </c>
      <c r="C1372" s="138">
        <f>IFERROR(__xludf.DUMMYFUNCTION("""COMPUTED_VALUE"""),1057.0)</f>
        <v>1057</v>
      </c>
      <c r="D1372" s="139">
        <f>IFERROR(__xludf.DUMMYFUNCTION("""COMPUTED_VALUE"""),538.0)</f>
        <v>538</v>
      </c>
      <c r="E1372" s="138">
        <f>IFERROR(__xludf.DUMMYFUNCTION("""COMPUTED_VALUE"""),4.0)</f>
        <v>4</v>
      </c>
      <c r="F1372" s="138">
        <f>IFERROR(__xludf.DUMMYFUNCTION("""COMPUTED_VALUE"""),5.0)</f>
        <v>5</v>
      </c>
      <c r="G1372" s="138">
        <f>IFERROR(__xludf.DUMMYFUNCTION("""COMPUTED_VALUE"""),5.0)</f>
        <v>5</v>
      </c>
      <c r="H1372" s="138">
        <f>IFERROR(__xludf.DUMMYFUNCTION("""COMPUTED_VALUE"""),4.0)</f>
        <v>4</v>
      </c>
      <c r="I1372" s="138">
        <f>IFERROR(__xludf.DUMMYFUNCTION("""COMPUTED_VALUE"""),5.0)</f>
        <v>5</v>
      </c>
      <c r="J1372" s="138">
        <f>IFERROR(__xludf.DUMMYFUNCTION("""COMPUTED_VALUE"""),5.0)</f>
        <v>5</v>
      </c>
      <c r="K1372" s="138">
        <f>IFERROR(__xludf.DUMMYFUNCTION("""COMPUTED_VALUE"""),4.0)</f>
        <v>4</v>
      </c>
      <c r="L1372" s="138">
        <v>32.0</v>
      </c>
      <c r="M1372" s="140" t="str">
        <f>VLOOKUP(text(D1372, "#"),'Master Table'!$A:$F, 6, FALSE)</f>
        <v>H-11</v>
      </c>
      <c r="N1372" s="141"/>
      <c r="O1372" s="142" t="str">
        <f t="shared" si="1"/>
        <v/>
      </c>
      <c r="P1372" s="143" t="str">
        <f>IF(ISNA(VLOOKUP(CONCAT(M1372,C1372), 'Judge Count DO NOT EDIT'!H:H, 1, FALSE)), "ERROR","")</f>
        <v/>
      </c>
      <c r="Q1372" s="141"/>
      <c r="R1372" s="143"/>
      <c r="S1372" s="139" t="str">
        <f t="shared" si="2"/>
        <v>1057538</v>
      </c>
      <c r="T1372" s="141"/>
    </row>
    <row r="1373">
      <c r="A1373" s="137">
        <f>IFERROR(__xludf.DUMMYFUNCTION("""COMPUTED_VALUE"""),45352.56008130787)</f>
        <v>45352.56008</v>
      </c>
      <c r="B1373" s="138" t="str">
        <f>IFERROR(__xludf.DUMMYFUNCTION("""COMPUTED_VALUE"""),"JoAnn Silkes")</f>
        <v>JoAnn Silkes</v>
      </c>
      <c r="C1373" s="138">
        <f>IFERROR(__xludf.DUMMYFUNCTION("""COMPUTED_VALUE"""),1094.0)</f>
        <v>1094</v>
      </c>
      <c r="D1373" s="139">
        <f>IFERROR(__xludf.DUMMYFUNCTION("""COMPUTED_VALUE"""),538.0)</f>
        <v>538</v>
      </c>
      <c r="E1373" s="138">
        <f>IFERROR(__xludf.DUMMYFUNCTION("""COMPUTED_VALUE"""),3.0)</f>
        <v>3</v>
      </c>
      <c r="F1373" s="138">
        <f>IFERROR(__xludf.DUMMYFUNCTION("""COMPUTED_VALUE"""),4.0)</f>
        <v>4</v>
      </c>
      <c r="G1373" s="138">
        <f>IFERROR(__xludf.DUMMYFUNCTION("""COMPUTED_VALUE"""),4.0)</f>
        <v>4</v>
      </c>
      <c r="H1373" s="138">
        <f>IFERROR(__xludf.DUMMYFUNCTION("""COMPUTED_VALUE"""),3.0)</f>
        <v>3</v>
      </c>
      <c r="I1373" s="138">
        <f>IFERROR(__xludf.DUMMYFUNCTION("""COMPUTED_VALUE"""),4.0)</f>
        <v>4</v>
      </c>
      <c r="J1373" s="138">
        <f>IFERROR(__xludf.DUMMYFUNCTION("""COMPUTED_VALUE"""),3.0)</f>
        <v>3</v>
      </c>
      <c r="K1373" s="138">
        <f>IFERROR(__xludf.DUMMYFUNCTION("""COMPUTED_VALUE"""),4.0)</f>
        <v>4</v>
      </c>
      <c r="L1373" s="138">
        <v>25.0</v>
      </c>
      <c r="M1373" s="140" t="str">
        <f>VLOOKUP(text(D1373, "#"),'Master Table'!$A:$F, 6, FALSE)</f>
        <v>H-11</v>
      </c>
      <c r="N1373" s="141" t="str">
        <f>IFERROR(__xludf.DUMMYFUNCTION("""COMPUTED_VALUE"""),"What a great topic to be investigating! The presentation was clear and enthusiastic. The presenters did well responding to questions, even when they were uncertain. Nicely done! ")</f>
        <v>What a great topic to be investigating! The presentation was clear and enthusiastic. The presenters did well responding to questions, even when they were uncertain. Nicely done! </v>
      </c>
      <c r="O1373" s="142" t="str">
        <f t="shared" si="1"/>
        <v/>
      </c>
      <c r="P1373" s="143" t="str">
        <f>IF(ISNA(VLOOKUP(CONCAT(M1373,C1373), 'Judge Count DO NOT EDIT'!H:H, 1, FALSE)), "ERROR","")</f>
        <v/>
      </c>
      <c r="Q1373" s="141"/>
      <c r="R1373" s="143"/>
      <c r="S1373" s="139" t="str">
        <f t="shared" si="2"/>
        <v>1094538</v>
      </c>
      <c r="T1373" s="141"/>
    </row>
    <row r="1374">
      <c r="A1374" s="137">
        <f>IFERROR(__xludf.DUMMYFUNCTION("""COMPUTED_VALUE"""),45352.589423854166)</f>
        <v>45352.58942</v>
      </c>
      <c r="B1374" s="138" t="str">
        <f>IFERROR(__xludf.DUMMYFUNCTION("""COMPUTED_VALUE"""),"Francesca Wade")</f>
        <v>Francesca Wade</v>
      </c>
      <c r="C1374" s="138">
        <f>IFERROR(__xludf.DUMMYFUNCTION("""COMPUTED_VALUE"""),1061.0)</f>
        <v>1061</v>
      </c>
      <c r="D1374" s="139">
        <f>IFERROR(__xludf.DUMMYFUNCTION("""COMPUTED_VALUE"""),538.0)</f>
        <v>538</v>
      </c>
      <c r="E1374" s="138">
        <f>IFERROR(__xludf.DUMMYFUNCTION("""COMPUTED_VALUE"""),3.0)</f>
        <v>3</v>
      </c>
      <c r="F1374" s="138">
        <f>IFERROR(__xludf.DUMMYFUNCTION("""COMPUTED_VALUE"""),3.0)</f>
        <v>3</v>
      </c>
      <c r="G1374" s="138">
        <f>IFERROR(__xludf.DUMMYFUNCTION("""COMPUTED_VALUE"""),4.0)</f>
        <v>4</v>
      </c>
      <c r="H1374" s="138">
        <f>IFERROR(__xludf.DUMMYFUNCTION("""COMPUTED_VALUE"""),3.0)</f>
        <v>3</v>
      </c>
      <c r="I1374" s="138">
        <f>IFERROR(__xludf.DUMMYFUNCTION("""COMPUTED_VALUE"""),4.0)</f>
        <v>4</v>
      </c>
      <c r="J1374" s="138">
        <f>IFERROR(__xludf.DUMMYFUNCTION("""COMPUTED_VALUE"""),4.0)</f>
        <v>4</v>
      </c>
      <c r="K1374" s="138">
        <f>IFERROR(__xludf.DUMMYFUNCTION("""COMPUTED_VALUE"""),5.0)</f>
        <v>5</v>
      </c>
      <c r="L1374" s="138">
        <v>26.0</v>
      </c>
      <c r="M1374" s="140" t="str">
        <f>VLOOKUP(text(D1374, "#"),'Master Table'!$A:$F, 6, FALSE)</f>
        <v>H-11</v>
      </c>
      <c r="N1374" s="141" t="str">
        <f>IFERROR(__xludf.DUMMYFUNCTION("""COMPUTED_VALUE"""),"My favorite part of your work is your expertise as clinicians. What you’re doing is important and necessary, and while your poster could have been clearer for the “drive-by” observers, your knowledge and expertise shines in the verbal communication. Thank"&amp;"s for a great conversation!")</f>
        <v>My favorite part of your work is your expertise as clinicians. What you’re doing is important and necessary, and while your poster could have been clearer for the “drive-by” observers, your knowledge and expertise shines in the verbal communication. Thanks for a great conversation!</v>
      </c>
      <c r="O1374" s="142" t="str">
        <f t="shared" si="1"/>
        <v/>
      </c>
      <c r="P1374" s="143" t="str">
        <f>IF(ISNA(VLOOKUP(CONCAT(M1374,C1374), 'Judge Count DO NOT EDIT'!H:H, 1, FALSE)), "ERROR","")</f>
        <v/>
      </c>
      <c r="Q1374" s="141"/>
      <c r="R1374" s="143"/>
      <c r="S1374" s="139" t="str">
        <f t="shared" si="2"/>
        <v>1061538</v>
      </c>
      <c r="T1374" s="141"/>
    </row>
    <row r="1375">
      <c r="A1375" s="137">
        <f>IFERROR(__xludf.DUMMYFUNCTION("""COMPUTED_VALUE"""),45352.63394320602)</f>
        <v>45352.63394</v>
      </c>
      <c r="B1375" s="138" t="str">
        <f>IFERROR(__xludf.DUMMYFUNCTION("""COMPUTED_VALUE"""),"Michael Peddecord")</f>
        <v>Michael Peddecord</v>
      </c>
      <c r="C1375" s="138">
        <f>IFERROR(__xludf.DUMMYFUNCTION("""COMPUTED_VALUE"""),1035.0)</f>
        <v>1035</v>
      </c>
      <c r="D1375" s="139">
        <f>IFERROR(__xludf.DUMMYFUNCTION("""COMPUTED_VALUE"""),538.0)</f>
        <v>538</v>
      </c>
      <c r="E1375" s="138">
        <f>IFERROR(__xludf.DUMMYFUNCTION("""COMPUTED_VALUE"""),4.0)</f>
        <v>4</v>
      </c>
      <c r="F1375" s="138">
        <f>IFERROR(__xludf.DUMMYFUNCTION("""COMPUTED_VALUE"""),3.0)</f>
        <v>3</v>
      </c>
      <c r="G1375" s="138">
        <f>IFERROR(__xludf.DUMMYFUNCTION("""COMPUTED_VALUE"""),4.0)</f>
        <v>4</v>
      </c>
      <c r="H1375" s="138">
        <f>IFERROR(__xludf.DUMMYFUNCTION("""COMPUTED_VALUE"""),3.0)</f>
        <v>3</v>
      </c>
      <c r="I1375" s="138">
        <f>IFERROR(__xludf.DUMMYFUNCTION("""COMPUTED_VALUE"""),4.0)</f>
        <v>4</v>
      </c>
      <c r="J1375" s="138">
        <f>IFERROR(__xludf.DUMMYFUNCTION("""COMPUTED_VALUE"""),4.0)</f>
        <v>4</v>
      </c>
      <c r="K1375" s="138">
        <f>IFERROR(__xludf.DUMMYFUNCTION("""COMPUTED_VALUE"""),4.0)</f>
        <v>4</v>
      </c>
      <c r="L1375" s="138">
        <v>26.0</v>
      </c>
      <c r="M1375" s="140" t="str">
        <f>VLOOKUP(text(D1375, "#"),'Master Table'!$A:$F, 6, FALSE)</f>
        <v>H-11</v>
      </c>
      <c r="N1375" s="141" t="str">
        <f>IFERROR(__xludf.DUMMYFUNCTION("""COMPUTED_VALUE"""),"MSN capstone project.  The student communicated her literature synthesis well.  ")</f>
        <v>MSN capstone project.  The student communicated her literature synthesis well.  </v>
      </c>
      <c r="O1375" s="142" t="str">
        <f t="shared" si="1"/>
        <v/>
      </c>
      <c r="P1375" s="143" t="str">
        <f>IF(ISNA(VLOOKUP(CONCAT(M1375,C1375), 'Judge Count DO NOT EDIT'!H:H, 1, FALSE)), "ERROR","")</f>
        <v/>
      </c>
      <c r="Q1375" s="141"/>
      <c r="R1375" s="143"/>
      <c r="S1375" s="139" t="str">
        <f t="shared" si="2"/>
        <v>1035538</v>
      </c>
      <c r="T1375" s="141"/>
    </row>
    <row r="1376">
      <c r="A1376" s="137">
        <f>IFERROR(__xludf.DUMMYFUNCTION("""COMPUTED_VALUE"""),45352.55531599537)</f>
        <v>45352.55532</v>
      </c>
      <c r="B1376" s="138" t="str">
        <f>IFERROR(__xludf.DUMMYFUNCTION("""COMPUTED_VALUE"""),"Eyal Oren")</f>
        <v>Eyal Oren</v>
      </c>
      <c r="C1376" s="138">
        <f>IFERROR(__xludf.DUMMYFUNCTION("""COMPUTED_VALUE"""),1057.0)</f>
        <v>1057</v>
      </c>
      <c r="D1376" s="139">
        <f>IFERROR(__xludf.DUMMYFUNCTION("""COMPUTED_VALUE"""),539.0)</f>
        <v>539</v>
      </c>
      <c r="E1376" s="138">
        <f>IFERROR(__xludf.DUMMYFUNCTION("""COMPUTED_VALUE"""),3.0)</f>
        <v>3</v>
      </c>
      <c r="F1376" s="138">
        <f>IFERROR(__xludf.DUMMYFUNCTION("""COMPUTED_VALUE"""),4.0)</f>
        <v>4</v>
      </c>
      <c r="G1376" s="138">
        <f>IFERROR(__xludf.DUMMYFUNCTION("""COMPUTED_VALUE"""),4.0)</f>
        <v>4</v>
      </c>
      <c r="H1376" s="138">
        <f>IFERROR(__xludf.DUMMYFUNCTION("""COMPUTED_VALUE"""),4.0)</f>
        <v>4</v>
      </c>
      <c r="I1376" s="138">
        <f>IFERROR(__xludf.DUMMYFUNCTION("""COMPUTED_VALUE"""),4.0)</f>
        <v>4</v>
      </c>
      <c r="J1376" s="138">
        <f>IFERROR(__xludf.DUMMYFUNCTION("""COMPUTED_VALUE"""),4.0)</f>
        <v>4</v>
      </c>
      <c r="K1376" s="138">
        <f>IFERROR(__xludf.DUMMYFUNCTION("""COMPUTED_VALUE"""),4.0)</f>
        <v>4</v>
      </c>
      <c r="L1376" s="138">
        <v>27.0</v>
      </c>
      <c r="M1376" s="140" t="str">
        <f>VLOOKUP(text(D1376, "#"),'Master Table'!$A:$F, 6, FALSE)</f>
        <v>H-11</v>
      </c>
      <c r="N1376" s="141"/>
      <c r="O1376" s="142" t="str">
        <f t="shared" si="1"/>
        <v/>
      </c>
      <c r="P1376" s="143" t="str">
        <f>IF(ISNA(VLOOKUP(CONCAT(M1376,C1376), 'Judge Count DO NOT EDIT'!H:H, 1, FALSE)), "ERROR","")</f>
        <v/>
      </c>
      <c r="Q1376" s="141"/>
      <c r="R1376" s="143"/>
      <c r="S1376" s="139" t="str">
        <f t="shared" si="2"/>
        <v>1057539</v>
      </c>
      <c r="T1376" s="141"/>
    </row>
    <row r="1377">
      <c r="A1377" s="137">
        <f>IFERROR(__xludf.DUMMYFUNCTION("""COMPUTED_VALUE"""),45352.58040273148)</f>
        <v>45352.5804</v>
      </c>
      <c r="B1377" s="138" t="str">
        <f>IFERROR(__xludf.DUMMYFUNCTION("""COMPUTED_VALUE"""),"Francesca Wade")</f>
        <v>Francesca Wade</v>
      </c>
      <c r="C1377" s="138">
        <f>IFERROR(__xludf.DUMMYFUNCTION("""COMPUTED_VALUE"""),1061.0)</f>
        <v>1061</v>
      </c>
      <c r="D1377" s="139">
        <f>IFERROR(__xludf.DUMMYFUNCTION("""COMPUTED_VALUE"""),539.0)</f>
        <v>539</v>
      </c>
      <c r="E1377" s="138">
        <f>IFERROR(__xludf.DUMMYFUNCTION("""COMPUTED_VALUE"""),3.0)</f>
        <v>3</v>
      </c>
      <c r="F1377" s="138">
        <f>IFERROR(__xludf.DUMMYFUNCTION("""COMPUTED_VALUE"""),1.0)</f>
        <v>1</v>
      </c>
      <c r="G1377" s="138">
        <f>IFERROR(__xludf.DUMMYFUNCTION("""COMPUTED_VALUE"""),2.0)</f>
        <v>2</v>
      </c>
      <c r="H1377" s="138">
        <f>IFERROR(__xludf.DUMMYFUNCTION("""COMPUTED_VALUE"""),2.0)</f>
        <v>2</v>
      </c>
      <c r="I1377" s="138">
        <f>IFERROR(__xludf.DUMMYFUNCTION("""COMPUTED_VALUE"""),3.0)</f>
        <v>3</v>
      </c>
      <c r="J1377" s="138">
        <f>IFERROR(__xludf.DUMMYFUNCTION("""COMPUTED_VALUE"""),4.0)</f>
        <v>4</v>
      </c>
      <c r="K1377" s="138">
        <f>IFERROR(__xludf.DUMMYFUNCTION("""COMPUTED_VALUE"""),4.0)</f>
        <v>4</v>
      </c>
      <c r="L1377" s="138">
        <v>19.0</v>
      </c>
      <c r="M1377" s="140" t="str">
        <f>VLOOKUP(text(D1377, "#"),'Master Table'!$A:$F, 6, FALSE)</f>
        <v>H-11</v>
      </c>
      <c r="N1377" s="141" t="str">
        <f>IFERROR(__xludf.DUMMYFUNCTION("""COMPUTED_VALUE"""),"Talk to the person rather than the poster. Your poster has a lot of text and not many visuals which can make it hard for people walking by to get the gist of what you’re presenting on.")</f>
        <v>Talk to the person rather than the poster. Your poster has a lot of text and not many visuals which can make it hard for people walking by to get the gist of what you’re presenting on.</v>
      </c>
      <c r="O1377" s="142" t="str">
        <f t="shared" si="1"/>
        <v/>
      </c>
      <c r="P1377" s="143" t="str">
        <f>IF(ISNA(VLOOKUP(CONCAT(M1377,C1377), 'Judge Count DO NOT EDIT'!H:H, 1, FALSE)), "ERROR","")</f>
        <v/>
      </c>
      <c r="Q1377" s="141"/>
      <c r="R1377" s="143"/>
      <c r="S1377" s="139" t="str">
        <f t="shared" si="2"/>
        <v>1061539</v>
      </c>
      <c r="T1377" s="141"/>
    </row>
    <row r="1378">
      <c r="A1378" s="137">
        <f>IFERROR(__xludf.DUMMYFUNCTION("""COMPUTED_VALUE"""),45352.58801545139)</f>
        <v>45352.58802</v>
      </c>
      <c r="B1378" s="138" t="str">
        <f>IFERROR(__xludf.DUMMYFUNCTION("""COMPUTED_VALUE"""),"JoAnn Silkes")</f>
        <v>JoAnn Silkes</v>
      </c>
      <c r="C1378" s="138">
        <f>IFERROR(__xludf.DUMMYFUNCTION("""COMPUTED_VALUE"""),1094.0)</f>
        <v>1094</v>
      </c>
      <c r="D1378" s="139">
        <f>IFERROR(__xludf.DUMMYFUNCTION("""COMPUTED_VALUE"""),539.0)</f>
        <v>539</v>
      </c>
      <c r="E1378" s="138">
        <f>IFERROR(__xludf.DUMMYFUNCTION("""COMPUTED_VALUE"""),3.0)</f>
        <v>3</v>
      </c>
      <c r="F1378" s="138">
        <f>IFERROR(__xludf.DUMMYFUNCTION("""COMPUTED_VALUE"""),4.0)</f>
        <v>4</v>
      </c>
      <c r="G1378" s="138">
        <f>IFERROR(__xludf.DUMMYFUNCTION("""COMPUTED_VALUE"""),4.0)</f>
        <v>4</v>
      </c>
      <c r="H1378" s="138">
        <f>IFERROR(__xludf.DUMMYFUNCTION("""COMPUTED_VALUE"""),3.0)</f>
        <v>3</v>
      </c>
      <c r="I1378" s="138">
        <f>IFERROR(__xludf.DUMMYFUNCTION("""COMPUTED_VALUE"""),4.0)</f>
        <v>4</v>
      </c>
      <c r="J1378" s="138">
        <f>IFERROR(__xludf.DUMMYFUNCTION("""COMPUTED_VALUE"""),3.0)</f>
        <v>3</v>
      </c>
      <c r="K1378" s="138">
        <f>IFERROR(__xludf.DUMMYFUNCTION("""COMPUTED_VALUE"""),4.0)</f>
        <v>4</v>
      </c>
      <c r="L1378" s="138">
        <v>25.0</v>
      </c>
      <c r="M1378" s="140" t="str">
        <f>VLOOKUP(text(D1378, "#"),'Master Table'!$A:$F, 6, FALSE)</f>
        <v>H-11</v>
      </c>
      <c r="N1378" s="141" t="str">
        <f>IFERROR(__xludf.DUMMYFUNCTION("""COMPUTED_VALUE"""),"This is an interesting idea. I know it was hypothetical but it would be great to see data in the future to see if it works! ")</f>
        <v>This is an interesting idea. I know it was hypothetical but it would be great to see data in the future to see if it works! </v>
      </c>
      <c r="O1378" s="142" t="str">
        <f t="shared" si="1"/>
        <v/>
      </c>
      <c r="P1378" s="143" t="str">
        <f>IF(ISNA(VLOOKUP(CONCAT(M1378,C1378), 'Judge Count DO NOT EDIT'!H:H, 1, FALSE)), "ERROR","")</f>
        <v/>
      </c>
      <c r="Q1378" s="141"/>
      <c r="R1378" s="143"/>
      <c r="S1378" s="139" t="str">
        <f t="shared" si="2"/>
        <v>1094539</v>
      </c>
      <c r="T1378" s="141"/>
    </row>
    <row r="1379">
      <c r="A1379" s="137">
        <f>IFERROR(__xludf.DUMMYFUNCTION("""COMPUTED_VALUE"""),45352.63704612268)</f>
        <v>45352.63705</v>
      </c>
      <c r="B1379" s="138" t="str">
        <f>IFERROR(__xludf.DUMMYFUNCTION("""COMPUTED_VALUE"""),"Michael Peddecord")</f>
        <v>Michael Peddecord</v>
      </c>
      <c r="C1379" s="138">
        <f>IFERROR(__xludf.DUMMYFUNCTION("""COMPUTED_VALUE"""),1035.0)</f>
        <v>1035</v>
      </c>
      <c r="D1379" s="139">
        <f>IFERROR(__xludf.DUMMYFUNCTION("""COMPUTED_VALUE"""),539.0)</f>
        <v>539</v>
      </c>
      <c r="E1379" s="138">
        <f>IFERROR(__xludf.DUMMYFUNCTION("""COMPUTED_VALUE"""),3.0)</f>
        <v>3</v>
      </c>
      <c r="F1379" s="138">
        <f>IFERROR(__xludf.DUMMYFUNCTION("""COMPUTED_VALUE"""),2.0)</f>
        <v>2</v>
      </c>
      <c r="G1379" s="138">
        <f>IFERROR(__xludf.DUMMYFUNCTION("""COMPUTED_VALUE"""),2.0)</f>
        <v>2</v>
      </c>
      <c r="H1379" s="138">
        <f>IFERROR(__xludf.DUMMYFUNCTION("""COMPUTED_VALUE"""),2.0)</f>
        <v>2</v>
      </c>
      <c r="I1379" s="138">
        <f>IFERROR(__xludf.DUMMYFUNCTION("""COMPUTED_VALUE"""),3.0)</f>
        <v>3</v>
      </c>
      <c r="J1379" s="138">
        <f>IFERROR(__xludf.DUMMYFUNCTION("""COMPUTED_VALUE"""),3.0)</f>
        <v>3</v>
      </c>
      <c r="K1379" s="138">
        <f>IFERROR(__xludf.DUMMYFUNCTION("""COMPUTED_VALUE"""),4.0)</f>
        <v>4</v>
      </c>
      <c r="L1379" s="138">
        <v>19.0</v>
      </c>
      <c r="M1379" s="140" t="str">
        <f>VLOOKUP(text(D1379, "#"),'Master Table'!$A:$F, 6, FALSE)</f>
        <v>H-11</v>
      </c>
      <c r="N1379" s="141" t="str">
        <f>IFERROR(__xludf.DUMMYFUNCTION("""COMPUTED_VALUE"""),"This presented a proposal for an intervention.  It was produced as a one semester class project so difficult to compare to other thesis and capstone presentations.  The project It seemed logical and relevant.  Quite good for a student in her second semest"&amp;"er. ")</f>
        <v>This presented a proposal for an intervention.  It was produced as a one semester class project so difficult to compare to other thesis and capstone presentations.  The project It seemed logical and relevant.  Quite good for a student in her second semester. </v>
      </c>
      <c r="O1379" s="142" t="str">
        <f t="shared" si="1"/>
        <v/>
      </c>
      <c r="P1379" s="143" t="str">
        <f>IF(ISNA(VLOOKUP(CONCAT(M1379,C1379), 'Judge Count DO NOT EDIT'!H:H, 1, FALSE)), "ERROR","")</f>
        <v/>
      </c>
      <c r="Q1379" s="141"/>
      <c r="R1379" s="143"/>
      <c r="S1379" s="139" t="str">
        <f t="shared" si="2"/>
        <v>1035539</v>
      </c>
      <c r="T1379" s="141"/>
    </row>
    <row r="1380">
      <c r="A1380" s="137">
        <f>IFERROR(__xludf.DUMMYFUNCTION("""COMPUTED_VALUE"""),45352.54928990741)</f>
        <v>45352.54929</v>
      </c>
      <c r="B1380" s="138" t="str">
        <f>IFERROR(__xludf.DUMMYFUNCTION("""COMPUTED_VALUE"""),"Francesca Wade")</f>
        <v>Francesca Wade</v>
      </c>
      <c r="C1380" s="138">
        <f>IFERROR(__xludf.DUMMYFUNCTION("""COMPUTED_VALUE"""),1061.0)</f>
        <v>1061</v>
      </c>
      <c r="D1380" s="139">
        <f>IFERROR(__xludf.DUMMYFUNCTION("""COMPUTED_VALUE"""),540.0)</f>
        <v>540</v>
      </c>
      <c r="E1380" s="138">
        <f>IFERROR(__xludf.DUMMYFUNCTION("""COMPUTED_VALUE"""),4.0)</f>
        <v>4</v>
      </c>
      <c r="F1380" s="138">
        <f>IFERROR(__xludf.DUMMYFUNCTION("""COMPUTED_VALUE"""),5.0)</f>
        <v>5</v>
      </c>
      <c r="G1380" s="138">
        <f>IFERROR(__xludf.DUMMYFUNCTION("""COMPUTED_VALUE"""),4.0)</f>
        <v>4</v>
      </c>
      <c r="H1380" s="138">
        <f>IFERROR(__xludf.DUMMYFUNCTION("""COMPUTED_VALUE"""),4.0)</f>
        <v>4</v>
      </c>
      <c r="I1380" s="138">
        <f>IFERROR(__xludf.DUMMYFUNCTION("""COMPUTED_VALUE"""),5.0)</f>
        <v>5</v>
      </c>
      <c r="J1380" s="138">
        <f>IFERROR(__xludf.DUMMYFUNCTION("""COMPUTED_VALUE"""),5.0)</f>
        <v>5</v>
      </c>
      <c r="K1380" s="138">
        <f>IFERROR(__xludf.DUMMYFUNCTION("""COMPUTED_VALUE"""),5.0)</f>
        <v>5</v>
      </c>
      <c r="L1380" s="138">
        <v>32.0</v>
      </c>
      <c r="M1380" s="140" t="str">
        <f>VLOOKUP(text(D1380, "#"),'Master Table'!$A:$F, 6, FALSE)</f>
        <v>H-11</v>
      </c>
      <c r="N1380" s="141" t="str">
        <f>IFERROR(__xludf.DUMMYFUNCTION("""COMPUTED_VALUE"""),"Loved the inclusion of gender instead of sex. Very clear presentation. Great awareness of limitations of participant population. And wonderful understanding of field and practice based context")</f>
        <v>Loved the inclusion of gender instead of sex. Very clear presentation. Great awareness of limitations of participant population. And wonderful understanding of field and practice based context</v>
      </c>
      <c r="O1380" s="142" t="str">
        <f t="shared" si="1"/>
        <v/>
      </c>
      <c r="P1380" s="143" t="str">
        <f>IF(ISNA(VLOOKUP(CONCAT(M1380,C1380), 'Judge Count DO NOT EDIT'!H:H, 1, FALSE)), "ERROR","")</f>
        <v/>
      </c>
      <c r="Q1380" s="141"/>
      <c r="R1380" s="143"/>
      <c r="S1380" s="139" t="str">
        <f t="shared" si="2"/>
        <v>1061540</v>
      </c>
      <c r="T1380" s="141"/>
    </row>
    <row r="1381">
      <c r="A1381" s="137">
        <f>IFERROR(__xludf.DUMMYFUNCTION("""COMPUTED_VALUE"""),45352.550920625)</f>
        <v>45352.55092</v>
      </c>
      <c r="B1381" s="138" t="str">
        <f>IFERROR(__xludf.DUMMYFUNCTION("""COMPUTED_VALUE"""),"JoAnn Silkes")</f>
        <v>JoAnn Silkes</v>
      </c>
      <c r="C1381" s="138">
        <f>IFERROR(__xludf.DUMMYFUNCTION("""COMPUTED_VALUE"""),1094.0)</f>
        <v>1094</v>
      </c>
      <c r="D1381" s="139">
        <f>IFERROR(__xludf.DUMMYFUNCTION("""COMPUTED_VALUE"""),540.0)</f>
        <v>540</v>
      </c>
      <c r="E1381" s="138">
        <f>IFERROR(__xludf.DUMMYFUNCTION("""COMPUTED_VALUE"""),4.0)</f>
        <v>4</v>
      </c>
      <c r="F1381" s="138">
        <f>IFERROR(__xludf.DUMMYFUNCTION("""COMPUTED_VALUE"""),4.0)</f>
        <v>4</v>
      </c>
      <c r="G1381" s="138">
        <f>IFERROR(__xludf.DUMMYFUNCTION("""COMPUTED_VALUE"""),5.0)</f>
        <v>5</v>
      </c>
      <c r="H1381" s="138">
        <f>IFERROR(__xludf.DUMMYFUNCTION("""COMPUTED_VALUE"""),4.0)</f>
        <v>4</v>
      </c>
      <c r="I1381" s="138">
        <f>IFERROR(__xludf.DUMMYFUNCTION("""COMPUTED_VALUE"""),5.0)</f>
        <v>5</v>
      </c>
      <c r="J1381" s="138">
        <f>IFERROR(__xludf.DUMMYFUNCTION("""COMPUTED_VALUE"""),4.0)</f>
        <v>4</v>
      </c>
      <c r="K1381" s="138">
        <f>IFERROR(__xludf.DUMMYFUNCTION("""COMPUTED_VALUE"""),5.0)</f>
        <v>5</v>
      </c>
      <c r="L1381" s="138">
        <v>31.0</v>
      </c>
      <c r="M1381" s="140" t="str">
        <f>VLOOKUP(text(D1381, "#"),'Master Table'!$A:$F, 6, FALSE)</f>
        <v>H-11</v>
      </c>
      <c r="N1381" s="141" t="str">
        <f>IFERROR(__xludf.DUMMYFUNCTION("""COMPUTED_VALUE"""),"Excellent presentation of important, interesting work! ")</f>
        <v>Excellent presentation of important, interesting work! </v>
      </c>
      <c r="O1381" s="142" t="str">
        <f t="shared" si="1"/>
        <v/>
      </c>
      <c r="P1381" s="143" t="str">
        <f>IF(ISNA(VLOOKUP(CONCAT(M1381,C1381), 'Judge Count DO NOT EDIT'!H:H, 1, FALSE)), "ERROR","")</f>
        <v/>
      </c>
      <c r="Q1381" s="141"/>
      <c r="R1381" s="143"/>
      <c r="S1381" s="139" t="str">
        <f t="shared" si="2"/>
        <v>1094540</v>
      </c>
      <c r="T1381" s="141"/>
    </row>
    <row r="1382">
      <c r="A1382" s="137">
        <f>IFERROR(__xludf.DUMMYFUNCTION("""COMPUTED_VALUE"""),45352.558462141205)</f>
        <v>45352.55846</v>
      </c>
      <c r="B1382" s="138" t="str">
        <f>IFERROR(__xludf.DUMMYFUNCTION("""COMPUTED_VALUE"""),"Eyal Oren")</f>
        <v>Eyal Oren</v>
      </c>
      <c r="C1382" s="138">
        <f>IFERROR(__xludf.DUMMYFUNCTION("""COMPUTED_VALUE"""),1057.0)</f>
        <v>1057</v>
      </c>
      <c r="D1382" s="139">
        <f>IFERROR(__xludf.DUMMYFUNCTION("""COMPUTED_VALUE"""),540.0)</f>
        <v>540</v>
      </c>
      <c r="E1382" s="138">
        <f>IFERROR(__xludf.DUMMYFUNCTION("""COMPUTED_VALUE"""),4.0)</f>
        <v>4</v>
      </c>
      <c r="F1382" s="138">
        <f>IFERROR(__xludf.DUMMYFUNCTION("""COMPUTED_VALUE"""),4.0)</f>
        <v>4</v>
      </c>
      <c r="G1382" s="138">
        <f>IFERROR(__xludf.DUMMYFUNCTION("""COMPUTED_VALUE"""),4.0)</f>
        <v>4</v>
      </c>
      <c r="H1382" s="138">
        <f>IFERROR(__xludf.DUMMYFUNCTION("""COMPUTED_VALUE"""),4.0)</f>
        <v>4</v>
      </c>
      <c r="I1382" s="138">
        <f>IFERROR(__xludf.DUMMYFUNCTION("""COMPUTED_VALUE"""),5.0)</f>
        <v>5</v>
      </c>
      <c r="J1382" s="138">
        <f>IFERROR(__xludf.DUMMYFUNCTION("""COMPUTED_VALUE"""),4.0)</f>
        <v>4</v>
      </c>
      <c r="K1382" s="138">
        <f>IFERROR(__xludf.DUMMYFUNCTION("""COMPUTED_VALUE"""),5.0)</f>
        <v>5</v>
      </c>
      <c r="L1382" s="138">
        <v>30.0</v>
      </c>
      <c r="M1382" s="140" t="str">
        <f>VLOOKUP(text(D1382, "#"),'Master Table'!$A:$F, 6, FALSE)</f>
        <v>H-11</v>
      </c>
      <c r="N1382" s="141"/>
      <c r="O1382" s="142" t="str">
        <f t="shared" si="1"/>
        <v/>
      </c>
      <c r="P1382" s="143" t="str">
        <f>IF(ISNA(VLOOKUP(CONCAT(M1382,C1382), 'Judge Count DO NOT EDIT'!H:H, 1, FALSE)), "ERROR","")</f>
        <v/>
      </c>
      <c r="Q1382" s="141"/>
      <c r="R1382" s="143"/>
      <c r="S1382" s="139" t="str">
        <f t="shared" si="2"/>
        <v>1057540</v>
      </c>
      <c r="T1382" s="141"/>
    </row>
    <row r="1383">
      <c r="A1383" s="137">
        <f>IFERROR(__xludf.DUMMYFUNCTION("""COMPUTED_VALUE"""),45352.64068138889)</f>
        <v>45352.64068</v>
      </c>
      <c r="B1383" s="138" t="str">
        <f>IFERROR(__xludf.DUMMYFUNCTION("""COMPUTED_VALUE"""),"Michael Peddecord ")</f>
        <v>Michael Peddecord </v>
      </c>
      <c r="C1383" s="138">
        <f>IFERROR(__xludf.DUMMYFUNCTION("""COMPUTED_VALUE"""),1035.0)</f>
        <v>1035</v>
      </c>
      <c r="D1383" s="139">
        <f>IFERROR(__xludf.DUMMYFUNCTION("""COMPUTED_VALUE"""),540.0)</f>
        <v>540</v>
      </c>
      <c r="E1383" s="138">
        <f>IFERROR(__xludf.DUMMYFUNCTION("""COMPUTED_VALUE"""),3.0)</f>
        <v>3</v>
      </c>
      <c r="F1383" s="138">
        <f>IFERROR(__xludf.DUMMYFUNCTION("""COMPUTED_VALUE"""),2.0)</f>
        <v>2</v>
      </c>
      <c r="G1383" s="138">
        <f>IFERROR(__xludf.DUMMYFUNCTION("""COMPUTED_VALUE"""),2.0)</f>
        <v>2</v>
      </c>
      <c r="H1383" s="138">
        <f>IFERROR(__xludf.DUMMYFUNCTION("""COMPUTED_VALUE"""),2.0)</f>
        <v>2</v>
      </c>
      <c r="I1383" s="138">
        <f>IFERROR(__xludf.DUMMYFUNCTION("""COMPUTED_VALUE"""),2.0)</f>
        <v>2</v>
      </c>
      <c r="J1383" s="138">
        <f>IFERROR(__xludf.DUMMYFUNCTION("""COMPUTED_VALUE"""),3.0)</f>
        <v>3</v>
      </c>
      <c r="K1383" s="138">
        <f>IFERROR(__xludf.DUMMYFUNCTION("""COMPUTED_VALUE"""),2.0)</f>
        <v>2</v>
      </c>
      <c r="L1383" s="138">
        <v>16.0</v>
      </c>
      <c r="M1383" s="140" t="str">
        <f>VLOOKUP(text(D1383, "#"),'Master Table'!$A:$F, 6, FALSE)</f>
        <v>H-11</v>
      </c>
      <c r="N1383" s="141" t="str">
        <f>IFERROR(__xludf.DUMMYFUNCTION("""COMPUTED_VALUE"""),"Student seemed like she had a good grasp of all aspects of the research project which she was given.  Explained project will.  Not clear if she helped collect the data or just worked with a data set from the PI.  ")</f>
        <v>Student seemed like she had a good grasp of all aspects of the research project which she was given.  Explained project will.  Not clear if she helped collect the data or just worked with a data set from the PI.  </v>
      </c>
      <c r="O1383" s="142" t="str">
        <f t="shared" si="1"/>
        <v/>
      </c>
      <c r="P1383" s="143" t="str">
        <f>IF(ISNA(VLOOKUP(CONCAT(M1383,C1383), 'Judge Count DO NOT EDIT'!H:H, 1, FALSE)), "ERROR","")</f>
        <v/>
      </c>
      <c r="Q1383" s="141"/>
      <c r="R1383" s="143"/>
      <c r="S1383" s="139" t="str">
        <f t="shared" si="2"/>
        <v>1035540</v>
      </c>
      <c r="T1383" s="141"/>
    </row>
    <row r="1384">
      <c r="A1384" s="137">
        <f>IFERROR(__xludf.DUMMYFUNCTION("""COMPUTED_VALUE"""),45352.55501092593)</f>
        <v>45352.55501</v>
      </c>
      <c r="B1384" s="138" t="str">
        <f>IFERROR(__xludf.DUMMYFUNCTION("""COMPUTED_VALUE"""),"Francesca Wade")</f>
        <v>Francesca Wade</v>
      </c>
      <c r="C1384" s="138">
        <f>IFERROR(__xludf.DUMMYFUNCTION("""COMPUTED_VALUE"""),1061.0)</f>
        <v>1061</v>
      </c>
      <c r="D1384" s="139">
        <f>IFERROR(__xludf.DUMMYFUNCTION("""COMPUTED_VALUE"""),541.0)</f>
        <v>541</v>
      </c>
      <c r="E1384" s="138">
        <f>IFERROR(__xludf.DUMMYFUNCTION("""COMPUTED_VALUE"""),4.0)</f>
        <v>4</v>
      </c>
      <c r="F1384" s="138">
        <f>IFERROR(__xludf.DUMMYFUNCTION("""COMPUTED_VALUE"""),4.0)</f>
        <v>4</v>
      </c>
      <c r="G1384" s="138">
        <f>IFERROR(__xludf.DUMMYFUNCTION("""COMPUTED_VALUE"""),5.0)</f>
        <v>5</v>
      </c>
      <c r="H1384" s="138">
        <f>IFERROR(__xludf.DUMMYFUNCTION("""COMPUTED_VALUE"""),3.0)</f>
        <v>3</v>
      </c>
      <c r="I1384" s="138">
        <f>IFERROR(__xludf.DUMMYFUNCTION("""COMPUTED_VALUE"""),4.0)</f>
        <v>4</v>
      </c>
      <c r="J1384" s="138">
        <f>IFERROR(__xludf.DUMMYFUNCTION("""COMPUTED_VALUE"""),4.0)</f>
        <v>4</v>
      </c>
      <c r="K1384" s="138">
        <f>IFERROR(__xludf.DUMMYFUNCTION("""COMPUTED_VALUE"""),5.0)</f>
        <v>5</v>
      </c>
      <c r="L1384" s="138">
        <v>29.0</v>
      </c>
      <c r="M1384" s="140" t="str">
        <f>VLOOKUP(text(D1384, "#"),'Master Table'!$A:$F, 6, FALSE)</f>
        <v>H-11</v>
      </c>
      <c r="N1384" s="141" t="str">
        <f>IFERROR(__xludf.DUMMYFUNCTION("""COMPUTED_VALUE"""),"Great discussion about the importance of the work and the need. I also really appreciate the acknowledgement that ;figuring out the best way to present results is hard! Good job.")</f>
        <v>Great discussion about the importance of the work and the need. I also really appreciate the acknowledgement that ;figuring out the best way to present results is hard! Good job.</v>
      </c>
      <c r="O1384" s="142" t="str">
        <f t="shared" si="1"/>
        <v/>
      </c>
      <c r="P1384" s="143" t="str">
        <f>IF(ISNA(VLOOKUP(CONCAT(M1384,C1384), 'Judge Count DO NOT EDIT'!H:H, 1, FALSE)), "ERROR","")</f>
        <v/>
      </c>
      <c r="Q1384" s="141"/>
      <c r="R1384" s="143"/>
      <c r="S1384" s="139" t="str">
        <f t="shared" si="2"/>
        <v>1061541</v>
      </c>
      <c r="T1384" s="141"/>
    </row>
    <row r="1385">
      <c r="A1385" s="137">
        <f>IFERROR(__xludf.DUMMYFUNCTION("""COMPUTED_VALUE"""),45352.55896730324)</f>
        <v>45352.55897</v>
      </c>
      <c r="B1385" s="138" t="str">
        <f>IFERROR(__xludf.DUMMYFUNCTION("""COMPUTED_VALUE"""),"Eyal Oren ")</f>
        <v>Eyal Oren </v>
      </c>
      <c r="C1385" s="138">
        <f>IFERROR(__xludf.DUMMYFUNCTION("""COMPUTED_VALUE"""),1057.0)</f>
        <v>1057</v>
      </c>
      <c r="D1385" s="139">
        <f>IFERROR(__xludf.DUMMYFUNCTION("""COMPUTED_VALUE"""),541.0)</f>
        <v>541</v>
      </c>
      <c r="E1385" s="138">
        <f>IFERROR(__xludf.DUMMYFUNCTION("""COMPUTED_VALUE"""),4.0)</f>
        <v>4</v>
      </c>
      <c r="F1385" s="138">
        <f>IFERROR(__xludf.DUMMYFUNCTION("""COMPUTED_VALUE"""),4.0)</f>
        <v>4</v>
      </c>
      <c r="G1385" s="138">
        <f>IFERROR(__xludf.DUMMYFUNCTION("""COMPUTED_VALUE"""),4.0)</f>
        <v>4</v>
      </c>
      <c r="H1385" s="138">
        <f>IFERROR(__xludf.DUMMYFUNCTION("""COMPUTED_VALUE"""),4.0)</f>
        <v>4</v>
      </c>
      <c r="I1385" s="138">
        <f>IFERROR(__xludf.DUMMYFUNCTION("""COMPUTED_VALUE"""),5.0)</f>
        <v>5</v>
      </c>
      <c r="J1385" s="138">
        <f>IFERROR(__xludf.DUMMYFUNCTION("""COMPUTED_VALUE"""),4.0)</f>
        <v>4</v>
      </c>
      <c r="K1385" s="138">
        <f>IFERROR(__xludf.DUMMYFUNCTION("""COMPUTED_VALUE"""),4.0)</f>
        <v>4</v>
      </c>
      <c r="L1385" s="138">
        <v>29.0</v>
      </c>
      <c r="M1385" s="140" t="str">
        <f>VLOOKUP(text(D1385, "#"),'Master Table'!$A:$F, 6, FALSE)</f>
        <v>H-11</v>
      </c>
      <c r="N1385" s="141"/>
      <c r="O1385" s="142" t="str">
        <f t="shared" si="1"/>
        <v/>
      </c>
      <c r="P1385" s="143" t="str">
        <f>IF(ISNA(VLOOKUP(CONCAT(M1385,C1385), 'Judge Count DO NOT EDIT'!H:H, 1, FALSE)), "ERROR","")</f>
        <v/>
      </c>
      <c r="Q1385" s="141"/>
      <c r="R1385" s="143"/>
      <c r="S1385" s="139" t="str">
        <f t="shared" si="2"/>
        <v>1057541</v>
      </c>
      <c r="T1385" s="141"/>
    </row>
    <row r="1386">
      <c r="A1386" s="137">
        <f>IFERROR(__xludf.DUMMYFUNCTION("""COMPUTED_VALUE"""),45352.61210445601)</f>
        <v>45352.6121</v>
      </c>
      <c r="B1386" s="138" t="str">
        <f>IFERROR(__xludf.DUMMYFUNCTION("""COMPUTED_VALUE"""),"JoAnn Silkes")</f>
        <v>JoAnn Silkes</v>
      </c>
      <c r="C1386" s="138">
        <f>IFERROR(__xludf.DUMMYFUNCTION("""COMPUTED_VALUE"""),1094.0)</f>
        <v>1094</v>
      </c>
      <c r="D1386" s="139">
        <f>IFERROR(__xludf.DUMMYFUNCTION("""COMPUTED_VALUE"""),541.0)</f>
        <v>541</v>
      </c>
      <c r="E1386" s="138">
        <f>IFERROR(__xludf.DUMMYFUNCTION("""COMPUTED_VALUE"""),4.0)</f>
        <v>4</v>
      </c>
      <c r="F1386" s="138">
        <f>IFERROR(__xludf.DUMMYFUNCTION("""COMPUTED_VALUE"""),4.0)</f>
        <v>4</v>
      </c>
      <c r="G1386" s="138">
        <f>IFERROR(__xludf.DUMMYFUNCTION("""COMPUTED_VALUE"""),5.0)</f>
        <v>5</v>
      </c>
      <c r="H1386" s="138">
        <f>IFERROR(__xludf.DUMMYFUNCTION("""COMPUTED_VALUE"""),4.0)</f>
        <v>4</v>
      </c>
      <c r="I1386" s="138">
        <f>IFERROR(__xludf.DUMMYFUNCTION("""COMPUTED_VALUE"""),4.0)</f>
        <v>4</v>
      </c>
      <c r="J1386" s="138">
        <f>IFERROR(__xludf.DUMMYFUNCTION("""COMPUTED_VALUE"""),4.0)</f>
        <v>4</v>
      </c>
      <c r="K1386" s="138">
        <f>IFERROR(__xludf.DUMMYFUNCTION("""COMPUTED_VALUE"""),5.0)</f>
        <v>5</v>
      </c>
      <c r="L1386" s="138">
        <v>30.0</v>
      </c>
      <c r="M1386" s="140" t="str">
        <f>VLOOKUP(text(D1386, "#"),'Master Table'!$A:$F, 6, FALSE)</f>
        <v>H-11</v>
      </c>
      <c r="N1386" s="141" t="str">
        <f>IFERROR(__xludf.DUMMYFUNCTION("""COMPUTED_VALUE"""),"Excellent presentation on a really important topic! ")</f>
        <v>Excellent presentation on a really important topic! </v>
      </c>
      <c r="O1386" s="142" t="str">
        <f t="shared" si="1"/>
        <v/>
      </c>
      <c r="P1386" s="143" t="str">
        <f>IF(ISNA(VLOOKUP(CONCAT(M1386,C1386), 'Judge Count DO NOT EDIT'!H:H, 1, FALSE)), "ERROR","")</f>
        <v/>
      </c>
      <c r="Q1386" s="141"/>
      <c r="R1386" s="143"/>
      <c r="S1386" s="139" t="str">
        <f t="shared" si="2"/>
        <v>1094541</v>
      </c>
      <c r="T1386" s="141"/>
    </row>
    <row r="1387">
      <c r="A1387" s="137">
        <f>IFERROR(__xludf.DUMMYFUNCTION("""COMPUTED_VALUE"""),45352.64346251157)</f>
        <v>45352.64346</v>
      </c>
      <c r="B1387" s="138" t="str">
        <f>IFERROR(__xludf.DUMMYFUNCTION("""COMPUTED_VALUE"""),"Michael Peddecord")</f>
        <v>Michael Peddecord</v>
      </c>
      <c r="C1387" s="138">
        <f>IFERROR(__xludf.DUMMYFUNCTION("""COMPUTED_VALUE"""),1035.0)</f>
        <v>1035</v>
      </c>
      <c r="D1387" s="139">
        <f>IFERROR(__xludf.DUMMYFUNCTION("""COMPUTED_VALUE"""),541.0)</f>
        <v>541</v>
      </c>
      <c r="E1387" s="138">
        <f>IFERROR(__xludf.DUMMYFUNCTION("""COMPUTED_VALUE"""),4.0)</f>
        <v>4</v>
      </c>
      <c r="F1387" s="138">
        <f>IFERROR(__xludf.DUMMYFUNCTION("""COMPUTED_VALUE"""),4.0)</f>
        <v>4</v>
      </c>
      <c r="G1387" s="138">
        <f>IFERROR(__xludf.DUMMYFUNCTION("""COMPUTED_VALUE"""),5.0)</f>
        <v>5</v>
      </c>
      <c r="H1387" s="138">
        <f>IFERROR(__xludf.DUMMYFUNCTION("""COMPUTED_VALUE"""),3.0)</f>
        <v>3</v>
      </c>
      <c r="I1387" s="138">
        <f>IFERROR(__xludf.DUMMYFUNCTION("""COMPUTED_VALUE"""),4.0)</f>
        <v>4</v>
      </c>
      <c r="J1387" s="138">
        <f>IFERROR(__xludf.DUMMYFUNCTION("""COMPUTED_VALUE"""),4.0)</f>
        <v>4</v>
      </c>
      <c r="K1387" s="138">
        <f>IFERROR(__xludf.DUMMYFUNCTION("""COMPUTED_VALUE"""),4.0)</f>
        <v>4</v>
      </c>
      <c r="L1387" s="138">
        <v>28.0</v>
      </c>
      <c r="M1387" s="140" t="str">
        <f>VLOOKUP(text(D1387, "#"),'Master Table'!$A:$F, 6, FALSE)</f>
        <v>H-11</v>
      </c>
      <c r="N1387" s="141" t="str">
        <f>IFERROR(__xludf.DUMMYFUNCTION("""COMPUTED_VALUE"""),"Student did give job of explaining research and its relevance. It was her small project and she understood it limitations.  Very unlike many other presentations which are spin offs of established projects. ")</f>
        <v>Student did give job of explaining research and its relevance. It was her small project and she understood it limitations.  Very unlike many other presentations which are spin offs of established projects. </v>
      </c>
      <c r="O1387" s="142" t="str">
        <f t="shared" si="1"/>
        <v/>
      </c>
      <c r="P1387" s="143" t="str">
        <f>IF(ISNA(VLOOKUP(CONCAT(M1387,C1387), 'Judge Count DO NOT EDIT'!H:H, 1, FALSE)), "ERROR","")</f>
        <v/>
      </c>
      <c r="Q1387" s="141"/>
      <c r="R1387" s="143"/>
      <c r="S1387" s="139" t="str">
        <f t="shared" si="2"/>
        <v>1035541</v>
      </c>
      <c r="T1387" s="141"/>
    </row>
    <row r="1388">
      <c r="A1388" s="137">
        <f>IFERROR(__xludf.DUMMYFUNCTION("""COMPUTED_VALUE"""),45352.56368865741)</f>
        <v>45352.56369</v>
      </c>
      <c r="B1388" s="138" t="str">
        <f>IFERROR(__xludf.DUMMYFUNCTION("""COMPUTED_VALUE"""),"Eyal Oren")</f>
        <v>Eyal Oren</v>
      </c>
      <c r="C1388" s="138">
        <f>IFERROR(__xludf.DUMMYFUNCTION("""COMPUTED_VALUE"""),1057.0)</f>
        <v>1057</v>
      </c>
      <c r="D1388" s="139">
        <f>IFERROR(__xludf.DUMMYFUNCTION("""COMPUTED_VALUE"""),542.0)</f>
        <v>542</v>
      </c>
      <c r="E1388" s="138">
        <f>IFERROR(__xludf.DUMMYFUNCTION("""COMPUTED_VALUE"""),5.0)</f>
        <v>5</v>
      </c>
      <c r="F1388" s="138">
        <f>IFERROR(__xludf.DUMMYFUNCTION("""COMPUTED_VALUE"""),4.0)</f>
        <v>4</v>
      </c>
      <c r="G1388" s="138">
        <f>IFERROR(__xludf.DUMMYFUNCTION("""COMPUTED_VALUE"""),4.0)</f>
        <v>4</v>
      </c>
      <c r="H1388" s="138">
        <f>IFERROR(__xludf.DUMMYFUNCTION("""COMPUTED_VALUE"""),4.0)</f>
        <v>4</v>
      </c>
      <c r="I1388" s="138">
        <f>IFERROR(__xludf.DUMMYFUNCTION("""COMPUTED_VALUE"""),5.0)</f>
        <v>5</v>
      </c>
      <c r="J1388" s="138">
        <f>IFERROR(__xludf.DUMMYFUNCTION("""COMPUTED_VALUE"""),4.0)</f>
        <v>4</v>
      </c>
      <c r="K1388" s="138">
        <f>IFERROR(__xludf.DUMMYFUNCTION("""COMPUTED_VALUE"""),5.0)</f>
        <v>5</v>
      </c>
      <c r="L1388" s="138">
        <v>31.0</v>
      </c>
      <c r="M1388" s="140" t="str">
        <f>VLOOKUP(text(D1388, "#"),'Master Table'!$A:$F, 6, FALSE)</f>
        <v>H-11</v>
      </c>
      <c r="N1388" s="141"/>
      <c r="O1388" s="142" t="str">
        <f t="shared" si="1"/>
        <v/>
      </c>
      <c r="P1388" s="143" t="str">
        <f>IF(ISNA(VLOOKUP(CONCAT(M1388,C1388), 'Judge Count DO NOT EDIT'!H:H, 1, FALSE)), "ERROR","")</f>
        <v/>
      </c>
      <c r="Q1388" s="141"/>
      <c r="R1388" s="143"/>
      <c r="S1388" s="139" t="str">
        <f t="shared" si="2"/>
        <v>1057542</v>
      </c>
      <c r="T1388" s="141"/>
    </row>
    <row r="1389">
      <c r="A1389" s="137">
        <f>IFERROR(__xludf.DUMMYFUNCTION("""COMPUTED_VALUE"""),45352.61687608797)</f>
        <v>45352.61688</v>
      </c>
      <c r="B1389" s="138" t="str">
        <f>IFERROR(__xludf.DUMMYFUNCTION("""COMPUTED_VALUE"""),"JoAnn Silkes")</f>
        <v>JoAnn Silkes</v>
      </c>
      <c r="C1389" s="138">
        <f>IFERROR(__xludf.DUMMYFUNCTION("""COMPUTED_VALUE"""),1094.0)</f>
        <v>1094</v>
      </c>
      <c r="D1389" s="139">
        <f>IFERROR(__xludf.DUMMYFUNCTION("""COMPUTED_VALUE"""),542.0)</f>
        <v>542</v>
      </c>
      <c r="E1389" s="138">
        <f>IFERROR(__xludf.DUMMYFUNCTION("""COMPUTED_VALUE"""),4.0)</f>
        <v>4</v>
      </c>
      <c r="F1389" s="138">
        <f>IFERROR(__xludf.DUMMYFUNCTION("""COMPUTED_VALUE"""),5.0)</f>
        <v>5</v>
      </c>
      <c r="G1389" s="138">
        <f>IFERROR(__xludf.DUMMYFUNCTION("""COMPUTED_VALUE"""),5.0)</f>
        <v>5</v>
      </c>
      <c r="H1389" s="138">
        <f>IFERROR(__xludf.DUMMYFUNCTION("""COMPUTED_VALUE"""),4.0)</f>
        <v>4</v>
      </c>
      <c r="I1389" s="138">
        <f>IFERROR(__xludf.DUMMYFUNCTION("""COMPUTED_VALUE"""),4.0)</f>
        <v>4</v>
      </c>
      <c r="J1389" s="138">
        <f>IFERROR(__xludf.DUMMYFUNCTION("""COMPUTED_VALUE"""),4.0)</f>
        <v>4</v>
      </c>
      <c r="K1389" s="138">
        <f>IFERROR(__xludf.DUMMYFUNCTION("""COMPUTED_VALUE"""),5.0)</f>
        <v>5</v>
      </c>
      <c r="L1389" s="138">
        <v>31.0</v>
      </c>
      <c r="M1389" s="140" t="str">
        <f>VLOOKUP(text(D1389, "#"),'Master Table'!$A:$F, 6, FALSE)</f>
        <v>H-11</v>
      </c>
      <c r="N1389" s="141" t="str">
        <f>IFERROR(__xludf.DUMMYFUNCTION("""COMPUTED_VALUE"""),"Excellent presentation of a really interesting program. ")</f>
        <v>Excellent presentation of a really interesting program. </v>
      </c>
      <c r="O1389" s="142" t="str">
        <f t="shared" si="1"/>
        <v/>
      </c>
      <c r="P1389" s="143" t="str">
        <f>IF(ISNA(VLOOKUP(CONCAT(M1389,C1389), 'Judge Count DO NOT EDIT'!H:H, 1, FALSE)), "ERROR","")</f>
        <v/>
      </c>
      <c r="Q1389" s="141"/>
      <c r="R1389" s="143"/>
      <c r="S1389" s="139" t="str">
        <f t="shared" si="2"/>
        <v>1094542</v>
      </c>
      <c r="T1389" s="141"/>
    </row>
    <row r="1390">
      <c r="A1390" s="137">
        <f>IFERROR(__xludf.DUMMYFUNCTION("""COMPUTED_VALUE"""),45352.64667033565)</f>
        <v>45352.64667</v>
      </c>
      <c r="B1390" s="138" t="str">
        <f>IFERROR(__xludf.DUMMYFUNCTION("""COMPUTED_VALUE"""),"Michael Peddecord")</f>
        <v>Michael Peddecord</v>
      </c>
      <c r="C1390" s="138">
        <f>IFERROR(__xludf.DUMMYFUNCTION("""COMPUTED_VALUE"""),1035.0)</f>
        <v>1035</v>
      </c>
      <c r="D1390" s="139">
        <f>IFERROR(__xludf.DUMMYFUNCTION("""COMPUTED_VALUE"""),542.0)</f>
        <v>542</v>
      </c>
      <c r="E1390" s="138">
        <f>IFERROR(__xludf.DUMMYFUNCTION("""COMPUTED_VALUE"""),3.0)</f>
        <v>3</v>
      </c>
      <c r="F1390" s="138">
        <f>IFERROR(__xludf.DUMMYFUNCTION("""COMPUTED_VALUE"""),4.0)</f>
        <v>4</v>
      </c>
      <c r="G1390" s="138">
        <f>IFERROR(__xludf.DUMMYFUNCTION("""COMPUTED_VALUE"""),3.0)</f>
        <v>3</v>
      </c>
      <c r="H1390" s="138">
        <f>IFERROR(__xludf.DUMMYFUNCTION("""COMPUTED_VALUE"""),3.0)</f>
        <v>3</v>
      </c>
      <c r="I1390" s="138">
        <f>IFERROR(__xludf.DUMMYFUNCTION("""COMPUTED_VALUE"""),3.0)</f>
        <v>3</v>
      </c>
      <c r="J1390" s="138">
        <f>IFERROR(__xludf.DUMMYFUNCTION("""COMPUTED_VALUE"""),3.0)</f>
        <v>3</v>
      </c>
      <c r="K1390" s="138">
        <f>IFERROR(__xludf.DUMMYFUNCTION("""COMPUTED_VALUE"""),4.0)</f>
        <v>4</v>
      </c>
      <c r="L1390" s="138">
        <v>23.0</v>
      </c>
      <c r="M1390" s="140" t="str">
        <f>VLOOKUP(text(D1390, "#"),'Master Table'!$A:$F, 6, FALSE)</f>
        <v>H-11</v>
      </c>
      <c r="N1390" s="141" t="str">
        <f>IFERROR(__xludf.DUMMYFUNCTION("""COMPUTED_VALUE"""),"Fine project evaluating an ongoing program that supports student live and health.  Student seem to have made good use of practical skills development in her MPH program.  ")</f>
        <v>Fine project evaluating an ongoing program that supports student live and health.  Student seem to have made good use of practical skills development in her MPH program.  </v>
      </c>
      <c r="O1390" s="142" t="str">
        <f t="shared" si="1"/>
        <v/>
      </c>
      <c r="P1390" s="143" t="str">
        <f>IF(ISNA(VLOOKUP(CONCAT(M1390,C1390), 'Judge Count DO NOT EDIT'!H:H, 1, FALSE)), "ERROR","")</f>
        <v/>
      </c>
      <c r="Q1390" s="141"/>
      <c r="R1390" s="143"/>
      <c r="S1390" s="139" t="str">
        <f t="shared" si="2"/>
        <v>1035542</v>
      </c>
      <c r="T1390" s="141"/>
    </row>
    <row r="1391">
      <c r="A1391" s="137">
        <f>IFERROR(__xludf.DUMMYFUNCTION("""COMPUTED_VALUE"""),45352.629516898145)</f>
        <v>45352.62952</v>
      </c>
      <c r="B1391" s="138" t="str">
        <f>IFERROR(__xludf.DUMMYFUNCTION("""COMPUTED_VALUE"""),"Helen Ma")</f>
        <v>Helen Ma</v>
      </c>
      <c r="C1391" s="138">
        <f>IFERROR(__xludf.DUMMYFUNCTION("""COMPUTED_VALUE"""),1120.0)</f>
        <v>1120</v>
      </c>
      <c r="D1391" s="139">
        <f>IFERROR(__xludf.DUMMYFUNCTION("""COMPUTED_VALUE"""),543.0)</f>
        <v>543</v>
      </c>
      <c r="E1391" s="138">
        <f>IFERROR(__xludf.DUMMYFUNCTION("""COMPUTED_VALUE"""),4.0)</f>
        <v>4</v>
      </c>
      <c r="F1391" s="138">
        <f>IFERROR(__xludf.DUMMYFUNCTION("""COMPUTED_VALUE"""),4.0)</f>
        <v>4</v>
      </c>
      <c r="G1391" s="138">
        <f>IFERROR(__xludf.DUMMYFUNCTION("""COMPUTED_VALUE"""),4.0)</f>
        <v>4</v>
      </c>
      <c r="H1391" s="138">
        <f>IFERROR(__xludf.DUMMYFUNCTION("""COMPUTED_VALUE"""),4.0)</f>
        <v>4</v>
      </c>
      <c r="I1391" s="138">
        <f>IFERROR(__xludf.DUMMYFUNCTION("""COMPUTED_VALUE"""),4.0)</f>
        <v>4</v>
      </c>
      <c r="J1391" s="138">
        <f>IFERROR(__xludf.DUMMYFUNCTION("""COMPUTED_VALUE"""),4.0)</f>
        <v>4</v>
      </c>
      <c r="K1391" s="138">
        <f>IFERROR(__xludf.DUMMYFUNCTION("""COMPUTED_VALUE"""),5.0)</f>
        <v>5</v>
      </c>
      <c r="L1391" s="138">
        <v>29.0</v>
      </c>
      <c r="M1391" s="140" t="str">
        <f>VLOOKUP(text(D1391, "#"),'Master Table'!$A:$F, 6, FALSE)</f>
        <v>I-1</v>
      </c>
      <c r="N1391" s="141"/>
      <c r="O1391" s="142" t="str">
        <f t="shared" si="1"/>
        <v/>
      </c>
      <c r="P1391" s="143" t="str">
        <f>IF(ISNA(VLOOKUP(CONCAT(M1391,C1391), 'Judge Count DO NOT EDIT'!H:H, 1, FALSE)), "ERROR","")</f>
        <v/>
      </c>
      <c r="Q1391" s="141"/>
      <c r="R1391" s="143"/>
      <c r="S1391" s="139" t="str">
        <f t="shared" si="2"/>
        <v>1120543</v>
      </c>
      <c r="T1391" s="141"/>
    </row>
    <row r="1392">
      <c r="A1392" s="137">
        <f>IFERROR(__xludf.DUMMYFUNCTION("""COMPUTED_VALUE"""),45352.632410983795)</f>
        <v>45352.63241</v>
      </c>
      <c r="B1392" s="138" t="str">
        <f>IFERROR(__xludf.DUMMYFUNCTION("""COMPUTED_VALUE"""),"Dianne Ciro")</f>
        <v>Dianne Ciro</v>
      </c>
      <c r="C1392" s="138">
        <f>IFERROR(__xludf.DUMMYFUNCTION("""COMPUTED_VALUE"""),1123.0)</f>
        <v>1123</v>
      </c>
      <c r="D1392" s="139">
        <f>IFERROR(__xludf.DUMMYFUNCTION("""COMPUTED_VALUE"""),543.0)</f>
        <v>543</v>
      </c>
      <c r="E1392" s="138">
        <f>IFERROR(__xludf.DUMMYFUNCTION("""COMPUTED_VALUE"""),4.0)</f>
        <v>4</v>
      </c>
      <c r="F1392" s="138">
        <f>IFERROR(__xludf.DUMMYFUNCTION("""COMPUTED_VALUE"""),4.0)</f>
        <v>4</v>
      </c>
      <c r="G1392" s="138">
        <f>IFERROR(__xludf.DUMMYFUNCTION("""COMPUTED_VALUE"""),4.0)</f>
        <v>4</v>
      </c>
      <c r="H1392" s="138">
        <f>IFERROR(__xludf.DUMMYFUNCTION("""COMPUTED_VALUE"""),3.0)</f>
        <v>3</v>
      </c>
      <c r="I1392" s="138">
        <f>IFERROR(__xludf.DUMMYFUNCTION("""COMPUTED_VALUE"""),5.0)</f>
        <v>5</v>
      </c>
      <c r="J1392" s="138">
        <f>IFERROR(__xludf.DUMMYFUNCTION("""COMPUTED_VALUE"""),5.0)</f>
        <v>5</v>
      </c>
      <c r="K1392" s="138">
        <f>IFERROR(__xludf.DUMMYFUNCTION("""COMPUTED_VALUE"""),5.0)</f>
        <v>5</v>
      </c>
      <c r="L1392" s="138">
        <v>30.0</v>
      </c>
      <c r="M1392" s="140" t="str">
        <f>VLOOKUP(text(D1392, "#"),'Master Table'!$A:$F, 6, FALSE)</f>
        <v>I-1</v>
      </c>
      <c r="N1392" s="141"/>
      <c r="O1392" s="142" t="str">
        <f t="shared" si="1"/>
        <v/>
      </c>
      <c r="P1392" s="143" t="str">
        <f>IF(ISNA(VLOOKUP(CONCAT(M1392,C1392), 'Judge Count DO NOT EDIT'!H:H, 1, FALSE)), "ERROR","")</f>
        <v/>
      </c>
      <c r="Q1392" s="144"/>
      <c r="R1392" s="143"/>
      <c r="S1392" s="139" t="str">
        <f t="shared" si="2"/>
        <v>1123543</v>
      </c>
      <c r="T1392" s="141"/>
    </row>
    <row r="1393">
      <c r="A1393" s="137">
        <f>IFERROR(__xludf.DUMMYFUNCTION("""COMPUTED_VALUE"""),45352.64866056713)</f>
        <v>45352.64866</v>
      </c>
      <c r="B1393" s="138" t="str">
        <f>IFERROR(__xludf.DUMMYFUNCTION("""COMPUTED_VALUE"""),"Erik Valenzuela")</f>
        <v>Erik Valenzuela</v>
      </c>
      <c r="C1393" s="138">
        <f>IFERROR(__xludf.DUMMYFUNCTION("""COMPUTED_VALUE"""),1128.0)</f>
        <v>1128</v>
      </c>
      <c r="D1393" s="139">
        <f>IFERROR(__xludf.DUMMYFUNCTION("""COMPUTED_VALUE"""),543.0)</f>
        <v>543</v>
      </c>
      <c r="E1393" s="138">
        <f>IFERROR(__xludf.DUMMYFUNCTION("""COMPUTED_VALUE"""),5.0)</f>
        <v>5</v>
      </c>
      <c r="F1393" s="138">
        <f>IFERROR(__xludf.DUMMYFUNCTION("""COMPUTED_VALUE"""),5.0)</f>
        <v>5</v>
      </c>
      <c r="G1393" s="138">
        <f>IFERROR(__xludf.DUMMYFUNCTION("""COMPUTED_VALUE"""),4.0)</f>
        <v>4</v>
      </c>
      <c r="H1393" s="138">
        <f>IFERROR(__xludf.DUMMYFUNCTION("""COMPUTED_VALUE"""),4.0)</f>
        <v>4</v>
      </c>
      <c r="I1393" s="138">
        <f>IFERROR(__xludf.DUMMYFUNCTION("""COMPUTED_VALUE"""),5.0)</f>
        <v>5</v>
      </c>
      <c r="J1393" s="138">
        <f>IFERROR(__xludf.DUMMYFUNCTION("""COMPUTED_VALUE"""),4.0)</f>
        <v>4</v>
      </c>
      <c r="K1393" s="138">
        <f>IFERROR(__xludf.DUMMYFUNCTION("""COMPUTED_VALUE"""),4.0)</f>
        <v>4</v>
      </c>
      <c r="L1393" s="138">
        <v>31.0</v>
      </c>
      <c r="M1393" s="140" t="str">
        <f>VLOOKUP(text(D1393, "#"),'Master Table'!$A:$F, 6, FALSE)</f>
        <v>I-1</v>
      </c>
      <c r="N1393" s="141"/>
      <c r="O1393" s="142" t="str">
        <f t="shared" si="1"/>
        <v/>
      </c>
      <c r="P1393" s="143" t="str">
        <f>IF(ISNA(VLOOKUP(CONCAT(M1393,C1393), 'Judge Count DO NOT EDIT'!H:H, 1, FALSE)), "ERROR","")</f>
        <v/>
      </c>
      <c r="Q1393" s="144"/>
      <c r="R1393" s="143"/>
      <c r="S1393" s="139" t="str">
        <f t="shared" si="2"/>
        <v>1128543</v>
      </c>
      <c r="T1393" s="141"/>
    </row>
    <row r="1394">
      <c r="A1394" s="137">
        <f>IFERROR(__xludf.DUMMYFUNCTION("""COMPUTED_VALUE"""),45352.651945254634)</f>
        <v>45352.65195</v>
      </c>
      <c r="B1394" s="138" t="str">
        <f>IFERROR(__xludf.DUMMYFUNCTION("""COMPUTED_VALUE"""),"Jessi Rivin")</f>
        <v>Jessi Rivin</v>
      </c>
      <c r="C1394" s="138">
        <f>IFERROR(__xludf.DUMMYFUNCTION("""COMPUTED_VALUE"""),1172.0)</f>
        <v>1172</v>
      </c>
      <c r="D1394" s="139">
        <f>IFERROR(__xludf.DUMMYFUNCTION("""COMPUTED_VALUE"""),543.0)</f>
        <v>543</v>
      </c>
      <c r="E1394" s="138">
        <f>IFERROR(__xludf.DUMMYFUNCTION("""COMPUTED_VALUE"""),4.0)</f>
        <v>4</v>
      </c>
      <c r="F1394" s="138">
        <f>IFERROR(__xludf.DUMMYFUNCTION("""COMPUTED_VALUE"""),4.0)</f>
        <v>4</v>
      </c>
      <c r="G1394" s="138">
        <f>IFERROR(__xludf.DUMMYFUNCTION("""COMPUTED_VALUE"""),4.0)</f>
        <v>4</v>
      </c>
      <c r="H1394" s="138">
        <f>IFERROR(__xludf.DUMMYFUNCTION("""COMPUTED_VALUE"""),4.0)</f>
        <v>4</v>
      </c>
      <c r="I1394" s="138">
        <f>IFERROR(__xludf.DUMMYFUNCTION("""COMPUTED_VALUE"""),3.0)</f>
        <v>3</v>
      </c>
      <c r="J1394" s="138">
        <f>IFERROR(__xludf.DUMMYFUNCTION("""COMPUTED_VALUE"""),5.0)</f>
        <v>5</v>
      </c>
      <c r="K1394" s="138">
        <f>IFERROR(__xludf.DUMMYFUNCTION("""COMPUTED_VALUE"""),5.0)</f>
        <v>5</v>
      </c>
      <c r="L1394" s="138">
        <v>29.0</v>
      </c>
      <c r="M1394" s="140" t="str">
        <f>VLOOKUP(text(D1394, "#"),'Master Table'!$A:$F, 6, FALSE)</f>
        <v>I-1</v>
      </c>
      <c r="N1394" s="141" t="str">
        <f>IFERROR(__xludf.DUMMYFUNCTION("""COMPUTED_VALUE"""),"Really interesting and important work! Would love to see more interviews or focus groups. Maybe think more about how what success would look like, how can we respect these practices and educate people without them getting “white washed”")</f>
        <v>Really interesting and important work! Would love to see more interviews or focus groups. Maybe think more about how what success would look like, how can we respect these practices and educate people without them getting “white washed”</v>
      </c>
      <c r="O1394" s="142" t="str">
        <f t="shared" si="1"/>
        <v/>
      </c>
      <c r="P1394" s="143" t="str">
        <f>IF(ISNA(VLOOKUP(CONCAT(M1394,C1394), 'Judge Count DO NOT EDIT'!H:H, 1, FALSE)), "ERROR","")</f>
        <v/>
      </c>
      <c r="Q1394" s="141"/>
      <c r="R1394" s="143"/>
      <c r="S1394" s="139" t="str">
        <f t="shared" si="2"/>
        <v>1172543</v>
      </c>
      <c r="T1394" s="141"/>
    </row>
    <row r="1395">
      <c r="A1395" s="137">
        <f>IFERROR(__xludf.DUMMYFUNCTION("""COMPUTED_VALUE"""),45352.691413078704)</f>
        <v>45352.69141</v>
      </c>
      <c r="B1395" s="138" t="str">
        <f>IFERROR(__xludf.DUMMYFUNCTION("""COMPUTED_VALUE"""),"Patricia Dionicio")</f>
        <v>Patricia Dionicio</v>
      </c>
      <c r="C1395" s="138">
        <f>IFERROR(__xludf.DUMMYFUNCTION("""COMPUTED_VALUE"""),1109.0)</f>
        <v>1109</v>
      </c>
      <c r="D1395" s="139">
        <f>IFERROR(__xludf.DUMMYFUNCTION("""COMPUTED_VALUE"""),543.0)</f>
        <v>543</v>
      </c>
      <c r="E1395" s="138">
        <f>IFERROR(__xludf.DUMMYFUNCTION("""COMPUTED_VALUE"""),3.0)</f>
        <v>3</v>
      </c>
      <c r="F1395" s="138">
        <f>IFERROR(__xludf.DUMMYFUNCTION("""COMPUTED_VALUE"""),5.0)</f>
        <v>5</v>
      </c>
      <c r="G1395" s="138">
        <f>IFERROR(__xludf.DUMMYFUNCTION("""COMPUTED_VALUE"""),5.0)</f>
        <v>5</v>
      </c>
      <c r="H1395" s="138">
        <f>IFERROR(__xludf.DUMMYFUNCTION("""COMPUTED_VALUE"""),3.0)</f>
        <v>3</v>
      </c>
      <c r="I1395" s="138">
        <f>IFERROR(__xludf.DUMMYFUNCTION("""COMPUTED_VALUE"""),4.0)</f>
        <v>4</v>
      </c>
      <c r="J1395" s="138">
        <f>IFERROR(__xludf.DUMMYFUNCTION("""COMPUTED_VALUE"""),3.0)</f>
        <v>3</v>
      </c>
      <c r="K1395" s="138">
        <f>IFERROR(__xludf.DUMMYFUNCTION("""COMPUTED_VALUE"""),5.0)</f>
        <v>5</v>
      </c>
      <c r="L1395" s="138">
        <v>28.0</v>
      </c>
      <c r="M1395" s="140" t="str">
        <f>VLOOKUP(text(D1395, "#"),'Master Table'!$A:$F, 6, FALSE)</f>
        <v>I-1</v>
      </c>
      <c r="N1395" s="141" t="str">
        <f>IFERROR(__xludf.DUMMYFUNCTION("""COMPUTED_VALUE"""),"Fantastic and innovative research on an important and under researched area! Great interaction with audience and pictures were such an important touch! Only recommendation would be that poster should share more information on focus group and interviews th"&amp;"at were conducted. ")</f>
        <v>Fantastic and innovative research on an important and under researched area! Great interaction with audience and pictures were such an important touch! Only recommendation would be that poster should share more information on focus group and interviews that were conducted. </v>
      </c>
      <c r="O1395" s="142" t="str">
        <f t="shared" si="1"/>
        <v/>
      </c>
      <c r="P1395" s="143" t="str">
        <f>IF(ISNA(VLOOKUP(CONCAT(M1395,C1395), 'Judge Count DO NOT EDIT'!H:H, 1, FALSE)), "ERROR","")</f>
        <v/>
      </c>
      <c r="Q1395" s="141"/>
      <c r="R1395" s="143"/>
      <c r="S1395" s="139" t="str">
        <f t="shared" si="2"/>
        <v>1109543</v>
      </c>
      <c r="T1395" s="141"/>
    </row>
    <row r="1396">
      <c r="A1396" s="137">
        <f>IFERROR(__xludf.DUMMYFUNCTION("""COMPUTED_VALUE"""),45352.64974403935)</f>
        <v>45352.64974</v>
      </c>
      <c r="B1396" s="138" t="str">
        <f>IFERROR(__xludf.DUMMYFUNCTION("""COMPUTED_VALUE"""),"Erik Valenzuela")</f>
        <v>Erik Valenzuela</v>
      </c>
      <c r="C1396" s="138">
        <f>IFERROR(__xludf.DUMMYFUNCTION("""COMPUTED_VALUE"""),1128.0)</f>
        <v>1128</v>
      </c>
      <c r="D1396" s="139">
        <f>IFERROR(__xludf.DUMMYFUNCTION("""COMPUTED_VALUE"""),544.0)</f>
        <v>544</v>
      </c>
      <c r="E1396" s="138">
        <f>IFERROR(__xludf.DUMMYFUNCTION("""COMPUTED_VALUE"""),5.0)</f>
        <v>5</v>
      </c>
      <c r="F1396" s="138">
        <f>IFERROR(__xludf.DUMMYFUNCTION("""COMPUTED_VALUE"""),4.0)</f>
        <v>4</v>
      </c>
      <c r="G1396" s="138">
        <f>IFERROR(__xludf.DUMMYFUNCTION("""COMPUTED_VALUE"""),4.0)</f>
        <v>4</v>
      </c>
      <c r="H1396" s="138">
        <f>IFERROR(__xludf.DUMMYFUNCTION("""COMPUTED_VALUE"""),4.0)</f>
        <v>4</v>
      </c>
      <c r="I1396" s="138">
        <f>IFERROR(__xludf.DUMMYFUNCTION("""COMPUTED_VALUE"""),4.0)</f>
        <v>4</v>
      </c>
      <c r="J1396" s="138">
        <f>IFERROR(__xludf.DUMMYFUNCTION("""COMPUTED_VALUE"""),4.0)</f>
        <v>4</v>
      </c>
      <c r="K1396" s="138">
        <f>IFERROR(__xludf.DUMMYFUNCTION("""COMPUTED_VALUE"""),5.0)</f>
        <v>5</v>
      </c>
      <c r="L1396" s="138">
        <v>30.0</v>
      </c>
      <c r="M1396" s="140" t="str">
        <f>VLOOKUP(text(D1396, "#"),'Master Table'!$A:$F, 6, FALSE)</f>
        <v>I-1</v>
      </c>
      <c r="N1396" s="141"/>
      <c r="O1396" s="142" t="str">
        <f t="shared" si="1"/>
        <v/>
      </c>
      <c r="P1396" s="143" t="str">
        <f>IF(ISNA(VLOOKUP(CONCAT(M1396,C1396), 'Judge Count DO NOT EDIT'!H:H, 1, FALSE)), "ERROR","")</f>
        <v/>
      </c>
      <c r="Q1396" s="141"/>
      <c r="R1396" s="143"/>
      <c r="S1396" s="139" t="str">
        <f t="shared" si="2"/>
        <v>1128544</v>
      </c>
      <c r="T1396" s="141"/>
    </row>
    <row r="1397">
      <c r="A1397" s="137">
        <f>IFERROR(__xludf.DUMMYFUNCTION("""COMPUTED_VALUE"""),45352.65497644676)</f>
        <v>45352.65498</v>
      </c>
      <c r="B1397" s="138" t="str">
        <f>IFERROR(__xludf.DUMMYFUNCTION("""COMPUTED_VALUE"""),"Helen Ma")</f>
        <v>Helen Ma</v>
      </c>
      <c r="C1397" s="138">
        <f>IFERROR(__xludf.DUMMYFUNCTION("""COMPUTED_VALUE"""),1120.0)</f>
        <v>1120</v>
      </c>
      <c r="D1397" s="139">
        <f>IFERROR(__xludf.DUMMYFUNCTION("""COMPUTED_VALUE"""),544.0)</f>
        <v>544</v>
      </c>
      <c r="E1397" s="138">
        <f>IFERROR(__xludf.DUMMYFUNCTION("""COMPUTED_VALUE"""),5.0)</f>
        <v>5</v>
      </c>
      <c r="F1397" s="138">
        <f>IFERROR(__xludf.DUMMYFUNCTION("""COMPUTED_VALUE"""),4.0)</f>
        <v>4</v>
      </c>
      <c r="G1397" s="138">
        <f>IFERROR(__xludf.DUMMYFUNCTION("""COMPUTED_VALUE"""),4.0)</f>
        <v>4</v>
      </c>
      <c r="H1397" s="138">
        <f>IFERROR(__xludf.DUMMYFUNCTION("""COMPUTED_VALUE"""),4.0)</f>
        <v>4</v>
      </c>
      <c r="I1397" s="138">
        <f>IFERROR(__xludf.DUMMYFUNCTION("""COMPUTED_VALUE"""),5.0)</f>
        <v>5</v>
      </c>
      <c r="J1397" s="138">
        <f>IFERROR(__xludf.DUMMYFUNCTION("""COMPUTED_VALUE"""),5.0)</f>
        <v>5</v>
      </c>
      <c r="K1397" s="138">
        <f>IFERROR(__xludf.DUMMYFUNCTION("""COMPUTED_VALUE"""),5.0)</f>
        <v>5</v>
      </c>
      <c r="L1397" s="138">
        <v>32.0</v>
      </c>
      <c r="M1397" s="140" t="str">
        <f>VLOOKUP(text(D1397, "#"),'Master Table'!$A:$F, 6, FALSE)</f>
        <v>I-1</v>
      </c>
      <c r="N1397" s="141"/>
      <c r="O1397" s="142" t="str">
        <f t="shared" si="1"/>
        <v/>
      </c>
      <c r="P1397" s="143" t="str">
        <f>IF(ISNA(VLOOKUP(CONCAT(M1397,C1397), 'Judge Count DO NOT EDIT'!H:H, 1, FALSE)), "ERROR","")</f>
        <v/>
      </c>
      <c r="Q1397" s="141"/>
      <c r="R1397" s="143"/>
      <c r="S1397" s="139" t="str">
        <f t="shared" si="2"/>
        <v>1120544</v>
      </c>
      <c r="T1397" s="141"/>
    </row>
    <row r="1398">
      <c r="A1398" s="137">
        <f>IFERROR(__xludf.DUMMYFUNCTION("""COMPUTED_VALUE"""),45352.65958518519)</f>
        <v>45352.65959</v>
      </c>
      <c r="B1398" s="138" t="str">
        <f>IFERROR(__xludf.DUMMYFUNCTION("""COMPUTED_VALUE"""),"Patricia Dionicio")</f>
        <v>Patricia Dionicio</v>
      </c>
      <c r="C1398" s="138">
        <f>IFERROR(__xludf.DUMMYFUNCTION("""COMPUTED_VALUE"""),1109.0)</f>
        <v>1109</v>
      </c>
      <c r="D1398" s="139">
        <f>IFERROR(__xludf.DUMMYFUNCTION("""COMPUTED_VALUE"""),544.0)</f>
        <v>544</v>
      </c>
      <c r="E1398" s="138">
        <f>IFERROR(__xludf.DUMMYFUNCTION("""COMPUTED_VALUE"""),4.0)</f>
        <v>4</v>
      </c>
      <c r="F1398" s="138">
        <f>IFERROR(__xludf.DUMMYFUNCTION("""COMPUTED_VALUE"""),4.0)</f>
        <v>4</v>
      </c>
      <c r="G1398" s="138">
        <f>IFERROR(__xludf.DUMMYFUNCTION("""COMPUTED_VALUE"""),5.0)</f>
        <v>5</v>
      </c>
      <c r="H1398" s="138">
        <f>IFERROR(__xludf.DUMMYFUNCTION("""COMPUTED_VALUE"""),4.0)</f>
        <v>4</v>
      </c>
      <c r="I1398" s="138">
        <f>IFERROR(__xludf.DUMMYFUNCTION("""COMPUTED_VALUE"""),5.0)</f>
        <v>5</v>
      </c>
      <c r="J1398" s="138">
        <f>IFERROR(__xludf.DUMMYFUNCTION("""COMPUTED_VALUE"""),5.0)</f>
        <v>5</v>
      </c>
      <c r="K1398" s="138">
        <f>IFERROR(__xludf.DUMMYFUNCTION("""COMPUTED_VALUE"""),5.0)</f>
        <v>5</v>
      </c>
      <c r="L1398" s="138">
        <v>32.0</v>
      </c>
      <c r="M1398" s="140" t="str">
        <f>VLOOKUP(text(D1398, "#"),'Master Table'!$A:$F, 6, FALSE)</f>
        <v>I-1</v>
      </c>
      <c r="N1398" s="141" t="str">
        <f>IFERROR(__xludf.DUMMYFUNCTION("""COMPUTED_VALUE"""),"Presenter was very engaged with audience and went through graphic and results clearly. Great job breaking down a complex analysis in layman terms. Describing further the overall impact of the study would strengthen the presentation.")</f>
        <v>Presenter was very engaged with audience and went through graphic and results clearly. Great job breaking down a complex analysis in layman terms. Describing further the overall impact of the study would strengthen the presentation.</v>
      </c>
      <c r="O1398" s="142" t="str">
        <f t="shared" si="1"/>
        <v/>
      </c>
      <c r="P1398" s="143" t="str">
        <f>IF(ISNA(VLOOKUP(CONCAT(M1398,C1398), 'Judge Count DO NOT EDIT'!H:H, 1, FALSE)), "ERROR","")</f>
        <v/>
      </c>
      <c r="Q1398" s="141"/>
      <c r="R1398" s="143"/>
      <c r="S1398" s="139" t="str">
        <f t="shared" si="2"/>
        <v>1109544</v>
      </c>
      <c r="T1398" s="141"/>
    </row>
    <row r="1399">
      <c r="A1399" s="137">
        <f>IFERROR(__xludf.DUMMYFUNCTION("""COMPUTED_VALUE"""),45352.69269960649)</f>
        <v>45352.6927</v>
      </c>
      <c r="B1399" s="138" t="str">
        <f>IFERROR(__xludf.DUMMYFUNCTION("""COMPUTED_VALUE"""),"Jessi Rivin")</f>
        <v>Jessi Rivin</v>
      </c>
      <c r="C1399" s="138">
        <f>IFERROR(__xludf.DUMMYFUNCTION("""COMPUTED_VALUE"""),1172.0)</f>
        <v>1172</v>
      </c>
      <c r="D1399" s="139">
        <f>IFERROR(__xludf.DUMMYFUNCTION("""COMPUTED_VALUE"""),544.0)</f>
        <v>544</v>
      </c>
      <c r="E1399" s="138">
        <f>IFERROR(__xludf.DUMMYFUNCTION("""COMPUTED_VALUE"""),5.0)</f>
        <v>5</v>
      </c>
      <c r="F1399" s="138">
        <f>IFERROR(__xludf.DUMMYFUNCTION("""COMPUTED_VALUE"""),3.0)</f>
        <v>3</v>
      </c>
      <c r="G1399" s="138">
        <f>IFERROR(__xludf.DUMMYFUNCTION("""COMPUTED_VALUE"""),4.0)</f>
        <v>4</v>
      </c>
      <c r="H1399" s="138">
        <f>IFERROR(__xludf.DUMMYFUNCTION("""COMPUTED_VALUE"""),4.0)</f>
        <v>4</v>
      </c>
      <c r="I1399" s="138">
        <f>IFERROR(__xludf.DUMMYFUNCTION("""COMPUTED_VALUE"""),3.0)</f>
        <v>3</v>
      </c>
      <c r="J1399" s="138">
        <f>IFERROR(__xludf.DUMMYFUNCTION("""COMPUTED_VALUE"""),5.0)</f>
        <v>5</v>
      </c>
      <c r="K1399" s="138">
        <f>IFERROR(__xludf.DUMMYFUNCTION("""COMPUTED_VALUE"""),5.0)</f>
        <v>5</v>
      </c>
      <c r="L1399" s="138">
        <v>29.0</v>
      </c>
      <c r="M1399" s="140" t="str">
        <f>VLOOKUP(text(D1399, "#"),'Master Table'!$A:$F, 6, FALSE)</f>
        <v>I-1</v>
      </c>
      <c r="N1399" s="141" t="str">
        <f>IFERROR(__xludf.DUMMYFUNCTION("""COMPUTED_VALUE"""),"Your passion and investment shows! Good job! Would love a longitudinal study on how this impacts their development and language skills later on. ")</f>
        <v>Your passion and investment shows! Good job! Would love a longitudinal study on how this impacts their development and language skills later on. </v>
      </c>
      <c r="O1399" s="142" t="str">
        <f t="shared" si="1"/>
        <v/>
      </c>
      <c r="P1399" s="143" t="str">
        <f>IF(ISNA(VLOOKUP(CONCAT(M1399,C1399), 'Judge Count DO NOT EDIT'!H:H, 1, FALSE)), "ERROR","")</f>
        <v/>
      </c>
      <c r="Q1399" s="141"/>
      <c r="R1399" s="143"/>
      <c r="S1399" s="139" t="str">
        <f t="shared" si="2"/>
        <v>1172544</v>
      </c>
      <c r="T1399" s="141"/>
    </row>
    <row r="1400">
      <c r="A1400" s="137">
        <f>IFERROR(__xludf.DUMMYFUNCTION("""COMPUTED_VALUE"""),45352.64654262731)</f>
        <v>45352.64654</v>
      </c>
      <c r="B1400" s="138" t="str">
        <f>IFERROR(__xludf.DUMMYFUNCTION("""COMPUTED_VALUE"""),"Dianne Ciro")</f>
        <v>Dianne Ciro</v>
      </c>
      <c r="C1400" s="138">
        <f>IFERROR(__xludf.DUMMYFUNCTION("""COMPUTED_VALUE"""),1123.0)</f>
        <v>1123</v>
      </c>
      <c r="D1400" s="139">
        <f>IFERROR(__xludf.DUMMYFUNCTION("""COMPUTED_VALUE"""),545.0)</f>
        <v>545</v>
      </c>
      <c r="E1400" s="138">
        <f>IFERROR(__xludf.DUMMYFUNCTION("""COMPUTED_VALUE"""),4.0)</f>
        <v>4</v>
      </c>
      <c r="F1400" s="138">
        <f>IFERROR(__xludf.DUMMYFUNCTION("""COMPUTED_VALUE"""),1.0)</f>
        <v>1</v>
      </c>
      <c r="G1400" s="138">
        <f>IFERROR(__xludf.DUMMYFUNCTION("""COMPUTED_VALUE"""),1.0)</f>
        <v>1</v>
      </c>
      <c r="H1400" s="138">
        <f>IFERROR(__xludf.DUMMYFUNCTION("""COMPUTED_VALUE"""),4.0)</f>
        <v>4</v>
      </c>
      <c r="I1400" s="138">
        <f>IFERROR(__xludf.DUMMYFUNCTION("""COMPUTED_VALUE"""),2.0)</f>
        <v>2</v>
      </c>
      <c r="J1400" s="138">
        <f>IFERROR(__xludf.DUMMYFUNCTION("""COMPUTED_VALUE"""),2.0)</f>
        <v>2</v>
      </c>
      <c r="K1400" s="138">
        <f>IFERROR(__xludf.DUMMYFUNCTION("""COMPUTED_VALUE"""),3.0)</f>
        <v>3</v>
      </c>
      <c r="L1400" s="138">
        <v>17.0</v>
      </c>
      <c r="M1400" s="140" t="str">
        <f>VLOOKUP(text(D1400, "#"),'Master Table'!$A:$F, 6, FALSE)</f>
        <v>I-1</v>
      </c>
      <c r="N1400" s="141"/>
      <c r="O1400" s="142" t="str">
        <f t="shared" si="1"/>
        <v/>
      </c>
      <c r="P1400" s="143" t="str">
        <f>IF(ISNA(VLOOKUP(CONCAT(M1400,C1400), 'Judge Count DO NOT EDIT'!H:H, 1, FALSE)), "ERROR","")</f>
        <v/>
      </c>
      <c r="Q1400" s="141"/>
      <c r="R1400" s="143"/>
      <c r="S1400" s="139" t="str">
        <f t="shared" si="2"/>
        <v>1123545</v>
      </c>
      <c r="T1400" s="141"/>
    </row>
    <row r="1401">
      <c r="A1401" s="137">
        <f>IFERROR(__xludf.DUMMYFUNCTION("""COMPUTED_VALUE"""),45352.65046041667)</f>
        <v>45352.65046</v>
      </c>
      <c r="B1401" s="138" t="str">
        <f>IFERROR(__xludf.DUMMYFUNCTION("""COMPUTED_VALUE"""),"Erik Valenzuela")</f>
        <v>Erik Valenzuela</v>
      </c>
      <c r="C1401" s="138">
        <f>IFERROR(__xludf.DUMMYFUNCTION("""COMPUTED_VALUE"""),1128.0)</f>
        <v>1128</v>
      </c>
      <c r="D1401" s="139">
        <f>IFERROR(__xludf.DUMMYFUNCTION("""COMPUTED_VALUE"""),545.0)</f>
        <v>545</v>
      </c>
      <c r="E1401" s="138">
        <f>IFERROR(__xludf.DUMMYFUNCTION("""COMPUTED_VALUE"""),5.0)</f>
        <v>5</v>
      </c>
      <c r="F1401" s="138">
        <f>IFERROR(__xludf.DUMMYFUNCTION("""COMPUTED_VALUE"""),4.0)</f>
        <v>4</v>
      </c>
      <c r="G1401" s="138">
        <f>IFERROR(__xludf.DUMMYFUNCTION("""COMPUTED_VALUE"""),4.0)</f>
        <v>4</v>
      </c>
      <c r="H1401" s="138">
        <f>IFERROR(__xludf.DUMMYFUNCTION("""COMPUTED_VALUE"""),4.0)</f>
        <v>4</v>
      </c>
      <c r="I1401" s="138">
        <f>IFERROR(__xludf.DUMMYFUNCTION("""COMPUTED_VALUE"""),4.0)</f>
        <v>4</v>
      </c>
      <c r="J1401" s="138">
        <f>IFERROR(__xludf.DUMMYFUNCTION("""COMPUTED_VALUE"""),5.0)</f>
        <v>5</v>
      </c>
      <c r="K1401" s="138">
        <f>IFERROR(__xludf.DUMMYFUNCTION("""COMPUTED_VALUE"""),5.0)</f>
        <v>5</v>
      </c>
      <c r="L1401" s="138">
        <v>31.0</v>
      </c>
      <c r="M1401" s="140" t="str">
        <f>VLOOKUP(text(D1401, "#"),'Master Table'!$A:$F, 6, FALSE)</f>
        <v>I-1</v>
      </c>
      <c r="N1401" s="141"/>
      <c r="O1401" s="142" t="str">
        <f t="shared" si="1"/>
        <v/>
      </c>
      <c r="P1401" s="143" t="str">
        <f>IF(ISNA(VLOOKUP(CONCAT(M1401,C1401), 'Judge Count DO NOT EDIT'!H:H, 1, FALSE)), "ERROR","")</f>
        <v/>
      </c>
      <c r="Q1401" s="141"/>
      <c r="R1401" s="143"/>
      <c r="S1401" s="139" t="str">
        <f t="shared" si="2"/>
        <v>1128545</v>
      </c>
      <c r="T1401" s="141"/>
    </row>
    <row r="1402">
      <c r="A1402" s="137">
        <f>IFERROR(__xludf.DUMMYFUNCTION("""COMPUTED_VALUE"""),45352.65582431713)</f>
        <v>45352.65582</v>
      </c>
      <c r="B1402" s="138" t="str">
        <f>IFERROR(__xludf.DUMMYFUNCTION("""COMPUTED_VALUE"""),"Helen Ma")</f>
        <v>Helen Ma</v>
      </c>
      <c r="C1402" s="138">
        <f>IFERROR(__xludf.DUMMYFUNCTION("""COMPUTED_VALUE"""),1120.0)</f>
        <v>1120</v>
      </c>
      <c r="D1402" s="139">
        <f>IFERROR(__xludf.DUMMYFUNCTION("""COMPUTED_VALUE"""),545.0)</f>
        <v>545</v>
      </c>
      <c r="E1402" s="138">
        <f>IFERROR(__xludf.DUMMYFUNCTION("""COMPUTED_VALUE"""),5.0)</f>
        <v>5</v>
      </c>
      <c r="F1402" s="138">
        <f>IFERROR(__xludf.DUMMYFUNCTION("""COMPUTED_VALUE"""),5.0)</f>
        <v>5</v>
      </c>
      <c r="G1402" s="138">
        <f>IFERROR(__xludf.DUMMYFUNCTION("""COMPUTED_VALUE"""),5.0)</f>
        <v>5</v>
      </c>
      <c r="H1402" s="138">
        <f>IFERROR(__xludf.DUMMYFUNCTION("""COMPUTED_VALUE"""),4.0)</f>
        <v>4</v>
      </c>
      <c r="I1402" s="138">
        <f>IFERROR(__xludf.DUMMYFUNCTION("""COMPUTED_VALUE"""),3.0)</f>
        <v>3</v>
      </c>
      <c r="J1402" s="138">
        <f>IFERROR(__xludf.DUMMYFUNCTION("""COMPUTED_VALUE"""),4.0)</f>
        <v>4</v>
      </c>
      <c r="K1402" s="138">
        <f>IFERROR(__xludf.DUMMYFUNCTION("""COMPUTED_VALUE"""),4.0)</f>
        <v>4</v>
      </c>
      <c r="L1402" s="138">
        <v>30.0</v>
      </c>
      <c r="M1402" s="140" t="str">
        <f>VLOOKUP(text(D1402, "#"),'Master Table'!$A:$F, 6, FALSE)</f>
        <v>I-1</v>
      </c>
      <c r="N1402" s="141"/>
      <c r="O1402" s="142" t="str">
        <f t="shared" si="1"/>
        <v/>
      </c>
      <c r="P1402" s="143" t="str">
        <f>IF(ISNA(VLOOKUP(CONCAT(M1402,C1402), 'Judge Count DO NOT EDIT'!H:H, 1, FALSE)), "ERROR","")</f>
        <v/>
      </c>
      <c r="Q1402" s="141"/>
      <c r="R1402" s="143"/>
      <c r="S1402" s="139" t="str">
        <f t="shared" si="2"/>
        <v>1120545</v>
      </c>
      <c r="T1402" s="141"/>
    </row>
    <row r="1403">
      <c r="A1403" s="137">
        <f>IFERROR(__xludf.DUMMYFUNCTION("""COMPUTED_VALUE"""),45352.65794609954)</f>
        <v>45352.65795</v>
      </c>
      <c r="B1403" s="138" t="str">
        <f>IFERROR(__xludf.DUMMYFUNCTION("""COMPUTED_VALUE"""),"Patricia Dionicio")</f>
        <v>Patricia Dionicio</v>
      </c>
      <c r="C1403" s="138">
        <f>IFERROR(__xludf.DUMMYFUNCTION("""COMPUTED_VALUE"""),1109.0)</f>
        <v>1109</v>
      </c>
      <c r="D1403" s="139">
        <f>IFERROR(__xludf.DUMMYFUNCTION("""COMPUTED_VALUE"""),545.0)</f>
        <v>545</v>
      </c>
      <c r="E1403" s="138">
        <f>IFERROR(__xludf.DUMMYFUNCTION("""COMPUTED_VALUE"""),3.0)</f>
        <v>3</v>
      </c>
      <c r="F1403" s="138">
        <f>IFERROR(__xludf.DUMMYFUNCTION("""COMPUTED_VALUE"""),4.0)</f>
        <v>4</v>
      </c>
      <c r="G1403" s="138">
        <f>IFERROR(__xludf.DUMMYFUNCTION("""COMPUTED_VALUE"""),4.0)</f>
        <v>4</v>
      </c>
      <c r="H1403" s="138">
        <f>IFERROR(__xludf.DUMMYFUNCTION("""COMPUTED_VALUE"""),3.0)</f>
        <v>3</v>
      </c>
      <c r="I1403" s="138">
        <f>IFERROR(__xludf.DUMMYFUNCTION("""COMPUTED_VALUE"""),3.0)</f>
        <v>3</v>
      </c>
      <c r="J1403" s="138">
        <f>IFERROR(__xludf.DUMMYFUNCTION("""COMPUTED_VALUE"""),2.0)</f>
        <v>2</v>
      </c>
      <c r="K1403" s="138">
        <f>IFERROR(__xludf.DUMMYFUNCTION("""COMPUTED_VALUE"""),5.0)</f>
        <v>5</v>
      </c>
      <c r="L1403" s="138">
        <v>24.0</v>
      </c>
      <c r="M1403" s="140" t="str">
        <f>VLOOKUP(text(D1403, "#"),'Master Table'!$A:$F, 6, FALSE)</f>
        <v>I-1</v>
      </c>
      <c r="N1403" s="141" t="str">
        <f>IFERROR(__xludf.DUMMYFUNCTION("""COMPUTED_VALUE"""),"Excellent presentation of research methods and background! Research significance of the LUNA-D study is very clear. Only a few inconsistencies with what student was presenting and study results on poster but was quickly clarified!")</f>
        <v>Excellent presentation of research methods and background! Research significance of the LUNA-D study is very clear. Only a few inconsistencies with what student was presenting and study results on poster but was quickly clarified!</v>
      </c>
      <c r="O1403" s="142" t="str">
        <f t="shared" si="1"/>
        <v/>
      </c>
      <c r="P1403" s="143" t="str">
        <f>IF(ISNA(VLOOKUP(CONCAT(M1403,C1403), 'Judge Count DO NOT EDIT'!H:H, 1, FALSE)), "ERROR","")</f>
        <v/>
      </c>
      <c r="Q1403" s="141"/>
      <c r="R1403" s="143"/>
      <c r="S1403" s="139" t="str">
        <f t="shared" si="2"/>
        <v>1109545</v>
      </c>
      <c r="T1403" s="141"/>
    </row>
    <row r="1404">
      <c r="A1404" s="137">
        <f>IFERROR(__xludf.DUMMYFUNCTION("""COMPUTED_VALUE"""),45352.67449489584)</f>
        <v>45352.67449</v>
      </c>
      <c r="B1404" s="138" t="str">
        <f>IFERROR(__xludf.DUMMYFUNCTION("""COMPUTED_VALUE"""),"Jessi Rivin")</f>
        <v>Jessi Rivin</v>
      </c>
      <c r="C1404" s="138">
        <f>IFERROR(__xludf.DUMMYFUNCTION("""COMPUTED_VALUE"""),1172.0)</f>
        <v>1172</v>
      </c>
      <c r="D1404" s="139">
        <f>IFERROR(__xludf.DUMMYFUNCTION("""COMPUTED_VALUE"""),545.0)</f>
        <v>545</v>
      </c>
      <c r="E1404" s="138">
        <f>IFERROR(__xludf.DUMMYFUNCTION("""COMPUTED_VALUE"""),3.0)</f>
        <v>3</v>
      </c>
      <c r="F1404" s="138">
        <f>IFERROR(__xludf.DUMMYFUNCTION("""COMPUTED_VALUE"""),3.0)</f>
        <v>3</v>
      </c>
      <c r="G1404" s="138">
        <f>IFERROR(__xludf.DUMMYFUNCTION("""COMPUTED_VALUE"""),4.0)</f>
        <v>4</v>
      </c>
      <c r="H1404" s="138">
        <f>IFERROR(__xludf.DUMMYFUNCTION("""COMPUTED_VALUE"""),4.0)</f>
        <v>4</v>
      </c>
      <c r="I1404" s="138">
        <f>IFERROR(__xludf.DUMMYFUNCTION("""COMPUTED_VALUE"""),3.0)</f>
        <v>3</v>
      </c>
      <c r="J1404" s="138">
        <f>IFERROR(__xludf.DUMMYFUNCTION("""COMPUTED_VALUE"""),3.0)</f>
        <v>3</v>
      </c>
      <c r="K1404" s="138">
        <f>IFERROR(__xludf.DUMMYFUNCTION("""COMPUTED_VALUE"""),3.0)</f>
        <v>3</v>
      </c>
      <c r="L1404" s="138">
        <v>23.0</v>
      </c>
      <c r="M1404" s="140" t="str">
        <f>VLOOKUP(text(D1404, "#"),'Master Table'!$A:$F, 6, FALSE)</f>
        <v>I-1</v>
      </c>
      <c r="N1404" s="141" t="str">
        <f>IFERROR(__xludf.DUMMYFUNCTION("""COMPUTED_VALUE"""),"Good job this is really important work! It sounds like you collected other data, maybe play with that a bit more to see if there are any differences (ex:age or gender). ")</f>
        <v>Good job this is really important work! It sounds like you collected other data, maybe play with that a bit more to see if there are any differences (ex:age or gender). </v>
      </c>
      <c r="O1404" s="142" t="str">
        <f t="shared" si="1"/>
        <v/>
      </c>
      <c r="P1404" s="143" t="str">
        <f>IF(ISNA(VLOOKUP(CONCAT(M1404,C1404), 'Judge Count DO NOT EDIT'!H:H, 1, FALSE)), "ERROR","")</f>
        <v/>
      </c>
      <c r="Q1404" s="141"/>
      <c r="R1404" s="143"/>
      <c r="S1404" s="139" t="str">
        <f t="shared" si="2"/>
        <v>1172545</v>
      </c>
      <c r="T1404" s="141"/>
    </row>
    <row r="1405">
      <c r="A1405" s="137">
        <f>IFERROR(__xludf.DUMMYFUNCTION("""COMPUTED_VALUE"""),45352.651078449075)</f>
        <v>45352.65108</v>
      </c>
      <c r="B1405" s="138" t="str">
        <f>IFERROR(__xludf.DUMMYFUNCTION("""COMPUTED_VALUE"""),"Erik Valenzuela")</f>
        <v>Erik Valenzuela</v>
      </c>
      <c r="C1405" s="138">
        <f>IFERROR(__xludf.DUMMYFUNCTION("""COMPUTED_VALUE"""),1128.0)</f>
        <v>1128</v>
      </c>
      <c r="D1405" s="139">
        <f>IFERROR(__xludf.DUMMYFUNCTION("""COMPUTED_VALUE"""),546.0)</f>
        <v>546</v>
      </c>
      <c r="E1405" s="138">
        <f>IFERROR(__xludf.DUMMYFUNCTION("""COMPUTED_VALUE"""),4.0)</f>
        <v>4</v>
      </c>
      <c r="F1405" s="138">
        <f>IFERROR(__xludf.DUMMYFUNCTION("""COMPUTED_VALUE"""),4.0)</f>
        <v>4</v>
      </c>
      <c r="G1405" s="138">
        <f>IFERROR(__xludf.DUMMYFUNCTION("""COMPUTED_VALUE"""),5.0)</f>
        <v>5</v>
      </c>
      <c r="H1405" s="138">
        <f>IFERROR(__xludf.DUMMYFUNCTION("""COMPUTED_VALUE"""),4.0)</f>
        <v>4</v>
      </c>
      <c r="I1405" s="138">
        <f>IFERROR(__xludf.DUMMYFUNCTION("""COMPUTED_VALUE"""),5.0)</f>
        <v>5</v>
      </c>
      <c r="J1405" s="138">
        <f>IFERROR(__xludf.DUMMYFUNCTION("""COMPUTED_VALUE"""),4.0)</f>
        <v>4</v>
      </c>
      <c r="K1405" s="138">
        <f>IFERROR(__xludf.DUMMYFUNCTION("""COMPUTED_VALUE"""),5.0)</f>
        <v>5</v>
      </c>
      <c r="L1405" s="138">
        <v>31.0</v>
      </c>
      <c r="M1405" s="140" t="str">
        <f>VLOOKUP(text(D1405, "#"),'Master Table'!$A:$F, 6, FALSE)</f>
        <v>I-1</v>
      </c>
      <c r="N1405" s="141"/>
      <c r="O1405" s="142" t="str">
        <f t="shared" si="1"/>
        <v/>
      </c>
      <c r="P1405" s="143" t="str">
        <f>IF(ISNA(VLOOKUP(CONCAT(M1405,C1405), 'Judge Count DO NOT EDIT'!H:H, 1, FALSE)), "ERROR","")</f>
        <v/>
      </c>
      <c r="Q1405" s="144"/>
      <c r="R1405" s="143"/>
      <c r="S1405" s="139" t="str">
        <f t="shared" si="2"/>
        <v>1128546</v>
      </c>
      <c r="T1405" s="141"/>
    </row>
    <row r="1406">
      <c r="A1406" s="137">
        <f>IFERROR(__xludf.DUMMYFUNCTION("""COMPUTED_VALUE"""),45352.673144976856)</f>
        <v>45352.67314</v>
      </c>
      <c r="B1406" s="138" t="str">
        <f>IFERROR(__xludf.DUMMYFUNCTION("""COMPUTED_VALUE"""),"Jessi Rivin")</f>
        <v>Jessi Rivin</v>
      </c>
      <c r="C1406" s="138">
        <f>IFERROR(__xludf.DUMMYFUNCTION("""COMPUTED_VALUE"""),1172.0)</f>
        <v>1172</v>
      </c>
      <c r="D1406" s="139">
        <f>IFERROR(__xludf.DUMMYFUNCTION("""COMPUTED_VALUE"""),546.0)</f>
        <v>546</v>
      </c>
      <c r="E1406" s="138">
        <f>IFERROR(__xludf.DUMMYFUNCTION("""COMPUTED_VALUE"""),4.0)</f>
        <v>4</v>
      </c>
      <c r="F1406" s="138">
        <f>IFERROR(__xludf.DUMMYFUNCTION("""COMPUTED_VALUE"""),4.0)</f>
        <v>4</v>
      </c>
      <c r="G1406" s="138">
        <f>IFERROR(__xludf.DUMMYFUNCTION("""COMPUTED_VALUE"""),4.0)</f>
        <v>4</v>
      </c>
      <c r="H1406" s="138">
        <f>IFERROR(__xludf.DUMMYFUNCTION("""COMPUTED_VALUE"""),3.0)</f>
        <v>3</v>
      </c>
      <c r="I1406" s="138">
        <f>IFERROR(__xludf.DUMMYFUNCTION("""COMPUTED_VALUE"""),4.0)</f>
        <v>4</v>
      </c>
      <c r="J1406" s="138">
        <f>IFERROR(__xludf.DUMMYFUNCTION("""COMPUTED_VALUE"""),5.0)</f>
        <v>5</v>
      </c>
      <c r="K1406" s="138">
        <f>IFERROR(__xludf.DUMMYFUNCTION("""COMPUTED_VALUE"""),5.0)</f>
        <v>5</v>
      </c>
      <c r="L1406" s="138">
        <v>29.0</v>
      </c>
      <c r="M1406" s="140" t="str">
        <f>VLOOKUP(text(D1406, "#"),'Master Table'!$A:$F, 6, FALSE)</f>
        <v>I-1</v>
      </c>
      <c r="N1406" s="141" t="str">
        <f>IFERROR(__xludf.DUMMYFUNCTION("""COMPUTED_VALUE"""),"Great job! This work is so practically important and your passion shows! I think it would be interesting to also interview other generations so you can get more of a sense of how things have shifted over time. ")</f>
        <v>Great job! This work is so practically important and your passion shows! I think it would be interesting to also interview other generations so you can get more of a sense of how things have shifted over time. </v>
      </c>
      <c r="O1406" s="142" t="str">
        <f t="shared" si="1"/>
        <v/>
      </c>
      <c r="P1406" s="143" t="str">
        <f>IF(ISNA(VLOOKUP(CONCAT(M1406,C1406), 'Judge Count DO NOT EDIT'!H:H, 1, FALSE)), "ERROR","")</f>
        <v/>
      </c>
      <c r="Q1406" s="141"/>
      <c r="R1406" s="143"/>
      <c r="S1406" s="139" t="str">
        <f t="shared" si="2"/>
        <v>1172546</v>
      </c>
      <c r="T1406" s="141"/>
    </row>
    <row r="1407">
      <c r="A1407" s="137">
        <f>IFERROR(__xludf.DUMMYFUNCTION("""COMPUTED_VALUE"""),45352.65617099537)</f>
        <v>45352.65617</v>
      </c>
      <c r="B1407" s="138" t="str">
        <f>IFERROR(__xludf.DUMMYFUNCTION("""COMPUTED_VALUE"""),"Helen Ma")</f>
        <v>Helen Ma</v>
      </c>
      <c r="C1407" s="138">
        <f>IFERROR(__xludf.DUMMYFUNCTION("""COMPUTED_VALUE"""),1120.0)</f>
        <v>1120</v>
      </c>
      <c r="D1407" s="139">
        <f>IFERROR(__xludf.DUMMYFUNCTION("""COMPUTED_VALUE"""),546.0)</f>
        <v>546</v>
      </c>
      <c r="E1407" s="138">
        <f>IFERROR(__xludf.DUMMYFUNCTION("""COMPUTED_VALUE"""),3.0)</f>
        <v>3</v>
      </c>
      <c r="F1407" s="138">
        <f>IFERROR(__xludf.DUMMYFUNCTION("""COMPUTED_VALUE"""),4.0)</f>
        <v>4</v>
      </c>
      <c r="G1407" s="138">
        <f>IFERROR(__xludf.DUMMYFUNCTION("""COMPUTED_VALUE"""),4.0)</f>
        <v>4</v>
      </c>
      <c r="H1407" s="138">
        <f>IFERROR(__xludf.DUMMYFUNCTION("""COMPUTED_VALUE"""),3.0)</f>
        <v>3</v>
      </c>
      <c r="I1407" s="138">
        <f>IFERROR(__xludf.DUMMYFUNCTION("""COMPUTED_VALUE"""),4.0)</f>
        <v>4</v>
      </c>
      <c r="J1407" s="138">
        <f>IFERROR(__xludf.DUMMYFUNCTION("""COMPUTED_VALUE"""),4.0)</f>
        <v>4</v>
      </c>
      <c r="K1407" s="138">
        <f>IFERROR(__xludf.DUMMYFUNCTION("""COMPUTED_VALUE"""),4.0)</f>
        <v>4</v>
      </c>
      <c r="L1407" s="138">
        <v>26.0</v>
      </c>
      <c r="M1407" s="140" t="str">
        <f>VLOOKUP(text(D1407, "#"),'Master Table'!$A:$F, 6, FALSE)</f>
        <v>I-1</v>
      </c>
      <c r="N1407" s="141"/>
      <c r="O1407" s="142" t="str">
        <f t="shared" si="1"/>
        <v/>
      </c>
      <c r="P1407" s="143" t="str">
        <f>IF(ISNA(VLOOKUP(CONCAT(M1407,C1407), 'Judge Count DO NOT EDIT'!H:H, 1, FALSE)), "ERROR","")</f>
        <v/>
      </c>
      <c r="Q1407" s="141"/>
      <c r="R1407" s="143"/>
      <c r="S1407" s="139" t="str">
        <f t="shared" si="2"/>
        <v>1120546</v>
      </c>
      <c r="T1407" s="141"/>
    </row>
    <row r="1408">
      <c r="A1408" s="137">
        <f>IFERROR(__xludf.DUMMYFUNCTION("""COMPUTED_VALUE"""),45352.65931350694)</f>
        <v>45352.65931</v>
      </c>
      <c r="B1408" s="138" t="str">
        <f>IFERROR(__xludf.DUMMYFUNCTION("""COMPUTED_VALUE"""),"Dianne Ciro")</f>
        <v>Dianne Ciro</v>
      </c>
      <c r="C1408" s="138">
        <f>IFERROR(__xludf.DUMMYFUNCTION("""COMPUTED_VALUE"""),1123.0)</f>
        <v>1123</v>
      </c>
      <c r="D1408" s="139">
        <f>IFERROR(__xludf.DUMMYFUNCTION("""COMPUTED_VALUE"""),546.0)</f>
        <v>546</v>
      </c>
      <c r="E1408" s="138">
        <f>IFERROR(__xludf.DUMMYFUNCTION("""COMPUTED_VALUE"""),3.0)</f>
        <v>3</v>
      </c>
      <c r="F1408" s="138">
        <f>IFERROR(__xludf.DUMMYFUNCTION("""COMPUTED_VALUE"""),4.0)</f>
        <v>4</v>
      </c>
      <c r="G1408" s="138">
        <f>IFERROR(__xludf.DUMMYFUNCTION("""COMPUTED_VALUE"""),4.0)</f>
        <v>4</v>
      </c>
      <c r="H1408" s="138">
        <f>IFERROR(__xludf.DUMMYFUNCTION("""COMPUTED_VALUE"""),4.0)</f>
        <v>4</v>
      </c>
      <c r="I1408" s="138">
        <f>IFERROR(__xludf.DUMMYFUNCTION("""COMPUTED_VALUE"""),1.0)</f>
        <v>1</v>
      </c>
      <c r="J1408" s="138">
        <f>IFERROR(__xludf.DUMMYFUNCTION("""COMPUTED_VALUE"""),2.0)</f>
        <v>2</v>
      </c>
      <c r="K1408" s="138">
        <f>IFERROR(__xludf.DUMMYFUNCTION("""COMPUTED_VALUE"""),3.0)</f>
        <v>3</v>
      </c>
      <c r="L1408" s="138">
        <v>21.0</v>
      </c>
      <c r="M1408" s="140" t="str">
        <f>VLOOKUP(text(D1408, "#"),'Master Table'!$A:$F, 6, FALSE)</f>
        <v>I-1</v>
      </c>
      <c r="N1408" s="141"/>
      <c r="O1408" s="142" t="str">
        <f t="shared" si="1"/>
        <v/>
      </c>
      <c r="P1408" s="143" t="str">
        <f>IF(ISNA(VLOOKUP(CONCAT(M1408,C1408), 'Judge Count DO NOT EDIT'!H:H, 1, FALSE)), "ERROR","")</f>
        <v/>
      </c>
      <c r="Q1408" s="141"/>
      <c r="R1408" s="143"/>
      <c r="S1408" s="139" t="str">
        <f t="shared" si="2"/>
        <v>1123546</v>
      </c>
      <c r="T1408" s="141"/>
    </row>
    <row r="1409">
      <c r="A1409" s="137">
        <f>IFERROR(__xludf.DUMMYFUNCTION("""COMPUTED_VALUE"""),45352.69253872686)</f>
        <v>45352.69254</v>
      </c>
      <c r="B1409" s="138" t="str">
        <f>IFERROR(__xludf.DUMMYFUNCTION("""COMPUTED_VALUE"""),"Patricia Dionicio")</f>
        <v>Patricia Dionicio</v>
      </c>
      <c r="C1409" s="138">
        <f>IFERROR(__xludf.DUMMYFUNCTION("""COMPUTED_VALUE"""),1109.0)</f>
        <v>1109</v>
      </c>
      <c r="D1409" s="139">
        <f>IFERROR(__xludf.DUMMYFUNCTION("""COMPUTED_VALUE"""),546.0)</f>
        <v>546</v>
      </c>
      <c r="E1409" s="138">
        <f>IFERROR(__xludf.DUMMYFUNCTION("""COMPUTED_VALUE"""),4.0)</f>
        <v>4</v>
      </c>
      <c r="F1409" s="138">
        <f>IFERROR(__xludf.DUMMYFUNCTION("""COMPUTED_VALUE"""),4.0)</f>
        <v>4</v>
      </c>
      <c r="G1409" s="138">
        <f>IFERROR(__xludf.DUMMYFUNCTION("""COMPUTED_VALUE"""),4.0)</f>
        <v>4</v>
      </c>
      <c r="H1409" s="138">
        <f>IFERROR(__xludf.DUMMYFUNCTION("""COMPUTED_VALUE"""),3.0)</f>
        <v>3</v>
      </c>
      <c r="I1409" s="138">
        <f>IFERROR(__xludf.DUMMYFUNCTION("""COMPUTED_VALUE"""),3.0)</f>
        <v>3</v>
      </c>
      <c r="J1409" s="138">
        <f>IFERROR(__xludf.DUMMYFUNCTION("""COMPUTED_VALUE"""),3.0)</f>
        <v>3</v>
      </c>
      <c r="K1409" s="138">
        <f>IFERROR(__xludf.DUMMYFUNCTION("""COMPUTED_VALUE"""),4.0)</f>
        <v>4</v>
      </c>
      <c r="L1409" s="138">
        <v>25.0</v>
      </c>
      <c r="M1409" s="140" t="str">
        <f>VLOOKUP(text(D1409, "#"),'Master Table'!$A:$F, 6, FALSE)</f>
        <v>I-1</v>
      </c>
      <c r="N1409" s="141" t="str">
        <f>IFERROR(__xludf.DUMMYFUNCTION("""COMPUTED_VALUE"""),"Great display of visuals and presentation of findings and significance. Methods (e.g., types of interviews and qualitative framework that informed the study) would strengthen the poster presentation!")</f>
        <v>Great display of visuals and presentation of findings and significance. Methods (e.g., types of interviews and qualitative framework that informed the study) would strengthen the poster presentation!</v>
      </c>
      <c r="O1409" s="142" t="str">
        <f t="shared" si="1"/>
        <v/>
      </c>
      <c r="P1409" s="143" t="str">
        <f>IF(ISNA(VLOOKUP(CONCAT(M1409,C1409), 'Judge Count DO NOT EDIT'!H:H, 1, FALSE)), "ERROR","")</f>
        <v/>
      </c>
      <c r="Q1409" s="141"/>
      <c r="R1409" s="143"/>
      <c r="S1409" s="139" t="str">
        <f t="shared" si="2"/>
        <v>1109546</v>
      </c>
      <c r="T1409" s="141"/>
    </row>
    <row r="1410">
      <c r="A1410" s="137">
        <f>IFERROR(__xludf.DUMMYFUNCTION("""COMPUTED_VALUE"""),45352.651531157404)</f>
        <v>45352.65153</v>
      </c>
      <c r="B1410" s="138" t="str">
        <f>IFERROR(__xludf.DUMMYFUNCTION("""COMPUTED_VALUE"""),"Erik Valenzuela")</f>
        <v>Erik Valenzuela</v>
      </c>
      <c r="C1410" s="138">
        <f>IFERROR(__xludf.DUMMYFUNCTION("""COMPUTED_VALUE"""),1128.0)</f>
        <v>1128</v>
      </c>
      <c r="D1410" s="139">
        <f>IFERROR(__xludf.DUMMYFUNCTION("""COMPUTED_VALUE"""),547.0)</f>
        <v>547</v>
      </c>
      <c r="E1410" s="138">
        <f>IFERROR(__xludf.DUMMYFUNCTION("""COMPUTED_VALUE"""),4.0)</f>
        <v>4</v>
      </c>
      <c r="F1410" s="138">
        <f>IFERROR(__xludf.DUMMYFUNCTION("""COMPUTED_VALUE"""),4.0)</f>
        <v>4</v>
      </c>
      <c r="G1410" s="138">
        <f>IFERROR(__xludf.DUMMYFUNCTION("""COMPUTED_VALUE"""),4.0)</f>
        <v>4</v>
      </c>
      <c r="H1410" s="138">
        <f>IFERROR(__xludf.DUMMYFUNCTION("""COMPUTED_VALUE"""),4.0)</f>
        <v>4</v>
      </c>
      <c r="I1410" s="138">
        <f>IFERROR(__xludf.DUMMYFUNCTION("""COMPUTED_VALUE"""),5.0)</f>
        <v>5</v>
      </c>
      <c r="J1410" s="138">
        <f>IFERROR(__xludf.DUMMYFUNCTION("""COMPUTED_VALUE"""),4.0)</f>
        <v>4</v>
      </c>
      <c r="K1410" s="138">
        <f>IFERROR(__xludf.DUMMYFUNCTION("""COMPUTED_VALUE"""),4.0)</f>
        <v>4</v>
      </c>
      <c r="L1410" s="138">
        <v>29.0</v>
      </c>
      <c r="M1410" s="140" t="str">
        <f>VLOOKUP(text(D1410, "#"),'Master Table'!$A:$F, 6, FALSE)</f>
        <v>I-1</v>
      </c>
      <c r="N1410" s="141"/>
      <c r="O1410" s="142" t="str">
        <f t="shared" si="1"/>
        <v/>
      </c>
      <c r="P1410" s="143" t="str">
        <f>IF(ISNA(VLOOKUP(CONCAT(M1410,C1410), 'Judge Count DO NOT EDIT'!H:H, 1, FALSE)), "ERROR","")</f>
        <v/>
      </c>
      <c r="Q1410" s="141"/>
      <c r="R1410" s="143"/>
      <c r="S1410" s="139" t="str">
        <f t="shared" si="2"/>
        <v>1128547</v>
      </c>
      <c r="T1410" s="141"/>
    </row>
    <row r="1411">
      <c r="A1411" s="137">
        <f>IFERROR(__xludf.DUMMYFUNCTION("""COMPUTED_VALUE"""),45352.656439687504)</f>
        <v>45352.65644</v>
      </c>
      <c r="B1411" s="138" t="str">
        <f>IFERROR(__xludf.DUMMYFUNCTION("""COMPUTED_VALUE"""),"Helen Ma")</f>
        <v>Helen Ma</v>
      </c>
      <c r="C1411" s="138">
        <f>IFERROR(__xludf.DUMMYFUNCTION("""COMPUTED_VALUE"""),1120.0)</f>
        <v>1120</v>
      </c>
      <c r="D1411" s="139">
        <f>IFERROR(__xludf.DUMMYFUNCTION("""COMPUTED_VALUE"""),547.0)</f>
        <v>547</v>
      </c>
      <c r="E1411" s="138">
        <f>IFERROR(__xludf.DUMMYFUNCTION("""COMPUTED_VALUE"""),5.0)</f>
        <v>5</v>
      </c>
      <c r="F1411" s="138">
        <f>IFERROR(__xludf.DUMMYFUNCTION("""COMPUTED_VALUE"""),5.0)</f>
        <v>5</v>
      </c>
      <c r="G1411" s="138">
        <f>IFERROR(__xludf.DUMMYFUNCTION("""COMPUTED_VALUE"""),5.0)</f>
        <v>5</v>
      </c>
      <c r="H1411" s="138">
        <f>IFERROR(__xludf.DUMMYFUNCTION("""COMPUTED_VALUE"""),5.0)</f>
        <v>5</v>
      </c>
      <c r="I1411" s="138">
        <f>IFERROR(__xludf.DUMMYFUNCTION("""COMPUTED_VALUE"""),5.0)</f>
        <v>5</v>
      </c>
      <c r="J1411" s="138">
        <f>IFERROR(__xludf.DUMMYFUNCTION("""COMPUTED_VALUE"""),5.0)</f>
        <v>5</v>
      </c>
      <c r="K1411" s="138">
        <f>IFERROR(__xludf.DUMMYFUNCTION("""COMPUTED_VALUE"""),5.0)</f>
        <v>5</v>
      </c>
      <c r="L1411" s="138">
        <v>35.0</v>
      </c>
      <c r="M1411" s="140" t="str">
        <f>VLOOKUP(text(D1411, "#"),'Master Table'!$A:$F, 6, FALSE)</f>
        <v>I-1</v>
      </c>
      <c r="N1411" s="141"/>
      <c r="O1411" s="142" t="str">
        <f t="shared" si="1"/>
        <v/>
      </c>
      <c r="P1411" s="143" t="str">
        <f>IF(ISNA(VLOOKUP(CONCAT(M1411,C1411), 'Judge Count DO NOT EDIT'!H:H, 1, FALSE)), "ERROR","")</f>
        <v/>
      </c>
      <c r="Q1411" s="141"/>
      <c r="R1411" s="143"/>
      <c r="S1411" s="139" t="str">
        <f t="shared" si="2"/>
        <v>1120547</v>
      </c>
      <c r="T1411" s="141"/>
    </row>
    <row r="1412">
      <c r="A1412" s="137">
        <f>IFERROR(__xludf.DUMMYFUNCTION("""COMPUTED_VALUE"""),45352.675595821755)</f>
        <v>45352.6756</v>
      </c>
      <c r="B1412" s="138" t="str">
        <f>IFERROR(__xludf.DUMMYFUNCTION("""COMPUTED_VALUE"""),"Jessi Rivin")</f>
        <v>Jessi Rivin</v>
      </c>
      <c r="C1412" s="138">
        <f>IFERROR(__xludf.DUMMYFUNCTION("""COMPUTED_VALUE"""),1172.0)</f>
        <v>1172</v>
      </c>
      <c r="D1412" s="139">
        <f>IFERROR(__xludf.DUMMYFUNCTION("""COMPUTED_VALUE"""),547.0)</f>
        <v>547</v>
      </c>
      <c r="E1412" s="138">
        <f>IFERROR(__xludf.DUMMYFUNCTION("""COMPUTED_VALUE"""),5.0)</f>
        <v>5</v>
      </c>
      <c r="F1412" s="138">
        <f>IFERROR(__xludf.DUMMYFUNCTION("""COMPUTED_VALUE"""),5.0)</f>
        <v>5</v>
      </c>
      <c r="G1412" s="138">
        <f>IFERROR(__xludf.DUMMYFUNCTION("""COMPUTED_VALUE"""),5.0)</f>
        <v>5</v>
      </c>
      <c r="H1412" s="138">
        <f>IFERROR(__xludf.DUMMYFUNCTION("""COMPUTED_VALUE"""),5.0)</f>
        <v>5</v>
      </c>
      <c r="I1412" s="138">
        <f>IFERROR(__xludf.DUMMYFUNCTION("""COMPUTED_VALUE"""),5.0)</f>
        <v>5</v>
      </c>
      <c r="J1412" s="138">
        <f>IFERROR(__xludf.DUMMYFUNCTION("""COMPUTED_VALUE"""),5.0)</f>
        <v>5</v>
      </c>
      <c r="K1412" s="138">
        <f>IFERROR(__xludf.DUMMYFUNCTION("""COMPUTED_VALUE"""),5.0)</f>
        <v>5</v>
      </c>
      <c r="L1412" s="138">
        <v>35.0</v>
      </c>
      <c r="M1412" s="140" t="str">
        <f>VLOOKUP(text(D1412, "#"),'Master Table'!$A:$F, 6, FALSE)</f>
        <v>I-1</v>
      </c>
      <c r="N1412" s="141" t="str">
        <f>IFERROR(__xludf.DUMMYFUNCTION("""COMPUTED_VALUE"""),"Loved your poster! You are all clearly well informed and passionate! We chatted about ideas, but maybe look at letters from other languages for a nonverbal alternative.")</f>
        <v>Loved your poster! You are all clearly well informed and passionate! We chatted about ideas, but maybe look at letters from other languages for a nonverbal alternative.</v>
      </c>
      <c r="O1412" s="142" t="str">
        <f t="shared" si="1"/>
        <v/>
      </c>
      <c r="P1412" s="143" t="str">
        <f>IF(ISNA(VLOOKUP(CONCAT(M1412,C1412), 'Judge Count DO NOT EDIT'!H:H, 1, FALSE)), "ERROR","")</f>
        <v/>
      </c>
      <c r="Q1412" s="141"/>
      <c r="R1412" s="143"/>
      <c r="S1412" s="139" t="str">
        <f t="shared" si="2"/>
        <v>1172547</v>
      </c>
      <c r="T1412" s="141"/>
    </row>
    <row r="1413">
      <c r="A1413" s="137">
        <f>IFERROR(__xludf.DUMMYFUNCTION("""COMPUTED_VALUE"""),45352.693738182876)</f>
        <v>45352.69374</v>
      </c>
      <c r="B1413" s="138" t="str">
        <f>IFERROR(__xludf.DUMMYFUNCTION("""COMPUTED_VALUE"""),"Patricia Dionicio")</f>
        <v>Patricia Dionicio</v>
      </c>
      <c r="C1413" s="138">
        <f>IFERROR(__xludf.DUMMYFUNCTION("""COMPUTED_VALUE"""),1109.0)</f>
        <v>1109</v>
      </c>
      <c r="D1413" s="139">
        <f>IFERROR(__xludf.DUMMYFUNCTION("""COMPUTED_VALUE"""),547.0)</f>
        <v>547</v>
      </c>
      <c r="E1413" s="138">
        <f>IFERROR(__xludf.DUMMYFUNCTION("""COMPUTED_VALUE"""),5.0)</f>
        <v>5</v>
      </c>
      <c r="F1413" s="138">
        <f>IFERROR(__xludf.DUMMYFUNCTION("""COMPUTED_VALUE"""),5.0)</f>
        <v>5</v>
      </c>
      <c r="G1413" s="138">
        <f>IFERROR(__xludf.DUMMYFUNCTION("""COMPUTED_VALUE"""),5.0)</f>
        <v>5</v>
      </c>
      <c r="H1413" s="138">
        <f>IFERROR(__xludf.DUMMYFUNCTION("""COMPUTED_VALUE"""),4.0)</f>
        <v>4</v>
      </c>
      <c r="I1413" s="138">
        <f>IFERROR(__xludf.DUMMYFUNCTION("""COMPUTED_VALUE"""),5.0)</f>
        <v>5</v>
      </c>
      <c r="J1413" s="138">
        <f>IFERROR(__xludf.DUMMYFUNCTION("""COMPUTED_VALUE"""),5.0)</f>
        <v>5</v>
      </c>
      <c r="K1413" s="138">
        <f>IFERROR(__xludf.DUMMYFUNCTION("""COMPUTED_VALUE"""),4.0)</f>
        <v>4</v>
      </c>
      <c r="L1413" s="138">
        <v>33.0</v>
      </c>
      <c r="M1413" s="140" t="str">
        <f>VLOOKUP(text(D1413, "#"),'Master Table'!$A:$F, 6, FALSE)</f>
        <v>I-1</v>
      </c>
      <c r="N1413" s="141" t="str">
        <f>IFERROR(__xludf.DUMMYFUNCTION("""COMPUTED_VALUE"""),"Fantastic poster and presentation of findings. Presenters were very knowledgeable about the research content matter and explained aphasia in a way that audience members could understand. ")</f>
        <v>Fantastic poster and presentation of findings. Presenters were very knowledgeable about the research content matter and explained aphasia in a way that audience members could understand. </v>
      </c>
      <c r="O1413" s="142" t="str">
        <f t="shared" si="1"/>
        <v/>
      </c>
      <c r="P1413" s="143" t="str">
        <f>IF(ISNA(VLOOKUP(CONCAT(M1413,C1413), 'Judge Count DO NOT EDIT'!H:H, 1, FALSE)), "ERROR","")</f>
        <v/>
      </c>
      <c r="Q1413" s="141"/>
      <c r="R1413" s="143"/>
      <c r="S1413" s="139" t="str">
        <f t="shared" si="2"/>
        <v>1109547</v>
      </c>
      <c r="T1413" s="141"/>
    </row>
    <row r="1414">
      <c r="A1414" s="137">
        <f>IFERROR(__xludf.DUMMYFUNCTION("""COMPUTED_VALUE"""),45352.694034479166)</f>
        <v>45352.69403</v>
      </c>
      <c r="B1414" s="138" t="str">
        <f>IFERROR(__xludf.DUMMYFUNCTION("""COMPUTED_VALUE"""),"Dianne Ciro")</f>
        <v>Dianne Ciro</v>
      </c>
      <c r="C1414" s="138">
        <f>IFERROR(__xludf.DUMMYFUNCTION("""COMPUTED_VALUE"""),1123.0)</f>
        <v>1123</v>
      </c>
      <c r="D1414" s="139">
        <f>IFERROR(__xludf.DUMMYFUNCTION("""COMPUTED_VALUE"""),547.0)</f>
        <v>547</v>
      </c>
      <c r="E1414" s="138">
        <f>IFERROR(__xludf.DUMMYFUNCTION("""COMPUTED_VALUE"""),4.0)</f>
        <v>4</v>
      </c>
      <c r="F1414" s="138">
        <f>IFERROR(__xludf.DUMMYFUNCTION("""COMPUTED_VALUE"""),4.0)</f>
        <v>4</v>
      </c>
      <c r="G1414" s="138">
        <f>IFERROR(__xludf.DUMMYFUNCTION("""COMPUTED_VALUE"""),3.0)</f>
        <v>3</v>
      </c>
      <c r="H1414" s="138">
        <f>IFERROR(__xludf.DUMMYFUNCTION("""COMPUTED_VALUE"""),4.0)</f>
        <v>4</v>
      </c>
      <c r="I1414" s="138">
        <f>IFERROR(__xludf.DUMMYFUNCTION("""COMPUTED_VALUE"""),4.0)</f>
        <v>4</v>
      </c>
      <c r="J1414" s="138">
        <f>IFERROR(__xludf.DUMMYFUNCTION("""COMPUTED_VALUE"""),5.0)</f>
        <v>5</v>
      </c>
      <c r="K1414" s="138">
        <f>IFERROR(__xludf.DUMMYFUNCTION("""COMPUTED_VALUE"""),5.0)</f>
        <v>5</v>
      </c>
      <c r="L1414" s="138">
        <v>29.0</v>
      </c>
      <c r="M1414" s="140" t="str">
        <f>VLOOKUP(text(D1414, "#"),'Master Table'!$A:$F, 6, FALSE)</f>
        <v>I-1</v>
      </c>
      <c r="N1414" s="141"/>
      <c r="O1414" s="142" t="str">
        <f t="shared" si="1"/>
        <v/>
      </c>
      <c r="P1414" s="143" t="str">
        <f>IF(ISNA(VLOOKUP(CONCAT(M1414,C1414), 'Judge Count DO NOT EDIT'!H:H, 1, FALSE)), "ERROR","")</f>
        <v/>
      </c>
      <c r="Q1414" s="141"/>
      <c r="R1414" s="143"/>
      <c r="S1414" s="139" t="str">
        <f t="shared" si="2"/>
        <v>1123547</v>
      </c>
      <c r="T1414" s="141"/>
    </row>
    <row r="1415">
      <c r="A1415" s="137">
        <f>IFERROR(__xludf.DUMMYFUNCTION("""COMPUTED_VALUE"""),45352.63741469907)</f>
        <v>45352.63741</v>
      </c>
      <c r="B1415" s="138" t="str">
        <f>IFERROR(__xludf.DUMMYFUNCTION("""COMPUTED_VALUE"""),"Patricia Dionicio")</f>
        <v>Patricia Dionicio</v>
      </c>
      <c r="C1415" s="138">
        <f>IFERROR(__xludf.DUMMYFUNCTION("""COMPUTED_VALUE"""),1109.0)</f>
        <v>1109</v>
      </c>
      <c r="D1415" s="139">
        <f>IFERROR(__xludf.DUMMYFUNCTION("""COMPUTED_VALUE"""),548.0)</f>
        <v>548</v>
      </c>
      <c r="E1415" s="138">
        <f>IFERROR(__xludf.DUMMYFUNCTION("""COMPUTED_VALUE"""),4.0)</f>
        <v>4</v>
      </c>
      <c r="F1415" s="138">
        <f>IFERROR(__xludf.DUMMYFUNCTION("""COMPUTED_VALUE"""),4.0)</f>
        <v>4</v>
      </c>
      <c r="G1415" s="138">
        <f>IFERROR(__xludf.DUMMYFUNCTION("""COMPUTED_VALUE"""),5.0)</f>
        <v>5</v>
      </c>
      <c r="H1415" s="138">
        <f>IFERROR(__xludf.DUMMYFUNCTION("""COMPUTED_VALUE"""),4.0)</f>
        <v>4</v>
      </c>
      <c r="I1415" s="138">
        <f>IFERROR(__xludf.DUMMYFUNCTION("""COMPUTED_VALUE"""),3.0)</f>
        <v>3</v>
      </c>
      <c r="J1415" s="138">
        <f>IFERROR(__xludf.DUMMYFUNCTION("""COMPUTED_VALUE"""),4.0)</f>
        <v>4</v>
      </c>
      <c r="K1415" s="138">
        <f>IFERROR(__xludf.DUMMYFUNCTION("""COMPUTED_VALUE"""),5.0)</f>
        <v>5</v>
      </c>
      <c r="L1415" s="138">
        <v>29.0</v>
      </c>
      <c r="M1415" s="140" t="str">
        <f>VLOOKUP(text(D1415, "#"),'Master Table'!$A:$F, 6, FALSE)</f>
        <v>I-1</v>
      </c>
      <c r="N1415" s="141" t="str">
        <f>IFERROR(__xludf.DUMMYFUNCTION("""COMPUTED_VALUE"""),"Great overview of the research, presenter was clear and organized. It was also very clear that she was passionate about women’s health. Only recommendation would be to share more on the poster about the interview guide used and approach used to analyze th"&amp;"e interviews.")</f>
        <v>Great overview of the research, presenter was clear and organized. It was also very clear that she was passionate about women’s health. Only recommendation would be to share more on the poster about the interview guide used and approach used to analyze the interviews.</v>
      </c>
      <c r="O1415" s="142" t="str">
        <f t="shared" si="1"/>
        <v/>
      </c>
      <c r="P1415" s="143" t="str">
        <f>IF(ISNA(VLOOKUP(CONCAT(M1415,C1415), 'Judge Count DO NOT EDIT'!H:H, 1, FALSE)), "ERROR","")</f>
        <v/>
      </c>
      <c r="Q1415" s="141"/>
      <c r="R1415" s="143"/>
      <c r="S1415" s="139" t="str">
        <f t="shared" si="2"/>
        <v>1109548</v>
      </c>
      <c r="T1415" s="141"/>
    </row>
    <row r="1416">
      <c r="A1416" s="137">
        <f>IFERROR(__xludf.DUMMYFUNCTION("""COMPUTED_VALUE"""),45352.652318148146)</f>
        <v>45352.65232</v>
      </c>
      <c r="B1416" s="138" t="str">
        <f>IFERROR(__xludf.DUMMYFUNCTION("""COMPUTED_VALUE"""),"Erik Valenzuela")</f>
        <v>Erik Valenzuela</v>
      </c>
      <c r="C1416" s="138">
        <f>IFERROR(__xludf.DUMMYFUNCTION("""COMPUTED_VALUE"""),1128.0)</f>
        <v>1128</v>
      </c>
      <c r="D1416" s="139">
        <f>IFERROR(__xludf.DUMMYFUNCTION("""COMPUTED_VALUE"""),548.0)</f>
        <v>548</v>
      </c>
      <c r="E1416" s="138">
        <f>IFERROR(__xludf.DUMMYFUNCTION("""COMPUTED_VALUE"""),4.0)</f>
        <v>4</v>
      </c>
      <c r="F1416" s="138">
        <f>IFERROR(__xludf.DUMMYFUNCTION("""COMPUTED_VALUE"""),5.0)</f>
        <v>5</v>
      </c>
      <c r="G1416" s="138">
        <f>IFERROR(__xludf.DUMMYFUNCTION("""COMPUTED_VALUE"""),4.0)</f>
        <v>4</v>
      </c>
      <c r="H1416" s="138">
        <f>IFERROR(__xludf.DUMMYFUNCTION("""COMPUTED_VALUE"""),4.0)</f>
        <v>4</v>
      </c>
      <c r="I1416" s="138">
        <f>IFERROR(__xludf.DUMMYFUNCTION("""COMPUTED_VALUE"""),4.0)</f>
        <v>4</v>
      </c>
      <c r="J1416" s="138">
        <f>IFERROR(__xludf.DUMMYFUNCTION("""COMPUTED_VALUE"""),4.0)</f>
        <v>4</v>
      </c>
      <c r="K1416" s="138">
        <f>IFERROR(__xludf.DUMMYFUNCTION("""COMPUTED_VALUE"""),4.0)</f>
        <v>4</v>
      </c>
      <c r="L1416" s="138">
        <v>29.0</v>
      </c>
      <c r="M1416" s="140" t="str">
        <f>VLOOKUP(text(D1416, "#"),'Master Table'!$A:$F, 6, FALSE)</f>
        <v>I-1</v>
      </c>
      <c r="N1416" s="141"/>
      <c r="O1416" s="142" t="str">
        <f t="shared" si="1"/>
        <v/>
      </c>
      <c r="P1416" s="143" t="str">
        <f>IF(ISNA(VLOOKUP(CONCAT(M1416,C1416), 'Judge Count DO NOT EDIT'!H:H, 1, FALSE)), "ERROR","")</f>
        <v/>
      </c>
      <c r="Q1416" s="141"/>
      <c r="R1416" s="143"/>
      <c r="S1416" s="139" t="str">
        <f t="shared" si="2"/>
        <v>1128548</v>
      </c>
      <c r="T1416" s="141"/>
    </row>
    <row r="1417">
      <c r="A1417" s="137">
        <f>IFERROR(__xludf.DUMMYFUNCTION("""COMPUTED_VALUE"""),45352.6569246875)</f>
        <v>45352.65692</v>
      </c>
      <c r="B1417" s="138" t="str">
        <f>IFERROR(__xludf.DUMMYFUNCTION("""COMPUTED_VALUE"""),"Helen Ma")</f>
        <v>Helen Ma</v>
      </c>
      <c r="C1417" s="138">
        <f>IFERROR(__xludf.DUMMYFUNCTION("""COMPUTED_VALUE"""),1120.0)</f>
        <v>1120</v>
      </c>
      <c r="D1417" s="139">
        <f>IFERROR(__xludf.DUMMYFUNCTION("""COMPUTED_VALUE"""),548.0)</f>
        <v>548</v>
      </c>
      <c r="E1417" s="138">
        <f>IFERROR(__xludf.DUMMYFUNCTION("""COMPUTED_VALUE"""),4.0)</f>
        <v>4</v>
      </c>
      <c r="F1417" s="138">
        <f>IFERROR(__xludf.DUMMYFUNCTION("""COMPUTED_VALUE"""),4.0)</f>
        <v>4</v>
      </c>
      <c r="G1417" s="138">
        <f>IFERROR(__xludf.DUMMYFUNCTION("""COMPUTED_VALUE"""),5.0)</f>
        <v>5</v>
      </c>
      <c r="H1417" s="138">
        <f>IFERROR(__xludf.DUMMYFUNCTION("""COMPUTED_VALUE"""),5.0)</f>
        <v>5</v>
      </c>
      <c r="I1417" s="138">
        <f>IFERROR(__xludf.DUMMYFUNCTION("""COMPUTED_VALUE"""),4.0)</f>
        <v>4</v>
      </c>
      <c r="J1417" s="138">
        <f>IFERROR(__xludf.DUMMYFUNCTION("""COMPUTED_VALUE"""),4.0)</f>
        <v>4</v>
      </c>
      <c r="K1417" s="138">
        <f>IFERROR(__xludf.DUMMYFUNCTION("""COMPUTED_VALUE"""),5.0)</f>
        <v>5</v>
      </c>
      <c r="L1417" s="138">
        <v>31.0</v>
      </c>
      <c r="M1417" s="140" t="str">
        <f>VLOOKUP(text(D1417, "#"),'Master Table'!$A:$F, 6, FALSE)</f>
        <v>I-1</v>
      </c>
      <c r="N1417" s="141"/>
      <c r="O1417" s="142" t="str">
        <f t="shared" si="1"/>
        <v/>
      </c>
      <c r="P1417" s="143" t="str">
        <f>IF(ISNA(VLOOKUP(CONCAT(M1417,C1417), 'Judge Count DO NOT EDIT'!H:H, 1, FALSE)), "ERROR","")</f>
        <v/>
      </c>
      <c r="Q1417" s="141"/>
      <c r="R1417" s="143"/>
      <c r="S1417" s="139" t="str">
        <f t="shared" si="2"/>
        <v>1120548</v>
      </c>
      <c r="T1417" s="141"/>
    </row>
    <row r="1418">
      <c r="A1418" s="137">
        <f>IFERROR(__xludf.DUMMYFUNCTION("""COMPUTED_VALUE"""),45352.66970486111)</f>
        <v>45352.6697</v>
      </c>
      <c r="B1418" s="138" t="str">
        <f>IFERROR(__xludf.DUMMYFUNCTION("""COMPUTED_VALUE"""),"Dianne Ciro")</f>
        <v>Dianne Ciro</v>
      </c>
      <c r="C1418" s="138">
        <f>IFERROR(__xludf.DUMMYFUNCTION("""COMPUTED_VALUE"""),1123.0)</f>
        <v>1123</v>
      </c>
      <c r="D1418" s="139">
        <f>IFERROR(__xludf.DUMMYFUNCTION("""COMPUTED_VALUE"""),548.0)</f>
        <v>548</v>
      </c>
      <c r="E1418" s="138">
        <f>IFERROR(__xludf.DUMMYFUNCTION("""COMPUTED_VALUE"""),3.0)</f>
        <v>3</v>
      </c>
      <c r="F1418" s="138">
        <f>IFERROR(__xludf.DUMMYFUNCTION("""COMPUTED_VALUE"""),3.0)</f>
        <v>3</v>
      </c>
      <c r="G1418" s="138">
        <f>IFERROR(__xludf.DUMMYFUNCTION("""COMPUTED_VALUE"""),1.0)</f>
        <v>1</v>
      </c>
      <c r="H1418" s="138">
        <f>IFERROR(__xludf.DUMMYFUNCTION("""COMPUTED_VALUE"""),3.0)</f>
        <v>3</v>
      </c>
      <c r="I1418" s="138">
        <f>IFERROR(__xludf.DUMMYFUNCTION("""COMPUTED_VALUE"""),1.0)</f>
        <v>1</v>
      </c>
      <c r="J1418" s="138">
        <f>IFERROR(__xludf.DUMMYFUNCTION("""COMPUTED_VALUE"""),3.0)</f>
        <v>3</v>
      </c>
      <c r="K1418" s="138">
        <f>IFERROR(__xludf.DUMMYFUNCTION("""COMPUTED_VALUE"""),1.0)</f>
        <v>1</v>
      </c>
      <c r="L1418" s="138">
        <v>15.0</v>
      </c>
      <c r="M1418" s="140" t="str">
        <f>VLOOKUP(text(D1418, "#"),'Master Table'!$A:$F, 6, FALSE)</f>
        <v>I-1</v>
      </c>
      <c r="N1418" s="141"/>
      <c r="O1418" s="142" t="str">
        <f t="shared" si="1"/>
        <v/>
      </c>
      <c r="P1418" s="143" t="str">
        <f>IF(ISNA(VLOOKUP(CONCAT(M1418,C1418), 'Judge Count DO NOT EDIT'!H:H, 1, FALSE)), "ERROR","")</f>
        <v/>
      </c>
      <c r="Q1418" s="141"/>
      <c r="R1418" s="143"/>
      <c r="S1418" s="139" t="str">
        <f t="shared" si="2"/>
        <v>1123548</v>
      </c>
      <c r="T1418" s="141"/>
    </row>
    <row r="1419">
      <c r="A1419" s="137">
        <f>IFERROR(__xludf.DUMMYFUNCTION("""COMPUTED_VALUE"""),45352.69165447917)</f>
        <v>45352.69165</v>
      </c>
      <c r="B1419" s="138" t="str">
        <f>IFERROR(__xludf.DUMMYFUNCTION("""COMPUTED_VALUE"""),"Jessi Rivin")</f>
        <v>Jessi Rivin</v>
      </c>
      <c r="C1419" s="138">
        <f>IFERROR(__xludf.DUMMYFUNCTION("""COMPUTED_VALUE"""),1172.0)</f>
        <v>1172</v>
      </c>
      <c r="D1419" s="139">
        <f>IFERROR(__xludf.DUMMYFUNCTION("""COMPUTED_VALUE"""),548.0)</f>
        <v>548</v>
      </c>
      <c r="E1419" s="138">
        <f>IFERROR(__xludf.DUMMYFUNCTION("""COMPUTED_VALUE"""),4.0)</f>
        <v>4</v>
      </c>
      <c r="F1419" s="138">
        <f>IFERROR(__xludf.DUMMYFUNCTION("""COMPUTED_VALUE"""),3.0)</f>
        <v>3</v>
      </c>
      <c r="G1419" s="138">
        <f>IFERROR(__xludf.DUMMYFUNCTION("""COMPUTED_VALUE"""),4.0)</f>
        <v>4</v>
      </c>
      <c r="H1419" s="138">
        <f>IFERROR(__xludf.DUMMYFUNCTION("""COMPUTED_VALUE"""),3.0)</f>
        <v>3</v>
      </c>
      <c r="I1419" s="138">
        <f>IFERROR(__xludf.DUMMYFUNCTION("""COMPUTED_VALUE"""),3.0)</f>
        <v>3</v>
      </c>
      <c r="J1419" s="138">
        <f>IFERROR(__xludf.DUMMYFUNCTION("""COMPUTED_VALUE"""),3.0)</f>
        <v>3</v>
      </c>
      <c r="K1419" s="138">
        <f>IFERROR(__xludf.DUMMYFUNCTION("""COMPUTED_VALUE"""),3.0)</f>
        <v>3</v>
      </c>
      <c r="L1419" s="138">
        <v>23.0</v>
      </c>
      <c r="M1419" s="140" t="str">
        <f>VLOOKUP(text(D1419, "#"),'Master Table'!$A:$F, 6, FALSE)</f>
        <v>I-1</v>
      </c>
      <c r="N1419" s="141" t="str">
        <f>IFERROR(__xludf.DUMMYFUNCTION("""COMPUTED_VALUE"""),"Such important work! I would be curious to know why the doctors don’t offer Pap smears as part of routine care? If you can normalize it in the general population it won’t be so stigmatized in the HIV population")</f>
        <v>Such important work! I would be curious to know why the doctors don’t offer Pap smears as part of routine care? If you can normalize it in the general population it won’t be so stigmatized in the HIV population</v>
      </c>
      <c r="O1419" s="142" t="str">
        <f t="shared" si="1"/>
        <v/>
      </c>
      <c r="P1419" s="143" t="str">
        <f>IF(ISNA(VLOOKUP(CONCAT(M1419,C1419), 'Judge Count DO NOT EDIT'!H:H, 1, FALSE)), "ERROR","")</f>
        <v/>
      </c>
      <c r="Q1419" s="141"/>
      <c r="R1419" s="143"/>
      <c r="S1419" s="139" t="str">
        <f t="shared" si="2"/>
        <v>1172548</v>
      </c>
      <c r="T1419" s="141"/>
    </row>
    <row r="1420">
      <c r="A1420" s="137">
        <f>IFERROR(__xludf.DUMMYFUNCTION("""COMPUTED_VALUE"""),45352.653238032406)</f>
        <v>45352.65324</v>
      </c>
      <c r="B1420" s="138" t="str">
        <f>IFERROR(__xludf.DUMMYFUNCTION("""COMPUTED_VALUE"""),"Erik Valenzuela")</f>
        <v>Erik Valenzuela</v>
      </c>
      <c r="C1420" s="138">
        <f>IFERROR(__xludf.DUMMYFUNCTION("""COMPUTED_VALUE"""),1128.0)</f>
        <v>1128</v>
      </c>
      <c r="D1420" s="139">
        <f>IFERROR(__xludf.DUMMYFUNCTION("""COMPUTED_VALUE"""),549.0)</f>
        <v>549</v>
      </c>
      <c r="E1420" s="138">
        <f>IFERROR(__xludf.DUMMYFUNCTION("""COMPUTED_VALUE"""),4.0)</f>
        <v>4</v>
      </c>
      <c r="F1420" s="138">
        <f>IFERROR(__xludf.DUMMYFUNCTION("""COMPUTED_VALUE"""),4.0)</f>
        <v>4</v>
      </c>
      <c r="G1420" s="138">
        <f>IFERROR(__xludf.DUMMYFUNCTION("""COMPUTED_VALUE"""),4.0)</f>
        <v>4</v>
      </c>
      <c r="H1420" s="138">
        <f>IFERROR(__xludf.DUMMYFUNCTION("""COMPUTED_VALUE"""),4.0)</f>
        <v>4</v>
      </c>
      <c r="I1420" s="138">
        <f>IFERROR(__xludf.DUMMYFUNCTION("""COMPUTED_VALUE"""),4.0)</f>
        <v>4</v>
      </c>
      <c r="J1420" s="138">
        <f>IFERROR(__xludf.DUMMYFUNCTION("""COMPUTED_VALUE"""),4.0)</f>
        <v>4</v>
      </c>
      <c r="K1420" s="138">
        <f>IFERROR(__xludf.DUMMYFUNCTION("""COMPUTED_VALUE"""),5.0)</f>
        <v>5</v>
      </c>
      <c r="L1420" s="138">
        <v>29.0</v>
      </c>
      <c r="M1420" s="140" t="str">
        <f>VLOOKUP(text(D1420, "#"),'Master Table'!$A:$F, 6, FALSE)</f>
        <v>I-1</v>
      </c>
      <c r="N1420" s="141"/>
      <c r="O1420" s="142" t="str">
        <f t="shared" si="1"/>
        <v/>
      </c>
      <c r="P1420" s="143" t="str">
        <f>IF(ISNA(VLOOKUP(CONCAT(M1420,C1420), 'Judge Count DO NOT EDIT'!H:H, 1, FALSE)), "ERROR","")</f>
        <v/>
      </c>
      <c r="Q1420" s="141"/>
      <c r="R1420" s="143"/>
      <c r="S1420" s="139" t="str">
        <f t="shared" si="2"/>
        <v>1128549</v>
      </c>
      <c r="T1420" s="141"/>
    </row>
    <row r="1421">
      <c r="A1421" s="137">
        <f>IFERROR(__xludf.DUMMYFUNCTION("""COMPUTED_VALUE"""),45352.6584127199)</f>
        <v>45352.65841</v>
      </c>
      <c r="B1421" s="138" t="str">
        <f>IFERROR(__xludf.DUMMYFUNCTION("""COMPUTED_VALUE"""),"Helen Ma")</f>
        <v>Helen Ma</v>
      </c>
      <c r="C1421" s="138">
        <f>IFERROR(__xludf.DUMMYFUNCTION("""COMPUTED_VALUE"""),1120.0)</f>
        <v>1120</v>
      </c>
      <c r="D1421" s="139">
        <f>IFERROR(__xludf.DUMMYFUNCTION("""COMPUTED_VALUE"""),549.0)</f>
        <v>549</v>
      </c>
      <c r="E1421" s="138">
        <f>IFERROR(__xludf.DUMMYFUNCTION("""COMPUTED_VALUE"""),5.0)</f>
        <v>5</v>
      </c>
      <c r="F1421" s="138">
        <f>IFERROR(__xludf.DUMMYFUNCTION("""COMPUTED_VALUE"""),5.0)</f>
        <v>5</v>
      </c>
      <c r="G1421" s="138">
        <f>IFERROR(__xludf.DUMMYFUNCTION("""COMPUTED_VALUE"""),5.0)</f>
        <v>5</v>
      </c>
      <c r="H1421" s="138">
        <f>IFERROR(__xludf.DUMMYFUNCTION("""COMPUTED_VALUE"""),5.0)</f>
        <v>5</v>
      </c>
      <c r="I1421" s="138">
        <f>IFERROR(__xludf.DUMMYFUNCTION("""COMPUTED_VALUE"""),5.0)</f>
        <v>5</v>
      </c>
      <c r="J1421" s="138">
        <f>IFERROR(__xludf.DUMMYFUNCTION("""COMPUTED_VALUE"""),5.0)</f>
        <v>5</v>
      </c>
      <c r="K1421" s="138">
        <f>IFERROR(__xludf.DUMMYFUNCTION("""COMPUTED_VALUE"""),5.0)</f>
        <v>5</v>
      </c>
      <c r="L1421" s="138">
        <v>35.0</v>
      </c>
      <c r="M1421" s="140" t="str">
        <f>VLOOKUP(text(D1421, "#"),'Master Table'!$A:$F, 6, FALSE)</f>
        <v>I-1</v>
      </c>
      <c r="N1421" s="141"/>
      <c r="O1421" s="142" t="str">
        <f t="shared" si="1"/>
        <v/>
      </c>
      <c r="P1421" s="143" t="str">
        <f>IF(ISNA(VLOOKUP(CONCAT(M1421,C1421), 'Judge Count DO NOT EDIT'!H:H, 1, FALSE)), "ERROR","")</f>
        <v/>
      </c>
      <c r="Q1421" s="144"/>
      <c r="R1421" s="143"/>
      <c r="S1421" s="139" t="str">
        <f t="shared" si="2"/>
        <v>1120549</v>
      </c>
      <c r="T1421" s="141"/>
    </row>
    <row r="1422">
      <c r="A1422" s="137">
        <f>IFERROR(__xludf.DUMMYFUNCTION("""COMPUTED_VALUE"""),45352.68054792824)</f>
        <v>45352.68055</v>
      </c>
      <c r="B1422" s="138" t="str">
        <f>IFERROR(__xludf.DUMMYFUNCTION("""COMPUTED_VALUE"""),"Dianne Ciro")</f>
        <v>Dianne Ciro</v>
      </c>
      <c r="C1422" s="138">
        <f>IFERROR(__xludf.DUMMYFUNCTION("""COMPUTED_VALUE"""),1123.0)</f>
        <v>1123</v>
      </c>
      <c r="D1422" s="139">
        <f>IFERROR(__xludf.DUMMYFUNCTION("""COMPUTED_VALUE"""),549.0)</f>
        <v>549</v>
      </c>
      <c r="E1422" s="138">
        <f>IFERROR(__xludf.DUMMYFUNCTION("""COMPUTED_VALUE"""),5.0)</f>
        <v>5</v>
      </c>
      <c r="F1422" s="138">
        <f>IFERROR(__xludf.DUMMYFUNCTION("""COMPUTED_VALUE"""),5.0)</f>
        <v>5</v>
      </c>
      <c r="G1422" s="138">
        <f>IFERROR(__xludf.DUMMYFUNCTION("""COMPUTED_VALUE"""),4.0)</f>
        <v>4</v>
      </c>
      <c r="H1422" s="138">
        <f>IFERROR(__xludf.DUMMYFUNCTION("""COMPUTED_VALUE"""),5.0)</f>
        <v>5</v>
      </c>
      <c r="I1422" s="138">
        <f>IFERROR(__xludf.DUMMYFUNCTION("""COMPUTED_VALUE"""),5.0)</f>
        <v>5</v>
      </c>
      <c r="J1422" s="138">
        <f>IFERROR(__xludf.DUMMYFUNCTION("""COMPUTED_VALUE"""),5.0)</f>
        <v>5</v>
      </c>
      <c r="K1422" s="138">
        <f>IFERROR(__xludf.DUMMYFUNCTION("""COMPUTED_VALUE"""),5.0)</f>
        <v>5</v>
      </c>
      <c r="L1422" s="138">
        <v>34.0</v>
      </c>
      <c r="M1422" s="140" t="str">
        <f>VLOOKUP(text(D1422, "#"),'Master Table'!$A:$F, 6, FALSE)</f>
        <v>I-1</v>
      </c>
      <c r="N1422" s="141"/>
      <c r="O1422" s="142" t="str">
        <f t="shared" si="1"/>
        <v/>
      </c>
      <c r="P1422" s="143" t="str">
        <f>IF(ISNA(VLOOKUP(CONCAT(M1422,C1422), 'Judge Count DO NOT EDIT'!H:H, 1, FALSE)), "ERROR","")</f>
        <v/>
      </c>
      <c r="Q1422" s="144"/>
      <c r="R1422" s="143"/>
      <c r="S1422" s="139" t="str">
        <f t="shared" si="2"/>
        <v>1123549</v>
      </c>
      <c r="T1422" s="141"/>
    </row>
    <row r="1423">
      <c r="A1423" s="137">
        <f>IFERROR(__xludf.DUMMYFUNCTION("""COMPUTED_VALUE"""),45352.69512488426)</f>
        <v>45352.69512</v>
      </c>
      <c r="B1423" s="138" t="str">
        <f>IFERROR(__xludf.DUMMYFUNCTION("""COMPUTED_VALUE"""),"Patricia Dionicio")</f>
        <v>Patricia Dionicio</v>
      </c>
      <c r="C1423" s="138">
        <f>IFERROR(__xludf.DUMMYFUNCTION("""COMPUTED_VALUE"""),1109.0)</f>
        <v>1109</v>
      </c>
      <c r="D1423" s="139">
        <f>IFERROR(__xludf.DUMMYFUNCTION("""COMPUTED_VALUE"""),549.0)</f>
        <v>549</v>
      </c>
      <c r="E1423" s="138">
        <f>IFERROR(__xludf.DUMMYFUNCTION("""COMPUTED_VALUE"""),5.0)</f>
        <v>5</v>
      </c>
      <c r="F1423" s="138">
        <f>IFERROR(__xludf.DUMMYFUNCTION("""COMPUTED_VALUE"""),4.0)</f>
        <v>4</v>
      </c>
      <c r="G1423" s="138">
        <f>IFERROR(__xludf.DUMMYFUNCTION("""COMPUTED_VALUE"""),5.0)</f>
        <v>5</v>
      </c>
      <c r="H1423" s="138">
        <f>IFERROR(__xludf.DUMMYFUNCTION("""COMPUTED_VALUE"""),4.0)</f>
        <v>4</v>
      </c>
      <c r="I1423" s="138">
        <f>IFERROR(__xludf.DUMMYFUNCTION("""COMPUTED_VALUE"""),4.0)</f>
        <v>4</v>
      </c>
      <c r="J1423" s="138">
        <f>IFERROR(__xludf.DUMMYFUNCTION("""COMPUTED_VALUE"""),4.0)</f>
        <v>4</v>
      </c>
      <c r="K1423" s="138">
        <f>IFERROR(__xludf.DUMMYFUNCTION("""COMPUTED_VALUE"""),4.0)</f>
        <v>4</v>
      </c>
      <c r="L1423" s="138">
        <v>30.0</v>
      </c>
      <c r="M1423" s="140" t="str">
        <f>VLOOKUP(text(D1423, "#"),'Master Table'!$A:$F, 6, FALSE)</f>
        <v>I-1</v>
      </c>
      <c r="N1423" s="141" t="str">
        <f>IFERROR(__xludf.DUMMYFUNCTION("""COMPUTED_VALUE"""),"Very relevant topic, presenters did a great job reviewing the content, visuals, and answering audience questions. Only suggestion was to simplify the findings/complex terms in layman terms for those who are not well-versed in this research. ")</f>
        <v>Very relevant topic, presenters did a great job reviewing the content, visuals, and answering audience questions. Only suggestion was to simplify the findings/complex terms in layman terms for those who are not well-versed in this research. </v>
      </c>
      <c r="O1423" s="142" t="str">
        <f t="shared" si="1"/>
        <v/>
      </c>
      <c r="P1423" s="143" t="str">
        <f>IF(ISNA(VLOOKUP(CONCAT(M1423,C1423), 'Judge Count DO NOT EDIT'!H:H, 1, FALSE)), "ERROR","")</f>
        <v/>
      </c>
      <c r="Q1423" s="141"/>
      <c r="R1423" s="143"/>
      <c r="S1423" s="139" t="str">
        <f t="shared" si="2"/>
        <v>1109549</v>
      </c>
      <c r="T1423" s="141"/>
    </row>
    <row r="1424">
      <c r="A1424" s="137">
        <f>IFERROR(__xludf.DUMMYFUNCTION("""COMPUTED_VALUE"""),45352.648989953705)</f>
        <v>45352.64899</v>
      </c>
      <c r="B1424" s="138" t="str">
        <f>IFERROR(__xludf.DUMMYFUNCTION("""COMPUTED_VALUE"""),"Amanda Brown")</f>
        <v>Amanda Brown</v>
      </c>
      <c r="C1424" s="138">
        <f>IFERROR(__xludf.DUMMYFUNCTION("""COMPUTED_VALUE"""),1190.0)</f>
        <v>1190</v>
      </c>
      <c r="D1424" s="139">
        <f>IFERROR(__xludf.DUMMYFUNCTION("""COMPUTED_VALUE"""),550.0)</f>
        <v>550</v>
      </c>
      <c r="E1424" s="138">
        <f>IFERROR(__xludf.DUMMYFUNCTION("""COMPUTED_VALUE"""),5.0)</f>
        <v>5</v>
      </c>
      <c r="F1424" s="138">
        <f>IFERROR(__xludf.DUMMYFUNCTION("""COMPUTED_VALUE"""),5.0)</f>
        <v>5</v>
      </c>
      <c r="G1424" s="138">
        <f>IFERROR(__xludf.DUMMYFUNCTION("""COMPUTED_VALUE"""),5.0)</f>
        <v>5</v>
      </c>
      <c r="H1424" s="138">
        <f>IFERROR(__xludf.DUMMYFUNCTION("""COMPUTED_VALUE"""),5.0)</f>
        <v>5</v>
      </c>
      <c r="I1424" s="138">
        <f>IFERROR(__xludf.DUMMYFUNCTION("""COMPUTED_VALUE"""),5.0)</f>
        <v>5</v>
      </c>
      <c r="J1424" s="138">
        <f>IFERROR(__xludf.DUMMYFUNCTION("""COMPUTED_VALUE"""),5.0)</f>
        <v>5</v>
      </c>
      <c r="K1424" s="138">
        <f>IFERROR(__xludf.DUMMYFUNCTION("""COMPUTED_VALUE"""),5.0)</f>
        <v>5</v>
      </c>
      <c r="L1424" s="138">
        <v>35.0</v>
      </c>
      <c r="M1424" s="140" t="str">
        <f>VLOOKUP(text(D1424, "#"),'Master Table'!$A:$F, 6, FALSE)</f>
        <v>I-2</v>
      </c>
      <c r="N1424" s="141"/>
      <c r="O1424" s="142" t="str">
        <f t="shared" si="1"/>
        <v/>
      </c>
      <c r="P1424" s="143" t="str">
        <f>IF(ISNA(VLOOKUP(CONCAT(M1424,C1424), 'Judge Count DO NOT EDIT'!H:H, 1, FALSE)), "ERROR","")</f>
        <v/>
      </c>
      <c r="Q1424" s="141"/>
      <c r="R1424" s="143"/>
      <c r="S1424" s="139" t="str">
        <f t="shared" si="2"/>
        <v>1190550</v>
      </c>
      <c r="T1424" s="141"/>
    </row>
    <row r="1425">
      <c r="A1425" s="137">
        <f>IFERROR(__xludf.DUMMYFUNCTION("""COMPUTED_VALUE"""),45352.65710231481)</f>
        <v>45352.6571</v>
      </c>
      <c r="B1425" s="138" t="str">
        <f>IFERROR(__xludf.DUMMYFUNCTION("""COMPUTED_VALUE"""),"Valeria ochoa ")</f>
        <v>Valeria ochoa </v>
      </c>
      <c r="C1425" s="138">
        <f>IFERROR(__xludf.DUMMYFUNCTION("""COMPUTED_VALUE"""),1219.0)</f>
        <v>1219</v>
      </c>
      <c r="D1425" s="139">
        <f>IFERROR(__xludf.DUMMYFUNCTION("""COMPUTED_VALUE"""),550.0)</f>
        <v>550</v>
      </c>
      <c r="E1425" s="138">
        <f>IFERROR(__xludf.DUMMYFUNCTION("""COMPUTED_VALUE"""),5.0)</f>
        <v>5</v>
      </c>
      <c r="F1425" s="138">
        <f>IFERROR(__xludf.DUMMYFUNCTION("""COMPUTED_VALUE"""),5.0)</f>
        <v>5</v>
      </c>
      <c r="G1425" s="138">
        <f>IFERROR(__xludf.DUMMYFUNCTION("""COMPUTED_VALUE"""),5.0)</f>
        <v>5</v>
      </c>
      <c r="H1425" s="138">
        <f>IFERROR(__xludf.DUMMYFUNCTION("""COMPUTED_VALUE"""),5.0)</f>
        <v>5</v>
      </c>
      <c r="I1425" s="138">
        <f>IFERROR(__xludf.DUMMYFUNCTION("""COMPUTED_VALUE"""),5.0)</f>
        <v>5</v>
      </c>
      <c r="J1425" s="138">
        <f>IFERROR(__xludf.DUMMYFUNCTION("""COMPUTED_VALUE"""),5.0)</f>
        <v>5</v>
      </c>
      <c r="K1425" s="138">
        <f>IFERROR(__xludf.DUMMYFUNCTION("""COMPUTED_VALUE"""),5.0)</f>
        <v>5</v>
      </c>
      <c r="L1425" s="138">
        <v>35.0</v>
      </c>
      <c r="M1425" s="140" t="str">
        <f>VLOOKUP(text(D1425, "#"),'Master Table'!$A:$F, 6, FALSE)</f>
        <v>I-2</v>
      </c>
      <c r="N1425" s="141" t="str">
        <f>IFERROR(__xludf.DUMMYFUNCTION("""COMPUTED_VALUE"""),"Very original! ")</f>
        <v>Very original! </v>
      </c>
      <c r="O1425" s="142" t="str">
        <f t="shared" si="1"/>
        <v/>
      </c>
      <c r="P1425" s="143" t="str">
        <f>IF(ISNA(VLOOKUP(CONCAT(M1425,C1425), 'Judge Count DO NOT EDIT'!H:H, 1, FALSE)), "ERROR","")</f>
        <v/>
      </c>
      <c r="Q1425" s="141"/>
      <c r="R1425" s="143"/>
      <c r="S1425" s="139" t="str">
        <f t="shared" si="2"/>
        <v>1219550</v>
      </c>
      <c r="T1425" s="141"/>
    </row>
    <row r="1426">
      <c r="A1426" s="137">
        <f>IFERROR(__xludf.DUMMYFUNCTION("""COMPUTED_VALUE"""),45352.67730707176)</f>
        <v>45352.67731</v>
      </c>
      <c r="B1426" s="138" t="str">
        <f>IFERROR(__xludf.DUMMYFUNCTION("""COMPUTED_VALUE"""),"Keith Chan")</f>
        <v>Keith Chan</v>
      </c>
      <c r="C1426" s="138">
        <f>IFERROR(__xludf.DUMMYFUNCTION("""COMPUTED_VALUE"""),1138.0)</f>
        <v>1138</v>
      </c>
      <c r="D1426" s="139">
        <f>IFERROR(__xludf.DUMMYFUNCTION("""COMPUTED_VALUE"""),550.0)</f>
        <v>550</v>
      </c>
      <c r="E1426" s="138">
        <f>IFERROR(__xludf.DUMMYFUNCTION("""COMPUTED_VALUE"""),5.0)</f>
        <v>5</v>
      </c>
      <c r="F1426" s="138">
        <f>IFERROR(__xludf.DUMMYFUNCTION("""COMPUTED_VALUE"""),5.0)</f>
        <v>5</v>
      </c>
      <c r="G1426" s="138">
        <f>IFERROR(__xludf.DUMMYFUNCTION("""COMPUTED_VALUE"""),5.0)</f>
        <v>5</v>
      </c>
      <c r="H1426" s="138">
        <f>IFERROR(__xludf.DUMMYFUNCTION("""COMPUTED_VALUE"""),5.0)</f>
        <v>5</v>
      </c>
      <c r="I1426" s="138">
        <f>IFERROR(__xludf.DUMMYFUNCTION("""COMPUTED_VALUE"""),5.0)</f>
        <v>5</v>
      </c>
      <c r="J1426" s="138">
        <f>IFERROR(__xludf.DUMMYFUNCTION("""COMPUTED_VALUE"""),5.0)</f>
        <v>5</v>
      </c>
      <c r="K1426" s="138">
        <f>IFERROR(__xludf.DUMMYFUNCTION("""COMPUTED_VALUE"""),5.0)</f>
        <v>5</v>
      </c>
      <c r="L1426" s="138">
        <v>35.0</v>
      </c>
      <c r="M1426" s="140" t="str">
        <f>VLOOKUP(text(D1426, "#"),'Master Table'!$A:$F, 6, FALSE)</f>
        <v>I-2</v>
      </c>
      <c r="N1426" s="141" t="str">
        <f>IFERROR(__xludf.DUMMYFUNCTION("""COMPUTED_VALUE"""),"Great energy and clarity in the explanation of your research!")</f>
        <v>Great energy and clarity in the explanation of your research!</v>
      </c>
      <c r="O1426" s="142" t="str">
        <f t="shared" si="1"/>
        <v/>
      </c>
      <c r="P1426" s="143" t="str">
        <f>IF(ISNA(VLOOKUP(CONCAT(M1426,C1426), 'Judge Count DO NOT EDIT'!H:H, 1, FALSE)), "ERROR","")</f>
        <v/>
      </c>
      <c r="Q1426" s="141"/>
      <c r="R1426" s="143"/>
      <c r="S1426" s="139" t="str">
        <f t="shared" si="2"/>
        <v>1138550</v>
      </c>
      <c r="T1426" s="141"/>
    </row>
    <row r="1427">
      <c r="A1427" s="137">
        <f>IFERROR(__xludf.DUMMYFUNCTION("""COMPUTED_VALUE"""),45352.67939148148)</f>
        <v>45352.67939</v>
      </c>
      <c r="B1427" s="138" t="str">
        <f>IFERROR(__xludf.DUMMYFUNCTION("""COMPUTED_VALUE"""),"Teresa Lind")</f>
        <v>Teresa Lind</v>
      </c>
      <c r="C1427" s="138">
        <f>IFERROR(__xludf.DUMMYFUNCTION("""COMPUTED_VALUE"""),1140.0)</f>
        <v>1140</v>
      </c>
      <c r="D1427" s="139">
        <f>IFERROR(__xludf.DUMMYFUNCTION("""COMPUTED_VALUE"""),550.0)</f>
        <v>550</v>
      </c>
      <c r="E1427" s="138">
        <f>IFERROR(__xludf.DUMMYFUNCTION("""COMPUTED_VALUE"""),5.0)</f>
        <v>5</v>
      </c>
      <c r="F1427" s="138">
        <f>IFERROR(__xludf.DUMMYFUNCTION("""COMPUTED_VALUE"""),4.0)</f>
        <v>4</v>
      </c>
      <c r="G1427" s="138">
        <f>IFERROR(__xludf.DUMMYFUNCTION("""COMPUTED_VALUE"""),4.0)</f>
        <v>4</v>
      </c>
      <c r="H1427" s="138">
        <f>IFERROR(__xludf.DUMMYFUNCTION("""COMPUTED_VALUE"""),5.0)</f>
        <v>5</v>
      </c>
      <c r="I1427" s="138">
        <f>IFERROR(__xludf.DUMMYFUNCTION("""COMPUTED_VALUE"""),5.0)</f>
        <v>5</v>
      </c>
      <c r="J1427" s="138">
        <f>IFERROR(__xludf.DUMMYFUNCTION("""COMPUTED_VALUE"""),5.0)</f>
        <v>5</v>
      </c>
      <c r="K1427" s="138">
        <f>IFERROR(__xludf.DUMMYFUNCTION("""COMPUTED_VALUE"""),5.0)</f>
        <v>5</v>
      </c>
      <c r="L1427" s="138">
        <v>33.0</v>
      </c>
      <c r="M1427" s="140" t="str">
        <f>VLOOKUP(text(D1427, "#"),'Master Table'!$A:$F, 6, FALSE)</f>
        <v>I-2</v>
      </c>
      <c r="N1427" s="141" t="str">
        <f>IFERROR(__xludf.DUMMYFUNCTION("""COMPUTED_VALUE"""),"This was a fascinating study and the presenters did an amazing job explaining a lot of very complicated tasks. I was impressed by their ability to think about next steps and implications of the work.")</f>
        <v>This was a fascinating study and the presenters did an amazing job explaining a lot of very complicated tasks. I was impressed by their ability to think about next steps and implications of the work.</v>
      </c>
      <c r="O1427" s="142" t="str">
        <f t="shared" si="1"/>
        <v/>
      </c>
      <c r="P1427" s="143" t="str">
        <f>IF(ISNA(VLOOKUP(CONCAT(M1427,C1427), 'Judge Count DO NOT EDIT'!H:H, 1, FALSE)), "ERROR","")</f>
        <v/>
      </c>
      <c r="Q1427" s="141"/>
      <c r="R1427" s="143"/>
      <c r="S1427" s="139" t="str">
        <f t="shared" si="2"/>
        <v>1140550</v>
      </c>
      <c r="T1427" s="141"/>
    </row>
    <row r="1428">
      <c r="A1428" s="137">
        <f>IFERROR(__xludf.DUMMYFUNCTION("""COMPUTED_VALUE"""),45352.79685121527)</f>
        <v>45352.79685</v>
      </c>
      <c r="B1428" s="138" t="str">
        <f>IFERROR(__xludf.DUMMYFUNCTION("""COMPUTED_VALUE"""),"Katie")</f>
        <v>Katie</v>
      </c>
      <c r="C1428" s="138">
        <f>IFERROR(__xludf.DUMMYFUNCTION("""COMPUTED_VALUE"""),1148.0)</f>
        <v>1148</v>
      </c>
      <c r="D1428" s="139">
        <f>IFERROR(__xludf.DUMMYFUNCTION("""COMPUTED_VALUE"""),550.0)</f>
        <v>550</v>
      </c>
      <c r="E1428" s="138">
        <f>IFERROR(__xludf.DUMMYFUNCTION("""COMPUTED_VALUE"""),4.0)</f>
        <v>4</v>
      </c>
      <c r="F1428" s="138">
        <f>IFERROR(__xludf.DUMMYFUNCTION("""COMPUTED_VALUE"""),3.0)</f>
        <v>3</v>
      </c>
      <c r="G1428" s="138">
        <f>IFERROR(__xludf.DUMMYFUNCTION("""COMPUTED_VALUE"""),3.0)</f>
        <v>3</v>
      </c>
      <c r="H1428" s="138">
        <f>IFERROR(__xludf.DUMMYFUNCTION("""COMPUTED_VALUE"""),3.0)</f>
        <v>3</v>
      </c>
      <c r="I1428" s="138">
        <f>IFERROR(__xludf.DUMMYFUNCTION("""COMPUTED_VALUE"""),5.0)</f>
        <v>5</v>
      </c>
      <c r="J1428" s="138">
        <f>IFERROR(__xludf.DUMMYFUNCTION("""COMPUTED_VALUE"""),4.0)</f>
        <v>4</v>
      </c>
      <c r="K1428" s="138">
        <f>IFERROR(__xludf.DUMMYFUNCTION("""COMPUTED_VALUE"""),5.0)</f>
        <v>5</v>
      </c>
      <c r="L1428" s="138">
        <v>27.0</v>
      </c>
      <c r="M1428" s="140" t="str">
        <f>VLOOKUP(text(D1428, "#"),'Master Table'!$A:$F, 6, FALSE)</f>
        <v>I-2</v>
      </c>
      <c r="N1428" s="141" t="str">
        <f>IFERROR(__xludf.DUMMYFUNCTION("""COMPUTED_VALUE"""),"Students were very friendly, spoke loud enough to clearly hear in a crowded room, and were very well rehearsed which made the presentation very understandable despite being a somewhat difficult concept to explain about dual language speakers and cognition"&amp;". Not super clear what the importance/impact of this research would be, could have been more clear there. ")</f>
        <v>Students were very friendly, spoke loud enough to clearly hear in a crowded room, and were very well rehearsed which made the presentation very understandable despite being a somewhat difficult concept to explain about dual language speakers and cognition. Not super clear what the importance/impact of this research would be, could have been more clear there. </v>
      </c>
      <c r="O1428" s="142" t="str">
        <f t="shared" si="1"/>
        <v/>
      </c>
      <c r="P1428" s="143" t="str">
        <f>IF(ISNA(VLOOKUP(CONCAT(M1428,C1428), 'Judge Count DO NOT EDIT'!H:H, 1, FALSE)), "ERROR","")</f>
        <v/>
      </c>
      <c r="Q1428" s="141"/>
      <c r="R1428" s="143"/>
      <c r="S1428" s="139" t="str">
        <f t="shared" si="2"/>
        <v>1148550</v>
      </c>
      <c r="T1428" s="141"/>
    </row>
    <row r="1429">
      <c r="A1429" s="137">
        <f>IFERROR(__xludf.DUMMYFUNCTION("""COMPUTED_VALUE"""),45352.65002857639)</f>
        <v>45352.65003</v>
      </c>
      <c r="B1429" s="138" t="str">
        <f>IFERROR(__xludf.DUMMYFUNCTION("""COMPUTED_VALUE"""),"Amanda Brown ")</f>
        <v>Amanda Brown </v>
      </c>
      <c r="C1429" s="138">
        <f>IFERROR(__xludf.DUMMYFUNCTION("""COMPUTED_VALUE"""),1190.0)</f>
        <v>1190</v>
      </c>
      <c r="D1429" s="139">
        <f>IFERROR(__xludf.DUMMYFUNCTION("""COMPUTED_VALUE"""),552.0)</f>
        <v>552</v>
      </c>
      <c r="E1429" s="138">
        <f>IFERROR(__xludf.DUMMYFUNCTION("""COMPUTED_VALUE"""),4.0)</f>
        <v>4</v>
      </c>
      <c r="F1429" s="138">
        <f>IFERROR(__xludf.DUMMYFUNCTION("""COMPUTED_VALUE"""),4.0)</f>
        <v>4</v>
      </c>
      <c r="G1429" s="138">
        <f>IFERROR(__xludf.DUMMYFUNCTION("""COMPUTED_VALUE"""),4.0)</f>
        <v>4</v>
      </c>
      <c r="H1429" s="138">
        <f>IFERROR(__xludf.DUMMYFUNCTION("""COMPUTED_VALUE"""),4.0)</f>
        <v>4</v>
      </c>
      <c r="I1429" s="138">
        <f>IFERROR(__xludf.DUMMYFUNCTION("""COMPUTED_VALUE"""),3.0)</f>
        <v>3</v>
      </c>
      <c r="J1429" s="138">
        <f>IFERROR(__xludf.DUMMYFUNCTION("""COMPUTED_VALUE"""),3.0)</f>
        <v>3</v>
      </c>
      <c r="K1429" s="138">
        <f>IFERROR(__xludf.DUMMYFUNCTION("""COMPUTED_VALUE"""),4.0)</f>
        <v>4</v>
      </c>
      <c r="L1429" s="138">
        <v>26.0</v>
      </c>
      <c r="M1429" s="140" t="str">
        <f>VLOOKUP(text(D1429, "#"),'Master Table'!$A:$F, 6, FALSE)</f>
        <v>I-2</v>
      </c>
      <c r="N1429" s="141"/>
      <c r="O1429" s="142" t="str">
        <f t="shared" si="1"/>
        <v/>
      </c>
      <c r="P1429" s="143" t="str">
        <f>IF(ISNA(VLOOKUP(CONCAT(M1429,C1429), 'Judge Count DO NOT EDIT'!H:H, 1, FALSE)), "ERROR","")</f>
        <v/>
      </c>
      <c r="Q1429" s="141"/>
      <c r="R1429" s="143"/>
      <c r="S1429" s="139" t="str">
        <f t="shared" si="2"/>
        <v>1190552</v>
      </c>
      <c r="T1429" s="141"/>
    </row>
    <row r="1430">
      <c r="A1430" s="137">
        <f>IFERROR(__xludf.DUMMYFUNCTION("""COMPUTED_VALUE"""),45352.65753462963)</f>
        <v>45352.65753</v>
      </c>
      <c r="B1430" s="138" t="str">
        <f>IFERROR(__xludf.DUMMYFUNCTION("""COMPUTED_VALUE"""),"Valeria Ochoa ")</f>
        <v>Valeria Ochoa </v>
      </c>
      <c r="C1430" s="138">
        <f>IFERROR(__xludf.DUMMYFUNCTION("""COMPUTED_VALUE"""),1219.0)</f>
        <v>1219</v>
      </c>
      <c r="D1430" s="139">
        <f>IFERROR(__xludf.DUMMYFUNCTION("""COMPUTED_VALUE"""),552.0)</f>
        <v>552</v>
      </c>
      <c r="E1430" s="138">
        <f>IFERROR(__xludf.DUMMYFUNCTION("""COMPUTED_VALUE"""),5.0)</f>
        <v>5</v>
      </c>
      <c r="F1430" s="138">
        <f>IFERROR(__xludf.DUMMYFUNCTION("""COMPUTED_VALUE"""),5.0)</f>
        <v>5</v>
      </c>
      <c r="G1430" s="138">
        <f>IFERROR(__xludf.DUMMYFUNCTION("""COMPUTED_VALUE"""),5.0)</f>
        <v>5</v>
      </c>
      <c r="H1430" s="138">
        <f>IFERROR(__xludf.DUMMYFUNCTION("""COMPUTED_VALUE"""),5.0)</f>
        <v>5</v>
      </c>
      <c r="I1430" s="138">
        <f>IFERROR(__xludf.DUMMYFUNCTION("""COMPUTED_VALUE"""),5.0)</f>
        <v>5</v>
      </c>
      <c r="J1430" s="138">
        <f>IFERROR(__xludf.DUMMYFUNCTION("""COMPUTED_VALUE"""),5.0)</f>
        <v>5</v>
      </c>
      <c r="K1430" s="138">
        <f>IFERROR(__xludf.DUMMYFUNCTION("""COMPUTED_VALUE"""),5.0)</f>
        <v>5</v>
      </c>
      <c r="L1430" s="138">
        <v>35.0</v>
      </c>
      <c r="M1430" s="140" t="str">
        <f>VLOOKUP(text(D1430, "#"),'Master Table'!$A:$F, 6, FALSE)</f>
        <v>I-2</v>
      </c>
      <c r="N1430" s="141"/>
      <c r="O1430" s="142" t="str">
        <f t="shared" si="1"/>
        <v/>
      </c>
      <c r="P1430" s="143" t="str">
        <f>IF(ISNA(VLOOKUP(CONCAT(M1430,C1430), 'Judge Count DO NOT EDIT'!H:H, 1, FALSE)), "ERROR","")</f>
        <v/>
      </c>
      <c r="Q1430" s="141"/>
      <c r="R1430" s="143"/>
      <c r="S1430" s="139" t="str">
        <f t="shared" si="2"/>
        <v>1219552</v>
      </c>
      <c r="T1430" s="141"/>
    </row>
    <row r="1431">
      <c r="A1431" s="137">
        <f>IFERROR(__xludf.DUMMYFUNCTION("""COMPUTED_VALUE"""),45352.677815752315)</f>
        <v>45352.67782</v>
      </c>
      <c r="B1431" s="138" t="str">
        <f>IFERROR(__xludf.DUMMYFUNCTION("""COMPUTED_VALUE"""),"Keith Chan")</f>
        <v>Keith Chan</v>
      </c>
      <c r="C1431" s="138">
        <f>IFERROR(__xludf.DUMMYFUNCTION("""COMPUTED_VALUE"""),1138.0)</f>
        <v>1138</v>
      </c>
      <c r="D1431" s="139">
        <f>IFERROR(__xludf.DUMMYFUNCTION("""COMPUTED_VALUE"""),552.0)</f>
        <v>552</v>
      </c>
      <c r="E1431" s="138">
        <f>IFERROR(__xludf.DUMMYFUNCTION("""COMPUTED_VALUE"""),5.0)</f>
        <v>5</v>
      </c>
      <c r="F1431" s="138">
        <f>IFERROR(__xludf.DUMMYFUNCTION("""COMPUTED_VALUE"""),5.0)</f>
        <v>5</v>
      </c>
      <c r="G1431" s="138">
        <f>IFERROR(__xludf.DUMMYFUNCTION("""COMPUTED_VALUE"""),5.0)</f>
        <v>5</v>
      </c>
      <c r="H1431" s="138">
        <f>IFERROR(__xludf.DUMMYFUNCTION("""COMPUTED_VALUE"""),5.0)</f>
        <v>5</v>
      </c>
      <c r="I1431" s="138">
        <f>IFERROR(__xludf.DUMMYFUNCTION("""COMPUTED_VALUE"""),4.0)</f>
        <v>4</v>
      </c>
      <c r="J1431" s="138">
        <f>IFERROR(__xludf.DUMMYFUNCTION("""COMPUTED_VALUE"""),4.0)</f>
        <v>4</v>
      </c>
      <c r="K1431" s="138">
        <f>IFERROR(__xludf.DUMMYFUNCTION("""COMPUTED_VALUE"""),4.0)</f>
        <v>4</v>
      </c>
      <c r="L1431" s="138">
        <v>32.0</v>
      </c>
      <c r="M1431" s="140" t="str">
        <f>VLOOKUP(text(D1431, "#"),'Master Table'!$A:$F, 6, FALSE)</f>
        <v>I-2</v>
      </c>
      <c r="N1431" s="141"/>
      <c r="O1431" s="142" t="str">
        <f t="shared" si="1"/>
        <v/>
      </c>
      <c r="P1431" s="143" t="str">
        <f>IF(ISNA(VLOOKUP(CONCAT(M1431,C1431), 'Judge Count DO NOT EDIT'!H:H, 1, FALSE)), "ERROR","")</f>
        <v/>
      </c>
      <c r="Q1431" s="141"/>
      <c r="R1431" s="143"/>
      <c r="S1431" s="139" t="str">
        <f t="shared" si="2"/>
        <v>1138552</v>
      </c>
      <c r="T1431" s="141"/>
    </row>
    <row r="1432">
      <c r="A1432" s="137">
        <f>IFERROR(__xludf.DUMMYFUNCTION("""COMPUTED_VALUE"""),45352.68067819445)</f>
        <v>45352.68068</v>
      </c>
      <c r="B1432" s="138" t="str">
        <f>IFERROR(__xludf.DUMMYFUNCTION("""COMPUTED_VALUE"""),"Teresa Lind")</f>
        <v>Teresa Lind</v>
      </c>
      <c r="C1432" s="138">
        <f>IFERROR(__xludf.DUMMYFUNCTION("""COMPUTED_VALUE"""),1140.0)</f>
        <v>1140</v>
      </c>
      <c r="D1432" s="139">
        <f>IFERROR(__xludf.DUMMYFUNCTION("""COMPUTED_VALUE"""),552.0)</f>
        <v>552</v>
      </c>
      <c r="E1432" s="138">
        <f>IFERROR(__xludf.DUMMYFUNCTION("""COMPUTED_VALUE"""),4.0)</f>
        <v>4</v>
      </c>
      <c r="F1432" s="138">
        <f>IFERROR(__xludf.DUMMYFUNCTION("""COMPUTED_VALUE"""),5.0)</f>
        <v>5</v>
      </c>
      <c r="G1432" s="138">
        <f>IFERROR(__xludf.DUMMYFUNCTION("""COMPUTED_VALUE"""),4.0)</f>
        <v>4</v>
      </c>
      <c r="H1432" s="138">
        <f>IFERROR(__xludf.DUMMYFUNCTION("""COMPUTED_VALUE"""),5.0)</f>
        <v>5</v>
      </c>
      <c r="I1432" s="138">
        <f>IFERROR(__xludf.DUMMYFUNCTION("""COMPUTED_VALUE"""),5.0)</f>
        <v>5</v>
      </c>
      <c r="J1432" s="138">
        <f>IFERROR(__xludf.DUMMYFUNCTION("""COMPUTED_VALUE"""),4.0)</f>
        <v>4</v>
      </c>
      <c r="K1432" s="138">
        <f>IFERROR(__xludf.DUMMYFUNCTION("""COMPUTED_VALUE"""),5.0)</f>
        <v>5</v>
      </c>
      <c r="L1432" s="138">
        <v>32.0</v>
      </c>
      <c r="M1432" s="140" t="str">
        <f>VLOOKUP(text(D1432, "#"),'Master Table'!$A:$F, 6, FALSE)</f>
        <v>I-2</v>
      </c>
      <c r="N1432" s="141" t="str">
        <f>IFERROR(__xludf.DUMMYFUNCTION("""COMPUTED_VALUE"""),"This was a fascinating study and the presenting did an excellent job describing the methods used. I especially liked the inclusion of pictures as that helped me understand everything better.")</f>
        <v>This was a fascinating study and the presenting did an excellent job describing the methods used. I especially liked the inclusion of pictures as that helped me understand everything better.</v>
      </c>
      <c r="O1432" s="142" t="str">
        <f t="shared" si="1"/>
        <v/>
      </c>
      <c r="P1432" s="143" t="str">
        <f>IF(ISNA(VLOOKUP(CONCAT(M1432,C1432), 'Judge Count DO NOT EDIT'!H:H, 1, FALSE)), "ERROR","")</f>
        <v/>
      </c>
      <c r="Q1432" s="141"/>
      <c r="R1432" s="143"/>
      <c r="S1432" s="139" t="str">
        <f t="shared" si="2"/>
        <v>1140552</v>
      </c>
      <c r="T1432" s="141"/>
    </row>
    <row r="1433">
      <c r="A1433" s="137">
        <f>IFERROR(__xludf.DUMMYFUNCTION("""COMPUTED_VALUE"""),45352.80456079861)</f>
        <v>45352.80456</v>
      </c>
      <c r="B1433" s="138" t="str">
        <f>IFERROR(__xludf.DUMMYFUNCTION("""COMPUTED_VALUE"""),"Katie")</f>
        <v>Katie</v>
      </c>
      <c r="C1433" s="138">
        <f>IFERROR(__xludf.DUMMYFUNCTION("""COMPUTED_VALUE"""),1148.0)</f>
        <v>1148</v>
      </c>
      <c r="D1433" s="139">
        <f>IFERROR(__xludf.DUMMYFUNCTION("""COMPUTED_VALUE"""),552.0)</f>
        <v>552</v>
      </c>
      <c r="E1433" s="138">
        <f>IFERROR(__xludf.DUMMYFUNCTION("""COMPUTED_VALUE"""),4.0)</f>
        <v>4</v>
      </c>
      <c r="F1433" s="138">
        <f>IFERROR(__xludf.DUMMYFUNCTION("""COMPUTED_VALUE"""),4.0)</f>
        <v>4</v>
      </c>
      <c r="G1433" s="138">
        <f>IFERROR(__xludf.DUMMYFUNCTION("""COMPUTED_VALUE"""),3.0)</f>
        <v>3</v>
      </c>
      <c r="H1433" s="138">
        <f>IFERROR(__xludf.DUMMYFUNCTION("""COMPUTED_VALUE"""),5.0)</f>
        <v>5</v>
      </c>
      <c r="I1433" s="138">
        <f>IFERROR(__xludf.DUMMYFUNCTION("""COMPUTED_VALUE"""),3.0)</f>
        <v>3</v>
      </c>
      <c r="J1433" s="138">
        <f>IFERROR(__xludf.DUMMYFUNCTION("""COMPUTED_VALUE"""),4.0)</f>
        <v>4</v>
      </c>
      <c r="K1433" s="138">
        <f>IFERROR(__xludf.DUMMYFUNCTION("""COMPUTED_VALUE"""),3.0)</f>
        <v>3</v>
      </c>
      <c r="L1433" s="138">
        <v>26.0</v>
      </c>
      <c r="M1433" s="140" t="str">
        <f>VLOOKUP(text(D1433, "#"),'Master Table'!$A:$F, 6, FALSE)</f>
        <v>I-2</v>
      </c>
      <c r="N1433" s="141" t="str">
        <f>IFERROR(__xludf.DUMMYFUNCTION("""COMPUTED_VALUE"""),"Really interesting study and methods for researching thirdhand smoke. Few participants in the study so far, but important implications for developing ways to potentially clean smoke residue from indoor settings. I learned about new research methods. Stude"&amp;"nt did a good job at explaining the research in detail, but could have been more emotive/engaging.")</f>
        <v>Really interesting study and methods for researching thirdhand smoke. Few participants in the study so far, but important implications for developing ways to potentially clean smoke residue from indoor settings. I learned about new research methods. Student did a good job at explaining the research in detail, but could have been more emotive/engaging.</v>
      </c>
      <c r="O1433" s="142" t="str">
        <f t="shared" si="1"/>
        <v/>
      </c>
      <c r="P1433" s="143" t="str">
        <f>IF(ISNA(VLOOKUP(CONCAT(M1433,C1433), 'Judge Count DO NOT EDIT'!H:H, 1, FALSE)), "ERROR","")</f>
        <v/>
      </c>
      <c r="Q1433" s="141"/>
      <c r="R1433" s="143"/>
      <c r="S1433" s="139" t="str">
        <f t="shared" si="2"/>
        <v>1148552</v>
      </c>
      <c r="T1433" s="141"/>
    </row>
    <row r="1434">
      <c r="A1434" s="137">
        <f>IFERROR(__xludf.DUMMYFUNCTION("""COMPUTED_VALUE"""),45352.6509816551)</f>
        <v>45352.65098</v>
      </c>
      <c r="B1434" s="138" t="str">
        <f>IFERROR(__xludf.DUMMYFUNCTION("""COMPUTED_VALUE"""),"Amanda Brown")</f>
        <v>Amanda Brown</v>
      </c>
      <c r="C1434" s="138">
        <f>IFERROR(__xludf.DUMMYFUNCTION("""COMPUTED_VALUE"""),1190.0)</f>
        <v>1190</v>
      </c>
      <c r="D1434" s="139">
        <f>IFERROR(__xludf.DUMMYFUNCTION("""COMPUTED_VALUE"""),553.0)</f>
        <v>553</v>
      </c>
      <c r="E1434" s="138">
        <f>IFERROR(__xludf.DUMMYFUNCTION("""COMPUTED_VALUE"""),4.0)</f>
        <v>4</v>
      </c>
      <c r="F1434" s="138">
        <f>IFERROR(__xludf.DUMMYFUNCTION("""COMPUTED_VALUE"""),3.0)</f>
        <v>3</v>
      </c>
      <c r="G1434" s="138">
        <f>IFERROR(__xludf.DUMMYFUNCTION("""COMPUTED_VALUE"""),4.0)</f>
        <v>4</v>
      </c>
      <c r="H1434" s="138">
        <f>IFERROR(__xludf.DUMMYFUNCTION("""COMPUTED_VALUE"""),4.0)</f>
        <v>4</v>
      </c>
      <c r="I1434" s="138">
        <f>IFERROR(__xludf.DUMMYFUNCTION("""COMPUTED_VALUE"""),4.0)</f>
        <v>4</v>
      </c>
      <c r="J1434" s="138">
        <f>IFERROR(__xludf.DUMMYFUNCTION("""COMPUTED_VALUE"""),4.0)</f>
        <v>4</v>
      </c>
      <c r="K1434" s="138">
        <f>IFERROR(__xludf.DUMMYFUNCTION("""COMPUTED_VALUE"""),4.0)</f>
        <v>4</v>
      </c>
      <c r="L1434" s="138">
        <v>27.0</v>
      </c>
      <c r="M1434" s="140" t="str">
        <f>VLOOKUP(text(D1434, "#"),'Master Table'!$A:$F, 6, FALSE)</f>
        <v>I-2</v>
      </c>
      <c r="N1434" s="141"/>
      <c r="O1434" s="142" t="str">
        <f t="shared" si="1"/>
        <v/>
      </c>
      <c r="P1434" s="143" t="str">
        <f>IF(ISNA(VLOOKUP(CONCAT(M1434,C1434), 'Judge Count DO NOT EDIT'!H:H, 1, FALSE)), "ERROR","")</f>
        <v/>
      </c>
      <c r="Q1434" s="141"/>
      <c r="R1434" s="143"/>
      <c r="S1434" s="139" t="str">
        <f t="shared" si="2"/>
        <v>1190553</v>
      </c>
      <c r="T1434" s="141"/>
    </row>
    <row r="1435">
      <c r="A1435" s="137">
        <f>IFERROR(__xludf.DUMMYFUNCTION("""COMPUTED_VALUE"""),45352.65786388889)</f>
        <v>45352.65786</v>
      </c>
      <c r="B1435" s="138" t="str">
        <f>IFERROR(__xludf.DUMMYFUNCTION("""COMPUTED_VALUE"""),"Valeria Ochoa ")</f>
        <v>Valeria Ochoa </v>
      </c>
      <c r="C1435" s="138">
        <f>IFERROR(__xludf.DUMMYFUNCTION("""COMPUTED_VALUE"""),1219.0)</f>
        <v>1219</v>
      </c>
      <c r="D1435" s="139">
        <f>IFERROR(__xludf.DUMMYFUNCTION("""COMPUTED_VALUE"""),553.0)</f>
        <v>553</v>
      </c>
      <c r="E1435" s="138">
        <f>IFERROR(__xludf.DUMMYFUNCTION("""COMPUTED_VALUE"""),4.0)</f>
        <v>4</v>
      </c>
      <c r="F1435" s="138">
        <f>IFERROR(__xludf.DUMMYFUNCTION("""COMPUTED_VALUE"""),4.0)</f>
        <v>4</v>
      </c>
      <c r="G1435" s="138">
        <f>IFERROR(__xludf.DUMMYFUNCTION("""COMPUTED_VALUE"""),4.0)</f>
        <v>4</v>
      </c>
      <c r="H1435" s="138">
        <f>IFERROR(__xludf.DUMMYFUNCTION("""COMPUTED_VALUE"""),4.0)</f>
        <v>4</v>
      </c>
      <c r="I1435" s="138">
        <f>IFERROR(__xludf.DUMMYFUNCTION("""COMPUTED_VALUE"""),4.0)</f>
        <v>4</v>
      </c>
      <c r="J1435" s="138">
        <f>IFERROR(__xludf.DUMMYFUNCTION("""COMPUTED_VALUE"""),4.0)</f>
        <v>4</v>
      </c>
      <c r="K1435" s="138">
        <f>IFERROR(__xludf.DUMMYFUNCTION("""COMPUTED_VALUE"""),4.0)</f>
        <v>4</v>
      </c>
      <c r="L1435" s="138">
        <v>28.0</v>
      </c>
      <c r="M1435" s="140" t="str">
        <f>VLOOKUP(text(D1435, "#"),'Master Table'!$A:$F, 6, FALSE)</f>
        <v>I-2</v>
      </c>
      <c r="N1435" s="141"/>
      <c r="O1435" s="142" t="str">
        <f t="shared" si="1"/>
        <v/>
      </c>
      <c r="P1435" s="143" t="str">
        <f>IF(ISNA(VLOOKUP(CONCAT(M1435,C1435), 'Judge Count DO NOT EDIT'!H:H, 1, FALSE)), "ERROR","")</f>
        <v/>
      </c>
      <c r="Q1435" s="141"/>
      <c r="R1435" s="143"/>
      <c r="S1435" s="139" t="str">
        <f t="shared" si="2"/>
        <v>1219553</v>
      </c>
      <c r="T1435" s="141"/>
    </row>
    <row r="1436">
      <c r="A1436" s="137">
        <f>IFERROR(__xludf.DUMMYFUNCTION("""COMPUTED_VALUE"""),45352.67855644676)</f>
        <v>45352.67856</v>
      </c>
      <c r="B1436" s="138" t="str">
        <f>IFERROR(__xludf.DUMMYFUNCTION("""COMPUTED_VALUE"""),"Keith Chan")</f>
        <v>Keith Chan</v>
      </c>
      <c r="C1436" s="138">
        <f>IFERROR(__xludf.DUMMYFUNCTION("""COMPUTED_VALUE"""),1138.0)</f>
        <v>1138</v>
      </c>
      <c r="D1436" s="139">
        <f>IFERROR(__xludf.DUMMYFUNCTION("""COMPUTED_VALUE"""),553.0)</f>
        <v>553</v>
      </c>
      <c r="E1436" s="138">
        <f>IFERROR(__xludf.DUMMYFUNCTION("""COMPUTED_VALUE"""),5.0)</f>
        <v>5</v>
      </c>
      <c r="F1436" s="138">
        <f>IFERROR(__xludf.DUMMYFUNCTION("""COMPUTED_VALUE"""),5.0)</f>
        <v>5</v>
      </c>
      <c r="G1436" s="138">
        <f>IFERROR(__xludf.DUMMYFUNCTION("""COMPUTED_VALUE"""),5.0)</f>
        <v>5</v>
      </c>
      <c r="H1436" s="138">
        <f>IFERROR(__xludf.DUMMYFUNCTION("""COMPUTED_VALUE"""),4.0)</f>
        <v>4</v>
      </c>
      <c r="I1436" s="138">
        <f>IFERROR(__xludf.DUMMYFUNCTION("""COMPUTED_VALUE"""),5.0)</f>
        <v>5</v>
      </c>
      <c r="J1436" s="138">
        <f>IFERROR(__xludf.DUMMYFUNCTION("""COMPUTED_VALUE"""),4.0)</f>
        <v>4</v>
      </c>
      <c r="K1436" s="138">
        <f>IFERROR(__xludf.DUMMYFUNCTION("""COMPUTED_VALUE"""),5.0)</f>
        <v>5</v>
      </c>
      <c r="L1436" s="138">
        <v>33.0</v>
      </c>
      <c r="M1436" s="140" t="str">
        <f>VLOOKUP(text(D1436, "#"),'Master Table'!$A:$F, 6, FALSE)</f>
        <v>I-2</v>
      </c>
      <c r="N1436" s="141"/>
      <c r="O1436" s="142" t="str">
        <f t="shared" si="1"/>
        <v/>
      </c>
      <c r="P1436" s="143" t="str">
        <f>IF(ISNA(VLOOKUP(CONCAT(M1436,C1436), 'Judge Count DO NOT EDIT'!H:H, 1, FALSE)), "ERROR","")</f>
        <v/>
      </c>
      <c r="Q1436" s="141"/>
      <c r="R1436" s="143"/>
      <c r="S1436" s="139" t="str">
        <f t="shared" si="2"/>
        <v>1138553</v>
      </c>
      <c r="T1436" s="141"/>
    </row>
    <row r="1437">
      <c r="A1437" s="137">
        <f>IFERROR(__xludf.DUMMYFUNCTION("""COMPUTED_VALUE"""),45352.682109918984)</f>
        <v>45352.68211</v>
      </c>
      <c r="B1437" s="138" t="str">
        <f>IFERROR(__xludf.DUMMYFUNCTION("""COMPUTED_VALUE"""),"Teresa Lind")</f>
        <v>Teresa Lind</v>
      </c>
      <c r="C1437" s="138">
        <f>IFERROR(__xludf.DUMMYFUNCTION("""COMPUTED_VALUE"""),1140.0)</f>
        <v>1140</v>
      </c>
      <c r="D1437" s="139">
        <f>IFERROR(__xludf.DUMMYFUNCTION("""COMPUTED_VALUE"""),553.0)</f>
        <v>553</v>
      </c>
      <c r="E1437" s="138">
        <f>IFERROR(__xludf.DUMMYFUNCTION("""COMPUTED_VALUE"""),4.0)</f>
        <v>4</v>
      </c>
      <c r="F1437" s="138">
        <f>IFERROR(__xludf.DUMMYFUNCTION("""COMPUTED_VALUE"""),5.0)</f>
        <v>5</v>
      </c>
      <c r="G1437" s="138">
        <f>IFERROR(__xludf.DUMMYFUNCTION("""COMPUTED_VALUE"""),4.0)</f>
        <v>4</v>
      </c>
      <c r="H1437" s="138">
        <f>IFERROR(__xludf.DUMMYFUNCTION("""COMPUTED_VALUE"""),5.0)</f>
        <v>5</v>
      </c>
      <c r="I1437" s="138">
        <f>IFERROR(__xludf.DUMMYFUNCTION("""COMPUTED_VALUE"""),5.0)</f>
        <v>5</v>
      </c>
      <c r="J1437" s="138">
        <f>IFERROR(__xludf.DUMMYFUNCTION("""COMPUTED_VALUE"""),5.0)</f>
        <v>5</v>
      </c>
      <c r="K1437" s="138">
        <f>IFERROR(__xludf.DUMMYFUNCTION("""COMPUTED_VALUE"""),5.0)</f>
        <v>5</v>
      </c>
      <c r="L1437" s="138">
        <v>33.0</v>
      </c>
      <c r="M1437" s="140" t="str">
        <f>VLOOKUP(text(D1437, "#"),'Master Table'!$A:$F, 6, FALSE)</f>
        <v>I-2</v>
      </c>
      <c r="N1437" s="141" t="str">
        <f>IFERROR(__xludf.DUMMYFUNCTION("""COMPUTED_VALUE"""),"This was such a creative and interesting project! The presenter did an amazing job explaining it, and I love the pictures that were included. I was especially impressed by how the presenter answered questions and engaged with the audience.")</f>
        <v>This was such a creative and interesting project! The presenter did an amazing job explaining it, and I love the pictures that were included. I was especially impressed by how the presenter answered questions and engaged with the audience.</v>
      </c>
      <c r="O1437" s="142" t="str">
        <f t="shared" si="1"/>
        <v/>
      </c>
      <c r="P1437" s="143" t="str">
        <f>IF(ISNA(VLOOKUP(CONCAT(M1437,C1437), 'Judge Count DO NOT EDIT'!H:H, 1, FALSE)), "ERROR","")</f>
        <v/>
      </c>
      <c r="Q1437" s="141"/>
      <c r="R1437" s="143"/>
      <c r="S1437" s="139" t="str">
        <f t="shared" si="2"/>
        <v>1140553</v>
      </c>
      <c r="T1437" s="141"/>
    </row>
    <row r="1438">
      <c r="A1438" s="137">
        <f>IFERROR(__xludf.DUMMYFUNCTION("""COMPUTED_VALUE"""),45352.80603315972)</f>
        <v>45352.80603</v>
      </c>
      <c r="B1438" s="138" t="str">
        <f>IFERROR(__xludf.DUMMYFUNCTION("""COMPUTED_VALUE"""),"Katie")</f>
        <v>Katie</v>
      </c>
      <c r="C1438" s="138">
        <f>IFERROR(__xludf.DUMMYFUNCTION("""COMPUTED_VALUE"""),1148.0)</f>
        <v>1148</v>
      </c>
      <c r="D1438" s="139">
        <f>IFERROR(__xludf.DUMMYFUNCTION("""COMPUTED_VALUE"""),553.0)</f>
        <v>553</v>
      </c>
      <c r="E1438" s="138">
        <f>IFERROR(__xludf.DUMMYFUNCTION("""COMPUTED_VALUE"""),4.0)</f>
        <v>4</v>
      </c>
      <c r="F1438" s="138">
        <f>IFERROR(__xludf.DUMMYFUNCTION("""COMPUTED_VALUE"""),5.0)</f>
        <v>5</v>
      </c>
      <c r="G1438" s="138">
        <f>IFERROR(__xludf.DUMMYFUNCTION("""COMPUTED_VALUE"""),3.0)</f>
        <v>3</v>
      </c>
      <c r="H1438" s="138">
        <f>IFERROR(__xludf.DUMMYFUNCTION("""COMPUTED_VALUE"""),4.0)</f>
        <v>4</v>
      </c>
      <c r="I1438" s="138">
        <f>IFERROR(__xludf.DUMMYFUNCTION("""COMPUTED_VALUE"""),4.0)</f>
        <v>4</v>
      </c>
      <c r="J1438" s="138">
        <f>IFERROR(__xludf.DUMMYFUNCTION("""COMPUTED_VALUE"""),4.0)</f>
        <v>4</v>
      </c>
      <c r="K1438" s="138">
        <f>IFERROR(__xludf.DUMMYFUNCTION("""COMPUTED_VALUE"""),4.0)</f>
        <v>4</v>
      </c>
      <c r="L1438" s="138">
        <v>28.0</v>
      </c>
      <c r="M1438" s="140" t="str">
        <f>VLOOKUP(text(D1438, "#"),'Master Table'!$A:$F, 6, FALSE)</f>
        <v>I-2</v>
      </c>
      <c r="N1438" s="141" t="str">
        <f>IFERROR(__xludf.DUMMYFUNCTION("""COMPUTED_VALUE"""),"Student did a great job describing the study, methods, and limitations. Very interesting methods and findings, but limitations preclude drawing definitive impactful results. Student was friendly and engaging and poster was clear.")</f>
        <v>Student did a great job describing the study, methods, and limitations. Very interesting methods and findings, but limitations preclude drawing definitive impactful results. Student was friendly and engaging and poster was clear.</v>
      </c>
      <c r="O1438" s="142" t="str">
        <f t="shared" si="1"/>
        <v/>
      </c>
      <c r="P1438" s="143" t="str">
        <f>IF(ISNA(VLOOKUP(CONCAT(M1438,C1438), 'Judge Count DO NOT EDIT'!H:H, 1, FALSE)), "ERROR","")</f>
        <v/>
      </c>
      <c r="Q1438" s="141"/>
      <c r="R1438" s="143"/>
      <c r="S1438" s="139" t="str">
        <f t="shared" si="2"/>
        <v>1148553</v>
      </c>
      <c r="T1438" s="141"/>
    </row>
    <row r="1439">
      <c r="A1439" s="137">
        <f>IFERROR(__xludf.DUMMYFUNCTION("""COMPUTED_VALUE"""),45352.65160627315)</f>
        <v>45352.65161</v>
      </c>
      <c r="B1439" s="138" t="str">
        <f>IFERROR(__xludf.DUMMYFUNCTION("""COMPUTED_VALUE"""),"Amanda Brown")</f>
        <v>Amanda Brown</v>
      </c>
      <c r="C1439" s="138">
        <f>IFERROR(__xludf.DUMMYFUNCTION("""COMPUTED_VALUE"""),1190.0)</f>
        <v>1190</v>
      </c>
      <c r="D1439" s="139">
        <f>IFERROR(__xludf.DUMMYFUNCTION("""COMPUTED_VALUE"""),554.0)</f>
        <v>554</v>
      </c>
      <c r="E1439" s="138">
        <f>IFERROR(__xludf.DUMMYFUNCTION("""COMPUTED_VALUE"""),3.0)</f>
        <v>3</v>
      </c>
      <c r="F1439" s="138">
        <f>IFERROR(__xludf.DUMMYFUNCTION("""COMPUTED_VALUE"""),3.0)</f>
        <v>3</v>
      </c>
      <c r="G1439" s="138">
        <f>IFERROR(__xludf.DUMMYFUNCTION("""COMPUTED_VALUE"""),3.0)</f>
        <v>3</v>
      </c>
      <c r="H1439" s="138">
        <f>IFERROR(__xludf.DUMMYFUNCTION("""COMPUTED_VALUE"""),4.0)</f>
        <v>4</v>
      </c>
      <c r="I1439" s="138">
        <f>IFERROR(__xludf.DUMMYFUNCTION("""COMPUTED_VALUE"""),3.0)</f>
        <v>3</v>
      </c>
      <c r="J1439" s="138">
        <f>IFERROR(__xludf.DUMMYFUNCTION("""COMPUTED_VALUE"""),3.0)</f>
        <v>3</v>
      </c>
      <c r="K1439" s="138">
        <f>IFERROR(__xludf.DUMMYFUNCTION("""COMPUTED_VALUE"""),4.0)</f>
        <v>4</v>
      </c>
      <c r="L1439" s="138">
        <v>23.0</v>
      </c>
      <c r="M1439" s="140" t="str">
        <f>VLOOKUP(text(D1439, "#"),'Master Table'!$A:$F, 6, FALSE)</f>
        <v>I-2</v>
      </c>
      <c r="N1439" s="141"/>
      <c r="O1439" s="142" t="str">
        <f t="shared" si="1"/>
        <v/>
      </c>
      <c r="P1439" s="143" t="str">
        <f>IF(ISNA(VLOOKUP(CONCAT(M1439,C1439), 'Judge Count DO NOT EDIT'!H:H, 1, FALSE)), "ERROR","")</f>
        <v/>
      </c>
      <c r="Q1439" s="141"/>
      <c r="R1439" s="143"/>
      <c r="S1439" s="139" t="str">
        <f t="shared" si="2"/>
        <v>1190554</v>
      </c>
      <c r="T1439" s="141"/>
    </row>
    <row r="1440">
      <c r="A1440" s="137">
        <f>IFERROR(__xludf.DUMMYFUNCTION("""COMPUTED_VALUE"""),45352.65846259259)</f>
        <v>45352.65846</v>
      </c>
      <c r="B1440" s="138" t="str">
        <f>IFERROR(__xludf.DUMMYFUNCTION("""COMPUTED_VALUE"""),"Valeria Ochoa ")</f>
        <v>Valeria Ochoa </v>
      </c>
      <c r="C1440" s="138">
        <f>IFERROR(__xludf.DUMMYFUNCTION("""COMPUTED_VALUE"""),1219.0)</f>
        <v>1219</v>
      </c>
      <c r="D1440" s="139">
        <f>IFERROR(__xludf.DUMMYFUNCTION("""COMPUTED_VALUE"""),554.0)</f>
        <v>554</v>
      </c>
      <c r="E1440" s="138">
        <f>IFERROR(__xludf.DUMMYFUNCTION("""COMPUTED_VALUE"""),4.0)</f>
        <v>4</v>
      </c>
      <c r="F1440" s="138">
        <f>IFERROR(__xludf.DUMMYFUNCTION("""COMPUTED_VALUE"""),5.0)</f>
        <v>5</v>
      </c>
      <c r="G1440" s="138">
        <f>IFERROR(__xludf.DUMMYFUNCTION("""COMPUTED_VALUE"""),4.0)</f>
        <v>4</v>
      </c>
      <c r="H1440" s="138">
        <f>IFERROR(__xludf.DUMMYFUNCTION("""COMPUTED_VALUE"""),4.0)</f>
        <v>4</v>
      </c>
      <c r="I1440" s="138">
        <f>IFERROR(__xludf.DUMMYFUNCTION("""COMPUTED_VALUE"""),5.0)</f>
        <v>5</v>
      </c>
      <c r="J1440" s="138">
        <f>IFERROR(__xludf.DUMMYFUNCTION("""COMPUTED_VALUE"""),5.0)</f>
        <v>5</v>
      </c>
      <c r="K1440" s="138">
        <f>IFERROR(__xludf.DUMMYFUNCTION("""COMPUTED_VALUE"""),5.0)</f>
        <v>5</v>
      </c>
      <c r="L1440" s="138">
        <v>32.0</v>
      </c>
      <c r="M1440" s="140" t="str">
        <f>VLOOKUP(text(D1440, "#"),'Master Table'!$A:$F, 6, FALSE)</f>
        <v>I-2</v>
      </c>
      <c r="N1440" s="141"/>
      <c r="O1440" s="142" t="str">
        <f t="shared" si="1"/>
        <v/>
      </c>
      <c r="P1440" s="143" t="str">
        <f>IF(ISNA(VLOOKUP(CONCAT(M1440,C1440), 'Judge Count DO NOT EDIT'!H:H, 1, FALSE)), "ERROR","")</f>
        <v/>
      </c>
      <c r="Q1440" s="141"/>
      <c r="R1440" s="143"/>
      <c r="S1440" s="139" t="str">
        <f t="shared" si="2"/>
        <v>1219554</v>
      </c>
      <c r="T1440" s="141"/>
    </row>
    <row r="1441">
      <c r="A1441" s="137">
        <f>IFERROR(__xludf.DUMMYFUNCTION("""COMPUTED_VALUE"""),45352.67904260417)</f>
        <v>45352.67904</v>
      </c>
      <c r="B1441" s="138" t="str">
        <f>IFERROR(__xludf.DUMMYFUNCTION("""COMPUTED_VALUE"""),"Keith Chan")</f>
        <v>Keith Chan</v>
      </c>
      <c r="C1441" s="138">
        <f>IFERROR(__xludf.DUMMYFUNCTION("""COMPUTED_VALUE"""),1138.0)</f>
        <v>1138</v>
      </c>
      <c r="D1441" s="139">
        <f>IFERROR(__xludf.DUMMYFUNCTION("""COMPUTED_VALUE"""),554.0)</f>
        <v>554</v>
      </c>
      <c r="E1441" s="138">
        <f>IFERROR(__xludf.DUMMYFUNCTION("""COMPUTED_VALUE"""),5.0)</f>
        <v>5</v>
      </c>
      <c r="F1441" s="138">
        <f>IFERROR(__xludf.DUMMYFUNCTION("""COMPUTED_VALUE"""),4.0)</f>
        <v>4</v>
      </c>
      <c r="G1441" s="138">
        <f>IFERROR(__xludf.DUMMYFUNCTION("""COMPUTED_VALUE"""),5.0)</f>
        <v>5</v>
      </c>
      <c r="H1441" s="138">
        <f>IFERROR(__xludf.DUMMYFUNCTION("""COMPUTED_VALUE"""),5.0)</f>
        <v>5</v>
      </c>
      <c r="I1441" s="138">
        <f>IFERROR(__xludf.DUMMYFUNCTION("""COMPUTED_VALUE"""),5.0)</f>
        <v>5</v>
      </c>
      <c r="J1441" s="138">
        <f>IFERROR(__xludf.DUMMYFUNCTION("""COMPUTED_VALUE"""),5.0)</f>
        <v>5</v>
      </c>
      <c r="K1441" s="138">
        <f>IFERROR(__xludf.DUMMYFUNCTION("""COMPUTED_VALUE"""),5.0)</f>
        <v>5</v>
      </c>
      <c r="L1441" s="138">
        <v>34.0</v>
      </c>
      <c r="M1441" s="140" t="str">
        <f>VLOOKUP(text(D1441, "#"),'Master Table'!$A:$F, 6, FALSE)</f>
        <v>I-2</v>
      </c>
      <c r="N1441" s="141"/>
      <c r="O1441" s="142" t="str">
        <f t="shared" si="1"/>
        <v/>
      </c>
      <c r="P1441" s="143" t="str">
        <f>IF(ISNA(VLOOKUP(CONCAT(M1441,C1441), 'Judge Count DO NOT EDIT'!H:H, 1, FALSE)), "ERROR","")</f>
        <v/>
      </c>
      <c r="Q1441" s="141"/>
      <c r="R1441" s="143"/>
      <c r="S1441" s="139" t="str">
        <f t="shared" si="2"/>
        <v>1138554</v>
      </c>
      <c r="T1441" s="141"/>
    </row>
    <row r="1442">
      <c r="A1442" s="137">
        <f>IFERROR(__xludf.DUMMYFUNCTION("""COMPUTED_VALUE"""),45352.68340369213)</f>
        <v>45352.6834</v>
      </c>
      <c r="B1442" s="138" t="str">
        <f>IFERROR(__xludf.DUMMYFUNCTION("""COMPUTED_VALUE"""),"Teresa Lind")</f>
        <v>Teresa Lind</v>
      </c>
      <c r="C1442" s="138">
        <f>IFERROR(__xludf.DUMMYFUNCTION("""COMPUTED_VALUE"""),1140.0)</f>
        <v>1140</v>
      </c>
      <c r="D1442" s="139">
        <f>IFERROR(__xludf.DUMMYFUNCTION("""COMPUTED_VALUE"""),554.0)</f>
        <v>554</v>
      </c>
      <c r="E1442" s="138">
        <f>IFERROR(__xludf.DUMMYFUNCTION("""COMPUTED_VALUE"""),5.0)</f>
        <v>5</v>
      </c>
      <c r="F1442" s="138">
        <f>IFERROR(__xludf.DUMMYFUNCTION("""COMPUTED_VALUE"""),5.0)</f>
        <v>5</v>
      </c>
      <c r="G1442" s="138">
        <f>IFERROR(__xludf.DUMMYFUNCTION("""COMPUTED_VALUE"""),4.0)</f>
        <v>4</v>
      </c>
      <c r="H1442" s="138">
        <f>IFERROR(__xludf.DUMMYFUNCTION("""COMPUTED_VALUE"""),5.0)</f>
        <v>5</v>
      </c>
      <c r="I1442" s="138">
        <f>IFERROR(__xludf.DUMMYFUNCTION("""COMPUTED_VALUE"""),5.0)</f>
        <v>5</v>
      </c>
      <c r="J1442" s="138">
        <f>IFERROR(__xludf.DUMMYFUNCTION("""COMPUTED_VALUE"""),5.0)</f>
        <v>5</v>
      </c>
      <c r="K1442" s="138">
        <f>IFERROR(__xludf.DUMMYFUNCTION("""COMPUTED_VALUE"""),5.0)</f>
        <v>5</v>
      </c>
      <c r="L1442" s="138">
        <v>34.0</v>
      </c>
      <c r="M1442" s="140" t="str">
        <f>VLOOKUP(text(D1442, "#"),'Master Table'!$A:$F, 6, FALSE)</f>
        <v>I-2</v>
      </c>
      <c r="N1442" s="141" t="str">
        <f>IFERROR(__xludf.DUMMYFUNCTION("""COMPUTED_VALUE"""),"This was a fascinating project, and the presenters explained it extremely well. I appreciated how they included their hypotheses and expectations, and their theories about the reasons behind the results. I also loved the pictures!")</f>
        <v>This was a fascinating project, and the presenters explained it extremely well. I appreciated how they included their hypotheses and expectations, and their theories about the reasons behind the results. I also loved the pictures!</v>
      </c>
      <c r="O1442" s="142" t="str">
        <f t="shared" si="1"/>
        <v/>
      </c>
      <c r="P1442" s="143" t="str">
        <f>IF(ISNA(VLOOKUP(CONCAT(M1442,C1442), 'Judge Count DO NOT EDIT'!H:H, 1, FALSE)), "ERROR","")</f>
        <v/>
      </c>
      <c r="Q1442" s="141"/>
      <c r="R1442" s="143"/>
      <c r="S1442" s="139" t="str">
        <f t="shared" si="2"/>
        <v>1140554</v>
      </c>
      <c r="T1442" s="141"/>
    </row>
    <row r="1443">
      <c r="A1443" s="137">
        <f>IFERROR(__xludf.DUMMYFUNCTION("""COMPUTED_VALUE"""),45352.639152731485)</f>
        <v>45352.63915</v>
      </c>
      <c r="B1443" s="138" t="str">
        <f>IFERROR(__xludf.DUMMYFUNCTION("""COMPUTED_VALUE"""),"Katie")</f>
        <v>Katie</v>
      </c>
      <c r="C1443" s="138">
        <f>IFERROR(__xludf.DUMMYFUNCTION("""COMPUTED_VALUE"""),1148.0)</f>
        <v>1148</v>
      </c>
      <c r="D1443" s="139">
        <f>IFERROR(__xludf.DUMMYFUNCTION("""COMPUTED_VALUE"""),555.0)</f>
        <v>555</v>
      </c>
      <c r="E1443" s="138">
        <f>IFERROR(__xludf.DUMMYFUNCTION("""COMPUTED_VALUE"""),3.0)</f>
        <v>3</v>
      </c>
      <c r="F1443" s="138">
        <f>IFERROR(__xludf.DUMMYFUNCTION("""COMPUTED_VALUE"""),3.0)</f>
        <v>3</v>
      </c>
      <c r="G1443" s="138">
        <f>IFERROR(__xludf.DUMMYFUNCTION("""COMPUTED_VALUE"""),2.0)</f>
        <v>2</v>
      </c>
      <c r="H1443" s="138">
        <f>IFERROR(__xludf.DUMMYFUNCTION("""COMPUTED_VALUE"""),3.0)</f>
        <v>3</v>
      </c>
      <c r="I1443" s="138">
        <f>IFERROR(__xludf.DUMMYFUNCTION("""COMPUTED_VALUE"""),4.0)</f>
        <v>4</v>
      </c>
      <c r="J1443" s="138">
        <f>IFERROR(__xludf.DUMMYFUNCTION("""COMPUTED_VALUE"""),3.0)</f>
        <v>3</v>
      </c>
      <c r="K1443" s="138">
        <f>IFERROR(__xludf.DUMMYFUNCTION("""COMPUTED_VALUE"""),4.0)</f>
        <v>4</v>
      </c>
      <c r="L1443" s="138">
        <v>22.0</v>
      </c>
      <c r="M1443" s="140" t="str">
        <f>VLOOKUP(text(D1443, "#"),'Master Table'!$A:$F, 6, FALSE)</f>
        <v>I-2</v>
      </c>
      <c r="N1443" s="141" t="str">
        <f>IFERROR(__xludf.DUMMYFUNCTION("""COMPUTED_VALUE"""),"Student was enthusiastic about project. I would suggest a more substantial intervention rather than a hypothetical letter of support. Also, controlling for other variables like demographics or fraternity involvement. Perhaps qualitative inquiry would impr"&amp;"ove understanding of what level of support giving would have a more substantial impact on individual level beliefs (your outcomes). Great job and interesting hypothesis to test!")</f>
        <v>Student was enthusiastic about project. I would suggest a more substantial intervention rather than a hypothetical letter of support. Also, controlling for other variables like demographics or fraternity involvement. Perhaps qualitative inquiry would improve understanding of what level of support giving would have a more substantial impact on individual level beliefs (your outcomes). Great job and interesting hypothesis to test!</v>
      </c>
      <c r="O1443" s="142" t="str">
        <f t="shared" si="1"/>
        <v/>
      </c>
      <c r="P1443" s="143" t="str">
        <f>IF(ISNA(VLOOKUP(CONCAT(M1443,C1443), 'Judge Count DO NOT EDIT'!H:H, 1, FALSE)), "ERROR","")</f>
        <v/>
      </c>
      <c r="Q1443" s="141"/>
      <c r="R1443" s="143"/>
      <c r="S1443" s="139" t="str">
        <f t="shared" si="2"/>
        <v>1148555</v>
      </c>
      <c r="T1443" s="141"/>
    </row>
    <row r="1444">
      <c r="A1444" s="137">
        <f>IFERROR(__xludf.DUMMYFUNCTION("""COMPUTED_VALUE"""),45352.652223530094)</f>
        <v>45352.65222</v>
      </c>
      <c r="B1444" s="138" t="str">
        <f>IFERROR(__xludf.DUMMYFUNCTION("""COMPUTED_VALUE"""),"Amanda Brown")</f>
        <v>Amanda Brown</v>
      </c>
      <c r="C1444" s="138">
        <f>IFERROR(__xludf.DUMMYFUNCTION("""COMPUTED_VALUE"""),1190.0)</f>
        <v>1190</v>
      </c>
      <c r="D1444" s="139">
        <f>IFERROR(__xludf.DUMMYFUNCTION("""COMPUTED_VALUE"""),555.0)</f>
        <v>555</v>
      </c>
      <c r="E1444" s="138">
        <f>IFERROR(__xludf.DUMMYFUNCTION("""COMPUTED_VALUE"""),4.0)</f>
        <v>4</v>
      </c>
      <c r="F1444" s="138">
        <f>IFERROR(__xludf.DUMMYFUNCTION("""COMPUTED_VALUE"""),4.0)</f>
        <v>4</v>
      </c>
      <c r="G1444" s="138">
        <f>IFERROR(__xludf.DUMMYFUNCTION("""COMPUTED_VALUE"""),3.0)</f>
        <v>3</v>
      </c>
      <c r="H1444" s="138">
        <f>IFERROR(__xludf.DUMMYFUNCTION("""COMPUTED_VALUE"""),4.0)</f>
        <v>4</v>
      </c>
      <c r="I1444" s="138">
        <f>IFERROR(__xludf.DUMMYFUNCTION("""COMPUTED_VALUE"""),4.0)</f>
        <v>4</v>
      </c>
      <c r="J1444" s="138">
        <f>IFERROR(__xludf.DUMMYFUNCTION("""COMPUTED_VALUE"""),4.0)</f>
        <v>4</v>
      </c>
      <c r="K1444" s="138">
        <f>IFERROR(__xludf.DUMMYFUNCTION("""COMPUTED_VALUE"""),5.0)</f>
        <v>5</v>
      </c>
      <c r="L1444" s="138">
        <v>28.0</v>
      </c>
      <c r="M1444" s="140" t="str">
        <f>VLOOKUP(text(D1444, "#"),'Master Table'!$A:$F, 6, FALSE)</f>
        <v>I-2</v>
      </c>
      <c r="N1444" s="141"/>
      <c r="O1444" s="142" t="str">
        <f t="shared" si="1"/>
        <v/>
      </c>
      <c r="P1444" s="143" t="str">
        <f>IF(ISNA(VLOOKUP(CONCAT(M1444,C1444), 'Judge Count DO NOT EDIT'!H:H, 1, FALSE)), "ERROR","")</f>
        <v/>
      </c>
      <c r="Q1444" s="141"/>
      <c r="R1444" s="143"/>
      <c r="S1444" s="139" t="str">
        <f t="shared" si="2"/>
        <v>1190555</v>
      </c>
      <c r="T1444" s="141"/>
    </row>
    <row r="1445">
      <c r="A1445" s="137">
        <f>IFERROR(__xludf.DUMMYFUNCTION("""COMPUTED_VALUE"""),45352.658997708335)</f>
        <v>45352.659</v>
      </c>
      <c r="B1445" s="138" t="str">
        <f>IFERROR(__xludf.DUMMYFUNCTION("""COMPUTED_VALUE"""),"Valeria Ochoa ")</f>
        <v>Valeria Ochoa </v>
      </c>
      <c r="C1445" s="138">
        <f>IFERROR(__xludf.DUMMYFUNCTION("""COMPUTED_VALUE"""),1219.0)</f>
        <v>1219</v>
      </c>
      <c r="D1445" s="139">
        <f>IFERROR(__xludf.DUMMYFUNCTION("""COMPUTED_VALUE"""),555.0)</f>
        <v>555</v>
      </c>
      <c r="E1445" s="138">
        <f>IFERROR(__xludf.DUMMYFUNCTION("""COMPUTED_VALUE"""),4.0)</f>
        <v>4</v>
      </c>
      <c r="F1445" s="138">
        <f>IFERROR(__xludf.DUMMYFUNCTION("""COMPUTED_VALUE"""),4.0)</f>
        <v>4</v>
      </c>
      <c r="G1445" s="138">
        <f>IFERROR(__xludf.DUMMYFUNCTION("""COMPUTED_VALUE"""),4.0)</f>
        <v>4</v>
      </c>
      <c r="H1445" s="138">
        <f>IFERROR(__xludf.DUMMYFUNCTION("""COMPUTED_VALUE"""),4.0)</f>
        <v>4</v>
      </c>
      <c r="I1445" s="138">
        <f>IFERROR(__xludf.DUMMYFUNCTION("""COMPUTED_VALUE"""),5.0)</f>
        <v>5</v>
      </c>
      <c r="J1445" s="138">
        <f>IFERROR(__xludf.DUMMYFUNCTION("""COMPUTED_VALUE"""),5.0)</f>
        <v>5</v>
      </c>
      <c r="K1445" s="138">
        <f>IFERROR(__xludf.DUMMYFUNCTION("""COMPUTED_VALUE"""),5.0)</f>
        <v>5</v>
      </c>
      <c r="L1445" s="138">
        <v>31.0</v>
      </c>
      <c r="M1445" s="140" t="str">
        <f>VLOOKUP(text(D1445, "#"),'Master Table'!$A:$F, 6, FALSE)</f>
        <v>I-2</v>
      </c>
      <c r="N1445" s="141"/>
      <c r="O1445" s="142" t="str">
        <f t="shared" si="1"/>
        <v/>
      </c>
      <c r="P1445" s="143" t="str">
        <f>IF(ISNA(VLOOKUP(CONCAT(M1445,C1445), 'Judge Count DO NOT EDIT'!H:H, 1, FALSE)), "ERROR","")</f>
        <v/>
      </c>
      <c r="Q1445" s="141"/>
      <c r="R1445" s="143"/>
      <c r="S1445" s="139" t="str">
        <f t="shared" si="2"/>
        <v>1219555</v>
      </c>
      <c r="T1445" s="141"/>
    </row>
    <row r="1446">
      <c r="A1446" s="137">
        <f>IFERROR(__xludf.DUMMYFUNCTION("""COMPUTED_VALUE"""),45352.67951850695)</f>
        <v>45352.67952</v>
      </c>
      <c r="B1446" s="138" t="str">
        <f>IFERROR(__xludf.DUMMYFUNCTION("""COMPUTED_VALUE"""),"Keith Chan")</f>
        <v>Keith Chan</v>
      </c>
      <c r="C1446" s="138">
        <f>IFERROR(__xludf.DUMMYFUNCTION("""COMPUTED_VALUE"""),1138.0)</f>
        <v>1138</v>
      </c>
      <c r="D1446" s="139">
        <f>IFERROR(__xludf.DUMMYFUNCTION("""COMPUTED_VALUE"""),555.0)</f>
        <v>555</v>
      </c>
      <c r="E1446" s="138">
        <f>IFERROR(__xludf.DUMMYFUNCTION("""COMPUTED_VALUE"""),4.0)</f>
        <v>4</v>
      </c>
      <c r="F1446" s="138">
        <f>IFERROR(__xludf.DUMMYFUNCTION("""COMPUTED_VALUE"""),4.0)</f>
        <v>4</v>
      </c>
      <c r="G1446" s="138">
        <f>IFERROR(__xludf.DUMMYFUNCTION("""COMPUTED_VALUE"""),4.0)</f>
        <v>4</v>
      </c>
      <c r="H1446" s="138">
        <f>IFERROR(__xludf.DUMMYFUNCTION("""COMPUTED_VALUE"""),4.0)</f>
        <v>4</v>
      </c>
      <c r="I1446" s="138">
        <f>IFERROR(__xludf.DUMMYFUNCTION("""COMPUTED_VALUE"""),5.0)</f>
        <v>5</v>
      </c>
      <c r="J1446" s="138">
        <f>IFERROR(__xludf.DUMMYFUNCTION("""COMPUTED_VALUE"""),4.0)</f>
        <v>4</v>
      </c>
      <c r="K1446" s="138">
        <f>IFERROR(__xludf.DUMMYFUNCTION("""COMPUTED_VALUE"""),5.0)</f>
        <v>5</v>
      </c>
      <c r="L1446" s="138">
        <v>30.0</v>
      </c>
      <c r="M1446" s="140" t="str">
        <f>VLOOKUP(text(D1446, "#"),'Master Table'!$A:$F, 6, FALSE)</f>
        <v>I-2</v>
      </c>
      <c r="N1446" s="141"/>
      <c r="O1446" s="142" t="str">
        <f t="shared" si="1"/>
        <v/>
      </c>
      <c r="P1446" s="143" t="str">
        <f>IF(ISNA(VLOOKUP(CONCAT(M1446,C1446), 'Judge Count DO NOT EDIT'!H:H, 1, FALSE)), "ERROR","")</f>
        <v/>
      </c>
      <c r="Q1446" s="141"/>
      <c r="R1446" s="143"/>
      <c r="S1446" s="139" t="str">
        <f t="shared" si="2"/>
        <v>1138555</v>
      </c>
      <c r="T1446" s="141"/>
    </row>
    <row r="1447">
      <c r="A1447" s="137">
        <f>IFERROR(__xludf.DUMMYFUNCTION("""COMPUTED_VALUE"""),45352.68561190972)</f>
        <v>45352.68561</v>
      </c>
      <c r="B1447" s="138" t="str">
        <f>IFERROR(__xludf.DUMMYFUNCTION("""COMPUTED_VALUE"""),"Teresa Lind")</f>
        <v>Teresa Lind</v>
      </c>
      <c r="C1447" s="138">
        <f>IFERROR(__xludf.DUMMYFUNCTION("""COMPUTED_VALUE"""),1140.0)</f>
        <v>1140</v>
      </c>
      <c r="D1447" s="139">
        <f>IFERROR(__xludf.DUMMYFUNCTION("""COMPUTED_VALUE"""),555.0)</f>
        <v>555</v>
      </c>
      <c r="E1447" s="138">
        <f>IFERROR(__xludf.DUMMYFUNCTION("""COMPUTED_VALUE"""),4.0)</f>
        <v>4</v>
      </c>
      <c r="F1447" s="138">
        <f>IFERROR(__xludf.DUMMYFUNCTION("""COMPUTED_VALUE"""),4.0)</f>
        <v>4</v>
      </c>
      <c r="G1447" s="138">
        <f>IFERROR(__xludf.DUMMYFUNCTION("""COMPUTED_VALUE"""),5.0)</f>
        <v>5</v>
      </c>
      <c r="H1447" s="138">
        <f>IFERROR(__xludf.DUMMYFUNCTION("""COMPUTED_VALUE"""),4.0)</f>
        <v>4</v>
      </c>
      <c r="I1447" s="138">
        <f>IFERROR(__xludf.DUMMYFUNCTION("""COMPUTED_VALUE"""),5.0)</f>
        <v>5</v>
      </c>
      <c r="J1447" s="138">
        <f>IFERROR(__xludf.DUMMYFUNCTION("""COMPUTED_VALUE"""),5.0)</f>
        <v>5</v>
      </c>
      <c r="K1447" s="138">
        <f>IFERROR(__xludf.DUMMYFUNCTION("""COMPUTED_VALUE"""),5.0)</f>
        <v>5</v>
      </c>
      <c r="L1447" s="138">
        <v>32.0</v>
      </c>
      <c r="M1447" s="140" t="str">
        <f>VLOOKUP(text(D1447, "#"),'Master Table'!$A:$F, 6, FALSE)</f>
        <v>I-2</v>
      </c>
      <c r="N1447" s="141" t="str">
        <f>IFERROR(__xludf.DUMMYFUNCTION("""COMPUTED_VALUE"""),"This was a really interesting project. The presenter explained it very well, and did an excellent job exploring the next steps and why the findings are important.")</f>
        <v>This was a really interesting project. The presenter explained it very well, and did an excellent job exploring the next steps and why the findings are important.</v>
      </c>
      <c r="O1447" s="142" t="str">
        <f t="shared" si="1"/>
        <v/>
      </c>
      <c r="P1447" s="143" t="str">
        <f>IF(ISNA(VLOOKUP(CONCAT(M1447,C1447), 'Judge Count DO NOT EDIT'!H:H, 1, FALSE)), "ERROR","")</f>
        <v/>
      </c>
      <c r="Q1447" s="141"/>
      <c r="R1447" s="143"/>
      <c r="S1447" s="139" t="str">
        <f t="shared" si="2"/>
        <v>1140555</v>
      </c>
      <c r="T1447" s="141"/>
    </row>
    <row r="1448">
      <c r="A1448" s="137">
        <f>IFERROR(__xludf.DUMMYFUNCTION("""COMPUTED_VALUE"""),45352.65268883102)</f>
        <v>45352.65269</v>
      </c>
      <c r="B1448" s="138" t="str">
        <f>IFERROR(__xludf.DUMMYFUNCTION("""COMPUTED_VALUE"""),"Amanda Brown")</f>
        <v>Amanda Brown</v>
      </c>
      <c r="C1448" s="138">
        <f>IFERROR(__xludf.DUMMYFUNCTION("""COMPUTED_VALUE"""),1190.0)</f>
        <v>1190</v>
      </c>
      <c r="D1448" s="139">
        <f>IFERROR(__xludf.DUMMYFUNCTION("""COMPUTED_VALUE"""),556.0)</f>
        <v>556</v>
      </c>
      <c r="E1448" s="138">
        <f>IFERROR(__xludf.DUMMYFUNCTION("""COMPUTED_VALUE"""),4.0)</f>
        <v>4</v>
      </c>
      <c r="F1448" s="138">
        <f>IFERROR(__xludf.DUMMYFUNCTION("""COMPUTED_VALUE"""),4.0)</f>
        <v>4</v>
      </c>
      <c r="G1448" s="138">
        <f>IFERROR(__xludf.DUMMYFUNCTION("""COMPUTED_VALUE"""),4.0)</f>
        <v>4</v>
      </c>
      <c r="H1448" s="138">
        <f>IFERROR(__xludf.DUMMYFUNCTION("""COMPUTED_VALUE"""),4.0)</f>
        <v>4</v>
      </c>
      <c r="I1448" s="138">
        <f>IFERROR(__xludf.DUMMYFUNCTION("""COMPUTED_VALUE"""),5.0)</f>
        <v>5</v>
      </c>
      <c r="J1448" s="138">
        <f>IFERROR(__xludf.DUMMYFUNCTION("""COMPUTED_VALUE"""),4.0)</f>
        <v>4</v>
      </c>
      <c r="K1448" s="138">
        <f>IFERROR(__xludf.DUMMYFUNCTION("""COMPUTED_VALUE"""),4.0)</f>
        <v>4</v>
      </c>
      <c r="L1448" s="138">
        <v>29.0</v>
      </c>
      <c r="M1448" s="140" t="str">
        <f>VLOOKUP(text(D1448, "#"),'Master Table'!$A:$F, 6, FALSE)</f>
        <v>I-2</v>
      </c>
      <c r="N1448" s="141"/>
      <c r="O1448" s="142" t="str">
        <f t="shared" si="1"/>
        <v/>
      </c>
      <c r="P1448" s="143" t="str">
        <f>IF(ISNA(VLOOKUP(CONCAT(M1448,C1448), 'Judge Count DO NOT EDIT'!H:H, 1, FALSE)), "ERROR","")</f>
        <v/>
      </c>
      <c r="Q1448" s="141"/>
      <c r="R1448" s="143"/>
      <c r="S1448" s="139" t="str">
        <f t="shared" si="2"/>
        <v>1190556</v>
      </c>
      <c r="T1448" s="141"/>
    </row>
    <row r="1449">
      <c r="A1449" s="137">
        <f>IFERROR(__xludf.DUMMYFUNCTION("""COMPUTED_VALUE"""),45352.65930108796)</f>
        <v>45352.6593</v>
      </c>
      <c r="B1449" s="138" t="str">
        <f>IFERROR(__xludf.DUMMYFUNCTION("""COMPUTED_VALUE"""),"Valeria Ochoa ")</f>
        <v>Valeria Ochoa </v>
      </c>
      <c r="C1449" s="138">
        <f>IFERROR(__xludf.DUMMYFUNCTION("""COMPUTED_VALUE"""),1219.0)</f>
        <v>1219</v>
      </c>
      <c r="D1449" s="139">
        <f>IFERROR(__xludf.DUMMYFUNCTION("""COMPUTED_VALUE"""),556.0)</f>
        <v>556</v>
      </c>
      <c r="E1449" s="138">
        <f>IFERROR(__xludf.DUMMYFUNCTION("""COMPUTED_VALUE"""),5.0)</f>
        <v>5</v>
      </c>
      <c r="F1449" s="138">
        <f>IFERROR(__xludf.DUMMYFUNCTION("""COMPUTED_VALUE"""),5.0)</f>
        <v>5</v>
      </c>
      <c r="G1449" s="138">
        <f>IFERROR(__xludf.DUMMYFUNCTION("""COMPUTED_VALUE"""),5.0)</f>
        <v>5</v>
      </c>
      <c r="H1449" s="138">
        <f>IFERROR(__xludf.DUMMYFUNCTION("""COMPUTED_VALUE"""),5.0)</f>
        <v>5</v>
      </c>
      <c r="I1449" s="138">
        <f>IFERROR(__xludf.DUMMYFUNCTION("""COMPUTED_VALUE"""),5.0)</f>
        <v>5</v>
      </c>
      <c r="J1449" s="138">
        <f>IFERROR(__xludf.DUMMYFUNCTION("""COMPUTED_VALUE"""),5.0)</f>
        <v>5</v>
      </c>
      <c r="K1449" s="138">
        <f>IFERROR(__xludf.DUMMYFUNCTION("""COMPUTED_VALUE"""),5.0)</f>
        <v>5</v>
      </c>
      <c r="L1449" s="138">
        <v>35.0</v>
      </c>
      <c r="M1449" s="140" t="str">
        <f>VLOOKUP(text(D1449, "#"),'Master Table'!$A:$F, 6, FALSE)</f>
        <v>I-2</v>
      </c>
      <c r="N1449" s="141"/>
      <c r="O1449" s="142" t="str">
        <f t="shared" si="1"/>
        <v/>
      </c>
      <c r="P1449" s="143" t="str">
        <f>IF(ISNA(VLOOKUP(CONCAT(M1449,C1449), 'Judge Count DO NOT EDIT'!H:H, 1, FALSE)), "ERROR","")</f>
        <v/>
      </c>
      <c r="Q1449" s="141"/>
      <c r="R1449" s="143"/>
      <c r="S1449" s="139" t="str">
        <f t="shared" si="2"/>
        <v>1219556</v>
      </c>
      <c r="T1449" s="141"/>
    </row>
    <row r="1450">
      <c r="A1450" s="137">
        <f>IFERROR(__xludf.DUMMYFUNCTION("""COMPUTED_VALUE"""),45352.68003199074)</f>
        <v>45352.68003</v>
      </c>
      <c r="B1450" s="138" t="str">
        <f>IFERROR(__xludf.DUMMYFUNCTION("""COMPUTED_VALUE"""),"Keith Chan")</f>
        <v>Keith Chan</v>
      </c>
      <c r="C1450" s="138">
        <f>IFERROR(__xludf.DUMMYFUNCTION("""COMPUTED_VALUE"""),1138.0)</f>
        <v>1138</v>
      </c>
      <c r="D1450" s="139">
        <f>IFERROR(__xludf.DUMMYFUNCTION("""COMPUTED_VALUE"""),556.0)</f>
        <v>556</v>
      </c>
      <c r="E1450" s="138">
        <f>IFERROR(__xludf.DUMMYFUNCTION("""COMPUTED_VALUE"""),4.0)</f>
        <v>4</v>
      </c>
      <c r="F1450" s="138">
        <f>IFERROR(__xludf.DUMMYFUNCTION("""COMPUTED_VALUE"""),4.0)</f>
        <v>4</v>
      </c>
      <c r="G1450" s="138">
        <f>IFERROR(__xludf.DUMMYFUNCTION("""COMPUTED_VALUE"""),4.0)</f>
        <v>4</v>
      </c>
      <c r="H1450" s="138">
        <f>IFERROR(__xludf.DUMMYFUNCTION("""COMPUTED_VALUE"""),4.0)</f>
        <v>4</v>
      </c>
      <c r="I1450" s="138">
        <f>IFERROR(__xludf.DUMMYFUNCTION("""COMPUTED_VALUE"""),4.0)</f>
        <v>4</v>
      </c>
      <c r="J1450" s="138">
        <f>IFERROR(__xludf.DUMMYFUNCTION("""COMPUTED_VALUE"""),4.0)</f>
        <v>4</v>
      </c>
      <c r="K1450" s="138">
        <f>IFERROR(__xludf.DUMMYFUNCTION("""COMPUTED_VALUE"""),5.0)</f>
        <v>5</v>
      </c>
      <c r="L1450" s="138">
        <v>29.0</v>
      </c>
      <c r="M1450" s="140" t="str">
        <f>VLOOKUP(text(D1450, "#"),'Master Table'!$A:$F, 6, FALSE)</f>
        <v>I-2</v>
      </c>
      <c r="N1450" s="141"/>
      <c r="O1450" s="142" t="str">
        <f t="shared" si="1"/>
        <v/>
      </c>
      <c r="P1450" s="143" t="str">
        <f>IF(ISNA(VLOOKUP(CONCAT(M1450,C1450), 'Judge Count DO NOT EDIT'!H:H, 1, FALSE)), "ERROR","")</f>
        <v/>
      </c>
      <c r="Q1450" s="141"/>
      <c r="R1450" s="143"/>
      <c r="S1450" s="139" t="str">
        <f t="shared" si="2"/>
        <v>1138556</v>
      </c>
      <c r="T1450" s="141"/>
    </row>
    <row r="1451">
      <c r="A1451" s="137">
        <f>IFERROR(__xludf.DUMMYFUNCTION("""COMPUTED_VALUE"""),45352.684794201385)</f>
        <v>45352.68479</v>
      </c>
      <c r="B1451" s="138" t="str">
        <f>IFERROR(__xludf.DUMMYFUNCTION("""COMPUTED_VALUE"""),"Teresa Lind")</f>
        <v>Teresa Lind</v>
      </c>
      <c r="C1451" s="138">
        <f>IFERROR(__xludf.DUMMYFUNCTION("""COMPUTED_VALUE"""),1140.0)</f>
        <v>1140</v>
      </c>
      <c r="D1451" s="139">
        <f>IFERROR(__xludf.DUMMYFUNCTION("""COMPUTED_VALUE"""),556.0)</f>
        <v>556</v>
      </c>
      <c r="E1451" s="138">
        <f>IFERROR(__xludf.DUMMYFUNCTION("""COMPUTED_VALUE"""),5.0)</f>
        <v>5</v>
      </c>
      <c r="F1451" s="138">
        <f>IFERROR(__xludf.DUMMYFUNCTION("""COMPUTED_VALUE"""),5.0)</f>
        <v>5</v>
      </c>
      <c r="G1451" s="138">
        <f>IFERROR(__xludf.DUMMYFUNCTION("""COMPUTED_VALUE"""),4.0)</f>
        <v>4</v>
      </c>
      <c r="H1451" s="138">
        <f>IFERROR(__xludf.DUMMYFUNCTION("""COMPUTED_VALUE"""),5.0)</f>
        <v>5</v>
      </c>
      <c r="I1451" s="138">
        <f>IFERROR(__xludf.DUMMYFUNCTION("""COMPUTED_VALUE"""),5.0)</f>
        <v>5</v>
      </c>
      <c r="J1451" s="138">
        <f>IFERROR(__xludf.DUMMYFUNCTION("""COMPUTED_VALUE"""),5.0)</f>
        <v>5</v>
      </c>
      <c r="K1451" s="138">
        <f>IFERROR(__xludf.DUMMYFUNCTION("""COMPUTED_VALUE"""),5.0)</f>
        <v>5</v>
      </c>
      <c r="L1451" s="138">
        <v>34.0</v>
      </c>
      <c r="M1451" s="140" t="str">
        <f>VLOOKUP(text(D1451, "#"),'Master Table'!$A:$F, 6, FALSE)</f>
        <v>I-2</v>
      </c>
      <c r="N1451" s="141" t="str">
        <f>IFERROR(__xludf.DUMMYFUNCTION("""COMPUTED_VALUE"""),"This was an incredibly interesting project - I loved the use of publicly available data. The presenter explained the project very clearly, and I was impressed by their discussion of the issues. I also really liked the figures included.")</f>
        <v>This was an incredibly interesting project - I loved the use of publicly available data. The presenter explained the project very clearly, and I was impressed by their discussion of the issues. I also really liked the figures included.</v>
      </c>
      <c r="O1451" s="142" t="str">
        <f t="shared" si="1"/>
        <v/>
      </c>
      <c r="P1451" s="143" t="str">
        <f>IF(ISNA(VLOOKUP(CONCAT(M1451,C1451), 'Judge Count DO NOT EDIT'!H:H, 1, FALSE)), "ERROR","")</f>
        <v/>
      </c>
      <c r="Q1451" s="141"/>
      <c r="R1451" s="143"/>
      <c r="S1451" s="139" t="str">
        <f t="shared" si="2"/>
        <v>1140556</v>
      </c>
      <c r="T1451" s="141"/>
    </row>
    <row r="1452">
      <c r="A1452" s="137">
        <f>IFERROR(__xludf.DUMMYFUNCTION("""COMPUTED_VALUE"""),45352.80907962963)</f>
        <v>45352.80908</v>
      </c>
      <c r="B1452" s="138" t="str">
        <f>IFERROR(__xludf.DUMMYFUNCTION("""COMPUTED_VALUE"""),"Katie")</f>
        <v>Katie</v>
      </c>
      <c r="C1452" s="138">
        <f>IFERROR(__xludf.DUMMYFUNCTION("""COMPUTED_VALUE"""),1148.0)</f>
        <v>1148</v>
      </c>
      <c r="D1452" s="139">
        <f>IFERROR(__xludf.DUMMYFUNCTION("""COMPUTED_VALUE"""),556.0)</f>
        <v>556</v>
      </c>
      <c r="E1452" s="138">
        <f>IFERROR(__xludf.DUMMYFUNCTION("""COMPUTED_VALUE"""),3.0)</f>
        <v>3</v>
      </c>
      <c r="F1452" s="138">
        <f>IFERROR(__xludf.DUMMYFUNCTION("""COMPUTED_VALUE"""),3.0)</f>
        <v>3</v>
      </c>
      <c r="G1452" s="138">
        <f>IFERROR(__xludf.DUMMYFUNCTION("""COMPUTED_VALUE"""),5.0)</f>
        <v>5</v>
      </c>
      <c r="H1452" s="138">
        <f>IFERROR(__xludf.DUMMYFUNCTION("""COMPUTED_VALUE"""),5.0)</f>
        <v>5</v>
      </c>
      <c r="I1452" s="138">
        <f>IFERROR(__xludf.DUMMYFUNCTION("""COMPUTED_VALUE"""),4.0)</f>
        <v>4</v>
      </c>
      <c r="J1452" s="138">
        <f>IFERROR(__xludf.DUMMYFUNCTION("""COMPUTED_VALUE"""),3.0)</f>
        <v>3</v>
      </c>
      <c r="K1452" s="138">
        <f>IFERROR(__xludf.DUMMYFUNCTION("""COMPUTED_VALUE"""),4.0)</f>
        <v>4</v>
      </c>
      <c r="L1452" s="138">
        <v>27.0</v>
      </c>
      <c r="M1452" s="140" t="str">
        <f>VLOOKUP(text(D1452, "#"),'Master Table'!$A:$F, 6, FALSE)</f>
        <v>I-2</v>
      </c>
      <c r="N1452" s="141" t="str">
        <f>IFERROR(__xludf.DUMMYFUNCTION("""COMPUTED_VALUE"""),"Really important research with immediate, real-world implications on the enduring effects of redlining on community gardens. I would be interested to hear about the qualitative exploration student mentioned. Student seemed passionate about the research. P"&amp;"oster was too busy with words, suggest to reduce word count for overall poster clarity.")</f>
        <v>Really important research with immediate, real-world implications on the enduring effects of redlining on community gardens. I would be interested to hear about the qualitative exploration student mentioned. Student seemed passionate about the research. Poster was too busy with words, suggest to reduce word count for overall poster clarity.</v>
      </c>
      <c r="O1452" s="142" t="str">
        <f t="shared" si="1"/>
        <v/>
      </c>
      <c r="P1452" s="143" t="str">
        <f>IF(ISNA(VLOOKUP(CONCAT(M1452,C1452), 'Judge Count DO NOT EDIT'!H:H, 1, FALSE)), "ERROR","")</f>
        <v/>
      </c>
      <c r="Q1452" s="141"/>
      <c r="R1452" s="143"/>
      <c r="S1452" s="139" t="str">
        <f t="shared" si="2"/>
        <v>1148556</v>
      </c>
      <c r="T1452" s="141"/>
    </row>
    <row r="1453">
      <c r="A1453" s="137">
        <f>IFERROR(__xludf.DUMMYFUNCTION("""COMPUTED_VALUE"""),45352.653216631945)</f>
        <v>45352.65322</v>
      </c>
      <c r="B1453" s="138" t="str">
        <f>IFERROR(__xludf.DUMMYFUNCTION("""COMPUTED_VALUE"""),"Amanda Brown")</f>
        <v>Amanda Brown</v>
      </c>
      <c r="C1453" s="138">
        <f>IFERROR(__xludf.DUMMYFUNCTION("""COMPUTED_VALUE"""),1190.0)</f>
        <v>1190</v>
      </c>
      <c r="D1453" s="139">
        <f>IFERROR(__xludf.DUMMYFUNCTION("""COMPUTED_VALUE"""),557.0)</f>
        <v>557</v>
      </c>
      <c r="E1453" s="138">
        <f>IFERROR(__xludf.DUMMYFUNCTION("""COMPUTED_VALUE"""),3.0)</f>
        <v>3</v>
      </c>
      <c r="F1453" s="138">
        <f>IFERROR(__xludf.DUMMYFUNCTION("""COMPUTED_VALUE"""),4.0)</f>
        <v>4</v>
      </c>
      <c r="G1453" s="138">
        <f>IFERROR(__xludf.DUMMYFUNCTION("""COMPUTED_VALUE"""),4.0)</f>
        <v>4</v>
      </c>
      <c r="H1453" s="138">
        <f>IFERROR(__xludf.DUMMYFUNCTION("""COMPUTED_VALUE"""),3.0)</f>
        <v>3</v>
      </c>
      <c r="I1453" s="138">
        <f>IFERROR(__xludf.DUMMYFUNCTION("""COMPUTED_VALUE"""),4.0)</f>
        <v>4</v>
      </c>
      <c r="J1453" s="138">
        <f>IFERROR(__xludf.DUMMYFUNCTION("""COMPUTED_VALUE"""),3.0)</f>
        <v>3</v>
      </c>
      <c r="K1453" s="138">
        <f>IFERROR(__xludf.DUMMYFUNCTION("""COMPUTED_VALUE"""),4.0)</f>
        <v>4</v>
      </c>
      <c r="L1453" s="138">
        <v>25.0</v>
      </c>
      <c r="M1453" s="140" t="str">
        <f>VLOOKUP(text(D1453, "#"),'Master Table'!$A:$F, 6, FALSE)</f>
        <v>I-2</v>
      </c>
      <c r="N1453" s="141"/>
      <c r="O1453" s="142" t="str">
        <f t="shared" si="1"/>
        <v/>
      </c>
      <c r="P1453" s="143" t="str">
        <f>IF(ISNA(VLOOKUP(CONCAT(M1453,C1453), 'Judge Count DO NOT EDIT'!H:H, 1, FALSE)), "ERROR","")</f>
        <v/>
      </c>
      <c r="Q1453" s="141"/>
      <c r="R1453" s="143"/>
      <c r="S1453" s="139" t="str">
        <f t="shared" si="2"/>
        <v>1190557</v>
      </c>
      <c r="T1453" s="141"/>
    </row>
    <row r="1454">
      <c r="A1454" s="137">
        <f>IFERROR(__xludf.DUMMYFUNCTION("""COMPUTED_VALUE"""),45352.65977570602)</f>
        <v>45352.65978</v>
      </c>
      <c r="B1454" s="138" t="str">
        <f>IFERROR(__xludf.DUMMYFUNCTION("""COMPUTED_VALUE"""),"Valeria Ochoa ")</f>
        <v>Valeria Ochoa </v>
      </c>
      <c r="C1454" s="138">
        <f>IFERROR(__xludf.DUMMYFUNCTION("""COMPUTED_VALUE"""),1219.0)</f>
        <v>1219</v>
      </c>
      <c r="D1454" s="139">
        <f>IFERROR(__xludf.DUMMYFUNCTION("""COMPUTED_VALUE"""),557.0)</f>
        <v>557</v>
      </c>
      <c r="E1454" s="138">
        <f>IFERROR(__xludf.DUMMYFUNCTION("""COMPUTED_VALUE"""),5.0)</f>
        <v>5</v>
      </c>
      <c r="F1454" s="138">
        <f>IFERROR(__xludf.DUMMYFUNCTION("""COMPUTED_VALUE"""),5.0)</f>
        <v>5</v>
      </c>
      <c r="G1454" s="138">
        <f>IFERROR(__xludf.DUMMYFUNCTION("""COMPUTED_VALUE"""),5.0)</f>
        <v>5</v>
      </c>
      <c r="H1454" s="138">
        <f>IFERROR(__xludf.DUMMYFUNCTION("""COMPUTED_VALUE"""),4.0)</f>
        <v>4</v>
      </c>
      <c r="I1454" s="138">
        <f>IFERROR(__xludf.DUMMYFUNCTION("""COMPUTED_VALUE"""),5.0)</f>
        <v>5</v>
      </c>
      <c r="J1454" s="138">
        <f>IFERROR(__xludf.DUMMYFUNCTION("""COMPUTED_VALUE"""),5.0)</f>
        <v>5</v>
      </c>
      <c r="K1454" s="138">
        <f>IFERROR(__xludf.DUMMYFUNCTION("""COMPUTED_VALUE"""),4.0)</f>
        <v>4</v>
      </c>
      <c r="L1454" s="138">
        <v>33.0</v>
      </c>
      <c r="M1454" s="140" t="str">
        <f>VLOOKUP(text(D1454, "#"),'Master Table'!$A:$F, 6, FALSE)</f>
        <v>I-2</v>
      </c>
      <c r="N1454" s="141"/>
      <c r="O1454" s="142" t="str">
        <f t="shared" si="1"/>
        <v/>
      </c>
      <c r="P1454" s="143" t="str">
        <f>IF(ISNA(VLOOKUP(CONCAT(M1454,C1454), 'Judge Count DO NOT EDIT'!H:H, 1, FALSE)), "ERROR","")</f>
        <v/>
      </c>
      <c r="Q1454" s="141"/>
      <c r="R1454" s="143"/>
      <c r="S1454" s="139" t="str">
        <f t="shared" si="2"/>
        <v>1219557</v>
      </c>
      <c r="T1454" s="141"/>
    </row>
    <row r="1455">
      <c r="A1455" s="137">
        <f>IFERROR(__xludf.DUMMYFUNCTION("""COMPUTED_VALUE"""),45352.68050645833)</f>
        <v>45352.68051</v>
      </c>
      <c r="B1455" s="138" t="str">
        <f>IFERROR(__xludf.DUMMYFUNCTION("""COMPUTED_VALUE"""),"Keith Chan")</f>
        <v>Keith Chan</v>
      </c>
      <c r="C1455" s="138">
        <f>IFERROR(__xludf.DUMMYFUNCTION("""COMPUTED_VALUE"""),1138.0)</f>
        <v>1138</v>
      </c>
      <c r="D1455" s="139">
        <f>IFERROR(__xludf.DUMMYFUNCTION("""COMPUTED_VALUE"""),557.0)</f>
        <v>557</v>
      </c>
      <c r="E1455" s="138">
        <f>IFERROR(__xludf.DUMMYFUNCTION("""COMPUTED_VALUE"""),4.0)</f>
        <v>4</v>
      </c>
      <c r="F1455" s="138">
        <f>IFERROR(__xludf.DUMMYFUNCTION("""COMPUTED_VALUE"""),4.0)</f>
        <v>4</v>
      </c>
      <c r="G1455" s="138">
        <f>IFERROR(__xludf.DUMMYFUNCTION("""COMPUTED_VALUE"""),3.0)</f>
        <v>3</v>
      </c>
      <c r="H1455" s="138">
        <f>IFERROR(__xludf.DUMMYFUNCTION("""COMPUTED_VALUE"""),4.0)</f>
        <v>4</v>
      </c>
      <c r="I1455" s="138">
        <f>IFERROR(__xludf.DUMMYFUNCTION("""COMPUTED_VALUE"""),4.0)</f>
        <v>4</v>
      </c>
      <c r="J1455" s="138">
        <f>IFERROR(__xludf.DUMMYFUNCTION("""COMPUTED_VALUE"""),4.0)</f>
        <v>4</v>
      </c>
      <c r="K1455" s="138">
        <f>IFERROR(__xludf.DUMMYFUNCTION("""COMPUTED_VALUE"""),4.0)</f>
        <v>4</v>
      </c>
      <c r="L1455" s="138">
        <v>27.0</v>
      </c>
      <c r="M1455" s="140" t="str">
        <f>VLOOKUP(text(D1455, "#"),'Master Table'!$A:$F, 6, FALSE)</f>
        <v>I-2</v>
      </c>
      <c r="N1455" s="141"/>
      <c r="O1455" s="142" t="str">
        <f t="shared" si="1"/>
        <v/>
      </c>
      <c r="P1455" s="143" t="str">
        <f>IF(ISNA(VLOOKUP(CONCAT(M1455,C1455), 'Judge Count DO NOT EDIT'!H:H, 1, FALSE)), "ERROR","")</f>
        <v/>
      </c>
      <c r="Q1455" s="141"/>
      <c r="R1455" s="143"/>
      <c r="S1455" s="139" t="str">
        <f t="shared" si="2"/>
        <v>1138557</v>
      </c>
      <c r="T1455" s="141"/>
    </row>
    <row r="1456">
      <c r="A1456" s="137">
        <f>IFERROR(__xludf.DUMMYFUNCTION("""COMPUTED_VALUE"""),45352.68682019676)</f>
        <v>45352.68682</v>
      </c>
      <c r="B1456" s="138" t="str">
        <f>IFERROR(__xludf.DUMMYFUNCTION("""COMPUTED_VALUE"""),"Teresa Lind")</f>
        <v>Teresa Lind</v>
      </c>
      <c r="C1456" s="138">
        <f>IFERROR(__xludf.DUMMYFUNCTION("""COMPUTED_VALUE"""),1140.0)</f>
        <v>1140</v>
      </c>
      <c r="D1456" s="139">
        <f>IFERROR(__xludf.DUMMYFUNCTION("""COMPUTED_VALUE"""),557.0)</f>
        <v>557</v>
      </c>
      <c r="E1456" s="138">
        <f>IFERROR(__xludf.DUMMYFUNCTION("""COMPUTED_VALUE"""),4.0)</f>
        <v>4</v>
      </c>
      <c r="F1456" s="138">
        <f>IFERROR(__xludf.DUMMYFUNCTION("""COMPUTED_VALUE"""),5.0)</f>
        <v>5</v>
      </c>
      <c r="G1456" s="138">
        <f>IFERROR(__xludf.DUMMYFUNCTION("""COMPUTED_VALUE"""),4.0)</f>
        <v>4</v>
      </c>
      <c r="H1456" s="138">
        <f>IFERROR(__xludf.DUMMYFUNCTION("""COMPUTED_VALUE"""),4.0)</f>
        <v>4</v>
      </c>
      <c r="I1456" s="138">
        <f>IFERROR(__xludf.DUMMYFUNCTION("""COMPUTED_VALUE"""),5.0)</f>
        <v>5</v>
      </c>
      <c r="J1456" s="138">
        <f>IFERROR(__xludf.DUMMYFUNCTION("""COMPUTED_VALUE"""),5.0)</f>
        <v>5</v>
      </c>
      <c r="K1456" s="138">
        <f>IFERROR(__xludf.DUMMYFUNCTION("""COMPUTED_VALUE"""),5.0)</f>
        <v>5</v>
      </c>
      <c r="L1456" s="138">
        <v>32.0</v>
      </c>
      <c r="M1456" s="140" t="str">
        <f>VLOOKUP(text(D1456, "#"),'Master Table'!$A:$F, 6, FALSE)</f>
        <v>I-2</v>
      </c>
      <c r="N1456" s="141" t="str">
        <f>IFERROR(__xludf.DUMMYFUNCTION("""COMPUTED_VALUE"""),"This project was really interesting. I really liked the figures that were included, as it conveyed the information clearly. The presenter did an excellent job explaining the next steps in the study.")</f>
        <v>This project was really interesting. I really liked the figures that were included, as it conveyed the information clearly. The presenter did an excellent job explaining the next steps in the study.</v>
      </c>
      <c r="O1456" s="142" t="str">
        <f t="shared" si="1"/>
        <v/>
      </c>
      <c r="P1456" s="143" t="str">
        <f>IF(ISNA(VLOOKUP(CONCAT(M1456,C1456), 'Judge Count DO NOT EDIT'!H:H, 1, FALSE)), "ERROR","")</f>
        <v/>
      </c>
      <c r="Q1456" s="141"/>
      <c r="R1456" s="143"/>
      <c r="S1456" s="139" t="str">
        <f t="shared" si="2"/>
        <v>1140557</v>
      </c>
      <c r="T1456" s="141"/>
    </row>
    <row r="1457">
      <c r="A1457" s="137">
        <f>IFERROR(__xludf.DUMMYFUNCTION("""COMPUTED_VALUE"""),45352.79316826389)</f>
        <v>45352.79317</v>
      </c>
      <c r="B1457" s="138" t="str">
        <f>IFERROR(__xludf.DUMMYFUNCTION("""COMPUTED_VALUE"""),"Katie")</f>
        <v>Katie</v>
      </c>
      <c r="C1457" s="138">
        <f>IFERROR(__xludf.DUMMYFUNCTION("""COMPUTED_VALUE"""),1148.0)</f>
        <v>1148</v>
      </c>
      <c r="D1457" s="139">
        <f>IFERROR(__xludf.DUMMYFUNCTION("""COMPUTED_VALUE"""),557.0)</f>
        <v>557</v>
      </c>
      <c r="E1457" s="138">
        <f>IFERROR(__xludf.DUMMYFUNCTION("""COMPUTED_VALUE"""),4.0)</f>
        <v>4</v>
      </c>
      <c r="F1457" s="138">
        <f>IFERROR(__xludf.DUMMYFUNCTION("""COMPUTED_VALUE"""),3.0)</f>
        <v>3</v>
      </c>
      <c r="G1457" s="138">
        <f>IFERROR(__xludf.DUMMYFUNCTION("""COMPUTED_VALUE"""),2.0)</f>
        <v>2</v>
      </c>
      <c r="H1457" s="138">
        <f>IFERROR(__xludf.DUMMYFUNCTION("""COMPUTED_VALUE"""),3.0)</f>
        <v>3</v>
      </c>
      <c r="I1457" s="138">
        <f>IFERROR(__xludf.DUMMYFUNCTION("""COMPUTED_VALUE"""),4.0)</f>
        <v>4</v>
      </c>
      <c r="J1457" s="138">
        <f>IFERROR(__xludf.DUMMYFUNCTION("""COMPUTED_VALUE"""),4.0)</f>
        <v>4</v>
      </c>
      <c r="K1457" s="138">
        <f>IFERROR(__xludf.DUMMYFUNCTION("""COMPUTED_VALUE"""),4.0)</f>
        <v>4</v>
      </c>
      <c r="L1457" s="138">
        <v>24.0</v>
      </c>
      <c r="M1457" s="140" t="str">
        <f>VLOOKUP(text(D1457, "#"),'Master Table'!$A:$F, 6, FALSE)</f>
        <v>I-2</v>
      </c>
      <c r="N1457" s="141" t="str">
        <f>IFERROR(__xludf.DUMMYFUNCTION("""COMPUTED_VALUE"""),"Student was an engaging presenter.  Research findings very, very preliminary but study sounds interesting and presenter still made the prelim findings seem somewhat interesting. Recruitment seems to be a struggle in this study but the research focus on lg"&amp;"btq youth is important.")</f>
        <v>Student was an engaging presenter.  Research findings very, very preliminary but study sounds interesting and presenter still made the prelim findings seem somewhat interesting. Recruitment seems to be a struggle in this study but the research focus on lgbtq youth is important.</v>
      </c>
      <c r="O1457" s="142" t="str">
        <f t="shared" si="1"/>
        <v/>
      </c>
      <c r="P1457" s="143" t="str">
        <f>IF(ISNA(VLOOKUP(CONCAT(M1457,C1457), 'Judge Count DO NOT EDIT'!H:H, 1, FALSE)), "ERROR","")</f>
        <v/>
      </c>
      <c r="Q1457" s="141"/>
      <c r="R1457" s="143"/>
      <c r="S1457" s="139" t="str">
        <f t="shared" si="2"/>
        <v>1148557</v>
      </c>
      <c r="T1457" s="141"/>
    </row>
    <row r="1458">
      <c r="A1458" s="137">
        <f>IFERROR(__xludf.DUMMYFUNCTION("""COMPUTED_VALUE"""),45352.63479856482)</f>
        <v>45352.6348</v>
      </c>
      <c r="B1458" s="138" t="str">
        <f>IFERROR(__xludf.DUMMYFUNCTION("""COMPUTED_VALUE"""),"Nowshin Nawar")</f>
        <v>Nowshin Nawar</v>
      </c>
      <c r="C1458" s="138">
        <f>IFERROR(__xludf.DUMMYFUNCTION("""COMPUTED_VALUE"""),1082.0)</f>
        <v>1082</v>
      </c>
      <c r="D1458" s="139">
        <f>IFERROR(__xludf.DUMMYFUNCTION("""COMPUTED_VALUE"""),558.0)</f>
        <v>558</v>
      </c>
      <c r="E1458" s="138">
        <f>IFERROR(__xludf.DUMMYFUNCTION("""COMPUTED_VALUE"""),5.0)</f>
        <v>5</v>
      </c>
      <c r="F1458" s="138">
        <f>IFERROR(__xludf.DUMMYFUNCTION("""COMPUTED_VALUE"""),4.0)</f>
        <v>4</v>
      </c>
      <c r="G1458" s="138">
        <f>IFERROR(__xludf.DUMMYFUNCTION("""COMPUTED_VALUE"""),4.0)</f>
        <v>4</v>
      </c>
      <c r="H1458" s="138">
        <f>IFERROR(__xludf.DUMMYFUNCTION("""COMPUTED_VALUE"""),4.0)</f>
        <v>4</v>
      </c>
      <c r="I1458" s="138">
        <f>IFERROR(__xludf.DUMMYFUNCTION("""COMPUTED_VALUE"""),4.0)</f>
        <v>4</v>
      </c>
      <c r="J1458" s="138">
        <f>IFERROR(__xludf.DUMMYFUNCTION("""COMPUTED_VALUE"""),5.0)</f>
        <v>5</v>
      </c>
      <c r="K1458" s="138">
        <f>IFERROR(__xludf.DUMMYFUNCTION("""COMPUTED_VALUE"""),5.0)</f>
        <v>5</v>
      </c>
      <c r="L1458" s="138">
        <v>31.0</v>
      </c>
      <c r="M1458" s="140" t="str">
        <f>VLOOKUP(text(D1458, "#"),'Master Table'!$A:$F, 6, FALSE)</f>
        <v>I-3</v>
      </c>
      <c r="N1458" s="141" t="str">
        <f>IFERROR(__xludf.DUMMYFUNCTION("""COMPUTED_VALUE"""),"Very interesting presentation on plant root exudate. ")</f>
        <v>Very interesting presentation on plant root exudate. </v>
      </c>
      <c r="O1458" s="142" t="str">
        <f t="shared" si="1"/>
        <v/>
      </c>
      <c r="P1458" s="143" t="str">
        <f>IF(ISNA(VLOOKUP(CONCAT(M1458,C1458), 'Judge Count DO NOT EDIT'!H:H, 1, FALSE)), "ERROR","")</f>
        <v/>
      </c>
      <c r="Q1458" s="141"/>
      <c r="R1458" s="143"/>
      <c r="S1458" s="139" t="str">
        <f t="shared" si="2"/>
        <v>1082558</v>
      </c>
      <c r="T1458" s="141"/>
    </row>
    <row r="1459">
      <c r="A1459" s="137">
        <f>IFERROR(__xludf.DUMMYFUNCTION("""COMPUTED_VALUE"""),45352.65567782408)</f>
        <v>45352.65568</v>
      </c>
      <c r="B1459" s="138" t="str">
        <f>IFERROR(__xludf.DUMMYFUNCTION("""COMPUTED_VALUE"""),"Cripps")</f>
        <v>Cripps</v>
      </c>
      <c r="C1459" s="138">
        <f>IFERROR(__xludf.DUMMYFUNCTION("""COMPUTED_VALUE"""),1069.0)</f>
        <v>1069</v>
      </c>
      <c r="D1459" s="139">
        <f>IFERROR(__xludf.DUMMYFUNCTION("""COMPUTED_VALUE"""),558.0)</f>
        <v>558</v>
      </c>
      <c r="E1459" s="138">
        <f>IFERROR(__xludf.DUMMYFUNCTION("""COMPUTED_VALUE"""),4.0)</f>
        <v>4</v>
      </c>
      <c r="F1459" s="138">
        <f>IFERROR(__xludf.DUMMYFUNCTION("""COMPUTED_VALUE"""),4.0)</f>
        <v>4</v>
      </c>
      <c r="G1459" s="138">
        <f>IFERROR(__xludf.DUMMYFUNCTION("""COMPUTED_VALUE"""),3.0)</f>
        <v>3</v>
      </c>
      <c r="H1459" s="138">
        <f>IFERROR(__xludf.DUMMYFUNCTION("""COMPUTED_VALUE"""),4.0)</f>
        <v>4</v>
      </c>
      <c r="I1459" s="138">
        <f>IFERROR(__xludf.DUMMYFUNCTION("""COMPUTED_VALUE"""),3.0)</f>
        <v>3</v>
      </c>
      <c r="J1459" s="138">
        <f>IFERROR(__xludf.DUMMYFUNCTION("""COMPUTED_VALUE"""),4.0)</f>
        <v>4</v>
      </c>
      <c r="K1459" s="138">
        <f>IFERROR(__xludf.DUMMYFUNCTION("""COMPUTED_VALUE"""),4.0)</f>
        <v>4</v>
      </c>
      <c r="L1459" s="138">
        <v>26.0</v>
      </c>
      <c r="M1459" s="140" t="str">
        <f>VLOOKUP(text(D1459, "#"),'Master Table'!$A:$F, 6, FALSE)</f>
        <v>I-3</v>
      </c>
      <c r="N1459" s="141"/>
      <c r="O1459" s="142" t="str">
        <f t="shared" si="1"/>
        <v/>
      </c>
      <c r="P1459" s="143" t="str">
        <f>IF(ISNA(VLOOKUP(CONCAT(M1459,C1459), 'Judge Count DO NOT EDIT'!H:H, 1, FALSE)), "ERROR","")</f>
        <v/>
      </c>
      <c r="Q1459" s="141"/>
      <c r="R1459" s="143"/>
      <c r="S1459" s="139" t="str">
        <f t="shared" si="2"/>
        <v>1069558</v>
      </c>
      <c r="T1459" s="141"/>
    </row>
    <row r="1460">
      <c r="A1460" s="137">
        <f>IFERROR(__xludf.DUMMYFUNCTION("""COMPUTED_VALUE"""),45352.68049950231)</f>
        <v>45352.6805</v>
      </c>
      <c r="B1460" s="138" t="str">
        <f>IFERROR(__xludf.DUMMYFUNCTION("""COMPUTED_VALUE"""),"Carrie House")</f>
        <v>Carrie House</v>
      </c>
      <c r="C1460" s="138">
        <f>IFERROR(__xludf.DUMMYFUNCTION("""COMPUTED_VALUE"""),1137.0)</f>
        <v>1137</v>
      </c>
      <c r="D1460" s="139">
        <f>IFERROR(__xludf.DUMMYFUNCTION("""COMPUTED_VALUE"""),558.0)</f>
        <v>558</v>
      </c>
      <c r="E1460" s="138">
        <f>IFERROR(__xludf.DUMMYFUNCTION("""COMPUTED_VALUE"""),4.0)</f>
        <v>4</v>
      </c>
      <c r="F1460" s="138">
        <f>IFERROR(__xludf.DUMMYFUNCTION("""COMPUTED_VALUE"""),4.0)</f>
        <v>4</v>
      </c>
      <c r="G1460" s="138">
        <f>IFERROR(__xludf.DUMMYFUNCTION("""COMPUTED_VALUE"""),3.0)</f>
        <v>3</v>
      </c>
      <c r="H1460" s="138">
        <f>IFERROR(__xludf.DUMMYFUNCTION("""COMPUTED_VALUE"""),4.0)</f>
        <v>4</v>
      </c>
      <c r="I1460" s="138">
        <f>IFERROR(__xludf.DUMMYFUNCTION("""COMPUTED_VALUE"""),3.0)</f>
        <v>3</v>
      </c>
      <c r="J1460" s="138">
        <f>IFERROR(__xludf.DUMMYFUNCTION("""COMPUTED_VALUE"""),3.0)</f>
        <v>3</v>
      </c>
      <c r="K1460" s="138">
        <f>IFERROR(__xludf.DUMMYFUNCTION("""COMPUTED_VALUE"""),4.0)</f>
        <v>4</v>
      </c>
      <c r="L1460" s="138">
        <v>25.0</v>
      </c>
      <c r="M1460" s="140" t="str">
        <f>VLOOKUP(text(D1460, "#"),'Master Table'!$A:$F, 6, FALSE)</f>
        <v>I-3</v>
      </c>
      <c r="N1460" s="141" t="str">
        <f>IFERROR(__xludf.DUMMYFUNCTION("""COMPUTED_VALUE"""),"Excellent presentation but was somewhat hard to hear in the noisy poster hall")</f>
        <v>Excellent presentation but was somewhat hard to hear in the noisy poster hall</v>
      </c>
      <c r="O1460" s="142" t="str">
        <f t="shared" si="1"/>
        <v/>
      </c>
      <c r="P1460" s="143" t="str">
        <f>IF(ISNA(VLOOKUP(CONCAT(M1460,C1460), 'Judge Count DO NOT EDIT'!H:H, 1, FALSE)), "ERROR","")</f>
        <v/>
      </c>
      <c r="Q1460" s="141"/>
      <c r="R1460" s="143"/>
      <c r="S1460" s="139" t="str">
        <f t="shared" si="2"/>
        <v>1137558</v>
      </c>
      <c r="T1460" s="141"/>
    </row>
    <row r="1461">
      <c r="A1461" s="137">
        <f>IFERROR(__xludf.DUMMYFUNCTION("""COMPUTED_VALUE"""),45352.69469520834)</f>
        <v>45352.6947</v>
      </c>
      <c r="B1461" s="138" t="str">
        <f>IFERROR(__xludf.DUMMYFUNCTION("""COMPUTED_VALUE"""),"Barbara Bailey")</f>
        <v>Barbara Bailey</v>
      </c>
      <c r="C1461" s="138">
        <f>IFERROR(__xludf.DUMMYFUNCTION("""COMPUTED_VALUE"""),1230.0)</f>
        <v>1230</v>
      </c>
      <c r="D1461" s="139">
        <f>IFERROR(__xludf.DUMMYFUNCTION("""COMPUTED_VALUE"""),558.0)</f>
        <v>558</v>
      </c>
      <c r="E1461" s="138">
        <f>IFERROR(__xludf.DUMMYFUNCTION("""COMPUTED_VALUE"""),4.0)</f>
        <v>4</v>
      </c>
      <c r="F1461" s="138">
        <f>IFERROR(__xludf.DUMMYFUNCTION("""COMPUTED_VALUE"""),4.0)</f>
        <v>4</v>
      </c>
      <c r="G1461" s="138">
        <f>IFERROR(__xludf.DUMMYFUNCTION("""COMPUTED_VALUE"""),4.0)</f>
        <v>4</v>
      </c>
      <c r="H1461" s="138">
        <f>IFERROR(__xludf.DUMMYFUNCTION("""COMPUTED_VALUE"""),3.0)</f>
        <v>3</v>
      </c>
      <c r="I1461" s="138">
        <f>IFERROR(__xludf.DUMMYFUNCTION("""COMPUTED_VALUE"""),3.0)</f>
        <v>3</v>
      </c>
      <c r="J1461" s="138">
        <f>IFERROR(__xludf.DUMMYFUNCTION("""COMPUTED_VALUE"""),4.0)</f>
        <v>4</v>
      </c>
      <c r="K1461" s="138">
        <f>IFERROR(__xludf.DUMMYFUNCTION("""COMPUTED_VALUE"""),4.0)</f>
        <v>4</v>
      </c>
      <c r="L1461" s="138">
        <v>26.0</v>
      </c>
      <c r="M1461" s="140" t="str">
        <f>VLOOKUP(text(D1461, "#"),'Master Table'!$A:$F, 6, FALSE)</f>
        <v>I-3</v>
      </c>
      <c r="N1461" s="141" t="str">
        <f>IFERROR(__xludf.DUMMYFUNCTION("""COMPUTED_VALUE"""),"Nice presentation. It was very loud, so you will have to get used to speaking louder. ")</f>
        <v>Nice presentation. It was very loud, so you will have to get used to speaking louder. </v>
      </c>
      <c r="O1461" s="142" t="str">
        <f t="shared" si="1"/>
        <v/>
      </c>
      <c r="P1461" s="143" t="str">
        <f>IF(ISNA(VLOOKUP(CONCAT(M1461,C1461), 'Judge Count DO NOT EDIT'!H:H, 1, FALSE)), "ERROR","")</f>
        <v/>
      </c>
      <c r="Q1461" s="141"/>
      <c r="R1461" s="143"/>
      <c r="S1461" s="139" t="str">
        <f t="shared" si="2"/>
        <v>1230558</v>
      </c>
      <c r="T1461" s="141"/>
    </row>
    <row r="1462">
      <c r="A1462" s="137">
        <f>IFERROR(__xludf.DUMMYFUNCTION("""COMPUTED_VALUE"""),45352.64529270833)</f>
        <v>45352.64529</v>
      </c>
      <c r="B1462" s="138" t="str">
        <f>IFERROR(__xludf.DUMMYFUNCTION("""COMPUTED_VALUE"""),"Nowshin Nawar ")</f>
        <v>Nowshin Nawar </v>
      </c>
      <c r="C1462" s="138">
        <f>IFERROR(__xludf.DUMMYFUNCTION("""COMPUTED_VALUE"""),1082.0)</f>
        <v>1082</v>
      </c>
      <c r="D1462" s="139">
        <f>IFERROR(__xludf.DUMMYFUNCTION("""COMPUTED_VALUE"""),559.0)</f>
        <v>559</v>
      </c>
      <c r="E1462" s="138">
        <f>IFERROR(__xludf.DUMMYFUNCTION("""COMPUTED_VALUE"""),5.0)</f>
        <v>5</v>
      </c>
      <c r="F1462" s="138">
        <f>IFERROR(__xludf.DUMMYFUNCTION("""COMPUTED_VALUE"""),4.0)</f>
        <v>4</v>
      </c>
      <c r="G1462" s="138">
        <f>IFERROR(__xludf.DUMMYFUNCTION("""COMPUTED_VALUE"""),5.0)</f>
        <v>5</v>
      </c>
      <c r="H1462" s="138">
        <f>IFERROR(__xludf.DUMMYFUNCTION("""COMPUTED_VALUE"""),5.0)</f>
        <v>5</v>
      </c>
      <c r="I1462" s="138">
        <f>IFERROR(__xludf.DUMMYFUNCTION("""COMPUTED_VALUE"""),5.0)</f>
        <v>5</v>
      </c>
      <c r="J1462" s="138">
        <f>IFERROR(__xludf.DUMMYFUNCTION("""COMPUTED_VALUE"""),4.0)</f>
        <v>4</v>
      </c>
      <c r="K1462" s="138">
        <f>IFERROR(__xludf.DUMMYFUNCTION("""COMPUTED_VALUE"""),5.0)</f>
        <v>5</v>
      </c>
      <c r="L1462" s="138">
        <v>33.0</v>
      </c>
      <c r="M1462" s="140" t="str">
        <f>VLOOKUP(text(D1462, "#"),'Master Table'!$A:$F, 6, FALSE)</f>
        <v>I-3</v>
      </c>
      <c r="N1462" s="141" t="str">
        <f>IFERROR(__xludf.DUMMYFUNCTION("""COMPUTED_VALUE"""),"Very good presentation, clear and original idea. ")</f>
        <v>Very good presentation, clear and original idea. </v>
      </c>
      <c r="O1462" s="142" t="str">
        <f t="shared" si="1"/>
        <v/>
      </c>
      <c r="P1462" s="143" t="str">
        <f>IF(ISNA(VLOOKUP(CONCAT(M1462,C1462), 'Judge Count DO NOT EDIT'!H:H, 1, FALSE)), "ERROR","")</f>
        <v/>
      </c>
      <c r="Q1462" s="141"/>
      <c r="R1462" s="143"/>
      <c r="S1462" s="139" t="str">
        <f t="shared" si="2"/>
        <v>1082559</v>
      </c>
      <c r="T1462" s="141"/>
    </row>
    <row r="1463">
      <c r="A1463" s="137">
        <f>IFERROR(__xludf.DUMMYFUNCTION("""COMPUTED_VALUE"""),45352.650136689816)</f>
        <v>45352.65014</v>
      </c>
      <c r="B1463" s="138" t="str">
        <f>IFERROR(__xludf.DUMMYFUNCTION("""COMPUTED_VALUE"""),"Cripps")</f>
        <v>Cripps</v>
      </c>
      <c r="C1463" s="138">
        <f>IFERROR(__xludf.DUMMYFUNCTION("""COMPUTED_VALUE"""),1069.0)</f>
        <v>1069</v>
      </c>
      <c r="D1463" s="139">
        <f>IFERROR(__xludf.DUMMYFUNCTION("""COMPUTED_VALUE"""),559.0)</f>
        <v>559</v>
      </c>
      <c r="E1463" s="138">
        <f>IFERROR(__xludf.DUMMYFUNCTION("""COMPUTED_VALUE"""),3.0)</f>
        <v>3</v>
      </c>
      <c r="F1463" s="138">
        <f>IFERROR(__xludf.DUMMYFUNCTION("""COMPUTED_VALUE"""),4.0)</f>
        <v>4</v>
      </c>
      <c r="G1463" s="138">
        <f>IFERROR(__xludf.DUMMYFUNCTION("""COMPUTED_VALUE"""),4.0)</f>
        <v>4</v>
      </c>
      <c r="H1463" s="138">
        <f>IFERROR(__xludf.DUMMYFUNCTION("""COMPUTED_VALUE"""),4.0)</f>
        <v>4</v>
      </c>
      <c r="I1463" s="138">
        <f>IFERROR(__xludf.DUMMYFUNCTION("""COMPUTED_VALUE"""),4.0)</f>
        <v>4</v>
      </c>
      <c r="J1463" s="138">
        <f>IFERROR(__xludf.DUMMYFUNCTION("""COMPUTED_VALUE"""),3.0)</f>
        <v>3</v>
      </c>
      <c r="K1463" s="138">
        <f>IFERROR(__xludf.DUMMYFUNCTION("""COMPUTED_VALUE"""),4.0)</f>
        <v>4</v>
      </c>
      <c r="L1463" s="138">
        <v>26.0</v>
      </c>
      <c r="M1463" s="140" t="str">
        <f>VLOOKUP(text(D1463, "#"),'Master Table'!$A:$F, 6, FALSE)</f>
        <v>I-3</v>
      </c>
      <c r="N1463" s="141"/>
      <c r="O1463" s="142" t="str">
        <f t="shared" si="1"/>
        <v/>
      </c>
      <c r="P1463" s="143" t="str">
        <f>IF(ISNA(VLOOKUP(CONCAT(M1463,C1463), 'Judge Count DO NOT EDIT'!H:H, 1, FALSE)), "ERROR","")</f>
        <v/>
      </c>
      <c r="Q1463" s="141"/>
      <c r="R1463" s="143"/>
      <c r="S1463" s="139" t="str">
        <f t="shared" si="2"/>
        <v>1069559</v>
      </c>
      <c r="T1463" s="141"/>
    </row>
    <row r="1464">
      <c r="A1464" s="137">
        <f>IFERROR(__xludf.DUMMYFUNCTION("""COMPUTED_VALUE"""),45352.68110336806)</f>
        <v>45352.6811</v>
      </c>
      <c r="B1464" s="138" t="str">
        <f>IFERROR(__xludf.DUMMYFUNCTION("""COMPUTED_VALUE"""),"Carrie House")</f>
        <v>Carrie House</v>
      </c>
      <c r="C1464" s="138">
        <f>IFERROR(__xludf.DUMMYFUNCTION("""COMPUTED_VALUE"""),1137.0)</f>
        <v>1137</v>
      </c>
      <c r="D1464" s="139">
        <f>IFERROR(__xludf.DUMMYFUNCTION("""COMPUTED_VALUE"""),559.0)</f>
        <v>559</v>
      </c>
      <c r="E1464" s="138">
        <f>IFERROR(__xludf.DUMMYFUNCTION("""COMPUTED_VALUE"""),4.0)</f>
        <v>4</v>
      </c>
      <c r="F1464" s="138">
        <f>IFERROR(__xludf.DUMMYFUNCTION("""COMPUTED_VALUE"""),4.0)</f>
        <v>4</v>
      </c>
      <c r="G1464" s="138">
        <f>IFERROR(__xludf.DUMMYFUNCTION("""COMPUTED_VALUE"""),4.0)</f>
        <v>4</v>
      </c>
      <c r="H1464" s="138">
        <f>IFERROR(__xludf.DUMMYFUNCTION("""COMPUTED_VALUE"""),4.0)</f>
        <v>4</v>
      </c>
      <c r="I1464" s="138">
        <f>IFERROR(__xludf.DUMMYFUNCTION("""COMPUTED_VALUE"""),4.0)</f>
        <v>4</v>
      </c>
      <c r="J1464" s="138">
        <f>IFERROR(__xludf.DUMMYFUNCTION("""COMPUTED_VALUE"""),4.0)</f>
        <v>4</v>
      </c>
      <c r="K1464" s="138">
        <f>IFERROR(__xludf.DUMMYFUNCTION("""COMPUTED_VALUE"""),4.0)</f>
        <v>4</v>
      </c>
      <c r="L1464" s="138">
        <v>28.0</v>
      </c>
      <c r="M1464" s="140" t="str">
        <f>VLOOKUP(text(D1464, "#"),'Master Table'!$A:$F, 6, FALSE)</f>
        <v>I-3</v>
      </c>
      <c r="N1464" s="141"/>
      <c r="O1464" s="142" t="str">
        <f t="shared" si="1"/>
        <v/>
      </c>
      <c r="P1464" s="143" t="str">
        <f>IF(ISNA(VLOOKUP(CONCAT(M1464,C1464), 'Judge Count DO NOT EDIT'!H:H, 1, FALSE)), "ERROR","")</f>
        <v/>
      </c>
      <c r="Q1464" s="144"/>
      <c r="R1464" s="143"/>
      <c r="S1464" s="139" t="str">
        <f t="shared" si="2"/>
        <v>1137559</v>
      </c>
      <c r="T1464" s="141"/>
    </row>
    <row r="1465">
      <c r="A1465" s="137">
        <f>IFERROR(__xludf.DUMMYFUNCTION("""COMPUTED_VALUE"""),45352.700023854166)</f>
        <v>45352.70002</v>
      </c>
      <c r="B1465" s="138" t="str">
        <f>IFERROR(__xludf.DUMMYFUNCTION("""COMPUTED_VALUE"""),"Barbara Bailey")</f>
        <v>Barbara Bailey</v>
      </c>
      <c r="C1465" s="138">
        <f>IFERROR(__xludf.DUMMYFUNCTION("""COMPUTED_VALUE"""),1230.0)</f>
        <v>1230</v>
      </c>
      <c r="D1465" s="139">
        <f>IFERROR(__xludf.DUMMYFUNCTION("""COMPUTED_VALUE"""),559.0)</f>
        <v>559</v>
      </c>
      <c r="E1465" s="138">
        <f>IFERROR(__xludf.DUMMYFUNCTION("""COMPUTED_VALUE"""),4.0)</f>
        <v>4</v>
      </c>
      <c r="F1465" s="138">
        <f>IFERROR(__xludf.DUMMYFUNCTION("""COMPUTED_VALUE"""),4.0)</f>
        <v>4</v>
      </c>
      <c r="G1465" s="138">
        <f>IFERROR(__xludf.DUMMYFUNCTION("""COMPUTED_VALUE"""),4.0)</f>
        <v>4</v>
      </c>
      <c r="H1465" s="138">
        <f>IFERROR(__xludf.DUMMYFUNCTION("""COMPUTED_VALUE"""),4.0)</f>
        <v>4</v>
      </c>
      <c r="I1465" s="138">
        <f>IFERROR(__xludf.DUMMYFUNCTION("""COMPUTED_VALUE"""),4.0)</f>
        <v>4</v>
      </c>
      <c r="J1465" s="138">
        <f>IFERROR(__xludf.DUMMYFUNCTION("""COMPUTED_VALUE"""),4.0)</f>
        <v>4</v>
      </c>
      <c r="K1465" s="138">
        <f>IFERROR(__xludf.DUMMYFUNCTION("""COMPUTED_VALUE"""),4.0)</f>
        <v>4</v>
      </c>
      <c r="L1465" s="138">
        <v>28.0</v>
      </c>
      <c r="M1465" s="140" t="str">
        <f>VLOOKUP(text(D1465, "#"),'Master Table'!$A:$F, 6, FALSE)</f>
        <v>I-3</v>
      </c>
      <c r="N1465" s="141" t="str">
        <f>IFERROR(__xludf.DUMMYFUNCTION("""COMPUTED_VALUE"""),"Great enthusiastic presentation.")</f>
        <v>Great enthusiastic presentation.</v>
      </c>
      <c r="O1465" s="142" t="str">
        <f t="shared" si="1"/>
        <v/>
      </c>
      <c r="P1465" s="143" t="str">
        <f>IF(ISNA(VLOOKUP(CONCAT(M1465,C1465), 'Judge Count DO NOT EDIT'!H:H, 1, FALSE)), "ERROR","")</f>
        <v/>
      </c>
      <c r="Q1465" s="141"/>
      <c r="R1465" s="143"/>
      <c r="S1465" s="139" t="str">
        <f t="shared" si="2"/>
        <v>1230559</v>
      </c>
      <c r="T1465" s="141"/>
    </row>
    <row r="1466">
      <c r="A1466" s="137">
        <f>IFERROR(__xludf.DUMMYFUNCTION("""COMPUTED_VALUE"""),45352.65064228009)</f>
        <v>45352.65064</v>
      </c>
      <c r="B1466" s="138" t="str">
        <f>IFERROR(__xludf.DUMMYFUNCTION("""COMPUTED_VALUE"""),"Nowshin Nawar ")</f>
        <v>Nowshin Nawar </v>
      </c>
      <c r="C1466" s="138">
        <f>IFERROR(__xludf.DUMMYFUNCTION("""COMPUTED_VALUE"""),1082.0)</f>
        <v>1082</v>
      </c>
      <c r="D1466" s="139">
        <f>IFERROR(__xludf.DUMMYFUNCTION("""COMPUTED_VALUE"""),560.0)</f>
        <v>560</v>
      </c>
      <c r="E1466" s="138">
        <f>IFERROR(__xludf.DUMMYFUNCTION("""COMPUTED_VALUE"""),5.0)</f>
        <v>5</v>
      </c>
      <c r="F1466" s="138">
        <f>IFERROR(__xludf.DUMMYFUNCTION("""COMPUTED_VALUE"""),5.0)</f>
        <v>5</v>
      </c>
      <c r="G1466" s="138">
        <f>IFERROR(__xludf.DUMMYFUNCTION("""COMPUTED_VALUE"""),5.0)</f>
        <v>5</v>
      </c>
      <c r="H1466" s="138">
        <f>IFERROR(__xludf.DUMMYFUNCTION("""COMPUTED_VALUE"""),4.0)</f>
        <v>4</v>
      </c>
      <c r="I1466" s="138">
        <f>IFERROR(__xludf.DUMMYFUNCTION("""COMPUTED_VALUE"""),3.0)</f>
        <v>3</v>
      </c>
      <c r="J1466" s="138">
        <f>IFERROR(__xludf.DUMMYFUNCTION("""COMPUTED_VALUE"""),4.0)</f>
        <v>4</v>
      </c>
      <c r="K1466" s="138">
        <f>IFERROR(__xludf.DUMMYFUNCTION("""COMPUTED_VALUE"""),5.0)</f>
        <v>5</v>
      </c>
      <c r="L1466" s="138">
        <v>31.0</v>
      </c>
      <c r="M1466" s="140" t="str">
        <f>VLOOKUP(text(D1466, "#"),'Master Table'!$A:$F, 6, FALSE)</f>
        <v>I-3</v>
      </c>
      <c r="N1466" s="141" t="str">
        <f>IFERROR(__xludf.DUMMYFUNCTION("""COMPUTED_VALUE"""),"Excellent research and delivery of the presentation ")</f>
        <v>Excellent research and delivery of the presentation </v>
      </c>
      <c r="O1466" s="142" t="str">
        <f t="shared" si="1"/>
        <v/>
      </c>
      <c r="P1466" s="143" t="str">
        <f>IF(ISNA(VLOOKUP(CONCAT(M1466,C1466), 'Judge Count DO NOT EDIT'!H:H, 1, FALSE)), "ERROR","")</f>
        <v/>
      </c>
      <c r="Q1466" s="141"/>
      <c r="R1466" s="143"/>
      <c r="S1466" s="139" t="str">
        <f t="shared" si="2"/>
        <v>1082560</v>
      </c>
      <c r="T1466" s="141"/>
    </row>
    <row r="1467">
      <c r="A1467" s="137">
        <f>IFERROR(__xludf.DUMMYFUNCTION("""COMPUTED_VALUE"""),45352.66071473379)</f>
        <v>45352.66071</v>
      </c>
      <c r="B1467" s="138" t="str">
        <f>IFERROR(__xludf.DUMMYFUNCTION("""COMPUTED_VALUE"""),"Cripps")</f>
        <v>Cripps</v>
      </c>
      <c r="C1467" s="138">
        <f>IFERROR(__xludf.DUMMYFUNCTION("""COMPUTED_VALUE"""),1069.0)</f>
        <v>1069</v>
      </c>
      <c r="D1467" s="139">
        <f>IFERROR(__xludf.DUMMYFUNCTION("""COMPUTED_VALUE"""),560.0)</f>
        <v>560</v>
      </c>
      <c r="E1467" s="138">
        <f>IFERROR(__xludf.DUMMYFUNCTION("""COMPUTED_VALUE"""),4.0)</f>
        <v>4</v>
      </c>
      <c r="F1467" s="138">
        <f>IFERROR(__xludf.DUMMYFUNCTION("""COMPUTED_VALUE"""),4.0)</f>
        <v>4</v>
      </c>
      <c r="G1467" s="138">
        <f>IFERROR(__xludf.DUMMYFUNCTION("""COMPUTED_VALUE"""),3.0)</f>
        <v>3</v>
      </c>
      <c r="H1467" s="138">
        <f>IFERROR(__xludf.DUMMYFUNCTION("""COMPUTED_VALUE"""),3.0)</f>
        <v>3</v>
      </c>
      <c r="I1467" s="138">
        <f>IFERROR(__xludf.DUMMYFUNCTION("""COMPUTED_VALUE"""),4.0)</f>
        <v>4</v>
      </c>
      <c r="J1467" s="138">
        <f>IFERROR(__xludf.DUMMYFUNCTION("""COMPUTED_VALUE"""),4.0)</f>
        <v>4</v>
      </c>
      <c r="K1467" s="138">
        <f>IFERROR(__xludf.DUMMYFUNCTION("""COMPUTED_VALUE"""),5.0)</f>
        <v>5</v>
      </c>
      <c r="L1467" s="138">
        <v>27.0</v>
      </c>
      <c r="M1467" s="140" t="str">
        <f>VLOOKUP(text(D1467, "#"),'Master Table'!$A:$F, 6, FALSE)</f>
        <v>I-3</v>
      </c>
      <c r="N1467" s="141"/>
      <c r="O1467" s="142" t="str">
        <f t="shared" si="1"/>
        <v/>
      </c>
      <c r="P1467" s="143" t="str">
        <f>IF(ISNA(VLOOKUP(CONCAT(M1467,C1467), 'Judge Count DO NOT EDIT'!H:H, 1, FALSE)), "ERROR","")</f>
        <v/>
      </c>
      <c r="Q1467" s="141"/>
      <c r="R1467" s="143"/>
      <c r="S1467" s="139" t="str">
        <f t="shared" si="2"/>
        <v>1069560</v>
      </c>
      <c r="T1467" s="141"/>
    </row>
    <row r="1468">
      <c r="A1468" s="137">
        <f>IFERROR(__xludf.DUMMYFUNCTION("""COMPUTED_VALUE"""),45352.68157)</f>
        <v>45352.68157</v>
      </c>
      <c r="B1468" s="138" t="str">
        <f>IFERROR(__xludf.DUMMYFUNCTION("""COMPUTED_VALUE"""),"Carrie House")</f>
        <v>Carrie House</v>
      </c>
      <c r="C1468" s="138">
        <f>IFERROR(__xludf.DUMMYFUNCTION("""COMPUTED_VALUE"""),1137.0)</f>
        <v>1137</v>
      </c>
      <c r="D1468" s="139">
        <f>IFERROR(__xludf.DUMMYFUNCTION("""COMPUTED_VALUE"""),560.0)</f>
        <v>560</v>
      </c>
      <c r="E1468" s="138">
        <f>IFERROR(__xludf.DUMMYFUNCTION("""COMPUTED_VALUE"""),5.0)</f>
        <v>5</v>
      </c>
      <c r="F1468" s="138">
        <f>IFERROR(__xludf.DUMMYFUNCTION("""COMPUTED_VALUE"""),4.0)</f>
        <v>4</v>
      </c>
      <c r="G1468" s="138">
        <f>IFERROR(__xludf.DUMMYFUNCTION("""COMPUTED_VALUE"""),4.0)</f>
        <v>4</v>
      </c>
      <c r="H1468" s="138">
        <f>IFERROR(__xludf.DUMMYFUNCTION("""COMPUTED_VALUE"""),4.0)</f>
        <v>4</v>
      </c>
      <c r="I1468" s="138">
        <f>IFERROR(__xludf.DUMMYFUNCTION("""COMPUTED_VALUE"""),5.0)</f>
        <v>5</v>
      </c>
      <c r="J1468" s="138">
        <f>IFERROR(__xludf.DUMMYFUNCTION("""COMPUTED_VALUE"""),5.0)</f>
        <v>5</v>
      </c>
      <c r="K1468" s="138">
        <f>IFERROR(__xludf.DUMMYFUNCTION("""COMPUTED_VALUE"""),5.0)</f>
        <v>5</v>
      </c>
      <c r="L1468" s="138">
        <v>32.0</v>
      </c>
      <c r="M1468" s="140" t="str">
        <f>VLOOKUP(text(D1468, "#"),'Master Table'!$A:$F, 6, FALSE)</f>
        <v>I-3</v>
      </c>
      <c r="N1468" s="141"/>
      <c r="O1468" s="142" t="str">
        <f t="shared" si="1"/>
        <v/>
      </c>
      <c r="P1468" s="143" t="str">
        <f>IF(ISNA(VLOOKUP(CONCAT(M1468,C1468), 'Judge Count DO NOT EDIT'!H:H, 1, FALSE)), "ERROR","")</f>
        <v/>
      </c>
      <c r="Q1468" s="141"/>
      <c r="R1468" s="143"/>
      <c r="S1468" s="139" t="str">
        <f t="shared" si="2"/>
        <v>1137560</v>
      </c>
      <c r="T1468" s="141"/>
    </row>
    <row r="1469">
      <c r="A1469" s="137">
        <f>IFERROR(__xludf.DUMMYFUNCTION("""COMPUTED_VALUE"""),45352.691588437505)</f>
        <v>45352.69159</v>
      </c>
      <c r="B1469" s="138" t="str">
        <f>IFERROR(__xludf.DUMMYFUNCTION("""COMPUTED_VALUE"""),"Barbara Bailey")</f>
        <v>Barbara Bailey</v>
      </c>
      <c r="C1469" s="138">
        <f>IFERROR(__xludf.DUMMYFUNCTION("""COMPUTED_VALUE"""),1230.0)</f>
        <v>1230</v>
      </c>
      <c r="D1469" s="139">
        <f>IFERROR(__xludf.DUMMYFUNCTION("""COMPUTED_VALUE"""),560.0)</f>
        <v>560</v>
      </c>
      <c r="E1469" s="138">
        <f>IFERROR(__xludf.DUMMYFUNCTION("""COMPUTED_VALUE"""),3.0)</f>
        <v>3</v>
      </c>
      <c r="F1469" s="138">
        <f>IFERROR(__xludf.DUMMYFUNCTION("""COMPUTED_VALUE"""),4.0)</f>
        <v>4</v>
      </c>
      <c r="G1469" s="138">
        <f>IFERROR(__xludf.DUMMYFUNCTION("""COMPUTED_VALUE"""),4.0)</f>
        <v>4</v>
      </c>
      <c r="H1469" s="138">
        <f>IFERROR(__xludf.DUMMYFUNCTION("""COMPUTED_VALUE"""),4.0)</f>
        <v>4</v>
      </c>
      <c r="I1469" s="138">
        <f>IFERROR(__xludf.DUMMYFUNCTION("""COMPUTED_VALUE"""),4.0)</f>
        <v>4</v>
      </c>
      <c r="J1469" s="138">
        <f>IFERROR(__xludf.DUMMYFUNCTION("""COMPUTED_VALUE"""),4.0)</f>
        <v>4</v>
      </c>
      <c r="K1469" s="138">
        <f>IFERROR(__xludf.DUMMYFUNCTION("""COMPUTED_VALUE"""),4.0)</f>
        <v>4</v>
      </c>
      <c r="L1469" s="138">
        <v>27.0</v>
      </c>
      <c r="M1469" s="140" t="str">
        <f>VLOOKUP(text(D1469, "#"),'Master Table'!$A:$F, 6, FALSE)</f>
        <v>I-3</v>
      </c>
      <c r="N1469" s="141" t="str">
        <f>IFERROR(__xludf.DUMMYFUNCTION("""COMPUTED_VALUE"""),"Nice presentation. Shorten abstract.")</f>
        <v>Nice presentation. Shorten abstract.</v>
      </c>
      <c r="O1469" s="142" t="str">
        <f t="shared" si="1"/>
        <v/>
      </c>
      <c r="P1469" s="143" t="str">
        <f>IF(ISNA(VLOOKUP(CONCAT(M1469,C1469), 'Judge Count DO NOT EDIT'!H:H, 1, FALSE)), "ERROR","")</f>
        <v/>
      </c>
      <c r="Q1469" s="141"/>
      <c r="R1469" s="143"/>
      <c r="S1469" s="139" t="str">
        <f t="shared" si="2"/>
        <v>1230560</v>
      </c>
      <c r="T1469" s="141"/>
    </row>
    <row r="1470">
      <c r="A1470" s="137">
        <f>IFERROR(__xludf.DUMMYFUNCTION("""COMPUTED_VALUE"""),45352.65140548611)</f>
        <v>45352.65141</v>
      </c>
      <c r="B1470" s="138" t="str">
        <f>IFERROR(__xludf.DUMMYFUNCTION("""COMPUTED_VALUE"""),"Nowshin Nawar ")</f>
        <v>Nowshin Nawar </v>
      </c>
      <c r="C1470" s="138">
        <f>IFERROR(__xludf.DUMMYFUNCTION("""COMPUTED_VALUE"""),1082.0)</f>
        <v>1082</v>
      </c>
      <c r="D1470" s="139">
        <f>IFERROR(__xludf.DUMMYFUNCTION("""COMPUTED_VALUE"""),561.0)</f>
        <v>561</v>
      </c>
      <c r="E1470" s="138">
        <f>IFERROR(__xludf.DUMMYFUNCTION("""COMPUTED_VALUE"""),5.0)</f>
        <v>5</v>
      </c>
      <c r="F1470" s="138">
        <f>IFERROR(__xludf.DUMMYFUNCTION("""COMPUTED_VALUE"""),4.0)</f>
        <v>4</v>
      </c>
      <c r="G1470" s="138">
        <f>IFERROR(__xludf.DUMMYFUNCTION("""COMPUTED_VALUE"""),5.0)</f>
        <v>5</v>
      </c>
      <c r="H1470" s="138">
        <f>IFERROR(__xludf.DUMMYFUNCTION("""COMPUTED_VALUE"""),4.0)</f>
        <v>4</v>
      </c>
      <c r="I1470" s="138">
        <f>IFERROR(__xludf.DUMMYFUNCTION("""COMPUTED_VALUE"""),3.0)</f>
        <v>3</v>
      </c>
      <c r="J1470" s="138">
        <f>IFERROR(__xludf.DUMMYFUNCTION("""COMPUTED_VALUE"""),3.0)</f>
        <v>3</v>
      </c>
      <c r="K1470" s="138">
        <f>IFERROR(__xludf.DUMMYFUNCTION("""COMPUTED_VALUE"""),5.0)</f>
        <v>5</v>
      </c>
      <c r="L1470" s="138">
        <v>29.0</v>
      </c>
      <c r="M1470" s="140" t="str">
        <f>VLOOKUP(text(D1470, "#"),'Master Table'!$A:$F, 6, FALSE)</f>
        <v>I-3</v>
      </c>
      <c r="N1470" s="141" t="str">
        <f>IFERROR(__xludf.DUMMYFUNCTION("""COMPUTED_VALUE"""),"Great presentation of the research")</f>
        <v>Great presentation of the research</v>
      </c>
      <c r="O1470" s="142" t="str">
        <f t="shared" si="1"/>
        <v/>
      </c>
      <c r="P1470" s="143" t="str">
        <f>IF(ISNA(VLOOKUP(CONCAT(M1470,C1470), 'Judge Count DO NOT EDIT'!H:H, 1, FALSE)), "ERROR","")</f>
        <v/>
      </c>
      <c r="Q1470" s="141"/>
      <c r="R1470" s="143"/>
      <c r="S1470" s="139" t="str">
        <f t="shared" si="2"/>
        <v>1082561</v>
      </c>
      <c r="T1470" s="141"/>
    </row>
    <row r="1471">
      <c r="A1471" s="137">
        <f>IFERROR(__xludf.DUMMYFUNCTION("""COMPUTED_VALUE"""),45352.653569131944)</f>
        <v>45352.65357</v>
      </c>
      <c r="B1471" s="138" t="str">
        <f>IFERROR(__xludf.DUMMYFUNCTION("""COMPUTED_VALUE"""),"Carrie House")</f>
        <v>Carrie House</v>
      </c>
      <c r="C1471" s="138">
        <f>IFERROR(__xludf.DUMMYFUNCTION("""COMPUTED_VALUE"""),1137.0)</f>
        <v>1137</v>
      </c>
      <c r="D1471" s="139">
        <f>IFERROR(__xludf.DUMMYFUNCTION("""COMPUTED_VALUE"""),561.0)</f>
        <v>561</v>
      </c>
      <c r="E1471" s="138">
        <f>IFERROR(__xludf.DUMMYFUNCTION("""COMPUTED_VALUE"""),4.0)</f>
        <v>4</v>
      </c>
      <c r="F1471" s="138">
        <f>IFERROR(__xludf.DUMMYFUNCTION("""COMPUTED_VALUE"""),4.0)</f>
        <v>4</v>
      </c>
      <c r="G1471" s="138">
        <f>IFERROR(__xludf.DUMMYFUNCTION("""COMPUTED_VALUE"""),4.0)</f>
        <v>4</v>
      </c>
      <c r="H1471" s="138">
        <f>IFERROR(__xludf.DUMMYFUNCTION("""COMPUTED_VALUE"""),4.0)</f>
        <v>4</v>
      </c>
      <c r="I1471" s="138">
        <f>IFERROR(__xludf.DUMMYFUNCTION("""COMPUTED_VALUE"""),5.0)</f>
        <v>5</v>
      </c>
      <c r="J1471" s="138">
        <f>IFERROR(__xludf.DUMMYFUNCTION("""COMPUTED_VALUE"""),3.0)</f>
        <v>3</v>
      </c>
      <c r="K1471" s="138">
        <f>IFERROR(__xludf.DUMMYFUNCTION("""COMPUTED_VALUE"""),4.0)</f>
        <v>4</v>
      </c>
      <c r="L1471" s="138">
        <v>28.0</v>
      </c>
      <c r="M1471" s="140" t="str">
        <f>VLOOKUP(text(D1471, "#"),'Master Table'!$A:$F, 6, FALSE)</f>
        <v>I-3</v>
      </c>
      <c r="N1471" s="141"/>
      <c r="O1471" s="142" t="str">
        <f t="shared" si="1"/>
        <v/>
      </c>
      <c r="P1471" s="143" t="str">
        <f>IF(ISNA(VLOOKUP(CONCAT(M1471,C1471), 'Judge Count DO NOT EDIT'!H:H, 1, FALSE)), "ERROR","")</f>
        <v/>
      </c>
      <c r="Q1471" s="141"/>
      <c r="R1471" s="143"/>
      <c r="S1471" s="139" t="str">
        <f t="shared" si="2"/>
        <v>1137561</v>
      </c>
      <c r="T1471" s="141"/>
    </row>
    <row r="1472">
      <c r="A1472" s="137">
        <f>IFERROR(__xludf.DUMMYFUNCTION("""COMPUTED_VALUE"""),45352.66467810185)</f>
        <v>45352.66468</v>
      </c>
      <c r="B1472" s="138" t="str">
        <f>IFERROR(__xludf.DUMMYFUNCTION("""COMPUTED_VALUE"""),"Cripps")</f>
        <v>Cripps</v>
      </c>
      <c r="C1472" s="138">
        <f>IFERROR(__xludf.DUMMYFUNCTION("""COMPUTED_VALUE"""),1069.0)</f>
        <v>1069</v>
      </c>
      <c r="D1472" s="139">
        <f>IFERROR(__xludf.DUMMYFUNCTION("""COMPUTED_VALUE"""),561.0)</f>
        <v>561</v>
      </c>
      <c r="E1472" s="138">
        <f>IFERROR(__xludf.DUMMYFUNCTION("""COMPUTED_VALUE"""),3.0)</f>
        <v>3</v>
      </c>
      <c r="F1472" s="138">
        <f>IFERROR(__xludf.DUMMYFUNCTION("""COMPUTED_VALUE"""),4.0)</f>
        <v>4</v>
      </c>
      <c r="G1472" s="138">
        <f>IFERROR(__xludf.DUMMYFUNCTION("""COMPUTED_VALUE"""),4.0)</f>
        <v>4</v>
      </c>
      <c r="H1472" s="138">
        <f>IFERROR(__xludf.DUMMYFUNCTION("""COMPUTED_VALUE"""),3.0)</f>
        <v>3</v>
      </c>
      <c r="I1472" s="138">
        <f>IFERROR(__xludf.DUMMYFUNCTION("""COMPUTED_VALUE"""),3.0)</f>
        <v>3</v>
      </c>
      <c r="J1472" s="138">
        <f>IFERROR(__xludf.DUMMYFUNCTION("""COMPUTED_VALUE"""),2.0)</f>
        <v>2</v>
      </c>
      <c r="K1472" s="138">
        <f>IFERROR(__xludf.DUMMYFUNCTION("""COMPUTED_VALUE"""),3.0)</f>
        <v>3</v>
      </c>
      <c r="L1472" s="138">
        <v>22.0</v>
      </c>
      <c r="M1472" s="140" t="str">
        <f>VLOOKUP(text(D1472, "#"),'Master Table'!$A:$F, 6, FALSE)</f>
        <v>I-3</v>
      </c>
      <c r="N1472" s="141"/>
      <c r="O1472" s="142" t="str">
        <f t="shared" si="1"/>
        <v/>
      </c>
      <c r="P1472" s="143" t="str">
        <f>IF(ISNA(VLOOKUP(CONCAT(M1472,C1472), 'Judge Count DO NOT EDIT'!H:H, 1, FALSE)), "ERROR","")</f>
        <v/>
      </c>
      <c r="Q1472" s="141"/>
      <c r="R1472" s="143"/>
      <c r="S1472" s="139" t="str">
        <f t="shared" si="2"/>
        <v>1069561</v>
      </c>
      <c r="T1472" s="141"/>
    </row>
    <row r="1473">
      <c r="A1473" s="137">
        <f>IFERROR(__xludf.DUMMYFUNCTION("""COMPUTED_VALUE"""),45352.703206921295)</f>
        <v>45352.70321</v>
      </c>
      <c r="B1473" s="138" t="str">
        <f>IFERROR(__xludf.DUMMYFUNCTION("""COMPUTED_VALUE"""),"Barbara Bailey")</f>
        <v>Barbara Bailey</v>
      </c>
      <c r="C1473" s="138">
        <f>IFERROR(__xludf.DUMMYFUNCTION("""COMPUTED_VALUE"""),1230.0)</f>
        <v>1230</v>
      </c>
      <c r="D1473" s="139">
        <f>IFERROR(__xludf.DUMMYFUNCTION("""COMPUTED_VALUE"""),561.0)</f>
        <v>561</v>
      </c>
      <c r="E1473" s="138">
        <f>IFERROR(__xludf.DUMMYFUNCTION("""COMPUTED_VALUE"""),4.0)</f>
        <v>4</v>
      </c>
      <c r="F1473" s="138">
        <f>IFERROR(__xludf.DUMMYFUNCTION("""COMPUTED_VALUE"""),4.0)</f>
        <v>4</v>
      </c>
      <c r="G1473" s="138">
        <f>IFERROR(__xludf.DUMMYFUNCTION("""COMPUTED_VALUE"""),4.0)</f>
        <v>4</v>
      </c>
      <c r="H1473" s="138">
        <f>IFERROR(__xludf.DUMMYFUNCTION("""COMPUTED_VALUE"""),4.0)</f>
        <v>4</v>
      </c>
      <c r="I1473" s="138">
        <f>IFERROR(__xludf.DUMMYFUNCTION("""COMPUTED_VALUE"""),3.0)</f>
        <v>3</v>
      </c>
      <c r="J1473" s="138">
        <f>IFERROR(__xludf.DUMMYFUNCTION("""COMPUTED_VALUE"""),4.0)</f>
        <v>4</v>
      </c>
      <c r="K1473" s="138">
        <f>IFERROR(__xludf.DUMMYFUNCTION("""COMPUTED_VALUE"""),4.0)</f>
        <v>4</v>
      </c>
      <c r="L1473" s="138">
        <v>27.0</v>
      </c>
      <c r="M1473" s="140" t="str">
        <f>VLOOKUP(text(D1473, "#"),'Master Table'!$A:$F, 6, FALSE)</f>
        <v>I-3</v>
      </c>
      <c r="N1473" s="141" t="str">
        <f>IFERROR(__xludf.DUMMYFUNCTION("""COMPUTED_VALUE"""),"Nice enthusiastic presentation. Need to slow down your presentation a little. ")</f>
        <v>Nice enthusiastic presentation. Need to slow down your presentation a little. </v>
      </c>
      <c r="O1473" s="142" t="str">
        <f t="shared" si="1"/>
        <v/>
      </c>
      <c r="P1473" s="143" t="str">
        <f>IF(ISNA(VLOOKUP(CONCAT(M1473,C1473), 'Judge Count DO NOT EDIT'!H:H, 1, FALSE)), "ERROR","")</f>
        <v/>
      </c>
      <c r="Q1473" s="141"/>
      <c r="R1473" s="143"/>
      <c r="S1473" s="139" t="str">
        <f t="shared" si="2"/>
        <v>1230561</v>
      </c>
      <c r="T1473" s="141"/>
    </row>
    <row r="1474">
      <c r="A1474" s="137">
        <f>IFERROR(__xludf.DUMMYFUNCTION("""COMPUTED_VALUE"""),45352.65312885417)</f>
        <v>45352.65313</v>
      </c>
      <c r="B1474" s="138" t="str">
        <f>IFERROR(__xludf.DUMMYFUNCTION("""COMPUTED_VALUE"""),"Nowshin Nawar ")</f>
        <v>Nowshin Nawar </v>
      </c>
      <c r="C1474" s="138">
        <f>IFERROR(__xludf.DUMMYFUNCTION("""COMPUTED_VALUE"""),1082.0)</f>
        <v>1082</v>
      </c>
      <c r="D1474" s="139">
        <f>IFERROR(__xludf.DUMMYFUNCTION("""COMPUTED_VALUE"""),562.0)</f>
        <v>562</v>
      </c>
      <c r="E1474" s="138">
        <f>IFERROR(__xludf.DUMMYFUNCTION("""COMPUTED_VALUE"""),4.0)</f>
        <v>4</v>
      </c>
      <c r="F1474" s="138">
        <f>IFERROR(__xludf.DUMMYFUNCTION("""COMPUTED_VALUE"""),5.0)</f>
        <v>5</v>
      </c>
      <c r="G1474" s="138">
        <f>IFERROR(__xludf.DUMMYFUNCTION("""COMPUTED_VALUE"""),4.0)</f>
        <v>4</v>
      </c>
      <c r="H1474" s="138">
        <f>IFERROR(__xludf.DUMMYFUNCTION("""COMPUTED_VALUE"""),4.0)</f>
        <v>4</v>
      </c>
      <c r="I1474" s="138">
        <f>IFERROR(__xludf.DUMMYFUNCTION("""COMPUTED_VALUE"""),3.0)</f>
        <v>3</v>
      </c>
      <c r="J1474" s="138">
        <f>IFERROR(__xludf.DUMMYFUNCTION("""COMPUTED_VALUE"""),4.0)</f>
        <v>4</v>
      </c>
      <c r="K1474" s="138">
        <f>IFERROR(__xludf.DUMMYFUNCTION("""COMPUTED_VALUE"""),3.0)</f>
        <v>3</v>
      </c>
      <c r="L1474" s="138">
        <v>27.0</v>
      </c>
      <c r="M1474" s="140" t="str">
        <f>VLOOKUP(text(D1474, "#"),'Master Table'!$A:$F, 6, FALSE)</f>
        <v>I-3</v>
      </c>
      <c r="N1474" s="141"/>
      <c r="O1474" s="142" t="str">
        <f t="shared" si="1"/>
        <v/>
      </c>
      <c r="P1474" s="143" t="str">
        <f>IF(ISNA(VLOOKUP(CONCAT(M1474,C1474), 'Judge Count DO NOT EDIT'!H:H, 1, FALSE)), "ERROR","")</f>
        <v/>
      </c>
      <c r="Q1474" s="141"/>
      <c r="R1474" s="143"/>
      <c r="S1474" s="139" t="str">
        <f t="shared" si="2"/>
        <v>1082562</v>
      </c>
      <c r="T1474" s="141"/>
    </row>
    <row r="1475">
      <c r="A1475" s="137">
        <f>IFERROR(__xludf.DUMMYFUNCTION("""COMPUTED_VALUE"""),45352.674395462964)</f>
        <v>45352.6744</v>
      </c>
      <c r="B1475" s="138" t="str">
        <f>IFERROR(__xludf.DUMMYFUNCTION("""COMPUTED_VALUE"""),"Cripps")</f>
        <v>Cripps</v>
      </c>
      <c r="C1475" s="138">
        <f>IFERROR(__xludf.DUMMYFUNCTION("""COMPUTED_VALUE"""),1069.0)</f>
        <v>1069</v>
      </c>
      <c r="D1475" s="139">
        <f>IFERROR(__xludf.DUMMYFUNCTION("""COMPUTED_VALUE"""),562.0)</f>
        <v>562</v>
      </c>
      <c r="E1475" s="138">
        <f>IFERROR(__xludf.DUMMYFUNCTION("""COMPUTED_VALUE"""),4.0)</f>
        <v>4</v>
      </c>
      <c r="F1475" s="138">
        <f>IFERROR(__xludf.DUMMYFUNCTION("""COMPUTED_VALUE"""),4.0)</f>
        <v>4</v>
      </c>
      <c r="G1475" s="138">
        <f>IFERROR(__xludf.DUMMYFUNCTION("""COMPUTED_VALUE"""),3.0)</f>
        <v>3</v>
      </c>
      <c r="H1475" s="138">
        <f>IFERROR(__xludf.DUMMYFUNCTION("""COMPUTED_VALUE"""),4.0)</f>
        <v>4</v>
      </c>
      <c r="I1475" s="138">
        <f>IFERROR(__xludf.DUMMYFUNCTION("""COMPUTED_VALUE"""),4.0)</f>
        <v>4</v>
      </c>
      <c r="J1475" s="138">
        <f>IFERROR(__xludf.DUMMYFUNCTION("""COMPUTED_VALUE"""),5.0)</f>
        <v>5</v>
      </c>
      <c r="K1475" s="138">
        <f>IFERROR(__xludf.DUMMYFUNCTION("""COMPUTED_VALUE"""),4.0)</f>
        <v>4</v>
      </c>
      <c r="L1475" s="138">
        <v>28.0</v>
      </c>
      <c r="M1475" s="140" t="str">
        <f>VLOOKUP(text(D1475, "#"),'Master Table'!$A:$F, 6, FALSE)</f>
        <v>I-3</v>
      </c>
      <c r="N1475" s="141"/>
      <c r="O1475" s="142" t="str">
        <f t="shared" si="1"/>
        <v/>
      </c>
      <c r="P1475" s="143" t="str">
        <f>IF(ISNA(VLOOKUP(CONCAT(M1475,C1475), 'Judge Count DO NOT EDIT'!H:H, 1, FALSE)), "ERROR","")</f>
        <v/>
      </c>
      <c r="Q1475" s="141"/>
      <c r="R1475" s="143"/>
      <c r="S1475" s="139" t="str">
        <f t="shared" si="2"/>
        <v>1069562</v>
      </c>
      <c r="T1475" s="141"/>
    </row>
    <row r="1476">
      <c r="A1476" s="137">
        <f>IFERROR(__xludf.DUMMYFUNCTION("""COMPUTED_VALUE"""),45352.70630592592)</f>
        <v>45352.70631</v>
      </c>
      <c r="B1476" s="138" t="str">
        <f>IFERROR(__xludf.DUMMYFUNCTION("""COMPUTED_VALUE"""),"Barbara Bailey")</f>
        <v>Barbara Bailey</v>
      </c>
      <c r="C1476" s="138">
        <f>IFERROR(__xludf.DUMMYFUNCTION("""COMPUTED_VALUE"""),1230.0)</f>
        <v>1230</v>
      </c>
      <c r="D1476" s="139">
        <f>IFERROR(__xludf.DUMMYFUNCTION("""COMPUTED_VALUE"""),562.0)</f>
        <v>562</v>
      </c>
      <c r="E1476" s="138">
        <f>IFERROR(__xludf.DUMMYFUNCTION("""COMPUTED_VALUE"""),4.0)</f>
        <v>4</v>
      </c>
      <c r="F1476" s="138">
        <f>IFERROR(__xludf.DUMMYFUNCTION("""COMPUTED_VALUE"""),4.0)</f>
        <v>4</v>
      </c>
      <c r="G1476" s="138">
        <f>IFERROR(__xludf.DUMMYFUNCTION("""COMPUTED_VALUE"""),4.0)</f>
        <v>4</v>
      </c>
      <c r="H1476" s="138">
        <f>IFERROR(__xludf.DUMMYFUNCTION("""COMPUTED_VALUE"""),4.0)</f>
        <v>4</v>
      </c>
      <c r="I1476" s="138">
        <f>IFERROR(__xludf.DUMMYFUNCTION("""COMPUTED_VALUE"""),3.0)</f>
        <v>3</v>
      </c>
      <c r="J1476" s="138">
        <f>IFERROR(__xludf.DUMMYFUNCTION("""COMPUTED_VALUE"""),4.0)</f>
        <v>4</v>
      </c>
      <c r="K1476" s="138">
        <f>IFERROR(__xludf.DUMMYFUNCTION("""COMPUTED_VALUE"""),4.0)</f>
        <v>4</v>
      </c>
      <c r="L1476" s="138">
        <v>27.0</v>
      </c>
      <c r="M1476" s="140" t="str">
        <f>VLOOKUP(text(D1476, "#"),'Master Table'!$A:$F, 6, FALSE)</f>
        <v>I-3</v>
      </c>
      <c r="N1476" s="141" t="str">
        <f>IFERROR(__xludf.DUMMYFUNCTION("""COMPUTED_VALUE"""),"Nice enthusiastic presentation. Be prepared to answer questions about the models in a little more depth. ")</f>
        <v>Nice enthusiastic presentation. Be prepared to answer questions about the models in a little more depth. </v>
      </c>
      <c r="O1476" s="142" t="str">
        <f t="shared" si="1"/>
        <v/>
      </c>
      <c r="P1476" s="143" t="str">
        <f>IF(ISNA(VLOOKUP(CONCAT(M1476,C1476), 'Judge Count DO NOT EDIT'!H:H, 1, FALSE)), "ERROR","")</f>
        <v/>
      </c>
      <c r="Q1476" s="141"/>
      <c r="R1476" s="143"/>
      <c r="S1476" s="139" t="str">
        <f t="shared" si="2"/>
        <v>1230562</v>
      </c>
      <c r="T1476" s="141"/>
    </row>
    <row r="1477">
      <c r="A1477" s="137">
        <f>IFERROR(__xludf.DUMMYFUNCTION("""COMPUTED_VALUE"""),45352.677490208334)</f>
        <v>45352.67749</v>
      </c>
      <c r="B1477" s="138" t="str">
        <f>IFERROR(__xludf.DUMMYFUNCTION("""COMPUTED_VALUE"""),"Cripps")</f>
        <v>Cripps</v>
      </c>
      <c r="C1477" s="138">
        <f>IFERROR(__xludf.DUMMYFUNCTION("""COMPUTED_VALUE"""),1069.0)</f>
        <v>1069</v>
      </c>
      <c r="D1477" s="139">
        <f>IFERROR(__xludf.DUMMYFUNCTION("""COMPUTED_VALUE"""),563.0)</f>
        <v>563</v>
      </c>
      <c r="E1477" s="138">
        <f>IFERROR(__xludf.DUMMYFUNCTION("""COMPUTED_VALUE"""),5.0)</f>
        <v>5</v>
      </c>
      <c r="F1477" s="138">
        <f>IFERROR(__xludf.DUMMYFUNCTION("""COMPUTED_VALUE"""),4.0)</f>
        <v>4</v>
      </c>
      <c r="G1477" s="138">
        <f>IFERROR(__xludf.DUMMYFUNCTION("""COMPUTED_VALUE"""),4.0)</f>
        <v>4</v>
      </c>
      <c r="H1477" s="138">
        <f>IFERROR(__xludf.DUMMYFUNCTION("""COMPUTED_VALUE"""),4.0)</f>
        <v>4</v>
      </c>
      <c r="I1477" s="138">
        <f>IFERROR(__xludf.DUMMYFUNCTION("""COMPUTED_VALUE"""),4.0)</f>
        <v>4</v>
      </c>
      <c r="J1477" s="138">
        <f>IFERROR(__xludf.DUMMYFUNCTION("""COMPUTED_VALUE"""),4.0)</f>
        <v>4</v>
      </c>
      <c r="K1477" s="138">
        <f>IFERROR(__xludf.DUMMYFUNCTION("""COMPUTED_VALUE"""),4.0)</f>
        <v>4</v>
      </c>
      <c r="L1477" s="138">
        <v>29.0</v>
      </c>
      <c r="M1477" s="140" t="str">
        <f>VLOOKUP(text(D1477, "#"),'Master Table'!$A:$F, 6, FALSE)</f>
        <v>I-3</v>
      </c>
      <c r="N1477" s="141"/>
      <c r="O1477" s="142" t="str">
        <f t="shared" si="1"/>
        <v/>
      </c>
      <c r="P1477" s="143" t="str">
        <f>IF(ISNA(VLOOKUP(CONCAT(M1477,C1477), 'Judge Count DO NOT EDIT'!H:H, 1, FALSE)), "ERROR","")</f>
        <v/>
      </c>
      <c r="Q1477" s="141"/>
      <c r="R1477" s="143"/>
      <c r="S1477" s="139" t="str">
        <f t="shared" si="2"/>
        <v>1069563</v>
      </c>
      <c r="T1477" s="141"/>
    </row>
    <row r="1478">
      <c r="A1478" s="137">
        <f>IFERROR(__xludf.DUMMYFUNCTION("""COMPUTED_VALUE"""),45352.68933042824)</f>
        <v>45352.68933</v>
      </c>
      <c r="B1478" s="138" t="str">
        <f>IFERROR(__xludf.DUMMYFUNCTION("""COMPUTED_VALUE"""),"Barbara Bailey")</f>
        <v>Barbara Bailey</v>
      </c>
      <c r="C1478" s="138">
        <f>IFERROR(__xludf.DUMMYFUNCTION("""COMPUTED_VALUE"""),1230.0)</f>
        <v>1230</v>
      </c>
      <c r="D1478" s="139">
        <f>IFERROR(__xludf.DUMMYFUNCTION("""COMPUTED_VALUE"""),563.0)</f>
        <v>563</v>
      </c>
      <c r="E1478" s="138">
        <f>IFERROR(__xludf.DUMMYFUNCTION("""COMPUTED_VALUE"""),4.0)</f>
        <v>4</v>
      </c>
      <c r="F1478" s="138">
        <f>IFERROR(__xludf.DUMMYFUNCTION("""COMPUTED_VALUE"""),5.0)</f>
        <v>5</v>
      </c>
      <c r="G1478" s="138">
        <f>IFERROR(__xludf.DUMMYFUNCTION("""COMPUTED_VALUE"""),5.0)</f>
        <v>5</v>
      </c>
      <c r="H1478" s="138">
        <f>IFERROR(__xludf.DUMMYFUNCTION("""COMPUTED_VALUE"""),4.0)</f>
        <v>4</v>
      </c>
      <c r="I1478" s="138">
        <f>IFERROR(__xludf.DUMMYFUNCTION("""COMPUTED_VALUE"""),5.0)</f>
        <v>5</v>
      </c>
      <c r="J1478" s="138">
        <f>IFERROR(__xludf.DUMMYFUNCTION("""COMPUTED_VALUE"""),4.0)</f>
        <v>4</v>
      </c>
      <c r="K1478" s="138">
        <f>IFERROR(__xludf.DUMMYFUNCTION("""COMPUTED_VALUE"""),5.0)</f>
        <v>5</v>
      </c>
      <c r="L1478" s="138">
        <v>32.0</v>
      </c>
      <c r="M1478" s="140" t="str">
        <f>VLOOKUP(text(D1478, "#"),'Master Table'!$A:$F, 6, FALSE)</f>
        <v>I-3</v>
      </c>
      <c r="N1478" s="141" t="str">
        <f>IFERROR(__xludf.DUMMYFUNCTION("""COMPUTED_VALUE"""),"Nice enthusiastic presentation")</f>
        <v>Nice enthusiastic presentation</v>
      </c>
      <c r="O1478" s="142" t="str">
        <f t="shared" si="1"/>
        <v/>
      </c>
      <c r="P1478" s="143" t="str">
        <f>IF(ISNA(VLOOKUP(CONCAT(M1478,C1478), 'Judge Count DO NOT EDIT'!H:H, 1, FALSE)), "ERROR","")</f>
        <v/>
      </c>
      <c r="Q1478" s="141"/>
      <c r="R1478" s="143"/>
      <c r="S1478" s="139" t="str">
        <f t="shared" si="2"/>
        <v>1230563</v>
      </c>
      <c r="T1478" s="141"/>
    </row>
    <row r="1479">
      <c r="A1479" s="137">
        <f>IFERROR(__xludf.DUMMYFUNCTION("""COMPUTED_VALUE"""),45352.65223841435)</f>
        <v>45352.65224</v>
      </c>
      <c r="B1479" s="138" t="str">
        <f>IFERROR(__xludf.DUMMYFUNCTION("""COMPUTED_VALUE"""),"Carrie House")</f>
        <v>Carrie House</v>
      </c>
      <c r="C1479" s="138">
        <f>IFERROR(__xludf.DUMMYFUNCTION("""COMPUTED_VALUE"""),1137.0)</f>
        <v>1137</v>
      </c>
      <c r="D1479" s="139">
        <f>IFERROR(__xludf.DUMMYFUNCTION("""COMPUTED_VALUE"""),564.0)</f>
        <v>564</v>
      </c>
      <c r="E1479" s="138">
        <f>IFERROR(__xludf.DUMMYFUNCTION("""COMPUTED_VALUE"""),3.0)</f>
        <v>3</v>
      </c>
      <c r="F1479" s="138">
        <f>IFERROR(__xludf.DUMMYFUNCTION("""COMPUTED_VALUE"""),4.0)</f>
        <v>4</v>
      </c>
      <c r="G1479" s="138">
        <f>IFERROR(__xludf.DUMMYFUNCTION("""COMPUTED_VALUE"""),4.0)</f>
        <v>4</v>
      </c>
      <c r="H1479" s="138">
        <f>IFERROR(__xludf.DUMMYFUNCTION("""COMPUTED_VALUE"""),3.0)</f>
        <v>3</v>
      </c>
      <c r="I1479" s="138">
        <f>IFERROR(__xludf.DUMMYFUNCTION("""COMPUTED_VALUE"""),3.0)</f>
        <v>3</v>
      </c>
      <c r="J1479" s="138">
        <f>IFERROR(__xludf.DUMMYFUNCTION("""COMPUTED_VALUE"""),2.0)</f>
        <v>2</v>
      </c>
      <c r="K1479" s="138">
        <f>IFERROR(__xludf.DUMMYFUNCTION("""COMPUTED_VALUE"""),3.0)</f>
        <v>3</v>
      </c>
      <c r="L1479" s="138">
        <v>22.0</v>
      </c>
      <c r="M1479" s="140" t="str">
        <f>VLOOKUP(text(D1479, "#"),'Master Table'!$A:$F, 6, FALSE)</f>
        <v>I-3</v>
      </c>
      <c r="N1479" s="141"/>
      <c r="O1479" s="142" t="str">
        <f t="shared" si="1"/>
        <v/>
      </c>
      <c r="P1479" s="143" t="str">
        <f>IF(ISNA(VLOOKUP(CONCAT(M1479,C1479), 'Judge Count DO NOT EDIT'!H:H, 1, FALSE)), "ERROR","")</f>
        <v/>
      </c>
      <c r="Q1479" s="141"/>
      <c r="R1479" s="143"/>
      <c r="S1479" s="139" t="str">
        <f t="shared" si="2"/>
        <v>1137564</v>
      </c>
      <c r="T1479" s="141"/>
    </row>
    <row r="1480">
      <c r="A1480" s="137">
        <f>IFERROR(__xludf.DUMMYFUNCTION("""COMPUTED_VALUE"""),45352.65917571759)</f>
        <v>45352.65918</v>
      </c>
      <c r="B1480" s="138" t="str">
        <f>IFERROR(__xludf.DUMMYFUNCTION("""COMPUTED_VALUE"""),"Nowshin Nawar")</f>
        <v>Nowshin Nawar</v>
      </c>
      <c r="C1480" s="138">
        <f>IFERROR(__xludf.DUMMYFUNCTION("""COMPUTED_VALUE"""),1082.0)</f>
        <v>1082</v>
      </c>
      <c r="D1480" s="139">
        <f>IFERROR(__xludf.DUMMYFUNCTION("""COMPUTED_VALUE"""),564.0)</f>
        <v>564</v>
      </c>
      <c r="E1480" s="138">
        <f>IFERROR(__xludf.DUMMYFUNCTION("""COMPUTED_VALUE"""),5.0)</f>
        <v>5</v>
      </c>
      <c r="F1480" s="138">
        <f>IFERROR(__xludf.DUMMYFUNCTION("""COMPUTED_VALUE"""),5.0)</f>
        <v>5</v>
      </c>
      <c r="G1480" s="138">
        <f>IFERROR(__xludf.DUMMYFUNCTION("""COMPUTED_VALUE"""),4.0)</f>
        <v>4</v>
      </c>
      <c r="H1480" s="138">
        <f>IFERROR(__xludf.DUMMYFUNCTION("""COMPUTED_VALUE"""),4.0)</f>
        <v>4</v>
      </c>
      <c r="I1480" s="138">
        <f>IFERROR(__xludf.DUMMYFUNCTION("""COMPUTED_VALUE"""),4.0)</f>
        <v>4</v>
      </c>
      <c r="J1480" s="138">
        <f>IFERROR(__xludf.DUMMYFUNCTION("""COMPUTED_VALUE"""),4.0)</f>
        <v>4</v>
      </c>
      <c r="K1480" s="138">
        <f>IFERROR(__xludf.DUMMYFUNCTION("""COMPUTED_VALUE"""),3.0)</f>
        <v>3</v>
      </c>
      <c r="L1480" s="138">
        <v>29.0</v>
      </c>
      <c r="M1480" s="140" t="str">
        <f>VLOOKUP(text(D1480, "#"),'Master Table'!$A:$F, 6, FALSE)</f>
        <v>I-3</v>
      </c>
      <c r="N1480" s="141"/>
      <c r="O1480" s="142" t="str">
        <f t="shared" si="1"/>
        <v/>
      </c>
      <c r="P1480" s="143" t="str">
        <f>IF(ISNA(VLOOKUP(CONCAT(M1480,C1480), 'Judge Count DO NOT EDIT'!H:H, 1, FALSE)), "ERROR","")</f>
        <v/>
      </c>
      <c r="Q1480" s="141"/>
      <c r="R1480" s="143"/>
      <c r="S1480" s="139" t="str">
        <f t="shared" si="2"/>
        <v>1082564</v>
      </c>
      <c r="T1480" s="141"/>
    </row>
    <row r="1481">
      <c r="A1481" s="137">
        <f>IFERROR(__xludf.DUMMYFUNCTION("""COMPUTED_VALUE"""),45352.670352789355)</f>
        <v>45352.67035</v>
      </c>
      <c r="B1481" s="138" t="str">
        <f>IFERROR(__xludf.DUMMYFUNCTION("""COMPUTED_VALUE"""),"Cripps")</f>
        <v>Cripps</v>
      </c>
      <c r="C1481" s="138">
        <f>IFERROR(__xludf.DUMMYFUNCTION("""COMPUTED_VALUE"""),1069.0)</f>
        <v>1069</v>
      </c>
      <c r="D1481" s="139">
        <f>IFERROR(__xludf.DUMMYFUNCTION("""COMPUTED_VALUE"""),564.0)</f>
        <v>564</v>
      </c>
      <c r="E1481" s="138">
        <f>IFERROR(__xludf.DUMMYFUNCTION("""COMPUTED_VALUE"""),3.0)</f>
        <v>3</v>
      </c>
      <c r="F1481" s="138">
        <f>IFERROR(__xludf.DUMMYFUNCTION("""COMPUTED_VALUE"""),3.0)</f>
        <v>3</v>
      </c>
      <c r="G1481" s="138">
        <f>IFERROR(__xludf.DUMMYFUNCTION("""COMPUTED_VALUE"""),4.0)</f>
        <v>4</v>
      </c>
      <c r="H1481" s="138">
        <f>IFERROR(__xludf.DUMMYFUNCTION("""COMPUTED_VALUE"""),3.0)</f>
        <v>3</v>
      </c>
      <c r="I1481" s="138">
        <f>IFERROR(__xludf.DUMMYFUNCTION("""COMPUTED_VALUE"""),3.0)</f>
        <v>3</v>
      </c>
      <c r="J1481" s="138">
        <f>IFERROR(__xludf.DUMMYFUNCTION("""COMPUTED_VALUE"""),3.0)</f>
        <v>3</v>
      </c>
      <c r="K1481" s="138">
        <f>IFERROR(__xludf.DUMMYFUNCTION("""COMPUTED_VALUE"""),3.0)</f>
        <v>3</v>
      </c>
      <c r="L1481" s="138">
        <v>22.0</v>
      </c>
      <c r="M1481" s="140" t="str">
        <f>VLOOKUP(text(D1481, "#"),'Master Table'!$A:$F, 6, FALSE)</f>
        <v>I-3</v>
      </c>
      <c r="N1481" s="141"/>
      <c r="O1481" s="142" t="str">
        <f t="shared" si="1"/>
        <v/>
      </c>
      <c r="P1481" s="143" t="str">
        <f>IF(ISNA(VLOOKUP(CONCAT(M1481,C1481), 'Judge Count DO NOT EDIT'!H:H, 1, FALSE)), "ERROR","")</f>
        <v/>
      </c>
      <c r="Q1481" s="141"/>
      <c r="R1481" s="143"/>
      <c r="S1481" s="139" t="str">
        <f t="shared" si="2"/>
        <v>1069564</v>
      </c>
      <c r="T1481" s="141"/>
    </row>
    <row r="1482">
      <c r="A1482" s="137">
        <f>IFERROR(__xludf.DUMMYFUNCTION("""COMPUTED_VALUE"""),45352.70897501157)</f>
        <v>45352.70898</v>
      </c>
      <c r="B1482" s="138" t="str">
        <f>IFERROR(__xludf.DUMMYFUNCTION("""COMPUTED_VALUE"""),"Barbara Bailey")</f>
        <v>Barbara Bailey</v>
      </c>
      <c r="C1482" s="138">
        <f>IFERROR(__xludf.DUMMYFUNCTION("""COMPUTED_VALUE"""),1230.0)</f>
        <v>1230</v>
      </c>
      <c r="D1482" s="139">
        <f>IFERROR(__xludf.DUMMYFUNCTION("""COMPUTED_VALUE"""),564.0)</f>
        <v>564</v>
      </c>
      <c r="E1482" s="138">
        <f>IFERROR(__xludf.DUMMYFUNCTION("""COMPUTED_VALUE"""),4.0)</f>
        <v>4</v>
      </c>
      <c r="F1482" s="138">
        <f>IFERROR(__xludf.DUMMYFUNCTION("""COMPUTED_VALUE"""),4.0)</f>
        <v>4</v>
      </c>
      <c r="G1482" s="138">
        <f>IFERROR(__xludf.DUMMYFUNCTION("""COMPUTED_VALUE"""),4.0)</f>
        <v>4</v>
      </c>
      <c r="H1482" s="138">
        <f>IFERROR(__xludf.DUMMYFUNCTION("""COMPUTED_VALUE"""),4.0)</f>
        <v>4</v>
      </c>
      <c r="I1482" s="138">
        <f>IFERROR(__xludf.DUMMYFUNCTION("""COMPUTED_VALUE"""),4.0)</f>
        <v>4</v>
      </c>
      <c r="J1482" s="138">
        <f>IFERROR(__xludf.DUMMYFUNCTION("""COMPUTED_VALUE"""),4.0)</f>
        <v>4</v>
      </c>
      <c r="K1482" s="138">
        <f>IFERROR(__xludf.DUMMYFUNCTION("""COMPUTED_VALUE"""),3.0)</f>
        <v>3</v>
      </c>
      <c r="L1482" s="138">
        <v>27.0</v>
      </c>
      <c r="M1482" s="140" t="str">
        <f>VLOOKUP(text(D1482, "#"),'Master Table'!$A:$F, 6, FALSE)</f>
        <v>I-3</v>
      </c>
      <c r="N1482" s="141" t="str">
        <f>IFERROR(__xludf.DUMMYFUNCTION("""COMPUTED_VALUE"""),"Nice presentation. Don't be shy about answering questions about the how the placental data is collected. ")</f>
        <v>Nice presentation. Don't be shy about answering questions about the how the placental data is collected. </v>
      </c>
      <c r="O1482" s="142" t="str">
        <f t="shared" si="1"/>
        <v/>
      </c>
      <c r="P1482" s="143" t="str">
        <f>IF(ISNA(VLOOKUP(CONCAT(M1482,C1482), 'Judge Count DO NOT EDIT'!H:H, 1, FALSE)), "ERROR","")</f>
        <v/>
      </c>
      <c r="Q1482" s="141"/>
      <c r="R1482" s="143"/>
      <c r="S1482" s="139" t="str">
        <f t="shared" si="2"/>
        <v>1230564</v>
      </c>
      <c r="T1482" s="141"/>
    </row>
    <row r="1483">
      <c r="A1483" s="137">
        <f>IFERROR(__xludf.DUMMYFUNCTION("""COMPUTED_VALUE"""),45352.689833321754)</f>
        <v>45352.68983</v>
      </c>
      <c r="B1483" s="138" t="str">
        <f>IFERROR(__xludf.DUMMYFUNCTION("""COMPUTED_VALUE"""),"Lisa Lamb")</f>
        <v>Lisa Lamb</v>
      </c>
      <c r="C1483" s="138">
        <f>IFERROR(__xludf.DUMMYFUNCTION("""COMPUTED_VALUE"""),1064.0)</f>
        <v>1064</v>
      </c>
      <c r="D1483" s="139">
        <f>IFERROR(__xludf.DUMMYFUNCTION("""COMPUTED_VALUE"""),565.0)</f>
        <v>565</v>
      </c>
      <c r="E1483" s="138">
        <f>IFERROR(__xludf.DUMMYFUNCTION("""COMPUTED_VALUE"""),5.0)</f>
        <v>5</v>
      </c>
      <c r="F1483" s="138">
        <f>IFERROR(__xludf.DUMMYFUNCTION("""COMPUTED_VALUE"""),5.0)</f>
        <v>5</v>
      </c>
      <c r="G1483" s="138">
        <f>IFERROR(__xludf.DUMMYFUNCTION("""COMPUTED_VALUE"""),5.0)</f>
        <v>5</v>
      </c>
      <c r="H1483" s="138">
        <f>IFERROR(__xludf.DUMMYFUNCTION("""COMPUTED_VALUE"""),5.0)</f>
        <v>5</v>
      </c>
      <c r="I1483" s="138">
        <f>IFERROR(__xludf.DUMMYFUNCTION("""COMPUTED_VALUE"""),5.0)</f>
        <v>5</v>
      </c>
      <c r="J1483" s="138">
        <f>IFERROR(__xludf.DUMMYFUNCTION("""COMPUTED_VALUE"""),5.0)</f>
        <v>5</v>
      </c>
      <c r="K1483" s="138">
        <f>IFERROR(__xludf.DUMMYFUNCTION("""COMPUTED_VALUE"""),5.0)</f>
        <v>5</v>
      </c>
      <c r="L1483" s="138">
        <v>35.0</v>
      </c>
      <c r="M1483" s="140" t="str">
        <f>VLOOKUP(text(D1483, "#"),'Master Table'!$A:$F, 6, FALSE)</f>
        <v>I-4</v>
      </c>
      <c r="N1483" s="141" t="str">
        <f>IFERROR(__xludf.DUMMYFUNCTION("""COMPUTED_VALUE"""),"Incredibly thoughtful, great choice of photos to represent their experiences, well designed. Wonderful!!!")</f>
        <v>Incredibly thoughtful, great choice of photos to represent their experiences, well designed. Wonderful!!!</v>
      </c>
      <c r="O1483" s="142" t="str">
        <f t="shared" si="1"/>
        <v/>
      </c>
      <c r="P1483" s="143" t="str">
        <f>IF(ISNA(VLOOKUP(CONCAT(M1483,C1483), 'Judge Count DO NOT EDIT'!H:H, 1, FALSE)), "ERROR","")</f>
        <v/>
      </c>
      <c r="Q1483" s="141"/>
      <c r="R1483" s="143"/>
      <c r="S1483" s="139" t="str">
        <f t="shared" si="2"/>
        <v>1064565</v>
      </c>
      <c r="T1483" s="141"/>
    </row>
    <row r="1484">
      <c r="A1484" s="137">
        <f>IFERROR(__xludf.DUMMYFUNCTION("""COMPUTED_VALUE"""),45352.766619016205)</f>
        <v>45352.76662</v>
      </c>
      <c r="B1484" s="138" t="str">
        <f>IFERROR(__xludf.DUMMYFUNCTION("""COMPUTED_VALUE"""),"Katya Hernandez")</f>
        <v>Katya Hernandez</v>
      </c>
      <c r="C1484" s="138">
        <f>IFERROR(__xludf.DUMMYFUNCTION("""COMPUTED_VALUE"""),1125.0)</f>
        <v>1125</v>
      </c>
      <c r="D1484" s="139">
        <f>IFERROR(__xludf.DUMMYFUNCTION("""COMPUTED_VALUE"""),565.0)</f>
        <v>565</v>
      </c>
      <c r="E1484" s="138">
        <f>IFERROR(__xludf.DUMMYFUNCTION("""COMPUTED_VALUE"""),5.0)</f>
        <v>5</v>
      </c>
      <c r="F1484" s="138">
        <f>IFERROR(__xludf.DUMMYFUNCTION("""COMPUTED_VALUE"""),5.0)</f>
        <v>5</v>
      </c>
      <c r="G1484" s="138">
        <f>IFERROR(__xludf.DUMMYFUNCTION("""COMPUTED_VALUE"""),5.0)</f>
        <v>5</v>
      </c>
      <c r="H1484" s="138">
        <f>IFERROR(__xludf.DUMMYFUNCTION("""COMPUTED_VALUE"""),3.0)</f>
        <v>3</v>
      </c>
      <c r="I1484" s="138">
        <f>IFERROR(__xludf.DUMMYFUNCTION("""COMPUTED_VALUE"""),5.0)</f>
        <v>5</v>
      </c>
      <c r="J1484" s="138">
        <f>IFERROR(__xludf.DUMMYFUNCTION("""COMPUTED_VALUE"""),5.0)</f>
        <v>5</v>
      </c>
      <c r="K1484" s="138">
        <f>IFERROR(__xludf.DUMMYFUNCTION("""COMPUTED_VALUE"""),5.0)</f>
        <v>5</v>
      </c>
      <c r="L1484" s="138">
        <v>33.0</v>
      </c>
      <c r="M1484" s="140" t="str">
        <f>VLOOKUP(text(D1484, "#"),'Master Table'!$A:$F, 6, FALSE)</f>
        <v>I-4</v>
      </c>
      <c r="N1484" s="141" t="str">
        <f>IFERROR(__xludf.DUMMYFUNCTION("""COMPUTED_VALUE"""),"Thank you for sharing your stories, I believe that narrative storytelling is very important.
I’m wondering what types of setbacks or criticisms you’ve received. 
Unfortunately, I was unable to speak with you for too long today. 
Would love to see you at t"&amp;"he SACNAS conference in Phoenix this year!
Keep telling your stories and sharing your ideas. 
You are both very good public speakers. I didn’t have any feedback on the way you handle conversation. I’m impressed that you’ve just finished your first semest"&amp;"er! Keep grabbing all the opportunities you can. 
I think the only suggestion for improvement I have is that you include some more qualitative analysis to inform your conclusions. 
I really enjoyed the photovoice autoethnography and believe decolonial me"&amp;"thodologies are important. Keep boosting transfronterize voices. 
However, leaving out analysis can make it easier for people to undermine your idea or treat it as more of an art exhibit rather than a research project.")</f>
        <v>Thank you for sharing your stories, I believe that narrative storytelling is very important.
I’m wondering what types of setbacks or criticisms you’ve received. 
Unfortunately, I was unable to speak with you for too long today. 
Would love to see you at the SACNAS conference in Phoenix this year!
Keep telling your stories and sharing your ideas. 
You are both very good public speakers. I didn’t have any feedback on the way you handle conversation. I’m impressed that you’ve just finished your first semester! Keep grabbing all the opportunities you can. 
I think the only suggestion for improvement I have is that you include some more qualitative analysis to inform your conclusions. 
I really enjoyed the photovoice autoethnography and believe decolonial methodologies are important. Keep boosting transfronterize voices. 
However, leaving out analysis can make it easier for people to undermine your idea or treat it as more of an art exhibit rather than a research project.</v>
      </c>
      <c r="O1484" s="142" t="str">
        <f t="shared" si="1"/>
        <v/>
      </c>
      <c r="P1484" s="143" t="str">
        <f>IF(ISNA(VLOOKUP(CONCAT(M1484,C1484), 'Judge Count DO NOT EDIT'!H:H, 1, FALSE)), "ERROR","")</f>
        <v/>
      </c>
      <c r="Q1484" s="141"/>
      <c r="R1484" s="143"/>
      <c r="S1484" s="139" t="str">
        <f t="shared" si="2"/>
        <v>1125565</v>
      </c>
      <c r="T1484" s="141"/>
    </row>
    <row r="1485">
      <c r="A1485" s="137">
        <f>IFERROR(__xludf.DUMMYFUNCTION("""COMPUTED_VALUE"""),45352.632505173606)</f>
        <v>45352.63251</v>
      </c>
      <c r="B1485" s="138" t="str">
        <f>IFERROR(__xludf.DUMMYFUNCTION("""COMPUTED_VALUE"""),"Lisa Lamb")</f>
        <v>Lisa Lamb</v>
      </c>
      <c r="C1485" s="138">
        <f>IFERROR(__xludf.DUMMYFUNCTION("""COMPUTED_VALUE"""),1064.0)</f>
        <v>1064</v>
      </c>
      <c r="D1485" s="139">
        <f>IFERROR(__xludf.DUMMYFUNCTION("""COMPUTED_VALUE"""),566.0)</f>
        <v>566</v>
      </c>
      <c r="E1485" s="138">
        <f>IFERROR(__xludf.DUMMYFUNCTION("""COMPUTED_VALUE"""),5.0)</f>
        <v>5</v>
      </c>
      <c r="F1485" s="138">
        <f>IFERROR(__xludf.DUMMYFUNCTION("""COMPUTED_VALUE"""),5.0)</f>
        <v>5</v>
      </c>
      <c r="G1485" s="138">
        <f>IFERROR(__xludf.DUMMYFUNCTION("""COMPUTED_VALUE"""),4.0)</f>
        <v>4</v>
      </c>
      <c r="H1485" s="138">
        <f>IFERROR(__xludf.DUMMYFUNCTION("""COMPUTED_VALUE"""),5.0)</f>
        <v>5</v>
      </c>
      <c r="I1485" s="138">
        <f>IFERROR(__xludf.DUMMYFUNCTION("""COMPUTED_VALUE"""),5.0)</f>
        <v>5</v>
      </c>
      <c r="J1485" s="138">
        <f>IFERROR(__xludf.DUMMYFUNCTION("""COMPUTED_VALUE"""),5.0)</f>
        <v>5</v>
      </c>
      <c r="K1485" s="138">
        <f>IFERROR(__xludf.DUMMYFUNCTION("""COMPUTED_VALUE"""),5.0)</f>
        <v>5</v>
      </c>
      <c r="L1485" s="138">
        <v>34.0</v>
      </c>
      <c r="M1485" s="140" t="str">
        <f>VLOOKUP(text(D1485, "#"),'Master Table'!$A:$F, 6, FALSE)</f>
        <v>I-4</v>
      </c>
      <c r="N1485" s="141" t="str">
        <f>IFERROR(__xludf.DUMMYFUNCTION("""COMPUTED_VALUE"""),"Well described study. I’m curious about the results. Serbia research is in process. ")</f>
        <v>Well described study. I’m curious about the results. Serbia research is in process. </v>
      </c>
      <c r="O1485" s="142" t="str">
        <f t="shared" si="1"/>
        <v/>
      </c>
      <c r="P1485" s="143" t="str">
        <f>IF(ISNA(VLOOKUP(CONCAT(M1485,C1485), 'Judge Count DO NOT EDIT'!H:H, 1, FALSE)), "ERROR","")</f>
        <v/>
      </c>
      <c r="Q1485" s="141"/>
      <c r="R1485" s="143"/>
      <c r="S1485" s="139" t="str">
        <f t="shared" si="2"/>
        <v>1064566</v>
      </c>
      <c r="T1485" s="141"/>
    </row>
    <row r="1486">
      <c r="A1486" s="137">
        <f>IFERROR(__xludf.DUMMYFUNCTION("""COMPUTED_VALUE"""),45352.771183993056)</f>
        <v>45352.77118</v>
      </c>
      <c r="B1486" s="138" t="str">
        <f>IFERROR(__xludf.DUMMYFUNCTION("""COMPUTED_VALUE"""),"Katya Hernandez")</f>
        <v>Katya Hernandez</v>
      </c>
      <c r="C1486" s="138">
        <f>IFERROR(__xludf.DUMMYFUNCTION("""COMPUTED_VALUE"""),1125.0)</f>
        <v>1125</v>
      </c>
      <c r="D1486" s="139">
        <f>IFERROR(__xludf.DUMMYFUNCTION("""COMPUTED_VALUE"""),566.0)</f>
        <v>566</v>
      </c>
      <c r="E1486" s="138">
        <f>IFERROR(__xludf.DUMMYFUNCTION("""COMPUTED_VALUE"""),4.0)</f>
        <v>4</v>
      </c>
      <c r="F1486" s="138">
        <f>IFERROR(__xludf.DUMMYFUNCTION("""COMPUTED_VALUE"""),5.0)</f>
        <v>5</v>
      </c>
      <c r="G1486" s="138">
        <f>IFERROR(__xludf.DUMMYFUNCTION("""COMPUTED_VALUE"""),4.0)</f>
        <v>4</v>
      </c>
      <c r="H1486" s="138">
        <f>IFERROR(__xludf.DUMMYFUNCTION("""COMPUTED_VALUE"""),4.0)</f>
        <v>4</v>
      </c>
      <c r="I1486" s="138">
        <f>IFERROR(__xludf.DUMMYFUNCTION("""COMPUTED_VALUE"""),5.0)</f>
        <v>5</v>
      </c>
      <c r="J1486" s="138">
        <f>IFERROR(__xludf.DUMMYFUNCTION("""COMPUTED_VALUE"""),5.0)</f>
        <v>5</v>
      </c>
      <c r="K1486" s="138">
        <f>IFERROR(__xludf.DUMMYFUNCTION("""COMPUTED_VALUE"""),5.0)</f>
        <v>5</v>
      </c>
      <c r="L1486" s="138">
        <v>32.0</v>
      </c>
      <c r="M1486" s="140" t="str">
        <f>VLOOKUP(text(D1486, "#"),'Master Table'!$A:$F, 6, FALSE)</f>
        <v>I-4</v>
      </c>
      <c r="N1486" s="141" t="str">
        <f>IFERROR(__xludf.DUMMYFUNCTION("""COMPUTED_VALUE"""),"Thank you for a great oral accompaniment to your poster presentation. 
It is a very well delivered project and very interesting to think about. 
I understand that you were just working with the data you had available, so that's very impressive. I think th"&amp;"e project would be enriched with the audio from both teachers or with other forms of qualitative data. However, I understand your limitations. Thank you for sharing. ")</f>
        <v>Thank you for a great oral accompaniment to your poster presentation. 
It is a very well delivered project and very interesting to think about. 
I understand that you were just working with the data you had available, so that's very impressive. I think the project would be enriched with the audio from both teachers or with other forms of qualitative data. However, I understand your limitations. Thank you for sharing. </v>
      </c>
      <c r="O1486" s="142" t="str">
        <f t="shared" si="1"/>
        <v/>
      </c>
      <c r="P1486" s="143" t="str">
        <f>IF(ISNA(VLOOKUP(CONCAT(M1486,C1486), 'Judge Count DO NOT EDIT'!H:H, 1, FALSE)), "ERROR","")</f>
        <v/>
      </c>
      <c r="Q1486" s="141"/>
      <c r="R1486" s="143"/>
      <c r="S1486" s="139" t="str">
        <f t="shared" si="2"/>
        <v>1125566</v>
      </c>
      <c r="T1486" s="141"/>
    </row>
    <row r="1487">
      <c r="A1487" s="137">
        <f>IFERROR(__xludf.DUMMYFUNCTION("""COMPUTED_VALUE"""),45352.653886319444)</f>
        <v>45352.65389</v>
      </c>
      <c r="B1487" s="138" t="str">
        <f>IFERROR(__xludf.DUMMYFUNCTION("""COMPUTED_VALUE"""),"Lisa Lamb")</f>
        <v>Lisa Lamb</v>
      </c>
      <c r="C1487" s="138">
        <f>IFERROR(__xludf.DUMMYFUNCTION("""COMPUTED_VALUE"""),1064.0)</f>
        <v>1064</v>
      </c>
      <c r="D1487" s="139">
        <f>IFERROR(__xludf.DUMMYFUNCTION("""COMPUTED_VALUE"""),567.0)</f>
        <v>567</v>
      </c>
      <c r="E1487" s="138">
        <f>IFERROR(__xludf.DUMMYFUNCTION("""COMPUTED_VALUE"""),5.0)</f>
        <v>5</v>
      </c>
      <c r="F1487" s="138">
        <f>IFERROR(__xludf.DUMMYFUNCTION("""COMPUTED_VALUE"""),5.0)</f>
        <v>5</v>
      </c>
      <c r="G1487" s="138">
        <f>IFERROR(__xludf.DUMMYFUNCTION("""COMPUTED_VALUE"""),5.0)</f>
        <v>5</v>
      </c>
      <c r="H1487" s="138">
        <f>IFERROR(__xludf.DUMMYFUNCTION("""COMPUTED_VALUE"""),5.0)</f>
        <v>5</v>
      </c>
      <c r="I1487" s="138">
        <f>IFERROR(__xludf.DUMMYFUNCTION("""COMPUTED_VALUE"""),5.0)</f>
        <v>5</v>
      </c>
      <c r="J1487" s="138">
        <f>IFERROR(__xludf.DUMMYFUNCTION("""COMPUTED_VALUE"""),5.0)</f>
        <v>5</v>
      </c>
      <c r="K1487" s="138">
        <f>IFERROR(__xludf.DUMMYFUNCTION("""COMPUTED_VALUE"""),5.0)</f>
        <v>5</v>
      </c>
      <c r="L1487" s="138">
        <v>35.0</v>
      </c>
      <c r="M1487" s="140" t="str">
        <f>VLOOKUP(text(D1487, "#"),'Master Table'!$A:$F, 6, FALSE)</f>
        <v>I-4</v>
      </c>
      <c r="N1487" s="141" t="str">
        <f>IFERROR(__xludf.DUMMYFUNCTION("""COMPUTED_VALUE"""),"Impressive study with interesting findings! I deeply appreciated that the student researcher was able to explain the meaning of the odds ratios in terms of the findings. Well done!!")</f>
        <v>Impressive study with interesting findings! I deeply appreciated that the student researcher was able to explain the meaning of the odds ratios in terms of the findings. Well done!!</v>
      </c>
      <c r="O1487" s="142" t="str">
        <f t="shared" si="1"/>
        <v/>
      </c>
      <c r="P1487" s="143" t="str">
        <f>IF(ISNA(VLOOKUP(CONCAT(M1487,C1487), 'Judge Count DO NOT EDIT'!H:H, 1, FALSE)), "ERROR","")</f>
        <v/>
      </c>
      <c r="Q1487" s="141"/>
      <c r="R1487" s="143"/>
      <c r="S1487" s="139" t="str">
        <f t="shared" si="2"/>
        <v>1064567</v>
      </c>
      <c r="T1487" s="141"/>
    </row>
    <row r="1488">
      <c r="A1488" s="137">
        <f>IFERROR(__xludf.DUMMYFUNCTION("""COMPUTED_VALUE"""),45352.772548078705)</f>
        <v>45352.77255</v>
      </c>
      <c r="B1488" s="138" t="str">
        <f>IFERROR(__xludf.DUMMYFUNCTION("""COMPUTED_VALUE"""),"Katya Hernandez")</f>
        <v>Katya Hernandez</v>
      </c>
      <c r="C1488" s="138">
        <f>IFERROR(__xludf.DUMMYFUNCTION("""COMPUTED_VALUE"""),1125.0)</f>
        <v>1125</v>
      </c>
      <c r="D1488" s="139">
        <f>IFERROR(__xludf.DUMMYFUNCTION("""COMPUTED_VALUE"""),567.0)</f>
        <v>567</v>
      </c>
      <c r="E1488" s="138">
        <f>IFERROR(__xludf.DUMMYFUNCTION("""COMPUTED_VALUE"""),5.0)</f>
        <v>5</v>
      </c>
      <c r="F1488" s="138">
        <f>IFERROR(__xludf.DUMMYFUNCTION("""COMPUTED_VALUE"""),5.0)</f>
        <v>5</v>
      </c>
      <c r="G1488" s="138">
        <f>IFERROR(__xludf.DUMMYFUNCTION("""COMPUTED_VALUE"""),5.0)</f>
        <v>5</v>
      </c>
      <c r="H1488" s="138">
        <f>IFERROR(__xludf.DUMMYFUNCTION("""COMPUTED_VALUE"""),5.0)</f>
        <v>5</v>
      </c>
      <c r="I1488" s="138">
        <f>IFERROR(__xludf.DUMMYFUNCTION("""COMPUTED_VALUE"""),5.0)</f>
        <v>5</v>
      </c>
      <c r="J1488" s="138">
        <f>IFERROR(__xludf.DUMMYFUNCTION("""COMPUTED_VALUE"""),5.0)</f>
        <v>5</v>
      </c>
      <c r="K1488" s="138">
        <f>IFERROR(__xludf.DUMMYFUNCTION("""COMPUTED_VALUE"""),5.0)</f>
        <v>5</v>
      </c>
      <c r="L1488" s="138">
        <v>35.0</v>
      </c>
      <c r="M1488" s="140" t="str">
        <f>VLOOKUP(text(D1488, "#"),'Master Table'!$A:$F, 6, FALSE)</f>
        <v>I-4</v>
      </c>
      <c r="N1488" s="141" t="str">
        <f>IFERROR(__xludf.DUMMYFUNCTION("""COMPUTED_VALUE"""),"Great oral accompaniment to your poster presentation. 
Kenia was very knowledgeable about research related to the project which was a plus!
")</f>
        <v>Great oral accompaniment to your poster presentation. 
Kenia was very knowledgeable about research related to the project which was a plus!
</v>
      </c>
      <c r="O1488" s="142" t="str">
        <f t="shared" si="1"/>
        <v/>
      </c>
      <c r="P1488" s="143" t="str">
        <f>IF(ISNA(VLOOKUP(CONCAT(M1488,C1488), 'Judge Count DO NOT EDIT'!H:H, 1, FALSE)), "ERROR","")</f>
        <v/>
      </c>
      <c r="Q1488" s="141"/>
      <c r="R1488" s="143"/>
      <c r="S1488" s="139" t="str">
        <f t="shared" si="2"/>
        <v>1125567</v>
      </c>
      <c r="T1488" s="141"/>
    </row>
    <row r="1489">
      <c r="A1489" s="137">
        <f>IFERROR(__xludf.DUMMYFUNCTION("""COMPUTED_VALUE"""),45352.64816474537)</f>
        <v>45352.64816</v>
      </c>
      <c r="B1489" s="138" t="str">
        <f>IFERROR(__xludf.DUMMYFUNCTION("""COMPUTED_VALUE"""),"Lisa Lamb")</f>
        <v>Lisa Lamb</v>
      </c>
      <c r="C1489" s="138">
        <f>IFERROR(__xludf.DUMMYFUNCTION("""COMPUTED_VALUE"""),1064.0)</f>
        <v>1064</v>
      </c>
      <c r="D1489" s="139">
        <f>IFERROR(__xludf.DUMMYFUNCTION("""COMPUTED_VALUE"""),568.0)</f>
        <v>568</v>
      </c>
      <c r="E1489" s="138">
        <f>IFERROR(__xludf.DUMMYFUNCTION("""COMPUTED_VALUE"""),5.0)</f>
        <v>5</v>
      </c>
      <c r="F1489" s="138">
        <f>IFERROR(__xludf.DUMMYFUNCTION("""COMPUTED_VALUE"""),5.0)</f>
        <v>5</v>
      </c>
      <c r="G1489" s="138">
        <f>IFERROR(__xludf.DUMMYFUNCTION("""COMPUTED_VALUE"""),5.0)</f>
        <v>5</v>
      </c>
      <c r="H1489" s="138">
        <f>IFERROR(__xludf.DUMMYFUNCTION("""COMPUTED_VALUE"""),5.0)</f>
        <v>5</v>
      </c>
      <c r="I1489" s="138">
        <f>IFERROR(__xludf.DUMMYFUNCTION("""COMPUTED_VALUE"""),5.0)</f>
        <v>5</v>
      </c>
      <c r="J1489" s="138">
        <f>IFERROR(__xludf.DUMMYFUNCTION("""COMPUTED_VALUE"""),5.0)</f>
        <v>5</v>
      </c>
      <c r="K1489" s="138">
        <f>IFERROR(__xludf.DUMMYFUNCTION("""COMPUTED_VALUE"""),5.0)</f>
        <v>5</v>
      </c>
      <c r="L1489" s="138">
        <v>35.0</v>
      </c>
      <c r="M1489" s="140" t="str">
        <f>VLOOKUP(text(D1489, "#"),'Master Table'!$A:$F, 6, FALSE)</f>
        <v>I-4</v>
      </c>
      <c r="N1489" s="141" t="str">
        <f>IFERROR(__xludf.DUMMYFUNCTION("""COMPUTED_VALUE"""),"Exceptional! Each student understood their role and the research. They articulated their ideas well!")</f>
        <v>Exceptional! Each student understood their role and the research. They articulated their ideas well!</v>
      </c>
      <c r="O1489" s="142" t="str">
        <f t="shared" si="1"/>
        <v/>
      </c>
      <c r="P1489" s="143" t="str">
        <f>IF(ISNA(VLOOKUP(CONCAT(M1489,C1489), 'Judge Count DO NOT EDIT'!H:H, 1, FALSE)), "ERROR","")</f>
        <v/>
      </c>
      <c r="Q1489" s="141"/>
      <c r="R1489" s="143"/>
      <c r="S1489" s="139" t="str">
        <f t="shared" si="2"/>
        <v>1064568</v>
      </c>
      <c r="T1489" s="141"/>
    </row>
    <row r="1490">
      <c r="A1490" s="137">
        <f>IFERROR(__xludf.DUMMYFUNCTION("""COMPUTED_VALUE"""),45352.77488099537)</f>
        <v>45352.77488</v>
      </c>
      <c r="B1490" s="138" t="str">
        <f>IFERROR(__xludf.DUMMYFUNCTION("""COMPUTED_VALUE"""),"Katya Hernandez")</f>
        <v>Katya Hernandez</v>
      </c>
      <c r="C1490" s="138">
        <f>IFERROR(__xludf.DUMMYFUNCTION("""COMPUTED_VALUE"""),1125.0)</f>
        <v>1125</v>
      </c>
      <c r="D1490" s="139">
        <f>IFERROR(__xludf.DUMMYFUNCTION("""COMPUTED_VALUE"""),568.0)</f>
        <v>568</v>
      </c>
      <c r="E1490" s="138">
        <f>IFERROR(__xludf.DUMMYFUNCTION("""COMPUTED_VALUE"""),4.0)</f>
        <v>4</v>
      </c>
      <c r="F1490" s="138">
        <f>IFERROR(__xludf.DUMMYFUNCTION("""COMPUTED_VALUE"""),4.0)</f>
        <v>4</v>
      </c>
      <c r="G1490" s="138">
        <f>IFERROR(__xludf.DUMMYFUNCTION("""COMPUTED_VALUE"""),4.0)</f>
        <v>4</v>
      </c>
      <c r="H1490" s="138">
        <f>IFERROR(__xludf.DUMMYFUNCTION("""COMPUTED_VALUE"""),4.0)</f>
        <v>4</v>
      </c>
      <c r="I1490" s="138">
        <f>IFERROR(__xludf.DUMMYFUNCTION("""COMPUTED_VALUE"""),5.0)</f>
        <v>5</v>
      </c>
      <c r="J1490" s="138">
        <f>IFERROR(__xludf.DUMMYFUNCTION("""COMPUTED_VALUE"""),5.0)</f>
        <v>5</v>
      </c>
      <c r="K1490" s="138">
        <f>IFERROR(__xludf.DUMMYFUNCTION("""COMPUTED_VALUE"""),5.0)</f>
        <v>5</v>
      </c>
      <c r="L1490" s="138">
        <v>31.0</v>
      </c>
      <c r="M1490" s="140" t="str">
        <f>VLOOKUP(text(D1490, "#"),'Master Table'!$A:$F, 6, FALSE)</f>
        <v>I-4</v>
      </c>
      <c r="N1490" s="141" t="str">
        <f>IFERROR(__xludf.DUMMYFUNCTION("""COMPUTED_VALUE"""),"Anna was very knowledgeable about the project and suggested areas for future improvement of the CS class that was observed. 
There is room for improvement of professionalism for the other project partners. It's hard to take you seriously as researchers i"&amp;"f your behavior doesn't match the setting. Be respectful of others when they're speaking. It was hard to hear Anna through all the noise. ")</f>
        <v>Anna was very knowledgeable about the project and suggested areas for future improvement of the CS class that was observed. 
There is room for improvement of professionalism for the other project partners. It's hard to take you seriously as researchers if your behavior doesn't match the setting. Be respectful of others when they're speaking. It was hard to hear Anna through all the noise. </v>
      </c>
      <c r="O1490" s="142" t="str">
        <f t="shared" si="1"/>
        <v/>
      </c>
      <c r="P1490" s="143" t="str">
        <f>IF(ISNA(VLOOKUP(CONCAT(M1490,C1490), 'Judge Count DO NOT EDIT'!H:H, 1, FALSE)), "ERROR","")</f>
        <v/>
      </c>
      <c r="Q1490" s="141"/>
      <c r="R1490" s="143"/>
      <c r="S1490" s="139" t="str">
        <f t="shared" si="2"/>
        <v>1125568</v>
      </c>
      <c r="T1490" s="141"/>
    </row>
    <row r="1491">
      <c r="A1491" s="137">
        <f>IFERROR(__xludf.DUMMYFUNCTION("""COMPUTED_VALUE"""),45352.700381365736)</f>
        <v>45352.70038</v>
      </c>
      <c r="B1491" s="138" t="str">
        <f>IFERROR(__xludf.DUMMYFUNCTION("""COMPUTED_VALUE"""),"Lisa Lamb")</f>
        <v>Lisa Lamb</v>
      </c>
      <c r="C1491" s="138">
        <f>IFERROR(__xludf.DUMMYFUNCTION("""COMPUTED_VALUE"""),1064.0)</f>
        <v>1064</v>
      </c>
      <c r="D1491" s="139">
        <f>IFERROR(__xludf.DUMMYFUNCTION("""COMPUTED_VALUE"""),569.0)</f>
        <v>569</v>
      </c>
      <c r="E1491" s="138">
        <f>IFERROR(__xludf.DUMMYFUNCTION("""COMPUTED_VALUE"""),5.0)</f>
        <v>5</v>
      </c>
      <c r="F1491" s="138">
        <f>IFERROR(__xludf.DUMMYFUNCTION("""COMPUTED_VALUE"""),5.0)</f>
        <v>5</v>
      </c>
      <c r="G1491" s="138">
        <f>IFERROR(__xludf.DUMMYFUNCTION("""COMPUTED_VALUE"""),5.0)</f>
        <v>5</v>
      </c>
      <c r="H1491" s="138">
        <f>IFERROR(__xludf.DUMMYFUNCTION("""COMPUTED_VALUE"""),5.0)</f>
        <v>5</v>
      </c>
      <c r="I1491" s="138">
        <f>IFERROR(__xludf.DUMMYFUNCTION("""COMPUTED_VALUE"""),5.0)</f>
        <v>5</v>
      </c>
      <c r="J1491" s="138">
        <f>IFERROR(__xludf.DUMMYFUNCTION("""COMPUTED_VALUE"""),5.0)</f>
        <v>5</v>
      </c>
      <c r="K1491" s="138">
        <f>IFERROR(__xludf.DUMMYFUNCTION("""COMPUTED_VALUE"""),5.0)</f>
        <v>5</v>
      </c>
      <c r="L1491" s="138">
        <v>35.0</v>
      </c>
      <c r="M1491" s="140" t="str">
        <f>VLOOKUP(text(D1491, "#"),'Master Table'!$A:$F, 6, FALSE)</f>
        <v>I-4</v>
      </c>
      <c r="N1491" s="141" t="str">
        <f>IFERROR(__xludf.DUMMYFUNCTION("""COMPUTED_VALUE"""),"Whoa! So impressive! The researcher connected the need for security and education for girls and women to national security and international security. She inspired my interest in learning more. Excellent and insightful work. ")</f>
        <v>Whoa! So impressive! The researcher connected the need for security and education for girls and women to national security and international security. She inspired my interest in learning more. Excellent and insightful work. </v>
      </c>
      <c r="O1491" s="142" t="str">
        <f t="shared" si="1"/>
        <v/>
      </c>
      <c r="P1491" s="143" t="str">
        <f>IF(ISNA(VLOOKUP(CONCAT(M1491,C1491), 'Judge Count DO NOT EDIT'!H:H, 1, FALSE)), "ERROR","")</f>
        <v/>
      </c>
      <c r="Q1491" s="141"/>
      <c r="R1491" s="143"/>
      <c r="S1491" s="139" t="str">
        <f t="shared" si="2"/>
        <v>1064569</v>
      </c>
      <c r="T1491" s="141"/>
    </row>
    <row r="1492">
      <c r="A1492" s="137">
        <f>IFERROR(__xludf.DUMMYFUNCTION("""COMPUTED_VALUE"""),45352.77681096065)</f>
        <v>45352.77681</v>
      </c>
      <c r="B1492" s="138" t="str">
        <f>IFERROR(__xludf.DUMMYFUNCTION("""COMPUTED_VALUE"""),"Katya Hernandez")</f>
        <v>Katya Hernandez</v>
      </c>
      <c r="C1492" s="138">
        <f>IFERROR(__xludf.DUMMYFUNCTION("""COMPUTED_VALUE"""),1125.0)</f>
        <v>1125</v>
      </c>
      <c r="D1492" s="139">
        <f>IFERROR(__xludf.DUMMYFUNCTION("""COMPUTED_VALUE"""),569.0)</f>
        <v>569</v>
      </c>
      <c r="E1492" s="138">
        <f>IFERROR(__xludf.DUMMYFUNCTION("""COMPUTED_VALUE"""),5.0)</f>
        <v>5</v>
      </c>
      <c r="F1492" s="138">
        <f>IFERROR(__xludf.DUMMYFUNCTION("""COMPUTED_VALUE"""),5.0)</f>
        <v>5</v>
      </c>
      <c r="G1492" s="138">
        <f>IFERROR(__xludf.DUMMYFUNCTION("""COMPUTED_VALUE"""),5.0)</f>
        <v>5</v>
      </c>
      <c r="H1492" s="138">
        <f>IFERROR(__xludf.DUMMYFUNCTION("""COMPUTED_VALUE"""),5.0)</f>
        <v>5</v>
      </c>
      <c r="I1492" s="138">
        <f>IFERROR(__xludf.DUMMYFUNCTION("""COMPUTED_VALUE"""),5.0)</f>
        <v>5</v>
      </c>
      <c r="J1492" s="138">
        <f>IFERROR(__xludf.DUMMYFUNCTION("""COMPUTED_VALUE"""),5.0)</f>
        <v>5</v>
      </c>
      <c r="K1492" s="138">
        <f>IFERROR(__xludf.DUMMYFUNCTION("""COMPUTED_VALUE"""),5.0)</f>
        <v>5</v>
      </c>
      <c r="L1492" s="138">
        <v>35.0</v>
      </c>
      <c r="M1492" s="140" t="str">
        <f>VLOOKUP(text(D1492, "#"),'Master Table'!$A:$F, 6, FALSE)</f>
        <v>I-4</v>
      </c>
      <c r="N1492" s="141" t="str">
        <f>IFERROR(__xludf.DUMMYFUNCTION("""COMPUTED_VALUE"""),"Wahida, thank you so much for your project. 
I'm sure the work you did on it has already touched the lives of so many Afghan refugees. 
I don't have any suggestions for improvement as of yet. 
You identified so many areas that need work with just one shor"&amp;"t project. There are opportunities for a multitude of future programs and more research.  
I'm looking forward to seeing more of your work in the future. ")</f>
        <v>Wahida, thank you so much for your project. 
I'm sure the work you did on it has already touched the lives of so many Afghan refugees. 
I don't have any suggestions for improvement as of yet. 
You identified so many areas that need work with just one short project. There are opportunities for a multitude of future programs and more research.  
I'm looking forward to seeing more of your work in the future. </v>
      </c>
      <c r="O1492" s="142" t="str">
        <f t="shared" si="1"/>
        <v/>
      </c>
      <c r="P1492" s="143" t="str">
        <f>IF(ISNA(VLOOKUP(CONCAT(M1492,C1492), 'Judge Count DO NOT EDIT'!H:H, 1, FALSE)), "ERROR","")</f>
        <v/>
      </c>
      <c r="Q1492" s="141"/>
      <c r="R1492" s="143"/>
      <c r="S1492" s="139" t="str">
        <f t="shared" si="2"/>
        <v>1125569</v>
      </c>
      <c r="T1492" s="141"/>
    </row>
    <row r="1493">
      <c r="A1493" s="137">
        <f>IFERROR(__xludf.DUMMYFUNCTION("""COMPUTED_VALUE"""),45352.63860760417)</f>
        <v>45352.63861</v>
      </c>
      <c r="B1493" s="138" t="str">
        <f>IFERROR(__xludf.DUMMYFUNCTION("""COMPUTED_VALUE"""),"Lisa Lamb")</f>
        <v>Lisa Lamb</v>
      </c>
      <c r="C1493" s="138">
        <f>IFERROR(__xludf.DUMMYFUNCTION("""COMPUTED_VALUE"""),1064.0)</f>
        <v>1064</v>
      </c>
      <c r="D1493" s="139">
        <f>IFERROR(__xludf.DUMMYFUNCTION("""COMPUTED_VALUE"""),570.0)</f>
        <v>570</v>
      </c>
      <c r="E1493" s="138">
        <f>IFERROR(__xludf.DUMMYFUNCTION("""COMPUTED_VALUE"""),5.0)</f>
        <v>5</v>
      </c>
      <c r="F1493" s="138">
        <f>IFERROR(__xludf.DUMMYFUNCTION("""COMPUTED_VALUE"""),5.0)</f>
        <v>5</v>
      </c>
      <c r="G1493" s="138">
        <f>IFERROR(__xludf.DUMMYFUNCTION("""COMPUTED_VALUE"""),5.0)</f>
        <v>5</v>
      </c>
      <c r="H1493" s="138">
        <f>IFERROR(__xludf.DUMMYFUNCTION("""COMPUTED_VALUE"""),5.0)</f>
        <v>5</v>
      </c>
      <c r="I1493" s="138">
        <f>IFERROR(__xludf.DUMMYFUNCTION("""COMPUTED_VALUE"""),5.0)</f>
        <v>5</v>
      </c>
      <c r="J1493" s="138">
        <f>IFERROR(__xludf.DUMMYFUNCTION("""COMPUTED_VALUE"""),5.0)</f>
        <v>5</v>
      </c>
      <c r="K1493" s="138">
        <f>IFERROR(__xludf.DUMMYFUNCTION("""COMPUTED_VALUE"""),5.0)</f>
        <v>5</v>
      </c>
      <c r="L1493" s="138">
        <v>35.0</v>
      </c>
      <c r="M1493" s="140" t="str">
        <f>VLOOKUP(text(D1493, "#"),'Master Table'!$A:$F, 6, FALSE)</f>
        <v>I-4</v>
      </c>
      <c r="N1493" s="141" t="str">
        <f>IFERROR(__xludf.DUMMYFUNCTION("""COMPUTED_VALUE"""),"Great work! Really clear about the project, looking forward to hearing more. Great information on poster ")</f>
        <v>Great work! Really clear about the project, looking forward to hearing more. Great information on poster </v>
      </c>
      <c r="O1493" s="142" t="str">
        <f t="shared" si="1"/>
        <v/>
      </c>
      <c r="P1493" s="143" t="str">
        <f>IF(ISNA(VLOOKUP(CONCAT(M1493,C1493), 'Judge Count DO NOT EDIT'!H:H, 1, FALSE)), "ERROR","")</f>
        <v/>
      </c>
      <c r="Q1493" s="141"/>
      <c r="R1493" s="143"/>
      <c r="S1493" s="139" t="str">
        <f t="shared" si="2"/>
        <v>1064570</v>
      </c>
      <c r="T1493" s="141"/>
    </row>
    <row r="1494">
      <c r="A1494" s="137">
        <f>IFERROR(__xludf.DUMMYFUNCTION("""COMPUTED_VALUE"""),45352.681164444446)</f>
        <v>45352.68116</v>
      </c>
      <c r="B1494" s="138" t="str">
        <f>IFERROR(__xludf.DUMMYFUNCTION("""COMPUTED_VALUE"""),"Lisa Lamb")</f>
        <v>Lisa Lamb</v>
      </c>
      <c r="C1494" s="138">
        <f>IFERROR(__xludf.DUMMYFUNCTION("""COMPUTED_VALUE"""),1064.0)</f>
        <v>1064</v>
      </c>
      <c r="D1494" s="139">
        <f>IFERROR(__xludf.DUMMYFUNCTION("""COMPUTED_VALUE"""),571.0)</f>
        <v>571</v>
      </c>
      <c r="E1494" s="138">
        <f>IFERROR(__xludf.DUMMYFUNCTION("""COMPUTED_VALUE"""),5.0)</f>
        <v>5</v>
      </c>
      <c r="F1494" s="138">
        <f>IFERROR(__xludf.DUMMYFUNCTION("""COMPUTED_VALUE"""),5.0)</f>
        <v>5</v>
      </c>
      <c r="G1494" s="138">
        <f>IFERROR(__xludf.DUMMYFUNCTION("""COMPUTED_VALUE"""),5.0)</f>
        <v>5</v>
      </c>
      <c r="H1494" s="138">
        <f>IFERROR(__xludf.DUMMYFUNCTION("""COMPUTED_VALUE"""),5.0)</f>
        <v>5</v>
      </c>
      <c r="I1494" s="138">
        <f>IFERROR(__xludf.DUMMYFUNCTION("""COMPUTED_VALUE"""),5.0)</f>
        <v>5</v>
      </c>
      <c r="J1494" s="138">
        <f>IFERROR(__xludf.DUMMYFUNCTION("""COMPUTED_VALUE"""),5.0)</f>
        <v>5</v>
      </c>
      <c r="K1494" s="138">
        <f>IFERROR(__xludf.DUMMYFUNCTION("""COMPUTED_VALUE"""),5.0)</f>
        <v>5</v>
      </c>
      <c r="L1494" s="138">
        <v>35.0</v>
      </c>
      <c r="M1494" s="140" t="str">
        <f>VLOOKUP(text(D1494, "#"),'Master Table'!$A:$F, 6, FALSE)</f>
        <v>I-4</v>
      </c>
      <c r="N1494" s="141" t="str">
        <f>IFERROR(__xludf.DUMMYFUNCTION("""COMPUTED_VALUE"""),"Excellent presentation. Well-organized poster. Might want to distinguish results that follow from data analysis from ideas that might address findings . Great work! ")</f>
        <v>Excellent presentation. Well-organized poster. Might want to distinguish results that follow from data analysis from ideas that might address findings . Great work! </v>
      </c>
      <c r="O1494" s="142" t="str">
        <f t="shared" si="1"/>
        <v/>
      </c>
      <c r="P1494" s="143" t="str">
        <f>IF(ISNA(VLOOKUP(CONCAT(M1494,C1494), 'Judge Count DO NOT EDIT'!H:H, 1, FALSE)), "ERROR","")</f>
        <v/>
      </c>
      <c r="Q1494" s="141"/>
      <c r="R1494" s="143"/>
      <c r="S1494" s="139" t="str">
        <f t="shared" si="2"/>
        <v>1064571</v>
      </c>
      <c r="T1494" s="141"/>
    </row>
    <row r="1495">
      <c r="A1495" s="137">
        <f>IFERROR(__xludf.DUMMYFUNCTION("""COMPUTED_VALUE"""),45352.77839782408)</f>
        <v>45352.7784</v>
      </c>
      <c r="B1495" s="138" t="str">
        <f>IFERROR(__xludf.DUMMYFUNCTION("""COMPUTED_VALUE"""),"Katya Hernandez")</f>
        <v>Katya Hernandez</v>
      </c>
      <c r="C1495" s="138">
        <f>IFERROR(__xludf.DUMMYFUNCTION("""COMPUTED_VALUE"""),1125.0)</f>
        <v>1125</v>
      </c>
      <c r="D1495" s="139">
        <f>IFERROR(__xludf.DUMMYFUNCTION("""COMPUTED_VALUE"""),571.0)</f>
        <v>571</v>
      </c>
      <c r="E1495" s="138">
        <f>IFERROR(__xludf.DUMMYFUNCTION("""COMPUTED_VALUE"""),5.0)</f>
        <v>5</v>
      </c>
      <c r="F1495" s="138">
        <f>IFERROR(__xludf.DUMMYFUNCTION("""COMPUTED_VALUE"""),5.0)</f>
        <v>5</v>
      </c>
      <c r="G1495" s="138">
        <f>IFERROR(__xludf.DUMMYFUNCTION("""COMPUTED_VALUE"""),4.0)</f>
        <v>4</v>
      </c>
      <c r="H1495" s="138">
        <f>IFERROR(__xludf.DUMMYFUNCTION("""COMPUTED_VALUE"""),4.0)</f>
        <v>4</v>
      </c>
      <c r="I1495" s="138">
        <f>IFERROR(__xludf.DUMMYFUNCTION("""COMPUTED_VALUE"""),5.0)</f>
        <v>5</v>
      </c>
      <c r="J1495" s="138">
        <f>IFERROR(__xludf.DUMMYFUNCTION("""COMPUTED_VALUE"""),5.0)</f>
        <v>5</v>
      </c>
      <c r="K1495" s="138">
        <f>IFERROR(__xludf.DUMMYFUNCTION("""COMPUTED_VALUE"""),5.0)</f>
        <v>5</v>
      </c>
      <c r="L1495" s="138">
        <v>33.0</v>
      </c>
      <c r="M1495" s="140" t="str">
        <f>VLOOKUP(text(D1495, "#"),'Master Table'!$A:$F, 6, FALSE)</f>
        <v>I-4</v>
      </c>
      <c r="N1495" s="141" t="str">
        <f>IFERROR(__xludf.DUMMYFUNCTION("""COMPUTED_VALUE"""),"Shaye, you're a terrific public speaker. Thank you for sharing your project. 
")</f>
        <v>Shaye, you're a terrific public speaker. Thank you for sharing your project. 
</v>
      </c>
      <c r="O1495" s="142" t="str">
        <f t="shared" si="1"/>
        <v/>
      </c>
      <c r="P1495" s="143" t="str">
        <f>IF(ISNA(VLOOKUP(CONCAT(M1495,C1495), 'Judge Count DO NOT EDIT'!H:H, 1, FALSE)), "ERROR","")</f>
        <v/>
      </c>
      <c r="Q1495" s="141"/>
      <c r="R1495" s="143"/>
      <c r="S1495" s="139" t="str">
        <f t="shared" si="2"/>
        <v>1125571</v>
      </c>
      <c r="T1495" s="141"/>
    </row>
    <row r="1496">
      <c r="A1496" s="137">
        <f>IFERROR(__xludf.DUMMYFUNCTION("""COMPUTED_VALUE"""),45352.652986574074)</f>
        <v>45352.65299</v>
      </c>
      <c r="B1496" s="138" t="str">
        <f>IFERROR(__xludf.DUMMYFUNCTION("""COMPUTED_VALUE"""),"Carolyn ")</f>
        <v>Carolyn </v>
      </c>
      <c r="C1496" s="138">
        <f>IFERROR(__xludf.DUMMYFUNCTION("""COMPUTED_VALUE"""),1111.0)</f>
        <v>1111</v>
      </c>
      <c r="D1496" s="139">
        <f>IFERROR(__xludf.DUMMYFUNCTION("""COMPUTED_VALUE"""),572.0)</f>
        <v>572</v>
      </c>
      <c r="E1496" s="138">
        <f>IFERROR(__xludf.DUMMYFUNCTION("""COMPUTED_VALUE"""),3.0)</f>
        <v>3</v>
      </c>
      <c r="F1496" s="138">
        <f>IFERROR(__xludf.DUMMYFUNCTION("""COMPUTED_VALUE"""),3.0)</f>
        <v>3</v>
      </c>
      <c r="G1496" s="138">
        <f>IFERROR(__xludf.DUMMYFUNCTION("""COMPUTED_VALUE"""),3.0)</f>
        <v>3</v>
      </c>
      <c r="H1496" s="138">
        <f>IFERROR(__xludf.DUMMYFUNCTION("""COMPUTED_VALUE"""),3.0)</f>
        <v>3</v>
      </c>
      <c r="I1496" s="138">
        <f>IFERROR(__xludf.DUMMYFUNCTION("""COMPUTED_VALUE"""),4.0)</f>
        <v>4</v>
      </c>
      <c r="J1496" s="138">
        <f>IFERROR(__xludf.DUMMYFUNCTION("""COMPUTED_VALUE"""),4.0)</f>
        <v>4</v>
      </c>
      <c r="K1496" s="138">
        <f>IFERROR(__xludf.DUMMYFUNCTION("""COMPUTED_VALUE"""),4.0)</f>
        <v>4</v>
      </c>
      <c r="L1496" s="138">
        <v>24.0</v>
      </c>
      <c r="M1496" s="140" t="str">
        <f>VLOOKUP(text(D1496, "#"),'Master Table'!$A:$F, 6, FALSE)</f>
        <v>I-5</v>
      </c>
      <c r="N1496" s="141"/>
      <c r="O1496" s="142" t="str">
        <f t="shared" si="1"/>
        <v/>
      </c>
      <c r="P1496" s="143" t="str">
        <f>IF(ISNA(VLOOKUP(CONCAT(M1496,C1496), 'Judge Count DO NOT EDIT'!H:H, 1, FALSE)), "ERROR","")</f>
        <v/>
      </c>
      <c r="Q1496" s="141"/>
      <c r="R1496" s="143"/>
      <c r="S1496" s="139" t="str">
        <f t="shared" si="2"/>
        <v>1111572</v>
      </c>
      <c r="T1496" s="141"/>
    </row>
    <row r="1497">
      <c r="A1497" s="137">
        <f>IFERROR(__xludf.DUMMYFUNCTION("""COMPUTED_VALUE"""),45352.66854304398)</f>
        <v>45352.66854</v>
      </c>
      <c r="B1497" s="138" t="str">
        <f>IFERROR(__xludf.DUMMYFUNCTION("""COMPUTED_VALUE"""),"Rachel Schuck")</f>
        <v>Rachel Schuck</v>
      </c>
      <c r="C1497" s="138">
        <f>IFERROR(__xludf.DUMMYFUNCTION("""COMPUTED_VALUE"""),1103.0)</f>
        <v>1103</v>
      </c>
      <c r="D1497" s="139">
        <f>IFERROR(__xludf.DUMMYFUNCTION("""COMPUTED_VALUE"""),572.0)</f>
        <v>572</v>
      </c>
      <c r="E1497" s="138">
        <f>IFERROR(__xludf.DUMMYFUNCTION("""COMPUTED_VALUE"""),5.0)</f>
        <v>5</v>
      </c>
      <c r="F1497" s="138">
        <f>IFERROR(__xludf.DUMMYFUNCTION("""COMPUTED_VALUE"""),3.0)</f>
        <v>3</v>
      </c>
      <c r="G1497" s="138">
        <f>IFERROR(__xludf.DUMMYFUNCTION("""COMPUTED_VALUE"""),4.0)</f>
        <v>4</v>
      </c>
      <c r="H1497" s="138">
        <f>IFERROR(__xludf.DUMMYFUNCTION("""COMPUTED_VALUE"""),4.0)</f>
        <v>4</v>
      </c>
      <c r="I1497" s="138">
        <f>IFERROR(__xludf.DUMMYFUNCTION("""COMPUTED_VALUE"""),5.0)</f>
        <v>5</v>
      </c>
      <c r="J1497" s="138">
        <f>IFERROR(__xludf.DUMMYFUNCTION("""COMPUTED_VALUE"""),4.0)</f>
        <v>4</v>
      </c>
      <c r="K1497" s="138">
        <f>IFERROR(__xludf.DUMMYFUNCTION("""COMPUTED_VALUE"""),4.0)</f>
        <v>4</v>
      </c>
      <c r="L1497" s="138">
        <v>29.0</v>
      </c>
      <c r="M1497" s="140" t="str">
        <f>VLOOKUP(text(D1497, "#"),'Master Table'!$A:$F, 6, FALSE)</f>
        <v>I-5</v>
      </c>
      <c r="N1497" s="141" t="str">
        <f>IFERROR(__xludf.DUMMYFUNCTION("""COMPUTED_VALUE"""),"Poster was very well organized and aesthetically pleasing. Presenter was very engaging and a great speaker. They also seemed passionate and I appreciated how they pointed out important areas for future research. ")</f>
        <v>Poster was very well organized and aesthetically pleasing. Presenter was very engaging and a great speaker. They also seemed passionate and I appreciated how they pointed out important areas for future research. </v>
      </c>
      <c r="O1497" s="142" t="str">
        <f t="shared" si="1"/>
        <v/>
      </c>
      <c r="P1497" s="143" t="str">
        <f>IF(ISNA(VLOOKUP(CONCAT(M1497,C1497), 'Judge Count DO NOT EDIT'!H:H, 1, FALSE)), "ERROR","")</f>
        <v/>
      </c>
      <c r="Q1497" s="141"/>
      <c r="R1497" s="143"/>
      <c r="S1497" s="139" t="str">
        <f t="shared" si="2"/>
        <v>1103572</v>
      </c>
      <c r="T1497" s="141"/>
    </row>
    <row r="1498">
      <c r="A1498" s="137">
        <f>IFERROR(__xludf.DUMMYFUNCTION("""COMPUTED_VALUE"""),45352.67548082176)</f>
        <v>45352.67548</v>
      </c>
      <c r="B1498" s="138" t="str">
        <f>IFERROR(__xludf.DUMMYFUNCTION("""COMPUTED_VALUE"""),"Ashleigh Johnson")</f>
        <v>Ashleigh Johnson</v>
      </c>
      <c r="C1498" s="138">
        <f>IFERROR(__xludf.DUMMYFUNCTION("""COMPUTED_VALUE"""),1016.0)</f>
        <v>1016</v>
      </c>
      <c r="D1498" s="139">
        <f>IFERROR(__xludf.DUMMYFUNCTION("""COMPUTED_VALUE"""),572.0)</f>
        <v>572</v>
      </c>
      <c r="E1498" s="138">
        <f>IFERROR(__xludf.DUMMYFUNCTION("""COMPUTED_VALUE"""),3.0)</f>
        <v>3</v>
      </c>
      <c r="F1498" s="138">
        <f>IFERROR(__xludf.DUMMYFUNCTION("""COMPUTED_VALUE"""),3.0)</f>
        <v>3</v>
      </c>
      <c r="G1498" s="138">
        <f>IFERROR(__xludf.DUMMYFUNCTION("""COMPUTED_VALUE"""),4.0)</f>
        <v>4</v>
      </c>
      <c r="H1498" s="138">
        <f>IFERROR(__xludf.DUMMYFUNCTION("""COMPUTED_VALUE"""),4.0)</f>
        <v>4</v>
      </c>
      <c r="I1498" s="138">
        <f>IFERROR(__xludf.DUMMYFUNCTION("""COMPUTED_VALUE"""),4.0)</f>
        <v>4</v>
      </c>
      <c r="J1498" s="138">
        <f>IFERROR(__xludf.DUMMYFUNCTION("""COMPUTED_VALUE"""),3.0)</f>
        <v>3</v>
      </c>
      <c r="K1498" s="138">
        <f>IFERROR(__xludf.DUMMYFUNCTION("""COMPUTED_VALUE"""),4.0)</f>
        <v>4</v>
      </c>
      <c r="L1498" s="138">
        <v>25.0</v>
      </c>
      <c r="M1498" s="140" t="str">
        <f>VLOOKUP(text(D1498, "#"),'Master Table'!$A:$F, 6, FALSE)</f>
        <v>I-5</v>
      </c>
      <c r="N1498" s="141" t="str">
        <f>IFERROR(__xludf.DUMMYFUNCTION("""COMPUTED_VALUE"""),"Great work overall. The student was passionate and knowledgeable about the topic. They had ideas for next steps and highlighted the relevance of this work. One suggestion I have is to take time in the beginning to orient the viewer to the overall goal of "&amp;"the study before going into results/methods. ")</f>
        <v>Great work overall. The student was passionate and knowledgeable about the topic. They had ideas for next steps and highlighted the relevance of this work. One suggestion I have is to take time in the beginning to orient the viewer to the overall goal of the study before going into results/methods. </v>
      </c>
      <c r="O1498" s="142" t="str">
        <f t="shared" si="1"/>
        <v/>
      </c>
      <c r="P1498" s="143" t="str">
        <f>IF(ISNA(VLOOKUP(CONCAT(M1498,C1498), 'Judge Count DO NOT EDIT'!H:H, 1, FALSE)), "ERROR","")</f>
        <v/>
      </c>
      <c r="Q1498" s="141"/>
      <c r="R1498" s="143"/>
      <c r="S1498" s="139" t="str">
        <f t="shared" si="2"/>
        <v>1016572</v>
      </c>
      <c r="T1498" s="141"/>
    </row>
    <row r="1499">
      <c r="A1499" s="137">
        <f>IFERROR(__xludf.DUMMYFUNCTION("""COMPUTED_VALUE"""),45352.65287278935)</f>
        <v>45352.65287</v>
      </c>
      <c r="B1499" s="138" t="str">
        <f>IFERROR(__xludf.DUMMYFUNCTION("""COMPUTED_VALUE"""),"Rachel Schuck")</f>
        <v>Rachel Schuck</v>
      </c>
      <c r="C1499" s="138">
        <f>IFERROR(__xludf.DUMMYFUNCTION("""COMPUTED_VALUE"""),1103.0)</f>
        <v>1103</v>
      </c>
      <c r="D1499" s="139">
        <f>IFERROR(__xludf.DUMMYFUNCTION("""COMPUTED_VALUE"""),573.0)</f>
        <v>573</v>
      </c>
      <c r="E1499" s="138">
        <f>IFERROR(__xludf.DUMMYFUNCTION("""COMPUTED_VALUE"""),4.0)</f>
        <v>4</v>
      </c>
      <c r="F1499" s="138">
        <f>IFERROR(__xludf.DUMMYFUNCTION("""COMPUTED_VALUE"""),5.0)</f>
        <v>5</v>
      </c>
      <c r="G1499" s="138">
        <f>IFERROR(__xludf.DUMMYFUNCTION("""COMPUTED_VALUE"""),4.0)</f>
        <v>4</v>
      </c>
      <c r="H1499" s="138">
        <f>IFERROR(__xludf.DUMMYFUNCTION("""COMPUTED_VALUE"""),5.0)</f>
        <v>5</v>
      </c>
      <c r="I1499" s="138">
        <f>IFERROR(__xludf.DUMMYFUNCTION("""COMPUTED_VALUE"""),5.0)</f>
        <v>5</v>
      </c>
      <c r="J1499" s="138">
        <f>IFERROR(__xludf.DUMMYFUNCTION("""COMPUTED_VALUE"""),5.0)</f>
        <v>5</v>
      </c>
      <c r="K1499" s="138">
        <f>IFERROR(__xludf.DUMMYFUNCTION("""COMPUTED_VALUE"""),5.0)</f>
        <v>5</v>
      </c>
      <c r="L1499" s="138">
        <v>33.0</v>
      </c>
      <c r="M1499" s="140" t="str">
        <f>VLOOKUP(text(D1499, "#"),'Master Table'!$A:$F, 6, FALSE)</f>
        <v>I-5</v>
      </c>
      <c r="N1499" s="141" t="str">
        <f>IFERROR(__xludf.DUMMYFUNCTION("""COMPUTED_VALUE"""),"Presenter had excellent presentation skills and did a nice job of explaining a topic that I was not familiar with. I would have liked more clarity on the sample and recruitment, though they answered my question about it well.")</f>
        <v>Presenter had excellent presentation skills and did a nice job of explaining a topic that I was not familiar with. I would have liked more clarity on the sample and recruitment, though they answered my question about it well.</v>
      </c>
      <c r="O1499" s="142" t="str">
        <f t="shared" si="1"/>
        <v/>
      </c>
      <c r="P1499" s="143" t="str">
        <f>IF(ISNA(VLOOKUP(CONCAT(M1499,C1499), 'Judge Count DO NOT EDIT'!H:H, 1, FALSE)), "ERROR","")</f>
        <v/>
      </c>
      <c r="Q1499" s="141"/>
      <c r="R1499" s="143"/>
      <c r="S1499" s="139" t="str">
        <f t="shared" si="2"/>
        <v>1103573</v>
      </c>
      <c r="T1499" s="141"/>
    </row>
    <row r="1500">
      <c r="A1500" s="137">
        <f>IFERROR(__xludf.DUMMYFUNCTION("""COMPUTED_VALUE"""),45352.67714452546)</f>
        <v>45352.67714</v>
      </c>
      <c r="B1500" s="138" t="str">
        <f>IFERROR(__xludf.DUMMYFUNCTION("""COMPUTED_VALUE"""),"Ashleigh Johnson")</f>
        <v>Ashleigh Johnson</v>
      </c>
      <c r="C1500" s="138">
        <f>IFERROR(__xludf.DUMMYFUNCTION("""COMPUTED_VALUE"""),1016.0)</f>
        <v>1016</v>
      </c>
      <c r="D1500" s="139">
        <f>IFERROR(__xludf.DUMMYFUNCTION("""COMPUTED_VALUE"""),573.0)</f>
        <v>573</v>
      </c>
      <c r="E1500" s="138">
        <f>IFERROR(__xludf.DUMMYFUNCTION("""COMPUTED_VALUE"""),3.0)</f>
        <v>3</v>
      </c>
      <c r="F1500" s="138">
        <f>IFERROR(__xludf.DUMMYFUNCTION("""COMPUTED_VALUE"""),4.0)</f>
        <v>4</v>
      </c>
      <c r="G1500" s="138">
        <f>IFERROR(__xludf.DUMMYFUNCTION("""COMPUTED_VALUE"""),4.0)</f>
        <v>4</v>
      </c>
      <c r="H1500" s="138">
        <f>IFERROR(__xludf.DUMMYFUNCTION("""COMPUTED_VALUE"""),4.0)</f>
        <v>4</v>
      </c>
      <c r="I1500" s="138">
        <f>IFERROR(__xludf.DUMMYFUNCTION("""COMPUTED_VALUE"""),4.0)</f>
        <v>4</v>
      </c>
      <c r="J1500" s="138">
        <f>IFERROR(__xludf.DUMMYFUNCTION("""COMPUTED_VALUE"""),4.0)</f>
        <v>4</v>
      </c>
      <c r="K1500" s="138">
        <f>IFERROR(__xludf.DUMMYFUNCTION("""COMPUTED_VALUE"""),4.0)</f>
        <v>4</v>
      </c>
      <c r="L1500" s="138">
        <v>27.0</v>
      </c>
      <c r="M1500" s="140" t="str">
        <f>VLOOKUP(text(D1500, "#"),'Master Table'!$A:$F, 6, FALSE)</f>
        <v>I-5</v>
      </c>
      <c r="N1500" s="141" t="str">
        <f>IFERROR(__xludf.DUMMYFUNCTION("""COMPUTED_VALUE"""),"The student did a great job of clearly explaining the study, and highlighting the importance of this work and what was done. There was a strong understanding of the methodology and relevant next steps, limitations, etc. One suggestion I have is in the vis"&amp;"ual presentation of this work. It was a bit text heavy, which could be overwhelming to viewers. Great work overall.")</f>
        <v>The student did a great job of clearly explaining the study, and highlighting the importance of this work and what was done. There was a strong understanding of the methodology and relevant next steps, limitations, etc. One suggestion I have is in the visual presentation of this work. It was a bit text heavy, which could be overwhelming to viewers. Great work overall.</v>
      </c>
      <c r="O1500" s="142" t="str">
        <f t="shared" si="1"/>
        <v/>
      </c>
      <c r="P1500" s="143" t="str">
        <f>IF(ISNA(VLOOKUP(CONCAT(M1500,C1500), 'Judge Count DO NOT EDIT'!H:H, 1, FALSE)), "ERROR","")</f>
        <v/>
      </c>
      <c r="Q1500" s="141"/>
      <c r="R1500" s="143"/>
      <c r="S1500" s="139" t="str">
        <f t="shared" si="2"/>
        <v>1016573</v>
      </c>
      <c r="T1500" s="141"/>
    </row>
    <row r="1501">
      <c r="A1501" s="137">
        <f>IFERROR(__xludf.DUMMYFUNCTION("""COMPUTED_VALUE"""),45352.66157416667)</f>
        <v>45352.66157</v>
      </c>
      <c r="B1501" s="138" t="str">
        <f>IFERROR(__xludf.DUMMYFUNCTION("""COMPUTED_VALUE"""),"Rachel Schuck")</f>
        <v>Rachel Schuck</v>
      </c>
      <c r="C1501" s="138">
        <f>IFERROR(__xludf.DUMMYFUNCTION("""COMPUTED_VALUE"""),1103.0)</f>
        <v>1103</v>
      </c>
      <c r="D1501" s="139">
        <f>IFERROR(__xludf.DUMMYFUNCTION("""COMPUTED_VALUE"""),574.0)</f>
        <v>574</v>
      </c>
      <c r="E1501" s="138">
        <f>IFERROR(__xludf.DUMMYFUNCTION("""COMPUTED_VALUE"""),3.0)</f>
        <v>3</v>
      </c>
      <c r="F1501" s="138">
        <f>IFERROR(__xludf.DUMMYFUNCTION("""COMPUTED_VALUE"""),5.0)</f>
        <v>5</v>
      </c>
      <c r="G1501" s="138">
        <f>IFERROR(__xludf.DUMMYFUNCTION("""COMPUTED_VALUE"""),5.0)</f>
        <v>5</v>
      </c>
      <c r="H1501" s="138">
        <f>IFERROR(__xludf.DUMMYFUNCTION("""COMPUTED_VALUE"""),3.0)</f>
        <v>3</v>
      </c>
      <c r="I1501" s="138">
        <f>IFERROR(__xludf.DUMMYFUNCTION("""COMPUTED_VALUE"""),5.0)</f>
        <v>5</v>
      </c>
      <c r="J1501" s="138">
        <f>IFERROR(__xludf.DUMMYFUNCTION("""COMPUTED_VALUE"""),4.0)</f>
        <v>4</v>
      </c>
      <c r="K1501" s="138">
        <f>IFERROR(__xludf.DUMMYFUNCTION("""COMPUTED_VALUE"""),5.0)</f>
        <v>5</v>
      </c>
      <c r="L1501" s="138">
        <v>30.0</v>
      </c>
      <c r="M1501" s="140" t="str">
        <f>VLOOKUP(text(D1501, "#"),'Master Table'!$A:$F, 6, FALSE)</f>
        <v>I-5</v>
      </c>
      <c r="N1501" s="141" t="str">
        <f>IFERROR(__xludf.DUMMYFUNCTION("""COMPUTED_VALUE"""),"This research appears to have the capacity to lead to important policy changes. It also seems to inform how to conduct transborder research, which could be helpful for researchers across disciplines. The poster would have benefitted from bullet points ins"&amp;"tead of blocks of text. Additionally would have liked more details about the methodology (ie interview analysis).")</f>
        <v>This research appears to have the capacity to lead to important policy changes. It also seems to inform how to conduct transborder research, which could be helpful for researchers across disciplines. The poster would have benefitted from bullet points instead of blocks of text. Additionally would have liked more details about the methodology (ie interview analysis).</v>
      </c>
      <c r="O1501" s="142" t="str">
        <f t="shared" si="1"/>
        <v/>
      </c>
      <c r="P1501" s="143" t="str">
        <f>IF(ISNA(VLOOKUP(CONCAT(M1501,C1501), 'Judge Count DO NOT EDIT'!H:H, 1, FALSE)), "ERROR","")</f>
        <v/>
      </c>
      <c r="Q1501" s="141"/>
      <c r="R1501" s="143"/>
      <c r="S1501" s="139" t="str">
        <f t="shared" si="2"/>
        <v>1103574</v>
      </c>
      <c r="T1501" s="141"/>
    </row>
    <row r="1502">
      <c r="A1502" s="137">
        <f>IFERROR(__xludf.DUMMYFUNCTION("""COMPUTED_VALUE"""),45352.678511666665)</f>
        <v>45352.67851</v>
      </c>
      <c r="B1502" s="138" t="str">
        <f>IFERROR(__xludf.DUMMYFUNCTION("""COMPUTED_VALUE"""),"Ashleigh Johnson")</f>
        <v>Ashleigh Johnson</v>
      </c>
      <c r="C1502" s="138">
        <f>IFERROR(__xludf.DUMMYFUNCTION("""COMPUTED_VALUE"""),1016.0)</f>
        <v>1016</v>
      </c>
      <c r="D1502" s="139">
        <f>IFERROR(__xludf.DUMMYFUNCTION("""COMPUTED_VALUE"""),574.0)</f>
        <v>574</v>
      </c>
      <c r="E1502" s="138">
        <f>IFERROR(__xludf.DUMMYFUNCTION("""COMPUTED_VALUE"""),2.0)</f>
        <v>2</v>
      </c>
      <c r="F1502" s="138">
        <f>IFERROR(__xludf.DUMMYFUNCTION("""COMPUTED_VALUE"""),3.0)</f>
        <v>3</v>
      </c>
      <c r="G1502" s="138">
        <f>IFERROR(__xludf.DUMMYFUNCTION("""COMPUTED_VALUE"""),3.0)</f>
        <v>3</v>
      </c>
      <c r="H1502" s="138">
        <f>IFERROR(__xludf.DUMMYFUNCTION("""COMPUTED_VALUE"""),3.0)</f>
        <v>3</v>
      </c>
      <c r="I1502" s="138">
        <f>IFERROR(__xludf.DUMMYFUNCTION("""COMPUTED_VALUE"""),3.0)</f>
        <v>3</v>
      </c>
      <c r="J1502" s="138">
        <f>IFERROR(__xludf.DUMMYFUNCTION("""COMPUTED_VALUE"""),2.0)</f>
        <v>2</v>
      </c>
      <c r="K1502" s="138">
        <f>IFERROR(__xludf.DUMMYFUNCTION("""COMPUTED_VALUE"""),3.0)</f>
        <v>3</v>
      </c>
      <c r="L1502" s="138">
        <v>19.0</v>
      </c>
      <c r="M1502" s="140" t="str">
        <f>VLOOKUP(text(D1502, "#"),'Master Table'!$A:$F, 6, FALSE)</f>
        <v>I-5</v>
      </c>
      <c r="N1502" s="141" t="str">
        <f>IFERROR(__xludf.DUMMYFUNCTION("""COMPUTED_VALUE"""),"Good work overall. The presenter had a passion for the project and was knowledgeable about the larger issue at hand. This work could be strengthened by creating a less text-heavy poster, as well as clearly guiding the viewer through each stage of the stud"&amp;"y, including methods, results, and conclusions. It was a bit difficult to follow at times just what was done and the specific results that were found.")</f>
        <v>Good work overall. The presenter had a passion for the project and was knowledgeable about the larger issue at hand. This work could be strengthened by creating a less text-heavy poster, as well as clearly guiding the viewer through each stage of the study, including methods, results, and conclusions. It was a bit difficult to follow at times just what was done and the specific results that were found.</v>
      </c>
      <c r="O1502" s="142" t="str">
        <f t="shared" si="1"/>
        <v/>
      </c>
      <c r="P1502" s="143" t="str">
        <f>IF(ISNA(VLOOKUP(CONCAT(M1502,C1502), 'Judge Count DO NOT EDIT'!H:H, 1, FALSE)), "ERROR","")</f>
        <v/>
      </c>
      <c r="Q1502" s="141"/>
      <c r="R1502" s="143"/>
      <c r="S1502" s="139" t="str">
        <f t="shared" si="2"/>
        <v>1016574</v>
      </c>
      <c r="T1502" s="141"/>
    </row>
    <row r="1503">
      <c r="A1503" s="137">
        <f>IFERROR(__xludf.DUMMYFUNCTION("""COMPUTED_VALUE"""),45352.679528333334)</f>
        <v>45352.67953</v>
      </c>
      <c r="B1503" s="138" t="str">
        <f>IFERROR(__xludf.DUMMYFUNCTION("""COMPUTED_VALUE"""),"Rachel Schuck")</f>
        <v>Rachel Schuck</v>
      </c>
      <c r="C1503" s="138">
        <f>IFERROR(__xludf.DUMMYFUNCTION("""COMPUTED_VALUE"""),1103.0)</f>
        <v>1103</v>
      </c>
      <c r="D1503" s="139">
        <f>IFERROR(__xludf.DUMMYFUNCTION("""COMPUTED_VALUE"""),575.0)</f>
        <v>575</v>
      </c>
      <c r="E1503" s="138">
        <f>IFERROR(__xludf.DUMMYFUNCTION("""COMPUTED_VALUE"""),5.0)</f>
        <v>5</v>
      </c>
      <c r="F1503" s="138">
        <f>IFERROR(__xludf.DUMMYFUNCTION("""COMPUTED_VALUE"""),3.0)</f>
        <v>3</v>
      </c>
      <c r="G1503" s="138">
        <f>IFERROR(__xludf.DUMMYFUNCTION("""COMPUTED_VALUE"""),4.0)</f>
        <v>4</v>
      </c>
      <c r="H1503" s="138">
        <f>IFERROR(__xludf.DUMMYFUNCTION("""COMPUTED_VALUE"""),3.0)</f>
        <v>3</v>
      </c>
      <c r="I1503" s="138">
        <f>IFERROR(__xludf.DUMMYFUNCTION("""COMPUTED_VALUE"""),4.0)</f>
        <v>4</v>
      </c>
      <c r="J1503" s="138">
        <f>IFERROR(__xludf.DUMMYFUNCTION("""COMPUTED_VALUE"""),3.0)</f>
        <v>3</v>
      </c>
      <c r="K1503" s="138">
        <f>IFERROR(__xludf.DUMMYFUNCTION("""COMPUTED_VALUE"""),5.0)</f>
        <v>5</v>
      </c>
      <c r="L1503" s="138">
        <v>27.0</v>
      </c>
      <c r="M1503" s="140" t="str">
        <f>VLOOKUP(text(D1503, "#"),'Master Table'!$A:$F, 6, FALSE)</f>
        <v>I-5</v>
      </c>
      <c r="N1503" s="141" t="str">
        <f>IFERROR(__xludf.DUMMYFUNCTION("""COMPUTED_VALUE"""),"This poster was very aesthetically pleasing and super organized! The presenter had great presentation skills and was very personable. They did a great job answering my questions and providing ideas for future research. I sometimes got a little lost during"&amp;" the explanation of the study, so I would suggest trying to tell a more linear story from background to method to results to implications. But you did a really great job overall!")</f>
        <v>This poster was very aesthetically pleasing and super organized! The presenter had great presentation skills and was very personable. They did a great job answering my questions and providing ideas for future research. I sometimes got a little lost during the explanation of the study, so I would suggest trying to tell a more linear story from background to method to results to implications. But you did a really great job overall!</v>
      </c>
      <c r="O1503" s="142" t="str">
        <f t="shared" si="1"/>
        <v/>
      </c>
      <c r="P1503" s="143" t="str">
        <f>IF(ISNA(VLOOKUP(CONCAT(M1503,C1503), 'Judge Count DO NOT EDIT'!H:H, 1, FALSE)), "ERROR","")</f>
        <v/>
      </c>
      <c r="Q1503" s="141"/>
      <c r="R1503" s="143"/>
      <c r="S1503" s="139" t="str">
        <f t="shared" si="2"/>
        <v>1103575</v>
      </c>
      <c r="T1503" s="141"/>
    </row>
    <row r="1504">
      <c r="A1504" s="137">
        <f>IFERROR(__xludf.DUMMYFUNCTION("""COMPUTED_VALUE"""),45352.67965306713)</f>
        <v>45352.67965</v>
      </c>
      <c r="B1504" s="138" t="str">
        <f>IFERROR(__xludf.DUMMYFUNCTION("""COMPUTED_VALUE"""),"Ashleigh Johnson")</f>
        <v>Ashleigh Johnson</v>
      </c>
      <c r="C1504" s="138">
        <f>IFERROR(__xludf.DUMMYFUNCTION("""COMPUTED_VALUE"""),1016.0)</f>
        <v>1016</v>
      </c>
      <c r="D1504" s="139">
        <f>IFERROR(__xludf.DUMMYFUNCTION("""COMPUTED_VALUE"""),575.0)</f>
        <v>575</v>
      </c>
      <c r="E1504" s="138">
        <f>IFERROR(__xludf.DUMMYFUNCTION("""COMPUTED_VALUE"""),4.0)</f>
        <v>4</v>
      </c>
      <c r="F1504" s="138">
        <f>IFERROR(__xludf.DUMMYFUNCTION("""COMPUTED_VALUE"""),3.0)</f>
        <v>3</v>
      </c>
      <c r="G1504" s="138">
        <f>IFERROR(__xludf.DUMMYFUNCTION("""COMPUTED_VALUE"""),4.0)</f>
        <v>4</v>
      </c>
      <c r="H1504" s="138">
        <f>IFERROR(__xludf.DUMMYFUNCTION("""COMPUTED_VALUE"""),4.0)</f>
        <v>4</v>
      </c>
      <c r="I1504" s="138">
        <f>IFERROR(__xludf.DUMMYFUNCTION("""COMPUTED_VALUE"""),4.0)</f>
        <v>4</v>
      </c>
      <c r="J1504" s="138">
        <f>IFERROR(__xludf.DUMMYFUNCTION("""COMPUTED_VALUE"""),3.0)</f>
        <v>3</v>
      </c>
      <c r="K1504" s="138">
        <f>IFERROR(__xludf.DUMMYFUNCTION("""COMPUTED_VALUE"""),4.0)</f>
        <v>4</v>
      </c>
      <c r="L1504" s="138">
        <v>26.0</v>
      </c>
      <c r="M1504" s="140" t="str">
        <f>VLOOKUP(text(D1504, "#"),'Master Table'!$A:$F, 6, FALSE)</f>
        <v>I-5</v>
      </c>
      <c r="N1504" s="141" t="str">
        <f>IFERROR(__xludf.DUMMYFUNCTION("""COMPUTED_VALUE"""),"The presenter did a great job of clearly presenting the research and walking the viewer through each stage of the study, including methods, results, and important next steps. The data were visually presented very well, clearly, and in an eye-catching way.")</f>
        <v>The presenter did a great job of clearly presenting the research and walking the viewer through each stage of the study, including methods, results, and important next steps. The data were visually presented very well, clearly, and in an eye-catching way.</v>
      </c>
      <c r="O1504" s="142" t="str">
        <f t="shared" si="1"/>
        <v/>
      </c>
      <c r="P1504" s="143" t="str">
        <f>IF(ISNA(VLOOKUP(CONCAT(M1504,C1504), 'Judge Count DO NOT EDIT'!H:H, 1, FALSE)), "ERROR","")</f>
        <v/>
      </c>
      <c r="Q1504" s="144"/>
      <c r="R1504" s="143"/>
      <c r="S1504" s="139" t="str">
        <f t="shared" si="2"/>
        <v>1016575</v>
      </c>
      <c r="T1504" s="141"/>
    </row>
    <row r="1505">
      <c r="A1505" s="137">
        <f>IFERROR(__xludf.DUMMYFUNCTION("""COMPUTED_VALUE"""),45352.68117865741)</f>
        <v>45352.68118</v>
      </c>
      <c r="B1505" s="138" t="str">
        <f>IFERROR(__xludf.DUMMYFUNCTION("""COMPUTED_VALUE"""),"Ashleigh Johnson")</f>
        <v>Ashleigh Johnson</v>
      </c>
      <c r="C1505" s="138">
        <f>IFERROR(__xludf.DUMMYFUNCTION("""COMPUTED_VALUE"""),1016.0)</f>
        <v>1016</v>
      </c>
      <c r="D1505" s="139">
        <f>IFERROR(__xludf.DUMMYFUNCTION("""COMPUTED_VALUE"""),576.0)</f>
        <v>576</v>
      </c>
      <c r="E1505" s="138">
        <f>IFERROR(__xludf.DUMMYFUNCTION("""COMPUTED_VALUE"""),4.0)</f>
        <v>4</v>
      </c>
      <c r="F1505" s="138">
        <f>IFERROR(__xludf.DUMMYFUNCTION("""COMPUTED_VALUE"""),4.0)</f>
        <v>4</v>
      </c>
      <c r="G1505" s="138">
        <f>IFERROR(__xludf.DUMMYFUNCTION("""COMPUTED_VALUE"""),3.0)</f>
        <v>3</v>
      </c>
      <c r="H1505" s="138">
        <f>IFERROR(__xludf.DUMMYFUNCTION("""COMPUTED_VALUE"""),4.0)</f>
        <v>4</v>
      </c>
      <c r="I1505" s="138">
        <f>IFERROR(__xludf.DUMMYFUNCTION("""COMPUTED_VALUE"""),4.0)</f>
        <v>4</v>
      </c>
      <c r="J1505" s="138">
        <f>IFERROR(__xludf.DUMMYFUNCTION("""COMPUTED_VALUE"""),3.0)</f>
        <v>3</v>
      </c>
      <c r="K1505" s="138">
        <f>IFERROR(__xludf.DUMMYFUNCTION("""COMPUTED_VALUE"""),4.0)</f>
        <v>4</v>
      </c>
      <c r="L1505" s="138">
        <v>26.0</v>
      </c>
      <c r="M1505" s="140" t="str">
        <f>VLOOKUP(text(D1505, "#"),'Master Table'!$A:$F, 6, FALSE)</f>
        <v>I-5</v>
      </c>
      <c r="N1505" s="141" t="str">
        <f>IFERROR(__xludf.DUMMYFUNCTION("""COMPUTED_VALUE"""),"Great work overall. The presenter did a great job of describing the methods and results, and paid particular attention to presenting these data in a clear and understandable way. One suggestion I have is to consider reducing the number of findings that we"&amp;"re presented. Although it was done well, the number of results could be a bit overwhelming for a non-expert to follow.")</f>
        <v>Great work overall. The presenter did a great job of describing the methods and results, and paid particular attention to presenting these data in a clear and understandable way. One suggestion I have is to consider reducing the number of findings that were presented. Although it was done well, the number of results could be a bit overwhelming for a non-expert to follow.</v>
      </c>
      <c r="O1505" s="142" t="str">
        <f t="shared" si="1"/>
        <v/>
      </c>
      <c r="P1505" s="143" t="str">
        <f>IF(ISNA(VLOOKUP(CONCAT(M1505,C1505), 'Judge Count DO NOT EDIT'!H:H, 1, FALSE)), "ERROR","")</f>
        <v/>
      </c>
      <c r="Q1505" s="141"/>
      <c r="R1505" s="143"/>
      <c r="S1505" s="139" t="str">
        <f t="shared" si="2"/>
        <v>1016576</v>
      </c>
      <c r="T1505" s="141"/>
    </row>
    <row r="1506">
      <c r="A1506" s="137">
        <f>IFERROR(__xludf.DUMMYFUNCTION("""COMPUTED_VALUE"""),45352.69158082176)</f>
        <v>45352.69158</v>
      </c>
      <c r="B1506" s="138" t="str">
        <f>IFERROR(__xludf.DUMMYFUNCTION("""COMPUTED_VALUE"""),"Rachel Schuck")</f>
        <v>Rachel Schuck</v>
      </c>
      <c r="C1506" s="138">
        <f>IFERROR(__xludf.DUMMYFUNCTION("""COMPUTED_VALUE"""),1103.0)</f>
        <v>1103</v>
      </c>
      <c r="D1506" s="139">
        <f>IFERROR(__xludf.DUMMYFUNCTION("""COMPUTED_VALUE"""),576.0)</f>
        <v>576</v>
      </c>
      <c r="E1506" s="138">
        <f>IFERROR(__xludf.DUMMYFUNCTION("""COMPUTED_VALUE"""),4.0)</f>
        <v>4</v>
      </c>
      <c r="F1506" s="138">
        <f>IFERROR(__xludf.DUMMYFUNCTION("""COMPUTED_VALUE"""),5.0)</f>
        <v>5</v>
      </c>
      <c r="G1506" s="138">
        <f>IFERROR(__xludf.DUMMYFUNCTION("""COMPUTED_VALUE"""),5.0)</f>
        <v>5</v>
      </c>
      <c r="H1506" s="138">
        <f>IFERROR(__xludf.DUMMYFUNCTION("""COMPUTED_VALUE"""),4.0)</f>
        <v>4</v>
      </c>
      <c r="I1506" s="138">
        <f>IFERROR(__xludf.DUMMYFUNCTION("""COMPUTED_VALUE"""),4.0)</f>
        <v>4</v>
      </c>
      <c r="J1506" s="138">
        <f>IFERROR(__xludf.DUMMYFUNCTION("""COMPUTED_VALUE"""),3.0)</f>
        <v>3</v>
      </c>
      <c r="K1506" s="138">
        <f>IFERROR(__xludf.DUMMYFUNCTION("""COMPUTED_VALUE"""),4.0)</f>
        <v>4</v>
      </c>
      <c r="L1506" s="138">
        <v>29.0</v>
      </c>
      <c r="M1506" s="140" t="str">
        <f>VLOOKUP(text(D1506, "#"),'Master Table'!$A:$F, 6, FALSE)</f>
        <v>I-5</v>
      </c>
      <c r="N1506" s="141" t="str">
        <f>IFERROR(__xludf.DUMMYFUNCTION("""COMPUTED_VALUE"""),"Presenter  did a fantastic job explaining really complex research. The poster also had mostly figures which was nice for looking at it. Given that the audience for this conference is quite broad, I would have appreciated more labels on the figures (eg eve"&amp;"n just “control” and “affected” would have helped orient me). Presenter did a nice job connecting basic science to applications in humans.")</f>
        <v>Presenter  did a fantastic job explaining really complex research. The poster also had mostly figures which was nice for looking at it. Given that the audience for this conference is quite broad, I would have appreciated more labels on the figures (eg even just “control” and “affected” would have helped orient me). Presenter did a nice job connecting basic science to applications in humans.</v>
      </c>
      <c r="O1506" s="142" t="str">
        <f t="shared" si="1"/>
        <v/>
      </c>
      <c r="P1506" s="143" t="str">
        <f>IF(ISNA(VLOOKUP(CONCAT(M1506,C1506), 'Judge Count DO NOT EDIT'!H:H, 1, FALSE)), "ERROR","")</f>
        <v/>
      </c>
      <c r="Q1506" s="141"/>
      <c r="R1506" s="143"/>
      <c r="S1506" s="139" t="str">
        <f t="shared" si="2"/>
        <v>1103576</v>
      </c>
      <c r="T1506" s="141"/>
    </row>
    <row r="1507">
      <c r="A1507" s="137">
        <f>IFERROR(__xludf.DUMMYFUNCTION("""COMPUTED_VALUE"""),45352.64484923611)</f>
        <v>45352.64485</v>
      </c>
      <c r="B1507" s="138" t="str">
        <f>IFERROR(__xludf.DUMMYFUNCTION("""COMPUTED_VALUE"""),"Rachel Schuck")</f>
        <v>Rachel Schuck</v>
      </c>
      <c r="C1507" s="138">
        <f>IFERROR(__xludf.DUMMYFUNCTION("""COMPUTED_VALUE"""),1103.0)</f>
        <v>1103</v>
      </c>
      <c r="D1507" s="139">
        <f>IFERROR(__xludf.DUMMYFUNCTION("""COMPUTED_VALUE"""),577.0)</f>
        <v>577</v>
      </c>
      <c r="E1507" s="138">
        <f>IFERROR(__xludf.DUMMYFUNCTION("""COMPUTED_VALUE"""),3.0)</f>
        <v>3</v>
      </c>
      <c r="F1507" s="138">
        <f>IFERROR(__xludf.DUMMYFUNCTION("""COMPUTED_VALUE"""),4.0)</f>
        <v>4</v>
      </c>
      <c r="G1507" s="138">
        <f>IFERROR(__xludf.DUMMYFUNCTION("""COMPUTED_VALUE"""),3.0)</f>
        <v>3</v>
      </c>
      <c r="H1507" s="138">
        <f>IFERROR(__xludf.DUMMYFUNCTION("""COMPUTED_VALUE"""),4.0)</f>
        <v>4</v>
      </c>
      <c r="I1507" s="138">
        <f>IFERROR(__xludf.DUMMYFUNCTION("""COMPUTED_VALUE"""),4.0)</f>
        <v>4</v>
      </c>
      <c r="J1507" s="138">
        <f>IFERROR(__xludf.DUMMYFUNCTION("""COMPUTED_VALUE"""),3.0)</f>
        <v>3</v>
      </c>
      <c r="K1507" s="138">
        <f>IFERROR(__xludf.DUMMYFUNCTION("""COMPUTED_VALUE"""),5.0)</f>
        <v>5</v>
      </c>
      <c r="L1507" s="138">
        <v>26.0</v>
      </c>
      <c r="M1507" s="140" t="str">
        <f>VLOOKUP(text(D1507, "#"),'Master Table'!$A:$F, 6, FALSE)</f>
        <v>I-5</v>
      </c>
      <c r="N1507" s="141" t="str">
        <f>IFERROR(__xludf.DUMMYFUNCTION("""COMPUTED_VALUE"""),"Presenter was very personable and made me feel like their research was important. I was impressed with their plans for future research. I wished they had explained the data source and described the data/methods in their  original spiel. Great work!")</f>
        <v>Presenter was very personable and made me feel like their research was important. I was impressed with their plans for future research. I wished they had explained the data source and described the data/methods in their  original spiel. Great work!</v>
      </c>
      <c r="O1507" s="142" t="str">
        <f t="shared" si="1"/>
        <v/>
      </c>
      <c r="P1507" s="143" t="str">
        <f>IF(ISNA(VLOOKUP(CONCAT(M1507,C1507), 'Judge Count DO NOT EDIT'!H:H, 1, FALSE)), "ERROR","")</f>
        <v/>
      </c>
      <c r="Q1507" s="141"/>
      <c r="R1507" s="143"/>
      <c r="S1507" s="139" t="str">
        <f t="shared" si="2"/>
        <v>1103577</v>
      </c>
      <c r="T1507" s="141"/>
    </row>
    <row r="1508">
      <c r="A1508" s="137">
        <f>IFERROR(__xludf.DUMMYFUNCTION("""COMPUTED_VALUE"""),45352.682585312505)</f>
        <v>45352.68259</v>
      </c>
      <c r="B1508" s="138" t="str">
        <f>IFERROR(__xludf.DUMMYFUNCTION("""COMPUTED_VALUE"""),"Ashleigh Johnson")</f>
        <v>Ashleigh Johnson</v>
      </c>
      <c r="C1508" s="138">
        <f>IFERROR(__xludf.DUMMYFUNCTION("""COMPUTED_VALUE"""),1016.0)</f>
        <v>1016</v>
      </c>
      <c r="D1508" s="139">
        <f>IFERROR(__xludf.DUMMYFUNCTION("""COMPUTED_VALUE"""),577.0)</f>
        <v>577</v>
      </c>
      <c r="E1508" s="138">
        <f>IFERROR(__xludf.DUMMYFUNCTION("""COMPUTED_VALUE"""),3.0)</f>
        <v>3</v>
      </c>
      <c r="F1508" s="138">
        <f>IFERROR(__xludf.DUMMYFUNCTION("""COMPUTED_VALUE"""),3.0)</f>
        <v>3</v>
      </c>
      <c r="G1508" s="138">
        <f>IFERROR(__xludf.DUMMYFUNCTION("""COMPUTED_VALUE"""),3.0)</f>
        <v>3</v>
      </c>
      <c r="H1508" s="138">
        <f>IFERROR(__xludf.DUMMYFUNCTION("""COMPUTED_VALUE"""),3.0)</f>
        <v>3</v>
      </c>
      <c r="I1508" s="138">
        <f>IFERROR(__xludf.DUMMYFUNCTION("""COMPUTED_VALUE"""),4.0)</f>
        <v>4</v>
      </c>
      <c r="J1508" s="138">
        <f>IFERROR(__xludf.DUMMYFUNCTION("""COMPUTED_VALUE"""),4.0)</f>
        <v>4</v>
      </c>
      <c r="K1508" s="138">
        <f>IFERROR(__xludf.DUMMYFUNCTION("""COMPUTED_VALUE"""),4.0)</f>
        <v>4</v>
      </c>
      <c r="L1508" s="138">
        <v>24.0</v>
      </c>
      <c r="M1508" s="140" t="str">
        <f>VLOOKUP(text(D1508, "#"),'Master Table'!$A:$F, 6, FALSE)</f>
        <v>I-5</v>
      </c>
      <c r="N1508" s="141" t="str">
        <f>IFERROR(__xludf.DUMMYFUNCTION("""COMPUTED_VALUE"""),"Great work overall. The presenter did a great job of highlighting what was done and the significance of this work. It was also evident that the presenter was passionate about the study and had a clear idea about its significance and the next steps. One su"&amp;"ggestion I have is to be cautious about use of causal language (e.g., impact), particularly in the study purpose, given that this was a cross-sectional study.")</f>
        <v>Great work overall. The presenter did a great job of highlighting what was done and the significance of this work. It was also evident that the presenter was passionate about the study and had a clear idea about its significance and the next steps. One suggestion I have is to be cautious about use of causal language (e.g., impact), particularly in the study purpose, given that this was a cross-sectional study.</v>
      </c>
      <c r="O1508" s="142" t="str">
        <f t="shared" si="1"/>
        <v/>
      </c>
      <c r="P1508" s="143" t="str">
        <f>IF(ISNA(VLOOKUP(CONCAT(M1508,C1508), 'Judge Count DO NOT EDIT'!H:H, 1, FALSE)), "ERROR","")</f>
        <v/>
      </c>
      <c r="Q1508" s="144"/>
      <c r="R1508" s="143"/>
      <c r="S1508" s="139" t="str">
        <f t="shared" si="2"/>
        <v>1016577</v>
      </c>
      <c r="T1508" s="141"/>
    </row>
    <row r="1509">
      <c r="A1509" s="137">
        <f>IFERROR(__xludf.DUMMYFUNCTION("""COMPUTED_VALUE"""),45352.63867532407)</f>
        <v>45352.63868</v>
      </c>
      <c r="B1509" s="138" t="str">
        <f>IFERROR(__xludf.DUMMYFUNCTION("""COMPUTED_VALUE"""),"Naveen Vaidya ")</f>
        <v>Naveen Vaidya </v>
      </c>
      <c r="C1509" s="138">
        <f>IFERROR(__xludf.DUMMYFUNCTION("""COMPUTED_VALUE"""),1192.0)</f>
        <v>1192</v>
      </c>
      <c r="D1509" s="139">
        <f>IFERROR(__xludf.DUMMYFUNCTION("""COMPUTED_VALUE"""),579.0)</f>
        <v>579</v>
      </c>
      <c r="E1509" s="138">
        <f>IFERROR(__xludf.DUMMYFUNCTION("""COMPUTED_VALUE"""),4.0)</f>
        <v>4</v>
      </c>
      <c r="F1509" s="138">
        <f>IFERROR(__xludf.DUMMYFUNCTION("""COMPUTED_VALUE"""),4.0)</f>
        <v>4</v>
      </c>
      <c r="G1509" s="138">
        <f>IFERROR(__xludf.DUMMYFUNCTION("""COMPUTED_VALUE"""),4.0)</f>
        <v>4</v>
      </c>
      <c r="H1509" s="138">
        <f>IFERROR(__xludf.DUMMYFUNCTION("""COMPUTED_VALUE"""),3.0)</f>
        <v>3</v>
      </c>
      <c r="I1509" s="138">
        <f>IFERROR(__xludf.DUMMYFUNCTION("""COMPUTED_VALUE"""),3.0)</f>
        <v>3</v>
      </c>
      <c r="J1509" s="138">
        <f>IFERROR(__xludf.DUMMYFUNCTION("""COMPUTED_VALUE"""),3.0)</f>
        <v>3</v>
      </c>
      <c r="K1509" s="138">
        <f>IFERROR(__xludf.DUMMYFUNCTION("""COMPUTED_VALUE"""),3.0)</f>
        <v>3</v>
      </c>
      <c r="L1509" s="138">
        <v>24.0</v>
      </c>
      <c r="M1509" s="140" t="str">
        <f>VLOOKUP(text(D1509, "#"),'Master Table'!$A:$F, 6, FALSE)</f>
        <v>I-6</v>
      </c>
      <c r="N1509" s="141"/>
      <c r="O1509" s="142" t="str">
        <f t="shared" si="1"/>
        <v/>
      </c>
      <c r="P1509" s="143" t="str">
        <f>IF(ISNA(VLOOKUP(CONCAT(M1509,C1509), 'Judge Count DO NOT EDIT'!H:H, 1, FALSE)), "ERROR","")</f>
        <v/>
      </c>
      <c r="Q1509" s="141"/>
      <c r="R1509" s="143"/>
      <c r="S1509" s="139" t="str">
        <f t="shared" si="2"/>
        <v>1192579</v>
      </c>
      <c r="T1509" s="141"/>
    </row>
    <row r="1510">
      <c r="A1510" s="137">
        <f>IFERROR(__xludf.DUMMYFUNCTION("""COMPUTED_VALUE"""),45352.67649899305)</f>
        <v>45352.6765</v>
      </c>
      <c r="B1510" s="138" t="str">
        <f>IFERROR(__xludf.DUMMYFUNCTION("""COMPUTED_VALUE"""),"Anel Lizcano ")</f>
        <v>Anel Lizcano </v>
      </c>
      <c r="C1510" s="138">
        <f>IFERROR(__xludf.DUMMYFUNCTION("""COMPUTED_VALUE"""),1209.0)</f>
        <v>1209</v>
      </c>
      <c r="D1510" s="139">
        <f>IFERROR(__xludf.DUMMYFUNCTION("""COMPUTED_VALUE"""),579.0)</f>
        <v>579</v>
      </c>
      <c r="E1510" s="138">
        <f>IFERROR(__xludf.DUMMYFUNCTION("""COMPUTED_VALUE"""),4.0)</f>
        <v>4</v>
      </c>
      <c r="F1510" s="138">
        <f>IFERROR(__xludf.DUMMYFUNCTION("""COMPUTED_VALUE"""),4.0)</f>
        <v>4</v>
      </c>
      <c r="G1510" s="138">
        <f>IFERROR(__xludf.DUMMYFUNCTION("""COMPUTED_VALUE"""),5.0)</f>
        <v>5</v>
      </c>
      <c r="H1510" s="138">
        <f>IFERROR(__xludf.DUMMYFUNCTION("""COMPUTED_VALUE"""),3.0)</f>
        <v>3</v>
      </c>
      <c r="I1510" s="138">
        <f>IFERROR(__xludf.DUMMYFUNCTION("""COMPUTED_VALUE"""),5.0)</f>
        <v>5</v>
      </c>
      <c r="J1510" s="138">
        <f>IFERROR(__xludf.DUMMYFUNCTION("""COMPUTED_VALUE"""),4.0)</f>
        <v>4</v>
      </c>
      <c r="K1510" s="138">
        <f>IFERROR(__xludf.DUMMYFUNCTION("""COMPUTED_VALUE"""),4.0)</f>
        <v>4</v>
      </c>
      <c r="L1510" s="138">
        <v>29.0</v>
      </c>
      <c r="M1510" s="140" t="str">
        <f>VLOOKUP(text(D1510, "#"),'Master Table'!$A:$F, 6, FALSE)</f>
        <v>I-6</v>
      </c>
      <c r="N1510" s="141" t="str">
        <f>IFERROR(__xludf.DUMMYFUNCTION("""COMPUTED_VALUE"""),"Great presentation with so much enthusiasm in the project.  It would be beneficial to have images of the signaling pathways. ")</f>
        <v>Great presentation with so much enthusiasm in the project.  It would be beneficial to have images of the signaling pathways. </v>
      </c>
      <c r="O1510" s="142" t="str">
        <f t="shared" si="1"/>
        <v/>
      </c>
      <c r="P1510" s="143" t="str">
        <f>IF(ISNA(VLOOKUP(CONCAT(M1510,C1510), 'Judge Count DO NOT EDIT'!H:H, 1, FALSE)), "ERROR","")</f>
        <v/>
      </c>
      <c r="Q1510" s="141"/>
      <c r="R1510" s="143"/>
      <c r="S1510" s="139" t="str">
        <f t="shared" si="2"/>
        <v>1209579</v>
      </c>
      <c r="T1510" s="141"/>
    </row>
    <row r="1511">
      <c r="A1511" s="137">
        <f>IFERROR(__xludf.DUMMYFUNCTION("""COMPUTED_VALUE"""),45352.688616458334)</f>
        <v>45352.68862</v>
      </c>
      <c r="B1511" s="138" t="str">
        <f>IFERROR(__xludf.DUMMYFUNCTION("""COMPUTED_VALUE"""),"Matthew Verbyla")</f>
        <v>Matthew Verbyla</v>
      </c>
      <c r="C1511" s="138">
        <f>IFERROR(__xludf.DUMMYFUNCTION("""COMPUTED_VALUE"""),1159.0)</f>
        <v>1159</v>
      </c>
      <c r="D1511" s="139">
        <f>IFERROR(__xludf.DUMMYFUNCTION("""COMPUTED_VALUE"""),579.0)</f>
        <v>579</v>
      </c>
      <c r="E1511" s="138">
        <f>IFERROR(__xludf.DUMMYFUNCTION("""COMPUTED_VALUE"""),5.0)</f>
        <v>5</v>
      </c>
      <c r="F1511" s="138">
        <f>IFERROR(__xludf.DUMMYFUNCTION("""COMPUTED_VALUE"""),5.0)</f>
        <v>5</v>
      </c>
      <c r="G1511" s="138">
        <f>IFERROR(__xludf.DUMMYFUNCTION("""COMPUTED_VALUE"""),4.0)</f>
        <v>4</v>
      </c>
      <c r="H1511" s="138">
        <f>IFERROR(__xludf.DUMMYFUNCTION("""COMPUTED_VALUE"""),5.0)</f>
        <v>5</v>
      </c>
      <c r="I1511" s="138">
        <f>IFERROR(__xludf.DUMMYFUNCTION("""COMPUTED_VALUE"""),5.0)</f>
        <v>5</v>
      </c>
      <c r="J1511" s="138">
        <f>IFERROR(__xludf.DUMMYFUNCTION("""COMPUTED_VALUE"""),3.0)</f>
        <v>3</v>
      </c>
      <c r="K1511" s="138">
        <f>IFERROR(__xludf.DUMMYFUNCTION("""COMPUTED_VALUE"""),5.0)</f>
        <v>5</v>
      </c>
      <c r="L1511" s="138">
        <v>32.0</v>
      </c>
      <c r="M1511" s="140" t="str">
        <f>VLOOKUP(text(D1511, "#"),'Master Table'!$A:$F, 6, FALSE)</f>
        <v>I-6</v>
      </c>
      <c r="N1511" s="141" t="str">
        <f>IFERROR(__xludf.DUMMYFUNCTION("""COMPUTED_VALUE"""),"Excellent job explaining the details and relating it to the bigger picture. Student had a lot of data for being early on in the PhD degree, had a great vision of what direction the research was going to go in the future. Suggestions for improvement: focus"&amp;" on describing the findings using less scientific jargon. Overall great job!")</f>
        <v>Excellent job explaining the details and relating it to the bigger picture. Student had a lot of data for being early on in the PhD degree, had a great vision of what direction the research was going to go in the future. Suggestions for improvement: focus on describing the findings using less scientific jargon. Overall great job!</v>
      </c>
      <c r="O1511" s="142" t="str">
        <f t="shared" si="1"/>
        <v/>
      </c>
      <c r="P1511" s="143" t="str">
        <f>IF(ISNA(VLOOKUP(CONCAT(M1511,C1511), 'Judge Count DO NOT EDIT'!H:H, 1, FALSE)), "ERROR","")</f>
        <v/>
      </c>
      <c r="Q1511" s="141"/>
      <c r="R1511" s="143"/>
      <c r="S1511" s="139" t="str">
        <f t="shared" si="2"/>
        <v>1159579</v>
      </c>
      <c r="T1511" s="141"/>
    </row>
    <row r="1512">
      <c r="A1512" s="137">
        <f>IFERROR(__xludf.DUMMYFUNCTION("""COMPUTED_VALUE"""),45352.71566327546)</f>
        <v>45352.71566</v>
      </c>
      <c r="B1512" s="138" t="str">
        <f>IFERROR(__xludf.DUMMYFUNCTION("""COMPUTED_VALUE"""),"Tiffany Luong")</f>
        <v>Tiffany Luong</v>
      </c>
      <c r="C1512" s="138">
        <f>IFERROR(__xludf.DUMMYFUNCTION("""COMPUTED_VALUE"""),1158.0)</f>
        <v>1158</v>
      </c>
      <c r="D1512" s="139">
        <f>IFERROR(__xludf.DUMMYFUNCTION("""COMPUTED_VALUE"""),579.0)</f>
        <v>579</v>
      </c>
      <c r="E1512" s="138">
        <f>IFERROR(__xludf.DUMMYFUNCTION("""COMPUTED_VALUE"""),4.0)</f>
        <v>4</v>
      </c>
      <c r="F1512" s="138">
        <f>IFERROR(__xludf.DUMMYFUNCTION("""COMPUTED_VALUE"""),4.0)</f>
        <v>4</v>
      </c>
      <c r="G1512" s="138">
        <f>IFERROR(__xludf.DUMMYFUNCTION("""COMPUTED_VALUE"""),4.0)</f>
        <v>4</v>
      </c>
      <c r="H1512" s="138">
        <f>IFERROR(__xludf.DUMMYFUNCTION("""COMPUTED_VALUE"""),4.0)</f>
        <v>4</v>
      </c>
      <c r="I1512" s="138">
        <f>IFERROR(__xludf.DUMMYFUNCTION("""COMPUTED_VALUE"""),5.0)</f>
        <v>5</v>
      </c>
      <c r="J1512" s="138">
        <f>IFERROR(__xludf.DUMMYFUNCTION("""COMPUTED_VALUE"""),4.0)</f>
        <v>4</v>
      </c>
      <c r="K1512" s="138">
        <f>IFERROR(__xludf.DUMMYFUNCTION("""COMPUTED_VALUE"""),5.0)</f>
        <v>5</v>
      </c>
      <c r="L1512" s="138">
        <v>30.0</v>
      </c>
      <c r="M1512" s="140" t="str">
        <f>VLOOKUP(text(D1512, "#"),'Master Table'!$A:$F, 6, FALSE)</f>
        <v>I-6</v>
      </c>
      <c r="N1512" s="141" t="str">
        <f>IFERROR(__xludf.DUMMYFUNCTION("""COMPUTED_VALUE"""),"Clear understanding of underlying biological pathways and research tools. Able to articulate experimental results and future directions clearly.")</f>
        <v>Clear understanding of underlying biological pathways and research tools. Able to articulate experimental results and future directions clearly.</v>
      </c>
      <c r="O1512" s="142" t="str">
        <f t="shared" si="1"/>
        <v/>
      </c>
      <c r="P1512" s="143" t="str">
        <f>IF(ISNA(VLOOKUP(CONCAT(M1512,C1512), 'Judge Count DO NOT EDIT'!H:H, 1, FALSE)), "ERROR","")</f>
        <v/>
      </c>
      <c r="Q1512" s="141"/>
      <c r="R1512" s="143"/>
      <c r="S1512" s="139" t="str">
        <f t="shared" si="2"/>
        <v>1158579</v>
      </c>
      <c r="T1512" s="141"/>
    </row>
    <row r="1513">
      <c r="A1513" s="137">
        <f>IFERROR(__xludf.DUMMYFUNCTION("""COMPUTED_VALUE"""),45352.655401655094)</f>
        <v>45352.6554</v>
      </c>
      <c r="B1513" s="138" t="str">
        <f>IFERROR(__xludf.DUMMYFUNCTION("""COMPUTED_VALUE"""),"Naveen Vaidya ")</f>
        <v>Naveen Vaidya </v>
      </c>
      <c r="C1513" s="138">
        <f>IFERROR(__xludf.DUMMYFUNCTION("""COMPUTED_VALUE"""),1192.0)</f>
        <v>1192</v>
      </c>
      <c r="D1513" s="139">
        <f>IFERROR(__xludf.DUMMYFUNCTION("""COMPUTED_VALUE"""),580.0)</f>
        <v>580</v>
      </c>
      <c r="E1513" s="138">
        <f>IFERROR(__xludf.DUMMYFUNCTION("""COMPUTED_VALUE"""),3.0)</f>
        <v>3</v>
      </c>
      <c r="F1513" s="138">
        <f>IFERROR(__xludf.DUMMYFUNCTION("""COMPUTED_VALUE"""),2.0)</f>
        <v>2</v>
      </c>
      <c r="G1513" s="138">
        <f>IFERROR(__xludf.DUMMYFUNCTION("""COMPUTED_VALUE"""),3.0)</f>
        <v>3</v>
      </c>
      <c r="H1513" s="138">
        <f>IFERROR(__xludf.DUMMYFUNCTION("""COMPUTED_VALUE"""),3.0)</f>
        <v>3</v>
      </c>
      <c r="I1513" s="138">
        <f>IFERROR(__xludf.DUMMYFUNCTION("""COMPUTED_VALUE"""),2.0)</f>
        <v>2</v>
      </c>
      <c r="J1513" s="138">
        <f>IFERROR(__xludf.DUMMYFUNCTION("""COMPUTED_VALUE"""),2.0)</f>
        <v>2</v>
      </c>
      <c r="K1513" s="138">
        <f>IFERROR(__xludf.DUMMYFUNCTION("""COMPUTED_VALUE"""),2.0)</f>
        <v>2</v>
      </c>
      <c r="L1513" s="138">
        <v>17.0</v>
      </c>
      <c r="M1513" s="140" t="str">
        <f>VLOOKUP(text(D1513, "#"),'Master Table'!$A:$F, 6, FALSE)</f>
        <v>I-6</v>
      </c>
      <c r="N1513" s="141"/>
      <c r="O1513" s="142" t="str">
        <f t="shared" si="1"/>
        <v/>
      </c>
      <c r="P1513" s="143" t="str">
        <f>IF(ISNA(VLOOKUP(CONCAT(M1513,C1513), 'Judge Count DO NOT EDIT'!H:H, 1, FALSE)), "ERROR","")</f>
        <v/>
      </c>
      <c r="Q1513" s="141"/>
      <c r="R1513" s="143"/>
      <c r="S1513" s="139" t="str">
        <f t="shared" si="2"/>
        <v>1192580</v>
      </c>
      <c r="T1513" s="141"/>
    </row>
    <row r="1514">
      <c r="A1514" s="137">
        <f>IFERROR(__xludf.DUMMYFUNCTION("""COMPUTED_VALUE"""),45352.656060277775)</f>
        <v>45352.65606</v>
      </c>
      <c r="B1514" s="138" t="str">
        <f>IFERROR(__xludf.DUMMYFUNCTION("""COMPUTED_VALUE"""),"Anel Lizcano ")</f>
        <v>Anel Lizcano </v>
      </c>
      <c r="C1514" s="138">
        <f>IFERROR(__xludf.DUMMYFUNCTION("""COMPUTED_VALUE"""),1209.0)</f>
        <v>1209</v>
      </c>
      <c r="D1514" s="139">
        <f>IFERROR(__xludf.DUMMYFUNCTION("""COMPUTED_VALUE"""),580.0)</f>
        <v>580</v>
      </c>
      <c r="E1514" s="138">
        <f>IFERROR(__xludf.DUMMYFUNCTION("""COMPUTED_VALUE"""),4.0)</f>
        <v>4</v>
      </c>
      <c r="F1514" s="138">
        <f>IFERROR(__xludf.DUMMYFUNCTION("""COMPUTED_VALUE"""),4.0)</f>
        <v>4</v>
      </c>
      <c r="G1514" s="138">
        <f>IFERROR(__xludf.DUMMYFUNCTION("""COMPUTED_VALUE"""),4.0)</f>
        <v>4</v>
      </c>
      <c r="H1514" s="138">
        <f>IFERROR(__xludf.DUMMYFUNCTION("""COMPUTED_VALUE"""),3.0)</f>
        <v>3</v>
      </c>
      <c r="I1514" s="138">
        <f>IFERROR(__xludf.DUMMYFUNCTION("""COMPUTED_VALUE"""),4.0)</f>
        <v>4</v>
      </c>
      <c r="J1514" s="138">
        <f>IFERROR(__xludf.DUMMYFUNCTION("""COMPUTED_VALUE"""),3.0)</f>
        <v>3</v>
      </c>
      <c r="K1514" s="138">
        <f>IFERROR(__xludf.DUMMYFUNCTION("""COMPUTED_VALUE"""),3.0)</f>
        <v>3</v>
      </c>
      <c r="L1514" s="138">
        <v>25.0</v>
      </c>
      <c r="M1514" s="140" t="str">
        <f>VLOOKUP(text(D1514, "#"),'Master Table'!$A:$F, 6, FALSE)</f>
        <v>I-6</v>
      </c>
      <c r="N1514" s="141" t="str">
        <f>IFERROR(__xludf.DUMMYFUNCTION("""COMPUTED_VALUE"""),"Project has great potential but need more evidence to affirm conclusions such as what are markers for inflammation ")</f>
        <v>Project has great potential but need more evidence to affirm conclusions such as what are markers for inflammation </v>
      </c>
      <c r="O1514" s="142" t="str">
        <f t="shared" si="1"/>
        <v/>
      </c>
      <c r="P1514" s="143" t="str">
        <f>IF(ISNA(VLOOKUP(CONCAT(M1514,C1514), 'Judge Count DO NOT EDIT'!H:H, 1, FALSE)), "ERROR","")</f>
        <v/>
      </c>
      <c r="Q1514" s="141"/>
      <c r="R1514" s="143"/>
      <c r="S1514" s="139" t="str">
        <f t="shared" si="2"/>
        <v>1209580</v>
      </c>
      <c r="T1514" s="141"/>
    </row>
    <row r="1515">
      <c r="A1515" s="137">
        <f>IFERROR(__xludf.DUMMYFUNCTION("""COMPUTED_VALUE"""),45352.692888171296)</f>
        <v>45352.69289</v>
      </c>
      <c r="B1515" s="138" t="str">
        <f>IFERROR(__xludf.DUMMYFUNCTION("""COMPUTED_VALUE"""),"Matthew Verbyla")</f>
        <v>Matthew Verbyla</v>
      </c>
      <c r="C1515" s="138">
        <f>IFERROR(__xludf.DUMMYFUNCTION("""COMPUTED_VALUE"""),1159.0)</f>
        <v>1159</v>
      </c>
      <c r="D1515" s="139">
        <f>IFERROR(__xludf.DUMMYFUNCTION("""COMPUTED_VALUE"""),580.0)</f>
        <v>580</v>
      </c>
      <c r="E1515" s="138">
        <f>IFERROR(__xludf.DUMMYFUNCTION("""COMPUTED_VALUE"""),4.0)</f>
        <v>4</v>
      </c>
      <c r="F1515" s="138">
        <f>IFERROR(__xludf.DUMMYFUNCTION("""COMPUTED_VALUE"""),4.0)</f>
        <v>4</v>
      </c>
      <c r="G1515" s="138">
        <f>IFERROR(__xludf.DUMMYFUNCTION("""COMPUTED_VALUE"""),5.0)</f>
        <v>5</v>
      </c>
      <c r="H1515" s="138">
        <f>IFERROR(__xludf.DUMMYFUNCTION("""COMPUTED_VALUE"""),5.0)</f>
        <v>5</v>
      </c>
      <c r="I1515" s="138">
        <f>IFERROR(__xludf.DUMMYFUNCTION("""COMPUTED_VALUE"""),3.0)</f>
        <v>3</v>
      </c>
      <c r="J1515" s="138">
        <f>IFERROR(__xludf.DUMMYFUNCTION("""COMPUTED_VALUE"""),4.0)</f>
        <v>4</v>
      </c>
      <c r="K1515" s="138">
        <f>IFERROR(__xludf.DUMMYFUNCTION("""COMPUTED_VALUE"""),3.0)</f>
        <v>3</v>
      </c>
      <c r="L1515" s="138">
        <v>28.0</v>
      </c>
      <c r="M1515" s="140" t="str">
        <f>VLOOKUP(text(D1515, "#"),'Master Table'!$A:$F, 6, FALSE)</f>
        <v>I-6</v>
      </c>
      <c r="N1515" s="141" t="str">
        <f>IFERROR(__xludf.DUMMYFUNCTION("""COMPUTED_VALUE"""),"Really interesting presentation, the presenter did a great job using terminology that was easy to understand, even for people outside of the presenter's discipline. She did a great job describing the current results (gut dimension measurements) and also e"&amp;"xplaining how the future sequencing data would complement that. In terms of delivery, the voice mannerisms, body language, and communication skills were all very effective, except the presenter was looking, talking, and focusing much more on one person in"&amp;" the audience and not the other (would have been better to focus equally on all members of the audience). However, overall this was a very good presentation!")</f>
        <v>Really interesting presentation, the presenter did a great job using terminology that was easy to understand, even for people outside of the presenter's discipline. She did a great job describing the current results (gut dimension measurements) and also explaining how the future sequencing data would complement that. In terms of delivery, the voice mannerisms, body language, and communication skills were all very effective, except the presenter was looking, talking, and focusing much more on one person in the audience and not the other (would have been better to focus equally on all members of the audience). However, overall this was a very good presentation!</v>
      </c>
      <c r="O1515" s="142" t="str">
        <f t="shared" si="1"/>
        <v/>
      </c>
      <c r="P1515" s="143" t="str">
        <f>IF(ISNA(VLOOKUP(CONCAT(M1515,C1515), 'Judge Count DO NOT EDIT'!H:H, 1, FALSE)), "ERROR","")</f>
        <v/>
      </c>
      <c r="Q1515" s="141"/>
      <c r="R1515" s="143"/>
      <c r="S1515" s="139" t="str">
        <f t="shared" si="2"/>
        <v>1159580</v>
      </c>
      <c r="T1515" s="141"/>
    </row>
    <row r="1516">
      <c r="A1516" s="137">
        <f>IFERROR(__xludf.DUMMYFUNCTION("""COMPUTED_VALUE"""),45352.71636564815)</f>
        <v>45352.71637</v>
      </c>
      <c r="B1516" s="138" t="str">
        <f>IFERROR(__xludf.DUMMYFUNCTION("""COMPUTED_VALUE"""),"Tiffany Luong")</f>
        <v>Tiffany Luong</v>
      </c>
      <c r="C1516" s="138">
        <f>IFERROR(__xludf.DUMMYFUNCTION("""COMPUTED_VALUE"""),1158.0)</f>
        <v>1158</v>
      </c>
      <c r="D1516" s="139">
        <f>IFERROR(__xludf.DUMMYFUNCTION("""COMPUTED_VALUE"""),580.0)</f>
        <v>580</v>
      </c>
      <c r="E1516" s="138">
        <f>IFERROR(__xludf.DUMMYFUNCTION("""COMPUTED_VALUE"""),3.0)</f>
        <v>3</v>
      </c>
      <c r="F1516" s="138">
        <f>IFERROR(__xludf.DUMMYFUNCTION("""COMPUTED_VALUE"""),4.0)</f>
        <v>4</v>
      </c>
      <c r="G1516" s="138">
        <f>IFERROR(__xludf.DUMMYFUNCTION("""COMPUTED_VALUE"""),4.0)</f>
        <v>4</v>
      </c>
      <c r="H1516" s="138">
        <f>IFERROR(__xludf.DUMMYFUNCTION("""COMPUTED_VALUE"""),3.0)</f>
        <v>3</v>
      </c>
      <c r="I1516" s="138">
        <f>IFERROR(__xludf.DUMMYFUNCTION("""COMPUTED_VALUE"""),4.0)</f>
        <v>4</v>
      </c>
      <c r="J1516" s="138">
        <f>IFERROR(__xludf.DUMMYFUNCTION("""COMPUTED_VALUE"""),4.0)</f>
        <v>4</v>
      </c>
      <c r="K1516" s="138">
        <f>IFERROR(__xludf.DUMMYFUNCTION("""COMPUTED_VALUE"""),4.0)</f>
        <v>4</v>
      </c>
      <c r="L1516" s="138">
        <v>26.0</v>
      </c>
      <c r="M1516" s="140" t="str">
        <f>VLOOKUP(text(D1516, "#"),'Master Table'!$A:$F, 6, FALSE)</f>
        <v>I-6</v>
      </c>
      <c r="N1516" s="141"/>
      <c r="O1516" s="142" t="str">
        <f t="shared" si="1"/>
        <v/>
      </c>
      <c r="P1516" s="143" t="str">
        <f>IF(ISNA(VLOOKUP(CONCAT(M1516,C1516), 'Judge Count DO NOT EDIT'!H:H, 1, FALSE)), "ERROR","")</f>
        <v/>
      </c>
      <c r="R1516" s="143"/>
      <c r="S1516" s="139" t="str">
        <f t="shared" si="2"/>
        <v>1158580</v>
      </c>
      <c r="T1516" s="141"/>
    </row>
    <row r="1517">
      <c r="A1517" s="137">
        <f>IFERROR(__xludf.DUMMYFUNCTION("""COMPUTED_VALUE"""),45352.669788969906)</f>
        <v>45352.66979</v>
      </c>
      <c r="B1517" s="138" t="str">
        <f>IFERROR(__xludf.DUMMYFUNCTION("""COMPUTED_VALUE"""),"Naveen Vaidya ")</f>
        <v>Naveen Vaidya </v>
      </c>
      <c r="C1517" s="138">
        <f>IFERROR(__xludf.DUMMYFUNCTION("""COMPUTED_VALUE"""),1192.0)</f>
        <v>1192</v>
      </c>
      <c r="D1517" s="139">
        <f>IFERROR(__xludf.DUMMYFUNCTION("""COMPUTED_VALUE"""),581.0)</f>
        <v>581</v>
      </c>
      <c r="E1517" s="138">
        <f>IFERROR(__xludf.DUMMYFUNCTION("""COMPUTED_VALUE"""),4.0)</f>
        <v>4</v>
      </c>
      <c r="F1517" s="138">
        <f>IFERROR(__xludf.DUMMYFUNCTION("""COMPUTED_VALUE"""),3.0)</f>
        <v>3</v>
      </c>
      <c r="G1517" s="138">
        <f>IFERROR(__xludf.DUMMYFUNCTION("""COMPUTED_VALUE"""),3.0)</f>
        <v>3</v>
      </c>
      <c r="H1517" s="138">
        <f>IFERROR(__xludf.DUMMYFUNCTION("""COMPUTED_VALUE"""),4.0)</f>
        <v>4</v>
      </c>
      <c r="I1517" s="138">
        <f>IFERROR(__xludf.DUMMYFUNCTION("""COMPUTED_VALUE"""),4.0)</f>
        <v>4</v>
      </c>
      <c r="J1517" s="138">
        <f>IFERROR(__xludf.DUMMYFUNCTION("""COMPUTED_VALUE"""),3.0)</f>
        <v>3</v>
      </c>
      <c r="K1517" s="138">
        <f>IFERROR(__xludf.DUMMYFUNCTION("""COMPUTED_VALUE"""),3.0)</f>
        <v>3</v>
      </c>
      <c r="L1517" s="138">
        <v>24.0</v>
      </c>
      <c r="M1517" s="140" t="str">
        <f>VLOOKUP(text(D1517, "#"),'Master Table'!$A:$F, 6, FALSE)</f>
        <v>I-6</v>
      </c>
      <c r="N1517" s="141"/>
      <c r="O1517" s="142" t="str">
        <f t="shared" si="1"/>
        <v/>
      </c>
      <c r="P1517" s="143" t="str">
        <f>IF(ISNA(VLOOKUP(CONCAT(M1517,C1517), 'Judge Count DO NOT EDIT'!H:H, 1, FALSE)), "ERROR","")</f>
        <v/>
      </c>
      <c r="Q1517" s="141"/>
      <c r="R1517" s="143"/>
      <c r="S1517" s="139" t="str">
        <f t="shared" si="2"/>
        <v>1192581</v>
      </c>
      <c r="T1517" s="141"/>
    </row>
    <row r="1518">
      <c r="A1518" s="137">
        <f>IFERROR(__xludf.DUMMYFUNCTION("""COMPUTED_VALUE"""),45352.6963949537)</f>
        <v>45352.69639</v>
      </c>
      <c r="B1518" s="138" t="str">
        <f>IFERROR(__xludf.DUMMYFUNCTION("""COMPUTED_VALUE"""),"Matthew Verbyla")</f>
        <v>Matthew Verbyla</v>
      </c>
      <c r="C1518" s="138">
        <f>IFERROR(__xludf.DUMMYFUNCTION("""COMPUTED_VALUE"""),1159.0)</f>
        <v>1159</v>
      </c>
      <c r="D1518" s="139">
        <f>IFERROR(__xludf.DUMMYFUNCTION("""COMPUTED_VALUE"""),581.0)</f>
        <v>581</v>
      </c>
      <c r="E1518" s="138">
        <f>IFERROR(__xludf.DUMMYFUNCTION("""COMPUTED_VALUE"""),4.0)</f>
        <v>4</v>
      </c>
      <c r="F1518" s="138">
        <f>IFERROR(__xludf.DUMMYFUNCTION("""COMPUTED_VALUE"""),4.0)</f>
        <v>4</v>
      </c>
      <c r="G1518" s="138">
        <f>IFERROR(__xludf.DUMMYFUNCTION("""COMPUTED_VALUE"""),4.0)</f>
        <v>4</v>
      </c>
      <c r="H1518" s="138">
        <f>IFERROR(__xludf.DUMMYFUNCTION("""COMPUTED_VALUE"""),4.0)</f>
        <v>4</v>
      </c>
      <c r="I1518" s="138">
        <f>IFERROR(__xludf.DUMMYFUNCTION("""COMPUTED_VALUE"""),5.0)</f>
        <v>5</v>
      </c>
      <c r="J1518" s="138">
        <f>IFERROR(__xludf.DUMMYFUNCTION("""COMPUTED_VALUE"""),3.0)</f>
        <v>3</v>
      </c>
      <c r="K1518" s="138">
        <f>IFERROR(__xludf.DUMMYFUNCTION("""COMPUTED_VALUE"""),4.0)</f>
        <v>4</v>
      </c>
      <c r="L1518" s="138">
        <v>28.0</v>
      </c>
      <c r="M1518" s="140" t="str">
        <f>VLOOKUP(text(D1518, "#"),'Master Table'!$A:$F, 6, FALSE)</f>
        <v>I-6</v>
      </c>
      <c r="N1518" s="141" t="str">
        <f>IFERROR(__xludf.DUMMYFUNCTION("""COMPUTED_VALUE"""),"The presentation was excellent. Both presenters demonstrated an understanding of the research. The information presented was high quality and complete, the layout/composition of the poster really made sense. There was sufficient detail to explain the purp"&amp;"ose, analysis or discussion of the project and results. Images and graphs were well labeled/described. Here are some suggestions for improvement: it's great that both presenters were able to dig down into the details, understand, and explain highly techni"&amp;"cal concepts, but I suggest also working on explaining the research in a way that avoids technical jargon and abbreviations as much as possible, especially if presenting to someone who is outside of the field.")</f>
        <v>The presentation was excellent. Both presenters demonstrated an understanding of the research. The information presented was high quality and complete, the layout/composition of the poster really made sense. There was sufficient detail to explain the purpose, analysis or discussion of the project and results. Images and graphs were well labeled/described. Here are some suggestions for improvement: it's great that both presenters were able to dig down into the details, understand, and explain highly technical concepts, but I suggest also working on explaining the research in a way that avoids technical jargon and abbreviations as much as possible, especially if presenting to someone who is outside of the field.</v>
      </c>
      <c r="O1518" s="142" t="str">
        <f t="shared" si="1"/>
        <v/>
      </c>
      <c r="P1518" s="143" t="str">
        <f>IF(ISNA(VLOOKUP(CONCAT(M1518,C1518), 'Judge Count DO NOT EDIT'!H:H, 1, FALSE)), "ERROR","")</f>
        <v/>
      </c>
      <c r="Q1518" s="141"/>
      <c r="R1518" s="143"/>
      <c r="S1518" s="139" t="str">
        <f t="shared" si="2"/>
        <v>1159581</v>
      </c>
      <c r="T1518" s="141"/>
    </row>
    <row r="1519">
      <c r="A1519" s="137">
        <f>IFERROR(__xludf.DUMMYFUNCTION("""COMPUTED_VALUE"""),45352.71666258102)</f>
        <v>45352.71666</v>
      </c>
      <c r="B1519" s="138" t="str">
        <f>IFERROR(__xludf.DUMMYFUNCTION("""COMPUTED_VALUE"""),"Tiffany Luong")</f>
        <v>Tiffany Luong</v>
      </c>
      <c r="C1519" s="138">
        <f>IFERROR(__xludf.DUMMYFUNCTION("""COMPUTED_VALUE"""),1158.0)</f>
        <v>1158</v>
      </c>
      <c r="D1519" s="139">
        <f>IFERROR(__xludf.DUMMYFUNCTION("""COMPUTED_VALUE"""),581.0)</f>
        <v>581</v>
      </c>
      <c r="E1519" s="138">
        <f>IFERROR(__xludf.DUMMYFUNCTION("""COMPUTED_VALUE"""),4.0)</f>
        <v>4</v>
      </c>
      <c r="F1519" s="138">
        <f>IFERROR(__xludf.DUMMYFUNCTION("""COMPUTED_VALUE"""),4.0)</f>
        <v>4</v>
      </c>
      <c r="G1519" s="138">
        <f>IFERROR(__xludf.DUMMYFUNCTION("""COMPUTED_VALUE"""),5.0)</f>
        <v>5</v>
      </c>
      <c r="H1519" s="138">
        <f>IFERROR(__xludf.DUMMYFUNCTION("""COMPUTED_VALUE"""),5.0)</f>
        <v>5</v>
      </c>
      <c r="I1519" s="138">
        <f>IFERROR(__xludf.DUMMYFUNCTION("""COMPUTED_VALUE"""),4.0)</f>
        <v>4</v>
      </c>
      <c r="J1519" s="138">
        <f>IFERROR(__xludf.DUMMYFUNCTION("""COMPUTED_VALUE"""),3.0)</f>
        <v>3</v>
      </c>
      <c r="K1519" s="138">
        <f>IFERROR(__xludf.DUMMYFUNCTION("""COMPUTED_VALUE"""),5.0)</f>
        <v>5</v>
      </c>
      <c r="L1519" s="138">
        <v>30.0</v>
      </c>
      <c r="M1519" s="140" t="str">
        <f>VLOOKUP(text(D1519, "#"),'Master Table'!$A:$F, 6, FALSE)</f>
        <v>I-6</v>
      </c>
      <c r="N1519" s="141"/>
      <c r="O1519" s="142" t="str">
        <f t="shared" si="1"/>
        <v/>
      </c>
      <c r="P1519" s="143" t="str">
        <f>IF(ISNA(VLOOKUP(CONCAT(M1519,C1519), 'Judge Count DO NOT EDIT'!H:H, 1, FALSE)), "ERROR","")</f>
        <v/>
      </c>
      <c r="Q1519" s="141"/>
      <c r="R1519" s="143"/>
      <c r="S1519" s="139" t="str">
        <f t="shared" si="2"/>
        <v>1158581</v>
      </c>
      <c r="T1519" s="141"/>
    </row>
    <row r="1520">
      <c r="A1520" s="137">
        <f>IFERROR(__xludf.DUMMYFUNCTION("""COMPUTED_VALUE"""),45352.67746689815)</f>
        <v>45352.67747</v>
      </c>
      <c r="B1520" s="138" t="str">
        <f>IFERROR(__xludf.DUMMYFUNCTION("""COMPUTED_VALUE"""),"Anel Lizcano ")</f>
        <v>Anel Lizcano </v>
      </c>
      <c r="C1520" s="138">
        <f>IFERROR(__xludf.DUMMYFUNCTION("""COMPUTED_VALUE"""),1209.0)</f>
        <v>1209</v>
      </c>
      <c r="D1520" s="139">
        <f>IFERROR(__xludf.DUMMYFUNCTION("""COMPUTED_VALUE"""),582.0)</f>
        <v>582</v>
      </c>
      <c r="E1520" s="138">
        <f>IFERROR(__xludf.DUMMYFUNCTION("""COMPUTED_VALUE"""),5.0)</f>
        <v>5</v>
      </c>
      <c r="F1520" s="138">
        <f>IFERROR(__xludf.DUMMYFUNCTION("""COMPUTED_VALUE"""),5.0)</f>
        <v>5</v>
      </c>
      <c r="G1520" s="138">
        <f>IFERROR(__xludf.DUMMYFUNCTION("""COMPUTED_VALUE"""),5.0)</f>
        <v>5</v>
      </c>
      <c r="H1520" s="138">
        <f>IFERROR(__xludf.DUMMYFUNCTION("""COMPUTED_VALUE"""),4.0)</f>
        <v>4</v>
      </c>
      <c r="I1520" s="138">
        <f>IFERROR(__xludf.DUMMYFUNCTION("""COMPUTED_VALUE"""),5.0)</f>
        <v>5</v>
      </c>
      <c r="J1520" s="138">
        <f>IFERROR(__xludf.DUMMYFUNCTION("""COMPUTED_VALUE"""),5.0)</f>
        <v>5</v>
      </c>
      <c r="K1520" s="138">
        <f>IFERROR(__xludf.DUMMYFUNCTION("""COMPUTED_VALUE"""),4.0)</f>
        <v>4</v>
      </c>
      <c r="L1520" s="138">
        <v>33.0</v>
      </c>
      <c r="M1520" s="140" t="str">
        <f>VLOOKUP(text(D1520, "#"),'Master Table'!$A:$F, 6, FALSE)</f>
        <v>I-6</v>
      </c>
      <c r="N1520" s="141"/>
      <c r="O1520" s="142" t="str">
        <f t="shared" si="1"/>
        <v/>
      </c>
      <c r="P1520" s="143" t="str">
        <f>IF(ISNA(VLOOKUP(CONCAT(M1520,C1520), 'Judge Count DO NOT EDIT'!H:H, 1, FALSE)), "ERROR","")</f>
        <v/>
      </c>
      <c r="Q1520" s="141"/>
      <c r="R1520" s="143"/>
      <c r="S1520" s="139" t="str">
        <f t="shared" si="2"/>
        <v>1209582</v>
      </c>
      <c r="T1520" s="141"/>
    </row>
    <row r="1521">
      <c r="A1521" s="137">
        <f>IFERROR(__xludf.DUMMYFUNCTION("""COMPUTED_VALUE"""),45352.680444513884)</f>
        <v>45352.68044</v>
      </c>
      <c r="B1521" s="138" t="str">
        <f>IFERROR(__xludf.DUMMYFUNCTION("""COMPUTED_VALUE"""),"Naveen Vaidya ")</f>
        <v>Naveen Vaidya </v>
      </c>
      <c r="C1521" s="138">
        <f>IFERROR(__xludf.DUMMYFUNCTION("""COMPUTED_VALUE"""),1192.0)</f>
        <v>1192</v>
      </c>
      <c r="D1521" s="139">
        <f>IFERROR(__xludf.DUMMYFUNCTION("""COMPUTED_VALUE"""),582.0)</f>
        <v>582</v>
      </c>
      <c r="E1521" s="138">
        <f>IFERROR(__xludf.DUMMYFUNCTION("""COMPUTED_VALUE"""),4.0)</f>
        <v>4</v>
      </c>
      <c r="F1521" s="138">
        <f>IFERROR(__xludf.DUMMYFUNCTION("""COMPUTED_VALUE"""),3.0)</f>
        <v>3</v>
      </c>
      <c r="G1521" s="138">
        <f>IFERROR(__xludf.DUMMYFUNCTION("""COMPUTED_VALUE"""),3.0)</f>
        <v>3</v>
      </c>
      <c r="H1521" s="138">
        <f>IFERROR(__xludf.DUMMYFUNCTION("""COMPUTED_VALUE"""),4.0)</f>
        <v>4</v>
      </c>
      <c r="I1521" s="138">
        <f>IFERROR(__xludf.DUMMYFUNCTION("""COMPUTED_VALUE"""),4.0)</f>
        <v>4</v>
      </c>
      <c r="J1521" s="138">
        <f>IFERROR(__xludf.DUMMYFUNCTION("""COMPUTED_VALUE"""),4.0)</f>
        <v>4</v>
      </c>
      <c r="K1521" s="138">
        <f>IFERROR(__xludf.DUMMYFUNCTION("""COMPUTED_VALUE"""),4.0)</f>
        <v>4</v>
      </c>
      <c r="L1521" s="138">
        <v>26.0</v>
      </c>
      <c r="M1521" s="140" t="str">
        <f>VLOOKUP(text(D1521, "#"),'Master Table'!$A:$F, 6, FALSE)</f>
        <v>I-6</v>
      </c>
      <c r="N1521" s="141"/>
      <c r="O1521" s="142" t="str">
        <f t="shared" si="1"/>
        <v/>
      </c>
      <c r="P1521" s="143" t="str">
        <f>IF(ISNA(VLOOKUP(CONCAT(M1521,C1521), 'Judge Count DO NOT EDIT'!H:H, 1, FALSE)), "ERROR","")</f>
        <v/>
      </c>
      <c r="Q1521" s="141"/>
      <c r="R1521" s="143"/>
      <c r="S1521" s="139" t="str">
        <f t="shared" si="2"/>
        <v>1192582</v>
      </c>
      <c r="T1521" s="141"/>
    </row>
    <row r="1522">
      <c r="A1522" s="137">
        <f>IFERROR(__xludf.DUMMYFUNCTION("""COMPUTED_VALUE"""),45352.699127245374)</f>
        <v>45352.69913</v>
      </c>
      <c r="B1522" s="138" t="str">
        <f>IFERROR(__xludf.DUMMYFUNCTION("""COMPUTED_VALUE"""),"Matthew Verbyla")</f>
        <v>Matthew Verbyla</v>
      </c>
      <c r="C1522" s="138">
        <f>IFERROR(__xludf.DUMMYFUNCTION("""COMPUTED_VALUE"""),1159.0)</f>
        <v>1159</v>
      </c>
      <c r="D1522" s="139">
        <f>IFERROR(__xludf.DUMMYFUNCTION("""COMPUTED_VALUE"""),582.0)</f>
        <v>582</v>
      </c>
      <c r="E1522" s="138">
        <f>IFERROR(__xludf.DUMMYFUNCTION("""COMPUTED_VALUE"""),5.0)</f>
        <v>5</v>
      </c>
      <c r="F1522" s="138">
        <f>IFERROR(__xludf.DUMMYFUNCTION("""COMPUTED_VALUE"""),4.0)</f>
        <v>4</v>
      </c>
      <c r="G1522" s="138">
        <f>IFERROR(__xludf.DUMMYFUNCTION("""COMPUTED_VALUE"""),3.0)</f>
        <v>3</v>
      </c>
      <c r="H1522" s="138">
        <f>IFERROR(__xludf.DUMMYFUNCTION("""COMPUTED_VALUE"""),4.0)</f>
        <v>4</v>
      </c>
      <c r="I1522" s="138">
        <f>IFERROR(__xludf.DUMMYFUNCTION("""COMPUTED_VALUE"""),5.0)</f>
        <v>5</v>
      </c>
      <c r="J1522" s="138">
        <f>IFERROR(__xludf.DUMMYFUNCTION("""COMPUTED_VALUE"""),4.0)</f>
        <v>4</v>
      </c>
      <c r="K1522" s="138">
        <f>IFERROR(__xludf.DUMMYFUNCTION("""COMPUTED_VALUE"""),5.0)</f>
        <v>5</v>
      </c>
      <c r="L1522" s="138">
        <v>30.0</v>
      </c>
      <c r="M1522" s="140" t="str">
        <f>VLOOKUP(text(D1522, "#"),'Master Table'!$A:$F, 6, FALSE)</f>
        <v>I-6</v>
      </c>
      <c r="N1522" s="141" t="str">
        <f>IFERROR(__xludf.DUMMYFUNCTION("""COMPUTED_VALUE"""),"The presentation was excellent. The presenter demonstrated a thorough understanding of the research. The information presented was of high quality and complete, the layout/composition of the poster really made sense. I liked how the presenter put the rese"&amp;"arch on vaping devices (e-cigarettes and the newer vaping device) in context with past studies on conventional cigarettes. There was sufficient detail to explain the purpose, analysis or discussion of the project and results. Images and graphs were well l"&amp;"abeled/described. Here are some suggestions for improvement: I think it would have been effective to elaborate a bit more on what can be done for future work to mitigate the problem. However, overall, the presenter did a fabulous job!")</f>
        <v>The presentation was excellent. The presenter demonstrated a thorough understanding of the research. The information presented was of high quality and complete, the layout/composition of the poster really made sense. I liked how the presenter put the research on vaping devices (e-cigarettes and the newer vaping device) in context with past studies on conventional cigarettes. There was sufficient detail to explain the purpose, analysis or discussion of the project and results. Images and graphs were well labeled/described. Here are some suggestions for improvement: I think it would have been effective to elaborate a bit more on what can be done for future work to mitigate the problem. However, overall, the presenter did a fabulous job!</v>
      </c>
      <c r="O1522" s="142" t="str">
        <f t="shared" si="1"/>
        <v/>
      </c>
      <c r="P1522" s="143" t="str">
        <f>IF(ISNA(VLOOKUP(CONCAT(M1522,C1522), 'Judge Count DO NOT EDIT'!H:H, 1, FALSE)), "ERROR","")</f>
        <v/>
      </c>
      <c r="Q1522" s="141"/>
      <c r="R1522" s="143"/>
      <c r="S1522" s="139" t="str">
        <f t="shared" si="2"/>
        <v>1159582</v>
      </c>
      <c r="T1522" s="141"/>
    </row>
    <row r="1523">
      <c r="A1523" s="137">
        <f>IFERROR(__xludf.DUMMYFUNCTION("""COMPUTED_VALUE"""),45352.71692115741)</f>
        <v>45352.71692</v>
      </c>
      <c r="B1523" s="138" t="str">
        <f>IFERROR(__xludf.DUMMYFUNCTION("""COMPUTED_VALUE"""),"Tiffany Luong")</f>
        <v>Tiffany Luong</v>
      </c>
      <c r="C1523" s="138">
        <f>IFERROR(__xludf.DUMMYFUNCTION("""COMPUTED_VALUE"""),1158.0)</f>
        <v>1158</v>
      </c>
      <c r="D1523" s="139">
        <f>IFERROR(__xludf.DUMMYFUNCTION("""COMPUTED_VALUE"""),582.0)</f>
        <v>582</v>
      </c>
      <c r="E1523" s="138">
        <f>IFERROR(__xludf.DUMMYFUNCTION("""COMPUTED_VALUE"""),5.0)</f>
        <v>5</v>
      </c>
      <c r="F1523" s="138">
        <f>IFERROR(__xludf.DUMMYFUNCTION("""COMPUTED_VALUE"""),5.0)</f>
        <v>5</v>
      </c>
      <c r="G1523" s="138">
        <f>IFERROR(__xludf.DUMMYFUNCTION("""COMPUTED_VALUE"""),5.0)</f>
        <v>5</v>
      </c>
      <c r="H1523" s="138">
        <f>IFERROR(__xludf.DUMMYFUNCTION("""COMPUTED_VALUE"""),5.0)</f>
        <v>5</v>
      </c>
      <c r="I1523" s="138">
        <f>IFERROR(__xludf.DUMMYFUNCTION("""COMPUTED_VALUE"""),5.0)</f>
        <v>5</v>
      </c>
      <c r="J1523" s="138">
        <f>IFERROR(__xludf.DUMMYFUNCTION("""COMPUTED_VALUE"""),5.0)</f>
        <v>5</v>
      </c>
      <c r="K1523" s="138">
        <f>IFERROR(__xludf.DUMMYFUNCTION("""COMPUTED_VALUE"""),5.0)</f>
        <v>5</v>
      </c>
      <c r="L1523" s="138">
        <v>35.0</v>
      </c>
      <c r="M1523" s="140" t="str">
        <f>VLOOKUP(text(D1523, "#"),'Master Table'!$A:$F, 6, FALSE)</f>
        <v>I-6</v>
      </c>
      <c r="N1523" s="141"/>
      <c r="O1523" s="142" t="str">
        <f t="shared" si="1"/>
        <v/>
      </c>
      <c r="P1523" s="143" t="str">
        <f>IF(ISNA(VLOOKUP(CONCAT(M1523,C1523), 'Judge Count DO NOT EDIT'!H:H, 1, FALSE)), "ERROR","")</f>
        <v/>
      </c>
      <c r="Q1523" s="141"/>
      <c r="R1523" s="143"/>
      <c r="S1523" s="139" t="str">
        <f t="shared" si="2"/>
        <v>1158582</v>
      </c>
      <c r="T1523" s="141"/>
    </row>
    <row r="1524">
      <c r="A1524" s="137">
        <f>IFERROR(__xludf.DUMMYFUNCTION("""COMPUTED_VALUE"""),45352.65467721065)</f>
        <v>45352.65468</v>
      </c>
      <c r="B1524" s="138" t="str">
        <f>IFERROR(__xludf.DUMMYFUNCTION("""COMPUTED_VALUE"""),"Anel Lizcano ")</f>
        <v>Anel Lizcano </v>
      </c>
      <c r="C1524" s="138">
        <f>IFERROR(__xludf.DUMMYFUNCTION("""COMPUTED_VALUE"""),1209.0)</f>
        <v>1209</v>
      </c>
      <c r="D1524" s="139">
        <f>IFERROR(__xludf.DUMMYFUNCTION("""COMPUTED_VALUE"""),583.0)</f>
        <v>583</v>
      </c>
      <c r="E1524" s="138">
        <f>IFERROR(__xludf.DUMMYFUNCTION("""COMPUTED_VALUE"""),3.0)</f>
        <v>3</v>
      </c>
      <c r="F1524" s="138">
        <f>IFERROR(__xludf.DUMMYFUNCTION("""COMPUTED_VALUE"""),4.0)</f>
        <v>4</v>
      </c>
      <c r="G1524" s="138">
        <f>IFERROR(__xludf.DUMMYFUNCTION("""COMPUTED_VALUE"""),5.0)</f>
        <v>5</v>
      </c>
      <c r="H1524" s="138">
        <f>IFERROR(__xludf.DUMMYFUNCTION("""COMPUTED_VALUE"""),3.0)</f>
        <v>3</v>
      </c>
      <c r="I1524" s="138">
        <f>IFERROR(__xludf.DUMMYFUNCTION("""COMPUTED_VALUE"""),3.0)</f>
        <v>3</v>
      </c>
      <c r="J1524" s="138">
        <f>IFERROR(__xludf.DUMMYFUNCTION("""COMPUTED_VALUE"""),3.0)</f>
        <v>3</v>
      </c>
      <c r="K1524" s="138">
        <f>IFERROR(__xludf.DUMMYFUNCTION("""COMPUTED_VALUE"""),1.0)</f>
        <v>1</v>
      </c>
      <c r="L1524" s="138">
        <v>22.0</v>
      </c>
      <c r="M1524" s="140" t="str">
        <f>VLOOKUP(text(D1524, "#"),'Master Table'!$A:$F, 6, FALSE)</f>
        <v>I-6</v>
      </c>
      <c r="N1524" s="141" t="str">
        <f>IFERROR(__xludf.DUMMYFUNCTION("""COMPUTED_VALUE"""),"I loved the enthusiasm of the student and props for doing research on a disease that's has few supportive information.  
One suggestion,  is to say ""like"" less.")</f>
        <v>I loved the enthusiasm of the student and props for doing research on a disease that's has few supportive information.  
One suggestion,  is to say "like" less.</v>
      </c>
      <c r="O1524" s="142" t="str">
        <f t="shared" si="1"/>
        <v/>
      </c>
      <c r="P1524" s="143" t="str">
        <f>IF(ISNA(VLOOKUP(CONCAT(M1524,C1524), 'Judge Count DO NOT EDIT'!H:H, 1, FALSE)), "ERROR","")</f>
        <v/>
      </c>
      <c r="Q1524" s="141"/>
      <c r="R1524" s="143"/>
      <c r="S1524" s="139" t="str">
        <f t="shared" si="2"/>
        <v>1209583</v>
      </c>
      <c r="T1524" s="141"/>
    </row>
    <row r="1525">
      <c r="A1525" s="137">
        <f>IFERROR(__xludf.DUMMYFUNCTION("""COMPUTED_VALUE"""),45352.65783273148)</f>
        <v>45352.65783</v>
      </c>
      <c r="B1525" s="138" t="str">
        <f>IFERROR(__xludf.DUMMYFUNCTION("""COMPUTED_VALUE"""),"Anel Lizcano ")</f>
        <v>Anel Lizcano </v>
      </c>
      <c r="C1525" s="138">
        <f>IFERROR(__xludf.DUMMYFUNCTION("""COMPUTED_VALUE"""),1209.0)</f>
        <v>1209</v>
      </c>
      <c r="D1525" s="139">
        <f>IFERROR(__xludf.DUMMYFUNCTION("""COMPUTED_VALUE"""),584.0)</f>
        <v>584</v>
      </c>
      <c r="E1525" s="138">
        <f>IFERROR(__xludf.DUMMYFUNCTION("""COMPUTED_VALUE"""),5.0)</f>
        <v>5</v>
      </c>
      <c r="F1525" s="138">
        <f>IFERROR(__xludf.DUMMYFUNCTION("""COMPUTED_VALUE"""),5.0)</f>
        <v>5</v>
      </c>
      <c r="G1525" s="138">
        <f>IFERROR(__xludf.DUMMYFUNCTION("""COMPUTED_VALUE"""),5.0)</f>
        <v>5</v>
      </c>
      <c r="H1525" s="138">
        <f>IFERROR(__xludf.DUMMYFUNCTION("""COMPUTED_VALUE"""),5.0)</f>
        <v>5</v>
      </c>
      <c r="I1525" s="138">
        <f>IFERROR(__xludf.DUMMYFUNCTION("""COMPUTED_VALUE"""),5.0)</f>
        <v>5</v>
      </c>
      <c r="J1525" s="138">
        <f>IFERROR(__xludf.DUMMYFUNCTION("""COMPUTED_VALUE"""),5.0)</f>
        <v>5</v>
      </c>
      <c r="K1525" s="138">
        <f>IFERROR(__xludf.DUMMYFUNCTION("""COMPUTED_VALUE"""),5.0)</f>
        <v>5</v>
      </c>
      <c r="L1525" s="138">
        <v>35.0</v>
      </c>
      <c r="M1525" s="140" t="str">
        <f>VLOOKUP(text(D1525, "#"),'Master Table'!$A:$F, 6, FALSE)</f>
        <v>I-6</v>
      </c>
      <c r="N1525" s="141" t="str">
        <f>IFERROR(__xludf.DUMMYFUNCTION("""COMPUTED_VALUE"""),"Great presentation and significance.  Love how pationate he is about his project ")</f>
        <v>Great presentation and significance.  Love how pationate he is about his project </v>
      </c>
      <c r="O1525" s="142" t="str">
        <f t="shared" si="1"/>
        <v/>
      </c>
      <c r="P1525" s="143" t="str">
        <f>IF(ISNA(VLOOKUP(CONCAT(M1525,C1525), 'Judge Count DO NOT EDIT'!H:H, 1, FALSE)), "ERROR","")</f>
        <v/>
      </c>
      <c r="Q1525" s="141"/>
      <c r="R1525" s="143"/>
      <c r="S1525" s="139" t="str">
        <f t="shared" si="2"/>
        <v>1209584</v>
      </c>
      <c r="T1525" s="141"/>
    </row>
    <row r="1526">
      <c r="A1526" s="137">
        <f>IFERROR(__xludf.DUMMYFUNCTION("""COMPUTED_VALUE"""),45352.66395105324)</f>
        <v>45352.66395</v>
      </c>
      <c r="B1526" s="138" t="str">
        <f>IFERROR(__xludf.DUMMYFUNCTION("""COMPUTED_VALUE"""),"Naveen Vaidya ")</f>
        <v>Naveen Vaidya </v>
      </c>
      <c r="C1526" s="138">
        <f>IFERROR(__xludf.DUMMYFUNCTION("""COMPUTED_VALUE"""),1192.0)</f>
        <v>1192</v>
      </c>
      <c r="D1526" s="139">
        <f>IFERROR(__xludf.DUMMYFUNCTION("""COMPUTED_VALUE"""),584.0)</f>
        <v>584</v>
      </c>
      <c r="E1526" s="138">
        <f>IFERROR(__xludf.DUMMYFUNCTION("""COMPUTED_VALUE"""),3.0)</f>
        <v>3</v>
      </c>
      <c r="F1526" s="138">
        <f>IFERROR(__xludf.DUMMYFUNCTION("""COMPUTED_VALUE"""),3.0)</f>
        <v>3</v>
      </c>
      <c r="G1526" s="138">
        <f>IFERROR(__xludf.DUMMYFUNCTION("""COMPUTED_VALUE"""),2.0)</f>
        <v>2</v>
      </c>
      <c r="H1526" s="138">
        <f>IFERROR(__xludf.DUMMYFUNCTION("""COMPUTED_VALUE"""),2.0)</f>
        <v>2</v>
      </c>
      <c r="I1526" s="138">
        <f>IFERROR(__xludf.DUMMYFUNCTION("""COMPUTED_VALUE"""),3.0)</f>
        <v>3</v>
      </c>
      <c r="J1526" s="138">
        <f>IFERROR(__xludf.DUMMYFUNCTION("""COMPUTED_VALUE"""),3.0)</f>
        <v>3</v>
      </c>
      <c r="K1526" s="138">
        <f>IFERROR(__xludf.DUMMYFUNCTION("""COMPUTED_VALUE"""),3.0)</f>
        <v>3</v>
      </c>
      <c r="L1526" s="138">
        <v>19.0</v>
      </c>
      <c r="M1526" s="140" t="str">
        <f>VLOOKUP(text(D1526, "#"),'Master Table'!$A:$F, 6, FALSE)</f>
        <v>I-6</v>
      </c>
      <c r="N1526" s="141"/>
      <c r="O1526" s="142" t="str">
        <f t="shared" si="1"/>
        <v/>
      </c>
      <c r="P1526" s="143" t="str">
        <f>IF(ISNA(VLOOKUP(CONCAT(M1526,C1526), 'Judge Count DO NOT EDIT'!H:H, 1, FALSE)), "ERROR","")</f>
        <v/>
      </c>
      <c r="Q1526" s="141"/>
      <c r="R1526" s="143"/>
      <c r="S1526" s="139" t="str">
        <f t="shared" si="2"/>
        <v>1192584</v>
      </c>
      <c r="T1526" s="141"/>
    </row>
    <row r="1527">
      <c r="A1527" s="137">
        <f>IFERROR(__xludf.DUMMYFUNCTION("""COMPUTED_VALUE"""),45352.70233564815)</f>
        <v>45352.70234</v>
      </c>
      <c r="B1527" s="138" t="str">
        <f>IFERROR(__xludf.DUMMYFUNCTION("""COMPUTED_VALUE"""),"Matthew Verbyla")</f>
        <v>Matthew Verbyla</v>
      </c>
      <c r="C1527" s="138">
        <f>IFERROR(__xludf.DUMMYFUNCTION("""COMPUTED_VALUE"""),1159.0)</f>
        <v>1159</v>
      </c>
      <c r="D1527" s="139">
        <f>IFERROR(__xludf.DUMMYFUNCTION("""COMPUTED_VALUE"""),584.0)</f>
        <v>584</v>
      </c>
      <c r="E1527" s="138">
        <f>IFERROR(__xludf.DUMMYFUNCTION("""COMPUTED_VALUE"""),5.0)</f>
        <v>5</v>
      </c>
      <c r="F1527" s="138">
        <f>IFERROR(__xludf.DUMMYFUNCTION("""COMPUTED_VALUE"""),4.0)</f>
        <v>4</v>
      </c>
      <c r="G1527" s="138">
        <f>IFERROR(__xludf.DUMMYFUNCTION("""COMPUTED_VALUE"""),5.0)</f>
        <v>5</v>
      </c>
      <c r="H1527" s="138">
        <f>IFERROR(__xludf.DUMMYFUNCTION("""COMPUTED_VALUE"""),5.0)</f>
        <v>5</v>
      </c>
      <c r="I1527" s="138">
        <f>IFERROR(__xludf.DUMMYFUNCTION("""COMPUTED_VALUE"""),5.0)</f>
        <v>5</v>
      </c>
      <c r="J1527" s="138">
        <f>IFERROR(__xludf.DUMMYFUNCTION("""COMPUTED_VALUE"""),5.0)</f>
        <v>5</v>
      </c>
      <c r="K1527" s="138">
        <f>IFERROR(__xludf.DUMMYFUNCTION("""COMPUTED_VALUE"""),5.0)</f>
        <v>5</v>
      </c>
      <c r="L1527" s="138">
        <v>34.0</v>
      </c>
      <c r="M1527" s="140" t="str">
        <f>VLOOKUP(text(D1527, "#"),'Master Table'!$A:$F, 6, FALSE)</f>
        <v>I-6</v>
      </c>
      <c r="N1527" s="141" t="str">
        <f>IFERROR(__xludf.DUMMYFUNCTION("""COMPUTED_VALUE"""),"Exceptional job on this presentation! The goal of the research was very clearly articulated, the presenter was also able to describe the cultural importance of preserving the specific type of oak trees being studied, and he was also able to dive into the "&amp;"technical details regarding the methodology (sequencing). The interaction with the audience was exceptional, and the presenter also did a great job explaining future steps (e.g., if the pathogen was a fungus, then the plan would be to find resistant trees"&amp;" to propagate). If anything, I would have liked to hear a little bit more detail about how specifically resistant trees could be identified? Like how would you go about doing that? Seems like it might be a difficult task. However, great job on the researc"&amp;"h and on the presentation!")</f>
        <v>Exceptional job on this presentation! The goal of the research was very clearly articulated, the presenter was also able to describe the cultural importance of preserving the specific type of oak trees being studied, and he was also able to dive into the technical details regarding the methodology (sequencing). The interaction with the audience was exceptional, and the presenter also did a great job explaining future steps (e.g., if the pathogen was a fungus, then the plan would be to find resistant trees to propagate). If anything, I would have liked to hear a little bit more detail about how specifically resistant trees could be identified? Like how would you go about doing that? Seems like it might be a difficult task. However, great job on the research and on the presentation!</v>
      </c>
      <c r="O1527" s="142" t="str">
        <f t="shared" si="1"/>
        <v/>
      </c>
      <c r="P1527" s="143" t="str">
        <f>IF(ISNA(VLOOKUP(CONCAT(M1527,C1527), 'Judge Count DO NOT EDIT'!H:H, 1, FALSE)), "ERROR","")</f>
        <v/>
      </c>
      <c r="Q1527" s="141"/>
      <c r="R1527" s="143"/>
      <c r="S1527" s="139" t="str">
        <f t="shared" si="2"/>
        <v>1159584</v>
      </c>
      <c r="T1527" s="141"/>
    </row>
    <row r="1528">
      <c r="A1528" s="137">
        <f>IFERROR(__xludf.DUMMYFUNCTION("""COMPUTED_VALUE"""),45352.71742449074)</f>
        <v>45352.71742</v>
      </c>
      <c r="B1528" s="138" t="str">
        <f>IFERROR(__xludf.DUMMYFUNCTION("""COMPUTED_VALUE"""),"Tiffany Luong")</f>
        <v>Tiffany Luong</v>
      </c>
      <c r="C1528" s="138">
        <f>IFERROR(__xludf.DUMMYFUNCTION("""COMPUTED_VALUE"""),1158.0)</f>
        <v>1158</v>
      </c>
      <c r="D1528" s="139">
        <f>IFERROR(__xludf.DUMMYFUNCTION("""COMPUTED_VALUE"""),584.0)</f>
        <v>584</v>
      </c>
      <c r="E1528" s="138">
        <f>IFERROR(__xludf.DUMMYFUNCTION("""COMPUTED_VALUE"""),4.0)</f>
        <v>4</v>
      </c>
      <c r="F1528" s="138">
        <f>IFERROR(__xludf.DUMMYFUNCTION("""COMPUTED_VALUE"""),5.0)</f>
        <v>5</v>
      </c>
      <c r="G1528" s="138">
        <f>IFERROR(__xludf.DUMMYFUNCTION("""COMPUTED_VALUE"""),5.0)</f>
        <v>5</v>
      </c>
      <c r="H1528" s="138">
        <f>IFERROR(__xludf.DUMMYFUNCTION("""COMPUTED_VALUE"""),5.0)</f>
        <v>5</v>
      </c>
      <c r="I1528" s="138">
        <f>IFERROR(__xludf.DUMMYFUNCTION("""COMPUTED_VALUE"""),5.0)</f>
        <v>5</v>
      </c>
      <c r="J1528" s="138">
        <f>IFERROR(__xludf.DUMMYFUNCTION("""COMPUTED_VALUE"""),5.0)</f>
        <v>5</v>
      </c>
      <c r="K1528" s="138">
        <f>IFERROR(__xludf.DUMMYFUNCTION("""COMPUTED_VALUE"""),5.0)</f>
        <v>5</v>
      </c>
      <c r="L1528" s="138">
        <v>34.0</v>
      </c>
      <c r="M1528" s="140" t="str">
        <f>VLOOKUP(text(D1528, "#"),'Master Table'!$A:$F, 6, FALSE)</f>
        <v>I-6</v>
      </c>
      <c r="N1528" s="141" t="str">
        <f>IFERROR(__xludf.DUMMYFUNCTION("""COMPUTED_VALUE"""),"Excellent intersection between experimental work and preservation work. Great Q&amp;A session.")</f>
        <v>Excellent intersection between experimental work and preservation work. Great Q&amp;A session.</v>
      </c>
      <c r="O1528" s="142" t="str">
        <f t="shared" si="1"/>
        <v/>
      </c>
      <c r="P1528" s="143" t="str">
        <f>IF(ISNA(VLOOKUP(CONCAT(M1528,C1528), 'Judge Count DO NOT EDIT'!H:H, 1, FALSE)), "ERROR","")</f>
        <v/>
      </c>
      <c r="Q1528" s="141"/>
      <c r="R1528" s="143"/>
      <c r="S1528" s="139" t="str">
        <f t="shared" si="2"/>
        <v>1158584</v>
      </c>
      <c r="T1528" s="141"/>
    </row>
    <row r="1529">
      <c r="A1529" s="137">
        <f>IFERROR(__xludf.DUMMYFUNCTION("""COMPUTED_VALUE"""),45352.64539564815)</f>
        <v>45352.6454</v>
      </c>
      <c r="B1529" s="138" t="str">
        <f>IFERROR(__xludf.DUMMYFUNCTION("""COMPUTED_VALUE"""),"Naveen Vaidya ")</f>
        <v>Naveen Vaidya </v>
      </c>
      <c r="C1529" s="138">
        <f>IFERROR(__xludf.DUMMYFUNCTION("""COMPUTED_VALUE"""),1192.0)</f>
        <v>1192</v>
      </c>
      <c r="D1529" s="139">
        <f>IFERROR(__xludf.DUMMYFUNCTION("""COMPUTED_VALUE"""),585.0)</f>
        <v>585</v>
      </c>
      <c r="E1529" s="138">
        <f>IFERROR(__xludf.DUMMYFUNCTION("""COMPUTED_VALUE"""),3.0)</f>
        <v>3</v>
      </c>
      <c r="F1529" s="138">
        <f>IFERROR(__xludf.DUMMYFUNCTION("""COMPUTED_VALUE"""),3.0)</f>
        <v>3</v>
      </c>
      <c r="G1529" s="138">
        <f>IFERROR(__xludf.DUMMYFUNCTION("""COMPUTED_VALUE"""),4.0)</f>
        <v>4</v>
      </c>
      <c r="H1529" s="138">
        <f>IFERROR(__xludf.DUMMYFUNCTION("""COMPUTED_VALUE"""),3.0)</f>
        <v>3</v>
      </c>
      <c r="I1529" s="138">
        <f>IFERROR(__xludf.DUMMYFUNCTION("""COMPUTED_VALUE"""),3.0)</f>
        <v>3</v>
      </c>
      <c r="J1529" s="138">
        <f>IFERROR(__xludf.DUMMYFUNCTION("""COMPUTED_VALUE"""),3.0)</f>
        <v>3</v>
      </c>
      <c r="K1529" s="138">
        <f>IFERROR(__xludf.DUMMYFUNCTION("""COMPUTED_VALUE"""),4.0)</f>
        <v>4</v>
      </c>
      <c r="L1529" s="138">
        <v>23.0</v>
      </c>
      <c r="M1529" s="140" t="str">
        <f>VLOOKUP(text(D1529, "#"),'Master Table'!$A:$F, 6, FALSE)</f>
        <v>I-6</v>
      </c>
      <c r="N1529" s="141"/>
      <c r="O1529" s="142" t="str">
        <f t="shared" si="1"/>
        <v/>
      </c>
      <c r="P1529" s="143" t="str">
        <f>IF(ISNA(VLOOKUP(CONCAT(M1529,C1529), 'Judge Count DO NOT EDIT'!H:H, 1, FALSE)), "ERROR","")</f>
        <v/>
      </c>
      <c r="Q1529" s="141"/>
      <c r="R1529" s="143"/>
      <c r="S1529" s="139" t="str">
        <f t="shared" si="2"/>
        <v>1192585</v>
      </c>
      <c r="T1529" s="141"/>
    </row>
    <row r="1530">
      <c r="A1530" s="137">
        <f>IFERROR(__xludf.DUMMYFUNCTION("""COMPUTED_VALUE"""),45352.705393738426)</f>
        <v>45352.70539</v>
      </c>
      <c r="B1530" s="138" t="str">
        <f>IFERROR(__xludf.DUMMYFUNCTION("""COMPUTED_VALUE"""),"Matthew Verbyla")</f>
        <v>Matthew Verbyla</v>
      </c>
      <c r="C1530" s="138">
        <f>IFERROR(__xludf.DUMMYFUNCTION("""COMPUTED_VALUE"""),1159.0)</f>
        <v>1159</v>
      </c>
      <c r="D1530" s="139">
        <f>IFERROR(__xludf.DUMMYFUNCTION("""COMPUTED_VALUE"""),585.0)</f>
        <v>585</v>
      </c>
      <c r="E1530" s="138">
        <f>IFERROR(__xludf.DUMMYFUNCTION("""COMPUTED_VALUE"""),5.0)</f>
        <v>5</v>
      </c>
      <c r="F1530" s="138">
        <f>IFERROR(__xludf.DUMMYFUNCTION("""COMPUTED_VALUE"""),4.0)</f>
        <v>4</v>
      </c>
      <c r="G1530" s="138">
        <f>IFERROR(__xludf.DUMMYFUNCTION("""COMPUTED_VALUE"""),5.0)</f>
        <v>5</v>
      </c>
      <c r="H1530" s="138">
        <f>IFERROR(__xludf.DUMMYFUNCTION("""COMPUTED_VALUE"""),3.0)</f>
        <v>3</v>
      </c>
      <c r="I1530" s="138">
        <f>IFERROR(__xludf.DUMMYFUNCTION("""COMPUTED_VALUE"""),5.0)</f>
        <v>5</v>
      </c>
      <c r="J1530" s="138">
        <f>IFERROR(__xludf.DUMMYFUNCTION("""COMPUTED_VALUE"""),3.0)</f>
        <v>3</v>
      </c>
      <c r="K1530" s="138">
        <f>IFERROR(__xludf.DUMMYFUNCTION("""COMPUTED_VALUE"""),5.0)</f>
        <v>5</v>
      </c>
      <c r="L1530" s="138">
        <v>30.0</v>
      </c>
      <c r="M1530" s="140" t="str">
        <f>VLOOKUP(text(D1530, "#"),'Master Table'!$A:$F, 6, FALSE)</f>
        <v>I-6</v>
      </c>
      <c r="N1530" s="141" t="str">
        <f>IFERROR(__xludf.DUMMYFUNCTION("""COMPUTED_VALUE"""),"The presentation was excellent. The presenter demonstrated a thorough understanding of the research. The information presented was of high quality and complete, the layout/composition of the poster really made sense. I liked how the presenter explained th"&amp;"e purpose for the different experiments/analyses that were performed, like the first three analyses were for confirmation and then the fourth analysis (showing the images from the XY, XYY, XYYY, and XYYYY) was the one that addressed the main objective of "&amp;"the research. There was sufficient detail to explain the purpose, analysis or discussion of the project and results. Images and graphs were well labeled/described. Here are some suggestions for improvement: it's great that the presenter was able to dig do"&amp;"wn real deep into the technical details. She clearly understood and was able to explain highly technical concepts. However, I suggest also working on explaining the research in a way that avoids technical jargon and abbreviations as much as possible, and "&amp;"explains the research in terms that a layperson could also understand, especially if presenting to someone who is outside of the field. Nevertheless, this was an excellent presentation and very impressive work! Congratulations!")</f>
        <v>The presentation was excellent. The presenter demonstrated a thorough understanding of the research. The information presented was of high quality and complete, the layout/composition of the poster really made sense. I liked how the presenter explained the purpose for the different experiments/analyses that were performed, like the first three analyses were for confirmation and then the fourth analysis (showing the images from the XY, XYY, XYYY, and XYYYY) was the one that addressed the main objective of the research. There was sufficient detail to explain the purpose, analysis or discussion of the project and results. Images and graphs were well labeled/described. Here are some suggestions for improvement: it's great that the presenter was able to dig down real deep into the technical details. She clearly understood and was able to explain highly technical concepts. However, I suggest also working on explaining the research in a way that avoids technical jargon and abbreviations as much as possible, and explains the research in terms that a layperson could also understand, especially if presenting to someone who is outside of the field. Nevertheless, this was an excellent presentation and very impressive work! Congratulations!</v>
      </c>
      <c r="O1530" s="142" t="str">
        <f t="shared" si="1"/>
        <v/>
      </c>
      <c r="P1530" s="143" t="str">
        <f>IF(ISNA(VLOOKUP(CONCAT(M1530,C1530), 'Judge Count DO NOT EDIT'!H:H, 1, FALSE)), "ERROR","")</f>
        <v/>
      </c>
      <c r="Q1530" s="141"/>
      <c r="R1530" s="143"/>
      <c r="S1530" s="139" t="str">
        <f t="shared" si="2"/>
        <v>1159585</v>
      </c>
      <c r="T1530" s="141"/>
    </row>
    <row r="1531">
      <c r="A1531" s="137">
        <f>IFERROR(__xludf.DUMMYFUNCTION("""COMPUTED_VALUE"""),45352.71786175926)</f>
        <v>45352.71786</v>
      </c>
      <c r="B1531" s="138" t="str">
        <f>IFERROR(__xludf.DUMMYFUNCTION("""COMPUTED_VALUE"""),"Tiffany Luong")</f>
        <v>Tiffany Luong</v>
      </c>
      <c r="C1531" s="138">
        <f>IFERROR(__xludf.DUMMYFUNCTION("""COMPUTED_VALUE"""),1158.0)</f>
        <v>1158</v>
      </c>
      <c r="D1531" s="139">
        <f>IFERROR(__xludf.DUMMYFUNCTION("""COMPUTED_VALUE"""),585.0)</f>
        <v>585</v>
      </c>
      <c r="E1531" s="138">
        <f>IFERROR(__xludf.DUMMYFUNCTION("""COMPUTED_VALUE"""),3.0)</f>
        <v>3</v>
      </c>
      <c r="F1531" s="138">
        <f>IFERROR(__xludf.DUMMYFUNCTION("""COMPUTED_VALUE"""),3.0)</f>
        <v>3</v>
      </c>
      <c r="G1531" s="138">
        <f>IFERROR(__xludf.DUMMYFUNCTION("""COMPUTED_VALUE"""),3.0)</f>
        <v>3</v>
      </c>
      <c r="H1531" s="138">
        <f>IFERROR(__xludf.DUMMYFUNCTION("""COMPUTED_VALUE"""),3.0)</f>
        <v>3</v>
      </c>
      <c r="I1531" s="138">
        <f>IFERROR(__xludf.DUMMYFUNCTION("""COMPUTED_VALUE"""),3.0)</f>
        <v>3</v>
      </c>
      <c r="J1531" s="138">
        <f>IFERROR(__xludf.DUMMYFUNCTION("""COMPUTED_VALUE"""),4.0)</f>
        <v>4</v>
      </c>
      <c r="K1531" s="138">
        <f>IFERROR(__xludf.DUMMYFUNCTION("""COMPUTED_VALUE"""),4.0)</f>
        <v>4</v>
      </c>
      <c r="L1531" s="138">
        <v>23.0</v>
      </c>
      <c r="M1531" s="140" t="str">
        <f>VLOOKUP(text(D1531, "#"),'Master Table'!$A:$F, 6, FALSE)</f>
        <v>I-6</v>
      </c>
      <c r="N1531" s="141"/>
      <c r="O1531" s="142" t="str">
        <f t="shared" si="1"/>
        <v/>
      </c>
      <c r="P1531" s="143" t="str">
        <f>IF(ISNA(VLOOKUP(CONCAT(M1531,C1531), 'Judge Count DO NOT EDIT'!H:H, 1, FALSE)), "ERROR","")</f>
        <v/>
      </c>
      <c r="Q1531" s="141"/>
      <c r="R1531" s="143"/>
      <c r="S1531" s="139" t="str">
        <f t="shared" si="2"/>
        <v>1158585</v>
      </c>
      <c r="T1531" s="141"/>
    </row>
    <row r="1532">
      <c r="A1532" s="137">
        <f>IFERROR(__xludf.DUMMYFUNCTION("""COMPUTED_VALUE"""),45352.674987129634)</f>
        <v>45352.67499</v>
      </c>
      <c r="B1532" s="138" t="str">
        <f>IFERROR(__xludf.DUMMYFUNCTION("""COMPUTED_VALUE"""),"Naveen Vaidya ")</f>
        <v>Naveen Vaidya </v>
      </c>
      <c r="C1532" s="138">
        <f>IFERROR(__xludf.DUMMYFUNCTION("""COMPUTED_VALUE"""),1192.0)</f>
        <v>1192</v>
      </c>
      <c r="D1532" s="139">
        <f>IFERROR(__xludf.DUMMYFUNCTION("""COMPUTED_VALUE"""),586.0)</f>
        <v>586</v>
      </c>
      <c r="E1532" s="138">
        <f>IFERROR(__xludf.DUMMYFUNCTION("""COMPUTED_VALUE"""),3.0)</f>
        <v>3</v>
      </c>
      <c r="F1532" s="138">
        <f>IFERROR(__xludf.DUMMYFUNCTION("""COMPUTED_VALUE"""),2.0)</f>
        <v>2</v>
      </c>
      <c r="G1532" s="138">
        <f>IFERROR(__xludf.DUMMYFUNCTION("""COMPUTED_VALUE"""),3.0)</f>
        <v>3</v>
      </c>
      <c r="H1532" s="138">
        <f>IFERROR(__xludf.DUMMYFUNCTION("""COMPUTED_VALUE"""),3.0)</f>
        <v>3</v>
      </c>
      <c r="I1532" s="138">
        <f>IFERROR(__xludf.DUMMYFUNCTION("""COMPUTED_VALUE"""),2.0)</f>
        <v>2</v>
      </c>
      <c r="J1532" s="138">
        <f>IFERROR(__xludf.DUMMYFUNCTION("""COMPUTED_VALUE"""),2.0)</f>
        <v>2</v>
      </c>
      <c r="K1532" s="138">
        <f>IFERROR(__xludf.DUMMYFUNCTION("""COMPUTED_VALUE"""),2.0)</f>
        <v>2</v>
      </c>
      <c r="L1532" s="138">
        <v>17.0</v>
      </c>
      <c r="M1532" s="140" t="str">
        <f>VLOOKUP(text(D1532, "#"),'Master Table'!$A:$F, 6, FALSE)</f>
        <v>I-6</v>
      </c>
      <c r="N1532" s="141"/>
      <c r="O1532" s="142" t="str">
        <f t="shared" si="1"/>
        <v/>
      </c>
      <c r="P1532" s="143" t="str">
        <f>IF(ISNA(VLOOKUP(CONCAT(M1532,C1532), 'Judge Count DO NOT EDIT'!H:H, 1, FALSE)), "ERROR","")</f>
        <v/>
      </c>
      <c r="Q1532" s="141"/>
      <c r="R1532" s="143"/>
      <c r="S1532" s="139" t="str">
        <f t="shared" si="2"/>
        <v>1192586</v>
      </c>
      <c r="T1532" s="141"/>
    </row>
    <row r="1533">
      <c r="A1533" s="137">
        <f>IFERROR(__xludf.DUMMYFUNCTION("""COMPUTED_VALUE"""),45352.68543233797)</f>
        <v>45352.68543</v>
      </c>
      <c r="B1533" s="138" t="str">
        <f>IFERROR(__xludf.DUMMYFUNCTION("""COMPUTED_VALUE"""),"Anel Lizcano ")</f>
        <v>Anel Lizcano </v>
      </c>
      <c r="C1533" s="138">
        <f>IFERROR(__xludf.DUMMYFUNCTION("""COMPUTED_VALUE"""),1209.0)</f>
        <v>1209</v>
      </c>
      <c r="D1533" s="139">
        <f>IFERROR(__xludf.DUMMYFUNCTION("""COMPUTED_VALUE"""),586.0)</f>
        <v>586</v>
      </c>
      <c r="E1533" s="138">
        <f>IFERROR(__xludf.DUMMYFUNCTION("""COMPUTED_VALUE"""),3.0)</f>
        <v>3</v>
      </c>
      <c r="F1533" s="138">
        <f>IFERROR(__xludf.DUMMYFUNCTION("""COMPUTED_VALUE"""),4.0)</f>
        <v>4</v>
      </c>
      <c r="G1533" s="138">
        <f>IFERROR(__xludf.DUMMYFUNCTION("""COMPUTED_VALUE"""),4.0)</f>
        <v>4</v>
      </c>
      <c r="H1533" s="138">
        <f>IFERROR(__xludf.DUMMYFUNCTION("""COMPUTED_VALUE"""),3.0)</f>
        <v>3</v>
      </c>
      <c r="I1533" s="138">
        <f>IFERROR(__xludf.DUMMYFUNCTION("""COMPUTED_VALUE"""),4.0)</f>
        <v>4</v>
      </c>
      <c r="J1533" s="138">
        <f>IFERROR(__xludf.DUMMYFUNCTION("""COMPUTED_VALUE"""),3.0)</f>
        <v>3</v>
      </c>
      <c r="K1533" s="138">
        <f>IFERROR(__xludf.DUMMYFUNCTION("""COMPUTED_VALUE"""),3.0)</f>
        <v>3</v>
      </c>
      <c r="L1533" s="138">
        <v>24.0</v>
      </c>
      <c r="M1533" s="140" t="str">
        <f>VLOOKUP(text(D1533, "#"),'Master Table'!$A:$F, 6, FALSE)</f>
        <v>I-6</v>
      </c>
      <c r="N1533" s="141" t="str">
        <f>IFERROR(__xludf.DUMMYFUNCTION("""COMPUTED_VALUE"""),"Great project and potential but had trouble hearing the presentation.")</f>
        <v>Great project and potential but had trouble hearing the presentation.</v>
      </c>
      <c r="O1533" s="142" t="str">
        <f t="shared" si="1"/>
        <v/>
      </c>
      <c r="P1533" s="143" t="str">
        <f>IF(ISNA(VLOOKUP(CONCAT(M1533,C1533), 'Judge Count DO NOT EDIT'!H:H, 1, FALSE)), "ERROR","")</f>
        <v/>
      </c>
      <c r="Q1533" s="141"/>
      <c r="R1533" s="143"/>
      <c r="S1533" s="139" t="str">
        <f t="shared" si="2"/>
        <v>1209586</v>
      </c>
      <c r="T1533" s="141"/>
    </row>
    <row r="1534">
      <c r="A1534" s="137">
        <f>IFERROR(__xludf.DUMMYFUNCTION("""COMPUTED_VALUE"""),45352.70764527778)</f>
        <v>45352.70765</v>
      </c>
      <c r="B1534" s="138" t="str">
        <f>IFERROR(__xludf.DUMMYFUNCTION("""COMPUTED_VALUE"""),"Matthew Verbyla")</f>
        <v>Matthew Verbyla</v>
      </c>
      <c r="C1534" s="138">
        <f>IFERROR(__xludf.DUMMYFUNCTION("""COMPUTED_VALUE"""),1159.0)</f>
        <v>1159</v>
      </c>
      <c r="D1534" s="139">
        <f>IFERROR(__xludf.DUMMYFUNCTION("""COMPUTED_VALUE"""),586.0)</f>
        <v>586</v>
      </c>
      <c r="E1534" s="138">
        <f>IFERROR(__xludf.DUMMYFUNCTION("""COMPUTED_VALUE"""),3.0)</f>
        <v>3</v>
      </c>
      <c r="F1534" s="138">
        <f>IFERROR(__xludf.DUMMYFUNCTION("""COMPUTED_VALUE"""),4.0)</f>
        <v>4</v>
      </c>
      <c r="G1534" s="138">
        <f>IFERROR(__xludf.DUMMYFUNCTION("""COMPUTED_VALUE"""),4.0)</f>
        <v>4</v>
      </c>
      <c r="H1534" s="138">
        <f>IFERROR(__xludf.DUMMYFUNCTION("""COMPUTED_VALUE"""),4.0)</f>
        <v>4</v>
      </c>
      <c r="I1534" s="138">
        <f>IFERROR(__xludf.DUMMYFUNCTION("""COMPUTED_VALUE"""),2.0)</f>
        <v>2</v>
      </c>
      <c r="J1534" s="138">
        <f>IFERROR(__xludf.DUMMYFUNCTION("""COMPUTED_VALUE"""),2.0)</f>
        <v>2</v>
      </c>
      <c r="K1534" s="138">
        <f>IFERROR(__xludf.DUMMYFUNCTION("""COMPUTED_VALUE"""),3.0)</f>
        <v>3</v>
      </c>
      <c r="L1534" s="138">
        <v>22.0</v>
      </c>
      <c r="M1534" s="140" t="str">
        <f>VLOOKUP(text(D1534, "#"),'Master Table'!$A:$F, 6, FALSE)</f>
        <v>I-6</v>
      </c>
      <c r="N1534" s="141" t="str">
        <f>IFERROR(__xludf.DUMMYFUNCTION("""COMPUTED_VALUE"""),"The presentation was very good. The presenter demonstrated a very thorough understanding of the research. The information presented was of high quality and complete, the layout/composition of the poster really made sense. I liked how the presenter was abl"&amp;"e to answer questions about the fundamental purpose of the cells being studied. There was sufficient detail to explain the purpose, analysis or discussion of the project and results. Images and graphs were well labeled/described. Here are some suggestions"&amp;" for improvement: it's great that the presenter was able to dig down real deep into the technical details. She clearly understood and was able to explain highly technical concepts. However, I suggest also working on explaining the research in a way that a"&amp;"voids technical jargon and abbreviations as much as possible, and explains the research in terms that a layperson could also understand, especially if presenting to someone who is outside of the field. Also, it may have just been me, but I had a very hard"&amp;" time hearing the presenter. Even after indicating that I was struggling to hear with body language, the volume and voice mannerisms of the presenter made it very hard for me to hear. Unfortunately, as a result, I was unable to really get a detailed grasp"&amp;" on what the major findings/implications were. Nevertheless, this was a very good presentation and impressive work! Congratulations!")</f>
        <v>The presentation was very good. The presenter demonstrated a very thorough understanding of the research. The information presented was of high quality and complete, the layout/composition of the poster really made sense. I liked how the presenter was able to answer questions about the fundamental purpose of the cells being studied. There was sufficient detail to explain the purpose, analysis or discussion of the project and results. Images and graphs were well labeled/described. Here are some suggestions for improvement: it's great that the presenter was able to dig down real deep into the technical details. She clearly understood and was able to explain highly technical concepts. However, I suggest also working on explaining the research in a way that avoids technical jargon and abbreviations as much as possible, and explains the research in terms that a layperson could also understand, especially if presenting to someone who is outside of the field. Also, it may have just been me, but I had a very hard time hearing the presenter. Even after indicating that I was struggling to hear with body language, the volume and voice mannerisms of the presenter made it very hard for me to hear. Unfortunately, as a result, I was unable to really get a detailed grasp on what the major findings/implications were. Nevertheless, this was a very good presentation and impressive work! Congratulations!</v>
      </c>
      <c r="O1534" s="142" t="str">
        <f t="shared" si="1"/>
        <v/>
      </c>
      <c r="P1534" s="143" t="str">
        <f>IF(ISNA(VLOOKUP(CONCAT(M1534,C1534), 'Judge Count DO NOT EDIT'!H:H, 1, FALSE)), "ERROR","")</f>
        <v/>
      </c>
      <c r="Q1534" s="141"/>
      <c r="R1534" s="143"/>
      <c r="S1534" s="139" t="str">
        <f t="shared" si="2"/>
        <v>1159586</v>
      </c>
      <c r="T1534" s="141"/>
    </row>
    <row r="1535">
      <c r="A1535" s="137">
        <f>IFERROR(__xludf.DUMMYFUNCTION("""COMPUTED_VALUE"""),45352.71815743056)</f>
        <v>45352.71816</v>
      </c>
      <c r="B1535" s="138" t="str">
        <f>IFERROR(__xludf.DUMMYFUNCTION("""COMPUTED_VALUE"""),"Tiffany Luong")</f>
        <v>Tiffany Luong</v>
      </c>
      <c r="C1535" s="138">
        <f>IFERROR(__xludf.DUMMYFUNCTION("""COMPUTED_VALUE"""),1158.0)</f>
        <v>1158</v>
      </c>
      <c r="D1535" s="139">
        <f>IFERROR(__xludf.DUMMYFUNCTION("""COMPUTED_VALUE"""),586.0)</f>
        <v>586</v>
      </c>
      <c r="E1535" s="138">
        <f>IFERROR(__xludf.DUMMYFUNCTION("""COMPUTED_VALUE"""),4.0)</f>
        <v>4</v>
      </c>
      <c r="F1535" s="138">
        <f>IFERROR(__xludf.DUMMYFUNCTION("""COMPUTED_VALUE"""),3.0)</f>
        <v>3</v>
      </c>
      <c r="G1535" s="138">
        <f>IFERROR(__xludf.DUMMYFUNCTION("""COMPUTED_VALUE"""),3.0)</f>
        <v>3</v>
      </c>
      <c r="H1535" s="138">
        <f>IFERROR(__xludf.DUMMYFUNCTION("""COMPUTED_VALUE"""),3.0)</f>
        <v>3</v>
      </c>
      <c r="I1535" s="138">
        <f>IFERROR(__xludf.DUMMYFUNCTION("""COMPUTED_VALUE"""),3.0)</f>
        <v>3</v>
      </c>
      <c r="J1535" s="138">
        <f>IFERROR(__xludf.DUMMYFUNCTION("""COMPUTED_VALUE"""),4.0)</f>
        <v>4</v>
      </c>
      <c r="K1535" s="138">
        <f>IFERROR(__xludf.DUMMYFUNCTION("""COMPUTED_VALUE"""),4.0)</f>
        <v>4</v>
      </c>
      <c r="L1535" s="138">
        <v>24.0</v>
      </c>
      <c r="M1535" s="140" t="str">
        <f>VLOOKUP(text(D1535, "#"),'Master Table'!$A:$F, 6, FALSE)</f>
        <v>I-6</v>
      </c>
      <c r="N1535" s="141"/>
      <c r="O1535" s="142" t="str">
        <f t="shared" si="1"/>
        <v/>
      </c>
      <c r="P1535" s="143" t="str">
        <f>IF(ISNA(VLOOKUP(CONCAT(M1535,C1535), 'Judge Count DO NOT EDIT'!H:H, 1, FALSE)), "ERROR","")</f>
        <v/>
      </c>
      <c r="Q1535" s="141"/>
      <c r="R1535" s="143"/>
      <c r="S1535" s="139" t="str">
        <f t="shared" si="2"/>
        <v>1158586</v>
      </c>
      <c r="T1535" s="141"/>
    </row>
    <row r="1536">
      <c r="A1536" s="137">
        <f>IFERROR(__xludf.DUMMYFUNCTION("""COMPUTED_VALUE"""),45352.673462569444)</f>
        <v>45352.67346</v>
      </c>
      <c r="B1536" s="138" t="str">
        <f>IFERROR(__xludf.DUMMYFUNCTION("""COMPUTED_VALUE"""),"Cat Ellis")</f>
        <v>Cat Ellis</v>
      </c>
      <c r="C1536" s="138">
        <f>IFERROR(__xludf.DUMMYFUNCTION("""COMPUTED_VALUE"""),1033.0)</f>
        <v>1033</v>
      </c>
      <c r="D1536" s="139">
        <f>IFERROR(__xludf.DUMMYFUNCTION("""COMPUTED_VALUE"""),587.0)</f>
        <v>587</v>
      </c>
      <c r="E1536" s="138">
        <f>IFERROR(__xludf.DUMMYFUNCTION("""COMPUTED_VALUE"""),5.0)</f>
        <v>5</v>
      </c>
      <c r="F1536" s="138">
        <f>IFERROR(__xludf.DUMMYFUNCTION("""COMPUTED_VALUE"""),5.0)</f>
        <v>5</v>
      </c>
      <c r="G1536" s="138">
        <f>IFERROR(__xludf.DUMMYFUNCTION("""COMPUTED_VALUE"""),5.0)</f>
        <v>5</v>
      </c>
      <c r="H1536" s="138">
        <f>IFERROR(__xludf.DUMMYFUNCTION("""COMPUTED_VALUE"""),5.0)</f>
        <v>5</v>
      </c>
      <c r="I1536" s="138">
        <f>IFERROR(__xludf.DUMMYFUNCTION("""COMPUTED_VALUE"""),5.0)</f>
        <v>5</v>
      </c>
      <c r="J1536" s="138">
        <f>IFERROR(__xludf.DUMMYFUNCTION("""COMPUTED_VALUE"""),5.0)</f>
        <v>5</v>
      </c>
      <c r="K1536" s="138">
        <f>IFERROR(__xludf.DUMMYFUNCTION("""COMPUTED_VALUE"""),5.0)</f>
        <v>5</v>
      </c>
      <c r="L1536" s="138">
        <v>35.0</v>
      </c>
      <c r="M1536" s="140" t="str">
        <f>VLOOKUP(text(D1536, "#"),'Master Table'!$A:$F, 6, FALSE)</f>
        <v>I-7</v>
      </c>
      <c r="N1536" s="141" t="str">
        <f>IFERROR(__xludf.DUMMYFUNCTION("""COMPUTED_VALUE"""),"This research project looks like it will generate interesting and useful results.")</f>
        <v>This research project looks like it will generate interesting and useful results.</v>
      </c>
      <c r="O1536" s="142" t="str">
        <f t="shared" si="1"/>
        <v/>
      </c>
      <c r="P1536" s="143" t="str">
        <f>IF(ISNA(VLOOKUP(CONCAT(M1536,C1536), 'Judge Count DO NOT EDIT'!H:H, 1, FALSE)), "ERROR","")</f>
        <v/>
      </c>
      <c r="Q1536" s="141"/>
      <c r="R1536" s="143"/>
      <c r="S1536" s="139" t="str">
        <f t="shared" si="2"/>
        <v>1033587</v>
      </c>
      <c r="T1536" s="141"/>
    </row>
    <row r="1537">
      <c r="A1537" s="137">
        <f>IFERROR(__xludf.DUMMYFUNCTION("""COMPUTED_VALUE"""),45352.682076516205)</f>
        <v>45352.68208</v>
      </c>
      <c r="B1537" s="138" t="str">
        <f>IFERROR(__xludf.DUMMYFUNCTION("""COMPUTED_VALUE"""),"Neda Shamsalizadeh")</f>
        <v>Neda Shamsalizadeh</v>
      </c>
      <c r="C1537" s="138">
        <f>IFERROR(__xludf.DUMMYFUNCTION("""COMPUTED_VALUE"""),1156.0)</f>
        <v>1156</v>
      </c>
      <c r="D1537" s="139">
        <f>IFERROR(__xludf.DUMMYFUNCTION("""COMPUTED_VALUE"""),587.0)</f>
        <v>587</v>
      </c>
      <c r="E1537" s="138">
        <f>IFERROR(__xludf.DUMMYFUNCTION("""COMPUTED_VALUE"""),4.0)</f>
        <v>4</v>
      </c>
      <c r="F1537" s="138">
        <f>IFERROR(__xludf.DUMMYFUNCTION("""COMPUTED_VALUE"""),4.0)</f>
        <v>4</v>
      </c>
      <c r="G1537" s="138">
        <f>IFERROR(__xludf.DUMMYFUNCTION("""COMPUTED_VALUE"""),4.0)</f>
        <v>4</v>
      </c>
      <c r="H1537" s="138">
        <f>IFERROR(__xludf.DUMMYFUNCTION("""COMPUTED_VALUE"""),4.0)</f>
        <v>4</v>
      </c>
      <c r="I1537" s="138">
        <f>IFERROR(__xludf.DUMMYFUNCTION("""COMPUTED_VALUE"""),5.0)</f>
        <v>5</v>
      </c>
      <c r="J1537" s="138">
        <f>IFERROR(__xludf.DUMMYFUNCTION("""COMPUTED_VALUE"""),5.0)</f>
        <v>5</v>
      </c>
      <c r="K1537" s="138">
        <f>IFERROR(__xludf.DUMMYFUNCTION("""COMPUTED_VALUE"""),5.0)</f>
        <v>5</v>
      </c>
      <c r="L1537" s="138">
        <v>31.0</v>
      </c>
      <c r="M1537" s="140" t="str">
        <f>VLOOKUP(text(D1537, "#"),'Master Table'!$A:$F, 6, FALSE)</f>
        <v>I-7</v>
      </c>
      <c r="N1537" s="141"/>
      <c r="O1537" s="142" t="str">
        <f t="shared" si="1"/>
        <v/>
      </c>
      <c r="P1537" s="143" t="str">
        <f>IF(ISNA(VLOOKUP(CONCAT(M1537,C1537), 'Judge Count DO NOT EDIT'!H:H, 1, FALSE)), "ERROR","")</f>
        <v/>
      </c>
      <c r="Q1537" s="141"/>
      <c r="R1537" s="143"/>
      <c r="S1537" s="139" t="str">
        <f t="shared" si="2"/>
        <v>1156587</v>
      </c>
      <c r="T1537" s="141"/>
    </row>
    <row r="1538">
      <c r="A1538" s="137">
        <f>IFERROR(__xludf.DUMMYFUNCTION("""COMPUTED_VALUE"""),45352.63523975694)</f>
        <v>45352.63524</v>
      </c>
      <c r="B1538" s="138" t="str">
        <f>IFERROR(__xludf.DUMMYFUNCTION("""COMPUTED_VALUE"""),"Brennan Pearson")</f>
        <v>Brennan Pearson</v>
      </c>
      <c r="C1538" s="138">
        <f>IFERROR(__xludf.DUMMYFUNCTION("""COMPUTED_VALUE"""),1066.0)</f>
        <v>1066</v>
      </c>
      <c r="D1538" s="139">
        <f>IFERROR(__xludf.DUMMYFUNCTION("""COMPUTED_VALUE"""),588.0)</f>
        <v>588</v>
      </c>
      <c r="E1538" s="138">
        <f>IFERROR(__xludf.DUMMYFUNCTION("""COMPUTED_VALUE"""),5.0)</f>
        <v>5</v>
      </c>
      <c r="F1538" s="138">
        <f>IFERROR(__xludf.DUMMYFUNCTION("""COMPUTED_VALUE"""),5.0)</f>
        <v>5</v>
      </c>
      <c r="G1538" s="138">
        <f>IFERROR(__xludf.DUMMYFUNCTION("""COMPUTED_VALUE"""),5.0)</f>
        <v>5</v>
      </c>
      <c r="H1538" s="138">
        <f>IFERROR(__xludf.DUMMYFUNCTION("""COMPUTED_VALUE"""),3.0)</f>
        <v>3</v>
      </c>
      <c r="I1538" s="138">
        <f>IFERROR(__xludf.DUMMYFUNCTION("""COMPUTED_VALUE"""),5.0)</f>
        <v>5</v>
      </c>
      <c r="J1538" s="138">
        <f>IFERROR(__xludf.DUMMYFUNCTION("""COMPUTED_VALUE"""),5.0)</f>
        <v>5</v>
      </c>
      <c r="K1538" s="138">
        <f>IFERROR(__xludf.DUMMYFUNCTION("""COMPUTED_VALUE"""),4.0)</f>
        <v>4</v>
      </c>
      <c r="L1538" s="138">
        <v>32.0</v>
      </c>
      <c r="M1538" s="140" t="str">
        <f>VLOOKUP(text(D1538, "#"),'Master Table'!$A:$F, 6, FALSE)</f>
        <v>I-7</v>
      </c>
      <c r="N1538" s="141" t="str">
        <f>IFERROR(__xludf.DUMMYFUNCTION("""COMPUTED_VALUE"""),"Great layout. Good grasp of the content and data. Although it would’ve been great to see me of how the data was presented and how the conclusions were drawn. Excellent at speaking. Overall A material. ")</f>
        <v>Great layout. Good grasp of the content and data. Although it would’ve been great to see me of how the data was presented and how the conclusions were drawn. Excellent at speaking. Overall A material. </v>
      </c>
      <c r="O1538" s="142" t="str">
        <f t="shared" si="1"/>
        <v/>
      </c>
      <c r="P1538" s="143" t="str">
        <f>IF(ISNA(VLOOKUP(CONCAT(M1538,C1538), 'Judge Count DO NOT EDIT'!H:H, 1, FALSE)), "ERROR","")</f>
        <v/>
      </c>
      <c r="Q1538" s="141"/>
      <c r="R1538" s="143"/>
      <c r="S1538" s="139" t="str">
        <f t="shared" si="2"/>
        <v>1066588</v>
      </c>
      <c r="T1538" s="141"/>
    </row>
    <row r="1539">
      <c r="A1539" s="137">
        <f>IFERROR(__xludf.DUMMYFUNCTION("""COMPUTED_VALUE"""),45352.674983460645)</f>
        <v>45352.67498</v>
      </c>
      <c r="B1539" s="138" t="str">
        <f>IFERROR(__xludf.DUMMYFUNCTION("""COMPUTED_VALUE"""),"Cat Ellis")</f>
        <v>Cat Ellis</v>
      </c>
      <c r="C1539" s="138">
        <f>IFERROR(__xludf.DUMMYFUNCTION("""COMPUTED_VALUE"""),1033.0)</f>
        <v>1033</v>
      </c>
      <c r="D1539" s="139">
        <f>IFERROR(__xludf.DUMMYFUNCTION("""COMPUTED_VALUE"""),588.0)</f>
        <v>588</v>
      </c>
      <c r="E1539" s="138">
        <f>IFERROR(__xludf.DUMMYFUNCTION("""COMPUTED_VALUE"""),5.0)</f>
        <v>5</v>
      </c>
      <c r="F1539" s="138">
        <f>IFERROR(__xludf.DUMMYFUNCTION("""COMPUTED_VALUE"""),5.0)</f>
        <v>5</v>
      </c>
      <c r="G1539" s="138">
        <f>IFERROR(__xludf.DUMMYFUNCTION("""COMPUTED_VALUE"""),5.0)</f>
        <v>5</v>
      </c>
      <c r="H1539" s="138">
        <f>IFERROR(__xludf.DUMMYFUNCTION("""COMPUTED_VALUE"""),5.0)</f>
        <v>5</v>
      </c>
      <c r="I1539" s="138">
        <f>IFERROR(__xludf.DUMMYFUNCTION("""COMPUTED_VALUE"""),5.0)</f>
        <v>5</v>
      </c>
      <c r="J1539" s="138">
        <f>IFERROR(__xludf.DUMMYFUNCTION("""COMPUTED_VALUE"""),5.0)</f>
        <v>5</v>
      </c>
      <c r="K1539" s="138">
        <f>IFERROR(__xludf.DUMMYFUNCTION("""COMPUTED_VALUE"""),5.0)</f>
        <v>5</v>
      </c>
      <c r="L1539" s="138">
        <v>35.0</v>
      </c>
      <c r="M1539" s="140" t="str">
        <f>VLOOKUP(text(D1539, "#"),'Master Table'!$A:$F, 6, FALSE)</f>
        <v>I-7</v>
      </c>
      <c r="N1539" s="141" t="str">
        <f>IFERROR(__xludf.DUMMYFUNCTION("""COMPUTED_VALUE"""),"This was an excellent project. I appreciated the use of boxes to call out findings. ")</f>
        <v>This was an excellent project. I appreciated the use of boxes to call out findings. </v>
      </c>
      <c r="O1539" s="142" t="str">
        <f t="shared" si="1"/>
        <v/>
      </c>
      <c r="P1539" s="143" t="str">
        <f>IF(ISNA(VLOOKUP(CONCAT(M1539,C1539), 'Judge Count DO NOT EDIT'!H:H, 1, FALSE)), "ERROR","")</f>
        <v/>
      </c>
      <c r="Q1539" s="141"/>
      <c r="R1539" s="143"/>
      <c r="S1539" s="139" t="str">
        <f t="shared" si="2"/>
        <v>1033588</v>
      </c>
      <c r="T1539" s="141"/>
    </row>
    <row r="1540">
      <c r="A1540" s="137">
        <f>IFERROR(__xludf.DUMMYFUNCTION("""COMPUTED_VALUE"""),45352.683344861114)</f>
        <v>45352.68334</v>
      </c>
      <c r="B1540" s="138" t="str">
        <f>IFERROR(__xludf.DUMMYFUNCTION("""COMPUTED_VALUE"""),"Neda Shamsalizadeh")</f>
        <v>Neda Shamsalizadeh</v>
      </c>
      <c r="C1540" s="138">
        <f>IFERROR(__xludf.DUMMYFUNCTION("""COMPUTED_VALUE"""),1156.0)</f>
        <v>1156</v>
      </c>
      <c r="D1540" s="139">
        <f>IFERROR(__xludf.DUMMYFUNCTION("""COMPUTED_VALUE"""),588.0)</f>
        <v>588</v>
      </c>
      <c r="E1540" s="138">
        <f>IFERROR(__xludf.DUMMYFUNCTION("""COMPUTED_VALUE"""),5.0)</f>
        <v>5</v>
      </c>
      <c r="F1540" s="138">
        <f>IFERROR(__xludf.DUMMYFUNCTION("""COMPUTED_VALUE"""),5.0)</f>
        <v>5</v>
      </c>
      <c r="G1540" s="138">
        <f>IFERROR(__xludf.DUMMYFUNCTION("""COMPUTED_VALUE"""),5.0)</f>
        <v>5</v>
      </c>
      <c r="H1540" s="138">
        <f>IFERROR(__xludf.DUMMYFUNCTION("""COMPUTED_VALUE"""),5.0)</f>
        <v>5</v>
      </c>
      <c r="I1540" s="138">
        <f>IFERROR(__xludf.DUMMYFUNCTION("""COMPUTED_VALUE"""),5.0)</f>
        <v>5</v>
      </c>
      <c r="J1540" s="138">
        <f>IFERROR(__xludf.DUMMYFUNCTION("""COMPUTED_VALUE"""),5.0)</f>
        <v>5</v>
      </c>
      <c r="K1540" s="138">
        <f>IFERROR(__xludf.DUMMYFUNCTION("""COMPUTED_VALUE"""),5.0)</f>
        <v>5</v>
      </c>
      <c r="L1540" s="138">
        <v>35.0</v>
      </c>
      <c r="M1540" s="140" t="str">
        <f>VLOOKUP(text(D1540, "#"),'Master Table'!$A:$F, 6, FALSE)</f>
        <v>I-7</v>
      </c>
      <c r="N1540" s="141"/>
      <c r="O1540" s="142" t="str">
        <f t="shared" si="1"/>
        <v/>
      </c>
      <c r="P1540" s="143" t="str">
        <f>IF(ISNA(VLOOKUP(CONCAT(M1540,C1540), 'Judge Count DO NOT EDIT'!H:H, 1, FALSE)), "ERROR","")</f>
        <v/>
      </c>
      <c r="R1540" s="143"/>
      <c r="S1540" s="139" t="str">
        <f t="shared" si="2"/>
        <v>1156588</v>
      </c>
      <c r="T1540" s="141"/>
    </row>
    <row r="1541">
      <c r="A1541" s="137">
        <f>IFERROR(__xludf.DUMMYFUNCTION("""COMPUTED_VALUE"""),45352.64741305556)</f>
        <v>45352.64741</v>
      </c>
      <c r="B1541" s="138" t="str">
        <f>IFERROR(__xludf.DUMMYFUNCTION("""COMPUTED_VALUE"""),"Brennan Pearson")</f>
        <v>Brennan Pearson</v>
      </c>
      <c r="C1541" s="138">
        <f>IFERROR(__xludf.DUMMYFUNCTION("""COMPUTED_VALUE"""),1066.0)</f>
        <v>1066</v>
      </c>
      <c r="D1541" s="139">
        <f>IFERROR(__xludf.DUMMYFUNCTION("""COMPUTED_VALUE"""),589.0)</f>
        <v>589</v>
      </c>
      <c r="E1541" s="138">
        <f>IFERROR(__xludf.DUMMYFUNCTION("""COMPUTED_VALUE"""),3.0)</f>
        <v>3</v>
      </c>
      <c r="F1541" s="138">
        <f>IFERROR(__xludf.DUMMYFUNCTION("""COMPUTED_VALUE"""),5.0)</f>
        <v>5</v>
      </c>
      <c r="G1541" s="138">
        <f>IFERROR(__xludf.DUMMYFUNCTION("""COMPUTED_VALUE"""),4.0)</f>
        <v>4</v>
      </c>
      <c r="H1541" s="138">
        <f>IFERROR(__xludf.DUMMYFUNCTION("""COMPUTED_VALUE"""),5.0)</f>
        <v>5</v>
      </c>
      <c r="I1541" s="138">
        <f>IFERROR(__xludf.DUMMYFUNCTION("""COMPUTED_VALUE"""),2.0)</f>
        <v>2</v>
      </c>
      <c r="J1541" s="138">
        <f>IFERROR(__xludf.DUMMYFUNCTION("""COMPUTED_VALUE"""),3.0)</f>
        <v>3</v>
      </c>
      <c r="K1541" s="138">
        <f>IFERROR(__xludf.DUMMYFUNCTION("""COMPUTED_VALUE"""),5.0)</f>
        <v>5</v>
      </c>
      <c r="L1541" s="138">
        <v>27.0</v>
      </c>
      <c r="M1541" s="140" t="str">
        <f>VLOOKUP(text(D1541, "#"),'Master Table'!$A:$F, 6, FALSE)</f>
        <v>I-7</v>
      </c>
      <c r="N1541" s="141" t="str">
        <f>IFERROR(__xludf.DUMMYFUNCTION("""COMPUTED_VALUE"""),"Very interesting project. Unique. Potentially very beneficial to medicine in the future. Stood in front of the poster most of presentation making it difficult to see. Some of the graphs too small to read. ")</f>
        <v>Very interesting project. Unique. Potentially very beneficial to medicine in the future. Stood in front of the poster most of presentation making it difficult to see. Some of the graphs too small to read. </v>
      </c>
      <c r="O1541" s="142" t="str">
        <f t="shared" si="1"/>
        <v/>
      </c>
      <c r="P1541" s="143" t="str">
        <f>IF(ISNA(VLOOKUP(CONCAT(M1541,C1541), 'Judge Count DO NOT EDIT'!H:H, 1, FALSE)), "ERROR","")</f>
        <v/>
      </c>
      <c r="Q1541" s="141"/>
      <c r="R1541" s="143"/>
      <c r="S1541" s="139" t="str">
        <f t="shared" si="2"/>
        <v>1066589</v>
      </c>
      <c r="T1541" s="141"/>
    </row>
    <row r="1542">
      <c r="A1542" s="137">
        <f>IFERROR(__xludf.DUMMYFUNCTION("""COMPUTED_VALUE"""),45352.672459270834)</f>
        <v>45352.67246</v>
      </c>
      <c r="B1542" s="138" t="str">
        <f>IFERROR(__xludf.DUMMYFUNCTION("""COMPUTED_VALUE"""),"Cat Ellis")</f>
        <v>Cat Ellis</v>
      </c>
      <c r="C1542" s="138">
        <f>IFERROR(__xludf.DUMMYFUNCTION("""COMPUTED_VALUE"""),1033.0)</f>
        <v>1033</v>
      </c>
      <c r="D1542" s="139">
        <f>IFERROR(__xludf.DUMMYFUNCTION("""COMPUTED_VALUE"""),589.0)</f>
        <v>589</v>
      </c>
      <c r="E1542" s="138">
        <f>IFERROR(__xludf.DUMMYFUNCTION("""COMPUTED_VALUE"""),3.0)</f>
        <v>3</v>
      </c>
      <c r="F1542" s="138">
        <f>IFERROR(__xludf.DUMMYFUNCTION("""COMPUTED_VALUE"""),5.0)</f>
        <v>5</v>
      </c>
      <c r="G1542" s="138">
        <f>IFERROR(__xludf.DUMMYFUNCTION("""COMPUTED_VALUE"""),5.0)</f>
        <v>5</v>
      </c>
      <c r="H1542" s="138">
        <f>IFERROR(__xludf.DUMMYFUNCTION("""COMPUTED_VALUE"""),5.0)</f>
        <v>5</v>
      </c>
      <c r="I1542" s="138">
        <f>IFERROR(__xludf.DUMMYFUNCTION("""COMPUTED_VALUE"""),5.0)</f>
        <v>5</v>
      </c>
      <c r="J1542" s="138">
        <f>IFERROR(__xludf.DUMMYFUNCTION("""COMPUTED_VALUE"""),5.0)</f>
        <v>5</v>
      </c>
      <c r="K1542" s="138">
        <f>IFERROR(__xludf.DUMMYFUNCTION("""COMPUTED_VALUE"""),5.0)</f>
        <v>5</v>
      </c>
      <c r="L1542" s="138">
        <v>33.0</v>
      </c>
      <c r="M1542" s="140" t="str">
        <f>VLOOKUP(text(D1542, "#"),'Master Table'!$A:$F, 6, FALSE)</f>
        <v>I-7</v>
      </c>
      <c r="N1542" s="141" t="str">
        <f>IFERROR(__xludf.DUMMYFUNCTION("""COMPUTED_VALUE"""),"This project is interesting and has the potential for future research. For future posters, I would limit the number of graphs/data visualizations to allow for better clarity.")</f>
        <v>This project is interesting and has the potential for future research. For future posters, I would limit the number of graphs/data visualizations to allow for better clarity.</v>
      </c>
      <c r="O1542" s="142" t="str">
        <f t="shared" si="1"/>
        <v/>
      </c>
      <c r="P1542" s="143" t="str">
        <f>IF(ISNA(VLOOKUP(CONCAT(M1542,C1542), 'Judge Count DO NOT EDIT'!H:H, 1, FALSE)), "ERROR","")</f>
        <v/>
      </c>
      <c r="Q1542" s="141"/>
      <c r="R1542" s="143"/>
      <c r="S1542" s="139" t="str">
        <f t="shared" si="2"/>
        <v>1033589</v>
      </c>
      <c r="T1542" s="141"/>
    </row>
    <row r="1543">
      <c r="A1543" s="137">
        <f>IFERROR(__xludf.DUMMYFUNCTION("""COMPUTED_VALUE"""),45352.68426609953)</f>
        <v>45352.68427</v>
      </c>
      <c r="B1543" s="138" t="str">
        <f>IFERROR(__xludf.DUMMYFUNCTION("""COMPUTED_VALUE"""),"Neda Shamsalizadeh")</f>
        <v>Neda Shamsalizadeh</v>
      </c>
      <c r="C1543" s="138">
        <f>IFERROR(__xludf.DUMMYFUNCTION("""COMPUTED_VALUE"""),1156.0)</f>
        <v>1156</v>
      </c>
      <c r="D1543" s="139">
        <f>IFERROR(__xludf.DUMMYFUNCTION("""COMPUTED_VALUE"""),589.0)</f>
        <v>589</v>
      </c>
      <c r="E1543" s="138">
        <f>IFERROR(__xludf.DUMMYFUNCTION("""COMPUTED_VALUE"""),5.0)</f>
        <v>5</v>
      </c>
      <c r="F1543" s="138">
        <f>IFERROR(__xludf.DUMMYFUNCTION("""COMPUTED_VALUE"""),5.0)</f>
        <v>5</v>
      </c>
      <c r="G1543" s="138">
        <f>IFERROR(__xludf.DUMMYFUNCTION("""COMPUTED_VALUE"""),5.0)</f>
        <v>5</v>
      </c>
      <c r="H1543" s="138">
        <f>IFERROR(__xludf.DUMMYFUNCTION("""COMPUTED_VALUE"""),5.0)</f>
        <v>5</v>
      </c>
      <c r="I1543" s="138">
        <f>IFERROR(__xludf.DUMMYFUNCTION("""COMPUTED_VALUE"""),5.0)</f>
        <v>5</v>
      </c>
      <c r="J1543" s="138">
        <f>IFERROR(__xludf.DUMMYFUNCTION("""COMPUTED_VALUE"""),5.0)</f>
        <v>5</v>
      </c>
      <c r="K1543" s="138">
        <f>IFERROR(__xludf.DUMMYFUNCTION("""COMPUTED_VALUE"""),5.0)</f>
        <v>5</v>
      </c>
      <c r="L1543" s="138">
        <v>35.0</v>
      </c>
      <c r="M1543" s="140" t="str">
        <f>VLOOKUP(text(D1543, "#"),'Master Table'!$A:$F, 6, FALSE)</f>
        <v>I-7</v>
      </c>
      <c r="N1543" s="141"/>
      <c r="O1543" s="142" t="str">
        <f t="shared" si="1"/>
        <v/>
      </c>
      <c r="P1543" s="143" t="str">
        <f>IF(ISNA(VLOOKUP(CONCAT(M1543,C1543), 'Judge Count DO NOT EDIT'!H:H, 1, FALSE)), "ERROR","")</f>
        <v/>
      </c>
      <c r="Q1543" s="141"/>
      <c r="R1543" s="143"/>
      <c r="S1543" s="139" t="str">
        <f t="shared" si="2"/>
        <v>1156589</v>
      </c>
      <c r="T1543" s="141"/>
    </row>
    <row r="1544">
      <c r="A1544" s="137">
        <f>IFERROR(__xludf.DUMMYFUNCTION("""COMPUTED_VALUE"""),45352.65822538194)</f>
        <v>45352.65823</v>
      </c>
      <c r="B1544" s="138" t="str">
        <f>IFERROR(__xludf.DUMMYFUNCTION("""COMPUTED_VALUE"""),"Brennan Pearson")</f>
        <v>Brennan Pearson</v>
      </c>
      <c r="C1544" s="138">
        <f>IFERROR(__xludf.DUMMYFUNCTION("""COMPUTED_VALUE"""),1066.0)</f>
        <v>1066</v>
      </c>
      <c r="D1544" s="139">
        <f>IFERROR(__xludf.DUMMYFUNCTION("""COMPUTED_VALUE"""),590.0)</f>
        <v>590</v>
      </c>
      <c r="E1544" s="138">
        <f>IFERROR(__xludf.DUMMYFUNCTION("""COMPUTED_VALUE"""),5.0)</f>
        <v>5</v>
      </c>
      <c r="F1544" s="138">
        <f>IFERROR(__xludf.DUMMYFUNCTION("""COMPUTED_VALUE"""),5.0)</f>
        <v>5</v>
      </c>
      <c r="G1544" s="138">
        <f>IFERROR(__xludf.DUMMYFUNCTION("""COMPUTED_VALUE"""),5.0)</f>
        <v>5</v>
      </c>
      <c r="H1544" s="138">
        <f>IFERROR(__xludf.DUMMYFUNCTION("""COMPUTED_VALUE"""),5.0)</f>
        <v>5</v>
      </c>
      <c r="I1544" s="138">
        <f>IFERROR(__xludf.DUMMYFUNCTION("""COMPUTED_VALUE"""),5.0)</f>
        <v>5</v>
      </c>
      <c r="J1544" s="138">
        <f>IFERROR(__xludf.DUMMYFUNCTION("""COMPUTED_VALUE"""),5.0)</f>
        <v>5</v>
      </c>
      <c r="K1544" s="138">
        <f>IFERROR(__xludf.DUMMYFUNCTION("""COMPUTED_VALUE"""),5.0)</f>
        <v>5</v>
      </c>
      <c r="L1544" s="138">
        <v>35.0</v>
      </c>
      <c r="M1544" s="140" t="str">
        <f>VLOOKUP(text(D1544, "#"),'Master Table'!$A:$F, 6, FALSE)</f>
        <v>I-7</v>
      </c>
      <c r="N1544" s="141" t="str">
        <f>IFERROR(__xludf.DUMMYFUNCTION("""COMPUTED_VALUE"""),"Excellent presentation over all")</f>
        <v>Excellent presentation over all</v>
      </c>
      <c r="O1544" s="142" t="str">
        <f t="shared" si="1"/>
        <v/>
      </c>
      <c r="P1544" s="143" t="str">
        <f>IF(ISNA(VLOOKUP(CONCAT(M1544,C1544), 'Judge Count DO NOT EDIT'!H:H, 1, FALSE)), "ERROR","")</f>
        <v/>
      </c>
      <c r="Q1544" s="141"/>
      <c r="R1544" s="143"/>
      <c r="S1544" s="139" t="str">
        <f t="shared" si="2"/>
        <v>1066590</v>
      </c>
      <c r="T1544" s="141"/>
    </row>
    <row r="1545">
      <c r="A1545" s="137">
        <f>IFERROR(__xludf.DUMMYFUNCTION("""COMPUTED_VALUE"""),45352.676347291665)</f>
        <v>45352.67635</v>
      </c>
      <c r="B1545" s="138" t="str">
        <f>IFERROR(__xludf.DUMMYFUNCTION("""COMPUTED_VALUE"""),"Cat Ellis")</f>
        <v>Cat Ellis</v>
      </c>
      <c r="C1545" s="138">
        <f>IFERROR(__xludf.DUMMYFUNCTION("""COMPUTED_VALUE"""),1033.0)</f>
        <v>1033</v>
      </c>
      <c r="D1545" s="139">
        <f>IFERROR(__xludf.DUMMYFUNCTION("""COMPUTED_VALUE"""),590.0)</f>
        <v>590</v>
      </c>
      <c r="E1545" s="138">
        <f>IFERROR(__xludf.DUMMYFUNCTION("""COMPUTED_VALUE"""),4.0)</f>
        <v>4</v>
      </c>
      <c r="F1545" s="138">
        <f>IFERROR(__xludf.DUMMYFUNCTION("""COMPUTED_VALUE"""),5.0)</f>
        <v>5</v>
      </c>
      <c r="G1545" s="138">
        <f>IFERROR(__xludf.DUMMYFUNCTION("""COMPUTED_VALUE"""),5.0)</f>
        <v>5</v>
      </c>
      <c r="H1545" s="138">
        <f>IFERROR(__xludf.DUMMYFUNCTION("""COMPUTED_VALUE"""),5.0)</f>
        <v>5</v>
      </c>
      <c r="I1545" s="138">
        <f>IFERROR(__xludf.DUMMYFUNCTION("""COMPUTED_VALUE"""),5.0)</f>
        <v>5</v>
      </c>
      <c r="J1545" s="138">
        <f>IFERROR(__xludf.DUMMYFUNCTION("""COMPUTED_VALUE"""),4.0)</f>
        <v>4</v>
      </c>
      <c r="K1545" s="138">
        <f>IFERROR(__xludf.DUMMYFUNCTION("""COMPUTED_VALUE"""),5.0)</f>
        <v>5</v>
      </c>
      <c r="L1545" s="138">
        <v>33.0</v>
      </c>
      <c r="M1545" s="140" t="str">
        <f>VLOOKUP(text(D1545, "#"),'Master Table'!$A:$F, 6, FALSE)</f>
        <v>I-7</v>
      </c>
      <c r="N1545" s="141" t="str">
        <f>IFERROR(__xludf.DUMMYFUNCTION("""COMPUTED_VALUE"""),"This was a great presentation. The research methodology was also well done. For future posters, I recommend using more blank space and less text.")</f>
        <v>This was a great presentation. The research methodology was also well done. For future posters, I recommend using more blank space and less text.</v>
      </c>
      <c r="O1545" s="142" t="str">
        <f t="shared" si="1"/>
        <v/>
      </c>
      <c r="P1545" s="143" t="str">
        <f>IF(ISNA(VLOOKUP(CONCAT(M1545,C1545), 'Judge Count DO NOT EDIT'!H:H, 1, FALSE)), "ERROR","")</f>
        <v/>
      </c>
      <c r="Q1545" s="141"/>
      <c r="R1545" s="143"/>
      <c r="S1545" s="139" t="str">
        <f t="shared" si="2"/>
        <v>1033590</v>
      </c>
      <c r="T1545" s="141"/>
    </row>
    <row r="1546">
      <c r="A1546" s="137">
        <f>IFERROR(__xludf.DUMMYFUNCTION("""COMPUTED_VALUE"""),45352.68523944444)</f>
        <v>45352.68524</v>
      </c>
      <c r="B1546" s="138" t="str">
        <f>IFERROR(__xludf.DUMMYFUNCTION("""COMPUTED_VALUE"""),"Neda Shamsalizadeh")</f>
        <v>Neda Shamsalizadeh</v>
      </c>
      <c r="C1546" s="138">
        <f>IFERROR(__xludf.DUMMYFUNCTION("""COMPUTED_VALUE"""),1156.0)</f>
        <v>1156</v>
      </c>
      <c r="D1546" s="139">
        <f>IFERROR(__xludf.DUMMYFUNCTION("""COMPUTED_VALUE"""),590.0)</f>
        <v>590</v>
      </c>
      <c r="E1546" s="138">
        <f>IFERROR(__xludf.DUMMYFUNCTION("""COMPUTED_VALUE"""),5.0)</f>
        <v>5</v>
      </c>
      <c r="F1546" s="138">
        <f>IFERROR(__xludf.DUMMYFUNCTION("""COMPUTED_VALUE"""),4.0)</f>
        <v>4</v>
      </c>
      <c r="G1546" s="138">
        <f>IFERROR(__xludf.DUMMYFUNCTION("""COMPUTED_VALUE"""),5.0)</f>
        <v>5</v>
      </c>
      <c r="H1546" s="138">
        <f>IFERROR(__xludf.DUMMYFUNCTION("""COMPUTED_VALUE"""),5.0)</f>
        <v>5</v>
      </c>
      <c r="I1546" s="138">
        <f>IFERROR(__xludf.DUMMYFUNCTION("""COMPUTED_VALUE"""),5.0)</f>
        <v>5</v>
      </c>
      <c r="J1546" s="138">
        <f>IFERROR(__xludf.DUMMYFUNCTION("""COMPUTED_VALUE"""),5.0)</f>
        <v>5</v>
      </c>
      <c r="K1546" s="138">
        <f>IFERROR(__xludf.DUMMYFUNCTION("""COMPUTED_VALUE"""),4.0)</f>
        <v>4</v>
      </c>
      <c r="L1546" s="138">
        <v>33.0</v>
      </c>
      <c r="M1546" s="140" t="str">
        <f>VLOOKUP(text(D1546, "#"),'Master Table'!$A:$F, 6, FALSE)</f>
        <v>I-7</v>
      </c>
      <c r="N1546" s="141"/>
      <c r="O1546" s="142" t="str">
        <f t="shared" si="1"/>
        <v/>
      </c>
      <c r="P1546" s="143" t="str">
        <f>IF(ISNA(VLOOKUP(CONCAT(M1546,C1546), 'Judge Count DO NOT EDIT'!H:H, 1, FALSE)), "ERROR","")</f>
        <v/>
      </c>
      <c r="Q1546" s="141"/>
      <c r="R1546" s="143"/>
      <c r="S1546" s="139" t="str">
        <f t="shared" si="2"/>
        <v>1156590</v>
      </c>
      <c r="T1546" s="141"/>
    </row>
    <row r="1547">
      <c r="A1547" s="137">
        <f>IFERROR(__xludf.DUMMYFUNCTION("""COMPUTED_VALUE"""),45352.67785597222)</f>
        <v>45352.67786</v>
      </c>
      <c r="B1547" s="138" t="str">
        <f>IFERROR(__xludf.DUMMYFUNCTION("""COMPUTED_VALUE"""),"Cat Ellis")</f>
        <v>Cat Ellis</v>
      </c>
      <c r="C1547" s="138">
        <f>IFERROR(__xludf.DUMMYFUNCTION("""COMPUTED_VALUE"""),1033.0)</f>
        <v>1033</v>
      </c>
      <c r="D1547" s="139">
        <f>IFERROR(__xludf.DUMMYFUNCTION("""COMPUTED_VALUE"""),591.0)</f>
        <v>591</v>
      </c>
      <c r="E1547" s="138">
        <f>IFERROR(__xludf.DUMMYFUNCTION("""COMPUTED_VALUE"""),5.0)</f>
        <v>5</v>
      </c>
      <c r="F1547" s="138">
        <f>IFERROR(__xludf.DUMMYFUNCTION("""COMPUTED_VALUE"""),5.0)</f>
        <v>5</v>
      </c>
      <c r="G1547" s="138">
        <f>IFERROR(__xludf.DUMMYFUNCTION("""COMPUTED_VALUE"""),5.0)</f>
        <v>5</v>
      </c>
      <c r="H1547" s="138">
        <f>IFERROR(__xludf.DUMMYFUNCTION("""COMPUTED_VALUE"""),5.0)</f>
        <v>5</v>
      </c>
      <c r="I1547" s="138">
        <f>IFERROR(__xludf.DUMMYFUNCTION("""COMPUTED_VALUE"""),5.0)</f>
        <v>5</v>
      </c>
      <c r="J1547" s="138">
        <f>IFERROR(__xludf.DUMMYFUNCTION("""COMPUTED_VALUE"""),5.0)</f>
        <v>5</v>
      </c>
      <c r="K1547" s="138">
        <f>IFERROR(__xludf.DUMMYFUNCTION("""COMPUTED_VALUE"""),5.0)</f>
        <v>5</v>
      </c>
      <c r="L1547" s="138">
        <v>35.0</v>
      </c>
      <c r="M1547" s="140" t="str">
        <f>VLOOKUP(text(D1547, "#"),'Master Table'!$A:$F, 6, FALSE)</f>
        <v>I-7</v>
      </c>
      <c r="N1547" s="141" t="str">
        <f>IFERROR(__xludf.DUMMYFUNCTION("""COMPUTED_VALUE"""),"You did a really great job explaining your research project. I appreciated the use of visuals on your poster. However, it would be better to use less text on future posters.")</f>
        <v>You did a really great job explaining your research project. I appreciated the use of visuals on your poster. However, it would be better to use less text on future posters.</v>
      </c>
      <c r="O1547" s="142" t="str">
        <f t="shared" si="1"/>
        <v/>
      </c>
      <c r="P1547" s="143" t="str">
        <f>IF(ISNA(VLOOKUP(CONCAT(M1547,C1547), 'Judge Count DO NOT EDIT'!H:H, 1, FALSE)), "ERROR","")</f>
        <v/>
      </c>
      <c r="Q1547" s="141"/>
      <c r="R1547" s="143"/>
      <c r="S1547" s="139" t="str">
        <f t="shared" si="2"/>
        <v>1033591</v>
      </c>
      <c r="T1547" s="141"/>
    </row>
    <row r="1548">
      <c r="A1548" s="137">
        <f>IFERROR(__xludf.DUMMYFUNCTION("""COMPUTED_VALUE"""),45352.68607755787)</f>
        <v>45352.68608</v>
      </c>
      <c r="B1548" s="138" t="str">
        <f>IFERROR(__xludf.DUMMYFUNCTION("""COMPUTED_VALUE"""),"Neda Shamsalizadeh")</f>
        <v>Neda Shamsalizadeh</v>
      </c>
      <c r="C1548" s="138">
        <f>IFERROR(__xludf.DUMMYFUNCTION("""COMPUTED_VALUE"""),1156.0)</f>
        <v>1156</v>
      </c>
      <c r="D1548" s="139">
        <f>IFERROR(__xludf.DUMMYFUNCTION("""COMPUTED_VALUE"""),591.0)</f>
        <v>591</v>
      </c>
      <c r="E1548" s="138">
        <f>IFERROR(__xludf.DUMMYFUNCTION("""COMPUTED_VALUE"""),5.0)</f>
        <v>5</v>
      </c>
      <c r="F1548" s="138">
        <f>IFERROR(__xludf.DUMMYFUNCTION("""COMPUTED_VALUE"""),5.0)</f>
        <v>5</v>
      </c>
      <c r="G1548" s="138">
        <f>IFERROR(__xludf.DUMMYFUNCTION("""COMPUTED_VALUE"""),5.0)</f>
        <v>5</v>
      </c>
      <c r="H1548" s="138">
        <f>IFERROR(__xludf.DUMMYFUNCTION("""COMPUTED_VALUE"""),5.0)</f>
        <v>5</v>
      </c>
      <c r="I1548" s="138">
        <f>IFERROR(__xludf.DUMMYFUNCTION("""COMPUTED_VALUE"""),5.0)</f>
        <v>5</v>
      </c>
      <c r="J1548" s="138">
        <f>IFERROR(__xludf.DUMMYFUNCTION("""COMPUTED_VALUE"""),5.0)</f>
        <v>5</v>
      </c>
      <c r="K1548" s="138">
        <f>IFERROR(__xludf.DUMMYFUNCTION("""COMPUTED_VALUE"""),5.0)</f>
        <v>5</v>
      </c>
      <c r="L1548" s="138">
        <v>35.0</v>
      </c>
      <c r="M1548" s="140" t="str">
        <f>VLOOKUP(text(D1548, "#"),'Master Table'!$A:$F, 6, FALSE)</f>
        <v>I-7</v>
      </c>
      <c r="N1548" s="141"/>
      <c r="O1548" s="142" t="str">
        <f t="shared" si="1"/>
        <v/>
      </c>
      <c r="P1548" s="143" t="str">
        <f>IF(ISNA(VLOOKUP(CONCAT(M1548,C1548), 'Judge Count DO NOT EDIT'!H:H, 1, FALSE)), "ERROR","")</f>
        <v/>
      </c>
      <c r="Q1548" s="141"/>
      <c r="R1548" s="143"/>
      <c r="S1548" s="139" t="str">
        <f t="shared" si="2"/>
        <v>1156591</v>
      </c>
      <c r="T1548" s="141"/>
    </row>
    <row r="1549">
      <c r="A1549" s="137">
        <f>IFERROR(__xludf.DUMMYFUNCTION("""COMPUTED_VALUE"""),45352.74738631945)</f>
        <v>45352.74739</v>
      </c>
      <c r="B1549" s="138" t="str">
        <f>IFERROR(__xludf.DUMMYFUNCTION("""COMPUTED_VALUE"""),"Brennan Pearson")</f>
        <v>Brennan Pearson</v>
      </c>
      <c r="C1549" s="138">
        <f>IFERROR(__xludf.DUMMYFUNCTION("""COMPUTED_VALUE"""),1066.0)</f>
        <v>1066</v>
      </c>
      <c r="D1549" s="139">
        <f>IFERROR(__xludf.DUMMYFUNCTION("""COMPUTED_VALUE"""),591.0)</f>
        <v>591</v>
      </c>
      <c r="E1549" s="138">
        <f>IFERROR(__xludf.DUMMYFUNCTION("""COMPUTED_VALUE"""),5.0)</f>
        <v>5</v>
      </c>
      <c r="F1549" s="138">
        <f>IFERROR(__xludf.DUMMYFUNCTION("""COMPUTED_VALUE"""),4.0)</f>
        <v>4</v>
      </c>
      <c r="G1549" s="138">
        <f>IFERROR(__xludf.DUMMYFUNCTION("""COMPUTED_VALUE"""),4.0)</f>
        <v>4</v>
      </c>
      <c r="H1549" s="138">
        <f>IFERROR(__xludf.DUMMYFUNCTION("""COMPUTED_VALUE"""),5.0)</f>
        <v>5</v>
      </c>
      <c r="I1549" s="138">
        <f>IFERROR(__xludf.DUMMYFUNCTION("""COMPUTED_VALUE"""),5.0)</f>
        <v>5</v>
      </c>
      <c r="J1549" s="138">
        <f>IFERROR(__xludf.DUMMYFUNCTION("""COMPUTED_VALUE"""),5.0)</f>
        <v>5</v>
      </c>
      <c r="K1549" s="138">
        <f>IFERROR(__xludf.DUMMYFUNCTION("""COMPUTED_VALUE"""),5.0)</f>
        <v>5</v>
      </c>
      <c r="L1549" s="138">
        <v>33.0</v>
      </c>
      <c r="M1549" s="140" t="str">
        <f>VLOOKUP(text(D1549, "#"),'Master Table'!$A:$F, 6, FALSE)</f>
        <v>I-7</v>
      </c>
      <c r="N1549" s="141" t="str">
        <f>IFERROR(__xludf.DUMMYFUNCTION("""COMPUTED_VALUE"""),"Great infographics. Very engaging presenter. Willing to answer my questions in depth. Was somewhat confused regarding totality of application purposes of the projects findings. Would like to see more regarding whether choline supplementation after birth c"&amp;"ould impact alcohol fetal syndrome (if you catch it too late, that the mother has been drinking). Overall, great. ")</f>
        <v>Great infographics. Very engaging presenter. Willing to answer my questions in depth. Was somewhat confused regarding totality of application purposes of the projects findings. Would like to see more regarding whether choline supplementation after birth could impact alcohol fetal syndrome (if you catch it too late, that the mother has been drinking). Overall, great. </v>
      </c>
      <c r="O1549" s="142" t="str">
        <f t="shared" si="1"/>
        <v/>
      </c>
      <c r="P1549" s="143" t="str">
        <f>IF(ISNA(VLOOKUP(CONCAT(M1549,C1549), 'Judge Count DO NOT EDIT'!H:H, 1, FALSE)), "ERROR","")</f>
        <v/>
      </c>
      <c r="Q1549" s="141"/>
      <c r="R1549" s="143"/>
      <c r="S1549" s="139" t="str">
        <f t="shared" si="2"/>
        <v>1066591</v>
      </c>
      <c r="T1549" s="141"/>
    </row>
    <row r="1550">
      <c r="A1550" s="137">
        <f>IFERROR(__xludf.DUMMYFUNCTION("""COMPUTED_VALUE"""),45352.67940664352)</f>
        <v>45352.67941</v>
      </c>
      <c r="B1550" s="138" t="str">
        <f>IFERROR(__xludf.DUMMYFUNCTION("""COMPUTED_VALUE"""),"Cat Ellis")</f>
        <v>Cat Ellis</v>
      </c>
      <c r="C1550" s="138">
        <f>IFERROR(__xludf.DUMMYFUNCTION("""COMPUTED_VALUE"""),1033.0)</f>
        <v>1033</v>
      </c>
      <c r="D1550" s="139">
        <f>IFERROR(__xludf.DUMMYFUNCTION("""COMPUTED_VALUE"""),592.0)</f>
        <v>592</v>
      </c>
      <c r="E1550" s="138">
        <f>IFERROR(__xludf.DUMMYFUNCTION("""COMPUTED_VALUE"""),4.0)</f>
        <v>4</v>
      </c>
      <c r="F1550" s="138">
        <f>IFERROR(__xludf.DUMMYFUNCTION("""COMPUTED_VALUE"""),5.0)</f>
        <v>5</v>
      </c>
      <c r="G1550" s="138">
        <f>IFERROR(__xludf.DUMMYFUNCTION("""COMPUTED_VALUE"""),5.0)</f>
        <v>5</v>
      </c>
      <c r="H1550" s="138">
        <f>IFERROR(__xludf.DUMMYFUNCTION("""COMPUTED_VALUE"""),5.0)</f>
        <v>5</v>
      </c>
      <c r="I1550" s="138">
        <f>IFERROR(__xludf.DUMMYFUNCTION("""COMPUTED_VALUE"""),5.0)</f>
        <v>5</v>
      </c>
      <c r="J1550" s="138">
        <f>IFERROR(__xludf.DUMMYFUNCTION("""COMPUTED_VALUE"""),4.0)</f>
        <v>4</v>
      </c>
      <c r="K1550" s="138">
        <f>IFERROR(__xludf.DUMMYFUNCTION("""COMPUTED_VALUE"""),5.0)</f>
        <v>5</v>
      </c>
      <c r="L1550" s="138">
        <v>33.0</v>
      </c>
      <c r="M1550" s="140" t="str">
        <f>VLOOKUP(text(D1550, "#"),'Master Table'!$A:$F, 6, FALSE)</f>
        <v>I-7</v>
      </c>
      <c r="N1550" s="141" t="str">
        <f>IFERROR(__xludf.DUMMYFUNCTION("""COMPUTED_VALUE"""),"Great presentation with a great explanation of the project. The poster was very text-heavy, so it was difficult to understand it quickly. Using bullet points to convey key information may work better in the future.")</f>
        <v>Great presentation with a great explanation of the project. The poster was very text-heavy, so it was difficult to understand it quickly. Using bullet points to convey key information may work better in the future.</v>
      </c>
      <c r="O1550" s="142" t="str">
        <f t="shared" si="1"/>
        <v/>
      </c>
      <c r="P1550" s="143" t="str">
        <f>IF(ISNA(VLOOKUP(CONCAT(M1550,C1550), 'Judge Count DO NOT EDIT'!H:H, 1, FALSE)), "ERROR","")</f>
        <v/>
      </c>
      <c r="Q1550" s="141"/>
      <c r="R1550" s="143"/>
      <c r="S1550" s="139" t="str">
        <f t="shared" si="2"/>
        <v>1033592</v>
      </c>
      <c r="T1550" s="141"/>
    </row>
    <row r="1551">
      <c r="A1551" s="137">
        <f>IFERROR(__xludf.DUMMYFUNCTION("""COMPUTED_VALUE"""),45352.68676193287)</f>
        <v>45352.68676</v>
      </c>
      <c r="B1551" s="138" t="str">
        <f>IFERROR(__xludf.DUMMYFUNCTION("""COMPUTED_VALUE"""),"Neda Shamsalizadeh")</f>
        <v>Neda Shamsalizadeh</v>
      </c>
      <c r="C1551" s="138">
        <f>IFERROR(__xludf.DUMMYFUNCTION("""COMPUTED_VALUE"""),1156.0)</f>
        <v>1156</v>
      </c>
      <c r="D1551" s="139">
        <f>IFERROR(__xludf.DUMMYFUNCTION("""COMPUTED_VALUE"""),592.0)</f>
        <v>592</v>
      </c>
      <c r="E1551" s="138">
        <f>IFERROR(__xludf.DUMMYFUNCTION("""COMPUTED_VALUE"""),5.0)</f>
        <v>5</v>
      </c>
      <c r="F1551" s="138">
        <f>IFERROR(__xludf.DUMMYFUNCTION("""COMPUTED_VALUE"""),5.0)</f>
        <v>5</v>
      </c>
      <c r="G1551" s="138">
        <f>IFERROR(__xludf.DUMMYFUNCTION("""COMPUTED_VALUE"""),5.0)</f>
        <v>5</v>
      </c>
      <c r="H1551" s="138">
        <f>IFERROR(__xludf.DUMMYFUNCTION("""COMPUTED_VALUE"""),5.0)</f>
        <v>5</v>
      </c>
      <c r="I1551" s="138">
        <f>IFERROR(__xludf.DUMMYFUNCTION("""COMPUTED_VALUE"""),5.0)</f>
        <v>5</v>
      </c>
      <c r="J1551" s="138">
        <f>IFERROR(__xludf.DUMMYFUNCTION("""COMPUTED_VALUE"""),5.0)</f>
        <v>5</v>
      </c>
      <c r="K1551" s="138">
        <f>IFERROR(__xludf.DUMMYFUNCTION("""COMPUTED_VALUE"""),5.0)</f>
        <v>5</v>
      </c>
      <c r="L1551" s="138">
        <v>35.0</v>
      </c>
      <c r="M1551" s="140" t="str">
        <f>VLOOKUP(text(D1551, "#"),'Master Table'!$A:$F, 6, FALSE)</f>
        <v>I-7</v>
      </c>
      <c r="N1551" s="141"/>
      <c r="O1551" s="142" t="str">
        <f t="shared" si="1"/>
        <v/>
      </c>
      <c r="P1551" s="143" t="str">
        <f>IF(ISNA(VLOOKUP(CONCAT(M1551,C1551), 'Judge Count DO NOT EDIT'!H:H, 1, FALSE)), "ERROR","")</f>
        <v/>
      </c>
      <c r="Q1551" s="141"/>
      <c r="R1551" s="143"/>
      <c r="S1551" s="139" t="str">
        <f t="shared" si="2"/>
        <v>1156592</v>
      </c>
      <c r="T1551" s="141"/>
    </row>
    <row r="1552">
      <c r="A1552" s="137">
        <f>IFERROR(__xludf.DUMMYFUNCTION("""COMPUTED_VALUE"""),45352.680771562504)</f>
        <v>45352.68077</v>
      </c>
      <c r="B1552" s="138" t="str">
        <f>IFERROR(__xludf.DUMMYFUNCTION("""COMPUTED_VALUE"""),"Cat Ellis")</f>
        <v>Cat Ellis</v>
      </c>
      <c r="C1552" s="138">
        <f>IFERROR(__xludf.DUMMYFUNCTION("""COMPUTED_VALUE"""),1033.0)</f>
        <v>1033</v>
      </c>
      <c r="D1552" s="139">
        <f>IFERROR(__xludf.DUMMYFUNCTION("""COMPUTED_VALUE"""),593.0)</f>
        <v>593</v>
      </c>
      <c r="E1552" s="138">
        <f>IFERROR(__xludf.DUMMYFUNCTION("""COMPUTED_VALUE"""),5.0)</f>
        <v>5</v>
      </c>
      <c r="F1552" s="138">
        <f>IFERROR(__xludf.DUMMYFUNCTION("""COMPUTED_VALUE"""),5.0)</f>
        <v>5</v>
      </c>
      <c r="G1552" s="138">
        <f>IFERROR(__xludf.DUMMYFUNCTION("""COMPUTED_VALUE"""),5.0)</f>
        <v>5</v>
      </c>
      <c r="H1552" s="138">
        <f>IFERROR(__xludf.DUMMYFUNCTION("""COMPUTED_VALUE"""),5.0)</f>
        <v>5</v>
      </c>
      <c r="I1552" s="138">
        <f>IFERROR(__xludf.DUMMYFUNCTION("""COMPUTED_VALUE"""),3.0)</f>
        <v>3</v>
      </c>
      <c r="J1552" s="138">
        <f>IFERROR(__xludf.DUMMYFUNCTION("""COMPUTED_VALUE"""),4.0)</f>
        <v>4</v>
      </c>
      <c r="K1552" s="138">
        <f>IFERROR(__xludf.DUMMYFUNCTION("""COMPUTED_VALUE"""),4.0)</f>
        <v>4</v>
      </c>
      <c r="L1552" s="138">
        <v>31.0</v>
      </c>
      <c r="M1552" s="140" t="str">
        <f>VLOOKUP(text(D1552, "#"),'Master Table'!$A:$F, 6, FALSE)</f>
        <v>I-7</v>
      </c>
      <c r="N1552" s="141" t="str">
        <f>IFERROR(__xludf.DUMMYFUNCTION("""COMPUTED_VALUE"""),"This project is interesting and has the possibility to lead to future research and projects. However, the presentation delivery could be better structured.")</f>
        <v>This project is interesting and has the possibility to lead to future research and projects. However, the presentation delivery could be better structured.</v>
      </c>
      <c r="O1552" s="142" t="str">
        <f t="shared" si="1"/>
        <v/>
      </c>
      <c r="P1552" s="143" t="str">
        <f>IF(ISNA(VLOOKUP(CONCAT(M1552,C1552), 'Judge Count DO NOT EDIT'!H:H, 1, FALSE)), "ERROR","")</f>
        <v/>
      </c>
      <c r="Q1552" s="141"/>
      <c r="R1552" s="143"/>
      <c r="S1552" s="139" t="str">
        <f t="shared" si="2"/>
        <v>1033593</v>
      </c>
      <c r="T1552" s="141"/>
    </row>
    <row r="1553">
      <c r="A1553" s="137">
        <f>IFERROR(__xludf.DUMMYFUNCTION("""COMPUTED_VALUE"""),45352.68824541666)</f>
        <v>45352.68825</v>
      </c>
      <c r="B1553" s="138" t="str">
        <f>IFERROR(__xludf.DUMMYFUNCTION("""COMPUTED_VALUE"""),"Neda Shamsalizadeh")</f>
        <v>Neda Shamsalizadeh</v>
      </c>
      <c r="C1553" s="138">
        <f>IFERROR(__xludf.DUMMYFUNCTION("""COMPUTED_VALUE"""),1156.0)</f>
        <v>1156</v>
      </c>
      <c r="D1553" s="139">
        <f>IFERROR(__xludf.DUMMYFUNCTION("""COMPUTED_VALUE"""),593.0)</f>
        <v>593</v>
      </c>
      <c r="E1553" s="138">
        <f>IFERROR(__xludf.DUMMYFUNCTION("""COMPUTED_VALUE"""),5.0)</f>
        <v>5</v>
      </c>
      <c r="F1553" s="138">
        <f>IFERROR(__xludf.DUMMYFUNCTION("""COMPUTED_VALUE"""),4.0)</f>
        <v>4</v>
      </c>
      <c r="G1553" s="138">
        <f>IFERROR(__xludf.DUMMYFUNCTION("""COMPUTED_VALUE"""),5.0)</f>
        <v>5</v>
      </c>
      <c r="H1553" s="138">
        <f>IFERROR(__xludf.DUMMYFUNCTION("""COMPUTED_VALUE"""),5.0)</f>
        <v>5</v>
      </c>
      <c r="I1553" s="138">
        <f>IFERROR(__xludf.DUMMYFUNCTION("""COMPUTED_VALUE"""),4.0)</f>
        <v>4</v>
      </c>
      <c r="J1553" s="138">
        <f>IFERROR(__xludf.DUMMYFUNCTION("""COMPUTED_VALUE"""),5.0)</f>
        <v>5</v>
      </c>
      <c r="K1553" s="138">
        <f>IFERROR(__xludf.DUMMYFUNCTION("""COMPUTED_VALUE"""),5.0)</f>
        <v>5</v>
      </c>
      <c r="L1553" s="138">
        <v>33.0</v>
      </c>
      <c r="M1553" s="140" t="str">
        <f>VLOOKUP(text(D1553, "#"),'Master Table'!$A:$F, 6, FALSE)</f>
        <v>I-7</v>
      </c>
      <c r="N1553" s="141"/>
      <c r="O1553" s="142" t="str">
        <f t="shared" si="1"/>
        <v/>
      </c>
      <c r="P1553" s="143" t="str">
        <f>IF(ISNA(VLOOKUP(CONCAT(M1553,C1553), 'Judge Count DO NOT EDIT'!H:H, 1, FALSE)), "ERROR","")</f>
        <v/>
      </c>
      <c r="Q1553" s="141"/>
      <c r="R1553" s="143"/>
      <c r="S1553" s="139" t="str">
        <f t="shared" si="2"/>
        <v>1156593</v>
      </c>
      <c r="T1553" s="141"/>
    </row>
    <row r="1554">
      <c r="A1554" s="137">
        <f>IFERROR(__xludf.DUMMYFUNCTION("""COMPUTED_VALUE"""),45352.74540591435)</f>
        <v>45352.74541</v>
      </c>
      <c r="B1554" s="138" t="str">
        <f>IFERROR(__xludf.DUMMYFUNCTION("""COMPUTED_VALUE"""),"Brennan Pearson ")</f>
        <v>Brennan Pearson </v>
      </c>
      <c r="C1554" s="138">
        <f>IFERROR(__xludf.DUMMYFUNCTION("""COMPUTED_VALUE"""),1066.0)</f>
        <v>1066</v>
      </c>
      <c r="D1554" s="139">
        <f>IFERROR(__xludf.DUMMYFUNCTION("""COMPUTED_VALUE"""),593.0)</f>
        <v>593</v>
      </c>
      <c r="E1554" s="138">
        <f>IFERROR(__xludf.DUMMYFUNCTION("""COMPUTED_VALUE"""),4.0)</f>
        <v>4</v>
      </c>
      <c r="F1554" s="138">
        <f>IFERROR(__xludf.DUMMYFUNCTION("""COMPUTED_VALUE"""),5.0)</f>
        <v>5</v>
      </c>
      <c r="G1554" s="138">
        <f>IFERROR(__xludf.DUMMYFUNCTION("""COMPUTED_VALUE"""),5.0)</f>
        <v>5</v>
      </c>
      <c r="H1554" s="138">
        <f>IFERROR(__xludf.DUMMYFUNCTION("""COMPUTED_VALUE"""),4.0)</f>
        <v>4</v>
      </c>
      <c r="I1554" s="138">
        <f>IFERROR(__xludf.DUMMYFUNCTION("""COMPUTED_VALUE"""),5.0)</f>
        <v>5</v>
      </c>
      <c r="J1554" s="138">
        <f>IFERROR(__xludf.DUMMYFUNCTION("""COMPUTED_VALUE"""),3.0)</f>
        <v>3</v>
      </c>
      <c r="K1554" s="138">
        <f>IFERROR(__xludf.DUMMYFUNCTION("""COMPUTED_VALUE"""),5.0)</f>
        <v>5</v>
      </c>
      <c r="L1554" s="138">
        <v>31.0</v>
      </c>
      <c r="M1554" s="140" t="str">
        <f>VLOOKUP(text(D1554, "#"),'Master Table'!$A:$F, 6, FALSE)</f>
        <v>I-7</v>
      </c>
      <c r="N1554" s="141" t="str">
        <f>IFERROR(__xludf.DUMMYFUNCTION("""COMPUTED_VALUE"""),"Excellent idea for the future. Hope to see big things happen because of the research on this project!")</f>
        <v>Excellent idea for the future. Hope to see big things happen because of the research on this project!</v>
      </c>
      <c r="O1554" s="142" t="str">
        <f t="shared" si="1"/>
        <v/>
      </c>
      <c r="P1554" s="143" t="str">
        <f>IF(ISNA(VLOOKUP(CONCAT(M1554,C1554), 'Judge Count DO NOT EDIT'!H:H, 1, FALSE)), "ERROR","")</f>
        <v/>
      </c>
      <c r="Q1554" s="141"/>
      <c r="R1554" s="143"/>
      <c r="S1554" s="139" t="str">
        <f t="shared" si="2"/>
        <v>1066593</v>
      </c>
      <c r="T1554" s="141"/>
    </row>
    <row r="1555">
      <c r="A1555" s="137">
        <f>IFERROR(__xludf.DUMMYFUNCTION("""COMPUTED_VALUE"""),45352.68231849537)</f>
        <v>45352.68232</v>
      </c>
      <c r="B1555" s="138" t="str">
        <f>IFERROR(__xludf.DUMMYFUNCTION("""COMPUTED_VALUE"""),"Cat Ellis")</f>
        <v>Cat Ellis</v>
      </c>
      <c r="C1555" s="138">
        <f>IFERROR(__xludf.DUMMYFUNCTION("""COMPUTED_VALUE"""),1033.0)</f>
        <v>1033</v>
      </c>
      <c r="D1555" s="139">
        <f>IFERROR(__xludf.DUMMYFUNCTION("""COMPUTED_VALUE"""),594.0)</f>
        <v>594</v>
      </c>
      <c r="E1555" s="138">
        <f>IFERROR(__xludf.DUMMYFUNCTION("""COMPUTED_VALUE"""),4.0)</f>
        <v>4</v>
      </c>
      <c r="F1555" s="138">
        <f>IFERROR(__xludf.DUMMYFUNCTION("""COMPUTED_VALUE"""),5.0)</f>
        <v>5</v>
      </c>
      <c r="G1555" s="138">
        <f>IFERROR(__xludf.DUMMYFUNCTION("""COMPUTED_VALUE"""),5.0)</f>
        <v>5</v>
      </c>
      <c r="H1555" s="138">
        <f>IFERROR(__xludf.DUMMYFUNCTION("""COMPUTED_VALUE"""),5.0)</f>
        <v>5</v>
      </c>
      <c r="I1555" s="138">
        <f>IFERROR(__xludf.DUMMYFUNCTION("""COMPUTED_VALUE"""),5.0)</f>
        <v>5</v>
      </c>
      <c r="J1555" s="138">
        <f>IFERROR(__xludf.DUMMYFUNCTION("""COMPUTED_VALUE"""),5.0)</f>
        <v>5</v>
      </c>
      <c r="K1555" s="138">
        <f>IFERROR(__xludf.DUMMYFUNCTION("""COMPUTED_VALUE"""),5.0)</f>
        <v>5</v>
      </c>
      <c r="L1555" s="138">
        <v>34.0</v>
      </c>
      <c r="M1555" s="140" t="str">
        <f>VLOOKUP(text(D1555, "#"),'Master Table'!$A:$F, 6, FALSE)</f>
        <v>I-7</v>
      </c>
      <c r="N1555" s="141" t="str">
        <f>IFERROR(__xludf.DUMMYFUNCTION("""COMPUTED_VALUE"""),"You did great jobs presenting this research and engaging with the audience. However, the graphs/data visualizations were small, making them hard to read.")</f>
        <v>You did great jobs presenting this research and engaging with the audience. However, the graphs/data visualizations were small, making them hard to read.</v>
      </c>
      <c r="O1555" s="142" t="str">
        <f t="shared" si="1"/>
        <v/>
      </c>
      <c r="P1555" s="143" t="str">
        <f>IF(ISNA(VLOOKUP(CONCAT(M1555,C1555), 'Judge Count DO NOT EDIT'!H:H, 1, FALSE)), "ERROR","")</f>
        <v/>
      </c>
      <c r="Q1555" s="141"/>
      <c r="R1555" s="143"/>
      <c r="S1555" s="139" t="str">
        <f t="shared" si="2"/>
        <v>1033594</v>
      </c>
      <c r="T1555" s="141"/>
    </row>
    <row r="1556">
      <c r="A1556" s="137">
        <f>IFERROR(__xludf.DUMMYFUNCTION("""COMPUTED_VALUE"""),45352.68906578704)</f>
        <v>45352.68907</v>
      </c>
      <c r="B1556" s="138" t="str">
        <f>IFERROR(__xludf.DUMMYFUNCTION("""COMPUTED_VALUE"""),"Neda Shamsalizadeh")</f>
        <v>Neda Shamsalizadeh</v>
      </c>
      <c r="C1556" s="138">
        <f>IFERROR(__xludf.DUMMYFUNCTION("""COMPUTED_VALUE"""),1156.0)</f>
        <v>1156</v>
      </c>
      <c r="D1556" s="139">
        <f>IFERROR(__xludf.DUMMYFUNCTION("""COMPUTED_VALUE"""),594.0)</f>
        <v>594</v>
      </c>
      <c r="E1556" s="138">
        <f>IFERROR(__xludf.DUMMYFUNCTION("""COMPUTED_VALUE"""),5.0)</f>
        <v>5</v>
      </c>
      <c r="F1556" s="138">
        <f>IFERROR(__xludf.DUMMYFUNCTION("""COMPUTED_VALUE"""),5.0)</f>
        <v>5</v>
      </c>
      <c r="G1556" s="138">
        <f>IFERROR(__xludf.DUMMYFUNCTION("""COMPUTED_VALUE"""),5.0)</f>
        <v>5</v>
      </c>
      <c r="H1556" s="138">
        <f>IFERROR(__xludf.DUMMYFUNCTION("""COMPUTED_VALUE"""),5.0)</f>
        <v>5</v>
      </c>
      <c r="I1556" s="138">
        <f>IFERROR(__xludf.DUMMYFUNCTION("""COMPUTED_VALUE"""),4.0)</f>
        <v>4</v>
      </c>
      <c r="J1556" s="138">
        <f>IFERROR(__xludf.DUMMYFUNCTION("""COMPUTED_VALUE"""),5.0)</f>
        <v>5</v>
      </c>
      <c r="K1556" s="138">
        <f>IFERROR(__xludf.DUMMYFUNCTION("""COMPUTED_VALUE"""),5.0)</f>
        <v>5</v>
      </c>
      <c r="L1556" s="138">
        <v>34.0</v>
      </c>
      <c r="M1556" s="140" t="str">
        <f>VLOOKUP(text(D1556, "#"),'Master Table'!$A:$F, 6, FALSE)</f>
        <v>I-7</v>
      </c>
      <c r="N1556" s="141"/>
      <c r="O1556" s="142" t="str">
        <f t="shared" si="1"/>
        <v/>
      </c>
      <c r="P1556" s="143" t="str">
        <f>IF(ISNA(VLOOKUP(CONCAT(M1556,C1556), 'Judge Count DO NOT EDIT'!H:H, 1, FALSE)), "ERROR","")</f>
        <v/>
      </c>
      <c r="Q1556" s="141"/>
      <c r="R1556" s="143"/>
      <c r="S1556" s="139" t="str">
        <f t="shared" si="2"/>
        <v>1156594</v>
      </c>
      <c r="T1556" s="141"/>
    </row>
    <row r="1557">
      <c r="A1557" s="137">
        <f>IFERROR(__xludf.DUMMYFUNCTION("""COMPUTED_VALUE"""),45352.64825695602)</f>
        <v>45352.64826</v>
      </c>
      <c r="B1557" s="138" t="str">
        <f>IFERROR(__xludf.DUMMYFUNCTION("""COMPUTED_VALUE"""),"Miranda Parker ")</f>
        <v>Miranda Parker </v>
      </c>
      <c r="C1557" s="138">
        <f>IFERROR(__xludf.DUMMYFUNCTION("""COMPUTED_VALUE"""),1149.0)</f>
        <v>1149</v>
      </c>
      <c r="D1557" s="139">
        <f>IFERROR(__xludf.DUMMYFUNCTION("""COMPUTED_VALUE"""),595.0)</f>
        <v>595</v>
      </c>
      <c r="E1557" s="138">
        <f>IFERROR(__xludf.DUMMYFUNCTION("""COMPUTED_VALUE"""),5.0)</f>
        <v>5</v>
      </c>
      <c r="F1557" s="138">
        <f>IFERROR(__xludf.DUMMYFUNCTION("""COMPUTED_VALUE"""),4.0)</f>
        <v>4</v>
      </c>
      <c r="G1557" s="138">
        <f>IFERROR(__xludf.DUMMYFUNCTION("""COMPUTED_VALUE"""),4.0)</f>
        <v>4</v>
      </c>
      <c r="H1557" s="138">
        <f>IFERROR(__xludf.DUMMYFUNCTION("""COMPUTED_VALUE"""),4.0)</f>
        <v>4</v>
      </c>
      <c r="I1557" s="138">
        <f>IFERROR(__xludf.DUMMYFUNCTION("""COMPUTED_VALUE"""),5.0)</f>
        <v>5</v>
      </c>
      <c r="J1557" s="138">
        <f>IFERROR(__xludf.DUMMYFUNCTION("""COMPUTED_VALUE"""),4.0)</f>
        <v>4</v>
      </c>
      <c r="K1557" s="138">
        <f>IFERROR(__xludf.DUMMYFUNCTION("""COMPUTED_VALUE"""),4.0)</f>
        <v>4</v>
      </c>
      <c r="L1557" s="138">
        <v>30.0</v>
      </c>
      <c r="M1557" s="140" t="str">
        <f>VLOOKUP(text(D1557, "#"),'Master Table'!$A:$F, 6, FALSE)</f>
        <v>I-8</v>
      </c>
      <c r="N1557" s="141" t="str">
        <f>IFERROR(__xludf.DUMMYFUNCTION("""COMPUTED_VALUE"""),"Your poster was beautiful! You did a great job representing and communicating a really complex topic. This work is really important, and I'm glad you had the opportunity to present it at S3!")</f>
        <v>Your poster was beautiful! You did a great job representing and communicating a really complex topic. This work is really important, and I'm glad you had the opportunity to present it at S3!</v>
      </c>
      <c r="O1557" s="142" t="str">
        <f t="shared" si="1"/>
        <v/>
      </c>
      <c r="P1557" s="143" t="str">
        <f>IF(ISNA(VLOOKUP(CONCAT(M1557,C1557), 'Judge Count DO NOT EDIT'!H:H, 1, FALSE)), "ERROR","")</f>
        <v/>
      </c>
      <c r="Q1557" s="141"/>
      <c r="R1557" s="143"/>
      <c r="S1557" s="139" t="str">
        <f t="shared" si="2"/>
        <v>1149595</v>
      </c>
      <c r="T1557" s="141"/>
    </row>
    <row r="1558">
      <c r="A1558" s="137">
        <f>IFERROR(__xludf.DUMMYFUNCTION("""COMPUTED_VALUE"""),45352.650196215276)</f>
        <v>45352.6502</v>
      </c>
      <c r="B1558" s="138" t="str">
        <f>IFERROR(__xludf.DUMMYFUNCTION("""COMPUTED_VALUE"""),"Kelly Sawyer")</f>
        <v>Kelly Sawyer</v>
      </c>
      <c r="C1558" s="138">
        <f>IFERROR(__xludf.DUMMYFUNCTION("""COMPUTED_VALUE"""),1196.0)</f>
        <v>1196</v>
      </c>
      <c r="D1558" s="139">
        <f>IFERROR(__xludf.DUMMYFUNCTION("""COMPUTED_VALUE"""),595.0)</f>
        <v>595</v>
      </c>
      <c r="E1558" s="138">
        <f>IFERROR(__xludf.DUMMYFUNCTION("""COMPUTED_VALUE"""),4.0)</f>
        <v>4</v>
      </c>
      <c r="F1558" s="138">
        <f>IFERROR(__xludf.DUMMYFUNCTION("""COMPUTED_VALUE"""),3.0)</f>
        <v>3</v>
      </c>
      <c r="G1558" s="138">
        <f>IFERROR(__xludf.DUMMYFUNCTION("""COMPUTED_VALUE"""),4.0)</f>
        <v>4</v>
      </c>
      <c r="H1558" s="138">
        <f>IFERROR(__xludf.DUMMYFUNCTION("""COMPUTED_VALUE"""),3.0)</f>
        <v>3</v>
      </c>
      <c r="I1558" s="138">
        <f>IFERROR(__xludf.DUMMYFUNCTION("""COMPUTED_VALUE"""),3.0)</f>
        <v>3</v>
      </c>
      <c r="J1558" s="138">
        <f>IFERROR(__xludf.DUMMYFUNCTION("""COMPUTED_VALUE"""),3.0)</f>
        <v>3</v>
      </c>
      <c r="K1558" s="138">
        <f>IFERROR(__xludf.DUMMYFUNCTION("""COMPUTED_VALUE"""),4.0)</f>
        <v>4</v>
      </c>
      <c r="L1558" s="138">
        <v>24.0</v>
      </c>
      <c r="M1558" s="140" t="str">
        <f>VLOOKUP(text(D1558, "#"),'Master Table'!$A:$F, 6, FALSE)</f>
        <v>I-8</v>
      </c>
      <c r="N1558" s="141" t="str">
        <f>IFERROR(__xludf.DUMMYFUNCTION("""COMPUTED_VALUE"""),"Presenter was concise with summary of research and the visual was very strategic as it was confusing to look at which was the main point. They maintained well eye contact and was able to speak to challenges and areas the research did not surprise them. Th"&amp;"eir passion was  some volumes in the presentation itself which made it that much easier to follow")</f>
        <v>Presenter was concise with summary of research and the visual was very strategic as it was confusing to look at which was the main point. They maintained well eye contact and was able to speak to challenges and areas the research did not surprise them. Their passion was  some volumes in the presentation itself which made it that much easier to follow</v>
      </c>
      <c r="O1558" s="142" t="str">
        <f t="shared" si="1"/>
        <v/>
      </c>
      <c r="P1558" s="143" t="str">
        <f>IF(ISNA(VLOOKUP(CONCAT(M1558,C1558), 'Judge Count DO NOT EDIT'!H:H, 1, FALSE)), "ERROR","")</f>
        <v/>
      </c>
      <c r="Q1558" s="144"/>
      <c r="R1558" s="143"/>
      <c r="S1558" s="139" t="str">
        <f t="shared" si="2"/>
        <v>1196595</v>
      </c>
      <c r="T1558" s="141"/>
    </row>
    <row r="1559">
      <c r="A1559" s="137">
        <f>IFERROR(__xludf.DUMMYFUNCTION("""COMPUTED_VALUE"""),45352.661160601856)</f>
        <v>45352.66116</v>
      </c>
      <c r="B1559" s="138" t="str">
        <f>IFERROR(__xludf.DUMMYFUNCTION("""COMPUTED_VALUE"""),"Ivan A. Hernandez")</f>
        <v>Ivan A. Hernandez</v>
      </c>
      <c r="C1559" s="138">
        <f>IFERROR(__xludf.DUMMYFUNCTION("""COMPUTED_VALUE"""),1201.0)</f>
        <v>1201</v>
      </c>
      <c r="D1559" s="139">
        <f>IFERROR(__xludf.DUMMYFUNCTION("""COMPUTED_VALUE"""),595.0)</f>
        <v>595</v>
      </c>
      <c r="E1559" s="138">
        <f>IFERROR(__xludf.DUMMYFUNCTION("""COMPUTED_VALUE"""),4.0)</f>
        <v>4</v>
      </c>
      <c r="F1559" s="138">
        <f>IFERROR(__xludf.DUMMYFUNCTION("""COMPUTED_VALUE"""),4.0)</f>
        <v>4</v>
      </c>
      <c r="G1559" s="138">
        <f>IFERROR(__xludf.DUMMYFUNCTION("""COMPUTED_VALUE"""),3.0)</f>
        <v>3</v>
      </c>
      <c r="H1559" s="138">
        <f>IFERROR(__xludf.DUMMYFUNCTION("""COMPUTED_VALUE"""),4.0)</f>
        <v>4</v>
      </c>
      <c r="I1559" s="138">
        <f>IFERROR(__xludf.DUMMYFUNCTION("""COMPUTED_VALUE"""),5.0)</f>
        <v>5</v>
      </c>
      <c r="J1559" s="138">
        <f>IFERROR(__xludf.DUMMYFUNCTION("""COMPUTED_VALUE"""),5.0)</f>
        <v>5</v>
      </c>
      <c r="K1559" s="138">
        <f>IFERROR(__xludf.DUMMYFUNCTION("""COMPUTED_VALUE"""),5.0)</f>
        <v>5</v>
      </c>
      <c r="L1559" s="138">
        <v>30.0</v>
      </c>
      <c r="M1559" s="140" t="str">
        <f>VLOOKUP(text(D1559, "#"),'Master Table'!$A:$F, 6, FALSE)</f>
        <v>I-8</v>
      </c>
      <c r="N1559" s="141" t="str">
        <f>IFERROR(__xludf.DUMMYFUNCTION("""COMPUTED_VALUE"""),"The presenter did a wonderful job! This was really clear and compelling. The presenter was very well prepared and communicated their research fantastically. The images were great. The presenter was engaged and it felt very natural; they clearly have thoug"&amp;"ht about the work a lot and worked hard to prepare. The poster had a lot of information on it, which I recommend cutting down a bit to make a bit more accessible which would also allow the audience to focus on the presentation and what the presenter is sa"&amp;"ying. Very nicely done. ")</f>
        <v>The presenter did a wonderful job! This was really clear and compelling. The presenter was very well prepared and communicated their research fantastically. The images were great. The presenter was engaged and it felt very natural; they clearly have thought about the work a lot and worked hard to prepare. The poster had a lot of information on it, which I recommend cutting down a bit to make a bit more accessible which would also allow the audience to focus on the presentation and what the presenter is saying. Very nicely done. </v>
      </c>
      <c r="O1559" s="142" t="str">
        <f t="shared" si="1"/>
        <v/>
      </c>
      <c r="P1559" s="143" t="str">
        <f>IF(ISNA(VLOOKUP(CONCAT(M1559,C1559), 'Judge Count DO NOT EDIT'!H:H, 1, FALSE)), "ERROR","")</f>
        <v/>
      </c>
      <c r="Q1559" s="141"/>
      <c r="R1559" s="143"/>
      <c r="S1559" s="139" t="str">
        <f t="shared" si="2"/>
        <v>1201595</v>
      </c>
      <c r="T1559" s="141"/>
    </row>
    <row r="1560">
      <c r="A1560" s="137">
        <f>IFERROR(__xludf.DUMMYFUNCTION("""COMPUTED_VALUE"""),45352.893352858795)</f>
        <v>45352.89335</v>
      </c>
      <c r="B1560" s="138" t="str">
        <f>IFERROR(__xludf.DUMMYFUNCTION("""COMPUTED_VALUE"""),"Melina Melgarejo")</f>
        <v>Melina Melgarejo</v>
      </c>
      <c r="C1560" s="138">
        <f>IFERROR(__xludf.DUMMYFUNCTION("""COMPUTED_VALUE"""),1150.0)</f>
        <v>1150</v>
      </c>
      <c r="D1560" s="139">
        <f>IFERROR(__xludf.DUMMYFUNCTION("""COMPUTED_VALUE"""),595.0)</f>
        <v>595</v>
      </c>
      <c r="E1560" s="138">
        <f>IFERROR(__xludf.DUMMYFUNCTION("""COMPUTED_VALUE"""),5.0)</f>
        <v>5</v>
      </c>
      <c r="F1560" s="138">
        <f>IFERROR(__xludf.DUMMYFUNCTION("""COMPUTED_VALUE"""),5.0)</f>
        <v>5</v>
      </c>
      <c r="G1560" s="138">
        <f>IFERROR(__xludf.DUMMYFUNCTION("""COMPUTED_VALUE"""),4.0)</f>
        <v>4</v>
      </c>
      <c r="H1560" s="138">
        <f>IFERROR(__xludf.DUMMYFUNCTION("""COMPUTED_VALUE"""),4.0)</f>
        <v>4</v>
      </c>
      <c r="I1560" s="138">
        <f>IFERROR(__xludf.DUMMYFUNCTION("""COMPUTED_VALUE"""),4.0)</f>
        <v>4</v>
      </c>
      <c r="J1560" s="138">
        <f>IFERROR(__xludf.DUMMYFUNCTION("""COMPUTED_VALUE"""),4.0)</f>
        <v>4</v>
      </c>
      <c r="K1560" s="138">
        <f>IFERROR(__xludf.DUMMYFUNCTION("""COMPUTED_VALUE"""),4.0)</f>
        <v>4</v>
      </c>
      <c r="L1560" s="138">
        <v>30.0</v>
      </c>
      <c r="M1560" s="140" t="str">
        <f>VLOOKUP(text(D1560, "#"),'Master Table'!$A:$F, 6, FALSE)</f>
        <v>I-8</v>
      </c>
      <c r="N1560" s="141" t="str">
        <f>IFERROR(__xludf.DUMMYFUNCTION("""COMPUTED_VALUE"""),"Well spoken")</f>
        <v>Well spoken</v>
      </c>
      <c r="O1560" s="142" t="str">
        <f t="shared" si="1"/>
        <v/>
      </c>
      <c r="P1560" s="143" t="str">
        <f>IF(ISNA(VLOOKUP(CONCAT(M1560,C1560), 'Judge Count DO NOT EDIT'!H:H, 1, FALSE)), "ERROR","")</f>
        <v/>
      </c>
      <c r="Q1560" s="141"/>
      <c r="R1560" s="143"/>
      <c r="S1560" s="139" t="str">
        <f t="shared" si="2"/>
        <v>1150595</v>
      </c>
      <c r="T1560" s="141"/>
    </row>
    <row r="1561">
      <c r="A1561" s="137">
        <f>IFERROR(__xludf.DUMMYFUNCTION("""COMPUTED_VALUE"""),45352.64958849537)</f>
        <v>45352.64959</v>
      </c>
      <c r="B1561" s="138" t="str">
        <f>IFERROR(__xludf.DUMMYFUNCTION("""COMPUTED_VALUE"""),"Ivan A. Hernandez")</f>
        <v>Ivan A. Hernandez</v>
      </c>
      <c r="C1561" s="138">
        <f>IFERROR(__xludf.DUMMYFUNCTION("""COMPUTED_VALUE"""),1201.0)</f>
        <v>1201</v>
      </c>
      <c r="D1561" s="139">
        <f>IFERROR(__xludf.DUMMYFUNCTION("""COMPUTED_VALUE"""),597.0)</f>
        <v>597</v>
      </c>
      <c r="E1561" s="138">
        <f>IFERROR(__xludf.DUMMYFUNCTION("""COMPUTED_VALUE"""),4.0)</f>
        <v>4</v>
      </c>
      <c r="F1561" s="138">
        <f>IFERROR(__xludf.DUMMYFUNCTION("""COMPUTED_VALUE"""),4.0)</f>
        <v>4</v>
      </c>
      <c r="G1561" s="138">
        <f>IFERROR(__xludf.DUMMYFUNCTION("""COMPUTED_VALUE"""),4.0)</f>
        <v>4</v>
      </c>
      <c r="H1561" s="138">
        <f>IFERROR(__xludf.DUMMYFUNCTION("""COMPUTED_VALUE"""),4.0)</f>
        <v>4</v>
      </c>
      <c r="I1561" s="138">
        <f>IFERROR(__xludf.DUMMYFUNCTION("""COMPUTED_VALUE"""),4.0)</f>
        <v>4</v>
      </c>
      <c r="J1561" s="138">
        <f>IFERROR(__xludf.DUMMYFUNCTION("""COMPUTED_VALUE"""),4.0)</f>
        <v>4</v>
      </c>
      <c r="K1561" s="138">
        <f>IFERROR(__xludf.DUMMYFUNCTION("""COMPUTED_VALUE"""),4.0)</f>
        <v>4</v>
      </c>
      <c r="L1561" s="138">
        <v>28.0</v>
      </c>
      <c r="M1561" s="140" t="str">
        <f>VLOOKUP(text(D1561, "#"),'Master Table'!$A:$F, 6, FALSE)</f>
        <v>I-8</v>
      </c>
      <c r="N1561" s="141" t="str">
        <f>IFERROR(__xludf.DUMMYFUNCTION("""COMPUTED_VALUE"""),"The presenter did really well. They were passionate about their work and spoke with clarity and intention. They were very prepared for questions and had additional notes to help the audience members. The information on the poster was very well organized a"&amp;"nd had the perfect ration of empty space to important content. The presenter could benefit in the future about talking about future research or new questions to be explored. Very well done. ")</f>
        <v>The presenter did really well. They were passionate about their work and spoke with clarity and intention. They were very prepared for questions and had additional notes to help the audience members. The information on the poster was very well organized and had the perfect ration of empty space to important content. The presenter could benefit in the future about talking about future research or new questions to be explored. Very well done. </v>
      </c>
      <c r="O1561" s="142" t="str">
        <f t="shared" si="1"/>
        <v/>
      </c>
      <c r="P1561" s="143" t="str">
        <f>IF(ISNA(VLOOKUP(CONCAT(M1561,C1561), 'Judge Count DO NOT EDIT'!H:H, 1, FALSE)), "ERROR","")</f>
        <v/>
      </c>
      <c r="Q1561" s="141"/>
      <c r="R1561" s="143"/>
      <c r="S1561" s="139" t="str">
        <f t="shared" si="2"/>
        <v>1201597</v>
      </c>
      <c r="T1561" s="141"/>
    </row>
    <row r="1562">
      <c r="A1562" s="137">
        <f>IFERROR(__xludf.DUMMYFUNCTION("""COMPUTED_VALUE"""),45352.65013815972)</f>
        <v>45352.65014</v>
      </c>
      <c r="B1562" s="138" t="str">
        <f>IFERROR(__xludf.DUMMYFUNCTION("""COMPUTED_VALUE"""),"Miranda Parkwr")</f>
        <v>Miranda Parkwr</v>
      </c>
      <c r="C1562" s="138">
        <f>IFERROR(__xludf.DUMMYFUNCTION("""COMPUTED_VALUE"""),1149.0)</f>
        <v>1149</v>
      </c>
      <c r="D1562" s="139">
        <f>IFERROR(__xludf.DUMMYFUNCTION("""COMPUTED_VALUE"""),597.0)</f>
        <v>597</v>
      </c>
      <c r="E1562" s="138">
        <f>IFERROR(__xludf.DUMMYFUNCTION("""COMPUTED_VALUE"""),2.0)</f>
        <v>2</v>
      </c>
      <c r="F1562" s="138">
        <f>IFERROR(__xludf.DUMMYFUNCTION("""COMPUTED_VALUE"""),3.0)</f>
        <v>3</v>
      </c>
      <c r="G1562" s="138">
        <f>IFERROR(__xludf.DUMMYFUNCTION("""COMPUTED_VALUE"""),3.0)</f>
        <v>3</v>
      </c>
      <c r="H1562" s="138">
        <f>IFERROR(__xludf.DUMMYFUNCTION("""COMPUTED_VALUE"""),3.0)</f>
        <v>3</v>
      </c>
      <c r="I1562" s="138">
        <f>IFERROR(__xludf.DUMMYFUNCTION("""COMPUTED_VALUE"""),2.0)</f>
        <v>2</v>
      </c>
      <c r="J1562" s="138">
        <f>IFERROR(__xludf.DUMMYFUNCTION("""COMPUTED_VALUE"""),2.0)</f>
        <v>2</v>
      </c>
      <c r="K1562" s="138">
        <f>IFERROR(__xludf.DUMMYFUNCTION("""COMPUTED_VALUE"""),3.0)</f>
        <v>3</v>
      </c>
      <c r="L1562" s="138">
        <v>18.0</v>
      </c>
      <c r="M1562" s="140" t="str">
        <f>VLOOKUP(text(D1562, "#"),'Master Table'!$A:$F, 6, FALSE)</f>
        <v>I-8</v>
      </c>
      <c r="N1562" s="141" t="str">
        <f>IFERROR(__xludf.DUMMYFUNCTION("""COMPUTED_VALUE"""),"This work is truly important and it's very clear you are passionate about this work. I think the poster itself could have been improved -- perhaps graphics, instead of words, could have been used for the frameworks. I'd also advise to summarize instead of"&amp;" directly read off the poster. More about how you got from your data to recommendations for educators could have also been useful to add or discuss.")</f>
        <v>This work is truly important and it's very clear you are passionate about this work. I think the poster itself could have been improved -- perhaps graphics, instead of words, could have been used for the frameworks. I'd also advise to summarize instead of directly read off the poster. More about how you got from your data to recommendations for educators could have also been useful to add or discuss.</v>
      </c>
      <c r="O1562" s="142" t="str">
        <f t="shared" si="1"/>
        <v/>
      </c>
      <c r="P1562" s="143" t="str">
        <f>IF(ISNA(VLOOKUP(CONCAT(M1562,C1562), 'Judge Count DO NOT EDIT'!H:H, 1, FALSE)), "ERROR","")</f>
        <v/>
      </c>
      <c r="Q1562" s="141"/>
      <c r="R1562" s="143"/>
      <c r="S1562" s="139" t="str">
        <f t="shared" si="2"/>
        <v>1149597</v>
      </c>
      <c r="T1562" s="141"/>
    </row>
    <row r="1563">
      <c r="A1563" s="137">
        <f>IFERROR(__xludf.DUMMYFUNCTION("""COMPUTED_VALUE"""),45352.65792765046)</f>
        <v>45352.65793</v>
      </c>
      <c r="B1563" s="138" t="str">
        <f>IFERROR(__xludf.DUMMYFUNCTION("""COMPUTED_VALUE"""),"Kelly Sawyer")</f>
        <v>Kelly Sawyer</v>
      </c>
      <c r="C1563" s="138">
        <f>IFERROR(__xludf.DUMMYFUNCTION("""COMPUTED_VALUE"""),1196.0)</f>
        <v>1196</v>
      </c>
      <c r="D1563" s="139">
        <f>IFERROR(__xludf.DUMMYFUNCTION("""COMPUTED_VALUE"""),597.0)</f>
        <v>597</v>
      </c>
      <c r="E1563" s="138">
        <f>IFERROR(__xludf.DUMMYFUNCTION("""COMPUTED_VALUE"""),3.0)</f>
        <v>3</v>
      </c>
      <c r="F1563" s="138">
        <f>IFERROR(__xludf.DUMMYFUNCTION("""COMPUTED_VALUE"""),3.0)</f>
        <v>3</v>
      </c>
      <c r="G1563" s="138">
        <f>IFERROR(__xludf.DUMMYFUNCTION("""COMPUTED_VALUE"""),4.0)</f>
        <v>4</v>
      </c>
      <c r="H1563" s="138">
        <f>IFERROR(__xludf.DUMMYFUNCTION("""COMPUTED_VALUE"""),3.0)</f>
        <v>3</v>
      </c>
      <c r="I1563" s="138">
        <f>IFERROR(__xludf.DUMMYFUNCTION("""COMPUTED_VALUE"""),4.0)</f>
        <v>4</v>
      </c>
      <c r="J1563" s="138">
        <f>IFERROR(__xludf.DUMMYFUNCTION("""COMPUTED_VALUE"""),4.0)</f>
        <v>4</v>
      </c>
      <c r="K1563" s="138">
        <f>IFERROR(__xludf.DUMMYFUNCTION("""COMPUTED_VALUE"""),3.0)</f>
        <v>3</v>
      </c>
      <c r="L1563" s="138">
        <v>24.0</v>
      </c>
      <c r="M1563" s="140" t="str">
        <f>VLOOKUP(text(D1563, "#"),'Master Table'!$A:$F, 6, FALSE)</f>
        <v>I-8</v>
      </c>
      <c r="N1563" s="141" t="str">
        <f>IFERROR(__xludf.DUMMYFUNCTION("""COMPUTED_VALUE"""),"Speaker was very concise and had a good flow and enunciation. Transitions were not as smooth, but it felt more like a conversation than a presentation which I did not mind. The so what’s could have been further elaborated on, but overall they established "&amp;"why this research is so important towards advancing the care and resources we provide to ELL students.")</f>
        <v>Speaker was very concise and had a good flow and enunciation. Transitions were not as smooth, but it felt more like a conversation than a presentation which I did not mind. The so what’s could have been further elaborated on, but overall they established why this research is so important towards advancing the care and resources we provide to ELL students.</v>
      </c>
      <c r="O1563" s="142" t="str">
        <f t="shared" si="1"/>
        <v/>
      </c>
      <c r="P1563" s="143" t="str">
        <f>IF(ISNA(VLOOKUP(CONCAT(M1563,C1563), 'Judge Count DO NOT EDIT'!H:H, 1, FALSE)), "ERROR","")</f>
        <v/>
      </c>
      <c r="Q1563" s="141"/>
      <c r="R1563" s="143"/>
      <c r="S1563" s="139" t="str">
        <f t="shared" si="2"/>
        <v>1196597</v>
      </c>
      <c r="T1563" s="141"/>
    </row>
    <row r="1564">
      <c r="A1564" s="137">
        <f>IFERROR(__xludf.DUMMYFUNCTION("""COMPUTED_VALUE"""),45352.89822857639)</f>
        <v>45352.89823</v>
      </c>
      <c r="B1564" s="138" t="str">
        <f>IFERROR(__xludf.DUMMYFUNCTION("""COMPUTED_VALUE"""),"Melina Melgarejo")</f>
        <v>Melina Melgarejo</v>
      </c>
      <c r="C1564" s="138">
        <f>IFERROR(__xludf.DUMMYFUNCTION("""COMPUTED_VALUE"""),1150.0)</f>
        <v>1150</v>
      </c>
      <c r="D1564" s="139">
        <f>IFERROR(__xludf.DUMMYFUNCTION("""COMPUTED_VALUE"""),597.0)</f>
        <v>597</v>
      </c>
      <c r="E1564" s="138">
        <f>IFERROR(__xludf.DUMMYFUNCTION("""COMPUTED_VALUE"""),4.0)</f>
        <v>4</v>
      </c>
      <c r="F1564" s="138">
        <f>IFERROR(__xludf.DUMMYFUNCTION("""COMPUTED_VALUE"""),5.0)</f>
        <v>5</v>
      </c>
      <c r="G1564" s="138">
        <f>IFERROR(__xludf.DUMMYFUNCTION("""COMPUTED_VALUE"""),5.0)</f>
        <v>5</v>
      </c>
      <c r="H1564" s="138">
        <f>IFERROR(__xludf.DUMMYFUNCTION("""COMPUTED_VALUE"""),4.0)</f>
        <v>4</v>
      </c>
      <c r="I1564" s="138">
        <f>IFERROR(__xludf.DUMMYFUNCTION("""COMPUTED_VALUE"""),4.0)</f>
        <v>4</v>
      </c>
      <c r="J1564" s="138">
        <f>IFERROR(__xludf.DUMMYFUNCTION("""COMPUTED_VALUE"""),4.0)</f>
        <v>4</v>
      </c>
      <c r="K1564" s="138">
        <f>IFERROR(__xludf.DUMMYFUNCTION("""COMPUTED_VALUE"""),4.0)</f>
        <v>4</v>
      </c>
      <c r="L1564" s="138">
        <v>30.0</v>
      </c>
      <c r="M1564" s="140" t="str">
        <f>VLOOKUP(text(D1564, "#"),'Master Table'!$A:$F, 6, FALSE)</f>
        <v>I-8</v>
      </c>
      <c r="N1564" s="141" t="str">
        <f>IFERROR(__xludf.DUMMYFUNCTION("""COMPUTED_VALUE"""),"Important topic and its clear the student is passionate about the subject and next steps")</f>
        <v>Important topic and its clear the student is passionate about the subject and next steps</v>
      </c>
      <c r="O1564" s="142" t="str">
        <f t="shared" si="1"/>
        <v/>
      </c>
      <c r="P1564" s="143" t="str">
        <f>IF(ISNA(VLOOKUP(CONCAT(M1564,C1564), 'Judge Count DO NOT EDIT'!H:H, 1, FALSE)), "ERROR","")</f>
        <v/>
      </c>
      <c r="Q1564" s="141"/>
      <c r="R1564" s="143"/>
      <c r="S1564" s="139" t="str">
        <f t="shared" si="2"/>
        <v>1150597</v>
      </c>
      <c r="T1564" s="141"/>
    </row>
    <row r="1565">
      <c r="A1565" s="137">
        <f>IFERROR(__xludf.DUMMYFUNCTION("""COMPUTED_VALUE"""),45352.63346334491)</f>
        <v>45352.63346</v>
      </c>
      <c r="B1565" s="138" t="str">
        <f>IFERROR(__xludf.DUMMYFUNCTION("""COMPUTED_VALUE"""),"Ivan A. Hernandez ")</f>
        <v>Ivan A. Hernandez </v>
      </c>
      <c r="C1565" s="138">
        <f>IFERROR(__xludf.DUMMYFUNCTION("""COMPUTED_VALUE"""),1201.0)</f>
        <v>1201</v>
      </c>
      <c r="D1565" s="139">
        <f>IFERROR(__xludf.DUMMYFUNCTION("""COMPUTED_VALUE"""),599.0)</f>
        <v>599</v>
      </c>
      <c r="E1565" s="138">
        <f>IFERROR(__xludf.DUMMYFUNCTION("""COMPUTED_VALUE"""),4.0)</f>
        <v>4</v>
      </c>
      <c r="F1565" s="138">
        <f>IFERROR(__xludf.DUMMYFUNCTION("""COMPUTED_VALUE"""),4.0)</f>
        <v>4</v>
      </c>
      <c r="G1565" s="138">
        <f>IFERROR(__xludf.DUMMYFUNCTION("""COMPUTED_VALUE"""),4.0)</f>
        <v>4</v>
      </c>
      <c r="H1565" s="138">
        <f>IFERROR(__xludf.DUMMYFUNCTION("""COMPUTED_VALUE"""),4.0)</f>
        <v>4</v>
      </c>
      <c r="I1565" s="138">
        <f>IFERROR(__xludf.DUMMYFUNCTION("""COMPUTED_VALUE"""),4.0)</f>
        <v>4</v>
      </c>
      <c r="J1565" s="138">
        <f>IFERROR(__xludf.DUMMYFUNCTION("""COMPUTED_VALUE"""),4.0)</f>
        <v>4</v>
      </c>
      <c r="K1565" s="138">
        <f>IFERROR(__xludf.DUMMYFUNCTION("""COMPUTED_VALUE"""),4.0)</f>
        <v>4</v>
      </c>
      <c r="L1565" s="138">
        <v>28.0</v>
      </c>
      <c r="M1565" s="140" t="str">
        <f>VLOOKUP(text(D1565, "#"),'Master Table'!$A:$F, 6, FALSE)</f>
        <v>I-8</v>
      </c>
      <c r="N1565" s="141" t="str">
        <f>IFERROR(__xludf.DUMMYFUNCTION("""COMPUTED_VALUE"""),"Great job anticipating questions and filling in important information. Presenter was incredibly comfortable and confident. This was original research witty enormous potential for impact. I recommend figuring out ways to remove some content from the poster"&amp;" so that there is more white space and it is less overwhelming for any observer. In other words, the presenter did such a good job presenting that some of the information/words on the poster weren’t as necessary. Very nicely done. ")</f>
        <v>Great job anticipating questions and filling in important information. Presenter was incredibly comfortable and confident. This was original research witty enormous potential for impact. I recommend figuring out ways to remove some content from the poster so that there is more white space and it is less overwhelming for any observer. In other words, the presenter did such a good job presenting that some of the information/words on the poster weren’t as necessary. Very nicely done. </v>
      </c>
      <c r="O1565" s="142" t="str">
        <f t="shared" si="1"/>
        <v/>
      </c>
      <c r="P1565" s="143" t="str">
        <f>IF(ISNA(VLOOKUP(CONCAT(M1565,C1565), 'Judge Count DO NOT EDIT'!H:H, 1, FALSE)), "ERROR","")</f>
        <v/>
      </c>
      <c r="Q1565" s="141"/>
      <c r="R1565" s="143"/>
      <c r="S1565" s="139" t="str">
        <f t="shared" si="2"/>
        <v>1201599</v>
      </c>
      <c r="T1565" s="141"/>
    </row>
    <row r="1566">
      <c r="A1566" s="137">
        <f>IFERROR(__xludf.DUMMYFUNCTION("""COMPUTED_VALUE"""),45352.657415625)</f>
        <v>45352.65742</v>
      </c>
      <c r="B1566" s="138" t="str">
        <f>IFERROR(__xludf.DUMMYFUNCTION("""COMPUTED_VALUE"""),"Miranda Parker")</f>
        <v>Miranda Parker</v>
      </c>
      <c r="C1566" s="138">
        <f>IFERROR(__xludf.DUMMYFUNCTION("""COMPUTED_VALUE"""),1149.0)</f>
        <v>1149</v>
      </c>
      <c r="D1566" s="139">
        <f>IFERROR(__xludf.DUMMYFUNCTION("""COMPUTED_VALUE"""),599.0)</f>
        <v>599</v>
      </c>
      <c r="E1566" s="138">
        <f>IFERROR(__xludf.DUMMYFUNCTION("""COMPUTED_VALUE"""),2.0)</f>
        <v>2</v>
      </c>
      <c r="F1566" s="138">
        <f>IFERROR(__xludf.DUMMYFUNCTION("""COMPUTED_VALUE"""),1.0)</f>
        <v>1</v>
      </c>
      <c r="G1566" s="138">
        <f>IFERROR(__xludf.DUMMYFUNCTION("""COMPUTED_VALUE"""),2.0)</f>
        <v>2</v>
      </c>
      <c r="H1566" s="138">
        <f>IFERROR(__xludf.DUMMYFUNCTION("""COMPUTED_VALUE"""),1.0)</f>
        <v>1</v>
      </c>
      <c r="I1566" s="138">
        <f>IFERROR(__xludf.DUMMYFUNCTION("""COMPUTED_VALUE"""),3.0)</f>
        <v>3</v>
      </c>
      <c r="J1566" s="138">
        <f>IFERROR(__xludf.DUMMYFUNCTION("""COMPUTED_VALUE"""),3.0)</f>
        <v>3</v>
      </c>
      <c r="K1566" s="138">
        <f>IFERROR(__xludf.DUMMYFUNCTION("""COMPUTED_VALUE"""),4.0)</f>
        <v>4</v>
      </c>
      <c r="L1566" s="138">
        <v>16.0</v>
      </c>
      <c r="M1566" s="140" t="str">
        <f>VLOOKUP(text(D1566, "#"),'Master Table'!$A:$F, 6, FALSE)</f>
        <v>I-8</v>
      </c>
      <c r="N1566" s="141" t="str">
        <f>IFERROR(__xludf.DUMMYFUNCTION("""COMPUTED_VALUE"""),"Thanks for sharing your research at S3! I think the cause of addressing malnutrition is a noble pursuit. I'm concerned that the methods currently used do not adequately address the problem, and that a cute/fun app for NGOs and caregivers does not fit thei"&amp;"r needs. You presented the content well. There were some resolution issues with the images on your poster making them grainy, but I appreciated the balance of figures and text.")</f>
        <v>Thanks for sharing your research at S3! I think the cause of addressing malnutrition is a noble pursuit. I'm concerned that the methods currently used do not adequately address the problem, and that a cute/fun app for NGOs and caregivers does not fit their needs. You presented the content well. There were some resolution issues with the images on your poster making them grainy, but I appreciated the balance of figures and text.</v>
      </c>
      <c r="O1566" s="142" t="str">
        <f t="shared" si="1"/>
        <v/>
      </c>
      <c r="P1566" s="143" t="str">
        <f>IF(ISNA(VLOOKUP(CONCAT(M1566,C1566), 'Judge Count DO NOT EDIT'!H:H, 1, FALSE)), "ERROR","")</f>
        <v/>
      </c>
      <c r="Q1566" s="141"/>
      <c r="R1566" s="143"/>
      <c r="S1566" s="139" t="str">
        <f t="shared" si="2"/>
        <v>1149599</v>
      </c>
      <c r="T1566" s="141"/>
    </row>
    <row r="1567">
      <c r="A1567" s="137">
        <f>IFERROR(__xludf.DUMMYFUNCTION("""COMPUTED_VALUE"""),45352.668376828704)</f>
        <v>45352.66838</v>
      </c>
      <c r="B1567" s="138" t="str">
        <f>IFERROR(__xludf.DUMMYFUNCTION("""COMPUTED_VALUE"""),"Kelly Sawyer")</f>
        <v>Kelly Sawyer</v>
      </c>
      <c r="C1567" s="138">
        <f>IFERROR(__xludf.DUMMYFUNCTION("""COMPUTED_VALUE"""),1196.0)</f>
        <v>1196</v>
      </c>
      <c r="D1567" s="139">
        <f>IFERROR(__xludf.DUMMYFUNCTION("""COMPUTED_VALUE"""),599.0)</f>
        <v>599</v>
      </c>
      <c r="E1567" s="138">
        <f>IFERROR(__xludf.DUMMYFUNCTION("""COMPUTED_VALUE"""),3.0)</f>
        <v>3</v>
      </c>
      <c r="F1567" s="138">
        <f>IFERROR(__xludf.DUMMYFUNCTION("""COMPUTED_VALUE"""),3.0)</f>
        <v>3</v>
      </c>
      <c r="G1567" s="138">
        <f>IFERROR(__xludf.DUMMYFUNCTION("""COMPUTED_VALUE"""),4.0)</f>
        <v>4</v>
      </c>
      <c r="H1567" s="138">
        <f>IFERROR(__xludf.DUMMYFUNCTION("""COMPUTED_VALUE"""),3.0)</f>
        <v>3</v>
      </c>
      <c r="I1567" s="138">
        <f>IFERROR(__xludf.DUMMYFUNCTION("""COMPUTED_VALUE"""),4.0)</f>
        <v>4</v>
      </c>
      <c r="J1567" s="138">
        <f>IFERROR(__xludf.DUMMYFUNCTION("""COMPUTED_VALUE"""),3.0)</f>
        <v>3</v>
      </c>
      <c r="K1567" s="138">
        <f>IFERROR(__xludf.DUMMYFUNCTION("""COMPUTED_VALUE"""),3.0)</f>
        <v>3</v>
      </c>
      <c r="L1567" s="138">
        <v>23.0</v>
      </c>
      <c r="M1567" s="140" t="str">
        <f>VLOOKUP(text(D1567, "#"),'Master Table'!$A:$F, 6, FALSE)</f>
        <v>I-8</v>
      </c>
      <c r="N1567" s="141" t="str">
        <f>IFERROR(__xludf.DUMMYFUNCTION("""COMPUTED_VALUE"""),"Given the severity of the topic the speaker was very in depth of the why and overall goal of the research. She was able to use visuals to point to the significance of malnutrition, but if there was more of an example of what nutrition meant than “no sugar"&amp;"” and other blanket statements. Their overall delivery was effective and concise.")</f>
        <v>Given the severity of the topic the speaker was very in depth of the why and overall goal of the research. She was able to use visuals to point to the significance of malnutrition, but if there was more of an example of what nutrition meant than “no sugar” and other blanket statements. Their overall delivery was effective and concise.</v>
      </c>
      <c r="O1567" s="142" t="str">
        <f t="shared" si="1"/>
        <v/>
      </c>
      <c r="P1567" s="143" t="str">
        <f>IF(ISNA(VLOOKUP(CONCAT(M1567,C1567), 'Judge Count DO NOT EDIT'!H:H, 1, FALSE)), "ERROR","")</f>
        <v/>
      </c>
      <c r="Q1567" s="141"/>
      <c r="R1567" s="143"/>
      <c r="S1567" s="139" t="str">
        <f t="shared" si="2"/>
        <v>1196599</v>
      </c>
      <c r="T1567" s="141"/>
    </row>
    <row r="1568">
      <c r="A1568" s="137">
        <f>IFERROR(__xludf.DUMMYFUNCTION("""COMPUTED_VALUE"""),45352.89920828704)</f>
        <v>45352.89921</v>
      </c>
      <c r="B1568" s="138" t="str">
        <f>IFERROR(__xludf.DUMMYFUNCTION("""COMPUTED_VALUE"""),"Melina Melgarejo")</f>
        <v>Melina Melgarejo</v>
      </c>
      <c r="C1568" s="138">
        <f>IFERROR(__xludf.DUMMYFUNCTION("""COMPUTED_VALUE"""),1150.0)</f>
        <v>1150</v>
      </c>
      <c r="D1568" s="139">
        <f>IFERROR(__xludf.DUMMYFUNCTION("""COMPUTED_VALUE"""),599.0)</f>
        <v>599</v>
      </c>
      <c r="E1568" s="138">
        <f>IFERROR(__xludf.DUMMYFUNCTION("""COMPUTED_VALUE"""),5.0)</f>
        <v>5</v>
      </c>
      <c r="F1568" s="138">
        <f>IFERROR(__xludf.DUMMYFUNCTION("""COMPUTED_VALUE"""),5.0)</f>
        <v>5</v>
      </c>
      <c r="G1568" s="138">
        <f>IFERROR(__xludf.DUMMYFUNCTION("""COMPUTED_VALUE"""),5.0)</f>
        <v>5</v>
      </c>
      <c r="H1568" s="138">
        <f>IFERROR(__xludf.DUMMYFUNCTION("""COMPUTED_VALUE"""),5.0)</f>
        <v>5</v>
      </c>
      <c r="I1568" s="138">
        <f>IFERROR(__xludf.DUMMYFUNCTION("""COMPUTED_VALUE"""),5.0)</f>
        <v>5</v>
      </c>
      <c r="J1568" s="138">
        <f>IFERROR(__xludf.DUMMYFUNCTION("""COMPUTED_VALUE"""),5.0)</f>
        <v>5</v>
      </c>
      <c r="K1568" s="138">
        <f>IFERROR(__xludf.DUMMYFUNCTION("""COMPUTED_VALUE"""),5.0)</f>
        <v>5</v>
      </c>
      <c r="L1568" s="138">
        <v>35.0</v>
      </c>
      <c r="M1568" s="140" t="str">
        <f>VLOOKUP(text(D1568, "#"),'Master Table'!$A:$F, 6, FALSE)</f>
        <v>I-8</v>
      </c>
      <c r="N1568" s="141" t="str">
        <f>IFERROR(__xludf.DUMMYFUNCTION("""COMPUTED_VALUE"""),"Exceptional job! The student is passionate and knowledgeable about the topic and has clear next steps.")</f>
        <v>Exceptional job! The student is passionate and knowledgeable about the topic and has clear next steps.</v>
      </c>
      <c r="O1568" s="142" t="str">
        <f t="shared" si="1"/>
        <v/>
      </c>
      <c r="P1568" s="143" t="str">
        <f>IF(ISNA(VLOOKUP(CONCAT(M1568,C1568), 'Judge Count DO NOT EDIT'!H:H, 1, FALSE)), "ERROR","")</f>
        <v/>
      </c>
      <c r="Q1568" s="141"/>
      <c r="R1568" s="143"/>
      <c r="S1568" s="139" t="str">
        <f t="shared" si="2"/>
        <v>1150599</v>
      </c>
      <c r="T1568" s="141"/>
    </row>
    <row r="1569">
      <c r="A1569" s="137">
        <f>IFERROR(__xludf.DUMMYFUNCTION("""COMPUTED_VALUE"""),45352.653762222224)</f>
        <v>45352.65376</v>
      </c>
      <c r="B1569" s="138" t="str">
        <f>IFERROR(__xludf.DUMMYFUNCTION("""COMPUTED_VALUE"""),"Liang Ma")</f>
        <v>Liang Ma</v>
      </c>
      <c r="C1569" s="138">
        <f>IFERROR(__xludf.DUMMYFUNCTION("""COMPUTED_VALUE"""),1050.0)</f>
        <v>1050</v>
      </c>
      <c r="D1569" s="139">
        <f>IFERROR(__xludf.DUMMYFUNCTION("""COMPUTED_VALUE"""),600.0)</f>
        <v>600</v>
      </c>
      <c r="E1569" s="138">
        <f>IFERROR(__xludf.DUMMYFUNCTION("""COMPUTED_VALUE"""),2.0)</f>
        <v>2</v>
      </c>
      <c r="F1569" s="138">
        <f>IFERROR(__xludf.DUMMYFUNCTION("""COMPUTED_VALUE"""),2.0)</f>
        <v>2</v>
      </c>
      <c r="G1569" s="138">
        <f>IFERROR(__xludf.DUMMYFUNCTION("""COMPUTED_VALUE"""),2.0)</f>
        <v>2</v>
      </c>
      <c r="H1569" s="138">
        <f>IFERROR(__xludf.DUMMYFUNCTION("""COMPUTED_VALUE"""),2.0)</f>
        <v>2</v>
      </c>
      <c r="I1569" s="138">
        <f>IFERROR(__xludf.DUMMYFUNCTION("""COMPUTED_VALUE"""),2.0)</f>
        <v>2</v>
      </c>
      <c r="J1569" s="138">
        <f>IFERROR(__xludf.DUMMYFUNCTION("""COMPUTED_VALUE"""),2.0)</f>
        <v>2</v>
      </c>
      <c r="K1569" s="138">
        <f>IFERROR(__xludf.DUMMYFUNCTION("""COMPUTED_VALUE"""),2.0)</f>
        <v>2</v>
      </c>
      <c r="L1569" s="138">
        <v>14.0</v>
      </c>
      <c r="M1569" s="140" t="str">
        <f>VLOOKUP(text(D1569, "#"),'Master Table'!$A:$F, 6, FALSE)</f>
        <v>I-9</v>
      </c>
      <c r="N1569" s="141"/>
      <c r="O1569" s="142" t="str">
        <f t="shared" si="1"/>
        <v/>
      </c>
      <c r="P1569" s="143" t="str">
        <f>IF(ISNA(VLOOKUP(CONCAT(M1569,C1569), 'Judge Count DO NOT EDIT'!H:H, 1, FALSE)), "ERROR","")</f>
        <v/>
      </c>
      <c r="Q1569" s="141"/>
      <c r="R1569" s="143"/>
      <c r="S1569" s="139" t="str">
        <f t="shared" si="2"/>
        <v>1050600</v>
      </c>
      <c r="T1569" s="141"/>
    </row>
    <row r="1570">
      <c r="A1570" s="137">
        <f>IFERROR(__xludf.DUMMYFUNCTION("""COMPUTED_VALUE"""),45352.66933251158)</f>
        <v>45352.66933</v>
      </c>
      <c r="B1570" s="138" t="str">
        <f>IFERROR(__xludf.DUMMYFUNCTION("""COMPUTED_VALUE"""),"Aner Zhou")</f>
        <v>Aner Zhou</v>
      </c>
      <c r="C1570" s="138">
        <f>IFERROR(__xludf.DUMMYFUNCTION("""COMPUTED_VALUE"""),1042.0)</f>
        <v>1042</v>
      </c>
      <c r="D1570" s="139">
        <f>IFERROR(__xludf.DUMMYFUNCTION("""COMPUTED_VALUE"""),600.0)</f>
        <v>600</v>
      </c>
      <c r="E1570" s="138">
        <f>IFERROR(__xludf.DUMMYFUNCTION("""COMPUTED_VALUE"""),4.0)</f>
        <v>4</v>
      </c>
      <c r="F1570" s="138">
        <f>IFERROR(__xludf.DUMMYFUNCTION("""COMPUTED_VALUE"""),4.0)</f>
        <v>4</v>
      </c>
      <c r="G1570" s="138">
        <f>IFERROR(__xludf.DUMMYFUNCTION("""COMPUTED_VALUE"""),4.0)</f>
        <v>4</v>
      </c>
      <c r="H1570" s="138">
        <f>IFERROR(__xludf.DUMMYFUNCTION("""COMPUTED_VALUE"""),4.0)</f>
        <v>4</v>
      </c>
      <c r="I1570" s="138">
        <f>IFERROR(__xludf.DUMMYFUNCTION("""COMPUTED_VALUE"""),4.0)</f>
        <v>4</v>
      </c>
      <c r="J1570" s="138">
        <f>IFERROR(__xludf.DUMMYFUNCTION("""COMPUTED_VALUE"""),4.0)</f>
        <v>4</v>
      </c>
      <c r="K1570" s="138">
        <f>IFERROR(__xludf.DUMMYFUNCTION("""COMPUTED_VALUE"""),4.0)</f>
        <v>4</v>
      </c>
      <c r="L1570" s="138">
        <v>28.0</v>
      </c>
      <c r="M1570" s="140" t="str">
        <f>VLOOKUP(text(D1570, "#"),'Master Table'!$A:$F, 6, FALSE)</f>
        <v>I-9</v>
      </c>
      <c r="N1570" s="141"/>
      <c r="O1570" s="142" t="str">
        <f t="shared" si="1"/>
        <v/>
      </c>
      <c r="P1570" s="143" t="str">
        <f>IF(ISNA(VLOOKUP(CONCAT(M1570,C1570), 'Judge Count DO NOT EDIT'!H:H, 1, FALSE)), "ERROR","")</f>
        <v/>
      </c>
      <c r="Q1570" s="141"/>
      <c r="R1570" s="143"/>
      <c r="S1570" s="139" t="str">
        <f t="shared" si="2"/>
        <v>1042600</v>
      </c>
      <c r="T1570" s="141"/>
    </row>
    <row r="1571">
      <c r="A1571" s="137">
        <f>IFERROR(__xludf.DUMMYFUNCTION("""COMPUTED_VALUE"""),45352.72606421296)</f>
        <v>45352.72606</v>
      </c>
      <c r="B1571" s="138" t="str">
        <f>IFERROR(__xludf.DUMMYFUNCTION("""COMPUTED_VALUE"""),"Tam Lieu ")</f>
        <v>Tam Lieu </v>
      </c>
      <c r="C1571" s="138">
        <f>IFERROR(__xludf.DUMMYFUNCTION("""COMPUTED_VALUE"""),1023.0)</f>
        <v>1023</v>
      </c>
      <c r="D1571" s="139">
        <f>IFERROR(__xludf.DUMMYFUNCTION("""COMPUTED_VALUE"""),600.0)</f>
        <v>600</v>
      </c>
      <c r="E1571" s="138">
        <f>IFERROR(__xludf.DUMMYFUNCTION("""COMPUTED_VALUE"""),2.0)</f>
        <v>2</v>
      </c>
      <c r="F1571" s="138">
        <f>IFERROR(__xludf.DUMMYFUNCTION("""COMPUTED_VALUE"""),2.0)</f>
        <v>2</v>
      </c>
      <c r="G1571" s="138">
        <f>IFERROR(__xludf.DUMMYFUNCTION("""COMPUTED_VALUE"""),2.0)</f>
        <v>2</v>
      </c>
      <c r="H1571" s="138">
        <f>IFERROR(__xludf.DUMMYFUNCTION("""COMPUTED_VALUE"""),2.0)</f>
        <v>2</v>
      </c>
      <c r="I1571" s="138">
        <f>IFERROR(__xludf.DUMMYFUNCTION("""COMPUTED_VALUE"""),4.0)</f>
        <v>4</v>
      </c>
      <c r="J1571" s="138">
        <f>IFERROR(__xludf.DUMMYFUNCTION("""COMPUTED_VALUE"""),4.0)</f>
        <v>4</v>
      </c>
      <c r="K1571" s="138">
        <f>IFERROR(__xludf.DUMMYFUNCTION("""COMPUTED_VALUE"""),4.0)</f>
        <v>4</v>
      </c>
      <c r="L1571" s="138">
        <v>20.0</v>
      </c>
      <c r="M1571" s="140" t="str">
        <f>VLOOKUP(text(D1571, "#"),'Master Table'!$A:$F, 6, FALSE)</f>
        <v>I-9</v>
      </c>
      <c r="N1571" s="141" t="str">
        <f>IFERROR(__xludf.DUMMYFUNCTION("""COMPUTED_VALUE"""),"1) Positive - Very receptive of additional variables to consider as part of study
2) Improvements - Larger sample size. Additional comparisons such as what's the GPA, graduation rate, level of campus involvement, etc. between commuter public transportatio"&amp;"n versus personal vehicle")</f>
        <v>1) Positive - Very receptive of additional variables to consider as part of study
2) Improvements - Larger sample size. Additional comparisons such as what's the GPA, graduation rate, level of campus involvement, etc. between commuter public transportation versus personal vehicle</v>
      </c>
      <c r="O1571" s="142" t="str">
        <f t="shared" si="1"/>
        <v/>
      </c>
      <c r="P1571" s="143" t="str">
        <f>IF(ISNA(VLOOKUP(CONCAT(M1571,C1571), 'Judge Count DO NOT EDIT'!H:H, 1, FALSE)), "ERROR","")</f>
        <v/>
      </c>
      <c r="Q1571" s="141"/>
      <c r="R1571" s="143"/>
      <c r="S1571" s="139" t="str">
        <f t="shared" si="2"/>
        <v>1023600</v>
      </c>
      <c r="T1571" s="141"/>
    </row>
    <row r="1572">
      <c r="A1572" s="137">
        <f>IFERROR(__xludf.DUMMYFUNCTION("""COMPUTED_VALUE"""),45352.65430196759)</f>
        <v>45352.6543</v>
      </c>
      <c r="B1572" s="138" t="str">
        <f>IFERROR(__xludf.DUMMYFUNCTION("""COMPUTED_VALUE"""),"Liang Ma")</f>
        <v>Liang Ma</v>
      </c>
      <c r="C1572" s="138">
        <f>IFERROR(__xludf.DUMMYFUNCTION("""COMPUTED_VALUE"""),1050.0)</f>
        <v>1050</v>
      </c>
      <c r="D1572" s="139">
        <f>IFERROR(__xludf.DUMMYFUNCTION("""COMPUTED_VALUE"""),601.0)</f>
        <v>601</v>
      </c>
      <c r="E1572" s="138">
        <f>IFERROR(__xludf.DUMMYFUNCTION("""COMPUTED_VALUE"""),4.0)</f>
        <v>4</v>
      </c>
      <c r="F1572" s="138">
        <f>IFERROR(__xludf.DUMMYFUNCTION("""COMPUTED_VALUE"""),3.0)</f>
        <v>3</v>
      </c>
      <c r="G1572" s="138">
        <f>IFERROR(__xludf.DUMMYFUNCTION("""COMPUTED_VALUE"""),2.0)</f>
        <v>2</v>
      </c>
      <c r="H1572" s="138">
        <f>IFERROR(__xludf.DUMMYFUNCTION("""COMPUTED_VALUE"""),3.0)</f>
        <v>3</v>
      </c>
      <c r="I1572" s="138">
        <f>IFERROR(__xludf.DUMMYFUNCTION("""COMPUTED_VALUE"""),4.0)</f>
        <v>4</v>
      </c>
      <c r="J1572" s="138">
        <f>IFERROR(__xludf.DUMMYFUNCTION("""COMPUTED_VALUE"""),3.0)</f>
        <v>3</v>
      </c>
      <c r="K1572" s="138">
        <f>IFERROR(__xludf.DUMMYFUNCTION("""COMPUTED_VALUE"""),4.0)</f>
        <v>4</v>
      </c>
      <c r="L1572" s="138">
        <v>23.0</v>
      </c>
      <c r="M1572" s="140" t="str">
        <f>VLOOKUP(text(D1572, "#"),'Master Table'!$A:$F, 6, FALSE)</f>
        <v>I-9</v>
      </c>
      <c r="N1572" s="141"/>
      <c r="O1572" s="142" t="str">
        <f t="shared" si="1"/>
        <v/>
      </c>
      <c r="P1572" s="143" t="str">
        <f>IF(ISNA(VLOOKUP(CONCAT(M1572,C1572), 'Judge Count DO NOT EDIT'!H:H, 1, FALSE)), "ERROR","")</f>
        <v/>
      </c>
      <c r="Q1572" s="141"/>
      <c r="R1572" s="143"/>
      <c r="S1572" s="139" t="str">
        <f t="shared" si="2"/>
        <v>1050601</v>
      </c>
      <c r="T1572" s="141"/>
    </row>
    <row r="1573">
      <c r="A1573" s="137">
        <f>IFERROR(__xludf.DUMMYFUNCTION("""COMPUTED_VALUE"""),45352.66981260417)</f>
        <v>45352.66981</v>
      </c>
      <c r="B1573" s="138" t="str">
        <f>IFERROR(__xludf.DUMMYFUNCTION("""COMPUTED_VALUE"""),"Aner Zhou")</f>
        <v>Aner Zhou</v>
      </c>
      <c r="C1573" s="138">
        <f>IFERROR(__xludf.DUMMYFUNCTION("""COMPUTED_VALUE"""),1042.0)</f>
        <v>1042</v>
      </c>
      <c r="D1573" s="139">
        <f>IFERROR(__xludf.DUMMYFUNCTION("""COMPUTED_VALUE"""),601.0)</f>
        <v>601</v>
      </c>
      <c r="E1573" s="138">
        <f>IFERROR(__xludf.DUMMYFUNCTION("""COMPUTED_VALUE"""),4.0)</f>
        <v>4</v>
      </c>
      <c r="F1573" s="138">
        <f>IFERROR(__xludf.DUMMYFUNCTION("""COMPUTED_VALUE"""),4.0)</f>
        <v>4</v>
      </c>
      <c r="G1573" s="138">
        <f>IFERROR(__xludf.DUMMYFUNCTION("""COMPUTED_VALUE"""),4.0)</f>
        <v>4</v>
      </c>
      <c r="H1573" s="138">
        <f>IFERROR(__xludf.DUMMYFUNCTION("""COMPUTED_VALUE"""),4.0)</f>
        <v>4</v>
      </c>
      <c r="I1573" s="138">
        <f>IFERROR(__xludf.DUMMYFUNCTION("""COMPUTED_VALUE"""),4.0)</f>
        <v>4</v>
      </c>
      <c r="J1573" s="138">
        <f>IFERROR(__xludf.DUMMYFUNCTION("""COMPUTED_VALUE"""),4.0)</f>
        <v>4</v>
      </c>
      <c r="K1573" s="138">
        <f>IFERROR(__xludf.DUMMYFUNCTION("""COMPUTED_VALUE"""),4.0)</f>
        <v>4</v>
      </c>
      <c r="L1573" s="138">
        <v>28.0</v>
      </c>
      <c r="M1573" s="140" t="str">
        <f>VLOOKUP(text(D1573, "#"),'Master Table'!$A:$F, 6, FALSE)</f>
        <v>I-9</v>
      </c>
      <c r="N1573" s="141"/>
      <c r="O1573" s="142" t="str">
        <f t="shared" si="1"/>
        <v/>
      </c>
      <c r="P1573" s="143" t="str">
        <f>IF(ISNA(VLOOKUP(CONCAT(M1573,C1573), 'Judge Count DO NOT EDIT'!H:H, 1, FALSE)), "ERROR","")</f>
        <v/>
      </c>
      <c r="Q1573" s="141"/>
      <c r="R1573" s="143"/>
      <c r="S1573" s="139" t="str">
        <f t="shared" si="2"/>
        <v>1042601</v>
      </c>
      <c r="T1573" s="141"/>
    </row>
    <row r="1574">
      <c r="A1574" s="137">
        <f>IFERROR(__xludf.DUMMYFUNCTION("""COMPUTED_VALUE"""),45352.731546932875)</f>
        <v>45352.73155</v>
      </c>
      <c r="B1574" s="138" t="str">
        <f>IFERROR(__xludf.DUMMYFUNCTION("""COMPUTED_VALUE"""),"Tam Lieu")</f>
        <v>Tam Lieu</v>
      </c>
      <c r="C1574" s="138">
        <f>IFERROR(__xludf.DUMMYFUNCTION("""COMPUTED_VALUE"""),1023.0)</f>
        <v>1023</v>
      </c>
      <c r="D1574" s="139">
        <f>IFERROR(__xludf.DUMMYFUNCTION("""COMPUTED_VALUE"""),601.0)</f>
        <v>601</v>
      </c>
      <c r="E1574" s="138">
        <f>IFERROR(__xludf.DUMMYFUNCTION("""COMPUTED_VALUE"""),3.0)</f>
        <v>3</v>
      </c>
      <c r="F1574" s="138">
        <f>IFERROR(__xludf.DUMMYFUNCTION("""COMPUTED_VALUE"""),3.0)</f>
        <v>3</v>
      </c>
      <c r="G1574" s="138">
        <f>IFERROR(__xludf.DUMMYFUNCTION("""COMPUTED_VALUE"""),3.0)</f>
        <v>3</v>
      </c>
      <c r="H1574" s="138">
        <f>IFERROR(__xludf.DUMMYFUNCTION("""COMPUTED_VALUE"""),3.0)</f>
        <v>3</v>
      </c>
      <c r="I1574" s="138">
        <f>IFERROR(__xludf.DUMMYFUNCTION("""COMPUTED_VALUE"""),3.0)</f>
        <v>3</v>
      </c>
      <c r="J1574" s="138">
        <f>IFERROR(__xludf.DUMMYFUNCTION("""COMPUTED_VALUE"""),3.0)</f>
        <v>3</v>
      </c>
      <c r="K1574" s="138">
        <f>IFERROR(__xludf.DUMMYFUNCTION("""COMPUTED_VALUE"""),3.0)</f>
        <v>3</v>
      </c>
      <c r="L1574" s="138">
        <v>21.0</v>
      </c>
      <c r="M1574" s="140" t="str">
        <f>VLOOKUP(text(D1574, "#"),'Master Table'!$A:$F, 6, FALSE)</f>
        <v>I-9</v>
      </c>
      <c r="N1574" s="141" t="str">
        <f>IFERROR(__xludf.DUMMYFUNCTION("""COMPUTED_VALUE"""),"1) Positive - Expert subject matter. Thought of every possible scenario
2) Improvement - Ask attendee if they would prefer to know the research at a high or medium level. Some attendees love details; some want to be mindful of time and to ensure they revi"&amp;"ew all assigned posters")</f>
        <v>1) Positive - Expert subject matter. Thought of every possible scenario
2) Improvement - Ask attendee if they would prefer to know the research at a high or medium level. Some attendees love details; some want to be mindful of time and to ensure they review all assigned posters</v>
      </c>
      <c r="O1574" s="142" t="str">
        <f t="shared" si="1"/>
        <v/>
      </c>
      <c r="P1574" s="143" t="str">
        <f>IF(ISNA(VLOOKUP(CONCAT(M1574,C1574), 'Judge Count DO NOT EDIT'!H:H, 1, FALSE)), "ERROR","")</f>
        <v/>
      </c>
      <c r="R1574" s="143"/>
      <c r="S1574" s="139" t="str">
        <f t="shared" si="2"/>
        <v>1023601</v>
      </c>
      <c r="T1574" s="141"/>
    </row>
    <row r="1575">
      <c r="A1575" s="137">
        <f>IFERROR(__xludf.DUMMYFUNCTION("""COMPUTED_VALUE"""),45352.654722175925)</f>
        <v>45352.65472</v>
      </c>
      <c r="B1575" s="138" t="str">
        <f>IFERROR(__xludf.DUMMYFUNCTION("""COMPUTED_VALUE"""),"Liang Ma")</f>
        <v>Liang Ma</v>
      </c>
      <c r="C1575" s="138">
        <f>IFERROR(__xludf.DUMMYFUNCTION("""COMPUTED_VALUE"""),1050.0)</f>
        <v>1050</v>
      </c>
      <c r="D1575" s="139">
        <f>IFERROR(__xludf.DUMMYFUNCTION("""COMPUTED_VALUE"""),602.0)</f>
        <v>602</v>
      </c>
      <c r="E1575" s="138">
        <f>IFERROR(__xludf.DUMMYFUNCTION("""COMPUTED_VALUE"""),3.0)</f>
        <v>3</v>
      </c>
      <c r="F1575" s="138">
        <f>IFERROR(__xludf.DUMMYFUNCTION("""COMPUTED_VALUE"""),3.0)</f>
        <v>3</v>
      </c>
      <c r="G1575" s="138">
        <f>IFERROR(__xludf.DUMMYFUNCTION("""COMPUTED_VALUE"""),2.0)</f>
        <v>2</v>
      </c>
      <c r="H1575" s="138">
        <f>IFERROR(__xludf.DUMMYFUNCTION("""COMPUTED_VALUE"""),2.0)</f>
        <v>2</v>
      </c>
      <c r="I1575" s="138">
        <f>IFERROR(__xludf.DUMMYFUNCTION("""COMPUTED_VALUE"""),3.0)</f>
        <v>3</v>
      </c>
      <c r="J1575" s="138">
        <f>IFERROR(__xludf.DUMMYFUNCTION("""COMPUTED_VALUE"""),4.0)</f>
        <v>4</v>
      </c>
      <c r="K1575" s="138">
        <f>IFERROR(__xludf.DUMMYFUNCTION("""COMPUTED_VALUE"""),4.0)</f>
        <v>4</v>
      </c>
      <c r="L1575" s="138">
        <v>21.0</v>
      </c>
      <c r="M1575" s="140" t="str">
        <f>VLOOKUP(text(D1575, "#"),'Master Table'!$A:$F, 6, FALSE)</f>
        <v>I-9</v>
      </c>
      <c r="N1575" s="141"/>
      <c r="O1575" s="142" t="str">
        <f t="shared" si="1"/>
        <v/>
      </c>
      <c r="P1575" s="143" t="str">
        <f>IF(ISNA(VLOOKUP(CONCAT(M1575,C1575), 'Judge Count DO NOT EDIT'!H:H, 1, FALSE)), "ERROR","")</f>
        <v/>
      </c>
      <c r="Q1575" s="141"/>
      <c r="R1575" s="143"/>
      <c r="S1575" s="139" t="str">
        <f t="shared" si="2"/>
        <v>1050602</v>
      </c>
      <c r="T1575" s="141"/>
    </row>
    <row r="1576">
      <c r="A1576" s="137">
        <f>IFERROR(__xludf.DUMMYFUNCTION("""COMPUTED_VALUE"""),45352.67032655093)</f>
        <v>45352.67033</v>
      </c>
      <c r="B1576" s="138" t="str">
        <f>IFERROR(__xludf.DUMMYFUNCTION("""COMPUTED_VALUE"""),"Aner Zhou")</f>
        <v>Aner Zhou</v>
      </c>
      <c r="C1576" s="138">
        <f>IFERROR(__xludf.DUMMYFUNCTION("""COMPUTED_VALUE"""),1042.0)</f>
        <v>1042</v>
      </c>
      <c r="D1576" s="139">
        <f>IFERROR(__xludf.DUMMYFUNCTION("""COMPUTED_VALUE"""),602.0)</f>
        <v>602</v>
      </c>
      <c r="E1576" s="138">
        <f>IFERROR(__xludf.DUMMYFUNCTION("""COMPUTED_VALUE"""),4.0)</f>
        <v>4</v>
      </c>
      <c r="F1576" s="138">
        <f>IFERROR(__xludf.DUMMYFUNCTION("""COMPUTED_VALUE"""),4.0)</f>
        <v>4</v>
      </c>
      <c r="G1576" s="138">
        <f>IFERROR(__xludf.DUMMYFUNCTION("""COMPUTED_VALUE"""),4.0)</f>
        <v>4</v>
      </c>
      <c r="H1576" s="138">
        <f>IFERROR(__xludf.DUMMYFUNCTION("""COMPUTED_VALUE"""),4.0)</f>
        <v>4</v>
      </c>
      <c r="I1576" s="138">
        <f>IFERROR(__xludf.DUMMYFUNCTION("""COMPUTED_VALUE"""),4.0)</f>
        <v>4</v>
      </c>
      <c r="J1576" s="138">
        <f>IFERROR(__xludf.DUMMYFUNCTION("""COMPUTED_VALUE"""),4.0)</f>
        <v>4</v>
      </c>
      <c r="K1576" s="138">
        <f>IFERROR(__xludf.DUMMYFUNCTION("""COMPUTED_VALUE"""),4.0)</f>
        <v>4</v>
      </c>
      <c r="L1576" s="138">
        <v>28.0</v>
      </c>
      <c r="M1576" s="140" t="str">
        <f>VLOOKUP(text(D1576, "#"),'Master Table'!$A:$F, 6, FALSE)</f>
        <v>I-9</v>
      </c>
      <c r="N1576" s="141"/>
      <c r="O1576" s="142" t="str">
        <f t="shared" si="1"/>
        <v/>
      </c>
      <c r="P1576" s="143" t="str">
        <f>IF(ISNA(VLOOKUP(CONCAT(M1576,C1576), 'Judge Count DO NOT EDIT'!H:H, 1, FALSE)), "ERROR","")</f>
        <v/>
      </c>
      <c r="Q1576" s="141"/>
      <c r="R1576" s="143"/>
      <c r="S1576" s="139" t="str">
        <f t="shared" si="2"/>
        <v>1042602</v>
      </c>
      <c r="T1576" s="141"/>
    </row>
    <row r="1577">
      <c r="A1577" s="137">
        <f>IFERROR(__xludf.DUMMYFUNCTION("""COMPUTED_VALUE"""),45352.73556543981)</f>
        <v>45352.73557</v>
      </c>
      <c r="B1577" s="138" t="str">
        <f>IFERROR(__xludf.DUMMYFUNCTION("""COMPUTED_VALUE"""),"Tam Lieu")</f>
        <v>Tam Lieu</v>
      </c>
      <c r="C1577" s="138">
        <f>IFERROR(__xludf.DUMMYFUNCTION("""COMPUTED_VALUE"""),1023.0)</f>
        <v>1023</v>
      </c>
      <c r="D1577" s="139">
        <f>IFERROR(__xludf.DUMMYFUNCTION("""COMPUTED_VALUE"""),602.0)</f>
        <v>602</v>
      </c>
      <c r="E1577" s="138">
        <f>IFERROR(__xludf.DUMMYFUNCTION("""COMPUTED_VALUE"""),3.0)</f>
        <v>3</v>
      </c>
      <c r="F1577" s="138">
        <f>IFERROR(__xludf.DUMMYFUNCTION("""COMPUTED_VALUE"""),3.0)</f>
        <v>3</v>
      </c>
      <c r="G1577" s="138">
        <f>IFERROR(__xludf.DUMMYFUNCTION("""COMPUTED_VALUE"""),3.0)</f>
        <v>3</v>
      </c>
      <c r="H1577" s="138">
        <f>IFERROR(__xludf.DUMMYFUNCTION("""COMPUTED_VALUE"""),3.0)</f>
        <v>3</v>
      </c>
      <c r="I1577" s="138">
        <f>IFERROR(__xludf.DUMMYFUNCTION("""COMPUTED_VALUE"""),4.0)</f>
        <v>4</v>
      </c>
      <c r="J1577" s="138">
        <f>IFERROR(__xludf.DUMMYFUNCTION("""COMPUTED_VALUE"""),4.0)</f>
        <v>4</v>
      </c>
      <c r="K1577" s="138">
        <f>IFERROR(__xludf.DUMMYFUNCTION("""COMPUTED_VALUE"""),4.0)</f>
        <v>4</v>
      </c>
      <c r="L1577" s="138">
        <v>24.0</v>
      </c>
      <c r="M1577" s="140" t="str">
        <f>VLOOKUP(text(D1577, "#"),'Master Table'!$A:$F, 6, FALSE)</f>
        <v>I-9</v>
      </c>
      <c r="N1577" s="141" t="str">
        <f>IFERROR(__xludf.DUMMYFUNCTION("""COMPUTED_VALUE"""),"1) Positive - Appreciate student willingness to respond to inquiries in a positive tone. Student already knows what to do next with their project (i.e. statistics) and what services the forsee being provided to the unsheltered population
2) Improvements -"&amp;" Larger sample size ")</f>
        <v>1) Positive - Appreciate student willingness to respond to inquiries in a positive tone. Student already knows what to do next with their project (i.e. statistics) and what services the forsee being provided to the unsheltered population
2) Improvements - Larger sample size </v>
      </c>
      <c r="O1577" s="142" t="str">
        <f t="shared" si="1"/>
        <v/>
      </c>
      <c r="P1577" s="143" t="str">
        <f>IF(ISNA(VLOOKUP(CONCAT(M1577,C1577), 'Judge Count DO NOT EDIT'!H:H, 1, FALSE)), "ERROR","")</f>
        <v/>
      </c>
      <c r="Q1577" s="141"/>
      <c r="R1577" s="143"/>
      <c r="S1577" s="139" t="str">
        <f t="shared" si="2"/>
        <v>1023602</v>
      </c>
      <c r="T1577" s="141"/>
    </row>
    <row r="1578">
      <c r="A1578" s="137">
        <f>IFERROR(__xludf.DUMMYFUNCTION("""COMPUTED_VALUE"""),45352.67080771991)</f>
        <v>45352.67081</v>
      </c>
      <c r="B1578" s="138" t="str">
        <f>IFERROR(__xludf.DUMMYFUNCTION("""COMPUTED_VALUE"""),"Aner Zhou")</f>
        <v>Aner Zhou</v>
      </c>
      <c r="C1578" s="138">
        <f>IFERROR(__xludf.DUMMYFUNCTION("""COMPUTED_VALUE"""),1042.0)</f>
        <v>1042</v>
      </c>
      <c r="D1578" s="139">
        <f>IFERROR(__xludf.DUMMYFUNCTION("""COMPUTED_VALUE"""),603.0)</f>
        <v>603</v>
      </c>
      <c r="E1578" s="138">
        <f>IFERROR(__xludf.DUMMYFUNCTION("""COMPUTED_VALUE"""),4.0)</f>
        <v>4</v>
      </c>
      <c r="F1578" s="138">
        <f>IFERROR(__xludf.DUMMYFUNCTION("""COMPUTED_VALUE"""),4.0)</f>
        <v>4</v>
      </c>
      <c r="G1578" s="138">
        <f>IFERROR(__xludf.DUMMYFUNCTION("""COMPUTED_VALUE"""),4.0)</f>
        <v>4</v>
      </c>
      <c r="H1578" s="138">
        <f>IFERROR(__xludf.DUMMYFUNCTION("""COMPUTED_VALUE"""),4.0)</f>
        <v>4</v>
      </c>
      <c r="I1578" s="138">
        <f>IFERROR(__xludf.DUMMYFUNCTION("""COMPUTED_VALUE"""),4.0)</f>
        <v>4</v>
      </c>
      <c r="J1578" s="138">
        <f>IFERROR(__xludf.DUMMYFUNCTION("""COMPUTED_VALUE"""),4.0)</f>
        <v>4</v>
      </c>
      <c r="K1578" s="138">
        <f>IFERROR(__xludf.DUMMYFUNCTION("""COMPUTED_VALUE"""),4.0)</f>
        <v>4</v>
      </c>
      <c r="L1578" s="138">
        <v>28.0</v>
      </c>
      <c r="M1578" s="140" t="str">
        <f>VLOOKUP(text(D1578, "#"),'Master Table'!$A:$F, 6, FALSE)</f>
        <v>I-9</v>
      </c>
      <c r="N1578" s="141"/>
      <c r="O1578" s="142" t="str">
        <f t="shared" si="1"/>
        <v/>
      </c>
      <c r="P1578" s="143" t="str">
        <f>IF(ISNA(VLOOKUP(CONCAT(M1578,C1578), 'Judge Count DO NOT EDIT'!H:H, 1, FALSE)), "ERROR","")</f>
        <v/>
      </c>
      <c r="Q1578" s="141"/>
      <c r="R1578" s="143"/>
      <c r="S1578" s="139" t="str">
        <f t="shared" si="2"/>
        <v>1042603</v>
      </c>
      <c r="T1578" s="141"/>
    </row>
    <row r="1579">
      <c r="A1579" s="137">
        <f>IFERROR(__xludf.DUMMYFUNCTION("""COMPUTED_VALUE"""),45352.654966064816)</f>
        <v>45352.65497</v>
      </c>
      <c r="B1579" s="138" t="str">
        <f>IFERROR(__xludf.DUMMYFUNCTION("""COMPUTED_VALUE"""),"Liang Ma")</f>
        <v>Liang Ma</v>
      </c>
      <c r="C1579" s="138">
        <f>IFERROR(__xludf.DUMMYFUNCTION("""COMPUTED_VALUE"""),1050.0)</f>
        <v>1050</v>
      </c>
      <c r="D1579" s="139">
        <f>IFERROR(__xludf.DUMMYFUNCTION("""COMPUTED_VALUE"""),604.0)</f>
        <v>604</v>
      </c>
      <c r="E1579" s="138">
        <f>IFERROR(__xludf.DUMMYFUNCTION("""COMPUTED_VALUE"""),2.0)</f>
        <v>2</v>
      </c>
      <c r="F1579" s="138">
        <f>IFERROR(__xludf.DUMMYFUNCTION("""COMPUTED_VALUE"""),2.0)</f>
        <v>2</v>
      </c>
      <c r="G1579" s="138">
        <f>IFERROR(__xludf.DUMMYFUNCTION("""COMPUTED_VALUE"""),2.0)</f>
        <v>2</v>
      </c>
      <c r="H1579" s="138">
        <f>IFERROR(__xludf.DUMMYFUNCTION("""COMPUTED_VALUE"""),2.0)</f>
        <v>2</v>
      </c>
      <c r="I1579" s="138">
        <f>IFERROR(__xludf.DUMMYFUNCTION("""COMPUTED_VALUE"""),2.0)</f>
        <v>2</v>
      </c>
      <c r="J1579" s="138">
        <f>IFERROR(__xludf.DUMMYFUNCTION("""COMPUTED_VALUE"""),2.0)</f>
        <v>2</v>
      </c>
      <c r="K1579" s="138">
        <f>IFERROR(__xludf.DUMMYFUNCTION("""COMPUTED_VALUE"""),2.0)</f>
        <v>2</v>
      </c>
      <c r="L1579" s="138">
        <v>14.0</v>
      </c>
      <c r="M1579" s="140" t="str">
        <f>VLOOKUP(text(D1579, "#"),'Master Table'!$A:$F, 6, FALSE)</f>
        <v>I-9</v>
      </c>
      <c r="N1579" s="141"/>
      <c r="O1579" s="142" t="str">
        <f t="shared" si="1"/>
        <v/>
      </c>
      <c r="P1579" s="143" t="str">
        <f>IF(ISNA(VLOOKUP(CONCAT(M1579,C1579), 'Judge Count DO NOT EDIT'!H:H, 1, FALSE)), "ERROR","")</f>
        <v/>
      </c>
      <c r="Q1579" s="141"/>
      <c r="R1579" s="143"/>
      <c r="S1579" s="139" t="str">
        <f t="shared" si="2"/>
        <v>1050604</v>
      </c>
      <c r="T1579" s="141"/>
    </row>
    <row r="1580">
      <c r="A1580" s="137">
        <f>IFERROR(__xludf.DUMMYFUNCTION("""COMPUTED_VALUE"""),45352.743567129626)</f>
        <v>45352.74357</v>
      </c>
      <c r="B1580" s="138" t="str">
        <f>IFERROR(__xludf.DUMMYFUNCTION("""COMPUTED_VALUE"""),"Tam Lieu")</f>
        <v>Tam Lieu</v>
      </c>
      <c r="C1580" s="138">
        <f>IFERROR(__xludf.DUMMYFUNCTION("""COMPUTED_VALUE"""),1023.0)</f>
        <v>1023</v>
      </c>
      <c r="D1580" s="139">
        <f>IFERROR(__xludf.DUMMYFUNCTION("""COMPUTED_VALUE"""),604.0)</f>
        <v>604</v>
      </c>
      <c r="E1580" s="138">
        <f>IFERROR(__xludf.DUMMYFUNCTION("""COMPUTED_VALUE"""),3.0)</f>
        <v>3</v>
      </c>
      <c r="F1580" s="138">
        <f>IFERROR(__xludf.DUMMYFUNCTION("""COMPUTED_VALUE"""),4.0)</f>
        <v>4</v>
      </c>
      <c r="G1580" s="138">
        <f>IFERROR(__xludf.DUMMYFUNCTION("""COMPUTED_VALUE"""),4.0)</f>
        <v>4</v>
      </c>
      <c r="H1580" s="138">
        <f>IFERROR(__xludf.DUMMYFUNCTION("""COMPUTED_VALUE"""),4.0)</f>
        <v>4</v>
      </c>
      <c r="I1580" s="138">
        <f>IFERROR(__xludf.DUMMYFUNCTION("""COMPUTED_VALUE"""),4.0)</f>
        <v>4</v>
      </c>
      <c r="J1580" s="138">
        <f>IFERROR(__xludf.DUMMYFUNCTION("""COMPUTED_VALUE"""),4.0)</f>
        <v>4</v>
      </c>
      <c r="K1580" s="138">
        <f>IFERROR(__xludf.DUMMYFUNCTION("""COMPUTED_VALUE"""),4.0)</f>
        <v>4</v>
      </c>
      <c r="L1580" s="138">
        <v>27.0</v>
      </c>
      <c r="M1580" s="140" t="str">
        <f>VLOOKUP(text(D1580, "#"),'Master Table'!$A:$F, 6, FALSE)</f>
        <v>I-9</v>
      </c>
      <c r="N1580" s="141" t="str">
        <f>IFERROR(__xludf.DUMMYFUNCTION("""COMPUTED_VALUE"""),"1) Positive - Great project! Can't wait to see it become a reality
2) Improvements - Poster needs to have consistent aesthetics ")</f>
        <v>1) Positive - Great project! Can't wait to see it become a reality
2) Improvements - Poster needs to have consistent aesthetics </v>
      </c>
      <c r="O1580" s="142" t="str">
        <f t="shared" si="1"/>
        <v/>
      </c>
      <c r="P1580" s="143" t="str">
        <f>IF(ISNA(VLOOKUP(CONCAT(M1580,C1580), 'Judge Count DO NOT EDIT'!H:H, 1, FALSE)), "ERROR","")</f>
        <v/>
      </c>
      <c r="Q1580" s="141"/>
      <c r="R1580" s="143"/>
      <c r="S1580" s="139" t="str">
        <f t="shared" si="2"/>
        <v>1023604</v>
      </c>
      <c r="T1580" s="141"/>
    </row>
    <row r="1581">
      <c r="A1581" s="137">
        <f>IFERROR(__xludf.DUMMYFUNCTION("""COMPUTED_VALUE"""),45352.655248888885)</f>
        <v>45352.65525</v>
      </c>
      <c r="B1581" s="138" t="str">
        <f>IFERROR(__xludf.DUMMYFUNCTION("""COMPUTED_VALUE"""),"Liang Ma")</f>
        <v>Liang Ma</v>
      </c>
      <c r="C1581" s="138">
        <f>IFERROR(__xludf.DUMMYFUNCTION("""COMPUTED_VALUE"""),1050.0)</f>
        <v>1050</v>
      </c>
      <c r="D1581" s="139">
        <f>IFERROR(__xludf.DUMMYFUNCTION("""COMPUTED_VALUE"""),605.0)</f>
        <v>605</v>
      </c>
      <c r="E1581" s="138">
        <f>IFERROR(__xludf.DUMMYFUNCTION("""COMPUTED_VALUE"""),4.0)</f>
        <v>4</v>
      </c>
      <c r="F1581" s="138">
        <f>IFERROR(__xludf.DUMMYFUNCTION("""COMPUTED_VALUE"""),3.0)</f>
        <v>3</v>
      </c>
      <c r="G1581" s="138">
        <f>IFERROR(__xludf.DUMMYFUNCTION("""COMPUTED_VALUE"""),3.0)</f>
        <v>3</v>
      </c>
      <c r="H1581" s="138">
        <f>IFERROR(__xludf.DUMMYFUNCTION("""COMPUTED_VALUE"""),2.0)</f>
        <v>2</v>
      </c>
      <c r="I1581" s="138">
        <f>IFERROR(__xludf.DUMMYFUNCTION("""COMPUTED_VALUE"""),3.0)</f>
        <v>3</v>
      </c>
      <c r="J1581" s="138">
        <f>IFERROR(__xludf.DUMMYFUNCTION("""COMPUTED_VALUE"""),3.0)</f>
        <v>3</v>
      </c>
      <c r="K1581" s="138">
        <f>IFERROR(__xludf.DUMMYFUNCTION("""COMPUTED_VALUE"""),4.0)</f>
        <v>4</v>
      </c>
      <c r="L1581" s="138">
        <v>22.0</v>
      </c>
      <c r="M1581" s="140" t="str">
        <f>VLOOKUP(text(D1581, "#"),'Master Table'!$A:$F, 6, FALSE)</f>
        <v>I-9</v>
      </c>
      <c r="N1581" s="141"/>
      <c r="O1581" s="142" t="str">
        <f t="shared" si="1"/>
        <v/>
      </c>
      <c r="P1581" s="143" t="str">
        <f>IF(ISNA(VLOOKUP(CONCAT(M1581,C1581), 'Judge Count DO NOT EDIT'!H:H, 1, FALSE)), "ERROR","")</f>
        <v/>
      </c>
      <c r="Q1581" s="141"/>
      <c r="R1581" s="143"/>
      <c r="S1581" s="139" t="str">
        <f t="shared" si="2"/>
        <v>1050605</v>
      </c>
      <c r="T1581" s="141"/>
    </row>
    <row r="1582">
      <c r="A1582" s="137">
        <f>IFERROR(__xludf.DUMMYFUNCTION("""COMPUTED_VALUE"""),45352.67233185185)</f>
        <v>45352.67233</v>
      </c>
      <c r="B1582" s="138" t="str">
        <f>IFERROR(__xludf.DUMMYFUNCTION("""COMPUTED_VALUE"""),"Aner Zhou")</f>
        <v>Aner Zhou</v>
      </c>
      <c r="C1582" s="138">
        <f>IFERROR(__xludf.DUMMYFUNCTION("""COMPUTED_VALUE"""),1042.0)</f>
        <v>1042</v>
      </c>
      <c r="D1582" s="139">
        <f>IFERROR(__xludf.DUMMYFUNCTION("""COMPUTED_VALUE"""),605.0)</f>
        <v>605</v>
      </c>
      <c r="E1582" s="138">
        <f>IFERROR(__xludf.DUMMYFUNCTION("""COMPUTED_VALUE"""),4.0)</f>
        <v>4</v>
      </c>
      <c r="F1582" s="138">
        <f>IFERROR(__xludf.DUMMYFUNCTION("""COMPUTED_VALUE"""),4.0)</f>
        <v>4</v>
      </c>
      <c r="G1582" s="138">
        <f>IFERROR(__xludf.DUMMYFUNCTION("""COMPUTED_VALUE"""),4.0)</f>
        <v>4</v>
      </c>
      <c r="H1582" s="138">
        <f>IFERROR(__xludf.DUMMYFUNCTION("""COMPUTED_VALUE"""),4.0)</f>
        <v>4</v>
      </c>
      <c r="I1582" s="138">
        <f>IFERROR(__xludf.DUMMYFUNCTION("""COMPUTED_VALUE"""),4.0)</f>
        <v>4</v>
      </c>
      <c r="J1582" s="138">
        <f>IFERROR(__xludf.DUMMYFUNCTION("""COMPUTED_VALUE"""),4.0)</f>
        <v>4</v>
      </c>
      <c r="K1582" s="138">
        <f>IFERROR(__xludf.DUMMYFUNCTION("""COMPUTED_VALUE"""),4.0)</f>
        <v>4</v>
      </c>
      <c r="L1582" s="138">
        <v>28.0</v>
      </c>
      <c r="M1582" s="140" t="str">
        <f>VLOOKUP(text(D1582, "#"),'Master Table'!$A:$F, 6, FALSE)</f>
        <v>I-9</v>
      </c>
      <c r="N1582" s="141"/>
      <c r="O1582" s="142" t="str">
        <f t="shared" si="1"/>
        <v/>
      </c>
      <c r="P1582" s="143" t="str">
        <f>IF(ISNA(VLOOKUP(CONCAT(M1582,C1582), 'Judge Count DO NOT EDIT'!H:H, 1, FALSE)), "ERROR","")</f>
        <v/>
      </c>
      <c r="Q1582" s="141"/>
      <c r="R1582" s="143"/>
      <c r="S1582" s="139" t="str">
        <f t="shared" si="2"/>
        <v>1042605</v>
      </c>
      <c r="T1582" s="141"/>
    </row>
    <row r="1583">
      <c r="A1583" s="137">
        <f>IFERROR(__xludf.DUMMYFUNCTION("""COMPUTED_VALUE"""),45352.748871944445)</f>
        <v>45352.74887</v>
      </c>
      <c r="B1583" s="138" t="str">
        <f>IFERROR(__xludf.DUMMYFUNCTION("""COMPUTED_VALUE"""),"Tam Lieu")</f>
        <v>Tam Lieu</v>
      </c>
      <c r="C1583" s="138">
        <f>IFERROR(__xludf.DUMMYFUNCTION("""COMPUTED_VALUE"""),1023.0)</f>
        <v>1023</v>
      </c>
      <c r="D1583" s="139">
        <f>IFERROR(__xludf.DUMMYFUNCTION("""COMPUTED_VALUE"""),605.0)</f>
        <v>605</v>
      </c>
      <c r="E1583" s="138">
        <f>IFERROR(__xludf.DUMMYFUNCTION("""COMPUTED_VALUE"""),5.0)</f>
        <v>5</v>
      </c>
      <c r="F1583" s="138">
        <f>IFERROR(__xludf.DUMMYFUNCTION("""COMPUTED_VALUE"""),5.0)</f>
        <v>5</v>
      </c>
      <c r="G1583" s="138">
        <f>IFERROR(__xludf.DUMMYFUNCTION("""COMPUTED_VALUE"""),5.0)</f>
        <v>5</v>
      </c>
      <c r="H1583" s="138">
        <f>IFERROR(__xludf.DUMMYFUNCTION("""COMPUTED_VALUE"""),5.0)</f>
        <v>5</v>
      </c>
      <c r="I1583" s="138">
        <f>IFERROR(__xludf.DUMMYFUNCTION("""COMPUTED_VALUE"""),5.0)</f>
        <v>5</v>
      </c>
      <c r="J1583" s="138">
        <f>IFERROR(__xludf.DUMMYFUNCTION("""COMPUTED_VALUE"""),5.0)</f>
        <v>5</v>
      </c>
      <c r="K1583" s="138">
        <f>IFERROR(__xludf.DUMMYFUNCTION("""COMPUTED_VALUE"""),5.0)</f>
        <v>5</v>
      </c>
      <c r="L1583" s="138">
        <v>35.0</v>
      </c>
      <c r="M1583" s="140" t="str">
        <f>VLOOKUP(text(D1583, "#"),'Master Table'!$A:$F, 6, FALSE)</f>
        <v>I-9</v>
      </c>
      <c r="N1583" s="141" t="str">
        <f>IFERROR(__xludf.DUMMYFUNCTION("""COMPUTED_VALUE"""),"1) Positive - Allowed attendee to choose high, medium, etc. level of information to receive and process. Both presenters show their passion for the research and their hopes that their findings will be used as a solution
2) Improvements - Hope they'll cont"&amp;"inue their passion of finding feasible solutions for disadvantaged communities in their current or future professional setting ")</f>
        <v>1) Positive - Allowed attendee to choose high, medium, etc. level of information to receive and process. Both presenters show their passion for the research and their hopes that their findings will be used as a solution
2) Improvements - Hope they'll continue their passion of finding feasible solutions for disadvantaged communities in their current or future professional setting </v>
      </c>
      <c r="O1583" s="142" t="str">
        <f t="shared" si="1"/>
        <v/>
      </c>
      <c r="P1583" s="143" t="str">
        <f>IF(ISNA(VLOOKUP(CONCAT(M1583,C1583), 'Judge Count DO NOT EDIT'!H:H, 1, FALSE)), "ERROR","")</f>
        <v/>
      </c>
      <c r="Q1583" s="141"/>
      <c r="R1583" s="143"/>
      <c r="S1583" s="139" t="str">
        <f t="shared" si="2"/>
        <v>1023605</v>
      </c>
      <c r="T1583" s="141"/>
    </row>
    <row r="1584">
      <c r="A1584" s="137">
        <f>IFERROR(__xludf.DUMMYFUNCTION("""COMPUTED_VALUE"""),45352.6435187037)</f>
        <v>45352.64352</v>
      </c>
      <c r="B1584" s="138" t="str">
        <f>IFERROR(__xludf.DUMMYFUNCTION("""COMPUTED_VALUE"""),"brie iatarola")</f>
        <v>brie iatarola</v>
      </c>
      <c r="C1584" s="138">
        <f>IFERROR(__xludf.DUMMYFUNCTION("""COMPUTED_VALUE"""),1234.0)</f>
        <v>1234</v>
      </c>
      <c r="D1584" s="139">
        <f>IFERROR(__xludf.DUMMYFUNCTION("""COMPUTED_VALUE"""),606.0)</f>
        <v>606</v>
      </c>
      <c r="E1584" s="138">
        <f>IFERROR(__xludf.DUMMYFUNCTION("""COMPUTED_VALUE"""),4.0)</f>
        <v>4</v>
      </c>
      <c r="F1584" s="138">
        <f>IFERROR(__xludf.DUMMYFUNCTION("""COMPUTED_VALUE"""),4.0)</f>
        <v>4</v>
      </c>
      <c r="G1584" s="138">
        <f>IFERROR(__xludf.DUMMYFUNCTION("""COMPUTED_VALUE"""),3.0)</f>
        <v>3</v>
      </c>
      <c r="H1584" s="138">
        <f>IFERROR(__xludf.DUMMYFUNCTION("""COMPUTED_VALUE"""),4.0)</f>
        <v>4</v>
      </c>
      <c r="I1584" s="138">
        <f>IFERROR(__xludf.DUMMYFUNCTION("""COMPUTED_VALUE"""),5.0)</f>
        <v>5</v>
      </c>
      <c r="J1584" s="138">
        <f>IFERROR(__xludf.DUMMYFUNCTION("""COMPUTED_VALUE"""),4.0)</f>
        <v>4</v>
      </c>
      <c r="K1584" s="138">
        <f>IFERROR(__xludf.DUMMYFUNCTION("""COMPUTED_VALUE"""),4.0)</f>
        <v>4</v>
      </c>
      <c r="L1584" s="138">
        <v>28.0</v>
      </c>
      <c r="M1584" s="140" t="str">
        <f>VLOOKUP(text(D1584, "#"),'Master Table'!$A:$F, 6, FALSE)</f>
        <v>I-10</v>
      </c>
      <c r="N1584" s="141" t="str">
        <f>IFERROR(__xludf.DUMMYFUNCTION("""COMPUTED_VALUE"""),"Fascinating approach to understanding and exploring the trauma and trials of being undocumented in America. The explanation of the political equator was excellent. Participant was well-prepared. Organization of póster was effective, though the images disr"&amp;"upted the visual flow in their location. The coloring of the poster was beautiful and eye-catching. If the research is furthered in a doctoral setting, I think the methods can be developed to account for additional radical forms of auto-ethnographic appro"&amp;"aches or even activist-based policies that aim to not only helped the undocumented population heal but also be legitimized and accepted.")</f>
        <v>Fascinating approach to understanding and exploring the trauma and trials of being undocumented in America. The explanation of the political equator was excellent. Participant was well-prepared. Organization of póster was effective, though the images disrupted the visual flow in their location. The coloring of the poster was beautiful and eye-catching. If the research is furthered in a doctoral setting, I think the methods can be developed to account for additional radical forms of auto-ethnographic approaches or even activist-based policies that aim to not only helped the undocumented population heal but also be legitimized and accepted.</v>
      </c>
      <c r="O1584" s="142" t="str">
        <f t="shared" si="1"/>
        <v/>
      </c>
      <c r="P1584" s="143" t="str">
        <f>IF(ISNA(VLOOKUP(CONCAT(M1584,C1584), 'Judge Count DO NOT EDIT'!H:H, 1, FALSE)), "ERROR","")</f>
        <v/>
      </c>
      <c r="Q1584" s="141"/>
      <c r="R1584" s="143"/>
      <c r="S1584" s="139" t="str">
        <f t="shared" si="2"/>
        <v>1234606</v>
      </c>
      <c r="T1584" s="141"/>
    </row>
    <row r="1585">
      <c r="A1585" s="137">
        <f>IFERROR(__xludf.DUMMYFUNCTION("""COMPUTED_VALUE"""),45352.648021493056)</f>
        <v>45352.64802</v>
      </c>
      <c r="B1585" s="138" t="str">
        <f>IFERROR(__xludf.DUMMYFUNCTION("""COMPUTED_VALUE"""),"Alexsander Gebara")</f>
        <v>Alexsander Gebara</v>
      </c>
      <c r="C1585" s="138">
        <f>IFERROR(__xludf.DUMMYFUNCTION("""COMPUTED_VALUE"""),1194.0)</f>
        <v>1194</v>
      </c>
      <c r="D1585" s="139">
        <f>IFERROR(__xludf.DUMMYFUNCTION("""COMPUTED_VALUE"""),606.0)</f>
        <v>606</v>
      </c>
      <c r="E1585" s="138">
        <f>IFERROR(__xludf.DUMMYFUNCTION("""COMPUTED_VALUE"""),4.0)</f>
        <v>4</v>
      </c>
      <c r="F1585" s="138">
        <f>IFERROR(__xludf.DUMMYFUNCTION("""COMPUTED_VALUE"""),4.0)</f>
        <v>4</v>
      </c>
      <c r="G1585" s="138">
        <f>IFERROR(__xludf.DUMMYFUNCTION("""COMPUTED_VALUE"""),4.0)</f>
        <v>4</v>
      </c>
      <c r="H1585" s="138">
        <f>IFERROR(__xludf.DUMMYFUNCTION("""COMPUTED_VALUE"""),3.0)</f>
        <v>3</v>
      </c>
      <c r="I1585" s="138">
        <f>IFERROR(__xludf.DUMMYFUNCTION("""COMPUTED_VALUE"""),5.0)</f>
        <v>5</v>
      </c>
      <c r="J1585" s="138">
        <f>IFERROR(__xludf.DUMMYFUNCTION("""COMPUTED_VALUE"""),4.0)</f>
        <v>4</v>
      </c>
      <c r="K1585" s="138">
        <f>IFERROR(__xludf.DUMMYFUNCTION("""COMPUTED_VALUE"""),4.0)</f>
        <v>4</v>
      </c>
      <c r="L1585" s="138">
        <v>28.0</v>
      </c>
      <c r="M1585" s="140" t="str">
        <f>VLOOKUP(text(D1585, "#"),'Master Table'!$A:$F, 6, FALSE)</f>
        <v>I-10</v>
      </c>
      <c r="N1585" s="141"/>
      <c r="O1585" s="142" t="str">
        <f t="shared" si="1"/>
        <v/>
      </c>
      <c r="P1585" s="143" t="str">
        <f>IF(ISNA(VLOOKUP(CONCAT(M1585,C1585), 'Judge Count DO NOT EDIT'!H:H, 1, FALSE)), "ERROR","")</f>
        <v/>
      </c>
      <c r="Q1585" s="144"/>
      <c r="R1585" s="143"/>
      <c r="S1585" s="139" t="str">
        <f t="shared" si="2"/>
        <v>1194606</v>
      </c>
      <c r="T1585" s="141"/>
    </row>
    <row r="1586">
      <c r="A1586" s="137">
        <f>IFERROR(__xludf.DUMMYFUNCTION("""COMPUTED_VALUE"""),45352.66301931713)</f>
        <v>45352.66302</v>
      </c>
      <c r="B1586" s="138" t="str">
        <f>IFERROR(__xludf.DUMMYFUNCTION("""COMPUTED_VALUE"""),"Hannah Friesen")</f>
        <v>Hannah Friesen</v>
      </c>
      <c r="C1586" s="138">
        <f>IFERROR(__xludf.DUMMYFUNCTION("""COMPUTED_VALUE"""),1101.0)</f>
        <v>1101</v>
      </c>
      <c r="D1586" s="139">
        <f>IFERROR(__xludf.DUMMYFUNCTION("""COMPUTED_VALUE"""),606.0)</f>
        <v>606</v>
      </c>
      <c r="E1586" s="138">
        <f>IFERROR(__xludf.DUMMYFUNCTION("""COMPUTED_VALUE"""),3.0)</f>
        <v>3</v>
      </c>
      <c r="F1586" s="138">
        <f>IFERROR(__xludf.DUMMYFUNCTION("""COMPUTED_VALUE"""),4.0)</f>
        <v>4</v>
      </c>
      <c r="G1586" s="138">
        <f>IFERROR(__xludf.DUMMYFUNCTION("""COMPUTED_VALUE"""),5.0)</f>
        <v>5</v>
      </c>
      <c r="H1586" s="138">
        <f>IFERROR(__xludf.DUMMYFUNCTION("""COMPUTED_VALUE"""),4.0)</f>
        <v>4</v>
      </c>
      <c r="I1586" s="138">
        <f>IFERROR(__xludf.DUMMYFUNCTION("""COMPUTED_VALUE"""),5.0)</f>
        <v>5</v>
      </c>
      <c r="J1586" s="138">
        <f>IFERROR(__xludf.DUMMYFUNCTION("""COMPUTED_VALUE"""),4.0)</f>
        <v>4</v>
      </c>
      <c r="K1586" s="138">
        <f>IFERROR(__xludf.DUMMYFUNCTION("""COMPUTED_VALUE"""),5.0)</f>
        <v>5</v>
      </c>
      <c r="L1586" s="138">
        <v>30.0</v>
      </c>
      <c r="M1586" s="140" t="str">
        <f>VLOOKUP(text(D1586, "#"),'Master Table'!$A:$F, 6, FALSE)</f>
        <v>I-10</v>
      </c>
      <c r="N1586" s="141" t="str">
        <f>IFERROR(__xludf.DUMMYFUNCTION("""COMPUTED_VALUE"""),"What went well: 
-Clear that she is passionate about the subject and that it is very personal to her and her community
-Has clear actionable next steps for her thesis
-Appropriately answered questions and accepted suggestions
Suggestion: 
-There was a lo"&amp;"t of text on the poster, I would deemphasize the text in lieu of larger images/bullet points")</f>
        <v>What went well: 
-Clear that she is passionate about the subject and that it is very personal to her and her community
-Has clear actionable next steps for her thesis
-Appropriately answered questions and accepted suggestions
Suggestion: 
-There was a lot of text on the poster, I would deemphasize the text in lieu of larger images/bullet points</v>
      </c>
      <c r="O1586" s="142" t="str">
        <f t="shared" si="1"/>
        <v/>
      </c>
      <c r="P1586" s="143" t="str">
        <f>IF(ISNA(VLOOKUP(CONCAT(M1586,C1586), 'Judge Count DO NOT EDIT'!H:H, 1, FALSE)), "ERROR","")</f>
        <v/>
      </c>
      <c r="Q1586" s="141"/>
      <c r="R1586" s="143"/>
      <c r="S1586" s="139" t="str">
        <f t="shared" si="2"/>
        <v>1101606</v>
      </c>
      <c r="T1586" s="141"/>
    </row>
    <row r="1587">
      <c r="A1587" s="137">
        <f>IFERROR(__xludf.DUMMYFUNCTION("""COMPUTED_VALUE"""),45352.72815033565)</f>
        <v>45352.72815</v>
      </c>
      <c r="B1587" s="138" t="str">
        <f>IFERROR(__xludf.DUMMYFUNCTION("""COMPUTED_VALUE"""),"Emma Clarke")</f>
        <v>Emma Clarke</v>
      </c>
      <c r="C1587" s="138">
        <f>IFERROR(__xludf.DUMMYFUNCTION("""COMPUTED_VALUE"""),1232.0)</f>
        <v>1232</v>
      </c>
      <c r="D1587" s="139">
        <f>IFERROR(__xludf.DUMMYFUNCTION("""COMPUTED_VALUE"""),606.0)</f>
        <v>606</v>
      </c>
      <c r="E1587" s="138">
        <f>IFERROR(__xludf.DUMMYFUNCTION("""COMPUTED_VALUE"""),4.0)</f>
        <v>4</v>
      </c>
      <c r="F1587" s="138">
        <f>IFERROR(__xludf.DUMMYFUNCTION("""COMPUTED_VALUE"""),5.0)</f>
        <v>5</v>
      </c>
      <c r="G1587" s="138">
        <f>IFERROR(__xludf.DUMMYFUNCTION("""COMPUTED_VALUE"""),5.0)</f>
        <v>5</v>
      </c>
      <c r="H1587" s="138">
        <f>IFERROR(__xludf.DUMMYFUNCTION("""COMPUTED_VALUE"""),5.0)</f>
        <v>5</v>
      </c>
      <c r="I1587" s="138">
        <f>IFERROR(__xludf.DUMMYFUNCTION("""COMPUTED_VALUE"""),5.0)</f>
        <v>5</v>
      </c>
      <c r="J1587" s="138">
        <f>IFERROR(__xludf.DUMMYFUNCTION("""COMPUTED_VALUE"""),5.0)</f>
        <v>5</v>
      </c>
      <c r="K1587" s="138">
        <f>IFERROR(__xludf.DUMMYFUNCTION("""COMPUTED_VALUE"""),5.0)</f>
        <v>5</v>
      </c>
      <c r="L1587" s="138">
        <v>34.0</v>
      </c>
      <c r="M1587" s="140" t="str">
        <f>VLOOKUP(text(D1587, "#"),'Master Table'!$A:$F, 6, FALSE)</f>
        <v>I-10</v>
      </c>
      <c r="N1587" s="141" t="str">
        <f>IFERROR(__xludf.DUMMYFUNCTION("""COMPUTED_VALUE"""),"Thank you very much for your presentation! I appreciate how clearly and thoroughly you engage with Anzaldúa's work and also the third space of the borderlands. Your writing as exhibited on your poster was exquisite, balancing flow with fact; your presenta"&amp;"tion also held the balance between your passion for this work and the deep theoretical and scholarship you have done. 
I needed a bit more clarity as to how the figures of cosmology engaged with your research, do they offer a methodology, perspective, kn"&amp;"owledge you would like to incorporate? Or do you see them as metaphor? Etc. 
As you continue with your project, I wonder how you might think through affect as you conduct interviews, what are the actual interviews telling you and is theory in conflict an"&amp;"d complement with this? I also wonder how thinking through the particularities of the Tijuana/SD border can be done through looking at other borders or parts of the border? How does this part of the border differ not only in terms of number, but perhaps t"&amp;"he culture of the third space (the Pacific Ocean is also part of this border)? How also does the particular politics and laws of CA operate and enforce the border specifically? Does this differ in Texas, in New Mexico, what about along the Canadian border"&amp;"?  
Thank you again, wonderful job!")</f>
        <v>Thank you very much for your presentation! I appreciate how clearly and thoroughly you engage with Anzaldúa's work and also the third space of the borderlands. Your writing as exhibited on your poster was exquisite, balancing flow with fact; your presentation also held the balance between your passion for this work and the deep theoretical and scholarship you have done. 
I needed a bit more clarity as to how the figures of cosmology engaged with your research, do they offer a methodology, perspective, knowledge you would like to incorporate? Or do you see them as metaphor? Etc. 
As you continue with your project, I wonder how you might think through affect as you conduct interviews, what are the actual interviews telling you and is theory in conflict and complement with this? I also wonder how thinking through the particularities of the Tijuana/SD border can be done through looking at other borders or parts of the border? How does this part of the border differ not only in terms of number, but perhaps the culture of the third space (the Pacific Ocean is also part of this border)? How also does the particular politics and laws of CA operate and enforce the border specifically? Does this differ in Texas, in New Mexico, what about along the Canadian border?  
Thank you again, wonderful job!</v>
      </c>
      <c r="O1587" s="142" t="str">
        <f t="shared" si="1"/>
        <v/>
      </c>
      <c r="P1587" s="143" t="str">
        <f>IF(ISNA(VLOOKUP(CONCAT(M1587,C1587), 'Judge Count DO NOT EDIT'!H:H, 1, FALSE)), "ERROR","")</f>
        <v/>
      </c>
      <c r="Q1587" s="141"/>
      <c r="R1587" s="143"/>
      <c r="S1587" s="139" t="str">
        <f t="shared" si="2"/>
        <v>1232606</v>
      </c>
      <c r="T1587" s="141"/>
    </row>
    <row r="1588">
      <c r="A1588" s="137">
        <f>IFERROR(__xludf.DUMMYFUNCTION("""COMPUTED_VALUE"""),45352.65292280093)</f>
        <v>45352.65292</v>
      </c>
      <c r="B1588" s="138" t="str">
        <f>IFERROR(__xludf.DUMMYFUNCTION("""COMPUTED_VALUE"""),"brie iatarola")</f>
        <v>brie iatarola</v>
      </c>
      <c r="C1588" s="138">
        <f>IFERROR(__xludf.DUMMYFUNCTION("""COMPUTED_VALUE"""),1234.0)</f>
        <v>1234</v>
      </c>
      <c r="D1588" s="139">
        <f>IFERROR(__xludf.DUMMYFUNCTION("""COMPUTED_VALUE"""),608.0)</f>
        <v>608</v>
      </c>
      <c r="E1588" s="138">
        <f>IFERROR(__xludf.DUMMYFUNCTION("""COMPUTED_VALUE"""),4.0)</f>
        <v>4</v>
      </c>
      <c r="F1588" s="138">
        <f>IFERROR(__xludf.DUMMYFUNCTION("""COMPUTED_VALUE"""),5.0)</f>
        <v>5</v>
      </c>
      <c r="G1588" s="138">
        <f>IFERROR(__xludf.DUMMYFUNCTION("""COMPUTED_VALUE"""),5.0)</f>
        <v>5</v>
      </c>
      <c r="H1588" s="138">
        <f>IFERROR(__xludf.DUMMYFUNCTION("""COMPUTED_VALUE"""),4.0)</f>
        <v>4</v>
      </c>
      <c r="I1588" s="138">
        <f>IFERROR(__xludf.DUMMYFUNCTION("""COMPUTED_VALUE"""),5.0)</f>
        <v>5</v>
      </c>
      <c r="J1588" s="138">
        <f>IFERROR(__xludf.DUMMYFUNCTION("""COMPUTED_VALUE"""),4.0)</f>
        <v>4</v>
      </c>
      <c r="K1588" s="138">
        <f>IFERROR(__xludf.DUMMYFUNCTION("""COMPUTED_VALUE"""),4.0)</f>
        <v>4</v>
      </c>
      <c r="L1588" s="138">
        <v>31.0</v>
      </c>
      <c r="M1588" s="140" t="str">
        <f>VLOOKUP(text(D1588, "#"),'Master Table'!$A:$F, 6, FALSE)</f>
        <v>I-10</v>
      </c>
      <c r="N1588" s="141" t="str">
        <f>IFERROR(__xludf.DUMMYFUNCTION("""COMPUTED_VALUE"""),"Excellent research poster with clear layout and easy-to-follow research method. Absolutely loved the figure 1 that organized and incorporated themes of disclosure, job loss, and accommodations. This was visually stimulating, generated productive questions"&amp;", and represented some very telling qualitative data. I am curious how this knowledge can help inform better, more transparent corporate practices to help protect autistic employees from wrongful termination. It is astounding that nearly 74% of participan"&amp;"ts disclosed their disability but did not receive accommodations. The conclusions based on this data were logical and realistic in scope.")</f>
        <v>Excellent research poster with clear layout and easy-to-follow research method. Absolutely loved the figure 1 that organized and incorporated themes of disclosure, job loss, and accommodations. This was visually stimulating, generated productive questions, and represented some very telling qualitative data. I am curious how this knowledge can help inform better, more transparent corporate practices to help protect autistic employees from wrongful termination. It is astounding that nearly 74% of participants disclosed their disability but did not receive accommodations. The conclusions based on this data were logical and realistic in scope.</v>
      </c>
      <c r="O1588" s="142" t="str">
        <f t="shared" si="1"/>
        <v/>
      </c>
      <c r="P1588" s="143" t="str">
        <f>IF(ISNA(VLOOKUP(CONCAT(M1588,C1588), 'Judge Count DO NOT EDIT'!H:H, 1, FALSE)), "ERROR","")</f>
        <v/>
      </c>
      <c r="Q1588" s="141"/>
      <c r="R1588" s="143"/>
      <c r="S1588" s="139" t="str">
        <f t="shared" si="2"/>
        <v>1234608</v>
      </c>
      <c r="T1588" s="141"/>
    </row>
    <row r="1589">
      <c r="A1589" s="137">
        <f>IFERROR(__xludf.DUMMYFUNCTION("""COMPUTED_VALUE"""),45352.66270893518)</f>
        <v>45352.66271</v>
      </c>
      <c r="B1589" s="138" t="str">
        <f>IFERROR(__xludf.DUMMYFUNCTION("""COMPUTED_VALUE"""),"Alexsander Gebara ")</f>
        <v>Alexsander Gebara </v>
      </c>
      <c r="C1589" s="138">
        <f>IFERROR(__xludf.DUMMYFUNCTION("""COMPUTED_VALUE"""),1194.0)</f>
        <v>1194</v>
      </c>
      <c r="D1589" s="139">
        <f>IFERROR(__xludf.DUMMYFUNCTION("""COMPUTED_VALUE"""),608.0)</f>
        <v>608</v>
      </c>
      <c r="E1589" s="138">
        <f>IFERROR(__xludf.DUMMYFUNCTION("""COMPUTED_VALUE"""),4.0)</f>
        <v>4</v>
      </c>
      <c r="F1589" s="138">
        <f>IFERROR(__xludf.DUMMYFUNCTION("""COMPUTED_VALUE"""),4.0)</f>
        <v>4</v>
      </c>
      <c r="G1589" s="138">
        <f>IFERROR(__xludf.DUMMYFUNCTION("""COMPUTED_VALUE"""),5.0)</f>
        <v>5</v>
      </c>
      <c r="H1589" s="138">
        <f>IFERROR(__xludf.DUMMYFUNCTION("""COMPUTED_VALUE"""),2.0)</f>
        <v>2</v>
      </c>
      <c r="I1589" s="138">
        <f>IFERROR(__xludf.DUMMYFUNCTION("""COMPUTED_VALUE"""),4.0)</f>
        <v>4</v>
      </c>
      <c r="J1589" s="138">
        <f>IFERROR(__xludf.DUMMYFUNCTION("""COMPUTED_VALUE"""),3.0)</f>
        <v>3</v>
      </c>
      <c r="K1589" s="138">
        <f>IFERROR(__xludf.DUMMYFUNCTION("""COMPUTED_VALUE"""),3.0)</f>
        <v>3</v>
      </c>
      <c r="L1589" s="138">
        <v>25.0</v>
      </c>
      <c r="M1589" s="140" t="str">
        <f>VLOOKUP(text(D1589, "#"),'Master Table'!$A:$F, 6, FALSE)</f>
        <v>I-10</v>
      </c>
      <c r="N1589" s="141"/>
      <c r="O1589" s="142" t="str">
        <f t="shared" si="1"/>
        <v/>
      </c>
      <c r="P1589" s="143" t="str">
        <f>IF(ISNA(VLOOKUP(CONCAT(M1589,C1589), 'Judge Count DO NOT EDIT'!H:H, 1, FALSE)), "ERROR","")</f>
        <v/>
      </c>
      <c r="Q1589" s="144"/>
      <c r="R1589" s="143"/>
      <c r="S1589" s="139" t="str">
        <f t="shared" si="2"/>
        <v>1194608</v>
      </c>
      <c r="T1589" s="141"/>
    </row>
    <row r="1590">
      <c r="A1590" s="137">
        <f>IFERROR(__xludf.DUMMYFUNCTION("""COMPUTED_VALUE"""),45352.67313167824)</f>
        <v>45352.67313</v>
      </c>
      <c r="B1590" s="138" t="str">
        <f>IFERROR(__xludf.DUMMYFUNCTION("""COMPUTED_VALUE"""),"Hannah Friesen")</f>
        <v>Hannah Friesen</v>
      </c>
      <c r="C1590" s="138">
        <f>IFERROR(__xludf.DUMMYFUNCTION("""COMPUTED_VALUE"""),1101.0)</f>
        <v>1101</v>
      </c>
      <c r="D1590" s="139">
        <f>IFERROR(__xludf.DUMMYFUNCTION("""COMPUTED_VALUE"""),608.0)</f>
        <v>608</v>
      </c>
      <c r="E1590" s="138">
        <f>IFERROR(__xludf.DUMMYFUNCTION("""COMPUTED_VALUE"""),4.0)</f>
        <v>4</v>
      </c>
      <c r="F1590" s="138">
        <f>IFERROR(__xludf.DUMMYFUNCTION("""COMPUTED_VALUE"""),3.0)</f>
        <v>3</v>
      </c>
      <c r="G1590" s="138">
        <f>IFERROR(__xludf.DUMMYFUNCTION("""COMPUTED_VALUE"""),4.0)</f>
        <v>4</v>
      </c>
      <c r="H1590" s="138">
        <f>IFERROR(__xludf.DUMMYFUNCTION("""COMPUTED_VALUE"""),4.0)</f>
        <v>4</v>
      </c>
      <c r="I1590" s="138">
        <f>IFERROR(__xludf.DUMMYFUNCTION("""COMPUTED_VALUE"""),5.0)</f>
        <v>5</v>
      </c>
      <c r="J1590" s="138">
        <f>IFERROR(__xludf.DUMMYFUNCTION("""COMPUTED_VALUE"""),4.0)</f>
        <v>4</v>
      </c>
      <c r="K1590" s="138">
        <f>IFERROR(__xludf.DUMMYFUNCTION("""COMPUTED_VALUE"""),5.0)</f>
        <v>5</v>
      </c>
      <c r="L1590" s="138">
        <v>29.0</v>
      </c>
      <c r="M1590" s="140" t="str">
        <f>VLOOKUP(text(D1590, "#"),'Master Table'!$A:$F, 6, FALSE)</f>
        <v>I-10</v>
      </c>
      <c r="N1590" s="141" t="str">
        <f>IFERROR(__xludf.DUMMYFUNCTION("""COMPUTED_VALUE"""),"What went well: 
Very organized and had a clear path of discussion 
Well researched and interesting findings that are relevant to me as a supervisor
I appreciated how the concepts were mapped out visually
Suggestions: 
I think the gendered elements of th"&amp;"e research should be further explored (why the disparity between 90M and 12F)")</f>
        <v>What went well: 
Very organized and had a clear path of discussion 
Well researched and interesting findings that are relevant to me as a supervisor
I appreciated how the concepts were mapped out visually
Suggestions: 
I think the gendered elements of the research should be further explored (why the disparity between 90M and 12F)</v>
      </c>
      <c r="O1590" s="142" t="str">
        <f t="shared" si="1"/>
        <v/>
      </c>
      <c r="P1590" s="143" t="str">
        <f>IF(ISNA(VLOOKUP(CONCAT(M1590,C1590), 'Judge Count DO NOT EDIT'!H:H, 1, FALSE)), "ERROR","")</f>
        <v/>
      </c>
      <c r="Q1590" s="141"/>
      <c r="R1590" s="143"/>
      <c r="S1590" s="139" t="str">
        <f t="shared" si="2"/>
        <v>1101608</v>
      </c>
      <c r="T1590" s="141"/>
    </row>
    <row r="1591">
      <c r="A1591" s="137">
        <f>IFERROR(__xludf.DUMMYFUNCTION("""COMPUTED_VALUE"""),45352.74261199074)</f>
        <v>45352.74261</v>
      </c>
      <c r="B1591" s="138" t="str">
        <f>IFERROR(__xludf.DUMMYFUNCTION("""COMPUTED_VALUE"""),"Emma Clarke")</f>
        <v>Emma Clarke</v>
      </c>
      <c r="C1591" s="138">
        <f>IFERROR(__xludf.DUMMYFUNCTION("""COMPUTED_VALUE"""),1232.0)</f>
        <v>1232</v>
      </c>
      <c r="D1591" s="139">
        <f>IFERROR(__xludf.DUMMYFUNCTION("""COMPUTED_VALUE"""),608.0)</f>
        <v>608</v>
      </c>
      <c r="E1591" s="138">
        <f>IFERROR(__xludf.DUMMYFUNCTION("""COMPUTED_VALUE"""),5.0)</f>
        <v>5</v>
      </c>
      <c r="F1591" s="138">
        <f>IFERROR(__xludf.DUMMYFUNCTION("""COMPUTED_VALUE"""),5.0)</f>
        <v>5</v>
      </c>
      <c r="G1591" s="138">
        <f>IFERROR(__xludf.DUMMYFUNCTION("""COMPUTED_VALUE"""),5.0)</f>
        <v>5</v>
      </c>
      <c r="H1591" s="138">
        <f>IFERROR(__xludf.DUMMYFUNCTION("""COMPUTED_VALUE"""),5.0)</f>
        <v>5</v>
      </c>
      <c r="I1591" s="138">
        <f>IFERROR(__xludf.DUMMYFUNCTION("""COMPUTED_VALUE"""),5.0)</f>
        <v>5</v>
      </c>
      <c r="J1591" s="138">
        <f>IFERROR(__xludf.DUMMYFUNCTION("""COMPUTED_VALUE"""),5.0)</f>
        <v>5</v>
      </c>
      <c r="K1591" s="138">
        <f>IFERROR(__xludf.DUMMYFUNCTION("""COMPUTED_VALUE"""),5.0)</f>
        <v>5</v>
      </c>
      <c r="L1591" s="138">
        <v>35.0</v>
      </c>
      <c r="M1591" s="140" t="str">
        <f>VLOOKUP(text(D1591, "#"),'Master Table'!$A:$F, 6, FALSE)</f>
        <v>I-10</v>
      </c>
      <c r="N1591" s="141" t="str">
        <f>IFERROR(__xludf.DUMMYFUNCTION("""COMPUTED_VALUE"""),"Thank you very much for your fantastic presentation! This subject is one in need of deep consideration, and you've done so with wonderful nuance. You had a excellent way of presenting your research. You are clearly deeply versed in it yet also invited tho"&amp;"se of us from the outside to understand the complexity and significance of your work. That you not only asked if people disclosed, but what they disclosed, demonstrates such a care to specificity and understanding that the details reveal how change is nee"&amp;"ded. 
In talking with you, you offered that (and I agree) that institutions need to do more to support accommodations and also cultivate an environment in which people feel safe to disclose information. I'm wondering if there is someplace you can articul"&amp;"ate this more clearly, that is the need to hold institutions more accountable (I know that can be scary). 
You've done incredible work that already can have such impact in articulating the need for action; really excellent job!")</f>
        <v>Thank you very much for your fantastic presentation! This subject is one in need of deep consideration, and you've done so with wonderful nuance. You had a excellent way of presenting your research. You are clearly deeply versed in it yet also invited those of us from the outside to understand the complexity and significance of your work. That you not only asked if people disclosed, but what they disclosed, demonstrates such a care to specificity and understanding that the details reveal how change is needed. 
In talking with you, you offered that (and I agree) that institutions need to do more to support accommodations and also cultivate an environment in which people feel safe to disclose information. I'm wondering if there is someplace you can articulate this more clearly, that is the need to hold institutions more accountable (I know that can be scary). 
You've done incredible work that already can have such impact in articulating the need for action; really excellent job!</v>
      </c>
      <c r="O1591" s="142" t="str">
        <f t="shared" si="1"/>
        <v/>
      </c>
      <c r="P1591" s="143" t="str">
        <f>IF(ISNA(VLOOKUP(CONCAT(M1591,C1591), 'Judge Count DO NOT EDIT'!H:H, 1, FALSE)), "ERROR","")</f>
        <v/>
      </c>
      <c r="Q1591" s="141"/>
      <c r="R1591" s="143"/>
      <c r="S1591" s="139" t="str">
        <f t="shared" si="2"/>
        <v>1232608</v>
      </c>
      <c r="T1591" s="141"/>
    </row>
    <row r="1592">
      <c r="A1592" s="137">
        <f>IFERROR(__xludf.DUMMYFUNCTION("""COMPUTED_VALUE"""),45352.636489780096)</f>
        <v>45352.63649</v>
      </c>
      <c r="B1592" s="138" t="str">
        <f>IFERROR(__xludf.DUMMYFUNCTION("""COMPUTED_VALUE"""),"Hannah Friesen")</f>
        <v>Hannah Friesen</v>
      </c>
      <c r="C1592" s="138">
        <f>IFERROR(__xludf.DUMMYFUNCTION("""COMPUTED_VALUE"""),1101.0)</f>
        <v>1101</v>
      </c>
      <c r="D1592" s="139">
        <f>IFERROR(__xludf.DUMMYFUNCTION("""COMPUTED_VALUE"""),609.0)</f>
        <v>609</v>
      </c>
      <c r="E1592" s="138">
        <f>IFERROR(__xludf.DUMMYFUNCTION("""COMPUTED_VALUE"""),3.0)</f>
        <v>3</v>
      </c>
      <c r="F1592" s="138">
        <f>IFERROR(__xludf.DUMMYFUNCTION("""COMPUTED_VALUE"""),4.0)</f>
        <v>4</v>
      </c>
      <c r="G1592" s="138">
        <f>IFERROR(__xludf.DUMMYFUNCTION("""COMPUTED_VALUE"""),3.0)</f>
        <v>3</v>
      </c>
      <c r="H1592" s="138">
        <f>IFERROR(__xludf.DUMMYFUNCTION("""COMPUTED_VALUE"""),3.0)</f>
        <v>3</v>
      </c>
      <c r="I1592" s="138">
        <f>IFERROR(__xludf.DUMMYFUNCTION("""COMPUTED_VALUE"""),4.0)</f>
        <v>4</v>
      </c>
      <c r="J1592" s="138">
        <f>IFERROR(__xludf.DUMMYFUNCTION("""COMPUTED_VALUE"""),4.0)</f>
        <v>4</v>
      </c>
      <c r="K1592" s="138">
        <f>IFERROR(__xludf.DUMMYFUNCTION("""COMPUTED_VALUE"""),5.0)</f>
        <v>5</v>
      </c>
      <c r="L1592" s="138">
        <v>26.0</v>
      </c>
      <c r="M1592" s="140" t="str">
        <f>VLOOKUP(text(D1592, "#"),'Master Table'!$A:$F, 6, FALSE)</f>
        <v>I-10</v>
      </c>
      <c r="N1592" s="141" t="str">
        <f>IFERROR(__xludf.DUMMYFUNCTION("""COMPUTED_VALUE"""),"What went well: 
-Appreciated the visuals and clean look of the poster
-Her passion for the subject was palpable
-I liked how she is using more recent books that turn boring old tomes into relatable novels for 21st century consumption
Suggestions: 
-I wo"&amp;"uld have liked to have seen a more deliberate comparison between the themes and motifs between the books and 1-2 sentences of summary for each novel")</f>
        <v>What went well: 
-Appreciated the visuals and clean look of the poster
-Her passion for the subject was palpable
-I liked how she is using more recent books that turn boring old tomes into relatable novels for 21st century consumption
Suggestions: 
-I would have liked to have seen a more deliberate comparison between the themes and motifs between the books and 1-2 sentences of summary for each novel</v>
      </c>
      <c r="O1592" s="142" t="str">
        <f t="shared" si="1"/>
        <v/>
      </c>
      <c r="P1592" s="143" t="str">
        <f>IF(ISNA(VLOOKUP(CONCAT(M1592,C1592), 'Judge Count DO NOT EDIT'!H:H, 1, FALSE)), "ERROR","")</f>
        <v/>
      </c>
      <c r="Q1592" s="144"/>
      <c r="R1592" s="143"/>
      <c r="S1592" s="139" t="str">
        <f t="shared" si="2"/>
        <v>1101609</v>
      </c>
      <c r="T1592" s="141"/>
    </row>
    <row r="1593">
      <c r="A1593" s="137">
        <f>IFERROR(__xludf.DUMMYFUNCTION("""COMPUTED_VALUE"""),45352.65425450231)</f>
        <v>45352.65425</v>
      </c>
      <c r="B1593" s="138" t="str">
        <f>IFERROR(__xludf.DUMMYFUNCTION("""COMPUTED_VALUE"""),"Alexsander Gebara")</f>
        <v>Alexsander Gebara</v>
      </c>
      <c r="C1593" s="138">
        <f>IFERROR(__xludf.DUMMYFUNCTION("""COMPUTED_VALUE"""),1194.0)</f>
        <v>1194</v>
      </c>
      <c r="D1593" s="139">
        <f>IFERROR(__xludf.DUMMYFUNCTION("""COMPUTED_VALUE"""),609.0)</f>
        <v>609</v>
      </c>
      <c r="E1593" s="138">
        <f>IFERROR(__xludf.DUMMYFUNCTION("""COMPUTED_VALUE"""),4.0)</f>
        <v>4</v>
      </c>
      <c r="F1593" s="138">
        <f>IFERROR(__xludf.DUMMYFUNCTION("""COMPUTED_VALUE"""),3.0)</f>
        <v>3</v>
      </c>
      <c r="G1593" s="138">
        <f>IFERROR(__xludf.DUMMYFUNCTION("""COMPUTED_VALUE"""),2.0)</f>
        <v>2</v>
      </c>
      <c r="H1593" s="138">
        <f>IFERROR(__xludf.DUMMYFUNCTION("""COMPUTED_VALUE"""),3.0)</f>
        <v>3</v>
      </c>
      <c r="I1593" s="138">
        <f>IFERROR(__xludf.DUMMYFUNCTION("""COMPUTED_VALUE"""),4.0)</f>
        <v>4</v>
      </c>
      <c r="J1593" s="138">
        <f>IFERROR(__xludf.DUMMYFUNCTION("""COMPUTED_VALUE"""),4.0)</f>
        <v>4</v>
      </c>
      <c r="K1593" s="138">
        <f>IFERROR(__xludf.DUMMYFUNCTION("""COMPUTED_VALUE"""),4.0)</f>
        <v>4</v>
      </c>
      <c r="L1593" s="138">
        <v>24.0</v>
      </c>
      <c r="M1593" s="140" t="str">
        <f>VLOOKUP(text(D1593, "#"),'Master Table'!$A:$F, 6, FALSE)</f>
        <v>I-10</v>
      </c>
      <c r="N1593" s="141"/>
      <c r="O1593" s="142" t="str">
        <f t="shared" si="1"/>
        <v/>
      </c>
      <c r="P1593" s="143" t="str">
        <f>IF(ISNA(VLOOKUP(CONCAT(M1593,C1593), 'Judge Count DO NOT EDIT'!H:H, 1, FALSE)), "ERROR","")</f>
        <v/>
      </c>
      <c r="Q1593" s="141"/>
      <c r="R1593" s="143"/>
      <c r="S1593" s="139" t="str">
        <f t="shared" si="2"/>
        <v>1194609</v>
      </c>
      <c r="T1593" s="141"/>
    </row>
    <row r="1594">
      <c r="A1594" s="137">
        <f>IFERROR(__xludf.DUMMYFUNCTION("""COMPUTED_VALUE"""),45352.66474015046)</f>
        <v>45352.66474</v>
      </c>
      <c r="B1594" s="138" t="str">
        <f>IFERROR(__xludf.DUMMYFUNCTION("""COMPUTED_VALUE"""),"brie iatarola")</f>
        <v>brie iatarola</v>
      </c>
      <c r="C1594" s="138">
        <f>IFERROR(__xludf.DUMMYFUNCTION("""COMPUTED_VALUE"""),1234.0)</f>
        <v>1234</v>
      </c>
      <c r="D1594" s="139">
        <f>IFERROR(__xludf.DUMMYFUNCTION("""COMPUTED_VALUE"""),609.0)</f>
        <v>609</v>
      </c>
      <c r="E1594" s="138">
        <f>IFERROR(__xludf.DUMMYFUNCTION("""COMPUTED_VALUE"""),4.0)</f>
        <v>4</v>
      </c>
      <c r="F1594" s="138">
        <f>IFERROR(__xludf.DUMMYFUNCTION("""COMPUTED_VALUE"""),4.0)</f>
        <v>4</v>
      </c>
      <c r="G1594" s="138">
        <f>IFERROR(__xludf.DUMMYFUNCTION("""COMPUTED_VALUE"""),3.0)</f>
        <v>3</v>
      </c>
      <c r="H1594" s="138">
        <f>IFERROR(__xludf.DUMMYFUNCTION("""COMPUTED_VALUE"""),3.0)</f>
        <v>3</v>
      </c>
      <c r="I1594" s="138">
        <f>IFERROR(__xludf.DUMMYFUNCTION("""COMPUTED_VALUE"""),4.0)</f>
        <v>4</v>
      </c>
      <c r="J1594" s="138">
        <f>IFERROR(__xludf.DUMMYFUNCTION("""COMPUTED_VALUE"""),4.0)</f>
        <v>4</v>
      </c>
      <c r="K1594" s="138">
        <f>IFERROR(__xludf.DUMMYFUNCTION("""COMPUTED_VALUE"""),4.0)</f>
        <v>4</v>
      </c>
      <c r="L1594" s="138">
        <v>26.0</v>
      </c>
      <c r="M1594" s="140" t="str">
        <f>VLOOKUP(text(D1594, "#"),'Master Table'!$A:$F, 6, FALSE)</f>
        <v>I-10</v>
      </c>
      <c r="N1594" s="141" t="str">
        <f>IFERROR(__xludf.DUMMYFUNCTION("""COMPUTED_VALUE"""),"This presentation made me want to go out and buy Circe &amp; The Song of Achilles. I appreciated the content and organization of analysis. The literary techniques reminded me why books are so necessary and important. Talking with Kristen about her decision to"&amp;" select these two novels was enjoyable and helped me see people still read and analyze books. We had a productive conversation about the utility of social media in promoting books for youth as well. Perhaps the project could be extended in the future to a"&amp;"ccount for past or comparable versions of Greek mythology to show how author Madeline Miller provided a contemporary twist with themes of feminism and the social politics of war. It is interesting visually how similar the aesthetics for both texts are. ")</f>
        <v>This presentation made me want to go out and buy Circe &amp; The Song of Achilles. I appreciated the content and organization of analysis. The literary techniques reminded me why books are so necessary and important. Talking with Kristen about her decision to select these two novels was enjoyable and helped me see people still read and analyze books. We had a productive conversation about the utility of social media in promoting books for youth as well. Perhaps the project could be extended in the future to account for past or comparable versions of Greek mythology to show how author Madeline Miller provided a contemporary twist with themes of feminism and the social politics of war. It is interesting visually how similar the aesthetics for both texts are. </v>
      </c>
      <c r="O1594" s="142" t="str">
        <f t="shared" si="1"/>
        <v/>
      </c>
      <c r="P1594" s="143" t="str">
        <f>IF(ISNA(VLOOKUP(CONCAT(M1594,C1594), 'Judge Count DO NOT EDIT'!H:H, 1, FALSE)), "ERROR","")</f>
        <v/>
      </c>
      <c r="Q1594" s="141"/>
      <c r="R1594" s="143"/>
      <c r="S1594" s="139" t="str">
        <f t="shared" si="2"/>
        <v>1234609</v>
      </c>
      <c r="T1594" s="141"/>
    </row>
    <row r="1595">
      <c r="A1595" s="137">
        <f>IFERROR(__xludf.DUMMYFUNCTION("""COMPUTED_VALUE"""),45352.735484247685)</f>
        <v>45352.73548</v>
      </c>
      <c r="B1595" s="138" t="str">
        <f>IFERROR(__xludf.DUMMYFUNCTION("""COMPUTED_VALUE"""),"Emma Clarke")</f>
        <v>Emma Clarke</v>
      </c>
      <c r="C1595" s="138">
        <f>IFERROR(__xludf.DUMMYFUNCTION("""COMPUTED_VALUE"""),1232.0)</f>
        <v>1232</v>
      </c>
      <c r="D1595" s="139">
        <f>IFERROR(__xludf.DUMMYFUNCTION("""COMPUTED_VALUE"""),609.0)</f>
        <v>609</v>
      </c>
      <c r="E1595" s="138">
        <f>IFERROR(__xludf.DUMMYFUNCTION("""COMPUTED_VALUE"""),5.0)</f>
        <v>5</v>
      </c>
      <c r="F1595" s="138">
        <f>IFERROR(__xludf.DUMMYFUNCTION("""COMPUTED_VALUE"""),4.0)</f>
        <v>4</v>
      </c>
      <c r="G1595" s="138">
        <f>IFERROR(__xludf.DUMMYFUNCTION("""COMPUTED_VALUE"""),4.0)</f>
        <v>4</v>
      </c>
      <c r="H1595" s="138">
        <f>IFERROR(__xludf.DUMMYFUNCTION("""COMPUTED_VALUE"""),5.0)</f>
        <v>5</v>
      </c>
      <c r="I1595" s="138">
        <f>IFERROR(__xludf.DUMMYFUNCTION("""COMPUTED_VALUE"""),5.0)</f>
        <v>5</v>
      </c>
      <c r="J1595" s="138">
        <f>IFERROR(__xludf.DUMMYFUNCTION("""COMPUTED_VALUE"""),5.0)</f>
        <v>5</v>
      </c>
      <c r="K1595" s="138">
        <f>IFERROR(__xludf.DUMMYFUNCTION("""COMPUTED_VALUE"""),5.0)</f>
        <v>5</v>
      </c>
      <c r="L1595" s="138">
        <v>33.0</v>
      </c>
      <c r="M1595" s="140" t="str">
        <f>VLOOKUP(text(D1595, "#"),'Master Table'!$A:$F, 6, FALSE)</f>
        <v>I-10</v>
      </c>
      <c r="N1595" s="141" t="str">
        <f>IFERROR(__xludf.DUMMYFUNCTION("""COMPUTED_VALUE"""),"Thank you very much for your presentation! I appreciated how much deep work you have done into this writer's oeuvre and how their particular books have impact. Your knowledge and passion for these books was so clear and yet you also demonstrated deep meth"&amp;"odological and analytical work. I also appreciated how you see these books as a gateway for interest in education for those who perhaps might not be always so excited to read.  
I'm curious how you see the work you are doing extend beyond these books. To"&amp;" me your work seems to suggest we reconsider assumptions about what interests students and ask what it is fundamentally in literature that they can connect with. I'm curious if this is what you feel and how you see this focused analysis intervening in lar"&amp;"ger conversations. 
Thank you again for sharing. Wonderful job!
")</f>
        <v>Thank you very much for your presentation! I appreciated how much deep work you have done into this writer's oeuvre and how their particular books have impact. Your knowledge and passion for these books was so clear and yet you also demonstrated deep methodological and analytical work. I also appreciated how you see these books as a gateway for interest in education for those who perhaps might not be always so excited to read.  
I'm curious how you see the work you are doing extend beyond these books. To me your work seems to suggest we reconsider assumptions about what interests students and ask what it is fundamentally in literature that they can connect with. I'm curious if this is what you feel and how you see this focused analysis intervening in larger conversations. 
Thank you again for sharing. Wonderful job!
</v>
      </c>
      <c r="O1595" s="142" t="str">
        <f t="shared" si="1"/>
        <v/>
      </c>
      <c r="P1595" s="143" t="str">
        <f>IF(ISNA(VLOOKUP(CONCAT(M1595,C1595), 'Judge Count DO NOT EDIT'!H:H, 1, FALSE)), "ERROR","")</f>
        <v/>
      </c>
      <c r="Q1595" s="141"/>
      <c r="R1595" s="143"/>
      <c r="S1595" s="139" t="str">
        <f t="shared" si="2"/>
        <v>1232609</v>
      </c>
      <c r="T1595" s="141"/>
    </row>
    <row r="1596">
      <c r="A1596" s="137">
        <f>IFERROR(__xludf.DUMMYFUNCTION("""COMPUTED_VALUE"""),45352.65332394676)</f>
        <v>45352.65332</v>
      </c>
      <c r="B1596" s="138" t="str">
        <f>IFERROR(__xludf.DUMMYFUNCTION("""COMPUTED_VALUE"""),"Hannah Friesen")</f>
        <v>Hannah Friesen</v>
      </c>
      <c r="C1596" s="138">
        <f>IFERROR(__xludf.DUMMYFUNCTION("""COMPUTED_VALUE"""),1101.0)</f>
        <v>1101</v>
      </c>
      <c r="D1596" s="139">
        <f>IFERROR(__xludf.DUMMYFUNCTION("""COMPUTED_VALUE"""),610.0)</f>
        <v>610</v>
      </c>
      <c r="E1596" s="138">
        <f>IFERROR(__xludf.DUMMYFUNCTION("""COMPUTED_VALUE"""),4.0)</f>
        <v>4</v>
      </c>
      <c r="F1596" s="138">
        <f>IFERROR(__xludf.DUMMYFUNCTION("""COMPUTED_VALUE"""),4.0)</f>
        <v>4</v>
      </c>
      <c r="G1596" s="138">
        <f>IFERROR(__xludf.DUMMYFUNCTION("""COMPUTED_VALUE"""),5.0)</f>
        <v>5</v>
      </c>
      <c r="H1596" s="138">
        <f>IFERROR(__xludf.DUMMYFUNCTION("""COMPUTED_VALUE"""),3.0)</f>
        <v>3</v>
      </c>
      <c r="I1596" s="138">
        <f>IFERROR(__xludf.DUMMYFUNCTION("""COMPUTED_VALUE"""),3.0)</f>
        <v>3</v>
      </c>
      <c r="J1596" s="138">
        <f>IFERROR(__xludf.DUMMYFUNCTION("""COMPUTED_VALUE"""),4.0)</f>
        <v>4</v>
      </c>
      <c r="K1596" s="138">
        <f>IFERROR(__xludf.DUMMYFUNCTION("""COMPUTED_VALUE"""),3.0)</f>
        <v>3</v>
      </c>
      <c r="L1596" s="138">
        <v>26.0</v>
      </c>
      <c r="M1596" s="140" t="str">
        <f>VLOOKUP(text(D1596, "#"),'Master Table'!$A:$F, 6, FALSE)</f>
        <v>I-10</v>
      </c>
      <c r="N1596" s="141" t="str">
        <f>IFERROR(__xludf.DUMMYFUNCTION("""COMPUTED_VALUE"""),"What went well: 
-Poster was visually appealing
-Topic is relevant to today's discourse on television and film inclusivity (made the Little Mermaid connection)
Suggestions: 
The intro went a little long and felt as though it was a lecture class rather th"&amp;"an a discussion")</f>
        <v>What went well: 
-Poster was visually appealing
-Topic is relevant to today's discourse on television and film inclusivity (made the Little Mermaid connection)
Suggestions: 
The intro went a little long and felt as though it was a lecture class rather than a discussion</v>
      </c>
      <c r="O1596" s="142" t="str">
        <f t="shared" si="1"/>
        <v/>
      </c>
      <c r="P1596" s="143" t="str">
        <f>IF(ISNA(VLOOKUP(CONCAT(M1596,C1596), 'Judge Count DO NOT EDIT'!H:H, 1, FALSE)), "ERROR","")</f>
        <v/>
      </c>
      <c r="Q1596" s="141"/>
      <c r="R1596" s="143"/>
      <c r="S1596" s="139" t="str">
        <f t="shared" si="2"/>
        <v>1101610</v>
      </c>
      <c r="T1596" s="141"/>
    </row>
    <row r="1597">
      <c r="A1597" s="137">
        <f>IFERROR(__xludf.DUMMYFUNCTION("""COMPUTED_VALUE"""),45352.675184733795)</f>
        <v>45352.67518</v>
      </c>
      <c r="B1597" s="138" t="str">
        <f>IFERROR(__xludf.DUMMYFUNCTION("""COMPUTED_VALUE"""),"Alexsander Gebara ")</f>
        <v>Alexsander Gebara </v>
      </c>
      <c r="C1597" s="138">
        <f>IFERROR(__xludf.DUMMYFUNCTION("""COMPUTED_VALUE"""),1194.0)</f>
        <v>1194</v>
      </c>
      <c r="D1597" s="139">
        <f>IFERROR(__xludf.DUMMYFUNCTION("""COMPUTED_VALUE"""),610.0)</f>
        <v>610</v>
      </c>
      <c r="E1597" s="138">
        <f>IFERROR(__xludf.DUMMYFUNCTION("""COMPUTED_VALUE"""),3.0)</f>
        <v>3</v>
      </c>
      <c r="F1597" s="138">
        <f>IFERROR(__xludf.DUMMYFUNCTION("""COMPUTED_VALUE"""),5.0)</f>
        <v>5</v>
      </c>
      <c r="G1597" s="138">
        <f>IFERROR(__xludf.DUMMYFUNCTION("""COMPUTED_VALUE"""),5.0)</f>
        <v>5</v>
      </c>
      <c r="H1597" s="138">
        <f>IFERROR(__xludf.DUMMYFUNCTION("""COMPUTED_VALUE"""),2.0)</f>
        <v>2</v>
      </c>
      <c r="I1597" s="138">
        <f>IFERROR(__xludf.DUMMYFUNCTION("""COMPUTED_VALUE"""),3.0)</f>
        <v>3</v>
      </c>
      <c r="J1597" s="138">
        <f>IFERROR(__xludf.DUMMYFUNCTION("""COMPUTED_VALUE"""),3.0)</f>
        <v>3</v>
      </c>
      <c r="K1597" s="138">
        <f>IFERROR(__xludf.DUMMYFUNCTION("""COMPUTED_VALUE"""),4.0)</f>
        <v>4</v>
      </c>
      <c r="L1597" s="138">
        <v>25.0</v>
      </c>
      <c r="M1597" s="140" t="str">
        <f>VLOOKUP(text(D1597, "#"),'Master Table'!$A:$F, 6, FALSE)</f>
        <v>I-10</v>
      </c>
      <c r="N1597" s="141"/>
      <c r="O1597" s="142" t="str">
        <f t="shared" si="1"/>
        <v/>
      </c>
      <c r="P1597" s="143" t="str">
        <f>IF(ISNA(VLOOKUP(CONCAT(M1597,C1597), 'Judge Count DO NOT EDIT'!H:H, 1, FALSE)), "ERROR","")</f>
        <v/>
      </c>
      <c r="Q1597" s="141"/>
      <c r="R1597" s="143"/>
      <c r="S1597" s="139" t="str">
        <f t="shared" si="2"/>
        <v>1194610</v>
      </c>
      <c r="T1597" s="141"/>
    </row>
    <row r="1598">
      <c r="A1598" s="137">
        <f>IFERROR(__xludf.DUMMYFUNCTION("""COMPUTED_VALUE"""),45352.75394061343)</f>
        <v>45352.75394</v>
      </c>
      <c r="B1598" s="138" t="str">
        <f>IFERROR(__xludf.DUMMYFUNCTION("""COMPUTED_VALUE"""),"Emma Clarke")</f>
        <v>Emma Clarke</v>
      </c>
      <c r="C1598" s="138">
        <f>IFERROR(__xludf.DUMMYFUNCTION("""COMPUTED_VALUE"""),1232.0)</f>
        <v>1232</v>
      </c>
      <c r="D1598" s="139">
        <f>IFERROR(__xludf.DUMMYFUNCTION("""COMPUTED_VALUE"""),610.0)</f>
        <v>610</v>
      </c>
      <c r="E1598" s="138">
        <f>IFERROR(__xludf.DUMMYFUNCTION("""COMPUTED_VALUE"""),5.0)</f>
        <v>5</v>
      </c>
      <c r="F1598" s="138">
        <f>IFERROR(__xludf.DUMMYFUNCTION("""COMPUTED_VALUE"""),5.0)</f>
        <v>5</v>
      </c>
      <c r="G1598" s="138">
        <f>IFERROR(__xludf.DUMMYFUNCTION("""COMPUTED_VALUE"""),5.0)</f>
        <v>5</v>
      </c>
      <c r="H1598" s="138">
        <f>IFERROR(__xludf.DUMMYFUNCTION("""COMPUTED_VALUE"""),3.0)</f>
        <v>3</v>
      </c>
      <c r="I1598" s="138">
        <f>IFERROR(__xludf.DUMMYFUNCTION("""COMPUTED_VALUE"""),5.0)</f>
        <v>5</v>
      </c>
      <c r="J1598" s="138">
        <f>IFERROR(__xludf.DUMMYFUNCTION("""COMPUTED_VALUE"""),5.0)</f>
        <v>5</v>
      </c>
      <c r="K1598" s="138">
        <f>IFERROR(__xludf.DUMMYFUNCTION("""COMPUTED_VALUE"""),5.0)</f>
        <v>5</v>
      </c>
      <c r="L1598" s="138">
        <v>33.0</v>
      </c>
      <c r="M1598" s="140" t="str">
        <f>VLOOKUP(text(D1598, "#"),'Master Table'!$A:$F, 6, FALSE)</f>
        <v>I-10</v>
      </c>
      <c r="N1598" s="141" t="str">
        <f>IFERROR(__xludf.DUMMYFUNCTION("""COMPUTED_VALUE"""),"Thank you very much for your presentation! Your topic is a really interesting and important testament to the complexity of visual and media culture. You both interrogated representation, and how circulation can enforce stereotype, trope, and hegemonies. I"&amp;" appreciated that you focused your research on one specific episode and highlighted particular moments in that episode to demonstrate your argument.
I needed a bit more clarity in regards to the relation between the Black Panther party and Julia. You dis"&amp;"cussed the idea of the writers of Julia trying to diminish the clout of the Black Panthers for white audiences through the objectification of a Black male character; through the spectacularization of his body. I was intrigued by this and wanted to know mo"&amp;"re. Literature from dance studies and performance studies might offer you some interesting avenues to explore. 
Thank you again for sharing your work, wonderful job!")</f>
        <v>Thank you very much for your presentation! Your topic is a really interesting and important testament to the complexity of visual and media culture. You both interrogated representation, and how circulation can enforce stereotype, trope, and hegemonies. I appreciated that you focused your research on one specific episode and highlighted particular moments in that episode to demonstrate your argument.
I needed a bit more clarity in regards to the relation between the Black Panther party and Julia. You discussed the idea of the writers of Julia trying to diminish the clout of the Black Panthers for white audiences through the objectification of a Black male character; through the spectacularization of his body. I was intrigued by this and wanted to know more. Literature from dance studies and performance studies might offer you some interesting avenues to explore. 
Thank you again for sharing your work, wonderful job!</v>
      </c>
      <c r="O1598" s="142" t="str">
        <f t="shared" si="1"/>
        <v/>
      </c>
      <c r="P1598" s="143" t="str">
        <f>IF(ISNA(VLOOKUP(CONCAT(M1598,C1598), 'Judge Count DO NOT EDIT'!H:H, 1, FALSE)), "ERROR","")</f>
        <v/>
      </c>
      <c r="Q1598" s="141"/>
      <c r="R1598" s="143"/>
      <c r="S1598" s="139" t="str">
        <f t="shared" si="2"/>
        <v>1232610</v>
      </c>
      <c r="T1598" s="141"/>
    </row>
    <row r="1599">
      <c r="A1599" s="137">
        <f>IFERROR(__xludf.DUMMYFUNCTION("""COMPUTED_VALUE"""),45352.665067118054)</f>
        <v>45352.66507</v>
      </c>
      <c r="B1599" s="138" t="str">
        <f>IFERROR(__xludf.DUMMYFUNCTION("""COMPUTED_VALUE"""),"Mee Young Hong")</f>
        <v>Mee Young Hong</v>
      </c>
      <c r="C1599" s="138">
        <f>IFERROR(__xludf.DUMMYFUNCTION("""COMPUTED_VALUE"""),1108.0)</f>
        <v>1108</v>
      </c>
      <c r="D1599" s="139">
        <f>IFERROR(__xludf.DUMMYFUNCTION("""COMPUTED_VALUE"""),611.0)</f>
        <v>611</v>
      </c>
      <c r="E1599" s="138">
        <f>IFERROR(__xludf.DUMMYFUNCTION("""COMPUTED_VALUE"""),5.0)</f>
        <v>5</v>
      </c>
      <c r="F1599" s="138">
        <f>IFERROR(__xludf.DUMMYFUNCTION("""COMPUTED_VALUE"""),5.0)</f>
        <v>5</v>
      </c>
      <c r="G1599" s="138">
        <f>IFERROR(__xludf.DUMMYFUNCTION("""COMPUTED_VALUE"""),5.0)</f>
        <v>5</v>
      </c>
      <c r="H1599" s="138">
        <f>IFERROR(__xludf.DUMMYFUNCTION("""COMPUTED_VALUE"""),5.0)</f>
        <v>5</v>
      </c>
      <c r="I1599" s="138">
        <f>IFERROR(__xludf.DUMMYFUNCTION("""COMPUTED_VALUE"""),5.0)</f>
        <v>5</v>
      </c>
      <c r="J1599" s="138">
        <f>IFERROR(__xludf.DUMMYFUNCTION("""COMPUTED_VALUE"""),4.0)</f>
        <v>4</v>
      </c>
      <c r="K1599" s="138">
        <f>IFERROR(__xludf.DUMMYFUNCTION("""COMPUTED_VALUE"""),5.0)</f>
        <v>5</v>
      </c>
      <c r="L1599" s="138">
        <v>34.0</v>
      </c>
      <c r="M1599" s="140" t="str">
        <f>VLOOKUP(text(D1599, "#"),'Master Table'!$A:$F, 6, FALSE)</f>
        <v>I-11</v>
      </c>
      <c r="N1599" s="141" t="str">
        <f>IFERROR(__xludf.DUMMYFUNCTION("""COMPUTED_VALUE"""),"Very well presented. She is only 21 and started this work ehe she was18. She wrote and produced the show. Very talented. Well-recognized in Union-Tribune, KUSI and KPBS, well-deserved, great job!")</f>
        <v>Very well presented. She is only 21 and started this work ehe she was18. She wrote and produced the show. Very talented. Well-recognized in Union-Tribune, KUSI and KPBS, well-deserved, great job!</v>
      </c>
      <c r="O1599" s="142" t="str">
        <f t="shared" si="1"/>
        <v/>
      </c>
      <c r="P1599" s="143" t="str">
        <f>IF(ISNA(VLOOKUP(CONCAT(M1599,C1599), 'Judge Count DO NOT EDIT'!H:H, 1, FALSE)), "ERROR","")</f>
        <v/>
      </c>
      <c r="Q1599" s="141"/>
      <c r="R1599" s="143"/>
      <c r="S1599" s="139" t="str">
        <f t="shared" si="2"/>
        <v>1108611</v>
      </c>
      <c r="T1599" s="141"/>
    </row>
    <row r="1600">
      <c r="A1600" s="137">
        <f>IFERROR(__xludf.DUMMYFUNCTION("""COMPUTED_VALUE"""),45352.67327142361)</f>
        <v>45352.67327</v>
      </c>
      <c r="B1600" s="138" t="str">
        <f>IFERROR(__xludf.DUMMYFUNCTION("""COMPUTED_VALUE"""),"Susanne Clara Bard filling in for Natalie Mladenov")</f>
        <v>Susanne Clara Bard filling in for Natalie Mladenov</v>
      </c>
      <c r="C1600" s="138">
        <f>IFERROR(__xludf.DUMMYFUNCTION("""COMPUTED_VALUE"""),1095.0)</f>
        <v>1095</v>
      </c>
      <c r="D1600" s="139">
        <f>IFERROR(__xludf.DUMMYFUNCTION("""COMPUTED_VALUE"""),611.0)</f>
        <v>611</v>
      </c>
      <c r="E1600" s="138">
        <f>IFERROR(__xludf.DUMMYFUNCTION("""COMPUTED_VALUE"""),4.0)</f>
        <v>4</v>
      </c>
      <c r="F1600" s="138">
        <f>IFERROR(__xludf.DUMMYFUNCTION("""COMPUTED_VALUE"""),5.0)</f>
        <v>5</v>
      </c>
      <c r="G1600" s="138">
        <f>IFERROR(__xludf.DUMMYFUNCTION("""COMPUTED_VALUE"""),3.0)</f>
        <v>3</v>
      </c>
      <c r="H1600" s="138">
        <f>IFERROR(__xludf.DUMMYFUNCTION("""COMPUTED_VALUE"""),4.0)</f>
        <v>4</v>
      </c>
      <c r="I1600" s="138">
        <f>IFERROR(__xludf.DUMMYFUNCTION("""COMPUTED_VALUE"""),4.0)</f>
        <v>4</v>
      </c>
      <c r="J1600" s="138">
        <f>IFERROR(__xludf.DUMMYFUNCTION("""COMPUTED_VALUE"""),4.0)</f>
        <v>4</v>
      </c>
      <c r="K1600" s="138">
        <f>IFERROR(__xludf.DUMMYFUNCTION("""COMPUTED_VALUE"""),4.0)</f>
        <v>4</v>
      </c>
      <c r="L1600" s="138">
        <v>28.0</v>
      </c>
      <c r="M1600" s="140" t="str">
        <f>VLOOKUP(text(D1600, "#"),'Master Table'!$A:$F, 6, FALSE)</f>
        <v>I-11</v>
      </c>
      <c r="N1600" s="141" t="str">
        <f>IFERROR(__xludf.DUMMYFUNCTION("""COMPUTED_VALUE"""),"Writing a play at the intersection of personal family history and world history is a exceptional undertaking. I was immediately struck by Alexis' passion for the project, her originality, and er perseverance in actually getting something like this done fr"&amp;"om start to finish through interviewing family members, to workshopping the script, to putting it on with a cast of actors at the SD Fringe Festival. I was impressed by her willingness to self-reflect and respond to feedback when making revisions to turn "&amp;"the play from more of list of historical events to a story that the audience can relate to even if it is far from their own lived experience. I would encourage Alexis to question assumptions as she continues these endeavors, perhaps interrogating the mean"&amp;"ing of ""American Dream"" and how it is perceived by many different communities, and whether it is something obtainable by some and not by others, and for what reasons. I was left really wanting to see the play and learn more about the history, which I th"&amp;"ink is the hallmark of successfully doing what Alexis set out to do.")</f>
        <v>Writing a play at the intersection of personal family history and world history is a exceptional undertaking. I was immediately struck by Alexis' passion for the project, her originality, and er perseverance in actually getting something like this done from start to finish through interviewing family members, to workshopping the script, to putting it on with a cast of actors at the SD Fringe Festival. I was impressed by her willingness to self-reflect and respond to feedback when making revisions to turn the play from more of list of historical events to a story that the audience can relate to even if it is far from their own lived experience. I would encourage Alexis to question assumptions as she continues these endeavors, perhaps interrogating the meaning of "American Dream" and how it is perceived by many different communities, and whether it is something obtainable by some and not by others, and for what reasons. I was left really wanting to see the play and learn more about the history, which I think is the hallmark of successfully doing what Alexis set out to do.</v>
      </c>
      <c r="O1600" s="142" t="str">
        <f t="shared" si="1"/>
        <v/>
      </c>
      <c r="P1600" s="143" t="str">
        <f>IF(ISNA(VLOOKUP(CONCAT(M1600,C1600), 'Judge Count DO NOT EDIT'!H:H, 1, FALSE)), "ERROR","")</f>
        <v/>
      </c>
      <c r="Q1600" s="141"/>
      <c r="R1600" s="143"/>
      <c r="S1600" s="139" t="str">
        <f t="shared" si="2"/>
        <v>1095611</v>
      </c>
      <c r="T1600" s="141"/>
    </row>
    <row r="1601">
      <c r="A1601" s="137">
        <f>IFERROR(__xludf.DUMMYFUNCTION("""COMPUTED_VALUE"""),45352.6679225463)</f>
        <v>45352.66792</v>
      </c>
      <c r="B1601" s="138" t="str">
        <f>IFERROR(__xludf.DUMMYFUNCTION("""COMPUTED_VALUE"""),"Mee Young Hong")</f>
        <v>Mee Young Hong</v>
      </c>
      <c r="C1601" s="138">
        <f>IFERROR(__xludf.DUMMYFUNCTION("""COMPUTED_VALUE"""),1108.0)</f>
        <v>1108</v>
      </c>
      <c r="D1601" s="139">
        <f>IFERROR(__xludf.DUMMYFUNCTION("""COMPUTED_VALUE"""),612.0)</f>
        <v>612</v>
      </c>
      <c r="E1601" s="138">
        <f>IFERROR(__xludf.DUMMYFUNCTION("""COMPUTED_VALUE"""),5.0)</f>
        <v>5</v>
      </c>
      <c r="F1601" s="138">
        <f>IFERROR(__xludf.DUMMYFUNCTION("""COMPUTED_VALUE"""),4.0)</f>
        <v>4</v>
      </c>
      <c r="G1601" s="138">
        <f>IFERROR(__xludf.DUMMYFUNCTION("""COMPUTED_VALUE"""),5.0)</f>
        <v>5</v>
      </c>
      <c r="H1601" s="138">
        <f>IFERROR(__xludf.DUMMYFUNCTION("""COMPUTED_VALUE"""),5.0)</f>
        <v>5</v>
      </c>
      <c r="I1601" s="138">
        <f>IFERROR(__xludf.DUMMYFUNCTION("""COMPUTED_VALUE"""),5.0)</f>
        <v>5</v>
      </c>
      <c r="J1601" s="138">
        <f>IFERROR(__xludf.DUMMYFUNCTION("""COMPUTED_VALUE"""),4.0)</f>
        <v>4</v>
      </c>
      <c r="K1601" s="138">
        <f>IFERROR(__xludf.DUMMYFUNCTION("""COMPUTED_VALUE"""),5.0)</f>
        <v>5</v>
      </c>
      <c r="L1601" s="138">
        <v>33.0</v>
      </c>
      <c r="M1601" s="140" t="str">
        <f>VLOOKUP(text(D1601, "#"),'Master Table'!$A:$F, 6, FALSE)</f>
        <v>I-11</v>
      </c>
      <c r="N1601" s="141" t="str">
        <f>IFERROR(__xludf.DUMMYFUNCTION("""COMPUTED_VALUE"""),"She did a great job in her poster presentation . In addition to the poster, she displayed a small scale of tranquil hub that helps to visualize het work. Looking forward to visiting her exhibition when she actually builds the unit. Nice job.")</f>
        <v>She did a great job in her poster presentation . In addition to the poster, she displayed a small scale of tranquil hub that helps to visualize het work. Looking forward to visiting her exhibition when she actually builds the unit. Nice job.</v>
      </c>
      <c r="O1601" s="142" t="str">
        <f t="shared" si="1"/>
        <v/>
      </c>
      <c r="P1601" s="143" t="str">
        <f>IF(ISNA(VLOOKUP(CONCAT(M1601,C1601), 'Judge Count DO NOT EDIT'!H:H, 1, FALSE)), "ERROR","")</f>
        <v/>
      </c>
      <c r="Q1601" s="141"/>
      <c r="R1601" s="143"/>
      <c r="S1601" s="139" t="str">
        <f t="shared" si="2"/>
        <v>1108612</v>
      </c>
      <c r="T1601" s="141"/>
    </row>
    <row r="1602">
      <c r="A1602" s="137">
        <f>IFERROR(__xludf.DUMMYFUNCTION("""COMPUTED_VALUE"""),45352.68367557871)</f>
        <v>45352.68368</v>
      </c>
      <c r="B1602" s="138" t="str">
        <f>IFERROR(__xludf.DUMMYFUNCTION("""COMPUTED_VALUE"""),"Susanne Clara Bard filling in for Natalie Mladenov")</f>
        <v>Susanne Clara Bard filling in for Natalie Mladenov</v>
      </c>
      <c r="C1602" s="138">
        <f>IFERROR(__xludf.DUMMYFUNCTION("""COMPUTED_VALUE"""),1095.0)</f>
        <v>1095</v>
      </c>
      <c r="D1602" s="139">
        <f>IFERROR(__xludf.DUMMYFUNCTION("""COMPUTED_VALUE"""),612.0)</f>
        <v>612</v>
      </c>
      <c r="E1602" s="138">
        <f>IFERROR(__xludf.DUMMYFUNCTION("""COMPUTED_VALUE"""),3.0)</f>
        <v>3</v>
      </c>
      <c r="F1602" s="138">
        <f>IFERROR(__xludf.DUMMYFUNCTION("""COMPUTED_VALUE"""),3.0)</f>
        <v>3</v>
      </c>
      <c r="G1602" s="138">
        <f>IFERROR(__xludf.DUMMYFUNCTION("""COMPUTED_VALUE"""),3.0)</f>
        <v>3</v>
      </c>
      <c r="H1602" s="138">
        <f>IFERROR(__xludf.DUMMYFUNCTION("""COMPUTED_VALUE"""),3.0)</f>
        <v>3</v>
      </c>
      <c r="I1602" s="138">
        <f>IFERROR(__xludf.DUMMYFUNCTION("""COMPUTED_VALUE"""),4.0)</f>
        <v>4</v>
      </c>
      <c r="J1602" s="138">
        <f>IFERROR(__xludf.DUMMYFUNCTION("""COMPUTED_VALUE"""),3.0)</f>
        <v>3</v>
      </c>
      <c r="K1602" s="138">
        <f>IFERROR(__xludf.DUMMYFUNCTION("""COMPUTED_VALUE"""),4.0)</f>
        <v>4</v>
      </c>
      <c r="L1602" s="138">
        <v>23.0</v>
      </c>
      <c r="M1602" s="140" t="str">
        <f>VLOOKUP(text(D1602, "#"),'Master Table'!$A:$F, 6, FALSE)</f>
        <v>I-11</v>
      </c>
      <c r="N1602" s="141" t="str">
        <f>IFERROR(__xludf.DUMMYFUNCTION("""COMPUTED_VALUE"""),"Presenting a conceptual idea for a real installation to be used by students is a challenging undertaking, and I feel Kerry met the challenge with creativity. It can be difficult to put all of these pieces of the puzzle together. I did feel a lack of clari"&amp;"fy in figuring out what the central objective with the visuals/objects/oral explanations alone, but reading the poster otself did a good job of clarifying that for me. I was impressed that Kerry drew on research in psychology and cited it even though this"&amp;" isn't a science  paper. However, after reading the hypothesis and methods, I was left not really knowing how the data was collected or analyzed. Were surveys taken before and after? How did you come to the conclusion that everyone had an improvement? I t"&amp;"hink if you present a project in the way, laying out hypothesis, methods and results, readers will expect that some kind of scientific analysis of the data will take place, even if it is for an M.F
A. project. I did feel like a lot of energy went into the"&amp;" project. I wasn't quite sure how the printed cards, though lovely, fit into the whole of the project. The collective artwork was quite beautiful and perhaps could be made more central to the presentation or aesthetic. There wasn't enough space and it fel"&amp;"t like the decluttering chart was obscured the visuals on the right side, and space limitations should be taken into account when doing presentations such as these, though it was refreshing to see a ""poster"" presentation using the 3-dimensional space ra"&amp;"ther than just being static on the wall. That made it more engaging. ")</f>
        <v>Presenting a conceptual idea for a real installation to be used by students is a challenging undertaking, and I feel Kerry met the challenge with creativity. It can be difficult to put all of these pieces of the puzzle together. I did feel a lack of clarify in figuring out what the central objective with the visuals/objects/oral explanations alone, but reading the poster otself did a good job of clarifying that for me. I was impressed that Kerry drew on research in psychology and cited it even though this isn't a science  paper. However, after reading the hypothesis and methods, I was left not really knowing how the data was collected or analyzed. Were surveys taken before and after? How did you come to the conclusion that everyone had an improvement? I think if you present a project in the way, laying out hypothesis, methods and results, readers will expect that some kind of scientific analysis of the data will take place, even if it is for an M.F
A. project. I did feel like a lot of energy went into the project. I wasn't quite sure how the printed cards, though lovely, fit into the whole of the project. The collective artwork was quite beautiful and perhaps could be made more central to the presentation or aesthetic. There wasn't enough space and it felt like the decluttering chart was obscured the visuals on the right side, and space limitations should be taken into account when doing presentations such as these, though it was refreshing to see a "poster" presentation using the 3-dimensional space rather than just being static on the wall. That made it more engaging. </v>
      </c>
      <c r="O1602" s="142" t="str">
        <f t="shared" si="1"/>
        <v/>
      </c>
      <c r="P1602" s="143" t="str">
        <f>IF(ISNA(VLOOKUP(CONCAT(M1602,C1602), 'Judge Count DO NOT EDIT'!H:H, 1, FALSE)), "ERROR","")</f>
        <v/>
      </c>
      <c r="Q1602" s="144"/>
      <c r="R1602" s="143"/>
      <c r="S1602" s="139" t="str">
        <f t="shared" si="2"/>
        <v>1095612</v>
      </c>
      <c r="T1602" s="141"/>
    </row>
    <row r="1603">
      <c r="A1603" s="137">
        <f>IFERROR(__xludf.DUMMYFUNCTION("""COMPUTED_VALUE"""),45352.54436331018)</f>
        <v>45352.54436</v>
      </c>
      <c r="B1603" s="138" t="str">
        <f>IFERROR(__xludf.DUMMYFUNCTION("""COMPUTED_VALUE"""),"Amor")</f>
        <v>Amor</v>
      </c>
      <c r="C1603" s="138">
        <f>IFERROR(__xludf.DUMMYFUNCTION("""COMPUTED_VALUE"""),1071.0)</f>
        <v>1071</v>
      </c>
      <c r="D1603" s="139">
        <f>IFERROR(__xludf.DUMMYFUNCTION("""COMPUTED_VALUE"""),701.0)</f>
        <v>701</v>
      </c>
      <c r="E1603" s="138">
        <f>IFERROR(__xludf.DUMMYFUNCTION("""COMPUTED_VALUE"""),2.0)</f>
        <v>2</v>
      </c>
      <c r="F1603" s="138">
        <f>IFERROR(__xludf.DUMMYFUNCTION("""COMPUTED_VALUE"""),2.0)</f>
        <v>2</v>
      </c>
      <c r="G1603" s="138">
        <f>IFERROR(__xludf.DUMMYFUNCTION("""COMPUTED_VALUE"""),3.0)</f>
        <v>3</v>
      </c>
      <c r="H1603" s="138">
        <f>IFERROR(__xludf.DUMMYFUNCTION("""COMPUTED_VALUE"""),2.0)</f>
        <v>2</v>
      </c>
      <c r="I1603" s="138">
        <f>IFERROR(__xludf.DUMMYFUNCTION("""COMPUTED_VALUE"""),2.0)</f>
        <v>2</v>
      </c>
      <c r="J1603" s="138">
        <f>IFERROR(__xludf.DUMMYFUNCTION("""COMPUTED_VALUE"""),3.0)</f>
        <v>3</v>
      </c>
      <c r="K1603" s="138">
        <f>IFERROR(__xludf.DUMMYFUNCTION("""COMPUTED_VALUE"""),3.0)</f>
        <v>3</v>
      </c>
      <c r="L1603" s="138">
        <v>17.0</v>
      </c>
      <c r="M1603" s="140" t="str">
        <f>VLOOKUP(text(D1603, "#"),'Master Table'!$A:$F, 6, FALSE)</f>
        <v>J-1</v>
      </c>
      <c r="N1603" s="141" t="str">
        <f>IFERROR(__xludf.DUMMYFUNCTION("""COMPUTED_VALUE"""),"The combination of colors used are very emotional. Love it!")</f>
        <v>The combination of colors used are very emotional. Love it!</v>
      </c>
      <c r="O1603" s="142" t="str">
        <f t="shared" si="1"/>
        <v/>
      </c>
      <c r="P1603" s="143" t="str">
        <f>IF(ISNA(VLOOKUP(CONCAT(M1603,C1603), 'Judge Count DO NOT EDIT'!H:H, 1, FALSE)), "ERROR","")</f>
        <v/>
      </c>
      <c r="Q1603" s="141"/>
      <c r="R1603" s="143"/>
      <c r="S1603" s="139" t="str">
        <f t="shared" si="2"/>
        <v>1071701</v>
      </c>
      <c r="T1603" s="141"/>
    </row>
    <row r="1604">
      <c r="A1604" s="137">
        <f>IFERROR(__xludf.DUMMYFUNCTION("""COMPUTED_VALUE"""),45352.48769146991)</f>
        <v>45352.48769</v>
      </c>
      <c r="B1604" s="138" t="str">
        <f>IFERROR(__xludf.DUMMYFUNCTION("""COMPUTED_VALUE"""),"Norah Shultz")</f>
        <v>Norah Shultz</v>
      </c>
      <c r="C1604" s="138">
        <f>IFERROR(__xludf.DUMMYFUNCTION("""COMPUTED_VALUE"""),1235.0)</f>
        <v>1235</v>
      </c>
      <c r="D1604" s="139">
        <f>IFERROR(__xludf.DUMMYFUNCTION("""COMPUTED_VALUE"""),701.0)</f>
        <v>701</v>
      </c>
      <c r="E1604" s="138">
        <f>IFERROR(__xludf.DUMMYFUNCTION("""COMPUTED_VALUE"""),3.0)</f>
        <v>3</v>
      </c>
      <c r="F1604" s="138">
        <f>IFERROR(__xludf.DUMMYFUNCTION("""COMPUTED_VALUE"""),4.0)</f>
        <v>4</v>
      </c>
      <c r="G1604" s="138">
        <f>IFERROR(__xludf.DUMMYFUNCTION("""COMPUTED_VALUE"""),4.0)</f>
        <v>4</v>
      </c>
      <c r="H1604" s="138">
        <f>IFERROR(__xludf.DUMMYFUNCTION("""COMPUTED_VALUE"""),3.0)</f>
        <v>3</v>
      </c>
      <c r="I1604" s="138">
        <f>IFERROR(__xludf.DUMMYFUNCTION("""COMPUTED_VALUE"""),3.0)</f>
        <v>3</v>
      </c>
      <c r="J1604" s="138">
        <f>IFERROR(__xludf.DUMMYFUNCTION("""COMPUTED_VALUE"""),3.0)</f>
        <v>3</v>
      </c>
      <c r="K1604" s="138">
        <f>IFERROR(__xludf.DUMMYFUNCTION("""COMPUTED_VALUE"""),4.0)</f>
        <v>4</v>
      </c>
      <c r="L1604" s="138">
        <v>24.0</v>
      </c>
      <c r="M1604" s="140" t="str">
        <f>VLOOKUP(text(D1604, "#"),'Master Table'!$A:$F, 6, FALSE)</f>
        <v>J-1</v>
      </c>
      <c r="N1604" s="141" t="str">
        <f>IFERROR(__xludf.DUMMYFUNCTION("""COMPUTED_VALUE"""),"This was a unique presentation. Once we began interacting the presenter became much more comfortable, engaged, and clear. The work itself showcased her own digital work but this could have been enhanced. If possible I would have liked to have seen more ba"&amp;"ckground on the accompanying iPad. It also would have been useful to have, either on the iPad or an accompanying description on a small poster board, outlining the process. Overall a unique product that would have benefitted tremendously with some additio"&amp;"ns to the presentation.")</f>
        <v>This was a unique presentation. Once we began interacting the presenter became much more comfortable, engaged, and clear. The work itself showcased her own digital work but this could have been enhanced. If possible I would have liked to have seen more background on the accompanying iPad. It also would have been useful to have, either on the iPad or an accompanying description on a small poster board, outlining the process. Overall a unique product that would have benefitted tremendously with some additions to the presentation.</v>
      </c>
      <c r="O1604" s="142" t="str">
        <f t="shared" si="1"/>
        <v/>
      </c>
      <c r="P1604" s="143" t="str">
        <f>IF(ISNA(VLOOKUP(CONCAT(M1604,C1604), 'Judge Count DO NOT EDIT'!H:H, 1, FALSE)), "ERROR","")</f>
        <v/>
      </c>
      <c r="Q1604" s="141"/>
      <c r="R1604" s="143"/>
      <c r="S1604" s="139" t="str">
        <f t="shared" si="2"/>
        <v>1235701</v>
      </c>
      <c r="T1604" s="141"/>
    </row>
    <row r="1605">
      <c r="A1605" s="137">
        <f>IFERROR(__xludf.DUMMYFUNCTION("""COMPUTED_VALUE"""),45352.49042091436)</f>
        <v>45352.49042</v>
      </c>
      <c r="B1605" s="138" t="str">
        <f>IFERROR(__xludf.DUMMYFUNCTION("""COMPUTED_VALUE"""),"Erik Valenzuela")</f>
        <v>Erik Valenzuela</v>
      </c>
      <c r="C1605" s="138">
        <f>IFERROR(__xludf.DUMMYFUNCTION("""COMPUTED_VALUE"""),1128.0)</f>
        <v>1128</v>
      </c>
      <c r="D1605" s="139">
        <f>IFERROR(__xludf.DUMMYFUNCTION("""COMPUTED_VALUE"""),701.0)</f>
        <v>701</v>
      </c>
      <c r="E1605" s="138">
        <f>IFERROR(__xludf.DUMMYFUNCTION("""COMPUTED_VALUE"""),5.0)</f>
        <v>5</v>
      </c>
      <c r="F1605" s="138">
        <f>IFERROR(__xludf.DUMMYFUNCTION("""COMPUTED_VALUE"""),5.0)</f>
        <v>5</v>
      </c>
      <c r="G1605" s="138">
        <f>IFERROR(__xludf.DUMMYFUNCTION("""COMPUTED_VALUE"""),4.0)</f>
        <v>4</v>
      </c>
      <c r="H1605" s="138">
        <f>IFERROR(__xludf.DUMMYFUNCTION("""COMPUTED_VALUE"""),4.0)</f>
        <v>4</v>
      </c>
      <c r="I1605" s="138">
        <f>IFERROR(__xludf.DUMMYFUNCTION("""COMPUTED_VALUE"""),5.0)</f>
        <v>5</v>
      </c>
      <c r="J1605" s="138">
        <f>IFERROR(__xludf.DUMMYFUNCTION("""COMPUTED_VALUE"""),5.0)</f>
        <v>5</v>
      </c>
      <c r="K1605" s="138">
        <f>IFERROR(__xludf.DUMMYFUNCTION("""COMPUTED_VALUE"""),5.0)</f>
        <v>5</v>
      </c>
      <c r="L1605" s="138">
        <v>33.0</v>
      </c>
      <c r="M1605" s="140" t="str">
        <f>VLOOKUP(text(D1605, "#"),'Master Table'!$A:$F, 6, FALSE)</f>
        <v>J-1</v>
      </c>
      <c r="N1605" s="141" t="str">
        <f>IFERROR(__xludf.DUMMYFUNCTION("""COMPUTED_VALUE"""),"Anisa provided an amazing exhibit about her grandmother’s artwork and how she went about creating the piece digitally. She points to the influence of her mother and grandmother, and how during the process, she developed a closer bond with her grandmother."&amp;" Anisa spoke very clearly of her influences and her motivation, but she also provided the audience with a deeper and profound way of seeing her art piece. She did an amazing job. ")</f>
        <v>Anisa provided an amazing exhibit about her grandmother’s artwork and how she went about creating the piece digitally. She points to the influence of her mother and grandmother, and how during the process, she developed a closer bond with her grandmother. Anisa spoke very clearly of her influences and her motivation, but she also provided the audience with a deeper and profound way of seeing her art piece. She did an amazing job. </v>
      </c>
      <c r="O1605" s="142" t="str">
        <f t="shared" si="1"/>
        <v/>
      </c>
      <c r="P1605" s="143" t="str">
        <f>IF(ISNA(VLOOKUP(CONCAT(M1605,C1605), 'Judge Count DO NOT EDIT'!H:H, 1, FALSE)), "ERROR","")</f>
        <v/>
      </c>
      <c r="Q1605" s="141"/>
      <c r="R1605" s="143"/>
      <c r="S1605" s="139" t="str">
        <f t="shared" si="2"/>
        <v>1128701</v>
      </c>
      <c r="T1605" s="141"/>
    </row>
    <row r="1606">
      <c r="A1606" s="137">
        <f>IFERROR(__xludf.DUMMYFUNCTION("""COMPUTED_VALUE"""),45352.51666019676)</f>
        <v>45352.51666</v>
      </c>
      <c r="B1606" s="138" t="str">
        <f>IFERROR(__xludf.DUMMYFUNCTION("""COMPUTED_VALUE"""),"Nathan Lindsay")</f>
        <v>Nathan Lindsay</v>
      </c>
      <c r="C1606" s="138">
        <f>IFERROR(__xludf.DUMMYFUNCTION("""COMPUTED_VALUE"""),1119.0)</f>
        <v>1119</v>
      </c>
      <c r="D1606" s="139">
        <f>IFERROR(__xludf.DUMMYFUNCTION("""COMPUTED_VALUE"""),701.0)</f>
        <v>701</v>
      </c>
      <c r="E1606" s="138">
        <f>IFERROR(__xludf.DUMMYFUNCTION("""COMPUTED_VALUE"""),4.0)</f>
        <v>4</v>
      </c>
      <c r="F1606" s="138">
        <f>IFERROR(__xludf.DUMMYFUNCTION("""COMPUTED_VALUE"""),4.0)</f>
        <v>4</v>
      </c>
      <c r="G1606" s="138">
        <f>IFERROR(__xludf.DUMMYFUNCTION("""COMPUTED_VALUE"""),3.0)</f>
        <v>3</v>
      </c>
      <c r="H1606" s="138">
        <f>IFERROR(__xludf.DUMMYFUNCTION("""COMPUTED_VALUE"""),4.0)</f>
        <v>4</v>
      </c>
      <c r="I1606" s="138">
        <f>IFERROR(__xludf.DUMMYFUNCTION("""COMPUTED_VALUE"""),4.0)</f>
        <v>4</v>
      </c>
      <c r="J1606" s="138">
        <f>IFERROR(__xludf.DUMMYFUNCTION("""COMPUTED_VALUE"""),4.0)</f>
        <v>4</v>
      </c>
      <c r="K1606" s="138">
        <f>IFERROR(__xludf.DUMMYFUNCTION("""COMPUTED_VALUE"""),4.0)</f>
        <v>4</v>
      </c>
      <c r="L1606" s="138">
        <v>27.0</v>
      </c>
      <c r="M1606" s="140" t="str">
        <f>VLOOKUP(text(D1606, "#"),'Master Table'!$A:$F, 6, FALSE)</f>
        <v>J-1</v>
      </c>
      <c r="N1606" s="141" t="str">
        <f>IFERROR(__xludf.DUMMYFUNCTION("""COMPUTED_VALUE"""),"Presenter's art work expressed personal connection with family. The connection with family and the evolution of the experience in crafting kinship through art was expressed. Would have liked to hear how this approach to creating digital art could be adapt"&amp;"ed as service to others seeking to connect with loved ones. ")</f>
        <v>Presenter's art work expressed personal connection with family. The connection with family and the evolution of the experience in crafting kinship through art was expressed. Would have liked to hear how this approach to creating digital art could be adapted as service to others seeking to connect with loved ones. </v>
      </c>
      <c r="O1606" s="142" t="str">
        <f t="shared" si="1"/>
        <v/>
      </c>
      <c r="P1606" s="143" t="str">
        <f>IF(ISNA(VLOOKUP(CONCAT(M1606,C1606), 'Judge Count DO NOT EDIT'!H:H, 1, FALSE)), "ERROR","")</f>
        <v/>
      </c>
      <c r="Q1606" s="141"/>
      <c r="R1606" s="143"/>
      <c r="S1606" s="139" t="str">
        <f t="shared" si="2"/>
        <v>1119701</v>
      </c>
      <c r="T1606" s="141"/>
    </row>
    <row r="1607">
      <c r="A1607" s="137">
        <f>IFERROR(__xludf.DUMMYFUNCTION("""COMPUTED_VALUE"""),45352.46985039352)</f>
        <v>45352.46985</v>
      </c>
      <c r="B1607" s="138" t="str">
        <f>IFERROR(__xludf.DUMMYFUNCTION("""COMPUTED_VALUE"""),"Amor")</f>
        <v>Amor</v>
      </c>
      <c r="C1607" s="138">
        <f>IFERROR(__xludf.DUMMYFUNCTION("""COMPUTED_VALUE"""),1071.0)</f>
        <v>1071</v>
      </c>
      <c r="D1607" s="139">
        <f>IFERROR(__xludf.DUMMYFUNCTION("""COMPUTED_VALUE"""),702.0)</f>
        <v>702</v>
      </c>
      <c r="E1607" s="138">
        <f>IFERROR(__xludf.DUMMYFUNCTION("""COMPUTED_VALUE"""),3.0)</f>
        <v>3</v>
      </c>
      <c r="F1607" s="138">
        <f>IFERROR(__xludf.DUMMYFUNCTION("""COMPUTED_VALUE"""),3.0)</f>
        <v>3</v>
      </c>
      <c r="G1607" s="138">
        <f>IFERROR(__xludf.DUMMYFUNCTION("""COMPUTED_VALUE"""),4.0)</f>
        <v>4</v>
      </c>
      <c r="H1607" s="138">
        <f>IFERROR(__xludf.DUMMYFUNCTION("""COMPUTED_VALUE"""),3.0)</f>
        <v>3</v>
      </c>
      <c r="I1607" s="138">
        <f>IFERROR(__xludf.DUMMYFUNCTION("""COMPUTED_VALUE"""),4.0)</f>
        <v>4</v>
      </c>
      <c r="J1607" s="138">
        <f>IFERROR(__xludf.DUMMYFUNCTION("""COMPUTED_VALUE"""),3.0)</f>
        <v>3</v>
      </c>
      <c r="K1607" s="138">
        <f>IFERROR(__xludf.DUMMYFUNCTION("""COMPUTED_VALUE"""),3.0)</f>
        <v>3</v>
      </c>
      <c r="L1607" s="138">
        <v>23.0</v>
      </c>
      <c r="M1607" s="140" t="str">
        <f>VLOOKUP(text(D1607, "#"),'Master Table'!$A:$F, 6, FALSE)</f>
        <v>J-1</v>
      </c>
      <c r="N1607" s="141" t="str">
        <f>IFERROR(__xludf.DUMMYFUNCTION("""COMPUTED_VALUE"""),"Congratulations! Love the concept!")</f>
        <v>Congratulations! Love the concept!</v>
      </c>
      <c r="O1607" s="142" t="str">
        <f t="shared" si="1"/>
        <v/>
      </c>
      <c r="P1607" s="143" t="str">
        <f>IF(ISNA(VLOOKUP(CONCAT(M1607,C1607), 'Judge Count DO NOT EDIT'!H:H, 1, FALSE)), "ERROR","")</f>
        <v/>
      </c>
      <c r="Q1607" s="141"/>
      <c r="R1607" s="143"/>
      <c r="S1607" s="139" t="str">
        <f t="shared" si="2"/>
        <v>1071702</v>
      </c>
      <c r="T1607" s="141"/>
    </row>
    <row r="1608">
      <c r="A1608" s="137">
        <f>IFERROR(__xludf.DUMMYFUNCTION("""COMPUTED_VALUE"""),45352.48624908565)</f>
        <v>45352.48625</v>
      </c>
      <c r="B1608" s="138" t="str">
        <f>IFERROR(__xludf.DUMMYFUNCTION("""COMPUTED_VALUE"""),"Erik Valenzuela")</f>
        <v>Erik Valenzuela</v>
      </c>
      <c r="C1608" s="138">
        <f>IFERROR(__xludf.DUMMYFUNCTION("""COMPUTED_VALUE"""),1128.0)</f>
        <v>1128</v>
      </c>
      <c r="D1608" s="139">
        <f>IFERROR(__xludf.DUMMYFUNCTION("""COMPUTED_VALUE"""),702.0)</f>
        <v>702</v>
      </c>
      <c r="E1608" s="138">
        <f>IFERROR(__xludf.DUMMYFUNCTION("""COMPUTED_VALUE"""),5.0)</f>
        <v>5</v>
      </c>
      <c r="F1608" s="138">
        <f>IFERROR(__xludf.DUMMYFUNCTION("""COMPUTED_VALUE"""),5.0)</f>
        <v>5</v>
      </c>
      <c r="G1608" s="138">
        <f>IFERROR(__xludf.DUMMYFUNCTION("""COMPUTED_VALUE"""),5.0)</f>
        <v>5</v>
      </c>
      <c r="H1608" s="138">
        <f>IFERROR(__xludf.DUMMYFUNCTION("""COMPUTED_VALUE"""),5.0)</f>
        <v>5</v>
      </c>
      <c r="I1608" s="138">
        <f>IFERROR(__xludf.DUMMYFUNCTION("""COMPUTED_VALUE"""),5.0)</f>
        <v>5</v>
      </c>
      <c r="J1608" s="138">
        <f>IFERROR(__xludf.DUMMYFUNCTION("""COMPUTED_VALUE"""),5.0)</f>
        <v>5</v>
      </c>
      <c r="K1608" s="138">
        <f>IFERROR(__xludf.DUMMYFUNCTION("""COMPUTED_VALUE"""),5.0)</f>
        <v>5</v>
      </c>
      <c r="L1608" s="138">
        <v>35.0</v>
      </c>
      <c r="M1608" s="140" t="str">
        <f>VLOOKUP(text(D1608, "#"),'Master Table'!$A:$F, 6, FALSE)</f>
        <v>J-1</v>
      </c>
      <c r="N1608" s="141" t="str">
        <f>IFERROR(__xludf.DUMMYFUNCTION("""COMPUTED_VALUE"""),"Kieran showcased a wonderful exhibit relating to their work within National City and branding. Kieran was able to tie in their experiences of growing up in a similar community and piece together an artistic, thoughtful, and intricate exhibit. One that I b"&amp;"elieve will have a positive impact on the communities with National City and beyond. ")</f>
        <v>Kieran showcased a wonderful exhibit relating to their work within National City and branding. Kieran was able to tie in their experiences of growing up in a similar community and piece together an artistic, thoughtful, and intricate exhibit. One that I believe will have a positive impact on the communities with National City and beyond. </v>
      </c>
      <c r="O1608" s="142" t="str">
        <f t="shared" si="1"/>
        <v/>
      </c>
      <c r="P1608" s="143" t="str">
        <f>IF(ISNA(VLOOKUP(CONCAT(M1608,C1608), 'Judge Count DO NOT EDIT'!H:H, 1, FALSE)), "ERROR","")</f>
        <v/>
      </c>
      <c r="Q1608" s="141"/>
      <c r="R1608" s="143"/>
      <c r="S1608" s="139" t="str">
        <f t="shared" si="2"/>
        <v>1128702</v>
      </c>
      <c r="T1608" s="141"/>
    </row>
    <row r="1609">
      <c r="A1609" s="137">
        <f>IFERROR(__xludf.DUMMYFUNCTION("""COMPUTED_VALUE"""),45352.49017498843)</f>
        <v>45352.49017</v>
      </c>
      <c r="B1609" s="138" t="str">
        <f>IFERROR(__xludf.DUMMYFUNCTION("""COMPUTED_VALUE"""),"Norah Shultz")</f>
        <v>Norah Shultz</v>
      </c>
      <c r="C1609" s="138">
        <f>IFERROR(__xludf.DUMMYFUNCTION("""COMPUTED_VALUE"""),1235.0)</f>
        <v>1235</v>
      </c>
      <c r="D1609" s="139">
        <f>IFERROR(__xludf.DUMMYFUNCTION("""COMPUTED_VALUE"""),702.0)</f>
        <v>702</v>
      </c>
      <c r="E1609" s="138">
        <f>IFERROR(__xludf.DUMMYFUNCTION("""COMPUTED_VALUE"""),5.0)</f>
        <v>5</v>
      </c>
      <c r="F1609" s="138">
        <f>IFERROR(__xludf.DUMMYFUNCTION("""COMPUTED_VALUE"""),5.0)</f>
        <v>5</v>
      </c>
      <c r="G1609" s="138">
        <f>IFERROR(__xludf.DUMMYFUNCTION("""COMPUTED_VALUE"""),5.0)</f>
        <v>5</v>
      </c>
      <c r="H1609" s="138">
        <f>IFERROR(__xludf.DUMMYFUNCTION("""COMPUTED_VALUE"""),5.0)</f>
        <v>5</v>
      </c>
      <c r="I1609" s="138">
        <f>IFERROR(__xludf.DUMMYFUNCTION("""COMPUTED_VALUE"""),5.0)</f>
        <v>5</v>
      </c>
      <c r="J1609" s="138">
        <f>IFERROR(__xludf.DUMMYFUNCTION("""COMPUTED_VALUE"""),5.0)</f>
        <v>5</v>
      </c>
      <c r="K1609" s="138">
        <f>IFERROR(__xludf.DUMMYFUNCTION("""COMPUTED_VALUE"""),5.0)</f>
        <v>5</v>
      </c>
      <c r="L1609" s="138">
        <v>35.0</v>
      </c>
      <c r="M1609" s="140" t="str">
        <f>VLOOKUP(text(D1609, "#"),'Master Table'!$A:$F, 6, FALSE)</f>
        <v>J-1</v>
      </c>
      <c r="N1609" s="141" t="str">
        <f>IFERROR(__xludf.DUMMYFUNCTION("""COMPUTED_VALUE"""),"What an exceptional presentation and piece of work. Admittedly I have been involved in the overall project from which this graphic design was a part but I truly do not believe that impacts my scoring. The posters were beautifully designed, the artist was "&amp;"able to discuss every aspect of the work fully without prompting, and it is a blend of intellectual rigor and design that fits the needs of a community group. Kudos.")</f>
        <v>What an exceptional presentation and piece of work. Admittedly I have been involved in the overall project from which this graphic design was a part but I truly do not believe that impacts my scoring. The posters were beautifully designed, the artist was able to discuss every aspect of the work fully without prompting, and it is a blend of intellectual rigor and design that fits the needs of a community group. Kudos.</v>
      </c>
      <c r="O1609" s="142" t="str">
        <f t="shared" si="1"/>
        <v/>
      </c>
      <c r="P1609" s="143" t="str">
        <f>IF(ISNA(VLOOKUP(CONCAT(M1609,C1609), 'Judge Count DO NOT EDIT'!H:H, 1, FALSE)), "ERROR","")</f>
        <v/>
      </c>
      <c r="Q1609" s="141"/>
      <c r="R1609" s="143"/>
      <c r="S1609" s="139" t="str">
        <f t="shared" si="2"/>
        <v>1235702</v>
      </c>
      <c r="T1609" s="141"/>
    </row>
    <row r="1610">
      <c r="A1610" s="137">
        <f>IFERROR(__xludf.DUMMYFUNCTION("""COMPUTED_VALUE"""),45352.5147594213)</f>
        <v>45352.51476</v>
      </c>
      <c r="B1610" s="138" t="str">
        <f>IFERROR(__xludf.DUMMYFUNCTION("""COMPUTED_VALUE"""),"Nathan Lindsay")</f>
        <v>Nathan Lindsay</v>
      </c>
      <c r="C1610" s="138">
        <f>IFERROR(__xludf.DUMMYFUNCTION("""COMPUTED_VALUE"""),1119.0)</f>
        <v>1119</v>
      </c>
      <c r="D1610" s="139">
        <f>IFERROR(__xludf.DUMMYFUNCTION("""COMPUTED_VALUE"""),702.0)</f>
        <v>702</v>
      </c>
      <c r="E1610" s="138">
        <f>IFERROR(__xludf.DUMMYFUNCTION("""COMPUTED_VALUE"""),5.0)</f>
        <v>5</v>
      </c>
      <c r="F1610" s="138">
        <f>IFERROR(__xludf.DUMMYFUNCTION("""COMPUTED_VALUE"""),5.0)</f>
        <v>5</v>
      </c>
      <c r="G1610" s="138">
        <f>IFERROR(__xludf.DUMMYFUNCTION("""COMPUTED_VALUE"""),5.0)</f>
        <v>5</v>
      </c>
      <c r="H1610" s="138">
        <f>IFERROR(__xludf.DUMMYFUNCTION("""COMPUTED_VALUE"""),5.0)</f>
        <v>5</v>
      </c>
      <c r="I1610" s="138">
        <f>IFERROR(__xludf.DUMMYFUNCTION("""COMPUTED_VALUE"""),5.0)</f>
        <v>5</v>
      </c>
      <c r="J1610" s="138">
        <f>IFERROR(__xludf.DUMMYFUNCTION("""COMPUTED_VALUE"""),5.0)</f>
        <v>5</v>
      </c>
      <c r="K1610" s="138">
        <f>IFERROR(__xludf.DUMMYFUNCTION("""COMPUTED_VALUE"""),5.0)</f>
        <v>5</v>
      </c>
      <c r="L1610" s="138">
        <v>35.0</v>
      </c>
      <c r="M1610" s="140" t="str">
        <f>VLOOKUP(text(D1610, "#"),'Master Table'!$A:$F, 6, FALSE)</f>
        <v>J-1</v>
      </c>
      <c r="N1610" s="141" t="str">
        <f>IFERROR(__xludf.DUMMYFUNCTION("""COMPUTED_VALUE"""),"Presenter is a graphic design student whose exhibition work is active in the community of National City. The presenter's passion, planning, and staging were excellent. An explanation of the design elements and rationale were offered, as well as successful"&amp;"ly illustrating how the work carves a stake in the community and its people.")</f>
        <v>Presenter is a graphic design student whose exhibition work is active in the community of National City. The presenter's passion, planning, and staging were excellent. An explanation of the design elements and rationale were offered, as well as successfully illustrating how the work carves a stake in the community and its people.</v>
      </c>
      <c r="O1610" s="142" t="str">
        <f t="shared" si="1"/>
        <v/>
      </c>
      <c r="P1610" s="143" t="str">
        <f>IF(ISNA(VLOOKUP(CONCAT(M1610,C1610), 'Judge Count DO NOT EDIT'!H:H, 1, FALSE)), "ERROR","")</f>
        <v/>
      </c>
      <c r="Q1610" s="141"/>
      <c r="R1610" s="143"/>
      <c r="S1610" s="139" t="str">
        <f t="shared" si="2"/>
        <v>1119702</v>
      </c>
      <c r="T1610" s="141"/>
    </row>
    <row r="1611">
      <c r="A1611" s="137">
        <f>IFERROR(__xludf.DUMMYFUNCTION("""COMPUTED_VALUE"""),45352.645237777775)</f>
        <v>45352.64524</v>
      </c>
      <c r="B1611" s="138" t="str">
        <f>IFERROR(__xludf.DUMMYFUNCTION("""COMPUTED_VALUE"""),"Iren Tete")</f>
        <v>Iren Tete</v>
      </c>
      <c r="C1611" s="138">
        <f>IFERROR(__xludf.DUMMYFUNCTION("""COMPUTED_VALUE"""),1131.0)</f>
        <v>1131</v>
      </c>
      <c r="D1611" s="139">
        <f>IFERROR(__xludf.DUMMYFUNCTION("""COMPUTED_VALUE"""),703.0)</f>
        <v>703</v>
      </c>
      <c r="E1611" s="138">
        <f>IFERROR(__xludf.DUMMYFUNCTION("""COMPUTED_VALUE"""),4.0)</f>
        <v>4</v>
      </c>
      <c r="F1611" s="138">
        <f>IFERROR(__xludf.DUMMYFUNCTION("""COMPUTED_VALUE"""),3.0)</f>
        <v>3</v>
      </c>
      <c r="G1611" s="138">
        <f>IFERROR(__xludf.DUMMYFUNCTION("""COMPUTED_VALUE"""),4.0)</f>
        <v>4</v>
      </c>
      <c r="H1611" s="138">
        <f>IFERROR(__xludf.DUMMYFUNCTION("""COMPUTED_VALUE"""),4.0)</f>
        <v>4</v>
      </c>
      <c r="I1611" s="138">
        <f>IFERROR(__xludf.DUMMYFUNCTION("""COMPUTED_VALUE"""),4.0)</f>
        <v>4</v>
      </c>
      <c r="J1611" s="138">
        <f>IFERROR(__xludf.DUMMYFUNCTION("""COMPUTED_VALUE"""),3.0)</f>
        <v>3</v>
      </c>
      <c r="K1611" s="138">
        <f>IFERROR(__xludf.DUMMYFUNCTION("""COMPUTED_VALUE"""),4.0)</f>
        <v>4</v>
      </c>
      <c r="L1611" s="138">
        <v>26.0</v>
      </c>
      <c r="M1611" s="140" t="str">
        <f>VLOOKUP(text(D1611, "#"),'Master Table'!$A:$F, 6, FALSE)</f>
        <v>J-2</v>
      </c>
      <c r="N1611" s="141" t="str">
        <f>IFERROR(__xludf.DUMMYFUNCTION("""COMPUTED_VALUE"""),"Well presented. It was clear that the student had prepared and was excited about their research.")</f>
        <v>Well presented. It was clear that the student had prepared and was excited about their research.</v>
      </c>
      <c r="O1611" s="142" t="str">
        <f t="shared" si="1"/>
        <v/>
      </c>
      <c r="P1611" s="143" t="str">
        <f>IF(ISNA(VLOOKUP(CONCAT(M1611,C1611), 'Judge Count DO NOT EDIT'!H:H, 1, FALSE)), "ERROR","")</f>
        <v/>
      </c>
      <c r="Q1611" s="141"/>
      <c r="R1611" s="143"/>
      <c r="S1611" s="139" t="str">
        <f t="shared" si="2"/>
        <v>1131703</v>
      </c>
      <c r="T1611" s="141"/>
    </row>
    <row r="1612">
      <c r="A1612" s="137">
        <f>IFERROR(__xludf.DUMMYFUNCTION("""COMPUTED_VALUE"""),45352.64611706018)</f>
        <v>45352.64612</v>
      </c>
      <c r="B1612" s="138" t="str">
        <f>IFERROR(__xludf.DUMMYFUNCTION("""COMPUTED_VALUE"""),"Sara Cruz ")</f>
        <v>Sara Cruz </v>
      </c>
      <c r="C1612" s="138">
        <f>IFERROR(__xludf.DUMMYFUNCTION("""COMPUTED_VALUE"""),1197.0)</f>
        <v>1197</v>
      </c>
      <c r="D1612" s="139">
        <f>IFERROR(__xludf.DUMMYFUNCTION("""COMPUTED_VALUE"""),703.0)</f>
        <v>703</v>
      </c>
      <c r="E1612" s="138">
        <f>IFERROR(__xludf.DUMMYFUNCTION("""COMPUTED_VALUE"""),5.0)</f>
        <v>5</v>
      </c>
      <c r="F1612" s="138">
        <f>IFERROR(__xludf.DUMMYFUNCTION("""COMPUTED_VALUE"""),5.0)</f>
        <v>5</v>
      </c>
      <c r="G1612" s="138">
        <f>IFERROR(__xludf.DUMMYFUNCTION("""COMPUTED_VALUE"""),5.0)</f>
        <v>5</v>
      </c>
      <c r="H1612" s="138">
        <f>IFERROR(__xludf.DUMMYFUNCTION("""COMPUTED_VALUE"""),5.0)</f>
        <v>5</v>
      </c>
      <c r="I1612" s="138">
        <f>IFERROR(__xludf.DUMMYFUNCTION("""COMPUTED_VALUE"""),5.0)</f>
        <v>5</v>
      </c>
      <c r="J1612" s="138">
        <f>IFERROR(__xludf.DUMMYFUNCTION("""COMPUTED_VALUE"""),5.0)</f>
        <v>5</v>
      </c>
      <c r="K1612" s="138">
        <f>IFERROR(__xludf.DUMMYFUNCTION("""COMPUTED_VALUE"""),5.0)</f>
        <v>5</v>
      </c>
      <c r="L1612" s="138">
        <v>35.0</v>
      </c>
      <c r="M1612" s="140" t="str">
        <f>VLOOKUP(text(D1612, "#"),'Master Table'!$A:$F, 6, FALSE)</f>
        <v>J-2</v>
      </c>
      <c r="N1612" s="141" t="str">
        <f>IFERROR(__xludf.DUMMYFUNCTION("""COMPUTED_VALUE"""),"Presenter spoke with enthusiasm and was very knowledgeable of topic. ")</f>
        <v>Presenter spoke with enthusiasm and was very knowledgeable of topic. </v>
      </c>
      <c r="O1612" s="142" t="str">
        <f t="shared" si="1"/>
        <v/>
      </c>
      <c r="P1612" s="143" t="str">
        <f>IF(ISNA(VLOOKUP(CONCAT(M1612,C1612), 'Judge Count DO NOT EDIT'!H:H, 1, FALSE)), "ERROR","")</f>
        <v/>
      </c>
      <c r="Q1612" s="141"/>
      <c r="R1612" s="143"/>
      <c r="S1612" s="139" t="str">
        <f t="shared" si="2"/>
        <v>1197703</v>
      </c>
      <c r="T1612" s="141"/>
    </row>
    <row r="1613">
      <c r="A1613" s="137">
        <f>IFERROR(__xludf.DUMMYFUNCTION("""COMPUTED_VALUE"""),45352.67634689815)</f>
        <v>45352.67635</v>
      </c>
      <c r="B1613" s="138" t="str">
        <f>IFERROR(__xludf.DUMMYFUNCTION("""COMPUTED_VALUE"""),"Michael. Peddecord ")</f>
        <v>Michael. Peddecord </v>
      </c>
      <c r="C1613" s="138">
        <f>IFERROR(__xludf.DUMMYFUNCTION("""COMPUTED_VALUE"""),1035.0)</f>
        <v>1035</v>
      </c>
      <c r="D1613" s="139">
        <f>IFERROR(__xludf.DUMMYFUNCTION("""COMPUTED_VALUE"""),703.0)</f>
        <v>703</v>
      </c>
      <c r="E1613" s="138">
        <f>IFERROR(__xludf.DUMMYFUNCTION("""COMPUTED_VALUE"""),3.0)</f>
        <v>3</v>
      </c>
      <c r="F1613" s="138">
        <f>IFERROR(__xludf.DUMMYFUNCTION("""COMPUTED_VALUE"""),4.0)</f>
        <v>4</v>
      </c>
      <c r="G1613" s="138">
        <f>IFERROR(__xludf.DUMMYFUNCTION("""COMPUTED_VALUE"""),3.0)</f>
        <v>3</v>
      </c>
      <c r="H1613" s="138">
        <f>IFERROR(__xludf.DUMMYFUNCTION("""COMPUTED_VALUE"""),3.0)</f>
        <v>3</v>
      </c>
      <c r="I1613" s="138">
        <f>IFERROR(__xludf.DUMMYFUNCTION("""COMPUTED_VALUE"""),3.0)</f>
        <v>3</v>
      </c>
      <c r="J1613" s="138">
        <f>IFERROR(__xludf.DUMMYFUNCTION("""COMPUTED_VALUE"""),3.0)</f>
        <v>3</v>
      </c>
      <c r="K1613" s="138">
        <f>IFERROR(__xludf.DUMMYFUNCTION("""COMPUTED_VALUE"""),4.0)</f>
        <v>4</v>
      </c>
      <c r="L1613" s="138">
        <v>23.0</v>
      </c>
      <c r="M1613" s="140" t="str">
        <f>VLOOKUP(text(D1613, "#"),'Master Table'!$A:$F, 6, FALSE)</f>
        <v>J-2</v>
      </c>
      <c r="N1613" s="141" t="str">
        <f>IFERROR(__xludf.DUMMYFUNCTION("""COMPUTED_VALUE"""),"it's amazing to learn about the wide variety of talents at SDSU")</f>
        <v>it's amazing to learn about the wide variety of talents at SDSU</v>
      </c>
      <c r="O1613" s="142" t="str">
        <f t="shared" si="1"/>
        <v/>
      </c>
      <c r="P1613" s="143" t="str">
        <f>IF(ISNA(VLOOKUP(CONCAT(M1613,C1613), 'Judge Count DO NOT EDIT'!H:H, 1, FALSE)), "ERROR","")</f>
        <v/>
      </c>
      <c r="Q1613" s="141"/>
      <c r="R1613" s="143"/>
      <c r="S1613" s="139" t="str">
        <f t="shared" si="2"/>
        <v>1035703</v>
      </c>
      <c r="T1613" s="141"/>
    </row>
    <row r="1614">
      <c r="A1614" s="137">
        <f>IFERROR(__xludf.DUMMYFUNCTION("""COMPUTED_VALUE"""),45352.636240266205)</f>
        <v>45352.63624</v>
      </c>
      <c r="B1614" s="138" t="str">
        <f>IFERROR(__xludf.DUMMYFUNCTION("""COMPUTED_VALUE"""),"Sara Cruz ")</f>
        <v>Sara Cruz </v>
      </c>
      <c r="C1614" s="138">
        <f>IFERROR(__xludf.DUMMYFUNCTION("""COMPUTED_VALUE"""),1197.0)</f>
        <v>1197</v>
      </c>
      <c r="D1614" s="139">
        <f>IFERROR(__xludf.DUMMYFUNCTION("""COMPUTED_VALUE"""),705.0)</f>
        <v>705</v>
      </c>
      <c r="E1614" s="138">
        <f>IFERROR(__xludf.DUMMYFUNCTION("""COMPUTED_VALUE"""),5.0)</f>
        <v>5</v>
      </c>
      <c r="F1614" s="138">
        <f>IFERROR(__xludf.DUMMYFUNCTION("""COMPUTED_VALUE"""),5.0)</f>
        <v>5</v>
      </c>
      <c r="G1614" s="138">
        <f>IFERROR(__xludf.DUMMYFUNCTION("""COMPUTED_VALUE"""),4.0)</f>
        <v>4</v>
      </c>
      <c r="H1614" s="138">
        <f>IFERROR(__xludf.DUMMYFUNCTION("""COMPUTED_VALUE"""),5.0)</f>
        <v>5</v>
      </c>
      <c r="I1614" s="138">
        <f>IFERROR(__xludf.DUMMYFUNCTION("""COMPUTED_VALUE"""),5.0)</f>
        <v>5</v>
      </c>
      <c r="J1614" s="138">
        <f>IFERROR(__xludf.DUMMYFUNCTION("""COMPUTED_VALUE"""),5.0)</f>
        <v>5</v>
      </c>
      <c r="K1614" s="138">
        <f>IFERROR(__xludf.DUMMYFUNCTION("""COMPUTED_VALUE"""),5.0)</f>
        <v>5</v>
      </c>
      <c r="L1614" s="138">
        <v>34.0</v>
      </c>
      <c r="M1614" s="140" t="str">
        <f>VLOOKUP(text(D1614, "#"),'Master Table'!$A:$F, 6, FALSE)</f>
        <v>J-2</v>
      </c>
      <c r="N1614" s="141" t="str">
        <f>IFERROR(__xludf.DUMMYFUNCTION("""COMPUTED_VALUE"""),"Great exhibit presentation. Very knowledgeable and organized and was able to answer questions throughly.")</f>
        <v>Great exhibit presentation. Very knowledgeable and organized and was able to answer questions throughly.</v>
      </c>
      <c r="O1614" s="142" t="str">
        <f t="shared" si="1"/>
        <v/>
      </c>
      <c r="P1614" s="143" t="str">
        <f>IF(ISNA(VLOOKUP(CONCAT(M1614,C1614), 'Judge Count DO NOT EDIT'!H:H, 1, FALSE)), "ERROR","")</f>
        <v/>
      </c>
      <c r="Q1614" s="141"/>
      <c r="R1614" s="143"/>
      <c r="S1614" s="139" t="str">
        <f t="shared" si="2"/>
        <v>1197705</v>
      </c>
      <c r="T1614" s="141"/>
    </row>
    <row r="1615">
      <c r="A1615" s="137">
        <f>IFERROR(__xludf.DUMMYFUNCTION("""COMPUTED_VALUE"""),45352.637432256946)</f>
        <v>45352.63743</v>
      </c>
      <c r="B1615" s="138" t="str">
        <f>IFERROR(__xludf.DUMMYFUNCTION("""COMPUTED_VALUE"""),"Iren Tete")</f>
        <v>Iren Tete</v>
      </c>
      <c r="C1615" s="138">
        <f>IFERROR(__xludf.DUMMYFUNCTION("""COMPUTED_VALUE"""),1131.0)</f>
        <v>1131</v>
      </c>
      <c r="D1615" s="139">
        <f>IFERROR(__xludf.DUMMYFUNCTION("""COMPUTED_VALUE"""),705.0)</f>
        <v>705</v>
      </c>
      <c r="E1615" s="138">
        <f>IFERROR(__xludf.DUMMYFUNCTION("""COMPUTED_VALUE"""),4.0)</f>
        <v>4</v>
      </c>
      <c r="F1615" s="138">
        <f>IFERROR(__xludf.DUMMYFUNCTION("""COMPUTED_VALUE"""),3.0)</f>
        <v>3</v>
      </c>
      <c r="G1615" s="138">
        <f>IFERROR(__xludf.DUMMYFUNCTION("""COMPUTED_VALUE"""),3.0)</f>
        <v>3</v>
      </c>
      <c r="H1615" s="138">
        <f>IFERROR(__xludf.DUMMYFUNCTION("""COMPUTED_VALUE"""),3.0)</f>
        <v>3</v>
      </c>
      <c r="I1615" s="138">
        <f>IFERROR(__xludf.DUMMYFUNCTION("""COMPUTED_VALUE"""),4.0)</f>
        <v>4</v>
      </c>
      <c r="J1615" s="138">
        <f>IFERROR(__xludf.DUMMYFUNCTION("""COMPUTED_VALUE"""),5.0)</f>
        <v>5</v>
      </c>
      <c r="K1615" s="138">
        <f>IFERROR(__xludf.DUMMYFUNCTION("""COMPUTED_VALUE"""),5.0)</f>
        <v>5</v>
      </c>
      <c r="L1615" s="138">
        <v>27.0</v>
      </c>
      <c r="M1615" s="140" t="str">
        <f>VLOOKUP(text(D1615, "#"),'Master Table'!$A:$F, 6, FALSE)</f>
        <v>J-2</v>
      </c>
      <c r="N1615" s="141" t="str">
        <f>IFERROR(__xludf.DUMMYFUNCTION("""COMPUTED_VALUE"""),"The presentation was organized and clear. The presenter was enthusiastic and well prepared to interact with the judges. They answered all questions well.
")</f>
        <v>The presentation was organized and clear. The presenter was enthusiastic and well prepared to interact with the judges. They answered all questions well.
</v>
      </c>
      <c r="O1615" s="142" t="str">
        <f t="shared" si="1"/>
        <v/>
      </c>
      <c r="P1615" s="143" t="str">
        <f>IF(ISNA(VLOOKUP(CONCAT(M1615,C1615), 'Judge Count DO NOT EDIT'!H:H, 1, FALSE)), "ERROR","")</f>
        <v/>
      </c>
      <c r="Q1615" s="141"/>
      <c r="R1615" s="143"/>
      <c r="S1615" s="139" t="str">
        <f t="shared" si="2"/>
        <v>1131705</v>
      </c>
      <c r="T1615" s="141"/>
    </row>
    <row r="1616">
      <c r="A1616" s="137">
        <f>IFERROR(__xludf.DUMMYFUNCTION("""COMPUTED_VALUE"""),45352.67780748842)</f>
        <v>45352.67781</v>
      </c>
      <c r="B1616" s="138" t="str">
        <f>IFERROR(__xludf.DUMMYFUNCTION("""COMPUTED_VALUE"""),"Michael Peddecord ")</f>
        <v>Michael Peddecord </v>
      </c>
      <c r="C1616" s="138">
        <f>IFERROR(__xludf.DUMMYFUNCTION("""COMPUTED_VALUE"""),1035.0)</f>
        <v>1035</v>
      </c>
      <c r="D1616" s="139">
        <f>IFERROR(__xludf.DUMMYFUNCTION("""COMPUTED_VALUE"""),705.0)</f>
        <v>705</v>
      </c>
      <c r="E1616" s="138">
        <f>IFERROR(__xludf.DUMMYFUNCTION("""COMPUTED_VALUE"""),4.0)</f>
        <v>4</v>
      </c>
      <c r="F1616" s="138">
        <f>IFERROR(__xludf.DUMMYFUNCTION("""COMPUTED_VALUE"""),5.0)</f>
        <v>5</v>
      </c>
      <c r="G1616" s="138">
        <f>IFERROR(__xludf.DUMMYFUNCTION("""COMPUTED_VALUE"""),3.0)</f>
        <v>3</v>
      </c>
      <c r="H1616" s="138">
        <f>IFERROR(__xludf.DUMMYFUNCTION("""COMPUTED_VALUE"""),3.0)</f>
        <v>3</v>
      </c>
      <c r="I1616" s="138">
        <f>IFERROR(__xludf.DUMMYFUNCTION("""COMPUTED_VALUE"""),4.0)</f>
        <v>4</v>
      </c>
      <c r="J1616" s="138">
        <f>IFERROR(__xludf.DUMMYFUNCTION("""COMPUTED_VALUE"""),4.0)</f>
        <v>4</v>
      </c>
      <c r="K1616" s="138">
        <f>IFERROR(__xludf.DUMMYFUNCTION("""COMPUTED_VALUE"""),4.0)</f>
        <v>4</v>
      </c>
      <c r="L1616" s="138">
        <v>27.0</v>
      </c>
      <c r="M1616" s="140" t="str">
        <f>VLOOKUP(text(D1616, "#"),'Master Table'!$A:$F, 6, FALSE)</f>
        <v>J-2</v>
      </c>
      <c r="N1616" s="141" t="str">
        <f>IFERROR(__xludf.DUMMYFUNCTION("""COMPUTED_VALUE"""),"Cutting edge art use ChatGPT")</f>
        <v>Cutting edge art use ChatGPT</v>
      </c>
      <c r="O1616" s="142" t="str">
        <f t="shared" si="1"/>
        <v/>
      </c>
      <c r="P1616" s="143" t="str">
        <f>IF(ISNA(VLOOKUP(CONCAT(M1616,C1616), 'Judge Count DO NOT EDIT'!H:H, 1, FALSE)), "ERROR","")</f>
        <v/>
      </c>
      <c r="Q1616" s="141"/>
      <c r="R1616" s="143"/>
      <c r="S1616" s="139" t="str">
        <f t="shared" si="2"/>
        <v>1035705</v>
      </c>
      <c r="T1616" s="141"/>
    </row>
    <row r="1617">
      <c r="A1617" s="138"/>
      <c r="B1617" s="138"/>
      <c r="C1617" s="138"/>
      <c r="D1617" s="139"/>
      <c r="E1617" s="138">
        <f>IFERROR(__xludf.DUMMYFUNCTION("""COMPUTED_VALUE"""),0.0)</f>
        <v>0</v>
      </c>
      <c r="F1617" s="138">
        <f>IFERROR(__xludf.DUMMYFUNCTION("""COMPUTED_VALUE"""),0.0)</f>
        <v>0</v>
      </c>
      <c r="G1617" s="138">
        <f>IFERROR(__xludf.DUMMYFUNCTION("""COMPUTED_VALUE"""),0.0)</f>
        <v>0</v>
      </c>
      <c r="H1617" s="138">
        <f>IFERROR(__xludf.DUMMYFUNCTION("""COMPUTED_VALUE"""),0.0)</f>
        <v>0</v>
      </c>
      <c r="I1617" s="138">
        <f>IFERROR(__xludf.DUMMYFUNCTION("""COMPUTED_VALUE"""),0.0)</f>
        <v>0</v>
      </c>
      <c r="J1617" s="138">
        <f>IFERROR(__xludf.DUMMYFUNCTION("""COMPUTED_VALUE"""),0.0)</f>
        <v>0</v>
      </c>
      <c r="K1617" s="138">
        <f>IFERROR(__xludf.DUMMYFUNCTION("""COMPUTED_VALUE"""),0.0)</f>
        <v>0</v>
      </c>
      <c r="L1617" s="138">
        <v>0.0</v>
      </c>
      <c r="M1617" s="140" t="str">
        <f>VLOOKUP(text(D1617, "#"),'Master Table'!$A:$F, 6, FALSE)</f>
        <v>#N/A</v>
      </c>
      <c r="N1617" s="141"/>
      <c r="O1617" s="142" t="str">
        <f t="shared" si="1"/>
        <v>TRUE</v>
      </c>
      <c r="P1617" s="143" t="str">
        <f>IF(ISNA(VLOOKUP(CONCAT(M1617,C1617), 'Judge Count DO NOT EDIT'!H:H, 1, FALSE)), "ERROR","")</f>
        <v>ERROR</v>
      </c>
      <c r="Q1617" s="141"/>
      <c r="R1617" s="143"/>
      <c r="S1617" s="139" t="str">
        <f t="shared" si="2"/>
        <v/>
      </c>
      <c r="T1617" s="141"/>
    </row>
    <row r="1618">
      <c r="A1618" s="138"/>
      <c r="B1618" s="138"/>
      <c r="C1618" s="138"/>
      <c r="D1618" s="139"/>
      <c r="E1618" s="138">
        <f>IFERROR(__xludf.DUMMYFUNCTION("""COMPUTED_VALUE"""),0.0)</f>
        <v>0</v>
      </c>
      <c r="F1618" s="138">
        <f>IFERROR(__xludf.DUMMYFUNCTION("""COMPUTED_VALUE"""),0.0)</f>
        <v>0</v>
      </c>
      <c r="G1618" s="138">
        <f>IFERROR(__xludf.DUMMYFUNCTION("""COMPUTED_VALUE"""),0.0)</f>
        <v>0</v>
      </c>
      <c r="H1618" s="138">
        <f>IFERROR(__xludf.DUMMYFUNCTION("""COMPUTED_VALUE"""),0.0)</f>
        <v>0</v>
      </c>
      <c r="I1618" s="138">
        <f>IFERROR(__xludf.DUMMYFUNCTION("""COMPUTED_VALUE"""),0.0)</f>
        <v>0</v>
      </c>
      <c r="J1618" s="138">
        <f>IFERROR(__xludf.DUMMYFUNCTION("""COMPUTED_VALUE"""),0.0)</f>
        <v>0</v>
      </c>
      <c r="K1618" s="138">
        <f>IFERROR(__xludf.DUMMYFUNCTION("""COMPUTED_VALUE"""),0.0)</f>
        <v>0</v>
      </c>
      <c r="L1618" s="138">
        <v>0.0</v>
      </c>
      <c r="M1618" s="140" t="str">
        <f>VLOOKUP(text(D1618, "#"),'Master Table'!$A:$F, 6, FALSE)</f>
        <v>#N/A</v>
      </c>
      <c r="N1618" s="141"/>
      <c r="O1618" s="142" t="str">
        <f t="shared" si="1"/>
        <v>TRUE</v>
      </c>
      <c r="P1618" s="143" t="str">
        <f>IF(ISNA(VLOOKUP(CONCAT(M1618,C1618), 'Judge Count DO NOT EDIT'!H:H, 1, FALSE)), "ERROR","")</f>
        <v>ERROR</v>
      </c>
      <c r="Q1618" s="141"/>
      <c r="R1618" s="143"/>
      <c r="S1618" s="139" t="str">
        <f t="shared" si="2"/>
        <v/>
      </c>
      <c r="T1618" s="141"/>
    </row>
    <row r="1619">
      <c r="A1619" s="138"/>
      <c r="B1619" s="138"/>
      <c r="C1619" s="138"/>
      <c r="D1619" s="139"/>
      <c r="E1619" s="138">
        <f>IFERROR(__xludf.DUMMYFUNCTION("""COMPUTED_VALUE"""),0.0)</f>
        <v>0</v>
      </c>
      <c r="F1619" s="138">
        <f>IFERROR(__xludf.DUMMYFUNCTION("""COMPUTED_VALUE"""),0.0)</f>
        <v>0</v>
      </c>
      <c r="G1619" s="138">
        <f>IFERROR(__xludf.DUMMYFUNCTION("""COMPUTED_VALUE"""),0.0)</f>
        <v>0</v>
      </c>
      <c r="H1619" s="138">
        <f>IFERROR(__xludf.DUMMYFUNCTION("""COMPUTED_VALUE"""),0.0)</f>
        <v>0</v>
      </c>
      <c r="I1619" s="138">
        <f>IFERROR(__xludf.DUMMYFUNCTION("""COMPUTED_VALUE"""),0.0)</f>
        <v>0</v>
      </c>
      <c r="J1619" s="138">
        <f>IFERROR(__xludf.DUMMYFUNCTION("""COMPUTED_VALUE"""),0.0)</f>
        <v>0</v>
      </c>
      <c r="K1619" s="138">
        <f>IFERROR(__xludf.DUMMYFUNCTION("""COMPUTED_VALUE"""),0.0)</f>
        <v>0</v>
      </c>
      <c r="L1619" s="138">
        <v>0.0</v>
      </c>
      <c r="M1619" s="140" t="str">
        <f>VLOOKUP(text(D1619, "#"),'Master Table'!$A:$F, 6, FALSE)</f>
        <v>#N/A</v>
      </c>
      <c r="N1619" s="141"/>
      <c r="O1619" s="142" t="str">
        <f t="shared" si="1"/>
        <v>TRUE</v>
      </c>
      <c r="P1619" s="143" t="str">
        <f>IF(ISNA(VLOOKUP(CONCAT(M1619,C1619), 'Judge Count DO NOT EDIT'!H:H, 1, FALSE)), "ERROR","")</f>
        <v>ERROR</v>
      </c>
      <c r="Q1619" s="141"/>
      <c r="R1619" s="143"/>
      <c r="S1619" s="139" t="str">
        <f t="shared" si="2"/>
        <v/>
      </c>
      <c r="T1619" s="141"/>
    </row>
    <row r="1620">
      <c r="A1620" s="138"/>
      <c r="B1620" s="138"/>
      <c r="C1620" s="138"/>
      <c r="D1620" s="139"/>
      <c r="E1620" s="138">
        <f>IFERROR(__xludf.DUMMYFUNCTION("""COMPUTED_VALUE"""),0.0)</f>
        <v>0</v>
      </c>
      <c r="F1620" s="138">
        <f>IFERROR(__xludf.DUMMYFUNCTION("""COMPUTED_VALUE"""),0.0)</f>
        <v>0</v>
      </c>
      <c r="G1620" s="138">
        <f>IFERROR(__xludf.DUMMYFUNCTION("""COMPUTED_VALUE"""),0.0)</f>
        <v>0</v>
      </c>
      <c r="H1620" s="138">
        <f>IFERROR(__xludf.DUMMYFUNCTION("""COMPUTED_VALUE"""),0.0)</f>
        <v>0</v>
      </c>
      <c r="I1620" s="138">
        <f>IFERROR(__xludf.DUMMYFUNCTION("""COMPUTED_VALUE"""),0.0)</f>
        <v>0</v>
      </c>
      <c r="J1620" s="138">
        <f>IFERROR(__xludf.DUMMYFUNCTION("""COMPUTED_VALUE"""),0.0)</f>
        <v>0</v>
      </c>
      <c r="K1620" s="138">
        <f>IFERROR(__xludf.DUMMYFUNCTION("""COMPUTED_VALUE"""),0.0)</f>
        <v>0</v>
      </c>
      <c r="L1620" s="138">
        <v>0.0</v>
      </c>
      <c r="M1620" s="140" t="str">
        <f>VLOOKUP(text(D1620, "#"),'Master Table'!$A:$F, 6, FALSE)</f>
        <v>#N/A</v>
      </c>
      <c r="N1620" s="141"/>
      <c r="O1620" s="142" t="str">
        <f t="shared" si="1"/>
        <v>TRUE</v>
      </c>
      <c r="P1620" s="143" t="str">
        <f>IF(ISNA(VLOOKUP(CONCAT(M1620,C1620), 'Judge Count DO NOT EDIT'!H:H, 1, FALSE)), "ERROR","")</f>
        <v>ERROR</v>
      </c>
      <c r="Q1620" s="141"/>
      <c r="R1620" s="143"/>
      <c r="S1620" s="139" t="str">
        <f t="shared" si="2"/>
        <v/>
      </c>
      <c r="T1620" s="141"/>
    </row>
    <row r="1621">
      <c r="A1621" s="138"/>
      <c r="B1621" s="138"/>
      <c r="C1621" s="138"/>
      <c r="D1621" s="139"/>
      <c r="E1621" s="138">
        <f>IFERROR(__xludf.DUMMYFUNCTION("""COMPUTED_VALUE"""),0.0)</f>
        <v>0</v>
      </c>
      <c r="F1621" s="138">
        <f>IFERROR(__xludf.DUMMYFUNCTION("""COMPUTED_VALUE"""),0.0)</f>
        <v>0</v>
      </c>
      <c r="G1621" s="138">
        <f>IFERROR(__xludf.DUMMYFUNCTION("""COMPUTED_VALUE"""),0.0)</f>
        <v>0</v>
      </c>
      <c r="H1621" s="138">
        <f>IFERROR(__xludf.DUMMYFUNCTION("""COMPUTED_VALUE"""),0.0)</f>
        <v>0</v>
      </c>
      <c r="I1621" s="138">
        <f>IFERROR(__xludf.DUMMYFUNCTION("""COMPUTED_VALUE"""),0.0)</f>
        <v>0</v>
      </c>
      <c r="J1621" s="138">
        <f>IFERROR(__xludf.DUMMYFUNCTION("""COMPUTED_VALUE"""),0.0)</f>
        <v>0</v>
      </c>
      <c r="K1621" s="138">
        <f>IFERROR(__xludf.DUMMYFUNCTION("""COMPUTED_VALUE"""),0.0)</f>
        <v>0</v>
      </c>
      <c r="L1621" s="138">
        <v>0.0</v>
      </c>
      <c r="M1621" s="140" t="str">
        <f>VLOOKUP(text(D1621, "#"),'Master Table'!$A:$F, 6, FALSE)</f>
        <v>#N/A</v>
      </c>
      <c r="N1621" s="141"/>
      <c r="O1621" s="142" t="str">
        <f t="shared" si="1"/>
        <v>TRUE</v>
      </c>
      <c r="P1621" s="143" t="str">
        <f>IF(ISNA(VLOOKUP(CONCAT(M1621,C1621), 'Judge Count DO NOT EDIT'!H:H, 1, FALSE)), "ERROR","")</f>
        <v>ERROR</v>
      </c>
      <c r="Q1621" s="141"/>
      <c r="R1621" s="143"/>
      <c r="S1621" s="139" t="str">
        <f t="shared" si="2"/>
        <v/>
      </c>
      <c r="T1621" s="141"/>
    </row>
    <row r="1622">
      <c r="A1622" s="138"/>
      <c r="B1622" s="138"/>
      <c r="C1622" s="138"/>
      <c r="D1622" s="139"/>
      <c r="E1622" s="138">
        <f>IFERROR(__xludf.DUMMYFUNCTION("""COMPUTED_VALUE"""),0.0)</f>
        <v>0</v>
      </c>
      <c r="F1622" s="138">
        <f>IFERROR(__xludf.DUMMYFUNCTION("""COMPUTED_VALUE"""),0.0)</f>
        <v>0</v>
      </c>
      <c r="G1622" s="138">
        <f>IFERROR(__xludf.DUMMYFUNCTION("""COMPUTED_VALUE"""),0.0)</f>
        <v>0</v>
      </c>
      <c r="H1622" s="138">
        <f>IFERROR(__xludf.DUMMYFUNCTION("""COMPUTED_VALUE"""),0.0)</f>
        <v>0</v>
      </c>
      <c r="I1622" s="138">
        <f>IFERROR(__xludf.DUMMYFUNCTION("""COMPUTED_VALUE"""),0.0)</f>
        <v>0</v>
      </c>
      <c r="J1622" s="138">
        <f>IFERROR(__xludf.DUMMYFUNCTION("""COMPUTED_VALUE"""),0.0)</f>
        <v>0</v>
      </c>
      <c r="K1622" s="138">
        <f>IFERROR(__xludf.DUMMYFUNCTION("""COMPUTED_VALUE"""),0.0)</f>
        <v>0</v>
      </c>
      <c r="L1622" s="138">
        <v>0.0</v>
      </c>
      <c r="M1622" s="140" t="str">
        <f>VLOOKUP(text(D1622, "#"),'Master Table'!$A:$F, 6, FALSE)</f>
        <v>#N/A</v>
      </c>
      <c r="N1622" s="141"/>
      <c r="O1622" s="142" t="str">
        <f t="shared" si="1"/>
        <v>TRUE</v>
      </c>
      <c r="P1622" s="143" t="str">
        <f>IF(ISNA(VLOOKUP(CONCAT(M1622,C1622), 'Judge Count DO NOT EDIT'!H:H, 1, FALSE)), "ERROR","")</f>
        <v>ERROR</v>
      </c>
      <c r="Q1622" s="141"/>
      <c r="R1622" s="143"/>
      <c r="S1622" s="139" t="str">
        <f t="shared" si="2"/>
        <v/>
      </c>
      <c r="T1622" s="141"/>
    </row>
    <row r="1623">
      <c r="A1623" s="138"/>
      <c r="B1623" s="138"/>
      <c r="C1623" s="138"/>
      <c r="D1623" s="139"/>
      <c r="E1623" s="138">
        <f>IFERROR(__xludf.DUMMYFUNCTION("""COMPUTED_VALUE"""),0.0)</f>
        <v>0</v>
      </c>
      <c r="F1623" s="138">
        <f>IFERROR(__xludf.DUMMYFUNCTION("""COMPUTED_VALUE"""),0.0)</f>
        <v>0</v>
      </c>
      <c r="G1623" s="138">
        <f>IFERROR(__xludf.DUMMYFUNCTION("""COMPUTED_VALUE"""),0.0)</f>
        <v>0</v>
      </c>
      <c r="H1623" s="138">
        <f>IFERROR(__xludf.DUMMYFUNCTION("""COMPUTED_VALUE"""),0.0)</f>
        <v>0</v>
      </c>
      <c r="I1623" s="138">
        <f>IFERROR(__xludf.DUMMYFUNCTION("""COMPUTED_VALUE"""),0.0)</f>
        <v>0</v>
      </c>
      <c r="J1623" s="138">
        <f>IFERROR(__xludf.DUMMYFUNCTION("""COMPUTED_VALUE"""),0.0)</f>
        <v>0</v>
      </c>
      <c r="K1623" s="138">
        <f>IFERROR(__xludf.DUMMYFUNCTION("""COMPUTED_VALUE"""),0.0)</f>
        <v>0</v>
      </c>
      <c r="L1623" s="138">
        <v>0.0</v>
      </c>
      <c r="M1623" s="140" t="str">
        <f>VLOOKUP(text(D1623, "#"),'Master Table'!$A:$F, 6, FALSE)</f>
        <v>#N/A</v>
      </c>
      <c r="N1623" s="141"/>
      <c r="O1623" s="142" t="str">
        <f t="shared" si="1"/>
        <v>TRUE</v>
      </c>
      <c r="P1623" s="143" t="str">
        <f>IF(ISNA(VLOOKUP(CONCAT(M1623,C1623), 'Judge Count DO NOT EDIT'!H:H, 1, FALSE)), "ERROR","")</f>
        <v>ERROR</v>
      </c>
      <c r="Q1623" s="141"/>
      <c r="R1623" s="143"/>
      <c r="S1623" s="139" t="str">
        <f t="shared" si="2"/>
        <v/>
      </c>
      <c r="T1623" s="141"/>
    </row>
    <row r="1624">
      <c r="A1624" s="138"/>
      <c r="B1624" s="138"/>
      <c r="C1624" s="138"/>
      <c r="D1624" s="139"/>
      <c r="E1624" s="138">
        <f>IFERROR(__xludf.DUMMYFUNCTION("""COMPUTED_VALUE"""),0.0)</f>
        <v>0</v>
      </c>
      <c r="F1624" s="138">
        <f>IFERROR(__xludf.DUMMYFUNCTION("""COMPUTED_VALUE"""),0.0)</f>
        <v>0</v>
      </c>
      <c r="G1624" s="138">
        <f>IFERROR(__xludf.DUMMYFUNCTION("""COMPUTED_VALUE"""),0.0)</f>
        <v>0</v>
      </c>
      <c r="H1624" s="138">
        <f>IFERROR(__xludf.DUMMYFUNCTION("""COMPUTED_VALUE"""),0.0)</f>
        <v>0</v>
      </c>
      <c r="I1624" s="138">
        <f>IFERROR(__xludf.DUMMYFUNCTION("""COMPUTED_VALUE"""),0.0)</f>
        <v>0</v>
      </c>
      <c r="J1624" s="138">
        <f>IFERROR(__xludf.DUMMYFUNCTION("""COMPUTED_VALUE"""),0.0)</f>
        <v>0</v>
      </c>
      <c r="K1624" s="138">
        <f>IFERROR(__xludf.DUMMYFUNCTION("""COMPUTED_VALUE"""),0.0)</f>
        <v>0</v>
      </c>
      <c r="L1624" s="138">
        <v>0.0</v>
      </c>
      <c r="M1624" s="140" t="str">
        <f>VLOOKUP(text(D1624, "#"),'Master Table'!$A:$F, 6, FALSE)</f>
        <v>#N/A</v>
      </c>
      <c r="N1624" s="141"/>
      <c r="O1624" s="142" t="str">
        <f t="shared" si="1"/>
        <v>TRUE</v>
      </c>
      <c r="P1624" s="143" t="str">
        <f>IF(ISNA(VLOOKUP(CONCAT(M1624,C1624), 'Judge Count DO NOT EDIT'!H:H, 1, FALSE)), "ERROR","")</f>
        <v>ERROR</v>
      </c>
      <c r="Q1624" s="141"/>
      <c r="R1624" s="143"/>
      <c r="S1624" s="139" t="str">
        <f t="shared" si="2"/>
        <v/>
      </c>
      <c r="T1624" s="141"/>
    </row>
    <row r="1625">
      <c r="A1625" s="138"/>
      <c r="B1625" s="138"/>
      <c r="C1625" s="138"/>
      <c r="D1625" s="139"/>
      <c r="E1625" s="138">
        <f>IFERROR(__xludf.DUMMYFUNCTION("""COMPUTED_VALUE"""),0.0)</f>
        <v>0</v>
      </c>
      <c r="F1625" s="138">
        <f>IFERROR(__xludf.DUMMYFUNCTION("""COMPUTED_VALUE"""),0.0)</f>
        <v>0</v>
      </c>
      <c r="G1625" s="138">
        <f>IFERROR(__xludf.DUMMYFUNCTION("""COMPUTED_VALUE"""),0.0)</f>
        <v>0</v>
      </c>
      <c r="H1625" s="138">
        <f>IFERROR(__xludf.DUMMYFUNCTION("""COMPUTED_VALUE"""),0.0)</f>
        <v>0</v>
      </c>
      <c r="I1625" s="138">
        <f>IFERROR(__xludf.DUMMYFUNCTION("""COMPUTED_VALUE"""),0.0)</f>
        <v>0</v>
      </c>
      <c r="J1625" s="138">
        <f>IFERROR(__xludf.DUMMYFUNCTION("""COMPUTED_VALUE"""),0.0)</f>
        <v>0</v>
      </c>
      <c r="K1625" s="138">
        <f>IFERROR(__xludf.DUMMYFUNCTION("""COMPUTED_VALUE"""),0.0)</f>
        <v>0</v>
      </c>
      <c r="L1625" s="138">
        <v>0.0</v>
      </c>
      <c r="M1625" s="140" t="str">
        <f>VLOOKUP(text(D1625, "#"),'Master Table'!$A:$F, 6, FALSE)</f>
        <v>#N/A</v>
      </c>
      <c r="N1625" s="141"/>
      <c r="O1625" s="142" t="str">
        <f t="shared" si="1"/>
        <v>TRUE</v>
      </c>
      <c r="P1625" s="143" t="str">
        <f>IF(ISNA(VLOOKUP(CONCAT(M1625,C1625), 'Judge Count DO NOT EDIT'!H:H, 1, FALSE)), "ERROR","")</f>
        <v>ERROR</v>
      </c>
      <c r="Q1625" s="141"/>
      <c r="R1625" s="143"/>
      <c r="S1625" s="139" t="str">
        <f t="shared" si="2"/>
        <v/>
      </c>
      <c r="T1625" s="141"/>
    </row>
    <row r="1626">
      <c r="A1626" s="138"/>
      <c r="B1626" s="138"/>
      <c r="C1626" s="138"/>
      <c r="D1626" s="139"/>
      <c r="E1626" s="138">
        <f>IFERROR(__xludf.DUMMYFUNCTION("""COMPUTED_VALUE"""),0.0)</f>
        <v>0</v>
      </c>
      <c r="F1626" s="138">
        <f>IFERROR(__xludf.DUMMYFUNCTION("""COMPUTED_VALUE"""),0.0)</f>
        <v>0</v>
      </c>
      <c r="G1626" s="138">
        <f>IFERROR(__xludf.DUMMYFUNCTION("""COMPUTED_VALUE"""),0.0)</f>
        <v>0</v>
      </c>
      <c r="H1626" s="138">
        <f>IFERROR(__xludf.DUMMYFUNCTION("""COMPUTED_VALUE"""),0.0)</f>
        <v>0</v>
      </c>
      <c r="I1626" s="138">
        <f>IFERROR(__xludf.DUMMYFUNCTION("""COMPUTED_VALUE"""),0.0)</f>
        <v>0</v>
      </c>
      <c r="J1626" s="138">
        <f>IFERROR(__xludf.DUMMYFUNCTION("""COMPUTED_VALUE"""),0.0)</f>
        <v>0</v>
      </c>
      <c r="K1626" s="138">
        <f>IFERROR(__xludf.DUMMYFUNCTION("""COMPUTED_VALUE"""),0.0)</f>
        <v>0</v>
      </c>
      <c r="L1626" s="138">
        <v>0.0</v>
      </c>
      <c r="M1626" s="140" t="str">
        <f>VLOOKUP(text(D1626, "#"),'Master Table'!$A:$F, 6, FALSE)</f>
        <v>#N/A</v>
      </c>
      <c r="N1626" s="141"/>
      <c r="O1626" s="142" t="str">
        <f t="shared" si="1"/>
        <v>TRUE</v>
      </c>
      <c r="P1626" s="143" t="str">
        <f>IF(ISNA(VLOOKUP(CONCAT(M1626,C1626), 'Judge Count DO NOT EDIT'!H:H, 1, FALSE)), "ERROR","")</f>
        <v>ERROR</v>
      </c>
      <c r="Q1626" s="141"/>
      <c r="R1626" s="143"/>
      <c r="S1626" s="139" t="str">
        <f t="shared" si="2"/>
        <v/>
      </c>
      <c r="T1626" s="141"/>
    </row>
    <row r="1627">
      <c r="A1627" s="138"/>
      <c r="B1627" s="138"/>
      <c r="C1627" s="138"/>
      <c r="D1627" s="139"/>
      <c r="E1627" s="138">
        <f>IFERROR(__xludf.DUMMYFUNCTION("""COMPUTED_VALUE"""),0.0)</f>
        <v>0</v>
      </c>
      <c r="F1627" s="138">
        <f>IFERROR(__xludf.DUMMYFUNCTION("""COMPUTED_VALUE"""),0.0)</f>
        <v>0</v>
      </c>
      <c r="G1627" s="138">
        <f>IFERROR(__xludf.DUMMYFUNCTION("""COMPUTED_VALUE"""),0.0)</f>
        <v>0</v>
      </c>
      <c r="H1627" s="138">
        <f>IFERROR(__xludf.DUMMYFUNCTION("""COMPUTED_VALUE"""),0.0)</f>
        <v>0</v>
      </c>
      <c r="I1627" s="138">
        <f>IFERROR(__xludf.DUMMYFUNCTION("""COMPUTED_VALUE"""),0.0)</f>
        <v>0</v>
      </c>
      <c r="J1627" s="138">
        <f>IFERROR(__xludf.DUMMYFUNCTION("""COMPUTED_VALUE"""),0.0)</f>
        <v>0</v>
      </c>
      <c r="K1627" s="138">
        <f>IFERROR(__xludf.DUMMYFUNCTION("""COMPUTED_VALUE"""),0.0)</f>
        <v>0</v>
      </c>
      <c r="L1627" s="138">
        <v>0.0</v>
      </c>
      <c r="M1627" s="140" t="str">
        <f>VLOOKUP(text(D1627, "#"),'Master Table'!$A:$F, 6, FALSE)</f>
        <v>#N/A</v>
      </c>
      <c r="N1627" s="141"/>
      <c r="O1627" s="142" t="str">
        <f t="shared" si="1"/>
        <v>TRUE</v>
      </c>
      <c r="P1627" s="143" t="str">
        <f>IF(ISNA(VLOOKUP(CONCAT(M1627,C1627), 'Judge Count DO NOT EDIT'!H:H, 1, FALSE)), "ERROR","")</f>
        <v>ERROR</v>
      </c>
      <c r="Q1627" s="141"/>
      <c r="R1627" s="143"/>
      <c r="S1627" s="139" t="str">
        <f t="shared" si="2"/>
        <v/>
      </c>
      <c r="T1627" s="141"/>
    </row>
    <row r="1628">
      <c r="A1628" s="138"/>
      <c r="B1628" s="138"/>
      <c r="C1628" s="138"/>
      <c r="D1628" s="139"/>
      <c r="E1628" s="138">
        <f>IFERROR(__xludf.DUMMYFUNCTION("""COMPUTED_VALUE"""),0.0)</f>
        <v>0</v>
      </c>
      <c r="F1628" s="138">
        <f>IFERROR(__xludf.DUMMYFUNCTION("""COMPUTED_VALUE"""),0.0)</f>
        <v>0</v>
      </c>
      <c r="G1628" s="138">
        <f>IFERROR(__xludf.DUMMYFUNCTION("""COMPUTED_VALUE"""),0.0)</f>
        <v>0</v>
      </c>
      <c r="H1628" s="138">
        <f>IFERROR(__xludf.DUMMYFUNCTION("""COMPUTED_VALUE"""),0.0)</f>
        <v>0</v>
      </c>
      <c r="I1628" s="138">
        <f>IFERROR(__xludf.DUMMYFUNCTION("""COMPUTED_VALUE"""),0.0)</f>
        <v>0</v>
      </c>
      <c r="J1628" s="138">
        <f>IFERROR(__xludf.DUMMYFUNCTION("""COMPUTED_VALUE"""),0.0)</f>
        <v>0</v>
      </c>
      <c r="K1628" s="138">
        <f>IFERROR(__xludf.DUMMYFUNCTION("""COMPUTED_VALUE"""),0.0)</f>
        <v>0</v>
      </c>
      <c r="L1628" s="138">
        <v>0.0</v>
      </c>
      <c r="M1628" s="140" t="str">
        <f>VLOOKUP(text(D1628, "#"),'Master Table'!$A:$F, 6, FALSE)</f>
        <v>#N/A</v>
      </c>
      <c r="N1628" s="141"/>
      <c r="O1628" s="142" t="str">
        <f t="shared" si="1"/>
        <v>TRUE</v>
      </c>
      <c r="P1628" s="143" t="str">
        <f>IF(ISNA(VLOOKUP(CONCAT(M1628,C1628), 'Judge Count DO NOT EDIT'!H:H, 1, FALSE)), "ERROR","")</f>
        <v>ERROR</v>
      </c>
      <c r="Q1628" s="141"/>
      <c r="R1628" s="143"/>
      <c r="S1628" s="139" t="str">
        <f t="shared" si="2"/>
        <v/>
      </c>
      <c r="T1628" s="141"/>
    </row>
    <row r="1629">
      <c r="A1629" s="138"/>
      <c r="B1629" s="138"/>
      <c r="C1629" s="138"/>
      <c r="D1629" s="139"/>
      <c r="E1629" s="138">
        <f>IFERROR(__xludf.DUMMYFUNCTION("""COMPUTED_VALUE"""),0.0)</f>
        <v>0</v>
      </c>
      <c r="F1629" s="138">
        <f>IFERROR(__xludf.DUMMYFUNCTION("""COMPUTED_VALUE"""),0.0)</f>
        <v>0</v>
      </c>
      <c r="G1629" s="138">
        <f>IFERROR(__xludf.DUMMYFUNCTION("""COMPUTED_VALUE"""),0.0)</f>
        <v>0</v>
      </c>
      <c r="H1629" s="138">
        <f>IFERROR(__xludf.DUMMYFUNCTION("""COMPUTED_VALUE"""),0.0)</f>
        <v>0</v>
      </c>
      <c r="I1629" s="138">
        <f>IFERROR(__xludf.DUMMYFUNCTION("""COMPUTED_VALUE"""),0.0)</f>
        <v>0</v>
      </c>
      <c r="J1629" s="138">
        <f>IFERROR(__xludf.DUMMYFUNCTION("""COMPUTED_VALUE"""),0.0)</f>
        <v>0</v>
      </c>
      <c r="K1629" s="138">
        <f>IFERROR(__xludf.DUMMYFUNCTION("""COMPUTED_VALUE"""),0.0)</f>
        <v>0</v>
      </c>
      <c r="L1629" s="138">
        <v>0.0</v>
      </c>
      <c r="M1629" s="140" t="str">
        <f>VLOOKUP(text(D1629, "#"),'Master Table'!$A:$F, 6, FALSE)</f>
        <v>#N/A</v>
      </c>
      <c r="N1629" s="141"/>
      <c r="O1629" s="142" t="str">
        <f t="shared" si="1"/>
        <v>TRUE</v>
      </c>
      <c r="P1629" s="143" t="str">
        <f>IF(ISNA(VLOOKUP(CONCAT(M1629,C1629), 'Judge Count DO NOT EDIT'!H:H, 1, FALSE)), "ERROR","")</f>
        <v>ERROR</v>
      </c>
      <c r="Q1629" s="141"/>
      <c r="R1629" s="143"/>
      <c r="S1629" s="139" t="str">
        <f t="shared" si="2"/>
        <v/>
      </c>
      <c r="T1629" s="141"/>
    </row>
    <row r="1630">
      <c r="A1630" s="138"/>
      <c r="B1630" s="138"/>
      <c r="C1630" s="138"/>
      <c r="D1630" s="139"/>
      <c r="E1630" s="138">
        <f>IFERROR(__xludf.DUMMYFUNCTION("""COMPUTED_VALUE"""),0.0)</f>
        <v>0</v>
      </c>
      <c r="F1630" s="138">
        <f>IFERROR(__xludf.DUMMYFUNCTION("""COMPUTED_VALUE"""),0.0)</f>
        <v>0</v>
      </c>
      <c r="G1630" s="138">
        <f>IFERROR(__xludf.DUMMYFUNCTION("""COMPUTED_VALUE"""),0.0)</f>
        <v>0</v>
      </c>
      <c r="H1630" s="138">
        <f>IFERROR(__xludf.DUMMYFUNCTION("""COMPUTED_VALUE"""),0.0)</f>
        <v>0</v>
      </c>
      <c r="I1630" s="138">
        <f>IFERROR(__xludf.DUMMYFUNCTION("""COMPUTED_VALUE"""),0.0)</f>
        <v>0</v>
      </c>
      <c r="J1630" s="138">
        <f>IFERROR(__xludf.DUMMYFUNCTION("""COMPUTED_VALUE"""),0.0)</f>
        <v>0</v>
      </c>
      <c r="K1630" s="138">
        <f>IFERROR(__xludf.DUMMYFUNCTION("""COMPUTED_VALUE"""),0.0)</f>
        <v>0</v>
      </c>
      <c r="L1630" s="138">
        <v>0.0</v>
      </c>
      <c r="M1630" s="140" t="str">
        <f>VLOOKUP(text(D1630, "#"),'Master Table'!$A:$F, 6, FALSE)</f>
        <v>#N/A</v>
      </c>
      <c r="N1630" s="141"/>
      <c r="O1630" s="142" t="str">
        <f t="shared" si="1"/>
        <v>TRUE</v>
      </c>
      <c r="P1630" s="143" t="str">
        <f>IF(ISNA(VLOOKUP(CONCAT(M1630,C1630), 'Judge Count DO NOT EDIT'!H:H, 1, FALSE)), "ERROR","")</f>
        <v>ERROR</v>
      </c>
      <c r="Q1630" s="141"/>
      <c r="R1630" s="143"/>
      <c r="S1630" s="139" t="str">
        <f t="shared" si="2"/>
        <v/>
      </c>
      <c r="T1630" s="141"/>
    </row>
    <row r="1631">
      <c r="A1631" s="138"/>
      <c r="B1631" s="138"/>
      <c r="C1631" s="138"/>
      <c r="D1631" s="139"/>
      <c r="E1631" s="138">
        <f>IFERROR(__xludf.DUMMYFUNCTION("""COMPUTED_VALUE"""),0.0)</f>
        <v>0</v>
      </c>
      <c r="F1631" s="138">
        <f>IFERROR(__xludf.DUMMYFUNCTION("""COMPUTED_VALUE"""),0.0)</f>
        <v>0</v>
      </c>
      <c r="G1631" s="138">
        <f>IFERROR(__xludf.DUMMYFUNCTION("""COMPUTED_VALUE"""),0.0)</f>
        <v>0</v>
      </c>
      <c r="H1631" s="138">
        <f>IFERROR(__xludf.DUMMYFUNCTION("""COMPUTED_VALUE"""),0.0)</f>
        <v>0</v>
      </c>
      <c r="I1631" s="138">
        <f>IFERROR(__xludf.DUMMYFUNCTION("""COMPUTED_VALUE"""),0.0)</f>
        <v>0</v>
      </c>
      <c r="J1631" s="138">
        <f>IFERROR(__xludf.DUMMYFUNCTION("""COMPUTED_VALUE"""),0.0)</f>
        <v>0</v>
      </c>
      <c r="K1631" s="138">
        <f>IFERROR(__xludf.DUMMYFUNCTION("""COMPUTED_VALUE"""),0.0)</f>
        <v>0</v>
      </c>
      <c r="L1631" s="138">
        <v>0.0</v>
      </c>
      <c r="M1631" s="140" t="str">
        <f>VLOOKUP(text(D1631, "#"),'Master Table'!$A:$F, 6, FALSE)</f>
        <v>#N/A</v>
      </c>
      <c r="N1631" s="141"/>
      <c r="O1631" s="142" t="str">
        <f t="shared" si="1"/>
        <v>TRUE</v>
      </c>
      <c r="P1631" s="143" t="str">
        <f>IF(ISNA(VLOOKUP(CONCAT(M1631,C1631), 'Judge Count DO NOT EDIT'!H:H, 1, FALSE)), "ERROR","")</f>
        <v>ERROR</v>
      </c>
      <c r="Q1631" s="141"/>
      <c r="R1631" s="143"/>
      <c r="S1631" s="139" t="str">
        <f t="shared" si="2"/>
        <v/>
      </c>
      <c r="T1631" s="141"/>
    </row>
    <row r="1632">
      <c r="A1632" s="138"/>
      <c r="B1632" s="138"/>
      <c r="C1632" s="138"/>
      <c r="D1632" s="139"/>
      <c r="E1632" s="138">
        <f>IFERROR(__xludf.DUMMYFUNCTION("""COMPUTED_VALUE"""),0.0)</f>
        <v>0</v>
      </c>
      <c r="F1632" s="138">
        <f>IFERROR(__xludf.DUMMYFUNCTION("""COMPUTED_VALUE"""),0.0)</f>
        <v>0</v>
      </c>
      <c r="G1632" s="138">
        <f>IFERROR(__xludf.DUMMYFUNCTION("""COMPUTED_VALUE"""),0.0)</f>
        <v>0</v>
      </c>
      <c r="H1632" s="138">
        <f>IFERROR(__xludf.DUMMYFUNCTION("""COMPUTED_VALUE"""),0.0)</f>
        <v>0</v>
      </c>
      <c r="I1632" s="138">
        <f>IFERROR(__xludf.DUMMYFUNCTION("""COMPUTED_VALUE"""),0.0)</f>
        <v>0</v>
      </c>
      <c r="J1632" s="138">
        <f>IFERROR(__xludf.DUMMYFUNCTION("""COMPUTED_VALUE"""),0.0)</f>
        <v>0</v>
      </c>
      <c r="K1632" s="138">
        <f>IFERROR(__xludf.DUMMYFUNCTION("""COMPUTED_VALUE"""),0.0)</f>
        <v>0</v>
      </c>
      <c r="L1632" s="138">
        <v>0.0</v>
      </c>
      <c r="M1632" s="140" t="str">
        <f>VLOOKUP(text(D1632, "#"),'Master Table'!$A:$F, 6, FALSE)</f>
        <v>#N/A</v>
      </c>
      <c r="N1632" s="141"/>
      <c r="O1632" s="142" t="str">
        <f t="shared" si="1"/>
        <v>TRUE</v>
      </c>
      <c r="P1632" s="143" t="str">
        <f>IF(ISNA(VLOOKUP(CONCAT(M1632,C1632), 'Judge Count DO NOT EDIT'!H:H, 1, FALSE)), "ERROR","")</f>
        <v>ERROR</v>
      </c>
      <c r="Q1632" s="141"/>
      <c r="R1632" s="143"/>
      <c r="S1632" s="139" t="str">
        <f t="shared" si="2"/>
        <v/>
      </c>
      <c r="T1632" s="141"/>
    </row>
    <row r="1633">
      <c r="A1633" s="138"/>
      <c r="B1633" s="138"/>
      <c r="C1633" s="138"/>
      <c r="D1633" s="139"/>
      <c r="E1633" s="138">
        <f>IFERROR(__xludf.DUMMYFUNCTION("""COMPUTED_VALUE"""),0.0)</f>
        <v>0</v>
      </c>
      <c r="F1633" s="138">
        <f>IFERROR(__xludf.DUMMYFUNCTION("""COMPUTED_VALUE"""),0.0)</f>
        <v>0</v>
      </c>
      <c r="G1633" s="138">
        <f>IFERROR(__xludf.DUMMYFUNCTION("""COMPUTED_VALUE"""),0.0)</f>
        <v>0</v>
      </c>
      <c r="H1633" s="138">
        <f>IFERROR(__xludf.DUMMYFUNCTION("""COMPUTED_VALUE"""),0.0)</f>
        <v>0</v>
      </c>
      <c r="I1633" s="138">
        <f>IFERROR(__xludf.DUMMYFUNCTION("""COMPUTED_VALUE"""),0.0)</f>
        <v>0</v>
      </c>
      <c r="J1633" s="138">
        <f>IFERROR(__xludf.DUMMYFUNCTION("""COMPUTED_VALUE"""),0.0)</f>
        <v>0</v>
      </c>
      <c r="K1633" s="138">
        <f>IFERROR(__xludf.DUMMYFUNCTION("""COMPUTED_VALUE"""),0.0)</f>
        <v>0</v>
      </c>
      <c r="L1633" s="138">
        <v>0.0</v>
      </c>
      <c r="M1633" s="140" t="str">
        <f>VLOOKUP(text(D1633, "#"),'Master Table'!$A:$F, 6, FALSE)</f>
        <v>#N/A</v>
      </c>
      <c r="N1633" s="141"/>
      <c r="O1633" s="142" t="str">
        <f t="shared" si="1"/>
        <v>TRUE</v>
      </c>
      <c r="P1633" s="143" t="str">
        <f>IF(ISNA(VLOOKUP(CONCAT(M1633,C1633), 'Judge Count DO NOT EDIT'!H:H, 1, FALSE)), "ERROR","")</f>
        <v>ERROR</v>
      </c>
      <c r="Q1633" s="141"/>
      <c r="R1633" s="143"/>
      <c r="S1633" s="139" t="str">
        <f t="shared" si="2"/>
        <v/>
      </c>
      <c r="T1633" s="141"/>
    </row>
    <row r="1634">
      <c r="A1634" s="138"/>
      <c r="B1634" s="138"/>
      <c r="C1634" s="138"/>
      <c r="D1634" s="139"/>
      <c r="E1634" s="138">
        <f>IFERROR(__xludf.DUMMYFUNCTION("""COMPUTED_VALUE"""),0.0)</f>
        <v>0</v>
      </c>
      <c r="F1634" s="138">
        <f>IFERROR(__xludf.DUMMYFUNCTION("""COMPUTED_VALUE"""),0.0)</f>
        <v>0</v>
      </c>
      <c r="G1634" s="138">
        <f>IFERROR(__xludf.DUMMYFUNCTION("""COMPUTED_VALUE"""),0.0)</f>
        <v>0</v>
      </c>
      <c r="H1634" s="138">
        <f>IFERROR(__xludf.DUMMYFUNCTION("""COMPUTED_VALUE"""),0.0)</f>
        <v>0</v>
      </c>
      <c r="I1634" s="138">
        <f>IFERROR(__xludf.DUMMYFUNCTION("""COMPUTED_VALUE"""),0.0)</f>
        <v>0</v>
      </c>
      <c r="J1634" s="138">
        <f>IFERROR(__xludf.DUMMYFUNCTION("""COMPUTED_VALUE"""),0.0)</f>
        <v>0</v>
      </c>
      <c r="K1634" s="138">
        <f>IFERROR(__xludf.DUMMYFUNCTION("""COMPUTED_VALUE"""),0.0)</f>
        <v>0</v>
      </c>
      <c r="L1634" s="138">
        <v>0.0</v>
      </c>
      <c r="M1634" s="140" t="str">
        <f>VLOOKUP(text(D1634, "#"),'Master Table'!$A:$F, 6, FALSE)</f>
        <v>#N/A</v>
      </c>
      <c r="N1634" s="141"/>
      <c r="O1634" s="142" t="str">
        <f t="shared" si="1"/>
        <v>TRUE</v>
      </c>
      <c r="P1634" s="143" t="str">
        <f>IF(ISNA(VLOOKUP(CONCAT(M1634,C1634), 'Judge Count DO NOT EDIT'!H:H, 1, FALSE)), "ERROR","")</f>
        <v>ERROR</v>
      </c>
      <c r="Q1634" s="141"/>
      <c r="R1634" s="143"/>
      <c r="S1634" s="139" t="str">
        <f t="shared" si="2"/>
        <v/>
      </c>
      <c r="T1634" s="141"/>
    </row>
    <row r="1635">
      <c r="A1635" s="138"/>
      <c r="B1635" s="138"/>
      <c r="C1635" s="138"/>
      <c r="D1635" s="139"/>
      <c r="E1635" s="138">
        <f>IFERROR(__xludf.DUMMYFUNCTION("""COMPUTED_VALUE"""),0.0)</f>
        <v>0</v>
      </c>
      <c r="F1635" s="138">
        <f>IFERROR(__xludf.DUMMYFUNCTION("""COMPUTED_VALUE"""),0.0)</f>
        <v>0</v>
      </c>
      <c r="G1635" s="138">
        <f>IFERROR(__xludf.DUMMYFUNCTION("""COMPUTED_VALUE"""),0.0)</f>
        <v>0</v>
      </c>
      <c r="H1635" s="138">
        <f>IFERROR(__xludf.DUMMYFUNCTION("""COMPUTED_VALUE"""),0.0)</f>
        <v>0</v>
      </c>
      <c r="I1635" s="138">
        <f>IFERROR(__xludf.DUMMYFUNCTION("""COMPUTED_VALUE"""),0.0)</f>
        <v>0</v>
      </c>
      <c r="J1635" s="138">
        <f>IFERROR(__xludf.DUMMYFUNCTION("""COMPUTED_VALUE"""),0.0)</f>
        <v>0</v>
      </c>
      <c r="K1635" s="138">
        <f>IFERROR(__xludf.DUMMYFUNCTION("""COMPUTED_VALUE"""),0.0)</f>
        <v>0</v>
      </c>
      <c r="L1635" s="138">
        <v>0.0</v>
      </c>
      <c r="M1635" s="140" t="str">
        <f>VLOOKUP(text(D1635, "#"),'Master Table'!$A:$F, 6, FALSE)</f>
        <v>#N/A</v>
      </c>
      <c r="N1635" s="141"/>
      <c r="O1635" s="142" t="str">
        <f t="shared" si="1"/>
        <v>TRUE</v>
      </c>
      <c r="P1635" s="143" t="str">
        <f>IF(ISNA(VLOOKUP(CONCAT(M1635,C1635), 'Judge Count DO NOT EDIT'!H:H, 1, FALSE)), "ERROR","")</f>
        <v>ERROR</v>
      </c>
      <c r="Q1635" s="141"/>
      <c r="R1635" s="143"/>
      <c r="S1635" s="139" t="str">
        <f t="shared" si="2"/>
        <v/>
      </c>
      <c r="T1635" s="141"/>
    </row>
    <row r="1636">
      <c r="A1636" s="138"/>
      <c r="B1636" s="138"/>
      <c r="C1636" s="138"/>
      <c r="D1636" s="139"/>
      <c r="E1636" s="138">
        <f>IFERROR(__xludf.DUMMYFUNCTION("""COMPUTED_VALUE"""),0.0)</f>
        <v>0</v>
      </c>
      <c r="F1636" s="138">
        <f>IFERROR(__xludf.DUMMYFUNCTION("""COMPUTED_VALUE"""),0.0)</f>
        <v>0</v>
      </c>
      <c r="G1636" s="138">
        <f>IFERROR(__xludf.DUMMYFUNCTION("""COMPUTED_VALUE"""),0.0)</f>
        <v>0</v>
      </c>
      <c r="H1636" s="138">
        <f>IFERROR(__xludf.DUMMYFUNCTION("""COMPUTED_VALUE"""),0.0)</f>
        <v>0</v>
      </c>
      <c r="I1636" s="138">
        <f>IFERROR(__xludf.DUMMYFUNCTION("""COMPUTED_VALUE"""),0.0)</f>
        <v>0</v>
      </c>
      <c r="J1636" s="138">
        <f>IFERROR(__xludf.DUMMYFUNCTION("""COMPUTED_VALUE"""),0.0)</f>
        <v>0</v>
      </c>
      <c r="K1636" s="138">
        <f>IFERROR(__xludf.DUMMYFUNCTION("""COMPUTED_VALUE"""),0.0)</f>
        <v>0</v>
      </c>
      <c r="L1636" s="138">
        <v>0.0</v>
      </c>
      <c r="M1636" s="140" t="str">
        <f>VLOOKUP(text(D1636, "#"),'Master Table'!$A:$F, 6, FALSE)</f>
        <v>#N/A</v>
      </c>
      <c r="N1636" s="141"/>
      <c r="O1636" s="142" t="str">
        <f t="shared" si="1"/>
        <v>TRUE</v>
      </c>
      <c r="P1636" s="143" t="str">
        <f>IF(ISNA(VLOOKUP(CONCAT(M1636,C1636), 'Judge Count DO NOT EDIT'!H:H, 1, FALSE)), "ERROR","")</f>
        <v>ERROR</v>
      </c>
      <c r="Q1636" s="141"/>
      <c r="R1636" s="143"/>
      <c r="S1636" s="139" t="str">
        <f t="shared" si="2"/>
        <v/>
      </c>
      <c r="T1636" s="141"/>
    </row>
    <row r="1637">
      <c r="A1637" s="138"/>
      <c r="B1637" s="138"/>
      <c r="C1637" s="138"/>
      <c r="D1637" s="139"/>
      <c r="E1637" s="138">
        <f>IFERROR(__xludf.DUMMYFUNCTION("""COMPUTED_VALUE"""),0.0)</f>
        <v>0</v>
      </c>
      <c r="F1637" s="138">
        <f>IFERROR(__xludf.DUMMYFUNCTION("""COMPUTED_VALUE"""),0.0)</f>
        <v>0</v>
      </c>
      <c r="G1637" s="138">
        <f>IFERROR(__xludf.DUMMYFUNCTION("""COMPUTED_VALUE"""),0.0)</f>
        <v>0</v>
      </c>
      <c r="H1637" s="138">
        <f>IFERROR(__xludf.DUMMYFUNCTION("""COMPUTED_VALUE"""),0.0)</f>
        <v>0</v>
      </c>
      <c r="I1637" s="138">
        <f>IFERROR(__xludf.DUMMYFUNCTION("""COMPUTED_VALUE"""),0.0)</f>
        <v>0</v>
      </c>
      <c r="J1637" s="138">
        <f>IFERROR(__xludf.DUMMYFUNCTION("""COMPUTED_VALUE"""),0.0)</f>
        <v>0</v>
      </c>
      <c r="K1637" s="138">
        <f>IFERROR(__xludf.DUMMYFUNCTION("""COMPUTED_VALUE"""),0.0)</f>
        <v>0</v>
      </c>
      <c r="L1637" s="138">
        <v>0.0</v>
      </c>
      <c r="M1637" s="140" t="str">
        <f>VLOOKUP(text(D1637, "#"),'Master Table'!$A:$F, 6, FALSE)</f>
        <v>#N/A</v>
      </c>
      <c r="N1637" s="141"/>
      <c r="O1637" s="142" t="str">
        <f t="shared" si="1"/>
        <v>TRUE</v>
      </c>
      <c r="P1637" s="143" t="str">
        <f>IF(ISNA(VLOOKUP(CONCAT(M1637,C1637), 'Judge Count DO NOT EDIT'!H:H, 1, FALSE)), "ERROR","")</f>
        <v>ERROR</v>
      </c>
      <c r="Q1637" s="141"/>
      <c r="R1637" s="143"/>
      <c r="S1637" s="139" t="str">
        <f t="shared" si="2"/>
        <v/>
      </c>
      <c r="T1637" s="141"/>
    </row>
    <row r="1638">
      <c r="A1638" s="138"/>
      <c r="B1638" s="138"/>
      <c r="C1638" s="138"/>
      <c r="D1638" s="139"/>
      <c r="E1638" s="138">
        <f>IFERROR(__xludf.DUMMYFUNCTION("""COMPUTED_VALUE"""),0.0)</f>
        <v>0</v>
      </c>
      <c r="F1638" s="138">
        <f>IFERROR(__xludf.DUMMYFUNCTION("""COMPUTED_VALUE"""),0.0)</f>
        <v>0</v>
      </c>
      <c r="G1638" s="138">
        <f>IFERROR(__xludf.DUMMYFUNCTION("""COMPUTED_VALUE"""),0.0)</f>
        <v>0</v>
      </c>
      <c r="H1638" s="138">
        <f>IFERROR(__xludf.DUMMYFUNCTION("""COMPUTED_VALUE"""),0.0)</f>
        <v>0</v>
      </c>
      <c r="I1638" s="138">
        <f>IFERROR(__xludf.DUMMYFUNCTION("""COMPUTED_VALUE"""),0.0)</f>
        <v>0</v>
      </c>
      <c r="J1638" s="138">
        <f>IFERROR(__xludf.DUMMYFUNCTION("""COMPUTED_VALUE"""),0.0)</f>
        <v>0</v>
      </c>
      <c r="K1638" s="138">
        <f>IFERROR(__xludf.DUMMYFUNCTION("""COMPUTED_VALUE"""),0.0)</f>
        <v>0</v>
      </c>
      <c r="L1638" s="138">
        <v>0.0</v>
      </c>
      <c r="M1638" s="140" t="str">
        <f>VLOOKUP(text(D1638, "#"),'Master Table'!$A:$F, 6, FALSE)</f>
        <v>#N/A</v>
      </c>
      <c r="N1638" s="141"/>
      <c r="O1638" s="142" t="str">
        <f t="shared" si="1"/>
        <v>TRUE</v>
      </c>
      <c r="P1638" s="143" t="str">
        <f>IF(ISNA(VLOOKUP(CONCAT(M1638,C1638), 'Judge Count DO NOT EDIT'!H:H, 1, FALSE)), "ERROR","")</f>
        <v>ERROR</v>
      </c>
      <c r="Q1638" s="141"/>
      <c r="R1638" s="143"/>
      <c r="S1638" s="139" t="str">
        <f t="shared" si="2"/>
        <v/>
      </c>
      <c r="T1638" s="141"/>
    </row>
    <row r="1639">
      <c r="A1639" s="138"/>
      <c r="B1639" s="138"/>
      <c r="C1639" s="138"/>
      <c r="D1639" s="139"/>
      <c r="E1639" s="138">
        <f>IFERROR(__xludf.DUMMYFUNCTION("""COMPUTED_VALUE"""),0.0)</f>
        <v>0</v>
      </c>
      <c r="F1639" s="138">
        <f>IFERROR(__xludf.DUMMYFUNCTION("""COMPUTED_VALUE"""),0.0)</f>
        <v>0</v>
      </c>
      <c r="G1639" s="138">
        <f>IFERROR(__xludf.DUMMYFUNCTION("""COMPUTED_VALUE"""),0.0)</f>
        <v>0</v>
      </c>
      <c r="H1639" s="138">
        <f>IFERROR(__xludf.DUMMYFUNCTION("""COMPUTED_VALUE"""),0.0)</f>
        <v>0</v>
      </c>
      <c r="I1639" s="138">
        <f>IFERROR(__xludf.DUMMYFUNCTION("""COMPUTED_VALUE"""),0.0)</f>
        <v>0</v>
      </c>
      <c r="J1639" s="138">
        <f>IFERROR(__xludf.DUMMYFUNCTION("""COMPUTED_VALUE"""),0.0)</f>
        <v>0</v>
      </c>
      <c r="K1639" s="138">
        <f>IFERROR(__xludf.DUMMYFUNCTION("""COMPUTED_VALUE"""),0.0)</f>
        <v>0</v>
      </c>
      <c r="L1639" s="138">
        <v>0.0</v>
      </c>
      <c r="M1639" s="140" t="str">
        <f>VLOOKUP(text(D1639, "#"),'Master Table'!$A:$F, 6, FALSE)</f>
        <v>#N/A</v>
      </c>
      <c r="N1639" s="141"/>
      <c r="O1639" s="142" t="str">
        <f t="shared" si="1"/>
        <v>TRUE</v>
      </c>
      <c r="P1639" s="143" t="str">
        <f>IF(ISNA(VLOOKUP(CONCAT(M1639,C1639), 'Judge Count DO NOT EDIT'!H:H, 1, FALSE)), "ERROR","")</f>
        <v>ERROR</v>
      </c>
      <c r="Q1639" s="141"/>
      <c r="R1639" s="143"/>
      <c r="S1639" s="139" t="str">
        <f t="shared" si="2"/>
        <v/>
      </c>
      <c r="T1639" s="141"/>
    </row>
    <row r="1640">
      <c r="A1640" s="138"/>
      <c r="B1640" s="138"/>
      <c r="C1640" s="138"/>
      <c r="D1640" s="139"/>
      <c r="E1640" s="138">
        <f>IFERROR(__xludf.DUMMYFUNCTION("""COMPUTED_VALUE"""),0.0)</f>
        <v>0</v>
      </c>
      <c r="F1640" s="138">
        <f>IFERROR(__xludf.DUMMYFUNCTION("""COMPUTED_VALUE"""),0.0)</f>
        <v>0</v>
      </c>
      <c r="G1640" s="138">
        <f>IFERROR(__xludf.DUMMYFUNCTION("""COMPUTED_VALUE"""),0.0)</f>
        <v>0</v>
      </c>
      <c r="H1640" s="138">
        <f>IFERROR(__xludf.DUMMYFUNCTION("""COMPUTED_VALUE"""),0.0)</f>
        <v>0</v>
      </c>
      <c r="I1640" s="138">
        <f>IFERROR(__xludf.DUMMYFUNCTION("""COMPUTED_VALUE"""),0.0)</f>
        <v>0</v>
      </c>
      <c r="J1640" s="138">
        <f>IFERROR(__xludf.DUMMYFUNCTION("""COMPUTED_VALUE"""),0.0)</f>
        <v>0</v>
      </c>
      <c r="K1640" s="138">
        <f>IFERROR(__xludf.DUMMYFUNCTION("""COMPUTED_VALUE"""),0.0)</f>
        <v>0</v>
      </c>
      <c r="L1640" s="138">
        <v>0.0</v>
      </c>
      <c r="M1640" s="140" t="str">
        <f>VLOOKUP(text(D1640, "#"),'Master Table'!$A:$F, 6, FALSE)</f>
        <v>#N/A</v>
      </c>
      <c r="N1640" s="141"/>
      <c r="O1640" s="142" t="str">
        <f t="shared" si="1"/>
        <v>TRUE</v>
      </c>
      <c r="P1640" s="143" t="str">
        <f>IF(ISNA(VLOOKUP(CONCAT(M1640,C1640), 'Judge Count DO NOT EDIT'!H:H, 1, FALSE)), "ERROR","")</f>
        <v>ERROR</v>
      </c>
      <c r="Q1640" s="141"/>
      <c r="R1640" s="143"/>
      <c r="S1640" s="139" t="str">
        <f t="shared" si="2"/>
        <v/>
      </c>
      <c r="T1640" s="141"/>
    </row>
    <row r="1641">
      <c r="A1641" s="138"/>
      <c r="B1641" s="138"/>
      <c r="C1641" s="138"/>
      <c r="D1641" s="139"/>
      <c r="E1641" s="138">
        <f>IFERROR(__xludf.DUMMYFUNCTION("""COMPUTED_VALUE"""),0.0)</f>
        <v>0</v>
      </c>
      <c r="F1641" s="138">
        <f>IFERROR(__xludf.DUMMYFUNCTION("""COMPUTED_VALUE"""),0.0)</f>
        <v>0</v>
      </c>
      <c r="G1641" s="138">
        <f>IFERROR(__xludf.DUMMYFUNCTION("""COMPUTED_VALUE"""),0.0)</f>
        <v>0</v>
      </c>
      <c r="H1641" s="138">
        <f>IFERROR(__xludf.DUMMYFUNCTION("""COMPUTED_VALUE"""),0.0)</f>
        <v>0</v>
      </c>
      <c r="I1641" s="138">
        <f>IFERROR(__xludf.DUMMYFUNCTION("""COMPUTED_VALUE"""),0.0)</f>
        <v>0</v>
      </c>
      <c r="J1641" s="138">
        <f>IFERROR(__xludf.DUMMYFUNCTION("""COMPUTED_VALUE"""),0.0)</f>
        <v>0</v>
      </c>
      <c r="K1641" s="138">
        <f>IFERROR(__xludf.DUMMYFUNCTION("""COMPUTED_VALUE"""),0.0)</f>
        <v>0</v>
      </c>
      <c r="L1641" s="138">
        <v>0.0</v>
      </c>
      <c r="M1641" s="140" t="str">
        <f>VLOOKUP(text(D1641, "#"),'Master Table'!$A:$F, 6, FALSE)</f>
        <v>#N/A</v>
      </c>
      <c r="N1641" s="141"/>
      <c r="O1641" s="142" t="str">
        <f t="shared" si="1"/>
        <v>TRUE</v>
      </c>
      <c r="P1641" s="143" t="str">
        <f>IF(ISNA(VLOOKUP(CONCAT(M1641,C1641), 'Judge Count DO NOT EDIT'!H:H, 1, FALSE)), "ERROR","")</f>
        <v>ERROR</v>
      </c>
      <c r="Q1641" s="141"/>
      <c r="R1641" s="143"/>
      <c r="S1641" s="139" t="str">
        <f t="shared" si="2"/>
        <v/>
      </c>
      <c r="T1641" s="141"/>
    </row>
    <row r="1642">
      <c r="A1642" s="138"/>
      <c r="B1642" s="138"/>
      <c r="C1642" s="138"/>
      <c r="D1642" s="139"/>
      <c r="E1642" s="138">
        <f>IFERROR(__xludf.DUMMYFUNCTION("""COMPUTED_VALUE"""),0.0)</f>
        <v>0</v>
      </c>
      <c r="F1642" s="138">
        <f>IFERROR(__xludf.DUMMYFUNCTION("""COMPUTED_VALUE"""),0.0)</f>
        <v>0</v>
      </c>
      <c r="G1642" s="138">
        <f>IFERROR(__xludf.DUMMYFUNCTION("""COMPUTED_VALUE"""),0.0)</f>
        <v>0</v>
      </c>
      <c r="H1642" s="138">
        <f>IFERROR(__xludf.DUMMYFUNCTION("""COMPUTED_VALUE"""),0.0)</f>
        <v>0</v>
      </c>
      <c r="I1642" s="138">
        <f>IFERROR(__xludf.DUMMYFUNCTION("""COMPUTED_VALUE"""),0.0)</f>
        <v>0</v>
      </c>
      <c r="J1642" s="138">
        <f>IFERROR(__xludf.DUMMYFUNCTION("""COMPUTED_VALUE"""),0.0)</f>
        <v>0</v>
      </c>
      <c r="K1642" s="138">
        <f>IFERROR(__xludf.DUMMYFUNCTION("""COMPUTED_VALUE"""),0.0)</f>
        <v>0</v>
      </c>
      <c r="L1642" s="138">
        <v>0.0</v>
      </c>
      <c r="M1642" s="140" t="str">
        <f>VLOOKUP(text(D1642, "#"),'Master Table'!$A:$F, 6, FALSE)</f>
        <v>#N/A</v>
      </c>
      <c r="N1642" s="141"/>
      <c r="O1642" s="142" t="str">
        <f t="shared" si="1"/>
        <v>TRUE</v>
      </c>
      <c r="P1642" s="143" t="str">
        <f>IF(ISNA(VLOOKUP(CONCAT(M1642,C1642), 'Judge Count DO NOT EDIT'!H:H, 1, FALSE)), "ERROR","")</f>
        <v>ERROR</v>
      </c>
      <c r="Q1642" s="141"/>
      <c r="R1642" s="143"/>
      <c r="S1642" s="139" t="str">
        <f t="shared" si="2"/>
        <v/>
      </c>
      <c r="T1642" s="141"/>
    </row>
    <row r="1643">
      <c r="A1643" s="138"/>
      <c r="B1643" s="138"/>
      <c r="C1643" s="138"/>
      <c r="D1643" s="139"/>
      <c r="E1643" s="138">
        <f>IFERROR(__xludf.DUMMYFUNCTION("""COMPUTED_VALUE"""),0.0)</f>
        <v>0</v>
      </c>
      <c r="F1643" s="138">
        <f>IFERROR(__xludf.DUMMYFUNCTION("""COMPUTED_VALUE"""),0.0)</f>
        <v>0</v>
      </c>
      <c r="G1643" s="138">
        <f>IFERROR(__xludf.DUMMYFUNCTION("""COMPUTED_VALUE"""),0.0)</f>
        <v>0</v>
      </c>
      <c r="H1643" s="138">
        <f>IFERROR(__xludf.DUMMYFUNCTION("""COMPUTED_VALUE"""),0.0)</f>
        <v>0</v>
      </c>
      <c r="I1643" s="138">
        <f>IFERROR(__xludf.DUMMYFUNCTION("""COMPUTED_VALUE"""),0.0)</f>
        <v>0</v>
      </c>
      <c r="J1643" s="138">
        <f>IFERROR(__xludf.DUMMYFUNCTION("""COMPUTED_VALUE"""),0.0)</f>
        <v>0</v>
      </c>
      <c r="K1643" s="138">
        <f>IFERROR(__xludf.DUMMYFUNCTION("""COMPUTED_VALUE"""),0.0)</f>
        <v>0</v>
      </c>
      <c r="L1643" s="138">
        <v>0.0</v>
      </c>
      <c r="M1643" s="140" t="str">
        <f>VLOOKUP(text(D1643, "#"),'Master Table'!$A:$F, 6, FALSE)</f>
        <v>#N/A</v>
      </c>
      <c r="N1643" s="141"/>
      <c r="O1643" s="142" t="str">
        <f t="shared" si="1"/>
        <v>TRUE</v>
      </c>
      <c r="P1643" s="143" t="str">
        <f>IF(ISNA(VLOOKUP(CONCAT(M1643,C1643), 'Judge Count DO NOT EDIT'!H:H, 1, FALSE)), "ERROR","")</f>
        <v>ERROR</v>
      </c>
      <c r="Q1643" s="141"/>
      <c r="R1643" s="143"/>
      <c r="S1643" s="139" t="str">
        <f t="shared" si="2"/>
        <v/>
      </c>
      <c r="T1643" s="141"/>
    </row>
    <row r="1644">
      <c r="A1644" s="138"/>
      <c r="B1644" s="138"/>
      <c r="C1644" s="138"/>
      <c r="D1644" s="139"/>
      <c r="E1644" s="138">
        <f>IFERROR(__xludf.DUMMYFUNCTION("""COMPUTED_VALUE"""),0.0)</f>
        <v>0</v>
      </c>
      <c r="F1644" s="138">
        <f>IFERROR(__xludf.DUMMYFUNCTION("""COMPUTED_VALUE"""),0.0)</f>
        <v>0</v>
      </c>
      <c r="G1644" s="138">
        <f>IFERROR(__xludf.DUMMYFUNCTION("""COMPUTED_VALUE"""),0.0)</f>
        <v>0</v>
      </c>
      <c r="H1644" s="138">
        <f>IFERROR(__xludf.DUMMYFUNCTION("""COMPUTED_VALUE"""),0.0)</f>
        <v>0</v>
      </c>
      <c r="I1644" s="138">
        <f>IFERROR(__xludf.DUMMYFUNCTION("""COMPUTED_VALUE"""),0.0)</f>
        <v>0</v>
      </c>
      <c r="J1644" s="138">
        <f>IFERROR(__xludf.DUMMYFUNCTION("""COMPUTED_VALUE"""),0.0)</f>
        <v>0</v>
      </c>
      <c r="K1644" s="138">
        <f>IFERROR(__xludf.DUMMYFUNCTION("""COMPUTED_VALUE"""),0.0)</f>
        <v>0</v>
      </c>
      <c r="L1644" s="138">
        <v>0.0</v>
      </c>
      <c r="M1644" s="140" t="str">
        <f>VLOOKUP(text(D1644, "#"),'Master Table'!$A:$F, 6, FALSE)</f>
        <v>#N/A</v>
      </c>
      <c r="N1644" s="141"/>
      <c r="O1644" s="142" t="str">
        <f t="shared" si="1"/>
        <v>TRUE</v>
      </c>
      <c r="P1644" s="143" t="str">
        <f>IF(ISNA(VLOOKUP(CONCAT(M1644,C1644), 'Judge Count DO NOT EDIT'!H:H, 1, FALSE)), "ERROR","")</f>
        <v>ERROR</v>
      </c>
      <c r="Q1644" s="141"/>
      <c r="R1644" s="143"/>
      <c r="S1644" s="139" t="str">
        <f t="shared" si="2"/>
        <v/>
      </c>
      <c r="T1644" s="141"/>
    </row>
    <row r="1645">
      <c r="A1645" s="138"/>
      <c r="B1645" s="138"/>
      <c r="C1645" s="138"/>
      <c r="D1645" s="139"/>
      <c r="E1645" s="138">
        <f>IFERROR(__xludf.DUMMYFUNCTION("""COMPUTED_VALUE"""),0.0)</f>
        <v>0</v>
      </c>
      <c r="F1645" s="138">
        <f>IFERROR(__xludf.DUMMYFUNCTION("""COMPUTED_VALUE"""),0.0)</f>
        <v>0</v>
      </c>
      <c r="G1645" s="138">
        <f>IFERROR(__xludf.DUMMYFUNCTION("""COMPUTED_VALUE"""),0.0)</f>
        <v>0</v>
      </c>
      <c r="H1645" s="138">
        <f>IFERROR(__xludf.DUMMYFUNCTION("""COMPUTED_VALUE"""),0.0)</f>
        <v>0</v>
      </c>
      <c r="I1645" s="138">
        <f>IFERROR(__xludf.DUMMYFUNCTION("""COMPUTED_VALUE"""),0.0)</f>
        <v>0</v>
      </c>
      <c r="J1645" s="138">
        <f>IFERROR(__xludf.DUMMYFUNCTION("""COMPUTED_VALUE"""),0.0)</f>
        <v>0</v>
      </c>
      <c r="K1645" s="138">
        <f>IFERROR(__xludf.DUMMYFUNCTION("""COMPUTED_VALUE"""),0.0)</f>
        <v>0</v>
      </c>
      <c r="L1645" s="138">
        <v>0.0</v>
      </c>
      <c r="M1645" s="140" t="str">
        <f>VLOOKUP(text(D1645, "#"),'Master Table'!$A:$F, 6, FALSE)</f>
        <v>#N/A</v>
      </c>
      <c r="N1645" s="141"/>
      <c r="O1645" s="142" t="str">
        <f t="shared" si="1"/>
        <v>TRUE</v>
      </c>
      <c r="P1645" s="143" t="str">
        <f>IF(ISNA(VLOOKUP(CONCAT(M1645,C1645), 'Judge Count DO NOT EDIT'!H:H, 1, FALSE)), "ERROR","")</f>
        <v>ERROR</v>
      </c>
      <c r="Q1645" s="141"/>
      <c r="R1645" s="143"/>
      <c r="S1645" s="139" t="str">
        <f t="shared" si="2"/>
        <v/>
      </c>
      <c r="T1645" s="141"/>
    </row>
    <row r="1646">
      <c r="A1646" s="138"/>
      <c r="B1646" s="138"/>
      <c r="C1646" s="138"/>
      <c r="D1646" s="139"/>
      <c r="E1646" s="138">
        <f>IFERROR(__xludf.DUMMYFUNCTION("""COMPUTED_VALUE"""),0.0)</f>
        <v>0</v>
      </c>
      <c r="F1646" s="138">
        <f>IFERROR(__xludf.DUMMYFUNCTION("""COMPUTED_VALUE"""),0.0)</f>
        <v>0</v>
      </c>
      <c r="G1646" s="138">
        <f>IFERROR(__xludf.DUMMYFUNCTION("""COMPUTED_VALUE"""),0.0)</f>
        <v>0</v>
      </c>
      <c r="H1646" s="138">
        <f>IFERROR(__xludf.DUMMYFUNCTION("""COMPUTED_VALUE"""),0.0)</f>
        <v>0</v>
      </c>
      <c r="I1646" s="138">
        <f>IFERROR(__xludf.DUMMYFUNCTION("""COMPUTED_VALUE"""),0.0)</f>
        <v>0</v>
      </c>
      <c r="J1646" s="138">
        <f>IFERROR(__xludf.DUMMYFUNCTION("""COMPUTED_VALUE"""),0.0)</f>
        <v>0</v>
      </c>
      <c r="K1646" s="138">
        <f>IFERROR(__xludf.DUMMYFUNCTION("""COMPUTED_VALUE"""),0.0)</f>
        <v>0</v>
      </c>
      <c r="L1646" s="138">
        <v>0.0</v>
      </c>
      <c r="M1646" s="140" t="str">
        <f>VLOOKUP(text(D1646, "#"),'Master Table'!$A:$F, 6, FALSE)</f>
        <v>#N/A</v>
      </c>
      <c r="N1646" s="141"/>
      <c r="O1646" s="142" t="str">
        <f t="shared" si="1"/>
        <v>TRUE</v>
      </c>
      <c r="P1646" s="143" t="str">
        <f>IF(ISNA(VLOOKUP(CONCAT(M1646,C1646), 'Judge Count DO NOT EDIT'!H:H, 1, FALSE)), "ERROR","")</f>
        <v>ERROR</v>
      </c>
      <c r="Q1646" s="141"/>
      <c r="R1646" s="143"/>
      <c r="S1646" s="139" t="str">
        <f t="shared" si="2"/>
        <v/>
      </c>
      <c r="T1646" s="141"/>
    </row>
    <row r="1647">
      <c r="A1647" s="138"/>
      <c r="B1647" s="138"/>
      <c r="C1647" s="138"/>
      <c r="D1647" s="139"/>
      <c r="E1647" s="138">
        <f>IFERROR(__xludf.DUMMYFUNCTION("""COMPUTED_VALUE"""),0.0)</f>
        <v>0</v>
      </c>
      <c r="F1647" s="138">
        <f>IFERROR(__xludf.DUMMYFUNCTION("""COMPUTED_VALUE"""),0.0)</f>
        <v>0</v>
      </c>
      <c r="G1647" s="138">
        <f>IFERROR(__xludf.DUMMYFUNCTION("""COMPUTED_VALUE"""),0.0)</f>
        <v>0</v>
      </c>
      <c r="H1647" s="138">
        <f>IFERROR(__xludf.DUMMYFUNCTION("""COMPUTED_VALUE"""),0.0)</f>
        <v>0</v>
      </c>
      <c r="I1647" s="138">
        <f>IFERROR(__xludf.DUMMYFUNCTION("""COMPUTED_VALUE"""),0.0)</f>
        <v>0</v>
      </c>
      <c r="J1647" s="138">
        <f>IFERROR(__xludf.DUMMYFUNCTION("""COMPUTED_VALUE"""),0.0)</f>
        <v>0</v>
      </c>
      <c r="K1647" s="138">
        <f>IFERROR(__xludf.DUMMYFUNCTION("""COMPUTED_VALUE"""),0.0)</f>
        <v>0</v>
      </c>
      <c r="L1647" s="138">
        <v>0.0</v>
      </c>
      <c r="M1647" s="140" t="str">
        <f>VLOOKUP(text(D1647, "#"),'Master Table'!$A:$F, 6, FALSE)</f>
        <v>#N/A</v>
      </c>
      <c r="N1647" s="141"/>
      <c r="O1647" s="142" t="str">
        <f t="shared" si="1"/>
        <v>TRUE</v>
      </c>
      <c r="P1647" s="143" t="str">
        <f>IF(ISNA(VLOOKUP(CONCAT(M1647,C1647), 'Judge Count DO NOT EDIT'!H:H, 1, FALSE)), "ERROR","")</f>
        <v>ERROR</v>
      </c>
      <c r="Q1647" s="141"/>
      <c r="R1647" s="143"/>
      <c r="S1647" s="139" t="str">
        <f t="shared" si="2"/>
        <v/>
      </c>
      <c r="T1647" s="141"/>
    </row>
    <row r="1648">
      <c r="A1648" s="138"/>
      <c r="B1648" s="138"/>
      <c r="C1648" s="138"/>
      <c r="D1648" s="139"/>
      <c r="E1648" s="138">
        <f>IFERROR(__xludf.DUMMYFUNCTION("""COMPUTED_VALUE"""),0.0)</f>
        <v>0</v>
      </c>
      <c r="F1648" s="138">
        <f>IFERROR(__xludf.DUMMYFUNCTION("""COMPUTED_VALUE"""),0.0)</f>
        <v>0</v>
      </c>
      <c r="G1648" s="138">
        <f>IFERROR(__xludf.DUMMYFUNCTION("""COMPUTED_VALUE"""),0.0)</f>
        <v>0</v>
      </c>
      <c r="H1648" s="138">
        <f>IFERROR(__xludf.DUMMYFUNCTION("""COMPUTED_VALUE"""),0.0)</f>
        <v>0</v>
      </c>
      <c r="I1648" s="138">
        <f>IFERROR(__xludf.DUMMYFUNCTION("""COMPUTED_VALUE"""),0.0)</f>
        <v>0</v>
      </c>
      <c r="J1648" s="138">
        <f>IFERROR(__xludf.DUMMYFUNCTION("""COMPUTED_VALUE"""),0.0)</f>
        <v>0</v>
      </c>
      <c r="K1648" s="138">
        <f>IFERROR(__xludf.DUMMYFUNCTION("""COMPUTED_VALUE"""),0.0)</f>
        <v>0</v>
      </c>
      <c r="L1648" s="138">
        <v>0.0</v>
      </c>
      <c r="M1648" s="140" t="str">
        <f>VLOOKUP(text(D1648, "#"),'Master Table'!$A:$F, 6, FALSE)</f>
        <v>#N/A</v>
      </c>
      <c r="N1648" s="141"/>
      <c r="O1648" s="142" t="str">
        <f t="shared" si="1"/>
        <v>TRUE</v>
      </c>
      <c r="P1648" s="143" t="str">
        <f>IF(ISNA(VLOOKUP(CONCAT(M1648,C1648), 'Judge Count DO NOT EDIT'!H:H, 1, FALSE)), "ERROR","")</f>
        <v>ERROR</v>
      </c>
      <c r="Q1648" s="141"/>
      <c r="R1648" s="143"/>
      <c r="S1648" s="139" t="str">
        <f t="shared" si="2"/>
        <v/>
      </c>
      <c r="T1648" s="141"/>
    </row>
    <row r="1649">
      <c r="A1649" s="138"/>
      <c r="B1649" s="138"/>
      <c r="C1649" s="138"/>
      <c r="D1649" s="139"/>
      <c r="E1649" s="138">
        <f>IFERROR(__xludf.DUMMYFUNCTION("""COMPUTED_VALUE"""),0.0)</f>
        <v>0</v>
      </c>
      <c r="F1649" s="138">
        <f>IFERROR(__xludf.DUMMYFUNCTION("""COMPUTED_VALUE"""),0.0)</f>
        <v>0</v>
      </c>
      <c r="G1649" s="138">
        <f>IFERROR(__xludf.DUMMYFUNCTION("""COMPUTED_VALUE"""),0.0)</f>
        <v>0</v>
      </c>
      <c r="H1649" s="138">
        <f>IFERROR(__xludf.DUMMYFUNCTION("""COMPUTED_VALUE"""),0.0)</f>
        <v>0</v>
      </c>
      <c r="I1649" s="138">
        <f>IFERROR(__xludf.DUMMYFUNCTION("""COMPUTED_VALUE"""),0.0)</f>
        <v>0</v>
      </c>
      <c r="J1649" s="138">
        <f>IFERROR(__xludf.DUMMYFUNCTION("""COMPUTED_VALUE"""),0.0)</f>
        <v>0</v>
      </c>
      <c r="K1649" s="138">
        <f>IFERROR(__xludf.DUMMYFUNCTION("""COMPUTED_VALUE"""),0.0)</f>
        <v>0</v>
      </c>
      <c r="L1649" s="138">
        <v>0.0</v>
      </c>
      <c r="M1649" s="140" t="str">
        <f>VLOOKUP(text(D1649, "#"),'Master Table'!$A:$F, 6, FALSE)</f>
        <v>#N/A</v>
      </c>
      <c r="N1649" s="141"/>
      <c r="O1649" s="142" t="str">
        <f t="shared" si="1"/>
        <v>TRUE</v>
      </c>
      <c r="P1649" s="143" t="str">
        <f>IF(ISNA(VLOOKUP(CONCAT(M1649,C1649), 'Judge Count DO NOT EDIT'!H:H, 1, FALSE)), "ERROR","")</f>
        <v>ERROR</v>
      </c>
      <c r="Q1649" s="141"/>
      <c r="R1649" s="143"/>
      <c r="S1649" s="139" t="str">
        <f t="shared" si="2"/>
        <v/>
      </c>
      <c r="T1649" s="141"/>
    </row>
    <row r="1650">
      <c r="A1650" s="138"/>
      <c r="B1650" s="138"/>
      <c r="C1650" s="138"/>
      <c r="D1650" s="139"/>
      <c r="E1650" s="138">
        <f>IFERROR(__xludf.DUMMYFUNCTION("""COMPUTED_VALUE"""),0.0)</f>
        <v>0</v>
      </c>
      <c r="F1650" s="138">
        <f>IFERROR(__xludf.DUMMYFUNCTION("""COMPUTED_VALUE"""),0.0)</f>
        <v>0</v>
      </c>
      <c r="G1650" s="138">
        <f>IFERROR(__xludf.DUMMYFUNCTION("""COMPUTED_VALUE"""),0.0)</f>
        <v>0</v>
      </c>
      <c r="H1650" s="138">
        <f>IFERROR(__xludf.DUMMYFUNCTION("""COMPUTED_VALUE"""),0.0)</f>
        <v>0</v>
      </c>
      <c r="I1650" s="138">
        <f>IFERROR(__xludf.DUMMYFUNCTION("""COMPUTED_VALUE"""),0.0)</f>
        <v>0</v>
      </c>
      <c r="J1650" s="138">
        <f>IFERROR(__xludf.DUMMYFUNCTION("""COMPUTED_VALUE"""),0.0)</f>
        <v>0</v>
      </c>
      <c r="K1650" s="138">
        <f>IFERROR(__xludf.DUMMYFUNCTION("""COMPUTED_VALUE"""),0.0)</f>
        <v>0</v>
      </c>
      <c r="L1650" s="138">
        <v>0.0</v>
      </c>
      <c r="M1650" s="140" t="str">
        <f>VLOOKUP(text(D1650, "#"),'Master Table'!$A:$F, 6, FALSE)</f>
        <v>#N/A</v>
      </c>
      <c r="N1650" s="141"/>
      <c r="O1650" s="142" t="str">
        <f t="shared" si="1"/>
        <v>TRUE</v>
      </c>
      <c r="P1650" s="143" t="str">
        <f>IF(ISNA(VLOOKUP(CONCAT(M1650,C1650), 'Judge Count DO NOT EDIT'!H:H, 1, FALSE)), "ERROR","")</f>
        <v>ERROR</v>
      </c>
      <c r="Q1650" s="141"/>
      <c r="R1650" s="143"/>
      <c r="S1650" s="139" t="str">
        <f t="shared" si="2"/>
        <v/>
      </c>
      <c r="T1650" s="141"/>
    </row>
    <row r="1651">
      <c r="A1651" s="138"/>
      <c r="B1651" s="138"/>
      <c r="C1651" s="138"/>
      <c r="D1651" s="139"/>
      <c r="E1651" s="138">
        <f>IFERROR(__xludf.DUMMYFUNCTION("""COMPUTED_VALUE"""),0.0)</f>
        <v>0</v>
      </c>
      <c r="F1651" s="138">
        <f>IFERROR(__xludf.DUMMYFUNCTION("""COMPUTED_VALUE"""),0.0)</f>
        <v>0</v>
      </c>
      <c r="G1651" s="138">
        <f>IFERROR(__xludf.DUMMYFUNCTION("""COMPUTED_VALUE"""),0.0)</f>
        <v>0</v>
      </c>
      <c r="H1651" s="138">
        <f>IFERROR(__xludf.DUMMYFUNCTION("""COMPUTED_VALUE"""),0.0)</f>
        <v>0</v>
      </c>
      <c r="I1651" s="138">
        <f>IFERROR(__xludf.DUMMYFUNCTION("""COMPUTED_VALUE"""),0.0)</f>
        <v>0</v>
      </c>
      <c r="J1651" s="138">
        <f>IFERROR(__xludf.DUMMYFUNCTION("""COMPUTED_VALUE"""),0.0)</f>
        <v>0</v>
      </c>
      <c r="K1651" s="138">
        <f>IFERROR(__xludf.DUMMYFUNCTION("""COMPUTED_VALUE"""),0.0)</f>
        <v>0</v>
      </c>
      <c r="L1651" s="138">
        <v>0.0</v>
      </c>
      <c r="M1651" s="140" t="str">
        <f>VLOOKUP(text(D1651, "#"),'Master Table'!$A:$F, 6, FALSE)</f>
        <v>#N/A</v>
      </c>
      <c r="N1651" s="141"/>
      <c r="O1651" s="142" t="str">
        <f t="shared" si="1"/>
        <v>TRUE</v>
      </c>
      <c r="P1651" s="143" t="str">
        <f>IF(ISNA(VLOOKUP(CONCAT(M1651,C1651), 'Judge Count DO NOT EDIT'!H:H, 1, FALSE)), "ERROR","")</f>
        <v>ERROR</v>
      </c>
      <c r="Q1651" s="141"/>
      <c r="R1651" s="143"/>
      <c r="S1651" s="139" t="str">
        <f t="shared" si="2"/>
        <v/>
      </c>
      <c r="T1651" s="141"/>
    </row>
    <row r="1652">
      <c r="A1652" s="138"/>
      <c r="B1652" s="138"/>
      <c r="C1652" s="138"/>
      <c r="D1652" s="139"/>
      <c r="E1652" s="138">
        <f>IFERROR(__xludf.DUMMYFUNCTION("""COMPUTED_VALUE"""),0.0)</f>
        <v>0</v>
      </c>
      <c r="F1652" s="138">
        <f>IFERROR(__xludf.DUMMYFUNCTION("""COMPUTED_VALUE"""),0.0)</f>
        <v>0</v>
      </c>
      <c r="G1652" s="138">
        <f>IFERROR(__xludf.DUMMYFUNCTION("""COMPUTED_VALUE"""),0.0)</f>
        <v>0</v>
      </c>
      <c r="H1652" s="138">
        <f>IFERROR(__xludf.DUMMYFUNCTION("""COMPUTED_VALUE"""),0.0)</f>
        <v>0</v>
      </c>
      <c r="I1652" s="138">
        <f>IFERROR(__xludf.DUMMYFUNCTION("""COMPUTED_VALUE"""),0.0)</f>
        <v>0</v>
      </c>
      <c r="J1652" s="138">
        <f>IFERROR(__xludf.DUMMYFUNCTION("""COMPUTED_VALUE"""),0.0)</f>
        <v>0</v>
      </c>
      <c r="K1652" s="138">
        <f>IFERROR(__xludf.DUMMYFUNCTION("""COMPUTED_VALUE"""),0.0)</f>
        <v>0</v>
      </c>
      <c r="L1652" s="138">
        <v>0.0</v>
      </c>
      <c r="M1652" s="140" t="str">
        <f>VLOOKUP(text(D1652, "#"),'Master Table'!$A:$F, 6, FALSE)</f>
        <v>#N/A</v>
      </c>
      <c r="N1652" s="141"/>
      <c r="O1652" s="142" t="str">
        <f t="shared" si="1"/>
        <v>TRUE</v>
      </c>
      <c r="P1652" s="143" t="str">
        <f>IF(ISNA(VLOOKUP(CONCAT(M1652,C1652), 'Judge Count DO NOT EDIT'!H:H, 1, FALSE)), "ERROR","")</f>
        <v>ERROR</v>
      </c>
      <c r="Q1652" s="141"/>
      <c r="R1652" s="143"/>
      <c r="S1652" s="139" t="str">
        <f t="shared" si="2"/>
        <v/>
      </c>
      <c r="T1652" s="141"/>
    </row>
    <row r="1653">
      <c r="A1653" s="138"/>
      <c r="B1653" s="138"/>
      <c r="C1653" s="138"/>
      <c r="D1653" s="139"/>
      <c r="E1653" s="138">
        <f>IFERROR(__xludf.DUMMYFUNCTION("""COMPUTED_VALUE"""),0.0)</f>
        <v>0</v>
      </c>
      <c r="F1653" s="138">
        <f>IFERROR(__xludf.DUMMYFUNCTION("""COMPUTED_VALUE"""),0.0)</f>
        <v>0</v>
      </c>
      <c r="G1653" s="138">
        <f>IFERROR(__xludf.DUMMYFUNCTION("""COMPUTED_VALUE"""),0.0)</f>
        <v>0</v>
      </c>
      <c r="H1653" s="138">
        <f>IFERROR(__xludf.DUMMYFUNCTION("""COMPUTED_VALUE"""),0.0)</f>
        <v>0</v>
      </c>
      <c r="I1653" s="138">
        <f>IFERROR(__xludf.DUMMYFUNCTION("""COMPUTED_VALUE"""),0.0)</f>
        <v>0</v>
      </c>
      <c r="J1653" s="138">
        <f>IFERROR(__xludf.DUMMYFUNCTION("""COMPUTED_VALUE"""),0.0)</f>
        <v>0</v>
      </c>
      <c r="K1653" s="138">
        <f>IFERROR(__xludf.DUMMYFUNCTION("""COMPUTED_VALUE"""),0.0)</f>
        <v>0</v>
      </c>
      <c r="L1653" s="138">
        <v>0.0</v>
      </c>
      <c r="M1653" s="140" t="str">
        <f>VLOOKUP(text(D1653, "#"),'Master Table'!$A:$F, 6, FALSE)</f>
        <v>#N/A</v>
      </c>
      <c r="N1653" s="141"/>
      <c r="O1653" s="142" t="str">
        <f t="shared" si="1"/>
        <v>TRUE</v>
      </c>
      <c r="P1653" s="143" t="str">
        <f>IF(ISNA(VLOOKUP(CONCAT(M1653,C1653), 'Judge Count DO NOT EDIT'!H:H, 1, FALSE)), "ERROR","")</f>
        <v>ERROR</v>
      </c>
      <c r="Q1653" s="141"/>
      <c r="R1653" s="143"/>
      <c r="S1653" s="139" t="str">
        <f t="shared" si="2"/>
        <v/>
      </c>
      <c r="T1653" s="141"/>
    </row>
    <row r="1654">
      <c r="A1654" s="138"/>
      <c r="B1654" s="138"/>
      <c r="C1654" s="138"/>
      <c r="D1654" s="139"/>
      <c r="E1654" s="138">
        <f>IFERROR(__xludf.DUMMYFUNCTION("""COMPUTED_VALUE"""),0.0)</f>
        <v>0</v>
      </c>
      <c r="F1654" s="138">
        <f>IFERROR(__xludf.DUMMYFUNCTION("""COMPUTED_VALUE"""),0.0)</f>
        <v>0</v>
      </c>
      <c r="G1654" s="138">
        <f>IFERROR(__xludf.DUMMYFUNCTION("""COMPUTED_VALUE"""),0.0)</f>
        <v>0</v>
      </c>
      <c r="H1654" s="138">
        <f>IFERROR(__xludf.DUMMYFUNCTION("""COMPUTED_VALUE"""),0.0)</f>
        <v>0</v>
      </c>
      <c r="I1654" s="138">
        <f>IFERROR(__xludf.DUMMYFUNCTION("""COMPUTED_VALUE"""),0.0)</f>
        <v>0</v>
      </c>
      <c r="J1654" s="138">
        <f>IFERROR(__xludf.DUMMYFUNCTION("""COMPUTED_VALUE"""),0.0)</f>
        <v>0</v>
      </c>
      <c r="K1654" s="138">
        <f>IFERROR(__xludf.DUMMYFUNCTION("""COMPUTED_VALUE"""),0.0)</f>
        <v>0</v>
      </c>
      <c r="L1654" s="138">
        <v>0.0</v>
      </c>
      <c r="M1654" s="140" t="str">
        <f>VLOOKUP(text(D1654, "#"),'Master Table'!$A:$F, 6, FALSE)</f>
        <v>#N/A</v>
      </c>
      <c r="N1654" s="141"/>
      <c r="O1654" s="142" t="str">
        <f t="shared" si="1"/>
        <v>TRUE</v>
      </c>
      <c r="P1654" s="143" t="str">
        <f>IF(ISNA(VLOOKUP(CONCAT(M1654,C1654), 'Judge Count DO NOT EDIT'!H:H, 1, FALSE)), "ERROR","")</f>
        <v>ERROR</v>
      </c>
      <c r="Q1654" s="141"/>
      <c r="R1654" s="143"/>
      <c r="S1654" s="139" t="str">
        <f t="shared" si="2"/>
        <v/>
      </c>
      <c r="T1654" s="141"/>
    </row>
    <row r="1655">
      <c r="A1655" s="138"/>
      <c r="B1655" s="138"/>
      <c r="C1655" s="138"/>
      <c r="D1655" s="139"/>
      <c r="E1655" s="138">
        <f>IFERROR(__xludf.DUMMYFUNCTION("""COMPUTED_VALUE"""),0.0)</f>
        <v>0</v>
      </c>
      <c r="F1655" s="138">
        <f>IFERROR(__xludf.DUMMYFUNCTION("""COMPUTED_VALUE"""),0.0)</f>
        <v>0</v>
      </c>
      <c r="G1655" s="138">
        <f>IFERROR(__xludf.DUMMYFUNCTION("""COMPUTED_VALUE"""),0.0)</f>
        <v>0</v>
      </c>
      <c r="H1655" s="138">
        <f>IFERROR(__xludf.DUMMYFUNCTION("""COMPUTED_VALUE"""),0.0)</f>
        <v>0</v>
      </c>
      <c r="I1655" s="138">
        <f>IFERROR(__xludf.DUMMYFUNCTION("""COMPUTED_VALUE"""),0.0)</f>
        <v>0</v>
      </c>
      <c r="J1655" s="138">
        <f>IFERROR(__xludf.DUMMYFUNCTION("""COMPUTED_VALUE"""),0.0)</f>
        <v>0</v>
      </c>
      <c r="K1655" s="138">
        <f>IFERROR(__xludf.DUMMYFUNCTION("""COMPUTED_VALUE"""),0.0)</f>
        <v>0</v>
      </c>
      <c r="L1655" s="138">
        <v>0.0</v>
      </c>
      <c r="M1655" s="140" t="str">
        <f>VLOOKUP(text(D1655, "#"),'Master Table'!$A:$F, 6, FALSE)</f>
        <v>#N/A</v>
      </c>
      <c r="N1655" s="141"/>
      <c r="O1655" s="142" t="str">
        <f t="shared" si="1"/>
        <v>TRUE</v>
      </c>
      <c r="P1655" s="143" t="str">
        <f>IF(ISNA(VLOOKUP(CONCAT(M1655,C1655), 'Judge Count DO NOT EDIT'!H:H, 1, FALSE)), "ERROR","")</f>
        <v>ERROR</v>
      </c>
      <c r="Q1655" s="141"/>
      <c r="R1655" s="143"/>
      <c r="S1655" s="139" t="str">
        <f t="shared" si="2"/>
        <v/>
      </c>
      <c r="T1655" s="141"/>
    </row>
    <row r="1656">
      <c r="A1656" s="138"/>
      <c r="B1656" s="138"/>
      <c r="C1656" s="138"/>
      <c r="D1656" s="139"/>
      <c r="E1656" s="138">
        <f>IFERROR(__xludf.DUMMYFUNCTION("""COMPUTED_VALUE"""),0.0)</f>
        <v>0</v>
      </c>
      <c r="F1656" s="138">
        <f>IFERROR(__xludf.DUMMYFUNCTION("""COMPUTED_VALUE"""),0.0)</f>
        <v>0</v>
      </c>
      <c r="G1656" s="138">
        <f>IFERROR(__xludf.DUMMYFUNCTION("""COMPUTED_VALUE"""),0.0)</f>
        <v>0</v>
      </c>
      <c r="H1656" s="138">
        <f>IFERROR(__xludf.DUMMYFUNCTION("""COMPUTED_VALUE"""),0.0)</f>
        <v>0</v>
      </c>
      <c r="I1656" s="138">
        <f>IFERROR(__xludf.DUMMYFUNCTION("""COMPUTED_VALUE"""),0.0)</f>
        <v>0</v>
      </c>
      <c r="J1656" s="138">
        <f>IFERROR(__xludf.DUMMYFUNCTION("""COMPUTED_VALUE"""),0.0)</f>
        <v>0</v>
      </c>
      <c r="K1656" s="138">
        <f>IFERROR(__xludf.DUMMYFUNCTION("""COMPUTED_VALUE"""),0.0)</f>
        <v>0</v>
      </c>
      <c r="L1656" s="138">
        <v>0.0</v>
      </c>
      <c r="M1656" s="140" t="str">
        <f>VLOOKUP(text(D1656, "#"),'Master Table'!$A:$F, 6, FALSE)</f>
        <v>#N/A</v>
      </c>
      <c r="N1656" s="141"/>
      <c r="O1656" s="142" t="str">
        <f t="shared" si="1"/>
        <v>TRUE</v>
      </c>
      <c r="P1656" s="143" t="str">
        <f>IF(ISNA(VLOOKUP(CONCAT(M1656,C1656), 'Judge Count DO NOT EDIT'!H:H, 1, FALSE)), "ERROR","")</f>
        <v>ERROR</v>
      </c>
      <c r="Q1656" s="141"/>
      <c r="R1656" s="143"/>
      <c r="S1656" s="139" t="str">
        <f t="shared" si="2"/>
        <v/>
      </c>
      <c r="T1656" s="141"/>
    </row>
    <row r="1657">
      <c r="A1657" s="138"/>
      <c r="B1657" s="138"/>
      <c r="C1657" s="138"/>
      <c r="D1657" s="139"/>
      <c r="E1657" s="138">
        <f>IFERROR(__xludf.DUMMYFUNCTION("""COMPUTED_VALUE"""),0.0)</f>
        <v>0</v>
      </c>
      <c r="F1657" s="138">
        <f>IFERROR(__xludf.DUMMYFUNCTION("""COMPUTED_VALUE"""),0.0)</f>
        <v>0</v>
      </c>
      <c r="G1657" s="138">
        <f>IFERROR(__xludf.DUMMYFUNCTION("""COMPUTED_VALUE"""),0.0)</f>
        <v>0</v>
      </c>
      <c r="H1657" s="138">
        <f>IFERROR(__xludf.DUMMYFUNCTION("""COMPUTED_VALUE"""),0.0)</f>
        <v>0</v>
      </c>
      <c r="I1657" s="138">
        <f>IFERROR(__xludf.DUMMYFUNCTION("""COMPUTED_VALUE"""),0.0)</f>
        <v>0</v>
      </c>
      <c r="J1657" s="138">
        <f>IFERROR(__xludf.DUMMYFUNCTION("""COMPUTED_VALUE"""),0.0)</f>
        <v>0</v>
      </c>
      <c r="K1657" s="138">
        <f>IFERROR(__xludf.DUMMYFUNCTION("""COMPUTED_VALUE"""),0.0)</f>
        <v>0</v>
      </c>
      <c r="L1657" s="138">
        <v>0.0</v>
      </c>
      <c r="M1657" s="140" t="str">
        <f>VLOOKUP(text(D1657, "#"),'Master Table'!$A:$F, 6, FALSE)</f>
        <v>#N/A</v>
      </c>
      <c r="N1657" s="141"/>
      <c r="O1657" s="142" t="str">
        <f t="shared" si="1"/>
        <v>TRUE</v>
      </c>
      <c r="P1657" s="143" t="str">
        <f>IF(ISNA(VLOOKUP(CONCAT(M1657,C1657), 'Judge Count DO NOT EDIT'!H:H, 1, FALSE)), "ERROR","")</f>
        <v>ERROR</v>
      </c>
      <c r="Q1657" s="141"/>
      <c r="R1657" s="143"/>
      <c r="S1657" s="139" t="str">
        <f t="shared" si="2"/>
        <v/>
      </c>
      <c r="T1657" s="141"/>
    </row>
    <row r="1658">
      <c r="A1658" s="138"/>
      <c r="B1658" s="138"/>
      <c r="C1658" s="138"/>
      <c r="D1658" s="139"/>
      <c r="E1658" s="138">
        <f>IFERROR(__xludf.DUMMYFUNCTION("""COMPUTED_VALUE"""),0.0)</f>
        <v>0</v>
      </c>
      <c r="F1658" s="138">
        <f>IFERROR(__xludf.DUMMYFUNCTION("""COMPUTED_VALUE"""),0.0)</f>
        <v>0</v>
      </c>
      <c r="G1658" s="138">
        <f>IFERROR(__xludf.DUMMYFUNCTION("""COMPUTED_VALUE"""),0.0)</f>
        <v>0</v>
      </c>
      <c r="H1658" s="138">
        <f>IFERROR(__xludf.DUMMYFUNCTION("""COMPUTED_VALUE"""),0.0)</f>
        <v>0</v>
      </c>
      <c r="I1658" s="138">
        <f>IFERROR(__xludf.DUMMYFUNCTION("""COMPUTED_VALUE"""),0.0)</f>
        <v>0</v>
      </c>
      <c r="J1658" s="138">
        <f>IFERROR(__xludf.DUMMYFUNCTION("""COMPUTED_VALUE"""),0.0)</f>
        <v>0</v>
      </c>
      <c r="K1658" s="138">
        <f>IFERROR(__xludf.DUMMYFUNCTION("""COMPUTED_VALUE"""),0.0)</f>
        <v>0</v>
      </c>
      <c r="L1658" s="138">
        <v>0.0</v>
      </c>
      <c r="M1658" s="140" t="str">
        <f>VLOOKUP(text(D1658, "#"),'Master Table'!$A:$F, 6, FALSE)</f>
        <v>#N/A</v>
      </c>
      <c r="N1658" s="141"/>
      <c r="O1658" s="142" t="str">
        <f t="shared" si="1"/>
        <v>TRUE</v>
      </c>
      <c r="P1658" s="143" t="str">
        <f>IF(ISNA(VLOOKUP(CONCAT(M1658,C1658), 'Judge Count DO NOT EDIT'!H:H, 1, FALSE)), "ERROR","")</f>
        <v>ERROR</v>
      </c>
      <c r="Q1658" s="141"/>
      <c r="R1658" s="143"/>
      <c r="S1658" s="139" t="str">
        <f t="shared" si="2"/>
        <v/>
      </c>
      <c r="T1658" s="141"/>
    </row>
    <row r="1659">
      <c r="A1659" s="138"/>
      <c r="B1659" s="138"/>
      <c r="C1659" s="138"/>
      <c r="D1659" s="139"/>
      <c r="E1659" s="138">
        <f>IFERROR(__xludf.DUMMYFUNCTION("""COMPUTED_VALUE"""),0.0)</f>
        <v>0</v>
      </c>
      <c r="F1659" s="138">
        <f>IFERROR(__xludf.DUMMYFUNCTION("""COMPUTED_VALUE"""),0.0)</f>
        <v>0</v>
      </c>
      <c r="G1659" s="138">
        <f>IFERROR(__xludf.DUMMYFUNCTION("""COMPUTED_VALUE"""),0.0)</f>
        <v>0</v>
      </c>
      <c r="H1659" s="138">
        <f>IFERROR(__xludf.DUMMYFUNCTION("""COMPUTED_VALUE"""),0.0)</f>
        <v>0</v>
      </c>
      <c r="I1659" s="138">
        <f>IFERROR(__xludf.DUMMYFUNCTION("""COMPUTED_VALUE"""),0.0)</f>
        <v>0</v>
      </c>
      <c r="J1659" s="138">
        <f>IFERROR(__xludf.DUMMYFUNCTION("""COMPUTED_VALUE"""),0.0)</f>
        <v>0</v>
      </c>
      <c r="K1659" s="138">
        <f>IFERROR(__xludf.DUMMYFUNCTION("""COMPUTED_VALUE"""),0.0)</f>
        <v>0</v>
      </c>
      <c r="L1659" s="138">
        <v>0.0</v>
      </c>
      <c r="M1659" s="140" t="str">
        <f>VLOOKUP(text(D1659, "#"),'Master Table'!$A:$F, 6, FALSE)</f>
        <v>#N/A</v>
      </c>
      <c r="N1659" s="141"/>
      <c r="O1659" s="142" t="str">
        <f t="shared" si="1"/>
        <v>TRUE</v>
      </c>
      <c r="P1659" s="143" t="str">
        <f>IF(ISNA(VLOOKUP(CONCAT(M1659,C1659), 'Judge Count DO NOT EDIT'!H:H, 1, FALSE)), "ERROR","")</f>
        <v>ERROR</v>
      </c>
      <c r="Q1659" s="141"/>
      <c r="R1659" s="143"/>
      <c r="S1659" s="139" t="str">
        <f t="shared" si="2"/>
        <v/>
      </c>
      <c r="T1659" s="141"/>
    </row>
    <row r="1660">
      <c r="A1660" s="138"/>
      <c r="B1660" s="138"/>
      <c r="C1660" s="138"/>
      <c r="D1660" s="139"/>
      <c r="E1660" s="138">
        <f>IFERROR(__xludf.DUMMYFUNCTION("""COMPUTED_VALUE"""),0.0)</f>
        <v>0</v>
      </c>
      <c r="F1660" s="138">
        <f>IFERROR(__xludf.DUMMYFUNCTION("""COMPUTED_VALUE"""),0.0)</f>
        <v>0</v>
      </c>
      <c r="G1660" s="138">
        <f>IFERROR(__xludf.DUMMYFUNCTION("""COMPUTED_VALUE"""),0.0)</f>
        <v>0</v>
      </c>
      <c r="H1660" s="138">
        <f>IFERROR(__xludf.DUMMYFUNCTION("""COMPUTED_VALUE"""),0.0)</f>
        <v>0</v>
      </c>
      <c r="I1660" s="138">
        <f>IFERROR(__xludf.DUMMYFUNCTION("""COMPUTED_VALUE"""),0.0)</f>
        <v>0</v>
      </c>
      <c r="J1660" s="138">
        <f>IFERROR(__xludf.DUMMYFUNCTION("""COMPUTED_VALUE"""),0.0)</f>
        <v>0</v>
      </c>
      <c r="K1660" s="138">
        <f>IFERROR(__xludf.DUMMYFUNCTION("""COMPUTED_VALUE"""),0.0)</f>
        <v>0</v>
      </c>
      <c r="L1660" s="138">
        <v>0.0</v>
      </c>
      <c r="M1660" s="140" t="str">
        <f>VLOOKUP(text(D1660, "#"),'Master Table'!$A:$F, 6, FALSE)</f>
        <v>#N/A</v>
      </c>
      <c r="N1660" s="141"/>
      <c r="O1660" s="142" t="str">
        <f t="shared" si="1"/>
        <v>TRUE</v>
      </c>
      <c r="P1660" s="143" t="str">
        <f>IF(ISNA(VLOOKUP(CONCAT(M1660,C1660), 'Judge Count DO NOT EDIT'!H:H, 1, FALSE)), "ERROR","")</f>
        <v>ERROR</v>
      </c>
      <c r="Q1660" s="141"/>
      <c r="R1660" s="143"/>
      <c r="S1660" s="139" t="str">
        <f t="shared" si="2"/>
        <v/>
      </c>
      <c r="T1660" s="141"/>
    </row>
    <row r="1661">
      <c r="A1661" s="138"/>
      <c r="B1661" s="138"/>
      <c r="C1661" s="138"/>
      <c r="D1661" s="139"/>
      <c r="E1661" s="138">
        <f>IFERROR(__xludf.DUMMYFUNCTION("""COMPUTED_VALUE"""),0.0)</f>
        <v>0</v>
      </c>
      <c r="F1661" s="138">
        <f>IFERROR(__xludf.DUMMYFUNCTION("""COMPUTED_VALUE"""),0.0)</f>
        <v>0</v>
      </c>
      <c r="G1661" s="138">
        <f>IFERROR(__xludf.DUMMYFUNCTION("""COMPUTED_VALUE"""),0.0)</f>
        <v>0</v>
      </c>
      <c r="H1661" s="138">
        <f>IFERROR(__xludf.DUMMYFUNCTION("""COMPUTED_VALUE"""),0.0)</f>
        <v>0</v>
      </c>
      <c r="I1661" s="138">
        <f>IFERROR(__xludf.DUMMYFUNCTION("""COMPUTED_VALUE"""),0.0)</f>
        <v>0</v>
      </c>
      <c r="J1661" s="138">
        <f>IFERROR(__xludf.DUMMYFUNCTION("""COMPUTED_VALUE"""),0.0)</f>
        <v>0</v>
      </c>
      <c r="K1661" s="138">
        <f>IFERROR(__xludf.DUMMYFUNCTION("""COMPUTED_VALUE"""),0.0)</f>
        <v>0</v>
      </c>
      <c r="L1661" s="138">
        <v>0.0</v>
      </c>
      <c r="M1661" s="140" t="str">
        <f>VLOOKUP(text(D1661, "#"),'Master Table'!$A:$F, 6, FALSE)</f>
        <v>#N/A</v>
      </c>
      <c r="N1661" s="141"/>
      <c r="O1661" s="142" t="str">
        <f t="shared" si="1"/>
        <v>TRUE</v>
      </c>
      <c r="P1661" s="143" t="str">
        <f>IF(ISNA(VLOOKUP(CONCAT(M1661,C1661), 'Judge Count DO NOT EDIT'!H:H, 1, FALSE)), "ERROR","")</f>
        <v>ERROR</v>
      </c>
      <c r="Q1661" s="141"/>
      <c r="R1661" s="143"/>
      <c r="S1661" s="139" t="str">
        <f t="shared" si="2"/>
        <v/>
      </c>
      <c r="T1661" s="141"/>
    </row>
    <row r="1662">
      <c r="A1662" s="138"/>
      <c r="B1662" s="138"/>
      <c r="C1662" s="138"/>
      <c r="D1662" s="139"/>
      <c r="E1662" s="138">
        <f>IFERROR(__xludf.DUMMYFUNCTION("""COMPUTED_VALUE"""),0.0)</f>
        <v>0</v>
      </c>
      <c r="F1662" s="138">
        <f>IFERROR(__xludf.DUMMYFUNCTION("""COMPUTED_VALUE"""),0.0)</f>
        <v>0</v>
      </c>
      <c r="G1662" s="138">
        <f>IFERROR(__xludf.DUMMYFUNCTION("""COMPUTED_VALUE"""),0.0)</f>
        <v>0</v>
      </c>
      <c r="H1662" s="138">
        <f>IFERROR(__xludf.DUMMYFUNCTION("""COMPUTED_VALUE"""),0.0)</f>
        <v>0</v>
      </c>
      <c r="I1662" s="138">
        <f>IFERROR(__xludf.DUMMYFUNCTION("""COMPUTED_VALUE"""),0.0)</f>
        <v>0</v>
      </c>
      <c r="J1662" s="138">
        <f>IFERROR(__xludf.DUMMYFUNCTION("""COMPUTED_VALUE"""),0.0)</f>
        <v>0</v>
      </c>
      <c r="K1662" s="138">
        <f>IFERROR(__xludf.DUMMYFUNCTION("""COMPUTED_VALUE"""),0.0)</f>
        <v>0</v>
      </c>
      <c r="L1662" s="138">
        <v>0.0</v>
      </c>
      <c r="M1662" s="140" t="str">
        <f>VLOOKUP(text(D1662, "#"),'Master Table'!$A:$F, 6, FALSE)</f>
        <v>#N/A</v>
      </c>
      <c r="N1662" s="141"/>
      <c r="O1662" s="142" t="str">
        <f t="shared" si="1"/>
        <v>TRUE</v>
      </c>
      <c r="P1662" s="143" t="str">
        <f>IF(ISNA(VLOOKUP(CONCAT(M1662,C1662), 'Judge Count DO NOT EDIT'!H:H, 1, FALSE)), "ERROR","")</f>
        <v>ERROR</v>
      </c>
      <c r="Q1662" s="141"/>
      <c r="R1662" s="143"/>
      <c r="S1662" s="139" t="str">
        <f t="shared" si="2"/>
        <v/>
      </c>
      <c r="T1662" s="141"/>
    </row>
    <row r="1663">
      <c r="A1663" s="138"/>
      <c r="B1663" s="138"/>
      <c r="C1663" s="138"/>
      <c r="D1663" s="139"/>
      <c r="E1663" s="138">
        <f>IFERROR(__xludf.DUMMYFUNCTION("""COMPUTED_VALUE"""),0.0)</f>
        <v>0</v>
      </c>
      <c r="F1663" s="138">
        <f>IFERROR(__xludf.DUMMYFUNCTION("""COMPUTED_VALUE"""),0.0)</f>
        <v>0</v>
      </c>
      <c r="G1663" s="138">
        <f>IFERROR(__xludf.DUMMYFUNCTION("""COMPUTED_VALUE"""),0.0)</f>
        <v>0</v>
      </c>
      <c r="H1663" s="138">
        <f>IFERROR(__xludf.DUMMYFUNCTION("""COMPUTED_VALUE"""),0.0)</f>
        <v>0</v>
      </c>
      <c r="I1663" s="138">
        <f>IFERROR(__xludf.DUMMYFUNCTION("""COMPUTED_VALUE"""),0.0)</f>
        <v>0</v>
      </c>
      <c r="J1663" s="138">
        <f>IFERROR(__xludf.DUMMYFUNCTION("""COMPUTED_VALUE"""),0.0)</f>
        <v>0</v>
      </c>
      <c r="K1663" s="138">
        <f>IFERROR(__xludf.DUMMYFUNCTION("""COMPUTED_VALUE"""),0.0)</f>
        <v>0</v>
      </c>
      <c r="L1663" s="138">
        <v>0.0</v>
      </c>
      <c r="M1663" s="140" t="str">
        <f>VLOOKUP(text(D1663, "#"),'Master Table'!$A:$F, 6, FALSE)</f>
        <v>#N/A</v>
      </c>
      <c r="N1663" s="141"/>
      <c r="O1663" s="142" t="str">
        <f t="shared" si="1"/>
        <v>TRUE</v>
      </c>
      <c r="P1663" s="143" t="str">
        <f>IF(ISNA(VLOOKUP(CONCAT(M1663,C1663), 'Judge Count DO NOT EDIT'!H:H, 1, FALSE)), "ERROR","")</f>
        <v>ERROR</v>
      </c>
      <c r="Q1663" s="141"/>
      <c r="R1663" s="143"/>
      <c r="S1663" s="139" t="str">
        <f t="shared" si="2"/>
        <v/>
      </c>
      <c r="T1663" s="141"/>
    </row>
    <row r="1664">
      <c r="A1664" s="138"/>
      <c r="B1664" s="138"/>
      <c r="C1664" s="138"/>
      <c r="D1664" s="139"/>
      <c r="E1664" s="138">
        <f>IFERROR(__xludf.DUMMYFUNCTION("""COMPUTED_VALUE"""),0.0)</f>
        <v>0</v>
      </c>
      <c r="F1664" s="138">
        <f>IFERROR(__xludf.DUMMYFUNCTION("""COMPUTED_VALUE"""),0.0)</f>
        <v>0</v>
      </c>
      <c r="G1664" s="138">
        <f>IFERROR(__xludf.DUMMYFUNCTION("""COMPUTED_VALUE"""),0.0)</f>
        <v>0</v>
      </c>
      <c r="H1664" s="138">
        <f>IFERROR(__xludf.DUMMYFUNCTION("""COMPUTED_VALUE"""),0.0)</f>
        <v>0</v>
      </c>
      <c r="I1664" s="138">
        <f>IFERROR(__xludf.DUMMYFUNCTION("""COMPUTED_VALUE"""),0.0)</f>
        <v>0</v>
      </c>
      <c r="J1664" s="138">
        <f>IFERROR(__xludf.DUMMYFUNCTION("""COMPUTED_VALUE"""),0.0)</f>
        <v>0</v>
      </c>
      <c r="K1664" s="138">
        <f>IFERROR(__xludf.DUMMYFUNCTION("""COMPUTED_VALUE"""),0.0)</f>
        <v>0</v>
      </c>
      <c r="L1664" s="138">
        <v>0.0</v>
      </c>
      <c r="M1664" s="140" t="str">
        <f>VLOOKUP(text(D1664, "#"),'Master Table'!$A:$F, 6, FALSE)</f>
        <v>#N/A</v>
      </c>
      <c r="N1664" s="141"/>
      <c r="O1664" s="142" t="str">
        <f t="shared" si="1"/>
        <v>TRUE</v>
      </c>
      <c r="P1664" s="143" t="str">
        <f>IF(ISNA(VLOOKUP(CONCAT(M1664,C1664), 'Judge Count DO NOT EDIT'!H:H, 1, FALSE)), "ERROR","")</f>
        <v>ERROR</v>
      </c>
      <c r="Q1664" s="141"/>
      <c r="R1664" s="143"/>
      <c r="S1664" s="139" t="str">
        <f t="shared" si="2"/>
        <v/>
      </c>
      <c r="T1664" s="141"/>
    </row>
    <row r="1665">
      <c r="A1665" s="138"/>
      <c r="B1665" s="138"/>
      <c r="C1665" s="138"/>
      <c r="D1665" s="139"/>
      <c r="E1665" s="138">
        <f>IFERROR(__xludf.DUMMYFUNCTION("""COMPUTED_VALUE"""),0.0)</f>
        <v>0</v>
      </c>
      <c r="F1665" s="138">
        <f>IFERROR(__xludf.DUMMYFUNCTION("""COMPUTED_VALUE"""),0.0)</f>
        <v>0</v>
      </c>
      <c r="G1665" s="138">
        <f>IFERROR(__xludf.DUMMYFUNCTION("""COMPUTED_VALUE"""),0.0)</f>
        <v>0</v>
      </c>
      <c r="H1665" s="138">
        <f>IFERROR(__xludf.DUMMYFUNCTION("""COMPUTED_VALUE"""),0.0)</f>
        <v>0</v>
      </c>
      <c r="I1665" s="138">
        <f>IFERROR(__xludf.DUMMYFUNCTION("""COMPUTED_VALUE"""),0.0)</f>
        <v>0</v>
      </c>
      <c r="J1665" s="138">
        <f>IFERROR(__xludf.DUMMYFUNCTION("""COMPUTED_VALUE"""),0.0)</f>
        <v>0</v>
      </c>
      <c r="K1665" s="138">
        <f>IFERROR(__xludf.DUMMYFUNCTION("""COMPUTED_VALUE"""),0.0)</f>
        <v>0</v>
      </c>
      <c r="L1665" s="138">
        <v>0.0</v>
      </c>
      <c r="M1665" s="140" t="str">
        <f>VLOOKUP(text(D1665, "#"),'Master Table'!$A:$F, 6, FALSE)</f>
        <v>#N/A</v>
      </c>
      <c r="N1665" s="141"/>
      <c r="O1665" s="142" t="str">
        <f t="shared" si="1"/>
        <v>TRUE</v>
      </c>
      <c r="P1665" s="143" t="str">
        <f>IF(ISNA(VLOOKUP(CONCAT(M1665,C1665), 'Judge Count DO NOT EDIT'!H:H, 1, FALSE)), "ERROR","")</f>
        <v>ERROR</v>
      </c>
      <c r="Q1665" s="141"/>
      <c r="R1665" s="143"/>
      <c r="S1665" s="139" t="str">
        <f t="shared" si="2"/>
        <v/>
      </c>
      <c r="T1665" s="141"/>
    </row>
    <row r="1666">
      <c r="A1666" s="138"/>
      <c r="B1666" s="138"/>
      <c r="C1666" s="138"/>
      <c r="D1666" s="139"/>
      <c r="E1666" s="138">
        <f>IFERROR(__xludf.DUMMYFUNCTION("""COMPUTED_VALUE"""),0.0)</f>
        <v>0</v>
      </c>
      <c r="F1666" s="138">
        <f>IFERROR(__xludf.DUMMYFUNCTION("""COMPUTED_VALUE"""),0.0)</f>
        <v>0</v>
      </c>
      <c r="G1666" s="138">
        <f>IFERROR(__xludf.DUMMYFUNCTION("""COMPUTED_VALUE"""),0.0)</f>
        <v>0</v>
      </c>
      <c r="H1666" s="138">
        <f>IFERROR(__xludf.DUMMYFUNCTION("""COMPUTED_VALUE"""),0.0)</f>
        <v>0</v>
      </c>
      <c r="I1666" s="138">
        <f>IFERROR(__xludf.DUMMYFUNCTION("""COMPUTED_VALUE"""),0.0)</f>
        <v>0</v>
      </c>
      <c r="J1666" s="138">
        <f>IFERROR(__xludf.DUMMYFUNCTION("""COMPUTED_VALUE"""),0.0)</f>
        <v>0</v>
      </c>
      <c r="K1666" s="138">
        <f>IFERROR(__xludf.DUMMYFUNCTION("""COMPUTED_VALUE"""),0.0)</f>
        <v>0</v>
      </c>
      <c r="L1666" s="138">
        <v>0.0</v>
      </c>
      <c r="M1666" s="140" t="str">
        <f>VLOOKUP(text(D1666, "#"),'Master Table'!$A:$F, 6, FALSE)</f>
        <v>#N/A</v>
      </c>
      <c r="N1666" s="141"/>
      <c r="O1666" s="142" t="str">
        <f t="shared" si="1"/>
        <v>TRUE</v>
      </c>
      <c r="P1666" s="143" t="str">
        <f>IF(ISNA(VLOOKUP(CONCAT(M1666,C1666), 'Judge Count DO NOT EDIT'!H:H, 1, FALSE)), "ERROR","")</f>
        <v>ERROR</v>
      </c>
      <c r="Q1666" s="141"/>
      <c r="R1666" s="143"/>
      <c r="S1666" s="139" t="str">
        <f t="shared" si="2"/>
        <v/>
      </c>
      <c r="T1666" s="141"/>
    </row>
    <row r="1667">
      <c r="A1667" s="138"/>
      <c r="B1667" s="138"/>
      <c r="C1667" s="138"/>
      <c r="D1667" s="139"/>
      <c r="E1667" s="138">
        <f>IFERROR(__xludf.DUMMYFUNCTION("""COMPUTED_VALUE"""),0.0)</f>
        <v>0</v>
      </c>
      <c r="F1667" s="138">
        <f>IFERROR(__xludf.DUMMYFUNCTION("""COMPUTED_VALUE"""),0.0)</f>
        <v>0</v>
      </c>
      <c r="G1667" s="138">
        <f>IFERROR(__xludf.DUMMYFUNCTION("""COMPUTED_VALUE"""),0.0)</f>
        <v>0</v>
      </c>
      <c r="H1667" s="138">
        <f>IFERROR(__xludf.DUMMYFUNCTION("""COMPUTED_VALUE"""),0.0)</f>
        <v>0</v>
      </c>
      <c r="I1667" s="138">
        <f>IFERROR(__xludf.DUMMYFUNCTION("""COMPUTED_VALUE"""),0.0)</f>
        <v>0</v>
      </c>
      <c r="J1667" s="138">
        <f>IFERROR(__xludf.DUMMYFUNCTION("""COMPUTED_VALUE"""),0.0)</f>
        <v>0</v>
      </c>
      <c r="K1667" s="138">
        <f>IFERROR(__xludf.DUMMYFUNCTION("""COMPUTED_VALUE"""),0.0)</f>
        <v>0</v>
      </c>
      <c r="L1667" s="138">
        <v>0.0</v>
      </c>
      <c r="M1667" s="140" t="str">
        <f>VLOOKUP(text(D1667, "#"),'Master Table'!$A:$F, 6, FALSE)</f>
        <v>#N/A</v>
      </c>
      <c r="N1667" s="141"/>
      <c r="O1667" s="142" t="str">
        <f t="shared" si="1"/>
        <v>TRUE</v>
      </c>
      <c r="P1667" s="143" t="str">
        <f>IF(ISNA(VLOOKUP(CONCAT(M1667,C1667), 'Judge Count DO NOT EDIT'!H:H, 1, FALSE)), "ERROR","")</f>
        <v>ERROR</v>
      </c>
      <c r="Q1667" s="141"/>
      <c r="R1667" s="143"/>
      <c r="S1667" s="139" t="str">
        <f t="shared" si="2"/>
        <v/>
      </c>
      <c r="T1667" s="141"/>
    </row>
    <row r="1668">
      <c r="A1668" s="138"/>
      <c r="B1668" s="138"/>
      <c r="C1668" s="138"/>
      <c r="D1668" s="139"/>
      <c r="E1668" s="138">
        <f>IFERROR(__xludf.DUMMYFUNCTION("""COMPUTED_VALUE"""),0.0)</f>
        <v>0</v>
      </c>
      <c r="F1668" s="138">
        <f>IFERROR(__xludf.DUMMYFUNCTION("""COMPUTED_VALUE"""),0.0)</f>
        <v>0</v>
      </c>
      <c r="G1668" s="138">
        <f>IFERROR(__xludf.DUMMYFUNCTION("""COMPUTED_VALUE"""),0.0)</f>
        <v>0</v>
      </c>
      <c r="H1668" s="138">
        <f>IFERROR(__xludf.DUMMYFUNCTION("""COMPUTED_VALUE"""),0.0)</f>
        <v>0</v>
      </c>
      <c r="I1668" s="138">
        <f>IFERROR(__xludf.DUMMYFUNCTION("""COMPUTED_VALUE"""),0.0)</f>
        <v>0</v>
      </c>
      <c r="J1668" s="138">
        <f>IFERROR(__xludf.DUMMYFUNCTION("""COMPUTED_VALUE"""),0.0)</f>
        <v>0</v>
      </c>
      <c r="K1668" s="138">
        <f>IFERROR(__xludf.DUMMYFUNCTION("""COMPUTED_VALUE"""),0.0)</f>
        <v>0</v>
      </c>
      <c r="L1668" s="138">
        <v>0.0</v>
      </c>
      <c r="M1668" s="140" t="str">
        <f>VLOOKUP(text(D1668, "#"),'Master Table'!$A:$F, 6, FALSE)</f>
        <v>#N/A</v>
      </c>
      <c r="N1668" s="141"/>
      <c r="O1668" s="142" t="str">
        <f t="shared" si="1"/>
        <v>TRUE</v>
      </c>
      <c r="P1668" s="143" t="str">
        <f>IF(ISNA(VLOOKUP(CONCAT(M1668,C1668), 'Judge Count DO NOT EDIT'!H:H, 1, FALSE)), "ERROR","")</f>
        <v>ERROR</v>
      </c>
      <c r="Q1668" s="141"/>
      <c r="R1668" s="143"/>
      <c r="S1668" s="139" t="str">
        <f t="shared" si="2"/>
        <v/>
      </c>
      <c r="T1668" s="141"/>
    </row>
    <row r="1669">
      <c r="A1669" s="138"/>
      <c r="B1669" s="138"/>
      <c r="C1669" s="138"/>
      <c r="D1669" s="139"/>
      <c r="E1669" s="138">
        <f>IFERROR(__xludf.DUMMYFUNCTION("""COMPUTED_VALUE"""),0.0)</f>
        <v>0</v>
      </c>
      <c r="F1669" s="138">
        <f>IFERROR(__xludf.DUMMYFUNCTION("""COMPUTED_VALUE"""),0.0)</f>
        <v>0</v>
      </c>
      <c r="G1669" s="138">
        <f>IFERROR(__xludf.DUMMYFUNCTION("""COMPUTED_VALUE"""),0.0)</f>
        <v>0</v>
      </c>
      <c r="H1669" s="138">
        <f>IFERROR(__xludf.DUMMYFUNCTION("""COMPUTED_VALUE"""),0.0)</f>
        <v>0</v>
      </c>
      <c r="I1669" s="138">
        <f>IFERROR(__xludf.DUMMYFUNCTION("""COMPUTED_VALUE"""),0.0)</f>
        <v>0</v>
      </c>
      <c r="J1669" s="138">
        <f>IFERROR(__xludf.DUMMYFUNCTION("""COMPUTED_VALUE"""),0.0)</f>
        <v>0</v>
      </c>
      <c r="K1669" s="138">
        <f>IFERROR(__xludf.DUMMYFUNCTION("""COMPUTED_VALUE"""),0.0)</f>
        <v>0</v>
      </c>
      <c r="L1669" s="138">
        <v>0.0</v>
      </c>
      <c r="M1669" s="140" t="str">
        <f>VLOOKUP(text(D1669, "#"),'Master Table'!$A:$F, 6, FALSE)</f>
        <v>#N/A</v>
      </c>
      <c r="N1669" s="141"/>
      <c r="O1669" s="142" t="str">
        <f t="shared" si="1"/>
        <v>TRUE</v>
      </c>
      <c r="P1669" s="143" t="str">
        <f>IF(ISNA(VLOOKUP(CONCAT(M1669,C1669), 'Judge Count DO NOT EDIT'!H:H, 1, FALSE)), "ERROR","")</f>
        <v>ERROR</v>
      </c>
      <c r="Q1669" s="141"/>
      <c r="R1669" s="143"/>
      <c r="S1669" s="139" t="str">
        <f t="shared" si="2"/>
        <v/>
      </c>
      <c r="T1669" s="141"/>
    </row>
    <row r="1670">
      <c r="A1670" s="138"/>
      <c r="B1670" s="138"/>
      <c r="C1670" s="138"/>
      <c r="D1670" s="139"/>
      <c r="E1670" s="138">
        <f>IFERROR(__xludf.DUMMYFUNCTION("""COMPUTED_VALUE"""),0.0)</f>
        <v>0</v>
      </c>
      <c r="F1670" s="138">
        <f>IFERROR(__xludf.DUMMYFUNCTION("""COMPUTED_VALUE"""),0.0)</f>
        <v>0</v>
      </c>
      <c r="G1670" s="138">
        <f>IFERROR(__xludf.DUMMYFUNCTION("""COMPUTED_VALUE"""),0.0)</f>
        <v>0</v>
      </c>
      <c r="H1670" s="138">
        <f>IFERROR(__xludf.DUMMYFUNCTION("""COMPUTED_VALUE"""),0.0)</f>
        <v>0</v>
      </c>
      <c r="I1670" s="138">
        <f>IFERROR(__xludf.DUMMYFUNCTION("""COMPUTED_VALUE"""),0.0)</f>
        <v>0</v>
      </c>
      <c r="J1670" s="138">
        <f>IFERROR(__xludf.DUMMYFUNCTION("""COMPUTED_VALUE"""),0.0)</f>
        <v>0</v>
      </c>
      <c r="K1670" s="138">
        <f>IFERROR(__xludf.DUMMYFUNCTION("""COMPUTED_VALUE"""),0.0)</f>
        <v>0</v>
      </c>
      <c r="L1670" s="138">
        <v>0.0</v>
      </c>
      <c r="M1670" s="140" t="str">
        <f>VLOOKUP(text(D1670, "#"),'Master Table'!$A:$F, 6, FALSE)</f>
        <v>#N/A</v>
      </c>
      <c r="N1670" s="141"/>
      <c r="O1670" s="142" t="str">
        <f t="shared" si="1"/>
        <v>TRUE</v>
      </c>
      <c r="P1670" s="143" t="str">
        <f>IF(ISNA(VLOOKUP(CONCAT(M1670,C1670), 'Judge Count DO NOT EDIT'!H:H, 1, FALSE)), "ERROR","")</f>
        <v>ERROR</v>
      </c>
      <c r="Q1670" s="141"/>
      <c r="R1670" s="143"/>
      <c r="S1670" s="139" t="str">
        <f t="shared" si="2"/>
        <v/>
      </c>
      <c r="T1670" s="141"/>
    </row>
    <row r="1671">
      <c r="A1671" s="138"/>
      <c r="B1671" s="138"/>
      <c r="C1671" s="138"/>
      <c r="D1671" s="139"/>
      <c r="E1671" s="138">
        <f>IFERROR(__xludf.DUMMYFUNCTION("""COMPUTED_VALUE"""),0.0)</f>
        <v>0</v>
      </c>
      <c r="F1671" s="138">
        <f>IFERROR(__xludf.DUMMYFUNCTION("""COMPUTED_VALUE"""),0.0)</f>
        <v>0</v>
      </c>
      <c r="G1671" s="138">
        <f>IFERROR(__xludf.DUMMYFUNCTION("""COMPUTED_VALUE"""),0.0)</f>
        <v>0</v>
      </c>
      <c r="H1671" s="138">
        <f>IFERROR(__xludf.DUMMYFUNCTION("""COMPUTED_VALUE"""),0.0)</f>
        <v>0</v>
      </c>
      <c r="I1671" s="138">
        <f>IFERROR(__xludf.DUMMYFUNCTION("""COMPUTED_VALUE"""),0.0)</f>
        <v>0</v>
      </c>
      <c r="J1671" s="138">
        <f>IFERROR(__xludf.DUMMYFUNCTION("""COMPUTED_VALUE"""),0.0)</f>
        <v>0</v>
      </c>
      <c r="K1671" s="138">
        <f>IFERROR(__xludf.DUMMYFUNCTION("""COMPUTED_VALUE"""),0.0)</f>
        <v>0</v>
      </c>
      <c r="L1671" s="138">
        <v>0.0</v>
      </c>
      <c r="M1671" s="140" t="str">
        <f>VLOOKUP(text(D1671, "#"),'Master Table'!$A:$F, 6, FALSE)</f>
        <v>#N/A</v>
      </c>
      <c r="N1671" s="141"/>
      <c r="O1671" s="142" t="str">
        <f t="shared" si="1"/>
        <v>TRUE</v>
      </c>
      <c r="P1671" s="143" t="str">
        <f>IF(ISNA(VLOOKUP(CONCAT(M1671,C1671), 'Judge Count DO NOT EDIT'!H:H, 1, FALSE)), "ERROR","")</f>
        <v>ERROR</v>
      </c>
      <c r="Q1671" s="141"/>
      <c r="R1671" s="143"/>
      <c r="S1671" s="139" t="str">
        <f t="shared" si="2"/>
        <v/>
      </c>
      <c r="T1671" s="141"/>
    </row>
    <row r="1672">
      <c r="A1672" s="138"/>
      <c r="B1672" s="138"/>
      <c r="C1672" s="138"/>
      <c r="D1672" s="139"/>
      <c r="E1672" s="138">
        <f>IFERROR(__xludf.DUMMYFUNCTION("""COMPUTED_VALUE"""),0.0)</f>
        <v>0</v>
      </c>
      <c r="F1672" s="138">
        <f>IFERROR(__xludf.DUMMYFUNCTION("""COMPUTED_VALUE"""),0.0)</f>
        <v>0</v>
      </c>
      <c r="G1672" s="138">
        <f>IFERROR(__xludf.DUMMYFUNCTION("""COMPUTED_VALUE"""),0.0)</f>
        <v>0</v>
      </c>
      <c r="H1672" s="138">
        <f>IFERROR(__xludf.DUMMYFUNCTION("""COMPUTED_VALUE"""),0.0)</f>
        <v>0</v>
      </c>
      <c r="I1672" s="138">
        <f>IFERROR(__xludf.DUMMYFUNCTION("""COMPUTED_VALUE"""),0.0)</f>
        <v>0</v>
      </c>
      <c r="J1672" s="138">
        <f>IFERROR(__xludf.DUMMYFUNCTION("""COMPUTED_VALUE"""),0.0)</f>
        <v>0</v>
      </c>
      <c r="K1672" s="138">
        <f>IFERROR(__xludf.DUMMYFUNCTION("""COMPUTED_VALUE"""),0.0)</f>
        <v>0</v>
      </c>
      <c r="L1672" s="138">
        <v>0.0</v>
      </c>
      <c r="M1672" s="140" t="str">
        <f>VLOOKUP(text(D1672, "#"),'Master Table'!$A:$F, 6, FALSE)</f>
        <v>#N/A</v>
      </c>
      <c r="N1672" s="141"/>
      <c r="O1672" s="142" t="str">
        <f t="shared" si="1"/>
        <v>TRUE</v>
      </c>
      <c r="P1672" s="143" t="str">
        <f>IF(ISNA(VLOOKUP(CONCAT(M1672,C1672), 'Judge Count DO NOT EDIT'!H:H, 1, FALSE)), "ERROR","")</f>
        <v>ERROR</v>
      </c>
      <c r="Q1672" s="141"/>
      <c r="R1672" s="143"/>
      <c r="S1672" s="139" t="str">
        <f t="shared" si="2"/>
        <v/>
      </c>
      <c r="T1672" s="141"/>
    </row>
    <row r="1673">
      <c r="A1673" s="138"/>
      <c r="B1673" s="138"/>
      <c r="C1673" s="138"/>
      <c r="D1673" s="139"/>
      <c r="E1673" s="138">
        <f>IFERROR(__xludf.DUMMYFUNCTION("""COMPUTED_VALUE"""),0.0)</f>
        <v>0</v>
      </c>
      <c r="F1673" s="138">
        <f>IFERROR(__xludf.DUMMYFUNCTION("""COMPUTED_VALUE"""),0.0)</f>
        <v>0</v>
      </c>
      <c r="G1673" s="138">
        <f>IFERROR(__xludf.DUMMYFUNCTION("""COMPUTED_VALUE"""),0.0)</f>
        <v>0</v>
      </c>
      <c r="H1673" s="138">
        <f>IFERROR(__xludf.DUMMYFUNCTION("""COMPUTED_VALUE"""),0.0)</f>
        <v>0</v>
      </c>
      <c r="I1673" s="138">
        <f>IFERROR(__xludf.DUMMYFUNCTION("""COMPUTED_VALUE"""),0.0)</f>
        <v>0</v>
      </c>
      <c r="J1673" s="138">
        <f>IFERROR(__xludf.DUMMYFUNCTION("""COMPUTED_VALUE"""),0.0)</f>
        <v>0</v>
      </c>
      <c r="K1673" s="138">
        <f>IFERROR(__xludf.DUMMYFUNCTION("""COMPUTED_VALUE"""),0.0)</f>
        <v>0</v>
      </c>
      <c r="L1673" s="138">
        <v>0.0</v>
      </c>
      <c r="M1673" s="140" t="str">
        <f>VLOOKUP(text(D1673, "#"),'Master Table'!$A:$F, 6, FALSE)</f>
        <v>#N/A</v>
      </c>
      <c r="N1673" s="141"/>
      <c r="O1673" s="142" t="str">
        <f t="shared" si="1"/>
        <v>TRUE</v>
      </c>
      <c r="P1673" s="143" t="str">
        <f>IF(ISNA(VLOOKUP(CONCAT(M1673,C1673), 'Judge Count DO NOT EDIT'!H:H, 1, FALSE)), "ERROR","")</f>
        <v>ERROR</v>
      </c>
      <c r="Q1673" s="141"/>
      <c r="R1673" s="143"/>
      <c r="S1673" s="139" t="str">
        <f t="shared" si="2"/>
        <v/>
      </c>
      <c r="T1673" s="141"/>
    </row>
    <row r="1674">
      <c r="A1674" s="138"/>
      <c r="B1674" s="138"/>
      <c r="C1674" s="138"/>
      <c r="D1674" s="139"/>
      <c r="E1674" s="138">
        <f>IFERROR(__xludf.DUMMYFUNCTION("""COMPUTED_VALUE"""),0.0)</f>
        <v>0</v>
      </c>
      <c r="F1674" s="138">
        <f>IFERROR(__xludf.DUMMYFUNCTION("""COMPUTED_VALUE"""),0.0)</f>
        <v>0</v>
      </c>
      <c r="G1674" s="138">
        <f>IFERROR(__xludf.DUMMYFUNCTION("""COMPUTED_VALUE"""),0.0)</f>
        <v>0</v>
      </c>
      <c r="H1674" s="138">
        <f>IFERROR(__xludf.DUMMYFUNCTION("""COMPUTED_VALUE"""),0.0)</f>
        <v>0</v>
      </c>
      <c r="I1674" s="138">
        <f>IFERROR(__xludf.DUMMYFUNCTION("""COMPUTED_VALUE"""),0.0)</f>
        <v>0</v>
      </c>
      <c r="J1674" s="138">
        <f>IFERROR(__xludf.DUMMYFUNCTION("""COMPUTED_VALUE"""),0.0)</f>
        <v>0</v>
      </c>
      <c r="K1674" s="138">
        <f>IFERROR(__xludf.DUMMYFUNCTION("""COMPUTED_VALUE"""),0.0)</f>
        <v>0</v>
      </c>
      <c r="L1674" s="138">
        <v>0.0</v>
      </c>
      <c r="M1674" s="140" t="str">
        <f>VLOOKUP(text(D1674, "#"),'Master Table'!$A:$F, 6, FALSE)</f>
        <v>#N/A</v>
      </c>
      <c r="N1674" s="141"/>
      <c r="O1674" s="142" t="str">
        <f t="shared" si="1"/>
        <v>TRUE</v>
      </c>
      <c r="P1674" s="143" t="str">
        <f>IF(ISNA(VLOOKUP(CONCAT(M1674,C1674), 'Judge Count DO NOT EDIT'!H:H, 1, FALSE)), "ERROR","")</f>
        <v>ERROR</v>
      </c>
      <c r="Q1674" s="141"/>
      <c r="R1674" s="143"/>
      <c r="S1674" s="139" t="str">
        <f t="shared" si="2"/>
        <v/>
      </c>
      <c r="T1674" s="141"/>
    </row>
    <row r="1675">
      <c r="A1675" s="138"/>
      <c r="B1675" s="138"/>
      <c r="C1675" s="138"/>
      <c r="D1675" s="139"/>
      <c r="E1675" s="138">
        <f>IFERROR(__xludf.DUMMYFUNCTION("""COMPUTED_VALUE"""),0.0)</f>
        <v>0</v>
      </c>
      <c r="F1675" s="138">
        <f>IFERROR(__xludf.DUMMYFUNCTION("""COMPUTED_VALUE"""),0.0)</f>
        <v>0</v>
      </c>
      <c r="G1675" s="138">
        <f>IFERROR(__xludf.DUMMYFUNCTION("""COMPUTED_VALUE"""),0.0)</f>
        <v>0</v>
      </c>
      <c r="H1675" s="138">
        <f>IFERROR(__xludf.DUMMYFUNCTION("""COMPUTED_VALUE"""),0.0)</f>
        <v>0</v>
      </c>
      <c r="I1675" s="138">
        <f>IFERROR(__xludf.DUMMYFUNCTION("""COMPUTED_VALUE"""),0.0)</f>
        <v>0</v>
      </c>
      <c r="J1675" s="138">
        <f>IFERROR(__xludf.DUMMYFUNCTION("""COMPUTED_VALUE"""),0.0)</f>
        <v>0</v>
      </c>
      <c r="K1675" s="138">
        <f>IFERROR(__xludf.DUMMYFUNCTION("""COMPUTED_VALUE"""),0.0)</f>
        <v>0</v>
      </c>
      <c r="L1675" s="138">
        <v>0.0</v>
      </c>
      <c r="M1675" s="140" t="str">
        <f>VLOOKUP(text(D1675, "#"),'Master Table'!$A:$F, 6, FALSE)</f>
        <v>#N/A</v>
      </c>
      <c r="N1675" s="141"/>
      <c r="O1675" s="142" t="str">
        <f t="shared" si="1"/>
        <v>TRUE</v>
      </c>
      <c r="P1675" s="143" t="str">
        <f>IF(ISNA(VLOOKUP(CONCAT(M1675,C1675), 'Judge Count DO NOT EDIT'!H:H, 1, FALSE)), "ERROR","")</f>
        <v>ERROR</v>
      </c>
      <c r="Q1675" s="141"/>
      <c r="R1675" s="143"/>
      <c r="S1675" s="139" t="str">
        <f t="shared" si="2"/>
        <v/>
      </c>
      <c r="T1675" s="141"/>
    </row>
    <row r="1676">
      <c r="A1676" s="138"/>
      <c r="B1676" s="138"/>
      <c r="C1676" s="138"/>
      <c r="D1676" s="139"/>
      <c r="E1676" s="138">
        <f>IFERROR(__xludf.DUMMYFUNCTION("""COMPUTED_VALUE"""),0.0)</f>
        <v>0</v>
      </c>
      <c r="F1676" s="138">
        <f>IFERROR(__xludf.DUMMYFUNCTION("""COMPUTED_VALUE"""),0.0)</f>
        <v>0</v>
      </c>
      <c r="G1676" s="138">
        <f>IFERROR(__xludf.DUMMYFUNCTION("""COMPUTED_VALUE"""),0.0)</f>
        <v>0</v>
      </c>
      <c r="H1676" s="138">
        <f>IFERROR(__xludf.DUMMYFUNCTION("""COMPUTED_VALUE"""),0.0)</f>
        <v>0</v>
      </c>
      <c r="I1676" s="138">
        <f>IFERROR(__xludf.DUMMYFUNCTION("""COMPUTED_VALUE"""),0.0)</f>
        <v>0</v>
      </c>
      <c r="J1676" s="138">
        <f>IFERROR(__xludf.DUMMYFUNCTION("""COMPUTED_VALUE"""),0.0)</f>
        <v>0</v>
      </c>
      <c r="K1676" s="138">
        <f>IFERROR(__xludf.DUMMYFUNCTION("""COMPUTED_VALUE"""),0.0)</f>
        <v>0</v>
      </c>
      <c r="L1676" s="138">
        <v>0.0</v>
      </c>
      <c r="M1676" s="140" t="str">
        <f>VLOOKUP(text(D1676, "#"),'Master Table'!$A:$F, 6, FALSE)</f>
        <v>#N/A</v>
      </c>
      <c r="N1676" s="141"/>
      <c r="O1676" s="142" t="str">
        <f t="shared" si="1"/>
        <v>TRUE</v>
      </c>
      <c r="P1676" s="143" t="str">
        <f>IF(ISNA(VLOOKUP(CONCAT(M1676,C1676), 'Judge Count DO NOT EDIT'!H:H, 1, FALSE)), "ERROR","")</f>
        <v>ERROR</v>
      </c>
      <c r="Q1676" s="141"/>
      <c r="R1676" s="143"/>
      <c r="S1676" s="139" t="str">
        <f t="shared" si="2"/>
        <v/>
      </c>
      <c r="T1676" s="141"/>
    </row>
    <row r="1677">
      <c r="A1677" s="138"/>
      <c r="B1677" s="138"/>
      <c r="C1677" s="138"/>
      <c r="D1677" s="139"/>
      <c r="E1677" s="138">
        <f>IFERROR(__xludf.DUMMYFUNCTION("""COMPUTED_VALUE"""),0.0)</f>
        <v>0</v>
      </c>
      <c r="F1677" s="138">
        <f>IFERROR(__xludf.DUMMYFUNCTION("""COMPUTED_VALUE"""),0.0)</f>
        <v>0</v>
      </c>
      <c r="G1677" s="138">
        <f>IFERROR(__xludf.DUMMYFUNCTION("""COMPUTED_VALUE"""),0.0)</f>
        <v>0</v>
      </c>
      <c r="H1677" s="138">
        <f>IFERROR(__xludf.DUMMYFUNCTION("""COMPUTED_VALUE"""),0.0)</f>
        <v>0</v>
      </c>
      <c r="I1677" s="138">
        <f>IFERROR(__xludf.DUMMYFUNCTION("""COMPUTED_VALUE"""),0.0)</f>
        <v>0</v>
      </c>
      <c r="J1677" s="138">
        <f>IFERROR(__xludf.DUMMYFUNCTION("""COMPUTED_VALUE"""),0.0)</f>
        <v>0</v>
      </c>
      <c r="K1677" s="138">
        <f>IFERROR(__xludf.DUMMYFUNCTION("""COMPUTED_VALUE"""),0.0)</f>
        <v>0</v>
      </c>
      <c r="L1677" s="138">
        <v>0.0</v>
      </c>
      <c r="M1677" s="140" t="str">
        <f>VLOOKUP(text(D1677, "#"),'Master Table'!$A:$F, 6, FALSE)</f>
        <v>#N/A</v>
      </c>
      <c r="N1677" s="141"/>
      <c r="O1677" s="142" t="str">
        <f t="shared" si="1"/>
        <v>TRUE</v>
      </c>
      <c r="P1677" s="143" t="str">
        <f>IF(ISNA(VLOOKUP(CONCAT(M1677,C1677), 'Judge Count DO NOT EDIT'!H:H, 1, FALSE)), "ERROR","")</f>
        <v>ERROR</v>
      </c>
      <c r="Q1677" s="141"/>
      <c r="R1677" s="143"/>
      <c r="S1677" s="139" t="str">
        <f t="shared" si="2"/>
        <v/>
      </c>
      <c r="T1677" s="141"/>
    </row>
    <row r="1678">
      <c r="A1678" s="138"/>
      <c r="B1678" s="138"/>
      <c r="C1678" s="138"/>
      <c r="D1678" s="139"/>
      <c r="E1678" s="138">
        <f>IFERROR(__xludf.DUMMYFUNCTION("""COMPUTED_VALUE"""),0.0)</f>
        <v>0</v>
      </c>
      <c r="F1678" s="138">
        <f>IFERROR(__xludf.DUMMYFUNCTION("""COMPUTED_VALUE"""),0.0)</f>
        <v>0</v>
      </c>
      <c r="G1678" s="138">
        <f>IFERROR(__xludf.DUMMYFUNCTION("""COMPUTED_VALUE"""),0.0)</f>
        <v>0</v>
      </c>
      <c r="H1678" s="138">
        <f>IFERROR(__xludf.DUMMYFUNCTION("""COMPUTED_VALUE"""),0.0)</f>
        <v>0</v>
      </c>
      <c r="I1678" s="138">
        <f>IFERROR(__xludf.DUMMYFUNCTION("""COMPUTED_VALUE"""),0.0)</f>
        <v>0</v>
      </c>
      <c r="J1678" s="138">
        <f>IFERROR(__xludf.DUMMYFUNCTION("""COMPUTED_VALUE"""),0.0)</f>
        <v>0</v>
      </c>
      <c r="K1678" s="138">
        <f>IFERROR(__xludf.DUMMYFUNCTION("""COMPUTED_VALUE"""),0.0)</f>
        <v>0</v>
      </c>
      <c r="L1678" s="138">
        <v>0.0</v>
      </c>
      <c r="M1678" s="140" t="str">
        <f>VLOOKUP(text(D1678, "#"),'Master Table'!$A:$F, 6, FALSE)</f>
        <v>#N/A</v>
      </c>
      <c r="N1678" s="141"/>
      <c r="O1678" s="142" t="str">
        <f t="shared" si="1"/>
        <v>TRUE</v>
      </c>
      <c r="P1678" s="143" t="str">
        <f>IF(ISNA(VLOOKUP(CONCAT(M1678,C1678), 'Judge Count DO NOT EDIT'!H:H, 1, FALSE)), "ERROR","")</f>
        <v>ERROR</v>
      </c>
      <c r="Q1678" s="141"/>
      <c r="R1678" s="143"/>
      <c r="S1678" s="139" t="str">
        <f t="shared" si="2"/>
        <v/>
      </c>
      <c r="T1678" s="141"/>
    </row>
    <row r="1679">
      <c r="A1679" s="138"/>
      <c r="B1679" s="138"/>
      <c r="C1679" s="138"/>
      <c r="D1679" s="139"/>
      <c r="E1679" s="138">
        <f>IFERROR(__xludf.DUMMYFUNCTION("""COMPUTED_VALUE"""),0.0)</f>
        <v>0</v>
      </c>
      <c r="F1679" s="138">
        <f>IFERROR(__xludf.DUMMYFUNCTION("""COMPUTED_VALUE"""),0.0)</f>
        <v>0</v>
      </c>
      <c r="G1679" s="138">
        <f>IFERROR(__xludf.DUMMYFUNCTION("""COMPUTED_VALUE"""),0.0)</f>
        <v>0</v>
      </c>
      <c r="H1679" s="138">
        <f>IFERROR(__xludf.DUMMYFUNCTION("""COMPUTED_VALUE"""),0.0)</f>
        <v>0</v>
      </c>
      <c r="I1679" s="138">
        <f>IFERROR(__xludf.DUMMYFUNCTION("""COMPUTED_VALUE"""),0.0)</f>
        <v>0</v>
      </c>
      <c r="J1679" s="138">
        <f>IFERROR(__xludf.DUMMYFUNCTION("""COMPUTED_VALUE"""),0.0)</f>
        <v>0</v>
      </c>
      <c r="K1679" s="138">
        <f>IFERROR(__xludf.DUMMYFUNCTION("""COMPUTED_VALUE"""),0.0)</f>
        <v>0</v>
      </c>
      <c r="L1679" s="138">
        <v>0.0</v>
      </c>
      <c r="M1679" s="140" t="str">
        <f>VLOOKUP(text(D1679, "#"),'Master Table'!$A:$F, 6, FALSE)</f>
        <v>#N/A</v>
      </c>
      <c r="N1679" s="141"/>
      <c r="O1679" s="142" t="str">
        <f t="shared" si="1"/>
        <v>TRUE</v>
      </c>
      <c r="P1679" s="143" t="str">
        <f>IF(ISNA(VLOOKUP(CONCAT(M1679,C1679), 'Judge Count DO NOT EDIT'!H:H, 1, FALSE)), "ERROR","")</f>
        <v>ERROR</v>
      </c>
      <c r="Q1679" s="141"/>
      <c r="R1679" s="143"/>
      <c r="S1679" s="139" t="str">
        <f t="shared" si="2"/>
        <v/>
      </c>
      <c r="T1679" s="141"/>
    </row>
    <row r="1680">
      <c r="A1680" s="138"/>
      <c r="B1680" s="138"/>
      <c r="C1680" s="138"/>
      <c r="D1680" s="139"/>
      <c r="E1680" s="138">
        <f>IFERROR(__xludf.DUMMYFUNCTION("""COMPUTED_VALUE"""),0.0)</f>
        <v>0</v>
      </c>
      <c r="F1680" s="138">
        <f>IFERROR(__xludf.DUMMYFUNCTION("""COMPUTED_VALUE"""),0.0)</f>
        <v>0</v>
      </c>
      <c r="G1680" s="138">
        <f>IFERROR(__xludf.DUMMYFUNCTION("""COMPUTED_VALUE"""),0.0)</f>
        <v>0</v>
      </c>
      <c r="H1680" s="138">
        <f>IFERROR(__xludf.DUMMYFUNCTION("""COMPUTED_VALUE"""),0.0)</f>
        <v>0</v>
      </c>
      <c r="I1680" s="138">
        <f>IFERROR(__xludf.DUMMYFUNCTION("""COMPUTED_VALUE"""),0.0)</f>
        <v>0</v>
      </c>
      <c r="J1680" s="138">
        <f>IFERROR(__xludf.DUMMYFUNCTION("""COMPUTED_VALUE"""),0.0)</f>
        <v>0</v>
      </c>
      <c r="K1680" s="138">
        <f>IFERROR(__xludf.DUMMYFUNCTION("""COMPUTED_VALUE"""),0.0)</f>
        <v>0</v>
      </c>
      <c r="L1680" s="138">
        <v>0.0</v>
      </c>
      <c r="M1680" s="140" t="str">
        <f>VLOOKUP(text(D1680, "#"),'Master Table'!$A:$F, 6, FALSE)</f>
        <v>#N/A</v>
      </c>
      <c r="N1680" s="141"/>
      <c r="O1680" s="142" t="str">
        <f t="shared" si="1"/>
        <v>TRUE</v>
      </c>
      <c r="P1680" s="143" t="str">
        <f>IF(ISNA(VLOOKUP(CONCAT(M1680,C1680), 'Judge Count DO NOT EDIT'!H:H, 1, FALSE)), "ERROR","")</f>
        <v>ERROR</v>
      </c>
      <c r="Q1680" s="141"/>
      <c r="R1680" s="143"/>
      <c r="S1680" s="139" t="str">
        <f t="shared" si="2"/>
        <v/>
      </c>
      <c r="T1680" s="141"/>
    </row>
    <row r="1681">
      <c r="A1681" s="138"/>
      <c r="B1681" s="138"/>
      <c r="C1681" s="138"/>
      <c r="D1681" s="139"/>
      <c r="E1681" s="138">
        <f>IFERROR(__xludf.DUMMYFUNCTION("""COMPUTED_VALUE"""),0.0)</f>
        <v>0</v>
      </c>
      <c r="F1681" s="138">
        <f>IFERROR(__xludf.DUMMYFUNCTION("""COMPUTED_VALUE"""),0.0)</f>
        <v>0</v>
      </c>
      <c r="G1681" s="138">
        <f>IFERROR(__xludf.DUMMYFUNCTION("""COMPUTED_VALUE"""),0.0)</f>
        <v>0</v>
      </c>
      <c r="H1681" s="138">
        <f>IFERROR(__xludf.DUMMYFUNCTION("""COMPUTED_VALUE"""),0.0)</f>
        <v>0</v>
      </c>
      <c r="I1681" s="138">
        <f>IFERROR(__xludf.DUMMYFUNCTION("""COMPUTED_VALUE"""),0.0)</f>
        <v>0</v>
      </c>
      <c r="J1681" s="138">
        <f>IFERROR(__xludf.DUMMYFUNCTION("""COMPUTED_VALUE"""),0.0)</f>
        <v>0</v>
      </c>
      <c r="K1681" s="138">
        <f>IFERROR(__xludf.DUMMYFUNCTION("""COMPUTED_VALUE"""),0.0)</f>
        <v>0</v>
      </c>
      <c r="L1681" s="138">
        <v>0.0</v>
      </c>
      <c r="M1681" s="140" t="str">
        <f>VLOOKUP(text(D1681, "#"),'Master Table'!$A:$F, 6, FALSE)</f>
        <v>#N/A</v>
      </c>
      <c r="N1681" s="141"/>
      <c r="O1681" s="142" t="str">
        <f t="shared" si="1"/>
        <v>TRUE</v>
      </c>
      <c r="P1681" s="143" t="str">
        <f>IF(ISNA(VLOOKUP(CONCAT(M1681,C1681), 'Judge Count DO NOT EDIT'!H:H, 1, FALSE)), "ERROR","")</f>
        <v>ERROR</v>
      </c>
      <c r="Q1681" s="141"/>
      <c r="R1681" s="143"/>
      <c r="S1681" s="139" t="str">
        <f t="shared" si="2"/>
        <v/>
      </c>
      <c r="T1681" s="141"/>
    </row>
    <row r="1682">
      <c r="A1682" s="138"/>
      <c r="B1682" s="138"/>
      <c r="C1682" s="138"/>
      <c r="D1682" s="139"/>
      <c r="E1682" s="138">
        <f>IFERROR(__xludf.DUMMYFUNCTION("""COMPUTED_VALUE"""),0.0)</f>
        <v>0</v>
      </c>
      <c r="F1682" s="138">
        <f>IFERROR(__xludf.DUMMYFUNCTION("""COMPUTED_VALUE"""),0.0)</f>
        <v>0</v>
      </c>
      <c r="G1682" s="138">
        <f>IFERROR(__xludf.DUMMYFUNCTION("""COMPUTED_VALUE"""),0.0)</f>
        <v>0</v>
      </c>
      <c r="H1682" s="138">
        <f>IFERROR(__xludf.DUMMYFUNCTION("""COMPUTED_VALUE"""),0.0)</f>
        <v>0</v>
      </c>
      <c r="I1682" s="138">
        <f>IFERROR(__xludf.DUMMYFUNCTION("""COMPUTED_VALUE"""),0.0)</f>
        <v>0</v>
      </c>
      <c r="J1682" s="138">
        <f>IFERROR(__xludf.DUMMYFUNCTION("""COMPUTED_VALUE"""),0.0)</f>
        <v>0</v>
      </c>
      <c r="K1682" s="138">
        <f>IFERROR(__xludf.DUMMYFUNCTION("""COMPUTED_VALUE"""),0.0)</f>
        <v>0</v>
      </c>
      <c r="L1682" s="138">
        <v>0.0</v>
      </c>
      <c r="M1682" s="140" t="str">
        <f>VLOOKUP(text(D1682, "#"),'Master Table'!$A:$F, 6, FALSE)</f>
        <v>#N/A</v>
      </c>
      <c r="N1682" s="141"/>
      <c r="O1682" s="142" t="str">
        <f t="shared" si="1"/>
        <v>TRUE</v>
      </c>
      <c r="P1682" s="143" t="str">
        <f>IF(ISNA(VLOOKUP(CONCAT(M1682,C1682), 'Judge Count DO NOT EDIT'!H:H, 1, FALSE)), "ERROR","")</f>
        <v>ERROR</v>
      </c>
      <c r="Q1682" s="141"/>
      <c r="R1682" s="143"/>
      <c r="S1682" s="139" t="str">
        <f t="shared" si="2"/>
        <v/>
      </c>
      <c r="T1682" s="141"/>
    </row>
    <row r="1683">
      <c r="A1683" s="138"/>
      <c r="B1683" s="138"/>
      <c r="C1683" s="138"/>
      <c r="D1683" s="139"/>
      <c r="E1683" s="138">
        <f>IFERROR(__xludf.DUMMYFUNCTION("""COMPUTED_VALUE"""),0.0)</f>
        <v>0</v>
      </c>
      <c r="F1683" s="138">
        <f>IFERROR(__xludf.DUMMYFUNCTION("""COMPUTED_VALUE"""),0.0)</f>
        <v>0</v>
      </c>
      <c r="G1683" s="138">
        <f>IFERROR(__xludf.DUMMYFUNCTION("""COMPUTED_VALUE"""),0.0)</f>
        <v>0</v>
      </c>
      <c r="H1683" s="138">
        <f>IFERROR(__xludf.DUMMYFUNCTION("""COMPUTED_VALUE"""),0.0)</f>
        <v>0</v>
      </c>
      <c r="I1683" s="138">
        <f>IFERROR(__xludf.DUMMYFUNCTION("""COMPUTED_VALUE"""),0.0)</f>
        <v>0</v>
      </c>
      <c r="J1683" s="138">
        <f>IFERROR(__xludf.DUMMYFUNCTION("""COMPUTED_VALUE"""),0.0)</f>
        <v>0</v>
      </c>
      <c r="K1683" s="138">
        <f>IFERROR(__xludf.DUMMYFUNCTION("""COMPUTED_VALUE"""),0.0)</f>
        <v>0</v>
      </c>
      <c r="L1683" s="138">
        <v>0.0</v>
      </c>
      <c r="M1683" s="140" t="str">
        <f>VLOOKUP(text(D1683, "#"),'Master Table'!$A:$F, 6, FALSE)</f>
        <v>#N/A</v>
      </c>
      <c r="N1683" s="141"/>
      <c r="O1683" s="142" t="str">
        <f t="shared" si="1"/>
        <v>TRUE</v>
      </c>
      <c r="P1683" s="143" t="str">
        <f>IF(ISNA(VLOOKUP(CONCAT(M1683,C1683), 'Judge Count DO NOT EDIT'!H:H, 1, FALSE)), "ERROR","")</f>
        <v>ERROR</v>
      </c>
      <c r="Q1683" s="141"/>
      <c r="R1683" s="143"/>
      <c r="S1683" s="139" t="str">
        <f t="shared" si="2"/>
        <v/>
      </c>
      <c r="T1683" s="141"/>
    </row>
    <row r="1684">
      <c r="A1684" s="138"/>
      <c r="B1684" s="138"/>
      <c r="C1684" s="138"/>
      <c r="D1684" s="139"/>
      <c r="E1684" s="138">
        <f>IFERROR(__xludf.DUMMYFUNCTION("""COMPUTED_VALUE"""),0.0)</f>
        <v>0</v>
      </c>
      <c r="F1684" s="138">
        <f>IFERROR(__xludf.DUMMYFUNCTION("""COMPUTED_VALUE"""),0.0)</f>
        <v>0</v>
      </c>
      <c r="G1684" s="138">
        <f>IFERROR(__xludf.DUMMYFUNCTION("""COMPUTED_VALUE"""),0.0)</f>
        <v>0</v>
      </c>
      <c r="H1684" s="138">
        <f>IFERROR(__xludf.DUMMYFUNCTION("""COMPUTED_VALUE"""),0.0)</f>
        <v>0</v>
      </c>
      <c r="I1684" s="138">
        <f>IFERROR(__xludf.DUMMYFUNCTION("""COMPUTED_VALUE"""),0.0)</f>
        <v>0</v>
      </c>
      <c r="J1684" s="138">
        <f>IFERROR(__xludf.DUMMYFUNCTION("""COMPUTED_VALUE"""),0.0)</f>
        <v>0</v>
      </c>
      <c r="K1684" s="138">
        <f>IFERROR(__xludf.DUMMYFUNCTION("""COMPUTED_VALUE"""),0.0)</f>
        <v>0</v>
      </c>
      <c r="L1684" s="138">
        <v>0.0</v>
      </c>
      <c r="M1684" s="140" t="str">
        <f>VLOOKUP(text(D1684, "#"),'Master Table'!$A:$F, 6, FALSE)</f>
        <v>#N/A</v>
      </c>
      <c r="N1684" s="141"/>
      <c r="O1684" s="142" t="str">
        <f t="shared" si="1"/>
        <v>TRUE</v>
      </c>
      <c r="P1684" s="143" t="str">
        <f>IF(ISNA(VLOOKUP(CONCAT(M1684,C1684), 'Judge Count DO NOT EDIT'!H:H, 1, FALSE)), "ERROR","")</f>
        <v>ERROR</v>
      </c>
      <c r="Q1684" s="141"/>
      <c r="R1684" s="143"/>
      <c r="S1684" s="139" t="str">
        <f t="shared" si="2"/>
        <v/>
      </c>
      <c r="T1684" s="141"/>
    </row>
    <row r="1685">
      <c r="A1685" s="138"/>
      <c r="B1685" s="138"/>
      <c r="C1685" s="138"/>
      <c r="D1685" s="139"/>
      <c r="E1685" s="138">
        <f>IFERROR(__xludf.DUMMYFUNCTION("""COMPUTED_VALUE"""),0.0)</f>
        <v>0</v>
      </c>
      <c r="F1685" s="138">
        <f>IFERROR(__xludf.DUMMYFUNCTION("""COMPUTED_VALUE"""),0.0)</f>
        <v>0</v>
      </c>
      <c r="G1685" s="138">
        <f>IFERROR(__xludf.DUMMYFUNCTION("""COMPUTED_VALUE"""),0.0)</f>
        <v>0</v>
      </c>
      <c r="H1685" s="138">
        <f>IFERROR(__xludf.DUMMYFUNCTION("""COMPUTED_VALUE"""),0.0)</f>
        <v>0</v>
      </c>
      <c r="I1685" s="138">
        <f>IFERROR(__xludf.DUMMYFUNCTION("""COMPUTED_VALUE"""),0.0)</f>
        <v>0</v>
      </c>
      <c r="J1685" s="138">
        <f>IFERROR(__xludf.DUMMYFUNCTION("""COMPUTED_VALUE"""),0.0)</f>
        <v>0</v>
      </c>
      <c r="K1685" s="138">
        <f>IFERROR(__xludf.DUMMYFUNCTION("""COMPUTED_VALUE"""),0.0)</f>
        <v>0</v>
      </c>
      <c r="L1685" s="138">
        <v>0.0</v>
      </c>
      <c r="M1685" s="140" t="str">
        <f>VLOOKUP(text(D1685, "#"),'Master Table'!$A:$F, 6, FALSE)</f>
        <v>#N/A</v>
      </c>
      <c r="N1685" s="141"/>
      <c r="O1685" s="142" t="str">
        <f t="shared" si="1"/>
        <v>TRUE</v>
      </c>
      <c r="P1685" s="143" t="str">
        <f>IF(ISNA(VLOOKUP(CONCAT(M1685,C1685), 'Judge Count DO NOT EDIT'!H:H, 1, FALSE)), "ERROR","")</f>
        <v>ERROR</v>
      </c>
      <c r="Q1685" s="141"/>
      <c r="R1685" s="143"/>
      <c r="S1685" s="139" t="str">
        <f t="shared" si="2"/>
        <v/>
      </c>
      <c r="T1685" s="141"/>
    </row>
    <row r="1686">
      <c r="A1686" s="138"/>
      <c r="B1686" s="138"/>
      <c r="C1686" s="138"/>
      <c r="D1686" s="139"/>
      <c r="E1686" s="138">
        <f>IFERROR(__xludf.DUMMYFUNCTION("""COMPUTED_VALUE"""),0.0)</f>
        <v>0</v>
      </c>
      <c r="F1686" s="138">
        <f>IFERROR(__xludf.DUMMYFUNCTION("""COMPUTED_VALUE"""),0.0)</f>
        <v>0</v>
      </c>
      <c r="G1686" s="138">
        <f>IFERROR(__xludf.DUMMYFUNCTION("""COMPUTED_VALUE"""),0.0)</f>
        <v>0</v>
      </c>
      <c r="H1686" s="138">
        <f>IFERROR(__xludf.DUMMYFUNCTION("""COMPUTED_VALUE"""),0.0)</f>
        <v>0</v>
      </c>
      <c r="I1686" s="138">
        <f>IFERROR(__xludf.DUMMYFUNCTION("""COMPUTED_VALUE"""),0.0)</f>
        <v>0</v>
      </c>
      <c r="J1686" s="138">
        <f>IFERROR(__xludf.DUMMYFUNCTION("""COMPUTED_VALUE"""),0.0)</f>
        <v>0</v>
      </c>
      <c r="K1686" s="138">
        <f>IFERROR(__xludf.DUMMYFUNCTION("""COMPUTED_VALUE"""),0.0)</f>
        <v>0</v>
      </c>
      <c r="L1686" s="138">
        <v>0.0</v>
      </c>
      <c r="M1686" s="140" t="str">
        <f>VLOOKUP(text(D1686, "#"),'Master Table'!$A:$F, 6, FALSE)</f>
        <v>#N/A</v>
      </c>
      <c r="N1686" s="141"/>
      <c r="O1686" s="142" t="str">
        <f t="shared" si="1"/>
        <v>TRUE</v>
      </c>
      <c r="P1686" s="143" t="str">
        <f>IF(ISNA(VLOOKUP(CONCAT(M1686,C1686), 'Judge Count DO NOT EDIT'!H:H, 1, FALSE)), "ERROR","")</f>
        <v>ERROR</v>
      </c>
      <c r="Q1686" s="141"/>
      <c r="R1686" s="143"/>
      <c r="S1686" s="139" t="str">
        <f t="shared" si="2"/>
        <v/>
      </c>
      <c r="T1686" s="141"/>
    </row>
    <row r="1687">
      <c r="A1687" s="138"/>
      <c r="B1687" s="138"/>
      <c r="C1687" s="138"/>
      <c r="D1687" s="139"/>
      <c r="E1687" s="138">
        <f>IFERROR(__xludf.DUMMYFUNCTION("""COMPUTED_VALUE"""),0.0)</f>
        <v>0</v>
      </c>
      <c r="F1687" s="138">
        <f>IFERROR(__xludf.DUMMYFUNCTION("""COMPUTED_VALUE"""),0.0)</f>
        <v>0</v>
      </c>
      <c r="G1687" s="138">
        <f>IFERROR(__xludf.DUMMYFUNCTION("""COMPUTED_VALUE"""),0.0)</f>
        <v>0</v>
      </c>
      <c r="H1687" s="138">
        <f>IFERROR(__xludf.DUMMYFUNCTION("""COMPUTED_VALUE"""),0.0)</f>
        <v>0</v>
      </c>
      <c r="I1687" s="138">
        <f>IFERROR(__xludf.DUMMYFUNCTION("""COMPUTED_VALUE"""),0.0)</f>
        <v>0</v>
      </c>
      <c r="J1687" s="138">
        <f>IFERROR(__xludf.DUMMYFUNCTION("""COMPUTED_VALUE"""),0.0)</f>
        <v>0</v>
      </c>
      <c r="K1687" s="138">
        <f>IFERROR(__xludf.DUMMYFUNCTION("""COMPUTED_VALUE"""),0.0)</f>
        <v>0</v>
      </c>
      <c r="L1687" s="138">
        <v>0.0</v>
      </c>
      <c r="M1687" s="140" t="str">
        <f>VLOOKUP(text(D1687, "#"),'Master Table'!$A:$F, 6, FALSE)</f>
        <v>#N/A</v>
      </c>
      <c r="N1687" s="141"/>
      <c r="O1687" s="142" t="str">
        <f t="shared" si="1"/>
        <v>TRUE</v>
      </c>
      <c r="P1687" s="143" t="str">
        <f>IF(ISNA(VLOOKUP(CONCAT(M1687,C1687), 'Judge Count DO NOT EDIT'!H:H, 1, FALSE)), "ERROR","")</f>
        <v>ERROR</v>
      </c>
      <c r="Q1687" s="141"/>
      <c r="R1687" s="143"/>
      <c r="S1687" s="139" t="str">
        <f t="shared" si="2"/>
        <v/>
      </c>
      <c r="T1687" s="141"/>
    </row>
    <row r="1688">
      <c r="A1688" s="138"/>
      <c r="B1688" s="138"/>
      <c r="C1688" s="138"/>
      <c r="D1688" s="139"/>
      <c r="E1688" s="138">
        <f>IFERROR(__xludf.DUMMYFUNCTION("""COMPUTED_VALUE"""),0.0)</f>
        <v>0</v>
      </c>
      <c r="F1688" s="138">
        <f>IFERROR(__xludf.DUMMYFUNCTION("""COMPUTED_VALUE"""),0.0)</f>
        <v>0</v>
      </c>
      <c r="G1688" s="138">
        <f>IFERROR(__xludf.DUMMYFUNCTION("""COMPUTED_VALUE"""),0.0)</f>
        <v>0</v>
      </c>
      <c r="H1688" s="138">
        <f>IFERROR(__xludf.DUMMYFUNCTION("""COMPUTED_VALUE"""),0.0)</f>
        <v>0</v>
      </c>
      <c r="I1688" s="138">
        <f>IFERROR(__xludf.DUMMYFUNCTION("""COMPUTED_VALUE"""),0.0)</f>
        <v>0</v>
      </c>
      <c r="J1688" s="138">
        <f>IFERROR(__xludf.DUMMYFUNCTION("""COMPUTED_VALUE"""),0.0)</f>
        <v>0</v>
      </c>
      <c r="K1688" s="138">
        <f>IFERROR(__xludf.DUMMYFUNCTION("""COMPUTED_VALUE"""),0.0)</f>
        <v>0</v>
      </c>
      <c r="L1688" s="138">
        <v>0.0</v>
      </c>
      <c r="M1688" s="140" t="str">
        <f>VLOOKUP(text(D1688, "#"),'Master Table'!$A:$F, 6, FALSE)</f>
        <v>#N/A</v>
      </c>
      <c r="N1688" s="141"/>
      <c r="O1688" s="142" t="str">
        <f t="shared" si="1"/>
        <v>TRUE</v>
      </c>
      <c r="P1688" s="143" t="str">
        <f>IF(ISNA(VLOOKUP(CONCAT(M1688,C1688), 'Judge Count DO NOT EDIT'!H:H, 1, FALSE)), "ERROR","")</f>
        <v>ERROR</v>
      </c>
      <c r="Q1688" s="141"/>
      <c r="R1688" s="143"/>
      <c r="S1688" s="139" t="str">
        <f t="shared" si="2"/>
        <v/>
      </c>
      <c r="T1688" s="141"/>
    </row>
    <row r="1689">
      <c r="A1689" s="138"/>
      <c r="B1689" s="138"/>
      <c r="C1689" s="138"/>
      <c r="D1689" s="139"/>
      <c r="E1689" s="138">
        <f>IFERROR(__xludf.DUMMYFUNCTION("""COMPUTED_VALUE"""),0.0)</f>
        <v>0</v>
      </c>
      <c r="F1689" s="138">
        <f>IFERROR(__xludf.DUMMYFUNCTION("""COMPUTED_VALUE"""),0.0)</f>
        <v>0</v>
      </c>
      <c r="G1689" s="138">
        <f>IFERROR(__xludf.DUMMYFUNCTION("""COMPUTED_VALUE"""),0.0)</f>
        <v>0</v>
      </c>
      <c r="H1689" s="138">
        <f>IFERROR(__xludf.DUMMYFUNCTION("""COMPUTED_VALUE"""),0.0)</f>
        <v>0</v>
      </c>
      <c r="I1689" s="138">
        <f>IFERROR(__xludf.DUMMYFUNCTION("""COMPUTED_VALUE"""),0.0)</f>
        <v>0</v>
      </c>
      <c r="J1689" s="138">
        <f>IFERROR(__xludf.DUMMYFUNCTION("""COMPUTED_VALUE"""),0.0)</f>
        <v>0</v>
      </c>
      <c r="K1689" s="138">
        <f>IFERROR(__xludf.DUMMYFUNCTION("""COMPUTED_VALUE"""),0.0)</f>
        <v>0</v>
      </c>
      <c r="L1689" s="138">
        <v>0.0</v>
      </c>
      <c r="M1689" s="140" t="str">
        <f>VLOOKUP(text(D1689, "#"),'Master Table'!$A:$F, 6, FALSE)</f>
        <v>#N/A</v>
      </c>
      <c r="N1689" s="141"/>
      <c r="O1689" s="142" t="str">
        <f t="shared" si="1"/>
        <v>TRUE</v>
      </c>
      <c r="P1689" s="143" t="str">
        <f>IF(ISNA(VLOOKUP(CONCAT(M1689,C1689), 'Judge Count DO NOT EDIT'!H:H, 1, FALSE)), "ERROR","")</f>
        <v>ERROR</v>
      </c>
      <c r="Q1689" s="141"/>
      <c r="R1689" s="143"/>
      <c r="S1689" s="139" t="str">
        <f t="shared" si="2"/>
        <v/>
      </c>
      <c r="T1689" s="141"/>
    </row>
    <row r="1690">
      <c r="A1690" s="138"/>
      <c r="B1690" s="138"/>
      <c r="C1690" s="138"/>
      <c r="D1690" s="139"/>
      <c r="E1690" s="138">
        <f>IFERROR(__xludf.DUMMYFUNCTION("""COMPUTED_VALUE"""),0.0)</f>
        <v>0</v>
      </c>
      <c r="F1690" s="138">
        <f>IFERROR(__xludf.DUMMYFUNCTION("""COMPUTED_VALUE"""),0.0)</f>
        <v>0</v>
      </c>
      <c r="G1690" s="138">
        <f>IFERROR(__xludf.DUMMYFUNCTION("""COMPUTED_VALUE"""),0.0)</f>
        <v>0</v>
      </c>
      <c r="H1690" s="138">
        <f>IFERROR(__xludf.DUMMYFUNCTION("""COMPUTED_VALUE"""),0.0)</f>
        <v>0</v>
      </c>
      <c r="I1690" s="138">
        <f>IFERROR(__xludf.DUMMYFUNCTION("""COMPUTED_VALUE"""),0.0)</f>
        <v>0</v>
      </c>
      <c r="J1690" s="138">
        <f>IFERROR(__xludf.DUMMYFUNCTION("""COMPUTED_VALUE"""),0.0)</f>
        <v>0</v>
      </c>
      <c r="K1690" s="138">
        <f>IFERROR(__xludf.DUMMYFUNCTION("""COMPUTED_VALUE"""),0.0)</f>
        <v>0</v>
      </c>
      <c r="L1690" s="138">
        <v>0.0</v>
      </c>
      <c r="M1690" s="140" t="str">
        <f>VLOOKUP(text(D1690, "#"),'Master Table'!$A:$F, 6, FALSE)</f>
        <v>#N/A</v>
      </c>
      <c r="N1690" s="141"/>
      <c r="O1690" s="142" t="str">
        <f t="shared" si="1"/>
        <v>TRUE</v>
      </c>
      <c r="P1690" s="143" t="str">
        <f>IF(ISNA(VLOOKUP(CONCAT(M1690,C1690), 'Judge Count DO NOT EDIT'!H:H, 1, FALSE)), "ERROR","")</f>
        <v>ERROR</v>
      </c>
      <c r="Q1690" s="141"/>
      <c r="R1690" s="143"/>
      <c r="S1690" s="139" t="str">
        <f t="shared" si="2"/>
        <v/>
      </c>
      <c r="T1690" s="141"/>
    </row>
    <row r="1691">
      <c r="A1691" s="138"/>
      <c r="B1691" s="138"/>
      <c r="C1691" s="138"/>
      <c r="D1691" s="139"/>
      <c r="E1691" s="138">
        <f>IFERROR(__xludf.DUMMYFUNCTION("""COMPUTED_VALUE"""),0.0)</f>
        <v>0</v>
      </c>
      <c r="F1691" s="138">
        <f>IFERROR(__xludf.DUMMYFUNCTION("""COMPUTED_VALUE"""),0.0)</f>
        <v>0</v>
      </c>
      <c r="G1691" s="138">
        <f>IFERROR(__xludf.DUMMYFUNCTION("""COMPUTED_VALUE"""),0.0)</f>
        <v>0</v>
      </c>
      <c r="H1691" s="138">
        <f>IFERROR(__xludf.DUMMYFUNCTION("""COMPUTED_VALUE"""),0.0)</f>
        <v>0</v>
      </c>
      <c r="I1691" s="138">
        <f>IFERROR(__xludf.DUMMYFUNCTION("""COMPUTED_VALUE"""),0.0)</f>
        <v>0</v>
      </c>
      <c r="J1691" s="138">
        <f>IFERROR(__xludf.DUMMYFUNCTION("""COMPUTED_VALUE"""),0.0)</f>
        <v>0</v>
      </c>
      <c r="K1691" s="138">
        <f>IFERROR(__xludf.DUMMYFUNCTION("""COMPUTED_VALUE"""),0.0)</f>
        <v>0</v>
      </c>
      <c r="L1691" s="138">
        <v>0.0</v>
      </c>
      <c r="M1691" s="140" t="str">
        <f>VLOOKUP(text(D1691, "#"),'Master Table'!$A:$F, 6, FALSE)</f>
        <v>#N/A</v>
      </c>
      <c r="N1691" s="141"/>
      <c r="O1691" s="142" t="str">
        <f t="shared" si="1"/>
        <v>TRUE</v>
      </c>
      <c r="P1691" s="143" t="str">
        <f>IF(ISNA(VLOOKUP(CONCAT(M1691,C1691), 'Judge Count DO NOT EDIT'!H:H, 1, FALSE)), "ERROR","")</f>
        <v>ERROR</v>
      </c>
      <c r="Q1691" s="141"/>
      <c r="R1691" s="143"/>
      <c r="S1691" s="139" t="str">
        <f t="shared" si="2"/>
        <v/>
      </c>
      <c r="T1691" s="141"/>
    </row>
    <row r="1692">
      <c r="A1692" s="138"/>
      <c r="B1692" s="138"/>
      <c r="C1692" s="138"/>
      <c r="D1692" s="139"/>
      <c r="E1692" s="138">
        <f>IFERROR(__xludf.DUMMYFUNCTION("""COMPUTED_VALUE"""),0.0)</f>
        <v>0</v>
      </c>
      <c r="F1692" s="138">
        <f>IFERROR(__xludf.DUMMYFUNCTION("""COMPUTED_VALUE"""),0.0)</f>
        <v>0</v>
      </c>
      <c r="G1692" s="138">
        <f>IFERROR(__xludf.DUMMYFUNCTION("""COMPUTED_VALUE"""),0.0)</f>
        <v>0</v>
      </c>
      <c r="H1692" s="138">
        <f>IFERROR(__xludf.DUMMYFUNCTION("""COMPUTED_VALUE"""),0.0)</f>
        <v>0</v>
      </c>
      <c r="I1692" s="138">
        <f>IFERROR(__xludf.DUMMYFUNCTION("""COMPUTED_VALUE"""),0.0)</f>
        <v>0</v>
      </c>
      <c r="J1692" s="138">
        <f>IFERROR(__xludf.DUMMYFUNCTION("""COMPUTED_VALUE"""),0.0)</f>
        <v>0</v>
      </c>
      <c r="K1692" s="138">
        <f>IFERROR(__xludf.DUMMYFUNCTION("""COMPUTED_VALUE"""),0.0)</f>
        <v>0</v>
      </c>
      <c r="L1692" s="138">
        <v>0.0</v>
      </c>
      <c r="M1692" s="140" t="str">
        <f>VLOOKUP(text(D1692, "#"),'Master Table'!$A:$F, 6, FALSE)</f>
        <v>#N/A</v>
      </c>
      <c r="N1692" s="141"/>
      <c r="O1692" s="142" t="str">
        <f t="shared" si="1"/>
        <v>TRUE</v>
      </c>
      <c r="P1692" s="143" t="str">
        <f>IF(ISNA(VLOOKUP(CONCAT(M1692,C1692), 'Judge Count DO NOT EDIT'!H:H, 1, FALSE)), "ERROR","")</f>
        <v>ERROR</v>
      </c>
      <c r="Q1692" s="141"/>
      <c r="R1692" s="143"/>
      <c r="S1692" s="139" t="str">
        <f t="shared" si="2"/>
        <v/>
      </c>
      <c r="T1692" s="141"/>
    </row>
    <row r="1693">
      <c r="A1693" s="138"/>
      <c r="B1693" s="138"/>
      <c r="C1693" s="138"/>
      <c r="D1693" s="139"/>
      <c r="E1693" s="138">
        <f>IFERROR(__xludf.DUMMYFUNCTION("""COMPUTED_VALUE"""),0.0)</f>
        <v>0</v>
      </c>
      <c r="F1693" s="138">
        <f>IFERROR(__xludf.DUMMYFUNCTION("""COMPUTED_VALUE"""),0.0)</f>
        <v>0</v>
      </c>
      <c r="G1693" s="138">
        <f>IFERROR(__xludf.DUMMYFUNCTION("""COMPUTED_VALUE"""),0.0)</f>
        <v>0</v>
      </c>
      <c r="H1693" s="138">
        <f>IFERROR(__xludf.DUMMYFUNCTION("""COMPUTED_VALUE"""),0.0)</f>
        <v>0</v>
      </c>
      <c r="I1693" s="138">
        <f>IFERROR(__xludf.DUMMYFUNCTION("""COMPUTED_VALUE"""),0.0)</f>
        <v>0</v>
      </c>
      <c r="J1693" s="138">
        <f>IFERROR(__xludf.DUMMYFUNCTION("""COMPUTED_VALUE"""),0.0)</f>
        <v>0</v>
      </c>
      <c r="K1693" s="138">
        <f>IFERROR(__xludf.DUMMYFUNCTION("""COMPUTED_VALUE"""),0.0)</f>
        <v>0</v>
      </c>
      <c r="L1693" s="138">
        <v>0.0</v>
      </c>
      <c r="M1693" s="140" t="str">
        <f>VLOOKUP(text(D1693, "#"),'Master Table'!$A:$F, 6, FALSE)</f>
        <v>#N/A</v>
      </c>
      <c r="N1693" s="141"/>
      <c r="O1693" s="142" t="str">
        <f t="shared" si="1"/>
        <v>TRUE</v>
      </c>
      <c r="P1693" s="143" t="str">
        <f>IF(ISNA(VLOOKUP(CONCAT(M1693,C1693), 'Judge Count DO NOT EDIT'!H:H, 1, FALSE)), "ERROR","")</f>
        <v>ERROR</v>
      </c>
      <c r="Q1693" s="141"/>
      <c r="R1693" s="143"/>
      <c r="S1693" s="139" t="str">
        <f t="shared" si="2"/>
        <v/>
      </c>
      <c r="T1693" s="141"/>
    </row>
    <row r="1694">
      <c r="A1694" s="138"/>
      <c r="B1694" s="138"/>
      <c r="C1694" s="138"/>
      <c r="D1694" s="139"/>
      <c r="E1694" s="138">
        <f>IFERROR(__xludf.DUMMYFUNCTION("""COMPUTED_VALUE"""),0.0)</f>
        <v>0</v>
      </c>
      <c r="F1694" s="138">
        <f>IFERROR(__xludf.DUMMYFUNCTION("""COMPUTED_VALUE"""),0.0)</f>
        <v>0</v>
      </c>
      <c r="G1694" s="138">
        <f>IFERROR(__xludf.DUMMYFUNCTION("""COMPUTED_VALUE"""),0.0)</f>
        <v>0</v>
      </c>
      <c r="H1694" s="138">
        <f>IFERROR(__xludf.DUMMYFUNCTION("""COMPUTED_VALUE"""),0.0)</f>
        <v>0</v>
      </c>
      <c r="I1694" s="138">
        <f>IFERROR(__xludf.DUMMYFUNCTION("""COMPUTED_VALUE"""),0.0)</f>
        <v>0</v>
      </c>
      <c r="J1694" s="138">
        <f>IFERROR(__xludf.DUMMYFUNCTION("""COMPUTED_VALUE"""),0.0)</f>
        <v>0</v>
      </c>
      <c r="K1694" s="138">
        <f>IFERROR(__xludf.DUMMYFUNCTION("""COMPUTED_VALUE"""),0.0)</f>
        <v>0</v>
      </c>
      <c r="L1694" s="138">
        <v>0.0</v>
      </c>
      <c r="M1694" s="140" t="str">
        <f>VLOOKUP(text(D1694, "#"),'Master Table'!$A:$F, 6, FALSE)</f>
        <v>#N/A</v>
      </c>
      <c r="N1694" s="141"/>
      <c r="O1694" s="142" t="str">
        <f t="shared" si="1"/>
        <v>TRUE</v>
      </c>
      <c r="P1694" s="143" t="str">
        <f>IF(ISNA(VLOOKUP(CONCAT(M1694,C1694), 'Judge Count DO NOT EDIT'!H:H, 1, FALSE)), "ERROR","")</f>
        <v>ERROR</v>
      </c>
      <c r="Q1694" s="141"/>
      <c r="R1694" s="143"/>
      <c r="S1694" s="139" t="str">
        <f t="shared" si="2"/>
        <v/>
      </c>
      <c r="T1694" s="141"/>
    </row>
    <row r="1695">
      <c r="A1695" s="138"/>
      <c r="B1695" s="138"/>
      <c r="C1695" s="138"/>
      <c r="D1695" s="139"/>
      <c r="E1695" s="138">
        <f>IFERROR(__xludf.DUMMYFUNCTION("""COMPUTED_VALUE"""),0.0)</f>
        <v>0</v>
      </c>
      <c r="F1695" s="138">
        <f>IFERROR(__xludf.DUMMYFUNCTION("""COMPUTED_VALUE"""),0.0)</f>
        <v>0</v>
      </c>
      <c r="G1695" s="138">
        <f>IFERROR(__xludf.DUMMYFUNCTION("""COMPUTED_VALUE"""),0.0)</f>
        <v>0</v>
      </c>
      <c r="H1695" s="138">
        <f>IFERROR(__xludf.DUMMYFUNCTION("""COMPUTED_VALUE"""),0.0)</f>
        <v>0</v>
      </c>
      <c r="I1695" s="138">
        <f>IFERROR(__xludf.DUMMYFUNCTION("""COMPUTED_VALUE"""),0.0)</f>
        <v>0</v>
      </c>
      <c r="J1695" s="138">
        <f>IFERROR(__xludf.DUMMYFUNCTION("""COMPUTED_VALUE"""),0.0)</f>
        <v>0</v>
      </c>
      <c r="K1695" s="138">
        <f>IFERROR(__xludf.DUMMYFUNCTION("""COMPUTED_VALUE"""),0.0)</f>
        <v>0</v>
      </c>
      <c r="L1695" s="138">
        <v>0.0</v>
      </c>
      <c r="M1695" s="140" t="str">
        <f>VLOOKUP(text(D1695, "#"),'Master Table'!$A:$F, 6, FALSE)</f>
        <v>#N/A</v>
      </c>
      <c r="N1695" s="141"/>
      <c r="O1695" s="142" t="str">
        <f t="shared" si="1"/>
        <v>TRUE</v>
      </c>
      <c r="P1695" s="143" t="str">
        <f>IF(ISNA(VLOOKUP(CONCAT(M1695,C1695), 'Judge Count DO NOT EDIT'!H:H, 1, FALSE)), "ERROR","")</f>
        <v>ERROR</v>
      </c>
      <c r="Q1695" s="141"/>
      <c r="R1695" s="143"/>
      <c r="S1695" s="139" t="str">
        <f t="shared" si="2"/>
        <v/>
      </c>
      <c r="T1695" s="141"/>
    </row>
    <row r="1696">
      <c r="A1696" s="138"/>
      <c r="B1696" s="138"/>
      <c r="C1696" s="138"/>
      <c r="D1696" s="139"/>
      <c r="E1696" s="138">
        <f>IFERROR(__xludf.DUMMYFUNCTION("""COMPUTED_VALUE"""),0.0)</f>
        <v>0</v>
      </c>
      <c r="F1696" s="138">
        <f>IFERROR(__xludf.DUMMYFUNCTION("""COMPUTED_VALUE"""),0.0)</f>
        <v>0</v>
      </c>
      <c r="G1696" s="138">
        <f>IFERROR(__xludf.DUMMYFUNCTION("""COMPUTED_VALUE"""),0.0)</f>
        <v>0</v>
      </c>
      <c r="H1696" s="138">
        <f>IFERROR(__xludf.DUMMYFUNCTION("""COMPUTED_VALUE"""),0.0)</f>
        <v>0</v>
      </c>
      <c r="I1696" s="138">
        <f>IFERROR(__xludf.DUMMYFUNCTION("""COMPUTED_VALUE"""),0.0)</f>
        <v>0</v>
      </c>
      <c r="J1696" s="138">
        <f>IFERROR(__xludf.DUMMYFUNCTION("""COMPUTED_VALUE"""),0.0)</f>
        <v>0</v>
      </c>
      <c r="K1696" s="138">
        <f>IFERROR(__xludf.DUMMYFUNCTION("""COMPUTED_VALUE"""),0.0)</f>
        <v>0</v>
      </c>
      <c r="L1696" s="138">
        <v>0.0</v>
      </c>
      <c r="M1696" s="140" t="str">
        <f>VLOOKUP(text(D1696, "#"),'Master Table'!$A:$F, 6, FALSE)</f>
        <v>#N/A</v>
      </c>
      <c r="N1696" s="141"/>
      <c r="O1696" s="142" t="str">
        <f t="shared" si="1"/>
        <v>TRUE</v>
      </c>
      <c r="P1696" s="143" t="str">
        <f>IF(ISNA(VLOOKUP(CONCAT(M1696,C1696), 'Judge Count DO NOT EDIT'!H:H, 1, FALSE)), "ERROR","")</f>
        <v>ERROR</v>
      </c>
      <c r="Q1696" s="141"/>
      <c r="R1696" s="143"/>
      <c r="S1696" s="139" t="str">
        <f t="shared" si="2"/>
        <v/>
      </c>
      <c r="T1696" s="141"/>
    </row>
    <row r="1697">
      <c r="A1697" s="138"/>
      <c r="B1697" s="138"/>
      <c r="C1697" s="138"/>
      <c r="D1697" s="139"/>
      <c r="E1697" s="138">
        <f>IFERROR(__xludf.DUMMYFUNCTION("""COMPUTED_VALUE"""),0.0)</f>
        <v>0</v>
      </c>
      <c r="F1697" s="138">
        <f>IFERROR(__xludf.DUMMYFUNCTION("""COMPUTED_VALUE"""),0.0)</f>
        <v>0</v>
      </c>
      <c r="G1697" s="138">
        <f>IFERROR(__xludf.DUMMYFUNCTION("""COMPUTED_VALUE"""),0.0)</f>
        <v>0</v>
      </c>
      <c r="H1697" s="138">
        <f>IFERROR(__xludf.DUMMYFUNCTION("""COMPUTED_VALUE"""),0.0)</f>
        <v>0</v>
      </c>
      <c r="I1697" s="138">
        <f>IFERROR(__xludf.DUMMYFUNCTION("""COMPUTED_VALUE"""),0.0)</f>
        <v>0</v>
      </c>
      <c r="J1697" s="138">
        <f>IFERROR(__xludf.DUMMYFUNCTION("""COMPUTED_VALUE"""),0.0)</f>
        <v>0</v>
      </c>
      <c r="K1697" s="138">
        <f>IFERROR(__xludf.DUMMYFUNCTION("""COMPUTED_VALUE"""),0.0)</f>
        <v>0</v>
      </c>
      <c r="L1697" s="138">
        <v>0.0</v>
      </c>
      <c r="M1697" s="140" t="str">
        <f>VLOOKUP(text(D1697, "#"),'Master Table'!$A:$F, 6, FALSE)</f>
        <v>#N/A</v>
      </c>
      <c r="N1697" s="141"/>
      <c r="O1697" s="142" t="str">
        <f t="shared" si="1"/>
        <v>TRUE</v>
      </c>
      <c r="P1697" s="143" t="str">
        <f>IF(ISNA(VLOOKUP(CONCAT(M1697,C1697), 'Judge Count DO NOT EDIT'!H:H, 1, FALSE)), "ERROR","")</f>
        <v>ERROR</v>
      </c>
      <c r="Q1697" s="141"/>
      <c r="R1697" s="143"/>
      <c r="S1697" s="139" t="str">
        <f t="shared" si="2"/>
        <v/>
      </c>
      <c r="T1697" s="141"/>
    </row>
    <row r="1698">
      <c r="A1698" s="138"/>
      <c r="B1698" s="138"/>
      <c r="C1698" s="138"/>
      <c r="D1698" s="139"/>
      <c r="E1698" s="138">
        <f>IFERROR(__xludf.DUMMYFUNCTION("""COMPUTED_VALUE"""),0.0)</f>
        <v>0</v>
      </c>
      <c r="F1698" s="138">
        <f>IFERROR(__xludf.DUMMYFUNCTION("""COMPUTED_VALUE"""),0.0)</f>
        <v>0</v>
      </c>
      <c r="G1698" s="138">
        <f>IFERROR(__xludf.DUMMYFUNCTION("""COMPUTED_VALUE"""),0.0)</f>
        <v>0</v>
      </c>
      <c r="H1698" s="138">
        <f>IFERROR(__xludf.DUMMYFUNCTION("""COMPUTED_VALUE"""),0.0)</f>
        <v>0</v>
      </c>
      <c r="I1698" s="138">
        <f>IFERROR(__xludf.DUMMYFUNCTION("""COMPUTED_VALUE"""),0.0)</f>
        <v>0</v>
      </c>
      <c r="J1698" s="138">
        <f>IFERROR(__xludf.DUMMYFUNCTION("""COMPUTED_VALUE"""),0.0)</f>
        <v>0</v>
      </c>
      <c r="K1698" s="138">
        <f>IFERROR(__xludf.DUMMYFUNCTION("""COMPUTED_VALUE"""),0.0)</f>
        <v>0</v>
      </c>
      <c r="L1698" s="138">
        <v>0.0</v>
      </c>
      <c r="M1698" s="140" t="str">
        <f>VLOOKUP(text(D1698, "#"),'Master Table'!$A:$F, 6, FALSE)</f>
        <v>#N/A</v>
      </c>
      <c r="N1698" s="141"/>
      <c r="O1698" s="142" t="str">
        <f t="shared" si="1"/>
        <v>TRUE</v>
      </c>
      <c r="P1698" s="143" t="str">
        <f>IF(ISNA(VLOOKUP(CONCAT(M1698,C1698), 'Judge Count DO NOT EDIT'!H:H, 1, FALSE)), "ERROR","")</f>
        <v>ERROR</v>
      </c>
      <c r="Q1698" s="141"/>
      <c r="R1698" s="143"/>
      <c r="S1698" s="139" t="str">
        <f t="shared" si="2"/>
        <v/>
      </c>
      <c r="T1698" s="141"/>
    </row>
    <row r="1699">
      <c r="A1699" s="138"/>
      <c r="B1699" s="138"/>
      <c r="C1699" s="138"/>
      <c r="D1699" s="139"/>
      <c r="E1699" s="138">
        <f>IFERROR(__xludf.DUMMYFUNCTION("""COMPUTED_VALUE"""),0.0)</f>
        <v>0</v>
      </c>
      <c r="F1699" s="138">
        <f>IFERROR(__xludf.DUMMYFUNCTION("""COMPUTED_VALUE"""),0.0)</f>
        <v>0</v>
      </c>
      <c r="G1699" s="138">
        <f>IFERROR(__xludf.DUMMYFUNCTION("""COMPUTED_VALUE"""),0.0)</f>
        <v>0</v>
      </c>
      <c r="H1699" s="138">
        <f>IFERROR(__xludf.DUMMYFUNCTION("""COMPUTED_VALUE"""),0.0)</f>
        <v>0</v>
      </c>
      <c r="I1699" s="138">
        <f>IFERROR(__xludf.DUMMYFUNCTION("""COMPUTED_VALUE"""),0.0)</f>
        <v>0</v>
      </c>
      <c r="J1699" s="138">
        <f>IFERROR(__xludf.DUMMYFUNCTION("""COMPUTED_VALUE"""),0.0)</f>
        <v>0</v>
      </c>
      <c r="K1699" s="138">
        <f>IFERROR(__xludf.DUMMYFUNCTION("""COMPUTED_VALUE"""),0.0)</f>
        <v>0</v>
      </c>
      <c r="L1699" s="138">
        <v>0.0</v>
      </c>
      <c r="M1699" s="140" t="str">
        <f>VLOOKUP(text(D1699, "#"),'Master Table'!$A:$F, 6, FALSE)</f>
        <v>#N/A</v>
      </c>
      <c r="N1699" s="141"/>
      <c r="O1699" s="142" t="str">
        <f t="shared" si="1"/>
        <v>TRUE</v>
      </c>
      <c r="P1699" s="143" t="str">
        <f>IF(ISNA(VLOOKUP(CONCAT(M1699,C1699), 'Judge Count DO NOT EDIT'!H:H, 1, FALSE)), "ERROR","")</f>
        <v>ERROR</v>
      </c>
      <c r="Q1699" s="141"/>
      <c r="R1699" s="143"/>
      <c r="S1699" s="139" t="str">
        <f t="shared" si="2"/>
        <v/>
      </c>
      <c r="T1699" s="141"/>
    </row>
    <row r="1700">
      <c r="A1700" s="138"/>
      <c r="B1700" s="138"/>
      <c r="C1700" s="138"/>
      <c r="D1700" s="139"/>
      <c r="E1700" s="138">
        <f>IFERROR(__xludf.DUMMYFUNCTION("""COMPUTED_VALUE"""),0.0)</f>
        <v>0</v>
      </c>
      <c r="F1700" s="138">
        <f>IFERROR(__xludf.DUMMYFUNCTION("""COMPUTED_VALUE"""),0.0)</f>
        <v>0</v>
      </c>
      <c r="G1700" s="138">
        <f>IFERROR(__xludf.DUMMYFUNCTION("""COMPUTED_VALUE"""),0.0)</f>
        <v>0</v>
      </c>
      <c r="H1700" s="138">
        <f>IFERROR(__xludf.DUMMYFUNCTION("""COMPUTED_VALUE"""),0.0)</f>
        <v>0</v>
      </c>
      <c r="I1700" s="138">
        <f>IFERROR(__xludf.DUMMYFUNCTION("""COMPUTED_VALUE"""),0.0)</f>
        <v>0</v>
      </c>
      <c r="J1700" s="138">
        <f>IFERROR(__xludf.DUMMYFUNCTION("""COMPUTED_VALUE"""),0.0)</f>
        <v>0</v>
      </c>
      <c r="K1700" s="138">
        <f>IFERROR(__xludf.DUMMYFUNCTION("""COMPUTED_VALUE"""),0.0)</f>
        <v>0</v>
      </c>
      <c r="L1700" s="138">
        <v>0.0</v>
      </c>
      <c r="M1700" s="140" t="str">
        <f>VLOOKUP(text(D1700, "#"),'Master Table'!$A:$F, 6, FALSE)</f>
        <v>#N/A</v>
      </c>
      <c r="N1700" s="141"/>
      <c r="O1700" s="142" t="str">
        <f t="shared" si="1"/>
        <v>TRUE</v>
      </c>
      <c r="P1700" s="143" t="str">
        <f>IF(ISNA(VLOOKUP(CONCAT(M1700,C1700), 'Judge Count DO NOT EDIT'!H:H, 1, FALSE)), "ERROR","")</f>
        <v>ERROR</v>
      </c>
      <c r="Q1700" s="141"/>
      <c r="R1700" s="143"/>
      <c r="S1700" s="139" t="str">
        <f t="shared" si="2"/>
        <v/>
      </c>
      <c r="T1700" s="141"/>
    </row>
    <row r="1701">
      <c r="A1701" s="138"/>
      <c r="B1701" s="138"/>
      <c r="C1701" s="138"/>
      <c r="D1701" s="139"/>
      <c r="E1701" s="138">
        <f>IFERROR(__xludf.DUMMYFUNCTION("""COMPUTED_VALUE"""),0.0)</f>
        <v>0</v>
      </c>
      <c r="F1701" s="138">
        <f>IFERROR(__xludf.DUMMYFUNCTION("""COMPUTED_VALUE"""),0.0)</f>
        <v>0</v>
      </c>
      <c r="G1701" s="138">
        <f>IFERROR(__xludf.DUMMYFUNCTION("""COMPUTED_VALUE"""),0.0)</f>
        <v>0</v>
      </c>
      <c r="H1701" s="138">
        <f>IFERROR(__xludf.DUMMYFUNCTION("""COMPUTED_VALUE"""),0.0)</f>
        <v>0</v>
      </c>
      <c r="I1701" s="138">
        <f>IFERROR(__xludf.DUMMYFUNCTION("""COMPUTED_VALUE"""),0.0)</f>
        <v>0</v>
      </c>
      <c r="J1701" s="138">
        <f>IFERROR(__xludf.DUMMYFUNCTION("""COMPUTED_VALUE"""),0.0)</f>
        <v>0</v>
      </c>
      <c r="K1701" s="138">
        <f>IFERROR(__xludf.DUMMYFUNCTION("""COMPUTED_VALUE"""),0.0)</f>
        <v>0</v>
      </c>
      <c r="L1701" s="138">
        <v>0.0</v>
      </c>
      <c r="M1701" s="140" t="str">
        <f>VLOOKUP(text(D1701, "#"),'Master Table'!$A:$F, 6, FALSE)</f>
        <v>#N/A</v>
      </c>
      <c r="N1701" s="141"/>
      <c r="O1701" s="142" t="str">
        <f t="shared" si="1"/>
        <v>TRUE</v>
      </c>
      <c r="P1701" s="143" t="str">
        <f>IF(ISNA(VLOOKUP(CONCAT(M1701,C1701), 'Judge Count DO NOT EDIT'!H:H, 1, FALSE)), "ERROR","")</f>
        <v>ERROR</v>
      </c>
      <c r="Q1701" s="141"/>
      <c r="R1701" s="143"/>
      <c r="S1701" s="139" t="str">
        <f t="shared" si="2"/>
        <v/>
      </c>
      <c r="T1701" s="141"/>
    </row>
    <row r="1702">
      <c r="A1702" s="138"/>
      <c r="B1702" s="138"/>
      <c r="C1702" s="138"/>
      <c r="D1702" s="139"/>
      <c r="E1702" s="138">
        <f>IFERROR(__xludf.DUMMYFUNCTION("""COMPUTED_VALUE"""),0.0)</f>
        <v>0</v>
      </c>
      <c r="F1702" s="138">
        <f>IFERROR(__xludf.DUMMYFUNCTION("""COMPUTED_VALUE"""),0.0)</f>
        <v>0</v>
      </c>
      <c r="G1702" s="138">
        <f>IFERROR(__xludf.DUMMYFUNCTION("""COMPUTED_VALUE"""),0.0)</f>
        <v>0</v>
      </c>
      <c r="H1702" s="138">
        <f>IFERROR(__xludf.DUMMYFUNCTION("""COMPUTED_VALUE"""),0.0)</f>
        <v>0</v>
      </c>
      <c r="I1702" s="138">
        <f>IFERROR(__xludf.DUMMYFUNCTION("""COMPUTED_VALUE"""),0.0)</f>
        <v>0</v>
      </c>
      <c r="J1702" s="138">
        <f>IFERROR(__xludf.DUMMYFUNCTION("""COMPUTED_VALUE"""),0.0)</f>
        <v>0</v>
      </c>
      <c r="K1702" s="138">
        <f>IFERROR(__xludf.DUMMYFUNCTION("""COMPUTED_VALUE"""),0.0)</f>
        <v>0</v>
      </c>
      <c r="L1702" s="138">
        <v>0.0</v>
      </c>
      <c r="M1702" s="140" t="str">
        <f>VLOOKUP(text(D1702, "#"),'Master Table'!$A:$F, 6, FALSE)</f>
        <v>#N/A</v>
      </c>
      <c r="N1702" s="141"/>
      <c r="O1702" s="142" t="str">
        <f t="shared" si="1"/>
        <v>TRUE</v>
      </c>
      <c r="P1702" s="143" t="str">
        <f>IF(ISNA(VLOOKUP(CONCAT(M1702,C1702), 'Judge Count DO NOT EDIT'!H:H, 1, FALSE)), "ERROR","")</f>
        <v>ERROR</v>
      </c>
      <c r="Q1702" s="141"/>
      <c r="R1702" s="143"/>
      <c r="S1702" s="139" t="str">
        <f t="shared" si="2"/>
        <v/>
      </c>
      <c r="T1702" s="141"/>
    </row>
    <row r="1703">
      <c r="A1703" s="138"/>
      <c r="B1703" s="138"/>
      <c r="C1703" s="138"/>
      <c r="D1703" s="139"/>
      <c r="E1703" s="138">
        <f>IFERROR(__xludf.DUMMYFUNCTION("""COMPUTED_VALUE"""),0.0)</f>
        <v>0</v>
      </c>
      <c r="F1703" s="138">
        <f>IFERROR(__xludf.DUMMYFUNCTION("""COMPUTED_VALUE"""),0.0)</f>
        <v>0</v>
      </c>
      <c r="G1703" s="138">
        <f>IFERROR(__xludf.DUMMYFUNCTION("""COMPUTED_VALUE"""),0.0)</f>
        <v>0</v>
      </c>
      <c r="H1703" s="138">
        <f>IFERROR(__xludf.DUMMYFUNCTION("""COMPUTED_VALUE"""),0.0)</f>
        <v>0</v>
      </c>
      <c r="I1703" s="138">
        <f>IFERROR(__xludf.DUMMYFUNCTION("""COMPUTED_VALUE"""),0.0)</f>
        <v>0</v>
      </c>
      <c r="J1703" s="138">
        <f>IFERROR(__xludf.DUMMYFUNCTION("""COMPUTED_VALUE"""),0.0)</f>
        <v>0</v>
      </c>
      <c r="K1703" s="138">
        <f>IFERROR(__xludf.DUMMYFUNCTION("""COMPUTED_VALUE"""),0.0)</f>
        <v>0</v>
      </c>
      <c r="L1703" s="138">
        <v>0.0</v>
      </c>
      <c r="M1703" s="140" t="str">
        <f>VLOOKUP(text(D1703, "#"),'Master Table'!$A:$F, 6, FALSE)</f>
        <v>#N/A</v>
      </c>
      <c r="N1703" s="141"/>
      <c r="O1703" s="142" t="str">
        <f t="shared" si="1"/>
        <v>TRUE</v>
      </c>
      <c r="P1703" s="143" t="str">
        <f>IF(ISNA(VLOOKUP(CONCAT(M1703,C1703), 'Judge Count DO NOT EDIT'!H:H, 1, FALSE)), "ERROR","")</f>
        <v>ERROR</v>
      </c>
      <c r="Q1703" s="141"/>
      <c r="R1703" s="143"/>
      <c r="S1703" s="139" t="str">
        <f t="shared" si="2"/>
        <v/>
      </c>
      <c r="T1703" s="141"/>
    </row>
    <row r="1704">
      <c r="A1704" s="138"/>
      <c r="B1704" s="138"/>
      <c r="C1704" s="138"/>
      <c r="D1704" s="139"/>
      <c r="E1704" s="138">
        <f>IFERROR(__xludf.DUMMYFUNCTION("""COMPUTED_VALUE"""),0.0)</f>
        <v>0</v>
      </c>
      <c r="F1704" s="138">
        <f>IFERROR(__xludf.DUMMYFUNCTION("""COMPUTED_VALUE"""),0.0)</f>
        <v>0</v>
      </c>
      <c r="G1704" s="138">
        <f>IFERROR(__xludf.DUMMYFUNCTION("""COMPUTED_VALUE"""),0.0)</f>
        <v>0</v>
      </c>
      <c r="H1704" s="138">
        <f>IFERROR(__xludf.DUMMYFUNCTION("""COMPUTED_VALUE"""),0.0)</f>
        <v>0</v>
      </c>
      <c r="I1704" s="138">
        <f>IFERROR(__xludf.DUMMYFUNCTION("""COMPUTED_VALUE"""),0.0)</f>
        <v>0</v>
      </c>
      <c r="J1704" s="138">
        <f>IFERROR(__xludf.DUMMYFUNCTION("""COMPUTED_VALUE"""),0.0)</f>
        <v>0</v>
      </c>
      <c r="K1704" s="138">
        <f>IFERROR(__xludf.DUMMYFUNCTION("""COMPUTED_VALUE"""),0.0)</f>
        <v>0</v>
      </c>
      <c r="L1704" s="138">
        <v>0.0</v>
      </c>
      <c r="M1704" s="140" t="str">
        <f>VLOOKUP(text(D1704, "#"),'Master Table'!$A:$F, 6, FALSE)</f>
        <v>#N/A</v>
      </c>
      <c r="N1704" s="141"/>
      <c r="O1704" s="142" t="str">
        <f t="shared" si="1"/>
        <v>TRUE</v>
      </c>
      <c r="P1704" s="143" t="str">
        <f>IF(ISNA(VLOOKUP(CONCAT(M1704,C1704), 'Judge Count DO NOT EDIT'!H:H, 1, FALSE)), "ERROR","")</f>
        <v>ERROR</v>
      </c>
      <c r="Q1704" s="141"/>
      <c r="R1704" s="143"/>
      <c r="S1704" s="139" t="str">
        <f t="shared" si="2"/>
        <v/>
      </c>
      <c r="T1704" s="141"/>
    </row>
    <row r="1705">
      <c r="A1705" s="138"/>
      <c r="B1705" s="138"/>
      <c r="C1705" s="138"/>
      <c r="D1705" s="139"/>
      <c r="E1705" s="138">
        <f>IFERROR(__xludf.DUMMYFUNCTION("""COMPUTED_VALUE"""),0.0)</f>
        <v>0</v>
      </c>
      <c r="F1705" s="138">
        <f>IFERROR(__xludf.DUMMYFUNCTION("""COMPUTED_VALUE"""),0.0)</f>
        <v>0</v>
      </c>
      <c r="G1705" s="138">
        <f>IFERROR(__xludf.DUMMYFUNCTION("""COMPUTED_VALUE"""),0.0)</f>
        <v>0</v>
      </c>
      <c r="H1705" s="138">
        <f>IFERROR(__xludf.DUMMYFUNCTION("""COMPUTED_VALUE"""),0.0)</f>
        <v>0</v>
      </c>
      <c r="I1705" s="138">
        <f>IFERROR(__xludf.DUMMYFUNCTION("""COMPUTED_VALUE"""),0.0)</f>
        <v>0</v>
      </c>
      <c r="J1705" s="138">
        <f>IFERROR(__xludf.DUMMYFUNCTION("""COMPUTED_VALUE"""),0.0)</f>
        <v>0</v>
      </c>
      <c r="K1705" s="138">
        <f>IFERROR(__xludf.DUMMYFUNCTION("""COMPUTED_VALUE"""),0.0)</f>
        <v>0</v>
      </c>
      <c r="L1705" s="138">
        <v>0.0</v>
      </c>
      <c r="M1705" s="140" t="str">
        <f>VLOOKUP(text(D1705, "#"),'Master Table'!$A:$F, 6, FALSE)</f>
        <v>#N/A</v>
      </c>
      <c r="N1705" s="141"/>
      <c r="O1705" s="142" t="str">
        <f t="shared" si="1"/>
        <v>TRUE</v>
      </c>
      <c r="P1705" s="143" t="str">
        <f>IF(ISNA(VLOOKUP(CONCAT(M1705,C1705), 'Judge Count DO NOT EDIT'!H:H, 1, FALSE)), "ERROR","")</f>
        <v>ERROR</v>
      </c>
      <c r="Q1705" s="141"/>
      <c r="R1705" s="143"/>
      <c r="S1705" s="139" t="str">
        <f t="shared" si="2"/>
        <v/>
      </c>
      <c r="T1705" s="141"/>
    </row>
    <row r="1706">
      <c r="A1706" s="138"/>
      <c r="B1706" s="138"/>
      <c r="C1706" s="138"/>
      <c r="D1706" s="139"/>
      <c r="E1706" s="138">
        <f>IFERROR(__xludf.DUMMYFUNCTION("""COMPUTED_VALUE"""),0.0)</f>
        <v>0</v>
      </c>
      <c r="F1706" s="138">
        <f>IFERROR(__xludf.DUMMYFUNCTION("""COMPUTED_VALUE"""),0.0)</f>
        <v>0</v>
      </c>
      <c r="G1706" s="138">
        <f>IFERROR(__xludf.DUMMYFUNCTION("""COMPUTED_VALUE"""),0.0)</f>
        <v>0</v>
      </c>
      <c r="H1706" s="138">
        <f>IFERROR(__xludf.DUMMYFUNCTION("""COMPUTED_VALUE"""),0.0)</f>
        <v>0</v>
      </c>
      <c r="I1706" s="138">
        <f>IFERROR(__xludf.DUMMYFUNCTION("""COMPUTED_VALUE"""),0.0)</f>
        <v>0</v>
      </c>
      <c r="J1706" s="138">
        <f>IFERROR(__xludf.DUMMYFUNCTION("""COMPUTED_VALUE"""),0.0)</f>
        <v>0</v>
      </c>
      <c r="K1706" s="138">
        <f>IFERROR(__xludf.DUMMYFUNCTION("""COMPUTED_VALUE"""),0.0)</f>
        <v>0</v>
      </c>
      <c r="L1706" s="138">
        <v>0.0</v>
      </c>
      <c r="M1706" s="140" t="str">
        <f>VLOOKUP(text(D1706, "#"),'Master Table'!$A:$F, 6, FALSE)</f>
        <v>#N/A</v>
      </c>
      <c r="N1706" s="141"/>
      <c r="O1706" s="142" t="str">
        <f t="shared" si="1"/>
        <v>TRUE</v>
      </c>
      <c r="P1706" s="143" t="str">
        <f>IF(ISNA(VLOOKUP(CONCAT(M1706,C1706), 'Judge Count DO NOT EDIT'!H:H, 1, FALSE)), "ERROR","")</f>
        <v>ERROR</v>
      </c>
      <c r="Q1706" s="141"/>
      <c r="R1706" s="143"/>
      <c r="S1706" s="139" t="str">
        <f t="shared" si="2"/>
        <v/>
      </c>
      <c r="T1706" s="141"/>
    </row>
    <row r="1707">
      <c r="A1707" s="138"/>
      <c r="B1707" s="138"/>
      <c r="C1707" s="138"/>
      <c r="D1707" s="139"/>
      <c r="E1707" s="138">
        <f>IFERROR(__xludf.DUMMYFUNCTION("""COMPUTED_VALUE"""),0.0)</f>
        <v>0</v>
      </c>
      <c r="F1707" s="138">
        <f>IFERROR(__xludf.DUMMYFUNCTION("""COMPUTED_VALUE"""),0.0)</f>
        <v>0</v>
      </c>
      <c r="G1707" s="138">
        <f>IFERROR(__xludf.DUMMYFUNCTION("""COMPUTED_VALUE"""),0.0)</f>
        <v>0</v>
      </c>
      <c r="H1707" s="138">
        <f>IFERROR(__xludf.DUMMYFUNCTION("""COMPUTED_VALUE"""),0.0)</f>
        <v>0</v>
      </c>
      <c r="I1707" s="138">
        <f>IFERROR(__xludf.DUMMYFUNCTION("""COMPUTED_VALUE"""),0.0)</f>
        <v>0</v>
      </c>
      <c r="J1707" s="138">
        <f>IFERROR(__xludf.DUMMYFUNCTION("""COMPUTED_VALUE"""),0.0)</f>
        <v>0</v>
      </c>
      <c r="K1707" s="138">
        <f>IFERROR(__xludf.DUMMYFUNCTION("""COMPUTED_VALUE"""),0.0)</f>
        <v>0</v>
      </c>
      <c r="L1707" s="138">
        <v>0.0</v>
      </c>
      <c r="M1707" s="140" t="str">
        <f>VLOOKUP(text(D1707, "#"),'Master Table'!$A:$F, 6, FALSE)</f>
        <v>#N/A</v>
      </c>
      <c r="N1707" s="141"/>
      <c r="O1707" s="142" t="str">
        <f t="shared" si="1"/>
        <v>TRUE</v>
      </c>
      <c r="P1707" s="143" t="str">
        <f>IF(ISNA(VLOOKUP(CONCAT(M1707,C1707), 'Judge Count DO NOT EDIT'!H:H, 1, FALSE)), "ERROR","")</f>
        <v>ERROR</v>
      </c>
      <c r="Q1707" s="141"/>
      <c r="R1707" s="143"/>
      <c r="S1707" s="139" t="str">
        <f t="shared" si="2"/>
        <v/>
      </c>
      <c r="T1707" s="141"/>
    </row>
    <row r="1708">
      <c r="A1708" s="138"/>
      <c r="B1708" s="138"/>
      <c r="C1708" s="138"/>
      <c r="D1708" s="139"/>
      <c r="E1708" s="138">
        <f>IFERROR(__xludf.DUMMYFUNCTION("""COMPUTED_VALUE"""),0.0)</f>
        <v>0</v>
      </c>
      <c r="F1708" s="138">
        <f>IFERROR(__xludf.DUMMYFUNCTION("""COMPUTED_VALUE"""),0.0)</f>
        <v>0</v>
      </c>
      <c r="G1708" s="138">
        <f>IFERROR(__xludf.DUMMYFUNCTION("""COMPUTED_VALUE"""),0.0)</f>
        <v>0</v>
      </c>
      <c r="H1708" s="138">
        <f>IFERROR(__xludf.DUMMYFUNCTION("""COMPUTED_VALUE"""),0.0)</f>
        <v>0</v>
      </c>
      <c r="I1708" s="138">
        <f>IFERROR(__xludf.DUMMYFUNCTION("""COMPUTED_VALUE"""),0.0)</f>
        <v>0</v>
      </c>
      <c r="J1708" s="138">
        <f>IFERROR(__xludf.DUMMYFUNCTION("""COMPUTED_VALUE"""),0.0)</f>
        <v>0</v>
      </c>
      <c r="K1708" s="138">
        <f>IFERROR(__xludf.DUMMYFUNCTION("""COMPUTED_VALUE"""),0.0)</f>
        <v>0</v>
      </c>
      <c r="L1708" s="138">
        <v>0.0</v>
      </c>
      <c r="M1708" s="140" t="str">
        <f>VLOOKUP(text(D1708, "#"),'Master Table'!$A:$F, 6, FALSE)</f>
        <v>#N/A</v>
      </c>
      <c r="N1708" s="141"/>
      <c r="O1708" s="142" t="str">
        <f t="shared" si="1"/>
        <v>TRUE</v>
      </c>
      <c r="P1708" s="143" t="str">
        <f>IF(ISNA(VLOOKUP(CONCAT(M1708,C1708), 'Judge Count DO NOT EDIT'!H:H, 1, FALSE)), "ERROR","")</f>
        <v>ERROR</v>
      </c>
      <c r="Q1708" s="141"/>
      <c r="R1708" s="143"/>
      <c r="S1708" s="139" t="str">
        <f t="shared" si="2"/>
        <v/>
      </c>
      <c r="T1708" s="141"/>
    </row>
    <row r="1709">
      <c r="A1709" s="138"/>
      <c r="B1709" s="138"/>
      <c r="C1709" s="138"/>
      <c r="D1709" s="139"/>
      <c r="E1709" s="138">
        <f>IFERROR(__xludf.DUMMYFUNCTION("""COMPUTED_VALUE"""),0.0)</f>
        <v>0</v>
      </c>
      <c r="F1709" s="138">
        <f>IFERROR(__xludf.DUMMYFUNCTION("""COMPUTED_VALUE"""),0.0)</f>
        <v>0</v>
      </c>
      <c r="G1709" s="138">
        <f>IFERROR(__xludf.DUMMYFUNCTION("""COMPUTED_VALUE"""),0.0)</f>
        <v>0</v>
      </c>
      <c r="H1709" s="138">
        <f>IFERROR(__xludf.DUMMYFUNCTION("""COMPUTED_VALUE"""),0.0)</f>
        <v>0</v>
      </c>
      <c r="I1709" s="138">
        <f>IFERROR(__xludf.DUMMYFUNCTION("""COMPUTED_VALUE"""),0.0)</f>
        <v>0</v>
      </c>
      <c r="J1709" s="138">
        <f>IFERROR(__xludf.DUMMYFUNCTION("""COMPUTED_VALUE"""),0.0)</f>
        <v>0</v>
      </c>
      <c r="K1709" s="138">
        <f>IFERROR(__xludf.DUMMYFUNCTION("""COMPUTED_VALUE"""),0.0)</f>
        <v>0</v>
      </c>
      <c r="L1709" s="138">
        <v>0.0</v>
      </c>
      <c r="M1709" s="140" t="str">
        <f>VLOOKUP(text(D1709, "#"),'Master Table'!$A:$F, 6, FALSE)</f>
        <v>#N/A</v>
      </c>
      <c r="N1709" s="141"/>
      <c r="O1709" s="142" t="str">
        <f t="shared" si="1"/>
        <v>TRUE</v>
      </c>
      <c r="P1709" s="143" t="str">
        <f>IF(ISNA(VLOOKUP(CONCAT(M1709,C1709), 'Judge Count DO NOT EDIT'!H:H, 1, FALSE)), "ERROR","")</f>
        <v>ERROR</v>
      </c>
      <c r="Q1709" s="141"/>
      <c r="R1709" s="143"/>
      <c r="S1709" s="139" t="str">
        <f t="shared" si="2"/>
        <v/>
      </c>
      <c r="T1709" s="141"/>
    </row>
    <row r="1710">
      <c r="A1710" s="138"/>
      <c r="B1710" s="138"/>
      <c r="C1710" s="138"/>
      <c r="D1710" s="139"/>
      <c r="E1710" s="138">
        <f>IFERROR(__xludf.DUMMYFUNCTION("""COMPUTED_VALUE"""),0.0)</f>
        <v>0</v>
      </c>
      <c r="F1710" s="138">
        <f>IFERROR(__xludf.DUMMYFUNCTION("""COMPUTED_VALUE"""),0.0)</f>
        <v>0</v>
      </c>
      <c r="G1710" s="138">
        <f>IFERROR(__xludf.DUMMYFUNCTION("""COMPUTED_VALUE"""),0.0)</f>
        <v>0</v>
      </c>
      <c r="H1710" s="138">
        <f>IFERROR(__xludf.DUMMYFUNCTION("""COMPUTED_VALUE"""),0.0)</f>
        <v>0</v>
      </c>
      <c r="I1710" s="138">
        <f>IFERROR(__xludf.DUMMYFUNCTION("""COMPUTED_VALUE"""),0.0)</f>
        <v>0</v>
      </c>
      <c r="J1710" s="138">
        <f>IFERROR(__xludf.DUMMYFUNCTION("""COMPUTED_VALUE"""),0.0)</f>
        <v>0</v>
      </c>
      <c r="K1710" s="138">
        <f>IFERROR(__xludf.DUMMYFUNCTION("""COMPUTED_VALUE"""),0.0)</f>
        <v>0</v>
      </c>
      <c r="L1710" s="138">
        <v>0.0</v>
      </c>
      <c r="M1710" s="140" t="str">
        <f>VLOOKUP(text(D1710, "#"),'Master Table'!$A:$F, 6, FALSE)</f>
        <v>#N/A</v>
      </c>
      <c r="N1710" s="141"/>
      <c r="O1710" s="142" t="str">
        <f t="shared" si="1"/>
        <v>TRUE</v>
      </c>
      <c r="P1710" s="143" t="str">
        <f>IF(ISNA(VLOOKUP(CONCAT(M1710,C1710), 'Judge Count DO NOT EDIT'!H:H, 1, FALSE)), "ERROR","")</f>
        <v>ERROR</v>
      </c>
      <c r="Q1710" s="141"/>
      <c r="R1710" s="143"/>
      <c r="S1710" s="139" t="str">
        <f t="shared" si="2"/>
        <v/>
      </c>
      <c r="T1710" s="141"/>
    </row>
    <row r="1711">
      <c r="A1711" s="138"/>
      <c r="B1711" s="138"/>
      <c r="C1711" s="138"/>
      <c r="D1711" s="139"/>
      <c r="E1711" s="138">
        <f>IFERROR(__xludf.DUMMYFUNCTION("""COMPUTED_VALUE"""),0.0)</f>
        <v>0</v>
      </c>
      <c r="F1711" s="138">
        <f>IFERROR(__xludf.DUMMYFUNCTION("""COMPUTED_VALUE"""),0.0)</f>
        <v>0</v>
      </c>
      <c r="G1711" s="138">
        <f>IFERROR(__xludf.DUMMYFUNCTION("""COMPUTED_VALUE"""),0.0)</f>
        <v>0</v>
      </c>
      <c r="H1711" s="138">
        <f>IFERROR(__xludf.DUMMYFUNCTION("""COMPUTED_VALUE"""),0.0)</f>
        <v>0</v>
      </c>
      <c r="I1711" s="138">
        <f>IFERROR(__xludf.DUMMYFUNCTION("""COMPUTED_VALUE"""),0.0)</f>
        <v>0</v>
      </c>
      <c r="J1711" s="138">
        <f>IFERROR(__xludf.DUMMYFUNCTION("""COMPUTED_VALUE"""),0.0)</f>
        <v>0</v>
      </c>
      <c r="K1711" s="138">
        <f>IFERROR(__xludf.DUMMYFUNCTION("""COMPUTED_VALUE"""),0.0)</f>
        <v>0</v>
      </c>
      <c r="L1711" s="138">
        <v>0.0</v>
      </c>
      <c r="M1711" s="140" t="str">
        <f>VLOOKUP(text(D1711, "#"),'Master Table'!$A:$F, 6, FALSE)</f>
        <v>#N/A</v>
      </c>
      <c r="N1711" s="141"/>
      <c r="O1711" s="142" t="str">
        <f t="shared" si="1"/>
        <v>TRUE</v>
      </c>
      <c r="P1711" s="143" t="str">
        <f>IF(ISNA(VLOOKUP(CONCAT(M1711,C1711), 'Judge Count DO NOT EDIT'!H:H, 1, FALSE)), "ERROR","")</f>
        <v>ERROR</v>
      </c>
      <c r="Q1711" s="141"/>
      <c r="R1711" s="143"/>
      <c r="S1711" s="139" t="str">
        <f t="shared" si="2"/>
        <v/>
      </c>
      <c r="T1711" s="141"/>
    </row>
    <row r="1712">
      <c r="A1712" s="138"/>
      <c r="B1712" s="138"/>
      <c r="C1712" s="138"/>
      <c r="D1712" s="139"/>
      <c r="E1712" s="138">
        <f>IFERROR(__xludf.DUMMYFUNCTION("""COMPUTED_VALUE"""),0.0)</f>
        <v>0</v>
      </c>
      <c r="F1712" s="138">
        <f>IFERROR(__xludf.DUMMYFUNCTION("""COMPUTED_VALUE"""),0.0)</f>
        <v>0</v>
      </c>
      <c r="G1712" s="138">
        <f>IFERROR(__xludf.DUMMYFUNCTION("""COMPUTED_VALUE"""),0.0)</f>
        <v>0</v>
      </c>
      <c r="H1712" s="138">
        <f>IFERROR(__xludf.DUMMYFUNCTION("""COMPUTED_VALUE"""),0.0)</f>
        <v>0</v>
      </c>
      <c r="I1712" s="138">
        <f>IFERROR(__xludf.DUMMYFUNCTION("""COMPUTED_VALUE"""),0.0)</f>
        <v>0</v>
      </c>
      <c r="J1712" s="138">
        <f>IFERROR(__xludf.DUMMYFUNCTION("""COMPUTED_VALUE"""),0.0)</f>
        <v>0</v>
      </c>
      <c r="K1712" s="138">
        <f>IFERROR(__xludf.DUMMYFUNCTION("""COMPUTED_VALUE"""),0.0)</f>
        <v>0</v>
      </c>
      <c r="L1712" s="138">
        <v>0.0</v>
      </c>
      <c r="M1712" s="140" t="str">
        <f>VLOOKUP(text(D1712, "#"),'Master Table'!$A:$F, 6, FALSE)</f>
        <v>#N/A</v>
      </c>
      <c r="N1712" s="141"/>
      <c r="O1712" s="142" t="str">
        <f t="shared" si="1"/>
        <v>TRUE</v>
      </c>
      <c r="P1712" s="143" t="str">
        <f>IF(ISNA(VLOOKUP(CONCAT(M1712,C1712), 'Judge Count DO NOT EDIT'!H:H, 1, FALSE)), "ERROR","")</f>
        <v>ERROR</v>
      </c>
      <c r="Q1712" s="141"/>
      <c r="R1712" s="143"/>
      <c r="S1712" s="139" t="str">
        <f t="shared" si="2"/>
        <v/>
      </c>
      <c r="T1712" s="141"/>
    </row>
    <row r="1713">
      <c r="A1713" s="138"/>
      <c r="B1713" s="138"/>
      <c r="C1713" s="138"/>
      <c r="D1713" s="139"/>
      <c r="E1713" s="138"/>
      <c r="F1713" s="138"/>
      <c r="G1713" s="138"/>
      <c r="H1713" s="138"/>
      <c r="I1713" s="138"/>
      <c r="J1713" s="138"/>
      <c r="K1713" s="138"/>
      <c r="L1713" s="138">
        <v>0.0</v>
      </c>
      <c r="M1713" s="140" t="str">
        <f>VLOOKUP(text(D1713, "#"),'Master Table'!$A:$F, 6, FALSE)</f>
        <v>#N/A</v>
      </c>
      <c r="N1713" s="141"/>
      <c r="O1713" s="142" t="str">
        <f t="shared" si="1"/>
        <v>TRUE</v>
      </c>
      <c r="P1713" s="143" t="str">
        <f>IF(ISNA(VLOOKUP(CONCAT(M1713,C1713), 'Judge Count DO NOT EDIT'!H:H, 1, FALSE)), "ERROR","")</f>
        <v>ERROR</v>
      </c>
      <c r="Q1713" s="141"/>
      <c r="R1713" s="143"/>
      <c r="S1713" s="139" t="str">
        <f t="shared" si="2"/>
        <v/>
      </c>
      <c r="T1713" s="141"/>
    </row>
    <row r="1714">
      <c r="A1714" s="138"/>
      <c r="B1714" s="138"/>
      <c r="C1714" s="138"/>
      <c r="D1714" s="139"/>
      <c r="E1714" s="138"/>
      <c r="F1714" s="138"/>
      <c r="G1714" s="138"/>
      <c r="H1714" s="138"/>
      <c r="I1714" s="138"/>
      <c r="J1714" s="138"/>
      <c r="K1714" s="138"/>
      <c r="L1714" s="138">
        <v>0.0</v>
      </c>
      <c r="M1714" s="140" t="str">
        <f>VLOOKUP(text(D1714, "#"),'Master Table'!$A:$F, 6, FALSE)</f>
        <v>#N/A</v>
      </c>
      <c r="N1714" s="141"/>
      <c r="O1714" s="142" t="str">
        <f t="shared" si="1"/>
        <v>TRUE</v>
      </c>
      <c r="P1714" s="143" t="str">
        <f>IF(ISNA(VLOOKUP(CONCAT(M1714,C1714), 'Judge Count DO NOT EDIT'!H:H, 1, FALSE)), "ERROR","")</f>
        <v>ERROR</v>
      </c>
      <c r="Q1714" s="141"/>
      <c r="R1714" s="143"/>
      <c r="S1714" s="139" t="str">
        <f t="shared" si="2"/>
        <v/>
      </c>
      <c r="T1714" s="141"/>
    </row>
    <row r="1715">
      <c r="A1715" s="138"/>
      <c r="B1715" s="138"/>
      <c r="C1715" s="138"/>
      <c r="D1715" s="139"/>
      <c r="E1715" s="138"/>
      <c r="F1715" s="138"/>
      <c r="G1715" s="138"/>
      <c r="H1715" s="138"/>
      <c r="I1715" s="138"/>
      <c r="J1715" s="138"/>
      <c r="K1715" s="138"/>
      <c r="L1715" s="138">
        <v>0.0</v>
      </c>
      <c r="M1715" s="140" t="str">
        <f>VLOOKUP(text(D1715, "#"),'Master Table'!$A:$F, 6, FALSE)</f>
        <v>#N/A</v>
      </c>
      <c r="N1715" s="141"/>
      <c r="O1715" s="142" t="str">
        <f t="shared" si="1"/>
        <v>TRUE</v>
      </c>
      <c r="P1715" s="143" t="str">
        <f>IF(ISNA(VLOOKUP(CONCAT(M1715,C1715), 'Judge Count DO NOT EDIT'!H:H, 1, FALSE)), "ERROR","")</f>
        <v>ERROR</v>
      </c>
      <c r="Q1715" s="141"/>
      <c r="R1715" s="143"/>
      <c r="S1715" s="139" t="str">
        <f t="shared" si="2"/>
        <v/>
      </c>
      <c r="T1715" s="141"/>
    </row>
    <row r="1716">
      <c r="A1716" s="138"/>
      <c r="B1716" s="138"/>
      <c r="C1716" s="138"/>
      <c r="D1716" s="139"/>
      <c r="E1716" s="138"/>
      <c r="F1716" s="138"/>
      <c r="G1716" s="138"/>
      <c r="H1716" s="138"/>
      <c r="I1716" s="138"/>
      <c r="J1716" s="138"/>
      <c r="K1716" s="138"/>
      <c r="L1716" s="138">
        <v>0.0</v>
      </c>
      <c r="M1716" s="140" t="str">
        <f>VLOOKUP(text(D1716, "#"),'Master Table'!$A:$F, 6, FALSE)</f>
        <v>#N/A</v>
      </c>
      <c r="N1716" s="141"/>
      <c r="O1716" s="142" t="str">
        <f t="shared" si="1"/>
        <v>TRUE</v>
      </c>
      <c r="P1716" s="143" t="str">
        <f>IF(ISNA(VLOOKUP(CONCAT(M1716,C1716), 'Judge Count DO NOT EDIT'!H:H, 1, FALSE)), "ERROR","")</f>
        <v>ERROR</v>
      </c>
      <c r="Q1716" s="141"/>
      <c r="R1716" s="143"/>
      <c r="S1716" s="139" t="str">
        <f t="shared" si="2"/>
        <v/>
      </c>
      <c r="T1716" s="141"/>
    </row>
    <row r="1717">
      <c r="A1717" s="138"/>
      <c r="B1717" s="138"/>
      <c r="C1717" s="138"/>
      <c r="D1717" s="139"/>
      <c r="E1717" s="138"/>
      <c r="F1717" s="138"/>
      <c r="G1717" s="138"/>
      <c r="H1717" s="138"/>
      <c r="I1717" s="138"/>
      <c r="J1717" s="138"/>
      <c r="K1717" s="138"/>
      <c r="L1717" s="138">
        <v>0.0</v>
      </c>
      <c r="M1717" s="140" t="str">
        <f>VLOOKUP(text(D1717, "#"),'Master Table'!$A:$F, 6, FALSE)</f>
        <v>#N/A</v>
      </c>
      <c r="N1717" s="141"/>
      <c r="O1717" s="142" t="str">
        <f t="shared" si="1"/>
        <v>TRUE</v>
      </c>
      <c r="P1717" s="143" t="str">
        <f>IF(ISNA(VLOOKUP(CONCAT(M1717,C1717), 'Judge Count DO NOT EDIT'!H:H, 1, FALSE)), "ERROR","")</f>
        <v>ERROR</v>
      </c>
      <c r="Q1717" s="141"/>
      <c r="R1717" s="143"/>
      <c r="S1717" s="139" t="str">
        <f t="shared" si="2"/>
        <v/>
      </c>
      <c r="T1717" s="141"/>
    </row>
    <row r="1718">
      <c r="A1718" s="138"/>
      <c r="B1718" s="138"/>
      <c r="C1718" s="138"/>
      <c r="D1718" s="139"/>
      <c r="E1718" s="138"/>
      <c r="F1718" s="138"/>
      <c r="G1718" s="138"/>
      <c r="H1718" s="138"/>
      <c r="I1718" s="138"/>
      <c r="J1718" s="138"/>
      <c r="K1718" s="138"/>
      <c r="L1718" s="138">
        <v>0.0</v>
      </c>
      <c r="M1718" s="140" t="str">
        <f>VLOOKUP(text(D1718, "#"),'Master Table'!$A:$F, 6, FALSE)</f>
        <v>#N/A</v>
      </c>
      <c r="N1718" s="141"/>
      <c r="O1718" s="142" t="str">
        <f t="shared" si="1"/>
        <v>TRUE</v>
      </c>
      <c r="P1718" s="143" t="str">
        <f>IF(ISNA(VLOOKUP(CONCAT(M1718,C1718), 'Judge Count DO NOT EDIT'!H:H, 1, FALSE)), "ERROR","")</f>
        <v>ERROR</v>
      </c>
      <c r="Q1718" s="141"/>
      <c r="R1718" s="143"/>
      <c r="S1718" s="139" t="str">
        <f t="shared" si="2"/>
        <v/>
      </c>
      <c r="T1718" s="141"/>
    </row>
    <row r="1719">
      <c r="A1719" s="138"/>
      <c r="B1719" s="138"/>
      <c r="C1719" s="138"/>
      <c r="D1719" s="139"/>
      <c r="E1719" s="138"/>
      <c r="F1719" s="138"/>
      <c r="G1719" s="138"/>
      <c r="H1719" s="138"/>
      <c r="I1719" s="138"/>
      <c r="J1719" s="138"/>
      <c r="K1719" s="138"/>
      <c r="L1719" s="138">
        <v>0.0</v>
      </c>
      <c r="M1719" s="140" t="str">
        <f>VLOOKUP(text(D1719, "#"),'Master Table'!$A:$F, 6, FALSE)</f>
        <v>#N/A</v>
      </c>
      <c r="N1719" s="141"/>
      <c r="O1719" s="142" t="str">
        <f t="shared" si="1"/>
        <v>TRUE</v>
      </c>
      <c r="P1719" s="143" t="str">
        <f>IF(ISNA(VLOOKUP(CONCAT(M1719,C1719), 'Judge Count DO NOT EDIT'!H:H, 1, FALSE)), "ERROR","")</f>
        <v>ERROR</v>
      </c>
      <c r="Q1719" s="141"/>
      <c r="R1719" s="143"/>
      <c r="S1719" s="139" t="str">
        <f t="shared" si="2"/>
        <v/>
      </c>
      <c r="T1719" s="141"/>
    </row>
    <row r="1720">
      <c r="A1720" s="138"/>
      <c r="B1720" s="138"/>
      <c r="C1720" s="138"/>
      <c r="D1720" s="139"/>
      <c r="E1720" s="138"/>
      <c r="F1720" s="138"/>
      <c r="G1720" s="138"/>
      <c r="H1720" s="138"/>
      <c r="I1720" s="138"/>
      <c r="J1720" s="138"/>
      <c r="K1720" s="138"/>
      <c r="L1720" s="138">
        <v>0.0</v>
      </c>
      <c r="M1720" s="140" t="str">
        <f>VLOOKUP(text(D1720, "#"),'Master Table'!$A:$F, 6, FALSE)</f>
        <v>#N/A</v>
      </c>
      <c r="N1720" s="141"/>
      <c r="O1720" s="142" t="str">
        <f t="shared" si="1"/>
        <v>TRUE</v>
      </c>
      <c r="P1720" s="143" t="str">
        <f>IF(ISNA(VLOOKUP(CONCAT(M1720,C1720), 'Judge Count DO NOT EDIT'!H:H, 1, FALSE)), "ERROR","")</f>
        <v>ERROR</v>
      </c>
      <c r="Q1720" s="141"/>
      <c r="R1720" s="143"/>
      <c r="S1720" s="139" t="str">
        <f t="shared" si="2"/>
        <v/>
      </c>
      <c r="T1720" s="141"/>
    </row>
    <row r="1721">
      <c r="A1721" s="138"/>
      <c r="B1721" s="138"/>
      <c r="C1721" s="138"/>
      <c r="D1721" s="139"/>
      <c r="E1721" s="138"/>
      <c r="F1721" s="138"/>
      <c r="G1721" s="138"/>
      <c r="H1721" s="138"/>
      <c r="I1721" s="138"/>
      <c r="J1721" s="138"/>
      <c r="K1721" s="138"/>
      <c r="L1721" s="138">
        <v>0.0</v>
      </c>
      <c r="M1721" s="140" t="str">
        <f>VLOOKUP(text(D1721, "#"),'Master Table'!$A:$F, 6, FALSE)</f>
        <v>#N/A</v>
      </c>
      <c r="N1721" s="141"/>
      <c r="O1721" s="142" t="str">
        <f t="shared" si="1"/>
        <v>TRUE</v>
      </c>
      <c r="P1721" s="143" t="str">
        <f>IF(ISNA(VLOOKUP(CONCAT(M1721,C1721), 'Judge Count DO NOT EDIT'!H:H, 1, FALSE)), "ERROR","")</f>
        <v>ERROR</v>
      </c>
      <c r="Q1721" s="141"/>
      <c r="R1721" s="143"/>
      <c r="S1721" s="139" t="str">
        <f t="shared" si="2"/>
        <v/>
      </c>
      <c r="T1721" s="141"/>
    </row>
    <row r="1722">
      <c r="A1722" s="138"/>
      <c r="B1722" s="138"/>
      <c r="C1722" s="138"/>
      <c r="D1722" s="139"/>
      <c r="E1722" s="138"/>
      <c r="F1722" s="138"/>
      <c r="G1722" s="138"/>
      <c r="H1722" s="138"/>
      <c r="I1722" s="138"/>
      <c r="J1722" s="138"/>
      <c r="K1722" s="138"/>
      <c r="L1722" s="138">
        <v>0.0</v>
      </c>
      <c r="M1722" s="140" t="str">
        <f>VLOOKUP(text(D1722, "#"),'Master Table'!$A:$F, 6, FALSE)</f>
        <v>#N/A</v>
      </c>
      <c r="N1722" s="141"/>
      <c r="O1722" s="142" t="str">
        <f t="shared" si="1"/>
        <v>TRUE</v>
      </c>
      <c r="P1722" s="143" t="str">
        <f>IF(ISNA(VLOOKUP(CONCAT(M1722,C1722), 'Judge Count DO NOT EDIT'!H:H, 1, FALSE)), "ERROR","")</f>
        <v>ERROR</v>
      </c>
      <c r="Q1722" s="141"/>
      <c r="R1722" s="143"/>
      <c r="S1722" s="139" t="str">
        <f t="shared" si="2"/>
        <v/>
      </c>
      <c r="T1722" s="141"/>
    </row>
    <row r="1723">
      <c r="A1723" s="138"/>
      <c r="B1723" s="138"/>
      <c r="C1723" s="138"/>
      <c r="D1723" s="139"/>
      <c r="E1723" s="138"/>
      <c r="F1723" s="138"/>
      <c r="G1723" s="138"/>
      <c r="H1723" s="138"/>
      <c r="I1723" s="138"/>
      <c r="J1723" s="138"/>
      <c r="K1723" s="138"/>
      <c r="L1723" s="138">
        <v>0.0</v>
      </c>
      <c r="M1723" s="140" t="str">
        <f>VLOOKUP(text(D1723, "#"),'Master Table'!$A:$F, 6, FALSE)</f>
        <v>#N/A</v>
      </c>
      <c r="N1723" s="141"/>
      <c r="O1723" s="142" t="str">
        <f t="shared" si="1"/>
        <v>TRUE</v>
      </c>
      <c r="P1723" s="143" t="str">
        <f>IF(ISNA(VLOOKUP(CONCAT(M1723,C1723), 'Judge Count DO NOT EDIT'!H:H, 1, FALSE)), "ERROR","")</f>
        <v>ERROR</v>
      </c>
      <c r="Q1723" s="141"/>
      <c r="R1723" s="143"/>
      <c r="S1723" s="139" t="str">
        <f t="shared" si="2"/>
        <v/>
      </c>
      <c r="T1723" s="141"/>
    </row>
    <row r="1724">
      <c r="A1724" s="138"/>
      <c r="B1724" s="138"/>
      <c r="C1724" s="138"/>
      <c r="D1724" s="139"/>
      <c r="E1724" s="138"/>
      <c r="F1724" s="138"/>
      <c r="G1724" s="138"/>
      <c r="H1724" s="138"/>
      <c r="I1724" s="138"/>
      <c r="J1724" s="138"/>
      <c r="K1724" s="138"/>
      <c r="L1724" s="138">
        <v>0.0</v>
      </c>
      <c r="M1724" s="140" t="str">
        <f>VLOOKUP(text(D1724, "#"),'Master Table'!$A:$F, 6, FALSE)</f>
        <v>#N/A</v>
      </c>
      <c r="N1724" s="141"/>
      <c r="O1724" s="142" t="str">
        <f t="shared" si="1"/>
        <v>TRUE</v>
      </c>
      <c r="P1724" s="143" t="str">
        <f>IF(ISNA(VLOOKUP(CONCAT(M1724,C1724), 'Judge Count DO NOT EDIT'!H:H, 1, FALSE)), "ERROR","")</f>
        <v>ERROR</v>
      </c>
      <c r="Q1724" s="141"/>
      <c r="R1724" s="143"/>
      <c r="S1724" s="139" t="str">
        <f t="shared" si="2"/>
        <v/>
      </c>
      <c r="T1724" s="141"/>
    </row>
    <row r="1725">
      <c r="A1725" s="138"/>
      <c r="B1725" s="138"/>
      <c r="C1725" s="138"/>
      <c r="D1725" s="139"/>
      <c r="E1725" s="138"/>
      <c r="F1725" s="138"/>
      <c r="G1725" s="138"/>
      <c r="H1725" s="138"/>
      <c r="I1725" s="138"/>
      <c r="J1725" s="138"/>
      <c r="K1725" s="138"/>
      <c r="L1725" s="138">
        <v>0.0</v>
      </c>
      <c r="M1725" s="140" t="str">
        <f>VLOOKUP(text(D1725, "#"),'Master Table'!$A:$F, 6, FALSE)</f>
        <v>#N/A</v>
      </c>
      <c r="N1725" s="141"/>
      <c r="O1725" s="142" t="str">
        <f t="shared" si="1"/>
        <v>TRUE</v>
      </c>
      <c r="P1725" s="143" t="str">
        <f>IF(ISNA(VLOOKUP(CONCAT(M1725,C1725), 'Judge Count DO NOT EDIT'!H:H, 1, FALSE)), "ERROR","")</f>
        <v>ERROR</v>
      </c>
      <c r="Q1725" s="141"/>
      <c r="R1725" s="143"/>
      <c r="S1725" s="139" t="str">
        <f t="shared" si="2"/>
        <v/>
      </c>
      <c r="T1725" s="141"/>
    </row>
    <row r="1726">
      <c r="A1726" s="138"/>
      <c r="B1726" s="138"/>
      <c r="C1726" s="138"/>
      <c r="D1726" s="139"/>
      <c r="E1726" s="138"/>
      <c r="F1726" s="138"/>
      <c r="G1726" s="138"/>
      <c r="H1726" s="138"/>
      <c r="I1726" s="138"/>
      <c r="J1726" s="138"/>
      <c r="K1726" s="138"/>
      <c r="L1726" s="138">
        <v>0.0</v>
      </c>
      <c r="M1726" s="140" t="str">
        <f>VLOOKUP(text(D1726, "#"),'Master Table'!$A:$F, 6, FALSE)</f>
        <v>#N/A</v>
      </c>
      <c r="N1726" s="141"/>
      <c r="O1726" s="142" t="str">
        <f t="shared" si="1"/>
        <v>TRUE</v>
      </c>
      <c r="P1726" s="143" t="str">
        <f>IF(ISNA(VLOOKUP(CONCAT(M1726,C1726), 'Judge Count DO NOT EDIT'!H:H, 1, FALSE)), "ERROR","")</f>
        <v>ERROR</v>
      </c>
      <c r="Q1726" s="141"/>
      <c r="R1726" s="143"/>
      <c r="S1726" s="139" t="str">
        <f t="shared" si="2"/>
        <v/>
      </c>
      <c r="T1726" s="141"/>
    </row>
    <row r="1727">
      <c r="A1727" s="138"/>
      <c r="B1727" s="138"/>
      <c r="C1727" s="138"/>
      <c r="D1727" s="139"/>
      <c r="E1727" s="138"/>
      <c r="F1727" s="138"/>
      <c r="G1727" s="138"/>
      <c r="H1727" s="138"/>
      <c r="I1727" s="138"/>
      <c r="J1727" s="138"/>
      <c r="K1727" s="138"/>
      <c r="L1727" s="138">
        <v>0.0</v>
      </c>
      <c r="M1727" s="140" t="str">
        <f>VLOOKUP(text(D1727, "#"),'Master Table'!$A:$F, 6, FALSE)</f>
        <v>#N/A</v>
      </c>
      <c r="N1727" s="141"/>
      <c r="O1727" s="142" t="str">
        <f t="shared" si="1"/>
        <v>TRUE</v>
      </c>
      <c r="P1727" s="143" t="str">
        <f>IF(ISNA(VLOOKUP(CONCAT(M1727,C1727), 'Judge Count DO NOT EDIT'!H:H, 1, FALSE)), "ERROR","")</f>
        <v>ERROR</v>
      </c>
      <c r="Q1727" s="141"/>
      <c r="R1727" s="143"/>
      <c r="S1727" s="139" t="str">
        <f t="shared" si="2"/>
        <v/>
      </c>
      <c r="T1727" s="141"/>
    </row>
    <row r="1728">
      <c r="A1728" s="138"/>
      <c r="B1728" s="138"/>
      <c r="C1728" s="138"/>
      <c r="D1728" s="139"/>
      <c r="E1728" s="138"/>
      <c r="F1728" s="138"/>
      <c r="G1728" s="138"/>
      <c r="H1728" s="138"/>
      <c r="I1728" s="138"/>
      <c r="J1728" s="138"/>
      <c r="K1728" s="138"/>
      <c r="L1728" s="138">
        <v>0.0</v>
      </c>
      <c r="M1728" s="140" t="str">
        <f>VLOOKUP(text(D1728, "#"),'Master Table'!$A:$F, 6, FALSE)</f>
        <v>#N/A</v>
      </c>
      <c r="N1728" s="141"/>
      <c r="O1728" s="142" t="str">
        <f t="shared" si="1"/>
        <v>TRUE</v>
      </c>
      <c r="P1728" s="143" t="str">
        <f>IF(ISNA(VLOOKUP(CONCAT(M1728,C1728), 'Judge Count DO NOT EDIT'!H:H, 1, FALSE)), "ERROR","")</f>
        <v>ERROR</v>
      </c>
      <c r="Q1728" s="141"/>
      <c r="R1728" s="143"/>
      <c r="S1728" s="139" t="str">
        <f t="shared" si="2"/>
        <v/>
      </c>
      <c r="T1728" s="141"/>
    </row>
    <row r="1729">
      <c r="A1729" s="138"/>
      <c r="B1729" s="138"/>
      <c r="C1729" s="138"/>
      <c r="D1729" s="139"/>
      <c r="E1729" s="138"/>
      <c r="F1729" s="138"/>
      <c r="G1729" s="138"/>
      <c r="H1729" s="138"/>
      <c r="I1729" s="138"/>
      <c r="J1729" s="138"/>
      <c r="K1729" s="138"/>
      <c r="L1729" s="138">
        <v>0.0</v>
      </c>
      <c r="M1729" s="140" t="str">
        <f>VLOOKUP(text(D1729, "#"),'Master Table'!$A:$F, 6, FALSE)</f>
        <v>#N/A</v>
      </c>
      <c r="N1729" s="141"/>
      <c r="O1729" s="142" t="str">
        <f t="shared" si="1"/>
        <v>TRUE</v>
      </c>
      <c r="P1729" s="143" t="str">
        <f>IF(ISNA(VLOOKUP(CONCAT(M1729,C1729), 'Judge Count DO NOT EDIT'!H:H, 1, FALSE)), "ERROR","")</f>
        <v>ERROR</v>
      </c>
      <c r="Q1729" s="141"/>
      <c r="R1729" s="143"/>
      <c r="S1729" s="139" t="str">
        <f t="shared" si="2"/>
        <v/>
      </c>
      <c r="T1729" s="141"/>
    </row>
    <row r="1730">
      <c r="A1730" s="138"/>
      <c r="B1730" s="138"/>
      <c r="C1730" s="138"/>
      <c r="D1730" s="139"/>
      <c r="E1730" s="138"/>
      <c r="F1730" s="138"/>
      <c r="G1730" s="138"/>
      <c r="H1730" s="138"/>
      <c r="I1730" s="138"/>
      <c r="J1730" s="138"/>
      <c r="K1730" s="138"/>
      <c r="L1730" s="138">
        <v>0.0</v>
      </c>
      <c r="M1730" s="140" t="str">
        <f>VLOOKUP(text(D1730, "#"),'Master Table'!$A:$F, 6, FALSE)</f>
        <v>#N/A</v>
      </c>
      <c r="N1730" s="141"/>
      <c r="O1730" s="142" t="str">
        <f t="shared" si="1"/>
        <v>TRUE</v>
      </c>
      <c r="P1730" s="143" t="str">
        <f>IF(ISNA(VLOOKUP(CONCAT(M1730,C1730), 'Judge Count DO NOT EDIT'!H:H, 1, FALSE)), "ERROR","")</f>
        <v>ERROR</v>
      </c>
      <c r="Q1730" s="141"/>
      <c r="R1730" s="143"/>
      <c r="S1730" s="139" t="str">
        <f t="shared" si="2"/>
        <v/>
      </c>
      <c r="T1730" s="141"/>
    </row>
    <row r="1731">
      <c r="A1731" s="138"/>
      <c r="B1731" s="138"/>
      <c r="C1731" s="138"/>
      <c r="D1731" s="139"/>
      <c r="E1731" s="138"/>
      <c r="F1731" s="138"/>
      <c r="G1731" s="138"/>
      <c r="H1731" s="138"/>
      <c r="I1731" s="138"/>
      <c r="J1731" s="138"/>
      <c r="K1731" s="138"/>
      <c r="L1731" s="138">
        <v>0.0</v>
      </c>
      <c r="M1731" s="140" t="str">
        <f>VLOOKUP(text(D1731, "#"),'Master Table'!$A:$F, 6, FALSE)</f>
        <v>#N/A</v>
      </c>
      <c r="N1731" s="141"/>
      <c r="O1731" s="142" t="str">
        <f t="shared" si="1"/>
        <v>TRUE</v>
      </c>
      <c r="P1731" s="143" t="str">
        <f>IF(ISNA(VLOOKUP(CONCAT(M1731,C1731), 'Judge Count DO NOT EDIT'!H:H, 1, FALSE)), "ERROR","")</f>
        <v>ERROR</v>
      </c>
      <c r="Q1731" s="141"/>
      <c r="R1731" s="143"/>
      <c r="S1731" s="139" t="str">
        <f t="shared" si="2"/>
        <v/>
      </c>
      <c r="T1731" s="141"/>
    </row>
    <row r="1732">
      <c r="A1732" s="138"/>
      <c r="B1732" s="138"/>
      <c r="C1732" s="138"/>
      <c r="D1732" s="139"/>
      <c r="E1732" s="138"/>
      <c r="F1732" s="138"/>
      <c r="G1732" s="138"/>
      <c r="H1732" s="138"/>
      <c r="I1732" s="138"/>
      <c r="J1732" s="138"/>
      <c r="K1732" s="138"/>
      <c r="L1732" s="138">
        <v>0.0</v>
      </c>
      <c r="M1732" s="140" t="str">
        <f>VLOOKUP(text(D1732, "#"),'Master Table'!$A:$F, 6, FALSE)</f>
        <v>#N/A</v>
      </c>
      <c r="N1732" s="141"/>
      <c r="O1732" s="142" t="str">
        <f t="shared" si="1"/>
        <v>TRUE</v>
      </c>
      <c r="P1732" s="143" t="str">
        <f>IF(ISNA(VLOOKUP(CONCAT(M1732,C1732), 'Judge Count DO NOT EDIT'!H:H, 1, FALSE)), "ERROR","")</f>
        <v>ERROR</v>
      </c>
      <c r="Q1732" s="141"/>
      <c r="R1732" s="143"/>
      <c r="S1732" s="139" t="str">
        <f t="shared" si="2"/>
        <v/>
      </c>
      <c r="T1732" s="141"/>
    </row>
    <row r="1733">
      <c r="A1733" s="138"/>
      <c r="B1733" s="138"/>
      <c r="C1733" s="138"/>
      <c r="D1733" s="139"/>
      <c r="E1733" s="138"/>
      <c r="F1733" s="138"/>
      <c r="G1733" s="138"/>
      <c r="H1733" s="138"/>
      <c r="I1733" s="138"/>
      <c r="J1733" s="138"/>
      <c r="K1733" s="138"/>
      <c r="L1733" s="138">
        <v>0.0</v>
      </c>
      <c r="M1733" s="140" t="str">
        <f>VLOOKUP(text(D1733, "#"),'Master Table'!$A:$F, 6, FALSE)</f>
        <v>#N/A</v>
      </c>
      <c r="N1733" s="141"/>
      <c r="O1733" s="142" t="str">
        <f t="shared" si="1"/>
        <v>TRUE</v>
      </c>
      <c r="P1733" s="143" t="str">
        <f>IF(ISNA(VLOOKUP(CONCAT(M1733,C1733), 'Judge Count DO NOT EDIT'!H:H, 1, FALSE)), "ERROR","")</f>
        <v>ERROR</v>
      </c>
      <c r="Q1733" s="141"/>
      <c r="R1733" s="143"/>
      <c r="S1733" s="139" t="str">
        <f t="shared" si="2"/>
        <v/>
      </c>
      <c r="T1733" s="141"/>
    </row>
    <row r="1734">
      <c r="A1734" s="138"/>
      <c r="B1734" s="138"/>
      <c r="C1734" s="138"/>
      <c r="D1734" s="139"/>
      <c r="E1734" s="138"/>
      <c r="F1734" s="138"/>
      <c r="G1734" s="138"/>
      <c r="H1734" s="138"/>
      <c r="I1734" s="138"/>
      <c r="J1734" s="138"/>
      <c r="K1734" s="138"/>
      <c r="L1734" s="138">
        <v>0.0</v>
      </c>
      <c r="M1734" s="140" t="str">
        <f>VLOOKUP(text(D1734, "#"),'Master Table'!$A:$F, 6, FALSE)</f>
        <v>#N/A</v>
      </c>
      <c r="N1734" s="141"/>
      <c r="O1734" s="142" t="str">
        <f t="shared" si="1"/>
        <v>TRUE</v>
      </c>
      <c r="P1734" s="143" t="str">
        <f>IF(ISNA(VLOOKUP(CONCAT(M1734,C1734), 'Judge Count DO NOT EDIT'!H:H, 1, FALSE)), "ERROR","")</f>
        <v>ERROR</v>
      </c>
      <c r="Q1734" s="141"/>
      <c r="R1734" s="143"/>
      <c r="S1734" s="139" t="str">
        <f t="shared" si="2"/>
        <v/>
      </c>
      <c r="T1734" s="141"/>
    </row>
    <row r="1735">
      <c r="A1735" s="138"/>
      <c r="B1735" s="138"/>
      <c r="C1735" s="138"/>
      <c r="D1735" s="139"/>
      <c r="E1735" s="138"/>
      <c r="F1735" s="138"/>
      <c r="G1735" s="138"/>
      <c r="H1735" s="138"/>
      <c r="I1735" s="138"/>
      <c r="J1735" s="138"/>
      <c r="K1735" s="138"/>
      <c r="L1735" s="138">
        <v>0.0</v>
      </c>
      <c r="M1735" s="140" t="str">
        <f>VLOOKUP(text(D1735, "#"),'Master Table'!$A:$F, 6, FALSE)</f>
        <v>#N/A</v>
      </c>
      <c r="N1735" s="141"/>
      <c r="O1735" s="142" t="str">
        <f t="shared" si="1"/>
        <v>TRUE</v>
      </c>
      <c r="P1735" s="143" t="str">
        <f>IF(ISNA(VLOOKUP(CONCAT(M1735,C1735), 'Judge Count DO NOT EDIT'!H:H, 1, FALSE)), "ERROR","")</f>
        <v>ERROR</v>
      </c>
      <c r="Q1735" s="141"/>
      <c r="R1735" s="143"/>
      <c r="S1735" s="139" t="str">
        <f t="shared" si="2"/>
        <v/>
      </c>
      <c r="T1735" s="141"/>
    </row>
    <row r="1736">
      <c r="A1736" s="138"/>
      <c r="B1736" s="138"/>
      <c r="C1736" s="138"/>
      <c r="D1736" s="139"/>
      <c r="E1736" s="138"/>
      <c r="F1736" s="138"/>
      <c r="G1736" s="138"/>
      <c r="H1736" s="138"/>
      <c r="I1736" s="138"/>
      <c r="J1736" s="138"/>
      <c r="K1736" s="138"/>
      <c r="L1736" s="138">
        <v>0.0</v>
      </c>
      <c r="M1736" s="140" t="str">
        <f>VLOOKUP(text(D1736, "#"),'Master Table'!$A:$F, 6, FALSE)</f>
        <v>#N/A</v>
      </c>
      <c r="N1736" s="141"/>
      <c r="O1736" s="142" t="str">
        <f t="shared" si="1"/>
        <v>TRUE</v>
      </c>
      <c r="P1736" s="143" t="str">
        <f>IF(ISNA(VLOOKUP(CONCAT(M1736,C1736), 'Judge Count DO NOT EDIT'!H:H, 1, FALSE)), "ERROR","")</f>
        <v>ERROR</v>
      </c>
      <c r="Q1736" s="141"/>
      <c r="R1736" s="143"/>
      <c r="S1736" s="139" t="str">
        <f t="shared" si="2"/>
        <v/>
      </c>
      <c r="T1736" s="141"/>
    </row>
    <row r="1737">
      <c r="A1737" s="138"/>
      <c r="B1737" s="138"/>
      <c r="C1737" s="138"/>
      <c r="D1737" s="139"/>
      <c r="E1737" s="138"/>
      <c r="F1737" s="138"/>
      <c r="G1737" s="138"/>
      <c r="H1737" s="138"/>
      <c r="I1737" s="138"/>
      <c r="J1737" s="138"/>
      <c r="K1737" s="138"/>
      <c r="L1737" s="138">
        <v>0.0</v>
      </c>
      <c r="M1737" s="140" t="str">
        <f>VLOOKUP(text(D1737, "#"),'Master Table'!$A:$F, 6, FALSE)</f>
        <v>#N/A</v>
      </c>
      <c r="N1737" s="141"/>
      <c r="O1737" s="142" t="str">
        <f t="shared" si="1"/>
        <v>TRUE</v>
      </c>
      <c r="P1737" s="143" t="str">
        <f>IF(ISNA(VLOOKUP(CONCAT(M1737,C1737), 'Judge Count DO NOT EDIT'!H:H, 1, FALSE)), "ERROR","")</f>
        <v>ERROR</v>
      </c>
      <c r="Q1737" s="141"/>
      <c r="R1737" s="143"/>
      <c r="S1737" s="139" t="str">
        <f t="shared" si="2"/>
        <v/>
      </c>
      <c r="T1737" s="141"/>
    </row>
    <row r="1738">
      <c r="A1738" s="138"/>
      <c r="B1738" s="138"/>
      <c r="C1738" s="138"/>
      <c r="D1738" s="139"/>
      <c r="E1738" s="138"/>
      <c r="F1738" s="138"/>
      <c r="G1738" s="138"/>
      <c r="H1738" s="138"/>
      <c r="I1738" s="138"/>
      <c r="J1738" s="138"/>
      <c r="K1738" s="138"/>
      <c r="L1738" s="138">
        <v>0.0</v>
      </c>
      <c r="M1738" s="140" t="str">
        <f>VLOOKUP(text(D1738, "#"),'Master Table'!$A:$F, 6, FALSE)</f>
        <v>#N/A</v>
      </c>
      <c r="N1738" s="141"/>
      <c r="O1738" s="142" t="str">
        <f t="shared" si="1"/>
        <v>TRUE</v>
      </c>
      <c r="P1738" s="143" t="str">
        <f>IF(ISNA(VLOOKUP(CONCAT(M1738,C1738), 'Judge Count DO NOT EDIT'!H:H, 1, FALSE)), "ERROR","")</f>
        <v>ERROR</v>
      </c>
      <c r="Q1738" s="141"/>
      <c r="R1738" s="143"/>
      <c r="S1738" s="139" t="str">
        <f t="shared" si="2"/>
        <v/>
      </c>
      <c r="T1738" s="141"/>
    </row>
    <row r="1739">
      <c r="A1739" s="138"/>
      <c r="B1739" s="138"/>
      <c r="C1739" s="138"/>
      <c r="D1739" s="139"/>
      <c r="E1739" s="138"/>
      <c r="F1739" s="138"/>
      <c r="G1739" s="138"/>
      <c r="H1739" s="138"/>
      <c r="I1739" s="138"/>
      <c r="J1739" s="138"/>
      <c r="K1739" s="138"/>
      <c r="L1739" s="138">
        <v>0.0</v>
      </c>
      <c r="M1739" s="140" t="str">
        <f>VLOOKUP(text(D1739, "#"),'Master Table'!$A:$F, 6, FALSE)</f>
        <v>#N/A</v>
      </c>
      <c r="N1739" s="141"/>
      <c r="O1739" s="142" t="str">
        <f t="shared" si="1"/>
        <v>TRUE</v>
      </c>
      <c r="P1739" s="143" t="str">
        <f>IF(ISNA(VLOOKUP(CONCAT(M1739,C1739), 'Judge Count DO NOT EDIT'!H:H, 1, FALSE)), "ERROR","")</f>
        <v>ERROR</v>
      </c>
      <c r="Q1739" s="141"/>
      <c r="R1739" s="143"/>
      <c r="S1739" s="139" t="str">
        <f t="shared" si="2"/>
        <v/>
      </c>
      <c r="T1739" s="141"/>
    </row>
    <row r="1740">
      <c r="A1740" s="138"/>
      <c r="B1740" s="138"/>
      <c r="C1740" s="138"/>
      <c r="D1740" s="139"/>
      <c r="E1740" s="138"/>
      <c r="F1740" s="138"/>
      <c r="G1740" s="138"/>
      <c r="H1740" s="138"/>
      <c r="I1740" s="138"/>
      <c r="J1740" s="138"/>
      <c r="K1740" s="138"/>
      <c r="L1740" s="138">
        <v>0.0</v>
      </c>
      <c r="M1740" s="140" t="str">
        <f>VLOOKUP(text(D1740, "#"),'Master Table'!$A:$F, 6, FALSE)</f>
        <v>#N/A</v>
      </c>
      <c r="N1740" s="141"/>
      <c r="O1740" s="142" t="str">
        <f t="shared" si="1"/>
        <v>TRUE</v>
      </c>
      <c r="P1740" s="143" t="str">
        <f>IF(ISNA(VLOOKUP(CONCAT(M1740,C1740), 'Judge Count DO NOT EDIT'!H:H, 1, FALSE)), "ERROR","")</f>
        <v>ERROR</v>
      </c>
      <c r="Q1740" s="141"/>
      <c r="R1740" s="143"/>
      <c r="S1740" s="139" t="str">
        <f t="shared" si="2"/>
        <v/>
      </c>
      <c r="T1740" s="141"/>
    </row>
    <row r="1741">
      <c r="A1741" s="138"/>
      <c r="B1741" s="138"/>
      <c r="C1741" s="138"/>
      <c r="D1741" s="139"/>
      <c r="E1741" s="138"/>
      <c r="F1741" s="138"/>
      <c r="G1741" s="138"/>
      <c r="H1741" s="138"/>
      <c r="I1741" s="138"/>
      <c r="J1741" s="138"/>
      <c r="K1741" s="138"/>
      <c r="L1741" s="138">
        <v>0.0</v>
      </c>
      <c r="M1741" s="140" t="str">
        <f>VLOOKUP(text(D1741, "#"),'Master Table'!$A:$F, 6, FALSE)</f>
        <v>#N/A</v>
      </c>
      <c r="N1741" s="141"/>
      <c r="O1741" s="142" t="str">
        <f t="shared" si="1"/>
        <v>TRUE</v>
      </c>
      <c r="P1741" s="143" t="str">
        <f>IF(ISNA(VLOOKUP(CONCAT(M1741,C1741), 'Judge Count DO NOT EDIT'!H:H, 1, FALSE)), "ERROR","")</f>
        <v>ERROR</v>
      </c>
      <c r="Q1741" s="141"/>
      <c r="R1741" s="143"/>
      <c r="S1741" s="139" t="str">
        <f t="shared" si="2"/>
        <v/>
      </c>
      <c r="T1741" s="141"/>
    </row>
    <row r="1742">
      <c r="A1742" s="138"/>
      <c r="B1742" s="138"/>
      <c r="C1742" s="138"/>
      <c r="D1742" s="139"/>
      <c r="E1742" s="138"/>
      <c r="F1742" s="138"/>
      <c r="G1742" s="138"/>
      <c r="H1742" s="138"/>
      <c r="I1742" s="138"/>
      <c r="J1742" s="138"/>
      <c r="K1742" s="138"/>
      <c r="L1742" s="138">
        <v>0.0</v>
      </c>
      <c r="M1742" s="140" t="str">
        <f>VLOOKUP(text(D1742, "#"),'Master Table'!$A:$F, 6, FALSE)</f>
        <v>#N/A</v>
      </c>
      <c r="N1742" s="141"/>
      <c r="O1742" s="142" t="str">
        <f t="shared" si="1"/>
        <v/>
      </c>
      <c r="P1742" s="143" t="str">
        <f>IF(ISNA(VLOOKUP(CONCAT(M1742,C1742), 'Judge Count DO NOT EDIT'!H:H, 1, FALSE)), "ERROR","")</f>
        <v>ERROR</v>
      </c>
      <c r="Q1742" s="141"/>
      <c r="R1742" s="143"/>
      <c r="S1742" s="139"/>
      <c r="T1742" s="141"/>
    </row>
    <row r="1743">
      <c r="A1743" s="138"/>
      <c r="B1743" s="138"/>
      <c r="C1743" s="138"/>
      <c r="D1743" s="139"/>
      <c r="E1743" s="138"/>
      <c r="F1743" s="138"/>
      <c r="G1743" s="138"/>
      <c r="H1743" s="138"/>
      <c r="I1743" s="138"/>
      <c r="J1743" s="138"/>
      <c r="K1743" s="138"/>
      <c r="L1743" s="138">
        <v>0.0</v>
      </c>
      <c r="M1743" s="140" t="str">
        <f>VLOOKUP(text(D1743, "#"),'Master Table'!$A:$F, 6, FALSE)</f>
        <v>#N/A</v>
      </c>
      <c r="N1743" s="141"/>
      <c r="O1743" s="142" t="str">
        <f t="shared" si="1"/>
        <v/>
      </c>
      <c r="P1743" s="143" t="str">
        <f>IF(ISNA(VLOOKUP(CONCAT(M1743,C1743), 'Judge Count DO NOT EDIT'!H:H, 1, FALSE)), "ERROR","")</f>
        <v>ERROR</v>
      </c>
      <c r="Q1743" s="141"/>
      <c r="R1743" s="143"/>
      <c r="S1743" s="139"/>
      <c r="T1743" s="141"/>
    </row>
    <row r="1744">
      <c r="A1744" s="138"/>
      <c r="B1744" s="138"/>
      <c r="C1744" s="138"/>
      <c r="D1744" s="139"/>
      <c r="E1744" s="138"/>
      <c r="F1744" s="138"/>
      <c r="G1744" s="138"/>
      <c r="H1744" s="138"/>
      <c r="I1744" s="138"/>
      <c r="J1744" s="138"/>
      <c r="K1744" s="138"/>
      <c r="L1744" s="138">
        <v>0.0</v>
      </c>
      <c r="M1744" s="140" t="str">
        <f>VLOOKUP(text(D1744, "#"),'Master Table'!$A:$F, 6, FALSE)</f>
        <v>#N/A</v>
      </c>
      <c r="N1744" s="141"/>
      <c r="O1744" s="142" t="str">
        <f t="shared" si="1"/>
        <v/>
      </c>
      <c r="P1744" s="143" t="str">
        <f>IF(ISNA(VLOOKUP(CONCAT(M1744,C1744), 'Judge Count DO NOT EDIT'!H:H, 1, FALSE)), "ERROR","")</f>
        <v>ERROR</v>
      </c>
      <c r="Q1744" s="141"/>
      <c r="R1744" s="143"/>
      <c r="S1744" s="139"/>
      <c r="T1744" s="141"/>
    </row>
    <row r="1745">
      <c r="A1745" s="138"/>
      <c r="B1745" s="138"/>
      <c r="C1745" s="138"/>
      <c r="D1745" s="139"/>
      <c r="E1745" s="138"/>
      <c r="F1745" s="138"/>
      <c r="G1745" s="138"/>
      <c r="H1745" s="138"/>
      <c r="I1745" s="138"/>
      <c r="J1745" s="138"/>
      <c r="K1745" s="138"/>
      <c r="L1745" s="138">
        <v>0.0</v>
      </c>
      <c r="M1745" s="140" t="str">
        <f>VLOOKUP(text(D1745, "#"),'Master Table'!$A:$F, 6, FALSE)</f>
        <v>#N/A</v>
      </c>
      <c r="N1745" s="141"/>
      <c r="O1745" s="142" t="str">
        <f t="shared" si="1"/>
        <v/>
      </c>
      <c r="P1745" s="143" t="str">
        <f>IF(ISNA(VLOOKUP(CONCAT(M1745,C1745), 'Judge Count DO NOT EDIT'!H:H, 1, FALSE)), "ERROR","")</f>
        <v>ERROR</v>
      </c>
      <c r="Q1745" s="141"/>
      <c r="R1745" s="143"/>
      <c r="S1745" s="139"/>
      <c r="T1745" s="141"/>
    </row>
    <row r="1746">
      <c r="A1746" s="138"/>
      <c r="B1746" s="138"/>
      <c r="C1746" s="138"/>
      <c r="D1746" s="139"/>
      <c r="E1746" s="138"/>
      <c r="F1746" s="138"/>
      <c r="G1746" s="138"/>
      <c r="H1746" s="138"/>
      <c r="I1746" s="138"/>
      <c r="J1746" s="138"/>
      <c r="K1746" s="138"/>
      <c r="L1746" s="138">
        <v>0.0</v>
      </c>
      <c r="M1746" s="140" t="str">
        <f>VLOOKUP(text(D1746, "#"),'Master Table'!$A:$F, 6, FALSE)</f>
        <v>#N/A</v>
      </c>
      <c r="N1746" s="141"/>
      <c r="O1746" s="142" t="str">
        <f t="shared" si="1"/>
        <v/>
      </c>
      <c r="P1746" s="143" t="str">
        <f>IF(ISNA(VLOOKUP(CONCAT(M1746,C1746), 'Judge Count DO NOT EDIT'!H:H, 1, FALSE)), "ERROR","")</f>
        <v>ERROR</v>
      </c>
      <c r="Q1746" s="141"/>
      <c r="R1746" s="143"/>
      <c r="S1746" s="139"/>
      <c r="T1746" s="141"/>
    </row>
    <row r="1747">
      <c r="A1747" s="138"/>
      <c r="B1747" s="138"/>
      <c r="C1747" s="138"/>
      <c r="D1747" s="139"/>
      <c r="E1747" s="138"/>
      <c r="F1747" s="138"/>
      <c r="G1747" s="138"/>
      <c r="H1747" s="138"/>
      <c r="I1747" s="138"/>
      <c r="J1747" s="138"/>
      <c r="K1747" s="138"/>
      <c r="L1747" s="138">
        <v>0.0</v>
      </c>
      <c r="M1747" s="140" t="str">
        <f>VLOOKUP(text(D1747, "#"),'Master Table'!$A:$F, 6, FALSE)</f>
        <v>#N/A</v>
      </c>
      <c r="N1747" s="141"/>
      <c r="O1747" s="142" t="str">
        <f t="shared" si="1"/>
        <v/>
      </c>
      <c r="P1747" s="143" t="str">
        <f>IF(ISNA(VLOOKUP(CONCAT(M1747,C1747), 'Judge Count DO NOT EDIT'!H:H, 1, FALSE)), "ERROR","")</f>
        <v>ERROR</v>
      </c>
      <c r="Q1747" s="141"/>
      <c r="R1747" s="143"/>
      <c r="S1747" s="139"/>
      <c r="T1747" s="141"/>
    </row>
    <row r="1748">
      <c r="A1748" s="138"/>
      <c r="B1748" s="138"/>
      <c r="C1748" s="138"/>
      <c r="D1748" s="139"/>
      <c r="E1748" s="138"/>
      <c r="F1748" s="138"/>
      <c r="G1748" s="138"/>
      <c r="H1748" s="138"/>
      <c r="I1748" s="138"/>
      <c r="J1748" s="138"/>
      <c r="K1748" s="138"/>
      <c r="L1748" s="138">
        <v>0.0</v>
      </c>
      <c r="M1748" s="140" t="str">
        <f>VLOOKUP(text(D1748, "#"),'Master Table'!$A:$F, 6, FALSE)</f>
        <v>#N/A</v>
      </c>
      <c r="N1748" s="141"/>
      <c r="O1748" s="142" t="str">
        <f t="shared" si="1"/>
        <v/>
      </c>
      <c r="P1748" s="143" t="str">
        <f>IF(ISNA(VLOOKUP(CONCAT(M1748,C1748), 'Judge Count DO NOT EDIT'!H:H, 1, FALSE)), "ERROR","")</f>
        <v>ERROR</v>
      </c>
      <c r="Q1748" s="141"/>
      <c r="R1748" s="143"/>
      <c r="S1748" s="139"/>
      <c r="T1748" s="141"/>
    </row>
    <row r="1749">
      <c r="A1749" s="138"/>
      <c r="B1749" s="138"/>
      <c r="C1749" s="138"/>
      <c r="D1749" s="139"/>
      <c r="E1749" s="138"/>
      <c r="F1749" s="138"/>
      <c r="G1749" s="138"/>
      <c r="H1749" s="138"/>
      <c r="I1749" s="138"/>
      <c r="J1749" s="138"/>
      <c r="K1749" s="138"/>
      <c r="L1749" s="138">
        <v>0.0</v>
      </c>
      <c r="M1749" s="140" t="str">
        <f>VLOOKUP(text(D1749, "#"),'Master Table'!$A:$F, 6, FALSE)</f>
        <v>#N/A</v>
      </c>
      <c r="N1749" s="141"/>
      <c r="O1749" s="142" t="str">
        <f t="shared" si="1"/>
        <v/>
      </c>
      <c r="P1749" s="143" t="str">
        <f>IF(ISNA(VLOOKUP(CONCAT(M1749,C1749), 'Judge Count DO NOT EDIT'!H:H, 1, FALSE)), "ERROR","")</f>
        <v>ERROR</v>
      </c>
      <c r="Q1749" s="141"/>
      <c r="R1749" s="143"/>
      <c r="S1749" s="139"/>
      <c r="T1749" s="141"/>
    </row>
    <row r="1750">
      <c r="A1750" s="138"/>
      <c r="B1750" s="138"/>
      <c r="C1750" s="138"/>
      <c r="D1750" s="139"/>
      <c r="E1750" s="138"/>
      <c r="F1750" s="138"/>
      <c r="G1750" s="138"/>
      <c r="H1750" s="138"/>
      <c r="I1750" s="138"/>
      <c r="J1750" s="138"/>
      <c r="K1750" s="138"/>
      <c r="L1750" s="138">
        <v>0.0</v>
      </c>
      <c r="M1750" s="140" t="str">
        <f>VLOOKUP(text(D1750, "#"),'Master Table'!$A:$F, 6, FALSE)</f>
        <v>#N/A</v>
      </c>
      <c r="N1750" s="141"/>
      <c r="O1750" s="142" t="str">
        <f t="shared" si="1"/>
        <v/>
      </c>
      <c r="P1750" s="143" t="str">
        <f>IF(ISNA(VLOOKUP(CONCAT(M1750,C1750), 'Judge Count DO NOT EDIT'!H:H, 1, FALSE)), "ERROR","")</f>
        <v>ERROR</v>
      </c>
      <c r="Q1750" s="141"/>
      <c r="R1750" s="143"/>
      <c r="S1750" s="139"/>
      <c r="T1750" s="141"/>
    </row>
    <row r="1751">
      <c r="A1751" s="138"/>
      <c r="B1751" s="138"/>
      <c r="C1751" s="138"/>
      <c r="D1751" s="139"/>
      <c r="E1751" s="138"/>
      <c r="F1751" s="138"/>
      <c r="G1751" s="138"/>
      <c r="H1751" s="138"/>
      <c r="I1751" s="138"/>
      <c r="J1751" s="138"/>
      <c r="K1751" s="138"/>
      <c r="L1751" s="138">
        <v>0.0</v>
      </c>
      <c r="M1751" s="140" t="str">
        <f>VLOOKUP(text(D1751, "#"),'Master Table'!$A:$F, 6, FALSE)</f>
        <v>#N/A</v>
      </c>
      <c r="N1751" s="141"/>
      <c r="O1751" s="142" t="str">
        <f t="shared" si="1"/>
        <v/>
      </c>
      <c r="P1751" s="143" t="str">
        <f>IF(ISNA(VLOOKUP(CONCAT(M1751,C1751), 'Judge Count DO NOT EDIT'!H:H, 1, FALSE)), "ERROR","")</f>
        <v>ERROR</v>
      </c>
      <c r="Q1751" s="141"/>
      <c r="R1751" s="143"/>
      <c r="S1751" s="139"/>
      <c r="T1751" s="141"/>
    </row>
    <row r="1752">
      <c r="A1752" s="138"/>
      <c r="B1752" s="138"/>
      <c r="C1752" s="138"/>
      <c r="D1752" s="139"/>
      <c r="E1752" s="138"/>
      <c r="F1752" s="138"/>
      <c r="G1752" s="138"/>
      <c r="H1752" s="138"/>
      <c r="I1752" s="138"/>
      <c r="J1752" s="138"/>
      <c r="K1752" s="138"/>
      <c r="L1752" s="138">
        <v>0.0</v>
      </c>
      <c r="M1752" s="140" t="str">
        <f>VLOOKUP(text(D1752, "#"),'Master Table'!$A:$F, 6, FALSE)</f>
        <v>#N/A</v>
      </c>
      <c r="N1752" s="141"/>
      <c r="O1752" s="142" t="str">
        <f t="shared" si="1"/>
        <v/>
      </c>
      <c r="P1752" s="143" t="str">
        <f>IF(ISNA(VLOOKUP(CONCAT(M1752,C1752), 'Judge Count DO NOT EDIT'!H:H, 1, FALSE)), "ERROR","")</f>
        <v>ERROR</v>
      </c>
      <c r="Q1752" s="141"/>
      <c r="R1752" s="143"/>
      <c r="S1752" s="139"/>
      <c r="T1752" s="141"/>
    </row>
    <row r="1753">
      <c r="A1753" s="138"/>
      <c r="B1753" s="138"/>
      <c r="C1753" s="138"/>
      <c r="D1753" s="139"/>
      <c r="E1753" s="138"/>
      <c r="F1753" s="138"/>
      <c r="G1753" s="138"/>
      <c r="H1753" s="138"/>
      <c r="I1753" s="138"/>
      <c r="J1753" s="138"/>
      <c r="K1753" s="138"/>
      <c r="L1753" s="138">
        <v>0.0</v>
      </c>
      <c r="M1753" s="140" t="str">
        <f>VLOOKUP(text(D1753, "#"),'Master Table'!$A:$F, 6, FALSE)</f>
        <v>#N/A</v>
      </c>
      <c r="N1753" s="141"/>
      <c r="O1753" s="142" t="str">
        <f t="shared" si="1"/>
        <v/>
      </c>
      <c r="P1753" s="143" t="str">
        <f>IF(ISNA(VLOOKUP(CONCAT(M1753,C1753), 'Judge Count DO NOT EDIT'!H:H, 1, FALSE)), "ERROR","")</f>
        <v>ERROR</v>
      </c>
      <c r="Q1753" s="141"/>
      <c r="R1753" s="143"/>
      <c r="S1753" s="139"/>
      <c r="T1753" s="141"/>
    </row>
    <row r="1754">
      <c r="A1754" s="138"/>
      <c r="B1754" s="138"/>
      <c r="C1754" s="138"/>
      <c r="D1754" s="139"/>
      <c r="E1754" s="138"/>
      <c r="F1754" s="138"/>
      <c r="G1754" s="138"/>
      <c r="H1754" s="138"/>
      <c r="I1754" s="138"/>
      <c r="J1754" s="138"/>
      <c r="K1754" s="138"/>
      <c r="L1754" s="138">
        <v>0.0</v>
      </c>
      <c r="M1754" s="140" t="str">
        <f>VLOOKUP(text(D1754, "#"),'Master Table'!$A:$F, 6, FALSE)</f>
        <v>#N/A</v>
      </c>
      <c r="N1754" s="141"/>
      <c r="O1754" s="142" t="str">
        <f t="shared" si="1"/>
        <v/>
      </c>
      <c r="P1754" s="143" t="str">
        <f>IF(ISNA(VLOOKUP(CONCAT(M1754,C1754), 'Judge Count DO NOT EDIT'!H:H, 1, FALSE)), "ERROR","")</f>
        <v>ERROR</v>
      </c>
      <c r="Q1754" s="141"/>
      <c r="R1754" s="143"/>
      <c r="S1754" s="139"/>
      <c r="T1754" s="141"/>
    </row>
    <row r="1755">
      <c r="A1755" s="138"/>
      <c r="B1755" s="138"/>
      <c r="C1755" s="138"/>
      <c r="D1755" s="139"/>
      <c r="E1755" s="138"/>
      <c r="F1755" s="138"/>
      <c r="G1755" s="138"/>
      <c r="H1755" s="138"/>
      <c r="I1755" s="138"/>
      <c r="J1755" s="138"/>
      <c r="K1755" s="138"/>
      <c r="L1755" s="138">
        <v>0.0</v>
      </c>
      <c r="M1755" s="140" t="str">
        <f>VLOOKUP(text(D1755, "#"),'Master Table'!$A:$F, 6, FALSE)</f>
        <v>#N/A</v>
      </c>
      <c r="N1755" s="141"/>
      <c r="O1755" s="142" t="str">
        <f t="shared" si="1"/>
        <v/>
      </c>
      <c r="P1755" s="143" t="str">
        <f>IF(ISNA(VLOOKUP(CONCAT(M1755,C1755), 'Judge Count DO NOT EDIT'!H:H, 1, FALSE)), "ERROR","")</f>
        <v>ERROR</v>
      </c>
      <c r="Q1755" s="141"/>
      <c r="R1755" s="143"/>
      <c r="S1755" s="139"/>
      <c r="T1755" s="141"/>
    </row>
    <row r="1756">
      <c r="A1756" s="138"/>
      <c r="B1756" s="138"/>
      <c r="C1756" s="138"/>
      <c r="D1756" s="139"/>
      <c r="E1756" s="138"/>
      <c r="F1756" s="138"/>
      <c r="G1756" s="138"/>
      <c r="H1756" s="138"/>
      <c r="I1756" s="138"/>
      <c r="J1756" s="138"/>
      <c r="K1756" s="138"/>
      <c r="L1756" s="138">
        <v>0.0</v>
      </c>
      <c r="M1756" s="140" t="str">
        <f>VLOOKUP(text(D1756, "#"),'Master Table'!$A:$F, 6, FALSE)</f>
        <v>#N/A</v>
      </c>
      <c r="N1756" s="141"/>
      <c r="O1756" s="142" t="str">
        <f t="shared" si="1"/>
        <v/>
      </c>
      <c r="P1756" s="143" t="str">
        <f>IF(ISNA(VLOOKUP(CONCAT(M1756,C1756), 'Judge Count DO NOT EDIT'!H:H, 1, FALSE)), "ERROR","")</f>
        <v>ERROR</v>
      </c>
      <c r="Q1756" s="141"/>
      <c r="R1756" s="143"/>
      <c r="S1756" s="139"/>
      <c r="T1756" s="141"/>
    </row>
    <row r="1757">
      <c r="A1757" s="138"/>
      <c r="B1757" s="138"/>
      <c r="C1757" s="138"/>
      <c r="D1757" s="139"/>
      <c r="E1757" s="138"/>
      <c r="F1757" s="138"/>
      <c r="G1757" s="138"/>
      <c r="H1757" s="138"/>
      <c r="I1757" s="138"/>
      <c r="J1757" s="138"/>
      <c r="K1757" s="138"/>
      <c r="L1757" s="138">
        <v>0.0</v>
      </c>
      <c r="M1757" s="140" t="str">
        <f>VLOOKUP(text(D1757, "#"),'Master Table'!$A:$F, 6, FALSE)</f>
        <v>#N/A</v>
      </c>
      <c r="N1757" s="141"/>
      <c r="O1757" s="142" t="str">
        <f t="shared" si="1"/>
        <v/>
      </c>
      <c r="P1757" s="143" t="str">
        <f>IF(ISNA(VLOOKUP(CONCAT(M1757,C1757), 'Judge Count DO NOT EDIT'!H:H, 1, FALSE)), "ERROR","")</f>
        <v>ERROR</v>
      </c>
      <c r="Q1757" s="141"/>
      <c r="R1757" s="143"/>
      <c r="S1757" s="139"/>
      <c r="T1757" s="141"/>
    </row>
    <row r="1758">
      <c r="A1758" s="138"/>
      <c r="B1758" s="138"/>
      <c r="C1758" s="138"/>
      <c r="D1758" s="139"/>
      <c r="E1758" s="138"/>
      <c r="F1758" s="138"/>
      <c r="G1758" s="138"/>
      <c r="H1758" s="138"/>
      <c r="I1758" s="138"/>
      <c r="J1758" s="138"/>
      <c r="K1758" s="138"/>
      <c r="L1758" s="138">
        <v>0.0</v>
      </c>
      <c r="M1758" s="140" t="str">
        <f>VLOOKUP(text(D1758, "#"),'Master Table'!$A:$F, 6, FALSE)</f>
        <v>#N/A</v>
      </c>
      <c r="N1758" s="141"/>
      <c r="O1758" s="142" t="str">
        <f t="shared" si="1"/>
        <v/>
      </c>
      <c r="P1758" s="143" t="str">
        <f>IF(ISNA(VLOOKUP(CONCAT(M1758,C1758), 'Judge Count DO NOT EDIT'!H:H, 1, FALSE)), "ERROR","")</f>
        <v>ERROR</v>
      </c>
      <c r="Q1758" s="141"/>
      <c r="R1758" s="143"/>
      <c r="S1758" s="139"/>
      <c r="T1758" s="141"/>
    </row>
    <row r="1759">
      <c r="A1759" s="138"/>
      <c r="B1759" s="138"/>
      <c r="C1759" s="138"/>
      <c r="D1759" s="139"/>
      <c r="E1759" s="138"/>
      <c r="F1759" s="138"/>
      <c r="G1759" s="138"/>
      <c r="H1759" s="138"/>
      <c r="I1759" s="138"/>
      <c r="J1759" s="138"/>
      <c r="K1759" s="138"/>
      <c r="L1759" s="138">
        <v>0.0</v>
      </c>
      <c r="M1759" s="140" t="str">
        <f>VLOOKUP(text(D1759, "#"),'Master Table'!$A:$F, 6, FALSE)</f>
        <v>#N/A</v>
      </c>
      <c r="N1759" s="141"/>
      <c r="O1759" s="142" t="str">
        <f t="shared" si="1"/>
        <v/>
      </c>
      <c r="P1759" s="143" t="str">
        <f>IF(ISNA(VLOOKUP(CONCAT(M1759,C1759), 'Judge Count DO NOT EDIT'!H:H, 1, FALSE)), "ERROR","")</f>
        <v>ERROR</v>
      </c>
      <c r="Q1759" s="141"/>
      <c r="R1759" s="143"/>
      <c r="S1759" s="139"/>
      <c r="T1759" s="141"/>
    </row>
    <row r="1760">
      <c r="A1760" s="138"/>
      <c r="B1760" s="138"/>
      <c r="C1760" s="138"/>
      <c r="D1760" s="139"/>
      <c r="E1760" s="138"/>
      <c r="F1760" s="138"/>
      <c r="G1760" s="138"/>
      <c r="H1760" s="138"/>
      <c r="I1760" s="138"/>
      <c r="J1760" s="138"/>
      <c r="K1760" s="138"/>
      <c r="L1760" s="138">
        <v>0.0</v>
      </c>
      <c r="M1760" s="140" t="str">
        <f>VLOOKUP(text(D1760, "#"),'Master Table'!$A:$F, 6, FALSE)</f>
        <v>#N/A</v>
      </c>
      <c r="N1760" s="141"/>
      <c r="O1760" s="142" t="str">
        <f t="shared" si="1"/>
        <v/>
      </c>
      <c r="P1760" s="143" t="str">
        <f>IF(ISNA(VLOOKUP(CONCAT(M1760,C1760), 'Judge Count DO NOT EDIT'!H:H, 1, FALSE)), "ERROR","")</f>
        <v>ERROR</v>
      </c>
      <c r="Q1760" s="141"/>
      <c r="R1760" s="143"/>
      <c r="S1760" s="139"/>
      <c r="T1760" s="141"/>
    </row>
    <row r="1761">
      <c r="A1761" s="138"/>
      <c r="B1761" s="138"/>
      <c r="C1761" s="138"/>
      <c r="D1761" s="139"/>
      <c r="E1761" s="138"/>
      <c r="F1761" s="138"/>
      <c r="G1761" s="138"/>
      <c r="H1761" s="138"/>
      <c r="I1761" s="138"/>
      <c r="J1761" s="138"/>
      <c r="K1761" s="138"/>
      <c r="L1761" s="138">
        <v>0.0</v>
      </c>
      <c r="M1761" s="140" t="str">
        <f>VLOOKUP(text(D1761, "#"),'Master Table'!$A:$F, 6, FALSE)</f>
        <v>#N/A</v>
      </c>
      <c r="N1761" s="141"/>
      <c r="O1761" s="142" t="str">
        <f t="shared" si="1"/>
        <v/>
      </c>
      <c r="P1761" s="143" t="str">
        <f>IF(ISNA(VLOOKUP(CONCAT(M1761,C1761), 'Judge Count DO NOT EDIT'!H:H, 1, FALSE)), "ERROR","")</f>
        <v>ERROR</v>
      </c>
      <c r="Q1761" s="141"/>
      <c r="R1761" s="143"/>
      <c r="S1761" s="139"/>
      <c r="T1761" s="141"/>
    </row>
    <row r="1762">
      <c r="A1762" s="138"/>
      <c r="B1762" s="138"/>
      <c r="C1762" s="138"/>
      <c r="D1762" s="139"/>
      <c r="E1762" s="138"/>
      <c r="F1762" s="138"/>
      <c r="G1762" s="138"/>
      <c r="H1762" s="138"/>
      <c r="I1762" s="138"/>
      <c r="J1762" s="138"/>
      <c r="K1762" s="138"/>
      <c r="L1762" s="138">
        <v>0.0</v>
      </c>
      <c r="M1762" s="140" t="str">
        <f>VLOOKUP(text(D1762, "#"),'Master Table'!$A:$F, 6, FALSE)</f>
        <v>#N/A</v>
      </c>
      <c r="N1762" s="141"/>
      <c r="O1762" s="142" t="str">
        <f t="shared" si="1"/>
        <v/>
      </c>
      <c r="P1762" s="143" t="str">
        <f>IF(ISNA(VLOOKUP(CONCAT(M1762,C1762), 'Judge Count DO NOT EDIT'!H:H, 1, FALSE)), "ERROR","")</f>
        <v>ERROR</v>
      </c>
      <c r="Q1762" s="141"/>
      <c r="R1762" s="143"/>
      <c r="S1762" s="139"/>
      <c r="T1762" s="141"/>
    </row>
    <row r="1763">
      <c r="A1763" s="138"/>
      <c r="B1763" s="138"/>
      <c r="C1763" s="138"/>
      <c r="D1763" s="139"/>
      <c r="E1763" s="138"/>
      <c r="F1763" s="138"/>
      <c r="G1763" s="138"/>
      <c r="H1763" s="138"/>
      <c r="I1763" s="138"/>
      <c r="J1763" s="138"/>
      <c r="K1763" s="138"/>
      <c r="L1763" s="138">
        <v>0.0</v>
      </c>
      <c r="M1763" s="140" t="str">
        <f>VLOOKUP(text(D1763, "#"),'Master Table'!$A:$F, 6, FALSE)</f>
        <v>#N/A</v>
      </c>
      <c r="N1763" s="141"/>
      <c r="O1763" s="142" t="str">
        <f t="shared" si="1"/>
        <v/>
      </c>
      <c r="P1763" s="143" t="str">
        <f>IF(ISNA(VLOOKUP(CONCAT(M1763,C1763), 'Judge Count DO NOT EDIT'!H:H, 1, FALSE)), "ERROR","")</f>
        <v>ERROR</v>
      </c>
      <c r="Q1763" s="141"/>
      <c r="R1763" s="143"/>
      <c r="S1763" s="139"/>
      <c r="T1763" s="141"/>
    </row>
    <row r="1764">
      <c r="A1764" s="138"/>
      <c r="B1764" s="138"/>
      <c r="C1764" s="138"/>
      <c r="D1764" s="139"/>
      <c r="E1764" s="138"/>
      <c r="F1764" s="138"/>
      <c r="G1764" s="138"/>
      <c r="H1764" s="138"/>
      <c r="I1764" s="138"/>
      <c r="J1764" s="138"/>
      <c r="K1764" s="138"/>
      <c r="L1764" s="138">
        <v>0.0</v>
      </c>
      <c r="M1764" s="140" t="str">
        <f>VLOOKUP(text(D1764, "#"),'Master Table'!$A:$F, 6, FALSE)</f>
        <v>#N/A</v>
      </c>
      <c r="N1764" s="141"/>
      <c r="O1764" s="142" t="str">
        <f t="shared" si="1"/>
        <v/>
      </c>
      <c r="P1764" s="143" t="str">
        <f>IF(ISNA(VLOOKUP(CONCAT(M1764,C1764), 'Judge Count DO NOT EDIT'!H:H, 1, FALSE)), "ERROR","")</f>
        <v>ERROR</v>
      </c>
      <c r="Q1764" s="141"/>
      <c r="R1764" s="143"/>
      <c r="S1764" s="139"/>
      <c r="T1764" s="141"/>
    </row>
    <row r="1765">
      <c r="A1765" s="138"/>
      <c r="B1765" s="138"/>
      <c r="C1765" s="138"/>
      <c r="D1765" s="139"/>
      <c r="E1765" s="138"/>
      <c r="F1765" s="138"/>
      <c r="G1765" s="138"/>
      <c r="H1765" s="138"/>
      <c r="I1765" s="138"/>
      <c r="J1765" s="138"/>
      <c r="K1765" s="138"/>
      <c r="L1765" s="138">
        <v>0.0</v>
      </c>
      <c r="M1765" s="140" t="str">
        <f>VLOOKUP(text(D1765, "#"),'Master Table'!$A:$F, 6, FALSE)</f>
        <v>#N/A</v>
      </c>
      <c r="N1765" s="141"/>
      <c r="O1765" s="142" t="str">
        <f t="shared" si="1"/>
        <v/>
      </c>
      <c r="P1765" s="143" t="str">
        <f>IF(ISNA(VLOOKUP(CONCAT(M1765,C1765), 'Judge Count DO NOT EDIT'!H:H, 1, FALSE)), "ERROR","")</f>
        <v>ERROR</v>
      </c>
      <c r="Q1765" s="141"/>
      <c r="R1765" s="143"/>
      <c r="S1765" s="139"/>
      <c r="T1765" s="141"/>
    </row>
    <row r="1766">
      <c r="A1766" s="138"/>
      <c r="B1766" s="138"/>
      <c r="C1766" s="138"/>
      <c r="D1766" s="139"/>
      <c r="E1766" s="138"/>
      <c r="F1766" s="138"/>
      <c r="G1766" s="138"/>
      <c r="H1766" s="138"/>
      <c r="I1766" s="138"/>
      <c r="J1766" s="138"/>
      <c r="K1766" s="138"/>
      <c r="L1766" s="138">
        <v>0.0</v>
      </c>
      <c r="M1766" s="140" t="str">
        <f>VLOOKUP(text(D1766, "#"),'Master Table'!$A:$F, 6, FALSE)</f>
        <v>#N/A</v>
      </c>
      <c r="N1766" s="141"/>
      <c r="O1766" s="142" t="str">
        <f t="shared" si="1"/>
        <v/>
      </c>
      <c r="P1766" s="143" t="str">
        <f>IF(ISNA(VLOOKUP(CONCAT(M1766,C1766), 'Judge Count DO NOT EDIT'!H:H, 1, FALSE)), "ERROR","")</f>
        <v>ERROR</v>
      </c>
      <c r="Q1766" s="141"/>
      <c r="R1766" s="143"/>
      <c r="S1766" s="139"/>
      <c r="T1766" s="141"/>
    </row>
    <row r="1767">
      <c r="A1767" s="138"/>
      <c r="B1767" s="138"/>
      <c r="C1767" s="138"/>
      <c r="D1767" s="139"/>
      <c r="E1767" s="138"/>
      <c r="F1767" s="138"/>
      <c r="G1767" s="138"/>
      <c r="H1767" s="138"/>
      <c r="I1767" s="138"/>
      <c r="J1767" s="138"/>
      <c r="K1767" s="138"/>
      <c r="L1767" s="138">
        <v>0.0</v>
      </c>
      <c r="M1767" s="140" t="str">
        <f>VLOOKUP(text(D1767, "#"),'Master Table'!$A:$F, 6, FALSE)</f>
        <v>#N/A</v>
      </c>
      <c r="N1767" s="141"/>
      <c r="O1767" s="142" t="str">
        <f t="shared" si="1"/>
        <v/>
      </c>
      <c r="P1767" s="143" t="str">
        <f>IF(ISNA(VLOOKUP(CONCAT(M1767,C1767), 'Judge Count DO NOT EDIT'!H:H, 1, FALSE)), "ERROR","")</f>
        <v>ERROR</v>
      </c>
      <c r="Q1767" s="141"/>
      <c r="R1767" s="143"/>
      <c r="S1767" s="139"/>
      <c r="T1767" s="141"/>
    </row>
    <row r="1768">
      <c r="A1768" s="138"/>
      <c r="B1768" s="138"/>
      <c r="C1768" s="138"/>
      <c r="D1768" s="139"/>
      <c r="E1768" s="138"/>
      <c r="F1768" s="138"/>
      <c r="G1768" s="138"/>
      <c r="H1768" s="138"/>
      <c r="I1768" s="138"/>
      <c r="J1768" s="138"/>
      <c r="K1768" s="138"/>
      <c r="L1768" s="138">
        <v>0.0</v>
      </c>
      <c r="M1768" s="140" t="str">
        <f>VLOOKUP(text(D1768, "#"),'Master Table'!$A:$F, 6, FALSE)</f>
        <v>#N/A</v>
      </c>
      <c r="N1768" s="141"/>
      <c r="O1768" s="142" t="str">
        <f t="shared" si="1"/>
        <v/>
      </c>
      <c r="P1768" s="143" t="str">
        <f>IF(ISNA(VLOOKUP(CONCAT(M1768,C1768), 'Judge Count DO NOT EDIT'!H:H, 1, FALSE)), "ERROR","")</f>
        <v>ERROR</v>
      </c>
      <c r="Q1768" s="141"/>
      <c r="R1768" s="143"/>
      <c r="S1768" s="139"/>
      <c r="T1768" s="141"/>
    </row>
    <row r="1769">
      <c r="A1769" s="138"/>
      <c r="B1769" s="138"/>
      <c r="C1769" s="138"/>
      <c r="D1769" s="139"/>
      <c r="E1769" s="138"/>
      <c r="F1769" s="138"/>
      <c r="G1769" s="138"/>
      <c r="H1769" s="138"/>
      <c r="I1769" s="138"/>
      <c r="J1769" s="138"/>
      <c r="K1769" s="138"/>
      <c r="L1769" s="138">
        <v>0.0</v>
      </c>
      <c r="M1769" s="140" t="str">
        <f>VLOOKUP(text(D1769, "#"),'Master Table'!$A:$F, 6, FALSE)</f>
        <v>#N/A</v>
      </c>
      <c r="N1769" s="141"/>
      <c r="O1769" s="142" t="str">
        <f t="shared" si="1"/>
        <v/>
      </c>
      <c r="P1769" s="143" t="str">
        <f>IF(ISNA(VLOOKUP(CONCAT(M1769,C1769), 'Judge Count DO NOT EDIT'!H:H, 1, FALSE)), "ERROR","")</f>
        <v>ERROR</v>
      </c>
      <c r="Q1769" s="141"/>
      <c r="R1769" s="143"/>
      <c r="S1769" s="139"/>
      <c r="T1769" s="141"/>
    </row>
    <row r="1770">
      <c r="A1770" s="138"/>
      <c r="B1770" s="138"/>
      <c r="C1770" s="138"/>
      <c r="D1770" s="139"/>
      <c r="E1770" s="138"/>
      <c r="F1770" s="138"/>
      <c r="G1770" s="138"/>
      <c r="H1770" s="138"/>
      <c r="I1770" s="138"/>
      <c r="J1770" s="138"/>
      <c r="K1770" s="138"/>
      <c r="L1770" s="138">
        <v>0.0</v>
      </c>
      <c r="M1770" s="140" t="str">
        <f>VLOOKUP(text(D1770, "#"),'Master Table'!$A:$F, 6, FALSE)</f>
        <v>#N/A</v>
      </c>
      <c r="N1770" s="141"/>
      <c r="O1770" s="142" t="str">
        <f t="shared" si="1"/>
        <v/>
      </c>
      <c r="P1770" s="143" t="str">
        <f>IF(ISNA(VLOOKUP(CONCAT(M1770,C1770), 'Judge Count DO NOT EDIT'!H:H, 1, FALSE)), "ERROR","")</f>
        <v>ERROR</v>
      </c>
      <c r="Q1770" s="141"/>
      <c r="R1770" s="143"/>
      <c r="S1770" s="139"/>
      <c r="T1770" s="141"/>
    </row>
    <row r="1771">
      <c r="A1771" s="138"/>
      <c r="B1771" s="138"/>
      <c r="C1771" s="138"/>
      <c r="D1771" s="139"/>
      <c r="E1771" s="138"/>
      <c r="F1771" s="138"/>
      <c r="G1771" s="138"/>
      <c r="H1771" s="138"/>
      <c r="I1771" s="138"/>
      <c r="J1771" s="138"/>
      <c r="K1771" s="138"/>
      <c r="L1771" s="138">
        <v>0.0</v>
      </c>
      <c r="M1771" s="140" t="str">
        <f>VLOOKUP(text(D1771, "#"),'Master Table'!$A:$F, 6, FALSE)</f>
        <v>#N/A</v>
      </c>
      <c r="N1771" s="141"/>
      <c r="O1771" s="142" t="str">
        <f t="shared" si="1"/>
        <v/>
      </c>
      <c r="P1771" s="143" t="str">
        <f>IF(ISNA(VLOOKUP(CONCAT(M1771,C1771), 'Judge Count DO NOT EDIT'!H:H, 1, FALSE)), "ERROR","")</f>
        <v>ERROR</v>
      </c>
      <c r="Q1771" s="141"/>
      <c r="R1771" s="143"/>
      <c r="S1771" s="139"/>
      <c r="T1771" s="141"/>
    </row>
    <row r="1772">
      <c r="A1772" s="138"/>
      <c r="B1772" s="138"/>
      <c r="C1772" s="138"/>
      <c r="D1772" s="139"/>
      <c r="E1772" s="138"/>
      <c r="F1772" s="138"/>
      <c r="G1772" s="138"/>
      <c r="H1772" s="138"/>
      <c r="I1772" s="138"/>
      <c r="J1772" s="138"/>
      <c r="K1772" s="138"/>
      <c r="L1772" s="138">
        <v>0.0</v>
      </c>
      <c r="M1772" s="140" t="str">
        <f>VLOOKUP(text(D1772, "#"),'Master Table'!$A:$F, 6, FALSE)</f>
        <v>#N/A</v>
      </c>
      <c r="N1772" s="141"/>
      <c r="O1772" s="142" t="str">
        <f t="shared" si="1"/>
        <v/>
      </c>
      <c r="P1772" s="143" t="str">
        <f>IF(ISNA(VLOOKUP(CONCAT(M1772,C1772), 'Judge Count DO NOT EDIT'!H:H, 1, FALSE)), "ERROR","")</f>
        <v>ERROR</v>
      </c>
      <c r="Q1772" s="141"/>
      <c r="R1772" s="143"/>
      <c r="S1772" s="139"/>
      <c r="T1772" s="141"/>
    </row>
    <row r="1773">
      <c r="A1773" s="138"/>
      <c r="B1773" s="138"/>
      <c r="C1773" s="138"/>
      <c r="D1773" s="139"/>
      <c r="E1773" s="138"/>
      <c r="F1773" s="138"/>
      <c r="G1773" s="138"/>
      <c r="H1773" s="138"/>
      <c r="I1773" s="138"/>
      <c r="J1773" s="138"/>
      <c r="K1773" s="138"/>
      <c r="L1773" s="138">
        <v>0.0</v>
      </c>
      <c r="M1773" s="140" t="str">
        <f>VLOOKUP(text(D1773, "#"),'Master Table'!$A:$F, 6, FALSE)</f>
        <v>#N/A</v>
      </c>
      <c r="N1773" s="141"/>
      <c r="O1773" s="142" t="str">
        <f t="shared" si="1"/>
        <v/>
      </c>
      <c r="P1773" s="143" t="str">
        <f>IF(ISNA(VLOOKUP(CONCAT(M1773,C1773), 'Judge Count DO NOT EDIT'!H:H, 1, FALSE)), "ERROR","")</f>
        <v>ERROR</v>
      </c>
      <c r="Q1773" s="141"/>
      <c r="R1773" s="143"/>
      <c r="S1773" s="139"/>
      <c r="T1773" s="141"/>
    </row>
    <row r="1774">
      <c r="A1774" s="138"/>
      <c r="B1774" s="138"/>
      <c r="C1774" s="138"/>
      <c r="D1774" s="139"/>
      <c r="E1774" s="138"/>
      <c r="F1774" s="138"/>
      <c r="G1774" s="138"/>
      <c r="H1774" s="138"/>
      <c r="I1774" s="138"/>
      <c r="J1774" s="138"/>
      <c r="K1774" s="138"/>
      <c r="L1774" s="138">
        <v>0.0</v>
      </c>
      <c r="M1774" s="140" t="str">
        <f>VLOOKUP(text(D1774, "#"),'Master Table'!$A:$F, 6, FALSE)</f>
        <v>#N/A</v>
      </c>
      <c r="N1774" s="141"/>
      <c r="O1774" s="142" t="str">
        <f t="shared" si="1"/>
        <v/>
      </c>
      <c r="P1774" s="143" t="str">
        <f>IF(ISNA(VLOOKUP(CONCAT(M1774,C1774), 'Judge Count DO NOT EDIT'!H:H, 1, FALSE)), "ERROR","")</f>
        <v>ERROR</v>
      </c>
      <c r="Q1774" s="141"/>
      <c r="R1774" s="143"/>
      <c r="S1774" s="139"/>
      <c r="T1774" s="141"/>
    </row>
    <row r="1775">
      <c r="A1775" s="138"/>
      <c r="B1775" s="138"/>
      <c r="C1775" s="138"/>
      <c r="D1775" s="139"/>
      <c r="E1775" s="138"/>
      <c r="F1775" s="138"/>
      <c r="G1775" s="138"/>
      <c r="H1775" s="138"/>
      <c r="I1775" s="138"/>
      <c r="J1775" s="138"/>
      <c r="K1775" s="138"/>
      <c r="L1775" s="138">
        <v>0.0</v>
      </c>
      <c r="M1775" s="140" t="str">
        <f>VLOOKUP(text(D1775, "#"),'Master Table'!$A:$F, 6, FALSE)</f>
        <v>#N/A</v>
      </c>
      <c r="N1775" s="141"/>
      <c r="O1775" s="142" t="str">
        <f t="shared" si="1"/>
        <v/>
      </c>
      <c r="P1775" s="143" t="str">
        <f>IF(ISNA(VLOOKUP(CONCAT(M1775,C1775), 'Judge Count DO NOT EDIT'!H:H, 1, FALSE)), "ERROR","")</f>
        <v>ERROR</v>
      </c>
      <c r="Q1775" s="141"/>
      <c r="R1775" s="143"/>
      <c r="S1775" s="139"/>
      <c r="T1775" s="141"/>
    </row>
    <row r="1776">
      <c r="A1776" s="138"/>
      <c r="B1776" s="138"/>
      <c r="C1776" s="138"/>
      <c r="D1776" s="139"/>
      <c r="E1776" s="138"/>
      <c r="F1776" s="138"/>
      <c r="G1776" s="138"/>
      <c r="H1776" s="138"/>
      <c r="I1776" s="138"/>
      <c r="J1776" s="138"/>
      <c r="K1776" s="138"/>
      <c r="L1776" s="138">
        <v>0.0</v>
      </c>
      <c r="M1776" s="140" t="str">
        <f>VLOOKUP(text(D1776, "#"),'Master Table'!$A:$F, 6, FALSE)</f>
        <v>#N/A</v>
      </c>
      <c r="N1776" s="141"/>
      <c r="O1776" s="142" t="str">
        <f t="shared" si="1"/>
        <v/>
      </c>
      <c r="P1776" s="143" t="str">
        <f>IF(ISNA(VLOOKUP(CONCAT(M1776,C1776), 'Judge Count DO NOT EDIT'!H:H, 1, FALSE)), "ERROR","")</f>
        <v>ERROR</v>
      </c>
      <c r="Q1776" s="141"/>
      <c r="R1776" s="143"/>
      <c r="S1776" s="139"/>
      <c r="T1776" s="141"/>
    </row>
    <row r="1777">
      <c r="A1777" s="138"/>
      <c r="B1777" s="138"/>
      <c r="C1777" s="138"/>
      <c r="D1777" s="139"/>
      <c r="E1777" s="138"/>
      <c r="F1777" s="138"/>
      <c r="G1777" s="138"/>
      <c r="H1777" s="138"/>
      <c r="I1777" s="138"/>
      <c r="J1777" s="138"/>
      <c r="K1777" s="138"/>
      <c r="L1777" s="138">
        <v>0.0</v>
      </c>
      <c r="M1777" s="140" t="str">
        <f>VLOOKUP(text(D1777, "#"),'Master Table'!$A:$F, 6, FALSE)</f>
        <v>#N/A</v>
      </c>
      <c r="N1777" s="141"/>
      <c r="O1777" s="142" t="str">
        <f t="shared" si="1"/>
        <v/>
      </c>
      <c r="P1777" s="143" t="str">
        <f>IF(ISNA(VLOOKUP(CONCAT(M1777,C1777), 'Judge Count DO NOT EDIT'!H:H, 1, FALSE)), "ERROR","")</f>
        <v>ERROR</v>
      </c>
      <c r="Q1777" s="141"/>
      <c r="R1777" s="143"/>
      <c r="S1777" s="139"/>
      <c r="T1777" s="141"/>
    </row>
    <row r="1778">
      <c r="A1778" s="138"/>
      <c r="B1778" s="138"/>
      <c r="C1778" s="138"/>
      <c r="D1778" s="139"/>
      <c r="E1778" s="138"/>
      <c r="F1778" s="138"/>
      <c r="G1778" s="138"/>
      <c r="H1778" s="138"/>
      <c r="I1778" s="138"/>
      <c r="J1778" s="138"/>
      <c r="K1778" s="138"/>
      <c r="L1778" s="138">
        <v>0.0</v>
      </c>
      <c r="M1778" s="140" t="str">
        <f>VLOOKUP(text(D1778, "#"),'Master Table'!$A:$F, 6, FALSE)</f>
        <v>#N/A</v>
      </c>
      <c r="N1778" s="141"/>
      <c r="O1778" s="142" t="str">
        <f t="shared" si="1"/>
        <v/>
      </c>
      <c r="P1778" s="143" t="str">
        <f>IF(ISNA(VLOOKUP(CONCAT(M1778,C1778), 'Judge Count DO NOT EDIT'!H:H, 1, FALSE)), "ERROR","")</f>
        <v>ERROR</v>
      </c>
      <c r="Q1778" s="141"/>
      <c r="R1778" s="143"/>
      <c r="S1778" s="139"/>
      <c r="T1778" s="141"/>
    </row>
    <row r="1779">
      <c r="A1779" s="138"/>
      <c r="B1779" s="138"/>
      <c r="C1779" s="138"/>
      <c r="D1779" s="139"/>
      <c r="E1779" s="138"/>
      <c r="F1779" s="138"/>
      <c r="G1779" s="138"/>
      <c r="H1779" s="138"/>
      <c r="I1779" s="138"/>
      <c r="J1779" s="138"/>
      <c r="K1779" s="138"/>
      <c r="L1779" s="138">
        <v>0.0</v>
      </c>
      <c r="M1779" s="140" t="str">
        <f>VLOOKUP(text(D1779, "#"),'Master Table'!$A:$F, 6, FALSE)</f>
        <v>#N/A</v>
      </c>
      <c r="N1779" s="141"/>
      <c r="O1779" s="142" t="str">
        <f t="shared" si="1"/>
        <v/>
      </c>
      <c r="P1779" s="143" t="str">
        <f>IF(ISNA(VLOOKUP(CONCAT(M1779,C1779), 'Judge Count DO NOT EDIT'!H:H, 1, FALSE)), "ERROR","")</f>
        <v>ERROR</v>
      </c>
      <c r="Q1779" s="141"/>
      <c r="R1779" s="143"/>
      <c r="S1779" s="139"/>
      <c r="T1779" s="141"/>
    </row>
    <row r="1780">
      <c r="A1780" s="138"/>
      <c r="B1780" s="138"/>
      <c r="C1780" s="138"/>
      <c r="D1780" s="139"/>
      <c r="E1780" s="138"/>
      <c r="F1780" s="138"/>
      <c r="G1780" s="138"/>
      <c r="H1780" s="138"/>
      <c r="I1780" s="138"/>
      <c r="J1780" s="138"/>
      <c r="K1780" s="138"/>
      <c r="L1780" s="138">
        <v>0.0</v>
      </c>
      <c r="M1780" s="140" t="str">
        <f>VLOOKUP(text(D1780, "#"),'Master Table'!$A:$F, 6, FALSE)</f>
        <v>#N/A</v>
      </c>
      <c r="N1780" s="141"/>
      <c r="O1780" s="142" t="str">
        <f t="shared" si="1"/>
        <v/>
      </c>
      <c r="P1780" s="143" t="str">
        <f>IF(ISNA(VLOOKUP(CONCAT(M1780,C1780), 'Judge Count DO NOT EDIT'!H:H, 1, FALSE)), "ERROR","")</f>
        <v>ERROR</v>
      </c>
      <c r="Q1780" s="141"/>
      <c r="R1780" s="143"/>
      <c r="S1780" s="139"/>
      <c r="T1780" s="141"/>
    </row>
    <row r="1781">
      <c r="A1781" s="138"/>
      <c r="B1781" s="138"/>
      <c r="C1781" s="138"/>
      <c r="D1781" s="139"/>
      <c r="E1781" s="138"/>
      <c r="F1781" s="138"/>
      <c r="G1781" s="138"/>
      <c r="H1781" s="138"/>
      <c r="I1781" s="138"/>
      <c r="J1781" s="138"/>
      <c r="K1781" s="138"/>
      <c r="L1781" s="138">
        <v>0.0</v>
      </c>
      <c r="M1781" s="140" t="str">
        <f>VLOOKUP(text(D1781, "#"),'Master Table'!$A:$F, 6, FALSE)</f>
        <v>#N/A</v>
      </c>
      <c r="N1781" s="141"/>
      <c r="O1781" s="142" t="str">
        <f t="shared" si="1"/>
        <v/>
      </c>
      <c r="P1781" s="143" t="str">
        <f>IF(ISNA(VLOOKUP(CONCAT(M1781,C1781), 'Judge Count DO NOT EDIT'!H:H, 1, FALSE)), "ERROR","")</f>
        <v>ERROR</v>
      </c>
      <c r="Q1781" s="141"/>
      <c r="R1781" s="143"/>
      <c r="S1781" s="139"/>
      <c r="T1781" s="141"/>
    </row>
    <row r="1782">
      <c r="A1782" s="138"/>
      <c r="B1782" s="138"/>
      <c r="C1782" s="138"/>
      <c r="D1782" s="139"/>
      <c r="E1782" s="138"/>
      <c r="F1782" s="138"/>
      <c r="G1782" s="138"/>
      <c r="H1782" s="138"/>
      <c r="I1782" s="138"/>
      <c r="J1782" s="138"/>
      <c r="K1782" s="138"/>
      <c r="L1782" s="138">
        <v>0.0</v>
      </c>
      <c r="M1782" s="140" t="str">
        <f>VLOOKUP(text(D1782, "#"),'Master Table'!$A:$F, 6, FALSE)</f>
        <v>#N/A</v>
      </c>
      <c r="N1782" s="141"/>
      <c r="O1782" s="142" t="str">
        <f t="shared" si="1"/>
        <v/>
      </c>
      <c r="P1782" s="143" t="str">
        <f>IF(ISNA(VLOOKUP(CONCAT(M1782,C1782), 'Judge Count DO NOT EDIT'!H:H, 1, FALSE)), "ERROR","")</f>
        <v>ERROR</v>
      </c>
      <c r="Q1782" s="141"/>
      <c r="R1782" s="143"/>
      <c r="S1782" s="139"/>
      <c r="T1782" s="141"/>
    </row>
    <row r="1783">
      <c r="A1783" s="138"/>
      <c r="B1783" s="138"/>
      <c r="C1783" s="138"/>
      <c r="D1783" s="139"/>
      <c r="E1783" s="138"/>
      <c r="F1783" s="138"/>
      <c r="G1783" s="138"/>
      <c r="H1783" s="138"/>
      <c r="I1783" s="138"/>
      <c r="J1783" s="138"/>
      <c r="K1783" s="138"/>
      <c r="L1783" s="138">
        <v>0.0</v>
      </c>
      <c r="M1783" s="140" t="str">
        <f>VLOOKUP(text(D1783, "#"),'Master Table'!$A:$F, 6, FALSE)</f>
        <v>#N/A</v>
      </c>
      <c r="N1783" s="141"/>
      <c r="O1783" s="142" t="str">
        <f t="shared" si="1"/>
        <v/>
      </c>
      <c r="P1783" s="143" t="str">
        <f>IF(ISNA(VLOOKUP(CONCAT(M1783,C1783), 'Judge Count DO NOT EDIT'!H:H, 1, FALSE)), "ERROR","")</f>
        <v>ERROR</v>
      </c>
      <c r="Q1783" s="141"/>
      <c r="R1783" s="143"/>
      <c r="S1783" s="139"/>
      <c r="T1783" s="141"/>
    </row>
    <row r="1784">
      <c r="A1784" s="138"/>
      <c r="B1784" s="138"/>
      <c r="C1784" s="138"/>
      <c r="D1784" s="139"/>
      <c r="E1784" s="138"/>
      <c r="F1784" s="138"/>
      <c r="G1784" s="138"/>
      <c r="H1784" s="138"/>
      <c r="I1784" s="138"/>
      <c r="J1784" s="138"/>
      <c r="K1784" s="138"/>
      <c r="L1784" s="138">
        <v>0.0</v>
      </c>
      <c r="M1784" s="140" t="str">
        <f>VLOOKUP(text(D1784, "#"),'Master Table'!$A:$F, 6, FALSE)</f>
        <v>#N/A</v>
      </c>
      <c r="N1784" s="141"/>
      <c r="O1784" s="142" t="str">
        <f t="shared" si="1"/>
        <v/>
      </c>
      <c r="P1784" s="143" t="str">
        <f>IF(ISNA(VLOOKUP(CONCAT(M1784,C1784), 'Judge Count DO NOT EDIT'!H:H, 1, FALSE)), "ERROR","")</f>
        <v>ERROR</v>
      </c>
      <c r="Q1784" s="141"/>
      <c r="R1784" s="143"/>
      <c r="S1784" s="139"/>
      <c r="T1784" s="141"/>
    </row>
    <row r="1785">
      <c r="A1785" s="138"/>
      <c r="B1785" s="138"/>
      <c r="C1785" s="138"/>
      <c r="D1785" s="139"/>
      <c r="E1785" s="138"/>
      <c r="F1785" s="138"/>
      <c r="G1785" s="138"/>
      <c r="H1785" s="138"/>
      <c r="I1785" s="138"/>
      <c r="J1785" s="138"/>
      <c r="K1785" s="138"/>
      <c r="L1785" s="138">
        <v>0.0</v>
      </c>
      <c r="M1785" s="140" t="str">
        <f>VLOOKUP(text(D1785, "#"),'Master Table'!$A:$F, 6, FALSE)</f>
        <v>#N/A</v>
      </c>
      <c r="N1785" s="141"/>
      <c r="O1785" s="142" t="str">
        <f t="shared" si="1"/>
        <v/>
      </c>
      <c r="P1785" s="143" t="str">
        <f>IF(ISNA(VLOOKUP(CONCAT(M1785,C1785), 'Judge Count DO NOT EDIT'!H:H, 1, FALSE)), "ERROR","")</f>
        <v>ERROR</v>
      </c>
      <c r="Q1785" s="141"/>
      <c r="R1785" s="143"/>
      <c r="S1785" s="139"/>
      <c r="T1785" s="141"/>
    </row>
    <row r="1786">
      <c r="A1786" s="138"/>
      <c r="B1786" s="138"/>
      <c r="C1786" s="138"/>
      <c r="D1786" s="139"/>
      <c r="E1786" s="138"/>
      <c r="F1786" s="138"/>
      <c r="G1786" s="138"/>
      <c r="H1786" s="138"/>
      <c r="I1786" s="138"/>
      <c r="J1786" s="138"/>
      <c r="K1786" s="138"/>
      <c r="L1786" s="138">
        <v>0.0</v>
      </c>
      <c r="M1786" s="140" t="str">
        <f>VLOOKUP(text(D1786, "#"),'Master Table'!$A:$F, 6, FALSE)</f>
        <v>#N/A</v>
      </c>
      <c r="N1786" s="141"/>
      <c r="O1786" s="142" t="str">
        <f t="shared" si="1"/>
        <v/>
      </c>
      <c r="P1786" s="143" t="str">
        <f>IF(ISNA(VLOOKUP(CONCAT(M1786,C1786), 'Judge Count DO NOT EDIT'!H:H, 1, FALSE)), "ERROR","")</f>
        <v>ERROR</v>
      </c>
      <c r="Q1786" s="141"/>
      <c r="R1786" s="143"/>
      <c r="S1786" s="139"/>
      <c r="T1786" s="141"/>
    </row>
    <row r="1787">
      <c r="A1787" s="138"/>
      <c r="B1787" s="138"/>
      <c r="C1787" s="138"/>
      <c r="D1787" s="139"/>
      <c r="E1787" s="138"/>
      <c r="F1787" s="138"/>
      <c r="G1787" s="138"/>
      <c r="H1787" s="138"/>
      <c r="I1787" s="138"/>
      <c r="J1787" s="138"/>
      <c r="K1787" s="138"/>
      <c r="L1787" s="138">
        <v>0.0</v>
      </c>
      <c r="M1787" s="140" t="str">
        <f>VLOOKUP(text(D1787, "#"),'Master Table'!$A:$F, 6, FALSE)</f>
        <v>#N/A</v>
      </c>
      <c r="N1787" s="141"/>
      <c r="O1787" s="142" t="str">
        <f t="shared" si="1"/>
        <v/>
      </c>
      <c r="P1787" s="143" t="str">
        <f>IF(ISNA(VLOOKUP(CONCAT(M1787,C1787), 'Judge Count DO NOT EDIT'!H:H, 1, FALSE)), "ERROR","")</f>
        <v>ERROR</v>
      </c>
      <c r="Q1787" s="141"/>
      <c r="R1787" s="143"/>
      <c r="S1787" s="139"/>
      <c r="T1787" s="141"/>
    </row>
    <row r="1788">
      <c r="A1788" s="138"/>
      <c r="B1788" s="138"/>
      <c r="C1788" s="138"/>
      <c r="D1788" s="139"/>
      <c r="E1788" s="138"/>
      <c r="F1788" s="138"/>
      <c r="G1788" s="138"/>
      <c r="H1788" s="138"/>
      <c r="I1788" s="138"/>
      <c r="J1788" s="138"/>
      <c r="K1788" s="138"/>
      <c r="L1788" s="138">
        <v>0.0</v>
      </c>
      <c r="M1788" s="140" t="str">
        <f>VLOOKUP(text(D1788, "#"),'Master Table'!$A:$F, 6, FALSE)</f>
        <v>#N/A</v>
      </c>
      <c r="N1788" s="141"/>
      <c r="O1788" s="142" t="str">
        <f t="shared" si="1"/>
        <v/>
      </c>
      <c r="P1788" s="143" t="str">
        <f>IF(ISNA(VLOOKUP(CONCAT(M1788,C1788), 'Judge Count DO NOT EDIT'!H:H, 1, FALSE)), "ERROR","")</f>
        <v>ERROR</v>
      </c>
      <c r="Q1788" s="141"/>
      <c r="R1788" s="143"/>
      <c r="S1788" s="139"/>
      <c r="T1788" s="141"/>
    </row>
    <row r="1789">
      <c r="A1789" s="138"/>
      <c r="B1789" s="138"/>
      <c r="C1789" s="138"/>
      <c r="D1789" s="139"/>
      <c r="E1789" s="138"/>
      <c r="F1789" s="138"/>
      <c r="G1789" s="138"/>
      <c r="H1789" s="138"/>
      <c r="I1789" s="138"/>
      <c r="J1789" s="138"/>
      <c r="K1789" s="138"/>
      <c r="L1789" s="138">
        <v>0.0</v>
      </c>
      <c r="M1789" s="140" t="str">
        <f>VLOOKUP(text(D1789, "#"),'Master Table'!$A:$F, 6, FALSE)</f>
        <v>#N/A</v>
      </c>
      <c r="N1789" s="141"/>
      <c r="O1789" s="142" t="str">
        <f t="shared" si="1"/>
        <v/>
      </c>
      <c r="P1789" s="143" t="str">
        <f>IF(ISNA(VLOOKUP(CONCAT(M1789,C1789), 'Judge Count DO NOT EDIT'!H:H, 1, FALSE)), "ERROR","")</f>
        <v>ERROR</v>
      </c>
      <c r="Q1789" s="141"/>
      <c r="R1789" s="143"/>
      <c r="S1789" s="139"/>
      <c r="T1789" s="141"/>
    </row>
    <row r="1790">
      <c r="A1790" s="138"/>
      <c r="B1790" s="138"/>
      <c r="C1790" s="138"/>
      <c r="D1790" s="139"/>
      <c r="E1790" s="138"/>
      <c r="F1790" s="138"/>
      <c r="G1790" s="138"/>
      <c r="H1790" s="138"/>
      <c r="I1790" s="138"/>
      <c r="J1790" s="138"/>
      <c r="K1790" s="138"/>
      <c r="L1790" s="138">
        <v>0.0</v>
      </c>
      <c r="M1790" s="140" t="str">
        <f>VLOOKUP(text(D1790, "#"),'Master Table'!$A:$F, 6, FALSE)</f>
        <v>#N/A</v>
      </c>
      <c r="N1790" s="141"/>
      <c r="O1790" s="142" t="str">
        <f t="shared" si="1"/>
        <v/>
      </c>
      <c r="P1790" s="143" t="str">
        <f>IF(ISNA(VLOOKUP(CONCAT(M1790,C1790), 'Judge Count DO NOT EDIT'!H:H, 1, FALSE)), "ERROR","")</f>
        <v>ERROR</v>
      </c>
      <c r="Q1790" s="141"/>
      <c r="R1790" s="143"/>
      <c r="S1790" s="139"/>
      <c r="T1790" s="141"/>
    </row>
    <row r="1791">
      <c r="A1791" s="138"/>
      <c r="B1791" s="138"/>
      <c r="C1791" s="138"/>
      <c r="D1791" s="139"/>
      <c r="E1791" s="138"/>
      <c r="F1791" s="138"/>
      <c r="G1791" s="138"/>
      <c r="H1791" s="138"/>
      <c r="I1791" s="138"/>
      <c r="J1791" s="138"/>
      <c r="K1791" s="138"/>
      <c r="L1791" s="138">
        <v>0.0</v>
      </c>
      <c r="M1791" s="140" t="str">
        <f>VLOOKUP(text(D1791, "#"),'Master Table'!$A:$F, 6, FALSE)</f>
        <v>#N/A</v>
      </c>
      <c r="N1791" s="141"/>
      <c r="O1791" s="142" t="str">
        <f t="shared" si="1"/>
        <v/>
      </c>
      <c r="P1791" s="143" t="str">
        <f>IF(ISNA(VLOOKUP(CONCAT(M1791,C1791), 'Judge Count DO NOT EDIT'!H:H, 1, FALSE)), "ERROR","")</f>
        <v>ERROR</v>
      </c>
      <c r="Q1791" s="141"/>
      <c r="R1791" s="143"/>
      <c r="S1791" s="139"/>
      <c r="T1791" s="141"/>
    </row>
    <row r="1792">
      <c r="A1792" s="138"/>
      <c r="B1792" s="138"/>
      <c r="C1792" s="138"/>
      <c r="D1792" s="139"/>
      <c r="E1792" s="138"/>
      <c r="F1792" s="138"/>
      <c r="G1792" s="138"/>
      <c r="H1792" s="138"/>
      <c r="I1792" s="138"/>
      <c r="J1792" s="138"/>
      <c r="K1792" s="138"/>
      <c r="L1792" s="138">
        <v>0.0</v>
      </c>
      <c r="M1792" s="140" t="str">
        <f>VLOOKUP(text(D1792, "#"),'Master Table'!$A:$F, 6, FALSE)</f>
        <v>#N/A</v>
      </c>
      <c r="N1792" s="141"/>
      <c r="O1792" s="142" t="str">
        <f t="shared" si="1"/>
        <v/>
      </c>
      <c r="P1792" s="143" t="str">
        <f>IF(ISNA(VLOOKUP(CONCAT(M1792,C1792), 'Judge Count DO NOT EDIT'!H:H, 1, FALSE)), "ERROR","")</f>
        <v>ERROR</v>
      </c>
      <c r="Q1792" s="141"/>
      <c r="R1792" s="143"/>
      <c r="S1792" s="139"/>
      <c r="T1792" s="141"/>
    </row>
    <row r="1793">
      <c r="A1793" s="138"/>
      <c r="B1793" s="138"/>
      <c r="C1793" s="138"/>
      <c r="D1793" s="139"/>
      <c r="E1793" s="138"/>
      <c r="F1793" s="138"/>
      <c r="G1793" s="138"/>
      <c r="H1793" s="138"/>
      <c r="I1793" s="138"/>
      <c r="J1793" s="138"/>
      <c r="K1793" s="138"/>
      <c r="L1793" s="138">
        <v>0.0</v>
      </c>
      <c r="M1793" s="140" t="str">
        <f>VLOOKUP(text(D1793, "#"),'Master Table'!$A:$F, 6, FALSE)</f>
        <v>#N/A</v>
      </c>
      <c r="N1793" s="141"/>
      <c r="O1793" s="142" t="str">
        <f t="shared" si="1"/>
        <v/>
      </c>
      <c r="P1793" s="143" t="str">
        <f>IF(ISNA(VLOOKUP(CONCAT(M1793,C1793), 'Judge Count DO NOT EDIT'!H:H, 1, FALSE)), "ERROR","")</f>
        <v>ERROR</v>
      </c>
      <c r="Q1793" s="141"/>
      <c r="R1793" s="143"/>
      <c r="S1793" s="139"/>
      <c r="T1793" s="141"/>
    </row>
    <row r="1794">
      <c r="A1794" s="138"/>
      <c r="B1794" s="138"/>
      <c r="C1794" s="138"/>
      <c r="D1794" s="139"/>
      <c r="E1794" s="138"/>
      <c r="F1794" s="138"/>
      <c r="G1794" s="138"/>
      <c r="H1794" s="138"/>
      <c r="I1794" s="138"/>
      <c r="J1794" s="138"/>
      <c r="K1794" s="138"/>
      <c r="L1794" s="138">
        <v>0.0</v>
      </c>
      <c r="M1794" s="140" t="str">
        <f>VLOOKUP(text(D1794, "#"),'Master Table'!$A:$F, 6, FALSE)</f>
        <v>#N/A</v>
      </c>
      <c r="N1794" s="141"/>
      <c r="O1794" s="142" t="str">
        <f t="shared" si="1"/>
        <v/>
      </c>
      <c r="P1794" s="143" t="str">
        <f>IF(ISNA(VLOOKUP(CONCAT(M1794,C1794), 'Judge Count DO NOT EDIT'!H:H, 1, FALSE)), "ERROR","")</f>
        <v>ERROR</v>
      </c>
      <c r="Q1794" s="141"/>
      <c r="R1794" s="143"/>
      <c r="S1794" s="139"/>
      <c r="T1794" s="141"/>
    </row>
    <row r="1795">
      <c r="A1795" s="138"/>
      <c r="B1795" s="138"/>
      <c r="C1795" s="138"/>
      <c r="D1795" s="139"/>
      <c r="E1795" s="138"/>
      <c r="F1795" s="138"/>
      <c r="G1795" s="138"/>
      <c r="H1795" s="138"/>
      <c r="I1795" s="138"/>
      <c r="J1795" s="138"/>
      <c r="K1795" s="138"/>
      <c r="L1795" s="138">
        <v>0.0</v>
      </c>
      <c r="M1795" s="140" t="str">
        <f>VLOOKUP(text(D1795, "#"),'Master Table'!$A:$F, 6, FALSE)</f>
        <v>#N/A</v>
      </c>
      <c r="N1795" s="141"/>
      <c r="O1795" s="142" t="str">
        <f t="shared" si="1"/>
        <v/>
      </c>
      <c r="P1795" s="143" t="str">
        <f>IF(ISNA(VLOOKUP(CONCAT(M1795,C1795), 'Judge Count DO NOT EDIT'!H:H, 1, FALSE)), "ERROR","")</f>
        <v>ERROR</v>
      </c>
      <c r="Q1795" s="141"/>
      <c r="R1795" s="143"/>
      <c r="S1795" s="139"/>
      <c r="T1795" s="141"/>
    </row>
    <row r="1796">
      <c r="A1796" s="138"/>
      <c r="B1796" s="138"/>
      <c r="C1796" s="138"/>
      <c r="D1796" s="139"/>
      <c r="E1796" s="138"/>
      <c r="F1796" s="138"/>
      <c r="G1796" s="138"/>
      <c r="H1796" s="138"/>
      <c r="I1796" s="138"/>
      <c r="J1796" s="138"/>
      <c r="K1796" s="138"/>
      <c r="L1796" s="138">
        <v>0.0</v>
      </c>
      <c r="M1796" s="140" t="str">
        <f>VLOOKUP(text(D1796, "#"),'Master Table'!$A:$F, 6, FALSE)</f>
        <v>#N/A</v>
      </c>
      <c r="N1796" s="141"/>
      <c r="O1796" s="142" t="str">
        <f t="shared" si="1"/>
        <v/>
      </c>
      <c r="P1796" s="143" t="str">
        <f>IF(ISNA(VLOOKUP(CONCAT(M1796,C1796), 'Judge Count DO NOT EDIT'!H:H, 1, FALSE)), "ERROR","")</f>
        <v>ERROR</v>
      </c>
      <c r="Q1796" s="141"/>
      <c r="R1796" s="143"/>
      <c r="S1796" s="139"/>
      <c r="T1796" s="141"/>
    </row>
    <row r="1797">
      <c r="A1797" s="138"/>
      <c r="B1797" s="138"/>
      <c r="C1797" s="138"/>
      <c r="D1797" s="139"/>
      <c r="E1797" s="138"/>
      <c r="F1797" s="138"/>
      <c r="G1797" s="138"/>
      <c r="H1797" s="138"/>
      <c r="I1797" s="138"/>
      <c r="J1797" s="138"/>
      <c r="K1797" s="138"/>
      <c r="L1797" s="138">
        <v>0.0</v>
      </c>
      <c r="M1797" s="140" t="str">
        <f>VLOOKUP(text(D1797, "#"),'Master Table'!$A:$F, 6, FALSE)</f>
        <v>#N/A</v>
      </c>
      <c r="N1797" s="141"/>
      <c r="O1797" s="142" t="str">
        <f t="shared" si="1"/>
        <v/>
      </c>
      <c r="P1797" s="143" t="str">
        <f>IF(ISNA(VLOOKUP(CONCAT(M1797,C1797), 'Judge Count DO NOT EDIT'!H:H, 1, FALSE)), "ERROR","")</f>
        <v>ERROR</v>
      </c>
      <c r="Q1797" s="141"/>
      <c r="R1797" s="143"/>
      <c r="S1797" s="139"/>
      <c r="T1797" s="141"/>
    </row>
    <row r="1798">
      <c r="A1798" s="138"/>
      <c r="B1798" s="138"/>
      <c r="C1798" s="138"/>
      <c r="D1798" s="139"/>
      <c r="E1798" s="138"/>
      <c r="F1798" s="138"/>
      <c r="G1798" s="138"/>
      <c r="H1798" s="138"/>
      <c r="I1798" s="138"/>
      <c r="J1798" s="138"/>
      <c r="K1798" s="138"/>
      <c r="L1798" s="138">
        <v>0.0</v>
      </c>
      <c r="M1798" s="140" t="str">
        <f>VLOOKUP(text(D1798, "#"),'Master Table'!$A:$F, 6, FALSE)</f>
        <v>#N/A</v>
      </c>
      <c r="N1798" s="141"/>
      <c r="O1798" s="142" t="str">
        <f t="shared" si="1"/>
        <v/>
      </c>
      <c r="P1798" s="143" t="str">
        <f>IF(ISNA(VLOOKUP(CONCAT(M1798,C1798), 'Judge Count DO NOT EDIT'!H:H, 1, FALSE)), "ERROR","")</f>
        <v>ERROR</v>
      </c>
      <c r="Q1798" s="141"/>
      <c r="R1798" s="143"/>
      <c r="S1798" s="139"/>
      <c r="T1798" s="141"/>
    </row>
    <row r="1799">
      <c r="A1799" s="138"/>
      <c r="B1799" s="138"/>
      <c r="C1799" s="138"/>
      <c r="D1799" s="139"/>
      <c r="E1799" s="138"/>
      <c r="F1799" s="138"/>
      <c r="G1799" s="138"/>
      <c r="H1799" s="138"/>
      <c r="I1799" s="138"/>
      <c r="J1799" s="138"/>
      <c r="K1799" s="138"/>
      <c r="L1799" s="138">
        <v>0.0</v>
      </c>
      <c r="M1799" s="140" t="str">
        <f>VLOOKUP(text(D1799, "#"),'Master Table'!$A:$F, 6, FALSE)</f>
        <v>#N/A</v>
      </c>
      <c r="N1799" s="141"/>
      <c r="O1799" s="142" t="str">
        <f t="shared" si="1"/>
        <v/>
      </c>
      <c r="P1799" s="143" t="str">
        <f>IF(ISNA(VLOOKUP(CONCAT(M1799,C1799), 'Judge Count DO NOT EDIT'!H:H, 1, FALSE)), "ERROR","")</f>
        <v>ERROR</v>
      </c>
      <c r="Q1799" s="141"/>
      <c r="R1799" s="143"/>
      <c r="S1799" s="139"/>
      <c r="T1799" s="141"/>
    </row>
    <row r="1800">
      <c r="A1800" s="138"/>
      <c r="B1800" s="138"/>
      <c r="C1800" s="138"/>
      <c r="D1800" s="139"/>
      <c r="E1800" s="138"/>
      <c r="F1800" s="138"/>
      <c r="G1800" s="138"/>
      <c r="H1800" s="138"/>
      <c r="I1800" s="138"/>
      <c r="J1800" s="138"/>
      <c r="K1800" s="138"/>
      <c r="L1800" s="138">
        <v>0.0</v>
      </c>
      <c r="M1800" s="140" t="str">
        <f>VLOOKUP(text(D1800, "#"),'Master Table'!$A:$F, 6, FALSE)</f>
        <v>#N/A</v>
      </c>
      <c r="N1800" s="141"/>
      <c r="O1800" s="142" t="str">
        <f t="shared" si="1"/>
        <v/>
      </c>
      <c r="P1800" s="143" t="str">
        <f>IF(ISNA(VLOOKUP(CONCAT(M1800,C1800), 'Judge Count DO NOT EDIT'!H:H, 1, FALSE)), "ERROR","")</f>
        <v>ERROR</v>
      </c>
      <c r="Q1800" s="141"/>
      <c r="R1800" s="143"/>
      <c r="S1800" s="139"/>
      <c r="T1800" s="141"/>
    </row>
    <row r="1801">
      <c r="A1801" s="138"/>
      <c r="B1801" s="138"/>
      <c r="C1801" s="138"/>
      <c r="D1801" s="139"/>
      <c r="E1801" s="138"/>
      <c r="F1801" s="138"/>
      <c r="G1801" s="138"/>
      <c r="H1801" s="138"/>
      <c r="I1801" s="138"/>
      <c r="J1801" s="138"/>
      <c r="K1801" s="138"/>
      <c r="L1801" s="138">
        <v>0.0</v>
      </c>
      <c r="M1801" s="140" t="str">
        <f>VLOOKUP(text(D1801, "#"),'Master Table'!$A:$F, 6, FALSE)</f>
        <v>#N/A</v>
      </c>
      <c r="N1801" s="141"/>
      <c r="O1801" s="142" t="str">
        <f t="shared" si="1"/>
        <v/>
      </c>
      <c r="P1801" s="143" t="str">
        <f>IF(ISNA(VLOOKUP(CONCAT(M1801,C1801), 'Judge Count DO NOT EDIT'!H:H, 1, FALSE)), "ERROR","")</f>
        <v>ERROR</v>
      </c>
      <c r="Q1801" s="141"/>
      <c r="R1801" s="143"/>
      <c r="S1801" s="139"/>
      <c r="T1801" s="141"/>
    </row>
    <row r="1802">
      <c r="A1802" s="138"/>
      <c r="B1802" s="138"/>
      <c r="C1802" s="138"/>
      <c r="D1802" s="139"/>
      <c r="E1802" s="138"/>
      <c r="F1802" s="138"/>
      <c r="G1802" s="138"/>
      <c r="H1802" s="138"/>
      <c r="I1802" s="138"/>
      <c r="J1802" s="138"/>
      <c r="K1802" s="138"/>
      <c r="L1802" s="138">
        <v>0.0</v>
      </c>
      <c r="M1802" s="140" t="str">
        <f>VLOOKUP(text(D1802, "#"),'Master Table'!$A:$F, 6, FALSE)</f>
        <v>#N/A</v>
      </c>
      <c r="N1802" s="141"/>
      <c r="O1802" s="142" t="str">
        <f t="shared" si="1"/>
        <v/>
      </c>
      <c r="P1802" s="143" t="str">
        <f>IF(ISNA(VLOOKUP(CONCAT(M1802,C1802), 'Judge Count DO NOT EDIT'!H:H, 1, FALSE)), "ERROR","")</f>
        <v>ERROR</v>
      </c>
      <c r="Q1802" s="141"/>
      <c r="R1802" s="143"/>
      <c r="S1802" s="139"/>
      <c r="T1802" s="141"/>
    </row>
    <row r="1803">
      <c r="A1803" s="138"/>
      <c r="B1803" s="138"/>
      <c r="C1803" s="138"/>
      <c r="D1803" s="139"/>
      <c r="E1803" s="138"/>
      <c r="F1803" s="138"/>
      <c r="G1803" s="138"/>
      <c r="H1803" s="138"/>
      <c r="I1803" s="138"/>
      <c r="J1803" s="138"/>
      <c r="K1803" s="138"/>
      <c r="L1803" s="138">
        <v>0.0</v>
      </c>
      <c r="M1803" s="140" t="str">
        <f>VLOOKUP(text(D1803, "#"),'Master Table'!$A:$F, 6, FALSE)</f>
        <v>#N/A</v>
      </c>
      <c r="N1803" s="141"/>
      <c r="O1803" s="142" t="str">
        <f t="shared" si="1"/>
        <v/>
      </c>
      <c r="P1803" s="143" t="str">
        <f>IF(ISNA(VLOOKUP(CONCAT(M1803,C1803), 'Judge Count DO NOT EDIT'!H:H, 1, FALSE)), "ERROR","")</f>
        <v>ERROR</v>
      </c>
      <c r="Q1803" s="141"/>
      <c r="R1803" s="143"/>
      <c r="S1803" s="139"/>
      <c r="T1803" s="141"/>
    </row>
    <row r="1804">
      <c r="A1804" s="138"/>
      <c r="B1804" s="138"/>
      <c r="C1804" s="138"/>
      <c r="D1804" s="139"/>
      <c r="E1804" s="138"/>
      <c r="F1804" s="138"/>
      <c r="G1804" s="138"/>
      <c r="H1804" s="138"/>
      <c r="I1804" s="138"/>
      <c r="J1804" s="138"/>
      <c r="K1804" s="138"/>
      <c r="L1804" s="138">
        <v>0.0</v>
      </c>
      <c r="M1804" s="140" t="str">
        <f>VLOOKUP(text(D1804, "#"),'Master Table'!$A:$F, 6, FALSE)</f>
        <v>#N/A</v>
      </c>
      <c r="N1804" s="141"/>
      <c r="O1804" s="142" t="str">
        <f t="shared" si="1"/>
        <v/>
      </c>
      <c r="P1804" s="143" t="str">
        <f>IF(ISNA(VLOOKUP(CONCAT(M1804,C1804), 'Judge Count DO NOT EDIT'!H:H, 1, FALSE)), "ERROR","")</f>
        <v>ERROR</v>
      </c>
      <c r="Q1804" s="141"/>
      <c r="R1804" s="143"/>
      <c r="S1804" s="139"/>
      <c r="T1804" s="141"/>
    </row>
    <row r="1805">
      <c r="A1805" s="138"/>
      <c r="B1805" s="138"/>
      <c r="C1805" s="138"/>
      <c r="D1805" s="139"/>
      <c r="E1805" s="138"/>
      <c r="F1805" s="138"/>
      <c r="G1805" s="138"/>
      <c r="H1805" s="138"/>
      <c r="I1805" s="138"/>
      <c r="J1805" s="138"/>
      <c r="K1805" s="138"/>
      <c r="L1805" s="138">
        <v>0.0</v>
      </c>
      <c r="M1805" s="140" t="str">
        <f>VLOOKUP(text(D1805, "#"),'Master Table'!$A:$F, 6, FALSE)</f>
        <v>#N/A</v>
      </c>
      <c r="N1805" s="141"/>
      <c r="O1805" s="142" t="str">
        <f t="shared" si="1"/>
        <v/>
      </c>
      <c r="P1805" s="143" t="str">
        <f>IF(ISNA(VLOOKUP(CONCAT(M1805,C1805), 'Judge Count DO NOT EDIT'!H:H, 1, FALSE)), "ERROR","")</f>
        <v>ERROR</v>
      </c>
      <c r="Q1805" s="141"/>
      <c r="R1805" s="143"/>
      <c r="S1805" s="139"/>
      <c r="T1805" s="141"/>
    </row>
    <row r="1806">
      <c r="A1806" s="138"/>
      <c r="B1806" s="138"/>
      <c r="C1806" s="138"/>
      <c r="D1806" s="139"/>
      <c r="E1806" s="138"/>
      <c r="F1806" s="138"/>
      <c r="G1806" s="138"/>
      <c r="H1806" s="138"/>
      <c r="I1806" s="138"/>
      <c r="J1806" s="138"/>
      <c r="K1806" s="138"/>
      <c r="L1806" s="138">
        <v>0.0</v>
      </c>
      <c r="M1806" s="140" t="str">
        <f>VLOOKUP(text(D1806, "#"),'Master Table'!$A:$F, 6, FALSE)</f>
        <v>#N/A</v>
      </c>
      <c r="N1806" s="141"/>
      <c r="O1806" s="142" t="str">
        <f t="shared" si="1"/>
        <v/>
      </c>
      <c r="P1806" s="143" t="str">
        <f>IF(ISNA(VLOOKUP(CONCAT(M1806,C1806), 'Judge Count DO NOT EDIT'!H:H, 1, FALSE)), "ERROR","")</f>
        <v>ERROR</v>
      </c>
      <c r="Q1806" s="141"/>
      <c r="R1806" s="143"/>
      <c r="S1806" s="139"/>
      <c r="T1806" s="141"/>
    </row>
    <row r="1807">
      <c r="A1807" s="138"/>
      <c r="B1807" s="138"/>
      <c r="C1807" s="138"/>
      <c r="D1807" s="139"/>
      <c r="E1807" s="138"/>
      <c r="F1807" s="138"/>
      <c r="G1807" s="138"/>
      <c r="H1807" s="138"/>
      <c r="I1807" s="138"/>
      <c r="J1807" s="138"/>
      <c r="K1807" s="138"/>
      <c r="L1807" s="138">
        <v>0.0</v>
      </c>
      <c r="M1807" s="140" t="str">
        <f>VLOOKUP(text(D1807, "#"),'Master Table'!$A:$F, 6, FALSE)</f>
        <v>#N/A</v>
      </c>
      <c r="N1807" s="141"/>
      <c r="O1807" s="142" t="str">
        <f t="shared" si="1"/>
        <v/>
      </c>
      <c r="P1807" s="143" t="str">
        <f>IF(ISNA(VLOOKUP(CONCAT(M1807,C1807), 'Judge Count DO NOT EDIT'!H:H, 1, FALSE)), "ERROR","")</f>
        <v>ERROR</v>
      </c>
      <c r="Q1807" s="141"/>
      <c r="R1807" s="143"/>
      <c r="S1807" s="139"/>
      <c r="T1807" s="141"/>
    </row>
    <row r="1808">
      <c r="A1808" s="138"/>
      <c r="B1808" s="138"/>
      <c r="C1808" s="138"/>
      <c r="D1808" s="139"/>
      <c r="E1808" s="138"/>
      <c r="F1808" s="138"/>
      <c r="G1808" s="138"/>
      <c r="H1808" s="138"/>
      <c r="I1808" s="138"/>
      <c r="J1808" s="138"/>
      <c r="K1808" s="138"/>
      <c r="L1808" s="138">
        <v>0.0</v>
      </c>
      <c r="M1808" s="140" t="str">
        <f>VLOOKUP(text(D1808, "#"),'Master Table'!$A:$F, 6, FALSE)</f>
        <v>#N/A</v>
      </c>
      <c r="N1808" s="141"/>
      <c r="O1808" s="142" t="str">
        <f t="shared" si="1"/>
        <v/>
      </c>
      <c r="P1808" s="143" t="str">
        <f>IF(ISNA(VLOOKUP(CONCAT(M1808,C1808), 'Judge Count DO NOT EDIT'!H:H, 1, FALSE)), "ERROR","")</f>
        <v>ERROR</v>
      </c>
      <c r="Q1808" s="141"/>
      <c r="R1808" s="143"/>
      <c r="S1808" s="139"/>
      <c r="T1808" s="141"/>
    </row>
    <row r="1809">
      <c r="A1809" s="138"/>
      <c r="B1809" s="138"/>
      <c r="C1809" s="138"/>
      <c r="D1809" s="139"/>
      <c r="E1809" s="138"/>
      <c r="F1809" s="138"/>
      <c r="G1809" s="138"/>
      <c r="H1809" s="138"/>
      <c r="I1809" s="138"/>
      <c r="J1809" s="138"/>
      <c r="K1809" s="138"/>
      <c r="L1809" s="138">
        <v>0.0</v>
      </c>
      <c r="M1809" s="140" t="str">
        <f>VLOOKUP(text(D1809, "#"),'Master Table'!$A:$F, 6, FALSE)</f>
        <v>#N/A</v>
      </c>
      <c r="N1809" s="141"/>
      <c r="O1809" s="142" t="str">
        <f t="shared" si="1"/>
        <v/>
      </c>
      <c r="P1809" s="143" t="str">
        <f>IF(ISNA(VLOOKUP(CONCAT(M1809,C1809), 'Judge Count DO NOT EDIT'!H:H, 1, FALSE)), "ERROR","")</f>
        <v>ERROR</v>
      </c>
      <c r="Q1809" s="141"/>
      <c r="R1809" s="143"/>
      <c r="S1809" s="139"/>
      <c r="T1809" s="141"/>
    </row>
    <row r="1810">
      <c r="A1810" s="138"/>
      <c r="B1810" s="138"/>
      <c r="C1810" s="138"/>
      <c r="D1810" s="139"/>
      <c r="E1810" s="138"/>
      <c r="F1810" s="138"/>
      <c r="G1810" s="138"/>
      <c r="H1810" s="138"/>
      <c r="I1810" s="138"/>
      <c r="J1810" s="138"/>
      <c r="K1810" s="138"/>
      <c r="L1810" s="138">
        <v>0.0</v>
      </c>
      <c r="M1810" s="140" t="str">
        <f>VLOOKUP(text(D1810, "#"),'Master Table'!$A:$F, 6, FALSE)</f>
        <v>#N/A</v>
      </c>
      <c r="N1810" s="141"/>
      <c r="O1810" s="142" t="str">
        <f t="shared" si="1"/>
        <v/>
      </c>
      <c r="P1810" s="143" t="str">
        <f>IF(ISNA(VLOOKUP(CONCAT(M1810,C1810), 'Judge Count DO NOT EDIT'!H:H, 1, FALSE)), "ERROR","")</f>
        <v>ERROR</v>
      </c>
      <c r="Q1810" s="141"/>
      <c r="R1810" s="143"/>
      <c r="S1810" s="139"/>
      <c r="T1810" s="141"/>
    </row>
    <row r="1811">
      <c r="A1811" s="138"/>
      <c r="B1811" s="138"/>
      <c r="C1811" s="138"/>
      <c r="D1811" s="139"/>
      <c r="E1811" s="138"/>
      <c r="F1811" s="138"/>
      <c r="G1811" s="138"/>
      <c r="H1811" s="138"/>
      <c r="I1811" s="138"/>
      <c r="J1811" s="138"/>
      <c r="K1811" s="138"/>
      <c r="L1811" s="138">
        <v>0.0</v>
      </c>
      <c r="M1811" s="140" t="str">
        <f>VLOOKUP(text(D1811, "#"),'Master Table'!$A:$F, 6, FALSE)</f>
        <v>#N/A</v>
      </c>
      <c r="N1811" s="141"/>
      <c r="O1811" s="142" t="str">
        <f t="shared" si="1"/>
        <v/>
      </c>
      <c r="P1811" s="143" t="str">
        <f>IF(ISNA(VLOOKUP(CONCAT(M1811,C1811), 'Judge Count DO NOT EDIT'!H:H, 1, FALSE)), "ERROR","")</f>
        <v>ERROR</v>
      </c>
      <c r="Q1811" s="141"/>
      <c r="R1811" s="143"/>
      <c r="S1811" s="139"/>
      <c r="T1811" s="141"/>
    </row>
    <row r="1812">
      <c r="A1812" s="138"/>
      <c r="B1812" s="138"/>
      <c r="C1812" s="138"/>
      <c r="D1812" s="139"/>
      <c r="E1812" s="138"/>
      <c r="F1812" s="138"/>
      <c r="G1812" s="138"/>
      <c r="H1812" s="138"/>
      <c r="I1812" s="138"/>
      <c r="J1812" s="138"/>
      <c r="K1812" s="138"/>
      <c r="L1812" s="138">
        <v>0.0</v>
      </c>
      <c r="M1812" s="140" t="str">
        <f>VLOOKUP(text(D1812, "#"),'Master Table'!$A:$F, 6, FALSE)</f>
        <v>#N/A</v>
      </c>
      <c r="N1812" s="141"/>
      <c r="O1812" s="142" t="str">
        <f t="shared" si="1"/>
        <v/>
      </c>
      <c r="P1812" s="143" t="str">
        <f>IF(ISNA(VLOOKUP(CONCAT(M1812,C1812), 'Judge Count DO NOT EDIT'!H:H, 1, FALSE)), "ERROR","")</f>
        <v>ERROR</v>
      </c>
      <c r="Q1812" s="141"/>
      <c r="R1812" s="143"/>
      <c r="S1812" s="139"/>
      <c r="T1812" s="141"/>
    </row>
    <row r="1813">
      <c r="A1813" s="138"/>
      <c r="B1813" s="138"/>
      <c r="C1813" s="138"/>
      <c r="D1813" s="139"/>
      <c r="E1813" s="138"/>
      <c r="F1813" s="138"/>
      <c r="G1813" s="138"/>
      <c r="H1813" s="138"/>
      <c r="I1813" s="138"/>
      <c r="J1813" s="138"/>
      <c r="K1813" s="138"/>
      <c r="L1813" s="138">
        <v>0.0</v>
      </c>
      <c r="M1813" s="140" t="str">
        <f>VLOOKUP(text(D1813, "#"),'Master Table'!$A:$F, 6, FALSE)</f>
        <v>#N/A</v>
      </c>
      <c r="N1813" s="141"/>
      <c r="O1813" s="142" t="str">
        <f t="shared" si="1"/>
        <v/>
      </c>
      <c r="P1813" s="143" t="str">
        <f>IF(ISNA(VLOOKUP(CONCAT(M1813,C1813), 'Judge Count DO NOT EDIT'!H:H, 1, FALSE)), "ERROR","")</f>
        <v>ERROR</v>
      </c>
      <c r="Q1813" s="141"/>
      <c r="R1813" s="143"/>
      <c r="S1813" s="139"/>
      <c r="T1813" s="141"/>
    </row>
    <row r="1814">
      <c r="A1814" s="138"/>
      <c r="B1814" s="138"/>
      <c r="C1814" s="138"/>
      <c r="D1814" s="139"/>
      <c r="E1814" s="138"/>
      <c r="F1814" s="138"/>
      <c r="G1814" s="138"/>
      <c r="H1814" s="138"/>
      <c r="I1814" s="138"/>
      <c r="J1814" s="138"/>
      <c r="K1814" s="138"/>
      <c r="L1814" s="138">
        <v>0.0</v>
      </c>
      <c r="M1814" s="140" t="str">
        <f>VLOOKUP(text(D1814, "#"),'Master Table'!$A:$F, 6, FALSE)</f>
        <v>#N/A</v>
      </c>
      <c r="N1814" s="141"/>
      <c r="O1814" s="142" t="str">
        <f t="shared" si="1"/>
        <v/>
      </c>
      <c r="P1814" s="143" t="str">
        <f>IF(ISNA(VLOOKUP(CONCAT(M1814,C1814), 'Judge Count DO NOT EDIT'!H:H, 1, FALSE)), "ERROR","")</f>
        <v>ERROR</v>
      </c>
      <c r="Q1814" s="141"/>
      <c r="R1814" s="143"/>
      <c r="S1814" s="139"/>
      <c r="T1814" s="141"/>
    </row>
    <row r="1815">
      <c r="A1815" s="138"/>
      <c r="B1815" s="138"/>
      <c r="C1815" s="138"/>
      <c r="D1815" s="139"/>
      <c r="E1815" s="138"/>
      <c r="F1815" s="138"/>
      <c r="G1815" s="138"/>
      <c r="H1815" s="138"/>
      <c r="I1815" s="138"/>
      <c r="J1815" s="138"/>
      <c r="K1815" s="138"/>
      <c r="L1815" s="138">
        <v>0.0</v>
      </c>
      <c r="M1815" s="140" t="str">
        <f>VLOOKUP(text(D1815, "#"),'Master Table'!$A:$F, 6, FALSE)</f>
        <v>#N/A</v>
      </c>
      <c r="N1815" s="141"/>
      <c r="O1815" s="142" t="str">
        <f t="shared" si="1"/>
        <v/>
      </c>
      <c r="P1815" s="143" t="str">
        <f>IF(ISNA(VLOOKUP(CONCAT(M1815,C1815), 'Judge Count DO NOT EDIT'!H:H, 1, FALSE)), "ERROR","")</f>
        <v>ERROR</v>
      </c>
      <c r="Q1815" s="141"/>
      <c r="R1815" s="143"/>
      <c r="S1815" s="139"/>
      <c r="T1815" s="141"/>
    </row>
    <row r="1816">
      <c r="A1816" s="138"/>
      <c r="B1816" s="138"/>
      <c r="C1816" s="138"/>
      <c r="D1816" s="139"/>
      <c r="E1816" s="138"/>
      <c r="F1816" s="138"/>
      <c r="G1816" s="138"/>
      <c r="H1816" s="138"/>
      <c r="I1816" s="138"/>
      <c r="J1816" s="138"/>
      <c r="K1816" s="138"/>
      <c r="L1816" s="138">
        <v>0.0</v>
      </c>
      <c r="M1816" s="140" t="str">
        <f>VLOOKUP(text(D1816, "#"),'Master Table'!$A:$F, 6, FALSE)</f>
        <v>#N/A</v>
      </c>
      <c r="N1816" s="141"/>
      <c r="O1816" s="142" t="str">
        <f t="shared" si="1"/>
        <v/>
      </c>
      <c r="P1816" s="143" t="str">
        <f>IF(ISNA(VLOOKUP(CONCAT(M1816,C1816), 'Judge Count DO NOT EDIT'!H:H, 1, FALSE)), "ERROR","")</f>
        <v>ERROR</v>
      </c>
      <c r="Q1816" s="141"/>
      <c r="R1816" s="143"/>
      <c r="S1816" s="139"/>
      <c r="T1816" s="141"/>
    </row>
    <row r="1817">
      <c r="A1817" s="138"/>
      <c r="B1817" s="138"/>
      <c r="C1817" s="138"/>
      <c r="D1817" s="139"/>
      <c r="E1817" s="138"/>
      <c r="F1817" s="138"/>
      <c r="G1817" s="138"/>
      <c r="H1817" s="138"/>
      <c r="I1817" s="138"/>
      <c r="J1817" s="138"/>
      <c r="K1817" s="138"/>
      <c r="L1817" s="138">
        <v>0.0</v>
      </c>
      <c r="M1817" s="140" t="str">
        <f>VLOOKUP(text(D1817, "#"),'Master Table'!$A:$F, 6, FALSE)</f>
        <v>#N/A</v>
      </c>
      <c r="N1817" s="141"/>
      <c r="O1817" s="142" t="str">
        <f t="shared" si="1"/>
        <v/>
      </c>
      <c r="P1817" s="143" t="str">
        <f>IF(ISNA(VLOOKUP(CONCAT(M1817,C1817), 'Judge Count DO NOT EDIT'!H:H, 1, FALSE)), "ERROR","")</f>
        <v>ERROR</v>
      </c>
      <c r="Q1817" s="141"/>
      <c r="R1817" s="143"/>
      <c r="S1817" s="139"/>
      <c r="T1817" s="141"/>
    </row>
    <row r="1818">
      <c r="A1818" s="138"/>
      <c r="B1818" s="138"/>
      <c r="C1818" s="138"/>
      <c r="D1818" s="139"/>
      <c r="E1818" s="138"/>
      <c r="F1818" s="138"/>
      <c r="G1818" s="138"/>
      <c r="H1818" s="138"/>
      <c r="I1818" s="138"/>
      <c r="J1818" s="138"/>
      <c r="K1818" s="138"/>
      <c r="L1818" s="138">
        <v>0.0</v>
      </c>
      <c r="M1818" s="140" t="str">
        <f>VLOOKUP(text(D1818, "#"),'Master Table'!$A:$F, 6, FALSE)</f>
        <v>#N/A</v>
      </c>
      <c r="N1818" s="141"/>
      <c r="O1818" s="142" t="str">
        <f t="shared" si="1"/>
        <v/>
      </c>
      <c r="P1818" s="143" t="str">
        <f>IF(ISNA(VLOOKUP(CONCAT(M1818,C1818), 'Judge Count DO NOT EDIT'!H:H, 1, FALSE)), "ERROR","")</f>
        <v>ERROR</v>
      </c>
      <c r="Q1818" s="141"/>
      <c r="R1818" s="143"/>
      <c r="S1818" s="139"/>
      <c r="T1818" s="141"/>
    </row>
    <row r="1819">
      <c r="A1819" s="138"/>
      <c r="B1819" s="138"/>
      <c r="C1819" s="138"/>
      <c r="D1819" s="139"/>
      <c r="E1819" s="138"/>
      <c r="F1819" s="138"/>
      <c r="G1819" s="138"/>
      <c r="H1819" s="138"/>
      <c r="I1819" s="138"/>
      <c r="J1819" s="138"/>
      <c r="K1819" s="138"/>
      <c r="L1819" s="138">
        <v>0.0</v>
      </c>
      <c r="M1819" s="140" t="str">
        <f>VLOOKUP(text(D1819, "#"),'Master Table'!$A:$F, 6, FALSE)</f>
        <v>#N/A</v>
      </c>
      <c r="N1819" s="141"/>
      <c r="O1819" s="142" t="str">
        <f t="shared" si="1"/>
        <v/>
      </c>
      <c r="P1819" s="143" t="str">
        <f>IF(ISNA(VLOOKUP(CONCAT(M1819,C1819), 'Judge Count DO NOT EDIT'!H:H, 1, FALSE)), "ERROR","")</f>
        <v>ERROR</v>
      </c>
      <c r="Q1819" s="141"/>
      <c r="R1819" s="143"/>
      <c r="S1819" s="139"/>
      <c r="T1819" s="141"/>
    </row>
    <row r="1820">
      <c r="A1820" s="138"/>
      <c r="B1820" s="138"/>
      <c r="C1820" s="138"/>
      <c r="D1820" s="139"/>
      <c r="E1820" s="138"/>
      <c r="F1820" s="138"/>
      <c r="G1820" s="138"/>
      <c r="H1820" s="138"/>
      <c r="I1820" s="138"/>
      <c r="J1820" s="138"/>
      <c r="K1820" s="138"/>
      <c r="L1820" s="138">
        <v>0.0</v>
      </c>
      <c r="M1820" s="140" t="str">
        <f>VLOOKUP(text(D1820, "#"),'Master Table'!$A:$F, 6, FALSE)</f>
        <v>#N/A</v>
      </c>
      <c r="N1820" s="141"/>
      <c r="O1820" s="142" t="str">
        <f t="shared" si="1"/>
        <v/>
      </c>
      <c r="P1820" s="143" t="str">
        <f>IF(ISNA(VLOOKUP(CONCAT(M1820,C1820), 'Judge Count DO NOT EDIT'!H:H, 1, FALSE)), "ERROR","")</f>
        <v>ERROR</v>
      </c>
      <c r="Q1820" s="141"/>
      <c r="R1820" s="143"/>
      <c r="S1820" s="139"/>
      <c r="T1820" s="141"/>
    </row>
    <row r="1821">
      <c r="A1821" s="138"/>
      <c r="B1821" s="138"/>
      <c r="C1821" s="138"/>
      <c r="D1821" s="139"/>
      <c r="E1821" s="138"/>
      <c r="F1821" s="138"/>
      <c r="G1821" s="138"/>
      <c r="H1821" s="138"/>
      <c r="I1821" s="138"/>
      <c r="J1821" s="138"/>
      <c r="K1821" s="138"/>
      <c r="L1821" s="138">
        <v>0.0</v>
      </c>
      <c r="M1821" s="140" t="str">
        <f>VLOOKUP(text(D1821, "#"),'Master Table'!$A:$F, 6, FALSE)</f>
        <v>#N/A</v>
      </c>
      <c r="N1821" s="141"/>
      <c r="O1821" s="142" t="str">
        <f t="shared" si="1"/>
        <v/>
      </c>
      <c r="P1821" s="143" t="str">
        <f>IF(ISNA(VLOOKUP(CONCAT(M1821,C1821), 'Judge Count DO NOT EDIT'!H:H, 1, FALSE)), "ERROR","")</f>
        <v>ERROR</v>
      </c>
      <c r="Q1821" s="141"/>
      <c r="R1821" s="143"/>
      <c r="S1821" s="139"/>
      <c r="T1821" s="141"/>
    </row>
    <row r="1822">
      <c r="A1822" s="138"/>
      <c r="B1822" s="138"/>
      <c r="C1822" s="138"/>
      <c r="D1822" s="139"/>
      <c r="E1822" s="138"/>
      <c r="F1822" s="138"/>
      <c r="G1822" s="138"/>
      <c r="H1822" s="138"/>
      <c r="I1822" s="138"/>
      <c r="J1822" s="138"/>
      <c r="K1822" s="138"/>
      <c r="L1822" s="138">
        <v>0.0</v>
      </c>
      <c r="M1822" s="140" t="str">
        <f>VLOOKUP(text(D1822, "#"),'Master Table'!$A:$F, 6, FALSE)</f>
        <v>#N/A</v>
      </c>
      <c r="N1822" s="141"/>
      <c r="O1822" s="142" t="str">
        <f t="shared" si="1"/>
        <v/>
      </c>
      <c r="P1822" s="143" t="str">
        <f>IF(ISNA(VLOOKUP(CONCAT(M1822,C1822), 'Judge Count DO NOT EDIT'!H:H, 1, FALSE)), "ERROR","")</f>
        <v>ERROR</v>
      </c>
      <c r="Q1822" s="141"/>
      <c r="R1822" s="143"/>
      <c r="S1822" s="139"/>
      <c r="T1822" s="141"/>
    </row>
    <row r="1823">
      <c r="A1823" s="138"/>
      <c r="B1823" s="138"/>
      <c r="C1823" s="138"/>
      <c r="D1823" s="139"/>
      <c r="E1823" s="138"/>
      <c r="F1823" s="138"/>
      <c r="G1823" s="138"/>
      <c r="H1823" s="138"/>
      <c r="I1823" s="138"/>
      <c r="J1823" s="138"/>
      <c r="K1823" s="138"/>
      <c r="L1823" s="138">
        <v>0.0</v>
      </c>
      <c r="M1823" s="140" t="str">
        <f>VLOOKUP(text(D1823, "#"),'Master Table'!$A:$F, 6, FALSE)</f>
        <v>#N/A</v>
      </c>
      <c r="N1823" s="141"/>
      <c r="O1823" s="142" t="str">
        <f t="shared" si="1"/>
        <v/>
      </c>
      <c r="P1823" s="143" t="str">
        <f>IF(ISNA(VLOOKUP(CONCAT(M1823,C1823), 'Judge Count DO NOT EDIT'!H:H, 1, FALSE)), "ERROR","")</f>
        <v>ERROR</v>
      </c>
      <c r="Q1823" s="141"/>
      <c r="R1823" s="143"/>
      <c r="S1823" s="139"/>
      <c r="T1823" s="141"/>
    </row>
    <row r="1824">
      <c r="A1824" s="138"/>
      <c r="B1824" s="138"/>
      <c r="C1824" s="138"/>
      <c r="D1824" s="139"/>
      <c r="E1824" s="138"/>
      <c r="F1824" s="138"/>
      <c r="G1824" s="138"/>
      <c r="H1824" s="138"/>
      <c r="I1824" s="138"/>
      <c r="J1824" s="138"/>
      <c r="K1824" s="138"/>
      <c r="L1824" s="138">
        <v>0.0</v>
      </c>
      <c r="M1824" s="140" t="str">
        <f>VLOOKUP(text(D1824, "#"),'Master Table'!$A:$F, 6, FALSE)</f>
        <v>#N/A</v>
      </c>
      <c r="N1824" s="141"/>
      <c r="O1824" s="142" t="str">
        <f t="shared" si="1"/>
        <v/>
      </c>
      <c r="P1824" s="143" t="str">
        <f>IF(ISNA(VLOOKUP(CONCAT(M1824,C1824), 'Judge Count DO NOT EDIT'!H:H, 1, FALSE)), "ERROR","")</f>
        <v>ERROR</v>
      </c>
      <c r="Q1824" s="141"/>
      <c r="R1824" s="143"/>
      <c r="S1824" s="139"/>
      <c r="T1824" s="141"/>
    </row>
    <row r="1825">
      <c r="A1825" s="138"/>
      <c r="B1825" s="138"/>
      <c r="C1825" s="138"/>
      <c r="D1825" s="139"/>
      <c r="E1825" s="138"/>
      <c r="F1825" s="138"/>
      <c r="G1825" s="138"/>
      <c r="H1825" s="138"/>
      <c r="I1825" s="138"/>
      <c r="J1825" s="138"/>
      <c r="K1825" s="138"/>
      <c r="L1825" s="138">
        <v>0.0</v>
      </c>
      <c r="M1825" s="140" t="str">
        <f>VLOOKUP(text(D1825, "#"),'Master Table'!$A:$F, 6, FALSE)</f>
        <v>#N/A</v>
      </c>
      <c r="N1825" s="141"/>
      <c r="O1825" s="142" t="str">
        <f t="shared" si="1"/>
        <v/>
      </c>
      <c r="P1825" s="143" t="str">
        <f>IF(ISNA(VLOOKUP(CONCAT(M1825,C1825), 'Judge Count DO NOT EDIT'!H:H, 1, FALSE)), "ERROR","")</f>
        <v>ERROR</v>
      </c>
      <c r="Q1825" s="141"/>
      <c r="R1825" s="143"/>
      <c r="S1825" s="139"/>
      <c r="T1825" s="141"/>
    </row>
    <row r="1826">
      <c r="A1826" s="138"/>
      <c r="B1826" s="138"/>
      <c r="C1826" s="138"/>
      <c r="D1826" s="139"/>
      <c r="E1826" s="138"/>
      <c r="F1826" s="138"/>
      <c r="G1826" s="138"/>
      <c r="H1826" s="138"/>
      <c r="I1826" s="138"/>
      <c r="J1826" s="138"/>
      <c r="K1826" s="138"/>
      <c r="L1826" s="138">
        <v>0.0</v>
      </c>
      <c r="M1826" s="140" t="str">
        <f>VLOOKUP(text(D1826, "#"),'Master Table'!$A:$F, 6, FALSE)</f>
        <v>#N/A</v>
      </c>
      <c r="N1826" s="141"/>
      <c r="O1826" s="142" t="str">
        <f t="shared" si="1"/>
        <v/>
      </c>
      <c r="P1826" s="143" t="str">
        <f>IF(ISNA(VLOOKUP(CONCAT(M1826,C1826), 'Judge Count DO NOT EDIT'!H:H, 1, FALSE)), "ERROR","")</f>
        <v>ERROR</v>
      </c>
      <c r="Q1826" s="141"/>
      <c r="R1826" s="143"/>
      <c r="S1826" s="139"/>
      <c r="T1826" s="141"/>
    </row>
    <row r="1827">
      <c r="A1827" s="138"/>
      <c r="B1827" s="138"/>
      <c r="C1827" s="138"/>
      <c r="D1827" s="139"/>
      <c r="E1827" s="138"/>
      <c r="F1827" s="138"/>
      <c r="G1827" s="138"/>
      <c r="H1827" s="138"/>
      <c r="I1827" s="138"/>
      <c r="J1827" s="138"/>
      <c r="K1827" s="138"/>
      <c r="L1827" s="138">
        <v>0.0</v>
      </c>
      <c r="M1827" s="140" t="str">
        <f>VLOOKUP(text(D1827, "#"),'Master Table'!$A:$F, 6, FALSE)</f>
        <v>#N/A</v>
      </c>
      <c r="N1827" s="141"/>
      <c r="O1827" s="142" t="str">
        <f t="shared" si="1"/>
        <v/>
      </c>
      <c r="P1827" s="143" t="str">
        <f>IF(ISNA(VLOOKUP(CONCAT(M1827,C1827), 'Judge Count DO NOT EDIT'!H:H, 1, FALSE)), "ERROR","")</f>
        <v>ERROR</v>
      </c>
      <c r="Q1827" s="141"/>
      <c r="R1827" s="143"/>
      <c r="S1827" s="139"/>
      <c r="T1827" s="141"/>
    </row>
    <row r="1828">
      <c r="A1828" s="138"/>
      <c r="B1828" s="138"/>
      <c r="C1828" s="138"/>
      <c r="D1828" s="139"/>
      <c r="E1828" s="138"/>
      <c r="F1828" s="138"/>
      <c r="G1828" s="138"/>
      <c r="H1828" s="138"/>
      <c r="I1828" s="138"/>
      <c r="J1828" s="138"/>
      <c r="K1828" s="138"/>
      <c r="L1828" s="138">
        <v>0.0</v>
      </c>
      <c r="M1828" s="140" t="str">
        <f>VLOOKUP(text(D1828, "#"),'Master Table'!$A:$F, 6, FALSE)</f>
        <v>#N/A</v>
      </c>
      <c r="N1828" s="141"/>
      <c r="O1828" s="142" t="str">
        <f t="shared" si="1"/>
        <v/>
      </c>
      <c r="P1828" s="143" t="str">
        <f>IF(ISNA(VLOOKUP(CONCAT(M1828,C1828), 'Judge Count DO NOT EDIT'!H:H, 1, FALSE)), "ERROR","")</f>
        <v>ERROR</v>
      </c>
      <c r="Q1828" s="141"/>
      <c r="R1828" s="143"/>
      <c r="S1828" s="139"/>
      <c r="T1828" s="141"/>
    </row>
    <row r="1829">
      <c r="A1829" s="138"/>
      <c r="B1829" s="138"/>
      <c r="C1829" s="138"/>
      <c r="D1829" s="139"/>
      <c r="E1829" s="138"/>
      <c r="F1829" s="138"/>
      <c r="G1829" s="138"/>
      <c r="H1829" s="138"/>
      <c r="I1829" s="138"/>
      <c r="J1829" s="138"/>
      <c r="K1829" s="138"/>
      <c r="L1829" s="138">
        <v>0.0</v>
      </c>
      <c r="M1829" s="140" t="str">
        <f>VLOOKUP(text(D1829, "#"),'Master Table'!$A:$F, 6, FALSE)</f>
        <v>#N/A</v>
      </c>
      <c r="N1829" s="141"/>
      <c r="O1829" s="142" t="str">
        <f t="shared" si="1"/>
        <v/>
      </c>
      <c r="P1829" s="143" t="str">
        <f>IF(ISNA(VLOOKUP(CONCAT(M1829,C1829), 'Judge Count DO NOT EDIT'!H:H, 1, FALSE)), "ERROR","")</f>
        <v>ERROR</v>
      </c>
      <c r="Q1829" s="141"/>
      <c r="R1829" s="143"/>
      <c r="S1829" s="139"/>
      <c r="T1829" s="141"/>
    </row>
    <row r="1830">
      <c r="A1830" s="138"/>
      <c r="B1830" s="138"/>
      <c r="C1830" s="138"/>
      <c r="D1830" s="139"/>
      <c r="E1830" s="138"/>
      <c r="F1830" s="138"/>
      <c r="G1830" s="138"/>
      <c r="H1830" s="138"/>
      <c r="I1830" s="138"/>
      <c r="J1830" s="138"/>
      <c r="K1830" s="138"/>
      <c r="L1830" s="138">
        <v>0.0</v>
      </c>
      <c r="M1830" s="140" t="str">
        <f>VLOOKUP(text(D1830, "#"),'Master Table'!$A:$F, 6, FALSE)</f>
        <v>#N/A</v>
      </c>
      <c r="N1830" s="141"/>
      <c r="O1830" s="142" t="str">
        <f t="shared" si="1"/>
        <v/>
      </c>
      <c r="P1830" s="143" t="str">
        <f>IF(ISNA(VLOOKUP(CONCAT(M1830,C1830), 'Judge Count DO NOT EDIT'!H:H, 1, FALSE)), "ERROR","")</f>
        <v>ERROR</v>
      </c>
      <c r="Q1830" s="141"/>
      <c r="R1830" s="143"/>
      <c r="S1830" s="139"/>
      <c r="T1830" s="141"/>
    </row>
    <row r="1831">
      <c r="A1831" s="138"/>
      <c r="B1831" s="138"/>
      <c r="C1831" s="138"/>
      <c r="D1831" s="139"/>
      <c r="E1831" s="138"/>
      <c r="F1831" s="138"/>
      <c r="G1831" s="138"/>
      <c r="H1831" s="138"/>
      <c r="I1831" s="138"/>
      <c r="J1831" s="138"/>
      <c r="K1831" s="138"/>
      <c r="L1831" s="138">
        <v>0.0</v>
      </c>
      <c r="M1831" s="140" t="str">
        <f>VLOOKUP(text(D1831, "#"),'Master Table'!$A:$F, 6, FALSE)</f>
        <v>#N/A</v>
      </c>
      <c r="N1831" s="141"/>
      <c r="O1831" s="142" t="str">
        <f t="shared" si="1"/>
        <v/>
      </c>
      <c r="P1831" s="143" t="str">
        <f>IF(ISNA(VLOOKUP(CONCAT(M1831,C1831), 'Judge Count DO NOT EDIT'!H:H, 1, FALSE)), "ERROR","")</f>
        <v>ERROR</v>
      </c>
      <c r="Q1831" s="141"/>
      <c r="R1831" s="143"/>
      <c r="S1831" s="139"/>
      <c r="T1831" s="141"/>
    </row>
    <row r="1832">
      <c r="A1832" s="138"/>
      <c r="B1832" s="138"/>
      <c r="C1832" s="138"/>
      <c r="D1832" s="139"/>
      <c r="E1832" s="138"/>
      <c r="F1832" s="138"/>
      <c r="G1832" s="138"/>
      <c r="H1832" s="138"/>
      <c r="I1832" s="138"/>
      <c r="J1832" s="138"/>
      <c r="K1832" s="138"/>
      <c r="L1832" s="138">
        <v>0.0</v>
      </c>
      <c r="M1832" s="140" t="str">
        <f>VLOOKUP(text(D1832, "#"),'Master Table'!$A:$F, 6, FALSE)</f>
        <v>#N/A</v>
      </c>
      <c r="N1832" s="141"/>
      <c r="O1832" s="142" t="str">
        <f t="shared" si="1"/>
        <v/>
      </c>
      <c r="P1832" s="143" t="str">
        <f>IF(ISNA(VLOOKUP(CONCAT(M1832,C1832), 'Judge Count DO NOT EDIT'!H:H, 1, FALSE)), "ERROR","")</f>
        <v>ERROR</v>
      </c>
      <c r="Q1832" s="141"/>
      <c r="R1832" s="143"/>
      <c r="S1832" s="139"/>
      <c r="T1832" s="141"/>
    </row>
    <row r="1833">
      <c r="A1833" s="138"/>
      <c r="B1833" s="138"/>
      <c r="C1833" s="138"/>
      <c r="D1833" s="139"/>
      <c r="E1833" s="138"/>
      <c r="F1833" s="138"/>
      <c r="G1833" s="138"/>
      <c r="H1833" s="138"/>
      <c r="I1833" s="138"/>
      <c r="J1833" s="138"/>
      <c r="K1833" s="138"/>
      <c r="L1833" s="138">
        <v>0.0</v>
      </c>
      <c r="M1833" s="140" t="str">
        <f>VLOOKUP(text(D1833, "#"),'Master Table'!$A:$F, 6, FALSE)</f>
        <v>#N/A</v>
      </c>
      <c r="N1833" s="141"/>
      <c r="O1833" s="142" t="str">
        <f t="shared" si="1"/>
        <v/>
      </c>
      <c r="P1833" s="143" t="str">
        <f>IF(ISNA(VLOOKUP(CONCAT(M1833,C1833), 'Judge Count DO NOT EDIT'!H:H, 1, FALSE)), "ERROR","")</f>
        <v>ERROR</v>
      </c>
      <c r="Q1833" s="141"/>
      <c r="R1833" s="143"/>
      <c r="S1833" s="139"/>
      <c r="T1833" s="141"/>
    </row>
    <row r="1834">
      <c r="A1834" s="138"/>
      <c r="B1834" s="138"/>
      <c r="C1834" s="138"/>
      <c r="D1834" s="139"/>
      <c r="E1834" s="138"/>
      <c r="F1834" s="138"/>
      <c r="G1834" s="138"/>
      <c r="H1834" s="138"/>
      <c r="I1834" s="138"/>
      <c r="J1834" s="138"/>
      <c r="K1834" s="138"/>
      <c r="L1834" s="138">
        <v>0.0</v>
      </c>
      <c r="M1834" s="140" t="str">
        <f>VLOOKUP(text(D1834, "#"),'Master Table'!$A:$F, 6, FALSE)</f>
        <v>#N/A</v>
      </c>
      <c r="N1834" s="141"/>
      <c r="O1834" s="142" t="str">
        <f t="shared" si="1"/>
        <v/>
      </c>
      <c r="P1834" s="143" t="str">
        <f>IF(ISNA(VLOOKUP(CONCAT(M1834,C1834), 'Judge Count DO NOT EDIT'!H:H, 1, FALSE)), "ERROR","")</f>
        <v>ERROR</v>
      </c>
      <c r="Q1834" s="141"/>
      <c r="R1834" s="143"/>
      <c r="S1834" s="139"/>
      <c r="T1834" s="141"/>
    </row>
    <row r="1835">
      <c r="A1835" s="138"/>
      <c r="B1835" s="138"/>
      <c r="C1835" s="138"/>
      <c r="D1835" s="139"/>
      <c r="E1835" s="138"/>
      <c r="F1835" s="138"/>
      <c r="G1835" s="138"/>
      <c r="H1835" s="138"/>
      <c r="I1835" s="138"/>
      <c r="J1835" s="138"/>
      <c r="K1835" s="138"/>
      <c r="L1835" s="138">
        <v>0.0</v>
      </c>
      <c r="M1835" s="140" t="str">
        <f>VLOOKUP(text(D1835, "#"),'Master Table'!$A:$F, 6, FALSE)</f>
        <v>#N/A</v>
      </c>
      <c r="N1835" s="141"/>
      <c r="O1835" s="142" t="str">
        <f t="shared" si="1"/>
        <v/>
      </c>
      <c r="P1835" s="143" t="str">
        <f>IF(ISNA(VLOOKUP(CONCAT(M1835,C1835), 'Judge Count DO NOT EDIT'!H:H, 1, FALSE)), "ERROR","")</f>
        <v>ERROR</v>
      </c>
      <c r="Q1835" s="141"/>
      <c r="R1835" s="143"/>
      <c r="S1835" s="139"/>
      <c r="T1835" s="141"/>
    </row>
    <row r="1836">
      <c r="A1836" s="138"/>
      <c r="B1836" s="138"/>
      <c r="C1836" s="138"/>
      <c r="D1836" s="139"/>
      <c r="E1836" s="138"/>
      <c r="F1836" s="138"/>
      <c r="G1836" s="138"/>
      <c r="H1836" s="138"/>
      <c r="I1836" s="138"/>
      <c r="J1836" s="138"/>
      <c r="K1836" s="138"/>
      <c r="L1836" s="138">
        <v>0.0</v>
      </c>
      <c r="M1836" s="140" t="str">
        <f>VLOOKUP(text(D1836, "#"),'Master Table'!$A:$F, 6, FALSE)</f>
        <v>#N/A</v>
      </c>
      <c r="N1836" s="141"/>
      <c r="O1836" s="142" t="str">
        <f t="shared" si="1"/>
        <v/>
      </c>
      <c r="P1836" s="143" t="str">
        <f>IF(ISNA(VLOOKUP(CONCAT(M1836,C1836), 'Judge Count DO NOT EDIT'!H:H, 1, FALSE)), "ERROR","")</f>
        <v>ERROR</v>
      </c>
      <c r="Q1836" s="141"/>
      <c r="R1836" s="143"/>
      <c r="S1836" s="139"/>
      <c r="T1836" s="141"/>
    </row>
    <row r="1837">
      <c r="A1837" s="138"/>
      <c r="B1837" s="138"/>
      <c r="C1837" s="138"/>
      <c r="D1837" s="139"/>
      <c r="E1837" s="138"/>
      <c r="F1837" s="138"/>
      <c r="G1837" s="138"/>
      <c r="H1837" s="138"/>
      <c r="I1837" s="138"/>
      <c r="J1837" s="138"/>
      <c r="K1837" s="138"/>
      <c r="L1837" s="138">
        <v>0.0</v>
      </c>
      <c r="M1837" s="140" t="str">
        <f>VLOOKUP(text(D1837, "#"),'Master Table'!$A:$F, 6, FALSE)</f>
        <v>#N/A</v>
      </c>
      <c r="N1837" s="141"/>
      <c r="O1837" s="142" t="str">
        <f t="shared" si="1"/>
        <v/>
      </c>
      <c r="P1837" s="143" t="str">
        <f>IF(ISNA(VLOOKUP(CONCAT(M1837,C1837), 'Judge Count DO NOT EDIT'!H:H, 1, FALSE)), "ERROR","")</f>
        <v>ERROR</v>
      </c>
      <c r="Q1837" s="141"/>
      <c r="R1837" s="143"/>
      <c r="S1837" s="139"/>
      <c r="T1837" s="141"/>
    </row>
    <row r="1838">
      <c r="A1838" s="138"/>
      <c r="B1838" s="138"/>
      <c r="C1838" s="138"/>
      <c r="D1838" s="139"/>
      <c r="E1838" s="138"/>
      <c r="F1838" s="138"/>
      <c r="G1838" s="138"/>
      <c r="H1838" s="138"/>
      <c r="I1838" s="138"/>
      <c r="J1838" s="138"/>
      <c r="K1838" s="138"/>
      <c r="L1838" s="138">
        <v>0.0</v>
      </c>
      <c r="M1838" s="140" t="str">
        <f>VLOOKUP(text(D1838, "#"),'Master Table'!$A:$F, 6, FALSE)</f>
        <v>#N/A</v>
      </c>
      <c r="N1838" s="141"/>
      <c r="O1838" s="142" t="str">
        <f t="shared" si="1"/>
        <v/>
      </c>
      <c r="P1838" s="143" t="str">
        <f>IF(ISNA(VLOOKUP(CONCAT(M1838,C1838), 'Judge Count DO NOT EDIT'!H:H, 1, FALSE)), "ERROR","")</f>
        <v>ERROR</v>
      </c>
      <c r="Q1838" s="141"/>
      <c r="R1838" s="143"/>
      <c r="S1838" s="139"/>
      <c r="T1838" s="141"/>
    </row>
    <row r="1839">
      <c r="A1839" s="138"/>
      <c r="B1839" s="138"/>
      <c r="C1839" s="138"/>
      <c r="D1839" s="139"/>
      <c r="E1839" s="138"/>
      <c r="F1839" s="138"/>
      <c r="G1839" s="138"/>
      <c r="H1839" s="138"/>
      <c r="I1839" s="138"/>
      <c r="J1839" s="138"/>
      <c r="K1839" s="138"/>
      <c r="L1839" s="138">
        <v>0.0</v>
      </c>
      <c r="M1839" s="140" t="str">
        <f>VLOOKUP(text(D1839, "#"),'Master Table'!$A:$F, 6, FALSE)</f>
        <v>#N/A</v>
      </c>
      <c r="N1839" s="141"/>
      <c r="O1839" s="142" t="str">
        <f t="shared" si="1"/>
        <v/>
      </c>
      <c r="P1839" s="143" t="str">
        <f>IF(ISNA(VLOOKUP(CONCAT(M1839,C1839), 'Judge Count DO NOT EDIT'!H:H, 1, FALSE)), "ERROR","")</f>
        <v>ERROR</v>
      </c>
      <c r="Q1839" s="141"/>
      <c r="R1839" s="143"/>
      <c r="S1839" s="139"/>
      <c r="T1839" s="141"/>
    </row>
    <row r="1840">
      <c r="A1840" s="138"/>
      <c r="B1840" s="138"/>
      <c r="C1840" s="138"/>
      <c r="D1840" s="139"/>
      <c r="E1840" s="138"/>
      <c r="F1840" s="138"/>
      <c r="G1840" s="138"/>
      <c r="H1840" s="138"/>
      <c r="I1840" s="138"/>
      <c r="J1840" s="138"/>
      <c r="K1840" s="138"/>
      <c r="L1840" s="138">
        <v>0.0</v>
      </c>
      <c r="M1840" s="140" t="str">
        <f>VLOOKUP(text(D1840, "#"),'Master Table'!$A:$F, 6, FALSE)</f>
        <v>#N/A</v>
      </c>
      <c r="N1840" s="141"/>
      <c r="O1840" s="142" t="str">
        <f t="shared" si="1"/>
        <v/>
      </c>
      <c r="P1840" s="143" t="str">
        <f>IF(ISNA(VLOOKUP(CONCAT(M1840,C1840), 'Judge Count DO NOT EDIT'!H:H, 1, FALSE)), "ERROR","")</f>
        <v>ERROR</v>
      </c>
      <c r="Q1840" s="141"/>
      <c r="R1840" s="143"/>
      <c r="S1840" s="139"/>
      <c r="T1840" s="141"/>
    </row>
    <row r="1841">
      <c r="A1841" s="138"/>
      <c r="B1841" s="138"/>
      <c r="C1841" s="138"/>
      <c r="D1841" s="139"/>
      <c r="E1841" s="138"/>
      <c r="F1841" s="138"/>
      <c r="G1841" s="138"/>
      <c r="H1841" s="138"/>
      <c r="I1841" s="138"/>
      <c r="J1841" s="138"/>
      <c r="K1841" s="138"/>
      <c r="L1841" s="138">
        <v>0.0</v>
      </c>
      <c r="M1841" s="140" t="str">
        <f>VLOOKUP(text(D1841, "#"),'Master Table'!$A:$F, 6, FALSE)</f>
        <v>#N/A</v>
      </c>
      <c r="N1841" s="141"/>
      <c r="O1841" s="142" t="str">
        <f t="shared" si="1"/>
        <v/>
      </c>
      <c r="P1841" s="143" t="str">
        <f>IF(ISNA(VLOOKUP(CONCAT(M1841,C1841), 'Judge Count DO NOT EDIT'!H:H, 1, FALSE)), "ERROR","")</f>
        <v>ERROR</v>
      </c>
      <c r="Q1841" s="141"/>
      <c r="R1841" s="143"/>
      <c r="S1841" s="139"/>
      <c r="T1841" s="141"/>
    </row>
    <row r="1842">
      <c r="A1842" s="138"/>
      <c r="B1842" s="138"/>
      <c r="C1842" s="138"/>
      <c r="D1842" s="139"/>
      <c r="E1842" s="138"/>
      <c r="F1842" s="138"/>
      <c r="G1842" s="138"/>
      <c r="H1842" s="138"/>
      <c r="I1842" s="138"/>
      <c r="J1842" s="138"/>
      <c r="K1842" s="138"/>
      <c r="L1842" s="138">
        <v>0.0</v>
      </c>
      <c r="M1842" s="140" t="str">
        <f>VLOOKUP(text(D1842, "#"),'Master Table'!$A:$F, 6, FALSE)</f>
        <v>#N/A</v>
      </c>
      <c r="N1842" s="141"/>
      <c r="O1842" s="142" t="str">
        <f t="shared" si="1"/>
        <v/>
      </c>
      <c r="P1842" s="143" t="str">
        <f>IF(ISNA(VLOOKUP(CONCAT(M1842,C1842), 'Judge Count DO NOT EDIT'!H:H, 1, FALSE)), "ERROR","")</f>
        <v>ERROR</v>
      </c>
      <c r="Q1842" s="141"/>
      <c r="R1842" s="143"/>
      <c r="S1842" s="139"/>
      <c r="T1842" s="141"/>
    </row>
    <row r="1843">
      <c r="A1843" s="138"/>
      <c r="B1843" s="138"/>
      <c r="C1843" s="138"/>
      <c r="D1843" s="139"/>
      <c r="E1843" s="138"/>
      <c r="F1843" s="138"/>
      <c r="G1843" s="138"/>
      <c r="H1843" s="138"/>
      <c r="I1843" s="138"/>
      <c r="J1843" s="138"/>
      <c r="K1843" s="138"/>
      <c r="L1843" s="138">
        <v>0.0</v>
      </c>
      <c r="M1843" s="140" t="str">
        <f>VLOOKUP(text(D1843, "#"),'Master Table'!$A:$F, 6, FALSE)</f>
        <v>#N/A</v>
      </c>
      <c r="N1843" s="141"/>
      <c r="O1843" s="142" t="str">
        <f t="shared" si="1"/>
        <v/>
      </c>
      <c r="P1843" s="143" t="str">
        <f>IF(ISNA(VLOOKUP(CONCAT(M1843,C1843), 'Judge Count DO NOT EDIT'!H:H, 1, FALSE)), "ERROR","")</f>
        <v>ERROR</v>
      </c>
      <c r="Q1843" s="141"/>
      <c r="R1843" s="143"/>
      <c r="S1843" s="139"/>
      <c r="T1843" s="141"/>
    </row>
    <row r="1844">
      <c r="A1844" s="138"/>
      <c r="B1844" s="138"/>
      <c r="C1844" s="138"/>
      <c r="D1844" s="139"/>
      <c r="E1844" s="138"/>
      <c r="F1844" s="138"/>
      <c r="G1844" s="138"/>
      <c r="H1844" s="138"/>
      <c r="I1844" s="138"/>
      <c r="J1844" s="138"/>
      <c r="K1844" s="138"/>
      <c r="L1844" s="138">
        <v>0.0</v>
      </c>
      <c r="M1844" s="140" t="str">
        <f>VLOOKUP(text(D1844, "#"),'Master Table'!$A:$F, 6, FALSE)</f>
        <v>#N/A</v>
      </c>
      <c r="N1844" s="141"/>
      <c r="O1844" s="142" t="str">
        <f t="shared" si="1"/>
        <v/>
      </c>
      <c r="P1844" s="143" t="str">
        <f>IF(ISNA(VLOOKUP(CONCAT(M1844,C1844), 'Judge Count DO NOT EDIT'!H:H, 1, FALSE)), "ERROR","")</f>
        <v>ERROR</v>
      </c>
      <c r="Q1844" s="141"/>
      <c r="R1844" s="143"/>
      <c r="S1844" s="139"/>
      <c r="T1844" s="141"/>
    </row>
    <row r="1845">
      <c r="A1845" s="138"/>
      <c r="B1845" s="138"/>
      <c r="C1845" s="138"/>
      <c r="D1845" s="139"/>
      <c r="E1845" s="138"/>
      <c r="F1845" s="138"/>
      <c r="G1845" s="138"/>
      <c r="H1845" s="138"/>
      <c r="I1845" s="138"/>
      <c r="J1845" s="138"/>
      <c r="K1845" s="138"/>
      <c r="L1845" s="138">
        <v>0.0</v>
      </c>
      <c r="M1845" s="140" t="str">
        <f>VLOOKUP(text(D1845, "#"),'Master Table'!$A:$F, 6, FALSE)</f>
        <v>#N/A</v>
      </c>
      <c r="N1845" s="141"/>
      <c r="O1845" s="142" t="str">
        <f t="shared" si="1"/>
        <v/>
      </c>
      <c r="P1845" s="143" t="str">
        <f>IF(ISNA(VLOOKUP(CONCAT(M1845,C1845), 'Judge Count DO NOT EDIT'!H:H, 1, FALSE)), "ERROR","")</f>
        <v>ERROR</v>
      </c>
      <c r="Q1845" s="141"/>
      <c r="R1845" s="143"/>
      <c r="S1845" s="139"/>
      <c r="T1845" s="141"/>
    </row>
    <row r="1846">
      <c r="A1846" s="138"/>
      <c r="B1846" s="138"/>
      <c r="C1846" s="138"/>
      <c r="D1846" s="139"/>
      <c r="E1846" s="138"/>
      <c r="F1846" s="138"/>
      <c r="G1846" s="138"/>
      <c r="H1846" s="138"/>
      <c r="I1846" s="138"/>
      <c r="J1846" s="138"/>
      <c r="K1846" s="138"/>
      <c r="L1846" s="138">
        <v>0.0</v>
      </c>
      <c r="M1846" s="140" t="str">
        <f>VLOOKUP(text(D1846, "#"),'Master Table'!$A:$F, 6, FALSE)</f>
        <v>#N/A</v>
      </c>
      <c r="N1846" s="141"/>
      <c r="O1846" s="142" t="str">
        <f t="shared" si="1"/>
        <v/>
      </c>
      <c r="P1846" s="143" t="str">
        <f>IF(ISNA(VLOOKUP(CONCAT(M1846,C1846), 'Judge Count DO NOT EDIT'!H:H, 1, FALSE)), "ERROR","")</f>
        <v>ERROR</v>
      </c>
      <c r="Q1846" s="141"/>
      <c r="R1846" s="143"/>
      <c r="S1846" s="139"/>
      <c r="T1846" s="141"/>
    </row>
    <row r="1847">
      <c r="A1847" s="138"/>
      <c r="B1847" s="138"/>
      <c r="C1847" s="138"/>
      <c r="D1847" s="139"/>
      <c r="E1847" s="138"/>
      <c r="F1847" s="138"/>
      <c r="G1847" s="138"/>
      <c r="H1847" s="138"/>
      <c r="I1847" s="138"/>
      <c r="J1847" s="138"/>
      <c r="K1847" s="138"/>
      <c r="L1847" s="138">
        <v>0.0</v>
      </c>
      <c r="M1847" s="140" t="str">
        <f>VLOOKUP(text(D1847, "#"),'Master Table'!$A:$F, 6, FALSE)</f>
        <v>#N/A</v>
      </c>
      <c r="N1847" s="141"/>
      <c r="O1847" s="142" t="str">
        <f t="shared" si="1"/>
        <v/>
      </c>
      <c r="P1847" s="143" t="str">
        <f>IF(ISNA(VLOOKUP(CONCAT(M1847,C1847), 'Judge Count DO NOT EDIT'!H:H, 1, FALSE)), "ERROR","")</f>
        <v>ERROR</v>
      </c>
      <c r="Q1847" s="141"/>
      <c r="R1847" s="143"/>
      <c r="S1847" s="139"/>
      <c r="T1847" s="141"/>
    </row>
    <row r="1848">
      <c r="A1848" s="138"/>
      <c r="B1848" s="138"/>
      <c r="C1848" s="138"/>
      <c r="D1848" s="139"/>
      <c r="E1848" s="138"/>
      <c r="F1848" s="138"/>
      <c r="G1848" s="138"/>
      <c r="H1848" s="138"/>
      <c r="I1848" s="138"/>
      <c r="J1848" s="138"/>
      <c r="K1848" s="138"/>
      <c r="L1848" s="138">
        <v>0.0</v>
      </c>
      <c r="M1848" s="140" t="str">
        <f>VLOOKUP(text(D1848, "#"),'Master Table'!$A:$F, 6, FALSE)</f>
        <v>#N/A</v>
      </c>
      <c r="N1848" s="141"/>
      <c r="O1848" s="142" t="str">
        <f t="shared" si="1"/>
        <v/>
      </c>
      <c r="P1848" s="143" t="str">
        <f>IF(ISNA(VLOOKUP(CONCAT(M1848,C1848), 'Judge Count DO NOT EDIT'!H:H, 1, FALSE)), "ERROR","")</f>
        <v>ERROR</v>
      </c>
      <c r="Q1848" s="141"/>
      <c r="R1848" s="143"/>
      <c r="S1848" s="139"/>
      <c r="T1848" s="141"/>
    </row>
    <row r="1849">
      <c r="A1849" s="138"/>
      <c r="B1849" s="138"/>
      <c r="C1849" s="138"/>
      <c r="D1849" s="139"/>
      <c r="E1849" s="138"/>
      <c r="F1849" s="138"/>
      <c r="G1849" s="138"/>
      <c r="H1849" s="138"/>
      <c r="I1849" s="138"/>
      <c r="J1849" s="138"/>
      <c r="K1849" s="138"/>
      <c r="L1849" s="138">
        <v>0.0</v>
      </c>
      <c r="M1849" s="140" t="str">
        <f>VLOOKUP(text(D1849, "#"),'Master Table'!$A:$F, 6, FALSE)</f>
        <v>#N/A</v>
      </c>
      <c r="N1849" s="141"/>
      <c r="O1849" s="142" t="str">
        <f t="shared" si="1"/>
        <v/>
      </c>
      <c r="P1849" s="143" t="str">
        <f>IF(ISNA(VLOOKUP(CONCAT(M1849,C1849), 'Judge Count DO NOT EDIT'!H:H, 1, FALSE)), "ERROR","")</f>
        <v>ERROR</v>
      </c>
      <c r="Q1849" s="141"/>
      <c r="R1849" s="143"/>
      <c r="S1849" s="139"/>
      <c r="T1849" s="141"/>
    </row>
    <row r="1850">
      <c r="A1850" s="138"/>
      <c r="B1850" s="138"/>
      <c r="C1850" s="138"/>
      <c r="D1850" s="139"/>
      <c r="E1850" s="138"/>
      <c r="F1850" s="138"/>
      <c r="G1850" s="138"/>
      <c r="H1850" s="138"/>
      <c r="I1850" s="138"/>
      <c r="J1850" s="138"/>
      <c r="K1850" s="138"/>
      <c r="L1850" s="138">
        <v>0.0</v>
      </c>
      <c r="M1850" s="140" t="str">
        <f>VLOOKUP(text(D1850, "#"),'Master Table'!$A:$F, 6, FALSE)</f>
        <v>#N/A</v>
      </c>
      <c r="N1850" s="141"/>
      <c r="O1850" s="142" t="str">
        <f t="shared" si="1"/>
        <v/>
      </c>
      <c r="P1850" s="143" t="str">
        <f>IF(ISNA(VLOOKUP(CONCAT(M1850,C1850), 'Judge Count DO NOT EDIT'!H:H, 1, FALSE)), "ERROR","")</f>
        <v>ERROR</v>
      </c>
      <c r="Q1850" s="141"/>
      <c r="R1850" s="143"/>
      <c r="S1850" s="139"/>
      <c r="T1850" s="141"/>
    </row>
    <row r="1851">
      <c r="A1851" s="138"/>
      <c r="B1851" s="138"/>
      <c r="C1851" s="138"/>
      <c r="D1851" s="139"/>
      <c r="E1851" s="138"/>
      <c r="F1851" s="138"/>
      <c r="G1851" s="138"/>
      <c r="H1851" s="138"/>
      <c r="I1851" s="138"/>
      <c r="J1851" s="138"/>
      <c r="K1851" s="138"/>
      <c r="L1851" s="138">
        <v>0.0</v>
      </c>
      <c r="M1851" s="140" t="str">
        <f>VLOOKUP(text(D1851, "#"),'Master Table'!$A:$F, 6, FALSE)</f>
        <v>#N/A</v>
      </c>
      <c r="N1851" s="141"/>
      <c r="O1851" s="142" t="str">
        <f t="shared" si="1"/>
        <v/>
      </c>
      <c r="P1851" s="143" t="str">
        <f>IF(ISNA(VLOOKUP(CONCAT(M1851,C1851), 'Judge Count DO NOT EDIT'!H:H, 1, FALSE)), "ERROR","")</f>
        <v>ERROR</v>
      </c>
      <c r="Q1851" s="141"/>
      <c r="R1851" s="143"/>
      <c r="S1851" s="139"/>
      <c r="T1851" s="141"/>
    </row>
    <row r="1852">
      <c r="A1852" s="138"/>
      <c r="B1852" s="138"/>
      <c r="C1852" s="138"/>
      <c r="D1852" s="139"/>
      <c r="E1852" s="138"/>
      <c r="F1852" s="138"/>
      <c r="G1852" s="138"/>
      <c r="H1852" s="138"/>
      <c r="I1852" s="138"/>
      <c r="J1852" s="138"/>
      <c r="K1852" s="138"/>
      <c r="L1852" s="138">
        <v>0.0</v>
      </c>
      <c r="M1852" s="140" t="str">
        <f>VLOOKUP(text(D1852, "#"),'Master Table'!$A:$F, 6, FALSE)</f>
        <v>#N/A</v>
      </c>
      <c r="N1852" s="141"/>
      <c r="O1852" s="142" t="str">
        <f t="shared" si="1"/>
        <v/>
      </c>
      <c r="P1852" s="143" t="str">
        <f>IF(ISNA(VLOOKUP(CONCAT(M1852,C1852), 'Judge Count DO NOT EDIT'!H:H, 1, FALSE)), "ERROR","")</f>
        <v>ERROR</v>
      </c>
      <c r="Q1852" s="141"/>
      <c r="R1852" s="143"/>
      <c r="S1852" s="139"/>
      <c r="T1852" s="141"/>
    </row>
    <row r="1853">
      <c r="A1853" s="138"/>
      <c r="B1853" s="138"/>
      <c r="C1853" s="138"/>
      <c r="D1853" s="139"/>
      <c r="E1853" s="138"/>
      <c r="F1853" s="138"/>
      <c r="G1853" s="138"/>
      <c r="H1853" s="138"/>
      <c r="I1853" s="138"/>
      <c r="J1853" s="138"/>
      <c r="K1853" s="138"/>
      <c r="L1853" s="138">
        <v>0.0</v>
      </c>
      <c r="M1853" s="140" t="str">
        <f>VLOOKUP(text(D1853, "#"),'Master Table'!$A:$F, 6, FALSE)</f>
        <v>#N/A</v>
      </c>
      <c r="N1853" s="141"/>
      <c r="O1853" s="142" t="str">
        <f t="shared" si="1"/>
        <v/>
      </c>
      <c r="P1853" s="143" t="str">
        <f>IF(ISNA(VLOOKUP(CONCAT(M1853,C1853), 'Judge Count DO NOT EDIT'!H:H, 1, FALSE)), "ERROR","")</f>
        <v>ERROR</v>
      </c>
      <c r="Q1853" s="141"/>
      <c r="R1853" s="143"/>
      <c r="S1853" s="139"/>
      <c r="T1853" s="141"/>
    </row>
    <row r="1854">
      <c r="A1854" s="138"/>
      <c r="B1854" s="138"/>
      <c r="C1854" s="138"/>
      <c r="D1854" s="139"/>
      <c r="E1854" s="138"/>
      <c r="F1854" s="138"/>
      <c r="G1854" s="138"/>
      <c r="H1854" s="138"/>
      <c r="I1854" s="138"/>
      <c r="J1854" s="138"/>
      <c r="K1854" s="138"/>
      <c r="L1854" s="138">
        <v>0.0</v>
      </c>
      <c r="M1854" s="140" t="str">
        <f>VLOOKUP(text(D1854, "#"),'Master Table'!$A:$F, 6, FALSE)</f>
        <v>#N/A</v>
      </c>
      <c r="N1854" s="141"/>
      <c r="O1854" s="142" t="str">
        <f t="shared" si="1"/>
        <v/>
      </c>
      <c r="P1854" s="143" t="str">
        <f>IF(ISNA(VLOOKUP(CONCAT(M1854,C1854), 'Judge Count DO NOT EDIT'!H:H, 1, FALSE)), "ERROR","")</f>
        <v>ERROR</v>
      </c>
      <c r="Q1854" s="141"/>
      <c r="R1854" s="143"/>
      <c r="S1854" s="139"/>
      <c r="T1854" s="141"/>
    </row>
    <row r="1855">
      <c r="A1855" s="138"/>
      <c r="B1855" s="138"/>
      <c r="C1855" s="138"/>
      <c r="D1855" s="139"/>
      <c r="E1855" s="138"/>
      <c r="F1855" s="138"/>
      <c r="G1855" s="138"/>
      <c r="H1855" s="138"/>
      <c r="I1855" s="138"/>
      <c r="J1855" s="138"/>
      <c r="K1855" s="138"/>
      <c r="L1855" s="138">
        <v>0.0</v>
      </c>
      <c r="M1855" s="140" t="str">
        <f>VLOOKUP(text(D1855, "#"),'Master Table'!$A:$F, 6, FALSE)</f>
        <v>#N/A</v>
      </c>
      <c r="N1855" s="141"/>
      <c r="O1855" s="142" t="str">
        <f t="shared" si="1"/>
        <v/>
      </c>
      <c r="P1855" s="143" t="str">
        <f>IF(ISNA(VLOOKUP(CONCAT(M1855,C1855), 'Judge Count DO NOT EDIT'!H:H, 1, FALSE)), "ERROR","")</f>
        <v>ERROR</v>
      </c>
      <c r="Q1855" s="141"/>
      <c r="R1855" s="143"/>
      <c r="S1855" s="139"/>
      <c r="T1855" s="141"/>
    </row>
    <row r="1856">
      <c r="A1856" s="138"/>
      <c r="B1856" s="138"/>
      <c r="C1856" s="138"/>
      <c r="D1856" s="139"/>
      <c r="E1856" s="138"/>
      <c r="F1856" s="138"/>
      <c r="G1856" s="138"/>
      <c r="H1856" s="138"/>
      <c r="I1856" s="138"/>
      <c r="J1856" s="138"/>
      <c r="K1856" s="138"/>
      <c r="L1856" s="138">
        <v>0.0</v>
      </c>
      <c r="M1856" s="140" t="str">
        <f>VLOOKUP(text(D1856, "#"),'Master Table'!$A:$F, 6, FALSE)</f>
        <v>#N/A</v>
      </c>
      <c r="N1856" s="141"/>
      <c r="O1856" s="142" t="str">
        <f t="shared" si="1"/>
        <v/>
      </c>
      <c r="P1856" s="143" t="str">
        <f>IF(ISNA(VLOOKUP(CONCAT(M1856,C1856), 'Judge Count DO NOT EDIT'!H:H, 1, FALSE)), "ERROR","")</f>
        <v>ERROR</v>
      </c>
      <c r="Q1856" s="141"/>
      <c r="R1856" s="143"/>
      <c r="S1856" s="139"/>
      <c r="T1856" s="141"/>
    </row>
    <row r="1857">
      <c r="A1857" s="138"/>
      <c r="B1857" s="138"/>
      <c r="C1857" s="138"/>
      <c r="D1857" s="139"/>
      <c r="E1857" s="138"/>
      <c r="F1857" s="138"/>
      <c r="G1857" s="138"/>
      <c r="H1857" s="138"/>
      <c r="I1857" s="138"/>
      <c r="J1857" s="138"/>
      <c r="K1857" s="138"/>
      <c r="L1857" s="138">
        <v>0.0</v>
      </c>
      <c r="M1857" s="140" t="str">
        <f>VLOOKUP(text(D1857, "#"),'Master Table'!$A:$F, 6, FALSE)</f>
        <v>#N/A</v>
      </c>
      <c r="N1857" s="141"/>
      <c r="O1857" s="142" t="str">
        <f t="shared" si="1"/>
        <v/>
      </c>
      <c r="P1857" s="143" t="str">
        <f>IF(ISNA(VLOOKUP(CONCAT(M1857,C1857), 'Judge Count DO NOT EDIT'!H:H, 1, FALSE)), "ERROR","")</f>
        <v>ERROR</v>
      </c>
      <c r="Q1857" s="141"/>
      <c r="R1857" s="143"/>
      <c r="S1857" s="139"/>
      <c r="T1857" s="141"/>
    </row>
    <row r="1858">
      <c r="A1858" s="138"/>
      <c r="B1858" s="138"/>
      <c r="C1858" s="138"/>
      <c r="D1858" s="139"/>
      <c r="E1858" s="138"/>
      <c r="F1858" s="138"/>
      <c r="G1858" s="138"/>
      <c r="H1858" s="138"/>
      <c r="I1858" s="138"/>
      <c r="J1858" s="138"/>
      <c r="K1858" s="138"/>
      <c r="L1858" s="138">
        <v>0.0</v>
      </c>
      <c r="M1858" s="140" t="str">
        <f>VLOOKUP(text(D1858, "#"),'Master Table'!$A:$F, 6, FALSE)</f>
        <v>#N/A</v>
      </c>
      <c r="N1858" s="141"/>
      <c r="O1858" s="142" t="str">
        <f t="shared" si="1"/>
        <v/>
      </c>
      <c r="P1858" s="143" t="str">
        <f>IF(ISNA(VLOOKUP(CONCAT(M1858,C1858), 'Judge Count DO NOT EDIT'!H:H, 1, FALSE)), "ERROR","")</f>
        <v>ERROR</v>
      </c>
      <c r="Q1858" s="141"/>
      <c r="R1858" s="143"/>
      <c r="S1858" s="139"/>
      <c r="T1858" s="141"/>
    </row>
    <row r="1859">
      <c r="A1859" s="138"/>
      <c r="B1859" s="138"/>
      <c r="C1859" s="138"/>
      <c r="D1859" s="139"/>
      <c r="E1859" s="138"/>
      <c r="F1859" s="138"/>
      <c r="G1859" s="138"/>
      <c r="H1859" s="138"/>
      <c r="I1859" s="138"/>
      <c r="J1859" s="138"/>
      <c r="K1859" s="138"/>
      <c r="L1859" s="138">
        <v>0.0</v>
      </c>
      <c r="M1859" s="140" t="str">
        <f>VLOOKUP(text(D1859, "#"),'Master Table'!$A:$F, 6, FALSE)</f>
        <v>#N/A</v>
      </c>
      <c r="N1859" s="141"/>
      <c r="O1859" s="142" t="str">
        <f t="shared" si="1"/>
        <v/>
      </c>
      <c r="P1859" s="143" t="str">
        <f>IF(ISNA(VLOOKUP(CONCAT(M1859,C1859), 'Judge Count DO NOT EDIT'!H:H, 1, FALSE)), "ERROR","")</f>
        <v>ERROR</v>
      </c>
      <c r="Q1859" s="141"/>
      <c r="R1859" s="143"/>
      <c r="S1859" s="139"/>
      <c r="T1859" s="141"/>
    </row>
    <row r="1860">
      <c r="A1860" s="138"/>
      <c r="B1860" s="138"/>
      <c r="C1860" s="138"/>
      <c r="D1860" s="139"/>
      <c r="E1860" s="138"/>
      <c r="F1860" s="138"/>
      <c r="G1860" s="138"/>
      <c r="H1860" s="138"/>
      <c r="I1860" s="138"/>
      <c r="J1860" s="138"/>
      <c r="K1860" s="138"/>
      <c r="L1860" s="138">
        <v>0.0</v>
      </c>
      <c r="M1860" s="140" t="str">
        <f>VLOOKUP(text(D1860, "#"),'Master Table'!$A:$F, 6, FALSE)</f>
        <v>#N/A</v>
      </c>
      <c r="N1860" s="141"/>
      <c r="O1860" s="142" t="str">
        <f t="shared" si="1"/>
        <v/>
      </c>
      <c r="P1860" s="143" t="str">
        <f>IF(ISNA(VLOOKUP(CONCAT(M1860,C1860), 'Judge Count DO NOT EDIT'!H:H, 1, FALSE)), "ERROR","")</f>
        <v>ERROR</v>
      </c>
      <c r="Q1860" s="141"/>
      <c r="R1860" s="143"/>
      <c r="S1860" s="139"/>
      <c r="T1860" s="141"/>
    </row>
    <row r="1861">
      <c r="A1861" s="138"/>
      <c r="B1861" s="138"/>
      <c r="C1861" s="138"/>
      <c r="D1861" s="139"/>
      <c r="E1861" s="138"/>
      <c r="F1861" s="138"/>
      <c r="G1861" s="138"/>
      <c r="H1861" s="138"/>
      <c r="I1861" s="138"/>
      <c r="J1861" s="138"/>
      <c r="K1861" s="138"/>
      <c r="L1861" s="138">
        <v>0.0</v>
      </c>
      <c r="M1861" s="140" t="str">
        <f>VLOOKUP(text(D1861, "#"),'Master Table'!$A:$F, 6, FALSE)</f>
        <v>#N/A</v>
      </c>
      <c r="N1861" s="141"/>
      <c r="O1861" s="142" t="str">
        <f t="shared" si="1"/>
        <v/>
      </c>
      <c r="P1861" s="143" t="str">
        <f>IF(ISNA(VLOOKUP(CONCAT(M1861,C1861), 'Judge Count DO NOT EDIT'!H:H, 1, FALSE)), "ERROR","")</f>
        <v>ERROR</v>
      </c>
      <c r="Q1861" s="141"/>
      <c r="R1861" s="143"/>
      <c r="S1861" s="139"/>
      <c r="T1861" s="141"/>
    </row>
    <row r="1862">
      <c r="A1862" s="138"/>
      <c r="B1862" s="138"/>
      <c r="C1862" s="138"/>
      <c r="D1862" s="139"/>
      <c r="E1862" s="138"/>
      <c r="F1862" s="138"/>
      <c r="G1862" s="138"/>
      <c r="H1862" s="138"/>
      <c r="I1862" s="138"/>
      <c r="J1862" s="138"/>
      <c r="K1862" s="138"/>
      <c r="L1862" s="138">
        <v>0.0</v>
      </c>
      <c r="M1862" s="140" t="str">
        <f>VLOOKUP(text(D1862, "#"),'Master Table'!$A:$F, 6, FALSE)</f>
        <v>#N/A</v>
      </c>
      <c r="N1862" s="141"/>
      <c r="O1862" s="142" t="str">
        <f t="shared" si="1"/>
        <v/>
      </c>
      <c r="P1862" s="143" t="str">
        <f>IF(ISNA(VLOOKUP(CONCAT(M1862,C1862), 'Judge Count DO NOT EDIT'!H:H, 1, FALSE)), "ERROR","")</f>
        <v>ERROR</v>
      </c>
      <c r="Q1862" s="141"/>
      <c r="R1862" s="143"/>
      <c r="S1862" s="139"/>
      <c r="T1862" s="141"/>
    </row>
    <row r="1863">
      <c r="A1863" s="138"/>
      <c r="B1863" s="138"/>
      <c r="C1863" s="138"/>
      <c r="D1863" s="139"/>
      <c r="E1863" s="138"/>
      <c r="F1863" s="138"/>
      <c r="G1863" s="138"/>
      <c r="H1863" s="138"/>
      <c r="I1863" s="138"/>
      <c r="J1863" s="138"/>
      <c r="K1863" s="138"/>
      <c r="L1863" s="138">
        <v>0.0</v>
      </c>
      <c r="M1863" s="140" t="str">
        <f>VLOOKUP(text(D1863, "#"),'Master Table'!$A:$F, 6, FALSE)</f>
        <v>#N/A</v>
      </c>
      <c r="N1863" s="141"/>
      <c r="O1863" s="142" t="str">
        <f t="shared" si="1"/>
        <v/>
      </c>
      <c r="P1863" s="143" t="str">
        <f>IF(ISNA(VLOOKUP(CONCAT(M1863,C1863), 'Judge Count DO NOT EDIT'!H:H, 1, FALSE)), "ERROR","")</f>
        <v>ERROR</v>
      </c>
      <c r="Q1863" s="141"/>
      <c r="R1863" s="143"/>
      <c r="S1863" s="139"/>
      <c r="T1863" s="141"/>
    </row>
    <row r="1864">
      <c r="A1864" s="138"/>
      <c r="B1864" s="138"/>
      <c r="C1864" s="138"/>
      <c r="D1864" s="139"/>
      <c r="E1864" s="138"/>
      <c r="F1864" s="138"/>
      <c r="G1864" s="138"/>
      <c r="H1864" s="138"/>
      <c r="I1864" s="138"/>
      <c r="J1864" s="138"/>
      <c r="K1864" s="138"/>
      <c r="L1864" s="138">
        <v>0.0</v>
      </c>
      <c r="M1864" s="140" t="str">
        <f>VLOOKUP(text(D1864, "#"),'Master Table'!$A:$F, 6, FALSE)</f>
        <v>#N/A</v>
      </c>
      <c r="N1864" s="141"/>
      <c r="O1864" s="142" t="str">
        <f t="shared" si="1"/>
        <v/>
      </c>
      <c r="P1864" s="143" t="str">
        <f>IF(ISNA(VLOOKUP(CONCAT(M1864,C1864), 'Judge Count DO NOT EDIT'!H:H, 1, FALSE)), "ERROR","")</f>
        <v>ERROR</v>
      </c>
      <c r="Q1864" s="141"/>
      <c r="R1864" s="143"/>
      <c r="S1864" s="139"/>
      <c r="T1864" s="141"/>
    </row>
    <row r="1865">
      <c r="A1865" s="138"/>
      <c r="B1865" s="138"/>
      <c r="C1865" s="138"/>
      <c r="D1865" s="139"/>
      <c r="E1865" s="138"/>
      <c r="F1865" s="138"/>
      <c r="G1865" s="138"/>
      <c r="H1865" s="138"/>
      <c r="I1865" s="138"/>
      <c r="J1865" s="138"/>
      <c r="K1865" s="138"/>
      <c r="L1865" s="138">
        <v>0.0</v>
      </c>
      <c r="M1865" s="140" t="str">
        <f>VLOOKUP(text(D1865, "#"),'Master Table'!$A:$F, 6, FALSE)</f>
        <v>#N/A</v>
      </c>
      <c r="N1865" s="141"/>
      <c r="O1865" s="142" t="str">
        <f t="shared" si="1"/>
        <v/>
      </c>
      <c r="P1865" s="143" t="str">
        <f>IF(ISNA(VLOOKUP(CONCAT(M1865,C1865), 'Judge Count DO NOT EDIT'!H:H, 1, FALSE)), "ERROR","")</f>
        <v>ERROR</v>
      </c>
      <c r="Q1865" s="141"/>
      <c r="R1865" s="143"/>
      <c r="S1865" s="139"/>
      <c r="T1865" s="141"/>
    </row>
    <row r="1866">
      <c r="A1866" s="138"/>
      <c r="B1866" s="138"/>
      <c r="C1866" s="138"/>
      <c r="D1866" s="139"/>
      <c r="E1866" s="138"/>
      <c r="F1866" s="138"/>
      <c r="G1866" s="138"/>
      <c r="H1866" s="138"/>
      <c r="I1866" s="138"/>
      <c r="J1866" s="138"/>
      <c r="K1866" s="138"/>
      <c r="L1866" s="138">
        <v>0.0</v>
      </c>
      <c r="M1866" s="140" t="str">
        <f>VLOOKUP(text(D1866, "#"),'Master Table'!$A:$F, 6, FALSE)</f>
        <v>#N/A</v>
      </c>
      <c r="N1866" s="141"/>
      <c r="O1866" s="142" t="str">
        <f t="shared" si="1"/>
        <v/>
      </c>
      <c r="P1866" s="143" t="str">
        <f>IF(ISNA(VLOOKUP(CONCAT(M1866,C1866), 'Judge Count DO NOT EDIT'!H:H, 1, FALSE)), "ERROR","")</f>
        <v>ERROR</v>
      </c>
      <c r="Q1866" s="141"/>
      <c r="R1866" s="143"/>
      <c r="S1866" s="139"/>
      <c r="T1866" s="141"/>
    </row>
    <row r="1867">
      <c r="A1867" s="138"/>
      <c r="B1867" s="138"/>
      <c r="C1867" s="138"/>
      <c r="D1867" s="139"/>
      <c r="E1867" s="138"/>
      <c r="F1867" s="138"/>
      <c r="G1867" s="138"/>
      <c r="H1867" s="138"/>
      <c r="I1867" s="138"/>
      <c r="J1867" s="138"/>
      <c r="K1867" s="138"/>
      <c r="L1867" s="138">
        <v>0.0</v>
      </c>
      <c r="M1867" s="140" t="str">
        <f>VLOOKUP(text(D1867, "#"),'Master Table'!$A:$F, 6, FALSE)</f>
        <v>#N/A</v>
      </c>
      <c r="N1867" s="141"/>
      <c r="O1867" s="142" t="str">
        <f t="shared" si="1"/>
        <v/>
      </c>
      <c r="P1867" s="143" t="str">
        <f>IF(ISNA(VLOOKUP(CONCAT(M1867,C1867), 'Judge Count DO NOT EDIT'!H:H, 1, FALSE)), "ERROR","")</f>
        <v>ERROR</v>
      </c>
      <c r="Q1867" s="141"/>
      <c r="R1867" s="143"/>
      <c r="S1867" s="139"/>
      <c r="T1867" s="141"/>
    </row>
    <row r="1868">
      <c r="A1868" s="138"/>
      <c r="B1868" s="138"/>
      <c r="C1868" s="138"/>
      <c r="D1868" s="139"/>
      <c r="E1868" s="138"/>
      <c r="F1868" s="138"/>
      <c r="G1868" s="138"/>
      <c r="H1868" s="138"/>
      <c r="I1868" s="138"/>
      <c r="J1868" s="138"/>
      <c r="K1868" s="138"/>
      <c r="L1868" s="138">
        <v>0.0</v>
      </c>
      <c r="M1868" s="140" t="str">
        <f>VLOOKUP(text(D1868, "#"),'Master Table'!$A:$F, 6, FALSE)</f>
        <v>#N/A</v>
      </c>
      <c r="N1868" s="141"/>
      <c r="O1868" s="142" t="str">
        <f t="shared" si="1"/>
        <v/>
      </c>
      <c r="P1868" s="143" t="str">
        <f>IF(ISNA(VLOOKUP(CONCAT(M1868,C1868), 'Judge Count DO NOT EDIT'!H:H, 1, FALSE)), "ERROR","")</f>
        <v>ERROR</v>
      </c>
      <c r="Q1868" s="141"/>
      <c r="R1868" s="143"/>
      <c r="S1868" s="139"/>
      <c r="T1868" s="141"/>
    </row>
    <row r="1869">
      <c r="A1869" s="138"/>
      <c r="B1869" s="138"/>
      <c r="C1869" s="138"/>
      <c r="D1869" s="139"/>
      <c r="E1869" s="138"/>
      <c r="F1869" s="138"/>
      <c r="G1869" s="138"/>
      <c r="H1869" s="138"/>
      <c r="I1869" s="138"/>
      <c r="J1869" s="138"/>
      <c r="K1869" s="138"/>
      <c r="L1869" s="138">
        <v>0.0</v>
      </c>
      <c r="M1869" s="140" t="str">
        <f>VLOOKUP(text(D1869, "#"),'Master Table'!$A:$F, 6, FALSE)</f>
        <v>#N/A</v>
      </c>
      <c r="N1869" s="141"/>
      <c r="O1869" s="142" t="str">
        <f t="shared" si="1"/>
        <v/>
      </c>
      <c r="P1869" s="143" t="str">
        <f>IF(ISNA(VLOOKUP(CONCAT(M1869,C1869), 'Judge Count DO NOT EDIT'!H:H, 1, FALSE)), "ERROR","")</f>
        <v>ERROR</v>
      </c>
      <c r="Q1869" s="141"/>
      <c r="R1869" s="143"/>
      <c r="S1869" s="139"/>
      <c r="T1869" s="141"/>
    </row>
    <row r="1870">
      <c r="A1870" s="138"/>
      <c r="B1870" s="138"/>
      <c r="C1870" s="138"/>
      <c r="D1870" s="139"/>
      <c r="E1870" s="138"/>
      <c r="F1870" s="138"/>
      <c r="G1870" s="138"/>
      <c r="H1870" s="138"/>
      <c r="I1870" s="138"/>
      <c r="J1870" s="138"/>
      <c r="K1870" s="138"/>
      <c r="L1870" s="138">
        <v>0.0</v>
      </c>
      <c r="M1870" s="140" t="str">
        <f>VLOOKUP(text(D1870, "#"),'Master Table'!$A:$F, 6, FALSE)</f>
        <v>#N/A</v>
      </c>
      <c r="N1870" s="141"/>
      <c r="O1870" s="142" t="str">
        <f t="shared" si="1"/>
        <v/>
      </c>
      <c r="P1870" s="143" t="str">
        <f>IF(ISNA(VLOOKUP(CONCAT(M1870,C1870), 'Judge Count DO NOT EDIT'!H:H, 1, FALSE)), "ERROR","")</f>
        <v>ERROR</v>
      </c>
      <c r="Q1870" s="141"/>
      <c r="R1870" s="143"/>
      <c r="S1870" s="139"/>
      <c r="T1870" s="141"/>
    </row>
    <row r="1871">
      <c r="A1871" s="138"/>
      <c r="B1871" s="138"/>
      <c r="C1871" s="138"/>
      <c r="D1871" s="139"/>
      <c r="E1871" s="138"/>
      <c r="F1871" s="138"/>
      <c r="G1871" s="138"/>
      <c r="H1871" s="138"/>
      <c r="I1871" s="138"/>
      <c r="J1871" s="138"/>
      <c r="K1871" s="138"/>
      <c r="L1871" s="138">
        <v>0.0</v>
      </c>
      <c r="M1871" s="140" t="str">
        <f>VLOOKUP(text(D1871, "#"),'Master Table'!$A:$F, 6, FALSE)</f>
        <v>#N/A</v>
      </c>
      <c r="N1871" s="141"/>
      <c r="O1871" s="142" t="str">
        <f t="shared" si="1"/>
        <v/>
      </c>
      <c r="P1871" s="143" t="str">
        <f>IF(ISNA(VLOOKUP(CONCAT(M1871,C1871), 'Judge Count DO NOT EDIT'!H:H, 1, FALSE)), "ERROR","")</f>
        <v>ERROR</v>
      </c>
      <c r="Q1871" s="141"/>
      <c r="R1871" s="143"/>
      <c r="S1871" s="139"/>
      <c r="T1871" s="141"/>
    </row>
    <row r="1872">
      <c r="A1872" s="138"/>
      <c r="B1872" s="138"/>
      <c r="C1872" s="138"/>
      <c r="D1872" s="139"/>
      <c r="E1872" s="138"/>
      <c r="F1872" s="138"/>
      <c r="G1872" s="138"/>
      <c r="H1872" s="138"/>
      <c r="I1872" s="138"/>
      <c r="J1872" s="138"/>
      <c r="K1872" s="138"/>
      <c r="L1872" s="138">
        <v>0.0</v>
      </c>
      <c r="M1872" s="140" t="str">
        <f>VLOOKUP(text(D1872, "#"),'Master Table'!$A:$F, 6, FALSE)</f>
        <v>#N/A</v>
      </c>
      <c r="N1872" s="141"/>
      <c r="O1872" s="142" t="str">
        <f t="shared" si="1"/>
        <v/>
      </c>
      <c r="P1872" s="143" t="str">
        <f>IF(ISNA(VLOOKUP(CONCAT(M1872,C1872), 'Judge Count DO NOT EDIT'!H:H, 1, FALSE)), "ERROR","")</f>
        <v>ERROR</v>
      </c>
      <c r="Q1872" s="141"/>
      <c r="R1872" s="143"/>
      <c r="S1872" s="139"/>
      <c r="T1872" s="141"/>
    </row>
    <row r="1873">
      <c r="A1873" s="138"/>
      <c r="B1873" s="138"/>
      <c r="C1873" s="138"/>
      <c r="D1873" s="139"/>
      <c r="E1873" s="138"/>
      <c r="F1873" s="138"/>
      <c r="G1873" s="138"/>
      <c r="H1873" s="138"/>
      <c r="I1873" s="138"/>
      <c r="J1873" s="138"/>
      <c r="K1873" s="138"/>
      <c r="L1873" s="138">
        <v>0.0</v>
      </c>
      <c r="M1873" s="140" t="str">
        <f>VLOOKUP(text(D1873, "#"),'Master Table'!$A:$F, 6, FALSE)</f>
        <v>#N/A</v>
      </c>
      <c r="N1873" s="141"/>
      <c r="O1873" s="142" t="str">
        <f t="shared" si="1"/>
        <v/>
      </c>
      <c r="P1873" s="143" t="str">
        <f>IF(ISNA(VLOOKUP(CONCAT(M1873,C1873), 'Judge Count DO NOT EDIT'!H:H, 1, FALSE)), "ERROR","")</f>
        <v>ERROR</v>
      </c>
      <c r="Q1873" s="141"/>
      <c r="R1873" s="143"/>
      <c r="S1873" s="139"/>
      <c r="T1873" s="141"/>
    </row>
    <row r="1874">
      <c r="A1874" s="138"/>
      <c r="B1874" s="138"/>
      <c r="C1874" s="138"/>
      <c r="D1874" s="139"/>
      <c r="E1874" s="138"/>
      <c r="F1874" s="138"/>
      <c r="G1874" s="138"/>
      <c r="H1874" s="138"/>
      <c r="I1874" s="138"/>
      <c r="J1874" s="138"/>
      <c r="K1874" s="138"/>
      <c r="L1874" s="138">
        <v>0.0</v>
      </c>
      <c r="M1874" s="140" t="str">
        <f>VLOOKUP(text(D1874, "#"),'Master Table'!$A:$F, 6, FALSE)</f>
        <v>#N/A</v>
      </c>
      <c r="N1874" s="141"/>
      <c r="O1874" s="142" t="str">
        <f t="shared" si="1"/>
        <v/>
      </c>
      <c r="P1874" s="143" t="str">
        <f>IF(ISNA(VLOOKUP(CONCAT(M1874,C1874), 'Judge Count DO NOT EDIT'!H:H, 1, FALSE)), "ERROR","")</f>
        <v>ERROR</v>
      </c>
      <c r="Q1874" s="141"/>
      <c r="R1874" s="143"/>
      <c r="S1874" s="139"/>
      <c r="T1874" s="141"/>
    </row>
    <row r="1875">
      <c r="A1875" s="138"/>
      <c r="B1875" s="138"/>
      <c r="C1875" s="138"/>
      <c r="D1875" s="139"/>
      <c r="E1875" s="138"/>
      <c r="F1875" s="138"/>
      <c r="G1875" s="138"/>
      <c r="H1875" s="138"/>
      <c r="I1875" s="138"/>
      <c r="J1875" s="138"/>
      <c r="K1875" s="138"/>
      <c r="L1875" s="138">
        <v>0.0</v>
      </c>
      <c r="M1875" s="140" t="str">
        <f>VLOOKUP(text(D1875, "#"),'Master Table'!$A:$F, 6, FALSE)</f>
        <v>#N/A</v>
      </c>
      <c r="N1875" s="141"/>
      <c r="O1875" s="142" t="str">
        <f t="shared" si="1"/>
        <v/>
      </c>
      <c r="P1875" s="143" t="str">
        <f>IF(ISNA(VLOOKUP(CONCAT(M1875,C1875), 'Judge Count DO NOT EDIT'!H:H, 1, FALSE)), "ERROR","")</f>
        <v>ERROR</v>
      </c>
      <c r="Q1875" s="141"/>
      <c r="R1875" s="143"/>
      <c r="S1875" s="139"/>
      <c r="T1875" s="141"/>
    </row>
    <row r="1876">
      <c r="A1876" s="138"/>
      <c r="B1876" s="138"/>
      <c r="C1876" s="138"/>
      <c r="D1876" s="139"/>
      <c r="E1876" s="138"/>
      <c r="F1876" s="138"/>
      <c r="G1876" s="138"/>
      <c r="H1876" s="138"/>
      <c r="I1876" s="138"/>
      <c r="J1876" s="138"/>
      <c r="K1876" s="138"/>
      <c r="L1876" s="138">
        <v>0.0</v>
      </c>
      <c r="M1876" s="140" t="str">
        <f>VLOOKUP(text(D1876, "#"),'Master Table'!$A:$F, 6, FALSE)</f>
        <v>#N/A</v>
      </c>
      <c r="N1876" s="141"/>
      <c r="O1876" s="142" t="str">
        <f t="shared" si="1"/>
        <v/>
      </c>
      <c r="P1876" s="143" t="str">
        <f>IF(ISNA(VLOOKUP(CONCAT(M1876,C1876), 'Judge Count DO NOT EDIT'!H:H, 1, FALSE)), "ERROR","")</f>
        <v>ERROR</v>
      </c>
      <c r="Q1876" s="141"/>
      <c r="R1876" s="143"/>
      <c r="S1876" s="139"/>
      <c r="T1876" s="141"/>
    </row>
    <row r="1877">
      <c r="A1877" s="138"/>
      <c r="B1877" s="138"/>
      <c r="C1877" s="138"/>
      <c r="D1877" s="139"/>
      <c r="E1877" s="138"/>
      <c r="F1877" s="138"/>
      <c r="G1877" s="138"/>
      <c r="H1877" s="138"/>
      <c r="I1877" s="138"/>
      <c r="J1877" s="138"/>
      <c r="K1877" s="138"/>
      <c r="L1877" s="138">
        <v>0.0</v>
      </c>
      <c r="M1877" s="140" t="str">
        <f>VLOOKUP(text(D1877, "#"),'Master Table'!$A:$F, 6, FALSE)</f>
        <v>#N/A</v>
      </c>
      <c r="N1877" s="141"/>
      <c r="O1877" s="142" t="str">
        <f t="shared" si="1"/>
        <v/>
      </c>
      <c r="P1877" s="143" t="str">
        <f>IF(ISNA(VLOOKUP(CONCAT(M1877,C1877), 'Judge Count DO NOT EDIT'!H:H, 1, FALSE)), "ERROR","")</f>
        <v>ERROR</v>
      </c>
      <c r="Q1877" s="141"/>
      <c r="R1877" s="143"/>
      <c r="S1877" s="139"/>
      <c r="T1877" s="141"/>
    </row>
    <row r="1878">
      <c r="A1878" s="138"/>
      <c r="B1878" s="138"/>
      <c r="C1878" s="138"/>
      <c r="D1878" s="139"/>
      <c r="E1878" s="138"/>
      <c r="F1878" s="138"/>
      <c r="G1878" s="138"/>
      <c r="H1878" s="138"/>
      <c r="I1878" s="138"/>
      <c r="J1878" s="138"/>
      <c r="K1878" s="138"/>
      <c r="L1878" s="138">
        <v>0.0</v>
      </c>
      <c r="M1878" s="140" t="str">
        <f>VLOOKUP(text(D1878, "#"),'Master Table'!$A:$F, 6, FALSE)</f>
        <v>#N/A</v>
      </c>
      <c r="N1878" s="141"/>
      <c r="O1878" s="142" t="str">
        <f t="shared" si="1"/>
        <v/>
      </c>
      <c r="P1878" s="143" t="str">
        <f>IF(ISNA(VLOOKUP(CONCAT(M1878,C1878), 'Judge Count DO NOT EDIT'!H:H, 1, FALSE)), "ERROR","")</f>
        <v>ERROR</v>
      </c>
      <c r="Q1878" s="141"/>
      <c r="R1878" s="143"/>
      <c r="S1878" s="139"/>
      <c r="T1878" s="141"/>
    </row>
    <row r="1879">
      <c r="A1879" s="138"/>
      <c r="B1879" s="138"/>
      <c r="C1879" s="138"/>
      <c r="D1879" s="139"/>
      <c r="E1879" s="138"/>
      <c r="F1879" s="138"/>
      <c r="G1879" s="138"/>
      <c r="H1879" s="138"/>
      <c r="I1879" s="138"/>
      <c r="J1879" s="138"/>
      <c r="K1879" s="138"/>
      <c r="L1879" s="138">
        <v>0.0</v>
      </c>
      <c r="M1879" s="140" t="str">
        <f>VLOOKUP(text(D1879, "#"),'Master Table'!$A:$F, 6, FALSE)</f>
        <v>#N/A</v>
      </c>
      <c r="N1879" s="141"/>
      <c r="O1879" s="142" t="str">
        <f t="shared" si="1"/>
        <v/>
      </c>
      <c r="P1879" s="143" t="str">
        <f>IF(ISNA(VLOOKUP(CONCAT(M1879,C1879), 'Judge Count DO NOT EDIT'!H:H, 1, FALSE)), "ERROR","")</f>
        <v>ERROR</v>
      </c>
      <c r="Q1879" s="141"/>
      <c r="R1879" s="143"/>
      <c r="S1879" s="139"/>
      <c r="T1879" s="141"/>
    </row>
    <row r="1880">
      <c r="A1880" s="138"/>
      <c r="B1880" s="138"/>
      <c r="C1880" s="138"/>
      <c r="D1880" s="139"/>
      <c r="E1880" s="138"/>
      <c r="F1880" s="138"/>
      <c r="G1880" s="138"/>
      <c r="H1880" s="138"/>
      <c r="I1880" s="138"/>
      <c r="J1880" s="138"/>
      <c r="K1880" s="138"/>
      <c r="L1880" s="138">
        <v>0.0</v>
      </c>
      <c r="M1880" s="140" t="str">
        <f>VLOOKUP(text(D1880, "#"),'Master Table'!$A:$F, 6, FALSE)</f>
        <v>#N/A</v>
      </c>
      <c r="N1880" s="141"/>
      <c r="O1880" s="142" t="str">
        <f t="shared" si="1"/>
        <v/>
      </c>
      <c r="P1880" s="143" t="str">
        <f>IF(ISNA(VLOOKUP(CONCAT(M1880,C1880), 'Judge Count DO NOT EDIT'!H:H, 1, FALSE)), "ERROR","")</f>
        <v>ERROR</v>
      </c>
      <c r="Q1880" s="141"/>
      <c r="R1880" s="143"/>
      <c r="S1880" s="139"/>
      <c r="T1880" s="141"/>
    </row>
    <row r="1881">
      <c r="A1881" s="138"/>
      <c r="B1881" s="138"/>
      <c r="C1881" s="138"/>
      <c r="D1881" s="139"/>
      <c r="E1881" s="138"/>
      <c r="F1881" s="138"/>
      <c r="G1881" s="138"/>
      <c r="H1881" s="138"/>
      <c r="I1881" s="138"/>
      <c r="J1881" s="138"/>
      <c r="K1881" s="138"/>
      <c r="L1881" s="138">
        <v>0.0</v>
      </c>
      <c r="M1881" s="140" t="str">
        <f>VLOOKUP(text(D1881, "#"),'Master Table'!$A:$F, 6, FALSE)</f>
        <v>#N/A</v>
      </c>
      <c r="N1881" s="141"/>
      <c r="O1881" s="142" t="str">
        <f t="shared" si="1"/>
        <v/>
      </c>
      <c r="P1881" s="143" t="str">
        <f>IF(ISNA(VLOOKUP(CONCAT(M1881,C1881), 'Judge Count DO NOT EDIT'!H:H, 1, FALSE)), "ERROR","")</f>
        <v>ERROR</v>
      </c>
      <c r="Q1881" s="141"/>
      <c r="R1881" s="143"/>
      <c r="S1881" s="139"/>
      <c r="T1881" s="141"/>
    </row>
    <row r="1882">
      <c r="A1882" s="138"/>
      <c r="B1882" s="138"/>
      <c r="C1882" s="138"/>
      <c r="D1882" s="139"/>
      <c r="E1882" s="138"/>
      <c r="F1882" s="138"/>
      <c r="G1882" s="138"/>
      <c r="H1882" s="138"/>
      <c r="I1882" s="138"/>
      <c r="J1882" s="138"/>
      <c r="K1882" s="138"/>
      <c r="L1882" s="138">
        <v>0.0</v>
      </c>
      <c r="M1882" s="140" t="str">
        <f>VLOOKUP(text(D1882, "#"),'Master Table'!$A:$F, 6, FALSE)</f>
        <v>#N/A</v>
      </c>
      <c r="N1882" s="141"/>
      <c r="O1882" s="142" t="str">
        <f t="shared" si="1"/>
        <v/>
      </c>
      <c r="P1882" s="143" t="str">
        <f>IF(ISNA(VLOOKUP(CONCAT(M1882,C1882), 'Judge Count DO NOT EDIT'!H:H, 1, FALSE)), "ERROR","")</f>
        <v>ERROR</v>
      </c>
      <c r="Q1882" s="141"/>
      <c r="R1882" s="143"/>
      <c r="S1882" s="139"/>
      <c r="T1882" s="141"/>
    </row>
    <row r="1883">
      <c r="A1883" s="138"/>
      <c r="B1883" s="138"/>
      <c r="C1883" s="138"/>
      <c r="D1883" s="139"/>
      <c r="E1883" s="138"/>
      <c r="F1883" s="138"/>
      <c r="G1883" s="138"/>
      <c r="H1883" s="138"/>
      <c r="I1883" s="138"/>
      <c r="J1883" s="138"/>
      <c r="K1883" s="138"/>
      <c r="L1883" s="138">
        <v>0.0</v>
      </c>
      <c r="M1883" s="140" t="str">
        <f>VLOOKUP(text(D1883, "#"),'Master Table'!$A:$F, 6, FALSE)</f>
        <v>#N/A</v>
      </c>
      <c r="N1883" s="141"/>
      <c r="O1883" s="142" t="str">
        <f t="shared" si="1"/>
        <v/>
      </c>
      <c r="P1883" s="143" t="str">
        <f>IF(ISNA(VLOOKUP(CONCAT(M1883,C1883), 'Judge Count DO NOT EDIT'!H:H, 1, FALSE)), "ERROR","")</f>
        <v>ERROR</v>
      </c>
      <c r="Q1883" s="141"/>
      <c r="R1883" s="143"/>
      <c r="S1883" s="139"/>
      <c r="T1883" s="141"/>
    </row>
    <row r="1884">
      <c r="A1884" s="138"/>
      <c r="B1884" s="138"/>
      <c r="C1884" s="138"/>
      <c r="D1884" s="139"/>
      <c r="E1884" s="138"/>
      <c r="F1884" s="138"/>
      <c r="G1884" s="138"/>
      <c r="H1884" s="138"/>
      <c r="I1884" s="138"/>
      <c r="J1884" s="138"/>
      <c r="K1884" s="138"/>
      <c r="L1884" s="138">
        <v>0.0</v>
      </c>
      <c r="M1884" s="140" t="str">
        <f>VLOOKUP(text(D1884, "#"),'Master Table'!$A:$F, 6, FALSE)</f>
        <v>#N/A</v>
      </c>
      <c r="N1884" s="141"/>
      <c r="O1884" s="142" t="str">
        <f t="shared" si="1"/>
        <v/>
      </c>
      <c r="P1884" s="143" t="str">
        <f>IF(ISNA(VLOOKUP(CONCAT(M1884,C1884), 'Judge Count DO NOT EDIT'!H:H, 1, FALSE)), "ERROR","")</f>
        <v>ERROR</v>
      </c>
      <c r="Q1884" s="141"/>
      <c r="R1884" s="143"/>
      <c r="S1884" s="139"/>
      <c r="T1884" s="141"/>
    </row>
    <row r="1885">
      <c r="A1885" s="138"/>
      <c r="B1885" s="138"/>
      <c r="C1885" s="138"/>
      <c r="D1885" s="139"/>
      <c r="E1885" s="138"/>
      <c r="F1885" s="138"/>
      <c r="G1885" s="138"/>
      <c r="H1885" s="138"/>
      <c r="I1885" s="138"/>
      <c r="J1885" s="138"/>
      <c r="K1885" s="138"/>
      <c r="L1885" s="138">
        <v>0.0</v>
      </c>
      <c r="M1885" s="140" t="str">
        <f>VLOOKUP(text(D1885, "#"),'Master Table'!$A:$F, 6, FALSE)</f>
        <v>#N/A</v>
      </c>
      <c r="N1885" s="141"/>
      <c r="O1885" s="142" t="str">
        <f t="shared" si="1"/>
        <v/>
      </c>
      <c r="P1885" s="143" t="str">
        <f>IF(ISNA(VLOOKUP(CONCAT(M1885,C1885), 'Judge Count DO NOT EDIT'!H:H, 1, FALSE)), "ERROR","")</f>
        <v>ERROR</v>
      </c>
      <c r="Q1885" s="141"/>
      <c r="R1885" s="143"/>
      <c r="S1885" s="139"/>
      <c r="T1885" s="141"/>
    </row>
    <row r="1886">
      <c r="A1886" s="138"/>
      <c r="B1886" s="138"/>
      <c r="C1886" s="138"/>
      <c r="D1886" s="139"/>
      <c r="E1886" s="138"/>
      <c r="F1886" s="138"/>
      <c r="G1886" s="138"/>
      <c r="H1886" s="138"/>
      <c r="I1886" s="138"/>
      <c r="J1886" s="138"/>
      <c r="K1886" s="138"/>
      <c r="L1886" s="138">
        <v>0.0</v>
      </c>
      <c r="M1886" s="140" t="str">
        <f>VLOOKUP(text(D1886, "#"),'Master Table'!$A:$F, 6, FALSE)</f>
        <v>#N/A</v>
      </c>
      <c r="N1886" s="141"/>
      <c r="O1886" s="142" t="str">
        <f t="shared" si="1"/>
        <v/>
      </c>
      <c r="P1886" s="143" t="str">
        <f>IF(ISNA(VLOOKUP(CONCAT(M1886,C1886), 'Judge Count DO NOT EDIT'!H:H, 1, FALSE)), "ERROR","")</f>
        <v>ERROR</v>
      </c>
      <c r="Q1886" s="141"/>
      <c r="R1886" s="143"/>
      <c r="S1886" s="139"/>
      <c r="T1886" s="141"/>
    </row>
    <row r="1887">
      <c r="A1887" s="138"/>
      <c r="B1887" s="138"/>
      <c r="C1887" s="138"/>
      <c r="D1887" s="139"/>
      <c r="E1887" s="138"/>
      <c r="F1887" s="138"/>
      <c r="G1887" s="138"/>
      <c r="H1887" s="138"/>
      <c r="I1887" s="138"/>
      <c r="J1887" s="138"/>
      <c r="K1887" s="138"/>
      <c r="L1887" s="138">
        <v>0.0</v>
      </c>
      <c r="M1887" s="140" t="str">
        <f>VLOOKUP(text(D1887, "#"),'Master Table'!$A:$F, 6, FALSE)</f>
        <v>#N/A</v>
      </c>
      <c r="N1887" s="141"/>
      <c r="O1887" s="142" t="str">
        <f t="shared" si="1"/>
        <v/>
      </c>
      <c r="P1887" s="143" t="str">
        <f>IF(ISNA(VLOOKUP(CONCAT(M1887,C1887), 'Judge Count DO NOT EDIT'!H:H, 1, FALSE)), "ERROR","")</f>
        <v>ERROR</v>
      </c>
      <c r="Q1887" s="141"/>
      <c r="R1887" s="143"/>
      <c r="S1887" s="139"/>
      <c r="T1887" s="141"/>
    </row>
    <row r="1888">
      <c r="A1888" s="138"/>
      <c r="B1888" s="138"/>
      <c r="C1888" s="138"/>
      <c r="D1888" s="139"/>
      <c r="E1888" s="138"/>
      <c r="F1888" s="138"/>
      <c r="G1888" s="138"/>
      <c r="H1888" s="138"/>
      <c r="I1888" s="138"/>
      <c r="J1888" s="138"/>
      <c r="K1888" s="138"/>
      <c r="L1888" s="138">
        <v>0.0</v>
      </c>
      <c r="M1888" s="140" t="str">
        <f>VLOOKUP(text(D1888, "#"),'Master Table'!$A:$F, 6, FALSE)</f>
        <v>#N/A</v>
      </c>
      <c r="N1888" s="141"/>
      <c r="O1888" s="142" t="str">
        <f t="shared" si="1"/>
        <v/>
      </c>
      <c r="P1888" s="143" t="str">
        <f>IF(ISNA(VLOOKUP(CONCAT(M1888,C1888), 'Judge Count DO NOT EDIT'!H:H, 1, FALSE)), "ERROR","")</f>
        <v>ERROR</v>
      </c>
      <c r="Q1888" s="141"/>
      <c r="R1888" s="143"/>
      <c r="S1888" s="139"/>
      <c r="T1888" s="141"/>
    </row>
    <row r="1889">
      <c r="A1889" s="138"/>
      <c r="B1889" s="138"/>
      <c r="C1889" s="138"/>
      <c r="D1889" s="139"/>
      <c r="E1889" s="138"/>
      <c r="F1889" s="138"/>
      <c r="G1889" s="138"/>
      <c r="H1889" s="138"/>
      <c r="I1889" s="138"/>
      <c r="J1889" s="138"/>
      <c r="K1889" s="138"/>
      <c r="L1889" s="138">
        <v>0.0</v>
      </c>
      <c r="M1889" s="140" t="str">
        <f>VLOOKUP(text(D1889, "#"),'Master Table'!$A:$F, 6, FALSE)</f>
        <v>#N/A</v>
      </c>
      <c r="N1889" s="141"/>
      <c r="O1889" s="142" t="str">
        <f t="shared" si="1"/>
        <v/>
      </c>
      <c r="P1889" s="143" t="str">
        <f>IF(ISNA(VLOOKUP(CONCAT(M1889,C1889), 'Judge Count DO NOT EDIT'!H:H, 1, FALSE)), "ERROR","")</f>
        <v>ERROR</v>
      </c>
      <c r="Q1889" s="141"/>
      <c r="R1889" s="143"/>
      <c r="S1889" s="139"/>
      <c r="T1889" s="141"/>
    </row>
    <row r="1890">
      <c r="A1890" s="138"/>
      <c r="B1890" s="138"/>
      <c r="C1890" s="138"/>
      <c r="D1890" s="139"/>
      <c r="E1890" s="138"/>
      <c r="F1890" s="138"/>
      <c r="G1890" s="138"/>
      <c r="H1890" s="138"/>
      <c r="I1890" s="138"/>
      <c r="J1890" s="138"/>
      <c r="K1890" s="138"/>
      <c r="L1890" s="138">
        <v>0.0</v>
      </c>
      <c r="M1890" s="140" t="str">
        <f>VLOOKUP(text(D1890, "#"),'Master Table'!$A:$F, 6, FALSE)</f>
        <v>#N/A</v>
      </c>
      <c r="N1890" s="141"/>
      <c r="O1890" s="142" t="str">
        <f t="shared" si="1"/>
        <v/>
      </c>
      <c r="P1890" s="143" t="str">
        <f>IF(ISNA(VLOOKUP(CONCAT(M1890,C1890), 'Judge Count DO NOT EDIT'!H:H, 1, FALSE)), "ERROR","")</f>
        <v>ERROR</v>
      </c>
      <c r="Q1890" s="141"/>
      <c r="R1890" s="143"/>
      <c r="S1890" s="139"/>
      <c r="T1890" s="141"/>
    </row>
    <row r="1891">
      <c r="A1891" s="138"/>
      <c r="B1891" s="138"/>
      <c r="C1891" s="138"/>
      <c r="D1891" s="139"/>
      <c r="E1891" s="138"/>
      <c r="F1891" s="138"/>
      <c r="G1891" s="138"/>
      <c r="H1891" s="138"/>
      <c r="I1891" s="138"/>
      <c r="J1891" s="138"/>
      <c r="K1891" s="138"/>
      <c r="L1891" s="138">
        <v>0.0</v>
      </c>
      <c r="M1891" s="140" t="str">
        <f>VLOOKUP(text(D1891, "#"),'Master Table'!$A:$F, 6, FALSE)</f>
        <v>#N/A</v>
      </c>
      <c r="N1891" s="141"/>
      <c r="O1891" s="142" t="str">
        <f t="shared" si="1"/>
        <v/>
      </c>
      <c r="P1891" s="143" t="str">
        <f>IF(ISNA(VLOOKUP(CONCAT(M1891,C1891), 'Judge Count DO NOT EDIT'!H:H, 1, FALSE)), "ERROR","")</f>
        <v>ERROR</v>
      </c>
      <c r="Q1891" s="141"/>
      <c r="R1891" s="143"/>
      <c r="S1891" s="139"/>
      <c r="T1891" s="141"/>
    </row>
    <row r="1892">
      <c r="A1892" s="138"/>
      <c r="B1892" s="138"/>
      <c r="C1892" s="138"/>
      <c r="D1892" s="139"/>
      <c r="E1892" s="138"/>
      <c r="F1892" s="138"/>
      <c r="G1892" s="138"/>
      <c r="H1892" s="138"/>
      <c r="I1892" s="138"/>
      <c r="J1892" s="138"/>
      <c r="K1892" s="138"/>
      <c r="L1892" s="138">
        <v>0.0</v>
      </c>
      <c r="M1892" s="140" t="str">
        <f>VLOOKUP(text(D1892, "#"),'Master Table'!$A:$F, 6, FALSE)</f>
        <v>#N/A</v>
      </c>
      <c r="N1892" s="141"/>
      <c r="O1892" s="142" t="str">
        <f t="shared" si="1"/>
        <v/>
      </c>
      <c r="P1892" s="143" t="str">
        <f>IF(ISNA(VLOOKUP(CONCAT(M1892,C1892), 'Judge Count DO NOT EDIT'!H:H, 1, FALSE)), "ERROR","")</f>
        <v>ERROR</v>
      </c>
      <c r="Q1892" s="141"/>
      <c r="R1892" s="143"/>
      <c r="S1892" s="139"/>
      <c r="T1892" s="141"/>
    </row>
    <row r="1893">
      <c r="A1893" s="138"/>
      <c r="B1893" s="138"/>
      <c r="C1893" s="138"/>
      <c r="D1893" s="139"/>
      <c r="E1893" s="138"/>
      <c r="F1893" s="138"/>
      <c r="G1893" s="138"/>
      <c r="H1893" s="138"/>
      <c r="I1893" s="138"/>
      <c r="J1893" s="138"/>
      <c r="K1893" s="138"/>
      <c r="L1893" s="138">
        <v>0.0</v>
      </c>
      <c r="M1893" s="140" t="str">
        <f>VLOOKUP(text(D1893, "#"),'Master Table'!$A:$F, 6, FALSE)</f>
        <v>#N/A</v>
      </c>
      <c r="N1893" s="141"/>
      <c r="O1893" s="142" t="str">
        <f t="shared" si="1"/>
        <v/>
      </c>
      <c r="P1893" s="143" t="str">
        <f>IF(ISNA(VLOOKUP(CONCAT(M1893,C1893), 'Judge Count DO NOT EDIT'!H:H, 1, FALSE)), "ERROR","")</f>
        <v>ERROR</v>
      </c>
      <c r="Q1893" s="141"/>
      <c r="R1893" s="143"/>
      <c r="S1893" s="139"/>
      <c r="T1893" s="141"/>
    </row>
    <row r="1894">
      <c r="A1894" s="138"/>
      <c r="B1894" s="138"/>
      <c r="C1894" s="138"/>
      <c r="D1894" s="139"/>
      <c r="E1894" s="138"/>
      <c r="F1894" s="138"/>
      <c r="G1894" s="138"/>
      <c r="H1894" s="138"/>
      <c r="I1894" s="138"/>
      <c r="J1894" s="138"/>
      <c r="K1894" s="138"/>
      <c r="L1894" s="138">
        <v>0.0</v>
      </c>
      <c r="M1894" s="140" t="str">
        <f>VLOOKUP(text(D1894, "#"),'Master Table'!$A:$F, 6, FALSE)</f>
        <v>#N/A</v>
      </c>
      <c r="N1894" s="141"/>
      <c r="O1894" s="142" t="str">
        <f t="shared" si="1"/>
        <v/>
      </c>
      <c r="P1894" s="143" t="str">
        <f>IF(ISNA(VLOOKUP(CONCAT(M1894,C1894), 'Judge Count DO NOT EDIT'!H:H, 1, FALSE)), "ERROR","")</f>
        <v>ERROR</v>
      </c>
      <c r="Q1894" s="141"/>
      <c r="R1894" s="143"/>
      <c r="S1894" s="139"/>
      <c r="T1894" s="141"/>
    </row>
    <row r="1895">
      <c r="A1895" s="138"/>
      <c r="B1895" s="138"/>
      <c r="C1895" s="138"/>
      <c r="D1895" s="139"/>
      <c r="E1895" s="138"/>
      <c r="F1895" s="138"/>
      <c r="G1895" s="138"/>
      <c r="H1895" s="138"/>
      <c r="I1895" s="138"/>
      <c r="J1895" s="138"/>
      <c r="K1895" s="138"/>
      <c r="L1895" s="138">
        <v>0.0</v>
      </c>
      <c r="M1895" s="140" t="str">
        <f>VLOOKUP(text(D1895, "#"),'Master Table'!$A:$F, 6, FALSE)</f>
        <v>#N/A</v>
      </c>
      <c r="N1895" s="141"/>
      <c r="O1895" s="142" t="str">
        <f t="shared" si="1"/>
        <v/>
      </c>
      <c r="P1895" s="143" t="str">
        <f>IF(ISNA(VLOOKUP(CONCAT(M1895,C1895), 'Judge Count DO NOT EDIT'!H:H, 1, FALSE)), "ERROR","")</f>
        <v>ERROR</v>
      </c>
      <c r="Q1895" s="141"/>
      <c r="R1895" s="143"/>
      <c r="S1895" s="139"/>
      <c r="T1895" s="141"/>
    </row>
    <row r="1896">
      <c r="A1896" s="138"/>
      <c r="B1896" s="138"/>
      <c r="C1896" s="138"/>
      <c r="D1896" s="139"/>
      <c r="E1896" s="138"/>
      <c r="F1896" s="138"/>
      <c r="G1896" s="138"/>
      <c r="H1896" s="138"/>
      <c r="I1896" s="138"/>
      <c r="J1896" s="138"/>
      <c r="K1896" s="138"/>
      <c r="L1896" s="138">
        <v>0.0</v>
      </c>
      <c r="M1896" s="140" t="str">
        <f>VLOOKUP(text(D1896, "#"),'Master Table'!$A:$F, 6, FALSE)</f>
        <v>#N/A</v>
      </c>
      <c r="N1896" s="141"/>
      <c r="O1896" s="142" t="str">
        <f t="shared" si="1"/>
        <v/>
      </c>
      <c r="P1896" s="143" t="str">
        <f>IF(ISNA(VLOOKUP(CONCAT(M1896,C1896), 'Judge Count DO NOT EDIT'!H:H, 1, FALSE)), "ERROR","")</f>
        <v>ERROR</v>
      </c>
      <c r="Q1896" s="141"/>
      <c r="R1896" s="143"/>
      <c r="S1896" s="139"/>
      <c r="T1896" s="141"/>
    </row>
    <row r="1897">
      <c r="A1897" s="138"/>
      <c r="B1897" s="138"/>
      <c r="C1897" s="138"/>
      <c r="D1897" s="139"/>
      <c r="E1897" s="138"/>
      <c r="F1897" s="138"/>
      <c r="G1897" s="138"/>
      <c r="H1897" s="138"/>
      <c r="I1897" s="138"/>
      <c r="J1897" s="138"/>
      <c r="K1897" s="138"/>
      <c r="L1897" s="138">
        <v>0.0</v>
      </c>
      <c r="M1897" s="140" t="str">
        <f>VLOOKUP(text(D1897, "#"),'Master Table'!$A:$F, 6, FALSE)</f>
        <v>#N/A</v>
      </c>
      <c r="N1897" s="141"/>
      <c r="O1897" s="142" t="str">
        <f t="shared" si="1"/>
        <v/>
      </c>
      <c r="P1897" s="143" t="str">
        <f>IF(ISNA(VLOOKUP(CONCAT(M1897,C1897), 'Judge Count DO NOT EDIT'!H:H, 1, FALSE)), "ERROR","")</f>
        <v>ERROR</v>
      </c>
      <c r="Q1897" s="141"/>
      <c r="R1897" s="143"/>
      <c r="S1897" s="139"/>
      <c r="T1897" s="141"/>
    </row>
    <row r="1898">
      <c r="A1898" s="138"/>
      <c r="B1898" s="138"/>
      <c r="C1898" s="138"/>
      <c r="D1898" s="139"/>
      <c r="E1898" s="138"/>
      <c r="F1898" s="138"/>
      <c r="G1898" s="138"/>
      <c r="H1898" s="138"/>
      <c r="I1898" s="138"/>
      <c r="J1898" s="138"/>
      <c r="K1898" s="138"/>
      <c r="L1898" s="138">
        <v>0.0</v>
      </c>
      <c r="M1898" s="140" t="str">
        <f>VLOOKUP(text(D1898, "#"),'Master Table'!$A:$F, 6, FALSE)</f>
        <v>#N/A</v>
      </c>
      <c r="N1898" s="141"/>
      <c r="O1898" s="142" t="str">
        <f t="shared" si="1"/>
        <v/>
      </c>
      <c r="P1898" s="143" t="str">
        <f>IF(ISNA(VLOOKUP(CONCAT(M1898,C1898), 'Judge Count DO NOT EDIT'!H:H, 1, FALSE)), "ERROR","")</f>
        <v>ERROR</v>
      </c>
      <c r="Q1898" s="141"/>
      <c r="R1898" s="143"/>
      <c r="S1898" s="139"/>
      <c r="T1898" s="141"/>
    </row>
    <row r="1899">
      <c r="A1899" s="138"/>
      <c r="B1899" s="138"/>
      <c r="C1899" s="138"/>
      <c r="D1899" s="139"/>
      <c r="E1899" s="138"/>
      <c r="F1899" s="138"/>
      <c r="G1899" s="138"/>
      <c r="H1899" s="138"/>
      <c r="I1899" s="138"/>
      <c r="J1899" s="138"/>
      <c r="K1899" s="138"/>
      <c r="L1899" s="138">
        <v>0.0</v>
      </c>
      <c r="M1899" s="140" t="str">
        <f>VLOOKUP(text(D1899, "#"),'Master Table'!$A:$F, 6, FALSE)</f>
        <v>#N/A</v>
      </c>
      <c r="N1899" s="141"/>
      <c r="O1899" s="142" t="str">
        <f t="shared" si="1"/>
        <v/>
      </c>
      <c r="P1899" s="143" t="str">
        <f>IF(ISNA(VLOOKUP(CONCAT(M1899,C1899), 'Judge Count DO NOT EDIT'!H:H, 1, FALSE)), "ERROR","")</f>
        <v>ERROR</v>
      </c>
      <c r="Q1899" s="141"/>
      <c r="R1899" s="143"/>
      <c r="S1899" s="139"/>
      <c r="T1899" s="141"/>
    </row>
    <row r="1900">
      <c r="A1900" s="138"/>
      <c r="B1900" s="138"/>
      <c r="C1900" s="138"/>
      <c r="D1900" s="139"/>
      <c r="E1900" s="138"/>
      <c r="F1900" s="138"/>
      <c r="G1900" s="138"/>
      <c r="H1900" s="138"/>
      <c r="I1900" s="138"/>
      <c r="J1900" s="138"/>
      <c r="K1900" s="138"/>
      <c r="L1900" s="138">
        <v>0.0</v>
      </c>
      <c r="M1900" s="140" t="str">
        <f>VLOOKUP(text(D1900, "#"),'Master Table'!$A:$F, 6, FALSE)</f>
        <v>#N/A</v>
      </c>
      <c r="N1900" s="141"/>
      <c r="O1900" s="142" t="str">
        <f t="shared" si="1"/>
        <v/>
      </c>
      <c r="P1900" s="143" t="str">
        <f>IF(ISNA(VLOOKUP(CONCAT(M1900,C1900), 'Judge Count DO NOT EDIT'!H:H, 1, FALSE)), "ERROR","")</f>
        <v>ERROR</v>
      </c>
      <c r="Q1900" s="141"/>
      <c r="R1900" s="143"/>
      <c r="S1900" s="139"/>
      <c r="T1900" s="141"/>
    </row>
    <row r="1901">
      <c r="A1901" s="138"/>
      <c r="B1901" s="138"/>
      <c r="C1901" s="138"/>
      <c r="D1901" s="139"/>
      <c r="E1901" s="138"/>
      <c r="F1901" s="138"/>
      <c r="G1901" s="138"/>
      <c r="H1901" s="138"/>
      <c r="I1901" s="138"/>
      <c r="J1901" s="138"/>
      <c r="K1901" s="138"/>
      <c r="L1901" s="138">
        <v>0.0</v>
      </c>
      <c r="M1901" s="140" t="str">
        <f>VLOOKUP(text(D1901, "#"),'Master Table'!$A:$F, 6, FALSE)</f>
        <v>#N/A</v>
      </c>
      <c r="N1901" s="141"/>
      <c r="O1901" s="142" t="str">
        <f t="shared" si="1"/>
        <v/>
      </c>
      <c r="P1901" s="143" t="str">
        <f>IF(ISNA(VLOOKUP(CONCAT(M1901,C1901), 'Judge Count DO NOT EDIT'!H:H, 1, FALSE)), "ERROR","")</f>
        <v>ERROR</v>
      </c>
      <c r="Q1901" s="141"/>
      <c r="R1901" s="143"/>
      <c r="S1901" s="139"/>
      <c r="T1901" s="141"/>
    </row>
    <row r="1902">
      <c r="A1902" s="138"/>
      <c r="B1902" s="138"/>
      <c r="C1902" s="138"/>
      <c r="D1902" s="139"/>
      <c r="E1902" s="138"/>
      <c r="F1902" s="138"/>
      <c r="G1902" s="138"/>
      <c r="H1902" s="138"/>
      <c r="I1902" s="138"/>
      <c r="J1902" s="138"/>
      <c r="K1902" s="138"/>
      <c r="L1902" s="138">
        <v>0.0</v>
      </c>
      <c r="M1902" s="140" t="str">
        <f>VLOOKUP(text(D1902, "#"),'Master Table'!$A:$F, 6, FALSE)</f>
        <v>#N/A</v>
      </c>
      <c r="N1902" s="141"/>
      <c r="O1902" s="142" t="str">
        <f t="shared" si="1"/>
        <v/>
      </c>
      <c r="P1902" s="143" t="str">
        <f>IF(ISNA(VLOOKUP(CONCAT(M1902,C1902), 'Judge Count DO NOT EDIT'!H:H, 1, FALSE)), "ERROR","")</f>
        <v>ERROR</v>
      </c>
      <c r="Q1902" s="141"/>
      <c r="R1902" s="143"/>
      <c r="S1902" s="139"/>
      <c r="T1902" s="141"/>
    </row>
    <row r="1903">
      <c r="A1903" s="138"/>
      <c r="B1903" s="138"/>
      <c r="C1903" s="138"/>
      <c r="D1903" s="139"/>
      <c r="E1903" s="138"/>
      <c r="F1903" s="138"/>
      <c r="G1903" s="138"/>
      <c r="H1903" s="138"/>
      <c r="I1903" s="138"/>
      <c r="J1903" s="138"/>
      <c r="K1903" s="138"/>
      <c r="L1903" s="138">
        <v>0.0</v>
      </c>
      <c r="M1903" s="140" t="str">
        <f>VLOOKUP(text(D1903, "#"),'Master Table'!$A:$F, 6, FALSE)</f>
        <v>#N/A</v>
      </c>
      <c r="N1903" s="141"/>
      <c r="O1903" s="142" t="str">
        <f t="shared" si="1"/>
        <v/>
      </c>
      <c r="P1903" s="143" t="str">
        <f>IF(ISNA(VLOOKUP(CONCAT(M1903,C1903), 'Judge Count DO NOT EDIT'!H:H, 1, FALSE)), "ERROR","")</f>
        <v>ERROR</v>
      </c>
      <c r="Q1903" s="141"/>
      <c r="R1903" s="143"/>
      <c r="S1903" s="139"/>
      <c r="T1903" s="141"/>
    </row>
    <row r="1904">
      <c r="A1904" s="138"/>
      <c r="B1904" s="138"/>
      <c r="C1904" s="138"/>
      <c r="D1904" s="139"/>
      <c r="E1904" s="138"/>
      <c r="F1904" s="138"/>
      <c r="G1904" s="138"/>
      <c r="H1904" s="138"/>
      <c r="I1904" s="138"/>
      <c r="J1904" s="138"/>
      <c r="K1904" s="138"/>
      <c r="L1904" s="138">
        <v>0.0</v>
      </c>
      <c r="M1904" s="140" t="str">
        <f>VLOOKUP(text(D1904, "#"),'Master Table'!$A:$F, 6, FALSE)</f>
        <v>#N/A</v>
      </c>
      <c r="N1904" s="141"/>
      <c r="O1904" s="142" t="str">
        <f t="shared" si="1"/>
        <v/>
      </c>
      <c r="P1904" s="143" t="str">
        <f>IF(ISNA(VLOOKUP(CONCAT(M1904,C1904), 'Judge Count DO NOT EDIT'!H:H, 1, FALSE)), "ERROR","")</f>
        <v>ERROR</v>
      </c>
      <c r="Q1904" s="141"/>
      <c r="R1904" s="143"/>
      <c r="S1904" s="139"/>
      <c r="T1904" s="141"/>
    </row>
    <row r="1905">
      <c r="A1905" s="138"/>
      <c r="B1905" s="138"/>
      <c r="C1905" s="138"/>
      <c r="D1905" s="139"/>
      <c r="E1905" s="138"/>
      <c r="F1905" s="138"/>
      <c r="G1905" s="138"/>
      <c r="H1905" s="138"/>
      <c r="I1905" s="138"/>
      <c r="J1905" s="138"/>
      <c r="K1905" s="138"/>
      <c r="L1905" s="138">
        <v>0.0</v>
      </c>
      <c r="M1905" s="140" t="str">
        <f>VLOOKUP(text(D1905, "#"),'Master Table'!$A:$F, 6, FALSE)</f>
        <v>#N/A</v>
      </c>
      <c r="N1905" s="141"/>
      <c r="O1905" s="142" t="str">
        <f t="shared" si="1"/>
        <v/>
      </c>
      <c r="P1905" s="143" t="str">
        <f>IF(ISNA(VLOOKUP(CONCAT(M1905,C1905), 'Judge Count DO NOT EDIT'!H:H, 1, FALSE)), "ERROR","")</f>
        <v>ERROR</v>
      </c>
      <c r="Q1905" s="141"/>
      <c r="R1905" s="143"/>
      <c r="S1905" s="139"/>
      <c r="T1905" s="141"/>
    </row>
    <row r="1906">
      <c r="A1906" s="138"/>
      <c r="B1906" s="138"/>
      <c r="C1906" s="138"/>
      <c r="D1906" s="139"/>
      <c r="E1906" s="138"/>
      <c r="F1906" s="138"/>
      <c r="G1906" s="138"/>
      <c r="H1906" s="138"/>
      <c r="I1906" s="138"/>
      <c r="J1906" s="138"/>
      <c r="K1906" s="138"/>
      <c r="L1906" s="138">
        <v>0.0</v>
      </c>
      <c r="M1906" s="140" t="str">
        <f>VLOOKUP(text(D1906, "#"),'Master Table'!$A:$F, 6, FALSE)</f>
        <v>#N/A</v>
      </c>
      <c r="N1906" s="141"/>
      <c r="O1906" s="142" t="str">
        <f t="shared" si="1"/>
        <v/>
      </c>
      <c r="P1906" s="143" t="str">
        <f>IF(ISNA(VLOOKUP(CONCAT(M1906,C1906), 'Judge Count DO NOT EDIT'!H:H, 1, FALSE)), "ERROR","")</f>
        <v>ERROR</v>
      </c>
      <c r="Q1906" s="141"/>
      <c r="R1906" s="143"/>
      <c r="S1906" s="139"/>
      <c r="T1906" s="141"/>
    </row>
    <row r="1907">
      <c r="A1907" s="138"/>
      <c r="B1907" s="138"/>
      <c r="C1907" s="138"/>
      <c r="D1907" s="139"/>
      <c r="E1907" s="138"/>
      <c r="F1907" s="138"/>
      <c r="G1907" s="138"/>
      <c r="H1907" s="138"/>
      <c r="I1907" s="138"/>
      <c r="J1907" s="138"/>
      <c r="K1907" s="138"/>
      <c r="L1907" s="138">
        <v>0.0</v>
      </c>
      <c r="M1907" s="140" t="str">
        <f>VLOOKUP(text(D1907, "#"),'Master Table'!$A:$F, 6, FALSE)</f>
        <v>#N/A</v>
      </c>
      <c r="N1907" s="141"/>
      <c r="O1907" s="142" t="str">
        <f t="shared" si="1"/>
        <v/>
      </c>
      <c r="P1907" s="143" t="str">
        <f>IF(ISNA(VLOOKUP(CONCAT(M1907,C1907), 'Judge Count DO NOT EDIT'!H:H, 1, FALSE)), "ERROR","")</f>
        <v>ERROR</v>
      </c>
      <c r="Q1907" s="141"/>
      <c r="R1907" s="143"/>
      <c r="S1907" s="139"/>
      <c r="T1907" s="141"/>
    </row>
    <row r="1908">
      <c r="A1908" s="138"/>
      <c r="B1908" s="138"/>
      <c r="C1908" s="138"/>
      <c r="D1908" s="139"/>
      <c r="E1908" s="138"/>
      <c r="F1908" s="138"/>
      <c r="G1908" s="138"/>
      <c r="H1908" s="138"/>
      <c r="I1908" s="138"/>
      <c r="J1908" s="138"/>
      <c r="K1908" s="138"/>
      <c r="L1908" s="138">
        <v>0.0</v>
      </c>
      <c r="M1908" s="140" t="str">
        <f>VLOOKUP(text(D1908, "#"),'Master Table'!$A:$F, 6, FALSE)</f>
        <v>#N/A</v>
      </c>
      <c r="N1908" s="141"/>
      <c r="O1908" s="142" t="str">
        <f t="shared" si="1"/>
        <v/>
      </c>
      <c r="P1908" s="143" t="str">
        <f>IF(ISNA(VLOOKUP(CONCAT(M1908,C1908), 'Judge Count DO NOT EDIT'!H:H, 1, FALSE)), "ERROR","")</f>
        <v>ERROR</v>
      </c>
      <c r="Q1908" s="141"/>
      <c r="R1908" s="143"/>
      <c r="S1908" s="139"/>
      <c r="T1908" s="141"/>
    </row>
    <row r="1909">
      <c r="A1909" s="138"/>
      <c r="B1909" s="138"/>
      <c r="C1909" s="138"/>
      <c r="D1909" s="139"/>
      <c r="E1909" s="138"/>
      <c r="F1909" s="138"/>
      <c r="G1909" s="138"/>
      <c r="H1909" s="138"/>
      <c r="I1909" s="138"/>
      <c r="J1909" s="138"/>
      <c r="K1909" s="138"/>
      <c r="L1909" s="138">
        <v>0.0</v>
      </c>
      <c r="M1909" s="140" t="str">
        <f>VLOOKUP(text(D1909, "#"),'Master Table'!$A:$F, 6, FALSE)</f>
        <v>#N/A</v>
      </c>
      <c r="N1909" s="141"/>
      <c r="O1909" s="142" t="str">
        <f t="shared" si="1"/>
        <v/>
      </c>
      <c r="P1909" s="143" t="str">
        <f>IF(ISNA(VLOOKUP(CONCAT(M1909,C1909), 'Judge Count DO NOT EDIT'!H:H, 1, FALSE)), "ERROR","")</f>
        <v>ERROR</v>
      </c>
      <c r="Q1909" s="141"/>
      <c r="R1909" s="143"/>
      <c r="S1909" s="139"/>
      <c r="T1909" s="141"/>
    </row>
    <row r="1910">
      <c r="A1910" s="138"/>
      <c r="B1910" s="138"/>
      <c r="C1910" s="138"/>
      <c r="D1910" s="139"/>
      <c r="E1910" s="138"/>
      <c r="F1910" s="138"/>
      <c r="G1910" s="138"/>
      <c r="H1910" s="138"/>
      <c r="I1910" s="138"/>
      <c r="J1910" s="138"/>
      <c r="K1910" s="138"/>
      <c r="L1910" s="138">
        <v>0.0</v>
      </c>
      <c r="M1910" s="140" t="str">
        <f>VLOOKUP(text(D1910, "#"),'Master Table'!$A:$F, 6, FALSE)</f>
        <v>#N/A</v>
      </c>
      <c r="N1910" s="141"/>
      <c r="O1910" s="142" t="str">
        <f t="shared" si="1"/>
        <v/>
      </c>
      <c r="P1910" s="143" t="str">
        <f>IF(ISNA(VLOOKUP(CONCAT(M1910,C1910), 'Judge Count DO NOT EDIT'!H:H, 1, FALSE)), "ERROR","")</f>
        <v>ERROR</v>
      </c>
      <c r="Q1910" s="141"/>
      <c r="R1910" s="143"/>
      <c r="S1910" s="139"/>
      <c r="T1910" s="141"/>
    </row>
    <row r="1911">
      <c r="A1911" s="138"/>
      <c r="B1911" s="138"/>
      <c r="C1911" s="138"/>
      <c r="D1911" s="139"/>
      <c r="E1911" s="138"/>
      <c r="F1911" s="138"/>
      <c r="G1911" s="138"/>
      <c r="H1911" s="138"/>
      <c r="I1911" s="138"/>
      <c r="J1911" s="138"/>
      <c r="K1911" s="138"/>
      <c r="L1911" s="138">
        <v>0.0</v>
      </c>
      <c r="M1911" s="140" t="str">
        <f>VLOOKUP(text(D1911, "#"),'Master Table'!$A:$F, 6, FALSE)</f>
        <v>#N/A</v>
      </c>
      <c r="N1911" s="141"/>
      <c r="O1911" s="142" t="str">
        <f t="shared" si="1"/>
        <v/>
      </c>
      <c r="P1911" s="143" t="str">
        <f>IF(ISNA(VLOOKUP(CONCAT(M1911,C1911), 'Judge Count DO NOT EDIT'!H:H, 1, FALSE)), "ERROR","")</f>
        <v>ERROR</v>
      </c>
      <c r="Q1911" s="141"/>
      <c r="R1911" s="143"/>
      <c r="S1911" s="139"/>
      <c r="T1911" s="141"/>
    </row>
    <row r="1912">
      <c r="A1912" s="138"/>
      <c r="B1912" s="138"/>
      <c r="C1912" s="138"/>
      <c r="D1912" s="139"/>
      <c r="E1912" s="138"/>
      <c r="F1912" s="138"/>
      <c r="G1912" s="138"/>
      <c r="H1912" s="138"/>
      <c r="I1912" s="138"/>
      <c r="J1912" s="138"/>
      <c r="K1912" s="138"/>
      <c r="L1912" s="138">
        <v>0.0</v>
      </c>
      <c r="M1912" s="140" t="str">
        <f>VLOOKUP(text(D1912, "#"),'Master Table'!$A:$F, 6, FALSE)</f>
        <v>#N/A</v>
      </c>
      <c r="N1912" s="141"/>
      <c r="O1912" s="142" t="str">
        <f t="shared" si="1"/>
        <v/>
      </c>
      <c r="P1912" s="143" t="str">
        <f>IF(ISNA(VLOOKUP(CONCAT(M1912,C1912), 'Judge Count DO NOT EDIT'!H:H, 1, FALSE)), "ERROR","")</f>
        <v>ERROR</v>
      </c>
      <c r="Q1912" s="141"/>
      <c r="R1912" s="143"/>
      <c r="S1912" s="139"/>
      <c r="T1912" s="141"/>
    </row>
    <row r="1913">
      <c r="A1913" s="138"/>
      <c r="B1913" s="138"/>
      <c r="C1913" s="138"/>
      <c r="D1913" s="139"/>
      <c r="E1913" s="138"/>
      <c r="F1913" s="138"/>
      <c r="G1913" s="138"/>
      <c r="H1913" s="138"/>
      <c r="I1913" s="138"/>
      <c r="J1913" s="138"/>
      <c r="K1913" s="138"/>
      <c r="L1913" s="138">
        <v>0.0</v>
      </c>
      <c r="M1913" s="140" t="str">
        <f>VLOOKUP(text(D1913, "#"),'Master Table'!$A:$F, 6, FALSE)</f>
        <v>#N/A</v>
      </c>
      <c r="N1913" s="141"/>
      <c r="O1913" s="142" t="str">
        <f t="shared" si="1"/>
        <v/>
      </c>
      <c r="P1913" s="143" t="str">
        <f>IF(ISNA(VLOOKUP(CONCAT(M1913,C1913), 'Judge Count DO NOT EDIT'!H:H, 1, FALSE)), "ERROR","")</f>
        <v>ERROR</v>
      </c>
      <c r="Q1913" s="141"/>
      <c r="R1913" s="143"/>
      <c r="S1913" s="139"/>
      <c r="T1913" s="141"/>
    </row>
    <row r="1914">
      <c r="A1914" s="138"/>
      <c r="B1914" s="138"/>
      <c r="C1914" s="138"/>
      <c r="D1914" s="139"/>
      <c r="E1914" s="138"/>
      <c r="F1914" s="138"/>
      <c r="G1914" s="138"/>
      <c r="H1914" s="138"/>
      <c r="I1914" s="138"/>
      <c r="J1914" s="138"/>
      <c r="K1914" s="138"/>
      <c r="L1914" s="138">
        <v>0.0</v>
      </c>
      <c r="M1914" s="140" t="str">
        <f>VLOOKUP(text(D1914, "#"),'Master Table'!$A:$F, 6, FALSE)</f>
        <v>#N/A</v>
      </c>
      <c r="N1914" s="141"/>
      <c r="O1914" s="142" t="str">
        <f t="shared" si="1"/>
        <v/>
      </c>
      <c r="P1914" s="143" t="str">
        <f>IF(ISNA(VLOOKUP(CONCAT(M1914,C1914), 'Judge Count DO NOT EDIT'!H:H, 1, FALSE)), "ERROR","")</f>
        <v>ERROR</v>
      </c>
      <c r="Q1914" s="141"/>
      <c r="R1914" s="143"/>
      <c r="S1914" s="139"/>
      <c r="T1914" s="141"/>
    </row>
    <row r="1915">
      <c r="A1915" s="138"/>
      <c r="B1915" s="138"/>
      <c r="C1915" s="138"/>
      <c r="D1915" s="139"/>
      <c r="E1915" s="138"/>
      <c r="F1915" s="138"/>
      <c r="G1915" s="138"/>
      <c r="H1915" s="138"/>
      <c r="I1915" s="138"/>
      <c r="J1915" s="138"/>
      <c r="K1915" s="138"/>
      <c r="L1915" s="138">
        <v>0.0</v>
      </c>
      <c r="M1915" s="140" t="str">
        <f>VLOOKUP(text(D1915, "#"),'Master Table'!$A:$F, 6, FALSE)</f>
        <v>#N/A</v>
      </c>
      <c r="N1915" s="141"/>
      <c r="O1915" s="142" t="str">
        <f t="shared" si="1"/>
        <v/>
      </c>
      <c r="P1915" s="143" t="str">
        <f>IF(ISNA(VLOOKUP(CONCAT(M1915,C1915), 'Judge Count DO NOT EDIT'!H:H, 1, FALSE)), "ERROR","")</f>
        <v>ERROR</v>
      </c>
      <c r="Q1915" s="141"/>
      <c r="R1915" s="143"/>
      <c r="S1915" s="139"/>
      <c r="T1915" s="141"/>
    </row>
    <row r="1916">
      <c r="A1916" s="138"/>
      <c r="B1916" s="138"/>
      <c r="C1916" s="138"/>
      <c r="D1916" s="139"/>
      <c r="E1916" s="138"/>
      <c r="F1916" s="138"/>
      <c r="G1916" s="138"/>
      <c r="H1916" s="138"/>
      <c r="I1916" s="138"/>
      <c r="J1916" s="138"/>
      <c r="K1916" s="138"/>
      <c r="L1916" s="138">
        <v>0.0</v>
      </c>
      <c r="M1916" s="140" t="str">
        <f>VLOOKUP(text(D1916, "#"),'Master Table'!$A:$F, 6, FALSE)</f>
        <v>#N/A</v>
      </c>
      <c r="N1916" s="141"/>
      <c r="O1916" s="142" t="str">
        <f t="shared" si="1"/>
        <v/>
      </c>
      <c r="P1916" s="143" t="str">
        <f>IF(ISNA(VLOOKUP(CONCAT(M1916,C1916), 'Judge Count DO NOT EDIT'!H:H, 1, FALSE)), "ERROR","")</f>
        <v>ERROR</v>
      </c>
      <c r="Q1916" s="141"/>
      <c r="R1916" s="143"/>
      <c r="S1916" s="139"/>
      <c r="T1916" s="141"/>
    </row>
    <row r="1917">
      <c r="A1917" s="138"/>
      <c r="B1917" s="138"/>
      <c r="C1917" s="138"/>
      <c r="D1917" s="139"/>
      <c r="E1917" s="138"/>
      <c r="F1917" s="138"/>
      <c r="G1917" s="138"/>
      <c r="H1917" s="138"/>
      <c r="I1917" s="138"/>
      <c r="J1917" s="138"/>
      <c r="K1917" s="138"/>
      <c r="L1917" s="138">
        <v>0.0</v>
      </c>
      <c r="M1917" s="140" t="str">
        <f>VLOOKUP(text(D1917, "#"),'Master Table'!$A:$F, 6, FALSE)</f>
        <v>#N/A</v>
      </c>
      <c r="N1917" s="141"/>
      <c r="O1917" s="142" t="str">
        <f t="shared" si="1"/>
        <v/>
      </c>
      <c r="P1917" s="143" t="str">
        <f>IF(ISNA(VLOOKUP(CONCAT(M1917,C1917), 'Judge Count DO NOT EDIT'!H:H, 1, FALSE)), "ERROR","")</f>
        <v>ERROR</v>
      </c>
      <c r="Q1917" s="141"/>
      <c r="R1917" s="143"/>
      <c r="S1917" s="139"/>
      <c r="T1917" s="141"/>
    </row>
    <row r="1918">
      <c r="A1918" s="138"/>
      <c r="B1918" s="138"/>
      <c r="C1918" s="138"/>
      <c r="D1918" s="139"/>
      <c r="E1918" s="138"/>
      <c r="F1918" s="138"/>
      <c r="G1918" s="138"/>
      <c r="H1918" s="138"/>
      <c r="I1918" s="138"/>
      <c r="J1918" s="138"/>
      <c r="K1918" s="138"/>
      <c r="L1918" s="138">
        <v>0.0</v>
      </c>
      <c r="M1918" s="140" t="str">
        <f>VLOOKUP(text(D1918, "#"),'Master Table'!$A:$F, 6, FALSE)</f>
        <v>#N/A</v>
      </c>
      <c r="N1918" s="141"/>
      <c r="O1918" s="142" t="str">
        <f t="shared" si="1"/>
        <v/>
      </c>
      <c r="P1918" s="143" t="str">
        <f>IF(ISNA(VLOOKUP(CONCAT(M1918,C1918), 'Judge Count DO NOT EDIT'!H:H, 1, FALSE)), "ERROR","")</f>
        <v>ERROR</v>
      </c>
      <c r="Q1918" s="141"/>
      <c r="R1918" s="143"/>
      <c r="S1918" s="139"/>
      <c r="T1918" s="141"/>
    </row>
    <row r="1919">
      <c r="A1919" s="138"/>
      <c r="B1919" s="138"/>
      <c r="C1919" s="138"/>
      <c r="D1919" s="139"/>
      <c r="E1919" s="138"/>
      <c r="F1919" s="138"/>
      <c r="G1919" s="138"/>
      <c r="H1919" s="138"/>
      <c r="I1919" s="138"/>
      <c r="J1919" s="138"/>
      <c r="K1919" s="138"/>
      <c r="L1919" s="138">
        <v>0.0</v>
      </c>
      <c r="M1919" s="140" t="str">
        <f>VLOOKUP(text(D1919, "#"),'Master Table'!$A:$F, 6, FALSE)</f>
        <v>#N/A</v>
      </c>
      <c r="N1919" s="141"/>
      <c r="O1919" s="142" t="str">
        <f t="shared" si="1"/>
        <v/>
      </c>
      <c r="P1919" s="143" t="str">
        <f>IF(ISNA(VLOOKUP(CONCAT(M1919,C1919), 'Judge Count DO NOT EDIT'!H:H, 1, FALSE)), "ERROR","")</f>
        <v>ERROR</v>
      </c>
      <c r="Q1919" s="141"/>
      <c r="R1919" s="143"/>
      <c r="S1919" s="139"/>
      <c r="T1919" s="141"/>
    </row>
    <row r="1920">
      <c r="A1920" s="138"/>
      <c r="B1920" s="138"/>
      <c r="C1920" s="138"/>
      <c r="D1920" s="139"/>
      <c r="E1920" s="138"/>
      <c r="F1920" s="138"/>
      <c r="G1920" s="138"/>
      <c r="H1920" s="138"/>
      <c r="I1920" s="138"/>
      <c r="J1920" s="138"/>
      <c r="K1920" s="138"/>
      <c r="L1920" s="138">
        <v>0.0</v>
      </c>
      <c r="M1920" s="140" t="str">
        <f>VLOOKUP(text(D1920, "#"),'Master Table'!$A:$F, 6, FALSE)</f>
        <v>#N/A</v>
      </c>
      <c r="N1920" s="141"/>
      <c r="O1920" s="142" t="str">
        <f t="shared" si="1"/>
        <v/>
      </c>
      <c r="P1920" s="143" t="str">
        <f>IF(ISNA(VLOOKUP(CONCAT(M1920,C1920), 'Judge Count DO NOT EDIT'!H:H, 1, FALSE)), "ERROR","")</f>
        <v>ERROR</v>
      </c>
      <c r="Q1920" s="141"/>
      <c r="R1920" s="143"/>
      <c r="S1920" s="139"/>
      <c r="T1920" s="141"/>
    </row>
    <row r="1921">
      <c r="A1921" s="138"/>
      <c r="B1921" s="138"/>
      <c r="C1921" s="138"/>
      <c r="D1921" s="139"/>
      <c r="E1921" s="138"/>
      <c r="F1921" s="138"/>
      <c r="G1921" s="138"/>
      <c r="H1921" s="138"/>
      <c r="I1921" s="138"/>
      <c r="J1921" s="138"/>
      <c r="K1921" s="138"/>
      <c r="L1921" s="138">
        <v>0.0</v>
      </c>
      <c r="M1921" s="140" t="str">
        <f>VLOOKUP(text(D1921, "#"),'Master Table'!$A:$F, 6, FALSE)</f>
        <v>#N/A</v>
      </c>
      <c r="N1921" s="141"/>
      <c r="O1921" s="142" t="str">
        <f t="shared" si="1"/>
        <v/>
      </c>
      <c r="P1921" s="143" t="str">
        <f>IF(ISNA(VLOOKUP(CONCAT(M1921,C1921), 'Judge Count DO NOT EDIT'!H:H, 1, FALSE)), "ERROR","")</f>
        <v>ERROR</v>
      </c>
      <c r="Q1921" s="141"/>
      <c r="R1921" s="143"/>
      <c r="S1921" s="139"/>
      <c r="T1921" s="141"/>
    </row>
    <row r="1922">
      <c r="A1922" s="138"/>
      <c r="B1922" s="138"/>
      <c r="C1922" s="138"/>
      <c r="D1922" s="139"/>
      <c r="E1922" s="138"/>
      <c r="F1922" s="138"/>
      <c r="G1922" s="138"/>
      <c r="H1922" s="138"/>
      <c r="I1922" s="138"/>
      <c r="J1922" s="138"/>
      <c r="K1922" s="138"/>
      <c r="L1922" s="138">
        <v>0.0</v>
      </c>
      <c r="M1922" s="140" t="str">
        <f>VLOOKUP(text(D1922, "#"),'Master Table'!$A:$F, 6, FALSE)</f>
        <v>#N/A</v>
      </c>
      <c r="N1922" s="141"/>
      <c r="O1922" s="142" t="str">
        <f t="shared" si="1"/>
        <v/>
      </c>
      <c r="P1922" s="143" t="str">
        <f>IF(ISNA(VLOOKUP(CONCAT(M1922,C1922), 'Judge Count DO NOT EDIT'!H:H, 1, FALSE)), "ERROR","")</f>
        <v>ERROR</v>
      </c>
      <c r="Q1922" s="141"/>
      <c r="R1922" s="143"/>
      <c r="S1922" s="139"/>
      <c r="T1922" s="141"/>
    </row>
    <row r="1923">
      <c r="A1923" s="138"/>
      <c r="B1923" s="138"/>
      <c r="C1923" s="138"/>
      <c r="D1923" s="139"/>
      <c r="E1923" s="138"/>
      <c r="F1923" s="138"/>
      <c r="G1923" s="138"/>
      <c r="H1923" s="138"/>
      <c r="I1923" s="138"/>
      <c r="J1923" s="138"/>
      <c r="K1923" s="138"/>
      <c r="L1923" s="138">
        <v>0.0</v>
      </c>
      <c r="M1923" s="140" t="str">
        <f>VLOOKUP(text(D1923, "#"),'Master Table'!$A:$F, 6, FALSE)</f>
        <v>#N/A</v>
      </c>
      <c r="N1923" s="141"/>
      <c r="O1923" s="142" t="str">
        <f t="shared" si="1"/>
        <v/>
      </c>
      <c r="P1923" s="143" t="str">
        <f>IF(ISNA(VLOOKUP(CONCAT(M1923,C1923), 'Judge Count DO NOT EDIT'!H:H, 1, FALSE)), "ERROR","")</f>
        <v>ERROR</v>
      </c>
      <c r="Q1923" s="141"/>
      <c r="R1923" s="143"/>
      <c r="S1923" s="139"/>
      <c r="T1923" s="141"/>
    </row>
    <row r="1924">
      <c r="A1924" s="138"/>
      <c r="B1924" s="138"/>
      <c r="C1924" s="138"/>
      <c r="D1924" s="139"/>
      <c r="E1924" s="138"/>
      <c r="F1924" s="138"/>
      <c r="G1924" s="138"/>
      <c r="H1924" s="138"/>
      <c r="I1924" s="138"/>
      <c r="J1924" s="138"/>
      <c r="K1924" s="138"/>
      <c r="L1924" s="138">
        <v>0.0</v>
      </c>
      <c r="M1924" s="140" t="str">
        <f>VLOOKUP(text(D1924, "#"),'Master Table'!$A:$F, 6, FALSE)</f>
        <v>#N/A</v>
      </c>
      <c r="N1924" s="141"/>
      <c r="O1924" s="142" t="str">
        <f t="shared" si="1"/>
        <v/>
      </c>
      <c r="P1924" s="143" t="str">
        <f>IF(ISNA(VLOOKUP(CONCAT(M1924,C1924), 'Judge Count DO NOT EDIT'!H:H, 1, FALSE)), "ERROR","")</f>
        <v>ERROR</v>
      </c>
      <c r="Q1924" s="141"/>
      <c r="R1924" s="143"/>
      <c r="S1924" s="139"/>
      <c r="T1924" s="141"/>
    </row>
    <row r="1925">
      <c r="A1925" s="138"/>
      <c r="B1925" s="138"/>
      <c r="C1925" s="138"/>
      <c r="D1925" s="139"/>
      <c r="E1925" s="138"/>
      <c r="F1925" s="138"/>
      <c r="G1925" s="138"/>
      <c r="H1925" s="138"/>
      <c r="I1925" s="138"/>
      <c r="J1925" s="138"/>
      <c r="K1925" s="138"/>
      <c r="L1925" s="138">
        <v>0.0</v>
      </c>
      <c r="M1925" s="140" t="str">
        <f>VLOOKUP(text(D1925, "#"),'Master Table'!$A:$F, 6, FALSE)</f>
        <v>#N/A</v>
      </c>
      <c r="N1925" s="141"/>
      <c r="O1925" s="142" t="str">
        <f t="shared" si="1"/>
        <v/>
      </c>
      <c r="P1925" s="143" t="str">
        <f>IF(ISNA(VLOOKUP(CONCAT(M1925,C1925), 'Judge Count DO NOT EDIT'!H:H, 1, FALSE)), "ERROR","")</f>
        <v>ERROR</v>
      </c>
      <c r="Q1925" s="141"/>
      <c r="R1925" s="143"/>
      <c r="S1925" s="139"/>
      <c r="T1925" s="141"/>
    </row>
    <row r="1926">
      <c r="A1926" s="138"/>
      <c r="B1926" s="138"/>
      <c r="C1926" s="138"/>
      <c r="D1926" s="139"/>
      <c r="E1926" s="138"/>
      <c r="F1926" s="138"/>
      <c r="G1926" s="138"/>
      <c r="H1926" s="138"/>
      <c r="I1926" s="138"/>
      <c r="J1926" s="138"/>
      <c r="K1926" s="138"/>
      <c r="L1926" s="138">
        <v>0.0</v>
      </c>
      <c r="M1926" s="140" t="str">
        <f>VLOOKUP(text(D1926, "#"),'Master Table'!$A:$F, 6, FALSE)</f>
        <v>#N/A</v>
      </c>
      <c r="N1926" s="141"/>
      <c r="O1926" s="142" t="str">
        <f t="shared" si="1"/>
        <v/>
      </c>
      <c r="P1926" s="143" t="str">
        <f>IF(ISNA(VLOOKUP(CONCAT(M1926,C1926), 'Judge Count DO NOT EDIT'!H:H, 1, FALSE)), "ERROR","")</f>
        <v>ERROR</v>
      </c>
      <c r="Q1926" s="141"/>
      <c r="R1926" s="143"/>
      <c r="S1926" s="139"/>
      <c r="T1926" s="141"/>
    </row>
    <row r="1927">
      <c r="A1927" s="138"/>
      <c r="B1927" s="138"/>
      <c r="C1927" s="138"/>
      <c r="D1927" s="139"/>
      <c r="E1927" s="138"/>
      <c r="F1927" s="138"/>
      <c r="G1927" s="138"/>
      <c r="H1927" s="138"/>
      <c r="I1927" s="138"/>
      <c r="J1927" s="138"/>
      <c r="K1927" s="138"/>
      <c r="L1927" s="138">
        <v>0.0</v>
      </c>
      <c r="M1927" s="140" t="str">
        <f>VLOOKUP(text(D1927, "#"),'Master Table'!$A:$F, 6, FALSE)</f>
        <v>#N/A</v>
      </c>
      <c r="N1927" s="141"/>
      <c r="O1927" s="142" t="str">
        <f t="shared" si="1"/>
        <v/>
      </c>
      <c r="P1927" s="143" t="str">
        <f>IF(ISNA(VLOOKUP(CONCAT(M1927,C1927), 'Judge Count DO NOT EDIT'!H:H, 1, FALSE)), "ERROR","")</f>
        <v>ERROR</v>
      </c>
      <c r="Q1927" s="141"/>
      <c r="R1927" s="143"/>
      <c r="S1927" s="139"/>
      <c r="T1927" s="141"/>
    </row>
    <row r="1928">
      <c r="A1928" s="138"/>
      <c r="B1928" s="138"/>
      <c r="C1928" s="138"/>
      <c r="D1928" s="139"/>
      <c r="E1928" s="138"/>
      <c r="F1928" s="138"/>
      <c r="G1928" s="138"/>
      <c r="H1928" s="138"/>
      <c r="I1928" s="138"/>
      <c r="J1928" s="138"/>
      <c r="K1928" s="138"/>
      <c r="L1928" s="138">
        <v>0.0</v>
      </c>
      <c r="M1928" s="140" t="str">
        <f>VLOOKUP(text(D1928, "#"),'Master Table'!$A:$F, 6, FALSE)</f>
        <v>#N/A</v>
      </c>
      <c r="N1928" s="141"/>
      <c r="O1928" s="142" t="str">
        <f t="shared" si="1"/>
        <v/>
      </c>
      <c r="P1928" s="143" t="str">
        <f>IF(ISNA(VLOOKUP(CONCAT(M1928,C1928), 'Judge Count DO NOT EDIT'!H:H, 1, FALSE)), "ERROR","")</f>
        <v>ERROR</v>
      </c>
      <c r="Q1928" s="141"/>
      <c r="R1928" s="143"/>
      <c r="S1928" s="139"/>
      <c r="T1928" s="141"/>
    </row>
    <row r="1929">
      <c r="A1929" s="138"/>
      <c r="B1929" s="138"/>
      <c r="C1929" s="138"/>
      <c r="D1929" s="139"/>
      <c r="E1929" s="138"/>
      <c r="F1929" s="138"/>
      <c r="G1929" s="138"/>
      <c r="H1929" s="138"/>
      <c r="I1929" s="138"/>
      <c r="J1929" s="138"/>
      <c r="K1929" s="138"/>
      <c r="L1929" s="138">
        <v>0.0</v>
      </c>
      <c r="M1929" s="140" t="str">
        <f>VLOOKUP(text(D1929, "#"),'Master Table'!$A:$F, 6, FALSE)</f>
        <v>#N/A</v>
      </c>
      <c r="N1929" s="141"/>
      <c r="O1929" s="142" t="str">
        <f t="shared" si="1"/>
        <v/>
      </c>
      <c r="P1929" s="143" t="str">
        <f>IF(ISNA(VLOOKUP(CONCAT(M1929,C1929), 'Judge Count DO NOT EDIT'!H:H, 1, FALSE)), "ERROR","")</f>
        <v>ERROR</v>
      </c>
      <c r="Q1929" s="141"/>
      <c r="R1929" s="143"/>
      <c r="S1929" s="139"/>
      <c r="T1929" s="141"/>
    </row>
    <row r="1930">
      <c r="A1930" s="138"/>
      <c r="B1930" s="138"/>
      <c r="C1930" s="138"/>
      <c r="D1930" s="139"/>
      <c r="E1930" s="138"/>
      <c r="F1930" s="138"/>
      <c r="G1930" s="138"/>
      <c r="H1930" s="138"/>
      <c r="I1930" s="138"/>
      <c r="J1930" s="138"/>
      <c r="K1930" s="138"/>
      <c r="L1930" s="138">
        <v>0.0</v>
      </c>
      <c r="M1930" s="140" t="str">
        <f>VLOOKUP(text(D1930, "#"),'Master Table'!$A:$F, 6, FALSE)</f>
        <v>#N/A</v>
      </c>
      <c r="N1930" s="141"/>
      <c r="O1930" s="142" t="str">
        <f t="shared" si="1"/>
        <v/>
      </c>
      <c r="P1930" s="143" t="str">
        <f>IF(ISNA(VLOOKUP(CONCAT(M1930,C1930), 'Judge Count DO NOT EDIT'!H:H, 1, FALSE)), "ERROR","")</f>
        <v>ERROR</v>
      </c>
      <c r="Q1930" s="141"/>
      <c r="R1930" s="143"/>
      <c r="S1930" s="139"/>
      <c r="T1930" s="141"/>
    </row>
    <row r="1931">
      <c r="A1931" s="138"/>
      <c r="B1931" s="138"/>
      <c r="C1931" s="138"/>
      <c r="D1931" s="139"/>
      <c r="E1931" s="138"/>
      <c r="F1931" s="138"/>
      <c r="G1931" s="138"/>
      <c r="H1931" s="138"/>
      <c r="I1931" s="138"/>
      <c r="J1931" s="138"/>
      <c r="K1931" s="138"/>
      <c r="L1931" s="138">
        <v>0.0</v>
      </c>
      <c r="M1931" s="140" t="str">
        <f>VLOOKUP(text(D1931, "#"),'Master Table'!$A:$F, 6, FALSE)</f>
        <v>#N/A</v>
      </c>
      <c r="N1931" s="141"/>
      <c r="O1931" s="142" t="str">
        <f t="shared" si="1"/>
        <v/>
      </c>
      <c r="P1931" s="143" t="str">
        <f>IF(ISNA(VLOOKUP(CONCAT(M1931,C1931), 'Judge Count DO NOT EDIT'!H:H, 1, FALSE)), "ERROR","")</f>
        <v>ERROR</v>
      </c>
      <c r="Q1931" s="141"/>
      <c r="R1931" s="143"/>
      <c r="S1931" s="139"/>
      <c r="T1931" s="141"/>
    </row>
    <row r="1932">
      <c r="A1932" s="138"/>
      <c r="B1932" s="138"/>
      <c r="C1932" s="138"/>
      <c r="D1932" s="139"/>
      <c r="E1932" s="138"/>
      <c r="F1932" s="138"/>
      <c r="G1932" s="138"/>
      <c r="H1932" s="138"/>
      <c r="I1932" s="138"/>
      <c r="J1932" s="138"/>
      <c r="K1932" s="138"/>
      <c r="L1932" s="138">
        <v>0.0</v>
      </c>
      <c r="M1932" s="140" t="str">
        <f>VLOOKUP(text(D1932, "#"),'Master Table'!$A:$F, 6, FALSE)</f>
        <v>#N/A</v>
      </c>
      <c r="N1932" s="141"/>
      <c r="O1932" s="142" t="str">
        <f t="shared" si="1"/>
        <v/>
      </c>
      <c r="P1932" s="143" t="str">
        <f>IF(ISNA(VLOOKUP(CONCAT(M1932,C1932), 'Judge Count DO NOT EDIT'!H:H, 1, FALSE)), "ERROR","")</f>
        <v>ERROR</v>
      </c>
      <c r="Q1932" s="141"/>
      <c r="R1932" s="143"/>
      <c r="S1932" s="139"/>
      <c r="T1932" s="141"/>
    </row>
    <row r="1933">
      <c r="A1933" s="138"/>
      <c r="B1933" s="138"/>
      <c r="C1933" s="138"/>
      <c r="D1933" s="139"/>
      <c r="E1933" s="138"/>
      <c r="F1933" s="138"/>
      <c r="G1933" s="138"/>
      <c r="H1933" s="138"/>
      <c r="I1933" s="138"/>
      <c r="J1933" s="138"/>
      <c r="K1933" s="138"/>
      <c r="L1933" s="138">
        <v>0.0</v>
      </c>
      <c r="M1933" s="140" t="str">
        <f>VLOOKUP(text(D1933, "#"),'Master Table'!$A:$F, 6, FALSE)</f>
        <v>#N/A</v>
      </c>
      <c r="N1933" s="141"/>
      <c r="O1933" s="142" t="str">
        <f t="shared" si="1"/>
        <v/>
      </c>
      <c r="P1933" s="143" t="str">
        <f>IF(ISNA(VLOOKUP(CONCAT(M1933,C1933), 'Judge Count DO NOT EDIT'!H:H, 1, FALSE)), "ERROR","")</f>
        <v>ERROR</v>
      </c>
      <c r="Q1933" s="141"/>
      <c r="R1933" s="143"/>
      <c r="S1933" s="139"/>
      <c r="T1933" s="141"/>
    </row>
    <row r="1934">
      <c r="A1934" s="138"/>
      <c r="B1934" s="138"/>
      <c r="C1934" s="138"/>
      <c r="D1934" s="139"/>
      <c r="E1934" s="138"/>
      <c r="F1934" s="138"/>
      <c r="G1934" s="138"/>
      <c r="H1934" s="138"/>
      <c r="I1934" s="138"/>
      <c r="J1934" s="138"/>
      <c r="K1934" s="138"/>
      <c r="L1934" s="138">
        <v>0.0</v>
      </c>
      <c r="M1934" s="140" t="str">
        <f>VLOOKUP(text(D1934, "#"),'Master Table'!$A:$F, 6, FALSE)</f>
        <v>#N/A</v>
      </c>
      <c r="N1934" s="141"/>
      <c r="O1934" s="142" t="str">
        <f t="shared" si="1"/>
        <v/>
      </c>
      <c r="P1934" s="143" t="str">
        <f>IF(ISNA(VLOOKUP(CONCAT(M1934,C1934), 'Judge Count DO NOT EDIT'!H:H, 1, FALSE)), "ERROR","")</f>
        <v>ERROR</v>
      </c>
      <c r="Q1934" s="141"/>
      <c r="R1934" s="143"/>
      <c r="S1934" s="139"/>
      <c r="T1934" s="141"/>
    </row>
    <row r="1935">
      <c r="A1935" s="138"/>
      <c r="B1935" s="138"/>
      <c r="C1935" s="138"/>
      <c r="D1935" s="139"/>
      <c r="E1935" s="138"/>
      <c r="F1935" s="138"/>
      <c r="G1935" s="138"/>
      <c r="H1935" s="138"/>
      <c r="I1935" s="138"/>
      <c r="J1935" s="138"/>
      <c r="K1935" s="138"/>
      <c r="L1935" s="138">
        <v>0.0</v>
      </c>
      <c r="M1935" s="140" t="str">
        <f>VLOOKUP(text(D1935, "#"),'Master Table'!$A:$F, 6, FALSE)</f>
        <v>#N/A</v>
      </c>
      <c r="N1935" s="141"/>
      <c r="O1935" s="142" t="str">
        <f t="shared" si="1"/>
        <v/>
      </c>
      <c r="P1935" s="143" t="str">
        <f>IF(ISNA(VLOOKUP(CONCAT(M1935,C1935), 'Judge Count DO NOT EDIT'!H:H, 1, FALSE)), "ERROR","")</f>
        <v>ERROR</v>
      </c>
      <c r="Q1935" s="141"/>
      <c r="R1935" s="143"/>
      <c r="S1935" s="139"/>
      <c r="T1935" s="141"/>
    </row>
    <row r="1936">
      <c r="A1936" s="138"/>
      <c r="B1936" s="138"/>
      <c r="C1936" s="138"/>
      <c r="D1936" s="139"/>
      <c r="E1936" s="138"/>
      <c r="F1936" s="138"/>
      <c r="G1936" s="138"/>
      <c r="H1936" s="138"/>
      <c r="I1936" s="138"/>
      <c r="J1936" s="138"/>
      <c r="K1936" s="138"/>
      <c r="L1936" s="138">
        <v>0.0</v>
      </c>
      <c r="M1936" s="140" t="str">
        <f>VLOOKUP(text(D1936, "#"),'Master Table'!$A:$F, 6, FALSE)</f>
        <v>#N/A</v>
      </c>
      <c r="N1936" s="141"/>
      <c r="O1936" s="142" t="str">
        <f t="shared" si="1"/>
        <v/>
      </c>
      <c r="P1936" s="143" t="str">
        <f>IF(ISNA(VLOOKUP(CONCAT(M1936,C1936), 'Judge Count DO NOT EDIT'!H:H, 1, FALSE)), "ERROR","")</f>
        <v>ERROR</v>
      </c>
      <c r="Q1936" s="141"/>
      <c r="R1936" s="143"/>
      <c r="S1936" s="139"/>
      <c r="T1936" s="141"/>
    </row>
    <row r="1937">
      <c r="A1937" s="138"/>
      <c r="B1937" s="138"/>
      <c r="C1937" s="138"/>
      <c r="D1937" s="139"/>
      <c r="E1937" s="138"/>
      <c r="F1937" s="138"/>
      <c r="G1937" s="138"/>
      <c r="H1937" s="138"/>
      <c r="I1937" s="138"/>
      <c r="J1937" s="138"/>
      <c r="K1937" s="138"/>
      <c r="L1937" s="138">
        <v>0.0</v>
      </c>
      <c r="M1937" s="140" t="str">
        <f>VLOOKUP(text(D1937, "#"),'Master Table'!$A:$F, 6, FALSE)</f>
        <v>#N/A</v>
      </c>
      <c r="N1937" s="141"/>
      <c r="O1937" s="142" t="str">
        <f t="shared" si="1"/>
        <v/>
      </c>
      <c r="P1937" s="143" t="str">
        <f>IF(ISNA(VLOOKUP(CONCAT(M1937,C1937), 'Judge Count DO NOT EDIT'!H:H, 1, FALSE)), "ERROR","")</f>
        <v>ERROR</v>
      </c>
      <c r="Q1937" s="141"/>
      <c r="R1937" s="143"/>
      <c r="S1937" s="139"/>
      <c r="T1937" s="141"/>
    </row>
    <row r="1938">
      <c r="A1938" s="138"/>
      <c r="B1938" s="138"/>
      <c r="C1938" s="138"/>
      <c r="D1938" s="139"/>
      <c r="E1938" s="138"/>
      <c r="F1938" s="138"/>
      <c r="G1938" s="138"/>
      <c r="H1938" s="138"/>
      <c r="I1938" s="138"/>
      <c r="J1938" s="138"/>
      <c r="K1938" s="138"/>
      <c r="L1938" s="138">
        <v>0.0</v>
      </c>
      <c r="M1938" s="140" t="str">
        <f>VLOOKUP(text(D1938, "#"),'Master Table'!$A:$F, 6, FALSE)</f>
        <v>#N/A</v>
      </c>
      <c r="N1938" s="141"/>
      <c r="O1938" s="142" t="str">
        <f t="shared" si="1"/>
        <v/>
      </c>
      <c r="P1938" s="143" t="str">
        <f>IF(ISNA(VLOOKUP(CONCAT(M1938,C1938), 'Judge Count DO NOT EDIT'!H:H, 1, FALSE)), "ERROR","")</f>
        <v>ERROR</v>
      </c>
      <c r="Q1938" s="141"/>
      <c r="R1938" s="143"/>
      <c r="S1938" s="139"/>
      <c r="T1938" s="141"/>
    </row>
    <row r="1939">
      <c r="A1939" s="138"/>
      <c r="B1939" s="138"/>
      <c r="C1939" s="138"/>
      <c r="D1939" s="139"/>
      <c r="E1939" s="138"/>
      <c r="F1939" s="138"/>
      <c r="G1939" s="138"/>
      <c r="H1939" s="138"/>
      <c r="I1939" s="138"/>
      <c r="J1939" s="138"/>
      <c r="K1939" s="138"/>
      <c r="L1939" s="138">
        <v>0.0</v>
      </c>
      <c r="M1939" s="140" t="str">
        <f>VLOOKUP(text(D1939, "#"),'Master Table'!$A:$F, 6, FALSE)</f>
        <v>#N/A</v>
      </c>
      <c r="N1939" s="141"/>
      <c r="O1939" s="142" t="str">
        <f t="shared" si="1"/>
        <v/>
      </c>
      <c r="P1939" s="143" t="str">
        <f>IF(ISNA(VLOOKUP(CONCAT(M1939,C1939), 'Judge Count DO NOT EDIT'!H:H, 1, FALSE)), "ERROR","")</f>
        <v>ERROR</v>
      </c>
      <c r="Q1939" s="141"/>
      <c r="R1939" s="143"/>
      <c r="S1939" s="139"/>
      <c r="T1939" s="141"/>
    </row>
    <row r="1940">
      <c r="A1940" s="138"/>
      <c r="B1940" s="138"/>
      <c r="C1940" s="138"/>
      <c r="D1940" s="139"/>
      <c r="E1940" s="138"/>
      <c r="F1940" s="138"/>
      <c r="G1940" s="138"/>
      <c r="H1940" s="138"/>
      <c r="I1940" s="138"/>
      <c r="J1940" s="138"/>
      <c r="K1940" s="138"/>
      <c r="L1940" s="138">
        <v>0.0</v>
      </c>
      <c r="M1940" s="140" t="str">
        <f>VLOOKUP(text(D1940, "#"),'Master Table'!$A:$F, 6, FALSE)</f>
        <v>#N/A</v>
      </c>
      <c r="N1940" s="141"/>
      <c r="O1940" s="142" t="str">
        <f t="shared" si="1"/>
        <v/>
      </c>
      <c r="P1940" s="143" t="str">
        <f>IF(ISNA(VLOOKUP(CONCAT(M1940,C1940), 'Judge Count DO NOT EDIT'!H:H, 1, FALSE)), "ERROR","")</f>
        <v>ERROR</v>
      </c>
      <c r="Q1940" s="141"/>
      <c r="R1940" s="143"/>
      <c r="S1940" s="139"/>
      <c r="T1940" s="141"/>
    </row>
    <row r="1941">
      <c r="A1941" s="138"/>
      <c r="B1941" s="138"/>
      <c r="C1941" s="138"/>
      <c r="D1941" s="139"/>
      <c r="E1941" s="138"/>
      <c r="F1941" s="138"/>
      <c r="G1941" s="138"/>
      <c r="H1941" s="138"/>
      <c r="I1941" s="138"/>
      <c r="J1941" s="138"/>
      <c r="K1941" s="138"/>
      <c r="L1941" s="138">
        <v>0.0</v>
      </c>
      <c r="M1941" s="140" t="str">
        <f>VLOOKUP(text(D1941, "#"),'Master Table'!$A:$F, 6, FALSE)</f>
        <v>#N/A</v>
      </c>
      <c r="N1941" s="141"/>
      <c r="O1941" s="142" t="str">
        <f t="shared" si="1"/>
        <v/>
      </c>
      <c r="P1941" s="143" t="str">
        <f>IF(ISNA(VLOOKUP(CONCAT(M1941,C1941), 'Judge Count DO NOT EDIT'!H:H, 1, FALSE)), "ERROR","")</f>
        <v>ERROR</v>
      </c>
      <c r="Q1941" s="141"/>
      <c r="R1941" s="143"/>
      <c r="S1941" s="139"/>
      <c r="T1941" s="141"/>
    </row>
    <row r="1942">
      <c r="A1942" s="138"/>
      <c r="B1942" s="138"/>
      <c r="C1942" s="138"/>
      <c r="D1942" s="139"/>
      <c r="E1942" s="138"/>
      <c r="F1942" s="138"/>
      <c r="G1942" s="138"/>
      <c r="H1942" s="138"/>
      <c r="I1942" s="138"/>
      <c r="J1942" s="138"/>
      <c r="K1942" s="138"/>
      <c r="L1942" s="138">
        <v>0.0</v>
      </c>
      <c r="M1942" s="140" t="str">
        <f>VLOOKUP(text(D1942, "#"),'Master Table'!$A:$F, 6, FALSE)</f>
        <v>#N/A</v>
      </c>
      <c r="N1942" s="141"/>
      <c r="O1942" s="142" t="str">
        <f t="shared" si="1"/>
        <v/>
      </c>
      <c r="P1942" s="143" t="str">
        <f>IF(ISNA(VLOOKUP(CONCAT(M1942,C1942), 'Judge Count DO NOT EDIT'!H:H, 1, FALSE)), "ERROR","")</f>
        <v>ERROR</v>
      </c>
      <c r="Q1942" s="141"/>
      <c r="R1942" s="143"/>
      <c r="S1942" s="139"/>
      <c r="T1942" s="141"/>
    </row>
    <row r="1943">
      <c r="A1943" s="138"/>
      <c r="B1943" s="138"/>
      <c r="C1943" s="138"/>
      <c r="D1943" s="139"/>
      <c r="E1943" s="138"/>
      <c r="F1943" s="138"/>
      <c r="G1943" s="138"/>
      <c r="H1943" s="138"/>
      <c r="I1943" s="138"/>
      <c r="J1943" s="138"/>
      <c r="K1943" s="138"/>
      <c r="L1943" s="138">
        <v>0.0</v>
      </c>
      <c r="M1943" s="140" t="str">
        <f>VLOOKUP(text(D1943, "#"),'Master Table'!$A:$F, 6, FALSE)</f>
        <v>#N/A</v>
      </c>
      <c r="N1943" s="141"/>
      <c r="O1943" s="142" t="str">
        <f t="shared" si="1"/>
        <v/>
      </c>
      <c r="P1943" s="143" t="str">
        <f>IF(ISNA(VLOOKUP(CONCAT(M1943,C1943), 'Judge Count DO NOT EDIT'!H:H, 1, FALSE)), "ERROR","")</f>
        <v>ERROR</v>
      </c>
      <c r="Q1943" s="141"/>
      <c r="R1943" s="143"/>
      <c r="S1943" s="139"/>
      <c r="T1943" s="141"/>
    </row>
    <row r="1944">
      <c r="A1944" s="138"/>
      <c r="B1944" s="138"/>
      <c r="C1944" s="138"/>
      <c r="D1944" s="139"/>
      <c r="E1944" s="138"/>
      <c r="F1944" s="138"/>
      <c r="G1944" s="138"/>
      <c r="H1944" s="138"/>
      <c r="I1944" s="138"/>
      <c r="J1944" s="138"/>
      <c r="K1944" s="138"/>
      <c r="L1944" s="138">
        <v>0.0</v>
      </c>
      <c r="M1944" s="140" t="str">
        <f>VLOOKUP(text(D1944, "#"),'Master Table'!$A:$F, 6, FALSE)</f>
        <v>#N/A</v>
      </c>
      <c r="N1944" s="141"/>
      <c r="O1944" s="142" t="str">
        <f t="shared" si="1"/>
        <v/>
      </c>
      <c r="P1944" s="143" t="str">
        <f>IF(ISNA(VLOOKUP(CONCAT(M1944,C1944), 'Judge Count DO NOT EDIT'!H:H, 1, FALSE)), "ERROR","")</f>
        <v>ERROR</v>
      </c>
      <c r="Q1944" s="141"/>
      <c r="R1944" s="143"/>
      <c r="S1944" s="139"/>
      <c r="T1944" s="141"/>
    </row>
    <row r="1945">
      <c r="A1945" s="138"/>
      <c r="B1945" s="138"/>
      <c r="C1945" s="138"/>
      <c r="D1945" s="139"/>
      <c r="E1945" s="138"/>
      <c r="F1945" s="138"/>
      <c r="G1945" s="138"/>
      <c r="H1945" s="138"/>
      <c r="I1945" s="138"/>
      <c r="J1945" s="138"/>
      <c r="K1945" s="138"/>
      <c r="L1945" s="138">
        <v>0.0</v>
      </c>
      <c r="M1945" s="140" t="str">
        <f>VLOOKUP(text(D1945, "#"),'Master Table'!$A:$F, 6, FALSE)</f>
        <v>#N/A</v>
      </c>
      <c r="N1945" s="141"/>
      <c r="O1945" s="142" t="str">
        <f t="shared" si="1"/>
        <v/>
      </c>
      <c r="P1945" s="143" t="str">
        <f>IF(ISNA(VLOOKUP(CONCAT(M1945,C1945), 'Judge Count DO NOT EDIT'!H:H, 1, FALSE)), "ERROR","")</f>
        <v>ERROR</v>
      </c>
      <c r="Q1945" s="141"/>
      <c r="R1945" s="143"/>
      <c r="S1945" s="139"/>
      <c r="T1945" s="141"/>
    </row>
    <row r="1946">
      <c r="A1946" s="138"/>
      <c r="B1946" s="138"/>
      <c r="C1946" s="138"/>
      <c r="D1946" s="139"/>
      <c r="E1946" s="138"/>
      <c r="F1946" s="138"/>
      <c r="G1946" s="138"/>
      <c r="H1946" s="138"/>
      <c r="I1946" s="138"/>
      <c r="J1946" s="138"/>
      <c r="K1946" s="138"/>
      <c r="L1946" s="138">
        <v>0.0</v>
      </c>
      <c r="M1946" s="140" t="str">
        <f>VLOOKUP(text(D1946, "#"),'Master Table'!$A:$F, 6, FALSE)</f>
        <v>#N/A</v>
      </c>
      <c r="N1946" s="141"/>
      <c r="O1946" s="142" t="str">
        <f t="shared" si="1"/>
        <v/>
      </c>
      <c r="P1946" s="143" t="str">
        <f>IF(ISNA(VLOOKUP(CONCAT(M1946,C1946), 'Judge Count DO NOT EDIT'!H:H, 1, FALSE)), "ERROR","")</f>
        <v>ERROR</v>
      </c>
      <c r="Q1946" s="141"/>
      <c r="R1946" s="143"/>
      <c r="S1946" s="139"/>
      <c r="T1946" s="141"/>
    </row>
    <row r="1947">
      <c r="A1947" s="138"/>
      <c r="B1947" s="138"/>
      <c r="C1947" s="138"/>
      <c r="D1947" s="139"/>
      <c r="E1947" s="138"/>
      <c r="F1947" s="138"/>
      <c r="G1947" s="138"/>
      <c r="H1947" s="138"/>
      <c r="I1947" s="138"/>
      <c r="J1947" s="138"/>
      <c r="K1947" s="138"/>
      <c r="L1947" s="138">
        <v>0.0</v>
      </c>
      <c r="M1947" s="140" t="str">
        <f>VLOOKUP(text(D1947, "#"),'Master Table'!$A:$F, 6, FALSE)</f>
        <v>#N/A</v>
      </c>
      <c r="N1947" s="141"/>
      <c r="O1947" s="142" t="str">
        <f t="shared" si="1"/>
        <v/>
      </c>
      <c r="P1947" s="143" t="str">
        <f>IF(ISNA(VLOOKUP(CONCAT(M1947,C1947), 'Judge Count DO NOT EDIT'!H:H, 1, FALSE)), "ERROR","")</f>
        <v>ERROR</v>
      </c>
      <c r="Q1947" s="141"/>
      <c r="R1947" s="143"/>
      <c r="S1947" s="139"/>
      <c r="T1947" s="141"/>
    </row>
    <row r="1948">
      <c r="A1948" s="138"/>
      <c r="B1948" s="138"/>
      <c r="C1948" s="138"/>
      <c r="D1948" s="139"/>
      <c r="E1948" s="138"/>
      <c r="F1948" s="138"/>
      <c r="G1948" s="138"/>
      <c r="H1948" s="138"/>
      <c r="I1948" s="138"/>
      <c r="J1948" s="138"/>
      <c r="K1948" s="138"/>
      <c r="L1948" s="138">
        <v>0.0</v>
      </c>
      <c r="M1948" s="140" t="str">
        <f>VLOOKUP(text(D1948, "#"),'Master Table'!$A:$F, 6, FALSE)</f>
        <v>#N/A</v>
      </c>
      <c r="N1948" s="141"/>
      <c r="O1948" s="142" t="str">
        <f t="shared" si="1"/>
        <v/>
      </c>
      <c r="P1948" s="143" t="str">
        <f>IF(ISNA(VLOOKUP(CONCAT(M1948,C1948), 'Judge Count DO NOT EDIT'!H:H, 1, FALSE)), "ERROR","")</f>
        <v>ERROR</v>
      </c>
      <c r="Q1948" s="141"/>
      <c r="R1948" s="143"/>
      <c r="S1948" s="139"/>
      <c r="T1948" s="141"/>
    </row>
    <row r="1949">
      <c r="A1949" s="138"/>
      <c r="B1949" s="138"/>
      <c r="C1949" s="138"/>
      <c r="D1949" s="139"/>
      <c r="E1949" s="138"/>
      <c r="F1949" s="138"/>
      <c r="G1949" s="138"/>
      <c r="H1949" s="138"/>
      <c r="I1949" s="138"/>
      <c r="J1949" s="138"/>
      <c r="K1949" s="138"/>
      <c r="L1949" s="138">
        <v>0.0</v>
      </c>
      <c r="M1949" s="140" t="str">
        <f>VLOOKUP(text(D1949, "#"),'Master Table'!$A:$F, 6, FALSE)</f>
        <v>#N/A</v>
      </c>
      <c r="N1949" s="141"/>
      <c r="O1949" s="142" t="str">
        <f t="shared" si="1"/>
        <v/>
      </c>
      <c r="P1949" s="143" t="str">
        <f>IF(ISNA(VLOOKUP(CONCAT(M1949,C1949), 'Judge Count DO NOT EDIT'!H:H, 1, FALSE)), "ERROR","")</f>
        <v>ERROR</v>
      </c>
      <c r="Q1949" s="141"/>
      <c r="R1949" s="143"/>
      <c r="S1949" s="139"/>
      <c r="T1949" s="141"/>
    </row>
    <row r="1950">
      <c r="A1950" s="138"/>
      <c r="B1950" s="138"/>
      <c r="C1950" s="138"/>
      <c r="D1950" s="139"/>
      <c r="E1950" s="138"/>
      <c r="F1950" s="138"/>
      <c r="G1950" s="138"/>
      <c r="H1950" s="138"/>
      <c r="I1950" s="138"/>
      <c r="J1950" s="138"/>
      <c r="K1950" s="138"/>
      <c r="L1950" s="138">
        <v>0.0</v>
      </c>
      <c r="M1950" s="140" t="str">
        <f>VLOOKUP(text(D1950, "#"),'Master Table'!$A:$F, 6, FALSE)</f>
        <v>#N/A</v>
      </c>
      <c r="N1950" s="141"/>
      <c r="O1950" s="142" t="str">
        <f t="shared" si="1"/>
        <v/>
      </c>
      <c r="P1950" s="143" t="str">
        <f>IF(ISNA(VLOOKUP(CONCAT(M1950,C1950), 'Judge Count DO NOT EDIT'!H:H, 1, FALSE)), "ERROR","")</f>
        <v>ERROR</v>
      </c>
      <c r="Q1950" s="141"/>
      <c r="R1950" s="143"/>
      <c r="S1950" s="139"/>
      <c r="T1950" s="141"/>
    </row>
    <row r="1951">
      <c r="A1951" s="138"/>
      <c r="B1951" s="138"/>
      <c r="C1951" s="138"/>
      <c r="D1951" s="139"/>
      <c r="E1951" s="138"/>
      <c r="F1951" s="138"/>
      <c r="G1951" s="138"/>
      <c r="H1951" s="138"/>
      <c r="I1951" s="138"/>
      <c r="J1951" s="138"/>
      <c r="K1951" s="138"/>
      <c r="L1951" s="138">
        <v>0.0</v>
      </c>
      <c r="M1951" s="140" t="str">
        <f>VLOOKUP(text(D1951, "#"),'Master Table'!$A:$F, 6, FALSE)</f>
        <v>#N/A</v>
      </c>
      <c r="N1951" s="141"/>
      <c r="O1951" s="142" t="str">
        <f t="shared" si="1"/>
        <v/>
      </c>
      <c r="P1951" s="143" t="str">
        <f>IF(ISNA(VLOOKUP(CONCAT(M1951,C1951), 'Judge Count DO NOT EDIT'!H:H, 1, FALSE)), "ERROR","")</f>
        <v>ERROR</v>
      </c>
      <c r="Q1951" s="141"/>
      <c r="R1951" s="143"/>
      <c r="S1951" s="139"/>
      <c r="T1951" s="141"/>
    </row>
    <row r="1952">
      <c r="A1952" s="138"/>
      <c r="B1952" s="138"/>
      <c r="C1952" s="138"/>
      <c r="D1952" s="139"/>
      <c r="E1952" s="138"/>
      <c r="F1952" s="138"/>
      <c r="G1952" s="138"/>
      <c r="H1952" s="138"/>
      <c r="I1952" s="138"/>
      <c r="J1952" s="138"/>
      <c r="K1952" s="138"/>
      <c r="L1952" s="138">
        <v>0.0</v>
      </c>
      <c r="M1952" s="140" t="str">
        <f>VLOOKUP(text(D1952, "#"),'Master Table'!$A:$F, 6, FALSE)</f>
        <v>#N/A</v>
      </c>
      <c r="N1952" s="141"/>
      <c r="O1952" s="142" t="str">
        <f t="shared" si="1"/>
        <v/>
      </c>
      <c r="P1952" s="143" t="str">
        <f>IF(ISNA(VLOOKUP(CONCAT(M1952,C1952), 'Judge Count DO NOT EDIT'!H:H, 1, FALSE)), "ERROR","")</f>
        <v>ERROR</v>
      </c>
      <c r="Q1952" s="141"/>
      <c r="R1952" s="143"/>
      <c r="S1952" s="139"/>
      <c r="T1952" s="141"/>
    </row>
    <row r="1953">
      <c r="A1953" s="138"/>
      <c r="B1953" s="138"/>
      <c r="C1953" s="138"/>
      <c r="D1953" s="139"/>
      <c r="E1953" s="138"/>
      <c r="F1953" s="138"/>
      <c r="G1953" s="138"/>
      <c r="H1953" s="138"/>
      <c r="I1953" s="138"/>
      <c r="J1953" s="138"/>
      <c r="K1953" s="138"/>
      <c r="L1953" s="138">
        <v>0.0</v>
      </c>
      <c r="M1953" s="140" t="str">
        <f>VLOOKUP(text(D1953, "#"),'Master Table'!$A:$F, 6, FALSE)</f>
        <v>#N/A</v>
      </c>
      <c r="N1953" s="141"/>
      <c r="O1953" s="142" t="str">
        <f t="shared" si="1"/>
        <v/>
      </c>
      <c r="P1953" s="143" t="str">
        <f>IF(ISNA(VLOOKUP(CONCAT(M1953,C1953), 'Judge Count DO NOT EDIT'!H:H, 1, FALSE)), "ERROR","")</f>
        <v>ERROR</v>
      </c>
      <c r="Q1953" s="141"/>
      <c r="R1953" s="143"/>
      <c r="S1953" s="139"/>
      <c r="T1953" s="141"/>
    </row>
    <row r="1954">
      <c r="A1954" s="138"/>
      <c r="B1954" s="138"/>
      <c r="C1954" s="138"/>
      <c r="D1954" s="139"/>
      <c r="E1954" s="138"/>
      <c r="F1954" s="138"/>
      <c r="G1954" s="138"/>
      <c r="H1954" s="138"/>
      <c r="I1954" s="138"/>
      <c r="J1954" s="138"/>
      <c r="K1954" s="138"/>
      <c r="L1954" s="138">
        <v>0.0</v>
      </c>
      <c r="M1954" s="140" t="str">
        <f>VLOOKUP(text(D1954, "#"),'Master Table'!$A:$F, 6, FALSE)</f>
        <v>#N/A</v>
      </c>
      <c r="N1954" s="141"/>
      <c r="O1954" s="142" t="str">
        <f t="shared" si="1"/>
        <v/>
      </c>
      <c r="P1954" s="143" t="str">
        <f>IF(ISNA(VLOOKUP(CONCAT(M1954,C1954), 'Judge Count DO NOT EDIT'!H:H, 1, FALSE)), "ERROR","")</f>
        <v>ERROR</v>
      </c>
      <c r="Q1954" s="141"/>
      <c r="R1954" s="143"/>
      <c r="S1954" s="139"/>
      <c r="T1954" s="141"/>
    </row>
    <row r="1955">
      <c r="A1955" s="138"/>
      <c r="B1955" s="138"/>
      <c r="C1955" s="138"/>
      <c r="D1955" s="139"/>
      <c r="E1955" s="138"/>
      <c r="F1955" s="138"/>
      <c r="G1955" s="138"/>
      <c r="H1955" s="138"/>
      <c r="I1955" s="138"/>
      <c r="J1955" s="138"/>
      <c r="K1955" s="138"/>
      <c r="L1955" s="138">
        <v>0.0</v>
      </c>
      <c r="M1955" s="140" t="str">
        <f>VLOOKUP(text(D1955, "#"),'Master Table'!$A:$F, 6, FALSE)</f>
        <v>#N/A</v>
      </c>
      <c r="N1955" s="141"/>
      <c r="O1955" s="142" t="str">
        <f t="shared" si="1"/>
        <v/>
      </c>
      <c r="P1955" s="143" t="str">
        <f>IF(ISNA(VLOOKUP(CONCAT(M1955,C1955), 'Judge Count DO NOT EDIT'!H:H, 1, FALSE)), "ERROR","")</f>
        <v>ERROR</v>
      </c>
      <c r="Q1955" s="141"/>
      <c r="R1955" s="143"/>
      <c r="S1955" s="139"/>
      <c r="T1955" s="141"/>
    </row>
    <row r="1956">
      <c r="A1956" s="138"/>
      <c r="B1956" s="138"/>
      <c r="C1956" s="138"/>
      <c r="D1956" s="139"/>
      <c r="E1956" s="138"/>
      <c r="F1956" s="138"/>
      <c r="G1956" s="138"/>
      <c r="H1956" s="138"/>
      <c r="I1956" s="138"/>
      <c r="J1956" s="138"/>
      <c r="K1956" s="138"/>
      <c r="L1956" s="138">
        <v>0.0</v>
      </c>
      <c r="M1956" s="140" t="str">
        <f>VLOOKUP(text(D1956, "#"),'Master Table'!$A:$F, 6, FALSE)</f>
        <v>#N/A</v>
      </c>
      <c r="N1956" s="141"/>
      <c r="O1956" s="142" t="str">
        <f t="shared" si="1"/>
        <v/>
      </c>
      <c r="P1956" s="143" t="str">
        <f>IF(ISNA(VLOOKUP(CONCAT(M1956,C1956), 'Judge Count DO NOT EDIT'!H:H, 1, FALSE)), "ERROR","")</f>
        <v>ERROR</v>
      </c>
      <c r="Q1956" s="141"/>
      <c r="R1956" s="143"/>
      <c r="S1956" s="139"/>
      <c r="T1956" s="141"/>
    </row>
    <row r="1957">
      <c r="A1957" s="138"/>
      <c r="B1957" s="138"/>
      <c r="C1957" s="138"/>
      <c r="D1957" s="139"/>
      <c r="E1957" s="138"/>
      <c r="F1957" s="138"/>
      <c r="G1957" s="138"/>
      <c r="H1957" s="138"/>
      <c r="I1957" s="138"/>
      <c r="J1957" s="138"/>
      <c r="K1957" s="138"/>
      <c r="L1957" s="138">
        <v>0.0</v>
      </c>
      <c r="M1957" s="140" t="str">
        <f>VLOOKUP(text(D1957, "#"),'Master Table'!$A:$F, 6, FALSE)</f>
        <v>#N/A</v>
      </c>
      <c r="N1957" s="141"/>
      <c r="O1957" s="142" t="str">
        <f t="shared" si="1"/>
        <v/>
      </c>
      <c r="P1957" s="143" t="str">
        <f>IF(ISNA(VLOOKUP(CONCAT(M1957,C1957), 'Judge Count DO NOT EDIT'!H:H, 1, FALSE)), "ERROR","")</f>
        <v>ERROR</v>
      </c>
      <c r="Q1957" s="141"/>
      <c r="R1957" s="143"/>
      <c r="S1957" s="139"/>
      <c r="T1957" s="141"/>
    </row>
    <row r="1958">
      <c r="A1958" s="138"/>
      <c r="B1958" s="138"/>
      <c r="C1958" s="138"/>
      <c r="D1958" s="139"/>
      <c r="E1958" s="138"/>
      <c r="F1958" s="138"/>
      <c r="G1958" s="138"/>
      <c r="H1958" s="138"/>
      <c r="I1958" s="138"/>
      <c r="J1958" s="138"/>
      <c r="K1958" s="138"/>
      <c r="L1958" s="138">
        <v>0.0</v>
      </c>
      <c r="M1958" s="140" t="str">
        <f>VLOOKUP(text(D1958, "#"),'Master Table'!$A:$F, 6, FALSE)</f>
        <v>#N/A</v>
      </c>
      <c r="N1958" s="141"/>
      <c r="O1958" s="142" t="str">
        <f t="shared" si="1"/>
        <v/>
      </c>
      <c r="P1958" s="143" t="str">
        <f>IF(ISNA(VLOOKUP(CONCAT(M1958,C1958), 'Judge Count DO NOT EDIT'!H:H, 1, FALSE)), "ERROR","")</f>
        <v>ERROR</v>
      </c>
      <c r="Q1958" s="141"/>
      <c r="R1958" s="143"/>
      <c r="S1958" s="139"/>
      <c r="T1958" s="141"/>
    </row>
    <row r="1959">
      <c r="A1959" s="138"/>
      <c r="B1959" s="138"/>
      <c r="C1959" s="138"/>
      <c r="D1959" s="139"/>
      <c r="E1959" s="138"/>
      <c r="F1959" s="138"/>
      <c r="G1959" s="138"/>
      <c r="H1959" s="138"/>
      <c r="I1959" s="138"/>
      <c r="J1959" s="138"/>
      <c r="K1959" s="138"/>
      <c r="L1959" s="138">
        <v>0.0</v>
      </c>
      <c r="M1959" s="140" t="str">
        <f>VLOOKUP(text(D1959, "#"),'Master Table'!$A:$F, 6, FALSE)</f>
        <v>#N/A</v>
      </c>
      <c r="N1959" s="141"/>
      <c r="O1959" s="142" t="str">
        <f t="shared" si="1"/>
        <v/>
      </c>
      <c r="P1959" s="143" t="str">
        <f>IF(ISNA(VLOOKUP(CONCAT(M1959,C1959), 'Judge Count DO NOT EDIT'!H:H, 1, FALSE)), "ERROR","")</f>
        <v>ERROR</v>
      </c>
      <c r="Q1959" s="141"/>
      <c r="R1959" s="143"/>
      <c r="S1959" s="139"/>
      <c r="T1959" s="141"/>
    </row>
    <row r="1960">
      <c r="A1960" s="138"/>
      <c r="B1960" s="138"/>
      <c r="C1960" s="138"/>
      <c r="D1960" s="139"/>
      <c r="E1960" s="138"/>
      <c r="F1960" s="138"/>
      <c r="G1960" s="138"/>
      <c r="H1960" s="138"/>
      <c r="I1960" s="138"/>
      <c r="J1960" s="138"/>
      <c r="K1960" s="138"/>
      <c r="L1960" s="138">
        <v>0.0</v>
      </c>
      <c r="M1960" s="140" t="str">
        <f>VLOOKUP(text(D1960, "#"),'Master Table'!$A:$F, 6, FALSE)</f>
        <v>#N/A</v>
      </c>
      <c r="N1960" s="141"/>
      <c r="O1960" s="142" t="str">
        <f t="shared" si="1"/>
        <v/>
      </c>
      <c r="P1960" s="143" t="str">
        <f>IF(ISNA(VLOOKUP(CONCAT(M1960,C1960), 'Judge Count DO NOT EDIT'!H:H, 1, FALSE)), "ERROR","")</f>
        <v>ERROR</v>
      </c>
      <c r="Q1960" s="141"/>
      <c r="R1960" s="143"/>
      <c r="S1960" s="139"/>
      <c r="T1960" s="141"/>
    </row>
    <row r="1961">
      <c r="A1961" s="138"/>
      <c r="B1961" s="138"/>
      <c r="C1961" s="138"/>
      <c r="D1961" s="139"/>
      <c r="E1961" s="138"/>
      <c r="F1961" s="138"/>
      <c r="G1961" s="138"/>
      <c r="H1961" s="138"/>
      <c r="I1961" s="138"/>
      <c r="J1961" s="138"/>
      <c r="K1961" s="138"/>
      <c r="L1961" s="138">
        <v>0.0</v>
      </c>
      <c r="M1961" s="140" t="str">
        <f>VLOOKUP(text(D1961, "#"),'Master Table'!$A:$F, 6, FALSE)</f>
        <v>#N/A</v>
      </c>
      <c r="N1961" s="141"/>
      <c r="O1961" s="142" t="str">
        <f t="shared" si="1"/>
        <v/>
      </c>
      <c r="P1961" s="143" t="str">
        <f>IF(ISNA(VLOOKUP(CONCAT(M1961,C1961), 'Judge Count DO NOT EDIT'!H:H, 1, FALSE)), "ERROR","")</f>
        <v>ERROR</v>
      </c>
      <c r="Q1961" s="141"/>
      <c r="R1961" s="143"/>
      <c r="S1961" s="139"/>
      <c r="T1961" s="141"/>
    </row>
    <row r="1962">
      <c r="A1962" s="138"/>
      <c r="B1962" s="138"/>
      <c r="C1962" s="138"/>
      <c r="D1962" s="139"/>
      <c r="E1962" s="138"/>
      <c r="F1962" s="138"/>
      <c r="G1962" s="138"/>
      <c r="H1962" s="138"/>
      <c r="I1962" s="138"/>
      <c r="J1962" s="138"/>
      <c r="K1962" s="138"/>
      <c r="L1962" s="138">
        <v>0.0</v>
      </c>
      <c r="M1962" s="140" t="str">
        <f>VLOOKUP(text(D1962, "#"),'Master Table'!$A:$F, 6, FALSE)</f>
        <v>#N/A</v>
      </c>
      <c r="N1962" s="141"/>
      <c r="O1962" s="142" t="str">
        <f t="shared" si="1"/>
        <v/>
      </c>
      <c r="P1962" s="143" t="str">
        <f>IF(ISNA(VLOOKUP(CONCAT(M1962,C1962), 'Judge Count DO NOT EDIT'!H:H, 1, FALSE)), "ERROR","")</f>
        <v>ERROR</v>
      </c>
      <c r="Q1962" s="141"/>
      <c r="R1962" s="143"/>
      <c r="S1962" s="139"/>
      <c r="T1962" s="141"/>
    </row>
    <row r="1963">
      <c r="A1963" s="138"/>
      <c r="B1963" s="138"/>
      <c r="C1963" s="138"/>
      <c r="D1963" s="139"/>
      <c r="E1963" s="138"/>
      <c r="F1963" s="138"/>
      <c r="G1963" s="138"/>
      <c r="H1963" s="138"/>
      <c r="I1963" s="138"/>
      <c r="J1963" s="138"/>
      <c r="K1963" s="138"/>
      <c r="L1963" s="138">
        <v>0.0</v>
      </c>
      <c r="M1963" s="140" t="str">
        <f>VLOOKUP(text(D1963, "#"),'Master Table'!$A:$F, 6, FALSE)</f>
        <v>#N/A</v>
      </c>
      <c r="N1963" s="141"/>
      <c r="O1963" s="142" t="str">
        <f t="shared" si="1"/>
        <v/>
      </c>
      <c r="P1963" s="143" t="str">
        <f>IF(ISNA(VLOOKUP(CONCAT(M1963,C1963), 'Judge Count DO NOT EDIT'!H:H, 1, FALSE)), "ERROR","")</f>
        <v>ERROR</v>
      </c>
      <c r="Q1963" s="141"/>
      <c r="R1963" s="143"/>
      <c r="S1963" s="139"/>
      <c r="T1963" s="141"/>
    </row>
    <row r="1964">
      <c r="A1964" s="138"/>
      <c r="B1964" s="138"/>
      <c r="C1964" s="138"/>
      <c r="D1964" s="139"/>
      <c r="E1964" s="138"/>
      <c r="F1964" s="138"/>
      <c r="G1964" s="138"/>
      <c r="H1964" s="138"/>
      <c r="I1964" s="138"/>
      <c r="J1964" s="138"/>
      <c r="K1964" s="138"/>
      <c r="L1964" s="138">
        <v>0.0</v>
      </c>
      <c r="M1964" s="140" t="str">
        <f>VLOOKUP(text(D1964, "#"),'Master Table'!$A:$F, 6, FALSE)</f>
        <v>#N/A</v>
      </c>
      <c r="N1964" s="141"/>
      <c r="O1964" s="142" t="str">
        <f t="shared" si="1"/>
        <v/>
      </c>
      <c r="P1964" s="143" t="str">
        <f>IF(ISNA(VLOOKUP(CONCAT(M1964,C1964), 'Judge Count DO NOT EDIT'!H:H, 1, FALSE)), "ERROR","")</f>
        <v>ERROR</v>
      </c>
      <c r="Q1964" s="141"/>
      <c r="R1964" s="143"/>
      <c r="S1964" s="139"/>
      <c r="T1964" s="141"/>
    </row>
    <row r="1965">
      <c r="A1965" s="138"/>
      <c r="B1965" s="138"/>
      <c r="C1965" s="138"/>
      <c r="D1965" s="139"/>
      <c r="E1965" s="138"/>
      <c r="F1965" s="138"/>
      <c r="G1965" s="138"/>
      <c r="H1965" s="138"/>
      <c r="I1965" s="138"/>
      <c r="J1965" s="138"/>
      <c r="K1965" s="138"/>
      <c r="L1965" s="138">
        <v>0.0</v>
      </c>
      <c r="M1965" s="140" t="str">
        <f>VLOOKUP(text(D1965, "#"),'Master Table'!$A:$F, 6, FALSE)</f>
        <v>#N/A</v>
      </c>
      <c r="N1965" s="141"/>
      <c r="O1965" s="142" t="str">
        <f t="shared" si="1"/>
        <v/>
      </c>
      <c r="P1965" s="143" t="str">
        <f>IF(ISNA(VLOOKUP(CONCAT(M1965,C1965), 'Judge Count DO NOT EDIT'!H:H, 1, FALSE)), "ERROR","")</f>
        <v>ERROR</v>
      </c>
      <c r="Q1965" s="141"/>
      <c r="R1965" s="143"/>
      <c r="S1965" s="139"/>
      <c r="T1965" s="141"/>
    </row>
    <row r="1966">
      <c r="A1966" s="138"/>
      <c r="B1966" s="138"/>
      <c r="C1966" s="138"/>
      <c r="D1966" s="139"/>
      <c r="E1966" s="138"/>
      <c r="F1966" s="138"/>
      <c r="G1966" s="138"/>
      <c r="H1966" s="138"/>
      <c r="I1966" s="138"/>
      <c r="J1966" s="138"/>
      <c r="K1966" s="138"/>
      <c r="L1966" s="138">
        <v>0.0</v>
      </c>
      <c r="M1966" s="140" t="str">
        <f>VLOOKUP(text(D1966, "#"),'Master Table'!$A:$F, 6, FALSE)</f>
        <v>#N/A</v>
      </c>
      <c r="N1966" s="141"/>
      <c r="O1966" s="142" t="str">
        <f t="shared" si="1"/>
        <v/>
      </c>
      <c r="P1966" s="143" t="str">
        <f>IF(ISNA(VLOOKUP(CONCAT(M1966,C1966), 'Judge Count DO NOT EDIT'!H:H, 1, FALSE)), "ERROR","")</f>
        <v>ERROR</v>
      </c>
      <c r="Q1966" s="141"/>
      <c r="R1966" s="143"/>
      <c r="S1966" s="139"/>
      <c r="T1966" s="141"/>
    </row>
    <row r="1967">
      <c r="A1967" s="138"/>
      <c r="B1967" s="138"/>
      <c r="C1967" s="138"/>
      <c r="D1967" s="139"/>
      <c r="E1967" s="138"/>
      <c r="F1967" s="138"/>
      <c r="G1967" s="138"/>
      <c r="H1967" s="138"/>
      <c r="I1967" s="138"/>
      <c r="J1967" s="138"/>
      <c r="K1967" s="138"/>
      <c r="L1967" s="138">
        <v>0.0</v>
      </c>
      <c r="M1967" s="140" t="str">
        <f>VLOOKUP(text(D1967, "#"),'Master Table'!$A:$F, 6, FALSE)</f>
        <v>#N/A</v>
      </c>
      <c r="N1967" s="141"/>
      <c r="O1967" s="142" t="str">
        <f t="shared" si="1"/>
        <v/>
      </c>
      <c r="P1967" s="143" t="str">
        <f>IF(ISNA(VLOOKUP(CONCAT(M1967,C1967), 'Judge Count DO NOT EDIT'!H:H, 1, FALSE)), "ERROR","")</f>
        <v>ERROR</v>
      </c>
      <c r="Q1967" s="141"/>
      <c r="R1967" s="143"/>
      <c r="S1967" s="139"/>
      <c r="T1967" s="141"/>
    </row>
    <row r="1968">
      <c r="A1968" s="138"/>
      <c r="B1968" s="138"/>
      <c r="C1968" s="138"/>
      <c r="D1968" s="139"/>
      <c r="E1968" s="138"/>
      <c r="F1968" s="138"/>
      <c r="G1968" s="138"/>
      <c r="H1968" s="138"/>
      <c r="I1968" s="138"/>
      <c r="J1968" s="138"/>
      <c r="K1968" s="138"/>
      <c r="L1968" s="138">
        <v>0.0</v>
      </c>
      <c r="M1968" s="140" t="str">
        <f>VLOOKUP(text(D1968, "#"),'Master Table'!$A:$F, 6, FALSE)</f>
        <v>#N/A</v>
      </c>
      <c r="N1968" s="141"/>
      <c r="O1968" s="142" t="str">
        <f t="shared" si="1"/>
        <v/>
      </c>
      <c r="P1968" s="143" t="str">
        <f>IF(ISNA(VLOOKUP(CONCAT(M1968,C1968), 'Judge Count DO NOT EDIT'!H:H, 1, FALSE)), "ERROR","")</f>
        <v>ERROR</v>
      </c>
      <c r="Q1968" s="141"/>
      <c r="R1968" s="143"/>
      <c r="S1968" s="139"/>
      <c r="T1968" s="141"/>
    </row>
    <row r="1969">
      <c r="A1969" s="138"/>
      <c r="B1969" s="138"/>
      <c r="C1969" s="138"/>
      <c r="D1969" s="139"/>
      <c r="E1969" s="138"/>
      <c r="F1969" s="138"/>
      <c r="G1969" s="138"/>
      <c r="H1969" s="138"/>
      <c r="I1969" s="138"/>
      <c r="J1969" s="138"/>
      <c r="K1969" s="138"/>
      <c r="L1969" s="138">
        <v>0.0</v>
      </c>
      <c r="M1969" s="140" t="str">
        <f>VLOOKUP(text(D1969, "#"),'Master Table'!$A:$F, 6, FALSE)</f>
        <v>#N/A</v>
      </c>
      <c r="N1969" s="141"/>
      <c r="O1969" s="142" t="str">
        <f t="shared" si="1"/>
        <v/>
      </c>
      <c r="P1969" s="143" t="str">
        <f>IF(ISNA(VLOOKUP(CONCAT(M1969,C1969), 'Judge Count DO NOT EDIT'!H:H, 1, FALSE)), "ERROR","")</f>
        <v>ERROR</v>
      </c>
      <c r="Q1969" s="141"/>
      <c r="R1969" s="143"/>
      <c r="S1969" s="139"/>
      <c r="T1969" s="141"/>
    </row>
    <row r="1970">
      <c r="A1970" s="138"/>
      <c r="B1970" s="138"/>
      <c r="C1970" s="138"/>
      <c r="D1970" s="139"/>
      <c r="E1970" s="138"/>
      <c r="F1970" s="138"/>
      <c r="G1970" s="138"/>
      <c r="H1970" s="138"/>
      <c r="I1970" s="138"/>
      <c r="J1970" s="138"/>
      <c r="K1970" s="138"/>
      <c r="L1970" s="138">
        <v>0.0</v>
      </c>
      <c r="M1970" s="140" t="str">
        <f>VLOOKUP(text(D1970, "#"),'Master Table'!$A:$F, 6, FALSE)</f>
        <v>#N/A</v>
      </c>
      <c r="N1970" s="141"/>
      <c r="O1970" s="142" t="str">
        <f t="shared" si="1"/>
        <v/>
      </c>
      <c r="P1970" s="143" t="str">
        <f>IF(ISNA(VLOOKUP(CONCAT(M1970,C1970), 'Judge Count DO NOT EDIT'!H:H, 1, FALSE)), "ERROR","")</f>
        <v>ERROR</v>
      </c>
      <c r="Q1970" s="141"/>
      <c r="R1970" s="143"/>
      <c r="S1970" s="139"/>
      <c r="T1970" s="141"/>
    </row>
    <row r="1971">
      <c r="A1971" s="138"/>
      <c r="B1971" s="138"/>
      <c r="C1971" s="138"/>
      <c r="D1971" s="139"/>
      <c r="E1971" s="138"/>
      <c r="F1971" s="138"/>
      <c r="G1971" s="138"/>
      <c r="H1971" s="138"/>
      <c r="I1971" s="138"/>
      <c r="J1971" s="138"/>
      <c r="K1971" s="138"/>
      <c r="L1971" s="138">
        <v>0.0</v>
      </c>
      <c r="M1971" s="140" t="str">
        <f>VLOOKUP(text(D1971, "#"),'Master Table'!$A:$F, 6, FALSE)</f>
        <v>#N/A</v>
      </c>
      <c r="N1971" s="141"/>
      <c r="O1971" s="142" t="str">
        <f t="shared" si="1"/>
        <v/>
      </c>
      <c r="P1971" s="143" t="str">
        <f>IF(ISNA(VLOOKUP(CONCAT(M1971,C1971), 'Judge Count DO NOT EDIT'!H:H, 1, FALSE)), "ERROR","")</f>
        <v>ERROR</v>
      </c>
      <c r="Q1971" s="141"/>
      <c r="R1971" s="143"/>
      <c r="S1971" s="139"/>
      <c r="T1971" s="141"/>
    </row>
    <row r="1972">
      <c r="A1972" s="138"/>
      <c r="B1972" s="138"/>
      <c r="C1972" s="138"/>
      <c r="D1972" s="139"/>
      <c r="E1972" s="138"/>
      <c r="F1972" s="138"/>
      <c r="G1972" s="138"/>
      <c r="H1972" s="138"/>
      <c r="I1972" s="138"/>
      <c r="J1972" s="138"/>
      <c r="K1972" s="138"/>
      <c r="L1972" s="138">
        <v>0.0</v>
      </c>
      <c r="M1972" s="140" t="str">
        <f>VLOOKUP(text(D1972, "#"),'Master Table'!$A:$F, 6, FALSE)</f>
        <v>#N/A</v>
      </c>
      <c r="N1972" s="141"/>
      <c r="O1972" s="142" t="str">
        <f t="shared" si="1"/>
        <v/>
      </c>
      <c r="P1972" s="143" t="str">
        <f>IF(ISNA(VLOOKUP(CONCAT(M1972,C1972), 'Judge Count DO NOT EDIT'!H:H, 1, FALSE)), "ERROR","")</f>
        <v>ERROR</v>
      </c>
      <c r="Q1972" s="141"/>
      <c r="R1972" s="143"/>
      <c r="S1972" s="139"/>
      <c r="T1972" s="141"/>
    </row>
    <row r="1973">
      <c r="A1973" s="138"/>
      <c r="B1973" s="138"/>
      <c r="C1973" s="138"/>
      <c r="D1973" s="139"/>
      <c r="E1973" s="138"/>
      <c r="F1973" s="138"/>
      <c r="G1973" s="138"/>
      <c r="H1973" s="138"/>
      <c r="I1973" s="138"/>
      <c r="J1973" s="138"/>
      <c r="K1973" s="138"/>
      <c r="L1973" s="138">
        <v>0.0</v>
      </c>
      <c r="M1973" s="140" t="str">
        <f>VLOOKUP(text(D1973, "#"),'Master Table'!$A:$F, 6, FALSE)</f>
        <v>#N/A</v>
      </c>
      <c r="N1973" s="141"/>
      <c r="O1973" s="142" t="str">
        <f t="shared" si="1"/>
        <v/>
      </c>
      <c r="P1973" s="143" t="str">
        <f>IF(ISNA(VLOOKUP(CONCAT(M1973,C1973), 'Judge Count DO NOT EDIT'!H:H, 1, FALSE)), "ERROR","")</f>
        <v>ERROR</v>
      </c>
      <c r="Q1973" s="141"/>
      <c r="R1973" s="143"/>
      <c r="S1973" s="139"/>
      <c r="T1973" s="141"/>
    </row>
    <row r="1974">
      <c r="A1974" s="138"/>
      <c r="B1974" s="138"/>
      <c r="C1974" s="138"/>
      <c r="D1974" s="139"/>
      <c r="E1974" s="138"/>
      <c r="F1974" s="138"/>
      <c r="G1974" s="138"/>
      <c r="H1974" s="138"/>
      <c r="I1974" s="138"/>
      <c r="J1974" s="138"/>
      <c r="K1974" s="138"/>
      <c r="L1974" s="138">
        <v>0.0</v>
      </c>
      <c r="M1974" s="140" t="str">
        <f>VLOOKUP(text(D1974, "#"),'Master Table'!$A:$F, 6, FALSE)</f>
        <v>#N/A</v>
      </c>
      <c r="N1974" s="141"/>
      <c r="O1974" s="142" t="str">
        <f t="shared" si="1"/>
        <v/>
      </c>
      <c r="P1974" s="143" t="str">
        <f>IF(ISNA(VLOOKUP(CONCAT(M1974,C1974), 'Judge Count DO NOT EDIT'!H:H, 1, FALSE)), "ERROR","")</f>
        <v>ERROR</v>
      </c>
      <c r="Q1974" s="141"/>
      <c r="R1974" s="143"/>
      <c r="S1974" s="139"/>
      <c r="T1974" s="141"/>
    </row>
    <row r="1975">
      <c r="A1975" s="138"/>
      <c r="B1975" s="138"/>
      <c r="C1975" s="138"/>
      <c r="D1975" s="139"/>
      <c r="E1975" s="138"/>
      <c r="F1975" s="138"/>
      <c r="G1975" s="138"/>
      <c r="H1975" s="138"/>
      <c r="I1975" s="138"/>
      <c r="J1975" s="138"/>
      <c r="K1975" s="138"/>
      <c r="L1975" s="138">
        <v>0.0</v>
      </c>
      <c r="M1975" s="140" t="str">
        <f>VLOOKUP(text(D1975, "#"),'Master Table'!$A:$F, 6, FALSE)</f>
        <v>#N/A</v>
      </c>
      <c r="N1975" s="141"/>
      <c r="O1975" s="142" t="str">
        <f t="shared" si="1"/>
        <v/>
      </c>
      <c r="P1975" s="143" t="str">
        <f>IF(ISNA(VLOOKUP(CONCAT(M1975,C1975), 'Judge Count DO NOT EDIT'!H:H, 1, FALSE)), "ERROR","")</f>
        <v>ERROR</v>
      </c>
      <c r="Q1975" s="141"/>
      <c r="R1975" s="143"/>
      <c r="S1975" s="139"/>
      <c r="T1975" s="141"/>
    </row>
    <row r="1976">
      <c r="A1976" s="138"/>
      <c r="B1976" s="138"/>
      <c r="C1976" s="138"/>
      <c r="D1976" s="139"/>
      <c r="E1976" s="138"/>
      <c r="F1976" s="138"/>
      <c r="G1976" s="138"/>
      <c r="H1976" s="138"/>
      <c r="I1976" s="138"/>
      <c r="J1976" s="138"/>
      <c r="K1976" s="138"/>
      <c r="L1976" s="138">
        <v>0.0</v>
      </c>
      <c r="M1976" s="140" t="str">
        <f>VLOOKUP(text(D1976, "#"),'Master Table'!$A:$F, 6, FALSE)</f>
        <v>#N/A</v>
      </c>
      <c r="N1976" s="141"/>
      <c r="O1976" s="142" t="str">
        <f t="shared" si="1"/>
        <v/>
      </c>
      <c r="P1976" s="143" t="str">
        <f>IF(ISNA(VLOOKUP(CONCAT(M1976,C1976), 'Judge Count DO NOT EDIT'!H:H, 1, FALSE)), "ERROR","")</f>
        <v>ERROR</v>
      </c>
      <c r="Q1976" s="141"/>
      <c r="R1976" s="143"/>
      <c r="S1976" s="139"/>
      <c r="T1976" s="141"/>
    </row>
    <row r="1977">
      <c r="A1977" s="138"/>
      <c r="B1977" s="138"/>
      <c r="C1977" s="138"/>
      <c r="D1977" s="139"/>
      <c r="E1977" s="138"/>
      <c r="F1977" s="138"/>
      <c r="G1977" s="138"/>
      <c r="H1977" s="138"/>
      <c r="I1977" s="138"/>
      <c r="J1977" s="138"/>
      <c r="K1977" s="138"/>
      <c r="L1977" s="138">
        <v>0.0</v>
      </c>
      <c r="M1977" s="140" t="str">
        <f>VLOOKUP(text(D1977, "#"),'Master Table'!$A:$F, 6, FALSE)</f>
        <v>#N/A</v>
      </c>
      <c r="N1977" s="141"/>
      <c r="O1977" s="142" t="str">
        <f t="shared" si="1"/>
        <v/>
      </c>
      <c r="P1977" s="143" t="str">
        <f>IF(ISNA(VLOOKUP(CONCAT(M1977,C1977), 'Judge Count DO NOT EDIT'!H:H, 1, FALSE)), "ERROR","")</f>
        <v>ERROR</v>
      </c>
      <c r="Q1977" s="141"/>
      <c r="R1977" s="143"/>
      <c r="S1977" s="139"/>
      <c r="T1977" s="141"/>
    </row>
    <row r="1978">
      <c r="A1978" s="138"/>
      <c r="B1978" s="138"/>
      <c r="C1978" s="138"/>
      <c r="D1978" s="139"/>
      <c r="E1978" s="138"/>
      <c r="F1978" s="138"/>
      <c r="G1978" s="138"/>
      <c r="H1978" s="138"/>
      <c r="I1978" s="138"/>
      <c r="J1978" s="138"/>
      <c r="K1978" s="138"/>
      <c r="L1978" s="138">
        <v>0.0</v>
      </c>
      <c r="M1978" s="140" t="str">
        <f>VLOOKUP(text(D1978, "#"),'Master Table'!$A:$F, 6, FALSE)</f>
        <v>#N/A</v>
      </c>
      <c r="N1978" s="141"/>
      <c r="O1978" s="142" t="str">
        <f t="shared" si="1"/>
        <v/>
      </c>
      <c r="P1978" s="143" t="str">
        <f>IF(ISNA(VLOOKUP(CONCAT(M1978,C1978), 'Judge Count DO NOT EDIT'!H:H, 1, FALSE)), "ERROR","")</f>
        <v>ERROR</v>
      </c>
      <c r="Q1978" s="141"/>
      <c r="R1978" s="143"/>
      <c r="S1978" s="139"/>
      <c r="T1978" s="141"/>
    </row>
    <row r="1979">
      <c r="A1979" s="138"/>
      <c r="B1979" s="138"/>
      <c r="C1979" s="138"/>
      <c r="D1979" s="139"/>
      <c r="E1979" s="138"/>
      <c r="F1979" s="138"/>
      <c r="G1979" s="138"/>
      <c r="H1979" s="138"/>
      <c r="I1979" s="138"/>
      <c r="J1979" s="138"/>
      <c r="K1979" s="138"/>
      <c r="L1979" s="138">
        <v>0.0</v>
      </c>
      <c r="M1979" s="140" t="str">
        <f>VLOOKUP(text(D1979, "#"),'Master Table'!$A:$F, 6, FALSE)</f>
        <v>#N/A</v>
      </c>
      <c r="N1979" s="141"/>
      <c r="O1979" s="142" t="str">
        <f t="shared" si="1"/>
        <v/>
      </c>
      <c r="P1979" s="143" t="str">
        <f>IF(ISNA(VLOOKUP(CONCAT(M1979,C1979), 'Judge Count DO NOT EDIT'!H:H, 1, FALSE)), "ERROR","")</f>
        <v>ERROR</v>
      </c>
      <c r="Q1979" s="141"/>
      <c r="R1979" s="143"/>
      <c r="S1979" s="139"/>
      <c r="T1979" s="141"/>
    </row>
    <row r="1980">
      <c r="A1980" s="138"/>
      <c r="B1980" s="138"/>
      <c r="C1980" s="138"/>
      <c r="D1980" s="139"/>
      <c r="E1980" s="138"/>
      <c r="F1980" s="138"/>
      <c r="G1980" s="138"/>
      <c r="H1980" s="138"/>
      <c r="I1980" s="138"/>
      <c r="J1980" s="138"/>
      <c r="K1980" s="138"/>
      <c r="L1980" s="138">
        <v>0.0</v>
      </c>
      <c r="M1980" s="140" t="str">
        <f>VLOOKUP(text(D1980, "#"),'Master Table'!$A:$F, 6, FALSE)</f>
        <v>#N/A</v>
      </c>
      <c r="N1980" s="141"/>
      <c r="O1980" s="142" t="str">
        <f t="shared" si="1"/>
        <v/>
      </c>
      <c r="P1980" s="143" t="str">
        <f>IF(ISNA(VLOOKUP(CONCAT(M1980,C1980), 'Judge Count DO NOT EDIT'!H:H, 1, FALSE)), "ERROR","")</f>
        <v>ERROR</v>
      </c>
      <c r="Q1980" s="141"/>
      <c r="R1980" s="143"/>
      <c r="S1980" s="139"/>
      <c r="T1980" s="141"/>
    </row>
    <row r="1981">
      <c r="A1981" s="138"/>
      <c r="B1981" s="138"/>
      <c r="C1981" s="138"/>
      <c r="D1981" s="139"/>
      <c r="E1981" s="138"/>
      <c r="F1981" s="138"/>
      <c r="G1981" s="138"/>
      <c r="H1981" s="138"/>
      <c r="I1981" s="138"/>
      <c r="J1981" s="138"/>
      <c r="K1981" s="138"/>
      <c r="L1981" s="138">
        <v>0.0</v>
      </c>
      <c r="M1981" s="140" t="str">
        <f>VLOOKUP(text(D1981, "#"),'Master Table'!$A:$F, 6, FALSE)</f>
        <v>#N/A</v>
      </c>
      <c r="N1981" s="141"/>
      <c r="O1981" s="142" t="str">
        <f t="shared" si="1"/>
        <v/>
      </c>
      <c r="P1981" s="143" t="str">
        <f>IF(ISNA(VLOOKUP(CONCAT(M1981,C1981), 'Judge Count DO NOT EDIT'!H:H, 1, FALSE)), "ERROR","")</f>
        <v>ERROR</v>
      </c>
      <c r="Q1981" s="141"/>
      <c r="R1981" s="143"/>
      <c r="S1981" s="139"/>
      <c r="T1981" s="141"/>
    </row>
    <row r="1982">
      <c r="A1982" s="138"/>
      <c r="B1982" s="138"/>
      <c r="C1982" s="138"/>
      <c r="D1982" s="139"/>
      <c r="E1982" s="138"/>
      <c r="F1982" s="138"/>
      <c r="G1982" s="138"/>
      <c r="H1982" s="138"/>
      <c r="I1982" s="138"/>
      <c r="J1982" s="138"/>
      <c r="K1982" s="138"/>
      <c r="L1982" s="138">
        <v>0.0</v>
      </c>
      <c r="M1982" s="140" t="str">
        <f>VLOOKUP(text(D1982, "#"),'Master Table'!$A:$F, 6, FALSE)</f>
        <v>#N/A</v>
      </c>
      <c r="N1982" s="141"/>
      <c r="O1982" s="142" t="str">
        <f t="shared" si="1"/>
        <v/>
      </c>
      <c r="P1982" s="143" t="str">
        <f>IF(ISNA(VLOOKUP(CONCAT(M1982,C1982), 'Judge Count DO NOT EDIT'!H:H, 1, FALSE)), "ERROR","")</f>
        <v>ERROR</v>
      </c>
      <c r="Q1982" s="141"/>
      <c r="R1982" s="143"/>
      <c r="S1982" s="139"/>
      <c r="T1982" s="141"/>
    </row>
    <row r="1983">
      <c r="A1983" s="138"/>
      <c r="B1983" s="138"/>
      <c r="C1983" s="138"/>
      <c r="D1983" s="139"/>
      <c r="E1983" s="138"/>
      <c r="F1983" s="138"/>
      <c r="G1983" s="138"/>
      <c r="H1983" s="138"/>
      <c r="I1983" s="138"/>
      <c r="J1983" s="138"/>
      <c r="K1983" s="138"/>
      <c r="L1983" s="138">
        <v>0.0</v>
      </c>
      <c r="M1983" s="140" t="str">
        <f>VLOOKUP(text(D1983, "#"),'Master Table'!$A:$F, 6, FALSE)</f>
        <v>#N/A</v>
      </c>
      <c r="N1983" s="141"/>
      <c r="O1983" s="142" t="str">
        <f t="shared" si="1"/>
        <v/>
      </c>
      <c r="P1983" s="143" t="str">
        <f>IF(ISNA(VLOOKUP(CONCAT(M1983,C1983), 'Judge Count DO NOT EDIT'!H:H, 1, FALSE)), "ERROR","")</f>
        <v>ERROR</v>
      </c>
      <c r="Q1983" s="141"/>
      <c r="R1983" s="143"/>
      <c r="S1983" s="139"/>
      <c r="T1983" s="141"/>
    </row>
    <row r="1984">
      <c r="A1984" s="138"/>
      <c r="B1984" s="138"/>
      <c r="C1984" s="138"/>
      <c r="D1984" s="139"/>
      <c r="E1984" s="138"/>
      <c r="F1984" s="138"/>
      <c r="G1984" s="138"/>
      <c r="H1984" s="138"/>
      <c r="I1984" s="138"/>
      <c r="J1984" s="138"/>
      <c r="K1984" s="138"/>
      <c r="L1984" s="138">
        <v>0.0</v>
      </c>
      <c r="M1984" s="140" t="str">
        <f>VLOOKUP(text(D1984, "#"),'Master Table'!$A:$F, 6, FALSE)</f>
        <v>#N/A</v>
      </c>
      <c r="N1984" s="141"/>
      <c r="O1984" s="142" t="str">
        <f t="shared" si="1"/>
        <v/>
      </c>
      <c r="P1984" s="143" t="str">
        <f>IF(ISNA(VLOOKUP(CONCAT(M1984,C1984), 'Judge Count DO NOT EDIT'!H:H, 1, FALSE)), "ERROR","")</f>
        <v>ERROR</v>
      </c>
      <c r="Q1984" s="141"/>
      <c r="R1984" s="143"/>
      <c r="S1984" s="139"/>
      <c r="T1984" s="141"/>
    </row>
    <row r="1985">
      <c r="A1985" s="138"/>
      <c r="B1985" s="138"/>
      <c r="C1985" s="138"/>
      <c r="D1985" s="139"/>
      <c r="E1985" s="138"/>
      <c r="F1985" s="138"/>
      <c r="G1985" s="138"/>
      <c r="H1985" s="138"/>
      <c r="I1985" s="138"/>
      <c r="J1985" s="138"/>
      <c r="K1985" s="138"/>
      <c r="L1985" s="138">
        <v>0.0</v>
      </c>
      <c r="M1985" s="140" t="str">
        <f>VLOOKUP(text(D1985, "#"),'Master Table'!$A:$F, 6, FALSE)</f>
        <v>#N/A</v>
      </c>
      <c r="N1985" s="141"/>
      <c r="O1985" s="142" t="str">
        <f t="shared" si="1"/>
        <v/>
      </c>
      <c r="P1985" s="143" t="str">
        <f>IF(ISNA(VLOOKUP(CONCAT(M1985,C1985), 'Judge Count DO NOT EDIT'!H:H, 1, FALSE)), "ERROR","")</f>
        <v>ERROR</v>
      </c>
      <c r="Q1985" s="141"/>
      <c r="R1985" s="143"/>
      <c r="S1985" s="139"/>
      <c r="T1985" s="141"/>
    </row>
    <row r="1986">
      <c r="A1986" s="138"/>
      <c r="B1986" s="138"/>
      <c r="C1986" s="138"/>
      <c r="D1986" s="139"/>
      <c r="E1986" s="138"/>
      <c r="F1986" s="138"/>
      <c r="G1986" s="138"/>
      <c r="H1986" s="138"/>
      <c r="I1986" s="138"/>
      <c r="J1986" s="138"/>
      <c r="K1986" s="138"/>
      <c r="L1986" s="138">
        <v>0.0</v>
      </c>
      <c r="M1986" s="140" t="str">
        <f>VLOOKUP(text(D1986, "#"),'Master Table'!$A:$F, 6, FALSE)</f>
        <v>#N/A</v>
      </c>
      <c r="N1986" s="141"/>
      <c r="O1986" s="142" t="str">
        <f t="shared" si="1"/>
        <v/>
      </c>
      <c r="P1986" s="143" t="str">
        <f>IF(ISNA(VLOOKUP(CONCAT(M1986,C1986), 'Judge Count DO NOT EDIT'!H:H, 1, FALSE)), "ERROR","")</f>
        <v>ERROR</v>
      </c>
      <c r="Q1986" s="141"/>
      <c r="R1986" s="143"/>
      <c r="S1986" s="139"/>
      <c r="T1986" s="141"/>
    </row>
    <row r="1987">
      <c r="A1987" s="138"/>
      <c r="B1987" s="138"/>
      <c r="C1987" s="138"/>
      <c r="D1987" s="139"/>
      <c r="E1987" s="138"/>
      <c r="F1987" s="138"/>
      <c r="G1987" s="138"/>
      <c r="H1987" s="138"/>
      <c r="I1987" s="138"/>
      <c r="J1987" s="138"/>
      <c r="K1987" s="138"/>
      <c r="L1987" s="138">
        <v>0.0</v>
      </c>
      <c r="M1987" s="140" t="str">
        <f>VLOOKUP(text(D1987, "#"),'Master Table'!$A:$F, 6, FALSE)</f>
        <v>#N/A</v>
      </c>
      <c r="N1987" s="141"/>
      <c r="O1987" s="142" t="str">
        <f t="shared" si="1"/>
        <v/>
      </c>
      <c r="P1987" s="143" t="str">
        <f>IF(ISNA(VLOOKUP(CONCAT(M1987,C1987), 'Judge Count DO NOT EDIT'!H:H, 1, FALSE)), "ERROR","")</f>
        <v>ERROR</v>
      </c>
      <c r="Q1987" s="141"/>
      <c r="R1987" s="143"/>
      <c r="S1987" s="139"/>
      <c r="T1987" s="141"/>
    </row>
    <row r="1988">
      <c r="A1988" s="138"/>
      <c r="B1988" s="138"/>
      <c r="C1988" s="138"/>
      <c r="D1988" s="139"/>
      <c r="E1988" s="138"/>
      <c r="F1988" s="138"/>
      <c r="G1988" s="138"/>
      <c r="H1988" s="138"/>
      <c r="I1988" s="138"/>
      <c r="J1988" s="138"/>
      <c r="K1988" s="138"/>
      <c r="L1988" s="138">
        <v>0.0</v>
      </c>
      <c r="M1988" s="140" t="str">
        <f>VLOOKUP(text(D1988, "#"),'Master Table'!$A:$F, 6, FALSE)</f>
        <v>#N/A</v>
      </c>
      <c r="N1988" s="141"/>
      <c r="O1988" s="142" t="str">
        <f t="shared" si="1"/>
        <v/>
      </c>
      <c r="P1988" s="143" t="str">
        <f>IF(ISNA(VLOOKUP(CONCAT(M1988,C1988), 'Judge Count DO NOT EDIT'!H:H, 1, FALSE)), "ERROR","")</f>
        <v>ERROR</v>
      </c>
      <c r="Q1988" s="141"/>
      <c r="R1988" s="143"/>
      <c r="S1988" s="139"/>
      <c r="T1988" s="141"/>
    </row>
    <row r="1989">
      <c r="A1989" s="138"/>
      <c r="B1989" s="138"/>
      <c r="C1989" s="138"/>
      <c r="D1989" s="139"/>
      <c r="E1989" s="138"/>
      <c r="F1989" s="138"/>
      <c r="G1989" s="138"/>
      <c r="H1989" s="138"/>
      <c r="I1989" s="138"/>
      <c r="J1989" s="138"/>
      <c r="K1989" s="138"/>
      <c r="L1989" s="138">
        <v>0.0</v>
      </c>
      <c r="M1989" s="140" t="str">
        <f>VLOOKUP(text(D1989, "#"),'Master Table'!$A:$F, 6, FALSE)</f>
        <v>#N/A</v>
      </c>
      <c r="N1989" s="141"/>
      <c r="O1989" s="142" t="str">
        <f t="shared" si="1"/>
        <v/>
      </c>
      <c r="P1989" s="143" t="str">
        <f>IF(ISNA(VLOOKUP(CONCAT(M1989,C1989), 'Judge Count DO NOT EDIT'!H:H, 1, FALSE)), "ERROR","")</f>
        <v>ERROR</v>
      </c>
      <c r="Q1989" s="141"/>
      <c r="R1989" s="143"/>
      <c r="S1989" s="139"/>
      <c r="T1989" s="141"/>
    </row>
    <row r="1990">
      <c r="A1990" s="138"/>
      <c r="B1990" s="138"/>
      <c r="C1990" s="138"/>
      <c r="D1990" s="139"/>
      <c r="E1990" s="138"/>
      <c r="F1990" s="138"/>
      <c r="G1990" s="138"/>
      <c r="H1990" s="138"/>
      <c r="I1990" s="138"/>
      <c r="J1990" s="138"/>
      <c r="K1990" s="138"/>
      <c r="L1990" s="138">
        <v>0.0</v>
      </c>
      <c r="M1990" s="140" t="str">
        <f>VLOOKUP(text(D1990, "#"),'Master Table'!$A:$F, 6, FALSE)</f>
        <v>#N/A</v>
      </c>
      <c r="N1990" s="141"/>
      <c r="O1990" s="142" t="str">
        <f t="shared" si="1"/>
        <v/>
      </c>
      <c r="P1990" s="143" t="str">
        <f>IF(ISNA(VLOOKUP(CONCAT(M1990,C1990), 'Judge Count DO NOT EDIT'!H:H, 1, FALSE)), "ERROR","")</f>
        <v>ERROR</v>
      </c>
      <c r="Q1990" s="141"/>
      <c r="R1990" s="143"/>
      <c r="S1990" s="139"/>
      <c r="T1990" s="141"/>
    </row>
    <row r="1991">
      <c r="A1991" s="138"/>
      <c r="B1991" s="138"/>
      <c r="C1991" s="138"/>
      <c r="D1991" s="139"/>
      <c r="E1991" s="138"/>
      <c r="F1991" s="138"/>
      <c r="G1991" s="138"/>
      <c r="H1991" s="138"/>
      <c r="I1991" s="138"/>
      <c r="J1991" s="138"/>
      <c r="K1991" s="138"/>
      <c r="L1991" s="138">
        <v>0.0</v>
      </c>
      <c r="M1991" s="140" t="str">
        <f>VLOOKUP(text(D1991, "#"),'Master Table'!$A:$F, 6, FALSE)</f>
        <v>#N/A</v>
      </c>
      <c r="N1991" s="141"/>
      <c r="O1991" s="142" t="str">
        <f t="shared" si="1"/>
        <v/>
      </c>
      <c r="P1991" s="143" t="str">
        <f>IF(ISNA(VLOOKUP(CONCAT(M1991,C1991), 'Judge Count DO NOT EDIT'!H:H, 1, FALSE)), "ERROR","")</f>
        <v>ERROR</v>
      </c>
      <c r="Q1991" s="141"/>
      <c r="R1991" s="143"/>
      <c r="S1991" s="139"/>
      <c r="T1991" s="141"/>
    </row>
    <row r="1992">
      <c r="A1992" s="138"/>
      <c r="B1992" s="138"/>
      <c r="C1992" s="138"/>
      <c r="D1992" s="139"/>
      <c r="E1992" s="138"/>
      <c r="F1992" s="138"/>
      <c r="G1992" s="138"/>
      <c r="H1992" s="138"/>
      <c r="I1992" s="138"/>
      <c r="J1992" s="138"/>
      <c r="K1992" s="138"/>
      <c r="L1992" s="138">
        <v>0.0</v>
      </c>
      <c r="M1992" s="140" t="str">
        <f>VLOOKUP(text(D1992, "#"),'Master Table'!$A:$F, 6, FALSE)</f>
        <v>#N/A</v>
      </c>
      <c r="N1992" s="141"/>
      <c r="O1992" s="142" t="str">
        <f t="shared" si="1"/>
        <v/>
      </c>
      <c r="P1992" s="143" t="str">
        <f>IF(ISNA(VLOOKUP(CONCAT(M1992,C1992), 'Judge Count DO NOT EDIT'!H:H, 1, FALSE)), "ERROR","")</f>
        <v>ERROR</v>
      </c>
      <c r="Q1992" s="141"/>
      <c r="R1992" s="143"/>
      <c r="S1992" s="139"/>
      <c r="T1992" s="141"/>
    </row>
    <row r="1993">
      <c r="A1993" s="138"/>
      <c r="B1993" s="138"/>
      <c r="C1993" s="138"/>
      <c r="D1993" s="139"/>
      <c r="E1993" s="138"/>
      <c r="F1993" s="138"/>
      <c r="G1993" s="138"/>
      <c r="H1993" s="138"/>
      <c r="I1993" s="138"/>
      <c r="J1993" s="138"/>
      <c r="K1993" s="138"/>
      <c r="L1993" s="138">
        <v>0.0</v>
      </c>
      <c r="M1993" s="140" t="str">
        <f>VLOOKUP(text(D1993, "#"),'Master Table'!$A:$F, 6, FALSE)</f>
        <v>#N/A</v>
      </c>
      <c r="N1993" s="141"/>
      <c r="O1993" s="142" t="str">
        <f t="shared" si="1"/>
        <v/>
      </c>
      <c r="P1993" s="143" t="str">
        <f>IF(ISNA(VLOOKUP(CONCAT(M1993,C1993), 'Judge Count DO NOT EDIT'!H:H, 1, FALSE)), "ERROR","")</f>
        <v>ERROR</v>
      </c>
      <c r="Q1993" s="141"/>
      <c r="R1993" s="143"/>
      <c r="S1993" s="139"/>
      <c r="T1993" s="141"/>
    </row>
    <row r="1994">
      <c r="A1994" s="138"/>
      <c r="B1994" s="138"/>
      <c r="C1994" s="138"/>
      <c r="D1994" s="139"/>
      <c r="E1994" s="138"/>
      <c r="F1994" s="138"/>
      <c r="G1994" s="138"/>
      <c r="H1994" s="138"/>
      <c r="I1994" s="138"/>
      <c r="J1994" s="138"/>
      <c r="K1994" s="138"/>
      <c r="L1994" s="138">
        <v>0.0</v>
      </c>
      <c r="M1994" s="140" t="str">
        <f>VLOOKUP(text(D1994, "#"),'Master Table'!$A:$F, 6, FALSE)</f>
        <v>#N/A</v>
      </c>
      <c r="N1994" s="141"/>
      <c r="O1994" s="142" t="str">
        <f t="shared" si="1"/>
        <v/>
      </c>
      <c r="P1994" s="143" t="str">
        <f>IF(ISNA(VLOOKUP(CONCAT(M1994,C1994), 'Judge Count DO NOT EDIT'!H:H, 1, FALSE)), "ERROR","")</f>
        <v>ERROR</v>
      </c>
      <c r="Q1994" s="141"/>
      <c r="R1994" s="143"/>
      <c r="S1994" s="139"/>
      <c r="T1994" s="141"/>
    </row>
    <row r="1995">
      <c r="A1995" s="138"/>
      <c r="B1995" s="138"/>
      <c r="C1995" s="138"/>
      <c r="D1995" s="139"/>
      <c r="E1995" s="138"/>
      <c r="F1995" s="138"/>
      <c r="G1995" s="138"/>
      <c r="H1995" s="138"/>
      <c r="I1995" s="138"/>
      <c r="J1995" s="138"/>
      <c r="K1995" s="138"/>
      <c r="L1995" s="138">
        <v>0.0</v>
      </c>
      <c r="M1995" s="140" t="str">
        <f>VLOOKUP(text(D1995, "#"),'Master Table'!$A:$F, 6, FALSE)</f>
        <v>#N/A</v>
      </c>
      <c r="N1995" s="141"/>
      <c r="O1995" s="142" t="str">
        <f t="shared" si="1"/>
        <v/>
      </c>
      <c r="P1995" s="143" t="str">
        <f>IF(ISNA(VLOOKUP(CONCAT(M1995,C1995), 'Judge Count DO NOT EDIT'!H:H, 1, FALSE)), "ERROR","")</f>
        <v>ERROR</v>
      </c>
      <c r="Q1995" s="141"/>
      <c r="R1995" s="143"/>
      <c r="S1995" s="139"/>
      <c r="T1995" s="141"/>
    </row>
    <row r="1996">
      <c r="A1996" s="138"/>
      <c r="B1996" s="138"/>
      <c r="C1996" s="138"/>
      <c r="D1996" s="139"/>
      <c r="E1996" s="138"/>
      <c r="F1996" s="138"/>
      <c r="G1996" s="138"/>
      <c r="H1996" s="138"/>
      <c r="I1996" s="138"/>
      <c r="J1996" s="138"/>
      <c r="K1996" s="138"/>
      <c r="L1996" s="138">
        <v>0.0</v>
      </c>
      <c r="M1996" s="140" t="str">
        <f>VLOOKUP(text(D1996, "#"),'Master Table'!$A:$F, 6, FALSE)</f>
        <v>#N/A</v>
      </c>
      <c r="N1996" s="141"/>
      <c r="O1996" s="142" t="str">
        <f t="shared" si="1"/>
        <v/>
      </c>
      <c r="P1996" s="143" t="str">
        <f>IF(ISNA(VLOOKUP(CONCAT(M1996,C1996), 'Judge Count DO NOT EDIT'!H:H, 1, FALSE)), "ERROR","")</f>
        <v>ERROR</v>
      </c>
      <c r="Q1996" s="141"/>
      <c r="R1996" s="143"/>
      <c r="S1996" s="139"/>
      <c r="T1996" s="141"/>
    </row>
    <row r="1997">
      <c r="A1997" s="138"/>
      <c r="B1997" s="138"/>
      <c r="C1997" s="138"/>
      <c r="D1997" s="139"/>
      <c r="E1997" s="138"/>
      <c r="F1997" s="138"/>
      <c r="G1997" s="138"/>
      <c r="H1997" s="138"/>
      <c r="I1997" s="138"/>
      <c r="J1997" s="138"/>
      <c r="K1997" s="138"/>
      <c r="L1997" s="138">
        <v>0.0</v>
      </c>
      <c r="M1997" s="140" t="str">
        <f>VLOOKUP(text(D1997, "#"),'Master Table'!$A:$F, 6, FALSE)</f>
        <v>#N/A</v>
      </c>
      <c r="N1997" s="141"/>
      <c r="O1997" s="142" t="str">
        <f t="shared" si="1"/>
        <v/>
      </c>
      <c r="P1997" s="143" t="str">
        <f>IF(ISNA(VLOOKUP(CONCAT(M1997,C1997), 'Judge Count DO NOT EDIT'!H:H, 1, FALSE)), "ERROR","")</f>
        <v>ERROR</v>
      </c>
      <c r="Q1997" s="141"/>
      <c r="R1997" s="143"/>
      <c r="S1997" s="139"/>
      <c r="T1997" s="141"/>
    </row>
    <row r="1998">
      <c r="A1998" s="138"/>
      <c r="B1998" s="138"/>
      <c r="C1998" s="138"/>
      <c r="D1998" s="139"/>
      <c r="E1998" s="138"/>
      <c r="F1998" s="138"/>
      <c r="G1998" s="138"/>
      <c r="H1998" s="138"/>
      <c r="I1998" s="138"/>
      <c r="J1998" s="138"/>
      <c r="K1998" s="138"/>
      <c r="L1998" s="138">
        <v>0.0</v>
      </c>
      <c r="M1998" s="140" t="str">
        <f>VLOOKUP(text(D1998, "#"),'Master Table'!$A:$F, 6, FALSE)</f>
        <v>#N/A</v>
      </c>
      <c r="N1998" s="141"/>
      <c r="O1998" s="142" t="str">
        <f t="shared" si="1"/>
        <v/>
      </c>
      <c r="P1998" s="143" t="str">
        <f>IF(ISNA(VLOOKUP(CONCAT(M1998,C1998), 'Judge Count DO NOT EDIT'!H:H, 1, FALSE)), "ERROR","")</f>
        <v>ERROR</v>
      </c>
      <c r="Q1998" s="141"/>
      <c r="R1998" s="143"/>
      <c r="S1998" s="139"/>
      <c r="T1998" s="141"/>
    </row>
    <row r="1999">
      <c r="A1999" s="138"/>
      <c r="B1999" s="138"/>
      <c r="C1999" s="138"/>
      <c r="D1999" s="139"/>
      <c r="E1999" s="138"/>
      <c r="F1999" s="138"/>
      <c r="G1999" s="138"/>
      <c r="H1999" s="138"/>
      <c r="I1999" s="138"/>
      <c r="J1999" s="138"/>
      <c r="K1999" s="138"/>
      <c r="L1999" s="138">
        <v>0.0</v>
      </c>
      <c r="M1999" s="140" t="str">
        <f>VLOOKUP(text(D1999, "#"),'Master Table'!$A:$F, 6, FALSE)</f>
        <v>#N/A</v>
      </c>
      <c r="N1999" s="141"/>
      <c r="O1999" s="142" t="str">
        <f t="shared" si="1"/>
        <v/>
      </c>
      <c r="P1999" s="143" t="str">
        <f>IF(ISNA(VLOOKUP(CONCAT(M1999,C1999), 'Judge Count DO NOT EDIT'!H:H, 1, FALSE)), "ERROR","")</f>
        <v>ERROR</v>
      </c>
      <c r="Q1999" s="141"/>
      <c r="R1999" s="143"/>
      <c r="S1999" s="139"/>
      <c r="T1999" s="141"/>
    </row>
    <row r="2000">
      <c r="A2000" s="138"/>
      <c r="B2000" s="138"/>
      <c r="C2000" s="138"/>
      <c r="D2000" s="139"/>
      <c r="E2000" s="138"/>
      <c r="F2000" s="138"/>
      <c r="G2000" s="138"/>
      <c r="H2000" s="138"/>
      <c r="I2000" s="138"/>
      <c r="J2000" s="138"/>
      <c r="K2000" s="138"/>
      <c r="L2000" s="138">
        <v>0.0</v>
      </c>
      <c r="M2000" s="140" t="str">
        <f>VLOOKUP(text(D2000, "#"),'Master Table'!$A:$F, 6, FALSE)</f>
        <v>#N/A</v>
      </c>
      <c r="N2000" s="141"/>
      <c r="O2000" s="142" t="str">
        <f t="shared" si="1"/>
        <v/>
      </c>
      <c r="P2000" s="143" t="str">
        <f>IF(ISNA(VLOOKUP(CONCAT(M2000,C2000), 'Judge Count DO NOT EDIT'!H:H, 1, FALSE)), "ERROR","")</f>
        <v>ERROR</v>
      </c>
      <c r="Q2000" s="141"/>
      <c r="R2000" s="143"/>
      <c r="S2000" s="139"/>
      <c r="T2000" s="141"/>
    </row>
    <row r="2001">
      <c r="A2001" s="138"/>
      <c r="B2001" s="138"/>
      <c r="C2001" s="138"/>
      <c r="D2001" s="139"/>
      <c r="E2001" s="138"/>
      <c r="F2001" s="138"/>
      <c r="G2001" s="138"/>
      <c r="H2001" s="138"/>
      <c r="I2001" s="138"/>
      <c r="J2001" s="138"/>
      <c r="K2001" s="138"/>
      <c r="L2001" s="138">
        <v>0.0</v>
      </c>
      <c r="M2001" s="140" t="str">
        <f>VLOOKUP(text(D2001, "#"),'Master Table'!$A:$F, 6, FALSE)</f>
        <v>#N/A</v>
      </c>
      <c r="N2001" s="141"/>
      <c r="O2001" s="142" t="str">
        <f t="shared" si="1"/>
        <v/>
      </c>
      <c r="P2001" s="143" t="str">
        <f>IF(ISNA(VLOOKUP(CONCAT(M2001,C2001), 'Judge Count DO NOT EDIT'!H:H, 1, FALSE)), "ERROR","")</f>
        <v>ERROR</v>
      </c>
      <c r="Q2001" s="141"/>
      <c r="R2001" s="143"/>
      <c r="S2001" s="139"/>
      <c r="T2001" s="141"/>
    </row>
    <row r="2002">
      <c r="A2002" s="138"/>
      <c r="B2002" s="138"/>
      <c r="C2002" s="138"/>
      <c r="D2002" s="139"/>
      <c r="E2002" s="138"/>
      <c r="F2002" s="138"/>
      <c r="G2002" s="138"/>
      <c r="H2002" s="138"/>
      <c r="I2002" s="138"/>
      <c r="J2002" s="138"/>
      <c r="K2002" s="138"/>
      <c r="L2002" s="138">
        <v>0.0</v>
      </c>
      <c r="M2002" s="140" t="str">
        <f>VLOOKUP(text(D2002, "#"),'Master Table'!$A:$F, 6, FALSE)</f>
        <v>#N/A</v>
      </c>
      <c r="N2002" s="141"/>
      <c r="O2002" s="142" t="str">
        <f t="shared" si="1"/>
        <v/>
      </c>
      <c r="P2002" s="143" t="str">
        <f>IF(ISNA(VLOOKUP(CONCAT(M2002,C2002), 'Judge Count DO NOT EDIT'!H:H, 1, FALSE)), "ERROR","")</f>
        <v>ERROR</v>
      </c>
      <c r="Q2002" s="141"/>
      <c r="R2002" s="143"/>
      <c r="S2002" s="139"/>
      <c r="T2002" s="141"/>
    </row>
    <row r="2003">
      <c r="A2003" s="138"/>
      <c r="B2003" s="138"/>
      <c r="C2003" s="138"/>
      <c r="D2003" s="139"/>
      <c r="E2003" s="138"/>
      <c r="F2003" s="138"/>
      <c r="G2003" s="138"/>
      <c r="H2003" s="138"/>
      <c r="I2003" s="138"/>
      <c r="J2003" s="138"/>
      <c r="K2003" s="138"/>
      <c r="L2003" s="138">
        <v>0.0</v>
      </c>
      <c r="M2003" s="140" t="str">
        <f>VLOOKUP(text(D2003, "#"),'Master Table'!$A:$F, 6, FALSE)</f>
        <v>#N/A</v>
      </c>
      <c r="N2003" s="141"/>
      <c r="O2003" s="142" t="str">
        <f t="shared" si="1"/>
        <v/>
      </c>
      <c r="P2003" s="143" t="str">
        <f>IF(ISNA(VLOOKUP(CONCAT(M2003,C2003), 'Judge Count DO NOT EDIT'!H:H, 1, FALSE)), "ERROR","")</f>
        <v>ERROR</v>
      </c>
      <c r="Q2003" s="141"/>
      <c r="R2003" s="143"/>
      <c r="S2003" s="139"/>
      <c r="T2003" s="141"/>
    </row>
    <row r="2004">
      <c r="A2004" s="138"/>
      <c r="B2004" s="138"/>
      <c r="C2004" s="138"/>
      <c r="D2004" s="139"/>
      <c r="E2004" s="138"/>
      <c r="F2004" s="138"/>
      <c r="G2004" s="138"/>
      <c r="H2004" s="138"/>
      <c r="I2004" s="138"/>
      <c r="J2004" s="138"/>
      <c r="K2004" s="138"/>
      <c r="L2004" s="138">
        <v>0.0</v>
      </c>
      <c r="M2004" s="140" t="str">
        <f>VLOOKUP(text(D2004, "#"),'Master Table'!$A:$F, 6, FALSE)</f>
        <v>#N/A</v>
      </c>
      <c r="N2004" s="141"/>
      <c r="O2004" s="142" t="str">
        <f t="shared" si="1"/>
        <v/>
      </c>
      <c r="P2004" s="143" t="str">
        <f>IF(ISNA(VLOOKUP(CONCAT(M2004,C2004), 'Judge Count DO NOT EDIT'!H:H, 1, FALSE)), "ERROR","")</f>
        <v>ERROR</v>
      </c>
      <c r="Q2004" s="141"/>
      <c r="R2004" s="143"/>
      <c r="S2004" s="139"/>
      <c r="T2004" s="141"/>
    </row>
    <row r="2005">
      <c r="A2005" s="138"/>
      <c r="B2005" s="138"/>
      <c r="C2005" s="138"/>
      <c r="D2005" s="139"/>
      <c r="E2005" s="138"/>
      <c r="F2005" s="138"/>
      <c r="G2005" s="138"/>
      <c r="H2005" s="138"/>
      <c r="I2005" s="138"/>
      <c r="J2005" s="138"/>
      <c r="K2005" s="138"/>
      <c r="L2005" s="138">
        <v>0.0</v>
      </c>
      <c r="M2005" s="140" t="str">
        <f>VLOOKUP(text(D2005, "#"),'Master Table'!$A:$F, 6, FALSE)</f>
        <v>#N/A</v>
      </c>
      <c r="N2005" s="141"/>
      <c r="O2005" s="142" t="str">
        <f t="shared" si="1"/>
        <v/>
      </c>
      <c r="P2005" s="143" t="str">
        <f>IF(ISNA(VLOOKUP(CONCAT(M2005,C2005), 'Judge Count DO NOT EDIT'!H:H, 1, FALSE)), "ERROR","")</f>
        <v>ERROR</v>
      </c>
      <c r="Q2005" s="141"/>
      <c r="R2005" s="143"/>
      <c r="S2005" s="139"/>
      <c r="T2005" s="141"/>
    </row>
    <row r="2006">
      <c r="A2006" s="138"/>
      <c r="B2006" s="138"/>
      <c r="C2006" s="138"/>
      <c r="D2006" s="139"/>
      <c r="E2006" s="138"/>
      <c r="F2006" s="138"/>
      <c r="G2006" s="138"/>
      <c r="H2006" s="138"/>
      <c r="I2006" s="138"/>
      <c r="J2006" s="138"/>
      <c r="K2006" s="138"/>
      <c r="L2006" s="138">
        <v>0.0</v>
      </c>
      <c r="M2006" s="140" t="str">
        <f>VLOOKUP(text(D2006, "#"),'Master Table'!$A:$F, 6, FALSE)</f>
        <v>#N/A</v>
      </c>
      <c r="N2006" s="141"/>
      <c r="O2006" s="142" t="str">
        <f t="shared" si="1"/>
        <v/>
      </c>
      <c r="P2006" s="143" t="str">
        <f>IF(ISNA(VLOOKUP(CONCAT(M2006,C2006), 'Judge Count DO NOT EDIT'!H:H, 1, FALSE)), "ERROR","")</f>
        <v>ERROR</v>
      </c>
      <c r="Q2006" s="141"/>
      <c r="R2006" s="143"/>
      <c r="S2006" s="139"/>
      <c r="T2006" s="141"/>
    </row>
    <row r="2007">
      <c r="A2007" s="138"/>
      <c r="B2007" s="138"/>
      <c r="C2007" s="138"/>
      <c r="D2007" s="139"/>
      <c r="E2007" s="138"/>
      <c r="F2007" s="138"/>
      <c r="G2007" s="138"/>
      <c r="H2007" s="138"/>
      <c r="I2007" s="138"/>
      <c r="J2007" s="138"/>
      <c r="K2007" s="138"/>
      <c r="L2007" s="138">
        <v>0.0</v>
      </c>
      <c r="M2007" s="140" t="str">
        <f>VLOOKUP(text(D2007, "#"),'Master Table'!$A:$F, 6, FALSE)</f>
        <v>#N/A</v>
      </c>
      <c r="N2007" s="141"/>
      <c r="O2007" s="142" t="str">
        <f t="shared" si="1"/>
        <v/>
      </c>
      <c r="P2007" s="143" t="str">
        <f>IF(ISNA(VLOOKUP(CONCAT(M2007,C2007), 'Judge Count DO NOT EDIT'!H:H, 1, FALSE)), "ERROR","")</f>
        <v>ERROR</v>
      </c>
      <c r="Q2007" s="141"/>
      <c r="R2007" s="143"/>
      <c r="S2007" s="139"/>
      <c r="T2007" s="141"/>
    </row>
    <row r="2008">
      <c r="A2008" s="138"/>
      <c r="B2008" s="138"/>
      <c r="C2008" s="138"/>
      <c r="D2008" s="139"/>
      <c r="E2008" s="138"/>
      <c r="F2008" s="138"/>
      <c r="G2008" s="138"/>
      <c r="H2008" s="138"/>
      <c r="I2008" s="138"/>
      <c r="J2008" s="138"/>
      <c r="K2008" s="138"/>
      <c r="L2008" s="138">
        <v>0.0</v>
      </c>
      <c r="M2008" s="140" t="str">
        <f>VLOOKUP(text(D2008, "#"),'Master Table'!$A:$F, 6, FALSE)</f>
        <v>#N/A</v>
      </c>
      <c r="N2008" s="141"/>
      <c r="O2008" s="142" t="str">
        <f t="shared" si="1"/>
        <v/>
      </c>
      <c r="P2008" s="143" t="str">
        <f>IF(ISNA(VLOOKUP(CONCAT(M2008,C2008), 'Judge Count DO NOT EDIT'!H:H, 1, FALSE)), "ERROR","")</f>
        <v>ERROR</v>
      </c>
      <c r="Q2008" s="141"/>
      <c r="R2008" s="143"/>
      <c r="S2008" s="139"/>
      <c r="T2008" s="141"/>
    </row>
    <row r="2009">
      <c r="A2009" s="138"/>
      <c r="B2009" s="138"/>
      <c r="C2009" s="138"/>
      <c r="D2009" s="139"/>
      <c r="E2009" s="138"/>
      <c r="F2009" s="138"/>
      <c r="G2009" s="138"/>
      <c r="H2009" s="138"/>
      <c r="I2009" s="138"/>
      <c r="J2009" s="138"/>
      <c r="K2009" s="138"/>
      <c r="L2009" s="138">
        <v>0.0</v>
      </c>
      <c r="M2009" s="140" t="str">
        <f>VLOOKUP(text(D2009, "#"),'Master Table'!$A:$F, 6, FALSE)</f>
        <v>#N/A</v>
      </c>
      <c r="N2009" s="141"/>
      <c r="O2009" s="142" t="str">
        <f t="shared" si="1"/>
        <v/>
      </c>
      <c r="P2009" s="143" t="str">
        <f>IF(ISNA(VLOOKUP(CONCAT(M2009,C2009), 'Judge Count DO NOT EDIT'!H:H, 1, FALSE)), "ERROR","")</f>
        <v>ERROR</v>
      </c>
      <c r="Q2009" s="141"/>
      <c r="R2009" s="143"/>
      <c r="S2009" s="139"/>
      <c r="T2009" s="141"/>
    </row>
    <row r="2010">
      <c r="A2010" s="138"/>
      <c r="B2010" s="138"/>
      <c r="C2010" s="138"/>
      <c r="D2010" s="139"/>
      <c r="E2010" s="138"/>
      <c r="F2010" s="138"/>
      <c r="G2010" s="138"/>
      <c r="H2010" s="138"/>
      <c r="I2010" s="138"/>
      <c r="J2010" s="138"/>
      <c r="K2010" s="138"/>
      <c r="L2010" s="138">
        <v>0.0</v>
      </c>
      <c r="M2010" s="140" t="str">
        <f>VLOOKUP(text(D2010, "#"),'Master Table'!$A:$F, 6, FALSE)</f>
        <v>#N/A</v>
      </c>
      <c r="N2010" s="141"/>
      <c r="O2010" s="142" t="str">
        <f t="shared" si="1"/>
        <v/>
      </c>
      <c r="P2010" s="143" t="str">
        <f>IF(ISNA(VLOOKUP(CONCAT(M2010,C2010), 'Judge Count DO NOT EDIT'!H:H, 1, FALSE)), "ERROR","")</f>
        <v>ERROR</v>
      </c>
      <c r="Q2010" s="141"/>
      <c r="R2010" s="143"/>
      <c r="S2010" s="139"/>
      <c r="T2010" s="141"/>
    </row>
    <row r="2011">
      <c r="A2011" s="138"/>
      <c r="B2011" s="138"/>
      <c r="C2011" s="138"/>
      <c r="D2011" s="139"/>
      <c r="E2011" s="138"/>
      <c r="F2011" s="138"/>
      <c r="G2011" s="138"/>
      <c r="H2011" s="138"/>
      <c r="I2011" s="138"/>
      <c r="J2011" s="138"/>
      <c r="K2011" s="138"/>
      <c r="L2011" s="138">
        <v>0.0</v>
      </c>
      <c r="M2011" s="140" t="str">
        <f>VLOOKUP(text(D2011, "#"),'Master Table'!$A:$F, 6, FALSE)</f>
        <v>#N/A</v>
      </c>
      <c r="N2011" s="141"/>
      <c r="O2011" s="142" t="str">
        <f t="shared" si="1"/>
        <v/>
      </c>
      <c r="P2011" s="143" t="str">
        <f>IF(ISNA(VLOOKUP(CONCAT(M2011,C2011), 'Judge Count DO NOT EDIT'!H:H, 1, FALSE)), "ERROR","")</f>
        <v>ERROR</v>
      </c>
      <c r="Q2011" s="141"/>
      <c r="R2011" s="143"/>
      <c r="S2011" s="139"/>
      <c r="T2011" s="141"/>
    </row>
    <row r="2012">
      <c r="A2012" s="138"/>
      <c r="B2012" s="138"/>
      <c r="C2012" s="138"/>
      <c r="D2012" s="139"/>
      <c r="E2012" s="138"/>
      <c r="F2012" s="138"/>
      <c r="G2012" s="138"/>
      <c r="H2012" s="138"/>
      <c r="I2012" s="138"/>
      <c r="J2012" s="138"/>
      <c r="K2012" s="138"/>
      <c r="L2012" s="138">
        <v>0.0</v>
      </c>
      <c r="M2012" s="140" t="str">
        <f>VLOOKUP(text(D2012, "#"),'Master Table'!$A:$F, 6, FALSE)</f>
        <v>#N/A</v>
      </c>
      <c r="N2012" s="141"/>
      <c r="O2012" s="142" t="str">
        <f t="shared" si="1"/>
        <v/>
      </c>
      <c r="P2012" s="143" t="str">
        <f>IF(ISNA(VLOOKUP(CONCAT(M2012,C2012), 'Judge Count DO NOT EDIT'!H:H, 1, FALSE)), "ERROR","")</f>
        <v>ERROR</v>
      </c>
      <c r="Q2012" s="141"/>
      <c r="R2012" s="143"/>
      <c r="S2012" s="139"/>
      <c r="T2012" s="141"/>
    </row>
    <row r="2013">
      <c r="A2013" s="138"/>
      <c r="B2013" s="138"/>
      <c r="C2013" s="138"/>
      <c r="D2013" s="139"/>
      <c r="E2013" s="138"/>
      <c r="F2013" s="138"/>
      <c r="G2013" s="138"/>
      <c r="H2013" s="138"/>
      <c r="I2013" s="138"/>
      <c r="J2013" s="138"/>
      <c r="K2013" s="138"/>
      <c r="L2013" s="138">
        <v>0.0</v>
      </c>
      <c r="M2013" s="140" t="str">
        <f>VLOOKUP(text(D2013, "#"),'Master Table'!$A:$F, 6, FALSE)</f>
        <v>#N/A</v>
      </c>
      <c r="N2013" s="141"/>
      <c r="O2013" s="142" t="str">
        <f t="shared" si="1"/>
        <v/>
      </c>
      <c r="P2013" s="143" t="str">
        <f>IF(ISNA(VLOOKUP(CONCAT(M2013,C2013), 'Judge Count DO NOT EDIT'!H:H, 1, FALSE)), "ERROR","")</f>
        <v>ERROR</v>
      </c>
      <c r="Q2013" s="141"/>
      <c r="R2013" s="143"/>
      <c r="S2013" s="139"/>
      <c r="T2013" s="141"/>
    </row>
    <row r="2014">
      <c r="A2014" s="138"/>
      <c r="B2014" s="138"/>
      <c r="C2014" s="138"/>
      <c r="D2014" s="139"/>
      <c r="E2014" s="138"/>
      <c r="F2014" s="138"/>
      <c r="G2014" s="138"/>
      <c r="H2014" s="138"/>
      <c r="I2014" s="138"/>
      <c r="J2014" s="138"/>
      <c r="K2014" s="138"/>
      <c r="L2014" s="138">
        <v>0.0</v>
      </c>
      <c r="M2014" s="140" t="str">
        <f>VLOOKUP(text(D2014, "#"),'Master Table'!$A:$F, 6, FALSE)</f>
        <v>#N/A</v>
      </c>
      <c r="N2014" s="141"/>
      <c r="O2014" s="142" t="str">
        <f t="shared" si="1"/>
        <v/>
      </c>
      <c r="P2014" s="143" t="str">
        <f>IF(ISNA(VLOOKUP(CONCAT(M2014,C2014), 'Judge Count DO NOT EDIT'!H:H, 1, FALSE)), "ERROR","")</f>
        <v>ERROR</v>
      </c>
      <c r="Q2014" s="141"/>
      <c r="R2014" s="143"/>
      <c r="S2014" s="139"/>
      <c r="T2014" s="141"/>
    </row>
    <row r="2015">
      <c r="A2015" s="138"/>
      <c r="B2015" s="138"/>
      <c r="C2015" s="138"/>
      <c r="D2015" s="139"/>
      <c r="E2015" s="138"/>
      <c r="F2015" s="138"/>
      <c r="G2015" s="138"/>
      <c r="H2015" s="138"/>
      <c r="I2015" s="138"/>
      <c r="J2015" s="138"/>
      <c r="K2015" s="138"/>
      <c r="L2015" s="138">
        <v>0.0</v>
      </c>
      <c r="M2015" s="140" t="str">
        <f>VLOOKUP(text(D2015, "#"),'Master Table'!$A:$F, 6, FALSE)</f>
        <v>#N/A</v>
      </c>
      <c r="N2015" s="141"/>
      <c r="O2015" s="142" t="str">
        <f t="shared" si="1"/>
        <v/>
      </c>
      <c r="P2015" s="143" t="str">
        <f>IF(ISNA(VLOOKUP(CONCAT(M2015,C2015), 'Judge Count DO NOT EDIT'!H:H, 1, FALSE)), "ERROR","")</f>
        <v>ERROR</v>
      </c>
      <c r="Q2015" s="141"/>
      <c r="R2015" s="143"/>
      <c r="S2015" s="139"/>
      <c r="T2015" s="141"/>
    </row>
    <row r="2016">
      <c r="A2016" s="138"/>
      <c r="B2016" s="138"/>
      <c r="C2016" s="138"/>
      <c r="D2016" s="139"/>
      <c r="E2016" s="138"/>
      <c r="F2016" s="138"/>
      <c r="G2016" s="138"/>
      <c r="H2016" s="138"/>
      <c r="I2016" s="138"/>
      <c r="J2016" s="138"/>
      <c r="K2016" s="138"/>
      <c r="L2016" s="138">
        <v>0.0</v>
      </c>
      <c r="M2016" s="140" t="str">
        <f>VLOOKUP(text(D2016, "#"),'Master Table'!$A:$F, 6, FALSE)</f>
        <v>#N/A</v>
      </c>
      <c r="N2016" s="141"/>
      <c r="O2016" s="142" t="str">
        <f t="shared" si="1"/>
        <v/>
      </c>
      <c r="P2016" s="143" t="str">
        <f>IF(ISNA(VLOOKUP(CONCAT(M2016,C2016), 'Judge Count DO NOT EDIT'!H:H, 1, FALSE)), "ERROR","")</f>
        <v>ERROR</v>
      </c>
      <c r="Q2016" s="141"/>
      <c r="R2016" s="143"/>
      <c r="S2016" s="139"/>
      <c r="T2016" s="141"/>
    </row>
    <row r="2017">
      <c r="A2017" s="138"/>
      <c r="B2017" s="138"/>
      <c r="C2017" s="138"/>
      <c r="D2017" s="139"/>
      <c r="E2017" s="138"/>
      <c r="F2017" s="138"/>
      <c r="G2017" s="138"/>
      <c r="H2017" s="138"/>
      <c r="I2017" s="138"/>
      <c r="J2017" s="138"/>
      <c r="K2017" s="138"/>
      <c r="L2017" s="138">
        <v>0.0</v>
      </c>
      <c r="M2017" s="140" t="str">
        <f>VLOOKUP(text(D2017, "#"),'Master Table'!$A:$F, 6, FALSE)</f>
        <v>#N/A</v>
      </c>
      <c r="N2017" s="141"/>
      <c r="O2017" s="142" t="str">
        <f t="shared" si="1"/>
        <v/>
      </c>
      <c r="P2017" s="143" t="str">
        <f>IF(ISNA(VLOOKUP(CONCAT(M2017,C2017), 'Judge Count DO NOT EDIT'!H:H, 1, FALSE)), "ERROR","")</f>
        <v>ERROR</v>
      </c>
      <c r="Q2017" s="141"/>
      <c r="R2017" s="143"/>
      <c r="S2017" s="139"/>
      <c r="T2017" s="141"/>
    </row>
    <row r="2018">
      <c r="A2018" s="138"/>
      <c r="B2018" s="138"/>
      <c r="C2018" s="138"/>
      <c r="D2018" s="139"/>
      <c r="E2018" s="138"/>
      <c r="F2018" s="138"/>
      <c r="G2018" s="138"/>
      <c r="H2018" s="138"/>
      <c r="I2018" s="138"/>
      <c r="J2018" s="138"/>
      <c r="K2018" s="138"/>
      <c r="L2018" s="138">
        <v>0.0</v>
      </c>
      <c r="M2018" s="140" t="str">
        <f>VLOOKUP(text(D2018, "#"),'Master Table'!$A:$F, 6, FALSE)</f>
        <v>#N/A</v>
      </c>
      <c r="N2018" s="141"/>
      <c r="O2018" s="142" t="str">
        <f t="shared" si="1"/>
        <v/>
      </c>
      <c r="P2018" s="143" t="str">
        <f>IF(ISNA(VLOOKUP(CONCAT(M2018,C2018), 'Judge Count DO NOT EDIT'!H:H, 1, FALSE)), "ERROR","")</f>
        <v>ERROR</v>
      </c>
      <c r="Q2018" s="141"/>
      <c r="R2018" s="143"/>
      <c r="S2018" s="139"/>
      <c r="T2018" s="141"/>
    </row>
    <row r="2019">
      <c r="A2019" s="138"/>
      <c r="B2019" s="138"/>
      <c r="C2019" s="138"/>
      <c r="D2019" s="139"/>
      <c r="E2019" s="138"/>
      <c r="F2019" s="138"/>
      <c r="G2019" s="138"/>
      <c r="H2019" s="138"/>
      <c r="I2019" s="138"/>
      <c r="J2019" s="138"/>
      <c r="K2019" s="138"/>
      <c r="L2019" s="138">
        <v>0.0</v>
      </c>
      <c r="M2019" s="140" t="str">
        <f>VLOOKUP(text(D2019, "#"),'Master Table'!$A:$F, 6, FALSE)</f>
        <v>#N/A</v>
      </c>
      <c r="N2019" s="141"/>
      <c r="O2019" s="142" t="str">
        <f t="shared" si="1"/>
        <v/>
      </c>
      <c r="P2019" s="143" t="str">
        <f>IF(ISNA(VLOOKUP(CONCAT(M2019,C2019), 'Judge Count DO NOT EDIT'!H:H, 1, FALSE)), "ERROR","")</f>
        <v>ERROR</v>
      </c>
      <c r="Q2019" s="141"/>
      <c r="R2019" s="143"/>
      <c r="S2019" s="139"/>
      <c r="T2019" s="141"/>
    </row>
    <row r="2020">
      <c r="A2020" s="138"/>
      <c r="B2020" s="138"/>
      <c r="C2020" s="138"/>
      <c r="D2020" s="139"/>
      <c r="E2020" s="138"/>
      <c r="F2020" s="138"/>
      <c r="G2020" s="138"/>
      <c r="H2020" s="138"/>
      <c r="I2020" s="138"/>
      <c r="J2020" s="138"/>
      <c r="K2020" s="138"/>
      <c r="L2020" s="138">
        <v>0.0</v>
      </c>
      <c r="M2020" s="140" t="str">
        <f>VLOOKUP(text(D2020, "#"),'Master Table'!$A:$F, 6, FALSE)</f>
        <v>#N/A</v>
      </c>
      <c r="N2020" s="141"/>
      <c r="O2020" s="142" t="str">
        <f t="shared" si="1"/>
        <v/>
      </c>
      <c r="P2020" s="143" t="str">
        <f>IF(ISNA(VLOOKUP(CONCAT(M2020,C2020), 'Judge Count DO NOT EDIT'!H:H, 1, FALSE)), "ERROR","")</f>
        <v>ERROR</v>
      </c>
      <c r="Q2020" s="141"/>
      <c r="R2020" s="143"/>
      <c r="S2020" s="139"/>
      <c r="T2020" s="141"/>
    </row>
    <row r="2021">
      <c r="A2021" s="138"/>
      <c r="B2021" s="138"/>
      <c r="C2021" s="138"/>
      <c r="D2021" s="139"/>
      <c r="E2021" s="138"/>
      <c r="F2021" s="138"/>
      <c r="G2021" s="138"/>
      <c r="H2021" s="138"/>
      <c r="I2021" s="138"/>
      <c r="J2021" s="138"/>
      <c r="K2021" s="138"/>
      <c r="L2021" s="138">
        <v>0.0</v>
      </c>
      <c r="M2021" s="140" t="str">
        <f>VLOOKUP(text(D2021, "#"),'Master Table'!$A:$F, 6, FALSE)</f>
        <v>#N/A</v>
      </c>
      <c r="N2021" s="141"/>
      <c r="O2021" s="142" t="str">
        <f t="shared" si="1"/>
        <v/>
      </c>
      <c r="P2021" s="143" t="str">
        <f>IF(ISNA(VLOOKUP(CONCAT(M2021,C2021), 'Judge Count DO NOT EDIT'!H:H, 1, FALSE)), "ERROR","")</f>
        <v>ERROR</v>
      </c>
      <c r="Q2021" s="141"/>
      <c r="R2021" s="143"/>
      <c r="S2021" s="139"/>
      <c r="T2021" s="141"/>
    </row>
    <row r="2022">
      <c r="A2022" s="138"/>
      <c r="B2022" s="138"/>
      <c r="C2022" s="138"/>
      <c r="D2022" s="139"/>
      <c r="E2022" s="138"/>
      <c r="F2022" s="138"/>
      <c r="G2022" s="138"/>
      <c r="H2022" s="138"/>
      <c r="I2022" s="138"/>
      <c r="J2022" s="138"/>
      <c r="K2022" s="138"/>
      <c r="L2022" s="138">
        <v>0.0</v>
      </c>
      <c r="M2022" s="140" t="str">
        <f>VLOOKUP(text(D2022, "#"),'Master Table'!$A:$F, 6, FALSE)</f>
        <v>#N/A</v>
      </c>
      <c r="N2022" s="141"/>
      <c r="O2022" s="142" t="str">
        <f t="shared" si="1"/>
        <v/>
      </c>
      <c r="P2022" s="143" t="str">
        <f>IF(ISNA(VLOOKUP(CONCAT(M2022,C2022), 'Judge Count DO NOT EDIT'!H:H, 1, FALSE)), "ERROR","")</f>
        <v>ERROR</v>
      </c>
      <c r="Q2022" s="141"/>
      <c r="R2022" s="143"/>
      <c r="S2022" s="139"/>
      <c r="T2022" s="141"/>
    </row>
    <row r="2023">
      <c r="A2023" s="138"/>
      <c r="B2023" s="138"/>
      <c r="C2023" s="138"/>
      <c r="D2023" s="139"/>
      <c r="E2023" s="138"/>
      <c r="F2023" s="138"/>
      <c r="G2023" s="138"/>
      <c r="H2023" s="138"/>
      <c r="I2023" s="138"/>
      <c r="J2023" s="138"/>
      <c r="K2023" s="138"/>
      <c r="L2023" s="138">
        <v>0.0</v>
      </c>
      <c r="M2023" s="140" t="str">
        <f>VLOOKUP(text(D2023, "#"),'Master Table'!$A:$F, 6, FALSE)</f>
        <v>#N/A</v>
      </c>
      <c r="N2023" s="141"/>
      <c r="O2023" s="142" t="str">
        <f t="shared" si="1"/>
        <v/>
      </c>
      <c r="P2023" s="143" t="str">
        <f>IF(ISNA(VLOOKUP(CONCAT(M2023,C2023), 'Judge Count DO NOT EDIT'!H:H, 1, FALSE)), "ERROR","")</f>
        <v>ERROR</v>
      </c>
      <c r="Q2023" s="141"/>
      <c r="R2023" s="143"/>
      <c r="S2023" s="139"/>
      <c r="T2023" s="141"/>
    </row>
    <row r="2024">
      <c r="A2024" s="138"/>
      <c r="B2024" s="138"/>
      <c r="C2024" s="138"/>
      <c r="D2024" s="139"/>
      <c r="E2024" s="138"/>
      <c r="F2024" s="138"/>
      <c r="G2024" s="138"/>
      <c r="H2024" s="138"/>
      <c r="I2024" s="138"/>
      <c r="J2024" s="138"/>
      <c r="K2024" s="138"/>
      <c r="L2024" s="138">
        <v>0.0</v>
      </c>
      <c r="M2024" s="140" t="str">
        <f>VLOOKUP(text(D2024, "#"),'Master Table'!$A:$F, 6, FALSE)</f>
        <v>#N/A</v>
      </c>
      <c r="N2024" s="141"/>
      <c r="O2024" s="142" t="str">
        <f t="shared" si="1"/>
        <v/>
      </c>
      <c r="P2024" s="143" t="str">
        <f>IF(ISNA(VLOOKUP(CONCAT(M2024,C2024), 'Judge Count DO NOT EDIT'!H:H, 1, FALSE)), "ERROR","")</f>
        <v>ERROR</v>
      </c>
      <c r="Q2024" s="141"/>
      <c r="R2024" s="143"/>
      <c r="S2024" s="139"/>
      <c r="T2024" s="141"/>
    </row>
    <row r="2025">
      <c r="A2025" s="138"/>
      <c r="B2025" s="138"/>
      <c r="C2025" s="138"/>
      <c r="D2025" s="139"/>
      <c r="E2025" s="138"/>
      <c r="F2025" s="138"/>
      <c r="G2025" s="138"/>
      <c r="H2025" s="138"/>
      <c r="I2025" s="138"/>
      <c r="J2025" s="138"/>
      <c r="K2025" s="138"/>
      <c r="L2025" s="138">
        <v>0.0</v>
      </c>
      <c r="M2025" s="140" t="str">
        <f>VLOOKUP(text(D2025, "#"),'Master Table'!$A:$F, 6, FALSE)</f>
        <v>#N/A</v>
      </c>
      <c r="N2025" s="141"/>
      <c r="O2025" s="142" t="str">
        <f t="shared" si="1"/>
        <v/>
      </c>
      <c r="P2025" s="143" t="str">
        <f>IF(ISNA(VLOOKUP(CONCAT(M2025,C2025), 'Judge Count DO NOT EDIT'!H:H, 1, FALSE)), "ERROR","")</f>
        <v>ERROR</v>
      </c>
      <c r="Q2025" s="141"/>
      <c r="R2025" s="143"/>
      <c r="S2025" s="139"/>
      <c r="T2025" s="141"/>
    </row>
    <row r="2026">
      <c r="A2026" s="138"/>
      <c r="B2026" s="138"/>
      <c r="C2026" s="138"/>
      <c r="D2026" s="139"/>
      <c r="E2026" s="138"/>
      <c r="F2026" s="138"/>
      <c r="G2026" s="138"/>
      <c r="H2026" s="138"/>
      <c r="I2026" s="138"/>
      <c r="J2026" s="138"/>
      <c r="K2026" s="138"/>
      <c r="L2026" s="138">
        <v>0.0</v>
      </c>
      <c r="M2026" s="140" t="str">
        <f>VLOOKUP(text(D2026, "#"),'Master Table'!$A:$F, 6, FALSE)</f>
        <v>#N/A</v>
      </c>
      <c r="N2026" s="141"/>
      <c r="O2026" s="142" t="str">
        <f t="shared" si="1"/>
        <v/>
      </c>
      <c r="P2026" s="143" t="str">
        <f>IF(ISNA(VLOOKUP(CONCAT(M2026,C2026), 'Judge Count DO NOT EDIT'!H:H, 1, FALSE)), "ERROR","")</f>
        <v>ERROR</v>
      </c>
      <c r="Q2026" s="141"/>
      <c r="R2026" s="143"/>
      <c r="S2026" s="139"/>
      <c r="T2026" s="141"/>
    </row>
    <row r="2027">
      <c r="A2027" s="138"/>
      <c r="B2027" s="138"/>
      <c r="C2027" s="138"/>
      <c r="D2027" s="139"/>
      <c r="E2027" s="138"/>
      <c r="F2027" s="138"/>
      <c r="G2027" s="138"/>
      <c r="H2027" s="138"/>
      <c r="I2027" s="138"/>
      <c r="J2027" s="138"/>
      <c r="K2027" s="138"/>
      <c r="L2027" s="138">
        <v>0.0</v>
      </c>
      <c r="M2027" s="140" t="str">
        <f>VLOOKUP(text(D2027, "#"),'Master Table'!$A:$F, 6, FALSE)</f>
        <v>#N/A</v>
      </c>
      <c r="N2027" s="141"/>
      <c r="O2027" s="142" t="str">
        <f t="shared" si="1"/>
        <v/>
      </c>
      <c r="P2027" s="143" t="str">
        <f>IF(ISNA(VLOOKUP(CONCAT(M2027,C2027), 'Judge Count DO NOT EDIT'!H:H, 1, FALSE)), "ERROR","")</f>
        <v>ERROR</v>
      </c>
      <c r="Q2027" s="141"/>
      <c r="R2027" s="143"/>
      <c r="S2027" s="139"/>
      <c r="T2027" s="141"/>
    </row>
    <row r="2028">
      <c r="A2028" s="138"/>
      <c r="B2028" s="138"/>
      <c r="C2028" s="138"/>
      <c r="D2028" s="139"/>
      <c r="E2028" s="138"/>
      <c r="F2028" s="138"/>
      <c r="G2028" s="138"/>
      <c r="H2028" s="138"/>
      <c r="I2028" s="138"/>
      <c r="J2028" s="138"/>
      <c r="K2028" s="138"/>
      <c r="L2028" s="138">
        <v>0.0</v>
      </c>
      <c r="M2028" s="140" t="str">
        <f>VLOOKUP(text(D2028, "#"),'Master Table'!$A:$F, 6, FALSE)</f>
        <v>#N/A</v>
      </c>
      <c r="N2028" s="141"/>
      <c r="O2028" s="142" t="str">
        <f t="shared" si="1"/>
        <v/>
      </c>
      <c r="P2028" s="143" t="str">
        <f>IF(ISNA(VLOOKUP(CONCAT(M2028,C2028), 'Judge Count DO NOT EDIT'!H:H, 1, FALSE)), "ERROR","")</f>
        <v>ERROR</v>
      </c>
      <c r="Q2028" s="141"/>
      <c r="R2028" s="143"/>
      <c r="S2028" s="139"/>
      <c r="T2028" s="141"/>
    </row>
    <row r="2029">
      <c r="A2029" s="138"/>
      <c r="B2029" s="138"/>
      <c r="C2029" s="138"/>
      <c r="D2029" s="139"/>
      <c r="E2029" s="138"/>
      <c r="F2029" s="138"/>
      <c r="G2029" s="138"/>
      <c r="H2029" s="138"/>
      <c r="I2029" s="138"/>
      <c r="J2029" s="138"/>
      <c r="K2029" s="138"/>
      <c r="L2029" s="138">
        <v>0.0</v>
      </c>
      <c r="M2029" s="140" t="str">
        <f>VLOOKUP(text(D2029, "#"),'Master Table'!$A:$F, 6, FALSE)</f>
        <v>#N/A</v>
      </c>
      <c r="N2029" s="141"/>
      <c r="O2029" s="142" t="str">
        <f t="shared" si="1"/>
        <v/>
      </c>
      <c r="P2029" s="143" t="str">
        <f>IF(ISNA(VLOOKUP(CONCAT(M2029,C2029), 'Judge Count DO NOT EDIT'!H:H, 1, FALSE)), "ERROR","")</f>
        <v>ERROR</v>
      </c>
      <c r="Q2029" s="141"/>
      <c r="R2029" s="143"/>
      <c r="S2029" s="139"/>
      <c r="T2029" s="141"/>
    </row>
    <row r="2030">
      <c r="A2030" s="138"/>
      <c r="B2030" s="138"/>
      <c r="C2030" s="138"/>
      <c r="D2030" s="139"/>
      <c r="E2030" s="138"/>
      <c r="F2030" s="138"/>
      <c r="G2030" s="138"/>
      <c r="H2030" s="138"/>
      <c r="I2030" s="138"/>
      <c r="J2030" s="138"/>
      <c r="K2030" s="138"/>
      <c r="L2030" s="138">
        <v>0.0</v>
      </c>
      <c r="M2030" s="140" t="str">
        <f>VLOOKUP(text(D2030, "#"),'Master Table'!$A:$F, 6, FALSE)</f>
        <v>#N/A</v>
      </c>
      <c r="N2030" s="141"/>
      <c r="O2030" s="142" t="str">
        <f t="shared" si="1"/>
        <v/>
      </c>
      <c r="P2030" s="143" t="str">
        <f>IF(ISNA(VLOOKUP(CONCAT(M2030,C2030), 'Judge Count DO NOT EDIT'!H:H, 1, FALSE)), "ERROR","")</f>
        <v>ERROR</v>
      </c>
      <c r="Q2030" s="141"/>
      <c r="R2030" s="143"/>
      <c r="S2030" s="139"/>
      <c r="T2030" s="141"/>
    </row>
    <row r="2031">
      <c r="A2031" s="138"/>
      <c r="B2031" s="138"/>
      <c r="C2031" s="138"/>
      <c r="D2031" s="139"/>
      <c r="E2031" s="138"/>
      <c r="F2031" s="138"/>
      <c r="G2031" s="138"/>
      <c r="H2031" s="138"/>
      <c r="I2031" s="138"/>
      <c r="J2031" s="138"/>
      <c r="K2031" s="138"/>
      <c r="L2031" s="138">
        <v>0.0</v>
      </c>
      <c r="M2031" s="140" t="str">
        <f>VLOOKUP(text(D2031, "#"),'Master Table'!$A:$F, 6, FALSE)</f>
        <v>#N/A</v>
      </c>
      <c r="N2031" s="141"/>
      <c r="O2031" s="142" t="str">
        <f t="shared" si="1"/>
        <v/>
      </c>
      <c r="P2031" s="143" t="str">
        <f>IF(ISNA(VLOOKUP(CONCAT(M2031,C2031), 'Judge Count DO NOT EDIT'!H:H, 1, FALSE)), "ERROR","")</f>
        <v>ERROR</v>
      </c>
      <c r="Q2031" s="141"/>
      <c r="R2031" s="143"/>
      <c r="S2031" s="139"/>
      <c r="T2031" s="141"/>
    </row>
    <row r="2032">
      <c r="A2032" s="138"/>
      <c r="B2032" s="138"/>
      <c r="C2032" s="138"/>
      <c r="D2032" s="139"/>
      <c r="E2032" s="138"/>
      <c r="F2032" s="138"/>
      <c r="G2032" s="138"/>
      <c r="H2032" s="138"/>
      <c r="I2032" s="138"/>
      <c r="J2032" s="138"/>
      <c r="K2032" s="138"/>
      <c r="L2032" s="138">
        <v>0.0</v>
      </c>
      <c r="M2032" s="140" t="str">
        <f>VLOOKUP(text(D2032, "#"),'Master Table'!$A:$F, 6, FALSE)</f>
        <v>#N/A</v>
      </c>
      <c r="N2032" s="141"/>
      <c r="O2032" s="142" t="str">
        <f t="shared" si="1"/>
        <v/>
      </c>
      <c r="P2032" s="143" t="str">
        <f>IF(ISNA(VLOOKUP(CONCAT(M2032,C2032), 'Judge Count DO NOT EDIT'!H:H, 1, FALSE)), "ERROR","")</f>
        <v>ERROR</v>
      </c>
      <c r="Q2032" s="141"/>
      <c r="R2032" s="143"/>
      <c r="S2032" s="139"/>
      <c r="T2032" s="141"/>
    </row>
    <row r="2033">
      <c r="A2033" s="138"/>
      <c r="B2033" s="138"/>
      <c r="C2033" s="138"/>
      <c r="D2033" s="139"/>
      <c r="E2033" s="138"/>
      <c r="F2033" s="138"/>
      <c r="G2033" s="138"/>
      <c r="H2033" s="138"/>
      <c r="I2033" s="138"/>
      <c r="J2033" s="138"/>
      <c r="K2033" s="138"/>
      <c r="L2033" s="138">
        <v>0.0</v>
      </c>
      <c r="M2033" s="140" t="str">
        <f>VLOOKUP(text(D2033, "#"),'Master Table'!$A:$F, 6, FALSE)</f>
        <v>#N/A</v>
      </c>
      <c r="N2033" s="141"/>
      <c r="O2033" s="142" t="str">
        <f t="shared" si="1"/>
        <v/>
      </c>
      <c r="P2033" s="143" t="str">
        <f>IF(ISNA(VLOOKUP(CONCAT(M2033,C2033), 'Judge Count DO NOT EDIT'!H:H, 1, FALSE)), "ERROR","")</f>
        <v>ERROR</v>
      </c>
      <c r="Q2033" s="141"/>
      <c r="R2033" s="143"/>
      <c r="S2033" s="139"/>
      <c r="T2033" s="141"/>
    </row>
    <row r="2034">
      <c r="A2034" s="138"/>
      <c r="B2034" s="138"/>
      <c r="C2034" s="138"/>
      <c r="D2034" s="139"/>
      <c r="E2034" s="138"/>
      <c r="F2034" s="138"/>
      <c r="G2034" s="138"/>
      <c r="H2034" s="138"/>
      <c r="I2034" s="138"/>
      <c r="J2034" s="138"/>
      <c r="K2034" s="138"/>
      <c r="L2034" s="138">
        <v>0.0</v>
      </c>
      <c r="M2034" s="140" t="str">
        <f>VLOOKUP(text(D2034, "#"),'Master Table'!$A:$F, 6, FALSE)</f>
        <v>#N/A</v>
      </c>
      <c r="N2034" s="141"/>
      <c r="O2034" s="142" t="str">
        <f t="shared" si="1"/>
        <v/>
      </c>
      <c r="P2034" s="143" t="str">
        <f>IF(ISNA(VLOOKUP(CONCAT(M2034,C2034), 'Judge Count DO NOT EDIT'!H:H, 1, FALSE)), "ERROR","")</f>
        <v>ERROR</v>
      </c>
      <c r="Q2034" s="141"/>
      <c r="R2034" s="143"/>
      <c r="S2034" s="139"/>
      <c r="T2034" s="141"/>
    </row>
    <row r="2035">
      <c r="A2035" s="138"/>
      <c r="B2035" s="138"/>
      <c r="C2035" s="138"/>
      <c r="D2035" s="139"/>
      <c r="E2035" s="138"/>
      <c r="F2035" s="138"/>
      <c r="G2035" s="138"/>
      <c r="H2035" s="138"/>
      <c r="I2035" s="138"/>
      <c r="J2035" s="138"/>
      <c r="K2035" s="138"/>
      <c r="L2035" s="138">
        <v>0.0</v>
      </c>
      <c r="M2035" s="140" t="str">
        <f>VLOOKUP(text(D2035, "#"),'Master Table'!$A:$F, 6, FALSE)</f>
        <v>#N/A</v>
      </c>
      <c r="N2035" s="141"/>
      <c r="O2035" s="142" t="str">
        <f t="shared" si="1"/>
        <v/>
      </c>
      <c r="P2035" s="143" t="str">
        <f>IF(ISNA(VLOOKUP(CONCAT(M2035,C2035), 'Judge Count DO NOT EDIT'!H:H, 1, FALSE)), "ERROR","")</f>
        <v>ERROR</v>
      </c>
      <c r="Q2035" s="141"/>
      <c r="R2035" s="143"/>
      <c r="S2035" s="139"/>
      <c r="T2035" s="141"/>
    </row>
    <row r="2036">
      <c r="A2036" s="138"/>
      <c r="B2036" s="138"/>
      <c r="C2036" s="138"/>
      <c r="D2036" s="139"/>
      <c r="E2036" s="138"/>
      <c r="F2036" s="138"/>
      <c r="G2036" s="138"/>
      <c r="H2036" s="138"/>
      <c r="I2036" s="138"/>
      <c r="J2036" s="138"/>
      <c r="K2036" s="138"/>
      <c r="L2036" s="138">
        <v>0.0</v>
      </c>
      <c r="M2036" s="140" t="str">
        <f>VLOOKUP(text(D2036, "#"),'Master Table'!$A:$F, 6, FALSE)</f>
        <v>#N/A</v>
      </c>
      <c r="N2036" s="141"/>
      <c r="O2036" s="142" t="str">
        <f t="shared" si="1"/>
        <v/>
      </c>
      <c r="P2036" s="143" t="str">
        <f>IF(ISNA(VLOOKUP(CONCAT(M2036,C2036), 'Judge Count DO NOT EDIT'!H:H, 1, FALSE)), "ERROR","")</f>
        <v>ERROR</v>
      </c>
      <c r="Q2036" s="141"/>
      <c r="R2036" s="143"/>
      <c r="S2036" s="139"/>
      <c r="T2036" s="141"/>
    </row>
    <row r="2037">
      <c r="A2037" s="138"/>
      <c r="B2037" s="138"/>
      <c r="C2037" s="138"/>
      <c r="D2037" s="139"/>
      <c r="E2037" s="138"/>
      <c r="F2037" s="138"/>
      <c r="G2037" s="138"/>
      <c r="H2037" s="138"/>
      <c r="I2037" s="138"/>
      <c r="J2037" s="138"/>
      <c r="K2037" s="138"/>
      <c r="L2037" s="138">
        <v>0.0</v>
      </c>
      <c r="M2037" s="140" t="str">
        <f>VLOOKUP(text(D2037, "#"),'Master Table'!$A:$F, 6, FALSE)</f>
        <v>#N/A</v>
      </c>
      <c r="N2037" s="141"/>
      <c r="O2037" s="142" t="str">
        <f t="shared" si="1"/>
        <v/>
      </c>
      <c r="P2037" s="143" t="str">
        <f>IF(ISNA(VLOOKUP(CONCAT(M2037,C2037), 'Judge Count DO NOT EDIT'!H:H, 1, FALSE)), "ERROR","")</f>
        <v>ERROR</v>
      </c>
      <c r="Q2037" s="141"/>
      <c r="R2037" s="143"/>
      <c r="S2037" s="139"/>
      <c r="T2037" s="141"/>
    </row>
    <row r="2038">
      <c r="A2038" s="138"/>
      <c r="B2038" s="138"/>
      <c r="C2038" s="138"/>
      <c r="D2038" s="139"/>
      <c r="E2038" s="138"/>
      <c r="F2038" s="138"/>
      <c r="G2038" s="138"/>
      <c r="H2038" s="138"/>
      <c r="I2038" s="138"/>
      <c r="J2038" s="138"/>
      <c r="K2038" s="138"/>
      <c r="L2038" s="138">
        <v>0.0</v>
      </c>
      <c r="M2038" s="140" t="str">
        <f>VLOOKUP(text(D2038, "#"),'Master Table'!$A:$F, 6, FALSE)</f>
        <v>#N/A</v>
      </c>
      <c r="N2038" s="141"/>
      <c r="O2038" s="142" t="str">
        <f t="shared" si="1"/>
        <v/>
      </c>
      <c r="P2038" s="143" t="str">
        <f>IF(ISNA(VLOOKUP(CONCAT(M2038,C2038), 'Judge Count DO NOT EDIT'!H:H, 1, FALSE)), "ERROR","")</f>
        <v>ERROR</v>
      </c>
      <c r="Q2038" s="141"/>
      <c r="R2038" s="143"/>
      <c r="S2038" s="139"/>
      <c r="T2038" s="141"/>
    </row>
    <row r="2039">
      <c r="A2039" s="138"/>
      <c r="B2039" s="138"/>
      <c r="C2039" s="138"/>
      <c r="D2039" s="139"/>
      <c r="E2039" s="138"/>
      <c r="F2039" s="138"/>
      <c r="G2039" s="138"/>
      <c r="H2039" s="138"/>
      <c r="I2039" s="138"/>
      <c r="J2039" s="138"/>
      <c r="K2039" s="138"/>
      <c r="L2039" s="138">
        <v>0.0</v>
      </c>
      <c r="M2039" s="140" t="str">
        <f>VLOOKUP(text(D2039, "#"),'Master Table'!$A:$F, 6, FALSE)</f>
        <v>#N/A</v>
      </c>
      <c r="N2039" s="141"/>
      <c r="O2039" s="142" t="str">
        <f t="shared" si="1"/>
        <v/>
      </c>
      <c r="P2039" s="143" t="str">
        <f>IF(ISNA(VLOOKUP(CONCAT(M2039,C2039), 'Judge Count DO NOT EDIT'!H:H, 1, FALSE)), "ERROR","")</f>
        <v>ERROR</v>
      </c>
      <c r="Q2039" s="141"/>
      <c r="R2039" s="143"/>
      <c r="S2039" s="139"/>
      <c r="T2039" s="141"/>
    </row>
    <row r="2040">
      <c r="A2040" s="138"/>
      <c r="B2040" s="138"/>
      <c r="C2040" s="138"/>
      <c r="D2040" s="139"/>
      <c r="E2040" s="138"/>
      <c r="F2040" s="138"/>
      <c r="G2040" s="138"/>
      <c r="H2040" s="138"/>
      <c r="I2040" s="138"/>
      <c r="J2040" s="138"/>
      <c r="K2040" s="138"/>
      <c r="L2040" s="138">
        <v>0.0</v>
      </c>
      <c r="M2040" s="140" t="str">
        <f>VLOOKUP(text(D2040, "#"),'Master Table'!$A:$F, 6, FALSE)</f>
        <v>#N/A</v>
      </c>
      <c r="N2040" s="141"/>
      <c r="O2040" s="142" t="str">
        <f t="shared" si="1"/>
        <v/>
      </c>
      <c r="P2040" s="143" t="str">
        <f>IF(ISNA(VLOOKUP(CONCAT(M2040,C2040), 'Judge Count DO NOT EDIT'!H:H, 1, FALSE)), "ERROR","")</f>
        <v>ERROR</v>
      </c>
      <c r="Q2040" s="141"/>
      <c r="R2040" s="143"/>
      <c r="S2040" s="139"/>
      <c r="T2040" s="141"/>
    </row>
    <row r="2041">
      <c r="A2041" s="138"/>
      <c r="B2041" s="138"/>
      <c r="C2041" s="138"/>
      <c r="D2041" s="139"/>
      <c r="E2041" s="138"/>
      <c r="F2041" s="138"/>
      <c r="G2041" s="138"/>
      <c r="H2041" s="138"/>
      <c r="I2041" s="138"/>
      <c r="J2041" s="138"/>
      <c r="K2041" s="138"/>
      <c r="L2041" s="138">
        <v>0.0</v>
      </c>
      <c r="M2041" s="140" t="str">
        <f>VLOOKUP(text(D2041, "#"),'Master Table'!$A:$F, 6, FALSE)</f>
        <v>#N/A</v>
      </c>
      <c r="N2041" s="141"/>
      <c r="O2041" s="142" t="str">
        <f t="shared" si="1"/>
        <v/>
      </c>
      <c r="P2041" s="143" t="str">
        <f>IF(ISNA(VLOOKUP(CONCAT(M2041,C2041), 'Judge Count DO NOT EDIT'!H:H, 1, FALSE)), "ERROR","")</f>
        <v>ERROR</v>
      </c>
      <c r="Q2041" s="141"/>
      <c r="R2041" s="143"/>
      <c r="S2041" s="139"/>
      <c r="T2041" s="141"/>
    </row>
    <row r="2042">
      <c r="A2042" s="138"/>
      <c r="B2042" s="138"/>
      <c r="C2042" s="138"/>
      <c r="D2042" s="139"/>
      <c r="E2042" s="138"/>
      <c r="F2042" s="138"/>
      <c r="G2042" s="138"/>
      <c r="H2042" s="138"/>
      <c r="I2042" s="138"/>
      <c r="J2042" s="138"/>
      <c r="K2042" s="138"/>
      <c r="L2042" s="138">
        <v>0.0</v>
      </c>
      <c r="M2042" s="140" t="str">
        <f>VLOOKUP(text(D2042, "#"),'Master Table'!$A:$F, 6, FALSE)</f>
        <v>#N/A</v>
      </c>
      <c r="N2042" s="141"/>
      <c r="O2042" s="142" t="str">
        <f t="shared" si="1"/>
        <v/>
      </c>
      <c r="P2042" s="143" t="str">
        <f>IF(ISNA(VLOOKUP(CONCAT(M2042,C2042), 'Judge Count DO NOT EDIT'!H:H, 1, FALSE)), "ERROR","")</f>
        <v>ERROR</v>
      </c>
      <c r="Q2042" s="141"/>
      <c r="R2042" s="143"/>
      <c r="S2042" s="139"/>
      <c r="T2042" s="141"/>
    </row>
    <row r="2043">
      <c r="A2043" s="138"/>
      <c r="B2043" s="138"/>
      <c r="C2043" s="138"/>
      <c r="D2043" s="139"/>
      <c r="E2043" s="138"/>
      <c r="F2043" s="138"/>
      <c r="G2043" s="138"/>
      <c r="H2043" s="138"/>
      <c r="I2043" s="138"/>
      <c r="J2043" s="138"/>
      <c r="K2043" s="138"/>
      <c r="L2043" s="138">
        <v>0.0</v>
      </c>
      <c r="M2043" s="140" t="str">
        <f>VLOOKUP(text(D2043, "#"),'Master Table'!$A:$F, 6, FALSE)</f>
        <v>#N/A</v>
      </c>
      <c r="N2043" s="141"/>
      <c r="O2043" s="142" t="str">
        <f t="shared" si="1"/>
        <v/>
      </c>
      <c r="P2043" s="143" t="str">
        <f>IF(ISNA(VLOOKUP(CONCAT(M2043,C2043), 'Judge Count DO NOT EDIT'!H:H, 1, FALSE)), "ERROR","")</f>
        <v>ERROR</v>
      </c>
      <c r="Q2043" s="141"/>
      <c r="R2043" s="143"/>
      <c r="S2043" s="139"/>
      <c r="T2043" s="141"/>
    </row>
    <row r="2044">
      <c r="A2044" s="138"/>
      <c r="B2044" s="138"/>
      <c r="C2044" s="138"/>
      <c r="D2044" s="139"/>
      <c r="E2044" s="138"/>
      <c r="F2044" s="138"/>
      <c r="G2044" s="138"/>
      <c r="H2044" s="138"/>
      <c r="I2044" s="138"/>
      <c r="J2044" s="138"/>
      <c r="K2044" s="138"/>
      <c r="L2044" s="138">
        <v>0.0</v>
      </c>
      <c r="M2044" s="140" t="str">
        <f>VLOOKUP(text(D2044, "#"),'Master Table'!$A:$F, 6, FALSE)</f>
        <v>#N/A</v>
      </c>
      <c r="N2044" s="141"/>
      <c r="O2044" s="142" t="str">
        <f t="shared" si="1"/>
        <v/>
      </c>
      <c r="P2044" s="143" t="str">
        <f>IF(ISNA(VLOOKUP(CONCAT(M2044,C2044), 'Judge Count DO NOT EDIT'!H:H, 1, FALSE)), "ERROR","")</f>
        <v>ERROR</v>
      </c>
      <c r="Q2044" s="141"/>
      <c r="R2044" s="143"/>
      <c r="S2044" s="139"/>
      <c r="T2044" s="141"/>
    </row>
    <row r="2045">
      <c r="A2045" s="138"/>
      <c r="B2045" s="138"/>
      <c r="C2045" s="138"/>
      <c r="D2045" s="139"/>
      <c r="E2045" s="138"/>
      <c r="F2045" s="138"/>
      <c r="G2045" s="138"/>
      <c r="H2045" s="138"/>
      <c r="I2045" s="138"/>
      <c r="J2045" s="138"/>
      <c r="K2045" s="138"/>
      <c r="L2045" s="138">
        <v>0.0</v>
      </c>
      <c r="M2045" s="140" t="str">
        <f>VLOOKUP(text(D2045, "#"),'Master Table'!$A:$F, 6, FALSE)</f>
        <v>#N/A</v>
      </c>
      <c r="N2045" s="141"/>
      <c r="O2045" s="142" t="str">
        <f t="shared" si="1"/>
        <v/>
      </c>
      <c r="P2045" s="143" t="str">
        <f>IF(ISNA(VLOOKUP(CONCAT(M2045,C2045), 'Judge Count DO NOT EDIT'!H:H, 1, FALSE)), "ERROR","")</f>
        <v>ERROR</v>
      </c>
      <c r="Q2045" s="141"/>
      <c r="R2045" s="143"/>
      <c r="S2045" s="139"/>
      <c r="T2045" s="141"/>
    </row>
    <row r="2046">
      <c r="A2046" s="138"/>
      <c r="B2046" s="138"/>
      <c r="C2046" s="138"/>
      <c r="D2046" s="139"/>
      <c r="E2046" s="138"/>
      <c r="F2046" s="138"/>
      <c r="G2046" s="138"/>
      <c r="H2046" s="138"/>
      <c r="I2046" s="138"/>
      <c r="J2046" s="138"/>
      <c r="K2046" s="138"/>
      <c r="L2046" s="138">
        <v>0.0</v>
      </c>
      <c r="M2046" s="140" t="str">
        <f>VLOOKUP(text(D2046, "#"),'Master Table'!$A:$F, 6, FALSE)</f>
        <v>#N/A</v>
      </c>
      <c r="N2046" s="141"/>
      <c r="O2046" s="142" t="str">
        <f t="shared" si="1"/>
        <v/>
      </c>
      <c r="P2046" s="143" t="str">
        <f>IF(ISNA(VLOOKUP(CONCAT(M2046,C2046), 'Judge Count DO NOT EDIT'!H:H, 1, FALSE)), "ERROR","")</f>
        <v>ERROR</v>
      </c>
      <c r="Q2046" s="141"/>
      <c r="R2046" s="143"/>
      <c r="S2046" s="139"/>
      <c r="T2046" s="141"/>
    </row>
    <row r="2047">
      <c r="A2047" s="138"/>
      <c r="B2047" s="138"/>
      <c r="C2047" s="138"/>
      <c r="D2047" s="139"/>
      <c r="E2047" s="138"/>
      <c r="F2047" s="138"/>
      <c r="G2047" s="138"/>
      <c r="H2047" s="138"/>
      <c r="I2047" s="138"/>
      <c r="J2047" s="138"/>
      <c r="K2047" s="138"/>
      <c r="L2047" s="138">
        <v>0.0</v>
      </c>
      <c r="M2047" s="140" t="str">
        <f>VLOOKUP(text(D2047, "#"),'Master Table'!$A:$F, 6, FALSE)</f>
        <v>#N/A</v>
      </c>
      <c r="N2047" s="141"/>
      <c r="O2047" s="142" t="str">
        <f t="shared" si="1"/>
        <v/>
      </c>
      <c r="P2047" s="143" t="str">
        <f>IF(ISNA(VLOOKUP(CONCAT(M2047,C2047), 'Judge Count DO NOT EDIT'!H:H, 1, FALSE)), "ERROR","")</f>
        <v>ERROR</v>
      </c>
      <c r="Q2047" s="141"/>
      <c r="R2047" s="143"/>
      <c r="S2047" s="139"/>
      <c r="T2047" s="141"/>
    </row>
    <row r="2048">
      <c r="A2048" s="138"/>
      <c r="B2048" s="138"/>
      <c r="C2048" s="138"/>
      <c r="D2048" s="139"/>
      <c r="E2048" s="138"/>
      <c r="F2048" s="138"/>
      <c r="G2048" s="138"/>
      <c r="H2048" s="138"/>
      <c r="I2048" s="138"/>
      <c r="J2048" s="138"/>
      <c r="K2048" s="138"/>
      <c r="L2048" s="138">
        <v>0.0</v>
      </c>
      <c r="M2048" s="140" t="str">
        <f>VLOOKUP(text(D2048, "#"),'Master Table'!$A:$F, 6, FALSE)</f>
        <v>#N/A</v>
      </c>
      <c r="N2048" s="141"/>
      <c r="O2048" s="142" t="str">
        <f t="shared" si="1"/>
        <v/>
      </c>
      <c r="P2048" s="143" t="str">
        <f>IF(ISNA(VLOOKUP(CONCAT(M2048,C2048), 'Judge Count DO NOT EDIT'!H:H, 1, FALSE)), "ERROR","")</f>
        <v>ERROR</v>
      </c>
      <c r="Q2048" s="141"/>
      <c r="R2048" s="143"/>
      <c r="S2048" s="139"/>
      <c r="T2048" s="141"/>
    </row>
    <row r="2049">
      <c r="A2049" s="138"/>
      <c r="B2049" s="138"/>
      <c r="C2049" s="138"/>
      <c r="D2049" s="139"/>
      <c r="E2049" s="138"/>
      <c r="F2049" s="138"/>
      <c r="G2049" s="138"/>
      <c r="H2049" s="138"/>
      <c r="I2049" s="138"/>
      <c r="J2049" s="138"/>
      <c r="K2049" s="138"/>
      <c r="L2049" s="138">
        <v>0.0</v>
      </c>
      <c r="M2049" s="140" t="str">
        <f>VLOOKUP(text(D2049, "#"),'Master Table'!$A:$F, 6, FALSE)</f>
        <v>#N/A</v>
      </c>
      <c r="N2049" s="141"/>
      <c r="O2049" s="142" t="str">
        <f t="shared" si="1"/>
        <v/>
      </c>
      <c r="P2049" s="143" t="str">
        <f>IF(ISNA(VLOOKUP(CONCAT(M2049,C2049), 'Judge Count DO NOT EDIT'!H:H, 1, FALSE)), "ERROR","")</f>
        <v>ERROR</v>
      </c>
      <c r="Q2049" s="141"/>
      <c r="R2049" s="143"/>
      <c r="S2049" s="139"/>
      <c r="T2049" s="141"/>
    </row>
    <row r="2050">
      <c r="A2050" s="138"/>
      <c r="B2050" s="138"/>
      <c r="C2050" s="138"/>
      <c r="D2050" s="139"/>
      <c r="E2050" s="138"/>
      <c r="F2050" s="138"/>
      <c r="G2050" s="138"/>
      <c r="H2050" s="138"/>
      <c r="I2050" s="138"/>
      <c r="J2050" s="138"/>
      <c r="K2050" s="138"/>
      <c r="L2050" s="138">
        <v>0.0</v>
      </c>
      <c r="M2050" s="140" t="str">
        <f>VLOOKUP(text(D2050, "#"),'Master Table'!$A:$F, 6, FALSE)</f>
        <v>#N/A</v>
      </c>
      <c r="N2050" s="141"/>
      <c r="O2050" s="142" t="str">
        <f t="shared" si="1"/>
        <v/>
      </c>
      <c r="P2050" s="143" t="str">
        <f>IF(ISNA(VLOOKUP(CONCAT(M2050,C2050), 'Judge Count DO NOT EDIT'!H:H, 1, FALSE)), "ERROR","")</f>
        <v>ERROR</v>
      </c>
      <c r="Q2050" s="141"/>
      <c r="R2050" s="143"/>
      <c r="S2050" s="139"/>
      <c r="T2050" s="141"/>
    </row>
    <row r="2051">
      <c r="A2051" s="138"/>
      <c r="B2051" s="138"/>
      <c r="C2051" s="138"/>
      <c r="D2051" s="139"/>
      <c r="E2051" s="138"/>
      <c r="F2051" s="138"/>
      <c r="G2051" s="138"/>
      <c r="H2051" s="138"/>
      <c r="I2051" s="138"/>
      <c r="J2051" s="138"/>
      <c r="K2051" s="138"/>
      <c r="L2051" s="138">
        <v>0.0</v>
      </c>
      <c r="M2051" s="140" t="str">
        <f>VLOOKUP(text(D2051, "#"),'Master Table'!$A:$F, 6, FALSE)</f>
        <v>#N/A</v>
      </c>
      <c r="N2051" s="141"/>
      <c r="O2051" s="142" t="str">
        <f t="shared" si="1"/>
        <v/>
      </c>
      <c r="P2051" s="143" t="str">
        <f>IF(ISNA(VLOOKUP(CONCAT(M2051,C2051), 'Judge Count DO NOT EDIT'!H:H, 1, FALSE)), "ERROR","")</f>
        <v>ERROR</v>
      </c>
      <c r="Q2051" s="141"/>
      <c r="R2051" s="143"/>
      <c r="S2051" s="139"/>
      <c r="T2051" s="141"/>
    </row>
    <row r="2052">
      <c r="A2052" s="138"/>
      <c r="B2052" s="138"/>
      <c r="C2052" s="138"/>
      <c r="D2052" s="139"/>
      <c r="E2052" s="138"/>
      <c r="F2052" s="138"/>
      <c r="G2052" s="138"/>
      <c r="H2052" s="138"/>
      <c r="I2052" s="138"/>
      <c r="J2052" s="138"/>
      <c r="K2052" s="138"/>
      <c r="L2052" s="138">
        <v>0.0</v>
      </c>
      <c r="M2052" s="140" t="str">
        <f>VLOOKUP(text(D2052, "#"),'Master Table'!$A:$F, 6, FALSE)</f>
        <v>#N/A</v>
      </c>
      <c r="N2052" s="141"/>
      <c r="O2052" s="142" t="str">
        <f t="shared" si="1"/>
        <v/>
      </c>
      <c r="P2052" s="143" t="str">
        <f>IF(ISNA(VLOOKUP(CONCAT(M2052,C2052), 'Judge Count DO NOT EDIT'!H:H, 1, FALSE)), "ERROR","")</f>
        <v>ERROR</v>
      </c>
      <c r="Q2052" s="141"/>
      <c r="R2052" s="143"/>
      <c r="S2052" s="139"/>
      <c r="T2052" s="141"/>
    </row>
    <row r="2053">
      <c r="A2053" s="138"/>
      <c r="B2053" s="138"/>
      <c r="C2053" s="138"/>
      <c r="D2053" s="139"/>
      <c r="E2053" s="138"/>
      <c r="F2053" s="138"/>
      <c r="G2053" s="138"/>
      <c r="H2053" s="138"/>
      <c r="I2053" s="138"/>
      <c r="J2053" s="138"/>
      <c r="K2053" s="138"/>
      <c r="L2053" s="138">
        <v>0.0</v>
      </c>
      <c r="M2053" s="140" t="str">
        <f>VLOOKUP(text(D2053, "#"),'Master Table'!$A:$F, 6, FALSE)</f>
        <v>#N/A</v>
      </c>
      <c r="N2053" s="141"/>
      <c r="O2053" s="142" t="str">
        <f t="shared" si="1"/>
        <v/>
      </c>
      <c r="P2053" s="143" t="str">
        <f>IF(ISNA(VLOOKUP(CONCAT(M2053,C2053), 'Judge Count DO NOT EDIT'!H:H, 1, FALSE)), "ERROR","")</f>
        <v>ERROR</v>
      </c>
      <c r="Q2053" s="141"/>
      <c r="R2053" s="143"/>
      <c r="S2053" s="139"/>
      <c r="T2053" s="141"/>
    </row>
    <row r="2054">
      <c r="A2054" s="138"/>
      <c r="B2054" s="138"/>
      <c r="C2054" s="138"/>
      <c r="D2054" s="139"/>
      <c r="E2054" s="138"/>
      <c r="F2054" s="138"/>
      <c r="G2054" s="138"/>
      <c r="H2054" s="138"/>
      <c r="I2054" s="138"/>
      <c r="J2054" s="138"/>
      <c r="K2054" s="138"/>
      <c r="L2054" s="138">
        <v>0.0</v>
      </c>
      <c r="M2054" s="140" t="str">
        <f>VLOOKUP(text(D2054, "#"),'Master Table'!$A:$F, 6, FALSE)</f>
        <v>#N/A</v>
      </c>
      <c r="N2054" s="141"/>
      <c r="O2054" s="142" t="str">
        <f t="shared" si="1"/>
        <v/>
      </c>
      <c r="P2054" s="143" t="str">
        <f>IF(ISNA(VLOOKUP(CONCAT(M2054,C2054), 'Judge Count DO NOT EDIT'!H:H, 1, FALSE)), "ERROR","")</f>
        <v>ERROR</v>
      </c>
      <c r="Q2054" s="141"/>
      <c r="R2054" s="143"/>
      <c r="S2054" s="139"/>
      <c r="T2054" s="141"/>
    </row>
    <row r="2055">
      <c r="A2055" s="138"/>
      <c r="B2055" s="138"/>
      <c r="C2055" s="138"/>
      <c r="D2055" s="139"/>
      <c r="E2055" s="138"/>
      <c r="F2055" s="138"/>
      <c r="G2055" s="138"/>
      <c r="H2055" s="138"/>
      <c r="I2055" s="138"/>
      <c r="J2055" s="138"/>
      <c r="K2055" s="138"/>
      <c r="L2055" s="138">
        <v>0.0</v>
      </c>
      <c r="M2055" s="140" t="str">
        <f>VLOOKUP(text(D2055, "#"),'Master Table'!$A:$F, 6, FALSE)</f>
        <v>#N/A</v>
      </c>
      <c r="N2055" s="141"/>
      <c r="O2055" s="142" t="str">
        <f t="shared" si="1"/>
        <v/>
      </c>
      <c r="P2055" s="143" t="str">
        <f>IF(ISNA(VLOOKUP(CONCAT(M2055,C2055), 'Judge Count DO NOT EDIT'!H:H, 1, FALSE)), "ERROR","")</f>
        <v>ERROR</v>
      </c>
      <c r="Q2055" s="141"/>
      <c r="R2055" s="143"/>
      <c r="S2055" s="139"/>
      <c r="T2055" s="141"/>
    </row>
    <row r="2056">
      <c r="A2056" s="138"/>
      <c r="B2056" s="138"/>
      <c r="C2056" s="138"/>
      <c r="D2056" s="139"/>
      <c r="E2056" s="138"/>
      <c r="F2056" s="138"/>
      <c r="G2056" s="138"/>
      <c r="H2056" s="138"/>
      <c r="I2056" s="138"/>
      <c r="J2056" s="138"/>
      <c r="K2056" s="138"/>
      <c r="L2056" s="138">
        <v>0.0</v>
      </c>
      <c r="M2056" s="140" t="str">
        <f>VLOOKUP(text(D2056, "#"),'Master Table'!$A:$F, 6, FALSE)</f>
        <v>#N/A</v>
      </c>
      <c r="N2056" s="141"/>
      <c r="O2056" s="142" t="str">
        <f t="shared" si="1"/>
        <v/>
      </c>
      <c r="P2056" s="143" t="str">
        <f>IF(ISNA(VLOOKUP(CONCAT(M2056,C2056), 'Judge Count DO NOT EDIT'!H:H, 1, FALSE)), "ERROR","")</f>
        <v>ERROR</v>
      </c>
      <c r="Q2056" s="141"/>
      <c r="R2056" s="143"/>
      <c r="S2056" s="139"/>
      <c r="T2056" s="141"/>
    </row>
    <row r="2057">
      <c r="A2057" s="138"/>
      <c r="B2057" s="138"/>
      <c r="C2057" s="138"/>
      <c r="D2057" s="139"/>
      <c r="E2057" s="138"/>
      <c r="F2057" s="138"/>
      <c r="G2057" s="138"/>
      <c r="H2057" s="138"/>
      <c r="I2057" s="138"/>
      <c r="J2057" s="138"/>
      <c r="K2057" s="138"/>
      <c r="L2057" s="138">
        <v>0.0</v>
      </c>
      <c r="M2057" s="140" t="str">
        <f>VLOOKUP(text(D2057, "#"),'Master Table'!$A:$F, 6, FALSE)</f>
        <v>#N/A</v>
      </c>
      <c r="N2057" s="141"/>
      <c r="O2057" s="142" t="str">
        <f t="shared" si="1"/>
        <v/>
      </c>
      <c r="P2057" s="143" t="str">
        <f>IF(ISNA(VLOOKUP(CONCAT(M2057,C2057), 'Judge Count DO NOT EDIT'!H:H, 1, FALSE)), "ERROR","")</f>
        <v>ERROR</v>
      </c>
      <c r="Q2057" s="141"/>
      <c r="R2057" s="143"/>
      <c r="S2057" s="139"/>
      <c r="T2057" s="141"/>
    </row>
    <row r="2058">
      <c r="A2058" s="138"/>
      <c r="B2058" s="138"/>
      <c r="C2058" s="138"/>
      <c r="D2058" s="139"/>
      <c r="E2058" s="138"/>
      <c r="F2058" s="138"/>
      <c r="G2058" s="138"/>
      <c r="H2058" s="138"/>
      <c r="I2058" s="138"/>
      <c r="J2058" s="138"/>
      <c r="K2058" s="138"/>
      <c r="L2058" s="138">
        <v>0.0</v>
      </c>
      <c r="M2058" s="140" t="str">
        <f>VLOOKUP(text(D2058, "#"),'Master Table'!$A:$F, 6, FALSE)</f>
        <v>#N/A</v>
      </c>
      <c r="N2058" s="141"/>
      <c r="O2058" s="142" t="str">
        <f t="shared" si="1"/>
        <v/>
      </c>
      <c r="P2058" s="143" t="str">
        <f>IF(ISNA(VLOOKUP(CONCAT(M2058,C2058), 'Judge Count DO NOT EDIT'!H:H, 1, FALSE)), "ERROR","")</f>
        <v>ERROR</v>
      </c>
      <c r="Q2058" s="141"/>
      <c r="R2058" s="143"/>
      <c r="S2058" s="139"/>
      <c r="T2058" s="141"/>
    </row>
    <row r="2059">
      <c r="A2059" s="138"/>
      <c r="B2059" s="138"/>
      <c r="C2059" s="138"/>
      <c r="D2059" s="139"/>
      <c r="E2059" s="138"/>
      <c r="F2059" s="138"/>
      <c r="G2059" s="138"/>
      <c r="H2059" s="138"/>
      <c r="I2059" s="138"/>
      <c r="J2059" s="138"/>
      <c r="K2059" s="138"/>
      <c r="L2059" s="138">
        <v>0.0</v>
      </c>
      <c r="M2059" s="140" t="str">
        <f>VLOOKUP(text(D2059, "#"),'Master Table'!$A:$F, 6, FALSE)</f>
        <v>#N/A</v>
      </c>
      <c r="N2059" s="141"/>
      <c r="O2059" s="142" t="str">
        <f t="shared" si="1"/>
        <v/>
      </c>
      <c r="P2059" s="143" t="str">
        <f>IF(ISNA(VLOOKUP(CONCAT(M2059,C2059), 'Judge Count DO NOT EDIT'!H:H, 1, FALSE)), "ERROR","")</f>
        <v>ERROR</v>
      </c>
      <c r="Q2059" s="141"/>
      <c r="R2059" s="143"/>
      <c r="S2059" s="139"/>
      <c r="T2059" s="141"/>
    </row>
    <row r="2060">
      <c r="A2060" s="138"/>
      <c r="B2060" s="138"/>
      <c r="C2060" s="138"/>
      <c r="D2060" s="139"/>
      <c r="E2060" s="138"/>
      <c r="F2060" s="138"/>
      <c r="G2060" s="138"/>
      <c r="H2060" s="138"/>
      <c r="I2060" s="138"/>
      <c r="J2060" s="138"/>
      <c r="K2060" s="138"/>
      <c r="L2060" s="138">
        <v>0.0</v>
      </c>
      <c r="M2060" s="140" t="str">
        <f>VLOOKUP(text(D2060, "#"),'Master Table'!$A:$F, 6, FALSE)</f>
        <v>#N/A</v>
      </c>
      <c r="N2060" s="141"/>
      <c r="O2060" s="142" t="str">
        <f t="shared" si="1"/>
        <v/>
      </c>
      <c r="P2060" s="143" t="str">
        <f>IF(ISNA(VLOOKUP(CONCAT(M2060,C2060), 'Judge Count DO NOT EDIT'!H:H, 1, FALSE)), "ERROR","")</f>
        <v>ERROR</v>
      </c>
      <c r="Q2060" s="141"/>
      <c r="R2060" s="143"/>
      <c r="S2060" s="139"/>
      <c r="T2060" s="141"/>
    </row>
    <row r="2061">
      <c r="A2061" s="138"/>
      <c r="B2061" s="138"/>
      <c r="C2061" s="138"/>
      <c r="D2061" s="139"/>
      <c r="E2061" s="138"/>
      <c r="F2061" s="138"/>
      <c r="G2061" s="138"/>
      <c r="H2061" s="138"/>
      <c r="I2061" s="138"/>
      <c r="J2061" s="138"/>
      <c r="K2061" s="138"/>
      <c r="L2061" s="138">
        <v>0.0</v>
      </c>
      <c r="M2061" s="140" t="str">
        <f>VLOOKUP(text(D2061, "#"),'Master Table'!$A:$F, 6, FALSE)</f>
        <v>#N/A</v>
      </c>
      <c r="N2061" s="141"/>
      <c r="O2061" s="142" t="str">
        <f t="shared" si="1"/>
        <v/>
      </c>
      <c r="P2061" s="143" t="str">
        <f>IF(ISNA(VLOOKUP(CONCAT(M2061,C2061), 'Judge Count DO NOT EDIT'!H:H, 1, FALSE)), "ERROR","")</f>
        <v>ERROR</v>
      </c>
      <c r="Q2061" s="141"/>
      <c r="R2061" s="143"/>
      <c r="S2061" s="139"/>
      <c r="T2061" s="141"/>
    </row>
    <row r="2062">
      <c r="A2062" s="138"/>
      <c r="B2062" s="138"/>
      <c r="C2062" s="138"/>
      <c r="D2062" s="139"/>
      <c r="E2062" s="138"/>
      <c r="F2062" s="138"/>
      <c r="G2062" s="138"/>
      <c r="H2062" s="138"/>
      <c r="I2062" s="138"/>
      <c r="J2062" s="138"/>
      <c r="K2062" s="138"/>
      <c r="L2062" s="138">
        <v>0.0</v>
      </c>
      <c r="M2062" s="140" t="str">
        <f>VLOOKUP(text(D2062, "#"),'Master Table'!$A:$F, 6, FALSE)</f>
        <v>#N/A</v>
      </c>
      <c r="N2062" s="141"/>
      <c r="O2062" s="142" t="str">
        <f t="shared" si="1"/>
        <v/>
      </c>
      <c r="P2062" s="143" t="str">
        <f>IF(ISNA(VLOOKUP(CONCAT(M2062,C2062), 'Judge Count DO NOT EDIT'!H:H, 1, FALSE)), "ERROR","")</f>
        <v>ERROR</v>
      </c>
      <c r="Q2062" s="141"/>
      <c r="R2062" s="143"/>
      <c r="S2062" s="139"/>
      <c r="T2062" s="141"/>
    </row>
    <row r="2063">
      <c r="A2063" s="138"/>
      <c r="B2063" s="138"/>
      <c r="C2063" s="138"/>
      <c r="D2063" s="139"/>
      <c r="E2063" s="138"/>
      <c r="F2063" s="138"/>
      <c r="G2063" s="138"/>
      <c r="H2063" s="138"/>
      <c r="I2063" s="138"/>
      <c r="J2063" s="138"/>
      <c r="K2063" s="138"/>
      <c r="L2063" s="138">
        <v>0.0</v>
      </c>
      <c r="M2063" s="140" t="str">
        <f>VLOOKUP(text(D2063, "#"),'Master Table'!$A:$F, 6, FALSE)</f>
        <v>#N/A</v>
      </c>
      <c r="N2063" s="141"/>
      <c r="O2063" s="142" t="str">
        <f t="shared" si="1"/>
        <v/>
      </c>
      <c r="P2063" s="143" t="str">
        <f>IF(ISNA(VLOOKUP(CONCAT(M2063,C2063), 'Judge Count DO NOT EDIT'!H:H, 1, FALSE)), "ERROR","")</f>
        <v>ERROR</v>
      </c>
      <c r="Q2063" s="141"/>
      <c r="R2063" s="143"/>
      <c r="S2063" s="139"/>
      <c r="T2063" s="141"/>
    </row>
    <row r="2064">
      <c r="A2064" s="138"/>
      <c r="B2064" s="138"/>
      <c r="C2064" s="138"/>
      <c r="D2064" s="139"/>
      <c r="E2064" s="138"/>
      <c r="F2064" s="138"/>
      <c r="G2064" s="138"/>
      <c r="H2064" s="138"/>
      <c r="I2064" s="138"/>
      <c r="J2064" s="138"/>
      <c r="K2064" s="138"/>
      <c r="L2064" s="138">
        <v>0.0</v>
      </c>
      <c r="M2064" s="140" t="str">
        <f>VLOOKUP(text(D2064, "#"),'Master Table'!$A:$F, 6, FALSE)</f>
        <v>#N/A</v>
      </c>
      <c r="N2064" s="141"/>
      <c r="O2064" s="142" t="str">
        <f t="shared" si="1"/>
        <v/>
      </c>
      <c r="P2064" s="143" t="str">
        <f>IF(ISNA(VLOOKUP(CONCAT(M2064,C2064), 'Judge Count DO NOT EDIT'!H:H, 1, FALSE)), "ERROR","")</f>
        <v>ERROR</v>
      </c>
      <c r="Q2064" s="141"/>
      <c r="R2064" s="143"/>
      <c r="S2064" s="139"/>
      <c r="T2064" s="141"/>
    </row>
    <row r="2065">
      <c r="A2065" s="138"/>
      <c r="B2065" s="138"/>
      <c r="C2065" s="138"/>
      <c r="D2065" s="139"/>
      <c r="E2065" s="138"/>
      <c r="F2065" s="138"/>
      <c r="G2065" s="138"/>
      <c r="H2065" s="138"/>
      <c r="I2065" s="138"/>
      <c r="J2065" s="138"/>
      <c r="K2065" s="138"/>
      <c r="L2065" s="138">
        <v>0.0</v>
      </c>
      <c r="M2065" s="140" t="str">
        <f>VLOOKUP(text(D2065, "#"),'Master Table'!$A:$F, 6, FALSE)</f>
        <v>#N/A</v>
      </c>
      <c r="N2065" s="141"/>
      <c r="O2065" s="142" t="str">
        <f t="shared" si="1"/>
        <v/>
      </c>
      <c r="P2065" s="143" t="str">
        <f>IF(ISNA(VLOOKUP(CONCAT(M2065,C2065), 'Judge Count DO NOT EDIT'!H:H, 1, FALSE)), "ERROR","")</f>
        <v>ERROR</v>
      </c>
      <c r="Q2065" s="141"/>
      <c r="R2065" s="143"/>
      <c r="S2065" s="139"/>
      <c r="T2065" s="141"/>
    </row>
    <row r="2066">
      <c r="A2066" s="138"/>
      <c r="B2066" s="138"/>
      <c r="C2066" s="138"/>
      <c r="D2066" s="139"/>
      <c r="E2066" s="138"/>
      <c r="F2066" s="138"/>
      <c r="G2066" s="138"/>
      <c r="H2066" s="138"/>
      <c r="I2066" s="138"/>
      <c r="J2066" s="138"/>
      <c r="K2066" s="138"/>
      <c r="L2066" s="138">
        <v>0.0</v>
      </c>
      <c r="M2066" s="140" t="str">
        <f>VLOOKUP(text(D2066, "#"),'Master Table'!$A:$F, 6, FALSE)</f>
        <v>#N/A</v>
      </c>
      <c r="N2066" s="141"/>
      <c r="O2066" s="142" t="str">
        <f t="shared" si="1"/>
        <v/>
      </c>
      <c r="P2066" s="143" t="str">
        <f>IF(ISNA(VLOOKUP(CONCAT(M2066,C2066), 'Judge Count DO NOT EDIT'!H:H, 1, FALSE)), "ERROR","")</f>
        <v>ERROR</v>
      </c>
      <c r="Q2066" s="141"/>
      <c r="R2066" s="143"/>
      <c r="S2066" s="139"/>
      <c r="T2066" s="141"/>
    </row>
    <row r="2067">
      <c r="A2067" s="138"/>
      <c r="B2067" s="138"/>
      <c r="C2067" s="138"/>
      <c r="D2067" s="139"/>
      <c r="E2067" s="138"/>
      <c r="F2067" s="138"/>
      <c r="G2067" s="138"/>
      <c r="H2067" s="138"/>
      <c r="I2067" s="138"/>
      <c r="J2067" s="138"/>
      <c r="K2067" s="138"/>
      <c r="L2067" s="138">
        <v>0.0</v>
      </c>
      <c r="M2067" s="140" t="str">
        <f>VLOOKUP(text(D2067, "#"),'Master Table'!$A:$F, 6, FALSE)</f>
        <v>#N/A</v>
      </c>
      <c r="N2067" s="141"/>
      <c r="O2067" s="142" t="str">
        <f t="shared" si="1"/>
        <v/>
      </c>
      <c r="P2067" s="143" t="str">
        <f>IF(ISNA(VLOOKUP(CONCAT(M2067,C2067), 'Judge Count DO NOT EDIT'!H:H, 1, FALSE)), "ERROR","")</f>
        <v>ERROR</v>
      </c>
      <c r="Q2067" s="141"/>
      <c r="R2067" s="143"/>
      <c r="S2067" s="139"/>
      <c r="T2067" s="141"/>
    </row>
    <row r="2068">
      <c r="A2068" s="138"/>
      <c r="B2068" s="138"/>
      <c r="C2068" s="138"/>
      <c r="D2068" s="139"/>
      <c r="E2068" s="138"/>
      <c r="F2068" s="138"/>
      <c r="G2068" s="138"/>
      <c r="H2068" s="138"/>
      <c r="I2068" s="138"/>
      <c r="J2068" s="138"/>
      <c r="K2068" s="138"/>
      <c r="L2068" s="138">
        <v>0.0</v>
      </c>
      <c r="M2068" s="140" t="str">
        <f>VLOOKUP(text(D2068, "#"),'Master Table'!$A:$F, 6, FALSE)</f>
        <v>#N/A</v>
      </c>
      <c r="N2068" s="141"/>
      <c r="O2068" s="142" t="str">
        <f t="shared" si="1"/>
        <v/>
      </c>
      <c r="P2068" s="143" t="str">
        <f>IF(ISNA(VLOOKUP(CONCAT(M2068,C2068), 'Judge Count DO NOT EDIT'!H:H, 1, FALSE)), "ERROR","")</f>
        <v>ERROR</v>
      </c>
      <c r="Q2068" s="141"/>
      <c r="R2068" s="143"/>
      <c r="S2068" s="139"/>
      <c r="T2068" s="141"/>
    </row>
    <row r="2069">
      <c r="A2069" s="138"/>
      <c r="B2069" s="138"/>
      <c r="C2069" s="138"/>
      <c r="D2069" s="139"/>
      <c r="E2069" s="138"/>
      <c r="F2069" s="138"/>
      <c r="G2069" s="138"/>
      <c r="H2069" s="138"/>
      <c r="I2069" s="138"/>
      <c r="J2069" s="138"/>
      <c r="K2069" s="138"/>
      <c r="L2069" s="138">
        <v>0.0</v>
      </c>
      <c r="M2069" s="140" t="str">
        <f>VLOOKUP(text(D2069, "#"),'Master Table'!$A:$F, 6, FALSE)</f>
        <v>#N/A</v>
      </c>
      <c r="N2069" s="141"/>
      <c r="O2069" s="142" t="str">
        <f t="shared" si="1"/>
        <v/>
      </c>
      <c r="P2069" s="143" t="str">
        <f>IF(ISNA(VLOOKUP(CONCAT(M2069,C2069), 'Judge Count DO NOT EDIT'!H:H, 1, FALSE)), "ERROR","")</f>
        <v>ERROR</v>
      </c>
      <c r="Q2069" s="141"/>
      <c r="R2069" s="143"/>
      <c r="S2069" s="139"/>
      <c r="T2069" s="141"/>
    </row>
    <row r="2070">
      <c r="A2070" s="138"/>
      <c r="B2070" s="138"/>
      <c r="C2070" s="138"/>
      <c r="D2070" s="139"/>
      <c r="E2070" s="138"/>
      <c r="F2070" s="138"/>
      <c r="G2070" s="138"/>
      <c r="H2070" s="138"/>
      <c r="I2070" s="138"/>
      <c r="J2070" s="138"/>
      <c r="K2070" s="138"/>
      <c r="L2070" s="138">
        <v>0.0</v>
      </c>
      <c r="M2070" s="140" t="str">
        <f>VLOOKUP(text(D2070, "#"),'Master Table'!$A:$F, 6, FALSE)</f>
        <v>#N/A</v>
      </c>
      <c r="N2070" s="141"/>
      <c r="O2070" s="142" t="str">
        <f t="shared" si="1"/>
        <v/>
      </c>
      <c r="P2070" s="143" t="str">
        <f>IF(ISNA(VLOOKUP(CONCAT(M2070,C2070), 'Judge Count DO NOT EDIT'!H:H, 1, FALSE)), "ERROR","")</f>
        <v>ERROR</v>
      </c>
      <c r="Q2070" s="141"/>
      <c r="R2070" s="143"/>
      <c r="S2070" s="139"/>
      <c r="T2070" s="141"/>
    </row>
    <row r="2071">
      <c r="A2071" s="138"/>
      <c r="B2071" s="138"/>
      <c r="C2071" s="138"/>
      <c r="D2071" s="139"/>
      <c r="E2071" s="138"/>
      <c r="F2071" s="138"/>
      <c r="G2071" s="138"/>
      <c r="H2071" s="138"/>
      <c r="I2071" s="138"/>
      <c r="J2071" s="138"/>
      <c r="K2071" s="138"/>
      <c r="L2071" s="138">
        <v>0.0</v>
      </c>
      <c r="M2071" s="140" t="str">
        <f>VLOOKUP(text(D2071, "#"),'Master Table'!$A:$F, 6, FALSE)</f>
        <v>#N/A</v>
      </c>
      <c r="N2071" s="141"/>
      <c r="O2071" s="142" t="str">
        <f t="shared" si="1"/>
        <v/>
      </c>
      <c r="P2071" s="143" t="str">
        <f>IF(ISNA(VLOOKUP(CONCAT(M2071,C2071), 'Judge Count DO NOT EDIT'!H:H, 1, FALSE)), "ERROR","")</f>
        <v>ERROR</v>
      </c>
      <c r="Q2071" s="141"/>
      <c r="R2071" s="143"/>
      <c r="S2071" s="139"/>
      <c r="T2071" s="141"/>
    </row>
    <row r="2072">
      <c r="A2072" s="138"/>
      <c r="B2072" s="138"/>
      <c r="C2072" s="138"/>
      <c r="D2072" s="139"/>
      <c r="E2072" s="138"/>
      <c r="F2072" s="138"/>
      <c r="G2072" s="138"/>
      <c r="H2072" s="138"/>
      <c r="I2072" s="138"/>
      <c r="J2072" s="138"/>
      <c r="K2072" s="138"/>
      <c r="L2072" s="138">
        <v>0.0</v>
      </c>
      <c r="M2072" s="140" t="str">
        <f>VLOOKUP(text(D2072, "#"),'Master Table'!$A:$F, 6, FALSE)</f>
        <v>#N/A</v>
      </c>
      <c r="N2072" s="141"/>
      <c r="O2072" s="142" t="str">
        <f t="shared" si="1"/>
        <v/>
      </c>
      <c r="P2072" s="143" t="str">
        <f>IF(ISNA(VLOOKUP(CONCAT(M2072,C2072), 'Judge Count DO NOT EDIT'!H:H, 1, FALSE)), "ERROR","")</f>
        <v>ERROR</v>
      </c>
      <c r="Q2072" s="141"/>
      <c r="R2072" s="143"/>
      <c r="S2072" s="139"/>
      <c r="T2072" s="141"/>
    </row>
    <row r="2073">
      <c r="A2073" s="138"/>
      <c r="B2073" s="138"/>
      <c r="C2073" s="138"/>
      <c r="D2073" s="139"/>
      <c r="E2073" s="138"/>
      <c r="F2073" s="138"/>
      <c r="G2073" s="138"/>
      <c r="H2073" s="138"/>
      <c r="I2073" s="138"/>
      <c r="J2073" s="138"/>
      <c r="K2073" s="138"/>
      <c r="L2073" s="138">
        <v>0.0</v>
      </c>
      <c r="M2073" s="140" t="str">
        <f>VLOOKUP(text(D2073, "#"),'Master Table'!$A:$F, 6, FALSE)</f>
        <v>#N/A</v>
      </c>
      <c r="N2073" s="141"/>
      <c r="O2073" s="142" t="str">
        <f t="shared" si="1"/>
        <v/>
      </c>
      <c r="P2073" s="143" t="str">
        <f>IF(ISNA(VLOOKUP(CONCAT(M2073,C2073), 'Judge Count DO NOT EDIT'!H:H, 1, FALSE)), "ERROR","")</f>
        <v>ERROR</v>
      </c>
      <c r="Q2073" s="141"/>
      <c r="R2073" s="143"/>
      <c r="S2073" s="139"/>
      <c r="T2073" s="141"/>
    </row>
    <row r="2074">
      <c r="A2074" s="138"/>
      <c r="B2074" s="138"/>
      <c r="C2074" s="138"/>
      <c r="D2074" s="139"/>
      <c r="E2074" s="138"/>
      <c r="F2074" s="138"/>
      <c r="G2074" s="138"/>
      <c r="H2074" s="138"/>
      <c r="I2074" s="138"/>
      <c r="J2074" s="138"/>
      <c r="K2074" s="138"/>
      <c r="L2074" s="138">
        <v>0.0</v>
      </c>
      <c r="M2074" s="140" t="str">
        <f>VLOOKUP(text(D2074, "#"),'Master Table'!$A:$F, 6, FALSE)</f>
        <v>#N/A</v>
      </c>
      <c r="N2074" s="141"/>
      <c r="O2074" s="142" t="str">
        <f t="shared" si="1"/>
        <v/>
      </c>
      <c r="P2074" s="143" t="str">
        <f>IF(ISNA(VLOOKUP(CONCAT(M2074,C2074), 'Judge Count DO NOT EDIT'!H:H, 1, FALSE)), "ERROR","")</f>
        <v>ERROR</v>
      </c>
      <c r="Q2074" s="141"/>
      <c r="R2074" s="143"/>
      <c r="S2074" s="139"/>
      <c r="T2074" s="141"/>
    </row>
    <row r="2075">
      <c r="A2075" s="138"/>
      <c r="B2075" s="138"/>
      <c r="C2075" s="138"/>
      <c r="D2075" s="139"/>
      <c r="E2075" s="138"/>
      <c r="F2075" s="138"/>
      <c r="G2075" s="138"/>
      <c r="H2075" s="138"/>
      <c r="I2075" s="138"/>
      <c r="J2075" s="138"/>
      <c r="K2075" s="138"/>
      <c r="L2075" s="138">
        <v>0.0</v>
      </c>
      <c r="M2075" s="140" t="str">
        <f>VLOOKUP(text(D2075, "#"),'Master Table'!$A:$F, 6, FALSE)</f>
        <v>#N/A</v>
      </c>
      <c r="N2075" s="141"/>
      <c r="O2075" s="142" t="str">
        <f t="shared" si="1"/>
        <v/>
      </c>
      <c r="P2075" s="143" t="str">
        <f>IF(ISNA(VLOOKUP(CONCAT(M2075,C2075), 'Judge Count DO NOT EDIT'!H:H, 1, FALSE)), "ERROR","")</f>
        <v>ERROR</v>
      </c>
      <c r="Q2075" s="141"/>
      <c r="R2075" s="143"/>
      <c r="S2075" s="139"/>
      <c r="T2075" s="141"/>
    </row>
    <row r="2076">
      <c r="A2076" s="138"/>
      <c r="B2076" s="138"/>
      <c r="C2076" s="138"/>
      <c r="D2076" s="139"/>
      <c r="E2076" s="138"/>
      <c r="F2076" s="138"/>
      <c r="G2076" s="138"/>
      <c r="H2076" s="138"/>
      <c r="I2076" s="138"/>
      <c r="J2076" s="138"/>
      <c r="K2076" s="138"/>
      <c r="L2076" s="138">
        <v>0.0</v>
      </c>
      <c r="M2076" s="140" t="str">
        <f>VLOOKUP(text(D2076, "#"),'Master Table'!$A:$F, 6, FALSE)</f>
        <v>#N/A</v>
      </c>
      <c r="N2076" s="141"/>
      <c r="O2076" s="142" t="str">
        <f t="shared" si="1"/>
        <v/>
      </c>
      <c r="P2076" s="143" t="str">
        <f>IF(ISNA(VLOOKUP(CONCAT(M2076,C2076), 'Judge Count DO NOT EDIT'!H:H, 1, FALSE)), "ERROR","")</f>
        <v>ERROR</v>
      </c>
      <c r="Q2076" s="141"/>
      <c r="R2076" s="143"/>
      <c r="S2076" s="139"/>
      <c r="T2076" s="141"/>
    </row>
    <row r="2077">
      <c r="A2077" s="138"/>
      <c r="B2077" s="138"/>
      <c r="C2077" s="138"/>
      <c r="D2077" s="139"/>
      <c r="E2077" s="138"/>
      <c r="F2077" s="138"/>
      <c r="G2077" s="138"/>
      <c r="H2077" s="138"/>
      <c r="I2077" s="138"/>
      <c r="J2077" s="138"/>
      <c r="K2077" s="138"/>
      <c r="L2077" s="138">
        <v>0.0</v>
      </c>
      <c r="M2077" s="140" t="str">
        <f>VLOOKUP(text(D2077, "#"),'Master Table'!$A:$F, 6, FALSE)</f>
        <v>#N/A</v>
      </c>
      <c r="N2077" s="141"/>
      <c r="O2077" s="142" t="str">
        <f t="shared" si="1"/>
        <v/>
      </c>
      <c r="P2077" s="143" t="str">
        <f>IF(ISNA(VLOOKUP(CONCAT(M2077,C2077), 'Judge Count DO NOT EDIT'!H:H, 1, FALSE)), "ERROR","")</f>
        <v>ERROR</v>
      </c>
      <c r="Q2077" s="141"/>
      <c r="R2077" s="143"/>
      <c r="S2077" s="139"/>
      <c r="T2077" s="141"/>
    </row>
    <row r="2078">
      <c r="A2078" s="138"/>
      <c r="B2078" s="138"/>
      <c r="C2078" s="138"/>
      <c r="D2078" s="139"/>
      <c r="E2078" s="138"/>
      <c r="F2078" s="138"/>
      <c r="G2078" s="138"/>
      <c r="H2078" s="138"/>
      <c r="I2078" s="138"/>
      <c r="J2078" s="138"/>
      <c r="K2078" s="138"/>
      <c r="L2078" s="138">
        <v>0.0</v>
      </c>
      <c r="M2078" s="140" t="str">
        <f>VLOOKUP(text(D2078, "#"),'Master Table'!$A:$F, 6, FALSE)</f>
        <v>#N/A</v>
      </c>
      <c r="N2078" s="141"/>
      <c r="O2078" s="142" t="str">
        <f t="shared" si="1"/>
        <v/>
      </c>
      <c r="P2078" s="143" t="str">
        <f>IF(ISNA(VLOOKUP(CONCAT(M2078,C2078), 'Judge Count DO NOT EDIT'!H:H, 1, FALSE)), "ERROR","")</f>
        <v>ERROR</v>
      </c>
      <c r="Q2078" s="141"/>
      <c r="R2078" s="143"/>
      <c r="S2078" s="139"/>
      <c r="T2078" s="141"/>
    </row>
    <row r="2079">
      <c r="A2079" s="138"/>
      <c r="B2079" s="138"/>
      <c r="C2079" s="138"/>
      <c r="D2079" s="139"/>
      <c r="E2079" s="138"/>
      <c r="F2079" s="138"/>
      <c r="G2079" s="138"/>
      <c r="H2079" s="138"/>
      <c r="I2079" s="138"/>
      <c r="J2079" s="138"/>
      <c r="K2079" s="138"/>
      <c r="L2079" s="138">
        <v>0.0</v>
      </c>
      <c r="M2079" s="140" t="str">
        <f>VLOOKUP(text(D2079, "#"),'Master Table'!$A:$F, 6, FALSE)</f>
        <v>#N/A</v>
      </c>
      <c r="N2079" s="141"/>
      <c r="O2079" s="142" t="str">
        <f t="shared" si="1"/>
        <v/>
      </c>
      <c r="P2079" s="143" t="str">
        <f>IF(ISNA(VLOOKUP(CONCAT(M2079,C2079), 'Judge Count DO NOT EDIT'!H:H, 1, FALSE)), "ERROR","")</f>
        <v>ERROR</v>
      </c>
      <c r="Q2079" s="141"/>
      <c r="R2079" s="143"/>
      <c r="S2079" s="139"/>
      <c r="T2079" s="141"/>
    </row>
    <row r="2080">
      <c r="A2080" s="138"/>
      <c r="B2080" s="138"/>
      <c r="C2080" s="138"/>
      <c r="D2080" s="139"/>
      <c r="E2080" s="138"/>
      <c r="F2080" s="138"/>
      <c r="G2080" s="138"/>
      <c r="H2080" s="138"/>
      <c r="I2080" s="138"/>
      <c r="J2080" s="138"/>
      <c r="K2080" s="138"/>
      <c r="L2080" s="138">
        <v>0.0</v>
      </c>
      <c r="M2080" s="140" t="str">
        <f>VLOOKUP(text(D2080, "#"),'Master Table'!$A:$F, 6, FALSE)</f>
        <v>#N/A</v>
      </c>
      <c r="N2080" s="141"/>
      <c r="O2080" s="142" t="str">
        <f t="shared" si="1"/>
        <v/>
      </c>
      <c r="P2080" s="143" t="str">
        <f>IF(ISNA(VLOOKUP(CONCAT(M2080,C2080), 'Judge Count DO NOT EDIT'!H:H, 1, FALSE)), "ERROR","")</f>
        <v>ERROR</v>
      </c>
      <c r="Q2080" s="141"/>
      <c r="R2080" s="143"/>
      <c r="S2080" s="139"/>
      <c r="T2080" s="141"/>
    </row>
    <row r="2081">
      <c r="A2081" s="138"/>
      <c r="B2081" s="138"/>
      <c r="C2081" s="138"/>
      <c r="D2081" s="139"/>
      <c r="E2081" s="138"/>
      <c r="F2081" s="138"/>
      <c r="G2081" s="138"/>
      <c r="H2081" s="138"/>
      <c r="I2081" s="138"/>
      <c r="J2081" s="138"/>
      <c r="K2081" s="138"/>
      <c r="L2081" s="138">
        <v>0.0</v>
      </c>
      <c r="M2081" s="140" t="str">
        <f>VLOOKUP(text(D2081, "#"),'Master Table'!$A:$F, 6, FALSE)</f>
        <v>#N/A</v>
      </c>
      <c r="N2081" s="141"/>
      <c r="O2081" s="142" t="str">
        <f t="shared" si="1"/>
        <v/>
      </c>
      <c r="P2081" s="143" t="str">
        <f>IF(ISNA(VLOOKUP(CONCAT(M2081,C2081), 'Judge Count DO NOT EDIT'!H:H, 1, FALSE)), "ERROR","")</f>
        <v>ERROR</v>
      </c>
      <c r="Q2081" s="141"/>
      <c r="R2081" s="143"/>
      <c r="S2081" s="139"/>
      <c r="T2081" s="141"/>
    </row>
    <row r="2082">
      <c r="A2082" s="138"/>
      <c r="B2082" s="138"/>
      <c r="C2082" s="138"/>
      <c r="D2082" s="139"/>
      <c r="E2082" s="138"/>
      <c r="F2082" s="138"/>
      <c r="G2082" s="138"/>
      <c r="H2082" s="138"/>
      <c r="I2082" s="138"/>
      <c r="J2082" s="138"/>
      <c r="K2082" s="138"/>
      <c r="L2082" s="138">
        <v>0.0</v>
      </c>
      <c r="M2082" s="140" t="str">
        <f>VLOOKUP(text(D2082, "#"),'Master Table'!$A:$F, 6, FALSE)</f>
        <v>#N/A</v>
      </c>
      <c r="N2082" s="141"/>
      <c r="O2082" s="142" t="str">
        <f t="shared" si="1"/>
        <v/>
      </c>
      <c r="P2082" s="143" t="str">
        <f>IF(ISNA(VLOOKUP(CONCAT(M2082,C2082), 'Judge Count DO NOT EDIT'!H:H, 1, FALSE)), "ERROR","")</f>
        <v>ERROR</v>
      </c>
      <c r="Q2082" s="141"/>
      <c r="R2082" s="143"/>
      <c r="S2082" s="139"/>
      <c r="T2082" s="141"/>
    </row>
    <row r="2083">
      <c r="A2083" s="138"/>
      <c r="B2083" s="138"/>
      <c r="C2083" s="138"/>
      <c r="D2083" s="139"/>
      <c r="E2083" s="138"/>
      <c r="F2083" s="138"/>
      <c r="G2083" s="138"/>
      <c r="H2083" s="138"/>
      <c r="I2083" s="138"/>
      <c r="J2083" s="138"/>
      <c r="K2083" s="138"/>
      <c r="L2083" s="138">
        <v>0.0</v>
      </c>
      <c r="M2083" s="140" t="str">
        <f>VLOOKUP(text(D2083, "#"),'Master Table'!$A:$F, 6, FALSE)</f>
        <v>#N/A</v>
      </c>
      <c r="N2083" s="141"/>
      <c r="O2083" s="142" t="str">
        <f t="shared" si="1"/>
        <v/>
      </c>
      <c r="P2083" s="143" t="str">
        <f>IF(ISNA(VLOOKUP(CONCAT(M2083,C2083), 'Judge Count DO NOT EDIT'!H:H, 1, FALSE)), "ERROR","")</f>
        <v>ERROR</v>
      </c>
      <c r="Q2083" s="141"/>
      <c r="R2083" s="143"/>
      <c r="S2083" s="139"/>
      <c r="T2083" s="141"/>
    </row>
    <row r="2084">
      <c r="A2084" s="138"/>
      <c r="B2084" s="138"/>
      <c r="C2084" s="138"/>
      <c r="D2084" s="139"/>
      <c r="E2084" s="138"/>
      <c r="F2084" s="138"/>
      <c r="G2084" s="138"/>
      <c r="H2084" s="138"/>
      <c r="I2084" s="138"/>
      <c r="J2084" s="138"/>
      <c r="K2084" s="138"/>
      <c r="L2084" s="138">
        <v>0.0</v>
      </c>
      <c r="M2084" s="140" t="str">
        <f>VLOOKUP(text(D2084, "#"),'Master Table'!$A:$F, 6, FALSE)</f>
        <v>#N/A</v>
      </c>
      <c r="N2084" s="141"/>
      <c r="O2084" s="142" t="str">
        <f t="shared" si="1"/>
        <v/>
      </c>
      <c r="P2084" s="143" t="str">
        <f>IF(ISNA(VLOOKUP(CONCAT(M2084,C2084), 'Judge Count DO NOT EDIT'!H:H, 1, FALSE)), "ERROR","")</f>
        <v>ERROR</v>
      </c>
      <c r="Q2084" s="141"/>
      <c r="R2084" s="143"/>
      <c r="S2084" s="139"/>
      <c r="T2084" s="141"/>
    </row>
    <row r="2085">
      <c r="A2085" s="138"/>
      <c r="B2085" s="138"/>
      <c r="C2085" s="138"/>
      <c r="D2085" s="139"/>
      <c r="E2085" s="138"/>
      <c r="F2085" s="138"/>
      <c r="G2085" s="138"/>
      <c r="H2085" s="138"/>
      <c r="I2085" s="138"/>
      <c r="J2085" s="138"/>
      <c r="K2085" s="138"/>
      <c r="L2085" s="138">
        <v>0.0</v>
      </c>
      <c r="M2085" s="140" t="str">
        <f>VLOOKUP(text(D2085, "#"),'Master Table'!$A:$F, 6, FALSE)</f>
        <v>#N/A</v>
      </c>
      <c r="N2085" s="141"/>
      <c r="O2085" s="142" t="str">
        <f t="shared" si="1"/>
        <v/>
      </c>
      <c r="P2085" s="143" t="str">
        <f>IF(ISNA(VLOOKUP(CONCAT(M2085,C2085), 'Judge Count DO NOT EDIT'!H:H, 1, FALSE)), "ERROR","")</f>
        <v>ERROR</v>
      </c>
      <c r="Q2085" s="141"/>
      <c r="R2085" s="143"/>
      <c r="S2085" s="139"/>
      <c r="T2085" s="141"/>
    </row>
    <row r="2086">
      <c r="A2086" s="138"/>
      <c r="B2086" s="138"/>
      <c r="C2086" s="138"/>
      <c r="D2086" s="139"/>
      <c r="E2086" s="138"/>
      <c r="F2086" s="138"/>
      <c r="G2086" s="138"/>
      <c r="H2086" s="138"/>
      <c r="I2086" s="138"/>
      <c r="J2086" s="138"/>
      <c r="K2086" s="138"/>
      <c r="L2086" s="138">
        <v>0.0</v>
      </c>
      <c r="M2086" s="140" t="str">
        <f>VLOOKUP(text(D2086, "#"),'Master Table'!$A:$F, 6, FALSE)</f>
        <v>#N/A</v>
      </c>
      <c r="N2086" s="141"/>
      <c r="O2086" s="142" t="str">
        <f t="shared" si="1"/>
        <v/>
      </c>
      <c r="P2086" s="143" t="str">
        <f>IF(ISNA(VLOOKUP(CONCAT(M2086,C2086), 'Judge Count DO NOT EDIT'!H:H, 1, FALSE)), "ERROR","")</f>
        <v>ERROR</v>
      </c>
      <c r="Q2086" s="141"/>
      <c r="R2086" s="143"/>
      <c r="S2086" s="139"/>
      <c r="T2086" s="141"/>
    </row>
    <row r="2087">
      <c r="A2087" s="138"/>
      <c r="B2087" s="138"/>
      <c r="C2087" s="138"/>
      <c r="D2087" s="139"/>
      <c r="E2087" s="138"/>
      <c r="F2087" s="138"/>
      <c r="G2087" s="138"/>
      <c r="H2087" s="138"/>
      <c r="I2087" s="138"/>
      <c r="J2087" s="138"/>
      <c r="K2087" s="138"/>
      <c r="L2087" s="138">
        <v>0.0</v>
      </c>
      <c r="M2087" s="140" t="str">
        <f>VLOOKUP(text(D2087, "#"),'Master Table'!$A:$F, 6, FALSE)</f>
        <v>#N/A</v>
      </c>
      <c r="N2087" s="141"/>
      <c r="O2087" s="142" t="str">
        <f t="shared" si="1"/>
        <v/>
      </c>
      <c r="P2087" s="143" t="str">
        <f>IF(ISNA(VLOOKUP(CONCAT(M2087,C2087), 'Judge Count DO NOT EDIT'!H:H, 1, FALSE)), "ERROR","")</f>
        <v>ERROR</v>
      </c>
      <c r="Q2087" s="141"/>
      <c r="R2087" s="143"/>
      <c r="S2087" s="139"/>
      <c r="T2087" s="141"/>
    </row>
    <row r="2088">
      <c r="A2088" s="138"/>
      <c r="B2088" s="138"/>
      <c r="C2088" s="138"/>
      <c r="D2088" s="139"/>
      <c r="E2088" s="138"/>
      <c r="F2088" s="138"/>
      <c r="G2088" s="138"/>
      <c r="H2088" s="138"/>
      <c r="I2088" s="138"/>
      <c r="J2088" s="138"/>
      <c r="K2088" s="138"/>
      <c r="L2088" s="138">
        <v>0.0</v>
      </c>
      <c r="M2088" s="140" t="str">
        <f>VLOOKUP(text(D2088, "#"),'Master Table'!$A:$F, 6, FALSE)</f>
        <v>#N/A</v>
      </c>
      <c r="N2088" s="141"/>
      <c r="O2088" s="142" t="str">
        <f t="shared" si="1"/>
        <v/>
      </c>
      <c r="P2088" s="143" t="str">
        <f>IF(ISNA(VLOOKUP(CONCAT(M2088,C2088), 'Judge Count DO NOT EDIT'!H:H, 1, FALSE)), "ERROR","")</f>
        <v>ERROR</v>
      </c>
      <c r="Q2088" s="141"/>
      <c r="R2088" s="143"/>
      <c r="S2088" s="139"/>
      <c r="T2088" s="141"/>
    </row>
    <row r="2089">
      <c r="A2089" s="138"/>
      <c r="B2089" s="138"/>
      <c r="C2089" s="138"/>
      <c r="D2089" s="139"/>
      <c r="E2089" s="138"/>
      <c r="F2089" s="138"/>
      <c r="G2089" s="138"/>
      <c r="H2089" s="138"/>
      <c r="I2089" s="138"/>
      <c r="J2089" s="138"/>
      <c r="K2089" s="138"/>
      <c r="L2089" s="138">
        <v>0.0</v>
      </c>
      <c r="M2089" s="140" t="str">
        <f>VLOOKUP(text(D2089, "#"),'Master Table'!$A:$F, 6, FALSE)</f>
        <v>#N/A</v>
      </c>
      <c r="N2089" s="141"/>
      <c r="O2089" s="142" t="str">
        <f t="shared" si="1"/>
        <v/>
      </c>
      <c r="P2089" s="143" t="str">
        <f>IF(ISNA(VLOOKUP(CONCAT(M2089,C2089), 'Judge Count DO NOT EDIT'!H:H, 1, FALSE)), "ERROR","")</f>
        <v>ERROR</v>
      </c>
      <c r="Q2089" s="141"/>
      <c r="R2089" s="143"/>
      <c r="S2089" s="139"/>
      <c r="T2089" s="141"/>
    </row>
    <row r="2090">
      <c r="A2090" s="138"/>
      <c r="B2090" s="138"/>
      <c r="C2090" s="138"/>
      <c r="D2090" s="139"/>
      <c r="E2090" s="138"/>
      <c r="F2090" s="138"/>
      <c r="G2090" s="138"/>
      <c r="H2090" s="138"/>
      <c r="I2090" s="138"/>
      <c r="J2090" s="138"/>
      <c r="K2090" s="138"/>
      <c r="L2090" s="138">
        <v>0.0</v>
      </c>
      <c r="M2090" s="140" t="str">
        <f>VLOOKUP(text(D2090, "#"),'Master Table'!$A:$F, 6, FALSE)</f>
        <v>#N/A</v>
      </c>
      <c r="N2090" s="141"/>
      <c r="O2090" s="142" t="str">
        <f t="shared" si="1"/>
        <v/>
      </c>
      <c r="P2090" s="143" t="str">
        <f>IF(ISNA(VLOOKUP(CONCAT(M2090,C2090), 'Judge Count DO NOT EDIT'!H:H, 1, FALSE)), "ERROR","")</f>
        <v>ERROR</v>
      </c>
      <c r="Q2090" s="141"/>
      <c r="R2090" s="143"/>
      <c r="S2090" s="139"/>
      <c r="T2090" s="141"/>
    </row>
    <row r="2091">
      <c r="A2091" s="138"/>
      <c r="B2091" s="138"/>
      <c r="C2091" s="138"/>
      <c r="D2091" s="139"/>
      <c r="E2091" s="138"/>
      <c r="F2091" s="138"/>
      <c r="G2091" s="138"/>
      <c r="H2091" s="138"/>
      <c r="I2091" s="138"/>
      <c r="J2091" s="138"/>
      <c r="K2091" s="138"/>
      <c r="L2091" s="138">
        <v>0.0</v>
      </c>
      <c r="M2091" s="140" t="str">
        <f>VLOOKUP(text(D2091, "#"),'Master Table'!$A:$F, 6, FALSE)</f>
        <v>#N/A</v>
      </c>
      <c r="N2091" s="141"/>
      <c r="O2091" s="142" t="str">
        <f t="shared" si="1"/>
        <v/>
      </c>
      <c r="P2091" s="143" t="str">
        <f>IF(ISNA(VLOOKUP(CONCAT(M2091,C2091), 'Judge Count DO NOT EDIT'!H:H, 1, FALSE)), "ERROR","")</f>
        <v>ERROR</v>
      </c>
      <c r="Q2091" s="141"/>
      <c r="R2091" s="143"/>
      <c r="S2091" s="139"/>
      <c r="T2091" s="141"/>
    </row>
    <row r="2092">
      <c r="A2092" s="138"/>
      <c r="B2092" s="138"/>
      <c r="C2092" s="138"/>
      <c r="D2092" s="139"/>
      <c r="E2092" s="138"/>
      <c r="F2092" s="138"/>
      <c r="G2092" s="138"/>
      <c r="H2092" s="138"/>
      <c r="I2092" s="138"/>
      <c r="J2092" s="138"/>
      <c r="K2092" s="138"/>
      <c r="L2092" s="138">
        <v>0.0</v>
      </c>
      <c r="M2092" s="140" t="str">
        <f>VLOOKUP(text(D2092, "#"),'Master Table'!$A:$F, 6, FALSE)</f>
        <v>#N/A</v>
      </c>
      <c r="N2092" s="141"/>
      <c r="O2092" s="142" t="str">
        <f t="shared" si="1"/>
        <v/>
      </c>
      <c r="P2092" s="143" t="str">
        <f>IF(ISNA(VLOOKUP(CONCAT(M2092,C2092), 'Judge Count DO NOT EDIT'!H:H, 1, FALSE)), "ERROR","")</f>
        <v>ERROR</v>
      </c>
      <c r="Q2092" s="141"/>
      <c r="R2092" s="143"/>
      <c r="S2092" s="139"/>
      <c r="T2092" s="141"/>
    </row>
    <row r="2093">
      <c r="A2093" s="138"/>
      <c r="B2093" s="138"/>
      <c r="C2093" s="138"/>
      <c r="D2093" s="139"/>
      <c r="E2093" s="138"/>
      <c r="F2093" s="138"/>
      <c r="G2093" s="138"/>
      <c r="H2093" s="138"/>
      <c r="I2093" s="138"/>
      <c r="J2093" s="138"/>
      <c r="K2093" s="138"/>
      <c r="L2093" s="138">
        <v>0.0</v>
      </c>
      <c r="M2093" s="140" t="str">
        <f>VLOOKUP(text(D2093, "#"),'Master Table'!$A:$F, 6, FALSE)</f>
        <v>#N/A</v>
      </c>
      <c r="N2093" s="141"/>
      <c r="O2093" s="142" t="str">
        <f t="shared" si="1"/>
        <v/>
      </c>
      <c r="P2093" s="143" t="str">
        <f>IF(ISNA(VLOOKUP(CONCAT(M2093,C2093), 'Judge Count DO NOT EDIT'!H:H, 1, FALSE)), "ERROR","")</f>
        <v>ERROR</v>
      </c>
      <c r="Q2093" s="141"/>
      <c r="R2093" s="143"/>
      <c r="S2093" s="139"/>
      <c r="T2093" s="141"/>
    </row>
    <row r="2094">
      <c r="A2094" s="138"/>
      <c r="B2094" s="138"/>
      <c r="C2094" s="138"/>
      <c r="D2094" s="139"/>
      <c r="E2094" s="138"/>
      <c r="F2094" s="138"/>
      <c r="G2094" s="138"/>
      <c r="H2094" s="138"/>
      <c r="I2094" s="138"/>
      <c r="J2094" s="138"/>
      <c r="K2094" s="138"/>
      <c r="L2094" s="138">
        <v>0.0</v>
      </c>
      <c r="M2094" s="140" t="str">
        <f>VLOOKUP(text(D2094, "#"),'Master Table'!$A:$F, 6, FALSE)</f>
        <v>#N/A</v>
      </c>
      <c r="N2094" s="141"/>
      <c r="O2094" s="142" t="str">
        <f t="shared" si="1"/>
        <v/>
      </c>
      <c r="P2094" s="143" t="str">
        <f>IF(ISNA(VLOOKUP(CONCAT(M2094,C2094), 'Judge Count DO NOT EDIT'!H:H, 1, FALSE)), "ERROR","")</f>
        <v>ERROR</v>
      </c>
      <c r="Q2094" s="141"/>
      <c r="R2094" s="143"/>
      <c r="S2094" s="139"/>
      <c r="T2094" s="141"/>
    </row>
    <row r="2095">
      <c r="A2095" s="138"/>
      <c r="B2095" s="138"/>
      <c r="C2095" s="138"/>
      <c r="D2095" s="139"/>
      <c r="E2095" s="138"/>
      <c r="F2095" s="138"/>
      <c r="G2095" s="138"/>
      <c r="H2095" s="138"/>
      <c r="I2095" s="138"/>
      <c r="J2095" s="138"/>
      <c r="K2095" s="138"/>
      <c r="L2095" s="138">
        <v>0.0</v>
      </c>
      <c r="M2095" s="140" t="str">
        <f>VLOOKUP(text(D2095, "#"),'Master Table'!$A:$F, 6, FALSE)</f>
        <v>#N/A</v>
      </c>
      <c r="N2095" s="141"/>
      <c r="O2095" s="142" t="str">
        <f t="shared" si="1"/>
        <v/>
      </c>
      <c r="P2095" s="143" t="str">
        <f>IF(ISNA(VLOOKUP(CONCAT(M2095,C2095), 'Judge Count DO NOT EDIT'!H:H, 1, FALSE)), "ERROR","")</f>
        <v>ERROR</v>
      </c>
      <c r="Q2095" s="141"/>
      <c r="R2095" s="143"/>
      <c r="S2095" s="139"/>
      <c r="T2095" s="141"/>
    </row>
    <row r="2096">
      <c r="A2096" s="138"/>
      <c r="B2096" s="138"/>
      <c r="C2096" s="138"/>
      <c r="D2096" s="139"/>
      <c r="E2096" s="138"/>
      <c r="F2096" s="138"/>
      <c r="G2096" s="138"/>
      <c r="H2096" s="138"/>
      <c r="I2096" s="138"/>
      <c r="J2096" s="138"/>
      <c r="K2096" s="138"/>
      <c r="L2096" s="138">
        <v>0.0</v>
      </c>
      <c r="M2096" s="140" t="str">
        <f>VLOOKUP(text(D2096, "#"),'Master Table'!$A:$F, 6, FALSE)</f>
        <v>#N/A</v>
      </c>
      <c r="N2096" s="141"/>
      <c r="O2096" s="142" t="str">
        <f t="shared" si="1"/>
        <v/>
      </c>
      <c r="P2096" s="143" t="str">
        <f>IF(ISNA(VLOOKUP(CONCAT(M2096,C2096), 'Judge Count DO NOT EDIT'!H:H, 1, FALSE)), "ERROR","")</f>
        <v>ERROR</v>
      </c>
      <c r="Q2096" s="141"/>
      <c r="R2096" s="143"/>
      <c r="S2096" s="139"/>
      <c r="T2096" s="141"/>
    </row>
    <row r="2097">
      <c r="A2097" s="138"/>
      <c r="B2097" s="138"/>
      <c r="C2097" s="138"/>
      <c r="D2097" s="139"/>
      <c r="E2097" s="138"/>
      <c r="F2097" s="138"/>
      <c r="G2097" s="138"/>
      <c r="H2097" s="138"/>
      <c r="I2097" s="138"/>
      <c r="J2097" s="138"/>
      <c r="K2097" s="138"/>
      <c r="L2097" s="138">
        <v>0.0</v>
      </c>
      <c r="M2097" s="140" t="str">
        <f>VLOOKUP(text(D2097, "#"),'Master Table'!$A:$F, 6, FALSE)</f>
        <v>#N/A</v>
      </c>
      <c r="N2097" s="141"/>
      <c r="O2097" s="142" t="str">
        <f t="shared" si="1"/>
        <v/>
      </c>
      <c r="P2097" s="143" t="str">
        <f>IF(ISNA(VLOOKUP(CONCAT(M2097,C2097), 'Judge Count DO NOT EDIT'!H:H, 1, FALSE)), "ERROR","")</f>
        <v>ERROR</v>
      </c>
      <c r="Q2097" s="141"/>
      <c r="R2097" s="143"/>
      <c r="S2097" s="139"/>
      <c r="T2097" s="141"/>
    </row>
    <row r="2098">
      <c r="A2098" s="138"/>
      <c r="B2098" s="138"/>
      <c r="C2098" s="138"/>
      <c r="D2098" s="139"/>
      <c r="E2098" s="138"/>
      <c r="F2098" s="138"/>
      <c r="G2098" s="138"/>
      <c r="H2098" s="138"/>
      <c r="I2098" s="138"/>
      <c r="J2098" s="138"/>
      <c r="K2098" s="138"/>
      <c r="L2098" s="138">
        <v>0.0</v>
      </c>
      <c r="M2098" s="140" t="str">
        <f>VLOOKUP(text(D2098, "#"),'Master Table'!$A:$F, 6, FALSE)</f>
        <v>#N/A</v>
      </c>
      <c r="N2098" s="141"/>
      <c r="O2098" s="142" t="str">
        <f t="shared" si="1"/>
        <v/>
      </c>
      <c r="P2098" s="143" t="str">
        <f>IF(ISNA(VLOOKUP(CONCAT(M2098,C2098), 'Judge Count DO NOT EDIT'!H:H, 1, FALSE)), "ERROR","")</f>
        <v>ERROR</v>
      </c>
      <c r="Q2098" s="141"/>
      <c r="R2098" s="143"/>
      <c r="S2098" s="139"/>
      <c r="T2098" s="141"/>
    </row>
    <row r="2099">
      <c r="A2099" s="138"/>
      <c r="B2099" s="138"/>
      <c r="C2099" s="138"/>
      <c r="D2099" s="139"/>
      <c r="E2099" s="138"/>
      <c r="F2099" s="138"/>
      <c r="G2099" s="138"/>
      <c r="H2099" s="138"/>
      <c r="I2099" s="138"/>
      <c r="J2099" s="138"/>
      <c r="K2099" s="138"/>
      <c r="L2099" s="138">
        <v>0.0</v>
      </c>
      <c r="M2099" s="140" t="str">
        <f>VLOOKUP(text(D2099, "#"),'Master Table'!$A:$F, 6, FALSE)</f>
        <v>#N/A</v>
      </c>
      <c r="N2099" s="141"/>
      <c r="O2099" s="142" t="str">
        <f t="shared" si="1"/>
        <v/>
      </c>
      <c r="P2099" s="143" t="str">
        <f>IF(ISNA(VLOOKUP(CONCAT(M2099,C2099), 'Judge Count DO NOT EDIT'!H:H, 1, FALSE)), "ERROR","")</f>
        <v>ERROR</v>
      </c>
      <c r="Q2099" s="141"/>
      <c r="R2099" s="143"/>
      <c r="S2099" s="139"/>
      <c r="T2099" s="141"/>
    </row>
    <row r="2100">
      <c r="A2100" s="138"/>
      <c r="B2100" s="138"/>
      <c r="C2100" s="138"/>
      <c r="D2100" s="139"/>
      <c r="E2100" s="138"/>
      <c r="F2100" s="138"/>
      <c r="G2100" s="138"/>
      <c r="H2100" s="138"/>
      <c r="I2100" s="138"/>
      <c r="J2100" s="138"/>
      <c r="K2100" s="138"/>
      <c r="L2100" s="138">
        <v>0.0</v>
      </c>
      <c r="M2100" s="140" t="str">
        <f>VLOOKUP(text(D2100, "#"),'Master Table'!$A:$F, 6, FALSE)</f>
        <v>#N/A</v>
      </c>
      <c r="N2100" s="141"/>
      <c r="O2100" s="142" t="str">
        <f t="shared" si="1"/>
        <v/>
      </c>
      <c r="P2100" s="143" t="str">
        <f>IF(ISNA(VLOOKUP(CONCAT(M2100,C2100), 'Judge Count DO NOT EDIT'!H:H, 1, FALSE)), "ERROR","")</f>
        <v>ERROR</v>
      </c>
      <c r="Q2100" s="141"/>
      <c r="R2100" s="143"/>
      <c r="S2100" s="139"/>
      <c r="T2100" s="141"/>
    </row>
    <row r="2101">
      <c r="A2101" s="138"/>
      <c r="B2101" s="138"/>
      <c r="C2101" s="138"/>
      <c r="D2101" s="139"/>
      <c r="E2101" s="138"/>
      <c r="F2101" s="138"/>
      <c r="G2101" s="138"/>
      <c r="H2101" s="138"/>
      <c r="I2101" s="138"/>
      <c r="J2101" s="138"/>
      <c r="K2101" s="138"/>
      <c r="L2101" s="138">
        <v>0.0</v>
      </c>
      <c r="M2101" s="140" t="str">
        <f>VLOOKUP(text(D2101, "#"),'Master Table'!$A:$F, 6, FALSE)</f>
        <v>#N/A</v>
      </c>
      <c r="N2101" s="141"/>
      <c r="O2101" s="142" t="str">
        <f t="shared" si="1"/>
        <v/>
      </c>
      <c r="P2101" s="143" t="str">
        <f>IF(ISNA(VLOOKUP(CONCAT(M2101,C2101), 'Judge Count DO NOT EDIT'!H:H, 1, FALSE)), "ERROR","")</f>
        <v>ERROR</v>
      </c>
      <c r="Q2101" s="141"/>
      <c r="R2101" s="143"/>
      <c r="S2101" s="139"/>
      <c r="T2101" s="141"/>
    </row>
    <row r="2102">
      <c r="A2102" s="138"/>
      <c r="B2102" s="138"/>
      <c r="C2102" s="138"/>
      <c r="D2102" s="139"/>
      <c r="E2102" s="138"/>
      <c r="F2102" s="138"/>
      <c r="G2102" s="138"/>
      <c r="H2102" s="138"/>
      <c r="I2102" s="138"/>
      <c r="J2102" s="138"/>
      <c r="K2102" s="138"/>
      <c r="L2102" s="138">
        <v>0.0</v>
      </c>
      <c r="M2102" s="140" t="str">
        <f>VLOOKUP(text(D2102, "#"),'Master Table'!$A:$F, 6, FALSE)</f>
        <v>#N/A</v>
      </c>
      <c r="N2102" s="141"/>
      <c r="O2102" s="142" t="str">
        <f t="shared" si="1"/>
        <v/>
      </c>
      <c r="P2102" s="143" t="str">
        <f>IF(ISNA(VLOOKUP(CONCAT(M2102,C2102), 'Judge Count DO NOT EDIT'!H:H, 1, FALSE)), "ERROR","")</f>
        <v>ERROR</v>
      </c>
      <c r="Q2102" s="141"/>
      <c r="R2102" s="143"/>
      <c r="S2102" s="139"/>
      <c r="T2102" s="141"/>
    </row>
    <row r="2103">
      <c r="A2103" s="138"/>
      <c r="B2103" s="138"/>
      <c r="C2103" s="138"/>
      <c r="D2103" s="139"/>
      <c r="E2103" s="138"/>
      <c r="F2103" s="138"/>
      <c r="G2103" s="138"/>
      <c r="H2103" s="138"/>
      <c r="I2103" s="138"/>
      <c r="J2103" s="138"/>
      <c r="K2103" s="138"/>
      <c r="L2103" s="138">
        <v>0.0</v>
      </c>
      <c r="M2103" s="140" t="str">
        <f>VLOOKUP(text(D2103, "#"),'Master Table'!$A:$F, 6, FALSE)</f>
        <v>#N/A</v>
      </c>
      <c r="N2103" s="141"/>
      <c r="O2103" s="142" t="str">
        <f t="shared" si="1"/>
        <v/>
      </c>
      <c r="P2103" s="143" t="str">
        <f>IF(ISNA(VLOOKUP(CONCAT(M2103,C2103), 'Judge Count DO NOT EDIT'!H:H, 1, FALSE)), "ERROR","")</f>
        <v>ERROR</v>
      </c>
      <c r="Q2103" s="141"/>
      <c r="R2103" s="143"/>
      <c r="S2103" s="139"/>
      <c r="T2103" s="141"/>
    </row>
    <row r="2104">
      <c r="A2104" s="138"/>
      <c r="B2104" s="138"/>
      <c r="C2104" s="138"/>
      <c r="D2104" s="139"/>
      <c r="E2104" s="138"/>
      <c r="F2104" s="138"/>
      <c r="G2104" s="138"/>
      <c r="H2104" s="138"/>
      <c r="I2104" s="138"/>
      <c r="J2104" s="138"/>
      <c r="K2104" s="138"/>
      <c r="L2104" s="138">
        <v>0.0</v>
      </c>
      <c r="M2104" s="140" t="str">
        <f>VLOOKUP(text(D2104, "#"),'Master Table'!$A:$F, 6, FALSE)</f>
        <v>#N/A</v>
      </c>
      <c r="N2104" s="141"/>
      <c r="O2104" s="142" t="str">
        <f t="shared" si="1"/>
        <v/>
      </c>
      <c r="P2104" s="143" t="str">
        <f>IF(ISNA(VLOOKUP(CONCAT(M2104,C2104), 'Judge Count DO NOT EDIT'!H:H, 1, FALSE)), "ERROR","")</f>
        <v>ERROR</v>
      </c>
      <c r="Q2104" s="141"/>
      <c r="R2104" s="143"/>
      <c r="S2104" s="139"/>
      <c r="T2104" s="141"/>
    </row>
    <row r="2105">
      <c r="A2105" s="138"/>
      <c r="B2105" s="138"/>
      <c r="C2105" s="138"/>
      <c r="D2105" s="139"/>
      <c r="E2105" s="138"/>
      <c r="F2105" s="138"/>
      <c r="G2105" s="138"/>
      <c r="H2105" s="138"/>
      <c r="I2105" s="138"/>
      <c r="J2105" s="138"/>
      <c r="K2105" s="138"/>
      <c r="L2105" s="138">
        <v>0.0</v>
      </c>
      <c r="M2105" s="140" t="str">
        <f>VLOOKUP(text(D2105, "#"),'Master Table'!$A:$F, 6, FALSE)</f>
        <v>#N/A</v>
      </c>
      <c r="N2105" s="141"/>
      <c r="O2105" s="142" t="str">
        <f t="shared" si="1"/>
        <v/>
      </c>
      <c r="P2105" s="143" t="str">
        <f>IF(ISNA(VLOOKUP(CONCAT(M2105,C2105), 'Judge Count DO NOT EDIT'!H:H, 1, FALSE)), "ERROR","")</f>
        <v>ERROR</v>
      </c>
      <c r="Q2105" s="141"/>
      <c r="R2105" s="143"/>
      <c r="S2105" s="139"/>
      <c r="T2105" s="141"/>
    </row>
    <row r="2106">
      <c r="A2106" s="138"/>
      <c r="B2106" s="138"/>
      <c r="C2106" s="138"/>
      <c r="D2106" s="139"/>
      <c r="E2106" s="138"/>
      <c r="F2106" s="138"/>
      <c r="G2106" s="138"/>
      <c r="H2106" s="138"/>
      <c r="I2106" s="138"/>
      <c r="J2106" s="138"/>
      <c r="K2106" s="138"/>
      <c r="L2106" s="138">
        <v>0.0</v>
      </c>
      <c r="M2106" s="140" t="str">
        <f>VLOOKUP(text(D2106, "#"),'Master Table'!$A:$F, 6, FALSE)</f>
        <v>#N/A</v>
      </c>
      <c r="N2106" s="141"/>
      <c r="O2106" s="142" t="str">
        <f t="shared" si="1"/>
        <v/>
      </c>
      <c r="P2106" s="143" t="str">
        <f>IF(ISNA(VLOOKUP(CONCAT(M2106,C2106), 'Judge Count DO NOT EDIT'!H:H, 1, FALSE)), "ERROR","")</f>
        <v>ERROR</v>
      </c>
      <c r="Q2106" s="141"/>
      <c r="R2106" s="143"/>
      <c r="S2106" s="139"/>
      <c r="T2106" s="141"/>
    </row>
    <row r="2107">
      <c r="A2107" s="138"/>
      <c r="B2107" s="138"/>
      <c r="C2107" s="138"/>
      <c r="D2107" s="139"/>
      <c r="E2107" s="138"/>
      <c r="F2107" s="138"/>
      <c r="G2107" s="138"/>
      <c r="H2107" s="138"/>
      <c r="I2107" s="138"/>
      <c r="J2107" s="138"/>
      <c r="K2107" s="138"/>
      <c r="L2107" s="138">
        <v>0.0</v>
      </c>
      <c r="M2107" s="140" t="str">
        <f>VLOOKUP(text(D2107, "#"),'Master Table'!$A:$F, 6, FALSE)</f>
        <v>#N/A</v>
      </c>
      <c r="N2107" s="141"/>
      <c r="O2107" s="142" t="str">
        <f t="shared" si="1"/>
        <v/>
      </c>
      <c r="P2107" s="143" t="str">
        <f>IF(ISNA(VLOOKUP(CONCAT(M2107,C2107), 'Judge Count DO NOT EDIT'!H:H, 1, FALSE)), "ERROR","")</f>
        <v>ERROR</v>
      </c>
      <c r="Q2107" s="141"/>
      <c r="R2107" s="143"/>
      <c r="S2107" s="139"/>
      <c r="T2107" s="141"/>
    </row>
    <row r="2108">
      <c r="A2108" s="138"/>
      <c r="B2108" s="138"/>
      <c r="C2108" s="138"/>
      <c r="D2108" s="139"/>
      <c r="E2108" s="138"/>
      <c r="F2108" s="138"/>
      <c r="G2108" s="138"/>
      <c r="H2108" s="138"/>
      <c r="I2108" s="138"/>
      <c r="J2108" s="138"/>
      <c r="K2108" s="138"/>
      <c r="L2108" s="138">
        <v>0.0</v>
      </c>
      <c r="M2108" s="140" t="str">
        <f>VLOOKUP(text(D2108, "#"),'Master Table'!$A:$F, 6, FALSE)</f>
        <v>#N/A</v>
      </c>
      <c r="N2108" s="141"/>
      <c r="O2108" s="142" t="str">
        <f t="shared" si="1"/>
        <v/>
      </c>
      <c r="P2108" s="143" t="str">
        <f>IF(ISNA(VLOOKUP(CONCAT(M2108,C2108), 'Judge Count DO NOT EDIT'!H:H, 1, FALSE)), "ERROR","")</f>
        <v>ERROR</v>
      </c>
      <c r="Q2108" s="141"/>
      <c r="R2108" s="143"/>
      <c r="S2108" s="139"/>
      <c r="T2108" s="141"/>
    </row>
    <row r="2109">
      <c r="A2109" s="138"/>
      <c r="B2109" s="138"/>
      <c r="C2109" s="138"/>
      <c r="D2109" s="139"/>
      <c r="E2109" s="138"/>
      <c r="F2109" s="138"/>
      <c r="G2109" s="138"/>
      <c r="H2109" s="138"/>
      <c r="I2109" s="138"/>
      <c r="J2109" s="138"/>
      <c r="K2109" s="138"/>
      <c r="L2109" s="138">
        <v>0.0</v>
      </c>
      <c r="M2109" s="140" t="str">
        <f>VLOOKUP(text(D2109, "#"),'Master Table'!$A:$F, 6, FALSE)</f>
        <v>#N/A</v>
      </c>
      <c r="N2109" s="141"/>
      <c r="O2109" s="142" t="str">
        <f t="shared" si="1"/>
        <v/>
      </c>
      <c r="P2109" s="143" t="str">
        <f>IF(ISNA(VLOOKUP(CONCAT(M2109,C2109), 'Judge Count DO NOT EDIT'!H:H, 1, FALSE)), "ERROR","")</f>
        <v>ERROR</v>
      </c>
      <c r="Q2109" s="141"/>
      <c r="R2109" s="143"/>
      <c r="S2109" s="139"/>
      <c r="T2109" s="141"/>
    </row>
    <row r="2110">
      <c r="A2110" s="138"/>
      <c r="B2110" s="138"/>
      <c r="C2110" s="138"/>
      <c r="D2110" s="139"/>
      <c r="E2110" s="138"/>
      <c r="F2110" s="138"/>
      <c r="G2110" s="138"/>
      <c r="H2110" s="138"/>
      <c r="I2110" s="138"/>
      <c r="J2110" s="138"/>
      <c r="K2110" s="138"/>
      <c r="L2110" s="138">
        <v>0.0</v>
      </c>
      <c r="M2110" s="140" t="str">
        <f>VLOOKUP(text(D2110, "#"),'Master Table'!$A:$F, 6, FALSE)</f>
        <v>#N/A</v>
      </c>
      <c r="N2110" s="141"/>
      <c r="O2110" s="142" t="str">
        <f t="shared" si="1"/>
        <v/>
      </c>
      <c r="P2110" s="143" t="str">
        <f>IF(ISNA(VLOOKUP(CONCAT(M2110,C2110), 'Judge Count DO NOT EDIT'!H:H, 1, FALSE)), "ERROR","")</f>
        <v>ERROR</v>
      </c>
      <c r="Q2110" s="141"/>
      <c r="R2110" s="143"/>
      <c r="S2110" s="139"/>
      <c r="T2110" s="141"/>
    </row>
    <row r="2111">
      <c r="A2111" s="138"/>
      <c r="B2111" s="138"/>
      <c r="C2111" s="138"/>
      <c r="D2111" s="139"/>
      <c r="E2111" s="138"/>
      <c r="F2111" s="138"/>
      <c r="G2111" s="138"/>
      <c r="H2111" s="138"/>
      <c r="I2111" s="138"/>
      <c r="J2111" s="138"/>
      <c r="K2111" s="138"/>
      <c r="L2111" s="138">
        <v>0.0</v>
      </c>
      <c r="M2111" s="140" t="str">
        <f>VLOOKUP(text(D2111, "#"),'Master Table'!$A:$F, 6, FALSE)</f>
        <v>#N/A</v>
      </c>
      <c r="N2111" s="141"/>
      <c r="O2111" s="142" t="str">
        <f t="shared" si="1"/>
        <v/>
      </c>
      <c r="P2111" s="143" t="str">
        <f>IF(ISNA(VLOOKUP(CONCAT(M2111,C2111), 'Judge Count DO NOT EDIT'!H:H, 1, FALSE)), "ERROR","")</f>
        <v>ERROR</v>
      </c>
      <c r="Q2111" s="141"/>
      <c r="R2111" s="143"/>
      <c r="S2111" s="139"/>
      <c r="T2111" s="141"/>
    </row>
    <row r="2112">
      <c r="A2112" s="138"/>
      <c r="B2112" s="138"/>
      <c r="C2112" s="138"/>
      <c r="D2112" s="139"/>
      <c r="E2112" s="138"/>
      <c r="F2112" s="138"/>
      <c r="G2112" s="138"/>
      <c r="H2112" s="138"/>
      <c r="I2112" s="138"/>
      <c r="J2112" s="138"/>
      <c r="K2112" s="138"/>
      <c r="L2112" s="138">
        <v>0.0</v>
      </c>
      <c r="M2112" s="140" t="str">
        <f>VLOOKUP(text(D2112, "#"),'Master Table'!$A:$F, 6, FALSE)</f>
        <v>#N/A</v>
      </c>
      <c r="N2112" s="141"/>
      <c r="O2112" s="142" t="str">
        <f t="shared" si="1"/>
        <v/>
      </c>
      <c r="P2112" s="143" t="str">
        <f>IF(ISNA(VLOOKUP(CONCAT(M2112,C2112), 'Judge Count DO NOT EDIT'!H:H, 1, FALSE)), "ERROR","")</f>
        <v>ERROR</v>
      </c>
      <c r="Q2112" s="141"/>
      <c r="R2112" s="143"/>
      <c r="S2112" s="139"/>
      <c r="T2112" s="141"/>
    </row>
    <row r="2113">
      <c r="A2113" s="138"/>
      <c r="B2113" s="138"/>
      <c r="C2113" s="138"/>
      <c r="D2113" s="139"/>
      <c r="E2113" s="138"/>
      <c r="F2113" s="138"/>
      <c r="G2113" s="138"/>
      <c r="H2113" s="138"/>
      <c r="I2113" s="138"/>
      <c r="J2113" s="138"/>
      <c r="K2113" s="138"/>
      <c r="L2113" s="138">
        <v>0.0</v>
      </c>
      <c r="M2113" s="140" t="str">
        <f>VLOOKUP(text(D2113, "#"),'Master Table'!$A:$F, 6, FALSE)</f>
        <v>#N/A</v>
      </c>
      <c r="N2113" s="141"/>
      <c r="O2113" s="142" t="str">
        <f t="shared" si="1"/>
        <v/>
      </c>
      <c r="P2113" s="143" t="str">
        <f>IF(ISNA(VLOOKUP(CONCAT(M2113,C2113), 'Judge Count DO NOT EDIT'!H:H, 1, FALSE)), "ERROR","")</f>
        <v>ERROR</v>
      </c>
      <c r="Q2113" s="141"/>
      <c r="R2113" s="143"/>
      <c r="S2113" s="139"/>
      <c r="T2113" s="141"/>
    </row>
    <row r="2114">
      <c r="A2114" s="138"/>
      <c r="B2114" s="138"/>
      <c r="C2114" s="138"/>
      <c r="D2114" s="139"/>
      <c r="E2114" s="138"/>
      <c r="F2114" s="138"/>
      <c r="G2114" s="138"/>
      <c r="H2114" s="138"/>
      <c r="I2114" s="138"/>
      <c r="J2114" s="138"/>
      <c r="K2114" s="138"/>
      <c r="L2114" s="138">
        <v>0.0</v>
      </c>
      <c r="M2114" s="140" t="str">
        <f>VLOOKUP(text(D2114, "#"),'Master Table'!$A:$F, 6, FALSE)</f>
        <v>#N/A</v>
      </c>
      <c r="N2114" s="141"/>
      <c r="O2114" s="142" t="str">
        <f t="shared" si="1"/>
        <v/>
      </c>
      <c r="P2114" s="143" t="str">
        <f>IF(ISNA(VLOOKUP(CONCAT(M2114,C2114), 'Judge Count DO NOT EDIT'!H:H, 1, FALSE)), "ERROR","")</f>
        <v>ERROR</v>
      </c>
      <c r="Q2114" s="141"/>
      <c r="R2114" s="143"/>
      <c r="S2114" s="139"/>
      <c r="T2114" s="141"/>
    </row>
    <row r="2115">
      <c r="A2115" s="138"/>
      <c r="B2115" s="138"/>
      <c r="C2115" s="138"/>
      <c r="D2115" s="139"/>
      <c r="E2115" s="138"/>
      <c r="F2115" s="138"/>
      <c r="G2115" s="138"/>
      <c r="H2115" s="138"/>
      <c r="I2115" s="138"/>
      <c r="J2115" s="138"/>
      <c r="K2115" s="138"/>
      <c r="L2115" s="138">
        <v>0.0</v>
      </c>
      <c r="M2115" s="140" t="str">
        <f>VLOOKUP(text(D2115, "#"),'Master Table'!$A:$F, 6, FALSE)</f>
        <v>#N/A</v>
      </c>
      <c r="N2115" s="141"/>
      <c r="O2115" s="142" t="str">
        <f t="shared" si="1"/>
        <v/>
      </c>
      <c r="P2115" s="143" t="str">
        <f>IF(ISNA(VLOOKUP(CONCAT(M2115,C2115), 'Judge Count DO NOT EDIT'!H:H, 1, FALSE)), "ERROR","")</f>
        <v>ERROR</v>
      </c>
      <c r="Q2115" s="141"/>
      <c r="R2115" s="143"/>
      <c r="S2115" s="139"/>
      <c r="T2115" s="141"/>
    </row>
    <row r="2116">
      <c r="A2116" s="138"/>
      <c r="B2116" s="138"/>
      <c r="C2116" s="138"/>
      <c r="D2116" s="139"/>
      <c r="E2116" s="138"/>
      <c r="F2116" s="138"/>
      <c r="G2116" s="138"/>
      <c r="H2116" s="138"/>
      <c r="I2116" s="138"/>
      <c r="J2116" s="138"/>
      <c r="K2116" s="138"/>
      <c r="L2116" s="138">
        <v>0.0</v>
      </c>
      <c r="M2116" s="140" t="str">
        <f>VLOOKUP(text(D2116, "#"),'Master Table'!$A:$F, 6, FALSE)</f>
        <v>#N/A</v>
      </c>
      <c r="N2116" s="141"/>
      <c r="O2116" s="142" t="str">
        <f t="shared" si="1"/>
        <v/>
      </c>
      <c r="P2116" s="143" t="str">
        <f>IF(ISNA(VLOOKUP(CONCAT(M2116,C2116), 'Judge Count DO NOT EDIT'!H:H, 1, FALSE)), "ERROR","")</f>
        <v>ERROR</v>
      </c>
      <c r="Q2116" s="141"/>
      <c r="R2116" s="143"/>
      <c r="S2116" s="139"/>
      <c r="T2116" s="141"/>
    </row>
    <row r="2117">
      <c r="A2117" s="138"/>
      <c r="B2117" s="138"/>
      <c r="C2117" s="138"/>
      <c r="D2117" s="139"/>
      <c r="E2117" s="138"/>
      <c r="F2117" s="138"/>
      <c r="G2117" s="138"/>
      <c r="H2117" s="138"/>
      <c r="I2117" s="138"/>
      <c r="J2117" s="138"/>
      <c r="K2117" s="138"/>
      <c r="L2117" s="138">
        <v>0.0</v>
      </c>
      <c r="M2117" s="140" t="str">
        <f>VLOOKUP(text(D2117, "#"),'Master Table'!$A:$F, 6, FALSE)</f>
        <v>#N/A</v>
      </c>
      <c r="N2117" s="141"/>
      <c r="O2117" s="142" t="str">
        <f t="shared" si="1"/>
        <v/>
      </c>
      <c r="P2117" s="143" t="str">
        <f>IF(ISNA(VLOOKUP(CONCAT(M2117,C2117), 'Judge Count DO NOT EDIT'!H:H, 1, FALSE)), "ERROR","")</f>
        <v>ERROR</v>
      </c>
      <c r="Q2117" s="141"/>
      <c r="R2117" s="143"/>
      <c r="S2117" s="139"/>
      <c r="T2117" s="141"/>
    </row>
    <row r="2118">
      <c r="A2118" s="138"/>
      <c r="B2118" s="138"/>
      <c r="C2118" s="138"/>
      <c r="D2118" s="139"/>
      <c r="E2118" s="138"/>
      <c r="F2118" s="138"/>
      <c r="G2118" s="138"/>
      <c r="H2118" s="138"/>
      <c r="I2118" s="138"/>
      <c r="J2118" s="138"/>
      <c r="K2118" s="138"/>
      <c r="L2118" s="138">
        <v>0.0</v>
      </c>
      <c r="M2118" s="140" t="str">
        <f>VLOOKUP(text(D2118, "#"),'Master Table'!$A:$F, 6, FALSE)</f>
        <v>#N/A</v>
      </c>
      <c r="N2118" s="141"/>
      <c r="O2118" s="142" t="str">
        <f t="shared" si="1"/>
        <v/>
      </c>
      <c r="P2118" s="143" t="str">
        <f>IF(ISNA(VLOOKUP(CONCAT(M2118,C2118), 'Judge Count DO NOT EDIT'!H:H, 1, FALSE)), "ERROR","")</f>
        <v>ERROR</v>
      </c>
      <c r="Q2118" s="141"/>
      <c r="R2118" s="143"/>
      <c r="S2118" s="139"/>
      <c r="T2118" s="141"/>
    </row>
    <row r="2119">
      <c r="A2119" s="138"/>
      <c r="B2119" s="138"/>
      <c r="C2119" s="138"/>
      <c r="D2119" s="139"/>
      <c r="E2119" s="138"/>
      <c r="F2119" s="138"/>
      <c r="G2119" s="138"/>
      <c r="H2119" s="138"/>
      <c r="I2119" s="138"/>
      <c r="J2119" s="138"/>
      <c r="K2119" s="138"/>
      <c r="L2119" s="138">
        <v>0.0</v>
      </c>
      <c r="M2119" s="140" t="str">
        <f>VLOOKUP(text(D2119, "#"),'Master Table'!$A:$F, 6, FALSE)</f>
        <v>#N/A</v>
      </c>
      <c r="N2119" s="141"/>
      <c r="O2119" s="142" t="str">
        <f t="shared" si="1"/>
        <v/>
      </c>
      <c r="P2119" s="143" t="str">
        <f>IF(ISNA(VLOOKUP(CONCAT(M2119,C2119), 'Judge Count DO NOT EDIT'!H:H, 1, FALSE)), "ERROR","")</f>
        <v>ERROR</v>
      </c>
      <c r="Q2119" s="141"/>
      <c r="R2119" s="143"/>
      <c r="S2119" s="139"/>
      <c r="T2119" s="141"/>
    </row>
    <row r="2120">
      <c r="A2120" s="138"/>
      <c r="B2120" s="138"/>
      <c r="C2120" s="138"/>
      <c r="D2120" s="139"/>
      <c r="E2120" s="138"/>
      <c r="F2120" s="138"/>
      <c r="G2120" s="138"/>
      <c r="H2120" s="138"/>
      <c r="I2120" s="138"/>
      <c r="J2120" s="138"/>
      <c r="K2120" s="138"/>
      <c r="L2120" s="138">
        <v>0.0</v>
      </c>
      <c r="M2120" s="140" t="str">
        <f>VLOOKUP(text(D2120, "#"),'Master Table'!$A:$F, 6, FALSE)</f>
        <v>#N/A</v>
      </c>
      <c r="N2120" s="141"/>
      <c r="O2120" s="142" t="str">
        <f t="shared" si="1"/>
        <v/>
      </c>
      <c r="P2120" s="143" t="str">
        <f>IF(ISNA(VLOOKUP(CONCAT(M2120,C2120), 'Judge Count DO NOT EDIT'!H:H, 1, FALSE)), "ERROR","")</f>
        <v>ERROR</v>
      </c>
      <c r="Q2120" s="141"/>
      <c r="R2120" s="143"/>
      <c r="S2120" s="139"/>
      <c r="T2120" s="141"/>
    </row>
    <row r="2121">
      <c r="A2121" s="138"/>
      <c r="B2121" s="138"/>
      <c r="C2121" s="138"/>
      <c r="D2121" s="139"/>
      <c r="E2121" s="138"/>
      <c r="F2121" s="138"/>
      <c r="G2121" s="138"/>
      <c r="H2121" s="138"/>
      <c r="I2121" s="138"/>
      <c r="J2121" s="138"/>
      <c r="K2121" s="138"/>
      <c r="L2121" s="138">
        <v>0.0</v>
      </c>
      <c r="M2121" s="140" t="str">
        <f>VLOOKUP(text(D2121, "#"),'Master Table'!$A:$F, 6, FALSE)</f>
        <v>#N/A</v>
      </c>
      <c r="N2121" s="141"/>
      <c r="O2121" s="142" t="str">
        <f t="shared" si="1"/>
        <v/>
      </c>
      <c r="P2121" s="143" t="str">
        <f>IF(ISNA(VLOOKUP(CONCAT(M2121,C2121), 'Judge Count DO NOT EDIT'!H:H, 1, FALSE)), "ERROR","")</f>
        <v>ERROR</v>
      </c>
      <c r="Q2121" s="141"/>
      <c r="R2121" s="143"/>
      <c r="S2121" s="139"/>
      <c r="T2121" s="141"/>
    </row>
    <row r="2122">
      <c r="A2122" s="138"/>
      <c r="B2122" s="138"/>
      <c r="C2122" s="138"/>
      <c r="D2122" s="139"/>
      <c r="E2122" s="138"/>
      <c r="F2122" s="138"/>
      <c r="G2122" s="138"/>
      <c r="H2122" s="138"/>
      <c r="I2122" s="138"/>
      <c r="J2122" s="138"/>
      <c r="K2122" s="138"/>
      <c r="L2122" s="138">
        <v>0.0</v>
      </c>
      <c r="M2122" s="140" t="str">
        <f>VLOOKUP(text(D2122, "#"),'Master Table'!$A:$F, 6, FALSE)</f>
        <v>#N/A</v>
      </c>
      <c r="N2122" s="141"/>
      <c r="O2122" s="142" t="str">
        <f t="shared" si="1"/>
        <v/>
      </c>
      <c r="P2122" s="143" t="str">
        <f>IF(ISNA(VLOOKUP(CONCAT(M2122,C2122), 'Judge Count DO NOT EDIT'!H:H, 1, FALSE)), "ERROR","")</f>
        <v>ERROR</v>
      </c>
      <c r="Q2122" s="141"/>
      <c r="R2122" s="143"/>
      <c r="S2122" s="139"/>
      <c r="T2122" s="141"/>
    </row>
    <row r="2123">
      <c r="A2123" s="138"/>
      <c r="B2123" s="138"/>
      <c r="C2123" s="138"/>
      <c r="D2123" s="139"/>
      <c r="E2123" s="138"/>
      <c r="F2123" s="138"/>
      <c r="G2123" s="138"/>
      <c r="H2123" s="138"/>
      <c r="I2123" s="138"/>
      <c r="J2123" s="138"/>
      <c r="K2123" s="138"/>
      <c r="L2123" s="138">
        <v>0.0</v>
      </c>
      <c r="M2123" s="140" t="str">
        <f>VLOOKUP(text(D2123, "#"),'Master Table'!$A:$F, 6, FALSE)</f>
        <v>#N/A</v>
      </c>
      <c r="N2123" s="141"/>
      <c r="O2123" s="142" t="str">
        <f t="shared" si="1"/>
        <v/>
      </c>
      <c r="P2123" s="143" t="str">
        <f>IF(ISNA(VLOOKUP(CONCAT(M2123,C2123), 'Judge Count DO NOT EDIT'!H:H, 1, FALSE)), "ERROR","")</f>
        <v>ERROR</v>
      </c>
      <c r="Q2123" s="141"/>
      <c r="R2123" s="143"/>
      <c r="S2123" s="139"/>
      <c r="T2123" s="141"/>
    </row>
    <row r="2124">
      <c r="A2124" s="138"/>
      <c r="B2124" s="138"/>
      <c r="C2124" s="138"/>
      <c r="D2124" s="139"/>
      <c r="E2124" s="138"/>
      <c r="F2124" s="138"/>
      <c r="G2124" s="138"/>
      <c r="H2124" s="138"/>
      <c r="I2124" s="138"/>
      <c r="J2124" s="138"/>
      <c r="K2124" s="138"/>
      <c r="L2124" s="138">
        <v>0.0</v>
      </c>
      <c r="M2124" s="140" t="str">
        <f>VLOOKUP(text(D2124, "#"),'Master Table'!$A:$F, 6, FALSE)</f>
        <v>#N/A</v>
      </c>
      <c r="N2124" s="141"/>
      <c r="O2124" s="142" t="str">
        <f t="shared" si="1"/>
        <v/>
      </c>
      <c r="P2124" s="143" t="str">
        <f>IF(ISNA(VLOOKUP(CONCAT(M2124,C2124), 'Judge Count DO NOT EDIT'!H:H, 1, FALSE)), "ERROR","")</f>
        <v>ERROR</v>
      </c>
      <c r="Q2124" s="141"/>
      <c r="R2124" s="143"/>
      <c r="S2124" s="139"/>
      <c r="T2124" s="141"/>
    </row>
    <row r="2125">
      <c r="A2125" s="138"/>
      <c r="B2125" s="138"/>
      <c r="C2125" s="138"/>
      <c r="D2125" s="139"/>
      <c r="E2125" s="138"/>
      <c r="F2125" s="138"/>
      <c r="G2125" s="138"/>
      <c r="H2125" s="138"/>
      <c r="I2125" s="138"/>
      <c r="J2125" s="138"/>
      <c r="K2125" s="138"/>
      <c r="L2125" s="138">
        <v>0.0</v>
      </c>
      <c r="M2125" s="140" t="str">
        <f>VLOOKUP(text(D2125, "#"),'Master Table'!$A:$F, 6, FALSE)</f>
        <v>#N/A</v>
      </c>
      <c r="N2125" s="141"/>
      <c r="O2125" s="142" t="str">
        <f t="shared" si="1"/>
        <v/>
      </c>
      <c r="P2125" s="143" t="str">
        <f>IF(ISNA(VLOOKUP(CONCAT(M2125,C2125), 'Judge Count DO NOT EDIT'!H:H, 1, FALSE)), "ERROR","")</f>
        <v>ERROR</v>
      </c>
      <c r="Q2125" s="141"/>
      <c r="R2125" s="143"/>
      <c r="S2125" s="139"/>
      <c r="T2125" s="141"/>
    </row>
    <row r="2126">
      <c r="A2126" s="138"/>
      <c r="B2126" s="138"/>
      <c r="C2126" s="138"/>
      <c r="D2126" s="139"/>
      <c r="E2126" s="138"/>
      <c r="F2126" s="138"/>
      <c r="G2126" s="138"/>
      <c r="H2126" s="138"/>
      <c r="I2126" s="138"/>
      <c r="J2126" s="138"/>
      <c r="K2126" s="138"/>
      <c r="L2126" s="138">
        <v>0.0</v>
      </c>
      <c r="M2126" s="140" t="str">
        <f>VLOOKUP(text(D2126, "#"),'Master Table'!$A:$F, 6, FALSE)</f>
        <v>#N/A</v>
      </c>
      <c r="N2126" s="141"/>
      <c r="O2126" s="142" t="str">
        <f t="shared" si="1"/>
        <v/>
      </c>
      <c r="P2126" s="143" t="str">
        <f>IF(ISNA(VLOOKUP(CONCAT(M2126,C2126), 'Judge Count DO NOT EDIT'!H:H, 1, FALSE)), "ERROR","")</f>
        <v>ERROR</v>
      </c>
      <c r="Q2126" s="141"/>
      <c r="R2126" s="143"/>
      <c r="S2126" s="139"/>
      <c r="T2126" s="141"/>
    </row>
    <row r="2127">
      <c r="A2127" s="138"/>
      <c r="B2127" s="138"/>
      <c r="C2127" s="138"/>
      <c r="D2127" s="139"/>
      <c r="E2127" s="138"/>
      <c r="F2127" s="138"/>
      <c r="G2127" s="138"/>
      <c r="H2127" s="138"/>
      <c r="I2127" s="138"/>
      <c r="J2127" s="138"/>
      <c r="K2127" s="138"/>
      <c r="L2127" s="138">
        <v>0.0</v>
      </c>
      <c r="M2127" s="140" t="str">
        <f>VLOOKUP(text(D2127, "#"),'Master Table'!$A:$F, 6, FALSE)</f>
        <v>#N/A</v>
      </c>
      <c r="N2127" s="141"/>
      <c r="O2127" s="142" t="str">
        <f t="shared" si="1"/>
        <v/>
      </c>
      <c r="P2127" s="143" t="str">
        <f>IF(ISNA(VLOOKUP(CONCAT(M2127,C2127), 'Judge Count DO NOT EDIT'!H:H, 1, FALSE)), "ERROR","")</f>
        <v>ERROR</v>
      </c>
      <c r="Q2127" s="141"/>
      <c r="R2127" s="143"/>
      <c r="S2127" s="139"/>
      <c r="T2127" s="141"/>
    </row>
    <row r="2128">
      <c r="A2128" s="138"/>
      <c r="B2128" s="138"/>
      <c r="C2128" s="138"/>
      <c r="D2128" s="139"/>
      <c r="E2128" s="138"/>
      <c r="F2128" s="138"/>
      <c r="G2128" s="138"/>
      <c r="H2128" s="138"/>
      <c r="I2128" s="138"/>
      <c r="J2128" s="138"/>
      <c r="K2128" s="138"/>
      <c r="L2128" s="138">
        <v>0.0</v>
      </c>
      <c r="M2128" s="140" t="str">
        <f>VLOOKUP(text(D2128, "#"),'Master Table'!$A:$F, 6, FALSE)</f>
        <v>#N/A</v>
      </c>
      <c r="N2128" s="141"/>
      <c r="O2128" s="142" t="str">
        <f t="shared" si="1"/>
        <v/>
      </c>
      <c r="P2128" s="143" t="str">
        <f>IF(ISNA(VLOOKUP(CONCAT(M2128,C2128), 'Judge Count DO NOT EDIT'!H:H, 1, FALSE)), "ERROR","")</f>
        <v>ERROR</v>
      </c>
      <c r="Q2128" s="141"/>
      <c r="R2128" s="143"/>
      <c r="S2128" s="139"/>
      <c r="T2128" s="141"/>
    </row>
    <row r="2129">
      <c r="A2129" s="138"/>
      <c r="B2129" s="138"/>
      <c r="C2129" s="138"/>
      <c r="D2129" s="139"/>
      <c r="E2129" s="138"/>
      <c r="F2129" s="138"/>
      <c r="G2129" s="138"/>
      <c r="H2129" s="138"/>
      <c r="I2129" s="138"/>
      <c r="J2129" s="138"/>
      <c r="K2129" s="138"/>
      <c r="L2129" s="138">
        <v>0.0</v>
      </c>
      <c r="M2129" s="140" t="str">
        <f>VLOOKUP(text(D2129, "#"),'Master Table'!$A:$F, 6, FALSE)</f>
        <v>#N/A</v>
      </c>
      <c r="N2129" s="141"/>
      <c r="O2129" s="142" t="str">
        <f t="shared" si="1"/>
        <v/>
      </c>
      <c r="P2129" s="143" t="str">
        <f>IF(ISNA(VLOOKUP(CONCAT(M2129,C2129), 'Judge Count DO NOT EDIT'!H:H, 1, FALSE)), "ERROR","")</f>
        <v>ERROR</v>
      </c>
      <c r="Q2129" s="141"/>
      <c r="R2129" s="143"/>
      <c r="S2129" s="139"/>
      <c r="T2129" s="141"/>
    </row>
    <row r="2130">
      <c r="A2130" s="138"/>
      <c r="B2130" s="138"/>
      <c r="C2130" s="138"/>
      <c r="D2130" s="139"/>
      <c r="E2130" s="138"/>
      <c r="F2130" s="138"/>
      <c r="G2130" s="138"/>
      <c r="H2130" s="138"/>
      <c r="I2130" s="138"/>
      <c r="J2130" s="138"/>
      <c r="K2130" s="138"/>
      <c r="L2130" s="138">
        <v>0.0</v>
      </c>
      <c r="M2130" s="140" t="str">
        <f>VLOOKUP(text(D2130, "#"),'Master Table'!$A:$F, 6, FALSE)</f>
        <v>#N/A</v>
      </c>
      <c r="N2130" s="141"/>
      <c r="O2130" s="142" t="str">
        <f t="shared" si="1"/>
        <v/>
      </c>
      <c r="P2130" s="143" t="str">
        <f>IF(ISNA(VLOOKUP(CONCAT(M2130,C2130), 'Judge Count DO NOT EDIT'!H:H, 1, FALSE)), "ERROR","")</f>
        <v>ERROR</v>
      </c>
      <c r="Q2130" s="141"/>
      <c r="R2130" s="143"/>
      <c r="S2130" s="139"/>
      <c r="T2130" s="141"/>
    </row>
    <row r="2131">
      <c r="A2131" s="138"/>
      <c r="B2131" s="138"/>
      <c r="C2131" s="138"/>
      <c r="D2131" s="139"/>
      <c r="E2131" s="138"/>
      <c r="F2131" s="138"/>
      <c r="G2131" s="138"/>
      <c r="H2131" s="138"/>
      <c r="I2131" s="138"/>
      <c r="J2131" s="138"/>
      <c r="K2131" s="138"/>
      <c r="L2131" s="138">
        <v>0.0</v>
      </c>
      <c r="M2131" s="140" t="str">
        <f>VLOOKUP(text(D2131, "#"),'Master Table'!$A:$F, 6, FALSE)</f>
        <v>#N/A</v>
      </c>
      <c r="N2131" s="141"/>
      <c r="O2131" s="142" t="str">
        <f t="shared" si="1"/>
        <v/>
      </c>
      <c r="P2131" s="143" t="str">
        <f>IF(ISNA(VLOOKUP(CONCAT(M2131,C2131), 'Judge Count DO NOT EDIT'!H:H, 1, FALSE)), "ERROR","")</f>
        <v>ERROR</v>
      </c>
      <c r="Q2131" s="141"/>
      <c r="R2131" s="143"/>
      <c r="S2131" s="139"/>
      <c r="T2131" s="141"/>
    </row>
    <row r="2132">
      <c r="A2132" s="138"/>
      <c r="B2132" s="138"/>
      <c r="C2132" s="138"/>
      <c r="D2132" s="139"/>
      <c r="E2132" s="138"/>
      <c r="F2132" s="138"/>
      <c r="G2132" s="138"/>
      <c r="H2132" s="138"/>
      <c r="I2132" s="138"/>
      <c r="J2132" s="138"/>
      <c r="K2132" s="138"/>
      <c r="L2132" s="138">
        <v>0.0</v>
      </c>
      <c r="M2132" s="140" t="str">
        <f>VLOOKUP(text(D2132, "#"),'Master Table'!$A:$F, 6, FALSE)</f>
        <v>#N/A</v>
      </c>
      <c r="N2132" s="141"/>
      <c r="O2132" s="142" t="str">
        <f t="shared" si="1"/>
        <v/>
      </c>
      <c r="P2132" s="143" t="str">
        <f>IF(ISNA(VLOOKUP(CONCAT(M2132,C2132), 'Judge Count DO NOT EDIT'!H:H, 1, FALSE)), "ERROR","")</f>
        <v>ERROR</v>
      </c>
      <c r="Q2132" s="141"/>
      <c r="R2132" s="143"/>
      <c r="S2132" s="139"/>
      <c r="T2132" s="141"/>
    </row>
    <row r="2133">
      <c r="A2133" s="138"/>
      <c r="B2133" s="138"/>
      <c r="C2133" s="138"/>
      <c r="D2133" s="139"/>
      <c r="E2133" s="138"/>
      <c r="F2133" s="138"/>
      <c r="G2133" s="138"/>
      <c r="H2133" s="138"/>
      <c r="I2133" s="138"/>
      <c r="J2133" s="138"/>
      <c r="K2133" s="138"/>
      <c r="L2133" s="138">
        <v>0.0</v>
      </c>
      <c r="M2133" s="140" t="str">
        <f>VLOOKUP(text(D2133, "#"),'Master Table'!$A:$F, 6, FALSE)</f>
        <v>#N/A</v>
      </c>
      <c r="N2133" s="141"/>
      <c r="O2133" s="142" t="str">
        <f t="shared" si="1"/>
        <v/>
      </c>
      <c r="P2133" s="143" t="str">
        <f>IF(ISNA(VLOOKUP(CONCAT(M2133,C2133), 'Judge Count DO NOT EDIT'!H:H, 1, FALSE)), "ERROR","")</f>
        <v>ERROR</v>
      </c>
      <c r="Q2133" s="141"/>
      <c r="R2133" s="143"/>
      <c r="S2133" s="139"/>
      <c r="T2133" s="141"/>
    </row>
    <row r="2134">
      <c r="A2134" s="138"/>
      <c r="B2134" s="138"/>
      <c r="C2134" s="138"/>
      <c r="D2134" s="139"/>
      <c r="E2134" s="138"/>
      <c r="F2134" s="138"/>
      <c r="G2134" s="138"/>
      <c r="H2134" s="138"/>
      <c r="I2134" s="138"/>
      <c r="J2134" s="138"/>
      <c r="K2134" s="138"/>
      <c r="L2134" s="138">
        <v>0.0</v>
      </c>
      <c r="M2134" s="140" t="str">
        <f>VLOOKUP(text(D2134, "#"),'Master Table'!$A:$F, 6, FALSE)</f>
        <v>#N/A</v>
      </c>
      <c r="N2134" s="141"/>
      <c r="O2134" s="142" t="str">
        <f t="shared" si="1"/>
        <v/>
      </c>
      <c r="P2134" s="143" t="str">
        <f>IF(ISNA(VLOOKUP(CONCAT(M2134,C2134), 'Judge Count DO NOT EDIT'!H:H, 1, FALSE)), "ERROR","")</f>
        <v>ERROR</v>
      </c>
      <c r="Q2134" s="141"/>
      <c r="R2134" s="143"/>
      <c r="S2134" s="139"/>
      <c r="T2134" s="141"/>
    </row>
    <row r="2135">
      <c r="A2135" s="138"/>
      <c r="B2135" s="138"/>
      <c r="C2135" s="138"/>
      <c r="D2135" s="139"/>
      <c r="E2135" s="138"/>
      <c r="F2135" s="138"/>
      <c r="G2135" s="138"/>
      <c r="H2135" s="138"/>
      <c r="I2135" s="138"/>
      <c r="J2135" s="138"/>
      <c r="K2135" s="138"/>
      <c r="L2135" s="138">
        <v>0.0</v>
      </c>
      <c r="M2135" s="140" t="str">
        <f>VLOOKUP(text(D2135, "#"),'Master Table'!$A:$F, 6, FALSE)</f>
        <v>#N/A</v>
      </c>
      <c r="N2135" s="141"/>
      <c r="O2135" s="142" t="str">
        <f t="shared" si="1"/>
        <v/>
      </c>
      <c r="P2135" s="143" t="str">
        <f>IF(ISNA(VLOOKUP(CONCAT(M2135,C2135), 'Judge Count DO NOT EDIT'!H:H, 1, FALSE)), "ERROR","")</f>
        <v>ERROR</v>
      </c>
      <c r="Q2135" s="141"/>
      <c r="R2135" s="143"/>
      <c r="S2135" s="139"/>
      <c r="T2135" s="141"/>
    </row>
    <row r="2136">
      <c r="A2136" s="138"/>
      <c r="B2136" s="138"/>
      <c r="C2136" s="138"/>
      <c r="D2136" s="139"/>
      <c r="E2136" s="138"/>
      <c r="F2136" s="138"/>
      <c r="G2136" s="138"/>
      <c r="H2136" s="138"/>
      <c r="I2136" s="138"/>
      <c r="J2136" s="138"/>
      <c r="K2136" s="138"/>
      <c r="L2136" s="138">
        <v>0.0</v>
      </c>
      <c r="M2136" s="140" t="str">
        <f>VLOOKUP(text(D2136, "#"),'Master Table'!$A:$F, 6, FALSE)</f>
        <v>#N/A</v>
      </c>
      <c r="N2136" s="141"/>
      <c r="O2136" s="142" t="str">
        <f t="shared" si="1"/>
        <v/>
      </c>
      <c r="P2136" s="143" t="str">
        <f>IF(ISNA(VLOOKUP(CONCAT(M2136,C2136), 'Judge Count DO NOT EDIT'!H:H, 1, FALSE)), "ERROR","")</f>
        <v>ERROR</v>
      </c>
      <c r="Q2136" s="141"/>
      <c r="R2136" s="143"/>
      <c r="S2136" s="139"/>
      <c r="T2136" s="141"/>
    </row>
    <row r="2137">
      <c r="A2137" s="138"/>
      <c r="B2137" s="138"/>
      <c r="C2137" s="138"/>
      <c r="D2137" s="139"/>
      <c r="E2137" s="138"/>
      <c r="F2137" s="138"/>
      <c r="G2137" s="138"/>
      <c r="H2137" s="138"/>
      <c r="I2137" s="138"/>
      <c r="J2137" s="138"/>
      <c r="K2137" s="138"/>
      <c r="L2137" s="138">
        <v>0.0</v>
      </c>
      <c r="M2137" s="140" t="str">
        <f>VLOOKUP(text(D2137, "#"),'Master Table'!$A:$F, 6, FALSE)</f>
        <v>#N/A</v>
      </c>
      <c r="N2137" s="141"/>
      <c r="O2137" s="142" t="str">
        <f t="shared" si="1"/>
        <v/>
      </c>
      <c r="P2137" s="143" t="str">
        <f>IF(ISNA(VLOOKUP(CONCAT(M2137,C2137), 'Judge Count DO NOT EDIT'!H:H, 1, FALSE)), "ERROR","")</f>
        <v>ERROR</v>
      </c>
      <c r="Q2137" s="141"/>
      <c r="R2137" s="143"/>
      <c r="S2137" s="139"/>
      <c r="T2137" s="141"/>
    </row>
    <row r="2138">
      <c r="A2138" s="138"/>
      <c r="B2138" s="138"/>
      <c r="C2138" s="138"/>
      <c r="D2138" s="139"/>
      <c r="E2138" s="138"/>
      <c r="F2138" s="138"/>
      <c r="G2138" s="138"/>
      <c r="H2138" s="138"/>
      <c r="I2138" s="138"/>
      <c r="J2138" s="138"/>
      <c r="K2138" s="138"/>
      <c r="L2138" s="138">
        <v>0.0</v>
      </c>
      <c r="M2138" s="140" t="str">
        <f>VLOOKUP(text(D2138, "#"),'Master Table'!$A:$F, 6, FALSE)</f>
        <v>#N/A</v>
      </c>
      <c r="N2138" s="141"/>
      <c r="O2138" s="142" t="str">
        <f t="shared" si="1"/>
        <v/>
      </c>
      <c r="P2138" s="143" t="str">
        <f>IF(ISNA(VLOOKUP(CONCAT(M2138,C2138), 'Judge Count DO NOT EDIT'!H:H, 1, FALSE)), "ERROR","")</f>
        <v>ERROR</v>
      </c>
      <c r="Q2138" s="141"/>
      <c r="R2138" s="143"/>
      <c r="S2138" s="139"/>
      <c r="T2138" s="141"/>
    </row>
    <row r="2139">
      <c r="A2139" s="138"/>
      <c r="B2139" s="138"/>
      <c r="C2139" s="138"/>
      <c r="D2139" s="139"/>
      <c r="E2139" s="138"/>
      <c r="F2139" s="138"/>
      <c r="G2139" s="138"/>
      <c r="H2139" s="138"/>
      <c r="I2139" s="138"/>
      <c r="J2139" s="138"/>
      <c r="K2139" s="138"/>
      <c r="L2139" s="138">
        <v>0.0</v>
      </c>
      <c r="M2139" s="140" t="str">
        <f>VLOOKUP(text(D2139, "#"),'Master Table'!$A:$F, 6, FALSE)</f>
        <v>#N/A</v>
      </c>
      <c r="N2139" s="141"/>
      <c r="O2139" s="142" t="str">
        <f t="shared" si="1"/>
        <v/>
      </c>
      <c r="P2139" s="143" t="str">
        <f>IF(ISNA(VLOOKUP(CONCAT(M2139,C2139), 'Judge Count DO NOT EDIT'!H:H, 1, FALSE)), "ERROR","")</f>
        <v>ERROR</v>
      </c>
      <c r="Q2139" s="141"/>
      <c r="R2139" s="143"/>
      <c r="S2139" s="139"/>
      <c r="T2139" s="141"/>
    </row>
    <row r="2140">
      <c r="A2140" s="138"/>
      <c r="B2140" s="138"/>
      <c r="C2140" s="138"/>
      <c r="D2140" s="139"/>
      <c r="E2140" s="138"/>
      <c r="F2140" s="138"/>
      <c r="G2140" s="138"/>
      <c r="H2140" s="138"/>
      <c r="I2140" s="138"/>
      <c r="J2140" s="138"/>
      <c r="K2140" s="138"/>
      <c r="L2140" s="138">
        <v>0.0</v>
      </c>
      <c r="M2140" s="140" t="str">
        <f>VLOOKUP(text(D2140, "#"),'Master Table'!$A:$F, 6, FALSE)</f>
        <v>#N/A</v>
      </c>
      <c r="N2140" s="141"/>
      <c r="O2140" s="142" t="str">
        <f t="shared" si="1"/>
        <v/>
      </c>
      <c r="P2140" s="143" t="str">
        <f>IF(ISNA(VLOOKUP(CONCAT(M2140,C2140), 'Judge Count DO NOT EDIT'!H:H, 1, FALSE)), "ERROR","")</f>
        <v>ERROR</v>
      </c>
      <c r="Q2140" s="141"/>
      <c r="R2140" s="143"/>
      <c r="S2140" s="139"/>
      <c r="T2140" s="141"/>
    </row>
    <row r="2141">
      <c r="A2141" s="138"/>
      <c r="B2141" s="138"/>
      <c r="C2141" s="138"/>
      <c r="D2141" s="139"/>
      <c r="E2141" s="138"/>
      <c r="F2141" s="138"/>
      <c r="G2141" s="138"/>
      <c r="H2141" s="138"/>
      <c r="I2141" s="138"/>
      <c r="J2141" s="138"/>
      <c r="K2141" s="138"/>
      <c r="L2141" s="138">
        <v>0.0</v>
      </c>
      <c r="M2141" s="140" t="str">
        <f>VLOOKUP(text(D2141, "#"),'Master Table'!$A:$F, 6, FALSE)</f>
        <v>#N/A</v>
      </c>
      <c r="N2141" s="141"/>
      <c r="O2141" s="142" t="str">
        <f t="shared" si="1"/>
        <v/>
      </c>
      <c r="P2141" s="143" t="str">
        <f>IF(ISNA(VLOOKUP(CONCAT(M2141,C2141), 'Judge Count DO NOT EDIT'!H:H, 1, FALSE)), "ERROR","")</f>
        <v>ERROR</v>
      </c>
      <c r="Q2141" s="141"/>
      <c r="R2141" s="143"/>
      <c r="S2141" s="139"/>
      <c r="T2141" s="141"/>
    </row>
    <row r="2142">
      <c r="A2142" s="138"/>
      <c r="B2142" s="138"/>
      <c r="C2142" s="138"/>
      <c r="D2142" s="139"/>
      <c r="E2142" s="138"/>
      <c r="F2142" s="138"/>
      <c r="G2142" s="138"/>
      <c r="H2142" s="138"/>
      <c r="I2142" s="138"/>
      <c r="J2142" s="138"/>
      <c r="K2142" s="138"/>
      <c r="L2142" s="138">
        <v>0.0</v>
      </c>
      <c r="M2142" s="140" t="str">
        <f>VLOOKUP(text(D2142, "#"),'Master Table'!$A:$F, 6, FALSE)</f>
        <v>#N/A</v>
      </c>
      <c r="N2142" s="141"/>
      <c r="O2142" s="142" t="str">
        <f t="shared" si="1"/>
        <v/>
      </c>
      <c r="P2142" s="143" t="str">
        <f>IF(ISNA(VLOOKUP(CONCAT(M2142,C2142), 'Judge Count DO NOT EDIT'!H:H, 1, FALSE)), "ERROR","")</f>
        <v>ERROR</v>
      </c>
      <c r="Q2142" s="141"/>
      <c r="R2142" s="143"/>
      <c r="S2142" s="139"/>
      <c r="T2142" s="141"/>
    </row>
    <row r="2143">
      <c r="A2143" s="138"/>
      <c r="B2143" s="138"/>
      <c r="C2143" s="138"/>
      <c r="D2143" s="139"/>
      <c r="E2143" s="138"/>
      <c r="F2143" s="138"/>
      <c r="G2143" s="138"/>
      <c r="H2143" s="138"/>
      <c r="I2143" s="138"/>
      <c r="J2143" s="138"/>
      <c r="K2143" s="138"/>
      <c r="L2143" s="138">
        <v>0.0</v>
      </c>
      <c r="M2143" s="140" t="str">
        <f>VLOOKUP(text(D2143, "#"),'Master Table'!$A:$F, 6, FALSE)</f>
        <v>#N/A</v>
      </c>
      <c r="N2143" s="141"/>
      <c r="O2143" s="142" t="str">
        <f t="shared" si="1"/>
        <v/>
      </c>
      <c r="P2143" s="143" t="str">
        <f>IF(ISNA(VLOOKUP(CONCAT(M2143,C2143), 'Judge Count DO NOT EDIT'!H:H, 1, FALSE)), "ERROR","")</f>
        <v>ERROR</v>
      </c>
      <c r="Q2143" s="141"/>
      <c r="R2143" s="143"/>
      <c r="S2143" s="139"/>
      <c r="T2143" s="141"/>
    </row>
    <row r="2144">
      <c r="A2144" s="138"/>
      <c r="B2144" s="138"/>
      <c r="C2144" s="138"/>
      <c r="D2144" s="139"/>
      <c r="E2144" s="138"/>
      <c r="F2144" s="138"/>
      <c r="G2144" s="138"/>
      <c r="H2144" s="138"/>
      <c r="I2144" s="138"/>
      <c r="J2144" s="138"/>
      <c r="K2144" s="138"/>
      <c r="L2144" s="138">
        <v>0.0</v>
      </c>
      <c r="M2144" s="140" t="str">
        <f>VLOOKUP(text(D2144, "#"),'Master Table'!$A:$F, 6, FALSE)</f>
        <v>#N/A</v>
      </c>
      <c r="N2144" s="141"/>
      <c r="O2144" s="142" t="str">
        <f t="shared" si="1"/>
        <v/>
      </c>
      <c r="P2144" s="143" t="str">
        <f>IF(ISNA(VLOOKUP(CONCAT(M2144,C2144), 'Judge Count DO NOT EDIT'!H:H, 1, FALSE)), "ERROR","")</f>
        <v>ERROR</v>
      </c>
      <c r="Q2144" s="141"/>
      <c r="R2144" s="143"/>
      <c r="S2144" s="139"/>
      <c r="T2144" s="141"/>
    </row>
    <row r="2145">
      <c r="A2145" s="138"/>
      <c r="B2145" s="138"/>
      <c r="C2145" s="138"/>
      <c r="D2145" s="139"/>
      <c r="E2145" s="138"/>
      <c r="F2145" s="138"/>
      <c r="G2145" s="138"/>
      <c r="H2145" s="138"/>
      <c r="I2145" s="138"/>
      <c r="J2145" s="138"/>
      <c r="K2145" s="138"/>
      <c r="L2145" s="138">
        <v>0.0</v>
      </c>
      <c r="M2145" s="140" t="str">
        <f>VLOOKUP(text(D2145, "#"),'Master Table'!$A:$F, 6, FALSE)</f>
        <v>#N/A</v>
      </c>
      <c r="N2145" s="141"/>
      <c r="O2145" s="142" t="str">
        <f t="shared" si="1"/>
        <v/>
      </c>
      <c r="P2145" s="143" t="str">
        <f>IF(ISNA(VLOOKUP(CONCAT(M2145,C2145), 'Judge Count DO NOT EDIT'!H:H, 1, FALSE)), "ERROR","")</f>
        <v>ERROR</v>
      </c>
      <c r="Q2145" s="141"/>
      <c r="R2145" s="143"/>
      <c r="S2145" s="139"/>
      <c r="T2145" s="141"/>
    </row>
    <row r="2146">
      <c r="A2146" s="138"/>
      <c r="B2146" s="138"/>
      <c r="C2146" s="138"/>
      <c r="D2146" s="139"/>
      <c r="E2146" s="138"/>
      <c r="F2146" s="138"/>
      <c r="G2146" s="138"/>
      <c r="H2146" s="138"/>
      <c r="I2146" s="138"/>
      <c r="J2146" s="138"/>
      <c r="K2146" s="138"/>
      <c r="L2146" s="138">
        <v>0.0</v>
      </c>
      <c r="M2146" s="140" t="str">
        <f>VLOOKUP(text(D2146, "#"),'Master Table'!$A:$F, 6, FALSE)</f>
        <v>#N/A</v>
      </c>
      <c r="N2146" s="141"/>
      <c r="O2146" s="142" t="str">
        <f t="shared" si="1"/>
        <v/>
      </c>
      <c r="P2146" s="143" t="str">
        <f>IF(ISNA(VLOOKUP(CONCAT(M2146,C2146), 'Judge Count DO NOT EDIT'!H:H, 1, FALSE)), "ERROR","")</f>
        <v>ERROR</v>
      </c>
      <c r="Q2146" s="141"/>
      <c r="R2146" s="143"/>
      <c r="S2146" s="139"/>
      <c r="T2146" s="141"/>
    </row>
    <row r="2147">
      <c r="A2147" s="138"/>
      <c r="B2147" s="138"/>
      <c r="C2147" s="138"/>
      <c r="D2147" s="139"/>
      <c r="E2147" s="138"/>
      <c r="F2147" s="138"/>
      <c r="G2147" s="138"/>
      <c r="H2147" s="138"/>
      <c r="I2147" s="138"/>
      <c r="J2147" s="138"/>
      <c r="K2147" s="138"/>
      <c r="L2147" s="138">
        <v>0.0</v>
      </c>
      <c r="M2147" s="140" t="str">
        <f>VLOOKUP(text(D2147, "#"),'Master Table'!$A:$F, 6, FALSE)</f>
        <v>#N/A</v>
      </c>
      <c r="N2147" s="141"/>
      <c r="O2147" s="142" t="str">
        <f t="shared" si="1"/>
        <v/>
      </c>
      <c r="P2147" s="143" t="str">
        <f>IF(ISNA(VLOOKUP(CONCAT(M2147,C2147), 'Judge Count DO NOT EDIT'!H:H, 1, FALSE)), "ERROR","")</f>
        <v>ERROR</v>
      </c>
      <c r="Q2147" s="141"/>
      <c r="R2147" s="143"/>
      <c r="S2147" s="139"/>
      <c r="T2147" s="141"/>
    </row>
    <row r="2148">
      <c r="A2148" s="138"/>
      <c r="B2148" s="138"/>
      <c r="C2148" s="138"/>
      <c r="D2148" s="139"/>
      <c r="E2148" s="138"/>
      <c r="F2148" s="138"/>
      <c r="G2148" s="138"/>
      <c r="H2148" s="138"/>
      <c r="I2148" s="138"/>
      <c r="J2148" s="138"/>
      <c r="K2148" s="138"/>
      <c r="L2148" s="138">
        <v>0.0</v>
      </c>
      <c r="M2148" s="140" t="str">
        <f>VLOOKUP(text(D2148, "#"),'Master Table'!$A:$F, 6, FALSE)</f>
        <v>#N/A</v>
      </c>
      <c r="N2148" s="141"/>
      <c r="O2148" s="142" t="str">
        <f t="shared" si="1"/>
        <v/>
      </c>
      <c r="P2148" s="143" t="str">
        <f>IF(ISNA(VLOOKUP(CONCAT(M2148,C2148), 'Judge Count DO NOT EDIT'!H:H, 1, FALSE)), "ERROR","")</f>
        <v>ERROR</v>
      </c>
      <c r="Q2148" s="141"/>
      <c r="R2148" s="143"/>
      <c r="S2148" s="139"/>
      <c r="T2148" s="141"/>
    </row>
    <row r="2149">
      <c r="A2149" s="138"/>
      <c r="B2149" s="138"/>
      <c r="C2149" s="138"/>
      <c r="D2149" s="139"/>
      <c r="E2149" s="138"/>
      <c r="F2149" s="138"/>
      <c r="G2149" s="138"/>
      <c r="H2149" s="138"/>
      <c r="I2149" s="138"/>
      <c r="J2149" s="138"/>
      <c r="K2149" s="138"/>
      <c r="L2149" s="138">
        <v>0.0</v>
      </c>
      <c r="M2149" s="140" t="str">
        <f>VLOOKUP(text(D2149, "#"),'Master Table'!$A:$F, 6, FALSE)</f>
        <v>#N/A</v>
      </c>
      <c r="N2149" s="141"/>
      <c r="O2149" s="142" t="str">
        <f t="shared" si="1"/>
        <v/>
      </c>
      <c r="P2149" s="143" t="str">
        <f>IF(ISNA(VLOOKUP(CONCAT(M2149,C2149), 'Judge Count DO NOT EDIT'!H:H, 1, FALSE)), "ERROR","")</f>
        <v>ERROR</v>
      </c>
      <c r="Q2149" s="141"/>
      <c r="R2149" s="143"/>
      <c r="S2149" s="139"/>
      <c r="T2149" s="141"/>
    </row>
    <row r="2150">
      <c r="A2150" s="138"/>
      <c r="B2150" s="138"/>
      <c r="C2150" s="138"/>
      <c r="D2150" s="139"/>
      <c r="E2150" s="138"/>
      <c r="F2150" s="138"/>
      <c r="G2150" s="138"/>
      <c r="H2150" s="138"/>
      <c r="I2150" s="138"/>
      <c r="J2150" s="138"/>
      <c r="K2150" s="138"/>
      <c r="L2150" s="138">
        <v>0.0</v>
      </c>
      <c r="M2150" s="140" t="str">
        <f>VLOOKUP(text(D2150, "#"),'Master Table'!$A:$F, 6, FALSE)</f>
        <v>#N/A</v>
      </c>
      <c r="N2150" s="141"/>
      <c r="O2150" s="142" t="str">
        <f t="shared" si="1"/>
        <v/>
      </c>
      <c r="P2150" s="143" t="str">
        <f>IF(ISNA(VLOOKUP(CONCAT(M2150,C2150), 'Judge Count DO NOT EDIT'!H:H, 1, FALSE)), "ERROR","")</f>
        <v>ERROR</v>
      </c>
      <c r="Q2150" s="141"/>
      <c r="R2150" s="143"/>
      <c r="S2150" s="139"/>
      <c r="T2150" s="141"/>
    </row>
    <row r="2151">
      <c r="A2151" s="138"/>
      <c r="B2151" s="138"/>
      <c r="C2151" s="138"/>
      <c r="D2151" s="139"/>
      <c r="E2151" s="138"/>
      <c r="F2151" s="138"/>
      <c r="G2151" s="138"/>
      <c r="H2151" s="138"/>
      <c r="I2151" s="138"/>
      <c r="J2151" s="138"/>
      <c r="K2151" s="138"/>
      <c r="L2151" s="138">
        <v>0.0</v>
      </c>
      <c r="M2151" s="140" t="str">
        <f>VLOOKUP(text(D2151, "#"),'Master Table'!$A:$F, 6, FALSE)</f>
        <v>#N/A</v>
      </c>
      <c r="N2151" s="141"/>
      <c r="O2151" s="142" t="str">
        <f t="shared" si="1"/>
        <v/>
      </c>
      <c r="P2151" s="143" t="str">
        <f>IF(ISNA(VLOOKUP(CONCAT(M2151,C2151), 'Judge Count DO NOT EDIT'!H:H, 1, FALSE)), "ERROR","")</f>
        <v>ERROR</v>
      </c>
      <c r="Q2151" s="141"/>
      <c r="R2151" s="143"/>
      <c r="S2151" s="139"/>
      <c r="T2151" s="141"/>
    </row>
    <row r="2152">
      <c r="A2152" s="138"/>
      <c r="B2152" s="138"/>
      <c r="C2152" s="138"/>
      <c r="D2152" s="139"/>
      <c r="E2152" s="138"/>
      <c r="F2152" s="138"/>
      <c r="G2152" s="138"/>
      <c r="H2152" s="138"/>
      <c r="I2152" s="138"/>
      <c r="J2152" s="138"/>
      <c r="K2152" s="138"/>
      <c r="L2152" s="138">
        <v>0.0</v>
      </c>
      <c r="M2152" s="140" t="str">
        <f>VLOOKUP(text(D2152, "#"),'Master Table'!$A:$F, 6, FALSE)</f>
        <v>#N/A</v>
      </c>
      <c r="N2152" s="141"/>
      <c r="O2152" s="142" t="str">
        <f t="shared" si="1"/>
        <v/>
      </c>
      <c r="P2152" s="143" t="str">
        <f>IF(ISNA(VLOOKUP(CONCAT(M2152,C2152), 'Judge Count DO NOT EDIT'!H:H, 1, FALSE)), "ERROR","")</f>
        <v>ERROR</v>
      </c>
      <c r="Q2152" s="141"/>
      <c r="R2152" s="143"/>
      <c r="S2152" s="139"/>
      <c r="T2152" s="141"/>
    </row>
    <row r="2153">
      <c r="A2153" s="138"/>
      <c r="B2153" s="138"/>
      <c r="C2153" s="138"/>
      <c r="D2153" s="139"/>
      <c r="E2153" s="138"/>
      <c r="F2153" s="138"/>
      <c r="G2153" s="138"/>
      <c r="H2153" s="138"/>
      <c r="I2153" s="138"/>
      <c r="J2153" s="138"/>
      <c r="K2153" s="138"/>
      <c r="L2153" s="138">
        <v>0.0</v>
      </c>
      <c r="M2153" s="140" t="str">
        <f>VLOOKUP(text(D2153, "#"),'Master Table'!$A:$F, 6, FALSE)</f>
        <v>#N/A</v>
      </c>
      <c r="N2153" s="141"/>
      <c r="O2153" s="142" t="str">
        <f t="shared" si="1"/>
        <v/>
      </c>
      <c r="P2153" s="143" t="str">
        <f>IF(ISNA(VLOOKUP(CONCAT(M2153,C2153), 'Judge Count DO NOT EDIT'!H:H, 1, FALSE)), "ERROR","")</f>
        <v>ERROR</v>
      </c>
      <c r="Q2153" s="141"/>
      <c r="R2153" s="143"/>
      <c r="S2153" s="139"/>
      <c r="T2153" s="141"/>
    </row>
    <row r="2154">
      <c r="A2154" s="138"/>
      <c r="B2154" s="138"/>
      <c r="C2154" s="138"/>
      <c r="D2154" s="139"/>
      <c r="E2154" s="138"/>
      <c r="F2154" s="138"/>
      <c r="G2154" s="138"/>
      <c r="H2154" s="138"/>
      <c r="I2154" s="138"/>
      <c r="J2154" s="138"/>
      <c r="K2154" s="138"/>
      <c r="L2154" s="138">
        <v>0.0</v>
      </c>
      <c r="M2154" s="140" t="str">
        <f>VLOOKUP(text(D2154, "#"),'Master Table'!$A:$F, 6, FALSE)</f>
        <v>#N/A</v>
      </c>
      <c r="N2154" s="141"/>
      <c r="O2154" s="142" t="str">
        <f t="shared" si="1"/>
        <v/>
      </c>
      <c r="P2154" s="143" t="str">
        <f>IF(ISNA(VLOOKUP(CONCAT(M2154,C2154), 'Judge Count DO NOT EDIT'!H:H, 1, FALSE)), "ERROR","")</f>
        <v>ERROR</v>
      </c>
      <c r="Q2154" s="141"/>
      <c r="R2154" s="143"/>
      <c r="S2154" s="139"/>
      <c r="T2154" s="141"/>
    </row>
    <row r="2155">
      <c r="A2155" s="138"/>
      <c r="B2155" s="138"/>
      <c r="C2155" s="138"/>
      <c r="D2155" s="139"/>
      <c r="E2155" s="138"/>
      <c r="F2155" s="138"/>
      <c r="G2155" s="138"/>
      <c r="H2155" s="138"/>
      <c r="I2155" s="138"/>
      <c r="J2155" s="138"/>
      <c r="K2155" s="138"/>
      <c r="L2155" s="138">
        <v>0.0</v>
      </c>
      <c r="M2155" s="140" t="str">
        <f>VLOOKUP(text(D2155, "#"),'Master Table'!$A:$F, 6, FALSE)</f>
        <v>#N/A</v>
      </c>
      <c r="N2155" s="141"/>
      <c r="O2155" s="142" t="str">
        <f t="shared" si="1"/>
        <v/>
      </c>
      <c r="P2155" s="143" t="str">
        <f>IF(ISNA(VLOOKUP(CONCAT(M2155,C2155), 'Judge Count DO NOT EDIT'!H:H, 1, FALSE)), "ERROR","")</f>
        <v>ERROR</v>
      </c>
      <c r="Q2155" s="141"/>
      <c r="R2155" s="143"/>
      <c r="S2155" s="139"/>
      <c r="T2155" s="141"/>
    </row>
    <row r="2156">
      <c r="A2156" s="138"/>
      <c r="B2156" s="138"/>
      <c r="C2156" s="138"/>
      <c r="D2156" s="139"/>
      <c r="E2156" s="138"/>
      <c r="F2156" s="138"/>
      <c r="G2156" s="138"/>
      <c r="H2156" s="138"/>
      <c r="I2156" s="138"/>
      <c r="J2156" s="138"/>
      <c r="K2156" s="138"/>
      <c r="L2156" s="138">
        <v>0.0</v>
      </c>
      <c r="M2156" s="140" t="str">
        <f>VLOOKUP(text(D2156, "#"),'Master Table'!$A:$F, 6, FALSE)</f>
        <v>#N/A</v>
      </c>
      <c r="N2156" s="141"/>
      <c r="O2156" s="142" t="str">
        <f t="shared" si="1"/>
        <v/>
      </c>
      <c r="P2156" s="143" t="str">
        <f>IF(ISNA(VLOOKUP(CONCAT(M2156,C2156), 'Judge Count DO NOT EDIT'!H:H, 1, FALSE)), "ERROR","")</f>
        <v>ERROR</v>
      </c>
      <c r="Q2156" s="141"/>
      <c r="R2156" s="143"/>
      <c r="S2156" s="139"/>
      <c r="T2156" s="141"/>
    </row>
    <row r="2157">
      <c r="A2157" s="138"/>
      <c r="B2157" s="138"/>
      <c r="C2157" s="138"/>
      <c r="D2157" s="139"/>
      <c r="E2157" s="138"/>
      <c r="F2157" s="138"/>
      <c r="G2157" s="138"/>
      <c r="H2157" s="138"/>
      <c r="I2157" s="138"/>
      <c r="J2157" s="138"/>
      <c r="K2157" s="138"/>
      <c r="L2157" s="138">
        <v>0.0</v>
      </c>
      <c r="M2157" s="140" t="str">
        <f>VLOOKUP(text(D2157, "#"),'Master Table'!$A:$F, 6, FALSE)</f>
        <v>#N/A</v>
      </c>
      <c r="N2157" s="141"/>
      <c r="O2157" s="142" t="str">
        <f t="shared" si="1"/>
        <v/>
      </c>
      <c r="P2157" s="143" t="str">
        <f>IF(ISNA(VLOOKUP(CONCAT(M2157,C2157), 'Judge Count DO NOT EDIT'!H:H, 1, FALSE)), "ERROR","")</f>
        <v>ERROR</v>
      </c>
      <c r="Q2157" s="141"/>
      <c r="R2157" s="143"/>
      <c r="S2157" s="139"/>
      <c r="T2157" s="141"/>
    </row>
    <row r="2158">
      <c r="A2158" s="138"/>
      <c r="B2158" s="138"/>
      <c r="C2158" s="138"/>
      <c r="D2158" s="139"/>
      <c r="E2158" s="138"/>
      <c r="F2158" s="138"/>
      <c r="G2158" s="138"/>
      <c r="H2158" s="138"/>
      <c r="I2158" s="138"/>
      <c r="J2158" s="138"/>
      <c r="K2158" s="138"/>
      <c r="L2158" s="138">
        <v>0.0</v>
      </c>
      <c r="M2158" s="140" t="str">
        <f>VLOOKUP(text(D2158, "#"),'Master Table'!$A:$F, 6, FALSE)</f>
        <v>#N/A</v>
      </c>
      <c r="N2158" s="141"/>
      <c r="O2158" s="142" t="str">
        <f t="shared" si="1"/>
        <v/>
      </c>
      <c r="P2158" s="143" t="str">
        <f>IF(ISNA(VLOOKUP(CONCAT(M2158,C2158), 'Judge Count DO NOT EDIT'!H:H, 1, FALSE)), "ERROR","")</f>
        <v>ERROR</v>
      </c>
      <c r="Q2158" s="141"/>
      <c r="R2158" s="143"/>
      <c r="S2158" s="139"/>
      <c r="T2158" s="141"/>
    </row>
    <row r="2159">
      <c r="A2159" s="138"/>
      <c r="B2159" s="138"/>
      <c r="C2159" s="138"/>
      <c r="D2159" s="139"/>
      <c r="E2159" s="138"/>
      <c r="F2159" s="138"/>
      <c r="G2159" s="138"/>
      <c r="H2159" s="138"/>
      <c r="I2159" s="138"/>
      <c r="J2159" s="138"/>
      <c r="K2159" s="138"/>
      <c r="L2159" s="138">
        <v>0.0</v>
      </c>
      <c r="M2159" s="140" t="str">
        <f>VLOOKUP(text(D2159, "#"),'Master Table'!$A:$F, 6, FALSE)</f>
        <v>#N/A</v>
      </c>
      <c r="N2159" s="141"/>
      <c r="O2159" s="142" t="str">
        <f t="shared" si="1"/>
        <v/>
      </c>
      <c r="P2159" s="143" t="str">
        <f>IF(ISNA(VLOOKUP(CONCAT(M2159,C2159), 'Judge Count DO NOT EDIT'!H:H, 1, FALSE)), "ERROR","")</f>
        <v>ERROR</v>
      </c>
      <c r="Q2159" s="141"/>
      <c r="R2159" s="143"/>
      <c r="S2159" s="139"/>
      <c r="T2159" s="141"/>
    </row>
    <row r="2160">
      <c r="A2160" s="138"/>
      <c r="B2160" s="138"/>
      <c r="C2160" s="138"/>
      <c r="D2160" s="139"/>
      <c r="E2160" s="138"/>
      <c r="F2160" s="138"/>
      <c r="G2160" s="138"/>
      <c r="H2160" s="138"/>
      <c r="I2160" s="138"/>
      <c r="J2160" s="138"/>
      <c r="K2160" s="138"/>
      <c r="L2160" s="138">
        <v>0.0</v>
      </c>
      <c r="M2160" s="140" t="str">
        <f>VLOOKUP(text(D2160, "#"),'Master Table'!$A:$F, 6, FALSE)</f>
        <v>#N/A</v>
      </c>
      <c r="N2160" s="141"/>
      <c r="O2160" s="142" t="str">
        <f t="shared" si="1"/>
        <v/>
      </c>
      <c r="P2160" s="143" t="str">
        <f>IF(ISNA(VLOOKUP(CONCAT(M2160,C2160), 'Judge Count DO NOT EDIT'!H:H, 1, FALSE)), "ERROR","")</f>
        <v>ERROR</v>
      </c>
      <c r="Q2160" s="141"/>
      <c r="R2160" s="143"/>
      <c r="S2160" s="139"/>
      <c r="T2160" s="141"/>
    </row>
    <row r="2161">
      <c r="A2161" s="138"/>
      <c r="B2161" s="138"/>
      <c r="C2161" s="138"/>
      <c r="D2161" s="139"/>
      <c r="E2161" s="138"/>
      <c r="F2161" s="138"/>
      <c r="G2161" s="138"/>
      <c r="H2161" s="138"/>
      <c r="I2161" s="138"/>
      <c r="J2161" s="138"/>
      <c r="K2161" s="138"/>
      <c r="L2161" s="138">
        <v>0.0</v>
      </c>
      <c r="M2161" s="140" t="str">
        <f>VLOOKUP(text(D2161, "#"),'Master Table'!$A:$F, 6, FALSE)</f>
        <v>#N/A</v>
      </c>
      <c r="N2161" s="141"/>
      <c r="O2161" s="142" t="str">
        <f t="shared" si="1"/>
        <v/>
      </c>
      <c r="P2161" s="143" t="str">
        <f>IF(ISNA(VLOOKUP(CONCAT(M2161,C2161), 'Judge Count DO NOT EDIT'!H:H, 1, FALSE)), "ERROR","")</f>
        <v>ERROR</v>
      </c>
      <c r="Q2161" s="141"/>
      <c r="R2161" s="143"/>
      <c r="S2161" s="139"/>
      <c r="T2161" s="141"/>
    </row>
    <row r="2162">
      <c r="A2162" s="138"/>
      <c r="B2162" s="138"/>
      <c r="C2162" s="138"/>
      <c r="D2162" s="139"/>
      <c r="E2162" s="138"/>
      <c r="F2162" s="138"/>
      <c r="G2162" s="138"/>
      <c r="H2162" s="138"/>
      <c r="I2162" s="138"/>
      <c r="J2162" s="138"/>
      <c r="K2162" s="138"/>
      <c r="L2162" s="138">
        <v>0.0</v>
      </c>
      <c r="M2162" s="140" t="str">
        <f>VLOOKUP(text(D2162, "#"),'Master Table'!$A:$F, 6, FALSE)</f>
        <v>#N/A</v>
      </c>
      <c r="N2162" s="141"/>
      <c r="O2162" s="142" t="str">
        <f t="shared" si="1"/>
        <v/>
      </c>
      <c r="P2162" s="143" t="str">
        <f>IF(ISNA(VLOOKUP(CONCAT(M2162,C2162), 'Judge Count DO NOT EDIT'!H:H, 1, FALSE)), "ERROR","")</f>
        <v>ERROR</v>
      </c>
      <c r="Q2162" s="141"/>
      <c r="R2162" s="143"/>
      <c r="S2162" s="139"/>
      <c r="T2162" s="141"/>
    </row>
    <row r="2163">
      <c r="A2163" s="138"/>
      <c r="B2163" s="138"/>
      <c r="C2163" s="138"/>
      <c r="D2163" s="139"/>
      <c r="E2163" s="138"/>
      <c r="F2163" s="138"/>
      <c r="G2163" s="138"/>
      <c r="H2163" s="138"/>
      <c r="I2163" s="138"/>
      <c r="J2163" s="138"/>
      <c r="K2163" s="138"/>
      <c r="L2163" s="138">
        <v>0.0</v>
      </c>
      <c r="M2163" s="140" t="str">
        <f>VLOOKUP(text(D2163, "#"),'Master Table'!$A:$F, 6, FALSE)</f>
        <v>#N/A</v>
      </c>
      <c r="N2163" s="141"/>
      <c r="O2163" s="142" t="str">
        <f t="shared" si="1"/>
        <v/>
      </c>
      <c r="P2163" s="143" t="str">
        <f>IF(ISNA(VLOOKUP(CONCAT(M2163,C2163), 'Judge Count DO NOT EDIT'!H:H, 1, FALSE)), "ERROR","")</f>
        <v>ERROR</v>
      </c>
      <c r="Q2163" s="141"/>
      <c r="R2163" s="143"/>
      <c r="S2163" s="139"/>
      <c r="T2163" s="141"/>
    </row>
    <row r="2164">
      <c r="A2164" s="138"/>
      <c r="B2164" s="138"/>
      <c r="C2164" s="138"/>
      <c r="D2164" s="139"/>
      <c r="E2164" s="138"/>
      <c r="F2164" s="138"/>
      <c r="G2164" s="138"/>
      <c r="H2164" s="138"/>
      <c r="I2164" s="138"/>
      <c r="J2164" s="138"/>
      <c r="K2164" s="138"/>
      <c r="L2164" s="138">
        <v>0.0</v>
      </c>
      <c r="M2164" s="140" t="str">
        <f>VLOOKUP(text(D2164, "#"),'Master Table'!$A:$F, 6, FALSE)</f>
        <v>#N/A</v>
      </c>
      <c r="N2164" s="141"/>
      <c r="O2164" s="142" t="str">
        <f t="shared" si="1"/>
        <v/>
      </c>
      <c r="P2164" s="143" t="str">
        <f>IF(ISNA(VLOOKUP(CONCAT(M2164,C2164), 'Judge Count DO NOT EDIT'!H:H, 1, FALSE)), "ERROR","")</f>
        <v>ERROR</v>
      </c>
      <c r="Q2164" s="141"/>
      <c r="R2164" s="143"/>
      <c r="S2164" s="139"/>
      <c r="T2164" s="141"/>
    </row>
    <row r="2165">
      <c r="A2165" s="138"/>
      <c r="B2165" s="138"/>
      <c r="C2165" s="138"/>
      <c r="D2165" s="139"/>
      <c r="E2165" s="138"/>
      <c r="F2165" s="138"/>
      <c r="G2165" s="138"/>
      <c r="H2165" s="138"/>
      <c r="I2165" s="138"/>
      <c r="J2165" s="138"/>
      <c r="K2165" s="138"/>
      <c r="L2165" s="138">
        <v>0.0</v>
      </c>
      <c r="M2165" s="140" t="str">
        <f>VLOOKUP(text(D2165, "#"),'Master Table'!$A:$F, 6, FALSE)</f>
        <v>#N/A</v>
      </c>
      <c r="N2165" s="141"/>
      <c r="O2165" s="142" t="str">
        <f t="shared" si="1"/>
        <v/>
      </c>
      <c r="P2165" s="143" t="str">
        <f>IF(ISNA(VLOOKUP(CONCAT(M2165,C2165), 'Judge Count DO NOT EDIT'!H:H, 1, FALSE)), "ERROR","")</f>
        <v>ERROR</v>
      </c>
      <c r="Q2165" s="141"/>
      <c r="R2165" s="143"/>
      <c r="S2165" s="139"/>
      <c r="T2165" s="141"/>
    </row>
    <row r="2166">
      <c r="A2166" s="138"/>
      <c r="B2166" s="138"/>
      <c r="C2166" s="138"/>
      <c r="D2166" s="139"/>
      <c r="E2166" s="138"/>
      <c r="F2166" s="138"/>
      <c r="G2166" s="138"/>
      <c r="H2166" s="138"/>
      <c r="I2166" s="138"/>
      <c r="J2166" s="138"/>
      <c r="K2166" s="138"/>
      <c r="L2166" s="138">
        <v>0.0</v>
      </c>
      <c r="M2166" s="140" t="str">
        <f>VLOOKUP(text(D2166, "#"),'Master Table'!$A:$F, 6, FALSE)</f>
        <v>#N/A</v>
      </c>
      <c r="N2166" s="141"/>
      <c r="O2166" s="142" t="str">
        <f t="shared" si="1"/>
        <v/>
      </c>
      <c r="P2166" s="143" t="str">
        <f>IF(ISNA(VLOOKUP(CONCAT(M2166,C2166), 'Judge Count DO NOT EDIT'!H:H, 1, FALSE)), "ERROR","")</f>
        <v>ERROR</v>
      </c>
      <c r="Q2166" s="141"/>
      <c r="R2166" s="143"/>
      <c r="S2166" s="139"/>
      <c r="T2166" s="141"/>
    </row>
    <row r="2167">
      <c r="A2167" s="138"/>
      <c r="B2167" s="138"/>
      <c r="C2167" s="138"/>
      <c r="D2167" s="139"/>
      <c r="E2167" s="138"/>
      <c r="F2167" s="138"/>
      <c r="G2167" s="138"/>
      <c r="H2167" s="138"/>
      <c r="I2167" s="138"/>
      <c r="J2167" s="138"/>
      <c r="K2167" s="138"/>
      <c r="L2167" s="138">
        <v>0.0</v>
      </c>
      <c r="M2167" s="140" t="str">
        <f>VLOOKUP(text(D2167, "#"),'Master Table'!$A:$F, 6, FALSE)</f>
        <v>#N/A</v>
      </c>
      <c r="N2167" s="141"/>
      <c r="O2167" s="142" t="str">
        <f t="shared" si="1"/>
        <v/>
      </c>
      <c r="P2167" s="143" t="str">
        <f>IF(ISNA(VLOOKUP(CONCAT(M2167,C2167), 'Judge Count DO NOT EDIT'!H:H, 1, FALSE)), "ERROR","")</f>
        <v>ERROR</v>
      </c>
      <c r="Q2167" s="141"/>
      <c r="R2167" s="143"/>
      <c r="S2167" s="139"/>
      <c r="T2167" s="141"/>
    </row>
    <row r="2168">
      <c r="A2168" s="138"/>
      <c r="B2168" s="138"/>
      <c r="C2168" s="138"/>
      <c r="D2168" s="139"/>
      <c r="E2168" s="138"/>
      <c r="F2168" s="138"/>
      <c r="G2168" s="138"/>
      <c r="H2168" s="138"/>
      <c r="I2168" s="138"/>
      <c r="J2168" s="138"/>
      <c r="K2168" s="138"/>
      <c r="L2168" s="138">
        <v>0.0</v>
      </c>
      <c r="M2168" s="140" t="str">
        <f>VLOOKUP(text(D2168, "#"),'Master Table'!$A:$F, 6, FALSE)</f>
        <v>#N/A</v>
      </c>
      <c r="N2168" s="141"/>
      <c r="O2168" s="142" t="str">
        <f t="shared" si="1"/>
        <v/>
      </c>
      <c r="P2168" s="143" t="str">
        <f>IF(ISNA(VLOOKUP(CONCAT(M2168,C2168), 'Judge Count DO NOT EDIT'!H:H, 1, FALSE)), "ERROR","")</f>
        <v>ERROR</v>
      </c>
      <c r="Q2168" s="141"/>
      <c r="R2168" s="143"/>
      <c r="S2168" s="139"/>
      <c r="T2168" s="141"/>
    </row>
    <row r="2169">
      <c r="A2169" s="138"/>
      <c r="B2169" s="138"/>
      <c r="C2169" s="138"/>
      <c r="D2169" s="139"/>
      <c r="E2169" s="138"/>
      <c r="F2169" s="138"/>
      <c r="G2169" s="138"/>
      <c r="H2169" s="138"/>
      <c r="I2169" s="138"/>
      <c r="J2169" s="138"/>
      <c r="K2169" s="138"/>
      <c r="L2169" s="138">
        <v>0.0</v>
      </c>
      <c r="M2169" s="140" t="str">
        <f>VLOOKUP(text(D2169, "#"),'Master Table'!$A:$F, 6, FALSE)</f>
        <v>#N/A</v>
      </c>
      <c r="N2169" s="141"/>
      <c r="O2169" s="142" t="str">
        <f t="shared" si="1"/>
        <v/>
      </c>
      <c r="P2169" s="143" t="str">
        <f>IF(ISNA(VLOOKUP(CONCAT(M2169,C2169), 'Judge Count DO NOT EDIT'!H:H, 1, FALSE)), "ERROR","")</f>
        <v>ERROR</v>
      </c>
      <c r="Q2169" s="141"/>
      <c r="R2169" s="143"/>
      <c r="S2169" s="139"/>
      <c r="T2169" s="141"/>
    </row>
    <row r="2170">
      <c r="A2170" s="138"/>
      <c r="B2170" s="138"/>
      <c r="C2170" s="138"/>
      <c r="D2170" s="139"/>
      <c r="E2170" s="138"/>
      <c r="F2170" s="138"/>
      <c r="G2170" s="138"/>
      <c r="H2170" s="138"/>
      <c r="I2170" s="138"/>
      <c r="J2170" s="138"/>
      <c r="K2170" s="138"/>
      <c r="L2170" s="138">
        <v>0.0</v>
      </c>
      <c r="M2170" s="140" t="str">
        <f>VLOOKUP(text(D2170, "#"),'Master Table'!$A:$F, 6, FALSE)</f>
        <v>#N/A</v>
      </c>
      <c r="N2170" s="141"/>
      <c r="O2170" s="142" t="str">
        <f t="shared" si="1"/>
        <v/>
      </c>
      <c r="P2170" s="143" t="str">
        <f>IF(ISNA(VLOOKUP(CONCAT(M2170,C2170), 'Judge Count DO NOT EDIT'!H:H, 1, FALSE)), "ERROR","")</f>
        <v>ERROR</v>
      </c>
      <c r="Q2170" s="141"/>
      <c r="R2170" s="143"/>
      <c r="S2170" s="139"/>
      <c r="T2170" s="141"/>
    </row>
    <row r="2171">
      <c r="A2171" s="138"/>
      <c r="B2171" s="138"/>
      <c r="C2171" s="138"/>
      <c r="D2171" s="139"/>
      <c r="E2171" s="138"/>
      <c r="F2171" s="138"/>
      <c r="G2171" s="138"/>
      <c r="H2171" s="138"/>
      <c r="I2171" s="138"/>
      <c r="J2171" s="138"/>
      <c r="K2171" s="138"/>
      <c r="L2171" s="138">
        <v>0.0</v>
      </c>
      <c r="M2171" s="140" t="str">
        <f>VLOOKUP(text(D2171, "#"),'Master Table'!$A:$F, 6, FALSE)</f>
        <v>#N/A</v>
      </c>
      <c r="N2171" s="141"/>
      <c r="O2171" s="142" t="str">
        <f t="shared" si="1"/>
        <v/>
      </c>
      <c r="P2171" s="143" t="str">
        <f>IF(ISNA(VLOOKUP(CONCAT(M2171,C2171), 'Judge Count DO NOT EDIT'!H:H, 1, FALSE)), "ERROR","")</f>
        <v>ERROR</v>
      </c>
      <c r="Q2171" s="141"/>
      <c r="R2171" s="143"/>
      <c r="S2171" s="139"/>
      <c r="T2171" s="141"/>
    </row>
    <row r="2172">
      <c r="A2172" s="138"/>
      <c r="B2172" s="138"/>
      <c r="C2172" s="138"/>
      <c r="D2172" s="139"/>
      <c r="E2172" s="138"/>
      <c r="F2172" s="138"/>
      <c r="G2172" s="138"/>
      <c r="H2172" s="138"/>
      <c r="I2172" s="138"/>
      <c r="J2172" s="138"/>
      <c r="K2172" s="138"/>
      <c r="L2172" s="138">
        <v>0.0</v>
      </c>
      <c r="M2172" s="140" t="str">
        <f>VLOOKUP(text(D2172, "#"),'Master Table'!$A:$F, 6, FALSE)</f>
        <v>#N/A</v>
      </c>
      <c r="N2172" s="141"/>
      <c r="O2172" s="142" t="str">
        <f t="shared" si="1"/>
        <v/>
      </c>
      <c r="P2172" s="143" t="str">
        <f>IF(ISNA(VLOOKUP(CONCAT(M2172,C2172), 'Judge Count DO NOT EDIT'!H:H, 1, FALSE)), "ERROR","")</f>
        <v>ERROR</v>
      </c>
      <c r="Q2172" s="141"/>
      <c r="R2172" s="143"/>
      <c r="S2172" s="139"/>
      <c r="T2172" s="141"/>
    </row>
    <row r="2173">
      <c r="A2173" s="138"/>
      <c r="B2173" s="138"/>
      <c r="C2173" s="138"/>
      <c r="D2173" s="139"/>
      <c r="E2173" s="138"/>
      <c r="F2173" s="138"/>
      <c r="G2173" s="138"/>
      <c r="H2173" s="138"/>
      <c r="I2173" s="138"/>
      <c r="J2173" s="138"/>
      <c r="K2173" s="138"/>
      <c r="L2173" s="138">
        <v>0.0</v>
      </c>
      <c r="M2173" s="140" t="str">
        <f>VLOOKUP(text(D2173, "#"),'Master Table'!$A:$F, 6, FALSE)</f>
        <v>#N/A</v>
      </c>
      <c r="N2173" s="141"/>
      <c r="O2173" s="142" t="str">
        <f t="shared" si="1"/>
        <v/>
      </c>
      <c r="P2173" s="143" t="str">
        <f>IF(ISNA(VLOOKUP(CONCAT(M2173,C2173), 'Judge Count DO NOT EDIT'!H:H, 1, FALSE)), "ERROR","")</f>
        <v>ERROR</v>
      </c>
      <c r="Q2173" s="141"/>
      <c r="R2173" s="143"/>
      <c r="S2173" s="139"/>
      <c r="T2173" s="141"/>
    </row>
    <row r="2174">
      <c r="A2174" s="138"/>
      <c r="B2174" s="138"/>
      <c r="C2174" s="138"/>
      <c r="D2174" s="139"/>
      <c r="E2174" s="138"/>
      <c r="F2174" s="138"/>
      <c r="G2174" s="138"/>
      <c r="H2174" s="138"/>
      <c r="I2174" s="138"/>
      <c r="J2174" s="138"/>
      <c r="K2174" s="138"/>
      <c r="L2174" s="138">
        <v>0.0</v>
      </c>
      <c r="M2174" s="140" t="str">
        <f>VLOOKUP(text(D2174, "#"),'Master Table'!$A:$F, 6, FALSE)</f>
        <v>#N/A</v>
      </c>
      <c r="N2174" s="141"/>
      <c r="O2174" s="142" t="str">
        <f t="shared" si="1"/>
        <v/>
      </c>
      <c r="P2174" s="143" t="str">
        <f>IF(ISNA(VLOOKUP(CONCAT(M2174,C2174), 'Judge Count DO NOT EDIT'!H:H, 1, FALSE)), "ERROR","")</f>
        <v>ERROR</v>
      </c>
      <c r="Q2174" s="141"/>
      <c r="R2174" s="143"/>
      <c r="S2174" s="139"/>
      <c r="T2174" s="141"/>
    </row>
    <row r="2175">
      <c r="A2175" s="138"/>
      <c r="B2175" s="138"/>
      <c r="C2175" s="138"/>
      <c r="D2175" s="139"/>
      <c r="E2175" s="138"/>
      <c r="F2175" s="138"/>
      <c r="G2175" s="138"/>
      <c r="H2175" s="138"/>
      <c r="I2175" s="138"/>
      <c r="J2175" s="138"/>
      <c r="K2175" s="138"/>
      <c r="L2175" s="138">
        <v>0.0</v>
      </c>
      <c r="M2175" s="140" t="str">
        <f>VLOOKUP(text(D2175, "#"),'Master Table'!$A:$F, 6, FALSE)</f>
        <v>#N/A</v>
      </c>
      <c r="N2175" s="141"/>
      <c r="O2175" s="142" t="str">
        <f t="shared" si="1"/>
        <v/>
      </c>
      <c r="P2175" s="143" t="str">
        <f>IF(ISNA(VLOOKUP(CONCAT(M2175,C2175), 'Judge Count DO NOT EDIT'!H:H, 1, FALSE)), "ERROR","")</f>
        <v>ERROR</v>
      </c>
      <c r="Q2175" s="141"/>
      <c r="R2175" s="143"/>
      <c r="S2175" s="139"/>
      <c r="T2175" s="141"/>
    </row>
    <row r="2176">
      <c r="A2176" s="138"/>
      <c r="B2176" s="138"/>
      <c r="C2176" s="138"/>
      <c r="D2176" s="139"/>
      <c r="E2176" s="138"/>
      <c r="F2176" s="138"/>
      <c r="G2176" s="138"/>
      <c r="H2176" s="138"/>
      <c r="I2176" s="138"/>
      <c r="J2176" s="138"/>
      <c r="K2176" s="138"/>
      <c r="L2176" s="138">
        <v>0.0</v>
      </c>
      <c r="M2176" s="140" t="str">
        <f>VLOOKUP(text(D2176, "#"),'Master Table'!$A:$F, 6, FALSE)</f>
        <v>#N/A</v>
      </c>
      <c r="N2176" s="141"/>
      <c r="O2176" s="142" t="str">
        <f t="shared" si="1"/>
        <v/>
      </c>
      <c r="P2176" s="143" t="str">
        <f>IF(ISNA(VLOOKUP(CONCAT(M2176,C2176), 'Judge Count DO NOT EDIT'!H:H, 1, FALSE)), "ERROR","")</f>
        <v>ERROR</v>
      </c>
      <c r="Q2176" s="141"/>
      <c r="R2176" s="143"/>
      <c r="S2176" s="139"/>
      <c r="T2176" s="141"/>
    </row>
    <row r="2177">
      <c r="A2177" s="138"/>
      <c r="B2177" s="138"/>
      <c r="C2177" s="138"/>
      <c r="D2177" s="139"/>
      <c r="E2177" s="138"/>
      <c r="F2177" s="138"/>
      <c r="G2177" s="138"/>
      <c r="H2177" s="138"/>
      <c r="I2177" s="138"/>
      <c r="J2177" s="138"/>
      <c r="K2177" s="138"/>
      <c r="L2177" s="138">
        <v>0.0</v>
      </c>
      <c r="M2177" s="140" t="str">
        <f>VLOOKUP(text(D2177, "#"),'Master Table'!$A:$F, 6, FALSE)</f>
        <v>#N/A</v>
      </c>
      <c r="N2177" s="141"/>
      <c r="O2177" s="142" t="str">
        <f t="shared" si="1"/>
        <v/>
      </c>
      <c r="P2177" s="143" t="str">
        <f>IF(ISNA(VLOOKUP(CONCAT(M2177,C2177), 'Judge Count DO NOT EDIT'!H:H, 1, FALSE)), "ERROR","")</f>
        <v>ERROR</v>
      </c>
      <c r="Q2177" s="141"/>
      <c r="R2177" s="143"/>
      <c r="S2177" s="139"/>
      <c r="T2177" s="141"/>
    </row>
    <row r="2178">
      <c r="A2178" s="138"/>
      <c r="B2178" s="138"/>
      <c r="C2178" s="138"/>
      <c r="D2178" s="139"/>
      <c r="E2178" s="138"/>
      <c r="F2178" s="138"/>
      <c r="G2178" s="138"/>
      <c r="H2178" s="138"/>
      <c r="I2178" s="138"/>
      <c r="J2178" s="138"/>
      <c r="K2178" s="138"/>
      <c r="L2178" s="138">
        <v>0.0</v>
      </c>
      <c r="M2178" s="140" t="str">
        <f>VLOOKUP(text(D2178, "#"),'Master Table'!$A:$F, 6, FALSE)</f>
        <v>#N/A</v>
      </c>
      <c r="N2178" s="141"/>
      <c r="O2178" s="142" t="str">
        <f t="shared" si="1"/>
        <v/>
      </c>
      <c r="P2178" s="143" t="str">
        <f>IF(ISNA(VLOOKUP(CONCAT(M2178,C2178), 'Judge Count DO NOT EDIT'!H:H, 1, FALSE)), "ERROR","")</f>
        <v>ERROR</v>
      </c>
      <c r="Q2178" s="141"/>
      <c r="R2178" s="143"/>
      <c r="S2178" s="139"/>
      <c r="T2178" s="141"/>
    </row>
    <row r="2179">
      <c r="A2179" s="138"/>
      <c r="B2179" s="138"/>
      <c r="C2179" s="138"/>
      <c r="D2179" s="139"/>
      <c r="E2179" s="138"/>
      <c r="F2179" s="138"/>
      <c r="G2179" s="138"/>
      <c r="H2179" s="138"/>
      <c r="I2179" s="138"/>
      <c r="J2179" s="138"/>
      <c r="K2179" s="138"/>
      <c r="L2179" s="138">
        <v>0.0</v>
      </c>
      <c r="M2179" s="140" t="str">
        <f>VLOOKUP(text(D2179, "#"),'Master Table'!$A:$F, 6, FALSE)</f>
        <v>#N/A</v>
      </c>
      <c r="N2179" s="141"/>
      <c r="O2179" s="142" t="str">
        <f t="shared" si="1"/>
        <v/>
      </c>
      <c r="P2179" s="143" t="str">
        <f>IF(ISNA(VLOOKUP(CONCAT(M2179,C2179), 'Judge Count DO NOT EDIT'!H:H, 1, FALSE)), "ERROR","")</f>
        <v>ERROR</v>
      </c>
      <c r="Q2179" s="141"/>
      <c r="R2179" s="143"/>
      <c r="S2179" s="139"/>
      <c r="T2179" s="141"/>
    </row>
    <row r="2180">
      <c r="A2180" s="138"/>
      <c r="B2180" s="138"/>
      <c r="C2180" s="138"/>
      <c r="D2180" s="139"/>
      <c r="E2180" s="138"/>
      <c r="F2180" s="138"/>
      <c r="G2180" s="138"/>
      <c r="H2180" s="138"/>
      <c r="I2180" s="138"/>
      <c r="J2180" s="138"/>
      <c r="K2180" s="138"/>
      <c r="L2180" s="138">
        <v>0.0</v>
      </c>
      <c r="M2180" s="140" t="str">
        <f>VLOOKUP(text(D2180, "#"),'Master Table'!$A:$F, 6, FALSE)</f>
        <v>#N/A</v>
      </c>
      <c r="N2180" s="141"/>
      <c r="O2180" s="142" t="str">
        <f t="shared" si="1"/>
        <v/>
      </c>
      <c r="P2180" s="143" t="str">
        <f>IF(ISNA(VLOOKUP(CONCAT(M2180,C2180), 'Judge Count DO NOT EDIT'!H:H, 1, FALSE)), "ERROR","")</f>
        <v>ERROR</v>
      </c>
      <c r="Q2180" s="141"/>
      <c r="R2180" s="143"/>
      <c r="S2180" s="139"/>
      <c r="T2180" s="141"/>
    </row>
    <row r="2181">
      <c r="A2181" s="138"/>
      <c r="B2181" s="138"/>
      <c r="C2181" s="138"/>
      <c r="D2181" s="139"/>
      <c r="E2181" s="138"/>
      <c r="F2181" s="138"/>
      <c r="G2181" s="138"/>
      <c r="H2181" s="138"/>
      <c r="I2181" s="138"/>
      <c r="J2181" s="138"/>
      <c r="K2181" s="138"/>
      <c r="L2181" s="138">
        <v>0.0</v>
      </c>
      <c r="M2181" s="140" t="str">
        <f>VLOOKUP(text(D2181, "#"),'Master Table'!$A:$F, 6, FALSE)</f>
        <v>#N/A</v>
      </c>
      <c r="N2181" s="141"/>
      <c r="O2181" s="142" t="str">
        <f t="shared" si="1"/>
        <v/>
      </c>
      <c r="P2181" s="143" t="str">
        <f>IF(ISNA(VLOOKUP(CONCAT(M2181,C2181), 'Judge Count DO NOT EDIT'!H:H, 1, FALSE)), "ERROR","")</f>
        <v>ERROR</v>
      </c>
      <c r="Q2181" s="141"/>
      <c r="R2181" s="143"/>
      <c r="S2181" s="139"/>
      <c r="T2181" s="141"/>
    </row>
    <row r="2182">
      <c r="A2182" s="138"/>
      <c r="B2182" s="138"/>
      <c r="C2182" s="138"/>
      <c r="D2182" s="139"/>
      <c r="E2182" s="138"/>
      <c r="F2182" s="138"/>
      <c r="G2182" s="138"/>
      <c r="H2182" s="138"/>
      <c r="I2182" s="138"/>
      <c r="J2182" s="138"/>
      <c r="K2182" s="138"/>
      <c r="L2182" s="138">
        <v>0.0</v>
      </c>
      <c r="M2182" s="140" t="str">
        <f>VLOOKUP(text(D2182, "#"),'Master Table'!$A:$F, 6, FALSE)</f>
        <v>#N/A</v>
      </c>
      <c r="N2182" s="141"/>
      <c r="O2182" s="142" t="str">
        <f t="shared" si="1"/>
        <v/>
      </c>
      <c r="P2182" s="143" t="str">
        <f>IF(ISNA(VLOOKUP(CONCAT(M2182,C2182), 'Judge Count DO NOT EDIT'!H:H, 1, FALSE)), "ERROR","")</f>
        <v>ERROR</v>
      </c>
      <c r="Q2182" s="141"/>
      <c r="R2182" s="143"/>
      <c r="S2182" s="139"/>
      <c r="T2182" s="141"/>
    </row>
    <row r="2183">
      <c r="A2183" s="138"/>
      <c r="B2183" s="138"/>
      <c r="C2183" s="138"/>
      <c r="D2183" s="139"/>
      <c r="E2183" s="138"/>
      <c r="F2183" s="138"/>
      <c r="G2183" s="138"/>
      <c r="H2183" s="138"/>
      <c r="I2183" s="138"/>
      <c r="J2183" s="138"/>
      <c r="K2183" s="138"/>
      <c r="L2183" s="138">
        <v>0.0</v>
      </c>
      <c r="M2183" s="140" t="str">
        <f>VLOOKUP(text(D2183, "#"),'Master Table'!$A:$F, 6, FALSE)</f>
        <v>#N/A</v>
      </c>
      <c r="N2183" s="141"/>
      <c r="O2183" s="142" t="str">
        <f t="shared" si="1"/>
        <v/>
      </c>
      <c r="P2183" s="143" t="str">
        <f>IF(ISNA(VLOOKUP(CONCAT(M2183,C2183), 'Judge Count DO NOT EDIT'!H:H, 1, FALSE)), "ERROR","")</f>
        <v>ERROR</v>
      </c>
      <c r="Q2183" s="141"/>
      <c r="R2183" s="143"/>
      <c r="S2183" s="139"/>
      <c r="T2183" s="141"/>
    </row>
    <row r="2184">
      <c r="A2184" s="138"/>
      <c r="B2184" s="138"/>
      <c r="C2184" s="138"/>
      <c r="D2184" s="139"/>
      <c r="E2184" s="138"/>
      <c r="F2184" s="138"/>
      <c r="G2184" s="138"/>
      <c r="H2184" s="138"/>
      <c r="I2184" s="138"/>
      <c r="J2184" s="138"/>
      <c r="K2184" s="138"/>
      <c r="L2184" s="138">
        <v>0.0</v>
      </c>
      <c r="M2184" s="140" t="str">
        <f>VLOOKUP(text(D2184, "#"),'Master Table'!$A:$F, 6, FALSE)</f>
        <v>#N/A</v>
      </c>
      <c r="N2184" s="141"/>
      <c r="O2184" s="142" t="str">
        <f t="shared" si="1"/>
        <v/>
      </c>
      <c r="P2184" s="143" t="str">
        <f>IF(ISNA(VLOOKUP(CONCAT(M2184,C2184), 'Judge Count DO NOT EDIT'!H:H, 1, FALSE)), "ERROR","")</f>
        <v>ERROR</v>
      </c>
      <c r="Q2184" s="141"/>
      <c r="R2184" s="143"/>
      <c r="S2184" s="139"/>
      <c r="T2184" s="141"/>
    </row>
    <row r="2185">
      <c r="A2185" s="138"/>
      <c r="B2185" s="138"/>
      <c r="C2185" s="138"/>
      <c r="D2185" s="139"/>
      <c r="E2185" s="138"/>
      <c r="F2185" s="138"/>
      <c r="G2185" s="138"/>
      <c r="H2185" s="138"/>
      <c r="I2185" s="138"/>
      <c r="J2185" s="138"/>
      <c r="K2185" s="138"/>
      <c r="L2185" s="138">
        <v>0.0</v>
      </c>
      <c r="M2185" s="140" t="str">
        <f>VLOOKUP(text(D2185, "#"),'Master Table'!$A:$F, 6, FALSE)</f>
        <v>#N/A</v>
      </c>
      <c r="N2185" s="141"/>
      <c r="O2185" s="142" t="str">
        <f t="shared" si="1"/>
        <v/>
      </c>
      <c r="P2185" s="143" t="str">
        <f>IF(ISNA(VLOOKUP(CONCAT(M2185,C2185), 'Judge Count DO NOT EDIT'!H:H, 1, FALSE)), "ERROR","")</f>
        <v>ERROR</v>
      </c>
      <c r="Q2185" s="141"/>
      <c r="R2185" s="143"/>
      <c r="S2185" s="139"/>
      <c r="T2185" s="141"/>
    </row>
    <row r="2186">
      <c r="A2186" s="138"/>
      <c r="B2186" s="138"/>
      <c r="C2186" s="138"/>
      <c r="D2186" s="139"/>
      <c r="E2186" s="138"/>
      <c r="F2186" s="138"/>
      <c r="G2186" s="138"/>
      <c r="H2186" s="138"/>
      <c r="I2186" s="138"/>
      <c r="J2186" s="138"/>
      <c r="K2186" s="138"/>
      <c r="L2186" s="138">
        <v>0.0</v>
      </c>
      <c r="M2186" s="140" t="str">
        <f>VLOOKUP(text(D2186, "#"),'Master Table'!$A:$F, 6, FALSE)</f>
        <v>#N/A</v>
      </c>
      <c r="N2186" s="141"/>
      <c r="O2186" s="142" t="str">
        <f t="shared" si="1"/>
        <v/>
      </c>
      <c r="P2186" s="143" t="str">
        <f>IF(ISNA(VLOOKUP(CONCAT(M2186,C2186), 'Judge Count DO NOT EDIT'!H:H, 1, FALSE)), "ERROR","")</f>
        <v>ERROR</v>
      </c>
      <c r="Q2186" s="141"/>
      <c r="R2186" s="143"/>
      <c r="S2186" s="139"/>
      <c r="T2186" s="141"/>
    </row>
    <row r="2187">
      <c r="A2187" s="138"/>
      <c r="B2187" s="138"/>
      <c r="C2187" s="138"/>
      <c r="D2187" s="139"/>
      <c r="E2187" s="138"/>
      <c r="F2187" s="138"/>
      <c r="G2187" s="138"/>
      <c r="H2187" s="138"/>
      <c r="I2187" s="138"/>
      <c r="J2187" s="138"/>
      <c r="K2187" s="138"/>
      <c r="L2187" s="138">
        <v>0.0</v>
      </c>
      <c r="M2187" s="140" t="str">
        <f>VLOOKUP(text(D2187, "#"),'Master Table'!$A:$F, 6, FALSE)</f>
        <v>#N/A</v>
      </c>
      <c r="N2187" s="141"/>
      <c r="O2187" s="142" t="str">
        <f t="shared" si="1"/>
        <v/>
      </c>
      <c r="P2187" s="143" t="str">
        <f>IF(ISNA(VLOOKUP(CONCAT(M2187,C2187), 'Judge Count DO NOT EDIT'!H:H, 1, FALSE)), "ERROR","")</f>
        <v>ERROR</v>
      </c>
      <c r="Q2187" s="141"/>
      <c r="R2187" s="143"/>
      <c r="S2187" s="139"/>
      <c r="T2187" s="141"/>
    </row>
    <row r="2188">
      <c r="A2188" s="138"/>
      <c r="B2188" s="138"/>
      <c r="C2188" s="138"/>
      <c r="D2188" s="139"/>
      <c r="E2188" s="138"/>
      <c r="F2188" s="138"/>
      <c r="G2188" s="138"/>
      <c r="H2188" s="138"/>
      <c r="I2188" s="138"/>
      <c r="J2188" s="138"/>
      <c r="K2188" s="138"/>
      <c r="L2188" s="138">
        <v>0.0</v>
      </c>
      <c r="M2188" s="140" t="str">
        <f>VLOOKUP(text(D2188, "#"),'Master Table'!$A:$F, 6, FALSE)</f>
        <v>#N/A</v>
      </c>
      <c r="N2188" s="141"/>
      <c r="O2188" s="142" t="str">
        <f t="shared" si="1"/>
        <v/>
      </c>
      <c r="P2188" s="143" t="str">
        <f>IF(ISNA(VLOOKUP(CONCAT(M2188,C2188), 'Judge Count DO NOT EDIT'!H:H, 1, FALSE)), "ERROR","")</f>
        <v>ERROR</v>
      </c>
      <c r="Q2188" s="141"/>
      <c r="R2188" s="143"/>
      <c r="S2188" s="139"/>
      <c r="T2188" s="141"/>
    </row>
    <row r="2189">
      <c r="A2189" s="138"/>
      <c r="B2189" s="138"/>
      <c r="C2189" s="138"/>
      <c r="D2189" s="139"/>
      <c r="E2189" s="138"/>
      <c r="F2189" s="138"/>
      <c r="G2189" s="138"/>
      <c r="H2189" s="138"/>
      <c r="I2189" s="138"/>
      <c r="J2189" s="138"/>
      <c r="K2189" s="138"/>
      <c r="L2189" s="138">
        <v>0.0</v>
      </c>
      <c r="M2189" s="140" t="str">
        <f>VLOOKUP(text(D2189, "#"),'Master Table'!$A:$F, 6, FALSE)</f>
        <v>#N/A</v>
      </c>
      <c r="N2189" s="141"/>
      <c r="O2189" s="142" t="str">
        <f t="shared" si="1"/>
        <v/>
      </c>
      <c r="P2189" s="143" t="str">
        <f>IF(ISNA(VLOOKUP(CONCAT(M2189,C2189), 'Judge Count DO NOT EDIT'!H:H, 1, FALSE)), "ERROR","")</f>
        <v>ERROR</v>
      </c>
      <c r="Q2189" s="141"/>
      <c r="R2189" s="143"/>
      <c r="S2189" s="139"/>
      <c r="T2189" s="141"/>
    </row>
    <row r="2190">
      <c r="A2190" s="138"/>
      <c r="B2190" s="138"/>
      <c r="C2190" s="138"/>
      <c r="D2190" s="139"/>
      <c r="E2190" s="138"/>
      <c r="F2190" s="138"/>
      <c r="G2190" s="138"/>
      <c r="H2190" s="138"/>
      <c r="I2190" s="138"/>
      <c r="J2190" s="138"/>
      <c r="K2190" s="138"/>
      <c r="L2190" s="138">
        <v>0.0</v>
      </c>
      <c r="M2190" s="140" t="str">
        <f>VLOOKUP(text(D2190, "#"),'Master Table'!$A:$F, 6, FALSE)</f>
        <v>#N/A</v>
      </c>
      <c r="N2190" s="141"/>
      <c r="O2190" s="142" t="str">
        <f t="shared" si="1"/>
        <v/>
      </c>
      <c r="P2190" s="143" t="str">
        <f>IF(ISNA(VLOOKUP(CONCAT(M2190,C2190), 'Judge Count DO NOT EDIT'!H:H, 1, FALSE)), "ERROR","")</f>
        <v>ERROR</v>
      </c>
      <c r="Q2190" s="141"/>
      <c r="R2190" s="143"/>
      <c r="S2190" s="139"/>
      <c r="T2190" s="141"/>
    </row>
    <row r="2191">
      <c r="A2191" s="138"/>
      <c r="B2191" s="138"/>
      <c r="C2191" s="138"/>
      <c r="D2191" s="139"/>
      <c r="E2191" s="138"/>
      <c r="F2191" s="138"/>
      <c r="G2191" s="138"/>
      <c r="H2191" s="138"/>
      <c r="I2191" s="138"/>
      <c r="J2191" s="138"/>
      <c r="K2191" s="138"/>
      <c r="L2191" s="138">
        <v>0.0</v>
      </c>
      <c r="M2191" s="140" t="str">
        <f>VLOOKUP(text(D2191, "#"),'Master Table'!$A:$F, 6, FALSE)</f>
        <v>#N/A</v>
      </c>
      <c r="N2191" s="141"/>
      <c r="O2191" s="142" t="str">
        <f t="shared" si="1"/>
        <v/>
      </c>
      <c r="P2191" s="143" t="str">
        <f>IF(ISNA(VLOOKUP(CONCAT(M2191,C2191), 'Judge Count DO NOT EDIT'!H:H, 1, FALSE)), "ERROR","")</f>
        <v>ERROR</v>
      </c>
      <c r="Q2191" s="141"/>
      <c r="R2191" s="143"/>
      <c r="S2191" s="139"/>
      <c r="T2191" s="141"/>
    </row>
    <row r="2192">
      <c r="A2192" s="138"/>
      <c r="B2192" s="138"/>
      <c r="C2192" s="138"/>
      <c r="D2192" s="139"/>
      <c r="E2192" s="138"/>
      <c r="F2192" s="138"/>
      <c r="G2192" s="138"/>
      <c r="H2192" s="138"/>
      <c r="I2192" s="138"/>
      <c r="J2192" s="138"/>
      <c r="K2192" s="138"/>
      <c r="L2192" s="138">
        <v>0.0</v>
      </c>
      <c r="M2192" s="140" t="str">
        <f>VLOOKUP(text(D2192, "#"),'Master Table'!$A:$F, 6, FALSE)</f>
        <v>#N/A</v>
      </c>
      <c r="N2192" s="141"/>
      <c r="O2192" s="142" t="str">
        <f t="shared" si="1"/>
        <v/>
      </c>
      <c r="P2192" s="143" t="str">
        <f>IF(ISNA(VLOOKUP(CONCAT(M2192,C2192), 'Judge Count DO NOT EDIT'!H:H, 1, FALSE)), "ERROR","")</f>
        <v>ERROR</v>
      </c>
      <c r="Q2192" s="141"/>
      <c r="R2192" s="143"/>
      <c r="S2192" s="139"/>
      <c r="T2192" s="141"/>
    </row>
    <row r="2193">
      <c r="A2193" s="138"/>
      <c r="B2193" s="138"/>
      <c r="C2193" s="138"/>
      <c r="D2193" s="139"/>
      <c r="E2193" s="138"/>
      <c r="F2193" s="138"/>
      <c r="G2193" s="138"/>
      <c r="H2193" s="138"/>
      <c r="I2193" s="138"/>
      <c r="J2193" s="138"/>
      <c r="K2193" s="138"/>
      <c r="L2193" s="138">
        <v>0.0</v>
      </c>
      <c r="M2193" s="140" t="str">
        <f>VLOOKUP(text(D2193, "#"),'Master Table'!$A:$F, 6, FALSE)</f>
        <v>#N/A</v>
      </c>
      <c r="N2193" s="141"/>
      <c r="O2193" s="142" t="str">
        <f t="shared" si="1"/>
        <v/>
      </c>
      <c r="P2193" s="143" t="str">
        <f>IF(ISNA(VLOOKUP(CONCAT(M2193,C2193), 'Judge Count DO NOT EDIT'!H:H, 1, FALSE)), "ERROR","")</f>
        <v>ERROR</v>
      </c>
      <c r="Q2193" s="141"/>
      <c r="R2193" s="143"/>
      <c r="S2193" s="139"/>
      <c r="T2193" s="141"/>
    </row>
    <row r="2194">
      <c r="A2194" s="138"/>
      <c r="B2194" s="138"/>
      <c r="C2194" s="138"/>
      <c r="D2194" s="139"/>
      <c r="E2194" s="138"/>
      <c r="F2194" s="138"/>
      <c r="G2194" s="138"/>
      <c r="H2194" s="138"/>
      <c r="I2194" s="138"/>
      <c r="J2194" s="138"/>
      <c r="K2194" s="138"/>
      <c r="L2194" s="138">
        <v>0.0</v>
      </c>
      <c r="M2194" s="140" t="str">
        <f>VLOOKUP(text(D2194, "#"),'Master Table'!$A:$F, 6, FALSE)</f>
        <v>#N/A</v>
      </c>
      <c r="N2194" s="141"/>
      <c r="O2194" s="142" t="str">
        <f t="shared" si="1"/>
        <v/>
      </c>
      <c r="P2194" s="143" t="str">
        <f>IF(ISNA(VLOOKUP(CONCAT(M2194,C2194), 'Judge Count DO NOT EDIT'!H:H, 1, FALSE)), "ERROR","")</f>
        <v>ERROR</v>
      </c>
      <c r="Q2194" s="141"/>
      <c r="R2194" s="143"/>
      <c r="S2194" s="139"/>
      <c r="T2194" s="141"/>
    </row>
    <row r="2195">
      <c r="A2195" s="138"/>
      <c r="B2195" s="138"/>
      <c r="C2195" s="138"/>
      <c r="D2195" s="139"/>
      <c r="E2195" s="138"/>
      <c r="F2195" s="138"/>
      <c r="G2195" s="138"/>
      <c r="H2195" s="138"/>
      <c r="I2195" s="138"/>
      <c r="J2195" s="138"/>
      <c r="K2195" s="138"/>
      <c r="L2195" s="138">
        <v>0.0</v>
      </c>
      <c r="M2195" s="140" t="str">
        <f>VLOOKUP(text(D2195, "#"),'Master Table'!$A:$F, 6, FALSE)</f>
        <v>#N/A</v>
      </c>
      <c r="N2195" s="141"/>
      <c r="O2195" s="142" t="str">
        <f t="shared" si="1"/>
        <v/>
      </c>
      <c r="P2195" s="143" t="str">
        <f>IF(ISNA(VLOOKUP(CONCAT(M2195,C2195), 'Judge Count DO NOT EDIT'!H:H, 1, FALSE)), "ERROR","")</f>
        <v>ERROR</v>
      </c>
      <c r="Q2195" s="141"/>
      <c r="R2195" s="143"/>
      <c r="S2195" s="139"/>
      <c r="T2195" s="141"/>
    </row>
    <row r="2196">
      <c r="A2196" s="138"/>
      <c r="B2196" s="138"/>
      <c r="C2196" s="138"/>
      <c r="D2196" s="139"/>
      <c r="E2196" s="138"/>
      <c r="F2196" s="138"/>
      <c r="G2196" s="138"/>
      <c r="H2196" s="138"/>
      <c r="I2196" s="138"/>
      <c r="J2196" s="138"/>
      <c r="K2196" s="138"/>
      <c r="L2196" s="138">
        <v>0.0</v>
      </c>
      <c r="M2196" s="140" t="str">
        <f>VLOOKUP(text(D2196, "#"),'Master Table'!$A:$F, 6, FALSE)</f>
        <v>#N/A</v>
      </c>
      <c r="N2196" s="141"/>
      <c r="O2196" s="142" t="str">
        <f t="shared" si="1"/>
        <v/>
      </c>
      <c r="P2196" s="143" t="str">
        <f>IF(ISNA(VLOOKUP(CONCAT(M2196,C2196), 'Judge Count DO NOT EDIT'!H:H, 1, FALSE)), "ERROR","")</f>
        <v>ERROR</v>
      </c>
      <c r="Q2196" s="141"/>
      <c r="R2196" s="143"/>
      <c r="S2196" s="139"/>
      <c r="T2196" s="141"/>
    </row>
    <row r="2197">
      <c r="A2197" s="138"/>
      <c r="B2197" s="138"/>
      <c r="C2197" s="138"/>
      <c r="D2197" s="139"/>
      <c r="E2197" s="138"/>
      <c r="F2197" s="138"/>
      <c r="G2197" s="138"/>
      <c r="H2197" s="138"/>
      <c r="I2197" s="138"/>
      <c r="J2197" s="138"/>
      <c r="K2197" s="138"/>
      <c r="L2197" s="138">
        <v>0.0</v>
      </c>
      <c r="M2197" s="140" t="str">
        <f>VLOOKUP(text(D2197, "#"),'Master Table'!$A:$F, 6, FALSE)</f>
        <v>#N/A</v>
      </c>
      <c r="N2197" s="141"/>
      <c r="O2197" s="142" t="str">
        <f t="shared" si="1"/>
        <v/>
      </c>
      <c r="P2197" s="143" t="str">
        <f>IF(ISNA(VLOOKUP(CONCAT(M2197,C2197), 'Judge Count DO NOT EDIT'!H:H, 1, FALSE)), "ERROR","")</f>
        <v>ERROR</v>
      </c>
      <c r="Q2197" s="141"/>
      <c r="R2197" s="143"/>
      <c r="S2197" s="139"/>
      <c r="T2197" s="141"/>
    </row>
    <row r="2198">
      <c r="A2198" s="138"/>
      <c r="B2198" s="138"/>
      <c r="C2198" s="138"/>
      <c r="D2198" s="139"/>
      <c r="E2198" s="138"/>
      <c r="F2198" s="138"/>
      <c r="G2198" s="138"/>
      <c r="H2198" s="138"/>
      <c r="I2198" s="138"/>
      <c r="J2198" s="138"/>
      <c r="K2198" s="138"/>
      <c r="L2198" s="138">
        <v>0.0</v>
      </c>
      <c r="M2198" s="140" t="str">
        <f>VLOOKUP(text(D2198, "#"),'Master Table'!$A:$F, 6, FALSE)</f>
        <v>#N/A</v>
      </c>
      <c r="N2198" s="141"/>
      <c r="O2198" s="142" t="str">
        <f t="shared" si="1"/>
        <v/>
      </c>
      <c r="P2198" s="143" t="str">
        <f>IF(ISNA(VLOOKUP(CONCAT(M2198,C2198), 'Judge Count DO NOT EDIT'!H:H, 1, FALSE)), "ERROR","")</f>
        <v>ERROR</v>
      </c>
      <c r="Q2198" s="141"/>
      <c r="R2198" s="143"/>
      <c r="S2198" s="139"/>
      <c r="T2198" s="141"/>
    </row>
    <row r="2199">
      <c r="A2199" s="138"/>
      <c r="B2199" s="138"/>
      <c r="C2199" s="138"/>
      <c r="D2199" s="139"/>
      <c r="E2199" s="138"/>
      <c r="F2199" s="138"/>
      <c r="G2199" s="138"/>
      <c r="H2199" s="138"/>
      <c r="I2199" s="138"/>
      <c r="J2199" s="138"/>
      <c r="K2199" s="138"/>
      <c r="L2199" s="138">
        <v>0.0</v>
      </c>
      <c r="M2199" s="140" t="str">
        <f>VLOOKUP(text(D2199, "#"),'Master Table'!$A:$F, 6, FALSE)</f>
        <v>#N/A</v>
      </c>
      <c r="N2199" s="141"/>
      <c r="O2199" s="142" t="str">
        <f t="shared" si="1"/>
        <v/>
      </c>
      <c r="P2199" s="143" t="str">
        <f>IF(ISNA(VLOOKUP(CONCAT(M2199,C2199), 'Judge Count DO NOT EDIT'!H:H, 1, FALSE)), "ERROR","")</f>
        <v>ERROR</v>
      </c>
      <c r="Q2199" s="141"/>
      <c r="R2199" s="143"/>
      <c r="S2199" s="139"/>
      <c r="T2199" s="141"/>
    </row>
    <row r="2200">
      <c r="A2200" s="138"/>
      <c r="B2200" s="138"/>
      <c r="C2200" s="138"/>
      <c r="D2200" s="139"/>
      <c r="E2200" s="138"/>
      <c r="F2200" s="138"/>
      <c r="G2200" s="138"/>
      <c r="H2200" s="138"/>
      <c r="I2200" s="138"/>
      <c r="J2200" s="138"/>
      <c r="K2200" s="138"/>
      <c r="L2200" s="138">
        <v>0.0</v>
      </c>
      <c r="M2200" s="140" t="str">
        <f>VLOOKUP(text(D2200, "#"),'Master Table'!$A:$F, 6, FALSE)</f>
        <v>#N/A</v>
      </c>
      <c r="N2200" s="141"/>
      <c r="O2200" s="142" t="str">
        <f t="shared" si="1"/>
        <v/>
      </c>
      <c r="P2200" s="143" t="str">
        <f>IF(ISNA(VLOOKUP(CONCAT(M2200,C2200), 'Judge Count DO NOT EDIT'!H:H, 1, FALSE)), "ERROR","")</f>
        <v>ERROR</v>
      </c>
      <c r="Q2200" s="141"/>
      <c r="R2200" s="143"/>
      <c r="S2200" s="139"/>
      <c r="T2200" s="141"/>
    </row>
    <row r="2201">
      <c r="A2201" s="138"/>
      <c r="B2201" s="138"/>
      <c r="C2201" s="138"/>
      <c r="D2201" s="139"/>
      <c r="E2201" s="138"/>
      <c r="F2201" s="138"/>
      <c r="G2201" s="138"/>
      <c r="H2201" s="138"/>
      <c r="I2201" s="138"/>
      <c r="J2201" s="138"/>
      <c r="K2201" s="138"/>
      <c r="L2201" s="138">
        <v>0.0</v>
      </c>
      <c r="M2201" s="140" t="str">
        <f>VLOOKUP(text(D2201, "#"),'Master Table'!$A:$F, 6, FALSE)</f>
        <v>#N/A</v>
      </c>
      <c r="N2201" s="141"/>
      <c r="O2201" s="142" t="str">
        <f t="shared" si="1"/>
        <v/>
      </c>
      <c r="P2201" s="143" t="str">
        <f>IF(ISNA(VLOOKUP(CONCAT(M2201,C2201), 'Judge Count DO NOT EDIT'!H:H, 1, FALSE)), "ERROR","")</f>
        <v>ERROR</v>
      </c>
      <c r="Q2201" s="141"/>
      <c r="R2201" s="143"/>
      <c r="S2201" s="139"/>
      <c r="T2201" s="141"/>
    </row>
    <row r="2202">
      <c r="A2202" s="138"/>
      <c r="B2202" s="138"/>
      <c r="C2202" s="138"/>
      <c r="D2202" s="139"/>
      <c r="E2202" s="138"/>
      <c r="F2202" s="138"/>
      <c r="G2202" s="138"/>
      <c r="H2202" s="138"/>
      <c r="I2202" s="138"/>
      <c r="J2202" s="138"/>
      <c r="K2202" s="138"/>
      <c r="L2202" s="138">
        <v>0.0</v>
      </c>
      <c r="M2202" s="140" t="str">
        <f>VLOOKUP(text(D2202, "#"),'Master Table'!$A:$F, 6, FALSE)</f>
        <v>#N/A</v>
      </c>
      <c r="N2202" s="141"/>
      <c r="O2202" s="142" t="str">
        <f t="shared" si="1"/>
        <v/>
      </c>
      <c r="P2202" s="143" t="str">
        <f>IF(ISNA(VLOOKUP(CONCAT(M2202,C2202), 'Judge Count DO NOT EDIT'!H:H, 1, FALSE)), "ERROR","")</f>
        <v>ERROR</v>
      </c>
      <c r="Q2202" s="141"/>
      <c r="R2202" s="143"/>
      <c r="S2202" s="139"/>
      <c r="T2202" s="141"/>
    </row>
    <row r="2203">
      <c r="A2203" s="138"/>
      <c r="B2203" s="138"/>
      <c r="C2203" s="138"/>
      <c r="D2203" s="139"/>
      <c r="E2203" s="138"/>
      <c r="F2203" s="138"/>
      <c r="G2203" s="138"/>
      <c r="H2203" s="138"/>
      <c r="I2203" s="138"/>
      <c r="J2203" s="138"/>
      <c r="K2203" s="138"/>
      <c r="L2203" s="138">
        <v>0.0</v>
      </c>
      <c r="M2203" s="140" t="str">
        <f>VLOOKUP(text(D2203, "#"),'Master Table'!$A:$F, 6, FALSE)</f>
        <v>#N/A</v>
      </c>
      <c r="N2203" s="141"/>
      <c r="O2203" s="142" t="str">
        <f t="shared" si="1"/>
        <v/>
      </c>
      <c r="P2203" s="143" t="str">
        <f>IF(ISNA(VLOOKUP(CONCAT(M2203,C2203), 'Judge Count DO NOT EDIT'!H:H, 1, FALSE)), "ERROR","")</f>
        <v>ERROR</v>
      </c>
      <c r="Q2203" s="141"/>
      <c r="R2203" s="143"/>
      <c r="S2203" s="139"/>
      <c r="T2203" s="141"/>
    </row>
    <row r="2204">
      <c r="A2204" s="138"/>
      <c r="B2204" s="138"/>
      <c r="C2204" s="138"/>
      <c r="D2204" s="139"/>
      <c r="E2204" s="138"/>
      <c r="F2204" s="138"/>
      <c r="G2204" s="138"/>
      <c r="H2204" s="138"/>
      <c r="I2204" s="138"/>
      <c r="J2204" s="138"/>
      <c r="K2204" s="138"/>
      <c r="L2204" s="138">
        <v>0.0</v>
      </c>
      <c r="M2204" s="140" t="str">
        <f>VLOOKUP(text(D2204, "#"),'Master Table'!$A:$F, 6, FALSE)</f>
        <v>#N/A</v>
      </c>
      <c r="N2204" s="141"/>
      <c r="O2204" s="142" t="str">
        <f t="shared" si="1"/>
        <v/>
      </c>
      <c r="P2204" s="143" t="str">
        <f>IF(ISNA(VLOOKUP(CONCAT(M2204,C2204), 'Judge Count DO NOT EDIT'!H:H, 1, FALSE)), "ERROR","")</f>
        <v>ERROR</v>
      </c>
      <c r="Q2204" s="141"/>
      <c r="R2204" s="143"/>
      <c r="S2204" s="139"/>
      <c r="T2204" s="141"/>
    </row>
    <row r="2205">
      <c r="A2205" s="138"/>
      <c r="B2205" s="138"/>
      <c r="C2205" s="138"/>
      <c r="D2205" s="139"/>
      <c r="E2205" s="138"/>
      <c r="F2205" s="138"/>
      <c r="G2205" s="138"/>
      <c r="H2205" s="138"/>
      <c r="I2205" s="138"/>
      <c r="J2205" s="138"/>
      <c r="K2205" s="138"/>
      <c r="L2205" s="138">
        <v>0.0</v>
      </c>
      <c r="M2205" s="140" t="str">
        <f>VLOOKUP(text(D2205, "#"),'Master Table'!$A:$F, 6, FALSE)</f>
        <v>#N/A</v>
      </c>
      <c r="N2205" s="141"/>
      <c r="O2205" s="142" t="str">
        <f t="shared" si="1"/>
        <v/>
      </c>
      <c r="P2205" s="143" t="str">
        <f>IF(ISNA(VLOOKUP(CONCAT(M2205,C2205), 'Judge Count DO NOT EDIT'!H:H, 1, FALSE)), "ERROR","")</f>
        <v>ERROR</v>
      </c>
      <c r="Q2205" s="141"/>
      <c r="R2205" s="143"/>
      <c r="S2205" s="139"/>
      <c r="T2205" s="141"/>
    </row>
    <row r="2206">
      <c r="A2206" s="138"/>
      <c r="B2206" s="138"/>
      <c r="C2206" s="138"/>
      <c r="D2206" s="139"/>
      <c r="E2206" s="138"/>
      <c r="F2206" s="138"/>
      <c r="G2206" s="138"/>
      <c r="H2206" s="138"/>
      <c r="I2206" s="138"/>
      <c r="J2206" s="138"/>
      <c r="K2206" s="138"/>
      <c r="L2206" s="138">
        <v>0.0</v>
      </c>
      <c r="M2206" s="140" t="str">
        <f>VLOOKUP(text(D2206, "#"),'Master Table'!$A:$F, 6, FALSE)</f>
        <v>#N/A</v>
      </c>
      <c r="N2206" s="141"/>
      <c r="O2206" s="142" t="str">
        <f t="shared" si="1"/>
        <v/>
      </c>
      <c r="P2206" s="143" t="str">
        <f>IF(ISNA(VLOOKUP(CONCAT(M2206,C2206), 'Judge Count DO NOT EDIT'!H:H, 1, FALSE)), "ERROR","")</f>
        <v>ERROR</v>
      </c>
      <c r="Q2206" s="141"/>
      <c r="R2206" s="143"/>
      <c r="S2206" s="139"/>
      <c r="T2206" s="141"/>
    </row>
    <row r="2207">
      <c r="A2207" s="138"/>
      <c r="B2207" s="138"/>
      <c r="C2207" s="138"/>
      <c r="D2207" s="139"/>
      <c r="E2207" s="138"/>
      <c r="F2207" s="138"/>
      <c r="G2207" s="138"/>
      <c r="H2207" s="138"/>
      <c r="I2207" s="138"/>
      <c r="J2207" s="138"/>
      <c r="K2207" s="138"/>
      <c r="L2207" s="138">
        <v>0.0</v>
      </c>
      <c r="M2207" s="140" t="str">
        <f>VLOOKUP(text(D2207, "#"),'Master Table'!$A:$F, 6, FALSE)</f>
        <v>#N/A</v>
      </c>
      <c r="N2207" s="141"/>
      <c r="O2207" s="142" t="str">
        <f t="shared" si="1"/>
        <v/>
      </c>
      <c r="P2207" s="143" t="str">
        <f>IF(ISNA(VLOOKUP(CONCAT(M2207,C2207), 'Judge Count DO NOT EDIT'!H:H, 1, FALSE)), "ERROR","")</f>
        <v>ERROR</v>
      </c>
      <c r="Q2207" s="141"/>
      <c r="R2207" s="143"/>
      <c r="S2207" s="139"/>
      <c r="T2207" s="141"/>
    </row>
    <row r="2208">
      <c r="A2208" s="138"/>
      <c r="B2208" s="138"/>
      <c r="C2208" s="138"/>
      <c r="D2208" s="139"/>
      <c r="E2208" s="138"/>
      <c r="F2208" s="138"/>
      <c r="G2208" s="138"/>
      <c r="H2208" s="138"/>
      <c r="I2208" s="138"/>
      <c r="J2208" s="138"/>
      <c r="K2208" s="138"/>
      <c r="L2208" s="138">
        <v>0.0</v>
      </c>
      <c r="M2208" s="140" t="str">
        <f>VLOOKUP(text(D2208, "#"),'Master Table'!$A:$F, 6, FALSE)</f>
        <v>#N/A</v>
      </c>
      <c r="N2208" s="141"/>
      <c r="O2208" s="142" t="str">
        <f t="shared" si="1"/>
        <v/>
      </c>
      <c r="P2208" s="143" t="str">
        <f>IF(ISNA(VLOOKUP(CONCAT(M2208,C2208), 'Judge Count DO NOT EDIT'!H:H, 1, FALSE)), "ERROR","")</f>
        <v>ERROR</v>
      </c>
      <c r="Q2208" s="141"/>
      <c r="R2208" s="143"/>
      <c r="S2208" s="139"/>
      <c r="T2208" s="141"/>
    </row>
    <row r="2209">
      <c r="A2209" s="138"/>
      <c r="B2209" s="138"/>
      <c r="C2209" s="138"/>
      <c r="D2209" s="139"/>
      <c r="E2209" s="138"/>
      <c r="F2209" s="138"/>
      <c r="G2209" s="138"/>
      <c r="H2209" s="138"/>
      <c r="I2209" s="138"/>
      <c r="J2209" s="138"/>
      <c r="K2209" s="138"/>
      <c r="L2209" s="138">
        <v>0.0</v>
      </c>
      <c r="M2209" s="140" t="str">
        <f>VLOOKUP(text(D2209, "#"),'Master Table'!$A:$F, 6, FALSE)</f>
        <v>#N/A</v>
      </c>
      <c r="N2209" s="141"/>
      <c r="O2209" s="142" t="str">
        <f t="shared" si="1"/>
        <v/>
      </c>
      <c r="P2209" s="143" t="str">
        <f>IF(ISNA(VLOOKUP(CONCAT(M2209,C2209), 'Judge Count DO NOT EDIT'!H:H, 1, FALSE)), "ERROR","")</f>
        <v>ERROR</v>
      </c>
      <c r="Q2209" s="141"/>
      <c r="R2209" s="143"/>
      <c r="S2209" s="139"/>
      <c r="T2209" s="141"/>
    </row>
    <row r="2210">
      <c r="A2210" s="138"/>
      <c r="B2210" s="138"/>
      <c r="C2210" s="138"/>
      <c r="D2210" s="139"/>
      <c r="E2210" s="138"/>
      <c r="F2210" s="138"/>
      <c r="G2210" s="138"/>
      <c r="H2210" s="138"/>
      <c r="I2210" s="138"/>
      <c r="J2210" s="138"/>
      <c r="K2210" s="138"/>
      <c r="L2210" s="138">
        <v>0.0</v>
      </c>
      <c r="M2210" s="140" t="str">
        <f>VLOOKUP(text(D2210, "#"),'Master Table'!$A:$F, 6, FALSE)</f>
        <v>#N/A</v>
      </c>
      <c r="N2210" s="141"/>
      <c r="O2210" s="142" t="str">
        <f t="shared" si="1"/>
        <v/>
      </c>
      <c r="P2210" s="143" t="str">
        <f>IF(ISNA(VLOOKUP(CONCAT(M2210,C2210), 'Judge Count DO NOT EDIT'!H:H, 1, FALSE)), "ERROR","")</f>
        <v>ERROR</v>
      </c>
      <c r="Q2210" s="141"/>
      <c r="R2210" s="143"/>
      <c r="S2210" s="139"/>
      <c r="T2210" s="141"/>
    </row>
    <row r="2211">
      <c r="A2211" s="138"/>
      <c r="B2211" s="138"/>
      <c r="C2211" s="138"/>
      <c r="D2211" s="139"/>
      <c r="E2211" s="138"/>
      <c r="F2211" s="138"/>
      <c r="G2211" s="138"/>
      <c r="H2211" s="138"/>
      <c r="I2211" s="138"/>
      <c r="J2211" s="138"/>
      <c r="K2211" s="138"/>
      <c r="L2211" s="138">
        <v>0.0</v>
      </c>
      <c r="M2211" s="140" t="str">
        <f>VLOOKUP(text(D2211, "#"),'Master Table'!$A:$F, 6, FALSE)</f>
        <v>#N/A</v>
      </c>
      <c r="N2211" s="141"/>
      <c r="O2211" s="142" t="str">
        <f t="shared" si="1"/>
        <v/>
      </c>
      <c r="P2211" s="143" t="str">
        <f>IF(ISNA(VLOOKUP(CONCAT(M2211,C2211), 'Judge Count DO NOT EDIT'!H:H, 1, FALSE)), "ERROR","")</f>
        <v>ERROR</v>
      </c>
      <c r="Q2211" s="141"/>
      <c r="R2211" s="143"/>
      <c r="S2211" s="139"/>
      <c r="T2211" s="141"/>
    </row>
    <row r="2212">
      <c r="A2212" s="138"/>
      <c r="B2212" s="138"/>
      <c r="C2212" s="138"/>
      <c r="D2212" s="139"/>
      <c r="E2212" s="138"/>
      <c r="F2212" s="138"/>
      <c r="G2212" s="138"/>
      <c r="H2212" s="138"/>
      <c r="I2212" s="138"/>
      <c r="J2212" s="138"/>
      <c r="K2212" s="138"/>
      <c r="L2212" s="138">
        <v>0.0</v>
      </c>
      <c r="M2212" s="140" t="str">
        <f>VLOOKUP(text(D2212, "#"),'Master Table'!$A:$F, 6, FALSE)</f>
        <v>#N/A</v>
      </c>
      <c r="N2212" s="141"/>
      <c r="O2212" s="142" t="str">
        <f t="shared" si="1"/>
        <v/>
      </c>
      <c r="P2212" s="143" t="str">
        <f>IF(ISNA(VLOOKUP(CONCAT(M2212,C2212), 'Judge Count DO NOT EDIT'!H:H, 1, FALSE)), "ERROR","")</f>
        <v>ERROR</v>
      </c>
      <c r="Q2212" s="141"/>
      <c r="R2212" s="143"/>
      <c r="S2212" s="139"/>
      <c r="T2212" s="141"/>
    </row>
    <row r="2213">
      <c r="A2213" s="138"/>
      <c r="B2213" s="138"/>
      <c r="C2213" s="138"/>
      <c r="D2213" s="139"/>
      <c r="E2213" s="138"/>
      <c r="F2213" s="138"/>
      <c r="G2213" s="138"/>
      <c r="H2213" s="138"/>
      <c r="I2213" s="138"/>
      <c r="J2213" s="138"/>
      <c r="K2213" s="138"/>
      <c r="L2213" s="138">
        <v>0.0</v>
      </c>
      <c r="M2213" s="140" t="str">
        <f>VLOOKUP(text(D2213, "#"),'Master Table'!$A:$F, 6, FALSE)</f>
        <v>#N/A</v>
      </c>
      <c r="N2213" s="141"/>
      <c r="O2213" s="142" t="str">
        <f t="shared" si="1"/>
        <v/>
      </c>
      <c r="P2213" s="143" t="str">
        <f>IF(ISNA(VLOOKUP(CONCAT(M2213,C2213), 'Judge Count DO NOT EDIT'!H:H, 1, FALSE)), "ERROR","")</f>
        <v>ERROR</v>
      </c>
      <c r="Q2213" s="141"/>
      <c r="R2213" s="143"/>
      <c r="S2213" s="139"/>
      <c r="T2213" s="141"/>
    </row>
    <row r="2214">
      <c r="A2214" s="138"/>
      <c r="B2214" s="138"/>
      <c r="C2214" s="138"/>
      <c r="D2214" s="139"/>
      <c r="E2214" s="138"/>
      <c r="F2214" s="138"/>
      <c r="G2214" s="138"/>
      <c r="H2214" s="138"/>
      <c r="I2214" s="138"/>
      <c r="J2214" s="138"/>
      <c r="K2214" s="138"/>
      <c r="L2214" s="138">
        <v>0.0</v>
      </c>
      <c r="M2214" s="140" t="str">
        <f>VLOOKUP(text(D2214, "#"),'Master Table'!$A:$F, 6, FALSE)</f>
        <v>#N/A</v>
      </c>
      <c r="N2214" s="141"/>
      <c r="O2214" s="142" t="str">
        <f t="shared" si="1"/>
        <v/>
      </c>
      <c r="P2214" s="143" t="str">
        <f>IF(ISNA(VLOOKUP(CONCAT(M2214,C2214), 'Judge Count DO NOT EDIT'!H:H, 1, FALSE)), "ERROR","")</f>
        <v>ERROR</v>
      </c>
      <c r="Q2214" s="141"/>
      <c r="R2214" s="143"/>
      <c r="S2214" s="139"/>
      <c r="T2214" s="141"/>
    </row>
    <row r="2215">
      <c r="A2215" s="138"/>
      <c r="B2215" s="138"/>
      <c r="C2215" s="138"/>
      <c r="D2215" s="139"/>
      <c r="E2215" s="138"/>
      <c r="F2215" s="138"/>
      <c r="G2215" s="138"/>
      <c r="H2215" s="138"/>
      <c r="I2215" s="138"/>
      <c r="J2215" s="138"/>
      <c r="K2215" s="138"/>
      <c r="L2215" s="138">
        <v>0.0</v>
      </c>
      <c r="M2215" s="140" t="str">
        <f>VLOOKUP(text(D2215, "#"),'Master Table'!$A:$F, 6, FALSE)</f>
        <v>#N/A</v>
      </c>
      <c r="N2215" s="141"/>
      <c r="O2215" s="142" t="str">
        <f t="shared" si="1"/>
        <v/>
      </c>
      <c r="P2215" s="143" t="str">
        <f>IF(ISNA(VLOOKUP(CONCAT(M2215,C2215), 'Judge Count DO NOT EDIT'!H:H, 1, FALSE)), "ERROR","")</f>
        <v>ERROR</v>
      </c>
      <c r="Q2215" s="141"/>
      <c r="R2215" s="143"/>
      <c r="S2215" s="139"/>
      <c r="T2215" s="141"/>
    </row>
    <row r="2216">
      <c r="A2216" s="138"/>
      <c r="B2216" s="138"/>
      <c r="C2216" s="138"/>
      <c r="D2216" s="139"/>
      <c r="E2216" s="138"/>
      <c r="F2216" s="138"/>
      <c r="G2216" s="138"/>
      <c r="H2216" s="138"/>
      <c r="I2216" s="138"/>
      <c r="J2216" s="138"/>
      <c r="K2216" s="138"/>
      <c r="L2216" s="138">
        <v>0.0</v>
      </c>
      <c r="M2216" s="140" t="str">
        <f>VLOOKUP(text(D2216, "#"),'Master Table'!$A:$F, 6, FALSE)</f>
        <v>#N/A</v>
      </c>
      <c r="N2216" s="141"/>
      <c r="O2216" s="142" t="str">
        <f t="shared" si="1"/>
        <v/>
      </c>
      <c r="P2216" s="143" t="str">
        <f>IF(ISNA(VLOOKUP(CONCAT(M2216,C2216), 'Judge Count DO NOT EDIT'!H:H, 1, FALSE)), "ERROR","")</f>
        <v>ERROR</v>
      </c>
      <c r="Q2216" s="141"/>
      <c r="R2216" s="143"/>
      <c r="S2216" s="139"/>
      <c r="T2216" s="141"/>
    </row>
    <row r="2217">
      <c r="A2217" s="138"/>
      <c r="B2217" s="138"/>
      <c r="C2217" s="138"/>
      <c r="D2217" s="139"/>
      <c r="E2217" s="138"/>
      <c r="F2217" s="138"/>
      <c r="G2217" s="138"/>
      <c r="H2217" s="138"/>
      <c r="I2217" s="138"/>
      <c r="J2217" s="138"/>
      <c r="K2217" s="138"/>
      <c r="L2217" s="138">
        <v>0.0</v>
      </c>
      <c r="M2217" s="140" t="str">
        <f>VLOOKUP(text(D2217, "#"),'Master Table'!$A:$F, 6, FALSE)</f>
        <v>#N/A</v>
      </c>
      <c r="N2217" s="141"/>
      <c r="O2217" s="142" t="str">
        <f t="shared" si="1"/>
        <v/>
      </c>
      <c r="P2217" s="143" t="str">
        <f>IF(ISNA(VLOOKUP(CONCAT(M2217,C2217), 'Judge Count DO NOT EDIT'!H:H, 1, FALSE)), "ERROR","")</f>
        <v>ERROR</v>
      </c>
      <c r="Q2217" s="141"/>
      <c r="R2217" s="143"/>
      <c r="S2217" s="139"/>
      <c r="T2217" s="141"/>
    </row>
    <row r="2218">
      <c r="A2218" s="138"/>
      <c r="B2218" s="138"/>
      <c r="C2218" s="138"/>
      <c r="D2218" s="139"/>
      <c r="E2218" s="138"/>
      <c r="F2218" s="138"/>
      <c r="G2218" s="138"/>
      <c r="H2218" s="138"/>
      <c r="I2218" s="138"/>
      <c r="J2218" s="138"/>
      <c r="K2218" s="138"/>
      <c r="L2218" s="138">
        <v>0.0</v>
      </c>
      <c r="M2218" s="140" t="str">
        <f>VLOOKUP(text(D2218, "#"),'Master Table'!$A:$F, 6, FALSE)</f>
        <v>#N/A</v>
      </c>
      <c r="N2218" s="141"/>
      <c r="O2218" s="142" t="str">
        <f t="shared" si="1"/>
        <v/>
      </c>
      <c r="P2218" s="143" t="str">
        <f>IF(ISNA(VLOOKUP(CONCAT(M2218,C2218), 'Judge Count DO NOT EDIT'!H:H, 1, FALSE)), "ERROR","")</f>
        <v>ERROR</v>
      </c>
      <c r="Q2218" s="141"/>
      <c r="R2218" s="143"/>
      <c r="S2218" s="139"/>
      <c r="T2218" s="141"/>
    </row>
    <row r="2219">
      <c r="A2219" s="138"/>
      <c r="B2219" s="138"/>
      <c r="C2219" s="138"/>
      <c r="D2219" s="139"/>
      <c r="E2219" s="138"/>
      <c r="F2219" s="138"/>
      <c r="G2219" s="138"/>
      <c r="H2219" s="138"/>
      <c r="I2219" s="138"/>
      <c r="J2219" s="138"/>
      <c r="K2219" s="138"/>
      <c r="L2219" s="138">
        <v>0.0</v>
      </c>
      <c r="M2219" s="140" t="str">
        <f>VLOOKUP(text(D2219, "#"),'Master Table'!$A:$F, 6, FALSE)</f>
        <v>#N/A</v>
      </c>
      <c r="N2219" s="141"/>
      <c r="O2219" s="142" t="str">
        <f t="shared" si="1"/>
        <v/>
      </c>
      <c r="P2219" s="143" t="str">
        <f>IF(ISNA(VLOOKUP(CONCAT(M2219,C2219), 'Judge Count DO NOT EDIT'!H:H, 1, FALSE)), "ERROR","")</f>
        <v>ERROR</v>
      </c>
      <c r="Q2219" s="141"/>
      <c r="R2219" s="143"/>
      <c r="S2219" s="139"/>
      <c r="T2219" s="141"/>
    </row>
    <row r="2220">
      <c r="A2220" s="138"/>
      <c r="B2220" s="138"/>
      <c r="C2220" s="138"/>
      <c r="D2220" s="139"/>
      <c r="E2220" s="138"/>
      <c r="F2220" s="138"/>
      <c r="G2220" s="138"/>
      <c r="H2220" s="138"/>
      <c r="I2220" s="138"/>
      <c r="J2220" s="138"/>
      <c r="K2220" s="138"/>
      <c r="L2220" s="138">
        <v>0.0</v>
      </c>
      <c r="M2220" s="140" t="str">
        <f>VLOOKUP(text(D2220, "#"),'Master Table'!$A:$F, 6, FALSE)</f>
        <v>#N/A</v>
      </c>
      <c r="N2220" s="141"/>
      <c r="O2220" s="142" t="str">
        <f t="shared" si="1"/>
        <v/>
      </c>
      <c r="P2220" s="143" t="str">
        <f>IF(ISNA(VLOOKUP(CONCAT(M2220,C2220), 'Judge Count DO NOT EDIT'!H:H, 1, FALSE)), "ERROR","")</f>
        <v>ERROR</v>
      </c>
      <c r="Q2220" s="141"/>
      <c r="R2220" s="143"/>
      <c r="S2220" s="139"/>
      <c r="T2220" s="141"/>
    </row>
    <row r="2221">
      <c r="A2221" s="138"/>
      <c r="B2221" s="138"/>
      <c r="C2221" s="138"/>
      <c r="D2221" s="139"/>
      <c r="E2221" s="138"/>
      <c r="F2221" s="138"/>
      <c r="G2221" s="138"/>
      <c r="H2221" s="138"/>
      <c r="I2221" s="138"/>
      <c r="J2221" s="138"/>
      <c r="K2221" s="138"/>
      <c r="L2221" s="138">
        <v>0.0</v>
      </c>
      <c r="M2221" s="140" t="str">
        <f>VLOOKUP(text(D2221, "#"),'Master Table'!$A:$F, 6, FALSE)</f>
        <v>#N/A</v>
      </c>
      <c r="N2221" s="141"/>
      <c r="O2221" s="142" t="str">
        <f t="shared" si="1"/>
        <v/>
      </c>
      <c r="P2221" s="143" t="str">
        <f>IF(ISNA(VLOOKUP(CONCAT(M2221,C2221), 'Judge Count DO NOT EDIT'!H:H, 1, FALSE)), "ERROR","")</f>
        <v>ERROR</v>
      </c>
      <c r="Q2221" s="141"/>
      <c r="R2221" s="143"/>
      <c r="S2221" s="139"/>
      <c r="T2221" s="141"/>
    </row>
    <row r="2222">
      <c r="A2222" s="138"/>
      <c r="B2222" s="138"/>
      <c r="C2222" s="138"/>
      <c r="D2222" s="139"/>
      <c r="E2222" s="138"/>
      <c r="F2222" s="138"/>
      <c r="G2222" s="138"/>
      <c r="H2222" s="138"/>
      <c r="I2222" s="138"/>
      <c r="J2222" s="138"/>
      <c r="K2222" s="138"/>
      <c r="L2222" s="138">
        <v>0.0</v>
      </c>
      <c r="M2222" s="140" t="str">
        <f>VLOOKUP(text(D2222, "#"),'Master Table'!$A:$F, 6, FALSE)</f>
        <v>#N/A</v>
      </c>
      <c r="N2222" s="141"/>
      <c r="O2222" s="142" t="str">
        <f t="shared" si="1"/>
        <v/>
      </c>
      <c r="P2222" s="143" t="str">
        <f>IF(ISNA(VLOOKUP(CONCAT(M2222,C2222), 'Judge Count DO NOT EDIT'!H:H, 1, FALSE)), "ERROR","")</f>
        <v>ERROR</v>
      </c>
      <c r="Q2222" s="141"/>
      <c r="R2222" s="143"/>
      <c r="S2222" s="139"/>
      <c r="T2222" s="141"/>
    </row>
    <row r="2223">
      <c r="A2223" s="138"/>
      <c r="B2223" s="138"/>
      <c r="C2223" s="138"/>
      <c r="D2223" s="139"/>
      <c r="E2223" s="138"/>
      <c r="F2223" s="138"/>
      <c r="G2223" s="138"/>
      <c r="H2223" s="138"/>
      <c r="I2223" s="138"/>
      <c r="J2223" s="138"/>
      <c r="K2223" s="138"/>
      <c r="L2223" s="138">
        <v>0.0</v>
      </c>
      <c r="M2223" s="140" t="str">
        <f>VLOOKUP(text(D2223, "#"),'Master Table'!$A:$F, 6, FALSE)</f>
        <v>#N/A</v>
      </c>
      <c r="N2223" s="141"/>
      <c r="O2223" s="142" t="str">
        <f t="shared" si="1"/>
        <v/>
      </c>
      <c r="P2223" s="143" t="str">
        <f>IF(ISNA(VLOOKUP(CONCAT(M2223,C2223), 'Judge Count DO NOT EDIT'!H:H, 1, FALSE)), "ERROR","")</f>
        <v>ERROR</v>
      </c>
      <c r="Q2223" s="141"/>
      <c r="R2223" s="143"/>
      <c r="S2223" s="139"/>
      <c r="T2223" s="141"/>
    </row>
    <row r="2224">
      <c r="A2224" s="138"/>
      <c r="B2224" s="138"/>
      <c r="C2224" s="138"/>
      <c r="D2224" s="139"/>
      <c r="E2224" s="138"/>
      <c r="F2224" s="138"/>
      <c r="G2224" s="138"/>
      <c r="H2224" s="138"/>
      <c r="I2224" s="138"/>
      <c r="J2224" s="138"/>
      <c r="K2224" s="138"/>
      <c r="L2224" s="138">
        <v>0.0</v>
      </c>
      <c r="M2224" s="140" t="str">
        <f>VLOOKUP(text(D2224, "#"),'Master Table'!$A:$F, 6, FALSE)</f>
        <v>#N/A</v>
      </c>
      <c r="N2224" s="141"/>
      <c r="O2224" s="142" t="str">
        <f t="shared" si="1"/>
        <v/>
      </c>
      <c r="P2224" s="143" t="str">
        <f>IF(ISNA(VLOOKUP(CONCAT(M2224,C2224), 'Judge Count DO NOT EDIT'!H:H, 1, FALSE)), "ERROR","")</f>
        <v>ERROR</v>
      </c>
      <c r="Q2224" s="141"/>
      <c r="R2224" s="143"/>
      <c r="S2224" s="139"/>
      <c r="T2224" s="141"/>
    </row>
    <row r="2225">
      <c r="A2225" s="138"/>
      <c r="B2225" s="138"/>
      <c r="C2225" s="138"/>
      <c r="D2225" s="139"/>
      <c r="E2225" s="138"/>
      <c r="F2225" s="138"/>
      <c r="G2225" s="138"/>
      <c r="H2225" s="138"/>
      <c r="I2225" s="138"/>
      <c r="J2225" s="138"/>
      <c r="K2225" s="138"/>
      <c r="L2225" s="138">
        <v>0.0</v>
      </c>
      <c r="M2225" s="140" t="str">
        <f>VLOOKUP(text(D2225, "#"),'Master Table'!$A:$F, 6, FALSE)</f>
        <v>#N/A</v>
      </c>
      <c r="N2225" s="141"/>
      <c r="O2225" s="142" t="str">
        <f t="shared" si="1"/>
        <v/>
      </c>
      <c r="P2225" s="143" t="str">
        <f>IF(ISNA(VLOOKUP(CONCAT(M2225,C2225), 'Judge Count DO NOT EDIT'!H:H, 1, FALSE)), "ERROR","")</f>
        <v>ERROR</v>
      </c>
      <c r="Q2225" s="141"/>
      <c r="R2225" s="143"/>
      <c r="S2225" s="139"/>
      <c r="T2225" s="141"/>
    </row>
    <row r="2226">
      <c r="A2226" s="138"/>
      <c r="B2226" s="138"/>
      <c r="C2226" s="138"/>
      <c r="D2226" s="139"/>
      <c r="E2226" s="138"/>
      <c r="F2226" s="138"/>
      <c r="G2226" s="138"/>
      <c r="H2226" s="138"/>
      <c r="I2226" s="138"/>
      <c r="J2226" s="138"/>
      <c r="K2226" s="138"/>
      <c r="L2226" s="138">
        <v>0.0</v>
      </c>
      <c r="M2226" s="140" t="str">
        <f>VLOOKUP(text(D2226, "#"),'Master Table'!$A:$F, 6, FALSE)</f>
        <v>#N/A</v>
      </c>
      <c r="N2226" s="141"/>
      <c r="O2226" s="142" t="str">
        <f t="shared" si="1"/>
        <v/>
      </c>
      <c r="P2226" s="143" t="str">
        <f>IF(ISNA(VLOOKUP(CONCAT(M2226,C2226), 'Judge Count DO NOT EDIT'!H:H, 1, FALSE)), "ERROR","")</f>
        <v>ERROR</v>
      </c>
      <c r="Q2226" s="141"/>
      <c r="R2226" s="143"/>
      <c r="S2226" s="139"/>
      <c r="T2226" s="141"/>
    </row>
    <row r="2227">
      <c r="A2227" s="138"/>
      <c r="B2227" s="138"/>
      <c r="C2227" s="138"/>
      <c r="D2227" s="139"/>
      <c r="E2227" s="138"/>
      <c r="F2227" s="138"/>
      <c r="G2227" s="138"/>
      <c r="H2227" s="138"/>
      <c r="I2227" s="138"/>
      <c r="J2227" s="138"/>
      <c r="K2227" s="138"/>
      <c r="L2227" s="138">
        <v>0.0</v>
      </c>
      <c r="M2227" s="140" t="str">
        <f>VLOOKUP(text(D2227, "#"),'Master Table'!$A:$F, 6, FALSE)</f>
        <v>#N/A</v>
      </c>
      <c r="N2227" s="141"/>
      <c r="O2227" s="142" t="str">
        <f t="shared" si="1"/>
        <v/>
      </c>
      <c r="P2227" s="143" t="str">
        <f>IF(ISNA(VLOOKUP(CONCAT(M2227,C2227), 'Judge Count DO NOT EDIT'!H:H, 1, FALSE)), "ERROR","")</f>
        <v>ERROR</v>
      </c>
      <c r="Q2227" s="141"/>
      <c r="R2227" s="143"/>
      <c r="S2227" s="139"/>
      <c r="T2227" s="141"/>
    </row>
    <row r="2228">
      <c r="A2228" s="138"/>
      <c r="B2228" s="138"/>
      <c r="C2228" s="138"/>
      <c r="D2228" s="139"/>
      <c r="E2228" s="138"/>
      <c r="F2228" s="138"/>
      <c r="G2228" s="138"/>
      <c r="H2228" s="138"/>
      <c r="I2228" s="138"/>
      <c r="J2228" s="138"/>
      <c r="K2228" s="138"/>
      <c r="L2228" s="138">
        <v>0.0</v>
      </c>
      <c r="M2228" s="140" t="str">
        <f>VLOOKUP(text(D2228, "#"),'Master Table'!$A:$F, 6, FALSE)</f>
        <v>#N/A</v>
      </c>
      <c r="N2228" s="141"/>
      <c r="O2228" s="142" t="str">
        <f t="shared" si="1"/>
        <v/>
      </c>
      <c r="P2228" s="143" t="str">
        <f>IF(ISNA(VLOOKUP(CONCAT(M2228,C2228), 'Judge Count DO NOT EDIT'!H:H, 1, FALSE)), "ERROR","")</f>
        <v>ERROR</v>
      </c>
      <c r="Q2228" s="141"/>
      <c r="R2228" s="143"/>
      <c r="S2228" s="139"/>
      <c r="T2228" s="141"/>
    </row>
    <row r="2229">
      <c r="A2229" s="138"/>
      <c r="B2229" s="138"/>
      <c r="C2229" s="138"/>
      <c r="D2229" s="139"/>
      <c r="E2229" s="138"/>
      <c r="F2229" s="138"/>
      <c r="G2229" s="138"/>
      <c r="H2229" s="138"/>
      <c r="I2229" s="138"/>
      <c r="J2229" s="138"/>
      <c r="K2229" s="138"/>
      <c r="L2229" s="138">
        <v>0.0</v>
      </c>
      <c r="M2229" s="140" t="str">
        <f>VLOOKUP(text(D2229, "#"),'Master Table'!$A:$F, 6, FALSE)</f>
        <v>#N/A</v>
      </c>
      <c r="N2229" s="141"/>
      <c r="O2229" s="142" t="str">
        <f t="shared" si="1"/>
        <v/>
      </c>
      <c r="P2229" s="143" t="str">
        <f>IF(ISNA(VLOOKUP(CONCAT(M2229,C2229), 'Judge Count DO NOT EDIT'!H:H, 1, FALSE)), "ERROR","")</f>
        <v>ERROR</v>
      </c>
      <c r="Q2229" s="141"/>
      <c r="R2229" s="143"/>
      <c r="S2229" s="139"/>
      <c r="T2229" s="141"/>
    </row>
    <row r="2230">
      <c r="A2230" s="138"/>
      <c r="B2230" s="138"/>
      <c r="C2230" s="138"/>
      <c r="D2230" s="139"/>
      <c r="E2230" s="138"/>
      <c r="F2230" s="138"/>
      <c r="G2230" s="138"/>
      <c r="H2230" s="138"/>
      <c r="I2230" s="138"/>
      <c r="J2230" s="138"/>
      <c r="K2230" s="138"/>
      <c r="L2230" s="138">
        <v>0.0</v>
      </c>
      <c r="M2230" s="140" t="str">
        <f>VLOOKUP(text(D2230, "#"),'Master Table'!$A:$F, 6, FALSE)</f>
        <v>#N/A</v>
      </c>
      <c r="N2230" s="141"/>
      <c r="O2230" s="142" t="str">
        <f t="shared" si="1"/>
        <v/>
      </c>
      <c r="P2230" s="143" t="str">
        <f>IF(ISNA(VLOOKUP(CONCAT(M2230,C2230), 'Judge Count DO NOT EDIT'!H:H, 1, FALSE)), "ERROR","")</f>
        <v>ERROR</v>
      </c>
      <c r="Q2230" s="141"/>
      <c r="R2230" s="143"/>
      <c r="S2230" s="139"/>
      <c r="T2230" s="141"/>
    </row>
    <row r="2231">
      <c r="A2231" s="138"/>
      <c r="B2231" s="138"/>
      <c r="C2231" s="138"/>
      <c r="D2231" s="139"/>
      <c r="E2231" s="138"/>
      <c r="F2231" s="138"/>
      <c r="G2231" s="138"/>
      <c r="H2231" s="138"/>
      <c r="I2231" s="138"/>
      <c r="J2231" s="138"/>
      <c r="K2231" s="138"/>
      <c r="L2231" s="138">
        <v>0.0</v>
      </c>
      <c r="M2231" s="140" t="str">
        <f>VLOOKUP(text(D2231, "#"),'Master Table'!$A:$F, 6, FALSE)</f>
        <v>#N/A</v>
      </c>
      <c r="N2231" s="141"/>
      <c r="O2231" s="142" t="str">
        <f t="shared" si="1"/>
        <v/>
      </c>
      <c r="P2231" s="143" t="str">
        <f>IF(ISNA(VLOOKUP(CONCAT(M2231,C2231), 'Judge Count DO NOT EDIT'!H:H, 1, FALSE)), "ERROR","")</f>
        <v>ERROR</v>
      </c>
      <c r="Q2231" s="141"/>
      <c r="R2231" s="143"/>
      <c r="S2231" s="139"/>
      <c r="T2231" s="141"/>
    </row>
    <row r="2232">
      <c r="A2232" s="138"/>
      <c r="B2232" s="138"/>
      <c r="C2232" s="138"/>
      <c r="D2232" s="139"/>
      <c r="E2232" s="138"/>
      <c r="F2232" s="138"/>
      <c r="G2232" s="138"/>
      <c r="H2232" s="138"/>
      <c r="I2232" s="138"/>
      <c r="J2232" s="138"/>
      <c r="K2232" s="138"/>
      <c r="L2232" s="138">
        <v>0.0</v>
      </c>
      <c r="M2232" s="140" t="str">
        <f>VLOOKUP(text(D2232, "#"),'Master Table'!$A:$F, 6, FALSE)</f>
        <v>#N/A</v>
      </c>
      <c r="N2232" s="141"/>
      <c r="O2232" s="142" t="str">
        <f t="shared" si="1"/>
        <v/>
      </c>
      <c r="P2232" s="143" t="str">
        <f>IF(ISNA(VLOOKUP(CONCAT(M2232,C2232), 'Judge Count DO NOT EDIT'!H:H, 1, FALSE)), "ERROR","")</f>
        <v>ERROR</v>
      </c>
      <c r="Q2232" s="141"/>
      <c r="R2232" s="143"/>
      <c r="S2232" s="139"/>
      <c r="T2232" s="141"/>
    </row>
    <row r="2233">
      <c r="A2233" s="138"/>
      <c r="B2233" s="138"/>
      <c r="C2233" s="138"/>
      <c r="D2233" s="139"/>
      <c r="E2233" s="138"/>
      <c r="F2233" s="138"/>
      <c r="G2233" s="138"/>
      <c r="H2233" s="138"/>
      <c r="I2233" s="138"/>
      <c r="J2233" s="138"/>
      <c r="K2233" s="138"/>
      <c r="L2233" s="138">
        <v>0.0</v>
      </c>
      <c r="M2233" s="140" t="str">
        <f>VLOOKUP(text(D2233, "#"),'Master Table'!$A:$F, 6, FALSE)</f>
        <v>#N/A</v>
      </c>
      <c r="N2233" s="141"/>
      <c r="O2233" s="142" t="str">
        <f t="shared" si="1"/>
        <v/>
      </c>
      <c r="P2233" s="143" t="str">
        <f>IF(ISNA(VLOOKUP(CONCAT(M2233,C2233), 'Judge Count DO NOT EDIT'!H:H, 1, FALSE)), "ERROR","")</f>
        <v>ERROR</v>
      </c>
      <c r="Q2233" s="141"/>
      <c r="R2233" s="143"/>
      <c r="S2233" s="139"/>
      <c r="T2233" s="141"/>
    </row>
    <row r="2234">
      <c r="A2234" s="138"/>
      <c r="B2234" s="138"/>
      <c r="C2234" s="138"/>
      <c r="D2234" s="139"/>
      <c r="E2234" s="138"/>
      <c r="F2234" s="138"/>
      <c r="G2234" s="138"/>
      <c r="H2234" s="138"/>
      <c r="I2234" s="138"/>
      <c r="J2234" s="138"/>
      <c r="K2234" s="138"/>
      <c r="L2234" s="138">
        <v>0.0</v>
      </c>
      <c r="M2234" s="140" t="str">
        <f>VLOOKUP(text(D2234, "#"),'Master Table'!$A:$F, 6, FALSE)</f>
        <v>#N/A</v>
      </c>
      <c r="N2234" s="141"/>
      <c r="O2234" s="142" t="str">
        <f t="shared" si="1"/>
        <v/>
      </c>
      <c r="P2234" s="143" t="str">
        <f>IF(ISNA(VLOOKUP(CONCAT(M2234,C2234), 'Judge Count DO NOT EDIT'!H:H, 1, FALSE)), "ERROR","")</f>
        <v>ERROR</v>
      </c>
      <c r="Q2234" s="141"/>
      <c r="R2234" s="143"/>
      <c r="S2234" s="139"/>
      <c r="T2234" s="141"/>
    </row>
    <row r="2235">
      <c r="A2235" s="138"/>
      <c r="B2235" s="138"/>
      <c r="C2235" s="138"/>
      <c r="D2235" s="139"/>
      <c r="E2235" s="138"/>
      <c r="F2235" s="138"/>
      <c r="G2235" s="138"/>
      <c r="H2235" s="138"/>
      <c r="I2235" s="138"/>
      <c r="J2235" s="138"/>
      <c r="K2235" s="138"/>
      <c r="L2235" s="138">
        <v>0.0</v>
      </c>
      <c r="M2235" s="140" t="str">
        <f>VLOOKUP(text(D2235, "#"),'Master Table'!$A:$F, 6, FALSE)</f>
        <v>#N/A</v>
      </c>
      <c r="N2235" s="141"/>
      <c r="O2235" s="142" t="str">
        <f t="shared" si="1"/>
        <v/>
      </c>
      <c r="P2235" s="143" t="str">
        <f>IF(ISNA(VLOOKUP(CONCAT(M2235,C2235), 'Judge Count DO NOT EDIT'!H:H, 1, FALSE)), "ERROR","")</f>
        <v>ERROR</v>
      </c>
      <c r="Q2235" s="141"/>
      <c r="R2235" s="143"/>
      <c r="S2235" s="139"/>
      <c r="T2235" s="141"/>
    </row>
    <row r="2236">
      <c r="A2236" s="138"/>
      <c r="B2236" s="138"/>
      <c r="C2236" s="138"/>
      <c r="D2236" s="139"/>
      <c r="E2236" s="138"/>
      <c r="F2236" s="138"/>
      <c r="G2236" s="138"/>
      <c r="H2236" s="138"/>
      <c r="I2236" s="138"/>
      <c r="J2236" s="138"/>
      <c r="K2236" s="138"/>
      <c r="L2236" s="138">
        <v>0.0</v>
      </c>
      <c r="M2236" s="140" t="str">
        <f>VLOOKUP(text(D2236, "#"),'Master Table'!$A:$F, 6, FALSE)</f>
        <v>#N/A</v>
      </c>
      <c r="N2236" s="141"/>
      <c r="O2236" s="142" t="str">
        <f t="shared" si="1"/>
        <v/>
      </c>
      <c r="P2236" s="143" t="str">
        <f>IF(ISNA(VLOOKUP(CONCAT(M2236,C2236), 'Judge Count DO NOT EDIT'!H:H, 1, FALSE)), "ERROR","")</f>
        <v>ERROR</v>
      </c>
      <c r="Q2236" s="141"/>
      <c r="R2236" s="143"/>
      <c r="S2236" s="139"/>
      <c r="T2236" s="141"/>
    </row>
    <row r="2237">
      <c r="A2237" s="138"/>
      <c r="B2237" s="138"/>
      <c r="C2237" s="138"/>
      <c r="D2237" s="139"/>
      <c r="E2237" s="138"/>
      <c r="F2237" s="138"/>
      <c r="G2237" s="138"/>
      <c r="H2237" s="138"/>
      <c r="I2237" s="138"/>
      <c r="J2237" s="138"/>
      <c r="K2237" s="138"/>
      <c r="L2237" s="138">
        <v>0.0</v>
      </c>
      <c r="M2237" s="140" t="str">
        <f>VLOOKUP(text(D2237, "#"),'Master Table'!$A:$F, 6, FALSE)</f>
        <v>#N/A</v>
      </c>
      <c r="N2237" s="141"/>
      <c r="O2237" s="142" t="str">
        <f t="shared" si="1"/>
        <v/>
      </c>
      <c r="P2237" s="143" t="str">
        <f>IF(ISNA(VLOOKUP(CONCAT(M2237,C2237), 'Judge Count DO NOT EDIT'!H:H, 1, FALSE)), "ERROR","")</f>
        <v>ERROR</v>
      </c>
      <c r="Q2237" s="141"/>
      <c r="R2237" s="143"/>
      <c r="S2237" s="139"/>
      <c r="T2237" s="141"/>
    </row>
    <row r="2238">
      <c r="A2238" s="138"/>
      <c r="B2238" s="138"/>
      <c r="C2238" s="138"/>
      <c r="D2238" s="139"/>
      <c r="E2238" s="138"/>
      <c r="F2238" s="138"/>
      <c r="G2238" s="138"/>
      <c r="H2238" s="138"/>
      <c r="I2238" s="138"/>
      <c r="J2238" s="138"/>
      <c r="K2238" s="138"/>
      <c r="L2238" s="138">
        <v>0.0</v>
      </c>
      <c r="M2238" s="140" t="str">
        <f>VLOOKUP(text(D2238, "#"),'Master Table'!$A:$F, 6, FALSE)</f>
        <v>#N/A</v>
      </c>
      <c r="N2238" s="141"/>
      <c r="O2238" s="142" t="str">
        <f t="shared" si="1"/>
        <v/>
      </c>
      <c r="P2238" s="143" t="str">
        <f>IF(ISNA(VLOOKUP(CONCAT(M2238,C2238), 'Judge Count DO NOT EDIT'!H:H, 1, FALSE)), "ERROR","")</f>
        <v>ERROR</v>
      </c>
      <c r="Q2238" s="141"/>
      <c r="R2238" s="143"/>
      <c r="S2238" s="139"/>
      <c r="T2238" s="141"/>
    </row>
    <row r="2239">
      <c r="A2239" s="138"/>
      <c r="B2239" s="138"/>
      <c r="C2239" s="138"/>
      <c r="D2239" s="139"/>
      <c r="E2239" s="138"/>
      <c r="F2239" s="138"/>
      <c r="G2239" s="138"/>
      <c r="H2239" s="138"/>
      <c r="I2239" s="138"/>
      <c r="J2239" s="138"/>
      <c r="K2239" s="138"/>
      <c r="L2239" s="138">
        <v>0.0</v>
      </c>
      <c r="M2239" s="140" t="str">
        <f>VLOOKUP(text(D2239, "#"),'Master Table'!$A:$F, 6, FALSE)</f>
        <v>#N/A</v>
      </c>
      <c r="N2239" s="141"/>
      <c r="O2239" s="142" t="str">
        <f t="shared" si="1"/>
        <v/>
      </c>
      <c r="P2239" s="143" t="str">
        <f>IF(ISNA(VLOOKUP(CONCAT(M2239,C2239), 'Judge Count DO NOT EDIT'!H:H, 1, FALSE)), "ERROR","")</f>
        <v>ERROR</v>
      </c>
      <c r="Q2239" s="141"/>
      <c r="R2239" s="143"/>
      <c r="S2239" s="139"/>
      <c r="T2239" s="141"/>
    </row>
    <row r="2240">
      <c r="A2240" s="138"/>
      <c r="B2240" s="138"/>
      <c r="C2240" s="138"/>
      <c r="D2240" s="139"/>
      <c r="E2240" s="138"/>
      <c r="F2240" s="138"/>
      <c r="G2240" s="138"/>
      <c r="H2240" s="138"/>
      <c r="I2240" s="138"/>
      <c r="J2240" s="138"/>
      <c r="K2240" s="138"/>
      <c r="L2240" s="138">
        <v>0.0</v>
      </c>
      <c r="M2240" s="140" t="str">
        <f>VLOOKUP(text(D2240, "#"),'Master Table'!$A:$F, 6, FALSE)</f>
        <v>#N/A</v>
      </c>
      <c r="N2240" s="141"/>
      <c r="O2240" s="142" t="str">
        <f t="shared" si="1"/>
        <v/>
      </c>
      <c r="P2240" s="143" t="str">
        <f>IF(ISNA(VLOOKUP(CONCAT(M2240,C2240), 'Judge Count DO NOT EDIT'!H:H, 1, FALSE)), "ERROR","")</f>
        <v>ERROR</v>
      </c>
      <c r="Q2240" s="141"/>
      <c r="R2240" s="143"/>
      <c r="S2240" s="139"/>
      <c r="T2240" s="141"/>
    </row>
    <row r="2241">
      <c r="A2241" s="138"/>
      <c r="B2241" s="138"/>
      <c r="C2241" s="138"/>
      <c r="D2241" s="139"/>
      <c r="E2241" s="138"/>
      <c r="F2241" s="138"/>
      <c r="G2241" s="138"/>
      <c r="H2241" s="138"/>
      <c r="I2241" s="138"/>
      <c r="J2241" s="138"/>
      <c r="K2241" s="138"/>
      <c r="L2241" s="138">
        <v>0.0</v>
      </c>
      <c r="M2241" s="140" t="str">
        <f>VLOOKUP(text(D2241, "#"),'Master Table'!$A:$F, 6, FALSE)</f>
        <v>#N/A</v>
      </c>
      <c r="N2241" s="141"/>
      <c r="O2241" s="142" t="str">
        <f t="shared" si="1"/>
        <v/>
      </c>
      <c r="P2241" s="143" t="str">
        <f>IF(ISNA(VLOOKUP(CONCAT(M2241,C2241), 'Judge Count DO NOT EDIT'!H:H, 1, FALSE)), "ERROR","")</f>
        <v>ERROR</v>
      </c>
      <c r="Q2241" s="141"/>
      <c r="R2241" s="143"/>
      <c r="S2241" s="139"/>
      <c r="T2241" s="141"/>
    </row>
    <row r="2242">
      <c r="A2242" s="138"/>
      <c r="B2242" s="138"/>
      <c r="C2242" s="138"/>
      <c r="D2242" s="139"/>
      <c r="E2242" s="138"/>
      <c r="F2242" s="138"/>
      <c r="G2242" s="138"/>
      <c r="H2242" s="138"/>
      <c r="I2242" s="138"/>
      <c r="J2242" s="138"/>
      <c r="K2242" s="138"/>
      <c r="L2242" s="138">
        <v>0.0</v>
      </c>
      <c r="M2242" s="140" t="str">
        <f>VLOOKUP(text(D2242, "#"),'Master Table'!$A:$F, 6, FALSE)</f>
        <v>#N/A</v>
      </c>
      <c r="N2242" s="141"/>
      <c r="O2242" s="142" t="str">
        <f t="shared" si="1"/>
        <v/>
      </c>
      <c r="P2242" s="143" t="str">
        <f>IF(ISNA(VLOOKUP(CONCAT(M2242,C2242), 'Judge Count DO NOT EDIT'!H:H, 1, FALSE)), "ERROR","")</f>
        <v>ERROR</v>
      </c>
      <c r="Q2242" s="141"/>
      <c r="R2242" s="143"/>
      <c r="S2242" s="139"/>
      <c r="T2242" s="141"/>
    </row>
    <row r="2243">
      <c r="A2243" s="138"/>
      <c r="B2243" s="138"/>
      <c r="C2243" s="138"/>
      <c r="D2243" s="139"/>
      <c r="E2243" s="138"/>
      <c r="F2243" s="138"/>
      <c r="G2243" s="138"/>
      <c r="H2243" s="138"/>
      <c r="I2243" s="138"/>
      <c r="J2243" s="138"/>
      <c r="K2243" s="138"/>
      <c r="L2243" s="138">
        <v>0.0</v>
      </c>
      <c r="M2243" s="140" t="str">
        <f>VLOOKUP(text(D2243, "#"),'Master Table'!$A:$F, 6, FALSE)</f>
        <v>#N/A</v>
      </c>
      <c r="N2243" s="141"/>
      <c r="O2243" s="142" t="str">
        <f t="shared" si="1"/>
        <v/>
      </c>
      <c r="P2243" s="143" t="str">
        <f>IF(ISNA(VLOOKUP(CONCAT(M2243,C2243), 'Judge Count DO NOT EDIT'!H:H, 1, FALSE)), "ERROR","")</f>
        <v>ERROR</v>
      </c>
      <c r="Q2243" s="141"/>
      <c r="R2243" s="143"/>
      <c r="S2243" s="139"/>
      <c r="T2243" s="141"/>
    </row>
    <row r="2244">
      <c r="A2244" s="138"/>
      <c r="B2244" s="138"/>
      <c r="C2244" s="138"/>
      <c r="D2244" s="139"/>
      <c r="E2244" s="138"/>
      <c r="F2244" s="138"/>
      <c r="G2244" s="138"/>
      <c r="H2244" s="138"/>
      <c r="I2244" s="138"/>
      <c r="J2244" s="138"/>
      <c r="K2244" s="138"/>
      <c r="L2244" s="138">
        <v>0.0</v>
      </c>
      <c r="M2244" s="140" t="str">
        <f>VLOOKUP(text(D2244, "#"),'Master Table'!$A:$F, 6, FALSE)</f>
        <v>#N/A</v>
      </c>
      <c r="N2244" s="141"/>
      <c r="O2244" s="142" t="str">
        <f t="shared" si="1"/>
        <v/>
      </c>
      <c r="P2244" s="143" t="str">
        <f>IF(ISNA(VLOOKUP(CONCAT(M2244,C2244), 'Judge Count DO NOT EDIT'!H:H, 1, FALSE)), "ERROR","")</f>
        <v>ERROR</v>
      </c>
      <c r="Q2244" s="141"/>
      <c r="R2244" s="143"/>
      <c r="S2244" s="139"/>
      <c r="T2244" s="141"/>
    </row>
    <row r="2245">
      <c r="A2245" s="138"/>
      <c r="B2245" s="138"/>
      <c r="C2245" s="138"/>
      <c r="D2245" s="139"/>
      <c r="E2245" s="138"/>
      <c r="F2245" s="138"/>
      <c r="G2245" s="138"/>
      <c r="H2245" s="138"/>
      <c r="I2245" s="138"/>
      <c r="J2245" s="138"/>
      <c r="K2245" s="138"/>
      <c r="L2245" s="138">
        <v>0.0</v>
      </c>
      <c r="M2245" s="140" t="str">
        <f>VLOOKUP(text(D2245, "#"),'Master Table'!$A:$F, 6, FALSE)</f>
        <v>#N/A</v>
      </c>
      <c r="N2245" s="141"/>
      <c r="O2245" s="142" t="str">
        <f t="shared" si="1"/>
        <v/>
      </c>
      <c r="P2245" s="143" t="str">
        <f>IF(ISNA(VLOOKUP(CONCAT(M2245,C2245), 'Judge Count DO NOT EDIT'!H:H, 1, FALSE)), "ERROR","")</f>
        <v>ERROR</v>
      </c>
      <c r="Q2245" s="141"/>
      <c r="R2245" s="143"/>
      <c r="S2245" s="139"/>
      <c r="T2245" s="141"/>
    </row>
    <row r="2246">
      <c r="A2246" s="138"/>
      <c r="B2246" s="138"/>
      <c r="C2246" s="138"/>
      <c r="D2246" s="139"/>
      <c r="E2246" s="138"/>
      <c r="F2246" s="138"/>
      <c r="G2246" s="138"/>
      <c r="H2246" s="138"/>
      <c r="I2246" s="138"/>
      <c r="J2246" s="138"/>
      <c r="K2246" s="138"/>
      <c r="L2246" s="138">
        <v>0.0</v>
      </c>
      <c r="M2246" s="140" t="str">
        <f>VLOOKUP(text(D2246, "#"),'Master Table'!$A:$F, 6, FALSE)</f>
        <v>#N/A</v>
      </c>
      <c r="N2246" s="141"/>
      <c r="O2246" s="142" t="str">
        <f t="shared" si="1"/>
        <v/>
      </c>
      <c r="P2246" s="143" t="str">
        <f>IF(ISNA(VLOOKUP(CONCAT(M2246,C2246), 'Judge Count DO NOT EDIT'!H:H, 1, FALSE)), "ERROR","")</f>
        <v>ERROR</v>
      </c>
      <c r="Q2246" s="141"/>
      <c r="R2246" s="143"/>
      <c r="S2246" s="139"/>
      <c r="T2246" s="141"/>
    </row>
    <row r="2247">
      <c r="A2247" s="138"/>
      <c r="B2247" s="138"/>
      <c r="C2247" s="138"/>
      <c r="D2247" s="139"/>
      <c r="E2247" s="138"/>
      <c r="F2247" s="138"/>
      <c r="G2247" s="138"/>
      <c r="H2247" s="138"/>
      <c r="I2247" s="138"/>
      <c r="J2247" s="138"/>
      <c r="K2247" s="138"/>
      <c r="L2247" s="138">
        <v>0.0</v>
      </c>
      <c r="M2247" s="140" t="str">
        <f>VLOOKUP(text(D2247, "#"),'Master Table'!$A:$F, 6, FALSE)</f>
        <v>#N/A</v>
      </c>
      <c r="N2247" s="141"/>
      <c r="O2247" s="142" t="str">
        <f t="shared" si="1"/>
        <v/>
      </c>
      <c r="P2247" s="143" t="str">
        <f>IF(ISNA(VLOOKUP(CONCAT(M2247,C2247), 'Judge Count DO NOT EDIT'!H:H, 1, FALSE)), "ERROR","")</f>
        <v>ERROR</v>
      </c>
      <c r="Q2247" s="141"/>
      <c r="R2247" s="143"/>
      <c r="S2247" s="139"/>
      <c r="T2247" s="141"/>
    </row>
    <row r="2248">
      <c r="A2248" s="138"/>
      <c r="B2248" s="138"/>
      <c r="C2248" s="138"/>
      <c r="D2248" s="139"/>
      <c r="E2248" s="138"/>
      <c r="F2248" s="138"/>
      <c r="G2248" s="138"/>
      <c r="H2248" s="138"/>
      <c r="I2248" s="138"/>
      <c r="J2248" s="138"/>
      <c r="K2248" s="138"/>
      <c r="L2248" s="138">
        <v>0.0</v>
      </c>
      <c r="M2248" s="140" t="str">
        <f>VLOOKUP(text(D2248, "#"),'Master Table'!$A:$F, 6, FALSE)</f>
        <v>#N/A</v>
      </c>
      <c r="N2248" s="141"/>
      <c r="O2248" s="142" t="str">
        <f t="shared" si="1"/>
        <v/>
      </c>
      <c r="P2248" s="143" t="str">
        <f>IF(ISNA(VLOOKUP(CONCAT(M2248,C2248), 'Judge Count DO NOT EDIT'!H:H, 1, FALSE)), "ERROR","")</f>
        <v>ERROR</v>
      </c>
      <c r="Q2248" s="141"/>
      <c r="R2248" s="143"/>
      <c r="S2248" s="139"/>
      <c r="T2248" s="141"/>
    </row>
    <row r="2249">
      <c r="A2249" s="138"/>
      <c r="B2249" s="138"/>
      <c r="C2249" s="138"/>
      <c r="D2249" s="139"/>
      <c r="E2249" s="138"/>
      <c r="F2249" s="138"/>
      <c r="G2249" s="138"/>
      <c r="H2249" s="138"/>
      <c r="I2249" s="138"/>
      <c r="J2249" s="138"/>
      <c r="K2249" s="138"/>
      <c r="L2249" s="138">
        <v>0.0</v>
      </c>
      <c r="M2249" s="140" t="str">
        <f>VLOOKUP(text(D2249, "#"),'Master Table'!$A:$F, 6, FALSE)</f>
        <v>#N/A</v>
      </c>
      <c r="N2249" s="141"/>
      <c r="O2249" s="142" t="str">
        <f t="shared" si="1"/>
        <v/>
      </c>
      <c r="P2249" s="143" t="str">
        <f>IF(ISNA(VLOOKUP(CONCAT(M2249,C2249), 'Judge Count DO NOT EDIT'!H:H, 1, FALSE)), "ERROR","")</f>
        <v>ERROR</v>
      </c>
      <c r="Q2249" s="141"/>
      <c r="R2249" s="143"/>
      <c r="S2249" s="139"/>
      <c r="T2249" s="141"/>
    </row>
    <row r="2250">
      <c r="A2250" s="138"/>
      <c r="B2250" s="138"/>
      <c r="C2250" s="138"/>
      <c r="D2250" s="139"/>
      <c r="E2250" s="138"/>
      <c r="F2250" s="138"/>
      <c r="G2250" s="138"/>
      <c r="H2250" s="138"/>
      <c r="I2250" s="138"/>
      <c r="J2250" s="138"/>
      <c r="K2250" s="138"/>
      <c r="L2250" s="138">
        <v>0.0</v>
      </c>
      <c r="M2250" s="140" t="str">
        <f>VLOOKUP(text(D2250, "#"),'Master Table'!$A:$F, 6, FALSE)</f>
        <v>#N/A</v>
      </c>
      <c r="N2250" s="141"/>
      <c r="O2250" s="142" t="str">
        <f t="shared" si="1"/>
        <v/>
      </c>
      <c r="P2250" s="143" t="str">
        <f>IF(ISNA(VLOOKUP(CONCAT(M2250,C2250), 'Judge Count DO NOT EDIT'!H:H, 1, FALSE)), "ERROR","")</f>
        <v>ERROR</v>
      </c>
      <c r="Q2250" s="141"/>
      <c r="R2250" s="143"/>
      <c r="S2250" s="139"/>
      <c r="T2250" s="141"/>
    </row>
    <row r="2251">
      <c r="A2251" s="138"/>
      <c r="B2251" s="138"/>
      <c r="C2251" s="138"/>
      <c r="D2251" s="139"/>
      <c r="E2251" s="138"/>
      <c r="F2251" s="138"/>
      <c r="G2251" s="138"/>
      <c r="H2251" s="138"/>
      <c r="I2251" s="138"/>
      <c r="J2251" s="138"/>
      <c r="K2251" s="138"/>
      <c r="L2251" s="138">
        <v>0.0</v>
      </c>
      <c r="M2251" s="140" t="str">
        <f>VLOOKUP(text(D2251, "#"),'Master Table'!$A:$F, 6, FALSE)</f>
        <v>#N/A</v>
      </c>
      <c r="N2251" s="141"/>
      <c r="O2251" s="142" t="str">
        <f t="shared" si="1"/>
        <v/>
      </c>
      <c r="P2251" s="143" t="str">
        <f>IF(ISNA(VLOOKUP(CONCAT(M2251,C2251), 'Judge Count DO NOT EDIT'!H:H, 1, FALSE)), "ERROR","")</f>
        <v>ERROR</v>
      </c>
      <c r="Q2251" s="141"/>
      <c r="R2251" s="143"/>
      <c r="S2251" s="139"/>
      <c r="T2251" s="141"/>
    </row>
    <row r="2252">
      <c r="A2252" s="138"/>
      <c r="B2252" s="138"/>
      <c r="C2252" s="138"/>
      <c r="D2252" s="139"/>
      <c r="E2252" s="138"/>
      <c r="F2252" s="138"/>
      <c r="G2252" s="138"/>
      <c r="H2252" s="138"/>
      <c r="I2252" s="138"/>
      <c r="J2252" s="138"/>
      <c r="K2252" s="138"/>
      <c r="L2252" s="138">
        <v>0.0</v>
      </c>
      <c r="M2252" s="140" t="str">
        <f>VLOOKUP(text(D2252, "#"),'Master Table'!$A:$F, 6, FALSE)</f>
        <v>#N/A</v>
      </c>
      <c r="N2252" s="141"/>
      <c r="O2252" s="142" t="str">
        <f t="shared" si="1"/>
        <v/>
      </c>
      <c r="P2252" s="143" t="str">
        <f>IF(ISNA(VLOOKUP(CONCAT(M2252,C2252), 'Judge Count DO NOT EDIT'!H:H, 1, FALSE)), "ERROR","")</f>
        <v>ERROR</v>
      </c>
      <c r="Q2252" s="141"/>
      <c r="R2252" s="143"/>
      <c r="S2252" s="139"/>
      <c r="T2252" s="141"/>
    </row>
    <row r="2253">
      <c r="A2253" s="138"/>
      <c r="B2253" s="138"/>
      <c r="C2253" s="138"/>
      <c r="D2253" s="139"/>
      <c r="E2253" s="138"/>
      <c r="F2253" s="138"/>
      <c r="G2253" s="138"/>
      <c r="H2253" s="138"/>
      <c r="I2253" s="138"/>
      <c r="J2253" s="138"/>
      <c r="K2253" s="138"/>
      <c r="L2253" s="138">
        <v>0.0</v>
      </c>
      <c r="M2253" s="140" t="str">
        <f>VLOOKUP(text(D2253, "#"),'Master Table'!$A:$F, 6, FALSE)</f>
        <v>#N/A</v>
      </c>
      <c r="N2253" s="141"/>
      <c r="O2253" s="142" t="str">
        <f t="shared" si="1"/>
        <v/>
      </c>
      <c r="P2253" s="143" t="str">
        <f>IF(ISNA(VLOOKUP(CONCAT(M2253,C2253), 'Judge Count DO NOT EDIT'!H:H, 1, FALSE)), "ERROR","")</f>
        <v>ERROR</v>
      </c>
      <c r="Q2253" s="141"/>
      <c r="R2253" s="143"/>
      <c r="S2253" s="139"/>
      <c r="T2253" s="141"/>
    </row>
    <row r="2254">
      <c r="A2254" s="138"/>
      <c r="B2254" s="138"/>
      <c r="C2254" s="138"/>
      <c r="D2254" s="139"/>
      <c r="E2254" s="138"/>
      <c r="F2254" s="138"/>
      <c r="G2254" s="138"/>
      <c r="H2254" s="138"/>
      <c r="I2254" s="138"/>
      <c r="J2254" s="138"/>
      <c r="K2254" s="138"/>
      <c r="L2254" s="138">
        <v>0.0</v>
      </c>
      <c r="M2254" s="140" t="str">
        <f>VLOOKUP(text(D2254, "#"),'Master Table'!$A:$F, 6, FALSE)</f>
        <v>#N/A</v>
      </c>
      <c r="N2254" s="141"/>
      <c r="O2254" s="142" t="str">
        <f t="shared" si="1"/>
        <v/>
      </c>
      <c r="P2254" s="143" t="str">
        <f>IF(ISNA(VLOOKUP(CONCAT(M2254,C2254), 'Judge Count DO NOT EDIT'!H:H, 1, FALSE)), "ERROR","")</f>
        <v>ERROR</v>
      </c>
      <c r="Q2254" s="141"/>
      <c r="R2254" s="143"/>
      <c r="S2254" s="139"/>
      <c r="T2254" s="141"/>
    </row>
    <row r="2255">
      <c r="A2255" s="138"/>
      <c r="B2255" s="138"/>
      <c r="C2255" s="138"/>
      <c r="D2255" s="139"/>
      <c r="E2255" s="138"/>
      <c r="F2255" s="138"/>
      <c r="G2255" s="138"/>
      <c r="H2255" s="138"/>
      <c r="I2255" s="138"/>
      <c r="J2255" s="138"/>
      <c r="K2255" s="138"/>
      <c r="L2255" s="138">
        <v>0.0</v>
      </c>
      <c r="M2255" s="140" t="str">
        <f>VLOOKUP(text(D2255, "#"),'Master Table'!$A:$F, 6, FALSE)</f>
        <v>#N/A</v>
      </c>
      <c r="N2255" s="141"/>
      <c r="O2255" s="142" t="str">
        <f t="shared" si="1"/>
        <v/>
      </c>
      <c r="P2255" s="143" t="str">
        <f>IF(ISNA(VLOOKUP(CONCAT(M2255,C2255), 'Judge Count DO NOT EDIT'!H:H, 1, FALSE)), "ERROR","")</f>
        <v>ERROR</v>
      </c>
      <c r="Q2255" s="141"/>
      <c r="R2255" s="143"/>
      <c r="S2255" s="139"/>
      <c r="T2255" s="141"/>
    </row>
    <row r="2256">
      <c r="A2256" s="138"/>
      <c r="B2256" s="138"/>
      <c r="C2256" s="138"/>
      <c r="D2256" s="139"/>
      <c r="E2256" s="138"/>
      <c r="F2256" s="138"/>
      <c r="G2256" s="138"/>
      <c r="H2256" s="138"/>
      <c r="I2256" s="138"/>
      <c r="J2256" s="138"/>
      <c r="K2256" s="138"/>
      <c r="L2256" s="138">
        <v>0.0</v>
      </c>
      <c r="M2256" s="140" t="str">
        <f>VLOOKUP(text(D2256, "#"),'Master Table'!$A:$F, 6, FALSE)</f>
        <v>#N/A</v>
      </c>
      <c r="N2256" s="141"/>
      <c r="O2256" s="142" t="str">
        <f t="shared" si="1"/>
        <v/>
      </c>
      <c r="P2256" s="143" t="str">
        <f>IF(ISNA(VLOOKUP(CONCAT(M2256,C2256), 'Judge Count DO NOT EDIT'!H:H, 1, FALSE)), "ERROR","")</f>
        <v>ERROR</v>
      </c>
      <c r="Q2256" s="141"/>
      <c r="R2256" s="143"/>
      <c r="S2256" s="139"/>
      <c r="T2256" s="141"/>
    </row>
    <row r="2257">
      <c r="A2257" s="138"/>
      <c r="B2257" s="138"/>
      <c r="C2257" s="138"/>
      <c r="D2257" s="139"/>
      <c r="E2257" s="138"/>
      <c r="F2257" s="138"/>
      <c r="G2257" s="138"/>
      <c r="H2257" s="138"/>
      <c r="I2257" s="138"/>
      <c r="J2257" s="138"/>
      <c r="K2257" s="138"/>
      <c r="L2257" s="138">
        <v>0.0</v>
      </c>
      <c r="M2257" s="140" t="str">
        <f>VLOOKUP(text(D2257, "#"),'Master Table'!$A:$F, 6, FALSE)</f>
        <v>#N/A</v>
      </c>
      <c r="N2257" s="141"/>
      <c r="O2257" s="142" t="str">
        <f t="shared" si="1"/>
        <v/>
      </c>
      <c r="P2257" s="143" t="str">
        <f>IF(ISNA(VLOOKUP(CONCAT(M2257,C2257), 'Judge Count DO NOT EDIT'!H:H, 1, FALSE)), "ERROR","")</f>
        <v>ERROR</v>
      </c>
      <c r="Q2257" s="141"/>
      <c r="R2257" s="143"/>
      <c r="S2257" s="139"/>
      <c r="T2257" s="141"/>
    </row>
    <row r="2258">
      <c r="A2258" s="138"/>
      <c r="B2258" s="138"/>
      <c r="C2258" s="138"/>
      <c r="D2258" s="139"/>
      <c r="E2258" s="138"/>
      <c r="F2258" s="138"/>
      <c r="G2258" s="138"/>
      <c r="H2258" s="138"/>
      <c r="I2258" s="138"/>
      <c r="J2258" s="138"/>
      <c r="K2258" s="138"/>
      <c r="L2258" s="138">
        <v>0.0</v>
      </c>
      <c r="M2258" s="140" t="str">
        <f>VLOOKUP(text(D2258, "#"),'Master Table'!$A:$F, 6, FALSE)</f>
        <v>#N/A</v>
      </c>
      <c r="N2258" s="141"/>
      <c r="O2258" s="142" t="str">
        <f t="shared" si="1"/>
        <v/>
      </c>
      <c r="P2258" s="143" t="str">
        <f>IF(ISNA(VLOOKUP(CONCAT(M2258,C2258), 'Judge Count DO NOT EDIT'!H:H, 1, FALSE)), "ERROR","")</f>
        <v>ERROR</v>
      </c>
      <c r="Q2258" s="141"/>
      <c r="R2258" s="143"/>
      <c r="S2258" s="139"/>
      <c r="T2258" s="141"/>
    </row>
    <row r="2259">
      <c r="A2259" s="138"/>
      <c r="B2259" s="138"/>
      <c r="C2259" s="138"/>
      <c r="D2259" s="139"/>
      <c r="E2259" s="138"/>
      <c r="F2259" s="138"/>
      <c r="G2259" s="138"/>
      <c r="H2259" s="138"/>
      <c r="I2259" s="138"/>
      <c r="J2259" s="138"/>
      <c r="K2259" s="138"/>
      <c r="L2259" s="138">
        <v>0.0</v>
      </c>
      <c r="M2259" s="140" t="str">
        <f>VLOOKUP(text(D2259, "#"),'Master Table'!$A:$F, 6, FALSE)</f>
        <v>#N/A</v>
      </c>
      <c r="N2259" s="141"/>
      <c r="O2259" s="142" t="str">
        <f t="shared" si="1"/>
        <v/>
      </c>
      <c r="P2259" s="143" t="str">
        <f>IF(ISNA(VLOOKUP(CONCAT(M2259,C2259), 'Judge Count DO NOT EDIT'!H:H, 1, FALSE)), "ERROR","")</f>
        <v>ERROR</v>
      </c>
      <c r="Q2259" s="141"/>
      <c r="R2259" s="143"/>
      <c r="S2259" s="139"/>
      <c r="T2259" s="141"/>
    </row>
    <row r="2260">
      <c r="A2260" s="138"/>
      <c r="B2260" s="138"/>
      <c r="C2260" s="138"/>
      <c r="D2260" s="139"/>
      <c r="E2260" s="138"/>
      <c r="F2260" s="138"/>
      <c r="G2260" s="138"/>
      <c r="H2260" s="138"/>
      <c r="I2260" s="138"/>
      <c r="J2260" s="138"/>
      <c r="K2260" s="138"/>
      <c r="L2260" s="138">
        <v>0.0</v>
      </c>
      <c r="M2260" s="140" t="str">
        <f>VLOOKUP(text(D2260, "#"),'Master Table'!$A:$F, 6, FALSE)</f>
        <v>#N/A</v>
      </c>
      <c r="N2260" s="141"/>
      <c r="O2260" s="142" t="str">
        <f t="shared" si="1"/>
        <v/>
      </c>
      <c r="P2260" s="143" t="str">
        <f>IF(ISNA(VLOOKUP(CONCAT(M2260,C2260), 'Judge Count DO NOT EDIT'!H:H, 1, FALSE)), "ERROR","")</f>
        <v>ERROR</v>
      </c>
      <c r="Q2260" s="141"/>
      <c r="R2260" s="143"/>
      <c r="S2260" s="139"/>
      <c r="T2260" s="141"/>
    </row>
    <row r="2261">
      <c r="A2261" s="138"/>
      <c r="B2261" s="138"/>
      <c r="C2261" s="138"/>
      <c r="D2261" s="139"/>
      <c r="E2261" s="138"/>
      <c r="F2261" s="138"/>
      <c r="G2261" s="138"/>
      <c r="H2261" s="138"/>
      <c r="I2261" s="138"/>
      <c r="J2261" s="138"/>
      <c r="K2261" s="138"/>
      <c r="L2261" s="138">
        <v>0.0</v>
      </c>
      <c r="M2261" s="140" t="str">
        <f>VLOOKUP(text(D2261, "#"),'Master Table'!$A:$F, 6, FALSE)</f>
        <v>#N/A</v>
      </c>
      <c r="N2261" s="141"/>
      <c r="O2261" s="142" t="str">
        <f t="shared" si="1"/>
        <v/>
      </c>
      <c r="P2261" s="143" t="str">
        <f>IF(ISNA(VLOOKUP(CONCAT(M2261,C2261), 'Judge Count DO NOT EDIT'!H:H, 1, FALSE)), "ERROR","")</f>
        <v>ERROR</v>
      </c>
      <c r="Q2261" s="141"/>
      <c r="R2261" s="143"/>
      <c r="S2261" s="139"/>
      <c r="T2261" s="141"/>
    </row>
    <row r="2262">
      <c r="A2262" s="138"/>
      <c r="B2262" s="138"/>
      <c r="C2262" s="138"/>
      <c r="D2262" s="139"/>
      <c r="E2262" s="138"/>
      <c r="F2262" s="138"/>
      <c r="G2262" s="138"/>
      <c r="H2262" s="138"/>
      <c r="I2262" s="138"/>
      <c r="J2262" s="138"/>
      <c r="K2262" s="138"/>
      <c r="L2262" s="138">
        <v>0.0</v>
      </c>
      <c r="M2262" s="140" t="str">
        <f>VLOOKUP(text(D2262, "#"),'Master Table'!$A:$F, 6, FALSE)</f>
        <v>#N/A</v>
      </c>
      <c r="N2262" s="141"/>
      <c r="O2262" s="142" t="str">
        <f t="shared" si="1"/>
        <v/>
      </c>
      <c r="P2262" s="143" t="str">
        <f>IF(ISNA(VLOOKUP(CONCAT(M2262,C2262), 'Judge Count DO NOT EDIT'!H:H, 1, FALSE)), "ERROR","")</f>
        <v>ERROR</v>
      </c>
      <c r="Q2262" s="141"/>
      <c r="R2262" s="143"/>
      <c r="S2262" s="139"/>
      <c r="T2262" s="141"/>
    </row>
    <row r="2263">
      <c r="A2263" s="138"/>
      <c r="B2263" s="138"/>
      <c r="C2263" s="138"/>
      <c r="D2263" s="139"/>
      <c r="E2263" s="138"/>
      <c r="F2263" s="138"/>
      <c r="G2263" s="138"/>
      <c r="H2263" s="138"/>
      <c r="I2263" s="138"/>
      <c r="J2263" s="138"/>
      <c r="K2263" s="138"/>
      <c r="L2263" s="138">
        <v>0.0</v>
      </c>
      <c r="M2263" s="140" t="str">
        <f>VLOOKUP(text(D2263, "#"),'Master Table'!$A:$F, 6, FALSE)</f>
        <v>#N/A</v>
      </c>
      <c r="N2263" s="141"/>
      <c r="O2263" s="142" t="str">
        <f t="shared" si="1"/>
        <v/>
      </c>
      <c r="P2263" s="143" t="str">
        <f>IF(ISNA(VLOOKUP(CONCAT(M2263,C2263), 'Judge Count DO NOT EDIT'!H:H, 1, FALSE)), "ERROR","")</f>
        <v>ERROR</v>
      </c>
      <c r="Q2263" s="141"/>
      <c r="R2263" s="143"/>
      <c r="S2263" s="139"/>
      <c r="T2263" s="141"/>
    </row>
    <row r="2264">
      <c r="A2264" s="138"/>
      <c r="B2264" s="138"/>
      <c r="C2264" s="138"/>
      <c r="D2264" s="139"/>
      <c r="E2264" s="138"/>
      <c r="F2264" s="138"/>
      <c r="G2264" s="138"/>
      <c r="H2264" s="138"/>
      <c r="I2264" s="138"/>
      <c r="J2264" s="138"/>
      <c r="K2264" s="138"/>
      <c r="L2264" s="138">
        <v>0.0</v>
      </c>
      <c r="M2264" s="140" t="str">
        <f>VLOOKUP(text(D2264, "#"),'Master Table'!$A:$F, 6, FALSE)</f>
        <v>#N/A</v>
      </c>
      <c r="N2264" s="141"/>
      <c r="O2264" s="142" t="str">
        <f t="shared" si="1"/>
        <v/>
      </c>
      <c r="P2264" s="143" t="str">
        <f>IF(ISNA(VLOOKUP(CONCAT(M2264,C2264), 'Judge Count DO NOT EDIT'!H:H, 1, FALSE)), "ERROR","")</f>
        <v>ERROR</v>
      </c>
      <c r="Q2264" s="141"/>
      <c r="R2264" s="143"/>
      <c r="S2264" s="139"/>
      <c r="T2264" s="141"/>
    </row>
    <row r="2265">
      <c r="A2265" s="138"/>
      <c r="B2265" s="138"/>
      <c r="C2265" s="138"/>
      <c r="D2265" s="139"/>
      <c r="E2265" s="138"/>
      <c r="F2265" s="138"/>
      <c r="G2265" s="138"/>
      <c r="H2265" s="138"/>
      <c r="I2265" s="138"/>
      <c r="J2265" s="138"/>
      <c r="K2265" s="138"/>
      <c r="L2265" s="138">
        <v>0.0</v>
      </c>
      <c r="M2265" s="140" t="str">
        <f>VLOOKUP(text(D2265, "#"),'Master Table'!$A:$F, 6, FALSE)</f>
        <v>#N/A</v>
      </c>
      <c r="N2265" s="141"/>
      <c r="O2265" s="142" t="str">
        <f t="shared" si="1"/>
        <v/>
      </c>
      <c r="P2265" s="143" t="str">
        <f>IF(ISNA(VLOOKUP(CONCAT(M2265,C2265), 'Judge Count DO NOT EDIT'!H:H, 1, FALSE)), "ERROR","")</f>
        <v>ERROR</v>
      </c>
      <c r="Q2265" s="141"/>
      <c r="R2265" s="143"/>
      <c r="S2265" s="139"/>
      <c r="T2265" s="141"/>
    </row>
    <row r="2266">
      <c r="A2266" s="138"/>
      <c r="B2266" s="138"/>
      <c r="C2266" s="138"/>
      <c r="D2266" s="139"/>
      <c r="E2266" s="138"/>
      <c r="F2266" s="138"/>
      <c r="G2266" s="138"/>
      <c r="H2266" s="138"/>
      <c r="I2266" s="138"/>
      <c r="J2266" s="138"/>
      <c r="K2266" s="138"/>
      <c r="L2266" s="138">
        <v>0.0</v>
      </c>
      <c r="M2266" s="140" t="str">
        <f>VLOOKUP(text(D2266, "#"),'Master Table'!$A:$F, 6, FALSE)</f>
        <v>#N/A</v>
      </c>
      <c r="N2266" s="141"/>
      <c r="O2266" s="142" t="str">
        <f t="shared" si="1"/>
        <v/>
      </c>
      <c r="P2266" s="143" t="str">
        <f>IF(ISNA(VLOOKUP(CONCAT(M2266,C2266), 'Judge Count DO NOT EDIT'!H:H, 1, FALSE)), "ERROR","")</f>
        <v>ERROR</v>
      </c>
      <c r="Q2266" s="141"/>
      <c r="R2266" s="143"/>
      <c r="S2266" s="139"/>
      <c r="T2266" s="141"/>
    </row>
    <row r="2267">
      <c r="A2267" s="138"/>
      <c r="B2267" s="138"/>
      <c r="C2267" s="138"/>
      <c r="D2267" s="139"/>
      <c r="E2267" s="138"/>
      <c r="F2267" s="138"/>
      <c r="G2267" s="138"/>
      <c r="H2267" s="138"/>
      <c r="I2267" s="138"/>
      <c r="J2267" s="138"/>
      <c r="K2267" s="138"/>
      <c r="L2267" s="138">
        <v>0.0</v>
      </c>
      <c r="M2267" s="140" t="str">
        <f>VLOOKUP(text(D2267, "#"),'Master Table'!$A:$F, 6, FALSE)</f>
        <v>#N/A</v>
      </c>
      <c r="N2267" s="141"/>
      <c r="O2267" s="142" t="str">
        <f t="shared" si="1"/>
        <v/>
      </c>
      <c r="P2267" s="143" t="str">
        <f>IF(ISNA(VLOOKUP(CONCAT(M2267,C2267), 'Judge Count DO NOT EDIT'!H:H, 1, FALSE)), "ERROR","")</f>
        <v>ERROR</v>
      </c>
      <c r="Q2267" s="141"/>
      <c r="R2267" s="143"/>
      <c r="S2267" s="139"/>
      <c r="T2267" s="141"/>
    </row>
    <row r="2268">
      <c r="A2268" s="138"/>
      <c r="B2268" s="138"/>
      <c r="C2268" s="138"/>
      <c r="D2268" s="139"/>
      <c r="E2268" s="138"/>
      <c r="F2268" s="138"/>
      <c r="G2268" s="138"/>
      <c r="H2268" s="138"/>
      <c r="I2268" s="138"/>
      <c r="J2268" s="138"/>
      <c r="K2268" s="138"/>
      <c r="L2268" s="138">
        <v>0.0</v>
      </c>
      <c r="M2268" s="140" t="str">
        <f>VLOOKUP(text(D2268, "#"),'Master Table'!$A:$F, 6, FALSE)</f>
        <v>#N/A</v>
      </c>
      <c r="N2268" s="141"/>
      <c r="O2268" s="142" t="str">
        <f t="shared" si="1"/>
        <v/>
      </c>
      <c r="P2268" s="143" t="str">
        <f>IF(ISNA(VLOOKUP(CONCAT(M2268,C2268), 'Judge Count DO NOT EDIT'!H:H, 1, FALSE)), "ERROR","")</f>
        <v>ERROR</v>
      </c>
      <c r="Q2268" s="141"/>
      <c r="R2268" s="143"/>
      <c r="S2268" s="139"/>
      <c r="T2268" s="141"/>
    </row>
    <row r="2269">
      <c r="A2269" s="138"/>
      <c r="B2269" s="138"/>
      <c r="C2269" s="138"/>
      <c r="D2269" s="139"/>
      <c r="E2269" s="138"/>
      <c r="F2269" s="138"/>
      <c r="G2269" s="138"/>
      <c r="H2269" s="138"/>
      <c r="I2269" s="138"/>
      <c r="J2269" s="138"/>
      <c r="K2269" s="138"/>
      <c r="L2269" s="138">
        <v>0.0</v>
      </c>
      <c r="M2269" s="140" t="str">
        <f>VLOOKUP(text(D2269, "#"),'Master Table'!$A:$F, 6, FALSE)</f>
        <v>#N/A</v>
      </c>
      <c r="N2269" s="141"/>
      <c r="O2269" s="142" t="str">
        <f t="shared" si="1"/>
        <v/>
      </c>
      <c r="P2269" s="143" t="str">
        <f>IF(ISNA(VLOOKUP(CONCAT(M2269,C2269), 'Judge Count DO NOT EDIT'!H:H, 1, FALSE)), "ERROR","")</f>
        <v>ERROR</v>
      </c>
      <c r="Q2269" s="141"/>
      <c r="R2269" s="143"/>
      <c r="S2269" s="139"/>
      <c r="T2269" s="141"/>
    </row>
    <row r="2270">
      <c r="A2270" s="138"/>
      <c r="B2270" s="138"/>
      <c r="C2270" s="138"/>
      <c r="D2270" s="139"/>
      <c r="E2270" s="138"/>
      <c r="F2270" s="138"/>
      <c r="G2270" s="138"/>
      <c r="H2270" s="138"/>
      <c r="I2270" s="138"/>
      <c r="J2270" s="138"/>
      <c r="K2270" s="138"/>
      <c r="L2270" s="138">
        <v>0.0</v>
      </c>
      <c r="M2270" s="140" t="str">
        <f>VLOOKUP(text(D2270, "#"),'Master Table'!$A:$F, 6, FALSE)</f>
        <v>#N/A</v>
      </c>
      <c r="N2270" s="141"/>
      <c r="O2270" s="142" t="str">
        <f t="shared" si="1"/>
        <v/>
      </c>
      <c r="P2270" s="143" t="str">
        <f>IF(ISNA(VLOOKUP(CONCAT(M2270,C2270), 'Judge Count DO NOT EDIT'!H:H, 1, FALSE)), "ERROR","")</f>
        <v>ERROR</v>
      </c>
      <c r="Q2270" s="141"/>
      <c r="R2270" s="143"/>
      <c r="S2270" s="139"/>
      <c r="T2270" s="141"/>
    </row>
    <row r="2271">
      <c r="A2271" s="138"/>
      <c r="B2271" s="138"/>
      <c r="C2271" s="138"/>
      <c r="D2271" s="139"/>
      <c r="E2271" s="138"/>
      <c r="F2271" s="138"/>
      <c r="G2271" s="138"/>
      <c r="H2271" s="138"/>
      <c r="I2271" s="138"/>
      <c r="J2271" s="138"/>
      <c r="K2271" s="138"/>
      <c r="L2271" s="138">
        <v>0.0</v>
      </c>
      <c r="M2271" s="140" t="str">
        <f>VLOOKUP(text(D2271, "#"),'Master Table'!$A:$F, 6, FALSE)</f>
        <v>#N/A</v>
      </c>
      <c r="N2271" s="141"/>
      <c r="O2271" s="142" t="str">
        <f t="shared" si="1"/>
        <v/>
      </c>
      <c r="P2271" s="143" t="str">
        <f>IF(ISNA(VLOOKUP(CONCAT(M2271,C2271), 'Judge Count DO NOT EDIT'!H:H, 1, FALSE)), "ERROR","")</f>
        <v>ERROR</v>
      </c>
      <c r="Q2271" s="141"/>
      <c r="R2271" s="143"/>
      <c r="S2271" s="139"/>
      <c r="T2271" s="141"/>
    </row>
    <row r="2272">
      <c r="A2272" s="138"/>
      <c r="B2272" s="138"/>
      <c r="C2272" s="138"/>
      <c r="D2272" s="139"/>
      <c r="E2272" s="138"/>
      <c r="F2272" s="138"/>
      <c r="G2272" s="138"/>
      <c r="H2272" s="138"/>
      <c r="I2272" s="138"/>
      <c r="J2272" s="138"/>
      <c r="K2272" s="138"/>
      <c r="L2272" s="138">
        <v>0.0</v>
      </c>
      <c r="M2272" s="140" t="str">
        <f>VLOOKUP(text(D2272, "#"),'Master Table'!$A:$F, 6, FALSE)</f>
        <v>#N/A</v>
      </c>
      <c r="N2272" s="141"/>
      <c r="O2272" s="142" t="str">
        <f t="shared" si="1"/>
        <v/>
      </c>
      <c r="P2272" s="143" t="str">
        <f>IF(ISNA(VLOOKUP(CONCAT(M2272,C2272), 'Judge Count DO NOT EDIT'!H:H, 1, FALSE)), "ERROR","")</f>
        <v>ERROR</v>
      </c>
      <c r="Q2272" s="141"/>
      <c r="R2272" s="143"/>
      <c r="S2272" s="139"/>
      <c r="T2272" s="141"/>
    </row>
    <row r="2273">
      <c r="A2273" s="138"/>
      <c r="B2273" s="138"/>
      <c r="C2273" s="138"/>
      <c r="D2273" s="139"/>
      <c r="E2273" s="138"/>
      <c r="F2273" s="138"/>
      <c r="G2273" s="138"/>
      <c r="H2273" s="138"/>
      <c r="I2273" s="138"/>
      <c r="J2273" s="138"/>
      <c r="K2273" s="138"/>
      <c r="L2273" s="138">
        <v>0.0</v>
      </c>
      <c r="M2273" s="140" t="str">
        <f>VLOOKUP(text(D2273, "#"),'Master Table'!$A:$F, 6, FALSE)</f>
        <v>#N/A</v>
      </c>
      <c r="N2273" s="141"/>
      <c r="O2273" s="142" t="str">
        <f t="shared" si="1"/>
        <v/>
      </c>
      <c r="P2273" s="143" t="str">
        <f>IF(ISNA(VLOOKUP(CONCAT(M2273,C2273), 'Judge Count DO NOT EDIT'!H:H, 1, FALSE)), "ERROR","")</f>
        <v>ERROR</v>
      </c>
      <c r="Q2273" s="141"/>
      <c r="R2273" s="143"/>
      <c r="S2273" s="139"/>
      <c r="T2273" s="141"/>
    </row>
    <row r="2274">
      <c r="A2274" s="138"/>
      <c r="B2274" s="138"/>
      <c r="C2274" s="138"/>
      <c r="D2274" s="139"/>
      <c r="E2274" s="138"/>
      <c r="F2274" s="138"/>
      <c r="G2274" s="138"/>
      <c r="H2274" s="138"/>
      <c r="I2274" s="138"/>
      <c r="J2274" s="138"/>
      <c r="K2274" s="138"/>
      <c r="L2274" s="138">
        <v>0.0</v>
      </c>
      <c r="M2274" s="140" t="str">
        <f>VLOOKUP(text(D2274, "#"),'Master Table'!$A:$F, 6, FALSE)</f>
        <v>#N/A</v>
      </c>
      <c r="N2274" s="141"/>
      <c r="O2274" s="142" t="str">
        <f t="shared" si="1"/>
        <v/>
      </c>
      <c r="P2274" s="143" t="str">
        <f>IF(ISNA(VLOOKUP(CONCAT(M2274,C2274), 'Judge Count DO NOT EDIT'!H:H, 1, FALSE)), "ERROR","")</f>
        <v>ERROR</v>
      </c>
      <c r="Q2274" s="141"/>
      <c r="R2274" s="143"/>
      <c r="S2274" s="139"/>
      <c r="T2274" s="141"/>
    </row>
    <row r="2275">
      <c r="A2275" s="138"/>
      <c r="B2275" s="138"/>
      <c r="C2275" s="138"/>
      <c r="D2275" s="139"/>
      <c r="E2275" s="138"/>
      <c r="F2275" s="138"/>
      <c r="G2275" s="138"/>
      <c r="H2275" s="138"/>
      <c r="I2275" s="138"/>
      <c r="J2275" s="138"/>
      <c r="K2275" s="138"/>
      <c r="L2275" s="138">
        <v>0.0</v>
      </c>
      <c r="M2275" s="140" t="str">
        <f>VLOOKUP(text(D2275, "#"),'Master Table'!$A:$F, 6, FALSE)</f>
        <v>#N/A</v>
      </c>
      <c r="N2275" s="141"/>
      <c r="O2275" s="142" t="str">
        <f t="shared" si="1"/>
        <v/>
      </c>
      <c r="P2275" s="143" t="str">
        <f>IF(ISNA(VLOOKUP(CONCAT(M2275,C2275), 'Judge Count DO NOT EDIT'!H:H, 1, FALSE)), "ERROR","")</f>
        <v>ERROR</v>
      </c>
      <c r="Q2275" s="141"/>
      <c r="R2275" s="143"/>
      <c r="S2275" s="139"/>
      <c r="T2275" s="141"/>
    </row>
    <row r="2276">
      <c r="A2276" s="138"/>
      <c r="B2276" s="138"/>
      <c r="C2276" s="138"/>
      <c r="D2276" s="139"/>
      <c r="E2276" s="138"/>
      <c r="F2276" s="138"/>
      <c r="G2276" s="138"/>
      <c r="H2276" s="138"/>
      <c r="I2276" s="138"/>
      <c r="J2276" s="138"/>
      <c r="K2276" s="138"/>
      <c r="L2276" s="138">
        <v>0.0</v>
      </c>
      <c r="M2276" s="140" t="str">
        <f>VLOOKUP(text(D2276, "#"),'Master Table'!$A:$F, 6, FALSE)</f>
        <v>#N/A</v>
      </c>
      <c r="N2276" s="141"/>
      <c r="O2276" s="142" t="str">
        <f t="shared" si="1"/>
        <v/>
      </c>
      <c r="P2276" s="143" t="str">
        <f>IF(ISNA(VLOOKUP(CONCAT(M2276,C2276), 'Judge Count DO NOT EDIT'!H:H, 1, FALSE)), "ERROR","")</f>
        <v>ERROR</v>
      </c>
      <c r="Q2276" s="141"/>
      <c r="R2276" s="143"/>
      <c r="S2276" s="139"/>
      <c r="T2276" s="141"/>
    </row>
    <row r="2277">
      <c r="A2277" s="138"/>
      <c r="B2277" s="138"/>
      <c r="C2277" s="138"/>
      <c r="D2277" s="139"/>
      <c r="E2277" s="138"/>
      <c r="F2277" s="138"/>
      <c r="G2277" s="138"/>
      <c r="H2277" s="138"/>
      <c r="I2277" s="138"/>
      <c r="J2277" s="138"/>
      <c r="K2277" s="138"/>
      <c r="L2277" s="138">
        <v>0.0</v>
      </c>
      <c r="M2277" s="140" t="str">
        <f>VLOOKUP(text(D2277, "#"),'Master Table'!$A:$F, 6, FALSE)</f>
        <v>#N/A</v>
      </c>
      <c r="N2277" s="141"/>
      <c r="O2277" s="142" t="str">
        <f t="shared" si="1"/>
        <v/>
      </c>
      <c r="P2277" s="143" t="str">
        <f>IF(ISNA(VLOOKUP(CONCAT(M2277,C2277), 'Judge Count DO NOT EDIT'!H:H, 1, FALSE)), "ERROR","")</f>
        <v>ERROR</v>
      </c>
      <c r="Q2277" s="141"/>
      <c r="R2277" s="143"/>
      <c r="S2277" s="139"/>
      <c r="T2277" s="141"/>
    </row>
    <row r="2278">
      <c r="A2278" s="138"/>
      <c r="B2278" s="138"/>
      <c r="C2278" s="138"/>
      <c r="D2278" s="139"/>
      <c r="E2278" s="138"/>
      <c r="F2278" s="138"/>
      <c r="G2278" s="138"/>
      <c r="H2278" s="138"/>
      <c r="I2278" s="138"/>
      <c r="J2278" s="138"/>
      <c r="K2278" s="138"/>
      <c r="L2278" s="138">
        <v>0.0</v>
      </c>
      <c r="M2278" s="140" t="str">
        <f>VLOOKUP(text(D2278, "#"),'Master Table'!$A:$F, 6, FALSE)</f>
        <v>#N/A</v>
      </c>
      <c r="N2278" s="141"/>
      <c r="O2278" s="142" t="str">
        <f t="shared" si="1"/>
        <v/>
      </c>
      <c r="P2278" s="143" t="str">
        <f>IF(ISNA(VLOOKUP(CONCAT(M2278,C2278), 'Judge Count DO NOT EDIT'!H:H, 1, FALSE)), "ERROR","")</f>
        <v>ERROR</v>
      </c>
      <c r="Q2278" s="141"/>
      <c r="R2278" s="143"/>
      <c r="S2278" s="139"/>
      <c r="T2278" s="141"/>
    </row>
    <row r="2279">
      <c r="A2279" s="138"/>
      <c r="B2279" s="138"/>
      <c r="C2279" s="138"/>
      <c r="D2279" s="139"/>
      <c r="E2279" s="138"/>
      <c r="F2279" s="138"/>
      <c r="G2279" s="138"/>
      <c r="H2279" s="138"/>
      <c r="I2279" s="138"/>
      <c r="J2279" s="138"/>
      <c r="K2279" s="138"/>
      <c r="L2279" s="138">
        <v>0.0</v>
      </c>
      <c r="M2279" s="140" t="str">
        <f>VLOOKUP(text(D2279, "#"),'Master Table'!$A:$F, 6, FALSE)</f>
        <v>#N/A</v>
      </c>
      <c r="N2279" s="141"/>
      <c r="O2279" s="142" t="str">
        <f t="shared" si="1"/>
        <v/>
      </c>
      <c r="P2279" s="143" t="str">
        <f>IF(ISNA(VLOOKUP(CONCAT(M2279,C2279), 'Judge Count DO NOT EDIT'!H:H, 1, FALSE)), "ERROR","")</f>
        <v>ERROR</v>
      </c>
      <c r="Q2279" s="141"/>
      <c r="R2279" s="143"/>
      <c r="S2279" s="139"/>
      <c r="T2279" s="141"/>
    </row>
    <row r="2280">
      <c r="A2280" s="138"/>
      <c r="B2280" s="138"/>
      <c r="C2280" s="138"/>
      <c r="D2280" s="139"/>
      <c r="E2280" s="138"/>
      <c r="F2280" s="138"/>
      <c r="G2280" s="138"/>
      <c r="H2280" s="138"/>
      <c r="I2280" s="138"/>
      <c r="J2280" s="138"/>
      <c r="K2280" s="138"/>
      <c r="L2280" s="138">
        <v>0.0</v>
      </c>
      <c r="M2280" s="140" t="str">
        <f>VLOOKUP(text(D2280, "#"),'Master Table'!$A:$F, 6, FALSE)</f>
        <v>#N/A</v>
      </c>
      <c r="N2280" s="141"/>
      <c r="O2280" s="142" t="str">
        <f t="shared" si="1"/>
        <v/>
      </c>
      <c r="P2280" s="143" t="str">
        <f>IF(ISNA(VLOOKUP(CONCAT(M2280,C2280), 'Judge Count DO NOT EDIT'!H:H, 1, FALSE)), "ERROR","")</f>
        <v>ERROR</v>
      </c>
      <c r="Q2280" s="141"/>
      <c r="R2280" s="143"/>
      <c r="S2280" s="139"/>
      <c r="T2280" s="141"/>
    </row>
    <row r="2281">
      <c r="A2281" s="138"/>
      <c r="B2281" s="138"/>
      <c r="C2281" s="138"/>
      <c r="D2281" s="139"/>
      <c r="E2281" s="138"/>
      <c r="F2281" s="138"/>
      <c r="G2281" s="138"/>
      <c r="H2281" s="138"/>
      <c r="I2281" s="138"/>
      <c r="J2281" s="138"/>
      <c r="K2281" s="138"/>
      <c r="L2281" s="138">
        <v>0.0</v>
      </c>
      <c r="M2281" s="140" t="str">
        <f>VLOOKUP(text(D2281, "#"),'Master Table'!$A:$F, 6, FALSE)</f>
        <v>#N/A</v>
      </c>
      <c r="N2281" s="141"/>
      <c r="O2281" s="142" t="str">
        <f t="shared" si="1"/>
        <v/>
      </c>
      <c r="P2281" s="143" t="str">
        <f>IF(ISNA(VLOOKUP(CONCAT(M2281,C2281), 'Judge Count DO NOT EDIT'!H:H, 1, FALSE)), "ERROR","")</f>
        <v>ERROR</v>
      </c>
      <c r="Q2281" s="141"/>
      <c r="R2281" s="143"/>
      <c r="S2281" s="139"/>
      <c r="T2281" s="141"/>
    </row>
    <row r="2282">
      <c r="A2282" s="138"/>
      <c r="B2282" s="138"/>
      <c r="C2282" s="138"/>
      <c r="D2282" s="139"/>
      <c r="E2282" s="138"/>
      <c r="F2282" s="138"/>
      <c r="G2282" s="138"/>
      <c r="H2282" s="138"/>
      <c r="I2282" s="138"/>
      <c r="J2282" s="138"/>
      <c r="K2282" s="138"/>
      <c r="L2282" s="138">
        <v>0.0</v>
      </c>
      <c r="M2282" s="140" t="str">
        <f>VLOOKUP(text(D2282, "#"),'Master Table'!$A:$F, 6, FALSE)</f>
        <v>#N/A</v>
      </c>
      <c r="N2282" s="141"/>
      <c r="O2282" s="142" t="str">
        <f t="shared" si="1"/>
        <v/>
      </c>
      <c r="P2282" s="143" t="str">
        <f>IF(ISNA(VLOOKUP(CONCAT(M2282,C2282), 'Judge Count DO NOT EDIT'!H:H, 1, FALSE)), "ERROR","")</f>
        <v>ERROR</v>
      </c>
      <c r="Q2282" s="141"/>
      <c r="R2282" s="143"/>
      <c r="S2282" s="139"/>
      <c r="T2282" s="141"/>
    </row>
    <row r="2283">
      <c r="A2283" s="138"/>
      <c r="B2283" s="138"/>
      <c r="C2283" s="138"/>
      <c r="D2283" s="139"/>
      <c r="E2283" s="138"/>
      <c r="F2283" s="138"/>
      <c r="G2283" s="138"/>
      <c r="H2283" s="138"/>
      <c r="I2283" s="138"/>
      <c r="J2283" s="138"/>
      <c r="K2283" s="138"/>
      <c r="L2283" s="138">
        <v>0.0</v>
      </c>
      <c r="M2283" s="140" t="str">
        <f>VLOOKUP(text(D2283, "#"),'Master Table'!$A:$F, 6, FALSE)</f>
        <v>#N/A</v>
      </c>
      <c r="N2283" s="141"/>
      <c r="O2283" s="142" t="str">
        <f t="shared" si="1"/>
        <v/>
      </c>
      <c r="P2283" s="143" t="str">
        <f>IF(ISNA(VLOOKUP(CONCAT(M2283,C2283), 'Judge Count DO NOT EDIT'!H:H, 1, FALSE)), "ERROR","")</f>
        <v>ERROR</v>
      </c>
      <c r="Q2283" s="141"/>
      <c r="R2283" s="143"/>
      <c r="S2283" s="139"/>
      <c r="T2283" s="141"/>
    </row>
    <row r="2284">
      <c r="A2284" s="138"/>
      <c r="B2284" s="138"/>
      <c r="C2284" s="138"/>
      <c r="D2284" s="139"/>
      <c r="E2284" s="138"/>
      <c r="F2284" s="138"/>
      <c r="G2284" s="138"/>
      <c r="H2284" s="138"/>
      <c r="I2284" s="138"/>
      <c r="J2284" s="138"/>
      <c r="K2284" s="138"/>
      <c r="L2284" s="138">
        <v>0.0</v>
      </c>
      <c r="M2284" s="140" t="str">
        <f>VLOOKUP(text(D2284, "#"),'Master Table'!$A:$F, 6, FALSE)</f>
        <v>#N/A</v>
      </c>
      <c r="N2284" s="141"/>
      <c r="O2284" s="142" t="str">
        <f t="shared" si="1"/>
        <v/>
      </c>
      <c r="P2284" s="143" t="str">
        <f>IF(ISNA(VLOOKUP(CONCAT(M2284,C2284), 'Judge Count DO NOT EDIT'!H:H, 1, FALSE)), "ERROR","")</f>
        <v>ERROR</v>
      </c>
      <c r="Q2284" s="141"/>
      <c r="R2284" s="143"/>
      <c r="S2284" s="139"/>
      <c r="T2284" s="141"/>
    </row>
    <row r="2285">
      <c r="A2285" s="138"/>
      <c r="B2285" s="138"/>
      <c r="C2285" s="138"/>
      <c r="D2285" s="139"/>
      <c r="E2285" s="138"/>
      <c r="F2285" s="138"/>
      <c r="G2285" s="138"/>
      <c r="H2285" s="138"/>
      <c r="I2285" s="138"/>
      <c r="J2285" s="138"/>
      <c r="K2285" s="138"/>
      <c r="L2285" s="138">
        <v>0.0</v>
      </c>
      <c r="M2285" s="140" t="str">
        <f>VLOOKUP(text(D2285, "#"),'Master Table'!$A:$F, 6, FALSE)</f>
        <v>#N/A</v>
      </c>
      <c r="N2285" s="141"/>
      <c r="O2285" s="142" t="str">
        <f t="shared" si="1"/>
        <v/>
      </c>
      <c r="P2285" s="143" t="str">
        <f>IF(ISNA(VLOOKUP(CONCAT(M2285,C2285), 'Judge Count DO NOT EDIT'!H:H, 1, FALSE)), "ERROR","")</f>
        <v>ERROR</v>
      </c>
      <c r="Q2285" s="141"/>
      <c r="R2285" s="143"/>
      <c r="S2285" s="139"/>
      <c r="T2285" s="141"/>
    </row>
    <row r="2286">
      <c r="A2286" s="138"/>
      <c r="B2286" s="138"/>
      <c r="C2286" s="138"/>
      <c r="D2286" s="139"/>
      <c r="E2286" s="138"/>
      <c r="F2286" s="138"/>
      <c r="G2286" s="138"/>
      <c r="H2286" s="138"/>
      <c r="I2286" s="138"/>
      <c r="J2286" s="138"/>
      <c r="K2286" s="138"/>
      <c r="L2286" s="138">
        <v>0.0</v>
      </c>
      <c r="M2286" s="140" t="str">
        <f>VLOOKUP(text(D2286, "#"),'Master Table'!$A:$F, 6, FALSE)</f>
        <v>#N/A</v>
      </c>
      <c r="N2286" s="141"/>
      <c r="O2286" s="142" t="str">
        <f t="shared" si="1"/>
        <v/>
      </c>
      <c r="P2286" s="143" t="str">
        <f>IF(ISNA(VLOOKUP(CONCAT(M2286,C2286), 'Judge Count DO NOT EDIT'!H:H, 1, FALSE)), "ERROR","")</f>
        <v>ERROR</v>
      </c>
      <c r="Q2286" s="141"/>
      <c r="R2286" s="143"/>
      <c r="S2286" s="139"/>
      <c r="T2286" s="141"/>
    </row>
    <row r="2287">
      <c r="A2287" s="138"/>
      <c r="B2287" s="138"/>
      <c r="C2287" s="138"/>
      <c r="D2287" s="139"/>
      <c r="E2287" s="138"/>
      <c r="F2287" s="138"/>
      <c r="G2287" s="138"/>
      <c r="H2287" s="138"/>
      <c r="I2287" s="138"/>
      <c r="J2287" s="138"/>
      <c r="K2287" s="138"/>
      <c r="L2287" s="138">
        <v>0.0</v>
      </c>
      <c r="M2287" s="140" t="str">
        <f>VLOOKUP(text(D2287, "#"),'Master Table'!$A:$F, 6, FALSE)</f>
        <v>#N/A</v>
      </c>
      <c r="N2287" s="141"/>
      <c r="O2287" s="142" t="str">
        <f t="shared" si="1"/>
        <v/>
      </c>
      <c r="P2287" s="143" t="str">
        <f>IF(ISNA(VLOOKUP(CONCAT(M2287,C2287), 'Judge Count DO NOT EDIT'!H:H, 1, FALSE)), "ERROR","")</f>
        <v>ERROR</v>
      </c>
      <c r="Q2287" s="141"/>
      <c r="R2287" s="143"/>
      <c r="S2287" s="139"/>
      <c r="T2287" s="141"/>
    </row>
    <row r="2288">
      <c r="A2288" s="138"/>
      <c r="B2288" s="138"/>
      <c r="C2288" s="138"/>
      <c r="D2288" s="139"/>
      <c r="E2288" s="138"/>
      <c r="F2288" s="138"/>
      <c r="G2288" s="138"/>
      <c r="H2288" s="138"/>
      <c r="I2288" s="138"/>
      <c r="J2288" s="138"/>
      <c r="K2288" s="138"/>
      <c r="L2288" s="138">
        <v>0.0</v>
      </c>
      <c r="M2288" s="140" t="str">
        <f>VLOOKUP(text(D2288, "#"),'Master Table'!$A:$F, 6, FALSE)</f>
        <v>#N/A</v>
      </c>
      <c r="N2288" s="141"/>
      <c r="O2288" s="142" t="str">
        <f t="shared" si="1"/>
        <v/>
      </c>
      <c r="P2288" s="143" t="str">
        <f>IF(ISNA(VLOOKUP(CONCAT(M2288,C2288), 'Judge Count DO NOT EDIT'!H:H, 1, FALSE)), "ERROR","")</f>
        <v>ERROR</v>
      </c>
      <c r="Q2288" s="141"/>
      <c r="R2288" s="143"/>
      <c r="S2288" s="139"/>
      <c r="T2288" s="141"/>
    </row>
    <row r="2289">
      <c r="A2289" s="138"/>
      <c r="B2289" s="138"/>
      <c r="C2289" s="138"/>
      <c r="D2289" s="139"/>
      <c r="E2289" s="138"/>
      <c r="F2289" s="138"/>
      <c r="G2289" s="138"/>
      <c r="H2289" s="138"/>
      <c r="I2289" s="138"/>
      <c r="J2289" s="138"/>
      <c r="K2289" s="138"/>
      <c r="L2289" s="138">
        <v>0.0</v>
      </c>
      <c r="M2289" s="140" t="str">
        <f>VLOOKUP(text(D2289, "#"),'Master Table'!$A:$F, 6, FALSE)</f>
        <v>#N/A</v>
      </c>
      <c r="N2289" s="141"/>
      <c r="O2289" s="142" t="str">
        <f t="shared" si="1"/>
        <v/>
      </c>
      <c r="P2289" s="143" t="str">
        <f>IF(ISNA(VLOOKUP(CONCAT(M2289,C2289), 'Judge Count DO NOT EDIT'!H:H, 1, FALSE)), "ERROR","")</f>
        <v>ERROR</v>
      </c>
      <c r="Q2289" s="141"/>
      <c r="R2289" s="143"/>
      <c r="S2289" s="139"/>
      <c r="T2289" s="141"/>
    </row>
    <row r="2290">
      <c r="A2290" s="138"/>
      <c r="B2290" s="138"/>
      <c r="C2290" s="138"/>
      <c r="D2290" s="139"/>
      <c r="E2290" s="138"/>
      <c r="F2290" s="138"/>
      <c r="G2290" s="138"/>
      <c r="H2290" s="138"/>
      <c r="I2290" s="138"/>
      <c r="J2290" s="138"/>
      <c r="K2290" s="138"/>
      <c r="L2290" s="138">
        <v>0.0</v>
      </c>
      <c r="M2290" s="140" t="str">
        <f>VLOOKUP(text(D2290, "#"),'Master Table'!$A:$F, 6, FALSE)</f>
        <v>#N/A</v>
      </c>
      <c r="N2290" s="141"/>
      <c r="O2290" s="142" t="str">
        <f t="shared" si="1"/>
        <v/>
      </c>
      <c r="P2290" s="143" t="str">
        <f>IF(ISNA(VLOOKUP(CONCAT(M2290,C2290), 'Judge Count DO NOT EDIT'!H:H, 1, FALSE)), "ERROR","")</f>
        <v>ERROR</v>
      </c>
      <c r="Q2290" s="141"/>
      <c r="R2290" s="143"/>
      <c r="S2290" s="139"/>
      <c r="T2290" s="141"/>
    </row>
    <row r="2291">
      <c r="A2291" s="138"/>
      <c r="B2291" s="138"/>
      <c r="C2291" s="138"/>
      <c r="D2291" s="139"/>
      <c r="E2291" s="138"/>
      <c r="F2291" s="138"/>
      <c r="G2291" s="138"/>
      <c r="H2291" s="138"/>
      <c r="I2291" s="138"/>
      <c r="J2291" s="138"/>
      <c r="K2291" s="138"/>
      <c r="L2291" s="138">
        <v>0.0</v>
      </c>
      <c r="M2291" s="140" t="str">
        <f>VLOOKUP(text(D2291, "#"),'Master Table'!$A:$F, 6, FALSE)</f>
        <v>#N/A</v>
      </c>
      <c r="N2291" s="141"/>
      <c r="O2291" s="142" t="str">
        <f t="shared" si="1"/>
        <v/>
      </c>
      <c r="P2291" s="143" t="str">
        <f>IF(ISNA(VLOOKUP(CONCAT(M2291,C2291), 'Judge Count DO NOT EDIT'!H:H, 1, FALSE)), "ERROR","")</f>
        <v>ERROR</v>
      </c>
      <c r="Q2291" s="141"/>
      <c r="R2291" s="143"/>
      <c r="S2291" s="139"/>
      <c r="T2291" s="141"/>
    </row>
    <row r="2292">
      <c r="A2292" s="138"/>
      <c r="B2292" s="138"/>
      <c r="C2292" s="138"/>
      <c r="D2292" s="139"/>
      <c r="E2292" s="138"/>
      <c r="F2292" s="138"/>
      <c r="G2292" s="138"/>
      <c r="H2292" s="138"/>
      <c r="I2292" s="138"/>
      <c r="J2292" s="138"/>
      <c r="K2292" s="138"/>
      <c r="L2292" s="138">
        <v>0.0</v>
      </c>
      <c r="M2292" s="140" t="str">
        <f>VLOOKUP(text(D2292, "#"),'Master Table'!$A:$F, 6, FALSE)</f>
        <v>#N/A</v>
      </c>
      <c r="N2292" s="141"/>
      <c r="O2292" s="142" t="str">
        <f t="shared" si="1"/>
        <v/>
      </c>
      <c r="P2292" s="143" t="str">
        <f>IF(ISNA(VLOOKUP(CONCAT(M2292,C2292), 'Judge Count DO NOT EDIT'!H:H, 1, FALSE)), "ERROR","")</f>
        <v>ERROR</v>
      </c>
      <c r="Q2292" s="141"/>
      <c r="R2292" s="143"/>
      <c r="S2292" s="139"/>
      <c r="T2292" s="141"/>
    </row>
    <row r="2293">
      <c r="A2293" s="138"/>
      <c r="B2293" s="138"/>
      <c r="C2293" s="138"/>
      <c r="D2293" s="139"/>
      <c r="E2293" s="138"/>
      <c r="F2293" s="138"/>
      <c r="G2293" s="138"/>
      <c r="H2293" s="138"/>
      <c r="I2293" s="138"/>
      <c r="J2293" s="138"/>
      <c r="K2293" s="138"/>
      <c r="L2293" s="138">
        <v>0.0</v>
      </c>
      <c r="M2293" s="140" t="str">
        <f>VLOOKUP(text(D2293, "#"),'Master Table'!$A:$F, 6, FALSE)</f>
        <v>#N/A</v>
      </c>
      <c r="N2293" s="141"/>
      <c r="O2293" s="142" t="str">
        <f t="shared" si="1"/>
        <v/>
      </c>
      <c r="P2293" s="143" t="str">
        <f>IF(ISNA(VLOOKUP(CONCAT(M2293,C2293), 'Judge Count DO NOT EDIT'!H:H, 1, FALSE)), "ERROR","")</f>
        <v>ERROR</v>
      </c>
      <c r="Q2293" s="141"/>
      <c r="R2293" s="143"/>
      <c r="S2293" s="139"/>
      <c r="T2293" s="141"/>
    </row>
    <row r="2294">
      <c r="A2294" s="138"/>
      <c r="B2294" s="138"/>
      <c r="C2294" s="138"/>
      <c r="D2294" s="139"/>
      <c r="E2294" s="138"/>
      <c r="F2294" s="138"/>
      <c r="G2294" s="138"/>
      <c r="H2294" s="138"/>
      <c r="I2294" s="138"/>
      <c r="J2294" s="138"/>
      <c r="K2294" s="138"/>
      <c r="L2294" s="138">
        <v>0.0</v>
      </c>
      <c r="M2294" s="140" t="str">
        <f>VLOOKUP(text(D2294, "#"),'Master Table'!$A:$F, 6, FALSE)</f>
        <v>#N/A</v>
      </c>
      <c r="N2294" s="141"/>
      <c r="O2294" s="142" t="str">
        <f t="shared" si="1"/>
        <v/>
      </c>
      <c r="P2294" s="143" t="str">
        <f>IF(ISNA(VLOOKUP(CONCAT(M2294,C2294), 'Judge Count DO NOT EDIT'!H:H, 1, FALSE)), "ERROR","")</f>
        <v>ERROR</v>
      </c>
      <c r="Q2294" s="141"/>
      <c r="R2294" s="143"/>
      <c r="S2294" s="139"/>
      <c r="T2294" s="141"/>
    </row>
    <row r="2295">
      <c r="A2295" s="138"/>
      <c r="B2295" s="138"/>
      <c r="C2295" s="138"/>
      <c r="D2295" s="139"/>
      <c r="E2295" s="138"/>
      <c r="F2295" s="138"/>
      <c r="G2295" s="138"/>
      <c r="H2295" s="138"/>
      <c r="I2295" s="138"/>
      <c r="J2295" s="138"/>
      <c r="K2295" s="138"/>
      <c r="L2295" s="138">
        <v>0.0</v>
      </c>
      <c r="M2295" s="140" t="str">
        <f>VLOOKUP(text(D2295, "#"),'Master Table'!$A:$F, 6, FALSE)</f>
        <v>#N/A</v>
      </c>
      <c r="N2295" s="141"/>
      <c r="O2295" s="142" t="str">
        <f t="shared" si="1"/>
        <v/>
      </c>
      <c r="P2295" s="143" t="str">
        <f>IF(ISNA(VLOOKUP(CONCAT(M2295,C2295), 'Judge Count DO NOT EDIT'!H:H, 1, FALSE)), "ERROR","")</f>
        <v>ERROR</v>
      </c>
      <c r="Q2295" s="141"/>
      <c r="R2295" s="143"/>
      <c r="S2295" s="139"/>
      <c r="T2295" s="141"/>
    </row>
    <row r="2296">
      <c r="A2296" s="138"/>
      <c r="B2296" s="138"/>
      <c r="C2296" s="138"/>
      <c r="D2296" s="139"/>
      <c r="E2296" s="138"/>
      <c r="F2296" s="138"/>
      <c r="G2296" s="138"/>
      <c r="H2296" s="138"/>
      <c r="I2296" s="138"/>
      <c r="J2296" s="138"/>
      <c r="K2296" s="138"/>
      <c r="L2296" s="138">
        <v>0.0</v>
      </c>
      <c r="M2296" s="140" t="str">
        <f>VLOOKUP(text(D2296, "#"),'Master Table'!$A:$F, 6, FALSE)</f>
        <v>#N/A</v>
      </c>
      <c r="N2296" s="141"/>
      <c r="O2296" s="142" t="str">
        <f t="shared" si="1"/>
        <v/>
      </c>
      <c r="P2296" s="143" t="str">
        <f>IF(ISNA(VLOOKUP(CONCAT(M2296,C2296), 'Judge Count DO NOT EDIT'!H:H, 1, FALSE)), "ERROR","")</f>
        <v>ERROR</v>
      </c>
      <c r="Q2296" s="141"/>
      <c r="R2296" s="143"/>
      <c r="S2296" s="139"/>
      <c r="T2296" s="141"/>
    </row>
    <row r="2297">
      <c r="A2297" s="138"/>
      <c r="B2297" s="138"/>
      <c r="C2297" s="138"/>
      <c r="D2297" s="139"/>
      <c r="E2297" s="138"/>
      <c r="F2297" s="138"/>
      <c r="G2297" s="138"/>
      <c r="H2297" s="138"/>
      <c r="I2297" s="138"/>
      <c r="J2297" s="138"/>
      <c r="K2297" s="138"/>
      <c r="L2297" s="138">
        <v>0.0</v>
      </c>
      <c r="M2297" s="140" t="str">
        <f>VLOOKUP(text(D2297, "#"),'Master Table'!$A:$F, 6, FALSE)</f>
        <v>#N/A</v>
      </c>
      <c r="N2297" s="141"/>
      <c r="O2297" s="142" t="str">
        <f t="shared" si="1"/>
        <v/>
      </c>
      <c r="P2297" s="143" t="str">
        <f>IF(ISNA(VLOOKUP(CONCAT(M2297,C2297), 'Judge Count DO NOT EDIT'!H:H, 1, FALSE)), "ERROR","")</f>
        <v>ERROR</v>
      </c>
      <c r="Q2297" s="141"/>
      <c r="R2297" s="143"/>
      <c r="S2297" s="139"/>
      <c r="T2297" s="141"/>
    </row>
    <row r="2298">
      <c r="A2298" s="138"/>
      <c r="B2298" s="138"/>
      <c r="C2298" s="138"/>
      <c r="D2298" s="139"/>
      <c r="E2298" s="138"/>
      <c r="F2298" s="138"/>
      <c r="G2298" s="138"/>
      <c r="H2298" s="138"/>
      <c r="I2298" s="138"/>
      <c r="J2298" s="138"/>
      <c r="K2298" s="138"/>
      <c r="L2298" s="138">
        <v>0.0</v>
      </c>
      <c r="M2298" s="140" t="str">
        <f>VLOOKUP(text(D2298, "#"),'Master Table'!$A:$F, 6, FALSE)</f>
        <v>#N/A</v>
      </c>
      <c r="N2298" s="141"/>
      <c r="O2298" s="142" t="str">
        <f t="shared" si="1"/>
        <v/>
      </c>
      <c r="P2298" s="143" t="str">
        <f>IF(ISNA(VLOOKUP(CONCAT(M2298,C2298), 'Judge Count DO NOT EDIT'!H:H, 1, FALSE)), "ERROR","")</f>
        <v>ERROR</v>
      </c>
      <c r="Q2298" s="141"/>
      <c r="R2298" s="143"/>
      <c r="S2298" s="139"/>
      <c r="T2298" s="141"/>
    </row>
    <row r="2299">
      <c r="A2299" s="138"/>
      <c r="B2299" s="138"/>
      <c r="C2299" s="138"/>
      <c r="D2299" s="139"/>
      <c r="E2299" s="138"/>
      <c r="F2299" s="138"/>
      <c r="G2299" s="138"/>
      <c r="H2299" s="138"/>
      <c r="I2299" s="138"/>
      <c r="J2299" s="138"/>
      <c r="K2299" s="138"/>
      <c r="L2299" s="138">
        <v>0.0</v>
      </c>
      <c r="M2299" s="140" t="str">
        <f>VLOOKUP(text(D2299, "#"),'Master Table'!$A:$F, 6, FALSE)</f>
        <v>#N/A</v>
      </c>
      <c r="N2299" s="141"/>
      <c r="O2299" s="142" t="str">
        <f t="shared" si="1"/>
        <v/>
      </c>
      <c r="P2299" s="143" t="str">
        <f>IF(ISNA(VLOOKUP(CONCAT(M2299,C2299), 'Judge Count DO NOT EDIT'!H:H, 1, FALSE)), "ERROR","")</f>
        <v>ERROR</v>
      </c>
      <c r="Q2299" s="141"/>
      <c r="R2299" s="143"/>
      <c r="S2299" s="139"/>
      <c r="T2299" s="141"/>
    </row>
    <row r="2300">
      <c r="A2300" s="138"/>
      <c r="B2300" s="138"/>
      <c r="C2300" s="138"/>
      <c r="D2300" s="139"/>
      <c r="E2300" s="138"/>
      <c r="F2300" s="138"/>
      <c r="G2300" s="138"/>
      <c r="H2300" s="138"/>
      <c r="I2300" s="138"/>
      <c r="J2300" s="138"/>
      <c r="K2300" s="138"/>
      <c r="L2300" s="138">
        <v>0.0</v>
      </c>
      <c r="M2300" s="140" t="str">
        <f>VLOOKUP(text(D2300, "#"),'Master Table'!$A:$F, 6, FALSE)</f>
        <v>#N/A</v>
      </c>
      <c r="N2300" s="141"/>
      <c r="O2300" s="142" t="str">
        <f t="shared" si="1"/>
        <v/>
      </c>
      <c r="P2300" s="143" t="str">
        <f>IF(ISNA(VLOOKUP(CONCAT(M2300,C2300), 'Judge Count DO NOT EDIT'!H:H, 1, FALSE)), "ERROR","")</f>
        <v>ERROR</v>
      </c>
      <c r="Q2300" s="141"/>
      <c r="R2300" s="143"/>
      <c r="S2300" s="139"/>
      <c r="T2300" s="141"/>
    </row>
    <row r="2301">
      <c r="A2301" s="138"/>
      <c r="B2301" s="138"/>
      <c r="C2301" s="138"/>
      <c r="D2301" s="139"/>
      <c r="E2301" s="138"/>
      <c r="F2301" s="138"/>
      <c r="G2301" s="138"/>
      <c r="H2301" s="138"/>
      <c r="I2301" s="138"/>
      <c r="J2301" s="138"/>
      <c r="K2301" s="138"/>
      <c r="L2301" s="138">
        <v>0.0</v>
      </c>
      <c r="M2301" s="140" t="str">
        <f>VLOOKUP(text(D2301, "#"),'Master Table'!$A:$F, 6, FALSE)</f>
        <v>#N/A</v>
      </c>
      <c r="N2301" s="141"/>
      <c r="O2301" s="142" t="str">
        <f t="shared" si="1"/>
        <v/>
      </c>
      <c r="P2301" s="143" t="str">
        <f>IF(ISNA(VLOOKUP(CONCAT(M2301,C2301), 'Judge Count DO NOT EDIT'!H:H, 1, FALSE)), "ERROR","")</f>
        <v>ERROR</v>
      </c>
      <c r="Q2301" s="141"/>
      <c r="R2301" s="143"/>
      <c r="S2301" s="139"/>
      <c r="T2301" s="141"/>
    </row>
    <row r="2302">
      <c r="A2302" s="138"/>
      <c r="B2302" s="138"/>
      <c r="C2302" s="138"/>
      <c r="D2302" s="139"/>
      <c r="E2302" s="138"/>
      <c r="F2302" s="138"/>
      <c r="G2302" s="138"/>
      <c r="H2302" s="138"/>
      <c r="I2302" s="138"/>
      <c r="J2302" s="138"/>
      <c r="K2302" s="138"/>
      <c r="L2302" s="138">
        <v>0.0</v>
      </c>
      <c r="M2302" s="140" t="str">
        <f>VLOOKUP(text(D2302, "#"),'Master Table'!$A:$F, 6, FALSE)</f>
        <v>#N/A</v>
      </c>
      <c r="N2302" s="141"/>
      <c r="O2302" s="142" t="str">
        <f t="shared" si="1"/>
        <v/>
      </c>
      <c r="P2302" s="143" t="str">
        <f>IF(ISNA(VLOOKUP(CONCAT(M2302,C2302), 'Judge Count DO NOT EDIT'!H:H, 1, FALSE)), "ERROR","")</f>
        <v>ERROR</v>
      </c>
      <c r="Q2302" s="141"/>
      <c r="R2302" s="143"/>
      <c r="S2302" s="139"/>
      <c r="T2302" s="141"/>
    </row>
    <row r="2303">
      <c r="A2303" s="138"/>
      <c r="B2303" s="138"/>
      <c r="C2303" s="138"/>
      <c r="D2303" s="139"/>
      <c r="E2303" s="138"/>
      <c r="F2303" s="138"/>
      <c r="G2303" s="138"/>
      <c r="H2303" s="138"/>
      <c r="I2303" s="138"/>
      <c r="J2303" s="138"/>
      <c r="K2303" s="138"/>
      <c r="L2303" s="138">
        <v>0.0</v>
      </c>
      <c r="M2303" s="140" t="str">
        <f>VLOOKUP(text(D2303, "#"),'Master Table'!$A:$F, 6, FALSE)</f>
        <v>#N/A</v>
      </c>
      <c r="N2303" s="141"/>
      <c r="O2303" s="142" t="str">
        <f t="shared" si="1"/>
        <v/>
      </c>
      <c r="P2303" s="143" t="str">
        <f>IF(ISNA(VLOOKUP(CONCAT(M2303,C2303), 'Judge Count DO NOT EDIT'!H:H, 1, FALSE)), "ERROR","")</f>
        <v>ERROR</v>
      </c>
      <c r="Q2303" s="141"/>
      <c r="R2303" s="143"/>
      <c r="S2303" s="139"/>
      <c r="T2303" s="141"/>
    </row>
    <row r="2304">
      <c r="A2304" s="138"/>
      <c r="B2304" s="138"/>
      <c r="C2304" s="138"/>
      <c r="D2304" s="139"/>
      <c r="E2304" s="138"/>
      <c r="F2304" s="138"/>
      <c r="G2304" s="138"/>
      <c r="H2304" s="138"/>
      <c r="I2304" s="138"/>
      <c r="J2304" s="138"/>
      <c r="K2304" s="138"/>
      <c r="L2304" s="138">
        <v>0.0</v>
      </c>
      <c r="M2304" s="140" t="str">
        <f>VLOOKUP(text(D2304, "#"),'Master Table'!$A:$F, 6, FALSE)</f>
        <v>#N/A</v>
      </c>
      <c r="N2304" s="141"/>
      <c r="O2304" s="142" t="str">
        <f t="shared" si="1"/>
        <v/>
      </c>
      <c r="P2304" s="143" t="str">
        <f>IF(ISNA(VLOOKUP(CONCAT(M2304,C2304), 'Judge Count DO NOT EDIT'!H:H, 1, FALSE)), "ERROR","")</f>
        <v>ERROR</v>
      </c>
      <c r="Q2304" s="141"/>
      <c r="R2304" s="143"/>
      <c r="S2304" s="139"/>
      <c r="T2304" s="141"/>
    </row>
    <row r="2305">
      <c r="A2305" s="138"/>
      <c r="B2305" s="138"/>
      <c r="C2305" s="138"/>
      <c r="D2305" s="139"/>
      <c r="E2305" s="138"/>
      <c r="F2305" s="138"/>
      <c r="G2305" s="138"/>
      <c r="H2305" s="138"/>
      <c r="I2305" s="138"/>
      <c r="J2305" s="138"/>
      <c r="K2305" s="138"/>
      <c r="L2305" s="138">
        <v>0.0</v>
      </c>
      <c r="M2305" s="140" t="str">
        <f>VLOOKUP(text(D2305, "#"),'Master Table'!$A:$F, 6, FALSE)</f>
        <v>#N/A</v>
      </c>
      <c r="N2305" s="141"/>
      <c r="O2305" s="142" t="str">
        <f t="shared" si="1"/>
        <v/>
      </c>
      <c r="P2305" s="143" t="str">
        <f>IF(ISNA(VLOOKUP(CONCAT(M2305,C2305), 'Judge Count DO NOT EDIT'!H:H, 1, FALSE)), "ERROR","")</f>
        <v>ERROR</v>
      </c>
      <c r="Q2305" s="141"/>
      <c r="R2305" s="143"/>
      <c r="S2305" s="139"/>
      <c r="T2305" s="141"/>
    </row>
    <row r="2306">
      <c r="A2306" s="138"/>
      <c r="B2306" s="138"/>
      <c r="C2306" s="138"/>
      <c r="D2306" s="139"/>
      <c r="E2306" s="138"/>
      <c r="F2306" s="138"/>
      <c r="G2306" s="138"/>
      <c r="H2306" s="138"/>
      <c r="I2306" s="138"/>
      <c r="J2306" s="138"/>
      <c r="K2306" s="138"/>
      <c r="L2306" s="138">
        <v>0.0</v>
      </c>
      <c r="M2306" s="140" t="str">
        <f>VLOOKUP(text(D2306, "#"),'Master Table'!$A:$F, 6, FALSE)</f>
        <v>#N/A</v>
      </c>
      <c r="N2306" s="141"/>
      <c r="O2306" s="142" t="str">
        <f t="shared" si="1"/>
        <v/>
      </c>
      <c r="P2306" s="143" t="str">
        <f>IF(ISNA(VLOOKUP(CONCAT(M2306,C2306), 'Judge Count DO NOT EDIT'!H:H, 1, FALSE)), "ERROR","")</f>
        <v>ERROR</v>
      </c>
      <c r="Q2306" s="141"/>
      <c r="R2306" s="143"/>
      <c r="S2306" s="139"/>
      <c r="T2306" s="141"/>
    </row>
    <row r="2307">
      <c r="A2307" s="138"/>
      <c r="B2307" s="138"/>
      <c r="C2307" s="138"/>
      <c r="D2307" s="139"/>
      <c r="E2307" s="138"/>
      <c r="F2307" s="138"/>
      <c r="G2307" s="138"/>
      <c r="H2307" s="138"/>
      <c r="I2307" s="138"/>
      <c r="J2307" s="138"/>
      <c r="K2307" s="138"/>
      <c r="L2307" s="138">
        <v>0.0</v>
      </c>
      <c r="M2307" s="140" t="str">
        <f>VLOOKUP(text(D2307, "#"),'Master Table'!$A:$F, 6, FALSE)</f>
        <v>#N/A</v>
      </c>
      <c r="N2307" s="141"/>
      <c r="O2307" s="142" t="str">
        <f t="shared" si="1"/>
        <v/>
      </c>
      <c r="P2307" s="143" t="str">
        <f>IF(ISNA(VLOOKUP(CONCAT(M2307,C2307), 'Judge Count DO NOT EDIT'!H:H, 1, FALSE)), "ERROR","")</f>
        <v>ERROR</v>
      </c>
      <c r="Q2307" s="141"/>
      <c r="R2307" s="143"/>
      <c r="S2307" s="139"/>
      <c r="T2307" s="141"/>
    </row>
    <row r="2308">
      <c r="A2308" s="138"/>
      <c r="B2308" s="138"/>
      <c r="C2308" s="138"/>
      <c r="D2308" s="139"/>
      <c r="E2308" s="138"/>
      <c r="F2308" s="138"/>
      <c r="G2308" s="138"/>
      <c r="H2308" s="138"/>
      <c r="I2308" s="138"/>
      <c r="J2308" s="138"/>
      <c r="K2308" s="138"/>
      <c r="L2308" s="138">
        <v>0.0</v>
      </c>
      <c r="M2308" s="140" t="str">
        <f>VLOOKUP(text(D2308, "#"),'Master Table'!$A:$F, 6, FALSE)</f>
        <v>#N/A</v>
      </c>
      <c r="N2308" s="141"/>
      <c r="O2308" s="142" t="str">
        <f t="shared" si="1"/>
        <v/>
      </c>
      <c r="P2308" s="143" t="str">
        <f>IF(ISNA(VLOOKUP(CONCAT(M2308,C2308), 'Judge Count DO NOT EDIT'!H:H, 1, FALSE)), "ERROR","")</f>
        <v>ERROR</v>
      </c>
      <c r="Q2308" s="141"/>
      <c r="R2308" s="143"/>
      <c r="S2308" s="139"/>
      <c r="T2308" s="141"/>
    </row>
    <row r="2309">
      <c r="A2309" s="138"/>
      <c r="B2309" s="138"/>
      <c r="C2309" s="138"/>
      <c r="D2309" s="139"/>
      <c r="E2309" s="138"/>
      <c r="F2309" s="138"/>
      <c r="G2309" s="138"/>
      <c r="H2309" s="138"/>
      <c r="I2309" s="138"/>
      <c r="J2309" s="138"/>
      <c r="K2309" s="138"/>
      <c r="L2309" s="138">
        <v>0.0</v>
      </c>
      <c r="M2309" s="140" t="str">
        <f>VLOOKUP(text(D2309, "#"),'Master Table'!$A:$F, 6, FALSE)</f>
        <v>#N/A</v>
      </c>
      <c r="N2309" s="141"/>
      <c r="O2309" s="142" t="str">
        <f t="shared" si="1"/>
        <v/>
      </c>
      <c r="P2309" s="143" t="str">
        <f>IF(ISNA(VLOOKUP(CONCAT(M2309,C2309), 'Judge Count DO NOT EDIT'!H:H, 1, FALSE)), "ERROR","")</f>
        <v>ERROR</v>
      </c>
      <c r="Q2309" s="141"/>
      <c r="R2309" s="143"/>
      <c r="S2309" s="139"/>
      <c r="T2309" s="141"/>
    </row>
    <row r="2310">
      <c r="A2310" s="138"/>
      <c r="B2310" s="138"/>
      <c r="C2310" s="138"/>
      <c r="D2310" s="139"/>
      <c r="E2310" s="138"/>
      <c r="F2310" s="138"/>
      <c r="G2310" s="138"/>
      <c r="H2310" s="138"/>
      <c r="I2310" s="138"/>
      <c r="J2310" s="138"/>
      <c r="K2310" s="138"/>
      <c r="L2310" s="138">
        <v>0.0</v>
      </c>
      <c r="M2310" s="140" t="str">
        <f>VLOOKUP(text(D2310, "#"),'Master Table'!$A:$F, 6, FALSE)</f>
        <v>#N/A</v>
      </c>
      <c r="N2310" s="141"/>
      <c r="O2310" s="142" t="str">
        <f t="shared" si="1"/>
        <v/>
      </c>
      <c r="P2310" s="143" t="str">
        <f>IF(ISNA(VLOOKUP(CONCAT(M2310,C2310), 'Judge Count DO NOT EDIT'!H:H, 1, FALSE)), "ERROR","")</f>
        <v>ERROR</v>
      </c>
      <c r="Q2310" s="141"/>
      <c r="R2310" s="143"/>
      <c r="S2310" s="139"/>
      <c r="T2310" s="141"/>
    </row>
    <row r="2311">
      <c r="A2311" s="138"/>
      <c r="B2311" s="138"/>
      <c r="C2311" s="138"/>
      <c r="D2311" s="139"/>
      <c r="E2311" s="138"/>
      <c r="F2311" s="138"/>
      <c r="G2311" s="138"/>
      <c r="H2311" s="138"/>
      <c r="I2311" s="138"/>
      <c r="J2311" s="138"/>
      <c r="K2311" s="138"/>
      <c r="L2311" s="138">
        <v>0.0</v>
      </c>
      <c r="M2311" s="140" t="str">
        <f>VLOOKUP(text(D2311, "#"),'Master Table'!$A:$F, 6, FALSE)</f>
        <v>#N/A</v>
      </c>
      <c r="N2311" s="141"/>
      <c r="O2311" s="142" t="str">
        <f t="shared" si="1"/>
        <v/>
      </c>
      <c r="P2311" s="143" t="str">
        <f>IF(ISNA(VLOOKUP(CONCAT(M2311,C2311), 'Judge Count DO NOT EDIT'!H:H, 1, FALSE)), "ERROR","")</f>
        <v>ERROR</v>
      </c>
      <c r="Q2311" s="141"/>
      <c r="R2311" s="143"/>
      <c r="S2311" s="139"/>
      <c r="T2311" s="141"/>
    </row>
    <row r="2312">
      <c r="A2312" s="138"/>
      <c r="B2312" s="138"/>
      <c r="C2312" s="138"/>
      <c r="D2312" s="139"/>
      <c r="E2312" s="138"/>
      <c r="F2312" s="138"/>
      <c r="G2312" s="138"/>
      <c r="H2312" s="138"/>
      <c r="I2312" s="138"/>
      <c r="J2312" s="138"/>
      <c r="K2312" s="138"/>
      <c r="L2312" s="138">
        <v>0.0</v>
      </c>
      <c r="M2312" s="140" t="str">
        <f>VLOOKUP(text(D2312, "#"),'Master Table'!$A:$F, 6, FALSE)</f>
        <v>#N/A</v>
      </c>
      <c r="N2312" s="141"/>
      <c r="O2312" s="142" t="str">
        <f t="shared" si="1"/>
        <v/>
      </c>
      <c r="P2312" s="143" t="str">
        <f>IF(ISNA(VLOOKUP(CONCAT(M2312,C2312), 'Judge Count DO NOT EDIT'!H:H, 1, FALSE)), "ERROR","")</f>
        <v>ERROR</v>
      </c>
      <c r="Q2312" s="141"/>
      <c r="R2312" s="143"/>
      <c r="S2312" s="139"/>
      <c r="T2312" s="141"/>
    </row>
    <row r="2313">
      <c r="A2313" s="138"/>
      <c r="B2313" s="138"/>
      <c r="C2313" s="138"/>
      <c r="D2313" s="139"/>
      <c r="E2313" s="138"/>
      <c r="F2313" s="138"/>
      <c r="G2313" s="138"/>
      <c r="H2313" s="138"/>
      <c r="I2313" s="138"/>
      <c r="J2313" s="138"/>
      <c r="K2313" s="138"/>
      <c r="L2313" s="138">
        <v>0.0</v>
      </c>
      <c r="M2313" s="140" t="str">
        <f>VLOOKUP(text(D2313, "#"),'Master Table'!$A:$F, 6, FALSE)</f>
        <v>#N/A</v>
      </c>
      <c r="N2313" s="141"/>
      <c r="O2313" s="142" t="str">
        <f t="shared" si="1"/>
        <v/>
      </c>
      <c r="P2313" s="143" t="str">
        <f>IF(ISNA(VLOOKUP(CONCAT(M2313,C2313), 'Judge Count DO NOT EDIT'!H:H, 1, FALSE)), "ERROR","")</f>
        <v>ERROR</v>
      </c>
      <c r="Q2313" s="141"/>
      <c r="R2313" s="143"/>
      <c r="S2313" s="139"/>
      <c r="T2313" s="141"/>
    </row>
    <row r="2314">
      <c r="A2314" s="138"/>
      <c r="B2314" s="138"/>
      <c r="C2314" s="138"/>
      <c r="D2314" s="139"/>
      <c r="E2314" s="138"/>
      <c r="F2314" s="138"/>
      <c r="G2314" s="138"/>
      <c r="H2314" s="138"/>
      <c r="I2314" s="138"/>
      <c r="J2314" s="138"/>
      <c r="K2314" s="138"/>
      <c r="L2314" s="138">
        <v>0.0</v>
      </c>
      <c r="M2314" s="140" t="str">
        <f>VLOOKUP(text(D2314, "#"),'Master Table'!$A:$F, 6, FALSE)</f>
        <v>#N/A</v>
      </c>
      <c r="N2314" s="141"/>
      <c r="O2314" s="142" t="str">
        <f t="shared" si="1"/>
        <v/>
      </c>
      <c r="P2314" s="143" t="str">
        <f>IF(ISNA(VLOOKUP(CONCAT(M2314,C2314), 'Judge Count DO NOT EDIT'!H:H, 1, FALSE)), "ERROR","")</f>
        <v>ERROR</v>
      </c>
      <c r="Q2314" s="141"/>
      <c r="R2314" s="143"/>
      <c r="S2314" s="139"/>
      <c r="T2314" s="141"/>
    </row>
    <row r="2315">
      <c r="A2315" s="138"/>
      <c r="B2315" s="138"/>
      <c r="C2315" s="138"/>
      <c r="D2315" s="139"/>
      <c r="E2315" s="138"/>
      <c r="F2315" s="138"/>
      <c r="G2315" s="138"/>
      <c r="H2315" s="138"/>
      <c r="I2315" s="138"/>
      <c r="J2315" s="138"/>
      <c r="K2315" s="138"/>
      <c r="L2315" s="138">
        <v>0.0</v>
      </c>
      <c r="M2315" s="140" t="str">
        <f>VLOOKUP(text(D2315, "#"),'Master Table'!$A:$F, 6, FALSE)</f>
        <v>#N/A</v>
      </c>
      <c r="N2315" s="141"/>
      <c r="O2315" s="142" t="str">
        <f t="shared" si="1"/>
        <v/>
      </c>
      <c r="P2315" s="143" t="str">
        <f>IF(ISNA(VLOOKUP(CONCAT(M2315,C2315), 'Judge Count DO NOT EDIT'!H:H, 1, FALSE)), "ERROR","")</f>
        <v>ERROR</v>
      </c>
      <c r="Q2315" s="141"/>
      <c r="R2315" s="143"/>
      <c r="S2315" s="139"/>
      <c r="T2315" s="141"/>
    </row>
    <row r="2316">
      <c r="A2316" s="138"/>
      <c r="B2316" s="138"/>
      <c r="C2316" s="138"/>
      <c r="D2316" s="139"/>
      <c r="E2316" s="138"/>
      <c r="F2316" s="138"/>
      <c r="G2316" s="138"/>
      <c r="H2316" s="138"/>
      <c r="I2316" s="138"/>
      <c r="J2316" s="138"/>
      <c r="K2316" s="138"/>
      <c r="L2316" s="138">
        <v>0.0</v>
      </c>
      <c r="M2316" s="140" t="str">
        <f>VLOOKUP(text(D2316, "#"),'Master Table'!$A:$F, 6, FALSE)</f>
        <v>#N/A</v>
      </c>
      <c r="N2316" s="141"/>
      <c r="O2316" s="142" t="str">
        <f t="shared" si="1"/>
        <v/>
      </c>
      <c r="P2316" s="143" t="str">
        <f>IF(ISNA(VLOOKUP(CONCAT(M2316,C2316), 'Judge Count DO NOT EDIT'!H:H, 1, FALSE)), "ERROR","")</f>
        <v>ERROR</v>
      </c>
      <c r="Q2316" s="141"/>
      <c r="R2316" s="143"/>
      <c r="S2316" s="139"/>
      <c r="T2316" s="141"/>
    </row>
    <row r="2317">
      <c r="A2317" s="138"/>
      <c r="B2317" s="138"/>
      <c r="C2317" s="138"/>
      <c r="D2317" s="139"/>
      <c r="E2317" s="138"/>
      <c r="F2317" s="138"/>
      <c r="G2317" s="138"/>
      <c r="H2317" s="138"/>
      <c r="I2317" s="138"/>
      <c r="J2317" s="138"/>
      <c r="K2317" s="138"/>
      <c r="L2317" s="138">
        <v>0.0</v>
      </c>
      <c r="M2317" s="140" t="str">
        <f>VLOOKUP(text(D2317, "#"),'Master Table'!$A:$F, 6, FALSE)</f>
        <v>#N/A</v>
      </c>
      <c r="N2317" s="141"/>
      <c r="O2317" s="142" t="str">
        <f t="shared" si="1"/>
        <v/>
      </c>
      <c r="P2317" s="143" t="str">
        <f>IF(ISNA(VLOOKUP(CONCAT(M2317,C2317), 'Judge Count DO NOT EDIT'!H:H, 1, FALSE)), "ERROR","")</f>
        <v>ERROR</v>
      </c>
      <c r="Q2317" s="141"/>
      <c r="R2317" s="143"/>
      <c r="S2317" s="139"/>
      <c r="T2317" s="141"/>
    </row>
    <row r="2318">
      <c r="A2318" s="138"/>
      <c r="B2318" s="138"/>
      <c r="C2318" s="138"/>
      <c r="D2318" s="139"/>
      <c r="E2318" s="138"/>
      <c r="F2318" s="138"/>
      <c r="G2318" s="138"/>
      <c r="H2318" s="138"/>
      <c r="I2318" s="138"/>
      <c r="J2318" s="138"/>
      <c r="K2318" s="138"/>
      <c r="L2318" s="138">
        <v>0.0</v>
      </c>
      <c r="M2318" s="140" t="str">
        <f>VLOOKUP(text(D2318, "#"),'Master Table'!$A:$F, 6, FALSE)</f>
        <v>#N/A</v>
      </c>
      <c r="N2318" s="141"/>
      <c r="O2318" s="142" t="str">
        <f t="shared" si="1"/>
        <v/>
      </c>
      <c r="P2318" s="143" t="str">
        <f>IF(ISNA(VLOOKUP(CONCAT(M2318,C2318), 'Judge Count DO NOT EDIT'!H:H, 1, FALSE)), "ERROR","")</f>
        <v>ERROR</v>
      </c>
      <c r="Q2318" s="141"/>
      <c r="R2318" s="143"/>
      <c r="S2318" s="139"/>
      <c r="T2318" s="141"/>
    </row>
    <row r="2319">
      <c r="A2319" s="138"/>
      <c r="B2319" s="138"/>
      <c r="C2319" s="138"/>
      <c r="D2319" s="139"/>
      <c r="E2319" s="138"/>
      <c r="F2319" s="138"/>
      <c r="G2319" s="138"/>
      <c r="H2319" s="138"/>
      <c r="I2319" s="138"/>
      <c r="J2319" s="138"/>
      <c r="K2319" s="138"/>
      <c r="L2319" s="138">
        <v>0.0</v>
      </c>
      <c r="M2319" s="140" t="str">
        <f>VLOOKUP(text(D2319, "#"),'Master Table'!$A:$F, 6, FALSE)</f>
        <v>#N/A</v>
      </c>
      <c r="N2319" s="141"/>
      <c r="O2319" s="142" t="str">
        <f t="shared" si="1"/>
        <v/>
      </c>
      <c r="P2319" s="143" t="str">
        <f>IF(ISNA(VLOOKUP(CONCAT(M2319,C2319), 'Judge Count DO NOT EDIT'!H:H, 1, FALSE)), "ERROR","")</f>
        <v>ERROR</v>
      </c>
      <c r="Q2319" s="141"/>
      <c r="R2319" s="143"/>
      <c r="S2319" s="139"/>
      <c r="T2319" s="141"/>
    </row>
    <row r="2320">
      <c r="A2320" s="138"/>
      <c r="B2320" s="138"/>
      <c r="C2320" s="138"/>
      <c r="D2320" s="139"/>
      <c r="E2320" s="138"/>
      <c r="F2320" s="138"/>
      <c r="G2320" s="138"/>
      <c r="H2320" s="138"/>
      <c r="I2320" s="138"/>
      <c r="J2320" s="138"/>
      <c r="K2320" s="138"/>
      <c r="L2320" s="138">
        <v>0.0</v>
      </c>
      <c r="M2320" s="140" t="str">
        <f>VLOOKUP(text(D2320, "#"),'Master Table'!$A:$F, 6, FALSE)</f>
        <v>#N/A</v>
      </c>
      <c r="N2320" s="141"/>
      <c r="O2320" s="142" t="str">
        <f t="shared" si="1"/>
        <v/>
      </c>
      <c r="P2320" s="143" t="str">
        <f>IF(ISNA(VLOOKUP(CONCAT(M2320,C2320), 'Judge Count DO NOT EDIT'!H:H, 1, FALSE)), "ERROR","")</f>
        <v>ERROR</v>
      </c>
      <c r="Q2320" s="141"/>
      <c r="R2320" s="143"/>
      <c r="S2320" s="139"/>
      <c r="T2320" s="141"/>
    </row>
    <row r="2321">
      <c r="A2321" s="138"/>
      <c r="B2321" s="138"/>
      <c r="C2321" s="138"/>
      <c r="D2321" s="139"/>
      <c r="E2321" s="138"/>
      <c r="F2321" s="138"/>
      <c r="G2321" s="138"/>
      <c r="H2321" s="138"/>
      <c r="I2321" s="138"/>
      <c r="J2321" s="138"/>
      <c r="K2321" s="138"/>
      <c r="L2321" s="138">
        <v>0.0</v>
      </c>
      <c r="M2321" s="140" t="str">
        <f>VLOOKUP(text(D2321, "#"),'Master Table'!$A:$F, 6, FALSE)</f>
        <v>#N/A</v>
      </c>
      <c r="N2321" s="141"/>
      <c r="O2321" s="142" t="str">
        <f t="shared" si="1"/>
        <v/>
      </c>
      <c r="P2321" s="143" t="str">
        <f>IF(ISNA(VLOOKUP(CONCAT(M2321,C2321), 'Judge Count DO NOT EDIT'!H:H, 1, FALSE)), "ERROR","")</f>
        <v>ERROR</v>
      </c>
      <c r="Q2321" s="141"/>
      <c r="R2321" s="143"/>
      <c r="S2321" s="139"/>
      <c r="T2321" s="141"/>
    </row>
    <row r="2322">
      <c r="A2322" s="138"/>
      <c r="B2322" s="138"/>
      <c r="C2322" s="138"/>
      <c r="D2322" s="139"/>
      <c r="E2322" s="138"/>
      <c r="F2322" s="138"/>
      <c r="G2322" s="138"/>
      <c r="H2322" s="138"/>
      <c r="I2322" s="138"/>
      <c r="J2322" s="138"/>
      <c r="K2322" s="138"/>
      <c r="L2322" s="138">
        <v>0.0</v>
      </c>
      <c r="M2322" s="140" t="str">
        <f>VLOOKUP(text(D2322, "#"),'Master Table'!$A:$F, 6, FALSE)</f>
        <v>#N/A</v>
      </c>
      <c r="N2322" s="141"/>
      <c r="O2322" s="142" t="str">
        <f t="shared" si="1"/>
        <v/>
      </c>
      <c r="P2322" s="143" t="str">
        <f>IF(ISNA(VLOOKUP(CONCAT(M2322,C2322), 'Judge Count DO NOT EDIT'!H:H, 1, FALSE)), "ERROR","")</f>
        <v>ERROR</v>
      </c>
      <c r="Q2322" s="141"/>
      <c r="R2322" s="143"/>
      <c r="S2322" s="139"/>
      <c r="T2322" s="141"/>
    </row>
    <row r="2323">
      <c r="A2323" s="138"/>
      <c r="B2323" s="138"/>
      <c r="C2323" s="138"/>
      <c r="D2323" s="139"/>
      <c r="E2323" s="138"/>
      <c r="F2323" s="138"/>
      <c r="G2323" s="138"/>
      <c r="H2323" s="138"/>
      <c r="I2323" s="138"/>
      <c r="J2323" s="138"/>
      <c r="K2323" s="138"/>
      <c r="L2323" s="138">
        <v>0.0</v>
      </c>
      <c r="M2323" s="140" t="str">
        <f>VLOOKUP(text(D2323, "#"),'Master Table'!$A:$F, 6, FALSE)</f>
        <v>#N/A</v>
      </c>
      <c r="N2323" s="141"/>
      <c r="O2323" s="142" t="str">
        <f t="shared" si="1"/>
        <v/>
      </c>
      <c r="P2323" s="143" t="str">
        <f>IF(ISNA(VLOOKUP(CONCAT(M2323,C2323), 'Judge Count DO NOT EDIT'!H:H, 1, FALSE)), "ERROR","")</f>
        <v>ERROR</v>
      </c>
      <c r="Q2323" s="141"/>
      <c r="R2323" s="143"/>
      <c r="S2323" s="139"/>
      <c r="T2323" s="141"/>
    </row>
    <row r="2324">
      <c r="A2324" s="138"/>
      <c r="B2324" s="138"/>
      <c r="C2324" s="138"/>
      <c r="D2324" s="139"/>
      <c r="E2324" s="138"/>
      <c r="F2324" s="138"/>
      <c r="G2324" s="138"/>
      <c r="H2324" s="138"/>
      <c r="I2324" s="138"/>
      <c r="J2324" s="138"/>
      <c r="K2324" s="138"/>
      <c r="L2324" s="138">
        <v>0.0</v>
      </c>
      <c r="M2324" s="140" t="str">
        <f>VLOOKUP(text(D2324, "#"),'Master Table'!$A:$F, 6, FALSE)</f>
        <v>#N/A</v>
      </c>
      <c r="N2324" s="141"/>
      <c r="O2324" s="142" t="str">
        <f t="shared" si="1"/>
        <v/>
      </c>
      <c r="P2324" s="143" t="str">
        <f>IF(ISNA(VLOOKUP(CONCAT(M2324,C2324), 'Judge Count DO NOT EDIT'!H:H, 1, FALSE)), "ERROR","")</f>
        <v>ERROR</v>
      </c>
      <c r="Q2324" s="141"/>
      <c r="R2324" s="143"/>
      <c r="S2324" s="139"/>
      <c r="T2324" s="141"/>
    </row>
    <row r="2325">
      <c r="A2325" s="138"/>
      <c r="B2325" s="138"/>
      <c r="C2325" s="138"/>
      <c r="D2325" s="139"/>
      <c r="E2325" s="138"/>
      <c r="F2325" s="138"/>
      <c r="G2325" s="138"/>
      <c r="H2325" s="138"/>
      <c r="I2325" s="138"/>
      <c r="J2325" s="138"/>
      <c r="K2325" s="138"/>
      <c r="L2325" s="138">
        <v>0.0</v>
      </c>
      <c r="M2325" s="140" t="str">
        <f>VLOOKUP(text(D2325, "#"),'Master Table'!$A:$F, 6, FALSE)</f>
        <v>#N/A</v>
      </c>
      <c r="N2325" s="141"/>
      <c r="O2325" s="142" t="str">
        <f t="shared" si="1"/>
        <v/>
      </c>
      <c r="P2325" s="143" t="str">
        <f>IF(ISNA(VLOOKUP(CONCAT(M2325,C2325), 'Judge Count DO NOT EDIT'!H:H, 1, FALSE)), "ERROR","")</f>
        <v>ERROR</v>
      </c>
      <c r="Q2325" s="141"/>
      <c r="R2325" s="143"/>
      <c r="S2325" s="139"/>
      <c r="T2325" s="141"/>
    </row>
    <row r="2326">
      <c r="A2326" s="138"/>
      <c r="B2326" s="138"/>
      <c r="C2326" s="138"/>
      <c r="D2326" s="139"/>
      <c r="E2326" s="138"/>
      <c r="F2326" s="138"/>
      <c r="G2326" s="138"/>
      <c r="H2326" s="138"/>
      <c r="I2326" s="138"/>
      <c r="J2326" s="138"/>
      <c r="K2326" s="138"/>
      <c r="L2326" s="138">
        <v>0.0</v>
      </c>
      <c r="M2326" s="140" t="str">
        <f>VLOOKUP(text(D2326, "#"),'Master Table'!$A:$F, 6, FALSE)</f>
        <v>#N/A</v>
      </c>
      <c r="N2326" s="141"/>
      <c r="O2326" s="142" t="str">
        <f t="shared" si="1"/>
        <v/>
      </c>
      <c r="P2326" s="143" t="str">
        <f>IF(ISNA(VLOOKUP(CONCAT(M2326,C2326), 'Judge Count DO NOT EDIT'!H:H, 1, FALSE)), "ERROR","")</f>
        <v>ERROR</v>
      </c>
      <c r="Q2326" s="141"/>
      <c r="R2326" s="143"/>
      <c r="S2326" s="139"/>
      <c r="T2326" s="141"/>
    </row>
    <row r="2327">
      <c r="A2327" s="138"/>
      <c r="B2327" s="138"/>
      <c r="C2327" s="138"/>
      <c r="D2327" s="139"/>
      <c r="E2327" s="138"/>
      <c r="F2327" s="138"/>
      <c r="G2327" s="138"/>
      <c r="H2327" s="138"/>
      <c r="I2327" s="138"/>
      <c r="J2327" s="138"/>
      <c r="K2327" s="138"/>
      <c r="L2327" s="138">
        <v>0.0</v>
      </c>
      <c r="M2327" s="140" t="str">
        <f>VLOOKUP(text(D2327, "#"),'Master Table'!$A:$F, 6, FALSE)</f>
        <v>#N/A</v>
      </c>
      <c r="N2327" s="141"/>
      <c r="O2327" s="142" t="str">
        <f t="shared" si="1"/>
        <v/>
      </c>
      <c r="P2327" s="143" t="str">
        <f>IF(ISNA(VLOOKUP(CONCAT(M2327,C2327), 'Judge Count DO NOT EDIT'!H:H, 1, FALSE)), "ERROR","")</f>
        <v>ERROR</v>
      </c>
      <c r="Q2327" s="141"/>
      <c r="R2327" s="143"/>
      <c r="S2327" s="139"/>
      <c r="T2327" s="141"/>
    </row>
    <row r="2328">
      <c r="A2328" s="138"/>
      <c r="B2328" s="138"/>
      <c r="C2328" s="138"/>
      <c r="D2328" s="139"/>
      <c r="E2328" s="138"/>
      <c r="F2328" s="138"/>
      <c r="G2328" s="138"/>
      <c r="H2328" s="138"/>
      <c r="I2328" s="138"/>
      <c r="J2328" s="138"/>
      <c r="K2328" s="138"/>
      <c r="L2328" s="138">
        <v>0.0</v>
      </c>
      <c r="M2328" s="140" t="str">
        <f>VLOOKUP(text(D2328, "#"),'Master Table'!$A:$F, 6, FALSE)</f>
        <v>#N/A</v>
      </c>
      <c r="N2328" s="141"/>
      <c r="O2328" s="142" t="str">
        <f t="shared" si="1"/>
        <v/>
      </c>
      <c r="P2328" s="143" t="str">
        <f>IF(ISNA(VLOOKUP(CONCAT(M2328,C2328), 'Judge Count DO NOT EDIT'!H:H, 1, FALSE)), "ERROR","")</f>
        <v>ERROR</v>
      </c>
      <c r="Q2328" s="141"/>
      <c r="R2328" s="143"/>
      <c r="S2328" s="139"/>
      <c r="T2328" s="141"/>
    </row>
    <row r="2329">
      <c r="A2329" s="138"/>
      <c r="B2329" s="138"/>
      <c r="C2329" s="138"/>
      <c r="D2329" s="139"/>
      <c r="E2329" s="138"/>
      <c r="F2329" s="138"/>
      <c r="G2329" s="138"/>
      <c r="H2329" s="138"/>
      <c r="I2329" s="138"/>
      <c r="J2329" s="138"/>
      <c r="K2329" s="138"/>
      <c r="L2329" s="138">
        <v>0.0</v>
      </c>
      <c r="M2329" s="140" t="str">
        <f>VLOOKUP(text(D2329, "#"),'Master Table'!$A:$F, 6, FALSE)</f>
        <v>#N/A</v>
      </c>
      <c r="N2329" s="141"/>
      <c r="O2329" s="142" t="str">
        <f t="shared" si="1"/>
        <v/>
      </c>
      <c r="P2329" s="143" t="str">
        <f>IF(ISNA(VLOOKUP(CONCAT(M2329,C2329), 'Judge Count DO NOT EDIT'!H:H, 1, FALSE)), "ERROR","")</f>
        <v>ERROR</v>
      </c>
      <c r="Q2329" s="141"/>
      <c r="R2329" s="143"/>
      <c r="S2329" s="139"/>
      <c r="T2329" s="141"/>
    </row>
    <row r="2330">
      <c r="A2330" s="138"/>
      <c r="B2330" s="138"/>
      <c r="C2330" s="138"/>
      <c r="D2330" s="139"/>
      <c r="E2330" s="138"/>
      <c r="F2330" s="138"/>
      <c r="G2330" s="138"/>
      <c r="H2330" s="138"/>
      <c r="I2330" s="138"/>
      <c r="J2330" s="138"/>
      <c r="K2330" s="138"/>
      <c r="L2330" s="138">
        <v>0.0</v>
      </c>
      <c r="M2330" s="140" t="str">
        <f>VLOOKUP(text(D2330, "#"),'Master Table'!$A:$F, 6, FALSE)</f>
        <v>#N/A</v>
      </c>
      <c r="N2330" s="141"/>
      <c r="O2330" s="142" t="str">
        <f t="shared" si="1"/>
        <v/>
      </c>
      <c r="P2330" s="143" t="str">
        <f>IF(ISNA(VLOOKUP(CONCAT(M2330,C2330), 'Judge Count DO NOT EDIT'!H:H, 1, FALSE)), "ERROR","")</f>
        <v>ERROR</v>
      </c>
      <c r="Q2330" s="141"/>
      <c r="R2330" s="143"/>
      <c r="S2330" s="139"/>
      <c r="T2330" s="141"/>
    </row>
    <row r="2331">
      <c r="A2331" s="138"/>
      <c r="B2331" s="138"/>
      <c r="C2331" s="138"/>
      <c r="D2331" s="139"/>
      <c r="E2331" s="138"/>
      <c r="F2331" s="138"/>
      <c r="G2331" s="138"/>
      <c r="H2331" s="138"/>
      <c r="I2331" s="138"/>
      <c r="J2331" s="138"/>
      <c r="K2331" s="138"/>
      <c r="L2331" s="138">
        <v>0.0</v>
      </c>
      <c r="M2331" s="140" t="str">
        <f>VLOOKUP(text(D2331, "#"),'Master Table'!$A:$F, 6, FALSE)</f>
        <v>#N/A</v>
      </c>
      <c r="N2331" s="141"/>
      <c r="O2331" s="142" t="str">
        <f t="shared" si="1"/>
        <v/>
      </c>
      <c r="P2331" s="143" t="str">
        <f>IF(ISNA(VLOOKUP(CONCAT(M2331,C2331), 'Judge Count DO NOT EDIT'!H:H, 1, FALSE)), "ERROR","")</f>
        <v>ERROR</v>
      </c>
      <c r="Q2331" s="141"/>
      <c r="R2331" s="143"/>
      <c r="S2331" s="139"/>
      <c r="T2331" s="141"/>
    </row>
    <row r="2332">
      <c r="A2332" s="138"/>
      <c r="B2332" s="138"/>
      <c r="C2332" s="138"/>
      <c r="D2332" s="139"/>
      <c r="E2332" s="138"/>
      <c r="F2332" s="138"/>
      <c r="G2332" s="138"/>
      <c r="H2332" s="138"/>
      <c r="I2332" s="138"/>
      <c r="J2332" s="138"/>
      <c r="K2332" s="138"/>
      <c r="L2332" s="138">
        <v>0.0</v>
      </c>
      <c r="M2332" s="140" t="str">
        <f>VLOOKUP(text(D2332, "#"),'Master Table'!$A:$F, 6, FALSE)</f>
        <v>#N/A</v>
      </c>
      <c r="N2332" s="141"/>
      <c r="O2332" s="142" t="str">
        <f t="shared" si="1"/>
        <v/>
      </c>
      <c r="P2332" s="143" t="str">
        <f>IF(ISNA(VLOOKUP(CONCAT(M2332,C2332), 'Judge Count DO NOT EDIT'!H:H, 1, FALSE)), "ERROR","")</f>
        <v>ERROR</v>
      </c>
      <c r="Q2332" s="141"/>
      <c r="R2332" s="143"/>
      <c r="S2332" s="139"/>
      <c r="T2332" s="141"/>
    </row>
    <row r="2333">
      <c r="A2333" s="138"/>
      <c r="B2333" s="138"/>
      <c r="C2333" s="138"/>
      <c r="D2333" s="139"/>
      <c r="E2333" s="138"/>
      <c r="F2333" s="138"/>
      <c r="G2333" s="138"/>
      <c r="H2333" s="138"/>
      <c r="I2333" s="138"/>
      <c r="J2333" s="138"/>
      <c r="K2333" s="138"/>
      <c r="L2333" s="138">
        <v>0.0</v>
      </c>
      <c r="M2333" s="140" t="str">
        <f>VLOOKUP(text(D2333, "#"),'Master Table'!$A:$F, 6, FALSE)</f>
        <v>#N/A</v>
      </c>
      <c r="N2333" s="141"/>
      <c r="O2333" s="142" t="str">
        <f t="shared" si="1"/>
        <v/>
      </c>
      <c r="P2333" s="143" t="str">
        <f>IF(ISNA(VLOOKUP(CONCAT(M2333,C2333), 'Judge Count DO NOT EDIT'!H:H, 1, FALSE)), "ERROR","")</f>
        <v>ERROR</v>
      </c>
      <c r="Q2333" s="141"/>
      <c r="R2333" s="143"/>
      <c r="S2333" s="139"/>
      <c r="T2333" s="141"/>
    </row>
    <row r="2334">
      <c r="A2334" s="138"/>
      <c r="B2334" s="138"/>
      <c r="C2334" s="138"/>
      <c r="D2334" s="139"/>
      <c r="E2334" s="138"/>
      <c r="F2334" s="138"/>
      <c r="G2334" s="138"/>
      <c r="H2334" s="138"/>
      <c r="I2334" s="138"/>
      <c r="J2334" s="138"/>
      <c r="K2334" s="138"/>
      <c r="L2334" s="138">
        <v>0.0</v>
      </c>
      <c r="M2334" s="140" t="str">
        <f>VLOOKUP(text(D2334, "#"),'Master Table'!$A:$F, 6, FALSE)</f>
        <v>#N/A</v>
      </c>
      <c r="N2334" s="141"/>
      <c r="O2334" s="142" t="str">
        <f t="shared" si="1"/>
        <v/>
      </c>
      <c r="P2334" s="143" t="str">
        <f>IF(ISNA(VLOOKUP(CONCAT(M2334,C2334), 'Judge Count DO NOT EDIT'!H:H, 1, FALSE)), "ERROR","")</f>
        <v>ERROR</v>
      </c>
      <c r="Q2334" s="141"/>
      <c r="R2334" s="143"/>
      <c r="S2334" s="139"/>
      <c r="T2334" s="141"/>
    </row>
    <row r="2335">
      <c r="A2335" s="138"/>
      <c r="B2335" s="138"/>
      <c r="C2335" s="138"/>
      <c r="D2335" s="139"/>
      <c r="E2335" s="138"/>
      <c r="F2335" s="138"/>
      <c r="G2335" s="138"/>
      <c r="H2335" s="138"/>
      <c r="I2335" s="138"/>
      <c r="J2335" s="138"/>
      <c r="K2335" s="138"/>
      <c r="L2335" s="138">
        <v>0.0</v>
      </c>
      <c r="M2335" s="140" t="str">
        <f>VLOOKUP(text(D2335, "#"),'Master Table'!$A:$F, 6, FALSE)</f>
        <v>#N/A</v>
      </c>
      <c r="N2335" s="141"/>
      <c r="O2335" s="142" t="str">
        <f t="shared" si="1"/>
        <v/>
      </c>
      <c r="P2335" s="143" t="str">
        <f>IF(ISNA(VLOOKUP(CONCAT(M2335,C2335), 'Judge Count DO NOT EDIT'!H:H, 1, FALSE)), "ERROR","")</f>
        <v>ERROR</v>
      </c>
      <c r="Q2335" s="141"/>
      <c r="R2335" s="143"/>
      <c r="S2335" s="139"/>
      <c r="T2335" s="141"/>
    </row>
    <row r="2336">
      <c r="A2336" s="138"/>
      <c r="B2336" s="138"/>
      <c r="C2336" s="138"/>
      <c r="D2336" s="139"/>
      <c r="E2336" s="138"/>
      <c r="F2336" s="138"/>
      <c r="G2336" s="138"/>
      <c r="H2336" s="138"/>
      <c r="I2336" s="138"/>
      <c r="J2336" s="138"/>
      <c r="K2336" s="138"/>
      <c r="L2336" s="138">
        <v>0.0</v>
      </c>
      <c r="M2336" s="140" t="str">
        <f>VLOOKUP(text(D2336, "#"),'Master Table'!$A:$F, 6, FALSE)</f>
        <v>#N/A</v>
      </c>
      <c r="N2336" s="141"/>
      <c r="O2336" s="142" t="str">
        <f t="shared" si="1"/>
        <v/>
      </c>
      <c r="P2336" s="143" t="str">
        <f>IF(ISNA(VLOOKUP(CONCAT(M2336,C2336), 'Judge Count DO NOT EDIT'!H:H, 1, FALSE)), "ERROR","")</f>
        <v>ERROR</v>
      </c>
      <c r="Q2336" s="141"/>
      <c r="R2336" s="143"/>
      <c r="S2336" s="139"/>
      <c r="T2336" s="141"/>
    </row>
    <row r="2337">
      <c r="A2337" s="138"/>
      <c r="B2337" s="138"/>
      <c r="C2337" s="138"/>
      <c r="D2337" s="139"/>
      <c r="E2337" s="138"/>
      <c r="F2337" s="138"/>
      <c r="G2337" s="138"/>
      <c r="H2337" s="138"/>
      <c r="I2337" s="138"/>
      <c r="J2337" s="138"/>
      <c r="K2337" s="138"/>
      <c r="L2337" s="138">
        <v>0.0</v>
      </c>
      <c r="M2337" s="140" t="str">
        <f>VLOOKUP(text(D2337, "#"),'Master Table'!$A:$F, 6, FALSE)</f>
        <v>#N/A</v>
      </c>
      <c r="N2337" s="141"/>
      <c r="O2337" s="142" t="str">
        <f t="shared" si="1"/>
        <v/>
      </c>
      <c r="P2337" s="143" t="str">
        <f>IF(ISNA(VLOOKUP(CONCAT(M2337,C2337), 'Judge Count DO NOT EDIT'!H:H, 1, FALSE)), "ERROR","")</f>
        <v>ERROR</v>
      </c>
      <c r="Q2337" s="141"/>
      <c r="R2337" s="143"/>
      <c r="S2337" s="139"/>
      <c r="T2337" s="141"/>
    </row>
    <row r="2338">
      <c r="A2338" s="138"/>
      <c r="B2338" s="138"/>
      <c r="C2338" s="138"/>
      <c r="D2338" s="139"/>
      <c r="E2338" s="138"/>
      <c r="F2338" s="138"/>
      <c r="G2338" s="138"/>
      <c r="H2338" s="138"/>
      <c r="I2338" s="138"/>
      <c r="J2338" s="138"/>
      <c r="K2338" s="138"/>
      <c r="L2338" s="138">
        <v>0.0</v>
      </c>
      <c r="M2338" s="140" t="str">
        <f>VLOOKUP(text(D2338, "#"),'Master Table'!$A:$F, 6, FALSE)</f>
        <v>#N/A</v>
      </c>
      <c r="N2338" s="141"/>
      <c r="O2338" s="142" t="str">
        <f t="shared" si="1"/>
        <v/>
      </c>
      <c r="P2338" s="143" t="str">
        <f>IF(ISNA(VLOOKUP(CONCAT(M2338,C2338), 'Judge Count DO NOT EDIT'!H:H, 1, FALSE)), "ERROR","")</f>
        <v>ERROR</v>
      </c>
      <c r="Q2338" s="141"/>
      <c r="R2338" s="143"/>
      <c r="S2338" s="139"/>
      <c r="T2338" s="141"/>
    </row>
    <row r="2339">
      <c r="A2339" s="138"/>
      <c r="B2339" s="138"/>
      <c r="C2339" s="138"/>
      <c r="D2339" s="139"/>
      <c r="E2339" s="138"/>
      <c r="F2339" s="138"/>
      <c r="G2339" s="138"/>
      <c r="H2339" s="138"/>
      <c r="I2339" s="138"/>
      <c r="J2339" s="138"/>
      <c r="K2339" s="138"/>
      <c r="L2339" s="138">
        <v>0.0</v>
      </c>
      <c r="M2339" s="140" t="str">
        <f>VLOOKUP(text(D2339, "#"),'Master Table'!$A:$F, 6, FALSE)</f>
        <v>#N/A</v>
      </c>
      <c r="N2339" s="141"/>
      <c r="O2339" s="142" t="str">
        <f t="shared" si="1"/>
        <v/>
      </c>
      <c r="P2339" s="143" t="str">
        <f>IF(ISNA(VLOOKUP(CONCAT(M2339,C2339), 'Judge Count DO NOT EDIT'!H:H, 1, FALSE)), "ERROR","")</f>
        <v>ERROR</v>
      </c>
      <c r="Q2339" s="141"/>
      <c r="R2339" s="143"/>
      <c r="S2339" s="139"/>
      <c r="T2339" s="141"/>
    </row>
    <row r="2340">
      <c r="A2340" s="138"/>
      <c r="B2340" s="138"/>
      <c r="C2340" s="138"/>
      <c r="D2340" s="139"/>
      <c r="E2340" s="138"/>
      <c r="F2340" s="138"/>
      <c r="G2340" s="138"/>
      <c r="H2340" s="138"/>
      <c r="I2340" s="138"/>
      <c r="J2340" s="138"/>
      <c r="K2340" s="138"/>
      <c r="L2340" s="138">
        <v>0.0</v>
      </c>
      <c r="M2340" s="140" t="str">
        <f>VLOOKUP(text(D2340, "#"),'Master Table'!$A:$F, 6, FALSE)</f>
        <v>#N/A</v>
      </c>
      <c r="N2340" s="141"/>
      <c r="O2340" s="142" t="str">
        <f t="shared" si="1"/>
        <v/>
      </c>
      <c r="P2340" s="143" t="str">
        <f>IF(ISNA(VLOOKUP(CONCAT(M2340,C2340), 'Judge Count DO NOT EDIT'!H:H, 1, FALSE)), "ERROR","")</f>
        <v>ERROR</v>
      </c>
      <c r="Q2340" s="141"/>
      <c r="R2340" s="143"/>
      <c r="S2340" s="139"/>
      <c r="T2340" s="141"/>
    </row>
    <row r="2341">
      <c r="A2341" s="138"/>
      <c r="B2341" s="138"/>
      <c r="C2341" s="138"/>
      <c r="D2341" s="139"/>
      <c r="E2341" s="138"/>
      <c r="F2341" s="138"/>
      <c r="G2341" s="138"/>
      <c r="H2341" s="138"/>
      <c r="I2341" s="138"/>
      <c r="J2341" s="138"/>
      <c r="K2341" s="138"/>
      <c r="L2341" s="138">
        <v>0.0</v>
      </c>
      <c r="M2341" s="140" t="str">
        <f>VLOOKUP(text(D2341, "#"),'Master Table'!$A:$F, 6, FALSE)</f>
        <v>#N/A</v>
      </c>
      <c r="N2341" s="141"/>
      <c r="O2341" s="142" t="str">
        <f t="shared" si="1"/>
        <v/>
      </c>
      <c r="P2341" s="143" t="str">
        <f>IF(ISNA(VLOOKUP(CONCAT(M2341,C2341), 'Judge Count DO NOT EDIT'!H:H, 1, FALSE)), "ERROR","")</f>
        <v>ERROR</v>
      </c>
      <c r="Q2341" s="141"/>
      <c r="R2341" s="143"/>
      <c r="S2341" s="139"/>
      <c r="T2341" s="141"/>
    </row>
    <row r="2342">
      <c r="A2342" s="138"/>
      <c r="B2342" s="138"/>
      <c r="C2342" s="138"/>
      <c r="D2342" s="139"/>
      <c r="E2342" s="138"/>
      <c r="F2342" s="138"/>
      <c r="G2342" s="138"/>
      <c r="H2342" s="138"/>
      <c r="I2342" s="138"/>
      <c r="J2342" s="138"/>
      <c r="K2342" s="138"/>
      <c r="L2342" s="138">
        <v>0.0</v>
      </c>
      <c r="M2342" s="140" t="str">
        <f>VLOOKUP(text(D2342, "#"),'Master Table'!$A:$F, 6, FALSE)</f>
        <v>#N/A</v>
      </c>
      <c r="N2342" s="141"/>
      <c r="O2342" s="142" t="str">
        <f t="shared" si="1"/>
        <v/>
      </c>
      <c r="P2342" s="143" t="str">
        <f>IF(ISNA(VLOOKUP(CONCAT(M2342,C2342), 'Judge Count DO NOT EDIT'!H:H, 1, FALSE)), "ERROR","")</f>
        <v>ERROR</v>
      </c>
      <c r="Q2342" s="141"/>
      <c r="R2342" s="143"/>
      <c r="S2342" s="139"/>
      <c r="T2342" s="141"/>
    </row>
    <row r="2343">
      <c r="A2343" s="138"/>
      <c r="B2343" s="138"/>
      <c r="C2343" s="138"/>
      <c r="D2343" s="139"/>
      <c r="E2343" s="138"/>
      <c r="F2343" s="138"/>
      <c r="G2343" s="138"/>
      <c r="H2343" s="138"/>
      <c r="I2343" s="138"/>
      <c r="J2343" s="138"/>
      <c r="K2343" s="138"/>
      <c r="L2343" s="138">
        <v>0.0</v>
      </c>
      <c r="M2343" s="140" t="str">
        <f>VLOOKUP(text(D2343, "#"),'Master Table'!$A:$F, 6, FALSE)</f>
        <v>#N/A</v>
      </c>
      <c r="N2343" s="141"/>
      <c r="O2343" s="142" t="str">
        <f t="shared" si="1"/>
        <v/>
      </c>
      <c r="P2343" s="143" t="str">
        <f>IF(ISNA(VLOOKUP(CONCAT(M2343,C2343), 'Judge Count DO NOT EDIT'!H:H, 1, FALSE)), "ERROR","")</f>
        <v>ERROR</v>
      </c>
      <c r="Q2343" s="141"/>
      <c r="R2343" s="143"/>
      <c r="S2343" s="139"/>
      <c r="T2343" s="141"/>
    </row>
    <row r="2344">
      <c r="A2344" s="138"/>
      <c r="B2344" s="138"/>
      <c r="C2344" s="138"/>
      <c r="D2344" s="139"/>
      <c r="E2344" s="138"/>
      <c r="F2344" s="138"/>
      <c r="G2344" s="138"/>
      <c r="H2344" s="138"/>
      <c r="I2344" s="138"/>
      <c r="J2344" s="138"/>
      <c r="K2344" s="138"/>
      <c r="L2344" s="138">
        <v>0.0</v>
      </c>
      <c r="M2344" s="140" t="str">
        <f>VLOOKUP(text(D2344, "#"),'Master Table'!$A:$F, 6, FALSE)</f>
        <v>#N/A</v>
      </c>
      <c r="N2344" s="141"/>
      <c r="O2344" s="142" t="str">
        <f t="shared" si="1"/>
        <v/>
      </c>
      <c r="P2344" s="143" t="str">
        <f>IF(ISNA(VLOOKUP(CONCAT(M2344,C2344), 'Judge Count DO NOT EDIT'!H:H, 1, FALSE)), "ERROR","")</f>
        <v>ERROR</v>
      </c>
      <c r="Q2344" s="141"/>
      <c r="R2344" s="143"/>
      <c r="S2344" s="139"/>
      <c r="T2344" s="141"/>
    </row>
    <row r="2345">
      <c r="A2345" s="138"/>
      <c r="B2345" s="138"/>
      <c r="C2345" s="138"/>
      <c r="D2345" s="139"/>
      <c r="E2345" s="138"/>
      <c r="F2345" s="138"/>
      <c r="G2345" s="138"/>
      <c r="H2345" s="138"/>
      <c r="I2345" s="138"/>
      <c r="J2345" s="138"/>
      <c r="K2345" s="138"/>
      <c r="L2345" s="138">
        <v>0.0</v>
      </c>
      <c r="M2345" s="140" t="str">
        <f>VLOOKUP(text(D2345, "#"),'Master Table'!$A:$F, 6, FALSE)</f>
        <v>#N/A</v>
      </c>
      <c r="N2345" s="141"/>
      <c r="O2345" s="142" t="str">
        <f t="shared" si="1"/>
        <v/>
      </c>
      <c r="P2345" s="143" t="str">
        <f>IF(ISNA(VLOOKUP(CONCAT(M2345,C2345), 'Judge Count DO NOT EDIT'!H:H, 1, FALSE)), "ERROR","")</f>
        <v>ERROR</v>
      </c>
      <c r="Q2345" s="141"/>
      <c r="R2345" s="143"/>
      <c r="S2345" s="139"/>
      <c r="T2345" s="141"/>
    </row>
    <row r="2346">
      <c r="A2346" s="138"/>
      <c r="B2346" s="138"/>
      <c r="C2346" s="138"/>
      <c r="D2346" s="139"/>
      <c r="E2346" s="138"/>
      <c r="F2346" s="138"/>
      <c r="G2346" s="138"/>
      <c r="H2346" s="138"/>
      <c r="I2346" s="138"/>
      <c r="J2346" s="138"/>
      <c r="K2346" s="138"/>
      <c r="L2346" s="138">
        <v>0.0</v>
      </c>
      <c r="M2346" s="140" t="str">
        <f>VLOOKUP(text(D2346, "#"),'Master Table'!$A:$F, 6, FALSE)</f>
        <v>#N/A</v>
      </c>
      <c r="N2346" s="141"/>
      <c r="O2346" s="142" t="str">
        <f t="shared" si="1"/>
        <v/>
      </c>
      <c r="P2346" s="143" t="str">
        <f>IF(ISNA(VLOOKUP(CONCAT(M2346,C2346), 'Judge Count DO NOT EDIT'!H:H, 1, FALSE)), "ERROR","")</f>
        <v>ERROR</v>
      </c>
      <c r="Q2346" s="141"/>
      <c r="R2346" s="143"/>
      <c r="S2346" s="139"/>
      <c r="T2346" s="141"/>
    </row>
    <row r="2347">
      <c r="A2347" s="138"/>
      <c r="B2347" s="138"/>
      <c r="C2347" s="138"/>
      <c r="D2347" s="139"/>
      <c r="E2347" s="138"/>
      <c r="F2347" s="138"/>
      <c r="G2347" s="138"/>
      <c r="H2347" s="138"/>
      <c r="I2347" s="138"/>
      <c r="J2347" s="138"/>
      <c r="K2347" s="138"/>
      <c r="L2347" s="138">
        <v>0.0</v>
      </c>
      <c r="M2347" s="140" t="str">
        <f>VLOOKUP(text(D2347, "#"),'Master Table'!$A:$F, 6, FALSE)</f>
        <v>#N/A</v>
      </c>
      <c r="N2347" s="141"/>
      <c r="O2347" s="142" t="str">
        <f t="shared" si="1"/>
        <v/>
      </c>
      <c r="P2347" s="143" t="str">
        <f>IF(ISNA(VLOOKUP(CONCAT(M2347,C2347), 'Judge Count DO NOT EDIT'!H:H, 1, FALSE)), "ERROR","")</f>
        <v>ERROR</v>
      </c>
      <c r="Q2347" s="141"/>
      <c r="R2347" s="143"/>
      <c r="S2347" s="139"/>
      <c r="T2347" s="141"/>
    </row>
    <row r="2348">
      <c r="A2348" s="138"/>
      <c r="B2348" s="138"/>
      <c r="C2348" s="138"/>
      <c r="D2348" s="139"/>
      <c r="E2348" s="138"/>
      <c r="F2348" s="138"/>
      <c r="G2348" s="138"/>
      <c r="H2348" s="138"/>
      <c r="I2348" s="138"/>
      <c r="J2348" s="138"/>
      <c r="K2348" s="138"/>
      <c r="L2348" s="138">
        <v>0.0</v>
      </c>
      <c r="M2348" s="140" t="str">
        <f>VLOOKUP(text(D2348, "#"),'Master Table'!$A:$F, 6, FALSE)</f>
        <v>#N/A</v>
      </c>
      <c r="N2348" s="141"/>
      <c r="O2348" s="142" t="str">
        <f t="shared" si="1"/>
        <v/>
      </c>
      <c r="P2348" s="143" t="str">
        <f>IF(ISNA(VLOOKUP(CONCAT(M2348,C2348), 'Judge Count DO NOT EDIT'!H:H, 1, FALSE)), "ERROR","")</f>
        <v>ERROR</v>
      </c>
      <c r="Q2348" s="141"/>
      <c r="R2348" s="143"/>
      <c r="S2348" s="139"/>
      <c r="T2348" s="141"/>
    </row>
    <row r="2349">
      <c r="A2349" s="138"/>
      <c r="B2349" s="138"/>
      <c r="C2349" s="138"/>
      <c r="D2349" s="139"/>
      <c r="E2349" s="138"/>
      <c r="F2349" s="138"/>
      <c r="G2349" s="138"/>
      <c r="H2349" s="138"/>
      <c r="I2349" s="138"/>
      <c r="J2349" s="138"/>
      <c r="K2349" s="138"/>
      <c r="L2349" s="138">
        <v>0.0</v>
      </c>
      <c r="M2349" s="140" t="str">
        <f>VLOOKUP(text(D2349, "#"),'Master Table'!$A:$F, 6, FALSE)</f>
        <v>#N/A</v>
      </c>
      <c r="N2349" s="141"/>
      <c r="O2349" s="142" t="str">
        <f t="shared" si="1"/>
        <v/>
      </c>
      <c r="P2349" s="143" t="str">
        <f>IF(ISNA(VLOOKUP(CONCAT(M2349,C2349), 'Judge Count DO NOT EDIT'!H:H, 1, FALSE)), "ERROR","")</f>
        <v>ERROR</v>
      </c>
      <c r="Q2349" s="141"/>
      <c r="R2349" s="143"/>
      <c r="S2349" s="139"/>
      <c r="T2349" s="141"/>
    </row>
    <row r="2350">
      <c r="A2350" s="138"/>
      <c r="B2350" s="138"/>
      <c r="C2350" s="138"/>
      <c r="D2350" s="139"/>
      <c r="E2350" s="138"/>
      <c r="F2350" s="138"/>
      <c r="G2350" s="138"/>
      <c r="H2350" s="138"/>
      <c r="I2350" s="138"/>
      <c r="J2350" s="138"/>
      <c r="K2350" s="138"/>
      <c r="L2350" s="138">
        <v>0.0</v>
      </c>
      <c r="M2350" s="140" t="str">
        <f>VLOOKUP(text(D2350, "#"),'Master Table'!$A:$F, 6, FALSE)</f>
        <v>#N/A</v>
      </c>
      <c r="N2350" s="141"/>
      <c r="O2350" s="142" t="str">
        <f t="shared" si="1"/>
        <v/>
      </c>
      <c r="P2350" s="143" t="str">
        <f>IF(ISNA(VLOOKUP(CONCAT(M2350,C2350), 'Judge Count DO NOT EDIT'!H:H, 1, FALSE)), "ERROR","")</f>
        <v>ERROR</v>
      </c>
      <c r="Q2350" s="141"/>
      <c r="R2350" s="143"/>
      <c r="S2350" s="139"/>
      <c r="T2350" s="141"/>
    </row>
    <row r="2351">
      <c r="A2351" s="138"/>
      <c r="B2351" s="138"/>
      <c r="C2351" s="138"/>
      <c r="D2351" s="139"/>
      <c r="E2351" s="138"/>
      <c r="F2351" s="138"/>
      <c r="G2351" s="138"/>
      <c r="H2351" s="138"/>
      <c r="I2351" s="138"/>
      <c r="J2351" s="138"/>
      <c r="K2351" s="138"/>
      <c r="L2351" s="138">
        <v>0.0</v>
      </c>
      <c r="M2351" s="140" t="str">
        <f>VLOOKUP(text(D2351, "#"),'Master Table'!$A:$F, 6, FALSE)</f>
        <v>#N/A</v>
      </c>
      <c r="N2351" s="141"/>
      <c r="O2351" s="142" t="str">
        <f t="shared" si="1"/>
        <v/>
      </c>
      <c r="P2351" s="143" t="str">
        <f>IF(ISNA(VLOOKUP(CONCAT(M2351,C2351), 'Judge Count DO NOT EDIT'!H:H, 1, FALSE)), "ERROR","")</f>
        <v>ERROR</v>
      </c>
      <c r="Q2351" s="141"/>
      <c r="R2351" s="143"/>
      <c r="S2351" s="139"/>
      <c r="T2351" s="141"/>
    </row>
    <row r="2352">
      <c r="A2352" s="138"/>
      <c r="B2352" s="138"/>
      <c r="C2352" s="138"/>
      <c r="D2352" s="139"/>
      <c r="E2352" s="138"/>
      <c r="F2352" s="138"/>
      <c r="G2352" s="138"/>
      <c r="H2352" s="138"/>
      <c r="I2352" s="138"/>
      <c r="J2352" s="138"/>
      <c r="K2352" s="138"/>
      <c r="L2352" s="138">
        <v>0.0</v>
      </c>
      <c r="M2352" s="140" t="str">
        <f>VLOOKUP(text(D2352, "#"),'Master Table'!$A:$F, 6, FALSE)</f>
        <v>#N/A</v>
      </c>
      <c r="N2352" s="141"/>
      <c r="O2352" s="142" t="str">
        <f t="shared" si="1"/>
        <v/>
      </c>
      <c r="P2352" s="143" t="str">
        <f>IF(ISNA(VLOOKUP(CONCAT(M2352,C2352), 'Judge Count DO NOT EDIT'!H:H, 1, FALSE)), "ERROR","")</f>
        <v>ERROR</v>
      </c>
      <c r="Q2352" s="141"/>
      <c r="R2352" s="143"/>
      <c r="S2352" s="139"/>
      <c r="T2352" s="141"/>
    </row>
    <row r="2353">
      <c r="A2353" s="138"/>
      <c r="B2353" s="138"/>
      <c r="C2353" s="138"/>
      <c r="D2353" s="139"/>
      <c r="E2353" s="138"/>
      <c r="F2353" s="138"/>
      <c r="G2353" s="138"/>
      <c r="H2353" s="138"/>
      <c r="I2353" s="138"/>
      <c r="J2353" s="138"/>
      <c r="K2353" s="138"/>
      <c r="L2353" s="138">
        <v>0.0</v>
      </c>
      <c r="M2353" s="140" t="str">
        <f>VLOOKUP(text(D2353, "#"),'Master Table'!$A:$F, 6, FALSE)</f>
        <v>#N/A</v>
      </c>
      <c r="N2353" s="141"/>
      <c r="O2353" s="142" t="str">
        <f t="shared" si="1"/>
        <v/>
      </c>
      <c r="P2353" s="143" t="str">
        <f>IF(ISNA(VLOOKUP(CONCAT(M2353,C2353), 'Judge Count DO NOT EDIT'!H:H, 1, FALSE)), "ERROR","")</f>
        <v>ERROR</v>
      </c>
      <c r="Q2353" s="141"/>
      <c r="R2353" s="143"/>
      <c r="S2353" s="139"/>
      <c r="T2353" s="141"/>
    </row>
    <row r="2354">
      <c r="A2354" s="138"/>
      <c r="B2354" s="138"/>
      <c r="C2354" s="138"/>
      <c r="D2354" s="139"/>
      <c r="E2354" s="138"/>
      <c r="F2354" s="138"/>
      <c r="G2354" s="138"/>
      <c r="H2354" s="138"/>
      <c r="I2354" s="138"/>
      <c r="J2354" s="138"/>
      <c r="K2354" s="138"/>
      <c r="L2354" s="138">
        <v>0.0</v>
      </c>
      <c r="M2354" s="140" t="str">
        <f>VLOOKUP(text(D2354, "#"),'Master Table'!$A:$F, 6, FALSE)</f>
        <v>#N/A</v>
      </c>
      <c r="N2354" s="141"/>
      <c r="O2354" s="142" t="str">
        <f t="shared" si="1"/>
        <v/>
      </c>
      <c r="P2354" s="143" t="str">
        <f>IF(ISNA(VLOOKUP(CONCAT(M2354,C2354), 'Judge Count DO NOT EDIT'!H:H, 1, FALSE)), "ERROR","")</f>
        <v>ERROR</v>
      </c>
      <c r="Q2354" s="141"/>
      <c r="R2354" s="143"/>
      <c r="S2354" s="139"/>
      <c r="T2354" s="141"/>
    </row>
    <row r="2355">
      <c r="A2355" s="138"/>
      <c r="B2355" s="138"/>
      <c r="C2355" s="138"/>
      <c r="D2355" s="139"/>
      <c r="E2355" s="138"/>
      <c r="F2355" s="138"/>
      <c r="G2355" s="138"/>
      <c r="H2355" s="138"/>
      <c r="I2355" s="138"/>
      <c r="J2355" s="138"/>
      <c r="K2355" s="138"/>
      <c r="L2355" s="138">
        <v>0.0</v>
      </c>
      <c r="M2355" s="140" t="str">
        <f>VLOOKUP(text(D2355, "#"),'Master Table'!$A:$F, 6, FALSE)</f>
        <v>#N/A</v>
      </c>
      <c r="N2355" s="141"/>
      <c r="O2355" s="142" t="str">
        <f t="shared" si="1"/>
        <v/>
      </c>
      <c r="P2355" s="143" t="str">
        <f>IF(ISNA(VLOOKUP(CONCAT(M2355,C2355), 'Judge Count DO NOT EDIT'!H:H, 1, FALSE)), "ERROR","")</f>
        <v>ERROR</v>
      </c>
      <c r="Q2355" s="141"/>
      <c r="R2355" s="143"/>
      <c r="S2355" s="139"/>
      <c r="T2355" s="141"/>
    </row>
    <row r="2356">
      <c r="A2356" s="138"/>
      <c r="B2356" s="138"/>
      <c r="C2356" s="138"/>
      <c r="D2356" s="139"/>
      <c r="E2356" s="138"/>
      <c r="F2356" s="138"/>
      <c r="G2356" s="138"/>
      <c r="H2356" s="138"/>
      <c r="I2356" s="138"/>
      <c r="J2356" s="138"/>
      <c r="K2356" s="138"/>
      <c r="L2356" s="138">
        <v>0.0</v>
      </c>
      <c r="M2356" s="140" t="str">
        <f>VLOOKUP(text(D2356, "#"),'Master Table'!$A:$F, 6, FALSE)</f>
        <v>#N/A</v>
      </c>
      <c r="N2356" s="141"/>
      <c r="O2356" s="142" t="str">
        <f t="shared" si="1"/>
        <v/>
      </c>
      <c r="P2356" s="143" t="str">
        <f>IF(ISNA(VLOOKUP(CONCAT(M2356,C2356), 'Judge Count DO NOT EDIT'!H:H, 1, FALSE)), "ERROR","")</f>
        <v>ERROR</v>
      </c>
      <c r="Q2356" s="141"/>
      <c r="R2356" s="143"/>
      <c r="S2356" s="139"/>
      <c r="T2356" s="141"/>
    </row>
    <row r="2357">
      <c r="A2357" s="138"/>
      <c r="B2357" s="138"/>
      <c r="C2357" s="138"/>
      <c r="D2357" s="139"/>
      <c r="E2357" s="138"/>
      <c r="F2357" s="138"/>
      <c r="G2357" s="138"/>
      <c r="H2357" s="138"/>
      <c r="I2357" s="138"/>
      <c r="J2357" s="138"/>
      <c r="K2357" s="138"/>
      <c r="L2357" s="138">
        <v>0.0</v>
      </c>
      <c r="M2357" s="140" t="str">
        <f>VLOOKUP(text(D2357, "#"),'Master Table'!$A:$F, 6, FALSE)</f>
        <v>#N/A</v>
      </c>
      <c r="N2357" s="141"/>
      <c r="O2357" s="142" t="str">
        <f t="shared" si="1"/>
        <v/>
      </c>
      <c r="P2357" s="143" t="str">
        <f>IF(ISNA(VLOOKUP(CONCAT(M2357,C2357), 'Judge Count DO NOT EDIT'!H:H, 1, FALSE)), "ERROR","")</f>
        <v>ERROR</v>
      </c>
      <c r="Q2357" s="141"/>
      <c r="R2357" s="143"/>
      <c r="S2357" s="139"/>
      <c r="T2357" s="141"/>
    </row>
    <row r="2358">
      <c r="A2358" s="138"/>
      <c r="B2358" s="138"/>
      <c r="C2358" s="138"/>
      <c r="D2358" s="139"/>
      <c r="E2358" s="138"/>
      <c r="F2358" s="138"/>
      <c r="G2358" s="138"/>
      <c r="H2358" s="138"/>
      <c r="I2358" s="138"/>
      <c r="J2358" s="138"/>
      <c r="K2358" s="138"/>
      <c r="L2358" s="138">
        <v>0.0</v>
      </c>
      <c r="M2358" s="140" t="str">
        <f>VLOOKUP(text(D2358, "#"),'Master Table'!$A:$F, 6, FALSE)</f>
        <v>#N/A</v>
      </c>
      <c r="N2358" s="141"/>
      <c r="O2358" s="142" t="str">
        <f t="shared" si="1"/>
        <v/>
      </c>
      <c r="P2358" s="143" t="str">
        <f>IF(ISNA(VLOOKUP(CONCAT(M2358,C2358), 'Judge Count DO NOT EDIT'!H:H, 1, FALSE)), "ERROR","")</f>
        <v>ERROR</v>
      </c>
      <c r="Q2358" s="141"/>
      <c r="R2358" s="143"/>
      <c r="S2358" s="139"/>
      <c r="T2358" s="141"/>
    </row>
    <row r="2359">
      <c r="A2359" s="138"/>
      <c r="B2359" s="138"/>
      <c r="C2359" s="138"/>
      <c r="D2359" s="139"/>
      <c r="E2359" s="138"/>
      <c r="F2359" s="138"/>
      <c r="G2359" s="138"/>
      <c r="H2359" s="138"/>
      <c r="I2359" s="138"/>
      <c r="J2359" s="138"/>
      <c r="K2359" s="138"/>
      <c r="L2359" s="138">
        <v>0.0</v>
      </c>
      <c r="M2359" s="140" t="str">
        <f>VLOOKUP(text(D2359, "#"),'Master Table'!$A:$F, 6, FALSE)</f>
        <v>#N/A</v>
      </c>
      <c r="N2359" s="141"/>
      <c r="O2359" s="142" t="str">
        <f t="shared" si="1"/>
        <v/>
      </c>
      <c r="P2359" s="143" t="str">
        <f>IF(ISNA(VLOOKUP(CONCAT(M2359,C2359), 'Judge Count DO NOT EDIT'!H:H, 1, FALSE)), "ERROR","")</f>
        <v>ERROR</v>
      </c>
      <c r="Q2359" s="141"/>
      <c r="R2359" s="143"/>
      <c r="S2359" s="139"/>
      <c r="T2359" s="141"/>
    </row>
    <row r="2360">
      <c r="A2360" s="138"/>
      <c r="B2360" s="138"/>
      <c r="C2360" s="138"/>
      <c r="D2360" s="139"/>
      <c r="E2360" s="138"/>
      <c r="F2360" s="138"/>
      <c r="G2360" s="138"/>
      <c r="H2360" s="138"/>
      <c r="I2360" s="138"/>
      <c r="J2360" s="138"/>
      <c r="K2360" s="138"/>
      <c r="L2360" s="138">
        <v>0.0</v>
      </c>
      <c r="M2360" s="140" t="str">
        <f>VLOOKUP(text(D2360, "#"),'Master Table'!$A:$F, 6, FALSE)</f>
        <v>#N/A</v>
      </c>
      <c r="N2360" s="141"/>
      <c r="O2360" s="142" t="str">
        <f t="shared" si="1"/>
        <v/>
      </c>
      <c r="P2360" s="143" t="str">
        <f>IF(ISNA(VLOOKUP(CONCAT(M2360,C2360), 'Judge Count DO NOT EDIT'!H:H, 1, FALSE)), "ERROR","")</f>
        <v>ERROR</v>
      </c>
      <c r="Q2360" s="141"/>
      <c r="R2360" s="143"/>
      <c r="S2360" s="139"/>
      <c r="T2360" s="141"/>
    </row>
    <row r="2361">
      <c r="A2361" s="138"/>
      <c r="B2361" s="138"/>
      <c r="C2361" s="138"/>
      <c r="D2361" s="139"/>
      <c r="E2361" s="138"/>
      <c r="F2361" s="138"/>
      <c r="G2361" s="138"/>
      <c r="H2361" s="138"/>
      <c r="I2361" s="138"/>
      <c r="J2361" s="138"/>
      <c r="K2361" s="138"/>
      <c r="L2361" s="138">
        <v>0.0</v>
      </c>
      <c r="M2361" s="140" t="str">
        <f>VLOOKUP(text(D2361, "#"),'Master Table'!$A:$F, 6, FALSE)</f>
        <v>#N/A</v>
      </c>
      <c r="N2361" s="141"/>
      <c r="O2361" s="142" t="str">
        <f t="shared" si="1"/>
        <v/>
      </c>
      <c r="P2361" s="143" t="str">
        <f>IF(ISNA(VLOOKUP(CONCAT(M2361,C2361), 'Judge Count DO NOT EDIT'!H:H, 1, FALSE)), "ERROR","")</f>
        <v>ERROR</v>
      </c>
      <c r="Q2361" s="141"/>
      <c r="R2361" s="143"/>
      <c r="S2361" s="139"/>
      <c r="T2361" s="141"/>
    </row>
    <row r="2362">
      <c r="A2362" s="138"/>
      <c r="B2362" s="138"/>
      <c r="C2362" s="138"/>
      <c r="D2362" s="139"/>
      <c r="E2362" s="138"/>
      <c r="F2362" s="138"/>
      <c r="G2362" s="138"/>
      <c r="H2362" s="138"/>
      <c r="I2362" s="138"/>
      <c r="J2362" s="138"/>
      <c r="K2362" s="138"/>
      <c r="L2362" s="138">
        <v>0.0</v>
      </c>
      <c r="M2362" s="140" t="str">
        <f>VLOOKUP(text(D2362, "#"),'Master Table'!$A:$F, 6, FALSE)</f>
        <v>#N/A</v>
      </c>
      <c r="N2362" s="141"/>
      <c r="O2362" s="142" t="str">
        <f t="shared" si="1"/>
        <v/>
      </c>
      <c r="P2362" s="143" t="str">
        <f>IF(ISNA(VLOOKUP(CONCAT(M2362,C2362), 'Judge Count DO NOT EDIT'!H:H, 1, FALSE)), "ERROR","")</f>
        <v>ERROR</v>
      </c>
      <c r="Q2362" s="141"/>
      <c r="R2362" s="143"/>
      <c r="S2362" s="139"/>
      <c r="T2362" s="141"/>
    </row>
    <row r="2363">
      <c r="A2363" s="138"/>
      <c r="B2363" s="138"/>
      <c r="C2363" s="138"/>
      <c r="D2363" s="139"/>
      <c r="E2363" s="138"/>
      <c r="F2363" s="138"/>
      <c r="G2363" s="138"/>
      <c r="H2363" s="138"/>
      <c r="I2363" s="138"/>
      <c r="J2363" s="138"/>
      <c r="K2363" s="138"/>
      <c r="L2363" s="138">
        <v>0.0</v>
      </c>
      <c r="M2363" s="140" t="str">
        <f>VLOOKUP(text(D2363, "#"),'Master Table'!$A:$F, 6, FALSE)</f>
        <v>#N/A</v>
      </c>
      <c r="N2363" s="141"/>
      <c r="O2363" s="142" t="str">
        <f t="shared" si="1"/>
        <v/>
      </c>
      <c r="P2363" s="143" t="str">
        <f>IF(ISNA(VLOOKUP(CONCAT(M2363,C2363), 'Judge Count DO NOT EDIT'!H:H, 1, FALSE)), "ERROR","")</f>
        <v>ERROR</v>
      </c>
      <c r="Q2363" s="141"/>
      <c r="R2363" s="143"/>
      <c r="S2363" s="139"/>
      <c r="T2363" s="141"/>
    </row>
    <row r="2364">
      <c r="A2364" s="138"/>
      <c r="B2364" s="138"/>
      <c r="C2364" s="138"/>
      <c r="D2364" s="139"/>
      <c r="E2364" s="138"/>
      <c r="F2364" s="138"/>
      <c r="G2364" s="138"/>
      <c r="H2364" s="138"/>
      <c r="I2364" s="138"/>
      <c r="J2364" s="138"/>
      <c r="K2364" s="138"/>
      <c r="L2364" s="138">
        <v>0.0</v>
      </c>
      <c r="M2364" s="140" t="str">
        <f>VLOOKUP(text(D2364, "#"),'Master Table'!$A:$F, 6, FALSE)</f>
        <v>#N/A</v>
      </c>
      <c r="N2364" s="141"/>
      <c r="O2364" s="142" t="str">
        <f t="shared" si="1"/>
        <v/>
      </c>
      <c r="P2364" s="143" t="str">
        <f>IF(ISNA(VLOOKUP(CONCAT(M2364,C2364), 'Judge Count DO NOT EDIT'!H:H, 1, FALSE)), "ERROR","")</f>
        <v>ERROR</v>
      </c>
      <c r="Q2364" s="141"/>
      <c r="R2364" s="143"/>
      <c r="S2364" s="139"/>
      <c r="T2364" s="141"/>
    </row>
    <row r="2365">
      <c r="A2365" s="138"/>
      <c r="B2365" s="138"/>
      <c r="C2365" s="138"/>
      <c r="D2365" s="139"/>
      <c r="E2365" s="138"/>
      <c r="F2365" s="138"/>
      <c r="G2365" s="138"/>
      <c r="H2365" s="138"/>
      <c r="I2365" s="138"/>
      <c r="J2365" s="138"/>
      <c r="K2365" s="138"/>
      <c r="L2365" s="138">
        <v>0.0</v>
      </c>
      <c r="M2365" s="140" t="str">
        <f>VLOOKUP(text(D2365, "#"),'Master Table'!$A:$F, 6, FALSE)</f>
        <v>#N/A</v>
      </c>
      <c r="N2365" s="141"/>
      <c r="O2365" s="142" t="str">
        <f t="shared" si="1"/>
        <v/>
      </c>
      <c r="P2365" s="143" t="str">
        <f>IF(ISNA(VLOOKUP(CONCAT(M2365,C2365), 'Judge Count DO NOT EDIT'!H:H, 1, FALSE)), "ERROR","")</f>
        <v>ERROR</v>
      </c>
      <c r="Q2365" s="141"/>
      <c r="R2365" s="143"/>
      <c r="S2365" s="139"/>
      <c r="T2365" s="141"/>
    </row>
    <row r="2366">
      <c r="A2366" s="138"/>
      <c r="B2366" s="138"/>
      <c r="C2366" s="138"/>
      <c r="D2366" s="139"/>
      <c r="E2366" s="138"/>
      <c r="F2366" s="138"/>
      <c r="G2366" s="138"/>
      <c r="H2366" s="138"/>
      <c r="I2366" s="138"/>
      <c r="J2366" s="138"/>
      <c r="K2366" s="138"/>
      <c r="L2366" s="138">
        <v>0.0</v>
      </c>
      <c r="M2366" s="140" t="str">
        <f>VLOOKUP(text(D2366, "#"),'Master Table'!$A:$F, 6, FALSE)</f>
        <v>#N/A</v>
      </c>
      <c r="N2366" s="141"/>
      <c r="O2366" s="142" t="str">
        <f t="shared" si="1"/>
        <v/>
      </c>
      <c r="P2366" s="143" t="str">
        <f>IF(ISNA(VLOOKUP(CONCAT(M2366,C2366), 'Judge Count DO NOT EDIT'!H:H, 1, FALSE)), "ERROR","")</f>
        <v>ERROR</v>
      </c>
      <c r="Q2366" s="141"/>
      <c r="R2366" s="143"/>
      <c r="S2366" s="139"/>
      <c r="T2366" s="141"/>
    </row>
    <row r="2367">
      <c r="A2367" s="138"/>
      <c r="B2367" s="138"/>
      <c r="C2367" s="138"/>
      <c r="D2367" s="139"/>
      <c r="E2367" s="138"/>
      <c r="F2367" s="138"/>
      <c r="G2367" s="138"/>
      <c r="H2367" s="138"/>
      <c r="I2367" s="138"/>
      <c r="J2367" s="138"/>
      <c r="K2367" s="138"/>
      <c r="L2367" s="138">
        <v>0.0</v>
      </c>
      <c r="M2367" s="140" t="str">
        <f>VLOOKUP(text(D2367, "#"),'Master Table'!$A:$F, 6, FALSE)</f>
        <v>#N/A</v>
      </c>
      <c r="N2367" s="141"/>
      <c r="O2367" s="142" t="str">
        <f t="shared" si="1"/>
        <v/>
      </c>
      <c r="P2367" s="143" t="str">
        <f>IF(ISNA(VLOOKUP(CONCAT(M2367,C2367), 'Judge Count DO NOT EDIT'!H:H, 1, FALSE)), "ERROR","")</f>
        <v>ERROR</v>
      </c>
      <c r="Q2367" s="141"/>
      <c r="R2367" s="143"/>
      <c r="S2367" s="139"/>
      <c r="T2367" s="141"/>
    </row>
    <row r="2368">
      <c r="A2368" s="138"/>
      <c r="B2368" s="138"/>
      <c r="C2368" s="138"/>
      <c r="D2368" s="139"/>
      <c r="E2368" s="138"/>
      <c r="F2368" s="138"/>
      <c r="G2368" s="138"/>
      <c r="H2368" s="138"/>
      <c r="I2368" s="138"/>
      <c r="J2368" s="138"/>
      <c r="K2368" s="138"/>
      <c r="L2368" s="138">
        <v>0.0</v>
      </c>
      <c r="M2368" s="140" t="str">
        <f>VLOOKUP(text(D2368, "#"),'Master Table'!$A:$F, 6, FALSE)</f>
        <v>#N/A</v>
      </c>
      <c r="N2368" s="141"/>
      <c r="O2368" s="142" t="str">
        <f t="shared" si="1"/>
        <v/>
      </c>
      <c r="P2368" s="143" t="str">
        <f>IF(ISNA(VLOOKUP(CONCAT(M2368,C2368), 'Judge Count DO NOT EDIT'!H:H, 1, FALSE)), "ERROR","")</f>
        <v>ERROR</v>
      </c>
      <c r="Q2368" s="141"/>
      <c r="R2368" s="143"/>
      <c r="S2368" s="139"/>
      <c r="T2368" s="141"/>
    </row>
    <row r="2369">
      <c r="A2369" s="138"/>
      <c r="B2369" s="138"/>
      <c r="C2369" s="138"/>
      <c r="D2369" s="139"/>
      <c r="E2369" s="138"/>
      <c r="F2369" s="138"/>
      <c r="G2369" s="138"/>
      <c r="H2369" s="138"/>
      <c r="I2369" s="138"/>
      <c r="J2369" s="138"/>
      <c r="K2369" s="138"/>
      <c r="L2369" s="138">
        <v>0.0</v>
      </c>
      <c r="M2369" s="140" t="str">
        <f>VLOOKUP(text(D2369, "#"),'Master Table'!$A:$F, 6, FALSE)</f>
        <v>#N/A</v>
      </c>
      <c r="N2369" s="141"/>
      <c r="O2369" s="142" t="str">
        <f t="shared" si="1"/>
        <v/>
      </c>
      <c r="P2369" s="143" t="str">
        <f>IF(ISNA(VLOOKUP(CONCAT(M2369,C2369), 'Judge Count DO NOT EDIT'!H:H, 1, FALSE)), "ERROR","")</f>
        <v>ERROR</v>
      </c>
      <c r="Q2369" s="141"/>
      <c r="R2369" s="143"/>
      <c r="S2369" s="139"/>
      <c r="T2369" s="141"/>
    </row>
    <row r="2370">
      <c r="A2370" s="138"/>
      <c r="B2370" s="138"/>
      <c r="C2370" s="138"/>
      <c r="D2370" s="139"/>
      <c r="E2370" s="138"/>
      <c r="F2370" s="138"/>
      <c r="G2370" s="138"/>
      <c r="H2370" s="138"/>
      <c r="I2370" s="138"/>
      <c r="J2370" s="138"/>
      <c r="K2370" s="138"/>
      <c r="L2370" s="138">
        <v>0.0</v>
      </c>
      <c r="M2370" s="140" t="str">
        <f>VLOOKUP(text(D2370, "#"),'Master Table'!$A:$F, 6, FALSE)</f>
        <v>#N/A</v>
      </c>
      <c r="N2370" s="141"/>
      <c r="O2370" s="142" t="str">
        <f t="shared" si="1"/>
        <v/>
      </c>
      <c r="P2370" s="143" t="str">
        <f>IF(ISNA(VLOOKUP(CONCAT(M2370,C2370), 'Judge Count DO NOT EDIT'!H:H, 1, FALSE)), "ERROR","")</f>
        <v>ERROR</v>
      </c>
      <c r="Q2370" s="141"/>
      <c r="R2370" s="143"/>
      <c r="S2370" s="139"/>
      <c r="T2370" s="141"/>
    </row>
    <row r="2371">
      <c r="A2371" s="138"/>
      <c r="B2371" s="138"/>
      <c r="C2371" s="138"/>
      <c r="D2371" s="139"/>
      <c r="E2371" s="138"/>
      <c r="F2371" s="138"/>
      <c r="G2371" s="138"/>
      <c r="H2371" s="138"/>
      <c r="I2371" s="138"/>
      <c r="J2371" s="138"/>
      <c r="K2371" s="138"/>
      <c r="L2371" s="138">
        <v>0.0</v>
      </c>
      <c r="M2371" s="140" t="str">
        <f>VLOOKUP(text(D2371, "#"),'Master Table'!$A:$F, 6, FALSE)</f>
        <v>#N/A</v>
      </c>
      <c r="N2371" s="141"/>
      <c r="O2371" s="142" t="str">
        <f t="shared" si="1"/>
        <v/>
      </c>
      <c r="P2371" s="143" t="str">
        <f>IF(ISNA(VLOOKUP(CONCAT(M2371,C2371), 'Judge Count DO NOT EDIT'!H:H, 1, FALSE)), "ERROR","")</f>
        <v>ERROR</v>
      </c>
      <c r="Q2371" s="141"/>
      <c r="R2371" s="143"/>
      <c r="S2371" s="139"/>
      <c r="T2371" s="141"/>
    </row>
    <row r="2372">
      <c r="A2372" s="138"/>
      <c r="B2372" s="138"/>
      <c r="C2372" s="138"/>
      <c r="D2372" s="139"/>
      <c r="E2372" s="138"/>
      <c r="F2372" s="138"/>
      <c r="G2372" s="138"/>
      <c r="H2372" s="138"/>
      <c r="I2372" s="138"/>
      <c r="J2372" s="138"/>
      <c r="K2372" s="138"/>
      <c r="L2372" s="138">
        <v>0.0</v>
      </c>
      <c r="M2372" s="140" t="str">
        <f>VLOOKUP(text(D2372, "#"),'Master Table'!$A:$F, 6, FALSE)</f>
        <v>#N/A</v>
      </c>
      <c r="N2372" s="141"/>
      <c r="O2372" s="142" t="str">
        <f t="shared" si="1"/>
        <v/>
      </c>
      <c r="P2372" s="143" t="str">
        <f>IF(ISNA(VLOOKUP(CONCAT(M2372,C2372), 'Judge Count DO NOT EDIT'!H:H, 1, FALSE)), "ERROR","")</f>
        <v>ERROR</v>
      </c>
      <c r="Q2372" s="141"/>
      <c r="R2372" s="143"/>
      <c r="S2372" s="139"/>
      <c r="T2372" s="141"/>
    </row>
    <row r="2373">
      <c r="A2373" s="138"/>
      <c r="B2373" s="138"/>
      <c r="C2373" s="138"/>
      <c r="D2373" s="139"/>
      <c r="E2373" s="138"/>
      <c r="F2373" s="138"/>
      <c r="G2373" s="138"/>
      <c r="H2373" s="138"/>
      <c r="I2373" s="138"/>
      <c r="J2373" s="138"/>
      <c r="K2373" s="138"/>
      <c r="L2373" s="138">
        <v>0.0</v>
      </c>
      <c r="M2373" s="140" t="str">
        <f>VLOOKUP(text(D2373, "#"),'Master Table'!$A:$F, 6, FALSE)</f>
        <v>#N/A</v>
      </c>
      <c r="N2373" s="141"/>
      <c r="O2373" s="142" t="str">
        <f t="shared" si="1"/>
        <v/>
      </c>
      <c r="P2373" s="143" t="str">
        <f>IF(ISNA(VLOOKUP(CONCAT(M2373,C2373), 'Judge Count DO NOT EDIT'!H:H, 1, FALSE)), "ERROR","")</f>
        <v>ERROR</v>
      </c>
      <c r="Q2373" s="141"/>
      <c r="R2373" s="143"/>
      <c r="S2373" s="139"/>
      <c r="T2373" s="141"/>
    </row>
    <row r="2374">
      <c r="A2374" s="138"/>
      <c r="B2374" s="138"/>
      <c r="C2374" s="138"/>
      <c r="D2374" s="139"/>
      <c r="E2374" s="138"/>
      <c r="F2374" s="138"/>
      <c r="G2374" s="138"/>
      <c r="H2374" s="138"/>
      <c r="I2374" s="138"/>
      <c r="J2374" s="138"/>
      <c r="K2374" s="138"/>
      <c r="L2374" s="138">
        <v>0.0</v>
      </c>
      <c r="M2374" s="140" t="str">
        <f>VLOOKUP(text(D2374, "#"),'Master Table'!$A:$F, 6, FALSE)</f>
        <v>#N/A</v>
      </c>
      <c r="N2374" s="141"/>
      <c r="O2374" s="142" t="str">
        <f t="shared" si="1"/>
        <v/>
      </c>
      <c r="P2374" s="143" t="str">
        <f>IF(ISNA(VLOOKUP(CONCAT(M2374,C2374), 'Judge Count DO NOT EDIT'!H:H, 1, FALSE)), "ERROR","")</f>
        <v>ERROR</v>
      </c>
      <c r="Q2374" s="141"/>
      <c r="R2374" s="143"/>
      <c r="S2374" s="139"/>
      <c r="T2374" s="141"/>
    </row>
    <row r="2375">
      <c r="A2375" s="138"/>
      <c r="B2375" s="138"/>
      <c r="C2375" s="138"/>
      <c r="D2375" s="139"/>
      <c r="E2375" s="138"/>
      <c r="F2375" s="138"/>
      <c r="G2375" s="138"/>
      <c r="H2375" s="138"/>
      <c r="I2375" s="138"/>
      <c r="J2375" s="138"/>
      <c r="K2375" s="138"/>
      <c r="L2375" s="138">
        <v>0.0</v>
      </c>
      <c r="M2375" s="140" t="str">
        <f>VLOOKUP(text(D2375, "#"),'Master Table'!$A:$F, 6, FALSE)</f>
        <v>#N/A</v>
      </c>
      <c r="N2375" s="141"/>
      <c r="O2375" s="142" t="str">
        <f t="shared" si="1"/>
        <v/>
      </c>
      <c r="P2375" s="143" t="str">
        <f>IF(ISNA(VLOOKUP(CONCAT(M2375,C2375), 'Judge Count DO NOT EDIT'!H:H, 1, FALSE)), "ERROR","")</f>
        <v>ERROR</v>
      </c>
      <c r="Q2375" s="141"/>
      <c r="R2375" s="143"/>
      <c r="S2375" s="139"/>
      <c r="T2375" s="141"/>
    </row>
    <row r="2376">
      <c r="A2376" s="138"/>
      <c r="B2376" s="138"/>
      <c r="C2376" s="138"/>
      <c r="D2376" s="139"/>
      <c r="E2376" s="138"/>
      <c r="F2376" s="138"/>
      <c r="G2376" s="138"/>
      <c r="H2376" s="138"/>
      <c r="I2376" s="138"/>
      <c r="J2376" s="138"/>
      <c r="K2376" s="138"/>
      <c r="L2376" s="138">
        <v>0.0</v>
      </c>
      <c r="M2376" s="140" t="str">
        <f>VLOOKUP(text(D2376, "#"),'Master Table'!$A:$F, 6, FALSE)</f>
        <v>#N/A</v>
      </c>
      <c r="N2376" s="141"/>
      <c r="O2376" s="142" t="str">
        <f t="shared" si="1"/>
        <v/>
      </c>
      <c r="P2376" s="143" t="str">
        <f>IF(ISNA(VLOOKUP(CONCAT(M2376,C2376), 'Judge Count DO NOT EDIT'!H:H, 1, FALSE)), "ERROR","")</f>
        <v>ERROR</v>
      </c>
      <c r="Q2376" s="141"/>
      <c r="R2376" s="143"/>
      <c r="S2376" s="139"/>
      <c r="T2376" s="141"/>
    </row>
    <row r="2377">
      <c r="A2377" s="138"/>
      <c r="B2377" s="138"/>
      <c r="C2377" s="138"/>
      <c r="D2377" s="139"/>
      <c r="E2377" s="138"/>
      <c r="F2377" s="138"/>
      <c r="G2377" s="138"/>
      <c r="H2377" s="138"/>
      <c r="I2377" s="138"/>
      <c r="J2377" s="138"/>
      <c r="K2377" s="138"/>
      <c r="L2377" s="138">
        <v>0.0</v>
      </c>
      <c r="M2377" s="140" t="str">
        <f>VLOOKUP(text(D2377, "#"),'Master Table'!$A:$F, 6, FALSE)</f>
        <v>#N/A</v>
      </c>
      <c r="N2377" s="141"/>
      <c r="O2377" s="142" t="str">
        <f t="shared" si="1"/>
        <v/>
      </c>
      <c r="P2377" s="143" t="str">
        <f>IF(ISNA(VLOOKUP(CONCAT(M2377,C2377), 'Judge Count DO NOT EDIT'!H:H, 1, FALSE)), "ERROR","")</f>
        <v>ERROR</v>
      </c>
      <c r="Q2377" s="141"/>
      <c r="R2377" s="143"/>
      <c r="S2377" s="139"/>
      <c r="T2377" s="141"/>
    </row>
    <row r="2378">
      <c r="A2378" s="138"/>
      <c r="B2378" s="138"/>
      <c r="C2378" s="138"/>
      <c r="D2378" s="139"/>
      <c r="E2378" s="138"/>
      <c r="F2378" s="138"/>
      <c r="G2378" s="138"/>
      <c r="H2378" s="138"/>
      <c r="I2378" s="138"/>
      <c r="J2378" s="138"/>
      <c r="K2378" s="138"/>
      <c r="L2378" s="138">
        <v>0.0</v>
      </c>
      <c r="M2378" s="140" t="str">
        <f>VLOOKUP(text(D2378, "#"),'Master Table'!$A:$F, 6, FALSE)</f>
        <v>#N/A</v>
      </c>
      <c r="N2378" s="141"/>
      <c r="O2378" s="142" t="str">
        <f t="shared" si="1"/>
        <v/>
      </c>
      <c r="P2378" s="143" t="str">
        <f>IF(ISNA(VLOOKUP(CONCAT(M2378,C2378), 'Judge Count DO NOT EDIT'!H:H, 1, FALSE)), "ERROR","")</f>
        <v>ERROR</v>
      </c>
      <c r="Q2378" s="141"/>
      <c r="R2378" s="143"/>
      <c r="S2378" s="139"/>
      <c r="T2378" s="141"/>
    </row>
    <row r="2379">
      <c r="A2379" s="138"/>
      <c r="B2379" s="138"/>
      <c r="C2379" s="138"/>
      <c r="D2379" s="139"/>
      <c r="E2379" s="138"/>
      <c r="F2379" s="138"/>
      <c r="G2379" s="138"/>
      <c r="H2379" s="138"/>
      <c r="I2379" s="138"/>
      <c r="J2379" s="138"/>
      <c r="K2379" s="138"/>
      <c r="L2379" s="138">
        <v>0.0</v>
      </c>
      <c r="M2379" s="140" t="str">
        <f>VLOOKUP(text(D2379, "#"),'Master Table'!$A:$F, 6, FALSE)</f>
        <v>#N/A</v>
      </c>
      <c r="N2379" s="141"/>
      <c r="O2379" s="142" t="str">
        <f t="shared" si="1"/>
        <v/>
      </c>
      <c r="P2379" s="143" t="str">
        <f>IF(ISNA(VLOOKUP(CONCAT(M2379,C2379), 'Judge Count DO NOT EDIT'!H:H, 1, FALSE)), "ERROR","")</f>
        <v>ERROR</v>
      </c>
      <c r="Q2379" s="141"/>
      <c r="R2379" s="143"/>
      <c r="S2379" s="139"/>
      <c r="T2379" s="141"/>
    </row>
    <row r="2380">
      <c r="A2380" s="138"/>
      <c r="B2380" s="138"/>
      <c r="C2380" s="138"/>
      <c r="D2380" s="139"/>
      <c r="E2380" s="138"/>
      <c r="F2380" s="138"/>
      <c r="G2380" s="138"/>
      <c r="H2380" s="138"/>
      <c r="I2380" s="138"/>
      <c r="J2380" s="138"/>
      <c r="K2380" s="138"/>
      <c r="L2380" s="138">
        <v>0.0</v>
      </c>
      <c r="M2380" s="140" t="str">
        <f>VLOOKUP(text(D2380, "#"),'Master Table'!$A:$F, 6, FALSE)</f>
        <v>#N/A</v>
      </c>
      <c r="N2380" s="141"/>
      <c r="O2380" s="142" t="str">
        <f t="shared" si="1"/>
        <v/>
      </c>
      <c r="P2380" s="143" t="str">
        <f>IF(ISNA(VLOOKUP(CONCAT(M2380,C2380), 'Judge Count DO NOT EDIT'!H:H, 1, FALSE)), "ERROR","")</f>
        <v>ERROR</v>
      </c>
      <c r="Q2380" s="141"/>
      <c r="R2380" s="143"/>
      <c r="S2380" s="139"/>
      <c r="T2380" s="141"/>
    </row>
    <row r="2381">
      <c r="A2381" s="138"/>
      <c r="B2381" s="138"/>
      <c r="C2381" s="138"/>
      <c r="D2381" s="139"/>
      <c r="E2381" s="138"/>
      <c r="F2381" s="138"/>
      <c r="G2381" s="138"/>
      <c r="H2381" s="138"/>
      <c r="I2381" s="138"/>
      <c r="J2381" s="138"/>
      <c r="K2381" s="138"/>
      <c r="L2381" s="138">
        <v>0.0</v>
      </c>
      <c r="M2381" s="140" t="str">
        <f>VLOOKUP(text(D2381, "#"),'Master Table'!$A:$F, 6, FALSE)</f>
        <v>#N/A</v>
      </c>
      <c r="N2381" s="141"/>
      <c r="O2381" s="142" t="str">
        <f t="shared" si="1"/>
        <v/>
      </c>
      <c r="P2381" s="143" t="str">
        <f>IF(ISNA(VLOOKUP(CONCAT(M2381,C2381), 'Judge Count DO NOT EDIT'!H:H, 1, FALSE)), "ERROR","")</f>
        <v>ERROR</v>
      </c>
      <c r="Q2381" s="141"/>
      <c r="R2381" s="143"/>
      <c r="S2381" s="139"/>
      <c r="T2381" s="141"/>
    </row>
    <row r="2382">
      <c r="A2382" s="138"/>
      <c r="B2382" s="138"/>
      <c r="C2382" s="138"/>
      <c r="D2382" s="139"/>
      <c r="E2382" s="138"/>
      <c r="F2382" s="138"/>
      <c r="G2382" s="138"/>
      <c r="H2382" s="138"/>
      <c r="I2382" s="138"/>
      <c r="J2382" s="138"/>
      <c r="K2382" s="138"/>
      <c r="L2382" s="138">
        <v>0.0</v>
      </c>
      <c r="M2382" s="140" t="str">
        <f>VLOOKUP(text(D2382, "#"),'Master Table'!$A:$F, 6, FALSE)</f>
        <v>#N/A</v>
      </c>
      <c r="N2382" s="141"/>
      <c r="O2382" s="142" t="str">
        <f t="shared" si="1"/>
        <v/>
      </c>
      <c r="P2382" s="143" t="str">
        <f>IF(ISNA(VLOOKUP(CONCAT(M2382,C2382), 'Judge Count DO NOT EDIT'!H:H, 1, FALSE)), "ERROR","")</f>
        <v>ERROR</v>
      </c>
      <c r="Q2382" s="141"/>
      <c r="R2382" s="143"/>
      <c r="S2382" s="139"/>
      <c r="T2382" s="141"/>
    </row>
    <row r="2383">
      <c r="A2383" s="138"/>
      <c r="B2383" s="138"/>
      <c r="C2383" s="138"/>
      <c r="D2383" s="139"/>
      <c r="E2383" s="138"/>
      <c r="F2383" s="138"/>
      <c r="G2383" s="138"/>
      <c r="H2383" s="138"/>
      <c r="I2383" s="138"/>
      <c r="J2383" s="138"/>
      <c r="K2383" s="138"/>
      <c r="L2383" s="138">
        <v>0.0</v>
      </c>
      <c r="M2383" s="140" t="str">
        <f>VLOOKUP(text(D2383, "#"),'Master Table'!$A:$F, 6, FALSE)</f>
        <v>#N/A</v>
      </c>
      <c r="N2383" s="141"/>
      <c r="O2383" s="142" t="str">
        <f t="shared" si="1"/>
        <v/>
      </c>
      <c r="P2383" s="143" t="str">
        <f>IF(ISNA(VLOOKUP(CONCAT(M2383,C2383), 'Judge Count DO NOT EDIT'!H:H, 1, FALSE)), "ERROR","")</f>
        <v>ERROR</v>
      </c>
      <c r="Q2383" s="141"/>
      <c r="R2383" s="143"/>
      <c r="S2383" s="139"/>
      <c r="T2383" s="141"/>
    </row>
    <row r="2384">
      <c r="A2384" s="138"/>
      <c r="B2384" s="138"/>
      <c r="C2384" s="138"/>
      <c r="D2384" s="139"/>
      <c r="E2384" s="138"/>
      <c r="F2384" s="138"/>
      <c r="G2384" s="138"/>
      <c r="H2384" s="138"/>
      <c r="I2384" s="138"/>
      <c r="J2384" s="138"/>
      <c r="K2384" s="138"/>
      <c r="L2384" s="138">
        <v>0.0</v>
      </c>
      <c r="M2384" s="140" t="str">
        <f>VLOOKUP(text(D2384, "#"),'Master Table'!$A:$F, 6, FALSE)</f>
        <v>#N/A</v>
      </c>
      <c r="N2384" s="141"/>
      <c r="O2384" s="142" t="str">
        <f t="shared" si="1"/>
        <v/>
      </c>
      <c r="P2384" s="143" t="str">
        <f>IF(ISNA(VLOOKUP(CONCAT(M2384,C2384), 'Judge Count DO NOT EDIT'!H:H, 1, FALSE)), "ERROR","")</f>
        <v>ERROR</v>
      </c>
      <c r="Q2384" s="141"/>
      <c r="R2384" s="143"/>
      <c r="S2384" s="139"/>
      <c r="T2384" s="141"/>
    </row>
    <row r="2385">
      <c r="A2385" s="138"/>
      <c r="B2385" s="138"/>
      <c r="C2385" s="138"/>
      <c r="D2385" s="139"/>
      <c r="E2385" s="138"/>
      <c r="F2385" s="138"/>
      <c r="G2385" s="138"/>
      <c r="H2385" s="138"/>
      <c r="I2385" s="138"/>
      <c r="J2385" s="138"/>
      <c r="K2385" s="138"/>
      <c r="L2385" s="138">
        <v>0.0</v>
      </c>
      <c r="M2385" s="140" t="str">
        <f>VLOOKUP(text(D2385, "#"),'Master Table'!$A:$F, 6, FALSE)</f>
        <v>#N/A</v>
      </c>
      <c r="N2385" s="141"/>
      <c r="O2385" s="142" t="str">
        <f t="shared" si="1"/>
        <v/>
      </c>
      <c r="P2385" s="143" t="str">
        <f>IF(ISNA(VLOOKUP(CONCAT(M2385,C2385), 'Judge Count DO NOT EDIT'!H:H, 1, FALSE)), "ERROR","")</f>
        <v>ERROR</v>
      </c>
      <c r="Q2385" s="141"/>
      <c r="R2385" s="143"/>
      <c r="S2385" s="139"/>
      <c r="T2385" s="141"/>
    </row>
    <row r="2386">
      <c r="A2386" s="138"/>
      <c r="B2386" s="138"/>
      <c r="C2386" s="138"/>
      <c r="D2386" s="139"/>
      <c r="E2386" s="138"/>
      <c r="F2386" s="138"/>
      <c r="G2386" s="138"/>
      <c r="H2386" s="138"/>
      <c r="I2386" s="138"/>
      <c r="J2386" s="138"/>
      <c r="K2386" s="138"/>
      <c r="L2386" s="138">
        <v>0.0</v>
      </c>
      <c r="M2386" s="140" t="str">
        <f>VLOOKUP(text(D2386, "#"),'Master Table'!$A:$F, 6, FALSE)</f>
        <v>#N/A</v>
      </c>
      <c r="N2386" s="141"/>
      <c r="O2386" s="142" t="str">
        <f t="shared" si="1"/>
        <v/>
      </c>
      <c r="P2386" s="143" t="str">
        <f>IF(ISNA(VLOOKUP(CONCAT(M2386,C2386), 'Judge Count DO NOT EDIT'!H:H, 1, FALSE)), "ERROR","")</f>
        <v>ERROR</v>
      </c>
      <c r="Q2386" s="141"/>
      <c r="R2386" s="143"/>
      <c r="S2386" s="139"/>
      <c r="T2386" s="141"/>
    </row>
    <row r="2387">
      <c r="A2387" s="138"/>
      <c r="B2387" s="138"/>
      <c r="C2387" s="138"/>
      <c r="D2387" s="139"/>
      <c r="E2387" s="138"/>
      <c r="F2387" s="138"/>
      <c r="G2387" s="138"/>
      <c r="H2387" s="138"/>
      <c r="I2387" s="138"/>
      <c r="J2387" s="138"/>
      <c r="K2387" s="138"/>
      <c r="L2387" s="138">
        <v>0.0</v>
      </c>
      <c r="M2387" s="140" t="str">
        <f>VLOOKUP(text(D2387, "#"),'Master Table'!$A:$F, 6, FALSE)</f>
        <v>#N/A</v>
      </c>
      <c r="N2387" s="141"/>
      <c r="O2387" s="142" t="str">
        <f t="shared" si="1"/>
        <v/>
      </c>
      <c r="P2387" s="143" t="str">
        <f>IF(ISNA(VLOOKUP(CONCAT(M2387,C2387), 'Judge Count DO NOT EDIT'!H:H, 1, FALSE)), "ERROR","")</f>
        <v>ERROR</v>
      </c>
      <c r="Q2387" s="141"/>
      <c r="R2387" s="143"/>
      <c r="S2387" s="139"/>
      <c r="T2387" s="141"/>
    </row>
    <row r="2388">
      <c r="A2388" s="138"/>
      <c r="B2388" s="138"/>
      <c r="C2388" s="138"/>
      <c r="D2388" s="139"/>
      <c r="E2388" s="138"/>
      <c r="F2388" s="138"/>
      <c r="G2388" s="138"/>
      <c r="H2388" s="138"/>
      <c r="I2388" s="138"/>
      <c r="J2388" s="138"/>
      <c r="K2388" s="138"/>
      <c r="L2388" s="138">
        <v>0.0</v>
      </c>
      <c r="M2388" s="140" t="str">
        <f>VLOOKUP(text(D2388, "#"),'Master Table'!$A:$F, 6, FALSE)</f>
        <v>#N/A</v>
      </c>
      <c r="N2388" s="141"/>
      <c r="O2388" s="142" t="str">
        <f t="shared" si="1"/>
        <v/>
      </c>
      <c r="P2388" s="143" t="str">
        <f>IF(ISNA(VLOOKUP(CONCAT(M2388,C2388), 'Judge Count DO NOT EDIT'!H:H, 1, FALSE)), "ERROR","")</f>
        <v>ERROR</v>
      </c>
      <c r="Q2388" s="141"/>
      <c r="R2388" s="143"/>
      <c r="S2388" s="139"/>
      <c r="T2388" s="141"/>
    </row>
    <row r="2389">
      <c r="A2389" s="138"/>
      <c r="B2389" s="138"/>
      <c r="C2389" s="138"/>
      <c r="D2389" s="139"/>
      <c r="E2389" s="138"/>
      <c r="F2389" s="138"/>
      <c r="G2389" s="138"/>
      <c r="H2389" s="138"/>
      <c r="I2389" s="138"/>
      <c r="J2389" s="138"/>
      <c r="K2389" s="138"/>
      <c r="L2389" s="138">
        <v>0.0</v>
      </c>
      <c r="M2389" s="140" t="str">
        <f>VLOOKUP(text(D2389, "#"),'Master Table'!$A:$F, 6, FALSE)</f>
        <v>#N/A</v>
      </c>
      <c r="N2389" s="141"/>
      <c r="O2389" s="142" t="str">
        <f t="shared" si="1"/>
        <v/>
      </c>
      <c r="P2389" s="143" t="str">
        <f>IF(ISNA(VLOOKUP(CONCAT(M2389,C2389), 'Judge Count DO NOT EDIT'!H:H, 1, FALSE)), "ERROR","")</f>
        <v>ERROR</v>
      </c>
      <c r="Q2389" s="141"/>
      <c r="R2389" s="143"/>
      <c r="S2389" s="139"/>
      <c r="T2389" s="141"/>
    </row>
    <row r="2390">
      <c r="A2390" s="138"/>
      <c r="B2390" s="138"/>
      <c r="C2390" s="138"/>
      <c r="D2390" s="139"/>
      <c r="E2390" s="138"/>
      <c r="F2390" s="138"/>
      <c r="G2390" s="138"/>
      <c r="H2390" s="138"/>
      <c r="I2390" s="138"/>
      <c r="J2390" s="138"/>
      <c r="K2390" s="138"/>
      <c r="L2390" s="138">
        <v>0.0</v>
      </c>
      <c r="M2390" s="140" t="str">
        <f>VLOOKUP(text(D2390, "#"),'Master Table'!$A:$F, 6, FALSE)</f>
        <v>#N/A</v>
      </c>
      <c r="N2390" s="141"/>
      <c r="O2390" s="142" t="str">
        <f t="shared" si="1"/>
        <v/>
      </c>
      <c r="P2390" s="143" t="str">
        <f>IF(ISNA(VLOOKUP(CONCAT(M2390,C2390), 'Judge Count DO NOT EDIT'!H:H, 1, FALSE)), "ERROR","")</f>
        <v>ERROR</v>
      </c>
      <c r="Q2390" s="141"/>
      <c r="R2390" s="143"/>
      <c r="S2390" s="139"/>
      <c r="T2390" s="141"/>
    </row>
    <row r="2391">
      <c r="A2391" s="138"/>
      <c r="B2391" s="138"/>
      <c r="C2391" s="138"/>
      <c r="D2391" s="139"/>
      <c r="E2391" s="138"/>
      <c r="F2391" s="138"/>
      <c r="G2391" s="138"/>
      <c r="H2391" s="138"/>
      <c r="I2391" s="138"/>
      <c r="J2391" s="138"/>
      <c r="K2391" s="138"/>
      <c r="L2391" s="138">
        <v>0.0</v>
      </c>
      <c r="M2391" s="140" t="str">
        <f>VLOOKUP(text(D2391, "#"),'Master Table'!$A:$F, 6, FALSE)</f>
        <v>#N/A</v>
      </c>
      <c r="N2391" s="141"/>
      <c r="O2391" s="142" t="str">
        <f t="shared" si="1"/>
        <v/>
      </c>
      <c r="P2391" s="143" t="str">
        <f>IF(ISNA(VLOOKUP(CONCAT(M2391,C2391), 'Judge Count DO NOT EDIT'!H:H, 1, FALSE)), "ERROR","")</f>
        <v>ERROR</v>
      </c>
      <c r="Q2391" s="141"/>
      <c r="R2391" s="143"/>
      <c r="S2391" s="139"/>
      <c r="T2391" s="141"/>
    </row>
    <row r="2392">
      <c r="A2392" s="138"/>
      <c r="B2392" s="138"/>
      <c r="C2392" s="138"/>
      <c r="D2392" s="139"/>
      <c r="E2392" s="138"/>
      <c r="F2392" s="138"/>
      <c r="G2392" s="138"/>
      <c r="H2392" s="138"/>
      <c r="I2392" s="138"/>
      <c r="J2392" s="138"/>
      <c r="K2392" s="138"/>
      <c r="L2392" s="138">
        <v>0.0</v>
      </c>
      <c r="M2392" s="140" t="str">
        <f>VLOOKUP(text(D2392, "#"),'Master Table'!$A:$F, 6, FALSE)</f>
        <v>#N/A</v>
      </c>
      <c r="N2392" s="141"/>
      <c r="O2392" s="142" t="str">
        <f t="shared" si="1"/>
        <v/>
      </c>
      <c r="P2392" s="143" t="str">
        <f>IF(ISNA(VLOOKUP(CONCAT(M2392,C2392), 'Judge Count DO NOT EDIT'!H:H, 1, FALSE)), "ERROR","")</f>
        <v>ERROR</v>
      </c>
      <c r="Q2392" s="141"/>
      <c r="R2392" s="143"/>
      <c r="S2392" s="139"/>
      <c r="T2392" s="141"/>
    </row>
    <row r="2393">
      <c r="A2393" s="138"/>
      <c r="B2393" s="138"/>
      <c r="C2393" s="138"/>
      <c r="D2393" s="139"/>
      <c r="E2393" s="138"/>
      <c r="F2393" s="138"/>
      <c r="G2393" s="138"/>
      <c r="H2393" s="138"/>
      <c r="I2393" s="138"/>
      <c r="J2393" s="138"/>
      <c r="K2393" s="138"/>
      <c r="L2393" s="138">
        <v>0.0</v>
      </c>
      <c r="M2393" s="140" t="str">
        <f>VLOOKUP(text(D2393, "#"),'Master Table'!$A:$F, 6, FALSE)</f>
        <v>#N/A</v>
      </c>
      <c r="N2393" s="141"/>
      <c r="O2393" s="142" t="str">
        <f t="shared" si="1"/>
        <v/>
      </c>
      <c r="P2393" s="143" t="str">
        <f>IF(ISNA(VLOOKUP(CONCAT(M2393,C2393), 'Judge Count DO NOT EDIT'!H:H, 1, FALSE)), "ERROR","")</f>
        <v>ERROR</v>
      </c>
      <c r="Q2393" s="141"/>
      <c r="R2393" s="143"/>
      <c r="S2393" s="139"/>
      <c r="T2393" s="141"/>
    </row>
    <row r="2394">
      <c r="A2394" s="138"/>
      <c r="B2394" s="138"/>
      <c r="C2394" s="138"/>
      <c r="D2394" s="139"/>
      <c r="E2394" s="138"/>
      <c r="F2394" s="138"/>
      <c r="G2394" s="138"/>
      <c r="H2394" s="138"/>
      <c r="I2394" s="138"/>
      <c r="J2394" s="138"/>
      <c r="K2394" s="138"/>
      <c r="L2394" s="138">
        <v>0.0</v>
      </c>
      <c r="M2394" s="140" t="str">
        <f>VLOOKUP(text(D2394, "#"),'Master Table'!$A:$F, 6, FALSE)</f>
        <v>#N/A</v>
      </c>
      <c r="N2394" s="141"/>
      <c r="O2394" s="142" t="str">
        <f t="shared" si="1"/>
        <v/>
      </c>
      <c r="P2394" s="143" t="str">
        <f>IF(ISNA(VLOOKUP(CONCAT(M2394,C2394), 'Judge Count DO NOT EDIT'!H:H, 1, FALSE)), "ERROR","")</f>
        <v>ERROR</v>
      </c>
      <c r="Q2394" s="141"/>
      <c r="R2394" s="143"/>
      <c r="S2394" s="139"/>
      <c r="T2394" s="141"/>
    </row>
    <row r="2395">
      <c r="A2395" s="138"/>
      <c r="B2395" s="138"/>
      <c r="C2395" s="138"/>
      <c r="D2395" s="139"/>
      <c r="E2395" s="138"/>
      <c r="F2395" s="138"/>
      <c r="G2395" s="138"/>
      <c r="H2395" s="138"/>
      <c r="I2395" s="138"/>
      <c r="J2395" s="138"/>
      <c r="K2395" s="138"/>
      <c r="L2395" s="138">
        <v>0.0</v>
      </c>
      <c r="M2395" s="140" t="str">
        <f>VLOOKUP(text(D2395, "#"),'Master Table'!$A:$F, 6, FALSE)</f>
        <v>#N/A</v>
      </c>
      <c r="N2395" s="141"/>
      <c r="O2395" s="142" t="str">
        <f t="shared" si="1"/>
        <v/>
      </c>
      <c r="P2395" s="143" t="str">
        <f>IF(ISNA(VLOOKUP(CONCAT(M2395,C2395), 'Judge Count DO NOT EDIT'!H:H, 1, FALSE)), "ERROR","")</f>
        <v>ERROR</v>
      </c>
      <c r="Q2395" s="141"/>
      <c r="R2395" s="143"/>
      <c r="S2395" s="139"/>
      <c r="T2395" s="141"/>
    </row>
    <row r="2396">
      <c r="A2396" s="138"/>
      <c r="B2396" s="138"/>
      <c r="C2396" s="138"/>
      <c r="D2396" s="139"/>
      <c r="E2396" s="138"/>
      <c r="F2396" s="138"/>
      <c r="G2396" s="138"/>
      <c r="H2396" s="138"/>
      <c r="I2396" s="138"/>
      <c r="J2396" s="138"/>
      <c r="K2396" s="138"/>
      <c r="L2396" s="138">
        <v>0.0</v>
      </c>
      <c r="M2396" s="140" t="str">
        <f>VLOOKUP(text(D2396, "#"),'Master Table'!$A:$F, 6, FALSE)</f>
        <v>#N/A</v>
      </c>
      <c r="N2396" s="141"/>
      <c r="O2396" s="142" t="str">
        <f t="shared" si="1"/>
        <v/>
      </c>
      <c r="P2396" s="143" t="str">
        <f>IF(ISNA(VLOOKUP(CONCAT(M2396,C2396), 'Judge Count DO NOT EDIT'!H:H, 1, FALSE)), "ERROR","")</f>
        <v>ERROR</v>
      </c>
      <c r="Q2396" s="141"/>
      <c r="R2396" s="143"/>
      <c r="S2396" s="139"/>
      <c r="T2396" s="141"/>
    </row>
    <row r="2397">
      <c r="A2397" s="138"/>
      <c r="B2397" s="138"/>
      <c r="C2397" s="138"/>
      <c r="D2397" s="139"/>
      <c r="E2397" s="138"/>
      <c r="F2397" s="138"/>
      <c r="G2397" s="138"/>
      <c r="H2397" s="138"/>
      <c r="I2397" s="138"/>
      <c r="J2397" s="138"/>
      <c r="K2397" s="138"/>
      <c r="L2397" s="138">
        <v>0.0</v>
      </c>
      <c r="M2397" s="140" t="str">
        <f>VLOOKUP(text(D2397, "#"),'Master Table'!$A:$F, 6, FALSE)</f>
        <v>#N/A</v>
      </c>
      <c r="N2397" s="141"/>
      <c r="O2397" s="142" t="str">
        <f t="shared" si="1"/>
        <v/>
      </c>
      <c r="P2397" s="143" t="str">
        <f>IF(ISNA(VLOOKUP(CONCAT(M2397,C2397), 'Judge Count DO NOT EDIT'!H:H, 1, FALSE)), "ERROR","")</f>
        <v>ERROR</v>
      </c>
      <c r="Q2397" s="141"/>
      <c r="R2397" s="143"/>
      <c r="S2397" s="139"/>
      <c r="T2397" s="141"/>
    </row>
    <row r="2398">
      <c r="A2398" s="138"/>
      <c r="B2398" s="138"/>
      <c r="C2398" s="138"/>
      <c r="D2398" s="139"/>
      <c r="E2398" s="138"/>
      <c r="F2398" s="138"/>
      <c r="G2398" s="138"/>
      <c r="H2398" s="138"/>
      <c r="I2398" s="138"/>
      <c r="J2398" s="138"/>
      <c r="K2398" s="138"/>
      <c r="L2398" s="138">
        <v>0.0</v>
      </c>
      <c r="M2398" s="140" t="str">
        <f>VLOOKUP(text(D2398, "#"),'Master Table'!$A:$F, 6, FALSE)</f>
        <v>#N/A</v>
      </c>
      <c r="N2398" s="141"/>
      <c r="O2398" s="142" t="str">
        <f t="shared" si="1"/>
        <v/>
      </c>
      <c r="P2398" s="143" t="str">
        <f>IF(ISNA(VLOOKUP(CONCAT(M2398,C2398), 'Judge Count DO NOT EDIT'!H:H, 1, FALSE)), "ERROR","")</f>
        <v>ERROR</v>
      </c>
      <c r="Q2398" s="141"/>
      <c r="R2398" s="143"/>
      <c r="S2398" s="139"/>
      <c r="T2398" s="141"/>
    </row>
    <row r="2399">
      <c r="A2399" s="138"/>
      <c r="B2399" s="138"/>
      <c r="C2399" s="138"/>
      <c r="D2399" s="139"/>
      <c r="E2399" s="138"/>
      <c r="F2399" s="138"/>
      <c r="G2399" s="138"/>
      <c r="H2399" s="138"/>
      <c r="I2399" s="138"/>
      <c r="J2399" s="138"/>
      <c r="K2399" s="138"/>
      <c r="L2399" s="138">
        <v>0.0</v>
      </c>
      <c r="M2399" s="140" t="str">
        <f>VLOOKUP(text(D2399, "#"),'Master Table'!$A:$F, 6, FALSE)</f>
        <v>#N/A</v>
      </c>
      <c r="N2399" s="141"/>
      <c r="O2399" s="142" t="str">
        <f t="shared" si="1"/>
        <v/>
      </c>
      <c r="P2399" s="143" t="str">
        <f>IF(ISNA(VLOOKUP(CONCAT(M2399,C2399), 'Judge Count DO NOT EDIT'!H:H, 1, FALSE)), "ERROR","")</f>
        <v>ERROR</v>
      </c>
      <c r="Q2399" s="141"/>
      <c r="R2399" s="143"/>
      <c r="S2399" s="139"/>
      <c r="T2399" s="141"/>
    </row>
    <row r="2400">
      <c r="A2400" s="138"/>
      <c r="B2400" s="138"/>
      <c r="C2400" s="138"/>
      <c r="D2400" s="139"/>
      <c r="E2400" s="138"/>
      <c r="F2400" s="138"/>
      <c r="G2400" s="138"/>
      <c r="H2400" s="138"/>
      <c r="I2400" s="138"/>
      <c r="J2400" s="138"/>
      <c r="K2400" s="138"/>
      <c r="L2400" s="138">
        <v>0.0</v>
      </c>
      <c r="M2400" s="140" t="str">
        <f>VLOOKUP(text(D2400, "#"),'Master Table'!$A:$F, 6, FALSE)</f>
        <v>#N/A</v>
      </c>
      <c r="N2400" s="141"/>
      <c r="O2400" s="142" t="str">
        <f t="shared" si="1"/>
        <v/>
      </c>
      <c r="P2400" s="143" t="str">
        <f>IF(ISNA(VLOOKUP(CONCAT(M2400,C2400), 'Judge Count DO NOT EDIT'!H:H, 1, FALSE)), "ERROR","")</f>
        <v>ERROR</v>
      </c>
      <c r="Q2400" s="141"/>
      <c r="R2400" s="143"/>
      <c r="S2400" s="139"/>
      <c r="T2400" s="141"/>
    </row>
    <row r="2401">
      <c r="A2401" s="138"/>
      <c r="B2401" s="138"/>
      <c r="C2401" s="138"/>
      <c r="D2401" s="139"/>
      <c r="E2401" s="138"/>
      <c r="F2401" s="138"/>
      <c r="G2401" s="138"/>
      <c r="H2401" s="138"/>
      <c r="I2401" s="138"/>
      <c r="J2401" s="138"/>
      <c r="K2401" s="138"/>
      <c r="L2401" s="138">
        <v>0.0</v>
      </c>
      <c r="M2401" s="140" t="str">
        <f>VLOOKUP(text(D2401, "#"),'Master Table'!$A:$F, 6, FALSE)</f>
        <v>#N/A</v>
      </c>
      <c r="N2401" s="141"/>
      <c r="O2401" s="142" t="str">
        <f t="shared" si="1"/>
        <v/>
      </c>
      <c r="P2401" s="143" t="str">
        <f>IF(ISNA(VLOOKUP(CONCAT(M2401,C2401), 'Judge Count DO NOT EDIT'!H:H, 1, FALSE)), "ERROR","")</f>
        <v>ERROR</v>
      </c>
      <c r="Q2401" s="141"/>
      <c r="R2401" s="143"/>
      <c r="S2401" s="139"/>
      <c r="T2401" s="141"/>
    </row>
    <row r="2402">
      <c r="A2402" s="138"/>
      <c r="B2402" s="138"/>
      <c r="C2402" s="138"/>
      <c r="D2402" s="139"/>
      <c r="E2402" s="138"/>
      <c r="F2402" s="138"/>
      <c r="G2402" s="138"/>
      <c r="H2402" s="138"/>
      <c r="I2402" s="138"/>
      <c r="J2402" s="138"/>
      <c r="K2402" s="138"/>
      <c r="L2402" s="138">
        <v>0.0</v>
      </c>
      <c r="M2402" s="140" t="str">
        <f>VLOOKUP(text(D2402, "#"),'Master Table'!$A:$F, 6, FALSE)</f>
        <v>#N/A</v>
      </c>
      <c r="N2402" s="141"/>
      <c r="O2402" s="142" t="str">
        <f t="shared" si="1"/>
        <v/>
      </c>
      <c r="P2402" s="143" t="str">
        <f>IF(ISNA(VLOOKUP(CONCAT(M2402,C2402), 'Judge Count DO NOT EDIT'!H:H, 1, FALSE)), "ERROR","")</f>
        <v>ERROR</v>
      </c>
      <c r="Q2402" s="141"/>
      <c r="R2402" s="143"/>
      <c r="S2402" s="139"/>
      <c r="T2402" s="141"/>
    </row>
    <row r="2403">
      <c r="A2403" s="138"/>
      <c r="B2403" s="138"/>
      <c r="C2403" s="138"/>
      <c r="D2403" s="139"/>
      <c r="E2403" s="138"/>
      <c r="F2403" s="138"/>
      <c r="G2403" s="138"/>
      <c r="H2403" s="138"/>
      <c r="I2403" s="138"/>
      <c r="J2403" s="138"/>
      <c r="K2403" s="138"/>
      <c r="L2403" s="138">
        <v>0.0</v>
      </c>
      <c r="M2403" s="140" t="str">
        <f>VLOOKUP(text(D2403, "#"),'Master Table'!$A:$F, 6, FALSE)</f>
        <v>#N/A</v>
      </c>
      <c r="N2403" s="141"/>
      <c r="O2403" s="142" t="str">
        <f t="shared" si="1"/>
        <v/>
      </c>
      <c r="P2403" s="143" t="str">
        <f>IF(ISNA(VLOOKUP(CONCAT(M2403,C2403), 'Judge Count DO NOT EDIT'!H:H, 1, FALSE)), "ERROR","")</f>
        <v>ERROR</v>
      </c>
      <c r="Q2403" s="141"/>
      <c r="R2403" s="143"/>
      <c r="S2403" s="139"/>
      <c r="T2403" s="141"/>
    </row>
    <row r="2404">
      <c r="A2404" s="138"/>
      <c r="B2404" s="138"/>
      <c r="C2404" s="138"/>
      <c r="D2404" s="139"/>
      <c r="E2404" s="138"/>
      <c r="F2404" s="138"/>
      <c r="G2404" s="138"/>
      <c r="H2404" s="138"/>
      <c r="I2404" s="138"/>
      <c r="J2404" s="138"/>
      <c r="K2404" s="138"/>
      <c r="L2404" s="138">
        <v>0.0</v>
      </c>
      <c r="M2404" s="140" t="str">
        <f>VLOOKUP(text(D2404, "#"),'Master Table'!$A:$F, 6, FALSE)</f>
        <v>#N/A</v>
      </c>
      <c r="N2404" s="141"/>
      <c r="O2404" s="142" t="str">
        <f t="shared" si="1"/>
        <v/>
      </c>
      <c r="P2404" s="143" t="str">
        <f>IF(ISNA(VLOOKUP(CONCAT(M2404,C2404), 'Judge Count DO NOT EDIT'!H:H, 1, FALSE)), "ERROR","")</f>
        <v>ERROR</v>
      </c>
      <c r="Q2404" s="141"/>
      <c r="R2404" s="143"/>
      <c r="S2404" s="139"/>
      <c r="T2404" s="141"/>
    </row>
    <row r="2405">
      <c r="A2405" s="138"/>
      <c r="B2405" s="138"/>
      <c r="C2405" s="138"/>
      <c r="D2405" s="139"/>
      <c r="E2405" s="138"/>
      <c r="F2405" s="138"/>
      <c r="G2405" s="138"/>
      <c r="H2405" s="138"/>
      <c r="I2405" s="138"/>
      <c r="J2405" s="138"/>
      <c r="K2405" s="138"/>
      <c r="L2405" s="138">
        <v>0.0</v>
      </c>
      <c r="M2405" s="140" t="str">
        <f>VLOOKUP(text(D2405, "#"),'Master Table'!$A:$F, 6, FALSE)</f>
        <v>#N/A</v>
      </c>
      <c r="N2405" s="141"/>
      <c r="O2405" s="142" t="str">
        <f t="shared" si="1"/>
        <v/>
      </c>
      <c r="P2405" s="143" t="str">
        <f>IF(ISNA(VLOOKUP(CONCAT(M2405,C2405), 'Judge Count DO NOT EDIT'!H:H, 1, FALSE)), "ERROR","")</f>
        <v>ERROR</v>
      </c>
      <c r="Q2405" s="141"/>
      <c r="R2405" s="143"/>
      <c r="S2405" s="139"/>
      <c r="T2405" s="141"/>
    </row>
    <row r="2406">
      <c r="A2406" s="138"/>
      <c r="B2406" s="138"/>
      <c r="C2406" s="138"/>
      <c r="D2406" s="139"/>
      <c r="E2406" s="138"/>
      <c r="F2406" s="138"/>
      <c r="G2406" s="138"/>
      <c r="H2406" s="138"/>
      <c r="I2406" s="138"/>
      <c r="J2406" s="138"/>
      <c r="K2406" s="138"/>
      <c r="L2406" s="138">
        <v>0.0</v>
      </c>
      <c r="M2406" s="140" t="str">
        <f>VLOOKUP(text(D2406, "#"),'Master Table'!$A:$F, 6, FALSE)</f>
        <v>#N/A</v>
      </c>
      <c r="N2406" s="141"/>
      <c r="O2406" s="142" t="str">
        <f t="shared" si="1"/>
        <v/>
      </c>
      <c r="P2406" s="143" t="str">
        <f>IF(ISNA(VLOOKUP(CONCAT(M2406,C2406), 'Judge Count DO NOT EDIT'!H:H, 1, FALSE)), "ERROR","")</f>
        <v>ERROR</v>
      </c>
      <c r="Q2406" s="141"/>
      <c r="R2406" s="143"/>
      <c r="S2406" s="139"/>
      <c r="T2406" s="141"/>
    </row>
    <row r="2407">
      <c r="A2407" s="138"/>
      <c r="B2407" s="138"/>
      <c r="C2407" s="138"/>
      <c r="D2407" s="139"/>
      <c r="E2407" s="138"/>
      <c r="F2407" s="138"/>
      <c r="G2407" s="138"/>
      <c r="H2407" s="138"/>
      <c r="I2407" s="138"/>
      <c r="J2407" s="138"/>
      <c r="K2407" s="138"/>
      <c r="L2407" s="138">
        <v>0.0</v>
      </c>
      <c r="M2407" s="140" t="str">
        <f>VLOOKUP(text(D2407, "#"),'Master Table'!$A:$F, 6, FALSE)</f>
        <v>#N/A</v>
      </c>
      <c r="N2407" s="141"/>
      <c r="O2407" s="142" t="str">
        <f t="shared" si="1"/>
        <v/>
      </c>
      <c r="P2407" s="143" t="str">
        <f>IF(ISNA(VLOOKUP(CONCAT(M2407,C2407), 'Judge Count DO NOT EDIT'!H:H, 1, FALSE)), "ERROR","")</f>
        <v>ERROR</v>
      </c>
      <c r="Q2407" s="141"/>
      <c r="R2407" s="143"/>
      <c r="S2407" s="139"/>
      <c r="T2407" s="141"/>
    </row>
    <row r="2408">
      <c r="A2408" s="138"/>
      <c r="B2408" s="138"/>
      <c r="C2408" s="138"/>
      <c r="D2408" s="139"/>
      <c r="E2408" s="138"/>
      <c r="F2408" s="138"/>
      <c r="G2408" s="138"/>
      <c r="H2408" s="138"/>
      <c r="I2408" s="138"/>
      <c r="J2408" s="138"/>
      <c r="K2408" s="138"/>
      <c r="L2408" s="138">
        <v>0.0</v>
      </c>
      <c r="M2408" s="140" t="str">
        <f>VLOOKUP(text(D2408, "#"),'Master Table'!$A:$F, 6, FALSE)</f>
        <v>#N/A</v>
      </c>
      <c r="N2408" s="141"/>
      <c r="O2408" s="142" t="str">
        <f t="shared" si="1"/>
        <v/>
      </c>
      <c r="P2408" s="143" t="str">
        <f>IF(ISNA(VLOOKUP(CONCAT(M2408,C2408), 'Judge Count DO NOT EDIT'!H:H, 1, FALSE)), "ERROR","")</f>
        <v>ERROR</v>
      </c>
      <c r="Q2408" s="141"/>
      <c r="R2408" s="143"/>
      <c r="S2408" s="139"/>
      <c r="T2408" s="141"/>
    </row>
    <row r="2409">
      <c r="A2409" s="138"/>
      <c r="B2409" s="138"/>
      <c r="C2409" s="138"/>
      <c r="D2409" s="139"/>
      <c r="E2409" s="138"/>
      <c r="F2409" s="138"/>
      <c r="G2409" s="138"/>
      <c r="H2409" s="138"/>
      <c r="I2409" s="138"/>
      <c r="J2409" s="138"/>
      <c r="K2409" s="138"/>
      <c r="L2409" s="138">
        <v>0.0</v>
      </c>
      <c r="M2409" s="140" t="str">
        <f>VLOOKUP(text(D2409, "#"),'Master Table'!$A:$F, 6, FALSE)</f>
        <v>#N/A</v>
      </c>
      <c r="N2409" s="141"/>
      <c r="O2409" s="142" t="str">
        <f t="shared" si="1"/>
        <v/>
      </c>
      <c r="P2409" s="143" t="str">
        <f>IF(ISNA(VLOOKUP(CONCAT(M2409,C2409), 'Judge Count DO NOT EDIT'!H:H, 1, FALSE)), "ERROR","")</f>
        <v>ERROR</v>
      </c>
      <c r="Q2409" s="141"/>
      <c r="R2409" s="143"/>
      <c r="S2409" s="139"/>
      <c r="T2409" s="141"/>
    </row>
    <row r="2410">
      <c r="A2410" s="138"/>
      <c r="B2410" s="138"/>
      <c r="C2410" s="138"/>
      <c r="D2410" s="139"/>
      <c r="E2410" s="138"/>
      <c r="F2410" s="138"/>
      <c r="G2410" s="138"/>
      <c r="H2410" s="138"/>
      <c r="I2410" s="138"/>
      <c r="J2410" s="138"/>
      <c r="K2410" s="138"/>
      <c r="L2410" s="138">
        <v>0.0</v>
      </c>
      <c r="M2410" s="140" t="str">
        <f>VLOOKUP(text(D2410, "#"),'Master Table'!$A:$F, 6, FALSE)</f>
        <v>#N/A</v>
      </c>
      <c r="N2410" s="141"/>
      <c r="O2410" s="142" t="str">
        <f t="shared" si="1"/>
        <v/>
      </c>
      <c r="P2410" s="143" t="str">
        <f>IF(ISNA(VLOOKUP(CONCAT(M2410,C2410), 'Judge Count DO NOT EDIT'!H:H, 1, FALSE)), "ERROR","")</f>
        <v>ERROR</v>
      </c>
      <c r="Q2410" s="141"/>
      <c r="R2410" s="143"/>
      <c r="S2410" s="139"/>
      <c r="T2410" s="141"/>
    </row>
    <row r="2411">
      <c r="A2411" s="138"/>
      <c r="B2411" s="138"/>
      <c r="C2411" s="138"/>
      <c r="D2411" s="139"/>
      <c r="E2411" s="138"/>
      <c r="F2411" s="138"/>
      <c r="G2411" s="138"/>
      <c r="H2411" s="138"/>
      <c r="I2411" s="138"/>
      <c r="J2411" s="138"/>
      <c r="K2411" s="138"/>
      <c r="L2411" s="138">
        <v>0.0</v>
      </c>
      <c r="M2411" s="140" t="str">
        <f>VLOOKUP(text(D2411, "#"),'Master Table'!$A:$F, 6, FALSE)</f>
        <v>#N/A</v>
      </c>
      <c r="N2411" s="141"/>
      <c r="O2411" s="142" t="str">
        <f t="shared" si="1"/>
        <v/>
      </c>
      <c r="P2411" s="143" t="str">
        <f>IF(ISNA(VLOOKUP(CONCAT(M2411,C2411), 'Judge Count DO NOT EDIT'!H:H, 1, FALSE)), "ERROR","")</f>
        <v>ERROR</v>
      </c>
      <c r="Q2411" s="141"/>
      <c r="R2411" s="143"/>
      <c r="S2411" s="139"/>
      <c r="T2411" s="141"/>
    </row>
    <row r="2412">
      <c r="A2412" s="138"/>
      <c r="B2412" s="138"/>
      <c r="C2412" s="138"/>
      <c r="D2412" s="139"/>
      <c r="E2412" s="138"/>
      <c r="F2412" s="138"/>
      <c r="G2412" s="138"/>
      <c r="H2412" s="138"/>
      <c r="I2412" s="138"/>
      <c r="J2412" s="138"/>
      <c r="K2412" s="138"/>
      <c r="L2412" s="138">
        <v>0.0</v>
      </c>
      <c r="M2412" s="140" t="str">
        <f>VLOOKUP(text(D2412, "#"),'Master Table'!$A:$F, 6, FALSE)</f>
        <v>#N/A</v>
      </c>
      <c r="N2412" s="141"/>
      <c r="O2412" s="142" t="str">
        <f t="shared" si="1"/>
        <v/>
      </c>
      <c r="P2412" s="143" t="str">
        <f>IF(ISNA(VLOOKUP(CONCAT(M2412,C2412), 'Judge Count DO NOT EDIT'!H:H, 1, FALSE)), "ERROR","")</f>
        <v>ERROR</v>
      </c>
      <c r="Q2412" s="141"/>
      <c r="R2412" s="143"/>
      <c r="S2412" s="139"/>
      <c r="T2412" s="141"/>
    </row>
    <row r="2413">
      <c r="A2413" s="138"/>
      <c r="B2413" s="138"/>
      <c r="C2413" s="138"/>
      <c r="D2413" s="139"/>
      <c r="E2413" s="138"/>
      <c r="F2413" s="138"/>
      <c r="G2413" s="138"/>
      <c r="H2413" s="138"/>
      <c r="I2413" s="138"/>
      <c r="J2413" s="138"/>
      <c r="K2413" s="138"/>
      <c r="L2413" s="138">
        <v>0.0</v>
      </c>
      <c r="M2413" s="140" t="str">
        <f>VLOOKUP(text(D2413, "#"),'Master Table'!$A:$F, 6, FALSE)</f>
        <v>#N/A</v>
      </c>
      <c r="N2413" s="141"/>
      <c r="O2413" s="142" t="str">
        <f t="shared" si="1"/>
        <v/>
      </c>
      <c r="P2413" s="143" t="str">
        <f>IF(ISNA(VLOOKUP(CONCAT(M2413,C2413), 'Judge Count DO NOT EDIT'!H:H, 1, FALSE)), "ERROR","")</f>
        <v>ERROR</v>
      </c>
      <c r="Q2413" s="141"/>
      <c r="R2413" s="143"/>
      <c r="S2413" s="139"/>
      <c r="T2413" s="141"/>
    </row>
    <row r="2414">
      <c r="A2414" s="138"/>
      <c r="B2414" s="138"/>
      <c r="C2414" s="138"/>
      <c r="D2414" s="139"/>
      <c r="E2414" s="138"/>
      <c r="F2414" s="138"/>
      <c r="G2414" s="138"/>
      <c r="H2414" s="138"/>
      <c r="I2414" s="138"/>
      <c r="J2414" s="138"/>
      <c r="K2414" s="138"/>
      <c r="L2414" s="138">
        <v>0.0</v>
      </c>
      <c r="M2414" s="140" t="str">
        <f>VLOOKUP(text(D2414, "#"),'Master Table'!$A:$F, 6, FALSE)</f>
        <v>#N/A</v>
      </c>
      <c r="N2414" s="141"/>
      <c r="O2414" s="142" t="str">
        <f t="shared" si="1"/>
        <v/>
      </c>
      <c r="P2414" s="143" t="str">
        <f>IF(ISNA(VLOOKUP(CONCAT(M2414,C2414), 'Judge Count DO NOT EDIT'!H:H, 1, FALSE)), "ERROR","")</f>
        <v>ERROR</v>
      </c>
      <c r="Q2414" s="141"/>
      <c r="R2414" s="143"/>
      <c r="S2414" s="139"/>
      <c r="T2414" s="141"/>
    </row>
    <row r="2415">
      <c r="A2415" s="138"/>
      <c r="B2415" s="138"/>
      <c r="C2415" s="138"/>
      <c r="D2415" s="139"/>
      <c r="E2415" s="138"/>
      <c r="F2415" s="138"/>
      <c r="G2415" s="138"/>
      <c r="H2415" s="138"/>
      <c r="I2415" s="138"/>
      <c r="J2415" s="138"/>
      <c r="K2415" s="138"/>
      <c r="L2415" s="138">
        <v>0.0</v>
      </c>
      <c r="M2415" s="140" t="str">
        <f>VLOOKUP(text(D2415, "#"),'Master Table'!$A:$F, 6, FALSE)</f>
        <v>#N/A</v>
      </c>
      <c r="N2415" s="141"/>
      <c r="O2415" s="142" t="str">
        <f t="shared" si="1"/>
        <v/>
      </c>
      <c r="P2415" s="143" t="str">
        <f>IF(ISNA(VLOOKUP(CONCAT(M2415,C2415), 'Judge Count DO NOT EDIT'!H:H, 1, FALSE)), "ERROR","")</f>
        <v>ERROR</v>
      </c>
      <c r="Q2415" s="141"/>
      <c r="R2415" s="143"/>
      <c r="S2415" s="139"/>
      <c r="T2415" s="141"/>
    </row>
    <row r="2416">
      <c r="A2416" s="138"/>
      <c r="B2416" s="138"/>
      <c r="C2416" s="138"/>
      <c r="D2416" s="139"/>
      <c r="E2416" s="138"/>
      <c r="F2416" s="138"/>
      <c r="G2416" s="138"/>
      <c r="H2416" s="138"/>
      <c r="I2416" s="138"/>
      <c r="J2416" s="138"/>
      <c r="K2416" s="138"/>
      <c r="L2416" s="138">
        <v>0.0</v>
      </c>
      <c r="M2416" s="140" t="str">
        <f>VLOOKUP(text(D2416, "#"),'Master Table'!$A:$F, 6, FALSE)</f>
        <v>#N/A</v>
      </c>
      <c r="N2416" s="141"/>
      <c r="O2416" s="142" t="str">
        <f t="shared" si="1"/>
        <v/>
      </c>
      <c r="P2416" s="143" t="str">
        <f>IF(ISNA(VLOOKUP(CONCAT(M2416,C2416), 'Judge Count DO NOT EDIT'!H:H, 1, FALSE)), "ERROR","")</f>
        <v>ERROR</v>
      </c>
      <c r="Q2416" s="141"/>
      <c r="R2416" s="143"/>
      <c r="S2416" s="139"/>
      <c r="T2416" s="141"/>
    </row>
    <row r="2417">
      <c r="A2417" s="138"/>
      <c r="B2417" s="138"/>
      <c r="C2417" s="138"/>
      <c r="D2417" s="139"/>
      <c r="E2417" s="138"/>
      <c r="F2417" s="138"/>
      <c r="G2417" s="138"/>
      <c r="H2417" s="138"/>
      <c r="I2417" s="138"/>
      <c r="J2417" s="138"/>
      <c r="K2417" s="138"/>
      <c r="L2417" s="138">
        <v>0.0</v>
      </c>
      <c r="M2417" s="140" t="str">
        <f>VLOOKUP(text(D2417, "#"),'Master Table'!$A:$F, 6, FALSE)</f>
        <v>#N/A</v>
      </c>
      <c r="N2417" s="141"/>
      <c r="O2417" s="142" t="str">
        <f t="shared" si="1"/>
        <v/>
      </c>
      <c r="P2417" s="143" t="str">
        <f>IF(ISNA(VLOOKUP(CONCAT(M2417,C2417), 'Judge Count DO NOT EDIT'!H:H, 1, FALSE)), "ERROR","")</f>
        <v>ERROR</v>
      </c>
      <c r="Q2417" s="141"/>
      <c r="R2417" s="143"/>
      <c r="S2417" s="139"/>
      <c r="T2417" s="141"/>
    </row>
    <row r="2418">
      <c r="A2418" s="138"/>
      <c r="B2418" s="138"/>
      <c r="C2418" s="138"/>
      <c r="D2418" s="139"/>
      <c r="E2418" s="138"/>
      <c r="F2418" s="138"/>
      <c r="G2418" s="138"/>
      <c r="H2418" s="138"/>
      <c r="I2418" s="138"/>
      <c r="J2418" s="138"/>
      <c r="K2418" s="138"/>
      <c r="L2418" s="138">
        <v>0.0</v>
      </c>
      <c r="M2418" s="140" t="str">
        <f>VLOOKUP(text(D2418, "#"),'Master Table'!$A:$F, 6, FALSE)</f>
        <v>#N/A</v>
      </c>
      <c r="N2418" s="141"/>
      <c r="O2418" s="142" t="str">
        <f t="shared" si="1"/>
        <v/>
      </c>
      <c r="P2418" s="143" t="str">
        <f>IF(ISNA(VLOOKUP(CONCAT(M2418,C2418), 'Judge Count DO NOT EDIT'!H:H, 1, FALSE)), "ERROR","")</f>
        <v>ERROR</v>
      </c>
      <c r="Q2418" s="141"/>
      <c r="R2418" s="143"/>
      <c r="S2418" s="139"/>
      <c r="T2418" s="141"/>
    </row>
    <row r="2419">
      <c r="A2419" s="138"/>
      <c r="B2419" s="138"/>
      <c r="C2419" s="138"/>
      <c r="D2419" s="139"/>
      <c r="E2419" s="138"/>
      <c r="F2419" s="138"/>
      <c r="G2419" s="138"/>
      <c r="H2419" s="138"/>
      <c r="I2419" s="138"/>
      <c r="J2419" s="138"/>
      <c r="K2419" s="138"/>
      <c r="L2419" s="138">
        <v>0.0</v>
      </c>
      <c r="M2419" s="140" t="str">
        <f>VLOOKUP(text(D2419, "#"),'Master Table'!$A:$F, 6, FALSE)</f>
        <v>#N/A</v>
      </c>
      <c r="N2419" s="141"/>
      <c r="O2419" s="142" t="str">
        <f t="shared" si="1"/>
        <v/>
      </c>
      <c r="P2419" s="143" t="str">
        <f>IF(ISNA(VLOOKUP(CONCAT(M2419,C2419), 'Judge Count DO NOT EDIT'!H:H, 1, FALSE)), "ERROR","")</f>
        <v>ERROR</v>
      </c>
      <c r="Q2419" s="141"/>
      <c r="R2419" s="143"/>
      <c r="S2419" s="139"/>
      <c r="T2419" s="141"/>
    </row>
    <row r="2420">
      <c r="A2420" s="138"/>
      <c r="B2420" s="138"/>
      <c r="C2420" s="138"/>
      <c r="D2420" s="139"/>
      <c r="E2420" s="138"/>
      <c r="F2420" s="138"/>
      <c r="G2420" s="138"/>
      <c r="H2420" s="138"/>
      <c r="I2420" s="138"/>
      <c r="J2420" s="138"/>
      <c r="K2420" s="138"/>
      <c r="L2420" s="138">
        <v>0.0</v>
      </c>
      <c r="M2420" s="140" t="str">
        <f>VLOOKUP(text(D2420, "#"),'Master Table'!$A:$F, 6, FALSE)</f>
        <v>#N/A</v>
      </c>
      <c r="N2420" s="141"/>
      <c r="O2420" s="142" t="str">
        <f t="shared" si="1"/>
        <v/>
      </c>
      <c r="P2420" s="143" t="str">
        <f>IF(ISNA(VLOOKUP(CONCAT(M2420,C2420), 'Judge Count DO NOT EDIT'!H:H, 1, FALSE)), "ERROR","")</f>
        <v>ERROR</v>
      </c>
      <c r="Q2420" s="141"/>
      <c r="R2420" s="143"/>
      <c r="S2420" s="139"/>
      <c r="T2420" s="141"/>
    </row>
    <row r="2421">
      <c r="A2421" s="138"/>
      <c r="B2421" s="138"/>
      <c r="C2421" s="138"/>
      <c r="D2421" s="139"/>
      <c r="E2421" s="138"/>
      <c r="F2421" s="138"/>
      <c r="G2421" s="138"/>
      <c r="H2421" s="138"/>
      <c r="I2421" s="138"/>
      <c r="J2421" s="138"/>
      <c r="K2421" s="138"/>
      <c r="L2421" s="138">
        <v>0.0</v>
      </c>
      <c r="M2421" s="140" t="str">
        <f>VLOOKUP(text(D2421, "#"),'Master Table'!$A:$F, 6, FALSE)</f>
        <v>#N/A</v>
      </c>
      <c r="N2421" s="141"/>
      <c r="O2421" s="142" t="str">
        <f t="shared" si="1"/>
        <v/>
      </c>
      <c r="P2421" s="143" t="str">
        <f>IF(ISNA(VLOOKUP(CONCAT(M2421,C2421), 'Judge Count DO NOT EDIT'!H:H, 1, FALSE)), "ERROR","")</f>
        <v>ERROR</v>
      </c>
      <c r="Q2421" s="141"/>
      <c r="R2421" s="143"/>
      <c r="S2421" s="139"/>
      <c r="T2421" s="141"/>
    </row>
    <row r="2422">
      <c r="A2422" s="138"/>
      <c r="B2422" s="138"/>
      <c r="C2422" s="138"/>
      <c r="D2422" s="139"/>
      <c r="E2422" s="138"/>
      <c r="F2422" s="138"/>
      <c r="G2422" s="138"/>
      <c r="H2422" s="138"/>
      <c r="I2422" s="138"/>
      <c r="J2422" s="138"/>
      <c r="K2422" s="138"/>
      <c r="L2422" s="138">
        <v>0.0</v>
      </c>
      <c r="M2422" s="140" t="str">
        <f>VLOOKUP(text(D2422, "#"),'Master Table'!$A:$F, 6, FALSE)</f>
        <v>#N/A</v>
      </c>
      <c r="N2422" s="141"/>
      <c r="O2422" s="142" t="str">
        <f t="shared" si="1"/>
        <v/>
      </c>
      <c r="P2422" s="143" t="str">
        <f>IF(ISNA(VLOOKUP(CONCAT(M2422,C2422), 'Judge Count DO NOT EDIT'!H:H, 1, FALSE)), "ERROR","")</f>
        <v>ERROR</v>
      </c>
      <c r="Q2422" s="141"/>
      <c r="R2422" s="143"/>
      <c r="S2422" s="139"/>
      <c r="T2422" s="141"/>
    </row>
    <row r="2423">
      <c r="A2423" s="138"/>
      <c r="B2423" s="138"/>
      <c r="C2423" s="138"/>
      <c r="D2423" s="139"/>
      <c r="E2423" s="138"/>
      <c r="F2423" s="138"/>
      <c r="G2423" s="138"/>
      <c r="H2423" s="138"/>
      <c r="I2423" s="138"/>
      <c r="J2423" s="138"/>
      <c r="K2423" s="138"/>
      <c r="L2423" s="138">
        <v>0.0</v>
      </c>
      <c r="M2423" s="140" t="str">
        <f>VLOOKUP(text(D2423, "#"),'Master Table'!$A:$F, 6, FALSE)</f>
        <v>#N/A</v>
      </c>
      <c r="N2423" s="141"/>
      <c r="O2423" s="142" t="str">
        <f t="shared" si="1"/>
        <v/>
      </c>
      <c r="P2423" s="143" t="str">
        <f>IF(ISNA(VLOOKUP(CONCAT(M2423,C2423), 'Judge Count DO NOT EDIT'!H:H, 1, FALSE)), "ERROR","")</f>
        <v>ERROR</v>
      </c>
      <c r="Q2423" s="141"/>
      <c r="R2423" s="143"/>
      <c r="S2423" s="139"/>
      <c r="T2423" s="141"/>
    </row>
    <row r="2424">
      <c r="A2424" s="138"/>
      <c r="B2424" s="138"/>
      <c r="C2424" s="138"/>
      <c r="D2424" s="139"/>
      <c r="E2424" s="138"/>
      <c r="F2424" s="138"/>
      <c r="G2424" s="138"/>
      <c r="H2424" s="138"/>
      <c r="I2424" s="138"/>
      <c r="J2424" s="138"/>
      <c r="K2424" s="138"/>
      <c r="L2424" s="138">
        <v>0.0</v>
      </c>
      <c r="M2424" s="140" t="str">
        <f>VLOOKUP(text(D2424, "#"),'Master Table'!$A:$F, 6, FALSE)</f>
        <v>#N/A</v>
      </c>
      <c r="N2424" s="141"/>
      <c r="O2424" s="142" t="str">
        <f t="shared" si="1"/>
        <v/>
      </c>
      <c r="P2424" s="143" t="str">
        <f>IF(ISNA(VLOOKUP(CONCAT(M2424,C2424), 'Judge Count DO NOT EDIT'!H:H, 1, FALSE)), "ERROR","")</f>
        <v>ERROR</v>
      </c>
      <c r="Q2424" s="141"/>
      <c r="R2424" s="143"/>
      <c r="S2424" s="139"/>
      <c r="T2424" s="141"/>
    </row>
    <row r="2425">
      <c r="A2425" s="138"/>
      <c r="B2425" s="138"/>
      <c r="C2425" s="138"/>
      <c r="D2425" s="139"/>
      <c r="E2425" s="138"/>
      <c r="F2425" s="138"/>
      <c r="G2425" s="138"/>
      <c r="H2425" s="138"/>
      <c r="I2425" s="138"/>
      <c r="J2425" s="138"/>
      <c r="K2425" s="138"/>
      <c r="L2425" s="138">
        <v>0.0</v>
      </c>
      <c r="M2425" s="140" t="str">
        <f>VLOOKUP(text(D2425, "#"),'Master Table'!$A:$F, 6, FALSE)</f>
        <v>#N/A</v>
      </c>
      <c r="N2425" s="141"/>
      <c r="O2425" s="142" t="str">
        <f t="shared" si="1"/>
        <v/>
      </c>
      <c r="P2425" s="143" t="str">
        <f>IF(ISNA(VLOOKUP(CONCAT(M2425,C2425), 'Judge Count DO NOT EDIT'!H:H, 1, FALSE)), "ERROR","")</f>
        <v>ERROR</v>
      </c>
      <c r="Q2425" s="141"/>
      <c r="R2425" s="143"/>
      <c r="S2425" s="139"/>
      <c r="T2425" s="141"/>
    </row>
    <row r="2426">
      <c r="A2426" s="138"/>
      <c r="B2426" s="138"/>
      <c r="C2426" s="138"/>
      <c r="D2426" s="139"/>
      <c r="E2426" s="138"/>
      <c r="F2426" s="138"/>
      <c r="G2426" s="138"/>
      <c r="H2426" s="138"/>
      <c r="I2426" s="138"/>
      <c r="J2426" s="138"/>
      <c r="K2426" s="138"/>
      <c r="L2426" s="138">
        <v>0.0</v>
      </c>
      <c r="M2426" s="140" t="str">
        <f>VLOOKUP(text(D2426, "#"),'Master Table'!$A:$F, 6, FALSE)</f>
        <v>#N/A</v>
      </c>
      <c r="N2426" s="141"/>
      <c r="O2426" s="142" t="str">
        <f t="shared" si="1"/>
        <v/>
      </c>
      <c r="P2426" s="143" t="str">
        <f>IF(ISNA(VLOOKUP(CONCAT(M2426,C2426), 'Judge Count DO NOT EDIT'!H:H, 1, FALSE)), "ERROR","")</f>
        <v>ERROR</v>
      </c>
      <c r="Q2426" s="141"/>
      <c r="R2426" s="143"/>
      <c r="S2426" s="139"/>
      <c r="T2426" s="141"/>
    </row>
    <row r="2427">
      <c r="A2427" s="138"/>
      <c r="B2427" s="138"/>
      <c r="C2427" s="138"/>
      <c r="D2427" s="139"/>
      <c r="E2427" s="138"/>
      <c r="F2427" s="138"/>
      <c r="G2427" s="138"/>
      <c r="H2427" s="138"/>
      <c r="I2427" s="138"/>
      <c r="J2427" s="138"/>
      <c r="K2427" s="138"/>
      <c r="L2427" s="138">
        <v>0.0</v>
      </c>
      <c r="M2427" s="140" t="str">
        <f>VLOOKUP(text(D2427, "#"),'Master Table'!$A:$F, 6, FALSE)</f>
        <v>#N/A</v>
      </c>
      <c r="N2427" s="141"/>
      <c r="O2427" s="142" t="str">
        <f t="shared" si="1"/>
        <v/>
      </c>
      <c r="P2427" s="143" t="str">
        <f>IF(ISNA(VLOOKUP(CONCAT(M2427,C2427), 'Judge Count DO NOT EDIT'!H:H, 1, FALSE)), "ERROR","")</f>
        <v>ERROR</v>
      </c>
      <c r="Q2427" s="141"/>
      <c r="R2427" s="143"/>
      <c r="S2427" s="139"/>
      <c r="T2427" s="141"/>
    </row>
    <row r="2428">
      <c r="A2428" s="138"/>
      <c r="B2428" s="138"/>
      <c r="C2428" s="138"/>
      <c r="D2428" s="139"/>
      <c r="E2428" s="138"/>
      <c r="F2428" s="138"/>
      <c r="G2428" s="138"/>
      <c r="H2428" s="138"/>
      <c r="I2428" s="138"/>
      <c r="J2428" s="138"/>
      <c r="K2428" s="138"/>
      <c r="L2428" s="138">
        <v>0.0</v>
      </c>
      <c r="M2428" s="140" t="str">
        <f>VLOOKUP(text(D2428, "#"),'Master Table'!$A:$F, 6, FALSE)</f>
        <v>#N/A</v>
      </c>
      <c r="N2428" s="141"/>
      <c r="O2428" s="142" t="str">
        <f t="shared" si="1"/>
        <v/>
      </c>
      <c r="P2428" s="143" t="str">
        <f>IF(ISNA(VLOOKUP(CONCAT(M2428,C2428), 'Judge Count DO NOT EDIT'!H:H, 1, FALSE)), "ERROR","")</f>
        <v>ERROR</v>
      </c>
      <c r="Q2428" s="141"/>
      <c r="R2428" s="143"/>
      <c r="S2428" s="139"/>
      <c r="T2428" s="141"/>
    </row>
    <row r="2429">
      <c r="A2429" s="138"/>
      <c r="B2429" s="138"/>
      <c r="C2429" s="138"/>
      <c r="D2429" s="139"/>
      <c r="E2429" s="138"/>
      <c r="F2429" s="138"/>
      <c r="G2429" s="138"/>
      <c r="H2429" s="138"/>
      <c r="I2429" s="138"/>
      <c r="J2429" s="138"/>
      <c r="K2429" s="138"/>
      <c r="L2429" s="138">
        <v>0.0</v>
      </c>
      <c r="M2429" s="140" t="str">
        <f>VLOOKUP(text(D2429, "#"),'Master Table'!$A:$F, 6, FALSE)</f>
        <v>#N/A</v>
      </c>
      <c r="N2429" s="141"/>
      <c r="O2429" s="142" t="str">
        <f t="shared" si="1"/>
        <v/>
      </c>
      <c r="P2429" s="143" t="str">
        <f>IF(ISNA(VLOOKUP(CONCAT(M2429,C2429), 'Judge Count DO NOT EDIT'!H:H, 1, FALSE)), "ERROR","")</f>
        <v>ERROR</v>
      </c>
      <c r="Q2429" s="141"/>
      <c r="R2429" s="143"/>
      <c r="S2429" s="139"/>
      <c r="T2429" s="141"/>
    </row>
    <row r="2430">
      <c r="A2430" s="138"/>
      <c r="B2430" s="138"/>
      <c r="C2430" s="138"/>
      <c r="D2430" s="139"/>
      <c r="E2430" s="138"/>
      <c r="F2430" s="138"/>
      <c r="G2430" s="138"/>
      <c r="H2430" s="138"/>
      <c r="I2430" s="138"/>
      <c r="J2430" s="138"/>
      <c r="K2430" s="138"/>
      <c r="L2430" s="138">
        <v>0.0</v>
      </c>
      <c r="M2430" s="140" t="str">
        <f>VLOOKUP(text(D2430, "#"),'Master Table'!$A:$F, 6, FALSE)</f>
        <v>#N/A</v>
      </c>
      <c r="N2430" s="141"/>
      <c r="O2430" s="142" t="str">
        <f t="shared" si="1"/>
        <v/>
      </c>
      <c r="P2430" s="143" t="str">
        <f>IF(ISNA(VLOOKUP(CONCAT(M2430,C2430), 'Judge Count DO NOT EDIT'!H:H, 1, FALSE)), "ERROR","")</f>
        <v>ERROR</v>
      </c>
      <c r="Q2430" s="141"/>
      <c r="R2430" s="143"/>
      <c r="S2430" s="139"/>
      <c r="T2430" s="141"/>
    </row>
    <row r="2431">
      <c r="A2431" s="138"/>
      <c r="B2431" s="138"/>
      <c r="C2431" s="138"/>
      <c r="D2431" s="139"/>
      <c r="E2431" s="138"/>
      <c r="F2431" s="138"/>
      <c r="G2431" s="138"/>
      <c r="H2431" s="138"/>
      <c r="I2431" s="138"/>
      <c r="J2431" s="138"/>
      <c r="K2431" s="138"/>
      <c r="L2431" s="138">
        <v>0.0</v>
      </c>
      <c r="M2431" s="140" t="str">
        <f>VLOOKUP(text(D2431, "#"),'Master Table'!$A:$F, 6, FALSE)</f>
        <v>#N/A</v>
      </c>
      <c r="N2431" s="141"/>
      <c r="O2431" s="142" t="str">
        <f t="shared" si="1"/>
        <v/>
      </c>
      <c r="P2431" s="143" t="str">
        <f>IF(ISNA(VLOOKUP(CONCAT(M2431,C2431), 'Judge Count DO NOT EDIT'!H:H, 1, FALSE)), "ERROR","")</f>
        <v>ERROR</v>
      </c>
      <c r="Q2431" s="141"/>
      <c r="R2431" s="143"/>
      <c r="S2431" s="139"/>
      <c r="T2431" s="141"/>
    </row>
    <row r="2432">
      <c r="A2432" s="138"/>
      <c r="B2432" s="138"/>
      <c r="C2432" s="138"/>
      <c r="D2432" s="139"/>
      <c r="E2432" s="138"/>
      <c r="F2432" s="138"/>
      <c r="G2432" s="138"/>
      <c r="H2432" s="138"/>
      <c r="I2432" s="138"/>
      <c r="J2432" s="138"/>
      <c r="K2432" s="138"/>
      <c r="L2432" s="138">
        <v>0.0</v>
      </c>
      <c r="M2432" s="140" t="str">
        <f>VLOOKUP(text(D2432, "#"),'Master Table'!$A:$F, 6, FALSE)</f>
        <v>#N/A</v>
      </c>
      <c r="N2432" s="141"/>
      <c r="O2432" s="142" t="str">
        <f t="shared" si="1"/>
        <v/>
      </c>
      <c r="P2432" s="143" t="str">
        <f>IF(ISNA(VLOOKUP(CONCAT(M2432,C2432), 'Judge Count DO NOT EDIT'!H:H, 1, FALSE)), "ERROR","")</f>
        <v>ERROR</v>
      </c>
      <c r="Q2432" s="141"/>
      <c r="R2432" s="143"/>
      <c r="S2432" s="139"/>
      <c r="T2432" s="141"/>
    </row>
    <row r="2433">
      <c r="A2433" s="138"/>
      <c r="B2433" s="138"/>
      <c r="C2433" s="138"/>
      <c r="D2433" s="139"/>
      <c r="E2433" s="138"/>
      <c r="F2433" s="138"/>
      <c r="G2433" s="138"/>
      <c r="H2433" s="138"/>
      <c r="I2433" s="138"/>
      <c r="J2433" s="138"/>
      <c r="K2433" s="138"/>
      <c r="L2433" s="138">
        <v>0.0</v>
      </c>
      <c r="M2433" s="140" t="str">
        <f>VLOOKUP(text(D2433, "#"),'Master Table'!$A:$F, 6, FALSE)</f>
        <v>#N/A</v>
      </c>
      <c r="N2433" s="141"/>
      <c r="O2433" s="142" t="str">
        <f t="shared" si="1"/>
        <v/>
      </c>
      <c r="P2433" s="143" t="str">
        <f>IF(ISNA(VLOOKUP(CONCAT(M2433,C2433), 'Judge Count DO NOT EDIT'!H:H, 1, FALSE)), "ERROR","")</f>
        <v>ERROR</v>
      </c>
      <c r="Q2433" s="141"/>
      <c r="R2433" s="143"/>
      <c r="S2433" s="139"/>
      <c r="T2433" s="141"/>
    </row>
    <row r="2434">
      <c r="A2434" s="138"/>
      <c r="B2434" s="138"/>
      <c r="C2434" s="138"/>
      <c r="D2434" s="139"/>
      <c r="E2434" s="138"/>
      <c r="F2434" s="138"/>
      <c r="G2434" s="138"/>
      <c r="H2434" s="138"/>
      <c r="I2434" s="138"/>
      <c r="J2434" s="138"/>
      <c r="K2434" s="138"/>
      <c r="L2434" s="138">
        <v>0.0</v>
      </c>
      <c r="M2434" s="140" t="str">
        <f>VLOOKUP(text(D2434, "#"),'Master Table'!$A:$F, 6, FALSE)</f>
        <v>#N/A</v>
      </c>
      <c r="N2434" s="141"/>
      <c r="O2434" s="142" t="str">
        <f t="shared" si="1"/>
        <v/>
      </c>
      <c r="P2434" s="143" t="str">
        <f>IF(ISNA(VLOOKUP(CONCAT(M2434,C2434), 'Judge Count DO NOT EDIT'!H:H, 1, FALSE)), "ERROR","")</f>
        <v>ERROR</v>
      </c>
      <c r="Q2434" s="141"/>
      <c r="R2434" s="143"/>
      <c r="S2434" s="139"/>
      <c r="T2434" s="141"/>
    </row>
    <row r="2435">
      <c r="A2435" s="138"/>
      <c r="B2435" s="138"/>
      <c r="C2435" s="138"/>
      <c r="D2435" s="139"/>
      <c r="E2435" s="138"/>
      <c r="F2435" s="138"/>
      <c r="G2435" s="138"/>
      <c r="H2435" s="138"/>
      <c r="I2435" s="138"/>
      <c r="J2435" s="138"/>
      <c r="K2435" s="138"/>
      <c r="L2435" s="138">
        <v>0.0</v>
      </c>
      <c r="M2435" s="140" t="str">
        <f>VLOOKUP(text(D2435, "#"),'Master Table'!$A:$F, 6, FALSE)</f>
        <v>#N/A</v>
      </c>
      <c r="N2435" s="141"/>
      <c r="O2435" s="142" t="str">
        <f t="shared" si="1"/>
        <v/>
      </c>
      <c r="P2435" s="143" t="str">
        <f>IF(ISNA(VLOOKUP(CONCAT(M2435,C2435), 'Judge Count DO NOT EDIT'!H:H, 1, FALSE)), "ERROR","")</f>
        <v>ERROR</v>
      </c>
      <c r="Q2435" s="141"/>
      <c r="R2435" s="143"/>
      <c r="S2435" s="139"/>
      <c r="T2435" s="141"/>
    </row>
    <row r="2436">
      <c r="A2436" s="138"/>
      <c r="B2436" s="138"/>
      <c r="C2436" s="138"/>
      <c r="D2436" s="139"/>
      <c r="E2436" s="138"/>
      <c r="F2436" s="138"/>
      <c r="G2436" s="138"/>
      <c r="H2436" s="138"/>
      <c r="I2436" s="138"/>
      <c r="J2436" s="138"/>
      <c r="K2436" s="138"/>
      <c r="L2436" s="138">
        <v>0.0</v>
      </c>
      <c r="M2436" s="140" t="str">
        <f>VLOOKUP(text(D2436, "#"),'Master Table'!$A:$F, 6, FALSE)</f>
        <v>#N/A</v>
      </c>
      <c r="N2436" s="141"/>
      <c r="O2436" s="142" t="str">
        <f t="shared" si="1"/>
        <v/>
      </c>
      <c r="P2436" s="143" t="str">
        <f>IF(ISNA(VLOOKUP(CONCAT(M2436,C2436), 'Judge Count DO NOT EDIT'!H:H, 1, FALSE)), "ERROR","")</f>
        <v>ERROR</v>
      </c>
      <c r="Q2436" s="141"/>
      <c r="R2436" s="143"/>
      <c r="S2436" s="139"/>
      <c r="T2436" s="141"/>
    </row>
    <row r="2437">
      <c r="A2437" s="138"/>
      <c r="B2437" s="138"/>
      <c r="C2437" s="138"/>
      <c r="D2437" s="139"/>
      <c r="E2437" s="138"/>
      <c r="F2437" s="138"/>
      <c r="G2437" s="138"/>
      <c r="H2437" s="138"/>
      <c r="I2437" s="138"/>
      <c r="J2437" s="138"/>
      <c r="K2437" s="138"/>
      <c r="L2437" s="138">
        <v>0.0</v>
      </c>
      <c r="M2437" s="140" t="str">
        <f>VLOOKUP(text(D2437, "#"),'Master Table'!$A:$F, 6, FALSE)</f>
        <v>#N/A</v>
      </c>
      <c r="N2437" s="141"/>
      <c r="O2437" s="142" t="str">
        <f t="shared" si="1"/>
        <v/>
      </c>
      <c r="P2437" s="143" t="str">
        <f>IF(ISNA(VLOOKUP(CONCAT(M2437,C2437), 'Judge Count DO NOT EDIT'!H:H, 1, FALSE)), "ERROR","")</f>
        <v>ERROR</v>
      </c>
      <c r="Q2437" s="141"/>
      <c r="R2437" s="143"/>
      <c r="S2437" s="139"/>
      <c r="T2437" s="141"/>
    </row>
    <row r="2438">
      <c r="A2438" s="138"/>
      <c r="B2438" s="138"/>
      <c r="C2438" s="138"/>
      <c r="D2438" s="139"/>
      <c r="E2438" s="138"/>
      <c r="F2438" s="138"/>
      <c r="G2438" s="138"/>
      <c r="H2438" s="138"/>
      <c r="I2438" s="138"/>
      <c r="J2438" s="138"/>
      <c r="K2438" s="138"/>
      <c r="L2438" s="138">
        <v>0.0</v>
      </c>
      <c r="M2438" s="140" t="str">
        <f>VLOOKUP(text(D2438, "#"),'Master Table'!$A:$F, 6, FALSE)</f>
        <v>#N/A</v>
      </c>
      <c r="N2438" s="141"/>
      <c r="O2438" s="142" t="str">
        <f t="shared" si="1"/>
        <v/>
      </c>
      <c r="P2438" s="143" t="str">
        <f>IF(ISNA(VLOOKUP(CONCAT(M2438,C2438), 'Judge Count DO NOT EDIT'!H:H, 1, FALSE)), "ERROR","")</f>
        <v>ERROR</v>
      </c>
      <c r="Q2438" s="141"/>
      <c r="R2438" s="143"/>
      <c r="S2438" s="139"/>
      <c r="T2438" s="141"/>
    </row>
    <row r="2439">
      <c r="A2439" s="138"/>
      <c r="B2439" s="138"/>
      <c r="C2439" s="138"/>
      <c r="D2439" s="139"/>
      <c r="E2439" s="138"/>
      <c r="F2439" s="138"/>
      <c r="G2439" s="138"/>
      <c r="H2439" s="138"/>
      <c r="I2439" s="138"/>
      <c r="J2439" s="138"/>
      <c r="K2439" s="138"/>
      <c r="L2439" s="138">
        <v>0.0</v>
      </c>
      <c r="M2439" s="140" t="str">
        <f>VLOOKUP(text(D2439, "#"),'Master Table'!$A:$F, 6, FALSE)</f>
        <v>#N/A</v>
      </c>
      <c r="N2439" s="141"/>
      <c r="O2439" s="142" t="str">
        <f t="shared" si="1"/>
        <v/>
      </c>
      <c r="P2439" s="143" t="str">
        <f>IF(ISNA(VLOOKUP(CONCAT(M2439,C2439), 'Judge Count DO NOT EDIT'!H:H, 1, FALSE)), "ERROR","")</f>
        <v>ERROR</v>
      </c>
      <c r="Q2439" s="141"/>
      <c r="R2439" s="143"/>
      <c r="S2439" s="139"/>
      <c r="T2439" s="141"/>
    </row>
    <row r="2440">
      <c r="A2440" s="138"/>
      <c r="B2440" s="138"/>
      <c r="C2440" s="138"/>
      <c r="D2440" s="139"/>
      <c r="E2440" s="138"/>
      <c r="F2440" s="138"/>
      <c r="G2440" s="138"/>
      <c r="H2440" s="138"/>
      <c r="I2440" s="138"/>
      <c r="J2440" s="138"/>
      <c r="K2440" s="138"/>
      <c r="L2440" s="138">
        <v>0.0</v>
      </c>
      <c r="M2440" s="140" t="str">
        <f>VLOOKUP(text(D2440, "#"),'Master Table'!$A:$F, 6, FALSE)</f>
        <v>#N/A</v>
      </c>
      <c r="N2440" s="141"/>
      <c r="O2440" s="142" t="str">
        <f t="shared" si="1"/>
        <v/>
      </c>
      <c r="P2440" s="143" t="str">
        <f>IF(ISNA(VLOOKUP(CONCAT(M2440,C2440), 'Judge Count DO NOT EDIT'!H:H, 1, FALSE)), "ERROR","")</f>
        <v>ERROR</v>
      </c>
      <c r="Q2440" s="141"/>
      <c r="R2440" s="143"/>
      <c r="S2440" s="139"/>
      <c r="T2440" s="141"/>
    </row>
    <row r="2441">
      <c r="A2441" s="138"/>
      <c r="B2441" s="138"/>
      <c r="C2441" s="138"/>
      <c r="D2441" s="139"/>
      <c r="E2441" s="138"/>
      <c r="F2441" s="138"/>
      <c r="G2441" s="138"/>
      <c r="H2441" s="138"/>
      <c r="I2441" s="138"/>
      <c r="J2441" s="138"/>
      <c r="K2441" s="138"/>
      <c r="L2441" s="138">
        <v>0.0</v>
      </c>
      <c r="M2441" s="140" t="str">
        <f>VLOOKUP(text(D2441, "#"),'Master Table'!$A:$F, 6, FALSE)</f>
        <v>#N/A</v>
      </c>
      <c r="N2441" s="141"/>
      <c r="O2441" s="142" t="str">
        <f t="shared" si="1"/>
        <v/>
      </c>
      <c r="P2441" s="143" t="str">
        <f>IF(ISNA(VLOOKUP(CONCAT(M2441,C2441), 'Judge Count DO NOT EDIT'!H:H, 1, FALSE)), "ERROR","")</f>
        <v>ERROR</v>
      </c>
      <c r="Q2441" s="141"/>
      <c r="R2441" s="143"/>
      <c r="S2441" s="139"/>
      <c r="T2441" s="141"/>
    </row>
    <row r="2442">
      <c r="A2442" s="138"/>
      <c r="B2442" s="138"/>
      <c r="C2442" s="138"/>
      <c r="D2442" s="139"/>
      <c r="E2442" s="138"/>
      <c r="F2442" s="138"/>
      <c r="G2442" s="138"/>
      <c r="H2442" s="138"/>
      <c r="I2442" s="138"/>
      <c r="J2442" s="138"/>
      <c r="K2442" s="138"/>
      <c r="L2442" s="138">
        <v>0.0</v>
      </c>
      <c r="M2442" s="140" t="str">
        <f>VLOOKUP(text(D2442, "#"),'Master Table'!$A:$F, 6, FALSE)</f>
        <v>#N/A</v>
      </c>
      <c r="N2442" s="141"/>
      <c r="O2442" s="142" t="str">
        <f t="shared" si="1"/>
        <v/>
      </c>
      <c r="P2442" s="143" t="str">
        <f>IF(ISNA(VLOOKUP(CONCAT(M2442,C2442), 'Judge Count DO NOT EDIT'!H:H, 1, FALSE)), "ERROR","")</f>
        <v>ERROR</v>
      </c>
      <c r="Q2442" s="141"/>
      <c r="R2442" s="143"/>
      <c r="S2442" s="139"/>
      <c r="T2442" s="141"/>
    </row>
    <row r="2443">
      <c r="A2443" s="138"/>
      <c r="B2443" s="138"/>
      <c r="C2443" s="138"/>
      <c r="D2443" s="139"/>
      <c r="E2443" s="138"/>
      <c r="F2443" s="138"/>
      <c r="G2443" s="138"/>
      <c r="H2443" s="138"/>
      <c r="I2443" s="138"/>
      <c r="J2443" s="138"/>
      <c r="K2443" s="138"/>
      <c r="L2443" s="138">
        <v>0.0</v>
      </c>
      <c r="M2443" s="140" t="str">
        <f>VLOOKUP(text(D2443, "#"),'Master Table'!$A:$F, 6, FALSE)</f>
        <v>#N/A</v>
      </c>
      <c r="N2443" s="141"/>
      <c r="O2443" s="142" t="str">
        <f t="shared" si="1"/>
        <v/>
      </c>
      <c r="P2443" s="143" t="str">
        <f>IF(ISNA(VLOOKUP(CONCAT(M2443,C2443), 'Judge Count DO NOT EDIT'!H:H, 1, FALSE)), "ERROR","")</f>
        <v>ERROR</v>
      </c>
      <c r="Q2443" s="141"/>
      <c r="R2443" s="143"/>
      <c r="S2443" s="139"/>
      <c r="T2443" s="141"/>
    </row>
    <row r="2444">
      <c r="A2444" s="138"/>
      <c r="B2444" s="138"/>
      <c r="C2444" s="138"/>
      <c r="D2444" s="139"/>
      <c r="E2444" s="138"/>
      <c r="F2444" s="138"/>
      <c r="G2444" s="138"/>
      <c r="H2444" s="138"/>
      <c r="I2444" s="138"/>
      <c r="J2444" s="138"/>
      <c r="K2444" s="138"/>
      <c r="L2444" s="138">
        <v>0.0</v>
      </c>
      <c r="M2444" s="140" t="str">
        <f>VLOOKUP(text(D2444, "#"),'Master Table'!$A:$F, 6, FALSE)</f>
        <v>#N/A</v>
      </c>
      <c r="N2444" s="141"/>
      <c r="O2444" s="142" t="str">
        <f t="shared" si="1"/>
        <v/>
      </c>
      <c r="P2444" s="143" t="str">
        <f>IF(ISNA(VLOOKUP(CONCAT(M2444,C2444), 'Judge Count DO NOT EDIT'!H:H, 1, FALSE)), "ERROR","")</f>
        <v>ERROR</v>
      </c>
      <c r="Q2444" s="141"/>
      <c r="R2444" s="143"/>
      <c r="S2444" s="139"/>
      <c r="T2444" s="141"/>
    </row>
    <row r="2445">
      <c r="A2445" s="138"/>
      <c r="B2445" s="138"/>
      <c r="C2445" s="138"/>
      <c r="D2445" s="139"/>
      <c r="E2445" s="138"/>
      <c r="F2445" s="138"/>
      <c r="G2445" s="138"/>
      <c r="H2445" s="138"/>
      <c r="I2445" s="138"/>
      <c r="J2445" s="138"/>
      <c r="K2445" s="138"/>
      <c r="L2445" s="138">
        <v>0.0</v>
      </c>
      <c r="M2445" s="140" t="str">
        <f>VLOOKUP(text(D2445, "#"),'Master Table'!$A:$F, 6, FALSE)</f>
        <v>#N/A</v>
      </c>
      <c r="N2445" s="141"/>
      <c r="O2445" s="142" t="str">
        <f t="shared" si="1"/>
        <v/>
      </c>
      <c r="P2445" s="143" t="str">
        <f>IF(ISNA(VLOOKUP(CONCAT(M2445,C2445), 'Judge Count DO NOT EDIT'!H:H, 1, FALSE)), "ERROR","")</f>
        <v>ERROR</v>
      </c>
      <c r="Q2445" s="141"/>
      <c r="R2445" s="143"/>
      <c r="S2445" s="139"/>
      <c r="T2445" s="141"/>
    </row>
    <row r="2446">
      <c r="A2446" s="138"/>
      <c r="B2446" s="138"/>
      <c r="C2446" s="138"/>
      <c r="D2446" s="139"/>
      <c r="E2446" s="138"/>
      <c r="F2446" s="138"/>
      <c r="G2446" s="138"/>
      <c r="H2446" s="138"/>
      <c r="I2446" s="138"/>
      <c r="J2446" s="138"/>
      <c r="K2446" s="138"/>
      <c r="L2446" s="138">
        <v>0.0</v>
      </c>
      <c r="M2446" s="140" t="str">
        <f>VLOOKUP(text(D2446, "#"),'Master Table'!$A:$F, 6, FALSE)</f>
        <v>#N/A</v>
      </c>
      <c r="N2446" s="141"/>
      <c r="O2446" s="142" t="str">
        <f t="shared" si="1"/>
        <v/>
      </c>
      <c r="P2446" s="143" t="str">
        <f>IF(ISNA(VLOOKUP(CONCAT(M2446,C2446), 'Judge Count DO NOT EDIT'!H:H, 1, FALSE)), "ERROR","")</f>
        <v>ERROR</v>
      </c>
      <c r="Q2446" s="141"/>
      <c r="R2446" s="143"/>
      <c r="S2446" s="139"/>
      <c r="T2446" s="141"/>
    </row>
    <row r="2447">
      <c r="A2447" s="138"/>
      <c r="B2447" s="138"/>
      <c r="C2447" s="138"/>
      <c r="D2447" s="139"/>
      <c r="E2447" s="138"/>
      <c r="F2447" s="138"/>
      <c r="G2447" s="138"/>
      <c r="H2447" s="138"/>
      <c r="I2447" s="138"/>
      <c r="J2447" s="138"/>
      <c r="K2447" s="138"/>
      <c r="L2447" s="138">
        <v>0.0</v>
      </c>
      <c r="M2447" s="140" t="str">
        <f>VLOOKUP(text(D2447, "#"),'Master Table'!$A:$F, 6, FALSE)</f>
        <v>#N/A</v>
      </c>
      <c r="N2447" s="141"/>
      <c r="O2447" s="142" t="str">
        <f t="shared" si="1"/>
        <v/>
      </c>
      <c r="P2447" s="143" t="str">
        <f>IF(ISNA(VLOOKUP(CONCAT(M2447,C2447), 'Judge Count DO NOT EDIT'!H:H, 1, FALSE)), "ERROR","")</f>
        <v>ERROR</v>
      </c>
      <c r="Q2447" s="141"/>
      <c r="R2447" s="143"/>
      <c r="S2447" s="139"/>
      <c r="T2447" s="141"/>
    </row>
    <row r="2448">
      <c r="A2448" s="138"/>
      <c r="B2448" s="138"/>
      <c r="C2448" s="138"/>
      <c r="D2448" s="139"/>
      <c r="E2448" s="138"/>
      <c r="F2448" s="138"/>
      <c r="G2448" s="138"/>
      <c r="H2448" s="138"/>
      <c r="I2448" s="138"/>
      <c r="J2448" s="138"/>
      <c r="K2448" s="138"/>
      <c r="L2448" s="138">
        <v>0.0</v>
      </c>
      <c r="M2448" s="140" t="str">
        <f>VLOOKUP(text(D2448, "#"),'Master Table'!$A:$F, 6, FALSE)</f>
        <v>#N/A</v>
      </c>
      <c r="N2448" s="141"/>
      <c r="O2448" s="142" t="str">
        <f t="shared" si="1"/>
        <v/>
      </c>
      <c r="P2448" s="143" t="str">
        <f>IF(ISNA(VLOOKUP(CONCAT(M2448,C2448), 'Judge Count DO NOT EDIT'!H:H, 1, FALSE)), "ERROR","")</f>
        <v>ERROR</v>
      </c>
      <c r="Q2448" s="141"/>
      <c r="R2448" s="143"/>
      <c r="S2448" s="139"/>
      <c r="T2448" s="141"/>
    </row>
    <row r="2449">
      <c r="A2449" s="138"/>
      <c r="B2449" s="138"/>
      <c r="C2449" s="138"/>
      <c r="D2449" s="139"/>
      <c r="E2449" s="138"/>
      <c r="F2449" s="138"/>
      <c r="G2449" s="138"/>
      <c r="H2449" s="138"/>
      <c r="I2449" s="138"/>
      <c r="J2449" s="138"/>
      <c r="K2449" s="138"/>
      <c r="L2449" s="138">
        <v>0.0</v>
      </c>
      <c r="M2449" s="140" t="str">
        <f>VLOOKUP(text(D2449, "#"),'Master Table'!$A:$F, 6, FALSE)</f>
        <v>#N/A</v>
      </c>
      <c r="N2449" s="141"/>
      <c r="O2449" s="142" t="str">
        <f t="shared" si="1"/>
        <v/>
      </c>
      <c r="P2449" s="143" t="str">
        <f>IF(ISNA(VLOOKUP(CONCAT(M2449,C2449), 'Judge Count DO NOT EDIT'!H:H, 1, FALSE)), "ERROR","")</f>
        <v>ERROR</v>
      </c>
      <c r="Q2449" s="141"/>
      <c r="R2449" s="143"/>
      <c r="S2449" s="139"/>
      <c r="T2449" s="141"/>
    </row>
    <row r="2450">
      <c r="A2450" s="138"/>
      <c r="B2450" s="138"/>
      <c r="C2450" s="138"/>
      <c r="D2450" s="139"/>
      <c r="E2450" s="138"/>
      <c r="F2450" s="138"/>
      <c r="G2450" s="138"/>
      <c r="H2450" s="138"/>
      <c r="I2450" s="138"/>
      <c r="J2450" s="138"/>
      <c r="K2450" s="138"/>
      <c r="L2450" s="138">
        <v>0.0</v>
      </c>
      <c r="M2450" s="140" t="str">
        <f>VLOOKUP(text(D2450, "#"),'Master Table'!$A:$F, 6, FALSE)</f>
        <v>#N/A</v>
      </c>
      <c r="N2450" s="141"/>
      <c r="O2450" s="142" t="str">
        <f t="shared" si="1"/>
        <v/>
      </c>
      <c r="P2450" s="143" t="str">
        <f>IF(ISNA(VLOOKUP(CONCAT(M2450,C2450), 'Judge Count DO NOT EDIT'!H:H, 1, FALSE)), "ERROR","")</f>
        <v>ERROR</v>
      </c>
      <c r="Q2450" s="141"/>
      <c r="R2450" s="143"/>
      <c r="S2450" s="139"/>
      <c r="T2450" s="141"/>
    </row>
    <row r="2451">
      <c r="A2451" s="138"/>
      <c r="B2451" s="138"/>
      <c r="C2451" s="138"/>
      <c r="D2451" s="139"/>
      <c r="E2451" s="138"/>
      <c r="F2451" s="138"/>
      <c r="G2451" s="138"/>
      <c r="H2451" s="138"/>
      <c r="I2451" s="138"/>
      <c r="J2451" s="138"/>
      <c r="K2451" s="138"/>
      <c r="L2451" s="138">
        <v>0.0</v>
      </c>
      <c r="M2451" s="140" t="str">
        <f>VLOOKUP(text(D2451, "#"),'Master Table'!$A:$F, 6, FALSE)</f>
        <v>#N/A</v>
      </c>
      <c r="N2451" s="141"/>
      <c r="O2451" s="142" t="str">
        <f t="shared" si="1"/>
        <v/>
      </c>
      <c r="P2451" s="143" t="str">
        <f>IF(ISNA(VLOOKUP(CONCAT(M2451,C2451), 'Judge Count DO NOT EDIT'!H:H, 1, FALSE)), "ERROR","")</f>
        <v>ERROR</v>
      </c>
      <c r="Q2451" s="141"/>
      <c r="R2451" s="143"/>
      <c r="S2451" s="139"/>
      <c r="T2451" s="141"/>
    </row>
    <row r="2452">
      <c r="A2452" s="138"/>
      <c r="B2452" s="138"/>
      <c r="C2452" s="138"/>
      <c r="D2452" s="139"/>
      <c r="E2452" s="138"/>
      <c r="F2452" s="138"/>
      <c r="G2452" s="138"/>
      <c r="H2452" s="138"/>
      <c r="I2452" s="138"/>
      <c r="J2452" s="138"/>
      <c r="K2452" s="138"/>
      <c r="L2452" s="138">
        <v>0.0</v>
      </c>
      <c r="M2452" s="140" t="str">
        <f>VLOOKUP(text(D2452, "#"),'Master Table'!$A:$F, 6, FALSE)</f>
        <v>#N/A</v>
      </c>
      <c r="N2452" s="141"/>
      <c r="O2452" s="142" t="str">
        <f t="shared" si="1"/>
        <v/>
      </c>
      <c r="P2452" s="143" t="str">
        <f>IF(ISNA(VLOOKUP(CONCAT(M2452,C2452), 'Judge Count DO NOT EDIT'!H:H, 1, FALSE)), "ERROR","")</f>
        <v>ERROR</v>
      </c>
      <c r="Q2452" s="141"/>
      <c r="R2452" s="143"/>
      <c r="S2452" s="139"/>
      <c r="T2452" s="141"/>
    </row>
    <row r="2453">
      <c r="A2453" s="138"/>
      <c r="B2453" s="138"/>
      <c r="C2453" s="138"/>
      <c r="D2453" s="139"/>
      <c r="E2453" s="138"/>
      <c r="F2453" s="138"/>
      <c r="G2453" s="138"/>
      <c r="H2453" s="138"/>
      <c r="I2453" s="138"/>
      <c r="J2453" s="138"/>
      <c r="K2453" s="138"/>
      <c r="L2453" s="138">
        <v>0.0</v>
      </c>
      <c r="M2453" s="140" t="str">
        <f>VLOOKUP(text(D2453, "#"),'Master Table'!$A:$F, 6, FALSE)</f>
        <v>#N/A</v>
      </c>
      <c r="N2453" s="141"/>
      <c r="O2453" s="142" t="str">
        <f t="shared" si="1"/>
        <v/>
      </c>
      <c r="P2453" s="143" t="str">
        <f>IF(ISNA(VLOOKUP(CONCAT(M2453,C2453), 'Judge Count DO NOT EDIT'!H:H, 1, FALSE)), "ERROR","")</f>
        <v>ERROR</v>
      </c>
      <c r="Q2453" s="141"/>
      <c r="R2453" s="143"/>
      <c r="S2453" s="139"/>
      <c r="T2453" s="141"/>
    </row>
    <row r="2454">
      <c r="A2454" s="138"/>
      <c r="B2454" s="138"/>
      <c r="C2454" s="138"/>
      <c r="D2454" s="139"/>
      <c r="E2454" s="138"/>
      <c r="F2454" s="138"/>
      <c r="G2454" s="138"/>
      <c r="H2454" s="138"/>
      <c r="I2454" s="138"/>
      <c r="J2454" s="138"/>
      <c r="K2454" s="138"/>
      <c r="L2454" s="138">
        <v>0.0</v>
      </c>
      <c r="M2454" s="140" t="str">
        <f>VLOOKUP(text(D2454, "#"),'Master Table'!$A:$F, 6, FALSE)</f>
        <v>#N/A</v>
      </c>
      <c r="N2454" s="141"/>
      <c r="O2454" s="142" t="str">
        <f t="shared" si="1"/>
        <v/>
      </c>
      <c r="P2454" s="143" t="str">
        <f>IF(ISNA(VLOOKUP(CONCAT(M2454,C2454), 'Judge Count DO NOT EDIT'!H:H, 1, FALSE)), "ERROR","")</f>
        <v>ERROR</v>
      </c>
      <c r="Q2454" s="141"/>
      <c r="R2454" s="143"/>
      <c r="S2454" s="139"/>
      <c r="T2454" s="141"/>
    </row>
    <row r="2455">
      <c r="A2455" s="138"/>
      <c r="B2455" s="138"/>
      <c r="C2455" s="138"/>
      <c r="D2455" s="139"/>
      <c r="E2455" s="138"/>
      <c r="F2455" s="138"/>
      <c r="G2455" s="138"/>
      <c r="H2455" s="138"/>
      <c r="I2455" s="138"/>
      <c r="J2455" s="138"/>
      <c r="K2455" s="138"/>
      <c r="L2455" s="138">
        <v>0.0</v>
      </c>
      <c r="M2455" s="140" t="str">
        <f>VLOOKUP(text(D2455, "#"),'Master Table'!$A:$F, 6, FALSE)</f>
        <v>#N/A</v>
      </c>
      <c r="N2455" s="141"/>
      <c r="O2455" s="142" t="str">
        <f t="shared" si="1"/>
        <v/>
      </c>
      <c r="P2455" s="143" t="str">
        <f>IF(ISNA(VLOOKUP(CONCAT(M2455,C2455), 'Judge Count DO NOT EDIT'!H:H, 1, FALSE)), "ERROR","")</f>
        <v>ERROR</v>
      </c>
      <c r="Q2455" s="141"/>
      <c r="R2455" s="143"/>
      <c r="S2455" s="139"/>
      <c r="T2455" s="141"/>
    </row>
    <row r="2456">
      <c r="A2456" s="138"/>
      <c r="B2456" s="138"/>
      <c r="C2456" s="138"/>
      <c r="D2456" s="139"/>
      <c r="E2456" s="138"/>
      <c r="F2456" s="138"/>
      <c r="G2456" s="138"/>
      <c r="H2456" s="138"/>
      <c r="I2456" s="138"/>
      <c r="J2456" s="138"/>
      <c r="K2456" s="138"/>
      <c r="L2456" s="138">
        <v>0.0</v>
      </c>
      <c r="M2456" s="140" t="str">
        <f>VLOOKUP(text(D2456, "#"),'Master Table'!$A:$F, 6, FALSE)</f>
        <v>#N/A</v>
      </c>
      <c r="N2456" s="141"/>
      <c r="O2456" s="142" t="str">
        <f t="shared" si="1"/>
        <v/>
      </c>
      <c r="P2456" s="143" t="str">
        <f>IF(ISNA(VLOOKUP(CONCAT(M2456,C2456), 'Judge Count DO NOT EDIT'!H:H, 1, FALSE)), "ERROR","")</f>
        <v>ERROR</v>
      </c>
      <c r="Q2456" s="141"/>
      <c r="R2456" s="143"/>
      <c r="S2456" s="139"/>
      <c r="T2456" s="141"/>
    </row>
    <row r="2457">
      <c r="A2457" s="138"/>
      <c r="B2457" s="138"/>
      <c r="C2457" s="138"/>
      <c r="D2457" s="139"/>
      <c r="E2457" s="138"/>
      <c r="F2457" s="138"/>
      <c r="G2457" s="138"/>
      <c r="H2457" s="138"/>
      <c r="I2457" s="138"/>
      <c r="J2457" s="138"/>
      <c r="K2457" s="138"/>
      <c r="L2457" s="138">
        <v>0.0</v>
      </c>
      <c r="M2457" s="140" t="str">
        <f>VLOOKUP(text(D2457, "#"),'Master Table'!$A:$F, 6, FALSE)</f>
        <v>#N/A</v>
      </c>
      <c r="N2457" s="141"/>
      <c r="O2457" s="142" t="str">
        <f t="shared" si="1"/>
        <v/>
      </c>
      <c r="P2457" s="143" t="str">
        <f>IF(ISNA(VLOOKUP(CONCAT(M2457,C2457), 'Judge Count DO NOT EDIT'!H:H, 1, FALSE)), "ERROR","")</f>
        <v>ERROR</v>
      </c>
      <c r="Q2457" s="141"/>
      <c r="R2457" s="143"/>
      <c r="S2457" s="139"/>
      <c r="T2457" s="141"/>
    </row>
    <row r="2458">
      <c r="A2458" s="138"/>
      <c r="B2458" s="138"/>
      <c r="C2458" s="138"/>
      <c r="D2458" s="139"/>
      <c r="E2458" s="138"/>
      <c r="F2458" s="138"/>
      <c r="G2458" s="138"/>
      <c r="H2458" s="138"/>
      <c r="I2458" s="138"/>
      <c r="J2458" s="138"/>
      <c r="K2458" s="138"/>
      <c r="L2458" s="138">
        <v>0.0</v>
      </c>
      <c r="M2458" s="140" t="str">
        <f>VLOOKUP(text(D2458, "#"),'Master Table'!$A:$F, 6, FALSE)</f>
        <v>#N/A</v>
      </c>
      <c r="N2458" s="141"/>
      <c r="O2458" s="142" t="str">
        <f t="shared" si="1"/>
        <v/>
      </c>
      <c r="P2458" s="143" t="str">
        <f>IF(ISNA(VLOOKUP(CONCAT(M2458,C2458), 'Judge Count DO NOT EDIT'!H:H, 1, FALSE)), "ERROR","")</f>
        <v>ERROR</v>
      </c>
      <c r="Q2458" s="141"/>
      <c r="R2458" s="143"/>
      <c r="S2458" s="139"/>
      <c r="T2458" s="141"/>
    </row>
    <row r="2459">
      <c r="A2459" s="138"/>
      <c r="B2459" s="138"/>
      <c r="C2459" s="138"/>
      <c r="D2459" s="139"/>
      <c r="E2459" s="138"/>
      <c r="F2459" s="138"/>
      <c r="G2459" s="138"/>
      <c r="H2459" s="138"/>
      <c r="I2459" s="138"/>
      <c r="J2459" s="138"/>
      <c r="K2459" s="138"/>
      <c r="L2459" s="138">
        <v>0.0</v>
      </c>
      <c r="M2459" s="140" t="str">
        <f>VLOOKUP(text(D2459, "#"),'Master Table'!$A:$F, 6, FALSE)</f>
        <v>#N/A</v>
      </c>
      <c r="N2459" s="141"/>
      <c r="O2459" s="142" t="str">
        <f t="shared" si="1"/>
        <v/>
      </c>
      <c r="P2459" s="143" t="str">
        <f>IF(ISNA(VLOOKUP(CONCAT(M2459,C2459), 'Judge Count DO NOT EDIT'!H:H, 1, FALSE)), "ERROR","")</f>
        <v>ERROR</v>
      </c>
      <c r="Q2459" s="141"/>
      <c r="R2459" s="143"/>
      <c r="S2459" s="139"/>
      <c r="T2459" s="141"/>
    </row>
    <row r="2460">
      <c r="A2460" s="138"/>
      <c r="B2460" s="138"/>
      <c r="C2460" s="138"/>
      <c r="D2460" s="139"/>
      <c r="E2460" s="138"/>
      <c r="F2460" s="138"/>
      <c r="G2460" s="138"/>
      <c r="H2460" s="138"/>
      <c r="I2460" s="138"/>
      <c r="J2460" s="138"/>
      <c r="K2460" s="138"/>
      <c r="L2460" s="138">
        <v>0.0</v>
      </c>
      <c r="M2460" s="140" t="str">
        <f>VLOOKUP(text(D2460, "#"),'Master Table'!$A:$F, 6, FALSE)</f>
        <v>#N/A</v>
      </c>
      <c r="N2460" s="141"/>
      <c r="O2460" s="142" t="str">
        <f t="shared" si="1"/>
        <v/>
      </c>
      <c r="P2460" s="143" t="str">
        <f>IF(ISNA(VLOOKUP(CONCAT(M2460,C2460), 'Judge Count DO NOT EDIT'!H:H, 1, FALSE)), "ERROR","")</f>
        <v>ERROR</v>
      </c>
      <c r="Q2460" s="141"/>
      <c r="R2460" s="143"/>
      <c r="S2460" s="139"/>
      <c r="T2460" s="141"/>
    </row>
    <row r="2461">
      <c r="A2461" s="138"/>
      <c r="B2461" s="138"/>
      <c r="C2461" s="138"/>
      <c r="D2461" s="139"/>
      <c r="E2461" s="138"/>
      <c r="F2461" s="138"/>
      <c r="G2461" s="138"/>
      <c r="H2461" s="138"/>
      <c r="I2461" s="138"/>
      <c r="J2461" s="138"/>
      <c r="K2461" s="138"/>
      <c r="L2461" s="138">
        <v>0.0</v>
      </c>
      <c r="M2461" s="140" t="str">
        <f>VLOOKUP(text(D2461, "#"),'Master Table'!$A:$F, 6, FALSE)</f>
        <v>#N/A</v>
      </c>
      <c r="N2461" s="141"/>
      <c r="O2461" s="142" t="str">
        <f t="shared" si="1"/>
        <v/>
      </c>
      <c r="P2461" s="143" t="str">
        <f>IF(ISNA(VLOOKUP(CONCAT(M2461,C2461), 'Judge Count DO NOT EDIT'!H:H, 1, FALSE)), "ERROR","")</f>
        <v>ERROR</v>
      </c>
      <c r="Q2461" s="141"/>
      <c r="R2461" s="143"/>
      <c r="S2461" s="139"/>
      <c r="T2461" s="141"/>
    </row>
    <row r="2462">
      <c r="A2462" s="138"/>
      <c r="B2462" s="138"/>
      <c r="C2462" s="138"/>
      <c r="D2462" s="139"/>
      <c r="E2462" s="138"/>
      <c r="F2462" s="138"/>
      <c r="G2462" s="138"/>
      <c r="H2462" s="138"/>
      <c r="I2462" s="138"/>
      <c r="J2462" s="138"/>
      <c r="K2462" s="138"/>
      <c r="L2462" s="138">
        <v>0.0</v>
      </c>
      <c r="M2462" s="140" t="str">
        <f>VLOOKUP(text(D2462, "#"),'Master Table'!$A:$F, 6, FALSE)</f>
        <v>#N/A</v>
      </c>
      <c r="N2462" s="141"/>
      <c r="O2462" s="142" t="str">
        <f t="shared" si="1"/>
        <v/>
      </c>
      <c r="P2462" s="143" t="str">
        <f>IF(ISNA(VLOOKUP(CONCAT(M2462,C2462), 'Judge Count DO NOT EDIT'!H:H, 1, FALSE)), "ERROR","")</f>
        <v>ERROR</v>
      </c>
      <c r="Q2462" s="141"/>
      <c r="R2462" s="143"/>
      <c r="S2462" s="139"/>
      <c r="T2462" s="141"/>
    </row>
    <row r="2463">
      <c r="A2463" s="138"/>
      <c r="B2463" s="138"/>
      <c r="C2463" s="138"/>
      <c r="D2463" s="139"/>
      <c r="E2463" s="138"/>
      <c r="F2463" s="138"/>
      <c r="G2463" s="138"/>
      <c r="H2463" s="138"/>
      <c r="I2463" s="138"/>
      <c r="J2463" s="138"/>
      <c r="K2463" s="138"/>
      <c r="L2463" s="138">
        <v>0.0</v>
      </c>
      <c r="M2463" s="140" t="str">
        <f>VLOOKUP(text(D2463, "#"),'Master Table'!$A:$F, 6, FALSE)</f>
        <v>#N/A</v>
      </c>
      <c r="N2463" s="141"/>
      <c r="O2463" s="142" t="str">
        <f t="shared" si="1"/>
        <v/>
      </c>
      <c r="P2463" s="143" t="str">
        <f>IF(ISNA(VLOOKUP(CONCAT(M2463,C2463), 'Judge Count DO NOT EDIT'!H:H, 1, FALSE)), "ERROR","")</f>
        <v>ERROR</v>
      </c>
      <c r="Q2463" s="141"/>
      <c r="R2463" s="143"/>
      <c r="S2463" s="139"/>
      <c r="T2463" s="141"/>
    </row>
    <row r="2464">
      <c r="A2464" s="138"/>
      <c r="B2464" s="138"/>
      <c r="C2464" s="138"/>
      <c r="D2464" s="139"/>
      <c r="E2464" s="138"/>
      <c r="F2464" s="138"/>
      <c r="G2464" s="138"/>
      <c r="H2464" s="138"/>
      <c r="I2464" s="138"/>
      <c r="J2464" s="138"/>
      <c r="K2464" s="138"/>
      <c r="L2464" s="138">
        <v>0.0</v>
      </c>
      <c r="M2464" s="140" t="str">
        <f>VLOOKUP(text(D2464, "#"),'Master Table'!$A:$F, 6, FALSE)</f>
        <v>#N/A</v>
      </c>
      <c r="N2464" s="141"/>
      <c r="O2464" s="142" t="str">
        <f t="shared" si="1"/>
        <v/>
      </c>
      <c r="P2464" s="143" t="str">
        <f>IF(ISNA(VLOOKUP(CONCAT(M2464,C2464), 'Judge Count DO NOT EDIT'!H:H, 1, FALSE)), "ERROR","")</f>
        <v>ERROR</v>
      </c>
      <c r="Q2464" s="141"/>
      <c r="R2464" s="143"/>
      <c r="S2464" s="139"/>
      <c r="T2464" s="141"/>
    </row>
    <row r="2465">
      <c r="A2465" s="138"/>
      <c r="B2465" s="138"/>
      <c r="C2465" s="138"/>
      <c r="D2465" s="139"/>
      <c r="E2465" s="138"/>
      <c r="F2465" s="138"/>
      <c r="G2465" s="138"/>
      <c r="H2465" s="138"/>
      <c r="I2465" s="138"/>
      <c r="J2465" s="138"/>
      <c r="K2465" s="138"/>
      <c r="L2465" s="138">
        <v>0.0</v>
      </c>
      <c r="M2465" s="140" t="str">
        <f>VLOOKUP(text(D2465, "#"),'Master Table'!$A:$F, 6, FALSE)</f>
        <v>#N/A</v>
      </c>
      <c r="N2465" s="141"/>
      <c r="O2465" s="142" t="str">
        <f t="shared" si="1"/>
        <v/>
      </c>
      <c r="P2465" s="143" t="str">
        <f>IF(ISNA(VLOOKUP(CONCAT(M2465,C2465), 'Judge Count DO NOT EDIT'!H:H, 1, FALSE)), "ERROR","")</f>
        <v>ERROR</v>
      </c>
      <c r="Q2465" s="141"/>
      <c r="R2465" s="143"/>
      <c r="S2465" s="139"/>
      <c r="T2465" s="141"/>
    </row>
    <row r="2466">
      <c r="A2466" s="138"/>
      <c r="B2466" s="138"/>
      <c r="C2466" s="138"/>
      <c r="D2466" s="139"/>
      <c r="E2466" s="138"/>
      <c r="F2466" s="138"/>
      <c r="G2466" s="138"/>
      <c r="H2466" s="138"/>
      <c r="I2466" s="138"/>
      <c r="J2466" s="138"/>
      <c r="K2466" s="138"/>
      <c r="L2466" s="138">
        <v>0.0</v>
      </c>
      <c r="M2466" s="140" t="str">
        <f>VLOOKUP(text(D2466, "#"),'Master Table'!$A:$F, 6, FALSE)</f>
        <v>#N/A</v>
      </c>
      <c r="N2466" s="141"/>
      <c r="O2466" s="142" t="str">
        <f t="shared" si="1"/>
        <v/>
      </c>
      <c r="P2466" s="143" t="str">
        <f>IF(ISNA(VLOOKUP(CONCAT(M2466,C2466), 'Judge Count DO NOT EDIT'!H:H, 1, FALSE)), "ERROR","")</f>
        <v>ERROR</v>
      </c>
      <c r="Q2466" s="141"/>
      <c r="R2466" s="143"/>
      <c r="S2466" s="139"/>
      <c r="T2466" s="141"/>
    </row>
    <row r="2467">
      <c r="A2467" s="138"/>
      <c r="B2467" s="138"/>
      <c r="C2467" s="138"/>
      <c r="D2467" s="139"/>
      <c r="E2467" s="138"/>
      <c r="F2467" s="138"/>
      <c r="G2467" s="138"/>
      <c r="H2467" s="138"/>
      <c r="I2467" s="138"/>
      <c r="J2467" s="138"/>
      <c r="K2467" s="138"/>
      <c r="L2467" s="138">
        <v>0.0</v>
      </c>
      <c r="M2467" s="140" t="str">
        <f>VLOOKUP(text(D2467, "#"),'Master Table'!$A:$F, 6, FALSE)</f>
        <v>#N/A</v>
      </c>
      <c r="N2467" s="141"/>
      <c r="O2467" s="142" t="str">
        <f t="shared" si="1"/>
        <v/>
      </c>
      <c r="P2467" s="143" t="str">
        <f>IF(ISNA(VLOOKUP(CONCAT(M2467,C2467), 'Judge Count DO NOT EDIT'!H:H, 1, FALSE)), "ERROR","")</f>
        <v>ERROR</v>
      </c>
      <c r="Q2467" s="141"/>
      <c r="R2467" s="143"/>
      <c r="S2467" s="139"/>
      <c r="T2467" s="141"/>
    </row>
    <row r="2468">
      <c r="A2468" s="138"/>
      <c r="B2468" s="138"/>
      <c r="C2468" s="138"/>
      <c r="D2468" s="139"/>
      <c r="E2468" s="138"/>
      <c r="F2468" s="138"/>
      <c r="G2468" s="138"/>
      <c r="H2468" s="138"/>
      <c r="I2468" s="138"/>
      <c r="J2468" s="138"/>
      <c r="K2468" s="138"/>
      <c r="L2468" s="138">
        <v>0.0</v>
      </c>
      <c r="M2468" s="140" t="str">
        <f>VLOOKUP(text(D2468, "#"),'Master Table'!$A:$F, 6, FALSE)</f>
        <v>#N/A</v>
      </c>
      <c r="N2468" s="141"/>
      <c r="O2468" s="142" t="str">
        <f t="shared" si="1"/>
        <v/>
      </c>
      <c r="P2468" s="143" t="str">
        <f>IF(ISNA(VLOOKUP(CONCAT(M2468,C2468), 'Judge Count DO NOT EDIT'!H:H, 1, FALSE)), "ERROR","")</f>
        <v>ERROR</v>
      </c>
      <c r="Q2468" s="141"/>
      <c r="R2468" s="143"/>
      <c r="S2468" s="139"/>
      <c r="T2468" s="141"/>
    </row>
    <row r="2469">
      <c r="A2469" s="138"/>
      <c r="B2469" s="138"/>
      <c r="C2469" s="138"/>
      <c r="D2469" s="139"/>
      <c r="E2469" s="138"/>
      <c r="F2469" s="138"/>
      <c r="G2469" s="138"/>
      <c r="H2469" s="138"/>
      <c r="I2469" s="138"/>
      <c r="J2469" s="138"/>
      <c r="K2469" s="138"/>
      <c r="L2469" s="138">
        <v>0.0</v>
      </c>
      <c r="M2469" s="140" t="str">
        <f>VLOOKUP(text(D2469, "#"),'Master Table'!$A:$F, 6, FALSE)</f>
        <v>#N/A</v>
      </c>
      <c r="N2469" s="141"/>
      <c r="O2469" s="142" t="str">
        <f t="shared" si="1"/>
        <v/>
      </c>
      <c r="P2469" s="143" t="str">
        <f>IF(ISNA(VLOOKUP(CONCAT(M2469,C2469), 'Judge Count DO NOT EDIT'!H:H, 1, FALSE)), "ERROR","")</f>
        <v>ERROR</v>
      </c>
      <c r="Q2469" s="141"/>
      <c r="R2469" s="143"/>
      <c r="S2469" s="139"/>
      <c r="T2469" s="141"/>
    </row>
    <row r="2470">
      <c r="A2470" s="138"/>
      <c r="B2470" s="138"/>
      <c r="C2470" s="138"/>
      <c r="D2470" s="139"/>
      <c r="E2470" s="138"/>
      <c r="F2470" s="138"/>
      <c r="G2470" s="138"/>
      <c r="H2470" s="138"/>
      <c r="I2470" s="138"/>
      <c r="J2470" s="138"/>
      <c r="K2470" s="138"/>
      <c r="L2470" s="138">
        <v>0.0</v>
      </c>
      <c r="M2470" s="140" t="str">
        <f>VLOOKUP(text(D2470, "#"),'Master Table'!$A:$F, 6, FALSE)</f>
        <v>#N/A</v>
      </c>
      <c r="N2470" s="141"/>
      <c r="O2470" s="142" t="str">
        <f t="shared" si="1"/>
        <v/>
      </c>
      <c r="P2470" s="143" t="str">
        <f>IF(ISNA(VLOOKUP(CONCAT(M2470,C2470), 'Judge Count DO NOT EDIT'!H:H, 1, FALSE)), "ERROR","")</f>
        <v>ERROR</v>
      </c>
      <c r="Q2470" s="141"/>
      <c r="R2470" s="143"/>
      <c r="S2470" s="139"/>
      <c r="T2470" s="141"/>
    </row>
    <row r="2471">
      <c r="A2471" s="138"/>
      <c r="B2471" s="138"/>
      <c r="C2471" s="138"/>
      <c r="D2471" s="139"/>
      <c r="E2471" s="138"/>
      <c r="F2471" s="138"/>
      <c r="G2471" s="138"/>
      <c r="H2471" s="138"/>
      <c r="I2471" s="138"/>
      <c r="J2471" s="138"/>
      <c r="K2471" s="138"/>
      <c r="L2471" s="138">
        <v>0.0</v>
      </c>
      <c r="M2471" s="140" t="str">
        <f>VLOOKUP(text(D2471, "#"),'Master Table'!$A:$F, 6, FALSE)</f>
        <v>#N/A</v>
      </c>
      <c r="N2471" s="141"/>
      <c r="O2471" s="142" t="str">
        <f t="shared" si="1"/>
        <v/>
      </c>
      <c r="P2471" s="143" t="str">
        <f>IF(ISNA(VLOOKUP(CONCAT(M2471,C2471), 'Judge Count DO NOT EDIT'!H:H, 1, FALSE)), "ERROR","")</f>
        <v>ERROR</v>
      </c>
      <c r="Q2471" s="141"/>
      <c r="R2471" s="143"/>
      <c r="S2471" s="139"/>
      <c r="T2471" s="141"/>
    </row>
    <row r="2472">
      <c r="A2472" s="138"/>
      <c r="B2472" s="138"/>
      <c r="C2472" s="138"/>
      <c r="D2472" s="139"/>
      <c r="E2472" s="138"/>
      <c r="F2472" s="138"/>
      <c r="G2472" s="138"/>
      <c r="H2472" s="138"/>
      <c r="I2472" s="138"/>
      <c r="J2472" s="138"/>
      <c r="K2472" s="138"/>
      <c r="L2472" s="138">
        <v>0.0</v>
      </c>
      <c r="M2472" s="140" t="str">
        <f>VLOOKUP(text(D2472, "#"),'Master Table'!$A:$F, 6, FALSE)</f>
        <v>#N/A</v>
      </c>
      <c r="N2472" s="141"/>
      <c r="O2472" s="142" t="str">
        <f t="shared" si="1"/>
        <v/>
      </c>
      <c r="P2472" s="143" t="str">
        <f>IF(ISNA(VLOOKUP(CONCAT(M2472,C2472), 'Judge Count DO NOT EDIT'!H:H, 1, FALSE)), "ERROR","")</f>
        <v>ERROR</v>
      </c>
      <c r="Q2472" s="141"/>
      <c r="R2472" s="143"/>
      <c r="S2472" s="139"/>
      <c r="T2472" s="141"/>
    </row>
    <row r="2473">
      <c r="A2473" s="138"/>
      <c r="B2473" s="138"/>
      <c r="C2473" s="138"/>
      <c r="D2473" s="139"/>
      <c r="E2473" s="138"/>
      <c r="F2473" s="138"/>
      <c r="G2473" s="138"/>
      <c r="H2473" s="138"/>
      <c r="I2473" s="138"/>
      <c r="J2473" s="138"/>
      <c r="K2473" s="138"/>
      <c r="L2473" s="138">
        <v>0.0</v>
      </c>
      <c r="M2473" s="140" t="str">
        <f>VLOOKUP(text(D2473, "#"),'Master Table'!$A:$F, 6, FALSE)</f>
        <v>#N/A</v>
      </c>
      <c r="N2473" s="141"/>
      <c r="O2473" s="142" t="str">
        <f t="shared" si="1"/>
        <v/>
      </c>
      <c r="P2473" s="143" t="str">
        <f>IF(ISNA(VLOOKUP(CONCAT(M2473,C2473), 'Judge Count DO NOT EDIT'!H:H, 1, FALSE)), "ERROR","")</f>
        <v>ERROR</v>
      </c>
      <c r="Q2473" s="141"/>
      <c r="R2473" s="143"/>
      <c r="S2473" s="139"/>
      <c r="T2473" s="141"/>
    </row>
    <row r="2474">
      <c r="A2474" s="138"/>
      <c r="B2474" s="138"/>
      <c r="C2474" s="138"/>
      <c r="D2474" s="139"/>
      <c r="E2474" s="138"/>
      <c r="F2474" s="138"/>
      <c r="G2474" s="138"/>
      <c r="H2474" s="138"/>
      <c r="I2474" s="138"/>
      <c r="J2474" s="138"/>
      <c r="K2474" s="138"/>
      <c r="L2474" s="138">
        <v>0.0</v>
      </c>
      <c r="M2474" s="140" t="str">
        <f>VLOOKUP(text(D2474, "#"),'Master Table'!$A:$F, 6, FALSE)</f>
        <v>#N/A</v>
      </c>
      <c r="N2474" s="141"/>
      <c r="O2474" s="142" t="str">
        <f t="shared" si="1"/>
        <v/>
      </c>
      <c r="P2474" s="143" t="str">
        <f>IF(ISNA(VLOOKUP(CONCAT(M2474,C2474), 'Judge Count DO NOT EDIT'!H:H, 1, FALSE)), "ERROR","")</f>
        <v>ERROR</v>
      </c>
      <c r="Q2474" s="141"/>
      <c r="R2474" s="143"/>
      <c r="S2474" s="139"/>
      <c r="T2474" s="141"/>
    </row>
    <row r="2475">
      <c r="A2475" s="138"/>
      <c r="B2475" s="138"/>
      <c r="C2475" s="138"/>
      <c r="D2475" s="139"/>
      <c r="E2475" s="138"/>
      <c r="F2475" s="138"/>
      <c r="G2475" s="138"/>
      <c r="H2475" s="138"/>
      <c r="I2475" s="138"/>
      <c r="J2475" s="138"/>
      <c r="K2475" s="138"/>
      <c r="L2475" s="138">
        <v>0.0</v>
      </c>
      <c r="M2475" s="140" t="str">
        <f>VLOOKUP(text(D2475, "#"),'Master Table'!$A:$F, 6, FALSE)</f>
        <v>#N/A</v>
      </c>
      <c r="N2475" s="141"/>
      <c r="O2475" s="142" t="str">
        <f t="shared" si="1"/>
        <v/>
      </c>
      <c r="P2475" s="143" t="str">
        <f>IF(ISNA(VLOOKUP(CONCAT(M2475,C2475), 'Judge Count DO NOT EDIT'!H:H, 1, FALSE)), "ERROR","")</f>
        <v>ERROR</v>
      </c>
      <c r="Q2475" s="141"/>
      <c r="R2475" s="143"/>
      <c r="S2475" s="139"/>
      <c r="T2475" s="141"/>
    </row>
    <row r="2476">
      <c r="A2476" s="138"/>
      <c r="B2476" s="138"/>
      <c r="C2476" s="138"/>
      <c r="D2476" s="139"/>
      <c r="E2476" s="138"/>
      <c r="F2476" s="138"/>
      <c r="G2476" s="138"/>
      <c r="H2476" s="138"/>
      <c r="I2476" s="138"/>
      <c r="J2476" s="138"/>
      <c r="K2476" s="138"/>
      <c r="L2476" s="138">
        <v>0.0</v>
      </c>
      <c r="M2476" s="140" t="str">
        <f>VLOOKUP(text(D2476, "#"),'Master Table'!$A:$F, 6, FALSE)</f>
        <v>#N/A</v>
      </c>
      <c r="N2476" s="141"/>
      <c r="O2476" s="142" t="str">
        <f t="shared" si="1"/>
        <v/>
      </c>
      <c r="P2476" s="143" t="str">
        <f>IF(ISNA(VLOOKUP(CONCAT(M2476,C2476), 'Judge Count DO NOT EDIT'!H:H, 1, FALSE)), "ERROR","")</f>
        <v>ERROR</v>
      </c>
      <c r="Q2476" s="141"/>
      <c r="R2476" s="143"/>
      <c r="S2476" s="139"/>
      <c r="T2476" s="141"/>
    </row>
    <row r="2477">
      <c r="A2477" s="138"/>
      <c r="B2477" s="138"/>
      <c r="C2477" s="138"/>
      <c r="D2477" s="139"/>
      <c r="E2477" s="138"/>
      <c r="F2477" s="138"/>
      <c r="G2477" s="138"/>
      <c r="H2477" s="138"/>
      <c r="I2477" s="138"/>
      <c r="J2477" s="138"/>
      <c r="K2477" s="138"/>
      <c r="L2477" s="138">
        <v>0.0</v>
      </c>
      <c r="M2477" s="140" t="str">
        <f>VLOOKUP(text(D2477, "#"),'Master Table'!$A:$F, 6, FALSE)</f>
        <v>#N/A</v>
      </c>
      <c r="N2477" s="141"/>
      <c r="O2477" s="142" t="str">
        <f t="shared" si="1"/>
        <v/>
      </c>
      <c r="P2477" s="143" t="str">
        <f>IF(ISNA(VLOOKUP(CONCAT(M2477,C2477), 'Judge Count DO NOT EDIT'!H:H, 1, FALSE)), "ERROR","")</f>
        <v>ERROR</v>
      </c>
      <c r="Q2477" s="141"/>
      <c r="R2477" s="143"/>
      <c r="S2477" s="139"/>
      <c r="T2477" s="141"/>
    </row>
    <row r="2478">
      <c r="A2478" s="138"/>
      <c r="B2478" s="138"/>
      <c r="C2478" s="138"/>
      <c r="D2478" s="139"/>
      <c r="E2478" s="138"/>
      <c r="F2478" s="138"/>
      <c r="G2478" s="138"/>
      <c r="H2478" s="138"/>
      <c r="I2478" s="138"/>
      <c r="J2478" s="138"/>
      <c r="K2478" s="138"/>
      <c r="L2478" s="138">
        <v>0.0</v>
      </c>
      <c r="M2478" s="140" t="str">
        <f>VLOOKUP(text(D2478, "#"),'Master Table'!$A:$F, 6, FALSE)</f>
        <v>#N/A</v>
      </c>
      <c r="N2478" s="141"/>
      <c r="O2478" s="142" t="str">
        <f t="shared" si="1"/>
        <v/>
      </c>
      <c r="P2478" s="143" t="str">
        <f>IF(ISNA(VLOOKUP(CONCAT(M2478,C2478), 'Judge Count DO NOT EDIT'!H:H, 1, FALSE)), "ERROR","")</f>
        <v>ERROR</v>
      </c>
      <c r="Q2478" s="141"/>
      <c r="R2478" s="143"/>
      <c r="S2478" s="139"/>
      <c r="T2478" s="141"/>
    </row>
    <row r="2479">
      <c r="A2479" s="138"/>
      <c r="B2479" s="138"/>
      <c r="C2479" s="138"/>
      <c r="D2479" s="139"/>
      <c r="E2479" s="138"/>
      <c r="F2479" s="138"/>
      <c r="G2479" s="138"/>
      <c r="H2479" s="138"/>
      <c r="I2479" s="138"/>
      <c r="J2479" s="138"/>
      <c r="K2479" s="138"/>
      <c r="L2479" s="138">
        <v>0.0</v>
      </c>
      <c r="M2479" s="140" t="str">
        <f>VLOOKUP(text(D2479, "#"),'Master Table'!$A:$F, 6, FALSE)</f>
        <v>#N/A</v>
      </c>
      <c r="N2479" s="141"/>
      <c r="O2479" s="142" t="str">
        <f t="shared" si="1"/>
        <v/>
      </c>
      <c r="P2479" s="143" t="str">
        <f>IF(ISNA(VLOOKUP(CONCAT(M2479,C2479), 'Judge Count DO NOT EDIT'!H:H, 1, FALSE)), "ERROR","")</f>
        <v>ERROR</v>
      </c>
      <c r="Q2479" s="141"/>
      <c r="R2479" s="143"/>
      <c r="S2479" s="139"/>
      <c r="T2479" s="141"/>
    </row>
    <row r="2480">
      <c r="A2480" s="138"/>
      <c r="B2480" s="138"/>
      <c r="C2480" s="138"/>
      <c r="D2480" s="139"/>
      <c r="E2480" s="138"/>
      <c r="F2480" s="138"/>
      <c r="G2480" s="138"/>
      <c r="H2480" s="138"/>
      <c r="I2480" s="138"/>
      <c r="J2480" s="138"/>
      <c r="K2480" s="138"/>
      <c r="L2480" s="138">
        <v>0.0</v>
      </c>
      <c r="M2480" s="140" t="str">
        <f>VLOOKUP(text(D2480, "#"),'Master Table'!$A:$F, 6, FALSE)</f>
        <v>#N/A</v>
      </c>
      <c r="N2480" s="141"/>
      <c r="O2480" s="142" t="str">
        <f t="shared" si="1"/>
        <v/>
      </c>
      <c r="P2480" s="143" t="str">
        <f>IF(ISNA(VLOOKUP(CONCAT(M2480,C2480), 'Judge Count DO NOT EDIT'!H:H, 1, FALSE)), "ERROR","")</f>
        <v>ERROR</v>
      </c>
      <c r="Q2480" s="141"/>
      <c r="R2480" s="143"/>
      <c r="S2480" s="139"/>
      <c r="T2480" s="141"/>
    </row>
    <row r="2481">
      <c r="A2481" s="138"/>
      <c r="B2481" s="138"/>
      <c r="C2481" s="138"/>
      <c r="D2481" s="139"/>
      <c r="E2481" s="138"/>
      <c r="F2481" s="138"/>
      <c r="G2481" s="138"/>
      <c r="H2481" s="138"/>
      <c r="I2481" s="138"/>
      <c r="J2481" s="138"/>
      <c r="K2481" s="138"/>
      <c r="L2481" s="138">
        <v>0.0</v>
      </c>
      <c r="M2481" s="140" t="str">
        <f>VLOOKUP(text(D2481, "#"),'Master Table'!$A:$F, 6, FALSE)</f>
        <v>#N/A</v>
      </c>
      <c r="N2481" s="141"/>
      <c r="O2481" s="142" t="str">
        <f t="shared" si="1"/>
        <v/>
      </c>
      <c r="P2481" s="143" t="str">
        <f>IF(ISNA(VLOOKUP(CONCAT(M2481,C2481), 'Judge Count DO NOT EDIT'!H:H, 1, FALSE)), "ERROR","")</f>
        <v>ERROR</v>
      </c>
      <c r="Q2481" s="141"/>
      <c r="R2481" s="143"/>
      <c r="S2481" s="139"/>
      <c r="T2481" s="141"/>
    </row>
    <row r="2482">
      <c r="A2482" s="138"/>
      <c r="B2482" s="138"/>
      <c r="C2482" s="138"/>
      <c r="D2482" s="139"/>
      <c r="E2482" s="138"/>
      <c r="F2482" s="138"/>
      <c r="G2482" s="138"/>
      <c r="H2482" s="138"/>
      <c r="I2482" s="138"/>
      <c r="J2482" s="138"/>
      <c r="K2482" s="138"/>
      <c r="L2482" s="138">
        <v>0.0</v>
      </c>
      <c r="M2482" s="140" t="str">
        <f>VLOOKUP(text(D2482, "#"),'Master Table'!$A:$F, 6, FALSE)</f>
        <v>#N/A</v>
      </c>
      <c r="N2482" s="141"/>
      <c r="O2482" s="142" t="str">
        <f t="shared" si="1"/>
        <v/>
      </c>
      <c r="P2482" s="143" t="str">
        <f>IF(ISNA(VLOOKUP(CONCAT(M2482,C2482), 'Judge Count DO NOT EDIT'!H:H, 1, FALSE)), "ERROR","")</f>
        <v>ERROR</v>
      </c>
      <c r="Q2482" s="141"/>
      <c r="R2482" s="143"/>
      <c r="S2482" s="139"/>
      <c r="T2482" s="141"/>
    </row>
    <row r="2483">
      <c r="A2483" s="138"/>
      <c r="B2483" s="138"/>
      <c r="C2483" s="138"/>
      <c r="D2483" s="139"/>
      <c r="E2483" s="138"/>
      <c r="F2483" s="138"/>
      <c r="G2483" s="138"/>
      <c r="H2483" s="138"/>
      <c r="I2483" s="138"/>
      <c r="J2483" s="138"/>
      <c r="K2483" s="138"/>
      <c r="L2483" s="138">
        <v>0.0</v>
      </c>
      <c r="M2483" s="140" t="str">
        <f>VLOOKUP(text(D2483, "#"),'Master Table'!$A:$F, 6, FALSE)</f>
        <v>#N/A</v>
      </c>
      <c r="N2483" s="141"/>
      <c r="O2483" s="142" t="str">
        <f t="shared" si="1"/>
        <v/>
      </c>
      <c r="P2483" s="143" t="str">
        <f>IF(ISNA(VLOOKUP(CONCAT(M2483,C2483), 'Judge Count DO NOT EDIT'!H:H, 1, FALSE)), "ERROR","")</f>
        <v>ERROR</v>
      </c>
      <c r="Q2483" s="141"/>
      <c r="R2483" s="143"/>
      <c r="S2483" s="139"/>
      <c r="T2483" s="141"/>
    </row>
    <row r="2484">
      <c r="A2484" s="138"/>
      <c r="B2484" s="138"/>
      <c r="C2484" s="138"/>
      <c r="D2484" s="139"/>
      <c r="E2484" s="138"/>
      <c r="F2484" s="138"/>
      <c r="G2484" s="138"/>
      <c r="H2484" s="138"/>
      <c r="I2484" s="138"/>
      <c r="J2484" s="138"/>
      <c r="K2484" s="138"/>
      <c r="L2484" s="138">
        <v>0.0</v>
      </c>
      <c r="M2484" s="140" t="str">
        <f>VLOOKUP(text(D2484, "#"),'Master Table'!$A:$F, 6, FALSE)</f>
        <v>#N/A</v>
      </c>
      <c r="N2484" s="141"/>
      <c r="O2484" s="142" t="str">
        <f t="shared" si="1"/>
        <v/>
      </c>
      <c r="P2484" s="143" t="str">
        <f>IF(ISNA(VLOOKUP(CONCAT(M2484,C2484), 'Judge Count DO NOT EDIT'!H:H, 1, FALSE)), "ERROR","")</f>
        <v>ERROR</v>
      </c>
      <c r="Q2484" s="141"/>
      <c r="R2484" s="143"/>
      <c r="S2484" s="139"/>
      <c r="T2484" s="141"/>
    </row>
    <row r="2485">
      <c r="A2485" s="138"/>
      <c r="B2485" s="138"/>
      <c r="C2485" s="138"/>
      <c r="D2485" s="139"/>
      <c r="E2485" s="138"/>
      <c r="F2485" s="138"/>
      <c r="G2485" s="138"/>
      <c r="H2485" s="138"/>
      <c r="I2485" s="138"/>
      <c r="J2485" s="138"/>
      <c r="K2485" s="138"/>
      <c r="L2485" s="138">
        <v>0.0</v>
      </c>
      <c r="M2485" s="140" t="str">
        <f>VLOOKUP(text(D2485, "#"),'Master Table'!$A:$F, 6, FALSE)</f>
        <v>#N/A</v>
      </c>
      <c r="N2485" s="141"/>
      <c r="O2485" s="142" t="str">
        <f t="shared" si="1"/>
        <v/>
      </c>
      <c r="P2485" s="143" t="str">
        <f>IF(ISNA(VLOOKUP(CONCAT(M2485,C2485), 'Judge Count DO NOT EDIT'!H:H, 1, FALSE)), "ERROR","")</f>
        <v>ERROR</v>
      </c>
      <c r="Q2485" s="141"/>
      <c r="R2485" s="143"/>
      <c r="S2485" s="139"/>
      <c r="T2485" s="141"/>
    </row>
    <row r="2486">
      <c r="A2486" s="138"/>
      <c r="B2486" s="138"/>
      <c r="C2486" s="138"/>
      <c r="D2486" s="139"/>
      <c r="E2486" s="138"/>
      <c r="F2486" s="138"/>
      <c r="G2486" s="138"/>
      <c r="H2486" s="138"/>
      <c r="I2486" s="138"/>
      <c r="J2486" s="138"/>
      <c r="K2486" s="138"/>
      <c r="L2486" s="138">
        <v>0.0</v>
      </c>
      <c r="M2486" s="140" t="str">
        <f>VLOOKUP(text(D2486, "#"),'Master Table'!$A:$F, 6, FALSE)</f>
        <v>#N/A</v>
      </c>
      <c r="N2486" s="141"/>
      <c r="O2486" s="142" t="str">
        <f t="shared" si="1"/>
        <v/>
      </c>
      <c r="P2486" s="143" t="str">
        <f>IF(ISNA(VLOOKUP(CONCAT(M2486,C2486), 'Judge Count DO NOT EDIT'!H:H, 1, FALSE)), "ERROR","")</f>
        <v>ERROR</v>
      </c>
      <c r="Q2486" s="141"/>
      <c r="R2486" s="143"/>
      <c r="S2486" s="139"/>
      <c r="T2486" s="141"/>
    </row>
    <row r="2487">
      <c r="A2487" s="138"/>
      <c r="B2487" s="138"/>
      <c r="C2487" s="138"/>
      <c r="D2487" s="139"/>
      <c r="E2487" s="138"/>
      <c r="F2487" s="138"/>
      <c r="G2487" s="138"/>
      <c r="H2487" s="138"/>
      <c r="I2487" s="138"/>
      <c r="J2487" s="138"/>
      <c r="K2487" s="138"/>
      <c r="L2487" s="138">
        <v>0.0</v>
      </c>
      <c r="M2487" s="140" t="str">
        <f>VLOOKUP(text(D2487, "#"),'Master Table'!$A:$F, 6, FALSE)</f>
        <v>#N/A</v>
      </c>
      <c r="N2487" s="141"/>
      <c r="O2487" s="142" t="str">
        <f t="shared" si="1"/>
        <v/>
      </c>
      <c r="P2487" s="143" t="str">
        <f>IF(ISNA(VLOOKUP(CONCAT(M2487,C2487), 'Judge Count DO NOT EDIT'!H:H, 1, FALSE)), "ERROR","")</f>
        <v>ERROR</v>
      </c>
      <c r="Q2487" s="141"/>
      <c r="R2487" s="143"/>
      <c r="S2487" s="139"/>
      <c r="T2487" s="141"/>
    </row>
    <row r="2488">
      <c r="A2488" s="138"/>
      <c r="B2488" s="138"/>
      <c r="C2488" s="138"/>
      <c r="D2488" s="139"/>
      <c r="E2488" s="138"/>
      <c r="F2488" s="138"/>
      <c r="G2488" s="138"/>
      <c r="H2488" s="138"/>
      <c r="I2488" s="138"/>
      <c r="J2488" s="138"/>
      <c r="K2488" s="138"/>
      <c r="L2488" s="138">
        <v>0.0</v>
      </c>
      <c r="M2488" s="140" t="str">
        <f>VLOOKUP(text(D2488, "#"),'Master Table'!$A:$F, 6, FALSE)</f>
        <v>#N/A</v>
      </c>
      <c r="N2488" s="141"/>
      <c r="O2488" s="142" t="str">
        <f t="shared" si="1"/>
        <v/>
      </c>
      <c r="P2488" s="143" t="str">
        <f>IF(ISNA(VLOOKUP(CONCAT(M2488,C2488), 'Judge Count DO NOT EDIT'!H:H, 1, FALSE)), "ERROR","")</f>
        <v>ERROR</v>
      </c>
      <c r="Q2488" s="141"/>
      <c r="R2488" s="143"/>
      <c r="S2488" s="139"/>
      <c r="T2488" s="141"/>
    </row>
    <row r="2489">
      <c r="A2489" s="138"/>
      <c r="B2489" s="138"/>
      <c r="C2489" s="138"/>
      <c r="D2489" s="139"/>
      <c r="E2489" s="138"/>
      <c r="F2489" s="138"/>
      <c r="G2489" s="138"/>
      <c r="H2489" s="138"/>
      <c r="I2489" s="138"/>
      <c r="J2489" s="138"/>
      <c r="K2489" s="138"/>
      <c r="L2489" s="138">
        <v>0.0</v>
      </c>
      <c r="M2489" s="140" t="str">
        <f>VLOOKUP(text(D2489, "#"),'Master Table'!$A:$F, 6, FALSE)</f>
        <v>#N/A</v>
      </c>
      <c r="N2489" s="141"/>
      <c r="O2489" s="142" t="str">
        <f t="shared" si="1"/>
        <v/>
      </c>
      <c r="P2489" s="143" t="str">
        <f>IF(ISNA(VLOOKUP(CONCAT(M2489,C2489), 'Judge Count DO NOT EDIT'!H:H, 1, FALSE)), "ERROR","")</f>
        <v>ERROR</v>
      </c>
      <c r="Q2489" s="141"/>
      <c r="R2489" s="143"/>
      <c r="S2489" s="139"/>
      <c r="T2489" s="141"/>
    </row>
    <row r="2490">
      <c r="A2490" s="138"/>
      <c r="B2490" s="138"/>
      <c r="C2490" s="138"/>
      <c r="D2490" s="139"/>
      <c r="E2490" s="138"/>
      <c r="F2490" s="138"/>
      <c r="G2490" s="138"/>
      <c r="H2490" s="138"/>
      <c r="I2490" s="138"/>
      <c r="J2490" s="138"/>
      <c r="K2490" s="138"/>
      <c r="L2490" s="138">
        <v>0.0</v>
      </c>
      <c r="M2490" s="140" t="str">
        <f>VLOOKUP(text(D2490, "#"),'Master Table'!$A:$F, 6, FALSE)</f>
        <v>#N/A</v>
      </c>
      <c r="N2490" s="141"/>
      <c r="O2490" s="142" t="str">
        <f t="shared" si="1"/>
        <v/>
      </c>
      <c r="P2490" s="143" t="str">
        <f>IF(ISNA(VLOOKUP(CONCAT(M2490,C2490), 'Judge Count DO NOT EDIT'!H:H, 1, FALSE)), "ERROR","")</f>
        <v>ERROR</v>
      </c>
      <c r="Q2490" s="141"/>
      <c r="R2490" s="143"/>
      <c r="S2490" s="139"/>
      <c r="T2490" s="141"/>
    </row>
    <row r="2491">
      <c r="A2491" s="138"/>
      <c r="B2491" s="138"/>
      <c r="C2491" s="138"/>
      <c r="D2491" s="139"/>
      <c r="E2491" s="138"/>
      <c r="F2491" s="138"/>
      <c r="G2491" s="138"/>
      <c r="H2491" s="138"/>
      <c r="I2491" s="138"/>
      <c r="J2491" s="138"/>
      <c r="K2491" s="138"/>
      <c r="L2491" s="138">
        <v>0.0</v>
      </c>
      <c r="M2491" s="140" t="str">
        <f>VLOOKUP(text(D2491, "#"),'Master Table'!$A:$F, 6, FALSE)</f>
        <v>#N/A</v>
      </c>
      <c r="N2491" s="141"/>
      <c r="O2491" s="142" t="str">
        <f t="shared" si="1"/>
        <v/>
      </c>
      <c r="P2491" s="143" t="str">
        <f>IF(ISNA(VLOOKUP(CONCAT(M2491,C2491), 'Judge Count DO NOT EDIT'!H:H, 1, FALSE)), "ERROR","")</f>
        <v>ERROR</v>
      </c>
      <c r="Q2491" s="141"/>
      <c r="R2491" s="143"/>
      <c r="S2491" s="139"/>
      <c r="T2491" s="141"/>
    </row>
    <row r="2492">
      <c r="A2492" s="138"/>
      <c r="B2492" s="138"/>
      <c r="C2492" s="138"/>
      <c r="D2492" s="139"/>
      <c r="E2492" s="138"/>
      <c r="F2492" s="138"/>
      <c r="G2492" s="138"/>
      <c r="H2492" s="138"/>
      <c r="I2492" s="138"/>
      <c r="J2492" s="138"/>
      <c r="K2492" s="138"/>
      <c r="L2492" s="138">
        <v>0.0</v>
      </c>
      <c r="M2492" s="140" t="str">
        <f>VLOOKUP(text(D2492, "#"),'Master Table'!$A:$F, 6, FALSE)</f>
        <v>#N/A</v>
      </c>
      <c r="N2492" s="141"/>
      <c r="O2492" s="142" t="str">
        <f t="shared" si="1"/>
        <v/>
      </c>
      <c r="P2492" s="143" t="str">
        <f>IF(ISNA(VLOOKUP(CONCAT(M2492,C2492), 'Judge Count DO NOT EDIT'!H:H, 1, FALSE)), "ERROR","")</f>
        <v>ERROR</v>
      </c>
      <c r="Q2492" s="141"/>
      <c r="R2492" s="143"/>
      <c r="S2492" s="139"/>
      <c r="T2492" s="141"/>
    </row>
    <row r="2493">
      <c r="A2493" s="138"/>
      <c r="B2493" s="138"/>
      <c r="C2493" s="138"/>
      <c r="D2493" s="139"/>
      <c r="E2493" s="138"/>
      <c r="F2493" s="138"/>
      <c r="G2493" s="138"/>
      <c r="H2493" s="138"/>
      <c r="I2493" s="138"/>
      <c r="J2493" s="138"/>
      <c r="K2493" s="138"/>
      <c r="L2493" s="138">
        <v>0.0</v>
      </c>
      <c r="M2493" s="140" t="str">
        <f>VLOOKUP(text(D2493, "#"),'Master Table'!$A:$F, 6, FALSE)</f>
        <v>#N/A</v>
      </c>
      <c r="N2493" s="141"/>
      <c r="O2493" s="142" t="str">
        <f t="shared" si="1"/>
        <v/>
      </c>
      <c r="P2493" s="143" t="str">
        <f>IF(ISNA(VLOOKUP(CONCAT(M2493,C2493), 'Judge Count DO NOT EDIT'!H:H, 1, FALSE)), "ERROR","")</f>
        <v>ERROR</v>
      </c>
      <c r="Q2493" s="141"/>
      <c r="R2493" s="143"/>
      <c r="S2493" s="139"/>
      <c r="T2493" s="141"/>
    </row>
    <row r="2494">
      <c r="A2494" s="138"/>
      <c r="B2494" s="138"/>
      <c r="C2494" s="138"/>
      <c r="D2494" s="139"/>
      <c r="E2494" s="138"/>
      <c r="F2494" s="138"/>
      <c r="G2494" s="138"/>
      <c r="H2494" s="138"/>
      <c r="I2494" s="138"/>
      <c r="J2494" s="138"/>
      <c r="K2494" s="138"/>
      <c r="L2494" s="138">
        <v>0.0</v>
      </c>
      <c r="M2494" s="140" t="str">
        <f>VLOOKUP(text(D2494, "#"),'Master Table'!$A:$F, 6, FALSE)</f>
        <v>#N/A</v>
      </c>
      <c r="N2494" s="141"/>
      <c r="O2494" s="142" t="str">
        <f t="shared" si="1"/>
        <v/>
      </c>
      <c r="P2494" s="143" t="str">
        <f>IF(ISNA(VLOOKUP(CONCAT(M2494,C2494), 'Judge Count DO NOT EDIT'!H:H, 1, FALSE)), "ERROR","")</f>
        <v>ERROR</v>
      </c>
      <c r="Q2494" s="141"/>
      <c r="R2494" s="143"/>
      <c r="S2494" s="139"/>
      <c r="T2494" s="141"/>
    </row>
    <row r="2495">
      <c r="A2495" s="138"/>
      <c r="B2495" s="138"/>
      <c r="C2495" s="138"/>
      <c r="D2495" s="139"/>
      <c r="E2495" s="138"/>
      <c r="F2495" s="138"/>
      <c r="G2495" s="138"/>
      <c r="H2495" s="138"/>
      <c r="I2495" s="138"/>
      <c r="J2495" s="138"/>
      <c r="K2495" s="138"/>
      <c r="L2495" s="138">
        <v>0.0</v>
      </c>
      <c r="M2495" s="140" t="str">
        <f>VLOOKUP(text(D2495, "#"),'Master Table'!$A:$F, 6, FALSE)</f>
        <v>#N/A</v>
      </c>
      <c r="N2495" s="141"/>
      <c r="O2495" s="142" t="str">
        <f t="shared" si="1"/>
        <v/>
      </c>
      <c r="P2495" s="143" t="str">
        <f>IF(ISNA(VLOOKUP(CONCAT(M2495,C2495), 'Judge Count DO NOT EDIT'!H:H, 1, FALSE)), "ERROR","")</f>
        <v>ERROR</v>
      </c>
      <c r="Q2495" s="141"/>
      <c r="R2495" s="143"/>
      <c r="S2495" s="139"/>
      <c r="T2495" s="141"/>
    </row>
    <row r="2496">
      <c r="A2496" s="138"/>
      <c r="B2496" s="138"/>
      <c r="C2496" s="138"/>
      <c r="D2496" s="139"/>
      <c r="E2496" s="138"/>
      <c r="F2496" s="138"/>
      <c r="G2496" s="138"/>
      <c r="H2496" s="138"/>
      <c r="I2496" s="138"/>
      <c r="J2496" s="138"/>
      <c r="K2496" s="138"/>
      <c r="L2496" s="138">
        <v>0.0</v>
      </c>
      <c r="M2496" s="140" t="str">
        <f>VLOOKUP(text(D2496, "#"),'Master Table'!$A:$F, 6, FALSE)</f>
        <v>#N/A</v>
      </c>
      <c r="N2496" s="141"/>
      <c r="O2496" s="142" t="str">
        <f t="shared" si="1"/>
        <v/>
      </c>
      <c r="P2496" s="143" t="str">
        <f>IF(ISNA(VLOOKUP(CONCAT(M2496,C2496), 'Judge Count DO NOT EDIT'!H:H, 1, FALSE)), "ERROR","")</f>
        <v>ERROR</v>
      </c>
      <c r="Q2496" s="141"/>
      <c r="R2496" s="143"/>
      <c r="S2496" s="139"/>
      <c r="T2496" s="141"/>
    </row>
    <row r="2497">
      <c r="A2497" s="138"/>
      <c r="B2497" s="138"/>
      <c r="C2497" s="138"/>
      <c r="D2497" s="139"/>
      <c r="E2497" s="138"/>
      <c r="F2497" s="138"/>
      <c r="G2497" s="138"/>
      <c r="H2497" s="138"/>
      <c r="I2497" s="138"/>
      <c r="J2497" s="138"/>
      <c r="K2497" s="138"/>
      <c r="L2497" s="138">
        <v>0.0</v>
      </c>
      <c r="M2497" s="140" t="str">
        <f>VLOOKUP(text(D2497, "#"),'Master Table'!$A:$F, 6, FALSE)</f>
        <v>#N/A</v>
      </c>
      <c r="N2497" s="141"/>
      <c r="O2497" s="142" t="str">
        <f t="shared" si="1"/>
        <v/>
      </c>
      <c r="P2497" s="143" t="str">
        <f>IF(ISNA(VLOOKUP(CONCAT(M2497,C2497), 'Judge Count DO NOT EDIT'!H:H, 1, FALSE)), "ERROR","")</f>
        <v>ERROR</v>
      </c>
      <c r="Q2497" s="141"/>
      <c r="R2497" s="143"/>
      <c r="S2497" s="139"/>
      <c r="T2497" s="141"/>
    </row>
    <row r="2498">
      <c r="A2498" s="138"/>
      <c r="B2498" s="138"/>
      <c r="C2498" s="138"/>
      <c r="D2498" s="139"/>
      <c r="E2498" s="138"/>
      <c r="F2498" s="138"/>
      <c r="G2498" s="138"/>
      <c r="H2498" s="138"/>
      <c r="I2498" s="138"/>
      <c r="J2498" s="138"/>
      <c r="K2498" s="138"/>
      <c r="L2498" s="138">
        <v>0.0</v>
      </c>
      <c r="M2498" s="140" t="str">
        <f>VLOOKUP(text(D2498, "#"),'Master Table'!$A:$F, 6, FALSE)</f>
        <v>#N/A</v>
      </c>
      <c r="N2498" s="141"/>
      <c r="O2498" s="142" t="str">
        <f t="shared" si="1"/>
        <v/>
      </c>
      <c r="P2498" s="143" t="str">
        <f>IF(ISNA(VLOOKUP(CONCAT(M2498,C2498), 'Judge Count DO NOT EDIT'!H:H, 1, FALSE)), "ERROR","")</f>
        <v>ERROR</v>
      </c>
      <c r="Q2498" s="141"/>
      <c r="R2498" s="143"/>
      <c r="S2498" s="139"/>
      <c r="T2498" s="141"/>
    </row>
    <row r="2499">
      <c r="A2499" s="138"/>
      <c r="B2499" s="138"/>
      <c r="C2499" s="138"/>
      <c r="D2499" s="139"/>
      <c r="E2499" s="138"/>
      <c r="F2499" s="138"/>
      <c r="G2499" s="138"/>
      <c r="H2499" s="138"/>
      <c r="I2499" s="138"/>
      <c r="J2499" s="138"/>
      <c r="K2499" s="138"/>
      <c r="L2499" s="138">
        <v>0.0</v>
      </c>
      <c r="M2499" s="140" t="str">
        <f>VLOOKUP(text(D2499, "#"),'Master Table'!$A:$F, 6, FALSE)</f>
        <v>#N/A</v>
      </c>
      <c r="N2499" s="141"/>
      <c r="O2499" s="142" t="str">
        <f t="shared" si="1"/>
        <v/>
      </c>
      <c r="P2499" s="143" t="str">
        <f>IF(ISNA(VLOOKUP(CONCAT(M2499,C2499), 'Judge Count DO NOT EDIT'!H:H, 1, FALSE)), "ERROR","")</f>
        <v>ERROR</v>
      </c>
      <c r="Q2499" s="141"/>
      <c r="R2499" s="143"/>
      <c r="S2499" s="139"/>
      <c r="T2499" s="141"/>
    </row>
    <row r="2500">
      <c r="A2500" s="138"/>
      <c r="B2500" s="138"/>
      <c r="C2500" s="138"/>
      <c r="D2500" s="139"/>
      <c r="E2500" s="138"/>
      <c r="F2500" s="138"/>
      <c r="G2500" s="138"/>
      <c r="H2500" s="138"/>
      <c r="I2500" s="138"/>
      <c r="J2500" s="138"/>
      <c r="K2500" s="138"/>
      <c r="L2500" s="138">
        <v>0.0</v>
      </c>
      <c r="M2500" s="140" t="str">
        <f>VLOOKUP(text(D2500, "#"),'Master Table'!$A:$F, 6, FALSE)</f>
        <v>#N/A</v>
      </c>
      <c r="N2500" s="141"/>
      <c r="O2500" s="142" t="str">
        <f t="shared" si="1"/>
        <v/>
      </c>
      <c r="P2500" s="143" t="str">
        <f>IF(ISNA(VLOOKUP(CONCAT(M2500,C2500), 'Judge Count DO NOT EDIT'!H:H, 1, FALSE)), "ERROR","")</f>
        <v>ERROR</v>
      </c>
      <c r="Q2500" s="141"/>
      <c r="R2500" s="143"/>
      <c r="S2500" s="139"/>
      <c r="T2500" s="141"/>
    </row>
    <row r="2501">
      <c r="A2501" s="138"/>
      <c r="B2501" s="138"/>
      <c r="C2501" s="138"/>
      <c r="D2501" s="139"/>
      <c r="E2501" s="138"/>
      <c r="F2501" s="138"/>
      <c r="G2501" s="138"/>
      <c r="H2501" s="138"/>
      <c r="I2501" s="138"/>
      <c r="J2501" s="138"/>
      <c r="K2501" s="138"/>
      <c r="L2501" s="138">
        <v>0.0</v>
      </c>
      <c r="M2501" s="140" t="str">
        <f>VLOOKUP(text(D2501, "#"),'Master Table'!$A:$F, 6, FALSE)</f>
        <v>#N/A</v>
      </c>
      <c r="N2501" s="141"/>
      <c r="O2501" s="142" t="str">
        <f t="shared" si="1"/>
        <v/>
      </c>
      <c r="P2501" s="143" t="str">
        <f>IF(ISNA(VLOOKUP(CONCAT(M2501,C2501), 'Judge Count DO NOT EDIT'!H:H, 1, FALSE)), "ERROR","")</f>
        <v>ERROR</v>
      </c>
      <c r="Q2501" s="141"/>
      <c r="R2501" s="143"/>
      <c r="S2501" s="139"/>
      <c r="T2501" s="141"/>
    </row>
    <row r="2502">
      <c r="A2502" s="138"/>
      <c r="B2502" s="138"/>
      <c r="C2502" s="138"/>
      <c r="D2502" s="139"/>
      <c r="E2502" s="138"/>
      <c r="F2502" s="138"/>
      <c r="G2502" s="138"/>
      <c r="H2502" s="138"/>
      <c r="I2502" s="138"/>
      <c r="J2502" s="138"/>
      <c r="K2502" s="138"/>
      <c r="L2502" s="138">
        <v>0.0</v>
      </c>
      <c r="M2502" s="140" t="str">
        <f>VLOOKUP(text(D2502, "#"),'Master Table'!$A:$F, 6, FALSE)</f>
        <v>#N/A</v>
      </c>
      <c r="N2502" s="141"/>
      <c r="O2502" s="142" t="str">
        <f t="shared" si="1"/>
        <v/>
      </c>
      <c r="P2502" s="143" t="str">
        <f>IF(ISNA(VLOOKUP(CONCAT(M2502,C2502), 'Judge Count DO NOT EDIT'!H:H, 1, FALSE)), "ERROR","")</f>
        <v>ERROR</v>
      </c>
      <c r="Q2502" s="141"/>
      <c r="R2502" s="143"/>
      <c r="S2502" s="139"/>
      <c r="T2502" s="141"/>
    </row>
    <row r="2503">
      <c r="A2503" s="138"/>
      <c r="B2503" s="138"/>
      <c r="C2503" s="138"/>
      <c r="D2503" s="139"/>
      <c r="E2503" s="138"/>
      <c r="F2503" s="138"/>
      <c r="G2503" s="138"/>
      <c r="H2503" s="138"/>
      <c r="I2503" s="138"/>
      <c r="J2503" s="138"/>
      <c r="K2503" s="138"/>
      <c r="L2503" s="138">
        <v>0.0</v>
      </c>
      <c r="M2503" s="140" t="str">
        <f>VLOOKUP(text(D2503, "#"),'Master Table'!$A:$F, 6, FALSE)</f>
        <v>#N/A</v>
      </c>
      <c r="N2503" s="141"/>
      <c r="O2503" s="142" t="str">
        <f t="shared" si="1"/>
        <v/>
      </c>
      <c r="P2503" s="143" t="str">
        <f>IF(ISNA(VLOOKUP(CONCAT(M2503,C2503), 'Judge Count DO NOT EDIT'!H:H, 1, FALSE)), "ERROR","")</f>
        <v>ERROR</v>
      </c>
      <c r="Q2503" s="141"/>
      <c r="R2503" s="143"/>
      <c r="S2503" s="139"/>
      <c r="T2503" s="141"/>
    </row>
    <row r="2504">
      <c r="A2504" s="138"/>
      <c r="B2504" s="138"/>
      <c r="C2504" s="138"/>
      <c r="D2504" s="139"/>
      <c r="E2504" s="138"/>
      <c r="F2504" s="138"/>
      <c r="G2504" s="138"/>
      <c r="H2504" s="138"/>
      <c r="I2504" s="138"/>
      <c r="J2504" s="138"/>
      <c r="K2504" s="138"/>
      <c r="L2504" s="138">
        <v>0.0</v>
      </c>
      <c r="M2504" s="140" t="str">
        <f>VLOOKUP(text(D2504, "#"),'Master Table'!$A:$F, 6, FALSE)</f>
        <v>#N/A</v>
      </c>
      <c r="N2504" s="141"/>
      <c r="O2504" s="142" t="str">
        <f t="shared" si="1"/>
        <v/>
      </c>
      <c r="P2504" s="143" t="str">
        <f>IF(ISNA(VLOOKUP(CONCAT(M2504,C2504), 'Judge Count DO NOT EDIT'!H:H, 1, FALSE)), "ERROR","")</f>
        <v>ERROR</v>
      </c>
      <c r="Q2504" s="141"/>
      <c r="R2504" s="143"/>
      <c r="S2504" s="139"/>
      <c r="T2504" s="141"/>
    </row>
    <row r="2505">
      <c r="A2505" s="138"/>
      <c r="B2505" s="138"/>
      <c r="C2505" s="138"/>
      <c r="D2505" s="139"/>
      <c r="E2505" s="138"/>
      <c r="F2505" s="138"/>
      <c r="G2505" s="138"/>
      <c r="H2505" s="138"/>
      <c r="I2505" s="138"/>
      <c r="J2505" s="138"/>
      <c r="K2505" s="138"/>
      <c r="L2505" s="138">
        <v>0.0</v>
      </c>
      <c r="M2505" s="140" t="str">
        <f>VLOOKUP(text(D2505, "#"),'Master Table'!$A:$F, 6, FALSE)</f>
        <v>#N/A</v>
      </c>
      <c r="N2505" s="141"/>
      <c r="O2505" s="142" t="str">
        <f t="shared" si="1"/>
        <v/>
      </c>
      <c r="P2505" s="143" t="str">
        <f>IF(ISNA(VLOOKUP(CONCAT(M2505,C2505), 'Judge Count DO NOT EDIT'!H:H, 1, FALSE)), "ERROR","")</f>
        <v>ERROR</v>
      </c>
      <c r="Q2505" s="141"/>
      <c r="R2505" s="143"/>
      <c r="S2505" s="139"/>
      <c r="T2505" s="141"/>
    </row>
    <row r="2506">
      <c r="A2506" s="138"/>
      <c r="B2506" s="138"/>
      <c r="C2506" s="138"/>
      <c r="D2506" s="139"/>
      <c r="E2506" s="138"/>
      <c r="F2506" s="138"/>
      <c r="G2506" s="138"/>
      <c r="H2506" s="138"/>
      <c r="I2506" s="138"/>
      <c r="J2506" s="138"/>
      <c r="K2506" s="138"/>
      <c r="L2506" s="138">
        <v>0.0</v>
      </c>
      <c r="M2506" s="140" t="str">
        <f>VLOOKUP(text(D2506, "#"),'Master Table'!$A:$F, 6, FALSE)</f>
        <v>#N/A</v>
      </c>
      <c r="N2506" s="141"/>
      <c r="O2506" s="142" t="str">
        <f t="shared" si="1"/>
        <v/>
      </c>
      <c r="P2506" s="143" t="str">
        <f>IF(ISNA(VLOOKUP(CONCAT(M2506,C2506), 'Judge Count DO NOT EDIT'!H:H, 1, FALSE)), "ERROR","")</f>
        <v>ERROR</v>
      </c>
      <c r="Q2506" s="141"/>
      <c r="R2506" s="143"/>
      <c r="S2506" s="139"/>
      <c r="T2506" s="141"/>
    </row>
    <row r="2507">
      <c r="A2507" s="138"/>
      <c r="B2507" s="138"/>
      <c r="C2507" s="138"/>
      <c r="D2507" s="139"/>
      <c r="E2507" s="138"/>
      <c r="F2507" s="138"/>
      <c r="G2507" s="138"/>
      <c r="H2507" s="138"/>
      <c r="I2507" s="138"/>
      <c r="J2507" s="138"/>
      <c r="K2507" s="138"/>
      <c r="L2507" s="138">
        <v>0.0</v>
      </c>
      <c r="M2507" s="140" t="str">
        <f>VLOOKUP(text(D2507, "#"),'Master Table'!$A:$F, 6, FALSE)</f>
        <v>#N/A</v>
      </c>
      <c r="N2507" s="141"/>
      <c r="O2507" s="142" t="str">
        <f t="shared" si="1"/>
        <v/>
      </c>
      <c r="P2507" s="143" t="str">
        <f>IF(ISNA(VLOOKUP(CONCAT(M2507,C2507), 'Judge Count DO NOT EDIT'!H:H, 1, FALSE)), "ERROR","")</f>
        <v>ERROR</v>
      </c>
      <c r="Q2507" s="141"/>
      <c r="R2507" s="143"/>
      <c r="S2507" s="139"/>
      <c r="T2507" s="141"/>
    </row>
    <row r="2508">
      <c r="A2508" s="138"/>
      <c r="B2508" s="138"/>
      <c r="C2508" s="138"/>
      <c r="D2508" s="139"/>
      <c r="E2508" s="138"/>
      <c r="F2508" s="138"/>
      <c r="G2508" s="138"/>
      <c r="H2508" s="138"/>
      <c r="I2508" s="138"/>
      <c r="J2508" s="138"/>
      <c r="K2508" s="138"/>
      <c r="L2508" s="138">
        <v>0.0</v>
      </c>
      <c r="M2508" s="140" t="str">
        <f>VLOOKUP(text(D2508, "#"),'Master Table'!$A:$F, 6, FALSE)</f>
        <v>#N/A</v>
      </c>
      <c r="N2508" s="141"/>
      <c r="O2508" s="142" t="str">
        <f t="shared" si="1"/>
        <v/>
      </c>
      <c r="P2508" s="143" t="str">
        <f>IF(ISNA(VLOOKUP(CONCAT(M2508,C2508), 'Judge Count DO NOT EDIT'!H:H, 1, FALSE)), "ERROR","")</f>
        <v>ERROR</v>
      </c>
      <c r="Q2508" s="141"/>
      <c r="R2508" s="143"/>
      <c r="S2508" s="139"/>
      <c r="T2508" s="141"/>
    </row>
    <row r="2509">
      <c r="A2509" s="138"/>
      <c r="B2509" s="138"/>
      <c r="C2509" s="138"/>
      <c r="D2509" s="139"/>
      <c r="E2509" s="138"/>
      <c r="F2509" s="138"/>
      <c r="G2509" s="138"/>
      <c r="H2509" s="138"/>
      <c r="I2509" s="138"/>
      <c r="J2509" s="138"/>
      <c r="K2509" s="138"/>
      <c r="L2509" s="138">
        <v>0.0</v>
      </c>
      <c r="M2509" s="140" t="str">
        <f>VLOOKUP(text(D2509, "#"),'Master Table'!$A:$F, 6, FALSE)</f>
        <v>#N/A</v>
      </c>
      <c r="N2509" s="141"/>
      <c r="O2509" s="142" t="str">
        <f t="shared" si="1"/>
        <v/>
      </c>
      <c r="P2509" s="143" t="str">
        <f>IF(ISNA(VLOOKUP(CONCAT(M2509,C2509), 'Judge Count DO NOT EDIT'!H:H, 1, FALSE)), "ERROR","")</f>
        <v>ERROR</v>
      </c>
      <c r="Q2509" s="141"/>
      <c r="R2509" s="143"/>
      <c r="S2509" s="139"/>
      <c r="T2509" s="141"/>
    </row>
    <row r="2510">
      <c r="A2510" s="138"/>
      <c r="B2510" s="138"/>
      <c r="C2510" s="138"/>
      <c r="D2510" s="139"/>
      <c r="E2510" s="138"/>
      <c r="F2510" s="138"/>
      <c r="G2510" s="138"/>
      <c r="H2510" s="138"/>
      <c r="I2510" s="138"/>
      <c r="J2510" s="138"/>
      <c r="K2510" s="138"/>
      <c r="L2510" s="138">
        <v>0.0</v>
      </c>
      <c r="M2510" s="140" t="str">
        <f>VLOOKUP(text(D2510, "#"),'Master Table'!$A:$F, 6, FALSE)</f>
        <v>#N/A</v>
      </c>
      <c r="N2510" s="141"/>
      <c r="O2510" s="142" t="str">
        <f t="shared" si="1"/>
        <v/>
      </c>
      <c r="P2510" s="143" t="str">
        <f>IF(ISNA(VLOOKUP(CONCAT(M2510,C2510), 'Judge Count DO NOT EDIT'!H:H, 1, FALSE)), "ERROR","")</f>
        <v>ERROR</v>
      </c>
      <c r="Q2510" s="141"/>
      <c r="R2510" s="143"/>
      <c r="S2510" s="139"/>
      <c r="T2510" s="141"/>
    </row>
    <row r="2511">
      <c r="A2511" s="138"/>
      <c r="B2511" s="138"/>
      <c r="C2511" s="138"/>
      <c r="D2511" s="139"/>
      <c r="E2511" s="138"/>
      <c r="F2511" s="138"/>
      <c r="G2511" s="138"/>
      <c r="H2511" s="138"/>
      <c r="I2511" s="138"/>
      <c r="J2511" s="138"/>
      <c r="K2511" s="138"/>
      <c r="L2511" s="138">
        <v>0.0</v>
      </c>
      <c r="M2511" s="140" t="str">
        <f>VLOOKUP(text(D2511, "#"),'Master Table'!$A:$F, 6, FALSE)</f>
        <v>#N/A</v>
      </c>
      <c r="N2511" s="141"/>
      <c r="O2511" s="142" t="str">
        <f t="shared" si="1"/>
        <v/>
      </c>
      <c r="P2511" s="143" t="str">
        <f>IF(ISNA(VLOOKUP(CONCAT(M2511,C2511), 'Judge Count DO NOT EDIT'!H:H, 1, FALSE)), "ERROR","")</f>
        <v>ERROR</v>
      </c>
      <c r="Q2511" s="141"/>
      <c r="R2511" s="143"/>
      <c r="S2511" s="139"/>
      <c r="T2511" s="141"/>
    </row>
    <row r="2512">
      <c r="A2512" s="138"/>
      <c r="B2512" s="138"/>
      <c r="C2512" s="138"/>
      <c r="D2512" s="139"/>
      <c r="E2512" s="138"/>
      <c r="F2512" s="138"/>
      <c r="G2512" s="138"/>
      <c r="H2512" s="138"/>
      <c r="I2512" s="138"/>
      <c r="J2512" s="138"/>
      <c r="K2512" s="138"/>
      <c r="L2512" s="138">
        <v>0.0</v>
      </c>
      <c r="M2512" s="140" t="str">
        <f>VLOOKUP(text(D2512, "#"),'Master Table'!$A:$F, 6, FALSE)</f>
        <v>#N/A</v>
      </c>
      <c r="N2512" s="141"/>
      <c r="O2512" s="142" t="str">
        <f t="shared" si="1"/>
        <v/>
      </c>
      <c r="P2512" s="143" t="str">
        <f>IF(ISNA(VLOOKUP(CONCAT(M2512,C2512), 'Judge Count DO NOT EDIT'!H:H, 1, FALSE)), "ERROR","")</f>
        <v>ERROR</v>
      </c>
      <c r="Q2512" s="141"/>
      <c r="R2512" s="143"/>
      <c r="S2512" s="139"/>
      <c r="T2512" s="141"/>
    </row>
    <row r="2513">
      <c r="A2513" s="138"/>
      <c r="B2513" s="138"/>
      <c r="C2513" s="138"/>
      <c r="D2513" s="139"/>
      <c r="E2513" s="138"/>
      <c r="F2513" s="138"/>
      <c r="G2513" s="138"/>
      <c r="H2513" s="138"/>
      <c r="I2513" s="138"/>
      <c r="J2513" s="138"/>
      <c r="K2513" s="138"/>
      <c r="L2513" s="138">
        <v>0.0</v>
      </c>
      <c r="M2513" s="140" t="str">
        <f>VLOOKUP(text(D2513, "#"),'Master Table'!$A:$F, 6, FALSE)</f>
        <v>#N/A</v>
      </c>
      <c r="N2513" s="141"/>
      <c r="O2513" s="142" t="str">
        <f t="shared" si="1"/>
        <v/>
      </c>
      <c r="P2513" s="143" t="str">
        <f>IF(ISNA(VLOOKUP(CONCAT(M2513,C2513), 'Judge Count DO NOT EDIT'!H:H, 1, FALSE)), "ERROR","")</f>
        <v>ERROR</v>
      </c>
      <c r="Q2513" s="141"/>
      <c r="R2513" s="143"/>
      <c r="S2513" s="139"/>
      <c r="T2513" s="141"/>
    </row>
    <row r="2514">
      <c r="A2514" s="138"/>
      <c r="B2514" s="138"/>
      <c r="C2514" s="138"/>
      <c r="D2514" s="139"/>
      <c r="E2514" s="138"/>
      <c r="F2514" s="138"/>
      <c r="G2514" s="138"/>
      <c r="H2514" s="138"/>
      <c r="I2514" s="138"/>
      <c r="J2514" s="138"/>
      <c r="K2514" s="138"/>
      <c r="L2514" s="138">
        <v>0.0</v>
      </c>
      <c r="M2514" s="140" t="str">
        <f>VLOOKUP(text(D2514, "#"),'Master Table'!$A:$F, 6, FALSE)</f>
        <v>#N/A</v>
      </c>
      <c r="N2514" s="141"/>
      <c r="O2514" s="142" t="str">
        <f t="shared" si="1"/>
        <v/>
      </c>
      <c r="P2514" s="143" t="str">
        <f>IF(ISNA(VLOOKUP(CONCAT(M2514,C2514), 'Judge Count DO NOT EDIT'!H:H, 1, FALSE)), "ERROR","")</f>
        <v>ERROR</v>
      </c>
      <c r="Q2514" s="141"/>
      <c r="R2514" s="143"/>
      <c r="S2514" s="139"/>
      <c r="T2514" s="141"/>
    </row>
    <row r="2515">
      <c r="A2515" s="138"/>
      <c r="B2515" s="138"/>
      <c r="C2515" s="138"/>
      <c r="D2515" s="139"/>
      <c r="E2515" s="138"/>
      <c r="F2515" s="138"/>
      <c r="G2515" s="138"/>
      <c r="H2515" s="138"/>
      <c r="I2515" s="138"/>
      <c r="J2515" s="138"/>
      <c r="K2515" s="138"/>
      <c r="L2515" s="138">
        <v>0.0</v>
      </c>
      <c r="M2515" s="140" t="str">
        <f>VLOOKUP(text(D2515, "#"),'Master Table'!$A:$F, 6, FALSE)</f>
        <v>#N/A</v>
      </c>
      <c r="N2515" s="141"/>
      <c r="O2515" s="142" t="str">
        <f t="shared" si="1"/>
        <v/>
      </c>
      <c r="P2515" s="143" t="str">
        <f>IF(ISNA(VLOOKUP(CONCAT(M2515,C2515), 'Judge Count DO NOT EDIT'!H:H, 1, FALSE)), "ERROR","")</f>
        <v>ERROR</v>
      </c>
      <c r="Q2515" s="141"/>
      <c r="R2515" s="143"/>
      <c r="S2515" s="139"/>
      <c r="T2515" s="141"/>
    </row>
    <row r="2516">
      <c r="A2516" s="138"/>
      <c r="B2516" s="138"/>
      <c r="C2516" s="138"/>
      <c r="D2516" s="139"/>
      <c r="E2516" s="138"/>
      <c r="F2516" s="138"/>
      <c r="G2516" s="138"/>
      <c r="H2516" s="138"/>
      <c r="I2516" s="138"/>
      <c r="J2516" s="138"/>
      <c r="K2516" s="138"/>
      <c r="L2516" s="138">
        <v>0.0</v>
      </c>
      <c r="M2516" s="140" t="str">
        <f>VLOOKUP(text(D2516, "#"),'Master Table'!$A:$F, 6, FALSE)</f>
        <v>#N/A</v>
      </c>
      <c r="N2516" s="141"/>
      <c r="O2516" s="142" t="str">
        <f t="shared" si="1"/>
        <v/>
      </c>
      <c r="P2516" s="143" t="str">
        <f>IF(ISNA(VLOOKUP(CONCAT(M2516,C2516), 'Judge Count DO NOT EDIT'!H:H, 1, FALSE)), "ERROR","")</f>
        <v>ERROR</v>
      </c>
      <c r="Q2516" s="141"/>
      <c r="R2516" s="143"/>
      <c r="S2516" s="139"/>
      <c r="T2516" s="141"/>
    </row>
    <row r="2517">
      <c r="A2517" s="138"/>
      <c r="B2517" s="138"/>
      <c r="C2517" s="138"/>
      <c r="D2517" s="139"/>
      <c r="E2517" s="138"/>
      <c r="F2517" s="138"/>
      <c r="G2517" s="138"/>
      <c r="H2517" s="138"/>
      <c r="I2517" s="138"/>
      <c r="J2517" s="138"/>
      <c r="K2517" s="138"/>
      <c r="L2517" s="138">
        <v>0.0</v>
      </c>
      <c r="M2517" s="140" t="str">
        <f>VLOOKUP(text(D2517, "#"),'Master Table'!$A:$F, 6, FALSE)</f>
        <v>#N/A</v>
      </c>
      <c r="N2517" s="141"/>
      <c r="O2517" s="142" t="str">
        <f t="shared" si="1"/>
        <v/>
      </c>
      <c r="P2517" s="143" t="str">
        <f>IF(ISNA(VLOOKUP(CONCAT(M2517,C2517), 'Judge Count DO NOT EDIT'!H:H, 1, FALSE)), "ERROR","")</f>
        <v>ERROR</v>
      </c>
      <c r="Q2517" s="141"/>
      <c r="R2517" s="143"/>
      <c r="S2517" s="139"/>
      <c r="T2517" s="141"/>
    </row>
    <row r="2518">
      <c r="A2518" s="138"/>
      <c r="B2518" s="138"/>
      <c r="C2518" s="138"/>
      <c r="D2518" s="139"/>
      <c r="E2518" s="138"/>
      <c r="F2518" s="138"/>
      <c r="G2518" s="138"/>
      <c r="H2518" s="138"/>
      <c r="I2518" s="138"/>
      <c r="J2518" s="138"/>
      <c r="K2518" s="138"/>
      <c r="L2518" s="138">
        <v>0.0</v>
      </c>
      <c r="M2518" s="140" t="str">
        <f>VLOOKUP(text(D2518, "#"),'Master Table'!$A:$F, 6, FALSE)</f>
        <v>#N/A</v>
      </c>
      <c r="N2518" s="141"/>
      <c r="O2518" s="142" t="str">
        <f t="shared" si="1"/>
        <v/>
      </c>
      <c r="P2518" s="143" t="str">
        <f>IF(ISNA(VLOOKUP(CONCAT(M2518,C2518), 'Judge Count DO NOT EDIT'!H:H, 1, FALSE)), "ERROR","")</f>
        <v>ERROR</v>
      </c>
      <c r="Q2518" s="141"/>
      <c r="R2518" s="143"/>
      <c r="S2518" s="139"/>
      <c r="T2518" s="141"/>
    </row>
    <row r="2519">
      <c r="A2519" s="138"/>
      <c r="B2519" s="138"/>
      <c r="C2519" s="138"/>
      <c r="D2519" s="139"/>
      <c r="E2519" s="138"/>
      <c r="F2519" s="138"/>
      <c r="G2519" s="138"/>
      <c r="H2519" s="138"/>
      <c r="I2519" s="138"/>
      <c r="J2519" s="138"/>
      <c r="K2519" s="138"/>
      <c r="L2519" s="138">
        <v>0.0</v>
      </c>
      <c r="M2519" s="140" t="str">
        <f>VLOOKUP(text(D2519, "#"),'Master Table'!$A:$F, 6, FALSE)</f>
        <v>#N/A</v>
      </c>
      <c r="N2519" s="141"/>
      <c r="O2519" s="142" t="str">
        <f t="shared" si="1"/>
        <v/>
      </c>
      <c r="P2519" s="143" t="str">
        <f>IF(ISNA(VLOOKUP(CONCAT(M2519,C2519), 'Judge Count DO NOT EDIT'!H:H, 1, FALSE)), "ERROR","")</f>
        <v>ERROR</v>
      </c>
      <c r="Q2519" s="141"/>
      <c r="R2519" s="143"/>
      <c r="S2519" s="139"/>
      <c r="T2519" s="141"/>
    </row>
    <row r="2520">
      <c r="A2520" s="138"/>
      <c r="B2520" s="138"/>
      <c r="C2520" s="138"/>
      <c r="D2520" s="139"/>
      <c r="E2520" s="138"/>
      <c r="F2520" s="138"/>
      <c r="G2520" s="138"/>
      <c r="H2520" s="138"/>
      <c r="I2520" s="138"/>
      <c r="J2520" s="138"/>
      <c r="K2520" s="138"/>
      <c r="L2520" s="138">
        <v>0.0</v>
      </c>
      <c r="M2520" s="140" t="str">
        <f>VLOOKUP(text(D2520, "#"),'Master Table'!$A:$F, 6, FALSE)</f>
        <v>#N/A</v>
      </c>
      <c r="N2520" s="141"/>
      <c r="O2520" s="142" t="str">
        <f t="shared" si="1"/>
        <v/>
      </c>
      <c r="P2520" s="143" t="str">
        <f>IF(ISNA(VLOOKUP(CONCAT(M2520,C2520), 'Judge Count DO NOT EDIT'!H:H, 1, FALSE)), "ERROR","")</f>
        <v>ERROR</v>
      </c>
      <c r="Q2520" s="141"/>
      <c r="R2520" s="143"/>
      <c r="S2520" s="139"/>
      <c r="T2520" s="141"/>
    </row>
    <row r="2521">
      <c r="A2521" s="138"/>
      <c r="B2521" s="138"/>
      <c r="C2521" s="138"/>
      <c r="D2521" s="139"/>
      <c r="E2521" s="138"/>
      <c r="F2521" s="138"/>
      <c r="G2521" s="138"/>
      <c r="H2521" s="138"/>
      <c r="I2521" s="138"/>
      <c r="J2521" s="138"/>
      <c r="K2521" s="138"/>
      <c r="L2521" s="138">
        <v>0.0</v>
      </c>
      <c r="M2521" s="140" t="str">
        <f>VLOOKUP(text(D2521, "#"),'Master Table'!$A:$F, 6, FALSE)</f>
        <v>#N/A</v>
      </c>
      <c r="N2521" s="141"/>
      <c r="O2521" s="142" t="str">
        <f t="shared" si="1"/>
        <v/>
      </c>
      <c r="P2521" s="143" t="str">
        <f>IF(ISNA(VLOOKUP(CONCAT(M2521,C2521), 'Judge Count DO NOT EDIT'!H:H, 1, FALSE)), "ERROR","")</f>
        <v>ERROR</v>
      </c>
      <c r="Q2521" s="141"/>
      <c r="R2521" s="143"/>
      <c r="S2521" s="139"/>
      <c r="T2521" s="141"/>
    </row>
    <row r="2522">
      <c r="A2522" s="138"/>
      <c r="B2522" s="138"/>
      <c r="C2522" s="138"/>
      <c r="D2522" s="139"/>
      <c r="E2522" s="138"/>
      <c r="F2522" s="138"/>
      <c r="G2522" s="138"/>
      <c r="H2522" s="138"/>
      <c r="I2522" s="138"/>
      <c r="J2522" s="138"/>
      <c r="K2522" s="138"/>
      <c r="L2522" s="138">
        <v>0.0</v>
      </c>
      <c r="M2522" s="140" t="str">
        <f>VLOOKUP(text(D2522, "#"),'Master Table'!$A:$F, 6, FALSE)</f>
        <v>#N/A</v>
      </c>
      <c r="N2522" s="141"/>
      <c r="O2522" s="142" t="str">
        <f t="shared" si="1"/>
        <v/>
      </c>
      <c r="P2522" s="143" t="str">
        <f>IF(ISNA(VLOOKUP(CONCAT(M2522,C2522), 'Judge Count DO NOT EDIT'!H:H, 1, FALSE)), "ERROR","")</f>
        <v>ERROR</v>
      </c>
      <c r="Q2522" s="141"/>
      <c r="R2522" s="143"/>
      <c r="S2522" s="139"/>
      <c r="T2522" s="141"/>
    </row>
    <row r="2523">
      <c r="A2523" s="138"/>
      <c r="B2523" s="138"/>
      <c r="C2523" s="138"/>
      <c r="D2523" s="139"/>
      <c r="E2523" s="138"/>
      <c r="F2523" s="138"/>
      <c r="G2523" s="138"/>
      <c r="H2523" s="138"/>
      <c r="I2523" s="138"/>
      <c r="J2523" s="138"/>
      <c r="K2523" s="138"/>
      <c r="L2523" s="138">
        <v>0.0</v>
      </c>
      <c r="M2523" s="140" t="str">
        <f>VLOOKUP(text(D2523, "#"),'Master Table'!$A:$F, 6, FALSE)</f>
        <v>#N/A</v>
      </c>
      <c r="N2523" s="141"/>
      <c r="O2523" s="142" t="str">
        <f t="shared" si="1"/>
        <v/>
      </c>
      <c r="P2523" s="143" t="str">
        <f>IF(ISNA(VLOOKUP(CONCAT(M2523,C2523), 'Judge Count DO NOT EDIT'!H:H, 1, FALSE)), "ERROR","")</f>
        <v>ERROR</v>
      </c>
      <c r="Q2523" s="141"/>
      <c r="R2523" s="143"/>
      <c r="S2523" s="139"/>
      <c r="T2523" s="141"/>
    </row>
    <row r="2524">
      <c r="A2524" s="138"/>
      <c r="B2524" s="138"/>
      <c r="C2524" s="138"/>
      <c r="D2524" s="139"/>
      <c r="E2524" s="138"/>
      <c r="F2524" s="138"/>
      <c r="G2524" s="138"/>
      <c r="H2524" s="138"/>
      <c r="I2524" s="138"/>
      <c r="J2524" s="138"/>
      <c r="K2524" s="138"/>
      <c r="L2524" s="138">
        <v>0.0</v>
      </c>
      <c r="M2524" s="140" t="str">
        <f>VLOOKUP(text(D2524, "#"),'Master Table'!$A:$F, 6, FALSE)</f>
        <v>#N/A</v>
      </c>
      <c r="N2524" s="141"/>
      <c r="O2524" s="142" t="str">
        <f t="shared" si="1"/>
        <v/>
      </c>
      <c r="P2524" s="143" t="str">
        <f>IF(ISNA(VLOOKUP(CONCAT(M2524,C2524), 'Judge Count DO NOT EDIT'!H:H, 1, FALSE)), "ERROR","")</f>
        <v>ERROR</v>
      </c>
      <c r="Q2524" s="141"/>
      <c r="R2524" s="143"/>
      <c r="S2524" s="139"/>
      <c r="T2524" s="141"/>
    </row>
    <row r="2525">
      <c r="A2525" s="138"/>
      <c r="B2525" s="138"/>
      <c r="C2525" s="138"/>
      <c r="D2525" s="139"/>
      <c r="E2525" s="138"/>
      <c r="F2525" s="138"/>
      <c r="G2525" s="138"/>
      <c r="H2525" s="138"/>
      <c r="I2525" s="138"/>
      <c r="J2525" s="138"/>
      <c r="K2525" s="138"/>
      <c r="L2525" s="138">
        <v>0.0</v>
      </c>
      <c r="M2525" s="140" t="str">
        <f>VLOOKUP(text(D2525, "#"),'Master Table'!$A:$F, 6, FALSE)</f>
        <v>#N/A</v>
      </c>
      <c r="N2525" s="141"/>
      <c r="O2525" s="142" t="str">
        <f t="shared" si="1"/>
        <v/>
      </c>
      <c r="P2525" s="143" t="str">
        <f>IF(ISNA(VLOOKUP(CONCAT(M2525,C2525), 'Judge Count DO NOT EDIT'!H:H, 1, FALSE)), "ERROR","")</f>
        <v>ERROR</v>
      </c>
      <c r="Q2525" s="141"/>
      <c r="R2525" s="143"/>
      <c r="S2525" s="139"/>
      <c r="T2525" s="141"/>
    </row>
    <row r="2526">
      <c r="A2526" s="138"/>
      <c r="B2526" s="138"/>
      <c r="C2526" s="138"/>
      <c r="D2526" s="139"/>
      <c r="E2526" s="138"/>
      <c r="F2526" s="138"/>
      <c r="G2526" s="138"/>
      <c r="H2526" s="138"/>
      <c r="I2526" s="138"/>
      <c r="J2526" s="138"/>
      <c r="K2526" s="138"/>
      <c r="L2526" s="138">
        <v>0.0</v>
      </c>
      <c r="M2526" s="140" t="str">
        <f>VLOOKUP(text(D2526, "#"),'Master Table'!$A:$F, 6, FALSE)</f>
        <v>#N/A</v>
      </c>
      <c r="N2526" s="141"/>
      <c r="O2526" s="142" t="str">
        <f t="shared" si="1"/>
        <v/>
      </c>
      <c r="P2526" s="143" t="str">
        <f>IF(ISNA(VLOOKUP(CONCAT(M2526,C2526), 'Judge Count DO NOT EDIT'!H:H, 1, FALSE)), "ERROR","")</f>
        <v>ERROR</v>
      </c>
      <c r="Q2526" s="141"/>
      <c r="R2526" s="143"/>
      <c r="S2526" s="139"/>
      <c r="T2526" s="141"/>
    </row>
    <row r="2527">
      <c r="A2527" s="138"/>
      <c r="B2527" s="138"/>
      <c r="C2527" s="138"/>
      <c r="D2527" s="139"/>
      <c r="E2527" s="138"/>
      <c r="F2527" s="138"/>
      <c r="G2527" s="138"/>
      <c r="H2527" s="138"/>
      <c r="I2527" s="138"/>
      <c r="J2527" s="138"/>
      <c r="K2527" s="138"/>
      <c r="L2527" s="138">
        <v>0.0</v>
      </c>
      <c r="M2527" s="140" t="str">
        <f>VLOOKUP(text(D2527, "#"),'Master Table'!$A:$F, 6, FALSE)</f>
        <v>#N/A</v>
      </c>
      <c r="N2527" s="141"/>
      <c r="O2527" s="142" t="str">
        <f t="shared" si="1"/>
        <v/>
      </c>
      <c r="P2527" s="143" t="str">
        <f>IF(ISNA(VLOOKUP(CONCAT(M2527,C2527), 'Judge Count DO NOT EDIT'!H:H, 1, FALSE)), "ERROR","")</f>
        <v>ERROR</v>
      </c>
      <c r="Q2527" s="141"/>
      <c r="R2527" s="143"/>
      <c r="S2527" s="139"/>
      <c r="T2527" s="141"/>
    </row>
    <row r="2528">
      <c r="A2528" s="138"/>
      <c r="B2528" s="138"/>
      <c r="C2528" s="138"/>
      <c r="D2528" s="139"/>
      <c r="E2528" s="138"/>
      <c r="F2528" s="138"/>
      <c r="G2528" s="138"/>
      <c r="H2528" s="138"/>
      <c r="I2528" s="138"/>
      <c r="J2528" s="138"/>
      <c r="K2528" s="138"/>
      <c r="L2528" s="138">
        <v>0.0</v>
      </c>
      <c r="M2528" s="140" t="str">
        <f>VLOOKUP(text(D2528, "#"),'Master Table'!$A:$F, 6, FALSE)</f>
        <v>#N/A</v>
      </c>
      <c r="N2528" s="141"/>
      <c r="O2528" s="142" t="str">
        <f t="shared" si="1"/>
        <v/>
      </c>
      <c r="P2528" s="143" t="str">
        <f>IF(ISNA(VLOOKUP(CONCAT(M2528,C2528), 'Judge Count DO NOT EDIT'!H:H, 1, FALSE)), "ERROR","")</f>
        <v>ERROR</v>
      </c>
      <c r="Q2528" s="141"/>
      <c r="R2528" s="143"/>
      <c r="S2528" s="139"/>
      <c r="T2528" s="141"/>
    </row>
    <row r="2529">
      <c r="A2529" s="138"/>
      <c r="B2529" s="138"/>
      <c r="C2529" s="138"/>
      <c r="D2529" s="139"/>
      <c r="E2529" s="138"/>
      <c r="F2529" s="138"/>
      <c r="G2529" s="138"/>
      <c r="H2529" s="138"/>
      <c r="I2529" s="138"/>
      <c r="J2529" s="138"/>
      <c r="K2529" s="138"/>
      <c r="L2529" s="138">
        <v>0.0</v>
      </c>
      <c r="M2529" s="140" t="str">
        <f>VLOOKUP(text(D2529, "#"),'Master Table'!$A:$F, 6, FALSE)</f>
        <v>#N/A</v>
      </c>
      <c r="N2529" s="141"/>
      <c r="O2529" s="142" t="str">
        <f t="shared" si="1"/>
        <v/>
      </c>
      <c r="P2529" s="143" t="str">
        <f>IF(ISNA(VLOOKUP(CONCAT(M2529,C2529), 'Judge Count DO NOT EDIT'!H:H, 1, FALSE)), "ERROR","")</f>
        <v>ERROR</v>
      </c>
      <c r="Q2529" s="141"/>
      <c r="R2529" s="143"/>
      <c r="S2529" s="139"/>
      <c r="T2529" s="141"/>
    </row>
    <row r="2530">
      <c r="A2530" s="138"/>
      <c r="B2530" s="138"/>
      <c r="C2530" s="138"/>
      <c r="D2530" s="139"/>
      <c r="E2530" s="138"/>
      <c r="F2530" s="138"/>
      <c r="G2530" s="138"/>
      <c r="H2530" s="138"/>
      <c r="I2530" s="138"/>
      <c r="J2530" s="138"/>
      <c r="K2530" s="138"/>
      <c r="L2530" s="138">
        <v>0.0</v>
      </c>
      <c r="M2530" s="140" t="str">
        <f>VLOOKUP(text(D2530, "#"),'Master Table'!$A:$F, 6, FALSE)</f>
        <v>#N/A</v>
      </c>
      <c r="N2530" s="141"/>
      <c r="O2530" s="142" t="str">
        <f t="shared" si="1"/>
        <v/>
      </c>
      <c r="P2530" s="143" t="str">
        <f>IF(ISNA(VLOOKUP(CONCAT(M2530,C2530), 'Judge Count DO NOT EDIT'!H:H, 1, FALSE)), "ERROR","")</f>
        <v>ERROR</v>
      </c>
      <c r="Q2530" s="141"/>
      <c r="R2530" s="143"/>
      <c r="S2530" s="139"/>
      <c r="T2530" s="141"/>
    </row>
    <row r="2531">
      <c r="A2531" s="138"/>
      <c r="B2531" s="138"/>
      <c r="C2531" s="138"/>
      <c r="D2531" s="139"/>
      <c r="E2531" s="138"/>
      <c r="F2531" s="138"/>
      <c r="G2531" s="138"/>
      <c r="H2531" s="138"/>
      <c r="I2531" s="138"/>
      <c r="J2531" s="138"/>
      <c r="K2531" s="138"/>
      <c r="L2531" s="138">
        <v>0.0</v>
      </c>
      <c r="M2531" s="140" t="str">
        <f>VLOOKUP(text(D2531, "#"),'Master Table'!$A:$F, 6, FALSE)</f>
        <v>#N/A</v>
      </c>
      <c r="N2531" s="141"/>
      <c r="O2531" s="142" t="str">
        <f t="shared" si="1"/>
        <v/>
      </c>
      <c r="P2531" s="143" t="str">
        <f>IF(ISNA(VLOOKUP(CONCAT(M2531,C2531), 'Judge Count DO NOT EDIT'!H:H, 1, FALSE)), "ERROR","")</f>
        <v>ERROR</v>
      </c>
      <c r="Q2531" s="141"/>
      <c r="R2531" s="143"/>
      <c r="S2531" s="139"/>
      <c r="T2531" s="141"/>
    </row>
    <row r="2532">
      <c r="A2532" s="138"/>
      <c r="B2532" s="138"/>
      <c r="C2532" s="138"/>
      <c r="D2532" s="139"/>
      <c r="E2532" s="138"/>
      <c r="F2532" s="138"/>
      <c r="G2532" s="138"/>
      <c r="H2532" s="138"/>
      <c r="I2532" s="138"/>
      <c r="J2532" s="138"/>
      <c r="K2532" s="138"/>
      <c r="L2532" s="138">
        <v>0.0</v>
      </c>
      <c r="M2532" s="140" t="str">
        <f>VLOOKUP(text(D2532, "#"),'Master Table'!$A:$F, 6, FALSE)</f>
        <v>#N/A</v>
      </c>
      <c r="N2532" s="141"/>
      <c r="O2532" s="142" t="str">
        <f t="shared" si="1"/>
        <v/>
      </c>
      <c r="P2532" s="143" t="str">
        <f>IF(ISNA(VLOOKUP(CONCAT(M2532,C2532), 'Judge Count DO NOT EDIT'!H:H, 1, FALSE)), "ERROR","")</f>
        <v>ERROR</v>
      </c>
      <c r="Q2532" s="141"/>
      <c r="R2532" s="143"/>
      <c r="S2532" s="139"/>
      <c r="T2532" s="141"/>
    </row>
    <row r="2533">
      <c r="A2533" s="138"/>
      <c r="B2533" s="138"/>
      <c r="C2533" s="138"/>
      <c r="D2533" s="139"/>
      <c r="E2533" s="138"/>
      <c r="F2533" s="138"/>
      <c r="G2533" s="138"/>
      <c r="H2533" s="138"/>
      <c r="I2533" s="138"/>
      <c r="J2533" s="138"/>
      <c r="K2533" s="138"/>
      <c r="L2533" s="138">
        <v>0.0</v>
      </c>
      <c r="M2533" s="140" t="str">
        <f>VLOOKUP(text(D2533, "#"),'Master Table'!$A:$F, 6, FALSE)</f>
        <v>#N/A</v>
      </c>
      <c r="N2533" s="141"/>
      <c r="O2533" s="142" t="str">
        <f t="shared" si="1"/>
        <v/>
      </c>
      <c r="P2533" s="143" t="str">
        <f>IF(ISNA(VLOOKUP(CONCAT(M2533,C2533), 'Judge Count DO NOT EDIT'!H:H, 1, FALSE)), "ERROR","")</f>
        <v>ERROR</v>
      </c>
      <c r="Q2533" s="141"/>
      <c r="R2533" s="143"/>
      <c r="S2533" s="139"/>
      <c r="T2533" s="141"/>
    </row>
    <row r="2534">
      <c r="A2534" s="138"/>
      <c r="B2534" s="138"/>
      <c r="C2534" s="138"/>
      <c r="D2534" s="139"/>
      <c r="E2534" s="138"/>
      <c r="F2534" s="138"/>
      <c r="G2534" s="138"/>
      <c r="H2534" s="138"/>
      <c r="I2534" s="138"/>
      <c r="J2534" s="138"/>
      <c r="K2534" s="138"/>
      <c r="L2534" s="138">
        <v>0.0</v>
      </c>
      <c r="M2534" s="140" t="str">
        <f>VLOOKUP(text(D2534, "#"),'Master Table'!$A:$F, 6, FALSE)</f>
        <v>#N/A</v>
      </c>
      <c r="N2534" s="141"/>
      <c r="O2534" s="142" t="str">
        <f t="shared" si="1"/>
        <v/>
      </c>
      <c r="P2534" s="143" t="str">
        <f>IF(ISNA(VLOOKUP(CONCAT(M2534,C2534), 'Judge Count DO NOT EDIT'!H:H, 1, FALSE)), "ERROR","")</f>
        <v>ERROR</v>
      </c>
      <c r="Q2534" s="141"/>
      <c r="R2534" s="143"/>
      <c r="S2534" s="139"/>
      <c r="T2534" s="141"/>
    </row>
    <row r="2535">
      <c r="A2535" s="138"/>
      <c r="B2535" s="138"/>
      <c r="C2535" s="138"/>
      <c r="D2535" s="139"/>
      <c r="E2535" s="138"/>
      <c r="F2535" s="138"/>
      <c r="G2535" s="138"/>
      <c r="H2535" s="138"/>
      <c r="I2535" s="138"/>
      <c r="J2535" s="138"/>
      <c r="K2535" s="138"/>
      <c r="L2535" s="138">
        <v>0.0</v>
      </c>
      <c r="M2535" s="140" t="str">
        <f>VLOOKUP(text(D2535, "#"),'Master Table'!$A:$F, 6, FALSE)</f>
        <v>#N/A</v>
      </c>
      <c r="N2535" s="141"/>
      <c r="O2535" s="142" t="str">
        <f t="shared" si="1"/>
        <v/>
      </c>
      <c r="P2535" s="143" t="str">
        <f>IF(ISNA(VLOOKUP(CONCAT(M2535,C2535), 'Judge Count DO NOT EDIT'!H:H, 1, FALSE)), "ERROR","")</f>
        <v>ERROR</v>
      </c>
      <c r="Q2535" s="141"/>
      <c r="R2535" s="143"/>
      <c r="S2535" s="139"/>
      <c r="T2535" s="141"/>
    </row>
    <row r="2536">
      <c r="A2536" s="138"/>
      <c r="B2536" s="138"/>
      <c r="C2536" s="138"/>
      <c r="D2536" s="139"/>
      <c r="E2536" s="138"/>
      <c r="F2536" s="138"/>
      <c r="G2536" s="138"/>
      <c r="H2536" s="138"/>
      <c r="I2536" s="138"/>
      <c r="J2536" s="138"/>
      <c r="K2536" s="138"/>
      <c r="L2536" s="138">
        <v>0.0</v>
      </c>
      <c r="M2536" s="140" t="str">
        <f>VLOOKUP(text(D2536, "#"),'Master Table'!$A:$F, 6, FALSE)</f>
        <v>#N/A</v>
      </c>
      <c r="N2536" s="141"/>
      <c r="O2536" s="142" t="str">
        <f t="shared" si="1"/>
        <v/>
      </c>
      <c r="P2536" s="143" t="str">
        <f>IF(ISNA(VLOOKUP(CONCAT(M2536,C2536), 'Judge Count DO NOT EDIT'!H:H, 1, FALSE)), "ERROR","")</f>
        <v>ERROR</v>
      </c>
      <c r="Q2536" s="141"/>
      <c r="R2536" s="143"/>
      <c r="S2536" s="139"/>
      <c r="T2536" s="141"/>
    </row>
    <row r="2537">
      <c r="A2537" s="138"/>
      <c r="B2537" s="138"/>
      <c r="C2537" s="138"/>
      <c r="D2537" s="139"/>
      <c r="E2537" s="138"/>
      <c r="F2537" s="138"/>
      <c r="G2537" s="138"/>
      <c r="H2537" s="138"/>
      <c r="I2537" s="138"/>
      <c r="J2537" s="138"/>
      <c r="K2537" s="138"/>
      <c r="L2537" s="138">
        <v>0.0</v>
      </c>
      <c r="M2537" s="140" t="str">
        <f>VLOOKUP(text(D2537, "#"),'Master Table'!$A:$F, 6, FALSE)</f>
        <v>#N/A</v>
      </c>
      <c r="N2537" s="141"/>
      <c r="O2537" s="142" t="str">
        <f t="shared" si="1"/>
        <v/>
      </c>
      <c r="P2537" s="143" t="str">
        <f>IF(ISNA(VLOOKUP(CONCAT(M2537,C2537), 'Judge Count DO NOT EDIT'!H:H, 1, FALSE)), "ERROR","")</f>
        <v>ERROR</v>
      </c>
      <c r="Q2537" s="141"/>
      <c r="R2537" s="143"/>
      <c r="S2537" s="139"/>
      <c r="T2537" s="141"/>
    </row>
    <row r="2538">
      <c r="A2538" s="138"/>
      <c r="B2538" s="138"/>
      <c r="C2538" s="138"/>
      <c r="D2538" s="139"/>
      <c r="E2538" s="138"/>
      <c r="F2538" s="138"/>
      <c r="G2538" s="138"/>
      <c r="H2538" s="138"/>
      <c r="I2538" s="138"/>
      <c r="J2538" s="138"/>
      <c r="K2538" s="138"/>
      <c r="L2538" s="138">
        <v>0.0</v>
      </c>
      <c r="M2538" s="140" t="str">
        <f>VLOOKUP(text(D2538, "#"),'Master Table'!$A:$F, 6, FALSE)</f>
        <v>#N/A</v>
      </c>
      <c r="N2538" s="141"/>
      <c r="O2538" s="142" t="str">
        <f t="shared" si="1"/>
        <v/>
      </c>
      <c r="P2538" s="143" t="str">
        <f>IF(ISNA(VLOOKUP(CONCAT(M2538,C2538), 'Judge Count DO NOT EDIT'!H:H, 1, FALSE)), "ERROR","")</f>
        <v>ERROR</v>
      </c>
      <c r="Q2538" s="141"/>
      <c r="R2538" s="143"/>
      <c r="S2538" s="139"/>
      <c r="T2538" s="141"/>
    </row>
    <row r="2539">
      <c r="A2539" s="138"/>
      <c r="B2539" s="138"/>
      <c r="C2539" s="138"/>
      <c r="D2539" s="139"/>
      <c r="E2539" s="138"/>
      <c r="F2539" s="138"/>
      <c r="G2539" s="138"/>
      <c r="H2539" s="138"/>
      <c r="I2539" s="138"/>
      <c r="J2539" s="138"/>
      <c r="K2539" s="138"/>
      <c r="L2539" s="138">
        <v>0.0</v>
      </c>
      <c r="M2539" s="140" t="str">
        <f>VLOOKUP(text(D2539, "#"),'Master Table'!$A:$F, 6, FALSE)</f>
        <v>#N/A</v>
      </c>
      <c r="N2539" s="141"/>
      <c r="O2539" s="142" t="str">
        <f t="shared" si="1"/>
        <v/>
      </c>
      <c r="P2539" s="143" t="str">
        <f>IF(ISNA(VLOOKUP(CONCAT(M2539,C2539), 'Judge Count DO NOT EDIT'!H:H, 1, FALSE)), "ERROR","")</f>
        <v>ERROR</v>
      </c>
      <c r="Q2539" s="141"/>
      <c r="R2539" s="143"/>
      <c r="S2539" s="139"/>
      <c r="T2539" s="141"/>
    </row>
    <row r="2540">
      <c r="A2540" s="138"/>
      <c r="B2540" s="138"/>
      <c r="C2540" s="138"/>
      <c r="D2540" s="139"/>
      <c r="E2540" s="138"/>
      <c r="F2540" s="138"/>
      <c r="G2540" s="138"/>
      <c r="H2540" s="138"/>
      <c r="I2540" s="138"/>
      <c r="J2540" s="138"/>
      <c r="K2540" s="138"/>
      <c r="L2540" s="138">
        <v>0.0</v>
      </c>
      <c r="M2540" s="140" t="str">
        <f>VLOOKUP(text(D2540, "#"),'Master Table'!$A:$F, 6, FALSE)</f>
        <v>#N/A</v>
      </c>
      <c r="N2540" s="141"/>
      <c r="O2540" s="142" t="str">
        <f t="shared" si="1"/>
        <v/>
      </c>
      <c r="P2540" s="143" t="str">
        <f>IF(ISNA(VLOOKUP(CONCAT(M2540,C2540), 'Judge Count DO NOT EDIT'!H:H, 1, FALSE)), "ERROR","")</f>
        <v>ERROR</v>
      </c>
      <c r="Q2540" s="141"/>
      <c r="R2540" s="143"/>
      <c r="S2540" s="139"/>
      <c r="T2540" s="141"/>
    </row>
    <row r="2541">
      <c r="A2541" s="138"/>
      <c r="B2541" s="138"/>
      <c r="C2541" s="138"/>
      <c r="D2541" s="139"/>
      <c r="E2541" s="138"/>
      <c r="F2541" s="138"/>
      <c r="G2541" s="138"/>
      <c r="H2541" s="138"/>
      <c r="I2541" s="138"/>
      <c r="J2541" s="138"/>
      <c r="K2541" s="138"/>
      <c r="L2541" s="138">
        <v>0.0</v>
      </c>
      <c r="M2541" s="140" t="str">
        <f>VLOOKUP(text(D2541, "#"),'Master Table'!$A:$F, 6, FALSE)</f>
        <v>#N/A</v>
      </c>
      <c r="N2541" s="141"/>
      <c r="O2541" s="142" t="str">
        <f t="shared" si="1"/>
        <v/>
      </c>
      <c r="P2541" s="143" t="str">
        <f>IF(ISNA(VLOOKUP(CONCAT(M2541,C2541), 'Judge Count DO NOT EDIT'!H:H, 1, FALSE)), "ERROR","")</f>
        <v>ERROR</v>
      </c>
      <c r="Q2541" s="141"/>
      <c r="R2541" s="143"/>
      <c r="S2541" s="139"/>
      <c r="T2541" s="141"/>
    </row>
    <row r="2542">
      <c r="A2542" s="138"/>
      <c r="B2542" s="138"/>
      <c r="C2542" s="138"/>
      <c r="D2542" s="139"/>
      <c r="E2542" s="138"/>
      <c r="F2542" s="138"/>
      <c r="G2542" s="138"/>
      <c r="H2542" s="138"/>
      <c r="I2542" s="138"/>
      <c r="J2542" s="138"/>
      <c r="K2542" s="138"/>
      <c r="L2542" s="138">
        <v>0.0</v>
      </c>
      <c r="M2542" s="140" t="str">
        <f>VLOOKUP(text(D2542, "#"),'Master Table'!$A:$F, 6, FALSE)</f>
        <v>#N/A</v>
      </c>
      <c r="N2542" s="141"/>
      <c r="O2542" s="142" t="str">
        <f t="shared" si="1"/>
        <v/>
      </c>
      <c r="P2542" s="143" t="str">
        <f>IF(ISNA(VLOOKUP(CONCAT(M2542,C2542), 'Judge Count DO NOT EDIT'!H:H, 1, FALSE)), "ERROR","")</f>
        <v>ERROR</v>
      </c>
      <c r="Q2542" s="141"/>
      <c r="R2542" s="143"/>
      <c r="S2542" s="139"/>
      <c r="T2542" s="141"/>
    </row>
    <row r="2543">
      <c r="A2543" s="138"/>
      <c r="B2543" s="138"/>
      <c r="C2543" s="138"/>
      <c r="D2543" s="139"/>
      <c r="E2543" s="138"/>
      <c r="F2543" s="138"/>
      <c r="G2543" s="138"/>
      <c r="H2543" s="138"/>
      <c r="I2543" s="138"/>
      <c r="J2543" s="138"/>
      <c r="K2543" s="138"/>
      <c r="L2543" s="138">
        <v>0.0</v>
      </c>
      <c r="M2543" s="140" t="str">
        <f>VLOOKUP(text(D2543, "#"),'Master Table'!$A:$F, 6, FALSE)</f>
        <v>#N/A</v>
      </c>
      <c r="N2543" s="141"/>
      <c r="O2543" s="142" t="str">
        <f t="shared" si="1"/>
        <v/>
      </c>
      <c r="P2543" s="143" t="str">
        <f>IF(ISNA(VLOOKUP(CONCAT(M2543,C2543), 'Judge Count DO NOT EDIT'!H:H, 1, FALSE)), "ERROR","")</f>
        <v>ERROR</v>
      </c>
      <c r="Q2543" s="141"/>
      <c r="R2543" s="143"/>
      <c r="S2543" s="139"/>
      <c r="T2543" s="141"/>
    </row>
    <row r="2544">
      <c r="A2544" s="138"/>
      <c r="B2544" s="138"/>
      <c r="C2544" s="138"/>
      <c r="D2544" s="139"/>
      <c r="E2544" s="138"/>
      <c r="F2544" s="138"/>
      <c r="G2544" s="138"/>
      <c r="H2544" s="138"/>
      <c r="I2544" s="138"/>
      <c r="J2544" s="138"/>
      <c r="K2544" s="138"/>
      <c r="L2544" s="138">
        <v>0.0</v>
      </c>
      <c r="M2544" s="140" t="str">
        <f>VLOOKUP(text(D2544, "#"),'Master Table'!$A:$F, 6, FALSE)</f>
        <v>#N/A</v>
      </c>
      <c r="N2544" s="141"/>
      <c r="O2544" s="142" t="str">
        <f t="shared" si="1"/>
        <v/>
      </c>
      <c r="P2544" s="143" t="str">
        <f>IF(ISNA(VLOOKUP(CONCAT(M2544,C2544), 'Judge Count DO NOT EDIT'!H:H, 1, FALSE)), "ERROR","")</f>
        <v>ERROR</v>
      </c>
      <c r="Q2544" s="141"/>
      <c r="R2544" s="143"/>
      <c r="S2544" s="139"/>
      <c r="T2544" s="141"/>
    </row>
    <row r="2545">
      <c r="A2545" s="138"/>
      <c r="B2545" s="138"/>
      <c r="C2545" s="138"/>
      <c r="D2545" s="139"/>
      <c r="E2545" s="138"/>
      <c r="F2545" s="138"/>
      <c r="G2545" s="138"/>
      <c r="H2545" s="138"/>
      <c r="I2545" s="138"/>
      <c r="J2545" s="138"/>
      <c r="K2545" s="138"/>
      <c r="L2545" s="138">
        <v>0.0</v>
      </c>
      <c r="M2545" s="140" t="str">
        <f>VLOOKUP(text(D2545, "#"),'Master Table'!$A:$F, 6, FALSE)</f>
        <v>#N/A</v>
      </c>
      <c r="N2545" s="141"/>
      <c r="O2545" s="142" t="str">
        <f t="shared" si="1"/>
        <v/>
      </c>
      <c r="P2545" s="143" t="str">
        <f>IF(ISNA(VLOOKUP(CONCAT(M2545,C2545), 'Judge Count DO NOT EDIT'!H:H, 1, FALSE)), "ERROR","")</f>
        <v>ERROR</v>
      </c>
      <c r="Q2545" s="141"/>
      <c r="R2545" s="143"/>
      <c r="S2545" s="139"/>
      <c r="T2545" s="141"/>
    </row>
    <row r="2546">
      <c r="A2546" s="138"/>
      <c r="B2546" s="138"/>
      <c r="C2546" s="138"/>
      <c r="D2546" s="139"/>
      <c r="E2546" s="138"/>
      <c r="F2546" s="138"/>
      <c r="G2546" s="138"/>
      <c r="H2546" s="138"/>
      <c r="I2546" s="138"/>
      <c r="J2546" s="138"/>
      <c r="K2546" s="138"/>
      <c r="L2546" s="138">
        <v>0.0</v>
      </c>
      <c r="M2546" s="140" t="str">
        <f>VLOOKUP(text(D2546, "#"),'Master Table'!$A:$F, 6, FALSE)</f>
        <v>#N/A</v>
      </c>
      <c r="N2546" s="141"/>
      <c r="O2546" s="142" t="str">
        <f t="shared" si="1"/>
        <v/>
      </c>
      <c r="P2546" s="143" t="str">
        <f>IF(ISNA(VLOOKUP(CONCAT(M2546,C2546), 'Judge Count DO NOT EDIT'!H:H, 1, FALSE)), "ERROR","")</f>
        <v>ERROR</v>
      </c>
      <c r="Q2546" s="141"/>
      <c r="R2546" s="143"/>
      <c r="S2546" s="139"/>
      <c r="T2546" s="141"/>
    </row>
    <row r="2547">
      <c r="A2547" s="138"/>
      <c r="B2547" s="138"/>
      <c r="C2547" s="138"/>
      <c r="D2547" s="139"/>
      <c r="E2547" s="138"/>
      <c r="F2547" s="138"/>
      <c r="G2547" s="138"/>
      <c r="H2547" s="138"/>
      <c r="I2547" s="138"/>
      <c r="J2547" s="138"/>
      <c r="K2547" s="138"/>
      <c r="L2547" s="138">
        <v>0.0</v>
      </c>
      <c r="M2547" s="140" t="str">
        <f>VLOOKUP(text(D2547, "#"),'Master Table'!$A:$F, 6, FALSE)</f>
        <v>#N/A</v>
      </c>
      <c r="N2547" s="141"/>
      <c r="O2547" s="142" t="str">
        <f t="shared" si="1"/>
        <v/>
      </c>
      <c r="P2547" s="143" t="str">
        <f>IF(ISNA(VLOOKUP(CONCAT(M2547,C2547), 'Judge Count DO NOT EDIT'!H:H, 1, FALSE)), "ERROR","")</f>
        <v>ERROR</v>
      </c>
      <c r="Q2547" s="141"/>
      <c r="R2547" s="143"/>
      <c r="S2547" s="139"/>
      <c r="T2547" s="141"/>
    </row>
    <row r="2548">
      <c r="A2548" s="138"/>
      <c r="B2548" s="138"/>
      <c r="C2548" s="138"/>
      <c r="D2548" s="139"/>
      <c r="E2548" s="138"/>
      <c r="F2548" s="138"/>
      <c r="G2548" s="138"/>
      <c r="H2548" s="138"/>
      <c r="I2548" s="138"/>
      <c r="J2548" s="138"/>
      <c r="K2548" s="138"/>
      <c r="L2548" s="138">
        <v>0.0</v>
      </c>
      <c r="M2548" s="140" t="str">
        <f>VLOOKUP(text(D2548, "#"),'Master Table'!$A:$F, 6, FALSE)</f>
        <v>#N/A</v>
      </c>
      <c r="N2548" s="141"/>
      <c r="O2548" s="142" t="str">
        <f t="shared" si="1"/>
        <v/>
      </c>
      <c r="P2548" s="143" t="str">
        <f>IF(ISNA(VLOOKUP(CONCAT(M2548,C2548), 'Judge Count DO NOT EDIT'!H:H, 1, FALSE)), "ERROR","")</f>
        <v>ERROR</v>
      </c>
      <c r="Q2548" s="141"/>
      <c r="R2548" s="143"/>
      <c r="S2548" s="139"/>
      <c r="T2548" s="141"/>
    </row>
    <row r="2549">
      <c r="A2549" s="138"/>
      <c r="B2549" s="138"/>
      <c r="C2549" s="138"/>
      <c r="D2549" s="139"/>
      <c r="E2549" s="138"/>
      <c r="F2549" s="138"/>
      <c r="G2549" s="138"/>
      <c r="H2549" s="138"/>
      <c r="I2549" s="138"/>
      <c r="J2549" s="138"/>
      <c r="K2549" s="138"/>
      <c r="L2549" s="138">
        <v>0.0</v>
      </c>
      <c r="M2549" s="140" t="str">
        <f>VLOOKUP(text(D2549, "#"),'Master Table'!$A:$F, 6, FALSE)</f>
        <v>#N/A</v>
      </c>
      <c r="N2549" s="141"/>
      <c r="O2549" s="142" t="str">
        <f t="shared" si="1"/>
        <v/>
      </c>
      <c r="P2549" s="143" t="str">
        <f>IF(ISNA(VLOOKUP(CONCAT(M2549,C2549), 'Judge Count DO NOT EDIT'!H:H, 1, FALSE)), "ERROR","")</f>
        <v>ERROR</v>
      </c>
      <c r="Q2549" s="141"/>
      <c r="R2549" s="143"/>
      <c r="S2549" s="139"/>
      <c r="T2549" s="141"/>
    </row>
    <row r="2550">
      <c r="A2550" s="138"/>
      <c r="B2550" s="138"/>
      <c r="C2550" s="138"/>
      <c r="D2550" s="139"/>
      <c r="E2550" s="138"/>
      <c r="F2550" s="138"/>
      <c r="G2550" s="138"/>
      <c r="H2550" s="138"/>
      <c r="I2550" s="138"/>
      <c r="J2550" s="138"/>
      <c r="K2550" s="138"/>
      <c r="L2550" s="138">
        <v>0.0</v>
      </c>
      <c r="M2550" s="140" t="str">
        <f>VLOOKUP(text(D2550, "#"),'Master Table'!$A:$F, 6, FALSE)</f>
        <v>#N/A</v>
      </c>
      <c r="N2550" s="141"/>
      <c r="O2550" s="142" t="str">
        <f t="shared" si="1"/>
        <v/>
      </c>
      <c r="P2550" s="143" t="str">
        <f>IF(ISNA(VLOOKUP(CONCAT(M2550,C2550), 'Judge Count DO NOT EDIT'!H:H, 1, FALSE)), "ERROR","")</f>
        <v>ERROR</v>
      </c>
      <c r="Q2550" s="141"/>
      <c r="R2550" s="143"/>
      <c r="S2550" s="139"/>
      <c r="T2550" s="141"/>
    </row>
    <row r="2551">
      <c r="A2551" s="138"/>
      <c r="B2551" s="138"/>
      <c r="C2551" s="138"/>
      <c r="D2551" s="139"/>
      <c r="E2551" s="138"/>
      <c r="F2551" s="138"/>
      <c r="G2551" s="138"/>
      <c r="H2551" s="138"/>
      <c r="I2551" s="138"/>
      <c r="J2551" s="138"/>
      <c r="K2551" s="138"/>
      <c r="L2551" s="138">
        <v>0.0</v>
      </c>
      <c r="M2551" s="140" t="str">
        <f>VLOOKUP(text(D2551, "#"),'Master Table'!$A:$F, 6, FALSE)</f>
        <v>#N/A</v>
      </c>
      <c r="N2551" s="141"/>
      <c r="O2551" s="142" t="str">
        <f t="shared" si="1"/>
        <v/>
      </c>
      <c r="P2551" s="143" t="str">
        <f>IF(ISNA(VLOOKUP(CONCAT(M2551,C2551), 'Judge Count DO NOT EDIT'!H:H, 1, FALSE)), "ERROR","")</f>
        <v>ERROR</v>
      </c>
      <c r="Q2551" s="141"/>
      <c r="R2551" s="143"/>
      <c r="S2551" s="139"/>
      <c r="T2551" s="141"/>
    </row>
    <row r="2552">
      <c r="A2552" s="138"/>
      <c r="B2552" s="138"/>
      <c r="C2552" s="138"/>
      <c r="D2552" s="139"/>
      <c r="E2552" s="138"/>
      <c r="F2552" s="138"/>
      <c r="G2552" s="138"/>
      <c r="H2552" s="138"/>
      <c r="I2552" s="138"/>
      <c r="J2552" s="138"/>
      <c r="K2552" s="138"/>
      <c r="L2552" s="138">
        <v>0.0</v>
      </c>
      <c r="M2552" s="140" t="str">
        <f>VLOOKUP(text(D2552, "#"),'Master Table'!$A:$F, 6, FALSE)</f>
        <v>#N/A</v>
      </c>
      <c r="N2552" s="141"/>
      <c r="O2552" s="142" t="str">
        <f t="shared" si="1"/>
        <v/>
      </c>
      <c r="P2552" s="143" t="str">
        <f>IF(ISNA(VLOOKUP(CONCAT(M2552,C2552), 'Judge Count DO NOT EDIT'!H:H, 1, FALSE)), "ERROR","")</f>
        <v>ERROR</v>
      </c>
      <c r="Q2552" s="141"/>
      <c r="R2552" s="143"/>
      <c r="S2552" s="139"/>
      <c r="T2552" s="141"/>
    </row>
    <row r="2553">
      <c r="A2553" s="138"/>
      <c r="B2553" s="138"/>
      <c r="C2553" s="138"/>
      <c r="D2553" s="139"/>
      <c r="E2553" s="138"/>
      <c r="F2553" s="138"/>
      <c r="G2553" s="138"/>
      <c r="H2553" s="138"/>
      <c r="I2553" s="138"/>
      <c r="J2553" s="138"/>
      <c r="K2553" s="138"/>
      <c r="L2553" s="138">
        <v>0.0</v>
      </c>
      <c r="M2553" s="140" t="str">
        <f>VLOOKUP(text(D2553, "#"),'Master Table'!$A:$F, 6, FALSE)</f>
        <v>#N/A</v>
      </c>
      <c r="N2553" s="141"/>
      <c r="O2553" s="142" t="str">
        <f t="shared" si="1"/>
        <v/>
      </c>
      <c r="P2553" s="143" t="str">
        <f>IF(ISNA(VLOOKUP(CONCAT(M2553,C2553), 'Judge Count DO NOT EDIT'!H:H, 1, FALSE)), "ERROR","")</f>
        <v>ERROR</v>
      </c>
      <c r="Q2553" s="141"/>
      <c r="R2553" s="143"/>
      <c r="S2553" s="139"/>
      <c r="T2553" s="141"/>
    </row>
    <row r="2554">
      <c r="A2554" s="138"/>
      <c r="B2554" s="138"/>
      <c r="C2554" s="138"/>
      <c r="D2554" s="139"/>
      <c r="E2554" s="138"/>
      <c r="F2554" s="138"/>
      <c r="G2554" s="138"/>
      <c r="H2554" s="138"/>
      <c r="I2554" s="138"/>
      <c r="J2554" s="138"/>
      <c r="K2554" s="138"/>
      <c r="L2554" s="138">
        <v>0.0</v>
      </c>
      <c r="M2554" s="140" t="str">
        <f>VLOOKUP(text(D2554, "#"),'Master Table'!$A:$F, 6, FALSE)</f>
        <v>#N/A</v>
      </c>
      <c r="N2554" s="141"/>
      <c r="O2554" s="142" t="str">
        <f t="shared" si="1"/>
        <v/>
      </c>
      <c r="P2554" s="143" t="str">
        <f>IF(ISNA(VLOOKUP(CONCAT(M2554,C2554), 'Judge Count DO NOT EDIT'!H:H, 1, FALSE)), "ERROR","")</f>
        <v>ERROR</v>
      </c>
      <c r="Q2554" s="141"/>
      <c r="R2554" s="143"/>
      <c r="S2554" s="139"/>
      <c r="T2554" s="141"/>
    </row>
    <row r="2555">
      <c r="A2555" s="138"/>
      <c r="B2555" s="138"/>
      <c r="C2555" s="138"/>
      <c r="D2555" s="139"/>
      <c r="E2555" s="138"/>
      <c r="F2555" s="138"/>
      <c r="G2555" s="138"/>
      <c r="H2555" s="138"/>
      <c r="I2555" s="138"/>
      <c r="J2555" s="138"/>
      <c r="K2555" s="138"/>
      <c r="L2555" s="138">
        <v>0.0</v>
      </c>
      <c r="M2555" s="140" t="str">
        <f>VLOOKUP(text(D2555, "#"),'Master Table'!$A:$F, 6, FALSE)</f>
        <v>#N/A</v>
      </c>
      <c r="N2555" s="141"/>
      <c r="O2555" s="142" t="str">
        <f t="shared" si="1"/>
        <v/>
      </c>
      <c r="P2555" s="143" t="str">
        <f>IF(ISNA(VLOOKUP(CONCAT(M2555,C2555), 'Judge Count DO NOT EDIT'!H:H, 1, FALSE)), "ERROR","")</f>
        <v>ERROR</v>
      </c>
      <c r="Q2555" s="141"/>
      <c r="R2555" s="143"/>
      <c r="S2555" s="139"/>
      <c r="T2555" s="141"/>
    </row>
    <row r="2556">
      <c r="A2556" s="138"/>
      <c r="B2556" s="138"/>
      <c r="C2556" s="138"/>
      <c r="D2556" s="139"/>
      <c r="E2556" s="138"/>
      <c r="F2556" s="138"/>
      <c r="G2556" s="138"/>
      <c r="H2556" s="138"/>
      <c r="I2556" s="138"/>
      <c r="J2556" s="138"/>
      <c r="K2556" s="138"/>
      <c r="L2556" s="138">
        <v>0.0</v>
      </c>
      <c r="M2556" s="140" t="str">
        <f>VLOOKUP(text(D2556, "#"),'Master Table'!$A:$F, 6, FALSE)</f>
        <v>#N/A</v>
      </c>
      <c r="N2556" s="141"/>
      <c r="O2556" s="142" t="str">
        <f t="shared" si="1"/>
        <v/>
      </c>
      <c r="P2556" s="143" t="str">
        <f>IF(ISNA(VLOOKUP(CONCAT(M2556,C2556), 'Judge Count DO NOT EDIT'!H:H, 1, FALSE)), "ERROR","")</f>
        <v>ERROR</v>
      </c>
      <c r="Q2556" s="141"/>
      <c r="R2556" s="143"/>
      <c r="S2556" s="139"/>
      <c r="T2556" s="141"/>
    </row>
    <row r="2557">
      <c r="A2557" s="138"/>
      <c r="B2557" s="138"/>
      <c r="C2557" s="138"/>
      <c r="D2557" s="139"/>
      <c r="E2557" s="138"/>
      <c r="F2557" s="138"/>
      <c r="G2557" s="138"/>
      <c r="H2557" s="138"/>
      <c r="I2557" s="138"/>
      <c r="J2557" s="138"/>
      <c r="K2557" s="138"/>
      <c r="L2557" s="138">
        <v>0.0</v>
      </c>
      <c r="M2557" s="140" t="str">
        <f>VLOOKUP(text(D2557, "#"),'Master Table'!$A:$F, 6, FALSE)</f>
        <v>#N/A</v>
      </c>
      <c r="N2557" s="141"/>
      <c r="O2557" s="142" t="str">
        <f t="shared" si="1"/>
        <v/>
      </c>
      <c r="P2557" s="143" t="str">
        <f>IF(ISNA(VLOOKUP(CONCAT(M2557,C2557), 'Judge Count DO NOT EDIT'!H:H, 1, FALSE)), "ERROR","")</f>
        <v>ERROR</v>
      </c>
      <c r="Q2557" s="141"/>
      <c r="R2557" s="143"/>
      <c r="S2557" s="139"/>
      <c r="T2557" s="141"/>
    </row>
    <row r="2558">
      <c r="A2558" s="138"/>
      <c r="B2558" s="138"/>
      <c r="C2558" s="138"/>
      <c r="D2558" s="139"/>
      <c r="E2558" s="138"/>
      <c r="F2558" s="138"/>
      <c r="G2558" s="138"/>
      <c r="H2558" s="138"/>
      <c r="I2558" s="138"/>
      <c r="J2558" s="138"/>
      <c r="K2558" s="138"/>
      <c r="L2558" s="138">
        <v>0.0</v>
      </c>
      <c r="M2558" s="140" t="str">
        <f>VLOOKUP(text(D2558, "#"),'Master Table'!$A:$F, 6, FALSE)</f>
        <v>#N/A</v>
      </c>
      <c r="N2558" s="141"/>
      <c r="O2558" s="142" t="str">
        <f t="shared" si="1"/>
        <v/>
      </c>
      <c r="P2558" s="143" t="str">
        <f>IF(ISNA(VLOOKUP(CONCAT(M2558,C2558), 'Judge Count DO NOT EDIT'!H:H, 1, FALSE)), "ERROR","")</f>
        <v>ERROR</v>
      </c>
      <c r="Q2558" s="141"/>
      <c r="R2558" s="143"/>
      <c r="S2558" s="139"/>
      <c r="T2558" s="141"/>
    </row>
    <row r="2559">
      <c r="A2559" s="138"/>
      <c r="B2559" s="138"/>
      <c r="C2559" s="138"/>
      <c r="D2559" s="139"/>
      <c r="E2559" s="138"/>
      <c r="F2559" s="138"/>
      <c r="G2559" s="138"/>
      <c r="H2559" s="138"/>
      <c r="I2559" s="138"/>
      <c r="J2559" s="138"/>
      <c r="K2559" s="138"/>
      <c r="L2559" s="138">
        <v>0.0</v>
      </c>
      <c r="M2559" s="140" t="str">
        <f>VLOOKUP(text(D2559, "#"),'Master Table'!$A:$F, 6, FALSE)</f>
        <v>#N/A</v>
      </c>
      <c r="N2559" s="141"/>
      <c r="O2559" s="142" t="str">
        <f t="shared" si="1"/>
        <v/>
      </c>
      <c r="P2559" s="143" t="str">
        <f>IF(ISNA(VLOOKUP(CONCAT(M2559,C2559), 'Judge Count DO NOT EDIT'!H:H, 1, FALSE)), "ERROR","")</f>
        <v>ERROR</v>
      </c>
      <c r="Q2559" s="141"/>
      <c r="R2559" s="143"/>
      <c r="S2559" s="139"/>
      <c r="T2559" s="141"/>
    </row>
    <row r="2560">
      <c r="A2560" s="138"/>
      <c r="B2560" s="138"/>
      <c r="C2560" s="138"/>
      <c r="D2560" s="139"/>
      <c r="E2560" s="138"/>
      <c r="F2560" s="138"/>
      <c r="G2560" s="138"/>
      <c r="H2560" s="138"/>
      <c r="I2560" s="138"/>
      <c r="J2560" s="138"/>
      <c r="K2560" s="138"/>
      <c r="L2560" s="138">
        <v>0.0</v>
      </c>
      <c r="M2560" s="140" t="str">
        <f>VLOOKUP(text(D2560, "#"),'Master Table'!$A:$F, 6, FALSE)</f>
        <v>#N/A</v>
      </c>
      <c r="N2560" s="141"/>
      <c r="O2560" s="142" t="str">
        <f t="shared" si="1"/>
        <v/>
      </c>
      <c r="P2560" s="143" t="str">
        <f>IF(ISNA(VLOOKUP(CONCAT(M2560,C2560), 'Judge Count DO NOT EDIT'!H:H, 1, FALSE)), "ERROR","")</f>
        <v>ERROR</v>
      </c>
      <c r="Q2560" s="141"/>
      <c r="R2560" s="143"/>
      <c r="S2560" s="139"/>
      <c r="T2560" s="141"/>
    </row>
    <row r="2561">
      <c r="A2561" s="138"/>
      <c r="B2561" s="138"/>
      <c r="C2561" s="138"/>
      <c r="D2561" s="139"/>
      <c r="E2561" s="138"/>
      <c r="F2561" s="138"/>
      <c r="G2561" s="138"/>
      <c r="H2561" s="138"/>
      <c r="I2561" s="138"/>
      <c r="J2561" s="138"/>
      <c r="K2561" s="138"/>
      <c r="L2561" s="138">
        <v>0.0</v>
      </c>
      <c r="M2561" s="140" t="str">
        <f>VLOOKUP(text(D2561, "#"),'Master Table'!$A:$F, 6, FALSE)</f>
        <v>#N/A</v>
      </c>
      <c r="N2561" s="141"/>
      <c r="O2561" s="142" t="str">
        <f t="shared" si="1"/>
        <v/>
      </c>
      <c r="P2561" s="143" t="str">
        <f>IF(ISNA(VLOOKUP(CONCAT(M2561,C2561), 'Judge Count DO NOT EDIT'!H:H, 1, FALSE)), "ERROR","")</f>
        <v>ERROR</v>
      </c>
      <c r="Q2561" s="141"/>
      <c r="R2561" s="143"/>
      <c r="S2561" s="139"/>
      <c r="T2561" s="141"/>
    </row>
    <row r="2562">
      <c r="A2562" s="138"/>
      <c r="B2562" s="138"/>
      <c r="C2562" s="138"/>
      <c r="D2562" s="139"/>
      <c r="E2562" s="138"/>
      <c r="F2562" s="138"/>
      <c r="G2562" s="138"/>
      <c r="H2562" s="138"/>
      <c r="I2562" s="138"/>
      <c r="J2562" s="138"/>
      <c r="K2562" s="138"/>
      <c r="L2562" s="138">
        <v>0.0</v>
      </c>
      <c r="M2562" s="140" t="str">
        <f>VLOOKUP(text(D2562, "#"),'Master Table'!$A:$F, 6, FALSE)</f>
        <v>#N/A</v>
      </c>
      <c r="N2562" s="141"/>
      <c r="O2562" s="142" t="str">
        <f t="shared" si="1"/>
        <v/>
      </c>
      <c r="P2562" s="143" t="str">
        <f>IF(ISNA(VLOOKUP(CONCAT(M2562,C2562), 'Judge Count DO NOT EDIT'!H:H, 1, FALSE)), "ERROR","")</f>
        <v>ERROR</v>
      </c>
      <c r="Q2562" s="141"/>
      <c r="R2562" s="143"/>
      <c r="S2562" s="139"/>
      <c r="T2562" s="141"/>
    </row>
    <row r="2563">
      <c r="A2563" s="138"/>
      <c r="B2563" s="138"/>
      <c r="C2563" s="138"/>
      <c r="D2563" s="139"/>
      <c r="E2563" s="138"/>
      <c r="F2563" s="138"/>
      <c r="G2563" s="138"/>
      <c r="H2563" s="138"/>
      <c r="I2563" s="138"/>
      <c r="J2563" s="138"/>
      <c r="K2563" s="138"/>
      <c r="L2563" s="138">
        <v>0.0</v>
      </c>
      <c r="M2563" s="140" t="str">
        <f>VLOOKUP(text(D2563, "#"),'Master Table'!$A:$F, 6, FALSE)</f>
        <v>#N/A</v>
      </c>
      <c r="N2563" s="141"/>
      <c r="O2563" s="142" t="str">
        <f t="shared" si="1"/>
        <v/>
      </c>
      <c r="P2563" s="143" t="str">
        <f>IF(ISNA(VLOOKUP(CONCAT(M2563,C2563), 'Judge Count DO NOT EDIT'!H:H, 1, FALSE)), "ERROR","")</f>
        <v>ERROR</v>
      </c>
      <c r="Q2563" s="141"/>
      <c r="R2563" s="143"/>
      <c r="S2563" s="139"/>
      <c r="T2563" s="141"/>
    </row>
    <row r="2564">
      <c r="A2564" s="138"/>
      <c r="B2564" s="138"/>
      <c r="C2564" s="138"/>
      <c r="D2564" s="139"/>
      <c r="E2564" s="138"/>
      <c r="F2564" s="138"/>
      <c r="G2564" s="138"/>
      <c r="H2564" s="138"/>
      <c r="I2564" s="138"/>
      <c r="J2564" s="138"/>
      <c r="K2564" s="138"/>
      <c r="L2564" s="138">
        <v>0.0</v>
      </c>
      <c r="M2564" s="140" t="str">
        <f>VLOOKUP(text(D2564, "#"),'Master Table'!$A:$F, 6, FALSE)</f>
        <v>#N/A</v>
      </c>
      <c r="N2564" s="141"/>
      <c r="O2564" s="142" t="str">
        <f t="shared" si="1"/>
        <v/>
      </c>
      <c r="P2564" s="143" t="str">
        <f>IF(ISNA(VLOOKUP(CONCAT(M2564,C2564), 'Judge Count DO NOT EDIT'!H:H, 1, FALSE)), "ERROR","")</f>
        <v>ERROR</v>
      </c>
      <c r="Q2564" s="141"/>
      <c r="R2564" s="143"/>
      <c r="S2564" s="139"/>
      <c r="T2564" s="141"/>
    </row>
    <row r="2565">
      <c r="A2565" s="138"/>
      <c r="B2565" s="138"/>
      <c r="C2565" s="138"/>
      <c r="D2565" s="139"/>
      <c r="E2565" s="138"/>
      <c r="F2565" s="138"/>
      <c r="G2565" s="138"/>
      <c r="H2565" s="138"/>
      <c r="I2565" s="138"/>
      <c r="J2565" s="138"/>
      <c r="K2565" s="138"/>
      <c r="L2565" s="138">
        <v>0.0</v>
      </c>
      <c r="M2565" s="140" t="str">
        <f>VLOOKUP(text(D2565, "#"),'Master Table'!$A:$F, 6, FALSE)</f>
        <v>#N/A</v>
      </c>
      <c r="N2565" s="141"/>
      <c r="O2565" s="142" t="str">
        <f t="shared" si="1"/>
        <v/>
      </c>
      <c r="P2565" s="143" t="str">
        <f>IF(ISNA(VLOOKUP(CONCAT(M2565,C2565), 'Judge Count DO NOT EDIT'!H:H, 1, FALSE)), "ERROR","")</f>
        <v>ERROR</v>
      </c>
      <c r="Q2565" s="141"/>
      <c r="R2565" s="143"/>
      <c r="S2565" s="139"/>
      <c r="T2565" s="141"/>
    </row>
    <row r="2566">
      <c r="A2566" s="138"/>
      <c r="B2566" s="138"/>
      <c r="C2566" s="138"/>
      <c r="D2566" s="139"/>
      <c r="E2566" s="138"/>
      <c r="F2566" s="138"/>
      <c r="G2566" s="138"/>
      <c r="H2566" s="138"/>
      <c r="I2566" s="138"/>
      <c r="J2566" s="138"/>
      <c r="K2566" s="138"/>
      <c r="L2566" s="138">
        <v>0.0</v>
      </c>
      <c r="M2566" s="140" t="str">
        <f>VLOOKUP(text(D2566, "#"),'Master Table'!$A:$F, 6, FALSE)</f>
        <v>#N/A</v>
      </c>
      <c r="N2566" s="141"/>
      <c r="O2566" s="142" t="str">
        <f t="shared" si="1"/>
        <v/>
      </c>
      <c r="P2566" s="143" t="str">
        <f>IF(ISNA(VLOOKUP(CONCAT(M2566,C2566), 'Judge Count DO NOT EDIT'!H:H, 1, FALSE)), "ERROR","")</f>
        <v>ERROR</v>
      </c>
      <c r="Q2566" s="141"/>
      <c r="R2566" s="143"/>
      <c r="S2566" s="139"/>
      <c r="T2566" s="141"/>
    </row>
    <row r="2567">
      <c r="A2567" s="138"/>
      <c r="B2567" s="138"/>
      <c r="C2567" s="138"/>
      <c r="D2567" s="139"/>
      <c r="E2567" s="138"/>
      <c r="F2567" s="138"/>
      <c r="G2567" s="138"/>
      <c r="H2567" s="138"/>
      <c r="I2567" s="138"/>
      <c r="J2567" s="138"/>
      <c r="K2567" s="138"/>
      <c r="L2567" s="138">
        <v>0.0</v>
      </c>
      <c r="M2567" s="140" t="str">
        <f>VLOOKUP(text(D2567, "#"),'Master Table'!$A:$F, 6, FALSE)</f>
        <v>#N/A</v>
      </c>
      <c r="N2567" s="141"/>
      <c r="O2567" s="142" t="str">
        <f t="shared" si="1"/>
        <v/>
      </c>
      <c r="P2567" s="143" t="str">
        <f>IF(ISNA(VLOOKUP(CONCAT(M2567,C2567), 'Judge Count DO NOT EDIT'!H:H, 1, FALSE)), "ERROR","")</f>
        <v>ERROR</v>
      </c>
      <c r="Q2567" s="141"/>
      <c r="R2567" s="143"/>
      <c r="S2567" s="139"/>
      <c r="T2567" s="141"/>
    </row>
    <row r="2568">
      <c r="A2568" s="138"/>
      <c r="B2568" s="138"/>
      <c r="C2568" s="138"/>
      <c r="D2568" s="139"/>
      <c r="E2568" s="138"/>
      <c r="F2568" s="138"/>
      <c r="G2568" s="138"/>
      <c r="H2568" s="138"/>
      <c r="I2568" s="138"/>
      <c r="J2568" s="138"/>
      <c r="K2568" s="138"/>
      <c r="L2568" s="138">
        <v>0.0</v>
      </c>
      <c r="M2568" s="140" t="str">
        <f>VLOOKUP(text(D2568, "#"),'Master Table'!$A:$F, 6, FALSE)</f>
        <v>#N/A</v>
      </c>
      <c r="N2568" s="141"/>
      <c r="O2568" s="142" t="str">
        <f t="shared" si="1"/>
        <v/>
      </c>
      <c r="P2568" s="143" t="str">
        <f>IF(ISNA(VLOOKUP(CONCAT(M2568,C2568), 'Judge Count DO NOT EDIT'!H:H, 1, FALSE)), "ERROR","")</f>
        <v>ERROR</v>
      </c>
      <c r="Q2568" s="141"/>
      <c r="R2568" s="143"/>
      <c r="S2568" s="139"/>
      <c r="T2568" s="141"/>
    </row>
    <row r="2569">
      <c r="A2569" s="138"/>
      <c r="B2569" s="138"/>
      <c r="C2569" s="138"/>
      <c r="D2569" s="139"/>
      <c r="E2569" s="138"/>
      <c r="F2569" s="138"/>
      <c r="G2569" s="138"/>
      <c r="H2569" s="138"/>
      <c r="I2569" s="138"/>
      <c r="J2569" s="138"/>
      <c r="K2569" s="138"/>
      <c r="L2569" s="138">
        <v>0.0</v>
      </c>
      <c r="M2569" s="140" t="str">
        <f>VLOOKUP(text(D2569, "#"),'Master Table'!$A:$F, 6, FALSE)</f>
        <v>#N/A</v>
      </c>
      <c r="N2569" s="141"/>
      <c r="O2569" s="142" t="str">
        <f t="shared" si="1"/>
        <v/>
      </c>
      <c r="P2569" s="143" t="str">
        <f>IF(ISNA(VLOOKUP(CONCAT(M2569,C2569), 'Judge Count DO NOT EDIT'!H:H, 1, FALSE)), "ERROR","")</f>
        <v>ERROR</v>
      </c>
      <c r="Q2569" s="141"/>
      <c r="R2569" s="143"/>
      <c r="S2569" s="139"/>
      <c r="T2569" s="141"/>
    </row>
    <row r="2570">
      <c r="A2570" s="138"/>
      <c r="B2570" s="138"/>
      <c r="C2570" s="138"/>
      <c r="D2570" s="139"/>
      <c r="E2570" s="138"/>
      <c r="F2570" s="138"/>
      <c r="G2570" s="138"/>
      <c r="H2570" s="138"/>
      <c r="I2570" s="138"/>
      <c r="J2570" s="138"/>
      <c r="K2570" s="138"/>
      <c r="L2570" s="138">
        <v>0.0</v>
      </c>
      <c r="M2570" s="140" t="str">
        <f>VLOOKUP(text(D2570, "#"),'Master Table'!$A:$F, 6, FALSE)</f>
        <v>#N/A</v>
      </c>
      <c r="N2570" s="141"/>
      <c r="O2570" s="142" t="str">
        <f t="shared" si="1"/>
        <v/>
      </c>
      <c r="P2570" s="143" t="str">
        <f>IF(ISNA(VLOOKUP(CONCAT(M2570,C2570), 'Judge Count DO NOT EDIT'!H:H, 1, FALSE)), "ERROR","")</f>
        <v>ERROR</v>
      </c>
      <c r="Q2570" s="141"/>
      <c r="R2570" s="143"/>
      <c r="S2570" s="139"/>
      <c r="T2570" s="141"/>
    </row>
    <row r="2571">
      <c r="A2571" s="138"/>
      <c r="B2571" s="138"/>
      <c r="C2571" s="138"/>
      <c r="D2571" s="139"/>
      <c r="E2571" s="138"/>
      <c r="F2571" s="138"/>
      <c r="G2571" s="138"/>
      <c r="H2571" s="138"/>
      <c r="I2571" s="138"/>
      <c r="J2571" s="138"/>
      <c r="K2571" s="138"/>
      <c r="L2571" s="138">
        <v>0.0</v>
      </c>
      <c r="M2571" s="140" t="str">
        <f>VLOOKUP(text(D2571, "#"),'Master Table'!$A:$F, 6, FALSE)</f>
        <v>#N/A</v>
      </c>
      <c r="N2571" s="141"/>
      <c r="O2571" s="142" t="str">
        <f t="shared" si="1"/>
        <v/>
      </c>
      <c r="P2571" s="143" t="str">
        <f>IF(ISNA(VLOOKUP(CONCAT(M2571,C2571), 'Judge Count DO NOT EDIT'!H:H, 1, FALSE)), "ERROR","")</f>
        <v>ERROR</v>
      </c>
      <c r="Q2571" s="141"/>
      <c r="R2571" s="143"/>
      <c r="S2571" s="139"/>
      <c r="T2571" s="141"/>
    </row>
    <row r="2572">
      <c r="A2572" s="138"/>
      <c r="B2572" s="138"/>
      <c r="C2572" s="138"/>
      <c r="D2572" s="139"/>
      <c r="E2572" s="138"/>
      <c r="F2572" s="138"/>
      <c r="G2572" s="138"/>
      <c r="H2572" s="138"/>
      <c r="I2572" s="138"/>
      <c r="J2572" s="138"/>
      <c r="K2572" s="138"/>
      <c r="L2572" s="138">
        <v>0.0</v>
      </c>
      <c r="M2572" s="140" t="str">
        <f>VLOOKUP(text(D2572, "#"),'Master Table'!$A:$F, 6, FALSE)</f>
        <v>#N/A</v>
      </c>
      <c r="N2572" s="141"/>
      <c r="O2572" s="142" t="str">
        <f t="shared" si="1"/>
        <v/>
      </c>
      <c r="P2572" s="143" t="str">
        <f>IF(ISNA(VLOOKUP(CONCAT(M2572,C2572), 'Judge Count DO NOT EDIT'!H:H, 1, FALSE)), "ERROR","")</f>
        <v>ERROR</v>
      </c>
      <c r="Q2572" s="141"/>
      <c r="R2572" s="143"/>
      <c r="S2572" s="139"/>
      <c r="T2572" s="141"/>
    </row>
    <row r="2573">
      <c r="A2573" s="138"/>
      <c r="B2573" s="138"/>
      <c r="C2573" s="138"/>
      <c r="D2573" s="139"/>
      <c r="E2573" s="138"/>
      <c r="F2573" s="138"/>
      <c r="G2573" s="138"/>
      <c r="H2573" s="138"/>
      <c r="I2573" s="138"/>
      <c r="J2573" s="138"/>
      <c r="K2573" s="138"/>
      <c r="L2573" s="138">
        <v>0.0</v>
      </c>
      <c r="M2573" s="140" t="str">
        <f>VLOOKUP(text(D2573, "#"),'Master Table'!$A:$F, 6, FALSE)</f>
        <v>#N/A</v>
      </c>
      <c r="N2573" s="141"/>
      <c r="O2573" s="142" t="str">
        <f t="shared" si="1"/>
        <v/>
      </c>
      <c r="P2573" s="143" t="str">
        <f>IF(ISNA(VLOOKUP(CONCAT(M2573,C2573), 'Judge Count DO NOT EDIT'!H:H, 1, FALSE)), "ERROR","")</f>
        <v>ERROR</v>
      </c>
      <c r="Q2573" s="141"/>
      <c r="R2573" s="143"/>
      <c r="S2573" s="139"/>
      <c r="T2573" s="141"/>
    </row>
    <row r="2574">
      <c r="A2574" s="138"/>
      <c r="B2574" s="138"/>
      <c r="C2574" s="138"/>
      <c r="D2574" s="139"/>
      <c r="E2574" s="138"/>
      <c r="F2574" s="138"/>
      <c r="G2574" s="138"/>
      <c r="H2574" s="138"/>
      <c r="I2574" s="138"/>
      <c r="J2574" s="138"/>
      <c r="K2574" s="138"/>
      <c r="L2574" s="138">
        <v>0.0</v>
      </c>
      <c r="M2574" s="140" t="str">
        <f>VLOOKUP(text(D2574, "#"),'Master Table'!$A:$F, 6, FALSE)</f>
        <v>#N/A</v>
      </c>
      <c r="N2574" s="141"/>
      <c r="O2574" s="142" t="str">
        <f t="shared" si="1"/>
        <v/>
      </c>
      <c r="P2574" s="143" t="str">
        <f>IF(ISNA(VLOOKUP(CONCAT(M2574,C2574), 'Judge Count DO NOT EDIT'!H:H, 1, FALSE)), "ERROR","")</f>
        <v>ERROR</v>
      </c>
      <c r="Q2574" s="141"/>
      <c r="R2574" s="143"/>
      <c r="S2574" s="139"/>
      <c r="T2574" s="141"/>
    </row>
    <row r="2575">
      <c r="A2575" s="138"/>
      <c r="B2575" s="138"/>
      <c r="C2575" s="138"/>
      <c r="D2575" s="139"/>
      <c r="E2575" s="138"/>
      <c r="F2575" s="138"/>
      <c r="G2575" s="138"/>
      <c r="H2575" s="138"/>
      <c r="I2575" s="138"/>
      <c r="J2575" s="138"/>
      <c r="K2575" s="138"/>
      <c r="L2575" s="138">
        <v>0.0</v>
      </c>
      <c r="M2575" s="140" t="str">
        <f>VLOOKUP(text(D2575, "#"),'Master Table'!$A:$F, 6, FALSE)</f>
        <v>#N/A</v>
      </c>
      <c r="N2575" s="141"/>
      <c r="O2575" s="142" t="str">
        <f t="shared" si="1"/>
        <v/>
      </c>
      <c r="P2575" s="143" t="str">
        <f>IF(ISNA(VLOOKUP(CONCAT(M2575,C2575), 'Judge Count DO NOT EDIT'!H:H, 1, FALSE)), "ERROR","")</f>
        <v>ERROR</v>
      </c>
      <c r="Q2575" s="141"/>
      <c r="R2575" s="143"/>
      <c r="S2575" s="139"/>
      <c r="T2575" s="141"/>
    </row>
    <row r="2576">
      <c r="A2576" s="138"/>
      <c r="B2576" s="138"/>
      <c r="C2576" s="138"/>
      <c r="D2576" s="139"/>
      <c r="E2576" s="138"/>
      <c r="F2576" s="138"/>
      <c r="G2576" s="138"/>
      <c r="H2576" s="138"/>
      <c r="I2576" s="138"/>
      <c r="J2576" s="138"/>
      <c r="K2576" s="138"/>
      <c r="L2576" s="138">
        <v>0.0</v>
      </c>
      <c r="M2576" s="140" t="str">
        <f>VLOOKUP(text(D2576, "#"),'Master Table'!$A:$F, 6, FALSE)</f>
        <v>#N/A</v>
      </c>
      <c r="N2576" s="141"/>
      <c r="O2576" s="142" t="str">
        <f t="shared" si="1"/>
        <v/>
      </c>
      <c r="P2576" s="143" t="str">
        <f>IF(ISNA(VLOOKUP(CONCAT(M2576,C2576), 'Judge Count DO NOT EDIT'!H:H, 1, FALSE)), "ERROR","")</f>
        <v>ERROR</v>
      </c>
      <c r="Q2576" s="141"/>
      <c r="R2576" s="143"/>
      <c r="S2576" s="139"/>
      <c r="T2576" s="141"/>
    </row>
    <row r="2577">
      <c r="A2577" s="138"/>
      <c r="B2577" s="138"/>
      <c r="C2577" s="138"/>
      <c r="D2577" s="139"/>
      <c r="E2577" s="138"/>
      <c r="F2577" s="138"/>
      <c r="G2577" s="138"/>
      <c r="H2577" s="138"/>
      <c r="I2577" s="138"/>
      <c r="J2577" s="138"/>
      <c r="K2577" s="138"/>
      <c r="L2577" s="138">
        <v>0.0</v>
      </c>
      <c r="M2577" s="140" t="str">
        <f>VLOOKUP(text(D2577, "#"),'Master Table'!$A:$F, 6, FALSE)</f>
        <v>#N/A</v>
      </c>
      <c r="N2577" s="141"/>
      <c r="O2577" s="142" t="str">
        <f t="shared" si="1"/>
        <v/>
      </c>
      <c r="P2577" s="143" t="str">
        <f>IF(ISNA(VLOOKUP(CONCAT(M2577,C2577), 'Judge Count DO NOT EDIT'!H:H, 1, FALSE)), "ERROR","")</f>
        <v>ERROR</v>
      </c>
      <c r="Q2577" s="141"/>
      <c r="R2577" s="143"/>
      <c r="S2577" s="139"/>
      <c r="T2577" s="141"/>
    </row>
    <row r="2578">
      <c r="A2578" s="138"/>
      <c r="B2578" s="138"/>
      <c r="C2578" s="138"/>
      <c r="D2578" s="139"/>
      <c r="E2578" s="138"/>
      <c r="F2578" s="138"/>
      <c r="G2578" s="138"/>
      <c r="H2578" s="138"/>
      <c r="I2578" s="138"/>
      <c r="J2578" s="138"/>
      <c r="K2578" s="138"/>
      <c r="L2578" s="138">
        <v>0.0</v>
      </c>
      <c r="M2578" s="140" t="str">
        <f>VLOOKUP(text(D2578, "#"),'Master Table'!$A:$F, 6, FALSE)</f>
        <v>#N/A</v>
      </c>
      <c r="N2578" s="141"/>
      <c r="O2578" s="142" t="str">
        <f t="shared" si="1"/>
        <v/>
      </c>
      <c r="P2578" s="143" t="str">
        <f>IF(ISNA(VLOOKUP(CONCAT(M2578,C2578), 'Judge Count DO NOT EDIT'!H:H, 1, FALSE)), "ERROR","")</f>
        <v>ERROR</v>
      </c>
      <c r="Q2578" s="141"/>
      <c r="R2578" s="143"/>
      <c r="S2578" s="139"/>
      <c r="T2578" s="141"/>
    </row>
    <row r="2579">
      <c r="A2579" s="138"/>
      <c r="B2579" s="138"/>
      <c r="C2579" s="138"/>
      <c r="D2579" s="139"/>
      <c r="E2579" s="138"/>
      <c r="F2579" s="138"/>
      <c r="G2579" s="138"/>
      <c r="H2579" s="138"/>
      <c r="I2579" s="138"/>
      <c r="J2579" s="138"/>
      <c r="K2579" s="138"/>
      <c r="L2579" s="138">
        <v>0.0</v>
      </c>
      <c r="M2579" s="140" t="str">
        <f>VLOOKUP(text(D2579, "#"),'Master Table'!$A:$F, 6, FALSE)</f>
        <v>#N/A</v>
      </c>
      <c r="N2579" s="141"/>
      <c r="O2579" s="142" t="str">
        <f t="shared" si="1"/>
        <v/>
      </c>
      <c r="P2579" s="143" t="str">
        <f>IF(ISNA(VLOOKUP(CONCAT(M2579,C2579), 'Judge Count DO NOT EDIT'!H:H, 1, FALSE)), "ERROR","")</f>
        <v>ERROR</v>
      </c>
      <c r="Q2579" s="141"/>
      <c r="R2579" s="143"/>
      <c r="S2579" s="139"/>
      <c r="T2579" s="141"/>
    </row>
    <row r="2580">
      <c r="A2580" s="138"/>
      <c r="B2580" s="138"/>
      <c r="C2580" s="138"/>
      <c r="D2580" s="139"/>
      <c r="E2580" s="138"/>
      <c r="F2580" s="138"/>
      <c r="G2580" s="138"/>
      <c r="H2580" s="138"/>
      <c r="I2580" s="138"/>
      <c r="J2580" s="138"/>
      <c r="K2580" s="138"/>
      <c r="L2580" s="138">
        <v>0.0</v>
      </c>
      <c r="M2580" s="140" t="str">
        <f>VLOOKUP(text(D2580, "#"),'Master Table'!$A:$F, 6, FALSE)</f>
        <v>#N/A</v>
      </c>
      <c r="N2580" s="141"/>
      <c r="O2580" s="142" t="str">
        <f t="shared" si="1"/>
        <v/>
      </c>
      <c r="P2580" s="143" t="str">
        <f>IF(ISNA(VLOOKUP(CONCAT(M2580,C2580), 'Judge Count DO NOT EDIT'!H:H, 1, FALSE)), "ERROR","")</f>
        <v>ERROR</v>
      </c>
      <c r="Q2580" s="141"/>
      <c r="R2580" s="143"/>
      <c r="S2580" s="139"/>
      <c r="T2580" s="141"/>
    </row>
    <row r="2581">
      <c r="A2581" s="138"/>
      <c r="B2581" s="138"/>
      <c r="C2581" s="138"/>
      <c r="D2581" s="139"/>
      <c r="E2581" s="138"/>
      <c r="F2581" s="138"/>
      <c r="G2581" s="138"/>
      <c r="H2581" s="138"/>
      <c r="I2581" s="138"/>
      <c r="J2581" s="138"/>
      <c r="K2581" s="138"/>
      <c r="L2581" s="138">
        <v>0.0</v>
      </c>
      <c r="M2581" s="140" t="str">
        <f>VLOOKUP(text(D2581, "#"),'Master Table'!$A:$F, 6, FALSE)</f>
        <v>#N/A</v>
      </c>
      <c r="N2581" s="141"/>
      <c r="O2581" s="142" t="str">
        <f t="shared" si="1"/>
        <v/>
      </c>
      <c r="P2581" s="143" t="str">
        <f>IF(ISNA(VLOOKUP(CONCAT(M2581,C2581), 'Judge Count DO NOT EDIT'!H:H, 1, FALSE)), "ERROR","")</f>
        <v>ERROR</v>
      </c>
      <c r="Q2581" s="141"/>
      <c r="R2581" s="143"/>
      <c r="S2581" s="139"/>
      <c r="T2581" s="141"/>
    </row>
    <row r="2582">
      <c r="A2582" s="138"/>
      <c r="B2582" s="138"/>
      <c r="C2582" s="138"/>
      <c r="D2582" s="139"/>
      <c r="E2582" s="138"/>
      <c r="F2582" s="138"/>
      <c r="G2582" s="138"/>
      <c r="H2582" s="138"/>
      <c r="I2582" s="138"/>
      <c r="J2582" s="138"/>
      <c r="K2582" s="138"/>
      <c r="L2582" s="138">
        <v>0.0</v>
      </c>
      <c r="M2582" s="140" t="str">
        <f>VLOOKUP(text(D2582, "#"),'Master Table'!$A:$F, 6, FALSE)</f>
        <v>#N/A</v>
      </c>
      <c r="N2582" s="141"/>
      <c r="O2582" s="142" t="str">
        <f t="shared" si="1"/>
        <v/>
      </c>
      <c r="P2582" s="143" t="str">
        <f>IF(ISNA(VLOOKUP(CONCAT(M2582,C2582), 'Judge Count DO NOT EDIT'!H:H, 1, FALSE)), "ERROR","")</f>
        <v>ERROR</v>
      </c>
      <c r="Q2582" s="141"/>
      <c r="R2582" s="143"/>
      <c r="S2582" s="139"/>
      <c r="T2582" s="141"/>
    </row>
    <row r="2583">
      <c r="A2583" s="138"/>
      <c r="B2583" s="138"/>
      <c r="C2583" s="138"/>
      <c r="D2583" s="139"/>
      <c r="E2583" s="138"/>
      <c r="F2583" s="138"/>
      <c r="G2583" s="138"/>
      <c r="H2583" s="138"/>
      <c r="I2583" s="138"/>
      <c r="J2583" s="138"/>
      <c r="K2583" s="138"/>
      <c r="L2583" s="138">
        <v>0.0</v>
      </c>
      <c r="M2583" s="140" t="str">
        <f>VLOOKUP(text(D2583, "#"),'Master Table'!$A:$F, 6, FALSE)</f>
        <v>#N/A</v>
      </c>
      <c r="N2583" s="141"/>
      <c r="O2583" s="142" t="str">
        <f t="shared" si="1"/>
        <v/>
      </c>
      <c r="P2583" s="143" t="str">
        <f>IF(ISNA(VLOOKUP(CONCAT(M2583,C2583), 'Judge Count DO NOT EDIT'!H:H, 1, FALSE)), "ERROR","")</f>
        <v>ERROR</v>
      </c>
      <c r="Q2583" s="141"/>
      <c r="R2583" s="143"/>
      <c r="S2583" s="139"/>
      <c r="T2583" s="141"/>
    </row>
    <row r="2584">
      <c r="A2584" s="138"/>
      <c r="B2584" s="138"/>
      <c r="C2584" s="138"/>
      <c r="D2584" s="139"/>
      <c r="E2584" s="138"/>
      <c r="F2584" s="138"/>
      <c r="G2584" s="138"/>
      <c r="H2584" s="138"/>
      <c r="I2584" s="138"/>
      <c r="J2584" s="138"/>
      <c r="K2584" s="138"/>
      <c r="L2584" s="138">
        <v>0.0</v>
      </c>
      <c r="M2584" s="140" t="str">
        <f>VLOOKUP(text(D2584, "#"),'Master Table'!$A:$F, 6, FALSE)</f>
        <v>#N/A</v>
      </c>
      <c r="N2584" s="141"/>
      <c r="O2584" s="142" t="str">
        <f t="shared" si="1"/>
        <v/>
      </c>
      <c r="P2584" s="143" t="str">
        <f>IF(ISNA(VLOOKUP(CONCAT(M2584,C2584), 'Judge Count DO NOT EDIT'!H:H, 1, FALSE)), "ERROR","")</f>
        <v>ERROR</v>
      </c>
      <c r="Q2584" s="141"/>
      <c r="R2584" s="143"/>
      <c r="S2584" s="139"/>
      <c r="T2584" s="141"/>
    </row>
    <row r="2585">
      <c r="A2585" s="138"/>
      <c r="B2585" s="138"/>
      <c r="C2585" s="138"/>
      <c r="D2585" s="139"/>
      <c r="E2585" s="138"/>
      <c r="F2585" s="138"/>
      <c r="G2585" s="138"/>
      <c r="H2585" s="138"/>
      <c r="I2585" s="138"/>
      <c r="J2585" s="138"/>
      <c r="K2585" s="138"/>
      <c r="L2585" s="138">
        <v>0.0</v>
      </c>
      <c r="M2585" s="140" t="str">
        <f>VLOOKUP(text(D2585, "#"),'Master Table'!$A:$F, 6, FALSE)</f>
        <v>#N/A</v>
      </c>
      <c r="N2585" s="141"/>
      <c r="O2585" s="142" t="str">
        <f t="shared" si="1"/>
        <v/>
      </c>
      <c r="P2585" s="143" t="str">
        <f>IF(ISNA(VLOOKUP(CONCAT(M2585,C2585), 'Judge Count DO NOT EDIT'!H:H, 1, FALSE)), "ERROR","")</f>
        <v>ERROR</v>
      </c>
      <c r="Q2585" s="141"/>
      <c r="R2585" s="143"/>
      <c r="S2585" s="139"/>
      <c r="T2585" s="141"/>
    </row>
    <row r="2586">
      <c r="A2586" s="138"/>
      <c r="B2586" s="138"/>
      <c r="C2586" s="138"/>
      <c r="D2586" s="139"/>
      <c r="E2586" s="138"/>
      <c r="F2586" s="138"/>
      <c r="G2586" s="138"/>
      <c r="H2586" s="138"/>
      <c r="I2586" s="138"/>
      <c r="J2586" s="138"/>
      <c r="K2586" s="138"/>
      <c r="L2586" s="138">
        <v>0.0</v>
      </c>
      <c r="M2586" s="140" t="str">
        <f>VLOOKUP(text(D2586, "#"),'Master Table'!$A:$F, 6, FALSE)</f>
        <v>#N/A</v>
      </c>
      <c r="N2586" s="141"/>
      <c r="O2586" s="142" t="str">
        <f t="shared" si="1"/>
        <v/>
      </c>
      <c r="P2586" s="143" t="str">
        <f>IF(ISNA(VLOOKUP(CONCAT(M2586,C2586), 'Judge Count DO NOT EDIT'!H:H, 1, FALSE)), "ERROR","")</f>
        <v>ERROR</v>
      </c>
      <c r="Q2586" s="141"/>
      <c r="R2586" s="143"/>
      <c r="S2586" s="139"/>
      <c r="T2586" s="141"/>
    </row>
    <row r="2587">
      <c r="A2587" s="138"/>
      <c r="B2587" s="138"/>
      <c r="C2587" s="138"/>
      <c r="D2587" s="139"/>
      <c r="E2587" s="138"/>
      <c r="F2587" s="138"/>
      <c r="G2587" s="138"/>
      <c r="H2587" s="138"/>
      <c r="I2587" s="138"/>
      <c r="J2587" s="138"/>
      <c r="K2587" s="138"/>
      <c r="L2587" s="138">
        <v>0.0</v>
      </c>
      <c r="M2587" s="140" t="str">
        <f>VLOOKUP(text(D2587, "#"),'Master Table'!$A:$F, 6, FALSE)</f>
        <v>#N/A</v>
      </c>
      <c r="N2587" s="141"/>
      <c r="O2587" s="142" t="str">
        <f t="shared" si="1"/>
        <v/>
      </c>
      <c r="P2587" s="143" t="str">
        <f>IF(ISNA(VLOOKUP(CONCAT(M2587,C2587), 'Judge Count DO NOT EDIT'!H:H, 1, FALSE)), "ERROR","")</f>
        <v>ERROR</v>
      </c>
      <c r="Q2587" s="141"/>
      <c r="R2587" s="143"/>
      <c r="S2587" s="139"/>
      <c r="T2587" s="141"/>
    </row>
    <row r="2588">
      <c r="A2588" s="138"/>
      <c r="B2588" s="138"/>
      <c r="C2588" s="138"/>
      <c r="D2588" s="139"/>
      <c r="E2588" s="138"/>
      <c r="F2588" s="138"/>
      <c r="G2588" s="138"/>
      <c r="H2588" s="138"/>
      <c r="I2588" s="138"/>
      <c r="J2588" s="138"/>
      <c r="K2588" s="138"/>
      <c r="L2588" s="138">
        <v>0.0</v>
      </c>
      <c r="M2588" s="140" t="str">
        <f>VLOOKUP(text(D2588, "#"),'Master Table'!$A:$F, 6, FALSE)</f>
        <v>#N/A</v>
      </c>
      <c r="N2588" s="141"/>
      <c r="O2588" s="142" t="str">
        <f t="shared" si="1"/>
        <v/>
      </c>
      <c r="P2588" s="143" t="str">
        <f>IF(ISNA(VLOOKUP(CONCAT(M2588,C2588), 'Judge Count DO NOT EDIT'!H:H, 1, FALSE)), "ERROR","")</f>
        <v>ERROR</v>
      </c>
      <c r="Q2588" s="141"/>
      <c r="R2588" s="143"/>
      <c r="S2588" s="139"/>
      <c r="T2588" s="141"/>
    </row>
    <row r="2589">
      <c r="A2589" s="138"/>
      <c r="B2589" s="138"/>
      <c r="C2589" s="138"/>
      <c r="D2589" s="139"/>
      <c r="E2589" s="138"/>
      <c r="F2589" s="138"/>
      <c r="G2589" s="138"/>
      <c r="H2589" s="138"/>
      <c r="I2589" s="138"/>
      <c r="J2589" s="138"/>
      <c r="K2589" s="138"/>
      <c r="L2589" s="138">
        <v>0.0</v>
      </c>
      <c r="M2589" s="140" t="str">
        <f>VLOOKUP(text(D2589, "#"),'Master Table'!$A:$F, 6, FALSE)</f>
        <v>#N/A</v>
      </c>
      <c r="N2589" s="141"/>
      <c r="O2589" s="142" t="str">
        <f t="shared" si="1"/>
        <v/>
      </c>
      <c r="P2589" s="143" t="str">
        <f>IF(ISNA(VLOOKUP(CONCAT(M2589,C2589), 'Judge Count DO NOT EDIT'!H:H, 1, FALSE)), "ERROR","")</f>
        <v>ERROR</v>
      </c>
      <c r="Q2589" s="141"/>
      <c r="R2589" s="143"/>
      <c r="S2589" s="139"/>
      <c r="T2589" s="141"/>
    </row>
    <row r="2590">
      <c r="A2590" s="138"/>
      <c r="B2590" s="138"/>
      <c r="C2590" s="138"/>
      <c r="D2590" s="139"/>
      <c r="E2590" s="138"/>
      <c r="F2590" s="138"/>
      <c r="G2590" s="138"/>
      <c r="H2590" s="138"/>
      <c r="I2590" s="138"/>
      <c r="J2590" s="138"/>
      <c r="K2590" s="138"/>
      <c r="L2590" s="138">
        <v>0.0</v>
      </c>
      <c r="M2590" s="140" t="str">
        <f>VLOOKUP(text(D2590, "#"),'Master Table'!$A:$F, 6, FALSE)</f>
        <v>#N/A</v>
      </c>
      <c r="N2590" s="141"/>
      <c r="O2590" s="142" t="str">
        <f t="shared" si="1"/>
        <v/>
      </c>
      <c r="P2590" s="143" t="str">
        <f>IF(ISNA(VLOOKUP(CONCAT(M2590,C2590), 'Judge Count DO NOT EDIT'!H:H, 1, FALSE)), "ERROR","")</f>
        <v>ERROR</v>
      </c>
      <c r="Q2590" s="141"/>
      <c r="R2590" s="143"/>
      <c r="S2590" s="139"/>
      <c r="T2590" s="141"/>
    </row>
    <row r="2591">
      <c r="A2591" s="138"/>
      <c r="B2591" s="138"/>
      <c r="C2591" s="138"/>
      <c r="D2591" s="139"/>
      <c r="E2591" s="138"/>
      <c r="F2591" s="138"/>
      <c r="G2591" s="138"/>
      <c r="H2591" s="138"/>
      <c r="I2591" s="138"/>
      <c r="J2591" s="138"/>
      <c r="K2591" s="138"/>
      <c r="L2591" s="138">
        <v>0.0</v>
      </c>
      <c r="M2591" s="140" t="str">
        <f>VLOOKUP(text(D2591, "#"),'Master Table'!$A:$F, 6, FALSE)</f>
        <v>#N/A</v>
      </c>
      <c r="N2591" s="141"/>
      <c r="O2591" s="142" t="str">
        <f t="shared" si="1"/>
        <v/>
      </c>
      <c r="P2591" s="143" t="str">
        <f>IF(ISNA(VLOOKUP(CONCAT(M2591,C2591), 'Judge Count DO NOT EDIT'!H:H, 1, FALSE)), "ERROR","")</f>
        <v>ERROR</v>
      </c>
      <c r="Q2591" s="141"/>
      <c r="R2591" s="143"/>
      <c r="S2591" s="139"/>
      <c r="T2591" s="141"/>
    </row>
    <row r="2592">
      <c r="A2592" s="138"/>
      <c r="B2592" s="138"/>
      <c r="C2592" s="138"/>
      <c r="D2592" s="139"/>
      <c r="E2592" s="138"/>
      <c r="F2592" s="138"/>
      <c r="G2592" s="138"/>
      <c r="H2592" s="138"/>
      <c r="I2592" s="138"/>
      <c r="J2592" s="138"/>
      <c r="K2592" s="138"/>
      <c r="L2592" s="138">
        <v>0.0</v>
      </c>
      <c r="M2592" s="140" t="str">
        <f>VLOOKUP(text(D2592, "#"),'Master Table'!$A:$F, 6, FALSE)</f>
        <v>#N/A</v>
      </c>
      <c r="N2592" s="141"/>
      <c r="O2592" s="142" t="str">
        <f t="shared" si="1"/>
        <v/>
      </c>
      <c r="P2592" s="143" t="str">
        <f>IF(ISNA(VLOOKUP(CONCAT(M2592,C2592), 'Judge Count DO NOT EDIT'!H:H, 1, FALSE)), "ERROR","")</f>
        <v>ERROR</v>
      </c>
      <c r="Q2592" s="141"/>
      <c r="R2592" s="143"/>
      <c r="S2592" s="139"/>
      <c r="T2592" s="141"/>
    </row>
    <row r="2593">
      <c r="A2593" s="138"/>
      <c r="B2593" s="138"/>
      <c r="C2593" s="138"/>
      <c r="D2593" s="139"/>
      <c r="E2593" s="138"/>
      <c r="F2593" s="138"/>
      <c r="G2593" s="138"/>
      <c r="H2593" s="138"/>
      <c r="I2593" s="138"/>
      <c r="J2593" s="138"/>
      <c r="K2593" s="138"/>
      <c r="L2593" s="138">
        <v>0.0</v>
      </c>
      <c r="M2593" s="140" t="str">
        <f>VLOOKUP(text(D2593, "#"),'Master Table'!$A:$F, 6, FALSE)</f>
        <v>#N/A</v>
      </c>
      <c r="N2593" s="141"/>
      <c r="O2593" s="142" t="str">
        <f t="shared" si="1"/>
        <v/>
      </c>
      <c r="P2593" s="143" t="str">
        <f>IF(ISNA(VLOOKUP(CONCAT(M2593,C2593), 'Judge Count DO NOT EDIT'!H:H, 1, FALSE)), "ERROR","")</f>
        <v>ERROR</v>
      </c>
      <c r="Q2593" s="141"/>
      <c r="R2593" s="143"/>
      <c r="S2593" s="139"/>
      <c r="T2593" s="141"/>
    </row>
    <row r="2594">
      <c r="A2594" s="138"/>
      <c r="B2594" s="138"/>
      <c r="C2594" s="138"/>
      <c r="D2594" s="139"/>
      <c r="E2594" s="138"/>
      <c r="F2594" s="138"/>
      <c r="G2594" s="138"/>
      <c r="H2594" s="138"/>
      <c r="I2594" s="138"/>
      <c r="J2594" s="138"/>
      <c r="K2594" s="138"/>
      <c r="L2594" s="138">
        <v>0.0</v>
      </c>
      <c r="M2594" s="140" t="str">
        <f>VLOOKUP(text(D2594, "#"),'Master Table'!$A:$F, 6, FALSE)</f>
        <v>#N/A</v>
      </c>
      <c r="N2594" s="141"/>
      <c r="O2594" s="142" t="str">
        <f t="shared" si="1"/>
        <v/>
      </c>
      <c r="P2594" s="143" t="str">
        <f>IF(ISNA(VLOOKUP(CONCAT(M2594,C2594), 'Judge Count DO NOT EDIT'!H:H, 1, FALSE)), "ERROR","")</f>
        <v>ERROR</v>
      </c>
      <c r="Q2594" s="141"/>
      <c r="R2594" s="143"/>
      <c r="S2594" s="139"/>
      <c r="T2594" s="141"/>
    </row>
    <row r="2595">
      <c r="A2595" s="138"/>
      <c r="B2595" s="138"/>
      <c r="C2595" s="138"/>
      <c r="D2595" s="139"/>
      <c r="E2595" s="138"/>
      <c r="F2595" s="138"/>
      <c r="G2595" s="138"/>
      <c r="H2595" s="138"/>
      <c r="I2595" s="138"/>
      <c r="J2595" s="138"/>
      <c r="K2595" s="138"/>
      <c r="L2595" s="138">
        <v>0.0</v>
      </c>
      <c r="M2595" s="140" t="str">
        <f>VLOOKUP(text(D2595, "#"),'Master Table'!$A:$F, 6, FALSE)</f>
        <v>#N/A</v>
      </c>
      <c r="N2595" s="141"/>
      <c r="O2595" s="142" t="str">
        <f t="shared" si="1"/>
        <v/>
      </c>
      <c r="P2595" s="143" t="str">
        <f>IF(ISNA(VLOOKUP(CONCAT(M2595,C2595), 'Judge Count DO NOT EDIT'!H:H, 1, FALSE)), "ERROR","")</f>
        <v>ERROR</v>
      </c>
      <c r="Q2595" s="141"/>
      <c r="R2595" s="143"/>
      <c r="S2595" s="139"/>
      <c r="T2595" s="141"/>
    </row>
    <row r="2596">
      <c r="A2596" s="138"/>
      <c r="B2596" s="138"/>
      <c r="C2596" s="138"/>
      <c r="D2596" s="139"/>
      <c r="E2596" s="138"/>
      <c r="F2596" s="138"/>
      <c r="G2596" s="138"/>
      <c r="H2596" s="138"/>
      <c r="I2596" s="138"/>
      <c r="J2596" s="138"/>
      <c r="K2596" s="138"/>
      <c r="L2596" s="138">
        <v>0.0</v>
      </c>
      <c r="M2596" s="140" t="str">
        <f>VLOOKUP(text(D2596, "#"),'Master Table'!$A:$F, 6, FALSE)</f>
        <v>#N/A</v>
      </c>
      <c r="N2596" s="141"/>
      <c r="O2596" s="142" t="str">
        <f t="shared" si="1"/>
        <v/>
      </c>
      <c r="P2596" s="143" t="str">
        <f>IF(ISNA(VLOOKUP(CONCAT(M2596,C2596), 'Judge Count DO NOT EDIT'!H:H, 1, FALSE)), "ERROR","")</f>
        <v>ERROR</v>
      </c>
      <c r="Q2596" s="141"/>
      <c r="R2596" s="143"/>
      <c r="S2596" s="139"/>
      <c r="T2596" s="141"/>
    </row>
    <row r="2597">
      <c r="A2597" s="138"/>
      <c r="B2597" s="138"/>
      <c r="C2597" s="138"/>
      <c r="D2597" s="139"/>
      <c r="E2597" s="138"/>
      <c r="F2597" s="138"/>
      <c r="G2597" s="138"/>
      <c r="H2597" s="138"/>
      <c r="I2597" s="138"/>
      <c r="J2597" s="138"/>
      <c r="K2597" s="138"/>
      <c r="L2597" s="138">
        <v>0.0</v>
      </c>
      <c r="M2597" s="140" t="str">
        <f>VLOOKUP(text(D2597, "#"),'Master Table'!$A:$F, 6, FALSE)</f>
        <v>#N/A</v>
      </c>
      <c r="N2597" s="141"/>
      <c r="O2597" s="142" t="str">
        <f t="shared" si="1"/>
        <v/>
      </c>
      <c r="P2597" s="143" t="str">
        <f>IF(ISNA(VLOOKUP(CONCAT(M2597,C2597), 'Judge Count DO NOT EDIT'!H:H, 1, FALSE)), "ERROR","")</f>
        <v>ERROR</v>
      </c>
      <c r="Q2597" s="141"/>
      <c r="R2597" s="143"/>
      <c r="S2597" s="139"/>
      <c r="T2597" s="141"/>
    </row>
    <row r="2598">
      <c r="A2598" s="138"/>
      <c r="B2598" s="138"/>
      <c r="C2598" s="138"/>
      <c r="D2598" s="139"/>
      <c r="E2598" s="138"/>
      <c r="F2598" s="138"/>
      <c r="G2598" s="138"/>
      <c r="H2598" s="138"/>
      <c r="I2598" s="138"/>
      <c r="J2598" s="138"/>
      <c r="K2598" s="138"/>
      <c r="L2598" s="138">
        <v>0.0</v>
      </c>
      <c r="M2598" s="140" t="str">
        <f>VLOOKUP(text(D2598, "#"),'Master Table'!$A:$F, 6, FALSE)</f>
        <v>#N/A</v>
      </c>
      <c r="N2598" s="141"/>
      <c r="O2598" s="142" t="str">
        <f t="shared" si="1"/>
        <v/>
      </c>
      <c r="P2598" s="143" t="str">
        <f>IF(ISNA(VLOOKUP(CONCAT(M2598,C2598), 'Judge Count DO NOT EDIT'!H:H, 1, FALSE)), "ERROR","")</f>
        <v>ERROR</v>
      </c>
      <c r="Q2598" s="141"/>
      <c r="R2598" s="143"/>
      <c r="S2598" s="139"/>
      <c r="T2598" s="141"/>
    </row>
    <row r="2599">
      <c r="A2599" s="138"/>
      <c r="B2599" s="138"/>
      <c r="C2599" s="138"/>
      <c r="D2599" s="139"/>
      <c r="E2599" s="138"/>
      <c r="F2599" s="138"/>
      <c r="G2599" s="138"/>
      <c r="H2599" s="138"/>
      <c r="I2599" s="138"/>
      <c r="J2599" s="138"/>
      <c r="K2599" s="138"/>
      <c r="L2599" s="138">
        <v>0.0</v>
      </c>
      <c r="M2599" s="140" t="str">
        <f>VLOOKUP(text(D2599, "#"),'Master Table'!$A:$F, 6, FALSE)</f>
        <v>#N/A</v>
      </c>
      <c r="N2599" s="141"/>
      <c r="O2599" s="142" t="str">
        <f t="shared" si="1"/>
        <v/>
      </c>
      <c r="P2599" s="143" t="str">
        <f>IF(ISNA(VLOOKUP(CONCAT(M2599,C2599), 'Judge Count DO NOT EDIT'!H:H, 1, FALSE)), "ERROR","")</f>
        <v>ERROR</v>
      </c>
      <c r="Q2599" s="141"/>
      <c r="R2599" s="143"/>
      <c r="S2599" s="139"/>
      <c r="T2599" s="141"/>
    </row>
    <row r="2600">
      <c r="A2600" s="138"/>
      <c r="B2600" s="138"/>
      <c r="C2600" s="138"/>
      <c r="D2600" s="139"/>
      <c r="E2600" s="138"/>
      <c r="F2600" s="138"/>
      <c r="G2600" s="138"/>
      <c r="H2600" s="138"/>
      <c r="I2600" s="138"/>
      <c r="J2600" s="138"/>
      <c r="K2600" s="138"/>
      <c r="L2600" s="138">
        <v>0.0</v>
      </c>
      <c r="M2600" s="140" t="str">
        <f>VLOOKUP(text(D2600, "#"),'Master Table'!$A:$F, 6, FALSE)</f>
        <v>#N/A</v>
      </c>
      <c r="N2600" s="141"/>
      <c r="O2600" s="142" t="str">
        <f t="shared" si="1"/>
        <v/>
      </c>
      <c r="P2600" s="143" t="str">
        <f>IF(ISNA(VLOOKUP(CONCAT(M2600,C2600), 'Judge Count DO NOT EDIT'!H:H, 1, FALSE)), "ERROR","")</f>
        <v>ERROR</v>
      </c>
      <c r="Q2600" s="141"/>
      <c r="R2600" s="143"/>
      <c r="S2600" s="139"/>
      <c r="T2600" s="141"/>
    </row>
    <row r="2601">
      <c r="A2601" s="138"/>
      <c r="B2601" s="138"/>
      <c r="C2601" s="138"/>
      <c r="D2601" s="139"/>
      <c r="E2601" s="138"/>
      <c r="F2601" s="138"/>
      <c r="G2601" s="138"/>
      <c r="H2601" s="138"/>
      <c r="I2601" s="138"/>
      <c r="J2601" s="138"/>
      <c r="K2601" s="138"/>
      <c r="L2601" s="138">
        <v>0.0</v>
      </c>
      <c r="M2601" s="140" t="str">
        <f>VLOOKUP(text(D2601, "#"),'Master Table'!$A:$F, 6, FALSE)</f>
        <v>#N/A</v>
      </c>
      <c r="N2601" s="141"/>
      <c r="O2601" s="142" t="str">
        <f t="shared" si="1"/>
        <v/>
      </c>
      <c r="P2601" s="143" t="str">
        <f>IF(ISNA(VLOOKUP(CONCAT(M2601,C2601), 'Judge Count DO NOT EDIT'!H:H, 1, FALSE)), "ERROR","")</f>
        <v>ERROR</v>
      </c>
      <c r="Q2601" s="141"/>
      <c r="R2601" s="143"/>
      <c r="S2601" s="139"/>
      <c r="T2601" s="141"/>
    </row>
    <row r="2602">
      <c r="A2602" s="138"/>
      <c r="B2602" s="138"/>
      <c r="C2602" s="138"/>
      <c r="D2602" s="139"/>
      <c r="E2602" s="138"/>
      <c r="F2602" s="138"/>
      <c r="G2602" s="138"/>
      <c r="H2602" s="138"/>
      <c r="I2602" s="138"/>
      <c r="J2602" s="138"/>
      <c r="K2602" s="138"/>
      <c r="L2602" s="138">
        <v>0.0</v>
      </c>
      <c r="M2602" s="140" t="str">
        <f>VLOOKUP(text(D2602, "#"),'Master Table'!$A:$F, 6, FALSE)</f>
        <v>#N/A</v>
      </c>
      <c r="N2602" s="141"/>
      <c r="O2602" s="142" t="str">
        <f t="shared" si="1"/>
        <v/>
      </c>
      <c r="P2602" s="143" t="str">
        <f>IF(ISNA(VLOOKUP(CONCAT(M2602,C2602), 'Judge Count DO NOT EDIT'!H:H, 1, FALSE)), "ERROR","")</f>
        <v>ERROR</v>
      </c>
      <c r="Q2602" s="141"/>
      <c r="R2602" s="143"/>
      <c r="S2602" s="139"/>
      <c r="T2602" s="141"/>
    </row>
    <row r="2603">
      <c r="A2603" s="138"/>
      <c r="B2603" s="138"/>
      <c r="C2603" s="138"/>
      <c r="D2603" s="139"/>
      <c r="E2603" s="138"/>
      <c r="F2603" s="138"/>
      <c r="G2603" s="138"/>
      <c r="H2603" s="138"/>
      <c r="I2603" s="138"/>
      <c r="J2603" s="138"/>
      <c r="K2603" s="138"/>
      <c r="L2603" s="138">
        <v>0.0</v>
      </c>
      <c r="M2603" s="140" t="str">
        <f>VLOOKUP(text(D2603, "#"),'Master Table'!$A:$F, 6, FALSE)</f>
        <v>#N/A</v>
      </c>
      <c r="N2603" s="141"/>
      <c r="O2603" s="142" t="str">
        <f t="shared" si="1"/>
        <v/>
      </c>
      <c r="P2603" s="143" t="str">
        <f>IF(ISNA(VLOOKUP(CONCAT(M2603,C2603), 'Judge Count DO NOT EDIT'!H:H, 1, FALSE)), "ERROR","")</f>
        <v>ERROR</v>
      </c>
      <c r="Q2603" s="141"/>
      <c r="R2603" s="143"/>
      <c r="S2603" s="139"/>
      <c r="T2603" s="141"/>
    </row>
    <row r="2604">
      <c r="A2604" s="138"/>
      <c r="B2604" s="138"/>
      <c r="C2604" s="138"/>
      <c r="D2604" s="139"/>
      <c r="E2604" s="138"/>
      <c r="F2604" s="138"/>
      <c r="G2604" s="138"/>
      <c r="H2604" s="138"/>
      <c r="I2604" s="138"/>
      <c r="J2604" s="138"/>
      <c r="K2604" s="138"/>
      <c r="L2604" s="138">
        <v>0.0</v>
      </c>
      <c r="M2604" s="140" t="str">
        <f>VLOOKUP(text(D2604, "#"),'Master Table'!$A:$F, 6, FALSE)</f>
        <v>#N/A</v>
      </c>
      <c r="N2604" s="141"/>
      <c r="O2604" s="142" t="str">
        <f t="shared" si="1"/>
        <v/>
      </c>
      <c r="P2604" s="143" t="str">
        <f>IF(ISNA(VLOOKUP(CONCAT(M2604,C2604), 'Judge Count DO NOT EDIT'!H:H, 1, FALSE)), "ERROR","")</f>
        <v>ERROR</v>
      </c>
      <c r="Q2604" s="141"/>
      <c r="R2604" s="143"/>
      <c r="S2604" s="139"/>
      <c r="T2604" s="141"/>
    </row>
    <row r="2605">
      <c r="A2605" s="138"/>
      <c r="B2605" s="138"/>
      <c r="C2605" s="138"/>
      <c r="D2605" s="139"/>
      <c r="E2605" s="138"/>
      <c r="F2605" s="138"/>
      <c r="G2605" s="138"/>
      <c r="H2605" s="138"/>
      <c r="I2605" s="138"/>
      <c r="J2605" s="138"/>
      <c r="K2605" s="138"/>
      <c r="L2605" s="138">
        <v>0.0</v>
      </c>
      <c r="M2605" s="140" t="str">
        <f>VLOOKUP(text(D2605, "#"),'Master Table'!$A:$F, 6, FALSE)</f>
        <v>#N/A</v>
      </c>
      <c r="N2605" s="141"/>
      <c r="O2605" s="142" t="str">
        <f t="shared" si="1"/>
        <v/>
      </c>
      <c r="P2605" s="143" t="str">
        <f>IF(ISNA(VLOOKUP(CONCAT(M2605,C2605), 'Judge Count DO NOT EDIT'!H:H, 1, FALSE)), "ERROR","")</f>
        <v>ERROR</v>
      </c>
      <c r="Q2605" s="141"/>
      <c r="R2605" s="143"/>
      <c r="S2605" s="139"/>
      <c r="T2605" s="141"/>
    </row>
    <row r="2606">
      <c r="A2606" s="138"/>
      <c r="B2606" s="138"/>
      <c r="C2606" s="138"/>
      <c r="D2606" s="139"/>
      <c r="E2606" s="138"/>
      <c r="F2606" s="138"/>
      <c r="G2606" s="138"/>
      <c r="H2606" s="138"/>
      <c r="I2606" s="138"/>
      <c r="J2606" s="138"/>
      <c r="K2606" s="138"/>
      <c r="L2606" s="138">
        <v>0.0</v>
      </c>
      <c r="M2606" s="140" t="str">
        <f>VLOOKUP(text(D2606, "#"),'Master Table'!$A:$F, 6, FALSE)</f>
        <v>#N/A</v>
      </c>
      <c r="N2606" s="141"/>
      <c r="O2606" s="142" t="str">
        <f t="shared" si="1"/>
        <v/>
      </c>
      <c r="P2606" s="143" t="str">
        <f>IF(ISNA(VLOOKUP(CONCAT(M2606,C2606), 'Judge Count DO NOT EDIT'!H:H, 1, FALSE)), "ERROR","")</f>
        <v>ERROR</v>
      </c>
      <c r="Q2606" s="141"/>
      <c r="R2606" s="143"/>
      <c r="S2606" s="139"/>
      <c r="T2606" s="141"/>
    </row>
    <row r="2607">
      <c r="A2607" s="138"/>
      <c r="B2607" s="138"/>
      <c r="C2607" s="138"/>
      <c r="D2607" s="139"/>
      <c r="E2607" s="138"/>
      <c r="F2607" s="138"/>
      <c r="G2607" s="138"/>
      <c r="H2607" s="138"/>
      <c r="I2607" s="138"/>
      <c r="J2607" s="138"/>
      <c r="K2607" s="138"/>
      <c r="L2607" s="138">
        <v>0.0</v>
      </c>
      <c r="M2607" s="140" t="str">
        <f>VLOOKUP(text(D2607, "#"),'Master Table'!$A:$F, 6, FALSE)</f>
        <v>#N/A</v>
      </c>
      <c r="N2607" s="141"/>
      <c r="O2607" s="142" t="str">
        <f t="shared" si="1"/>
        <v/>
      </c>
      <c r="P2607" s="143" t="str">
        <f>IF(ISNA(VLOOKUP(CONCAT(M2607,C2607), 'Judge Count DO NOT EDIT'!H:H, 1, FALSE)), "ERROR","")</f>
        <v>ERROR</v>
      </c>
      <c r="Q2607" s="141"/>
      <c r="R2607" s="143"/>
      <c r="S2607" s="139"/>
      <c r="T2607" s="141"/>
    </row>
    <row r="2608">
      <c r="A2608" s="138"/>
      <c r="B2608" s="138"/>
      <c r="C2608" s="138"/>
      <c r="D2608" s="139"/>
      <c r="E2608" s="138"/>
      <c r="F2608" s="138"/>
      <c r="G2608" s="138"/>
      <c r="H2608" s="138"/>
      <c r="I2608" s="138"/>
      <c r="J2608" s="138"/>
      <c r="K2608" s="138"/>
      <c r="L2608" s="138">
        <v>0.0</v>
      </c>
      <c r="M2608" s="140" t="str">
        <f>VLOOKUP(text(D2608, "#"),'Master Table'!$A:$F, 6, FALSE)</f>
        <v>#N/A</v>
      </c>
      <c r="N2608" s="141"/>
      <c r="O2608" s="142" t="str">
        <f t="shared" si="1"/>
        <v/>
      </c>
      <c r="P2608" s="143" t="str">
        <f>IF(ISNA(VLOOKUP(CONCAT(M2608,C2608), 'Judge Count DO NOT EDIT'!H:H, 1, FALSE)), "ERROR","")</f>
        <v>ERROR</v>
      </c>
      <c r="Q2608" s="141"/>
      <c r="R2608" s="143"/>
      <c r="S2608" s="139"/>
      <c r="T2608" s="141"/>
    </row>
    <row r="2609">
      <c r="A2609" s="138"/>
      <c r="B2609" s="138"/>
      <c r="C2609" s="138"/>
      <c r="D2609" s="139"/>
      <c r="E2609" s="138"/>
      <c r="F2609" s="138"/>
      <c r="G2609" s="138"/>
      <c r="H2609" s="138"/>
      <c r="I2609" s="138"/>
      <c r="J2609" s="138"/>
      <c r="K2609" s="138"/>
      <c r="L2609" s="138">
        <v>0.0</v>
      </c>
      <c r="M2609" s="140" t="str">
        <f>VLOOKUP(text(D2609, "#"),'Master Table'!$A:$F, 6, FALSE)</f>
        <v>#N/A</v>
      </c>
      <c r="N2609" s="141"/>
      <c r="O2609" s="142" t="str">
        <f t="shared" si="1"/>
        <v/>
      </c>
      <c r="P2609" s="143" t="str">
        <f>IF(ISNA(VLOOKUP(CONCAT(M2609,C2609), 'Judge Count DO NOT EDIT'!H:H, 1, FALSE)), "ERROR","")</f>
        <v>ERROR</v>
      </c>
      <c r="Q2609" s="141"/>
      <c r="R2609" s="143"/>
      <c r="S2609" s="139"/>
      <c r="T2609" s="141"/>
    </row>
    <row r="2610">
      <c r="A2610" s="138"/>
      <c r="B2610" s="138"/>
      <c r="C2610" s="138"/>
      <c r="D2610" s="139"/>
      <c r="E2610" s="138"/>
      <c r="F2610" s="138"/>
      <c r="G2610" s="138"/>
      <c r="H2610" s="138"/>
      <c r="I2610" s="138"/>
      <c r="J2610" s="138"/>
      <c r="K2610" s="138"/>
      <c r="L2610" s="138">
        <v>0.0</v>
      </c>
      <c r="M2610" s="140" t="str">
        <f>VLOOKUP(text(D2610, "#"),'Master Table'!$A:$F, 6, FALSE)</f>
        <v>#N/A</v>
      </c>
      <c r="N2610" s="141"/>
      <c r="O2610" s="142" t="str">
        <f t="shared" si="1"/>
        <v/>
      </c>
      <c r="P2610" s="143" t="str">
        <f>IF(ISNA(VLOOKUP(CONCAT(M2610,C2610), 'Judge Count DO NOT EDIT'!H:H, 1, FALSE)), "ERROR","")</f>
        <v>ERROR</v>
      </c>
      <c r="Q2610" s="141"/>
      <c r="R2610" s="143"/>
      <c r="S2610" s="139"/>
      <c r="T2610" s="141"/>
    </row>
    <row r="2611">
      <c r="A2611" s="138"/>
      <c r="B2611" s="138"/>
      <c r="C2611" s="138"/>
      <c r="D2611" s="139"/>
      <c r="E2611" s="138"/>
      <c r="F2611" s="138"/>
      <c r="G2611" s="138"/>
      <c r="H2611" s="138"/>
      <c r="I2611" s="138"/>
      <c r="J2611" s="138"/>
      <c r="K2611" s="138"/>
      <c r="L2611" s="138">
        <v>0.0</v>
      </c>
      <c r="M2611" s="140" t="str">
        <f>VLOOKUP(text(D2611, "#"),'Master Table'!$A:$F, 6, FALSE)</f>
        <v>#N/A</v>
      </c>
      <c r="N2611" s="141"/>
      <c r="O2611" s="142" t="str">
        <f t="shared" si="1"/>
        <v/>
      </c>
      <c r="P2611" s="143" t="str">
        <f>IF(ISNA(VLOOKUP(CONCAT(M2611,C2611), 'Judge Count DO NOT EDIT'!H:H, 1, FALSE)), "ERROR","")</f>
        <v>ERROR</v>
      </c>
      <c r="Q2611" s="141"/>
      <c r="R2611" s="143"/>
      <c r="S2611" s="139"/>
      <c r="T2611" s="141"/>
    </row>
    <row r="2612">
      <c r="A2612" s="138"/>
      <c r="B2612" s="138"/>
      <c r="C2612" s="138"/>
      <c r="D2612" s="139"/>
      <c r="E2612" s="138"/>
      <c r="F2612" s="138"/>
      <c r="G2612" s="138"/>
      <c r="H2612" s="138"/>
      <c r="I2612" s="138"/>
      <c r="J2612" s="138"/>
      <c r="K2612" s="138"/>
      <c r="L2612" s="138">
        <v>0.0</v>
      </c>
      <c r="M2612" s="140" t="str">
        <f>VLOOKUP(text(D2612, "#"),'Master Table'!$A:$F, 6, FALSE)</f>
        <v>#N/A</v>
      </c>
      <c r="N2612" s="141"/>
      <c r="O2612" s="142" t="str">
        <f t="shared" si="1"/>
        <v/>
      </c>
      <c r="P2612" s="143" t="str">
        <f>IF(ISNA(VLOOKUP(CONCAT(M2612,C2612), 'Judge Count DO NOT EDIT'!H:H, 1, FALSE)), "ERROR","")</f>
        <v>ERROR</v>
      </c>
      <c r="Q2612" s="141"/>
      <c r="R2612" s="143"/>
      <c r="S2612" s="139"/>
      <c r="T2612" s="141"/>
    </row>
    <row r="2613">
      <c r="A2613" s="138"/>
      <c r="B2613" s="138"/>
      <c r="C2613" s="138"/>
      <c r="D2613" s="139"/>
      <c r="E2613" s="138"/>
      <c r="F2613" s="138"/>
      <c r="G2613" s="138"/>
      <c r="H2613" s="138"/>
      <c r="I2613" s="138"/>
      <c r="J2613" s="138"/>
      <c r="K2613" s="138"/>
      <c r="L2613" s="138">
        <v>0.0</v>
      </c>
      <c r="M2613" s="140" t="str">
        <f>VLOOKUP(text(D2613, "#"),'Master Table'!$A:$F, 6, FALSE)</f>
        <v>#N/A</v>
      </c>
      <c r="N2613" s="141"/>
      <c r="O2613" s="142" t="str">
        <f t="shared" si="1"/>
        <v/>
      </c>
      <c r="P2613" s="143" t="str">
        <f>IF(ISNA(VLOOKUP(CONCAT(M2613,C2613), 'Judge Count DO NOT EDIT'!H:H, 1, FALSE)), "ERROR","")</f>
        <v>ERROR</v>
      </c>
      <c r="Q2613" s="141"/>
      <c r="R2613" s="143"/>
      <c r="S2613" s="139"/>
      <c r="T2613" s="141"/>
    </row>
    <row r="2614">
      <c r="A2614" s="138"/>
      <c r="B2614" s="138"/>
      <c r="C2614" s="138"/>
      <c r="D2614" s="139"/>
      <c r="E2614" s="138"/>
      <c r="F2614" s="138"/>
      <c r="G2614" s="138"/>
      <c r="H2614" s="138"/>
      <c r="I2614" s="138"/>
      <c r="J2614" s="138"/>
      <c r="K2614" s="138"/>
      <c r="L2614" s="138">
        <v>0.0</v>
      </c>
      <c r="M2614" s="140" t="str">
        <f>VLOOKUP(text(D2614, "#"),'Master Table'!$A:$F, 6, FALSE)</f>
        <v>#N/A</v>
      </c>
      <c r="N2614" s="141"/>
      <c r="O2614" s="142" t="str">
        <f t="shared" si="1"/>
        <v/>
      </c>
      <c r="P2614" s="143" t="str">
        <f>IF(ISNA(VLOOKUP(CONCAT(M2614,C2614), 'Judge Count DO NOT EDIT'!H:H, 1, FALSE)), "ERROR","")</f>
        <v>ERROR</v>
      </c>
      <c r="Q2614" s="141"/>
      <c r="R2614" s="143"/>
      <c r="S2614" s="139"/>
      <c r="T2614" s="141"/>
    </row>
    <row r="2615">
      <c r="A2615" s="138"/>
      <c r="B2615" s="138"/>
      <c r="C2615" s="138"/>
      <c r="D2615" s="139"/>
      <c r="E2615" s="138"/>
      <c r="F2615" s="138"/>
      <c r="G2615" s="138"/>
      <c r="H2615" s="138"/>
      <c r="I2615" s="138"/>
      <c r="J2615" s="138"/>
      <c r="K2615" s="138"/>
      <c r="L2615" s="138">
        <v>0.0</v>
      </c>
      <c r="M2615" s="140" t="str">
        <f>VLOOKUP(text(D2615, "#"),'Master Table'!$A:$F, 6, FALSE)</f>
        <v>#N/A</v>
      </c>
      <c r="N2615" s="141"/>
      <c r="O2615" s="142" t="str">
        <f t="shared" si="1"/>
        <v/>
      </c>
      <c r="P2615" s="143" t="str">
        <f>IF(ISNA(VLOOKUP(CONCAT(M2615,C2615), 'Judge Count DO NOT EDIT'!H:H, 1, FALSE)), "ERROR","")</f>
        <v>ERROR</v>
      </c>
      <c r="Q2615" s="141"/>
      <c r="R2615" s="143"/>
      <c r="S2615" s="139"/>
      <c r="T2615" s="141"/>
    </row>
    <row r="2616">
      <c r="A2616" s="138"/>
      <c r="B2616" s="138"/>
      <c r="C2616" s="138"/>
      <c r="D2616" s="139"/>
      <c r="E2616" s="138"/>
      <c r="F2616" s="138"/>
      <c r="G2616" s="138"/>
      <c r="H2616" s="138"/>
      <c r="I2616" s="138"/>
      <c r="J2616" s="138"/>
      <c r="K2616" s="138"/>
      <c r="L2616" s="138">
        <v>0.0</v>
      </c>
      <c r="M2616" s="140" t="str">
        <f>VLOOKUP(text(D2616, "#"),'Master Table'!$A:$F, 6, FALSE)</f>
        <v>#N/A</v>
      </c>
      <c r="N2616" s="141"/>
      <c r="O2616" s="142" t="str">
        <f t="shared" si="1"/>
        <v/>
      </c>
      <c r="P2616" s="143" t="str">
        <f>IF(ISNA(VLOOKUP(CONCAT(M2616,C2616), 'Judge Count DO NOT EDIT'!H:H, 1, FALSE)), "ERROR","")</f>
        <v>ERROR</v>
      </c>
      <c r="Q2616" s="141"/>
      <c r="R2616" s="143"/>
      <c r="S2616" s="139"/>
      <c r="T2616" s="141"/>
    </row>
    <row r="2617">
      <c r="A2617" s="138"/>
      <c r="B2617" s="138"/>
      <c r="C2617" s="138"/>
      <c r="D2617" s="139"/>
      <c r="E2617" s="138"/>
      <c r="F2617" s="138"/>
      <c r="G2617" s="138"/>
      <c r="H2617" s="138"/>
      <c r="I2617" s="138"/>
      <c r="J2617" s="138"/>
      <c r="K2617" s="138"/>
      <c r="L2617" s="138">
        <v>0.0</v>
      </c>
      <c r="M2617" s="140" t="str">
        <f>VLOOKUP(text(D2617, "#"),'Master Table'!$A:$F, 6, FALSE)</f>
        <v>#N/A</v>
      </c>
      <c r="N2617" s="141"/>
      <c r="O2617" s="142" t="str">
        <f t="shared" si="1"/>
        <v/>
      </c>
      <c r="P2617" s="143" t="str">
        <f>IF(ISNA(VLOOKUP(CONCAT(M2617,C2617), 'Judge Count DO NOT EDIT'!H:H, 1, FALSE)), "ERROR","")</f>
        <v>ERROR</v>
      </c>
      <c r="Q2617" s="141"/>
      <c r="R2617" s="143"/>
      <c r="S2617" s="139"/>
      <c r="T2617" s="141"/>
    </row>
    <row r="2618">
      <c r="A2618" s="138"/>
      <c r="B2618" s="138"/>
      <c r="C2618" s="138"/>
      <c r="D2618" s="139"/>
      <c r="E2618" s="138"/>
      <c r="F2618" s="138"/>
      <c r="G2618" s="138"/>
      <c r="H2618" s="138"/>
      <c r="I2618" s="138"/>
      <c r="J2618" s="138"/>
      <c r="K2618" s="138"/>
      <c r="L2618" s="138">
        <v>0.0</v>
      </c>
      <c r="M2618" s="140" t="str">
        <f>VLOOKUP(text(D2618, "#"),'Master Table'!$A:$F, 6, FALSE)</f>
        <v>#N/A</v>
      </c>
      <c r="N2618" s="141"/>
      <c r="O2618" s="142" t="str">
        <f t="shared" si="1"/>
        <v/>
      </c>
      <c r="P2618" s="143" t="str">
        <f>IF(ISNA(VLOOKUP(CONCAT(M2618,C2618), 'Judge Count DO NOT EDIT'!H:H, 1, FALSE)), "ERROR","")</f>
        <v>ERROR</v>
      </c>
      <c r="Q2618" s="141"/>
      <c r="R2618" s="143"/>
      <c r="S2618" s="139"/>
      <c r="T2618" s="141"/>
    </row>
    <row r="2619">
      <c r="A2619" s="138"/>
      <c r="B2619" s="138"/>
      <c r="C2619" s="138"/>
      <c r="D2619" s="139"/>
      <c r="E2619" s="138"/>
      <c r="F2619" s="138"/>
      <c r="G2619" s="138"/>
      <c r="H2619" s="138"/>
      <c r="I2619" s="138"/>
      <c r="J2619" s="138"/>
      <c r="K2619" s="138"/>
      <c r="L2619" s="138">
        <v>0.0</v>
      </c>
      <c r="M2619" s="140" t="str">
        <f>VLOOKUP(text(D2619, "#"),'Master Table'!$A:$F, 6, FALSE)</f>
        <v>#N/A</v>
      </c>
      <c r="N2619" s="141"/>
      <c r="O2619" s="142" t="str">
        <f t="shared" si="1"/>
        <v/>
      </c>
      <c r="P2619" s="143" t="str">
        <f>IF(ISNA(VLOOKUP(CONCAT(M2619,C2619), 'Judge Count DO NOT EDIT'!H:H, 1, FALSE)), "ERROR","")</f>
        <v>ERROR</v>
      </c>
      <c r="Q2619" s="141"/>
      <c r="R2619" s="143"/>
      <c r="S2619" s="139"/>
      <c r="T2619" s="141"/>
    </row>
    <row r="2620">
      <c r="A2620" s="138"/>
      <c r="B2620" s="138"/>
      <c r="C2620" s="138"/>
      <c r="D2620" s="139"/>
      <c r="E2620" s="138"/>
      <c r="F2620" s="138"/>
      <c r="G2620" s="138"/>
      <c r="H2620" s="138"/>
      <c r="I2620" s="138"/>
      <c r="J2620" s="138"/>
      <c r="K2620" s="138"/>
      <c r="L2620" s="138">
        <v>0.0</v>
      </c>
      <c r="M2620" s="140" t="str">
        <f>VLOOKUP(text(D2620, "#"),'Master Table'!$A:$F, 6, FALSE)</f>
        <v>#N/A</v>
      </c>
      <c r="N2620" s="141"/>
      <c r="O2620" s="142" t="str">
        <f t="shared" si="1"/>
        <v/>
      </c>
      <c r="P2620" s="143" t="str">
        <f>IF(ISNA(VLOOKUP(CONCAT(M2620,C2620), 'Judge Count DO NOT EDIT'!H:H, 1, FALSE)), "ERROR","")</f>
        <v>ERROR</v>
      </c>
      <c r="Q2620" s="141"/>
      <c r="R2620" s="143"/>
      <c r="S2620" s="139"/>
      <c r="T2620" s="141"/>
    </row>
    <row r="2621">
      <c r="A2621" s="138"/>
      <c r="B2621" s="138"/>
      <c r="C2621" s="138"/>
      <c r="D2621" s="139"/>
      <c r="E2621" s="138"/>
      <c r="F2621" s="138"/>
      <c r="G2621" s="138"/>
      <c r="H2621" s="138"/>
      <c r="I2621" s="138"/>
      <c r="J2621" s="138"/>
      <c r="K2621" s="138"/>
      <c r="L2621" s="138">
        <v>0.0</v>
      </c>
      <c r="M2621" s="140" t="str">
        <f>VLOOKUP(text(D2621, "#"),'Master Table'!$A:$F, 6, FALSE)</f>
        <v>#N/A</v>
      </c>
      <c r="N2621" s="141"/>
      <c r="O2621" s="142" t="str">
        <f t="shared" si="1"/>
        <v/>
      </c>
      <c r="P2621" s="143" t="str">
        <f>IF(ISNA(VLOOKUP(CONCAT(M2621,C2621), 'Judge Count DO NOT EDIT'!H:H, 1, FALSE)), "ERROR","")</f>
        <v>ERROR</v>
      </c>
      <c r="Q2621" s="141"/>
      <c r="R2621" s="143"/>
      <c r="S2621" s="139"/>
      <c r="T2621" s="141"/>
    </row>
    <row r="2622">
      <c r="A2622" s="138"/>
      <c r="B2622" s="138"/>
      <c r="C2622" s="138"/>
      <c r="D2622" s="139"/>
      <c r="E2622" s="138"/>
      <c r="F2622" s="138"/>
      <c r="G2622" s="138"/>
      <c r="H2622" s="138"/>
      <c r="I2622" s="138"/>
      <c r="J2622" s="138"/>
      <c r="K2622" s="138"/>
      <c r="L2622" s="138">
        <v>0.0</v>
      </c>
      <c r="M2622" s="140" t="str">
        <f>VLOOKUP(text(D2622, "#"),'Master Table'!$A:$F, 6, FALSE)</f>
        <v>#N/A</v>
      </c>
      <c r="N2622" s="141"/>
      <c r="O2622" s="142" t="str">
        <f t="shared" si="1"/>
        <v/>
      </c>
      <c r="P2622" s="143" t="str">
        <f>IF(ISNA(VLOOKUP(CONCAT(M2622,C2622), 'Judge Count DO NOT EDIT'!H:H, 1, FALSE)), "ERROR","")</f>
        <v>ERROR</v>
      </c>
      <c r="Q2622" s="141"/>
      <c r="R2622" s="143"/>
      <c r="S2622" s="139"/>
      <c r="T2622" s="141"/>
    </row>
    <row r="2623">
      <c r="A2623" s="138"/>
      <c r="B2623" s="138"/>
      <c r="C2623" s="138"/>
      <c r="D2623" s="139"/>
      <c r="E2623" s="138"/>
      <c r="F2623" s="138"/>
      <c r="G2623" s="138"/>
      <c r="H2623" s="138"/>
      <c r="I2623" s="138"/>
      <c r="J2623" s="138"/>
      <c r="K2623" s="138"/>
      <c r="L2623" s="138">
        <v>0.0</v>
      </c>
      <c r="M2623" s="140" t="str">
        <f>VLOOKUP(text(D2623, "#"),'Master Table'!$A:$F, 6, FALSE)</f>
        <v>#N/A</v>
      </c>
      <c r="N2623" s="141"/>
      <c r="O2623" s="142" t="str">
        <f t="shared" si="1"/>
        <v/>
      </c>
      <c r="P2623" s="143" t="str">
        <f>IF(ISNA(VLOOKUP(CONCAT(M2623,C2623), 'Judge Count DO NOT EDIT'!H:H, 1, FALSE)), "ERROR","")</f>
        <v>ERROR</v>
      </c>
      <c r="Q2623" s="141"/>
      <c r="R2623" s="143"/>
      <c r="S2623" s="139"/>
      <c r="T2623" s="141"/>
    </row>
    <row r="2624">
      <c r="A2624" s="138"/>
      <c r="B2624" s="138"/>
      <c r="C2624" s="138"/>
      <c r="D2624" s="139"/>
      <c r="E2624" s="138"/>
      <c r="F2624" s="138"/>
      <c r="G2624" s="138"/>
      <c r="H2624" s="138"/>
      <c r="I2624" s="138"/>
      <c r="J2624" s="138"/>
      <c r="K2624" s="138"/>
      <c r="L2624" s="138">
        <v>0.0</v>
      </c>
      <c r="M2624" s="140" t="str">
        <f>VLOOKUP(text(D2624, "#"),'Master Table'!$A:$F, 6, FALSE)</f>
        <v>#N/A</v>
      </c>
      <c r="N2624" s="141"/>
      <c r="O2624" s="142" t="str">
        <f t="shared" si="1"/>
        <v/>
      </c>
      <c r="P2624" s="143" t="str">
        <f>IF(ISNA(VLOOKUP(CONCAT(M2624,C2624), 'Judge Count DO NOT EDIT'!H:H, 1, FALSE)), "ERROR","")</f>
        <v>ERROR</v>
      </c>
      <c r="Q2624" s="141"/>
      <c r="R2624" s="143"/>
      <c r="S2624" s="139"/>
      <c r="T2624" s="141"/>
    </row>
    <row r="2625">
      <c r="A2625" s="138"/>
      <c r="B2625" s="138"/>
      <c r="C2625" s="138"/>
      <c r="D2625" s="139"/>
      <c r="E2625" s="138"/>
      <c r="F2625" s="138"/>
      <c r="G2625" s="138"/>
      <c r="H2625" s="138"/>
      <c r="I2625" s="138"/>
      <c r="J2625" s="138"/>
      <c r="K2625" s="138"/>
      <c r="L2625" s="138">
        <v>0.0</v>
      </c>
      <c r="M2625" s="140" t="str">
        <f>VLOOKUP(text(D2625, "#"),'Master Table'!$A:$F, 6, FALSE)</f>
        <v>#N/A</v>
      </c>
      <c r="N2625" s="141"/>
      <c r="O2625" s="142" t="str">
        <f t="shared" si="1"/>
        <v/>
      </c>
      <c r="P2625" s="143" t="str">
        <f>IF(ISNA(VLOOKUP(CONCAT(M2625,C2625), 'Judge Count DO NOT EDIT'!H:H, 1, FALSE)), "ERROR","")</f>
        <v>ERROR</v>
      </c>
      <c r="Q2625" s="141"/>
      <c r="R2625" s="143"/>
      <c r="S2625" s="139"/>
      <c r="T2625" s="141"/>
    </row>
    <row r="2626">
      <c r="A2626" s="138"/>
      <c r="B2626" s="138"/>
      <c r="C2626" s="138"/>
      <c r="D2626" s="139"/>
      <c r="E2626" s="138"/>
      <c r="F2626" s="138"/>
      <c r="G2626" s="138"/>
      <c r="H2626" s="138"/>
      <c r="I2626" s="138"/>
      <c r="J2626" s="138"/>
      <c r="K2626" s="138"/>
      <c r="L2626" s="138">
        <v>0.0</v>
      </c>
      <c r="M2626" s="140" t="str">
        <f>VLOOKUP(text(D2626, "#"),'Master Table'!$A:$F, 6, FALSE)</f>
        <v>#N/A</v>
      </c>
      <c r="N2626" s="141"/>
      <c r="O2626" s="142" t="str">
        <f t="shared" si="1"/>
        <v/>
      </c>
      <c r="P2626" s="143" t="str">
        <f>IF(ISNA(VLOOKUP(CONCAT(M2626,C2626), 'Judge Count DO NOT EDIT'!H:H, 1, FALSE)), "ERROR","")</f>
        <v>ERROR</v>
      </c>
      <c r="Q2626" s="141"/>
      <c r="R2626" s="143"/>
      <c r="S2626" s="139"/>
      <c r="T2626" s="141"/>
    </row>
    <row r="2627">
      <c r="A2627" s="138"/>
      <c r="B2627" s="138"/>
      <c r="C2627" s="138"/>
      <c r="D2627" s="139"/>
      <c r="E2627" s="138"/>
      <c r="F2627" s="138"/>
      <c r="G2627" s="138"/>
      <c r="H2627" s="138"/>
      <c r="I2627" s="138"/>
      <c r="J2627" s="138"/>
      <c r="K2627" s="138"/>
      <c r="L2627" s="138">
        <v>0.0</v>
      </c>
      <c r="M2627" s="140" t="str">
        <f>VLOOKUP(text(D2627, "#"),'Master Table'!$A:$F, 6, FALSE)</f>
        <v>#N/A</v>
      </c>
      <c r="N2627" s="141"/>
      <c r="O2627" s="142" t="str">
        <f t="shared" si="1"/>
        <v/>
      </c>
      <c r="P2627" s="143" t="str">
        <f>IF(ISNA(VLOOKUP(CONCAT(M2627,C2627), 'Judge Count DO NOT EDIT'!H:H, 1, FALSE)), "ERROR","")</f>
        <v>ERROR</v>
      </c>
      <c r="Q2627" s="141"/>
      <c r="R2627" s="143"/>
      <c r="S2627" s="139"/>
      <c r="T2627" s="141"/>
    </row>
    <row r="2628">
      <c r="A2628" s="138"/>
      <c r="B2628" s="138"/>
      <c r="C2628" s="138"/>
      <c r="D2628" s="139"/>
      <c r="E2628" s="138"/>
      <c r="F2628" s="138"/>
      <c r="G2628" s="138"/>
      <c r="H2628" s="138"/>
      <c r="I2628" s="138"/>
      <c r="J2628" s="138"/>
      <c r="K2628" s="138"/>
      <c r="L2628" s="138">
        <v>0.0</v>
      </c>
      <c r="M2628" s="140" t="str">
        <f>VLOOKUP(text(D2628, "#"),'Master Table'!$A:$F, 6, FALSE)</f>
        <v>#N/A</v>
      </c>
      <c r="N2628" s="141"/>
      <c r="O2628" s="142" t="str">
        <f t="shared" si="1"/>
        <v/>
      </c>
      <c r="P2628" s="143" t="str">
        <f>IF(ISNA(VLOOKUP(CONCAT(M2628,C2628), 'Judge Count DO NOT EDIT'!H:H, 1, FALSE)), "ERROR","")</f>
        <v>ERROR</v>
      </c>
      <c r="Q2628" s="141"/>
      <c r="R2628" s="143"/>
      <c r="S2628" s="139"/>
      <c r="T2628" s="141"/>
    </row>
    <row r="2629">
      <c r="A2629" s="138"/>
      <c r="B2629" s="138"/>
      <c r="C2629" s="138"/>
      <c r="D2629" s="139"/>
      <c r="E2629" s="138"/>
      <c r="F2629" s="138"/>
      <c r="G2629" s="138"/>
      <c r="H2629" s="138"/>
      <c r="I2629" s="138"/>
      <c r="J2629" s="138"/>
      <c r="K2629" s="138"/>
      <c r="L2629" s="138">
        <v>0.0</v>
      </c>
      <c r="M2629" s="140" t="str">
        <f>VLOOKUP(text(D2629, "#"),'Master Table'!$A:$F, 6, FALSE)</f>
        <v>#N/A</v>
      </c>
      <c r="N2629" s="141"/>
      <c r="O2629" s="142" t="str">
        <f t="shared" si="1"/>
        <v/>
      </c>
      <c r="P2629" s="143" t="str">
        <f>IF(ISNA(VLOOKUP(CONCAT(M2629,C2629), 'Judge Count DO NOT EDIT'!H:H, 1, FALSE)), "ERROR","")</f>
        <v>ERROR</v>
      </c>
      <c r="Q2629" s="141"/>
      <c r="R2629" s="143"/>
      <c r="S2629" s="139"/>
      <c r="T2629" s="141"/>
    </row>
    <row r="2630">
      <c r="A2630" s="138"/>
      <c r="B2630" s="138"/>
      <c r="C2630" s="138"/>
      <c r="D2630" s="139"/>
      <c r="E2630" s="138"/>
      <c r="F2630" s="138"/>
      <c r="G2630" s="138"/>
      <c r="H2630" s="138"/>
      <c r="I2630" s="138"/>
      <c r="J2630" s="138"/>
      <c r="K2630" s="138"/>
      <c r="L2630" s="138">
        <v>0.0</v>
      </c>
      <c r="M2630" s="140" t="str">
        <f>VLOOKUP(text(D2630, "#"),'Master Table'!$A:$F, 6, FALSE)</f>
        <v>#N/A</v>
      </c>
      <c r="N2630" s="141"/>
      <c r="O2630" s="142" t="str">
        <f t="shared" si="1"/>
        <v/>
      </c>
      <c r="P2630" s="143" t="str">
        <f>IF(ISNA(VLOOKUP(CONCAT(M2630,C2630), 'Judge Count DO NOT EDIT'!H:H, 1, FALSE)), "ERROR","")</f>
        <v>ERROR</v>
      </c>
      <c r="Q2630" s="141"/>
      <c r="R2630" s="143"/>
      <c r="S2630" s="139"/>
      <c r="T2630" s="141"/>
    </row>
    <row r="2631">
      <c r="A2631" s="138"/>
      <c r="B2631" s="138"/>
      <c r="C2631" s="138"/>
      <c r="D2631" s="139"/>
      <c r="E2631" s="138"/>
      <c r="F2631" s="138"/>
      <c r="G2631" s="138"/>
      <c r="H2631" s="138"/>
      <c r="I2631" s="138"/>
      <c r="J2631" s="138"/>
      <c r="K2631" s="138"/>
      <c r="L2631" s="138">
        <v>0.0</v>
      </c>
      <c r="M2631" s="140" t="str">
        <f>VLOOKUP(text(D2631, "#"),'Master Table'!$A:$F, 6, FALSE)</f>
        <v>#N/A</v>
      </c>
      <c r="N2631" s="141"/>
      <c r="O2631" s="142" t="str">
        <f t="shared" si="1"/>
        <v/>
      </c>
      <c r="P2631" s="143" t="str">
        <f>IF(ISNA(VLOOKUP(CONCAT(M2631,C2631), 'Judge Count DO NOT EDIT'!H:H, 1, FALSE)), "ERROR","")</f>
        <v>ERROR</v>
      </c>
      <c r="Q2631" s="141"/>
      <c r="R2631" s="143"/>
      <c r="S2631" s="139"/>
      <c r="T2631" s="141"/>
    </row>
    <row r="2632">
      <c r="A2632" s="138"/>
      <c r="B2632" s="138"/>
      <c r="C2632" s="138"/>
      <c r="D2632" s="139"/>
      <c r="E2632" s="138"/>
      <c r="F2632" s="138"/>
      <c r="G2632" s="138"/>
      <c r="H2632" s="138"/>
      <c r="I2632" s="138"/>
      <c r="J2632" s="138"/>
      <c r="K2632" s="138"/>
      <c r="L2632" s="138">
        <v>0.0</v>
      </c>
      <c r="M2632" s="140" t="str">
        <f>VLOOKUP(text(D2632, "#"),'Master Table'!$A:$F, 6, FALSE)</f>
        <v>#N/A</v>
      </c>
      <c r="N2632" s="141"/>
      <c r="O2632" s="142" t="str">
        <f t="shared" si="1"/>
        <v/>
      </c>
      <c r="P2632" s="143" t="str">
        <f>IF(ISNA(VLOOKUP(CONCAT(M2632,C2632), 'Judge Count DO NOT EDIT'!H:H, 1, FALSE)), "ERROR","")</f>
        <v>ERROR</v>
      </c>
      <c r="Q2632" s="141"/>
      <c r="R2632" s="143"/>
      <c r="S2632" s="139"/>
      <c r="T2632" s="141"/>
    </row>
    <row r="2633">
      <c r="A2633" s="138"/>
      <c r="B2633" s="138"/>
      <c r="C2633" s="138"/>
      <c r="D2633" s="139"/>
      <c r="E2633" s="138"/>
      <c r="F2633" s="138"/>
      <c r="G2633" s="138"/>
      <c r="H2633" s="138"/>
      <c r="I2633" s="138"/>
      <c r="J2633" s="138"/>
      <c r="K2633" s="138"/>
      <c r="L2633" s="138">
        <v>0.0</v>
      </c>
      <c r="M2633" s="140" t="str">
        <f>VLOOKUP(text(D2633, "#"),'Master Table'!$A:$F, 6, FALSE)</f>
        <v>#N/A</v>
      </c>
      <c r="N2633" s="141"/>
      <c r="O2633" s="142" t="str">
        <f t="shared" si="1"/>
        <v/>
      </c>
      <c r="P2633" s="143" t="str">
        <f>IF(ISNA(VLOOKUP(CONCAT(M2633,C2633), 'Judge Count DO NOT EDIT'!H:H, 1, FALSE)), "ERROR","")</f>
        <v>ERROR</v>
      </c>
      <c r="Q2633" s="141"/>
      <c r="R2633" s="143"/>
      <c r="S2633" s="139"/>
      <c r="T2633" s="141"/>
    </row>
    <row r="2634">
      <c r="A2634" s="138"/>
      <c r="B2634" s="138"/>
      <c r="C2634" s="138"/>
      <c r="D2634" s="139"/>
      <c r="E2634" s="138"/>
      <c r="F2634" s="138"/>
      <c r="G2634" s="138"/>
      <c r="H2634" s="138"/>
      <c r="I2634" s="138"/>
      <c r="J2634" s="138"/>
      <c r="K2634" s="138"/>
      <c r="L2634" s="138">
        <v>0.0</v>
      </c>
      <c r="M2634" s="140" t="str">
        <f>VLOOKUP(text(D2634, "#"),'Master Table'!$A:$F, 6, FALSE)</f>
        <v>#N/A</v>
      </c>
      <c r="N2634" s="141"/>
      <c r="O2634" s="142" t="str">
        <f t="shared" si="1"/>
        <v/>
      </c>
      <c r="P2634" s="143" t="str">
        <f>IF(ISNA(VLOOKUP(CONCAT(M2634,C2634), 'Judge Count DO NOT EDIT'!H:H, 1, FALSE)), "ERROR","")</f>
        <v>ERROR</v>
      </c>
      <c r="Q2634" s="141"/>
      <c r="R2634" s="143"/>
      <c r="S2634" s="139"/>
      <c r="T2634" s="141"/>
    </row>
    <row r="2635">
      <c r="A2635" s="138"/>
      <c r="B2635" s="138"/>
      <c r="C2635" s="138"/>
      <c r="D2635" s="139"/>
      <c r="E2635" s="138"/>
      <c r="F2635" s="138"/>
      <c r="G2635" s="138"/>
      <c r="H2635" s="138"/>
      <c r="I2635" s="138"/>
      <c r="J2635" s="138"/>
      <c r="K2635" s="138"/>
      <c r="L2635" s="138">
        <v>0.0</v>
      </c>
      <c r="M2635" s="140" t="str">
        <f>VLOOKUP(text(D2635, "#"),'Master Table'!$A:$F, 6, FALSE)</f>
        <v>#N/A</v>
      </c>
      <c r="N2635" s="141"/>
      <c r="O2635" s="142" t="str">
        <f t="shared" si="1"/>
        <v/>
      </c>
      <c r="P2635" s="143" t="str">
        <f>IF(ISNA(VLOOKUP(CONCAT(M2635,C2635), 'Judge Count DO NOT EDIT'!H:H, 1, FALSE)), "ERROR","")</f>
        <v>ERROR</v>
      </c>
      <c r="Q2635" s="141"/>
      <c r="R2635" s="143"/>
      <c r="S2635" s="139"/>
      <c r="T2635" s="141"/>
    </row>
    <row r="2636">
      <c r="A2636" s="138"/>
      <c r="B2636" s="138"/>
      <c r="C2636" s="138"/>
      <c r="D2636" s="139"/>
      <c r="E2636" s="138"/>
      <c r="F2636" s="138"/>
      <c r="G2636" s="138"/>
      <c r="H2636" s="138"/>
      <c r="I2636" s="138"/>
      <c r="J2636" s="138"/>
      <c r="K2636" s="138"/>
      <c r="L2636" s="138">
        <v>0.0</v>
      </c>
      <c r="M2636" s="140" t="str">
        <f>VLOOKUP(text(D2636, "#"),'Master Table'!$A:$F, 6, FALSE)</f>
        <v>#N/A</v>
      </c>
      <c r="N2636" s="141"/>
      <c r="O2636" s="142" t="str">
        <f t="shared" si="1"/>
        <v/>
      </c>
      <c r="P2636" s="143" t="str">
        <f>IF(ISNA(VLOOKUP(CONCAT(M2636,C2636), 'Judge Count DO NOT EDIT'!H:H, 1, FALSE)), "ERROR","")</f>
        <v>ERROR</v>
      </c>
      <c r="Q2636" s="141"/>
      <c r="R2636" s="143"/>
      <c r="S2636" s="139"/>
      <c r="T2636" s="141"/>
    </row>
    <row r="2637">
      <c r="A2637" s="138"/>
      <c r="B2637" s="138"/>
      <c r="C2637" s="138"/>
      <c r="D2637" s="139"/>
      <c r="E2637" s="138"/>
      <c r="F2637" s="138"/>
      <c r="G2637" s="138"/>
      <c r="H2637" s="138"/>
      <c r="I2637" s="138"/>
      <c r="J2637" s="138"/>
      <c r="K2637" s="138"/>
      <c r="L2637" s="138">
        <v>0.0</v>
      </c>
      <c r="M2637" s="140" t="str">
        <f>VLOOKUP(text(D2637, "#"),'Master Table'!$A:$F, 6, FALSE)</f>
        <v>#N/A</v>
      </c>
      <c r="N2637" s="141"/>
      <c r="O2637" s="142" t="str">
        <f t="shared" si="1"/>
        <v/>
      </c>
      <c r="P2637" s="143" t="str">
        <f>IF(ISNA(VLOOKUP(CONCAT(M2637,C2637), 'Judge Count DO NOT EDIT'!H:H, 1, FALSE)), "ERROR","")</f>
        <v>ERROR</v>
      </c>
      <c r="Q2637" s="141"/>
      <c r="R2637" s="143"/>
      <c r="S2637" s="139"/>
      <c r="T2637" s="141"/>
    </row>
    <row r="2638">
      <c r="A2638" s="138"/>
      <c r="B2638" s="138"/>
      <c r="C2638" s="138"/>
      <c r="D2638" s="139"/>
      <c r="E2638" s="138"/>
      <c r="F2638" s="138"/>
      <c r="G2638" s="138"/>
      <c r="H2638" s="138"/>
      <c r="I2638" s="138"/>
      <c r="J2638" s="138"/>
      <c r="K2638" s="138"/>
      <c r="L2638" s="138">
        <v>0.0</v>
      </c>
      <c r="M2638" s="140" t="str">
        <f>VLOOKUP(text(D2638, "#"),'Master Table'!$A:$F, 6, FALSE)</f>
        <v>#N/A</v>
      </c>
      <c r="N2638" s="141"/>
      <c r="O2638" s="142" t="str">
        <f t="shared" si="1"/>
        <v/>
      </c>
      <c r="P2638" s="143" t="str">
        <f>IF(ISNA(VLOOKUP(CONCAT(M2638,C2638), 'Judge Count DO NOT EDIT'!H:H, 1, FALSE)), "ERROR","")</f>
        <v>ERROR</v>
      </c>
      <c r="Q2638" s="141"/>
      <c r="R2638" s="143"/>
      <c r="S2638" s="139"/>
      <c r="T2638" s="141"/>
    </row>
    <row r="2639">
      <c r="A2639" s="138"/>
      <c r="B2639" s="138"/>
      <c r="C2639" s="138"/>
      <c r="D2639" s="139"/>
      <c r="E2639" s="138"/>
      <c r="F2639" s="138"/>
      <c r="G2639" s="138"/>
      <c r="H2639" s="138"/>
      <c r="I2639" s="138"/>
      <c r="J2639" s="138"/>
      <c r="K2639" s="138"/>
      <c r="L2639" s="138">
        <v>0.0</v>
      </c>
      <c r="M2639" s="140" t="str">
        <f>VLOOKUP(text(D2639, "#"),'Master Table'!$A:$F, 6, FALSE)</f>
        <v>#N/A</v>
      </c>
      <c r="N2639" s="141"/>
      <c r="O2639" s="142" t="str">
        <f t="shared" si="1"/>
        <v/>
      </c>
      <c r="P2639" s="143" t="str">
        <f>IF(ISNA(VLOOKUP(CONCAT(M2639,C2639), 'Judge Count DO NOT EDIT'!H:H, 1, FALSE)), "ERROR","")</f>
        <v>ERROR</v>
      </c>
      <c r="Q2639" s="141"/>
      <c r="R2639" s="143"/>
      <c r="S2639" s="139"/>
      <c r="T2639" s="141"/>
    </row>
    <row r="2640">
      <c r="A2640" s="138"/>
      <c r="B2640" s="138"/>
      <c r="C2640" s="138"/>
      <c r="D2640" s="139"/>
      <c r="E2640" s="138"/>
      <c r="F2640" s="138"/>
      <c r="G2640" s="138"/>
      <c r="H2640" s="138"/>
      <c r="I2640" s="138"/>
      <c r="J2640" s="138"/>
      <c r="K2640" s="138"/>
      <c r="L2640" s="138">
        <v>0.0</v>
      </c>
      <c r="M2640" s="140" t="str">
        <f>VLOOKUP(text(D2640, "#"),'Master Table'!$A:$F, 6, FALSE)</f>
        <v>#N/A</v>
      </c>
      <c r="N2640" s="141"/>
      <c r="O2640" s="142" t="str">
        <f t="shared" si="1"/>
        <v/>
      </c>
      <c r="P2640" s="143" t="str">
        <f>IF(ISNA(VLOOKUP(CONCAT(M2640,C2640), 'Judge Count DO NOT EDIT'!H:H, 1, FALSE)), "ERROR","")</f>
        <v>ERROR</v>
      </c>
      <c r="Q2640" s="141"/>
      <c r="R2640" s="143"/>
      <c r="S2640" s="139"/>
      <c r="T2640" s="141"/>
    </row>
    <row r="2641">
      <c r="A2641" s="138"/>
      <c r="B2641" s="138"/>
      <c r="C2641" s="138"/>
      <c r="D2641" s="139"/>
      <c r="E2641" s="138"/>
      <c r="F2641" s="138"/>
      <c r="G2641" s="138"/>
      <c r="H2641" s="138"/>
      <c r="I2641" s="138"/>
      <c r="J2641" s="138"/>
      <c r="K2641" s="138"/>
      <c r="L2641" s="138">
        <v>0.0</v>
      </c>
      <c r="M2641" s="140" t="str">
        <f>VLOOKUP(text(D2641, "#"),'Master Table'!$A:$F, 6, FALSE)</f>
        <v>#N/A</v>
      </c>
      <c r="N2641" s="141"/>
      <c r="O2641" s="142" t="str">
        <f t="shared" si="1"/>
        <v/>
      </c>
      <c r="P2641" s="143" t="str">
        <f>IF(ISNA(VLOOKUP(CONCAT(M2641,C2641), 'Judge Count DO NOT EDIT'!H:H, 1, FALSE)), "ERROR","")</f>
        <v>ERROR</v>
      </c>
      <c r="Q2641" s="141"/>
      <c r="R2641" s="143"/>
      <c r="S2641" s="139"/>
      <c r="T2641" s="141"/>
    </row>
    <row r="2642">
      <c r="A2642" s="138"/>
      <c r="B2642" s="138"/>
      <c r="C2642" s="138"/>
      <c r="D2642" s="139"/>
      <c r="E2642" s="138"/>
      <c r="F2642" s="138"/>
      <c r="G2642" s="138"/>
      <c r="H2642" s="138"/>
      <c r="I2642" s="138"/>
      <c r="J2642" s="138"/>
      <c r="K2642" s="138"/>
      <c r="L2642" s="138">
        <v>0.0</v>
      </c>
      <c r="M2642" s="140" t="str">
        <f>VLOOKUP(text(D2642, "#"),'Master Table'!$A:$F, 6, FALSE)</f>
        <v>#N/A</v>
      </c>
      <c r="N2642" s="141"/>
      <c r="O2642" s="142" t="str">
        <f t="shared" si="1"/>
        <v/>
      </c>
      <c r="P2642" s="143" t="str">
        <f>IF(ISNA(VLOOKUP(CONCAT(M2642,C2642), 'Judge Count DO NOT EDIT'!H:H, 1, FALSE)), "ERROR","")</f>
        <v>ERROR</v>
      </c>
      <c r="Q2642" s="141"/>
      <c r="R2642" s="143"/>
      <c r="S2642" s="139"/>
      <c r="T2642" s="141"/>
    </row>
    <row r="2643">
      <c r="A2643" s="138"/>
      <c r="B2643" s="138"/>
      <c r="C2643" s="138"/>
      <c r="D2643" s="139"/>
      <c r="E2643" s="138"/>
      <c r="F2643" s="138"/>
      <c r="G2643" s="138"/>
      <c r="H2643" s="138"/>
      <c r="I2643" s="138"/>
      <c r="J2643" s="138"/>
      <c r="K2643" s="138"/>
      <c r="L2643" s="138">
        <v>0.0</v>
      </c>
      <c r="M2643" s="140" t="str">
        <f>VLOOKUP(text(D2643, "#"),'Master Table'!$A:$F, 6, FALSE)</f>
        <v>#N/A</v>
      </c>
      <c r="N2643" s="141"/>
      <c r="O2643" s="142" t="str">
        <f t="shared" si="1"/>
        <v/>
      </c>
      <c r="P2643" s="143" t="str">
        <f>IF(ISNA(VLOOKUP(CONCAT(M2643,C2643), 'Judge Count DO NOT EDIT'!H:H, 1, FALSE)), "ERROR","")</f>
        <v>ERROR</v>
      </c>
      <c r="Q2643" s="141"/>
      <c r="R2643" s="143"/>
      <c r="S2643" s="139"/>
      <c r="T2643" s="141"/>
    </row>
    <row r="2644">
      <c r="A2644" s="138"/>
      <c r="B2644" s="138"/>
      <c r="C2644" s="138"/>
      <c r="D2644" s="139"/>
      <c r="E2644" s="138"/>
      <c r="F2644" s="138"/>
      <c r="G2644" s="138"/>
      <c r="H2644" s="138"/>
      <c r="I2644" s="138"/>
      <c r="J2644" s="138"/>
      <c r="K2644" s="138"/>
      <c r="L2644" s="138">
        <v>0.0</v>
      </c>
      <c r="M2644" s="140" t="str">
        <f>VLOOKUP(text(D2644, "#"),'Master Table'!$A:$F, 6, FALSE)</f>
        <v>#N/A</v>
      </c>
      <c r="N2644" s="141"/>
      <c r="O2644" s="142" t="str">
        <f t="shared" si="1"/>
        <v/>
      </c>
      <c r="P2644" s="143" t="str">
        <f>IF(ISNA(VLOOKUP(CONCAT(M2644,C2644), 'Judge Count DO NOT EDIT'!H:H, 1, FALSE)), "ERROR","")</f>
        <v>ERROR</v>
      </c>
      <c r="Q2644" s="141"/>
      <c r="R2644" s="143"/>
      <c r="S2644" s="139"/>
      <c r="T2644" s="141"/>
    </row>
    <row r="2645">
      <c r="A2645" s="138"/>
      <c r="B2645" s="138"/>
      <c r="C2645" s="138"/>
      <c r="D2645" s="139"/>
      <c r="E2645" s="138"/>
      <c r="F2645" s="138"/>
      <c r="G2645" s="138"/>
      <c r="H2645" s="138"/>
      <c r="I2645" s="138"/>
      <c r="J2645" s="138"/>
      <c r="K2645" s="138"/>
      <c r="L2645" s="138">
        <v>0.0</v>
      </c>
      <c r="M2645" s="140" t="str">
        <f>VLOOKUP(text(D2645, "#"),'Master Table'!$A:$F, 6, FALSE)</f>
        <v>#N/A</v>
      </c>
      <c r="N2645" s="141"/>
      <c r="O2645" s="142" t="str">
        <f t="shared" si="1"/>
        <v/>
      </c>
      <c r="P2645" s="143" t="str">
        <f>IF(ISNA(VLOOKUP(CONCAT(M2645,C2645), 'Judge Count DO NOT EDIT'!H:H, 1, FALSE)), "ERROR","")</f>
        <v>ERROR</v>
      </c>
      <c r="Q2645" s="141"/>
      <c r="R2645" s="143"/>
      <c r="S2645" s="139"/>
      <c r="T2645" s="141"/>
    </row>
    <row r="2646">
      <c r="A2646" s="138"/>
      <c r="B2646" s="138"/>
      <c r="C2646" s="138"/>
      <c r="D2646" s="139"/>
      <c r="E2646" s="138"/>
      <c r="F2646" s="138"/>
      <c r="G2646" s="138"/>
      <c r="H2646" s="138"/>
      <c r="I2646" s="138"/>
      <c r="J2646" s="138"/>
      <c r="K2646" s="138"/>
      <c r="L2646" s="138">
        <v>0.0</v>
      </c>
      <c r="M2646" s="140" t="str">
        <f>VLOOKUP(text(D2646, "#"),'Master Table'!$A:$F, 6, FALSE)</f>
        <v>#N/A</v>
      </c>
      <c r="N2646" s="141"/>
      <c r="O2646" s="142" t="str">
        <f t="shared" si="1"/>
        <v/>
      </c>
      <c r="P2646" s="143" t="str">
        <f>IF(ISNA(VLOOKUP(CONCAT(M2646,C2646), 'Judge Count DO NOT EDIT'!H:H, 1, FALSE)), "ERROR","")</f>
        <v>ERROR</v>
      </c>
      <c r="Q2646" s="141"/>
      <c r="R2646" s="143"/>
      <c r="S2646" s="139"/>
      <c r="T2646" s="141"/>
    </row>
    <row r="2647">
      <c r="A2647" s="138"/>
      <c r="B2647" s="138"/>
      <c r="C2647" s="138"/>
      <c r="D2647" s="139"/>
      <c r="E2647" s="138"/>
      <c r="F2647" s="138"/>
      <c r="G2647" s="138"/>
      <c r="H2647" s="138"/>
      <c r="I2647" s="138"/>
      <c r="J2647" s="138"/>
      <c r="K2647" s="138"/>
      <c r="L2647" s="138">
        <v>0.0</v>
      </c>
      <c r="M2647" s="140" t="str">
        <f>VLOOKUP(text(D2647, "#"),'Master Table'!$A:$F, 6, FALSE)</f>
        <v>#N/A</v>
      </c>
      <c r="N2647" s="141"/>
      <c r="O2647" s="142" t="str">
        <f t="shared" si="1"/>
        <v/>
      </c>
      <c r="P2647" s="143" t="str">
        <f>IF(ISNA(VLOOKUP(CONCAT(M2647,C2647), 'Judge Count DO NOT EDIT'!H:H, 1, FALSE)), "ERROR","")</f>
        <v>ERROR</v>
      </c>
      <c r="Q2647" s="141"/>
      <c r="R2647" s="143"/>
      <c r="S2647" s="139"/>
      <c r="T2647" s="141"/>
    </row>
    <row r="2648">
      <c r="A2648" s="138"/>
      <c r="B2648" s="138"/>
      <c r="C2648" s="138"/>
      <c r="D2648" s="139"/>
      <c r="E2648" s="138"/>
      <c r="F2648" s="138"/>
      <c r="G2648" s="138"/>
      <c r="H2648" s="138"/>
      <c r="I2648" s="138"/>
      <c r="J2648" s="138"/>
      <c r="K2648" s="138"/>
      <c r="L2648" s="138">
        <v>0.0</v>
      </c>
      <c r="M2648" s="140" t="str">
        <f>VLOOKUP(text(D2648, "#"),'Master Table'!$A:$F, 6, FALSE)</f>
        <v>#N/A</v>
      </c>
      <c r="N2648" s="141"/>
      <c r="O2648" s="142" t="str">
        <f t="shared" si="1"/>
        <v/>
      </c>
      <c r="P2648" s="143" t="str">
        <f>IF(ISNA(VLOOKUP(CONCAT(M2648,C2648), 'Judge Count DO NOT EDIT'!H:H, 1, FALSE)), "ERROR","")</f>
        <v>ERROR</v>
      </c>
      <c r="Q2648" s="141"/>
      <c r="R2648" s="143"/>
      <c r="S2648" s="139"/>
      <c r="T2648" s="141"/>
    </row>
    <row r="2649">
      <c r="A2649" s="138"/>
      <c r="B2649" s="138"/>
      <c r="C2649" s="138"/>
      <c r="D2649" s="139"/>
      <c r="E2649" s="138"/>
      <c r="F2649" s="138"/>
      <c r="G2649" s="138"/>
      <c r="H2649" s="138"/>
      <c r="I2649" s="138"/>
      <c r="J2649" s="138"/>
      <c r="K2649" s="138"/>
      <c r="L2649" s="138">
        <v>0.0</v>
      </c>
      <c r="M2649" s="140" t="str">
        <f>VLOOKUP(text(D2649, "#"),'Master Table'!$A:$F, 6, FALSE)</f>
        <v>#N/A</v>
      </c>
      <c r="N2649" s="141"/>
      <c r="O2649" s="142" t="str">
        <f t="shared" si="1"/>
        <v/>
      </c>
      <c r="P2649" s="143" t="str">
        <f>IF(ISNA(VLOOKUP(CONCAT(M2649,C2649), 'Judge Count DO NOT EDIT'!H:H, 1, FALSE)), "ERROR","")</f>
        <v>ERROR</v>
      </c>
      <c r="Q2649" s="141"/>
      <c r="R2649" s="143"/>
      <c r="S2649" s="139"/>
      <c r="T2649" s="141"/>
    </row>
    <row r="2650">
      <c r="A2650" s="138"/>
      <c r="B2650" s="138"/>
      <c r="C2650" s="138"/>
      <c r="D2650" s="139"/>
      <c r="E2650" s="138"/>
      <c r="F2650" s="138"/>
      <c r="G2650" s="138"/>
      <c r="H2650" s="138"/>
      <c r="I2650" s="138"/>
      <c r="J2650" s="138"/>
      <c r="K2650" s="138"/>
      <c r="L2650" s="138">
        <v>0.0</v>
      </c>
      <c r="M2650" s="140" t="str">
        <f>VLOOKUP(text(D2650, "#"),'Master Table'!$A:$F, 6, FALSE)</f>
        <v>#N/A</v>
      </c>
      <c r="N2650" s="141"/>
      <c r="O2650" s="142" t="str">
        <f t="shared" si="1"/>
        <v/>
      </c>
      <c r="P2650" s="143" t="str">
        <f>IF(ISNA(VLOOKUP(CONCAT(M2650,C2650), 'Judge Count DO NOT EDIT'!H:H, 1, FALSE)), "ERROR","")</f>
        <v>ERROR</v>
      </c>
      <c r="Q2650" s="141"/>
      <c r="R2650" s="143"/>
      <c r="S2650" s="139"/>
      <c r="T2650" s="141"/>
    </row>
    <row r="2651">
      <c r="A2651" s="138"/>
      <c r="B2651" s="138"/>
      <c r="C2651" s="138"/>
      <c r="D2651" s="139"/>
      <c r="E2651" s="138"/>
      <c r="F2651" s="138"/>
      <c r="G2651" s="138"/>
      <c r="H2651" s="138"/>
      <c r="I2651" s="138"/>
      <c r="J2651" s="138"/>
      <c r="K2651" s="138"/>
      <c r="L2651" s="138">
        <v>0.0</v>
      </c>
      <c r="M2651" s="140" t="str">
        <f>VLOOKUP(text(D2651, "#"),'Master Table'!$A:$F, 6, FALSE)</f>
        <v>#N/A</v>
      </c>
      <c r="N2651" s="141"/>
      <c r="O2651" s="142" t="str">
        <f t="shared" si="1"/>
        <v/>
      </c>
      <c r="P2651" s="143" t="str">
        <f>IF(ISNA(VLOOKUP(CONCAT(M2651,C2651), 'Judge Count DO NOT EDIT'!H:H, 1, FALSE)), "ERROR","")</f>
        <v>ERROR</v>
      </c>
      <c r="Q2651" s="141"/>
      <c r="R2651" s="143"/>
      <c r="S2651" s="139"/>
      <c r="T2651" s="141"/>
    </row>
    <row r="2652">
      <c r="A2652" s="138"/>
      <c r="B2652" s="138"/>
      <c r="C2652" s="138"/>
      <c r="D2652" s="139"/>
      <c r="E2652" s="138"/>
      <c r="F2652" s="138"/>
      <c r="G2652" s="138"/>
      <c r="H2652" s="138"/>
      <c r="I2652" s="138"/>
      <c r="J2652" s="138"/>
      <c r="K2652" s="138"/>
      <c r="L2652" s="138">
        <v>0.0</v>
      </c>
      <c r="M2652" s="140" t="str">
        <f>VLOOKUP(text(D2652, "#"),'Master Table'!$A:$F, 6, FALSE)</f>
        <v>#N/A</v>
      </c>
      <c r="N2652" s="141"/>
      <c r="O2652" s="142" t="str">
        <f t="shared" si="1"/>
        <v/>
      </c>
      <c r="P2652" s="143" t="str">
        <f>IF(ISNA(VLOOKUP(CONCAT(M2652,C2652), 'Judge Count DO NOT EDIT'!H:H, 1, FALSE)), "ERROR","")</f>
        <v>ERROR</v>
      </c>
      <c r="Q2652" s="141"/>
      <c r="R2652" s="143"/>
      <c r="S2652" s="139"/>
      <c r="T2652" s="141"/>
    </row>
    <row r="2653">
      <c r="A2653" s="138"/>
      <c r="B2653" s="138"/>
      <c r="C2653" s="138"/>
      <c r="D2653" s="139"/>
      <c r="E2653" s="138"/>
      <c r="F2653" s="138"/>
      <c r="G2653" s="138"/>
      <c r="H2653" s="138"/>
      <c r="I2653" s="138"/>
      <c r="J2653" s="138"/>
      <c r="K2653" s="138"/>
      <c r="L2653" s="138">
        <v>0.0</v>
      </c>
      <c r="M2653" s="140" t="str">
        <f>VLOOKUP(text(D2653, "#"),'Master Table'!$A:$F, 6, FALSE)</f>
        <v>#N/A</v>
      </c>
      <c r="N2653" s="141"/>
      <c r="O2653" s="142" t="str">
        <f t="shared" si="1"/>
        <v/>
      </c>
      <c r="P2653" s="143" t="str">
        <f>IF(ISNA(VLOOKUP(CONCAT(M2653,C2653), 'Judge Count DO NOT EDIT'!H:H, 1, FALSE)), "ERROR","")</f>
        <v>ERROR</v>
      </c>
      <c r="Q2653" s="141"/>
      <c r="R2653" s="143"/>
      <c r="S2653" s="139"/>
      <c r="T2653" s="141"/>
    </row>
    <row r="2654">
      <c r="A2654" s="138"/>
      <c r="B2654" s="138"/>
      <c r="C2654" s="138"/>
      <c r="D2654" s="139"/>
      <c r="E2654" s="138"/>
      <c r="F2654" s="138"/>
      <c r="G2654" s="138"/>
      <c r="H2654" s="138"/>
      <c r="I2654" s="138"/>
      <c r="J2654" s="138"/>
      <c r="K2654" s="138"/>
      <c r="L2654" s="138">
        <v>0.0</v>
      </c>
      <c r="M2654" s="140" t="str">
        <f>VLOOKUP(text(D2654, "#"),'Master Table'!$A:$F, 6, FALSE)</f>
        <v>#N/A</v>
      </c>
      <c r="N2654" s="141"/>
      <c r="O2654" s="142" t="str">
        <f t="shared" si="1"/>
        <v/>
      </c>
      <c r="P2654" s="143" t="str">
        <f>IF(ISNA(VLOOKUP(CONCAT(M2654,C2654), 'Judge Count DO NOT EDIT'!H:H, 1, FALSE)), "ERROR","")</f>
        <v>ERROR</v>
      </c>
      <c r="Q2654" s="141"/>
      <c r="R2654" s="143"/>
      <c r="S2654" s="139"/>
      <c r="T2654" s="141"/>
    </row>
    <row r="2655">
      <c r="A2655" s="138"/>
      <c r="B2655" s="138"/>
      <c r="C2655" s="138"/>
      <c r="D2655" s="139"/>
      <c r="E2655" s="138"/>
      <c r="F2655" s="138"/>
      <c r="G2655" s="138"/>
      <c r="H2655" s="138"/>
      <c r="I2655" s="138"/>
      <c r="J2655" s="138"/>
      <c r="K2655" s="138"/>
      <c r="L2655" s="138">
        <v>0.0</v>
      </c>
      <c r="M2655" s="140" t="str">
        <f>VLOOKUP(text(D2655, "#"),'Master Table'!$A:$F, 6, FALSE)</f>
        <v>#N/A</v>
      </c>
      <c r="N2655" s="141"/>
      <c r="O2655" s="142" t="str">
        <f t="shared" si="1"/>
        <v/>
      </c>
      <c r="P2655" s="143" t="str">
        <f>IF(ISNA(VLOOKUP(CONCAT(M2655,C2655), 'Judge Count DO NOT EDIT'!H:H, 1, FALSE)), "ERROR","")</f>
        <v>ERROR</v>
      </c>
      <c r="Q2655" s="141"/>
      <c r="R2655" s="143"/>
      <c r="S2655" s="139"/>
      <c r="T2655" s="141"/>
    </row>
    <row r="2656">
      <c r="A2656" s="138"/>
      <c r="B2656" s="138"/>
      <c r="C2656" s="138"/>
      <c r="D2656" s="139"/>
      <c r="E2656" s="138"/>
      <c r="F2656" s="138"/>
      <c r="G2656" s="138"/>
      <c r="H2656" s="138"/>
      <c r="I2656" s="138"/>
      <c r="J2656" s="138"/>
      <c r="K2656" s="138"/>
      <c r="L2656" s="138">
        <v>0.0</v>
      </c>
      <c r="M2656" s="140" t="str">
        <f>VLOOKUP(text(D2656, "#"),'Master Table'!$A:$F, 6, FALSE)</f>
        <v>#N/A</v>
      </c>
      <c r="N2656" s="141"/>
      <c r="O2656" s="142" t="str">
        <f t="shared" si="1"/>
        <v/>
      </c>
      <c r="P2656" s="143" t="str">
        <f>IF(ISNA(VLOOKUP(CONCAT(M2656,C2656), 'Judge Count DO NOT EDIT'!H:H, 1, FALSE)), "ERROR","")</f>
        <v>ERROR</v>
      </c>
      <c r="Q2656" s="141"/>
      <c r="R2656" s="143"/>
      <c r="S2656" s="139"/>
      <c r="T2656" s="141"/>
    </row>
    <row r="2657">
      <c r="A2657" s="138"/>
      <c r="B2657" s="138"/>
      <c r="C2657" s="138"/>
      <c r="D2657" s="139"/>
      <c r="E2657" s="138"/>
      <c r="F2657" s="138"/>
      <c r="G2657" s="138"/>
      <c r="H2657" s="138"/>
      <c r="I2657" s="138"/>
      <c r="J2657" s="138"/>
      <c r="K2657" s="138"/>
      <c r="L2657" s="138">
        <v>0.0</v>
      </c>
      <c r="M2657" s="140" t="str">
        <f>VLOOKUP(text(D2657, "#"),'Master Table'!$A:$F, 6, FALSE)</f>
        <v>#N/A</v>
      </c>
      <c r="N2657" s="141"/>
      <c r="O2657" s="142" t="str">
        <f t="shared" si="1"/>
        <v/>
      </c>
      <c r="P2657" s="143" t="str">
        <f>IF(ISNA(VLOOKUP(CONCAT(M2657,C2657), 'Judge Count DO NOT EDIT'!H:H, 1, FALSE)), "ERROR","")</f>
        <v>ERROR</v>
      </c>
      <c r="Q2657" s="141"/>
      <c r="R2657" s="143"/>
      <c r="S2657" s="139"/>
      <c r="T2657" s="141"/>
    </row>
    <row r="2658">
      <c r="A2658" s="138"/>
      <c r="B2658" s="138"/>
      <c r="C2658" s="138"/>
      <c r="D2658" s="139"/>
      <c r="E2658" s="138"/>
      <c r="F2658" s="138"/>
      <c r="G2658" s="138"/>
      <c r="H2658" s="138"/>
      <c r="I2658" s="138"/>
      <c r="J2658" s="138"/>
      <c r="K2658" s="138"/>
      <c r="L2658" s="138">
        <v>0.0</v>
      </c>
      <c r="M2658" s="140" t="str">
        <f>VLOOKUP(text(D2658, "#"),'Master Table'!$A:$F, 6, FALSE)</f>
        <v>#N/A</v>
      </c>
      <c r="N2658" s="141"/>
      <c r="O2658" s="142" t="str">
        <f t="shared" si="1"/>
        <v/>
      </c>
      <c r="P2658" s="143" t="str">
        <f>IF(ISNA(VLOOKUP(CONCAT(M2658,C2658), 'Judge Count DO NOT EDIT'!H:H, 1, FALSE)), "ERROR","")</f>
        <v>ERROR</v>
      </c>
      <c r="Q2658" s="141"/>
      <c r="R2658" s="143"/>
      <c r="S2658" s="139"/>
      <c r="T2658" s="141"/>
    </row>
    <row r="2659">
      <c r="A2659" s="138"/>
      <c r="B2659" s="138"/>
      <c r="C2659" s="138"/>
      <c r="D2659" s="139"/>
      <c r="E2659" s="138"/>
      <c r="F2659" s="138"/>
      <c r="G2659" s="138"/>
      <c r="H2659" s="138"/>
      <c r="I2659" s="138"/>
      <c r="J2659" s="138"/>
      <c r="K2659" s="138"/>
      <c r="L2659" s="138">
        <v>0.0</v>
      </c>
      <c r="M2659" s="140" t="str">
        <f>VLOOKUP(text(D2659, "#"),'Master Table'!$A:$F, 6, FALSE)</f>
        <v>#N/A</v>
      </c>
      <c r="N2659" s="141"/>
      <c r="O2659" s="142" t="str">
        <f t="shared" si="1"/>
        <v/>
      </c>
      <c r="P2659" s="143" t="str">
        <f>IF(ISNA(VLOOKUP(CONCAT(M2659,C2659), 'Judge Count DO NOT EDIT'!H:H, 1, FALSE)), "ERROR","")</f>
        <v>ERROR</v>
      </c>
      <c r="Q2659" s="141"/>
      <c r="R2659" s="143"/>
      <c r="S2659" s="139"/>
      <c r="T2659" s="141"/>
    </row>
    <row r="2660">
      <c r="A2660" s="138"/>
      <c r="B2660" s="138"/>
      <c r="C2660" s="138"/>
      <c r="D2660" s="139"/>
      <c r="E2660" s="138"/>
      <c r="F2660" s="138"/>
      <c r="G2660" s="138"/>
      <c r="H2660" s="138"/>
      <c r="I2660" s="138"/>
      <c r="J2660" s="138"/>
      <c r="K2660" s="138"/>
      <c r="L2660" s="138">
        <v>0.0</v>
      </c>
      <c r="M2660" s="140" t="str">
        <f>VLOOKUP(text(D2660, "#"),'Master Table'!$A:$F, 6, FALSE)</f>
        <v>#N/A</v>
      </c>
      <c r="N2660" s="141"/>
      <c r="O2660" s="142" t="str">
        <f t="shared" si="1"/>
        <v/>
      </c>
      <c r="P2660" s="143" t="str">
        <f>IF(ISNA(VLOOKUP(CONCAT(M2660,C2660), 'Judge Count DO NOT EDIT'!H:H, 1, FALSE)), "ERROR","")</f>
        <v>ERROR</v>
      </c>
      <c r="Q2660" s="141"/>
      <c r="R2660" s="143"/>
      <c r="S2660" s="139"/>
      <c r="T2660" s="141"/>
    </row>
    <row r="2661">
      <c r="A2661" s="138"/>
      <c r="B2661" s="138"/>
      <c r="C2661" s="138"/>
      <c r="D2661" s="139"/>
      <c r="E2661" s="138"/>
      <c r="F2661" s="138"/>
      <c r="G2661" s="138"/>
      <c r="H2661" s="138"/>
      <c r="I2661" s="138"/>
      <c r="J2661" s="138"/>
      <c r="K2661" s="138"/>
      <c r="L2661" s="138">
        <v>0.0</v>
      </c>
      <c r="M2661" s="140" t="str">
        <f>VLOOKUP(text(D2661, "#"),'Master Table'!$A:$F, 6, FALSE)</f>
        <v>#N/A</v>
      </c>
      <c r="N2661" s="141"/>
      <c r="O2661" s="142" t="str">
        <f t="shared" si="1"/>
        <v/>
      </c>
      <c r="P2661" s="143" t="str">
        <f>IF(ISNA(VLOOKUP(CONCAT(M2661,C2661), 'Judge Count DO NOT EDIT'!H:H, 1, FALSE)), "ERROR","")</f>
        <v>ERROR</v>
      </c>
      <c r="Q2661" s="141"/>
      <c r="R2661" s="143"/>
      <c r="S2661" s="139"/>
      <c r="T2661" s="141"/>
    </row>
    <row r="2662">
      <c r="A2662" s="138"/>
      <c r="B2662" s="138"/>
      <c r="C2662" s="138"/>
      <c r="D2662" s="139"/>
      <c r="E2662" s="138"/>
      <c r="F2662" s="138"/>
      <c r="G2662" s="138"/>
      <c r="H2662" s="138"/>
      <c r="I2662" s="138"/>
      <c r="J2662" s="138"/>
      <c r="K2662" s="138"/>
      <c r="L2662" s="138">
        <v>0.0</v>
      </c>
      <c r="M2662" s="140" t="str">
        <f>VLOOKUP(text(D2662, "#"),'Master Table'!$A:$F, 6, FALSE)</f>
        <v>#N/A</v>
      </c>
      <c r="N2662" s="141"/>
      <c r="O2662" s="142" t="str">
        <f t="shared" si="1"/>
        <v/>
      </c>
      <c r="P2662" s="143" t="str">
        <f>IF(ISNA(VLOOKUP(CONCAT(M2662,C2662), 'Judge Count DO NOT EDIT'!H:H, 1, FALSE)), "ERROR","")</f>
        <v>ERROR</v>
      </c>
      <c r="Q2662" s="141"/>
      <c r="R2662" s="143"/>
      <c r="S2662" s="139"/>
      <c r="T2662" s="141"/>
    </row>
    <row r="2663">
      <c r="A2663" s="138"/>
      <c r="B2663" s="138"/>
      <c r="C2663" s="138"/>
      <c r="D2663" s="139"/>
      <c r="E2663" s="138"/>
      <c r="F2663" s="138"/>
      <c r="G2663" s="138"/>
      <c r="H2663" s="138"/>
      <c r="I2663" s="138"/>
      <c r="J2663" s="138"/>
      <c r="K2663" s="138"/>
      <c r="L2663" s="138">
        <v>0.0</v>
      </c>
      <c r="M2663" s="140" t="str">
        <f>VLOOKUP(text(D2663, "#"),'Master Table'!$A:$F, 6, FALSE)</f>
        <v>#N/A</v>
      </c>
      <c r="N2663" s="141"/>
      <c r="O2663" s="142" t="str">
        <f t="shared" si="1"/>
        <v/>
      </c>
      <c r="P2663" s="143" t="str">
        <f>IF(ISNA(VLOOKUP(CONCAT(M2663,C2663), 'Judge Count DO NOT EDIT'!H:H, 1, FALSE)), "ERROR","")</f>
        <v>ERROR</v>
      </c>
      <c r="Q2663" s="141"/>
      <c r="R2663" s="143"/>
      <c r="S2663" s="139"/>
      <c r="T2663" s="141"/>
    </row>
    <row r="2664">
      <c r="A2664" s="138"/>
      <c r="B2664" s="138"/>
      <c r="C2664" s="138"/>
      <c r="D2664" s="139"/>
      <c r="E2664" s="138"/>
      <c r="F2664" s="138"/>
      <c r="G2664" s="138"/>
      <c r="H2664" s="138"/>
      <c r="I2664" s="138"/>
      <c r="J2664" s="138"/>
      <c r="K2664" s="138"/>
      <c r="L2664" s="138">
        <v>0.0</v>
      </c>
      <c r="M2664" s="140" t="str">
        <f>VLOOKUP(text(D2664, "#"),'Master Table'!$A:$F, 6, FALSE)</f>
        <v>#N/A</v>
      </c>
      <c r="N2664" s="141"/>
      <c r="O2664" s="142" t="str">
        <f t="shared" si="1"/>
        <v/>
      </c>
      <c r="P2664" s="143" t="str">
        <f>IF(ISNA(VLOOKUP(CONCAT(M2664,C2664), 'Judge Count DO NOT EDIT'!H:H, 1, FALSE)), "ERROR","")</f>
        <v>ERROR</v>
      </c>
      <c r="Q2664" s="141"/>
      <c r="R2664" s="143"/>
      <c r="S2664" s="139"/>
      <c r="T2664" s="141"/>
    </row>
    <row r="2665">
      <c r="A2665" s="138"/>
      <c r="B2665" s="138"/>
      <c r="C2665" s="138"/>
      <c r="D2665" s="139"/>
      <c r="E2665" s="138"/>
      <c r="F2665" s="138"/>
      <c r="G2665" s="138"/>
      <c r="H2665" s="138"/>
      <c r="I2665" s="138"/>
      <c r="J2665" s="138"/>
      <c r="K2665" s="138"/>
      <c r="L2665" s="138">
        <v>0.0</v>
      </c>
      <c r="M2665" s="140" t="str">
        <f>VLOOKUP(text(D2665, "#"),'Master Table'!$A:$F, 6, FALSE)</f>
        <v>#N/A</v>
      </c>
      <c r="N2665" s="141"/>
      <c r="O2665" s="142" t="str">
        <f t="shared" si="1"/>
        <v/>
      </c>
      <c r="P2665" s="143" t="str">
        <f>IF(ISNA(VLOOKUP(CONCAT(M2665,C2665), 'Judge Count DO NOT EDIT'!H:H, 1, FALSE)), "ERROR","")</f>
        <v>ERROR</v>
      </c>
      <c r="Q2665" s="141"/>
      <c r="R2665" s="143"/>
      <c r="S2665" s="139"/>
      <c r="T2665" s="141"/>
    </row>
    <row r="2666">
      <c r="A2666" s="138"/>
      <c r="B2666" s="138"/>
      <c r="C2666" s="138"/>
      <c r="D2666" s="139"/>
      <c r="E2666" s="138"/>
      <c r="F2666" s="138"/>
      <c r="G2666" s="138"/>
      <c r="H2666" s="138"/>
      <c r="I2666" s="138"/>
      <c r="J2666" s="138"/>
      <c r="K2666" s="138"/>
      <c r="L2666" s="138">
        <v>0.0</v>
      </c>
      <c r="M2666" s="140" t="str">
        <f>VLOOKUP(text(D2666, "#"),'Master Table'!$A:$F, 6, FALSE)</f>
        <v>#N/A</v>
      </c>
      <c r="N2666" s="141"/>
      <c r="O2666" s="142" t="str">
        <f t="shared" si="1"/>
        <v/>
      </c>
      <c r="P2666" s="143" t="str">
        <f>IF(ISNA(VLOOKUP(CONCAT(M2666,C2666), 'Judge Count DO NOT EDIT'!H:H, 1, FALSE)), "ERROR","")</f>
        <v>ERROR</v>
      </c>
      <c r="Q2666" s="141"/>
      <c r="R2666" s="143"/>
      <c r="S2666" s="139"/>
      <c r="T2666" s="141"/>
    </row>
    <row r="2667">
      <c r="A2667" s="138"/>
      <c r="B2667" s="138"/>
      <c r="C2667" s="138"/>
      <c r="D2667" s="139"/>
      <c r="E2667" s="138"/>
      <c r="F2667" s="138"/>
      <c r="G2667" s="138"/>
      <c r="H2667" s="138"/>
      <c r="I2667" s="138"/>
      <c r="J2667" s="138"/>
      <c r="K2667" s="138"/>
      <c r="L2667" s="138">
        <v>0.0</v>
      </c>
      <c r="M2667" s="140" t="str">
        <f>VLOOKUP(text(D2667, "#"),'Master Table'!$A:$F, 6, FALSE)</f>
        <v>#N/A</v>
      </c>
      <c r="N2667" s="141"/>
      <c r="O2667" s="142" t="str">
        <f t="shared" si="1"/>
        <v/>
      </c>
      <c r="P2667" s="143" t="str">
        <f>IF(ISNA(VLOOKUP(CONCAT(M2667,C2667), 'Judge Count DO NOT EDIT'!H:H, 1, FALSE)), "ERROR","")</f>
        <v>ERROR</v>
      </c>
      <c r="Q2667" s="141"/>
      <c r="R2667" s="143"/>
      <c r="S2667" s="139"/>
      <c r="T2667" s="141"/>
    </row>
    <row r="2668">
      <c r="A2668" s="138"/>
      <c r="B2668" s="138"/>
      <c r="C2668" s="138"/>
      <c r="D2668" s="139"/>
      <c r="E2668" s="138"/>
      <c r="F2668" s="138"/>
      <c r="G2668" s="138"/>
      <c r="H2668" s="138"/>
      <c r="I2668" s="138"/>
      <c r="J2668" s="138"/>
      <c r="K2668" s="138"/>
      <c r="L2668" s="138">
        <v>0.0</v>
      </c>
      <c r="M2668" s="140" t="str">
        <f>VLOOKUP(text(D2668, "#"),'Master Table'!$A:$F, 6, FALSE)</f>
        <v>#N/A</v>
      </c>
      <c r="N2668" s="141"/>
      <c r="O2668" s="142" t="str">
        <f t="shared" si="1"/>
        <v/>
      </c>
      <c r="P2668" s="143" t="str">
        <f>IF(ISNA(VLOOKUP(CONCAT(M2668,C2668), 'Judge Count DO NOT EDIT'!H:H, 1, FALSE)), "ERROR","")</f>
        <v>ERROR</v>
      </c>
      <c r="Q2668" s="141"/>
      <c r="R2668" s="143"/>
      <c r="S2668" s="139"/>
      <c r="T2668" s="141"/>
    </row>
    <row r="2669">
      <c r="A2669" s="138"/>
      <c r="B2669" s="138"/>
      <c r="C2669" s="138"/>
      <c r="D2669" s="139"/>
      <c r="E2669" s="138"/>
      <c r="F2669" s="138"/>
      <c r="G2669" s="138"/>
      <c r="H2669" s="138"/>
      <c r="I2669" s="138"/>
      <c r="J2669" s="138"/>
      <c r="K2669" s="138"/>
      <c r="L2669" s="138">
        <v>0.0</v>
      </c>
      <c r="M2669" s="140" t="str">
        <f>VLOOKUP(text(D2669, "#"),'Master Table'!$A:$F, 6, FALSE)</f>
        <v>#N/A</v>
      </c>
      <c r="N2669" s="141"/>
      <c r="O2669" s="142" t="str">
        <f t="shared" si="1"/>
        <v/>
      </c>
      <c r="P2669" s="143" t="str">
        <f>IF(ISNA(VLOOKUP(CONCAT(M2669,C2669), 'Judge Count DO NOT EDIT'!H:H, 1, FALSE)), "ERROR","")</f>
        <v>ERROR</v>
      </c>
      <c r="Q2669" s="141"/>
      <c r="R2669" s="143"/>
      <c r="S2669" s="139"/>
      <c r="T2669" s="141"/>
    </row>
    <row r="2670">
      <c r="A2670" s="138"/>
      <c r="B2670" s="138"/>
      <c r="C2670" s="138"/>
      <c r="D2670" s="139"/>
      <c r="E2670" s="138"/>
      <c r="F2670" s="138"/>
      <c r="G2670" s="138"/>
      <c r="H2670" s="138"/>
      <c r="I2670" s="138"/>
      <c r="J2670" s="138"/>
      <c r="K2670" s="138"/>
      <c r="L2670" s="138">
        <v>0.0</v>
      </c>
      <c r="M2670" s="140" t="str">
        <f>VLOOKUP(text(D2670, "#"),'Master Table'!$A:$F, 6, FALSE)</f>
        <v>#N/A</v>
      </c>
      <c r="N2670" s="141"/>
      <c r="O2670" s="142" t="str">
        <f t="shared" si="1"/>
        <v/>
      </c>
      <c r="P2670" s="143" t="str">
        <f>IF(ISNA(VLOOKUP(CONCAT(M2670,C2670), 'Judge Count DO NOT EDIT'!H:H, 1, FALSE)), "ERROR","")</f>
        <v>ERROR</v>
      </c>
      <c r="Q2670" s="141"/>
      <c r="R2670" s="143"/>
      <c r="S2670" s="139"/>
      <c r="T2670" s="141"/>
    </row>
    <row r="2671">
      <c r="A2671" s="138"/>
      <c r="B2671" s="138"/>
      <c r="C2671" s="138"/>
      <c r="D2671" s="139"/>
      <c r="E2671" s="138"/>
      <c r="F2671" s="138"/>
      <c r="G2671" s="138"/>
      <c r="H2671" s="138"/>
      <c r="I2671" s="138"/>
      <c r="J2671" s="138"/>
      <c r="K2671" s="138"/>
      <c r="L2671" s="138">
        <v>0.0</v>
      </c>
      <c r="M2671" s="140" t="str">
        <f>VLOOKUP(text(D2671, "#"),'Master Table'!$A:$F, 6, FALSE)</f>
        <v>#N/A</v>
      </c>
      <c r="N2671" s="141"/>
      <c r="O2671" s="142" t="str">
        <f t="shared" si="1"/>
        <v/>
      </c>
      <c r="P2671" s="143" t="str">
        <f>IF(ISNA(VLOOKUP(CONCAT(M2671,C2671), 'Judge Count DO NOT EDIT'!H:H, 1, FALSE)), "ERROR","")</f>
        <v>ERROR</v>
      </c>
      <c r="Q2671" s="141"/>
      <c r="R2671" s="143"/>
      <c r="S2671" s="139"/>
      <c r="T2671" s="141"/>
    </row>
    <row r="2672">
      <c r="A2672" s="138"/>
      <c r="B2672" s="138"/>
      <c r="C2672" s="138"/>
      <c r="D2672" s="139"/>
      <c r="E2672" s="138"/>
      <c r="F2672" s="138"/>
      <c r="G2672" s="138"/>
      <c r="H2672" s="138"/>
      <c r="I2672" s="138"/>
      <c r="J2672" s="138"/>
      <c r="K2672" s="138"/>
      <c r="L2672" s="138">
        <v>0.0</v>
      </c>
      <c r="M2672" s="140" t="str">
        <f>VLOOKUP(text(D2672, "#"),'Master Table'!$A:$F, 6, FALSE)</f>
        <v>#N/A</v>
      </c>
      <c r="N2672" s="141"/>
      <c r="O2672" s="142" t="str">
        <f t="shared" si="1"/>
        <v/>
      </c>
      <c r="P2672" s="143" t="str">
        <f>IF(ISNA(VLOOKUP(CONCAT(M2672,C2672), 'Judge Count DO NOT EDIT'!H:H, 1, FALSE)), "ERROR","")</f>
        <v>ERROR</v>
      </c>
      <c r="Q2672" s="141"/>
      <c r="R2672" s="143"/>
      <c r="S2672" s="139"/>
      <c r="T2672" s="141"/>
    </row>
    <row r="2673">
      <c r="A2673" s="138"/>
      <c r="B2673" s="138"/>
      <c r="C2673" s="138"/>
      <c r="D2673" s="139"/>
      <c r="E2673" s="138"/>
      <c r="F2673" s="138"/>
      <c r="G2673" s="138"/>
      <c r="H2673" s="138"/>
      <c r="I2673" s="138"/>
      <c r="J2673" s="138"/>
      <c r="K2673" s="138"/>
      <c r="L2673" s="138">
        <v>0.0</v>
      </c>
      <c r="M2673" s="140" t="str">
        <f>VLOOKUP(text(D2673, "#"),'Master Table'!$A:$F, 6, FALSE)</f>
        <v>#N/A</v>
      </c>
      <c r="N2673" s="141"/>
      <c r="O2673" s="142" t="str">
        <f t="shared" si="1"/>
        <v/>
      </c>
      <c r="P2673" s="143" t="str">
        <f>IF(ISNA(VLOOKUP(CONCAT(M2673,C2673), 'Judge Count DO NOT EDIT'!H:H, 1, FALSE)), "ERROR","")</f>
        <v>ERROR</v>
      </c>
      <c r="Q2673" s="141"/>
      <c r="R2673" s="143"/>
      <c r="S2673" s="139"/>
      <c r="T2673" s="141"/>
    </row>
    <row r="2674">
      <c r="A2674" s="138"/>
      <c r="B2674" s="138"/>
      <c r="C2674" s="138"/>
      <c r="D2674" s="139"/>
      <c r="E2674" s="138"/>
      <c r="F2674" s="138"/>
      <c r="G2674" s="138"/>
      <c r="H2674" s="138"/>
      <c r="I2674" s="138"/>
      <c r="J2674" s="138"/>
      <c r="K2674" s="138"/>
      <c r="L2674" s="138">
        <v>0.0</v>
      </c>
      <c r="M2674" s="140" t="str">
        <f>VLOOKUP(text(D2674, "#"),'Master Table'!$A:$F, 6, FALSE)</f>
        <v>#N/A</v>
      </c>
      <c r="N2674" s="141"/>
      <c r="O2674" s="142" t="str">
        <f t="shared" si="1"/>
        <v/>
      </c>
      <c r="P2674" s="143" t="str">
        <f>IF(ISNA(VLOOKUP(CONCAT(M2674,C2674), 'Judge Count DO NOT EDIT'!H:H, 1, FALSE)), "ERROR","")</f>
        <v>ERROR</v>
      </c>
      <c r="Q2674" s="141"/>
      <c r="R2674" s="143"/>
      <c r="S2674" s="139"/>
      <c r="T2674" s="141"/>
    </row>
    <row r="2675">
      <c r="A2675" s="138"/>
      <c r="B2675" s="138"/>
      <c r="C2675" s="138"/>
      <c r="D2675" s="139"/>
      <c r="E2675" s="138"/>
      <c r="F2675" s="138"/>
      <c r="G2675" s="138"/>
      <c r="H2675" s="138"/>
      <c r="I2675" s="138"/>
      <c r="J2675" s="138"/>
      <c r="K2675" s="138"/>
      <c r="L2675" s="138">
        <v>0.0</v>
      </c>
      <c r="M2675" s="140" t="str">
        <f>VLOOKUP(text(D2675, "#"),'Master Table'!$A:$F, 6, FALSE)</f>
        <v>#N/A</v>
      </c>
      <c r="N2675" s="141"/>
      <c r="O2675" s="142" t="str">
        <f t="shared" si="1"/>
        <v/>
      </c>
      <c r="P2675" s="143" t="str">
        <f>IF(ISNA(VLOOKUP(CONCAT(M2675,C2675), 'Judge Count DO NOT EDIT'!H:H, 1, FALSE)), "ERROR","")</f>
        <v>ERROR</v>
      </c>
      <c r="Q2675" s="141"/>
      <c r="R2675" s="143"/>
      <c r="S2675" s="139"/>
      <c r="T2675" s="141"/>
    </row>
    <row r="2676">
      <c r="A2676" s="138"/>
      <c r="B2676" s="138"/>
      <c r="C2676" s="138"/>
      <c r="D2676" s="139"/>
      <c r="E2676" s="138"/>
      <c r="F2676" s="138"/>
      <c r="G2676" s="138"/>
      <c r="H2676" s="138"/>
      <c r="I2676" s="138"/>
      <c r="J2676" s="138"/>
      <c r="K2676" s="138"/>
      <c r="L2676" s="138">
        <v>0.0</v>
      </c>
      <c r="M2676" s="140" t="str">
        <f>VLOOKUP(text(D2676, "#"),'Master Table'!$A:$F, 6, FALSE)</f>
        <v>#N/A</v>
      </c>
      <c r="N2676" s="141"/>
      <c r="O2676" s="142" t="str">
        <f t="shared" si="1"/>
        <v/>
      </c>
      <c r="P2676" s="143" t="str">
        <f>IF(ISNA(VLOOKUP(CONCAT(M2676,C2676), 'Judge Count DO NOT EDIT'!H:H, 1, FALSE)), "ERROR","")</f>
        <v>ERROR</v>
      </c>
      <c r="Q2676" s="141"/>
      <c r="R2676" s="143"/>
      <c r="S2676" s="139"/>
      <c r="T2676" s="141"/>
    </row>
    <row r="2677">
      <c r="A2677" s="138"/>
      <c r="B2677" s="138"/>
      <c r="C2677" s="138"/>
      <c r="D2677" s="139"/>
      <c r="E2677" s="138"/>
      <c r="F2677" s="138"/>
      <c r="G2677" s="138"/>
      <c r="H2677" s="138"/>
      <c r="I2677" s="138"/>
      <c r="J2677" s="138"/>
      <c r="K2677" s="138"/>
      <c r="L2677" s="138">
        <v>0.0</v>
      </c>
      <c r="M2677" s="140" t="str">
        <f>VLOOKUP(text(D2677, "#"),'Master Table'!$A:$F, 6, FALSE)</f>
        <v>#N/A</v>
      </c>
      <c r="N2677" s="141"/>
      <c r="O2677" s="142" t="str">
        <f t="shared" si="1"/>
        <v/>
      </c>
      <c r="P2677" s="143" t="str">
        <f>IF(ISNA(VLOOKUP(CONCAT(M2677,C2677), 'Judge Count DO NOT EDIT'!H:H, 1, FALSE)), "ERROR","")</f>
        <v>ERROR</v>
      </c>
      <c r="Q2677" s="141"/>
      <c r="R2677" s="143"/>
      <c r="S2677" s="139"/>
      <c r="T2677" s="141"/>
    </row>
    <row r="2678">
      <c r="A2678" s="138"/>
      <c r="B2678" s="138"/>
      <c r="C2678" s="138"/>
      <c r="D2678" s="139"/>
      <c r="E2678" s="138"/>
      <c r="F2678" s="138"/>
      <c r="G2678" s="138"/>
      <c r="H2678" s="138"/>
      <c r="I2678" s="138"/>
      <c r="J2678" s="138"/>
      <c r="K2678" s="138"/>
      <c r="L2678" s="138">
        <v>0.0</v>
      </c>
      <c r="M2678" s="140" t="str">
        <f>VLOOKUP(text(D2678, "#"),'Master Table'!$A:$F, 6, FALSE)</f>
        <v>#N/A</v>
      </c>
      <c r="N2678" s="141"/>
      <c r="O2678" s="142" t="str">
        <f t="shared" si="1"/>
        <v/>
      </c>
      <c r="P2678" s="143" t="str">
        <f>IF(ISNA(VLOOKUP(CONCAT(M2678,C2678), 'Judge Count DO NOT EDIT'!H:H, 1, FALSE)), "ERROR","")</f>
        <v>ERROR</v>
      </c>
      <c r="Q2678" s="141"/>
      <c r="R2678" s="143"/>
      <c r="S2678" s="139"/>
      <c r="T2678" s="141"/>
    </row>
    <row r="2679">
      <c r="A2679" s="138"/>
      <c r="B2679" s="138"/>
      <c r="C2679" s="138"/>
      <c r="D2679" s="139"/>
      <c r="E2679" s="138"/>
      <c r="F2679" s="138"/>
      <c r="G2679" s="138"/>
      <c r="H2679" s="138"/>
      <c r="I2679" s="138"/>
      <c r="J2679" s="138"/>
      <c r="K2679" s="138"/>
      <c r="L2679" s="138">
        <v>0.0</v>
      </c>
      <c r="M2679" s="140" t="str">
        <f>VLOOKUP(text(D2679, "#"),'Master Table'!$A:$F, 6, FALSE)</f>
        <v>#N/A</v>
      </c>
      <c r="N2679" s="141"/>
      <c r="O2679" s="142" t="str">
        <f t="shared" si="1"/>
        <v/>
      </c>
      <c r="P2679" s="143" t="str">
        <f>IF(ISNA(VLOOKUP(CONCAT(M2679,C2679), 'Judge Count DO NOT EDIT'!H:H, 1, FALSE)), "ERROR","")</f>
        <v>ERROR</v>
      </c>
      <c r="Q2679" s="141"/>
      <c r="R2679" s="143"/>
      <c r="S2679" s="139"/>
      <c r="T2679" s="141"/>
    </row>
    <row r="2680">
      <c r="A2680" s="138"/>
      <c r="B2680" s="138"/>
      <c r="C2680" s="138"/>
      <c r="D2680" s="139"/>
      <c r="E2680" s="138"/>
      <c r="F2680" s="138"/>
      <c r="G2680" s="138"/>
      <c r="H2680" s="138"/>
      <c r="I2680" s="138"/>
      <c r="J2680" s="138"/>
      <c r="K2680" s="138"/>
      <c r="L2680" s="138">
        <v>0.0</v>
      </c>
      <c r="M2680" s="140" t="str">
        <f>VLOOKUP(text(D2680, "#"),'Master Table'!$A:$F, 6, FALSE)</f>
        <v>#N/A</v>
      </c>
      <c r="N2680" s="141"/>
      <c r="O2680" s="142" t="str">
        <f t="shared" si="1"/>
        <v/>
      </c>
      <c r="P2680" s="143" t="str">
        <f>IF(ISNA(VLOOKUP(CONCAT(M2680,C2680), 'Judge Count DO NOT EDIT'!H:H, 1, FALSE)), "ERROR","")</f>
        <v>ERROR</v>
      </c>
      <c r="Q2680" s="141"/>
      <c r="R2680" s="143"/>
      <c r="S2680" s="139"/>
      <c r="T2680" s="141"/>
    </row>
    <row r="2681">
      <c r="A2681" s="138"/>
      <c r="B2681" s="138"/>
      <c r="C2681" s="138"/>
      <c r="D2681" s="139"/>
      <c r="E2681" s="138"/>
      <c r="F2681" s="138"/>
      <c r="G2681" s="138"/>
      <c r="H2681" s="138"/>
      <c r="I2681" s="138"/>
      <c r="J2681" s="138"/>
      <c r="K2681" s="138"/>
      <c r="L2681" s="138">
        <v>0.0</v>
      </c>
      <c r="M2681" s="140" t="str">
        <f>VLOOKUP(text(D2681, "#"),'Master Table'!$A:$F, 6, FALSE)</f>
        <v>#N/A</v>
      </c>
      <c r="N2681" s="141"/>
      <c r="O2681" s="142" t="str">
        <f t="shared" si="1"/>
        <v/>
      </c>
      <c r="P2681" s="143" t="str">
        <f>IF(ISNA(VLOOKUP(CONCAT(M2681,C2681), 'Judge Count DO NOT EDIT'!H:H, 1, FALSE)), "ERROR","")</f>
        <v>ERROR</v>
      </c>
      <c r="Q2681" s="141"/>
      <c r="R2681" s="143"/>
      <c r="S2681" s="139"/>
      <c r="T2681" s="141"/>
    </row>
    <row r="2682">
      <c r="A2682" s="138"/>
      <c r="B2682" s="138"/>
      <c r="C2682" s="138"/>
      <c r="D2682" s="139"/>
      <c r="E2682" s="138"/>
      <c r="F2682" s="138"/>
      <c r="G2682" s="138"/>
      <c r="H2682" s="138"/>
      <c r="I2682" s="138"/>
      <c r="J2682" s="138"/>
      <c r="K2682" s="138"/>
      <c r="L2682" s="138">
        <v>0.0</v>
      </c>
      <c r="M2682" s="140" t="str">
        <f>VLOOKUP(text(D2682, "#"),'Master Table'!$A:$F, 6, FALSE)</f>
        <v>#N/A</v>
      </c>
      <c r="N2682" s="141"/>
      <c r="O2682" s="142" t="str">
        <f t="shared" si="1"/>
        <v/>
      </c>
      <c r="P2682" s="143" t="str">
        <f>IF(ISNA(VLOOKUP(CONCAT(M2682,C2682), 'Judge Count DO NOT EDIT'!H:H, 1, FALSE)), "ERROR","")</f>
        <v>ERROR</v>
      </c>
      <c r="Q2682" s="141"/>
      <c r="R2682" s="143"/>
      <c r="S2682" s="139"/>
      <c r="T2682" s="141"/>
    </row>
    <row r="2683">
      <c r="A2683" s="138"/>
      <c r="B2683" s="138"/>
      <c r="C2683" s="138"/>
      <c r="D2683" s="139"/>
      <c r="E2683" s="138"/>
      <c r="F2683" s="138"/>
      <c r="G2683" s="138"/>
      <c r="H2683" s="138"/>
      <c r="I2683" s="138"/>
      <c r="J2683" s="138"/>
      <c r="K2683" s="138"/>
      <c r="L2683" s="138">
        <v>0.0</v>
      </c>
      <c r="M2683" s="140" t="str">
        <f>VLOOKUP(text(D2683, "#"),'Master Table'!$A:$F, 6, FALSE)</f>
        <v>#N/A</v>
      </c>
      <c r="N2683" s="141"/>
      <c r="O2683" s="142" t="str">
        <f t="shared" si="1"/>
        <v/>
      </c>
      <c r="P2683" s="143" t="str">
        <f>IF(ISNA(VLOOKUP(CONCAT(M2683,C2683), 'Judge Count DO NOT EDIT'!H:H, 1, FALSE)), "ERROR","")</f>
        <v>ERROR</v>
      </c>
      <c r="Q2683" s="141"/>
      <c r="R2683" s="143"/>
      <c r="S2683" s="139"/>
      <c r="T2683" s="141"/>
    </row>
    <row r="2684">
      <c r="A2684" s="138"/>
      <c r="B2684" s="138"/>
      <c r="C2684" s="138"/>
      <c r="D2684" s="139"/>
      <c r="E2684" s="138"/>
      <c r="F2684" s="138"/>
      <c r="G2684" s="138"/>
      <c r="H2684" s="138"/>
      <c r="I2684" s="138"/>
      <c r="J2684" s="138"/>
      <c r="K2684" s="138"/>
      <c r="L2684" s="138">
        <v>0.0</v>
      </c>
      <c r="M2684" s="140" t="str">
        <f>VLOOKUP(text(D2684, "#"),'Master Table'!$A:$F, 6, FALSE)</f>
        <v>#N/A</v>
      </c>
      <c r="N2684" s="141"/>
      <c r="O2684" s="142" t="str">
        <f t="shared" si="1"/>
        <v/>
      </c>
      <c r="P2684" s="143" t="str">
        <f>IF(ISNA(VLOOKUP(CONCAT(M2684,C2684), 'Judge Count DO NOT EDIT'!H:H, 1, FALSE)), "ERROR","")</f>
        <v>ERROR</v>
      </c>
      <c r="Q2684" s="141"/>
      <c r="R2684" s="143"/>
      <c r="S2684" s="139"/>
      <c r="T2684" s="141"/>
    </row>
    <row r="2685">
      <c r="A2685" s="138"/>
      <c r="B2685" s="138"/>
      <c r="C2685" s="138"/>
      <c r="D2685" s="139"/>
      <c r="E2685" s="138"/>
      <c r="F2685" s="138"/>
      <c r="G2685" s="138"/>
      <c r="H2685" s="138"/>
      <c r="I2685" s="138"/>
      <c r="J2685" s="138"/>
      <c r="K2685" s="138"/>
      <c r="L2685" s="138">
        <v>0.0</v>
      </c>
      <c r="M2685" s="140" t="str">
        <f>VLOOKUP(text(D2685, "#"),'Master Table'!$A:$F, 6, FALSE)</f>
        <v>#N/A</v>
      </c>
      <c r="N2685" s="141"/>
      <c r="O2685" s="142" t="str">
        <f t="shared" si="1"/>
        <v/>
      </c>
      <c r="P2685" s="143" t="str">
        <f>IF(ISNA(VLOOKUP(CONCAT(M2685,C2685), 'Judge Count DO NOT EDIT'!H:H, 1, FALSE)), "ERROR","")</f>
        <v>ERROR</v>
      </c>
      <c r="Q2685" s="141"/>
      <c r="R2685" s="143"/>
      <c r="S2685" s="139"/>
      <c r="T2685" s="141"/>
    </row>
    <row r="2686">
      <c r="A2686" s="138"/>
      <c r="B2686" s="138"/>
      <c r="C2686" s="138"/>
      <c r="D2686" s="139"/>
      <c r="E2686" s="138"/>
      <c r="F2686" s="138"/>
      <c r="G2686" s="138"/>
      <c r="H2686" s="138"/>
      <c r="I2686" s="138"/>
      <c r="J2686" s="138"/>
      <c r="K2686" s="138"/>
      <c r="L2686" s="138">
        <v>0.0</v>
      </c>
      <c r="M2686" s="140" t="str">
        <f>VLOOKUP(text(D2686, "#"),'Master Table'!$A:$F, 6, FALSE)</f>
        <v>#N/A</v>
      </c>
      <c r="N2686" s="141"/>
      <c r="O2686" s="142" t="str">
        <f t="shared" si="1"/>
        <v/>
      </c>
      <c r="P2686" s="143" t="str">
        <f>IF(ISNA(VLOOKUP(CONCAT(M2686,C2686), 'Judge Count DO NOT EDIT'!H:H, 1, FALSE)), "ERROR","")</f>
        <v>ERROR</v>
      </c>
      <c r="Q2686" s="141"/>
      <c r="R2686" s="143"/>
      <c r="S2686" s="139"/>
      <c r="T2686" s="141"/>
    </row>
    <row r="2687">
      <c r="A2687" s="138"/>
      <c r="B2687" s="138"/>
      <c r="C2687" s="138"/>
      <c r="D2687" s="139"/>
      <c r="E2687" s="138"/>
      <c r="F2687" s="138"/>
      <c r="G2687" s="138"/>
      <c r="H2687" s="138"/>
      <c r="I2687" s="138"/>
      <c r="J2687" s="138"/>
      <c r="K2687" s="138"/>
      <c r="L2687" s="138">
        <v>0.0</v>
      </c>
      <c r="M2687" s="140" t="str">
        <f>VLOOKUP(text(D2687, "#"),'Master Table'!$A:$F, 6, FALSE)</f>
        <v>#N/A</v>
      </c>
      <c r="N2687" s="141"/>
      <c r="O2687" s="142" t="str">
        <f t="shared" si="1"/>
        <v/>
      </c>
      <c r="P2687" s="143" t="str">
        <f>IF(ISNA(VLOOKUP(CONCAT(M2687,C2687), 'Judge Count DO NOT EDIT'!H:H, 1, FALSE)), "ERROR","")</f>
        <v>ERROR</v>
      </c>
      <c r="Q2687" s="141"/>
      <c r="R2687" s="143"/>
      <c r="S2687" s="139"/>
      <c r="T2687" s="141"/>
    </row>
    <row r="2688">
      <c r="A2688" s="138"/>
      <c r="B2688" s="138"/>
      <c r="C2688" s="138"/>
      <c r="D2688" s="139"/>
      <c r="E2688" s="138"/>
      <c r="F2688" s="138"/>
      <c r="G2688" s="138"/>
      <c r="H2688" s="138"/>
      <c r="I2688" s="138"/>
      <c r="J2688" s="138"/>
      <c r="K2688" s="138"/>
      <c r="L2688" s="138">
        <v>0.0</v>
      </c>
      <c r="M2688" s="140" t="str">
        <f>VLOOKUP(text(D2688, "#"),'Master Table'!$A:$F, 6, FALSE)</f>
        <v>#N/A</v>
      </c>
      <c r="N2688" s="141"/>
      <c r="O2688" s="142" t="str">
        <f t="shared" si="1"/>
        <v/>
      </c>
      <c r="P2688" s="143" t="str">
        <f>IF(ISNA(VLOOKUP(CONCAT(M2688,C2688), 'Judge Count DO NOT EDIT'!H:H, 1, FALSE)), "ERROR","")</f>
        <v>ERROR</v>
      </c>
      <c r="Q2688" s="141"/>
      <c r="R2688" s="143"/>
      <c r="S2688" s="139"/>
      <c r="T2688" s="141"/>
    </row>
    <row r="2689">
      <c r="A2689" s="138"/>
      <c r="B2689" s="138"/>
      <c r="C2689" s="138"/>
      <c r="D2689" s="139"/>
      <c r="E2689" s="138"/>
      <c r="F2689" s="138"/>
      <c r="G2689" s="138"/>
      <c r="H2689" s="138"/>
      <c r="I2689" s="138"/>
      <c r="J2689" s="138"/>
      <c r="K2689" s="138"/>
      <c r="L2689" s="138">
        <v>0.0</v>
      </c>
      <c r="M2689" s="140" t="str">
        <f>VLOOKUP(text(D2689, "#"),'Master Table'!$A:$F, 6, FALSE)</f>
        <v>#N/A</v>
      </c>
      <c r="N2689" s="141"/>
      <c r="O2689" s="142" t="str">
        <f t="shared" si="1"/>
        <v/>
      </c>
      <c r="P2689" s="143" t="str">
        <f>IF(ISNA(VLOOKUP(CONCAT(M2689,C2689), 'Judge Count DO NOT EDIT'!H:H, 1, FALSE)), "ERROR","")</f>
        <v>ERROR</v>
      </c>
      <c r="Q2689" s="141"/>
      <c r="R2689" s="143"/>
      <c r="S2689" s="139"/>
      <c r="T2689" s="141"/>
    </row>
    <row r="2690">
      <c r="A2690" s="138"/>
      <c r="B2690" s="138"/>
      <c r="C2690" s="138"/>
      <c r="D2690" s="139"/>
      <c r="E2690" s="138"/>
      <c r="F2690" s="138"/>
      <c r="G2690" s="138"/>
      <c r="H2690" s="138"/>
      <c r="I2690" s="138"/>
      <c r="J2690" s="138"/>
      <c r="K2690" s="138"/>
      <c r="L2690" s="138">
        <v>0.0</v>
      </c>
      <c r="M2690" s="140" t="str">
        <f>VLOOKUP(text(D2690, "#"),'Master Table'!$A:$F, 6, FALSE)</f>
        <v>#N/A</v>
      </c>
      <c r="N2690" s="141"/>
      <c r="O2690" s="142" t="str">
        <f t="shared" si="1"/>
        <v/>
      </c>
      <c r="P2690" s="143" t="str">
        <f>IF(ISNA(VLOOKUP(CONCAT(M2690,C2690), 'Judge Count DO NOT EDIT'!H:H, 1, FALSE)), "ERROR","")</f>
        <v>ERROR</v>
      </c>
      <c r="Q2690" s="141"/>
      <c r="R2690" s="143"/>
      <c r="S2690" s="139"/>
      <c r="T2690" s="141"/>
    </row>
    <row r="2691">
      <c r="A2691" s="138"/>
      <c r="B2691" s="138"/>
      <c r="C2691" s="138"/>
      <c r="D2691" s="139"/>
      <c r="E2691" s="138"/>
      <c r="F2691" s="138"/>
      <c r="G2691" s="138"/>
      <c r="H2691" s="138"/>
      <c r="I2691" s="138"/>
      <c r="J2691" s="138"/>
      <c r="K2691" s="138"/>
      <c r="L2691" s="138">
        <v>0.0</v>
      </c>
      <c r="M2691" s="140" t="str">
        <f>VLOOKUP(text(D2691, "#"),'Master Table'!$A:$F, 6, FALSE)</f>
        <v>#N/A</v>
      </c>
      <c r="N2691" s="141"/>
      <c r="O2691" s="142" t="str">
        <f t="shared" si="1"/>
        <v/>
      </c>
      <c r="P2691" s="143" t="str">
        <f>IF(ISNA(VLOOKUP(CONCAT(M2691,C2691), 'Judge Count DO NOT EDIT'!H:H, 1, FALSE)), "ERROR","")</f>
        <v>ERROR</v>
      </c>
      <c r="Q2691" s="141"/>
      <c r="R2691" s="143"/>
      <c r="S2691" s="139"/>
      <c r="T2691" s="141"/>
    </row>
    <row r="2692">
      <c r="A2692" s="138"/>
      <c r="B2692" s="138"/>
      <c r="C2692" s="138"/>
      <c r="D2692" s="139"/>
      <c r="E2692" s="138"/>
      <c r="F2692" s="138"/>
      <c r="G2692" s="138"/>
      <c r="H2692" s="138"/>
      <c r="I2692" s="138"/>
      <c r="J2692" s="138"/>
      <c r="K2692" s="138"/>
      <c r="L2692" s="138">
        <v>0.0</v>
      </c>
      <c r="M2692" s="140" t="str">
        <f>VLOOKUP(text(D2692, "#"),'Master Table'!$A:$F, 6, FALSE)</f>
        <v>#N/A</v>
      </c>
      <c r="N2692" s="141"/>
      <c r="O2692" s="142" t="str">
        <f t="shared" si="1"/>
        <v/>
      </c>
      <c r="P2692" s="143" t="str">
        <f>IF(ISNA(VLOOKUP(CONCAT(M2692,C2692), 'Judge Count DO NOT EDIT'!H:H, 1, FALSE)), "ERROR","")</f>
        <v>ERROR</v>
      </c>
      <c r="Q2692" s="141"/>
      <c r="R2692" s="143"/>
      <c r="S2692" s="139"/>
      <c r="T2692" s="141"/>
    </row>
    <row r="2693">
      <c r="A2693" s="138"/>
      <c r="B2693" s="138"/>
      <c r="C2693" s="138"/>
      <c r="D2693" s="139"/>
      <c r="E2693" s="138"/>
      <c r="F2693" s="138"/>
      <c r="G2693" s="138"/>
      <c r="H2693" s="138"/>
      <c r="I2693" s="138"/>
      <c r="J2693" s="138"/>
      <c r="K2693" s="138"/>
      <c r="L2693" s="138">
        <v>0.0</v>
      </c>
      <c r="M2693" s="140" t="str">
        <f>VLOOKUP(text(D2693, "#"),'Master Table'!$A:$F, 6, FALSE)</f>
        <v>#N/A</v>
      </c>
      <c r="N2693" s="141"/>
      <c r="O2693" s="142" t="str">
        <f t="shared" si="1"/>
        <v/>
      </c>
      <c r="P2693" s="143" t="str">
        <f>IF(ISNA(VLOOKUP(CONCAT(M2693,C2693), 'Judge Count DO NOT EDIT'!H:H, 1, FALSE)), "ERROR","")</f>
        <v>ERROR</v>
      </c>
      <c r="Q2693" s="141"/>
      <c r="R2693" s="143"/>
      <c r="S2693" s="139"/>
      <c r="T2693" s="141"/>
    </row>
    <row r="2694">
      <c r="A2694" s="138"/>
      <c r="B2694" s="138"/>
      <c r="C2694" s="138"/>
      <c r="D2694" s="139"/>
      <c r="E2694" s="138"/>
      <c r="F2694" s="138"/>
      <c r="G2694" s="138"/>
      <c r="H2694" s="138"/>
      <c r="I2694" s="138"/>
      <c r="J2694" s="138"/>
      <c r="K2694" s="138"/>
      <c r="L2694" s="138">
        <v>0.0</v>
      </c>
      <c r="M2694" s="140" t="str">
        <f>VLOOKUP(text(D2694, "#"),'Master Table'!$A:$F, 6, FALSE)</f>
        <v>#N/A</v>
      </c>
      <c r="N2694" s="141"/>
      <c r="O2694" s="142" t="str">
        <f t="shared" si="1"/>
        <v/>
      </c>
      <c r="P2694" s="143" t="str">
        <f>IF(ISNA(VLOOKUP(CONCAT(M2694,C2694), 'Judge Count DO NOT EDIT'!H:H, 1, FALSE)), "ERROR","")</f>
        <v>ERROR</v>
      </c>
      <c r="Q2694" s="141"/>
      <c r="R2694" s="143"/>
      <c r="S2694" s="139"/>
      <c r="T2694" s="141"/>
    </row>
    <row r="2695">
      <c r="A2695" s="138"/>
      <c r="B2695" s="138"/>
      <c r="C2695" s="138"/>
      <c r="D2695" s="139"/>
      <c r="E2695" s="138"/>
      <c r="F2695" s="138"/>
      <c r="G2695" s="138"/>
      <c r="H2695" s="138"/>
      <c r="I2695" s="138"/>
      <c r="J2695" s="138"/>
      <c r="K2695" s="138"/>
      <c r="L2695" s="138">
        <v>0.0</v>
      </c>
      <c r="M2695" s="140" t="str">
        <f>VLOOKUP(text(D2695, "#"),'Master Table'!$A:$F, 6, FALSE)</f>
        <v>#N/A</v>
      </c>
      <c r="N2695" s="141"/>
      <c r="O2695" s="142" t="str">
        <f t="shared" si="1"/>
        <v/>
      </c>
      <c r="P2695" s="143" t="str">
        <f>IF(ISNA(VLOOKUP(CONCAT(M2695,C2695), 'Judge Count DO NOT EDIT'!H:H, 1, FALSE)), "ERROR","")</f>
        <v>ERROR</v>
      </c>
      <c r="Q2695" s="141"/>
      <c r="R2695" s="143"/>
      <c r="S2695" s="139"/>
      <c r="T2695" s="141"/>
    </row>
    <row r="2696">
      <c r="A2696" s="138"/>
      <c r="B2696" s="138"/>
      <c r="C2696" s="138"/>
      <c r="D2696" s="139"/>
      <c r="E2696" s="138"/>
      <c r="F2696" s="138"/>
      <c r="G2696" s="138"/>
      <c r="H2696" s="138"/>
      <c r="I2696" s="138"/>
      <c r="J2696" s="138"/>
      <c r="K2696" s="138"/>
      <c r="L2696" s="138">
        <v>0.0</v>
      </c>
      <c r="M2696" s="140" t="str">
        <f>VLOOKUP(text(D2696, "#"),'Master Table'!$A:$F, 6, FALSE)</f>
        <v>#N/A</v>
      </c>
      <c r="N2696" s="141"/>
      <c r="O2696" s="142" t="str">
        <f t="shared" si="1"/>
        <v/>
      </c>
      <c r="P2696" s="143" t="str">
        <f>IF(ISNA(VLOOKUP(CONCAT(M2696,C2696), 'Judge Count DO NOT EDIT'!H:H, 1, FALSE)), "ERROR","")</f>
        <v>ERROR</v>
      </c>
      <c r="Q2696" s="141"/>
      <c r="R2696" s="143"/>
      <c r="S2696" s="139"/>
      <c r="T2696" s="141"/>
    </row>
    <row r="2697">
      <c r="A2697" s="138"/>
      <c r="B2697" s="138"/>
      <c r="C2697" s="138"/>
      <c r="D2697" s="139"/>
      <c r="E2697" s="138"/>
      <c r="F2697" s="138"/>
      <c r="G2697" s="138"/>
      <c r="H2697" s="138"/>
      <c r="I2697" s="138"/>
      <c r="J2697" s="138"/>
      <c r="K2697" s="138"/>
      <c r="L2697" s="138">
        <v>0.0</v>
      </c>
      <c r="M2697" s="140" t="str">
        <f>VLOOKUP(text(D2697, "#"),'Master Table'!$A:$F, 6, FALSE)</f>
        <v>#N/A</v>
      </c>
      <c r="N2697" s="141"/>
      <c r="O2697" s="142" t="str">
        <f t="shared" si="1"/>
        <v/>
      </c>
      <c r="P2697" s="143" t="str">
        <f>IF(ISNA(VLOOKUP(CONCAT(M2697,C2697), 'Judge Count DO NOT EDIT'!H:H, 1, FALSE)), "ERROR","")</f>
        <v>ERROR</v>
      </c>
      <c r="Q2697" s="141"/>
      <c r="R2697" s="143"/>
      <c r="S2697" s="139"/>
      <c r="T2697" s="141"/>
    </row>
    <row r="2698">
      <c r="A2698" s="138"/>
      <c r="B2698" s="138"/>
      <c r="C2698" s="138"/>
      <c r="D2698" s="139"/>
      <c r="E2698" s="138"/>
      <c r="F2698" s="138"/>
      <c r="G2698" s="138"/>
      <c r="H2698" s="138"/>
      <c r="I2698" s="138"/>
      <c r="J2698" s="138"/>
      <c r="K2698" s="138"/>
      <c r="L2698" s="138">
        <v>0.0</v>
      </c>
      <c r="M2698" s="140" t="str">
        <f>VLOOKUP(text(D2698, "#"),'Master Table'!$A:$F, 6, FALSE)</f>
        <v>#N/A</v>
      </c>
      <c r="N2698" s="141"/>
      <c r="O2698" s="142" t="str">
        <f t="shared" si="1"/>
        <v/>
      </c>
      <c r="P2698" s="143" t="str">
        <f>IF(ISNA(VLOOKUP(CONCAT(M2698,C2698), 'Judge Count DO NOT EDIT'!H:H, 1, FALSE)), "ERROR","")</f>
        <v>ERROR</v>
      </c>
      <c r="Q2698" s="141"/>
      <c r="R2698" s="143"/>
      <c r="S2698" s="139"/>
      <c r="T2698" s="141"/>
    </row>
    <row r="2699">
      <c r="A2699" s="138"/>
      <c r="B2699" s="138"/>
      <c r="C2699" s="138"/>
      <c r="D2699" s="139"/>
      <c r="E2699" s="138"/>
      <c r="F2699" s="138"/>
      <c r="G2699" s="138"/>
      <c r="H2699" s="138"/>
      <c r="I2699" s="138"/>
      <c r="J2699" s="138"/>
      <c r="K2699" s="138"/>
      <c r="L2699" s="138">
        <v>0.0</v>
      </c>
      <c r="M2699" s="140" t="str">
        <f>VLOOKUP(text(D2699, "#"),'Master Table'!$A:$F, 6, FALSE)</f>
        <v>#N/A</v>
      </c>
      <c r="N2699" s="141"/>
      <c r="O2699" s="142" t="str">
        <f t="shared" si="1"/>
        <v/>
      </c>
      <c r="P2699" s="143" t="str">
        <f>IF(ISNA(VLOOKUP(CONCAT(M2699,C2699), 'Judge Count DO NOT EDIT'!H:H, 1, FALSE)), "ERROR","")</f>
        <v>ERROR</v>
      </c>
      <c r="Q2699" s="141"/>
      <c r="R2699" s="143"/>
      <c r="S2699" s="139"/>
      <c r="T2699" s="141"/>
    </row>
    <row r="2700">
      <c r="A2700" s="138"/>
      <c r="B2700" s="138"/>
      <c r="C2700" s="138"/>
      <c r="D2700" s="139"/>
      <c r="E2700" s="138"/>
      <c r="F2700" s="138"/>
      <c r="G2700" s="138"/>
      <c r="H2700" s="138"/>
      <c r="I2700" s="138"/>
      <c r="J2700" s="138"/>
      <c r="K2700" s="138"/>
      <c r="L2700" s="138">
        <v>0.0</v>
      </c>
      <c r="M2700" s="140" t="str">
        <f>VLOOKUP(text(D2700, "#"),'Master Table'!$A:$F, 6, FALSE)</f>
        <v>#N/A</v>
      </c>
      <c r="N2700" s="141"/>
      <c r="O2700" s="142" t="str">
        <f t="shared" si="1"/>
        <v/>
      </c>
      <c r="P2700" s="143" t="str">
        <f>IF(ISNA(VLOOKUP(CONCAT(M2700,C2700), 'Judge Count DO NOT EDIT'!H:H, 1, FALSE)), "ERROR","")</f>
        <v>ERROR</v>
      </c>
      <c r="Q2700" s="141"/>
      <c r="R2700" s="143"/>
      <c r="S2700" s="139"/>
      <c r="T2700" s="141"/>
    </row>
    <row r="2701">
      <c r="A2701" s="138"/>
      <c r="B2701" s="138"/>
      <c r="C2701" s="138"/>
      <c r="D2701" s="139"/>
      <c r="E2701" s="138"/>
      <c r="F2701" s="138"/>
      <c r="G2701" s="138"/>
      <c r="H2701" s="138"/>
      <c r="I2701" s="138"/>
      <c r="J2701" s="138"/>
      <c r="K2701" s="138"/>
      <c r="L2701" s="138">
        <v>0.0</v>
      </c>
      <c r="M2701" s="140" t="str">
        <f>VLOOKUP(text(D2701, "#"),'Master Table'!$A:$F, 6, FALSE)</f>
        <v>#N/A</v>
      </c>
      <c r="N2701" s="141"/>
      <c r="O2701" s="142" t="str">
        <f t="shared" si="1"/>
        <v/>
      </c>
      <c r="P2701" s="143" t="str">
        <f>IF(ISNA(VLOOKUP(CONCAT(M2701,C2701), 'Judge Count DO NOT EDIT'!H:H, 1, FALSE)), "ERROR","")</f>
        <v>ERROR</v>
      </c>
      <c r="Q2701" s="141"/>
      <c r="R2701" s="143"/>
      <c r="S2701" s="139"/>
      <c r="T2701" s="141"/>
    </row>
    <row r="2702">
      <c r="A2702" s="138"/>
      <c r="B2702" s="138"/>
      <c r="C2702" s="138"/>
      <c r="D2702" s="139"/>
      <c r="E2702" s="138"/>
      <c r="F2702" s="138"/>
      <c r="G2702" s="138"/>
      <c r="H2702" s="138"/>
      <c r="I2702" s="138"/>
      <c r="J2702" s="138"/>
      <c r="K2702" s="138"/>
      <c r="L2702" s="138">
        <v>0.0</v>
      </c>
      <c r="M2702" s="140" t="str">
        <f>VLOOKUP(text(D2702, "#"),'Master Table'!$A:$F, 6, FALSE)</f>
        <v>#N/A</v>
      </c>
      <c r="N2702" s="141"/>
      <c r="O2702" s="142" t="str">
        <f t="shared" si="1"/>
        <v/>
      </c>
      <c r="P2702" s="143" t="str">
        <f>IF(ISNA(VLOOKUP(CONCAT(M2702,C2702), 'Judge Count DO NOT EDIT'!H:H, 1, FALSE)), "ERROR","")</f>
        <v>ERROR</v>
      </c>
      <c r="Q2702" s="141"/>
      <c r="R2702" s="143"/>
      <c r="S2702" s="139"/>
      <c r="T2702" s="141"/>
    </row>
    <row r="2703">
      <c r="A2703" s="138"/>
      <c r="B2703" s="138"/>
      <c r="C2703" s="138"/>
      <c r="D2703" s="139"/>
      <c r="E2703" s="138"/>
      <c r="F2703" s="138"/>
      <c r="G2703" s="138"/>
      <c r="H2703" s="138"/>
      <c r="I2703" s="138"/>
      <c r="J2703" s="138"/>
      <c r="K2703" s="138"/>
      <c r="L2703" s="138">
        <v>0.0</v>
      </c>
      <c r="M2703" s="140" t="str">
        <f>VLOOKUP(text(D2703, "#"),'Master Table'!$A:$F, 6, FALSE)</f>
        <v>#N/A</v>
      </c>
      <c r="N2703" s="141"/>
      <c r="O2703" s="142" t="str">
        <f t="shared" si="1"/>
        <v/>
      </c>
      <c r="P2703" s="143" t="str">
        <f>IF(ISNA(VLOOKUP(CONCAT(M2703,C2703), 'Judge Count DO NOT EDIT'!H:H, 1, FALSE)), "ERROR","")</f>
        <v>ERROR</v>
      </c>
      <c r="Q2703" s="141"/>
      <c r="R2703" s="143"/>
      <c r="S2703" s="139"/>
      <c r="T2703" s="141"/>
    </row>
    <row r="2704">
      <c r="A2704" s="138"/>
      <c r="B2704" s="138"/>
      <c r="C2704" s="138"/>
      <c r="D2704" s="139"/>
      <c r="E2704" s="138"/>
      <c r="F2704" s="138"/>
      <c r="G2704" s="138"/>
      <c r="H2704" s="138"/>
      <c r="I2704" s="138"/>
      <c r="J2704" s="138"/>
      <c r="K2704" s="138"/>
      <c r="L2704" s="138">
        <v>0.0</v>
      </c>
      <c r="M2704" s="140" t="str">
        <f>VLOOKUP(text(D2704, "#"),'Master Table'!$A:$F, 6, FALSE)</f>
        <v>#N/A</v>
      </c>
      <c r="N2704" s="141"/>
      <c r="O2704" s="142" t="str">
        <f t="shared" si="1"/>
        <v/>
      </c>
      <c r="P2704" s="143" t="str">
        <f>IF(ISNA(VLOOKUP(CONCAT(M2704,C2704), 'Judge Count DO NOT EDIT'!H:H, 1, FALSE)), "ERROR","")</f>
        <v>ERROR</v>
      </c>
      <c r="Q2704" s="141"/>
      <c r="R2704" s="143"/>
      <c r="S2704" s="139"/>
      <c r="T2704" s="141"/>
    </row>
    <row r="2705">
      <c r="A2705" s="138"/>
      <c r="B2705" s="138"/>
      <c r="C2705" s="138"/>
      <c r="D2705" s="139"/>
      <c r="E2705" s="138"/>
      <c r="F2705" s="138"/>
      <c r="G2705" s="138"/>
      <c r="H2705" s="138"/>
      <c r="I2705" s="138"/>
      <c r="J2705" s="138"/>
      <c r="K2705" s="138"/>
      <c r="L2705" s="138">
        <v>0.0</v>
      </c>
      <c r="M2705" s="140" t="str">
        <f>VLOOKUP(text(D2705, "#"),'Master Table'!$A:$F, 6, FALSE)</f>
        <v>#N/A</v>
      </c>
      <c r="N2705" s="141"/>
      <c r="O2705" s="142" t="str">
        <f t="shared" si="1"/>
        <v/>
      </c>
      <c r="P2705" s="143" t="str">
        <f>IF(ISNA(VLOOKUP(CONCAT(M2705,C2705), 'Judge Count DO NOT EDIT'!H:H, 1, FALSE)), "ERROR","")</f>
        <v>ERROR</v>
      </c>
      <c r="Q2705" s="141"/>
      <c r="R2705" s="143"/>
      <c r="S2705" s="139"/>
      <c r="T2705" s="141"/>
    </row>
    <row r="2706">
      <c r="A2706" s="138"/>
      <c r="B2706" s="138"/>
      <c r="C2706" s="138"/>
      <c r="D2706" s="139"/>
      <c r="E2706" s="138"/>
      <c r="F2706" s="138"/>
      <c r="G2706" s="138"/>
      <c r="H2706" s="138"/>
      <c r="I2706" s="138"/>
      <c r="J2706" s="138"/>
      <c r="K2706" s="138"/>
      <c r="L2706" s="138">
        <v>0.0</v>
      </c>
      <c r="M2706" s="140" t="str">
        <f>VLOOKUP(text(D2706, "#"),'Master Table'!$A:$F, 6, FALSE)</f>
        <v>#N/A</v>
      </c>
      <c r="N2706" s="141"/>
      <c r="O2706" s="142" t="str">
        <f t="shared" si="1"/>
        <v/>
      </c>
      <c r="P2706" s="143" t="str">
        <f>IF(ISNA(VLOOKUP(CONCAT(M2706,C2706), 'Judge Count DO NOT EDIT'!H:H, 1, FALSE)), "ERROR","")</f>
        <v>ERROR</v>
      </c>
      <c r="Q2706" s="141"/>
      <c r="R2706" s="143"/>
      <c r="S2706" s="139"/>
      <c r="T2706" s="141"/>
    </row>
    <row r="2707">
      <c r="A2707" s="138"/>
      <c r="B2707" s="138"/>
      <c r="C2707" s="138"/>
      <c r="D2707" s="139"/>
      <c r="E2707" s="138"/>
      <c r="F2707" s="138"/>
      <c r="G2707" s="138"/>
      <c r="H2707" s="138"/>
      <c r="I2707" s="138"/>
      <c r="J2707" s="138"/>
      <c r="K2707" s="138"/>
      <c r="L2707" s="138">
        <v>0.0</v>
      </c>
      <c r="M2707" s="140" t="str">
        <f>VLOOKUP(text(D2707, "#"),'Master Table'!$A:$F, 6, FALSE)</f>
        <v>#N/A</v>
      </c>
      <c r="N2707" s="141"/>
      <c r="O2707" s="142" t="str">
        <f t="shared" si="1"/>
        <v/>
      </c>
      <c r="P2707" s="143" t="str">
        <f>IF(ISNA(VLOOKUP(CONCAT(M2707,C2707), 'Judge Count DO NOT EDIT'!H:H, 1, FALSE)), "ERROR","")</f>
        <v>ERROR</v>
      </c>
      <c r="Q2707" s="141"/>
      <c r="R2707" s="143"/>
      <c r="S2707" s="139"/>
      <c r="T2707" s="141"/>
    </row>
    <row r="2708">
      <c r="A2708" s="138"/>
      <c r="B2708" s="138"/>
      <c r="C2708" s="138"/>
      <c r="D2708" s="139"/>
      <c r="E2708" s="138"/>
      <c r="F2708" s="138"/>
      <c r="G2708" s="138"/>
      <c r="H2708" s="138"/>
      <c r="I2708" s="138"/>
      <c r="J2708" s="138"/>
      <c r="K2708" s="138"/>
      <c r="L2708" s="138">
        <v>0.0</v>
      </c>
      <c r="M2708" s="140" t="str">
        <f>VLOOKUP(text(D2708, "#"),'Master Table'!$A:$F, 6, FALSE)</f>
        <v>#N/A</v>
      </c>
      <c r="N2708" s="141"/>
      <c r="O2708" s="142" t="str">
        <f t="shared" si="1"/>
        <v/>
      </c>
      <c r="P2708" s="143" t="str">
        <f>IF(ISNA(VLOOKUP(CONCAT(M2708,C2708), 'Judge Count DO NOT EDIT'!H:H, 1, FALSE)), "ERROR","")</f>
        <v>ERROR</v>
      </c>
      <c r="Q2708" s="141"/>
      <c r="R2708" s="143"/>
      <c r="S2708" s="139"/>
      <c r="T2708" s="141"/>
    </row>
    <row r="2709">
      <c r="A2709" s="138"/>
      <c r="B2709" s="138"/>
      <c r="C2709" s="138"/>
      <c r="D2709" s="139"/>
      <c r="E2709" s="138"/>
      <c r="F2709" s="138"/>
      <c r="G2709" s="138"/>
      <c r="H2709" s="138"/>
      <c r="I2709" s="138"/>
      <c r="J2709" s="138"/>
      <c r="K2709" s="138"/>
      <c r="L2709" s="138">
        <v>0.0</v>
      </c>
      <c r="M2709" s="140" t="str">
        <f>VLOOKUP(text(D2709, "#"),'Master Table'!$A:$F, 6, FALSE)</f>
        <v>#N/A</v>
      </c>
      <c r="N2709" s="141"/>
      <c r="O2709" s="142" t="str">
        <f t="shared" si="1"/>
        <v/>
      </c>
      <c r="P2709" s="143" t="str">
        <f>IF(ISNA(VLOOKUP(CONCAT(M2709,C2709), 'Judge Count DO NOT EDIT'!H:H, 1, FALSE)), "ERROR","")</f>
        <v>ERROR</v>
      </c>
      <c r="Q2709" s="141"/>
      <c r="R2709" s="143"/>
      <c r="S2709" s="139"/>
      <c r="T2709" s="141"/>
    </row>
    <row r="2710">
      <c r="A2710" s="138"/>
      <c r="B2710" s="138"/>
      <c r="C2710" s="138"/>
      <c r="D2710" s="139"/>
      <c r="E2710" s="138"/>
      <c r="F2710" s="138"/>
      <c r="G2710" s="138"/>
      <c r="H2710" s="138"/>
      <c r="I2710" s="138"/>
      <c r="J2710" s="138"/>
      <c r="K2710" s="138"/>
      <c r="L2710" s="138">
        <v>0.0</v>
      </c>
      <c r="M2710" s="140" t="str">
        <f>VLOOKUP(text(D2710, "#"),'Master Table'!$A:$F, 6, FALSE)</f>
        <v>#N/A</v>
      </c>
      <c r="N2710" s="141"/>
      <c r="O2710" s="142" t="str">
        <f t="shared" si="1"/>
        <v/>
      </c>
      <c r="P2710" s="143" t="str">
        <f>IF(ISNA(VLOOKUP(CONCAT(M2710,C2710), 'Judge Count DO NOT EDIT'!H:H, 1, FALSE)), "ERROR","")</f>
        <v>ERROR</v>
      </c>
      <c r="Q2710" s="141"/>
      <c r="R2710" s="143"/>
      <c r="S2710" s="139"/>
      <c r="T2710" s="141"/>
    </row>
    <row r="2711">
      <c r="A2711" s="138"/>
      <c r="B2711" s="138"/>
      <c r="C2711" s="138"/>
      <c r="D2711" s="139"/>
      <c r="E2711" s="138"/>
      <c r="F2711" s="138"/>
      <c r="G2711" s="138"/>
      <c r="H2711" s="138"/>
      <c r="I2711" s="138"/>
      <c r="J2711" s="138"/>
      <c r="K2711" s="138"/>
      <c r="L2711" s="138">
        <v>0.0</v>
      </c>
      <c r="M2711" s="140" t="str">
        <f>VLOOKUP(text(D2711, "#"),'Master Table'!$A:$F, 6, FALSE)</f>
        <v>#N/A</v>
      </c>
      <c r="N2711" s="141"/>
      <c r="O2711" s="142" t="str">
        <f t="shared" si="1"/>
        <v/>
      </c>
      <c r="P2711" s="143" t="str">
        <f>IF(ISNA(VLOOKUP(CONCAT(M2711,C2711), 'Judge Count DO NOT EDIT'!H:H, 1, FALSE)), "ERROR","")</f>
        <v>ERROR</v>
      </c>
      <c r="Q2711" s="141"/>
      <c r="R2711" s="143"/>
      <c r="S2711" s="139"/>
      <c r="T2711" s="141"/>
    </row>
    <row r="2712">
      <c r="A2712" s="138"/>
      <c r="B2712" s="138"/>
      <c r="C2712" s="138"/>
      <c r="D2712" s="139"/>
      <c r="E2712" s="138"/>
      <c r="F2712" s="138"/>
      <c r="G2712" s="138"/>
      <c r="H2712" s="138"/>
      <c r="I2712" s="138"/>
      <c r="J2712" s="138"/>
      <c r="K2712" s="138"/>
      <c r="L2712" s="138">
        <v>0.0</v>
      </c>
      <c r="M2712" s="140" t="str">
        <f>VLOOKUP(text(D2712, "#"),'Master Table'!$A:$F, 6, FALSE)</f>
        <v>#N/A</v>
      </c>
      <c r="N2712" s="141"/>
      <c r="O2712" s="142" t="str">
        <f t="shared" si="1"/>
        <v/>
      </c>
      <c r="P2712" s="143" t="str">
        <f>IF(ISNA(VLOOKUP(CONCAT(M2712,C2712), 'Judge Count DO NOT EDIT'!H:H, 1, FALSE)), "ERROR","")</f>
        <v>ERROR</v>
      </c>
      <c r="Q2712" s="141"/>
      <c r="R2712" s="143"/>
      <c r="S2712" s="139"/>
      <c r="T2712" s="141"/>
    </row>
    <row r="2713">
      <c r="A2713" s="138"/>
      <c r="B2713" s="138"/>
      <c r="C2713" s="138"/>
      <c r="D2713" s="139"/>
      <c r="E2713" s="138"/>
      <c r="F2713" s="138"/>
      <c r="G2713" s="138"/>
      <c r="H2713" s="138"/>
      <c r="I2713" s="138"/>
      <c r="J2713" s="138"/>
      <c r="K2713" s="138"/>
      <c r="L2713" s="138">
        <v>0.0</v>
      </c>
      <c r="M2713" s="140" t="str">
        <f>VLOOKUP(text(D2713, "#"),'Master Table'!$A:$F, 6, FALSE)</f>
        <v>#N/A</v>
      </c>
      <c r="N2713" s="141"/>
      <c r="O2713" s="142" t="str">
        <f t="shared" si="1"/>
        <v/>
      </c>
      <c r="P2713" s="143" t="str">
        <f>IF(ISNA(VLOOKUP(CONCAT(M2713,C2713), 'Judge Count DO NOT EDIT'!H:H, 1, FALSE)), "ERROR","")</f>
        <v>ERROR</v>
      </c>
      <c r="Q2713" s="141"/>
      <c r="R2713" s="143"/>
      <c r="S2713" s="139"/>
      <c r="T2713" s="141"/>
    </row>
    <row r="2714">
      <c r="A2714" s="138"/>
      <c r="B2714" s="138"/>
      <c r="C2714" s="138"/>
      <c r="D2714" s="139"/>
      <c r="E2714" s="138"/>
      <c r="F2714" s="138"/>
      <c r="G2714" s="138"/>
      <c r="H2714" s="138"/>
      <c r="I2714" s="138"/>
      <c r="J2714" s="138"/>
      <c r="K2714" s="138"/>
      <c r="L2714" s="138">
        <v>0.0</v>
      </c>
      <c r="M2714" s="140" t="str">
        <f>VLOOKUP(text(D2714, "#"),'Master Table'!$A:$F, 6, FALSE)</f>
        <v>#N/A</v>
      </c>
      <c r="N2714" s="141"/>
      <c r="O2714" s="142" t="str">
        <f t="shared" si="1"/>
        <v/>
      </c>
      <c r="P2714" s="143" t="str">
        <f>IF(ISNA(VLOOKUP(CONCAT(M2714,C2714), 'Judge Count DO NOT EDIT'!H:H, 1, FALSE)), "ERROR","")</f>
        <v>ERROR</v>
      </c>
      <c r="Q2714" s="141"/>
      <c r="R2714" s="143"/>
      <c r="S2714" s="139"/>
      <c r="T2714" s="141"/>
    </row>
    <row r="2715">
      <c r="A2715" s="138"/>
      <c r="B2715" s="138"/>
      <c r="C2715" s="138"/>
      <c r="D2715" s="139"/>
      <c r="E2715" s="138"/>
      <c r="F2715" s="138"/>
      <c r="G2715" s="138"/>
      <c r="H2715" s="138"/>
      <c r="I2715" s="138"/>
      <c r="J2715" s="138"/>
      <c r="K2715" s="138"/>
      <c r="L2715" s="138">
        <v>0.0</v>
      </c>
      <c r="M2715" s="140" t="str">
        <f>VLOOKUP(text(D2715, "#"),'Master Table'!$A:$F, 6, FALSE)</f>
        <v>#N/A</v>
      </c>
      <c r="N2715" s="141"/>
      <c r="O2715" s="142" t="str">
        <f t="shared" si="1"/>
        <v/>
      </c>
      <c r="P2715" s="143" t="str">
        <f>IF(ISNA(VLOOKUP(CONCAT(M2715,C2715), 'Judge Count DO NOT EDIT'!H:H, 1, FALSE)), "ERROR","")</f>
        <v>ERROR</v>
      </c>
      <c r="Q2715" s="141"/>
      <c r="R2715" s="143"/>
      <c r="S2715" s="139"/>
      <c r="T2715" s="141"/>
    </row>
    <row r="2716">
      <c r="A2716" s="138"/>
      <c r="B2716" s="138"/>
      <c r="C2716" s="138"/>
      <c r="D2716" s="139"/>
      <c r="E2716" s="138"/>
      <c r="F2716" s="138"/>
      <c r="G2716" s="138"/>
      <c r="H2716" s="138"/>
      <c r="I2716" s="138"/>
      <c r="J2716" s="138"/>
      <c r="K2716" s="138"/>
      <c r="L2716" s="138">
        <v>0.0</v>
      </c>
      <c r="M2716" s="140" t="str">
        <f>VLOOKUP(text(D2716, "#"),'Master Table'!$A:$F, 6, FALSE)</f>
        <v>#N/A</v>
      </c>
      <c r="N2716" s="141"/>
      <c r="O2716" s="142" t="str">
        <f t="shared" si="1"/>
        <v/>
      </c>
      <c r="P2716" s="143" t="str">
        <f>IF(ISNA(VLOOKUP(CONCAT(M2716,C2716), 'Judge Count DO NOT EDIT'!H:H, 1, FALSE)), "ERROR","")</f>
        <v>ERROR</v>
      </c>
      <c r="Q2716" s="141"/>
      <c r="R2716" s="143"/>
      <c r="S2716" s="139"/>
      <c r="T2716" s="141"/>
    </row>
    <row r="2717">
      <c r="A2717" s="138"/>
      <c r="B2717" s="138"/>
      <c r="C2717" s="138"/>
      <c r="D2717" s="139"/>
      <c r="E2717" s="138"/>
      <c r="F2717" s="138"/>
      <c r="G2717" s="138"/>
      <c r="H2717" s="138"/>
      <c r="I2717" s="138"/>
      <c r="J2717" s="138"/>
      <c r="K2717" s="138"/>
      <c r="L2717" s="138">
        <v>0.0</v>
      </c>
      <c r="M2717" s="140" t="str">
        <f>VLOOKUP(text(D2717, "#"),'Master Table'!$A:$F, 6, FALSE)</f>
        <v>#N/A</v>
      </c>
      <c r="N2717" s="141"/>
      <c r="O2717" s="142" t="str">
        <f t="shared" si="1"/>
        <v/>
      </c>
      <c r="P2717" s="143" t="str">
        <f>IF(ISNA(VLOOKUP(CONCAT(M2717,C2717), 'Judge Count DO NOT EDIT'!H:H, 1, FALSE)), "ERROR","")</f>
        <v>ERROR</v>
      </c>
      <c r="Q2717" s="141"/>
      <c r="R2717" s="143"/>
      <c r="S2717" s="139"/>
      <c r="T2717" s="141"/>
    </row>
    <row r="2718">
      <c r="A2718" s="138"/>
      <c r="B2718" s="138"/>
      <c r="C2718" s="138"/>
      <c r="D2718" s="139"/>
      <c r="E2718" s="138"/>
      <c r="F2718" s="138"/>
      <c r="G2718" s="138"/>
      <c r="H2718" s="138"/>
      <c r="I2718" s="138"/>
      <c r="J2718" s="138"/>
      <c r="K2718" s="138"/>
      <c r="L2718" s="138">
        <v>0.0</v>
      </c>
      <c r="M2718" s="140" t="str">
        <f>VLOOKUP(text(D2718, "#"),'Master Table'!$A:$F, 6, FALSE)</f>
        <v>#N/A</v>
      </c>
      <c r="N2718" s="141"/>
      <c r="O2718" s="142" t="str">
        <f t="shared" si="1"/>
        <v/>
      </c>
      <c r="P2718" s="143" t="str">
        <f>IF(ISNA(VLOOKUP(CONCAT(M2718,C2718), 'Judge Count DO NOT EDIT'!H:H, 1, FALSE)), "ERROR","")</f>
        <v>ERROR</v>
      </c>
      <c r="Q2718" s="141"/>
      <c r="R2718" s="143"/>
      <c r="S2718" s="139"/>
      <c r="T2718" s="141"/>
    </row>
    <row r="2719">
      <c r="A2719" s="138"/>
      <c r="B2719" s="138"/>
      <c r="C2719" s="138"/>
      <c r="D2719" s="139"/>
      <c r="E2719" s="138"/>
      <c r="F2719" s="138"/>
      <c r="G2719" s="138"/>
      <c r="H2719" s="138"/>
      <c r="I2719" s="138"/>
      <c r="J2719" s="138"/>
      <c r="K2719" s="138"/>
      <c r="L2719" s="138">
        <v>0.0</v>
      </c>
      <c r="M2719" s="140" t="str">
        <f>VLOOKUP(text(D2719, "#"),'Master Table'!$A:$F, 6, FALSE)</f>
        <v>#N/A</v>
      </c>
      <c r="N2719" s="141"/>
      <c r="O2719" s="142" t="str">
        <f t="shared" si="1"/>
        <v/>
      </c>
      <c r="P2719" s="143" t="str">
        <f>IF(ISNA(VLOOKUP(CONCAT(M2719,C2719), 'Judge Count DO NOT EDIT'!H:H, 1, FALSE)), "ERROR","")</f>
        <v>ERROR</v>
      </c>
      <c r="Q2719" s="141"/>
      <c r="R2719" s="143"/>
      <c r="S2719" s="139"/>
      <c r="T2719" s="141"/>
    </row>
    <row r="2720">
      <c r="A2720" s="138"/>
      <c r="B2720" s="138"/>
      <c r="C2720" s="138"/>
      <c r="D2720" s="139"/>
      <c r="E2720" s="138"/>
      <c r="F2720" s="138"/>
      <c r="G2720" s="138"/>
      <c r="H2720" s="138"/>
      <c r="I2720" s="138"/>
      <c r="J2720" s="138"/>
      <c r="K2720" s="138"/>
      <c r="L2720" s="138">
        <v>0.0</v>
      </c>
      <c r="M2720" s="140" t="str">
        <f>VLOOKUP(text(D2720, "#"),'Master Table'!$A:$F, 6, FALSE)</f>
        <v>#N/A</v>
      </c>
      <c r="N2720" s="141"/>
      <c r="O2720" s="142" t="str">
        <f t="shared" si="1"/>
        <v/>
      </c>
      <c r="P2720" s="143" t="str">
        <f>IF(ISNA(VLOOKUP(CONCAT(M2720,C2720), 'Judge Count DO NOT EDIT'!H:H, 1, FALSE)), "ERROR","")</f>
        <v>ERROR</v>
      </c>
      <c r="Q2720" s="141"/>
      <c r="R2720" s="143"/>
      <c r="S2720" s="139"/>
      <c r="T2720" s="141"/>
    </row>
    <row r="2721">
      <c r="A2721" s="138"/>
      <c r="B2721" s="138"/>
      <c r="C2721" s="138"/>
      <c r="D2721" s="139"/>
      <c r="E2721" s="138"/>
      <c r="F2721" s="138"/>
      <c r="G2721" s="138"/>
      <c r="H2721" s="138"/>
      <c r="I2721" s="138"/>
      <c r="J2721" s="138"/>
      <c r="K2721" s="138"/>
      <c r="L2721" s="138">
        <v>0.0</v>
      </c>
      <c r="M2721" s="140" t="str">
        <f>VLOOKUP(text(D2721, "#"),'Master Table'!$A:$F, 6, FALSE)</f>
        <v>#N/A</v>
      </c>
      <c r="N2721" s="141"/>
      <c r="O2721" s="142" t="str">
        <f t="shared" si="1"/>
        <v/>
      </c>
      <c r="P2721" s="143" t="str">
        <f>IF(ISNA(VLOOKUP(CONCAT(M2721,C2721), 'Judge Count DO NOT EDIT'!H:H, 1, FALSE)), "ERROR","")</f>
        <v>ERROR</v>
      </c>
      <c r="Q2721" s="141"/>
      <c r="R2721" s="143"/>
      <c r="S2721" s="139"/>
      <c r="T2721" s="141"/>
    </row>
    <row r="2722">
      <c r="A2722" s="138"/>
      <c r="B2722" s="138"/>
      <c r="C2722" s="138"/>
      <c r="D2722" s="139"/>
      <c r="E2722" s="138"/>
      <c r="F2722" s="138"/>
      <c r="G2722" s="138"/>
      <c r="H2722" s="138"/>
      <c r="I2722" s="138"/>
      <c r="J2722" s="138"/>
      <c r="K2722" s="138"/>
      <c r="L2722" s="138">
        <v>0.0</v>
      </c>
      <c r="M2722" s="140" t="str">
        <f>VLOOKUP(text(D2722, "#"),'Master Table'!$A:$F, 6, FALSE)</f>
        <v>#N/A</v>
      </c>
      <c r="N2722" s="141"/>
      <c r="O2722" s="142" t="str">
        <f t="shared" si="1"/>
        <v/>
      </c>
      <c r="P2722" s="143" t="str">
        <f>IF(ISNA(VLOOKUP(CONCAT(M2722,C2722), 'Judge Count DO NOT EDIT'!H:H, 1, FALSE)), "ERROR","")</f>
        <v>ERROR</v>
      </c>
      <c r="Q2722" s="141"/>
      <c r="R2722" s="143"/>
      <c r="S2722" s="139"/>
      <c r="T2722" s="141"/>
    </row>
    <row r="2723">
      <c r="A2723" s="138"/>
      <c r="B2723" s="138"/>
      <c r="C2723" s="138"/>
      <c r="D2723" s="139"/>
      <c r="E2723" s="138"/>
      <c r="F2723" s="138"/>
      <c r="G2723" s="138"/>
      <c r="H2723" s="138"/>
      <c r="I2723" s="138"/>
      <c r="J2723" s="138"/>
      <c r="K2723" s="138"/>
      <c r="L2723" s="138">
        <v>0.0</v>
      </c>
      <c r="M2723" s="140" t="str">
        <f>VLOOKUP(text(D2723, "#"),'Master Table'!$A:$F, 6, FALSE)</f>
        <v>#N/A</v>
      </c>
      <c r="N2723" s="141"/>
      <c r="O2723" s="142" t="str">
        <f t="shared" si="1"/>
        <v/>
      </c>
      <c r="P2723" s="143" t="str">
        <f>IF(ISNA(VLOOKUP(CONCAT(M2723,C2723), 'Judge Count DO NOT EDIT'!H:H, 1, FALSE)), "ERROR","")</f>
        <v>ERROR</v>
      </c>
      <c r="Q2723" s="141"/>
      <c r="R2723" s="143"/>
      <c r="S2723" s="139"/>
      <c r="T2723" s="141"/>
    </row>
    <row r="2724">
      <c r="A2724" s="138"/>
      <c r="B2724" s="138"/>
      <c r="C2724" s="138"/>
      <c r="D2724" s="139"/>
      <c r="E2724" s="138"/>
      <c r="F2724" s="138"/>
      <c r="G2724" s="138"/>
      <c r="H2724" s="138"/>
      <c r="I2724" s="138"/>
      <c r="J2724" s="138"/>
      <c r="K2724" s="138"/>
      <c r="L2724" s="138">
        <v>0.0</v>
      </c>
      <c r="M2724" s="140" t="str">
        <f>VLOOKUP(text(D2724, "#"),'Master Table'!$A:$F, 6, FALSE)</f>
        <v>#N/A</v>
      </c>
      <c r="N2724" s="141"/>
      <c r="O2724" s="142" t="str">
        <f t="shared" si="1"/>
        <v/>
      </c>
      <c r="P2724" s="143" t="str">
        <f>IF(ISNA(VLOOKUP(CONCAT(M2724,C2724), 'Judge Count DO NOT EDIT'!H:H, 1, FALSE)), "ERROR","")</f>
        <v>ERROR</v>
      </c>
      <c r="Q2724" s="141"/>
      <c r="R2724" s="143"/>
      <c r="S2724" s="139"/>
      <c r="T2724" s="141"/>
    </row>
    <row r="2725">
      <c r="A2725" s="138"/>
      <c r="B2725" s="138"/>
      <c r="C2725" s="138"/>
      <c r="D2725" s="139"/>
      <c r="E2725" s="138"/>
      <c r="F2725" s="138"/>
      <c r="G2725" s="138"/>
      <c r="H2725" s="138"/>
      <c r="I2725" s="138"/>
      <c r="J2725" s="138"/>
      <c r="K2725" s="138"/>
      <c r="L2725" s="138">
        <v>0.0</v>
      </c>
      <c r="M2725" s="140" t="str">
        <f>VLOOKUP(text(D2725, "#"),'Master Table'!$A:$F, 6, FALSE)</f>
        <v>#N/A</v>
      </c>
      <c r="N2725" s="141"/>
      <c r="O2725" s="142" t="str">
        <f t="shared" si="1"/>
        <v/>
      </c>
      <c r="P2725" s="143" t="str">
        <f>IF(ISNA(VLOOKUP(CONCAT(M2725,C2725), 'Judge Count DO NOT EDIT'!H:H, 1, FALSE)), "ERROR","")</f>
        <v>ERROR</v>
      </c>
      <c r="Q2725" s="141"/>
      <c r="R2725" s="143"/>
      <c r="S2725" s="139"/>
      <c r="T2725" s="141"/>
    </row>
    <row r="2726">
      <c r="A2726" s="138"/>
      <c r="B2726" s="138"/>
      <c r="C2726" s="138"/>
      <c r="D2726" s="139"/>
      <c r="E2726" s="138"/>
      <c r="F2726" s="138"/>
      <c r="G2726" s="138"/>
      <c r="H2726" s="138"/>
      <c r="I2726" s="138"/>
      <c r="J2726" s="138"/>
      <c r="K2726" s="138"/>
      <c r="L2726" s="138">
        <v>0.0</v>
      </c>
      <c r="M2726" s="140" t="str">
        <f>VLOOKUP(text(D2726, "#"),'Master Table'!$A:$F, 6, FALSE)</f>
        <v>#N/A</v>
      </c>
      <c r="N2726" s="141"/>
      <c r="O2726" s="142" t="str">
        <f t="shared" si="1"/>
        <v/>
      </c>
      <c r="P2726" s="143" t="str">
        <f>IF(ISNA(VLOOKUP(CONCAT(M2726,C2726), 'Judge Count DO NOT EDIT'!H:H, 1, FALSE)), "ERROR","")</f>
        <v>ERROR</v>
      </c>
      <c r="Q2726" s="141"/>
      <c r="R2726" s="143"/>
      <c r="S2726" s="139"/>
      <c r="T2726" s="141"/>
    </row>
    <row r="2727">
      <c r="A2727" s="138"/>
      <c r="B2727" s="138"/>
      <c r="C2727" s="138"/>
      <c r="D2727" s="139"/>
      <c r="E2727" s="138"/>
      <c r="F2727" s="138"/>
      <c r="G2727" s="138"/>
      <c r="H2727" s="138"/>
      <c r="I2727" s="138"/>
      <c r="J2727" s="138"/>
      <c r="K2727" s="138"/>
      <c r="L2727" s="138">
        <v>0.0</v>
      </c>
      <c r="M2727" s="140" t="str">
        <f>VLOOKUP(text(D2727, "#"),'Master Table'!$A:$F, 6, FALSE)</f>
        <v>#N/A</v>
      </c>
      <c r="N2727" s="141"/>
      <c r="O2727" s="142" t="str">
        <f t="shared" si="1"/>
        <v/>
      </c>
      <c r="P2727" s="143" t="str">
        <f>IF(ISNA(VLOOKUP(CONCAT(M2727,C2727), 'Judge Count DO NOT EDIT'!H:H, 1, FALSE)), "ERROR","")</f>
        <v>ERROR</v>
      </c>
      <c r="Q2727" s="141"/>
      <c r="R2727" s="143"/>
      <c r="S2727" s="139"/>
      <c r="T2727" s="141"/>
    </row>
    <row r="2728">
      <c r="A2728" s="138"/>
      <c r="B2728" s="138"/>
      <c r="C2728" s="138"/>
      <c r="D2728" s="139"/>
      <c r="E2728" s="138"/>
      <c r="F2728" s="138"/>
      <c r="G2728" s="138"/>
      <c r="H2728" s="138"/>
      <c r="I2728" s="138"/>
      <c r="J2728" s="138"/>
      <c r="K2728" s="138"/>
      <c r="L2728" s="138">
        <v>0.0</v>
      </c>
      <c r="M2728" s="140" t="str">
        <f>VLOOKUP(text(D2728, "#"),'Master Table'!$A:$F, 6, FALSE)</f>
        <v>#N/A</v>
      </c>
      <c r="N2728" s="141"/>
      <c r="O2728" s="142" t="str">
        <f t="shared" si="1"/>
        <v/>
      </c>
      <c r="P2728" s="143" t="str">
        <f>IF(ISNA(VLOOKUP(CONCAT(M2728,C2728), 'Judge Count DO NOT EDIT'!H:H, 1, FALSE)), "ERROR","")</f>
        <v>ERROR</v>
      </c>
      <c r="Q2728" s="141"/>
      <c r="R2728" s="143"/>
      <c r="S2728" s="139"/>
      <c r="T2728" s="141"/>
    </row>
    <row r="2729">
      <c r="A2729" s="138"/>
      <c r="B2729" s="138"/>
      <c r="C2729" s="138"/>
      <c r="D2729" s="139"/>
      <c r="E2729" s="138"/>
      <c r="F2729" s="138"/>
      <c r="G2729" s="138"/>
      <c r="H2729" s="138"/>
      <c r="I2729" s="138"/>
      <c r="J2729" s="138"/>
      <c r="K2729" s="138"/>
      <c r="L2729" s="138">
        <v>0.0</v>
      </c>
      <c r="M2729" s="140" t="str">
        <f>VLOOKUP(text(D2729, "#"),'Master Table'!$A:$F, 6, FALSE)</f>
        <v>#N/A</v>
      </c>
      <c r="N2729" s="141"/>
      <c r="O2729" s="142" t="str">
        <f t="shared" si="1"/>
        <v/>
      </c>
      <c r="P2729" s="143" t="str">
        <f>IF(ISNA(VLOOKUP(CONCAT(M2729,C2729), 'Judge Count DO NOT EDIT'!H:H, 1, FALSE)), "ERROR","")</f>
        <v>ERROR</v>
      </c>
      <c r="Q2729" s="141"/>
      <c r="R2729" s="143"/>
      <c r="S2729" s="139"/>
      <c r="T2729" s="141"/>
    </row>
    <row r="2730">
      <c r="A2730" s="138"/>
      <c r="B2730" s="138"/>
      <c r="C2730" s="138"/>
      <c r="D2730" s="139"/>
      <c r="E2730" s="138"/>
      <c r="F2730" s="138"/>
      <c r="G2730" s="138"/>
      <c r="H2730" s="138"/>
      <c r="I2730" s="138"/>
      <c r="J2730" s="138"/>
      <c r="K2730" s="138"/>
      <c r="L2730" s="138">
        <v>0.0</v>
      </c>
      <c r="M2730" s="140" t="str">
        <f>VLOOKUP(text(D2730, "#"),'Master Table'!$A:$F, 6, FALSE)</f>
        <v>#N/A</v>
      </c>
      <c r="N2730" s="141"/>
      <c r="O2730" s="142" t="str">
        <f t="shared" si="1"/>
        <v/>
      </c>
      <c r="P2730" s="143" t="str">
        <f>IF(ISNA(VLOOKUP(CONCAT(M2730,C2730), 'Judge Count DO NOT EDIT'!H:H, 1, FALSE)), "ERROR","")</f>
        <v>ERROR</v>
      </c>
      <c r="Q2730" s="141"/>
      <c r="R2730" s="143"/>
      <c r="S2730" s="139"/>
      <c r="T2730" s="141"/>
    </row>
    <row r="2731">
      <c r="A2731" s="138"/>
      <c r="B2731" s="138"/>
      <c r="C2731" s="138"/>
      <c r="D2731" s="139"/>
      <c r="E2731" s="138"/>
      <c r="F2731" s="138"/>
      <c r="G2731" s="138"/>
      <c r="H2731" s="138"/>
      <c r="I2731" s="138"/>
      <c r="J2731" s="138"/>
      <c r="K2731" s="138"/>
      <c r="L2731" s="138">
        <v>0.0</v>
      </c>
      <c r="M2731" s="140" t="str">
        <f>VLOOKUP(text(D2731, "#"),'Master Table'!$A:$F, 6, FALSE)</f>
        <v>#N/A</v>
      </c>
      <c r="N2731" s="141"/>
      <c r="O2731" s="142" t="str">
        <f t="shared" si="1"/>
        <v/>
      </c>
      <c r="P2731" s="143" t="str">
        <f>IF(ISNA(VLOOKUP(CONCAT(M2731,C2731), 'Judge Count DO NOT EDIT'!H:H, 1, FALSE)), "ERROR","")</f>
        <v>ERROR</v>
      </c>
      <c r="Q2731" s="141"/>
      <c r="R2731" s="143"/>
      <c r="S2731" s="139"/>
      <c r="T2731" s="141"/>
    </row>
    <row r="2732">
      <c r="A2732" s="138"/>
      <c r="B2732" s="138"/>
      <c r="C2732" s="138"/>
      <c r="D2732" s="139"/>
      <c r="E2732" s="138"/>
      <c r="F2732" s="138"/>
      <c r="G2732" s="138"/>
      <c r="H2732" s="138"/>
      <c r="I2732" s="138"/>
      <c r="J2732" s="138"/>
      <c r="K2732" s="138"/>
      <c r="L2732" s="138">
        <v>0.0</v>
      </c>
      <c r="M2732" s="140" t="str">
        <f>VLOOKUP(text(D2732, "#"),'Master Table'!$A:$F, 6, FALSE)</f>
        <v>#N/A</v>
      </c>
      <c r="N2732" s="141"/>
      <c r="O2732" s="142" t="str">
        <f t="shared" si="1"/>
        <v/>
      </c>
      <c r="P2732" s="143" t="str">
        <f>IF(ISNA(VLOOKUP(CONCAT(M2732,C2732), 'Judge Count DO NOT EDIT'!H:H, 1, FALSE)), "ERROR","")</f>
        <v>ERROR</v>
      </c>
      <c r="Q2732" s="141"/>
      <c r="R2732" s="143"/>
      <c r="S2732" s="139"/>
      <c r="T2732" s="141"/>
    </row>
    <row r="2733">
      <c r="A2733" s="138"/>
      <c r="B2733" s="138"/>
      <c r="C2733" s="138"/>
      <c r="D2733" s="139"/>
      <c r="E2733" s="138"/>
      <c r="F2733" s="138"/>
      <c r="G2733" s="138"/>
      <c r="H2733" s="138"/>
      <c r="I2733" s="138"/>
      <c r="J2733" s="138"/>
      <c r="K2733" s="138"/>
      <c r="L2733" s="138">
        <v>0.0</v>
      </c>
      <c r="M2733" s="140" t="str">
        <f>VLOOKUP(text(D2733, "#"),'Master Table'!$A:$F, 6, FALSE)</f>
        <v>#N/A</v>
      </c>
      <c r="N2733" s="141"/>
      <c r="O2733" s="142" t="str">
        <f t="shared" si="1"/>
        <v/>
      </c>
      <c r="P2733" s="143" t="str">
        <f>IF(ISNA(VLOOKUP(CONCAT(M2733,C2733), 'Judge Count DO NOT EDIT'!H:H, 1, FALSE)), "ERROR","")</f>
        <v>ERROR</v>
      </c>
      <c r="Q2733" s="141"/>
      <c r="R2733" s="143"/>
      <c r="S2733" s="139"/>
      <c r="T2733" s="141"/>
    </row>
    <row r="2734">
      <c r="A2734" s="138"/>
      <c r="B2734" s="138"/>
      <c r="C2734" s="138"/>
      <c r="D2734" s="139"/>
      <c r="E2734" s="138"/>
      <c r="F2734" s="138"/>
      <c r="G2734" s="138"/>
      <c r="H2734" s="138"/>
      <c r="I2734" s="138"/>
      <c r="J2734" s="138"/>
      <c r="K2734" s="138"/>
      <c r="L2734" s="138">
        <v>0.0</v>
      </c>
      <c r="M2734" s="140" t="str">
        <f>VLOOKUP(text(D2734, "#"),'Master Table'!$A:$F, 6, FALSE)</f>
        <v>#N/A</v>
      </c>
      <c r="N2734" s="141"/>
      <c r="O2734" s="142" t="str">
        <f t="shared" si="1"/>
        <v/>
      </c>
      <c r="P2734" s="143" t="str">
        <f>IF(ISNA(VLOOKUP(CONCAT(M2734,C2734), 'Judge Count DO NOT EDIT'!H:H, 1, FALSE)), "ERROR","")</f>
        <v>ERROR</v>
      </c>
      <c r="Q2734" s="141"/>
      <c r="R2734" s="143"/>
      <c r="S2734" s="139"/>
      <c r="T2734" s="141"/>
    </row>
    <row r="2735">
      <c r="A2735" s="138"/>
      <c r="B2735" s="138"/>
      <c r="C2735" s="138"/>
      <c r="D2735" s="139"/>
      <c r="E2735" s="138"/>
      <c r="F2735" s="138"/>
      <c r="G2735" s="138"/>
      <c r="H2735" s="138"/>
      <c r="I2735" s="138"/>
      <c r="J2735" s="138"/>
      <c r="K2735" s="138"/>
      <c r="L2735" s="138">
        <v>0.0</v>
      </c>
      <c r="M2735" s="140" t="str">
        <f>VLOOKUP(text(D2735, "#"),'Master Table'!$A:$F, 6, FALSE)</f>
        <v>#N/A</v>
      </c>
      <c r="N2735" s="141"/>
      <c r="O2735" s="142" t="str">
        <f t="shared" si="1"/>
        <v/>
      </c>
      <c r="P2735" s="143" t="str">
        <f>IF(ISNA(VLOOKUP(CONCAT(M2735,C2735), 'Judge Count DO NOT EDIT'!H:H, 1, FALSE)), "ERROR","")</f>
        <v>ERROR</v>
      </c>
      <c r="Q2735" s="141"/>
      <c r="R2735" s="143"/>
      <c r="S2735" s="139"/>
      <c r="T2735" s="141"/>
    </row>
    <row r="2736">
      <c r="A2736" s="138"/>
      <c r="B2736" s="138"/>
      <c r="C2736" s="138"/>
      <c r="D2736" s="139"/>
      <c r="E2736" s="138"/>
      <c r="F2736" s="138"/>
      <c r="G2736" s="138"/>
      <c r="H2736" s="138"/>
      <c r="I2736" s="138"/>
      <c r="J2736" s="138"/>
      <c r="K2736" s="138"/>
      <c r="L2736" s="138">
        <v>0.0</v>
      </c>
      <c r="M2736" s="140" t="str">
        <f>VLOOKUP(text(D2736, "#"),'Master Table'!$A:$F, 6, FALSE)</f>
        <v>#N/A</v>
      </c>
      <c r="N2736" s="141"/>
      <c r="O2736" s="142" t="str">
        <f t="shared" si="1"/>
        <v/>
      </c>
      <c r="P2736" s="143" t="str">
        <f>IF(ISNA(VLOOKUP(CONCAT(M2736,C2736), 'Judge Count DO NOT EDIT'!H:H, 1, FALSE)), "ERROR","")</f>
        <v>ERROR</v>
      </c>
      <c r="Q2736" s="141"/>
      <c r="R2736" s="143"/>
      <c r="S2736" s="139"/>
      <c r="T2736" s="141"/>
    </row>
    <row r="2737">
      <c r="A2737" s="138"/>
      <c r="B2737" s="138"/>
      <c r="C2737" s="138"/>
      <c r="D2737" s="139"/>
      <c r="E2737" s="138"/>
      <c r="F2737" s="138"/>
      <c r="G2737" s="138"/>
      <c r="H2737" s="138"/>
      <c r="I2737" s="138"/>
      <c r="J2737" s="138"/>
      <c r="K2737" s="138"/>
      <c r="L2737" s="138">
        <v>0.0</v>
      </c>
      <c r="M2737" s="140" t="str">
        <f>VLOOKUP(text(D2737, "#"),'Master Table'!$A:$F, 6, FALSE)</f>
        <v>#N/A</v>
      </c>
      <c r="N2737" s="141"/>
      <c r="O2737" s="142" t="str">
        <f t="shared" si="1"/>
        <v/>
      </c>
      <c r="P2737" s="143" t="str">
        <f>IF(ISNA(VLOOKUP(CONCAT(M2737,C2737), 'Judge Count DO NOT EDIT'!H:H, 1, FALSE)), "ERROR","")</f>
        <v>ERROR</v>
      </c>
      <c r="Q2737" s="141"/>
      <c r="R2737" s="143"/>
      <c r="S2737" s="139"/>
      <c r="T2737" s="141"/>
    </row>
    <row r="2738">
      <c r="A2738" s="138"/>
      <c r="B2738" s="138"/>
      <c r="C2738" s="138"/>
      <c r="D2738" s="139"/>
      <c r="E2738" s="138"/>
      <c r="F2738" s="138"/>
      <c r="G2738" s="138"/>
      <c r="H2738" s="138"/>
      <c r="I2738" s="138"/>
      <c r="J2738" s="138"/>
      <c r="K2738" s="138"/>
      <c r="L2738" s="138">
        <v>0.0</v>
      </c>
      <c r="M2738" s="140" t="str">
        <f>VLOOKUP(text(D2738, "#"),'Master Table'!$A:$F, 6, FALSE)</f>
        <v>#N/A</v>
      </c>
      <c r="N2738" s="141"/>
      <c r="O2738" s="142" t="str">
        <f t="shared" si="1"/>
        <v/>
      </c>
      <c r="P2738" s="143" t="str">
        <f>IF(ISNA(VLOOKUP(CONCAT(M2738,C2738), 'Judge Count DO NOT EDIT'!H:H, 1, FALSE)), "ERROR","")</f>
        <v>ERROR</v>
      </c>
      <c r="Q2738" s="141"/>
      <c r="R2738" s="143"/>
      <c r="S2738" s="139"/>
      <c r="T2738" s="141"/>
    </row>
    <row r="2739">
      <c r="A2739" s="138"/>
      <c r="B2739" s="138"/>
      <c r="C2739" s="138"/>
      <c r="D2739" s="139"/>
      <c r="E2739" s="138"/>
      <c r="F2739" s="138"/>
      <c r="G2739" s="138"/>
      <c r="H2739" s="138"/>
      <c r="I2739" s="138"/>
      <c r="J2739" s="138"/>
      <c r="K2739" s="138"/>
      <c r="L2739" s="138">
        <v>0.0</v>
      </c>
      <c r="M2739" s="140" t="str">
        <f>VLOOKUP(text(D2739, "#"),'Master Table'!$A:$F, 6, FALSE)</f>
        <v>#N/A</v>
      </c>
      <c r="N2739" s="141"/>
      <c r="O2739" s="142" t="str">
        <f t="shared" si="1"/>
        <v/>
      </c>
      <c r="P2739" s="143" t="str">
        <f>IF(ISNA(VLOOKUP(CONCAT(M2739,C2739), 'Judge Count DO NOT EDIT'!H:H, 1, FALSE)), "ERROR","")</f>
        <v>ERROR</v>
      </c>
      <c r="Q2739" s="141"/>
      <c r="R2739" s="143"/>
      <c r="S2739" s="139"/>
      <c r="T2739" s="141"/>
    </row>
    <row r="2740">
      <c r="A2740" s="138"/>
      <c r="B2740" s="138"/>
      <c r="C2740" s="138"/>
      <c r="D2740" s="139"/>
      <c r="E2740" s="138"/>
      <c r="F2740" s="138"/>
      <c r="G2740" s="138"/>
      <c r="H2740" s="138"/>
      <c r="I2740" s="138"/>
      <c r="J2740" s="138"/>
      <c r="K2740" s="138"/>
      <c r="L2740" s="138">
        <v>0.0</v>
      </c>
      <c r="M2740" s="140" t="str">
        <f>VLOOKUP(text(D2740, "#"),'Master Table'!$A:$F, 6, FALSE)</f>
        <v>#N/A</v>
      </c>
      <c r="N2740" s="141"/>
      <c r="O2740" s="142" t="str">
        <f t="shared" si="1"/>
        <v/>
      </c>
      <c r="P2740" s="143" t="str">
        <f>IF(ISNA(VLOOKUP(CONCAT(M2740,C2740), 'Judge Count DO NOT EDIT'!H:H, 1, FALSE)), "ERROR","")</f>
        <v>ERROR</v>
      </c>
      <c r="Q2740" s="141"/>
      <c r="R2740" s="143"/>
      <c r="S2740" s="139"/>
      <c r="T2740" s="141"/>
    </row>
    <row r="2741">
      <c r="A2741" s="138"/>
      <c r="B2741" s="138"/>
      <c r="C2741" s="138"/>
      <c r="D2741" s="139"/>
      <c r="E2741" s="138"/>
      <c r="F2741" s="138"/>
      <c r="G2741" s="138"/>
      <c r="H2741" s="138"/>
      <c r="I2741" s="138"/>
      <c r="J2741" s="138"/>
      <c r="K2741" s="138"/>
      <c r="L2741" s="138">
        <v>0.0</v>
      </c>
      <c r="M2741" s="140" t="str">
        <f>VLOOKUP(text(D2741, "#"),'Master Table'!$A:$F, 6, FALSE)</f>
        <v>#N/A</v>
      </c>
      <c r="N2741" s="141"/>
      <c r="O2741" s="142" t="str">
        <f t="shared" si="1"/>
        <v/>
      </c>
      <c r="P2741" s="143" t="str">
        <f>IF(ISNA(VLOOKUP(CONCAT(M2741,C2741), 'Judge Count DO NOT EDIT'!H:H, 1, FALSE)), "ERROR","")</f>
        <v>ERROR</v>
      </c>
      <c r="Q2741" s="141"/>
      <c r="R2741" s="143"/>
      <c r="S2741" s="139"/>
      <c r="T2741" s="141"/>
    </row>
    <row r="2742">
      <c r="A2742" s="138"/>
      <c r="B2742" s="138"/>
      <c r="C2742" s="138"/>
      <c r="D2742" s="139"/>
      <c r="E2742" s="138"/>
      <c r="F2742" s="138"/>
      <c r="G2742" s="138"/>
      <c r="H2742" s="138"/>
      <c r="I2742" s="138"/>
      <c r="J2742" s="138"/>
      <c r="K2742" s="138"/>
      <c r="L2742" s="138">
        <v>0.0</v>
      </c>
      <c r="M2742" s="140" t="str">
        <f>VLOOKUP(text(D2742, "#"),'Master Table'!$A:$F, 6, FALSE)</f>
        <v>#N/A</v>
      </c>
      <c r="N2742" s="141"/>
      <c r="O2742" s="142" t="str">
        <f t="shared" si="1"/>
        <v/>
      </c>
      <c r="P2742" s="143" t="str">
        <f>IF(ISNA(VLOOKUP(CONCAT(M2742,C2742), 'Judge Count DO NOT EDIT'!H:H, 1, FALSE)), "ERROR","")</f>
        <v>ERROR</v>
      </c>
      <c r="Q2742" s="141"/>
      <c r="R2742" s="143"/>
      <c r="S2742" s="139"/>
      <c r="T2742" s="141"/>
    </row>
    <row r="2743">
      <c r="A2743" s="138"/>
      <c r="B2743" s="138"/>
      <c r="C2743" s="138"/>
      <c r="D2743" s="139"/>
      <c r="E2743" s="138"/>
      <c r="F2743" s="138"/>
      <c r="G2743" s="138"/>
      <c r="H2743" s="138"/>
      <c r="I2743" s="138"/>
      <c r="J2743" s="138"/>
      <c r="K2743" s="138"/>
      <c r="L2743" s="138">
        <v>0.0</v>
      </c>
      <c r="M2743" s="140" t="str">
        <f>VLOOKUP(text(D2743, "#"),'Master Table'!$A:$F, 6, FALSE)</f>
        <v>#N/A</v>
      </c>
      <c r="N2743" s="141"/>
      <c r="O2743" s="142" t="str">
        <f t="shared" si="1"/>
        <v/>
      </c>
      <c r="P2743" s="143" t="str">
        <f>IF(ISNA(VLOOKUP(CONCAT(M2743,C2743), 'Judge Count DO NOT EDIT'!H:H, 1, FALSE)), "ERROR","")</f>
        <v>ERROR</v>
      </c>
      <c r="Q2743" s="141"/>
      <c r="R2743" s="143"/>
      <c r="S2743" s="139"/>
      <c r="T2743" s="141"/>
    </row>
    <row r="2744">
      <c r="A2744" s="138"/>
      <c r="B2744" s="138"/>
      <c r="C2744" s="138"/>
      <c r="D2744" s="139"/>
      <c r="E2744" s="138"/>
      <c r="F2744" s="138"/>
      <c r="G2744" s="138"/>
      <c r="H2744" s="138"/>
      <c r="I2744" s="138"/>
      <c r="J2744" s="138"/>
      <c r="K2744" s="138"/>
      <c r="L2744" s="138">
        <v>0.0</v>
      </c>
      <c r="M2744" s="140" t="str">
        <f>VLOOKUP(text(D2744, "#"),'Master Table'!$A:$F, 6, FALSE)</f>
        <v>#N/A</v>
      </c>
      <c r="N2744" s="141"/>
      <c r="O2744" s="142" t="str">
        <f t="shared" si="1"/>
        <v/>
      </c>
      <c r="P2744" s="143" t="str">
        <f>IF(ISNA(VLOOKUP(CONCAT(M2744,C2744), 'Judge Count DO NOT EDIT'!H:H, 1, FALSE)), "ERROR","")</f>
        <v>ERROR</v>
      </c>
      <c r="Q2744" s="141"/>
      <c r="R2744" s="143"/>
      <c r="S2744" s="139"/>
      <c r="T2744" s="141"/>
    </row>
    <row r="2745">
      <c r="A2745" s="138"/>
      <c r="B2745" s="138"/>
      <c r="C2745" s="138"/>
      <c r="D2745" s="139"/>
      <c r="E2745" s="138"/>
      <c r="F2745" s="138"/>
      <c r="G2745" s="138"/>
      <c r="H2745" s="138"/>
      <c r="I2745" s="138"/>
      <c r="J2745" s="138"/>
      <c r="K2745" s="138"/>
      <c r="L2745" s="138">
        <v>0.0</v>
      </c>
      <c r="M2745" s="140" t="str">
        <f>VLOOKUP(text(D2745, "#"),'Master Table'!$A:$F, 6, FALSE)</f>
        <v>#N/A</v>
      </c>
      <c r="N2745" s="141"/>
      <c r="O2745" s="142" t="str">
        <f t="shared" si="1"/>
        <v/>
      </c>
      <c r="P2745" s="143" t="str">
        <f>IF(ISNA(VLOOKUP(CONCAT(M2745,C2745), 'Judge Count DO NOT EDIT'!H:H, 1, FALSE)), "ERROR","")</f>
        <v>ERROR</v>
      </c>
      <c r="Q2745" s="141"/>
      <c r="R2745" s="143"/>
      <c r="S2745" s="139"/>
      <c r="T2745" s="141"/>
    </row>
    <row r="2746">
      <c r="A2746" s="138"/>
      <c r="B2746" s="138"/>
      <c r="C2746" s="138"/>
      <c r="D2746" s="139"/>
      <c r="E2746" s="138"/>
      <c r="F2746" s="138"/>
      <c r="G2746" s="138"/>
      <c r="H2746" s="138"/>
      <c r="I2746" s="138"/>
      <c r="J2746" s="138"/>
      <c r="K2746" s="138"/>
      <c r="L2746" s="138">
        <v>0.0</v>
      </c>
      <c r="M2746" s="140" t="str">
        <f>VLOOKUP(text(D2746, "#"),'Master Table'!$A:$F, 6, FALSE)</f>
        <v>#N/A</v>
      </c>
      <c r="N2746" s="141"/>
      <c r="O2746" s="142" t="str">
        <f t="shared" si="1"/>
        <v/>
      </c>
      <c r="P2746" s="143" t="str">
        <f>IF(ISNA(VLOOKUP(CONCAT(M2746,C2746), 'Judge Count DO NOT EDIT'!H:H, 1, FALSE)), "ERROR","")</f>
        <v>ERROR</v>
      </c>
      <c r="Q2746" s="141"/>
      <c r="R2746" s="143"/>
      <c r="S2746" s="139"/>
      <c r="T2746" s="141"/>
    </row>
    <row r="2747">
      <c r="A2747" s="138"/>
      <c r="B2747" s="138"/>
      <c r="C2747" s="138"/>
      <c r="D2747" s="139"/>
      <c r="E2747" s="138"/>
      <c r="F2747" s="138"/>
      <c r="G2747" s="138"/>
      <c r="H2747" s="138"/>
      <c r="I2747" s="138"/>
      <c r="J2747" s="138"/>
      <c r="K2747" s="138"/>
      <c r="L2747" s="138">
        <v>0.0</v>
      </c>
      <c r="M2747" s="140" t="str">
        <f>VLOOKUP(text(D2747, "#"),'Master Table'!$A:$F, 6, FALSE)</f>
        <v>#N/A</v>
      </c>
      <c r="N2747" s="141"/>
      <c r="O2747" s="142" t="str">
        <f t="shared" si="1"/>
        <v/>
      </c>
      <c r="P2747" s="143" t="str">
        <f>IF(ISNA(VLOOKUP(CONCAT(M2747,C2747), 'Judge Count DO NOT EDIT'!H:H, 1, FALSE)), "ERROR","")</f>
        <v>ERROR</v>
      </c>
      <c r="Q2747" s="141"/>
      <c r="R2747" s="143"/>
      <c r="S2747" s="139"/>
      <c r="T2747" s="141"/>
    </row>
    <row r="2748">
      <c r="A2748" s="138"/>
      <c r="B2748" s="138"/>
      <c r="C2748" s="138"/>
      <c r="D2748" s="139"/>
      <c r="E2748" s="138"/>
      <c r="F2748" s="138"/>
      <c r="G2748" s="138"/>
      <c r="H2748" s="138"/>
      <c r="I2748" s="138"/>
      <c r="J2748" s="138"/>
      <c r="K2748" s="138"/>
      <c r="L2748" s="138">
        <v>0.0</v>
      </c>
      <c r="M2748" s="140" t="str">
        <f>VLOOKUP(text(D2748, "#"),'Master Table'!$A:$F, 6, FALSE)</f>
        <v>#N/A</v>
      </c>
      <c r="N2748" s="141"/>
      <c r="O2748" s="142" t="str">
        <f t="shared" si="1"/>
        <v/>
      </c>
      <c r="P2748" s="143" t="str">
        <f>IF(ISNA(VLOOKUP(CONCAT(M2748,C2748), 'Judge Count DO NOT EDIT'!H:H, 1, FALSE)), "ERROR","")</f>
        <v>ERROR</v>
      </c>
      <c r="Q2748" s="141"/>
      <c r="R2748" s="143"/>
      <c r="S2748" s="139"/>
      <c r="T2748" s="141"/>
    </row>
    <row r="2749">
      <c r="A2749" s="138"/>
      <c r="B2749" s="138"/>
      <c r="C2749" s="138"/>
      <c r="D2749" s="139"/>
      <c r="E2749" s="138"/>
      <c r="F2749" s="138"/>
      <c r="G2749" s="138"/>
      <c r="H2749" s="138"/>
      <c r="I2749" s="138"/>
      <c r="J2749" s="138"/>
      <c r="K2749" s="138"/>
      <c r="L2749" s="138">
        <v>0.0</v>
      </c>
      <c r="M2749" s="140" t="str">
        <f>VLOOKUP(text(D2749, "#"),'Master Table'!$A:$F, 6, FALSE)</f>
        <v>#N/A</v>
      </c>
      <c r="N2749" s="141"/>
      <c r="O2749" s="142" t="str">
        <f t="shared" si="1"/>
        <v/>
      </c>
      <c r="P2749" s="143" t="str">
        <f>IF(ISNA(VLOOKUP(CONCAT(M2749,C2749), 'Judge Count DO NOT EDIT'!H:H, 1, FALSE)), "ERROR","")</f>
        <v>ERROR</v>
      </c>
      <c r="Q2749" s="141"/>
      <c r="R2749" s="143"/>
      <c r="S2749" s="139"/>
      <c r="T2749" s="141"/>
    </row>
    <row r="2750">
      <c r="A2750" s="138"/>
      <c r="B2750" s="138"/>
      <c r="C2750" s="138"/>
      <c r="D2750" s="139"/>
      <c r="E2750" s="138"/>
      <c r="F2750" s="138"/>
      <c r="G2750" s="138"/>
      <c r="H2750" s="138"/>
      <c r="I2750" s="138"/>
      <c r="J2750" s="138"/>
      <c r="K2750" s="138"/>
      <c r="L2750" s="138">
        <v>0.0</v>
      </c>
      <c r="M2750" s="140" t="str">
        <f>VLOOKUP(text(D2750, "#"),'Master Table'!$A:$F, 6, FALSE)</f>
        <v>#N/A</v>
      </c>
      <c r="N2750" s="141"/>
      <c r="O2750" s="142" t="str">
        <f t="shared" si="1"/>
        <v/>
      </c>
      <c r="P2750" s="143" t="str">
        <f>IF(ISNA(VLOOKUP(CONCAT(M2750,C2750), 'Judge Count DO NOT EDIT'!H:H, 1, FALSE)), "ERROR","")</f>
        <v>ERROR</v>
      </c>
      <c r="Q2750" s="141"/>
      <c r="R2750" s="143"/>
      <c r="S2750" s="139"/>
      <c r="T2750" s="141"/>
    </row>
    <row r="2751">
      <c r="A2751" s="138"/>
      <c r="B2751" s="138"/>
      <c r="C2751" s="138"/>
      <c r="D2751" s="139"/>
      <c r="E2751" s="138"/>
      <c r="F2751" s="138"/>
      <c r="G2751" s="138"/>
      <c r="H2751" s="138"/>
      <c r="I2751" s="138"/>
      <c r="J2751" s="138"/>
      <c r="K2751" s="138"/>
      <c r="L2751" s="138">
        <v>0.0</v>
      </c>
      <c r="M2751" s="140" t="str">
        <f>VLOOKUP(text(D2751, "#"),'Master Table'!$A:$F, 6, FALSE)</f>
        <v>#N/A</v>
      </c>
      <c r="N2751" s="141"/>
      <c r="O2751" s="142" t="str">
        <f t="shared" si="1"/>
        <v/>
      </c>
      <c r="P2751" s="143" t="str">
        <f>IF(ISNA(VLOOKUP(CONCAT(M2751,C2751), 'Judge Count DO NOT EDIT'!H:H, 1, FALSE)), "ERROR","")</f>
        <v>ERROR</v>
      </c>
      <c r="Q2751" s="141"/>
      <c r="R2751" s="143"/>
      <c r="S2751" s="139"/>
      <c r="T2751" s="141"/>
    </row>
    <row r="2752">
      <c r="A2752" s="138"/>
      <c r="B2752" s="138"/>
      <c r="C2752" s="138"/>
      <c r="D2752" s="139"/>
      <c r="E2752" s="138"/>
      <c r="F2752" s="138"/>
      <c r="G2752" s="138"/>
      <c r="H2752" s="138"/>
      <c r="I2752" s="138"/>
      <c r="J2752" s="138"/>
      <c r="K2752" s="138"/>
      <c r="L2752" s="138">
        <v>0.0</v>
      </c>
      <c r="M2752" s="140" t="str">
        <f>VLOOKUP(text(D2752, "#"),'Master Table'!$A:$F, 6, FALSE)</f>
        <v>#N/A</v>
      </c>
      <c r="N2752" s="141"/>
      <c r="O2752" s="142" t="str">
        <f t="shared" si="1"/>
        <v/>
      </c>
      <c r="P2752" s="143" t="str">
        <f>IF(ISNA(VLOOKUP(CONCAT(M2752,C2752), 'Judge Count DO NOT EDIT'!H:H, 1, FALSE)), "ERROR","")</f>
        <v>ERROR</v>
      </c>
      <c r="Q2752" s="141"/>
      <c r="R2752" s="143"/>
      <c r="S2752" s="139"/>
      <c r="T2752" s="141"/>
    </row>
    <row r="2753">
      <c r="A2753" s="138"/>
      <c r="B2753" s="138"/>
      <c r="C2753" s="138"/>
      <c r="D2753" s="139"/>
      <c r="E2753" s="138"/>
      <c r="F2753" s="138"/>
      <c r="G2753" s="138"/>
      <c r="H2753" s="138"/>
      <c r="I2753" s="138"/>
      <c r="J2753" s="138"/>
      <c r="K2753" s="138"/>
      <c r="L2753" s="138">
        <v>0.0</v>
      </c>
      <c r="M2753" s="140" t="str">
        <f>VLOOKUP(text(D2753, "#"),'Master Table'!$A:$F, 6, FALSE)</f>
        <v>#N/A</v>
      </c>
      <c r="N2753" s="141"/>
      <c r="O2753" s="142" t="str">
        <f t="shared" si="1"/>
        <v/>
      </c>
      <c r="P2753" s="143" t="str">
        <f>IF(ISNA(VLOOKUP(CONCAT(M2753,C2753), 'Judge Count DO NOT EDIT'!H:H, 1, FALSE)), "ERROR","")</f>
        <v>ERROR</v>
      </c>
      <c r="Q2753" s="141"/>
      <c r="R2753" s="143"/>
      <c r="S2753" s="139"/>
      <c r="T2753" s="141"/>
    </row>
    <row r="2754">
      <c r="A2754" s="138"/>
      <c r="B2754" s="138"/>
      <c r="C2754" s="138"/>
      <c r="D2754" s="139"/>
      <c r="E2754" s="138"/>
      <c r="F2754" s="138"/>
      <c r="G2754" s="138"/>
      <c r="H2754" s="138"/>
      <c r="I2754" s="138"/>
      <c r="J2754" s="138"/>
      <c r="K2754" s="138"/>
      <c r="L2754" s="138">
        <v>0.0</v>
      </c>
      <c r="M2754" s="140" t="str">
        <f>VLOOKUP(text(D2754, "#"),'Master Table'!$A:$F, 6, FALSE)</f>
        <v>#N/A</v>
      </c>
      <c r="N2754" s="141"/>
      <c r="O2754" s="142" t="str">
        <f t="shared" si="1"/>
        <v/>
      </c>
      <c r="P2754" s="143" t="str">
        <f>IF(ISNA(VLOOKUP(CONCAT(M2754,C2754), 'Judge Count DO NOT EDIT'!H:H, 1, FALSE)), "ERROR","")</f>
        <v>ERROR</v>
      </c>
      <c r="Q2754" s="141"/>
      <c r="R2754" s="143"/>
      <c r="S2754" s="139"/>
      <c r="T2754" s="141"/>
    </row>
    <row r="2755">
      <c r="A2755" s="138"/>
      <c r="B2755" s="138"/>
      <c r="C2755" s="138"/>
      <c r="D2755" s="139"/>
      <c r="E2755" s="138"/>
      <c r="F2755" s="138"/>
      <c r="G2755" s="138"/>
      <c r="H2755" s="138"/>
      <c r="I2755" s="138"/>
      <c r="J2755" s="138"/>
      <c r="K2755" s="138"/>
      <c r="L2755" s="138">
        <v>0.0</v>
      </c>
      <c r="M2755" s="140" t="str">
        <f>VLOOKUP(text(D2755, "#"),'Master Table'!$A:$F, 6, FALSE)</f>
        <v>#N/A</v>
      </c>
      <c r="N2755" s="141"/>
      <c r="O2755" s="142" t="str">
        <f t="shared" si="1"/>
        <v/>
      </c>
      <c r="P2755" s="143" t="str">
        <f>IF(ISNA(VLOOKUP(CONCAT(M2755,C2755), 'Judge Count DO NOT EDIT'!H:H, 1, FALSE)), "ERROR","")</f>
        <v>ERROR</v>
      </c>
      <c r="Q2755" s="141"/>
      <c r="R2755" s="143"/>
      <c r="S2755" s="139"/>
      <c r="T2755" s="141"/>
    </row>
    <row r="2756">
      <c r="A2756" s="138"/>
      <c r="B2756" s="138"/>
      <c r="C2756" s="138"/>
      <c r="D2756" s="139"/>
      <c r="E2756" s="138"/>
      <c r="F2756" s="138"/>
      <c r="G2756" s="138"/>
      <c r="H2756" s="138"/>
      <c r="I2756" s="138"/>
      <c r="J2756" s="138"/>
      <c r="K2756" s="138"/>
      <c r="L2756" s="138">
        <v>0.0</v>
      </c>
      <c r="M2756" s="140" t="str">
        <f>VLOOKUP(text(D2756, "#"),'Master Table'!$A:$F, 6, FALSE)</f>
        <v>#N/A</v>
      </c>
      <c r="N2756" s="141"/>
      <c r="O2756" s="142" t="str">
        <f t="shared" si="1"/>
        <v/>
      </c>
      <c r="P2756" s="143" t="str">
        <f>IF(ISNA(VLOOKUP(CONCAT(M2756,C2756), 'Judge Count DO NOT EDIT'!H:H, 1, FALSE)), "ERROR","")</f>
        <v>ERROR</v>
      </c>
      <c r="Q2756" s="141"/>
      <c r="R2756" s="143"/>
      <c r="S2756" s="139"/>
      <c r="T2756" s="141"/>
    </row>
    <row r="2757">
      <c r="A2757" s="138"/>
      <c r="B2757" s="138"/>
      <c r="C2757" s="138"/>
      <c r="D2757" s="139"/>
      <c r="E2757" s="138"/>
      <c r="F2757" s="138"/>
      <c r="G2757" s="138"/>
      <c r="H2757" s="138"/>
      <c r="I2757" s="138"/>
      <c r="J2757" s="138"/>
      <c r="K2757" s="138"/>
      <c r="L2757" s="138">
        <v>0.0</v>
      </c>
      <c r="M2757" s="140" t="str">
        <f>VLOOKUP(text(D2757, "#"),'Master Table'!$A:$F, 6, FALSE)</f>
        <v>#N/A</v>
      </c>
      <c r="N2757" s="141"/>
      <c r="O2757" s="142" t="str">
        <f t="shared" si="1"/>
        <v/>
      </c>
      <c r="P2757" s="143" t="str">
        <f>IF(ISNA(VLOOKUP(CONCAT(M2757,C2757), 'Judge Count DO NOT EDIT'!H:H, 1, FALSE)), "ERROR","")</f>
        <v>ERROR</v>
      </c>
      <c r="Q2757" s="141"/>
      <c r="R2757" s="143"/>
      <c r="S2757" s="139"/>
      <c r="T2757" s="141"/>
    </row>
    <row r="2758">
      <c r="A2758" s="138"/>
      <c r="B2758" s="138"/>
      <c r="C2758" s="138"/>
      <c r="D2758" s="139"/>
      <c r="E2758" s="138"/>
      <c r="F2758" s="138"/>
      <c r="G2758" s="138"/>
      <c r="H2758" s="138"/>
      <c r="I2758" s="138"/>
      <c r="J2758" s="138"/>
      <c r="K2758" s="138"/>
      <c r="L2758" s="138">
        <v>0.0</v>
      </c>
      <c r="M2758" s="140" t="str">
        <f>VLOOKUP(text(D2758, "#"),'Master Table'!$A:$F, 6, FALSE)</f>
        <v>#N/A</v>
      </c>
      <c r="N2758" s="141"/>
      <c r="O2758" s="142" t="str">
        <f t="shared" si="1"/>
        <v/>
      </c>
      <c r="P2758" s="143" t="str">
        <f>IF(ISNA(VLOOKUP(CONCAT(M2758,C2758), 'Judge Count DO NOT EDIT'!H:H, 1, FALSE)), "ERROR","")</f>
        <v>ERROR</v>
      </c>
      <c r="Q2758" s="141"/>
      <c r="R2758" s="143"/>
      <c r="S2758" s="139"/>
      <c r="T2758" s="141"/>
    </row>
    <row r="2759">
      <c r="A2759" s="138"/>
      <c r="B2759" s="138"/>
      <c r="C2759" s="138"/>
      <c r="D2759" s="139"/>
      <c r="E2759" s="138"/>
      <c r="F2759" s="138"/>
      <c r="G2759" s="138"/>
      <c r="H2759" s="138"/>
      <c r="I2759" s="138"/>
      <c r="J2759" s="138"/>
      <c r="K2759" s="138"/>
      <c r="L2759" s="138">
        <v>0.0</v>
      </c>
      <c r="M2759" s="140" t="str">
        <f>VLOOKUP(text(D2759, "#"),'Master Table'!$A:$F, 6, FALSE)</f>
        <v>#N/A</v>
      </c>
      <c r="N2759" s="141"/>
      <c r="O2759" s="142" t="str">
        <f t="shared" si="1"/>
        <v/>
      </c>
      <c r="P2759" s="143" t="str">
        <f>IF(ISNA(VLOOKUP(CONCAT(M2759,C2759), 'Judge Count DO NOT EDIT'!H:H, 1, FALSE)), "ERROR","")</f>
        <v>ERROR</v>
      </c>
      <c r="Q2759" s="141"/>
      <c r="R2759" s="143"/>
      <c r="S2759" s="139"/>
      <c r="T2759" s="141"/>
    </row>
    <row r="2760">
      <c r="A2760" s="138"/>
      <c r="B2760" s="138"/>
      <c r="C2760" s="138"/>
      <c r="D2760" s="139"/>
      <c r="E2760" s="138"/>
      <c r="F2760" s="138"/>
      <c r="G2760" s="138"/>
      <c r="H2760" s="138"/>
      <c r="I2760" s="138"/>
      <c r="J2760" s="138"/>
      <c r="K2760" s="138"/>
      <c r="L2760" s="138">
        <v>0.0</v>
      </c>
      <c r="M2760" s="140" t="str">
        <f>VLOOKUP(text(D2760, "#"),'Master Table'!$A:$F, 6, FALSE)</f>
        <v>#N/A</v>
      </c>
      <c r="N2760" s="141"/>
      <c r="O2760" s="142" t="str">
        <f t="shared" si="1"/>
        <v/>
      </c>
      <c r="P2760" s="143" t="str">
        <f>IF(ISNA(VLOOKUP(CONCAT(M2760,C2760), 'Judge Count DO NOT EDIT'!H:H, 1, FALSE)), "ERROR","")</f>
        <v>ERROR</v>
      </c>
      <c r="Q2760" s="141"/>
      <c r="R2760" s="143"/>
      <c r="S2760" s="139"/>
      <c r="T2760" s="141"/>
    </row>
    <row r="2761">
      <c r="A2761" s="138"/>
      <c r="B2761" s="138"/>
      <c r="C2761" s="138"/>
      <c r="D2761" s="139"/>
      <c r="E2761" s="138"/>
      <c r="F2761" s="138"/>
      <c r="G2761" s="138"/>
      <c r="H2761" s="138"/>
      <c r="I2761" s="138"/>
      <c r="J2761" s="138"/>
      <c r="K2761" s="138"/>
      <c r="L2761" s="138">
        <v>0.0</v>
      </c>
      <c r="M2761" s="140" t="str">
        <f>VLOOKUP(text(D2761, "#"),'Master Table'!$A:$F, 6, FALSE)</f>
        <v>#N/A</v>
      </c>
      <c r="N2761" s="141"/>
      <c r="O2761" s="142" t="str">
        <f t="shared" si="1"/>
        <v/>
      </c>
      <c r="P2761" s="143" t="str">
        <f>IF(ISNA(VLOOKUP(CONCAT(M2761,C2761), 'Judge Count DO NOT EDIT'!H:H, 1, FALSE)), "ERROR","")</f>
        <v>ERROR</v>
      </c>
      <c r="Q2761" s="141"/>
      <c r="R2761" s="143"/>
      <c r="S2761" s="139"/>
      <c r="T2761" s="141"/>
    </row>
    <row r="2762">
      <c r="A2762" s="138"/>
      <c r="B2762" s="138"/>
      <c r="C2762" s="138"/>
      <c r="D2762" s="139"/>
      <c r="E2762" s="138"/>
      <c r="F2762" s="138"/>
      <c r="G2762" s="138"/>
      <c r="H2762" s="138"/>
      <c r="I2762" s="138"/>
      <c r="J2762" s="138"/>
      <c r="K2762" s="138"/>
      <c r="L2762" s="138">
        <v>0.0</v>
      </c>
      <c r="M2762" s="140" t="str">
        <f>VLOOKUP(text(D2762, "#"),'Master Table'!$A:$F, 6, FALSE)</f>
        <v>#N/A</v>
      </c>
      <c r="N2762" s="141"/>
      <c r="O2762" s="142" t="str">
        <f t="shared" si="1"/>
        <v/>
      </c>
      <c r="P2762" s="143" t="str">
        <f>IF(ISNA(VLOOKUP(CONCAT(M2762,C2762), 'Judge Count DO NOT EDIT'!H:H, 1, FALSE)), "ERROR","")</f>
        <v>ERROR</v>
      </c>
      <c r="Q2762" s="141"/>
      <c r="R2762" s="143"/>
      <c r="S2762" s="139"/>
      <c r="T2762" s="141"/>
    </row>
    <row r="2763">
      <c r="A2763" s="138"/>
      <c r="B2763" s="138"/>
      <c r="C2763" s="138"/>
      <c r="D2763" s="139"/>
      <c r="E2763" s="138"/>
      <c r="F2763" s="138"/>
      <c r="G2763" s="138"/>
      <c r="H2763" s="138"/>
      <c r="I2763" s="138"/>
      <c r="J2763" s="138"/>
      <c r="K2763" s="138"/>
      <c r="L2763" s="138">
        <v>0.0</v>
      </c>
      <c r="M2763" s="140" t="str">
        <f>VLOOKUP(text(D2763, "#"),'Master Table'!$A:$F, 6, FALSE)</f>
        <v>#N/A</v>
      </c>
      <c r="N2763" s="141"/>
      <c r="O2763" s="142" t="str">
        <f t="shared" si="1"/>
        <v/>
      </c>
      <c r="P2763" s="143" t="str">
        <f>IF(ISNA(VLOOKUP(CONCAT(M2763,C2763), 'Judge Count DO NOT EDIT'!H:H, 1, FALSE)), "ERROR","")</f>
        <v>ERROR</v>
      </c>
      <c r="Q2763" s="141"/>
      <c r="R2763" s="143"/>
      <c r="S2763" s="139"/>
      <c r="T2763" s="141"/>
    </row>
    <row r="2764">
      <c r="A2764" s="138"/>
      <c r="B2764" s="138"/>
      <c r="C2764" s="138"/>
      <c r="D2764" s="139"/>
      <c r="E2764" s="138"/>
      <c r="F2764" s="138"/>
      <c r="G2764" s="138"/>
      <c r="H2764" s="138"/>
      <c r="I2764" s="138"/>
      <c r="J2764" s="138"/>
      <c r="K2764" s="138"/>
      <c r="L2764" s="138">
        <v>0.0</v>
      </c>
      <c r="M2764" s="140" t="str">
        <f>VLOOKUP(text(D2764, "#"),'Master Table'!$A:$F, 6, FALSE)</f>
        <v>#N/A</v>
      </c>
      <c r="N2764" s="141"/>
      <c r="O2764" s="142" t="str">
        <f t="shared" si="1"/>
        <v/>
      </c>
      <c r="P2764" s="143" t="str">
        <f>IF(ISNA(VLOOKUP(CONCAT(M2764,C2764), 'Judge Count DO NOT EDIT'!H:H, 1, FALSE)), "ERROR","")</f>
        <v>ERROR</v>
      </c>
      <c r="Q2764" s="141"/>
      <c r="R2764" s="143"/>
      <c r="S2764" s="139"/>
      <c r="T2764" s="141"/>
    </row>
    <row r="2765">
      <c r="A2765" s="138"/>
      <c r="B2765" s="138"/>
      <c r="C2765" s="138"/>
      <c r="D2765" s="139"/>
      <c r="E2765" s="138"/>
      <c r="F2765" s="138"/>
      <c r="G2765" s="138"/>
      <c r="H2765" s="138"/>
      <c r="I2765" s="138"/>
      <c r="J2765" s="138"/>
      <c r="K2765" s="138"/>
      <c r="L2765" s="138">
        <v>0.0</v>
      </c>
      <c r="M2765" s="140" t="str">
        <f>VLOOKUP(text(D2765, "#"),'Master Table'!$A:$F, 6, FALSE)</f>
        <v>#N/A</v>
      </c>
      <c r="N2765" s="141"/>
      <c r="O2765" s="142" t="str">
        <f t="shared" si="1"/>
        <v/>
      </c>
      <c r="P2765" s="143" t="str">
        <f>IF(ISNA(VLOOKUP(CONCAT(M2765,C2765), 'Judge Count DO NOT EDIT'!H:H, 1, FALSE)), "ERROR","")</f>
        <v>ERROR</v>
      </c>
      <c r="Q2765" s="141"/>
      <c r="R2765" s="143"/>
      <c r="S2765" s="139"/>
      <c r="T2765" s="141"/>
    </row>
    <row r="2766">
      <c r="A2766" s="138"/>
      <c r="B2766" s="138"/>
      <c r="C2766" s="138"/>
      <c r="D2766" s="139"/>
      <c r="E2766" s="138"/>
      <c r="F2766" s="138"/>
      <c r="G2766" s="138"/>
      <c r="H2766" s="138"/>
      <c r="I2766" s="138"/>
      <c r="J2766" s="138"/>
      <c r="K2766" s="138"/>
      <c r="L2766" s="138">
        <v>0.0</v>
      </c>
      <c r="M2766" s="140" t="str">
        <f>VLOOKUP(text(D2766, "#"),'Master Table'!$A:$F, 6, FALSE)</f>
        <v>#N/A</v>
      </c>
      <c r="N2766" s="141"/>
      <c r="O2766" s="142" t="str">
        <f t="shared" si="1"/>
        <v/>
      </c>
      <c r="P2766" s="143" t="str">
        <f>IF(ISNA(VLOOKUP(CONCAT(M2766,C2766), 'Judge Count DO NOT EDIT'!H:H, 1, FALSE)), "ERROR","")</f>
        <v>ERROR</v>
      </c>
      <c r="Q2766" s="141"/>
      <c r="R2766" s="143"/>
      <c r="S2766" s="139"/>
      <c r="T2766" s="141"/>
    </row>
    <row r="2767">
      <c r="A2767" s="138"/>
      <c r="B2767" s="138"/>
      <c r="C2767" s="138"/>
      <c r="D2767" s="139"/>
      <c r="E2767" s="138"/>
      <c r="F2767" s="138"/>
      <c r="G2767" s="138"/>
      <c r="H2767" s="138"/>
      <c r="I2767" s="138"/>
      <c r="J2767" s="138"/>
      <c r="K2767" s="138"/>
      <c r="L2767" s="138">
        <v>0.0</v>
      </c>
      <c r="M2767" s="140" t="str">
        <f>VLOOKUP(text(D2767, "#"),'Master Table'!$A:$F, 6, FALSE)</f>
        <v>#N/A</v>
      </c>
      <c r="N2767" s="141"/>
      <c r="O2767" s="142" t="str">
        <f t="shared" si="1"/>
        <v/>
      </c>
      <c r="P2767" s="143" t="str">
        <f>IF(ISNA(VLOOKUP(CONCAT(M2767,C2767), 'Judge Count DO NOT EDIT'!H:H, 1, FALSE)), "ERROR","")</f>
        <v>ERROR</v>
      </c>
      <c r="Q2767" s="141"/>
      <c r="R2767" s="143"/>
      <c r="S2767" s="139"/>
      <c r="T2767" s="141"/>
    </row>
    <row r="2768">
      <c r="A2768" s="138"/>
      <c r="B2768" s="138"/>
      <c r="C2768" s="138"/>
      <c r="D2768" s="139"/>
      <c r="E2768" s="138"/>
      <c r="F2768" s="138"/>
      <c r="G2768" s="138"/>
      <c r="H2768" s="138"/>
      <c r="I2768" s="138"/>
      <c r="J2768" s="138"/>
      <c r="K2768" s="138"/>
      <c r="L2768" s="138">
        <v>0.0</v>
      </c>
      <c r="M2768" s="140" t="str">
        <f>VLOOKUP(text(D2768, "#"),'Master Table'!$A:$F, 6, FALSE)</f>
        <v>#N/A</v>
      </c>
      <c r="N2768" s="141"/>
      <c r="O2768" s="142" t="str">
        <f t="shared" si="1"/>
        <v/>
      </c>
      <c r="P2768" s="143" t="str">
        <f>IF(ISNA(VLOOKUP(CONCAT(M2768,C2768), 'Judge Count DO NOT EDIT'!H:H, 1, FALSE)), "ERROR","")</f>
        <v>ERROR</v>
      </c>
      <c r="Q2768" s="141"/>
      <c r="R2768" s="143"/>
      <c r="S2768" s="139"/>
      <c r="T2768" s="141"/>
    </row>
    <row r="2769">
      <c r="A2769" s="138"/>
      <c r="B2769" s="138"/>
      <c r="C2769" s="138"/>
      <c r="D2769" s="139"/>
      <c r="E2769" s="138"/>
      <c r="F2769" s="138"/>
      <c r="G2769" s="138"/>
      <c r="H2769" s="138"/>
      <c r="I2769" s="138"/>
      <c r="J2769" s="138"/>
      <c r="K2769" s="138"/>
      <c r="L2769" s="138">
        <v>0.0</v>
      </c>
      <c r="M2769" s="140" t="str">
        <f>VLOOKUP(text(D2769, "#"),'Master Table'!$A:$F, 6, FALSE)</f>
        <v>#N/A</v>
      </c>
      <c r="N2769" s="141"/>
      <c r="O2769" s="142" t="str">
        <f t="shared" si="1"/>
        <v/>
      </c>
      <c r="P2769" s="143" t="str">
        <f>IF(ISNA(VLOOKUP(CONCAT(M2769,C2769), 'Judge Count DO NOT EDIT'!H:H, 1, FALSE)), "ERROR","")</f>
        <v>ERROR</v>
      </c>
      <c r="Q2769" s="141"/>
      <c r="R2769" s="143"/>
      <c r="S2769" s="139"/>
      <c r="T2769" s="141"/>
    </row>
    <row r="2770">
      <c r="A2770" s="138"/>
      <c r="B2770" s="138"/>
      <c r="C2770" s="138"/>
      <c r="D2770" s="139"/>
      <c r="E2770" s="138"/>
      <c r="F2770" s="138"/>
      <c r="G2770" s="138"/>
      <c r="H2770" s="138"/>
      <c r="I2770" s="138"/>
      <c r="J2770" s="138"/>
      <c r="K2770" s="138"/>
      <c r="L2770" s="138">
        <v>0.0</v>
      </c>
      <c r="M2770" s="140" t="str">
        <f>VLOOKUP(text(D2770, "#"),'Master Table'!$A:$F, 6, FALSE)</f>
        <v>#N/A</v>
      </c>
      <c r="N2770" s="141"/>
      <c r="O2770" s="142" t="str">
        <f t="shared" si="1"/>
        <v/>
      </c>
      <c r="P2770" s="143" t="str">
        <f>IF(ISNA(VLOOKUP(CONCAT(M2770,C2770), 'Judge Count DO NOT EDIT'!H:H, 1, FALSE)), "ERROR","")</f>
        <v>ERROR</v>
      </c>
      <c r="Q2770" s="141"/>
      <c r="R2770" s="143"/>
      <c r="S2770" s="139"/>
      <c r="T2770" s="141"/>
    </row>
    <row r="2771">
      <c r="A2771" s="138"/>
      <c r="B2771" s="138"/>
      <c r="C2771" s="138"/>
      <c r="D2771" s="139"/>
      <c r="E2771" s="138"/>
      <c r="F2771" s="138"/>
      <c r="G2771" s="138"/>
      <c r="H2771" s="138"/>
      <c r="I2771" s="138"/>
      <c r="J2771" s="138"/>
      <c r="K2771" s="138"/>
      <c r="L2771" s="138">
        <v>0.0</v>
      </c>
      <c r="M2771" s="140" t="str">
        <f>VLOOKUP(text(D2771, "#"),'Master Table'!$A:$F, 6, FALSE)</f>
        <v>#N/A</v>
      </c>
      <c r="N2771" s="141"/>
      <c r="O2771" s="142" t="str">
        <f t="shared" si="1"/>
        <v/>
      </c>
      <c r="P2771" s="143" t="str">
        <f>IF(ISNA(VLOOKUP(CONCAT(M2771,C2771), 'Judge Count DO NOT EDIT'!H:H, 1, FALSE)), "ERROR","")</f>
        <v>ERROR</v>
      </c>
      <c r="Q2771" s="141"/>
      <c r="R2771" s="143"/>
      <c r="S2771" s="139"/>
      <c r="T2771" s="141"/>
    </row>
    <row r="2772">
      <c r="A2772" s="138"/>
      <c r="B2772" s="138"/>
      <c r="C2772" s="138"/>
      <c r="D2772" s="139"/>
      <c r="E2772" s="138"/>
      <c r="F2772" s="138"/>
      <c r="G2772" s="138"/>
      <c r="H2772" s="138"/>
      <c r="I2772" s="138"/>
      <c r="J2772" s="138"/>
      <c r="K2772" s="138"/>
      <c r="L2772" s="138">
        <v>0.0</v>
      </c>
      <c r="M2772" s="140" t="str">
        <f>VLOOKUP(text(D2772, "#"),'Master Table'!$A:$F, 6, FALSE)</f>
        <v>#N/A</v>
      </c>
      <c r="N2772" s="141"/>
      <c r="O2772" s="142" t="str">
        <f t="shared" si="1"/>
        <v/>
      </c>
      <c r="P2772" s="143" t="str">
        <f>IF(ISNA(VLOOKUP(CONCAT(M2772,C2772), 'Judge Count DO NOT EDIT'!H:H, 1, FALSE)), "ERROR","")</f>
        <v>ERROR</v>
      </c>
      <c r="Q2772" s="141"/>
      <c r="R2772" s="143"/>
      <c r="S2772" s="139"/>
      <c r="T2772" s="141"/>
    </row>
    <row r="2773">
      <c r="A2773" s="138"/>
      <c r="B2773" s="138"/>
      <c r="C2773" s="138"/>
      <c r="D2773" s="139"/>
      <c r="E2773" s="138"/>
      <c r="F2773" s="138"/>
      <c r="G2773" s="138"/>
      <c r="H2773" s="138"/>
      <c r="I2773" s="138"/>
      <c r="J2773" s="138"/>
      <c r="K2773" s="138"/>
      <c r="L2773" s="138">
        <v>0.0</v>
      </c>
      <c r="M2773" s="140" t="str">
        <f>VLOOKUP(text(D2773, "#"),'Master Table'!$A:$F, 6, FALSE)</f>
        <v>#N/A</v>
      </c>
      <c r="N2773" s="141"/>
      <c r="O2773" s="142" t="str">
        <f t="shared" si="1"/>
        <v/>
      </c>
      <c r="P2773" s="143" t="str">
        <f>IF(ISNA(VLOOKUP(CONCAT(M2773,C2773), 'Judge Count DO NOT EDIT'!H:H, 1, FALSE)), "ERROR","")</f>
        <v>ERROR</v>
      </c>
      <c r="Q2773" s="141"/>
      <c r="R2773" s="143"/>
      <c r="S2773" s="139"/>
      <c r="T2773" s="141"/>
    </row>
    <row r="2774">
      <c r="A2774" s="138"/>
      <c r="B2774" s="138"/>
      <c r="C2774" s="138"/>
      <c r="D2774" s="139"/>
      <c r="E2774" s="138"/>
      <c r="F2774" s="138"/>
      <c r="G2774" s="138"/>
      <c r="H2774" s="138"/>
      <c r="I2774" s="138"/>
      <c r="J2774" s="138"/>
      <c r="K2774" s="138"/>
      <c r="L2774" s="138">
        <v>0.0</v>
      </c>
      <c r="M2774" s="140" t="str">
        <f>VLOOKUP(text(D2774, "#"),'Master Table'!$A:$F, 6, FALSE)</f>
        <v>#N/A</v>
      </c>
      <c r="N2774" s="141"/>
      <c r="O2774" s="142" t="str">
        <f t="shared" si="1"/>
        <v/>
      </c>
      <c r="P2774" s="143" t="str">
        <f>IF(ISNA(VLOOKUP(CONCAT(M2774,C2774), 'Judge Count DO NOT EDIT'!H:H, 1, FALSE)), "ERROR","")</f>
        <v>ERROR</v>
      </c>
      <c r="Q2774" s="141"/>
      <c r="R2774" s="143"/>
      <c r="S2774" s="139"/>
      <c r="T2774" s="141"/>
    </row>
    <row r="2775">
      <c r="A2775" s="138"/>
      <c r="B2775" s="138"/>
      <c r="C2775" s="138"/>
      <c r="D2775" s="139"/>
      <c r="E2775" s="138"/>
      <c r="F2775" s="138"/>
      <c r="G2775" s="138"/>
      <c r="H2775" s="138"/>
      <c r="I2775" s="138"/>
      <c r="J2775" s="138"/>
      <c r="K2775" s="138"/>
      <c r="L2775" s="138">
        <v>0.0</v>
      </c>
      <c r="M2775" s="140" t="str">
        <f>VLOOKUP(text(D2775, "#"),'Master Table'!$A:$F, 6, FALSE)</f>
        <v>#N/A</v>
      </c>
      <c r="N2775" s="141"/>
      <c r="O2775" s="142" t="str">
        <f t="shared" si="1"/>
        <v/>
      </c>
      <c r="P2775" s="143" t="str">
        <f>IF(ISNA(VLOOKUP(CONCAT(M2775,C2775), 'Judge Count DO NOT EDIT'!H:H, 1, FALSE)), "ERROR","")</f>
        <v>ERROR</v>
      </c>
      <c r="Q2775" s="141"/>
      <c r="R2775" s="143"/>
      <c r="S2775" s="139"/>
      <c r="T2775" s="141"/>
    </row>
    <row r="2776">
      <c r="A2776" s="138"/>
      <c r="B2776" s="138"/>
      <c r="C2776" s="138"/>
      <c r="D2776" s="139"/>
      <c r="E2776" s="138"/>
      <c r="F2776" s="138"/>
      <c r="G2776" s="138"/>
      <c r="H2776" s="138"/>
      <c r="I2776" s="138"/>
      <c r="J2776" s="138"/>
      <c r="K2776" s="138"/>
      <c r="L2776" s="138">
        <v>0.0</v>
      </c>
      <c r="M2776" s="140" t="str">
        <f>VLOOKUP(text(D2776, "#"),'Master Table'!$A:$F, 6, FALSE)</f>
        <v>#N/A</v>
      </c>
      <c r="N2776" s="141"/>
      <c r="O2776" s="142" t="str">
        <f t="shared" si="1"/>
        <v/>
      </c>
      <c r="P2776" s="143" t="str">
        <f>IF(ISNA(VLOOKUP(CONCAT(M2776,C2776), 'Judge Count DO NOT EDIT'!H:H, 1, FALSE)), "ERROR","")</f>
        <v>ERROR</v>
      </c>
      <c r="Q2776" s="141"/>
      <c r="R2776" s="143"/>
      <c r="S2776" s="139"/>
      <c r="T2776" s="141"/>
    </row>
    <row r="2777">
      <c r="A2777" s="138"/>
      <c r="B2777" s="138"/>
      <c r="C2777" s="138"/>
      <c r="D2777" s="139"/>
      <c r="E2777" s="138"/>
      <c r="F2777" s="138"/>
      <c r="G2777" s="138"/>
      <c r="H2777" s="138"/>
      <c r="I2777" s="138"/>
      <c r="J2777" s="138"/>
      <c r="K2777" s="138"/>
      <c r="L2777" s="138">
        <v>0.0</v>
      </c>
      <c r="M2777" s="140" t="str">
        <f>VLOOKUP(text(D2777, "#"),'Master Table'!$A:$F, 6, FALSE)</f>
        <v>#N/A</v>
      </c>
      <c r="N2777" s="141"/>
      <c r="O2777" s="142" t="str">
        <f t="shared" si="1"/>
        <v/>
      </c>
      <c r="P2777" s="143" t="str">
        <f>IF(ISNA(VLOOKUP(CONCAT(M2777,C2777), 'Judge Count DO NOT EDIT'!H:H, 1, FALSE)), "ERROR","")</f>
        <v>ERROR</v>
      </c>
      <c r="Q2777" s="141"/>
      <c r="R2777" s="143"/>
      <c r="S2777" s="139"/>
      <c r="T2777" s="141"/>
    </row>
    <row r="2778">
      <c r="A2778" s="138"/>
      <c r="B2778" s="138"/>
      <c r="C2778" s="138"/>
      <c r="D2778" s="139"/>
      <c r="E2778" s="138"/>
      <c r="F2778" s="138"/>
      <c r="G2778" s="138"/>
      <c r="H2778" s="138"/>
      <c r="I2778" s="138"/>
      <c r="J2778" s="138"/>
      <c r="K2778" s="138"/>
      <c r="L2778" s="138">
        <v>0.0</v>
      </c>
      <c r="M2778" s="140" t="str">
        <f>VLOOKUP(text(D2778, "#"),'Master Table'!$A:$F, 6, FALSE)</f>
        <v>#N/A</v>
      </c>
      <c r="N2778" s="141"/>
      <c r="O2778" s="142" t="str">
        <f t="shared" si="1"/>
        <v/>
      </c>
      <c r="P2778" s="143" t="str">
        <f>IF(ISNA(VLOOKUP(CONCAT(M2778,C2778), 'Judge Count DO NOT EDIT'!H:H, 1, FALSE)), "ERROR","")</f>
        <v>ERROR</v>
      </c>
      <c r="Q2778" s="141"/>
      <c r="R2778" s="143"/>
      <c r="S2778" s="139"/>
      <c r="T2778" s="141"/>
    </row>
    <row r="2779">
      <c r="A2779" s="138"/>
      <c r="B2779" s="138"/>
      <c r="C2779" s="138"/>
      <c r="D2779" s="139"/>
      <c r="E2779" s="138"/>
      <c r="F2779" s="138"/>
      <c r="G2779" s="138"/>
      <c r="H2779" s="138"/>
      <c r="I2779" s="138"/>
      <c r="J2779" s="138"/>
      <c r="K2779" s="138"/>
      <c r="L2779" s="138">
        <v>0.0</v>
      </c>
      <c r="M2779" s="140" t="str">
        <f>VLOOKUP(text(D2779, "#"),'Master Table'!$A:$F, 6, FALSE)</f>
        <v>#N/A</v>
      </c>
      <c r="N2779" s="141"/>
      <c r="O2779" s="142" t="str">
        <f t="shared" si="1"/>
        <v/>
      </c>
      <c r="P2779" s="143" t="str">
        <f>IF(ISNA(VLOOKUP(CONCAT(M2779,C2779), 'Judge Count DO NOT EDIT'!H:H, 1, FALSE)), "ERROR","")</f>
        <v>ERROR</v>
      </c>
      <c r="Q2779" s="141"/>
      <c r="R2779" s="143"/>
      <c r="S2779" s="139"/>
      <c r="T2779" s="141"/>
    </row>
    <row r="2780">
      <c r="A2780" s="138"/>
      <c r="B2780" s="138"/>
      <c r="C2780" s="138"/>
      <c r="D2780" s="139"/>
      <c r="E2780" s="138"/>
      <c r="F2780" s="138"/>
      <c r="G2780" s="138"/>
      <c r="H2780" s="138"/>
      <c r="I2780" s="138"/>
      <c r="J2780" s="138"/>
      <c r="K2780" s="138"/>
      <c r="L2780" s="138">
        <v>0.0</v>
      </c>
      <c r="M2780" s="140" t="str">
        <f>VLOOKUP(text(D2780, "#"),'Master Table'!$A:$F, 6, FALSE)</f>
        <v>#N/A</v>
      </c>
      <c r="N2780" s="141"/>
      <c r="O2780" s="142" t="str">
        <f t="shared" si="1"/>
        <v/>
      </c>
      <c r="P2780" s="143" t="str">
        <f>IF(ISNA(VLOOKUP(CONCAT(M2780,C2780), 'Judge Count DO NOT EDIT'!H:H, 1, FALSE)), "ERROR","")</f>
        <v>ERROR</v>
      </c>
      <c r="Q2780" s="141"/>
      <c r="R2780" s="143"/>
      <c r="S2780" s="139"/>
      <c r="T2780" s="141"/>
    </row>
    <row r="2781">
      <c r="A2781" s="138"/>
      <c r="B2781" s="138"/>
      <c r="C2781" s="138"/>
      <c r="D2781" s="139"/>
      <c r="E2781" s="138"/>
      <c r="F2781" s="138"/>
      <c r="G2781" s="138"/>
      <c r="H2781" s="138"/>
      <c r="I2781" s="138"/>
      <c r="J2781" s="138"/>
      <c r="K2781" s="138"/>
      <c r="L2781" s="138">
        <v>0.0</v>
      </c>
      <c r="M2781" s="140" t="str">
        <f>VLOOKUP(text(D2781, "#"),'Master Table'!$A:$F, 6, FALSE)</f>
        <v>#N/A</v>
      </c>
      <c r="N2781" s="141"/>
      <c r="O2781" s="142" t="str">
        <f t="shared" si="1"/>
        <v/>
      </c>
      <c r="P2781" s="143" t="str">
        <f>IF(ISNA(VLOOKUP(CONCAT(M2781,C2781), 'Judge Count DO NOT EDIT'!H:H, 1, FALSE)), "ERROR","")</f>
        <v>ERROR</v>
      </c>
      <c r="Q2781" s="141"/>
      <c r="R2781" s="143"/>
      <c r="S2781" s="139"/>
      <c r="T2781" s="141"/>
    </row>
    <row r="2782">
      <c r="A2782" s="138"/>
      <c r="B2782" s="138"/>
      <c r="C2782" s="138"/>
      <c r="D2782" s="139"/>
      <c r="E2782" s="138"/>
      <c r="F2782" s="138"/>
      <c r="G2782" s="138"/>
      <c r="H2782" s="138"/>
      <c r="I2782" s="138"/>
      <c r="J2782" s="138"/>
      <c r="K2782" s="138"/>
      <c r="L2782" s="138">
        <v>0.0</v>
      </c>
      <c r="M2782" s="140" t="str">
        <f>VLOOKUP(text(D2782, "#"),'Master Table'!$A:$F, 6, FALSE)</f>
        <v>#N/A</v>
      </c>
      <c r="N2782" s="141"/>
      <c r="O2782" s="142" t="str">
        <f t="shared" si="1"/>
        <v/>
      </c>
      <c r="P2782" s="143" t="str">
        <f>IF(ISNA(VLOOKUP(CONCAT(M2782,C2782), 'Judge Count DO NOT EDIT'!H:H, 1, FALSE)), "ERROR","")</f>
        <v>ERROR</v>
      </c>
      <c r="Q2782" s="141"/>
      <c r="R2782" s="143"/>
      <c r="S2782" s="139"/>
      <c r="T2782" s="141"/>
    </row>
    <row r="2783">
      <c r="A2783" s="138"/>
      <c r="B2783" s="138"/>
      <c r="C2783" s="138"/>
      <c r="D2783" s="139"/>
      <c r="E2783" s="138"/>
      <c r="F2783" s="138"/>
      <c r="G2783" s="138"/>
      <c r="H2783" s="138"/>
      <c r="I2783" s="138"/>
      <c r="J2783" s="138"/>
      <c r="K2783" s="138"/>
      <c r="L2783" s="138">
        <v>0.0</v>
      </c>
      <c r="M2783" s="140" t="str">
        <f>VLOOKUP(text(D2783, "#"),'Master Table'!$A:$F, 6, FALSE)</f>
        <v>#N/A</v>
      </c>
      <c r="N2783" s="141"/>
      <c r="O2783" s="142" t="str">
        <f t="shared" si="1"/>
        <v/>
      </c>
      <c r="P2783" s="143" t="str">
        <f>IF(ISNA(VLOOKUP(CONCAT(M2783,C2783), 'Judge Count DO NOT EDIT'!H:H, 1, FALSE)), "ERROR","")</f>
        <v>ERROR</v>
      </c>
      <c r="Q2783" s="141"/>
      <c r="R2783" s="143"/>
      <c r="S2783" s="139"/>
      <c r="T2783" s="141"/>
    </row>
    <row r="2784">
      <c r="A2784" s="138"/>
      <c r="B2784" s="138"/>
      <c r="C2784" s="138"/>
      <c r="D2784" s="139"/>
      <c r="E2784" s="138"/>
      <c r="F2784" s="138"/>
      <c r="G2784" s="138"/>
      <c r="H2784" s="138"/>
      <c r="I2784" s="138"/>
      <c r="J2784" s="138"/>
      <c r="K2784" s="138"/>
      <c r="L2784" s="138">
        <v>0.0</v>
      </c>
      <c r="M2784" s="140" t="str">
        <f>VLOOKUP(text(D2784, "#"),'Master Table'!$A:$F, 6, FALSE)</f>
        <v>#N/A</v>
      </c>
      <c r="N2784" s="141"/>
      <c r="O2784" s="142" t="str">
        <f t="shared" si="1"/>
        <v/>
      </c>
      <c r="P2784" s="143" t="str">
        <f>IF(ISNA(VLOOKUP(CONCAT(M2784,C2784), 'Judge Count DO NOT EDIT'!H:H, 1, FALSE)), "ERROR","")</f>
        <v>ERROR</v>
      </c>
      <c r="Q2784" s="141"/>
      <c r="R2784" s="143"/>
      <c r="S2784" s="139"/>
      <c r="T2784" s="141"/>
    </row>
    <row r="2785">
      <c r="A2785" s="138"/>
      <c r="B2785" s="138"/>
      <c r="C2785" s="138"/>
      <c r="D2785" s="139"/>
      <c r="E2785" s="138"/>
      <c r="F2785" s="138"/>
      <c r="G2785" s="138"/>
      <c r="H2785" s="138"/>
      <c r="I2785" s="138"/>
      <c r="J2785" s="138"/>
      <c r="K2785" s="138"/>
      <c r="L2785" s="138">
        <v>0.0</v>
      </c>
      <c r="M2785" s="140" t="str">
        <f>VLOOKUP(text(D2785, "#"),'Master Table'!$A:$F, 6, FALSE)</f>
        <v>#N/A</v>
      </c>
      <c r="N2785" s="141"/>
      <c r="O2785" s="142" t="str">
        <f t="shared" si="1"/>
        <v/>
      </c>
      <c r="P2785" s="143" t="str">
        <f>IF(ISNA(VLOOKUP(CONCAT(M2785,C2785), 'Judge Count DO NOT EDIT'!H:H, 1, FALSE)), "ERROR","")</f>
        <v>ERROR</v>
      </c>
      <c r="Q2785" s="141"/>
      <c r="R2785" s="143"/>
      <c r="S2785" s="139"/>
      <c r="T2785" s="141"/>
    </row>
    <row r="2786">
      <c r="A2786" s="138"/>
      <c r="B2786" s="138"/>
      <c r="C2786" s="138"/>
      <c r="D2786" s="139"/>
      <c r="E2786" s="138"/>
      <c r="F2786" s="138"/>
      <c r="G2786" s="138"/>
      <c r="H2786" s="138"/>
      <c r="I2786" s="138"/>
      <c r="J2786" s="138"/>
      <c r="K2786" s="138"/>
      <c r="L2786" s="138">
        <v>0.0</v>
      </c>
      <c r="M2786" s="140" t="str">
        <f>VLOOKUP(text(D2786, "#"),'Master Table'!$A:$F, 6, FALSE)</f>
        <v>#N/A</v>
      </c>
      <c r="N2786" s="141"/>
      <c r="O2786" s="142" t="str">
        <f t="shared" si="1"/>
        <v/>
      </c>
      <c r="P2786" s="143" t="str">
        <f>IF(ISNA(VLOOKUP(CONCAT(M2786,C2786), 'Judge Count DO NOT EDIT'!H:H, 1, FALSE)), "ERROR","")</f>
        <v>ERROR</v>
      </c>
      <c r="Q2786" s="141"/>
      <c r="R2786" s="143"/>
      <c r="S2786" s="139"/>
      <c r="T2786" s="141"/>
    </row>
    <row r="2787">
      <c r="A2787" s="138"/>
      <c r="B2787" s="138"/>
      <c r="C2787" s="138"/>
      <c r="D2787" s="139"/>
      <c r="E2787" s="138"/>
      <c r="F2787" s="138"/>
      <c r="G2787" s="138"/>
      <c r="H2787" s="138"/>
      <c r="I2787" s="138"/>
      <c r="J2787" s="138"/>
      <c r="K2787" s="138"/>
      <c r="L2787" s="138">
        <v>0.0</v>
      </c>
      <c r="M2787" s="140" t="str">
        <f>VLOOKUP(text(D2787, "#"),'Master Table'!$A:$F, 6, FALSE)</f>
        <v>#N/A</v>
      </c>
      <c r="N2787" s="141"/>
      <c r="O2787" s="142" t="str">
        <f t="shared" si="1"/>
        <v/>
      </c>
      <c r="P2787" s="143" t="str">
        <f>IF(ISNA(VLOOKUP(CONCAT(M2787,C2787), 'Judge Count DO NOT EDIT'!H:H, 1, FALSE)), "ERROR","")</f>
        <v>ERROR</v>
      </c>
      <c r="Q2787" s="141"/>
      <c r="R2787" s="143"/>
      <c r="S2787" s="139"/>
      <c r="T2787" s="141"/>
    </row>
    <row r="2788">
      <c r="A2788" s="138"/>
      <c r="B2788" s="138"/>
      <c r="C2788" s="138"/>
      <c r="D2788" s="139"/>
      <c r="E2788" s="138"/>
      <c r="F2788" s="138"/>
      <c r="G2788" s="138"/>
      <c r="H2788" s="138"/>
      <c r="I2788" s="138"/>
      <c r="J2788" s="138"/>
      <c r="K2788" s="138"/>
      <c r="L2788" s="138">
        <v>0.0</v>
      </c>
      <c r="M2788" s="140" t="str">
        <f>VLOOKUP(text(D2788, "#"),'Master Table'!$A:$F, 6, FALSE)</f>
        <v>#N/A</v>
      </c>
      <c r="N2788" s="141"/>
      <c r="O2788" s="142" t="str">
        <f t="shared" si="1"/>
        <v/>
      </c>
      <c r="P2788" s="143" t="str">
        <f>IF(ISNA(VLOOKUP(CONCAT(M2788,C2788), 'Judge Count DO NOT EDIT'!H:H, 1, FALSE)), "ERROR","")</f>
        <v>ERROR</v>
      </c>
      <c r="Q2788" s="141"/>
      <c r="R2788" s="143"/>
      <c r="S2788" s="139"/>
      <c r="T2788" s="141"/>
    </row>
    <row r="2789">
      <c r="A2789" s="138"/>
      <c r="B2789" s="138"/>
      <c r="C2789" s="138"/>
      <c r="D2789" s="139"/>
      <c r="E2789" s="138"/>
      <c r="F2789" s="138"/>
      <c r="G2789" s="138"/>
      <c r="H2789" s="138"/>
      <c r="I2789" s="138"/>
      <c r="J2789" s="138"/>
      <c r="K2789" s="138"/>
      <c r="L2789" s="138">
        <v>0.0</v>
      </c>
      <c r="M2789" s="140" t="str">
        <f>VLOOKUP(text(D2789, "#"),'Master Table'!$A:$F, 6, FALSE)</f>
        <v>#N/A</v>
      </c>
      <c r="N2789" s="141"/>
      <c r="O2789" s="142" t="str">
        <f t="shared" si="1"/>
        <v/>
      </c>
      <c r="P2789" s="143" t="str">
        <f>IF(ISNA(VLOOKUP(CONCAT(M2789,C2789), 'Judge Count DO NOT EDIT'!H:H, 1, FALSE)), "ERROR","")</f>
        <v>ERROR</v>
      </c>
      <c r="Q2789" s="141"/>
      <c r="R2789" s="143"/>
      <c r="S2789" s="139"/>
      <c r="T2789" s="141"/>
    </row>
    <row r="2790">
      <c r="A2790" s="138"/>
      <c r="B2790" s="138"/>
      <c r="C2790" s="138"/>
      <c r="D2790" s="139"/>
      <c r="E2790" s="138"/>
      <c r="F2790" s="138"/>
      <c r="G2790" s="138"/>
      <c r="H2790" s="138"/>
      <c r="I2790" s="138"/>
      <c r="J2790" s="138"/>
      <c r="K2790" s="138"/>
      <c r="L2790" s="138">
        <v>0.0</v>
      </c>
      <c r="M2790" s="140" t="str">
        <f>VLOOKUP(text(D2790, "#"),'Master Table'!$A:$F, 6, FALSE)</f>
        <v>#N/A</v>
      </c>
      <c r="N2790" s="141"/>
      <c r="O2790" s="142" t="str">
        <f t="shared" si="1"/>
        <v/>
      </c>
      <c r="P2790" s="143" t="str">
        <f>IF(ISNA(VLOOKUP(CONCAT(M2790,C2790), 'Judge Count DO NOT EDIT'!H:H, 1, FALSE)), "ERROR","")</f>
        <v>ERROR</v>
      </c>
      <c r="Q2790" s="141"/>
      <c r="R2790" s="143"/>
      <c r="S2790" s="139"/>
      <c r="T2790" s="141"/>
    </row>
    <row r="2791">
      <c r="A2791" s="138"/>
      <c r="B2791" s="138"/>
      <c r="C2791" s="138"/>
      <c r="D2791" s="139"/>
      <c r="E2791" s="138"/>
      <c r="F2791" s="138"/>
      <c r="G2791" s="138"/>
      <c r="H2791" s="138"/>
      <c r="I2791" s="138"/>
      <c r="J2791" s="138"/>
      <c r="K2791" s="138"/>
      <c r="L2791" s="138">
        <v>0.0</v>
      </c>
      <c r="M2791" s="140" t="str">
        <f>VLOOKUP(text(D2791, "#"),'Master Table'!$A:$F, 6, FALSE)</f>
        <v>#N/A</v>
      </c>
      <c r="N2791" s="141"/>
      <c r="O2791" s="142" t="str">
        <f t="shared" si="1"/>
        <v/>
      </c>
      <c r="P2791" s="143" t="str">
        <f>IF(ISNA(VLOOKUP(CONCAT(M2791,C2791), 'Judge Count DO NOT EDIT'!H:H, 1, FALSE)), "ERROR","")</f>
        <v>ERROR</v>
      </c>
      <c r="Q2791" s="141"/>
      <c r="R2791" s="143"/>
      <c r="S2791" s="139"/>
      <c r="T2791" s="141"/>
    </row>
    <row r="2792">
      <c r="A2792" s="138"/>
      <c r="B2792" s="138"/>
      <c r="C2792" s="138"/>
      <c r="D2792" s="139"/>
      <c r="E2792" s="138"/>
      <c r="F2792" s="138"/>
      <c r="G2792" s="138"/>
      <c r="H2792" s="138"/>
      <c r="I2792" s="138"/>
      <c r="J2792" s="138"/>
      <c r="K2792" s="138"/>
      <c r="L2792" s="138">
        <v>0.0</v>
      </c>
      <c r="M2792" s="140" t="str">
        <f>VLOOKUP(text(D2792, "#"),'Master Table'!$A:$F, 6, FALSE)</f>
        <v>#N/A</v>
      </c>
      <c r="N2792" s="141"/>
      <c r="O2792" s="142" t="str">
        <f t="shared" si="1"/>
        <v/>
      </c>
      <c r="P2792" s="143" t="str">
        <f>IF(ISNA(VLOOKUP(CONCAT(M2792,C2792), 'Judge Count DO NOT EDIT'!H:H, 1, FALSE)), "ERROR","")</f>
        <v>ERROR</v>
      </c>
      <c r="Q2792" s="141"/>
      <c r="R2792" s="143"/>
      <c r="S2792" s="139"/>
      <c r="T2792" s="141"/>
    </row>
    <row r="2793">
      <c r="A2793" s="138"/>
      <c r="B2793" s="138"/>
      <c r="C2793" s="138"/>
      <c r="D2793" s="139"/>
      <c r="E2793" s="138"/>
      <c r="F2793" s="138"/>
      <c r="G2793" s="138"/>
      <c r="H2793" s="138"/>
      <c r="I2793" s="138"/>
      <c r="J2793" s="138"/>
      <c r="K2793" s="138"/>
      <c r="L2793" s="138">
        <v>0.0</v>
      </c>
      <c r="M2793" s="140" t="str">
        <f>VLOOKUP(text(D2793, "#"),'Master Table'!$A:$F, 6, FALSE)</f>
        <v>#N/A</v>
      </c>
      <c r="N2793" s="141"/>
      <c r="O2793" s="142" t="str">
        <f t="shared" si="1"/>
        <v/>
      </c>
      <c r="P2793" s="143" t="str">
        <f>IF(ISNA(VLOOKUP(CONCAT(M2793,C2793), 'Judge Count DO NOT EDIT'!H:H, 1, FALSE)), "ERROR","")</f>
        <v>ERROR</v>
      </c>
      <c r="Q2793" s="141"/>
      <c r="R2793" s="143"/>
      <c r="S2793" s="139"/>
      <c r="T2793" s="141"/>
    </row>
    <row r="2794">
      <c r="A2794" s="138"/>
      <c r="B2794" s="138"/>
      <c r="C2794" s="138"/>
      <c r="D2794" s="139"/>
      <c r="E2794" s="138"/>
      <c r="F2794" s="138"/>
      <c r="G2794" s="138"/>
      <c r="H2794" s="138"/>
      <c r="I2794" s="138"/>
      <c r="J2794" s="138"/>
      <c r="K2794" s="138"/>
      <c r="L2794" s="138">
        <v>0.0</v>
      </c>
      <c r="M2794" s="140" t="str">
        <f>VLOOKUP(text(D2794, "#"),'Master Table'!$A:$F, 6, FALSE)</f>
        <v>#N/A</v>
      </c>
      <c r="N2794" s="141"/>
      <c r="O2794" s="142" t="str">
        <f t="shared" si="1"/>
        <v/>
      </c>
      <c r="P2794" s="143" t="str">
        <f>IF(ISNA(VLOOKUP(CONCAT(M2794,C2794), 'Judge Count DO NOT EDIT'!H:H, 1, FALSE)), "ERROR","")</f>
        <v>ERROR</v>
      </c>
      <c r="Q2794" s="141"/>
      <c r="R2794" s="143"/>
      <c r="S2794" s="139"/>
      <c r="T2794" s="141"/>
    </row>
    <row r="2795">
      <c r="A2795" s="138"/>
      <c r="B2795" s="138"/>
      <c r="C2795" s="138"/>
      <c r="D2795" s="139"/>
      <c r="E2795" s="138"/>
      <c r="F2795" s="138"/>
      <c r="G2795" s="138"/>
      <c r="H2795" s="138"/>
      <c r="I2795" s="138"/>
      <c r="J2795" s="138"/>
      <c r="K2795" s="138"/>
      <c r="L2795" s="138">
        <v>0.0</v>
      </c>
      <c r="M2795" s="140" t="str">
        <f>VLOOKUP(text(D2795, "#"),'Master Table'!$A:$F, 6, FALSE)</f>
        <v>#N/A</v>
      </c>
      <c r="N2795" s="141"/>
      <c r="O2795" s="142" t="str">
        <f t="shared" si="1"/>
        <v/>
      </c>
      <c r="P2795" s="143" t="str">
        <f>IF(ISNA(VLOOKUP(CONCAT(M2795,C2795), 'Judge Count DO NOT EDIT'!H:H, 1, FALSE)), "ERROR","")</f>
        <v>ERROR</v>
      </c>
      <c r="Q2795" s="141"/>
      <c r="R2795" s="143"/>
      <c r="S2795" s="139"/>
      <c r="T2795" s="141"/>
    </row>
    <row r="2796">
      <c r="A2796" s="138"/>
      <c r="B2796" s="138"/>
      <c r="C2796" s="138"/>
      <c r="D2796" s="139"/>
      <c r="E2796" s="138"/>
      <c r="F2796" s="138"/>
      <c r="G2796" s="138"/>
      <c r="H2796" s="138"/>
      <c r="I2796" s="138"/>
      <c r="J2796" s="138"/>
      <c r="K2796" s="138"/>
      <c r="L2796" s="138">
        <v>0.0</v>
      </c>
      <c r="M2796" s="140" t="str">
        <f>VLOOKUP(text(D2796, "#"),'Master Table'!$A:$F, 6, FALSE)</f>
        <v>#N/A</v>
      </c>
      <c r="N2796" s="141"/>
      <c r="O2796" s="142" t="str">
        <f t="shared" si="1"/>
        <v/>
      </c>
      <c r="P2796" s="143" t="str">
        <f>IF(ISNA(VLOOKUP(CONCAT(M2796,C2796), 'Judge Count DO NOT EDIT'!H:H, 1, FALSE)), "ERROR","")</f>
        <v>ERROR</v>
      </c>
      <c r="Q2796" s="141"/>
      <c r="R2796" s="143"/>
      <c r="S2796" s="139"/>
      <c r="T2796" s="141"/>
    </row>
    <row r="2797">
      <c r="A2797" s="138"/>
      <c r="B2797" s="138"/>
      <c r="C2797" s="138"/>
      <c r="D2797" s="139"/>
      <c r="E2797" s="138"/>
      <c r="F2797" s="138"/>
      <c r="G2797" s="138"/>
      <c r="H2797" s="138"/>
      <c r="I2797" s="138"/>
      <c r="J2797" s="138"/>
      <c r="K2797" s="138"/>
      <c r="L2797" s="138">
        <v>0.0</v>
      </c>
      <c r="M2797" s="140" t="str">
        <f>VLOOKUP(text(D2797, "#"),'Master Table'!$A:$F, 6, FALSE)</f>
        <v>#N/A</v>
      </c>
      <c r="N2797" s="141"/>
      <c r="O2797" s="142" t="str">
        <f t="shared" si="1"/>
        <v/>
      </c>
      <c r="P2797" s="143" t="str">
        <f>IF(ISNA(VLOOKUP(CONCAT(M2797,C2797), 'Judge Count DO NOT EDIT'!H:H, 1, FALSE)), "ERROR","")</f>
        <v>ERROR</v>
      </c>
      <c r="Q2797" s="141"/>
      <c r="R2797" s="143"/>
      <c r="S2797" s="139"/>
      <c r="T2797" s="141"/>
    </row>
    <row r="2798">
      <c r="A2798" s="138"/>
      <c r="B2798" s="138"/>
      <c r="C2798" s="138"/>
      <c r="D2798" s="139"/>
      <c r="E2798" s="138"/>
      <c r="F2798" s="138"/>
      <c r="G2798" s="138"/>
      <c r="H2798" s="138"/>
      <c r="I2798" s="138"/>
      <c r="J2798" s="138"/>
      <c r="K2798" s="138"/>
      <c r="L2798" s="138">
        <v>0.0</v>
      </c>
      <c r="M2798" s="140" t="str">
        <f>VLOOKUP(text(D2798, "#"),'Master Table'!$A:$F, 6, FALSE)</f>
        <v>#N/A</v>
      </c>
      <c r="N2798" s="141"/>
      <c r="O2798" s="142" t="str">
        <f t="shared" si="1"/>
        <v/>
      </c>
      <c r="P2798" s="143" t="str">
        <f>IF(ISNA(VLOOKUP(CONCAT(M2798,C2798), 'Judge Count DO NOT EDIT'!H:H, 1, FALSE)), "ERROR","")</f>
        <v>ERROR</v>
      </c>
      <c r="Q2798" s="141"/>
      <c r="R2798" s="143"/>
      <c r="S2798" s="139"/>
      <c r="T2798" s="141"/>
    </row>
    <row r="2799">
      <c r="A2799" s="138"/>
      <c r="B2799" s="138"/>
      <c r="C2799" s="138"/>
      <c r="D2799" s="139"/>
      <c r="E2799" s="138"/>
      <c r="F2799" s="138"/>
      <c r="G2799" s="138"/>
      <c r="H2799" s="138"/>
      <c r="I2799" s="138"/>
      <c r="J2799" s="138"/>
      <c r="K2799" s="138"/>
      <c r="L2799" s="138">
        <v>0.0</v>
      </c>
      <c r="M2799" s="140" t="str">
        <f>VLOOKUP(text(D2799, "#"),'Master Table'!$A:$F, 6, FALSE)</f>
        <v>#N/A</v>
      </c>
      <c r="N2799" s="141"/>
      <c r="O2799" s="142" t="str">
        <f t="shared" si="1"/>
        <v/>
      </c>
      <c r="P2799" s="143" t="str">
        <f>IF(ISNA(VLOOKUP(CONCAT(M2799,C2799), 'Judge Count DO NOT EDIT'!H:H, 1, FALSE)), "ERROR","")</f>
        <v>ERROR</v>
      </c>
      <c r="Q2799" s="141"/>
      <c r="R2799" s="143"/>
      <c r="S2799" s="139"/>
      <c r="T2799" s="141"/>
    </row>
    <row r="2800">
      <c r="A2800" s="138"/>
      <c r="B2800" s="138"/>
      <c r="C2800" s="138"/>
      <c r="D2800" s="139"/>
      <c r="E2800" s="138"/>
      <c r="F2800" s="138"/>
      <c r="G2800" s="138"/>
      <c r="H2800" s="138"/>
      <c r="I2800" s="138"/>
      <c r="J2800" s="138"/>
      <c r="K2800" s="138"/>
      <c r="L2800" s="138">
        <v>0.0</v>
      </c>
      <c r="M2800" s="140" t="str">
        <f>VLOOKUP(text(D2800, "#"),'Master Table'!$A:$F, 6, FALSE)</f>
        <v>#N/A</v>
      </c>
      <c r="N2800" s="141"/>
      <c r="O2800" s="142" t="str">
        <f t="shared" si="1"/>
        <v/>
      </c>
      <c r="P2800" s="143" t="str">
        <f>IF(ISNA(VLOOKUP(CONCAT(M2800,C2800), 'Judge Count DO NOT EDIT'!H:H, 1, FALSE)), "ERROR","")</f>
        <v>ERROR</v>
      </c>
      <c r="Q2800" s="141"/>
      <c r="R2800" s="143"/>
      <c r="S2800" s="139"/>
      <c r="T2800" s="141"/>
    </row>
    <row r="2801">
      <c r="A2801" s="138"/>
      <c r="B2801" s="138"/>
      <c r="C2801" s="138"/>
      <c r="D2801" s="139"/>
      <c r="E2801" s="138"/>
      <c r="F2801" s="138"/>
      <c r="G2801" s="138"/>
      <c r="H2801" s="138"/>
      <c r="I2801" s="138"/>
      <c r="J2801" s="138"/>
      <c r="K2801" s="138"/>
      <c r="L2801" s="138">
        <v>0.0</v>
      </c>
      <c r="M2801" s="140" t="str">
        <f>VLOOKUP(text(D2801, "#"),'Master Table'!$A:$F, 6, FALSE)</f>
        <v>#N/A</v>
      </c>
      <c r="N2801" s="141"/>
      <c r="O2801" s="142" t="str">
        <f t="shared" si="1"/>
        <v/>
      </c>
      <c r="P2801" s="143" t="str">
        <f>IF(ISNA(VLOOKUP(CONCAT(M2801,C2801), 'Judge Count DO NOT EDIT'!H:H, 1, FALSE)), "ERROR","")</f>
        <v>ERROR</v>
      </c>
      <c r="Q2801" s="141"/>
      <c r="R2801" s="143"/>
      <c r="S2801" s="139"/>
      <c r="T2801" s="141"/>
    </row>
    <row r="2802">
      <c r="A2802" s="138"/>
      <c r="B2802" s="138"/>
      <c r="C2802" s="138"/>
      <c r="D2802" s="139"/>
      <c r="E2802" s="138"/>
      <c r="F2802" s="138"/>
      <c r="G2802" s="138"/>
      <c r="H2802" s="138"/>
      <c r="I2802" s="138"/>
      <c r="J2802" s="138"/>
      <c r="K2802" s="138"/>
      <c r="L2802" s="138">
        <v>0.0</v>
      </c>
      <c r="M2802" s="140" t="str">
        <f>VLOOKUP(text(D2802, "#"),'Master Table'!$A:$F, 6, FALSE)</f>
        <v>#N/A</v>
      </c>
      <c r="N2802" s="141"/>
      <c r="O2802" s="142" t="str">
        <f t="shared" si="1"/>
        <v/>
      </c>
      <c r="P2802" s="143" t="str">
        <f>IF(ISNA(VLOOKUP(CONCAT(M2802,C2802), 'Judge Count DO NOT EDIT'!H:H, 1, FALSE)), "ERROR","")</f>
        <v>ERROR</v>
      </c>
      <c r="Q2802" s="141"/>
      <c r="R2802" s="143"/>
      <c r="S2802" s="139"/>
      <c r="T2802" s="141"/>
    </row>
    <row r="2803">
      <c r="A2803" s="138"/>
      <c r="B2803" s="138"/>
      <c r="C2803" s="138"/>
      <c r="D2803" s="139"/>
      <c r="E2803" s="138"/>
      <c r="F2803" s="138"/>
      <c r="G2803" s="138"/>
      <c r="H2803" s="138"/>
      <c r="I2803" s="138"/>
      <c r="J2803" s="138"/>
      <c r="K2803" s="138"/>
      <c r="L2803" s="138">
        <v>0.0</v>
      </c>
      <c r="M2803" s="140" t="str">
        <f>VLOOKUP(text(D2803, "#"),'Master Table'!$A:$F, 6, FALSE)</f>
        <v>#N/A</v>
      </c>
      <c r="N2803" s="141"/>
      <c r="O2803" s="142" t="str">
        <f t="shared" si="1"/>
        <v/>
      </c>
      <c r="P2803" s="143" t="str">
        <f>IF(ISNA(VLOOKUP(CONCAT(M2803,C2803), 'Judge Count DO NOT EDIT'!H:H, 1, FALSE)), "ERROR","")</f>
        <v>ERROR</v>
      </c>
      <c r="Q2803" s="141"/>
      <c r="R2803" s="143"/>
      <c r="S2803" s="139"/>
      <c r="T2803" s="141"/>
    </row>
    <row r="2804">
      <c r="A2804" s="138"/>
      <c r="B2804" s="138"/>
      <c r="C2804" s="138"/>
      <c r="D2804" s="139"/>
      <c r="E2804" s="138"/>
      <c r="F2804" s="138"/>
      <c r="G2804" s="138"/>
      <c r="H2804" s="138"/>
      <c r="I2804" s="138"/>
      <c r="J2804" s="138"/>
      <c r="K2804" s="138"/>
      <c r="L2804" s="138">
        <v>0.0</v>
      </c>
      <c r="M2804" s="140" t="str">
        <f>VLOOKUP(text(D2804, "#"),'Master Table'!$A:$F, 6, FALSE)</f>
        <v>#N/A</v>
      </c>
      <c r="N2804" s="141"/>
      <c r="O2804" s="142" t="str">
        <f t="shared" si="1"/>
        <v/>
      </c>
      <c r="P2804" s="143" t="str">
        <f>IF(ISNA(VLOOKUP(CONCAT(M2804,C2804), 'Judge Count DO NOT EDIT'!H:H, 1, FALSE)), "ERROR","")</f>
        <v>ERROR</v>
      </c>
      <c r="Q2804" s="141"/>
      <c r="R2804" s="143"/>
      <c r="S2804" s="139"/>
      <c r="T2804" s="141"/>
    </row>
    <row r="2805">
      <c r="A2805" s="138"/>
      <c r="B2805" s="138"/>
      <c r="C2805" s="138"/>
      <c r="D2805" s="139"/>
      <c r="E2805" s="138"/>
      <c r="F2805" s="138"/>
      <c r="G2805" s="138"/>
      <c r="H2805" s="138"/>
      <c r="I2805" s="138"/>
      <c r="J2805" s="138"/>
      <c r="K2805" s="138"/>
      <c r="L2805" s="138">
        <v>0.0</v>
      </c>
      <c r="M2805" s="140" t="str">
        <f>VLOOKUP(text(D2805, "#"),'Master Table'!$A:$F, 6, FALSE)</f>
        <v>#N/A</v>
      </c>
      <c r="N2805" s="141"/>
      <c r="O2805" s="142" t="str">
        <f t="shared" si="1"/>
        <v/>
      </c>
      <c r="P2805" s="143" t="str">
        <f>IF(ISNA(VLOOKUP(CONCAT(M2805,C2805), 'Judge Count DO NOT EDIT'!H:H, 1, FALSE)), "ERROR","")</f>
        <v>ERROR</v>
      </c>
      <c r="Q2805" s="141"/>
      <c r="R2805" s="143"/>
      <c r="S2805" s="139"/>
      <c r="T2805" s="141"/>
    </row>
    <row r="2806">
      <c r="A2806" s="138"/>
      <c r="B2806" s="138"/>
      <c r="C2806" s="138"/>
      <c r="D2806" s="139"/>
      <c r="E2806" s="138"/>
      <c r="F2806" s="138"/>
      <c r="G2806" s="138"/>
      <c r="H2806" s="138"/>
      <c r="I2806" s="138"/>
      <c r="J2806" s="138"/>
      <c r="K2806" s="138"/>
      <c r="L2806" s="138">
        <v>0.0</v>
      </c>
      <c r="M2806" s="140" t="str">
        <f>VLOOKUP(text(D2806, "#"),'Master Table'!$A:$F, 6, FALSE)</f>
        <v>#N/A</v>
      </c>
      <c r="N2806" s="141"/>
      <c r="O2806" s="142" t="str">
        <f t="shared" si="1"/>
        <v/>
      </c>
      <c r="P2806" s="143" t="str">
        <f>IF(ISNA(VLOOKUP(CONCAT(M2806,C2806), 'Judge Count DO NOT EDIT'!H:H, 1, FALSE)), "ERROR","")</f>
        <v>ERROR</v>
      </c>
      <c r="Q2806" s="141"/>
      <c r="R2806" s="143"/>
      <c r="S2806" s="139"/>
      <c r="T2806" s="141"/>
    </row>
    <row r="2807">
      <c r="A2807" s="138"/>
      <c r="B2807" s="138"/>
      <c r="C2807" s="138"/>
      <c r="D2807" s="139"/>
      <c r="E2807" s="138"/>
      <c r="F2807" s="138"/>
      <c r="G2807" s="138"/>
      <c r="H2807" s="138"/>
      <c r="I2807" s="138"/>
      <c r="J2807" s="138"/>
      <c r="K2807" s="138"/>
      <c r="L2807" s="138">
        <v>0.0</v>
      </c>
      <c r="M2807" s="140" t="str">
        <f>VLOOKUP(text(D2807, "#"),'Master Table'!$A:$F, 6, FALSE)</f>
        <v>#N/A</v>
      </c>
      <c r="N2807" s="141"/>
      <c r="O2807" s="142" t="str">
        <f t="shared" si="1"/>
        <v/>
      </c>
      <c r="P2807" s="143" t="str">
        <f>IF(ISNA(VLOOKUP(CONCAT(M2807,C2807), 'Judge Count DO NOT EDIT'!H:H, 1, FALSE)), "ERROR","")</f>
        <v>ERROR</v>
      </c>
      <c r="Q2807" s="141"/>
      <c r="R2807" s="143"/>
      <c r="S2807" s="139"/>
      <c r="T2807" s="141"/>
    </row>
    <row r="2808">
      <c r="A2808" s="138"/>
      <c r="B2808" s="138"/>
      <c r="C2808" s="138"/>
      <c r="D2808" s="139"/>
      <c r="E2808" s="138"/>
      <c r="F2808" s="138"/>
      <c r="G2808" s="138"/>
      <c r="H2808" s="138"/>
      <c r="I2808" s="138"/>
      <c r="J2808" s="138"/>
      <c r="K2808" s="138"/>
      <c r="L2808" s="138">
        <v>0.0</v>
      </c>
      <c r="M2808" s="140" t="str">
        <f>VLOOKUP(text(D2808, "#"),'Master Table'!$A:$F, 6, FALSE)</f>
        <v>#N/A</v>
      </c>
      <c r="N2808" s="141"/>
      <c r="O2808" s="142" t="str">
        <f t="shared" si="1"/>
        <v/>
      </c>
      <c r="P2808" s="143" t="str">
        <f>IF(ISNA(VLOOKUP(CONCAT(M2808,C2808), 'Judge Count DO NOT EDIT'!H:H, 1, FALSE)), "ERROR","")</f>
        <v>ERROR</v>
      </c>
      <c r="Q2808" s="141"/>
      <c r="R2808" s="143"/>
      <c r="S2808" s="139"/>
      <c r="T2808" s="141"/>
    </row>
    <row r="2809">
      <c r="A2809" s="138"/>
      <c r="B2809" s="138"/>
      <c r="C2809" s="138"/>
      <c r="D2809" s="139"/>
      <c r="E2809" s="138"/>
      <c r="F2809" s="138"/>
      <c r="G2809" s="138"/>
      <c r="H2809" s="138"/>
      <c r="I2809" s="138"/>
      <c r="J2809" s="138"/>
      <c r="K2809" s="138"/>
      <c r="L2809" s="138">
        <v>0.0</v>
      </c>
      <c r="M2809" s="140" t="str">
        <f>VLOOKUP(text(D2809, "#"),'Master Table'!$A:$F, 6, FALSE)</f>
        <v>#N/A</v>
      </c>
      <c r="N2809" s="141"/>
      <c r="O2809" s="142" t="str">
        <f t="shared" si="1"/>
        <v/>
      </c>
      <c r="P2809" s="143" t="str">
        <f>IF(ISNA(VLOOKUP(CONCAT(M2809,C2809), 'Judge Count DO NOT EDIT'!H:H, 1, FALSE)), "ERROR","")</f>
        <v>ERROR</v>
      </c>
      <c r="Q2809" s="141"/>
      <c r="R2809" s="143"/>
      <c r="S2809" s="139"/>
      <c r="T2809" s="141"/>
    </row>
    <row r="2810">
      <c r="A2810" s="138"/>
      <c r="B2810" s="138"/>
      <c r="C2810" s="138"/>
      <c r="D2810" s="139"/>
      <c r="E2810" s="138"/>
      <c r="F2810" s="138"/>
      <c r="G2810" s="138"/>
      <c r="H2810" s="138"/>
      <c r="I2810" s="138"/>
      <c r="J2810" s="138"/>
      <c r="K2810" s="138"/>
      <c r="L2810" s="138">
        <v>0.0</v>
      </c>
      <c r="M2810" s="140" t="str">
        <f>VLOOKUP(text(D2810, "#"),'Master Table'!$A:$F, 6, FALSE)</f>
        <v>#N/A</v>
      </c>
      <c r="N2810" s="141"/>
      <c r="O2810" s="142" t="str">
        <f t="shared" si="1"/>
        <v/>
      </c>
      <c r="P2810" s="143" t="str">
        <f>IF(ISNA(VLOOKUP(CONCAT(M2810,C2810), 'Judge Count DO NOT EDIT'!H:H, 1, FALSE)), "ERROR","")</f>
        <v>ERROR</v>
      </c>
      <c r="Q2810" s="141"/>
      <c r="R2810" s="143"/>
      <c r="S2810" s="139"/>
      <c r="T2810" s="141"/>
    </row>
    <row r="2811">
      <c r="A2811" s="138"/>
      <c r="B2811" s="138"/>
      <c r="C2811" s="138"/>
      <c r="D2811" s="139"/>
      <c r="E2811" s="138"/>
      <c r="F2811" s="138"/>
      <c r="G2811" s="138"/>
      <c r="H2811" s="138"/>
      <c r="I2811" s="138"/>
      <c r="J2811" s="138"/>
      <c r="K2811" s="138"/>
      <c r="L2811" s="138">
        <v>0.0</v>
      </c>
      <c r="M2811" s="140" t="str">
        <f>VLOOKUP(text(D2811, "#"),'Master Table'!$A:$F, 6, FALSE)</f>
        <v>#N/A</v>
      </c>
      <c r="N2811" s="141"/>
      <c r="O2811" s="142" t="str">
        <f t="shared" si="1"/>
        <v/>
      </c>
      <c r="P2811" s="143" t="str">
        <f>IF(ISNA(VLOOKUP(CONCAT(M2811,C2811), 'Judge Count DO NOT EDIT'!H:H, 1, FALSE)), "ERROR","")</f>
        <v>ERROR</v>
      </c>
      <c r="Q2811" s="141"/>
      <c r="R2811" s="143"/>
      <c r="S2811" s="139"/>
      <c r="T2811" s="141"/>
    </row>
    <row r="2812">
      <c r="A2812" s="138"/>
      <c r="B2812" s="138"/>
      <c r="C2812" s="138"/>
      <c r="D2812" s="139"/>
      <c r="E2812" s="138"/>
      <c r="F2812" s="138"/>
      <c r="G2812" s="138"/>
      <c r="H2812" s="138"/>
      <c r="I2812" s="138"/>
      <c r="J2812" s="138"/>
      <c r="K2812" s="138"/>
      <c r="L2812" s="138">
        <v>0.0</v>
      </c>
      <c r="M2812" s="140" t="str">
        <f>VLOOKUP(text(D2812, "#"),'Master Table'!$A:$F, 6, FALSE)</f>
        <v>#N/A</v>
      </c>
      <c r="N2812" s="141"/>
      <c r="O2812" s="142" t="str">
        <f t="shared" si="1"/>
        <v/>
      </c>
      <c r="P2812" s="143" t="str">
        <f>IF(ISNA(VLOOKUP(CONCAT(M2812,C2812), 'Judge Count DO NOT EDIT'!H:H, 1, FALSE)), "ERROR","")</f>
        <v>ERROR</v>
      </c>
      <c r="Q2812" s="141"/>
      <c r="R2812" s="143"/>
      <c r="S2812" s="139"/>
      <c r="T2812" s="141"/>
    </row>
    <row r="2813">
      <c r="A2813" s="138"/>
      <c r="B2813" s="138"/>
      <c r="C2813" s="138"/>
      <c r="D2813" s="139"/>
      <c r="E2813" s="138"/>
      <c r="F2813" s="138"/>
      <c r="G2813" s="138"/>
      <c r="H2813" s="138"/>
      <c r="I2813" s="138"/>
      <c r="J2813" s="138"/>
      <c r="K2813" s="138"/>
      <c r="L2813" s="138">
        <v>0.0</v>
      </c>
      <c r="M2813" s="140" t="str">
        <f>VLOOKUP(text(D2813, "#"),'Master Table'!$A:$F, 6, FALSE)</f>
        <v>#N/A</v>
      </c>
      <c r="N2813" s="141"/>
      <c r="O2813" s="142" t="str">
        <f t="shared" si="1"/>
        <v/>
      </c>
      <c r="P2813" s="143" t="str">
        <f>IF(ISNA(VLOOKUP(CONCAT(M2813,C2813), 'Judge Count DO NOT EDIT'!H:H, 1, FALSE)), "ERROR","")</f>
        <v>ERROR</v>
      </c>
      <c r="Q2813" s="141"/>
      <c r="R2813" s="143"/>
      <c r="S2813" s="139"/>
      <c r="T2813" s="141"/>
    </row>
    <row r="2814">
      <c r="A2814" s="138"/>
      <c r="B2814" s="138"/>
      <c r="C2814" s="138"/>
      <c r="D2814" s="139"/>
      <c r="E2814" s="138"/>
      <c r="F2814" s="138"/>
      <c r="G2814" s="138"/>
      <c r="H2814" s="138"/>
      <c r="I2814" s="138"/>
      <c r="J2814" s="138"/>
      <c r="K2814" s="138"/>
      <c r="L2814" s="138">
        <v>0.0</v>
      </c>
      <c r="M2814" s="140" t="str">
        <f>VLOOKUP(text(D2814, "#"),'Master Table'!$A:$F, 6, FALSE)</f>
        <v>#N/A</v>
      </c>
      <c r="N2814" s="141"/>
      <c r="O2814" s="142" t="str">
        <f t="shared" si="1"/>
        <v/>
      </c>
      <c r="P2814" s="143" t="str">
        <f>IF(ISNA(VLOOKUP(CONCAT(M2814,C2814), 'Judge Count DO NOT EDIT'!H:H, 1, FALSE)), "ERROR","")</f>
        <v>ERROR</v>
      </c>
      <c r="Q2814" s="141"/>
      <c r="R2814" s="143"/>
      <c r="S2814" s="139"/>
      <c r="T2814" s="141"/>
    </row>
    <row r="2815">
      <c r="A2815" s="138"/>
      <c r="B2815" s="138"/>
      <c r="C2815" s="138"/>
      <c r="D2815" s="139"/>
      <c r="E2815" s="138"/>
      <c r="F2815" s="138"/>
      <c r="G2815" s="138"/>
      <c r="H2815" s="138"/>
      <c r="I2815" s="138"/>
      <c r="J2815" s="138"/>
      <c r="K2815" s="138"/>
      <c r="L2815" s="138">
        <v>0.0</v>
      </c>
      <c r="M2815" s="140" t="str">
        <f>VLOOKUP(text(D2815, "#"),'Master Table'!$A:$F, 6, FALSE)</f>
        <v>#N/A</v>
      </c>
      <c r="N2815" s="141"/>
      <c r="O2815" s="142" t="str">
        <f t="shared" si="1"/>
        <v/>
      </c>
      <c r="P2815" s="143" t="str">
        <f>IF(ISNA(VLOOKUP(CONCAT(M2815,C2815), 'Judge Count DO NOT EDIT'!H:H, 1, FALSE)), "ERROR","")</f>
        <v>ERROR</v>
      </c>
      <c r="Q2815" s="141"/>
      <c r="R2815" s="143"/>
      <c r="S2815" s="139"/>
      <c r="T2815" s="141"/>
    </row>
    <row r="2816">
      <c r="A2816" s="138"/>
      <c r="B2816" s="138"/>
      <c r="C2816" s="138"/>
      <c r="D2816" s="139"/>
      <c r="E2816" s="138"/>
      <c r="F2816" s="138"/>
      <c r="G2816" s="138"/>
      <c r="H2816" s="138"/>
      <c r="I2816" s="138"/>
      <c r="J2816" s="138"/>
      <c r="K2816" s="138"/>
      <c r="L2816" s="138">
        <v>0.0</v>
      </c>
      <c r="M2816" s="140" t="str">
        <f>VLOOKUP(text(D2816, "#"),'Master Table'!$A:$F, 6, FALSE)</f>
        <v>#N/A</v>
      </c>
      <c r="N2816" s="141"/>
      <c r="O2816" s="142" t="str">
        <f t="shared" si="1"/>
        <v/>
      </c>
      <c r="P2816" s="143" t="str">
        <f>IF(ISNA(VLOOKUP(CONCAT(M2816,C2816), 'Judge Count DO NOT EDIT'!H:H, 1, FALSE)), "ERROR","")</f>
        <v>ERROR</v>
      </c>
      <c r="Q2816" s="141"/>
      <c r="R2816" s="143"/>
      <c r="S2816" s="139"/>
      <c r="T2816" s="141"/>
    </row>
    <row r="2817">
      <c r="A2817" s="138"/>
      <c r="B2817" s="138"/>
      <c r="C2817" s="138"/>
      <c r="D2817" s="139"/>
      <c r="E2817" s="138"/>
      <c r="F2817" s="138"/>
      <c r="G2817" s="138"/>
      <c r="H2817" s="138"/>
      <c r="I2817" s="138"/>
      <c r="J2817" s="138"/>
      <c r="K2817" s="138"/>
      <c r="L2817" s="138">
        <v>0.0</v>
      </c>
      <c r="M2817" s="140" t="str">
        <f>VLOOKUP(text(D2817, "#"),'Master Table'!$A:$F, 6, FALSE)</f>
        <v>#N/A</v>
      </c>
      <c r="N2817" s="141"/>
      <c r="O2817" s="142" t="str">
        <f t="shared" si="1"/>
        <v/>
      </c>
      <c r="P2817" s="143" t="str">
        <f>IF(ISNA(VLOOKUP(CONCAT(M2817,C2817), 'Judge Count DO NOT EDIT'!H:H, 1, FALSE)), "ERROR","")</f>
        <v>ERROR</v>
      </c>
      <c r="Q2817" s="141"/>
      <c r="R2817" s="143"/>
      <c r="S2817" s="139"/>
      <c r="T2817" s="141"/>
    </row>
    <row r="2818">
      <c r="A2818" s="138"/>
      <c r="B2818" s="138"/>
      <c r="C2818" s="138"/>
      <c r="D2818" s="139"/>
      <c r="E2818" s="138"/>
      <c r="F2818" s="138"/>
      <c r="G2818" s="138"/>
      <c r="H2818" s="138"/>
      <c r="I2818" s="138"/>
      <c r="J2818" s="138"/>
      <c r="K2818" s="138"/>
      <c r="L2818" s="138">
        <v>0.0</v>
      </c>
      <c r="M2818" s="140" t="str">
        <f>VLOOKUP(text(D2818, "#"),'Master Table'!$A:$F, 6, FALSE)</f>
        <v>#N/A</v>
      </c>
      <c r="N2818" s="141"/>
      <c r="O2818" s="142" t="str">
        <f t="shared" si="1"/>
        <v/>
      </c>
      <c r="P2818" s="143" t="str">
        <f>IF(ISNA(VLOOKUP(CONCAT(M2818,C2818), 'Judge Count DO NOT EDIT'!H:H, 1, FALSE)), "ERROR","")</f>
        <v>ERROR</v>
      </c>
      <c r="Q2818" s="141"/>
      <c r="R2818" s="143"/>
      <c r="S2818" s="139"/>
      <c r="T2818" s="141"/>
    </row>
    <row r="2819">
      <c r="A2819" s="138"/>
      <c r="B2819" s="138"/>
      <c r="C2819" s="138"/>
      <c r="D2819" s="139"/>
      <c r="E2819" s="138"/>
      <c r="F2819" s="138"/>
      <c r="G2819" s="138"/>
      <c r="H2819" s="138"/>
      <c r="I2819" s="138"/>
      <c r="J2819" s="138"/>
      <c r="K2819" s="138"/>
      <c r="L2819" s="138">
        <v>0.0</v>
      </c>
      <c r="M2819" s="140" t="str">
        <f>VLOOKUP(text(D2819, "#"),'Master Table'!$A:$F, 6, FALSE)</f>
        <v>#N/A</v>
      </c>
      <c r="N2819" s="141"/>
      <c r="O2819" s="142" t="str">
        <f t="shared" si="1"/>
        <v/>
      </c>
      <c r="P2819" s="143" t="str">
        <f>IF(ISNA(VLOOKUP(CONCAT(M2819,C2819), 'Judge Count DO NOT EDIT'!H:H, 1, FALSE)), "ERROR","")</f>
        <v>ERROR</v>
      </c>
      <c r="Q2819" s="141"/>
      <c r="R2819" s="143"/>
      <c r="S2819" s="139"/>
      <c r="T2819" s="141"/>
    </row>
    <row r="2820">
      <c r="A2820" s="138"/>
      <c r="B2820" s="138"/>
      <c r="C2820" s="138"/>
      <c r="D2820" s="139"/>
      <c r="E2820" s="138"/>
      <c r="F2820" s="138"/>
      <c r="G2820" s="138"/>
      <c r="H2820" s="138"/>
      <c r="I2820" s="138"/>
      <c r="J2820" s="138"/>
      <c r="K2820" s="138"/>
      <c r="L2820" s="138">
        <v>0.0</v>
      </c>
      <c r="M2820" s="140" t="str">
        <f>VLOOKUP(text(D2820, "#"),'Master Table'!$A:$F, 6, FALSE)</f>
        <v>#N/A</v>
      </c>
      <c r="N2820" s="141"/>
      <c r="O2820" s="142" t="str">
        <f t="shared" si="1"/>
        <v/>
      </c>
      <c r="P2820" s="143" t="str">
        <f>IF(ISNA(VLOOKUP(CONCAT(M2820,C2820), 'Judge Count DO NOT EDIT'!H:H, 1, FALSE)), "ERROR","")</f>
        <v>ERROR</v>
      </c>
      <c r="Q2820" s="141"/>
      <c r="R2820" s="143"/>
      <c r="S2820" s="139"/>
      <c r="T2820" s="141"/>
    </row>
    <row r="2821">
      <c r="A2821" s="138"/>
      <c r="B2821" s="138"/>
      <c r="C2821" s="138"/>
      <c r="D2821" s="139"/>
      <c r="E2821" s="138"/>
      <c r="F2821" s="138"/>
      <c r="G2821" s="138"/>
      <c r="H2821" s="138"/>
      <c r="I2821" s="138"/>
      <c r="J2821" s="138"/>
      <c r="K2821" s="138"/>
      <c r="L2821" s="138">
        <v>0.0</v>
      </c>
      <c r="M2821" s="140" t="str">
        <f>VLOOKUP(text(D2821, "#"),'Master Table'!$A:$F, 6, FALSE)</f>
        <v>#N/A</v>
      </c>
      <c r="N2821" s="141"/>
      <c r="O2821" s="142" t="str">
        <f t="shared" si="1"/>
        <v/>
      </c>
      <c r="P2821" s="143" t="str">
        <f>IF(ISNA(VLOOKUP(CONCAT(M2821,C2821), 'Judge Count DO NOT EDIT'!H:H, 1, FALSE)), "ERROR","")</f>
        <v>ERROR</v>
      </c>
      <c r="Q2821" s="141"/>
      <c r="R2821" s="143"/>
      <c r="S2821" s="139"/>
      <c r="T2821" s="141"/>
    </row>
    <row r="2822">
      <c r="A2822" s="138"/>
      <c r="B2822" s="138"/>
      <c r="C2822" s="138"/>
      <c r="D2822" s="139"/>
      <c r="E2822" s="138"/>
      <c r="F2822" s="138"/>
      <c r="G2822" s="138"/>
      <c r="H2822" s="138"/>
      <c r="I2822" s="138"/>
      <c r="J2822" s="138"/>
      <c r="K2822" s="138"/>
      <c r="L2822" s="138">
        <v>0.0</v>
      </c>
      <c r="M2822" s="140" t="str">
        <f>VLOOKUP(text(D2822, "#"),'Master Table'!$A:$F, 6, FALSE)</f>
        <v>#N/A</v>
      </c>
      <c r="N2822" s="141"/>
      <c r="O2822" s="142" t="str">
        <f t="shared" si="1"/>
        <v/>
      </c>
      <c r="P2822" s="143" t="str">
        <f>IF(ISNA(VLOOKUP(CONCAT(M2822,C2822), 'Judge Count DO NOT EDIT'!H:H, 1, FALSE)), "ERROR","")</f>
        <v>ERROR</v>
      </c>
      <c r="Q2822" s="141"/>
      <c r="R2822" s="143"/>
      <c r="S2822" s="139"/>
      <c r="T2822" s="141"/>
    </row>
    <row r="2823">
      <c r="A2823" s="138"/>
      <c r="B2823" s="138"/>
      <c r="C2823" s="138"/>
      <c r="D2823" s="139"/>
      <c r="E2823" s="138"/>
      <c r="F2823" s="138"/>
      <c r="G2823" s="138"/>
      <c r="H2823" s="138"/>
      <c r="I2823" s="138"/>
      <c r="J2823" s="138"/>
      <c r="K2823" s="138"/>
      <c r="L2823" s="138">
        <v>0.0</v>
      </c>
      <c r="M2823" s="140" t="str">
        <f>VLOOKUP(text(D2823, "#"),'Master Table'!$A:$F, 6, FALSE)</f>
        <v>#N/A</v>
      </c>
      <c r="N2823" s="141"/>
      <c r="O2823" s="142" t="str">
        <f t="shared" si="1"/>
        <v/>
      </c>
      <c r="P2823" s="143" t="str">
        <f>IF(ISNA(VLOOKUP(CONCAT(M2823,C2823), 'Judge Count DO NOT EDIT'!H:H, 1, FALSE)), "ERROR","")</f>
        <v>ERROR</v>
      </c>
      <c r="Q2823" s="141"/>
      <c r="R2823" s="143"/>
      <c r="S2823" s="139"/>
      <c r="T2823" s="141"/>
    </row>
    <row r="2824">
      <c r="A2824" s="138"/>
      <c r="B2824" s="138"/>
      <c r="C2824" s="138"/>
      <c r="D2824" s="139"/>
      <c r="E2824" s="138"/>
      <c r="F2824" s="138"/>
      <c r="G2824" s="138"/>
      <c r="H2824" s="138"/>
      <c r="I2824" s="138"/>
      <c r="J2824" s="138"/>
      <c r="K2824" s="138"/>
      <c r="L2824" s="138">
        <v>0.0</v>
      </c>
      <c r="M2824" s="140" t="str">
        <f>VLOOKUP(text(D2824, "#"),'Master Table'!$A:$F, 6, FALSE)</f>
        <v>#N/A</v>
      </c>
      <c r="N2824" s="141"/>
      <c r="O2824" s="142" t="str">
        <f t="shared" si="1"/>
        <v/>
      </c>
      <c r="P2824" s="143" t="str">
        <f>IF(ISNA(VLOOKUP(CONCAT(M2824,C2824), 'Judge Count DO NOT EDIT'!H:H, 1, FALSE)), "ERROR","")</f>
        <v>ERROR</v>
      </c>
      <c r="Q2824" s="141"/>
      <c r="R2824" s="143"/>
      <c r="S2824" s="139"/>
      <c r="T2824" s="141"/>
    </row>
    <row r="2825">
      <c r="A2825" s="138"/>
      <c r="B2825" s="138"/>
      <c r="C2825" s="138"/>
      <c r="D2825" s="139"/>
      <c r="E2825" s="138"/>
      <c r="F2825" s="138"/>
      <c r="G2825" s="138"/>
      <c r="H2825" s="138"/>
      <c r="I2825" s="138"/>
      <c r="J2825" s="138"/>
      <c r="K2825" s="138"/>
      <c r="L2825" s="138">
        <v>0.0</v>
      </c>
      <c r="M2825" s="140" t="str">
        <f>VLOOKUP(text(D2825, "#"),'Master Table'!$A:$F, 6, FALSE)</f>
        <v>#N/A</v>
      </c>
      <c r="N2825" s="141"/>
      <c r="O2825" s="142" t="str">
        <f t="shared" si="1"/>
        <v/>
      </c>
      <c r="P2825" s="143" t="str">
        <f>IF(ISNA(VLOOKUP(CONCAT(M2825,C2825), 'Judge Count DO NOT EDIT'!H:H, 1, FALSE)), "ERROR","")</f>
        <v>ERROR</v>
      </c>
      <c r="Q2825" s="141"/>
      <c r="R2825" s="143"/>
      <c r="S2825" s="139"/>
      <c r="T2825" s="141"/>
    </row>
    <row r="2826">
      <c r="A2826" s="138"/>
      <c r="B2826" s="138"/>
      <c r="C2826" s="138"/>
      <c r="D2826" s="139"/>
      <c r="E2826" s="138"/>
      <c r="F2826" s="138"/>
      <c r="G2826" s="138"/>
      <c r="H2826" s="138"/>
      <c r="I2826" s="138"/>
      <c r="J2826" s="138"/>
      <c r="K2826" s="138"/>
      <c r="L2826" s="138">
        <v>0.0</v>
      </c>
      <c r="M2826" s="140" t="str">
        <f>VLOOKUP(text(D2826, "#"),'Master Table'!$A:$F, 6, FALSE)</f>
        <v>#N/A</v>
      </c>
      <c r="N2826" s="141"/>
      <c r="O2826" s="142" t="str">
        <f t="shared" si="1"/>
        <v/>
      </c>
      <c r="P2826" s="143" t="str">
        <f>IF(ISNA(VLOOKUP(CONCAT(M2826,C2826), 'Judge Count DO NOT EDIT'!H:H, 1, FALSE)), "ERROR","")</f>
        <v>ERROR</v>
      </c>
      <c r="Q2826" s="141"/>
      <c r="R2826" s="143"/>
      <c r="S2826" s="139"/>
      <c r="T2826" s="141"/>
    </row>
    <row r="2827">
      <c r="A2827" s="138"/>
      <c r="B2827" s="138"/>
      <c r="C2827" s="138"/>
      <c r="D2827" s="139"/>
      <c r="E2827" s="138"/>
      <c r="F2827" s="138"/>
      <c r="G2827" s="138"/>
      <c r="H2827" s="138"/>
      <c r="I2827" s="138"/>
      <c r="J2827" s="138"/>
      <c r="K2827" s="138"/>
      <c r="L2827" s="138">
        <v>0.0</v>
      </c>
      <c r="M2827" s="140" t="str">
        <f>VLOOKUP(text(D2827, "#"),'Master Table'!$A:$F, 6, FALSE)</f>
        <v>#N/A</v>
      </c>
      <c r="N2827" s="141"/>
      <c r="O2827" s="142" t="str">
        <f t="shared" si="1"/>
        <v/>
      </c>
      <c r="P2827" s="143" t="str">
        <f>IF(ISNA(VLOOKUP(CONCAT(M2827,C2827), 'Judge Count DO NOT EDIT'!H:H, 1, FALSE)), "ERROR","")</f>
        <v>ERROR</v>
      </c>
      <c r="Q2827" s="141"/>
      <c r="R2827" s="143"/>
      <c r="S2827" s="139"/>
      <c r="T2827" s="141"/>
    </row>
    <row r="2828">
      <c r="A2828" s="138"/>
      <c r="B2828" s="138"/>
      <c r="C2828" s="138"/>
      <c r="D2828" s="139"/>
      <c r="E2828" s="138"/>
      <c r="F2828" s="138"/>
      <c r="G2828" s="138"/>
      <c r="H2828" s="138"/>
      <c r="I2828" s="138"/>
      <c r="J2828" s="138"/>
      <c r="K2828" s="138"/>
      <c r="L2828" s="138">
        <v>0.0</v>
      </c>
      <c r="M2828" s="140" t="str">
        <f>VLOOKUP(text(D2828, "#"),'Master Table'!$A:$F, 6, FALSE)</f>
        <v>#N/A</v>
      </c>
      <c r="N2828" s="141"/>
      <c r="O2828" s="142" t="str">
        <f t="shared" si="1"/>
        <v/>
      </c>
      <c r="P2828" s="143" t="str">
        <f>IF(ISNA(VLOOKUP(CONCAT(M2828,C2828), 'Judge Count DO NOT EDIT'!H:H, 1, FALSE)), "ERROR","")</f>
        <v>ERROR</v>
      </c>
      <c r="Q2828" s="141"/>
      <c r="R2828" s="143"/>
      <c r="S2828" s="139"/>
      <c r="T2828" s="141"/>
    </row>
    <row r="2829">
      <c r="A2829" s="138"/>
      <c r="B2829" s="138"/>
      <c r="C2829" s="138"/>
      <c r="D2829" s="139"/>
      <c r="E2829" s="138"/>
      <c r="F2829" s="138"/>
      <c r="G2829" s="138"/>
      <c r="H2829" s="138"/>
      <c r="I2829" s="138"/>
      <c r="J2829" s="138"/>
      <c r="K2829" s="138"/>
      <c r="L2829" s="138">
        <v>0.0</v>
      </c>
      <c r="M2829" s="140" t="str">
        <f>VLOOKUP(text(D2829, "#"),'Master Table'!$A:$F, 6, FALSE)</f>
        <v>#N/A</v>
      </c>
      <c r="N2829" s="141"/>
      <c r="O2829" s="142" t="str">
        <f t="shared" si="1"/>
        <v/>
      </c>
      <c r="P2829" s="143" t="str">
        <f>IF(ISNA(VLOOKUP(CONCAT(M2829,C2829), 'Judge Count DO NOT EDIT'!H:H, 1, FALSE)), "ERROR","")</f>
        <v>ERROR</v>
      </c>
      <c r="Q2829" s="141"/>
      <c r="R2829" s="143"/>
      <c r="S2829" s="139"/>
      <c r="T2829" s="141"/>
    </row>
    <row r="2830">
      <c r="A2830" s="138"/>
      <c r="B2830" s="138"/>
      <c r="C2830" s="138"/>
      <c r="D2830" s="139"/>
      <c r="E2830" s="138"/>
      <c r="F2830" s="138"/>
      <c r="G2830" s="138"/>
      <c r="H2830" s="138"/>
      <c r="I2830" s="138"/>
      <c r="J2830" s="138"/>
      <c r="K2830" s="138"/>
      <c r="L2830" s="138">
        <v>0.0</v>
      </c>
      <c r="M2830" s="140" t="str">
        <f>VLOOKUP(text(D2830, "#"),'Master Table'!$A:$F, 6, FALSE)</f>
        <v>#N/A</v>
      </c>
      <c r="N2830" s="141"/>
      <c r="O2830" s="142" t="str">
        <f t="shared" si="1"/>
        <v/>
      </c>
      <c r="P2830" s="143" t="str">
        <f>IF(ISNA(VLOOKUP(CONCAT(M2830,C2830), 'Judge Count DO NOT EDIT'!H:H, 1, FALSE)), "ERROR","")</f>
        <v>ERROR</v>
      </c>
      <c r="Q2830" s="141"/>
      <c r="R2830" s="143"/>
      <c r="S2830" s="139"/>
      <c r="T2830" s="141"/>
    </row>
    <row r="2831">
      <c r="A2831" s="138"/>
      <c r="B2831" s="138"/>
      <c r="C2831" s="138"/>
      <c r="D2831" s="139"/>
      <c r="E2831" s="138"/>
      <c r="F2831" s="138"/>
      <c r="G2831" s="138"/>
      <c r="H2831" s="138"/>
      <c r="I2831" s="138"/>
      <c r="J2831" s="138"/>
      <c r="K2831" s="138"/>
      <c r="L2831" s="138">
        <v>0.0</v>
      </c>
      <c r="M2831" s="140" t="str">
        <f>VLOOKUP(text(D2831, "#"),'Master Table'!$A:$F, 6, FALSE)</f>
        <v>#N/A</v>
      </c>
      <c r="N2831" s="141"/>
      <c r="O2831" s="142" t="str">
        <f t="shared" si="1"/>
        <v/>
      </c>
      <c r="P2831" s="143" t="str">
        <f>IF(ISNA(VLOOKUP(CONCAT(M2831,C2831), 'Judge Count DO NOT EDIT'!H:H, 1, FALSE)), "ERROR","")</f>
        <v>ERROR</v>
      </c>
      <c r="Q2831" s="141"/>
      <c r="R2831" s="143"/>
      <c r="S2831" s="139"/>
      <c r="T2831" s="141"/>
    </row>
    <row r="2832">
      <c r="A2832" s="138"/>
      <c r="B2832" s="138"/>
      <c r="C2832" s="138"/>
      <c r="D2832" s="139"/>
      <c r="E2832" s="138"/>
      <c r="F2832" s="138"/>
      <c r="G2832" s="138"/>
      <c r="H2832" s="138"/>
      <c r="I2832" s="138"/>
      <c r="J2832" s="138"/>
      <c r="K2832" s="138"/>
      <c r="L2832" s="138">
        <v>0.0</v>
      </c>
      <c r="M2832" s="140" t="str">
        <f>VLOOKUP(text(D2832, "#"),'Master Table'!$A:$F, 6, FALSE)</f>
        <v>#N/A</v>
      </c>
      <c r="N2832" s="141"/>
      <c r="O2832" s="142" t="str">
        <f t="shared" si="1"/>
        <v/>
      </c>
      <c r="P2832" s="143" t="str">
        <f>IF(ISNA(VLOOKUP(CONCAT(M2832,C2832), 'Judge Count DO NOT EDIT'!H:H, 1, FALSE)), "ERROR","")</f>
        <v>ERROR</v>
      </c>
      <c r="Q2832" s="141"/>
      <c r="R2832" s="143"/>
      <c r="S2832" s="139"/>
      <c r="T2832" s="141"/>
    </row>
    <row r="2833">
      <c r="A2833" s="138"/>
      <c r="B2833" s="138"/>
      <c r="C2833" s="138"/>
      <c r="D2833" s="139"/>
      <c r="E2833" s="138"/>
      <c r="F2833" s="138"/>
      <c r="G2833" s="138"/>
      <c r="H2833" s="138"/>
      <c r="I2833" s="138"/>
      <c r="J2833" s="138"/>
      <c r="K2833" s="138"/>
      <c r="L2833" s="138">
        <v>0.0</v>
      </c>
      <c r="M2833" s="140" t="str">
        <f>VLOOKUP(text(D2833, "#"),'Master Table'!$A:$F, 6, FALSE)</f>
        <v>#N/A</v>
      </c>
      <c r="N2833" s="141"/>
      <c r="O2833" s="142" t="str">
        <f t="shared" si="1"/>
        <v/>
      </c>
      <c r="P2833" s="143" t="str">
        <f>IF(ISNA(VLOOKUP(CONCAT(M2833,C2833), 'Judge Count DO NOT EDIT'!H:H, 1, FALSE)), "ERROR","")</f>
        <v>ERROR</v>
      </c>
      <c r="Q2833" s="141"/>
      <c r="R2833" s="143"/>
      <c r="S2833" s="139"/>
      <c r="T2833" s="141"/>
    </row>
    <row r="2834">
      <c r="A2834" s="138"/>
      <c r="B2834" s="138"/>
      <c r="C2834" s="138"/>
      <c r="D2834" s="139"/>
      <c r="E2834" s="138"/>
      <c r="F2834" s="138"/>
      <c r="G2834" s="138"/>
      <c r="H2834" s="138"/>
      <c r="I2834" s="138"/>
      <c r="J2834" s="138"/>
      <c r="K2834" s="138"/>
      <c r="L2834" s="138">
        <v>0.0</v>
      </c>
      <c r="M2834" s="140" t="str">
        <f>VLOOKUP(text(D2834, "#"),'Master Table'!$A:$F, 6, FALSE)</f>
        <v>#N/A</v>
      </c>
      <c r="N2834" s="141"/>
      <c r="O2834" s="142" t="str">
        <f t="shared" si="1"/>
        <v/>
      </c>
      <c r="P2834" s="143" t="str">
        <f>IF(ISNA(VLOOKUP(CONCAT(M2834,C2834), 'Judge Count DO NOT EDIT'!H:H, 1, FALSE)), "ERROR","")</f>
        <v>ERROR</v>
      </c>
      <c r="Q2834" s="141"/>
      <c r="R2834" s="143"/>
      <c r="S2834" s="139"/>
      <c r="T2834" s="141"/>
    </row>
    <row r="2835">
      <c r="A2835" s="138"/>
      <c r="B2835" s="138"/>
      <c r="C2835" s="138"/>
      <c r="D2835" s="139"/>
      <c r="E2835" s="138"/>
      <c r="F2835" s="138"/>
      <c r="G2835" s="138"/>
      <c r="H2835" s="138"/>
      <c r="I2835" s="138"/>
      <c r="J2835" s="138"/>
      <c r="K2835" s="138"/>
      <c r="L2835" s="138">
        <v>0.0</v>
      </c>
      <c r="M2835" s="140" t="str">
        <f>VLOOKUP(text(D2835, "#"),'Master Table'!$A:$F, 6, FALSE)</f>
        <v>#N/A</v>
      </c>
      <c r="N2835" s="141"/>
      <c r="O2835" s="142" t="str">
        <f t="shared" si="1"/>
        <v/>
      </c>
      <c r="P2835" s="143" t="str">
        <f>IF(ISNA(VLOOKUP(CONCAT(M2835,C2835), 'Judge Count DO NOT EDIT'!H:H, 1, FALSE)), "ERROR","")</f>
        <v>ERROR</v>
      </c>
      <c r="Q2835" s="141"/>
      <c r="R2835" s="143"/>
      <c r="S2835" s="139"/>
      <c r="T2835" s="141"/>
    </row>
    <row r="2836">
      <c r="A2836" s="138"/>
      <c r="B2836" s="138"/>
      <c r="C2836" s="138"/>
      <c r="D2836" s="139"/>
      <c r="E2836" s="138"/>
      <c r="F2836" s="138"/>
      <c r="G2836" s="138"/>
      <c r="H2836" s="138"/>
      <c r="I2836" s="138"/>
      <c r="J2836" s="138"/>
      <c r="K2836" s="138"/>
      <c r="L2836" s="138">
        <v>0.0</v>
      </c>
      <c r="M2836" s="140" t="str">
        <f>VLOOKUP(text(D2836, "#"),'Master Table'!$A:$F, 6, FALSE)</f>
        <v>#N/A</v>
      </c>
      <c r="N2836" s="141"/>
      <c r="O2836" s="142" t="str">
        <f t="shared" si="1"/>
        <v/>
      </c>
      <c r="P2836" s="143" t="str">
        <f>IF(ISNA(VLOOKUP(CONCAT(M2836,C2836), 'Judge Count DO NOT EDIT'!H:H, 1, FALSE)), "ERROR","")</f>
        <v>ERROR</v>
      </c>
      <c r="Q2836" s="141"/>
      <c r="R2836" s="143"/>
      <c r="S2836" s="139"/>
      <c r="T2836" s="141"/>
    </row>
    <row r="2837">
      <c r="A2837" s="138"/>
      <c r="B2837" s="138"/>
      <c r="C2837" s="138"/>
      <c r="D2837" s="139"/>
      <c r="E2837" s="138"/>
      <c r="F2837" s="138"/>
      <c r="G2837" s="138"/>
      <c r="H2837" s="138"/>
      <c r="I2837" s="138"/>
      <c r="J2837" s="138"/>
      <c r="K2837" s="138"/>
      <c r="L2837" s="138">
        <v>0.0</v>
      </c>
      <c r="M2837" s="140" t="str">
        <f>VLOOKUP(text(D2837, "#"),'Master Table'!$A:$F, 6, FALSE)</f>
        <v>#N/A</v>
      </c>
      <c r="N2837" s="141"/>
      <c r="O2837" s="142" t="str">
        <f t="shared" si="1"/>
        <v/>
      </c>
      <c r="P2837" s="143" t="str">
        <f>IF(ISNA(VLOOKUP(CONCAT(M2837,C2837), 'Judge Count DO NOT EDIT'!H:H, 1, FALSE)), "ERROR","")</f>
        <v>ERROR</v>
      </c>
      <c r="Q2837" s="141"/>
      <c r="R2837" s="143"/>
      <c r="S2837" s="139"/>
      <c r="T2837" s="141"/>
    </row>
    <row r="2838">
      <c r="A2838" s="138"/>
      <c r="B2838" s="138"/>
      <c r="C2838" s="138"/>
      <c r="D2838" s="139"/>
      <c r="E2838" s="138"/>
      <c r="F2838" s="138"/>
      <c r="G2838" s="138"/>
      <c r="H2838" s="138"/>
      <c r="I2838" s="138"/>
      <c r="J2838" s="138"/>
      <c r="K2838" s="138"/>
      <c r="L2838" s="138">
        <v>0.0</v>
      </c>
      <c r="M2838" s="140" t="str">
        <f>VLOOKUP(text(D2838, "#"),'Master Table'!$A:$F, 6, FALSE)</f>
        <v>#N/A</v>
      </c>
      <c r="N2838" s="141"/>
      <c r="O2838" s="142" t="str">
        <f t="shared" si="1"/>
        <v/>
      </c>
      <c r="P2838" s="143" t="str">
        <f>IF(ISNA(VLOOKUP(CONCAT(M2838,C2838), 'Judge Count DO NOT EDIT'!H:H, 1, FALSE)), "ERROR","")</f>
        <v>ERROR</v>
      </c>
      <c r="Q2838" s="141"/>
      <c r="R2838" s="143"/>
      <c r="S2838" s="139"/>
      <c r="T2838" s="141"/>
    </row>
    <row r="2839">
      <c r="A2839" s="138"/>
      <c r="B2839" s="138"/>
      <c r="C2839" s="138"/>
      <c r="D2839" s="139"/>
      <c r="E2839" s="138"/>
      <c r="F2839" s="138"/>
      <c r="G2839" s="138"/>
      <c r="H2839" s="138"/>
      <c r="I2839" s="138"/>
      <c r="J2839" s="138"/>
      <c r="K2839" s="138"/>
      <c r="L2839" s="138">
        <v>0.0</v>
      </c>
      <c r="M2839" s="140" t="str">
        <f>VLOOKUP(text(D2839, "#"),'Master Table'!$A:$F, 6, FALSE)</f>
        <v>#N/A</v>
      </c>
      <c r="N2839" s="141"/>
      <c r="O2839" s="142" t="str">
        <f t="shared" si="1"/>
        <v/>
      </c>
      <c r="P2839" s="143" t="str">
        <f>IF(ISNA(VLOOKUP(CONCAT(M2839,C2839), 'Judge Count DO NOT EDIT'!H:H, 1, FALSE)), "ERROR","")</f>
        <v>ERROR</v>
      </c>
      <c r="Q2839" s="141"/>
      <c r="R2839" s="143"/>
      <c r="S2839" s="139"/>
      <c r="T2839" s="141"/>
    </row>
    <row r="2840">
      <c r="A2840" s="138"/>
      <c r="B2840" s="138"/>
      <c r="C2840" s="138"/>
      <c r="D2840" s="139"/>
      <c r="E2840" s="138"/>
      <c r="F2840" s="138"/>
      <c r="G2840" s="138"/>
      <c r="H2840" s="138"/>
      <c r="I2840" s="138"/>
      <c r="J2840" s="138"/>
      <c r="K2840" s="138"/>
      <c r="L2840" s="138">
        <v>0.0</v>
      </c>
      <c r="M2840" s="140" t="str">
        <f>VLOOKUP(text(D2840, "#"),'Master Table'!$A:$F, 6, FALSE)</f>
        <v>#N/A</v>
      </c>
      <c r="N2840" s="141"/>
      <c r="O2840" s="142" t="str">
        <f t="shared" si="1"/>
        <v/>
      </c>
      <c r="P2840" s="143" t="str">
        <f>IF(ISNA(VLOOKUP(CONCAT(M2840,C2840), 'Judge Count DO NOT EDIT'!H:H, 1, FALSE)), "ERROR","")</f>
        <v>ERROR</v>
      </c>
      <c r="Q2840" s="141"/>
      <c r="R2840" s="143"/>
      <c r="S2840" s="139"/>
      <c r="T2840" s="141"/>
    </row>
    <row r="2841">
      <c r="A2841" s="138"/>
      <c r="B2841" s="138"/>
      <c r="C2841" s="138"/>
      <c r="D2841" s="139"/>
      <c r="E2841" s="138"/>
      <c r="F2841" s="138"/>
      <c r="G2841" s="138"/>
      <c r="H2841" s="138"/>
      <c r="I2841" s="138"/>
      <c r="J2841" s="138"/>
      <c r="K2841" s="138"/>
      <c r="L2841" s="138">
        <v>0.0</v>
      </c>
      <c r="M2841" s="140" t="str">
        <f>VLOOKUP(text(D2841, "#"),'Master Table'!$A:$F, 6, FALSE)</f>
        <v>#N/A</v>
      </c>
      <c r="N2841" s="141"/>
      <c r="O2841" s="142" t="str">
        <f t="shared" si="1"/>
        <v/>
      </c>
      <c r="P2841" s="143" t="str">
        <f>IF(ISNA(VLOOKUP(CONCAT(M2841,C2841), 'Judge Count DO NOT EDIT'!H:H, 1, FALSE)), "ERROR","")</f>
        <v>ERROR</v>
      </c>
      <c r="Q2841" s="141"/>
      <c r="R2841" s="143"/>
      <c r="S2841" s="139"/>
      <c r="T2841" s="141"/>
    </row>
    <row r="2842">
      <c r="A2842" s="138"/>
      <c r="B2842" s="138"/>
      <c r="C2842" s="138"/>
      <c r="D2842" s="139"/>
      <c r="E2842" s="138"/>
      <c r="F2842" s="138"/>
      <c r="G2842" s="138"/>
      <c r="H2842" s="138"/>
      <c r="I2842" s="138"/>
      <c r="J2842" s="138"/>
      <c r="K2842" s="138"/>
      <c r="L2842" s="138">
        <v>0.0</v>
      </c>
      <c r="M2842" s="140" t="str">
        <f>VLOOKUP(text(D2842, "#"),'Master Table'!$A:$F, 6, FALSE)</f>
        <v>#N/A</v>
      </c>
      <c r="N2842" s="141"/>
      <c r="O2842" s="142" t="str">
        <f t="shared" si="1"/>
        <v/>
      </c>
      <c r="P2842" s="143" t="str">
        <f>IF(ISNA(VLOOKUP(CONCAT(M2842,C2842), 'Judge Count DO NOT EDIT'!H:H, 1, FALSE)), "ERROR","")</f>
        <v>ERROR</v>
      </c>
      <c r="Q2842" s="141"/>
      <c r="R2842" s="143"/>
      <c r="S2842" s="139"/>
      <c r="T2842" s="141"/>
    </row>
    <row r="2843">
      <c r="A2843" s="138"/>
      <c r="B2843" s="138"/>
      <c r="C2843" s="138"/>
      <c r="D2843" s="139"/>
      <c r="E2843" s="138"/>
      <c r="F2843" s="138"/>
      <c r="G2843" s="138"/>
      <c r="H2843" s="138"/>
      <c r="I2843" s="138"/>
      <c r="J2843" s="138"/>
      <c r="K2843" s="138"/>
      <c r="L2843" s="138">
        <v>0.0</v>
      </c>
      <c r="M2843" s="140" t="str">
        <f>VLOOKUP(text(D2843, "#"),'Master Table'!$A:$F, 6, FALSE)</f>
        <v>#N/A</v>
      </c>
      <c r="N2843" s="141"/>
      <c r="O2843" s="142" t="str">
        <f t="shared" si="1"/>
        <v/>
      </c>
      <c r="P2843" s="143" t="str">
        <f>IF(ISNA(VLOOKUP(CONCAT(M2843,C2843), 'Judge Count DO NOT EDIT'!H:H, 1, FALSE)), "ERROR","")</f>
        <v>ERROR</v>
      </c>
      <c r="Q2843" s="141"/>
      <c r="R2843" s="143"/>
      <c r="S2843" s="139"/>
      <c r="T2843" s="141"/>
    </row>
    <row r="2844">
      <c r="A2844" s="138"/>
      <c r="B2844" s="138"/>
      <c r="C2844" s="138"/>
      <c r="D2844" s="139"/>
      <c r="E2844" s="138"/>
      <c r="F2844" s="138"/>
      <c r="G2844" s="138"/>
      <c r="H2844" s="138"/>
      <c r="I2844" s="138"/>
      <c r="J2844" s="138"/>
      <c r="K2844" s="138"/>
      <c r="L2844" s="138">
        <v>0.0</v>
      </c>
      <c r="M2844" s="140" t="str">
        <f>VLOOKUP(text(D2844, "#"),'Master Table'!$A:$F, 6, FALSE)</f>
        <v>#N/A</v>
      </c>
      <c r="N2844" s="141"/>
      <c r="O2844" s="142" t="str">
        <f t="shared" si="1"/>
        <v/>
      </c>
      <c r="P2844" s="143" t="str">
        <f>IF(ISNA(VLOOKUP(CONCAT(M2844,C2844), 'Judge Count DO NOT EDIT'!H:H, 1, FALSE)), "ERROR","")</f>
        <v>ERROR</v>
      </c>
      <c r="Q2844" s="141"/>
      <c r="R2844" s="143"/>
      <c r="S2844" s="139"/>
      <c r="T2844" s="141"/>
    </row>
    <row r="2845">
      <c r="A2845" s="138"/>
      <c r="B2845" s="138"/>
      <c r="C2845" s="138"/>
      <c r="D2845" s="139"/>
      <c r="E2845" s="138"/>
      <c r="F2845" s="138"/>
      <c r="G2845" s="138"/>
      <c r="H2845" s="138"/>
      <c r="I2845" s="138"/>
      <c r="J2845" s="138"/>
      <c r="K2845" s="138"/>
      <c r="L2845" s="138">
        <v>0.0</v>
      </c>
      <c r="M2845" s="140" t="str">
        <f>VLOOKUP(text(D2845, "#"),'Master Table'!$A:$F, 6, FALSE)</f>
        <v>#N/A</v>
      </c>
      <c r="N2845" s="141"/>
      <c r="O2845" s="142" t="str">
        <f t="shared" si="1"/>
        <v/>
      </c>
      <c r="P2845" s="143" t="str">
        <f>IF(ISNA(VLOOKUP(CONCAT(M2845,C2845), 'Judge Count DO NOT EDIT'!H:H, 1, FALSE)), "ERROR","")</f>
        <v>ERROR</v>
      </c>
      <c r="Q2845" s="141"/>
      <c r="R2845" s="143"/>
      <c r="S2845" s="139"/>
      <c r="T2845" s="141"/>
    </row>
    <row r="2846">
      <c r="A2846" s="138"/>
      <c r="B2846" s="138"/>
      <c r="C2846" s="138"/>
      <c r="D2846" s="139"/>
      <c r="E2846" s="138"/>
      <c r="F2846" s="138"/>
      <c r="G2846" s="138"/>
      <c r="H2846" s="138"/>
      <c r="I2846" s="138"/>
      <c r="J2846" s="138"/>
      <c r="K2846" s="138"/>
      <c r="L2846" s="138">
        <v>0.0</v>
      </c>
      <c r="M2846" s="140" t="str">
        <f>VLOOKUP(text(D2846, "#"),'Master Table'!$A:$F, 6, FALSE)</f>
        <v>#N/A</v>
      </c>
      <c r="N2846" s="141"/>
      <c r="O2846" s="142" t="str">
        <f t="shared" si="1"/>
        <v/>
      </c>
      <c r="P2846" s="143" t="str">
        <f>IF(ISNA(VLOOKUP(CONCAT(M2846,C2846), 'Judge Count DO NOT EDIT'!H:H, 1, FALSE)), "ERROR","")</f>
        <v>ERROR</v>
      </c>
      <c r="Q2846" s="141"/>
      <c r="R2846" s="143"/>
      <c r="S2846" s="139"/>
      <c r="T2846" s="141"/>
    </row>
    <row r="2847">
      <c r="A2847" s="138"/>
      <c r="B2847" s="138"/>
      <c r="C2847" s="138"/>
      <c r="D2847" s="139"/>
      <c r="E2847" s="138"/>
      <c r="F2847" s="138"/>
      <c r="G2847" s="138"/>
      <c r="H2847" s="138"/>
      <c r="I2847" s="138"/>
      <c r="J2847" s="138"/>
      <c r="K2847" s="138"/>
      <c r="L2847" s="138">
        <v>0.0</v>
      </c>
      <c r="M2847" s="140" t="str">
        <f>VLOOKUP(text(D2847, "#"),'Master Table'!$A:$F, 6, FALSE)</f>
        <v>#N/A</v>
      </c>
      <c r="N2847" s="141"/>
      <c r="O2847" s="142" t="str">
        <f t="shared" si="1"/>
        <v/>
      </c>
      <c r="P2847" s="143" t="str">
        <f>IF(ISNA(VLOOKUP(CONCAT(M2847,C2847), 'Judge Count DO NOT EDIT'!H:H, 1, FALSE)), "ERROR","")</f>
        <v>ERROR</v>
      </c>
      <c r="Q2847" s="141"/>
      <c r="R2847" s="143"/>
      <c r="S2847" s="139"/>
      <c r="T2847" s="141"/>
    </row>
    <row r="2848">
      <c r="A2848" s="138"/>
      <c r="B2848" s="138"/>
      <c r="C2848" s="138"/>
      <c r="D2848" s="139"/>
      <c r="E2848" s="138"/>
      <c r="F2848" s="138"/>
      <c r="G2848" s="138"/>
      <c r="H2848" s="138"/>
      <c r="I2848" s="138"/>
      <c r="J2848" s="138"/>
      <c r="K2848" s="138"/>
      <c r="L2848" s="138">
        <v>0.0</v>
      </c>
      <c r="M2848" s="140" t="str">
        <f>VLOOKUP(text(D2848, "#"),'Master Table'!$A:$F, 6, FALSE)</f>
        <v>#N/A</v>
      </c>
      <c r="N2848" s="141"/>
      <c r="O2848" s="142" t="str">
        <f t="shared" si="1"/>
        <v/>
      </c>
      <c r="P2848" s="143" t="str">
        <f>IF(ISNA(VLOOKUP(CONCAT(M2848,C2848), 'Judge Count DO NOT EDIT'!H:H, 1, FALSE)), "ERROR","")</f>
        <v>ERROR</v>
      </c>
      <c r="Q2848" s="141"/>
      <c r="R2848" s="143"/>
      <c r="S2848" s="139"/>
      <c r="T2848" s="141"/>
    </row>
    <row r="2849">
      <c r="A2849" s="138"/>
      <c r="B2849" s="138"/>
      <c r="C2849" s="138"/>
      <c r="D2849" s="139"/>
      <c r="E2849" s="138"/>
      <c r="F2849" s="138"/>
      <c r="G2849" s="138"/>
      <c r="H2849" s="138"/>
      <c r="I2849" s="138"/>
      <c r="J2849" s="138"/>
      <c r="K2849" s="138"/>
      <c r="L2849" s="138">
        <v>0.0</v>
      </c>
      <c r="M2849" s="140" t="str">
        <f>VLOOKUP(text(D2849, "#"),'Master Table'!$A:$F, 6, FALSE)</f>
        <v>#N/A</v>
      </c>
      <c r="N2849" s="141"/>
      <c r="O2849" s="142" t="str">
        <f t="shared" si="1"/>
        <v/>
      </c>
      <c r="P2849" s="143" t="str">
        <f>IF(ISNA(VLOOKUP(CONCAT(M2849,C2849), 'Judge Count DO NOT EDIT'!H:H, 1, FALSE)), "ERROR","")</f>
        <v>ERROR</v>
      </c>
      <c r="Q2849" s="141"/>
      <c r="R2849" s="143"/>
      <c r="S2849" s="139"/>
      <c r="T2849" s="141"/>
    </row>
    <row r="2850">
      <c r="A2850" s="138"/>
      <c r="B2850" s="138"/>
      <c r="C2850" s="138"/>
      <c r="D2850" s="139"/>
      <c r="E2850" s="138"/>
      <c r="F2850" s="138"/>
      <c r="G2850" s="138"/>
      <c r="H2850" s="138"/>
      <c r="I2850" s="138"/>
      <c r="J2850" s="138"/>
      <c r="K2850" s="138"/>
      <c r="L2850" s="138">
        <v>0.0</v>
      </c>
      <c r="M2850" s="140" t="str">
        <f>VLOOKUP(text(D2850, "#"),'Master Table'!$A:$F, 6, FALSE)</f>
        <v>#N/A</v>
      </c>
      <c r="N2850" s="141"/>
      <c r="O2850" s="142" t="str">
        <f t="shared" si="1"/>
        <v/>
      </c>
      <c r="P2850" s="143" t="str">
        <f>IF(ISNA(VLOOKUP(CONCAT(M2850,C2850), 'Judge Count DO NOT EDIT'!H:H, 1, FALSE)), "ERROR","")</f>
        <v>ERROR</v>
      </c>
      <c r="Q2850" s="141"/>
      <c r="R2850" s="143"/>
      <c r="S2850" s="139"/>
      <c r="T2850" s="141"/>
    </row>
    <row r="2851">
      <c r="A2851" s="138"/>
      <c r="B2851" s="138"/>
      <c r="C2851" s="138"/>
      <c r="D2851" s="139"/>
      <c r="E2851" s="138"/>
      <c r="F2851" s="138"/>
      <c r="G2851" s="138"/>
      <c r="H2851" s="138"/>
      <c r="I2851" s="138"/>
      <c r="J2851" s="138"/>
      <c r="K2851" s="138"/>
      <c r="L2851" s="138">
        <v>0.0</v>
      </c>
      <c r="M2851" s="140" t="str">
        <f>VLOOKUP(text(D2851, "#"),'Master Table'!$A:$F, 6, FALSE)</f>
        <v>#N/A</v>
      </c>
      <c r="N2851" s="141"/>
      <c r="O2851" s="142" t="str">
        <f t="shared" si="1"/>
        <v/>
      </c>
      <c r="P2851" s="143" t="str">
        <f>IF(ISNA(VLOOKUP(CONCAT(M2851,C2851), 'Judge Count DO NOT EDIT'!H:H, 1, FALSE)), "ERROR","")</f>
        <v>ERROR</v>
      </c>
      <c r="Q2851" s="141"/>
      <c r="R2851" s="143"/>
      <c r="S2851" s="139"/>
      <c r="T2851" s="141"/>
    </row>
    <row r="2852">
      <c r="A2852" s="138"/>
      <c r="B2852" s="138"/>
      <c r="C2852" s="138"/>
      <c r="D2852" s="139"/>
      <c r="E2852" s="138"/>
      <c r="F2852" s="138"/>
      <c r="G2852" s="138"/>
      <c r="H2852" s="138"/>
      <c r="I2852" s="138"/>
      <c r="J2852" s="138"/>
      <c r="K2852" s="138"/>
      <c r="L2852" s="138">
        <v>0.0</v>
      </c>
      <c r="M2852" s="140" t="str">
        <f>VLOOKUP(text(D2852, "#"),'Master Table'!$A:$F, 6, FALSE)</f>
        <v>#N/A</v>
      </c>
      <c r="N2852" s="141"/>
      <c r="O2852" s="142" t="str">
        <f t="shared" si="1"/>
        <v/>
      </c>
      <c r="P2852" s="143" t="str">
        <f>IF(ISNA(VLOOKUP(CONCAT(M2852,C2852), 'Judge Count DO NOT EDIT'!H:H, 1, FALSE)), "ERROR","")</f>
        <v>ERROR</v>
      </c>
      <c r="Q2852" s="141"/>
      <c r="R2852" s="143"/>
      <c r="S2852" s="139"/>
      <c r="T2852" s="141"/>
    </row>
    <row r="2853">
      <c r="A2853" s="138"/>
      <c r="B2853" s="138"/>
      <c r="C2853" s="138"/>
      <c r="D2853" s="139"/>
      <c r="E2853" s="138"/>
      <c r="F2853" s="138"/>
      <c r="G2853" s="138"/>
      <c r="H2853" s="138"/>
      <c r="I2853" s="138"/>
      <c r="J2853" s="138"/>
      <c r="K2853" s="138"/>
      <c r="L2853" s="138">
        <v>0.0</v>
      </c>
      <c r="M2853" s="140" t="str">
        <f>VLOOKUP(text(D2853, "#"),'Master Table'!$A:$F, 6, FALSE)</f>
        <v>#N/A</v>
      </c>
      <c r="N2853" s="141"/>
      <c r="O2853" s="142" t="str">
        <f t="shared" si="1"/>
        <v/>
      </c>
      <c r="P2853" s="143" t="str">
        <f>IF(ISNA(VLOOKUP(CONCAT(M2853,C2853), 'Judge Count DO NOT EDIT'!H:H, 1, FALSE)), "ERROR","")</f>
        <v>ERROR</v>
      </c>
      <c r="Q2853" s="141"/>
      <c r="R2853" s="143"/>
      <c r="S2853" s="139"/>
      <c r="T2853" s="141"/>
    </row>
    <row r="2854">
      <c r="A2854" s="138"/>
      <c r="B2854" s="138"/>
      <c r="C2854" s="138"/>
      <c r="D2854" s="139"/>
      <c r="E2854" s="138"/>
      <c r="F2854" s="138"/>
      <c r="G2854" s="138"/>
      <c r="H2854" s="138"/>
      <c r="I2854" s="138"/>
      <c r="J2854" s="138"/>
      <c r="K2854" s="138"/>
      <c r="L2854" s="138">
        <v>0.0</v>
      </c>
      <c r="M2854" s="140" t="str">
        <f>VLOOKUP(text(D2854, "#"),'Master Table'!$A:$F, 6, FALSE)</f>
        <v>#N/A</v>
      </c>
      <c r="N2854" s="141"/>
      <c r="O2854" s="142" t="str">
        <f t="shared" si="1"/>
        <v/>
      </c>
      <c r="P2854" s="143" t="str">
        <f>IF(ISNA(VLOOKUP(CONCAT(M2854,C2854), 'Judge Count DO NOT EDIT'!H:H, 1, FALSE)), "ERROR","")</f>
        <v>ERROR</v>
      </c>
      <c r="Q2854" s="141"/>
      <c r="R2854" s="143"/>
      <c r="S2854" s="139"/>
      <c r="T2854" s="141"/>
    </row>
    <row r="2855">
      <c r="A2855" s="138"/>
      <c r="B2855" s="138"/>
      <c r="C2855" s="138"/>
      <c r="D2855" s="139"/>
      <c r="E2855" s="138"/>
      <c r="F2855" s="138"/>
      <c r="G2855" s="138"/>
      <c r="H2855" s="138"/>
      <c r="I2855" s="138"/>
      <c r="J2855" s="138"/>
      <c r="K2855" s="138"/>
      <c r="L2855" s="138">
        <v>0.0</v>
      </c>
      <c r="M2855" s="140" t="str">
        <f>VLOOKUP(text(D2855, "#"),'Master Table'!$A:$F, 6, FALSE)</f>
        <v>#N/A</v>
      </c>
      <c r="N2855" s="141"/>
      <c r="O2855" s="142" t="str">
        <f t="shared" si="1"/>
        <v/>
      </c>
      <c r="P2855" s="143" t="str">
        <f>IF(ISNA(VLOOKUP(CONCAT(M2855,C2855), 'Judge Count DO NOT EDIT'!H:H, 1, FALSE)), "ERROR","")</f>
        <v>ERROR</v>
      </c>
      <c r="Q2855" s="141"/>
      <c r="R2855" s="143"/>
      <c r="S2855" s="139"/>
      <c r="T2855" s="141"/>
    </row>
    <row r="2856">
      <c r="A2856" s="138"/>
      <c r="B2856" s="138"/>
      <c r="C2856" s="138"/>
      <c r="D2856" s="139"/>
      <c r="E2856" s="138"/>
      <c r="F2856" s="138"/>
      <c r="G2856" s="138"/>
      <c r="H2856" s="138"/>
      <c r="I2856" s="138"/>
      <c r="J2856" s="138"/>
      <c r="K2856" s="138"/>
      <c r="L2856" s="138">
        <v>0.0</v>
      </c>
      <c r="M2856" s="140" t="str">
        <f>VLOOKUP(text(D2856, "#"),'Master Table'!$A:$F, 6, FALSE)</f>
        <v>#N/A</v>
      </c>
      <c r="N2856" s="141"/>
      <c r="O2856" s="142" t="str">
        <f t="shared" si="1"/>
        <v/>
      </c>
      <c r="P2856" s="143" t="str">
        <f>IF(ISNA(VLOOKUP(CONCAT(M2856,C2856), 'Judge Count DO NOT EDIT'!H:H, 1, FALSE)), "ERROR","")</f>
        <v>ERROR</v>
      </c>
      <c r="Q2856" s="141"/>
      <c r="R2856" s="143"/>
      <c r="S2856" s="139"/>
      <c r="T2856" s="141"/>
    </row>
    <row r="2857">
      <c r="A2857" s="138"/>
      <c r="B2857" s="138"/>
      <c r="C2857" s="138"/>
      <c r="D2857" s="139"/>
      <c r="E2857" s="138"/>
      <c r="F2857" s="138"/>
      <c r="G2857" s="138"/>
      <c r="H2857" s="138"/>
      <c r="I2857" s="138"/>
      <c r="J2857" s="138"/>
      <c r="K2857" s="138"/>
      <c r="L2857" s="138">
        <v>0.0</v>
      </c>
      <c r="M2857" s="140" t="str">
        <f>VLOOKUP(text(D2857, "#"),'Master Table'!$A:$F, 6, FALSE)</f>
        <v>#N/A</v>
      </c>
      <c r="N2857" s="141"/>
      <c r="O2857" s="142" t="str">
        <f t="shared" si="1"/>
        <v/>
      </c>
      <c r="P2857" s="143" t="str">
        <f>IF(ISNA(VLOOKUP(CONCAT(M2857,C2857), 'Judge Count DO NOT EDIT'!H:H, 1, FALSE)), "ERROR","")</f>
        <v>ERROR</v>
      </c>
      <c r="Q2857" s="141"/>
      <c r="R2857" s="143"/>
      <c r="S2857" s="139"/>
      <c r="T2857" s="141"/>
    </row>
    <row r="2858">
      <c r="A2858" s="138"/>
      <c r="B2858" s="138"/>
      <c r="C2858" s="138"/>
      <c r="D2858" s="139"/>
      <c r="E2858" s="138"/>
      <c r="F2858" s="138"/>
      <c r="G2858" s="138"/>
      <c r="H2858" s="138"/>
      <c r="I2858" s="138"/>
      <c r="J2858" s="138"/>
      <c r="K2858" s="138"/>
      <c r="L2858" s="138">
        <v>0.0</v>
      </c>
      <c r="M2858" s="140" t="str">
        <f>VLOOKUP(text(D2858, "#"),'Master Table'!$A:$F, 6, FALSE)</f>
        <v>#N/A</v>
      </c>
      <c r="N2858" s="141"/>
      <c r="O2858" s="142" t="str">
        <f t="shared" si="1"/>
        <v/>
      </c>
      <c r="P2858" s="143" t="str">
        <f>IF(ISNA(VLOOKUP(CONCAT(M2858,C2858), 'Judge Count DO NOT EDIT'!H:H, 1, FALSE)), "ERROR","")</f>
        <v>ERROR</v>
      </c>
      <c r="Q2858" s="141"/>
      <c r="R2858" s="143"/>
      <c r="S2858" s="139"/>
      <c r="T2858" s="141"/>
    </row>
    <row r="2859">
      <c r="A2859" s="138"/>
      <c r="B2859" s="138"/>
      <c r="C2859" s="138"/>
      <c r="D2859" s="139"/>
      <c r="E2859" s="138"/>
      <c r="F2859" s="138"/>
      <c r="G2859" s="138"/>
      <c r="H2859" s="138"/>
      <c r="I2859" s="138"/>
      <c r="J2859" s="138"/>
      <c r="K2859" s="138"/>
      <c r="L2859" s="138">
        <v>0.0</v>
      </c>
      <c r="M2859" s="140" t="str">
        <f>VLOOKUP(text(D2859, "#"),'Master Table'!$A:$F, 6, FALSE)</f>
        <v>#N/A</v>
      </c>
      <c r="N2859" s="141"/>
      <c r="O2859" s="142" t="str">
        <f t="shared" si="1"/>
        <v/>
      </c>
      <c r="P2859" s="143" t="str">
        <f>IF(ISNA(VLOOKUP(CONCAT(M2859,C2859), 'Judge Count DO NOT EDIT'!H:H, 1, FALSE)), "ERROR","")</f>
        <v>ERROR</v>
      </c>
      <c r="Q2859" s="141"/>
      <c r="R2859" s="143"/>
      <c r="S2859" s="139"/>
      <c r="T2859" s="141"/>
    </row>
    <row r="2860">
      <c r="A2860" s="138"/>
      <c r="B2860" s="138"/>
      <c r="C2860" s="138"/>
      <c r="D2860" s="139"/>
      <c r="E2860" s="138"/>
      <c r="F2860" s="138"/>
      <c r="G2860" s="138"/>
      <c r="H2860" s="138"/>
      <c r="I2860" s="138"/>
      <c r="J2860" s="138"/>
      <c r="K2860" s="138"/>
      <c r="L2860" s="138">
        <v>0.0</v>
      </c>
      <c r="M2860" s="140" t="str">
        <f>VLOOKUP(text(D2860, "#"),'Master Table'!$A:$F, 6, FALSE)</f>
        <v>#N/A</v>
      </c>
      <c r="N2860" s="141"/>
      <c r="O2860" s="142" t="str">
        <f t="shared" si="1"/>
        <v/>
      </c>
      <c r="P2860" s="143" t="str">
        <f>IF(ISNA(VLOOKUP(CONCAT(M2860,C2860), 'Judge Count DO NOT EDIT'!H:H, 1, FALSE)), "ERROR","")</f>
        <v>ERROR</v>
      </c>
      <c r="Q2860" s="141"/>
      <c r="R2860" s="143"/>
      <c r="S2860" s="139"/>
      <c r="T2860" s="141"/>
    </row>
    <row r="2861">
      <c r="A2861" s="138"/>
      <c r="B2861" s="138"/>
      <c r="C2861" s="138"/>
      <c r="D2861" s="139"/>
      <c r="E2861" s="138"/>
      <c r="F2861" s="138"/>
      <c r="G2861" s="138"/>
      <c r="H2861" s="138"/>
      <c r="I2861" s="138"/>
      <c r="J2861" s="138"/>
      <c r="K2861" s="138"/>
      <c r="L2861" s="138">
        <v>0.0</v>
      </c>
      <c r="M2861" s="140" t="str">
        <f>VLOOKUP(text(D2861, "#"),'Master Table'!$A:$F, 6, FALSE)</f>
        <v>#N/A</v>
      </c>
      <c r="N2861" s="141"/>
      <c r="O2861" s="142" t="str">
        <f t="shared" si="1"/>
        <v/>
      </c>
      <c r="P2861" s="143" t="str">
        <f>IF(ISNA(VLOOKUP(CONCAT(M2861,C2861), 'Judge Count DO NOT EDIT'!H:H, 1, FALSE)), "ERROR","")</f>
        <v>ERROR</v>
      </c>
      <c r="Q2861" s="141"/>
      <c r="R2861" s="143"/>
      <c r="S2861" s="139"/>
      <c r="T2861" s="141"/>
    </row>
    <row r="2862">
      <c r="A2862" s="138"/>
      <c r="B2862" s="138"/>
      <c r="C2862" s="138"/>
      <c r="D2862" s="139"/>
      <c r="E2862" s="138"/>
      <c r="F2862" s="138"/>
      <c r="G2862" s="138"/>
      <c r="H2862" s="138"/>
      <c r="I2862" s="138"/>
      <c r="J2862" s="138"/>
      <c r="K2862" s="138"/>
      <c r="L2862" s="138">
        <v>0.0</v>
      </c>
      <c r="M2862" s="140" t="str">
        <f>VLOOKUP(text(D2862, "#"),'Master Table'!$A:$F, 6, FALSE)</f>
        <v>#N/A</v>
      </c>
      <c r="N2862" s="141"/>
      <c r="O2862" s="142" t="str">
        <f t="shared" si="1"/>
        <v/>
      </c>
      <c r="P2862" s="143" t="str">
        <f>IF(ISNA(VLOOKUP(CONCAT(M2862,C2862), 'Judge Count DO NOT EDIT'!H:H, 1, FALSE)), "ERROR","")</f>
        <v>ERROR</v>
      </c>
      <c r="Q2862" s="141"/>
      <c r="R2862" s="143"/>
      <c r="S2862" s="139"/>
      <c r="T2862" s="141"/>
    </row>
    <row r="2863">
      <c r="A2863" s="138"/>
      <c r="B2863" s="138"/>
      <c r="C2863" s="138"/>
      <c r="D2863" s="139"/>
      <c r="E2863" s="138"/>
      <c r="F2863" s="138"/>
      <c r="G2863" s="138"/>
      <c r="H2863" s="138"/>
      <c r="I2863" s="138"/>
      <c r="J2863" s="138"/>
      <c r="K2863" s="138"/>
      <c r="L2863" s="138">
        <v>0.0</v>
      </c>
      <c r="M2863" s="140" t="str">
        <f>VLOOKUP(text(D2863, "#"),'Master Table'!$A:$F, 6, FALSE)</f>
        <v>#N/A</v>
      </c>
      <c r="N2863" s="141"/>
      <c r="O2863" s="142" t="str">
        <f t="shared" si="1"/>
        <v/>
      </c>
      <c r="P2863" s="143" t="str">
        <f>IF(ISNA(VLOOKUP(CONCAT(M2863,C2863), 'Judge Count DO NOT EDIT'!H:H, 1, FALSE)), "ERROR","")</f>
        <v>ERROR</v>
      </c>
      <c r="Q2863" s="141"/>
      <c r="R2863" s="143"/>
      <c r="S2863" s="139"/>
      <c r="T2863" s="141"/>
    </row>
    <row r="2864">
      <c r="A2864" s="138"/>
      <c r="B2864" s="138"/>
      <c r="C2864" s="138"/>
      <c r="D2864" s="139"/>
      <c r="E2864" s="138"/>
      <c r="F2864" s="138"/>
      <c r="G2864" s="138"/>
      <c r="H2864" s="138"/>
      <c r="I2864" s="138"/>
      <c r="J2864" s="138"/>
      <c r="K2864" s="138"/>
      <c r="L2864" s="138">
        <v>0.0</v>
      </c>
      <c r="M2864" s="140" t="str">
        <f>VLOOKUP(text(D2864, "#"),'Master Table'!$A:$F, 6, FALSE)</f>
        <v>#N/A</v>
      </c>
      <c r="N2864" s="141"/>
      <c r="O2864" s="142" t="str">
        <f t="shared" si="1"/>
        <v/>
      </c>
      <c r="P2864" s="143" t="str">
        <f>IF(ISNA(VLOOKUP(CONCAT(M2864,C2864), 'Judge Count DO NOT EDIT'!H:H, 1, FALSE)), "ERROR","")</f>
        <v>ERROR</v>
      </c>
      <c r="Q2864" s="141"/>
      <c r="R2864" s="143"/>
      <c r="S2864" s="139"/>
      <c r="T2864" s="141"/>
    </row>
    <row r="2865">
      <c r="A2865" s="138"/>
      <c r="B2865" s="138"/>
      <c r="C2865" s="138"/>
      <c r="D2865" s="139"/>
      <c r="E2865" s="138"/>
      <c r="F2865" s="138"/>
      <c r="G2865" s="138"/>
      <c r="H2865" s="138"/>
      <c r="I2865" s="138"/>
      <c r="J2865" s="138"/>
      <c r="K2865" s="138"/>
      <c r="L2865" s="138">
        <v>0.0</v>
      </c>
      <c r="M2865" s="140" t="str">
        <f>VLOOKUP(text(D2865, "#"),'Master Table'!$A:$F, 6, FALSE)</f>
        <v>#N/A</v>
      </c>
      <c r="N2865" s="141"/>
      <c r="O2865" s="142" t="str">
        <f t="shared" si="1"/>
        <v/>
      </c>
      <c r="P2865" s="143" t="str">
        <f>IF(ISNA(VLOOKUP(CONCAT(M2865,C2865), 'Judge Count DO NOT EDIT'!H:H, 1, FALSE)), "ERROR","")</f>
        <v>ERROR</v>
      </c>
      <c r="Q2865" s="141"/>
      <c r="R2865" s="143"/>
      <c r="S2865" s="139"/>
      <c r="T2865" s="141"/>
    </row>
    <row r="2866">
      <c r="A2866" s="138"/>
      <c r="B2866" s="138"/>
      <c r="C2866" s="138"/>
      <c r="D2866" s="139"/>
      <c r="E2866" s="138"/>
      <c r="F2866" s="138"/>
      <c r="G2866" s="138"/>
      <c r="H2866" s="138"/>
      <c r="I2866" s="138"/>
      <c r="J2866" s="138"/>
      <c r="K2866" s="138"/>
      <c r="L2866" s="138">
        <v>0.0</v>
      </c>
      <c r="M2866" s="140" t="str">
        <f>VLOOKUP(text(D2866, "#"),'Master Table'!$A:$F, 6, FALSE)</f>
        <v>#N/A</v>
      </c>
      <c r="N2866" s="141"/>
      <c r="O2866" s="142" t="str">
        <f t="shared" si="1"/>
        <v/>
      </c>
      <c r="P2866" s="143" t="str">
        <f>IF(ISNA(VLOOKUP(CONCAT(M2866,C2866), 'Judge Count DO NOT EDIT'!H:H, 1, FALSE)), "ERROR","")</f>
        <v>ERROR</v>
      </c>
      <c r="Q2866" s="141"/>
      <c r="R2866" s="143"/>
      <c r="S2866" s="139"/>
      <c r="T2866" s="141"/>
    </row>
    <row r="2867">
      <c r="A2867" s="138"/>
      <c r="B2867" s="138"/>
      <c r="C2867" s="138"/>
      <c r="D2867" s="139"/>
      <c r="E2867" s="138"/>
      <c r="F2867" s="138"/>
      <c r="G2867" s="138"/>
      <c r="H2867" s="138"/>
      <c r="I2867" s="138"/>
      <c r="J2867" s="138"/>
      <c r="K2867" s="138"/>
      <c r="L2867" s="138">
        <v>0.0</v>
      </c>
      <c r="M2867" s="140" t="str">
        <f>VLOOKUP(text(D2867, "#"),'Master Table'!$A:$F, 6, FALSE)</f>
        <v>#N/A</v>
      </c>
      <c r="N2867" s="141"/>
      <c r="O2867" s="142" t="str">
        <f t="shared" si="1"/>
        <v/>
      </c>
      <c r="P2867" s="143" t="str">
        <f>IF(ISNA(VLOOKUP(CONCAT(M2867,C2867), 'Judge Count DO NOT EDIT'!H:H, 1, FALSE)), "ERROR","")</f>
        <v>ERROR</v>
      </c>
      <c r="Q2867" s="141"/>
      <c r="R2867" s="143"/>
      <c r="S2867" s="139"/>
      <c r="T2867" s="141"/>
    </row>
    <row r="2868">
      <c r="A2868" s="138"/>
      <c r="B2868" s="138"/>
      <c r="C2868" s="138"/>
      <c r="D2868" s="139"/>
      <c r="E2868" s="138"/>
      <c r="F2868" s="138"/>
      <c r="G2868" s="138"/>
      <c r="H2868" s="138"/>
      <c r="I2868" s="138"/>
      <c r="J2868" s="138"/>
      <c r="K2868" s="138"/>
      <c r="L2868" s="138">
        <v>0.0</v>
      </c>
      <c r="M2868" s="140" t="str">
        <f>VLOOKUP(text(D2868, "#"),'Master Table'!$A:$F, 6, FALSE)</f>
        <v>#N/A</v>
      </c>
      <c r="N2868" s="141"/>
      <c r="O2868" s="142" t="str">
        <f t="shared" si="1"/>
        <v/>
      </c>
      <c r="P2868" s="143" t="str">
        <f>IF(ISNA(VLOOKUP(CONCAT(M2868,C2868), 'Judge Count DO NOT EDIT'!H:H, 1, FALSE)), "ERROR","")</f>
        <v>ERROR</v>
      </c>
      <c r="Q2868" s="141"/>
      <c r="R2868" s="143"/>
      <c r="S2868" s="139"/>
      <c r="T2868" s="141"/>
    </row>
    <row r="2869">
      <c r="A2869" s="138"/>
      <c r="B2869" s="138"/>
      <c r="C2869" s="138"/>
      <c r="D2869" s="139"/>
      <c r="E2869" s="138"/>
      <c r="F2869" s="138"/>
      <c r="G2869" s="138"/>
      <c r="H2869" s="138"/>
      <c r="I2869" s="138"/>
      <c r="J2869" s="138"/>
      <c r="K2869" s="138"/>
      <c r="L2869" s="138">
        <v>0.0</v>
      </c>
      <c r="M2869" s="140" t="str">
        <f>VLOOKUP(text(D2869, "#"),'Master Table'!$A:$F, 6, FALSE)</f>
        <v>#N/A</v>
      </c>
      <c r="N2869" s="141"/>
      <c r="O2869" s="142" t="str">
        <f t="shared" si="1"/>
        <v/>
      </c>
      <c r="P2869" s="143" t="str">
        <f>IF(ISNA(VLOOKUP(CONCAT(M2869,C2869), 'Judge Count DO NOT EDIT'!H:H, 1, FALSE)), "ERROR","")</f>
        <v>ERROR</v>
      </c>
      <c r="Q2869" s="141"/>
      <c r="R2869" s="143"/>
      <c r="S2869" s="139"/>
      <c r="T2869" s="141"/>
    </row>
    <row r="2870">
      <c r="A2870" s="138"/>
      <c r="B2870" s="138"/>
      <c r="C2870" s="138"/>
      <c r="D2870" s="139"/>
      <c r="E2870" s="138"/>
      <c r="F2870" s="138"/>
      <c r="G2870" s="138"/>
      <c r="H2870" s="138"/>
      <c r="I2870" s="138"/>
      <c r="J2870" s="138"/>
      <c r="K2870" s="138"/>
      <c r="L2870" s="138">
        <v>0.0</v>
      </c>
      <c r="M2870" s="140" t="str">
        <f>VLOOKUP(text(D2870, "#"),'Master Table'!$A:$F, 6, FALSE)</f>
        <v>#N/A</v>
      </c>
      <c r="N2870" s="141"/>
      <c r="O2870" s="142" t="str">
        <f t="shared" si="1"/>
        <v/>
      </c>
      <c r="P2870" s="143" t="str">
        <f>IF(ISNA(VLOOKUP(CONCAT(M2870,C2870), 'Judge Count DO NOT EDIT'!H:H, 1, FALSE)), "ERROR","")</f>
        <v>ERROR</v>
      </c>
      <c r="Q2870" s="141"/>
      <c r="R2870" s="143"/>
      <c r="S2870" s="139"/>
      <c r="T2870" s="141"/>
    </row>
    <row r="2871">
      <c r="A2871" s="138"/>
      <c r="B2871" s="138"/>
      <c r="C2871" s="138"/>
      <c r="D2871" s="139"/>
      <c r="E2871" s="138"/>
      <c r="F2871" s="138"/>
      <c r="G2871" s="138"/>
      <c r="H2871" s="138"/>
      <c r="I2871" s="138"/>
      <c r="J2871" s="138"/>
      <c r="K2871" s="138"/>
      <c r="L2871" s="138">
        <v>0.0</v>
      </c>
      <c r="M2871" s="140" t="str">
        <f>VLOOKUP(text(D2871, "#"),'Master Table'!$A:$F, 6, FALSE)</f>
        <v>#N/A</v>
      </c>
      <c r="N2871" s="141"/>
      <c r="O2871" s="142" t="str">
        <f t="shared" si="1"/>
        <v/>
      </c>
      <c r="P2871" s="143" t="str">
        <f>IF(ISNA(VLOOKUP(CONCAT(M2871,C2871), 'Judge Count DO NOT EDIT'!H:H, 1, FALSE)), "ERROR","")</f>
        <v>ERROR</v>
      </c>
      <c r="Q2871" s="141"/>
      <c r="R2871" s="143"/>
      <c r="S2871" s="139"/>
      <c r="T2871" s="141"/>
    </row>
    <row r="2872">
      <c r="A2872" s="138"/>
      <c r="B2872" s="138"/>
      <c r="C2872" s="138"/>
      <c r="D2872" s="139"/>
      <c r="E2872" s="138"/>
      <c r="F2872" s="138"/>
      <c r="G2872" s="138"/>
      <c r="H2872" s="138"/>
      <c r="I2872" s="138"/>
      <c r="J2872" s="138"/>
      <c r="K2872" s="138"/>
      <c r="L2872" s="138">
        <v>0.0</v>
      </c>
      <c r="M2872" s="140" t="str">
        <f>VLOOKUP(text(D2872, "#"),'Master Table'!$A:$F, 6, FALSE)</f>
        <v>#N/A</v>
      </c>
      <c r="N2872" s="141"/>
      <c r="O2872" s="142" t="str">
        <f t="shared" si="1"/>
        <v/>
      </c>
      <c r="P2872" s="143" t="str">
        <f>IF(ISNA(VLOOKUP(CONCAT(M2872,C2872), 'Judge Count DO NOT EDIT'!H:H, 1, FALSE)), "ERROR","")</f>
        <v>ERROR</v>
      </c>
      <c r="Q2872" s="141"/>
      <c r="R2872" s="143"/>
      <c r="S2872" s="139"/>
      <c r="T2872" s="141"/>
    </row>
    <row r="2873">
      <c r="A2873" s="138"/>
      <c r="B2873" s="138"/>
      <c r="C2873" s="138"/>
      <c r="D2873" s="139"/>
      <c r="E2873" s="138"/>
      <c r="F2873" s="138"/>
      <c r="G2873" s="138"/>
      <c r="H2873" s="138"/>
      <c r="I2873" s="138"/>
      <c r="J2873" s="138"/>
      <c r="K2873" s="138"/>
      <c r="L2873" s="138">
        <v>0.0</v>
      </c>
      <c r="M2873" s="140" t="str">
        <f>VLOOKUP(text(D2873, "#"),'Master Table'!$A:$F, 6, FALSE)</f>
        <v>#N/A</v>
      </c>
      <c r="N2873" s="141"/>
      <c r="O2873" s="142" t="str">
        <f t="shared" si="1"/>
        <v/>
      </c>
      <c r="P2873" s="143" t="str">
        <f>IF(ISNA(VLOOKUP(CONCAT(M2873,C2873), 'Judge Count DO NOT EDIT'!H:H, 1, FALSE)), "ERROR","")</f>
        <v>ERROR</v>
      </c>
      <c r="Q2873" s="141"/>
      <c r="R2873" s="143"/>
      <c r="S2873" s="139"/>
      <c r="T2873" s="141"/>
    </row>
    <row r="2874">
      <c r="A2874" s="138"/>
      <c r="B2874" s="138"/>
      <c r="C2874" s="138"/>
      <c r="D2874" s="139"/>
      <c r="E2874" s="138"/>
      <c r="F2874" s="138"/>
      <c r="G2874" s="138"/>
      <c r="H2874" s="138"/>
      <c r="I2874" s="138"/>
      <c r="J2874" s="138"/>
      <c r="K2874" s="138"/>
      <c r="L2874" s="138">
        <v>0.0</v>
      </c>
      <c r="M2874" s="140" t="str">
        <f>VLOOKUP(text(D2874, "#"),'Master Table'!$A:$F, 6, FALSE)</f>
        <v>#N/A</v>
      </c>
      <c r="N2874" s="141"/>
      <c r="O2874" s="142" t="str">
        <f t="shared" si="1"/>
        <v/>
      </c>
      <c r="P2874" s="143" t="str">
        <f>IF(ISNA(VLOOKUP(CONCAT(M2874,C2874), 'Judge Count DO NOT EDIT'!H:H, 1, FALSE)), "ERROR","")</f>
        <v>ERROR</v>
      </c>
      <c r="Q2874" s="141"/>
      <c r="R2874" s="143"/>
      <c r="S2874" s="139"/>
      <c r="T2874" s="141"/>
    </row>
    <row r="2875">
      <c r="A2875" s="138"/>
      <c r="B2875" s="138"/>
      <c r="C2875" s="138"/>
      <c r="D2875" s="139"/>
      <c r="E2875" s="138"/>
      <c r="F2875" s="138"/>
      <c r="G2875" s="138"/>
      <c r="H2875" s="138"/>
      <c r="I2875" s="138"/>
      <c r="J2875" s="138"/>
      <c r="K2875" s="138"/>
      <c r="L2875" s="138">
        <v>0.0</v>
      </c>
      <c r="M2875" s="140" t="str">
        <f>VLOOKUP(text(D2875, "#"),'Master Table'!$A:$F, 6, FALSE)</f>
        <v>#N/A</v>
      </c>
      <c r="N2875" s="141"/>
      <c r="O2875" s="142" t="str">
        <f t="shared" si="1"/>
        <v/>
      </c>
      <c r="P2875" s="143" t="str">
        <f>IF(ISNA(VLOOKUP(CONCAT(M2875,C2875), 'Judge Count DO NOT EDIT'!H:H, 1, FALSE)), "ERROR","")</f>
        <v>ERROR</v>
      </c>
      <c r="Q2875" s="141"/>
      <c r="R2875" s="143"/>
      <c r="S2875" s="139"/>
      <c r="T2875" s="141"/>
    </row>
    <row r="2876">
      <c r="A2876" s="138"/>
      <c r="B2876" s="138"/>
      <c r="C2876" s="138"/>
      <c r="D2876" s="139"/>
      <c r="E2876" s="138"/>
      <c r="F2876" s="138"/>
      <c r="G2876" s="138"/>
      <c r="H2876" s="138"/>
      <c r="I2876" s="138"/>
      <c r="J2876" s="138"/>
      <c r="K2876" s="138"/>
      <c r="L2876" s="138">
        <v>0.0</v>
      </c>
      <c r="M2876" s="140" t="str">
        <f>VLOOKUP(text(D2876, "#"),'Master Table'!$A:$F, 6, FALSE)</f>
        <v>#N/A</v>
      </c>
      <c r="N2876" s="141"/>
      <c r="O2876" s="142" t="str">
        <f t="shared" si="1"/>
        <v/>
      </c>
      <c r="P2876" s="143" t="str">
        <f>IF(ISNA(VLOOKUP(CONCAT(M2876,C2876), 'Judge Count DO NOT EDIT'!H:H, 1, FALSE)), "ERROR","")</f>
        <v>ERROR</v>
      </c>
      <c r="Q2876" s="141"/>
      <c r="R2876" s="143"/>
      <c r="S2876" s="139"/>
      <c r="T2876" s="141"/>
    </row>
    <row r="2877">
      <c r="A2877" s="138"/>
      <c r="B2877" s="138"/>
      <c r="C2877" s="138"/>
      <c r="D2877" s="139"/>
      <c r="E2877" s="138"/>
      <c r="F2877" s="138"/>
      <c r="G2877" s="138"/>
      <c r="H2877" s="138"/>
      <c r="I2877" s="138"/>
      <c r="J2877" s="138"/>
      <c r="K2877" s="138"/>
      <c r="L2877" s="138">
        <v>0.0</v>
      </c>
      <c r="M2877" s="140" t="str">
        <f>VLOOKUP(text(D2877, "#"),'Master Table'!$A:$F, 6, FALSE)</f>
        <v>#N/A</v>
      </c>
      <c r="N2877" s="141"/>
      <c r="O2877" s="142" t="str">
        <f t="shared" si="1"/>
        <v/>
      </c>
      <c r="P2877" s="143" t="str">
        <f>IF(ISNA(VLOOKUP(CONCAT(M2877,C2877), 'Judge Count DO NOT EDIT'!H:H, 1, FALSE)), "ERROR","")</f>
        <v>ERROR</v>
      </c>
      <c r="Q2877" s="141"/>
      <c r="R2877" s="143"/>
      <c r="S2877" s="139"/>
      <c r="T2877" s="141"/>
    </row>
    <row r="2878">
      <c r="A2878" s="138"/>
      <c r="B2878" s="138"/>
      <c r="C2878" s="138"/>
      <c r="D2878" s="139"/>
      <c r="E2878" s="138"/>
      <c r="F2878" s="138"/>
      <c r="G2878" s="138"/>
      <c r="H2878" s="138"/>
      <c r="I2878" s="138"/>
      <c r="J2878" s="138"/>
      <c r="K2878" s="138"/>
      <c r="L2878" s="138">
        <v>0.0</v>
      </c>
      <c r="M2878" s="140" t="str">
        <f>VLOOKUP(text(D2878, "#"),'Master Table'!$A:$F, 6, FALSE)</f>
        <v>#N/A</v>
      </c>
      <c r="N2878" s="141"/>
      <c r="O2878" s="142" t="str">
        <f t="shared" si="1"/>
        <v/>
      </c>
      <c r="P2878" s="143" t="str">
        <f>IF(ISNA(VLOOKUP(CONCAT(M2878,C2878), 'Judge Count DO NOT EDIT'!H:H, 1, FALSE)), "ERROR","")</f>
        <v>ERROR</v>
      </c>
      <c r="Q2878" s="141"/>
      <c r="R2878" s="143"/>
      <c r="S2878" s="139"/>
      <c r="T2878" s="141"/>
    </row>
    <row r="2879">
      <c r="A2879" s="138"/>
      <c r="B2879" s="138"/>
      <c r="C2879" s="138"/>
      <c r="D2879" s="139"/>
      <c r="E2879" s="138"/>
      <c r="F2879" s="138"/>
      <c r="G2879" s="138"/>
      <c r="H2879" s="138"/>
      <c r="I2879" s="138"/>
      <c r="J2879" s="138"/>
      <c r="K2879" s="138"/>
      <c r="L2879" s="138">
        <v>0.0</v>
      </c>
      <c r="M2879" s="140" t="str">
        <f>VLOOKUP(text(D2879, "#"),'Master Table'!$A:$F, 6, FALSE)</f>
        <v>#N/A</v>
      </c>
      <c r="N2879" s="141"/>
      <c r="O2879" s="142" t="str">
        <f t="shared" si="1"/>
        <v/>
      </c>
      <c r="P2879" s="143" t="str">
        <f>IF(ISNA(VLOOKUP(CONCAT(M2879,C2879), 'Judge Count DO NOT EDIT'!H:H, 1, FALSE)), "ERROR","")</f>
        <v>ERROR</v>
      </c>
      <c r="Q2879" s="141"/>
      <c r="R2879" s="143"/>
      <c r="S2879" s="139"/>
      <c r="T2879" s="141"/>
    </row>
    <row r="2880">
      <c r="A2880" s="138"/>
      <c r="B2880" s="138"/>
      <c r="C2880" s="138"/>
      <c r="D2880" s="139"/>
      <c r="E2880" s="138"/>
      <c r="F2880" s="138"/>
      <c r="G2880" s="138"/>
      <c r="H2880" s="138"/>
      <c r="I2880" s="138"/>
      <c r="J2880" s="138"/>
      <c r="K2880" s="138"/>
      <c r="L2880" s="138">
        <v>0.0</v>
      </c>
      <c r="M2880" s="140" t="str">
        <f>VLOOKUP(text(D2880, "#"),'Master Table'!$A:$F, 6, FALSE)</f>
        <v>#N/A</v>
      </c>
      <c r="N2880" s="141"/>
      <c r="O2880" s="142" t="str">
        <f t="shared" si="1"/>
        <v/>
      </c>
      <c r="P2880" s="143" t="str">
        <f>IF(ISNA(VLOOKUP(CONCAT(M2880,C2880), 'Judge Count DO NOT EDIT'!H:H, 1, FALSE)), "ERROR","")</f>
        <v>ERROR</v>
      </c>
      <c r="Q2880" s="141"/>
      <c r="R2880" s="143"/>
      <c r="S2880" s="139"/>
      <c r="T2880" s="141"/>
    </row>
    <row r="2881">
      <c r="A2881" s="138"/>
      <c r="B2881" s="138"/>
      <c r="C2881" s="138"/>
      <c r="D2881" s="139"/>
      <c r="E2881" s="138"/>
      <c r="F2881" s="138"/>
      <c r="G2881" s="138"/>
      <c r="H2881" s="138"/>
      <c r="I2881" s="138"/>
      <c r="J2881" s="138"/>
      <c r="K2881" s="138"/>
      <c r="L2881" s="138">
        <v>0.0</v>
      </c>
      <c r="M2881" s="140" t="str">
        <f>VLOOKUP(text(D2881, "#"),'Master Table'!$A:$F, 6, FALSE)</f>
        <v>#N/A</v>
      </c>
      <c r="N2881" s="141"/>
      <c r="O2881" s="142" t="str">
        <f t="shared" si="1"/>
        <v/>
      </c>
      <c r="P2881" s="143" t="str">
        <f>IF(ISNA(VLOOKUP(CONCAT(M2881,C2881), 'Judge Count DO NOT EDIT'!H:H, 1, FALSE)), "ERROR","")</f>
        <v>ERROR</v>
      </c>
      <c r="Q2881" s="141"/>
      <c r="R2881" s="143"/>
      <c r="S2881" s="139"/>
      <c r="T2881" s="141"/>
    </row>
    <row r="2882">
      <c r="A2882" s="138"/>
      <c r="B2882" s="138"/>
      <c r="C2882" s="138"/>
      <c r="D2882" s="139"/>
      <c r="E2882" s="138"/>
      <c r="F2882" s="138"/>
      <c r="G2882" s="138"/>
      <c r="H2882" s="138"/>
      <c r="I2882" s="138"/>
      <c r="J2882" s="138"/>
      <c r="K2882" s="138"/>
      <c r="L2882" s="138">
        <v>0.0</v>
      </c>
      <c r="M2882" s="140" t="str">
        <f>VLOOKUP(text(D2882, "#"),'Master Table'!$A:$F, 6, FALSE)</f>
        <v>#N/A</v>
      </c>
      <c r="N2882" s="141"/>
      <c r="O2882" s="142" t="str">
        <f t="shared" si="1"/>
        <v/>
      </c>
      <c r="P2882" s="143" t="str">
        <f>IF(ISNA(VLOOKUP(CONCAT(M2882,C2882), 'Judge Count DO NOT EDIT'!H:H, 1, FALSE)), "ERROR","")</f>
        <v>ERROR</v>
      </c>
      <c r="Q2882" s="141"/>
      <c r="R2882" s="143"/>
      <c r="S2882" s="139"/>
      <c r="T2882" s="141"/>
    </row>
    <row r="2883">
      <c r="A2883" s="138"/>
      <c r="B2883" s="138"/>
      <c r="C2883" s="138"/>
      <c r="D2883" s="139"/>
      <c r="E2883" s="138"/>
      <c r="F2883" s="138"/>
      <c r="G2883" s="138"/>
      <c r="H2883" s="138"/>
      <c r="I2883" s="138"/>
      <c r="J2883" s="138"/>
      <c r="K2883" s="138"/>
      <c r="L2883" s="138">
        <v>0.0</v>
      </c>
      <c r="M2883" s="140" t="str">
        <f>VLOOKUP(text(D2883, "#"),'Master Table'!$A:$F, 6, FALSE)</f>
        <v>#N/A</v>
      </c>
      <c r="N2883" s="141"/>
      <c r="O2883" s="142" t="str">
        <f t="shared" si="1"/>
        <v/>
      </c>
      <c r="P2883" s="143" t="str">
        <f>IF(ISNA(VLOOKUP(CONCAT(M2883,C2883), 'Judge Count DO NOT EDIT'!H:H, 1, FALSE)), "ERROR","")</f>
        <v>ERROR</v>
      </c>
      <c r="Q2883" s="141"/>
      <c r="R2883" s="143"/>
      <c r="S2883" s="139"/>
      <c r="T2883" s="141"/>
    </row>
    <row r="2884">
      <c r="A2884" s="138"/>
      <c r="B2884" s="138"/>
      <c r="C2884" s="138"/>
      <c r="D2884" s="139"/>
      <c r="E2884" s="138"/>
      <c r="F2884" s="138"/>
      <c r="G2884" s="138"/>
      <c r="H2884" s="138"/>
      <c r="I2884" s="138"/>
      <c r="J2884" s="138"/>
      <c r="K2884" s="138"/>
      <c r="L2884" s="138">
        <v>0.0</v>
      </c>
      <c r="M2884" s="140" t="str">
        <f>VLOOKUP(text(D2884, "#"),'Master Table'!$A:$F, 6, FALSE)</f>
        <v>#N/A</v>
      </c>
      <c r="N2884" s="141"/>
      <c r="O2884" s="142" t="str">
        <f t="shared" si="1"/>
        <v/>
      </c>
      <c r="P2884" s="143" t="str">
        <f>IF(ISNA(VLOOKUP(CONCAT(M2884,C2884), 'Judge Count DO NOT EDIT'!H:H, 1, FALSE)), "ERROR","")</f>
        <v>ERROR</v>
      </c>
      <c r="Q2884" s="141"/>
      <c r="R2884" s="143"/>
      <c r="S2884" s="139"/>
      <c r="T2884" s="141"/>
    </row>
    <row r="2885">
      <c r="A2885" s="138"/>
      <c r="B2885" s="138"/>
      <c r="C2885" s="138"/>
      <c r="D2885" s="139"/>
      <c r="E2885" s="138"/>
      <c r="F2885" s="138"/>
      <c r="G2885" s="138"/>
      <c r="H2885" s="138"/>
      <c r="I2885" s="138"/>
      <c r="J2885" s="138"/>
      <c r="K2885" s="138"/>
      <c r="L2885" s="138">
        <v>0.0</v>
      </c>
      <c r="M2885" s="140" t="str">
        <f>VLOOKUP(text(D2885, "#"),'Master Table'!$A:$F, 6, FALSE)</f>
        <v>#N/A</v>
      </c>
      <c r="N2885" s="141"/>
      <c r="O2885" s="142" t="str">
        <f t="shared" si="1"/>
        <v/>
      </c>
      <c r="P2885" s="143" t="str">
        <f>IF(ISNA(VLOOKUP(CONCAT(M2885,C2885), 'Judge Count DO NOT EDIT'!H:H, 1, FALSE)), "ERROR","")</f>
        <v>ERROR</v>
      </c>
      <c r="Q2885" s="141"/>
      <c r="R2885" s="143"/>
      <c r="S2885" s="139"/>
      <c r="T2885" s="141"/>
    </row>
    <row r="2886">
      <c r="A2886" s="138"/>
      <c r="B2886" s="138"/>
      <c r="C2886" s="138"/>
      <c r="D2886" s="139"/>
      <c r="E2886" s="138"/>
      <c r="F2886" s="138"/>
      <c r="G2886" s="138"/>
      <c r="H2886" s="138"/>
      <c r="I2886" s="138"/>
      <c r="J2886" s="138"/>
      <c r="K2886" s="138"/>
      <c r="L2886" s="138">
        <v>0.0</v>
      </c>
      <c r="M2886" s="140" t="str">
        <f>VLOOKUP(text(D2886, "#"),'Master Table'!$A:$F, 6, FALSE)</f>
        <v>#N/A</v>
      </c>
      <c r="N2886" s="141"/>
      <c r="O2886" s="142" t="str">
        <f t="shared" si="1"/>
        <v/>
      </c>
      <c r="P2886" s="143" t="str">
        <f>IF(ISNA(VLOOKUP(CONCAT(M2886,C2886), 'Judge Count DO NOT EDIT'!H:H, 1, FALSE)), "ERROR","")</f>
        <v>ERROR</v>
      </c>
      <c r="Q2886" s="141"/>
      <c r="R2886" s="143"/>
      <c r="S2886" s="139"/>
      <c r="T2886" s="141"/>
    </row>
    <row r="2887">
      <c r="A2887" s="138"/>
      <c r="B2887" s="138"/>
      <c r="C2887" s="138"/>
      <c r="D2887" s="139"/>
      <c r="E2887" s="138"/>
      <c r="F2887" s="138"/>
      <c r="G2887" s="138"/>
      <c r="H2887" s="138"/>
      <c r="I2887" s="138"/>
      <c r="J2887" s="138"/>
      <c r="K2887" s="138"/>
      <c r="L2887" s="138">
        <v>0.0</v>
      </c>
      <c r="M2887" s="140" t="str">
        <f>VLOOKUP(text(D2887, "#"),'Master Table'!$A:$F, 6, FALSE)</f>
        <v>#N/A</v>
      </c>
      <c r="N2887" s="141"/>
      <c r="O2887" s="142" t="str">
        <f t="shared" si="1"/>
        <v/>
      </c>
      <c r="P2887" s="143" t="str">
        <f>IF(ISNA(VLOOKUP(CONCAT(M2887,C2887), 'Judge Count DO NOT EDIT'!H:H, 1, FALSE)), "ERROR","")</f>
        <v>ERROR</v>
      </c>
      <c r="Q2887" s="141"/>
      <c r="R2887" s="143"/>
      <c r="S2887" s="139"/>
      <c r="T2887" s="141"/>
    </row>
    <row r="2888">
      <c r="A2888" s="138"/>
      <c r="B2888" s="138"/>
      <c r="C2888" s="138"/>
      <c r="D2888" s="139"/>
      <c r="E2888" s="138"/>
      <c r="F2888" s="138"/>
      <c r="G2888" s="138"/>
      <c r="H2888" s="138"/>
      <c r="I2888" s="138"/>
      <c r="J2888" s="138"/>
      <c r="K2888" s="138"/>
      <c r="L2888" s="138">
        <v>0.0</v>
      </c>
      <c r="M2888" s="140" t="str">
        <f>VLOOKUP(text(D2888, "#"),'Master Table'!$A:$F, 6, FALSE)</f>
        <v>#N/A</v>
      </c>
      <c r="N2888" s="141"/>
      <c r="O2888" s="142" t="str">
        <f t="shared" si="1"/>
        <v/>
      </c>
      <c r="P2888" s="143" t="str">
        <f>IF(ISNA(VLOOKUP(CONCAT(M2888,C2888), 'Judge Count DO NOT EDIT'!H:H, 1, FALSE)), "ERROR","")</f>
        <v>ERROR</v>
      </c>
      <c r="Q2888" s="141"/>
      <c r="R2888" s="143"/>
      <c r="S2888" s="139"/>
      <c r="T2888" s="141"/>
    </row>
    <row r="2889">
      <c r="A2889" s="138"/>
      <c r="B2889" s="138"/>
      <c r="C2889" s="138"/>
      <c r="D2889" s="139"/>
      <c r="E2889" s="138"/>
      <c r="F2889" s="138"/>
      <c r="G2889" s="138"/>
      <c r="H2889" s="138"/>
      <c r="I2889" s="138"/>
      <c r="J2889" s="138"/>
      <c r="K2889" s="138"/>
      <c r="L2889" s="138">
        <v>0.0</v>
      </c>
      <c r="M2889" s="140" t="str">
        <f>VLOOKUP(text(D2889, "#"),'Master Table'!$A:$F, 6, FALSE)</f>
        <v>#N/A</v>
      </c>
      <c r="N2889" s="141"/>
      <c r="O2889" s="142" t="str">
        <f t="shared" si="1"/>
        <v/>
      </c>
      <c r="P2889" s="143" t="str">
        <f>IF(ISNA(VLOOKUP(CONCAT(M2889,C2889), 'Judge Count DO NOT EDIT'!H:H, 1, FALSE)), "ERROR","")</f>
        <v>ERROR</v>
      </c>
      <c r="Q2889" s="141"/>
      <c r="R2889" s="143"/>
      <c r="S2889" s="139"/>
      <c r="T2889" s="141"/>
    </row>
    <row r="2890">
      <c r="A2890" s="138"/>
      <c r="B2890" s="138"/>
      <c r="C2890" s="138"/>
      <c r="D2890" s="139"/>
      <c r="E2890" s="138"/>
      <c r="F2890" s="138"/>
      <c r="G2890" s="138"/>
      <c r="H2890" s="138"/>
      <c r="I2890" s="138"/>
      <c r="J2890" s="138"/>
      <c r="K2890" s="138"/>
      <c r="L2890" s="138">
        <v>0.0</v>
      </c>
      <c r="M2890" s="140" t="str">
        <f>VLOOKUP(text(D2890, "#"),'Master Table'!$A:$F, 6, FALSE)</f>
        <v>#N/A</v>
      </c>
      <c r="N2890" s="141"/>
      <c r="O2890" s="142" t="str">
        <f t="shared" si="1"/>
        <v/>
      </c>
      <c r="P2890" s="143" t="str">
        <f>IF(ISNA(VLOOKUP(CONCAT(M2890,C2890), 'Judge Count DO NOT EDIT'!H:H, 1, FALSE)), "ERROR","")</f>
        <v>ERROR</v>
      </c>
      <c r="Q2890" s="141"/>
      <c r="R2890" s="143"/>
      <c r="S2890" s="139"/>
      <c r="T2890" s="141"/>
    </row>
    <row r="2891">
      <c r="A2891" s="138"/>
      <c r="B2891" s="138"/>
      <c r="C2891" s="138"/>
      <c r="D2891" s="139"/>
      <c r="E2891" s="138"/>
      <c r="F2891" s="138"/>
      <c r="G2891" s="138"/>
      <c r="H2891" s="138"/>
      <c r="I2891" s="138"/>
      <c r="J2891" s="138"/>
      <c r="K2891" s="138"/>
      <c r="L2891" s="138">
        <v>0.0</v>
      </c>
      <c r="M2891" s="140" t="str">
        <f>VLOOKUP(text(D2891, "#"),'Master Table'!$A:$F, 6, FALSE)</f>
        <v>#N/A</v>
      </c>
      <c r="N2891" s="141"/>
      <c r="O2891" s="142" t="str">
        <f t="shared" si="1"/>
        <v/>
      </c>
      <c r="P2891" s="143" t="str">
        <f>IF(ISNA(VLOOKUP(CONCAT(M2891,C2891), 'Judge Count DO NOT EDIT'!H:H, 1, FALSE)), "ERROR","")</f>
        <v>ERROR</v>
      </c>
      <c r="Q2891" s="141"/>
      <c r="R2891" s="143"/>
      <c r="S2891" s="139"/>
      <c r="T2891" s="141"/>
    </row>
    <row r="2892">
      <c r="A2892" s="138"/>
      <c r="B2892" s="138"/>
      <c r="C2892" s="138"/>
      <c r="D2892" s="139"/>
      <c r="E2892" s="138"/>
      <c r="F2892" s="138"/>
      <c r="G2892" s="138"/>
      <c r="H2892" s="138"/>
      <c r="I2892" s="138"/>
      <c r="J2892" s="138"/>
      <c r="K2892" s="138"/>
      <c r="L2892" s="138">
        <v>0.0</v>
      </c>
      <c r="M2892" s="140" t="str">
        <f>VLOOKUP(text(D2892, "#"),'Master Table'!$A:$F, 6, FALSE)</f>
        <v>#N/A</v>
      </c>
      <c r="N2892" s="141"/>
      <c r="O2892" s="142" t="str">
        <f t="shared" si="1"/>
        <v/>
      </c>
      <c r="P2892" s="143" t="str">
        <f>IF(ISNA(VLOOKUP(CONCAT(M2892,C2892), 'Judge Count DO NOT EDIT'!H:H, 1, FALSE)), "ERROR","")</f>
        <v>ERROR</v>
      </c>
      <c r="Q2892" s="141"/>
      <c r="R2892" s="143"/>
      <c r="S2892" s="139"/>
      <c r="T2892" s="141"/>
    </row>
    <row r="2893">
      <c r="A2893" s="138"/>
      <c r="B2893" s="138"/>
      <c r="C2893" s="138"/>
      <c r="D2893" s="139"/>
      <c r="E2893" s="138"/>
      <c r="F2893" s="138"/>
      <c r="G2893" s="138"/>
      <c r="H2893" s="138"/>
      <c r="I2893" s="138"/>
      <c r="J2893" s="138"/>
      <c r="K2893" s="138"/>
      <c r="L2893" s="138">
        <v>0.0</v>
      </c>
      <c r="M2893" s="140" t="str">
        <f>VLOOKUP(text(D2893, "#"),'Master Table'!$A:$F, 6, FALSE)</f>
        <v>#N/A</v>
      </c>
      <c r="N2893" s="141"/>
      <c r="O2893" s="142" t="str">
        <f t="shared" si="1"/>
        <v/>
      </c>
      <c r="P2893" s="143" t="str">
        <f>IF(ISNA(VLOOKUP(CONCAT(M2893,C2893), 'Judge Count DO NOT EDIT'!H:H, 1, FALSE)), "ERROR","")</f>
        <v>ERROR</v>
      </c>
      <c r="Q2893" s="141"/>
      <c r="R2893" s="143"/>
      <c r="S2893" s="139"/>
      <c r="T2893" s="141"/>
    </row>
    <row r="2894">
      <c r="A2894" s="138"/>
      <c r="B2894" s="138"/>
      <c r="C2894" s="138"/>
      <c r="D2894" s="139"/>
      <c r="E2894" s="138"/>
      <c r="F2894" s="138"/>
      <c r="G2894" s="138"/>
      <c r="H2894" s="138"/>
      <c r="I2894" s="138"/>
      <c r="J2894" s="138"/>
      <c r="K2894" s="138"/>
      <c r="L2894" s="138">
        <v>0.0</v>
      </c>
      <c r="M2894" s="140" t="str">
        <f>VLOOKUP(text(D2894, "#"),'Master Table'!$A:$F, 6, FALSE)</f>
        <v>#N/A</v>
      </c>
      <c r="N2894" s="141"/>
      <c r="O2894" s="142" t="str">
        <f t="shared" si="1"/>
        <v/>
      </c>
      <c r="P2894" s="143" t="str">
        <f>IF(ISNA(VLOOKUP(CONCAT(M2894,C2894), 'Judge Count DO NOT EDIT'!H:H, 1, FALSE)), "ERROR","")</f>
        <v>ERROR</v>
      </c>
      <c r="Q2894" s="141"/>
      <c r="R2894" s="143"/>
      <c r="S2894" s="139"/>
      <c r="T2894" s="141"/>
    </row>
    <row r="2895">
      <c r="A2895" s="138"/>
      <c r="B2895" s="138"/>
      <c r="C2895" s="138"/>
      <c r="D2895" s="139"/>
      <c r="E2895" s="138"/>
      <c r="F2895" s="138"/>
      <c r="G2895" s="138"/>
      <c r="H2895" s="138"/>
      <c r="I2895" s="138"/>
      <c r="J2895" s="138"/>
      <c r="K2895" s="138"/>
      <c r="L2895" s="138">
        <v>0.0</v>
      </c>
      <c r="M2895" s="140" t="str">
        <f>VLOOKUP(text(D2895, "#"),'Master Table'!$A:$F, 6, FALSE)</f>
        <v>#N/A</v>
      </c>
      <c r="N2895" s="141"/>
      <c r="O2895" s="142" t="str">
        <f t="shared" si="1"/>
        <v/>
      </c>
      <c r="P2895" s="143" t="str">
        <f>IF(ISNA(VLOOKUP(CONCAT(M2895,C2895), 'Judge Count DO NOT EDIT'!H:H, 1, FALSE)), "ERROR","")</f>
        <v>ERROR</v>
      </c>
      <c r="Q2895" s="141"/>
      <c r="R2895" s="143"/>
      <c r="S2895" s="139"/>
      <c r="T2895" s="141"/>
    </row>
    <row r="2896">
      <c r="A2896" s="138"/>
      <c r="B2896" s="138"/>
      <c r="C2896" s="138"/>
      <c r="D2896" s="139"/>
      <c r="E2896" s="138"/>
      <c r="F2896" s="138"/>
      <c r="G2896" s="138"/>
      <c r="H2896" s="138"/>
      <c r="I2896" s="138"/>
      <c r="J2896" s="138"/>
      <c r="K2896" s="138"/>
      <c r="L2896" s="138">
        <v>0.0</v>
      </c>
      <c r="M2896" s="140" t="str">
        <f>VLOOKUP(text(D2896, "#"),'Master Table'!$A:$F, 6, FALSE)</f>
        <v>#N/A</v>
      </c>
      <c r="N2896" s="141"/>
      <c r="O2896" s="142" t="str">
        <f t="shared" si="1"/>
        <v/>
      </c>
      <c r="P2896" s="143" t="str">
        <f>IF(ISNA(VLOOKUP(CONCAT(M2896,C2896), 'Judge Count DO NOT EDIT'!H:H, 1, FALSE)), "ERROR","")</f>
        <v>ERROR</v>
      </c>
      <c r="Q2896" s="141"/>
      <c r="R2896" s="143"/>
      <c r="S2896" s="139"/>
      <c r="T2896" s="141"/>
    </row>
    <row r="2897">
      <c r="A2897" s="138"/>
      <c r="B2897" s="138"/>
      <c r="C2897" s="138"/>
      <c r="D2897" s="139"/>
      <c r="E2897" s="138"/>
      <c r="F2897" s="138"/>
      <c r="G2897" s="138"/>
      <c r="H2897" s="138"/>
      <c r="I2897" s="138"/>
      <c r="J2897" s="138"/>
      <c r="K2897" s="138"/>
      <c r="L2897" s="138">
        <v>0.0</v>
      </c>
      <c r="M2897" s="140" t="str">
        <f>VLOOKUP(text(D2897, "#"),'Master Table'!$A:$F, 6, FALSE)</f>
        <v>#N/A</v>
      </c>
      <c r="N2897" s="141"/>
      <c r="O2897" s="142" t="str">
        <f t="shared" si="1"/>
        <v/>
      </c>
      <c r="P2897" s="143" t="str">
        <f>IF(ISNA(VLOOKUP(CONCAT(M2897,C2897), 'Judge Count DO NOT EDIT'!H:H, 1, FALSE)), "ERROR","")</f>
        <v>ERROR</v>
      </c>
      <c r="Q2897" s="141"/>
      <c r="R2897" s="143"/>
      <c r="S2897" s="139"/>
      <c r="T2897" s="141"/>
    </row>
    <row r="2898">
      <c r="A2898" s="138"/>
      <c r="B2898" s="138"/>
      <c r="C2898" s="138"/>
      <c r="D2898" s="139"/>
      <c r="E2898" s="138"/>
      <c r="F2898" s="138"/>
      <c r="G2898" s="138"/>
      <c r="H2898" s="138"/>
      <c r="I2898" s="138"/>
      <c r="J2898" s="138"/>
      <c r="K2898" s="138"/>
      <c r="L2898" s="138">
        <v>0.0</v>
      </c>
      <c r="M2898" s="140" t="str">
        <f>VLOOKUP(text(D2898, "#"),'Master Table'!$A:$F, 6, FALSE)</f>
        <v>#N/A</v>
      </c>
      <c r="N2898" s="141"/>
      <c r="O2898" s="142" t="str">
        <f t="shared" si="1"/>
        <v/>
      </c>
      <c r="P2898" s="143" t="str">
        <f>IF(ISNA(VLOOKUP(CONCAT(M2898,C2898), 'Judge Count DO NOT EDIT'!H:H, 1, FALSE)), "ERROR","")</f>
        <v>ERROR</v>
      </c>
      <c r="Q2898" s="141"/>
      <c r="R2898" s="143"/>
      <c r="S2898" s="139"/>
      <c r="T2898" s="141"/>
    </row>
    <row r="2899">
      <c r="A2899" s="138"/>
      <c r="B2899" s="138"/>
      <c r="C2899" s="138"/>
      <c r="D2899" s="139"/>
      <c r="E2899" s="138"/>
      <c r="F2899" s="138"/>
      <c r="G2899" s="138"/>
      <c r="H2899" s="138"/>
      <c r="I2899" s="138"/>
      <c r="J2899" s="138"/>
      <c r="K2899" s="138"/>
      <c r="L2899" s="138">
        <v>0.0</v>
      </c>
      <c r="M2899" s="140" t="str">
        <f>VLOOKUP(text(D2899, "#"),'Master Table'!$A:$F, 6, FALSE)</f>
        <v>#N/A</v>
      </c>
      <c r="N2899" s="141"/>
      <c r="O2899" s="142" t="str">
        <f t="shared" si="1"/>
        <v/>
      </c>
      <c r="P2899" s="143" t="str">
        <f>IF(ISNA(VLOOKUP(CONCAT(M2899,C2899), 'Judge Count DO NOT EDIT'!H:H, 1, FALSE)), "ERROR","")</f>
        <v>ERROR</v>
      </c>
      <c r="Q2899" s="141"/>
      <c r="R2899" s="143"/>
      <c r="S2899" s="139"/>
      <c r="T2899" s="141"/>
    </row>
    <row r="2900">
      <c r="A2900" s="138"/>
      <c r="B2900" s="138"/>
      <c r="C2900" s="138"/>
      <c r="D2900" s="139"/>
      <c r="E2900" s="138"/>
      <c r="F2900" s="138"/>
      <c r="G2900" s="138"/>
      <c r="H2900" s="138"/>
      <c r="I2900" s="138"/>
      <c r="J2900" s="138"/>
      <c r="K2900" s="138"/>
      <c r="L2900" s="138">
        <v>0.0</v>
      </c>
      <c r="M2900" s="140" t="str">
        <f>VLOOKUP(text(D2900, "#"),'Master Table'!$A:$F, 6, FALSE)</f>
        <v>#N/A</v>
      </c>
      <c r="N2900" s="141"/>
      <c r="O2900" s="142" t="str">
        <f t="shared" si="1"/>
        <v/>
      </c>
      <c r="P2900" s="143" t="str">
        <f>IF(ISNA(VLOOKUP(CONCAT(M2900,C2900), 'Judge Count DO NOT EDIT'!H:H, 1, FALSE)), "ERROR","")</f>
        <v>ERROR</v>
      </c>
      <c r="Q2900" s="141"/>
      <c r="R2900" s="143"/>
      <c r="S2900" s="139"/>
      <c r="T2900" s="141"/>
    </row>
    <row r="2901">
      <c r="A2901" s="138"/>
      <c r="B2901" s="138"/>
      <c r="C2901" s="138"/>
      <c r="D2901" s="139"/>
      <c r="E2901" s="138"/>
      <c r="F2901" s="138"/>
      <c r="G2901" s="138"/>
      <c r="H2901" s="138"/>
      <c r="I2901" s="138"/>
      <c r="J2901" s="138"/>
      <c r="K2901" s="138"/>
      <c r="L2901" s="138">
        <v>0.0</v>
      </c>
      <c r="M2901" s="140" t="str">
        <f>VLOOKUP(text(D2901, "#"),'Master Table'!$A:$F, 6, FALSE)</f>
        <v>#N/A</v>
      </c>
      <c r="N2901" s="141"/>
      <c r="O2901" s="142" t="str">
        <f t="shared" si="1"/>
        <v/>
      </c>
      <c r="P2901" s="143" t="str">
        <f>IF(ISNA(VLOOKUP(CONCAT(M2901,C2901), 'Judge Count DO NOT EDIT'!H:H, 1, FALSE)), "ERROR","")</f>
        <v>ERROR</v>
      </c>
      <c r="Q2901" s="141"/>
      <c r="R2901" s="143"/>
      <c r="S2901" s="139"/>
      <c r="T2901" s="141"/>
    </row>
    <row r="2902">
      <c r="A2902" s="138"/>
      <c r="B2902" s="138"/>
      <c r="C2902" s="138"/>
      <c r="D2902" s="139"/>
      <c r="E2902" s="138"/>
      <c r="F2902" s="138"/>
      <c r="G2902" s="138"/>
      <c r="H2902" s="138"/>
      <c r="I2902" s="138"/>
      <c r="J2902" s="138"/>
      <c r="K2902" s="138"/>
      <c r="L2902" s="138">
        <v>0.0</v>
      </c>
      <c r="M2902" s="140" t="str">
        <f>VLOOKUP(text(D2902, "#"),'Master Table'!$A:$F, 6, FALSE)</f>
        <v>#N/A</v>
      </c>
      <c r="N2902" s="141"/>
      <c r="O2902" s="142" t="str">
        <f t="shared" si="1"/>
        <v/>
      </c>
      <c r="P2902" s="143" t="str">
        <f>IF(ISNA(VLOOKUP(CONCAT(M2902,C2902), 'Judge Count DO NOT EDIT'!H:H, 1, FALSE)), "ERROR","")</f>
        <v>ERROR</v>
      </c>
      <c r="Q2902" s="141"/>
      <c r="R2902" s="143"/>
      <c r="S2902" s="139"/>
      <c r="T2902" s="141"/>
    </row>
    <row r="2903">
      <c r="A2903" s="138"/>
      <c r="B2903" s="138"/>
      <c r="C2903" s="138"/>
      <c r="D2903" s="139"/>
      <c r="E2903" s="138"/>
      <c r="F2903" s="138"/>
      <c r="G2903" s="138"/>
      <c r="H2903" s="138"/>
      <c r="I2903" s="138"/>
      <c r="J2903" s="138"/>
      <c r="K2903" s="138"/>
      <c r="L2903" s="138">
        <v>0.0</v>
      </c>
      <c r="M2903" s="140" t="str">
        <f>VLOOKUP(text(D2903, "#"),'Master Table'!$A:$F, 6, FALSE)</f>
        <v>#N/A</v>
      </c>
      <c r="N2903" s="141"/>
      <c r="O2903" s="142" t="str">
        <f t="shared" si="1"/>
        <v/>
      </c>
      <c r="P2903" s="143" t="str">
        <f>IF(ISNA(VLOOKUP(CONCAT(M2903,C2903), 'Judge Count DO NOT EDIT'!H:H, 1, FALSE)), "ERROR","")</f>
        <v>ERROR</v>
      </c>
      <c r="Q2903" s="141"/>
      <c r="R2903" s="143"/>
      <c r="S2903" s="139"/>
      <c r="T2903" s="141"/>
    </row>
    <row r="2904">
      <c r="A2904" s="138"/>
      <c r="B2904" s="138"/>
      <c r="C2904" s="138"/>
      <c r="D2904" s="139"/>
      <c r="E2904" s="138"/>
      <c r="F2904" s="138"/>
      <c r="G2904" s="138"/>
      <c r="H2904" s="138"/>
      <c r="I2904" s="138"/>
      <c r="J2904" s="138"/>
      <c r="K2904" s="138"/>
      <c r="L2904" s="138">
        <v>0.0</v>
      </c>
      <c r="M2904" s="140" t="str">
        <f>VLOOKUP(text(D2904, "#"),'Master Table'!$A:$F, 6, FALSE)</f>
        <v>#N/A</v>
      </c>
      <c r="N2904" s="141"/>
      <c r="O2904" s="142" t="str">
        <f t="shared" si="1"/>
        <v/>
      </c>
      <c r="P2904" s="143" t="str">
        <f>IF(ISNA(VLOOKUP(CONCAT(M2904,C2904), 'Judge Count DO NOT EDIT'!H:H, 1, FALSE)), "ERROR","")</f>
        <v>ERROR</v>
      </c>
      <c r="Q2904" s="141"/>
      <c r="R2904" s="143"/>
      <c r="S2904" s="139"/>
      <c r="T2904" s="141"/>
    </row>
    <row r="2905">
      <c r="A2905" s="138"/>
      <c r="B2905" s="138"/>
      <c r="C2905" s="138"/>
      <c r="D2905" s="139"/>
      <c r="E2905" s="138"/>
      <c r="F2905" s="138"/>
      <c r="G2905" s="138"/>
      <c r="H2905" s="138"/>
      <c r="I2905" s="138"/>
      <c r="J2905" s="138"/>
      <c r="K2905" s="138"/>
      <c r="L2905" s="138">
        <v>0.0</v>
      </c>
      <c r="M2905" s="140" t="str">
        <f>VLOOKUP(text(D2905, "#"),'Master Table'!$A:$F, 6, FALSE)</f>
        <v>#N/A</v>
      </c>
      <c r="N2905" s="141"/>
      <c r="O2905" s="142" t="str">
        <f t="shared" si="1"/>
        <v/>
      </c>
      <c r="P2905" s="143" t="str">
        <f>IF(ISNA(VLOOKUP(CONCAT(M2905,C2905), 'Judge Count DO NOT EDIT'!H:H, 1, FALSE)), "ERROR","")</f>
        <v>ERROR</v>
      </c>
      <c r="Q2905" s="141"/>
      <c r="R2905" s="143"/>
      <c r="S2905" s="139"/>
      <c r="T2905" s="141"/>
    </row>
    <row r="2906">
      <c r="A2906" s="138"/>
      <c r="B2906" s="138"/>
      <c r="C2906" s="138"/>
      <c r="D2906" s="139"/>
      <c r="E2906" s="138"/>
      <c r="F2906" s="138"/>
      <c r="G2906" s="138"/>
      <c r="H2906" s="138"/>
      <c r="I2906" s="138"/>
      <c r="J2906" s="138"/>
      <c r="K2906" s="138"/>
      <c r="L2906" s="138">
        <v>0.0</v>
      </c>
      <c r="M2906" s="140" t="str">
        <f>VLOOKUP(text(D2906, "#"),'Master Table'!$A:$F, 6, FALSE)</f>
        <v>#N/A</v>
      </c>
      <c r="N2906" s="141"/>
      <c r="O2906" s="142" t="str">
        <f t="shared" si="1"/>
        <v/>
      </c>
      <c r="P2906" s="143" t="str">
        <f>IF(ISNA(VLOOKUP(CONCAT(M2906,C2906), 'Judge Count DO NOT EDIT'!H:H, 1, FALSE)), "ERROR","")</f>
        <v>ERROR</v>
      </c>
      <c r="Q2906" s="141"/>
      <c r="R2906" s="143"/>
      <c r="S2906" s="139"/>
      <c r="T2906" s="141"/>
    </row>
    <row r="2907">
      <c r="A2907" s="138"/>
      <c r="B2907" s="138"/>
      <c r="C2907" s="138"/>
      <c r="D2907" s="139"/>
      <c r="E2907" s="138"/>
      <c r="F2907" s="138"/>
      <c r="G2907" s="138"/>
      <c r="H2907" s="138"/>
      <c r="I2907" s="138"/>
      <c r="J2907" s="138"/>
      <c r="K2907" s="138"/>
      <c r="L2907" s="138">
        <v>0.0</v>
      </c>
      <c r="M2907" s="140" t="str">
        <f>VLOOKUP(text(D2907, "#"),'Master Table'!$A:$F, 6, FALSE)</f>
        <v>#N/A</v>
      </c>
      <c r="N2907" s="141"/>
      <c r="O2907" s="142" t="str">
        <f t="shared" si="1"/>
        <v/>
      </c>
      <c r="P2907" s="143" t="str">
        <f>IF(ISNA(VLOOKUP(CONCAT(M2907,C2907), 'Judge Count DO NOT EDIT'!H:H, 1, FALSE)), "ERROR","")</f>
        <v>ERROR</v>
      </c>
      <c r="Q2907" s="141"/>
      <c r="R2907" s="143"/>
      <c r="S2907" s="139"/>
      <c r="T2907" s="141"/>
    </row>
    <row r="2908">
      <c r="A2908" s="138"/>
      <c r="B2908" s="138"/>
      <c r="C2908" s="138"/>
      <c r="D2908" s="139"/>
      <c r="E2908" s="138"/>
      <c r="F2908" s="138"/>
      <c r="G2908" s="138"/>
      <c r="H2908" s="138"/>
      <c r="I2908" s="138"/>
      <c r="J2908" s="138"/>
      <c r="K2908" s="138"/>
      <c r="L2908" s="138">
        <v>0.0</v>
      </c>
      <c r="M2908" s="140" t="str">
        <f>VLOOKUP(text(D2908, "#"),'Master Table'!$A:$F, 6, FALSE)</f>
        <v>#N/A</v>
      </c>
      <c r="N2908" s="141"/>
      <c r="O2908" s="142" t="str">
        <f t="shared" si="1"/>
        <v/>
      </c>
      <c r="P2908" s="143" t="str">
        <f>IF(ISNA(VLOOKUP(CONCAT(M2908,C2908), 'Judge Count DO NOT EDIT'!H:H, 1, FALSE)), "ERROR","")</f>
        <v>ERROR</v>
      </c>
      <c r="Q2908" s="141"/>
      <c r="R2908" s="143"/>
      <c r="S2908" s="139"/>
      <c r="T2908" s="141"/>
    </row>
    <row r="2909">
      <c r="A2909" s="138"/>
      <c r="B2909" s="138"/>
      <c r="C2909" s="138"/>
      <c r="D2909" s="139"/>
      <c r="E2909" s="138"/>
      <c r="F2909" s="138"/>
      <c r="G2909" s="138"/>
      <c r="H2909" s="138"/>
      <c r="I2909" s="138"/>
      <c r="J2909" s="138"/>
      <c r="K2909" s="138"/>
      <c r="L2909" s="138">
        <v>0.0</v>
      </c>
      <c r="M2909" s="140" t="str">
        <f>VLOOKUP(text(D2909, "#"),'Master Table'!$A:$F, 6, FALSE)</f>
        <v>#N/A</v>
      </c>
      <c r="N2909" s="141"/>
      <c r="O2909" s="142" t="str">
        <f t="shared" si="1"/>
        <v/>
      </c>
      <c r="P2909" s="143" t="str">
        <f>IF(ISNA(VLOOKUP(CONCAT(M2909,C2909), 'Judge Count DO NOT EDIT'!H:H, 1, FALSE)), "ERROR","")</f>
        <v>ERROR</v>
      </c>
      <c r="Q2909" s="141"/>
      <c r="R2909" s="143"/>
      <c r="S2909" s="139"/>
      <c r="T2909" s="141"/>
    </row>
    <row r="2910">
      <c r="A2910" s="138"/>
      <c r="B2910" s="138"/>
      <c r="C2910" s="138"/>
      <c r="D2910" s="139"/>
      <c r="E2910" s="138"/>
      <c r="F2910" s="138"/>
      <c r="G2910" s="138"/>
      <c r="H2910" s="138"/>
      <c r="I2910" s="138"/>
      <c r="J2910" s="138"/>
      <c r="K2910" s="138"/>
      <c r="L2910" s="138">
        <v>0.0</v>
      </c>
      <c r="M2910" s="140" t="str">
        <f>VLOOKUP(text(D2910, "#"),'Master Table'!$A:$F, 6, FALSE)</f>
        <v>#N/A</v>
      </c>
      <c r="N2910" s="141"/>
      <c r="O2910" s="142" t="str">
        <f t="shared" si="1"/>
        <v/>
      </c>
      <c r="P2910" s="143" t="str">
        <f>IF(ISNA(VLOOKUP(CONCAT(M2910,C2910), 'Judge Count DO NOT EDIT'!H:H, 1, FALSE)), "ERROR","")</f>
        <v>ERROR</v>
      </c>
      <c r="Q2910" s="141"/>
      <c r="R2910" s="143"/>
      <c r="S2910" s="139"/>
      <c r="T2910" s="141"/>
    </row>
    <row r="2911">
      <c r="A2911" s="138"/>
      <c r="B2911" s="138"/>
      <c r="C2911" s="138"/>
      <c r="D2911" s="139"/>
      <c r="E2911" s="138"/>
      <c r="F2911" s="138"/>
      <c r="G2911" s="138"/>
      <c r="H2911" s="138"/>
      <c r="I2911" s="138"/>
      <c r="J2911" s="138"/>
      <c r="K2911" s="138"/>
      <c r="L2911" s="138">
        <v>0.0</v>
      </c>
      <c r="M2911" s="140" t="str">
        <f>VLOOKUP(text(D2911, "#"),'Master Table'!$A:$F, 6, FALSE)</f>
        <v>#N/A</v>
      </c>
      <c r="N2911" s="141"/>
      <c r="O2911" s="142" t="str">
        <f t="shared" si="1"/>
        <v/>
      </c>
      <c r="P2911" s="143" t="str">
        <f>IF(ISNA(VLOOKUP(CONCAT(M2911,C2911), 'Judge Count DO NOT EDIT'!H:H, 1, FALSE)), "ERROR","")</f>
        <v>ERROR</v>
      </c>
      <c r="Q2911" s="141"/>
      <c r="R2911" s="143"/>
      <c r="S2911" s="139"/>
      <c r="T2911" s="141"/>
    </row>
    <row r="2912">
      <c r="A2912" s="138"/>
      <c r="B2912" s="138"/>
      <c r="C2912" s="138"/>
      <c r="D2912" s="139"/>
      <c r="E2912" s="138"/>
      <c r="F2912" s="138"/>
      <c r="G2912" s="138"/>
      <c r="H2912" s="138"/>
      <c r="I2912" s="138"/>
      <c r="J2912" s="138"/>
      <c r="K2912" s="138"/>
      <c r="L2912" s="138">
        <v>0.0</v>
      </c>
      <c r="M2912" s="140" t="str">
        <f>VLOOKUP(text(D2912, "#"),'Master Table'!$A:$F, 6, FALSE)</f>
        <v>#N/A</v>
      </c>
      <c r="N2912" s="141"/>
      <c r="O2912" s="142" t="str">
        <f t="shared" si="1"/>
        <v/>
      </c>
      <c r="P2912" s="143" t="str">
        <f>IF(ISNA(VLOOKUP(CONCAT(M2912,C2912), 'Judge Count DO NOT EDIT'!H:H, 1, FALSE)), "ERROR","")</f>
        <v>ERROR</v>
      </c>
      <c r="Q2912" s="141"/>
      <c r="R2912" s="143"/>
      <c r="S2912" s="139"/>
      <c r="T2912" s="141"/>
    </row>
    <row r="2913">
      <c r="A2913" s="138"/>
      <c r="B2913" s="138"/>
      <c r="C2913" s="138"/>
      <c r="D2913" s="139"/>
      <c r="E2913" s="138"/>
      <c r="F2913" s="138"/>
      <c r="G2913" s="138"/>
      <c r="H2913" s="138"/>
      <c r="I2913" s="138"/>
      <c r="J2913" s="138"/>
      <c r="K2913" s="138"/>
      <c r="L2913" s="138">
        <v>0.0</v>
      </c>
      <c r="M2913" s="140" t="str">
        <f>VLOOKUP(text(D2913, "#"),'Master Table'!$A:$F, 6, FALSE)</f>
        <v>#N/A</v>
      </c>
      <c r="N2913" s="141"/>
      <c r="O2913" s="142" t="str">
        <f t="shared" si="1"/>
        <v/>
      </c>
      <c r="P2913" s="143" t="str">
        <f>IF(ISNA(VLOOKUP(CONCAT(M2913,C2913), 'Judge Count DO NOT EDIT'!H:H, 1, FALSE)), "ERROR","")</f>
        <v>ERROR</v>
      </c>
      <c r="Q2913" s="141"/>
      <c r="R2913" s="143"/>
      <c r="S2913" s="139"/>
      <c r="T2913" s="141"/>
    </row>
    <row r="2914">
      <c r="A2914" s="138"/>
      <c r="B2914" s="138"/>
      <c r="C2914" s="138"/>
      <c r="D2914" s="139"/>
      <c r="E2914" s="138"/>
      <c r="F2914" s="138"/>
      <c r="G2914" s="138"/>
      <c r="H2914" s="138"/>
      <c r="I2914" s="138"/>
      <c r="J2914" s="138"/>
      <c r="K2914" s="138"/>
      <c r="L2914" s="138">
        <v>0.0</v>
      </c>
      <c r="M2914" s="140" t="str">
        <f>VLOOKUP(text(D2914, "#"),'Master Table'!$A:$F, 6, FALSE)</f>
        <v>#N/A</v>
      </c>
      <c r="N2914" s="141"/>
      <c r="O2914" s="142" t="str">
        <f t="shared" si="1"/>
        <v/>
      </c>
      <c r="P2914" s="143" t="str">
        <f>IF(ISNA(VLOOKUP(CONCAT(M2914,C2914), 'Judge Count DO NOT EDIT'!H:H, 1, FALSE)), "ERROR","")</f>
        <v>ERROR</v>
      </c>
      <c r="Q2914" s="141"/>
      <c r="R2914" s="143"/>
      <c r="S2914" s="139"/>
      <c r="T2914" s="141"/>
    </row>
    <row r="2915">
      <c r="A2915" s="138"/>
      <c r="B2915" s="138"/>
      <c r="C2915" s="138"/>
      <c r="D2915" s="139"/>
      <c r="E2915" s="138"/>
      <c r="F2915" s="138"/>
      <c r="G2915" s="138"/>
      <c r="H2915" s="138"/>
      <c r="I2915" s="138"/>
      <c r="J2915" s="138"/>
      <c r="K2915" s="138"/>
      <c r="L2915" s="138">
        <v>0.0</v>
      </c>
      <c r="M2915" s="140" t="str">
        <f>VLOOKUP(text(D2915, "#"),'Master Table'!$A:$F, 6, FALSE)</f>
        <v>#N/A</v>
      </c>
      <c r="N2915" s="141"/>
      <c r="O2915" s="142" t="str">
        <f t="shared" si="1"/>
        <v/>
      </c>
      <c r="P2915" s="143" t="str">
        <f>IF(ISNA(VLOOKUP(CONCAT(M2915,C2915), 'Judge Count DO NOT EDIT'!H:H, 1, FALSE)), "ERROR","")</f>
        <v>ERROR</v>
      </c>
      <c r="Q2915" s="141"/>
      <c r="R2915" s="143"/>
      <c r="S2915" s="139"/>
      <c r="T2915" s="141"/>
    </row>
    <row r="2916">
      <c r="A2916" s="138"/>
      <c r="B2916" s="138"/>
      <c r="C2916" s="138"/>
      <c r="D2916" s="139"/>
      <c r="E2916" s="138"/>
      <c r="F2916" s="138"/>
      <c r="G2916" s="138"/>
      <c r="H2916" s="138"/>
      <c r="I2916" s="138"/>
      <c r="J2916" s="138"/>
      <c r="K2916" s="138"/>
      <c r="L2916" s="138">
        <v>0.0</v>
      </c>
      <c r="M2916" s="140" t="str">
        <f>VLOOKUP(text(D2916, "#"),'Master Table'!$A:$F, 6, FALSE)</f>
        <v>#N/A</v>
      </c>
      <c r="N2916" s="141"/>
      <c r="O2916" s="142" t="str">
        <f t="shared" si="1"/>
        <v/>
      </c>
      <c r="P2916" s="143" t="str">
        <f>IF(ISNA(VLOOKUP(CONCAT(M2916,C2916), 'Judge Count DO NOT EDIT'!H:H, 1, FALSE)), "ERROR","")</f>
        <v>ERROR</v>
      </c>
      <c r="Q2916" s="141"/>
      <c r="R2916" s="143"/>
      <c r="S2916" s="139"/>
      <c r="T2916" s="141"/>
    </row>
    <row r="2917">
      <c r="A2917" s="138"/>
      <c r="B2917" s="138"/>
      <c r="C2917" s="138"/>
      <c r="D2917" s="139"/>
      <c r="E2917" s="138"/>
      <c r="F2917" s="138"/>
      <c r="G2917" s="138"/>
      <c r="H2917" s="138"/>
      <c r="I2917" s="138"/>
      <c r="J2917" s="138"/>
      <c r="K2917" s="138"/>
      <c r="L2917" s="138">
        <v>0.0</v>
      </c>
      <c r="M2917" s="140" t="str">
        <f>VLOOKUP(text(D2917, "#"),'Master Table'!$A:$F, 6, FALSE)</f>
        <v>#N/A</v>
      </c>
      <c r="N2917" s="141"/>
      <c r="O2917" s="142" t="str">
        <f t="shared" si="1"/>
        <v/>
      </c>
      <c r="P2917" s="143" t="str">
        <f>IF(ISNA(VLOOKUP(CONCAT(M2917,C2917), 'Judge Count DO NOT EDIT'!H:H, 1, FALSE)), "ERROR","")</f>
        <v>ERROR</v>
      </c>
      <c r="Q2917" s="141"/>
      <c r="R2917" s="143"/>
      <c r="S2917" s="139"/>
      <c r="T2917" s="141"/>
    </row>
    <row r="2918">
      <c r="A2918" s="138"/>
      <c r="B2918" s="138"/>
      <c r="C2918" s="138"/>
      <c r="D2918" s="139"/>
      <c r="E2918" s="138"/>
      <c r="F2918" s="138"/>
      <c r="G2918" s="138"/>
      <c r="H2918" s="138"/>
      <c r="I2918" s="138"/>
      <c r="J2918" s="138"/>
      <c r="K2918" s="138"/>
      <c r="L2918" s="138">
        <v>0.0</v>
      </c>
      <c r="M2918" s="140" t="str">
        <f>VLOOKUP(text(D2918, "#"),'Master Table'!$A:$F, 6, FALSE)</f>
        <v>#N/A</v>
      </c>
      <c r="N2918" s="141"/>
      <c r="O2918" s="142" t="str">
        <f t="shared" si="1"/>
        <v/>
      </c>
      <c r="P2918" s="143" t="str">
        <f>IF(ISNA(VLOOKUP(CONCAT(M2918,C2918), 'Judge Count DO NOT EDIT'!H:H, 1, FALSE)), "ERROR","")</f>
        <v>ERROR</v>
      </c>
      <c r="Q2918" s="141"/>
      <c r="R2918" s="143"/>
      <c r="S2918" s="139"/>
      <c r="T2918" s="141"/>
    </row>
    <row r="2919">
      <c r="A2919" s="138"/>
      <c r="B2919" s="138"/>
      <c r="C2919" s="138"/>
      <c r="D2919" s="139"/>
      <c r="E2919" s="138"/>
      <c r="F2919" s="138"/>
      <c r="G2919" s="138"/>
      <c r="H2919" s="138"/>
      <c r="I2919" s="138"/>
      <c r="J2919" s="138"/>
      <c r="K2919" s="138"/>
      <c r="L2919" s="138">
        <v>0.0</v>
      </c>
      <c r="M2919" s="140" t="str">
        <f>VLOOKUP(text(D2919, "#"),'Master Table'!$A:$F, 6, FALSE)</f>
        <v>#N/A</v>
      </c>
      <c r="N2919" s="141"/>
      <c r="O2919" s="142" t="str">
        <f t="shared" si="1"/>
        <v/>
      </c>
      <c r="P2919" s="143" t="str">
        <f>IF(ISNA(VLOOKUP(CONCAT(M2919,C2919), 'Judge Count DO NOT EDIT'!H:H, 1, FALSE)), "ERROR","")</f>
        <v>ERROR</v>
      </c>
      <c r="Q2919" s="141"/>
      <c r="R2919" s="143"/>
      <c r="S2919" s="139"/>
      <c r="T2919" s="141"/>
    </row>
    <row r="2920">
      <c r="A2920" s="138"/>
      <c r="B2920" s="138"/>
      <c r="C2920" s="138"/>
      <c r="D2920" s="139"/>
      <c r="E2920" s="138"/>
      <c r="F2920" s="138"/>
      <c r="G2920" s="138"/>
      <c r="H2920" s="138"/>
      <c r="I2920" s="138"/>
      <c r="J2920" s="138"/>
      <c r="K2920" s="138"/>
      <c r="L2920" s="138">
        <v>0.0</v>
      </c>
      <c r="M2920" s="140" t="str">
        <f>VLOOKUP(text(D2920, "#"),'Master Table'!$A:$F, 6, FALSE)</f>
        <v>#N/A</v>
      </c>
      <c r="N2920" s="141"/>
      <c r="O2920" s="142" t="str">
        <f t="shared" si="1"/>
        <v/>
      </c>
      <c r="P2920" s="143" t="str">
        <f>IF(ISNA(VLOOKUP(CONCAT(M2920,C2920), 'Judge Count DO NOT EDIT'!H:H, 1, FALSE)), "ERROR","")</f>
        <v>ERROR</v>
      </c>
      <c r="Q2920" s="141"/>
      <c r="R2920" s="143"/>
      <c r="S2920" s="139"/>
      <c r="T2920" s="141"/>
    </row>
    <row r="2921">
      <c r="A2921" s="138"/>
      <c r="B2921" s="138"/>
      <c r="C2921" s="138"/>
      <c r="D2921" s="139"/>
      <c r="E2921" s="138"/>
      <c r="F2921" s="138"/>
      <c r="G2921" s="138"/>
      <c r="H2921" s="138"/>
      <c r="I2921" s="138"/>
      <c r="J2921" s="138"/>
      <c r="K2921" s="138"/>
      <c r="L2921" s="138">
        <v>0.0</v>
      </c>
      <c r="M2921" s="140" t="str">
        <f>VLOOKUP(text(D2921, "#"),'Master Table'!$A:$F, 6, FALSE)</f>
        <v>#N/A</v>
      </c>
      <c r="N2921" s="141"/>
      <c r="O2921" s="142" t="str">
        <f t="shared" si="1"/>
        <v/>
      </c>
      <c r="P2921" s="143" t="str">
        <f>IF(ISNA(VLOOKUP(CONCAT(M2921,C2921), 'Judge Count DO NOT EDIT'!H:H, 1, FALSE)), "ERROR","")</f>
        <v>ERROR</v>
      </c>
      <c r="Q2921" s="141"/>
      <c r="R2921" s="143"/>
      <c r="S2921" s="139"/>
      <c r="T2921" s="141"/>
    </row>
    <row r="2922">
      <c r="A2922" s="138"/>
      <c r="B2922" s="138"/>
      <c r="C2922" s="138"/>
      <c r="D2922" s="139"/>
      <c r="E2922" s="138"/>
      <c r="F2922" s="138"/>
      <c r="G2922" s="138"/>
      <c r="H2922" s="138"/>
      <c r="I2922" s="138"/>
      <c r="J2922" s="138"/>
      <c r="K2922" s="138"/>
      <c r="L2922" s="138">
        <v>0.0</v>
      </c>
      <c r="M2922" s="140" t="str">
        <f>VLOOKUP(text(D2922, "#"),'Master Table'!$A:$F, 6, FALSE)</f>
        <v>#N/A</v>
      </c>
      <c r="N2922" s="141"/>
      <c r="O2922" s="142" t="str">
        <f t="shared" si="1"/>
        <v/>
      </c>
      <c r="P2922" s="143" t="str">
        <f>IF(ISNA(VLOOKUP(CONCAT(M2922,C2922), 'Judge Count DO NOT EDIT'!H:H, 1, FALSE)), "ERROR","")</f>
        <v>ERROR</v>
      </c>
      <c r="Q2922" s="141"/>
      <c r="R2922" s="143"/>
      <c r="S2922" s="139"/>
      <c r="T2922" s="141"/>
    </row>
    <row r="2923">
      <c r="A2923" s="138"/>
      <c r="B2923" s="138"/>
      <c r="C2923" s="138"/>
      <c r="D2923" s="139"/>
      <c r="E2923" s="138"/>
      <c r="F2923" s="138"/>
      <c r="G2923" s="138"/>
      <c r="H2923" s="138"/>
      <c r="I2923" s="138"/>
      <c r="J2923" s="138"/>
      <c r="K2923" s="138"/>
      <c r="L2923" s="138">
        <v>0.0</v>
      </c>
      <c r="M2923" s="140" t="str">
        <f>VLOOKUP(text(D2923, "#"),'Master Table'!$A:$F, 6, FALSE)</f>
        <v>#N/A</v>
      </c>
      <c r="N2923" s="141"/>
      <c r="O2923" s="142" t="str">
        <f t="shared" si="1"/>
        <v/>
      </c>
      <c r="P2923" s="143" t="str">
        <f>IF(ISNA(VLOOKUP(CONCAT(M2923,C2923), 'Judge Count DO NOT EDIT'!H:H, 1, FALSE)), "ERROR","")</f>
        <v>ERROR</v>
      </c>
      <c r="Q2923" s="141"/>
      <c r="R2923" s="143"/>
      <c r="S2923" s="139"/>
      <c r="T2923" s="141"/>
    </row>
    <row r="2924">
      <c r="A2924" s="138"/>
      <c r="B2924" s="138"/>
      <c r="C2924" s="138"/>
      <c r="D2924" s="139"/>
      <c r="E2924" s="138"/>
      <c r="F2924" s="138"/>
      <c r="G2924" s="138"/>
      <c r="H2924" s="138"/>
      <c r="I2924" s="138"/>
      <c r="J2924" s="138"/>
      <c r="K2924" s="138"/>
      <c r="L2924" s="138">
        <v>0.0</v>
      </c>
      <c r="M2924" s="140" t="str">
        <f>VLOOKUP(text(D2924, "#"),'Master Table'!$A:$F, 6, FALSE)</f>
        <v>#N/A</v>
      </c>
      <c r="N2924" s="141"/>
      <c r="O2924" s="142" t="str">
        <f t="shared" si="1"/>
        <v/>
      </c>
      <c r="P2924" s="143" t="str">
        <f>IF(ISNA(VLOOKUP(CONCAT(M2924,C2924), 'Judge Count DO NOT EDIT'!H:H, 1, FALSE)), "ERROR","")</f>
        <v>ERROR</v>
      </c>
      <c r="Q2924" s="141"/>
      <c r="R2924" s="143"/>
      <c r="S2924" s="139"/>
      <c r="T2924" s="141"/>
    </row>
    <row r="2925">
      <c r="A2925" s="138"/>
      <c r="B2925" s="138"/>
      <c r="C2925" s="138"/>
      <c r="D2925" s="139"/>
      <c r="E2925" s="138"/>
      <c r="F2925" s="138"/>
      <c r="G2925" s="138"/>
      <c r="H2925" s="138"/>
      <c r="I2925" s="138"/>
      <c r="J2925" s="138"/>
      <c r="K2925" s="138"/>
      <c r="L2925" s="138">
        <v>0.0</v>
      </c>
      <c r="M2925" s="140" t="str">
        <f>VLOOKUP(text(D2925, "#"),'Master Table'!$A:$F, 6, FALSE)</f>
        <v>#N/A</v>
      </c>
      <c r="N2925" s="141"/>
      <c r="O2925" s="142" t="str">
        <f t="shared" si="1"/>
        <v/>
      </c>
      <c r="P2925" s="143" t="str">
        <f>IF(ISNA(VLOOKUP(CONCAT(M2925,C2925), 'Judge Count DO NOT EDIT'!H:H, 1, FALSE)), "ERROR","")</f>
        <v>ERROR</v>
      </c>
      <c r="Q2925" s="141"/>
      <c r="R2925" s="143"/>
      <c r="S2925" s="139"/>
      <c r="T2925" s="141"/>
    </row>
    <row r="2926">
      <c r="A2926" s="138"/>
      <c r="B2926" s="138"/>
      <c r="C2926" s="138"/>
      <c r="D2926" s="139"/>
      <c r="E2926" s="138"/>
      <c r="F2926" s="138"/>
      <c r="G2926" s="138"/>
      <c r="H2926" s="138"/>
      <c r="I2926" s="138"/>
      <c r="J2926" s="138"/>
      <c r="K2926" s="138"/>
      <c r="L2926" s="138">
        <v>0.0</v>
      </c>
      <c r="M2926" s="140" t="str">
        <f>VLOOKUP(text(D2926, "#"),'Master Table'!$A:$F, 6, FALSE)</f>
        <v>#N/A</v>
      </c>
      <c r="N2926" s="141"/>
      <c r="O2926" s="142" t="str">
        <f t="shared" si="1"/>
        <v/>
      </c>
      <c r="P2926" s="143" t="str">
        <f>IF(ISNA(VLOOKUP(CONCAT(M2926,C2926), 'Judge Count DO NOT EDIT'!H:H, 1, FALSE)), "ERROR","")</f>
        <v>ERROR</v>
      </c>
      <c r="Q2926" s="141"/>
      <c r="R2926" s="143"/>
      <c r="S2926" s="139"/>
      <c r="T2926" s="141"/>
    </row>
    <row r="2927">
      <c r="A2927" s="138"/>
      <c r="B2927" s="138"/>
      <c r="C2927" s="138"/>
      <c r="D2927" s="139"/>
      <c r="E2927" s="138"/>
      <c r="F2927" s="138"/>
      <c r="G2927" s="138"/>
      <c r="H2927" s="138"/>
      <c r="I2927" s="138"/>
      <c r="J2927" s="138"/>
      <c r="K2927" s="138"/>
      <c r="L2927" s="138">
        <v>0.0</v>
      </c>
      <c r="M2927" s="140" t="str">
        <f>VLOOKUP(text(D2927, "#"),'Master Table'!$A:$F, 6, FALSE)</f>
        <v>#N/A</v>
      </c>
      <c r="N2927" s="141"/>
      <c r="O2927" s="142" t="str">
        <f t="shared" si="1"/>
        <v/>
      </c>
      <c r="P2927" s="143" t="str">
        <f>IF(ISNA(VLOOKUP(CONCAT(M2927,C2927), 'Judge Count DO NOT EDIT'!H:H, 1, FALSE)), "ERROR","")</f>
        <v>ERROR</v>
      </c>
      <c r="Q2927" s="141"/>
      <c r="R2927" s="143"/>
      <c r="S2927" s="139"/>
      <c r="T2927" s="141"/>
    </row>
    <row r="2928">
      <c r="A2928" s="138"/>
      <c r="B2928" s="138"/>
      <c r="C2928" s="138"/>
      <c r="D2928" s="139"/>
      <c r="E2928" s="138"/>
      <c r="F2928" s="138"/>
      <c r="G2928" s="138"/>
      <c r="H2928" s="138"/>
      <c r="I2928" s="138"/>
      <c r="J2928" s="138"/>
      <c r="K2928" s="138"/>
      <c r="L2928" s="138">
        <v>0.0</v>
      </c>
      <c r="M2928" s="140" t="str">
        <f>VLOOKUP(text(D2928, "#"),'Master Table'!$A:$F, 6, FALSE)</f>
        <v>#N/A</v>
      </c>
      <c r="N2928" s="141"/>
      <c r="O2928" s="142" t="str">
        <f t="shared" si="1"/>
        <v/>
      </c>
      <c r="P2928" s="143" t="str">
        <f>IF(ISNA(VLOOKUP(CONCAT(M2928,C2928), 'Judge Count DO NOT EDIT'!H:H, 1, FALSE)), "ERROR","")</f>
        <v>ERROR</v>
      </c>
      <c r="Q2928" s="141"/>
      <c r="R2928" s="143"/>
      <c r="S2928" s="139"/>
      <c r="T2928" s="141"/>
    </row>
    <row r="2929">
      <c r="A2929" s="138"/>
      <c r="B2929" s="138"/>
      <c r="C2929" s="138"/>
      <c r="D2929" s="139"/>
      <c r="E2929" s="138"/>
      <c r="F2929" s="138"/>
      <c r="G2929" s="138"/>
      <c r="H2929" s="138"/>
      <c r="I2929" s="138"/>
      <c r="J2929" s="138"/>
      <c r="K2929" s="138"/>
      <c r="L2929" s="138">
        <v>0.0</v>
      </c>
      <c r="M2929" s="140" t="str">
        <f>VLOOKUP(text(D2929, "#"),'Master Table'!$A:$F, 6, FALSE)</f>
        <v>#N/A</v>
      </c>
      <c r="N2929" s="141"/>
      <c r="O2929" s="142" t="str">
        <f t="shared" si="1"/>
        <v/>
      </c>
      <c r="P2929" s="143" t="str">
        <f>IF(ISNA(VLOOKUP(CONCAT(M2929,C2929), 'Judge Count DO NOT EDIT'!H:H, 1, FALSE)), "ERROR","")</f>
        <v>ERROR</v>
      </c>
      <c r="Q2929" s="141"/>
      <c r="R2929" s="143"/>
      <c r="S2929" s="139"/>
      <c r="T2929" s="141"/>
    </row>
    <row r="2930">
      <c r="A2930" s="138"/>
      <c r="B2930" s="138"/>
      <c r="C2930" s="138"/>
      <c r="D2930" s="139"/>
      <c r="E2930" s="138"/>
      <c r="F2930" s="138"/>
      <c r="G2930" s="138"/>
      <c r="H2930" s="138"/>
      <c r="I2930" s="138"/>
      <c r="J2930" s="138"/>
      <c r="K2930" s="138"/>
      <c r="L2930" s="138">
        <v>0.0</v>
      </c>
      <c r="M2930" s="140" t="str">
        <f>VLOOKUP(text(D2930, "#"),'Master Table'!$A:$F, 6, FALSE)</f>
        <v>#N/A</v>
      </c>
      <c r="N2930" s="141"/>
      <c r="O2930" s="142" t="str">
        <f t="shared" si="1"/>
        <v/>
      </c>
      <c r="P2930" s="143" t="str">
        <f>IF(ISNA(VLOOKUP(CONCAT(M2930,C2930), 'Judge Count DO NOT EDIT'!H:H, 1, FALSE)), "ERROR","")</f>
        <v>ERROR</v>
      </c>
      <c r="Q2930" s="141"/>
      <c r="R2930" s="143"/>
      <c r="S2930" s="139"/>
      <c r="T2930" s="141"/>
    </row>
    <row r="2931">
      <c r="A2931" s="138"/>
      <c r="B2931" s="138"/>
      <c r="C2931" s="138"/>
      <c r="D2931" s="139"/>
      <c r="E2931" s="138"/>
      <c r="F2931" s="138"/>
      <c r="G2931" s="138"/>
      <c r="H2931" s="138"/>
      <c r="I2931" s="138"/>
      <c r="J2931" s="138"/>
      <c r="K2931" s="138"/>
      <c r="L2931" s="138">
        <v>0.0</v>
      </c>
      <c r="M2931" s="140" t="str">
        <f>VLOOKUP(text(D2931, "#"),'Master Table'!$A:$F, 6, FALSE)</f>
        <v>#N/A</v>
      </c>
      <c r="N2931" s="141"/>
      <c r="O2931" s="142" t="str">
        <f t="shared" si="1"/>
        <v/>
      </c>
      <c r="P2931" s="143" t="str">
        <f>IF(ISNA(VLOOKUP(CONCAT(M2931,C2931), 'Judge Count DO NOT EDIT'!H:H, 1, FALSE)), "ERROR","")</f>
        <v>ERROR</v>
      </c>
      <c r="Q2931" s="141"/>
      <c r="R2931" s="143"/>
      <c r="S2931" s="139"/>
      <c r="T2931" s="141"/>
    </row>
    <row r="2932">
      <c r="A2932" s="138"/>
      <c r="B2932" s="138"/>
      <c r="C2932" s="138"/>
      <c r="D2932" s="139"/>
      <c r="E2932" s="138"/>
      <c r="F2932" s="138"/>
      <c r="G2932" s="138"/>
      <c r="H2932" s="138"/>
      <c r="I2932" s="138"/>
      <c r="J2932" s="138"/>
      <c r="K2932" s="138"/>
      <c r="L2932" s="138">
        <v>0.0</v>
      </c>
      <c r="M2932" s="140" t="str">
        <f>VLOOKUP(text(D2932, "#"),'Master Table'!$A:$F, 6, FALSE)</f>
        <v>#N/A</v>
      </c>
      <c r="N2932" s="141"/>
      <c r="O2932" s="142" t="str">
        <f t="shared" si="1"/>
        <v/>
      </c>
      <c r="P2932" s="143" t="str">
        <f>IF(ISNA(VLOOKUP(CONCAT(M2932,C2932), 'Judge Count DO NOT EDIT'!H:H, 1, FALSE)), "ERROR","")</f>
        <v>ERROR</v>
      </c>
      <c r="Q2932" s="141"/>
      <c r="R2932" s="143"/>
      <c r="S2932" s="139"/>
      <c r="T2932" s="141"/>
    </row>
    <row r="2933">
      <c r="A2933" s="138"/>
      <c r="B2933" s="138"/>
      <c r="C2933" s="138"/>
      <c r="D2933" s="139"/>
      <c r="E2933" s="138"/>
      <c r="F2933" s="138"/>
      <c r="G2933" s="138"/>
      <c r="H2933" s="138"/>
      <c r="I2933" s="138"/>
      <c r="J2933" s="138"/>
      <c r="K2933" s="138"/>
      <c r="L2933" s="138">
        <v>0.0</v>
      </c>
      <c r="M2933" s="140" t="str">
        <f>VLOOKUP(text(D2933, "#"),'Master Table'!$A:$F, 6, FALSE)</f>
        <v>#N/A</v>
      </c>
      <c r="N2933" s="141"/>
      <c r="O2933" s="142" t="str">
        <f t="shared" si="1"/>
        <v/>
      </c>
      <c r="P2933" s="143" t="str">
        <f>IF(ISNA(VLOOKUP(CONCAT(M2933,C2933), 'Judge Count DO NOT EDIT'!H:H, 1, FALSE)), "ERROR","")</f>
        <v>ERROR</v>
      </c>
      <c r="Q2933" s="141"/>
      <c r="R2933" s="143"/>
      <c r="S2933" s="139"/>
      <c r="T2933" s="141"/>
    </row>
    <row r="2934">
      <c r="A2934" s="138"/>
      <c r="B2934" s="138"/>
      <c r="C2934" s="138"/>
      <c r="D2934" s="139"/>
      <c r="E2934" s="138"/>
      <c r="F2934" s="138"/>
      <c r="G2934" s="138"/>
      <c r="H2934" s="138"/>
      <c r="I2934" s="138"/>
      <c r="J2934" s="138"/>
      <c r="K2934" s="138"/>
      <c r="L2934" s="138">
        <v>0.0</v>
      </c>
      <c r="M2934" s="140" t="str">
        <f>VLOOKUP(text(D2934, "#"),'Master Table'!$A:$F, 6, FALSE)</f>
        <v>#N/A</v>
      </c>
      <c r="N2934" s="141"/>
      <c r="O2934" s="142" t="str">
        <f t="shared" si="1"/>
        <v/>
      </c>
      <c r="P2934" s="143" t="str">
        <f>IF(ISNA(VLOOKUP(CONCAT(M2934,C2934), 'Judge Count DO NOT EDIT'!H:H, 1, FALSE)), "ERROR","")</f>
        <v>ERROR</v>
      </c>
      <c r="Q2934" s="141"/>
      <c r="R2934" s="143"/>
      <c r="S2934" s="139"/>
      <c r="T2934" s="141"/>
    </row>
    <row r="2935">
      <c r="A2935" s="138"/>
      <c r="B2935" s="138"/>
      <c r="C2935" s="138"/>
      <c r="D2935" s="139"/>
      <c r="E2935" s="138"/>
      <c r="F2935" s="138"/>
      <c r="G2935" s="138"/>
      <c r="H2935" s="138"/>
      <c r="I2935" s="138"/>
      <c r="J2935" s="138"/>
      <c r="K2935" s="138"/>
      <c r="L2935" s="138">
        <v>0.0</v>
      </c>
      <c r="M2935" s="140" t="str">
        <f>VLOOKUP(text(D2935, "#"),'Master Table'!$A:$F, 6, FALSE)</f>
        <v>#N/A</v>
      </c>
      <c r="N2935" s="141"/>
      <c r="O2935" s="142" t="str">
        <f t="shared" si="1"/>
        <v/>
      </c>
      <c r="P2935" s="143" t="str">
        <f>IF(ISNA(VLOOKUP(CONCAT(M2935,C2935), 'Judge Count DO NOT EDIT'!H:H, 1, FALSE)), "ERROR","")</f>
        <v>ERROR</v>
      </c>
      <c r="Q2935" s="141"/>
      <c r="R2935" s="143"/>
      <c r="S2935" s="139"/>
      <c r="T2935" s="141"/>
    </row>
    <row r="2936">
      <c r="A2936" s="138"/>
      <c r="B2936" s="138"/>
      <c r="C2936" s="138"/>
      <c r="D2936" s="139"/>
      <c r="E2936" s="138"/>
      <c r="F2936" s="138"/>
      <c r="G2936" s="138"/>
      <c r="H2936" s="138"/>
      <c r="I2936" s="138"/>
      <c r="J2936" s="138"/>
      <c r="K2936" s="138"/>
      <c r="L2936" s="138">
        <v>0.0</v>
      </c>
      <c r="M2936" s="140" t="str">
        <f>VLOOKUP(text(D2936, "#"),'Master Table'!$A:$F, 6, FALSE)</f>
        <v>#N/A</v>
      </c>
      <c r="N2936" s="141"/>
      <c r="O2936" s="142" t="str">
        <f t="shared" si="1"/>
        <v/>
      </c>
      <c r="P2936" s="143" t="str">
        <f>IF(ISNA(VLOOKUP(CONCAT(M2936,C2936), 'Judge Count DO NOT EDIT'!H:H, 1, FALSE)), "ERROR","")</f>
        <v>ERROR</v>
      </c>
      <c r="Q2936" s="141"/>
      <c r="R2936" s="143"/>
      <c r="S2936" s="139"/>
      <c r="T2936" s="141"/>
    </row>
    <row r="2937">
      <c r="A2937" s="138"/>
      <c r="B2937" s="138"/>
      <c r="C2937" s="138"/>
      <c r="D2937" s="139"/>
      <c r="E2937" s="138"/>
      <c r="F2937" s="138"/>
      <c r="G2937" s="138"/>
      <c r="H2937" s="138"/>
      <c r="I2937" s="138"/>
      <c r="J2937" s="138"/>
      <c r="K2937" s="138"/>
      <c r="L2937" s="138">
        <v>0.0</v>
      </c>
      <c r="M2937" s="140" t="str">
        <f>VLOOKUP(text(D2937, "#"),'Master Table'!$A:$F, 6, FALSE)</f>
        <v>#N/A</v>
      </c>
      <c r="N2937" s="141"/>
      <c r="O2937" s="142" t="str">
        <f t="shared" si="1"/>
        <v/>
      </c>
      <c r="P2937" s="143" t="str">
        <f>IF(ISNA(VLOOKUP(CONCAT(M2937,C2937), 'Judge Count DO NOT EDIT'!H:H, 1, FALSE)), "ERROR","")</f>
        <v>ERROR</v>
      </c>
      <c r="Q2937" s="141"/>
      <c r="R2937" s="143"/>
      <c r="S2937" s="139"/>
      <c r="T2937" s="141"/>
    </row>
    <row r="2938">
      <c r="A2938" s="138"/>
      <c r="B2938" s="138"/>
      <c r="C2938" s="138"/>
      <c r="D2938" s="139"/>
      <c r="E2938" s="138"/>
      <c r="F2938" s="138"/>
      <c r="G2938" s="138"/>
      <c r="H2938" s="138"/>
      <c r="I2938" s="138"/>
      <c r="J2938" s="138"/>
      <c r="K2938" s="138"/>
      <c r="L2938" s="138">
        <v>0.0</v>
      </c>
      <c r="M2938" s="140" t="str">
        <f>VLOOKUP(text(D2938, "#"),'Master Table'!$A:$F, 6, FALSE)</f>
        <v>#N/A</v>
      </c>
      <c r="N2938" s="141"/>
      <c r="O2938" s="142" t="str">
        <f t="shared" si="1"/>
        <v/>
      </c>
      <c r="P2938" s="143" t="str">
        <f>IF(ISNA(VLOOKUP(CONCAT(M2938,C2938), 'Judge Count DO NOT EDIT'!H:H, 1, FALSE)), "ERROR","")</f>
        <v>ERROR</v>
      </c>
      <c r="Q2938" s="141"/>
      <c r="R2938" s="143"/>
      <c r="S2938" s="139"/>
      <c r="T2938" s="141"/>
    </row>
    <row r="2939">
      <c r="A2939" s="138"/>
      <c r="B2939" s="138"/>
      <c r="C2939" s="138"/>
      <c r="D2939" s="139"/>
      <c r="E2939" s="138"/>
      <c r="F2939" s="138"/>
      <c r="G2939" s="138"/>
      <c r="H2939" s="138"/>
      <c r="I2939" s="138"/>
      <c r="J2939" s="138"/>
      <c r="K2939" s="138"/>
      <c r="L2939" s="138">
        <v>0.0</v>
      </c>
      <c r="M2939" s="140" t="str">
        <f>VLOOKUP(text(D2939, "#"),'Master Table'!$A:$F, 6, FALSE)</f>
        <v>#N/A</v>
      </c>
      <c r="N2939" s="141"/>
      <c r="O2939" s="142" t="str">
        <f t="shared" si="1"/>
        <v/>
      </c>
      <c r="P2939" s="143" t="str">
        <f>IF(ISNA(VLOOKUP(CONCAT(M2939,C2939), 'Judge Count DO NOT EDIT'!H:H, 1, FALSE)), "ERROR","")</f>
        <v>ERROR</v>
      </c>
      <c r="Q2939" s="141"/>
      <c r="R2939" s="143"/>
      <c r="S2939" s="139"/>
      <c r="T2939" s="141"/>
    </row>
    <row r="2940">
      <c r="A2940" s="138"/>
      <c r="B2940" s="138"/>
      <c r="C2940" s="138"/>
      <c r="D2940" s="139"/>
      <c r="E2940" s="138"/>
      <c r="F2940" s="138"/>
      <c r="G2940" s="138"/>
      <c r="H2940" s="138"/>
      <c r="I2940" s="138"/>
      <c r="J2940" s="138"/>
      <c r="K2940" s="138"/>
      <c r="L2940" s="138">
        <v>0.0</v>
      </c>
      <c r="M2940" s="140" t="str">
        <f>VLOOKUP(text(D2940, "#"),'Master Table'!$A:$F, 6, FALSE)</f>
        <v>#N/A</v>
      </c>
      <c r="N2940" s="141"/>
      <c r="O2940" s="142" t="str">
        <f t="shared" si="1"/>
        <v/>
      </c>
      <c r="P2940" s="143" t="str">
        <f>IF(ISNA(VLOOKUP(CONCAT(M2940,C2940), 'Judge Count DO NOT EDIT'!H:H, 1, FALSE)), "ERROR","")</f>
        <v>ERROR</v>
      </c>
      <c r="Q2940" s="141"/>
      <c r="R2940" s="143"/>
      <c r="S2940" s="139"/>
      <c r="T2940" s="141"/>
    </row>
    <row r="2941">
      <c r="A2941" s="138"/>
      <c r="B2941" s="138"/>
      <c r="C2941" s="138"/>
      <c r="D2941" s="139"/>
      <c r="E2941" s="138"/>
      <c r="F2941" s="138"/>
      <c r="G2941" s="138"/>
      <c r="H2941" s="138"/>
      <c r="I2941" s="138"/>
      <c r="J2941" s="138"/>
      <c r="K2941" s="138"/>
      <c r="L2941" s="138">
        <v>0.0</v>
      </c>
      <c r="M2941" s="140" t="str">
        <f>VLOOKUP(text(D2941, "#"),'Master Table'!$A:$F, 6, FALSE)</f>
        <v>#N/A</v>
      </c>
      <c r="N2941" s="141"/>
      <c r="O2941" s="142" t="str">
        <f t="shared" si="1"/>
        <v/>
      </c>
      <c r="P2941" s="143" t="str">
        <f>IF(ISNA(VLOOKUP(CONCAT(M2941,C2941), 'Judge Count DO NOT EDIT'!H:H, 1, FALSE)), "ERROR","")</f>
        <v>ERROR</v>
      </c>
      <c r="Q2941" s="141"/>
      <c r="R2941" s="143"/>
      <c r="S2941" s="139"/>
      <c r="T2941" s="141"/>
    </row>
    <row r="2942">
      <c r="A2942" s="138"/>
      <c r="B2942" s="138"/>
      <c r="C2942" s="138"/>
      <c r="D2942" s="139"/>
      <c r="E2942" s="138"/>
      <c r="F2942" s="138"/>
      <c r="G2942" s="138"/>
      <c r="H2942" s="138"/>
      <c r="I2942" s="138"/>
      <c r="J2942" s="138"/>
      <c r="K2942" s="138"/>
      <c r="L2942" s="138">
        <v>0.0</v>
      </c>
      <c r="M2942" s="140" t="str">
        <f>VLOOKUP(text(D2942, "#"),'Master Table'!$A:$F, 6, FALSE)</f>
        <v>#N/A</v>
      </c>
      <c r="N2942" s="141"/>
      <c r="O2942" s="142" t="str">
        <f t="shared" si="1"/>
        <v/>
      </c>
      <c r="P2942" s="143" t="str">
        <f>IF(ISNA(VLOOKUP(CONCAT(M2942,C2942), 'Judge Count DO NOT EDIT'!H:H, 1, FALSE)), "ERROR","")</f>
        <v>ERROR</v>
      </c>
      <c r="Q2942" s="141"/>
      <c r="R2942" s="143"/>
      <c r="S2942" s="139"/>
      <c r="T2942" s="141"/>
    </row>
    <row r="2943">
      <c r="A2943" s="138"/>
      <c r="B2943" s="138"/>
      <c r="C2943" s="138"/>
      <c r="D2943" s="139"/>
      <c r="E2943" s="138"/>
      <c r="F2943" s="138"/>
      <c r="G2943" s="138"/>
      <c r="H2943" s="138"/>
      <c r="I2943" s="138"/>
      <c r="J2943" s="138"/>
      <c r="K2943" s="138"/>
      <c r="L2943" s="138">
        <v>0.0</v>
      </c>
      <c r="M2943" s="140" t="str">
        <f>VLOOKUP(text(D2943, "#"),'Master Table'!$A:$F, 6, FALSE)</f>
        <v>#N/A</v>
      </c>
      <c r="N2943" s="141"/>
      <c r="O2943" s="142" t="str">
        <f t="shared" si="1"/>
        <v/>
      </c>
      <c r="P2943" s="143" t="str">
        <f>IF(ISNA(VLOOKUP(CONCAT(M2943,C2943), 'Judge Count DO NOT EDIT'!H:H, 1, FALSE)), "ERROR","")</f>
        <v>ERROR</v>
      </c>
      <c r="Q2943" s="141"/>
      <c r="R2943" s="143"/>
      <c r="S2943" s="139"/>
      <c r="T2943" s="141"/>
    </row>
    <row r="2944">
      <c r="A2944" s="138"/>
      <c r="B2944" s="138"/>
      <c r="C2944" s="138"/>
      <c r="D2944" s="139"/>
      <c r="E2944" s="138"/>
      <c r="F2944" s="138"/>
      <c r="G2944" s="138"/>
      <c r="H2944" s="138"/>
      <c r="I2944" s="138"/>
      <c r="J2944" s="138"/>
      <c r="K2944" s="138"/>
      <c r="L2944" s="138">
        <v>0.0</v>
      </c>
      <c r="M2944" s="140" t="str">
        <f>VLOOKUP(text(D2944, "#"),'Master Table'!$A:$F, 6, FALSE)</f>
        <v>#N/A</v>
      </c>
      <c r="N2944" s="141"/>
      <c r="O2944" s="142" t="str">
        <f t="shared" si="1"/>
        <v/>
      </c>
      <c r="P2944" s="143" t="str">
        <f>IF(ISNA(VLOOKUP(CONCAT(M2944,C2944), 'Judge Count DO NOT EDIT'!H:H, 1, FALSE)), "ERROR","")</f>
        <v>ERROR</v>
      </c>
      <c r="Q2944" s="141"/>
      <c r="R2944" s="143"/>
      <c r="S2944" s="139"/>
      <c r="T2944" s="141"/>
    </row>
    <row r="2945">
      <c r="A2945" s="138"/>
      <c r="B2945" s="138"/>
      <c r="C2945" s="138"/>
      <c r="D2945" s="139"/>
      <c r="E2945" s="138"/>
      <c r="F2945" s="138"/>
      <c r="G2945" s="138"/>
      <c r="H2945" s="138"/>
      <c r="I2945" s="138"/>
      <c r="J2945" s="138"/>
      <c r="K2945" s="138"/>
      <c r="L2945" s="138">
        <v>0.0</v>
      </c>
      <c r="M2945" s="140" t="str">
        <f>VLOOKUP(text(D2945, "#"),'Master Table'!$A:$F, 6, FALSE)</f>
        <v>#N/A</v>
      </c>
      <c r="N2945" s="141"/>
      <c r="O2945" s="142" t="str">
        <f t="shared" si="1"/>
        <v/>
      </c>
      <c r="P2945" s="143" t="str">
        <f>IF(ISNA(VLOOKUP(CONCAT(M2945,C2945), 'Judge Count DO NOT EDIT'!H:H, 1, FALSE)), "ERROR","")</f>
        <v>ERROR</v>
      </c>
      <c r="Q2945" s="141"/>
      <c r="R2945" s="143"/>
      <c r="S2945" s="139"/>
      <c r="T2945" s="141"/>
    </row>
    <row r="2946">
      <c r="A2946" s="138"/>
      <c r="B2946" s="138"/>
      <c r="C2946" s="138"/>
      <c r="D2946" s="139"/>
      <c r="E2946" s="138"/>
      <c r="F2946" s="138"/>
      <c r="G2946" s="138"/>
      <c r="H2946" s="138"/>
      <c r="I2946" s="138"/>
      <c r="J2946" s="138"/>
      <c r="K2946" s="138"/>
      <c r="L2946" s="138">
        <v>0.0</v>
      </c>
      <c r="M2946" s="140" t="str">
        <f>VLOOKUP(text(D2946, "#"),'Master Table'!$A:$F, 6, FALSE)</f>
        <v>#N/A</v>
      </c>
      <c r="N2946" s="141"/>
      <c r="O2946" s="142" t="str">
        <f t="shared" si="1"/>
        <v/>
      </c>
      <c r="P2946" s="143" t="str">
        <f>IF(ISNA(VLOOKUP(CONCAT(M2946,C2946), 'Judge Count DO NOT EDIT'!H:H, 1, FALSE)), "ERROR","")</f>
        <v>ERROR</v>
      </c>
      <c r="Q2946" s="141"/>
      <c r="R2946" s="143"/>
      <c r="S2946" s="139"/>
      <c r="T2946" s="141"/>
    </row>
    <row r="2947">
      <c r="A2947" s="138"/>
      <c r="B2947" s="138"/>
      <c r="C2947" s="138"/>
      <c r="D2947" s="139"/>
      <c r="E2947" s="138"/>
      <c r="F2947" s="138"/>
      <c r="G2947" s="138"/>
      <c r="H2947" s="138"/>
      <c r="I2947" s="138"/>
      <c r="J2947" s="138"/>
      <c r="K2947" s="138"/>
      <c r="L2947" s="138">
        <v>0.0</v>
      </c>
      <c r="M2947" s="140" t="str">
        <f>VLOOKUP(text(D2947, "#"),'Master Table'!$A:$F, 6, FALSE)</f>
        <v>#N/A</v>
      </c>
      <c r="N2947" s="141"/>
      <c r="O2947" s="142" t="str">
        <f t="shared" si="1"/>
        <v/>
      </c>
      <c r="P2947" s="143" t="str">
        <f>IF(ISNA(VLOOKUP(CONCAT(M2947,C2947), 'Judge Count DO NOT EDIT'!H:H, 1, FALSE)), "ERROR","")</f>
        <v>ERROR</v>
      </c>
      <c r="Q2947" s="141"/>
      <c r="R2947" s="143"/>
      <c r="S2947" s="139"/>
      <c r="T2947" s="141"/>
    </row>
    <row r="2948">
      <c r="A2948" s="138"/>
      <c r="B2948" s="138"/>
      <c r="C2948" s="138"/>
      <c r="D2948" s="139"/>
      <c r="E2948" s="138"/>
      <c r="F2948" s="138"/>
      <c r="G2948" s="138"/>
      <c r="H2948" s="138"/>
      <c r="I2948" s="138"/>
      <c r="J2948" s="138"/>
      <c r="K2948" s="138"/>
      <c r="L2948" s="138">
        <v>0.0</v>
      </c>
      <c r="M2948" s="140" t="str">
        <f>VLOOKUP(text(D2948, "#"),'Master Table'!$A:$F, 6, FALSE)</f>
        <v>#N/A</v>
      </c>
      <c r="N2948" s="141"/>
      <c r="O2948" s="142" t="str">
        <f t="shared" si="1"/>
        <v/>
      </c>
      <c r="P2948" s="143" t="str">
        <f>IF(ISNA(VLOOKUP(CONCAT(M2948,C2948), 'Judge Count DO NOT EDIT'!H:H, 1, FALSE)), "ERROR","")</f>
        <v>ERROR</v>
      </c>
      <c r="Q2948" s="141"/>
      <c r="R2948" s="143"/>
      <c r="S2948" s="139"/>
      <c r="T2948" s="141"/>
    </row>
    <row r="2949">
      <c r="A2949" s="138"/>
      <c r="B2949" s="138"/>
      <c r="C2949" s="138"/>
      <c r="D2949" s="139"/>
      <c r="E2949" s="138"/>
      <c r="F2949" s="138"/>
      <c r="G2949" s="138"/>
      <c r="H2949" s="138"/>
      <c r="I2949" s="138"/>
      <c r="J2949" s="138"/>
      <c r="K2949" s="138"/>
      <c r="L2949" s="138">
        <v>0.0</v>
      </c>
      <c r="M2949" s="140" t="str">
        <f>VLOOKUP(text(D2949, "#"),'Master Table'!$A:$F, 6, FALSE)</f>
        <v>#N/A</v>
      </c>
      <c r="N2949" s="141"/>
      <c r="O2949" s="142" t="str">
        <f t="shared" si="1"/>
        <v/>
      </c>
      <c r="P2949" s="143" t="str">
        <f>IF(ISNA(VLOOKUP(CONCAT(M2949,C2949), 'Judge Count DO NOT EDIT'!H:H, 1, FALSE)), "ERROR","")</f>
        <v>ERROR</v>
      </c>
      <c r="Q2949" s="141"/>
      <c r="R2949" s="143"/>
      <c r="S2949" s="139"/>
      <c r="T2949" s="141"/>
    </row>
    <row r="2950">
      <c r="A2950" s="138"/>
      <c r="B2950" s="138"/>
      <c r="C2950" s="138"/>
      <c r="D2950" s="139"/>
      <c r="E2950" s="138"/>
      <c r="F2950" s="138"/>
      <c r="G2950" s="138"/>
      <c r="H2950" s="138"/>
      <c r="I2950" s="138"/>
      <c r="J2950" s="138"/>
      <c r="K2950" s="138"/>
      <c r="L2950" s="138">
        <v>0.0</v>
      </c>
      <c r="M2950" s="140" t="str">
        <f>VLOOKUP(text(D2950, "#"),'Master Table'!$A:$F, 6, FALSE)</f>
        <v>#N/A</v>
      </c>
      <c r="N2950" s="141"/>
      <c r="O2950" s="142" t="str">
        <f t="shared" si="1"/>
        <v/>
      </c>
      <c r="P2950" s="143" t="str">
        <f>IF(ISNA(VLOOKUP(CONCAT(M2950,C2950), 'Judge Count DO NOT EDIT'!H:H, 1, FALSE)), "ERROR","")</f>
        <v>ERROR</v>
      </c>
      <c r="Q2950" s="141"/>
      <c r="R2950" s="143"/>
      <c r="S2950" s="139"/>
      <c r="T2950" s="141"/>
    </row>
    <row r="2951">
      <c r="A2951" s="138"/>
      <c r="B2951" s="138"/>
      <c r="C2951" s="138"/>
      <c r="D2951" s="139"/>
      <c r="E2951" s="138"/>
      <c r="F2951" s="138"/>
      <c r="G2951" s="138"/>
      <c r="H2951" s="138"/>
      <c r="I2951" s="138"/>
      <c r="J2951" s="138"/>
      <c r="K2951" s="138"/>
      <c r="L2951" s="138">
        <v>0.0</v>
      </c>
      <c r="M2951" s="140" t="str">
        <f>VLOOKUP(text(D2951, "#"),'Master Table'!$A:$F, 6, FALSE)</f>
        <v>#N/A</v>
      </c>
      <c r="N2951" s="141"/>
      <c r="O2951" s="142" t="str">
        <f t="shared" si="1"/>
        <v/>
      </c>
      <c r="P2951" s="143" t="str">
        <f>IF(ISNA(VLOOKUP(CONCAT(M2951,C2951), 'Judge Count DO NOT EDIT'!H:H, 1, FALSE)), "ERROR","")</f>
        <v>ERROR</v>
      </c>
      <c r="Q2951" s="141"/>
      <c r="R2951" s="143"/>
      <c r="S2951" s="139"/>
      <c r="T2951" s="141"/>
    </row>
    <row r="2952">
      <c r="A2952" s="138"/>
      <c r="B2952" s="138"/>
      <c r="C2952" s="138"/>
      <c r="D2952" s="139"/>
      <c r="E2952" s="138"/>
      <c r="F2952" s="138"/>
      <c r="G2952" s="138"/>
      <c r="H2952" s="138"/>
      <c r="I2952" s="138"/>
      <c r="J2952" s="138"/>
      <c r="K2952" s="138"/>
      <c r="L2952" s="138">
        <v>0.0</v>
      </c>
      <c r="M2952" s="140" t="str">
        <f>VLOOKUP(text(D2952, "#"),'Master Table'!$A:$F, 6, FALSE)</f>
        <v>#N/A</v>
      </c>
      <c r="N2952" s="141"/>
      <c r="O2952" s="142" t="str">
        <f t="shared" si="1"/>
        <v/>
      </c>
      <c r="P2952" s="143" t="str">
        <f>IF(ISNA(VLOOKUP(CONCAT(M2952,C2952), 'Judge Count DO NOT EDIT'!H:H, 1, FALSE)), "ERROR","")</f>
        <v>ERROR</v>
      </c>
      <c r="Q2952" s="141"/>
      <c r="R2952" s="143"/>
      <c r="S2952" s="139"/>
      <c r="T2952" s="141"/>
    </row>
    <row r="2953">
      <c r="A2953" s="138"/>
      <c r="B2953" s="138"/>
      <c r="C2953" s="138"/>
      <c r="D2953" s="139"/>
      <c r="E2953" s="138"/>
      <c r="F2953" s="138"/>
      <c r="G2953" s="138"/>
      <c r="H2953" s="138"/>
      <c r="I2953" s="138"/>
      <c r="J2953" s="138"/>
      <c r="K2953" s="138"/>
      <c r="L2953" s="138">
        <v>0.0</v>
      </c>
      <c r="M2953" s="140" t="str">
        <f>VLOOKUP(text(D2953, "#"),'Master Table'!$A:$F, 6, FALSE)</f>
        <v>#N/A</v>
      </c>
      <c r="N2953" s="141"/>
      <c r="O2953" s="142" t="str">
        <f t="shared" si="1"/>
        <v/>
      </c>
      <c r="P2953" s="143" t="str">
        <f>IF(ISNA(VLOOKUP(CONCAT(M2953,C2953), 'Judge Count DO NOT EDIT'!H:H, 1, FALSE)), "ERROR","")</f>
        <v>ERROR</v>
      </c>
      <c r="Q2953" s="141"/>
      <c r="R2953" s="143"/>
      <c r="S2953" s="139"/>
      <c r="T2953" s="141"/>
    </row>
    <row r="2954">
      <c r="A2954" s="138"/>
      <c r="B2954" s="138"/>
      <c r="C2954" s="138"/>
      <c r="D2954" s="139"/>
      <c r="E2954" s="138"/>
      <c r="F2954" s="138"/>
      <c r="G2954" s="138"/>
      <c r="H2954" s="138"/>
      <c r="I2954" s="138"/>
      <c r="J2954" s="138"/>
      <c r="K2954" s="138"/>
      <c r="L2954" s="138">
        <v>0.0</v>
      </c>
      <c r="M2954" s="140" t="str">
        <f>VLOOKUP(text(D2954, "#"),'Master Table'!$A:$F, 6, FALSE)</f>
        <v>#N/A</v>
      </c>
      <c r="N2954" s="141"/>
      <c r="O2954" s="142" t="str">
        <f t="shared" si="1"/>
        <v/>
      </c>
      <c r="P2954" s="143" t="str">
        <f>IF(ISNA(VLOOKUP(CONCAT(M2954,C2954), 'Judge Count DO NOT EDIT'!H:H, 1, FALSE)), "ERROR","")</f>
        <v>ERROR</v>
      </c>
      <c r="Q2954" s="141"/>
      <c r="R2954" s="143"/>
      <c r="S2954" s="139"/>
      <c r="T2954" s="141"/>
    </row>
    <row r="2955">
      <c r="A2955" s="138"/>
      <c r="B2955" s="138"/>
      <c r="C2955" s="138"/>
      <c r="D2955" s="139"/>
      <c r="E2955" s="138"/>
      <c r="F2955" s="138"/>
      <c r="G2955" s="138"/>
      <c r="H2955" s="138"/>
      <c r="I2955" s="138"/>
      <c r="J2955" s="138"/>
      <c r="K2955" s="138"/>
      <c r="L2955" s="138">
        <v>0.0</v>
      </c>
      <c r="M2955" s="140" t="str">
        <f>VLOOKUP(text(D2955, "#"),'Master Table'!$A:$F, 6, FALSE)</f>
        <v>#N/A</v>
      </c>
      <c r="N2955" s="141"/>
      <c r="O2955" s="142" t="str">
        <f t="shared" si="1"/>
        <v/>
      </c>
      <c r="P2955" s="143" t="str">
        <f>IF(ISNA(VLOOKUP(CONCAT(M2955,C2955), 'Judge Count DO NOT EDIT'!H:H, 1, FALSE)), "ERROR","")</f>
        <v>ERROR</v>
      </c>
      <c r="Q2955" s="141"/>
      <c r="R2955" s="143"/>
      <c r="S2955" s="139"/>
      <c r="T2955" s="141"/>
    </row>
    <row r="2956">
      <c r="A2956" s="138"/>
      <c r="B2956" s="138"/>
      <c r="C2956" s="138"/>
      <c r="D2956" s="139"/>
      <c r="E2956" s="138"/>
      <c r="F2956" s="138"/>
      <c r="G2956" s="138"/>
      <c r="H2956" s="138"/>
      <c r="I2956" s="138"/>
      <c r="J2956" s="138"/>
      <c r="K2956" s="138"/>
      <c r="L2956" s="138">
        <v>0.0</v>
      </c>
      <c r="M2956" s="140" t="str">
        <f>VLOOKUP(text(D2956, "#"),'Master Table'!$A:$F, 6, FALSE)</f>
        <v>#N/A</v>
      </c>
      <c r="N2956" s="141"/>
      <c r="O2956" s="142" t="str">
        <f t="shared" si="1"/>
        <v/>
      </c>
      <c r="P2956" s="143" t="str">
        <f>IF(ISNA(VLOOKUP(CONCAT(M2956,C2956), 'Judge Count DO NOT EDIT'!H:H, 1, FALSE)), "ERROR","")</f>
        <v>ERROR</v>
      </c>
      <c r="Q2956" s="141"/>
      <c r="R2956" s="143"/>
      <c r="S2956" s="139"/>
      <c r="T2956" s="141"/>
    </row>
    <row r="2957">
      <c r="A2957" s="138"/>
      <c r="B2957" s="138"/>
      <c r="C2957" s="138"/>
      <c r="D2957" s="139"/>
      <c r="E2957" s="138"/>
      <c r="F2957" s="138"/>
      <c r="G2957" s="138"/>
      <c r="H2957" s="138"/>
      <c r="I2957" s="138"/>
      <c r="J2957" s="138"/>
      <c r="K2957" s="138"/>
      <c r="L2957" s="138">
        <v>0.0</v>
      </c>
      <c r="M2957" s="140" t="str">
        <f>VLOOKUP(text(D2957, "#"),'Master Table'!$A:$F, 6, FALSE)</f>
        <v>#N/A</v>
      </c>
      <c r="N2957" s="141"/>
      <c r="O2957" s="142" t="str">
        <f t="shared" si="1"/>
        <v/>
      </c>
      <c r="P2957" s="143" t="str">
        <f>IF(ISNA(VLOOKUP(CONCAT(M2957,C2957), 'Judge Count DO NOT EDIT'!H:H, 1, FALSE)), "ERROR","")</f>
        <v>ERROR</v>
      </c>
      <c r="Q2957" s="141"/>
      <c r="R2957" s="143"/>
      <c r="S2957" s="139"/>
      <c r="T2957" s="141"/>
    </row>
    <row r="2958">
      <c r="A2958" s="138"/>
      <c r="B2958" s="138"/>
      <c r="C2958" s="138"/>
      <c r="D2958" s="139"/>
      <c r="E2958" s="138"/>
      <c r="F2958" s="138"/>
      <c r="G2958" s="138"/>
      <c r="H2958" s="138"/>
      <c r="I2958" s="138"/>
      <c r="J2958" s="138"/>
      <c r="K2958" s="138"/>
      <c r="L2958" s="138">
        <v>0.0</v>
      </c>
      <c r="M2958" s="140" t="str">
        <f>VLOOKUP(text(D2958, "#"),'Master Table'!$A:$F, 6, FALSE)</f>
        <v>#N/A</v>
      </c>
      <c r="N2958" s="141"/>
      <c r="O2958" s="142" t="str">
        <f t="shared" si="1"/>
        <v/>
      </c>
      <c r="P2958" s="143" t="str">
        <f>IF(ISNA(VLOOKUP(CONCAT(M2958,C2958), 'Judge Count DO NOT EDIT'!H:H, 1, FALSE)), "ERROR","")</f>
        <v>ERROR</v>
      </c>
      <c r="Q2958" s="141"/>
      <c r="R2958" s="143"/>
      <c r="S2958" s="139"/>
      <c r="T2958" s="141"/>
    </row>
    <row r="2959">
      <c r="A2959" s="138"/>
      <c r="B2959" s="138"/>
      <c r="C2959" s="138"/>
      <c r="D2959" s="139"/>
      <c r="E2959" s="138"/>
      <c r="F2959" s="138"/>
      <c r="G2959" s="138"/>
      <c r="H2959" s="138"/>
      <c r="I2959" s="138"/>
      <c r="J2959" s="138"/>
      <c r="K2959" s="138"/>
      <c r="L2959" s="138">
        <v>0.0</v>
      </c>
      <c r="M2959" s="140" t="str">
        <f>VLOOKUP(text(D2959, "#"),'Master Table'!$A:$F, 6, FALSE)</f>
        <v>#N/A</v>
      </c>
      <c r="N2959" s="141"/>
      <c r="O2959" s="142" t="str">
        <f t="shared" si="1"/>
        <v/>
      </c>
      <c r="P2959" s="143" t="str">
        <f>IF(ISNA(VLOOKUP(CONCAT(M2959,C2959), 'Judge Count DO NOT EDIT'!H:H, 1, FALSE)), "ERROR","")</f>
        <v>ERROR</v>
      </c>
      <c r="Q2959" s="141"/>
      <c r="R2959" s="143"/>
      <c r="S2959" s="139"/>
      <c r="T2959" s="141"/>
    </row>
    <row r="2960">
      <c r="A2960" s="138"/>
      <c r="B2960" s="138"/>
      <c r="C2960" s="138"/>
      <c r="D2960" s="139"/>
      <c r="E2960" s="138"/>
      <c r="F2960" s="138"/>
      <c r="G2960" s="138"/>
      <c r="H2960" s="138"/>
      <c r="I2960" s="138"/>
      <c r="J2960" s="138"/>
      <c r="K2960" s="138"/>
      <c r="L2960" s="138">
        <v>0.0</v>
      </c>
      <c r="M2960" s="140" t="str">
        <f>VLOOKUP(text(D2960, "#"),'Master Table'!$A:$F, 6, FALSE)</f>
        <v>#N/A</v>
      </c>
      <c r="N2960" s="141"/>
      <c r="O2960" s="142" t="str">
        <f t="shared" si="1"/>
        <v/>
      </c>
      <c r="P2960" s="143" t="str">
        <f>IF(ISNA(VLOOKUP(CONCAT(M2960,C2960), 'Judge Count DO NOT EDIT'!H:H, 1, FALSE)), "ERROR","")</f>
        <v>ERROR</v>
      </c>
      <c r="Q2960" s="141"/>
      <c r="R2960" s="143"/>
      <c r="S2960" s="139"/>
      <c r="T2960" s="141"/>
    </row>
    <row r="2961">
      <c r="A2961" s="138"/>
      <c r="B2961" s="138"/>
      <c r="C2961" s="138"/>
      <c r="D2961" s="139"/>
      <c r="E2961" s="138"/>
      <c r="F2961" s="138"/>
      <c r="G2961" s="138"/>
      <c r="H2961" s="138"/>
      <c r="I2961" s="138"/>
      <c r="J2961" s="138"/>
      <c r="K2961" s="138"/>
      <c r="L2961" s="138">
        <v>0.0</v>
      </c>
      <c r="M2961" s="140" t="str">
        <f>VLOOKUP(text(D2961, "#"),'Master Table'!$A:$F, 6, FALSE)</f>
        <v>#N/A</v>
      </c>
      <c r="N2961" s="141"/>
      <c r="O2961" s="142" t="str">
        <f t="shared" si="1"/>
        <v/>
      </c>
      <c r="P2961" s="143" t="str">
        <f>IF(ISNA(VLOOKUP(CONCAT(M2961,C2961), 'Judge Count DO NOT EDIT'!H:H, 1, FALSE)), "ERROR","")</f>
        <v>ERROR</v>
      </c>
      <c r="Q2961" s="141"/>
      <c r="R2961" s="143"/>
      <c r="S2961" s="139"/>
      <c r="T2961" s="141"/>
    </row>
    <row r="2962">
      <c r="A2962" s="138"/>
      <c r="B2962" s="138"/>
      <c r="C2962" s="138"/>
      <c r="D2962" s="139"/>
      <c r="E2962" s="138"/>
      <c r="F2962" s="138"/>
      <c r="G2962" s="138"/>
      <c r="H2962" s="138"/>
      <c r="I2962" s="138"/>
      <c r="J2962" s="138"/>
      <c r="K2962" s="138"/>
      <c r="L2962" s="138">
        <v>0.0</v>
      </c>
      <c r="M2962" s="140" t="str">
        <f>VLOOKUP(text(D2962, "#"),'Master Table'!$A:$F, 6, FALSE)</f>
        <v>#N/A</v>
      </c>
      <c r="N2962" s="141"/>
      <c r="O2962" s="142" t="str">
        <f t="shared" si="1"/>
        <v/>
      </c>
      <c r="P2962" s="143" t="str">
        <f>IF(ISNA(VLOOKUP(CONCAT(M2962,C2962), 'Judge Count DO NOT EDIT'!H:H, 1, FALSE)), "ERROR","")</f>
        <v>ERROR</v>
      </c>
      <c r="Q2962" s="141"/>
      <c r="R2962" s="143"/>
      <c r="S2962" s="139"/>
      <c r="T2962" s="141"/>
    </row>
    <row r="2963">
      <c r="A2963" s="138"/>
      <c r="B2963" s="138"/>
      <c r="C2963" s="138"/>
      <c r="D2963" s="139"/>
      <c r="E2963" s="138"/>
      <c r="F2963" s="138"/>
      <c r="G2963" s="138"/>
      <c r="H2963" s="138"/>
      <c r="I2963" s="138"/>
      <c r="J2963" s="138"/>
      <c r="K2963" s="138"/>
      <c r="L2963" s="138">
        <v>0.0</v>
      </c>
      <c r="M2963" s="140" t="str">
        <f>VLOOKUP(text(D2963, "#"),'Master Table'!$A:$F, 6, FALSE)</f>
        <v>#N/A</v>
      </c>
      <c r="N2963" s="141"/>
      <c r="O2963" s="142" t="str">
        <f t="shared" si="1"/>
        <v/>
      </c>
      <c r="P2963" s="143" t="str">
        <f>IF(ISNA(VLOOKUP(CONCAT(M2963,C2963), 'Judge Count DO NOT EDIT'!H:H, 1, FALSE)), "ERROR","")</f>
        <v>ERROR</v>
      </c>
      <c r="Q2963" s="141"/>
      <c r="R2963" s="143"/>
      <c r="S2963" s="139"/>
      <c r="T2963" s="141"/>
    </row>
    <row r="2964">
      <c r="A2964" s="138"/>
      <c r="B2964" s="138"/>
      <c r="C2964" s="138"/>
      <c r="D2964" s="139"/>
      <c r="E2964" s="138"/>
      <c r="F2964" s="138"/>
      <c r="G2964" s="138"/>
      <c r="H2964" s="138"/>
      <c r="I2964" s="138"/>
      <c r="J2964" s="138"/>
      <c r="K2964" s="138"/>
      <c r="L2964" s="138">
        <v>0.0</v>
      </c>
      <c r="M2964" s="140" t="str">
        <f>VLOOKUP(text(D2964, "#"),'Master Table'!$A:$F, 6, FALSE)</f>
        <v>#N/A</v>
      </c>
      <c r="N2964" s="141"/>
      <c r="O2964" s="142" t="str">
        <f t="shared" si="1"/>
        <v/>
      </c>
      <c r="P2964" s="143" t="str">
        <f>IF(ISNA(VLOOKUP(CONCAT(M2964,C2964), 'Judge Count DO NOT EDIT'!H:H, 1, FALSE)), "ERROR","")</f>
        <v>ERROR</v>
      </c>
      <c r="Q2964" s="141"/>
      <c r="R2964" s="143"/>
      <c r="S2964" s="139"/>
      <c r="T2964" s="141"/>
    </row>
    <row r="2965">
      <c r="A2965" s="138"/>
      <c r="B2965" s="138"/>
      <c r="C2965" s="138"/>
      <c r="D2965" s="139"/>
      <c r="E2965" s="138"/>
      <c r="F2965" s="138"/>
      <c r="G2965" s="138"/>
      <c r="H2965" s="138"/>
      <c r="I2965" s="138"/>
      <c r="J2965" s="138"/>
      <c r="K2965" s="138"/>
      <c r="L2965" s="138">
        <v>0.0</v>
      </c>
      <c r="M2965" s="140" t="str">
        <f>VLOOKUP(text(D2965, "#"),'Master Table'!$A:$F, 6, FALSE)</f>
        <v>#N/A</v>
      </c>
      <c r="N2965" s="141"/>
      <c r="O2965" s="142" t="str">
        <f t="shared" si="1"/>
        <v/>
      </c>
      <c r="P2965" s="143" t="str">
        <f>IF(ISNA(VLOOKUP(CONCAT(M2965,C2965), 'Judge Count DO NOT EDIT'!H:H, 1, FALSE)), "ERROR","")</f>
        <v>ERROR</v>
      </c>
      <c r="Q2965" s="141"/>
      <c r="R2965" s="143"/>
      <c r="S2965" s="139"/>
      <c r="T2965" s="141"/>
    </row>
    <row r="2966">
      <c r="A2966" s="138"/>
      <c r="B2966" s="138"/>
      <c r="C2966" s="138"/>
      <c r="D2966" s="139"/>
      <c r="E2966" s="138"/>
      <c r="F2966" s="138"/>
      <c r="G2966" s="138"/>
      <c r="H2966" s="138"/>
      <c r="I2966" s="138"/>
      <c r="J2966" s="138"/>
      <c r="K2966" s="138"/>
      <c r="L2966" s="138">
        <v>0.0</v>
      </c>
      <c r="M2966" s="140" t="str">
        <f>VLOOKUP(text(D2966, "#"),'Master Table'!$A:$F, 6, FALSE)</f>
        <v>#N/A</v>
      </c>
      <c r="N2966" s="141"/>
      <c r="O2966" s="142" t="str">
        <f t="shared" si="1"/>
        <v/>
      </c>
      <c r="P2966" s="143" t="str">
        <f>IF(ISNA(VLOOKUP(CONCAT(M2966,C2966), 'Judge Count DO NOT EDIT'!H:H, 1, FALSE)), "ERROR","")</f>
        <v>ERROR</v>
      </c>
      <c r="Q2966" s="141"/>
      <c r="R2966" s="143"/>
      <c r="S2966" s="139"/>
      <c r="T2966" s="141"/>
    </row>
    <row r="2967">
      <c r="A2967" s="138"/>
      <c r="B2967" s="138"/>
      <c r="C2967" s="138"/>
      <c r="D2967" s="139"/>
      <c r="E2967" s="138"/>
      <c r="F2967" s="138"/>
      <c r="G2967" s="138"/>
      <c r="H2967" s="138"/>
      <c r="I2967" s="138"/>
      <c r="J2967" s="138"/>
      <c r="K2967" s="138"/>
      <c r="L2967" s="138">
        <v>0.0</v>
      </c>
      <c r="M2967" s="140" t="str">
        <f>VLOOKUP(text(D2967, "#"),'Master Table'!$A:$F, 6, FALSE)</f>
        <v>#N/A</v>
      </c>
      <c r="N2967" s="141"/>
      <c r="O2967" s="142" t="str">
        <f t="shared" si="1"/>
        <v/>
      </c>
      <c r="P2967" s="143" t="str">
        <f>IF(ISNA(VLOOKUP(CONCAT(M2967,C2967), 'Judge Count DO NOT EDIT'!H:H, 1, FALSE)), "ERROR","")</f>
        <v>ERROR</v>
      </c>
      <c r="Q2967" s="141"/>
      <c r="R2967" s="143"/>
      <c r="S2967" s="139"/>
      <c r="T2967" s="141"/>
    </row>
    <row r="2968">
      <c r="A2968" s="138"/>
      <c r="B2968" s="138"/>
      <c r="C2968" s="138"/>
      <c r="D2968" s="139"/>
      <c r="E2968" s="138"/>
      <c r="F2968" s="138"/>
      <c r="G2968" s="138"/>
      <c r="H2968" s="138"/>
      <c r="I2968" s="138"/>
      <c r="J2968" s="138"/>
      <c r="K2968" s="138"/>
      <c r="L2968" s="138">
        <v>0.0</v>
      </c>
      <c r="M2968" s="140" t="str">
        <f>VLOOKUP(text(D2968, "#"),'Master Table'!$A:$F, 6, FALSE)</f>
        <v>#N/A</v>
      </c>
      <c r="N2968" s="141"/>
      <c r="O2968" s="142" t="str">
        <f t="shared" si="1"/>
        <v/>
      </c>
      <c r="P2968" s="143" t="str">
        <f>IF(ISNA(VLOOKUP(CONCAT(M2968,C2968), 'Judge Count DO NOT EDIT'!H:H, 1, FALSE)), "ERROR","")</f>
        <v>ERROR</v>
      </c>
      <c r="Q2968" s="141"/>
      <c r="R2968" s="143"/>
      <c r="S2968" s="139"/>
      <c r="T2968" s="141"/>
    </row>
    <row r="2969">
      <c r="A2969" s="138"/>
      <c r="B2969" s="138"/>
      <c r="C2969" s="138"/>
      <c r="D2969" s="139"/>
      <c r="E2969" s="138"/>
      <c r="F2969" s="138"/>
      <c r="G2969" s="138"/>
      <c r="H2969" s="138"/>
      <c r="I2969" s="138"/>
      <c r="J2969" s="138"/>
      <c r="K2969" s="138"/>
      <c r="L2969" s="138">
        <v>0.0</v>
      </c>
      <c r="M2969" s="140" t="str">
        <f>VLOOKUP(text(D2969, "#"),'Master Table'!$A:$F, 6, FALSE)</f>
        <v>#N/A</v>
      </c>
      <c r="N2969" s="141"/>
      <c r="O2969" s="142" t="str">
        <f t="shared" si="1"/>
        <v/>
      </c>
      <c r="P2969" s="143" t="str">
        <f>IF(ISNA(VLOOKUP(CONCAT(M2969,C2969), 'Judge Count DO NOT EDIT'!H:H, 1, FALSE)), "ERROR","")</f>
        <v>ERROR</v>
      </c>
      <c r="Q2969" s="141"/>
      <c r="R2969" s="143"/>
      <c r="S2969" s="139"/>
      <c r="T2969" s="141"/>
    </row>
    <row r="2970">
      <c r="A2970" s="138"/>
      <c r="B2970" s="138"/>
      <c r="C2970" s="138"/>
      <c r="D2970" s="139"/>
      <c r="E2970" s="138"/>
      <c r="F2970" s="138"/>
      <c r="G2970" s="138"/>
      <c r="H2970" s="138"/>
      <c r="I2970" s="138"/>
      <c r="J2970" s="138"/>
      <c r="K2970" s="138"/>
      <c r="L2970" s="138">
        <v>0.0</v>
      </c>
      <c r="M2970" s="140" t="str">
        <f>VLOOKUP(text(D2970, "#"),'Master Table'!$A:$F, 6, FALSE)</f>
        <v>#N/A</v>
      </c>
      <c r="N2970" s="141"/>
      <c r="O2970" s="142" t="str">
        <f t="shared" si="1"/>
        <v/>
      </c>
      <c r="P2970" s="143" t="str">
        <f>IF(ISNA(VLOOKUP(CONCAT(M2970,C2970), 'Judge Count DO NOT EDIT'!H:H, 1, FALSE)), "ERROR","")</f>
        <v>ERROR</v>
      </c>
      <c r="Q2970" s="141"/>
      <c r="R2970" s="143"/>
      <c r="S2970" s="139"/>
      <c r="T2970" s="141"/>
    </row>
    <row r="2971">
      <c r="A2971" s="138"/>
      <c r="B2971" s="138"/>
      <c r="C2971" s="138"/>
      <c r="D2971" s="139"/>
      <c r="E2971" s="138"/>
      <c r="F2971" s="138"/>
      <c r="G2971" s="138"/>
      <c r="H2971" s="138"/>
      <c r="I2971" s="138"/>
      <c r="J2971" s="138"/>
      <c r="K2971" s="138"/>
      <c r="L2971" s="138">
        <v>0.0</v>
      </c>
      <c r="M2971" s="140" t="str">
        <f>VLOOKUP(text(D2971, "#"),'Master Table'!$A:$F, 6, FALSE)</f>
        <v>#N/A</v>
      </c>
      <c r="N2971" s="141"/>
      <c r="O2971" s="142" t="str">
        <f t="shared" si="1"/>
        <v/>
      </c>
      <c r="P2971" s="143" t="str">
        <f>IF(ISNA(VLOOKUP(CONCAT(M2971,C2971), 'Judge Count DO NOT EDIT'!H:H, 1, FALSE)), "ERROR","")</f>
        <v>ERROR</v>
      </c>
      <c r="Q2971" s="141"/>
      <c r="R2971" s="143"/>
      <c r="S2971" s="139"/>
      <c r="T2971" s="141"/>
    </row>
    <row r="2972">
      <c r="A2972" s="138"/>
      <c r="B2972" s="138"/>
      <c r="C2972" s="138"/>
      <c r="D2972" s="139"/>
      <c r="E2972" s="138"/>
      <c r="F2972" s="138"/>
      <c r="G2972" s="138"/>
      <c r="H2972" s="138"/>
      <c r="I2972" s="138"/>
      <c r="J2972" s="138"/>
      <c r="K2972" s="138"/>
      <c r="L2972" s="138">
        <v>0.0</v>
      </c>
      <c r="M2972" s="140" t="str">
        <f>VLOOKUP(text(D2972, "#"),'Master Table'!$A:$F, 6, FALSE)</f>
        <v>#N/A</v>
      </c>
      <c r="N2972" s="141"/>
      <c r="O2972" s="142" t="str">
        <f t="shared" si="1"/>
        <v/>
      </c>
      <c r="P2972" s="143" t="str">
        <f>IF(ISNA(VLOOKUP(CONCAT(M2972,C2972), 'Judge Count DO NOT EDIT'!H:H, 1, FALSE)), "ERROR","")</f>
        <v>ERROR</v>
      </c>
      <c r="Q2972" s="141"/>
      <c r="R2972" s="143"/>
      <c r="S2972" s="139"/>
      <c r="T2972" s="141"/>
    </row>
    <row r="2973">
      <c r="A2973" s="138"/>
      <c r="B2973" s="138"/>
      <c r="C2973" s="138"/>
      <c r="D2973" s="139"/>
      <c r="E2973" s="138"/>
      <c r="F2973" s="138"/>
      <c r="G2973" s="138"/>
      <c r="H2973" s="138"/>
      <c r="I2973" s="138"/>
      <c r="J2973" s="138"/>
      <c r="K2973" s="138"/>
      <c r="L2973" s="138">
        <v>0.0</v>
      </c>
      <c r="M2973" s="140" t="str">
        <f>VLOOKUP(text(D2973, "#"),'Master Table'!$A:$F, 6, FALSE)</f>
        <v>#N/A</v>
      </c>
      <c r="N2973" s="141"/>
      <c r="O2973" s="142" t="str">
        <f t="shared" si="1"/>
        <v/>
      </c>
      <c r="P2973" s="143" t="str">
        <f>IF(ISNA(VLOOKUP(CONCAT(M2973,C2973), 'Judge Count DO NOT EDIT'!H:H, 1, FALSE)), "ERROR","")</f>
        <v>ERROR</v>
      </c>
      <c r="Q2973" s="141"/>
      <c r="R2973" s="143"/>
      <c r="S2973" s="139"/>
      <c r="T2973" s="141"/>
    </row>
    <row r="2974">
      <c r="A2974" s="138"/>
      <c r="B2974" s="138"/>
      <c r="C2974" s="138"/>
      <c r="D2974" s="139"/>
      <c r="E2974" s="138"/>
      <c r="F2974" s="138"/>
      <c r="G2974" s="138"/>
      <c r="H2974" s="138"/>
      <c r="I2974" s="138"/>
      <c r="J2974" s="138"/>
      <c r="K2974" s="138"/>
      <c r="L2974" s="138">
        <v>0.0</v>
      </c>
      <c r="M2974" s="140" t="str">
        <f>VLOOKUP(text(D2974, "#"),'Master Table'!$A:$F, 6, FALSE)</f>
        <v>#N/A</v>
      </c>
      <c r="N2974" s="141"/>
      <c r="O2974" s="142" t="str">
        <f t="shared" si="1"/>
        <v/>
      </c>
      <c r="P2974" s="143" t="str">
        <f>IF(ISNA(VLOOKUP(CONCAT(M2974,C2974), 'Judge Count DO NOT EDIT'!H:H, 1, FALSE)), "ERROR","")</f>
        <v>ERROR</v>
      </c>
      <c r="Q2974" s="141"/>
      <c r="R2974" s="143"/>
      <c r="S2974" s="139"/>
      <c r="T2974" s="141"/>
    </row>
    <row r="2975">
      <c r="A2975" s="138"/>
      <c r="B2975" s="138"/>
      <c r="C2975" s="138"/>
      <c r="D2975" s="139"/>
      <c r="E2975" s="138"/>
      <c r="F2975" s="138"/>
      <c r="G2975" s="138"/>
      <c r="H2975" s="138"/>
      <c r="I2975" s="138"/>
      <c r="J2975" s="138"/>
      <c r="K2975" s="138"/>
      <c r="L2975" s="138">
        <v>0.0</v>
      </c>
      <c r="M2975" s="140" t="str">
        <f>VLOOKUP(text(D2975, "#"),'Master Table'!$A:$F, 6, FALSE)</f>
        <v>#N/A</v>
      </c>
      <c r="N2975" s="141"/>
      <c r="O2975" s="142" t="str">
        <f t="shared" si="1"/>
        <v/>
      </c>
      <c r="P2975" s="143" t="str">
        <f>IF(ISNA(VLOOKUP(CONCAT(M2975,C2975), 'Judge Count DO NOT EDIT'!H:H, 1, FALSE)), "ERROR","")</f>
        <v>ERROR</v>
      </c>
      <c r="Q2975" s="141"/>
      <c r="R2975" s="143"/>
      <c r="S2975" s="139"/>
      <c r="T2975" s="141"/>
    </row>
    <row r="2976">
      <c r="A2976" s="138"/>
      <c r="B2976" s="138"/>
      <c r="C2976" s="138"/>
      <c r="D2976" s="139"/>
      <c r="E2976" s="138"/>
      <c r="F2976" s="138"/>
      <c r="G2976" s="138"/>
      <c r="H2976" s="138"/>
      <c r="I2976" s="138"/>
      <c r="J2976" s="138"/>
      <c r="K2976" s="138"/>
      <c r="L2976" s="138">
        <v>0.0</v>
      </c>
      <c r="M2976" s="140" t="str">
        <f>VLOOKUP(text(D2976, "#"),'Master Table'!$A:$F, 6, FALSE)</f>
        <v>#N/A</v>
      </c>
      <c r="N2976" s="141"/>
      <c r="O2976" s="142" t="str">
        <f t="shared" si="1"/>
        <v/>
      </c>
      <c r="P2976" s="143" t="str">
        <f>IF(ISNA(VLOOKUP(CONCAT(M2976,C2976), 'Judge Count DO NOT EDIT'!H:H, 1, FALSE)), "ERROR","")</f>
        <v>ERROR</v>
      </c>
      <c r="Q2976" s="141"/>
      <c r="R2976" s="143"/>
      <c r="S2976" s="139"/>
      <c r="T2976" s="141"/>
    </row>
    <row r="2977">
      <c r="A2977" s="138"/>
      <c r="B2977" s="138"/>
      <c r="C2977" s="138"/>
      <c r="D2977" s="139"/>
      <c r="E2977" s="138"/>
      <c r="F2977" s="138"/>
      <c r="G2977" s="138"/>
      <c r="H2977" s="138"/>
      <c r="I2977" s="138"/>
      <c r="J2977" s="138"/>
      <c r="K2977" s="138"/>
      <c r="L2977" s="138">
        <v>0.0</v>
      </c>
      <c r="M2977" s="140" t="str">
        <f>VLOOKUP(text(D2977, "#"),'Master Table'!$A:$F, 6, FALSE)</f>
        <v>#N/A</v>
      </c>
      <c r="N2977" s="141"/>
      <c r="O2977" s="142" t="str">
        <f t="shared" si="1"/>
        <v/>
      </c>
      <c r="P2977" s="143" t="str">
        <f>IF(ISNA(VLOOKUP(CONCAT(M2977,C2977), 'Judge Count DO NOT EDIT'!H:H, 1, FALSE)), "ERROR","")</f>
        <v>ERROR</v>
      </c>
      <c r="Q2977" s="141"/>
      <c r="R2977" s="143"/>
      <c r="S2977" s="139"/>
      <c r="T2977" s="141"/>
    </row>
    <row r="2978">
      <c r="A2978" s="138"/>
      <c r="B2978" s="138"/>
      <c r="C2978" s="138"/>
      <c r="D2978" s="139"/>
      <c r="E2978" s="138"/>
      <c r="F2978" s="138"/>
      <c r="G2978" s="138"/>
      <c r="H2978" s="138"/>
      <c r="I2978" s="138"/>
      <c r="J2978" s="138"/>
      <c r="K2978" s="138"/>
      <c r="L2978" s="138">
        <v>0.0</v>
      </c>
      <c r="M2978" s="140" t="str">
        <f>VLOOKUP(text(D2978, "#"),'Master Table'!$A:$F, 6, FALSE)</f>
        <v>#N/A</v>
      </c>
      <c r="N2978" s="141"/>
      <c r="O2978" s="142" t="str">
        <f t="shared" si="1"/>
        <v/>
      </c>
      <c r="P2978" s="143" t="str">
        <f>IF(ISNA(VLOOKUP(CONCAT(M2978,C2978), 'Judge Count DO NOT EDIT'!H:H, 1, FALSE)), "ERROR","")</f>
        <v>ERROR</v>
      </c>
      <c r="Q2978" s="141"/>
      <c r="R2978" s="143"/>
      <c r="S2978" s="139"/>
      <c r="T2978" s="141"/>
    </row>
    <row r="2979">
      <c r="A2979" s="138"/>
      <c r="B2979" s="138"/>
      <c r="C2979" s="138"/>
      <c r="D2979" s="139"/>
      <c r="E2979" s="138"/>
      <c r="F2979" s="138"/>
      <c r="G2979" s="138"/>
      <c r="H2979" s="138"/>
      <c r="I2979" s="138"/>
      <c r="J2979" s="138"/>
      <c r="K2979" s="138"/>
      <c r="L2979" s="138">
        <v>0.0</v>
      </c>
      <c r="M2979" s="140" t="str">
        <f>VLOOKUP(text(D2979, "#"),'Master Table'!$A:$F, 6, FALSE)</f>
        <v>#N/A</v>
      </c>
      <c r="N2979" s="141"/>
      <c r="O2979" s="142" t="str">
        <f t="shared" si="1"/>
        <v/>
      </c>
      <c r="P2979" s="143" t="str">
        <f>IF(ISNA(VLOOKUP(CONCAT(M2979,C2979), 'Judge Count DO NOT EDIT'!H:H, 1, FALSE)), "ERROR","")</f>
        <v>ERROR</v>
      </c>
      <c r="Q2979" s="141"/>
      <c r="R2979" s="143"/>
      <c r="S2979" s="139"/>
      <c r="T2979" s="141"/>
    </row>
    <row r="2980">
      <c r="A2980" s="138"/>
      <c r="B2980" s="138"/>
      <c r="C2980" s="138"/>
      <c r="D2980" s="139"/>
      <c r="E2980" s="138"/>
      <c r="F2980" s="138"/>
      <c r="G2980" s="138"/>
      <c r="H2980" s="138"/>
      <c r="I2980" s="138"/>
      <c r="J2980" s="138"/>
      <c r="K2980" s="138"/>
      <c r="L2980" s="138">
        <v>0.0</v>
      </c>
      <c r="M2980" s="140" t="str">
        <f>VLOOKUP(text(D2980, "#"),'Master Table'!$A:$F, 6, FALSE)</f>
        <v>#N/A</v>
      </c>
      <c r="N2980" s="141"/>
      <c r="O2980" s="142" t="str">
        <f t="shared" si="1"/>
        <v/>
      </c>
      <c r="P2980" s="143" t="str">
        <f>IF(ISNA(VLOOKUP(CONCAT(M2980,C2980), 'Judge Count DO NOT EDIT'!H:H, 1, FALSE)), "ERROR","")</f>
        <v>ERROR</v>
      </c>
      <c r="Q2980" s="141"/>
      <c r="R2980" s="143"/>
      <c r="S2980" s="139"/>
      <c r="T2980" s="141"/>
    </row>
    <row r="2981">
      <c r="A2981" s="138"/>
      <c r="B2981" s="138"/>
      <c r="C2981" s="138"/>
      <c r="D2981" s="139"/>
      <c r="E2981" s="138"/>
      <c r="F2981" s="138"/>
      <c r="G2981" s="138"/>
      <c r="H2981" s="138"/>
      <c r="I2981" s="138"/>
      <c r="J2981" s="138"/>
      <c r="K2981" s="138"/>
      <c r="L2981" s="138">
        <v>0.0</v>
      </c>
      <c r="M2981" s="140" t="str">
        <f>VLOOKUP(text(D2981, "#"),'Master Table'!$A:$F, 6, FALSE)</f>
        <v>#N/A</v>
      </c>
      <c r="N2981" s="141"/>
      <c r="O2981" s="142" t="str">
        <f t="shared" si="1"/>
        <v/>
      </c>
      <c r="P2981" s="143" t="str">
        <f>IF(ISNA(VLOOKUP(CONCAT(M2981,C2981), 'Judge Count DO NOT EDIT'!H:H, 1, FALSE)), "ERROR","")</f>
        <v>ERROR</v>
      </c>
      <c r="Q2981" s="141"/>
      <c r="R2981" s="143"/>
      <c r="S2981" s="139"/>
      <c r="T2981" s="141"/>
    </row>
    <row r="2982">
      <c r="A2982" s="138"/>
      <c r="B2982" s="138"/>
      <c r="C2982" s="138"/>
      <c r="D2982" s="139"/>
      <c r="E2982" s="138"/>
      <c r="F2982" s="138"/>
      <c r="G2982" s="138"/>
      <c r="H2982" s="138"/>
      <c r="I2982" s="138"/>
      <c r="J2982" s="138"/>
      <c r="K2982" s="138"/>
      <c r="L2982" s="138">
        <v>0.0</v>
      </c>
      <c r="M2982" s="140" t="str">
        <f>VLOOKUP(text(D2982, "#"),'Master Table'!$A:$F, 6, FALSE)</f>
        <v>#N/A</v>
      </c>
      <c r="N2982" s="141"/>
      <c r="O2982" s="142" t="str">
        <f t="shared" si="1"/>
        <v/>
      </c>
      <c r="P2982" s="143" t="str">
        <f>IF(ISNA(VLOOKUP(CONCAT(M2982,C2982), 'Judge Count DO NOT EDIT'!H:H, 1, FALSE)), "ERROR","")</f>
        <v>ERROR</v>
      </c>
      <c r="Q2982" s="141"/>
      <c r="R2982" s="143"/>
      <c r="S2982" s="139"/>
      <c r="T2982" s="141"/>
    </row>
    <row r="2983">
      <c r="A2983" s="138"/>
      <c r="B2983" s="138"/>
      <c r="C2983" s="138"/>
      <c r="D2983" s="139"/>
      <c r="E2983" s="138"/>
      <c r="F2983" s="138"/>
      <c r="G2983" s="138"/>
      <c r="H2983" s="138"/>
      <c r="I2983" s="138"/>
      <c r="J2983" s="138"/>
      <c r="K2983" s="138"/>
      <c r="L2983" s="138">
        <v>0.0</v>
      </c>
      <c r="M2983" s="140" t="str">
        <f>VLOOKUP(text(D2983, "#"),'Master Table'!$A:$F, 6, FALSE)</f>
        <v>#N/A</v>
      </c>
      <c r="N2983" s="141"/>
      <c r="O2983" s="142" t="str">
        <f t="shared" si="1"/>
        <v/>
      </c>
      <c r="P2983" s="143" t="str">
        <f>IF(ISNA(VLOOKUP(CONCAT(M2983,C2983), 'Judge Count DO NOT EDIT'!H:H, 1, FALSE)), "ERROR","")</f>
        <v>ERROR</v>
      </c>
      <c r="Q2983" s="141"/>
      <c r="R2983" s="143"/>
      <c r="S2983" s="139"/>
      <c r="T2983" s="141"/>
    </row>
    <row r="2984">
      <c r="A2984" s="138"/>
      <c r="B2984" s="138"/>
      <c r="C2984" s="138"/>
      <c r="D2984" s="139"/>
      <c r="E2984" s="138"/>
      <c r="F2984" s="138"/>
      <c r="G2984" s="138"/>
      <c r="H2984" s="138"/>
      <c r="I2984" s="138"/>
      <c r="J2984" s="138"/>
      <c r="K2984" s="138"/>
      <c r="L2984" s="138">
        <v>0.0</v>
      </c>
      <c r="M2984" s="140" t="str">
        <f>VLOOKUP(text(D2984, "#"),'Master Table'!$A:$F, 6, FALSE)</f>
        <v>#N/A</v>
      </c>
      <c r="N2984" s="141"/>
      <c r="O2984" s="142" t="str">
        <f t="shared" si="1"/>
        <v/>
      </c>
      <c r="P2984" s="143" t="str">
        <f>IF(ISNA(VLOOKUP(CONCAT(M2984,C2984), 'Judge Count DO NOT EDIT'!H:H, 1, FALSE)), "ERROR","")</f>
        <v>ERROR</v>
      </c>
      <c r="Q2984" s="141"/>
      <c r="R2984" s="143"/>
      <c r="S2984" s="139"/>
      <c r="T2984" s="141"/>
    </row>
    <row r="2985">
      <c r="A2985" s="138"/>
      <c r="B2985" s="138"/>
      <c r="C2985" s="138"/>
      <c r="D2985" s="139"/>
      <c r="E2985" s="138"/>
      <c r="F2985" s="138"/>
      <c r="G2985" s="138"/>
      <c r="H2985" s="138"/>
      <c r="I2985" s="138"/>
      <c r="J2985" s="138"/>
      <c r="K2985" s="138"/>
      <c r="L2985" s="138">
        <v>0.0</v>
      </c>
      <c r="M2985" s="140" t="str">
        <f>VLOOKUP(text(D2985, "#"),'Master Table'!$A:$F, 6, FALSE)</f>
        <v>#N/A</v>
      </c>
      <c r="N2985" s="141"/>
      <c r="O2985" s="142" t="str">
        <f t="shared" si="1"/>
        <v/>
      </c>
      <c r="P2985" s="143" t="str">
        <f>IF(ISNA(VLOOKUP(CONCAT(M2985,C2985), 'Judge Count DO NOT EDIT'!H:H, 1, FALSE)), "ERROR","")</f>
        <v>ERROR</v>
      </c>
      <c r="Q2985" s="141"/>
      <c r="R2985" s="143"/>
      <c r="S2985" s="139"/>
      <c r="T2985" s="141"/>
    </row>
    <row r="2986">
      <c r="A2986" s="138"/>
      <c r="B2986" s="138"/>
      <c r="C2986" s="138"/>
      <c r="D2986" s="139"/>
      <c r="E2986" s="138"/>
      <c r="F2986" s="138"/>
      <c r="G2986" s="138"/>
      <c r="H2986" s="138"/>
      <c r="I2986" s="138"/>
      <c r="J2986" s="138"/>
      <c r="K2986" s="138"/>
      <c r="L2986" s="138">
        <v>0.0</v>
      </c>
      <c r="M2986" s="140" t="str">
        <f>VLOOKUP(text(D2986, "#"),'Master Table'!$A:$F, 6, FALSE)</f>
        <v>#N/A</v>
      </c>
      <c r="N2986" s="141"/>
      <c r="O2986" s="142" t="str">
        <f t="shared" si="1"/>
        <v/>
      </c>
      <c r="P2986" s="143" t="str">
        <f>IF(ISNA(VLOOKUP(CONCAT(M2986,C2986), 'Judge Count DO NOT EDIT'!H:H, 1, FALSE)), "ERROR","")</f>
        <v>ERROR</v>
      </c>
      <c r="Q2986" s="141"/>
      <c r="R2986" s="143"/>
      <c r="S2986" s="139"/>
      <c r="T2986" s="141"/>
    </row>
    <row r="2987">
      <c r="A2987" s="138"/>
      <c r="B2987" s="138"/>
      <c r="C2987" s="138"/>
      <c r="D2987" s="139"/>
      <c r="E2987" s="138"/>
      <c r="F2987" s="138"/>
      <c r="G2987" s="138"/>
      <c r="H2987" s="138"/>
      <c r="I2987" s="138"/>
      <c r="J2987" s="138"/>
      <c r="K2987" s="138"/>
      <c r="L2987" s="138">
        <v>0.0</v>
      </c>
      <c r="M2987" s="140" t="str">
        <f>VLOOKUP(text(D2987, "#"),'Master Table'!$A:$F, 6, FALSE)</f>
        <v>#N/A</v>
      </c>
      <c r="N2987" s="141"/>
      <c r="O2987" s="142" t="str">
        <f t="shared" si="1"/>
        <v/>
      </c>
      <c r="P2987" s="143" t="str">
        <f>IF(ISNA(VLOOKUP(CONCAT(M2987,C2987), 'Judge Count DO NOT EDIT'!H:H, 1, FALSE)), "ERROR","")</f>
        <v>ERROR</v>
      </c>
      <c r="Q2987" s="141"/>
      <c r="R2987" s="143"/>
      <c r="S2987" s="139"/>
      <c r="T2987" s="141"/>
    </row>
    <row r="2988">
      <c r="A2988" s="138"/>
      <c r="B2988" s="138"/>
      <c r="C2988" s="138"/>
      <c r="D2988" s="139"/>
      <c r="E2988" s="138"/>
      <c r="F2988" s="138"/>
      <c r="G2988" s="138"/>
      <c r="H2988" s="138"/>
      <c r="I2988" s="138"/>
      <c r="J2988" s="138"/>
      <c r="K2988" s="138"/>
      <c r="L2988" s="138">
        <v>0.0</v>
      </c>
      <c r="M2988" s="140" t="str">
        <f>VLOOKUP(text(D2988, "#"),'Master Table'!$A:$F, 6, FALSE)</f>
        <v>#N/A</v>
      </c>
      <c r="N2988" s="141"/>
      <c r="O2988" s="142" t="str">
        <f t="shared" si="1"/>
        <v/>
      </c>
      <c r="P2988" s="143" t="str">
        <f>IF(ISNA(VLOOKUP(CONCAT(M2988,C2988), 'Judge Count DO NOT EDIT'!H:H, 1, FALSE)), "ERROR","")</f>
        <v>ERROR</v>
      </c>
      <c r="Q2988" s="141"/>
      <c r="R2988" s="143"/>
      <c r="S2988" s="139"/>
      <c r="T2988" s="141"/>
    </row>
    <row r="2989">
      <c r="A2989" s="138"/>
      <c r="B2989" s="138"/>
      <c r="C2989" s="138"/>
      <c r="D2989" s="139"/>
      <c r="E2989" s="138"/>
      <c r="F2989" s="138"/>
      <c r="G2989" s="138"/>
      <c r="H2989" s="138"/>
      <c r="I2989" s="138"/>
      <c r="J2989" s="138"/>
      <c r="K2989" s="138"/>
      <c r="L2989" s="138">
        <v>0.0</v>
      </c>
      <c r="M2989" s="140" t="str">
        <f>VLOOKUP(text(D2989, "#"),'Master Table'!$A:$F, 6, FALSE)</f>
        <v>#N/A</v>
      </c>
      <c r="N2989" s="141"/>
      <c r="O2989" s="142" t="str">
        <f t="shared" si="1"/>
        <v/>
      </c>
      <c r="P2989" s="143" t="str">
        <f>IF(ISNA(VLOOKUP(CONCAT(M2989,C2989), 'Judge Count DO NOT EDIT'!H:H, 1, FALSE)), "ERROR","")</f>
        <v>ERROR</v>
      </c>
      <c r="Q2989" s="141"/>
      <c r="R2989" s="143"/>
      <c r="S2989" s="139"/>
      <c r="T2989" s="141"/>
    </row>
    <row r="2990">
      <c r="A2990" s="138"/>
      <c r="B2990" s="138"/>
      <c r="C2990" s="138"/>
      <c r="D2990" s="139"/>
      <c r="E2990" s="138"/>
      <c r="F2990" s="138"/>
      <c r="G2990" s="138"/>
      <c r="H2990" s="138"/>
      <c r="I2990" s="138"/>
      <c r="J2990" s="138"/>
      <c r="K2990" s="138"/>
      <c r="L2990" s="138">
        <v>0.0</v>
      </c>
      <c r="M2990" s="140" t="str">
        <f>VLOOKUP(text(D2990, "#"),'Master Table'!$A:$F, 6, FALSE)</f>
        <v>#N/A</v>
      </c>
      <c r="N2990" s="141"/>
      <c r="O2990" s="142" t="str">
        <f t="shared" si="1"/>
        <v/>
      </c>
      <c r="P2990" s="143" t="str">
        <f>IF(ISNA(VLOOKUP(CONCAT(M2990,C2990), 'Judge Count DO NOT EDIT'!H:H, 1, FALSE)), "ERROR","")</f>
        <v>ERROR</v>
      </c>
      <c r="Q2990" s="141"/>
      <c r="R2990" s="143"/>
      <c r="S2990" s="139"/>
      <c r="T2990" s="141"/>
    </row>
    <row r="2991">
      <c r="A2991" s="138"/>
      <c r="B2991" s="138"/>
      <c r="C2991" s="138"/>
      <c r="D2991" s="139"/>
      <c r="E2991" s="138"/>
      <c r="F2991" s="138"/>
      <c r="G2991" s="138"/>
      <c r="H2991" s="138"/>
      <c r="I2991" s="138"/>
      <c r="J2991" s="138"/>
      <c r="K2991" s="138"/>
      <c r="L2991" s="138">
        <v>0.0</v>
      </c>
      <c r="M2991" s="140" t="str">
        <f>VLOOKUP(text(D2991, "#"),'Master Table'!$A:$F, 6, FALSE)</f>
        <v>#N/A</v>
      </c>
      <c r="N2991" s="141"/>
      <c r="O2991" s="142" t="str">
        <f t="shared" si="1"/>
        <v/>
      </c>
      <c r="P2991" s="143" t="str">
        <f>IF(ISNA(VLOOKUP(CONCAT(M2991,C2991), 'Judge Count DO NOT EDIT'!H:H, 1, FALSE)), "ERROR","")</f>
        <v>ERROR</v>
      </c>
      <c r="Q2991" s="141"/>
      <c r="R2991" s="143"/>
      <c r="S2991" s="139"/>
      <c r="T2991" s="141"/>
    </row>
    <row r="2992">
      <c r="A2992" s="138"/>
      <c r="B2992" s="138"/>
      <c r="C2992" s="138"/>
      <c r="D2992" s="139"/>
      <c r="E2992" s="138"/>
      <c r="F2992" s="138"/>
      <c r="G2992" s="138"/>
      <c r="H2992" s="138"/>
      <c r="I2992" s="138"/>
      <c r="J2992" s="138"/>
      <c r="K2992" s="138"/>
      <c r="L2992" s="138">
        <v>0.0</v>
      </c>
      <c r="M2992" s="140" t="str">
        <f>VLOOKUP(text(D2992, "#"),'Master Table'!$A:$F, 6, FALSE)</f>
        <v>#N/A</v>
      </c>
      <c r="N2992" s="141"/>
      <c r="O2992" s="142" t="str">
        <f t="shared" si="1"/>
        <v/>
      </c>
      <c r="P2992" s="143" t="str">
        <f>IF(ISNA(VLOOKUP(CONCAT(M2992,C2992), 'Judge Count DO NOT EDIT'!H:H, 1, FALSE)), "ERROR","")</f>
        <v>ERROR</v>
      </c>
      <c r="Q2992" s="141"/>
      <c r="R2992" s="143"/>
      <c r="S2992" s="139"/>
      <c r="T2992" s="141"/>
    </row>
    <row r="2993">
      <c r="A2993" s="138"/>
      <c r="B2993" s="138"/>
      <c r="C2993" s="138"/>
      <c r="D2993" s="139"/>
      <c r="E2993" s="138"/>
      <c r="F2993" s="138"/>
      <c r="G2993" s="138"/>
      <c r="H2993" s="138"/>
      <c r="I2993" s="138"/>
      <c r="J2993" s="138"/>
      <c r="K2993" s="138"/>
      <c r="L2993" s="138">
        <v>0.0</v>
      </c>
      <c r="M2993" s="140" t="str">
        <f>VLOOKUP(text(D2993, "#"),'Master Table'!$A:$F, 6, FALSE)</f>
        <v>#N/A</v>
      </c>
      <c r="N2993" s="141"/>
      <c r="O2993" s="142" t="str">
        <f t="shared" si="1"/>
        <v/>
      </c>
      <c r="P2993" s="143" t="str">
        <f>IF(ISNA(VLOOKUP(CONCAT(M2993,C2993), 'Judge Count DO NOT EDIT'!H:H, 1, FALSE)), "ERROR","")</f>
        <v>ERROR</v>
      </c>
      <c r="Q2993" s="141"/>
      <c r="R2993" s="143"/>
      <c r="S2993" s="139"/>
      <c r="T2993" s="141"/>
    </row>
    <row r="2994">
      <c r="A2994" s="138"/>
      <c r="B2994" s="138"/>
      <c r="C2994" s="138"/>
      <c r="D2994" s="139"/>
      <c r="E2994" s="138"/>
      <c r="F2994" s="138"/>
      <c r="G2994" s="138"/>
      <c r="H2994" s="138"/>
      <c r="I2994" s="138"/>
      <c r="J2994" s="138"/>
      <c r="K2994" s="138"/>
      <c r="L2994" s="138">
        <v>0.0</v>
      </c>
      <c r="M2994" s="140" t="str">
        <f>VLOOKUP(text(D2994, "#"),'Master Table'!$A:$F, 6, FALSE)</f>
        <v>#N/A</v>
      </c>
      <c r="N2994" s="141"/>
      <c r="O2994" s="142" t="str">
        <f t="shared" si="1"/>
        <v/>
      </c>
      <c r="P2994" s="143" t="str">
        <f>IF(ISNA(VLOOKUP(CONCAT(M2994,C2994), 'Judge Count DO NOT EDIT'!H:H, 1, FALSE)), "ERROR","")</f>
        <v>ERROR</v>
      </c>
      <c r="Q2994" s="141"/>
      <c r="R2994" s="143"/>
      <c r="S2994" s="139"/>
      <c r="T2994" s="141"/>
    </row>
    <row r="2995">
      <c r="A2995" s="138"/>
      <c r="B2995" s="138"/>
      <c r="C2995" s="138"/>
      <c r="D2995" s="139"/>
      <c r="E2995" s="138"/>
      <c r="F2995" s="138"/>
      <c r="G2995" s="138"/>
      <c r="H2995" s="138"/>
      <c r="I2995" s="138"/>
      <c r="J2995" s="138"/>
      <c r="K2995" s="138"/>
      <c r="L2995" s="138">
        <v>0.0</v>
      </c>
      <c r="M2995" s="140" t="str">
        <f>VLOOKUP(text(D2995, "#"),'Master Table'!$A:$F, 6, FALSE)</f>
        <v>#N/A</v>
      </c>
      <c r="N2995" s="141"/>
      <c r="O2995" s="142" t="str">
        <f t="shared" si="1"/>
        <v/>
      </c>
      <c r="P2995" s="143" t="str">
        <f>IF(ISNA(VLOOKUP(CONCAT(M2995,C2995), 'Judge Count DO NOT EDIT'!H:H, 1, FALSE)), "ERROR","")</f>
        <v>ERROR</v>
      </c>
      <c r="Q2995" s="141"/>
      <c r="R2995" s="143"/>
      <c r="S2995" s="139"/>
      <c r="T2995" s="141"/>
    </row>
    <row r="2996">
      <c r="A2996" s="138"/>
      <c r="B2996" s="138"/>
      <c r="C2996" s="138"/>
      <c r="D2996" s="139"/>
      <c r="E2996" s="138"/>
      <c r="F2996" s="138"/>
      <c r="G2996" s="138"/>
      <c r="H2996" s="138"/>
      <c r="I2996" s="138"/>
      <c r="J2996" s="138"/>
      <c r="K2996" s="138"/>
      <c r="L2996" s="138">
        <v>0.0</v>
      </c>
      <c r="M2996" s="140" t="str">
        <f>VLOOKUP(text(D2996, "#"),'Master Table'!$A:$F, 6, FALSE)</f>
        <v>#N/A</v>
      </c>
      <c r="N2996" s="141"/>
      <c r="O2996" s="142" t="str">
        <f t="shared" si="1"/>
        <v/>
      </c>
      <c r="P2996" s="143" t="str">
        <f>IF(ISNA(VLOOKUP(CONCAT(M2996,C2996), 'Judge Count DO NOT EDIT'!H:H, 1, FALSE)), "ERROR","")</f>
        <v>ERROR</v>
      </c>
      <c r="Q2996" s="141"/>
      <c r="R2996" s="143"/>
      <c r="S2996" s="139"/>
      <c r="T2996" s="141"/>
    </row>
    <row r="2997">
      <c r="A2997" s="138"/>
      <c r="B2997" s="138"/>
      <c r="C2997" s="138"/>
      <c r="D2997" s="139"/>
      <c r="E2997" s="138"/>
      <c r="F2997" s="138"/>
      <c r="G2997" s="138"/>
      <c r="H2997" s="138"/>
      <c r="I2997" s="138"/>
      <c r="J2997" s="138"/>
      <c r="K2997" s="138"/>
      <c r="L2997" s="138">
        <v>0.0</v>
      </c>
      <c r="M2997" s="140" t="str">
        <f>VLOOKUP(text(D2997, "#"),'Master Table'!$A:$F, 6, FALSE)</f>
        <v>#N/A</v>
      </c>
      <c r="N2997" s="141"/>
      <c r="O2997" s="142" t="str">
        <f t="shared" si="1"/>
        <v/>
      </c>
      <c r="P2997" s="143" t="str">
        <f>IF(ISNA(VLOOKUP(CONCAT(M2997,C2997), 'Judge Count DO NOT EDIT'!H:H, 1, FALSE)), "ERROR","")</f>
        <v>ERROR</v>
      </c>
      <c r="Q2997" s="141"/>
      <c r="R2997" s="143"/>
      <c r="S2997" s="139"/>
      <c r="T2997" s="141"/>
    </row>
    <row r="2998">
      <c r="A2998" s="138"/>
      <c r="B2998" s="138"/>
      <c r="C2998" s="138"/>
      <c r="D2998" s="139"/>
      <c r="E2998" s="138"/>
      <c r="F2998" s="138"/>
      <c r="G2998" s="138"/>
      <c r="H2998" s="138"/>
      <c r="I2998" s="138"/>
      <c r="J2998" s="138"/>
      <c r="K2998" s="138"/>
      <c r="L2998" s="138">
        <v>0.0</v>
      </c>
      <c r="M2998" s="140" t="str">
        <f>VLOOKUP(text(D2998, "#"),'Master Table'!$A:$F, 6, FALSE)</f>
        <v>#N/A</v>
      </c>
      <c r="N2998" s="141"/>
      <c r="O2998" s="142" t="str">
        <f t="shared" si="1"/>
        <v/>
      </c>
      <c r="P2998" s="143" t="str">
        <f>IF(ISNA(VLOOKUP(CONCAT(M2998,C2998), 'Judge Count DO NOT EDIT'!H:H, 1, FALSE)), "ERROR","")</f>
        <v>ERROR</v>
      </c>
      <c r="Q2998" s="141"/>
      <c r="R2998" s="143"/>
      <c r="S2998" s="139"/>
      <c r="T2998" s="141"/>
    </row>
    <row r="2999">
      <c r="A2999" s="138"/>
      <c r="B2999" s="138"/>
      <c r="C2999" s="138"/>
      <c r="D2999" s="139"/>
      <c r="E2999" s="138"/>
      <c r="F2999" s="138"/>
      <c r="G2999" s="138"/>
      <c r="H2999" s="138"/>
      <c r="I2999" s="138"/>
      <c r="J2999" s="138"/>
      <c r="K2999" s="138"/>
      <c r="L2999" s="138">
        <v>0.0</v>
      </c>
      <c r="M2999" s="140" t="str">
        <f>VLOOKUP(text(D2999, "#"),'Master Table'!$A:$F, 6, FALSE)</f>
        <v>#N/A</v>
      </c>
      <c r="N2999" s="141"/>
      <c r="O2999" s="142" t="str">
        <f t="shared" si="1"/>
        <v/>
      </c>
      <c r="P2999" s="143" t="str">
        <f>IF(ISNA(VLOOKUP(CONCAT(M2999,C2999), 'Judge Count DO NOT EDIT'!H:H, 1, FALSE)), "ERROR","")</f>
        <v>ERROR</v>
      </c>
      <c r="Q2999" s="141"/>
      <c r="R2999" s="143"/>
      <c r="S2999" s="139"/>
      <c r="T2999" s="141"/>
    </row>
    <row r="3000">
      <c r="A3000" s="138"/>
      <c r="B3000" s="138"/>
      <c r="C3000" s="138"/>
      <c r="D3000" s="139"/>
      <c r="E3000" s="138"/>
      <c r="F3000" s="138"/>
      <c r="G3000" s="138"/>
      <c r="H3000" s="138"/>
      <c r="I3000" s="138"/>
      <c r="J3000" s="138"/>
      <c r="K3000" s="138"/>
      <c r="L3000" s="138">
        <v>0.0</v>
      </c>
      <c r="M3000" s="140" t="str">
        <f>VLOOKUP(text(D3000, "#"),'Master Table'!$A:$F, 6, FALSE)</f>
        <v>#N/A</v>
      </c>
      <c r="N3000" s="141"/>
      <c r="O3000" s="142" t="str">
        <f t="shared" si="1"/>
        <v/>
      </c>
      <c r="P3000" s="143" t="str">
        <f>IF(ISNA(VLOOKUP(CONCAT(M3000,C3000), 'Judge Count DO NOT EDIT'!H:H, 1, FALSE)), "ERROR","")</f>
        <v>ERROR</v>
      </c>
      <c r="Q3000" s="141"/>
      <c r="R3000" s="143"/>
      <c r="S3000" s="139"/>
      <c r="T3000" s="141"/>
    </row>
    <row r="3001">
      <c r="A3001" s="138"/>
      <c r="B3001" s="138"/>
      <c r="C3001" s="138"/>
      <c r="D3001" s="139"/>
      <c r="E3001" s="138"/>
      <c r="F3001" s="138"/>
      <c r="G3001" s="138"/>
      <c r="H3001" s="138"/>
      <c r="I3001" s="138"/>
      <c r="J3001" s="138"/>
      <c r="K3001" s="138"/>
      <c r="L3001" s="138">
        <v>0.0</v>
      </c>
      <c r="M3001" s="140" t="str">
        <f>VLOOKUP(text(D3001, "#"),'Master Table'!$A:$F, 6, FALSE)</f>
        <v>#N/A</v>
      </c>
      <c r="N3001" s="141"/>
      <c r="O3001" s="142" t="str">
        <f t="shared" si="1"/>
        <v/>
      </c>
      <c r="P3001" s="143" t="str">
        <f>IF(ISNA(VLOOKUP(CONCAT(M3001,C3001), 'Judge Count DO NOT EDIT'!H:H, 1, FALSE)), "ERROR","")</f>
        <v>ERROR</v>
      </c>
      <c r="Q3001" s="141"/>
      <c r="R3001" s="143"/>
      <c r="S3001" s="139"/>
      <c r="T3001" s="141"/>
    </row>
    <row r="3002">
      <c r="A3002" s="138"/>
      <c r="B3002" s="138"/>
      <c r="C3002" s="138"/>
      <c r="D3002" s="139"/>
      <c r="E3002" s="138"/>
      <c r="F3002" s="138"/>
      <c r="G3002" s="138"/>
      <c r="H3002" s="138"/>
      <c r="I3002" s="138"/>
      <c r="J3002" s="138"/>
      <c r="K3002" s="138"/>
      <c r="L3002" s="138">
        <v>0.0</v>
      </c>
      <c r="M3002" s="140" t="str">
        <f>VLOOKUP(text(D3002, "#"),'Master Table'!$A:$F, 6, FALSE)</f>
        <v>#N/A</v>
      </c>
      <c r="N3002" s="141"/>
      <c r="O3002" s="142" t="str">
        <f t="shared" si="1"/>
        <v/>
      </c>
      <c r="P3002" s="143" t="str">
        <f>IF(ISNA(VLOOKUP(CONCAT(M3002,C3002), 'Judge Count DO NOT EDIT'!H:H, 1, FALSE)), "ERROR","")</f>
        <v>ERROR</v>
      </c>
      <c r="Q3002" s="141"/>
      <c r="R3002" s="143"/>
      <c r="S3002" s="139"/>
      <c r="T3002" s="141"/>
    </row>
    <row r="3003">
      <c r="A3003" s="138"/>
      <c r="B3003" s="138"/>
      <c r="C3003" s="138"/>
      <c r="D3003" s="139"/>
      <c r="E3003" s="138"/>
      <c r="F3003" s="138"/>
      <c r="G3003" s="138"/>
      <c r="H3003" s="138"/>
      <c r="I3003" s="138"/>
      <c r="J3003" s="138"/>
      <c r="K3003" s="138"/>
      <c r="L3003" s="138">
        <v>0.0</v>
      </c>
      <c r="M3003" s="140" t="str">
        <f>VLOOKUP(text(D3003, "#"),'Master Table'!$A:$F, 6, FALSE)</f>
        <v>#N/A</v>
      </c>
      <c r="N3003" s="141"/>
      <c r="O3003" s="142" t="str">
        <f t="shared" si="1"/>
        <v/>
      </c>
      <c r="P3003" s="143" t="str">
        <f>IF(ISNA(VLOOKUP(CONCAT(M3003,C3003), 'Judge Count DO NOT EDIT'!H:H, 1, FALSE)), "ERROR","")</f>
        <v>ERROR</v>
      </c>
      <c r="Q3003" s="141"/>
      <c r="R3003" s="143"/>
      <c r="S3003" s="139"/>
      <c r="T3003" s="141"/>
    </row>
    <row r="3004">
      <c r="A3004" s="138"/>
      <c r="B3004" s="138"/>
      <c r="C3004" s="138"/>
      <c r="D3004" s="139"/>
      <c r="E3004" s="138"/>
      <c r="F3004" s="138"/>
      <c r="G3004" s="138"/>
      <c r="H3004" s="138"/>
      <c r="I3004" s="138"/>
      <c r="J3004" s="138"/>
      <c r="K3004" s="138"/>
      <c r="L3004" s="138">
        <v>0.0</v>
      </c>
      <c r="M3004" s="140" t="str">
        <f>VLOOKUP(text(D3004, "#"),'Master Table'!$A:$F, 6, FALSE)</f>
        <v>#N/A</v>
      </c>
      <c r="N3004" s="141"/>
      <c r="O3004" s="142" t="str">
        <f t="shared" si="1"/>
        <v/>
      </c>
      <c r="P3004" s="143" t="str">
        <f>IF(ISNA(VLOOKUP(CONCAT(M3004,C3004), 'Judge Count DO NOT EDIT'!H:H, 1, FALSE)), "ERROR","")</f>
        <v>ERROR</v>
      </c>
      <c r="Q3004" s="141"/>
      <c r="R3004" s="143"/>
      <c r="S3004" s="139"/>
      <c r="T3004" s="141"/>
    </row>
    <row r="3005">
      <c r="A3005" s="138"/>
      <c r="B3005" s="138"/>
      <c r="C3005" s="138"/>
      <c r="D3005" s="139"/>
      <c r="E3005" s="138"/>
      <c r="F3005" s="138"/>
      <c r="G3005" s="138"/>
      <c r="H3005" s="138"/>
      <c r="I3005" s="138"/>
      <c r="J3005" s="138"/>
      <c r="K3005" s="138"/>
      <c r="L3005" s="138">
        <v>0.0</v>
      </c>
      <c r="M3005" s="140" t="str">
        <f>VLOOKUP(text(D3005, "#"),'Master Table'!$A:$F, 6, FALSE)</f>
        <v>#N/A</v>
      </c>
      <c r="N3005" s="141"/>
      <c r="O3005" s="142" t="str">
        <f t="shared" si="1"/>
        <v/>
      </c>
      <c r="P3005" s="143" t="str">
        <f>IF(ISNA(VLOOKUP(CONCAT(M3005,C3005), 'Judge Count DO NOT EDIT'!H:H, 1, FALSE)), "ERROR","")</f>
        <v>ERROR</v>
      </c>
      <c r="Q3005" s="141"/>
      <c r="R3005" s="143"/>
      <c r="S3005" s="139"/>
      <c r="T3005" s="141"/>
    </row>
    <row r="3006">
      <c r="A3006" s="138"/>
      <c r="B3006" s="138"/>
      <c r="C3006" s="138"/>
      <c r="D3006" s="139"/>
      <c r="E3006" s="138"/>
      <c r="F3006" s="138"/>
      <c r="G3006" s="138"/>
      <c r="H3006" s="138"/>
      <c r="I3006" s="138"/>
      <c r="J3006" s="138"/>
      <c r="K3006" s="138"/>
      <c r="L3006" s="138">
        <v>0.0</v>
      </c>
      <c r="M3006" s="140" t="str">
        <f>VLOOKUP(text(D3006, "#"),'Master Table'!$A:$F, 6, FALSE)</f>
        <v>#N/A</v>
      </c>
      <c r="N3006" s="141"/>
      <c r="O3006" s="142" t="str">
        <f t="shared" si="1"/>
        <v/>
      </c>
      <c r="P3006" s="143" t="str">
        <f>IF(ISNA(VLOOKUP(CONCAT(M3006,C3006), 'Judge Count DO NOT EDIT'!H:H, 1, FALSE)), "ERROR","")</f>
        <v>ERROR</v>
      </c>
      <c r="Q3006" s="141"/>
      <c r="R3006" s="143"/>
      <c r="S3006" s="139"/>
      <c r="T3006" s="141"/>
    </row>
    <row r="3007">
      <c r="A3007" s="138"/>
      <c r="B3007" s="138"/>
      <c r="C3007" s="138"/>
      <c r="D3007" s="139"/>
      <c r="E3007" s="138"/>
      <c r="F3007" s="138"/>
      <c r="G3007" s="138"/>
      <c r="H3007" s="138"/>
      <c r="I3007" s="138"/>
      <c r="J3007" s="138"/>
      <c r="K3007" s="138"/>
      <c r="L3007" s="138">
        <v>0.0</v>
      </c>
      <c r="M3007" s="140" t="str">
        <f>VLOOKUP(text(D3007, "#"),'Master Table'!$A:$F, 6, FALSE)</f>
        <v>#N/A</v>
      </c>
      <c r="N3007" s="141"/>
      <c r="O3007" s="142" t="str">
        <f t="shared" si="1"/>
        <v/>
      </c>
      <c r="P3007" s="143" t="str">
        <f>IF(ISNA(VLOOKUP(CONCAT(M3007,C3007), 'Judge Count DO NOT EDIT'!H:H, 1, FALSE)), "ERROR","")</f>
        <v>ERROR</v>
      </c>
      <c r="Q3007" s="141"/>
      <c r="R3007" s="143"/>
      <c r="S3007" s="139"/>
      <c r="T3007" s="141"/>
    </row>
    <row r="3008">
      <c r="L3008">
        <v>0.0</v>
      </c>
    </row>
  </sheetData>
  <conditionalFormatting sqref="M2:M3008">
    <cfRule type="expression" dxfId="6" priority="1">
      <formula>ISERROR(M2)</formula>
    </cfRule>
  </conditionalFormatting>
  <conditionalFormatting sqref="C2:C3008">
    <cfRule type="cellIs" dxfId="7" priority="2" operator="notBetween">
      <formula>1000</formula>
      <formula>1300</formula>
    </cfRule>
  </conditionalFormatting>
  <conditionalFormatting sqref="P1:P3008">
    <cfRule type="beginsWith" dxfId="8" priority="3" operator="beginsWith" text="ERROR">
      <formula>LEFT((P1),LEN("ERROR"))=("ERROR")</formula>
    </cfRule>
  </conditionalFormatting>
  <conditionalFormatting sqref="O1:O3008">
    <cfRule type="containsText" dxfId="9" priority="4" operator="containsText" text="TRUE">
      <formula>NOT(ISERROR(SEARCH(("TRUE"),(O1))))</formula>
    </cfRule>
  </conditionalFormatting>
  <conditionalFormatting sqref="D2:D3008">
    <cfRule type="cellIs" dxfId="10" priority="5" operator="notBetween">
      <formula>1</formula>
      <formula>800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0"/>
  <cols>
    <col customWidth="1" min="1" max="1" width="8.29"/>
    <col customWidth="1" min="2" max="2" width="16.86"/>
    <col customWidth="1" min="3" max="3" width="16.43"/>
    <col customWidth="1" min="4" max="4" width="9.0"/>
    <col customWidth="1" min="5" max="5" width="23.43"/>
    <col customWidth="1" min="6" max="6" width="21.71"/>
    <col customWidth="1" min="7" max="7" width="17.29"/>
    <col customWidth="1" hidden="1" min="8" max="8" width="25.86"/>
    <col customWidth="1" min="9" max="9" width="15.86"/>
    <col customWidth="1" min="10" max="10" width="23.57"/>
    <col customWidth="1" min="11" max="11" width="25.0"/>
  </cols>
  <sheetData>
    <row r="1">
      <c r="A1" s="148" t="s">
        <v>5</v>
      </c>
      <c r="B1" s="149" t="s">
        <v>699</v>
      </c>
      <c r="C1" s="149" t="s">
        <v>700</v>
      </c>
      <c r="D1" s="150" t="s">
        <v>701</v>
      </c>
      <c r="E1" s="151" t="s">
        <v>702</v>
      </c>
      <c r="F1" s="152" t="s">
        <v>703</v>
      </c>
      <c r="G1" s="153" t="s">
        <v>704</v>
      </c>
      <c r="H1" s="154" t="s">
        <v>705</v>
      </c>
      <c r="I1" s="155" t="s">
        <v>706</v>
      </c>
      <c r="J1" s="156" t="s">
        <v>707</v>
      </c>
      <c r="K1" s="157" t="s">
        <v>708</v>
      </c>
      <c r="L1" s="157" t="s">
        <v>709</v>
      </c>
      <c r="M1" s="158" t="s">
        <v>0</v>
      </c>
      <c r="N1" s="158"/>
      <c r="O1" s="158"/>
      <c r="P1" s="158"/>
      <c r="Q1" s="158"/>
      <c r="R1" s="158"/>
      <c r="S1" s="158"/>
      <c r="T1" s="158"/>
      <c r="U1" s="158"/>
      <c r="V1" s="158"/>
      <c r="W1" s="158"/>
      <c r="X1" s="158"/>
      <c r="Y1" s="158"/>
      <c r="Z1" s="158"/>
      <c r="AA1" s="158"/>
      <c r="AB1" s="158"/>
      <c r="AC1" s="158"/>
      <c r="AD1" s="158"/>
      <c r="AE1" s="158"/>
      <c r="AF1" s="158"/>
      <c r="AG1" s="158"/>
      <c r="AH1" s="158"/>
      <c r="AI1" s="158"/>
      <c r="AJ1" s="158"/>
      <c r="AK1" s="158"/>
      <c r="AL1" s="158"/>
      <c r="AM1" s="158"/>
      <c r="AN1" s="158"/>
      <c r="AO1" s="158"/>
      <c r="AP1" s="158"/>
      <c r="AQ1" s="158"/>
      <c r="AR1" s="158"/>
      <c r="AS1" s="158"/>
      <c r="AT1" s="158"/>
      <c r="AU1" s="158"/>
      <c r="AV1" s="158"/>
      <c r="AW1" s="158"/>
      <c r="AX1" s="158"/>
      <c r="AY1" s="158"/>
      <c r="AZ1" s="158"/>
      <c r="BA1" s="158"/>
      <c r="BB1" s="158"/>
      <c r="BC1" s="158"/>
      <c r="BD1" s="158"/>
      <c r="BE1" s="158"/>
      <c r="BF1" s="158"/>
      <c r="BG1" s="158"/>
      <c r="BH1" s="158"/>
      <c r="BI1" s="158"/>
      <c r="BJ1" s="158"/>
      <c r="BK1" s="158"/>
      <c r="BL1" s="158"/>
      <c r="BM1" s="158"/>
      <c r="BN1" s="158"/>
      <c r="BO1" s="158"/>
      <c r="BP1" s="158"/>
      <c r="BQ1" s="158"/>
      <c r="BR1" s="158"/>
      <c r="BS1" s="158"/>
      <c r="BT1" s="158"/>
      <c r="BU1" s="158"/>
      <c r="BV1" s="158"/>
      <c r="BW1" s="158"/>
      <c r="BX1" s="158"/>
      <c r="BY1" s="158"/>
      <c r="BZ1" s="158"/>
      <c r="CA1" s="158"/>
      <c r="CB1" s="158"/>
      <c r="CC1" s="158"/>
      <c r="CD1" s="158"/>
      <c r="CE1" s="158"/>
      <c r="CF1" s="158"/>
      <c r="CG1" s="158"/>
      <c r="CH1" s="158"/>
      <c r="CI1" s="158"/>
      <c r="CJ1" s="158"/>
      <c r="CK1" s="158"/>
      <c r="CL1" s="158"/>
      <c r="CM1" s="158"/>
      <c r="CN1" s="158"/>
      <c r="CO1" s="158"/>
      <c r="CP1" s="158"/>
      <c r="CQ1" s="158"/>
      <c r="CR1" s="158"/>
      <c r="CS1" s="158"/>
      <c r="CT1" s="158"/>
      <c r="CU1" s="158"/>
    </row>
    <row r="2">
      <c r="A2" s="159" t="str">
        <f>IFERROR(__xludf.DUMMYFUNCTION("IMPORTRANGE(""1GFpOTisVGmpC_MxBDtYoMWQNCtXCGfCJ0gY18VTNdAY"",""Judge and Session Breakdown[DO NOT EDIT]!A3:A"")"),"A-1")</f>
        <v>A-1</v>
      </c>
      <c r="B2" s="160" t="str">
        <f>IFERROR(__xludf.DUMMYFUNCTION("IMPORTRANGE(""1GFpOTisVGmpC_MxBDtYoMWQNCtXCGfCJ0gY18VTNdAY"",""Judge and Session Breakdown[DO NOT EDIT]!B3:B"")"),"Jules")</f>
        <v>Jules</v>
      </c>
      <c r="C2" s="158" t="str">
        <f>IFERROR(__xludf.DUMMYFUNCTION("IMPORTRANGE(""1GFpOTisVGmpC_MxBDtYoMWQNCtXCGfCJ0gY18VTNdAY"",""Judge and Session Breakdown[DO NOT EDIT]!C3:C"")"),"Bunn")</f>
        <v>Bunn</v>
      </c>
      <c r="D2" s="158">
        <f>IFERROR(__xludf.DUMMYFUNCTION("IMPORTRANGE(""1GFpOTisVGmpC_MxBDtYoMWQNCtXCGfCJ0gY18VTNdAY"",""Judge and Session Breakdown[DO NOT EDIT]!D3:D"")"),1084.0)</f>
        <v>1084</v>
      </c>
      <c r="E2" s="161">
        <f t="shared" ref="E2:E405" si="1">VLOOKUP(A2,I:J,2,FALSE)</f>
        <v>6</v>
      </c>
      <c r="F2" s="160">
        <f>COUNTIFS('Scores Import DO NOT EDIT'!C:C, D2,'Scores Import DO NOT EDIT'!M:M,A2)</f>
        <v>5</v>
      </c>
      <c r="G2" s="162">
        <f t="shared" ref="G2:G405" si="2">F2/E2</f>
        <v>0.8333333333</v>
      </c>
      <c r="H2" s="163" t="str">
        <f t="shared" ref="H2:H405" si="3">CONCAT(A2, D2)</f>
        <v>A-11084</v>
      </c>
      <c r="I2" s="164" t="s">
        <v>605</v>
      </c>
      <c r="J2" s="115">
        <f>COUNTIF('Master Table'!F:F,I2)</f>
        <v>6</v>
      </c>
      <c r="K2" s="158">
        <f>SUM(E2:E225)</f>
        <v>1251</v>
      </c>
      <c r="L2" s="158" t="str">
        <f>IFERROR(__xludf.DUMMYFUNCTION("IMPORTRANGE(""1xHtCGEGSSnBRhF94Wph5--kQ8UWiL8pezDaA9tmh6VY"",""Judges!A2:A"")"),"#REF!")</f>
        <v>#REF!</v>
      </c>
      <c r="M2" s="165" t="s">
        <v>61</v>
      </c>
      <c r="N2" s="158"/>
      <c r="O2" s="158"/>
      <c r="P2" s="158"/>
      <c r="Q2" s="158"/>
      <c r="R2" s="158"/>
      <c r="S2" s="158"/>
      <c r="T2" s="158"/>
      <c r="U2" s="158"/>
      <c r="V2" s="158"/>
      <c r="W2" s="158"/>
      <c r="X2" s="158"/>
      <c r="Y2" s="158"/>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158"/>
      <c r="BB2" s="158"/>
      <c r="BC2" s="158"/>
      <c r="BD2" s="158"/>
      <c r="BE2" s="158"/>
      <c r="BF2" s="158"/>
      <c r="BG2" s="158"/>
      <c r="BH2" s="158"/>
      <c r="BI2" s="158"/>
      <c r="BJ2" s="158"/>
      <c r="BK2" s="158"/>
      <c r="BL2" s="158"/>
      <c r="BM2" s="158"/>
      <c r="BN2" s="158"/>
      <c r="BO2" s="158"/>
      <c r="BP2" s="158"/>
      <c r="BQ2" s="158"/>
      <c r="BR2" s="158"/>
      <c r="BS2" s="158"/>
      <c r="BT2" s="158"/>
      <c r="BU2" s="158"/>
      <c r="BV2" s="158"/>
      <c r="BW2" s="158"/>
      <c r="BX2" s="158"/>
      <c r="BY2" s="158"/>
      <c r="BZ2" s="158"/>
      <c r="CA2" s="158"/>
      <c r="CB2" s="158"/>
      <c r="CC2" s="158"/>
      <c r="CD2" s="158"/>
      <c r="CE2" s="158"/>
      <c r="CF2" s="158"/>
      <c r="CG2" s="158"/>
      <c r="CH2" s="158"/>
      <c r="CI2" s="158"/>
      <c r="CJ2" s="158"/>
      <c r="CK2" s="158"/>
      <c r="CL2" s="158"/>
      <c r="CM2" s="158"/>
      <c r="CN2" s="158"/>
      <c r="CO2" s="158"/>
      <c r="CP2" s="158"/>
      <c r="CQ2" s="158"/>
      <c r="CR2" s="158"/>
      <c r="CS2" s="158"/>
      <c r="CT2" s="158"/>
      <c r="CU2" s="158"/>
    </row>
    <row r="3">
      <c r="A3" s="127" t="str">
        <f>IFERROR(__xludf.DUMMYFUNCTION("""COMPUTED_VALUE"""),"A-1")</f>
        <v>A-1</v>
      </c>
      <c r="B3" s="113" t="str">
        <f>IFERROR(__xludf.DUMMYFUNCTION("""COMPUTED_VALUE"""),"Kangoh")</f>
        <v>Kangoh</v>
      </c>
      <c r="C3" s="113" t="str">
        <f>IFERROR(__xludf.DUMMYFUNCTION("""COMPUTED_VALUE"""),"Lee")</f>
        <v>Lee</v>
      </c>
      <c r="D3" s="158">
        <f>IFERROR(__xludf.DUMMYFUNCTION("""COMPUTED_VALUE"""),1018.0)</f>
        <v>1018</v>
      </c>
      <c r="E3" s="161">
        <f t="shared" si="1"/>
        <v>6</v>
      </c>
      <c r="F3" s="160">
        <f>COUNTIFS('Scores Import DO NOT EDIT'!C:C, D3,'Scores Import DO NOT EDIT'!M:M,A3)</f>
        <v>5</v>
      </c>
      <c r="G3" s="162">
        <f t="shared" si="2"/>
        <v>0.8333333333</v>
      </c>
      <c r="H3" s="163" t="str">
        <f t="shared" si="3"/>
        <v>A-11018</v>
      </c>
      <c r="I3" s="164" t="s">
        <v>606</v>
      </c>
      <c r="J3" s="115">
        <f>COUNTIF('Master Table'!F:F,I3)</f>
        <v>4</v>
      </c>
      <c r="K3" s="113"/>
      <c r="L3" s="158"/>
      <c r="M3" s="166" t="s">
        <v>63</v>
      </c>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c r="BN3" s="113"/>
      <c r="BO3" s="113"/>
      <c r="BP3" s="113"/>
      <c r="BQ3" s="113"/>
      <c r="BR3" s="113"/>
      <c r="BS3" s="113"/>
      <c r="BT3" s="113"/>
      <c r="BU3" s="113"/>
      <c r="BV3" s="113"/>
      <c r="BW3" s="113"/>
      <c r="BX3" s="113"/>
      <c r="BY3" s="113"/>
      <c r="BZ3" s="113"/>
      <c r="CA3" s="113"/>
      <c r="CB3" s="113"/>
      <c r="CC3" s="113"/>
      <c r="CD3" s="113"/>
      <c r="CE3" s="113"/>
      <c r="CF3" s="113"/>
      <c r="CG3" s="113"/>
      <c r="CH3" s="113"/>
      <c r="CI3" s="113"/>
      <c r="CJ3" s="113"/>
      <c r="CK3" s="113"/>
      <c r="CL3" s="113"/>
      <c r="CM3" s="113"/>
      <c r="CN3" s="113"/>
      <c r="CO3" s="113"/>
      <c r="CP3" s="113"/>
      <c r="CQ3" s="113"/>
      <c r="CR3" s="113"/>
      <c r="CS3" s="113"/>
      <c r="CT3" s="113"/>
      <c r="CU3" s="113"/>
    </row>
    <row r="4">
      <c r="A4" s="159" t="str">
        <f>IFERROR(__xludf.DUMMYFUNCTION("""COMPUTED_VALUE"""),"A-1")</f>
        <v>A-1</v>
      </c>
      <c r="B4" s="113" t="str">
        <f>IFERROR(__xludf.DUMMYFUNCTION("""COMPUTED_VALUE"""),"Charmane M.")</f>
        <v>Charmane M.</v>
      </c>
      <c r="C4" s="113" t="str">
        <f>IFERROR(__xludf.DUMMYFUNCTION("""COMPUTED_VALUE"""),"Perry")</f>
        <v>Perry</v>
      </c>
      <c r="D4" s="158">
        <f>IFERROR(__xludf.DUMMYFUNCTION("""COMPUTED_VALUE"""),1089.0)</f>
        <v>1089</v>
      </c>
      <c r="E4" s="161">
        <f t="shared" si="1"/>
        <v>6</v>
      </c>
      <c r="F4" s="160">
        <f>COUNTIFS('Scores Import DO NOT EDIT'!C:C, D4,'Scores Import DO NOT EDIT'!M:M,A4)</f>
        <v>5</v>
      </c>
      <c r="G4" s="162">
        <f t="shared" si="2"/>
        <v>0.8333333333</v>
      </c>
      <c r="H4" s="163" t="str">
        <f t="shared" si="3"/>
        <v>A-11089</v>
      </c>
      <c r="I4" s="164" t="s">
        <v>607</v>
      </c>
      <c r="J4" s="115">
        <f>COUNTIF('Master Table'!F:F,I4)</f>
        <v>6</v>
      </c>
      <c r="K4" s="113"/>
      <c r="L4" s="158"/>
      <c r="M4" s="166" t="s">
        <v>60</v>
      </c>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c r="CA4" s="113"/>
      <c r="CB4" s="113"/>
      <c r="CC4" s="113"/>
      <c r="CD4" s="113"/>
      <c r="CE4" s="113"/>
      <c r="CF4" s="113"/>
      <c r="CG4" s="113"/>
      <c r="CH4" s="113"/>
      <c r="CI4" s="113"/>
      <c r="CJ4" s="113"/>
      <c r="CK4" s="113"/>
      <c r="CL4" s="113"/>
      <c r="CM4" s="113"/>
      <c r="CN4" s="113"/>
      <c r="CO4" s="113"/>
      <c r="CP4" s="113"/>
      <c r="CQ4" s="113"/>
      <c r="CR4" s="113"/>
      <c r="CS4" s="113"/>
      <c r="CT4" s="113"/>
      <c r="CU4" s="113"/>
    </row>
    <row r="5">
      <c r="A5" s="159" t="str">
        <f>IFERROR(__xludf.DUMMYFUNCTION("""COMPUTED_VALUE"""),"A-1")</f>
        <v>A-1</v>
      </c>
      <c r="B5" s="113" t="str">
        <f>IFERROR(__xludf.DUMMYFUNCTION("""COMPUTED_VALUE"""),"Matthew")</f>
        <v>Matthew</v>
      </c>
      <c r="C5" s="113" t="str">
        <f>IFERROR(__xludf.DUMMYFUNCTION("""COMPUTED_VALUE"""),"Hebert")</f>
        <v>Hebert</v>
      </c>
      <c r="D5" s="158">
        <f>IFERROR(__xludf.DUMMYFUNCTION("""COMPUTED_VALUE"""),1021.0)</f>
        <v>1021</v>
      </c>
      <c r="E5" s="161">
        <f t="shared" si="1"/>
        <v>6</v>
      </c>
      <c r="F5" s="160">
        <f>COUNTIFS('Scores Import DO NOT EDIT'!C:C, D5,'Scores Import DO NOT EDIT'!M:M,A5)</f>
        <v>0</v>
      </c>
      <c r="G5" s="162">
        <f t="shared" si="2"/>
        <v>0</v>
      </c>
      <c r="H5" s="163" t="str">
        <f t="shared" si="3"/>
        <v>A-11021</v>
      </c>
      <c r="I5" s="164" t="s">
        <v>608</v>
      </c>
      <c r="J5" s="115">
        <f>COUNTIF('Master Table'!F:F,I5)</f>
        <v>5</v>
      </c>
      <c r="K5" s="113"/>
      <c r="L5" s="158"/>
      <c r="M5" s="166" t="s">
        <v>59</v>
      </c>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c r="BG5" s="113"/>
      <c r="BH5" s="113"/>
      <c r="BI5" s="113"/>
      <c r="BJ5" s="113"/>
      <c r="BK5" s="113"/>
      <c r="BL5" s="113"/>
      <c r="BM5" s="113"/>
      <c r="BN5" s="113"/>
      <c r="BO5" s="113"/>
      <c r="BP5" s="113"/>
      <c r="BQ5" s="113"/>
      <c r="BR5" s="113"/>
      <c r="BS5" s="113"/>
      <c r="BT5" s="113"/>
      <c r="BU5" s="113"/>
      <c r="BV5" s="113"/>
      <c r="BW5" s="113"/>
      <c r="BX5" s="113"/>
      <c r="BY5" s="113"/>
      <c r="BZ5" s="113"/>
      <c r="CA5" s="113"/>
      <c r="CB5" s="113"/>
      <c r="CC5" s="113"/>
      <c r="CD5" s="113"/>
      <c r="CE5" s="113"/>
      <c r="CF5" s="113"/>
      <c r="CG5" s="113"/>
      <c r="CH5" s="113"/>
      <c r="CI5" s="113"/>
      <c r="CJ5" s="113"/>
      <c r="CK5" s="113"/>
      <c r="CL5" s="113"/>
      <c r="CM5" s="113"/>
      <c r="CN5" s="113"/>
      <c r="CO5" s="113"/>
      <c r="CP5" s="113"/>
      <c r="CQ5" s="113"/>
      <c r="CR5" s="113"/>
      <c r="CS5" s="113"/>
      <c r="CT5" s="113"/>
      <c r="CU5" s="113"/>
    </row>
    <row r="6">
      <c r="A6" s="159" t="str">
        <f>IFERROR(__xludf.DUMMYFUNCTION("""COMPUTED_VALUE"""),"A-1")</f>
        <v>A-1</v>
      </c>
      <c r="B6" s="113" t="str">
        <f>IFERROR(__xludf.DUMMYFUNCTION("""COMPUTED_VALUE"""),"Alyson")</f>
        <v>Alyson</v>
      </c>
      <c r="C6" s="113" t="str">
        <f>IFERROR(__xludf.DUMMYFUNCTION("""COMPUTED_VALUE"""),"Abel")</f>
        <v>Abel</v>
      </c>
      <c r="D6" s="158">
        <f>IFERROR(__xludf.DUMMYFUNCTION("""COMPUTED_VALUE"""),1001.0)</f>
        <v>1001</v>
      </c>
      <c r="E6" s="161">
        <f t="shared" si="1"/>
        <v>6</v>
      </c>
      <c r="F6" s="160">
        <f>COUNTIFS('Scores Import DO NOT EDIT'!C:C, D6,'Scores Import DO NOT EDIT'!M:M,A6)</f>
        <v>5</v>
      </c>
      <c r="G6" s="162">
        <f t="shared" si="2"/>
        <v>0.8333333333</v>
      </c>
      <c r="H6" s="163" t="str">
        <f t="shared" si="3"/>
        <v>A-11001</v>
      </c>
      <c r="I6" s="164" t="s">
        <v>609</v>
      </c>
      <c r="J6" s="115">
        <f>COUNTIF('Master Table'!F:F,I6)</f>
        <v>6</v>
      </c>
      <c r="K6" s="113"/>
      <c r="L6" s="158"/>
      <c r="M6" s="166" t="s">
        <v>62</v>
      </c>
      <c r="N6" s="113"/>
      <c r="O6" s="113"/>
      <c r="P6" s="113"/>
      <c r="Q6" s="113"/>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3"/>
      <c r="BI6" s="113"/>
      <c r="BJ6" s="113"/>
      <c r="BK6" s="113"/>
      <c r="BL6" s="113"/>
      <c r="BM6" s="113"/>
      <c r="BN6" s="113"/>
      <c r="BO6" s="113"/>
      <c r="BP6" s="113"/>
      <c r="BQ6" s="113"/>
      <c r="BR6" s="113"/>
      <c r="BS6" s="113"/>
      <c r="BT6" s="113"/>
      <c r="BU6" s="113"/>
      <c r="BV6" s="113"/>
      <c r="BW6" s="113"/>
      <c r="BX6" s="113"/>
      <c r="BY6" s="113"/>
      <c r="BZ6" s="113"/>
      <c r="CA6" s="113"/>
      <c r="CB6" s="113"/>
      <c r="CC6" s="113"/>
      <c r="CD6" s="113"/>
      <c r="CE6" s="113"/>
      <c r="CF6" s="113"/>
      <c r="CG6" s="113"/>
      <c r="CH6" s="113"/>
      <c r="CI6" s="113"/>
      <c r="CJ6" s="113"/>
      <c r="CK6" s="113"/>
      <c r="CL6" s="113"/>
      <c r="CM6" s="113"/>
      <c r="CN6" s="113"/>
      <c r="CO6" s="113"/>
      <c r="CP6" s="113"/>
      <c r="CQ6" s="113"/>
      <c r="CR6" s="113"/>
      <c r="CS6" s="113"/>
      <c r="CT6" s="113"/>
      <c r="CU6" s="113"/>
    </row>
    <row r="7">
      <c r="A7" s="159" t="str">
        <f>IFERROR(__xludf.DUMMYFUNCTION("""COMPUTED_VALUE"""),"A-10")</f>
        <v>A-10</v>
      </c>
      <c r="B7" s="113" t="str">
        <f>IFERROR(__xludf.DUMMYFUNCTION("""COMPUTED_VALUE"""),"Sagar")</f>
        <v>Sagar</v>
      </c>
      <c r="C7" s="113" t="str">
        <f>IFERROR(__xludf.DUMMYFUNCTION("""COMPUTED_VALUE"""),"Parajuli")</f>
        <v>Parajuli</v>
      </c>
      <c r="D7" s="158">
        <f>IFERROR(__xludf.DUMMYFUNCTION("""COMPUTED_VALUE"""),1043.0)</f>
        <v>1043</v>
      </c>
      <c r="E7" s="161">
        <f t="shared" si="1"/>
        <v>6</v>
      </c>
      <c r="F7" s="160">
        <f>COUNTIFS('Scores Import DO NOT EDIT'!C:C, D7,'Scores Import DO NOT EDIT'!M:M,A7)</f>
        <v>6</v>
      </c>
      <c r="G7" s="162">
        <f t="shared" si="2"/>
        <v>1</v>
      </c>
      <c r="H7" s="163" t="str">
        <f t="shared" si="3"/>
        <v>A-101043</v>
      </c>
      <c r="I7" s="164" t="s">
        <v>610</v>
      </c>
      <c r="J7" s="115">
        <f>COUNTIF('Master Table'!F:F,I7)</f>
        <v>6</v>
      </c>
      <c r="K7" s="113"/>
      <c r="L7" s="158"/>
      <c r="M7" s="166" t="s">
        <v>64</v>
      </c>
      <c r="N7" s="113"/>
      <c r="O7" s="121"/>
      <c r="P7" s="113"/>
      <c r="Q7" s="113"/>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c r="BG7" s="113"/>
      <c r="BH7" s="113"/>
      <c r="BI7" s="113"/>
      <c r="BJ7" s="113"/>
      <c r="BK7" s="113"/>
      <c r="BL7" s="113"/>
      <c r="BM7" s="113"/>
      <c r="BN7" s="113"/>
      <c r="BO7" s="113"/>
      <c r="BP7" s="113"/>
      <c r="BQ7" s="113"/>
      <c r="BR7" s="113"/>
      <c r="BS7" s="113"/>
      <c r="BT7" s="113"/>
      <c r="BU7" s="113"/>
      <c r="BV7" s="113"/>
      <c r="BW7" s="113"/>
      <c r="BX7" s="113"/>
      <c r="BY7" s="113"/>
      <c r="BZ7" s="113"/>
      <c r="CA7" s="113"/>
      <c r="CB7" s="113"/>
      <c r="CC7" s="113"/>
      <c r="CD7" s="113"/>
      <c r="CE7" s="113"/>
      <c r="CF7" s="113"/>
      <c r="CG7" s="113"/>
      <c r="CH7" s="113"/>
      <c r="CI7" s="113"/>
      <c r="CJ7" s="113"/>
      <c r="CK7" s="113"/>
      <c r="CL7" s="113"/>
      <c r="CM7" s="113"/>
      <c r="CN7" s="113"/>
      <c r="CO7" s="113"/>
      <c r="CP7" s="113"/>
      <c r="CQ7" s="113"/>
      <c r="CR7" s="113"/>
      <c r="CS7" s="113"/>
      <c r="CT7" s="113"/>
      <c r="CU7" s="113"/>
    </row>
    <row r="8">
      <c r="A8" s="159" t="str">
        <f>IFERROR(__xludf.DUMMYFUNCTION("""COMPUTED_VALUE"""),"A-10")</f>
        <v>A-10</v>
      </c>
      <c r="B8" s="113" t="str">
        <f>IFERROR(__xludf.DUMMYFUNCTION("""COMPUTED_VALUE"""),"Margaret")</f>
        <v>Margaret</v>
      </c>
      <c r="C8" s="113" t="str">
        <f>IFERROR(__xludf.DUMMYFUNCTION("""COMPUTED_VALUE"""),"Henderson")</f>
        <v>Henderson</v>
      </c>
      <c r="D8" s="158">
        <f>IFERROR(__xludf.DUMMYFUNCTION("""COMPUTED_VALUE"""),1180.0)</f>
        <v>1180</v>
      </c>
      <c r="E8" s="161">
        <f t="shared" si="1"/>
        <v>6</v>
      </c>
      <c r="F8" s="160">
        <f>COUNTIFS('Scores Import DO NOT EDIT'!C:C, D8,'Scores Import DO NOT EDIT'!M:M,A8)</f>
        <v>6</v>
      </c>
      <c r="G8" s="162">
        <f t="shared" si="2"/>
        <v>1</v>
      </c>
      <c r="H8" s="163" t="str">
        <f t="shared" si="3"/>
        <v>A-101180</v>
      </c>
      <c r="I8" s="164" t="s">
        <v>611</v>
      </c>
      <c r="J8" s="115">
        <f>COUNTIF('Master Table'!F:F,I8)</f>
        <v>6</v>
      </c>
      <c r="K8" s="113"/>
      <c r="L8" s="158"/>
      <c r="M8" s="166" t="s">
        <v>72</v>
      </c>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3"/>
      <c r="BI8" s="113"/>
      <c r="BJ8" s="113"/>
      <c r="BK8" s="113"/>
      <c r="BL8" s="113"/>
      <c r="BM8" s="113"/>
      <c r="BN8" s="113"/>
      <c r="BO8" s="113"/>
      <c r="BP8" s="113"/>
      <c r="BQ8" s="113"/>
      <c r="BR8" s="113"/>
      <c r="BS8" s="113"/>
      <c r="BT8" s="113"/>
      <c r="BU8" s="113"/>
      <c r="BV8" s="113"/>
      <c r="BW8" s="113"/>
      <c r="BX8" s="113"/>
      <c r="BY8" s="113"/>
      <c r="BZ8" s="113"/>
      <c r="CA8" s="113"/>
      <c r="CB8" s="113"/>
      <c r="CC8" s="113"/>
      <c r="CD8" s="113"/>
      <c r="CE8" s="113"/>
      <c r="CF8" s="113"/>
      <c r="CG8" s="113"/>
      <c r="CH8" s="113"/>
      <c r="CI8" s="113"/>
      <c r="CJ8" s="113"/>
      <c r="CK8" s="113"/>
      <c r="CL8" s="113"/>
      <c r="CM8" s="113"/>
      <c r="CN8" s="113"/>
      <c r="CO8" s="113"/>
      <c r="CP8" s="113"/>
      <c r="CQ8" s="113"/>
      <c r="CR8" s="113"/>
      <c r="CS8" s="113"/>
      <c r="CT8" s="113"/>
      <c r="CU8" s="113"/>
    </row>
    <row r="9">
      <c r="A9" s="159" t="str">
        <f>IFERROR(__xludf.DUMMYFUNCTION("""COMPUTED_VALUE"""),"A-10")</f>
        <v>A-10</v>
      </c>
      <c r="B9" s="113" t="str">
        <f>IFERROR(__xludf.DUMMYFUNCTION("""COMPUTED_VALUE"""),"Connie")</f>
        <v>Connie</v>
      </c>
      <c r="C9" s="113" t="str">
        <f>IFERROR(__xludf.DUMMYFUNCTION("""COMPUTED_VALUE"""),"Weaver")</f>
        <v>Weaver</v>
      </c>
      <c r="D9" s="158">
        <f>IFERROR(__xludf.DUMMYFUNCTION("""COMPUTED_VALUE"""),1034.0)</f>
        <v>1034</v>
      </c>
      <c r="E9" s="161">
        <f t="shared" si="1"/>
        <v>6</v>
      </c>
      <c r="F9" s="160">
        <f>COUNTIFS('Scores Import DO NOT EDIT'!C:C, D9,'Scores Import DO NOT EDIT'!M:M,A9)</f>
        <v>6</v>
      </c>
      <c r="G9" s="162">
        <f t="shared" si="2"/>
        <v>1</v>
      </c>
      <c r="H9" s="163" t="str">
        <f t="shared" si="3"/>
        <v>A-101034</v>
      </c>
      <c r="I9" s="164" t="s">
        <v>612</v>
      </c>
      <c r="J9" s="115">
        <f>COUNTIF('Master Table'!F:F,I9)</f>
        <v>6</v>
      </c>
      <c r="K9" s="113"/>
      <c r="L9" s="158"/>
      <c r="M9" s="166" t="s">
        <v>76</v>
      </c>
      <c r="N9" s="113"/>
      <c r="O9" s="113"/>
      <c r="P9" s="113"/>
      <c r="Q9" s="113"/>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c r="BG9" s="113"/>
      <c r="BH9" s="113"/>
      <c r="BI9" s="113"/>
      <c r="BJ9" s="113"/>
      <c r="BK9" s="113"/>
      <c r="BL9" s="113"/>
      <c r="BM9" s="113"/>
      <c r="BN9" s="113"/>
      <c r="BO9" s="113"/>
      <c r="BP9" s="113"/>
      <c r="BQ9" s="113"/>
      <c r="BR9" s="113"/>
      <c r="BS9" s="113"/>
      <c r="BT9" s="113"/>
      <c r="BU9" s="113"/>
      <c r="BV9" s="113"/>
      <c r="BW9" s="113"/>
      <c r="BX9" s="113"/>
      <c r="BY9" s="113"/>
      <c r="BZ9" s="113"/>
      <c r="CA9" s="113"/>
      <c r="CB9" s="113"/>
      <c r="CC9" s="113"/>
      <c r="CD9" s="113"/>
      <c r="CE9" s="113"/>
      <c r="CF9" s="113"/>
      <c r="CG9" s="113"/>
      <c r="CH9" s="113"/>
      <c r="CI9" s="113"/>
      <c r="CJ9" s="113"/>
      <c r="CK9" s="113"/>
      <c r="CL9" s="113"/>
      <c r="CM9" s="113"/>
      <c r="CN9" s="113"/>
      <c r="CO9" s="113"/>
      <c r="CP9" s="113"/>
      <c r="CQ9" s="113"/>
      <c r="CR9" s="113"/>
      <c r="CS9" s="113"/>
      <c r="CT9" s="113"/>
      <c r="CU9" s="113"/>
    </row>
    <row r="10">
      <c r="A10" s="159" t="str">
        <f>IFERROR(__xludf.DUMMYFUNCTION("""COMPUTED_VALUE"""),"A-10")</f>
        <v>A-10</v>
      </c>
      <c r="B10" s="113" t="str">
        <f>IFERROR(__xludf.DUMMYFUNCTION("""COMPUTED_VALUE"""),"Michael")</f>
        <v>Michael</v>
      </c>
      <c r="C10" s="113" t="str">
        <f>IFERROR(__xludf.DUMMYFUNCTION("""COMPUTED_VALUE"""),"Peddecord")</f>
        <v>Peddecord</v>
      </c>
      <c r="D10" s="158">
        <f>IFERROR(__xludf.DUMMYFUNCTION("""COMPUTED_VALUE"""),1035.0)</f>
        <v>1035</v>
      </c>
      <c r="E10" s="161">
        <f t="shared" si="1"/>
        <v>6</v>
      </c>
      <c r="F10" s="160">
        <f>COUNTIFS('Scores Import DO NOT EDIT'!C:C, D10,'Scores Import DO NOT EDIT'!M:M,A10)</f>
        <v>6</v>
      </c>
      <c r="G10" s="162">
        <f t="shared" si="2"/>
        <v>1</v>
      </c>
      <c r="H10" s="163" t="str">
        <f t="shared" si="3"/>
        <v>A-101035</v>
      </c>
      <c r="I10" s="164" t="s">
        <v>613</v>
      </c>
      <c r="J10" s="115">
        <f>COUNTIF('Master Table'!F:F,I10)</f>
        <v>6</v>
      </c>
      <c r="K10" s="113"/>
      <c r="L10" s="158"/>
      <c r="M10" s="166" t="s">
        <v>71</v>
      </c>
      <c r="N10" s="113"/>
      <c r="O10" s="113"/>
      <c r="P10" s="113"/>
      <c r="Q10" s="113"/>
      <c r="R10" s="113"/>
      <c r="S10" s="113"/>
      <c r="T10" s="113"/>
      <c r="U10" s="113"/>
      <c r="V10" s="113"/>
      <c r="W10" s="113"/>
      <c r="X10" s="113"/>
      <c r="Y10" s="113"/>
      <c r="Z10" s="113"/>
      <c r="AA10" s="113"/>
      <c r="AB10" s="113"/>
      <c r="AC10" s="113"/>
      <c r="AD10" s="113"/>
      <c r="AE10" s="113"/>
      <c r="AF10" s="113"/>
      <c r="AG10" s="113"/>
      <c r="AH10" s="113"/>
      <c r="AI10" s="113"/>
      <c r="AJ10" s="113"/>
      <c r="AK10" s="113"/>
      <c r="AL10" s="11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3"/>
      <c r="BI10" s="113"/>
      <c r="BJ10" s="113"/>
      <c r="BK10" s="113"/>
      <c r="BL10" s="113"/>
      <c r="BM10" s="113"/>
      <c r="BN10" s="113"/>
      <c r="BO10" s="113"/>
      <c r="BP10" s="113"/>
      <c r="BQ10" s="113"/>
      <c r="BR10" s="113"/>
      <c r="BS10" s="113"/>
      <c r="BT10" s="113"/>
      <c r="BU10" s="113"/>
      <c r="BV10" s="113"/>
      <c r="BW10" s="113"/>
      <c r="BX10" s="113"/>
      <c r="BY10" s="113"/>
      <c r="BZ10" s="113"/>
      <c r="CA10" s="113"/>
      <c r="CB10" s="113"/>
      <c r="CC10" s="113"/>
      <c r="CD10" s="113"/>
      <c r="CE10" s="113"/>
      <c r="CF10" s="113"/>
      <c r="CG10" s="113"/>
      <c r="CH10" s="113"/>
      <c r="CI10" s="113"/>
      <c r="CJ10" s="113"/>
      <c r="CK10" s="113"/>
      <c r="CL10" s="113"/>
      <c r="CM10" s="113"/>
      <c r="CN10" s="113"/>
      <c r="CO10" s="113"/>
      <c r="CP10" s="113"/>
      <c r="CQ10" s="113"/>
      <c r="CR10" s="113"/>
      <c r="CS10" s="113"/>
      <c r="CT10" s="113"/>
      <c r="CU10" s="113"/>
    </row>
    <row r="11">
      <c r="A11" s="159" t="str">
        <f>IFERROR(__xludf.DUMMYFUNCTION("""COMPUTED_VALUE"""),"A-2")</f>
        <v>A-2</v>
      </c>
      <c r="B11" s="113" t="str">
        <f>IFERROR(__xludf.DUMMYFUNCTION("""COMPUTED_VALUE"""),"Shreyas")</f>
        <v>Shreyas</v>
      </c>
      <c r="C11" s="113" t="str">
        <f>IFERROR(__xludf.DUMMYFUNCTION("""COMPUTED_VALUE"""),"Narasimhiah Ramesh")</f>
        <v>Narasimhiah Ramesh</v>
      </c>
      <c r="D11" s="158">
        <f>IFERROR(__xludf.DUMMYFUNCTION("""COMPUTED_VALUE"""),1133.0)</f>
        <v>1133</v>
      </c>
      <c r="E11" s="161">
        <f t="shared" si="1"/>
        <v>4</v>
      </c>
      <c r="F11" s="160">
        <f>COUNTIFS('Scores Import DO NOT EDIT'!C:C, D11,'Scores Import DO NOT EDIT'!M:M,A11)</f>
        <v>0</v>
      </c>
      <c r="G11" s="162">
        <f t="shared" si="2"/>
        <v>0</v>
      </c>
      <c r="H11" s="163" t="str">
        <f t="shared" si="3"/>
        <v>A-21133</v>
      </c>
      <c r="I11" s="164" t="s">
        <v>614</v>
      </c>
      <c r="J11" s="115">
        <f>COUNTIF('Master Table'!F:F,I11)</f>
        <v>6</v>
      </c>
      <c r="K11" s="113"/>
      <c r="L11" s="158"/>
      <c r="M11" s="166" t="s">
        <v>710</v>
      </c>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row>
    <row r="12">
      <c r="A12" s="159" t="str">
        <f>IFERROR(__xludf.DUMMYFUNCTION("""COMPUTED_VALUE"""),"A-2")</f>
        <v>A-2</v>
      </c>
      <c r="B12" s="113" t="str">
        <f>IFERROR(__xludf.DUMMYFUNCTION("""COMPUTED_VALUE"""),"Megan")</f>
        <v>Megan</v>
      </c>
      <c r="C12" s="113" t="str">
        <f>IFERROR(__xludf.DUMMYFUNCTION("""COMPUTED_VALUE"""),"Welsh Carroll")</f>
        <v>Welsh Carroll</v>
      </c>
      <c r="D12" s="158">
        <f>IFERROR(__xludf.DUMMYFUNCTION("""COMPUTED_VALUE"""),1115.0)</f>
        <v>1115</v>
      </c>
      <c r="E12" s="161">
        <f t="shared" si="1"/>
        <v>4</v>
      </c>
      <c r="F12" s="160">
        <f>COUNTIFS('Scores Import DO NOT EDIT'!C:C, D12,'Scores Import DO NOT EDIT'!M:M,A12)</f>
        <v>4</v>
      </c>
      <c r="G12" s="162">
        <f t="shared" si="2"/>
        <v>1</v>
      </c>
      <c r="H12" s="163" t="str">
        <f t="shared" si="3"/>
        <v>A-21115</v>
      </c>
      <c r="I12" s="167" t="s">
        <v>615</v>
      </c>
      <c r="J12" s="115">
        <f>COUNTIF('Master Table'!F:F,I12)</f>
        <v>5</v>
      </c>
      <c r="K12" s="113"/>
      <c r="L12" s="158"/>
      <c r="M12" s="166" t="s">
        <v>74</v>
      </c>
      <c r="N12" s="113"/>
      <c r="O12" s="113"/>
      <c r="P12" s="113"/>
      <c r="Q12" s="113"/>
      <c r="R12" s="113"/>
      <c r="S12" s="113"/>
      <c r="T12" s="113"/>
      <c r="U12" s="113"/>
      <c r="V12" s="113"/>
      <c r="W12" s="113"/>
      <c r="X12" s="113"/>
      <c r="Y12" s="113"/>
      <c r="Z12" s="113"/>
      <c r="AA12" s="113"/>
      <c r="AB12" s="113"/>
      <c r="AC12" s="113"/>
      <c r="AD12" s="113"/>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c r="BG12" s="113"/>
      <c r="BH12" s="113"/>
      <c r="BI12" s="113"/>
      <c r="BJ12" s="113"/>
      <c r="BK12" s="113"/>
      <c r="BL12" s="113"/>
      <c r="BM12" s="113"/>
      <c r="BN12" s="113"/>
      <c r="BO12" s="113"/>
      <c r="BP12" s="113"/>
      <c r="BQ12" s="113"/>
      <c r="BR12" s="113"/>
      <c r="BS12" s="113"/>
      <c r="BT12" s="113"/>
      <c r="BU12" s="113"/>
      <c r="BV12" s="113"/>
      <c r="BW12" s="113"/>
      <c r="BX12" s="113"/>
      <c r="BY12" s="113"/>
      <c r="BZ12" s="113"/>
      <c r="CA12" s="113"/>
      <c r="CB12" s="113"/>
      <c r="CC12" s="113"/>
      <c r="CD12" s="113"/>
      <c r="CE12" s="113"/>
      <c r="CF12" s="113"/>
      <c r="CG12" s="113"/>
      <c r="CH12" s="113"/>
      <c r="CI12" s="113"/>
      <c r="CJ12" s="113"/>
      <c r="CK12" s="113"/>
      <c r="CL12" s="113"/>
      <c r="CM12" s="113"/>
      <c r="CN12" s="113"/>
      <c r="CO12" s="113"/>
      <c r="CP12" s="113"/>
      <c r="CQ12" s="113"/>
      <c r="CR12" s="113"/>
      <c r="CS12" s="113"/>
      <c r="CT12" s="113"/>
      <c r="CU12" s="113"/>
    </row>
    <row r="13">
      <c r="A13" s="159" t="str">
        <f>IFERROR(__xludf.DUMMYFUNCTION("""COMPUTED_VALUE"""),"A-2")</f>
        <v>A-2</v>
      </c>
      <c r="B13" s="113" t="str">
        <f>IFERROR(__xludf.DUMMYFUNCTION("""COMPUTED_VALUE"""),"Carmelo")</f>
        <v>Carmelo</v>
      </c>
      <c r="C13" s="113" t="str">
        <f>IFERROR(__xludf.DUMMYFUNCTION("""COMPUTED_VALUE"""),"Interlando")</f>
        <v>Interlando</v>
      </c>
      <c r="D13" s="158">
        <f>IFERROR(__xludf.DUMMYFUNCTION("""COMPUTED_VALUE"""),1096.0)</f>
        <v>1096</v>
      </c>
      <c r="E13" s="161">
        <f t="shared" si="1"/>
        <v>4</v>
      </c>
      <c r="F13" s="160">
        <f>COUNTIFS('Scores Import DO NOT EDIT'!C:C, D13,'Scores Import DO NOT EDIT'!M:M,A13)</f>
        <v>4</v>
      </c>
      <c r="G13" s="162">
        <f t="shared" si="2"/>
        <v>1</v>
      </c>
      <c r="H13" s="163" t="str">
        <f t="shared" si="3"/>
        <v>A-21096</v>
      </c>
      <c r="I13" s="168" t="s">
        <v>616</v>
      </c>
      <c r="J13" s="115">
        <f>COUNTIF('Master Table'!F:F,I13)</f>
        <v>4</v>
      </c>
      <c r="K13" s="113"/>
      <c r="L13" s="158"/>
      <c r="M13" s="166" t="s">
        <v>78</v>
      </c>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3"/>
      <c r="BB13" s="113"/>
      <c r="BC13" s="113"/>
      <c r="BD13" s="113"/>
      <c r="BE13" s="113"/>
      <c r="BF13" s="113"/>
      <c r="BG13" s="113"/>
      <c r="BH13" s="113"/>
      <c r="BI13" s="113"/>
      <c r="BJ13" s="113"/>
      <c r="BK13" s="113"/>
      <c r="BL13" s="113"/>
      <c r="BM13" s="113"/>
      <c r="BN13" s="113"/>
      <c r="BO13" s="113"/>
      <c r="BP13" s="113"/>
      <c r="BQ13" s="113"/>
      <c r="BR13" s="113"/>
      <c r="BS13" s="113"/>
      <c r="BT13" s="113"/>
      <c r="BU13" s="113"/>
      <c r="BV13" s="113"/>
      <c r="BW13" s="113"/>
      <c r="BX13" s="113"/>
      <c r="BY13" s="113"/>
      <c r="BZ13" s="113"/>
      <c r="CA13" s="113"/>
      <c r="CB13" s="113"/>
      <c r="CC13" s="113"/>
      <c r="CD13" s="113"/>
      <c r="CE13" s="113"/>
      <c r="CF13" s="113"/>
      <c r="CG13" s="113"/>
      <c r="CH13" s="113"/>
      <c r="CI13" s="113"/>
      <c r="CJ13" s="113"/>
      <c r="CK13" s="113"/>
      <c r="CL13" s="113"/>
      <c r="CM13" s="113"/>
      <c r="CN13" s="113"/>
      <c r="CO13" s="113"/>
      <c r="CP13" s="113"/>
      <c r="CQ13" s="113"/>
      <c r="CR13" s="113"/>
      <c r="CS13" s="113"/>
      <c r="CT13" s="113"/>
      <c r="CU13" s="113"/>
    </row>
    <row r="14">
      <c r="A14" s="159" t="str">
        <f>IFERROR(__xludf.DUMMYFUNCTION("""COMPUTED_VALUE"""),"A-2")</f>
        <v>A-2</v>
      </c>
      <c r="B14" s="113" t="str">
        <f>IFERROR(__xludf.DUMMYFUNCTION("""COMPUTED_VALUE"""),"PeaceIbisia")</f>
        <v>PeaceIbisia</v>
      </c>
      <c r="C14" s="113" t="str">
        <f>IFERROR(__xludf.DUMMYFUNCTION("""COMPUTED_VALUE"""),"Jack")</f>
        <v>Jack</v>
      </c>
      <c r="D14" s="158">
        <f>IFERROR(__xludf.DUMMYFUNCTION("""COMPUTED_VALUE"""),1079.0)</f>
        <v>1079</v>
      </c>
      <c r="E14" s="161">
        <f t="shared" si="1"/>
        <v>4</v>
      </c>
      <c r="F14" s="160">
        <f>COUNTIFS('Scores Import DO NOT EDIT'!C:C, D14,'Scores Import DO NOT EDIT'!M:M,A14)</f>
        <v>4</v>
      </c>
      <c r="G14" s="162">
        <f t="shared" si="2"/>
        <v>1</v>
      </c>
      <c r="H14" s="163" t="str">
        <f t="shared" si="3"/>
        <v>A-21079</v>
      </c>
      <c r="I14" s="167" t="s">
        <v>617</v>
      </c>
      <c r="J14" s="115">
        <f>COUNTIF('Master Table'!F:F,I14)</f>
        <v>5</v>
      </c>
      <c r="K14" s="113"/>
      <c r="L14" s="158"/>
      <c r="M14" s="166" t="s">
        <v>82</v>
      </c>
      <c r="N14" s="113"/>
      <c r="O14" s="113"/>
      <c r="P14" s="113"/>
      <c r="Q14" s="113"/>
      <c r="R14" s="113"/>
      <c r="S14" s="113"/>
      <c r="T14" s="113"/>
      <c r="U14" s="113"/>
      <c r="V14" s="113"/>
      <c r="W14" s="113"/>
      <c r="X14" s="113"/>
      <c r="Y14" s="113"/>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3"/>
      <c r="CE14" s="113"/>
      <c r="CF14" s="113"/>
      <c r="CG14" s="113"/>
      <c r="CH14" s="113"/>
      <c r="CI14" s="113"/>
      <c r="CJ14" s="113"/>
      <c r="CK14" s="113"/>
      <c r="CL14" s="113"/>
      <c r="CM14" s="113"/>
      <c r="CN14" s="113"/>
      <c r="CO14" s="113"/>
      <c r="CP14" s="113"/>
      <c r="CQ14" s="113"/>
      <c r="CR14" s="113"/>
      <c r="CS14" s="113"/>
      <c r="CT14" s="113"/>
      <c r="CU14" s="113"/>
    </row>
    <row r="15">
      <c r="A15" s="159" t="str">
        <f>IFERROR(__xludf.DUMMYFUNCTION("""COMPUTED_VALUE"""),"A-2")</f>
        <v>A-2</v>
      </c>
      <c r="B15" s="113" t="str">
        <f>IFERROR(__xludf.DUMMYFUNCTION("""COMPUTED_VALUE"""),"Margherita")</f>
        <v>Margherita</v>
      </c>
      <c r="C15" s="113" t="str">
        <f>IFERROR(__xludf.DUMMYFUNCTION("""COMPUTED_VALUE"""),"Capriotti")</f>
        <v>Capriotti</v>
      </c>
      <c r="D15" s="158">
        <f>IFERROR(__xludf.DUMMYFUNCTION("""COMPUTED_VALUE"""),1073.0)</f>
        <v>1073</v>
      </c>
      <c r="E15" s="161">
        <f t="shared" si="1"/>
        <v>4</v>
      </c>
      <c r="F15" s="160">
        <f>COUNTIFS('Scores Import DO NOT EDIT'!C:C, D15,'Scores Import DO NOT EDIT'!M:M,A15)</f>
        <v>4</v>
      </c>
      <c r="G15" s="162">
        <f t="shared" si="2"/>
        <v>1</v>
      </c>
      <c r="H15" s="163" t="str">
        <f t="shared" si="3"/>
        <v>A-21073</v>
      </c>
      <c r="I15" s="168" t="s">
        <v>618</v>
      </c>
      <c r="J15" s="115">
        <f>COUNTIF('Master Table'!F:F,I15)</f>
        <v>4</v>
      </c>
      <c r="K15" s="113"/>
      <c r="L15" s="158"/>
      <c r="M15" s="166" t="s">
        <v>81</v>
      </c>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3"/>
      <c r="BA15" s="113"/>
      <c r="BB15" s="113"/>
      <c r="BC15" s="113"/>
      <c r="BD15" s="113"/>
      <c r="BE15" s="113"/>
      <c r="BF15" s="113"/>
      <c r="BG15" s="113"/>
      <c r="BH15" s="113"/>
      <c r="BI15" s="113"/>
      <c r="BJ15" s="113"/>
      <c r="BK15" s="113"/>
      <c r="BL15" s="113"/>
      <c r="BM15" s="113"/>
      <c r="BN15" s="113"/>
      <c r="BO15" s="113"/>
      <c r="BP15" s="113"/>
      <c r="BQ15" s="113"/>
      <c r="BR15" s="113"/>
      <c r="BS15" s="113"/>
      <c r="BT15" s="113"/>
      <c r="BU15" s="113"/>
      <c r="BV15" s="113"/>
      <c r="BW15" s="113"/>
      <c r="BX15" s="113"/>
      <c r="BY15" s="113"/>
      <c r="BZ15" s="113"/>
      <c r="CA15" s="113"/>
      <c r="CB15" s="113"/>
      <c r="CC15" s="113"/>
      <c r="CD15" s="113"/>
      <c r="CE15" s="113"/>
      <c r="CF15" s="113"/>
      <c r="CG15" s="113"/>
      <c r="CH15" s="113"/>
      <c r="CI15" s="113"/>
      <c r="CJ15" s="113"/>
      <c r="CK15" s="113"/>
      <c r="CL15" s="113"/>
      <c r="CM15" s="113"/>
      <c r="CN15" s="113"/>
      <c r="CO15" s="113"/>
      <c r="CP15" s="113"/>
      <c r="CQ15" s="113"/>
      <c r="CR15" s="113"/>
      <c r="CS15" s="113"/>
      <c r="CT15" s="113"/>
      <c r="CU15" s="113"/>
    </row>
    <row r="16">
      <c r="A16" s="159" t="str">
        <f>IFERROR(__xludf.DUMMYFUNCTION("""COMPUTED_VALUE"""),"A-3")</f>
        <v>A-3</v>
      </c>
      <c r="B16" s="113" t="str">
        <f>IFERROR(__xludf.DUMMYFUNCTION("""COMPUTED_VALUE"""),"Eniko")</f>
        <v>Eniko</v>
      </c>
      <c r="C16" s="113" t="str">
        <f>IFERROR(__xludf.DUMMYFUNCTION("""COMPUTED_VALUE"""),"Csomay")</f>
        <v>Csomay</v>
      </c>
      <c r="D16" s="158">
        <f>IFERROR(__xludf.DUMMYFUNCTION("""COMPUTED_VALUE"""),1003.0)</f>
        <v>1003</v>
      </c>
      <c r="E16" s="161">
        <f t="shared" si="1"/>
        <v>6</v>
      </c>
      <c r="F16" s="160">
        <f>COUNTIFS('Scores Import DO NOT EDIT'!C:C, D16,'Scores Import DO NOT EDIT'!M:M,A16)</f>
        <v>5</v>
      </c>
      <c r="G16" s="162">
        <f t="shared" si="2"/>
        <v>0.8333333333</v>
      </c>
      <c r="H16" s="163" t="str">
        <f t="shared" si="3"/>
        <v>A-31003</v>
      </c>
      <c r="I16" s="167" t="s">
        <v>619</v>
      </c>
      <c r="J16" s="115">
        <f>COUNTIF('Master Table'!F:F,I16)</f>
        <v>6</v>
      </c>
      <c r="K16" s="113"/>
      <c r="L16" s="158"/>
      <c r="M16" s="166" t="s">
        <v>80</v>
      </c>
      <c r="N16" s="113"/>
      <c r="O16" s="113"/>
      <c r="P16" s="113"/>
      <c r="Q16" s="113"/>
      <c r="R16" s="113"/>
      <c r="S16" s="113"/>
      <c r="T16" s="113"/>
      <c r="U16" s="113"/>
      <c r="V16" s="113"/>
      <c r="W16" s="113"/>
      <c r="X16" s="113"/>
      <c r="Y16" s="113"/>
      <c r="Z16" s="113"/>
      <c r="AA16" s="113"/>
      <c r="AB16" s="113"/>
      <c r="AC16" s="113"/>
      <c r="AD16" s="113"/>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3"/>
      <c r="BI16" s="113"/>
      <c r="BJ16" s="113"/>
      <c r="BK16" s="113"/>
      <c r="BL16" s="113"/>
      <c r="BM16" s="113"/>
      <c r="BN16" s="113"/>
      <c r="BO16" s="113"/>
      <c r="BP16" s="113"/>
      <c r="BQ16" s="113"/>
      <c r="BR16" s="113"/>
      <c r="BS16" s="113"/>
      <c r="BT16" s="113"/>
      <c r="BU16" s="113"/>
      <c r="BV16" s="113"/>
      <c r="BW16" s="113"/>
      <c r="BX16" s="113"/>
      <c r="BY16" s="113"/>
      <c r="BZ16" s="113"/>
      <c r="CA16" s="113"/>
      <c r="CB16" s="113"/>
      <c r="CC16" s="113"/>
      <c r="CD16" s="113"/>
      <c r="CE16" s="113"/>
      <c r="CF16" s="113"/>
      <c r="CG16" s="113"/>
      <c r="CH16" s="113"/>
      <c r="CI16" s="113"/>
      <c r="CJ16" s="113"/>
      <c r="CK16" s="113"/>
      <c r="CL16" s="113"/>
      <c r="CM16" s="113"/>
      <c r="CN16" s="113"/>
      <c r="CO16" s="113"/>
      <c r="CP16" s="113"/>
      <c r="CQ16" s="113"/>
      <c r="CR16" s="113"/>
      <c r="CS16" s="113"/>
      <c r="CT16" s="113"/>
      <c r="CU16" s="113"/>
    </row>
    <row r="17">
      <c r="A17" s="159" t="str">
        <f>IFERROR(__xludf.DUMMYFUNCTION("""COMPUTED_VALUE"""),"A-3")</f>
        <v>A-3</v>
      </c>
      <c r="B17" s="113" t="str">
        <f>IFERROR(__xludf.DUMMYFUNCTION("""COMPUTED_VALUE"""),"Madhi")</f>
        <v>Madhi</v>
      </c>
      <c r="C17" s="113" t="str">
        <f>IFERROR(__xludf.DUMMYFUNCTION("""COMPUTED_VALUE"""),"Alshammari")</f>
        <v>Alshammari</v>
      </c>
      <c r="D17" s="158">
        <f>IFERROR(__xludf.DUMMYFUNCTION("""COMPUTED_VALUE"""),1065.0)</f>
        <v>1065</v>
      </c>
      <c r="E17" s="161">
        <f t="shared" si="1"/>
        <v>6</v>
      </c>
      <c r="F17" s="160">
        <f>COUNTIFS('Scores Import DO NOT EDIT'!C:C, D17,'Scores Import DO NOT EDIT'!M:M,A17)</f>
        <v>5</v>
      </c>
      <c r="G17" s="162">
        <f t="shared" si="2"/>
        <v>0.8333333333</v>
      </c>
      <c r="H17" s="163" t="str">
        <f t="shared" si="3"/>
        <v>A-31065</v>
      </c>
      <c r="I17" s="168" t="s">
        <v>620</v>
      </c>
      <c r="J17" s="115">
        <f>COUNTIF('Master Table'!F:F,I17)</f>
        <v>6</v>
      </c>
      <c r="K17" s="113"/>
      <c r="L17" s="158"/>
      <c r="M17" s="166" t="s">
        <v>77</v>
      </c>
      <c r="N17" s="113"/>
      <c r="O17" s="113"/>
      <c r="P17" s="113"/>
      <c r="Q17" s="113"/>
      <c r="R17" s="113"/>
      <c r="S17" s="113"/>
      <c r="T17" s="113"/>
      <c r="U17" s="113"/>
      <c r="V17" s="113"/>
      <c r="W17" s="113"/>
      <c r="X17" s="113"/>
      <c r="Y17" s="113"/>
      <c r="Z17" s="113"/>
      <c r="AA17" s="113"/>
      <c r="AB17" s="113"/>
      <c r="AC17" s="113"/>
      <c r="AD17" s="113"/>
      <c r="AE17" s="113"/>
      <c r="AF17" s="113"/>
      <c r="AG17" s="113"/>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c r="BJ17" s="113"/>
      <c r="BK17" s="113"/>
      <c r="BL17" s="113"/>
      <c r="BM17" s="113"/>
      <c r="BN17" s="113"/>
      <c r="BO17" s="113"/>
      <c r="BP17" s="113"/>
      <c r="BQ17" s="113"/>
      <c r="BR17" s="113"/>
      <c r="BS17" s="113"/>
      <c r="BT17" s="113"/>
      <c r="BU17" s="113"/>
      <c r="BV17" s="113"/>
      <c r="BW17" s="113"/>
      <c r="BX17" s="113"/>
      <c r="BY17" s="113"/>
      <c r="BZ17" s="113"/>
      <c r="CA17" s="113"/>
      <c r="CB17" s="113"/>
      <c r="CC17" s="113"/>
      <c r="CD17" s="113"/>
      <c r="CE17" s="113"/>
      <c r="CF17" s="113"/>
      <c r="CG17" s="113"/>
      <c r="CH17" s="113"/>
      <c r="CI17" s="113"/>
      <c r="CJ17" s="113"/>
      <c r="CK17" s="113"/>
      <c r="CL17" s="113"/>
      <c r="CM17" s="113"/>
      <c r="CN17" s="113"/>
      <c r="CO17" s="113"/>
      <c r="CP17" s="113"/>
      <c r="CQ17" s="113"/>
      <c r="CR17" s="113"/>
      <c r="CS17" s="113"/>
      <c r="CT17" s="113"/>
      <c r="CU17" s="113"/>
    </row>
    <row r="18">
      <c r="A18" s="159" t="str">
        <f>IFERROR(__xludf.DUMMYFUNCTION("""COMPUTED_VALUE"""),"A-3")</f>
        <v>A-3</v>
      </c>
      <c r="B18" s="113" t="str">
        <f>IFERROR(__xludf.DUMMYFUNCTION("""COMPUTED_VALUE"""),"Emily")</f>
        <v>Emily</v>
      </c>
      <c r="C18" s="113" t="str">
        <f>IFERROR(__xludf.DUMMYFUNCTION("""COMPUTED_VALUE"""),"Schmied")</f>
        <v>Schmied</v>
      </c>
      <c r="D18" s="158">
        <f>IFERROR(__xludf.DUMMYFUNCTION("""COMPUTED_VALUE"""),1006.0)</f>
        <v>1006</v>
      </c>
      <c r="E18" s="161">
        <f t="shared" si="1"/>
        <v>6</v>
      </c>
      <c r="F18" s="160">
        <f>COUNTIFS('Scores Import DO NOT EDIT'!C:C, D18,'Scores Import DO NOT EDIT'!M:M,A18)</f>
        <v>5</v>
      </c>
      <c r="G18" s="162">
        <f t="shared" si="2"/>
        <v>0.8333333333</v>
      </c>
      <c r="H18" s="163" t="str">
        <f t="shared" si="3"/>
        <v>A-31006</v>
      </c>
      <c r="I18" s="167" t="s">
        <v>621</v>
      </c>
      <c r="J18" s="115">
        <f>COUNTIF('Master Table'!F:F,I18)</f>
        <v>6</v>
      </c>
      <c r="K18" s="113"/>
      <c r="L18" s="158"/>
      <c r="M18" s="166" t="s">
        <v>79</v>
      </c>
      <c r="N18" s="113"/>
      <c r="O18" s="113"/>
      <c r="P18" s="113"/>
      <c r="Q18" s="113"/>
      <c r="R18" s="113"/>
      <c r="S18" s="113"/>
      <c r="T18" s="113"/>
      <c r="U18" s="113"/>
      <c r="V18" s="113"/>
      <c r="W18" s="113"/>
      <c r="X18" s="113"/>
      <c r="Y18" s="113"/>
      <c r="Z18" s="113"/>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113"/>
      <c r="CB18" s="113"/>
      <c r="CC18" s="113"/>
      <c r="CD18" s="113"/>
      <c r="CE18" s="113"/>
      <c r="CF18" s="113"/>
      <c r="CG18" s="113"/>
      <c r="CH18" s="113"/>
      <c r="CI18" s="113"/>
      <c r="CJ18" s="113"/>
      <c r="CK18" s="113"/>
      <c r="CL18" s="113"/>
      <c r="CM18" s="113"/>
      <c r="CN18" s="113"/>
      <c r="CO18" s="113"/>
      <c r="CP18" s="113"/>
      <c r="CQ18" s="113"/>
      <c r="CR18" s="113"/>
      <c r="CS18" s="113"/>
      <c r="CT18" s="113"/>
      <c r="CU18" s="113"/>
    </row>
    <row r="19">
      <c r="A19" s="159" t="str">
        <f>IFERROR(__xludf.DUMMYFUNCTION("""COMPUTED_VALUE"""),"A-3")</f>
        <v>A-3</v>
      </c>
      <c r="B19" s="113" t="str">
        <f>IFERROR(__xludf.DUMMYFUNCTION("""COMPUTED_VALUE"""),"Leslie")</f>
        <v>Leslie</v>
      </c>
      <c r="C19" s="113" t="str">
        <f>IFERROR(__xludf.DUMMYFUNCTION("""COMPUTED_VALUE"""),"Solomon")</f>
        <v>Solomon</v>
      </c>
      <c r="D19" s="158">
        <f>IFERROR(__xludf.DUMMYFUNCTION("""COMPUTED_VALUE"""),1178.0)</f>
        <v>1178</v>
      </c>
      <c r="E19" s="161">
        <f t="shared" si="1"/>
        <v>6</v>
      </c>
      <c r="F19" s="160">
        <f>COUNTIFS('Scores Import DO NOT EDIT'!C:C, D19,'Scores Import DO NOT EDIT'!M:M,A19)</f>
        <v>5</v>
      </c>
      <c r="G19" s="162">
        <f t="shared" si="2"/>
        <v>0.8333333333</v>
      </c>
      <c r="H19" s="163" t="str">
        <f t="shared" si="3"/>
        <v>A-31178</v>
      </c>
      <c r="I19" s="168" t="s">
        <v>622</v>
      </c>
      <c r="J19" s="115">
        <f>COUNTIF('Master Table'!F:F,I19)</f>
        <v>5</v>
      </c>
      <c r="K19" s="113"/>
      <c r="L19" s="158"/>
      <c r="M19" s="166" t="s">
        <v>85</v>
      </c>
      <c r="N19" s="113"/>
      <c r="O19" s="113"/>
      <c r="P19" s="113"/>
      <c r="Q19" s="113"/>
      <c r="R19" s="113"/>
      <c r="S19" s="113"/>
      <c r="T19" s="113"/>
      <c r="U19" s="113"/>
      <c r="V19" s="113"/>
      <c r="W19" s="113"/>
      <c r="X19" s="113"/>
      <c r="Y19" s="113"/>
      <c r="Z19" s="113"/>
      <c r="AA19" s="113"/>
      <c r="AB19" s="113"/>
      <c r="AC19" s="113"/>
      <c r="AD19" s="113"/>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113"/>
      <c r="CB19" s="113"/>
      <c r="CC19" s="113"/>
      <c r="CD19" s="113"/>
      <c r="CE19" s="113"/>
      <c r="CF19" s="113"/>
      <c r="CG19" s="113"/>
      <c r="CH19" s="113"/>
      <c r="CI19" s="113"/>
      <c r="CJ19" s="113"/>
      <c r="CK19" s="113"/>
      <c r="CL19" s="113"/>
      <c r="CM19" s="113"/>
      <c r="CN19" s="113"/>
      <c r="CO19" s="113"/>
      <c r="CP19" s="113"/>
      <c r="CQ19" s="113"/>
      <c r="CR19" s="113"/>
      <c r="CS19" s="113"/>
      <c r="CT19" s="113"/>
      <c r="CU19" s="113"/>
    </row>
    <row r="20">
      <c r="A20" s="159" t="str">
        <f>IFERROR(__xludf.DUMMYFUNCTION("""COMPUTED_VALUE"""),"A-4")</f>
        <v>A-4</v>
      </c>
      <c r="B20" s="113" t="str">
        <f>IFERROR(__xludf.DUMMYFUNCTION("""COMPUTED_VALUE"""),"Alicia")</f>
        <v>Alicia</v>
      </c>
      <c r="C20" s="113" t="str">
        <f>IFERROR(__xludf.DUMMYFUNCTION("""COMPUTED_VALUE"""),"Nunez")</f>
        <v>Nunez</v>
      </c>
      <c r="D20" s="158">
        <f>IFERROR(__xludf.DUMMYFUNCTION("""COMPUTED_VALUE"""),1019.0)</f>
        <v>1019</v>
      </c>
      <c r="E20" s="161">
        <f t="shared" si="1"/>
        <v>5</v>
      </c>
      <c r="F20" s="160">
        <f>COUNTIFS('Scores Import DO NOT EDIT'!C:C, D20,'Scores Import DO NOT EDIT'!M:M,A20)</f>
        <v>5</v>
      </c>
      <c r="G20" s="162">
        <f t="shared" si="2"/>
        <v>1</v>
      </c>
      <c r="H20" s="163" t="str">
        <f t="shared" si="3"/>
        <v>A-41019</v>
      </c>
      <c r="I20" s="167" t="s">
        <v>623</v>
      </c>
      <c r="J20" s="115">
        <f>COUNTIF('Master Table'!F:F,I20)</f>
        <v>4</v>
      </c>
      <c r="K20" s="113"/>
      <c r="L20" s="158"/>
      <c r="M20" s="166" t="s">
        <v>83</v>
      </c>
      <c r="N20" s="113"/>
      <c r="O20" s="113"/>
      <c r="P20" s="113"/>
      <c r="Q20" s="113"/>
      <c r="R20" s="113"/>
      <c r="S20" s="113"/>
      <c r="T20" s="113"/>
      <c r="U20" s="113"/>
      <c r="V20" s="113"/>
      <c r="W20" s="113"/>
      <c r="X20" s="113"/>
      <c r="Y20" s="113"/>
      <c r="Z20" s="113"/>
      <c r="AA20" s="113"/>
      <c r="AB20" s="113"/>
      <c r="AC20" s="113"/>
      <c r="AD20" s="113"/>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113"/>
      <c r="CB20" s="113"/>
      <c r="CC20" s="113"/>
      <c r="CD20" s="113"/>
      <c r="CE20" s="113"/>
      <c r="CF20" s="113"/>
      <c r="CG20" s="113"/>
      <c r="CH20" s="113"/>
      <c r="CI20" s="113"/>
      <c r="CJ20" s="113"/>
      <c r="CK20" s="113"/>
      <c r="CL20" s="113"/>
      <c r="CM20" s="113"/>
      <c r="CN20" s="113"/>
      <c r="CO20" s="113"/>
      <c r="CP20" s="113"/>
      <c r="CQ20" s="113"/>
      <c r="CR20" s="113"/>
      <c r="CS20" s="113"/>
      <c r="CT20" s="113"/>
      <c r="CU20" s="113"/>
    </row>
    <row r="21">
      <c r="A21" s="159" t="str">
        <f>IFERROR(__xludf.DUMMYFUNCTION("""COMPUTED_VALUE"""),"A-4")</f>
        <v>A-4</v>
      </c>
      <c r="B21" s="113" t="str">
        <f>IFERROR(__xludf.DUMMYFUNCTION("""COMPUTED_VALUE"""),"Ksenija")</f>
        <v>Ksenija</v>
      </c>
      <c r="C21" s="113" t="str">
        <f>IFERROR(__xludf.DUMMYFUNCTION("""COMPUTED_VALUE"""),"Marinkovic")</f>
        <v>Marinkovic</v>
      </c>
      <c r="D21" s="158">
        <f>IFERROR(__xludf.DUMMYFUNCTION("""COMPUTED_VALUE"""),1063.0)</f>
        <v>1063</v>
      </c>
      <c r="E21" s="161">
        <f t="shared" si="1"/>
        <v>5</v>
      </c>
      <c r="F21" s="160">
        <f>COUNTIFS('Scores Import DO NOT EDIT'!C:C, D21,'Scores Import DO NOT EDIT'!M:M,A21)</f>
        <v>0</v>
      </c>
      <c r="G21" s="162">
        <f t="shared" si="2"/>
        <v>0</v>
      </c>
      <c r="H21" s="163" t="str">
        <f t="shared" si="3"/>
        <v>A-41063</v>
      </c>
      <c r="I21" s="168" t="s">
        <v>624</v>
      </c>
      <c r="J21" s="115">
        <f>COUNTIF('Master Table'!F:F,I21)</f>
        <v>6</v>
      </c>
      <c r="K21" s="113"/>
      <c r="L21" s="158"/>
      <c r="M21" s="166" t="s">
        <v>711</v>
      </c>
      <c r="N21" s="113"/>
      <c r="O21" s="113"/>
      <c r="P21" s="113"/>
      <c r="Q21" s="113"/>
      <c r="R21" s="113"/>
      <c r="S21" s="113"/>
      <c r="T21" s="113"/>
      <c r="U21" s="113"/>
      <c r="V21" s="113"/>
      <c r="W21" s="113"/>
      <c r="X21" s="113"/>
      <c r="Y21" s="113"/>
      <c r="Z21" s="113"/>
      <c r="AA21" s="113"/>
      <c r="AB21" s="113"/>
      <c r="AC21" s="113"/>
      <c r="AD21" s="113"/>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113"/>
      <c r="CB21" s="113"/>
      <c r="CC21" s="113"/>
      <c r="CD21" s="113"/>
      <c r="CE21" s="113"/>
      <c r="CF21" s="113"/>
      <c r="CG21" s="113"/>
      <c r="CH21" s="113"/>
      <c r="CI21" s="113"/>
      <c r="CJ21" s="113"/>
      <c r="CK21" s="113"/>
      <c r="CL21" s="113"/>
      <c r="CM21" s="113"/>
      <c r="CN21" s="113"/>
      <c r="CO21" s="113"/>
      <c r="CP21" s="113"/>
      <c r="CQ21" s="113"/>
      <c r="CR21" s="113"/>
      <c r="CS21" s="113"/>
      <c r="CT21" s="113"/>
      <c r="CU21" s="113"/>
    </row>
    <row r="22">
      <c r="A22" s="159" t="str">
        <f>IFERROR(__xludf.DUMMYFUNCTION("""COMPUTED_VALUE"""),"A-4")</f>
        <v>A-4</v>
      </c>
      <c r="B22" s="113" t="str">
        <f>IFERROR(__xludf.DUMMYFUNCTION("""COMPUTED_VALUE"""),"Delores")</f>
        <v>Delores</v>
      </c>
      <c r="C22" s="113" t="str">
        <f>IFERROR(__xludf.DUMMYFUNCTION("""COMPUTED_VALUE"""),"Fisher")</f>
        <v>Fisher</v>
      </c>
      <c r="D22" s="158">
        <f>IFERROR(__xludf.DUMMYFUNCTION("""COMPUTED_VALUE"""),1169.0)</f>
        <v>1169</v>
      </c>
      <c r="E22" s="161">
        <f t="shared" si="1"/>
        <v>5</v>
      </c>
      <c r="F22" s="160">
        <f>COUNTIFS('Scores Import DO NOT EDIT'!C:C, D22,'Scores Import DO NOT EDIT'!M:M,A22)</f>
        <v>5</v>
      </c>
      <c r="G22" s="162">
        <f t="shared" si="2"/>
        <v>1</v>
      </c>
      <c r="H22" s="163" t="str">
        <f t="shared" si="3"/>
        <v>A-41169</v>
      </c>
      <c r="I22" s="168" t="s">
        <v>625</v>
      </c>
      <c r="J22" s="115">
        <f>COUNTIF('Master Table'!F:F,I22)</f>
        <v>5</v>
      </c>
      <c r="K22" s="113"/>
      <c r="L22" s="158"/>
      <c r="M22" s="166" t="s">
        <v>86</v>
      </c>
      <c r="N22" s="113"/>
      <c r="O22" s="113"/>
      <c r="P22" s="113"/>
      <c r="Q22" s="113"/>
      <c r="R22" s="113"/>
      <c r="S22" s="113"/>
      <c r="T22" s="113"/>
      <c r="U22" s="113"/>
      <c r="V22" s="113"/>
      <c r="W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113"/>
      <c r="CB22" s="113"/>
      <c r="CC22" s="113"/>
      <c r="CD22" s="113"/>
      <c r="CE22" s="113"/>
      <c r="CF22" s="113"/>
      <c r="CG22" s="113"/>
      <c r="CH22" s="113"/>
      <c r="CI22" s="113"/>
      <c r="CJ22" s="113"/>
      <c r="CK22" s="113"/>
      <c r="CL22" s="113"/>
      <c r="CM22" s="113"/>
      <c r="CN22" s="113"/>
      <c r="CO22" s="113"/>
      <c r="CP22" s="113"/>
      <c r="CQ22" s="113"/>
      <c r="CR22" s="113"/>
      <c r="CS22" s="113"/>
      <c r="CT22" s="113"/>
      <c r="CU22" s="113"/>
    </row>
    <row r="23">
      <c r="A23" s="159" t="str">
        <f>IFERROR(__xludf.DUMMYFUNCTION("""COMPUTED_VALUE"""),"A-4")</f>
        <v>A-4</v>
      </c>
      <c r="B23" s="113" t="str">
        <f>IFERROR(__xludf.DUMMYFUNCTION("""COMPUTED_VALUE"""),"Melanie")</f>
        <v>Melanie</v>
      </c>
      <c r="C23" s="113" t="str">
        <f>IFERROR(__xludf.DUMMYFUNCTION("""COMPUTED_VALUE"""),"Nicholls")</f>
        <v>Nicholls</v>
      </c>
      <c r="D23" s="158">
        <f>IFERROR(__xludf.DUMMYFUNCTION("""COMPUTED_VALUE"""),1097.0)</f>
        <v>1097</v>
      </c>
      <c r="E23" s="161">
        <f t="shared" si="1"/>
        <v>5</v>
      </c>
      <c r="F23" s="160">
        <f>COUNTIFS('Scores Import DO NOT EDIT'!C:C, D23,'Scores Import DO NOT EDIT'!M:M,A23)</f>
        <v>5</v>
      </c>
      <c r="G23" s="162">
        <f t="shared" si="2"/>
        <v>1</v>
      </c>
      <c r="H23" s="163" t="str">
        <f t="shared" si="3"/>
        <v>A-41097</v>
      </c>
      <c r="I23" s="167" t="s">
        <v>626</v>
      </c>
      <c r="J23" s="115">
        <f>COUNTIF('Master Table'!F:F,I23)</f>
        <v>6</v>
      </c>
      <c r="K23" s="113"/>
      <c r="L23" s="158"/>
      <c r="M23" s="166" t="s">
        <v>84</v>
      </c>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113"/>
      <c r="CB23" s="113"/>
      <c r="CC23" s="113"/>
      <c r="CD23" s="113"/>
      <c r="CE23" s="113"/>
      <c r="CF23" s="113"/>
      <c r="CG23" s="113"/>
      <c r="CH23" s="113"/>
      <c r="CI23" s="113"/>
      <c r="CJ23" s="113"/>
      <c r="CK23" s="113"/>
      <c r="CL23" s="113"/>
      <c r="CM23" s="113"/>
      <c r="CN23" s="113"/>
      <c r="CO23" s="113"/>
      <c r="CP23" s="113"/>
      <c r="CQ23" s="113"/>
      <c r="CR23" s="113"/>
      <c r="CS23" s="113"/>
      <c r="CT23" s="113"/>
      <c r="CU23" s="113"/>
    </row>
    <row r="24">
      <c r="A24" s="159" t="str">
        <f>IFERROR(__xludf.DUMMYFUNCTION("""COMPUTED_VALUE"""),"A-4")</f>
        <v>A-4</v>
      </c>
      <c r="B24" s="113" t="str">
        <f>IFERROR(__xludf.DUMMYFUNCTION("""COMPUTED_VALUE"""),"Robert")</f>
        <v>Robert</v>
      </c>
      <c r="C24" s="113" t="str">
        <f>IFERROR(__xludf.DUMMYFUNCTION("""COMPUTED_VALUE"""),"Vargas-Belcher")</f>
        <v>Vargas-Belcher</v>
      </c>
      <c r="D24" s="158">
        <f>IFERROR(__xludf.DUMMYFUNCTION("""COMPUTED_VALUE"""),1020.0)</f>
        <v>1020</v>
      </c>
      <c r="E24" s="161">
        <f t="shared" si="1"/>
        <v>5</v>
      </c>
      <c r="F24" s="160">
        <f>COUNTIFS('Scores Import DO NOT EDIT'!C:C, D24,'Scores Import DO NOT EDIT'!M:M,A24)</f>
        <v>5</v>
      </c>
      <c r="G24" s="162">
        <f t="shared" si="2"/>
        <v>1</v>
      </c>
      <c r="H24" s="163" t="str">
        <f t="shared" si="3"/>
        <v>A-41020</v>
      </c>
      <c r="I24" s="168" t="s">
        <v>627</v>
      </c>
      <c r="J24" s="115">
        <f>COUNTIF('Master Table'!F:F,I24)</f>
        <v>6</v>
      </c>
      <c r="K24" s="113"/>
      <c r="L24" s="158"/>
      <c r="M24" s="166" t="s">
        <v>87</v>
      </c>
      <c r="N24" s="113"/>
      <c r="O24" s="113"/>
      <c r="P24" s="113"/>
      <c r="Q24" s="113"/>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113"/>
      <c r="CB24" s="113"/>
      <c r="CC24" s="113"/>
      <c r="CD24" s="113"/>
      <c r="CE24" s="113"/>
      <c r="CF24" s="113"/>
      <c r="CG24" s="113"/>
      <c r="CH24" s="113"/>
      <c r="CI24" s="113"/>
      <c r="CJ24" s="113"/>
      <c r="CK24" s="113"/>
      <c r="CL24" s="113"/>
      <c r="CM24" s="113"/>
      <c r="CN24" s="113"/>
      <c r="CO24" s="113"/>
      <c r="CP24" s="113"/>
      <c r="CQ24" s="113"/>
      <c r="CR24" s="113"/>
      <c r="CS24" s="113"/>
      <c r="CT24" s="113"/>
      <c r="CU24" s="113"/>
    </row>
    <row r="25">
      <c r="A25" s="159" t="str">
        <f>IFERROR(__xludf.DUMMYFUNCTION("""COMPUTED_VALUE"""),"A-5")</f>
        <v>A-5</v>
      </c>
      <c r="B25" s="113" t="str">
        <f>IFERROR(__xludf.DUMMYFUNCTION("""COMPUTED_VALUE"""),"Richard")</f>
        <v>Richard</v>
      </c>
      <c r="C25" s="113" t="str">
        <f>IFERROR(__xludf.DUMMYFUNCTION("""COMPUTED_VALUE"""),"Cripps")</f>
        <v>Cripps</v>
      </c>
      <c r="D25" s="158">
        <f>IFERROR(__xludf.DUMMYFUNCTION("""COMPUTED_VALUE"""),1069.0)</f>
        <v>1069</v>
      </c>
      <c r="E25" s="161">
        <f t="shared" si="1"/>
        <v>6</v>
      </c>
      <c r="F25" s="160">
        <f>COUNTIFS('Scores Import DO NOT EDIT'!C:C, D25,'Scores Import DO NOT EDIT'!M:M,A25)</f>
        <v>6</v>
      </c>
      <c r="G25" s="162">
        <f t="shared" si="2"/>
        <v>1</v>
      </c>
      <c r="H25" s="163" t="str">
        <f t="shared" si="3"/>
        <v>A-51069</v>
      </c>
      <c r="I25" s="167" t="s">
        <v>628</v>
      </c>
      <c r="J25" s="115">
        <f>COUNTIF('Master Table'!F:F,I25)</f>
        <v>6</v>
      </c>
      <c r="K25" s="113"/>
      <c r="L25" s="158"/>
      <c r="M25" s="166" t="s">
        <v>88</v>
      </c>
      <c r="N25" s="113"/>
      <c r="O25" s="113"/>
      <c r="P25" s="113"/>
      <c r="Q25" s="113"/>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113"/>
      <c r="CB25" s="113"/>
      <c r="CC25" s="113"/>
      <c r="CD25" s="113"/>
      <c r="CE25" s="113"/>
      <c r="CF25" s="113"/>
      <c r="CG25" s="113"/>
      <c r="CH25" s="113"/>
      <c r="CI25" s="113"/>
      <c r="CJ25" s="113"/>
      <c r="CK25" s="113"/>
      <c r="CL25" s="113"/>
      <c r="CM25" s="113"/>
      <c r="CN25" s="113"/>
      <c r="CO25" s="113"/>
      <c r="CP25" s="113"/>
      <c r="CQ25" s="113"/>
      <c r="CR25" s="113"/>
      <c r="CS25" s="113"/>
      <c r="CT25" s="113"/>
      <c r="CU25" s="113"/>
    </row>
    <row r="26">
      <c r="A26" s="159" t="str">
        <f>IFERROR(__xludf.DUMMYFUNCTION("""COMPUTED_VALUE"""),"A-5")</f>
        <v>A-5</v>
      </c>
      <c r="B26" s="113" t="str">
        <f>IFERROR(__xludf.DUMMYFUNCTION("""COMPUTED_VALUE"""),"Stanley")</f>
        <v>Stanley</v>
      </c>
      <c r="C26" s="113" t="str">
        <f>IFERROR(__xludf.DUMMYFUNCTION("""COMPUTED_VALUE"""),"Maloy")</f>
        <v>Maloy</v>
      </c>
      <c r="D26" s="158">
        <f>IFERROR(__xludf.DUMMYFUNCTION("""COMPUTED_VALUE"""),1041.0)</f>
        <v>1041</v>
      </c>
      <c r="E26" s="161">
        <f t="shared" si="1"/>
        <v>6</v>
      </c>
      <c r="F26" s="160">
        <f>COUNTIFS('Scores Import DO NOT EDIT'!C:C, D26,'Scores Import DO NOT EDIT'!M:M,A26)</f>
        <v>6</v>
      </c>
      <c r="G26" s="162">
        <f t="shared" si="2"/>
        <v>1</v>
      </c>
      <c r="H26" s="163" t="str">
        <f t="shared" si="3"/>
        <v>A-51041</v>
      </c>
      <c r="I26" s="168" t="s">
        <v>629</v>
      </c>
      <c r="J26" s="115">
        <f>COUNTIF('Master Table'!F:F,I26)</f>
        <v>6</v>
      </c>
      <c r="K26" s="113"/>
      <c r="L26" s="158"/>
      <c r="M26" s="166" t="s">
        <v>93</v>
      </c>
      <c r="N26" s="113"/>
      <c r="O26" s="113"/>
      <c r="P26" s="113"/>
      <c r="Q26" s="113"/>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113"/>
      <c r="CB26" s="113"/>
      <c r="CC26" s="113"/>
      <c r="CD26" s="113"/>
      <c r="CE26" s="113"/>
      <c r="CF26" s="113"/>
      <c r="CG26" s="113"/>
      <c r="CH26" s="113"/>
      <c r="CI26" s="113"/>
      <c r="CJ26" s="113"/>
      <c r="CK26" s="113"/>
      <c r="CL26" s="113"/>
      <c r="CM26" s="113"/>
      <c r="CN26" s="113"/>
      <c r="CO26" s="113"/>
      <c r="CP26" s="113"/>
      <c r="CQ26" s="113"/>
      <c r="CR26" s="113"/>
      <c r="CS26" s="113"/>
      <c r="CT26" s="113"/>
      <c r="CU26" s="113"/>
    </row>
    <row r="27">
      <c r="A27" s="159" t="str">
        <f>IFERROR(__xludf.DUMMYFUNCTION("""COMPUTED_VALUE"""),"A-5")</f>
        <v>A-5</v>
      </c>
      <c r="B27" s="113" t="str">
        <f>IFERROR(__xludf.DUMMYFUNCTION("""COMPUTED_VALUE"""),"Elana")</f>
        <v>Elana</v>
      </c>
      <c r="C27" s="113" t="str">
        <f>IFERROR(__xludf.DUMMYFUNCTION("""COMPUTED_VALUE"""),"Elkin")</f>
        <v>Elkin</v>
      </c>
      <c r="D27" s="158">
        <f>IFERROR(__xludf.DUMMYFUNCTION("""COMPUTED_VALUE"""),1124.0)</f>
        <v>1124</v>
      </c>
      <c r="E27" s="161">
        <f t="shared" si="1"/>
        <v>6</v>
      </c>
      <c r="F27" s="160">
        <f>COUNTIFS('Scores Import DO NOT EDIT'!C:C, D27,'Scores Import DO NOT EDIT'!M:M,A27)</f>
        <v>5</v>
      </c>
      <c r="G27" s="162">
        <f t="shared" si="2"/>
        <v>0.8333333333</v>
      </c>
      <c r="H27" s="163" t="str">
        <f t="shared" si="3"/>
        <v>A-51124</v>
      </c>
      <c r="I27" s="167" t="s">
        <v>630</v>
      </c>
      <c r="J27" s="115">
        <f>COUNTIF('Master Table'!F:F,I27)</f>
        <v>6</v>
      </c>
      <c r="K27" s="113"/>
      <c r="L27" s="158"/>
      <c r="M27" s="166" t="s">
        <v>92</v>
      </c>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113"/>
      <c r="CB27" s="113"/>
      <c r="CC27" s="113"/>
      <c r="CD27" s="113"/>
      <c r="CE27" s="113"/>
      <c r="CF27" s="113"/>
      <c r="CG27" s="113"/>
      <c r="CH27" s="113"/>
      <c r="CI27" s="113"/>
      <c r="CJ27" s="113"/>
      <c r="CK27" s="113"/>
      <c r="CL27" s="113"/>
      <c r="CM27" s="113"/>
      <c r="CN27" s="113"/>
      <c r="CO27" s="113"/>
      <c r="CP27" s="113"/>
      <c r="CQ27" s="113"/>
      <c r="CR27" s="113"/>
      <c r="CS27" s="113"/>
      <c r="CT27" s="113"/>
      <c r="CU27" s="113"/>
    </row>
    <row r="28">
      <c r="A28" s="159" t="str">
        <f>IFERROR(__xludf.DUMMYFUNCTION("""COMPUTED_VALUE"""),"A-6")</f>
        <v>A-6</v>
      </c>
      <c r="B28" s="113" t="str">
        <f>IFERROR(__xludf.DUMMYFUNCTION("""COMPUTED_VALUE"""),"Hanyang")</f>
        <v>Hanyang</v>
      </c>
      <c r="C28" s="113" t="str">
        <f>IFERROR(__xludf.DUMMYFUNCTION("""COMPUTED_VALUE"""),"Li")</f>
        <v>Li</v>
      </c>
      <c r="D28" s="158">
        <f>IFERROR(__xludf.DUMMYFUNCTION("""COMPUTED_VALUE"""),1088.0)</f>
        <v>1088</v>
      </c>
      <c r="E28" s="161">
        <f t="shared" si="1"/>
        <v>6</v>
      </c>
      <c r="F28" s="160">
        <f>COUNTIFS('Scores Import DO NOT EDIT'!C:C, D28,'Scores Import DO NOT EDIT'!M:M,A28)</f>
        <v>6</v>
      </c>
      <c r="G28" s="162">
        <f t="shared" si="2"/>
        <v>1</v>
      </c>
      <c r="H28" s="163" t="str">
        <f t="shared" si="3"/>
        <v>A-61088</v>
      </c>
      <c r="I28" s="168" t="s">
        <v>631</v>
      </c>
      <c r="J28" s="115">
        <f>COUNTIF('Master Table'!F:F,I28)</f>
        <v>4</v>
      </c>
      <c r="K28" s="113"/>
      <c r="L28" s="158"/>
      <c r="M28" s="166" t="s">
        <v>91</v>
      </c>
      <c r="N28" s="113"/>
      <c r="O28" s="113"/>
      <c r="P28" s="113"/>
      <c r="Q28" s="113"/>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113"/>
      <c r="CB28" s="113"/>
      <c r="CC28" s="113"/>
      <c r="CD28" s="113"/>
      <c r="CE28" s="113"/>
      <c r="CF28" s="113"/>
      <c r="CG28" s="113"/>
      <c r="CH28" s="113"/>
      <c r="CI28" s="113"/>
      <c r="CJ28" s="113"/>
      <c r="CK28" s="113"/>
      <c r="CL28" s="113"/>
      <c r="CM28" s="113"/>
      <c r="CN28" s="113"/>
      <c r="CO28" s="113"/>
      <c r="CP28" s="113"/>
      <c r="CQ28" s="113"/>
      <c r="CR28" s="113"/>
      <c r="CS28" s="113"/>
      <c r="CT28" s="113"/>
      <c r="CU28" s="113"/>
    </row>
    <row r="29">
      <c r="A29" s="159" t="str">
        <f>IFERROR(__xludf.DUMMYFUNCTION("""COMPUTED_VALUE"""),"A-6")</f>
        <v>A-6</v>
      </c>
      <c r="B29" s="113" t="str">
        <f>IFERROR(__xludf.DUMMYFUNCTION("""COMPUTED_VALUE"""),"Rusty")</f>
        <v>Rusty</v>
      </c>
      <c r="C29" s="113" t="str">
        <f>IFERROR(__xludf.DUMMYFUNCTION("""COMPUTED_VALUE"""),"Mendoza")</f>
        <v>Mendoza</v>
      </c>
      <c r="D29" s="158">
        <f>IFERROR(__xludf.DUMMYFUNCTION("""COMPUTED_VALUE"""),1139.0)</f>
        <v>1139</v>
      </c>
      <c r="E29" s="161">
        <f t="shared" si="1"/>
        <v>6</v>
      </c>
      <c r="F29" s="160">
        <f>COUNTIFS('Scores Import DO NOT EDIT'!C:C, D29,'Scores Import DO NOT EDIT'!M:M,A29)</f>
        <v>4</v>
      </c>
      <c r="G29" s="162">
        <f t="shared" si="2"/>
        <v>0.6666666667</v>
      </c>
      <c r="H29" s="163" t="str">
        <f t="shared" si="3"/>
        <v>A-61139</v>
      </c>
      <c r="I29" s="167" t="s">
        <v>632</v>
      </c>
      <c r="J29" s="115">
        <f>COUNTIF('Master Table'!F:F,I29)</f>
        <v>6</v>
      </c>
      <c r="K29" s="113"/>
      <c r="L29" s="158"/>
      <c r="M29" s="166" t="s">
        <v>89</v>
      </c>
      <c r="N29" s="113"/>
      <c r="O29" s="113"/>
      <c r="P29" s="113"/>
      <c r="Q29" s="113"/>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113"/>
      <c r="CB29" s="113"/>
      <c r="CC29" s="113"/>
      <c r="CD29" s="113"/>
      <c r="CE29" s="113"/>
      <c r="CF29" s="113"/>
      <c r="CG29" s="113"/>
      <c r="CH29" s="113"/>
      <c r="CI29" s="113"/>
      <c r="CJ29" s="113"/>
      <c r="CK29" s="113"/>
      <c r="CL29" s="113"/>
      <c r="CM29" s="113"/>
      <c r="CN29" s="113"/>
      <c r="CO29" s="113"/>
      <c r="CP29" s="113"/>
      <c r="CQ29" s="113"/>
      <c r="CR29" s="113"/>
      <c r="CS29" s="113"/>
      <c r="CT29" s="113"/>
      <c r="CU29" s="113"/>
    </row>
    <row r="30">
      <c r="A30" s="159" t="str">
        <f>IFERROR(__xludf.DUMMYFUNCTION("""COMPUTED_VALUE"""),"A-6")</f>
        <v>A-6</v>
      </c>
      <c r="B30" s="113" t="str">
        <f>IFERROR(__xludf.DUMMYFUNCTION("""COMPUTED_VALUE"""),"Wenwu")</f>
        <v>Wenwu</v>
      </c>
      <c r="C30" s="113" t="str">
        <f>IFERROR(__xludf.DUMMYFUNCTION("""COMPUTED_VALUE"""),"Xu")</f>
        <v>Xu</v>
      </c>
      <c r="D30" s="158">
        <f>IFERROR(__xludf.DUMMYFUNCTION("""COMPUTED_VALUE"""),1025.0)</f>
        <v>1025</v>
      </c>
      <c r="E30" s="161">
        <f t="shared" si="1"/>
        <v>6</v>
      </c>
      <c r="F30" s="160">
        <f>COUNTIFS('Scores Import DO NOT EDIT'!C:C, D30,'Scores Import DO NOT EDIT'!M:M,A30)</f>
        <v>6</v>
      </c>
      <c r="G30" s="162">
        <f t="shared" si="2"/>
        <v>1</v>
      </c>
      <c r="H30" s="163" t="str">
        <f t="shared" si="3"/>
        <v>A-61025</v>
      </c>
      <c r="I30" s="168" t="s">
        <v>633</v>
      </c>
      <c r="J30" s="115">
        <f>COUNTIF('Master Table'!F:F,I30)</f>
        <v>6</v>
      </c>
      <c r="K30" s="113"/>
      <c r="L30" s="158"/>
      <c r="M30" s="166" t="s">
        <v>90</v>
      </c>
      <c r="N30" s="113"/>
      <c r="O30" s="113"/>
      <c r="P30" s="113"/>
      <c r="Q30" s="113"/>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113"/>
      <c r="CB30" s="113"/>
      <c r="CC30" s="113"/>
      <c r="CD30" s="113"/>
      <c r="CE30" s="113"/>
      <c r="CF30" s="113"/>
      <c r="CG30" s="113"/>
      <c r="CH30" s="113"/>
      <c r="CI30" s="113"/>
      <c r="CJ30" s="113"/>
      <c r="CK30" s="113"/>
      <c r="CL30" s="113"/>
      <c r="CM30" s="113"/>
      <c r="CN30" s="113"/>
      <c r="CO30" s="113"/>
      <c r="CP30" s="113"/>
      <c r="CQ30" s="113"/>
      <c r="CR30" s="113"/>
      <c r="CS30" s="113"/>
      <c r="CT30" s="113"/>
      <c r="CU30" s="113"/>
    </row>
    <row r="31">
      <c r="A31" s="159" t="str">
        <f>IFERROR(__xludf.DUMMYFUNCTION("""COMPUTED_VALUE"""),"A-6")</f>
        <v>A-6</v>
      </c>
      <c r="B31" s="113" t="str">
        <f>IFERROR(__xludf.DUMMYFUNCTION("""COMPUTED_VALUE"""),"Robert")</f>
        <v>Robert</v>
      </c>
      <c r="C31" s="113" t="str">
        <f>IFERROR(__xludf.DUMMYFUNCTION("""COMPUTED_VALUE"""),"Welch")</f>
        <v>Welch</v>
      </c>
      <c r="D31" s="158">
        <f>IFERROR(__xludf.DUMMYFUNCTION("""COMPUTED_VALUE"""),1229.0)</f>
        <v>1229</v>
      </c>
      <c r="E31" s="161">
        <f t="shared" si="1"/>
        <v>6</v>
      </c>
      <c r="F31" s="160">
        <f>COUNTIFS('Scores Import DO NOT EDIT'!C:C, D31,'Scores Import DO NOT EDIT'!M:M,A31)</f>
        <v>1</v>
      </c>
      <c r="G31" s="162">
        <f t="shared" si="2"/>
        <v>0.1666666667</v>
      </c>
      <c r="H31" s="163" t="str">
        <f t="shared" si="3"/>
        <v>A-61229</v>
      </c>
      <c r="I31" s="168" t="s">
        <v>634</v>
      </c>
      <c r="J31" s="115">
        <f>COUNTIF('Master Table'!F:F,I31)</f>
        <v>6</v>
      </c>
      <c r="K31" s="113"/>
      <c r="L31" s="158"/>
      <c r="M31" s="166" t="s">
        <v>99</v>
      </c>
      <c r="N31" s="113"/>
      <c r="O31" s="113"/>
      <c r="P31" s="113"/>
      <c r="Q31" s="113"/>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113"/>
      <c r="CB31" s="113"/>
      <c r="CC31" s="113"/>
      <c r="CD31" s="113"/>
      <c r="CE31" s="113"/>
      <c r="CF31" s="113"/>
      <c r="CG31" s="113"/>
      <c r="CH31" s="113"/>
      <c r="CI31" s="113"/>
      <c r="CJ31" s="113"/>
      <c r="CK31" s="113"/>
      <c r="CL31" s="113"/>
      <c r="CM31" s="113"/>
      <c r="CN31" s="113"/>
      <c r="CO31" s="113"/>
      <c r="CP31" s="113"/>
      <c r="CQ31" s="113"/>
      <c r="CR31" s="113"/>
      <c r="CS31" s="113"/>
      <c r="CT31" s="113"/>
      <c r="CU31" s="113"/>
    </row>
    <row r="32">
      <c r="A32" s="159" t="str">
        <f>IFERROR(__xludf.DUMMYFUNCTION("""COMPUTED_VALUE"""),"A-6")</f>
        <v>A-6</v>
      </c>
      <c r="B32" s="113" t="str">
        <f>IFERROR(__xludf.DUMMYFUNCTION("""COMPUTED_VALUE"""),"Joseph")</f>
        <v>Joseph</v>
      </c>
      <c r="C32" s="113" t="str">
        <f>IFERROR(__xludf.DUMMYFUNCTION("""COMPUTED_VALUE"""),"Saad")</f>
        <v>Saad</v>
      </c>
      <c r="D32" s="158">
        <f>IFERROR(__xludf.DUMMYFUNCTION("""COMPUTED_VALUE"""),1171.0)</f>
        <v>1171</v>
      </c>
      <c r="E32" s="161">
        <f t="shared" si="1"/>
        <v>6</v>
      </c>
      <c r="F32" s="160">
        <f>COUNTIFS('Scores Import DO NOT EDIT'!C:C, D32,'Scores Import DO NOT EDIT'!M:M,A32)</f>
        <v>0</v>
      </c>
      <c r="G32" s="162">
        <f t="shared" si="2"/>
        <v>0</v>
      </c>
      <c r="H32" s="163" t="str">
        <f t="shared" si="3"/>
        <v>A-61171</v>
      </c>
      <c r="I32" s="167" t="s">
        <v>635</v>
      </c>
      <c r="J32" s="115">
        <f>COUNTIF('Master Table'!F:F,I32)</f>
        <v>6</v>
      </c>
      <c r="K32" s="113"/>
      <c r="L32" s="158"/>
      <c r="M32" s="166" t="s">
        <v>96</v>
      </c>
      <c r="N32" s="113"/>
      <c r="O32" s="113"/>
      <c r="P32" s="113"/>
      <c r="Q32" s="113"/>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113"/>
      <c r="CB32" s="113"/>
      <c r="CC32" s="113"/>
      <c r="CD32" s="113"/>
      <c r="CE32" s="113"/>
      <c r="CF32" s="113"/>
      <c r="CG32" s="113"/>
      <c r="CH32" s="113"/>
      <c r="CI32" s="113"/>
      <c r="CJ32" s="113"/>
      <c r="CK32" s="113"/>
      <c r="CL32" s="113"/>
      <c r="CM32" s="113"/>
      <c r="CN32" s="113"/>
      <c r="CO32" s="113"/>
      <c r="CP32" s="113"/>
      <c r="CQ32" s="113"/>
      <c r="CR32" s="113"/>
      <c r="CS32" s="113"/>
      <c r="CT32" s="113"/>
      <c r="CU32" s="113"/>
    </row>
    <row r="33">
      <c r="A33" s="159" t="str">
        <f>IFERROR(__xludf.DUMMYFUNCTION("""COMPUTED_VALUE"""),"A-7")</f>
        <v>A-7</v>
      </c>
      <c r="B33" s="113" t="str">
        <f>IFERROR(__xludf.DUMMYFUNCTION("""COMPUTED_VALUE"""),"Natalie")</f>
        <v>Natalie</v>
      </c>
      <c r="C33" s="113" t="str">
        <f>IFERROR(__xludf.DUMMYFUNCTION("""COMPUTED_VALUE"""),"Gude")</f>
        <v>Gude</v>
      </c>
      <c r="D33" s="158">
        <f>IFERROR(__xludf.DUMMYFUNCTION("""COMPUTED_VALUE"""),1010.0)</f>
        <v>1010</v>
      </c>
      <c r="E33" s="161">
        <f t="shared" si="1"/>
        <v>6</v>
      </c>
      <c r="F33" s="160">
        <f>COUNTIFS('Scores Import DO NOT EDIT'!C:C, D33,'Scores Import DO NOT EDIT'!M:M,A33)</f>
        <v>6</v>
      </c>
      <c r="G33" s="162">
        <f t="shared" si="2"/>
        <v>1</v>
      </c>
      <c r="H33" s="163" t="str">
        <f t="shared" si="3"/>
        <v>A-71010</v>
      </c>
      <c r="I33" s="168" t="s">
        <v>636</v>
      </c>
      <c r="J33" s="115">
        <f>COUNTIF('Master Table'!F:F,I33)</f>
        <v>6</v>
      </c>
      <c r="K33" s="113"/>
      <c r="L33" s="158"/>
      <c r="M33" s="166" t="s">
        <v>100</v>
      </c>
      <c r="N33" s="113"/>
      <c r="O33" s="113"/>
      <c r="P33" s="113"/>
      <c r="Q33" s="113"/>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113"/>
      <c r="CB33" s="113"/>
      <c r="CC33" s="113"/>
      <c r="CD33" s="113"/>
      <c r="CE33" s="113"/>
      <c r="CF33" s="113"/>
      <c r="CG33" s="113"/>
      <c r="CH33" s="113"/>
      <c r="CI33" s="113"/>
      <c r="CJ33" s="113"/>
      <c r="CK33" s="113"/>
      <c r="CL33" s="113"/>
      <c r="CM33" s="113"/>
      <c r="CN33" s="113"/>
      <c r="CO33" s="113"/>
      <c r="CP33" s="113"/>
      <c r="CQ33" s="113"/>
      <c r="CR33" s="113"/>
      <c r="CS33" s="113"/>
      <c r="CT33" s="113"/>
      <c r="CU33" s="113"/>
    </row>
    <row r="34">
      <c r="A34" s="159" t="str">
        <f>IFERROR(__xludf.DUMMYFUNCTION("""COMPUTED_VALUE"""),"A-7")</f>
        <v>A-7</v>
      </c>
      <c r="B34" s="113" t="str">
        <f>IFERROR(__xludf.DUMMYFUNCTION("""COMPUTED_VALUE"""),"Chuck")</f>
        <v>Chuck</v>
      </c>
      <c r="C34" s="113" t="str">
        <f>IFERROR(__xludf.DUMMYFUNCTION("""COMPUTED_VALUE"""),"Dintrone")</f>
        <v>Dintrone</v>
      </c>
      <c r="D34" s="158">
        <f>IFERROR(__xludf.DUMMYFUNCTION("""COMPUTED_VALUE"""),1007.0)</f>
        <v>1007</v>
      </c>
      <c r="E34" s="161">
        <f t="shared" si="1"/>
        <v>6</v>
      </c>
      <c r="F34" s="160">
        <f>COUNTIFS('Scores Import DO NOT EDIT'!C:C, D34,'Scores Import DO NOT EDIT'!M:M,A34)</f>
        <v>6</v>
      </c>
      <c r="G34" s="162">
        <f t="shared" si="2"/>
        <v>1</v>
      </c>
      <c r="H34" s="163" t="str">
        <f t="shared" si="3"/>
        <v>A-71007</v>
      </c>
      <c r="I34" s="167" t="s">
        <v>637</v>
      </c>
      <c r="J34" s="115">
        <f>COUNTIF('Master Table'!F:F,I34)</f>
        <v>5</v>
      </c>
      <c r="K34" s="113"/>
      <c r="L34" s="158"/>
      <c r="M34" s="166" t="s">
        <v>102</v>
      </c>
      <c r="N34" s="113"/>
      <c r="O34" s="113"/>
      <c r="P34" s="113"/>
      <c r="Q34" s="113"/>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113"/>
      <c r="CB34" s="113"/>
      <c r="CC34" s="113"/>
      <c r="CD34" s="113"/>
      <c r="CE34" s="113"/>
      <c r="CF34" s="113"/>
      <c r="CG34" s="113"/>
      <c r="CH34" s="113"/>
      <c r="CI34" s="113"/>
      <c r="CJ34" s="113"/>
      <c r="CK34" s="113"/>
      <c r="CL34" s="113"/>
      <c r="CM34" s="113"/>
      <c r="CN34" s="113"/>
      <c r="CO34" s="113"/>
      <c r="CP34" s="113"/>
      <c r="CQ34" s="113"/>
      <c r="CR34" s="113"/>
      <c r="CS34" s="113"/>
      <c r="CT34" s="113"/>
      <c r="CU34" s="113"/>
    </row>
    <row r="35">
      <c r="A35" s="159" t="str">
        <f>IFERROR(__xludf.DUMMYFUNCTION("""COMPUTED_VALUE"""),"A-7")</f>
        <v>A-7</v>
      </c>
      <c r="B35" s="113" t="str">
        <f>IFERROR(__xludf.DUMMYFUNCTION("""COMPUTED_VALUE"""),"Eric")</f>
        <v>Eric</v>
      </c>
      <c r="C35" s="113" t="str">
        <f>IFERROR(__xludf.DUMMYFUNCTION("""COMPUTED_VALUE"""),"Smigel")</f>
        <v>Smigel</v>
      </c>
      <c r="D35" s="158">
        <f>IFERROR(__xludf.DUMMYFUNCTION("""COMPUTED_VALUE"""),1026.0)</f>
        <v>1026</v>
      </c>
      <c r="E35" s="161">
        <f t="shared" si="1"/>
        <v>6</v>
      </c>
      <c r="F35" s="160">
        <f>COUNTIFS('Scores Import DO NOT EDIT'!C:C, D35,'Scores Import DO NOT EDIT'!M:M,A35)</f>
        <v>6</v>
      </c>
      <c r="G35" s="162">
        <f t="shared" si="2"/>
        <v>1</v>
      </c>
      <c r="H35" s="163" t="str">
        <f t="shared" si="3"/>
        <v>A-71026</v>
      </c>
      <c r="I35" s="168" t="s">
        <v>638</v>
      </c>
      <c r="J35" s="115">
        <f>COUNTIF('Master Table'!F:F,I35)</f>
        <v>6</v>
      </c>
      <c r="K35" s="113"/>
      <c r="L35" s="158"/>
      <c r="M35" s="166" t="s">
        <v>97</v>
      </c>
      <c r="N35" s="113"/>
      <c r="O35" s="113"/>
      <c r="P35" s="113"/>
      <c r="Q35" s="113"/>
      <c r="R35" s="113"/>
      <c r="S35" s="113"/>
      <c r="T35" s="113"/>
      <c r="U35" s="113"/>
      <c r="V35" s="113"/>
      <c r="W35" s="113"/>
      <c r="X35" s="113"/>
      <c r="Y35" s="113"/>
      <c r="Z35" s="113"/>
      <c r="AA35" s="113"/>
      <c r="AB35" s="113"/>
      <c r="AC35" s="113"/>
      <c r="AD35" s="113"/>
      <c r="AE35" s="113"/>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113"/>
      <c r="CB35" s="113"/>
      <c r="CC35" s="113"/>
      <c r="CD35" s="113"/>
      <c r="CE35" s="113"/>
      <c r="CF35" s="113"/>
      <c r="CG35" s="113"/>
      <c r="CH35" s="113"/>
      <c r="CI35" s="113"/>
      <c r="CJ35" s="113"/>
      <c r="CK35" s="113"/>
      <c r="CL35" s="113"/>
      <c r="CM35" s="113"/>
      <c r="CN35" s="113"/>
      <c r="CO35" s="113"/>
      <c r="CP35" s="113"/>
      <c r="CQ35" s="113"/>
      <c r="CR35" s="113"/>
      <c r="CS35" s="113"/>
      <c r="CT35" s="113"/>
      <c r="CU35" s="113"/>
    </row>
    <row r="36">
      <c r="A36" s="159" t="str">
        <f>IFERROR(__xludf.DUMMYFUNCTION("""COMPUTED_VALUE"""),"A-7")</f>
        <v>A-7</v>
      </c>
      <c r="B36" s="113" t="str">
        <f>IFERROR(__xludf.DUMMYFUNCTION("""COMPUTED_VALUE"""),"Bill")</f>
        <v>Bill</v>
      </c>
      <c r="C36" s="113" t="str">
        <f>IFERROR(__xludf.DUMMYFUNCTION("""COMPUTED_VALUE"""),"Aaron")</f>
        <v>Aaron</v>
      </c>
      <c r="D36" s="158">
        <f>IFERROR(__xludf.DUMMYFUNCTION("""COMPUTED_VALUE"""),1060.0)</f>
        <v>1060</v>
      </c>
      <c r="E36" s="161">
        <f t="shared" si="1"/>
        <v>6</v>
      </c>
      <c r="F36" s="160">
        <f>COUNTIFS('Scores Import DO NOT EDIT'!C:C, D36,'Scores Import DO NOT EDIT'!M:M,A36)</f>
        <v>6</v>
      </c>
      <c r="G36" s="162">
        <f t="shared" si="2"/>
        <v>1</v>
      </c>
      <c r="H36" s="163" t="str">
        <f t="shared" si="3"/>
        <v>A-71060</v>
      </c>
      <c r="I36" s="167" t="s">
        <v>639</v>
      </c>
      <c r="J36" s="115">
        <f>COUNTIF('Master Table'!F:F,I36)</f>
        <v>6</v>
      </c>
      <c r="K36" s="113"/>
      <c r="L36" s="158"/>
      <c r="M36" s="166" t="s">
        <v>94</v>
      </c>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113"/>
      <c r="CB36" s="113"/>
      <c r="CC36" s="113"/>
      <c r="CD36" s="113"/>
      <c r="CE36" s="113"/>
      <c r="CF36" s="113"/>
      <c r="CG36" s="113"/>
      <c r="CH36" s="113"/>
      <c r="CI36" s="113"/>
      <c r="CJ36" s="113"/>
      <c r="CK36" s="113"/>
      <c r="CL36" s="113"/>
      <c r="CM36" s="113"/>
      <c r="CN36" s="113"/>
      <c r="CO36" s="113"/>
      <c r="CP36" s="113"/>
      <c r="CQ36" s="113"/>
      <c r="CR36" s="113"/>
      <c r="CS36" s="113"/>
      <c r="CT36" s="113"/>
      <c r="CU36" s="113"/>
    </row>
    <row r="37">
      <c r="A37" s="159" t="str">
        <f>IFERROR(__xludf.DUMMYFUNCTION("""COMPUTED_VALUE"""),"A-7")</f>
        <v>A-7</v>
      </c>
      <c r="B37" s="113" t="str">
        <f>IFERROR(__xludf.DUMMYFUNCTION("""COMPUTED_VALUE"""),"Roy")</f>
        <v>Roy</v>
      </c>
      <c r="C37" s="113" t="str">
        <f>IFERROR(__xludf.DUMMYFUNCTION("""COMPUTED_VALUE"""),"Whitaker")</f>
        <v>Whitaker</v>
      </c>
      <c r="D37" s="158">
        <f>IFERROR(__xludf.DUMMYFUNCTION("""COMPUTED_VALUE"""),1052.0)</f>
        <v>1052</v>
      </c>
      <c r="E37" s="161">
        <f t="shared" si="1"/>
        <v>6</v>
      </c>
      <c r="F37" s="160">
        <f>COUNTIFS('Scores Import DO NOT EDIT'!C:C, D37,'Scores Import DO NOT EDIT'!M:M,A37)</f>
        <v>6</v>
      </c>
      <c r="G37" s="162">
        <f t="shared" si="2"/>
        <v>1</v>
      </c>
      <c r="H37" s="163" t="str">
        <f t="shared" si="3"/>
        <v>A-71052</v>
      </c>
      <c r="I37" s="168" t="s">
        <v>640</v>
      </c>
      <c r="J37" s="115">
        <f>COUNTIF('Master Table'!F:F,I37)</f>
        <v>4</v>
      </c>
      <c r="K37" s="113"/>
      <c r="L37" s="158"/>
      <c r="M37" s="166" t="s">
        <v>106</v>
      </c>
      <c r="N37" s="113"/>
      <c r="O37" s="113"/>
      <c r="P37" s="113"/>
      <c r="Q37" s="113"/>
      <c r="R37" s="113"/>
      <c r="S37" s="113"/>
      <c r="T37" s="113"/>
      <c r="U37" s="113"/>
      <c r="V37" s="113"/>
      <c r="W37" s="113"/>
      <c r="X37" s="113"/>
      <c r="Y37" s="113"/>
      <c r="Z37" s="113"/>
      <c r="AA37" s="113"/>
      <c r="AB37" s="113"/>
      <c r="AC37" s="113"/>
      <c r="AD37" s="113"/>
      <c r="AE37" s="113"/>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113"/>
      <c r="CB37" s="113"/>
      <c r="CC37" s="113"/>
      <c r="CD37" s="113"/>
      <c r="CE37" s="113"/>
      <c r="CF37" s="113"/>
      <c r="CG37" s="113"/>
      <c r="CH37" s="113"/>
      <c r="CI37" s="113"/>
      <c r="CJ37" s="113"/>
      <c r="CK37" s="113"/>
      <c r="CL37" s="113"/>
      <c r="CM37" s="113"/>
      <c r="CN37" s="113"/>
      <c r="CO37" s="113"/>
      <c r="CP37" s="113"/>
      <c r="CQ37" s="113"/>
      <c r="CR37" s="113"/>
      <c r="CS37" s="113"/>
      <c r="CT37" s="113"/>
      <c r="CU37" s="113"/>
    </row>
    <row r="38">
      <c r="A38" s="159" t="str">
        <f>IFERROR(__xludf.DUMMYFUNCTION("""COMPUTED_VALUE"""),"A-8")</f>
        <v>A-8</v>
      </c>
      <c r="B38" s="113" t="str">
        <f>IFERROR(__xludf.DUMMYFUNCTION("""COMPUTED_VALUE"""),"Young-Shin")</f>
        <v>Young-Shin</v>
      </c>
      <c r="C38" s="113" t="str">
        <f>IFERROR(__xludf.DUMMYFUNCTION("""COMPUTED_VALUE"""),"Lee")</f>
        <v>Lee</v>
      </c>
      <c r="D38" s="158">
        <f>IFERROR(__xludf.DUMMYFUNCTION("""COMPUTED_VALUE"""),1116.0)</f>
        <v>1116</v>
      </c>
      <c r="E38" s="161">
        <f t="shared" si="1"/>
        <v>6</v>
      </c>
      <c r="F38" s="160">
        <f>COUNTIFS('Scores Import DO NOT EDIT'!C:C, D38,'Scores Import DO NOT EDIT'!M:M,A38)</f>
        <v>5</v>
      </c>
      <c r="G38" s="162">
        <f t="shared" si="2"/>
        <v>0.8333333333</v>
      </c>
      <c r="H38" s="163" t="str">
        <f t="shared" si="3"/>
        <v>A-81116</v>
      </c>
      <c r="I38" s="167" t="s">
        <v>641</v>
      </c>
      <c r="J38" s="115">
        <f>COUNTIF('Master Table'!F:F,I38)</f>
        <v>5</v>
      </c>
      <c r="K38" s="113"/>
      <c r="L38" s="158"/>
      <c r="M38" s="166" t="s">
        <v>107</v>
      </c>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113"/>
      <c r="CB38" s="113"/>
      <c r="CC38" s="113"/>
      <c r="CD38" s="113"/>
      <c r="CE38" s="113"/>
      <c r="CF38" s="113"/>
      <c r="CG38" s="113"/>
      <c r="CH38" s="113"/>
      <c r="CI38" s="113"/>
      <c r="CJ38" s="113"/>
      <c r="CK38" s="113"/>
      <c r="CL38" s="113"/>
      <c r="CM38" s="113"/>
      <c r="CN38" s="113"/>
      <c r="CO38" s="113"/>
      <c r="CP38" s="113"/>
      <c r="CQ38" s="113"/>
      <c r="CR38" s="113"/>
      <c r="CS38" s="113"/>
      <c r="CT38" s="113"/>
      <c r="CU38" s="113"/>
    </row>
    <row r="39">
      <c r="A39" s="159" t="str">
        <f>IFERROR(__xludf.DUMMYFUNCTION("""COMPUTED_VALUE"""),"A-8")</f>
        <v>A-8</v>
      </c>
      <c r="B39" s="113" t="str">
        <f>IFERROR(__xludf.DUMMYFUNCTION("""COMPUTED_VALUE"""),"Surabhi")</f>
        <v>Surabhi</v>
      </c>
      <c r="C39" s="113" t="str">
        <f>IFERROR(__xludf.DUMMYFUNCTION("""COMPUTED_VALUE"""),"Bhutani")</f>
        <v>Bhutani</v>
      </c>
      <c r="D39" s="158">
        <f>IFERROR(__xludf.DUMMYFUNCTION("""COMPUTED_VALUE"""),1113.0)</f>
        <v>1113</v>
      </c>
      <c r="E39" s="161">
        <f t="shared" si="1"/>
        <v>6</v>
      </c>
      <c r="F39" s="160">
        <f>COUNTIFS('Scores Import DO NOT EDIT'!C:C, D39,'Scores Import DO NOT EDIT'!M:M,A39)</f>
        <v>6</v>
      </c>
      <c r="G39" s="162">
        <f t="shared" si="2"/>
        <v>1</v>
      </c>
      <c r="H39" s="163" t="str">
        <f t="shared" si="3"/>
        <v>A-81113</v>
      </c>
      <c r="I39" s="168" t="s">
        <v>642</v>
      </c>
      <c r="J39" s="115">
        <f>COUNTIF('Master Table'!F:F,I39)</f>
        <v>6</v>
      </c>
      <c r="K39" s="113"/>
      <c r="L39" s="158"/>
      <c r="M39" s="166" t="s">
        <v>104</v>
      </c>
      <c r="N39" s="113"/>
      <c r="O39" s="113"/>
      <c r="P39" s="113"/>
      <c r="Q39" s="113"/>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113"/>
      <c r="CB39" s="113"/>
      <c r="CC39" s="113"/>
      <c r="CD39" s="113"/>
      <c r="CE39" s="113"/>
      <c r="CF39" s="113"/>
      <c r="CG39" s="113"/>
      <c r="CH39" s="113"/>
      <c r="CI39" s="113"/>
      <c r="CJ39" s="113"/>
      <c r="CK39" s="113"/>
      <c r="CL39" s="113"/>
      <c r="CM39" s="113"/>
      <c r="CN39" s="113"/>
      <c r="CO39" s="113"/>
      <c r="CP39" s="113"/>
      <c r="CQ39" s="113"/>
      <c r="CR39" s="113"/>
      <c r="CS39" s="113"/>
      <c r="CT39" s="113"/>
      <c r="CU39" s="113"/>
    </row>
    <row r="40">
      <c r="A40" s="159" t="str">
        <f>IFERROR(__xludf.DUMMYFUNCTION("""COMPUTED_VALUE"""),"A-8")</f>
        <v>A-8</v>
      </c>
      <c r="B40" s="113" t="str">
        <f>IFERROR(__xludf.DUMMYFUNCTION("""COMPUTED_VALUE"""),"Miguel Angel Zavala")</f>
        <v>Miguel Angel Zavala</v>
      </c>
      <c r="C40" s="113" t="str">
        <f>IFERROR(__xludf.DUMMYFUNCTION("""COMPUTED_VALUE"""),"Perez")</f>
        <v>Perez</v>
      </c>
      <c r="D40" s="158">
        <f>IFERROR(__xludf.DUMMYFUNCTION("""COMPUTED_VALUE"""),1030.0)</f>
        <v>1030</v>
      </c>
      <c r="E40" s="161">
        <f t="shared" si="1"/>
        <v>6</v>
      </c>
      <c r="F40" s="160">
        <f>COUNTIFS('Scores Import DO NOT EDIT'!C:C, D40,'Scores Import DO NOT EDIT'!M:M,A40)</f>
        <v>6</v>
      </c>
      <c r="G40" s="162">
        <f t="shared" si="2"/>
        <v>1</v>
      </c>
      <c r="H40" s="163" t="str">
        <f t="shared" si="3"/>
        <v>A-81030</v>
      </c>
      <c r="I40" s="168" t="s">
        <v>643</v>
      </c>
      <c r="J40" s="115">
        <f>COUNTIF('Master Table'!F:F,I40)</f>
        <v>4</v>
      </c>
      <c r="K40" s="113"/>
      <c r="L40" s="158"/>
      <c r="M40" s="166"/>
      <c r="N40" s="113"/>
      <c r="O40" s="113"/>
      <c r="P40" s="113"/>
      <c r="Q40" s="113"/>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113"/>
      <c r="CB40" s="113"/>
      <c r="CC40" s="113"/>
      <c r="CD40" s="113"/>
      <c r="CE40" s="113"/>
      <c r="CF40" s="113"/>
      <c r="CG40" s="113"/>
      <c r="CH40" s="113"/>
      <c r="CI40" s="113"/>
      <c r="CJ40" s="113"/>
      <c r="CK40" s="113"/>
      <c r="CL40" s="113"/>
      <c r="CM40" s="113"/>
      <c r="CN40" s="113"/>
      <c r="CO40" s="113"/>
      <c r="CP40" s="113"/>
      <c r="CQ40" s="113"/>
      <c r="CR40" s="113"/>
      <c r="CS40" s="113"/>
      <c r="CT40" s="113"/>
      <c r="CU40" s="113"/>
    </row>
    <row r="41">
      <c r="A41" s="159" t="str">
        <f>IFERROR(__xludf.DUMMYFUNCTION("""COMPUTED_VALUE"""),"A-8")</f>
        <v>A-8</v>
      </c>
      <c r="B41" s="113" t="str">
        <f>IFERROR(__xludf.DUMMYFUNCTION("""COMPUTED_VALUE"""),"Teresa")</f>
        <v>Teresa</v>
      </c>
      <c r="C41" s="113" t="str">
        <f>IFERROR(__xludf.DUMMYFUNCTION("""COMPUTED_VALUE"""),"Girolamo")</f>
        <v>Girolamo</v>
      </c>
      <c r="D41" s="158">
        <f>IFERROR(__xludf.DUMMYFUNCTION("""COMPUTED_VALUE"""),1011.0)</f>
        <v>1011</v>
      </c>
      <c r="E41" s="161">
        <f t="shared" si="1"/>
        <v>6</v>
      </c>
      <c r="F41" s="160">
        <f>COUNTIFS('Scores Import DO NOT EDIT'!C:C, D41,'Scores Import DO NOT EDIT'!M:M,A41)</f>
        <v>6</v>
      </c>
      <c r="G41" s="162">
        <f t="shared" si="2"/>
        <v>1</v>
      </c>
      <c r="H41" s="163" t="str">
        <f t="shared" si="3"/>
        <v>A-81011</v>
      </c>
      <c r="I41" s="169" t="s">
        <v>644</v>
      </c>
      <c r="J41" s="115">
        <f>COUNTIF('Master Table'!F:F,I41)</f>
        <v>4</v>
      </c>
      <c r="K41" s="113"/>
      <c r="L41" s="158"/>
      <c r="M41" s="166" t="s">
        <v>103</v>
      </c>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113"/>
      <c r="CB41" s="113"/>
      <c r="CC41" s="113"/>
      <c r="CD41" s="113"/>
      <c r="CE41" s="113"/>
      <c r="CF41" s="113"/>
      <c r="CG41" s="113"/>
      <c r="CH41" s="113"/>
      <c r="CI41" s="113"/>
      <c r="CJ41" s="113"/>
      <c r="CK41" s="113"/>
      <c r="CL41" s="113"/>
      <c r="CM41" s="113"/>
      <c r="CN41" s="113"/>
      <c r="CO41" s="113"/>
      <c r="CP41" s="113"/>
      <c r="CQ41" s="113"/>
      <c r="CR41" s="113"/>
      <c r="CS41" s="113"/>
      <c r="CT41" s="113"/>
      <c r="CU41" s="113"/>
    </row>
    <row r="42">
      <c r="A42" s="159" t="str">
        <f>IFERROR(__xludf.DUMMYFUNCTION("""COMPUTED_VALUE"""),"A-8")</f>
        <v>A-8</v>
      </c>
      <c r="B42" s="113" t="str">
        <f>IFERROR(__xludf.DUMMYFUNCTION("""COMPUTED_VALUE"""),"Eyal")</f>
        <v>Eyal</v>
      </c>
      <c r="C42" s="113" t="str">
        <f>IFERROR(__xludf.DUMMYFUNCTION("""COMPUTED_VALUE"""),"Oren")</f>
        <v>Oren</v>
      </c>
      <c r="D42" s="158">
        <f>IFERROR(__xludf.DUMMYFUNCTION("""COMPUTED_VALUE"""),1057.0)</f>
        <v>1057</v>
      </c>
      <c r="E42" s="161">
        <f t="shared" si="1"/>
        <v>6</v>
      </c>
      <c r="F42" s="160">
        <f>COUNTIFS('Scores Import DO NOT EDIT'!C:C, D42,'Scores Import DO NOT EDIT'!M:M,A42)</f>
        <v>6</v>
      </c>
      <c r="G42" s="162">
        <f t="shared" si="2"/>
        <v>1</v>
      </c>
      <c r="H42" s="163" t="str">
        <f t="shared" si="3"/>
        <v>A-81057</v>
      </c>
      <c r="I42" s="170" t="s">
        <v>645</v>
      </c>
      <c r="J42" s="115">
        <f>COUNTIF('Master Table'!F:F,I42)</f>
        <v>7</v>
      </c>
      <c r="K42" s="113"/>
      <c r="L42" s="158"/>
      <c r="M42" s="166" t="s">
        <v>108</v>
      </c>
      <c r="N42" s="113"/>
      <c r="O42" s="113"/>
      <c r="P42" s="113"/>
      <c r="Q42" s="113"/>
      <c r="R42" s="113"/>
      <c r="S42" s="113"/>
      <c r="T42" s="113"/>
      <c r="U42" s="113"/>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113"/>
      <c r="CB42" s="113"/>
      <c r="CC42" s="113"/>
      <c r="CD42" s="113"/>
      <c r="CE42" s="113"/>
      <c r="CF42" s="113"/>
      <c r="CG42" s="113"/>
      <c r="CH42" s="113"/>
      <c r="CI42" s="113"/>
      <c r="CJ42" s="113"/>
      <c r="CK42" s="113"/>
      <c r="CL42" s="113"/>
      <c r="CM42" s="113"/>
      <c r="CN42" s="113"/>
      <c r="CO42" s="113"/>
      <c r="CP42" s="113"/>
      <c r="CQ42" s="113"/>
      <c r="CR42" s="113"/>
      <c r="CS42" s="113"/>
      <c r="CT42" s="113"/>
      <c r="CU42" s="113"/>
    </row>
    <row r="43">
      <c r="A43" s="159" t="str">
        <f>IFERROR(__xludf.DUMMYFUNCTION("""COMPUTED_VALUE"""),"A-9")</f>
        <v>A-9</v>
      </c>
      <c r="B43" s="113" t="str">
        <f>IFERROR(__xludf.DUMMYFUNCTION("""COMPUTED_VALUE"""),"Robert S.")</f>
        <v>Robert S.</v>
      </c>
      <c r="C43" s="113" t="str">
        <f>IFERROR(__xludf.DUMMYFUNCTION("""COMPUTED_VALUE"""),"Showghi")</f>
        <v>Showghi</v>
      </c>
      <c r="D43" s="158">
        <f>IFERROR(__xludf.DUMMYFUNCTION("""COMPUTED_VALUE"""),1218.0)</f>
        <v>1218</v>
      </c>
      <c r="E43" s="161">
        <f t="shared" si="1"/>
        <v>6</v>
      </c>
      <c r="F43" s="160">
        <f>COUNTIFS('Scores Import DO NOT EDIT'!C:C, D43,'Scores Import DO NOT EDIT'!M:M,A43)</f>
        <v>0</v>
      </c>
      <c r="G43" s="162">
        <f t="shared" si="2"/>
        <v>0</v>
      </c>
      <c r="H43" s="163" t="str">
        <f t="shared" si="3"/>
        <v>A-91218</v>
      </c>
      <c r="I43" s="170" t="s">
        <v>646</v>
      </c>
      <c r="J43" s="115">
        <f>COUNTIF('Master Table'!F:F,I43)</f>
        <v>7</v>
      </c>
      <c r="K43" s="113"/>
      <c r="L43" s="158"/>
      <c r="M43" s="166" t="s">
        <v>114</v>
      </c>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113"/>
      <c r="CB43" s="113"/>
      <c r="CC43" s="113"/>
      <c r="CD43" s="113"/>
      <c r="CE43" s="113"/>
      <c r="CF43" s="113"/>
      <c r="CG43" s="113"/>
      <c r="CH43" s="113"/>
      <c r="CI43" s="113"/>
      <c r="CJ43" s="113"/>
      <c r="CK43" s="113"/>
      <c r="CL43" s="113"/>
      <c r="CM43" s="113"/>
      <c r="CN43" s="113"/>
      <c r="CO43" s="113"/>
      <c r="CP43" s="113"/>
      <c r="CQ43" s="113"/>
      <c r="CR43" s="113"/>
      <c r="CS43" s="113"/>
      <c r="CT43" s="113"/>
      <c r="CU43" s="113"/>
    </row>
    <row r="44">
      <c r="A44" s="159" t="str">
        <f>IFERROR(__xludf.DUMMYFUNCTION("""COMPUTED_VALUE"""),"A-9")</f>
        <v>A-9</v>
      </c>
      <c r="B44" s="113" t="str">
        <f>IFERROR(__xludf.DUMMYFUNCTION("""COMPUTED_VALUE"""),"Doug")</f>
        <v>Doug</v>
      </c>
      <c r="C44" s="113" t="str">
        <f>IFERROR(__xludf.DUMMYFUNCTION("""COMPUTED_VALUE"""),"Stow")</f>
        <v>Stow</v>
      </c>
      <c r="D44" s="158">
        <f>IFERROR(__xludf.DUMMYFUNCTION("""COMPUTED_VALUE"""),1130.0)</f>
        <v>1130</v>
      </c>
      <c r="E44" s="161">
        <f t="shared" si="1"/>
        <v>6</v>
      </c>
      <c r="F44" s="160">
        <f>COUNTIFS('Scores Import DO NOT EDIT'!C:C, D44,'Scores Import DO NOT EDIT'!M:M,A44)</f>
        <v>5</v>
      </c>
      <c r="G44" s="162">
        <f t="shared" si="2"/>
        <v>0.8333333333</v>
      </c>
      <c r="H44" s="163" t="str">
        <f t="shared" si="3"/>
        <v>A-91130</v>
      </c>
      <c r="I44" s="170" t="s">
        <v>647</v>
      </c>
      <c r="J44" s="115">
        <f>COUNTIF('Master Table'!F:F,I44)</f>
        <v>7</v>
      </c>
      <c r="K44" s="113"/>
      <c r="L44" s="158"/>
      <c r="M44" s="166" t="s">
        <v>110</v>
      </c>
      <c r="N44" s="113"/>
      <c r="O44" s="113"/>
      <c r="P44" s="113"/>
      <c r="Q44" s="113"/>
      <c r="R44" s="113"/>
      <c r="S44" s="113"/>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113"/>
      <c r="CB44" s="113"/>
      <c r="CC44" s="113"/>
      <c r="CD44" s="113"/>
      <c r="CE44" s="113"/>
      <c r="CF44" s="113"/>
      <c r="CG44" s="113"/>
      <c r="CH44" s="113"/>
      <c r="CI44" s="113"/>
      <c r="CJ44" s="113"/>
      <c r="CK44" s="113"/>
      <c r="CL44" s="113"/>
      <c r="CM44" s="113"/>
      <c r="CN44" s="113"/>
      <c r="CO44" s="113"/>
      <c r="CP44" s="113"/>
      <c r="CQ44" s="113"/>
      <c r="CR44" s="113"/>
      <c r="CS44" s="113"/>
      <c r="CT44" s="113"/>
      <c r="CU44" s="113"/>
    </row>
    <row r="45">
      <c r="A45" s="159" t="str">
        <f>IFERROR(__xludf.DUMMYFUNCTION("""COMPUTED_VALUE"""),"A-9")</f>
        <v>A-9</v>
      </c>
      <c r="B45" s="113" t="str">
        <f>IFERROR(__xludf.DUMMYFUNCTION("""COMPUTED_VALUE"""),"Brian")</f>
        <v>Brian</v>
      </c>
      <c r="C45" s="113" t="str">
        <f>IFERROR(__xludf.DUMMYFUNCTION("""COMPUTED_VALUE"""),"Shubsda")</f>
        <v>Shubsda</v>
      </c>
      <c r="D45" s="158">
        <f>IFERROR(__xludf.DUMMYFUNCTION("""COMPUTED_VALUE"""),1076.0)</f>
        <v>1076</v>
      </c>
      <c r="E45" s="161">
        <f t="shared" si="1"/>
        <v>6</v>
      </c>
      <c r="F45" s="160">
        <f>COUNTIFS('Scores Import DO NOT EDIT'!C:C, D45,'Scores Import DO NOT EDIT'!M:M,A45)</f>
        <v>0</v>
      </c>
      <c r="G45" s="162">
        <f t="shared" si="2"/>
        <v>0</v>
      </c>
      <c r="H45" s="163" t="str">
        <f t="shared" si="3"/>
        <v>A-91076</v>
      </c>
      <c r="I45" s="170" t="s">
        <v>648</v>
      </c>
      <c r="J45" s="115">
        <f>COUNTIF('Master Table'!F:F,I45)</f>
        <v>6</v>
      </c>
      <c r="K45" s="113"/>
      <c r="L45" s="158"/>
      <c r="M45" s="166" t="s">
        <v>113</v>
      </c>
      <c r="N45" s="113"/>
      <c r="O45" s="113"/>
      <c r="P45" s="113"/>
      <c r="Q45" s="113"/>
      <c r="R45" s="113"/>
      <c r="S45" s="113"/>
      <c r="T45" s="113"/>
      <c r="U45" s="113"/>
      <c r="V45" s="113"/>
      <c r="W45" s="113"/>
      <c r="X45" s="113"/>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113"/>
      <c r="CB45" s="113"/>
      <c r="CC45" s="113"/>
      <c r="CD45" s="113"/>
      <c r="CE45" s="113"/>
      <c r="CF45" s="113"/>
      <c r="CG45" s="113"/>
      <c r="CH45" s="113"/>
      <c r="CI45" s="113"/>
      <c r="CJ45" s="113"/>
      <c r="CK45" s="113"/>
      <c r="CL45" s="113"/>
      <c r="CM45" s="113"/>
      <c r="CN45" s="113"/>
      <c r="CO45" s="113"/>
      <c r="CP45" s="113"/>
      <c r="CQ45" s="113"/>
      <c r="CR45" s="113"/>
      <c r="CS45" s="113"/>
      <c r="CT45" s="113"/>
      <c r="CU45" s="113"/>
    </row>
    <row r="46">
      <c r="A46" s="159" t="str">
        <f>IFERROR(__xludf.DUMMYFUNCTION("""COMPUTED_VALUE"""),"A-9")</f>
        <v>A-9</v>
      </c>
      <c r="B46" s="113" t="str">
        <f>IFERROR(__xludf.DUMMYFUNCTION("""COMPUTED_VALUE"""),"Nini")</f>
        <v>Nini</v>
      </c>
      <c r="C46" s="113" t="str">
        <f>IFERROR(__xludf.DUMMYFUNCTION("""COMPUTED_VALUE"""),"Shatirishvili")</f>
        <v>Shatirishvili</v>
      </c>
      <c r="D46" s="158">
        <f>IFERROR(__xludf.DUMMYFUNCTION("""COMPUTED_VALUE"""),1136.0)</f>
        <v>1136</v>
      </c>
      <c r="E46" s="161">
        <f t="shared" si="1"/>
        <v>6</v>
      </c>
      <c r="F46" s="160">
        <f>COUNTIFS('Scores Import DO NOT EDIT'!C:C, D46,'Scores Import DO NOT EDIT'!M:M,A46)</f>
        <v>0</v>
      </c>
      <c r="G46" s="162">
        <f t="shared" si="2"/>
        <v>0</v>
      </c>
      <c r="H46" s="163" t="str">
        <f t="shared" si="3"/>
        <v>A-91136</v>
      </c>
      <c r="I46" s="170" t="s">
        <v>649</v>
      </c>
      <c r="J46" s="115">
        <f>COUNTIF('Master Table'!F:F,I46)</f>
        <v>7</v>
      </c>
      <c r="K46" s="113"/>
      <c r="L46" s="158"/>
      <c r="M46" s="166" t="s">
        <v>112</v>
      </c>
      <c r="N46" s="113"/>
      <c r="O46" s="113"/>
      <c r="P46" s="113"/>
      <c r="Q46" s="113"/>
      <c r="R46" s="113"/>
      <c r="S46" s="113"/>
      <c r="T46" s="113"/>
      <c r="U46" s="113"/>
      <c r="V46" s="113"/>
      <c r="W46" s="113"/>
      <c r="X46" s="113"/>
      <c r="Y46" s="113"/>
      <c r="Z46" s="113"/>
      <c r="AA46" s="113"/>
      <c r="AB46" s="113"/>
      <c r="AC46" s="113"/>
      <c r="AD46" s="113"/>
      <c r="AE46" s="113"/>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113"/>
      <c r="CB46" s="113"/>
      <c r="CC46" s="113"/>
      <c r="CD46" s="113"/>
      <c r="CE46" s="113"/>
      <c r="CF46" s="113"/>
      <c r="CG46" s="113"/>
      <c r="CH46" s="113"/>
      <c r="CI46" s="113"/>
      <c r="CJ46" s="113"/>
      <c r="CK46" s="113"/>
      <c r="CL46" s="113"/>
      <c r="CM46" s="113"/>
      <c r="CN46" s="113"/>
      <c r="CO46" s="113"/>
      <c r="CP46" s="113"/>
      <c r="CQ46" s="113"/>
      <c r="CR46" s="113"/>
      <c r="CS46" s="113"/>
      <c r="CT46" s="113"/>
      <c r="CU46" s="113"/>
    </row>
    <row r="47">
      <c r="A47" s="159" t="str">
        <f>IFERROR(__xludf.DUMMYFUNCTION("""COMPUTED_VALUE"""),"A-9")</f>
        <v>A-9</v>
      </c>
      <c r="B47" s="113" t="str">
        <f>IFERROR(__xludf.DUMMYFUNCTION("""COMPUTED_VALUE"""),"Claudia")</f>
        <v>Claudia</v>
      </c>
      <c r="C47" s="113" t="str">
        <f>IFERROR(__xludf.DUMMYFUNCTION("""COMPUTED_VALUE"""),"Sanchez")</f>
        <v>Sanchez</v>
      </c>
      <c r="D47" s="158">
        <f>IFERROR(__xludf.DUMMYFUNCTION("""COMPUTED_VALUE"""),1067.0)</f>
        <v>1067</v>
      </c>
      <c r="E47" s="161">
        <f t="shared" si="1"/>
        <v>6</v>
      </c>
      <c r="F47" s="160">
        <f>COUNTIFS('Scores Import DO NOT EDIT'!C:C, D47,'Scores Import DO NOT EDIT'!M:M,A47)</f>
        <v>0</v>
      </c>
      <c r="G47" s="162">
        <f t="shared" si="2"/>
        <v>0</v>
      </c>
      <c r="H47" s="163" t="str">
        <f t="shared" si="3"/>
        <v>A-91067</v>
      </c>
      <c r="I47" s="170" t="s">
        <v>650</v>
      </c>
      <c r="J47" s="115">
        <f>COUNTIF('Master Table'!F:F,I47)</f>
        <v>5</v>
      </c>
      <c r="K47" s="113"/>
      <c r="L47" s="158"/>
      <c r="M47" s="166" t="s">
        <v>111</v>
      </c>
      <c r="N47" s="113"/>
      <c r="O47" s="113"/>
      <c r="P47" s="113"/>
      <c r="Q47" s="113"/>
      <c r="R47" s="113"/>
      <c r="S47" s="113"/>
      <c r="T47" s="113"/>
      <c r="U47" s="113"/>
      <c r="V47" s="113"/>
      <c r="W47" s="113"/>
      <c r="X47" s="113"/>
      <c r="Y47" s="113"/>
      <c r="Z47" s="113"/>
      <c r="AA47" s="113"/>
      <c r="AB47" s="113"/>
      <c r="AC47" s="113"/>
      <c r="AD47" s="113"/>
      <c r="AE47" s="113"/>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113"/>
      <c r="CB47" s="113"/>
      <c r="CC47" s="113"/>
      <c r="CD47" s="113"/>
      <c r="CE47" s="113"/>
      <c r="CF47" s="113"/>
      <c r="CG47" s="113"/>
      <c r="CH47" s="113"/>
      <c r="CI47" s="113"/>
      <c r="CJ47" s="113"/>
      <c r="CK47" s="113"/>
      <c r="CL47" s="113"/>
      <c r="CM47" s="113"/>
      <c r="CN47" s="113"/>
      <c r="CO47" s="113"/>
      <c r="CP47" s="113"/>
      <c r="CQ47" s="113"/>
      <c r="CR47" s="113"/>
      <c r="CS47" s="113"/>
      <c r="CT47" s="113"/>
      <c r="CU47" s="113"/>
    </row>
    <row r="48">
      <c r="A48" s="159" t="str">
        <f>IFERROR(__xludf.DUMMYFUNCTION("""COMPUTED_VALUE"""),"B-1")</f>
        <v>B-1</v>
      </c>
      <c r="B48" s="113" t="str">
        <f>IFERROR(__xludf.DUMMYFUNCTION("""COMPUTED_VALUE"""),"Annie")</f>
        <v>Annie</v>
      </c>
      <c r="C48" s="113" t="str">
        <f>IFERROR(__xludf.DUMMYFUNCTION("""COMPUTED_VALUE"""),"Keeney")</f>
        <v>Keeney</v>
      </c>
      <c r="D48" s="158">
        <f>IFERROR(__xludf.DUMMYFUNCTION("""COMPUTED_VALUE"""),1053.0)</f>
        <v>1053</v>
      </c>
      <c r="E48" s="161">
        <f t="shared" si="1"/>
        <v>5</v>
      </c>
      <c r="F48" s="160">
        <f>COUNTIFS('Scores Import DO NOT EDIT'!C:C, D48,'Scores Import DO NOT EDIT'!M:M,A48)</f>
        <v>5</v>
      </c>
      <c r="G48" s="162">
        <f t="shared" si="2"/>
        <v>1</v>
      </c>
      <c r="H48" s="163" t="str">
        <f t="shared" si="3"/>
        <v>B-11053</v>
      </c>
      <c r="I48" s="170" t="s">
        <v>651</v>
      </c>
      <c r="J48" s="115">
        <f>COUNTIF('Master Table'!F:F,I48)</f>
        <v>7</v>
      </c>
      <c r="K48" s="113"/>
      <c r="L48" s="158"/>
      <c r="M48" s="166" t="s">
        <v>120</v>
      </c>
      <c r="N48" s="113"/>
      <c r="O48" s="113"/>
      <c r="P48" s="113"/>
      <c r="Q48" s="113"/>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113"/>
      <c r="CB48" s="113"/>
      <c r="CC48" s="113"/>
      <c r="CD48" s="113"/>
      <c r="CE48" s="113"/>
      <c r="CF48" s="113"/>
      <c r="CG48" s="113"/>
      <c r="CH48" s="113"/>
      <c r="CI48" s="113"/>
      <c r="CJ48" s="113"/>
      <c r="CK48" s="113"/>
      <c r="CL48" s="113"/>
      <c r="CM48" s="113"/>
      <c r="CN48" s="113"/>
      <c r="CO48" s="113"/>
      <c r="CP48" s="113"/>
      <c r="CQ48" s="113"/>
      <c r="CR48" s="113"/>
      <c r="CS48" s="113"/>
      <c r="CT48" s="113"/>
      <c r="CU48" s="113"/>
    </row>
    <row r="49">
      <c r="A49" s="159" t="str">
        <f>IFERROR(__xludf.DUMMYFUNCTION("""COMPUTED_VALUE"""),"B-1")</f>
        <v>B-1</v>
      </c>
      <c r="B49" s="113" t="str">
        <f>IFERROR(__xludf.DUMMYFUNCTION("""COMPUTED_VALUE"""),"Xiaohan")</f>
        <v>Xiaohan</v>
      </c>
      <c r="C49" s="113" t="str">
        <f>IFERROR(__xludf.DUMMYFUNCTION("""COMPUTED_VALUE"""),"Hu")</f>
        <v>Hu</v>
      </c>
      <c r="D49" s="158">
        <f>IFERROR(__xludf.DUMMYFUNCTION("""COMPUTED_VALUE"""),1048.0)</f>
        <v>1048</v>
      </c>
      <c r="E49" s="161">
        <f t="shared" si="1"/>
        <v>5</v>
      </c>
      <c r="F49" s="160">
        <f>COUNTIFS('Scores Import DO NOT EDIT'!C:C, D49,'Scores Import DO NOT EDIT'!M:M,A49)</f>
        <v>5</v>
      </c>
      <c r="G49" s="162">
        <f t="shared" si="2"/>
        <v>1</v>
      </c>
      <c r="H49" s="163" t="str">
        <f t="shared" si="3"/>
        <v>B-11048</v>
      </c>
      <c r="I49" s="170" t="s">
        <v>652</v>
      </c>
      <c r="J49" s="115">
        <f>COUNTIF('Master Table'!F:F,I49)</f>
        <v>8</v>
      </c>
      <c r="K49" s="113"/>
      <c r="L49" s="158"/>
      <c r="M49" s="166" t="s">
        <v>118</v>
      </c>
      <c r="N49" s="113"/>
      <c r="O49" s="113"/>
      <c r="P49" s="113"/>
      <c r="Q49" s="113"/>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113"/>
      <c r="CB49" s="113"/>
      <c r="CC49" s="113"/>
      <c r="CD49" s="113"/>
      <c r="CE49" s="113"/>
      <c r="CF49" s="113"/>
      <c r="CG49" s="113"/>
      <c r="CH49" s="113"/>
      <c r="CI49" s="113"/>
      <c r="CJ49" s="113"/>
      <c r="CK49" s="113"/>
      <c r="CL49" s="113"/>
      <c r="CM49" s="113"/>
      <c r="CN49" s="113"/>
      <c r="CO49" s="113"/>
      <c r="CP49" s="113"/>
      <c r="CQ49" s="113"/>
      <c r="CR49" s="113"/>
      <c r="CS49" s="113"/>
      <c r="CT49" s="113"/>
      <c r="CU49" s="113"/>
    </row>
    <row r="50">
      <c r="A50" s="159" t="str">
        <f>IFERROR(__xludf.DUMMYFUNCTION("""COMPUTED_VALUE"""),"B-1")</f>
        <v>B-1</v>
      </c>
      <c r="B50" s="113" t="str">
        <f>IFERROR(__xludf.DUMMYFUNCTION("""COMPUTED_VALUE"""),"KJ")</f>
        <v>KJ</v>
      </c>
      <c r="C50" s="113" t="str">
        <f>IFERROR(__xludf.DUMMYFUNCTION("""COMPUTED_VALUE"""),"Archer")</f>
        <v>Archer</v>
      </c>
      <c r="D50" s="158">
        <f>IFERROR(__xludf.DUMMYFUNCTION("""COMPUTED_VALUE"""),1077.0)</f>
        <v>1077</v>
      </c>
      <c r="E50" s="161">
        <f t="shared" si="1"/>
        <v>5</v>
      </c>
      <c r="F50" s="160">
        <f>COUNTIFS('Scores Import DO NOT EDIT'!C:C, D50,'Scores Import DO NOT EDIT'!M:M,A50)</f>
        <v>5</v>
      </c>
      <c r="G50" s="162">
        <f t="shared" si="2"/>
        <v>1</v>
      </c>
      <c r="H50" s="163" t="str">
        <f t="shared" si="3"/>
        <v>B-11077</v>
      </c>
      <c r="I50" s="170" t="s">
        <v>653</v>
      </c>
      <c r="J50" s="115">
        <f>COUNTIF('Master Table'!F:F,I50)</f>
        <v>8</v>
      </c>
      <c r="K50" s="113"/>
      <c r="L50" s="158"/>
      <c r="M50" s="166" t="s">
        <v>119</v>
      </c>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3"/>
      <c r="CE50" s="113"/>
      <c r="CF50" s="113"/>
      <c r="CG50" s="113"/>
      <c r="CH50" s="113"/>
      <c r="CI50" s="113"/>
      <c r="CJ50" s="113"/>
      <c r="CK50" s="113"/>
      <c r="CL50" s="113"/>
      <c r="CM50" s="113"/>
      <c r="CN50" s="113"/>
      <c r="CO50" s="113"/>
      <c r="CP50" s="113"/>
      <c r="CQ50" s="113"/>
      <c r="CR50" s="113"/>
      <c r="CS50" s="113"/>
      <c r="CT50" s="113"/>
      <c r="CU50" s="113"/>
    </row>
    <row r="51">
      <c r="A51" s="159" t="str">
        <f>IFERROR(__xludf.DUMMYFUNCTION("""COMPUTED_VALUE"""),"B-1")</f>
        <v>B-1</v>
      </c>
      <c r="B51" s="113" t="str">
        <f>IFERROR(__xludf.DUMMYFUNCTION("""COMPUTED_VALUE"""),"Lauren")</f>
        <v>Lauren</v>
      </c>
      <c r="C51" s="113" t="str">
        <f>IFERROR(__xludf.DUMMYFUNCTION("""COMPUTED_VALUE"""),"Collins")</f>
        <v>Collins</v>
      </c>
      <c r="D51" s="158">
        <f>IFERROR(__xludf.DUMMYFUNCTION("""COMPUTED_VALUE"""),1002.0)</f>
        <v>1002</v>
      </c>
      <c r="E51" s="161">
        <f t="shared" si="1"/>
        <v>5</v>
      </c>
      <c r="F51" s="160">
        <f>COUNTIFS('Scores Import DO NOT EDIT'!C:C, D51,'Scores Import DO NOT EDIT'!M:M,A51)</f>
        <v>5</v>
      </c>
      <c r="G51" s="162">
        <f t="shared" si="2"/>
        <v>1</v>
      </c>
      <c r="H51" s="163" t="str">
        <f t="shared" si="3"/>
        <v>B-11002</v>
      </c>
      <c r="I51" s="170" t="s">
        <v>654</v>
      </c>
      <c r="J51" s="115">
        <f>COUNTIF('Master Table'!F:F,I51)</f>
        <v>5</v>
      </c>
      <c r="K51" s="113"/>
      <c r="L51" s="158"/>
      <c r="M51" s="166" t="s">
        <v>117</v>
      </c>
      <c r="N51" s="113"/>
      <c r="O51" s="113"/>
      <c r="P51" s="113"/>
      <c r="Q51" s="113"/>
      <c r="R51" s="113"/>
      <c r="S51" s="113"/>
      <c r="T51" s="113"/>
      <c r="U51" s="113"/>
      <c r="V51" s="113"/>
      <c r="W51" s="113"/>
      <c r="X51" s="113"/>
      <c r="Y51" s="113"/>
      <c r="Z51" s="113"/>
      <c r="AA51" s="113"/>
      <c r="AB51" s="113"/>
      <c r="AC51" s="113"/>
      <c r="AD51" s="113"/>
      <c r="AE51" s="113"/>
      <c r="AF51" s="113"/>
      <c r="AG51" s="113"/>
      <c r="AH51" s="113"/>
      <c r="AI51" s="113"/>
      <c r="AJ51" s="113"/>
      <c r="AK51" s="113"/>
      <c r="AL51" s="113"/>
      <c r="AM51" s="113"/>
      <c r="AN51" s="113"/>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113"/>
      <c r="CB51" s="113"/>
      <c r="CC51" s="113"/>
      <c r="CD51" s="113"/>
      <c r="CE51" s="113"/>
      <c r="CF51" s="113"/>
      <c r="CG51" s="113"/>
      <c r="CH51" s="113"/>
      <c r="CI51" s="113"/>
      <c r="CJ51" s="113"/>
      <c r="CK51" s="113"/>
      <c r="CL51" s="113"/>
      <c r="CM51" s="113"/>
      <c r="CN51" s="113"/>
      <c r="CO51" s="113"/>
      <c r="CP51" s="113"/>
      <c r="CQ51" s="113"/>
      <c r="CR51" s="113"/>
      <c r="CS51" s="113"/>
      <c r="CT51" s="113"/>
      <c r="CU51" s="113"/>
    </row>
    <row r="52">
      <c r="A52" s="159" t="str">
        <f>IFERROR(__xludf.DUMMYFUNCTION("""COMPUTED_VALUE"""),"B-10")</f>
        <v>B-10</v>
      </c>
      <c r="B52" s="113" t="str">
        <f>IFERROR(__xludf.DUMMYFUNCTION("""COMPUTED_VALUE"""),"Helen")</f>
        <v>Helen</v>
      </c>
      <c r="C52" s="113" t="str">
        <f>IFERROR(__xludf.DUMMYFUNCTION("""COMPUTED_VALUE"""),"Ma")</f>
        <v>Ma</v>
      </c>
      <c r="D52" s="158">
        <f>IFERROR(__xludf.DUMMYFUNCTION("""COMPUTED_VALUE"""),1120.0)</f>
        <v>1120</v>
      </c>
      <c r="E52" s="161">
        <f t="shared" si="1"/>
        <v>6</v>
      </c>
      <c r="F52" s="160">
        <f>COUNTIFS('Scores Import DO NOT EDIT'!C:C, D52,'Scores Import DO NOT EDIT'!M:M,A52)</f>
        <v>3</v>
      </c>
      <c r="G52" s="162">
        <f t="shared" si="2"/>
        <v>0.5</v>
      </c>
      <c r="H52" s="163" t="str">
        <f t="shared" si="3"/>
        <v>B-101120</v>
      </c>
      <c r="I52" s="170" t="s">
        <v>655</v>
      </c>
      <c r="J52" s="115">
        <f>COUNTIF('Master Table'!F:F,I52)</f>
        <v>7</v>
      </c>
      <c r="K52" s="113"/>
      <c r="L52" s="158"/>
      <c r="M52" s="166" t="s">
        <v>116</v>
      </c>
      <c r="N52" s="113"/>
      <c r="O52" s="113"/>
      <c r="P52" s="113"/>
      <c r="Q52" s="113"/>
      <c r="R52" s="113"/>
      <c r="S52" s="113"/>
      <c r="T52" s="113"/>
      <c r="U52" s="113"/>
      <c r="V52" s="113"/>
      <c r="W52" s="113"/>
      <c r="X52" s="113"/>
      <c r="Y52" s="113"/>
      <c r="Z52" s="113"/>
      <c r="AA52" s="113"/>
      <c r="AB52" s="113"/>
      <c r="AC52" s="113"/>
      <c r="AD52" s="113"/>
      <c r="AE52" s="113"/>
      <c r="AF52" s="113"/>
      <c r="AG52" s="113"/>
      <c r="AH52" s="113"/>
      <c r="AI52" s="113"/>
      <c r="AJ52" s="113"/>
      <c r="AK52" s="113"/>
      <c r="AL52" s="113"/>
      <c r="AM52" s="113"/>
      <c r="AN52" s="113"/>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113"/>
      <c r="CB52" s="113"/>
      <c r="CC52" s="113"/>
      <c r="CD52" s="113"/>
      <c r="CE52" s="113"/>
      <c r="CF52" s="113"/>
      <c r="CG52" s="113"/>
      <c r="CH52" s="113"/>
      <c r="CI52" s="113"/>
      <c r="CJ52" s="113"/>
      <c r="CK52" s="113"/>
      <c r="CL52" s="113"/>
      <c r="CM52" s="113"/>
      <c r="CN52" s="113"/>
      <c r="CO52" s="113"/>
      <c r="CP52" s="113"/>
      <c r="CQ52" s="113"/>
      <c r="CR52" s="113"/>
      <c r="CS52" s="113"/>
      <c r="CT52" s="113"/>
      <c r="CU52" s="113"/>
    </row>
    <row r="53">
      <c r="A53" s="159" t="str">
        <f>IFERROR(__xludf.DUMMYFUNCTION("""COMPUTED_VALUE"""),"B-10")</f>
        <v>B-10</v>
      </c>
      <c r="B53" s="113" t="str">
        <f>IFERROR(__xludf.DUMMYFUNCTION("""COMPUTED_VALUE"""),"Hannah")</f>
        <v>Hannah</v>
      </c>
      <c r="C53" s="113" t="str">
        <f>IFERROR(__xludf.DUMMYFUNCTION("""COMPUTED_VALUE"""),"Friesen")</f>
        <v>Friesen</v>
      </c>
      <c r="D53" s="158">
        <f>IFERROR(__xludf.DUMMYFUNCTION("""COMPUTED_VALUE"""),1101.0)</f>
        <v>1101</v>
      </c>
      <c r="E53" s="161">
        <f t="shared" si="1"/>
        <v>6</v>
      </c>
      <c r="F53" s="160">
        <f>COUNTIFS('Scores Import DO NOT EDIT'!C:C, D53,'Scores Import DO NOT EDIT'!M:M,A53)</f>
        <v>4</v>
      </c>
      <c r="G53" s="162">
        <f t="shared" si="2"/>
        <v>0.6666666667</v>
      </c>
      <c r="H53" s="163" t="str">
        <f t="shared" si="3"/>
        <v>B-101101</v>
      </c>
      <c r="I53" s="170" t="s">
        <v>656</v>
      </c>
      <c r="J53" s="115">
        <f>COUNTIF('Master Table'!F:F,I53)</f>
        <v>7</v>
      </c>
      <c r="K53" s="113"/>
      <c r="L53" s="158"/>
      <c r="M53" s="166" t="s">
        <v>66</v>
      </c>
      <c r="N53" s="113"/>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c r="AN53" s="113"/>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113"/>
      <c r="CB53" s="113"/>
      <c r="CC53" s="113"/>
      <c r="CD53" s="113"/>
      <c r="CE53" s="113"/>
      <c r="CF53" s="113"/>
      <c r="CG53" s="113"/>
      <c r="CH53" s="113"/>
      <c r="CI53" s="113"/>
      <c r="CJ53" s="113"/>
      <c r="CK53" s="113"/>
      <c r="CL53" s="113"/>
      <c r="CM53" s="113"/>
      <c r="CN53" s="113"/>
      <c r="CO53" s="113"/>
      <c r="CP53" s="113"/>
      <c r="CQ53" s="113"/>
      <c r="CR53" s="113"/>
      <c r="CS53" s="113"/>
      <c r="CT53" s="113"/>
      <c r="CU53" s="113"/>
    </row>
    <row r="54">
      <c r="A54" s="159" t="str">
        <f>IFERROR(__xludf.DUMMYFUNCTION("""COMPUTED_VALUE"""),"B-10")</f>
        <v>B-10</v>
      </c>
      <c r="B54" s="113" t="str">
        <f>IFERROR(__xludf.DUMMYFUNCTION("""COMPUTED_VALUE"""),"Martin")</f>
        <v>Martin</v>
      </c>
      <c r="C54" s="113" t="str">
        <f>IFERROR(__xludf.DUMMYFUNCTION("""COMPUTED_VALUE"""),"Kruming")</f>
        <v>Kruming</v>
      </c>
      <c r="D54" s="158">
        <f>IFERROR(__xludf.DUMMYFUNCTION("""COMPUTED_VALUE"""),1134.0)</f>
        <v>1134</v>
      </c>
      <c r="E54" s="161">
        <f t="shared" si="1"/>
        <v>6</v>
      </c>
      <c r="F54" s="160">
        <f>COUNTIFS('Scores Import DO NOT EDIT'!C:C, D54,'Scores Import DO NOT EDIT'!M:M,A54)</f>
        <v>0</v>
      </c>
      <c r="G54" s="162">
        <f t="shared" si="2"/>
        <v>0</v>
      </c>
      <c r="H54" s="163" t="str">
        <f t="shared" si="3"/>
        <v>B-101134</v>
      </c>
      <c r="I54" s="171" t="s">
        <v>657</v>
      </c>
      <c r="J54" s="115">
        <f>COUNTIF('Master Table'!F:F,I54)</f>
        <v>6</v>
      </c>
      <c r="K54" s="113"/>
      <c r="L54" s="158"/>
      <c r="M54" s="166" t="s">
        <v>65</v>
      </c>
      <c r="N54" s="113"/>
      <c r="O54" s="113"/>
      <c r="P54" s="113"/>
      <c r="Q54" s="113"/>
      <c r="R54" s="113"/>
      <c r="S54" s="113"/>
      <c r="T54" s="113"/>
      <c r="U54" s="113"/>
      <c r="V54" s="113"/>
      <c r="W54" s="113"/>
      <c r="X54" s="113"/>
      <c r="Y54" s="113"/>
      <c r="Z54" s="113"/>
      <c r="AA54" s="113"/>
      <c r="AB54" s="113"/>
      <c r="AC54" s="113"/>
      <c r="AD54" s="113"/>
      <c r="AE54" s="113"/>
      <c r="AF54" s="113"/>
      <c r="AG54" s="113"/>
      <c r="AH54" s="113"/>
      <c r="AI54" s="113"/>
      <c r="AJ54" s="113"/>
      <c r="AK54" s="113"/>
      <c r="AL54" s="113"/>
      <c r="AM54" s="113"/>
      <c r="AN54" s="113"/>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113"/>
      <c r="CB54" s="113"/>
      <c r="CC54" s="113"/>
      <c r="CD54" s="113"/>
      <c r="CE54" s="113"/>
      <c r="CF54" s="113"/>
      <c r="CG54" s="113"/>
      <c r="CH54" s="113"/>
      <c r="CI54" s="113"/>
      <c r="CJ54" s="113"/>
      <c r="CK54" s="113"/>
      <c r="CL54" s="113"/>
      <c r="CM54" s="113"/>
      <c r="CN54" s="113"/>
      <c r="CO54" s="113"/>
      <c r="CP54" s="113"/>
      <c r="CQ54" s="113"/>
      <c r="CR54" s="113"/>
      <c r="CS54" s="113"/>
      <c r="CT54" s="113"/>
      <c r="CU54" s="113"/>
    </row>
    <row r="55">
      <c r="A55" s="159" t="str">
        <f>IFERROR(__xludf.DUMMYFUNCTION("""COMPUTED_VALUE"""),"B-10")</f>
        <v>B-10</v>
      </c>
      <c r="B55" s="113" t="str">
        <f>IFERROR(__xludf.DUMMYFUNCTION("""COMPUTED_VALUE"""),"Sam")</f>
        <v>Sam</v>
      </c>
      <c r="C55" s="113" t="str">
        <f>IFERROR(__xludf.DUMMYFUNCTION("""COMPUTED_VALUE"""),"Kobari")</f>
        <v>Kobari</v>
      </c>
      <c r="D55" s="158">
        <f>IFERROR(__xludf.DUMMYFUNCTION("""COMPUTED_VALUE"""),1112.0)</f>
        <v>1112</v>
      </c>
      <c r="E55" s="161">
        <f t="shared" si="1"/>
        <v>6</v>
      </c>
      <c r="F55" s="160">
        <f>COUNTIFS('Scores Import DO NOT EDIT'!C:C, D55,'Scores Import DO NOT EDIT'!M:M,A55)</f>
        <v>3</v>
      </c>
      <c r="G55" s="162">
        <f t="shared" si="2"/>
        <v>0.5</v>
      </c>
      <c r="H55" s="163" t="str">
        <f t="shared" si="3"/>
        <v>B-101112</v>
      </c>
      <c r="I55" s="170" t="s">
        <v>658</v>
      </c>
      <c r="J55" s="115">
        <f>COUNTIF('Master Table'!F:F,I55)</f>
        <v>8</v>
      </c>
      <c r="K55" s="113"/>
      <c r="L55" s="158"/>
      <c r="M55" s="166" t="s">
        <v>69</v>
      </c>
      <c r="N55" s="113"/>
      <c r="O55" s="113"/>
      <c r="P55" s="113"/>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113"/>
      <c r="CB55" s="113"/>
      <c r="CC55" s="113"/>
      <c r="CD55" s="113"/>
      <c r="CE55" s="113"/>
      <c r="CF55" s="113"/>
      <c r="CG55" s="113"/>
      <c r="CH55" s="113"/>
      <c r="CI55" s="113"/>
      <c r="CJ55" s="113"/>
      <c r="CK55" s="113"/>
      <c r="CL55" s="113"/>
      <c r="CM55" s="113"/>
      <c r="CN55" s="113"/>
      <c r="CO55" s="113"/>
      <c r="CP55" s="113"/>
      <c r="CQ55" s="113"/>
      <c r="CR55" s="113"/>
      <c r="CS55" s="113"/>
      <c r="CT55" s="113"/>
      <c r="CU55" s="113"/>
    </row>
    <row r="56">
      <c r="A56" s="159" t="str">
        <f>IFERROR(__xludf.DUMMYFUNCTION("""COMPUTED_VALUE"""),"B-10")</f>
        <v>B-10</v>
      </c>
      <c r="B56" s="113" t="str">
        <f>IFERROR(__xludf.DUMMYFUNCTION("""COMPUTED_VALUE"""),"Farnoosh")</f>
        <v>Farnoosh</v>
      </c>
      <c r="C56" s="113" t="str">
        <f>IFERROR(__xludf.DUMMYFUNCTION("""COMPUTED_VALUE"""),"Khodakarami")</f>
        <v>Khodakarami</v>
      </c>
      <c r="D56" s="158">
        <f>IFERROR(__xludf.DUMMYFUNCTION("""COMPUTED_VALUE"""),1017.0)</f>
        <v>1017</v>
      </c>
      <c r="E56" s="161">
        <f t="shared" si="1"/>
        <v>6</v>
      </c>
      <c r="F56" s="160">
        <f>COUNTIFS('Scores Import DO NOT EDIT'!C:C, D56,'Scores Import DO NOT EDIT'!M:M,A56)</f>
        <v>4</v>
      </c>
      <c r="G56" s="162">
        <f t="shared" si="2"/>
        <v>0.6666666667</v>
      </c>
      <c r="H56" s="163" t="str">
        <f t="shared" si="3"/>
        <v>B-101017</v>
      </c>
      <c r="I56" s="170" t="s">
        <v>659</v>
      </c>
      <c r="J56" s="115">
        <f>COUNTIF('Master Table'!F:F,I56)</f>
        <v>6</v>
      </c>
      <c r="K56" s="113"/>
      <c r="L56" s="158"/>
      <c r="M56" s="166" t="s">
        <v>67</v>
      </c>
      <c r="N56" s="113"/>
      <c r="O56" s="113"/>
      <c r="P56" s="113"/>
      <c r="Q56" s="113"/>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113"/>
      <c r="CB56" s="113"/>
      <c r="CC56" s="113"/>
      <c r="CD56" s="113"/>
      <c r="CE56" s="113"/>
      <c r="CF56" s="113"/>
      <c r="CG56" s="113"/>
      <c r="CH56" s="113"/>
      <c r="CI56" s="113"/>
      <c r="CJ56" s="113"/>
      <c r="CK56" s="113"/>
      <c r="CL56" s="113"/>
      <c r="CM56" s="113"/>
      <c r="CN56" s="113"/>
      <c r="CO56" s="113"/>
      <c r="CP56" s="113"/>
      <c r="CQ56" s="113"/>
      <c r="CR56" s="113"/>
      <c r="CS56" s="113"/>
      <c r="CT56" s="113"/>
      <c r="CU56" s="113"/>
    </row>
    <row r="57">
      <c r="A57" s="159" t="str">
        <f>IFERROR(__xludf.DUMMYFUNCTION("""COMPUTED_VALUE"""),"B-2")</f>
        <v>B-2</v>
      </c>
      <c r="B57" s="113" t="str">
        <f>IFERROR(__xludf.DUMMYFUNCTION("""COMPUTED_VALUE"""),"Anthony")</f>
        <v>Anthony</v>
      </c>
      <c r="C57" s="113" t="str">
        <f>IFERROR(__xludf.DUMMYFUNCTION("""COMPUTED_VALUE"""),"Villarreal")</f>
        <v>Villarreal</v>
      </c>
      <c r="D57" s="158">
        <f>IFERROR(__xludf.DUMMYFUNCTION("""COMPUTED_VALUE"""),1078.0)</f>
        <v>1078</v>
      </c>
      <c r="E57" s="161">
        <f t="shared" si="1"/>
        <v>4</v>
      </c>
      <c r="F57" s="160">
        <f>COUNTIFS('Scores Import DO NOT EDIT'!C:C, D57,'Scores Import DO NOT EDIT'!M:M,A57)</f>
        <v>4</v>
      </c>
      <c r="G57" s="162">
        <f t="shared" si="2"/>
        <v>1</v>
      </c>
      <c r="H57" s="163" t="str">
        <f t="shared" si="3"/>
        <v>B-21078</v>
      </c>
      <c r="I57" s="170" t="s">
        <v>660</v>
      </c>
      <c r="J57" s="115">
        <f>COUNTIF('Master Table'!F:F,I57)</f>
        <v>7</v>
      </c>
      <c r="K57" s="113"/>
      <c r="L57" s="158"/>
      <c r="M57" s="166" t="s">
        <v>68</v>
      </c>
      <c r="N57" s="113"/>
      <c r="O57" s="113"/>
      <c r="P57" s="113"/>
      <c r="Q57" s="113"/>
      <c r="R57" s="113"/>
      <c r="S57" s="113"/>
      <c r="T57" s="113"/>
      <c r="U57" s="113"/>
      <c r="V57" s="113"/>
      <c r="W57" s="113"/>
      <c r="X57" s="113"/>
      <c r="Y57" s="113"/>
      <c r="Z57" s="113"/>
      <c r="AA57" s="113"/>
      <c r="AB57" s="113"/>
      <c r="AC57" s="113"/>
      <c r="AD57" s="113"/>
      <c r="AE57" s="113"/>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113"/>
      <c r="CB57" s="113"/>
      <c r="CC57" s="113"/>
      <c r="CD57" s="113"/>
      <c r="CE57" s="113"/>
      <c r="CF57" s="113"/>
      <c r="CG57" s="113"/>
      <c r="CH57" s="113"/>
      <c r="CI57" s="113"/>
      <c r="CJ57" s="113"/>
      <c r="CK57" s="113"/>
      <c r="CL57" s="113"/>
      <c r="CM57" s="113"/>
      <c r="CN57" s="113"/>
      <c r="CO57" s="113"/>
      <c r="CP57" s="113"/>
      <c r="CQ57" s="113"/>
      <c r="CR57" s="113"/>
      <c r="CS57" s="113"/>
      <c r="CT57" s="113"/>
      <c r="CU57" s="113"/>
    </row>
    <row r="58">
      <c r="A58" s="159" t="str">
        <f>IFERROR(__xludf.DUMMYFUNCTION("""COMPUTED_VALUE"""),"B-2")</f>
        <v>B-2</v>
      </c>
      <c r="B58" s="113" t="str">
        <f>IFERROR(__xludf.DUMMYFUNCTION("""COMPUTED_VALUE"""),"Heidy")</f>
        <v>Heidy</v>
      </c>
      <c r="C58" s="113" t="str">
        <f>IFERROR(__xludf.DUMMYFUNCTION("""COMPUTED_VALUE"""),"Mendez-Rodriguez")</f>
        <v>Mendez-Rodriguez</v>
      </c>
      <c r="D58" s="158">
        <f>IFERROR(__xludf.DUMMYFUNCTION("""COMPUTED_VALUE"""),1174.0)</f>
        <v>1174</v>
      </c>
      <c r="E58" s="161">
        <f t="shared" si="1"/>
        <v>4</v>
      </c>
      <c r="F58" s="160">
        <f>COUNTIFS('Scores Import DO NOT EDIT'!C:C, D58,'Scores Import DO NOT EDIT'!M:M,A58)</f>
        <v>4</v>
      </c>
      <c r="G58" s="162">
        <f t="shared" si="2"/>
        <v>1</v>
      </c>
      <c r="H58" s="163" t="str">
        <f t="shared" si="3"/>
        <v>B-21174</v>
      </c>
      <c r="I58" s="170" t="s">
        <v>661</v>
      </c>
      <c r="J58" s="115">
        <f>COUNTIF('Master Table'!F:F,I58)</f>
        <v>7</v>
      </c>
      <c r="K58" s="113"/>
      <c r="L58" s="158"/>
      <c r="M58" s="166" t="s">
        <v>70</v>
      </c>
      <c r="N58" s="113"/>
      <c r="O58" s="113"/>
      <c r="P58" s="113"/>
      <c r="Q58" s="113"/>
      <c r="R58" s="113"/>
      <c r="S58" s="113"/>
      <c r="T58" s="113"/>
      <c r="U58" s="113"/>
      <c r="V58" s="113"/>
      <c r="W58" s="113"/>
      <c r="X58" s="113"/>
      <c r="Y58" s="113"/>
      <c r="Z58" s="113"/>
      <c r="AA58" s="113"/>
      <c r="AB58" s="113"/>
      <c r="AC58" s="113"/>
      <c r="AD58" s="113"/>
      <c r="AE58" s="113"/>
      <c r="AF58" s="113"/>
      <c r="AG58" s="113"/>
      <c r="AH58" s="113"/>
      <c r="AI58" s="113"/>
      <c r="AJ58" s="113"/>
      <c r="AK58" s="113"/>
      <c r="AL58" s="113"/>
      <c r="AM58" s="113"/>
      <c r="AN58" s="113"/>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113"/>
      <c r="CB58" s="113"/>
      <c r="CC58" s="113"/>
      <c r="CD58" s="113"/>
      <c r="CE58" s="113"/>
      <c r="CF58" s="113"/>
      <c r="CG58" s="113"/>
      <c r="CH58" s="113"/>
      <c r="CI58" s="113"/>
      <c r="CJ58" s="113"/>
      <c r="CK58" s="113"/>
      <c r="CL58" s="113"/>
      <c r="CM58" s="113"/>
      <c r="CN58" s="113"/>
      <c r="CO58" s="113"/>
      <c r="CP58" s="113"/>
      <c r="CQ58" s="113"/>
      <c r="CR58" s="113"/>
      <c r="CS58" s="113"/>
      <c r="CT58" s="113"/>
      <c r="CU58" s="113"/>
    </row>
    <row r="59">
      <c r="A59" s="159" t="str">
        <f>IFERROR(__xludf.DUMMYFUNCTION("""COMPUTED_VALUE"""),"B-2")</f>
        <v>B-2</v>
      </c>
      <c r="B59" s="113" t="str">
        <f>IFERROR(__xludf.DUMMYFUNCTION("""COMPUTED_VALUE"""),"Jules")</f>
        <v>Jules</v>
      </c>
      <c r="C59" s="113" t="str">
        <f>IFERROR(__xludf.DUMMYFUNCTION("""COMPUTED_VALUE"""),"Bunn")</f>
        <v>Bunn</v>
      </c>
      <c r="D59" s="158">
        <f>IFERROR(__xludf.DUMMYFUNCTION("""COMPUTED_VALUE"""),1084.0)</f>
        <v>1084</v>
      </c>
      <c r="E59" s="161">
        <f t="shared" si="1"/>
        <v>4</v>
      </c>
      <c r="F59" s="160">
        <f>COUNTIFS('Scores Import DO NOT EDIT'!C:C, D59,'Scores Import DO NOT EDIT'!M:M,A59)</f>
        <v>4</v>
      </c>
      <c r="G59" s="162">
        <f t="shared" si="2"/>
        <v>1</v>
      </c>
      <c r="H59" s="163" t="str">
        <f t="shared" si="3"/>
        <v>B-21084</v>
      </c>
      <c r="I59" s="170" t="s">
        <v>662</v>
      </c>
      <c r="J59" s="115">
        <f>COUNTIF('Master Table'!F:F,I59)</f>
        <v>6</v>
      </c>
      <c r="K59" s="113"/>
      <c r="L59" s="158"/>
      <c r="M59" s="166" t="s">
        <v>125</v>
      </c>
      <c r="N59" s="113"/>
      <c r="O59" s="113"/>
      <c r="P59" s="113"/>
      <c r="Q59" s="113"/>
      <c r="R59" s="113"/>
      <c r="S59" s="113"/>
      <c r="T59" s="113"/>
      <c r="U59" s="113"/>
      <c r="V59" s="113"/>
      <c r="W59" s="113"/>
      <c r="X59" s="113"/>
      <c r="Y59" s="113"/>
      <c r="Z59" s="113"/>
      <c r="AA59" s="113"/>
      <c r="AB59" s="113"/>
      <c r="AC59" s="113"/>
      <c r="AD59" s="113"/>
      <c r="AE59" s="113"/>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113"/>
      <c r="CB59" s="113"/>
      <c r="CC59" s="113"/>
      <c r="CD59" s="113"/>
      <c r="CE59" s="113"/>
      <c r="CF59" s="113"/>
      <c r="CG59" s="113"/>
      <c r="CH59" s="113"/>
      <c r="CI59" s="113"/>
      <c r="CJ59" s="113"/>
      <c r="CK59" s="113"/>
      <c r="CL59" s="113"/>
      <c r="CM59" s="113"/>
      <c r="CN59" s="113"/>
      <c r="CO59" s="113"/>
      <c r="CP59" s="113"/>
      <c r="CQ59" s="113"/>
      <c r="CR59" s="113"/>
      <c r="CS59" s="113"/>
      <c r="CT59" s="113"/>
      <c r="CU59" s="113"/>
    </row>
    <row r="60">
      <c r="A60" s="159" t="str">
        <f>IFERROR(__xludf.DUMMYFUNCTION("""COMPUTED_VALUE"""),"B-2")</f>
        <v>B-2</v>
      </c>
      <c r="B60" s="113" t="str">
        <f>IFERROR(__xludf.DUMMYFUNCTION("""COMPUTED_VALUE"""),"Charmane M.")</f>
        <v>Charmane M.</v>
      </c>
      <c r="C60" s="113" t="str">
        <f>IFERROR(__xludf.DUMMYFUNCTION("""COMPUTED_VALUE"""),"Perry")</f>
        <v>Perry</v>
      </c>
      <c r="D60" s="158">
        <f>IFERROR(__xludf.DUMMYFUNCTION("""COMPUTED_VALUE"""),1089.0)</f>
        <v>1089</v>
      </c>
      <c r="E60" s="161">
        <f t="shared" si="1"/>
        <v>4</v>
      </c>
      <c r="F60" s="160">
        <f>COUNTIFS('Scores Import DO NOT EDIT'!C:C, D60,'Scores Import DO NOT EDIT'!M:M,A60)</f>
        <v>3</v>
      </c>
      <c r="G60" s="162">
        <f t="shared" si="2"/>
        <v>0.75</v>
      </c>
      <c r="H60" s="163" t="str">
        <f t="shared" si="3"/>
        <v>B-21089</v>
      </c>
      <c r="I60" s="170" t="s">
        <v>663</v>
      </c>
      <c r="J60" s="115">
        <f>COUNTIF('Master Table'!F:F,I60)</f>
        <v>8</v>
      </c>
      <c r="K60" s="113"/>
      <c r="L60" s="158"/>
      <c r="M60" s="166" t="s">
        <v>124</v>
      </c>
      <c r="N60" s="113"/>
      <c r="O60" s="113"/>
      <c r="P60" s="113"/>
      <c r="Q60" s="113"/>
      <c r="R60" s="113"/>
      <c r="S60" s="113"/>
      <c r="T60" s="113"/>
      <c r="U60" s="113"/>
      <c r="V60" s="113"/>
      <c r="W60" s="113"/>
      <c r="X60" s="113"/>
      <c r="Y60" s="113"/>
      <c r="Z60" s="113"/>
      <c r="AA60" s="113"/>
      <c r="AB60" s="113"/>
      <c r="AC60" s="113"/>
      <c r="AD60" s="113"/>
      <c r="AE60" s="113"/>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113"/>
      <c r="CB60" s="113"/>
      <c r="CC60" s="113"/>
      <c r="CD60" s="113"/>
      <c r="CE60" s="113"/>
      <c r="CF60" s="113"/>
      <c r="CG60" s="113"/>
      <c r="CH60" s="113"/>
      <c r="CI60" s="113"/>
      <c r="CJ60" s="113"/>
      <c r="CK60" s="113"/>
      <c r="CL60" s="113"/>
      <c r="CM60" s="113"/>
      <c r="CN60" s="113"/>
      <c r="CO60" s="113"/>
      <c r="CP60" s="113"/>
      <c r="CQ60" s="113"/>
      <c r="CR60" s="113"/>
      <c r="CS60" s="113"/>
      <c r="CT60" s="113"/>
      <c r="CU60" s="113"/>
    </row>
    <row r="61">
      <c r="A61" s="159" t="str">
        <f>IFERROR(__xludf.DUMMYFUNCTION("""COMPUTED_VALUE"""),"B-2")</f>
        <v>B-2</v>
      </c>
      <c r="B61" s="113" t="str">
        <f>IFERROR(__xludf.DUMMYFUNCTION("""COMPUTED_VALUE"""),"Suzanne")</f>
        <v>Suzanne</v>
      </c>
      <c r="C61" s="113" t="str">
        <f>IFERROR(__xludf.DUMMYFUNCTION("""COMPUTED_VALUE"""),"Maguire")</f>
        <v>Maguire</v>
      </c>
      <c r="D61" s="158">
        <f>IFERROR(__xludf.DUMMYFUNCTION("""COMPUTED_VALUE"""),1090.0)</f>
        <v>1090</v>
      </c>
      <c r="E61" s="161">
        <f t="shared" si="1"/>
        <v>4</v>
      </c>
      <c r="F61" s="160">
        <f>COUNTIFS('Scores Import DO NOT EDIT'!C:C, D61,'Scores Import DO NOT EDIT'!M:M,A61)</f>
        <v>0</v>
      </c>
      <c r="G61" s="162">
        <f t="shared" si="2"/>
        <v>0</v>
      </c>
      <c r="H61" s="163" t="str">
        <f t="shared" si="3"/>
        <v>B-21090</v>
      </c>
      <c r="I61" s="170" t="s">
        <v>664</v>
      </c>
      <c r="J61" s="115">
        <f>COUNTIF('Master Table'!F:F,I61)</f>
        <v>8</v>
      </c>
      <c r="K61" s="113"/>
      <c r="L61" s="158"/>
      <c r="M61" s="166" t="s">
        <v>123</v>
      </c>
      <c r="N61" s="113"/>
      <c r="O61" s="113"/>
      <c r="P61" s="113"/>
      <c r="Q61" s="113"/>
      <c r="R61" s="113"/>
      <c r="S61" s="113"/>
      <c r="T61" s="113"/>
      <c r="U61" s="113"/>
      <c r="V61" s="113"/>
      <c r="W61" s="113"/>
      <c r="X61" s="113"/>
      <c r="Y61" s="113"/>
      <c r="Z61" s="113"/>
      <c r="AA61" s="113"/>
      <c r="AB61" s="113"/>
      <c r="AC61" s="113"/>
      <c r="AD61" s="113"/>
      <c r="AE61" s="113"/>
      <c r="AF61" s="113"/>
      <c r="AG61" s="113"/>
      <c r="AH61" s="113"/>
      <c r="AI61" s="113"/>
      <c r="AJ61" s="113"/>
      <c r="AK61" s="113"/>
      <c r="AL61" s="113"/>
      <c r="AM61" s="113"/>
      <c r="AN61" s="113"/>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113"/>
      <c r="CB61" s="113"/>
      <c r="CC61" s="113"/>
      <c r="CD61" s="113"/>
      <c r="CE61" s="113"/>
      <c r="CF61" s="113"/>
      <c r="CG61" s="113"/>
      <c r="CH61" s="113"/>
      <c r="CI61" s="113"/>
      <c r="CJ61" s="113"/>
      <c r="CK61" s="113"/>
      <c r="CL61" s="113"/>
      <c r="CM61" s="113"/>
      <c r="CN61" s="113"/>
      <c r="CO61" s="113"/>
      <c r="CP61" s="113"/>
      <c r="CQ61" s="113"/>
      <c r="CR61" s="113"/>
      <c r="CS61" s="113"/>
      <c r="CT61" s="113"/>
      <c r="CU61" s="113"/>
    </row>
    <row r="62">
      <c r="A62" s="159" t="str">
        <f>IFERROR(__xludf.DUMMYFUNCTION("""COMPUTED_VALUE"""),"B-3")</f>
        <v>B-3</v>
      </c>
      <c r="B62" s="113" t="str">
        <f>IFERROR(__xludf.DUMMYFUNCTION("""COMPUTED_VALUE"""),"Joseane")</f>
        <v>Joseane</v>
      </c>
      <c r="C62" s="113" t="str">
        <f>IFERROR(__xludf.DUMMYFUNCTION("""COMPUTED_VALUE"""),"Godinho")</f>
        <v>Godinho</v>
      </c>
      <c r="D62" s="158">
        <f>IFERROR(__xludf.DUMMYFUNCTION("""COMPUTED_VALUE"""),1121.0)</f>
        <v>1121</v>
      </c>
      <c r="E62" s="161">
        <f t="shared" si="1"/>
        <v>5</v>
      </c>
      <c r="F62" s="160">
        <f>COUNTIFS('Scores Import DO NOT EDIT'!C:C, D62,'Scores Import DO NOT EDIT'!M:M,A62)</f>
        <v>5</v>
      </c>
      <c r="G62" s="162">
        <f t="shared" si="2"/>
        <v>1</v>
      </c>
      <c r="H62" s="163" t="str">
        <f t="shared" si="3"/>
        <v>B-31121</v>
      </c>
      <c r="I62" s="170" t="s">
        <v>665</v>
      </c>
      <c r="J62" s="115">
        <f>COUNTIF('Master Table'!F:F,I62)</f>
        <v>5</v>
      </c>
      <c r="K62" s="113"/>
      <c r="L62" s="158"/>
      <c r="M62" s="166" t="s">
        <v>122</v>
      </c>
      <c r="N62" s="113"/>
      <c r="O62" s="113"/>
      <c r="P62" s="113"/>
      <c r="Q62" s="113"/>
      <c r="R62" s="113"/>
      <c r="S62" s="113"/>
      <c r="T62" s="113"/>
      <c r="U62" s="113"/>
      <c r="V62" s="113"/>
      <c r="W62" s="113"/>
      <c r="X62" s="113"/>
      <c r="Y62" s="113"/>
      <c r="Z62" s="113"/>
      <c r="AA62" s="113"/>
      <c r="AB62" s="113"/>
      <c r="AC62" s="113"/>
      <c r="AD62" s="113"/>
      <c r="AE62" s="113"/>
      <c r="AF62" s="113"/>
      <c r="AG62" s="113"/>
      <c r="AH62" s="113"/>
      <c r="AI62" s="113"/>
      <c r="AJ62" s="113"/>
      <c r="AK62" s="113"/>
      <c r="AL62" s="113"/>
      <c r="AM62" s="113"/>
      <c r="AN62" s="113"/>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113"/>
      <c r="CB62" s="113"/>
      <c r="CC62" s="113"/>
      <c r="CD62" s="113"/>
      <c r="CE62" s="113"/>
      <c r="CF62" s="113"/>
      <c r="CG62" s="113"/>
      <c r="CH62" s="113"/>
      <c r="CI62" s="113"/>
      <c r="CJ62" s="113"/>
      <c r="CK62" s="113"/>
      <c r="CL62" s="113"/>
      <c r="CM62" s="113"/>
      <c r="CN62" s="113"/>
      <c r="CO62" s="113"/>
      <c r="CP62" s="113"/>
      <c r="CQ62" s="113"/>
      <c r="CR62" s="113"/>
      <c r="CS62" s="113"/>
      <c r="CT62" s="113"/>
      <c r="CU62" s="113"/>
    </row>
    <row r="63">
      <c r="A63" s="159" t="str">
        <f>IFERROR(__xludf.DUMMYFUNCTION("""COMPUTED_VALUE"""),"B-3")</f>
        <v>B-3</v>
      </c>
      <c r="B63" s="113" t="str">
        <f>IFERROR(__xludf.DUMMYFUNCTION("""COMPUTED_VALUE"""),"Hamza")</f>
        <v>Hamza</v>
      </c>
      <c r="C63" s="113" t="str">
        <f>IFERROR(__xludf.DUMMYFUNCTION("""COMPUTED_VALUE"""),"Hajama")</f>
        <v>Hajama</v>
      </c>
      <c r="D63" s="158">
        <f>IFERROR(__xludf.DUMMYFUNCTION("""COMPUTED_VALUE"""),1049.0)</f>
        <v>1049</v>
      </c>
      <c r="E63" s="161">
        <f t="shared" si="1"/>
        <v>5</v>
      </c>
      <c r="F63" s="160">
        <f>COUNTIFS('Scores Import DO NOT EDIT'!C:C, D63,'Scores Import DO NOT EDIT'!M:M,A63)</f>
        <v>5</v>
      </c>
      <c r="G63" s="162">
        <f t="shared" si="2"/>
        <v>1</v>
      </c>
      <c r="H63" s="163" t="str">
        <f t="shared" si="3"/>
        <v>B-31049</v>
      </c>
      <c r="I63" s="170" t="s">
        <v>666</v>
      </c>
      <c r="J63" s="115">
        <f>COUNTIF('Master Table'!F:F,I63)</f>
        <v>7</v>
      </c>
      <c r="K63" s="113"/>
      <c r="L63" s="158"/>
      <c r="M63" s="166" t="s">
        <v>126</v>
      </c>
      <c r="N63" s="113"/>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113"/>
      <c r="CB63" s="113"/>
      <c r="CC63" s="113"/>
      <c r="CD63" s="113"/>
      <c r="CE63" s="113"/>
      <c r="CF63" s="113"/>
      <c r="CG63" s="113"/>
      <c r="CH63" s="113"/>
      <c r="CI63" s="113"/>
      <c r="CJ63" s="113"/>
      <c r="CK63" s="113"/>
      <c r="CL63" s="113"/>
      <c r="CM63" s="113"/>
      <c r="CN63" s="113"/>
      <c r="CO63" s="113"/>
      <c r="CP63" s="113"/>
      <c r="CQ63" s="113"/>
      <c r="CR63" s="113"/>
      <c r="CS63" s="113"/>
      <c r="CT63" s="113"/>
      <c r="CU63" s="113"/>
    </row>
    <row r="64">
      <c r="A64" s="159" t="str">
        <f>IFERROR(__xludf.DUMMYFUNCTION("""COMPUTED_VALUE"""),"B-3")</f>
        <v>B-3</v>
      </c>
      <c r="B64" s="113" t="str">
        <f>IFERROR(__xludf.DUMMYFUNCTION("""COMPUTED_VALUE"""),"Kate")</f>
        <v>Kate</v>
      </c>
      <c r="C64" s="113" t="str">
        <f>IFERROR(__xludf.DUMMYFUNCTION("""COMPUTED_VALUE"""),"Broderick")</f>
        <v>Broderick</v>
      </c>
      <c r="D64" s="158">
        <f>IFERROR(__xludf.DUMMYFUNCTION("""COMPUTED_VALUE"""),1072.0)</f>
        <v>1072</v>
      </c>
      <c r="E64" s="161">
        <f t="shared" si="1"/>
        <v>5</v>
      </c>
      <c r="F64" s="160">
        <f>COUNTIFS('Scores Import DO NOT EDIT'!C:C, D64,'Scores Import DO NOT EDIT'!M:M,A64)</f>
        <v>5</v>
      </c>
      <c r="G64" s="162">
        <f t="shared" si="2"/>
        <v>1</v>
      </c>
      <c r="H64" s="163" t="str">
        <f t="shared" si="3"/>
        <v>B-31072</v>
      </c>
      <c r="I64" s="170" t="s">
        <v>667</v>
      </c>
      <c r="J64" s="115">
        <f>COUNTIF('Master Table'!F:F,I64)</f>
        <v>7</v>
      </c>
      <c r="K64" s="113"/>
      <c r="L64" s="158"/>
      <c r="M64" s="166" t="s">
        <v>136</v>
      </c>
      <c r="N64" s="113"/>
      <c r="O64" s="113"/>
      <c r="P64" s="113"/>
      <c r="Q64" s="113"/>
      <c r="R64" s="113"/>
      <c r="S64" s="113"/>
      <c r="T64" s="113"/>
      <c r="U64" s="113"/>
      <c r="V64" s="113"/>
      <c r="W64" s="113"/>
      <c r="X64" s="113"/>
      <c r="Y64" s="113"/>
      <c r="Z64" s="113"/>
      <c r="AA64" s="113"/>
      <c r="AB64" s="113"/>
      <c r="AC64" s="113"/>
      <c r="AD64" s="113"/>
      <c r="AE64" s="113"/>
      <c r="AF64" s="113"/>
      <c r="AG64" s="113"/>
      <c r="AH64" s="113"/>
      <c r="AI64" s="113"/>
      <c r="AJ64" s="113"/>
      <c r="AK64" s="113"/>
      <c r="AL64" s="113"/>
      <c r="AM64" s="113"/>
      <c r="AN64" s="113"/>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113"/>
      <c r="CB64" s="113"/>
      <c r="CC64" s="113"/>
      <c r="CD64" s="113"/>
      <c r="CE64" s="113"/>
      <c r="CF64" s="113"/>
      <c r="CG64" s="113"/>
      <c r="CH64" s="113"/>
      <c r="CI64" s="113"/>
      <c r="CJ64" s="113"/>
      <c r="CK64" s="113"/>
      <c r="CL64" s="113"/>
      <c r="CM64" s="113"/>
      <c r="CN64" s="113"/>
      <c r="CO64" s="113"/>
      <c r="CP64" s="113"/>
      <c r="CQ64" s="113"/>
      <c r="CR64" s="113"/>
      <c r="CS64" s="113"/>
      <c r="CT64" s="113"/>
      <c r="CU64" s="113"/>
    </row>
    <row r="65">
      <c r="A65" s="159" t="str">
        <f>IFERROR(__xludf.DUMMYFUNCTION("""COMPUTED_VALUE"""),"B-3")</f>
        <v>B-3</v>
      </c>
      <c r="B65" s="113" t="str">
        <f>IFERROR(__xludf.DUMMYFUNCTION("""COMPUTED_VALUE"""),"Mowaffaq")</f>
        <v>Mowaffaq</v>
      </c>
      <c r="C65" s="113" t="str">
        <f>IFERROR(__xludf.DUMMYFUNCTION("""COMPUTED_VALUE"""),"Adam")</f>
        <v>Adam</v>
      </c>
      <c r="D65" s="158">
        <f>IFERROR(__xludf.DUMMYFUNCTION("""COMPUTED_VALUE"""),1238.0)</f>
        <v>1238</v>
      </c>
      <c r="E65" s="161">
        <f t="shared" si="1"/>
        <v>5</v>
      </c>
      <c r="F65" s="160">
        <f>COUNTIFS('Scores Import DO NOT EDIT'!C:C, D65,'Scores Import DO NOT EDIT'!M:M,A65)</f>
        <v>1</v>
      </c>
      <c r="G65" s="162">
        <f t="shared" si="2"/>
        <v>0.2</v>
      </c>
      <c r="H65" s="163" t="str">
        <f t="shared" si="3"/>
        <v>B-31238</v>
      </c>
      <c r="I65" s="170" t="s">
        <v>668</v>
      </c>
      <c r="J65" s="115">
        <f>COUNTIF('Master Table'!F:F,I65)</f>
        <v>7</v>
      </c>
      <c r="K65" s="113"/>
      <c r="L65" s="158"/>
      <c r="M65" s="166" t="s">
        <v>135</v>
      </c>
      <c r="N65" s="113"/>
      <c r="O65" s="113"/>
      <c r="P65" s="113"/>
      <c r="Q65" s="113"/>
      <c r="R65" s="113"/>
      <c r="S65" s="113"/>
      <c r="T65" s="113"/>
      <c r="U65" s="113"/>
      <c r="V65" s="113"/>
      <c r="W65" s="113"/>
      <c r="X65" s="113"/>
      <c r="Y65" s="113"/>
      <c r="Z65" s="113"/>
      <c r="AA65" s="113"/>
      <c r="AB65" s="113"/>
      <c r="AC65" s="113"/>
      <c r="AD65" s="113"/>
      <c r="AE65" s="113"/>
      <c r="AF65" s="113"/>
      <c r="AG65" s="113"/>
      <c r="AH65" s="113"/>
      <c r="AI65" s="113"/>
      <c r="AJ65" s="113"/>
      <c r="AK65" s="113"/>
      <c r="AL65" s="113"/>
      <c r="AM65" s="113"/>
      <c r="AN65" s="113"/>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113"/>
      <c r="CB65" s="113"/>
      <c r="CC65" s="113"/>
      <c r="CD65" s="113"/>
      <c r="CE65" s="113"/>
      <c r="CF65" s="113"/>
      <c r="CG65" s="113"/>
      <c r="CH65" s="113"/>
      <c r="CI65" s="113"/>
      <c r="CJ65" s="113"/>
      <c r="CK65" s="113"/>
      <c r="CL65" s="113"/>
      <c r="CM65" s="113"/>
      <c r="CN65" s="113"/>
      <c r="CO65" s="113"/>
      <c r="CP65" s="113"/>
      <c r="CQ65" s="113"/>
      <c r="CR65" s="113"/>
      <c r="CS65" s="113"/>
      <c r="CT65" s="113"/>
      <c r="CU65" s="113"/>
    </row>
    <row r="66">
      <c r="A66" s="159" t="str">
        <f>IFERROR(__xludf.DUMMYFUNCTION("""COMPUTED_VALUE"""),"B-4")</f>
        <v>B-4</v>
      </c>
      <c r="B66" s="113" t="str">
        <f>IFERROR(__xludf.DUMMYFUNCTION("""COMPUTED_VALUE"""),"Robert")</f>
        <v>Robert</v>
      </c>
      <c r="C66" s="113" t="str">
        <f>IFERROR(__xludf.DUMMYFUNCTION("""COMPUTED_VALUE"""),"Welch")</f>
        <v>Welch</v>
      </c>
      <c r="D66" s="158">
        <f>IFERROR(__xludf.DUMMYFUNCTION("""COMPUTED_VALUE"""),1229.0)</f>
        <v>1229</v>
      </c>
      <c r="E66" s="161">
        <f t="shared" si="1"/>
        <v>4</v>
      </c>
      <c r="F66" s="160">
        <f>COUNTIFS('Scores Import DO NOT EDIT'!C:C, D66,'Scores Import DO NOT EDIT'!M:M,A66)</f>
        <v>0</v>
      </c>
      <c r="G66" s="162">
        <f t="shared" si="2"/>
        <v>0</v>
      </c>
      <c r="H66" s="163" t="str">
        <f t="shared" si="3"/>
        <v>B-41229</v>
      </c>
      <c r="I66" s="170" t="s">
        <v>669</v>
      </c>
      <c r="J66" s="115">
        <f>COUNTIF('Master Table'!F:F,I66)</f>
        <v>8</v>
      </c>
      <c r="K66" s="113"/>
      <c r="L66" s="158"/>
      <c r="M66" s="166" t="s">
        <v>712</v>
      </c>
      <c r="N66" s="113"/>
      <c r="O66" s="113"/>
      <c r="P66" s="113"/>
      <c r="Q66" s="113"/>
      <c r="R66" s="113"/>
      <c r="S66" s="113"/>
      <c r="T66" s="113"/>
      <c r="U66" s="113"/>
      <c r="V66" s="113"/>
      <c r="W66" s="113"/>
      <c r="X66" s="113"/>
      <c r="Y66" s="113"/>
      <c r="Z66" s="113"/>
      <c r="AA66" s="113"/>
      <c r="AB66" s="113"/>
      <c r="AC66" s="113"/>
      <c r="AD66" s="113"/>
      <c r="AE66" s="113"/>
      <c r="AF66" s="113"/>
      <c r="AG66" s="113"/>
      <c r="AH66" s="113"/>
      <c r="AI66" s="113"/>
      <c r="AJ66" s="113"/>
      <c r="AK66" s="113"/>
      <c r="AL66" s="113"/>
      <c r="AM66" s="113"/>
      <c r="AN66" s="113"/>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113"/>
      <c r="CB66" s="113"/>
      <c r="CC66" s="113"/>
      <c r="CD66" s="113"/>
      <c r="CE66" s="113"/>
      <c r="CF66" s="113"/>
      <c r="CG66" s="113"/>
      <c r="CH66" s="113"/>
      <c r="CI66" s="113"/>
      <c r="CJ66" s="113"/>
      <c r="CK66" s="113"/>
      <c r="CL66" s="113"/>
      <c r="CM66" s="113"/>
      <c r="CN66" s="113"/>
      <c r="CO66" s="113"/>
      <c r="CP66" s="113"/>
      <c r="CQ66" s="113"/>
      <c r="CR66" s="113"/>
      <c r="CS66" s="113"/>
      <c r="CT66" s="113"/>
      <c r="CU66" s="113"/>
    </row>
    <row r="67">
      <c r="A67" s="159" t="str">
        <f>IFERROR(__xludf.DUMMYFUNCTION("""COMPUTED_VALUE"""),"B-4")</f>
        <v>B-4</v>
      </c>
      <c r="B67" s="113" t="str">
        <f>IFERROR(__xludf.DUMMYFUNCTION("""COMPUTED_VALUE"""),"PeaceIbisia")</f>
        <v>PeaceIbisia</v>
      </c>
      <c r="C67" s="113" t="str">
        <f>IFERROR(__xludf.DUMMYFUNCTION("""COMPUTED_VALUE"""),"Jack")</f>
        <v>Jack</v>
      </c>
      <c r="D67" s="158">
        <f>IFERROR(__xludf.DUMMYFUNCTION("""COMPUTED_VALUE"""),1079.0)</f>
        <v>1079</v>
      </c>
      <c r="E67" s="161">
        <f t="shared" si="1"/>
        <v>4</v>
      </c>
      <c r="F67" s="160">
        <f>COUNTIFS('Scores Import DO NOT EDIT'!C:C, D67,'Scores Import DO NOT EDIT'!M:M,A67)</f>
        <v>4</v>
      </c>
      <c r="G67" s="162">
        <f t="shared" si="2"/>
        <v>1</v>
      </c>
      <c r="H67" s="163" t="str">
        <f t="shared" si="3"/>
        <v>B-41079</v>
      </c>
      <c r="I67" s="170" t="s">
        <v>670</v>
      </c>
      <c r="J67" s="115">
        <f>COUNTIF('Master Table'!F:F,I67)</f>
        <v>5</v>
      </c>
      <c r="K67" s="113"/>
      <c r="L67" s="158"/>
      <c r="M67" s="166" t="s">
        <v>133</v>
      </c>
      <c r="N67" s="113"/>
      <c r="O67" s="113"/>
      <c r="P67" s="113"/>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113"/>
      <c r="CB67" s="113"/>
      <c r="CC67" s="113"/>
      <c r="CD67" s="113"/>
      <c r="CE67" s="113"/>
      <c r="CF67" s="113"/>
      <c r="CG67" s="113"/>
      <c r="CH67" s="113"/>
      <c r="CI67" s="113"/>
      <c r="CJ67" s="113"/>
      <c r="CK67" s="113"/>
      <c r="CL67" s="113"/>
      <c r="CM67" s="113"/>
      <c r="CN67" s="113"/>
      <c r="CO67" s="113"/>
      <c r="CP67" s="113"/>
      <c r="CQ67" s="113"/>
      <c r="CR67" s="113"/>
      <c r="CS67" s="113"/>
      <c r="CT67" s="113"/>
      <c r="CU67" s="113"/>
    </row>
    <row r="68">
      <c r="A68" s="159" t="str">
        <f>IFERROR(__xludf.DUMMYFUNCTION("""COMPUTED_VALUE"""),"B-4")</f>
        <v>B-4</v>
      </c>
      <c r="B68" s="113" t="str">
        <f>IFERROR(__xludf.DUMMYFUNCTION("""COMPUTED_VALUE"""),"Miguel Angel Zavala")</f>
        <v>Miguel Angel Zavala</v>
      </c>
      <c r="C68" s="113" t="str">
        <f>IFERROR(__xludf.DUMMYFUNCTION("""COMPUTED_VALUE"""),"Perez")</f>
        <v>Perez</v>
      </c>
      <c r="D68" s="158">
        <f>IFERROR(__xludf.DUMMYFUNCTION("""COMPUTED_VALUE"""),1030.0)</f>
        <v>1030</v>
      </c>
      <c r="E68" s="161">
        <f t="shared" si="1"/>
        <v>4</v>
      </c>
      <c r="F68" s="160">
        <f>COUNTIFS('Scores Import DO NOT EDIT'!C:C, D68,'Scores Import DO NOT EDIT'!M:M,A68)</f>
        <v>4</v>
      </c>
      <c r="G68" s="162">
        <f t="shared" si="2"/>
        <v>1</v>
      </c>
      <c r="H68" s="163" t="str">
        <f t="shared" si="3"/>
        <v>B-41030</v>
      </c>
      <c r="I68" s="170" t="s">
        <v>671</v>
      </c>
      <c r="J68" s="115">
        <f>COUNTIF('Master Table'!F:F,I68)</f>
        <v>6</v>
      </c>
      <c r="K68" s="113"/>
      <c r="L68" s="158"/>
      <c r="M68" s="166" t="s">
        <v>134</v>
      </c>
      <c r="N68" s="113"/>
      <c r="O68" s="113"/>
      <c r="P68" s="113"/>
      <c r="Q68" s="113"/>
      <c r="R68" s="113"/>
      <c r="S68" s="113"/>
      <c r="T68" s="113"/>
      <c r="U68" s="113"/>
      <c r="V68" s="113"/>
      <c r="W68" s="113"/>
      <c r="X68" s="113"/>
      <c r="Y68" s="113"/>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row>
    <row r="69">
      <c r="A69" s="159" t="str">
        <f>IFERROR(__xludf.DUMMYFUNCTION("""COMPUTED_VALUE"""),"B-4")</f>
        <v>B-4</v>
      </c>
      <c r="B69" s="113" t="str">
        <f>IFERROR(__xludf.DUMMYFUNCTION("""COMPUTED_VALUE"""),"Claudia")</f>
        <v>Claudia</v>
      </c>
      <c r="C69" s="113" t="str">
        <f>IFERROR(__xludf.DUMMYFUNCTION("""COMPUTED_VALUE"""),"Sanchez")</f>
        <v>Sanchez</v>
      </c>
      <c r="D69" s="158">
        <f>IFERROR(__xludf.DUMMYFUNCTION("""COMPUTED_VALUE"""),1067.0)</f>
        <v>1067</v>
      </c>
      <c r="E69" s="161">
        <f t="shared" si="1"/>
        <v>4</v>
      </c>
      <c r="F69" s="160">
        <f>COUNTIFS('Scores Import DO NOT EDIT'!C:C, D69,'Scores Import DO NOT EDIT'!M:M,A69)</f>
        <v>0</v>
      </c>
      <c r="G69" s="162">
        <f t="shared" si="2"/>
        <v>0</v>
      </c>
      <c r="H69" s="163" t="str">
        <f t="shared" si="3"/>
        <v>B-41067</v>
      </c>
      <c r="I69" s="170" t="s">
        <v>672</v>
      </c>
      <c r="J69" s="115">
        <f>COUNTIF('Master Table'!F:F,I69)</f>
        <v>6</v>
      </c>
      <c r="K69" s="113"/>
      <c r="L69" s="158"/>
      <c r="M69" s="166" t="s">
        <v>138</v>
      </c>
      <c r="N69" s="113"/>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row>
    <row r="70">
      <c r="A70" s="159" t="str">
        <f>IFERROR(__xludf.DUMMYFUNCTION("""COMPUTED_VALUE"""),"B-4")</f>
        <v>B-4</v>
      </c>
      <c r="B70" s="113" t="str">
        <f>IFERROR(__xludf.DUMMYFUNCTION("""COMPUTED_VALUE"""),"Shreyas")</f>
        <v>Shreyas</v>
      </c>
      <c r="C70" s="113" t="str">
        <f>IFERROR(__xludf.DUMMYFUNCTION("""COMPUTED_VALUE"""),"Narasimhiah Ramesh")</f>
        <v>Narasimhiah Ramesh</v>
      </c>
      <c r="D70" s="158">
        <f>IFERROR(__xludf.DUMMYFUNCTION("""COMPUTED_VALUE"""),1133.0)</f>
        <v>1133</v>
      </c>
      <c r="E70" s="161">
        <f t="shared" si="1"/>
        <v>4</v>
      </c>
      <c r="F70" s="160">
        <f>COUNTIFS('Scores Import DO NOT EDIT'!C:C, D70,'Scores Import DO NOT EDIT'!M:M,A70)</f>
        <v>0</v>
      </c>
      <c r="G70" s="162">
        <f t="shared" si="2"/>
        <v>0</v>
      </c>
      <c r="H70" s="163" t="str">
        <f t="shared" si="3"/>
        <v>B-41133</v>
      </c>
      <c r="I70" s="170" t="s">
        <v>673</v>
      </c>
      <c r="J70" s="115">
        <f>COUNTIF('Master Table'!F:F,I70)</f>
        <v>5</v>
      </c>
      <c r="K70" s="113"/>
      <c r="L70" s="158"/>
      <c r="M70" s="166" t="s">
        <v>137</v>
      </c>
      <c r="N70" s="113"/>
      <c r="O70" s="113"/>
      <c r="P70" s="113"/>
      <c r="Q70" s="113"/>
      <c r="R70" s="113"/>
      <c r="S70" s="113"/>
      <c r="T70" s="113"/>
      <c r="U70" s="113"/>
      <c r="V70" s="113"/>
      <c r="W70" s="113"/>
      <c r="X70" s="113"/>
      <c r="Y70" s="113"/>
      <c r="Z70" s="113"/>
      <c r="AA70" s="113"/>
      <c r="AB70" s="113"/>
      <c r="AC70" s="113"/>
      <c r="AD70" s="113"/>
      <c r="AE70" s="113"/>
      <c r="AF70" s="113"/>
      <c r="AG70" s="113"/>
      <c r="AH70" s="113"/>
      <c r="AI70" s="113"/>
      <c r="AJ70" s="113"/>
      <c r="AK70" s="113"/>
      <c r="AL70" s="113"/>
      <c r="AM70" s="113"/>
      <c r="AN70" s="113"/>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113"/>
      <c r="CB70" s="113"/>
      <c r="CC70" s="113"/>
      <c r="CD70" s="113"/>
      <c r="CE70" s="113"/>
      <c r="CF70" s="113"/>
      <c r="CG70" s="113"/>
      <c r="CH70" s="113"/>
      <c r="CI70" s="113"/>
      <c r="CJ70" s="113"/>
      <c r="CK70" s="113"/>
      <c r="CL70" s="113"/>
      <c r="CM70" s="113"/>
      <c r="CN70" s="113"/>
      <c r="CO70" s="113"/>
      <c r="CP70" s="113"/>
      <c r="CQ70" s="113"/>
      <c r="CR70" s="113"/>
      <c r="CS70" s="113"/>
      <c r="CT70" s="113"/>
      <c r="CU70" s="113"/>
    </row>
    <row r="71">
      <c r="A71" s="159" t="str">
        <f>IFERROR(__xludf.DUMMYFUNCTION("""COMPUTED_VALUE"""),"B-5")</f>
        <v>B-5</v>
      </c>
      <c r="B71" s="113" t="str">
        <f>IFERROR(__xludf.DUMMYFUNCTION("""COMPUTED_VALUE"""),"Matthew")</f>
        <v>Matthew</v>
      </c>
      <c r="C71" s="113" t="str">
        <f>IFERROR(__xludf.DUMMYFUNCTION("""COMPUTED_VALUE"""),"Hebert")</f>
        <v>Hebert</v>
      </c>
      <c r="D71" s="158">
        <f>IFERROR(__xludf.DUMMYFUNCTION("""COMPUTED_VALUE"""),1021.0)</f>
        <v>1021</v>
      </c>
      <c r="E71" s="161">
        <f t="shared" si="1"/>
        <v>6</v>
      </c>
      <c r="F71" s="160">
        <f>COUNTIFS('Scores Import DO NOT EDIT'!C:C, D71,'Scores Import DO NOT EDIT'!M:M,A71)</f>
        <v>0</v>
      </c>
      <c r="G71" s="162">
        <f t="shared" si="2"/>
        <v>0</v>
      </c>
      <c r="H71" s="163" t="str">
        <f t="shared" si="3"/>
        <v>B-51021</v>
      </c>
      <c r="I71" s="170" t="s">
        <v>674</v>
      </c>
      <c r="J71" s="115">
        <f>COUNTIF('Master Table'!F:F,I71)</f>
        <v>8</v>
      </c>
      <c r="K71" s="113"/>
      <c r="L71" s="158"/>
      <c r="M71" s="166" t="s">
        <v>141</v>
      </c>
      <c r="N71" s="113"/>
      <c r="O71" s="113"/>
      <c r="P71" s="113"/>
      <c r="Q71" s="113"/>
      <c r="R71" s="113"/>
      <c r="S71" s="113"/>
      <c r="T71" s="113"/>
      <c r="U71" s="113"/>
      <c r="V71" s="113"/>
      <c r="W71" s="113"/>
      <c r="X71" s="113"/>
      <c r="Y71" s="113"/>
      <c r="Z71" s="113"/>
      <c r="AA71" s="113"/>
      <c r="AB71" s="113"/>
      <c r="AC71" s="113"/>
      <c r="AD71" s="113"/>
      <c r="AE71" s="113"/>
      <c r="AF71" s="113"/>
      <c r="AG71" s="113"/>
      <c r="AH71" s="113"/>
      <c r="AI71" s="113"/>
      <c r="AJ71" s="113"/>
      <c r="AK71" s="113"/>
      <c r="AL71" s="113"/>
      <c r="AM71" s="113"/>
      <c r="AN71" s="113"/>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113"/>
      <c r="CB71" s="113"/>
      <c r="CC71" s="113"/>
      <c r="CD71" s="113"/>
      <c r="CE71" s="113"/>
      <c r="CF71" s="113"/>
      <c r="CG71" s="113"/>
      <c r="CH71" s="113"/>
      <c r="CI71" s="113"/>
      <c r="CJ71" s="113"/>
      <c r="CK71" s="113"/>
      <c r="CL71" s="113"/>
      <c r="CM71" s="113"/>
      <c r="CN71" s="113"/>
      <c r="CO71" s="113"/>
      <c r="CP71" s="113"/>
      <c r="CQ71" s="113"/>
      <c r="CR71" s="113"/>
      <c r="CS71" s="113"/>
      <c r="CT71" s="113"/>
      <c r="CU71" s="113"/>
    </row>
    <row r="72">
      <c r="A72" s="159" t="str">
        <f>IFERROR(__xludf.DUMMYFUNCTION("""COMPUTED_VALUE"""),"B-5")</f>
        <v>B-5</v>
      </c>
      <c r="B72" s="113" t="str">
        <f>IFERROR(__xludf.DUMMYFUNCTION("""COMPUTED_VALUE"""),"Robert")</f>
        <v>Robert</v>
      </c>
      <c r="C72" s="113" t="str">
        <f>IFERROR(__xludf.DUMMYFUNCTION("""COMPUTED_VALUE"""),"Vargas-Belcher")</f>
        <v>Vargas-Belcher</v>
      </c>
      <c r="D72" s="158">
        <f>IFERROR(__xludf.DUMMYFUNCTION("""COMPUTED_VALUE"""),1020.0)</f>
        <v>1020</v>
      </c>
      <c r="E72" s="161">
        <f t="shared" si="1"/>
        <v>6</v>
      </c>
      <c r="F72" s="160">
        <f>COUNTIFS('Scores Import DO NOT EDIT'!C:C, D72,'Scores Import DO NOT EDIT'!M:M,A72)</f>
        <v>6</v>
      </c>
      <c r="G72" s="162">
        <f t="shared" si="2"/>
        <v>1</v>
      </c>
      <c r="H72" s="163" t="str">
        <f t="shared" si="3"/>
        <v>B-51020</v>
      </c>
      <c r="I72" s="170" t="s">
        <v>675</v>
      </c>
      <c r="J72" s="115">
        <f>COUNTIF('Master Table'!F:F,I72)</f>
        <v>7</v>
      </c>
      <c r="K72" s="113"/>
      <c r="L72" s="158"/>
      <c r="M72" s="166" t="s">
        <v>139</v>
      </c>
      <c r="N72" s="113"/>
      <c r="O72" s="113"/>
      <c r="P72" s="113"/>
      <c r="Q72" s="113"/>
      <c r="R72" s="113"/>
      <c r="S72" s="113"/>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113"/>
      <c r="CB72" s="113"/>
      <c r="CC72" s="113"/>
      <c r="CD72" s="113"/>
      <c r="CE72" s="113"/>
      <c r="CF72" s="113"/>
      <c r="CG72" s="113"/>
      <c r="CH72" s="113"/>
      <c r="CI72" s="113"/>
      <c r="CJ72" s="113"/>
      <c r="CK72" s="113"/>
      <c r="CL72" s="113"/>
      <c r="CM72" s="113"/>
      <c r="CN72" s="113"/>
      <c r="CO72" s="113"/>
      <c r="CP72" s="113"/>
      <c r="CQ72" s="113"/>
      <c r="CR72" s="113"/>
      <c r="CS72" s="113"/>
      <c r="CT72" s="113"/>
      <c r="CU72" s="113"/>
    </row>
    <row r="73">
      <c r="A73" s="159" t="str">
        <f>IFERROR(__xludf.DUMMYFUNCTION("""COMPUTED_VALUE"""),"B-5")</f>
        <v>B-5</v>
      </c>
      <c r="B73" s="113" t="str">
        <f>IFERROR(__xludf.DUMMYFUNCTION("""COMPUTED_VALUE"""),"Vijayanka")</f>
        <v>Vijayanka</v>
      </c>
      <c r="C73" s="113" t="str">
        <f>IFERROR(__xludf.DUMMYFUNCTION("""COMPUTED_VALUE"""),"Nair")</f>
        <v>Nair</v>
      </c>
      <c r="D73" s="158">
        <f>IFERROR(__xludf.DUMMYFUNCTION("""COMPUTED_VALUE"""),1080.0)</f>
        <v>1080</v>
      </c>
      <c r="E73" s="161">
        <f t="shared" si="1"/>
        <v>6</v>
      </c>
      <c r="F73" s="160">
        <f>COUNTIFS('Scores Import DO NOT EDIT'!C:C, D73,'Scores Import DO NOT EDIT'!M:M,A73)</f>
        <v>0</v>
      </c>
      <c r="G73" s="162">
        <f t="shared" si="2"/>
        <v>0</v>
      </c>
      <c r="H73" s="163" t="str">
        <f t="shared" si="3"/>
        <v>B-51080</v>
      </c>
      <c r="I73" s="170" t="s">
        <v>676</v>
      </c>
      <c r="J73" s="115">
        <f>COUNTIF('Master Table'!F:F,I73)</f>
        <v>5</v>
      </c>
      <c r="K73" s="113"/>
      <c r="L73" s="158"/>
      <c r="M73" s="166" t="s">
        <v>140</v>
      </c>
      <c r="N73" s="113"/>
      <c r="O73" s="113"/>
      <c r="P73" s="113"/>
      <c r="Q73" s="113"/>
      <c r="R73" s="113"/>
      <c r="S73" s="113"/>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113"/>
      <c r="CB73" s="113"/>
      <c r="CC73" s="113"/>
      <c r="CD73" s="113"/>
      <c r="CE73" s="113"/>
      <c r="CF73" s="113"/>
      <c r="CG73" s="113"/>
      <c r="CH73" s="113"/>
      <c r="CI73" s="113"/>
      <c r="CJ73" s="113"/>
      <c r="CK73" s="113"/>
      <c r="CL73" s="113"/>
      <c r="CM73" s="113"/>
      <c r="CN73" s="113"/>
      <c r="CO73" s="113"/>
      <c r="CP73" s="113"/>
      <c r="CQ73" s="113"/>
      <c r="CR73" s="113"/>
      <c r="CS73" s="113"/>
      <c r="CT73" s="113"/>
      <c r="CU73" s="113"/>
    </row>
    <row r="74">
      <c r="A74" s="159" t="str">
        <f>IFERROR(__xludf.DUMMYFUNCTION("""COMPUTED_VALUE"""),"B-5")</f>
        <v>B-5</v>
      </c>
      <c r="B74" s="113" t="str">
        <f>IFERROR(__xludf.DUMMYFUNCTION("""COMPUTED_VALUE"""),"Brennan")</f>
        <v>Brennan</v>
      </c>
      <c r="C74" s="113" t="str">
        <f>IFERROR(__xludf.DUMMYFUNCTION("""COMPUTED_VALUE"""),"Pearson")</f>
        <v>Pearson</v>
      </c>
      <c r="D74" s="158">
        <f>IFERROR(__xludf.DUMMYFUNCTION("""COMPUTED_VALUE"""),1066.0)</f>
        <v>1066</v>
      </c>
      <c r="E74" s="161">
        <f t="shared" si="1"/>
        <v>6</v>
      </c>
      <c r="F74" s="160">
        <f>COUNTIFS('Scores Import DO NOT EDIT'!C:C, D74,'Scores Import DO NOT EDIT'!M:M,A74)</f>
        <v>0</v>
      </c>
      <c r="G74" s="162">
        <f t="shared" si="2"/>
        <v>0</v>
      </c>
      <c r="H74" s="163" t="str">
        <f t="shared" si="3"/>
        <v>B-51066</v>
      </c>
      <c r="I74" s="170" t="s">
        <v>677</v>
      </c>
      <c r="J74" s="115">
        <f>COUNTIF('Master Table'!F:F,I74)</f>
        <v>8</v>
      </c>
      <c r="K74" s="113"/>
      <c r="L74" s="158"/>
      <c r="M74" s="166" t="s">
        <v>144</v>
      </c>
      <c r="N74" s="113"/>
      <c r="O74" s="113"/>
      <c r="P74" s="113"/>
      <c r="Q74" s="113"/>
      <c r="R74" s="113"/>
      <c r="S74" s="113"/>
      <c r="T74" s="113"/>
      <c r="U74" s="113"/>
      <c r="V74" s="113"/>
      <c r="W74" s="113"/>
      <c r="X74" s="113"/>
      <c r="Y74" s="113"/>
      <c r="Z74" s="113"/>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113"/>
      <c r="CB74" s="113"/>
      <c r="CC74" s="113"/>
      <c r="CD74" s="113"/>
      <c r="CE74" s="113"/>
      <c r="CF74" s="113"/>
      <c r="CG74" s="113"/>
      <c r="CH74" s="113"/>
      <c r="CI74" s="113"/>
      <c r="CJ74" s="113"/>
      <c r="CK74" s="113"/>
      <c r="CL74" s="113"/>
      <c r="CM74" s="113"/>
      <c r="CN74" s="113"/>
      <c r="CO74" s="113"/>
      <c r="CP74" s="113"/>
      <c r="CQ74" s="113"/>
      <c r="CR74" s="113"/>
      <c r="CS74" s="113"/>
      <c r="CT74" s="113"/>
      <c r="CU74" s="113"/>
    </row>
    <row r="75">
      <c r="A75" s="159" t="str">
        <f>IFERROR(__xludf.DUMMYFUNCTION("""COMPUTED_VALUE"""),"B-5")</f>
        <v>B-5</v>
      </c>
      <c r="B75" s="113" t="str">
        <f>IFERROR(__xludf.DUMMYFUNCTION("""COMPUTED_VALUE"""),"Ian")</f>
        <v>Ian</v>
      </c>
      <c r="C75" s="113" t="str">
        <f>IFERROR(__xludf.DUMMYFUNCTION("""COMPUTED_VALUE"""),"Gibson")</f>
        <v>Gibson</v>
      </c>
      <c r="D75" s="158">
        <f>IFERROR(__xludf.DUMMYFUNCTION("""COMPUTED_VALUE"""),1179.0)</f>
        <v>1179</v>
      </c>
      <c r="E75" s="161">
        <f t="shared" si="1"/>
        <v>6</v>
      </c>
      <c r="F75" s="160">
        <f>COUNTIFS('Scores Import DO NOT EDIT'!C:C, D75,'Scores Import DO NOT EDIT'!M:M,A75)</f>
        <v>4</v>
      </c>
      <c r="G75" s="162">
        <f t="shared" si="2"/>
        <v>0.6666666667</v>
      </c>
      <c r="H75" s="163" t="str">
        <f t="shared" si="3"/>
        <v>B-51179</v>
      </c>
      <c r="I75" s="170" t="s">
        <v>678</v>
      </c>
      <c r="J75" s="115">
        <f>COUNTIF('Master Table'!F:F,I75)</f>
        <v>7</v>
      </c>
      <c r="K75" s="113"/>
      <c r="L75" s="158"/>
      <c r="M75" s="166" t="s">
        <v>145</v>
      </c>
      <c r="N75" s="113"/>
      <c r="O75" s="113"/>
      <c r="P75" s="113"/>
      <c r="Q75" s="113"/>
      <c r="R75" s="113"/>
      <c r="S75" s="113"/>
      <c r="T75" s="113"/>
      <c r="U75" s="113"/>
      <c r="V75" s="113"/>
      <c r="W75" s="113"/>
      <c r="X75" s="113"/>
      <c r="Y75" s="113"/>
      <c r="Z75" s="113"/>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113"/>
      <c r="CB75" s="113"/>
      <c r="CC75" s="113"/>
      <c r="CD75" s="113"/>
      <c r="CE75" s="113"/>
      <c r="CF75" s="113"/>
      <c r="CG75" s="113"/>
      <c r="CH75" s="113"/>
      <c r="CI75" s="113"/>
      <c r="CJ75" s="113"/>
      <c r="CK75" s="113"/>
      <c r="CL75" s="113"/>
      <c r="CM75" s="113"/>
      <c r="CN75" s="113"/>
      <c r="CO75" s="113"/>
      <c r="CP75" s="113"/>
      <c r="CQ75" s="113"/>
      <c r="CR75" s="113"/>
      <c r="CS75" s="113"/>
      <c r="CT75" s="113"/>
      <c r="CU75" s="113"/>
    </row>
    <row r="76">
      <c r="A76" s="159" t="str">
        <f>IFERROR(__xludf.DUMMYFUNCTION("""COMPUTED_VALUE"""),"B-6")</f>
        <v>B-6</v>
      </c>
      <c r="B76" s="113" t="str">
        <f>IFERROR(__xludf.DUMMYFUNCTION("""COMPUTED_VALUE"""),"Nini")</f>
        <v>Nini</v>
      </c>
      <c r="C76" s="113" t="str">
        <f>IFERROR(__xludf.DUMMYFUNCTION("""COMPUTED_VALUE"""),"Shatirishvili")</f>
        <v>Shatirishvili</v>
      </c>
      <c r="D76" s="158">
        <f>IFERROR(__xludf.DUMMYFUNCTION("""COMPUTED_VALUE"""),1136.0)</f>
        <v>1136</v>
      </c>
      <c r="E76" s="161">
        <f t="shared" si="1"/>
        <v>6</v>
      </c>
      <c r="F76" s="160">
        <f>COUNTIFS('Scores Import DO NOT EDIT'!C:C, D76,'Scores Import DO NOT EDIT'!M:M,A76)</f>
        <v>0</v>
      </c>
      <c r="G76" s="162">
        <f t="shared" si="2"/>
        <v>0</v>
      </c>
      <c r="H76" s="163" t="str">
        <f t="shared" si="3"/>
        <v>B-61136</v>
      </c>
      <c r="I76" s="172" t="s">
        <v>679</v>
      </c>
      <c r="J76" s="115">
        <f>COUNTIF('Master Table'!F:F,I76)</f>
        <v>8</v>
      </c>
      <c r="K76" s="113"/>
      <c r="L76" s="158"/>
      <c r="M76" s="166" t="s">
        <v>142</v>
      </c>
      <c r="N76" s="113"/>
      <c r="O76" s="113"/>
      <c r="P76" s="113"/>
      <c r="Q76" s="113"/>
      <c r="R76" s="113"/>
      <c r="S76" s="113"/>
      <c r="T76" s="113"/>
      <c r="U76" s="113"/>
      <c r="V76" s="113"/>
      <c r="W76" s="113"/>
      <c r="X76" s="113"/>
      <c r="Y76" s="113"/>
      <c r="Z76" s="113"/>
      <c r="AA76" s="113"/>
      <c r="AB76" s="113"/>
      <c r="AC76" s="113"/>
      <c r="AD76" s="113"/>
      <c r="AE76" s="113"/>
      <c r="AF76" s="113"/>
      <c r="AG76" s="113"/>
      <c r="AH76" s="113"/>
      <c r="AI76" s="113"/>
      <c r="AJ76" s="113"/>
      <c r="AK76" s="113"/>
      <c r="AL76" s="113"/>
      <c r="AM76" s="113"/>
      <c r="AN76" s="113"/>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113"/>
      <c r="CB76" s="113"/>
      <c r="CC76" s="113"/>
      <c r="CD76" s="113"/>
      <c r="CE76" s="113"/>
      <c r="CF76" s="113"/>
      <c r="CG76" s="113"/>
      <c r="CH76" s="113"/>
      <c r="CI76" s="113"/>
      <c r="CJ76" s="113"/>
      <c r="CK76" s="113"/>
      <c r="CL76" s="113"/>
      <c r="CM76" s="113"/>
      <c r="CN76" s="113"/>
      <c r="CO76" s="113"/>
      <c r="CP76" s="113"/>
      <c r="CQ76" s="113"/>
      <c r="CR76" s="113"/>
      <c r="CS76" s="113"/>
      <c r="CT76" s="113"/>
      <c r="CU76" s="113"/>
    </row>
    <row r="77">
      <c r="A77" s="159" t="str">
        <f>IFERROR(__xludf.DUMMYFUNCTION("""COMPUTED_VALUE"""),"B-6")</f>
        <v>B-6</v>
      </c>
      <c r="B77" s="113" t="str">
        <f>IFERROR(__xludf.DUMMYFUNCTION("""COMPUTED_VALUE"""),"Stanley")</f>
        <v>Stanley</v>
      </c>
      <c r="C77" s="113" t="str">
        <f>IFERROR(__xludf.DUMMYFUNCTION("""COMPUTED_VALUE"""),"Maloy")</f>
        <v>Maloy</v>
      </c>
      <c r="D77" s="158">
        <f>IFERROR(__xludf.DUMMYFUNCTION("""COMPUTED_VALUE"""),1041.0)</f>
        <v>1041</v>
      </c>
      <c r="E77" s="161">
        <f t="shared" si="1"/>
        <v>6</v>
      </c>
      <c r="F77" s="160">
        <f>COUNTIFS('Scores Import DO NOT EDIT'!C:C, D77,'Scores Import DO NOT EDIT'!M:M,A77)</f>
        <v>5</v>
      </c>
      <c r="G77" s="162">
        <f t="shared" si="2"/>
        <v>0.8333333333</v>
      </c>
      <c r="H77" s="163" t="str">
        <f t="shared" si="3"/>
        <v>B-61041</v>
      </c>
      <c r="I77" s="172" t="s">
        <v>680</v>
      </c>
      <c r="J77" s="115">
        <f>COUNTIF('Master Table'!F:F,I77)</f>
        <v>7</v>
      </c>
      <c r="K77" s="113"/>
      <c r="L77" s="158"/>
      <c r="M77" s="166" t="s">
        <v>143</v>
      </c>
      <c r="N77" s="113"/>
      <c r="O77" s="113"/>
      <c r="P77" s="113"/>
      <c r="Q77" s="113"/>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113"/>
      <c r="CB77" s="113"/>
      <c r="CC77" s="113"/>
      <c r="CD77" s="113"/>
      <c r="CE77" s="113"/>
      <c r="CF77" s="113"/>
      <c r="CG77" s="113"/>
      <c r="CH77" s="113"/>
      <c r="CI77" s="113"/>
      <c r="CJ77" s="113"/>
      <c r="CK77" s="113"/>
      <c r="CL77" s="113"/>
      <c r="CM77" s="113"/>
      <c r="CN77" s="113"/>
      <c r="CO77" s="113"/>
      <c r="CP77" s="113"/>
      <c r="CQ77" s="113"/>
      <c r="CR77" s="113"/>
      <c r="CS77" s="113"/>
      <c r="CT77" s="113"/>
      <c r="CU77" s="113"/>
    </row>
    <row r="78">
      <c r="A78" s="159" t="str">
        <f>IFERROR(__xludf.DUMMYFUNCTION("""COMPUTED_VALUE"""),"B-6")</f>
        <v>B-6</v>
      </c>
      <c r="B78" s="113" t="str">
        <f>IFERROR(__xludf.DUMMYFUNCTION("""COMPUTED_VALUE"""),"Mark")</f>
        <v>Mark</v>
      </c>
      <c r="C78" s="113" t="str">
        <f>IFERROR(__xludf.DUMMYFUNCTION("""COMPUTED_VALUE"""),"Beatty")</f>
        <v>Beatty</v>
      </c>
      <c r="D78" s="158">
        <f>IFERROR(__xludf.DUMMYFUNCTION("""COMPUTED_VALUE"""),1237.0)</f>
        <v>1237</v>
      </c>
      <c r="E78" s="161">
        <f t="shared" si="1"/>
        <v>6</v>
      </c>
      <c r="F78" s="160">
        <f>COUNTIFS('Scores Import DO NOT EDIT'!C:C, D78,'Scores Import DO NOT EDIT'!M:M,A78)</f>
        <v>5</v>
      </c>
      <c r="G78" s="162">
        <f t="shared" si="2"/>
        <v>0.8333333333</v>
      </c>
      <c r="H78" s="163" t="str">
        <f t="shared" si="3"/>
        <v>B-61237</v>
      </c>
      <c r="I78" s="172" t="s">
        <v>681</v>
      </c>
      <c r="J78" s="115">
        <f>COUNTIF('Master Table'!F:F,I78)</f>
        <v>8</v>
      </c>
      <c r="K78" s="113"/>
      <c r="L78" s="158"/>
      <c r="M78" s="166" t="s">
        <v>149</v>
      </c>
      <c r="N78" s="113"/>
      <c r="O78" s="113"/>
      <c r="P78" s="113"/>
      <c r="Q78" s="113"/>
      <c r="R78" s="113"/>
      <c r="S78" s="113"/>
      <c r="T78" s="113"/>
      <c r="U78" s="113"/>
      <c r="V78" s="113"/>
      <c r="W78" s="113"/>
      <c r="X78" s="113"/>
      <c r="Y78" s="113"/>
      <c r="Z78" s="113"/>
      <c r="AA78" s="113"/>
      <c r="AB78" s="113"/>
      <c r="AC78" s="113"/>
      <c r="AD78" s="113"/>
      <c r="AE78" s="113"/>
      <c r="AF78" s="113"/>
      <c r="AG78" s="113"/>
      <c r="AH78" s="113"/>
      <c r="AI78" s="113"/>
      <c r="AJ78" s="113"/>
      <c r="AK78" s="113"/>
      <c r="AL78" s="113"/>
      <c r="AM78" s="113"/>
      <c r="AN78" s="113"/>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113"/>
      <c r="CB78" s="113"/>
      <c r="CC78" s="113"/>
      <c r="CD78" s="113"/>
      <c r="CE78" s="113"/>
      <c r="CF78" s="113"/>
      <c r="CG78" s="113"/>
      <c r="CH78" s="113"/>
      <c r="CI78" s="113"/>
      <c r="CJ78" s="113"/>
      <c r="CK78" s="113"/>
      <c r="CL78" s="113"/>
      <c r="CM78" s="113"/>
      <c r="CN78" s="113"/>
      <c r="CO78" s="113"/>
      <c r="CP78" s="113"/>
      <c r="CQ78" s="113"/>
      <c r="CR78" s="113"/>
      <c r="CS78" s="113"/>
      <c r="CT78" s="113"/>
      <c r="CU78" s="113"/>
    </row>
    <row r="79">
      <c r="A79" s="159" t="str">
        <f>IFERROR(__xludf.DUMMYFUNCTION("""COMPUTED_VALUE"""),"B-6")</f>
        <v>B-6</v>
      </c>
      <c r="B79" s="113" t="str">
        <f>IFERROR(__xludf.DUMMYFUNCTION("""COMPUTED_VALUE"""),"Delores")</f>
        <v>Delores</v>
      </c>
      <c r="C79" s="113" t="str">
        <f>IFERROR(__xludf.DUMMYFUNCTION("""COMPUTED_VALUE"""),"Fisher")</f>
        <v>Fisher</v>
      </c>
      <c r="D79" s="158">
        <f>IFERROR(__xludf.DUMMYFUNCTION("""COMPUTED_VALUE"""),1169.0)</f>
        <v>1169</v>
      </c>
      <c r="E79" s="161">
        <f t="shared" si="1"/>
        <v>6</v>
      </c>
      <c r="F79" s="160">
        <f>COUNTIFS('Scores Import DO NOT EDIT'!C:C, D79,'Scores Import DO NOT EDIT'!M:M,A79)</f>
        <v>5</v>
      </c>
      <c r="G79" s="162">
        <f t="shared" si="2"/>
        <v>0.8333333333</v>
      </c>
      <c r="H79" s="163" t="str">
        <f t="shared" si="3"/>
        <v>B-61169</v>
      </c>
      <c r="I79" s="172" t="s">
        <v>682</v>
      </c>
      <c r="J79" s="115">
        <f>COUNTIF('Master Table'!F:F,I79)</f>
        <v>7</v>
      </c>
      <c r="K79" s="113"/>
      <c r="L79" s="158"/>
      <c r="M79" s="166" t="s">
        <v>146</v>
      </c>
      <c r="N79" s="113"/>
      <c r="O79" s="113"/>
      <c r="P79" s="113"/>
      <c r="Q79" s="113"/>
      <c r="R79" s="113"/>
      <c r="S79" s="113"/>
      <c r="T79" s="113"/>
      <c r="U79" s="113"/>
      <c r="V79" s="113"/>
      <c r="W79" s="113"/>
      <c r="X79" s="113"/>
      <c r="Y79" s="113"/>
      <c r="Z79" s="113"/>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row>
    <row r="80">
      <c r="A80" s="159" t="str">
        <f>IFERROR(__xludf.DUMMYFUNCTION("""COMPUTED_VALUE"""),"B-6")</f>
        <v>B-6</v>
      </c>
      <c r="B80" s="113" t="str">
        <f>IFERROR(__xludf.DUMMYFUNCTION("""COMPUTED_VALUE"""),"Sanford")</f>
        <v>Sanford</v>
      </c>
      <c r="C80" s="113" t="str">
        <f>IFERROR(__xludf.DUMMYFUNCTION("""COMPUTED_VALUE"""),"Bernstein")</f>
        <v>Bernstein</v>
      </c>
      <c r="D80" s="158">
        <f>IFERROR(__xludf.DUMMYFUNCTION("""COMPUTED_VALUE"""),1047.0)</f>
        <v>1047</v>
      </c>
      <c r="E80" s="161">
        <f t="shared" si="1"/>
        <v>6</v>
      </c>
      <c r="F80" s="160">
        <f>COUNTIFS('Scores Import DO NOT EDIT'!C:C, D80,'Scores Import DO NOT EDIT'!M:M,A80)</f>
        <v>5</v>
      </c>
      <c r="G80" s="162">
        <f t="shared" si="2"/>
        <v>0.8333333333</v>
      </c>
      <c r="H80" s="163" t="str">
        <f t="shared" si="3"/>
        <v>B-61047</v>
      </c>
      <c r="I80" s="172" t="s">
        <v>683</v>
      </c>
      <c r="J80" s="115">
        <f>COUNTIF('Master Table'!F:F,I80)</f>
        <v>8</v>
      </c>
      <c r="K80" s="113"/>
      <c r="L80" s="158"/>
      <c r="M80" s="166" t="s">
        <v>150</v>
      </c>
      <c r="N80" s="113"/>
      <c r="O80" s="113"/>
      <c r="P80" s="113"/>
      <c r="Q80" s="113"/>
      <c r="R80" s="113"/>
      <c r="S80" s="113"/>
      <c r="T80" s="113"/>
      <c r="U80" s="113"/>
      <c r="V80" s="113"/>
      <c r="W80" s="113"/>
      <c r="X80" s="113"/>
      <c r="Y80" s="113"/>
      <c r="Z80" s="113"/>
      <c r="AA80" s="113"/>
      <c r="AB80" s="113"/>
      <c r="AC80" s="113"/>
      <c r="AD80" s="113"/>
      <c r="AE80" s="113"/>
      <c r="AF80" s="113"/>
      <c r="AG80" s="113"/>
      <c r="AH80" s="113"/>
      <c r="AI80" s="113"/>
      <c r="AJ80" s="113"/>
      <c r="AK80" s="113"/>
      <c r="AL80" s="113"/>
      <c r="AM80" s="113"/>
      <c r="AN80" s="113"/>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113"/>
      <c r="CB80" s="113"/>
      <c r="CC80" s="113"/>
      <c r="CD80" s="113"/>
      <c r="CE80" s="113"/>
      <c r="CF80" s="113"/>
      <c r="CG80" s="113"/>
      <c r="CH80" s="113"/>
      <c r="CI80" s="113"/>
      <c r="CJ80" s="113"/>
      <c r="CK80" s="113"/>
      <c r="CL80" s="113"/>
      <c r="CM80" s="113"/>
      <c r="CN80" s="113"/>
      <c r="CO80" s="113"/>
      <c r="CP80" s="113"/>
      <c r="CQ80" s="113"/>
      <c r="CR80" s="113"/>
      <c r="CS80" s="113"/>
      <c r="CT80" s="113"/>
      <c r="CU80" s="113"/>
    </row>
    <row r="81">
      <c r="A81" s="159" t="str">
        <f>IFERROR(__xludf.DUMMYFUNCTION("""COMPUTED_VALUE"""),"B-7")</f>
        <v>B-7</v>
      </c>
      <c r="B81" s="113" t="str">
        <f>IFERROR(__xludf.DUMMYFUNCTION("""COMPUTED_VALUE"""),"Sandra A.")</f>
        <v>Sandra A.</v>
      </c>
      <c r="C81" s="113" t="str">
        <f>IFERROR(__xludf.DUMMYFUNCTION("""COMPUTED_VALUE"""),"Wawrytko")</f>
        <v>Wawrytko</v>
      </c>
      <c r="D81" s="158">
        <f>IFERROR(__xludf.DUMMYFUNCTION("""COMPUTED_VALUE"""),1004.0)</f>
        <v>1004</v>
      </c>
      <c r="E81" s="161">
        <f t="shared" si="1"/>
        <v>6</v>
      </c>
      <c r="F81" s="160">
        <f>COUNTIFS('Scores Import DO NOT EDIT'!C:C, D81,'Scores Import DO NOT EDIT'!M:M,A81)</f>
        <v>5</v>
      </c>
      <c r="G81" s="162">
        <f t="shared" si="2"/>
        <v>0.8333333333</v>
      </c>
      <c r="H81" s="163" t="str">
        <f t="shared" si="3"/>
        <v>B-71004</v>
      </c>
      <c r="I81" s="172" t="s">
        <v>684</v>
      </c>
      <c r="J81" s="115">
        <f>COUNTIF('Master Table'!F:F,I81)</f>
        <v>8</v>
      </c>
      <c r="K81" s="113"/>
      <c r="L81" s="158"/>
      <c r="M81" s="166" t="s">
        <v>151</v>
      </c>
      <c r="N81" s="113"/>
      <c r="O81" s="113"/>
      <c r="P81" s="113"/>
      <c r="Q81" s="113"/>
      <c r="R81" s="113"/>
      <c r="S81" s="113"/>
      <c r="T81" s="113"/>
      <c r="U81" s="113"/>
      <c r="V81" s="113"/>
      <c r="W81" s="113"/>
      <c r="X81" s="113"/>
      <c r="Y81" s="113"/>
      <c r="Z81" s="113"/>
      <c r="AA81" s="113"/>
      <c r="AB81" s="113"/>
      <c r="AC81" s="113"/>
      <c r="AD81" s="113"/>
      <c r="AE81" s="113"/>
      <c r="AF81" s="113"/>
      <c r="AG81" s="113"/>
      <c r="AH81" s="113"/>
      <c r="AI81" s="113"/>
      <c r="AJ81" s="113"/>
      <c r="AK81" s="113"/>
      <c r="AL81" s="113"/>
      <c r="AM81" s="113"/>
      <c r="AN81" s="113"/>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113"/>
      <c r="CB81" s="113"/>
      <c r="CC81" s="113"/>
      <c r="CD81" s="113"/>
      <c r="CE81" s="113"/>
      <c r="CF81" s="113"/>
      <c r="CG81" s="113"/>
      <c r="CH81" s="113"/>
      <c r="CI81" s="113"/>
      <c r="CJ81" s="113"/>
      <c r="CK81" s="113"/>
      <c r="CL81" s="113"/>
      <c r="CM81" s="113"/>
      <c r="CN81" s="113"/>
      <c r="CO81" s="113"/>
      <c r="CP81" s="113"/>
      <c r="CQ81" s="113"/>
      <c r="CR81" s="113"/>
      <c r="CS81" s="113"/>
      <c r="CT81" s="113"/>
      <c r="CU81" s="113"/>
    </row>
    <row r="82">
      <c r="A82" s="159" t="str">
        <f>IFERROR(__xludf.DUMMYFUNCTION("""COMPUTED_VALUE"""),"B-7")</f>
        <v>B-7</v>
      </c>
      <c r="B82" s="113" t="str">
        <f>IFERROR(__xludf.DUMMYFUNCTION("""COMPUTED_VALUE"""),"Eric")</f>
        <v>Eric</v>
      </c>
      <c r="C82" s="113" t="str">
        <f>IFERROR(__xludf.DUMMYFUNCTION("""COMPUTED_VALUE"""),"Smigel")</f>
        <v>Smigel</v>
      </c>
      <c r="D82" s="158">
        <f>IFERROR(__xludf.DUMMYFUNCTION("""COMPUTED_VALUE"""),1026.0)</f>
        <v>1026</v>
      </c>
      <c r="E82" s="161">
        <f t="shared" si="1"/>
        <v>6</v>
      </c>
      <c r="F82" s="160">
        <f>COUNTIFS('Scores Import DO NOT EDIT'!C:C, D82,'Scores Import DO NOT EDIT'!M:M,A82)</f>
        <v>5</v>
      </c>
      <c r="G82" s="162">
        <f t="shared" si="2"/>
        <v>0.8333333333</v>
      </c>
      <c r="H82" s="163" t="str">
        <f t="shared" si="3"/>
        <v>B-71026</v>
      </c>
      <c r="I82" s="172" t="s">
        <v>685</v>
      </c>
      <c r="J82" s="115">
        <f>COUNTIF('Master Table'!F:F,I82)</f>
        <v>4</v>
      </c>
      <c r="K82" s="113"/>
      <c r="L82" s="158"/>
      <c r="M82" s="166" t="s">
        <v>147</v>
      </c>
      <c r="N82" s="113"/>
      <c r="O82" s="113"/>
      <c r="P82" s="113"/>
      <c r="Q82" s="113"/>
      <c r="R82" s="113"/>
      <c r="S82" s="113"/>
      <c r="T82" s="113"/>
      <c r="U82" s="113"/>
      <c r="V82" s="113"/>
      <c r="W82" s="113"/>
      <c r="X82" s="113"/>
      <c r="Y82" s="113"/>
      <c r="Z82" s="113"/>
      <c r="AA82" s="113"/>
      <c r="AB82" s="113"/>
      <c r="AC82" s="113"/>
      <c r="AD82" s="113"/>
      <c r="AE82" s="113"/>
      <c r="AF82" s="113"/>
      <c r="AG82" s="113"/>
      <c r="AH82" s="113"/>
      <c r="AI82" s="113"/>
      <c r="AJ82" s="113"/>
      <c r="AK82" s="113"/>
      <c r="AL82" s="113"/>
      <c r="AM82" s="113"/>
      <c r="AN82" s="113"/>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113"/>
      <c r="CB82" s="113"/>
      <c r="CC82" s="113"/>
      <c r="CD82" s="113"/>
      <c r="CE82" s="113"/>
      <c r="CF82" s="113"/>
      <c r="CG82" s="113"/>
      <c r="CH82" s="113"/>
      <c r="CI82" s="113"/>
      <c r="CJ82" s="113"/>
      <c r="CK82" s="113"/>
      <c r="CL82" s="113"/>
      <c r="CM82" s="113"/>
      <c r="CN82" s="113"/>
      <c r="CO82" s="113"/>
      <c r="CP82" s="113"/>
      <c r="CQ82" s="113"/>
      <c r="CR82" s="113"/>
      <c r="CS82" s="113"/>
      <c r="CT82" s="113"/>
      <c r="CU82" s="113"/>
    </row>
    <row r="83">
      <c r="A83" s="159" t="str">
        <f>IFERROR(__xludf.DUMMYFUNCTION("""COMPUTED_VALUE"""),"B-7")</f>
        <v>B-7</v>
      </c>
      <c r="B83" s="113" t="str">
        <f>IFERROR(__xludf.DUMMYFUNCTION("""COMPUTED_VALUE"""),"Esra")</f>
        <v>Esra</v>
      </c>
      <c r="C83" s="113" t="str">
        <f>IFERROR(__xludf.DUMMYFUNCTION("""COMPUTED_VALUE"""),"Tunc")</f>
        <v>Tunc</v>
      </c>
      <c r="D83" s="158">
        <f>IFERROR(__xludf.DUMMYFUNCTION("""COMPUTED_VALUE"""),1008.0)</f>
        <v>1008</v>
      </c>
      <c r="E83" s="161">
        <f t="shared" si="1"/>
        <v>6</v>
      </c>
      <c r="F83" s="160">
        <f>COUNTIFS('Scores Import DO NOT EDIT'!C:C, D83,'Scores Import DO NOT EDIT'!M:M,A83)</f>
        <v>5</v>
      </c>
      <c r="G83" s="162">
        <f t="shared" si="2"/>
        <v>0.8333333333</v>
      </c>
      <c r="H83" s="163" t="str">
        <f t="shared" si="3"/>
        <v>B-71008</v>
      </c>
      <c r="I83" s="172" t="s">
        <v>686</v>
      </c>
      <c r="J83" s="115">
        <f>COUNTIF('Master Table'!F:F,I83)</f>
        <v>6</v>
      </c>
      <c r="K83" s="113"/>
      <c r="L83" s="158"/>
      <c r="M83" s="166" t="s">
        <v>148</v>
      </c>
      <c r="N83" s="113"/>
      <c r="O83" s="113"/>
      <c r="P83" s="113"/>
      <c r="Q83" s="113"/>
      <c r="R83" s="113"/>
      <c r="S83" s="113"/>
      <c r="T83" s="113"/>
      <c r="U83" s="113"/>
      <c r="V83" s="113"/>
      <c r="W83" s="113"/>
      <c r="X83" s="113"/>
      <c r="Y83" s="113"/>
      <c r="Z83" s="113"/>
      <c r="AA83" s="113"/>
      <c r="AB83" s="113"/>
      <c r="AC83" s="113"/>
      <c r="AD83" s="113"/>
      <c r="AE83" s="113"/>
      <c r="AF83" s="113"/>
      <c r="AG83" s="113"/>
      <c r="AH83" s="113"/>
      <c r="AI83" s="113"/>
      <c r="AJ83" s="113"/>
      <c r="AK83" s="113"/>
      <c r="AL83" s="113"/>
      <c r="AM83" s="113"/>
      <c r="AN83" s="113"/>
      <c r="AO83" s="113"/>
      <c r="AP83" s="113"/>
      <c r="AQ83" s="113"/>
      <c r="AR83" s="113"/>
      <c r="AS83" s="113"/>
      <c r="AT83" s="113"/>
      <c r="AU83" s="113"/>
      <c r="AV83" s="113"/>
      <c r="AW83" s="113"/>
      <c r="AX83" s="113"/>
      <c r="AY83" s="113"/>
      <c r="AZ83" s="113"/>
      <c r="BA83" s="113"/>
      <c r="BB83" s="113"/>
      <c r="BC83" s="113"/>
      <c r="BD83" s="113"/>
      <c r="BE83" s="113"/>
      <c r="BF83" s="113"/>
      <c r="BG83" s="113"/>
      <c r="BH83" s="113"/>
      <c r="BI83" s="113"/>
      <c r="BJ83" s="113"/>
      <c r="BK83" s="113"/>
      <c r="BL83" s="113"/>
      <c r="BM83" s="113"/>
      <c r="BN83" s="113"/>
      <c r="BO83" s="113"/>
      <c r="BP83" s="113"/>
      <c r="BQ83" s="113"/>
      <c r="BR83" s="113"/>
      <c r="BS83" s="113"/>
      <c r="BT83" s="113"/>
      <c r="BU83" s="113"/>
      <c r="BV83" s="113"/>
      <c r="BW83" s="113"/>
      <c r="BX83" s="113"/>
      <c r="BY83" s="113"/>
      <c r="BZ83" s="113"/>
      <c r="CA83" s="113"/>
      <c r="CB83" s="113"/>
      <c r="CC83" s="113"/>
      <c r="CD83" s="113"/>
      <c r="CE83" s="113"/>
      <c r="CF83" s="113"/>
      <c r="CG83" s="113"/>
      <c r="CH83" s="113"/>
      <c r="CI83" s="113"/>
      <c r="CJ83" s="113"/>
      <c r="CK83" s="113"/>
      <c r="CL83" s="113"/>
      <c r="CM83" s="113"/>
      <c r="CN83" s="113"/>
      <c r="CO83" s="113"/>
      <c r="CP83" s="113"/>
      <c r="CQ83" s="113"/>
      <c r="CR83" s="113"/>
      <c r="CS83" s="113"/>
      <c r="CT83" s="113"/>
      <c r="CU83" s="113"/>
    </row>
    <row r="84">
      <c r="A84" s="159" t="str">
        <f>IFERROR(__xludf.DUMMYFUNCTION("""COMPUTED_VALUE"""),"B-7")</f>
        <v>B-7</v>
      </c>
      <c r="B84" s="113" t="str">
        <f>IFERROR(__xludf.DUMMYFUNCTION("""COMPUTED_VALUE"""),"Chuck")</f>
        <v>Chuck</v>
      </c>
      <c r="C84" s="113" t="str">
        <f>IFERROR(__xludf.DUMMYFUNCTION("""COMPUTED_VALUE"""),"Dintrone")</f>
        <v>Dintrone</v>
      </c>
      <c r="D84" s="158">
        <f>IFERROR(__xludf.DUMMYFUNCTION("""COMPUTED_VALUE"""),1007.0)</f>
        <v>1007</v>
      </c>
      <c r="E84" s="161">
        <f t="shared" si="1"/>
        <v>6</v>
      </c>
      <c r="F84" s="160">
        <f>COUNTIFS('Scores Import DO NOT EDIT'!C:C, D84,'Scores Import DO NOT EDIT'!M:M,A84)</f>
        <v>5</v>
      </c>
      <c r="G84" s="162">
        <f t="shared" si="2"/>
        <v>0.8333333333</v>
      </c>
      <c r="H84" s="163" t="str">
        <f t="shared" si="3"/>
        <v>B-71007</v>
      </c>
      <c r="I84" s="172" t="s">
        <v>687</v>
      </c>
      <c r="J84" s="115">
        <f>COUNTIF('Master Table'!F:F,I84)</f>
        <v>5</v>
      </c>
      <c r="K84" s="113"/>
      <c r="L84" s="158"/>
      <c r="M84" s="166" t="s">
        <v>154</v>
      </c>
      <c r="N84" s="113"/>
      <c r="O84" s="113"/>
      <c r="P84" s="113"/>
      <c r="Q84" s="113"/>
      <c r="R84" s="113"/>
      <c r="S84" s="113"/>
      <c r="T84" s="113"/>
      <c r="U84" s="113"/>
      <c r="V84" s="113"/>
      <c r="W84" s="113"/>
      <c r="X84" s="113"/>
      <c r="Y84" s="113"/>
      <c r="Z84" s="113"/>
      <c r="AA84" s="113"/>
      <c r="AB84" s="113"/>
      <c r="AC84" s="113"/>
      <c r="AD84" s="113"/>
      <c r="AE84" s="113"/>
      <c r="AF84" s="113"/>
      <c r="AG84" s="113"/>
      <c r="AH84" s="113"/>
      <c r="AI84" s="113"/>
      <c r="AJ84" s="113"/>
      <c r="AK84" s="113"/>
      <c r="AL84" s="113"/>
      <c r="AM84" s="113"/>
      <c r="AN84" s="113"/>
      <c r="AO84" s="113"/>
      <c r="AP84" s="113"/>
      <c r="AQ84" s="113"/>
      <c r="AR84" s="113"/>
      <c r="AS84" s="113"/>
      <c r="AT84" s="113"/>
      <c r="AU84" s="113"/>
      <c r="AV84" s="113"/>
      <c r="AW84" s="113"/>
      <c r="AX84" s="113"/>
      <c r="AY84" s="113"/>
      <c r="AZ84" s="113"/>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row>
    <row r="85">
      <c r="A85" s="159" t="str">
        <f>IFERROR(__xludf.DUMMYFUNCTION("""COMPUTED_VALUE"""),"B-7")</f>
        <v>B-7</v>
      </c>
      <c r="B85" s="113" t="str">
        <f>IFERROR(__xludf.DUMMYFUNCTION("""COMPUTED_VALUE"""),"Bill")</f>
        <v>Bill</v>
      </c>
      <c r="C85" s="113" t="str">
        <f>IFERROR(__xludf.DUMMYFUNCTION("""COMPUTED_VALUE"""),"Aaron")</f>
        <v>Aaron</v>
      </c>
      <c r="D85" s="158">
        <f>IFERROR(__xludf.DUMMYFUNCTION("""COMPUTED_VALUE"""),1060.0)</f>
        <v>1060</v>
      </c>
      <c r="E85" s="161">
        <f t="shared" si="1"/>
        <v>6</v>
      </c>
      <c r="F85" s="160">
        <f>COUNTIFS('Scores Import DO NOT EDIT'!C:C, D85,'Scores Import DO NOT EDIT'!M:M,A85)</f>
        <v>6</v>
      </c>
      <c r="G85" s="162">
        <f t="shared" si="2"/>
        <v>1</v>
      </c>
      <c r="H85" s="163" t="str">
        <f t="shared" si="3"/>
        <v>B-71060</v>
      </c>
      <c r="I85" s="172" t="s">
        <v>688</v>
      </c>
      <c r="J85" s="115">
        <f>COUNTIF('Master Table'!F:F,I85)</f>
        <v>3</v>
      </c>
      <c r="K85" s="113"/>
      <c r="L85" s="158"/>
      <c r="M85" s="166" t="s">
        <v>156</v>
      </c>
      <c r="N85" s="113"/>
      <c r="O85" s="113"/>
      <c r="P85" s="113"/>
      <c r="Q85" s="113"/>
      <c r="R85" s="113"/>
      <c r="S85" s="113"/>
      <c r="T85" s="113"/>
      <c r="U85" s="113"/>
      <c r="V85" s="113"/>
      <c r="W85" s="113"/>
      <c r="X85" s="113"/>
      <c r="Y85" s="113"/>
      <c r="Z85" s="113"/>
      <c r="AA85" s="113"/>
      <c r="AB85" s="113"/>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row>
    <row r="86">
      <c r="A86" s="159" t="str">
        <f>IFERROR(__xludf.DUMMYFUNCTION("""COMPUTED_VALUE"""),"B-8")</f>
        <v>B-8</v>
      </c>
      <c r="B86" s="113" t="str">
        <f>IFERROR(__xludf.DUMMYFUNCTION("""COMPUTED_VALUE"""),"Xin")</f>
        <v>Xin</v>
      </c>
      <c r="C86" s="113" t="str">
        <f>IFERROR(__xludf.DUMMYFUNCTION("""COMPUTED_VALUE"""),"Wang")</f>
        <v>Wang</v>
      </c>
      <c r="D86" s="158">
        <f>IFERROR(__xludf.DUMMYFUNCTION("""COMPUTED_VALUE"""),1168.0)</f>
        <v>1168</v>
      </c>
      <c r="E86" s="161">
        <f t="shared" si="1"/>
        <v>5</v>
      </c>
      <c r="F86" s="160">
        <f>COUNTIFS('Scores Import DO NOT EDIT'!C:C, D86,'Scores Import DO NOT EDIT'!M:M,A86)</f>
        <v>4</v>
      </c>
      <c r="G86" s="162">
        <f t="shared" si="2"/>
        <v>0.8</v>
      </c>
      <c r="H86" s="163" t="str">
        <f t="shared" si="3"/>
        <v>B-81168</v>
      </c>
      <c r="I86" s="172" t="s">
        <v>689</v>
      </c>
      <c r="J86" s="115">
        <f>COUNTIF('Master Table'!F:F,I86)</f>
        <v>3</v>
      </c>
      <c r="K86" s="113"/>
      <c r="L86" s="158"/>
      <c r="M86" s="166" t="s">
        <v>157</v>
      </c>
      <c r="N86" s="113"/>
      <c r="O86" s="113"/>
      <c r="P86" s="113"/>
      <c r="Q86" s="113"/>
      <c r="R86" s="113"/>
      <c r="S86" s="113"/>
      <c r="T86" s="113"/>
      <c r="U86" s="113"/>
      <c r="V86" s="113"/>
      <c r="W86" s="113"/>
      <c r="X86" s="113"/>
      <c r="Y86" s="113"/>
      <c r="Z86" s="113"/>
      <c r="AA86" s="113"/>
      <c r="AB86" s="113"/>
      <c r="AC86" s="113"/>
      <c r="AD86" s="113"/>
      <c r="AE86" s="113"/>
      <c r="AF86" s="113"/>
      <c r="AG86" s="113"/>
      <c r="AH86" s="113"/>
      <c r="AI86" s="113"/>
      <c r="AJ86" s="113"/>
      <c r="AK86" s="113"/>
      <c r="AL86" s="113"/>
      <c r="AM86" s="113"/>
      <c r="AN86" s="113"/>
      <c r="AO86" s="113"/>
      <c r="AP86" s="113"/>
      <c r="AQ86" s="113"/>
      <c r="AR86" s="113"/>
      <c r="AS86" s="113"/>
      <c r="AT86" s="113"/>
      <c r="AU86" s="113"/>
      <c r="AV86" s="113"/>
      <c r="AW86" s="113"/>
      <c r="AX86" s="113"/>
      <c r="AY86" s="113"/>
      <c r="AZ86" s="113"/>
      <c r="BA86" s="113"/>
      <c r="BB86" s="113"/>
      <c r="BC86" s="113"/>
      <c r="BD86" s="113"/>
      <c r="BE86" s="113"/>
      <c r="BF86" s="113"/>
      <c r="BG86" s="113"/>
      <c r="BH86" s="113"/>
      <c r="BI86" s="113"/>
      <c r="BJ86" s="113"/>
      <c r="BK86" s="113"/>
      <c r="BL86" s="113"/>
      <c r="BM86" s="113"/>
      <c r="BN86" s="113"/>
      <c r="BO86" s="113"/>
      <c r="BP86" s="113"/>
      <c r="BQ86" s="113"/>
      <c r="BR86" s="113"/>
      <c r="BS86" s="113"/>
      <c r="BT86" s="113"/>
      <c r="BU86" s="113"/>
      <c r="BV86" s="113"/>
      <c r="BW86" s="113"/>
      <c r="BX86" s="113"/>
      <c r="BY86" s="113"/>
      <c r="BZ86" s="113"/>
      <c r="CA86" s="113"/>
      <c r="CB86" s="113"/>
      <c r="CC86" s="113"/>
      <c r="CD86" s="113"/>
      <c r="CE86" s="113"/>
      <c r="CF86" s="113"/>
      <c r="CG86" s="113"/>
      <c r="CH86" s="113"/>
      <c r="CI86" s="113"/>
      <c r="CJ86" s="113"/>
      <c r="CK86" s="113"/>
      <c r="CL86" s="113"/>
      <c r="CM86" s="113"/>
      <c r="CN86" s="113"/>
      <c r="CO86" s="113"/>
      <c r="CP86" s="113"/>
      <c r="CQ86" s="113"/>
      <c r="CR86" s="113"/>
      <c r="CS86" s="113"/>
      <c r="CT86" s="113"/>
      <c r="CU86" s="113"/>
    </row>
    <row r="87">
      <c r="A87" s="159" t="str">
        <f>IFERROR(__xludf.DUMMYFUNCTION("""COMPUTED_VALUE"""),"B-8")</f>
        <v>B-8</v>
      </c>
      <c r="B87" s="113" t="str">
        <f>IFERROR(__xludf.DUMMYFUNCTION("""COMPUTED_VALUE"""),"Joseph")</f>
        <v>Joseph</v>
      </c>
      <c r="C87" s="113" t="str">
        <f>IFERROR(__xludf.DUMMYFUNCTION("""COMPUTED_VALUE"""),"Saad")</f>
        <v>Saad</v>
      </c>
      <c r="D87" s="158">
        <f>IFERROR(__xludf.DUMMYFUNCTION("""COMPUTED_VALUE"""),1171.0)</f>
        <v>1171</v>
      </c>
      <c r="E87" s="161">
        <f t="shared" si="1"/>
        <v>5</v>
      </c>
      <c r="F87" s="160">
        <f>COUNTIFS('Scores Import DO NOT EDIT'!C:C, D87,'Scores Import DO NOT EDIT'!M:M,A87)</f>
        <v>0</v>
      </c>
      <c r="G87" s="162">
        <f t="shared" si="2"/>
        <v>0</v>
      </c>
      <c r="H87" s="163" t="str">
        <f t="shared" si="3"/>
        <v>B-81171</v>
      </c>
      <c r="I87" s="172" t="s">
        <v>690</v>
      </c>
      <c r="J87" s="115">
        <f>COUNTIF('Master Table'!F:F,I87)</f>
        <v>3</v>
      </c>
      <c r="K87" s="113"/>
      <c r="L87" s="158"/>
      <c r="M87" s="166" t="s">
        <v>153</v>
      </c>
      <c r="N87" s="113"/>
      <c r="O87" s="113"/>
      <c r="P87" s="113"/>
      <c r="Q87" s="113"/>
      <c r="R87" s="113"/>
      <c r="S87" s="113"/>
      <c r="T87" s="113"/>
      <c r="U87" s="113"/>
      <c r="V87" s="113"/>
      <c r="W87" s="113"/>
      <c r="X87" s="113"/>
      <c r="Y87" s="113"/>
      <c r="Z87" s="113"/>
      <c r="AA87" s="113"/>
      <c r="AB87" s="113"/>
      <c r="AC87" s="113"/>
      <c r="AD87" s="113"/>
      <c r="AE87" s="113"/>
      <c r="AF87" s="113"/>
      <c r="AG87" s="113"/>
      <c r="AH87" s="113"/>
      <c r="AI87" s="113"/>
      <c r="AJ87" s="113"/>
      <c r="AK87" s="113"/>
      <c r="AL87" s="113"/>
      <c r="AM87" s="113"/>
      <c r="AN87" s="113"/>
      <c r="AO87" s="113"/>
      <c r="AP87" s="113"/>
      <c r="AQ87" s="113"/>
      <c r="AR87" s="113"/>
      <c r="AS87" s="113"/>
      <c r="AT87" s="113"/>
      <c r="AU87" s="113"/>
      <c r="AV87" s="113"/>
      <c r="AW87" s="113"/>
      <c r="AX87" s="113"/>
      <c r="AY87" s="113"/>
      <c r="AZ87" s="113"/>
      <c r="BA87" s="113"/>
      <c r="BB87" s="113"/>
      <c r="BC87" s="113"/>
      <c r="BD87" s="113"/>
      <c r="BE87" s="113"/>
      <c r="BF87" s="113"/>
      <c r="BG87" s="113"/>
      <c r="BH87" s="113"/>
      <c r="BI87" s="113"/>
      <c r="BJ87" s="113"/>
      <c r="BK87" s="113"/>
      <c r="BL87" s="113"/>
      <c r="BM87" s="113"/>
      <c r="BN87" s="113"/>
      <c r="BO87" s="113"/>
      <c r="BP87" s="113"/>
      <c r="BQ87" s="113"/>
      <c r="BR87" s="113"/>
      <c r="BS87" s="113"/>
      <c r="BT87" s="113"/>
      <c r="BU87" s="113"/>
      <c r="BV87" s="113"/>
      <c r="BW87" s="113"/>
      <c r="BX87" s="113"/>
      <c r="BY87" s="113"/>
      <c r="BZ87" s="113"/>
      <c r="CA87" s="113"/>
      <c r="CB87" s="113"/>
      <c r="CC87" s="113"/>
      <c r="CD87" s="113"/>
      <c r="CE87" s="113"/>
      <c r="CF87" s="113"/>
      <c r="CG87" s="113"/>
      <c r="CH87" s="113"/>
      <c r="CI87" s="113"/>
      <c r="CJ87" s="113"/>
      <c r="CK87" s="113"/>
      <c r="CL87" s="113"/>
      <c r="CM87" s="113"/>
      <c r="CN87" s="113"/>
      <c r="CO87" s="113"/>
      <c r="CP87" s="113"/>
      <c r="CQ87" s="113"/>
      <c r="CR87" s="113"/>
      <c r="CS87" s="113"/>
      <c r="CT87" s="113"/>
      <c r="CU87" s="113"/>
    </row>
    <row r="88">
      <c r="A88" s="159" t="str">
        <f>IFERROR(__xludf.DUMMYFUNCTION("""COMPUTED_VALUE"""),"B-8")</f>
        <v>B-8</v>
      </c>
      <c r="B88" s="113" t="str">
        <f>IFERROR(__xludf.DUMMYFUNCTION("""COMPUTED_VALUE"""),"Margaret")</f>
        <v>Margaret</v>
      </c>
      <c r="C88" s="113" t="str">
        <f>IFERROR(__xludf.DUMMYFUNCTION("""COMPUTED_VALUE"""),"Stack")</f>
        <v>Stack</v>
      </c>
      <c r="D88" s="158">
        <f>IFERROR(__xludf.DUMMYFUNCTION("""COMPUTED_VALUE"""),1155.0)</f>
        <v>1155</v>
      </c>
      <c r="E88" s="161">
        <f t="shared" si="1"/>
        <v>5</v>
      </c>
      <c r="F88" s="160">
        <f>COUNTIFS('Scores Import DO NOT EDIT'!C:C, D88,'Scores Import DO NOT EDIT'!M:M,A88)</f>
        <v>3</v>
      </c>
      <c r="G88" s="162">
        <f t="shared" si="2"/>
        <v>0.6</v>
      </c>
      <c r="H88" s="163" t="str">
        <f t="shared" si="3"/>
        <v>B-81155</v>
      </c>
      <c r="I88" s="172" t="s">
        <v>691</v>
      </c>
      <c r="J88" s="115">
        <f>COUNTIF('Master Table'!F:F,I88)</f>
        <v>4</v>
      </c>
      <c r="K88" s="113"/>
      <c r="L88" s="158"/>
      <c r="M88" s="166" t="s">
        <v>152</v>
      </c>
      <c r="N88" s="113"/>
      <c r="O88" s="113"/>
      <c r="P88" s="113"/>
      <c r="Q88" s="113"/>
      <c r="R88" s="113"/>
      <c r="S88" s="113"/>
      <c r="T88" s="113"/>
      <c r="U88" s="113"/>
      <c r="V88" s="113"/>
      <c r="W88" s="113"/>
      <c r="X88" s="113"/>
      <c r="Y88" s="113"/>
      <c r="Z88" s="113"/>
      <c r="AA88" s="113"/>
      <c r="AB88" s="113"/>
      <c r="AC88" s="113"/>
      <c r="AD88" s="113"/>
      <c r="AE88" s="113"/>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c r="BF88" s="113"/>
      <c r="BG88" s="113"/>
      <c r="BH88" s="113"/>
      <c r="BI88" s="113"/>
      <c r="BJ88" s="113"/>
      <c r="BK88" s="113"/>
      <c r="BL88" s="113"/>
      <c r="BM88" s="113"/>
      <c r="BN88" s="113"/>
      <c r="BO88" s="113"/>
      <c r="BP88" s="113"/>
      <c r="BQ88" s="113"/>
      <c r="BR88" s="113"/>
      <c r="BS88" s="113"/>
      <c r="BT88" s="113"/>
      <c r="BU88" s="113"/>
      <c r="BV88" s="113"/>
      <c r="BW88" s="113"/>
      <c r="BX88" s="113"/>
      <c r="BY88" s="113"/>
      <c r="BZ88" s="113"/>
      <c r="CA88" s="113"/>
      <c r="CB88" s="113"/>
      <c r="CC88" s="113"/>
      <c r="CD88" s="113"/>
      <c r="CE88" s="113"/>
      <c r="CF88" s="113"/>
      <c r="CG88" s="113"/>
      <c r="CH88" s="113"/>
      <c r="CI88" s="113"/>
      <c r="CJ88" s="113"/>
      <c r="CK88" s="113"/>
      <c r="CL88" s="113"/>
      <c r="CM88" s="113"/>
      <c r="CN88" s="113"/>
      <c r="CO88" s="113"/>
      <c r="CP88" s="113"/>
      <c r="CQ88" s="113"/>
      <c r="CR88" s="113"/>
      <c r="CS88" s="113"/>
      <c r="CT88" s="113"/>
      <c r="CU88" s="113"/>
    </row>
    <row r="89">
      <c r="A89" s="159" t="str">
        <f>IFERROR(__xludf.DUMMYFUNCTION("""COMPUTED_VALUE"""),"B-8")</f>
        <v>B-8</v>
      </c>
      <c r="B89" s="113" t="str">
        <f>IFERROR(__xludf.DUMMYFUNCTION("""COMPUTED_VALUE"""),"Colin")</f>
        <v>Colin</v>
      </c>
      <c r="C89" s="113" t="str">
        <f>IFERROR(__xludf.DUMMYFUNCTION("""COMPUTED_VALUE"""),"McGrane")</f>
        <v>McGrane</v>
      </c>
      <c r="D89" s="158">
        <f>IFERROR(__xludf.DUMMYFUNCTION("""COMPUTED_VALUE"""),1142.0)</f>
        <v>1142</v>
      </c>
      <c r="E89" s="161">
        <f t="shared" si="1"/>
        <v>5</v>
      </c>
      <c r="F89" s="160">
        <f>COUNTIFS('Scores Import DO NOT EDIT'!C:C, D89,'Scores Import DO NOT EDIT'!M:M,A89)</f>
        <v>4</v>
      </c>
      <c r="G89" s="162">
        <f t="shared" si="2"/>
        <v>0.8</v>
      </c>
      <c r="H89" s="163" t="str">
        <f t="shared" si="3"/>
        <v>B-81142</v>
      </c>
      <c r="I89" s="172" t="s">
        <v>692</v>
      </c>
      <c r="J89" s="115">
        <f>COUNTIF('Master Table'!F:F,I89)</f>
        <v>4</v>
      </c>
      <c r="K89" s="113"/>
      <c r="L89" s="158"/>
      <c r="M89" s="166" t="s">
        <v>155</v>
      </c>
      <c r="N89" s="113"/>
      <c r="O89" s="113"/>
      <c r="P89" s="113"/>
      <c r="Q89" s="113"/>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c r="BG89" s="113"/>
      <c r="BH89" s="113"/>
      <c r="BI89" s="113"/>
      <c r="BJ89" s="113"/>
      <c r="BK89" s="113"/>
      <c r="BL89" s="113"/>
      <c r="BM89" s="113"/>
      <c r="BN89" s="113"/>
      <c r="BO89" s="113"/>
      <c r="BP89" s="113"/>
      <c r="BQ89" s="113"/>
      <c r="BR89" s="113"/>
      <c r="BS89" s="113"/>
      <c r="BT89" s="113"/>
      <c r="BU89" s="113"/>
      <c r="BV89" s="113"/>
      <c r="BW89" s="113"/>
      <c r="BX89" s="113"/>
      <c r="BY89" s="113"/>
      <c r="BZ89" s="113"/>
      <c r="CA89" s="113"/>
      <c r="CB89" s="113"/>
      <c r="CC89" s="113"/>
      <c r="CD89" s="113"/>
      <c r="CE89" s="113"/>
      <c r="CF89" s="113"/>
      <c r="CG89" s="113"/>
      <c r="CH89" s="113"/>
      <c r="CI89" s="113"/>
      <c r="CJ89" s="113"/>
      <c r="CK89" s="113"/>
      <c r="CL89" s="113"/>
      <c r="CM89" s="113"/>
      <c r="CN89" s="113"/>
      <c r="CO89" s="113"/>
      <c r="CP89" s="113"/>
      <c r="CQ89" s="113"/>
      <c r="CR89" s="113"/>
      <c r="CS89" s="113"/>
      <c r="CT89" s="113"/>
      <c r="CU89" s="113"/>
    </row>
    <row r="90">
      <c r="A90" s="159" t="str">
        <f>IFERROR(__xludf.DUMMYFUNCTION("""COMPUTED_VALUE"""),"B-8")</f>
        <v>B-8</v>
      </c>
      <c r="B90" s="113" t="str">
        <f>IFERROR(__xludf.DUMMYFUNCTION("""COMPUTED_VALUE"""),"Robert S.")</f>
        <v>Robert S.</v>
      </c>
      <c r="C90" s="113" t="str">
        <f>IFERROR(__xludf.DUMMYFUNCTION("""COMPUTED_VALUE"""),"Showghi")</f>
        <v>Showghi</v>
      </c>
      <c r="D90" s="158">
        <f>IFERROR(__xludf.DUMMYFUNCTION("""COMPUTED_VALUE"""),1218.0)</f>
        <v>1218</v>
      </c>
      <c r="E90" s="161">
        <f t="shared" si="1"/>
        <v>5</v>
      </c>
      <c r="F90" s="160">
        <f>COUNTIFS('Scores Import DO NOT EDIT'!C:C, D90,'Scores Import DO NOT EDIT'!M:M,A90)</f>
        <v>3</v>
      </c>
      <c r="G90" s="162">
        <f t="shared" si="2"/>
        <v>0.6</v>
      </c>
      <c r="H90" s="163" t="str">
        <f t="shared" si="3"/>
        <v>B-81218</v>
      </c>
      <c r="I90" s="113"/>
      <c r="J90" s="115"/>
      <c r="K90" s="113"/>
      <c r="L90" s="158"/>
      <c r="M90" s="166" t="s">
        <v>158</v>
      </c>
      <c r="N90" s="113"/>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c r="AN90" s="113"/>
      <c r="AO90" s="113"/>
      <c r="AP90" s="113"/>
      <c r="AQ90" s="113"/>
      <c r="AR90" s="113"/>
      <c r="AS90" s="113"/>
      <c r="AT90" s="113"/>
      <c r="AU90" s="113"/>
      <c r="AV90" s="113"/>
      <c r="AW90" s="113"/>
      <c r="AX90" s="113"/>
      <c r="AY90" s="113"/>
      <c r="AZ90" s="113"/>
      <c r="BA90" s="113"/>
      <c r="BB90" s="113"/>
      <c r="BC90" s="113"/>
      <c r="BD90" s="113"/>
      <c r="BE90" s="113"/>
      <c r="BF90" s="113"/>
      <c r="BG90" s="113"/>
      <c r="BH90" s="113"/>
      <c r="BI90" s="113"/>
      <c r="BJ90" s="113"/>
      <c r="BK90" s="113"/>
      <c r="BL90" s="113"/>
      <c r="BM90" s="113"/>
      <c r="BN90" s="113"/>
      <c r="BO90" s="113"/>
      <c r="BP90" s="113"/>
      <c r="BQ90" s="113"/>
      <c r="BR90" s="113"/>
      <c r="BS90" s="113"/>
      <c r="BT90" s="113"/>
      <c r="BU90" s="113"/>
      <c r="BV90" s="113"/>
      <c r="BW90" s="113"/>
      <c r="BX90" s="113"/>
      <c r="BY90" s="113"/>
      <c r="BZ90" s="113"/>
      <c r="CA90" s="113"/>
      <c r="CB90" s="113"/>
      <c r="CC90" s="113"/>
      <c r="CD90" s="113"/>
      <c r="CE90" s="113"/>
      <c r="CF90" s="113"/>
      <c r="CG90" s="113"/>
      <c r="CH90" s="113"/>
      <c r="CI90" s="113"/>
      <c r="CJ90" s="113"/>
      <c r="CK90" s="113"/>
      <c r="CL90" s="113"/>
      <c r="CM90" s="113"/>
      <c r="CN90" s="113"/>
      <c r="CO90" s="113"/>
      <c r="CP90" s="113"/>
      <c r="CQ90" s="113"/>
      <c r="CR90" s="113"/>
      <c r="CS90" s="113"/>
      <c r="CT90" s="113"/>
      <c r="CU90" s="113"/>
    </row>
    <row r="91">
      <c r="A91" s="159" t="str">
        <f>IFERROR(__xludf.DUMMYFUNCTION("""COMPUTED_VALUE"""),"B-9")</f>
        <v>B-9</v>
      </c>
      <c r="B91" s="113" t="str">
        <f>IFERROR(__xludf.DUMMYFUNCTION("""COMPUTED_VALUE"""),"Brian")</f>
        <v>Brian</v>
      </c>
      <c r="C91" s="113" t="str">
        <f>IFERROR(__xludf.DUMMYFUNCTION("""COMPUTED_VALUE"""),"Shubsda")</f>
        <v>Shubsda</v>
      </c>
      <c r="D91" s="158">
        <f>IFERROR(__xludf.DUMMYFUNCTION("""COMPUTED_VALUE"""),1076.0)</f>
        <v>1076</v>
      </c>
      <c r="E91" s="161">
        <f t="shared" si="1"/>
        <v>4</v>
      </c>
      <c r="F91" s="160">
        <f>COUNTIFS('Scores Import DO NOT EDIT'!C:C, D91,'Scores Import DO NOT EDIT'!M:M,A91)</f>
        <v>0</v>
      </c>
      <c r="G91" s="162">
        <f t="shared" si="2"/>
        <v>0</v>
      </c>
      <c r="H91" s="163" t="str">
        <f t="shared" si="3"/>
        <v>B-91076</v>
      </c>
      <c r="I91" s="113"/>
      <c r="J91" s="115"/>
      <c r="K91" s="113"/>
      <c r="L91" s="158"/>
      <c r="M91" s="166" t="s">
        <v>162</v>
      </c>
      <c r="N91" s="113"/>
      <c r="O91" s="113"/>
      <c r="P91" s="113"/>
      <c r="Q91" s="113"/>
      <c r="R91" s="113"/>
      <c r="S91" s="113"/>
      <c r="T91" s="113"/>
      <c r="U91" s="113"/>
      <c r="V91" s="113"/>
      <c r="W91" s="113"/>
      <c r="X91" s="113"/>
      <c r="Y91" s="113"/>
      <c r="Z91" s="113"/>
      <c r="AA91" s="113"/>
      <c r="AB91" s="113"/>
      <c r="AC91" s="113"/>
      <c r="AD91" s="113"/>
      <c r="AE91" s="113"/>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c r="BG91" s="113"/>
      <c r="BH91" s="113"/>
      <c r="BI91" s="113"/>
      <c r="BJ91" s="113"/>
      <c r="BK91" s="113"/>
      <c r="BL91" s="113"/>
      <c r="BM91" s="113"/>
      <c r="BN91" s="113"/>
      <c r="BO91" s="113"/>
      <c r="BP91" s="113"/>
      <c r="BQ91" s="113"/>
      <c r="BR91" s="113"/>
      <c r="BS91" s="113"/>
      <c r="BT91" s="113"/>
      <c r="BU91" s="113"/>
      <c r="BV91" s="113"/>
      <c r="BW91" s="113"/>
      <c r="BX91" s="113"/>
      <c r="BY91" s="113"/>
      <c r="BZ91" s="113"/>
      <c r="CA91" s="113"/>
      <c r="CB91" s="113"/>
      <c r="CC91" s="113"/>
      <c r="CD91" s="113"/>
      <c r="CE91" s="113"/>
      <c r="CF91" s="113"/>
      <c r="CG91" s="113"/>
      <c r="CH91" s="113"/>
      <c r="CI91" s="113"/>
      <c r="CJ91" s="113"/>
      <c r="CK91" s="113"/>
      <c r="CL91" s="113"/>
      <c r="CM91" s="113"/>
      <c r="CN91" s="113"/>
      <c r="CO91" s="113"/>
      <c r="CP91" s="113"/>
      <c r="CQ91" s="113"/>
      <c r="CR91" s="113"/>
      <c r="CS91" s="113"/>
      <c r="CT91" s="113"/>
      <c r="CU91" s="113"/>
    </row>
    <row r="92">
      <c r="A92" s="159" t="str">
        <f>IFERROR(__xludf.DUMMYFUNCTION("""COMPUTED_VALUE"""),"B-9")</f>
        <v>B-9</v>
      </c>
      <c r="B92" s="113" t="str">
        <f>IFERROR(__xludf.DUMMYFUNCTION("""COMPUTED_VALUE"""),"Krishna")</f>
        <v>Krishna</v>
      </c>
      <c r="C92" s="113" t="str">
        <f>IFERROR(__xludf.DUMMYFUNCTION("""COMPUTED_VALUE"""),"Ramamoorthy")</f>
        <v>Ramamoorthy</v>
      </c>
      <c r="D92" s="158">
        <f>IFERROR(__xludf.DUMMYFUNCTION("""COMPUTED_VALUE"""),1226.0)</f>
        <v>1226</v>
      </c>
      <c r="E92" s="161">
        <f t="shared" si="1"/>
        <v>4</v>
      </c>
      <c r="F92" s="160">
        <f>COUNTIFS('Scores Import DO NOT EDIT'!C:C, D92,'Scores Import DO NOT EDIT'!M:M,A92)</f>
        <v>4</v>
      </c>
      <c r="G92" s="162">
        <f t="shared" si="2"/>
        <v>1</v>
      </c>
      <c r="H92" s="163" t="str">
        <f t="shared" si="3"/>
        <v>B-91226</v>
      </c>
      <c r="I92" s="113"/>
      <c r="J92" s="113"/>
      <c r="K92" s="113"/>
      <c r="L92" s="158"/>
      <c r="M92" s="166" t="s">
        <v>159</v>
      </c>
      <c r="N92" s="113"/>
      <c r="O92" s="113"/>
      <c r="P92" s="113"/>
      <c r="Q92" s="113"/>
      <c r="R92" s="113"/>
      <c r="S92" s="113"/>
      <c r="T92" s="113"/>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c r="BF92" s="113"/>
      <c r="BG92" s="113"/>
      <c r="BH92" s="113"/>
      <c r="BI92" s="113"/>
      <c r="BJ92" s="113"/>
      <c r="BK92" s="113"/>
      <c r="BL92" s="113"/>
      <c r="BM92" s="113"/>
      <c r="BN92" s="113"/>
      <c r="BO92" s="113"/>
      <c r="BP92" s="113"/>
      <c r="BQ92" s="113"/>
      <c r="BR92" s="113"/>
      <c r="BS92" s="113"/>
      <c r="BT92" s="113"/>
      <c r="BU92" s="113"/>
      <c r="BV92" s="113"/>
      <c r="BW92" s="113"/>
      <c r="BX92" s="113"/>
      <c r="BY92" s="113"/>
      <c r="BZ92" s="113"/>
      <c r="CA92" s="113"/>
      <c r="CB92" s="113"/>
      <c r="CC92" s="113"/>
      <c r="CD92" s="113"/>
      <c r="CE92" s="113"/>
      <c r="CF92" s="113"/>
      <c r="CG92" s="113"/>
      <c r="CH92" s="113"/>
      <c r="CI92" s="113"/>
      <c r="CJ92" s="113"/>
      <c r="CK92" s="113"/>
      <c r="CL92" s="113"/>
      <c r="CM92" s="113"/>
      <c r="CN92" s="113"/>
      <c r="CO92" s="113"/>
      <c r="CP92" s="113"/>
      <c r="CQ92" s="113"/>
      <c r="CR92" s="113"/>
      <c r="CS92" s="113"/>
      <c r="CT92" s="113"/>
      <c r="CU92" s="113"/>
    </row>
    <row r="93">
      <c r="A93" s="159" t="str">
        <f>IFERROR(__xludf.DUMMYFUNCTION("""COMPUTED_VALUE"""),"B-9")</f>
        <v>B-9</v>
      </c>
      <c r="B93" s="113" t="str">
        <f>IFERROR(__xludf.DUMMYFUNCTION("""COMPUTED_VALUE"""),"Keith")</f>
        <v>Keith</v>
      </c>
      <c r="C93" s="113" t="str">
        <f>IFERROR(__xludf.DUMMYFUNCTION("""COMPUTED_VALUE"""),"Chan")</f>
        <v>Chan</v>
      </c>
      <c r="D93" s="158">
        <f>IFERROR(__xludf.DUMMYFUNCTION("""COMPUTED_VALUE"""),1138.0)</f>
        <v>1138</v>
      </c>
      <c r="E93" s="161">
        <f t="shared" si="1"/>
        <v>4</v>
      </c>
      <c r="F93" s="160">
        <f>COUNTIFS('Scores Import DO NOT EDIT'!C:C, D93,'Scores Import DO NOT EDIT'!M:M,A93)</f>
        <v>4</v>
      </c>
      <c r="G93" s="162">
        <f t="shared" si="2"/>
        <v>1</v>
      </c>
      <c r="H93" s="163" t="str">
        <f t="shared" si="3"/>
        <v>B-91138</v>
      </c>
      <c r="I93" s="113"/>
      <c r="J93" s="113"/>
      <c r="K93" s="113"/>
      <c r="L93" s="158"/>
      <c r="M93" s="166" t="s">
        <v>160</v>
      </c>
      <c r="N93" s="113"/>
      <c r="O93" s="113"/>
      <c r="P93" s="113"/>
      <c r="Q93" s="113"/>
      <c r="R93" s="113"/>
      <c r="S93" s="113"/>
      <c r="T93" s="113"/>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c r="BF93" s="113"/>
      <c r="BG93" s="113"/>
      <c r="BH93" s="113"/>
      <c r="BI93" s="113"/>
      <c r="BJ93" s="113"/>
      <c r="BK93" s="113"/>
      <c r="BL93" s="113"/>
      <c r="BM93" s="113"/>
      <c r="BN93" s="113"/>
      <c r="BO93" s="113"/>
      <c r="BP93" s="113"/>
      <c r="BQ93" s="113"/>
      <c r="BR93" s="113"/>
      <c r="BS93" s="113"/>
      <c r="BT93" s="113"/>
      <c r="BU93" s="113"/>
      <c r="BV93" s="113"/>
      <c r="BW93" s="113"/>
      <c r="BX93" s="113"/>
      <c r="BY93" s="113"/>
      <c r="BZ93" s="113"/>
      <c r="CA93" s="113"/>
      <c r="CB93" s="113"/>
      <c r="CC93" s="113"/>
      <c r="CD93" s="113"/>
      <c r="CE93" s="113"/>
      <c r="CF93" s="113"/>
      <c r="CG93" s="113"/>
      <c r="CH93" s="113"/>
      <c r="CI93" s="113"/>
      <c r="CJ93" s="113"/>
      <c r="CK93" s="113"/>
      <c r="CL93" s="113"/>
      <c r="CM93" s="113"/>
      <c r="CN93" s="113"/>
      <c r="CO93" s="113"/>
      <c r="CP93" s="113"/>
      <c r="CQ93" s="113"/>
      <c r="CR93" s="113"/>
      <c r="CS93" s="113"/>
      <c r="CT93" s="113"/>
      <c r="CU93" s="113"/>
    </row>
    <row r="94">
      <c r="A94" s="159" t="str">
        <f>IFERROR(__xludf.DUMMYFUNCTION("""COMPUTED_VALUE"""),"B-9")</f>
        <v>B-9</v>
      </c>
      <c r="B94" s="113" t="str">
        <f>IFERROR(__xludf.DUMMYFUNCTION("""COMPUTED_VALUE"""),"Margaret")</f>
        <v>Margaret</v>
      </c>
      <c r="C94" s="113" t="str">
        <f>IFERROR(__xludf.DUMMYFUNCTION("""COMPUTED_VALUE"""),"Henderson")</f>
        <v>Henderson</v>
      </c>
      <c r="D94" s="158">
        <f>IFERROR(__xludf.DUMMYFUNCTION("""COMPUTED_VALUE"""),1180.0)</f>
        <v>1180</v>
      </c>
      <c r="E94" s="161">
        <f t="shared" si="1"/>
        <v>4</v>
      </c>
      <c r="F94" s="160">
        <f>COUNTIFS('Scores Import DO NOT EDIT'!C:C, D94,'Scores Import DO NOT EDIT'!M:M,A94)</f>
        <v>4</v>
      </c>
      <c r="G94" s="162">
        <f t="shared" si="2"/>
        <v>1</v>
      </c>
      <c r="H94" s="163" t="str">
        <f t="shared" si="3"/>
        <v>B-91180</v>
      </c>
      <c r="I94" s="113"/>
      <c r="J94" s="113"/>
      <c r="K94" s="113"/>
      <c r="L94" s="158"/>
      <c r="M94" s="166" t="s">
        <v>161</v>
      </c>
      <c r="N94" s="113"/>
      <c r="O94" s="113"/>
      <c r="P94" s="113"/>
      <c r="Q94" s="113"/>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row>
    <row r="95">
      <c r="A95" s="159" t="str">
        <f>IFERROR(__xludf.DUMMYFUNCTION("""COMPUTED_VALUE"""),"B-9")</f>
        <v>B-9</v>
      </c>
      <c r="B95" s="113" t="str">
        <f>IFERROR(__xludf.DUMMYFUNCTION("""COMPUTED_VALUE"""),"Terrence D.")</f>
        <v>Terrence D.</v>
      </c>
      <c r="C95" s="113" t="str">
        <f>IFERROR(__xludf.DUMMYFUNCTION("""COMPUTED_VALUE"""),"Chu")</f>
        <v>Chu</v>
      </c>
      <c r="D95" s="158">
        <f>IFERROR(__xludf.DUMMYFUNCTION("""COMPUTED_VALUE"""),1144.0)</f>
        <v>1144</v>
      </c>
      <c r="E95" s="161">
        <f t="shared" si="1"/>
        <v>4</v>
      </c>
      <c r="F95" s="160">
        <f>COUNTIFS('Scores Import DO NOT EDIT'!C:C, D95,'Scores Import DO NOT EDIT'!M:M,A95)</f>
        <v>4</v>
      </c>
      <c r="G95" s="162">
        <f t="shared" si="2"/>
        <v>1</v>
      </c>
      <c r="H95" s="163" t="str">
        <f t="shared" si="3"/>
        <v>B-91144</v>
      </c>
      <c r="I95" s="113"/>
      <c r="J95" s="113"/>
      <c r="K95" s="113"/>
      <c r="L95" s="158"/>
      <c r="M95" s="166" t="s">
        <v>163</v>
      </c>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c r="BF95" s="113"/>
      <c r="BG95" s="113"/>
      <c r="BH95" s="113"/>
      <c r="BI95" s="113"/>
      <c r="BJ95" s="113"/>
      <c r="BK95" s="113"/>
      <c r="BL95" s="113"/>
      <c r="BM95" s="113"/>
      <c r="BN95" s="113"/>
      <c r="BO95" s="113"/>
      <c r="BP95" s="113"/>
      <c r="BQ95" s="113"/>
      <c r="BR95" s="113"/>
      <c r="BS95" s="113"/>
      <c r="BT95" s="113"/>
      <c r="BU95" s="113"/>
      <c r="BV95" s="113"/>
      <c r="BW95" s="113"/>
      <c r="BX95" s="113"/>
      <c r="BY95" s="113"/>
      <c r="BZ95" s="113"/>
      <c r="CA95" s="113"/>
      <c r="CB95" s="113"/>
      <c r="CC95" s="113"/>
      <c r="CD95" s="113"/>
      <c r="CE95" s="113"/>
      <c r="CF95" s="113"/>
      <c r="CG95" s="113"/>
      <c r="CH95" s="113"/>
      <c r="CI95" s="113"/>
      <c r="CJ95" s="113"/>
      <c r="CK95" s="113"/>
      <c r="CL95" s="113"/>
      <c r="CM95" s="113"/>
      <c r="CN95" s="113"/>
      <c r="CO95" s="113"/>
      <c r="CP95" s="113"/>
      <c r="CQ95" s="113"/>
      <c r="CR95" s="113"/>
      <c r="CS95" s="113"/>
      <c r="CT95" s="113"/>
      <c r="CU95" s="113"/>
    </row>
    <row r="96">
      <c r="A96" s="159" t="str">
        <f>IFERROR(__xludf.DUMMYFUNCTION("""COMPUTED_VALUE"""),"C-1")</f>
        <v>C-1</v>
      </c>
      <c r="B96" s="113" t="str">
        <f>IFERROR(__xludf.DUMMYFUNCTION("""COMPUTED_VALUE"""),"Robert")</f>
        <v>Robert</v>
      </c>
      <c r="C96" s="113" t="str">
        <f>IFERROR(__xludf.DUMMYFUNCTION("""COMPUTED_VALUE"""),"Vargas-Belcher")</f>
        <v>Vargas-Belcher</v>
      </c>
      <c r="D96" s="158">
        <f>IFERROR(__xludf.DUMMYFUNCTION("""COMPUTED_VALUE"""),1020.0)</f>
        <v>1020</v>
      </c>
      <c r="E96" s="161">
        <f t="shared" si="1"/>
        <v>5</v>
      </c>
      <c r="F96" s="160">
        <f>COUNTIFS('Scores Import DO NOT EDIT'!C:C, D96,'Scores Import DO NOT EDIT'!M:M,A96)</f>
        <v>4</v>
      </c>
      <c r="G96" s="162">
        <f t="shared" si="2"/>
        <v>0.8</v>
      </c>
      <c r="H96" s="163" t="str">
        <f t="shared" si="3"/>
        <v>C-11020</v>
      </c>
      <c r="I96" s="113"/>
      <c r="J96" s="113"/>
      <c r="K96" s="113"/>
      <c r="L96" s="158"/>
      <c r="M96" s="166" t="s">
        <v>165</v>
      </c>
      <c r="N96" s="113"/>
      <c r="O96" s="113"/>
      <c r="P96" s="113"/>
      <c r="Q96" s="113"/>
      <c r="R96" s="113"/>
      <c r="S96" s="113"/>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c r="BG96" s="113"/>
      <c r="BH96" s="113"/>
      <c r="BI96" s="113"/>
      <c r="BJ96" s="113"/>
      <c r="BK96" s="113"/>
      <c r="BL96" s="113"/>
      <c r="BM96" s="113"/>
      <c r="BN96" s="113"/>
      <c r="BO96" s="113"/>
      <c r="BP96" s="113"/>
      <c r="BQ96" s="113"/>
      <c r="BR96" s="113"/>
      <c r="BS96" s="113"/>
      <c r="BT96" s="113"/>
      <c r="BU96" s="113"/>
      <c r="BV96" s="113"/>
      <c r="BW96" s="113"/>
      <c r="BX96" s="113"/>
      <c r="BY96" s="113"/>
      <c r="BZ96" s="113"/>
      <c r="CA96" s="113"/>
      <c r="CB96" s="113"/>
      <c r="CC96" s="113"/>
      <c r="CD96" s="113"/>
      <c r="CE96" s="113"/>
      <c r="CF96" s="113"/>
      <c r="CG96" s="113"/>
      <c r="CH96" s="113"/>
      <c r="CI96" s="113"/>
      <c r="CJ96" s="113"/>
      <c r="CK96" s="113"/>
      <c r="CL96" s="113"/>
      <c r="CM96" s="113"/>
      <c r="CN96" s="113"/>
      <c r="CO96" s="113"/>
      <c r="CP96" s="113"/>
      <c r="CQ96" s="113"/>
      <c r="CR96" s="113"/>
      <c r="CS96" s="113"/>
      <c r="CT96" s="113"/>
      <c r="CU96" s="113"/>
    </row>
    <row r="97">
      <c r="A97" s="159" t="str">
        <f>IFERROR(__xludf.DUMMYFUNCTION("""COMPUTED_VALUE"""),"C-1")</f>
        <v>C-1</v>
      </c>
      <c r="B97" s="113" t="str">
        <f>IFERROR(__xludf.DUMMYFUNCTION("""COMPUTED_VALUE"""),"Brennan")</f>
        <v>Brennan</v>
      </c>
      <c r="C97" s="113" t="str">
        <f>IFERROR(__xludf.DUMMYFUNCTION("""COMPUTED_VALUE"""),"Pearson")</f>
        <v>Pearson</v>
      </c>
      <c r="D97" s="158">
        <f>IFERROR(__xludf.DUMMYFUNCTION("""COMPUTED_VALUE"""),1066.0)</f>
        <v>1066</v>
      </c>
      <c r="E97" s="161">
        <f t="shared" si="1"/>
        <v>5</v>
      </c>
      <c r="F97" s="160">
        <f>COUNTIFS('Scores Import DO NOT EDIT'!C:C, D97,'Scores Import DO NOT EDIT'!M:M,A97)</f>
        <v>0</v>
      </c>
      <c r="G97" s="162">
        <f t="shared" si="2"/>
        <v>0</v>
      </c>
      <c r="H97" s="163" t="str">
        <f t="shared" si="3"/>
        <v>C-11066</v>
      </c>
      <c r="I97" s="113"/>
      <c r="J97" s="113"/>
      <c r="K97" s="113"/>
      <c r="L97" s="158"/>
      <c r="M97" s="166" t="s">
        <v>167</v>
      </c>
      <c r="N97" s="113"/>
      <c r="O97" s="113"/>
      <c r="P97" s="113"/>
      <c r="Q97" s="113"/>
      <c r="R97" s="113"/>
      <c r="S97" s="113"/>
      <c r="T97" s="113"/>
      <c r="U97" s="113"/>
      <c r="V97" s="113"/>
      <c r="W97" s="113"/>
      <c r="X97" s="113"/>
      <c r="Y97" s="113"/>
      <c r="Z97" s="113"/>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c r="BF97" s="113"/>
      <c r="BG97" s="113"/>
      <c r="BH97" s="113"/>
      <c r="BI97" s="113"/>
      <c r="BJ97" s="113"/>
      <c r="BK97" s="113"/>
      <c r="BL97" s="113"/>
      <c r="BM97" s="113"/>
      <c r="BN97" s="113"/>
      <c r="BO97" s="113"/>
      <c r="BP97" s="113"/>
      <c r="BQ97" s="113"/>
      <c r="BR97" s="113"/>
      <c r="BS97" s="113"/>
      <c r="BT97" s="113"/>
      <c r="BU97" s="113"/>
      <c r="BV97" s="113"/>
      <c r="BW97" s="113"/>
      <c r="BX97" s="113"/>
      <c r="BY97" s="113"/>
      <c r="BZ97" s="113"/>
      <c r="CA97" s="113"/>
      <c r="CB97" s="113"/>
      <c r="CC97" s="113"/>
      <c r="CD97" s="113"/>
      <c r="CE97" s="113"/>
      <c r="CF97" s="113"/>
      <c r="CG97" s="113"/>
      <c r="CH97" s="113"/>
      <c r="CI97" s="113"/>
      <c r="CJ97" s="113"/>
      <c r="CK97" s="113"/>
      <c r="CL97" s="113"/>
      <c r="CM97" s="113"/>
      <c r="CN97" s="113"/>
      <c r="CO97" s="113"/>
      <c r="CP97" s="113"/>
      <c r="CQ97" s="113"/>
      <c r="CR97" s="113"/>
      <c r="CS97" s="113"/>
      <c r="CT97" s="113"/>
      <c r="CU97" s="113"/>
    </row>
    <row r="98">
      <c r="A98" s="159" t="str">
        <f>IFERROR(__xludf.DUMMYFUNCTION("""COMPUTED_VALUE"""),"C-1")</f>
        <v>C-1</v>
      </c>
      <c r="B98" s="113" t="str">
        <f>IFERROR(__xludf.DUMMYFUNCTION("""COMPUTED_VALUE"""),"Jenn")</f>
        <v>Jenn</v>
      </c>
      <c r="C98" s="113" t="str">
        <f>IFERROR(__xludf.DUMMYFUNCTION("""COMPUTED_VALUE"""),"Karnopp")</f>
        <v>Karnopp</v>
      </c>
      <c r="D98" s="158">
        <f>IFERROR(__xludf.DUMMYFUNCTION("""COMPUTED_VALUE"""),1031.0)</f>
        <v>1031</v>
      </c>
      <c r="E98" s="161">
        <f t="shared" si="1"/>
        <v>5</v>
      </c>
      <c r="F98" s="160">
        <f>COUNTIFS('Scores Import DO NOT EDIT'!C:C, D98,'Scores Import DO NOT EDIT'!M:M,A98)</f>
        <v>4</v>
      </c>
      <c r="G98" s="162">
        <f t="shared" si="2"/>
        <v>0.8</v>
      </c>
      <c r="H98" s="163" t="str">
        <f t="shared" si="3"/>
        <v>C-11031</v>
      </c>
      <c r="I98" s="113"/>
      <c r="J98" s="113"/>
      <c r="K98" s="113"/>
      <c r="L98" s="158"/>
      <c r="M98" s="166" t="s">
        <v>168</v>
      </c>
      <c r="N98" s="113"/>
      <c r="O98" s="113"/>
      <c r="P98" s="113"/>
      <c r="Q98" s="113"/>
      <c r="R98" s="113"/>
      <c r="S98" s="113"/>
      <c r="T98" s="113"/>
      <c r="U98" s="113"/>
      <c r="V98" s="113"/>
      <c r="W98" s="113"/>
      <c r="X98" s="113"/>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c r="BG98" s="113"/>
      <c r="BH98" s="113"/>
      <c r="BI98" s="113"/>
      <c r="BJ98" s="113"/>
      <c r="BK98" s="113"/>
      <c r="BL98" s="113"/>
      <c r="BM98" s="113"/>
      <c r="BN98" s="113"/>
      <c r="BO98" s="113"/>
      <c r="BP98" s="113"/>
      <c r="BQ98" s="113"/>
      <c r="BR98" s="113"/>
      <c r="BS98" s="113"/>
      <c r="BT98" s="113"/>
      <c r="BU98" s="113"/>
      <c r="BV98" s="113"/>
      <c r="BW98" s="113"/>
      <c r="BX98" s="113"/>
      <c r="BY98" s="113"/>
      <c r="BZ98" s="113"/>
      <c r="CA98" s="113"/>
      <c r="CB98" s="113"/>
      <c r="CC98" s="113"/>
      <c r="CD98" s="113"/>
      <c r="CE98" s="113"/>
      <c r="CF98" s="113"/>
      <c r="CG98" s="113"/>
      <c r="CH98" s="113"/>
      <c r="CI98" s="113"/>
      <c r="CJ98" s="113"/>
      <c r="CK98" s="113"/>
      <c r="CL98" s="113"/>
      <c r="CM98" s="113"/>
      <c r="CN98" s="113"/>
      <c r="CO98" s="113"/>
      <c r="CP98" s="113"/>
      <c r="CQ98" s="113"/>
      <c r="CR98" s="113"/>
      <c r="CS98" s="113"/>
      <c r="CT98" s="113"/>
      <c r="CU98" s="113"/>
    </row>
    <row r="99">
      <c r="A99" s="159" t="str">
        <f>IFERROR(__xludf.DUMMYFUNCTION("""COMPUTED_VALUE"""),"C-1")</f>
        <v>C-1</v>
      </c>
      <c r="B99" s="113" t="str">
        <f>IFERROR(__xludf.DUMMYFUNCTION("""COMPUTED_VALUE"""),"Lauren")</f>
        <v>Lauren</v>
      </c>
      <c r="C99" s="113" t="str">
        <f>IFERROR(__xludf.DUMMYFUNCTION("""COMPUTED_VALUE"""),"Collins")</f>
        <v>Collins</v>
      </c>
      <c r="D99" s="158">
        <f>IFERROR(__xludf.DUMMYFUNCTION("""COMPUTED_VALUE"""),1002.0)</f>
        <v>1002</v>
      </c>
      <c r="E99" s="161">
        <f t="shared" si="1"/>
        <v>5</v>
      </c>
      <c r="F99" s="160">
        <f>COUNTIFS('Scores Import DO NOT EDIT'!C:C, D99,'Scores Import DO NOT EDIT'!M:M,A99)</f>
        <v>4</v>
      </c>
      <c r="G99" s="162">
        <f t="shared" si="2"/>
        <v>0.8</v>
      </c>
      <c r="H99" s="163" t="str">
        <f t="shared" si="3"/>
        <v>C-11002</v>
      </c>
      <c r="I99" s="113"/>
      <c r="J99" s="113"/>
      <c r="K99" s="113"/>
      <c r="L99" s="158"/>
      <c r="M99" s="166" t="s">
        <v>164</v>
      </c>
      <c r="N99" s="113"/>
      <c r="O99" s="113"/>
      <c r="P99" s="113"/>
      <c r="Q99" s="113"/>
      <c r="R99" s="113"/>
      <c r="S99" s="113"/>
      <c r="T99" s="113"/>
      <c r="U99" s="113"/>
      <c r="V99" s="113"/>
      <c r="W99" s="113"/>
      <c r="X99" s="113"/>
      <c r="Y99" s="113"/>
      <c r="Z99" s="113"/>
      <c r="AA99" s="113"/>
      <c r="AB99" s="113"/>
      <c r="AC99" s="113"/>
      <c r="AD99" s="113"/>
      <c r="AE99" s="113"/>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c r="BG99" s="113"/>
      <c r="BH99" s="113"/>
      <c r="BI99" s="113"/>
      <c r="BJ99" s="113"/>
      <c r="BK99" s="113"/>
      <c r="BL99" s="113"/>
      <c r="BM99" s="113"/>
      <c r="BN99" s="113"/>
      <c r="BO99" s="113"/>
      <c r="BP99" s="113"/>
      <c r="BQ99" s="113"/>
      <c r="BR99" s="113"/>
      <c r="BS99" s="113"/>
      <c r="BT99" s="113"/>
      <c r="BU99" s="113"/>
      <c r="BV99" s="113"/>
      <c r="BW99" s="113"/>
      <c r="BX99" s="113"/>
      <c r="BY99" s="113"/>
      <c r="BZ99" s="113"/>
      <c r="CA99" s="113"/>
      <c r="CB99" s="113"/>
      <c r="CC99" s="113"/>
      <c r="CD99" s="113"/>
      <c r="CE99" s="113"/>
      <c r="CF99" s="113"/>
      <c r="CG99" s="113"/>
      <c r="CH99" s="113"/>
      <c r="CI99" s="113"/>
      <c r="CJ99" s="113"/>
      <c r="CK99" s="113"/>
      <c r="CL99" s="113"/>
      <c r="CM99" s="113"/>
      <c r="CN99" s="113"/>
      <c r="CO99" s="113"/>
      <c r="CP99" s="113"/>
      <c r="CQ99" s="113"/>
      <c r="CR99" s="113"/>
      <c r="CS99" s="113"/>
      <c r="CT99" s="113"/>
      <c r="CU99" s="113"/>
    </row>
    <row r="100">
      <c r="A100" s="159" t="str">
        <f>IFERROR(__xludf.DUMMYFUNCTION("""COMPUTED_VALUE"""),"C-1")</f>
        <v>C-1</v>
      </c>
      <c r="B100" s="113" t="str">
        <f>IFERROR(__xludf.DUMMYFUNCTION("""COMPUTED_VALUE"""),"Sarah")</f>
        <v>Sarah</v>
      </c>
      <c r="C100" s="113" t="str">
        <f>IFERROR(__xludf.DUMMYFUNCTION("""COMPUTED_VALUE"""),"Rieth")</f>
        <v>Rieth</v>
      </c>
      <c r="D100" s="158">
        <f>IFERROR(__xludf.DUMMYFUNCTION("""COMPUTED_VALUE"""),1013.0)</f>
        <v>1013</v>
      </c>
      <c r="E100" s="161">
        <f t="shared" si="1"/>
        <v>5</v>
      </c>
      <c r="F100" s="160">
        <f>COUNTIFS('Scores Import DO NOT EDIT'!C:C, D100,'Scores Import DO NOT EDIT'!M:M,A100)</f>
        <v>4</v>
      </c>
      <c r="G100" s="162">
        <f t="shared" si="2"/>
        <v>0.8</v>
      </c>
      <c r="H100" s="163" t="str">
        <f t="shared" si="3"/>
        <v>C-11013</v>
      </c>
      <c r="I100" s="113"/>
      <c r="J100" s="113"/>
      <c r="K100" s="113"/>
      <c r="L100" s="158"/>
      <c r="M100" s="166" t="s">
        <v>166</v>
      </c>
      <c r="N100" s="113"/>
      <c r="O100" s="113"/>
      <c r="P100" s="113"/>
      <c r="Q100" s="113"/>
      <c r="R100" s="113"/>
      <c r="S100" s="113"/>
      <c r="T100" s="113"/>
      <c r="U100" s="113"/>
      <c r="V100" s="113"/>
      <c r="W100" s="113"/>
      <c r="X100" s="113"/>
      <c r="Y100" s="113"/>
      <c r="Z100" s="113"/>
      <c r="AA100" s="113"/>
      <c r="AB100" s="113"/>
      <c r="AC100" s="113"/>
      <c r="AD100" s="113"/>
      <c r="AE100" s="113"/>
      <c r="AF100" s="113"/>
      <c r="AG100" s="113"/>
      <c r="AH100" s="113"/>
      <c r="AI100" s="113"/>
      <c r="AJ100" s="113"/>
      <c r="AK100" s="113"/>
      <c r="AL100" s="113"/>
      <c r="AM100" s="113"/>
      <c r="AN100" s="113"/>
      <c r="AO100" s="113"/>
      <c r="AP100" s="113"/>
      <c r="AQ100" s="113"/>
      <c r="AR100" s="113"/>
      <c r="AS100" s="113"/>
      <c r="AT100" s="113"/>
      <c r="AU100" s="113"/>
      <c r="AV100" s="113"/>
      <c r="AW100" s="113"/>
      <c r="AX100" s="113"/>
      <c r="AY100" s="113"/>
      <c r="AZ100" s="113"/>
      <c r="BA100" s="113"/>
      <c r="BB100" s="113"/>
      <c r="BC100" s="113"/>
      <c r="BD100" s="113"/>
      <c r="BE100" s="113"/>
      <c r="BF100" s="113"/>
      <c r="BG100" s="113"/>
      <c r="BH100" s="113"/>
      <c r="BI100" s="113"/>
      <c r="BJ100" s="113"/>
      <c r="BK100" s="113"/>
      <c r="BL100" s="113"/>
      <c r="BM100" s="113"/>
      <c r="BN100" s="113"/>
      <c r="BO100" s="113"/>
      <c r="BP100" s="113"/>
      <c r="BQ100" s="113"/>
      <c r="BR100" s="113"/>
      <c r="BS100" s="113"/>
      <c r="BT100" s="113"/>
      <c r="BU100" s="113"/>
      <c r="BV100" s="113"/>
      <c r="BW100" s="113"/>
      <c r="BX100" s="113"/>
      <c r="BY100" s="113"/>
      <c r="BZ100" s="113"/>
      <c r="CA100" s="113"/>
      <c r="CB100" s="113"/>
      <c r="CC100" s="113"/>
      <c r="CD100" s="113"/>
      <c r="CE100" s="113"/>
      <c r="CF100" s="113"/>
      <c r="CG100" s="113"/>
      <c r="CH100" s="113"/>
      <c r="CI100" s="113"/>
      <c r="CJ100" s="113"/>
      <c r="CK100" s="113"/>
      <c r="CL100" s="113"/>
      <c r="CM100" s="113"/>
      <c r="CN100" s="113"/>
      <c r="CO100" s="113"/>
      <c r="CP100" s="113"/>
      <c r="CQ100" s="113"/>
      <c r="CR100" s="113"/>
      <c r="CS100" s="113"/>
      <c r="CT100" s="113"/>
      <c r="CU100" s="113"/>
    </row>
    <row r="101">
      <c r="A101" s="159" t="str">
        <f>IFERROR(__xludf.DUMMYFUNCTION("""COMPUTED_VALUE"""),"C-2")</f>
        <v>C-2</v>
      </c>
      <c r="B101" s="113" t="str">
        <f>IFERROR(__xludf.DUMMYFUNCTION("""COMPUTED_VALUE"""),"Richard")</f>
        <v>Richard</v>
      </c>
      <c r="C101" s="113" t="str">
        <f>IFERROR(__xludf.DUMMYFUNCTION("""COMPUTED_VALUE"""),"Cripps")</f>
        <v>Cripps</v>
      </c>
      <c r="D101" s="158">
        <f>IFERROR(__xludf.DUMMYFUNCTION("""COMPUTED_VALUE"""),1069.0)</f>
        <v>1069</v>
      </c>
      <c r="E101" s="161">
        <f t="shared" si="1"/>
        <v>6</v>
      </c>
      <c r="F101" s="160">
        <f>COUNTIFS('Scores Import DO NOT EDIT'!C:C, D101,'Scores Import DO NOT EDIT'!M:M,A101)</f>
        <v>5</v>
      </c>
      <c r="G101" s="162">
        <f t="shared" si="2"/>
        <v>0.8333333333</v>
      </c>
      <c r="H101" s="163" t="str">
        <f t="shared" si="3"/>
        <v>C-21069</v>
      </c>
      <c r="I101" s="113"/>
      <c r="J101" s="113"/>
      <c r="K101" s="113"/>
      <c r="L101" s="158"/>
      <c r="M101" s="166" t="s">
        <v>173</v>
      </c>
      <c r="N101" s="113"/>
      <c r="O101" s="113"/>
      <c r="P101" s="113"/>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3"/>
      <c r="AU101" s="113"/>
      <c r="AV101" s="113"/>
      <c r="AW101" s="113"/>
      <c r="AX101" s="113"/>
      <c r="AY101" s="113"/>
      <c r="AZ101" s="113"/>
      <c r="BA101" s="113"/>
      <c r="BB101" s="113"/>
      <c r="BC101" s="113"/>
      <c r="BD101" s="113"/>
      <c r="BE101" s="113"/>
      <c r="BF101" s="113"/>
      <c r="BG101" s="113"/>
      <c r="BH101" s="113"/>
      <c r="BI101" s="113"/>
      <c r="BJ101" s="113"/>
      <c r="BK101" s="113"/>
      <c r="BL101" s="113"/>
      <c r="BM101" s="113"/>
      <c r="BN101" s="113"/>
      <c r="BO101" s="113"/>
      <c r="BP101" s="113"/>
      <c r="BQ101" s="113"/>
      <c r="BR101" s="113"/>
      <c r="BS101" s="113"/>
      <c r="BT101" s="113"/>
      <c r="BU101" s="113"/>
      <c r="BV101" s="113"/>
      <c r="BW101" s="113"/>
      <c r="BX101" s="113"/>
      <c r="BY101" s="113"/>
      <c r="BZ101" s="113"/>
      <c r="CA101" s="113"/>
      <c r="CB101" s="113"/>
      <c r="CC101" s="113"/>
      <c r="CD101" s="113"/>
      <c r="CE101" s="113"/>
      <c r="CF101" s="113"/>
      <c r="CG101" s="113"/>
      <c r="CH101" s="113"/>
      <c r="CI101" s="113"/>
      <c r="CJ101" s="113"/>
      <c r="CK101" s="113"/>
      <c r="CL101" s="113"/>
      <c r="CM101" s="113"/>
      <c r="CN101" s="113"/>
      <c r="CO101" s="113"/>
      <c r="CP101" s="113"/>
      <c r="CQ101" s="113"/>
      <c r="CR101" s="113"/>
      <c r="CS101" s="113"/>
      <c r="CT101" s="113"/>
      <c r="CU101" s="113"/>
    </row>
    <row r="102">
      <c r="A102" s="159" t="str">
        <f>IFERROR(__xludf.DUMMYFUNCTION("""COMPUTED_VALUE"""),"C-2")</f>
        <v>C-2</v>
      </c>
      <c r="B102" s="113" t="str">
        <f>IFERROR(__xludf.DUMMYFUNCTION("""COMPUTED_VALUE"""),"Joseane")</f>
        <v>Joseane</v>
      </c>
      <c r="C102" s="113" t="str">
        <f>IFERROR(__xludf.DUMMYFUNCTION("""COMPUTED_VALUE"""),"Godinho")</f>
        <v>Godinho</v>
      </c>
      <c r="D102" s="158">
        <f>IFERROR(__xludf.DUMMYFUNCTION("""COMPUTED_VALUE"""),1121.0)</f>
        <v>1121</v>
      </c>
      <c r="E102" s="161">
        <f t="shared" si="1"/>
        <v>6</v>
      </c>
      <c r="F102" s="160">
        <f>COUNTIFS('Scores Import DO NOT EDIT'!C:C, D102,'Scores Import DO NOT EDIT'!M:M,A102)</f>
        <v>5</v>
      </c>
      <c r="G102" s="162">
        <f t="shared" si="2"/>
        <v>0.8333333333</v>
      </c>
      <c r="H102" s="163" t="str">
        <f t="shared" si="3"/>
        <v>C-21121</v>
      </c>
      <c r="I102" s="113"/>
      <c r="J102" s="113"/>
      <c r="K102" s="113"/>
      <c r="L102" s="158"/>
      <c r="M102" s="166" t="s">
        <v>172</v>
      </c>
      <c r="N102" s="113"/>
      <c r="O102" s="113"/>
      <c r="P102" s="113"/>
      <c r="Q102" s="113"/>
      <c r="R102" s="113"/>
      <c r="S102" s="113"/>
      <c r="T102" s="113"/>
      <c r="U102" s="113"/>
      <c r="V102" s="113"/>
      <c r="W102" s="113"/>
      <c r="X102" s="113"/>
      <c r="Y102" s="113"/>
      <c r="Z102" s="113"/>
      <c r="AA102" s="113"/>
      <c r="AB102" s="113"/>
      <c r="AC102" s="113"/>
      <c r="AD102" s="113"/>
      <c r="AE102" s="113"/>
      <c r="AF102" s="113"/>
      <c r="AG102" s="113"/>
      <c r="AH102" s="113"/>
      <c r="AI102" s="113"/>
      <c r="AJ102" s="113"/>
      <c r="AK102" s="113"/>
      <c r="AL102" s="113"/>
      <c r="AM102" s="113"/>
      <c r="AN102" s="113"/>
      <c r="AO102" s="113"/>
      <c r="AP102" s="113"/>
      <c r="AQ102" s="113"/>
      <c r="AR102" s="113"/>
      <c r="AS102" s="113"/>
      <c r="AT102" s="113"/>
      <c r="AU102" s="113"/>
      <c r="AV102" s="113"/>
      <c r="AW102" s="113"/>
      <c r="AX102" s="113"/>
      <c r="AY102" s="113"/>
      <c r="AZ102" s="113"/>
      <c r="BA102" s="113"/>
      <c r="BB102" s="113"/>
      <c r="BC102" s="113"/>
      <c r="BD102" s="113"/>
      <c r="BE102" s="113"/>
      <c r="BF102" s="113"/>
      <c r="BG102" s="113"/>
      <c r="BH102" s="113"/>
      <c r="BI102" s="113"/>
      <c r="BJ102" s="113"/>
      <c r="BK102" s="113"/>
      <c r="BL102" s="113"/>
      <c r="BM102" s="113"/>
      <c r="BN102" s="113"/>
      <c r="BO102" s="113"/>
      <c r="BP102" s="113"/>
      <c r="BQ102" s="113"/>
      <c r="BR102" s="113"/>
      <c r="BS102" s="113"/>
      <c r="BT102" s="113"/>
      <c r="BU102" s="113"/>
      <c r="BV102" s="113"/>
      <c r="BW102" s="113"/>
      <c r="BX102" s="113"/>
      <c r="BY102" s="113"/>
      <c r="BZ102" s="113"/>
      <c r="CA102" s="113"/>
      <c r="CB102" s="113"/>
      <c r="CC102" s="113"/>
      <c r="CD102" s="113"/>
      <c r="CE102" s="113"/>
      <c r="CF102" s="113"/>
      <c r="CG102" s="113"/>
      <c r="CH102" s="113"/>
      <c r="CI102" s="113"/>
      <c r="CJ102" s="113"/>
      <c r="CK102" s="113"/>
      <c r="CL102" s="113"/>
      <c r="CM102" s="113"/>
      <c r="CN102" s="113"/>
      <c r="CO102" s="113"/>
      <c r="CP102" s="113"/>
      <c r="CQ102" s="113"/>
      <c r="CR102" s="113"/>
      <c r="CS102" s="113"/>
      <c r="CT102" s="113"/>
      <c r="CU102" s="113"/>
    </row>
    <row r="103">
      <c r="A103" s="159" t="str">
        <f>IFERROR(__xludf.DUMMYFUNCTION("""COMPUTED_VALUE"""),"C-2")</f>
        <v>C-2</v>
      </c>
      <c r="B103" s="113" t="str">
        <f>IFERROR(__xludf.DUMMYFUNCTION("""COMPUTED_VALUE"""),"Oliver")</f>
        <v>Oliver</v>
      </c>
      <c r="C103" s="113" t="str">
        <f>IFERROR(__xludf.DUMMYFUNCTION("""COMPUTED_VALUE"""),"Paine")</f>
        <v>Paine</v>
      </c>
      <c r="D103" s="158">
        <f>IFERROR(__xludf.DUMMYFUNCTION("""COMPUTED_VALUE"""),1105.0)</f>
        <v>1105</v>
      </c>
      <c r="E103" s="161">
        <f t="shared" si="1"/>
        <v>6</v>
      </c>
      <c r="F103" s="160">
        <f>COUNTIFS('Scores Import DO NOT EDIT'!C:C, D103,'Scores Import DO NOT EDIT'!M:M,A103)</f>
        <v>5</v>
      </c>
      <c r="G103" s="162">
        <f t="shared" si="2"/>
        <v>0.8333333333</v>
      </c>
      <c r="H103" s="163" t="str">
        <f t="shared" si="3"/>
        <v>C-21105</v>
      </c>
      <c r="I103" s="113"/>
      <c r="J103" s="113"/>
      <c r="K103" s="113"/>
      <c r="L103" s="158"/>
      <c r="M103" s="166" t="s">
        <v>170</v>
      </c>
      <c r="N103" s="113"/>
      <c r="O103" s="113"/>
      <c r="P103" s="113"/>
      <c r="Q103" s="113"/>
      <c r="R103" s="113"/>
      <c r="S103" s="113"/>
      <c r="T103" s="113"/>
      <c r="U103" s="113"/>
      <c r="V103" s="113"/>
      <c r="W103" s="113"/>
      <c r="X103" s="113"/>
      <c r="Y103" s="113"/>
      <c r="Z103" s="113"/>
      <c r="AA103" s="113"/>
      <c r="AB103" s="113"/>
      <c r="AC103" s="113"/>
      <c r="AD103" s="113"/>
      <c r="AE103" s="113"/>
      <c r="AF103" s="113"/>
      <c r="AG103" s="113"/>
      <c r="AH103" s="113"/>
      <c r="AI103" s="113"/>
      <c r="AJ103" s="113"/>
      <c r="AK103" s="113"/>
      <c r="AL103" s="113"/>
      <c r="AM103" s="113"/>
      <c r="AN103" s="113"/>
      <c r="AO103" s="113"/>
      <c r="AP103" s="113"/>
      <c r="AQ103" s="113"/>
      <c r="AR103" s="113"/>
      <c r="AS103" s="113"/>
      <c r="AT103" s="113"/>
      <c r="AU103" s="113"/>
      <c r="AV103" s="113"/>
      <c r="AW103" s="113"/>
      <c r="AX103" s="113"/>
      <c r="AY103" s="113"/>
      <c r="AZ103" s="113"/>
      <c r="BA103" s="113"/>
      <c r="BB103" s="113"/>
      <c r="BC103" s="113"/>
      <c r="BD103" s="113"/>
      <c r="BE103" s="113"/>
      <c r="BF103" s="113"/>
      <c r="BG103" s="113"/>
      <c r="BH103" s="113"/>
      <c r="BI103" s="113"/>
      <c r="BJ103" s="113"/>
      <c r="BK103" s="113"/>
      <c r="BL103" s="113"/>
      <c r="BM103" s="113"/>
      <c r="BN103" s="113"/>
      <c r="BO103" s="113"/>
      <c r="BP103" s="113"/>
      <c r="BQ103" s="113"/>
      <c r="BR103" s="113"/>
      <c r="BS103" s="113"/>
      <c r="BT103" s="113"/>
      <c r="BU103" s="113"/>
      <c r="BV103" s="113"/>
      <c r="BW103" s="113"/>
      <c r="BX103" s="113"/>
      <c r="BY103" s="113"/>
      <c r="BZ103" s="113"/>
      <c r="CA103" s="113"/>
      <c r="CB103" s="113"/>
      <c r="CC103" s="113"/>
      <c r="CD103" s="113"/>
      <c r="CE103" s="113"/>
      <c r="CF103" s="113"/>
      <c r="CG103" s="113"/>
      <c r="CH103" s="113"/>
      <c r="CI103" s="113"/>
      <c r="CJ103" s="113"/>
      <c r="CK103" s="113"/>
      <c r="CL103" s="113"/>
      <c r="CM103" s="113"/>
      <c r="CN103" s="113"/>
      <c r="CO103" s="113"/>
      <c r="CP103" s="113"/>
      <c r="CQ103" s="113"/>
      <c r="CR103" s="113"/>
      <c r="CS103" s="113"/>
      <c r="CT103" s="113"/>
      <c r="CU103" s="113"/>
    </row>
    <row r="104">
      <c r="A104" s="159" t="str">
        <f>IFERROR(__xludf.DUMMYFUNCTION("""COMPUTED_VALUE"""),"C-2")</f>
        <v>C-2</v>
      </c>
      <c r="B104" s="113" t="str">
        <f>IFERROR(__xludf.DUMMYFUNCTION("""COMPUTED_VALUE"""),"Hamza")</f>
        <v>Hamza</v>
      </c>
      <c r="C104" s="113" t="str">
        <f>IFERROR(__xludf.DUMMYFUNCTION("""COMPUTED_VALUE"""),"Hajama")</f>
        <v>Hajama</v>
      </c>
      <c r="D104" s="158">
        <f>IFERROR(__xludf.DUMMYFUNCTION("""COMPUTED_VALUE"""),1049.0)</f>
        <v>1049</v>
      </c>
      <c r="E104" s="161">
        <f t="shared" si="1"/>
        <v>6</v>
      </c>
      <c r="F104" s="160">
        <f>COUNTIFS('Scores Import DO NOT EDIT'!C:C, D104,'Scores Import DO NOT EDIT'!M:M,A104)</f>
        <v>3</v>
      </c>
      <c r="G104" s="162">
        <f t="shared" si="2"/>
        <v>0.5</v>
      </c>
      <c r="H104" s="163" t="str">
        <f t="shared" si="3"/>
        <v>C-21049</v>
      </c>
      <c r="I104" s="113"/>
      <c r="J104" s="113"/>
      <c r="K104" s="113"/>
      <c r="L104" s="158"/>
      <c r="M104" s="166" t="s">
        <v>171</v>
      </c>
      <c r="N104" s="113"/>
      <c r="O104" s="113"/>
      <c r="P104" s="113"/>
      <c r="Q104" s="113"/>
      <c r="R104" s="113"/>
      <c r="S104" s="113"/>
      <c r="T104" s="113"/>
      <c r="U104" s="113"/>
      <c r="V104" s="113"/>
      <c r="W104" s="113"/>
      <c r="X104" s="113"/>
      <c r="Y104" s="113"/>
      <c r="Z104" s="113"/>
      <c r="AA104" s="113"/>
      <c r="AB104" s="113"/>
      <c r="AC104" s="113"/>
      <c r="AD104" s="113"/>
      <c r="AE104" s="113"/>
      <c r="AF104" s="113"/>
      <c r="AG104" s="113"/>
      <c r="AH104" s="113"/>
      <c r="AI104" s="113"/>
      <c r="AJ104" s="113"/>
      <c r="AK104" s="113"/>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c r="BG104" s="113"/>
      <c r="BH104" s="113"/>
      <c r="BI104" s="113"/>
      <c r="BJ104" s="113"/>
      <c r="BK104" s="113"/>
      <c r="BL104" s="113"/>
      <c r="BM104" s="113"/>
      <c r="BN104" s="113"/>
      <c r="BO104" s="113"/>
      <c r="BP104" s="113"/>
      <c r="BQ104" s="113"/>
      <c r="BR104" s="113"/>
      <c r="BS104" s="113"/>
      <c r="BT104" s="113"/>
      <c r="BU104" s="113"/>
      <c r="BV104" s="113"/>
      <c r="BW104" s="113"/>
      <c r="BX104" s="113"/>
      <c r="BY104" s="113"/>
      <c r="BZ104" s="113"/>
      <c r="CA104" s="113"/>
      <c r="CB104" s="113"/>
      <c r="CC104" s="113"/>
      <c r="CD104" s="113"/>
      <c r="CE104" s="113"/>
      <c r="CF104" s="113"/>
      <c r="CG104" s="113"/>
      <c r="CH104" s="113"/>
      <c r="CI104" s="113"/>
      <c r="CJ104" s="113"/>
      <c r="CK104" s="113"/>
      <c r="CL104" s="113"/>
      <c r="CM104" s="113"/>
      <c r="CN104" s="113"/>
      <c r="CO104" s="113"/>
      <c r="CP104" s="113"/>
      <c r="CQ104" s="113"/>
      <c r="CR104" s="113"/>
      <c r="CS104" s="113"/>
      <c r="CT104" s="113"/>
      <c r="CU104" s="113"/>
    </row>
    <row r="105">
      <c r="A105" s="159" t="str">
        <f>IFERROR(__xludf.DUMMYFUNCTION("""COMPUTED_VALUE"""),"C-3")</f>
        <v>C-3</v>
      </c>
      <c r="B105" s="113" t="str">
        <f>IFERROR(__xludf.DUMMYFUNCTION("""COMPUTED_VALUE"""),"Linda")</f>
        <v>Linda</v>
      </c>
      <c r="C105" s="113" t="str">
        <f>IFERROR(__xludf.DUMMYFUNCTION("""COMPUTED_VALUE"""),"Abarbanell")</f>
        <v>Abarbanell</v>
      </c>
      <c r="D105" s="158">
        <f>IFERROR(__xludf.DUMMYFUNCTION("""COMPUTED_VALUE"""),1129.0)</f>
        <v>1129</v>
      </c>
      <c r="E105" s="161">
        <f t="shared" si="1"/>
        <v>6</v>
      </c>
      <c r="F105" s="160">
        <f>COUNTIFS('Scores Import DO NOT EDIT'!C:C, D105,'Scores Import DO NOT EDIT'!M:M,A105)</f>
        <v>5</v>
      </c>
      <c r="G105" s="162">
        <f t="shared" si="2"/>
        <v>0.8333333333</v>
      </c>
      <c r="H105" s="163" t="str">
        <f t="shared" si="3"/>
        <v>C-31129</v>
      </c>
      <c r="I105" s="113"/>
      <c r="J105" s="113"/>
      <c r="K105" s="113"/>
      <c r="L105" s="158"/>
      <c r="M105" s="166" t="s">
        <v>128</v>
      </c>
      <c r="N105" s="113"/>
      <c r="O105" s="113"/>
      <c r="P105" s="113"/>
      <c r="Q105" s="113"/>
      <c r="R105" s="113"/>
      <c r="S105" s="113"/>
      <c r="T105" s="113"/>
      <c r="U105" s="113"/>
      <c r="V105" s="113"/>
      <c r="W105" s="113"/>
      <c r="X105" s="113"/>
      <c r="Y105" s="113"/>
      <c r="Z105" s="113"/>
      <c r="AA105" s="113"/>
      <c r="AB105" s="113"/>
      <c r="AC105" s="113"/>
      <c r="AD105" s="113"/>
      <c r="AE105" s="113"/>
      <c r="AF105" s="113"/>
      <c r="AG105" s="113"/>
      <c r="AH105" s="113"/>
      <c r="AI105" s="113"/>
      <c r="AJ105" s="113"/>
      <c r="AK105" s="113"/>
      <c r="AL105" s="113"/>
      <c r="AM105" s="113"/>
      <c r="AN105" s="113"/>
      <c r="AO105" s="113"/>
      <c r="AP105" s="113"/>
      <c r="AQ105" s="113"/>
      <c r="AR105" s="113"/>
      <c r="AS105" s="113"/>
      <c r="AT105" s="113"/>
      <c r="AU105" s="113"/>
      <c r="AV105" s="113"/>
      <c r="AW105" s="113"/>
      <c r="AX105" s="113"/>
      <c r="AY105" s="113"/>
      <c r="AZ105" s="113"/>
      <c r="BA105" s="113"/>
      <c r="BB105" s="113"/>
      <c r="BC105" s="113"/>
      <c r="BD105" s="113"/>
      <c r="BE105" s="113"/>
      <c r="BF105" s="113"/>
      <c r="BG105" s="113"/>
      <c r="BH105" s="113"/>
      <c r="BI105" s="113"/>
      <c r="BJ105" s="113"/>
      <c r="BK105" s="113"/>
      <c r="BL105" s="113"/>
      <c r="BM105" s="113"/>
      <c r="BN105" s="113"/>
      <c r="BO105" s="113"/>
      <c r="BP105" s="113"/>
      <c r="BQ105" s="113"/>
      <c r="BR105" s="113"/>
      <c r="BS105" s="113"/>
      <c r="BT105" s="113"/>
      <c r="BU105" s="113"/>
      <c r="BV105" s="113"/>
      <c r="BW105" s="113"/>
      <c r="BX105" s="113"/>
      <c r="BY105" s="113"/>
      <c r="BZ105" s="113"/>
      <c r="CA105" s="113"/>
      <c r="CB105" s="113"/>
      <c r="CC105" s="113"/>
      <c r="CD105" s="113"/>
      <c r="CE105" s="113"/>
      <c r="CF105" s="113"/>
      <c r="CG105" s="113"/>
      <c r="CH105" s="113"/>
      <c r="CI105" s="113"/>
      <c r="CJ105" s="113"/>
      <c r="CK105" s="113"/>
      <c r="CL105" s="113"/>
      <c r="CM105" s="113"/>
      <c r="CN105" s="113"/>
      <c r="CO105" s="113"/>
      <c r="CP105" s="113"/>
      <c r="CQ105" s="113"/>
      <c r="CR105" s="113"/>
      <c r="CS105" s="113"/>
      <c r="CT105" s="113"/>
      <c r="CU105" s="113"/>
    </row>
    <row r="106">
      <c r="A106" s="159" t="str">
        <f>IFERROR(__xludf.DUMMYFUNCTION("""COMPUTED_VALUE"""),"C-3")</f>
        <v>C-3</v>
      </c>
      <c r="B106" s="113" t="str">
        <f>IFERROR(__xludf.DUMMYFUNCTION("""COMPUTED_VALUE"""),"Jess")</f>
        <v>Jess</v>
      </c>
      <c r="C106" s="113" t="str">
        <f>IFERROR(__xludf.DUMMYFUNCTION("""COMPUTED_VALUE"""),"Whatcott")</f>
        <v>Whatcott</v>
      </c>
      <c r="D106" s="158">
        <f>IFERROR(__xludf.DUMMYFUNCTION("""COMPUTED_VALUE"""),1093.0)</f>
        <v>1093</v>
      </c>
      <c r="E106" s="161">
        <f t="shared" si="1"/>
        <v>6</v>
      </c>
      <c r="F106" s="160">
        <f>COUNTIFS('Scores Import DO NOT EDIT'!C:C, D106,'Scores Import DO NOT EDIT'!M:M,A106)</f>
        <v>6</v>
      </c>
      <c r="G106" s="162">
        <f t="shared" si="2"/>
        <v>1</v>
      </c>
      <c r="H106" s="163" t="str">
        <f t="shared" si="3"/>
        <v>C-31093</v>
      </c>
      <c r="I106" s="113"/>
      <c r="J106" s="113"/>
      <c r="K106" s="113"/>
      <c r="L106" s="158"/>
      <c r="M106" s="166" t="s">
        <v>131</v>
      </c>
      <c r="N106" s="113"/>
      <c r="O106" s="113"/>
      <c r="P106" s="113"/>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c r="BG106" s="113"/>
      <c r="BH106" s="113"/>
      <c r="BI106" s="113"/>
      <c r="BJ106" s="113"/>
      <c r="BK106" s="113"/>
      <c r="BL106" s="113"/>
      <c r="BM106" s="113"/>
      <c r="BN106" s="113"/>
      <c r="BO106" s="113"/>
      <c r="BP106" s="113"/>
      <c r="BQ106" s="113"/>
      <c r="BR106" s="113"/>
      <c r="BS106" s="113"/>
      <c r="BT106" s="113"/>
      <c r="BU106" s="113"/>
      <c r="BV106" s="113"/>
      <c r="BW106" s="113"/>
      <c r="BX106" s="113"/>
      <c r="BY106" s="113"/>
      <c r="BZ106" s="113"/>
      <c r="CA106" s="113"/>
      <c r="CB106" s="113"/>
      <c r="CC106" s="113"/>
      <c r="CD106" s="113"/>
      <c r="CE106" s="113"/>
      <c r="CF106" s="113"/>
      <c r="CG106" s="113"/>
      <c r="CH106" s="113"/>
      <c r="CI106" s="113"/>
      <c r="CJ106" s="113"/>
      <c r="CK106" s="113"/>
      <c r="CL106" s="113"/>
      <c r="CM106" s="113"/>
      <c r="CN106" s="113"/>
      <c r="CO106" s="113"/>
      <c r="CP106" s="113"/>
      <c r="CQ106" s="113"/>
      <c r="CR106" s="113"/>
      <c r="CS106" s="113"/>
      <c r="CT106" s="113"/>
      <c r="CU106" s="113"/>
    </row>
    <row r="107">
      <c r="A107" s="159" t="str">
        <f>IFERROR(__xludf.DUMMYFUNCTION("""COMPUTED_VALUE"""),"C-3")</f>
        <v>C-3</v>
      </c>
      <c r="B107" s="113" t="str">
        <f>IFERROR(__xludf.DUMMYFUNCTION("""COMPUTED_VALUE"""),"Suzanne")</f>
        <v>Suzanne</v>
      </c>
      <c r="C107" s="113" t="str">
        <f>IFERROR(__xludf.DUMMYFUNCTION("""COMPUTED_VALUE"""),"Maguire")</f>
        <v>Maguire</v>
      </c>
      <c r="D107" s="158">
        <f>IFERROR(__xludf.DUMMYFUNCTION("""COMPUTED_VALUE"""),1090.0)</f>
        <v>1090</v>
      </c>
      <c r="E107" s="161">
        <f t="shared" si="1"/>
        <v>6</v>
      </c>
      <c r="F107" s="160">
        <f>COUNTIFS('Scores Import DO NOT EDIT'!C:C, D107,'Scores Import DO NOT EDIT'!M:M,A107)</f>
        <v>0</v>
      </c>
      <c r="G107" s="162">
        <f t="shared" si="2"/>
        <v>0</v>
      </c>
      <c r="H107" s="163" t="str">
        <f t="shared" si="3"/>
        <v>C-31090</v>
      </c>
      <c r="I107" s="113"/>
      <c r="J107" s="113"/>
      <c r="K107" s="113"/>
      <c r="L107" s="158"/>
      <c r="M107" s="166" t="s">
        <v>129</v>
      </c>
      <c r="N107" s="113"/>
      <c r="O107" s="113"/>
      <c r="P107" s="113"/>
      <c r="Q107" s="113"/>
      <c r="R107" s="113"/>
      <c r="S107" s="113"/>
      <c r="T107" s="113"/>
      <c r="U107" s="113"/>
      <c r="V107" s="113"/>
      <c r="W107" s="113"/>
      <c r="X107" s="113"/>
      <c r="Y107" s="113"/>
      <c r="Z107" s="113"/>
      <c r="AA107" s="113"/>
      <c r="AB107" s="113"/>
      <c r="AC107" s="113"/>
      <c r="AD107" s="113"/>
      <c r="AE107" s="113"/>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c r="BG107" s="113"/>
      <c r="BH107" s="113"/>
      <c r="BI107" s="113"/>
      <c r="BJ107" s="113"/>
      <c r="BK107" s="113"/>
      <c r="BL107" s="113"/>
      <c r="BM107" s="113"/>
      <c r="BN107" s="113"/>
      <c r="BO107" s="113"/>
      <c r="BP107" s="113"/>
      <c r="BQ107" s="113"/>
      <c r="BR107" s="113"/>
      <c r="BS107" s="113"/>
      <c r="BT107" s="113"/>
      <c r="BU107" s="113"/>
      <c r="BV107" s="113"/>
      <c r="BW107" s="113"/>
      <c r="BX107" s="113"/>
      <c r="BY107" s="113"/>
      <c r="BZ107" s="113"/>
      <c r="CA107" s="113"/>
      <c r="CB107" s="113"/>
      <c r="CC107" s="113"/>
      <c r="CD107" s="113"/>
      <c r="CE107" s="113"/>
      <c r="CF107" s="113"/>
      <c r="CG107" s="113"/>
      <c r="CH107" s="113"/>
      <c r="CI107" s="113"/>
      <c r="CJ107" s="113"/>
      <c r="CK107" s="113"/>
      <c r="CL107" s="113"/>
      <c r="CM107" s="113"/>
      <c r="CN107" s="113"/>
      <c r="CO107" s="113"/>
      <c r="CP107" s="113"/>
      <c r="CQ107" s="113"/>
      <c r="CR107" s="113"/>
      <c r="CS107" s="113"/>
      <c r="CT107" s="113"/>
      <c r="CU107" s="113"/>
    </row>
    <row r="108">
      <c r="A108" s="159" t="str">
        <f>IFERROR(__xludf.DUMMYFUNCTION("""COMPUTED_VALUE"""),"C-3")</f>
        <v>C-3</v>
      </c>
      <c r="B108" s="113" t="str">
        <f>IFERROR(__xludf.DUMMYFUNCTION("""COMPUTED_VALUE"""),"Jules")</f>
        <v>Jules</v>
      </c>
      <c r="C108" s="113" t="str">
        <f>IFERROR(__xludf.DUMMYFUNCTION("""COMPUTED_VALUE"""),"Bunn")</f>
        <v>Bunn</v>
      </c>
      <c r="D108" s="158">
        <f>IFERROR(__xludf.DUMMYFUNCTION("""COMPUTED_VALUE"""),1084.0)</f>
        <v>1084</v>
      </c>
      <c r="E108" s="161">
        <f t="shared" si="1"/>
        <v>6</v>
      </c>
      <c r="F108" s="160">
        <f>COUNTIFS('Scores Import DO NOT EDIT'!C:C, D108,'Scores Import DO NOT EDIT'!M:M,A108)</f>
        <v>6</v>
      </c>
      <c r="G108" s="162">
        <f t="shared" si="2"/>
        <v>1</v>
      </c>
      <c r="H108" s="163" t="str">
        <f t="shared" si="3"/>
        <v>C-31084</v>
      </c>
      <c r="I108" s="113"/>
      <c r="J108" s="113"/>
      <c r="K108" s="113"/>
      <c r="L108" s="158"/>
      <c r="M108" s="166" t="s">
        <v>130</v>
      </c>
      <c r="N108" s="113"/>
      <c r="O108" s="113"/>
      <c r="P108" s="113"/>
      <c r="Q108" s="113"/>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c r="BG108" s="113"/>
      <c r="BH108" s="113"/>
      <c r="BI108" s="113"/>
      <c r="BJ108" s="113"/>
      <c r="BK108" s="113"/>
      <c r="BL108" s="113"/>
      <c r="BM108" s="113"/>
      <c r="BN108" s="113"/>
      <c r="BO108" s="113"/>
      <c r="BP108" s="113"/>
      <c r="BQ108" s="113"/>
      <c r="BR108" s="113"/>
      <c r="BS108" s="113"/>
      <c r="BT108" s="113"/>
      <c r="BU108" s="113"/>
      <c r="BV108" s="113"/>
      <c r="BW108" s="113"/>
      <c r="BX108" s="113"/>
      <c r="BY108" s="113"/>
      <c r="BZ108" s="113"/>
      <c r="CA108" s="113"/>
      <c r="CB108" s="113"/>
      <c r="CC108" s="113"/>
      <c r="CD108" s="113"/>
      <c r="CE108" s="113"/>
      <c r="CF108" s="113"/>
      <c r="CG108" s="113"/>
      <c r="CH108" s="113"/>
      <c r="CI108" s="113"/>
      <c r="CJ108" s="113"/>
      <c r="CK108" s="113"/>
      <c r="CL108" s="113"/>
      <c r="CM108" s="113"/>
      <c r="CN108" s="113"/>
      <c r="CO108" s="113"/>
      <c r="CP108" s="113"/>
      <c r="CQ108" s="113"/>
      <c r="CR108" s="113"/>
      <c r="CS108" s="113"/>
      <c r="CT108" s="113"/>
      <c r="CU108" s="113"/>
    </row>
    <row r="109">
      <c r="A109" s="159" t="str">
        <f>IFERROR(__xludf.DUMMYFUNCTION("""COMPUTED_VALUE"""),"C-3")</f>
        <v>C-3</v>
      </c>
      <c r="B109" s="113" t="str">
        <f>IFERROR(__xludf.DUMMYFUNCTION("""COMPUTED_VALUE"""),"Matthew")</f>
        <v>Matthew</v>
      </c>
      <c r="C109" s="113" t="str">
        <f>IFERROR(__xludf.DUMMYFUNCTION("""COMPUTED_VALUE"""),"Hebert")</f>
        <v>Hebert</v>
      </c>
      <c r="D109" s="158">
        <f>IFERROR(__xludf.DUMMYFUNCTION("""COMPUTED_VALUE"""),1021.0)</f>
        <v>1021</v>
      </c>
      <c r="E109" s="161">
        <f t="shared" si="1"/>
        <v>6</v>
      </c>
      <c r="F109" s="160">
        <f>COUNTIFS('Scores Import DO NOT EDIT'!C:C, D109,'Scores Import DO NOT EDIT'!M:M,A109)</f>
        <v>0</v>
      </c>
      <c r="G109" s="162">
        <f t="shared" si="2"/>
        <v>0</v>
      </c>
      <c r="H109" s="163" t="str">
        <f t="shared" si="3"/>
        <v>C-31021</v>
      </c>
      <c r="I109" s="113"/>
      <c r="J109" s="113"/>
      <c r="K109" s="113"/>
      <c r="L109" s="158"/>
      <c r="M109" s="166" t="s">
        <v>127</v>
      </c>
      <c r="N109" s="113"/>
      <c r="O109" s="113"/>
      <c r="P109" s="113"/>
      <c r="Q109" s="113"/>
      <c r="R109" s="113"/>
      <c r="S109" s="113"/>
      <c r="T109" s="113"/>
      <c r="U109" s="113"/>
      <c r="V109" s="113"/>
      <c r="W109" s="113"/>
      <c r="X109" s="113"/>
      <c r="Y109" s="113"/>
      <c r="Z109" s="113"/>
      <c r="AA109" s="113"/>
      <c r="AB109" s="113"/>
      <c r="AC109" s="113"/>
      <c r="AD109" s="113"/>
      <c r="AE109" s="113"/>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c r="BG109" s="113"/>
      <c r="BH109" s="113"/>
      <c r="BI109" s="113"/>
      <c r="BJ109" s="113"/>
      <c r="BK109" s="113"/>
      <c r="BL109" s="113"/>
      <c r="BM109" s="113"/>
      <c r="BN109" s="113"/>
      <c r="BO109" s="113"/>
      <c r="BP109" s="113"/>
      <c r="BQ109" s="113"/>
      <c r="BR109" s="113"/>
      <c r="BS109" s="113"/>
      <c r="BT109" s="113"/>
      <c r="BU109" s="113"/>
      <c r="BV109" s="113"/>
      <c r="BW109" s="113"/>
      <c r="BX109" s="113"/>
      <c r="BY109" s="113"/>
      <c r="BZ109" s="113"/>
      <c r="CA109" s="113"/>
      <c r="CB109" s="113"/>
      <c r="CC109" s="113"/>
      <c r="CD109" s="113"/>
      <c r="CE109" s="113"/>
      <c r="CF109" s="113"/>
      <c r="CG109" s="113"/>
      <c r="CH109" s="113"/>
      <c r="CI109" s="113"/>
      <c r="CJ109" s="113"/>
      <c r="CK109" s="113"/>
      <c r="CL109" s="113"/>
      <c r="CM109" s="113"/>
      <c r="CN109" s="113"/>
      <c r="CO109" s="113"/>
      <c r="CP109" s="113"/>
      <c r="CQ109" s="113"/>
      <c r="CR109" s="113"/>
      <c r="CS109" s="113"/>
      <c r="CT109" s="113"/>
      <c r="CU109" s="113"/>
    </row>
    <row r="110">
      <c r="A110" s="159" t="str">
        <f>IFERROR(__xludf.DUMMYFUNCTION("""COMPUTED_VALUE"""),"C-4")</f>
        <v>C-4</v>
      </c>
      <c r="B110" s="113" t="str">
        <f>IFERROR(__xludf.DUMMYFUNCTION("""COMPUTED_VALUE"""),"Michelle Weber Rawlins")</f>
        <v>Michelle Weber Rawlins</v>
      </c>
      <c r="C110" s="113" t="str">
        <f>IFERROR(__xludf.DUMMYFUNCTION("""COMPUTED_VALUE"""),"Rawlins")</f>
        <v>Rawlins</v>
      </c>
      <c r="D110" s="158">
        <f>IFERROR(__xludf.DUMMYFUNCTION("""COMPUTED_VALUE"""),1074.0)</f>
        <v>1074</v>
      </c>
      <c r="E110" s="161">
        <f t="shared" si="1"/>
        <v>6</v>
      </c>
      <c r="F110" s="160">
        <f>COUNTIFS('Scores Import DO NOT EDIT'!C:C, D110,'Scores Import DO NOT EDIT'!M:M,A110)</f>
        <v>4</v>
      </c>
      <c r="G110" s="162">
        <f t="shared" si="2"/>
        <v>0.6666666667</v>
      </c>
      <c r="H110" s="163" t="str">
        <f t="shared" si="3"/>
        <v>C-41074</v>
      </c>
      <c r="I110" s="113"/>
      <c r="J110" s="113"/>
      <c r="K110" s="113"/>
      <c r="L110" s="158"/>
      <c r="M110" s="166" t="s">
        <v>132</v>
      </c>
      <c r="N110" s="113"/>
      <c r="O110" s="113"/>
      <c r="P110" s="113"/>
      <c r="Q110" s="113"/>
      <c r="R110" s="113"/>
      <c r="S110" s="113"/>
      <c r="T110" s="113"/>
      <c r="U110" s="113"/>
      <c r="V110" s="113"/>
      <c r="W110" s="113"/>
      <c r="X110" s="113"/>
      <c r="Y110" s="113"/>
      <c r="Z110" s="113"/>
      <c r="AA110" s="113"/>
      <c r="AB110" s="113"/>
      <c r="AC110" s="113"/>
      <c r="AD110" s="113"/>
      <c r="AE110" s="113"/>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c r="AZ110" s="113"/>
      <c r="BA110" s="113"/>
      <c r="BB110" s="113"/>
      <c r="BC110" s="113"/>
      <c r="BD110" s="113"/>
      <c r="BE110" s="113"/>
      <c r="BF110" s="113"/>
      <c r="BG110" s="113"/>
      <c r="BH110" s="113"/>
      <c r="BI110" s="113"/>
      <c r="BJ110" s="113"/>
      <c r="BK110" s="113"/>
      <c r="BL110" s="113"/>
      <c r="BM110" s="113"/>
      <c r="BN110" s="113"/>
      <c r="BO110" s="113"/>
      <c r="BP110" s="113"/>
      <c r="BQ110" s="113"/>
      <c r="BR110" s="113"/>
      <c r="BS110" s="113"/>
      <c r="BT110" s="113"/>
      <c r="BU110" s="113"/>
      <c r="BV110" s="113"/>
      <c r="BW110" s="113"/>
      <c r="BX110" s="113"/>
      <c r="BY110" s="113"/>
      <c r="BZ110" s="113"/>
      <c r="CA110" s="113"/>
      <c r="CB110" s="113"/>
      <c r="CC110" s="113"/>
      <c r="CD110" s="113"/>
      <c r="CE110" s="113"/>
      <c r="CF110" s="113"/>
      <c r="CG110" s="113"/>
      <c r="CH110" s="113"/>
      <c r="CI110" s="113"/>
      <c r="CJ110" s="113"/>
      <c r="CK110" s="113"/>
      <c r="CL110" s="113"/>
      <c r="CM110" s="113"/>
      <c r="CN110" s="113"/>
      <c r="CO110" s="113"/>
      <c r="CP110" s="113"/>
      <c r="CQ110" s="113"/>
      <c r="CR110" s="113"/>
      <c r="CS110" s="113"/>
      <c r="CT110" s="113"/>
      <c r="CU110" s="113"/>
    </row>
    <row r="111">
      <c r="A111" s="159" t="str">
        <f>IFERROR(__xludf.DUMMYFUNCTION("""COMPUTED_VALUE"""),"C-4")</f>
        <v>C-4</v>
      </c>
      <c r="B111" s="113" t="str">
        <f>IFERROR(__xludf.DUMMYFUNCTION("""COMPUTED_VALUE"""),"Annie")</f>
        <v>Annie</v>
      </c>
      <c r="C111" s="113" t="str">
        <f>IFERROR(__xludf.DUMMYFUNCTION("""COMPUTED_VALUE"""),"Keeney")</f>
        <v>Keeney</v>
      </c>
      <c r="D111" s="158">
        <f>IFERROR(__xludf.DUMMYFUNCTION("""COMPUTED_VALUE"""),1053.0)</f>
        <v>1053</v>
      </c>
      <c r="E111" s="161">
        <f t="shared" si="1"/>
        <v>6</v>
      </c>
      <c r="F111" s="160">
        <f>COUNTIFS('Scores Import DO NOT EDIT'!C:C, D111,'Scores Import DO NOT EDIT'!M:M,A111)</f>
        <v>4</v>
      </c>
      <c r="G111" s="162">
        <f t="shared" si="2"/>
        <v>0.6666666667</v>
      </c>
      <c r="H111" s="163" t="str">
        <f t="shared" si="3"/>
        <v>C-41053</v>
      </c>
      <c r="I111" s="113"/>
      <c r="J111" s="113"/>
      <c r="K111" s="113"/>
      <c r="L111" s="158"/>
      <c r="M111" s="166" t="s">
        <v>177</v>
      </c>
      <c r="N111" s="113"/>
      <c r="O111" s="113"/>
      <c r="P111" s="113"/>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c r="BG111" s="113"/>
      <c r="BH111" s="113"/>
      <c r="BI111" s="113"/>
      <c r="BJ111" s="113"/>
      <c r="BK111" s="113"/>
      <c r="BL111" s="113"/>
      <c r="BM111" s="113"/>
      <c r="BN111" s="113"/>
      <c r="BO111" s="113"/>
      <c r="BP111" s="113"/>
      <c r="BQ111" s="113"/>
      <c r="BR111" s="113"/>
      <c r="BS111" s="113"/>
      <c r="BT111" s="113"/>
      <c r="BU111" s="113"/>
      <c r="BV111" s="113"/>
      <c r="BW111" s="113"/>
      <c r="BX111" s="113"/>
      <c r="BY111" s="113"/>
      <c r="BZ111" s="113"/>
      <c r="CA111" s="113"/>
      <c r="CB111" s="113"/>
      <c r="CC111" s="113"/>
      <c r="CD111" s="113"/>
      <c r="CE111" s="113"/>
      <c r="CF111" s="113"/>
      <c r="CG111" s="113"/>
      <c r="CH111" s="113"/>
      <c r="CI111" s="113"/>
      <c r="CJ111" s="113"/>
      <c r="CK111" s="113"/>
      <c r="CL111" s="113"/>
      <c r="CM111" s="113"/>
      <c r="CN111" s="113"/>
      <c r="CO111" s="113"/>
      <c r="CP111" s="113"/>
      <c r="CQ111" s="113"/>
      <c r="CR111" s="113"/>
      <c r="CS111" s="113"/>
      <c r="CT111" s="113"/>
      <c r="CU111" s="113"/>
    </row>
    <row r="112">
      <c r="A112" s="159" t="str">
        <f>IFERROR(__xludf.DUMMYFUNCTION("""COMPUTED_VALUE"""),"C-4")</f>
        <v>C-4</v>
      </c>
      <c r="B112" s="113" t="str">
        <f>IFERROR(__xludf.DUMMYFUNCTION("""COMPUTED_VALUE"""),"Aner")</f>
        <v>Aner</v>
      </c>
      <c r="C112" s="113" t="str">
        <f>IFERROR(__xludf.DUMMYFUNCTION("""COMPUTED_VALUE"""),"Zhou")</f>
        <v>Zhou</v>
      </c>
      <c r="D112" s="158">
        <f>IFERROR(__xludf.DUMMYFUNCTION("""COMPUTED_VALUE"""),1042.0)</f>
        <v>1042</v>
      </c>
      <c r="E112" s="161">
        <f t="shared" si="1"/>
        <v>6</v>
      </c>
      <c r="F112" s="160">
        <f>COUNTIFS('Scores Import DO NOT EDIT'!C:C, D112,'Scores Import DO NOT EDIT'!M:M,A112)</f>
        <v>6</v>
      </c>
      <c r="G112" s="162">
        <f t="shared" si="2"/>
        <v>1</v>
      </c>
      <c r="H112" s="163" t="str">
        <f t="shared" si="3"/>
        <v>C-41042</v>
      </c>
      <c r="I112" s="113"/>
      <c r="J112" s="113"/>
      <c r="K112" s="113"/>
      <c r="L112" s="158"/>
      <c r="M112" s="166" t="s">
        <v>178</v>
      </c>
      <c r="N112" s="113"/>
      <c r="O112" s="113"/>
      <c r="P112" s="113"/>
      <c r="Q112" s="113"/>
      <c r="R112" s="113"/>
      <c r="S112" s="113"/>
      <c r="T112" s="113"/>
      <c r="U112" s="113"/>
      <c r="V112" s="113"/>
      <c r="W112" s="113"/>
      <c r="X112" s="113"/>
      <c r="Y112" s="113"/>
      <c r="Z112" s="113"/>
      <c r="AA112" s="113"/>
      <c r="AB112" s="113"/>
      <c r="AC112" s="113"/>
      <c r="AD112" s="113"/>
      <c r="AE112" s="113"/>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c r="AZ112" s="113"/>
      <c r="BA112" s="113"/>
      <c r="BB112" s="113"/>
      <c r="BC112" s="113"/>
      <c r="BD112" s="113"/>
      <c r="BE112" s="113"/>
      <c r="BF112" s="113"/>
      <c r="BG112" s="113"/>
      <c r="BH112" s="113"/>
      <c r="BI112" s="113"/>
      <c r="BJ112" s="113"/>
      <c r="BK112" s="113"/>
      <c r="BL112" s="113"/>
      <c r="BM112" s="113"/>
      <c r="BN112" s="113"/>
      <c r="BO112" s="113"/>
      <c r="BP112" s="113"/>
      <c r="BQ112" s="113"/>
      <c r="BR112" s="113"/>
      <c r="BS112" s="113"/>
      <c r="BT112" s="113"/>
      <c r="BU112" s="113"/>
      <c r="BV112" s="113"/>
      <c r="BW112" s="113"/>
      <c r="BX112" s="113"/>
      <c r="BY112" s="113"/>
      <c r="BZ112" s="113"/>
      <c r="CA112" s="113"/>
      <c r="CB112" s="113"/>
      <c r="CC112" s="113"/>
      <c r="CD112" s="113"/>
      <c r="CE112" s="113"/>
      <c r="CF112" s="113"/>
      <c r="CG112" s="113"/>
      <c r="CH112" s="113"/>
      <c r="CI112" s="113"/>
      <c r="CJ112" s="113"/>
      <c r="CK112" s="113"/>
      <c r="CL112" s="113"/>
      <c r="CM112" s="113"/>
      <c r="CN112" s="113"/>
      <c r="CO112" s="113"/>
      <c r="CP112" s="113"/>
      <c r="CQ112" s="113"/>
      <c r="CR112" s="113"/>
      <c r="CS112" s="113"/>
      <c r="CT112" s="113"/>
      <c r="CU112" s="113"/>
    </row>
    <row r="113">
      <c r="A113" s="159" t="str">
        <f>IFERROR(__xludf.DUMMYFUNCTION("""COMPUTED_VALUE"""),"C-5")</f>
        <v>C-5</v>
      </c>
      <c r="B113" s="113" t="str">
        <f>IFERROR(__xludf.DUMMYFUNCTION("""COMPUTED_VALUE"""),"Stanley")</f>
        <v>Stanley</v>
      </c>
      <c r="C113" s="113" t="str">
        <f>IFERROR(__xludf.DUMMYFUNCTION("""COMPUTED_VALUE"""),"Maloy")</f>
        <v>Maloy</v>
      </c>
      <c r="D113" s="158">
        <f>IFERROR(__xludf.DUMMYFUNCTION("""COMPUTED_VALUE"""),1041.0)</f>
        <v>1041</v>
      </c>
      <c r="E113" s="161">
        <f t="shared" si="1"/>
        <v>6</v>
      </c>
      <c r="F113" s="160">
        <f>COUNTIFS('Scores Import DO NOT EDIT'!C:C, D113,'Scores Import DO NOT EDIT'!M:M,A113)</f>
        <v>5</v>
      </c>
      <c r="G113" s="162">
        <f t="shared" si="2"/>
        <v>0.8333333333</v>
      </c>
      <c r="H113" s="163" t="str">
        <f t="shared" si="3"/>
        <v>C-51041</v>
      </c>
      <c r="I113" s="113"/>
      <c r="J113" s="113"/>
      <c r="K113" s="113"/>
      <c r="L113" s="158"/>
      <c r="M113" s="166" t="s">
        <v>175</v>
      </c>
      <c r="N113" s="113"/>
      <c r="O113" s="113"/>
      <c r="P113" s="113"/>
      <c r="Q113" s="113"/>
      <c r="R113" s="113"/>
      <c r="S113" s="113"/>
      <c r="T113" s="113"/>
      <c r="U113" s="113"/>
      <c r="V113" s="113"/>
      <c r="W113" s="113"/>
      <c r="X113" s="113"/>
      <c r="Y113" s="113"/>
      <c r="Z113" s="113"/>
      <c r="AA113" s="113"/>
      <c r="AB113" s="113"/>
      <c r="AC113" s="113"/>
      <c r="AD113" s="113"/>
      <c r="AE113" s="113"/>
      <c r="AF113" s="113"/>
      <c r="AG113" s="113"/>
      <c r="AH113" s="113"/>
      <c r="AI113" s="113"/>
      <c r="AJ113" s="113"/>
      <c r="AK113" s="113"/>
      <c r="AL113" s="113"/>
      <c r="AM113" s="113"/>
      <c r="AN113" s="113"/>
      <c r="AO113" s="113"/>
      <c r="AP113" s="113"/>
      <c r="AQ113" s="113"/>
      <c r="AR113" s="113"/>
      <c r="AS113" s="113"/>
      <c r="AT113" s="113"/>
      <c r="AU113" s="113"/>
      <c r="AV113" s="113"/>
      <c r="AW113" s="113"/>
      <c r="AX113" s="113"/>
      <c r="AY113" s="113"/>
      <c r="AZ113" s="113"/>
      <c r="BA113" s="113"/>
      <c r="BB113" s="113"/>
      <c r="BC113" s="113"/>
      <c r="BD113" s="113"/>
      <c r="BE113" s="113"/>
      <c r="BF113" s="113"/>
      <c r="BG113" s="113"/>
      <c r="BH113" s="113"/>
      <c r="BI113" s="113"/>
      <c r="BJ113" s="113"/>
      <c r="BK113" s="113"/>
      <c r="BL113" s="113"/>
      <c r="BM113" s="113"/>
      <c r="BN113" s="113"/>
      <c r="BO113" s="113"/>
      <c r="BP113" s="113"/>
      <c r="BQ113" s="113"/>
      <c r="BR113" s="113"/>
      <c r="BS113" s="113"/>
      <c r="BT113" s="113"/>
      <c r="BU113" s="113"/>
      <c r="BV113" s="113"/>
      <c r="BW113" s="113"/>
      <c r="BX113" s="113"/>
      <c r="BY113" s="113"/>
      <c r="BZ113" s="113"/>
      <c r="CA113" s="113"/>
      <c r="CB113" s="113"/>
      <c r="CC113" s="113"/>
      <c r="CD113" s="113"/>
      <c r="CE113" s="113"/>
      <c r="CF113" s="113"/>
      <c r="CG113" s="113"/>
      <c r="CH113" s="113"/>
      <c r="CI113" s="113"/>
      <c r="CJ113" s="113"/>
      <c r="CK113" s="113"/>
      <c r="CL113" s="113"/>
      <c r="CM113" s="113"/>
      <c r="CN113" s="113"/>
      <c r="CO113" s="113"/>
      <c r="CP113" s="113"/>
      <c r="CQ113" s="113"/>
      <c r="CR113" s="113"/>
      <c r="CS113" s="113"/>
      <c r="CT113" s="113"/>
      <c r="CU113" s="113"/>
    </row>
    <row r="114">
      <c r="A114" s="159" t="str">
        <f>IFERROR(__xludf.DUMMYFUNCTION("""COMPUTED_VALUE"""),"C-5")</f>
        <v>C-5</v>
      </c>
      <c r="B114" s="113" t="str">
        <f>IFERROR(__xludf.DUMMYFUNCTION("""COMPUTED_VALUE"""),"Sanford")</f>
        <v>Sanford</v>
      </c>
      <c r="C114" s="113" t="str">
        <f>IFERROR(__xludf.DUMMYFUNCTION("""COMPUTED_VALUE"""),"Bernstein")</f>
        <v>Bernstein</v>
      </c>
      <c r="D114" s="158">
        <f>IFERROR(__xludf.DUMMYFUNCTION("""COMPUTED_VALUE"""),1047.0)</f>
        <v>1047</v>
      </c>
      <c r="E114" s="161">
        <f t="shared" si="1"/>
        <v>6</v>
      </c>
      <c r="F114" s="160">
        <f>COUNTIFS('Scores Import DO NOT EDIT'!C:C, D114,'Scores Import DO NOT EDIT'!M:M,A114)</f>
        <v>5</v>
      </c>
      <c r="G114" s="162">
        <f t="shared" si="2"/>
        <v>0.8333333333</v>
      </c>
      <c r="H114" s="163" t="str">
        <f t="shared" si="3"/>
        <v>C-51047</v>
      </c>
      <c r="I114" s="121"/>
      <c r="J114" s="113"/>
      <c r="K114" s="113"/>
      <c r="L114" s="158"/>
      <c r="M114" s="166" t="s">
        <v>174</v>
      </c>
      <c r="N114" s="113"/>
      <c r="O114" s="113"/>
      <c r="P114" s="113"/>
      <c r="Q114" s="113"/>
      <c r="R114" s="113"/>
      <c r="S114" s="113"/>
      <c r="T114" s="113"/>
      <c r="U114" s="113"/>
      <c r="V114" s="113"/>
      <c r="W114" s="113"/>
      <c r="X114" s="113"/>
      <c r="Y114" s="113"/>
      <c r="Z114" s="113"/>
      <c r="AA114" s="113"/>
      <c r="AB114" s="113"/>
      <c r="AC114" s="113"/>
      <c r="AD114" s="113"/>
      <c r="AE114" s="113"/>
      <c r="AF114" s="113"/>
      <c r="AG114" s="113"/>
      <c r="AH114" s="113"/>
      <c r="AI114" s="113"/>
      <c r="AJ114" s="113"/>
      <c r="AK114" s="113"/>
      <c r="AL114" s="113"/>
      <c r="AM114" s="113"/>
      <c r="AN114" s="113"/>
      <c r="AO114" s="113"/>
      <c r="AP114" s="113"/>
      <c r="AQ114" s="113"/>
      <c r="AR114" s="113"/>
      <c r="AS114" s="113"/>
      <c r="AT114" s="113"/>
      <c r="AU114" s="113"/>
      <c r="AV114" s="113"/>
      <c r="AW114" s="113"/>
      <c r="AX114" s="113"/>
      <c r="AY114" s="113"/>
      <c r="AZ114" s="113"/>
      <c r="BA114" s="113"/>
      <c r="BB114" s="113"/>
      <c r="BC114" s="113"/>
      <c r="BD114" s="113"/>
      <c r="BE114" s="113"/>
      <c r="BF114" s="113"/>
      <c r="BG114" s="113"/>
      <c r="BH114" s="113"/>
      <c r="BI114" s="113"/>
      <c r="BJ114" s="113"/>
      <c r="BK114" s="113"/>
      <c r="BL114" s="113"/>
      <c r="BM114" s="113"/>
      <c r="BN114" s="113"/>
      <c r="BO114" s="113"/>
      <c r="BP114" s="113"/>
      <c r="BQ114" s="113"/>
      <c r="BR114" s="113"/>
      <c r="BS114" s="113"/>
      <c r="BT114" s="113"/>
      <c r="BU114" s="113"/>
      <c r="BV114" s="113"/>
      <c r="BW114" s="113"/>
      <c r="BX114" s="113"/>
      <c r="BY114" s="113"/>
      <c r="BZ114" s="113"/>
      <c r="CA114" s="113"/>
      <c r="CB114" s="113"/>
      <c r="CC114" s="113"/>
      <c r="CD114" s="113"/>
      <c r="CE114" s="113"/>
      <c r="CF114" s="113"/>
      <c r="CG114" s="113"/>
      <c r="CH114" s="113"/>
      <c r="CI114" s="113"/>
      <c r="CJ114" s="113"/>
      <c r="CK114" s="113"/>
      <c r="CL114" s="113"/>
      <c r="CM114" s="113"/>
      <c r="CN114" s="113"/>
      <c r="CO114" s="113"/>
      <c r="CP114" s="113"/>
      <c r="CQ114" s="113"/>
      <c r="CR114" s="113"/>
      <c r="CS114" s="113"/>
      <c r="CT114" s="113"/>
      <c r="CU114" s="113"/>
    </row>
    <row r="115">
      <c r="A115" s="159" t="str">
        <f>IFERROR(__xludf.DUMMYFUNCTION("""COMPUTED_VALUE"""),"C-5")</f>
        <v>C-5</v>
      </c>
      <c r="B115" s="113" t="str">
        <f>IFERROR(__xludf.DUMMYFUNCTION("""COMPUTED_VALUE"""),"Miguel Angel Zavala")</f>
        <v>Miguel Angel Zavala</v>
      </c>
      <c r="C115" s="113" t="str">
        <f>IFERROR(__xludf.DUMMYFUNCTION("""COMPUTED_VALUE"""),"Perez")</f>
        <v>Perez</v>
      </c>
      <c r="D115" s="158">
        <f>IFERROR(__xludf.DUMMYFUNCTION("""COMPUTED_VALUE"""),1030.0)</f>
        <v>1030</v>
      </c>
      <c r="E115" s="161">
        <f t="shared" si="1"/>
        <v>6</v>
      </c>
      <c r="F115" s="160">
        <f>COUNTIFS('Scores Import DO NOT EDIT'!C:C, D115,'Scores Import DO NOT EDIT'!M:M,A115)</f>
        <v>5</v>
      </c>
      <c r="G115" s="162">
        <f t="shared" si="2"/>
        <v>0.8333333333</v>
      </c>
      <c r="H115" s="163" t="str">
        <f t="shared" si="3"/>
        <v>C-51030</v>
      </c>
      <c r="I115" s="121"/>
      <c r="J115" s="113"/>
      <c r="K115" s="113"/>
      <c r="L115" s="158"/>
      <c r="M115" s="166" t="s">
        <v>176</v>
      </c>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3"/>
      <c r="AU115" s="113"/>
      <c r="AV115" s="113"/>
      <c r="AW115" s="113"/>
      <c r="AX115" s="113"/>
      <c r="AY115" s="113"/>
      <c r="AZ115" s="113"/>
      <c r="BA115" s="113"/>
      <c r="BB115" s="113"/>
      <c r="BC115" s="113"/>
      <c r="BD115" s="113"/>
      <c r="BE115" s="113"/>
      <c r="BF115" s="113"/>
      <c r="BG115" s="113"/>
      <c r="BH115" s="113"/>
      <c r="BI115" s="113"/>
      <c r="BJ115" s="113"/>
      <c r="BK115" s="113"/>
      <c r="BL115" s="113"/>
      <c r="BM115" s="113"/>
      <c r="BN115" s="113"/>
      <c r="BO115" s="113"/>
      <c r="BP115" s="113"/>
      <c r="BQ115" s="113"/>
      <c r="BR115" s="113"/>
      <c r="BS115" s="113"/>
      <c r="BT115" s="113"/>
      <c r="BU115" s="113"/>
      <c r="BV115" s="113"/>
      <c r="BW115" s="113"/>
      <c r="BX115" s="113"/>
      <c r="BY115" s="113"/>
      <c r="BZ115" s="113"/>
      <c r="CA115" s="113"/>
      <c r="CB115" s="113"/>
      <c r="CC115" s="113"/>
      <c r="CD115" s="113"/>
      <c r="CE115" s="113"/>
      <c r="CF115" s="113"/>
      <c r="CG115" s="113"/>
      <c r="CH115" s="113"/>
      <c r="CI115" s="113"/>
      <c r="CJ115" s="113"/>
      <c r="CK115" s="113"/>
      <c r="CL115" s="113"/>
      <c r="CM115" s="113"/>
      <c r="CN115" s="113"/>
      <c r="CO115" s="113"/>
      <c r="CP115" s="113"/>
      <c r="CQ115" s="113"/>
      <c r="CR115" s="113"/>
      <c r="CS115" s="113"/>
      <c r="CT115" s="113"/>
      <c r="CU115" s="113"/>
    </row>
    <row r="116">
      <c r="A116" s="159" t="str">
        <f>IFERROR(__xludf.DUMMYFUNCTION("""COMPUTED_VALUE"""),"C-5")</f>
        <v>C-5</v>
      </c>
      <c r="B116" s="113" t="str">
        <f>IFERROR(__xludf.DUMMYFUNCTION("""COMPUTED_VALUE"""),"Juanjuan")</f>
        <v>Juanjuan</v>
      </c>
      <c r="C116" s="113" t="str">
        <f>IFERROR(__xludf.DUMMYFUNCTION("""COMPUTED_VALUE"""),"Fan")</f>
        <v>Fan</v>
      </c>
      <c r="D116" s="158">
        <f>IFERROR(__xludf.DUMMYFUNCTION("""COMPUTED_VALUE"""),1015.0)</f>
        <v>1015</v>
      </c>
      <c r="E116" s="161">
        <f t="shared" si="1"/>
        <v>6</v>
      </c>
      <c r="F116" s="160">
        <f>COUNTIFS('Scores Import DO NOT EDIT'!C:C, D116,'Scores Import DO NOT EDIT'!M:M,A116)</f>
        <v>5</v>
      </c>
      <c r="G116" s="162">
        <f t="shared" si="2"/>
        <v>0.8333333333</v>
      </c>
      <c r="H116" s="163" t="str">
        <f t="shared" si="3"/>
        <v>C-51015</v>
      </c>
      <c r="I116" s="121"/>
      <c r="J116" s="113"/>
      <c r="K116" s="113"/>
      <c r="L116" s="158"/>
      <c r="M116" s="166" t="s">
        <v>184</v>
      </c>
      <c r="N116" s="113"/>
      <c r="O116" s="113"/>
      <c r="P116" s="113"/>
      <c r="Q116" s="113"/>
      <c r="R116" s="113"/>
      <c r="S116" s="113"/>
      <c r="T116" s="113"/>
      <c r="U116" s="113"/>
      <c r="V116" s="113"/>
      <c r="W116" s="113"/>
      <c r="X116" s="113"/>
      <c r="Y116" s="113"/>
      <c r="Z116" s="113"/>
      <c r="AA116" s="113"/>
      <c r="AB116" s="113"/>
      <c r="AC116" s="113"/>
      <c r="AD116" s="113"/>
      <c r="AE116" s="113"/>
      <c r="AF116" s="113"/>
      <c r="AG116" s="113"/>
      <c r="AH116" s="113"/>
      <c r="AI116" s="113"/>
      <c r="AJ116" s="113"/>
      <c r="AK116" s="113"/>
      <c r="AL116" s="113"/>
      <c r="AM116" s="113"/>
      <c r="AN116" s="113"/>
      <c r="AO116" s="113"/>
      <c r="AP116" s="113"/>
      <c r="AQ116" s="113"/>
      <c r="AR116" s="113"/>
      <c r="AS116" s="113"/>
      <c r="AT116" s="113"/>
      <c r="AU116" s="113"/>
      <c r="AV116" s="113"/>
      <c r="AW116" s="113"/>
      <c r="AX116" s="113"/>
      <c r="AY116" s="113"/>
      <c r="AZ116" s="113"/>
      <c r="BA116" s="113"/>
      <c r="BB116" s="113"/>
      <c r="BC116" s="113"/>
      <c r="BD116" s="113"/>
      <c r="BE116" s="113"/>
      <c r="BF116" s="113"/>
      <c r="BG116" s="113"/>
      <c r="BH116" s="113"/>
      <c r="BI116" s="113"/>
      <c r="BJ116" s="113"/>
      <c r="BK116" s="113"/>
      <c r="BL116" s="113"/>
      <c r="BM116" s="113"/>
      <c r="BN116" s="113"/>
      <c r="BO116" s="113"/>
      <c r="BP116" s="113"/>
      <c r="BQ116" s="113"/>
      <c r="BR116" s="113"/>
      <c r="BS116" s="113"/>
      <c r="BT116" s="113"/>
      <c r="BU116" s="113"/>
      <c r="BV116" s="113"/>
      <c r="BW116" s="113"/>
      <c r="BX116" s="113"/>
      <c r="BY116" s="113"/>
      <c r="BZ116" s="113"/>
      <c r="CA116" s="113"/>
      <c r="CB116" s="113"/>
      <c r="CC116" s="113"/>
      <c r="CD116" s="113"/>
      <c r="CE116" s="113"/>
      <c r="CF116" s="113"/>
      <c r="CG116" s="113"/>
      <c r="CH116" s="113"/>
      <c r="CI116" s="113"/>
      <c r="CJ116" s="113"/>
      <c r="CK116" s="113"/>
      <c r="CL116" s="113"/>
      <c r="CM116" s="113"/>
      <c r="CN116" s="113"/>
      <c r="CO116" s="113"/>
      <c r="CP116" s="113"/>
      <c r="CQ116" s="113"/>
      <c r="CR116" s="113"/>
      <c r="CS116" s="113"/>
      <c r="CT116" s="113"/>
      <c r="CU116" s="113"/>
    </row>
    <row r="117">
      <c r="A117" s="159" t="str">
        <f>IFERROR(__xludf.DUMMYFUNCTION("""COMPUTED_VALUE"""),"C-5")</f>
        <v>C-5</v>
      </c>
      <c r="B117" s="113" t="str">
        <f>IFERROR(__xludf.DUMMYFUNCTION("""COMPUTED_VALUE"""),"Carolyn")</f>
        <v>Carolyn</v>
      </c>
      <c r="C117" s="113" t="str">
        <f>IFERROR(__xludf.DUMMYFUNCTION("""COMPUTED_VALUE"""),"Veseliny")</f>
        <v>Veseliny</v>
      </c>
      <c r="D117" s="158">
        <f>IFERROR(__xludf.DUMMYFUNCTION("""COMPUTED_VALUE"""),1111.0)</f>
        <v>1111</v>
      </c>
      <c r="E117" s="161">
        <f t="shared" si="1"/>
        <v>6</v>
      </c>
      <c r="F117" s="160">
        <f>COUNTIFS('Scores Import DO NOT EDIT'!C:C, D117,'Scores Import DO NOT EDIT'!M:M,A117)</f>
        <v>1</v>
      </c>
      <c r="G117" s="162">
        <f t="shared" si="2"/>
        <v>0.1666666667</v>
      </c>
      <c r="H117" s="163" t="str">
        <f t="shared" si="3"/>
        <v>C-51111</v>
      </c>
      <c r="I117" s="121"/>
      <c r="J117" s="113"/>
      <c r="K117" s="113"/>
      <c r="L117" s="158"/>
      <c r="M117" s="166" t="s">
        <v>183</v>
      </c>
      <c r="N117" s="113"/>
      <c r="O117" s="113"/>
      <c r="P117" s="113"/>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c r="BG117" s="113"/>
      <c r="BH117" s="113"/>
      <c r="BI117" s="113"/>
      <c r="BJ117" s="113"/>
      <c r="BK117" s="113"/>
      <c r="BL117" s="113"/>
      <c r="BM117" s="113"/>
      <c r="BN117" s="113"/>
      <c r="BO117" s="113"/>
      <c r="BP117" s="113"/>
      <c r="BQ117" s="113"/>
      <c r="BR117" s="113"/>
      <c r="BS117" s="113"/>
      <c r="BT117" s="113"/>
      <c r="BU117" s="113"/>
      <c r="BV117" s="113"/>
      <c r="BW117" s="113"/>
      <c r="BX117" s="113"/>
      <c r="BY117" s="113"/>
      <c r="BZ117" s="113"/>
      <c r="CA117" s="113"/>
      <c r="CB117" s="113"/>
      <c r="CC117" s="113"/>
      <c r="CD117" s="113"/>
      <c r="CE117" s="113"/>
      <c r="CF117" s="113"/>
      <c r="CG117" s="113"/>
      <c r="CH117" s="113"/>
      <c r="CI117" s="113"/>
      <c r="CJ117" s="113"/>
      <c r="CK117" s="113"/>
      <c r="CL117" s="113"/>
      <c r="CM117" s="113"/>
      <c r="CN117" s="113"/>
      <c r="CO117" s="113"/>
      <c r="CP117" s="113"/>
      <c r="CQ117" s="113"/>
      <c r="CR117" s="113"/>
      <c r="CS117" s="113"/>
      <c r="CT117" s="113"/>
      <c r="CU117" s="113"/>
    </row>
    <row r="118">
      <c r="A118" s="159" t="str">
        <f>IFERROR(__xludf.DUMMYFUNCTION("""COMPUTED_VALUE"""),"C-6")</f>
        <v>C-6</v>
      </c>
      <c r="B118" s="113" t="str">
        <f>IFERROR(__xludf.DUMMYFUNCTION("""COMPUTED_VALUE"""),"Esra")</f>
        <v>Esra</v>
      </c>
      <c r="C118" s="113" t="str">
        <f>IFERROR(__xludf.DUMMYFUNCTION("""COMPUTED_VALUE"""),"Tunc")</f>
        <v>Tunc</v>
      </c>
      <c r="D118" s="158">
        <f>IFERROR(__xludf.DUMMYFUNCTION("""COMPUTED_VALUE"""),1008.0)</f>
        <v>1008</v>
      </c>
      <c r="E118" s="161">
        <f t="shared" si="1"/>
        <v>6</v>
      </c>
      <c r="F118" s="160">
        <f>COUNTIFS('Scores Import DO NOT EDIT'!C:C, D118,'Scores Import DO NOT EDIT'!M:M,A118)</f>
        <v>4</v>
      </c>
      <c r="G118" s="162">
        <f t="shared" si="2"/>
        <v>0.6666666667</v>
      </c>
      <c r="H118" s="163" t="str">
        <f t="shared" si="3"/>
        <v>C-61008</v>
      </c>
      <c r="I118" s="121"/>
      <c r="J118" s="113"/>
      <c r="K118" s="113"/>
      <c r="L118" s="158"/>
      <c r="M118" s="166" t="s">
        <v>181</v>
      </c>
      <c r="N118" s="113"/>
      <c r="O118" s="113"/>
      <c r="P118" s="113"/>
      <c r="Q118" s="113"/>
      <c r="R118" s="113"/>
      <c r="S118" s="113"/>
      <c r="T118" s="113"/>
      <c r="U118" s="113"/>
      <c r="V118" s="113"/>
      <c r="W118" s="113"/>
      <c r="X118" s="113"/>
      <c r="Y118" s="113"/>
      <c r="Z118" s="113"/>
      <c r="AA118" s="113"/>
      <c r="AB118" s="113"/>
      <c r="AC118" s="113"/>
      <c r="AD118" s="113"/>
      <c r="AE118" s="113"/>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c r="BG118" s="113"/>
      <c r="BH118" s="113"/>
      <c r="BI118" s="113"/>
      <c r="BJ118" s="113"/>
      <c r="BK118" s="113"/>
      <c r="BL118" s="113"/>
      <c r="BM118" s="113"/>
      <c r="BN118" s="113"/>
      <c r="BO118" s="113"/>
      <c r="BP118" s="113"/>
      <c r="BQ118" s="113"/>
      <c r="BR118" s="113"/>
      <c r="BS118" s="113"/>
      <c r="BT118" s="113"/>
      <c r="BU118" s="113"/>
      <c r="BV118" s="113"/>
      <c r="BW118" s="113"/>
      <c r="BX118" s="113"/>
      <c r="BY118" s="113"/>
      <c r="BZ118" s="113"/>
      <c r="CA118" s="113"/>
      <c r="CB118" s="113"/>
      <c r="CC118" s="113"/>
      <c r="CD118" s="113"/>
      <c r="CE118" s="113"/>
      <c r="CF118" s="113"/>
      <c r="CG118" s="113"/>
      <c r="CH118" s="113"/>
      <c r="CI118" s="113"/>
      <c r="CJ118" s="113"/>
      <c r="CK118" s="113"/>
      <c r="CL118" s="113"/>
      <c r="CM118" s="113"/>
      <c r="CN118" s="113"/>
      <c r="CO118" s="113"/>
      <c r="CP118" s="113"/>
      <c r="CQ118" s="113"/>
      <c r="CR118" s="113"/>
      <c r="CS118" s="113"/>
      <c r="CT118" s="113"/>
      <c r="CU118" s="113"/>
    </row>
    <row r="119">
      <c r="A119" s="159" t="str">
        <f>IFERROR(__xludf.DUMMYFUNCTION("""COMPUTED_VALUE"""),"C-6")</f>
        <v>C-6</v>
      </c>
      <c r="B119" s="113" t="str">
        <f>IFERROR(__xludf.DUMMYFUNCTION("""COMPUTED_VALUE"""),"Lucy")</f>
        <v>Lucy</v>
      </c>
      <c r="C119" s="113" t="str">
        <f>IFERROR(__xludf.DUMMYFUNCTION("""COMPUTED_VALUE"""),"Campbell")</f>
        <v>Campbell</v>
      </c>
      <c r="D119" s="158">
        <f>IFERROR(__xludf.DUMMYFUNCTION("""COMPUTED_VALUE"""),1036.0)</f>
        <v>1036</v>
      </c>
      <c r="E119" s="161">
        <f t="shared" si="1"/>
        <v>6</v>
      </c>
      <c r="F119" s="160">
        <f>COUNTIFS('Scores Import DO NOT EDIT'!C:C, D119,'Scores Import DO NOT EDIT'!M:M,A119)</f>
        <v>4</v>
      </c>
      <c r="G119" s="162">
        <f t="shared" si="2"/>
        <v>0.6666666667</v>
      </c>
      <c r="H119" s="163" t="str">
        <f t="shared" si="3"/>
        <v>C-61036</v>
      </c>
      <c r="I119" s="113"/>
      <c r="J119" s="113"/>
      <c r="K119" s="113"/>
      <c r="L119" s="158"/>
      <c r="M119" s="166" t="s">
        <v>179</v>
      </c>
      <c r="N119" s="113"/>
      <c r="O119" s="113"/>
      <c r="P119" s="113"/>
      <c r="Q119" s="113"/>
      <c r="R119" s="113"/>
      <c r="S119" s="113"/>
      <c r="T119" s="113"/>
      <c r="U119" s="113"/>
      <c r="V119" s="113"/>
      <c r="W119" s="113"/>
      <c r="X119" s="113"/>
      <c r="Y119" s="113"/>
      <c r="Z119" s="113"/>
      <c r="AA119" s="113"/>
      <c r="AB119" s="113"/>
      <c r="AC119" s="113"/>
      <c r="AD119" s="113"/>
      <c r="AE119" s="113"/>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c r="BG119" s="113"/>
      <c r="BH119" s="113"/>
      <c r="BI119" s="113"/>
      <c r="BJ119" s="113"/>
      <c r="BK119" s="113"/>
      <c r="BL119" s="113"/>
      <c r="BM119" s="113"/>
      <c r="BN119" s="113"/>
      <c r="BO119" s="113"/>
      <c r="BP119" s="113"/>
      <c r="BQ119" s="113"/>
      <c r="BR119" s="113"/>
      <c r="BS119" s="113"/>
      <c r="BT119" s="113"/>
      <c r="BU119" s="113"/>
      <c r="BV119" s="113"/>
      <c r="BW119" s="113"/>
      <c r="BX119" s="113"/>
      <c r="BY119" s="113"/>
      <c r="BZ119" s="113"/>
      <c r="CA119" s="113"/>
      <c r="CB119" s="113"/>
      <c r="CC119" s="113"/>
      <c r="CD119" s="113"/>
      <c r="CE119" s="113"/>
      <c r="CF119" s="113"/>
      <c r="CG119" s="113"/>
      <c r="CH119" s="113"/>
      <c r="CI119" s="113"/>
      <c r="CJ119" s="113"/>
      <c r="CK119" s="113"/>
      <c r="CL119" s="113"/>
      <c r="CM119" s="113"/>
      <c r="CN119" s="113"/>
      <c r="CO119" s="113"/>
      <c r="CP119" s="113"/>
      <c r="CQ119" s="113"/>
      <c r="CR119" s="113"/>
      <c r="CS119" s="113"/>
      <c r="CT119" s="113"/>
      <c r="CU119" s="113"/>
    </row>
    <row r="120">
      <c r="A120" s="159" t="str">
        <f>IFERROR(__xludf.DUMMYFUNCTION("""COMPUTED_VALUE"""),"C-6")</f>
        <v>C-6</v>
      </c>
      <c r="B120" s="113" t="str">
        <f>IFERROR(__xludf.DUMMYFUNCTION("""COMPUTED_VALUE"""),"Sandra A.")</f>
        <v>Sandra A.</v>
      </c>
      <c r="C120" s="113" t="str">
        <f>IFERROR(__xludf.DUMMYFUNCTION("""COMPUTED_VALUE"""),"Wawrytko")</f>
        <v>Wawrytko</v>
      </c>
      <c r="D120" s="158">
        <f>IFERROR(__xludf.DUMMYFUNCTION("""COMPUTED_VALUE"""),1004.0)</f>
        <v>1004</v>
      </c>
      <c r="E120" s="161">
        <f t="shared" si="1"/>
        <v>6</v>
      </c>
      <c r="F120" s="160">
        <f>COUNTIFS('Scores Import DO NOT EDIT'!C:C, D120,'Scores Import DO NOT EDIT'!M:M,A120)</f>
        <v>4</v>
      </c>
      <c r="G120" s="162">
        <f t="shared" si="2"/>
        <v>0.6666666667</v>
      </c>
      <c r="H120" s="163" t="str">
        <f t="shared" si="3"/>
        <v>C-61004</v>
      </c>
      <c r="I120" s="121"/>
      <c r="J120" s="113"/>
      <c r="K120" s="113"/>
      <c r="L120" s="158"/>
      <c r="M120" s="166" t="s">
        <v>182</v>
      </c>
      <c r="N120" s="113"/>
      <c r="O120" s="113"/>
      <c r="P120" s="113"/>
      <c r="Q120" s="113"/>
      <c r="R120" s="113"/>
      <c r="S120" s="113"/>
      <c r="T120" s="113"/>
      <c r="U120" s="113"/>
      <c r="V120" s="113"/>
      <c r="W120" s="113"/>
      <c r="X120" s="113"/>
      <c r="Y120" s="113"/>
      <c r="Z120" s="113"/>
      <c r="AA120" s="113"/>
      <c r="AB120" s="113"/>
      <c r="AC120" s="113"/>
      <c r="AD120" s="113"/>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c r="BG120" s="113"/>
      <c r="BH120" s="113"/>
      <c r="BI120" s="113"/>
      <c r="BJ120" s="113"/>
      <c r="BK120" s="113"/>
      <c r="BL120" s="113"/>
      <c r="BM120" s="113"/>
      <c r="BN120" s="113"/>
      <c r="BO120" s="113"/>
      <c r="BP120" s="113"/>
      <c r="BQ120" s="113"/>
      <c r="BR120" s="113"/>
      <c r="BS120" s="113"/>
      <c r="BT120" s="113"/>
      <c r="BU120" s="113"/>
      <c r="BV120" s="113"/>
      <c r="BW120" s="113"/>
      <c r="BX120" s="113"/>
      <c r="BY120" s="113"/>
      <c r="BZ120" s="113"/>
      <c r="CA120" s="113"/>
      <c r="CB120" s="113"/>
      <c r="CC120" s="113"/>
      <c r="CD120" s="113"/>
      <c r="CE120" s="113"/>
      <c r="CF120" s="113"/>
      <c r="CG120" s="113"/>
      <c r="CH120" s="113"/>
      <c r="CI120" s="113"/>
      <c r="CJ120" s="113"/>
      <c r="CK120" s="113"/>
      <c r="CL120" s="113"/>
      <c r="CM120" s="113"/>
      <c r="CN120" s="113"/>
      <c r="CO120" s="113"/>
      <c r="CP120" s="113"/>
      <c r="CQ120" s="113"/>
      <c r="CR120" s="113"/>
      <c r="CS120" s="113"/>
      <c r="CT120" s="113"/>
      <c r="CU120" s="113"/>
    </row>
    <row r="121">
      <c r="A121" s="159" t="str">
        <f>IFERROR(__xludf.DUMMYFUNCTION("""COMPUTED_VALUE"""),"C-6")</f>
        <v>C-6</v>
      </c>
      <c r="B121" s="113" t="str">
        <f>IFERROR(__xludf.DUMMYFUNCTION("""COMPUTED_VALUE"""),"Bill")</f>
        <v>Bill</v>
      </c>
      <c r="C121" s="113" t="str">
        <f>IFERROR(__xludf.DUMMYFUNCTION("""COMPUTED_VALUE"""),"Aaron")</f>
        <v>Aaron</v>
      </c>
      <c r="D121" s="158">
        <f>IFERROR(__xludf.DUMMYFUNCTION("""COMPUTED_VALUE"""),1060.0)</f>
        <v>1060</v>
      </c>
      <c r="E121" s="161">
        <f t="shared" si="1"/>
        <v>6</v>
      </c>
      <c r="F121" s="160">
        <f>COUNTIFS('Scores Import DO NOT EDIT'!C:C, D121,'Scores Import DO NOT EDIT'!M:M,A121)</f>
        <v>6</v>
      </c>
      <c r="G121" s="162">
        <f t="shared" si="2"/>
        <v>1</v>
      </c>
      <c r="H121" s="163" t="str">
        <f t="shared" si="3"/>
        <v>C-61060</v>
      </c>
      <c r="I121" s="121"/>
      <c r="J121" s="113"/>
      <c r="K121" s="113"/>
      <c r="L121" s="158"/>
      <c r="M121" s="166" t="s">
        <v>180</v>
      </c>
      <c r="N121" s="113"/>
      <c r="O121" s="113"/>
      <c r="P121" s="113"/>
      <c r="Q121" s="113"/>
      <c r="R121" s="113"/>
      <c r="S121" s="113"/>
      <c r="T121" s="113"/>
      <c r="U121" s="113"/>
      <c r="V121" s="113"/>
      <c r="W121" s="113"/>
      <c r="X121" s="113"/>
      <c r="Y121" s="113"/>
      <c r="Z121" s="113"/>
      <c r="AA121" s="113"/>
      <c r="AB121" s="113"/>
      <c r="AC121" s="113"/>
      <c r="AD121" s="113"/>
      <c r="AE121" s="113"/>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c r="AZ121" s="113"/>
      <c r="BA121" s="113"/>
      <c r="BB121" s="113"/>
      <c r="BC121" s="113"/>
      <c r="BD121" s="113"/>
      <c r="BE121" s="113"/>
      <c r="BF121" s="113"/>
      <c r="BG121" s="113"/>
      <c r="BH121" s="113"/>
      <c r="BI121" s="113"/>
      <c r="BJ121" s="113"/>
      <c r="BK121" s="113"/>
      <c r="BL121" s="113"/>
      <c r="BM121" s="113"/>
      <c r="BN121" s="113"/>
      <c r="BO121" s="113"/>
      <c r="BP121" s="113"/>
      <c r="BQ121" s="113"/>
      <c r="BR121" s="113"/>
      <c r="BS121" s="113"/>
      <c r="BT121" s="113"/>
      <c r="BU121" s="113"/>
      <c r="BV121" s="113"/>
      <c r="BW121" s="113"/>
      <c r="BX121" s="113"/>
      <c r="BY121" s="113"/>
      <c r="BZ121" s="113"/>
      <c r="CA121" s="113"/>
      <c r="CB121" s="113"/>
      <c r="CC121" s="113"/>
      <c r="CD121" s="113"/>
      <c r="CE121" s="113"/>
      <c r="CF121" s="113"/>
      <c r="CG121" s="113"/>
      <c r="CH121" s="113"/>
      <c r="CI121" s="113"/>
      <c r="CJ121" s="113"/>
      <c r="CK121" s="113"/>
      <c r="CL121" s="113"/>
      <c r="CM121" s="113"/>
      <c r="CN121" s="113"/>
      <c r="CO121" s="113"/>
      <c r="CP121" s="113"/>
      <c r="CQ121" s="113"/>
      <c r="CR121" s="113"/>
      <c r="CS121" s="113"/>
      <c r="CT121" s="113"/>
      <c r="CU121" s="113"/>
    </row>
    <row r="122">
      <c r="A122" s="159" t="str">
        <f>IFERROR(__xludf.DUMMYFUNCTION("""COMPUTED_VALUE"""),"C-6")</f>
        <v>C-6</v>
      </c>
      <c r="B122" s="113" t="str">
        <f>IFERROR(__xludf.DUMMYFUNCTION("""COMPUTED_VALUE"""),"Delores")</f>
        <v>Delores</v>
      </c>
      <c r="C122" s="113" t="str">
        <f>IFERROR(__xludf.DUMMYFUNCTION("""COMPUTED_VALUE"""),"Fisher")</f>
        <v>Fisher</v>
      </c>
      <c r="D122" s="158">
        <f>IFERROR(__xludf.DUMMYFUNCTION("""COMPUTED_VALUE"""),1169.0)</f>
        <v>1169</v>
      </c>
      <c r="E122" s="161">
        <f t="shared" si="1"/>
        <v>6</v>
      </c>
      <c r="F122" s="160">
        <f>COUNTIFS('Scores Import DO NOT EDIT'!C:C, D122,'Scores Import DO NOT EDIT'!M:M,A122)</f>
        <v>2</v>
      </c>
      <c r="G122" s="162">
        <f t="shared" si="2"/>
        <v>0.3333333333</v>
      </c>
      <c r="H122" s="163" t="str">
        <f t="shared" si="3"/>
        <v>C-61169</v>
      </c>
      <c r="I122" s="121"/>
      <c r="J122" s="113"/>
      <c r="K122" s="113"/>
      <c r="L122" s="158"/>
      <c r="M122" s="166" t="s">
        <v>188</v>
      </c>
      <c r="N122" s="113"/>
      <c r="O122" s="113"/>
      <c r="P122" s="113"/>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c r="AZ122" s="113"/>
      <c r="BA122" s="113"/>
      <c r="BB122" s="113"/>
      <c r="BC122" s="113"/>
      <c r="BD122" s="113"/>
      <c r="BE122" s="113"/>
      <c r="BF122" s="113"/>
      <c r="BG122" s="113"/>
      <c r="BH122" s="113"/>
      <c r="BI122" s="113"/>
      <c r="BJ122" s="113"/>
      <c r="BK122" s="113"/>
      <c r="BL122" s="113"/>
      <c r="BM122" s="113"/>
      <c r="BN122" s="113"/>
      <c r="BO122" s="113"/>
      <c r="BP122" s="113"/>
      <c r="BQ122" s="113"/>
      <c r="BR122" s="113"/>
      <c r="BS122" s="113"/>
      <c r="BT122" s="113"/>
      <c r="BU122" s="113"/>
      <c r="BV122" s="113"/>
      <c r="BW122" s="113"/>
      <c r="BX122" s="113"/>
      <c r="BY122" s="113"/>
      <c r="BZ122" s="113"/>
      <c r="CA122" s="113"/>
      <c r="CB122" s="113"/>
      <c r="CC122" s="113"/>
      <c r="CD122" s="113"/>
      <c r="CE122" s="113"/>
      <c r="CF122" s="113"/>
      <c r="CG122" s="113"/>
      <c r="CH122" s="113"/>
      <c r="CI122" s="113"/>
      <c r="CJ122" s="113"/>
      <c r="CK122" s="113"/>
      <c r="CL122" s="113"/>
      <c r="CM122" s="113"/>
      <c r="CN122" s="113"/>
      <c r="CO122" s="113"/>
      <c r="CP122" s="113"/>
      <c r="CQ122" s="113"/>
      <c r="CR122" s="113"/>
      <c r="CS122" s="113"/>
      <c r="CT122" s="113"/>
      <c r="CU122" s="113"/>
    </row>
    <row r="123">
      <c r="A123" s="159" t="str">
        <f>IFERROR(__xludf.DUMMYFUNCTION("""COMPUTED_VALUE"""),"C-7")</f>
        <v>C-7</v>
      </c>
      <c r="B123" s="113" t="str">
        <f>IFERROR(__xludf.DUMMYFUNCTION("""COMPUTED_VALUE"""),"Nini")</f>
        <v>Nini</v>
      </c>
      <c r="C123" s="113" t="str">
        <f>IFERROR(__xludf.DUMMYFUNCTION("""COMPUTED_VALUE"""),"Shatirishvili")</f>
        <v>Shatirishvili</v>
      </c>
      <c r="D123" s="158">
        <f>IFERROR(__xludf.DUMMYFUNCTION("""COMPUTED_VALUE"""),1136.0)</f>
        <v>1136</v>
      </c>
      <c r="E123" s="161">
        <f t="shared" si="1"/>
        <v>4</v>
      </c>
      <c r="F123" s="160">
        <f>COUNTIFS('Scores Import DO NOT EDIT'!C:C, D123,'Scores Import DO NOT EDIT'!M:M,A123)</f>
        <v>0</v>
      </c>
      <c r="G123" s="162">
        <f t="shared" si="2"/>
        <v>0</v>
      </c>
      <c r="H123" s="163" t="str">
        <f t="shared" si="3"/>
        <v>C-71136</v>
      </c>
      <c r="I123" s="121"/>
      <c r="J123" s="113"/>
      <c r="K123" s="113"/>
      <c r="L123" s="158"/>
      <c r="M123" s="166" t="s">
        <v>189</v>
      </c>
      <c r="N123" s="113"/>
      <c r="O123" s="113"/>
      <c r="P123" s="113"/>
      <c r="Q123" s="113"/>
      <c r="R123" s="113"/>
      <c r="S123" s="113"/>
      <c r="T123" s="113"/>
      <c r="U123" s="113"/>
      <c r="V123" s="113"/>
      <c r="W123" s="113"/>
      <c r="X123" s="113"/>
      <c r="Y123" s="113"/>
      <c r="Z123" s="113"/>
      <c r="AA123" s="113"/>
      <c r="AB123" s="113"/>
      <c r="AC123" s="113"/>
      <c r="AD123" s="113"/>
      <c r="AE123" s="113"/>
      <c r="AF123" s="113"/>
      <c r="AG123" s="113"/>
      <c r="AH123" s="113"/>
      <c r="AI123" s="113"/>
      <c r="AJ123" s="113"/>
      <c r="AK123" s="113"/>
      <c r="AL123" s="113"/>
      <c r="AM123" s="113"/>
      <c r="AN123" s="113"/>
      <c r="AO123" s="113"/>
      <c r="AP123" s="113"/>
      <c r="AQ123" s="113"/>
      <c r="AR123" s="113"/>
      <c r="AS123" s="113"/>
      <c r="AT123" s="113"/>
      <c r="AU123" s="113"/>
      <c r="AV123" s="113"/>
      <c r="AW123" s="113"/>
      <c r="AX123" s="113"/>
      <c r="AY123" s="113"/>
      <c r="AZ123" s="113"/>
      <c r="BA123" s="113"/>
      <c r="BB123" s="113"/>
      <c r="BC123" s="113"/>
      <c r="BD123" s="113"/>
      <c r="BE123" s="113"/>
      <c r="BF123" s="113"/>
      <c r="BG123" s="113"/>
      <c r="BH123" s="113"/>
      <c r="BI123" s="113"/>
      <c r="BJ123" s="113"/>
      <c r="BK123" s="113"/>
      <c r="BL123" s="113"/>
      <c r="BM123" s="113"/>
      <c r="BN123" s="113"/>
      <c r="BO123" s="113"/>
      <c r="BP123" s="113"/>
      <c r="BQ123" s="113"/>
      <c r="BR123" s="113"/>
      <c r="BS123" s="113"/>
      <c r="BT123" s="113"/>
      <c r="BU123" s="113"/>
      <c r="BV123" s="113"/>
      <c r="BW123" s="113"/>
      <c r="BX123" s="113"/>
      <c r="BY123" s="113"/>
      <c r="BZ123" s="113"/>
      <c r="CA123" s="113"/>
      <c r="CB123" s="113"/>
      <c r="CC123" s="113"/>
      <c r="CD123" s="113"/>
      <c r="CE123" s="113"/>
      <c r="CF123" s="113"/>
      <c r="CG123" s="113"/>
      <c r="CH123" s="113"/>
      <c r="CI123" s="113"/>
      <c r="CJ123" s="113"/>
      <c r="CK123" s="113"/>
      <c r="CL123" s="113"/>
      <c r="CM123" s="113"/>
      <c r="CN123" s="113"/>
      <c r="CO123" s="113"/>
      <c r="CP123" s="113"/>
      <c r="CQ123" s="113"/>
      <c r="CR123" s="113"/>
      <c r="CS123" s="113"/>
      <c r="CT123" s="113"/>
      <c r="CU123" s="113"/>
    </row>
    <row r="124">
      <c r="A124" s="159" t="str">
        <f>IFERROR(__xludf.DUMMYFUNCTION("""COMPUTED_VALUE"""),"C-7")</f>
        <v>C-7</v>
      </c>
      <c r="B124" s="113" t="str">
        <f>IFERROR(__xludf.DUMMYFUNCTION("""COMPUTED_VALUE"""),"Terrence D.")</f>
        <v>Terrence D.</v>
      </c>
      <c r="C124" s="113" t="str">
        <f>IFERROR(__xludf.DUMMYFUNCTION("""COMPUTED_VALUE"""),"Chu")</f>
        <v>Chu</v>
      </c>
      <c r="D124" s="158">
        <f>IFERROR(__xludf.DUMMYFUNCTION("""COMPUTED_VALUE"""),1144.0)</f>
        <v>1144</v>
      </c>
      <c r="E124" s="161">
        <f t="shared" si="1"/>
        <v>4</v>
      </c>
      <c r="F124" s="160">
        <f>COUNTIFS('Scores Import DO NOT EDIT'!C:C, D124,'Scores Import DO NOT EDIT'!M:M,A124)</f>
        <v>4</v>
      </c>
      <c r="G124" s="162">
        <f t="shared" si="2"/>
        <v>1</v>
      </c>
      <c r="H124" s="163" t="str">
        <f t="shared" si="3"/>
        <v>C-71144</v>
      </c>
      <c r="I124" s="121"/>
      <c r="J124" s="113"/>
      <c r="K124" s="113"/>
      <c r="L124" s="158"/>
      <c r="M124" s="166" t="s">
        <v>186</v>
      </c>
      <c r="N124" s="113"/>
      <c r="O124" s="113"/>
      <c r="P124" s="113"/>
      <c r="Q124" s="113"/>
      <c r="R124" s="113"/>
      <c r="S124" s="113"/>
      <c r="T124" s="113"/>
      <c r="U124" s="113"/>
      <c r="V124" s="113"/>
      <c r="W124" s="113"/>
      <c r="X124" s="113"/>
      <c r="Y124" s="113"/>
      <c r="Z124" s="113"/>
      <c r="AA124" s="113"/>
      <c r="AB124" s="113"/>
      <c r="AC124" s="113"/>
      <c r="AD124" s="113"/>
      <c r="AE124" s="113"/>
      <c r="AF124" s="113"/>
      <c r="AG124" s="113"/>
      <c r="AH124" s="113"/>
      <c r="AI124" s="113"/>
      <c r="AJ124" s="113"/>
      <c r="AK124" s="113"/>
      <c r="AL124" s="113"/>
      <c r="AM124" s="113"/>
      <c r="AN124" s="113"/>
      <c r="AO124" s="113"/>
      <c r="AP124" s="113"/>
      <c r="AQ124" s="113"/>
      <c r="AR124" s="113"/>
      <c r="AS124" s="113"/>
      <c r="AT124" s="113"/>
      <c r="AU124" s="113"/>
      <c r="AV124" s="113"/>
      <c r="AW124" s="113"/>
      <c r="AX124" s="113"/>
      <c r="AY124" s="113"/>
      <c r="AZ124" s="113"/>
      <c r="BA124" s="113"/>
      <c r="BB124" s="113"/>
      <c r="BC124" s="113"/>
      <c r="BD124" s="113"/>
      <c r="BE124" s="113"/>
      <c r="BF124" s="113"/>
      <c r="BG124" s="113"/>
      <c r="BH124" s="113"/>
      <c r="BI124" s="113"/>
      <c r="BJ124" s="113"/>
      <c r="BK124" s="113"/>
      <c r="BL124" s="113"/>
      <c r="BM124" s="113"/>
      <c r="BN124" s="113"/>
      <c r="BO124" s="113"/>
      <c r="BP124" s="113"/>
      <c r="BQ124" s="113"/>
      <c r="BR124" s="113"/>
      <c r="BS124" s="113"/>
      <c r="BT124" s="113"/>
      <c r="BU124" s="113"/>
      <c r="BV124" s="113"/>
      <c r="BW124" s="113"/>
      <c r="BX124" s="113"/>
      <c r="BY124" s="113"/>
      <c r="BZ124" s="113"/>
      <c r="CA124" s="113"/>
      <c r="CB124" s="113"/>
      <c r="CC124" s="113"/>
      <c r="CD124" s="113"/>
      <c r="CE124" s="113"/>
      <c r="CF124" s="113"/>
      <c r="CG124" s="113"/>
      <c r="CH124" s="113"/>
      <c r="CI124" s="113"/>
      <c r="CJ124" s="113"/>
      <c r="CK124" s="113"/>
      <c r="CL124" s="113"/>
      <c r="CM124" s="113"/>
      <c r="CN124" s="113"/>
      <c r="CO124" s="113"/>
      <c r="CP124" s="113"/>
      <c r="CQ124" s="113"/>
      <c r="CR124" s="113"/>
      <c r="CS124" s="113"/>
      <c r="CT124" s="113"/>
      <c r="CU124" s="113"/>
    </row>
    <row r="125">
      <c r="A125" s="159" t="str">
        <f>IFERROR(__xludf.DUMMYFUNCTION("""COMPUTED_VALUE"""),"C-7")</f>
        <v>C-7</v>
      </c>
      <c r="B125" s="113" t="str">
        <f>IFERROR(__xludf.DUMMYFUNCTION("""COMPUTED_VALUE"""),"Xin")</f>
        <v>Xin</v>
      </c>
      <c r="C125" s="113" t="str">
        <f>IFERROR(__xludf.DUMMYFUNCTION("""COMPUTED_VALUE"""),"Wang")</f>
        <v>Wang</v>
      </c>
      <c r="D125" s="158">
        <f>IFERROR(__xludf.DUMMYFUNCTION("""COMPUTED_VALUE"""),1168.0)</f>
        <v>1168</v>
      </c>
      <c r="E125" s="161">
        <f t="shared" si="1"/>
        <v>4</v>
      </c>
      <c r="F125" s="160">
        <f>COUNTIFS('Scores Import DO NOT EDIT'!C:C, D125,'Scores Import DO NOT EDIT'!M:M,A125)</f>
        <v>4</v>
      </c>
      <c r="G125" s="162">
        <f t="shared" si="2"/>
        <v>1</v>
      </c>
      <c r="H125" s="163" t="str">
        <f t="shared" si="3"/>
        <v>C-71168</v>
      </c>
      <c r="I125" s="121"/>
      <c r="J125" s="113"/>
      <c r="K125" s="113"/>
      <c r="L125" s="158"/>
      <c r="M125" s="166" t="s">
        <v>190</v>
      </c>
      <c r="N125" s="113"/>
      <c r="O125" s="113"/>
      <c r="P125" s="113"/>
      <c r="Q125" s="113"/>
      <c r="R125" s="113"/>
      <c r="S125" s="113"/>
      <c r="T125" s="113"/>
      <c r="U125" s="113"/>
      <c r="V125" s="113"/>
      <c r="W125" s="113"/>
      <c r="X125" s="113"/>
      <c r="Y125" s="113"/>
      <c r="Z125" s="113"/>
      <c r="AA125" s="113"/>
      <c r="AB125" s="113"/>
      <c r="AC125" s="113"/>
      <c r="AD125" s="113"/>
      <c r="AE125" s="113"/>
      <c r="AF125" s="113"/>
      <c r="AG125" s="113"/>
      <c r="AH125" s="113"/>
      <c r="AI125" s="113"/>
      <c r="AJ125" s="113"/>
      <c r="AK125" s="113"/>
      <c r="AL125" s="113"/>
      <c r="AM125" s="113"/>
      <c r="AN125" s="113"/>
      <c r="AO125" s="113"/>
      <c r="AP125" s="113"/>
      <c r="AQ125" s="113"/>
      <c r="AR125" s="113"/>
      <c r="AS125" s="113"/>
      <c r="AT125" s="113"/>
      <c r="AU125" s="113"/>
      <c r="AV125" s="113"/>
      <c r="AW125" s="113"/>
      <c r="AX125" s="113"/>
      <c r="AY125" s="113"/>
      <c r="AZ125" s="113"/>
      <c r="BA125" s="113"/>
      <c r="BB125" s="113"/>
      <c r="BC125" s="113"/>
      <c r="BD125" s="113"/>
      <c r="BE125" s="113"/>
      <c r="BF125" s="113"/>
      <c r="BG125" s="113"/>
      <c r="BH125" s="113"/>
      <c r="BI125" s="113"/>
      <c r="BJ125" s="113"/>
      <c r="BK125" s="113"/>
      <c r="BL125" s="113"/>
      <c r="BM125" s="113"/>
      <c r="BN125" s="113"/>
      <c r="BO125" s="113"/>
      <c r="BP125" s="113"/>
      <c r="BQ125" s="113"/>
      <c r="BR125" s="113"/>
      <c r="BS125" s="113"/>
      <c r="BT125" s="113"/>
      <c r="BU125" s="113"/>
      <c r="BV125" s="113"/>
      <c r="BW125" s="113"/>
      <c r="BX125" s="113"/>
      <c r="BY125" s="113"/>
      <c r="BZ125" s="113"/>
      <c r="CA125" s="113"/>
      <c r="CB125" s="113"/>
      <c r="CC125" s="113"/>
      <c r="CD125" s="113"/>
      <c r="CE125" s="113"/>
      <c r="CF125" s="113"/>
      <c r="CG125" s="113"/>
      <c r="CH125" s="113"/>
      <c r="CI125" s="113"/>
      <c r="CJ125" s="113"/>
      <c r="CK125" s="113"/>
      <c r="CL125" s="113"/>
      <c r="CM125" s="113"/>
      <c r="CN125" s="113"/>
      <c r="CO125" s="113"/>
      <c r="CP125" s="113"/>
      <c r="CQ125" s="113"/>
      <c r="CR125" s="113"/>
      <c r="CS125" s="113"/>
      <c r="CT125" s="113"/>
      <c r="CU125" s="113"/>
    </row>
    <row r="126">
      <c r="A126" s="159" t="str">
        <f>IFERROR(__xludf.DUMMYFUNCTION("""COMPUTED_VALUE"""),"C-7")</f>
        <v>C-7</v>
      </c>
      <c r="B126" s="113" t="str">
        <f>IFERROR(__xludf.DUMMYFUNCTION("""COMPUTED_VALUE"""),"Colin")</f>
        <v>Colin</v>
      </c>
      <c r="C126" s="113" t="str">
        <f>IFERROR(__xludf.DUMMYFUNCTION("""COMPUTED_VALUE"""),"McGrane")</f>
        <v>McGrane</v>
      </c>
      <c r="D126" s="158">
        <f>IFERROR(__xludf.DUMMYFUNCTION("""COMPUTED_VALUE"""),1142.0)</f>
        <v>1142</v>
      </c>
      <c r="E126" s="161">
        <f t="shared" si="1"/>
        <v>4</v>
      </c>
      <c r="F126" s="160">
        <f>COUNTIFS('Scores Import DO NOT EDIT'!C:C, D126,'Scores Import DO NOT EDIT'!M:M,A126)</f>
        <v>4</v>
      </c>
      <c r="G126" s="162">
        <f t="shared" si="2"/>
        <v>1</v>
      </c>
      <c r="H126" s="163" t="str">
        <f t="shared" si="3"/>
        <v>C-71142</v>
      </c>
      <c r="I126" s="121"/>
      <c r="J126" s="113"/>
      <c r="K126" s="113"/>
      <c r="L126" s="158"/>
      <c r="M126" s="166" t="s">
        <v>191</v>
      </c>
      <c r="N126" s="113"/>
      <c r="O126" s="113"/>
      <c r="P126" s="113"/>
      <c r="Q126" s="113"/>
      <c r="R126" s="113"/>
      <c r="S126" s="113"/>
      <c r="T126" s="113"/>
      <c r="U126" s="113"/>
      <c r="V126" s="113"/>
      <c r="W126" s="113"/>
      <c r="X126" s="113"/>
      <c r="Y126" s="113"/>
      <c r="Z126" s="113"/>
      <c r="AA126" s="113"/>
      <c r="AB126" s="113"/>
      <c r="AC126" s="113"/>
      <c r="AD126" s="113"/>
      <c r="AE126" s="113"/>
      <c r="AF126" s="113"/>
      <c r="AG126" s="113"/>
      <c r="AH126" s="113"/>
      <c r="AI126" s="113"/>
      <c r="AJ126" s="113"/>
      <c r="AK126" s="113"/>
      <c r="AL126" s="113"/>
      <c r="AM126" s="113"/>
      <c r="AN126" s="113"/>
      <c r="AO126" s="113"/>
      <c r="AP126" s="113"/>
      <c r="AQ126" s="113"/>
      <c r="AR126" s="113"/>
      <c r="AS126" s="113"/>
      <c r="AT126" s="113"/>
      <c r="AU126" s="113"/>
      <c r="AV126" s="113"/>
      <c r="AW126" s="113"/>
      <c r="AX126" s="113"/>
      <c r="AY126" s="113"/>
      <c r="AZ126" s="113"/>
      <c r="BA126" s="113"/>
      <c r="BB126" s="113"/>
      <c r="BC126" s="113"/>
      <c r="BD126" s="113"/>
      <c r="BE126" s="113"/>
      <c r="BF126" s="113"/>
      <c r="BG126" s="113"/>
      <c r="BH126" s="113"/>
      <c r="BI126" s="113"/>
      <c r="BJ126" s="113"/>
      <c r="BK126" s="113"/>
      <c r="BL126" s="113"/>
      <c r="BM126" s="113"/>
      <c r="BN126" s="113"/>
      <c r="BO126" s="113"/>
      <c r="BP126" s="113"/>
      <c r="BQ126" s="113"/>
      <c r="BR126" s="113"/>
      <c r="BS126" s="113"/>
      <c r="BT126" s="113"/>
      <c r="BU126" s="113"/>
      <c r="BV126" s="113"/>
      <c r="BW126" s="113"/>
      <c r="BX126" s="113"/>
      <c r="BY126" s="113"/>
      <c r="BZ126" s="113"/>
      <c r="CA126" s="113"/>
      <c r="CB126" s="113"/>
      <c r="CC126" s="113"/>
      <c r="CD126" s="113"/>
      <c r="CE126" s="113"/>
      <c r="CF126" s="113"/>
      <c r="CG126" s="113"/>
      <c r="CH126" s="113"/>
      <c r="CI126" s="113"/>
      <c r="CJ126" s="113"/>
      <c r="CK126" s="113"/>
      <c r="CL126" s="113"/>
      <c r="CM126" s="113"/>
      <c r="CN126" s="113"/>
      <c r="CO126" s="113"/>
      <c r="CP126" s="113"/>
      <c r="CQ126" s="113"/>
      <c r="CR126" s="113"/>
      <c r="CS126" s="113"/>
      <c r="CT126" s="113"/>
      <c r="CU126" s="113"/>
    </row>
    <row r="127">
      <c r="A127" s="159" t="str">
        <f>IFERROR(__xludf.DUMMYFUNCTION("""COMPUTED_VALUE"""),"C-7")</f>
        <v>C-7</v>
      </c>
      <c r="B127" s="113" t="str">
        <f>IFERROR(__xludf.DUMMYFUNCTION("""COMPUTED_VALUE"""),"Crystal")</f>
        <v>Crystal</v>
      </c>
      <c r="C127" s="113" t="str">
        <f>IFERROR(__xludf.DUMMYFUNCTION("""COMPUTED_VALUE"""),"English")</f>
        <v>English</v>
      </c>
      <c r="D127" s="158">
        <f>IFERROR(__xludf.DUMMYFUNCTION("""COMPUTED_VALUE"""),1032.0)</f>
        <v>1032</v>
      </c>
      <c r="E127" s="161">
        <f t="shared" si="1"/>
        <v>4</v>
      </c>
      <c r="F127" s="160">
        <f>COUNTIFS('Scores Import DO NOT EDIT'!C:C, D127,'Scores Import DO NOT EDIT'!M:M,A127)</f>
        <v>5</v>
      </c>
      <c r="G127" s="162">
        <f t="shared" si="2"/>
        <v>1.25</v>
      </c>
      <c r="H127" s="163" t="str">
        <f t="shared" si="3"/>
        <v>C-71032</v>
      </c>
      <c r="I127" s="121"/>
      <c r="J127" s="113"/>
      <c r="K127" s="113"/>
      <c r="L127" s="158"/>
      <c r="M127" s="166" t="s">
        <v>185</v>
      </c>
      <c r="N127" s="113"/>
      <c r="O127" s="113"/>
      <c r="P127" s="113"/>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c r="AT127" s="113"/>
      <c r="AU127" s="113"/>
      <c r="AV127" s="113"/>
      <c r="AW127" s="113"/>
      <c r="AX127" s="113"/>
      <c r="AY127" s="113"/>
      <c r="AZ127" s="113"/>
      <c r="BA127" s="113"/>
      <c r="BB127" s="113"/>
      <c r="BC127" s="113"/>
      <c r="BD127" s="113"/>
      <c r="BE127" s="113"/>
      <c r="BF127" s="113"/>
      <c r="BG127" s="113"/>
      <c r="BH127" s="113"/>
      <c r="BI127" s="113"/>
      <c r="BJ127" s="113"/>
      <c r="BK127" s="113"/>
      <c r="BL127" s="113"/>
      <c r="BM127" s="113"/>
      <c r="BN127" s="113"/>
      <c r="BO127" s="113"/>
      <c r="BP127" s="113"/>
      <c r="BQ127" s="113"/>
      <c r="BR127" s="113"/>
      <c r="BS127" s="113"/>
      <c r="BT127" s="113"/>
      <c r="BU127" s="113"/>
      <c r="BV127" s="113"/>
      <c r="BW127" s="113"/>
      <c r="BX127" s="113"/>
      <c r="BY127" s="113"/>
      <c r="BZ127" s="113"/>
      <c r="CA127" s="113"/>
      <c r="CB127" s="113"/>
      <c r="CC127" s="113"/>
      <c r="CD127" s="113"/>
      <c r="CE127" s="113"/>
      <c r="CF127" s="113"/>
      <c r="CG127" s="113"/>
      <c r="CH127" s="113"/>
      <c r="CI127" s="113"/>
      <c r="CJ127" s="113"/>
      <c r="CK127" s="113"/>
      <c r="CL127" s="113"/>
      <c r="CM127" s="113"/>
      <c r="CN127" s="113"/>
      <c r="CO127" s="113"/>
      <c r="CP127" s="113"/>
      <c r="CQ127" s="113"/>
      <c r="CR127" s="113"/>
      <c r="CS127" s="113"/>
      <c r="CT127" s="113"/>
      <c r="CU127" s="113"/>
    </row>
    <row r="128">
      <c r="A128" s="159" t="str">
        <f>IFERROR(__xludf.DUMMYFUNCTION("""COMPUTED_VALUE"""),"C-8")</f>
        <v>C-8</v>
      </c>
      <c r="B128" s="113" t="str">
        <f>IFERROR(__xludf.DUMMYFUNCTION("""COMPUTED_VALUE"""),"Robert S.")</f>
        <v>Robert S.</v>
      </c>
      <c r="C128" s="113" t="str">
        <f>IFERROR(__xludf.DUMMYFUNCTION("""COMPUTED_VALUE"""),"Showghi")</f>
        <v>Showghi</v>
      </c>
      <c r="D128" s="158">
        <f>IFERROR(__xludf.DUMMYFUNCTION("""COMPUTED_VALUE"""),1218.0)</f>
        <v>1218</v>
      </c>
      <c r="E128" s="161">
        <f t="shared" si="1"/>
        <v>6</v>
      </c>
      <c r="F128" s="160">
        <f>COUNTIFS('Scores Import DO NOT EDIT'!C:C, D128,'Scores Import DO NOT EDIT'!M:M,A128)</f>
        <v>0</v>
      </c>
      <c r="G128" s="162">
        <f t="shared" si="2"/>
        <v>0</v>
      </c>
      <c r="H128" s="163" t="str">
        <f t="shared" si="3"/>
        <v>C-81218</v>
      </c>
      <c r="I128" s="121"/>
      <c r="J128" s="113"/>
      <c r="K128" s="113"/>
      <c r="L128" s="158"/>
      <c r="M128" s="166" t="s">
        <v>195</v>
      </c>
      <c r="N128" s="113"/>
      <c r="O128" s="113"/>
      <c r="P128" s="113"/>
      <c r="Q128" s="113"/>
      <c r="R128" s="113"/>
      <c r="S128" s="113"/>
      <c r="T128" s="113"/>
      <c r="U128" s="113"/>
      <c r="V128" s="113"/>
      <c r="W128" s="113"/>
      <c r="X128" s="113"/>
      <c r="Y128" s="113"/>
      <c r="Z128" s="113"/>
      <c r="AA128" s="113"/>
      <c r="AB128" s="113"/>
      <c r="AC128" s="113"/>
      <c r="AD128" s="113"/>
      <c r="AE128" s="113"/>
      <c r="AF128" s="113"/>
      <c r="AG128" s="113"/>
      <c r="AH128" s="113"/>
      <c r="AI128" s="113"/>
      <c r="AJ128" s="113"/>
      <c r="AK128" s="113"/>
      <c r="AL128" s="113"/>
      <c r="AM128" s="113"/>
      <c r="AN128" s="113"/>
      <c r="AO128" s="113"/>
      <c r="AP128" s="113"/>
      <c r="AQ128" s="113"/>
      <c r="AR128" s="113"/>
      <c r="AS128" s="113"/>
      <c r="AT128" s="113"/>
      <c r="AU128" s="113"/>
      <c r="AV128" s="113"/>
      <c r="AW128" s="113"/>
      <c r="AX128" s="113"/>
      <c r="AY128" s="113"/>
      <c r="AZ128" s="113"/>
      <c r="BA128" s="113"/>
      <c r="BB128" s="113"/>
      <c r="BC128" s="113"/>
      <c r="BD128" s="113"/>
      <c r="BE128" s="113"/>
      <c r="BF128" s="113"/>
      <c r="BG128" s="113"/>
      <c r="BH128" s="113"/>
      <c r="BI128" s="113"/>
      <c r="BJ128" s="113"/>
      <c r="BK128" s="113"/>
      <c r="BL128" s="113"/>
      <c r="BM128" s="113"/>
      <c r="BN128" s="113"/>
      <c r="BO128" s="113"/>
      <c r="BP128" s="113"/>
      <c r="BQ128" s="113"/>
      <c r="BR128" s="113"/>
      <c r="BS128" s="113"/>
      <c r="BT128" s="113"/>
      <c r="BU128" s="113"/>
      <c r="BV128" s="113"/>
      <c r="BW128" s="113"/>
      <c r="BX128" s="113"/>
      <c r="BY128" s="113"/>
      <c r="BZ128" s="113"/>
      <c r="CA128" s="113"/>
      <c r="CB128" s="113"/>
      <c r="CC128" s="113"/>
      <c r="CD128" s="113"/>
      <c r="CE128" s="113"/>
      <c r="CF128" s="113"/>
      <c r="CG128" s="113"/>
      <c r="CH128" s="113"/>
      <c r="CI128" s="113"/>
      <c r="CJ128" s="113"/>
      <c r="CK128" s="113"/>
      <c r="CL128" s="113"/>
      <c r="CM128" s="113"/>
      <c r="CN128" s="113"/>
      <c r="CO128" s="113"/>
      <c r="CP128" s="113"/>
      <c r="CQ128" s="113"/>
      <c r="CR128" s="113"/>
      <c r="CS128" s="113"/>
      <c r="CT128" s="113"/>
      <c r="CU128" s="113"/>
    </row>
    <row r="129">
      <c r="A129" s="159" t="str">
        <f>IFERROR(__xludf.DUMMYFUNCTION("""COMPUTED_VALUE"""),"C-8")</f>
        <v>C-8</v>
      </c>
      <c r="B129" s="113" t="str">
        <f>IFERROR(__xludf.DUMMYFUNCTION("""COMPUTED_VALUE"""),"Sara")</f>
        <v>Sara</v>
      </c>
      <c r="C129" s="113" t="str">
        <f>IFERROR(__xludf.DUMMYFUNCTION("""COMPUTED_VALUE"""),"Cruz")</f>
        <v>Cruz</v>
      </c>
      <c r="D129" s="158">
        <f>IFERROR(__xludf.DUMMYFUNCTION("""COMPUTED_VALUE"""),1197.0)</f>
        <v>1197</v>
      </c>
      <c r="E129" s="161">
        <f t="shared" si="1"/>
        <v>6</v>
      </c>
      <c r="F129" s="160">
        <f>COUNTIFS('Scores Import DO NOT EDIT'!C:C, D129,'Scores Import DO NOT EDIT'!M:M,A129)</f>
        <v>1</v>
      </c>
      <c r="G129" s="162">
        <f t="shared" si="2"/>
        <v>0.1666666667</v>
      </c>
      <c r="H129" s="163" t="str">
        <f t="shared" si="3"/>
        <v>C-81197</v>
      </c>
      <c r="I129" s="121"/>
      <c r="J129" s="113"/>
      <c r="K129" s="113"/>
      <c r="L129" s="158"/>
      <c r="M129" s="166" t="s">
        <v>193</v>
      </c>
      <c r="N129" s="113"/>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c r="AN129" s="113"/>
      <c r="AO129" s="113"/>
      <c r="AP129" s="113"/>
      <c r="AQ129" s="113"/>
      <c r="AR129" s="113"/>
      <c r="AS129" s="113"/>
      <c r="AT129" s="113"/>
      <c r="AU129" s="113"/>
      <c r="AV129" s="113"/>
      <c r="AW129" s="113"/>
      <c r="AX129" s="113"/>
      <c r="AY129" s="113"/>
      <c r="AZ129" s="113"/>
      <c r="BA129" s="113"/>
      <c r="BB129" s="113"/>
      <c r="BC129" s="113"/>
      <c r="BD129" s="113"/>
      <c r="BE129" s="113"/>
      <c r="BF129" s="113"/>
      <c r="BG129" s="113"/>
      <c r="BH129" s="113"/>
      <c r="BI129" s="113"/>
      <c r="BJ129" s="113"/>
      <c r="BK129" s="113"/>
      <c r="BL129" s="113"/>
      <c r="BM129" s="113"/>
      <c r="BN129" s="113"/>
      <c r="BO129" s="113"/>
      <c r="BP129" s="113"/>
      <c r="BQ129" s="113"/>
      <c r="BR129" s="113"/>
      <c r="BS129" s="113"/>
      <c r="BT129" s="113"/>
      <c r="BU129" s="113"/>
      <c r="BV129" s="113"/>
      <c r="BW129" s="113"/>
      <c r="BX129" s="113"/>
      <c r="BY129" s="113"/>
      <c r="BZ129" s="113"/>
      <c r="CA129" s="113"/>
      <c r="CB129" s="113"/>
      <c r="CC129" s="113"/>
      <c r="CD129" s="113"/>
      <c r="CE129" s="113"/>
      <c r="CF129" s="113"/>
      <c r="CG129" s="113"/>
      <c r="CH129" s="113"/>
      <c r="CI129" s="113"/>
      <c r="CJ129" s="113"/>
      <c r="CK129" s="113"/>
      <c r="CL129" s="113"/>
      <c r="CM129" s="113"/>
      <c r="CN129" s="113"/>
      <c r="CO129" s="113"/>
      <c r="CP129" s="113"/>
      <c r="CQ129" s="113"/>
      <c r="CR129" s="113"/>
      <c r="CS129" s="113"/>
      <c r="CT129" s="113"/>
      <c r="CU129" s="113"/>
    </row>
    <row r="130">
      <c r="A130" s="159" t="str">
        <f>IFERROR(__xludf.DUMMYFUNCTION("""COMPUTED_VALUE"""),"C-8")</f>
        <v>C-8</v>
      </c>
      <c r="B130" s="113" t="str">
        <f>IFERROR(__xludf.DUMMYFUNCTION("""COMPUTED_VALUE"""),"Sean")</f>
        <v>Sean</v>
      </c>
      <c r="C130" s="113" t="str">
        <f>IFERROR(__xludf.DUMMYFUNCTION("""COMPUTED_VALUE"""),"Devine")</f>
        <v>Devine</v>
      </c>
      <c r="D130" s="158">
        <f>IFERROR(__xludf.DUMMYFUNCTION("""COMPUTED_VALUE"""),1184.0)</f>
        <v>1184</v>
      </c>
      <c r="E130" s="161">
        <f t="shared" si="1"/>
        <v>6</v>
      </c>
      <c r="F130" s="160">
        <f>COUNTIFS('Scores Import DO NOT EDIT'!C:C, D130,'Scores Import DO NOT EDIT'!M:M,A130)</f>
        <v>4</v>
      </c>
      <c r="G130" s="162">
        <f t="shared" si="2"/>
        <v>0.6666666667</v>
      </c>
      <c r="H130" s="163" t="str">
        <f t="shared" si="3"/>
        <v>C-81184</v>
      </c>
      <c r="I130" s="121"/>
      <c r="J130" s="113"/>
      <c r="K130" s="113"/>
      <c r="L130" s="158"/>
      <c r="M130" s="166" t="s">
        <v>192</v>
      </c>
      <c r="N130" s="113"/>
      <c r="O130" s="113"/>
      <c r="P130" s="113"/>
      <c r="Q130" s="113"/>
      <c r="R130" s="113"/>
      <c r="S130" s="113"/>
      <c r="T130" s="113"/>
      <c r="U130" s="113"/>
      <c r="V130" s="113"/>
      <c r="W130" s="113"/>
      <c r="X130" s="113"/>
      <c r="Y130" s="113"/>
      <c r="Z130" s="113"/>
      <c r="AA130" s="113"/>
      <c r="AB130" s="113"/>
      <c r="AC130" s="113"/>
      <c r="AD130" s="113"/>
      <c r="AE130" s="113"/>
      <c r="AF130" s="113"/>
      <c r="AG130" s="113"/>
      <c r="AH130" s="113"/>
      <c r="AI130" s="113"/>
      <c r="AJ130" s="113"/>
      <c r="AK130" s="113"/>
      <c r="AL130" s="113"/>
      <c r="AM130" s="113"/>
      <c r="AN130" s="113"/>
      <c r="AO130" s="113"/>
      <c r="AP130" s="113"/>
      <c r="AQ130" s="113"/>
      <c r="AR130" s="113"/>
      <c r="AS130" s="113"/>
      <c r="AT130" s="113"/>
      <c r="AU130" s="113"/>
      <c r="AV130" s="113"/>
      <c r="AW130" s="113"/>
      <c r="AX130" s="113"/>
      <c r="AY130" s="113"/>
      <c r="AZ130" s="113"/>
      <c r="BA130" s="113"/>
      <c r="BB130" s="113"/>
      <c r="BC130" s="113"/>
      <c r="BD130" s="113"/>
      <c r="BE130" s="113"/>
      <c r="BF130" s="113"/>
      <c r="BG130" s="113"/>
      <c r="BH130" s="113"/>
      <c r="BI130" s="113"/>
      <c r="BJ130" s="113"/>
      <c r="BK130" s="113"/>
      <c r="BL130" s="113"/>
      <c r="BM130" s="113"/>
      <c r="BN130" s="113"/>
      <c r="BO130" s="113"/>
      <c r="BP130" s="113"/>
      <c r="BQ130" s="113"/>
      <c r="BR130" s="113"/>
      <c r="BS130" s="113"/>
      <c r="BT130" s="113"/>
      <c r="BU130" s="113"/>
      <c r="BV130" s="113"/>
      <c r="BW130" s="113"/>
      <c r="BX130" s="113"/>
      <c r="BY130" s="113"/>
      <c r="BZ130" s="113"/>
      <c r="CA130" s="113"/>
      <c r="CB130" s="113"/>
      <c r="CC130" s="113"/>
      <c r="CD130" s="113"/>
      <c r="CE130" s="113"/>
      <c r="CF130" s="113"/>
      <c r="CG130" s="113"/>
      <c r="CH130" s="113"/>
      <c r="CI130" s="113"/>
      <c r="CJ130" s="113"/>
      <c r="CK130" s="113"/>
      <c r="CL130" s="113"/>
      <c r="CM130" s="113"/>
      <c r="CN130" s="113"/>
      <c r="CO130" s="113"/>
      <c r="CP130" s="113"/>
      <c r="CQ130" s="113"/>
      <c r="CR130" s="113"/>
      <c r="CS130" s="113"/>
      <c r="CT130" s="113"/>
      <c r="CU130" s="113"/>
    </row>
    <row r="131">
      <c r="A131" s="159" t="str">
        <f>IFERROR(__xludf.DUMMYFUNCTION("""COMPUTED_VALUE"""),"C-8")</f>
        <v>C-8</v>
      </c>
      <c r="B131" s="113" t="str">
        <f>IFERROR(__xludf.DUMMYFUNCTION("""COMPUTED_VALUE"""),"Lisa")</f>
        <v>Lisa</v>
      </c>
      <c r="C131" s="113" t="str">
        <f>IFERROR(__xludf.DUMMYFUNCTION("""COMPUTED_VALUE"""),"Sorce")</f>
        <v>Sorce</v>
      </c>
      <c r="D131" s="158">
        <f>IFERROR(__xludf.DUMMYFUNCTION("""COMPUTED_VALUE"""),1152.0)</f>
        <v>1152</v>
      </c>
      <c r="E131" s="161">
        <f t="shared" si="1"/>
        <v>6</v>
      </c>
      <c r="F131" s="160">
        <f>COUNTIFS('Scores Import DO NOT EDIT'!C:C, D131,'Scores Import DO NOT EDIT'!M:M,A131)</f>
        <v>0</v>
      </c>
      <c r="G131" s="162">
        <f t="shared" si="2"/>
        <v>0</v>
      </c>
      <c r="H131" s="163" t="str">
        <f t="shared" si="3"/>
        <v>C-81152</v>
      </c>
      <c r="I131" s="121"/>
      <c r="J131" s="113"/>
      <c r="K131" s="113"/>
      <c r="L131" s="158"/>
      <c r="M131" s="166" t="s">
        <v>194</v>
      </c>
      <c r="N131" s="113"/>
      <c r="O131" s="113"/>
      <c r="P131" s="113"/>
      <c r="Q131" s="113"/>
      <c r="R131" s="113"/>
      <c r="S131" s="113"/>
      <c r="T131" s="113"/>
      <c r="U131" s="113"/>
      <c r="V131" s="113"/>
      <c r="W131" s="113"/>
      <c r="X131" s="113"/>
      <c r="Y131" s="113"/>
      <c r="Z131" s="113"/>
      <c r="AA131" s="113"/>
      <c r="AB131" s="113"/>
      <c r="AC131" s="113"/>
      <c r="AD131" s="113"/>
      <c r="AE131" s="113"/>
      <c r="AF131" s="113"/>
      <c r="AG131" s="113"/>
      <c r="AH131" s="113"/>
      <c r="AI131" s="113"/>
      <c r="AJ131" s="113"/>
      <c r="AK131" s="113"/>
      <c r="AL131" s="113"/>
      <c r="AM131" s="113"/>
      <c r="AN131" s="113"/>
      <c r="AO131" s="113"/>
      <c r="AP131" s="113"/>
      <c r="AQ131" s="113"/>
      <c r="AR131" s="113"/>
      <c r="AS131" s="113"/>
      <c r="AT131" s="113"/>
      <c r="AU131" s="113"/>
      <c r="AV131" s="113"/>
      <c r="AW131" s="113"/>
      <c r="AX131" s="113"/>
      <c r="AY131" s="113"/>
      <c r="AZ131" s="113"/>
      <c r="BA131" s="113"/>
      <c r="BB131" s="113"/>
      <c r="BC131" s="113"/>
      <c r="BD131" s="113"/>
      <c r="BE131" s="113"/>
      <c r="BF131" s="113"/>
      <c r="BG131" s="113"/>
      <c r="BH131" s="113"/>
      <c r="BI131" s="113"/>
      <c r="BJ131" s="113"/>
      <c r="BK131" s="113"/>
      <c r="BL131" s="113"/>
      <c r="BM131" s="113"/>
      <c r="BN131" s="113"/>
      <c r="BO131" s="113"/>
      <c r="BP131" s="113"/>
      <c r="BQ131" s="113"/>
      <c r="BR131" s="113"/>
      <c r="BS131" s="113"/>
      <c r="BT131" s="113"/>
      <c r="BU131" s="113"/>
      <c r="BV131" s="113"/>
      <c r="BW131" s="113"/>
      <c r="BX131" s="113"/>
      <c r="BY131" s="113"/>
      <c r="BZ131" s="113"/>
      <c r="CA131" s="113"/>
      <c r="CB131" s="113"/>
      <c r="CC131" s="113"/>
      <c r="CD131" s="113"/>
      <c r="CE131" s="113"/>
      <c r="CF131" s="113"/>
      <c r="CG131" s="113"/>
      <c r="CH131" s="113"/>
      <c r="CI131" s="113"/>
      <c r="CJ131" s="113"/>
      <c r="CK131" s="113"/>
      <c r="CL131" s="113"/>
      <c r="CM131" s="113"/>
      <c r="CN131" s="113"/>
      <c r="CO131" s="113"/>
      <c r="CP131" s="113"/>
      <c r="CQ131" s="113"/>
      <c r="CR131" s="113"/>
      <c r="CS131" s="113"/>
      <c r="CT131" s="113"/>
      <c r="CU131" s="113"/>
    </row>
    <row r="132">
      <c r="A132" s="159" t="str">
        <f>IFERROR(__xludf.DUMMYFUNCTION("""COMPUTED_VALUE"""),"C-8")</f>
        <v>C-8</v>
      </c>
      <c r="B132" s="113" t="str">
        <f>IFERROR(__xludf.DUMMYFUNCTION("""COMPUTED_VALUE"""),"Joseph")</f>
        <v>Joseph</v>
      </c>
      <c r="C132" s="113" t="str">
        <f>IFERROR(__xludf.DUMMYFUNCTION("""COMPUTED_VALUE"""),"Saad")</f>
        <v>Saad</v>
      </c>
      <c r="D132" s="158">
        <f>IFERROR(__xludf.DUMMYFUNCTION("""COMPUTED_VALUE"""),1171.0)</f>
        <v>1171</v>
      </c>
      <c r="E132" s="161">
        <f t="shared" si="1"/>
        <v>6</v>
      </c>
      <c r="F132" s="160">
        <f>COUNTIFS('Scores Import DO NOT EDIT'!C:C, D132,'Scores Import DO NOT EDIT'!M:M,A132)</f>
        <v>0</v>
      </c>
      <c r="G132" s="162">
        <f t="shared" si="2"/>
        <v>0</v>
      </c>
      <c r="H132" s="163" t="str">
        <f t="shared" si="3"/>
        <v>C-81171</v>
      </c>
      <c r="I132" s="113"/>
      <c r="J132" s="113"/>
      <c r="K132" s="113"/>
      <c r="L132" s="158"/>
      <c r="M132" s="166" t="s">
        <v>196</v>
      </c>
      <c r="N132" s="113"/>
      <c r="O132" s="113"/>
      <c r="P132" s="113"/>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3"/>
      <c r="AU132" s="113"/>
      <c r="AV132" s="113"/>
      <c r="AW132" s="113"/>
      <c r="AX132" s="113"/>
      <c r="AY132" s="113"/>
      <c r="AZ132" s="113"/>
      <c r="BA132" s="113"/>
      <c r="BB132" s="113"/>
      <c r="BC132" s="113"/>
      <c r="BD132" s="113"/>
      <c r="BE132" s="113"/>
      <c r="BF132" s="113"/>
      <c r="BG132" s="113"/>
      <c r="BH132" s="113"/>
      <c r="BI132" s="113"/>
      <c r="BJ132" s="113"/>
      <c r="BK132" s="113"/>
      <c r="BL132" s="113"/>
      <c r="BM132" s="113"/>
      <c r="BN132" s="113"/>
      <c r="BO132" s="113"/>
      <c r="BP132" s="113"/>
      <c r="BQ132" s="113"/>
      <c r="BR132" s="113"/>
      <c r="BS132" s="113"/>
      <c r="BT132" s="113"/>
      <c r="BU132" s="113"/>
      <c r="BV132" s="113"/>
      <c r="BW132" s="113"/>
      <c r="BX132" s="113"/>
      <c r="BY132" s="113"/>
      <c r="BZ132" s="113"/>
      <c r="CA132" s="113"/>
      <c r="CB132" s="113"/>
      <c r="CC132" s="113"/>
      <c r="CD132" s="113"/>
      <c r="CE132" s="113"/>
      <c r="CF132" s="113"/>
      <c r="CG132" s="113"/>
      <c r="CH132" s="113"/>
      <c r="CI132" s="113"/>
      <c r="CJ132" s="113"/>
      <c r="CK132" s="113"/>
      <c r="CL132" s="113"/>
      <c r="CM132" s="113"/>
      <c r="CN132" s="113"/>
      <c r="CO132" s="113"/>
      <c r="CP132" s="113"/>
      <c r="CQ132" s="113"/>
      <c r="CR132" s="113"/>
      <c r="CS132" s="113"/>
      <c r="CT132" s="113"/>
      <c r="CU132" s="113"/>
    </row>
    <row r="133">
      <c r="A133" s="159" t="str">
        <f>IFERROR(__xludf.DUMMYFUNCTION("""COMPUTED_VALUE"""),"C-9")</f>
        <v>C-9</v>
      </c>
      <c r="B133" s="113" t="str">
        <f>IFERROR(__xludf.DUMMYFUNCTION("""COMPUTED_VALUE"""),"Hanyang")</f>
        <v>Hanyang</v>
      </c>
      <c r="C133" s="113" t="str">
        <f>IFERROR(__xludf.DUMMYFUNCTION("""COMPUTED_VALUE"""),"Li")</f>
        <v>Li</v>
      </c>
      <c r="D133" s="158">
        <f>IFERROR(__xludf.DUMMYFUNCTION("""COMPUTED_VALUE"""),1088.0)</f>
        <v>1088</v>
      </c>
      <c r="E133" s="161">
        <f t="shared" si="1"/>
        <v>6</v>
      </c>
      <c r="F133" s="160">
        <f>COUNTIFS('Scores Import DO NOT EDIT'!C:C, D133,'Scores Import DO NOT EDIT'!M:M,A133)</f>
        <v>0</v>
      </c>
      <c r="G133" s="162">
        <f t="shared" si="2"/>
        <v>0</v>
      </c>
      <c r="H133" s="163" t="str">
        <f t="shared" si="3"/>
        <v>C-91088</v>
      </c>
      <c r="I133" s="121"/>
      <c r="J133" s="113"/>
      <c r="K133" s="113"/>
      <c r="L133" s="158"/>
      <c r="M133" s="166" t="s">
        <v>197</v>
      </c>
      <c r="N133" s="113"/>
      <c r="O133" s="113"/>
      <c r="P133" s="113"/>
      <c r="Q133" s="113"/>
      <c r="R133" s="113"/>
      <c r="S133" s="113"/>
      <c r="T133" s="113"/>
      <c r="U133" s="113"/>
      <c r="V133" s="113"/>
      <c r="W133" s="113"/>
      <c r="X133" s="113"/>
      <c r="Y133" s="113"/>
      <c r="Z133" s="113"/>
      <c r="AA133" s="113"/>
      <c r="AB133" s="113"/>
      <c r="AC133" s="113"/>
      <c r="AD133" s="113"/>
      <c r="AE133" s="113"/>
      <c r="AF133" s="113"/>
      <c r="AG133" s="113"/>
      <c r="AH133" s="113"/>
      <c r="AI133" s="113"/>
      <c r="AJ133" s="113"/>
      <c r="AK133" s="113"/>
      <c r="AL133" s="113"/>
      <c r="AM133" s="113"/>
      <c r="AN133" s="113"/>
      <c r="AO133" s="113"/>
      <c r="AP133" s="113"/>
      <c r="AQ133" s="113"/>
      <c r="AR133" s="113"/>
      <c r="AS133" s="113"/>
      <c r="AT133" s="113"/>
      <c r="AU133" s="113"/>
      <c r="AV133" s="113"/>
      <c r="AW133" s="113"/>
      <c r="AX133" s="113"/>
      <c r="AY133" s="113"/>
      <c r="AZ133" s="113"/>
      <c r="BA133" s="113"/>
      <c r="BB133" s="113"/>
      <c r="BC133" s="113"/>
      <c r="BD133" s="113"/>
      <c r="BE133" s="113"/>
      <c r="BF133" s="113"/>
      <c r="BG133" s="113"/>
      <c r="BH133" s="113"/>
      <c r="BI133" s="113"/>
      <c r="BJ133" s="113"/>
      <c r="BK133" s="113"/>
      <c r="BL133" s="113"/>
      <c r="BM133" s="113"/>
      <c r="BN133" s="113"/>
      <c r="BO133" s="113"/>
      <c r="BP133" s="113"/>
      <c r="BQ133" s="113"/>
      <c r="BR133" s="113"/>
      <c r="BS133" s="113"/>
      <c r="BT133" s="113"/>
      <c r="BU133" s="113"/>
      <c r="BV133" s="113"/>
      <c r="BW133" s="113"/>
      <c r="BX133" s="113"/>
      <c r="BY133" s="113"/>
      <c r="BZ133" s="113"/>
      <c r="CA133" s="113"/>
      <c r="CB133" s="113"/>
      <c r="CC133" s="113"/>
      <c r="CD133" s="113"/>
      <c r="CE133" s="113"/>
      <c r="CF133" s="113"/>
      <c r="CG133" s="113"/>
      <c r="CH133" s="113"/>
      <c r="CI133" s="113"/>
      <c r="CJ133" s="113"/>
      <c r="CK133" s="113"/>
      <c r="CL133" s="113"/>
      <c r="CM133" s="113"/>
      <c r="CN133" s="113"/>
      <c r="CO133" s="113"/>
      <c r="CP133" s="113"/>
      <c r="CQ133" s="113"/>
      <c r="CR133" s="113"/>
      <c r="CS133" s="113"/>
      <c r="CT133" s="113"/>
      <c r="CU133" s="113"/>
    </row>
    <row r="134">
      <c r="A134" s="159" t="str">
        <f>IFERROR(__xludf.DUMMYFUNCTION("""COMPUTED_VALUE"""),"C-9")</f>
        <v>C-9</v>
      </c>
      <c r="B134" s="113" t="str">
        <f>IFERROR(__xludf.DUMMYFUNCTION("""COMPUTED_VALUE"""),"Nitai")</f>
        <v>Nitai</v>
      </c>
      <c r="C134" s="113" t="str">
        <f>IFERROR(__xludf.DUMMYFUNCTION("""COMPUTED_VALUE"""),"Chandra Adak")</f>
        <v>Chandra Adak</v>
      </c>
      <c r="D134" s="158">
        <f>IFERROR(__xludf.DUMMYFUNCTION("""COMPUTED_VALUE"""),1092.0)</f>
        <v>1092</v>
      </c>
      <c r="E134" s="161">
        <f t="shared" si="1"/>
        <v>6</v>
      </c>
      <c r="F134" s="160">
        <f>COUNTIFS('Scores Import DO NOT EDIT'!C:C, D134,'Scores Import DO NOT EDIT'!M:M,A134)</f>
        <v>6</v>
      </c>
      <c r="G134" s="162">
        <f t="shared" si="2"/>
        <v>1</v>
      </c>
      <c r="H134" s="163" t="str">
        <f t="shared" si="3"/>
        <v>C-91092</v>
      </c>
      <c r="I134" s="121"/>
      <c r="J134" s="113"/>
      <c r="K134" s="113"/>
      <c r="L134" s="158"/>
      <c r="M134" s="166" t="s">
        <v>199</v>
      </c>
      <c r="N134" s="113"/>
      <c r="O134" s="113"/>
      <c r="P134" s="113"/>
      <c r="Q134" s="113"/>
      <c r="R134" s="113"/>
      <c r="S134" s="113"/>
      <c r="T134" s="113"/>
      <c r="U134" s="113"/>
      <c r="V134" s="113"/>
      <c r="W134" s="113"/>
      <c r="X134" s="113"/>
      <c r="Y134" s="113"/>
      <c r="Z134" s="113"/>
      <c r="AA134" s="113"/>
      <c r="AB134" s="113"/>
      <c r="AC134" s="113"/>
      <c r="AD134" s="113"/>
      <c r="AE134" s="113"/>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c r="BG134" s="113"/>
      <c r="BH134" s="113"/>
      <c r="BI134" s="113"/>
      <c r="BJ134" s="113"/>
      <c r="BK134" s="113"/>
      <c r="BL134" s="113"/>
      <c r="BM134" s="113"/>
      <c r="BN134" s="113"/>
      <c r="BO134" s="113"/>
      <c r="BP134" s="113"/>
      <c r="BQ134" s="113"/>
      <c r="BR134" s="113"/>
      <c r="BS134" s="113"/>
      <c r="BT134" s="113"/>
      <c r="BU134" s="113"/>
      <c r="BV134" s="113"/>
      <c r="BW134" s="113"/>
      <c r="BX134" s="113"/>
      <c r="BY134" s="113"/>
      <c r="BZ134" s="113"/>
      <c r="CA134" s="113"/>
      <c r="CB134" s="113"/>
      <c r="CC134" s="113"/>
      <c r="CD134" s="113"/>
      <c r="CE134" s="113"/>
      <c r="CF134" s="113"/>
      <c r="CG134" s="113"/>
      <c r="CH134" s="113"/>
      <c r="CI134" s="113"/>
      <c r="CJ134" s="113"/>
      <c r="CK134" s="113"/>
      <c r="CL134" s="113"/>
      <c r="CM134" s="113"/>
      <c r="CN134" s="113"/>
      <c r="CO134" s="113"/>
      <c r="CP134" s="113"/>
      <c r="CQ134" s="113"/>
      <c r="CR134" s="113"/>
      <c r="CS134" s="113"/>
      <c r="CT134" s="113"/>
      <c r="CU134" s="113"/>
    </row>
    <row r="135">
      <c r="A135" s="159" t="str">
        <f>IFERROR(__xludf.DUMMYFUNCTION("""COMPUTED_VALUE"""),"C-9")</f>
        <v>C-9</v>
      </c>
      <c r="B135" s="113" t="str">
        <f>IFERROR(__xludf.DUMMYFUNCTION("""COMPUTED_VALUE"""),"Edwin")</f>
        <v>Edwin</v>
      </c>
      <c r="C135" s="113" t="str">
        <f>IFERROR(__xludf.DUMMYFUNCTION("""COMPUTED_VALUE"""),"Rodriguez")</f>
        <v>Rodriguez</v>
      </c>
      <c r="D135" s="158">
        <f>IFERROR(__xludf.DUMMYFUNCTION("""COMPUTED_VALUE"""),1098.0)</f>
        <v>1098</v>
      </c>
      <c r="E135" s="161">
        <f t="shared" si="1"/>
        <v>6</v>
      </c>
      <c r="F135" s="160">
        <f>COUNTIFS('Scores Import DO NOT EDIT'!C:C, D135,'Scores Import DO NOT EDIT'!M:M,A135)</f>
        <v>6</v>
      </c>
      <c r="G135" s="162">
        <f t="shared" si="2"/>
        <v>1</v>
      </c>
      <c r="H135" s="163" t="str">
        <f t="shared" si="3"/>
        <v>C-91098</v>
      </c>
      <c r="I135" s="121"/>
      <c r="J135" s="113"/>
      <c r="K135" s="113"/>
      <c r="L135" s="158"/>
      <c r="M135" s="166" t="s">
        <v>201</v>
      </c>
      <c r="N135" s="113"/>
      <c r="O135" s="113"/>
      <c r="P135" s="113"/>
      <c r="Q135" s="113"/>
      <c r="R135" s="113"/>
      <c r="S135" s="113"/>
      <c r="T135" s="113"/>
      <c r="U135" s="113"/>
      <c r="V135" s="113"/>
      <c r="W135" s="113"/>
      <c r="X135" s="113"/>
      <c r="Y135" s="113"/>
      <c r="Z135" s="113"/>
      <c r="AA135" s="113"/>
      <c r="AB135" s="113"/>
      <c r="AC135" s="113"/>
      <c r="AD135" s="113"/>
      <c r="AE135" s="113"/>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c r="AZ135" s="113"/>
      <c r="BA135" s="113"/>
      <c r="BB135" s="113"/>
      <c r="BC135" s="113"/>
      <c r="BD135" s="113"/>
      <c r="BE135" s="113"/>
      <c r="BF135" s="113"/>
      <c r="BG135" s="113"/>
      <c r="BH135" s="113"/>
      <c r="BI135" s="113"/>
      <c r="BJ135" s="113"/>
      <c r="BK135" s="113"/>
      <c r="BL135" s="113"/>
      <c r="BM135" s="113"/>
      <c r="BN135" s="113"/>
      <c r="BO135" s="113"/>
      <c r="BP135" s="113"/>
      <c r="BQ135" s="113"/>
      <c r="BR135" s="113"/>
      <c r="BS135" s="113"/>
      <c r="BT135" s="113"/>
      <c r="BU135" s="113"/>
      <c r="BV135" s="113"/>
      <c r="BW135" s="113"/>
      <c r="BX135" s="113"/>
      <c r="BY135" s="113"/>
      <c r="BZ135" s="113"/>
      <c r="CA135" s="113"/>
      <c r="CB135" s="113"/>
      <c r="CC135" s="113"/>
      <c r="CD135" s="113"/>
      <c r="CE135" s="113"/>
      <c r="CF135" s="113"/>
      <c r="CG135" s="113"/>
      <c r="CH135" s="113"/>
      <c r="CI135" s="113"/>
      <c r="CJ135" s="113"/>
      <c r="CK135" s="113"/>
      <c r="CL135" s="113"/>
      <c r="CM135" s="113"/>
      <c r="CN135" s="113"/>
      <c r="CO135" s="113"/>
      <c r="CP135" s="113"/>
      <c r="CQ135" s="113"/>
      <c r="CR135" s="113"/>
      <c r="CS135" s="113"/>
      <c r="CT135" s="113"/>
      <c r="CU135" s="113"/>
    </row>
    <row r="136">
      <c r="A136" s="159" t="str">
        <f>IFERROR(__xludf.DUMMYFUNCTION("""COMPUTED_VALUE"""),"C-9")</f>
        <v>C-9</v>
      </c>
      <c r="B136" s="113" t="str">
        <f>IFERROR(__xludf.DUMMYFUNCTION("""COMPUTED_VALUE"""),"Kenisha")</f>
        <v>Kenisha</v>
      </c>
      <c r="C136" s="113" t="str">
        <f>IFERROR(__xludf.DUMMYFUNCTION("""COMPUTED_VALUE"""),"Shipley")</f>
        <v>Shipley</v>
      </c>
      <c r="D136" s="158">
        <f>IFERROR(__xludf.DUMMYFUNCTION("""COMPUTED_VALUE"""),1014.0)</f>
        <v>1014</v>
      </c>
      <c r="E136" s="161">
        <f t="shared" si="1"/>
        <v>6</v>
      </c>
      <c r="F136" s="160">
        <f>COUNTIFS('Scores Import DO NOT EDIT'!C:C, D136,'Scores Import DO NOT EDIT'!M:M,A136)</f>
        <v>6</v>
      </c>
      <c r="G136" s="162">
        <f t="shared" si="2"/>
        <v>1</v>
      </c>
      <c r="H136" s="163" t="str">
        <f t="shared" si="3"/>
        <v>C-91014</v>
      </c>
      <c r="I136" s="121"/>
      <c r="J136" s="113"/>
      <c r="K136" s="113"/>
      <c r="L136" s="158"/>
      <c r="M136" s="166" t="s">
        <v>200</v>
      </c>
      <c r="N136" s="113"/>
      <c r="O136" s="113"/>
      <c r="P136" s="113"/>
      <c r="Q136" s="113"/>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c r="BG136" s="113"/>
      <c r="BH136" s="113"/>
      <c r="BI136" s="113"/>
      <c r="BJ136" s="113"/>
      <c r="BK136" s="113"/>
      <c r="BL136" s="113"/>
      <c r="BM136" s="113"/>
      <c r="BN136" s="113"/>
      <c r="BO136" s="113"/>
      <c r="BP136" s="113"/>
      <c r="BQ136" s="113"/>
      <c r="BR136" s="113"/>
      <c r="BS136" s="113"/>
      <c r="BT136" s="113"/>
      <c r="BU136" s="113"/>
      <c r="BV136" s="113"/>
      <c r="BW136" s="113"/>
      <c r="BX136" s="113"/>
      <c r="BY136" s="113"/>
      <c r="BZ136" s="113"/>
      <c r="CA136" s="113"/>
      <c r="CB136" s="113"/>
      <c r="CC136" s="113"/>
      <c r="CD136" s="113"/>
      <c r="CE136" s="113"/>
      <c r="CF136" s="113"/>
      <c r="CG136" s="113"/>
      <c r="CH136" s="113"/>
      <c r="CI136" s="113"/>
      <c r="CJ136" s="113"/>
      <c r="CK136" s="113"/>
      <c r="CL136" s="113"/>
      <c r="CM136" s="113"/>
      <c r="CN136" s="113"/>
      <c r="CO136" s="113"/>
      <c r="CP136" s="113"/>
      <c r="CQ136" s="113"/>
      <c r="CR136" s="113"/>
      <c r="CS136" s="113"/>
      <c r="CT136" s="113"/>
      <c r="CU136" s="113"/>
    </row>
    <row r="137">
      <c r="A137" s="159" t="str">
        <f>IFERROR(__xludf.DUMMYFUNCTION("""COMPUTED_VALUE"""),"C-9")</f>
        <v>C-9</v>
      </c>
      <c r="B137" s="113" t="str">
        <f>IFERROR(__xludf.DUMMYFUNCTION("""COMPUTED_VALUE"""),"Gary")</f>
        <v>Gary</v>
      </c>
      <c r="C137" s="113" t="str">
        <f>IFERROR(__xludf.DUMMYFUNCTION("""COMPUTED_VALUE"""),"Recker")</f>
        <v>Recker</v>
      </c>
      <c r="D137" s="158">
        <f>IFERROR(__xludf.DUMMYFUNCTION("""COMPUTED_VALUE"""),1221.0)</f>
        <v>1221</v>
      </c>
      <c r="E137" s="161">
        <f t="shared" si="1"/>
        <v>6</v>
      </c>
      <c r="F137" s="160">
        <f>COUNTIFS('Scores Import DO NOT EDIT'!C:C, D137,'Scores Import DO NOT EDIT'!M:M,A137)</f>
        <v>0</v>
      </c>
      <c r="G137" s="162">
        <f t="shared" si="2"/>
        <v>0</v>
      </c>
      <c r="H137" s="163" t="str">
        <f t="shared" si="3"/>
        <v>C-91221</v>
      </c>
      <c r="I137" s="121"/>
      <c r="J137" s="113"/>
      <c r="K137" s="113"/>
      <c r="L137" s="158"/>
      <c r="M137" s="166" t="s">
        <v>202</v>
      </c>
      <c r="N137" s="113"/>
      <c r="O137" s="113"/>
      <c r="P137" s="113"/>
      <c r="Q137" s="113"/>
      <c r="R137" s="113"/>
      <c r="S137" s="113"/>
      <c r="T137" s="113"/>
      <c r="U137" s="113"/>
      <c r="V137" s="113"/>
      <c r="W137" s="113"/>
      <c r="X137" s="113"/>
      <c r="Y137" s="113"/>
      <c r="Z137" s="113"/>
      <c r="AA137" s="113"/>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c r="BG137" s="113"/>
      <c r="BH137" s="113"/>
      <c r="BI137" s="113"/>
      <c r="BJ137" s="113"/>
      <c r="BK137" s="113"/>
      <c r="BL137" s="113"/>
      <c r="BM137" s="113"/>
      <c r="BN137" s="113"/>
      <c r="BO137" s="113"/>
      <c r="BP137" s="113"/>
      <c r="BQ137" s="113"/>
      <c r="BR137" s="113"/>
      <c r="BS137" s="113"/>
      <c r="BT137" s="113"/>
      <c r="BU137" s="113"/>
      <c r="BV137" s="113"/>
      <c r="BW137" s="113"/>
      <c r="BX137" s="113"/>
      <c r="BY137" s="113"/>
      <c r="BZ137" s="113"/>
      <c r="CA137" s="113"/>
      <c r="CB137" s="113"/>
      <c r="CC137" s="113"/>
      <c r="CD137" s="113"/>
      <c r="CE137" s="113"/>
      <c r="CF137" s="113"/>
      <c r="CG137" s="113"/>
      <c r="CH137" s="113"/>
      <c r="CI137" s="113"/>
      <c r="CJ137" s="113"/>
      <c r="CK137" s="113"/>
      <c r="CL137" s="113"/>
      <c r="CM137" s="113"/>
      <c r="CN137" s="113"/>
      <c r="CO137" s="113"/>
      <c r="CP137" s="113"/>
      <c r="CQ137" s="113"/>
      <c r="CR137" s="113"/>
      <c r="CS137" s="113"/>
      <c r="CT137" s="113"/>
      <c r="CU137" s="113"/>
    </row>
    <row r="138">
      <c r="A138" s="159" t="str">
        <f>IFERROR(__xludf.DUMMYFUNCTION("""COMPUTED_VALUE"""),"D-1")</f>
        <v>D-1</v>
      </c>
      <c r="B138" s="113" t="str">
        <f>IFERROR(__xludf.DUMMYFUNCTION("""COMPUTED_VALUE"""),"Robert S.")</f>
        <v>Robert S.</v>
      </c>
      <c r="C138" s="113" t="str">
        <f>IFERROR(__xludf.DUMMYFUNCTION("""COMPUTED_VALUE"""),"Showghi")</f>
        <v>Showghi</v>
      </c>
      <c r="D138" s="158">
        <f>IFERROR(__xludf.DUMMYFUNCTION("""COMPUTED_VALUE"""),1218.0)</f>
        <v>1218</v>
      </c>
      <c r="E138" s="161">
        <f t="shared" si="1"/>
        <v>6</v>
      </c>
      <c r="F138" s="160">
        <f>COUNTIFS('Scores Import DO NOT EDIT'!C:C, D138,'Scores Import DO NOT EDIT'!M:M,A138)</f>
        <v>0</v>
      </c>
      <c r="G138" s="162">
        <f t="shared" si="2"/>
        <v>0</v>
      </c>
      <c r="H138" s="163" t="str">
        <f t="shared" si="3"/>
        <v>D-11218</v>
      </c>
      <c r="I138" s="113"/>
      <c r="J138" s="113"/>
      <c r="K138" s="113"/>
      <c r="L138" s="158"/>
      <c r="M138" s="166" t="s">
        <v>198</v>
      </c>
      <c r="N138" s="113"/>
      <c r="O138" s="113"/>
      <c r="P138" s="113"/>
      <c r="Q138" s="113"/>
      <c r="R138" s="113"/>
      <c r="S138" s="113"/>
      <c r="T138" s="113"/>
      <c r="U138" s="113"/>
      <c r="V138" s="113"/>
      <c r="W138" s="113"/>
      <c r="X138" s="113"/>
      <c r="Y138" s="113"/>
      <c r="Z138" s="113"/>
      <c r="AA138" s="113"/>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c r="BA138" s="113"/>
      <c r="BB138" s="113"/>
      <c r="BC138" s="113"/>
      <c r="BD138" s="113"/>
      <c r="BE138" s="113"/>
      <c r="BF138" s="113"/>
      <c r="BG138" s="113"/>
      <c r="BH138" s="113"/>
      <c r="BI138" s="113"/>
      <c r="BJ138" s="113"/>
      <c r="BK138" s="113"/>
      <c r="BL138" s="113"/>
      <c r="BM138" s="113"/>
      <c r="BN138" s="113"/>
      <c r="BO138" s="113"/>
      <c r="BP138" s="113"/>
      <c r="BQ138" s="113"/>
      <c r="BR138" s="113"/>
      <c r="BS138" s="113"/>
      <c r="BT138" s="113"/>
      <c r="BU138" s="113"/>
      <c r="BV138" s="113"/>
      <c r="BW138" s="113"/>
      <c r="BX138" s="113"/>
      <c r="BY138" s="113"/>
      <c r="BZ138" s="113"/>
      <c r="CA138" s="113"/>
      <c r="CB138" s="113"/>
      <c r="CC138" s="113"/>
      <c r="CD138" s="113"/>
      <c r="CE138" s="113"/>
      <c r="CF138" s="113"/>
      <c r="CG138" s="113"/>
      <c r="CH138" s="113"/>
      <c r="CI138" s="113"/>
      <c r="CJ138" s="113"/>
      <c r="CK138" s="113"/>
      <c r="CL138" s="113"/>
      <c r="CM138" s="113"/>
      <c r="CN138" s="113"/>
      <c r="CO138" s="113"/>
      <c r="CP138" s="113"/>
      <c r="CQ138" s="113"/>
      <c r="CR138" s="113"/>
      <c r="CS138" s="113"/>
      <c r="CT138" s="113"/>
      <c r="CU138" s="113"/>
    </row>
    <row r="139">
      <c r="A139" s="159" t="str">
        <f>IFERROR(__xludf.DUMMYFUNCTION("""COMPUTED_VALUE"""),"D-1")</f>
        <v>D-1</v>
      </c>
      <c r="B139" s="113" t="str">
        <f>IFERROR(__xludf.DUMMYFUNCTION("""COMPUTED_VALUE"""),"Jules")</f>
        <v>Jules</v>
      </c>
      <c r="C139" s="113" t="str">
        <f>IFERROR(__xludf.DUMMYFUNCTION("""COMPUTED_VALUE"""),"Bunn")</f>
        <v>Bunn</v>
      </c>
      <c r="D139" s="158">
        <f>IFERROR(__xludf.DUMMYFUNCTION("""COMPUTED_VALUE"""),1084.0)</f>
        <v>1084</v>
      </c>
      <c r="E139" s="161">
        <f t="shared" si="1"/>
        <v>6</v>
      </c>
      <c r="F139" s="160">
        <f>COUNTIFS('Scores Import DO NOT EDIT'!C:C, D139,'Scores Import DO NOT EDIT'!M:M,A139)</f>
        <v>5</v>
      </c>
      <c r="G139" s="162">
        <f t="shared" si="2"/>
        <v>0.8333333333</v>
      </c>
      <c r="H139" s="163" t="str">
        <f t="shared" si="3"/>
        <v>D-11084</v>
      </c>
      <c r="I139" s="113"/>
      <c r="J139" s="113"/>
      <c r="K139" s="113"/>
      <c r="L139" s="158"/>
      <c r="M139" s="166" t="s">
        <v>203</v>
      </c>
      <c r="N139" s="113"/>
      <c r="O139" s="113"/>
      <c r="P139" s="113"/>
      <c r="Q139" s="113"/>
      <c r="R139" s="113"/>
      <c r="S139" s="113"/>
      <c r="T139" s="113"/>
      <c r="U139" s="113"/>
      <c r="V139" s="113"/>
      <c r="W139" s="113"/>
      <c r="X139" s="113"/>
      <c r="Y139" s="113"/>
      <c r="Z139" s="113"/>
      <c r="AA139" s="113"/>
      <c r="AB139" s="113"/>
      <c r="AC139" s="113"/>
      <c r="AD139" s="113"/>
      <c r="AE139" s="113"/>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c r="BG139" s="113"/>
      <c r="BH139" s="113"/>
      <c r="BI139" s="113"/>
      <c r="BJ139" s="113"/>
      <c r="BK139" s="113"/>
      <c r="BL139" s="113"/>
      <c r="BM139" s="113"/>
      <c r="BN139" s="113"/>
      <c r="BO139" s="113"/>
      <c r="BP139" s="113"/>
      <c r="BQ139" s="113"/>
      <c r="BR139" s="113"/>
      <c r="BS139" s="113"/>
      <c r="BT139" s="113"/>
      <c r="BU139" s="113"/>
      <c r="BV139" s="113"/>
      <c r="BW139" s="113"/>
      <c r="BX139" s="113"/>
      <c r="BY139" s="113"/>
      <c r="BZ139" s="113"/>
      <c r="CA139" s="113"/>
      <c r="CB139" s="113"/>
      <c r="CC139" s="113"/>
      <c r="CD139" s="113"/>
      <c r="CE139" s="113"/>
      <c r="CF139" s="113"/>
      <c r="CG139" s="113"/>
      <c r="CH139" s="113"/>
      <c r="CI139" s="113"/>
      <c r="CJ139" s="113"/>
      <c r="CK139" s="113"/>
      <c r="CL139" s="113"/>
      <c r="CM139" s="113"/>
      <c r="CN139" s="113"/>
      <c r="CO139" s="113"/>
      <c r="CP139" s="113"/>
      <c r="CQ139" s="113"/>
      <c r="CR139" s="113"/>
      <c r="CS139" s="113"/>
      <c r="CT139" s="113"/>
      <c r="CU139" s="113"/>
    </row>
    <row r="140">
      <c r="A140" s="159" t="str">
        <f>IFERROR(__xludf.DUMMYFUNCTION("""COMPUTED_VALUE"""),"D-1")</f>
        <v>D-1</v>
      </c>
      <c r="B140" s="113" t="str">
        <f>IFERROR(__xludf.DUMMYFUNCTION("""COMPUTED_VALUE"""),"Anthony")</f>
        <v>Anthony</v>
      </c>
      <c r="C140" s="113" t="str">
        <f>IFERROR(__xludf.DUMMYFUNCTION("""COMPUTED_VALUE"""),"Villarreal")</f>
        <v>Villarreal</v>
      </c>
      <c r="D140" s="158">
        <f>IFERROR(__xludf.DUMMYFUNCTION("""COMPUTED_VALUE"""),1078.0)</f>
        <v>1078</v>
      </c>
      <c r="E140" s="161">
        <f t="shared" si="1"/>
        <v>6</v>
      </c>
      <c r="F140" s="160">
        <f>COUNTIFS('Scores Import DO NOT EDIT'!C:C, D140,'Scores Import DO NOT EDIT'!M:M,A140)</f>
        <v>3</v>
      </c>
      <c r="G140" s="162">
        <f t="shared" si="2"/>
        <v>0.5</v>
      </c>
      <c r="H140" s="163" t="str">
        <f t="shared" si="3"/>
        <v>D-11078</v>
      </c>
      <c r="I140" s="113"/>
      <c r="J140" s="113"/>
      <c r="K140" s="113"/>
      <c r="L140" s="158"/>
      <c r="M140" s="166" t="s">
        <v>209</v>
      </c>
      <c r="N140" s="113"/>
      <c r="O140" s="113"/>
      <c r="P140" s="113"/>
      <c r="Q140" s="113"/>
      <c r="R140" s="113"/>
      <c r="S140" s="113"/>
      <c r="T140" s="113"/>
      <c r="U140" s="113"/>
      <c r="V140" s="113"/>
      <c r="W140" s="113"/>
      <c r="X140" s="113"/>
      <c r="Y140" s="113"/>
      <c r="Z140" s="113"/>
      <c r="AA140" s="113"/>
      <c r="AB140" s="113"/>
      <c r="AC140" s="113"/>
      <c r="AD140" s="113"/>
      <c r="AE140" s="113"/>
      <c r="AF140" s="113"/>
      <c r="AG140" s="113"/>
      <c r="AH140" s="113"/>
      <c r="AI140" s="113"/>
      <c r="AJ140" s="113"/>
      <c r="AK140" s="113"/>
      <c r="AL140" s="113"/>
      <c r="AM140" s="113"/>
      <c r="AN140" s="113"/>
      <c r="AO140" s="113"/>
      <c r="AP140" s="113"/>
      <c r="AQ140" s="113"/>
      <c r="AR140" s="113"/>
      <c r="AS140" s="113"/>
      <c r="AT140" s="113"/>
      <c r="AU140" s="113"/>
      <c r="AV140" s="113"/>
      <c r="AW140" s="113"/>
      <c r="AX140" s="113"/>
      <c r="AY140" s="113"/>
      <c r="AZ140" s="113"/>
      <c r="BA140" s="113"/>
      <c r="BB140" s="113"/>
      <c r="BC140" s="113"/>
      <c r="BD140" s="113"/>
      <c r="BE140" s="113"/>
      <c r="BF140" s="113"/>
      <c r="BG140" s="113"/>
      <c r="BH140" s="113"/>
      <c r="BI140" s="113"/>
      <c r="BJ140" s="113"/>
      <c r="BK140" s="113"/>
      <c r="BL140" s="113"/>
      <c r="BM140" s="113"/>
      <c r="BN140" s="113"/>
      <c r="BO140" s="113"/>
      <c r="BP140" s="113"/>
      <c r="BQ140" s="113"/>
      <c r="BR140" s="113"/>
      <c r="BS140" s="113"/>
      <c r="BT140" s="113"/>
      <c r="BU140" s="113"/>
      <c r="BV140" s="113"/>
      <c r="BW140" s="113"/>
      <c r="BX140" s="113"/>
      <c r="BY140" s="113"/>
      <c r="BZ140" s="113"/>
      <c r="CA140" s="113"/>
      <c r="CB140" s="113"/>
      <c r="CC140" s="113"/>
      <c r="CD140" s="113"/>
      <c r="CE140" s="113"/>
      <c r="CF140" s="113"/>
      <c r="CG140" s="113"/>
      <c r="CH140" s="113"/>
      <c r="CI140" s="113"/>
      <c r="CJ140" s="113"/>
      <c r="CK140" s="113"/>
      <c r="CL140" s="113"/>
      <c r="CM140" s="113"/>
      <c r="CN140" s="113"/>
      <c r="CO140" s="113"/>
      <c r="CP140" s="113"/>
      <c r="CQ140" s="113"/>
      <c r="CR140" s="113"/>
      <c r="CS140" s="113"/>
      <c r="CT140" s="113"/>
      <c r="CU140" s="113"/>
    </row>
    <row r="141">
      <c r="A141" s="159" t="str">
        <f>IFERROR(__xludf.DUMMYFUNCTION("""COMPUTED_VALUE"""),"D-1")</f>
        <v>D-1</v>
      </c>
      <c r="B141" s="113" t="str">
        <f>IFERROR(__xludf.DUMMYFUNCTION("""COMPUTED_VALUE"""),"Robert")</f>
        <v>Robert</v>
      </c>
      <c r="C141" s="113" t="str">
        <f>IFERROR(__xludf.DUMMYFUNCTION("""COMPUTED_VALUE"""),"Vargas-Belcher")</f>
        <v>Vargas-Belcher</v>
      </c>
      <c r="D141" s="158">
        <f>IFERROR(__xludf.DUMMYFUNCTION("""COMPUTED_VALUE"""),1020.0)</f>
        <v>1020</v>
      </c>
      <c r="E141" s="161">
        <f t="shared" si="1"/>
        <v>6</v>
      </c>
      <c r="F141" s="160">
        <f>COUNTIFS('Scores Import DO NOT EDIT'!C:C, D141,'Scores Import DO NOT EDIT'!M:M,A141)</f>
        <v>4</v>
      </c>
      <c r="G141" s="162">
        <f t="shared" si="2"/>
        <v>0.6666666667</v>
      </c>
      <c r="H141" s="163" t="str">
        <f t="shared" si="3"/>
        <v>D-11020</v>
      </c>
      <c r="I141" s="113"/>
      <c r="J141" s="113"/>
      <c r="K141" s="113"/>
      <c r="L141" s="158"/>
      <c r="M141" s="166" t="s">
        <v>207</v>
      </c>
      <c r="N141" s="113"/>
      <c r="O141" s="113"/>
      <c r="P141" s="113"/>
      <c r="Q141" s="113"/>
      <c r="R141" s="113"/>
      <c r="S141" s="113"/>
      <c r="T141" s="113"/>
      <c r="U141" s="113"/>
      <c r="V141" s="113"/>
      <c r="W141" s="113"/>
      <c r="X141" s="113"/>
      <c r="Y141" s="113"/>
      <c r="Z141" s="113"/>
      <c r="AA141" s="113"/>
      <c r="AB141" s="113"/>
      <c r="AC141" s="113"/>
      <c r="AD141" s="113"/>
      <c r="AE141" s="113"/>
      <c r="AF141" s="113"/>
      <c r="AG141" s="113"/>
      <c r="AH141" s="113"/>
      <c r="AI141" s="113"/>
      <c r="AJ141" s="113"/>
      <c r="AK141" s="113"/>
      <c r="AL141" s="113"/>
      <c r="AM141" s="113"/>
      <c r="AN141" s="113"/>
      <c r="AO141" s="113"/>
      <c r="AP141" s="113"/>
      <c r="AQ141" s="113"/>
      <c r="AR141" s="113"/>
      <c r="AS141" s="113"/>
      <c r="AT141" s="113"/>
      <c r="AU141" s="113"/>
      <c r="AV141" s="113"/>
      <c r="AW141" s="113"/>
      <c r="AX141" s="113"/>
      <c r="AY141" s="113"/>
      <c r="AZ141" s="113"/>
      <c r="BA141" s="113"/>
      <c r="BB141" s="113"/>
      <c r="BC141" s="113"/>
      <c r="BD141" s="113"/>
      <c r="BE141" s="113"/>
      <c r="BF141" s="113"/>
      <c r="BG141" s="113"/>
      <c r="BH141" s="113"/>
      <c r="BI141" s="113"/>
      <c r="BJ141" s="113"/>
      <c r="BK141" s="113"/>
      <c r="BL141" s="113"/>
      <c r="BM141" s="113"/>
      <c r="BN141" s="113"/>
      <c r="BO141" s="113"/>
      <c r="BP141" s="113"/>
      <c r="BQ141" s="113"/>
      <c r="BR141" s="113"/>
      <c r="BS141" s="113"/>
      <c r="BT141" s="113"/>
      <c r="BU141" s="113"/>
      <c r="BV141" s="113"/>
      <c r="BW141" s="113"/>
      <c r="BX141" s="113"/>
      <c r="BY141" s="113"/>
      <c r="BZ141" s="113"/>
      <c r="CA141" s="113"/>
      <c r="CB141" s="113"/>
      <c r="CC141" s="113"/>
      <c r="CD141" s="113"/>
      <c r="CE141" s="113"/>
      <c r="CF141" s="113"/>
      <c r="CG141" s="113"/>
      <c r="CH141" s="113"/>
      <c r="CI141" s="113"/>
      <c r="CJ141" s="113"/>
      <c r="CK141" s="113"/>
      <c r="CL141" s="113"/>
      <c r="CM141" s="113"/>
      <c r="CN141" s="113"/>
      <c r="CO141" s="113"/>
      <c r="CP141" s="113"/>
      <c r="CQ141" s="113"/>
      <c r="CR141" s="113"/>
      <c r="CS141" s="113"/>
      <c r="CT141" s="113"/>
      <c r="CU141" s="113"/>
    </row>
    <row r="142">
      <c r="A142" s="159" t="str">
        <f>IFERROR(__xludf.DUMMYFUNCTION("""COMPUTED_VALUE"""),"D-1")</f>
        <v>D-1</v>
      </c>
      <c r="B142" s="113" t="str">
        <f>IFERROR(__xludf.DUMMYFUNCTION("""COMPUTED_VALUE"""),"Matthew")</f>
        <v>Matthew</v>
      </c>
      <c r="C142" s="113" t="str">
        <f>IFERROR(__xludf.DUMMYFUNCTION("""COMPUTED_VALUE"""),"Hebert")</f>
        <v>Hebert</v>
      </c>
      <c r="D142" s="158">
        <f>IFERROR(__xludf.DUMMYFUNCTION("""COMPUTED_VALUE"""),1021.0)</f>
        <v>1021</v>
      </c>
      <c r="E142" s="161">
        <f t="shared" si="1"/>
        <v>6</v>
      </c>
      <c r="F142" s="160">
        <f>COUNTIFS('Scores Import DO NOT EDIT'!C:C, D142,'Scores Import DO NOT EDIT'!M:M,A142)</f>
        <v>1</v>
      </c>
      <c r="G142" s="162">
        <f t="shared" si="2"/>
        <v>0.1666666667</v>
      </c>
      <c r="H142" s="163" t="str">
        <f t="shared" si="3"/>
        <v>D-11021</v>
      </c>
      <c r="I142" s="113"/>
      <c r="J142" s="113"/>
      <c r="K142" s="113"/>
      <c r="L142" s="158"/>
      <c r="M142" s="166" t="s">
        <v>205</v>
      </c>
      <c r="N142" s="113"/>
      <c r="O142" s="113"/>
      <c r="P142" s="113"/>
      <c r="Q142" s="113"/>
      <c r="R142" s="113"/>
      <c r="S142" s="113"/>
      <c r="T142" s="113"/>
      <c r="U142" s="113"/>
      <c r="V142" s="113"/>
      <c r="W142" s="113"/>
      <c r="X142" s="113"/>
      <c r="Y142" s="113"/>
      <c r="Z142" s="113"/>
      <c r="AA142" s="113"/>
      <c r="AB142" s="113"/>
      <c r="AC142" s="113"/>
      <c r="AD142" s="113"/>
      <c r="AE142" s="113"/>
      <c r="AF142" s="113"/>
      <c r="AG142" s="113"/>
      <c r="AH142" s="113"/>
      <c r="AI142" s="113"/>
      <c r="AJ142" s="113"/>
      <c r="AK142" s="113"/>
      <c r="AL142" s="113"/>
      <c r="AM142" s="113"/>
      <c r="AN142" s="113"/>
      <c r="AO142" s="113"/>
      <c r="AP142" s="113"/>
      <c r="AQ142" s="113"/>
      <c r="AR142" s="113"/>
      <c r="AS142" s="113"/>
      <c r="AT142" s="113"/>
      <c r="AU142" s="113"/>
      <c r="AV142" s="113"/>
      <c r="AW142" s="113"/>
      <c r="AX142" s="113"/>
      <c r="AY142" s="113"/>
      <c r="AZ142" s="113"/>
      <c r="BA142" s="113"/>
      <c r="BB142" s="113"/>
      <c r="BC142" s="113"/>
      <c r="BD142" s="113"/>
      <c r="BE142" s="113"/>
      <c r="BF142" s="113"/>
      <c r="BG142" s="113"/>
      <c r="BH142" s="113"/>
      <c r="BI142" s="113"/>
      <c r="BJ142" s="113"/>
      <c r="BK142" s="113"/>
      <c r="BL142" s="113"/>
      <c r="BM142" s="113"/>
      <c r="BN142" s="113"/>
      <c r="BO142" s="113"/>
      <c r="BP142" s="113"/>
      <c r="BQ142" s="113"/>
      <c r="BR142" s="113"/>
      <c r="BS142" s="113"/>
      <c r="BT142" s="113"/>
      <c r="BU142" s="113"/>
      <c r="BV142" s="113"/>
      <c r="BW142" s="113"/>
      <c r="BX142" s="113"/>
      <c r="BY142" s="113"/>
      <c r="BZ142" s="113"/>
      <c r="CA142" s="113"/>
      <c r="CB142" s="113"/>
      <c r="CC142" s="113"/>
      <c r="CD142" s="113"/>
      <c r="CE142" s="113"/>
      <c r="CF142" s="113"/>
      <c r="CG142" s="113"/>
      <c r="CH142" s="113"/>
      <c r="CI142" s="113"/>
      <c r="CJ142" s="113"/>
      <c r="CK142" s="113"/>
      <c r="CL142" s="113"/>
      <c r="CM142" s="113"/>
      <c r="CN142" s="113"/>
      <c r="CO142" s="113"/>
      <c r="CP142" s="113"/>
      <c r="CQ142" s="113"/>
      <c r="CR142" s="113"/>
      <c r="CS142" s="113"/>
      <c r="CT142" s="113"/>
      <c r="CU142" s="113"/>
    </row>
    <row r="143">
      <c r="A143" s="159" t="str">
        <f>IFERROR(__xludf.DUMMYFUNCTION("""COMPUTED_VALUE"""),"D-2")</f>
        <v>D-2</v>
      </c>
      <c r="B143" s="113" t="str">
        <f>IFERROR(__xludf.DUMMYFUNCTION("""COMPUTED_VALUE"""),"Leslie")</f>
        <v>Leslie</v>
      </c>
      <c r="C143" s="113" t="str">
        <f>IFERROR(__xludf.DUMMYFUNCTION("""COMPUTED_VALUE"""),"Solomon")</f>
        <v>Solomon</v>
      </c>
      <c r="D143" s="158">
        <f>IFERROR(__xludf.DUMMYFUNCTION("""COMPUTED_VALUE"""),1178.0)</f>
        <v>1178</v>
      </c>
      <c r="E143" s="161">
        <f t="shared" si="1"/>
        <v>6</v>
      </c>
      <c r="F143" s="160">
        <f>COUNTIFS('Scores Import DO NOT EDIT'!C:C, D143,'Scores Import DO NOT EDIT'!M:M,A143)</f>
        <v>3</v>
      </c>
      <c r="G143" s="162">
        <f t="shared" si="2"/>
        <v>0.5</v>
      </c>
      <c r="H143" s="163" t="str">
        <f t="shared" si="3"/>
        <v>D-21178</v>
      </c>
      <c r="I143" s="113"/>
      <c r="J143" s="113"/>
      <c r="K143" s="113"/>
      <c r="L143" s="158"/>
      <c r="M143" s="166" t="s">
        <v>208</v>
      </c>
      <c r="N143" s="113"/>
      <c r="O143" s="113"/>
      <c r="P143" s="113"/>
      <c r="Q143" s="113"/>
      <c r="R143" s="113"/>
      <c r="S143" s="113"/>
      <c r="T143" s="113"/>
      <c r="U143" s="113"/>
      <c r="V143" s="113"/>
      <c r="W143" s="113"/>
      <c r="X143" s="113"/>
      <c r="Y143" s="113"/>
      <c r="Z143" s="113"/>
      <c r="AA143" s="113"/>
      <c r="AB143" s="113"/>
      <c r="AC143" s="113"/>
      <c r="AD143" s="113"/>
      <c r="AE143" s="113"/>
      <c r="AF143" s="113"/>
      <c r="AG143" s="113"/>
      <c r="AH143" s="113"/>
      <c r="AI143" s="113"/>
      <c r="AJ143" s="113"/>
      <c r="AK143" s="113"/>
      <c r="AL143" s="113"/>
      <c r="AM143" s="113"/>
      <c r="AN143" s="113"/>
      <c r="AO143" s="113"/>
      <c r="AP143" s="113"/>
      <c r="AQ143" s="113"/>
      <c r="AR143" s="113"/>
      <c r="AS143" s="113"/>
      <c r="AT143" s="113"/>
      <c r="AU143" s="113"/>
      <c r="AV143" s="113"/>
      <c r="AW143" s="113"/>
      <c r="AX143" s="113"/>
      <c r="AY143" s="113"/>
      <c r="AZ143" s="113"/>
      <c r="BA143" s="113"/>
      <c r="BB143" s="113"/>
      <c r="BC143" s="113"/>
      <c r="BD143" s="113"/>
      <c r="BE143" s="113"/>
      <c r="BF143" s="113"/>
      <c r="BG143" s="113"/>
      <c r="BH143" s="113"/>
      <c r="BI143" s="113"/>
      <c r="BJ143" s="113"/>
      <c r="BK143" s="113"/>
      <c r="BL143" s="113"/>
      <c r="BM143" s="113"/>
      <c r="BN143" s="113"/>
      <c r="BO143" s="113"/>
      <c r="BP143" s="113"/>
      <c r="BQ143" s="113"/>
      <c r="BR143" s="113"/>
      <c r="BS143" s="113"/>
      <c r="BT143" s="113"/>
      <c r="BU143" s="113"/>
      <c r="BV143" s="113"/>
      <c r="BW143" s="113"/>
      <c r="BX143" s="113"/>
      <c r="BY143" s="113"/>
      <c r="BZ143" s="113"/>
      <c r="CA143" s="113"/>
      <c r="CB143" s="113"/>
      <c r="CC143" s="113"/>
      <c r="CD143" s="113"/>
      <c r="CE143" s="113"/>
      <c r="CF143" s="113"/>
      <c r="CG143" s="113"/>
      <c r="CH143" s="113"/>
      <c r="CI143" s="113"/>
      <c r="CJ143" s="113"/>
      <c r="CK143" s="113"/>
      <c r="CL143" s="113"/>
      <c r="CM143" s="113"/>
      <c r="CN143" s="113"/>
      <c r="CO143" s="113"/>
      <c r="CP143" s="113"/>
      <c r="CQ143" s="113"/>
      <c r="CR143" s="113"/>
      <c r="CS143" s="113"/>
      <c r="CT143" s="113"/>
      <c r="CU143" s="113"/>
    </row>
    <row r="144">
      <c r="A144" s="159" t="str">
        <f>IFERROR(__xludf.DUMMYFUNCTION("""COMPUTED_VALUE"""),"D-2")</f>
        <v>D-2</v>
      </c>
      <c r="B144" s="113" t="str">
        <f>IFERROR(__xludf.DUMMYFUNCTION("""COMPUTED_VALUE"""),"Kazandra")</f>
        <v>Kazandra</v>
      </c>
      <c r="C144" s="113" t="str">
        <f>IFERROR(__xludf.DUMMYFUNCTION("""COMPUTED_VALUE"""),"Pedroza")</f>
        <v>Pedroza</v>
      </c>
      <c r="D144" s="158">
        <f>IFERROR(__xludf.DUMMYFUNCTION("""COMPUTED_VALUE"""),1228.0)</f>
        <v>1228</v>
      </c>
      <c r="E144" s="161">
        <f t="shared" si="1"/>
        <v>6</v>
      </c>
      <c r="F144" s="160">
        <f>COUNTIFS('Scores Import DO NOT EDIT'!C:C, D144,'Scores Import DO NOT EDIT'!M:M,A144)</f>
        <v>2</v>
      </c>
      <c r="G144" s="162">
        <f t="shared" si="2"/>
        <v>0.3333333333</v>
      </c>
      <c r="H144" s="163" t="str">
        <f t="shared" si="3"/>
        <v>D-21228</v>
      </c>
      <c r="I144" s="113"/>
      <c r="J144" s="113"/>
      <c r="K144" s="113"/>
      <c r="L144" s="158"/>
      <c r="M144" s="166" t="s">
        <v>204</v>
      </c>
      <c r="N144" s="113"/>
      <c r="O144" s="113"/>
      <c r="P144" s="113"/>
      <c r="Q144" s="113"/>
      <c r="R144" s="113"/>
      <c r="S144" s="113"/>
      <c r="T144" s="113"/>
      <c r="U144" s="113"/>
      <c r="V144" s="113"/>
      <c r="W144" s="113"/>
      <c r="X144" s="113"/>
      <c r="Y144" s="113"/>
      <c r="Z144" s="113"/>
      <c r="AA144" s="113"/>
      <c r="AB144" s="113"/>
      <c r="AC144" s="113"/>
      <c r="AD144" s="113"/>
      <c r="AE144" s="113"/>
      <c r="AF144" s="113"/>
      <c r="AG144" s="113"/>
      <c r="AH144" s="113"/>
      <c r="AI144" s="113"/>
      <c r="AJ144" s="113"/>
      <c r="AK144" s="113"/>
      <c r="AL144" s="113"/>
      <c r="AM144" s="113"/>
      <c r="AN144" s="113"/>
      <c r="AO144" s="113"/>
      <c r="AP144" s="113"/>
      <c r="AQ144" s="113"/>
      <c r="AR144" s="113"/>
      <c r="AS144" s="113"/>
      <c r="AT144" s="113"/>
      <c r="AU144" s="113"/>
      <c r="AV144" s="113"/>
      <c r="AW144" s="113"/>
      <c r="AX144" s="113"/>
      <c r="AY144" s="113"/>
      <c r="AZ144" s="113"/>
      <c r="BA144" s="113"/>
      <c r="BB144" s="113"/>
      <c r="BC144" s="113"/>
      <c r="BD144" s="113"/>
      <c r="BE144" s="113"/>
      <c r="BF144" s="113"/>
      <c r="BG144" s="113"/>
      <c r="BH144" s="113"/>
      <c r="BI144" s="113"/>
      <c r="BJ144" s="113"/>
      <c r="BK144" s="113"/>
      <c r="BL144" s="113"/>
      <c r="BM144" s="113"/>
      <c r="BN144" s="113"/>
      <c r="BO144" s="113"/>
      <c r="BP144" s="113"/>
      <c r="BQ144" s="113"/>
      <c r="BR144" s="113"/>
      <c r="BS144" s="113"/>
      <c r="BT144" s="113"/>
      <c r="BU144" s="113"/>
      <c r="BV144" s="113"/>
      <c r="BW144" s="113"/>
      <c r="BX144" s="113"/>
      <c r="BY144" s="113"/>
      <c r="BZ144" s="113"/>
      <c r="CA144" s="113"/>
      <c r="CB144" s="113"/>
      <c r="CC144" s="113"/>
      <c r="CD144" s="113"/>
      <c r="CE144" s="113"/>
      <c r="CF144" s="113"/>
      <c r="CG144" s="113"/>
      <c r="CH144" s="113"/>
      <c r="CI144" s="113"/>
      <c r="CJ144" s="113"/>
      <c r="CK144" s="113"/>
      <c r="CL144" s="113"/>
      <c r="CM144" s="113"/>
      <c r="CN144" s="113"/>
      <c r="CO144" s="113"/>
      <c r="CP144" s="113"/>
      <c r="CQ144" s="113"/>
      <c r="CR144" s="113"/>
      <c r="CS144" s="113"/>
      <c r="CT144" s="113"/>
      <c r="CU144" s="113"/>
    </row>
    <row r="145">
      <c r="A145" s="159" t="str">
        <f>IFERROR(__xludf.DUMMYFUNCTION("""COMPUTED_VALUE"""),"D-2")</f>
        <v>D-2</v>
      </c>
      <c r="B145" s="113" t="str">
        <f>IFERROR(__xludf.DUMMYFUNCTION("""COMPUTED_VALUE"""),"Hamza")</f>
        <v>Hamza</v>
      </c>
      <c r="C145" s="113" t="str">
        <f>IFERROR(__xludf.DUMMYFUNCTION("""COMPUTED_VALUE"""),"Hajama")</f>
        <v>Hajama</v>
      </c>
      <c r="D145" s="158">
        <f>IFERROR(__xludf.DUMMYFUNCTION("""COMPUTED_VALUE"""),1049.0)</f>
        <v>1049</v>
      </c>
      <c r="E145" s="161">
        <f t="shared" si="1"/>
        <v>6</v>
      </c>
      <c r="F145" s="160">
        <f>COUNTIFS('Scores Import DO NOT EDIT'!C:C, D145,'Scores Import DO NOT EDIT'!M:M,A145)</f>
        <v>0</v>
      </c>
      <c r="G145" s="162">
        <f t="shared" si="2"/>
        <v>0</v>
      </c>
      <c r="H145" s="163" t="str">
        <f t="shared" si="3"/>
        <v>D-21049</v>
      </c>
      <c r="I145" s="113"/>
      <c r="J145" s="113"/>
      <c r="K145" s="113"/>
      <c r="L145" s="158"/>
      <c r="M145" s="166" t="s">
        <v>206</v>
      </c>
      <c r="N145" s="113"/>
      <c r="O145" s="113"/>
      <c r="P145" s="113"/>
      <c r="Q145" s="113"/>
      <c r="R145" s="113"/>
      <c r="S145" s="113"/>
      <c r="T145" s="113"/>
      <c r="U145" s="113"/>
      <c r="V145" s="113"/>
      <c r="W145" s="113"/>
      <c r="X145" s="113"/>
      <c r="Y145" s="113"/>
      <c r="Z145" s="113"/>
      <c r="AA145" s="113"/>
      <c r="AB145" s="113"/>
      <c r="AC145" s="113"/>
      <c r="AD145" s="113"/>
      <c r="AE145" s="113"/>
      <c r="AF145" s="113"/>
      <c r="AG145" s="113"/>
      <c r="AH145" s="113"/>
      <c r="AI145" s="113"/>
      <c r="AJ145" s="113"/>
      <c r="AK145" s="113"/>
      <c r="AL145" s="113"/>
      <c r="AM145" s="113"/>
      <c r="AN145" s="113"/>
      <c r="AO145" s="113"/>
      <c r="AP145" s="113"/>
      <c r="AQ145" s="113"/>
      <c r="AR145" s="113"/>
      <c r="AS145" s="113"/>
      <c r="AT145" s="113"/>
      <c r="AU145" s="113"/>
      <c r="AV145" s="113"/>
      <c r="AW145" s="113"/>
      <c r="AX145" s="113"/>
      <c r="AY145" s="113"/>
      <c r="AZ145" s="113"/>
      <c r="BA145" s="113"/>
      <c r="BB145" s="113"/>
      <c r="BC145" s="113"/>
      <c r="BD145" s="113"/>
      <c r="BE145" s="113"/>
      <c r="BF145" s="113"/>
      <c r="BG145" s="113"/>
      <c r="BH145" s="113"/>
      <c r="BI145" s="113"/>
      <c r="BJ145" s="113"/>
      <c r="BK145" s="113"/>
      <c r="BL145" s="113"/>
      <c r="BM145" s="113"/>
      <c r="BN145" s="113"/>
      <c r="BO145" s="113"/>
      <c r="BP145" s="113"/>
      <c r="BQ145" s="113"/>
      <c r="BR145" s="113"/>
      <c r="BS145" s="113"/>
      <c r="BT145" s="113"/>
      <c r="BU145" s="113"/>
      <c r="BV145" s="113"/>
      <c r="BW145" s="113"/>
      <c r="BX145" s="113"/>
      <c r="BY145" s="113"/>
      <c r="BZ145" s="113"/>
      <c r="CA145" s="113"/>
      <c r="CB145" s="113"/>
      <c r="CC145" s="113"/>
      <c r="CD145" s="113"/>
      <c r="CE145" s="113"/>
      <c r="CF145" s="113"/>
      <c r="CG145" s="113"/>
      <c r="CH145" s="113"/>
      <c r="CI145" s="113"/>
      <c r="CJ145" s="113"/>
      <c r="CK145" s="113"/>
      <c r="CL145" s="113"/>
      <c r="CM145" s="113"/>
      <c r="CN145" s="113"/>
      <c r="CO145" s="113"/>
      <c r="CP145" s="113"/>
      <c r="CQ145" s="113"/>
      <c r="CR145" s="113"/>
      <c r="CS145" s="113"/>
      <c r="CT145" s="113"/>
      <c r="CU145" s="113"/>
    </row>
    <row r="146">
      <c r="A146" s="159" t="str">
        <f>IFERROR(__xludf.DUMMYFUNCTION("""COMPUTED_VALUE"""),"D-2")</f>
        <v>D-2</v>
      </c>
      <c r="B146" s="113" t="str">
        <f>IFERROR(__xludf.DUMMYFUNCTION("""COMPUTED_VALUE"""),"Kaylee")</f>
        <v>Kaylee</v>
      </c>
      <c r="C146" s="113" t="str">
        <f>IFERROR(__xludf.DUMMYFUNCTION("""COMPUTED_VALUE"""),"Ramage")</f>
        <v>Ramage</v>
      </c>
      <c r="D146" s="158">
        <f>IFERROR(__xludf.DUMMYFUNCTION("""COMPUTED_VALUE"""),1102.0)</f>
        <v>1102</v>
      </c>
      <c r="E146" s="161">
        <f t="shared" si="1"/>
        <v>6</v>
      </c>
      <c r="F146" s="160">
        <f>COUNTIFS('Scores Import DO NOT EDIT'!C:C, D146,'Scores Import DO NOT EDIT'!M:M,A146)</f>
        <v>6</v>
      </c>
      <c r="G146" s="162">
        <f t="shared" si="2"/>
        <v>1</v>
      </c>
      <c r="H146" s="163" t="str">
        <f t="shared" si="3"/>
        <v>D-21102</v>
      </c>
      <c r="I146" s="113"/>
      <c r="J146" s="113"/>
      <c r="K146" s="113"/>
      <c r="L146" s="158"/>
      <c r="M146" s="166" t="s">
        <v>210</v>
      </c>
      <c r="N146" s="113"/>
      <c r="O146" s="113"/>
      <c r="P146" s="113"/>
      <c r="Q146" s="113"/>
      <c r="R146" s="113"/>
      <c r="S146" s="113"/>
      <c r="T146" s="113"/>
      <c r="U146" s="113"/>
      <c r="V146" s="113"/>
      <c r="W146" s="113"/>
      <c r="X146" s="113"/>
      <c r="Y146" s="113"/>
      <c r="Z146" s="113"/>
      <c r="AA146" s="113"/>
      <c r="AB146" s="113"/>
      <c r="AC146" s="113"/>
      <c r="AD146" s="113"/>
      <c r="AE146" s="113"/>
      <c r="AF146" s="113"/>
      <c r="AG146" s="113"/>
      <c r="AH146" s="113"/>
      <c r="AI146" s="113"/>
      <c r="AJ146" s="113"/>
      <c r="AK146" s="113"/>
      <c r="AL146" s="113"/>
      <c r="AM146" s="113"/>
      <c r="AN146" s="113"/>
      <c r="AO146" s="113"/>
      <c r="AP146" s="113"/>
      <c r="AQ146" s="113"/>
      <c r="AR146" s="113"/>
      <c r="AS146" s="113"/>
      <c r="AT146" s="113"/>
      <c r="AU146" s="113"/>
      <c r="AV146" s="113"/>
      <c r="AW146" s="113"/>
      <c r="AX146" s="113"/>
      <c r="AY146" s="113"/>
      <c r="AZ146" s="113"/>
      <c r="BA146" s="113"/>
      <c r="BB146" s="113"/>
      <c r="BC146" s="113"/>
      <c r="BD146" s="113"/>
      <c r="BE146" s="113"/>
      <c r="BF146" s="113"/>
      <c r="BG146" s="113"/>
      <c r="BH146" s="113"/>
      <c r="BI146" s="113"/>
      <c r="BJ146" s="113"/>
      <c r="BK146" s="113"/>
      <c r="BL146" s="113"/>
      <c r="BM146" s="113"/>
      <c r="BN146" s="113"/>
      <c r="BO146" s="113"/>
      <c r="BP146" s="113"/>
      <c r="BQ146" s="113"/>
      <c r="BR146" s="113"/>
      <c r="BS146" s="113"/>
      <c r="BT146" s="113"/>
      <c r="BU146" s="113"/>
      <c r="BV146" s="113"/>
      <c r="BW146" s="113"/>
      <c r="BX146" s="113"/>
      <c r="BY146" s="113"/>
      <c r="BZ146" s="113"/>
      <c r="CA146" s="113"/>
      <c r="CB146" s="113"/>
      <c r="CC146" s="113"/>
      <c r="CD146" s="113"/>
      <c r="CE146" s="113"/>
      <c r="CF146" s="113"/>
      <c r="CG146" s="113"/>
      <c r="CH146" s="113"/>
      <c r="CI146" s="113"/>
      <c r="CJ146" s="113"/>
      <c r="CK146" s="113"/>
      <c r="CL146" s="113"/>
      <c r="CM146" s="113"/>
      <c r="CN146" s="113"/>
      <c r="CO146" s="113"/>
      <c r="CP146" s="113"/>
      <c r="CQ146" s="113"/>
      <c r="CR146" s="113"/>
      <c r="CS146" s="113"/>
      <c r="CT146" s="113"/>
      <c r="CU146" s="113"/>
    </row>
    <row r="147">
      <c r="A147" s="159" t="str">
        <f>IFERROR(__xludf.DUMMYFUNCTION("""COMPUTED_VALUE"""),"D-3")</f>
        <v>D-3</v>
      </c>
      <c r="B147" s="113" t="str">
        <f>IFERROR(__xludf.DUMMYFUNCTION("""COMPUTED_VALUE"""),"Sandy")</f>
        <v>Sandy</v>
      </c>
      <c r="C147" s="113" t="str">
        <f>IFERROR(__xludf.DUMMYFUNCTION("""COMPUTED_VALUE"""),"Bohan")</f>
        <v>Bohan</v>
      </c>
      <c r="D147" s="158">
        <f>IFERROR(__xludf.DUMMYFUNCTION("""COMPUTED_VALUE"""),1127.0)</f>
        <v>1127</v>
      </c>
      <c r="E147" s="161">
        <f t="shared" si="1"/>
        <v>6</v>
      </c>
      <c r="F147" s="160">
        <f>COUNTIFS('Scores Import DO NOT EDIT'!C:C, D147,'Scores Import DO NOT EDIT'!M:M,A147)</f>
        <v>0</v>
      </c>
      <c r="G147" s="162">
        <f t="shared" si="2"/>
        <v>0</v>
      </c>
      <c r="H147" s="163" t="str">
        <f t="shared" si="3"/>
        <v>D-31127</v>
      </c>
      <c r="I147" s="113"/>
      <c r="J147" s="113"/>
      <c r="K147" s="113"/>
      <c r="L147" s="158"/>
      <c r="M147" s="166" t="s">
        <v>212</v>
      </c>
      <c r="N147" s="113"/>
      <c r="O147" s="113"/>
      <c r="P147" s="113"/>
      <c r="Q147" s="113"/>
      <c r="R147" s="113"/>
      <c r="S147" s="113"/>
      <c r="T147" s="113"/>
      <c r="U147" s="113"/>
      <c r="V147" s="113"/>
      <c r="W147" s="113"/>
      <c r="X147" s="113"/>
      <c r="Y147" s="113"/>
      <c r="Z147" s="113"/>
      <c r="AA147" s="113"/>
      <c r="AB147" s="113"/>
      <c r="AC147" s="113"/>
      <c r="AD147" s="113"/>
      <c r="AE147" s="113"/>
      <c r="AF147" s="113"/>
      <c r="AG147" s="113"/>
      <c r="AH147" s="113"/>
      <c r="AI147" s="113"/>
      <c r="AJ147" s="113"/>
      <c r="AK147" s="113"/>
      <c r="AL147" s="113"/>
      <c r="AM147" s="113"/>
      <c r="AN147" s="113"/>
      <c r="AO147" s="113"/>
      <c r="AP147" s="113"/>
      <c r="AQ147" s="113"/>
      <c r="AR147" s="113"/>
      <c r="AS147" s="113"/>
      <c r="AT147" s="113"/>
      <c r="AU147" s="113"/>
      <c r="AV147" s="113"/>
      <c r="AW147" s="113"/>
      <c r="AX147" s="113"/>
      <c r="AY147" s="113"/>
      <c r="AZ147" s="113"/>
      <c r="BA147" s="113"/>
      <c r="BB147" s="113"/>
      <c r="BC147" s="113"/>
      <c r="BD147" s="113"/>
      <c r="BE147" s="113"/>
      <c r="BF147" s="113"/>
      <c r="BG147" s="113"/>
      <c r="BH147" s="113"/>
      <c r="BI147" s="113"/>
      <c r="BJ147" s="113"/>
      <c r="BK147" s="113"/>
      <c r="BL147" s="113"/>
      <c r="BM147" s="113"/>
      <c r="BN147" s="113"/>
      <c r="BO147" s="113"/>
      <c r="BP147" s="113"/>
      <c r="BQ147" s="113"/>
      <c r="BR147" s="113"/>
      <c r="BS147" s="113"/>
      <c r="BT147" s="113"/>
      <c r="BU147" s="113"/>
      <c r="BV147" s="113"/>
      <c r="BW147" s="113"/>
      <c r="BX147" s="113"/>
      <c r="BY147" s="113"/>
      <c r="BZ147" s="113"/>
      <c r="CA147" s="113"/>
      <c r="CB147" s="113"/>
      <c r="CC147" s="113"/>
      <c r="CD147" s="113"/>
      <c r="CE147" s="113"/>
      <c r="CF147" s="113"/>
      <c r="CG147" s="113"/>
      <c r="CH147" s="113"/>
      <c r="CI147" s="113"/>
      <c r="CJ147" s="113"/>
      <c r="CK147" s="113"/>
      <c r="CL147" s="113"/>
      <c r="CM147" s="113"/>
      <c r="CN147" s="113"/>
      <c r="CO147" s="113"/>
      <c r="CP147" s="113"/>
      <c r="CQ147" s="113"/>
      <c r="CR147" s="113"/>
      <c r="CS147" s="113"/>
      <c r="CT147" s="113"/>
      <c r="CU147" s="113"/>
    </row>
    <row r="148">
      <c r="A148" s="159" t="str">
        <f>IFERROR(__xludf.DUMMYFUNCTION("""COMPUTED_VALUE"""),"D-3")</f>
        <v>D-3</v>
      </c>
      <c r="B148" s="113" t="str">
        <f>IFERROR(__xludf.DUMMYFUNCTION("""COMPUTED_VALUE"""),"Crystal")</f>
        <v>Crystal</v>
      </c>
      <c r="C148" s="113" t="str">
        <f>IFERROR(__xludf.DUMMYFUNCTION("""COMPUTED_VALUE"""),"English")</f>
        <v>English</v>
      </c>
      <c r="D148" s="158">
        <f>IFERROR(__xludf.DUMMYFUNCTION("""COMPUTED_VALUE"""),1032.0)</f>
        <v>1032</v>
      </c>
      <c r="E148" s="161">
        <f t="shared" si="1"/>
        <v>6</v>
      </c>
      <c r="F148" s="160">
        <f>COUNTIFS('Scores Import DO NOT EDIT'!C:C, D148,'Scores Import DO NOT EDIT'!M:M,A148)</f>
        <v>6</v>
      </c>
      <c r="G148" s="162">
        <f t="shared" si="2"/>
        <v>1</v>
      </c>
      <c r="H148" s="163" t="str">
        <f t="shared" si="3"/>
        <v>D-31032</v>
      </c>
      <c r="I148" s="113"/>
      <c r="J148" s="113"/>
      <c r="K148" s="113"/>
      <c r="L148" s="158"/>
      <c r="M148" s="166" t="s">
        <v>213</v>
      </c>
      <c r="N148" s="113"/>
      <c r="O148" s="113"/>
      <c r="P148" s="113"/>
      <c r="Q148" s="113"/>
      <c r="R148" s="113"/>
      <c r="S148" s="113"/>
      <c r="T148" s="113"/>
      <c r="U148" s="113"/>
      <c r="V148" s="113"/>
      <c r="W148" s="113"/>
      <c r="X148" s="113"/>
      <c r="Y148" s="113"/>
      <c r="Z148" s="113"/>
      <c r="AA148" s="113"/>
      <c r="AB148" s="113"/>
      <c r="AC148" s="113"/>
      <c r="AD148" s="113"/>
      <c r="AE148" s="113"/>
      <c r="AF148" s="113"/>
      <c r="AG148" s="113"/>
      <c r="AH148" s="113"/>
      <c r="AI148" s="113"/>
      <c r="AJ148" s="113"/>
      <c r="AK148" s="113"/>
      <c r="AL148" s="113"/>
      <c r="AM148" s="113"/>
      <c r="AN148" s="113"/>
      <c r="AO148" s="113"/>
      <c r="AP148" s="113"/>
      <c r="AQ148" s="113"/>
      <c r="AR148" s="113"/>
      <c r="AS148" s="113"/>
      <c r="AT148" s="113"/>
      <c r="AU148" s="113"/>
      <c r="AV148" s="113"/>
      <c r="AW148" s="113"/>
      <c r="AX148" s="113"/>
      <c r="AY148" s="113"/>
      <c r="AZ148" s="113"/>
      <c r="BA148" s="113"/>
      <c r="BB148" s="113"/>
      <c r="BC148" s="113"/>
      <c r="BD148" s="113"/>
      <c r="BE148" s="113"/>
      <c r="BF148" s="113"/>
      <c r="BG148" s="113"/>
      <c r="BH148" s="113"/>
      <c r="BI148" s="113"/>
      <c r="BJ148" s="113"/>
      <c r="BK148" s="113"/>
      <c r="BL148" s="113"/>
      <c r="BM148" s="113"/>
      <c r="BN148" s="113"/>
      <c r="BO148" s="113"/>
      <c r="BP148" s="113"/>
      <c r="BQ148" s="113"/>
      <c r="BR148" s="113"/>
      <c r="BS148" s="113"/>
      <c r="BT148" s="113"/>
      <c r="BU148" s="113"/>
      <c r="BV148" s="113"/>
      <c r="BW148" s="113"/>
      <c r="BX148" s="113"/>
      <c r="BY148" s="113"/>
      <c r="BZ148" s="113"/>
      <c r="CA148" s="113"/>
      <c r="CB148" s="113"/>
      <c r="CC148" s="113"/>
      <c r="CD148" s="113"/>
      <c r="CE148" s="113"/>
      <c r="CF148" s="113"/>
      <c r="CG148" s="113"/>
      <c r="CH148" s="113"/>
      <c r="CI148" s="113"/>
      <c r="CJ148" s="113"/>
      <c r="CK148" s="113"/>
      <c r="CL148" s="113"/>
      <c r="CM148" s="113"/>
      <c r="CN148" s="113"/>
      <c r="CO148" s="113"/>
      <c r="CP148" s="113"/>
      <c r="CQ148" s="113"/>
      <c r="CR148" s="113"/>
      <c r="CS148" s="113"/>
      <c r="CT148" s="113"/>
      <c r="CU148" s="113"/>
    </row>
    <row r="149">
      <c r="A149" s="159" t="str">
        <f>IFERROR(__xludf.DUMMYFUNCTION("""COMPUTED_VALUE"""),"D-3")</f>
        <v>D-3</v>
      </c>
      <c r="B149" s="113" t="str">
        <f>IFERROR(__xludf.DUMMYFUNCTION("""COMPUTED_VALUE"""),"Nini")</f>
        <v>Nini</v>
      </c>
      <c r="C149" s="113" t="str">
        <f>IFERROR(__xludf.DUMMYFUNCTION("""COMPUTED_VALUE"""),"Shatirishvili")</f>
        <v>Shatirishvili</v>
      </c>
      <c r="D149" s="158">
        <f>IFERROR(__xludf.DUMMYFUNCTION("""COMPUTED_VALUE"""),1136.0)</f>
        <v>1136</v>
      </c>
      <c r="E149" s="161">
        <f t="shared" si="1"/>
        <v>6</v>
      </c>
      <c r="F149" s="160">
        <f>COUNTIFS('Scores Import DO NOT EDIT'!C:C, D149,'Scores Import DO NOT EDIT'!M:M,A149)</f>
        <v>0</v>
      </c>
      <c r="G149" s="162">
        <f t="shared" si="2"/>
        <v>0</v>
      </c>
      <c r="H149" s="163" t="str">
        <f t="shared" si="3"/>
        <v>D-31136</v>
      </c>
      <c r="I149" s="113"/>
      <c r="J149" s="113"/>
      <c r="K149" s="113"/>
      <c r="L149" s="158"/>
      <c r="M149" s="166" t="s">
        <v>211</v>
      </c>
      <c r="N149" s="113"/>
      <c r="O149" s="113"/>
      <c r="P149" s="113"/>
      <c r="Q149" s="113"/>
      <c r="R149" s="113"/>
      <c r="S149" s="113"/>
      <c r="T149" s="113"/>
      <c r="U149" s="113"/>
      <c r="V149" s="113"/>
      <c r="W149" s="113"/>
      <c r="X149" s="113"/>
      <c r="Y149" s="113"/>
      <c r="Z149" s="113"/>
      <c r="AA149" s="113"/>
      <c r="AB149" s="113"/>
      <c r="AC149" s="113"/>
      <c r="AD149" s="113"/>
      <c r="AE149" s="113"/>
      <c r="AF149" s="113"/>
      <c r="AG149" s="113"/>
      <c r="AH149" s="113"/>
      <c r="AI149" s="113"/>
      <c r="AJ149" s="113"/>
      <c r="AK149" s="113"/>
      <c r="AL149" s="113"/>
      <c r="AM149" s="113"/>
      <c r="AN149" s="113"/>
      <c r="AO149" s="113"/>
      <c r="AP149" s="113"/>
      <c r="AQ149" s="113"/>
      <c r="AR149" s="113"/>
      <c r="AS149" s="113"/>
      <c r="AT149" s="113"/>
      <c r="AU149" s="113"/>
      <c r="AV149" s="113"/>
      <c r="AW149" s="113"/>
      <c r="AX149" s="113"/>
      <c r="AY149" s="113"/>
      <c r="AZ149" s="113"/>
      <c r="BA149" s="113"/>
      <c r="BB149" s="113"/>
      <c r="BC149" s="113"/>
      <c r="BD149" s="113"/>
      <c r="BE149" s="113"/>
      <c r="BF149" s="113"/>
      <c r="BG149" s="113"/>
      <c r="BH149" s="113"/>
      <c r="BI149" s="113"/>
      <c r="BJ149" s="113"/>
      <c r="BK149" s="113"/>
      <c r="BL149" s="113"/>
      <c r="BM149" s="113"/>
      <c r="BN149" s="113"/>
      <c r="BO149" s="113"/>
      <c r="BP149" s="113"/>
      <c r="BQ149" s="113"/>
      <c r="BR149" s="113"/>
      <c r="BS149" s="113"/>
      <c r="BT149" s="113"/>
      <c r="BU149" s="113"/>
      <c r="BV149" s="113"/>
      <c r="BW149" s="113"/>
      <c r="BX149" s="113"/>
      <c r="BY149" s="113"/>
      <c r="BZ149" s="113"/>
      <c r="CA149" s="113"/>
      <c r="CB149" s="113"/>
      <c r="CC149" s="113"/>
      <c r="CD149" s="113"/>
      <c r="CE149" s="113"/>
      <c r="CF149" s="113"/>
      <c r="CG149" s="113"/>
      <c r="CH149" s="113"/>
      <c r="CI149" s="113"/>
      <c r="CJ149" s="113"/>
      <c r="CK149" s="113"/>
      <c r="CL149" s="113"/>
      <c r="CM149" s="113"/>
      <c r="CN149" s="113"/>
      <c r="CO149" s="113"/>
      <c r="CP149" s="113"/>
      <c r="CQ149" s="113"/>
      <c r="CR149" s="113"/>
      <c r="CS149" s="113"/>
      <c r="CT149" s="113"/>
      <c r="CU149" s="113"/>
    </row>
    <row r="150">
      <c r="A150" s="159" t="str">
        <f>IFERROR(__xludf.DUMMYFUNCTION("""COMPUTED_VALUE"""),"D-3")</f>
        <v>D-3</v>
      </c>
      <c r="B150" s="113" t="str">
        <f>IFERROR(__xludf.DUMMYFUNCTION("""COMPUTED_VALUE"""),"Nika")</f>
        <v>Nika</v>
      </c>
      <c r="C150" s="113" t="str">
        <f>IFERROR(__xludf.DUMMYFUNCTION("""COMPUTED_VALUE"""),"Zaballa")</f>
        <v>Zaballa</v>
      </c>
      <c r="D150" s="158">
        <f>IFERROR(__xludf.DUMMYFUNCTION("""COMPUTED_VALUE"""),1200.0)</f>
        <v>1200</v>
      </c>
      <c r="E150" s="161">
        <f t="shared" si="1"/>
        <v>6</v>
      </c>
      <c r="F150" s="160">
        <f>COUNTIFS('Scores Import DO NOT EDIT'!C:C, D150,'Scores Import DO NOT EDIT'!M:M,A150)</f>
        <v>5</v>
      </c>
      <c r="G150" s="162">
        <f t="shared" si="2"/>
        <v>0.8333333333</v>
      </c>
      <c r="H150" s="163" t="str">
        <f t="shared" si="3"/>
        <v>D-31200</v>
      </c>
      <c r="I150" s="113"/>
      <c r="J150" s="113"/>
      <c r="K150" s="113"/>
      <c r="L150" s="158"/>
      <c r="M150" s="166" t="s">
        <v>215</v>
      </c>
      <c r="N150" s="113"/>
      <c r="O150" s="113"/>
      <c r="P150" s="113"/>
      <c r="Q150" s="113"/>
      <c r="R150" s="113"/>
      <c r="S150" s="113"/>
      <c r="T150" s="113"/>
      <c r="U150" s="113"/>
      <c r="V150" s="113"/>
      <c r="W150" s="113"/>
      <c r="X150" s="113"/>
      <c r="Y150" s="113"/>
      <c r="Z150" s="113"/>
      <c r="AA150" s="113"/>
      <c r="AB150" s="113"/>
      <c r="AC150" s="113"/>
      <c r="AD150" s="113"/>
      <c r="AE150" s="113"/>
      <c r="AF150" s="113"/>
      <c r="AG150" s="113"/>
      <c r="AH150" s="113"/>
      <c r="AI150" s="113"/>
      <c r="AJ150" s="113"/>
      <c r="AK150" s="113"/>
      <c r="AL150" s="113"/>
      <c r="AM150" s="113"/>
      <c r="AN150" s="113"/>
      <c r="AO150" s="113"/>
      <c r="AP150" s="113"/>
      <c r="AQ150" s="113"/>
      <c r="AR150" s="113"/>
      <c r="AS150" s="113"/>
      <c r="AT150" s="113"/>
      <c r="AU150" s="113"/>
      <c r="AV150" s="113"/>
      <c r="AW150" s="113"/>
      <c r="AX150" s="113"/>
      <c r="AY150" s="113"/>
      <c r="AZ150" s="113"/>
      <c r="BA150" s="113"/>
      <c r="BB150" s="113"/>
      <c r="BC150" s="113"/>
      <c r="BD150" s="113"/>
      <c r="BE150" s="113"/>
      <c r="BF150" s="113"/>
      <c r="BG150" s="113"/>
      <c r="BH150" s="113"/>
      <c r="BI150" s="113"/>
      <c r="BJ150" s="113"/>
      <c r="BK150" s="113"/>
      <c r="BL150" s="113"/>
      <c r="BM150" s="113"/>
      <c r="BN150" s="113"/>
      <c r="BO150" s="113"/>
      <c r="BP150" s="113"/>
      <c r="BQ150" s="113"/>
      <c r="BR150" s="113"/>
      <c r="BS150" s="113"/>
      <c r="BT150" s="113"/>
      <c r="BU150" s="113"/>
      <c r="BV150" s="113"/>
      <c r="BW150" s="113"/>
      <c r="BX150" s="113"/>
      <c r="BY150" s="113"/>
      <c r="BZ150" s="113"/>
      <c r="CA150" s="113"/>
      <c r="CB150" s="113"/>
      <c r="CC150" s="113"/>
      <c r="CD150" s="113"/>
      <c r="CE150" s="113"/>
      <c r="CF150" s="113"/>
      <c r="CG150" s="113"/>
      <c r="CH150" s="113"/>
      <c r="CI150" s="113"/>
      <c r="CJ150" s="113"/>
      <c r="CK150" s="113"/>
      <c r="CL150" s="113"/>
      <c r="CM150" s="113"/>
      <c r="CN150" s="113"/>
      <c r="CO150" s="113"/>
      <c r="CP150" s="113"/>
      <c r="CQ150" s="113"/>
      <c r="CR150" s="113"/>
      <c r="CS150" s="113"/>
      <c r="CT150" s="113"/>
      <c r="CU150" s="113"/>
    </row>
    <row r="151">
      <c r="A151" s="159" t="str">
        <f>IFERROR(__xludf.DUMMYFUNCTION("""COMPUTED_VALUE"""),"D-3")</f>
        <v>D-3</v>
      </c>
      <c r="B151" s="113" t="str">
        <f>IFERROR(__xludf.DUMMYFUNCTION("""COMPUTED_VALUE"""),"Gary")</f>
        <v>Gary</v>
      </c>
      <c r="C151" s="113" t="str">
        <f>IFERROR(__xludf.DUMMYFUNCTION("""COMPUTED_VALUE"""),"Recker")</f>
        <v>Recker</v>
      </c>
      <c r="D151" s="158">
        <f>IFERROR(__xludf.DUMMYFUNCTION("""COMPUTED_VALUE"""),1221.0)</f>
        <v>1221</v>
      </c>
      <c r="E151" s="161">
        <f t="shared" si="1"/>
        <v>6</v>
      </c>
      <c r="F151" s="160">
        <f>COUNTIFS('Scores Import DO NOT EDIT'!C:C, D151,'Scores Import DO NOT EDIT'!M:M,A151)</f>
        <v>0</v>
      </c>
      <c r="G151" s="162">
        <f t="shared" si="2"/>
        <v>0</v>
      </c>
      <c r="H151" s="163" t="str">
        <f t="shared" si="3"/>
        <v>D-31221</v>
      </c>
      <c r="I151" s="113"/>
      <c r="J151" s="113"/>
      <c r="K151" s="113"/>
      <c r="L151" s="158"/>
      <c r="M151" s="166" t="s">
        <v>219</v>
      </c>
      <c r="N151" s="113"/>
      <c r="O151" s="113"/>
      <c r="P151" s="113"/>
      <c r="Q151" s="113"/>
      <c r="R151" s="113"/>
      <c r="S151" s="113"/>
      <c r="T151" s="113"/>
      <c r="U151" s="113"/>
      <c r="V151" s="113"/>
      <c r="W151" s="113"/>
      <c r="X151" s="113"/>
      <c r="Y151" s="113"/>
      <c r="Z151" s="113"/>
      <c r="AA151" s="113"/>
      <c r="AB151" s="113"/>
      <c r="AC151" s="113"/>
      <c r="AD151" s="113"/>
      <c r="AE151" s="113"/>
      <c r="AF151" s="113"/>
      <c r="AG151" s="113"/>
      <c r="AH151" s="113"/>
      <c r="AI151" s="113"/>
      <c r="AJ151" s="113"/>
      <c r="AK151" s="113"/>
      <c r="AL151" s="113"/>
      <c r="AM151" s="113"/>
      <c r="AN151" s="113"/>
      <c r="AO151" s="113"/>
      <c r="AP151" s="113"/>
      <c r="AQ151" s="113"/>
      <c r="AR151" s="113"/>
      <c r="AS151" s="113"/>
      <c r="AT151" s="113"/>
      <c r="AU151" s="113"/>
      <c r="AV151" s="113"/>
      <c r="AW151" s="113"/>
      <c r="AX151" s="113"/>
      <c r="AY151" s="113"/>
      <c r="AZ151" s="113"/>
      <c r="BA151" s="113"/>
      <c r="BB151" s="113"/>
      <c r="BC151" s="113"/>
      <c r="BD151" s="113"/>
      <c r="BE151" s="113"/>
      <c r="BF151" s="113"/>
      <c r="BG151" s="113"/>
      <c r="BH151" s="113"/>
      <c r="BI151" s="113"/>
      <c r="BJ151" s="113"/>
      <c r="BK151" s="113"/>
      <c r="BL151" s="113"/>
      <c r="BM151" s="113"/>
      <c r="BN151" s="113"/>
      <c r="BO151" s="113"/>
      <c r="BP151" s="113"/>
      <c r="BQ151" s="113"/>
      <c r="BR151" s="113"/>
      <c r="BS151" s="113"/>
      <c r="BT151" s="113"/>
      <c r="BU151" s="113"/>
      <c r="BV151" s="113"/>
      <c r="BW151" s="113"/>
      <c r="BX151" s="113"/>
      <c r="BY151" s="113"/>
      <c r="BZ151" s="113"/>
      <c r="CA151" s="113"/>
      <c r="CB151" s="113"/>
      <c r="CC151" s="113"/>
      <c r="CD151" s="113"/>
      <c r="CE151" s="113"/>
      <c r="CF151" s="113"/>
      <c r="CG151" s="113"/>
      <c r="CH151" s="113"/>
      <c r="CI151" s="113"/>
      <c r="CJ151" s="113"/>
      <c r="CK151" s="113"/>
      <c r="CL151" s="113"/>
      <c r="CM151" s="113"/>
      <c r="CN151" s="113"/>
      <c r="CO151" s="113"/>
      <c r="CP151" s="113"/>
      <c r="CQ151" s="113"/>
      <c r="CR151" s="113"/>
      <c r="CS151" s="113"/>
      <c r="CT151" s="113"/>
      <c r="CU151" s="113"/>
    </row>
    <row r="152">
      <c r="A152" s="159" t="str">
        <f>IFERROR(__xludf.DUMMYFUNCTION("""COMPUTED_VALUE"""),"D-4")</f>
        <v>D-4</v>
      </c>
      <c r="B152" s="113" t="str">
        <f>IFERROR(__xludf.DUMMYFUNCTION("""COMPUTED_VALUE"""),"Mariam")</f>
        <v>Mariam</v>
      </c>
      <c r="C152" s="113" t="str">
        <f>IFERROR(__xludf.DUMMYFUNCTION("""COMPUTED_VALUE"""),"Ahmed")</f>
        <v>Ahmed</v>
      </c>
      <c r="D152" s="158">
        <f>IFERROR(__xludf.DUMMYFUNCTION("""COMPUTED_VALUE"""),1104.0)</f>
        <v>1104</v>
      </c>
      <c r="E152" s="161">
        <f t="shared" si="1"/>
        <v>5</v>
      </c>
      <c r="F152" s="160">
        <f>COUNTIFS('Scores Import DO NOT EDIT'!C:C, D152,'Scores Import DO NOT EDIT'!M:M,A152)</f>
        <v>0</v>
      </c>
      <c r="G152" s="162">
        <f t="shared" si="2"/>
        <v>0</v>
      </c>
      <c r="H152" s="163" t="str">
        <f t="shared" si="3"/>
        <v>D-41104</v>
      </c>
      <c r="I152" s="113"/>
      <c r="J152" s="113"/>
      <c r="K152" s="113"/>
      <c r="L152" s="158"/>
      <c r="M152" s="166" t="s">
        <v>218</v>
      </c>
      <c r="N152" s="113"/>
      <c r="O152" s="113"/>
      <c r="P152" s="113"/>
      <c r="Q152" s="113"/>
      <c r="R152" s="113"/>
      <c r="S152" s="113"/>
      <c r="T152" s="113"/>
      <c r="U152" s="113"/>
      <c r="V152" s="113"/>
      <c r="W152" s="113"/>
      <c r="X152" s="113"/>
      <c r="Y152" s="113"/>
      <c r="Z152" s="113"/>
      <c r="AA152" s="113"/>
      <c r="AB152" s="113"/>
      <c r="AC152" s="113"/>
      <c r="AD152" s="113"/>
      <c r="AE152" s="113"/>
      <c r="AF152" s="113"/>
      <c r="AG152" s="113"/>
      <c r="AH152" s="113"/>
      <c r="AI152" s="113"/>
      <c r="AJ152" s="113"/>
      <c r="AK152" s="113"/>
      <c r="AL152" s="113"/>
      <c r="AM152" s="113"/>
      <c r="AN152" s="113"/>
      <c r="AO152" s="113"/>
      <c r="AP152" s="113"/>
      <c r="AQ152" s="113"/>
      <c r="AR152" s="113"/>
      <c r="AS152" s="113"/>
      <c r="AT152" s="113"/>
      <c r="AU152" s="113"/>
      <c r="AV152" s="113"/>
      <c r="AW152" s="113"/>
      <c r="AX152" s="113"/>
      <c r="AY152" s="113"/>
      <c r="AZ152" s="113"/>
      <c r="BA152" s="113"/>
      <c r="BB152" s="113"/>
      <c r="BC152" s="113"/>
      <c r="BD152" s="113"/>
      <c r="BE152" s="113"/>
      <c r="BF152" s="113"/>
      <c r="BG152" s="113"/>
      <c r="BH152" s="113"/>
      <c r="BI152" s="113"/>
      <c r="BJ152" s="113"/>
      <c r="BK152" s="113"/>
      <c r="BL152" s="113"/>
      <c r="BM152" s="113"/>
      <c r="BN152" s="113"/>
      <c r="BO152" s="113"/>
      <c r="BP152" s="113"/>
      <c r="BQ152" s="113"/>
      <c r="BR152" s="113"/>
      <c r="BS152" s="113"/>
      <c r="BT152" s="113"/>
      <c r="BU152" s="113"/>
      <c r="BV152" s="113"/>
      <c r="BW152" s="113"/>
      <c r="BX152" s="113"/>
      <c r="BY152" s="113"/>
      <c r="BZ152" s="113"/>
      <c r="CA152" s="113"/>
      <c r="CB152" s="113"/>
      <c r="CC152" s="113"/>
      <c r="CD152" s="113"/>
      <c r="CE152" s="113"/>
      <c r="CF152" s="113"/>
      <c r="CG152" s="113"/>
      <c r="CH152" s="113"/>
      <c r="CI152" s="113"/>
      <c r="CJ152" s="113"/>
      <c r="CK152" s="113"/>
      <c r="CL152" s="113"/>
      <c r="CM152" s="113"/>
      <c r="CN152" s="113"/>
      <c r="CO152" s="113"/>
      <c r="CP152" s="113"/>
      <c r="CQ152" s="113"/>
      <c r="CR152" s="113"/>
      <c r="CS152" s="113"/>
      <c r="CT152" s="113"/>
      <c r="CU152" s="113"/>
    </row>
    <row r="153">
      <c r="A153" s="159" t="str">
        <f>IFERROR(__xludf.DUMMYFUNCTION("""COMPUTED_VALUE"""),"D-4")</f>
        <v>D-4</v>
      </c>
      <c r="B153" s="113" t="str">
        <f>IFERROR(__xludf.DUMMYFUNCTION("""COMPUTED_VALUE"""),"Delores")</f>
        <v>Delores</v>
      </c>
      <c r="C153" s="113" t="str">
        <f>IFERROR(__xludf.DUMMYFUNCTION("""COMPUTED_VALUE"""),"Fisher")</f>
        <v>Fisher</v>
      </c>
      <c r="D153" s="158">
        <f>IFERROR(__xludf.DUMMYFUNCTION("""COMPUTED_VALUE"""),1169.0)</f>
        <v>1169</v>
      </c>
      <c r="E153" s="161">
        <f t="shared" si="1"/>
        <v>5</v>
      </c>
      <c r="F153" s="160">
        <f>COUNTIFS('Scores Import DO NOT EDIT'!C:C, D153,'Scores Import DO NOT EDIT'!M:M,A153)</f>
        <v>4</v>
      </c>
      <c r="G153" s="162">
        <f t="shared" si="2"/>
        <v>0.8</v>
      </c>
      <c r="H153" s="163" t="str">
        <f t="shared" si="3"/>
        <v>D-41169</v>
      </c>
      <c r="I153" s="113"/>
      <c r="J153" s="113"/>
      <c r="K153" s="113"/>
      <c r="L153" s="158"/>
      <c r="M153" s="166" t="s">
        <v>214</v>
      </c>
      <c r="N153" s="113"/>
      <c r="O153" s="113"/>
      <c r="P153" s="113"/>
      <c r="Q153" s="113"/>
      <c r="R153" s="113"/>
      <c r="S153" s="113"/>
      <c r="T153" s="113"/>
      <c r="U153" s="113"/>
      <c r="V153" s="113"/>
      <c r="W153" s="113"/>
      <c r="X153" s="113"/>
      <c r="Y153" s="113"/>
      <c r="Z153" s="113"/>
      <c r="AA153" s="113"/>
      <c r="AB153" s="113"/>
      <c r="AC153" s="113"/>
      <c r="AD153" s="113"/>
      <c r="AE153" s="113"/>
      <c r="AF153" s="113"/>
      <c r="AG153" s="113"/>
      <c r="AH153" s="113"/>
      <c r="AI153" s="113"/>
      <c r="AJ153" s="113"/>
      <c r="AK153" s="113"/>
      <c r="AL153" s="113"/>
      <c r="AM153" s="113"/>
      <c r="AN153" s="113"/>
      <c r="AO153" s="113"/>
      <c r="AP153" s="113"/>
      <c r="AQ153" s="113"/>
      <c r="AR153" s="113"/>
      <c r="AS153" s="113"/>
      <c r="AT153" s="113"/>
      <c r="AU153" s="113"/>
      <c r="AV153" s="113"/>
      <c r="AW153" s="113"/>
      <c r="AX153" s="113"/>
      <c r="AY153" s="113"/>
      <c r="AZ153" s="113"/>
      <c r="BA153" s="113"/>
      <c r="BB153" s="113"/>
      <c r="BC153" s="113"/>
      <c r="BD153" s="113"/>
      <c r="BE153" s="113"/>
      <c r="BF153" s="113"/>
      <c r="BG153" s="113"/>
      <c r="BH153" s="113"/>
      <c r="BI153" s="113"/>
      <c r="BJ153" s="113"/>
      <c r="BK153" s="113"/>
      <c r="BL153" s="113"/>
      <c r="BM153" s="113"/>
      <c r="BN153" s="113"/>
      <c r="BO153" s="113"/>
      <c r="BP153" s="113"/>
      <c r="BQ153" s="113"/>
      <c r="BR153" s="113"/>
      <c r="BS153" s="113"/>
      <c r="BT153" s="113"/>
      <c r="BU153" s="113"/>
      <c r="BV153" s="113"/>
      <c r="BW153" s="113"/>
      <c r="BX153" s="113"/>
      <c r="BY153" s="113"/>
      <c r="BZ153" s="113"/>
      <c r="CA153" s="113"/>
      <c r="CB153" s="113"/>
      <c r="CC153" s="113"/>
      <c r="CD153" s="113"/>
      <c r="CE153" s="113"/>
      <c r="CF153" s="113"/>
      <c r="CG153" s="113"/>
      <c r="CH153" s="113"/>
      <c r="CI153" s="113"/>
      <c r="CJ153" s="113"/>
      <c r="CK153" s="113"/>
      <c r="CL153" s="113"/>
      <c r="CM153" s="113"/>
      <c r="CN153" s="113"/>
      <c r="CO153" s="113"/>
      <c r="CP153" s="113"/>
      <c r="CQ153" s="113"/>
      <c r="CR153" s="113"/>
      <c r="CS153" s="113"/>
      <c r="CT153" s="113"/>
      <c r="CU153" s="113"/>
    </row>
    <row r="154">
      <c r="A154" s="159" t="str">
        <f>IFERROR(__xludf.DUMMYFUNCTION("""COMPUTED_VALUE"""),"D-4")</f>
        <v>D-4</v>
      </c>
      <c r="B154" s="113" t="str">
        <f>IFERROR(__xludf.DUMMYFUNCTION("""COMPUTED_VALUE"""),"Terrence D.")</f>
        <v>Terrence D.</v>
      </c>
      <c r="C154" s="113" t="str">
        <f>IFERROR(__xludf.DUMMYFUNCTION("""COMPUTED_VALUE"""),"Chu")</f>
        <v>Chu</v>
      </c>
      <c r="D154" s="158">
        <f>IFERROR(__xludf.DUMMYFUNCTION("""COMPUTED_VALUE"""),1144.0)</f>
        <v>1144</v>
      </c>
      <c r="E154" s="161">
        <f t="shared" si="1"/>
        <v>5</v>
      </c>
      <c r="F154" s="160">
        <f>COUNTIFS('Scores Import DO NOT EDIT'!C:C, D154,'Scores Import DO NOT EDIT'!M:M,A154)</f>
        <v>4</v>
      </c>
      <c r="G154" s="162">
        <f t="shared" si="2"/>
        <v>0.8</v>
      </c>
      <c r="H154" s="163" t="str">
        <f t="shared" si="3"/>
        <v>D-41144</v>
      </c>
      <c r="I154" s="113"/>
      <c r="J154" s="113"/>
      <c r="K154" s="113"/>
      <c r="L154" s="158"/>
      <c r="M154" s="166" t="s">
        <v>216</v>
      </c>
      <c r="N154" s="113"/>
      <c r="O154" s="113"/>
      <c r="P154" s="113"/>
      <c r="Q154" s="113"/>
      <c r="R154" s="113"/>
      <c r="S154" s="113"/>
      <c r="T154" s="113"/>
      <c r="U154" s="113"/>
      <c r="V154" s="113"/>
      <c r="W154" s="113"/>
      <c r="X154" s="113"/>
      <c r="Y154" s="113"/>
      <c r="Z154" s="113"/>
      <c r="AA154" s="113"/>
      <c r="AB154" s="113"/>
      <c r="AC154" s="113"/>
      <c r="AD154" s="113"/>
      <c r="AE154" s="113"/>
      <c r="AF154" s="113"/>
      <c r="AG154" s="113"/>
      <c r="AH154" s="113"/>
      <c r="AI154" s="113"/>
      <c r="AJ154" s="113"/>
      <c r="AK154" s="113"/>
      <c r="AL154" s="113"/>
      <c r="AM154" s="113"/>
      <c r="AN154" s="113"/>
      <c r="AO154" s="113"/>
      <c r="AP154" s="113"/>
      <c r="AQ154" s="113"/>
      <c r="AR154" s="113"/>
      <c r="AS154" s="113"/>
      <c r="AT154" s="113"/>
      <c r="AU154" s="113"/>
      <c r="AV154" s="113"/>
      <c r="AW154" s="113"/>
      <c r="AX154" s="113"/>
      <c r="AY154" s="113"/>
      <c r="AZ154" s="113"/>
      <c r="BA154" s="113"/>
      <c r="BB154" s="113"/>
      <c r="BC154" s="113"/>
      <c r="BD154" s="113"/>
      <c r="BE154" s="113"/>
      <c r="BF154" s="113"/>
      <c r="BG154" s="113"/>
      <c r="BH154" s="113"/>
      <c r="BI154" s="113"/>
      <c r="BJ154" s="113"/>
      <c r="BK154" s="113"/>
      <c r="BL154" s="113"/>
      <c r="BM154" s="113"/>
      <c r="BN154" s="113"/>
      <c r="BO154" s="113"/>
      <c r="BP154" s="113"/>
      <c r="BQ154" s="113"/>
      <c r="BR154" s="113"/>
      <c r="BS154" s="113"/>
      <c r="BT154" s="113"/>
      <c r="BU154" s="113"/>
      <c r="BV154" s="113"/>
      <c r="BW154" s="113"/>
      <c r="BX154" s="113"/>
      <c r="BY154" s="113"/>
      <c r="BZ154" s="113"/>
      <c r="CA154" s="113"/>
      <c r="CB154" s="113"/>
      <c r="CC154" s="113"/>
      <c r="CD154" s="113"/>
      <c r="CE154" s="113"/>
      <c r="CF154" s="113"/>
      <c r="CG154" s="113"/>
      <c r="CH154" s="113"/>
      <c r="CI154" s="113"/>
      <c r="CJ154" s="113"/>
      <c r="CK154" s="113"/>
      <c r="CL154" s="113"/>
      <c r="CM154" s="113"/>
      <c r="CN154" s="113"/>
      <c r="CO154" s="113"/>
      <c r="CP154" s="113"/>
      <c r="CQ154" s="113"/>
      <c r="CR154" s="113"/>
      <c r="CS154" s="113"/>
      <c r="CT154" s="113"/>
      <c r="CU154" s="113"/>
    </row>
    <row r="155">
      <c r="A155" s="159" t="str">
        <f>IFERROR(__xludf.DUMMYFUNCTION("""COMPUTED_VALUE"""),"D-4")</f>
        <v>D-4</v>
      </c>
      <c r="B155" s="113" t="str">
        <f>IFERROR(__xludf.DUMMYFUNCTION("""COMPUTED_VALUE"""),"Lucy")</f>
        <v>Lucy</v>
      </c>
      <c r="C155" s="113" t="str">
        <f>IFERROR(__xludf.DUMMYFUNCTION("""COMPUTED_VALUE"""),"Campbell")</f>
        <v>Campbell</v>
      </c>
      <c r="D155" s="158">
        <f>IFERROR(__xludf.DUMMYFUNCTION("""COMPUTED_VALUE"""),1036.0)</f>
        <v>1036</v>
      </c>
      <c r="E155" s="161">
        <f t="shared" si="1"/>
        <v>5</v>
      </c>
      <c r="F155" s="160">
        <f>COUNTIFS('Scores Import DO NOT EDIT'!C:C, D155,'Scores Import DO NOT EDIT'!M:M,A155)</f>
        <v>4</v>
      </c>
      <c r="G155" s="162">
        <f t="shared" si="2"/>
        <v>0.8</v>
      </c>
      <c r="H155" s="163" t="str">
        <f t="shared" si="3"/>
        <v>D-41036</v>
      </c>
      <c r="I155" s="113"/>
      <c r="J155" s="113"/>
      <c r="K155" s="113"/>
      <c r="L155" s="158"/>
      <c r="M155" s="166" t="s">
        <v>217</v>
      </c>
      <c r="N155" s="113"/>
      <c r="O155" s="113"/>
      <c r="P155" s="113"/>
      <c r="Q155" s="113"/>
      <c r="R155" s="113"/>
      <c r="S155" s="113"/>
      <c r="T155" s="113"/>
      <c r="U155" s="113"/>
      <c r="V155" s="113"/>
      <c r="W155" s="113"/>
      <c r="X155" s="113"/>
      <c r="Y155" s="113"/>
      <c r="Z155" s="113"/>
      <c r="AA155" s="113"/>
      <c r="AB155" s="113"/>
      <c r="AC155" s="113"/>
      <c r="AD155" s="113"/>
      <c r="AE155" s="113"/>
      <c r="AF155" s="113"/>
      <c r="AG155" s="113"/>
      <c r="AH155" s="113"/>
      <c r="AI155" s="113"/>
      <c r="AJ155" s="113"/>
      <c r="AK155" s="113"/>
      <c r="AL155" s="113"/>
      <c r="AM155" s="113"/>
      <c r="AN155" s="113"/>
      <c r="AO155" s="113"/>
      <c r="AP155" s="113"/>
      <c r="AQ155" s="113"/>
      <c r="AR155" s="113"/>
      <c r="AS155" s="113"/>
      <c r="AT155" s="113"/>
      <c r="AU155" s="113"/>
      <c r="AV155" s="113"/>
      <c r="AW155" s="113"/>
      <c r="AX155" s="113"/>
      <c r="AY155" s="113"/>
      <c r="AZ155" s="113"/>
      <c r="BA155" s="113"/>
      <c r="BB155" s="113"/>
      <c r="BC155" s="113"/>
      <c r="BD155" s="113"/>
      <c r="BE155" s="113"/>
      <c r="BF155" s="113"/>
      <c r="BG155" s="113"/>
      <c r="BH155" s="113"/>
      <c r="BI155" s="113"/>
      <c r="BJ155" s="113"/>
      <c r="BK155" s="113"/>
      <c r="BL155" s="113"/>
      <c r="BM155" s="113"/>
      <c r="BN155" s="113"/>
      <c r="BO155" s="113"/>
      <c r="BP155" s="113"/>
      <c r="BQ155" s="113"/>
      <c r="BR155" s="113"/>
      <c r="BS155" s="113"/>
      <c r="BT155" s="113"/>
      <c r="BU155" s="113"/>
      <c r="BV155" s="113"/>
      <c r="BW155" s="113"/>
      <c r="BX155" s="113"/>
      <c r="BY155" s="113"/>
      <c r="BZ155" s="113"/>
      <c r="CA155" s="113"/>
      <c r="CB155" s="113"/>
      <c r="CC155" s="113"/>
      <c r="CD155" s="113"/>
      <c r="CE155" s="113"/>
      <c r="CF155" s="113"/>
      <c r="CG155" s="113"/>
      <c r="CH155" s="113"/>
      <c r="CI155" s="113"/>
      <c r="CJ155" s="113"/>
      <c r="CK155" s="113"/>
      <c r="CL155" s="113"/>
      <c r="CM155" s="113"/>
      <c r="CN155" s="113"/>
      <c r="CO155" s="113"/>
      <c r="CP155" s="113"/>
      <c r="CQ155" s="113"/>
      <c r="CR155" s="113"/>
      <c r="CS155" s="113"/>
      <c r="CT155" s="113"/>
      <c r="CU155" s="113"/>
    </row>
    <row r="156">
      <c r="A156" s="159" t="str">
        <f>IFERROR(__xludf.DUMMYFUNCTION("""COMPUTED_VALUE"""),"D-5")</f>
        <v>D-5</v>
      </c>
      <c r="B156" s="113" t="str">
        <f>IFERROR(__xludf.DUMMYFUNCTION("""COMPUTED_VALUE"""),"Norah P.")</f>
        <v>Norah P.</v>
      </c>
      <c r="C156" s="113" t="str">
        <f>IFERROR(__xludf.DUMMYFUNCTION("""COMPUTED_VALUE"""),"Shultz")</f>
        <v>Shultz</v>
      </c>
      <c r="D156" s="158">
        <f>IFERROR(__xludf.DUMMYFUNCTION("""COMPUTED_VALUE"""),1235.0)</f>
        <v>1235</v>
      </c>
      <c r="E156" s="161">
        <f t="shared" si="1"/>
        <v>6</v>
      </c>
      <c r="F156" s="160">
        <f>COUNTIFS('Scores Import DO NOT EDIT'!C:C, D156,'Scores Import DO NOT EDIT'!M:M,A156)</f>
        <v>5</v>
      </c>
      <c r="G156" s="162">
        <f t="shared" si="2"/>
        <v>0.8333333333</v>
      </c>
      <c r="H156" s="163" t="str">
        <f t="shared" si="3"/>
        <v>D-51235</v>
      </c>
      <c r="I156" s="113"/>
      <c r="J156" s="113"/>
      <c r="K156" s="113"/>
      <c r="L156" s="158"/>
      <c r="M156" s="166" t="s">
        <v>225</v>
      </c>
      <c r="N156" s="113"/>
      <c r="O156" s="113"/>
      <c r="P156" s="113"/>
      <c r="Q156" s="113"/>
      <c r="R156" s="113"/>
      <c r="S156" s="113"/>
      <c r="T156" s="113"/>
      <c r="U156" s="113"/>
      <c r="V156" s="113"/>
      <c r="W156" s="113"/>
      <c r="X156" s="113"/>
      <c r="Y156" s="113"/>
      <c r="Z156" s="113"/>
      <c r="AA156" s="113"/>
      <c r="AB156" s="113"/>
      <c r="AC156" s="113"/>
      <c r="AD156" s="113"/>
      <c r="AE156" s="113"/>
      <c r="AF156" s="113"/>
      <c r="AG156" s="113"/>
      <c r="AH156" s="113"/>
      <c r="AI156" s="113"/>
      <c r="AJ156" s="113"/>
      <c r="AK156" s="113"/>
      <c r="AL156" s="113"/>
      <c r="AM156" s="113"/>
      <c r="AN156" s="113"/>
      <c r="AO156" s="113"/>
      <c r="AP156" s="113"/>
      <c r="AQ156" s="113"/>
      <c r="AR156" s="113"/>
      <c r="AS156" s="113"/>
      <c r="AT156" s="113"/>
      <c r="AU156" s="113"/>
      <c r="AV156" s="113"/>
      <c r="AW156" s="113"/>
      <c r="AX156" s="113"/>
      <c r="AY156" s="113"/>
      <c r="AZ156" s="113"/>
      <c r="BA156" s="113"/>
      <c r="BB156" s="113"/>
      <c r="BC156" s="113"/>
      <c r="BD156" s="113"/>
      <c r="BE156" s="113"/>
      <c r="BF156" s="113"/>
      <c r="BG156" s="113"/>
      <c r="BH156" s="113"/>
      <c r="BI156" s="113"/>
      <c r="BJ156" s="113"/>
      <c r="BK156" s="113"/>
      <c r="BL156" s="113"/>
      <c r="BM156" s="113"/>
      <c r="BN156" s="113"/>
      <c r="BO156" s="113"/>
      <c r="BP156" s="113"/>
      <c r="BQ156" s="113"/>
      <c r="BR156" s="113"/>
      <c r="BS156" s="113"/>
      <c r="BT156" s="113"/>
      <c r="BU156" s="113"/>
      <c r="BV156" s="113"/>
      <c r="BW156" s="113"/>
      <c r="BX156" s="113"/>
      <c r="BY156" s="113"/>
      <c r="BZ156" s="113"/>
      <c r="CA156" s="113"/>
      <c r="CB156" s="113"/>
      <c r="CC156" s="113"/>
      <c r="CD156" s="113"/>
      <c r="CE156" s="113"/>
      <c r="CF156" s="113"/>
      <c r="CG156" s="113"/>
      <c r="CH156" s="113"/>
      <c r="CI156" s="113"/>
      <c r="CJ156" s="113"/>
      <c r="CK156" s="113"/>
      <c r="CL156" s="113"/>
      <c r="CM156" s="113"/>
      <c r="CN156" s="113"/>
      <c r="CO156" s="113"/>
      <c r="CP156" s="113"/>
      <c r="CQ156" s="113"/>
      <c r="CR156" s="113"/>
      <c r="CS156" s="113"/>
      <c r="CT156" s="113"/>
      <c r="CU156" s="113"/>
    </row>
    <row r="157">
      <c r="A157" s="159" t="str">
        <f>IFERROR(__xludf.DUMMYFUNCTION("""COMPUTED_VALUE"""),"D-5")</f>
        <v>D-5</v>
      </c>
      <c r="B157" s="113" t="str">
        <f>IFERROR(__xludf.DUMMYFUNCTION("""COMPUTED_VALUE"""),"Jenn")</f>
        <v>Jenn</v>
      </c>
      <c r="C157" s="113" t="str">
        <f>IFERROR(__xludf.DUMMYFUNCTION("""COMPUTED_VALUE"""),"Karnopp")</f>
        <v>Karnopp</v>
      </c>
      <c r="D157" s="158">
        <f>IFERROR(__xludf.DUMMYFUNCTION("""COMPUTED_VALUE"""),1031.0)</f>
        <v>1031</v>
      </c>
      <c r="E157" s="161">
        <f t="shared" si="1"/>
        <v>6</v>
      </c>
      <c r="F157" s="160">
        <f>COUNTIFS('Scores Import DO NOT EDIT'!C:C, D157,'Scores Import DO NOT EDIT'!M:M,A157)</f>
        <v>5</v>
      </c>
      <c r="G157" s="162">
        <f t="shared" si="2"/>
        <v>0.8333333333</v>
      </c>
      <c r="H157" s="163" t="str">
        <f t="shared" si="3"/>
        <v>D-51031</v>
      </c>
      <c r="I157" s="113"/>
      <c r="J157" s="113"/>
      <c r="K157" s="113"/>
      <c r="L157" s="158"/>
      <c r="M157" s="166" t="s">
        <v>223</v>
      </c>
      <c r="N157" s="113"/>
      <c r="O157" s="113"/>
      <c r="P157" s="113"/>
      <c r="Q157" s="113"/>
      <c r="R157" s="113"/>
      <c r="S157" s="113"/>
      <c r="T157" s="113"/>
      <c r="U157" s="113"/>
      <c r="V157" s="113"/>
      <c r="W157" s="113"/>
      <c r="X157" s="113"/>
      <c r="Y157" s="113"/>
      <c r="Z157" s="113"/>
      <c r="AA157" s="113"/>
      <c r="AB157" s="113"/>
      <c r="AC157" s="113"/>
      <c r="AD157" s="113"/>
      <c r="AE157" s="113"/>
      <c r="AF157" s="113"/>
      <c r="AG157" s="113"/>
      <c r="AH157" s="113"/>
      <c r="AI157" s="113"/>
      <c r="AJ157" s="113"/>
      <c r="AK157" s="113"/>
      <c r="AL157" s="113"/>
      <c r="AM157" s="113"/>
      <c r="AN157" s="113"/>
      <c r="AO157" s="113"/>
      <c r="AP157" s="113"/>
      <c r="AQ157" s="113"/>
      <c r="AR157" s="113"/>
      <c r="AS157" s="113"/>
      <c r="AT157" s="113"/>
      <c r="AU157" s="113"/>
      <c r="AV157" s="113"/>
      <c r="AW157" s="113"/>
      <c r="AX157" s="113"/>
      <c r="AY157" s="113"/>
      <c r="AZ157" s="113"/>
      <c r="BA157" s="113"/>
      <c r="BB157" s="113"/>
      <c r="BC157" s="113"/>
      <c r="BD157" s="113"/>
      <c r="BE157" s="113"/>
      <c r="BF157" s="113"/>
      <c r="BG157" s="113"/>
      <c r="BH157" s="113"/>
      <c r="BI157" s="113"/>
      <c r="BJ157" s="113"/>
      <c r="BK157" s="113"/>
      <c r="BL157" s="113"/>
      <c r="BM157" s="113"/>
      <c r="BN157" s="113"/>
      <c r="BO157" s="113"/>
      <c r="BP157" s="113"/>
      <c r="BQ157" s="113"/>
      <c r="BR157" s="113"/>
      <c r="BS157" s="113"/>
      <c r="BT157" s="113"/>
      <c r="BU157" s="113"/>
      <c r="BV157" s="113"/>
      <c r="BW157" s="113"/>
      <c r="BX157" s="113"/>
      <c r="BY157" s="113"/>
      <c r="BZ157" s="113"/>
      <c r="CA157" s="113"/>
      <c r="CB157" s="113"/>
      <c r="CC157" s="113"/>
      <c r="CD157" s="113"/>
      <c r="CE157" s="113"/>
      <c r="CF157" s="113"/>
      <c r="CG157" s="113"/>
      <c r="CH157" s="113"/>
      <c r="CI157" s="113"/>
      <c r="CJ157" s="113"/>
      <c r="CK157" s="113"/>
      <c r="CL157" s="113"/>
      <c r="CM157" s="113"/>
      <c r="CN157" s="113"/>
      <c r="CO157" s="113"/>
      <c r="CP157" s="113"/>
      <c r="CQ157" s="113"/>
      <c r="CR157" s="113"/>
      <c r="CS157" s="113"/>
      <c r="CT157" s="113"/>
      <c r="CU157" s="113"/>
    </row>
    <row r="158">
      <c r="A158" s="159" t="str">
        <f>IFERROR(__xludf.DUMMYFUNCTION("""COMPUTED_VALUE"""),"D-5")</f>
        <v>D-5</v>
      </c>
      <c r="B158" s="113" t="str">
        <f>IFERROR(__xludf.DUMMYFUNCTION("""COMPUTED_VALUE"""),"Patricia Sánchez")</f>
        <v>Patricia Sánchez</v>
      </c>
      <c r="C158" s="113" t="str">
        <f>IFERROR(__xludf.DUMMYFUNCTION("""COMPUTED_VALUE"""),"Lizardi")</f>
        <v>Lizardi</v>
      </c>
      <c r="D158" s="158">
        <f>IFERROR(__xludf.DUMMYFUNCTION("""COMPUTED_VALUE"""),1182.0)</f>
        <v>1182</v>
      </c>
      <c r="E158" s="161">
        <f t="shared" si="1"/>
        <v>6</v>
      </c>
      <c r="F158" s="160">
        <f>COUNTIFS('Scores Import DO NOT EDIT'!C:C, D158,'Scores Import DO NOT EDIT'!M:M,A158)</f>
        <v>4</v>
      </c>
      <c r="G158" s="162">
        <f t="shared" si="2"/>
        <v>0.6666666667</v>
      </c>
      <c r="H158" s="163" t="str">
        <f t="shared" si="3"/>
        <v>D-51182</v>
      </c>
      <c r="I158" s="113"/>
      <c r="J158" s="113"/>
      <c r="K158" s="113"/>
      <c r="L158" s="158"/>
      <c r="M158" s="166" t="s">
        <v>224</v>
      </c>
      <c r="N158" s="113"/>
      <c r="O158" s="113"/>
      <c r="P158" s="113"/>
      <c r="Q158" s="113"/>
      <c r="R158" s="113"/>
      <c r="S158" s="113"/>
      <c r="T158" s="113"/>
      <c r="U158" s="113"/>
      <c r="V158" s="113"/>
      <c r="W158" s="113"/>
      <c r="X158" s="113"/>
      <c r="Y158" s="113"/>
      <c r="Z158" s="113"/>
      <c r="AA158" s="113"/>
      <c r="AB158" s="113"/>
      <c r="AC158" s="113"/>
      <c r="AD158" s="113"/>
      <c r="AE158" s="113"/>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c r="BG158" s="113"/>
      <c r="BH158" s="113"/>
      <c r="BI158" s="113"/>
      <c r="BJ158" s="113"/>
      <c r="BK158" s="113"/>
      <c r="BL158" s="113"/>
      <c r="BM158" s="113"/>
      <c r="BN158" s="113"/>
      <c r="BO158" s="113"/>
      <c r="BP158" s="113"/>
      <c r="BQ158" s="113"/>
      <c r="BR158" s="113"/>
      <c r="BS158" s="113"/>
      <c r="BT158" s="113"/>
      <c r="BU158" s="113"/>
      <c r="BV158" s="113"/>
      <c r="BW158" s="113"/>
      <c r="BX158" s="113"/>
      <c r="BY158" s="113"/>
      <c r="BZ158" s="113"/>
      <c r="CA158" s="113"/>
      <c r="CB158" s="113"/>
      <c r="CC158" s="113"/>
      <c r="CD158" s="113"/>
      <c r="CE158" s="113"/>
      <c r="CF158" s="113"/>
      <c r="CG158" s="113"/>
      <c r="CH158" s="113"/>
      <c r="CI158" s="113"/>
      <c r="CJ158" s="113"/>
      <c r="CK158" s="113"/>
      <c r="CL158" s="113"/>
      <c r="CM158" s="113"/>
      <c r="CN158" s="113"/>
      <c r="CO158" s="113"/>
      <c r="CP158" s="113"/>
      <c r="CQ158" s="113"/>
      <c r="CR158" s="113"/>
      <c r="CS158" s="113"/>
      <c r="CT158" s="113"/>
      <c r="CU158" s="113"/>
    </row>
    <row r="159">
      <c r="A159" s="159" t="str">
        <f>IFERROR(__xludf.DUMMYFUNCTION("""COMPUTED_VALUE"""),"D-5")</f>
        <v>D-5</v>
      </c>
      <c r="B159" s="113" t="str">
        <f>IFERROR(__xludf.DUMMYFUNCTION("""COMPUTED_VALUE"""),"Marlene")</f>
        <v>Marlene</v>
      </c>
      <c r="C159" s="113" t="str">
        <f>IFERROR(__xludf.DUMMYFUNCTION("""COMPUTED_VALUE"""),"Ruiz")</f>
        <v>Ruiz</v>
      </c>
      <c r="D159" s="158">
        <f>IFERROR(__xludf.DUMMYFUNCTION("""COMPUTED_VALUE"""),1160.0)</f>
        <v>1160</v>
      </c>
      <c r="E159" s="161">
        <f t="shared" si="1"/>
        <v>6</v>
      </c>
      <c r="F159" s="160">
        <f>COUNTIFS('Scores Import DO NOT EDIT'!C:C, D159,'Scores Import DO NOT EDIT'!M:M,A159)</f>
        <v>5</v>
      </c>
      <c r="G159" s="162">
        <f t="shared" si="2"/>
        <v>0.8333333333</v>
      </c>
      <c r="H159" s="163" t="str">
        <f t="shared" si="3"/>
        <v>D-51160</v>
      </c>
      <c r="I159" s="113"/>
      <c r="J159" s="113"/>
      <c r="K159" s="113"/>
      <c r="L159" s="158"/>
      <c r="M159" s="166" t="s">
        <v>222</v>
      </c>
      <c r="N159" s="113"/>
      <c r="O159" s="113"/>
      <c r="P159" s="113"/>
      <c r="Q159" s="113"/>
      <c r="R159" s="113"/>
      <c r="S159" s="113"/>
      <c r="T159" s="113"/>
      <c r="U159" s="113"/>
      <c r="V159" s="113"/>
      <c r="W159" s="113"/>
      <c r="X159" s="113"/>
      <c r="Y159" s="113"/>
      <c r="Z159" s="113"/>
      <c r="AA159" s="113"/>
      <c r="AB159" s="113"/>
      <c r="AC159" s="113"/>
      <c r="AD159" s="113"/>
      <c r="AE159" s="113"/>
      <c r="AF159" s="113"/>
      <c r="AG159" s="113"/>
      <c r="AH159" s="113"/>
      <c r="AI159" s="113"/>
      <c r="AJ159" s="113"/>
      <c r="AK159" s="113"/>
      <c r="AL159" s="113"/>
      <c r="AM159" s="113"/>
      <c r="AN159" s="113"/>
      <c r="AO159" s="113"/>
      <c r="AP159" s="113"/>
      <c r="AQ159" s="113"/>
      <c r="AR159" s="113"/>
      <c r="AS159" s="113"/>
      <c r="AT159" s="113"/>
      <c r="AU159" s="113"/>
      <c r="AV159" s="113"/>
      <c r="AW159" s="113"/>
      <c r="AX159" s="113"/>
      <c r="AY159" s="113"/>
      <c r="AZ159" s="113"/>
      <c r="BA159" s="113"/>
      <c r="BB159" s="113"/>
      <c r="BC159" s="113"/>
      <c r="BD159" s="113"/>
      <c r="BE159" s="113"/>
      <c r="BF159" s="113"/>
      <c r="BG159" s="113"/>
      <c r="BH159" s="113"/>
      <c r="BI159" s="113"/>
      <c r="BJ159" s="113"/>
      <c r="BK159" s="113"/>
      <c r="BL159" s="113"/>
      <c r="BM159" s="113"/>
      <c r="BN159" s="113"/>
      <c r="BO159" s="113"/>
      <c r="BP159" s="113"/>
      <c r="BQ159" s="113"/>
      <c r="BR159" s="113"/>
      <c r="BS159" s="113"/>
      <c r="BT159" s="113"/>
      <c r="BU159" s="113"/>
      <c r="BV159" s="113"/>
      <c r="BW159" s="113"/>
      <c r="BX159" s="113"/>
      <c r="BY159" s="113"/>
      <c r="BZ159" s="113"/>
      <c r="CA159" s="113"/>
      <c r="CB159" s="113"/>
      <c r="CC159" s="113"/>
      <c r="CD159" s="113"/>
      <c r="CE159" s="113"/>
      <c r="CF159" s="113"/>
      <c r="CG159" s="113"/>
      <c r="CH159" s="113"/>
      <c r="CI159" s="113"/>
      <c r="CJ159" s="113"/>
      <c r="CK159" s="113"/>
      <c r="CL159" s="113"/>
      <c r="CM159" s="113"/>
      <c r="CN159" s="113"/>
      <c r="CO159" s="113"/>
      <c r="CP159" s="113"/>
      <c r="CQ159" s="113"/>
      <c r="CR159" s="113"/>
      <c r="CS159" s="113"/>
      <c r="CT159" s="113"/>
      <c r="CU159" s="113"/>
    </row>
    <row r="160">
      <c r="A160" s="159" t="str">
        <f>IFERROR(__xludf.DUMMYFUNCTION("""COMPUTED_VALUE"""),"D-6")</f>
        <v>D-6</v>
      </c>
      <c r="B160" s="113" t="str">
        <f>IFERROR(__xludf.DUMMYFUNCTION("""COMPUTED_VALUE"""),"Erika")</f>
        <v>Erika</v>
      </c>
      <c r="C160" s="113" t="str">
        <f>IFERROR(__xludf.DUMMYFUNCTION("""COMPUTED_VALUE"""),"Rodríguez")</f>
        <v>Rodríguez</v>
      </c>
      <c r="D160" s="158">
        <f>IFERROR(__xludf.DUMMYFUNCTION("""COMPUTED_VALUE"""),1177.0)</f>
        <v>1177</v>
      </c>
      <c r="E160" s="161">
        <f t="shared" si="1"/>
        <v>6</v>
      </c>
      <c r="F160" s="160">
        <f>COUNTIFS('Scores Import DO NOT EDIT'!C:C, D160,'Scores Import DO NOT EDIT'!M:M,A160)</f>
        <v>5</v>
      </c>
      <c r="G160" s="162">
        <f t="shared" si="2"/>
        <v>0.8333333333</v>
      </c>
      <c r="H160" s="163" t="str">
        <f t="shared" si="3"/>
        <v>D-61177</v>
      </c>
      <c r="I160" s="113"/>
      <c r="J160" s="113"/>
      <c r="K160" s="113"/>
      <c r="L160" s="158"/>
      <c r="M160" s="166" t="s">
        <v>220</v>
      </c>
      <c r="N160" s="113"/>
      <c r="O160" s="113"/>
      <c r="P160" s="113"/>
      <c r="Q160" s="113"/>
      <c r="R160" s="113"/>
      <c r="S160" s="113"/>
      <c r="T160" s="113"/>
      <c r="U160" s="113"/>
      <c r="V160" s="113"/>
      <c r="W160" s="113"/>
      <c r="X160" s="113"/>
      <c r="Y160" s="113"/>
      <c r="Z160" s="113"/>
      <c r="AA160" s="113"/>
      <c r="AB160" s="113"/>
      <c r="AC160" s="113"/>
      <c r="AD160" s="113"/>
      <c r="AE160" s="113"/>
      <c r="AF160" s="113"/>
      <c r="AG160" s="113"/>
      <c r="AH160" s="113"/>
      <c r="AI160" s="113"/>
      <c r="AJ160" s="113"/>
      <c r="AK160" s="113"/>
      <c r="AL160" s="113"/>
      <c r="AM160" s="113"/>
      <c r="AN160" s="113"/>
      <c r="AO160" s="113"/>
      <c r="AP160" s="113"/>
      <c r="AQ160" s="113"/>
      <c r="AR160" s="113"/>
      <c r="AS160" s="113"/>
      <c r="AT160" s="113"/>
      <c r="AU160" s="113"/>
      <c r="AV160" s="113"/>
      <c r="AW160" s="113"/>
      <c r="AX160" s="113"/>
      <c r="AY160" s="113"/>
      <c r="AZ160" s="113"/>
      <c r="BA160" s="113"/>
      <c r="BB160" s="113"/>
      <c r="BC160" s="113"/>
      <c r="BD160" s="113"/>
      <c r="BE160" s="113"/>
      <c r="BF160" s="113"/>
      <c r="BG160" s="113"/>
      <c r="BH160" s="113"/>
      <c r="BI160" s="113"/>
      <c r="BJ160" s="113"/>
      <c r="BK160" s="113"/>
      <c r="BL160" s="113"/>
      <c r="BM160" s="113"/>
      <c r="BN160" s="113"/>
      <c r="BO160" s="113"/>
      <c r="BP160" s="113"/>
      <c r="BQ160" s="113"/>
      <c r="BR160" s="113"/>
      <c r="BS160" s="113"/>
      <c r="BT160" s="113"/>
      <c r="BU160" s="113"/>
      <c r="BV160" s="113"/>
      <c r="BW160" s="113"/>
      <c r="BX160" s="113"/>
      <c r="BY160" s="113"/>
      <c r="BZ160" s="113"/>
      <c r="CA160" s="113"/>
      <c r="CB160" s="113"/>
      <c r="CC160" s="113"/>
      <c r="CD160" s="113"/>
      <c r="CE160" s="113"/>
      <c r="CF160" s="113"/>
      <c r="CG160" s="113"/>
      <c r="CH160" s="113"/>
      <c r="CI160" s="113"/>
      <c r="CJ160" s="113"/>
      <c r="CK160" s="113"/>
      <c r="CL160" s="113"/>
      <c r="CM160" s="113"/>
      <c r="CN160" s="113"/>
      <c r="CO160" s="113"/>
      <c r="CP160" s="113"/>
      <c r="CQ160" s="113"/>
      <c r="CR160" s="113"/>
      <c r="CS160" s="113"/>
      <c r="CT160" s="113"/>
      <c r="CU160" s="113"/>
    </row>
    <row r="161">
      <c r="A161" s="159" t="str">
        <f>IFERROR(__xludf.DUMMYFUNCTION("""COMPUTED_VALUE"""),"D-6")</f>
        <v>D-6</v>
      </c>
      <c r="B161" s="113" t="str">
        <f>IFERROR(__xludf.DUMMYFUNCTION("""COMPUTED_VALUE"""),"Gur")</f>
        <v>Gur</v>
      </c>
      <c r="C161" s="113" t="str">
        <f>IFERROR(__xludf.DUMMYFUNCTION("""COMPUTED_VALUE"""),"Windmiller")</f>
        <v>Windmiller</v>
      </c>
      <c r="D161" s="158">
        <f>IFERROR(__xludf.DUMMYFUNCTION("""COMPUTED_VALUE"""),1217.0)</f>
        <v>1217</v>
      </c>
      <c r="E161" s="161">
        <f t="shared" si="1"/>
        <v>6</v>
      </c>
      <c r="F161" s="160">
        <f>COUNTIFS('Scores Import DO NOT EDIT'!C:C, D161,'Scores Import DO NOT EDIT'!M:M,A161)</f>
        <v>5</v>
      </c>
      <c r="G161" s="162">
        <f t="shared" si="2"/>
        <v>0.8333333333</v>
      </c>
      <c r="H161" s="163" t="str">
        <f t="shared" si="3"/>
        <v>D-61217</v>
      </c>
      <c r="I161" s="113"/>
      <c r="J161" s="113"/>
      <c r="K161" s="113"/>
      <c r="L161" s="158"/>
      <c r="M161" s="166" t="s">
        <v>230</v>
      </c>
      <c r="N161" s="113"/>
      <c r="O161" s="113"/>
      <c r="P161" s="113"/>
      <c r="Q161" s="113"/>
      <c r="R161" s="113"/>
      <c r="S161" s="113"/>
      <c r="T161" s="113"/>
      <c r="U161" s="113"/>
      <c r="V161" s="113"/>
      <c r="W161" s="113"/>
      <c r="X161" s="113"/>
      <c r="Y161" s="113"/>
      <c r="Z161" s="113"/>
      <c r="AA161" s="113"/>
      <c r="AB161" s="113"/>
      <c r="AC161" s="113"/>
      <c r="AD161" s="113"/>
      <c r="AE161" s="113"/>
      <c r="AF161" s="113"/>
      <c r="AG161" s="113"/>
      <c r="AH161" s="113"/>
      <c r="AI161" s="113"/>
      <c r="AJ161" s="113"/>
      <c r="AK161" s="113"/>
      <c r="AL161" s="113"/>
      <c r="AM161" s="113"/>
      <c r="AN161" s="113"/>
      <c r="AO161" s="113"/>
      <c r="AP161" s="113"/>
      <c r="AQ161" s="113"/>
      <c r="AR161" s="113"/>
      <c r="AS161" s="113"/>
      <c r="AT161" s="113"/>
      <c r="AU161" s="113"/>
      <c r="AV161" s="113"/>
      <c r="AW161" s="113"/>
      <c r="AX161" s="113"/>
      <c r="AY161" s="113"/>
      <c r="AZ161" s="113"/>
      <c r="BA161" s="113"/>
      <c r="BB161" s="113"/>
      <c r="BC161" s="113"/>
      <c r="BD161" s="113"/>
      <c r="BE161" s="113"/>
      <c r="BF161" s="113"/>
      <c r="BG161" s="113"/>
      <c r="BH161" s="113"/>
      <c r="BI161" s="113"/>
      <c r="BJ161" s="113"/>
      <c r="BK161" s="113"/>
      <c r="BL161" s="113"/>
      <c r="BM161" s="113"/>
      <c r="BN161" s="113"/>
      <c r="BO161" s="113"/>
      <c r="BP161" s="113"/>
      <c r="BQ161" s="113"/>
      <c r="BR161" s="113"/>
      <c r="BS161" s="113"/>
      <c r="BT161" s="113"/>
      <c r="BU161" s="113"/>
      <c r="BV161" s="113"/>
      <c r="BW161" s="113"/>
      <c r="BX161" s="113"/>
      <c r="BY161" s="113"/>
      <c r="BZ161" s="113"/>
      <c r="CA161" s="113"/>
      <c r="CB161" s="113"/>
      <c r="CC161" s="113"/>
      <c r="CD161" s="113"/>
      <c r="CE161" s="113"/>
      <c r="CF161" s="113"/>
      <c r="CG161" s="113"/>
      <c r="CH161" s="113"/>
      <c r="CI161" s="113"/>
      <c r="CJ161" s="113"/>
      <c r="CK161" s="113"/>
      <c r="CL161" s="113"/>
      <c r="CM161" s="113"/>
      <c r="CN161" s="113"/>
      <c r="CO161" s="113"/>
      <c r="CP161" s="113"/>
      <c r="CQ161" s="113"/>
      <c r="CR161" s="113"/>
      <c r="CS161" s="113"/>
      <c r="CT161" s="113"/>
      <c r="CU161" s="113"/>
    </row>
    <row r="162">
      <c r="A162" s="159" t="str">
        <f>IFERROR(__xludf.DUMMYFUNCTION("""COMPUTED_VALUE"""),"D-6")</f>
        <v>D-6</v>
      </c>
      <c r="B162" s="113" t="str">
        <f>IFERROR(__xludf.DUMMYFUNCTION("""COMPUTED_VALUE"""),"Suzanne")</f>
        <v>Suzanne</v>
      </c>
      <c r="C162" s="113" t="str">
        <f>IFERROR(__xludf.DUMMYFUNCTION("""COMPUTED_VALUE"""),"Maguire")</f>
        <v>Maguire</v>
      </c>
      <c r="D162" s="158">
        <f>IFERROR(__xludf.DUMMYFUNCTION("""COMPUTED_VALUE"""),1090.0)</f>
        <v>1090</v>
      </c>
      <c r="E162" s="161">
        <f t="shared" si="1"/>
        <v>6</v>
      </c>
      <c r="F162" s="160">
        <f>COUNTIFS('Scores Import DO NOT EDIT'!C:C, D162,'Scores Import DO NOT EDIT'!M:M,A162)</f>
        <v>0</v>
      </c>
      <c r="G162" s="162">
        <f t="shared" si="2"/>
        <v>0</v>
      </c>
      <c r="H162" s="163" t="str">
        <f t="shared" si="3"/>
        <v>D-61090</v>
      </c>
      <c r="I162" s="113"/>
      <c r="J162" s="113"/>
      <c r="K162" s="113"/>
      <c r="L162" s="158"/>
      <c r="M162" s="166" t="s">
        <v>228</v>
      </c>
      <c r="N162" s="113"/>
      <c r="O162" s="113"/>
      <c r="P162" s="113"/>
      <c r="Q162" s="113"/>
      <c r="R162" s="113"/>
      <c r="S162" s="113"/>
      <c r="T162" s="113"/>
      <c r="U162" s="113"/>
      <c r="V162" s="113"/>
      <c r="W162" s="113"/>
      <c r="X162" s="113"/>
      <c r="Y162" s="113"/>
      <c r="Z162" s="113"/>
      <c r="AA162" s="113"/>
      <c r="AB162" s="113"/>
      <c r="AC162" s="113"/>
      <c r="AD162" s="113"/>
      <c r="AE162" s="113"/>
      <c r="AF162" s="113"/>
      <c r="AG162" s="113"/>
      <c r="AH162" s="113"/>
      <c r="AI162" s="113"/>
      <c r="AJ162" s="113"/>
      <c r="AK162" s="113"/>
      <c r="AL162" s="113"/>
      <c r="AM162" s="113"/>
      <c r="AN162" s="113"/>
      <c r="AO162" s="113"/>
      <c r="AP162" s="113"/>
      <c r="AQ162" s="113"/>
      <c r="AR162" s="113"/>
      <c r="AS162" s="113"/>
      <c r="AT162" s="113"/>
      <c r="AU162" s="113"/>
      <c r="AV162" s="113"/>
      <c r="AW162" s="113"/>
      <c r="AX162" s="113"/>
      <c r="AY162" s="113"/>
      <c r="AZ162" s="113"/>
      <c r="BA162" s="113"/>
      <c r="BB162" s="113"/>
      <c r="BC162" s="113"/>
      <c r="BD162" s="113"/>
      <c r="BE162" s="113"/>
      <c r="BF162" s="113"/>
      <c r="BG162" s="113"/>
      <c r="BH162" s="113"/>
      <c r="BI162" s="113"/>
      <c r="BJ162" s="113"/>
      <c r="BK162" s="113"/>
      <c r="BL162" s="113"/>
      <c r="BM162" s="113"/>
      <c r="BN162" s="113"/>
      <c r="BO162" s="113"/>
      <c r="BP162" s="113"/>
      <c r="BQ162" s="113"/>
      <c r="BR162" s="113"/>
      <c r="BS162" s="113"/>
      <c r="BT162" s="113"/>
      <c r="BU162" s="113"/>
      <c r="BV162" s="113"/>
      <c r="BW162" s="113"/>
      <c r="BX162" s="113"/>
      <c r="BY162" s="113"/>
      <c r="BZ162" s="113"/>
      <c r="CA162" s="113"/>
      <c r="CB162" s="113"/>
      <c r="CC162" s="113"/>
      <c r="CD162" s="113"/>
      <c r="CE162" s="113"/>
      <c r="CF162" s="113"/>
      <c r="CG162" s="113"/>
      <c r="CH162" s="113"/>
      <c r="CI162" s="113"/>
      <c r="CJ162" s="113"/>
      <c r="CK162" s="113"/>
      <c r="CL162" s="113"/>
      <c r="CM162" s="113"/>
      <c r="CN162" s="113"/>
      <c r="CO162" s="113"/>
      <c r="CP162" s="113"/>
      <c r="CQ162" s="113"/>
      <c r="CR162" s="113"/>
      <c r="CS162" s="113"/>
      <c r="CT162" s="113"/>
      <c r="CU162" s="113"/>
    </row>
    <row r="163">
      <c r="A163" s="159" t="str">
        <f>IFERROR(__xludf.DUMMYFUNCTION("""COMPUTED_VALUE"""),"D-6")</f>
        <v>D-6</v>
      </c>
      <c r="B163" s="113" t="str">
        <f>IFERROR(__xludf.DUMMYFUNCTION("""COMPUTED_VALUE"""),"Kishauna")</f>
        <v>Kishauna</v>
      </c>
      <c r="C163" s="113" t="str">
        <f>IFERROR(__xludf.DUMMYFUNCTION("""COMPUTED_VALUE"""),"Soljour")</f>
        <v>Soljour</v>
      </c>
      <c r="D163" s="158">
        <f>IFERROR(__xludf.DUMMYFUNCTION("""COMPUTED_VALUE"""),1106.0)</f>
        <v>1106</v>
      </c>
      <c r="E163" s="161">
        <f t="shared" si="1"/>
        <v>6</v>
      </c>
      <c r="F163" s="160">
        <f>COUNTIFS('Scores Import DO NOT EDIT'!C:C, D163,'Scores Import DO NOT EDIT'!M:M,A163)</f>
        <v>5</v>
      </c>
      <c r="G163" s="162">
        <f t="shared" si="2"/>
        <v>0.8333333333</v>
      </c>
      <c r="H163" s="163" t="str">
        <f t="shared" si="3"/>
        <v>D-61106</v>
      </c>
      <c r="I163" s="113"/>
      <c r="J163" s="113"/>
      <c r="K163" s="113"/>
      <c r="L163" s="158"/>
      <c r="M163" s="166" t="s">
        <v>229</v>
      </c>
      <c r="N163" s="113"/>
      <c r="O163" s="113"/>
      <c r="P163" s="113"/>
      <c r="Q163" s="113"/>
      <c r="R163" s="113"/>
      <c r="S163" s="113"/>
      <c r="T163" s="113"/>
      <c r="U163" s="113"/>
      <c r="V163" s="113"/>
      <c r="W163" s="113"/>
      <c r="X163" s="113"/>
      <c r="Y163" s="113"/>
      <c r="Z163" s="113"/>
      <c r="AA163" s="113"/>
      <c r="AB163" s="113"/>
      <c r="AC163" s="113"/>
      <c r="AD163" s="113"/>
      <c r="AE163" s="113"/>
      <c r="AF163" s="113"/>
      <c r="AG163" s="113"/>
      <c r="AH163" s="113"/>
      <c r="AI163" s="113"/>
      <c r="AJ163" s="113"/>
      <c r="AK163" s="113"/>
      <c r="AL163" s="113"/>
      <c r="AM163" s="113"/>
      <c r="AN163" s="113"/>
      <c r="AO163" s="113"/>
      <c r="AP163" s="113"/>
      <c r="AQ163" s="113"/>
      <c r="AR163" s="113"/>
      <c r="AS163" s="113"/>
      <c r="AT163" s="113"/>
      <c r="AU163" s="113"/>
      <c r="AV163" s="113"/>
      <c r="AW163" s="113"/>
      <c r="AX163" s="113"/>
      <c r="AY163" s="113"/>
      <c r="AZ163" s="113"/>
      <c r="BA163" s="113"/>
      <c r="BB163" s="113"/>
      <c r="BC163" s="113"/>
      <c r="BD163" s="113"/>
      <c r="BE163" s="113"/>
      <c r="BF163" s="113"/>
      <c r="BG163" s="113"/>
      <c r="BH163" s="113"/>
      <c r="BI163" s="113"/>
      <c r="BJ163" s="113"/>
      <c r="BK163" s="113"/>
      <c r="BL163" s="113"/>
      <c r="BM163" s="113"/>
      <c r="BN163" s="113"/>
      <c r="BO163" s="113"/>
      <c r="BP163" s="113"/>
      <c r="BQ163" s="113"/>
      <c r="BR163" s="113"/>
      <c r="BS163" s="113"/>
      <c r="BT163" s="113"/>
      <c r="BU163" s="113"/>
      <c r="BV163" s="113"/>
      <c r="BW163" s="113"/>
      <c r="BX163" s="113"/>
      <c r="BY163" s="113"/>
      <c r="BZ163" s="113"/>
      <c r="CA163" s="113"/>
      <c r="CB163" s="113"/>
      <c r="CC163" s="113"/>
      <c r="CD163" s="113"/>
      <c r="CE163" s="113"/>
      <c r="CF163" s="113"/>
      <c r="CG163" s="113"/>
      <c r="CH163" s="113"/>
      <c r="CI163" s="113"/>
      <c r="CJ163" s="113"/>
      <c r="CK163" s="113"/>
      <c r="CL163" s="113"/>
      <c r="CM163" s="113"/>
      <c r="CN163" s="113"/>
      <c r="CO163" s="113"/>
      <c r="CP163" s="113"/>
      <c r="CQ163" s="113"/>
      <c r="CR163" s="113"/>
      <c r="CS163" s="113"/>
      <c r="CT163" s="113"/>
      <c r="CU163" s="113"/>
    </row>
    <row r="164">
      <c r="A164" s="159" t="str">
        <f>IFERROR(__xludf.DUMMYFUNCTION("""COMPUTED_VALUE"""),"D-6")</f>
        <v>D-6</v>
      </c>
      <c r="B164" s="113" t="str">
        <f>IFERROR(__xludf.DUMMYFUNCTION("""COMPUTED_VALUE"""),"Bill")</f>
        <v>Bill</v>
      </c>
      <c r="C164" s="113" t="str">
        <f>IFERROR(__xludf.DUMMYFUNCTION("""COMPUTED_VALUE"""),"Aaron")</f>
        <v>Aaron</v>
      </c>
      <c r="D164" s="158">
        <f>IFERROR(__xludf.DUMMYFUNCTION("""COMPUTED_VALUE"""),1060.0)</f>
        <v>1060</v>
      </c>
      <c r="E164" s="161">
        <f t="shared" si="1"/>
        <v>6</v>
      </c>
      <c r="F164" s="160">
        <f>COUNTIFS('Scores Import DO NOT EDIT'!C:C, D164,'Scores Import DO NOT EDIT'!M:M,A164)</f>
        <v>6</v>
      </c>
      <c r="G164" s="162">
        <f t="shared" si="2"/>
        <v>1</v>
      </c>
      <c r="H164" s="163" t="str">
        <f t="shared" si="3"/>
        <v>D-61060</v>
      </c>
      <c r="I164" s="113"/>
      <c r="J164" s="113"/>
      <c r="K164" s="113"/>
      <c r="L164" s="158"/>
      <c r="M164" s="166" t="s">
        <v>231</v>
      </c>
      <c r="N164" s="113"/>
      <c r="O164" s="113"/>
      <c r="P164" s="113"/>
      <c r="Q164" s="113"/>
      <c r="R164" s="113"/>
      <c r="S164" s="113"/>
      <c r="T164" s="113"/>
      <c r="U164" s="113"/>
      <c r="V164" s="113"/>
      <c r="W164" s="113"/>
      <c r="X164" s="113"/>
      <c r="Y164" s="113"/>
      <c r="Z164" s="113"/>
      <c r="AA164" s="113"/>
      <c r="AB164" s="113"/>
      <c r="AC164" s="113"/>
      <c r="AD164" s="113"/>
      <c r="AE164" s="113"/>
      <c r="AF164" s="113"/>
      <c r="AG164" s="113"/>
      <c r="AH164" s="113"/>
      <c r="AI164" s="113"/>
      <c r="AJ164" s="113"/>
      <c r="AK164" s="113"/>
      <c r="AL164" s="113"/>
      <c r="AM164" s="113"/>
      <c r="AN164" s="113"/>
      <c r="AO164" s="113"/>
      <c r="AP164" s="113"/>
      <c r="AQ164" s="113"/>
      <c r="AR164" s="113"/>
      <c r="AS164" s="113"/>
      <c r="AT164" s="113"/>
      <c r="AU164" s="113"/>
      <c r="AV164" s="113"/>
      <c r="AW164" s="113"/>
      <c r="AX164" s="113"/>
      <c r="AY164" s="113"/>
      <c r="AZ164" s="113"/>
      <c r="BA164" s="113"/>
      <c r="BB164" s="113"/>
      <c r="BC164" s="113"/>
      <c r="BD164" s="113"/>
      <c r="BE164" s="113"/>
      <c r="BF164" s="113"/>
      <c r="BG164" s="113"/>
      <c r="BH164" s="113"/>
      <c r="BI164" s="113"/>
      <c r="BJ164" s="113"/>
      <c r="BK164" s="113"/>
      <c r="BL164" s="113"/>
      <c r="BM164" s="113"/>
      <c r="BN164" s="113"/>
      <c r="BO164" s="113"/>
      <c r="BP164" s="113"/>
      <c r="BQ164" s="113"/>
      <c r="BR164" s="113"/>
      <c r="BS164" s="113"/>
      <c r="BT164" s="113"/>
      <c r="BU164" s="113"/>
      <c r="BV164" s="113"/>
      <c r="BW164" s="113"/>
      <c r="BX164" s="113"/>
      <c r="BY164" s="113"/>
      <c r="BZ164" s="113"/>
      <c r="CA164" s="113"/>
      <c r="CB164" s="113"/>
      <c r="CC164" s="113"/>
      <c r="CD164" s="113"/>
      <c r="CE164" s="113"/>
      <c r="CF164" s="113"/>
      <c r="CG164" s="113"/>
      <c r="CH164" s="113"/>
      <c r="CI164" s="113"/>
      <c r="CJ164" s="113"/>
      <c r="CK164" s="113"/>
      <c r="CL164" s="113"/>
      <c r="CM164" s="113"/>
      <c r="CN164" s="113"/>
      <c r="CO164" s="113"/>
      <c r="CP164" s="113"/>
      <c r="CQ164" s="113"/>
      <c r="CR164" s="113"/>
      <c r="CS164" s="113"/>
      <c r="CT164" s="113"/>
      <c r="CU164" s="113"/>
    </row>
    <row r="165">
      <c r="A165" s="159" t="str">
        <f>IFERROR(__xludf.DUMMYFUNCTION("""COMPUTED_VALUE"""),"D-7")</f>
        <v>D-7</v>
      </c>
      <c r="B165" s="113" t="str">
        <f>IFERROR(__xludf.DUMMYFUNCTION("""COMPUTED_VALUE"""),"Jess")</f>
        <v>Jess</v>
      </c>
      <c r="C165" s="113" t="str">
        <f>IFERROR(__xludf.DUMMYFUNCTION("""COMPUTED_VALUE"""),"Whatcott")</f>
        <v>Whatcott</v>
      </c>
      <c r="D165" s="158">
        <f>IFERROR(__xludf.DUMMYFUNCTION("""COMPUTED_VALUE"""),1093.0)</f>
        <v>1093</v>
      </c>
      <c r="E165" s="161">
        <f t="shared" si="1"/>
        <v>4</v>
      </c>
      <c r="F165" s="160">
        <f>COUNTIFS('Scores Import DO NOT EDIT'!C:C, D165,'Scores Import DO NOT EDIT'!M:M,A165)</f>
        <v>2</v>
      </c>
      <c r="G165" s="162">
        <f t="shared" si="2"/>
        <v>0.5</v>
      </c>
      <c r="H165" s="163" t="str">
        <f t="shared" si="3"/>
        <v>D-71093</v>
      </c>
      <c r="I165" s="113"/>
      <c r="J165" s="113"/>
      <c r="K165" s="113"/>
      <c r="L165" s="158"/>
      <c r="M165" s="166" t="s">
        <v>226</v>
      </c>
      <c r="N165" s="113"/>
      <c r="O165" s="113"/>
      <c r="P165" s="113"/>
      <c r="Q165" s="113"/>
      <c r="R165" s="113"/>
      <c r="S165" s="113"/>
      <c r="T165" s="113"/>
      <c r="U165" s="113"/>
      <c r="V165" s="113"/>
      <c r="W165" s="113"/>
      <c r="X165" s="113"/>
      <c r="Y165" s="113"/>
      <c r="Z165" s="113"/>
      <c r="AA165" s="113"/>
      <c r="AB165" s="113"/>
      <c r="AC165" s="113"/>
      <c r="AD165" s="113"/>
      <c r="AE165" s="113"/>
      <c r="AF165" s="113"/>
      <c r="AG165" s="113"/>
      <c r="AH165" s="113"/>
      <c r="AI165" s="113"/>
      <c r="AJ165" s="113"/>
      <c r="AK165" s="113"/>
      <c r="AL165" s="113"/>
      <c r="AM165" s="113"/>
      <c r="AN165" s="113"/>
      <c r="AO165" s="113"/>
      <c r="AP165" s="113"/>
      <c r="AQ165" s="113"/>
      <c r="AR165" s="113"/>
      <c r="AS165" s="113"/>
      <c r="AT165" s="113"/>
      <c r="AU165" s="113"/>
      <c r="AV165" s="113"/>
      <c r="AW165" s="113"/>
      <c r="AX165" s="113"/>
      <c r="AY165" s="113"/>
      <c r="AZ165" s="113"/>
      <c r="BA165" s="113"/>
      <c r="BB165" s="113"/>
      <c r="BC165" s="113"/>
      <c r="BD165" s="113"/>
      <c r="BE165" s="113"/>
      <c r="BF165" s="113"/>
      <c r="BG165" s="113"/>
      <c r="BH165" s="113"/>
      <c r="BI165" s="113"/>
      <c r="BJ165" s="113"/>
      <c r="BK165" s="113"/>
      <c r="BL165" s="113"/>
      <c r="BM165" s="113"/>
      <c r="BN165" s="113"/>
      <c r="BO165" s="113"/>
      <c r="BP165" s="113"/>
      <c r="BQ165" s="113"/>
      <c r="BR165" s="113"/>
      <c r="BS165" s="113"/>
      <c r="BT165" s="113"/>
      <c r="BU165" s="113"/>
      <c r="BV165" s="113"/>
      <c r="BW165" s="113"/>
      <c r="BX165" s="113"/>
      <c r="BY165" s="113"/>
      <c r="BZ165" s="113"/>
      <c r="CA165" s="113"/>
      <c r="CB165" s="113"/>
      <c r="CC165" s="113"/>
      <c r="CD165" s="113"/>
      <c r="CE165" s="113"/>
      <c r="CF165" s="113"/>
      <c r="CG165" s="113"/>
      <c r="CH165" s="113"/>
      <c r="CI165" s="113"/>
      <c r="CJ165" s="113"/>
      <c r="CK165" s="113"/>
      <c r="CL165" s="113"/>
      <c r="CM165" s="113"/>
      <c r="CN165" s="113"/>
      <c r="CO165" s="113"/>
      <c r="CP165" s="113"/>
      <c r="CQ165" s="113"/>
      <c r="CR165" s="113"/>
      <c r="CS165" s="113"/>
      <c r="CT165" s="113"/>
      <c r="CU165" s="113"/>
    </row>
    <row r="166">
      <c r="A166" s="159" t="str">
        <f>IFERROR(__xludf.DUMMYFUNCTION("""COMPUTED_VALUE"""),"D-7")</f>
        <v>D-7</v>
      </c>
      <c r="B166" s="113" t="str">
        <f>IFERROR(__xludf.DUMMYFUNCTION("""COMPUTED_VALUE"""),"Eve")</f>
        <v>Eve</v>
      </c>
      <c r="C166" s="113" t="str">
        <f>IFERROR(__xludf.DUMMYFUNCTION("""COMPUTED_VALUE"""),"Kornfeld")</f>
        <v>Kornfeld</v>
      </c>
      <c r="D166" s="158">
        <f>IFERROR(__xludf.DUMMYFUNCTION("""COMPUTED_VALUE"""),1044.0)</f>
        <v>1044</v>
      </c>
      <c r="E166" s="161">
        <f t="shared" si="1"/>
        <v>4</v>
      </c>
      <c r="F166" s="160">
        <f>COUNTIFS('Scores Import DO NOT EDIT'!C:C, D166,'Scores Import DO NOT EDIT'!M:M,A166)</f>
        <v>0</v>
      </c>
      <c r="G166" s="162">
        <f t="shared" si="2"/>
        <v>0</v>
      </c>
      <c r="H166" s="163" t="str">
        <f t="shared" si="3"/>
        <v>D-71044</v>
      </c>
      <c r="I166" s="113"/>
      <c r="J166" s="113"/>
      <c r="K166" s="113"/>
      <c r="L166" s="158"/>
      <c r="M166" s="166" t="s">
        <v>227</v>
      </c>
      <c r="N166" s="113"/>
      <c r="O166" s="113"/>
      <c r="P166" s="113"/>
      <c r="Q166" s="113"/>
      <c r="R166" s="113"/>
      <c r="S166" s="113"/>
      <c r="T166" s="113"/>
      <c r="U166" s="113"/>
      <c r="V166" s="113"/>
      <c r="W166" s="113"/>
      <c r="X166" s="113"/>
      <c r="Y166" s="113"/>
      <c r="Z166" s="113"/>
      <c r="AA166" s="113"/>
      <c r="AB166" s="113"/>
      <c r="AC166" s="113"/>
      <c r="AD166" s="113"/>
      <c r="AE166" s="113"/>
      <c r="AF166" s="113"/>
      <c r="AG166" s="113"/>
      <c r="AH166" s="113"/>
      <c r="AI166" s="113"/>
      <c r="AJ166" s="113"/>
      <c r="AK166" s="113"/>
      <c r="AL166" s="113"/>
      <c r="AM166" s="113"/>
      <c r="AN166" s="113"/>
      <c r="AO166" s="113"/>
      <c r="AP166" s="113"/>
      <c r="AQ166" s="113"/>
      <c r="AR166" s="113"/>
      <c r="AS166" s="113"/>
      <c r="AT166" s="113"/>
      <c r="AU166" s="113"/>
      <c r="AV166" s="113"/>
      <c r="AW166" s="113"/>
      <c r="AX166" s="113"/>
      <c r="AY166" s="113"/>
      <c r="AZ166" s="113"/>
      <c r="BA166" s="113"/>
      <c r="BB166" s="113"/>
      <c r="BC166" s="113"/>
      <c r="BD166" s="113"/>
      <c r="BE166" s="113"/>
      <c r="BF166" s="113"/>
      <c r="BG166" s="113"/>
      <c r="BH166" s="113"/>
      <c r="BI166" s="113"/>
      <c r="BJ166" s="113"/>
      <c r="BK166" s="113"/>
      <c r="BL166" s="113"/>
      <c r="BM166" s="113"/>
      <c r="BN166" s="113"/>
      <c r="BO166" s="113"/>
      <c r="BP166" s="113"/>
      <c r="BQ166" s="113"/>
      <c r="BR166" s="113"/>
      <c r="BS166" s="113"/>
      <c r="BT166" s="113"/>
      <c r="BU166" s="113"/>
      <c r="BV166" s="113"/>
      <c r="BW166" s="113"/>
      <c r="BX166" s="113"/>
      <c r="BY166" s="113"/>
      <c r="BZ166" s="113"/>
      <c r="CA166" s="113"/>
      <c r="CB166" s="113"/>
      <c r="CC166" s="113"/>
      <c r="CD166" s="113"/>
      <c r="CE166" s="113"/>
      <c r="CF166" s="113"/>
      <c r="CG166" s="113"/>
      <c r="CH166" s="113"/>
      <c r="CI166" s="113"/>
      <c r="CJ166" s="113"/>
      <c r="CK166" s="113"/>
      <c r="CL166" s="113"/>
      <c r="CM166" s="113"/>
      <c r="CN166" s="113"/>
      <c r="CO166" s="113"/>
      <c r="CP166" s="113"/>
      <c r="CQ166" s="113"/>
      <c r="CR166" s="113"/>
      <c r="CS166" s="113"/>
      <c r="CT166" s="113"/>
      <c r="CU166" s="113"/>
    </row>
    <row r="167">
      <c r="A167" s="159" t="str">
        <f>IFERROR(__xludf.DUMMYFUNCTION("""COMPUTED_VALUE"""),"D-7")</f>
        <v>D-7</v>
      </c>
      <c r="B167" s="113" t="str">
        <f>IFERROR(__xludf.DUMMYFUNCTION("""COMPUTED_VALUE"""),"Steve")</f>
        <v>Steve</v>
      </c>
      <c r="C167" s="113" t="str">
        <f>IFERROR(__xludf.DUMMYFUNCTION("""COMPUTED_VALUE"""),"Barbone")</f>
        <v>Barbone</v>
      </c>
      <c r="D167" s="158">
        <f>IFERROR(__xludf.DUMMYFUNCTION("""COMPUTED_VALUE"""),1181.0)</f>
        <v>1181</v>
      </c>
      <c r="E167" s="161">
        <f t="shared" si="1"/>
        <v>4</v>
      </c>
      <c r="F167" s="160">
        <f>COUNTIFS('Scores Import DO NOT EDIT'!C:C, D167,'Scores Import DO NOT EDIT'!M:M,A167)</f>
        <v>3</v>
      </c>
      <c r="G167" s="162">
        <f t="shared" si="2"/>
        <v>0.75</v>
      </c>
      <c r="H167" s="163" t="str">
        <f t="shared" si="3"/>
        <v>D-71181</v>
      </c>
      <c r="I167" s="113"/>
      <c r="J167" s="113"/>
      <c r="K167" s="113"/>
      <c r="L167" s="158"/>
      <c r="M167" s="166" t="s">
        <v>234</v>
      </c>
      <c r="N167" s="113"/>
      <c r="O167" s="113"/>
      <c r="P167" s="113"/>
      <c r="Q167" s="113"/>
      <c r="R167" s="113"/>
      <c r="S167" s="113"/>
      <c r="T167" s="113"/>
      <c r="U167" s="113"/>
      <c r="V167" s="113"/>
      <c r="W167" s="113"/>
      <c r="X167" s="113"/>
      <c r="Y167" s="113"/>
      <c r="Z167" s="113"/>
      <c r="AA167" s="113"/>
      <c r="AB167" s="113"/>
      <c r="AC167" s="113"/>
      <c r="AD167" s="113"/>
      <c r="AE167" s="113"/>
      <c r="AF167" s="113"/>
      <c r="AG167" s="113"/>
      <c r="AH167" s="113"/>
      <c r="AI167" s="113"/>
      <c r="AJ167" s="113"/>
      <c r="AK167" s="113"/>
      <c r="AL167" s="113"/>
      <c r="AM167" s="113"/>
      <c r="AN167" s="113"/>
      <c r="AO167" s="113"/>
      <c r="AP167" s="113"/>
      <c r="AQ167" s="113"/>
      <c r="AR167" s="113"/>
      <c r="AS167" s="113"/>
      <c r="AT167" s="113"/>
      <c r="AU167" s="113"/>
      <c r="AV167" s="113"/>
      <c r="AW167" s="113"/>
      <c r="AX167" s="113"/>
      <c r="AY167" s="113"/>
      <c r="AZ167" s="113"/>
      <c r="BA167" s="113"/>
      <c r="BB167" s="113"/>
      <c r="BC167" s="113"/>
      <c r="BD167" s="113"/>
      <c r="BE167" s="113"/>
      <c r="BF167" s="113"/>
      <c r="BG167" s="113"/>
      <c r="BH167" s="113"/>
      <c r="BI167" s="113"/>
      <c r="BJ167" s="113"/>
      <c r="BK167" s="113"/>
      <c r="BL167" s="113"/>
      <c r="BM167" s="113"/>
      <c r="BN167" s="113"/>
      <c r="BO167" s="113"/>
      <c r="BP167" s="113"/>
      <c r="BQ167" s="113"/>
      <c r="BR167" s="113"/>
      <c r="BS167" s="113"/>
      <c r="BT167" s="113"/>
      <c r="BU167" s="113"/>
      <c r="BV167" s="113"/>
      <c r="BW167" s="113"/>
      <c r="BX167" s="113"/>
      <c r="BY167" s="113"/>
      <c r="BZ167" s="113"/>
      <c r="CA167" s="113"/>
      <c r="CB167" s="113"/>
      <c r="CC167" s="113"/>
      <c r="CD167" s="113"/>
      <c r="CE167" s="113"/>
      <c r="CF167" s="113"/>
      <c r="CG167" s="113"/>
      <c r="CH167" s="113"/>
      <c r="CI167" s="113"/>
      <c r="CJ167" s="113"/>
      <c r="CK167" s="113"/>
      <c r="CL167" s="113"/>
      <c r="CM167" s="113"/>
      <c r="CN167" s="113"/>
      <c r="CO167" s="113"/>
      <c r="CP167" s="113"/>
      <c r="CQ167" s="113"/>
      <c r="CR167" s="113"/>
      <c r="CS167" s="113"/>
      <c r="CT167" s="113"/>
      <c r="CU167" s="113"/>
    </row>
    <row r="168">
      <c r="A168" s="159" t="str">
        <f>IFERROR(__xludf.DUMMYFUNCTION("""COMPUTED_VALUE"""),"D-7")</f>
        <v>D-7</v>
      </c>
      <c r="B168" s="113" t="str">
        <f>IFERROR(__xludf.DUMMYFUNCTION("""COMPUTED_VALUE"""),"Chuck")</f>
        <v>Chuck</v>
      </c>
      <c r="C168" s="113" t="str">
        <f>IFERROR(__xludf.DUMMYFUNCTION("""COMPUTED_VALUE"""),"Dintrone")</f>
        <v>Dintrone</v>
      </c>
      <c r="D168" s="158">
        <f>IFERROR(__xludf.DUMMYFUNCTION("""COMPUTED_VALUE"""),1007.0)</f>
        <v>1007</v>
      </c>
      <c r="E168" s="161">
        <f t="shared" si="1"/>
        <v>4</v>
      </c>
      <c r="F168" s="160">
        <f>COUNTIFS('Scores Import DO NOT EDIT'!C:C, D168,'Scores Import DO NOT EDIT'!M:M,A168)</f>
        <v>2</v>
      </c>
      <c r="G168" s="162">
        <f t="shared" si="2"/>
        <v>0.5</v>
      </c>
      <c r="H168" s="163" t="str">
        <f t="shared" si="3"/>
        <v>D-71007</v>
      </c>
      <c r="I168" s="113"/>
      <c r="J168" s="113"/>
      <c r="K168" s="113"/>
      <c r="L168" s="158"/>
      <c r="M168" s="166" t="s">
        <v>235</v>
      </c>
      <c r="N168" s="113"/>
      <c r="O168" s="113"/>
      <c r="P168" s="113"/>
      <c r="Q168" s="113"/>
      <c r="R168" s="113"/>
      <c r="S168" s="113"/>
      <c r="T168" s="113"/>
      <c r="U168" s="113"/>
      <c r="V168" s="113"/>
      <c r="W168" s="113"/>
      <c r="X168" s="113"/>
      <c r="Y168" s="113"/>
      <c r="Z168" s="113"/>
      <c r="AA168" s="113"/>
      <c r="AB168" s="113"/>
      <c r="AC168" s="113"/>
      <c r="AD168" s="113"/>
      <c r="AE168" s="113"/>
      <c r="AF168" s="113"/>
      <c r="AG168" s="113"/>
      <c r="AH168" s="113"/>
      <c r="AI168" s="113"/>
      <c r="AJ168" s="113"/>
      <c r="AK168" s="113"/>
      <c r="AL168" s="113"/>
      <c r="AM168" s="113"/>
      <c r="AN168" s="113"/>
      <c r="AO168" s="113"/>
      <c r="AP168" s="113"/>
      <c r="AQ168" s="113"/>
      <c r="AR168" s="113"/>
      <c r="AS168" s="113"/>
      <c r="AT168" s="113"/>
      <c r="AU168" s="113"/>
      <c r="AV168" s="113"/>
      <c r="AW168" s="113"/>
      <c r="AX168" s="113"/>
      <c r="AY168" s="113"/>
      <c r="AZ168" s="113"/>
      <c r="BA168" s="113"/>
      <c r="BB168" s="113"/>
      <c r="BC168" s="113"/>
      <c r="BD168" s="113"/>
      <c r="BE168" s="113"/>
      <c r="BF168" s="113"/>
      <c r="BG168" s="113"/>
      <c r="BH168" s="113"/>
      <c r="BI168" s="113"/>
      <c r="BJ168" s="113"/>
      <c r="BK168" s="113"/>
      <c r="BL168" s="113"/>
      <c r="BM168" s="113"/>
      <c r="BN168" s="113"/>
      <c r="BO168" s="113"/>
      <c r="BP168" s="113"/>
      <c r="BQ168" s="113"/>
      <c r="BR168" s="113"/>
      <c r="BS168" s="113"/>
      <c r="BT168" s="113"/>
      <c r="BU168" s="113"/>
      <c r="BV168" s="113"/>
      <c r="BW168" s="113"/>
      <c r="BX168" s="113"/>
      <c r="BY168" s="113"/>
      <c r="BZ168" s="113"/>
      <c r="CA168" s="113"/>
      <c r="CB168" s="113"/>
      <c r="CC168" s="113"/>
      <c r="CD168" s="113"/>
      <c r="CE168" s="113"/>
      <c r="CF168" s="113"/>
      <c r="CG168" s="113"/>
      <c r="CH168" s="113"/>
      <c r="CI168" s="113"/>
      <c r="CJ168" s="113"/>
      <c r="CK168" s="113"/>
      <c r="CL168" s="113"/>
      <c r="CM168" s="113"/>
      <c r="CN168" s="113"/>
      <c r="CO168" s="113"/>
      <c r="CP168" s="113"/>
      <c r="CQ168" s="113"/>
      <c r="CR168" s="113"/>
      <c r="CS168" s="113"/>
      <c r="CT168" s="113"/>
      <c r="CU168" s="113"/>
    </row>
    <row r="169">
      <c r="A169" s="159" t="str">
        <f>IFERROR(__xludf.DUMMYFUNCTION("""COMPUTED_VALUE"""),"D-7")</f>
        <v>D-7</v>
      </c>
      <c r="B169" s="113" t="str">
        <f>IFERROR(__xludf.DUMMYFUNCTION("""COMPUTED_VALUE"""),"Sandra A.")</f>
        <v>Sandra A.</v>
      </c>
      <c r="C169" s="113" t="str">
        <f>IFERROR(__xludf.DUMMYFUNCTION("""COMPUTED_VALUE"""),"Wawrytko")</f>
        <v>Wawrytko</v>
      </c>
      <c r="D169" s="158">
        <f>IFERROR(__xludf.DUMMYFUNCTION("""COMPUTED_VALUE"""),1004.0)</f>
        <v>1004</v>
      </c>
      <c r="E169" s="161">
        <f t="shared" si="1"/>
        <v>4</v>
      </c>
      <c r="F169" s="160">
        <f>COUNTIFS('Scores Import DO NOT EDIT'!C:C, D169,'Scores Import DO NOT EDIT'!M:M,A169)</f>
        <v>2</v>
      </c>
      <c r="G169" s="162">
        <f t="shared" si="2"/>
        <v>0.5</v>
      </c>
      <c r="H169" s="163" t="str">
        <f t="shared" si="3"/>
        <v>D-71004</v>
      </c>
      <c r="I169" s="113"/>
      <c r="J169" s="113"/>
      <c r="K169" s="113"/>
      <c r="L169" s="158"/>
      <c r="M169" s="166" t="s">
        <v>236</v>
      </c>
      <c r="N169" s="113"/>
      <c r="O169" s="113"/>
      <c r="P169" s="113"/>
      <c r="Q169" s="113"/>
      <c r="R169" s="113"/>
      <c r="S169" s="113"/>
      <c r="T169" s="113"/>
      <c r="U169" s="113"/>
      <c r="V169" s="113"/>
      <c r="W169" s="113"/>
      <c r="X169" s="113"/>
      <c r="Y169" s="113"/>
      <c r="Z169" s="113"/>
      <c r="AA169" s="113"/>
      <c r="AB169" s="113"/>
      <c r="AC169" s="113"/>
      <c r="AD169" s="113"/>
      <c r="AE169" s="113"/>
      <c r="AF169" s="113"/>
      <c r="AG169" s="113"/>
      <c r="AH169" s="113"/>
      <c r="AI169" s="113"/>
      <c r="AJ169" s="113"/>
      <c r="AK169" s="113"/>
      <c r="AL169" s="113"/>
      <c r="AM169" s="113"/>
      <c r="AN169" s="113"/>
      <c r="AO169" s="113"/>
      <c r="AP169" s="113"/>
      <c r="AQ169" s="113"/>
      <c r="AR169" s="113"/>
      <c r="AS169" s="113"/>
      <c r="AT169" s="113"/>
      <c r="AU169" s="113"/>
      <c r="AV169" s="113"/>
      <c r="AW169" s="113"/>
      <c r="AX169" s="113"/>
      <c r="AY169" s="113"/>
      <c r="AZ169" s="113"/>
      <c r="BA169" s="113"/>
      <c r="BB169" s="113"/>
      <c r="BC169" s="113"/>
      <c r="BD169" s="113"/>
      <c r="BE169" s="113"/>
      <c r="BF169" s="113"/>
      <c r="BG169" s="113"/>
      <c r="BH169" s="113"/>
      <c r="BI169" s="113"/>
      <c r="BJ169" s="113"/>
      <c r="BK169" s="113"/>
      <c r="BL169" s="113"/>
      <c r="BM169" s="113"/>
      <c r="BN169" s="113"/>
      <c r="BO169" s="113"/>
      <c r="BP169" s="113"/>
      <c r="BQ169" s="113"/>
      <c r="BR169" s="113"/>
      <c r="BS169" s="113"/>
      <c r="BT169" s="113"/>
      <c r="BU169" s="113"/>
      <c r="BV169" s="113"/>
      <c r="BW169" s="113"/>
      <c r="BX169" s="113"/>
      <c r="BY169" s="113"/>
      <c r="BZ169" s="113"/>
      <c r="CA169" s="113"/>
      <c r="CB169" s="113"/>
      <c r="CC169" s="113"/>
      <c r="CD169" s="113"/>
      <c r="CE169" s="113"/>
      <c r="CF169" s="113"/>
      <c r="CG169" s="113"/>
      <c r="CH169" s="113"/>
      <c r="CI169" s="113"/>
      <c r="CJ169" s="113"/>
      <c r="CK169" s="113"/>
      <c r="CL169" s="113"/>
      <c r="CM169" s="113"/>
      <c r="CN169" s="113"/>
      <c r="CO169" s="113"/>
      <c r="CP169" s="113"/>
      <c r="CQ169" s="113"/>
      <c r="CR169" s="113"/>
      <c r="CS169" s="113"/>
      <c r="CT169" s="113"/>
      <c r="CU169" s="113"/>
    </row>
    <row r="170">
      <c r="A170" s="159" t="str">
        <f>IFERROR(__xludf.DUMMYFUNCTION("""COMPUTED_VALUE"""),"D-8")</f>
        <v>D-8</v>
      </c>
      <c r="B170" s="113" t="str">
        <f>IFERROR(__xludf.DUMMYFUNCTION("""COMPUTED_VALUE"""),"Nitai")</f>
        <v>Nitai</v>
      </c>
      <c r="C170" s="113" t="str">
        <f>IFERROR(__xludf.DUMMYFUNCTION("""COMPUTED_VALUE"""),"Chandra Adak")</f>
        <v>Chandra Adak</v>
      </c>
      <c r="D170" s="158">
        <f>IFERROR(__xludf.DUMMYFUNCTION("""COMPUTED_VALUE"""),1092.0)</f>
        <v>1092</v>
      </c>
      <c r="E170" s="161">
        <f t="shared" si="1"/>
        <v>5</v>
      </c>
      <c r="F170" s="160">
        <f>COUNTIFS('Scores Import DO NOT EDIT'!C:C, D170,'Scores Import DO NOT EDIT'!M:M,A170)</f>
        <v>4</v>
      </c>
      <c r="G170" s="162">
        <f t="shared" si="2"/>
        <v>0.8</v>
      </c>
      <c r="H170" s="163" t="str">
        <f t="shared" si="3"/>
        <v>D-81092</v>
      </c>
      <c r="I170" s="113"/>
      <c r="J170" s="113"/>
      <c r="K170" s="113"/>
      <c r="L170" s="158"/>
      <c r="M170" s="166" t="s">
        <v>232</v>
      </c>
      <c r="N170" s="113"/>
      <c r="O170" s="113"/>
      <c r="P170" s="113"/>
      <c r="Q170" s="113"/>
      <c r="R170" s="113"/>
      <c r="S170" s="113"/>
      <c r="T170" s="113"/>
      <c r="U170" s="113"/>
      <c r="V170" s="113"/>
      <c r="W170" s="113"/>
      <c r="X170" s="113"/>
      <c r="Y170" s="113"/>
      <c r="Z170" s="113"/>
      <c r="AA170" s="113"/>
      <c r="AB170" s="113"/>
      <c r="AC170" s="113"/>
      <c r="AD170" s="113"/>
      <c r="AE170" s="113"/>
      <c r="AF170" s="113"/>
      <c r="AG170" s="113"/>
      <c r="AH170" s="113"/>
      <c r="AI170" s="113"/>
      <c r="AJ170" s="113"/>
      <c r="AK170" s="113"/>
      <c r="AL170" s="113"/>
      <c r="AM170" s="113"/>
      <c r="AN170" s="113"/>
      <c r="AO170" s="113"/>
      <c r="AP170" s="113"/>
      <c r="AQ170" s="113"/>
      <c r="AR170" s="113"/>
      <c r="AS170" s="113"/>
      <c r="AT170" s="113"/>
      <c r="AU170" s="113"/>
      <c r="AV170" s="113"/>
      <c r="AW170" s="113"/>
      <c r="AX170" s="113"/>
      <c r="AY170" s="113"/>
      <c r="AZ170" s="113"/>
      <c r="BA170" s="113"/>
      <c r="BB170" s="113"/>
      <c r="BC170" s="113"/>
      <c r="BD170" s="113"/>
      <c r="BE170" s="113"/>
      <c r="BF170" s="113"/>
      <c r="BG170" s="113"/>
      <c r="BH170" s="113"/>
      <c r="BI170" s="113"/>
      <c r="BJ170" s="113"/>
      <c r="BK170" s="113"/>
      <c r="BL170" s="113"/>
      <c r="BM170" s="113"/>
      <c r="BN170" s="113"/>
      <c r="BO170" s="113"/>
      <c r="BP170" s="113"/>
      <c r="BQ170" s="113"/>
      <c r="BR170" s="113"/>
      <c r="BS170" s="113"/>
      <c r="BT170" s="113"/>
      <c r="BU170" s="113"/>
      <c r="BV170" s="113"/>
      <c r="BW170" s="113"/>
      <c r="BX170" s="113"/>
      <c r="BY170" s="113"/>
      <c r="BZ170" s="113"/>
      <c r="CA170" s="113"/>
      <c r="CB170" s="113"/>
      <c r="CC170" s="113"/>
      <c r="CD170" s="113"/>
      <c r="CE170" s="113"/>
      <c r="CF170" s="113"/>
      <c r="CG170" s="113"/>
      <c r="CH170" s="113"/>
      <c r="CI170" s="113"/>
      <c r="CJ170" s="113"/>
      <c r="CK170" s="113"/>
      <c r="CL170" s="113"/>
      <c r="CM170" s="113"/>
      <c r="CN170" s="113"/>
      <c r="CO170" s="113"/>
      <c r="CP170" s="113"/>
      <c r="CQ170" s="113"/>
      <c r="CR170" s="113"/>
      <c r="CS170" s="113"/>
      <c r="CT170" s="113"/>
      <c r="CU170" s="113"/>
    </row>
    <row r="171">
      <c r="A171" s="159" t="str">
        <f>IFERROR(__xludf.DUMMYFUNCTION("""COMPUTED_VALUE"""),"D-8")</f>
        <v>D-8</v>
      </c>
      <c r="B171" s="113" t="str">
        <f>IFERROR(__xludf.DUMMYFUNCTION("""COMPUTED_VALUE"""),"Bill")</f>
        <v>Bill</v>
      </c>
      <c r="C171" s="113" t="str">
        <f>IFERROR(__xludf.DUMMYFUNCTION("""COMPUTED_VALUE"""),"Welsh")</f>
        <v>Welsh</v>
      </c>
      <c r="D171" s="158">
        <f>IFERROR(__xludf.DUMMYFUNCTION("""COMPUTED_VALUE"""),1045.0)</f>
        <v>1045</v>
      </c>
      <c r="E171" s="161">
        <f t="shared" si="1"/>
        <v>5</v>
      </c>
      <c r="F171" s="160">
        <f>COUNTIFS('Scores Import DO NOT EDIT'!C:C, D171,'Scores Import DO NOT EDIT'!M:M,A171)</f>
        <v>3</v>
      </c>
      <c r="G171" s="162">
        <f t="shared" si="2"/>
        <v>0.6</v>
      </c>
      <c r="H171" s="163" t="str">
        <f t="shared" si="3"/>
        <v>D-81045</v>
      </c>
      <c r="I171" s="113"/>
      <c r="J171" s="113"/>
      <c r="K171" s="113"/>
      <c r="L171" s="158"/>
      <c r="M171" s="166" t="s">
        <v>237</v>
      </c>
      <c r="N171" s="113"/>
      <c r="O171" s="113"/>
      <c r="P171" s="113"/>
      <c r="Q171" s="113"/>
      <c r="R171" s="113"/>
      <c r="S171" s="113"/>
      <c r="T171" s="113"/>
      <c r="U171" s="113"/>
      <c r="V171" s="113"/>
      <c r="W171" s="113"/>
      <c r="X171" s="113"/>
      <c r="Y171" s="113"/>
      <c r="Z171" s="113"/>
      <c r="AA171" s="113"/>
      <c r="AB171" s="113"/>
      <c r="AC171" s="113"/>
      <c r="AD171" s="113"/>
      <c r="AE171" s="113"/>
      <c r="AF171" s="113"/>
      <c r="AG171" s="113"/>
      <c r="AH171" s="113"/>
      <c r="AI171" s="113"/>
      <c r="AJ171" s="113"/>
      <c r="AK171" s="113"/>
      <c r="AL171" s="113"/>
      <c r="AM171" s="113"/>
      <c r="AN171" s="113"/>
      <c r="AO171" s="113"/>
      <c r="AP171" s="113"/>
      <c r="AQ171" s="113"/>
      <c r="AR171" s="113"/>
      <c r="AS171" s="113"/>
      <c r="AT171" s="113"/>
      <c r="AU171" s="113"/>
      <c r="AV171" s="113"/>
      <c r="AW171" s="113"/>
      <c r="AX171" s="113"/>
      <c r="AY171" s="113"/>
      <c r="AZ171" s="113"/>
      <c r="BA171" s="113"/>
      <c r="BB171" s="113"/>
      <c r="BC171" s="113"/>
      <c r="BD171" s="113"/>
      <c r="BE171" s="113"/>
      <c r="BF171" s="113"/>
      <c r="BG171" s="113"/>
      <c r="BH171" s="113"/>
      <c r="BI171" s="113"/>
      <c r="BJ171" s="113"/>
      <c r="BK171" s="113"/>
      <c r="BL171" s="113"/>
      <c r="BM171" s="113"/>
      <c r="BN171" s="113"/>
      <c r="BO171" s="113"/>
      <c r="BP171" s="113"/>
      <c r="BQ171" s="113"/>
      <c r="BR171" s="113"/>
      <c r="BS171" s="113"/>
      <c r="BT171" s="113"/>
      <c r="BU171" s="113"/>
      <c r="BV171" s="113"/>
      <c r="BW171" s="113"/>
      <c r="BX171" s="113"/>
      <c r="BY171" s="113"/>
      <c r="BZ171" s="113"/>
      <c r="CA171" s="113"/>
      <c r="CB171" s="113"/>
      <c r="CC171" s="113"/>
      <c r="CD171" s="113"/>
      <c r="CE171" s="113"/>
      <c r="CF171" s="113"/>
      <c r="CG171" s="113"/>
      <c r="CH171" s="113"/>
      <c r="CI171" s="113"/>
      <c r="CJ171" s="113"/>
      <c r="CK171" s="113"/>
      <c r="CL171" s="113"/>
      <c r="CM171" s="113"/>
      <c r="CN171" s="113"/>
      <c r="CO171" s="113"/>
      <c r="CP171" s="113"/>
      <c r="CQ171" s="113"/>
      <c r="CR171" s="113"/>
      <c r="CS171" s="113"/>
      <c r="CT171" s="113"/>
      <c r="CU171" s="113"/>
    </row>
    <row r="172">
      <c r="A172" s="159" t="str">
        <f>IFERROR(__xludf.DUMMYFUNCTION("""COMPUTED_VALUE"""),"D-8")</f>
        <v>D-8</v>
      </c>
      <c r="B172" s="113" t="str">
        <f>IFERROR(__xludf.DUMMYFUNCTION("""COMPUTED_VALUE"""),"Joseph")</f>
        <v>Joseph</v>
      </c>
      <c r="C172" s="113" t="str">
        <f>IFERROR(__xludf.DUMMYFUNCTION("""COMPUTED_VALUE"""),"Saad")</f>
        <v>Saad</v>
      </c>
      <c r="D172" s="158">
        <f>IFERROR(__xludf.DUMMYFUNCTION("""COMPUTED_VALUE"""),1171.0)</f>
        <v>1171</v>
      </c>
      <c r="E172" s="161">
        <f t="shared" si="1"/>
        <v>5</v>
      </c>
      <c r="F172" s="160">
        <f>COUNTIFS('Scores Import DO NOT EDIT'!C:C, D172,'Scores Import DO NOT EDIT'!M:M,A172)</f>
        <v>0</v>
      </c>
      <c r="G172" s="162">
        <f t="shared" si="2"/>
        <v>0</v>
      </c>
      <c r="H172" s="163" t="str">
        <f t="shared" si="3"/>
        <v>D-81171</v>
      </c>
      <c r="I172" s="113"/>
      <c r="J172" s="113"/>
      <c r="K172" s="113"/>
      <c r="L172" s="158"/>
      <c r="M172" s="166" t="s">
        <v>233</v>
      </c>
      <c r="N172" s="113"/>
      <c r="O172" s="113"/>
      <c r="P172" s="113"/>
      <c r="Q172" s="113"/>
      <c r="R172" s="113"/>
      <c r="S172" s="113"/>
      <c r="T172" s="113"/>
      <c r="U172" s="113"/>
      <c r="V172" s="113"/>
      <c r="W172" s="113"/>
      <c r="X172" s="113"/>
      <c r="Y172" s="113"/>
      <c r="Z172" s="113"/>
      <c r="AA172" s="113"/>
      <c r="AB172" s="113"/>
      <c r="AC172" s="113"/>
      <c r="AD172" s="113"/>
      <c r="AE172" s="113"/>
      <c r="AF172" s="113"/>
      <c r="AG172" s="113"/>
      <c r="AH172" s="113"/>
      <c r="AI172" s="113"/>
      <c r="AJ172" s="113"/>
      <c r="AK172" s="113"/>
      <c r="AL172" s="113"/>
      <c r="AM172" s="113"/>
      <c r="AN172" s="113"/>
      <c r="AO172" s="113"/>
      <c r="AP172" s="113"/>
      <c r="AQ172" s="113"/>
      <c r="AR172" s="113"/>
      <c r="AS172" s="113"/>
      <c r="AT172" s="113"/>
      <c r="AU172" s="113"/>
      <c r="AV172" s="113"/>
      <c r="AW172" s="113"/>
      <c r="AX172" s="113"/>
      <c r="AY172" s="113"/>
      <c r="AZ172" s="113"/>
      <c r="BA172" s="113"/>
      <c r="BB172" s="113"/>
      <c r="BC172" s="113"/>
      <c r="BD172" s="113"/>
      <c r="BE172" s="113"/>
      <c r="BF172" s="113"/>
      <c r="BG172" s="113"/>
      <c r="BH172" s="113"/>
      <c r="BI172" s="113"/>
      <c r="BJ172" s="113"/>
      <c r="BK172" s="113"/>
      <c r="BL172" s="113"/>
      <c r="BM172" s="113"/>
      <c r="BN172" s="113"/>
      <c r="BO172" s="113"/>
      <c r="BP172" s="113"/>
      <c r="BQ172" s="113"/>
      <c r="BR172" s="113"/>
      <c r="BS172" s="113"/>
      <c r="BT172" s="113"/>
      <c r="BU172" s="113"/>
      <c r="BV172" s="113"/>
      <c r="BW172" s="113"/>
      <c r="BX172" s="113"/>
      <c r="BY172" s="113"/>
      <c r="BZ172" s="113"/>
      <c r="CA172" s="113"/>
      <c r="CB172" s="113"/>
      <c r="CC172" s="113"/>
      <c r="CD172" s="113"/>
      <c r="CE172" s="113"/>
      <c r="CF172" s="113"/>
      <c r="CG172" s="113"/>
      <c r="CH172" s="113"/>
      <c r="CI172" s="113"/>
      <c r="CJ172" s="113"/>
      <c r="CK172" s="113"/>
      <c r="CL172" s="113"/>
      <c r="CM172" s="113"/>
      <c r="CN172" s="113"/>
      <c r="CO172" s="113"/>
      <c r="CP172" s="113"/>
      <c r="CQ172" s="113"/>
      <c r="CR172" s="113"/>
      <c r="CS172" s="113"/>
      <c r="CT172" s="113"/>
      <c r="CU172" s="113"/>
    </row>
    <row r="173">
      <c r="A173" s="159" t="str">
        <f>IFERROR(__xludf.DUMMYFUNCTION("""COMPUTED_VALUE"""),"D-8")</f>
        <v>D-8</v>
      </c>
      <c r="B173" s="113" t="str">
        <f>IFERROR(__xludf.DUMMYFUNCTION("""COMPUTED_VALUE"""),"Jonah")</f>
        <v>Jonah</v>
      </c>
      <c r="C173" s="113" t="str">
        <f>IFERROR(__xludf.DUMMYFUNCTION("""COMPUTED_VALUE"""),"Alderson")</f>
        <v>Alderson</v>
      </c>
      <c r="D173" s="158">
        <f>IFERROR(__xludf.DUMMYFUNCTION("""COMPUTED_VALUE"""),1100.0)</f>
        <v>1100</v>
      </c>
      <c r="E173" s="161">
        <f t="shared" si="1"/>
        <v>5</v>
      </c>
      <c r="F173" s="160">
        <f>COUNTIFS('Scores Import DO NOT EDIT'!C:C, D173,'Scores Import DO NOT EDIT'!M:M,A173)</f>
        <v>0</v>
      </c>
      <c r="G173" s="162">
        <f t="shared" si="2"/>
        <v>0</v>
      </c>
      <c r="H173" s="163" t="str">
        <f t="shared" si="3"/>
        <v>D-81100</v>
      </c>
      <c r="I173" s="113"/>
      <c r="J173" s="113"/>
      <c r="K173" s="113"/>
      <c r="L173" s="158"/>
      <c r="M173" s="166" t="s">
        <v>239</v>
      </c>
      <c r="N173" s="113"/>
      <c r="O173" s="113"/>
      <c r="P173" s="113"/>
      <c r="Q173" s="113"/>
      <c r="R173" s="113"/>
      <c r="S173" s="113"/>
      <c r="T173" s="113"/>
      <c r="U173" s="113"/>
      <c r="V173" s="113"/>
      <c r="W173" s="113"/>
      <c r="X173" s="113"/>
      <c r="Y173" s="113"/>
      <c r="Z173" s="113"/>
      <c r="AA173" s="113"/>
      <c r="AB173" s="113"/>
      <c r="AC173" s="113"/>
      <c r="AD173" s="113"/>
      <c r="AE173" s="113"/>
      <c r="AF173" s="113"/>
      <c r="AG173" s="113"/>
      <c r="AH173" s="113"/>
      <c r="AI173" s="113"/>
      <c r="AJ173" s="113"/>
      <c r="AK173" s="113"/>
      <c r="AL173" s="113"/>
      <c r="AM173" s="113"/>
      <c r="AN173" s="113"/>
      <c r="AO173" s="113"/>
      <c r="AP173" s="113"/>
      <c r="AQ173" s="113"/>
      <c r="AR173" s="113"/>
      <c r="AS173" s="113"/>
      <c r="AT173" s="113"/>
      <c r="AU173" s="113"/>
      <c r="AV173" s="113"/>
      <c r="AW173" s="113"/>
      <c r="AX173" s="113"/>
      <c r="AY173" s="113"/>
      <c r="AZ173" s="113"/>
      <c r="BA173" s="113"/>
      <c r="BB173" s="113"/>
      <c r="BC173" s="113"/>
      <c r="BD173" s="113"/>
      <c r="BE173" s="113"/>
      <c r="BF173" s="113"/>
      <c r="BG173" s="113"/>
      <c r="BH173" s="113"/>
      <c r="BI173" s="113"/>
      <c r="BJ173" s="113"/>
      <c r="BK173" s="113"/>
      <c r="BL173" s="113"/>
      <c r="BM173" s="113"/>
      <c r="BN173" s="113"/>
      <c r="BO173" s="113"/>
      <c r="BP173" s="113"/>
      <c r="BQ173" s="113"/>
      <c r="BR173" s="113"/>
      <c r="BS173" s="113"/>
      <c r="BT173" s="113"/>
      <c r="BU173" s="113"/>
      <c r="BV173" s="113"/>
      <c r="BW173" s="113"/>
      <c r="BX173" s="113"/>
      <c r="BY173" s="113"/>
      <c r="BZ173" s="113"/>
      <c r="CA173" s="113"/>
      <c r="CB173" s="113"/>
      <c r="CC173" s="113"/>
      <c r="CD173" s="113"/>
      <c r="CE173" s="113"/>
      <c r="CF173" s="113"/>
      <c r="CG173" s="113"/>
      <c r="CH173" s="113"/>
      <c r="CI173" s="113"/>
      <c r="CJ173" s="113"/>
      <c r="CK173" s="113"/>
      <c r="CL173" s="113"/>
      <c r="CM173" s="113"/>
      <c r="CN173" s="113"/>
      <c r="CO173" s="113"/>
      <c r="CP173" s="113"/>
      <c r="CQ173" s="113"/>
      <c r="CR173" s="113"/>
      <c r="CS173" s="113"/>
      <c r="CT173" s="113"/>
      <c r="CU173" s="113"/>
    </row>
    <row r="174">
      <c r="A174" s="159" t="str">
        <f>IFERROR(__xludf.DUMMYFUNCTION("""COMPUTED_VALUE"""),"D-8")</f>
        <v>D-8</v>
      </c>
      <c r="B174" s="113" t="str">
        <f>IFERROR(__xludf.DUMMYFUNCTION("""COMPUTED_VALUE"""),"Judy")</f>
        <v>Judy</v>
      </c>
      <c r="C174" s="113" t="str">
        <f>IFERROR(__xludf.DUMMYFUNCTION("""COMPUTED_VALUE"""),"Audas")</f>
        <v>Audas</v>
      </c>
      <c r="D174" s="158">
        <f>IFERROR(__xludf.DUMMYFUNCTION("""COMPUTED_VALUE"""),1164.0)</f>
        <v>1164</v>
      </c>
      <c r="E174" s="161">
        <f t="shared" si="1"/>
        <v>5</v>
      </c>
      <c r="F174" s="160">
        <f>COUNTIFS('Scores Import DO NOT EDIT'!C:C, D174,'Scores Import DO NOT EDIT'!M:M,A174)</f>
        <v>4</v>
      </c>
      <c r="G174" s="162">
        <f t="shared" si="2"/>
        <v>0.8</v>
      </c>
      <c r="H174" s="163" t="str">
        <f t="shared" si="3"/>
        <v>D-81164</v>
      </c>
      <c r="I174" s="113"/>
      <c r="J174" s="113"/>
      <c r="K174" s="113"/>
      <c r="L174" s="158"/>
      <c r="M174" s="166" t="s">
        <v>242</v>
      </c>
      <c r="N174" s="113"/>
      <c r="O174" s="113"/>
      <c r="P174" s="113"/>
      <c r="Q174" s="113"/>
      <c r="R174" s="113"/>
      <c r="S174" s="113"/>
      <c r="T174" s="113"/>
      <c r="U174" s="113"/>
      <c r="V174" s="113"/>
      <c r="W174" s="113"/>
      <c r="X174" s="113"/>
      <c r="Y174" s="113"/>
      <c r="Z174" s="113"/>
      <c r="AA174" s="113"/>
      <c r="AB174" s="113"/>
      <c r="AC174" s="113"/>
      <c r="AD174" s="113"/>
      <c r="AE174" s="113"/>
      <c r="AF174" s="113"/>
      <c r="AG174" s="113"/>
      <c r="AH174" s="113"/>
      <c r="AI174" s="113"/>
      <c r="AJ174" s="113"/>
      <c r="AK174" s="113"/>
      <c r="AL174" s="113"/>
      <c r="AM174" s="113"/>
      <c r="AN174" s="113"/>
      <c r="AO174" s="113"/>
      <c r="AP174" s="113"/>
      <c r="AQ174" s="113"/>
      <c r="AR174" s="113"/>
      <c r="AS174" s="113"/>
      <c r="AT174" s="113"/>
      <c r="AU174" s="113"/>
      <c r="AV174" s="113"/>
      <c r="AW174" s="113"/>
      <c r="AX174" s="113"/>
      <c r="AY174" s="113"/>
      <c r="AZ174" s="113"/>
      <c r="BA174" s="113"/>
      <c r="BB174" s="113"/>
      <c r="BC174" s="113"/>
      <c r="BD174" s="113"/>
      <c r="BE174" s="113"/>
      <c r="BF174" s="113"/>
      <c r="BG174" s="113"/>
      <c r="BH174" s="113"/>
      <c r="BI174" s="113"/>
      <c r="BJ174" s="113"/>
      <c r="BK174" s="113"/>
      <c r="BL174" s="113"/>
      <c r="BM174" s="113"/>
      <c r="BN174" s="113"/>
      <c r="BO174" s="113"/>
      <c r="BP174" s="113"/>
      <c r="BQ174" s="113"/>
      <c r="BR174" s="113"/>
      <c r="BS174" s="113"/>
      <c r="BT174" s="113"/>
      <c r="BU174" s="113"/>
      <c r="BV174" s="113"/>
      <c r="BW174" s="113"/>
      <c r="BX174" s="113"/>
      <c r="BY174" s="113"/>
      <c r="BZ174" s="113"/>
      <c r="CA174" s="113"/>
      <c r="CB174" s="113"/>
      <c r="CC174" s="113"/>
      <c r="CD174" s="113"/>
      <c r="CE174" s="113"/>
      <c r="CF174" s="113"/>
      <c r="CG174" s="113"/>
      <c r="CH174" s="113"/>
      <c r="CI174" s="113"/>
      <c r="CJ174" s="113"/>
      <c r="CK174" s="113"/>
      <c r="CL174" s="113"/>
      <c r="CM174" s="113"/>
      <c r="CN174" s="113"/>
      <c r="CO174" s="113"/>
      <c r="CP174" s="113"/>
      <c r="CQ174" s="113"/>
      <c r="CR174" s="113"/>
      <c r="CS174" s="113"/>
      <c r="CT174" s="113"/>
      <c r="CU174" s="113"/>
    </row>
    <row r="175">
      <c r="A175" s="159" t="str">
        <f>IFERROR(__xludf.DUMMYFUNCTION("""COMPUTED_VALUE"""),"D-9")</f>
        <v>D-9</v>
      </c>
      <c r="B175" s="113" t="str">
        <f>IFERROR(__xludf.DUMMYFUNCTION("""COMPUTED_VALUE"""),"Patricia")</f>
        <v>Patricia</v>
      </c>
      <c r="C175" s="113" t="str">
        <f>IFERROR(__xludf.DUMMYFUNCTION("""COMPUTED_VALUE"""),"Fernandez")</f>
        <v>Fernandez</v>
      </c>
      <c r="D175" s="158">
        <f>IFERROR(__xludf.DUMMYFUNCTION("""COMPUTED_VALUE"""),1216.0)</f>
        <v>1216</v>
      </c>
      <c r="E175" s="161">
        <f t="shared" si="1"/>
        <v>6</v>
      </c>
      <c r="F175" s="160">
        <f>COUNTIFS('Scores Import DO NOT EDIT'!C:C, D175,'Scores Import DO NOT EDIT'!M:M,A175)</f>
        <v>0</v>
      </c>
      <c r="G175" s="162">
        <f t="shared" si="2"/>
        <v>0</v>
      </c>
      <c r="H175" s="163" t="str">
        <f t="shared" si="3"/>
        <v>D-91216</v>
      </c>
      <c r="I175" s="113"/>
      <c r="J175" s="113"/>
      <c r="K175" s="113"/>
      <c r="L175" s="158"/>
      <c r="M175" s="166" t="s">
        <v>243</v>
      </c>
      <c r="N175" s="113"/>
      <c r="O175" s="113"/>
      <c r="P175" s="113"/>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3"/>
      <c r="AU175" s="113"/>
      <c r="AV175" s="113"/>
      <c r="AW175" s="113"/>
      <c r="AX175" s="113"/>
      <c r="AY175" s="113"/>
      <c r="AZ175" s="113"/>
      <c r="BA175" s="113"/>
      <c r="BB175" s="113"/>
      <c r="BC175" s="113"/>
      <c r="BD175" s="113"/>
      <c r="BE175" s="113"/>
      <c r="BF175" s="113"/>
      <c r="BG175" s="113"/>
      <c r="BH175" s="113"/>
      <c r="BI175" s="113"/>
      <c r="BJ175" s="113"/>
      <c r="BK175" s="113"/>
      <c r="BL175" s="113"/>
      <c r="BM175" s="113"/>
      <c r="BN175" s="113"/>
      <c r="BO175" s="113"/>
      <c r="BP175" s="113"/>
      <c r="BQ175" s="113"/>
      <c r="BR175" s="113"/>
      <c r="BS175" s="113"/>
      <c r="BT175" s="113"/>
      <c r="BU175" s="113"/>
      <c r="BV175" s="113"/>
      <c r="BW175" s="113"/>
      <c r="BX175" s="113"/>
      <c r="BY175" s="113"/>
      <c r="BZ175" s="113"/>
      <c r="CA175" s="113"/>
      <c r="CB175" s="113"/>
      <c r="CC175" s="113"/>
      <c r="CD175" s="113"/>
      <c r="CE175" s="113"/>
      <c r="CF175" s="113"/>
      <c r="CG175" s="113"/>
      <c r="CH175" s="113"/>
      <c r="CI175" s="113"/>
      <c r="CJ175" s="113"/>
      <c r="CK175" s="113"/>
      <c r="CL175" s="113"/>
      <c r="CM175" s="113"/>
      <c r="CN175" s="113"/>
      <c r="CO175" s="113"/>
      <c r="CP175" s="113"/>
      <c r="CQ175" s="113"/>
      <c r="CR175" s="113"/>
      <c r="CS175" s="113"/>
      <c r="CT175" s="113"/>
      <c r="CU175" s="113"/>
    </row>
    <row r="176">
      <c r="A176" s="159" t="str">
        <f>IFERROR(__xludf.DUMMYFUNCTION("""COMPUTED_VALUE"""),"D-9")</f>
        <v>D-9</v>
      </c>
      <c r="B176" s="113" t="str">
        <f>IFERROR(__xludf.DUMMYFUNCTION("""COMPUTED_VALUE"""),"Carson")</f>
        <v>Carson</v>
      </c>
      <c r="C176" s="113" t="str">
        <f>IFERROR(__xludf.DUMMYFUNCTION("""COMPUTED_VALUE"""),"Poole")</f>
        <v>Poole</v>
      </c>
      <c r="D176" s="158">
        <f>IFERROR(__xludf.DUMMYFUNCTION("""COMPUTED_VALUE"""),1188.0)</f>
        <v>1188</v>
      </c>
      <c r="E176" s="161">
        <f t="shared" si="1"/>
        <v>6</v>
      </c>
      <c r="F176" s="160">
        <f>COUNTIFS('Scores Import DO NOT EDIT'!C:C, D176,'Scores Import DO NOT EDIT'!M:M,A176)</f>
        <v>5</v>
      </c>
      <c r="G176" s="162">
        <f t="shared" si="2"/>
        <v>0.8333333333</v>
      </c>
      <c r="H176" s="163" t="str">
        <f t="shared" si="3"/>
        <v>D-91188</v>
      </c>
      <c r="I176" s="113"/>
      <c r="J176" s="113"/>
      <c r="K176" s="113"/>
      <c r="L176" s="158"/>
      <c r="M176" s="166" t="s">
        <v>238</v>
      </c>
      <c r="N176" s="113"/>
      <c r="O176" s="113"/>
      <c r="P176" s="113"/>
      <c r="Q176" s="113"/>
      <c r="R176" s="113"/>
      <c r="S176" s="113"/>
      <c r="T176" s="113"/>
      <c r="U176" s="113"/>
      <c r="V176" s="113"/>
      <c r="W176" s="113"/>
      <c r="X176" s="113"/>
      <c r="Y176" s="113"/>
      <c r="Z176" s="113"/>
      <c r="AA176" s="113"/>
      <c r="AB176" s="113"/>
      <c r="AC176" s="113"/>
      <c r="AD176" s="113"/>
      <c r="AE176" s="113"/>
      <c r="AF176" s="113"/>
      <c r="AG176" s="113"/>
      <c r="AH176" s="113"/>
      <c r="AI176" s="113"/>
      <c r="AJ176" s="113"/>
      <c r="AK176" s="113"/>
      <c r="AL176" s="113"/>
      <c r="AM176" s="113"/>
      <c r="AN176" s="113"/>
      <c r="AO176" s="113"/>
      <c r="AP176" s="113"/>
      <c r="AQ176" s="113"/>
      <c r="AR176" s="113"/>
      <c r="AS176" s="113"/>
      <c r="AT176" s="113"/>
      <c r="AU176" s="113"/>
      <c r="AV176" s="113"/>
      <c r="AW176" s="113"/>
      <c r="AX176" s="113"/>
      <c r="AY176" s="113"/>
      <c r="AZ176" s="113"/>
      <c r="BA176" s="113"/>
      <c r="BB176" s="113"/>
      <c r="BC176" s="113"/>
      <c r="BD176" s="113"/>
      <c r="BE176" s="113"/>
      <c r="BF176" s="113"/>
      <c r="BG176" s="113"/>
      <c r="BH176" s="113"/>
      <c r="BI176" s="113"/>
      <c r="BJ176" s="113"/>
      <c r="BK176" s="113"/>
      <c r="BL176" s="113"/>
      <c r="BM176" s="113"/>
      <c r="BN176" s="113"/>
      <c r="BO176" s="113"/>
      <c r="BP176" s="113"/>
      <c r="BQ176" s="113"/>
      <c r="BR176" s="113"/>
      <c r="BS176" s="113"/>
      <c r="BT176" s="113"/>
      <c r="BU176" s="113"/>
      <c r="BV176" s="113"/>
      <c r="BW176" s="113"/>
      <c r="BX176" s="113"/>
      <c r="BY176" s="113"/>
      <c r="BZ176" s="113"/>
      <c r="CA176" s="113"/>
      <c r="CB176" s="113"/>
      <c r="CC176" s="113"/>
      <c r="CD176" s="113"/>
      <c r="CE176" s="113"/>
      <c r="CF176" s="113"/>
      <c r="CG176" s="113"/>
      <c r="CH176" s="113"/>
      <c r="CI176" s="113"/>
      <c r="CJ176" s="113"/>
      <c r="CK176" s="113"/>
      <c r="CL176" s="113"/>
      <c r="CM176" s="113"/>
      <c r="CN176" s="113"/>
      <c r="CO176" s="113"/>
      <c r="CP176" s="113"/>
      <c r="CQ176" s="113"/>
      <c r="CR176" s="113"/>
      <c r="CS176" s="113"/>
      <c r="CT176" s="113"/>
      <c r="CU176" s="113"/>
    </row>
    <row r="177">
      <c r="A177" s="159" t="str">
        <f>IFERROR(__xludf.DUMMYFUNCTION("""COMPUTED_VALUE"""),"D-9")</f>
        <v>D-9</v>
      </c>
      <c r="B177" s="113" t="str">
        <f>IFERROR(__xludf.DUMMYFUNCTION("""COMPUTED_VALUE"""),"Sarah")</f>
        <v>Sarah</v>
      </c>
      <c r="C177" s="113" t="str">
        <f>IFERROR(__xludf.DUMMYFUNCTION("""COMPUTED_VALUE"""),"Mercado")</f>
        <v>Mercado</v>
      </c>
      <c r="D177" s="158">
        <f>IFERROR(__xludf.DUMMYFUNCTION("""COMPUTED_VALUE"""),1203.0)</f>
        <v>1203</v>
      </c>
      <c r="E177" s="161">
        <f t="shared" si="1"/>
        <v>6</v>
      </c>
      <c r="F177" s="160">
        <f>COUNTIFS('Scores Import DO NOT EDIT'!C:C, D177,'Scores Import DO NOT EDIT'!M:M,A177)</f>
        <v>0</v>
      </c>
      <c r="G177" s="162">
        <f t="shared" si="2"/>
        <v>0</v>
      </c>
      <c r="H177" s="163" t="str">
        <f t="shared" si="3"/>
        <v>D-91203</v>
      </c>
      <c r="I177" s="113"/>
      <c r="J177" s="113"/>
      <c r="K177" s="113"/>
      <c r="L177" s="158"/>
      <c r="M177" s="166" t="s">
        <v>241</v>
      </c>
      <c r="N177" s="113"/>
      <c r="O177" s="113"/>
      <c r="P177" s="113"/>
      <c r="Q177" s="113"/>
      <c r="R177" s="113"/>
      <c r="S177" s="113"/>
      <c r="T177" s="113"/>
      <c r="U177" s="113"/>
      <c r="V177" s="113"/>
      <c r="W177" s="113"/>
      <c r="X177" s="113"/>
      <c r="Y177" s="113"/>
      <c r="Z177" s="113"/>
      <c r="AA177" s="113"/>
      <c r="AB177" s="113"/>
      <c r="AC177" s="113"/>
      <c r="AD177" s="113"/>
      <c r="AE177" s="113"/>
      <c r="AF177" s="113"/>
      <c r="AG177" s="113"/>
      <c r="AH177" s="113"/>
      <c r="AI177" s="113"/>
      <c r="AJ177" s="113"/>
      <c r="AK177" s="113"/>
      <c r="AL177" s="113"/>
      <c r="AM177" s="113"/>
      <c r="AN177" s="113"/>
      <c r="AO177" s="113"/>
      <c r="AP177" s="113"/>
      <c r="AQ177" s="113"/>
      <c r="AR177" s="113"/>
      <c r="AS177" s="113"/>
      <c r="AT177" s="113"/>
      <c r="AU177" s="113"/>
      <c r="AV177" s="113"/>
      <c r="AW177" s="113"/>
      <c r="AX177" s="113"/>
      <c r="AY177" s="113"/>
      <c r="AZ177" s="113"/>
      <c r="BA177" s="113"/>
      <c r="BB177" s="113"/>
      <c r="BC177" s="113"/>
      <c r="BD177" s="113"/>
      <c r="BE177" s="113"/>
      <c r="BF177" s="113"/>
      <c r="BG177" s="113"/>
      <c r="BH177" s="113"/>
      <c r="BI177" s="113"/>
      <c r="BJ177" s="113"/>
      <c r="BK177" s="113"/>
      <c r="BL177" s="113"/>
      <c r="BM177" s="113"/>
      <c r="BN177" s="113"/>
      <c r="BO177" s="113"/>
      <c r="BP177" s="113"/>
      <c r="BQ177" s="113"/>
      <c r="BR177" s="113"/>
      <c r="BS177" s="113"/>
      <c r="BT177" s="113"/>
      <c r="BU177" s="113"/>
      <c r="BV177" s="113"/>
      <c r="BW177" s="113"/>
      <c r="BX177" s="113"/>
      <c r="BY177" s="113"/>
      <c r="BZ177" s="113"/>
      <c r="CA177" s="113"/>
      <c r="CB177" s="113"/>
      <c r="CC177" s="113"/>
      <c r="CD177" s="113"/>
      <c r="CE177" s="113"/>
      <c r="CF177" s="113"/>
      <c r="CG177" s="113"/>
      <c r="CH177" s="113"/>
      <c r="CI177" s="113"/>
      <c r="CJ177" s="113"/>
      <c r="CK177" s="113"/>
      <c r="CL177" s="113"/>
      <c r="CM177" s="113"/>
      <c r="CN177" s="113"/>
      <c r="CO177" s="113"/>
      <c r="CP177" s="113"/>
      <c r="CQ177" s="113"/>
      <c r="CR177" s="113"/>
      <c r="CS177" s="113"/>
      <c r="CT177" s="113"/>
      <c r="CU177" s="113"/>
    </row>
    <row r="178">
      <c r="A178" s="159" t="str">
        <f>IFERROR(__xludf.DUMMYFUNCTION("""COMPUTED_VALUE"""),"D-9")</f>
        <v>D-9</v>
      </c>
      <c r="B178" s="113" t="str">
        <f>IFERROR(__xludf.DUMMYFUNCTION("""COMPUTED_VALUE"""),"Oreda")</f>
        <v>Oreda</v>
      </c>
      <c r="C178" s="113" t="str">
        <f>IFERROR(__xludf.DUMMYFUNCTION("""COMPUTED_VALUE"""),"Chin")</f>
        <v>Chin</v>
      </c>
      <c r="D178" s="158">
        <f>IFERROR(__xludf.DUMMYFUNCTION("""COMPUTED_VALUE"""),1199.0)</f>
        <v>1199</v>
      </c>
      <c r="E178" s="161">
        <f t="shared" si="1"/>
        <v>6</v>
      </c>
      <c r="F178" s="160">
        <f>COUNTIFS('Scores Import DO NOT EDIT'!C:C, D178,'Scores Import DO NOT EDIT'!M:M,A178)</f>
        <v>0</v>
      </c>
      <c r="G178" s="162">
        <f t="shared" si="2"/>
        <v>0</v>
      </c>
      <c r="H178" s="163" t="str">
        <f t="shared" si="3"/>
        <v>D-91199</v>
      </c>
      <c r="I178" s="113"/>
      <c r="J178" s="113"/>
      <c r="K178" s="113"/>
      <c r="L178" s="158"/>
      <c r="M178" s="166" t="s">
        <v>248</v>
      </c>
      <c r="N178" s="113"/>
      <c r="O178" s="113"/>
      <c r="P178" s="113"/>
      <c r="Q178" s="113"/>
      <c r="R178" s="113"/>
      <c r="S178" s="113"/>
      <c r="T178" s="113"/>
      <c r="U178" s="113"/>
      <c r="V178" s="113"/>
      <c r="W178" s="113"/>
      <c r="X178" s="113"/>
      <c r="Y178" s="113"/>
      <c r="Z178" s="113"/>
      <c r="AA178" s="113"/>
      <c r="AB178" s="113"/>
      <c r="AC178" s="113"/>
      <c r="AD178" s="113"/>
      <c r="AE178" s="113"/>
      <c r="AF178" s="113"/>
      <c r="AG178" s="113"/>
      <c r="AH178" s="113"/>
      <c r="AI178" s="113"/>
      <c r="AJ178" s="113"/>
      <c r="AK178" s="113"/>
      <c r="AL178" s="113"/>
      <c r="AM178" s="113"/>
      <c r="AN178" s="113"/>
      <c r="AO178" s="113"/>
      <c r="AP178" s="113"/>
      <c r="AQ178" s="113"/>
      <c r="AR178" s="113"/>
      <c r="AS178" s="113"/>
      <c r="AT178" s="113"/>
      <c r="AU178" s="113"/>
      <c r="AV178" s="113"/>
      <c r="AW178" s="113"/>
      <c r="AX178" s="113"/>
      <c r="AY178" s="113"/>
      <c r="AZ178" s="113"/>
      <c r="BA178" s="113"/>
      <c r="BB178" s="113"/>
      <c r="BC178" s="113"/>
      <c r="BD178" s="113"/>
      <c r="BE178" s="113"/>
      <c r="BF178" s="113"/>
      <c r="BG178" s="113"/>
      <c r="BH178" s="113"/>
      <c r="BI178" s="113"/>
      <c r="BJ178" s="113"/>
      <c r="BK178" s="113"/>
      <c r="BL178" s="113"/>
      <c r="BM178" s="113"/>
      <c r="BN178" s="113"/>
      <c r="BO178" s="113"/>
      <c r="BP178" s="113"/>
      <c r="BQ178" s="113"/>
      <c r="BR178" s="113"/>
      <c r="BS178" s="113"/>
      <c r="BT178" s="113"/>
      <c r="BU178" s="113"/>
      <c r="BV178" s="113"/>
      <c r="BW178" s="113"/>
      <c r="BX178" s="113"/>
      <c r="BY178" s="113"/>
      <c r="BZ178" s="113"/>
      <c r="CA178" s="113"/>
      <c r="CB178" s="113"/>
      <c r="CC178" s="113"/>
      <c r="CD178" s="113"/>
      <c r="CE178" s="113"/>
      <c r="CF178" s="113"/>
      <c r="CG178" s="113"/>
      <c r="CH178" s="113"/>
      <c r="CI178" s="113"/>
      <c r="CJ178" s="113"/>
      <c r="CK178" s="113"/>
      <c r="CL178" s="113"/>
      <c r="CM178" s="113"/>
      <c r="CN178" s="113"/>
      <c r="CO178" s="113"/>
      <c r="CP178" s="113"/>
      <c r="CQ178" s="113"/>
      <c r="CR178" s="113"/>
      <c r="CS178" s="113"/>
      <c r="CT178" s="113"/>
      <c r="CU178" s="113"/>
    </row>
    <row r="179">
      <c r="A179" s="159" t="str">
        <f>IFERROR(__xludf.DUMMYFUNCTION("""COMPUTED_VALUE"""),"E-1")</f>
        <v>E-1</v>
      </c>
      <c r="B179" s="113" t="str">
        <f>IFERROR(__xludf.DUMMYFUNCTION("""COMPUTED_VALUE"""),"Katie")</f>
        <v>Katie</v>
      </c>
      <c r="C179" s="113" t="str">
        <f>IFERROR(__xludf.DUMMYFUNCTION("""COMPUTED_VALUE"""),"Schenkel")</f>
        <v>Schenkel</v>
      </c>
      <c r="D179" s="158">
        <f>IFERROR(__xludf.DUMMYFUNCTION("""COMPUTED_VALUE"""),1154.0)</f>
        <v>1154</v>
      </c>
      <c r="E179" s="161">
        <f t="shared" si="1"/>
        <v>4</v>
      </c>
      <c r="F179" s="160">
        <f>COUNTIFS('Scores Import DO NOT EDIT'!C:C, D179,'Scores Import DO NOT EDIT'!M:M,A179)</f>
        <v>4</v>
      </c>
      <c r="G179" s="162">
        <f t="shared" si="2"/>
        <v>1</v>
      </c>
      <c r="H179" s="163" t="str">
        <f t="shared" si="3"/>
        <v>E-11154</v>
      </c>
      <c r="I179" s="113"/>
      <c r="J179" s="113"/>
      <c r="K179" s="113"/>
      <c r="L179" s="158"/>
      <c r="M179" s="166" t="s">
        <v>245</v>
      </c>
      <c r="N179" s="113"/>
      <c r="O179" s="113"/>
      <c r="P179" s="113"/>
      <c r="Q179" s="113"/>
      <c r="R179" s="113"/>
      <c r="S179" s="113"/>
      <c r="T179" s="113"/>
      <c r="U179" s="113"/>
      <c r="V179" s="113"/>
      <c r="W179" s="113"/>
      <c r="X179" s="113"/>
      <c r="Y179" s="113"/>
      <c r="Z179" s="113"/>
      <c r="AA179" s="113"/>
      <c r="AB179" s="113"/>
      <c r="AC179" s="113"/>
      <c r="AD179" s="113"/>
      <c r="AE179" s="113"/>
      <c r="AF179" s="113"/>
      <c r="AG179" s="113"/>
      <c r="AH179" s="113"/>
      <c r="AI179" s="113"/>
      <c r="AJ179" s="113"/>
      <c r="AK179" s="113"/>
      <c r="AL179" s="113"/>
      <c r="AM179" s="113"/>
      <c r="AN179" s="113"/>
      <c r="AO179" s="113"/>
      <c r="AP179" s="113"/>
      <c r="AQ179" s="113"/>
      <c r="AR179" s="113"/>
      <c r="AS179" s="113"/>
      <c r="AT179" s="113"/>
      <c r="AU179" s="113"/>
      <c r="AV179" s="113"/>
      <c r="AW179" s="113"/>
      <c r="AX179" s="113"/>
      <c r="AY179" s="113"/>
      <c r="AZ179" s="113"/>
      <c r="BA179" s="113"/>
      <c r="BB179" s="113"/>
      <c r="BC179" s="113"/>
      <c r="BD179" s="113"/>
      <c r="BE179" s="113"/>
      <c r="BF179" s="113"/>
      <c r="BG179" s="113"/>
      <c r="BH179" s="113"/>
      <c r="BI179" s="113"/>
      <c r="BJ179" s="113"/>
      <c r="BK179" s="113"/>
      <c r="BL179" s="113"/>
      <c r="BM179" s="113"/>
      <c r="BN179" s="113"/>
      <c r="BO179" s="113"/>
      <c r="BP179" s="113"/>
      <c r="BQ179" s="113"/>
      <c r="BR179" s="113"/>
      <c r="BS179" s="113"/>
      <c r="BT179" s="113"/>
      <c r="BU179" s="113"/>
      <c r="BV179" s="113"/>
      <c r="BW179" s="113"/>
      <c r="BX179" s="113"/>
      <c r="BY179" s="113"/>
      <c r="BZ179" s="113"/>
      <c r="CA179" s="113"/>
      <c r="CB179" s="113"/>
      <c r="CC179" s="113"/>
      <c r="CD179" s="113"/>
      <c r="CE179" s="113"/>
      <c r="CF179" s="113"/>
      <c r="CG179" s="113"/>
      <c r="CH179" s="113"/>
      <c r="CI179" s="113"/>
      <c r="CJ179" s="113"/>
      <c r="CK179" s="113"/>
      <c r="CL179" s="113"/>
      <c r="CM179" s="113"/>
      <c r="CN179" s="113"/>
      <c r="CO179" s="113"/>
      <c r="CP179" s="113"/>
      <c r="CQ179" s="113"/>
      <c r="CR179" s="113"/>
      <c r="CS179" s="113"/>
      <c r="CT179" s="113"/>
      <c r="CU179" s="113"/>
    </row>
    <row r="180">
      <c r="A180" s="159" t="str">
        <f>IFERROR(__xludf.DUMMYFUNCTION("""COMPUTED_VALUE"""),"E-1")</f>
        <v>E-1</v>
      </c>
      <c r="B180" s="113" t="str">
        <f>IFERROR(__xludf.DUMMYFUNCTION("""COMPUTED_VALUE"""),"Zena")</f>
        <v>Zena</v>
      </c>
      <c r="C180" s="113" t="str">
        <f>IFERROR(__xludf.DUMMYFUNCTION("""COMPUTED_VALUE"""),"Hovda")</f>
        <v>Hovda</v>
      </c>
      <c r="D180" s="158">
        <f>IFERROR(__xludf.DUMMYFUNCTION("""COMPUTED_VALUE"""),1147.0)</f>
        <v>1147</v>
      </c>
      <c r="E180" s="161">
        <f t="shared" si="1"/>
        <v>4</v>
      </c>
      <c r="F180" s="160">
        <f>COUNTIFS('Scores Import DO NOT EDIT'!C:C, D180,'Scores Import DO NOT EDIT'!M:M,A180)</f>
        <v>3</v>
      </c>
      <c r="G180" s="162">
        <f t="shared" si="2"/>
        <v>0.75</v>
      </c>
      <c r="H180" s="163" t="str">
        <f t="shared" si="3"/>
        <v>E-11147</v>
      </c>
      <c r="I180" s="113"/>
      <c r="J180" s="113"/>
      <c r="K180" s="113"/>
      <c r="L180" s="158"/>
      <c r="M180" s="166" t="s">
        <v>247</v>
      </c>
      <c r="N180" s="113"/>
      <c r="O180" s="113"/>
      <c r="P180" s="113"/>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c r="AT180" s="113"/>
      <c r="AU180" s="113"/>
      <c r="AV180" s="113"/>
      <c r="AW180" s="113"/>
      <c r="AX180" s="113"/>
      <c r="AY180" s="113"/>
      <c r="AZ180" s="113"/>
      <c r="BA180" s="113"/>
      <c r="BB180" s="113"/>
      <c r="BC180" s="113"/>
      <c r="BD180" s="113"/>
      <c r="BE180" s="113"/>
      <c r="BF180" s="113"/>
      <c r="BG180" s="113"/>
      <c r="BH180" s="113"/>
      <c r="BI180" s="113"/>
      <c r="BJ180" s="113"/>
      <c r="BK180" s="113"/>
      <c r="BL180" s="113"/>
      <c r="BM180" s="113"/>
      <c r="BN180" s="113"/>
      <c r="BO180" s="113"/>
      <c r="BP180" s="113"/>
      <c r="BQ180" s="113"/>
      <c r="BR180" s="113"/>
      <c r="BS180" s="113"/>
      <c r="BT180" s="113"/>
      <c r="BU180" s="113"/>
      <c r="BV180" s="113"/>
      <c r="BW180" s="113"/>
      <c r="BX180" s="113"/>
      <c r="BY180" s="113"/>
      <c r="BZ180" s="113"/>
      <c r="CA180" s="113"/>
      <c r="CB180" s="113"/>
      <c r="CC180" s="113"/>
      <c r="CD180" s="113"/>
      <c r="CE180" s="113"/>
      <c r="CF180" s="113"/>
      <c r="CG180" s="113"/>
      <c r="CH180" s="113"/>
      <c r="CI180" s="113"/>
      <c r="CJ180" s="113"/>
      <c r="CK180" s="113"/>
      <c r="CL180" s="113"/>
      <c r="CM180" s="113"/>
      <c r="CN180" s="113"/>
      <c r="CO180" s="113"/>
      <c r="CP180" s="113"/>
      <c r="CQ180" s="113"/>
      <c r="CR180" s="113"/>
      <c r="CS180" s="113"/>
      <c r="CT180" s="113"/>
      <c r="CU180" s="113"/>
    </row>
    <row r="181">
      <c r="A181" s="159" t="str">
        <f>IFERROR(__xludf.DUMMYFUNCTION("""COMPUTED_VALUE"""),"E-1")</f>
        <v>E-1</v>
      </c>
      <c r="B181" s="113" t="str">
        <f>IFERROR(__xludf.DUMMYFUNCTION("""COMPUTED_VALUE"""),"Amy Schmitz Weiss")</f>
        <v>Amy Schmitz Weiss</v>
      </c>
      <c r="C181" s="113" t="str">
        <f>IFERROR(__xludf.DUMMYFUNCTION("""COMPUTED_VALUE"""),"Weiss")</f>
        <v>Weiss</v>
      </c>
      <c r="D181" s="158">
        <f>IFERROR(__xludf.DUMMYFUNCTION("""COMPUTED_VALUE"""),1055.0)</f>
        <v>1055</v>
      </c>
      <c r="E181" s="161">
        <f t="shared" si="1"/>
        <v>4</v>
      </c>
      <c r="F181" s="160">
        <f>COUNTIFS('Scores Import DO NOT EDIT'!C:C, D181,'Scores Import DO NOT EDIT'!M:M,A181)</f>
        <v>3</v>
      </c>
      <c r="G181" s="162">
        <f t="shared" si="2"/>
        <v>0.75</v>
      </c>
      <c r="H181" s="163" t="str">
        <f t="shared" si="3"/>
        <v>E-11055</v>
      </c>
      <c r="I181" s="113"/>
      <c r="J181" s="113"/>
      <c r="K181" s="113"/>
      <c r="L181" s="158"/>
      <c r="M181" s="166" t="s">
        <v>246</v>
      </c>
      <c r="N181" s="113"/>
      <c r="O181" s="113"/>
      <c r="P181" s="113"/>
      <c r="Q181" s="113"/>
      <c r="R181" s="113"/>
      <c r="S181" s="113"/>
      <c r="T181" s="113"/>
      <c r="U181" s="113"/>
      <c r="V181" s="113"/>
      <c r="W181" s="113"/>
      <c r="X181" s="113"/>
      <c r="Y181" s="113"/>
      <c r="Z181" s="113"/>
      <c r="AA181" s="113"/>
      <c r="AB181" s="113"/>
      <c r="AC181" s="113"/>
      <c r="AD181" s="113"/>
      <c r="AE181" s="113"/>
      <c r="AF181" s="113"/>
      <c r="AG181" s="113"/>
      <c r="AH181" s="113"/>
      <c r="AI181" s="113"/>
      <c r="AJ181" s="113"/>
      <c r="AK181" s="113"/>
      <c r="AL181" s="113"/>
      <c r="AM181" s="113"/>
      <c r="AN181" s="113"/>
      <c r="AO181" s="113"/>
      <c r="AP181" s="113"/>
      <c r="AQ181" s="113"/>
      <c r="AR181" s="113"/>
      <c r="AS181" s="113"/>
      <c r="AT181" s="113"/>
      <c r="AU181" s="113"/>
      <c r="AV181" s="113"/>
      <c r="AW181" s="113"/>
      <c r="AX181" s="113"/>
      <c r="AY181" s="113"/>
      <c r="AZ181" s="113"/>
      <c r="BA181" s="113"/>
      <c r="BB181" s="113"/>
      <c r="BC181" s="113"/>
      <c r="BD181" s="113"/>
      <c r="BE181" s="113"/>
      <c r="BF181" s="113"/>
      <c r="BG181" s="113"/>
      <c r="BH181" s="113"/>
      <c r="BI181" s="113"/>
      <c r="BJ181" s="113"/>
      <c r="BK181" s="113"/>
      <c r="BL181" s="113"/>
      <c r="BM181" s="113"/>
      <c r="BN181" s="113"/>
      <c r="BO181" s="113"/>
      <c r="BP181" s="113"/>
      <c r="BQ181" s="113"/>
      <c r="BR181" s="113"/>
      <c r="BS181" s="113"/>
      <c r="BT181" s="113"/>
      <c r="BU181" s="113"/>
      <c r="BV181" s="113"/>
      <c r="BW181" s="113"/>
      <c r="BX181" s="113"/>
      <c r="BY181" s="113"/>
      <c r="BZ181" s="113"/>
      <c r="CA181" s="113"/>
      <c r="CB181" s="113"/>
      <c r="CC181" s="113"/>
      <c r="CD181" s="113"/>
      <c r="CE181" s="113"/>
      <c r="CF181" s="113"/>
      <c r="CG181" s="113"/>
      <c r="CH181" s="113"/>
      <c r="CI181" s="113"/>
      <c r="CJ181" s="113"/>
      <c r="CK181" s="113"/>
      <c r="CL181" s="113"/>
      <c r="CM181" s="113"/>
      <c r="CN181" s="113"/>
      <c r="CO181" s="113"/>
      <c r="CP181" s="113"/>
      <c r="CQ181" s="113"/>
      <c r="CR181" s="113"/>
      <c r="CS181" s="113"/>
      <c r="CT181" s="113"/>
      <c r="CU181" s="113"/>
    </row>
    <row r="182">
      <c r="A182" s="159" t="str">
        <f>IFERROR(__xludf.DUMMYFUNCTION("""COMPUTED_VALUE"""),"E-1")</f>
        <v>E-1</v>
      </c>
      <c r="B182" s="113" t="str">
        <f>IFERROR(__xludf.DUMMYFUNCTION("""COMPUTED_VALUE"""),"Brie")</f>
        <v>Brie</v>
      </c>
      <c r="C182" s="113" t="str">
        <f>IFERROR(__xludf.DUMMYFUNCTION("""COMPUTED_VALUE"""),"Iatarola")</f>
        <v>Iatarola</v>
      </c>
      <c r="D182" s="158">
        <f>IFERROR(__xludf.DUMMYFUNCTION("""COMPUTED_VALUE"""),1234.0)</f>
        <v>1234</v>
      </c>
      <c r="E182" s="161">
        <f t="shared" si="1"/>
        <v>4</v>
      </c>
      <c r="F182" s="160">
        <f>COUNTIFS('Scores Import DO NOT EDIT'!C:C, D182,'Scores Import DO NOT EDIT'!M:M,A182)</f>
        <v>3</v>
      </c>
      <c r="G182" s="162">
        <f t="shared" si="2"/>
        <v>0.75</v>
      </c>
      <c r="H182" s="163" t="str">
        <f t="shared" si="3"/>
        <v>E-11234</v>
      </c>
      <c r="I182" s="113"/>
      <c r="J182" s="113"/>
      <c r="K182" s="113"/>
      <c r="L182" s="158"/>
      <c r="M182" s="166" t="s">
        <v>249</v>
      </c>
      <c r="N182" s="113"/>
      <c r="O182" s="113"/>
      <c r="P182" s="113"/>
      <c r="Q182" s="113"/>
      <c r="R182" s="113"/>
      <c r="S182" s="113"/>
      <c r="T182" s="113"/>
      <c r="U182" s="113"/>
      <c r="V182" s="113"/>
      <c r="W182" s="113"/>
      <c r="X182" s="113"/>
      <c r="Y182" s="113"/>
      <c r="Z182" s="113"/>
      <c r="AA182" s="113"/>
      <c r="AB182" s="113"/>
      <c r="AC182" s="113"/>
      <c r="AD182" s="113"/>
      <c r="AE182" s="113"/>
      <c r="AF182" s="113"/>
      <c r="AG182" s="113"/>
      <c r="AH182" s="113"/>
      <c r="AI182" s="113"/>
      <c r="AJ182" s="113"/>
      <c r="AK182" s="113"/>
      <c r="AL182" s="113"/>
      <c r="AM182" s="113"/>
      <c r="AN182" s="113"/>
      <c r="AO182" s="113"/>
      <c r="AP182" s="113"/>
      <c r="AQ182" s="113"/>
      <c r="AR182" s="113"/>
      <c r="AS182" s="113"/>
      <c r="AT182" s="113"/>
      <c r="AU182" s="113"/>
      <c r="AV182" s="113"/>
      <c r="AW182" s="113"/>
      <c r="AX182" s="113"/>
      <c r="AY182" s="113"/>
      <c r="AZ182" s="113"/>
      <c r="BA182" s="113"/>
      <c r="BB182" s="113"/>
      <c r="BC182" s="113"/>
      <c r="BD182" s="113"/>
      <c r="BE182" s="113"/>
      <c r="BF182" s="113"/>
      <c r="BG182" s="113"/>
      <c r="BH182" s="113"/>
      <c r="BI182" s="113"/>
      <c r="BJ182" s="113"/>
      <c r="BK182" s="113"/>
      <c r="BL182" s="113"/>
      <c r="BM182" s="113"/>
      <c r="BN182" s="113"/>
      <c r="BO182" s="113"/>
      <c r="BP182" s="113"/>
      <c r="BQ182" s="113"/>
      <c r="BR182" s="113"/>
      <c r="BS182" s="113"/>
      <c r="BT182" s="113"/>
      <c r="BU182" s="113"/>
      <c r="BV182" s="113"/>
      <c r="BW182" s="113"/>
      <c r="BX182" s="113"/>
      <c r="BY182" s="113"/>
      <c r="BZ182" s="113"/>
      <c r="CA182" s="113"/>
      <c r="CB182" s="113"/>
      <c r="CC182" s="113"/>
      <c r="CD182" s="113"/>
      <c r="CE182" s="113"/>
      <c r="CF182" s="113"/>
      <c r="CG182" s="113"/>
      <c r="CH182" s="113"/>
      <c r="CI182" s="113"/>
      <c r="CJ182" s="113"/>
      <c r="CK182" s="113"/>
      <c r="CL182" s="113"/>
      <c r="CM182" s="113"/>
      <c r="CN182" s="113"/>
      <c r="CO182" s="113"/>
      <c r="CP182" s="113"/>
      <c r="CQ182" s="113"/>
      <c r="CR182" s="113"/>
      <c r="CS182" s="113"/>
      <c r="CT182" s="113"/>
      <c r="CU182" s="113"/>
    </row>
    <row r="183">
      <c r="A183" s="159" t="str">
        <f>IFERROR(__xludf.DUMMYFUNCTION("""COMPUTED_VALUE"""),"E-2")</f>
        <v>E-2</v>
      </c>
      <c r="B183" s="113" t="str">
        <f>IFERROR(__xludf.DUMMYFUNCTION("""COMPUTED_VALUE"""),"Ashley")</f>
        <v>Ashley</v>
      </c>
      <c r="C183" s="113" t="str">
        <f>IFERROR(__xludf.DUMMYFUNCTION("""COMPUTED_VALUE"""),"Wilson")</f>
        <v>Wilson</v>
      </c>
      <c r="D183" s="158">
        <f>IFERROR(__xludf.DUMMYFUNCTION("""COMPUTED_VALUE"""),1161.0)</f>
        <v>1161</v>
      </c>
      <c r="E183" s="161">
        <f t="shared" si="1"/>
        <v>4</v>
      </c>
      <c r="F183" s="160">
        <f>COUNTIFS('Scores Import DO NOT EDIT'!C:C, D183,'Scores Import DO NOT EDIT'!M:M,A183)</f>
        <v>0</v>
      </c>
      <c r="G183" s="162">
        <f t="shared" si="2"/>
        <v>0</v>
      </c>
      <c r="H183" s="163" t="str">
        <f t="shared" si="3"/>
        <v>E-21161</v>
      </c>
      <c r="I183" s="113"/>
      <c r="J183" s="113"/>
      <c r="K183" s="113"/>
      <c r="L183" s="158"/>
      <c r="M183" s="166" t="s">
        <v>251</v>
      </c>
      <c r="N183" s="113"/>
      <c r="O183" s="113"/>
      <c r="P183" s="113"/>
      <c r="Q183" s="113"/>
      <c r="R183" s="113"/>
      <c r="S183" s="113"/>
      <c r="T183" s="113"/>
      <c r="U183" s="113"/>
      <c r="V183" s="113"/>
      <c r="W183" s="113"/>
      <c r="X183" s="113"/>
      <c r="Y183" s="113"/>
      <c r="Z183" s="113"/>
      <c r="AA183" s="113"/>
      <c r="AB183" s="113"/>
      <c r="AC183" s="113"/>
      <c r="AD183" s="113"/>
      <c r="AE183" s="113"/>
      <c r="AF183" s="113"/>
      <c r="AG183" s="113"/>
      <c r="AH183" s="113"/>
      <c r="AI183" s="113"/>
      <c r="AJ183" s="113"/>
      <c r="AK183" s="113"/>
      <c r="AL183" s="113"/>
      <c r="AM183" s="113"/>
      <c r="AN183" s="113"/>
      <c r="AO183" s="113"/>
      <c r="AP183" s="113"/>
      <c r="AQ183" s="113"/>
      <c r="AR183" s="113"/>
      <c r="AS183" s="113"/>
      <c r="AT183" s="113"/>
      <c r="AU183" s="113"/>
      <c r="AV183" s="113"/>
      <c r="AW183" s="113"/>
      <c r="AX183" s="113"/>
      <c r="AY183" s="113"/>
      <c r="AZ183" s="113"/>
      <c r="BA183" s="113"/>
      <c r="BB183" s="113"/>
      <c r="BC183" s="113"/>
      <c r="BD183" s="113"/>
      <c r="BE183" s="113"/>
      <c r="BF183" s="113"/>
      <c r="BG183" s="113"/>
      <c r="BH183" s="113"/>
      <c r="BI183" s="113"/>
      <c r="BJ183" s="113"/>
      <c r="BK183" s="113"/>
      <c r="BL183" s="113"/>
      <c r="BM183" s="113"/>
      <c r="BN183" s="113"/>
      <c r="BO183" s="113"/>
      <c r="BP183" s="113"/>
      <c r="BQ183" s="113"/>
      <c r="BR183" s="113"/>
      <c r="BS183" s="113"/>
      <c r="BT183" s="113"/>
      <c r="BU183" s="113"/>
      <c r="BV183" s="113"/>
      <c r="BW183" s="113"/>
      <c r="BX183" s="113"/>
      <c r="BY183" s="113"/>
      <c r="BZ183" s="113"/>
      <c r="CA183" s="113"/>
      <c r="CB183" s="113"/>
      <c r="CC183" s="113"/>
      <c r="CD183" s="113"/>
      <c r="CE183" s="113"/>
      <c r="CF183" s="113"/>
      <c r="CG183" s="113"/>
      <c r="CH183" s="113"/>
      <c r="CI183" s="113"/>
      <c r="CJ183" s="113"/>
      <c r="CK183" s="113"/>
      <c r="CL183" s="113"/>
      <c r="CM183" s="113"/>
      <c r="CN183" s="113"/>
      <c r="CO183" s="113"/>
      <c r="CP183" s="113"/>
      <c r="CQ183" s="113"/>
      <c r="CR183" s="113"/>
      <c r="CS183" s="113"/>
      <c r="CT183" s="113"/>
      <c r="CU183" s="113"/>
    </row>
    <row r="184">
      <c r="A184" s="159" t="str">
        <f>IFERROR(__xludf.DUMMYFUNCTION("""COMPUTED_VALUE"""),"E-2")</f>
        <v>E-2</v>
      </c>
      <c r="B184" s="113" t="str">
        <f>IFERROR(__xludf.DUMMYFUNCTION("""COMPUTED_VALUE"""),"Kenisha")</f>
        <v>Kenisha</v>
      </c>
      <c r="C184" s="113" t="str">
        <f>IFERROR(__xludf.DUMMYFUNCTION("""COMPUTED_VALUE"""),"Shipley")</f>
        <v>Shipley</v>
      </c>
      <c r="D184" s="158">
        <f>IFERROR(__xludf.DUMMYFUNCTION("""COMPUTED_VALUE"""),1014.0)</f>
        <v>1014</v>
      </c>
      <c r="E184" s="161">
        <f t="shared" si="1"/>
        <v>4</v>
      </c>
      <c r="F184" s="160">
        <f>COUNTIFS('Scores Import DO NOT EDIT'!C:C, D184,'Scores Import DO NOT EDIT'!M:M,A184)</f>
        <v>0</v>
      </c>
      <c r="G184" s="162">
        <f t="shared" si="2"/>
        <v>0</v>
      </c>
      <c r="H184" s="163" t="str">
        <f t="shared" si="3"/>
        <v>E-21014</v>
      </c>
      <c r="I184" s="113"/>
      <c r="J184" s="113"/>
      <c r="K184" s="113"/>
      <c r="L184" s="158"/>
      <c r="M184" s="166" t="s">
        <v>250</v>
      </c>
      <c r="N184" s="113"/>
      <c r="O184" s="113"/>
      <c r="P184" s="113"/>
      <c r="Q184" s="113"/>
      <c r="R184" s="113"/>
      <c r="S184" s="113"/>
      <c r="T184" s="113"/>
      <c r="U184" s="113"/>
      <c r="V184" s="113"/>
      <c r="W184" s="113"/>
      <c r="X184" s="113"/>
      <c r="Y184" s="113"/>
      <c r="Z184" s="113"/>
      <c r="AA184" s="113"/>
      <c r="AB184" s="113"/>
      <c r="AC184" s="113"/>
      <c r="AD184" s="113"/>
      <c r="AE184" s="113"/>
      <c r="AF184" s="113"/>
      <c r="AG184" s="113"/>
      <c r="AH184" s="113"/>
      <c r="AI184" s="113"/>
      <c r="AJ184" s="113"/>
      <c r="AK184" s="113"/>
      <c r="AL184" s="113"/>
      <c r="AM184" s="113"/>
      <c r="AN184" s="113"/>
      <c r="AO184" s="113"/>
      <c r="AP184" s="113"/>
      <c r="AQ184" s="113"/>
      <c r="AR184" s="113"/>
      <c r="AS184" s="113"/>
      <c r="AT184" s="113"/>
      <c r="AU184" s="113"/>
      <c r="AV184" s="113"/>
      <c r="AW184" s="113"/>
      <c r="AX184" s="113"/>
      <c r="AY184" s="113"/>
      <c r="AZ184" s="113"/>
      <c r="BA184" s="113"/>
      <c r="BB184" s="113"/>
      <c r="BC184" s="113"/>
      <c r="BD184" s="113"/>
      <c r="BE184" s="113"/>
      <c r="BF184" s="113"/>
      <c r="BG184" s="113"/>
      <c r="BH184" s="113"/>
      <c r="BI184" s="113"/>
      <c r="BJ184" s="113"/>
      <c r="BK184" s="113"/>
      <c r="BL184" s="113"/>
      <c r="BM184" s="113"/>
      <c r="BN184" s="113"/>
      <c r="BO184" s="113"/>
      <c r="BP184" s="113"/>
      <c r="BQ184" s="113"/>
      <c r="BR184" s="113"/>
      <c r="BS184" s="113"/>
      <c r="BT184" s="113"/>
      <c r="BU184" s="113"/>
      <c r="BV184" s="113"/>
      <c r="BW184" s="113"/>
      <c r="BX184" s="113"/>
      <c r="BY184" s="113"/>
      <c r="BZ184" s="113"/>
      <c r="CA184" s="113"/>
      <c r="CB184" s="113"/>
      <c r="CC184" s="113"/>
      <c r="CD184" s="113"/>
      <c r="CE184" s="113"/>
      <c r="CF184" s="113"/>
      <c r="CG184" s="113"/>
      <c r="CH184" s="113"/>
      <c r="CI184" s="113"/>
      <c r="CJ184" s="113"/>
      <c r="CK184" s="113"/>
      <c r="CL184" s="113"/>
      <c r="CM184" s="113"/>
      <c r="CN184" s="113"/>
      <c r="CO184" s="113"/>
      <c r="CP184" s="113"/>
      <c r="CQ184" s="113"/>
      <c r="CR184" s="113"/>
      <c r="CS184" s="113"/>
      <c r="CT184" s="113"/>
      <c r="CU184" s="113"/>
    </row>
    <row r="185">
      <c r="A185" s="159" t="str">
        <f>IFERROR(__xludf.DUMMYFUNCTION("""COMPUTED_VALUE"""),"E-2")</f>
        <v>E-2</v>
      </c>
      <c r="B185" s="113" t="str">
        <f>IFERROR(__xludf.DUMMYFUNCTION("""COMPUTED_VALUE"""),"May")</f>
        <v>May</v>
      </c>
      <c r="C185" s="113" t="str">
        <f>IFERROR(__xludf.DUMMYFUNCTION("""COMPUTED_VALUE"""),"Ovalles")</f>
        <v>Ovalles</v>
      </c>
      <c r="D185" s="158">
        <f>IFERROR(__xludf.DUMMYFUNCTION("""COMPUTED_VALUE"""),1210.0)</f>
        <v>1210</v>
      </c>
      <c r="E185" s="161">
        <f t="shared" si="1"/>
        <v>4</v>
      </c>
      <c r="F185" s="160">
        <f>COUNTIFS('Scores Import DO NOT EDIT'!C:C, D185,'Scores Import DO NOT EDIT'!M:M,A185)</f>
        <v>0</v>
      </c>
      <c r="G185" s="162">
        <f t="shared" si="2"/>
        <v>0</v>
      </c>
      <c r="H185" s="163" t="str">
        <f t="shared" si="3"/>
        <v>E-21210</v>
      </c>
      <c r="I185" s="113"/>
      <c r="J185" s="113"/>
      <c r="K185" s="113"/>
      <c r="L185" s="158"/>
      <c r="M185" s="166" t="s">
        <v>254</v>
      </c>
      <c r="N185" s="113"/>
      <c r="O185" s="113"/>
      <c r="P185" s="113"/>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c r="AT185" s="113"/>
      <c r="AU185" s="113"/>
      <c r="AV185" s="113"/>
      <c r="AW185" s="113"/>
      <c r="AX185" s="113"/>
      <c r="AY185" s="113"/>
      <c r="AZ185" s="113"/>
      <c r="BA185" s="113"/>
      <c r="BB185" s="113"/>
      <c r="BC185" s="113"/>
      <c r="BD185" s="113"/>
      <c r="BE185" s="113"/>
      <c r="BF185" s="113"/>
      <c r="BG185" s="113"/>
      <c r="BH185" s="113"/>
      <c r="BI185" s="113"/>
      <c r="BJ185" s="113"/>
      <c r="BK185" s="113"/>
      <c r="BL185" s="113"/>
      <c r="BM185" s="113"/>
      <c r="BN185" s="113"/>
      <c r="BO185" s="113"/>
      <c r="BP185" s="113"/>
      <c r="BQ185" s="113"/>
      <c r="BR185" s="113"/>
      <c r="BS185" s="113"/>
      <c r="BT185" s="113"/>
      <c r="BU185" s="113"/>
      <c r="BV185" s="113"/>
      <c r="BW185" s="113"/>
      <c r="BX185" s="113"/>
      <c r="BY185" s="113"/>
      <c r="BZ185" s="113"/>
      <c r="CA185" s="113"/>
      <c r="CB185" s="113"/>
      <c r="CC185" s="113"/>
      <c r="CD185" s="113"/>
      <c r="CE185" s="113"/>
      <c r="CF185" s="113"/>
      <c r="CG185" s="113"/>
      <c r="CH185" s="113"/>
      <c r="CI185" s="113"/>
      <c r="CJ185" s="113"/>
      <c r="CK185" s="113"/>
      <c r="CL185" s="113"/>
      <c r="CM185" s="113"/>
      <c r="CN185" s="113"/>
      <c r="CO185" s="113"/>
      <c r="CP185" s="113"/>
      <c r="CQ185" s="113"/>
      <c r="CR185" s="113"/>
      <c r="CS185" s="113"/>
      <c r="CT185" s="113"/>
      <c r="CU185" s="113"/>
    </row>
    <row r="186">
      <c r="A186" s="159" t="str">
        <f>IFERROR(__xludf.DUMMYFUNCTION("""COMPUTED_VALUE"""),"E-2")</f>
        <v>E-2</v>
      </c>
      <c r="B186" s="113" t="str">
        <f>IFERROR(__xludf.DUMMYFUNCTION("""COMPUTED_VALUE"""),"Serena")</f>
        <v>Serena</v>
      </c>
      <c r="C186" s="113" t="str">
        <f>IFERROR(__xludf.DUMMYFUNCTION("""COMPUTED_VALUE"""),"Zhu")</f>
        <v>Zhu</v>
      </c>
      <c r="D186" s="158">
        <f>IFERROR(__xludf.DUMMYFUNCTION("""COMPUTED_VALUE"""),1208.0)</f>
        <v>1208</v>
      </c>
      <c r="E186" s="161">
        <f t="shared" si="1"/>
        <v>4</v>
      </c>
      <c r="F186" s="160">
        <f>COUNTIFS('Scores Import DO NOT EDIT'!C:C, D186,'Scores Import DO NOT EDIT'!M:M,A186)</f>
        <v>4</v>
      </c>
      <c r="G186" s="162">
        <f t="shared" si="2"/>
        <v>1</v>
      </c>
      <c r="H186" s="163" t="str">
        <f t="shared" si="3"/>
        <v>E-21208</v>
      </c>
      <c r="I186" s="113"/>
      <c r="J186" s="113"/>
      <c r="K186" s="113"/>
      <c r="L186" s="158"/>
      <c r="M186" s="166" t="s">
        <v>253</v>
      </c>
      <c r="N186" s="113"/>
      <c r="O186" s="113"/>
      <c r="P186" s="113"/>
      <c r="Q186" s="113"/>
      <c r="R186" s="113"/>
      <c r="S186" s="113"/>
      <c r="T186" s="113"/>
      <c r="U186" s="113"/>
      <c r="V186" s="113"/>
      <c r="W186" s="113"/>
      <c r="X186" s="113"/>
      <c r="Y186" s="113"/>
      <c r="Z186" s="113"/>
      <c r="AA186" s="113"/>
      <c r="AB186" s="113"/>
      <c r="AC186" s="113"/>
      <c r="AD186" s="113"/>
      <c r="AE186" s="113"/>
      <c r="AF186" s="113"/>
      <c r="AG186" s="113"/>
      <c r="AH186" s="113"/>
      <c r="AI186" s="113"/>
      <c r="AJ186" s="113"/>
      <c r="AK186" s="113"/>
      <c r="AL186" s="113"/>
      <c r="AM186" s="113"/>
      <c r="AN186" s="113"/>
      <c r="AO186" s="113"/>
      <c r="AP186" s="113"/>
      <c r="AQ186" s="113"/>
      <c r="AR186" s="113"/>
      <c r="AS186" s="113"/>
      <c r="AT186" s="113"/>
      <c r="AU186" s="113"/>
      <c r="AV186" s="113"/>
      <c r="AW186" s="113"/>
      <c r="AX186" s="113"/>
      <c r="AY186" s="113"/>
      <c r="AZ186" s="113"/>
      <c r="BA186" s="113"/>
      <c r="BB186" s="113"/>
      <c r="BC186" s="113"/>
      <c r="BD186" s="113"/>
      <c r="BE186" s="113"/>
      <c r="BF186" s="113"/>
      <c r="BG186" s="113"/>
      <c r="BH186" s="113"/>
      <c r="BI186" s="113"/>
      <c r="BJ186" s="113"/>
      <c r="BK186" s="113"/>
      <c r="BL186" s="113"/>
      <c r="BM186" s="113"/>
      <c r="BN186" s="113"/>
      <c r="BO186" s="113"/>
      <c r="BP186" s="113"/>
      <c r="BQ186" s="113"/>
      <c r="BR186" s="113"/>
      <c r="BS186" s="113"/>
      <c r="BT186" s="113"/>
      <c r="BU186" s="113"/>
      <c r="BV186" s="113"/>
      <c r="BW186" s="113"/>
      <c r="BX186" s="113"/>
      <c r="BY186" s="113"/>
      <c r="BZ186" s="113"/>
      <c r="CA186" s="113"/>
      <c r="CB186" s="113"/>
      <c r="CC186" s="113"/>
      <c r="CD186" s="113"/>
      <c r="CE186" s="113"/>
      <c r="CF186" s="113"/>
      <c r="CG186" s="113"/>
      <c r="CH186" s="113"/>
      <c r="CI186" s="113"/>
      <c r="CJ186" s="113"/>
      <c r="CK186" s="113"/>
      <c r="CL186" s="113"/>
      <c r="CM186" s="113"/>
      <c r="CN186" s="113"/>
      <c r="CO186" s="113"/>
      <c r="CP186" s="113"/>
      <c r="CQ186" s="113"/>
      <c r="CR186" s="113"/>
      <c r="CS186" s="113"/>
      <c r="CT186" s="113"/>
      <c r="CU186" s="113"/>
    </row>
    <row r="187">
      <c r="A187" s="159" t="str">
        <f>IFERROR(__xludf.DUMMYFUNCTION("""COMPUTED_VALUE"""),"F-1")</f>
        <v>F-1</v>
      </c>
      <c r="B187" s="113" t="str">
        <f>IFERROR(__xludf.DUMMYFUNCTION("""COMPUTED_VALUE"""),"JoAnn")</f>
        <v>JoAnn</v>
      </c>
      <c r="C187" s="113" t="str">
        <f>IFERROR(__xludf.DUMMYFUNCTION("""COMPUTED_VALUE"""),"Silkes")</f>
        <v>Silkes</v>
      </c>
      <c r="D187" s="158">
        <f>IFERROR(__xludf.DUMMYFUNCTION("""COMPUTED_VALUE"""),1094.0)</f>
        <v>1094</v>
      </c>
      <c r="E187" s="161">
        <f t="shared" si="1"/>
        <v>7</v>
      </c>
      <c r="F187" s="160">
        <f>COUNTIFS('Scores Import DO NOT EDIT'!C:C, D187,'Scores Import DO NOT EDIT'!M:M,A187)</f>
        <v>7</v>
      </c>
      <c r="G187" s="162">
        <f t="shared" si="2"/>
        <v>1</v>
      </c>
      <c r="H187" s="163" t="str">
        <f t="shared" si="3"/>
        <v>F-11094</v>
      </c>
      <c r="I187" s="113"/>
      <c r="J187" s="113"/>
      <c r="K187" s="113"/>
      <c r="L187" s="158"/>
      <c r="M187" s="166" t="s">
        <v>252</v>
      </c>
      <c r="N187" s="113"/>
      <c r="O187" s="113"/>
      <c r="P187" s="113"/>
      <c r="Q187" s="113"/>
      <c r="R187" s="113"/>
      <c r="S187" s="113"/>
      <c r="T187" s="113"/>
      <c r="U187" s="113"/>
      <c r="V187" s="113"/>
      <c r="W187" s="113"/>
      <c r="X187" s="113"/>
      <c r="Y187" s="113"/>
      <c r="Z187" s="113"/>
      <c r="AA187" s="113"/>
      <c r="AB187" s="113"/>
      <c r="AC187" s="113"/>
      <c r="AD187" s="113"/>
      <c r="AE187" s="113"/>
      <c r="AF187" s="113"/>
      <c r="AG187" s="113"/>
      <c r="AH187" s="113"/>
      <c r="AI187" s="113"/>
      <c r="AJ187" s="113"/>
      <c r="AK187" s="113"/>
      <c r="AL187" s="113"/>
      <c r="AM187" s="113"/>
      <c r="AN187" s="113"/>
      <c r="AO187" s="113"/>
      <c r="AP187" s="113"/>
      <c r="AQ187" s="113"/>
      <c r="AR187" s="113"/>
      <c r="AS187" s="113"/>
      <c r="AT187" s="113"/>
      <c r="AU187" s="113"/>
      <c r="AV187" s="113"/>
      <c r="AW187" s="113"/>
      <c r="AX187" s="113"/>
      <c r="AY187" s="113"/>
      <c r="AZ187" s="113"/>
      <c r="BA187" s="113"/>
      <c r="BB187" s="113"/>
      <c r="BC187" s="113"/>
      <c r="BD187" s="113"/>
      <c r="BE187" s="113"/>
      <c r="BF187" s="113"/>
      <c r="BG187" s="113"/>
      <c r="BH187" s="113"/>
      <c r="BI187" s="113"/>
      <c r="BJ187" s="113"/>
      <c r="BK187" s="113"/>
      <c r="BL187" s="113"/>
      <c r="BM187" s="113"/>
      <c r="BN187" s="113"/>
      <c r="BO187" s="113"/>
      <c r="BP187" s="113"/>
      <c r="BQ187" s="113"/>
      <c r="BR187" s="113"/>
      <c r="BS187" s="113"/>
      <c r="BT187" s="113"/>
      <c r="BU187" s="113"/>
      <c r="BV187" s="113"/>
      <c r="BW187" s="113"/>
      <c r="BX187" s="113"/>
      <c r="BY187" s="113"/>
      <c r="BZ187" s="113"/>
      <c r="CA187" s="113"/>
      <c r="CB187" s="113"/>
      <c r="CC187" s="113"/>
      <c r="CD187" s="113"/>
      <c r="CE187" s="113"/>
      <c r="CF187" s="113"/>
      <c r="CG187" s="113"/>
      <c r="CH187" s="113"/>
      <c r="CI187" s="113"/>
      <c r="CJ187" s="113"/>
      <c r="CK187" s="113"/>
      <c r="CL187" s="113"/>
      <c r="CM187" s="113"/>
      <c r="CN187" s="113"/>
      <c r="CO187" s="113"/>
      <c r="CP187" s="113"/>
      <c r="CQ187" s="113"/>
      <c r="CR187" s="113"/>
      <c r="CS187" s="113"/>
      <c r="CT187" s="113"/>
      <c r="CU187" s="113"/>
    </row>
    <row r="188">
      <c r="A188" s="159" t="str">
        <f>IFERROR(__xludf.DUMMYFUNCTION("""COMPUTED_VALUE"""),"F-1")</f>
        <v>F-1</v>
      </c>
      <c r="B188" s="113" t="str">
        <f>IFERROR(__xludf.DUMMYFUNCTION("""COMPUTED_VALUE"""),"Stephanie")</f>
        <v>Stephanie</v>
      </c>
      <c r="C188" s="113" t="str">
        <f>IFERROR(__xludf.DUMMYFUNCTION("""COMPUTED_VALUE"""),"Ries")</f>
        <v>Ries</v>
      </c>
      <c r="D188" s="158">
        <f>IFERROR(__xludf.DUMMYFUNCTION("""COMPUTED_VALUE"""),1114.0)</f>
        <v>1114</v>
      </c>
      <c r="E188" s="161">
        <f t="shared" si="1"/>
        <v>7</v>
      </c>
      <c r="F188" s="160">
        <f>COUNTIFS('Scores Import DO NOT EDIT'!C:C, D188,'Scores Import DO NOT EDIT'!M:M,A188)</f>
        <v>7</v>
      </c>
      <c r="G188" s="162">
        <f t="shared" si="2"/>
        <v>1</v>
      </c>
      <c r="H188" s="163" t="str">
        <f t="shared" si="3"/>
        <v>F-11114</v>
      </c>
      <c r="I188" s="113"/>
      <c r="J188" s="113"/>
      <c r="K188" s="113"/>
      <c r="L188" s="158"/>
      <c r="M188" s="166" t="s">
        <v>258</v>
      </c>
      <c r="N188" s="113"/>
      <c r="O188" s="113"/>
      <c r="P188" s="113"/>
      <c r="Q188" s="113"/>
      <c r="R188" s="113"/>
      <c r="S188" s="113"/>
      <c r="T188" s="113"/>
      <c r="U188" s="113"/>
      <c r="V188" s="113"/>
      <c r="W188" s="113"/>
      <c r="X188" s="113"/>
      <c r="Y188" s="113"/>
      <c r="Z188" s="113"/>
      <c r="AA188" s="113"/>
      <c r="AB188" s="113"/>
      <c r="AC188" s="113"/>
      <c r="AD188" s="113"/>
      <c r="AE188" s="113"/>
      <c r="AF188" s="113"/>
      <c r="AG188" s="113"/>
      <c r="AH188" s="113"/>
      <c r="AI188" s="113"/>
      <c r="AJ188" s="113"/>
      <c r="AK188" s="113"/>
      <c r="AL188" s="113"/>
      <c r="AM188" s="113"/>
      <c r="AN188" s="113"/>
      <c r="AO188" s="113"/>
      <c r="AP188" s="113"/>
      <c r="AQ188" s="113"/>
      <c r="AR188" s="113"/>
      <c r="AS188" s="113"/>
      <c r="AT188" s="113"/>
      <c r="AU188" s="113"/>
      <c r="AV188" s="113"/>
      <c r="AW188" s="113"/>
      <c r="AX188" s="113"/>
      <c r="AY188" s="113"/>
      <c r="AZ188" s="113"/>
      <c r="BA188" s="113"/>
      <c r="BB188" s="113"/>
      <c r="BC188" s="113"/>
      <c r="BD188" s="113"/>
      <c r="BE188" s="113"/>
      <c r="BF188" s="113"/>
      <c r="BG188" s="113"/>
      <c r="BH188" s="113"/>
      <c r="BI188" s="113"/>
      <c r="BJ188" s="113"/>
      <c r="BK188" s="113"/>
      <c r="BL188" s="113"/>
      <c r="BM188" s="113"/>
      <c r="BN188" s="113"/>
      <c r="BO188" s="113"/>
      <c r="BP188" s="113"/>
      <c r="BQ188" s="113"/>
      <c r="BR188" s="113"/>
      <c r="BS188" s="113"/>
      <c r="BT188" s="113"/>
      <c r="BU188" s="113"/>
      <c r="BV188" s="113"/>
      <c r="BW188" s="113"/>
      <c r="BX188" s="113"/>
      <c r="BY188" s="113"/>
      <c r="BZ188" s="113"/>
      <c r="CA188" s="113"/>
      <c r="CB188" s="113"/>
      <c r="CC188" s="113"/>
      <c r="CD188" s="113"/>
      <c r="CE188" s="113"/>
      <c r="CF188" s="113"/>
      <c r="CG188" s="113"/>
      <c r="CH188" s="113"/>
      <c r="CI188" s="113"/>
      <c r="CJ188" s="113"/>
      <c r="CK188" s="113"/>
      <c r="CL188" s="113"/>
      <c r="CM188" s="113"/>
      <c r="CN188" s="113"/>
      <c r="CO188" s="113"/>
      <c r="CP188" s="113"/>
      <c r="CQ188" s="113"/>
      <c r="CR188" s="113"/>
      <c r="CS188" s="113"/>
      <c r="CT188" s="113"/>
      <c r="CU188" s="113"/>
    </row>
    <row r="189">
      <c r="A189" s="159" t="str">
        <f>IFERROR(__xludf.DUMMYFUNCTION("""COMPUTED_VALUE"""),"F-1")</f>
        <v>F-1</v>
      </c>
      <c r="B189" s="113" t="str">
        <f>IFERROR(__xludf.DUMMYFUNCTION("""COMPUTED_VALUE"""),"Charlene E. Holkenbrink-Monk")</f>
        <v>Charlene E. Holkenbrink-Monk</v>
      </c>
      <c r="C189" s="113" t="str">
        <f>IFERROR(__xludf.DUMMYFUNCTION("""COMPUTED_VALUE"""),"Holkenbrink-Monk")</f>
        <v>Holkenbrink-Monk</v>
      </c>
      <c r="D189" s="158">
        <f>IFERROR(__xludf.DUMMYFUNCTION("""COMPUTED_VALUE"""),1058.0)</f>
        <v>1058</v>
      </c>
      <c r="E189" s="161">
        <f t="shared" si="1"/>
        <v>7</v>
      </c>
      <c r="F189" s="160">
        <f>COUNTIFS('Scores Import DO NOT EDIT'!C:C, D189,'Scores Import DO NOT EDIT'!M:M,A189)</f>
        <v>2</v>
      </c>
      <c r="G189" s="162">
        <f t="shared" si="2"/>
        <v>0.2857142857</v>
      </c>
      <c r="H189" s="163" t="str">
        <f t="shared" si="3"/>
        <v>F-11058</v>
      </c>
      <c r="I189" s="113"/>
      <c r="J189" s="113"/>
      <c r="K189" s="113"/>
      <c r="L189" s="158"/>
      <c r="M189" s="166" t="s">
        <v>260</v>
      </c>
      <c r="N189" s="113"/>
      <c r="O189" s="113"/>
      <c r="P189" s="113"/>
      <c r="Q189" s="113"/>
      <c r="R189" s="113"/>
      <c r="S189" s="113"/>
      <c r="T189" s="113"/>
      <c r="U189" s="113"/>
      <c r="V189" s="113"/>
      <c r="W189" s="113"/>
      <c r="X189" s="113"/>
      <c r="Y189" s="113"/>
      <c r="Z189" s="113"/>
      <c r="AA189" s="113"/>
      <c r="AB189" s="113"/>
      <c r="AC189" s="113"/>
      <c r="AD189" s="113"/>
      <c r="AE189" s="113"/>
      <c r="AF189" s="113"/>
      <c r="AG189" s="113"/>
      <c r="AH189" s="113"/>
      <c r="AI189" s="113"/>
      <c r="AJ189" s="113"/>
      <c r="AK189" s="113"/>
      <c r="AL189" s="113"/>
      <c r="AM189" s="113"/>
      <c r="AN189" s="113"/>
      <c r="AO189" s="113"/>
      <c r="AP189" s="113"/>
      <c r="AQ189" s="113"/>
      <c r="AR189" s="113"/>
      <c r="AS189" s="113"/>
      <c r="AT189" s="113"/>
      <c r="AU189" s="113"/>
      <c r="AV189" s="113"/>
      <c r="AW189" s="113"/>
      <c r="AX189" s="113"/>
      <c r="AY189" s="113"/>
      <c r="AZ189" s="113"/>
      <c r="BA189" s="113"/>
      <c r="BB189" s="113"/>
      <c r="BC189" s="113"/>
      <c r="BD189" s="113"/>
      <c r="BE189" s="113"/>
      <c r="BF189" s="113"/>
      <c r="BG189" s="113"/>
      <c r="BH189" s="113"/>
      <c r="BI189" s="113"/>
      <c r="BJ189" s="113"/>
      <c r="BK189" s="113"/>
      <c r="BL189" s="113"/>
      <c r="BM189" s="113"/>
      <c r="BN189" s="113"/>
      <c r="BO189" s="113"/>
      <c r="BP189" s="113"/>
      <c r="BQ189" s="113"/>
      <c r="BR189" s="113"/>
      <c r="BS189" s="113"/>
      <c r="BT189" s="113"/>
      <c r="BU189" s="113"/>
      <c r="BV189" s="113"/>
      <c r="BW189" s="113"/>
      <c r="BX189" s="113"/>
      <c r="BY189" s="113"/>
      <c r="BZ189" s="113"/>
      <c r="CA189" s="113"/>
      <c r="CB189" s="113"/>
      <c r="CC189" s="113"/>
      <c r="CD189" s="113"/>
      <c r="CE189" s="113"/>
      <c r="CF189" s="113"/>
      <c r="CG189" s="113"/>
      <c r="CH189" s="113"/>
      <c r="CI189" s="113"/>
      <c r="CJ189" s="113"/>
      <c r="CK189" s="113"/>
      <c r="CL189" s="113"/>
      <c r="CM189" s="113"/>
      <c r="CN189" s="113"/>
      <c r="CO189" s="113"/>
      <c r="CP189" s="113"/>
      <c r="CQ189" s="113"/>
      <c r="CR189" s="113"/>
      <c r="CS189" s="113"/>
      <c r="CT189" s="113"/>
      <c r="CU189" s="113"/>
    </row>
    <row r="190">
      <c r="A190" s="159" t="str">
        <f>IFERROR(__xludf.DUMMYFUNCTION("""COMPUTED_VALUE"""),"F-1")</f>
        <v>F-1</v>
      </c>
      <c r="B190" s="113" t="str">
        <f>IFERROR(__xludf.DUMMYFUNCTION("""COMPUTED_VALUE"""),"Kristine")</f>
        <v>Kristine</v>
      </c>
      <c r="C190" s="113" t="str">
        <f>IFERROR(__xludf.DUMMYFUNCTION("""COMPUTED_VALUE"""),"Ehrich")</f>
        <v>Ehrich</v>
      </c>
      <c r="D190" s="158">
        <f>IFERROR(__xludf.DUMMYFUNCTION("""COMPUTED_VALUE"""),1183.0)</f>
        <v>1183</v>
      </c>
      <c r="E190" s="161">
        <f t="shared" si="1"/>
        <v>7</v>
      </c>
      <c r="F190" s="160">
        <f>COUNTIFS('Scores Import DO NOT EDIT'!C:C, D190,'Scores Import DO NOT EDIT'!M:M,A190)</f>
        <v>7</v>
      </c>
      <c r="G190" s="162">
        <f t="shared" si="2"/>
        <v>1</v>
      </c>
      <c r="H190" s="163" t="str">
        <f t="shared" si="3"/>
        <v>F-11183</v>
      </c>
      <c r="I190" s="113"/>
      <c r="J190" s="113"/>
      <c r="K190" s="113"/>
      <c r="L190" s="158"/>
      <c r="M190" s="166" t="s">
        <v>256</v>
      </c>
      <c r="N190" s="113"/>
      <c r="O190" s="113"/>
      <c r="P190" s="113"/>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c r="AT190" s="113"/>
      <c r="AU190" s="113"/>
      <c r="AV190" s="113"/>
      <c r="AW190" s="113"/>
      <c r="AX190" s="113"/>
      <c r="AY190" s="113"/>
      <c r="AZ190" s="113"/>
      <c r="BA190" s="113"/>
      <c r="BB190" s="113"/>
      <c r="BC190" s="113"/>
      <c r="BD190" s="113"/>
      <c r="BE190" s="113"/>
      <c r="BF190" s="113"/>
      <c r="BG190" s="113"/>
      <c r="BH190" s="113"/>
      <c r="BI190" s="113"/>
      <c r="BJ190" s="113"/>
      <c r="BK190" s="113"/>
      <c r="BL190" s="113"/>
      <c r="BM190" s="113"/>
      <c r="BN190" s="113"/>
      <c r="BO190" s="113"/>
      <c r="BP190" s="113"/>
      <c r="BQ190" s="113"/>
      <c r="BR190" s="113"/>
      <c r="BS190" s="113"/>
      <c r="BT190" s="113"/>
      <c r="BU190" s="113"/>
      <c r="BV190" s="113"/>
      <c r="BW190" s="113"/>
      <c r="BX190" s="113"/>
      <c r="BY190" s="113"/>
      <c r="BZ190" s="113"/>
      <c r="CA190" s="113"/>
      <c r="CB190" s="113"/>
      <c r="CC190" s="113"/>
      <c r="CD190" s="113"/>
      <c r="CE190" s="113"/>
      <c r="CF190" s="113"/>
      <c r="CG190" s="113"/>
      <c r="CH190" s="113"/>
      <c r="CI190" s="113"/>
      <c r="CJ190" s="113"/>
      <c r="CK190" s="113"/>
      <c r="CL190" s="113"/>
      <c r="CM190" s="113"/>
      <c r="CN190" s="113"/>
      <c r="CO190" s="113"/>
      <c r="CP190" s="113"/>
      <c r="CQ190" s="113"/>
      <c r="CR190" s="113"/>
      <c r="CS190" s="113"/>
      <c r="CT190" s="113"/>
      <c r="CU190" s="113"/>
    </row>
    <row r="191">
      <c r="A191" s="159" t="str">
        <f>IFERROR(__xludf.DUMMYFUNCTION("""COMPUTED_VALUE"""),"F-1")</f>
        <v>F-1</v>
      </c>
      <c r="B191" s="113" t="str">
        <f>IFERROR(__xludf.DUMMYFUNCTION("""COMPUTED_VALUE"""),"Valeria")</f>
        <v>Valeria</v>
      </c>
      <c r="C191" s="113" t="str">
        <f>IFERROR(__xludf.DUMMYFUNCTION("""COMPUTED_VALUE"""),"Ochoa")</f>
        <v>Ochoa</v>
      </c>
      <c r="D191" s="158">
        <f>IFERROR(__xludf.DUMMYFUNCTION("""COMPUTED_VALUE"""),1219.0)</f>
        <v>1219</v>
      </c>
      <c r="E191" s="161">
        <f t="shared" si="1"/>
        <v>7</v>
      </c>
      <c r="F191" s="160">
        <f>COUNTIFS('Scores Import DO NOT EDIT'!C:C, D191,'Scores Import DO NOT EDIT'!M:M,A191)</f>
        <v>7</v>
      </c>
      <c r="G191" s="162">
        <f t="shared" si="2"/>
        <v>1</v>
      </c>
      <c r="H191" s="163" t="str">
        <f t="shared" si="3"/>
        <v>F-11219</v>
      </c>
      <c r="I191" s="113"/>
      <c r="J191" s="113"/>
      <c r="K191" s="113"/>
      <c r="L191" s="158"/>
      <c r="M191" s="166" t="s">
        <v>259</v>
      </c>
      <c r="N191" s="113"/>
      <c r="O191" s="113"/>
      <c r="P191" s="113"/>
      <c r="Q191" s="113"/>
      <c r="R191" s="113"/>
      <c r="S191" s="113"/>
      <c r="T191" s="113"/>
      <c r="U191" s="113"/>
      <c r="V191" s="113"/>
      <c r="W191" s="113"/>
      <c r="X191" s="113"/>
      <c r="Y191" s="113"/>
      <c r="Z191" s="113"/>
      <c r="AA191" s="113"/>
      <c r="AB191" s="113"/>
      <c r="AC191" s="113"/>
      <c r="AD191" s="113"/>
      <c r="AE191" s="113"/>
      <c r="AF191" s="113"/>
      <c r="AG191" s="113"/>
      <c r="AH191" s="113"/>
      <c r="AI191" s="113"/>
      <c r="AJ191" s="113"/>
      <c r="AK191" s="113"/>
      <c r="AL191" s="113"/>
      <c r="AM191" s="113"/>
      <c r="AN191" s="113"/>
      <c r="AO191" s="113"/>
      <c r="AP191" s="113"/>
      <c r="AQ191" s="113"/>
      <c r="AR191" s="113"/>
      <c r="AS191" s="113"/>
      <c r="AT191" s="113"/>
      <c r="AU191" s="113"/>
      <c r="AV191" s="113"/>
      <c r="AW191" s="113"/>
      <c r="AX191" s="113"/>
      <c r="AY191" s="113"/>
      <c r="AZ191" s="113"/>
      <c r="BA191" s="113"/>
      <c r="BB191" s="113"/>
      <c r="BC191" s="113"/>
      <c r="BD191" s="113"/>
      <c r="BE191" s="113"/>
      <c r="BF191" s="113"/>
      <c r="BG191" s="113"/>
      <c r="BH191" s="113"/>
      <c r="BI191" s="113"/>
      <c r="BJ191" s="113"/>
      <c r="BK191" s="113"/>
      <c r="BL191" s="113"/>
      <c r="BM191" s="113"/>
      <c r="BN191" s="113"/>
      <c r="BO191" s="113"/>
      <c r="BP191" s="113"/>
      <c r="BQ191" s="113"/>
      <c r="BR191" s="113"/>
      <c r="BS191" s="113"/>
      <c r="BT191" s="113"/>
      <c r="BU191" s="113"/>
      <c r="BV191" s="113"/>
      <c r="BW191" s="113"/>
      <c r="BX191" s="113"/>
      <c r="BY191" s="113"/>
      <c r="BZ191" s="113"/>
      <c r="CA191" s="113"/>
      <c r="CB191" s="113"/>
      <c r="CC191" s="113"/>
      <c r="CD191" s="113"/>
      <c r="CE191" s="113"/>
      <c r="CF191" s="113"/>
      <c r="CG191" s="113"/>
      <c r="CH191" s="113"/>
      <c r="CI191" s="113"/>
      <c r="CJ191" s="113"/>
      <c r="CK191" s="113"/>
      <c r="CL191" s="113"/>
      <c r="CM191" s="113"/>
      <c r="CN191" s="113"/>
      <c r="CO191" s="113"/>
      <c r="CP191" s="113"/>
      <c r="CQ191" s="113"/>
      <c r="CR191" s="113"/>
      <c r="CS191" s="113"/>
      <c r="CT191" s="113"/>
      <c r="CU191" s="113"/>
    </row>
    <row r="192">
      <c r="A192" s="159" t="str">
        <f>IFERROR(__xludf.DUMMYFUNCTION("""COMPUTED_VALUE"""),"F-10")</f>
        <v>F-10</v>
      </c>
      <c r="B192" s="113" t="str">
        <f>IFERROR(__xludf.DUMMYFUNCTION("""COMPUTED_VALUE"""),"Qingqing")</f>
        <v>Qingqing</v>
      </c>
      <c r="C192" s="113" t="str">
        <f>IFERROR(__xludf.DUMMYFUNCTION("""COMPUTED_VALUE"""),"He")</f>
        <v>He</v>
      </c>
      <c r="D192" s="158">
        <f>IFERROR(__xludf.DUMMYFUNCTION("""COMPUTED_VALUE"""),1222.0)</f>
        <v>1222</v>
      </c>
      <c r="E192" s="161">
        <f t="shared" si="1"/>
        <v>5</v>
      </c>
      <c r="F192" s="160">
        <f>COUNTIFS('Scores Import DO NOT EDIT'!C:C, D192,'Scores Import DO NOT EDIT'!M:M,A192)</f>
        <v>4</v>
      </c>
      <c r="G192" s="162">
        <f t="shared" si="2"/>
        <v>0.8</v>
      </c>
      <c r="H192" s="163" t="str">
        <f t="shared" si="3"/>
        <v>F-101222</v>
      </c>
      <c r="I192" s="113"/>
      <c r="J192" s="113"/>
      <c r="K192" s="113"/>
      <c r="L192" s="158"/>
      <c r="M192" s="166" t="s">
        <v>257</v>
      </c>
      <c r="N192" s="113"/>
      <c r="O192" s="113"/>
      <c r="P192" s="113"/>
      <c r="Q192" s="113"/>
      <c r="R192" s="113"/>
      <c r="S192" s="113"/>
      <c r="T192" s="113"/>
      <c r="U192" s="113"/>
      <c r="V192" s="113"/>
      <c r="W192" s="113"/>
      <c r="X192" s="113"/>
      <c r="Y192" s="113"/>
      <c r="Z192" s="113"/>
      <c r="AA192" s="113"/>
      <c r="AB192" s="113"/>
      <c r="AC192" s="113"/>
      <c r="AD192" s="113"/>
      <c r="AE192" s="113"/>
      <c r="AF192" s="113"/>
      <c r="AG192" s="113"/>
      <c r="AH192" s="113"/>
      <c r="AI192" s="113"/>
      <c r="AJ192" s="113"/>
      <c r="AK192" s="113"/>
      <c r="AL192" s="113"/>
      <c r="AM192" s="113"/>
      <c r="AN192" s="113"/>
      <c r="AO192" s="113"/>
      <c r="AP192" s="113"/>
      <c r="AQ192" s="113"/>
      <c r="AR192" s="113"/>
      <c r="AS192" s="113"/>
      <c r="AT192" s="113"/>
      <c r="AU192" s="113"/>
      <c r="AV192" s="113"/>
      <c r="AW192" s="113"/>
      <c r="AX192" s="113"/>
      <c r="AY192" s="113"/>
      <c r="AZ192" s="113"/>
      <c r="BA192" s="113"/>
      <c r="BB192" s="113"/>
      <c r="BC192" s="113"/>
      <c r="BD192" s="113"/>
      <c r="BE192" s="113"/>
      <c r="BF192" s="113"/>
      <c r="BG192" s="113"/>
      <c r="BH192" s="113"/>
      <c r="BI192" s="113"/>
      <c r="BJ192" s="113"/>
      <c r="BK192" s="113"/>
      <c r="BL192" s="113"/>
      <c r="BM192" s="113"/>
      <c r="BN192" s="113"/>
      <c r="BO192" s="113"/>
      <c r="BP192" s="113"/>
      <c r="BQ192" s="113"/>
      <c r="BR192" s="113"/>
      <c r="BS192" s="113"/>
      <c r="BT192" s="113"/>
      <c r="BU192" s="113"/>
      <c r="BV192" s="113"/>
      <c r="BW192" s="113"/>
      <c r="BX192" s="113"/>
      <c r="BY192" s="113"/>
      <c r="BZ192" s="113"/>
      <c r="CA192" s="113"/>
      <c r="CB192" s="113"/>
      <c r="CC192" s="113"/>
      <c r="CD192" s="113"/>
      <c r="CE192" s="113"/>
      <c r="CF192" s="113"/>
      <c r="CG192" s="113"/>
      <c r="CH192" s="113"/>
      <c r="CI192" s="113"/>
      <c r="CJ192" s="113"/>
      <c r="CK192" s="113"/>
      <c r="CL192" s="113"/>
      <c r="CM192" s="113"/>
      <c r="CN192" s="113"/>
      <c r="CO192" s="113"/>
      <c r="CP192" s="113"/>
      <c r="CQ192" s="113"/>
      <c r="CR192" s="113"/>
      <c r="CS192" s="113"/>
      <c r="CT192" s="113"/>
      <c r="CU192" s="113"/>
    </row>
    <row r="193">
      <c r="A193" s="159" t="str">
        <f>IFERROR(__xludf.DUMMYFUNCTION("""COMPUTED_VALUE"""),"F-10")</f>
        <v>F-10</v>
      </c>
      <c r="B193" s="113" t="str">
        <f>IFERROR(__xludf.DUMMYFUNCTION("""COMPUTED_VALUE"""),"Trent")</f>
        <v>Trent</v>
      </c>
      <c r="C193" s="113" t="str">
        <f>IFERROR(__xludf.DUMMYFUNCTION("""COMPUTED_VALUE"""),"Biggs")</f>
        <v>Biggs</v>
      </c>
      <c r="D193" s="158">
        <f>IFERROR(__xludf.DUMMYFUNCTION("""COMPUTED_VALUE"""),1146.0)</f>
        <v>1146</v>
      </c>
      <c r="E193" s="161">
        <f t="shared" si="1"/>
        <v>5</v>
      </c>
      <c r="F193" s="160">
        <f>COUNTIFS('Scores Import DO NOT EDIT'!C:C, D193,'Scores Import DO NOT EDIT'!M:M,A193)</f>
        <v>4</v>
      </c>
      <c r="G193" s="162">
        <f t="shared" si="2"/>
        <v>0.8</v>
      </c>
      <c r="H193" s="163" t="str">
        <f t="shared" si="3"/>
        <v>F-101146</v>
      </c>
      <c r="I193" s="113"/>
      <c r="J193" s="113"/>
      <c r="K193" s="113"/>
      <c r="L193" s="158"/>
      <c r="M193" s="166" t="s">
        <v>255</v>
      </c>
      <c r="N193" s="113"/>
      <c r="O193" s="113"/>
      <c r="P193" s="113"/>
      <c r="Q193" s="113"/>
      <c r="R193" s="113"/>
      <c r="S193" s="113"/>
      <c r="T193" s="113"/>
      <c r="U193" s="113"/>
      <c r="V193" s="113"/>
      <c r="W193" s="113"/>
      <c r="X193" s="113"/>
      <c r="Y193" s="113"/>
      <c r="Z193" s="113"/>
      <c r="AA193" s="113"/>
      <c r="AB193" s="113"/>
      <c r="AC193" s="113"/>
      <c r="AD193" s="113"/>
      <c r="AE193" s="113"/>
      <c r="AF193" s="113"/>
      <c r="AG193" s="113"/>
      <c r="AH193" s="113"/>
      <c r="AI193" s="113"/>
      <c r="AJ193" s="113"/>
      <c r="AK193" s="113"/>
      <c r="AL193" s="113"/>
      <c r="AM193" s="113"/>
      <c r="AN193" s="113"/>
      <c r="AO193" s="113"/>
      <c r="AP193" s="113"/>
      <c r="AQ193" s="113"/>
      <c r="AR193" s="113"/>
      <c r="AS193" s="113"/>
      <c r="AT193" s="113"/>
      <c r="AU193" s="113"/>
      <c r="AV193" s="113"/>
      <c r="AW193" s="113"/>
      <c r="AX193" s="113"/>
      <c r="AY193" s="113"/>
      <c r="AZ193" s="113"/>
      <c r="BA193" s="113"/>
      <c r="BB193" s="113"/>
      <c r="BC193" s="113"/>
      <c r="BD193" s="113"/>
      <c r="BE193" s="113"/>
      <c r="BF193" s="113"/>
      <c r="BG193" s="113"/>
      <c r="BH193" s="113"/>
      <c r="BI193" s="113"/>
      <c r="BJ193" s="113"/>
      <c r="BK193" s="113"/>
      <c r="BL193" s="113"/>
      <c r="BM193" s="113"/>
      <c r="BN193" s="113"/>
      <c r="BO193" s="113"/>
      <c r="BP193" s="113"/>
      <c r="BQ193" s="113"/>
      <c r="BR193" s="113"/>
      <c r="BS193" s="113"/>
      <c r="BT193" s="113"/>
      <c r="BU193" s="113"/>
      <c r="BV193" s="113"/>
      <c r="BW193" s="113"/>
      <c r="BX193" s="113"/>
      <c r="BY193" s="113"/>
      <c r="BZ193" s="113"/>
      <c r="CA193" s="113"/>
      <c r="CB193" s="113"/>
      <c r="CC193" s="113"/>
      <c r="CD193" s="113"/>
      <c r="CE193" s="113"/>
      <c r="CF193" s="113"/>
      <c r="CG193" s="113"/>
      <c r="CH193" s="113"/>
      <c r="CI193" s="113"/>
      <c r="CJ193" s="113"/>
      <c r="CK193" s="113"/>
      <c r="CL193" s="113"/>
      <c r="CM193" s="113"/>
      <c r="CN193" s="113"/>
      <c r="CO193" s="113"/>
      <c r="CP193" s="113"/>
      <c r="CQ193" s="113"/>
      <c r="CR193" s="113"/>
      <c r="CS193" s="113"/>
      <c r="CT193" s="113"/>
      <c r="CU193" s="113"/>
    </row>
    <row r="194">
      <c r="A194" s="159" t="str">
        <f>IFERROR(__xludf.DUMMYFUNCTION("""COMPUTED_VALUE"""),"F-10")</f>
        <v>F-10</v>
      </c>
      <c r="B194" s="113" t="str">
        <f>IFERROR(__xludf.DUMMYFUNCTION("""COMPUTED_VALUE"""),"Miranda")</f>
        <v>Miranda</v>
      </c>
      <c r="C194" s="113" t="str">
        <f>IFERROR(__xludf.DUMMYFUNCTION("""COMPUTED_VALUE"""),"Parker")</f>
        <v>Parker</v>
      </c>
      <c r="D194" s="158">
        <f>IFERROR(__xludf.DUMMYFUNCTION("""COMPUTED_VALUE"""),1149.0)</f>
        <v>1149</v>
      </c>
      <c r="E194" s="161">
        <f t="shared" si="1"/>
        <v>5</v>
      </c>
      <c r="F194" s="160">
        <f>COUNTIFS('Scores Import DO NOT EDIT'!C:C, D194,'Scores Import DO NOT EDIT'!M:M,A194)</f>
        <v>2</v>
      </c>
      <c r="G194" s="162">
        <f t="shared" si="2"/>
        <v>0.4</v>
      </c>
      <c r="H194" s="163" t="str">
        <f t="shared" si="3"/>
        <v>F-101149</v>
      </c>
      <c r="I194" s="113"/>
      <c r="J194" s="113"/>
      <c r="K194" s="113"/>
      <c r="L194" s="158"/>
      <c r="M194" s="166" t="s">
        <v>264</v>
      </c>
      <c r="N194" s="113"/>
      <c r="O194" s="113"/>
      <c r="P194" s="113"/>
      <c r="Q194" s="113"/>
      <c r="R194" s="113"/>
      <c r="S194" s="113"/>
      <c r="T194" s="113"/>
      <c r="U194" s="113"/>
      <c r="V194" s="113"/>
      <c r="W194" s="113"/>
      <c r="X194" s="113"/>
      <c r="Y194" s="113"/>
      <c r="Z194" s="113"/>
      <c r="AA194" s="113"/>
      <c r="AB194" s="113"/>
      <c r="AC194" s="113"/>
      <c r="AD194" s="113"/>
      <c r="AE194" s="113"/>
      <c r="AF194" s="113"/>
      <c r="AG194" s="113"/>
      <c r="AH194" s="113"/>
      <c r="AI194" s="113"/>
      <c r="AJ194" s="113"/>
      <c r="AK194" s="113"/>
      <c r="AL194" s="113"/>
      <c r="AM194" s="113"/>
      <c r="AN194" s="113"/>
      <c r="AO194" s="113"/>
      <c r="AP194" s="113"/>
      <c r="AQ194" s="113"/>
      <c r="AR194" s="113"/>
      <c r="AS194" s="113"/>
      <c r="AT194" s="113"/>
      <c r="AU194" s="113"/>
      <c r="AV194" s="113"/>
      <c r="AW194" s="113"/>
      <c r="AX194" s="113"/>
      <c r="AY194" s="113"/>
      <c r="AZ194" s="113"/>
      <c r="BA194" s="113"/>
      <c r="BB194" s="113"/>
      <c r="BC194" s="113"/>
      <c r="BD194" s="113"/>
      <c r="BE194" s="113"/>
      <c r="BF194" s="113"/>
      <c r="BG194" s="113"/>
      <c r="BH194" s="113"/>
      <c r="BI194" s="113"/>
      <c r="BJ194" s="113"/>
      <c r="BK194" s="113"/>
      <c r="BL194" s="113"/>
      <c r="BM194" s="113"/>
      <c r="BN194" s="113"/>
      <c r="BO194" s="113"/>
      <c r="BP194" s="113"/>
      <c r="BQ194" s="113"/>
      <c r="BR194" s="113"/>
      <c r="BS194" s="113"/>
      <c r="BT194" s="113"/>
      <c r="BU194" s="113"/>
      <c r="BV194" s="113"/>
      <c r="BW194" s="113"/>
      <c r="BX194" s="113"/>
      <c r="BY194" s="113"/>
      <c r="BZ194" s="113"/>
      <c r="CA194" s="113"/>
      <c r="CB194" s="113"/>
      <c r="CC194" s="113"/>
      <c r="CD194" s="113"/>
      <c r="CE194" s="113"/>
      <c r="CF194" s="113"/>
      <c r="CG194" s="113"/>
      <c r="CH194" s="113"/>
      <c r="CI194" s="113"/>
      <c r="CJ194" s="113"/>
      <c r="CK194" s="113"/>
      <c r="CL194" s="113"/>
      <c r="CM194" s="113"/>
      <c r="CN194" s="113"/>
      <c r="CO194" s="113"/>
      <c r="CP194" s="113"/>
      <c r="CQ194" s="113"/>
      <c r="CR194" s="113"/>
      <c r="CS194" s="113"/>
      <c r="CT194" s="113"/>
      <c r="CU194" s="113"/>
    </row>
    <row r="195">
      <c r="A195" s="159" t="str">
        <f>IFERROR(__xludf.DUMMYFUNCTION("""COMPUTED_VALUE"""),"F-10")</f>
        <v>F-10</v>
      </c>
      <c r="B195" s="113" t="str">
        <f>IFERROR(__xludf.DUMMYFUNCTION("""COMPUTED_VALUE"""),"David")</f>
        <v>David</v>
      </c>
      <c r="C195" s="113" t="str">
        <f>IFERROR(__xludf.DUMMYFUNCTION("""COMPUTED_VALUE"""),"Trejo")</f>
        <v>Trejo</v>
      </c>
      <c r="D195" s="158">
        <f>IFERROR(__xludf.DUMMYFUNCTION("""COMPUTED_VALUE"""),1170.0)</f>
        <v>1170</v>
      </c>
      <c r="E195" s="161">
        <f t="shared" si="1"/>
        <v>5</v>
      </c>
      <c r="F195" s="160">
        <f>COUNTIFS('Scores Import DO NOT EDIT'!C:C, D195,'Scores Import DO NOT EDIT'!M:M,A195)</f>
        <v>4</v>
      </c>
      <c r="G195" s="162">
        <f t="shared" si="2"/>
        <v>0.8</v>
      </c>
      <c r="H195" s="163" t="str">
        <f t="shared" si="3"/>
        <v>F-101170</v>
      </c>
      <c r="I195" s="113"/>
      <c r="J195" s="113"/>
      <c r="K195" s="113"/>
      <c r="L195" s="158"/>
      <c r="M195" s="166" t="s">
        <v>262</v>
      </c>
      <c r="N195" s="113"/>
      <c r="O195" s="113"/>
      <c r="P195" s="113"/>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c r="AT195" s="113"/>
      <c r="AU195" s="113"/>
      <c r="AV195" s="113"/>
      <c r="AW195" s="113"/>
      <c r="AX195" s="113"/>
      <c r="AY195" s="113"/>
      <c r="AZ195" s="113"/>
      <c r="BA195" s="113"/>
      <c r="BB195" s="113"/>
      <c r="BC195" s="113"/>
      <c r="BD195" s="113"/>
      <c r="BE195" s="113"/>
      <c r="BF195" s="113"/>
      <c r="BG195" s="113"/>
      <c r="BH195" s="113"/>
      <c r="BI195" s="113"/>
      <c r="BJ195" s="113"/>
      <c r="BK195" s="113"/>
      <c r="BL195" s="113"/>
      <c r="BM195" s="113"/>
      <c r="BN195" s="113"/>
      <c r="BO195" s="113"/>
      <c r="BP195" s="113"/>
      <c r="BQ195" s="113"/>
      <c r="BR195" s="113"/>
      <c r="BS195" s="113"/>
      <c r="BT195" s="113"/>
      <c r="BU195" s="113"/>
      <c r="BV195" s="113"/>
      <c r="BW195" s="113"/>
      <c r="BX195" s="113"/>
      <c r="BY195" s="113"/>
      <c r="BZ195" s="113"/>
      <c r="CA195" s="113"/>
      <c r="CB195" s="113"/>
      <c r="CC195" s="113"/>
      <c r="CD195" s="113"/>
      <c r="CE195" s="113"/>
      <c r="CF195" s="113"/>
      <c r="CG195" s="113"/>
      <c r="CH195" s="113"/>
      <c r="CI195" s="113"/>
      <c r="CJ195" s="113"/>
      <c r="CK195" s="113"/>
      <c r="CL195" s="113"/>
      <c r="CM195" s="113"/>
      <c r="CN195" s="113"/>
      <c r="CO195" s="113"/>
      <c r="CP195" s="113"/>
      <c r="CQ195" s="113"/>
      <c r="CR195" s="113"/>
      <c r="CS195" s="113"/>
      <c r="CT195" s="113"/>
      <c r="CU195" s="113"/>
    </row>
    <row r="196">
      <c r="A196" s="159" t="str">
        <f>IFERROR(__xludf.DUMMYFUNCTION("""COMPUTED_VALUE"""),"F-10")</f>
        <v>F-10</v>
      </c>
      <c r="B196" s="113" t="str">
        <f>IFERROR(__xludf.DUMMYFUNCTION("""COMPUTED_VALUE"""),"Matthew")</f>
        <v>Matthew</v>
      </c>
      <c r="C196" s="113" t="str">
        <f>IFERROR(__xludf.DUMMYFUNCTION("""COMPUTED_VALUE"""),"Verbyla")</f>
        <v>Verbyla</v>
      </c>
      <c r="D196" s="158">
        <f>IFERROR(__xludf.DUMMYFUNCTION("""COMPUTED_VALUE"""),1159.0)</f>
        <v>1159</v>
      </c>
      <c r="E196" s="161">
        <f t="shared" si="1"/>
        <v>5</v>
      </c>
      <c r="F196" s="160">
        <f>COUNTIFS('Scores Import DO NOT EDIT'!C:C, D196,'Scores Import DO NOT EDIT'!M:M,A196)</f>
        <v>4</v>
      </c>
      <c r="G196" s="162">
        <f t="shared" si="2"/>
        <v>0.8</v>
      </c>
      <c r="H196" s="163" t="str">
        <f t="shared" si="3"/>
        <v>F-101159</v>
      </c>
      <c r="I196" s="113"/>
      <c r="J196" s="113"/>
      <c r="K196" s="113"/>
      <c r="L196" s="158"/>
      <c r="M196" s="166" t="s">
        <v>263</v>
      </c>
      <c r="N196" s="113"/>
      <c r="O196" s="113"/>
      <c r="P196" s="113"/>
      <c r="Q196" s="113"/>
      <c r="R196" s="113"/>
      <c r="S196" s="113"/>
      <c r="T196" s="113"/>
      <c r="U196" s="113"/>
      <c r="V196" s="113"/>
      <c r="W196" s="113"/>
      <c r="X196" s="113"/>
      <c r="Y196" s="113"/>
      <c r="Z196" s="113"/>
      <c r="AA196" s="113"/>
      <c r="AB196" s="113"/>
      <c r="AC196" s="113"/>
      <c r="AD196" s="113"/>
      <c r="AE196" s="113"/>
      <c r="AF196" s="113"/>
      <c r="AG196" s="113"/>
      <c r="AH196" s="113"/>
      <c r="AI196" s="113"/>
      <c r="AJ196" s="113"/>
      <c r="AK196" s="113"/>
      <c r="AL196" s="113"/>
      <c r="AM196" s="113"/>
      <c r="AN196" s="113"/>
      <c r="AO196" s="113"/>
      <c r="AP196" s="113"/>
      <c r="AQ196" s="113"/>
      <c r="AR196" s="113"/>
      <c r="AS196" s="113"/>
      <c r="AT196" s="113"/>
      <c r="AU196" s="113"/>
      <c r="AV196" s="113"/>
      <c r="AW196" s="113"/>
      <c r="AX196" s="113"/>
      <c r="AY196" s="113"/>
      <c r="AZ196" s="113"/>
      <c r="BA196" s="113"/>
      <c r="BB196" s="113"/>
      <c r="BC196" s="113"/>
      <c r="BD196" s="113"/>
      <c r="BE196" s="113"/>
      <c r="BF196" s="113"/>
      <c r="BG196" s="113"/>
      <c r="BH196" s="113"/>
      <c r="BI196" s="113"/>
      <c r="BJ196" s="113"/>
      <c r="BK196" s="113"/>
      <c r="BL196" s="113"/>
      <c r="BM196" s="113"/>
      <c r="BN196" s="113"/>
      <c r="BO196" s="113"/>
      <c r="BP196" s="113"/>
      <c r="BQ196" s="113"/>
      <c r="BR196" s="113"/>
      <c r="BS196" s="113"/>
      <c r="BT196" s="113"/>
      <c r="BU196" s="113"/>
      <c r="BV196" s="113"/>
      <c r="BW196" s="113"/>
      <c r="BX196" s="113"/>
      <c r="BY196" s="113"/>
      <c r="BZ196" s="113"/>
      <c r="CA196" s="113"/>
      <c r="CB196" s="113"/>
      <c r="CC196" s="113"/>
      <c r="CD196" s="113"/>
      <c r="CE196" s="113"/>
      <c r="CF196" s="113"/>
      <c r="CG196" s="113"/>
      <c r="CH196" s="113"/>
      <c r="CI196" s="113"/>
      <c r="CJ196" s="113"/>
      <c r="CK196" s="113"/>
      <c r="CL196" s="113"/>
      <c r="CM196" s="113"/>
      <c r="CN196" s="113"/>
      <c r="CO196" s="113"/>
      <c r="CP196" s="113"/>
      <c r="CQ196" s="113"/>
      <c r="CR196" s="113"/>
      <c r="CS196" s="113"/>
      <c r="CT196" s="113"/>
      <c r="CU196" s="113"/>
    </row>
    <row r="197">
      <c r="A197" s="159" t="str">
        <f>IFERROR(__xludf.DUMMYFUNCTION("""COMPUTED_VALUE"""),"F-11")</f>
        <v>F-11</v>
      </c>
      <c r="B197" s="113" t="str">
        <f>IFERROR(__xludf.DUMMYFUNCTION("""COMPUTED_VALUE"""),"Kelly")</f>
        <v>Kelly</v>
      </c>
      <c r="C197" s="113" t="str">
        <f>IFERROR(__xludf.DUMMYFUNCTION("""COMPUTED_VALUE"""),"Sawyer")</f>
        <v>Sawyer</v>
      </c>
      <c r="D197" s="158">
        <f>IFERROR(__xludf.DUMMYFUNCTION("""COMPUTED_VALUE"""),1196.0)</f>
        <v>1196</v>
      </c>
      <c r="E197" s="161">
        <f t="shared" si="1"/>
        <v>7</v>
      </c>
      <c r="F197" s="160">
        <f>COUNTIFS('Scores Import DO NOT EDIT'!C:C, D197,'Scores Import DO NOT EDIT'!M:M,A197)</f>
        <v>5</v>
      </c>
      <c r="G197" s="162">
        <f t="shared" si="2"/>
        <v>0.7142857143</v>
      </c>
      <c r="H197" s="163" t="str">
        <f t="shared" si="3"/>
        <v>F-111196</v>
      </c>
      <c r="I197" s="113"/>
      <c r="J197" s="113"/>
      <c r="K197" s="113"/>
      <c r="L197" s="158"/>
      <c r="M197" s="166" t="s">
        <v>261</v>
      </c>
      <c r="N197" s="113"/>
      <c r="O197" s="113"/>
      <c r="P197" s="113"/>
      <c r="Q197" s="113"/>
      <c r="R197" s="113"/>
      <c r="S197" s="113"/>
      <c r="T197" s="113"/>
      <c r="U197" s="113"/>
      <c r="V197" s="113"/>
      <c r="W197" s="113"/>
      <c r="X197" s="113"/>
      <c r="Y197" s="113"/>
      <c r="Z197" s="113"/>
      <c r="AA197" s="113"/>
      <c r="AB197" s="113"/>
      <c r="AC197" s="113"/>
      <c r="AD197" s="113"/>
      <c r="AE197" s="113"/>
      <c r="AF197" s="113"/>
      <c r="AG197" s="113"/>
      <c r="AH197" s="113"/>
      <c r="AI197" s="113"/>
      <c r="AJ197" s="113"/>
      <c r="AK197" s="113"/>
      <c r="AL197" s="113"/>
      <c r="AM197" s="113"/>
      <c r="AN197" s="113"/>
      <c r="AO197" s="113"/>
      <c r="AP197" s="113"/>
      <c r="AQ197" s="113"/>
      <c r="AR197" s="113"/>
      <c r="AS197" s="113"/>
      <c r="AT197" s="113"/>
      <c r="AU197" s="113"/>
      <c r="AV197" s="113"/>
      <c r="AW197" s="113"/>
      <c r="AX197" s="113"/>
      <c r="AY197" s="113"/>
      <c r="AZ197" s="113"/>
      <c r="BA197" s="113"/>
      <c r="BB197" s="113"/>
      <c r="BC197" s="113"/>
      <c r="BD197" s="113"/>
      <c r="BE197" s="113"/>
      <c r="BF197" s="113"/>
      <c r="BG197" s="113"/>
      <c r="BH197" s="113"/>
      <c r="BI197" s="113"/>
      <c r="BJ197" s="113"/>
      <c r="BK197" s="113"/>
      <c r="BL197" s="113"/>
      <c r="BM197" s="113"/>
      <c r="BN197" s="113"/>
      <c r="BO197" s="113"/>
      <c r="BP197" s="113"/>
      <c r="BQ197" s="113"/>
      <c r="BR197" s="113"/>
      <c r="BS197" s="113"/>
      <c r="BT197" s="113"/>
      <c r="BU197" s="113"/>
      <c r="BV197" s="113"/>
      <c r="BW197" s="113"/>
      <c r="BX197" s="113"/>
      <c r="BY197" s="113"/>
      <c r="BZ197" s="113"/>
      <c r="CA197" s="113"/>
      <c r="CB197" s="113"/>
      <c r="CC197" s="113"/>
      <c r="CD197" s="113"/>
      <c r="CE197" s="113"/>
      <c r="CF197" s="113"/>
      <c r="CG197" s="113"/>
      <c r="CH197" s="113"/>
      <c r="CI197" s="113"/>
      <c r="CJ197" s="113"/>
      <c r="CK197" s="113"/>
      <c r="CL197" s="113"/>
      <c r="CM197" s="113"/>
      <c r="CN197" s="113"/>
      <c r="CO197" s="113"/>
      <c r="CP197" s="113"/>
      <c r="CQ197" s="113"/>
      <c r="CR197" s="113"/>
      <c r="CS197" s="113"/>
      <c r="CT197" s="113"/>
      <c r="CU197" s="113"/>
    </row>
    <row r="198">
      <c r="A198" s="159" t="str">
        <f>IFERROR(__xludf.DUMMYFUNCTION("""COMPUTED_VALUE"""),"F-11")</f>
        <v>F-11</v>
      </c>
      <c r="B198" s="113" t="str">
        <f>IFERROR(__xludf.DUMMYFUNCTION("""COMPUTED_VALUE"""),"Douglas C.")</f>
        <v>Douglas C.</v>
      </c>
      <c r="C198" s="113" t="str">
        <f>IFERROR(__xludf.DUMMYFUNCTION("""COMPUTED_VALUE"""),"Leonard")</f>
        <v>Leonard</v>
      </c>
      <c r="D198" s="158">
        <f>IFERROR(__xludf.DUMMYFUNCTION("""COMPUTED_VALUE"""),1040.0)</f>
        <v>1040</v>
      </c>
      <c r="E198" s="161">
        <f t="shared" si="1"/>
        <v>7</v>
      </c>
      <c r="F198" s="160">
        <f>COUNTIFS('Scores Import DO NOT EDIT'!C:C, D198,'Scores Import DO NOT EDIT'!M:M,A198)</f>
        <v>5</v>
      </c>
      <c r="G198" s="162">
        <f t="shared" si="2"/>
        <v>0.7142857143</v>
      </c>
      <c r="H198" s="163" t="str">
        <f t="shared" si="3"/>
        <v>F-111040</v>
      </c>
      <c r="I198" s="113"/>
      <c r="J198" s="113"/>
      <c r="K198" s="113"/>
      <c r="L198" s="158"/>
      <c r="M198" s="166" t="s">
        <v>267</v>
      </c>
      <c r="N198" s="113"/>
      <c r="O198" s="113"/>
      <c r="P198" s="113"/>
      <c r="Q198" s="113"/>
      <c r="R198" s="113"/>
      <c r="S198" s="113"/>
      <c r="T198" s="113"/>
      <c r="U198" s="113"/>
      <c r="V198" s="113"/>
      <c r="W198" s="113"/>
      <c r="X198" s="113"/>
      <c r="Y198" s="113"/>
      <c r="Z198" s="113"/>
      <c r="AA198" s="113"/>
      <c r="AB198" s="113"/>
      <c r="AC198" s="113"/>
      <c r="AD198" s="113"/>
      <c r="AE198" s="113"/>
      <c r="AF198" s="113"/>
      <c r="AG198" s="113"/>
      <c r="AH198" s="113"/>
      <c r="AI198" s="113"/>
      <c r="AJ198" s="113"/>
      <c r="AK198" s="113"/>
      <c r="AL198" s="113"/>
      <c r="AM198" s="113"/>
      <c r="AN198" s="113"/>
      <c r="AO198" s="113"/>
      <c r="AP198" s="113"/>
      <c r="AQ198" s="113"/>
      <c r="AR198" s="113"/>
      <c r="AS198" s="113"/>
      <c r="AT198" s="113"/>
      <c r="AU198" s="113"/>
      <c r="AV198" s="113"/>
      <c r="AW198" s="113"/>
      <c r="AX198" s="113"/>
      <c r="AY198" s="113"/>
      <c r="AZ198" s="113"/>
      <c r="BA198" s="113"/>
      <c r="BB198" s="113"/>
      <c r="BC198" s="113"/>
      <c r="BD198" s="113"/>
      <c r="BE198" s="113"/>
      <c r="BF198" s="113"/>
      <c r="BG198" s="113"/>
      <c r="BH198" s="113"/>
      <c r="BI198" s="113"/>
      <c r="BJ198" s="113"/>
      <c r="BK198" s="113"/>
      <c r="BL198" s="113"/>
      <c r="BM198" s="113"/>
      <c r="BN198" s="113"/>
      <c r="BO198" s="113"/>
      <c r="BP198" s="113"/>
      <c r="BQ198" s="113"/>
      <c r="BR198" s="113"/>
      <c r="BS198" s="113"/>
      <c r="BT198" s="113"/>
      <c r="BU198" s="113"/>
      <c r="BV198" s="113"/>
      <c r="BW198" s="113"/>
      <c r="BX198" s="113"/>
      <c r="BY198" s="113"/>
      <c r="BZ198" s="113"/>
      <c r="CA198" s="113"/>
      <c r="CB198" s="113"/>
      <c r="CC198" s="113"/>
      <c r="CD198" s="113"/>
      <c r="CE198" s="113"/>
      <c r="CF198" s="113"/>
      <c r="CG198" s="113"/>
      <c r="CH198" s="113"/>
      <c r="CI198" s="113"/>
      <c r="CJ198" s="113"/>
      <c r="CK198" s="113"/>
      <c r="CL198" s="113"/>
      <c r="CM198" s="113"/>
      <c r="CN198" s="113"/>
      <c r="CO198" s="113"/>
      <c r="CP198" s="113"/>
      <c r="CQ198" s="113"/>
      <c r="CR198" s="113"/>
      <c r="CS198" s="113"/>
      <c r="CT198" s="113"/>
      <c r="CU198" s="113"/>
    </row>
    <row r="199">
      <c r="A199" s="159" t="str">
        <f>IFERROR(__xludf.DUMMYFUNCTION("""COMPUTED_VALUE"""),"F-11")</f>
        <v>F-11</v>
      </c>
      <c r="B199" s="113" t="str">
        <f>IFERROR(__xludf.DUMMYFUNCTION("""COMPUTED_VALUE"""),"Jeffrey")</f>
        <v>Jeffrey</v>
      </c>
      <c r="C199" s="113" t="str">
        <f>IFERROR(__xludf.DUMMYFUNCTION("""COMPUTED_VALUE"""),"Gustafson")</f>
        <v>Gustafson</v>
      </c>
      <c r="D199" s="158">
        <f>IFERROR(__xludf.DUMMYFUNCTION("""COMPUTED_VALUE"""),1205.0)</f>
        <v>1205</v>
      </c>
      <c r="E199" s="161">
        <f t="shared" si="1"/>
        <v>7</v>
      </c>
      <c r="F199" s="160">
        <f>COUNTIFS('Scores Import DO NOT EDIT'!C:C, D199,'Scores Import DO NOT EDIT'!M:M,A199)</f>
        <v>6</v>
      </c>
      <c r="G199" s="162">
        <f t="shared" si="2"/>
        <v>0.8571428571</v>
      </c>
      <c r="H199" s="163" t="str">
        <f t="shared" si="3"/>
        <v>F-111205</v>
      </c>
      <c r="I199" s="113"/>
      <c r="J199" s="113"/>
      <c r="K199" s="113"/>
      <c r="L199" s="158"/>
      <c r="M199" s="166" t="s">
        <v>269</v>
      </c>
      <c r="N199" s="113"/>
      <c r="O199" s="113"/>
      <c r="P199" s="113"/>
      <c r="Q199" s="113"/>
      <c r="R199" s="113"/>
      <c r="S199" s="113"/>
      <c r="T199" s="113"/>
      <c r="U199" s="113"/>
      <c r="V199" s="113"/>
      <c r="W199" s="113"/>
      <c r="X199" s="113"/>
      <c r="Y199" s="113"/>
      <c r="Z199" s="113"/>
      <c r="AA199" s="113"/>
      <c r="AB199" s="113"/>
      <c r="AC199" s="113"/>
      <c r="AD199" s="113"/>
      <c r="AE199" s="113"/>
      <c r="AF199" s="113"/>
      <c r="AG199" s="113"/>
      <c r="AH199" s="113"/>
      <c r="AI199" s="113"/>
      <c r="AJ199" s="113"/>
      <c r="AK199" s="113"/>
      <c r="AL199" s="113"/>
      <c r="AM199" s="113"/>
      <c r="AN199" s="113"/>
      <c r="AO199" s="113"/>
      <c r="AP199" s="113"/>
      <c r="AQ199" s="113"/>
      <c r="AR199" s="113"/>
      <c r="AS199" s="113"/>
      <c r="AT199" s="113"/>
      <c r="AU199" s="113"/>
      <c r="AV199" s="113"/>
      <c r="AW199" s="113"/>
      <c r="AX199" s="113"/>
      <c r="AY199" s="113"/>
      <c r="AZ199" s="113"/>
      <c r="BA199" s="113"/>
      <c r="BB199" s="113"/>
      <c r="BC199" s="113"/>
      <c r="BD199" s="113"/>
      <c r="BE199" s="113"/>
      <c r="BF199" s="113"/>
      <c r="BG199" s="113"/>
      <c r="BH199" s="113"/>
      <c r="BI199" s="113"/>
      <c r="BJ199" s="113"/>
      <c r="BK199" s="113"/>
      <c r="BL199" s="113"/>
      <c r="BM199" s="113"/>
      <c r="BN199" s="113"/>
      <c r="BO199" s="113"/>
      <c r="BP199" s="113"/>
      <c r="BQ199" s="113"/>
      <c r="BR199" s="113"/>
      <c r="BS199" s="113"/>
      <c r="BT199" s="113"/>
      <c r="BU199" s="113"/>
      <c r="BV199" s="113"/>
      <c r="BW199" s="113"/>
      <c r="BX199" s="113"/>
      <c r="BY199" s="113"/>
      <c r="BZ199" s="113"/>
      <c r="CA199" s="113"/>
      <c r="CB199" s="113"/>
      <c r="CC199" s="113"/>
      <c r="CD199" s="113"/>
      <c r="CE199" s="113"/>
      <c r="CF199" s="113"/>
      <c r="CG199" s="113"/>
      <c r="CH199" s="113"/>
      <c r="CI199" s="113"/>
      <c r="CJ199" s="113"/>
      <c r="CK199" s="113"/>
      <c r="CL199" s="113"/>
      <c r="CM199" s="113"/>
      <c r="CN199" s="113"/>
      <c r="CO199" s="113"/>
      <c r="CP199" s="113"/>
      <c r="CQ199" s="113"/>
      <c r="CR199" s="113"/>
      <c r="CS199" s="113"/>
      <c r="CT199" s="113"/>
      <c r="CU199" s="113"/>
    </row>
    <row r="200">
      <c r="A200" s="159" t="str">
        <f>IFERROR(__xludf.DUMMYFUNCTION("""COMPUTED_VALUE"""),"F-11")</f>
        <v>F-11</v>
      </c>
      <c r="B200" s="113" t="str">
        <f>IFERROR(__xludf.DUMMYFUNCTION("""COMPUTED_VALUE"""),"Jerome")</f>
        <v>Jerome</v>
      </c>
      <c r="C200" s="113" t="str">
        <f>IFERROR(__xludf.DUMMYFUNCTION("""COMPUTED_VALUE"""),"Gilles")</f>
        <v>Gilles</v>
      </c>
      <c r="D200" s="158">
        <f>IFERROR(__xludf.DUMMYFUNCTION("""COMPUTED_VALUE"""),1166.0)</f>
        <v>1166</v>
      </c>
      <c r="E200" s="161">
        <f t="shared" si="1"/>
        <v>7</v>
      </c>
      <c r="F200" s="160">
        <f>COUNTIFS('Scores Import DO NOT EDIT'!C:C, D200,'Scores Import DO NOT EDIT'!M:M,A200)</f>
        <v>5</v>
      </c>
      <c r="G200" s="162">
        <f t="shared" si="2"/>
        <v>0.7142857143</v>
      </c>
      <c r="H200" s="163" t="str">
        <f t="shared" si="3"/>
        <v>F-111166</v>
      </c>
      <c r="I200" s="113"/>
      <c r="J200" s="113"/>
      <c r="K200" s="113"/>
      <c r="L200" s="158"/>
      <c r="M200" s="166" t="s">
        <v>265</v>
      </c>
      <c r="N200" s="113"/>
      <c r="O200" s="113"/>
      <c r="P200" s="113"/>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c r="AT200" s="113"/>
      <c r="AU200" s="113"/>
      <c r="AV200" s="113"/>
      <c r="AW200" s="113"/>
      <c r="AX200" s="113"/>
      <c r="AY200" s="113"/>
      <c r="AZ200" s="113"/>
      <c r="BA200" s="113"/>
      <c r="BB200" s="113"/>
      <c r="BC200" s="113"/>
      <c r="BD200" s="113"/>
      <c r="BE200" s="113"/>
      <c r="BF200" s="113"/>
      <c r="BG200" s="113"/>
      <c r="BH200" s="113"/>
      <c r="BI200" s="113"/>
      <c r="BJ200" s="113"/>
      <c r="BK200" s="113"/>
      <c r="BL200" s="113"/>
      <c r="BM200" s="113"/>
      <c r="BN200" s="113"/>
      <c r="BO200" s="113"/>
      <c r="BP200" s="113"/>
      <c r="BQ200" s="113"/>
      <c r="BR200" s="113"/>
      <c r="BS200" s="113"/>
      <c r="BT200" s="113"/>
      <c r="BU200" s="113"/>
      <c r="BV200" s="113"/>
      <c r="BW200" s="113"/>
      <c r="BX200" s="113"/>
      <c r="BY200" s="113"/>
      <c r="BZ200" s="113"/>
      <c r="CA200" s="113"/>
      <c r="CB200" s="113"/>
      <c r="CC200" s="113"/>
      <c r="CD200" s="113"/>
      <c r="CE200" s="113"/>
      <c r="CF200" s="113"/>
      <c r="CG200" s="113"/>
      <c r="CH200" s="113"/>
      <c r="CI200" s="113"/>
      <c r="CJ200" s="113"/>
      <c r="CK200" s="113"/>
      <c r="CL200" s="113"/>
      <c r="CM200" s="113"/>
      <c r="CN200" s="113"/>
      <c r="CO200" s="113"/>
      <c r="CP200" s="113"/>
      <c r="CQ200" s="113"/>
      <c r="CR200" s="113"/>
      <c r="CS200" s="113"/>
      <c r="CT200" s="113"/>
      <c r="CU200" s="113"/>
    </row>
    <row r="201">
      <c r="A201" s="159" t="str">
        <f>IFERROR(__xludf.DUMMYFUNCTION("""COMPUTED_VALUE"""),"F-2")</f>
        <v>F-2</v>
      </c>
      <c r="B201" s="113" t="str">
        <f>IFERROR(__xludf.DUMMYFUNCTION("""COMPUTED_VALUE"""),"Ian")</f>
        <v>Ian</v>
      </c>
      <c r="C201" s="113" t="str">
        <f>IFERROR(__xludf.DUMMYFUNCTION("""COMPUTED_VALUE"""),"Gibson")</f>
        <v>Gibson</v>
      </c>
      <c r="D201" s="158">
        <f>IFERROR(__xludf.DUMMYFUNCTION("""COMPUTED_VALUE"""),1179.0)</f>
        <v>1179</v>
      </c>
      <c r="E201" s="161">
        <f t="shared" si="1"/>
        <v>7</v>
      </c>
      <c r="F201" s="160">
        <f>COUNTIFS('Scores Import DO NOT EDIT'!C:C, D201,'Scores Import DO NOT EDIT'!M:M,A201)</f>
        <v>5</v>
      </c>
      <c r="G201" s="162">
        <f t="shared" si="2"/>
        <v>0.7142857143</v>
      </c>
      <c r="H201" s="163" t="str">
        <f t="shared" si="3"/>
        <v>F-21179</v>
      </c>
      <c r="I201" s="113"/>
      <c r="J201" s="113"/>
      <c r="K201" s="113"/>
      <c r="L201" s="158"/>
      <c r="M201" s="166" t="s">
        <v>268</v>
      </c>
      <c r="N201" s="113"/>
      <c r="O201" s="113"/>
      <c r="P201" s="113"/>
      <c r="Q201" s="113"/>
      <c r="R201" s="113"/>
      <c r="S201" s="113"/>
      <c r="T201" s="113"/>
      <c r="U201" s="113"/>
      <c r="V201" s="113"/>
      <c r="W201" s="113"/>
      <c r="X201" s="113"/>
      <c r="Y201" s="113"/>
      <c r="Z201" s="113"/>
      <c r="AA201" s="113"/>
      <c r="AB201" s="113"/>
      <c r="AC201" s="113"/>
      <c r="AD201" s="113"/>
      <c r="AE201" s="113"/>
      <c r="AF201" s="113"/>
      <c r="AG201" s="113"/>
      <c r="AH201" s="113"/>
      <c r="AI201" s="113"/>
      <c r="AJ201" s="113"/>
      <c r="AK201" s="113"/>
      <c r="AL201" s="113"/>
      <c r="AM201" s="113"/>
      <c r="AN201" s="113"/>
      <c r="AO201" s="113"/>
      <c r="AP201" s="113"/>
      <c r="AQ201" s="113"/>
      <c r="AR201" s="113"/>
      <c r="AS201" s="113"/>
      <c r="AT201" s="113"/>
      <c r="AU201" s="113"/>
      <c r="AV201" s="113"/>
      <c r="AW201" s="113"/>
      <c r="AX201" s="113"/>
      <c r="AY201" s="113"/>
      <c r="AZ201" s="113"/>
      <c r="BA201" s="113"/>
      <c r="BB201" s="113"/>
      <c r="BC201" s="113"/>
      <c r="BD201" s="113"/>
      <c r="BE201" s="113"/>
      <c r="BF201" s="113"/>
      <c r="BG201" s="113"/>
      <c r="BH201" s="113"/>
      <c r="BI201" s="113"/>
      <c r="BJ201" s="113"/>
      <c r="BK201" s="113"/>
      <c r="BL201" s="113"/>
      <c r="BM201" s="113"/>
      <c r="BN201" s="113"/>
      <c r="BO201" s="113"/>
      <c r="BP201" s="113"/>
      <c r="BQ201" s="113"/>
      <c r="BR201" s="113"/>
      <c r="BS201" s="113"/>
      <c r="BT201" s="113"/>
      <c r="BU201" s="113"/>
      <c r="BV201" s="113"/>
      <c r="BW201" s="113"/>
      <c r="BX201" s="113"/>
      <c r="BY201" s="113"/>
      <c r="BZ201" s="113"/>
      <c r="CA201" s="113"/>
      <c r="CB201" s="113"/>
      <c r="CC201" s="113"/>
      <c r="CD201" s="113"/>
      <c r="CE201" s="113"/>
      <c r="CF201" s="113"/>
      <c r="CG201" s="113"/>
      <c r="CH201" s="113"/>
      <c r="CI201" s="113"/>
      <c r="CJ201" s="113"/>
      <c r="CK201" s="113"/>
      <c r="CL201" s="113"/>
      <c r="CM201" s="113"/>
      <c r="CN201" s="113"/>
      <c r="CO201" s="113"/>
      <c r="CP201" s="113"/>
      <c r="CQ201" s="113"/>
      <c r="CR201" s="113"/>
      <c r="CS201" s="113"/>
      <c r="CT201" s="113"/>
      <c r="CU201" s="113"/>
    </row>
    <row r="202">
      <c r="A202" s="159" t="str">
        <f>IFERROR(__xludf.DUMMYFUNCTION("""COMPUTED_VALUE"""),"F-2")</f>
        <v>F-2</v>
      </c>
      <c r="B202" s="113" t="str">
        <f>IFERROR(__xludf.DUMMYFUNCTION("""COMPUTED_VALUE"""),"Johnny")</f>
        <v>Johnny</v>
      </c>
      <c r="C202" s="113" t="str">
        <f>IFERROR(__xludf.DUMMYFUNCTION("""COMPUTED_VALUE"""),"McMillan")</f>
        <v>McMillan</v>
      </c>
      <c r="D202" s="158">
        <f>IFERROR(__xludf.DUMMYFUNCTION("""COMPUTED_VALUE"""),1009.0)</f>
        <v>1009</v>
      </c>
      <c r="E202" s="161">
        <f t="shared" si="1"/>
        <v>7</v>
      </c>
      <c r="F202" s="160">
        <f>COUNTIFS('Scores Import DO NOT EDIT'!C:C, D202,'Scores Import DO NOT EDIT'!M:M,A202)</f>
        <v>5</v>
      </c>
      <c r="G202" s="162">
        <f t="shared" si="2"/>
        <v>0.7142857143</v>
      </c>
      <c r="H202" s="163" t="str">
        <f t="shared" si="3"/>
        <v>F-21009</v>
      </c>
      <c r="I202" s="113"/>
      <c r="J202" s="113"/>
      <c r="K202" s="113"/>
      <c r="L202" s="158"/>
      <c r="M202" s="166" t="s">
        <v>274</v>
      </c>
      <c r="N202" s="113"/>
      <c r="O202" s="113"/>
      <c r="P202" s="113"/>
      <c r="Q202" s="113"/>
      <c r="R202" s="113"/>
      <c r="S202" s="113"/>
      <c r="T202" s="113"/>
      <c r="U202" s="113"/>
      <c r="V202" s="113"/>
      <c r="W202" s="113"/>
      <c r="X202" s="113"/>
      <c r="Y202" s="113"/>
      <c r="Z202" s="113"/>
      <c r="AA202" s="113"/>
      <c r="AB202" s="113"/>
      <c r="AC202" s="113"/>
      <c r="AD202" s="113"/>
      <c r="AE202" s="113"/>
      <c r="AF202" s="113"/>
      <c r="AG202" s="113"/>
      <c r="AH202" s="113"/>
      <c r="AI202" s="113"/>
      <c r="AJ202" s="113"/>
      <c r="AK202" s="113"/>
      <c r="AL202" s="113"/>
      <c r="AM202" s="113"/>
      <c r="AN202" s="113"/>
      <c r="AO202" s="113"/>
      <c r="AP202" s="113"/>
      <c r="AQ202" s="113"/>
      <c r="AR202" s="113"/>
      <c r="AS202" s="113"/>
      <c r="AT202" s="113"/>
      <c r="AU202" s="113"/>
      <c r="AV202" s="113"/>
      <c r="AW202" s="113"/>
      <c r="AX202" s="113"/>
      <c r="AY202" s="113"/>
      <c r="AZ202" s="113"/>
      <c r="BA202" s="113"/>
      <c r="BB202" s="113"/>
      <c r="BC202" s="113"/>
      <c r="BD202" s="113"/>
      <c r="BE202" s="113"/>
      <c r="BF202" s="113"/>
      <c r="BG202" s="113"/>
      <c r="BH202" s="113"/>
      <c r="BI202" s="113"/>
      <c r="BJ202" s="113"/>
      <c r="BK202" s="113"/>
      <c r="BL202" s="113"/>
      <c r="BM202" s="113"/>
      <c r="BN202" s="113"/>
      <c r="BO202" s="113"/>
      <c r="BP202" s="113"/>
      <c r="BQ202" s="113"/>
      <c r="BR202" s="113"/>
      <c r="BS202" s="113"/>
      <c r="BT202" s="113"/>
      <c r="BU202" s="113"/>
      <c r="BV202" s="113"/>
      <c r="BW202" s="113"/>
      <c r="BX202" s="113"/>
      <c r="BY202" s="113"/>
      <c r="BZ202" s="113"/>
      <c r="CA202" s="113"/>
      <c r="CB202" s="113"/>
      <c r="CC202" s="113"/>
      <c r="CD202" s="113"/>
      <c r="CE202" s="113"/>
      <c r="CF202" s="113"/>
      <c r="CG202" s="113"/>
      <c r="CH202" s="113"/>
      <c r="CI202" s="113"/>
      <c r="CJ202" s="113"/>
      <c r="CK202" s="113"/>
      <c r="CL202" s="113"/>
      <c r="CM202" s="113"/>
      <c r="CN202" s="113"/>
      <c r="CO202" s="113"/>
      <c r="CP202" s="113"/>
      <c r="CQ202" s="113"/>
      <c r="CR202" s="113"/>
      <c r="CS202" s="113"/>
      <c r="CT202" s="113"/>
      <c r="CU202" s="113"/>
    </row>
    <row r="203">
      <c r="A203" s="159" t="str">
        <f>IFERROR(__xludf.DUMMYFUNCTION("""COMPUTED_VALUE"""),"F-2")</f>
        <v>F-2</v>
      </c>
      <c r="B203" s="113" t="str">
        <f>IFERROR(__xludf.DUMMYFUNCTION("""COMPUTED_VALUE"""),"Karen")</f>
        <v>Karen</v>
      </c>
      <c r="C203" s="113" t="str">
        <f>IFERROR(__xludf.DUMMYFUNCTION("""COMPUTED_VALUE"""),"Han")</f>
        <v>Han</v>
      </c>
      <c r="D203" s="158">
        <f>IFERROR(__xludf.DUMMYFUNCTION("""COMPUTED_VALUE"""),1039.0)</f>
        <v>1039</v>
      </c>
      <c r="E203" s="161">
        <f t="shared" si="1"/>
        <v>7</v>
      </c>
      <c r="F203" s="160">
        <f>COUNTIFS('Scores Import DO NOT EDIT'!C:C, D203,'Scores Import DO NOT EDIT'!M:M,A203)</f>
        <v>6</v>
      </c>
      <c r="G203" s="162">
        <f t="shared" si="2"/>
        <v>0.8571428571</v>
      </c>
      <c r="H203" s="163" t="str">
        <f t="shared" si="3"/>
        <v>F-21039</v>
      </c>
      <c r="I203" s="113"/>
      <c r="J203" s="113"/>
      <c r="K203" s="113"/>
      <c r="L203" s="158"/>
      <c r="M203" s="166" t="s">
        <v>275</v>
      </c>
      <c r="N203" s="113"/>
      <c r="O203" s="113"/>
      <c r="P203" s="113"/>
      <c r="Q203" s="113"/>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row>
    <row r="204">
      <c r="A204" s="159" t="str">
        <f>IFERROR(__xludf.DUMMYFUNCTION("""COMPUTED_VALUE"""),"F-2")</f>
        <v>F-2</v>
      </c>
      <c r="B204" s="113" t="str">
        <f>IFERROR(__xludf.DUMMYFUNCTION("""COMPUTED_VALUE"""),"Valeria")</f>
        <v>Valeria</v>
      </c>
      <c r="C204" s="113" t="str">
        <f>IFERROR(__xludf.DUMMYFUNCTION("""COMPUTED_VALUE"""),"Reese")</f>
        <v>Reese</v>
      </c>
      <c r="D204" s="158">
        <f>IFERROR(__xludf.DUMMYFUNCTION("""COMPUTED_VALUE"""),1037.0)</f>
        <v>1037</v>
      </c>
      <c r="E204" s="161">
        <f t="shared" si="1"/>
        <v>7</v>
      </c>
      <c r="F204" s="160">
        <f>COUNTIFS('Scores Import DO NOT EDIT'!C:C, D204,'Scores Import DO NOT EDIT'!M:M,A204)</f>
        <v>0</v>
      </c>
      <c r="G204" s="162">
        <f t="shared" si="2"/>
        <v>0</v>
      </c>
      <c r="H204" s="163" t="str">
        <f t="shared" si="3"/>
        <v>F-21037</v>
      </c>
      <c r="I204" s="113"/>
      <c r="J204" s="113"/>
      <c r="K204" s="113"/>
      <c r="L204" s="158"/>
      <c r="M204" s="166" t="s">
        <v>270</v>
      </c>
      <c r="N204" s="113"/>
      <c r="O204" s="113"/>
      <c r="P204" s="113"/>
      <c r="Q204" s="113"/>
      <c r="R204" s="113"/>
      <c r="S204" s="113"/>
      <c r="T204" s="113"/>
      <c r="U204" s="113"/>
      <c r="V204" s="113"/>
      <c r="W204" s="113"/>
      <c r="X204" s="113"/>
      <c r="Y204" s="113"/>
      <c r="Z204" s="113"/>
      <c r="AA204" s="113"/>
      <c r="AB204" s="113"/>
      <c r="AC204" s="113"/>
      <c r="AD204" s="113"/>
      <c r="AE204" s="113"/>
      <c r="AF204" s="113"/>
      <c r="AG204" s="113"/>
      <c r="AH204" s="113"/>
      <c r="AI204" s="113"/>
      <c r="AJ204" s="113"/>
      <c r="AK204" s="113"/>
      <c r="AL204" s="113"/>
      <c r="AM204" s="113"/>
      <c r="AN204" s="113"/>
      <c r="AO204" s="113"/>
      <c r="AP204" s="113"/>
      <c r="AQ204" s="113"/>
      <c r="AR204" s="113"/>
      <c r="AS204" s="113"/>
      <c r="AT204" s="113"/>
      <c r="AU204" s="113"/>
      <c r="AV204" s="113"/>
      <c r="AW204" s="113"/>
      <c r="AX204" s="113"/>
      <c r="AY204" s="113"/>
      <c r="AZ204" s="113"/>
      <c r="BA204" s="113"/>
      <c r="BB204" s="113"/>
      <c r="BC204" s="113"/>
      <c r="BD204" s="113"/>
      <c r="BE204" s="113"/>
      <c r="BF204" s="113"/>
      <c r="BG204" s="113"/>
      <c r="BH204" s="113"/>
      <c r="BI204" s="113"/>
      <c r="BJ204" s="113"/>
      <c r="BK204" s="113"/>
      <c r="BL204" s="113"/>
      <c r="BM204" s="113"/>
      <c r="BN204" s="113"/>
      <c r="BO204" s="113"/>
      <c r="BP204" s="113"/>
      <c r="BQ204" s="113"/>
      <c r="BR204" s="113"/>
      <c r="BS204" s="113"/>
      <c r="BT204" s="113"/>
      <c r="BU204" s="113"/>
      <c r="BV204" s="113"/>
      <c r="BW204" s="113"/>
      <c r="BX204" s="113"/>
      <c r="BY204" s="113"/>
      <c r="BZ204" s="113"/>
      <c r="CA204" s="113"/>
      <c r="CB204" s="113"/>
      <c r="CC204" s="113"/>
      <c r="CD204" s="113"/>
      <c r="CE204" s="113"/>
      <c r="CF204" s="113"/>
      <c r="CG204" s="113"/>
      <c r="CH204" s="113"/>
      <c r="CI204" s="113"/>
      <c r="CJ204" s="113"/>
      <c r="CK204" s="113"/>
      <c r="CL204" s="113"/>
      <c r="CM204" s="113"/>
      <c r="CN204" s="113"/>
      <c r="CO204" s="113"/>
      <c r="CP204" s="113"/>
      <c r="CQ204" s="113"/>
      <c r="CR204" s="113"/>
      <c r="CS204" s="113"/>
      <c r="CT204" s="113"/>
      <c r="CU204" s="113"/>
    </row>
    <row r="205">
      <c r="A205" s="159" t="str">
        <f>IFERROR(__xludf.DUMMYFUNCTION("""COMPUTED_VALUE"""),"F-2")</f>
        <v>F-2</v>
      </c>
      <c r="B205" s="113" t="str">
        <f>IFERROR(__xludf.DUMMYFUNCTION("""COMPUTED_VALUE"""),"Jeni")</f>
        <v>Jeni</v>
      </c>
      <c r="C205" s="113" t="str">
        <f>IFERROR(__xludf.DUMMYFUNCTION("""COMPUTED_VALUE"""),"Green")</f>
        <v>Green</v>
      </c>
      <c r="D205" s="158">
        <f>IFERROR(__xludf.DUMMYFUNCTION("""COMPUTED_VALUE"""),1022.0)</f>
        <v>1022</v>
      </c>
      <c r="E205" s="161">
        <f t="shared" si="1"/>
        <v>7</v>
      </c>
      <c r="F205" s="160">
        <f>COUNTIFS('Scores Import DO NOT EDIT'!C:C, D205,'Scores Import DO NOT EDIT'!M:M,A205)</f>
        <v>6</v>
      </c>
      <c r="G205" s="162">
        <f t="shared" si="2"/>
        <v>0.8571428571</v>
      </c>
      <c r="H205" s="163" t="str">
        <f t="shared" si="3"/>
        <v>F-21022</v>
      </c>
      <c r="I205" s="113"/>
      <c r="J205" s="113"/>
      <c r="K205" s="113"/>
      <c r="L205" s="158"/>
      <c r="M205" s="166" t="s">
        <v>273</v>
      </c>
      <c r="N205" s="113"/>
      <c r="O205" s="113"/>
      <c r="P205" s="113"/>
      <c r="Q205" s="113"/>
      <c r="R205" s="113"/>
      <c r="S205" s="113"/>
      <c r="T205" s="113"/>
      <c r="U205" s="113"/>
      <c r="V205" s="113"/>
      <c r="W205" s="113"/>
      <c r="X205" s="113"/>
      <c r="Y205" s="113"/>
      <c r="Z205" s="113"/>
      <c r="AA205" s="113"/>
      <c r="AB205" s="113"/>
      <c r="AC205" s="113"/>
      <c r="AD205" s="113"/>
      <c r="AE205" s="113"/>
      <c r="AF205" s="113"/>
      <c r="AG205" s="113"/>
      <c r="AH205" s="113"/>
      <c r="AI205" s="113"/>
      <c r="AJ205" s="113"/>
      <c r="AK205" s="113"/>
      <c r="AL205" s="113"/>
      <c r="AM205" s="113"/>
      <c r="AN205" s="113"/>
      <c r="AO205" s="113"/>
      <c r="AP205" s="113"/>
      <c r="AQ205" s="113"/>
      <c r="AR205" s="113"/>
      <c r="AS205" s="113"/>
      <c r="AT205" s="113"/>
      <c r="AU205" s="113"/>
      <c r="AV205" s="113"/>
      <c r="AW205" s="113"/>
      <c r="AX205" s="113"/>
      <c r="AY205" s="113"/>
      <c r="AZ205" s="113"/>
      <c r="BA205" s="113"/>
      <c r="BB205" s="113"/>
      <c r="BC205" s="113"/>
      <c r="BD205" s="113"/>
      <c r="BE205" s="113"/>
      <c r="BF205" s="113"/>
      <c r="BG205" s="113"/>
      <c r="BH205" s="113"/>
      <c r="BI205" s="113"/>
      <c r="BJ205" s="113"/>
      <c r="BK205" s="113"/>
      <c r="BL205" s="113"/>
      <c r="BM205" s="113"/>
      <c r="BN205" s="113"/>
      <c r="BO205" s="113"/>
      <c r="BP205" s="113"/>
      <c r="BQ205" s="113"/>
      <c r="BR205" s="113"/>
      <c r="BS205" s="113"/>
      <c r="BT205" s="113"/>
      <c r="BU205" s="113"/>
      <c r="BV205" s="113"/>
      <c r="BW205" s="113"/>
      <c r="BX205" s="113"/>
      <c r="BY205" s="113"/>
      <c r="BZ205" s="113"/>
      <c r="CA205" s="113"/>
      <c r="CB205" s="113"/>
      <c r="CC205" s="113"/>
      <c r="CD205" s="113"/>
      <c r="CE205" s="113"/>
      <c r="CF205" s="113"/>
      <c r="CG205" s="113"/>
      <c r="CH205" s="113"/>
      <c r="CI205" s="113"/>
      <c r="CJ205" s="113"/>
      <c r="CK205" s="113"/>
      <c r="CL205" s="113"/>
      <c r="CM205" s="113"/>
      <c r="CN205" s="113"/>
      <c r="CO205" s="113"/>
      <c r="CP205" s="113"/>
      <c r="CQ205" s="113"/>
      <c r="CR205" s="113"/>
      <c r="CS205" s="113"/>
      <c r="CT205" s="113"/>
      <c r="CU205" s="113"/>
    </row>
    <row r="206">
      <c r="A206" s="159" t="str">
        <f>IFERROR(__xludf.DUMMYFUNCTION("""COMPUTED_VALUE"""),"F-3")</f>
        <v>F-3</v>
      </c>
      <c r="B206" s="113" t="str">
        <f>IFERROR(__xludf.DUMMYFUNCTION("""COMPUTED_VALUE"""),"Tiantian")</f>
        <v>Tiantian</v>
      </c>
      <c r="C206" s="113" t="str">
        <f>IFERROR(__xludf.DUMMYFUNCTION("""COMPUTED_VALUE"""),"Chen")</f>
        <v>Chen</v>
      </c>
      <c r="D206" s="158">
        <f>IFERROR(__xludf.DUMMYFUNCTION("""COMPUTED_VALUE"""),1224.0)</f>
        <v>1224</v>
      </c>
      <c r="E206" s="161">
        <f t="shared" si="1"/>
        <v>7</v>
      </c>
      <c r="F206" s="160">
        <f>COUNTIFS('Scores Import DO NOT EDIT'!C:C, D206,'Scores Import DO NOT EDIT'!M:M,A206)</f>
        <v>5</v>
      </c>
      <c r="G206" s="162">
        <f t="shared" si="2"/>
        <v>0.7142857143</v>
      </c>
      <c r="H206" s="163" t="str">
        <f t="shared" si="3"/>
        <v>F-31224</v>
      </c>
      <c r="I206" s="113"/>
      <c r="J206" s="113"/>
      <c r="K206" s="113"/>
      <c r="L206" s="158"/>
      <c r="M206" s="166" t="s">
        <v>271</v>
      </c>
      <c r="N206" s="113"/>
      <c r="O206" s="113"/>
      <c r="P206" s="113"/>
      <c r="Q206" s="113"/>
      <c r="R206" s="113"/>
      <c r="S206" s="113"/>
      <c r="T206" s="113"/>
      <c r="U206" s="113"/>
      <c r="V206" s="113"/>
      <c r="W206" s="113"/>
      <c r="X206" s="113"/>
      <c r="Y206" s="113"/>
      <c r="Z206" s="113"/>
      <c r="AA206" s="113"/>
      <c r="AB206" s="113"/>
      <c r="AC206" s="113"/>
      <c r="AD206" s="113"/>
      <c r="AE206" s="113"/>
      <c r="AF206" s="113"/>
      <c r="AG206" s="113"/>
      <c r="AH206" s="113"/>
      <c r="AI206" s="113"/>
      <c r="AJ206" s="113"/>
      <c r="AK206" s="113"/>
      <c r="AL206" s="113"/>
      <c r="AM206" s="113"/>
      <c r="AN206" s="113"/>
      <c r="AO206" s="113"/>
      <c r="AP206" s="113"/>
      <c r="AQ206" s="113"/>
      <c r="AR206" s="113"/>
      <c r="AS206" s="113"/>
      <c r="AT206" s="113"/>
      <c r="AU206" s="113"/>
      <c r="AV206" s="113"/>
      <c r="AW206" s="113"/>
      <c r="AX206" s="113"/>
      <c r="AY206" s="113"/>
      <c r="AZ206" s="113"/>
      <c r="BA206" s="113"/>
      <c r="BB206" s="113"/>
      <c r="BC206" s="113"/>
      <c r="BD206" s="113"/>
      <c r="BE206" s="113"/>
      <c r="BF206" s="113"/>
      <c r="BG206" s="113"/>
      <c r="BH206" s="113"/>
      <c r="BI206" s="113"/>
      <c r="BJ206" s="113"/>
      <c r="BK206" s="113"/>
      <c r="BL206" s="113"/>
      <c r="BM206" s="113"/>
      <c r="BN206" s="113"/>
      <c r="BO206" s="113"/>
      <c r="BP206" s="113"/>
      <c r="BQ206" s="113"/>
      <c r="BR206" s="113"/>
      <c r="BS206" s="113"/>
      <c r="BT206" s="113"/>
      <c r="BU206" s="113"/>
      <c r="BV206" s="113"/>
      <c r="BW206" s="113"/>
      <c r="BX206" s="113"/>
      <c r="BY206" s="113"/>
      <c r="BZ206" s="113"/>
      <c r="CA206" s="113"/>
      <c r="CB206" s="113"/>
      <c r="CC206" s="113"/>
      <c r="CD206" s="113"/>
      <c r="CE206" s="113"/>
      <c r="CF206" s="113"/>
      <c r="CG206" s="113"/>
      <c r="CH206" s="113"/>
      <c r="CI206" s="113"/>
      <c r="CJ206" s="113"/>
      <c r="CK206" s="113"/>
      <c r="CL206" s="113"/>
      <c r="CM206" s="113"/>
      <c r="CN206" s="113"/>
      <c r="CO206" s="113"/>
      <c r="CP206" s="113"/>
      <c r="CQ206" s="113"/>
      <c r="CR206" s="113"/>
      <c r="CS206" s="113"/>
      <c r="CT206" s="113"/>
      <c r="CU206" s="113"/>
    </row>
    <row r="207">
      <c r="A207" s="159" t="str">
        <f>IFERROR(__xludf.DUMMYFUNCTION("""COMPUTED_VALUE"""),"F-3")</f>
        <v>F-3</v>
      </c>
      <c r="B207" s="113" t="str">
        <f>IFERROR(__xludf.DUMMYFUNCTION("""COMPUTED_VALUE"""),"Kelly")</f>
        <v>Kelly</v>
      </c>
      <c r="C207" s="113" t="str">
        <f>IFERROR(__xludf.DUMMYFUNCTION("""COMPUTED_VALUE"""),"Ross")</f>
        <v>Ross</v>
      </c>
      <c r="D207" s="158">
        <f>IFERROR(__xludf.DUMMYFUNCTION("""COMPUTED_VALUE"""),1046.0)</f>
        <v>1046</v>
      </c>
      <c r="E207" s="161">
        <f t="shared" si="1"/>
        <v>7</v>
      </c>
      <c r="F207" s="160">
        <f>COUNTIFS('Scores Import DO NOT EDIT'!C:C, D207,'Scores Import DO NOT EDIT'!M:M,A207)</f>
        <v>5</v>
      </c>
      <c r="G207" s="162">
        <f t="shared" si="2"/>
        <v>0.7142857143</v>
      </c>
      <c r="H207" s="163" t="str">
        <f t="shared" si="3"/>
        <v>F-31046</v>
      </c>
      <c r="I207" s="113"/>
      <c r="J207" s="113"/>
      <c r="K207" s="113"/>
      <c r="L207" s="158"/>
      <c r="M207" s="166" t="s">
        <v>272</v>
      </c>
      <c r="N207" s="113"/>
      <c r="O207" s="113"/>
      <c r="P207" s="113"/>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c r="AT207" s="113"/>
      <c r="AU207" s="113"/>
      <c r="AV207" s="113"/>
      <c r="AW207" s="113"/>
      <c r="AX207" s="113"/>
      <c r="AY207" s="113"/>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row>
    <row r="208">
      <c r="A208" s="159" t="str">
        <f>IFERROR(__xludf.DUMMYFUNCTION("""COMPUTED_VALUE"""),"F-3")</f>
        <v>F-3</v>
      </c>
      <c r="B208" s="113" t="str">
        <f>IFERROR(__xludf.DUMMYFUNCTION("""COMPUTED_VALUE"""),"Rick")</f>
        <v>Rick</v>
      </c>
      <c r="C208" s="113" t="str">
        <f>IFERROR(__xludf.DUMMYFUNCTION("""COMPUTED_VALUE"""),"Sayen")</f>
        <v>Sayen</v>
      </c>
      <c r="D208" s="158">
        <f>IFERROR(__xludf.DUMMYFUNCTION("""COMPUTED_VALUE"""),1028.0)</f>
        <v>1028</v>
      </c>
      <c r="E208" s="161">
        <f t="shared" si="1"/>
        <v>7</v>
      </c>
      <c r="F208" s="160">
        <f>COUNTIFS('Scores Import DO NOT EDIT'!C:C, D208,'Scores Import DO NOT EDIT'!M:M,A208)</f>
        <v>7</v>
      </c>
      <c r="G208" s="162">
        <f t="shared" si="2"/>
        <v>1</v>
      </c>
      <c r="H208" s="163" t="str">
        <f t="shared" si="3"/>
        <v>F-31028</v>
      </c>
      <c r="I208" s="113"/>
      <c r="J208" s="113"/>
      <c r="K208" s="113"/>
      <c r="L208" s="158"/>
      <c r="M208" s="166" t="s">
        <v>713</v>
      </c>
      <c r="N208" s="113"/>
      <c r="O208" s="113"/>
      <c r="P208" s="113"/>
      <c r="Q208" s="113"/>
      <c r="R208" s="113"/>
      <c r="S208" s="113"/>
      <c r="T208" s="113"/>
      <c r="U208" s="113"/>
      <c r="V208" s="113"/>
      <c r="W208" s="113"/>
      <c r="X208" s="113"/>
      <c r="Y208" s="113"/>
      <c r="Z208" s="113"/>
      <c r="AA208" s="113"/>
      <c r="AB208" s="113"/>
      <c r="AC208" s="113"/>
      <c r="AD208" s="113"/>
      <c r="AE208" s="113"/>
      <c r="AF208" s="113"/>
      <c r="AG208" s="113"/>
      <c r="AH208" s="113"/>
      <c r="AI208" s="113"/>
      <c r="AJ208" s="113"/>
      <c r="AK208" s="113"/>
      <c r="AL208" s="113"/>
      <c r="AM208" s="113"/>
      <c r="AN208" s="113"/>
      <c r="AO208" s="113"/>
      <c r="AP208" s="113"/>
      <c r="AQ208" s="113"/>
      <c r="AR208" s="113"/>
      <c r="AS208" s="113"/>
      <c r="AT208" s="113"/>
      <c r="AU208" s="113"/>
      <c r="AV208" s="113"/>
      <c r="AW208" s="113"/>
      <c r="AX208" s="113"/>
      <c r="AY208" s="113"/>
      <c r="AZ208" s="113"/>
      <c r="BA208" s="113"/>
      <c r="BB208" s="113"/>
      <c r="BC208" s="113"/>
      <c r="BD208" s="113"/>
      <c r="BE208" s="113"/>
      <c r="BF208" s="113"/>
      <c r="BG208" s="113"/>
      <c r="BH208" s="113"/>
      <c r="BI208" s="113"/>
      <c r="BJ208" s="113"/>
      <c r="BK208" s="113"/>
      <c r="BL208" s="113"/>
      <c r="BM208" s="113"/>
      <c r="BN208" s="113"/>
      <c r="BO208" s="113"/>
      <c r="BP208" s="113"/>
      <c r="BQ208" s="113"/>
      <c r="BR208" s="113"/>
      <c r="BS208" s="113"/>
      <c r="BT208" s="113"/>
      <c r="BU208" s="113"/>
      <c r="BV208" s="113"/>
      <c r="BW208" s="113"/>
      <c r="BX208" s="113"/>
      <c r="BY208" s="113"/>
      <c r="BZ208" s="113"/>
      <c r="CA208" s="113"/>
      <c r="CB208" s="113"/>
      <c r="CC208" s="113"/>
      <c r="CD208" s="113"/>
      <c r="CE208" s="113"/>
      <c r="CF208" s="113"/>
      <c r="CG208" s="113"/>
      <c r="CH208" s="113"/>
      <c r="CI208" s="113"/>
      <c r="CJ208" s="113"/>
      <c r="CK208" s="113"/>
      <c r="CL208" s="113"/>
      <c r="CM208" s="113"/>
      <c r="CN208" s="113"/>
      <c r="CO208" s="113"/>
      <c r="CP208" s="113"/>
      <c r="CQ208" s="113"/>
      <c r="CR208" s="113"/>
      <c r="CS208" s="113"/>
      <c r="CT208" s="113"/>
      <c r="CU208" s="113"/>
    </row>
    <row r="209">
      <c r="A209" s="159" t="str">
        <f>IFERROR(__xludf.DUMMYFUNCTION("""COMPUTED_VALUE"""),"F-3")</f>
        <v>F-3</v>
      </c>
      <c r="B209" s="113" t="str">
        <f>IFERROR(__xludf.DUMMYFUNCTION("""COMPUTED_VALUE"""),"Dan")</f>
        <v>Dan</v>
      </c>
      <c r="C209" s="113" t="str">
        <f>IFERROR(__xludf.DUMMYFUNCTION("""COMPUTED_VALUE"""),"Sousa")</f>
        <v>Sousa</v>
      </c>
      <c r="D209" s="158">
        <f>IFERROR(__xludf.DUMMYFUNCTION("""COMPUTED_VALUE"""),1151.0)</f>
        <v>1151</v>
      </c>
      <c r="E209" s="161">
        <f t="shared" si="1"/>
        <v>7</v>
      </c>
      <c r="F209" s="160">
        <f>COUNTIFS('Scores Import DO NOT EDIT'!C:C, D209,'Scores Import DO NOT EDIT'!M:M,A209)</f>
        <v>7</v>
      </c>
      <c r="G209" s="162">
        <f t="shared" si="2"/>
        <v>1</v>
      </c>
      <c r="H209" s="163" t="str">
        <f t="shared" si="3"/>
        <v>F-31151</v>
      </c>
      <c r="I209" s="113"/>
      <c r="J209" s="113"/>
      <c r="K209" s="113"/>
      <c r="L209" s="158"/>
      <c r="M209" s="166" t="s">
        <v>714</v>
      </c>
      <c r="N209" s="113"/>
      <c r="O209" s="113"/>
      <c r="P209" s="113"/>
      <c r="Q209" s="113"/>
      <c r="R209" s="113"/>
      <c r="S209" s="113"/>
      <c r="T209" s="113"/>
      <c r="U209" s="113"/>
      <c r="V209" s="113"/>
      <c r="W209" s="113"/>
      <c r="X209" s="113"/>
      <c r="Y209" s="113"/>
      <c r="Z209" s="113"/>
      <c r="AA209" s="113"/>
      <c r="AB209" s="113"/>
      <c r="AC209" s="113"/>
      <c r="AD209" s="113"/>
      <c r="AE209" s="113"/>
      <c r="AF209" s="113"/>
      <c r="AG209" s="113"/>
      <c r="AH209" s="113"/>
      <c r="AI209" s="113"/>
      <c r="AJ209" s="113"/>
      <c r="AK209" s="113"/>
      <c r="AL209" s="113"/>
      <c r="AM209" s="113"/>
      <c r="AN209" s="113"/>
      <c r="AO209" s="113"/>
      <c r="AP209" s="113"/>
      <c r="AQ209" s="113"/>
      <c r="AR209" s="113"/>
      <c r="AS209" s="113"/>
      <c r="AT209" s="113"/>
      <c r="AU209" s="113"/>
      <c r="AV209" s="113"/>
      <c r="AW209" s="113"/>
      <c r="AX209" s="113"/>
      <c r="AY209" s="113"/>
      <c r="AZ209" s="113"/>
      <c r="BA209" s="113"/>
      <c r="BB209" s="113"/>
      <c r="BC209" s="113"/>
      <c r="BD209" s="113"/>
      <c r="BE209" s="113"/>
      <c r="BF209" s="113"/>
      <c r="BG209" s="113"/>
      <c r="BH209" s="113"/>
      <c r="BI209" s="113"/>
      <c r="BJ209" s="113"/>
      <c r="BK209" s="113"/>
      <c r="BL209" s="113"/>
      <c r="BM209" s="113"/>
      <c r="BN209" s="113"/>
      <c r="BO209" s="113"/>
      <c r="BP209" s="113"/>
      <c r="BQ209" s="113"/>
      <c r="BR209" s="113"/>
      <c r="BS209" s="113"/>
      <c r="BT209" s="113"/>
      <c r="BU209" s="113"/>
      <c r="BV209" s="113"/>
      <c r="BW209" s="113"/>
      <c r="BX209" s="113"/>
      <c r="BY209" s="113"/>
      <c r="BZ209" s="113"/>
      <c r="CA209" s="113"/>
      <c r="CB209" s="113"/>
      <c r="CC209" s="113"/>
      <c r="CD209" s="113"/>
      <c r="CE209" s="113"/>
      <c r="CF209" s="113"/>
      <c r="CG209" s="113"/>
      <c r="CH209" s="113"/>
      <c r="CI209" s="113"/>
      <c r="CJ209" s="113"/>
      <c r="CK209" s="113"/>
      <c r="CL209" s="113"/>
      <c r="CM209" s="113"/>
      <c r="CN209" s="113"/>
      <c r="CO209" s="113"/>
      <c r="CP209" s="113"/>
      <c r="CQ209" s="113"/>
      <c r="CR209" s="113"/>
      <c r="CS209" s="113"/>
      <c r="CT209" s="113"/>
      <c r="CU209" s="113"/>
    </row>
    <row r="210">
      <c r="A210" s="159" t="str">
        <f>IFERROR(__xludf.DUMMYFUNCTION("""COMPUTED_VALUE"""),"F-3")</f>
        <v>F-3</v>
      </c>
      <c r="B210" s="113" t="str">
        <f>IFERROR(__xludf.DUMMYFUNCTION("""COMPUTED_VALUE"""),"Tom")</f>
        <v>Tom</v>
      </c>
      <c r="C210" s="113" t="str">
        <f>IFERROR(__xludf.DUMMYFUNCTION("""COMPUTED_VALUE"""),"Huxford")</f>
        <v>Huxford</v>
      </c>
      <c r="D210" s="158">
        <f>IFERROR(__xludf.DUMMYFUNCTION("""COMPUTED_VALUE"""),1056.0)</f>
        <v>1056</v>
      </c>
      <c r="E210" s="161">
        <f t="shared" si="1"/>
        <v>7</v>
      </c>
      <c r="F210" s="160">
        <f>COUNTIFS('Scores Import DO NOT EDIT'!C:C, D210,'Scores Import DO NOT EDIT'!M:M,A210)</f>
        <v>7</v>
      </c>
      <c r="G210" s="162">
        <f t="shared" si="2"/>
        <v>1</v>
      </c>
      <c r="H210" s="163" t="str">
        <f t="shared" si="3"/>
        <v>F-31056</v>
      </c>
      <c r="I210" s="113"/>
      <c r="J210" s="113"/>
      <c r="K210" s="113"/>
      <c r="L210" s="158"/>
      <c r="M210" s="166" t="s">
        <v>715</v>
      </c>
      <c r="N210" s="113"/>
      <c r="O210" s="113"/>
      <c r="P210" s="113"/>
      <c r="Q210" s="113"/>
      <c r="R210" s="113"/>
      <c r="S210" s="113"/>
      <c r="T210" s="113"/>
      <c r="U210" s="113"/>
      <c r="V210" s="113"/>
      <c r="W210" s="113"/>
      <c r="X210" s="113"/>
      <c r="Y210" s="113"/>
      <c r="Z210" s="113"/>
      <c r="AA210" s="113"/>
      <c r="AB210" s="113"/>
      <c r="AC210" s="113"/>
      <c r="AD210" s="113"/>
      <c r="AE210" s="113"/>
      <c r="AF210" s="113"/>
      <c r="AG210" s="113"/>
      <c r="AH210" s="113"/>
      <c r="AI210" s="113"/>
      <c r="AJ210" s="113"/>
      <c r="AK210" s="113"/>
      <c r="AL210" s="113"/>
      <c r="AM210" s="113"/>
      <c r="AN210" s="113"/>
      <c r="AO210" s="113"/>
      <c r="AP210" s="113"/>
      <c r="AQ210" s="113"/>
      <c r="AR210" s="113"/>
      <c r="AS210" s="113"/>
      <c r="AT210" s="113"/>
      <c r="AU210" s="113"/>
      <c r="AV210" s="113"/>
      <c r="AW210" s="113"/>
      <c r="AX210" s="113"/>
      <c r="AY210" s="113"/>
      <c r="AZ210" s="113"/>
      <c r="BA210" s="113"/>
      <c r="BB210" s="113"/>
      <c r="BC210" s="113"/>
      <c r="BD210" s="113"/>
      <c r="BE210" s="113"/>
      <c r="BF210" s="113"/>
      <c r="BG210" s="113"/>
      <c r="BH210" s="113"/>
      <c r="BI210" s="113"/>
      <c r="BJ210" s="113"/>
      <c r="BK210" s="113"/>
      <c r="BL210" s="113"/>
      <c r="BM210" s="113"/>
      <c r="BN210" s="113"/>
      <c r="BO210" s="113"/>
      <c r="BP210" s="113"/>
      <c r="BQ210" s="113"/>
      <c r="BR210" s="113"/>
      <c r="BS210" s="113"/>
      <c r="BT210" s="113"/>
      <c r="BU210" s="113"/>
      <c r="BV210" s="113"/>
      <c r="BW210" s="113"/>
      <c r="BX210" s="113"/>
      <c r="BY210" s="113"/>
      <c r="BZ210" s="113"/>
      <c r="CA210" s="113"/>
      <c r="CB210" s="113"/>
      <c r="CC210" s="113"/>
      <c r="CD210" s="113"/>
      <c r="CE210" s="113"/>
      <c r="CF210" s="113"/>
      <c r="CG210" s="113"/>
      <c r="CH210" s="113"/>
      <c r="CI210" s="113"/>
      <c r="CJ210" s="113"/>
      <c r="CK210" s="113"/>
      <c r="CL210" s="113"/>
      <c r="CM210" s="113"/>
      <c r="CN210" s="113"/>
      <c r="CO210" s="113"/>
      <c r="CP210" s="113"/>
      <c r="CQ210" s="113"/>
      <c r="CR210" s="113"/>
      <c r="CS210" s="113"/>
      <c r="CT210" s="113"/>
      <c r="CU210" s="113"/>
    </row>
    <row r="211">
      <c r="A211" s="159" t="str">
        <f>IFERROR(__xludf.DUMMYFUNCTION("""COMPUTED_VALUE"""),"F-4")</f>
        <v>F-4</v>
      </c>
      <c r="B211" s="113" t="str">
        <f>IFERROR(__xludf.DUMMYFUNCTION("""COMPUTED_VALUE"""),"Sanghamitro")</f>
        <v>Sanghamitro</v>
      </c>
      <c r="C211" s="113" t="str">
        <f>IFERROR(__xludf.DUMMYFUNCTION("""COMPUTED_VALUE"""),"Das")</f>
        <v>Das</v>
      </c>
      <c r="D211" s="158">
        <f>IFERROR(__xludf.DUMMYFUNCTION("""COMPUTED_VALUE"""),1204.0)</f>
        <v>1204</v>
      </c>
      <c r="E211" s="161">
        <f t="shared" si="1"/>
        <v>6</v>
      </c>
      <c r="F211" s="160">
        <f>COUNTIFS('Scores Import DO NOT EDIT'!C:C, D211,'Scores Import DO NOT EDIT'!M:M,A211)</f>
        <v>6</v>
      </c>
      <c r="G211" s="162">
        <f t="shared" si="2"/>
        <v>1</v>
      </c>
      <c r="H211" s="163" t="str">
        <f t="shared" si="3"/>
        <v>F-41204</v>
      </c>
      <c r="I211" s="113"/>
      <c r="J211" s="113"/>
      <c r="K211" s="113"/>
      <c r="L211" s="158"/>
      <c r="M211" s="166" t="s">
        <v>716</v>
      </c>
      <c r="N211" s="113"/>
      <c r="O211" s="113"/>
      <c r="P211" s="113"/>
      <c r="Q211" s="113"/>
      <c r="R211" s="113"/>
      <c r="S211" s="113"/>
      <c r="T211" s="113"/>
      <c r="U211" s="113"/>
      <c r="V211" s="113"/>
      <c r="W211" s="113"/>
      <c r="X211" s="113"/>
      <c r="Y211" s="113"/>
      <c r="Z211" s="113"/>
      <c r="AA211" s="113"/>
      <c r="AB211" s="113"/>
      <c r="AC211" s="113"/>
      <c r="AD211" s="113"/>
      <c r="AE211" s="113"/>
      <c r="AF211" s="113"/>
      <c r="AG211" s="113"/>
      <c r="AH211" s="113"/>
      <c r="AI211" s="113"/>
      <c r="AJ211" s="113"/>
      <c r="AK211" s="113"/>
      <c r="AL211" s="113"/>
      <c r="AM211" s="113"/>
      <c r="AN211" s="113"/>
      <c r="AO211" s="113"/>
      <c r="AP211" s="113"/>
      <c r="AQ211" s="113"/>
      <c r="AR211" s="113"/>
      <c r="AS211" s="113"/>
      <c r="AT211" s="113"/>
      <c r="AU211" s="113"/>
      <c r="AV211" s="113"/>
      <c r="AW211" s="113"/>
      <c r="AX211" s="113"/>
      <c r="AY211" s="113"/>
      <c r="AZ211" s="113"/>
      <c r="BA211" s="113"/>
      <c r="BB211" s="113"/>
      <c r="BC211" s="113"/>
      <c r="BD211" s="113"/>
      <c r="BE211" s="113"/>
      <c r="BF211" s="113"/>
      <c r="BG211" s="113"/>
      <c r="BH211" s="113"/>
      <c r="BI211" s="113"/>
      <c r="BJ211" s="113"/>
      <c r="BK211" s="113"/>
      <c r="BL211" s="113"/>
      <c r="BM211" s="113"/>
      <c r="BN211" s="113"/>
      <c r="BO211" s="113"/>
      <c r="BP211" s="113"/>
      <c r="BQ211" s="113"/>
      <c r="BR211" s="113"/>
      <c r="BS211" s="113"/>
      <c r="BT211" s="113"/>
      <c r="BU211" s="113"/>
      <c r="BV211" s="113"/>
      <c r="BW211" s="113"/>
      <c r="BX211" s="113"/>
      <c r="BY211" s="113"/>
      <c r="BZ211" s="113"/>
      <c r="CA211" s="113"/>
      <c r="CB211" s="113"/>
      <c r="CC211" s="113"/>
      <c r="CD211" s="113"/>
      <c r="CE211" s="113"/>
      <c r="CF211" s="113"/>
      <c r="CG211" s="113"/>
      <c r="CH211" s="113"/>
      <c r="CI211" s="113"/>
      <c r="CJ211" s="113"/>
      <c r="CK211" s="113"/>
      <c r="CL211" s="113"/>
      <c r="CM211" s="113"/>
      <c r="CN211" s="113"/>
      <c r="CO211" s="113"/>
      <c r="CP211" s="113"/>
      <c r="CQ211" s="113"/>
      <c r="CR211" s="113"/>
      <c r="CS211" s="113"/>
      <c r="CT211" s="113"/>
      <c r="CU211" s="113"/>
    </row>
    <row r="212">
      <c r="A212" s="159" t="str">
        <f>IFERROR(__xludf.DUMMYFUNCTION("""COMPUTED_VALUE"""),"F-4")</f>
        <v>F-4</v>
      </c>
      <c r="B212" s="113" t="str">
        <f>IFERROR(__xludf.DUMMYFUNCTION("""COMPUTED_VALUE"""),"Yan")</f>
        <v>Yan</v>
      </c>
      <c r="C212" s="113" t="str">
        <f>IFERROR(__xludf.DUMMYFUNCTION("""COMPUTED_VALUE"""),"Luo")</f>
        <v>Luo</v>
      </c>
      <c r="D212" s="158">
        <f>IFERROR(__xludf.DUMMYFUNCTION("""COMPUTED_VALUE"""),1051.0)</f>
        <v>1051</v>
      </c>
      <c r="E212" s="161">
        <f t="shared" si="1"/>
        <v>6</v>
      </c>
      <c r="F212" s="160">
        <f>COUNTIFS('Scores Import DO NOT EDIT'!C:C, D212,'Scores Import DO NOT EDIT'!M:M,A212)</f>
        <v>6</v>
      </c>
      <c r="G212" s="162">
        <f t="shared" si="2"/>
        <v>1</v>
      </c>
      <c r="H212" s="163" t="str">
        <f t="shared" si="3"/>
        <v>F-41051</v>
      </c>
      <c r="I212" s="113"/>
      <c r="J212" s="113"/>
      <c r="K212" s="113"/>
      <c r="L212" s="158"/>
      <c r="M212" s="166" t="s">
        <v>717</v>
      </c>
      <c r="N212" s="113"/>
      <c r="O212" s="113"/>
      <c r="P212" s="113"/>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row>
    <row r="213">
      <c r="A213" s="159" t="str">
        <f>IFERROR(__xludf.DUMMYFUNCTION("""COMPUTED_VALUE"""),"F-4")</f>
        <v>F-4</v>
      </c>
      <c r="B213" s="113" t="str">
        <f>IFERROR(__xludf.DUMMYFUNCTION("""COMPUTED_VALUE"""),"Sean")</f>
        <v>Sean</v>
      </c>
      <c r="C213" s="113" t="str">
        <f>IFERROR(__xludf.DUMMYFUNCTION("""COMPUTED_VALUE"""),"Devine")</f>
        <v>Devine</v>
      </c>
      <c r="D213" s="158">
        <f>IFERROR(__xludf.DUMMYFUNCTION("""COMPUTED_VALUE"""),1184.0)</f>
        <v>1184</v>
      </c>
      <c r="E213" s="161">
        <f t="shared" si="1"/>
        <v>6</v>
      </c>
      <c r="F213" s="160">
        <f>COUNTIFS('Scores Import DO NOT EDIT'!C:C, D213,'Scores Import DO NOT EDIT'!M:M,A213)</f>
        <v>0</v>
      </c>
      <c r="G213" s="162">
        <f t="shared" si="2"/>
        <v>0</v>
      </c>
      <c r="H213" s="163" t="str">
        <f t="shared" si="3"/>
        <v>F-41184</v>
      </c>
      <c r="I213" s="113"/>
      <c r="J213" s="113"/>
      <c r="K213" s="113"/>
      <c r="L213" s="158"/>
      <c r="M213" s="166" t="s">
        <v>284</v>
      </c>
      <c r="N213" s="113"/>
      <c r="O213" s="113"/>
      <c r="P213" s="113"/>
      <c r="Q213" s="113"/>
      <c r="R213" s="113"/>
      <c r="S213" s="113"/>
      <c r="T213" s="113"/>
      <c r="U213" s="113"/>
      <c r="V213" s="113"/>
      <c r="W213" s="113"/>
      <c r="X213" s="113"/>
      <c r="Y213" s="113"/>
      <c r="Z213" s="113"/>
      <c r="AA213" s="113"/>
      <c r="AB213" s="113"/>
      <c r="AC213" s="113"/>
      <c r="AD213" s="113"/>
      <c r="AE213" s="113"/>
      <c r="AF213" s="113"/>
      <c r="AG213" s="113"/>
      <c r="AH213" s="113"/>
      <c r="AI213" s="113"/>
      <c r="AJ213" s="113"/>
      <c r="AK213" s="113"/>
      <c r="AL213" s="113"/>
      <c r="AM213" s="113"/>
      <c r="AN213" s="113"/>
      <c r="AO213" s="113"/>
      <c r="AP213" s="113"/>
      <c r="AQ213" s="113"/>
      <c r="AR213" s="113"/>
      <c r="AS213" s="113"/>
      <c r="AT213" s="113"/>
      <c r="AU213" s="113"/>
      <c r="AV213" s="113"/>
      <c r="AW213" s="113"/>
      <c r="AX213" s="113"/>
      <c r="AY213" s="113"/>
      <c r="AZ213" s="113"/>
      <c r="BA213" s="113"/>
      <c r="BB213" s="113"/>
      <c r="BC213" s="113"/>
      <c r="BD213" s="113"/>
      <c r="BE213" s="113"/>
      <c r="BF213" s="113"/>
      <c r="BG213" s="113"/>
      <c r="BH213" s="113"/>
      <c r="BI213" s="113"/>
      <c r="BJ213" s="113"/>
      <c r="BK213" s="113"/>
      <c r="BL213" s="113"/>
      <c r="BM213" s="113"/>
      <c r="BN213" s="113"/>
      <c r="BO213" s="113"/>
      <c r="BP213" s="113"/>
      <c r="BQ213" s="113"/>
      <c r="BR213" s="113"/>
      <c r="BS213" s="113"/>
      <c r="BT213" s="113"/>
      <c r="BU213" s="113"/>
      <c r="BV213" s="113"/>
      <c r="BW213" s="113"/>
      <c r="BX213" s="113"/>
      <c r="BY213" s="113"/>
      <c r="BZ213" s="113"/>
      <c r="CA213" s="113"/>
      <c r="CB213" s="113"/>
      <c r="CC213" s="113"/>
      <c r="CD213" s="113"/>
      <c r="CE213" s="113"/>
      <c r="CF213" s="113"/>
      <c r="CG213" s="113"/>
      <c r="CH213" s="113"/>
      <c r="CI213" s="113"/>
      <c r="CJ213" s="113"/>
      <c r="CK213" s="113"/>
      <c r="CL213" s="113"/>
      <c r="CM213" s="113"/>
      <c r="CN213" s="113"/>
      <c r="CO213" s="113"/>
      <c r="CP213" s="113"/>
      <c r="CQ213" s="113"/>
      <c r="CR213" s="113"/>
      <c r="CS213" s="113"/>
      <c r="CT213" s="113"/>
      <c r="CU213" s="113"/>
    </row>
    <row r="214">
      <c r="A214" s="159" t="str">
        <f>IFERROR(__xludf.DUMMYFUNCTION("""COMPUTED_VALUE"""),"F-4")</f>
        <v>F-4</v>
      </c>
      <c r="B214" s="113" t="str">
        <f>IFERROR(__xludf.DUMMYFUNCTION("""COMPUTED_VALUE"""),"Sandy")</f>
        <v>Sandy</v>
      </c>
      <c r="C214" s="113" t="str">
        <f>IFERROR(__xludf.DUMMYFUNCTION("""COMPUTED_VALUE"""),"Bohan")</f>
        <v>Bohan</v>
      </c>
      <c r="D214" s="158">
        <f>IFERROR(__xludf.DUMMYFUNCTION("""COMPUTED_VALUE"""),1127.0)</f>
        <v>1127</v>
      </c>
      <c r="E214" s="161">
        <f t="shared" si="1"/>
        <v>6</v>
      </c>
      <c r="F214" s="160">
        <f>COUNTIFS('Scores Import DO NOT EDIT'!C:C, D214,'Scores Import DO NOT EDIT'!M:M,A214)</f>
        <v>0</v>
      </c>
      <c r="G214" s="162">
        <f t="shared" si="2"/>
        <v>0</v>
      </c>
      <c r="H214" s="163" t="str">
        <f t="shared" si="3"/>
        <v>F-41127</v>
      </c>
      <c r="I214" s="113"/>
      <c r="J214" s="113"/>
      <c r="K214" s="113"/>
      <c r="L214" s="158"/>
      <c r="M214" s="166" t="s">
        <v>287</v>
      </c>
      <c r="N214" s="113"/>
      <c r="O214" s="113"/>
      <c r="P214" s="113"/>
      <c r="Q214" s="113"/>
      <c r="R214" s="113"/>
      <c r="S214" s="113"/>
      <c r="T214" s="113"/>
      <c r="U214" s="113"/>
      <c r="V214" s="113"/>
      <c r="W214" s="113"/>
      <c r="X214" s="113"/>
      <c r="Y214" s="113"/>
      <c r="Z214" s="113"/>
      <c r="AA214" s="113"/>
      <c r="AB214" s="113"/>
      <c r="AC214" s="113"/>
      <c r="AD214" s="113"/>
      <c r="AE214" s="113"/>
      <c r="AF214" s="113"/>
      <c r="AG214" s="113"/>
      <c r="AH214" s="113"/>
      <c r="AI214" s="113"/>
      <c r="AJ214" s="113"/>
      <c r="AK214" s="113"/>
      <c r="AL214" s="113"/>
      <c r="AM214" s="113"/>
      <c r="AN214" s="113"/>
      <c r="AO214" s="113"/>
      <c r="AP214" s="113"/>
      <c r="AQ214" s="113"/>
      <c r="AR214" s="113"/>
      <c r="AS214" s="113"/>
      <c r="AT214" s="113"/>
      <c r="AU214" s="113"/>
      <c r="AV214" s="113"/>
      <c r="AW214" s="113"/>
      <c r="AX214" s="113"/>
      <c r="AY214" s="113"/>
      <c r="AZ214" s="113"/>
      <c r="BA214" s="113"/>
      <c r="BB214" s="113"/>
      <c r="BC214" s="113"/>
      <c r="BD214" s="113"/>
      <c r="BE214" s="113"/>
      <c r="BF214" s="113"/>
      <c r="BG214" s="113"/>
      <c r="BH214" s="113"/>
      <c r="BI214" s="113"/>
      <c r="BJ214" s="113"/>
      <c r="BK214" s="113"/>
      <c r="BL214" s="113"/>
      <c r="BM214" s="113"/>
      <c r="BN214" s="113"/>
      <c r="BO214" s="113"/>
      <c r="BP214" s="113"/>
      <c r="BQ214" s="113"/>
      <c r="BR214" s="113"/>
      <c r="BS214" s="113"/>
      <c r="BT214" s="113"/>
      <c r="BU214" s="113"/>
      <c r="BV214" s="113"/>
      <c r="BW214" s="113"/>
      <c r="BX214" s="113"/>
      <c r="BY214" s="113"/>
      <c r="BZ214" s="113"/>
      <c r="CA214" s="113"/>
      <c r="CB214" s="113"/>
      <c r="CC214" s="113"/>
      <c r="CD214" s="113"/>
      <c r="CE214" s="113"/>
      <c r="CF214" s="113"/>
      <c r="CG214" s="113"/>
      <c r="CH214" s="113"/>
      <c r="CI214" s="113"/>
      <c r="CJ214" s="113"/>
      <c r="CK214" s="113"/>
      <c r="CL214" s="113"/>
      <c r="CM214" s="113"/>
      <c r="CN214" s="113"/>
      <c r="CO214" s="113"/>
      <c r="CP214" s="113"/>
      <c r="CQ214" s="113"/>
      <c r="CR214" s="113"/>
      <c r="CS214" s="113"/>
      <c r="CT214" s="113"/>
      <c r="CU214" s="113"/>
    </row>
    <row r="215">
      <c r="A215" s="159" t="str">
        <f>IFERROR(__xludf.DUMMYFUNCTION("""COMPUTED_VALUE"""),"F-5")</f>
        <v>F-5</v>
      </c>
      <c r="B215" s="113" t="str">
        <f>IFERROR(__xludf.DUMMYFUNCTION("""COMPUTED_VALUE"""),"Manan")</f>
        <v>Manan</v>
      </c>
      <c r="C215" s="113" t="str">
        <f>IFERROR(__xludf.DUMMYFUNCTION("""COMPUTED_VALUE"""),"Katwala")</f>
        <v>Katwala</v>
      </c>
      <c r="D215" s="158">
        <f>IFERROR(__xludf.DUMMYFUNCTION("""COMPUTED_VALUE"""),1027.0)</f>
        <v>1027</v>
      </c>
      <c r="E215" s="161">
        <f t="shared" si="1"/>
        <v>7</v>
      </c>
      <c r="F215" s="160">
        <f>COUNTIFS('Scores Import DO NOT EDIT'!C:C, D215,'Scores Import DO NOT EDIT'!M:M,A215)</f>
        <v>7</v>
      </c>
      <c r="G215" s="162">
        <f t="shared" si="2"/>
        <v>1</v>
      </c>
      <c r="H215" s="163" t="str">
        <f t="shared" si="3"/>
        <v>F-51027</v>
      </c>
      <c r="I215" s="113"/>
      <c r="J215" s="113"/>
      <c r="K215" s="113"/>
      <c r="L215" s="158"/>
      <c r="M215" s="166" t="s">
        <v>289</v>
      </c>
      <c r="N215" s="113"/>
      <c r="O215" s="113"/>
      <c r="P215" s="113"/>
      <c r="Q215" s="113"/>
      <c r="R215" s="113"/>
      <c r="S215" s="113"/>
      <c r="T215" s="113"/>
      <c r="U215" s="113"/>
      <c r="V215" s="113"/>
      <c r="W215" s="113"/>
      <c r="X215" s="113"/>
      <c r="Y215" s="113"/>
      <c r="Z215" s="113"/>
      <c r="AA215" s="113"/>
      <c r="AB215" s="113"/>
      <c r="AC215" s="113"/>
      <c r="AD215" s="113"/>
      <c r="AE215" s="113"/>
      <c r="AF215" s="113"/>
      <c r="AG215" s="113"/>
      <c r="AH215" s="113"/>
      <c r="AI215" s="113"/>
      <c r="AJ215" s="113"/>
      <c r="AK215" s="113"/>
      <c r="AL215" s="113"/>
      <c r="AM215" s="113"/>
      <c r="AN215" s="113"/>
      <c r="AO215" s="113"/>
      <c r="AP215" s="113"/>
      <c r="AQ215" s="113"/>
      <c r="AR215" s="113"/>
      <c r="AS215" s="113"/>
      <c r="AT215" s="113"/>
      <c r="AU215" s="113"/>
      <c r="AV215" s="113"/>
      <c r="AW215" s="113"/>
      <c r="AX215" s="113"/>
      <c r="AY215" s="113"/>
      <c r="AZ215" s="113"/>
      <c r="BA215" s="113"/>
      <c r="BB215" s="113"/>
      <c r="BC215" s="113"/>
      <c r="BD215" s="113"/>
      <c r="BE215" s="113"/>
      <c r="BF215" s="113"/>
      <c r="BG215" s="113"/>
      <c r="BH215" s="113"/>
      <c r="BI215" s="113"/>
      <c r="BJ215" s="113"/>
      <c r="BK215" s="113"/>
      <c r="BL215" s="113"/>
      <c r="BM215" s="113"/>
      <c r="BN215" s="113"/>
      <c r="BO215" s="113"/>
      <c r="BP215" s="113"/>
      <c r="BQ215" s="113"/>
      <c r="BR215" s="113"/>
      <c r="BS215" s="113"/>
      <c r="BT215" s="113"/>
      <c r="BU215" s="113"/>
      <c r="BV215" s="113"/>
      <c r="BW215" s="113"/>
      <c r="BX215" s="113"/>
      <c r="BY215" s="113"/>
      <c r="BZ215" s="113"/>
      <c r="CA215" s="113"/>
      <c r="CB215" s="113"/>
      <c r="CC215" s="113"/>
      <c r="CD215" s="113"/>
      <c r="CE215" s="113"/>
      <c r="CF215" s="113"/>
      <c r="CG215" s="113"/>
      <c r="CH215" s="113"/>
      <c r="CI215" s="113"/>
      <c r="CJ215" s="113"/>
      <c r="CK215" s="113"/>
      <c r="CL215" s="113"/>
      <c r="CM215" s="113"/>
      <c r="CN215" s="113"/>
      <c r="CO215" s="113"/>
      <c r="CP215" s="113"/>
      <c r="CQ215" s="113"/>
      <c r="CR215" s="113"/>
      <c r="CS215" s="113"/>
      <c r="CT215" s="113"/>
      <c r="CU215" s="113"/>
    </row>
    <row r="216">
      <c r="A216" s="159" t="str">
        <f>IFERROR(__xludf.DUMMYFUNCTION("""COMPUTED_VALUE"""),"F-5")</f>
        <v>F-5</v>
      </c>
      <c r="B216" s="113" t="str">
        <f>IFERROR(__xludf.DUMMYFUNCTION("""COMPUTED_VALUE"""),"Lance")</f>
        <v>Lance</v>
      </c>
      <c r="C216" s="113" t="str">
        <f>IFERROR(__xludf.DUMMYFUNCTION("""COMPUTED_VALUE"""),"Elliott")</f>
        <v>Elliott</v>
      </c>
      <c r="D216" s="158">
        <f>IFERROR(__xludf.DUMMYFUNCTION("""COMPUTED_VALUE"""),1185.0)</f>
        <v>1185</v>
      </c>
      <c r="E216" s="161">
        <f t="shared" si="1"/>
        <v>7</v>
      </c>
      <c r="F216" s="160">
        <f>COUNTIFS('Scores Import DO NOT EDIT'!C:C, D216,'Scores Import DO NOT EDIT'!M:M,A216)</f>
        <v>7</v>
      </c>
      <c r="G216" s="162">
        <f t="shared" si="2"/>
        <v>1</v>
      </c>
      <c r="H216" s="163" t="str">
        <f t="shared" si="3"/>
        <v>F-51185</v>
      </c>
      <c r="I216" s="113"/>
      <c r="J216" s="113"/>
      <c r="K216" s="113"/>
      <c r="L216" s="158"/>
      <c r="M216" s="166" t="s">
        <v>290</v>
      </c>
      <c r="N216" s="113"/>
      <c r="O216" s="113"/>
      <c r="P216" s="113"/>
      <c r="Q216" s="113"/>
      <c r="R216" s="113"/>
      <c r="S216" s="113"/>
      <c r="T216" s="113"/>
      <c r="U216" s="113"/>
      <c r="V216" s="113"/>
      <c r="W216" s="113"/>
      <c r="X216" s="113"/>
      <c r="Y216" s="113"/>
      <c r="Z216" s="113"/>
      <c r="AA216" s="113"/>
      <c r="AB216" s="113"/>
      <c r="AC216" s="113"/>
      <c r="AD216" s="113"/>
      <c r="AE216" s="113"/>
      <c r="AF216" s="113"/>
      <c r="AG216" s="113"/>
      <c r="AH216" s="113"/>
      <c r="AI216" s="113"/>
      <c r="AJ216" s="113"/>
      <c r="AK216" s="113"/>
      <c r="AL216" s="113"/>
      <c r="AM216" s="113"/>
      <c r="AN216" s="113"/>
      <c r="AO216" s="113"/>
      <c r="AP216" s="113"/>
      <c r="AQ216" s="113"/>
      <c r="AR216" s="113"/>
      <c r="AS216" s="113"/>
      <c r="AT216" s="113"/>
      <c r="AU216" s="113"/>
      <c r="AV216" s="113"/>
      <c r="AW216" s="113"/>
      <c r="AX216" s="113"/>
      <c r="AY216" s="113"/>
      <c r="AZ216" s="113"/>
      <c r="BA216" s="113"/>
      <c r="BB216" s="113"/>
      <c r="BC216" s="113"/>
      <c r="BD216" s="113"/>
      <c r="BE216" s="113"/>
      <c r="BF216" s="113"/>
      <c r="BG216" s="113"/>
      <c r="BH216" s="113"/>
      <c r="BI216" s="113"/>
      <c r="BJ216" s="113"/>
      <c r="BK216" s="113"/>
      <c r="BL216" s="113"/>
      <c r="BM216" s="113"/>
      <c r="BN216" s="113"/>
      <c r="BO216" s="113"/>
      <c r="BP216" s="113"/>
      <c r="BQ216" s="113"/>
      <c r="BR216" s="113"/>
      <c r="BS216" s="113"/>
      <c r="BT216" s="113"/>
      <c r="BU216" s="113"/>
      <c r="BV216" s="113"/>
      <c r="BW216" s="113"/>
      <c r="BX216" s="113"/>
      <c r="BY216" s="113"/>
      <c r="BZ216" s="113"/>
      <c r="CA216" s="113"/>
      <c r="CB216" s="113"/>
      <c r="CC216" s="113"/>
      <c r="CD216" s="113"/>
      <c r="CE216" s="113"/>
      <c r="CF216" s="113"/>
      <c r="CG216" s="113"/>
      <c r="CH216" s="113"/>
      <c r="CI216" s="113"/>
      <c r="CJ216" s="113"/>
      <c r="CK216" s="113"/>
      <c r="CL216" s="113"/>
      <c r="CM216" s="113"/>
      <c r="CN216" s="113"/>
      <c r="CO216" s="113"/>
      <c r="CP216" s="113"/>
      <c r="CQ216" s="113"/>
      <c r="CR216" s="113"/>
      <c r="CS216" s="113"/>
      <c r="CT216" s="113"/>
      <c r="CU216" s="113"/>
    </row>
    <row r="217">
      <c r="A217" s="159" t="str">
        <f>IFERROR(__xludf.DUMMYFUNCTION("""COMPUTED_VALUE"""),"F-5")</f>
        <v>F-5</v>
      </c>
      <c r="B217" s="113" t="str">
        <f>IFERROR(__xludf.DUMMYFUNCTION("""COMPUTED_VALUE"""),"Jiali")</f>
        <v>Jiali</v>
      </c>
      <c r="C217" s="113" t="str">
        <f>IFERROR(__xludf.DUMMYFUNCTION("""COMPUTED_VALUE"""),"Wang")</f>
        <v>Wang</v>
      </c>
      <c r="D217" s="158">
        <f>IFERROR(__xludf.DUMMYFUNCTION("""COMPUTED_VALUE"""),1223.0)</f>
        <v>1223</v>
      </c>
      <c r="E217" s="161">
        <f t="shared" si="1"/>
        <v>7</v>
      </c>
      <c r="F217" s="160">
        <f>COUNTIFS('Scores Import DO NOT EDIT'!C:C, D217,'Scores Import DO NOT EDIT'!M:M,A217)</f>
        <v>7</v>
      </c>
      <c r="G217" s="162">
        <f t="shared" si="2"/>
        <v>1</v>
      </c>
      <c r="H217" s="163" t="str">
        <f t="shared" si="3"/>
        <v>F-51223</v>
      </c>
      <c r="I217" s="113"/>
      <c r="J217" s="113"/>
      <c r="K217" s="113"/>
      <c r="L217" s="158"/>
      <c r="M217" s="166" t="s">
        <v>285</v>
      </c>
      <c r="N217" s="113"/>
      <c r="O217" s="113"/>
      <c r="P217" s="113"/>
      <c r="Q217" s="113"/>
      <c r="R217" s="113"/>
      <c r="S217" s="113"/>
      <c r="T217" s="113"/>
      <c r="U217" s="113"/>
      <c r="V217" s="113"/>
      <c r="W217" s="113"/>
      <c r="X217" s="113"/>
      <c r="Y217" s="113"/>
      <c r="Z217" s="113"/>
      <c r="AA217" s="113"/>
      <c r="AB217" s="113"/>
      <c r="AC217" s="113"/>
      <c r="AD217" s="113"/>
      <c r="AE217" s="113"/>
      <c r="AF217" s="113"/>
      <c r="AG217" s="113"/>
      <c r="AH217" s="113"/>
      <c r="AI217" s="113"/>
      <c r="AJ217" s="113"/>
      <c r="AK217" s="113"/>
      <c r="AL217" s="113"/>
      <c r="AM217" s="113"/>
      <c r="AN217" s="113"/>
      <c r="AO217" s="113"/>
      <c r="AP217" s="113"/>
      <c r="AQ217" s="113"/>
      <c r="AR217" s="113"/>
      <c r="AS217" s="113"/>
      <c r="AT217" s="113"/>
      <c r="AU217" s="113"/>
      <c r="AV217" s="113"/>
      <c r="AW217" s="113"/>
      <c r="AX217" s="113"/>
      <c r="AY217" s="113"/>
      <c r="AZ217" s="113"/>
      <c r="BA217" s="113"/>
      <c r="BB217" s="113"/>
      <c r="BC217" s="113"/>
      <c r="BD217" s="113"/>
      <c r="BE217" s="113"/>
      <c r="BF217" s="113"/>
      <c r="BG217" s="113"/>
      <c r="BH217" s="113"/>
      <c r="BI217" s="113"/>
      <c r="BJ217" s="113"/>
      <c r="BK217" s="113"/>
      <c r="BL217" s="113"/>
      <c r="BM217" s="113"/>
      <c r="BN217" s="113"/>
      <c r="BO217" s="113"/>
      <c r="BP217" s="113"/>
      <c r="BQ217" s="113"/>
      <c r="BR217" s="113"/>
      <c r="BS217" s="113"/>
      <c r="BT217" s="113"/>
      <c r="BU217" s="113"/>
      <c r="BV217" s="113"/>
      <c r="BW217" s="113"/>
      <c r="BX217" s="113"/>
      <c r="BY217" s="113"/>
      <c r="BZ217" s="113"/>
      <c r="CA217" s="113"/>
      <c r="CB217" s="113"/>
      <c r="CC217" s="113"/>
      <c r="CD217" s="113"/>
      <c r="CE217" s="113"/>
      <c r="CF217" s="113"/>
      <c r="CG217" s="113"/>
      <c r="CH217" s="113"/>
      <c r="CI217" s="113"/>
      <c r="CJ217" s="113"/>
      <c r="CK217" s="113"/>
      <c r="CL217" s="113"/>
      <c r="CM217" s="113"/>
      <c r="CN217" s="113"/>
      <c r="CO217" s="113"/>
      <c r="CP217" s="113"/>
      <c r="CQ217" s="113"/>
      <c r="CR217" s="113"/>
      <c r="CS217" s="113"/>
      <c r="CT217" s="113"/>
      <c r="CU217" s="113"/>
    </row>
    <row r="218">
      <c r="A218" s="159" t="str">
        <f>IFERROR(__xludf.DUMMYFUNCTION("""COMPUTED_VALUE"""),"F-5")</f>
        <v>F-5</v>
      </c>
      <c r="B218" s="113" t="str">
        <f>IFERROR(__xludf.DUMMYFUNCTION("""COMPUTED_VALUE"""),"Nagy")</f>
        <v>Nagy</v>
      </c>
      <c r="C218" s="113" t="str">
        <f>IFERROR(__xludf.DUMMYFUNCTION("""COMPUTED_VALUE"""),"Nosseir")</f>
        <v>Nosseir</v>
      </c>
      <c r="D218" s="158">
        <f>IFERROR(__xludf.DUMMYFUNCTION("""COMPUTED_VALUE"""),1206.0)</f>
        <v>1206</v>
      </c>
      <c r="E218" s="161">
        <f t="shared" si="1"/>
        <v>7</v>
      </c>
      <c r="F218" s="160">
        <f>COUNTIFS('Scores Import DO NOT EDIT'!C:C, D218,'Scores Import DO NOT EDIT'!M:M,A218)</f>
        <v>7</v>
      </c>
      <c r="G218" s="162">
        <f t="shared" si="2"/>
        <v>1</v>
      </c>
      <c r="H218" s="163" t="str">
        <f t="shared" si="3"/>
        <v>F-51206</v>
      </c>
      <c r="I218" s="113"/>
      <c r="J218" s="113"/>
      <c r="K218" s="113"/>
      <c r="L218" s="158"/>
      <c r="M218" s="166" t="s">
        <v>288</v>
      </c>
      <c r="N218" s="113"/>
      <c r="O218" s="113"/>
      <c r="P218" s="113"/>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c r="AT218" s="113"/>
      <c r="AU218" s="113"/>
      <c r="AV218" s="113"/>
      <c r="AW218" s="113"/>
      <c r="AX218" s="113"/>
      <c r="AY218" s="113"/>
      <c r="AZ218" s="113"/>
      <c r="BA218" s="113"/>
      <c r="BB218" s="113"/>
      <c r="BC218" s="113"/>
      <c r="BD218" s="113"/>
      <c r="BE218" s="113"/>
      <c r="BF218" s="113"/>
      <c r="BG218" s="113"/>
      <c r="BH218" s="113"/>
      <c r="BI218" s="113"/>
      <c r="BJ218" s="113"/>
      <c r="BK218" s="113"/>
      <c r="BL218" s="113"/>
      <c r="BM218" s="113"/>
      <c r="BN218" s="113"/>
      <c r="BO218" s="113"/>
      <c r="BP218" s="113"/>
      <c r="BQ218" s="113"/>
      <c r="BR218" s="113"/>
      <c r="BS218" s="113"/>
      <c r="BT218" s="113"/>
      <c r="BU218" s="113"/>
      <c r="BV218" s="113"/>
      <c r="BW218" s="113"/>
      <c r="BX218" s="113"/>
      <c r="BY218" s="113"/>
      <c r="BZ218" s="113"/>
      <c r="CA218" s="113"/>
      <c r="CB218" s="113"/>
      <c r="CC218" s="113"/>
      <c r="CD218" s="113"/>
      <c r="CE218" s="113"/>
      <c r="CF218" s="113"/>
      <c r="CG218" s="113"/>
      <c r="CH218" s="113"/>
      <c r="CI218" s="113"/>
      <c r="CJ218" s="113"/>
      <c r="CK218" s="113"/>
      <c r="CL218" s="113"/>
      <c r="CM218" s="113"/>
      <c r="CN218" s="113"/>
      <c r="CO218" s="113"/>
      <c r="CP218" s="113"/>
      <c r="CQ218" s="113"/>
      <c r="CR218" s="113"/>
      <c r="CS218" s="113"/>
      <c r="CT218" s="113"/>
      <c r="CU218" s="113"/>
    </row>
    <row r="219">
      <c r="A219" s="159" t="str">
        <f>IFERROR(__xludf.DUMMYFUNCTION("""COMPUTED_VALUE"""),"F-6")</f>
        <v>F-6</v>
      </c>
      <c r="B219" s="113" t="str">
        <f>IFERROR(__xludf.DUMMYFUNCTION("""COMPUTED_VALUE"""),"Marlene")</f>
        <v>Marlene</v>
      </c>
      <c r="C219" s="113" t="str">
        <f>IFERROR(__xludf.DUMMYFUNCTION("""COMPUTED_VALUE"""),"Ruiz")</f>
        <v>Ruiz</v>
      </c>
      <c r="D219" s="158">
        <f>IFERROR(__xludf.DUMMYFUNCTION("""COMPUTED_VALUE"""),1160.0)</f>
        <v>1160</v>
      </c>
      <c r="E219" s="161">
        <f t="shared" si="1"/>
        <v>5</v>
      </c>
      <c r="F219" s="160">
        <f>COUNTIFS('Scores Import DO NOT EDIT'!C:C, D219,'Scores Import DO NOT EDIT'!M:M,A219)</f>
        <v>3</v>
      </c>
      <c r="G219" s="162">
        <f t="shared" si="2"/>
        <v>0.6</v>
      </c>
      <c r="H219" s="163" t="str">
        <f t="shared" si="3"/>
        <v>F-61160</v>
      </c>
      <c r="I219" s="113"/>
      <c r="J219" s="113"/>
      <c r="K219" s="113"/>
      <c r="L219" s="158"/>
      <c r="M219" s="166" t="s">
        <v>286</v>
      </c>
      <c r="N219" s="113"/>
      <c r="O219" s="113"/>
      <c r="P219" s="113"/>
      <c r="Q219" s="113"/>
      <c r="R219" s="113"/>
      <c r="S219" s="113"/>
      <c r="T219" s="113"/>
      <c r="U219" s="113"/>
      <c r="V219" s="113"/>
      <c r="W219" s="113"/>
      <c r="X219" s="113"/>
      <c r="Y219" s="113"/>
      <c r="Z219" s="113"/>
      <c r="AA219" s="113"/>
      <c r="AB219" s="113"/>
      <c r="AC219" s="113"/>
      <c r="AD219" s="113"/>
      <c r="AE219" s="113"/>
      <c r="AF219" s="113"/>
      <c r="AG219" s="113"/>
      <c r="AH219" s="113"/>
      <c r="AI219" s="113"/>
      <c r="AJ219" s="113"/>
      <c r="AK219" s="113"/>
      <c r="AL219" s="113"/>
      <c r="AM219" s="113"/>
      <c r="AN219" s="113"/>
      <c r="AO219" s="113"/>
      <c r="AP219" s="113"/>
      <c r="AQ219" s="113"/>
      <c r="AR219" s="113"/>
      <c r="AS219" s="113"/>
      <c r="AT219" s="113"/>
      <c r="AU219" s="113"/>
      <c r="AV219" s="113"/>
      <c r="AW219" s="113"/>
      <c r="AX219" s="113"/>
      <c r="AY219" s="113"/>
      <c r="AZ219" s="113"/>
      <c r="BA219" s="113"/>
      <c r="BB219" s="113"/>
      <c r="BC219" s="113"/>
      <c r="BD219" s="113"/>
      <c r="BE219" s="113"/>
      <c r="BF219" s="113"/>
      <c r="BG219" s="113"/>
      <c r="BH219" s="113"/>
      <c r="BI219" s="113"/>
      <c r="BJ219" s="113"/>
      <c r="BK219" s="113"/>
      <c r="BL219" s="113"/>
      <c r="BM219" s="113"/>
      <c r="BN219" s="113"/>
      <c r="BO219" s="113"/>
      <c r="BP219" s="113"/>
      <c r="BQ219" s="113"/>
      <c r="BR219" s="113"/>
      <c r="BS219" s="113"/>
      <c r="BT219" s="113"/>
      <c r="BU219" s="113"/>
      <c r="BV219" s="113"/>
      <c r="BW219" s="113"/>
      <c r="BX219" s="113"/>
      <c r="BY219" s="113"/>
      <c r="BZ219" s="113"/>
      <c r="CA219" s="113"/>
      <c r="CB219" s="113"/>
      <c r="CC219" s="113"/>
      <c r="CD219" s="113"/>
      <c r="CE219" s="113"/>
      <c r="CF219" s="113"/>
      <c r="CG219" s="113"/>
      <c r="CH219" s="113"/>
      <c r="CI219" s="113"/>
      <c r="CJ219" s="113"/>
      <c r="CK219" s="113"/>
      <c r="CL219" s="113"/>
      <c r="CM219" s="113"/>
      <c r="CN219" s="113"/>
      <c r="CO219" s="113"/>
      <c r="CP219" s="113"/>
      <c r="CQ219" s="113"/>
      <c r="CR219" s="113"/>
      <c r="CS219" s="113"/>
      <c r="CT219" s="113"/>
      <c r="CU219" s="113"/>
    </row>
    <row r="220">
      <c r="A220" s="159" t="str">
        <f>IFERROR(__xludf.DUMMYFUNCTION("""COMPUTED_VALUE"""),"F-6")</f>
        <v>F-6</v>
      </c>
      <c r="B220" s="113" t="str">
        <f>IFERROR(__xludf.DUMMYFUNCTION("""COMPUTED_VALUE"""),"Terrence D.")</f>
        <v>Terrence D.</v>
      </c>
      <c r="C220" s="113" t="str">
        <f>IFERROR(__xludf.DUMMYFUNCTION("""COMPUTED_VALUE"""),"Chu")</f>
        <v>Chu</v>
      </c>
      <c r="D220" s="158">
        <f>IFERROR(__xludf.DUMMYFUNCTION("""COMPUTED_VALUE"""),1144.0)</f>
        <v>1144</v>
      </c>
      <c r="E220" s="161">
        <f t="shared" si="1"/>
        <v>5</v>
      </c>
      <c r="F220" s="160">
        <f>COUNTIFS('Scores Import DO NOT EDIT'!C:C, D220,'Scores Import DO NOT EDIT'!M:M,A220)</f>
        <v>3</v>
      </c>
      <c r="G220" s="162">
        <f t="shared" si="2"/>
        <v>0.6</v>
      </c>
      <c r="H220" s="163" t="str">
        <f t="shared" si="3"/>
        <v>F-61144</v>
      </c>
      <c r="I220" s="113"/>
      <c r="J220" s="113"/>
      <c r="K220" s="113"/>
      <c r="L220" s="158"/>
      <c r="M220" s="166" t="s">
        <v>305</v>
      </c>
      <c r="N220" s="113"/>
      <c r="O220" s="113"/>
      <c r="P220" s="113"/>
      <c r="Q220" s="113"/>
      <c r="R220" s="113"/>
      <c r="S220" s="113"/>
      <c r="T220" s="113"/>
      <c r="U220" s="113"/>
      <c r="V220" s="113"/>
      <c r="W220" s="113"/>
      <c r="X220" s="113"/>
      <c r="Y220" s="113"/>
      <c r="Z220" s="113"/>
      <c r="AA220" s="113"/>
      <c r="AB220" s="113"/>
      <c r="AC220" s="113"/>
      <c r="AD220" s="113"/>
      <c r="AE220" s="113"/>
      <c r="AF220" s="113"/>
      <c r="AG220" s="113"/>
      <c r="AH220" s="113"/>
      <c r="AI220" s="113"/>
      <c r="AJ220" s="113"/>
      <c r="AK220" s="113"/>
      <c r="AL220" s="113"/>
      <c r="AM220" s="113"/>
      <c r="AN220" s="113"/>
      <c r="AO220" s="113"/>
      <c r="AP220" s="113"/>
      <c r="AQ220" s="113"/>
      <c r="AR220" s="113"/>
      <c r="AS220" s="113"/>
      <c r="AT220" s="113"/>
      <c r="AU220" s="113"/>
      <c r="AV220" s="113"/>
      <c r="AW220" s="113"/>
      <c r="AX220" s="113"/>
      <c r="AY220" s="113"/>
      <c r="AZ220" s="113"/>
      <c r="BA220" s="113"/>
      <c r="BB220" s="113"/>
      <c r="BC220" s="113"/>
      <c r="BD220" s="113"/>
      <c r="BE220" s="113"/>
      <c r="BF220" s="113"/>
      <c r="BG220" s="113"/>
      <c r="BH220" s="113"/>
      <c r="BI220" s="113"/>
      <c r="BJ220" s="113"/>
      <c r="BK220" s="113"/>
      <c r="BL220" s="113"/>
      <c r="BM220" s="113"/>
      <c r="BN220" s="113"/>
      <c r="BO220" s="113"/>
      <c r="BP220" s="113"/>
      <c r="BQ220" s="113"/>
      <c r="BR220" s="113"/>
      <c r="BS220" s="113"/>
      <c r="BT220" s="113"/>
      <c r="BU220" s="113"/>
      <c r="BV220" s="113"/>
      <c r="BW220" s="113"/>
      <c r="BX220" s="113"/>
      <c r="BY220" s="113"/>
      <c r="BZ220" s="113"/>
      <c r="CA220" s="113"/>
      <c r="CB220" s="113"/>
      <c r="CC220" s="113"/>
      <c r="CD220" s="113"/>
      <c r="CE220" s="113"/>
      <c r="CF220" s="113"/>
      <c r="CG220" s="113"/>
      <c r="CH220" s="113"/>
      <c r="CI220" s="113"/>
      <c r="CJ220" s="113"/>
      <c r="CK220" s="113"/>
      <c r="CL220" s="113"/>
      <c r="CM220" s="113"/>
      <c r="CN220" s="113"/>
      <c r="CO220" s="113"/>
      <c r="CP220" s="113"/>
      <c r="CQ220" s="113"/>
      <c r="CR220" s="113"/>
      <c r="CS220" s="113"/>
      <c r="CT220" s="113"/>
      <c r="CU220" s="113"/>
    </row>
    <row r="221">
      <c r="A221" s="159" t="str">
        <f>IFERROR(__xludf.DUMMYFUNCTION("""COMPUTED_VALUE"""),"F-6")</f>
        <v>F-6</v>
      </c>
      <c r="B221" s="113" t="str">
        <f>IFERROR(__xludf.DUMMYFUNCTION("""COMPUTED_VALUE"""),"Nitai")</f>
        <v>Nitai</v>
      </c>
      <c r="C221" s="113" t="str">
        <f>IFERROR(__xludf.DUMMYFUNCTION("""COMPUTED_VALUE"""),"Chandra Adak")</f>
        <v>Chandra Adak</v>
      </c>
      <c r="D221" s="158">
        <f>IFERROR(__xludf.DUMMYFUNCTION("""COMPUTED_VALUE"""),1092.0)</f>
        <v>1092</v>
      </c>
      <c r="E221" s="161">
        <f t="shared" si="1"/>
        <v>5</v>
      </c>
      <c r="F221" s="160">
        <f>COUNTIFS('Scores Import DO NOT EDIT'!C:C, D221,'Scores Import DO NOT EDIT'!M:M,A221)</f>
        <v>4</v>
      </c>
      <c r="G221" s="162">
        <f t="shared" si="2"/>
        <v>0.8</v>
      </c>
      <c r="H221" s="163" t="str">
        <f t="shared" si="3"/>
        <v>F-61092</v>
      </c>
      <c r="I221" s="113"/>
      <c r="J221" s="113"/>
      <c r="K221" s="113"/>
      <c r="L221" s="158"/>
      <c r="M221" s="166" t="s">
        <v>310</v>
      </c>
      <c r="N221" s="113"/>
      <c r="O221" s="113"/>
      <c r="P221" s="113"/>
      <c r="Q221" s="113"/>
      <c r="R221" s="113"/>
      <c r="S221" s="113"/>
      <c r="T221" s="113"/>
      <c r="U221" s="113"/>
      <c r="V221" s="113"/>
      <c r="W221" s="113"/>
      <c r="X221" s="113"/>
      <c r="Y221" s="113"/>
      <c r="Z221" s="113"/>
      <c r="AA221" s="113"/>
      <c r="AB221" s="113"/>
      <c r="AC221" s="113"/>
      <c r="AD221" s="113"/>
      <c r="AE221" s="113"/>
      <c r="AF221" s="113"/>
      <c r="AG221" s="113"/>
      <c r="AH221" s="113"/>
      <c r="AI221" s="113"/>
      <c r="AJ221" s="113"/>
      <c r="AK221" s="113"/>
      <c r="AL221" s="113"/>
      <c r="AM221" s="113"/>
      <c r="AN221" s="113"/>
      <c r="AO221" s="113"/>
      <c r="AP221" s="113"/>
      <c r="AQ221" s="113"/>
      <c r="AR221" s="113"/>
      <c r="AS221" s="113"/>
      <c r="AT221" s="113"/>
      <c r="AU221" s="113"/>
      <c r="AV221" s="113"/>
      <c r="AW221" s="113"/>
      <c r="AX221" s="113"/>
      <c r="AY221" s="113"/>
      <c r="AZ221" s="113"/>
      <c r="BA221" s="113"/>
      <c r="BB221" s="113"/>
      <c r="BC221" s="113"/>
      <c r="BD221" s="113"/>
      <c r="BE221" s="113"/>
      <c r="BF221" s="113"/>
      <c r="BG221" s="113"/>
      <c r="BH221" s="113"/>
      <c r="BI221" s="113"/>
      <c r="BJ221" s="113"/>
      <c r="BK221" s="113"/>
      <c r="BL221" s="113"/>
      <c r="BM221" s="113"/>
      <c r="BN221" s="113"/>
      <c r="BO221" s="113"/>
      <c r="BP221" s="113"/>
      <c r="BQ221" s="113"/>
      <c r="BR221" s="113"/>
      <c r="BS221" s="113"/>
      <c r="BT221" s="113"/>
      <c r="BU221" s="113"/>
      <c r="BV221" s="113"/>
      <c r="BW221" s="113"/>
      <c r="BX221" s="113"/>
      <c r="BY221" s="113"/>
      <c r="BZ221" s="113"/>
      <c r="CA221" s="113"/>
      <c r="CB221" s="113"/>
      <c r="CC221" s="113"/>
      <c r="CD221" s="113"/>
      <c r="CE221" s="113"/>
      <c r="CF221" s="113"/>
      <c r="CG221" s="113"/>
      <c r="CH221" s="113"/>
      <c r="CI221" s="113"/>
      <c r="CJ221" s="113"/>
      <c r="CK221" s="113"/>
      <c r="CL221" s="113"/>
      <c r="CM221" s="113"/>
      <c r="CN221" s="113"/>
      <c r="CO221" s="113"/>
      <c r="CP221" s="113"/>
      <c r="CQ221" s="113"/>
      <c r="CR221" s="113"/>
      <c r="CS221" s="113"/>
      <c r="CT221" s="113"/>
      <c r="CU221" s="113"/>
    </row>
    <row r="222">
      <c r="A222" s="159" t="str">
        <f>IFERROR(__xludf.DUMMYFUNCTION("""COMPUTED_VALUE"""),"F-6")</f>
        <v>F-6</v>
      </c>
      <c r="B222" s="113" t="str">
        <f>IFERROR(__xludf.DUMMYFUNCTION("""COMPUTED_VALUE"""),"Huiyu")</f>
        <v>Huiyu</v>
      </c>
      <c r="C222" s="113" t="str">
        <f>IFERROR(__xludf.DUMMYFUNCTION("""COMPUTED_VALUE"""),"Qian")</f>
        <v>Qian</v>
      </c>
      <c r="D222" s="158">
        <f>IFERROR(__xludf.DUMMYFUNCTION("""COMPUTED_VALUE"""),1141.0)</f>
        <v>1141</v>
      </c>
      <c r="E222" s="161">
        <f t="shared" si="1"/>
        <v>5</v>
      </c>
      <c r="F222" s="160">
        <f>COUNTIFS('Scores Import DO NOT EDIT'!C:C, D222,'Scores Import DO NOT EDIT'!M:M,A222)</f>
        <v>3</v>
      </c>
      <c r="G222" s="162">
        <f t="shared" si="2"/>
        <v>0.6</v>
      </c>
      <c r="H222" s="163" t="str">
        <f t="shared" si="3"/>
        <v>F-61141</v>
      </c>
      <c r="I222" s="113"/>
      <c r="J222" s="113"/>
      <c r="K222" s="113"/>
      <c r="L222" s="158"/>
      <c r="M222" s="166" t="s">
        <v>304</v>
      </c>
      <c r="N222" s="113"/>
      <c r="O222" s="113"/>
      <c r="P222" s="113"/>
      <c r="Q222" s="113"/>
      <c r="R222" s="113"/>
      <c r="S222" s="113"/>
      <c r="T222" s="113"/>
      <c r="U222" s="113"/>
      <c r="V222" s="113"/>
      <c r="W222" s="113"/>
      <c r="X222" s="113"/>
      <c r="Y222" s="113"/>
      <c r="Z222" s="113"/>
      <c r="AA222" s="113"/>
      <c r="AB222" s="113"/>
      <c r="AC222" s="113"/>
      <c r="AD222" s="113"/>
      <c r="AE222" s="113"/>
      <c r="AF222" s="113"/>
      <c r="AG222" s="113"/>
      <c r="AH222" s="113"/>
      <c r="AI222" s="113"/>
      <c r="AJ222" s="113"/>
      <c r="AK222" s="113"/>
      <c r="AL222" s="113"/>
      <c r="AM222" s="113"/>
      <c r="AN222" s="113"/>
      <c r="AO222" s="113"/>
      <c r="AP222" s="113"/>
      <c r="AQ222" s="113"/>
      <c r="AR222" s="113"/>
      <c r="AS222" s="113"/>
      <c r="AT222" s="113"/>
      <c r="AU222" s="113"/>
      <c r="AV222" s="113"/>
      <c r="AW222" s="113"/>
      <c r="AX222" s="113"/>
      <c r="AY222" s="113"/>
      <c r="AZ222" s="113"/>
      <c r="BA222" s="113"/>
      <c r="BB222" s="113"/>
      <c r="BC222" s="113"/>
      <c r="BD222" s="113"/>
      <c r="BE222" s="113"/>
      <c r="BF222" s="113"/>
      <c r="BG222" s="113"/>
      <c r="BH222" s="113"/>
      <c r="BI222" s="113"/>
      <c r="BJ222" s="113"/>
      <c r="BK222" s="113"/>
      <c r="BL222" s="113"/>
      <c r="BM222" s="113"/>
      <c r="BN222" s="113"/>
      <c r="BO222" s="113"/>
      <c r="BP222" s="113"/>
      <c r="BQ222" s="113"/>
      <c r="BR222" s="113"/>
      <c r="BS222" s="113"/>
      <c r="BT222" s="113"/>
      <c r="BU222" s="113"/>
      <c r="BV222" s="113"/>
      <c r="BW222" s="113"/>
      <c r="BX222" s="113"/>
      <c r="BY222" s="113"/>
      <c r="BZ222" s="113"/>
      <c r="CA222" s="113"/>
      <c r="CB222" s="113"/>
      <c r="CC222" s="113"/>
      <c r="CD222" s="113"/>
      <c r="CE222" s="113"/>
      <c r="CF222" s="113"/>
      <c r="CG222" s="113"/>
      <c r="CH222" s="113"/>
      <c r="CI222" s="113"/>
      <c r="CJ222" s="113"/>
      <c r="CK222" s="113"/>
      <c r="CL222" s="113"/>
      <c r="CM222" s="113"/>
      <c r="CN222" s="113"/>
      <c r="CO222" s="113"/>
      <c r="CP222" s="113"/>
      <c r="CQ222" s="113"/>
      <c r="CR222" s="113"/>
      <c r="CS222" s="113"/>
      <c r="CT222" s="113"/>
      <c r="CU222" s="113"/>
    </row>
    <row r="223">
      <c r="A223" s="159" t="str">
        <f>IFERROR(__xludf.DUMMYFUNCTION("""COMPUTED_VALUE"""),"F-6")</f>
        <v>F-6</v>
      </c>
      <c r="B223" s="113" t="str">
        <f>IFERROR(__xludf.DUMMYFUNCTION("""COMPUTED_VALUE"""),"Jing")</f>
        <v>Jing</v>
      </c>
      <c r="C223" s="113" t="str">
        <f>IFERROR(__xludf.DUMMYFUNCTION("""COMPUTED_VALUE"""),"Gu")</f>
        <v>Gu</v>
      </c>
      <c r="D223" s="158">
        <f>IFERROR(__xludf.DUMMYFUNCTION("""COMPUTED_VALUE"""),1086.0)</f>
        <v>1086</v>
      </c>
      <c r="E223" s="161">
        <f t="shared" si="1"/>
        <v>5</v>
      </c>
      <c r="F223" s="160">
        <f>COUNTIFS('Scores Import DO NOT EDIT'!C:C, D223,'Scores Import DO NOT EDIT'!M:M,A223)</f>
        <v>3</v>
      </c>
      <c r="G223" s="162">
        <f t="shared" si="2"/>
        <v>0.6</v>
      </c>
      <c r="H223" s="163" t="str">
        <f t="shared" si="3"/>
        <v>F-61086</v>
      </c>
      <c r="I223" s="113"/>
      <c r="J223" s="113"/>
      <c r="K223" s="113"/>
      <c r="L223" s="158"/>
      <c r="M223" s="166" t="s">
        <v>307</v>
      </c>
      <c r="N223" s="113"/>
      <c r="O223" s="113"/>
      <c r="P223" s="113"/>
      <c r="Q223" s="113"/>
      <c r="R223" s="113"/>
      <c r="S223" s="113"/>
      <c r="T223" s="113"/>
      <c r="U223" s="113"/>
      <c r="V223" s="113"/>
      <c r="W223" s="113"/>
      <c r="X223" s="113"/>
      <c r="Y223" s="113"/>
      <c r="Z223" s="113"/>
      <c r="AA223" s="113"/>
      <c r="AB223" s="113"/>
      <c r="AC223" s="113"/>
      <c r="AD223" s="113"/>
      <c r="AE223" s="113"/>
      <c r="AF223" s="113"/>
      <c r="AG223" s="113"/>
      <c r="AH223" s="113"/>
      <c r="AI223" s="113"/>
      <c r="AJ223" s="113"/>
      <c r="AK223" s="113"/>
      <c r="AL223" s="113"/>
      <c r="AM223" s="113"/>
      <c r="AN223" s="113"/>
      <c r="AO223" s="113"/>
      <c r="AP223" s="113"/>
      <c r="AQ223" s="113"/>
      <c r="AR223" s="113"/>
      <c r="AS223" s="113"/>
      <c r="AT223" s="113"/>
      <c r="AU223" s="113"/>
      <c r="AV223" s="113"/>
      <c r="AW223" s="113"/>
      <c r="AX223" s="113"/>
      <c r="AY223" s="113"/>
      <c r="AZ223" s="113"/>
      <c r="BA223" s="113"/>
      <c r="BB223" s="113"/>
      <c r="BC223" s="113"/>
      <c r="BD223" s="113"/>
      <c r="BE223" s="113"/>
      <c r="BF223" s="113"/>
      <c r="BG223" s="113"/>
      <c r="BH223" s="113"/>
      <c r="BI223" s="113"/>
      <c r="BJ223" s="113"/>
      <c r="BK223" s="113"/>
      <c r="BL223" s="113"/>
      <c r="BM223" s="113"/>
      <c r="BN223" s="113"/>
      <c r="BO223" s="113"/>
      <c r="BP223" s="113"/>
      <c r="BQ223" s="113"/>
      <c r="BR223" s="113"/>
      <c r="BS223" s="113"/>
      <c r="BT223" s="113"/>
      <c r="BU223" s="113"/>
      <c r="BV223" s="113"/>
      <c r="BW223" s="113"/>
      <c r="BX223" s="113"/>
      <c r="BY223" s="113"/>
      <c r="BZ223" s="113"/>
      <c r="CA223" s="113"/>
      <c r="CB223" s="113"/>
      <c r="CC223" s="113"/>
      <c r="CD223" s="113"/>
      <c r="CE223" s="113"/>
      <c r="CF223" s="113"/>
      <c r="CG223" s="113"/>
      <c r="CH223" s="113"/>
      <c r="CI223" s="113"/>
      <c r="CJ223" s="113"/>
      <c r="CK223" s="113"/>
      <c r="CL223" s="113"/>
      <c r="CM223" s="113"/>
      <c r="CN223" s="113"/>
      <c r="CO223" s="113"/>
      <c r="CP223" s="113"/>
      <c r="CQ223" s="113"/>
      <c r="CR223" s="113"/>
      <c r="CS223" s="113"/>
      <c r="CT223" s="113"/>
      <c r="CU223" s="113"/>
    </row>
    <row r="224">
      <c r="A224" s="159" t="str">
        <f>IFERROR(__xludf.DUMMYFUNCTION("""COMPUTED_VALUE"""),"F-7")</f>
        <v>F-7</v>
      </c>
      <c r="B224" s="113" t="str">
        <f>IFERROR(__xludf.DUMMYFUNCTION("""COMPUTED_VALUE"""),"Brittany")</f>
        <v>Brittany</v>
      </c>
      <c r="C224" s="113" t="str">
        <f>IFERROR(__xludf.DUMMYFUNCTION("""COMPUTED_VALUE"""),"Logan")</f>
        <v>Logan</v>
      </c>
      <c r="D224" s="158">
        <f>IFERROR(__xludf.DUMMYFUNCTION("""COMPUTED_VALUE"""),1145.0)</f>
        <v>1145</v>
      </c>
      <c r="E224" s="161">
        <f t="shared" si="1"/>
        <v>7</v>
      </c>
      <c r="F224" s="160">
        <f>COUNTIFS('Scores Import DO NOT EDIT'!C:C, D224,'Scores Import DO NOT EDIT'!M:M,A224)</f>
        <v>6</v>
      </c>
      <c r="G224" s="162">
        <f t="shared" si="2"/>
        <v>0.8571428571</v>
      </c>
      <c r="H224" s="163" t="str">
        <f t="shared" si="3"/>
        <v>F-71145</v>
      </c>
      <c r="I224" s="113"/>
      <c r="J224" s="113"/>
      <c r="K224" s="113"/>
      <c r="L224" s="158"/>
      <c r="M224" s="166" t="s">
        <v>309</v>
      </c>
      <c r="N224" s="113"/>
      <c r="O224" s="113"/>
      <c r="P224" s="113"/>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c r="AT224" s="113"/>
      <c r="AU224" s="113"/>
      <c r="AV224" s="113"/>
      <c r="AW224" s="113"/>
      <c r="AX224" s="113"/>
      <c r="AY224" s="113"/>
      <c r="AZ224" s="113"/>
      <c r="BA224" s="113"/>
      <c r="BB224" s="113"/>
      <c r="BC224" s="113"/>
      <c r="BD224" s="113"/>
      <c r="BE224" s="113"/>
      <c r="BF224" s="113"/>
      <c r="BG224" s="113"/>
      <c r="BH224" s="113"/>
      <c r="BI224" s="113"/>
      <c r="BJ224" s="113"/>
      <c r="BK224" s="113"/>
      <c r="BL224" s="113"/>
      <c r="BM224" s="113"/>
      <c r="BN224" s="113"/>
      <c r="BO224" s="113"/>
      <c r="BP224" s="113"/>
      <c r="BQ224" s="113"/>
      <c r="BR224" s="113"/>
      <c r="BS224" s="113"/>
      <c r="BT224" s="113"/>
      <c r="BU224" s="113"/>
      <c r="BV224" s="113"/>
      <c r="BW224" s="113"/>
      <c r="BX224" s="113"/>
      <c r="BY224" s="113"/>
      <c r="BZ224" s="113"/>
      <c r="CA224" s="113"/>
      <c r="CB224" s="113"/>
      <c r="CC224" s="113"/>
      <c r="CD224" s="113"/>
      <c r="CE224" s="113"/>
      <c r="CF224" s="113"/>
      <c r="CG224" s="113"/>
      <c r="CH224" s="113"/>
      <c r="CI224" s="113"/>
      <c r="CJ224" s="113"/>
      <c r="CK224" s="113"/>
      <c r="CL224" s="113"/>
      <c r="CM224" s="113"/>
      <c r="CN224" s="113"/>
      <c r="CO224" s="113"/>
      <c r="CP224" s="113"/>
      <c r="CQ224" s="113"/>
      <c r="CR224" s="113"/>
      <c r="CS224" s="113"/>
      <c r="CT224" s="113"/>
      <c r="CU224" s="113"/>
    </row>
    <row r="225">
      <c r="A225" s="159" t="str">
        <f>IFERROR(__xludf.DUMMYFUNCTION("""COMPUTED_VALUE"""),"F-7")</f>
        <v>F-7</v>
      </c>
      <c r="B225" s="113" t="str">
        <f>IFERROR(__xludf.DUMMYFUNCTION("""COMPUTED_VALUE"""),"SIsi")</f>
        <v>SIsi</v>
      </c>
      <c r="C225" s="113" t="str">
        <f>IFERROR(__xludf.DUMMYFUNCTION("""COMPUTED_VALUE"""),"Cao")</f>
        <v>Cao</v>
      </c>
      <c r="D225" s="158">
        <f>IFERROR(__xludf.DUMMYFUNCTION("""COMPUTED_VALUE"""),1038.0)</f>
        <v>1038</v>
      </c>
      <c r="E225" s="161">
        <f t="shared" si="1"/>
        <v>7</v>
      </c>
      <c r="F225" s="160">
        <f>COUNTIFS('Scores Import DO NOT EDIT'!C:C, D225,'Scores Import DO NOT EDIT'!M:M,A225)</f>
        <v>6</v>
      </c>
      <c r="G225" s="162">
        <f t="shared" si="2"/>
        <v>0.8571428571</v>
      </c>
      <c r="H225" s="163" t="str">
        <f t="shared" si="3"/>
        <v>F-71038</v>
      </c>
      <c r="I225" s="113"/>
      <c r="J225" s="113"/>
      <c r="K225" s="113"/>
      <c r="L225" s="158"/>
      <c r="M225" s="166" t="s">
        <v>308</v>
      </c>
      <c r="N225" s="113"/>
      <c r="O225" s="113"/>
      <c r="P225" s="113"/>
      <c r="Q225" s="113"/>
      <c r="R225" s="113"/>
      <c r="S225" s="113"/>
      <c r="T225" s="113"/>
      <c r="U225" s="113"/>
      <c r="V225" s="113"/>
      <c r="W225" s="113"/>
      <c r="X225" s="113"/>
      <c r="Y225" s="113"/>
      <c r="Z225" s="113"/>
      <c r="AA225" s="113"/>
      <c r="AB225" s="113"/>
      <c r="AC225" s="113"/>
      <c r="AD225" s="113"/>
      <c r="AE225" s="113"/>
      <c r="AF225" s="113"/>
      <c r="AG225" s="113"/>
      <c r="AH225" s="113"/>
      <c r="AI225" s="113"/>
      <c r="AJ225" s="113"/>
      <c r="AK225" s="113"/>
      <c r="AL225" s="113"/>
      <c r="AM225" s="113"/>
      <c r="AN225" s="113"/>
      <c r="AO225" s="113"/>
      <c r="AP225" s="113"/>
      <c r="AQ225" s="113"/>
      <c r="AR225" s="113"/>
      <c r="AS225" s="113"/>
      <c r="AT225" s="113"/>
      <c r="AU225" s="113"/>
      <c r="AV225" s="113"/>
      <c r="AW225" s="113"/>
      <c r="AX225" s="113"/>
      <c r="AY225" s="113"/>
      <c r="AZ225" s="113"/>
      <c r="BA225" s="113"/>
      <c r="BB225" s="113"/>
      <c r="BC225" s="113"/>
      <c r="BD225" s="113"/>
      <c r="BE225" s="113"/>
      <c r="BF225" s="113"/>
      <c r="BG225" s="113"/>
      <c r="BH225" s="113"/>
      <c r="BI225" s="113"/>
      <c r="BJ225" s="113"/>
      <c r="BK225" s="113"/>
      <c r="BL225" s="113"/>
      <c r="BM225" s="113"/>
      <c r="BN225" s="113"/>
      <c r="BO225" s="113"/>
      <c r="BP225" s="113"/>
      <c r="BQ225" s="113"/>
      <c r="BR225" s="113"/>
      <c r="BS225" s="113"/>
      <c r="BT225" s="113"/>
      <c r="BU225" s="113"/>
      <c r="BV225" s="113"/>
      <c r="BW225" s="113"/>
      <c r="BX225" s="113"/>
      <c r="BY225" s="113"/>
      <c r="BZ225" s="113"/>
      <c r="CA225" s="113"/>
      <c r="CB225" s="113"/>
      <c r="CC225" s="113"/>
      <c r="CD225" s="113"/>
      <c r="CE225" s="113"/>
      <c r="CF225" s="113"/>
      <c r="CG225" s="113"/>
      <c r="CH225" s="113"/>
      <c r="CI225" s="113"/>
      <c r="CJ225" s="113"/>
      <c r="CK225" s="113"/>
      <c r="CL225" s="113"/>
      <c r="CM225" s="113"/>
      <c r="CN225" s="113"/>
      <c r="CO225" s="113"/>
      <c r="CP225" s="113"/>
      <c r="CQ225" s="113"/>
      <c r="CR225" s="113"/>
      <c r="CS225" s="113"/>
      <c r="CT225" s="113"/>
      <c r="CU225" s="113"/>
    </row>
    <row r="226">
      <c r="A226" s="159" t="str">
        <f>IFERROR(__xludf.DUMMYFUNCTION("""COMPUTED_VALUE"""),"F-7")</f>
        <v>F-7</v>
      </c>
      <c r="B226" s="113" t="str">
        <f>IFERROR(__xludf.DUMMYFUNCTION("""COMPUTED_VALUE"""),"Jeff")</f>
        <v>Jeff</v>
      </c>
      <c r="C226" s="113" t="str">
        <f>IFERROR(__xludf.DUMMYFUNCTION("""COMPUTED_VALUE"""),"Conte")</f>
        <v>Conte</v>
      </c>
      <c r="D226" s="158">
        <f>IFERROR(__xludf.DUMMYFUNCTION("""COMPUTED_VALUE"""),1132.0)</f>
        <v>1132</v>
      </c>
      <c r="E226" s="161">
        <f t="shared" si="1"/>
        <v>7</v>
      </c>
      <c r="F226" s="160">
        <f>COUNTIFS('Scores Import DO NOT EDIT'!C:C, D226,'Scores Import DO NOT EDIT'!M:M,A226)</f>
        <v>6</v>
      </c>
      <c r="G226" s="162">
        <f t="shared" si="2"/>
        <v>0.8571428571</v>
      </c>
      <c r="H226" s="163" t="str">
        <f t="shared" si="3"/>
        <v>F-71132</v>
      </c>
      <c r="I226" s="113"/>
      <c r="J226" s="113"/>
      <c r="K226" s="113"/>
      <c r="L226" s="158"/>
      <c r="M226" s="166" t="s">
        <v>306</v>
      </c>
      <c r="N226" s="113"/>
      <c r="O226" s="113"/>
      <c r="P226" s="113"/>
      <c r="Q226" s="113"/>
      <c r="R226" s="113"/>
      <c r="S226" s="113"/>
      <c r="T226" s="113"/>
      <c r="U226" s="113"/>
      <c r="V226" s="113"/>
      <c r="W226" s="113"/>
      <c r="X226" s="113"/>
      <c r="Y226" s="113"/>
      <c r="Z226" s="113"/>
      <c r="AA226" s="113"/>
      <c r="AB226" s="113"/>
      <c r="AC226" s="113"/>
      <c r="AD226" s="113"/>
      <c r="AE226" s="113"/>
      <c r="AF226" s="113"/>
      <c r="AG226" s="113"/>
      <c r="AH226" s="113"/>
      <c r="AI226" s="113"/>
      <c r="AJ226" s="113"/>
      <c r="AK226" s="113"/>
      <c r="AL226" s="113"/>
      <c r="AM226" s="113"/>
      <c r="AN226" s="113"/>
      <c r="AO226" s="113"/>
      <c r="AP226" s="113"/>
      <c r="AQ226" s="113"/>
      <c r="AR226" s="113"/>
      <c r="AS226" s="113"/>
      <c r="AT226" s="113"/>
      <c r="AU226" s="113"/>
      <c r="AV226" s="113"/>
      <c r="AW226" s="113"/>
      <c r="AX226" s="113"/>
      <c r="AY226" s="113"/>
      <c r="AZ226" s="113"/>
      <c r="BA226" s="113"/>
      <c r="BB226" s="113"/>
      <c r="BC226" s="113"/>
      <c r="BD226" s="113"/>
      <c r="BE226" s="113"/>
      <c r="BF226" s="113"/>
      <c r="BG226" s="113"/>
      <c r="BH226" s="113"/>
      <c r="BI226" s="113"/>
      <c r="BJ226" s="113"/>
      <c r="BK226" s="113"/>
      <c r="BL226" s="113"/>
      <c r="BM226" s="113"/>
      <c r="BN226" s="113"/>
      <c r="BO226" s="113"/>
      <c r="BP226" s="113"/>
      <c r="BQ226" s="113"/>
      <c r="BR226" s="113"/>
      <c r="BS226" s="113"/>
      <c r="BT226" s="113"/>
      <c r="BU226" s="113"/>
      <c r="BV226" s="113"/>
      <c r="BW226" s="113"/>
      <c r="BX226" s="113"/>
      <c r="BY226" s="113"/>
      <c r="BZ226" s="113"/>
      <c r="CA226" s="113"/>
      <c r="CB226" s="113"/>
      <c r="CC226" s="113"/>
      <c r="CD226" s="113"/>
      <c r="CE226" s="113"/>
      <c r="CF226" s="113"/>
      <c r="CG226" s="113"/>
      <c r="CH226" s="113"/>
      <c r="CI226" s="113"/>
      <c r="CJ226" s="113"/>
      <c r="CK226" s="113"/>
      <c r="CL226" s="113"/>
      <c r="CM226" s="113"/>
      <c r="CN226" s="113"/>
      <c r="CO226" s="113"/>
      <c r="CP226" s="113"/>
      <c r="CQ226" s="113"/>
      <c r="CR226" s="113"/>
      <c r="CS226" s="113"/>
      <c r="CT226" s="113"/>
      <c r="CU226" s="113"/>
    </row>
    <row r="227">
      <c r="A227" s="159" t="str">
        <f>IFERROR(__xludf.DUMMYFUNCTION("""COMPUTED_VALUE"""),"F-7")</f>
        <v>F-7</v>
      </c>
      <c r="B227" s="113" t="str">
        <f>IFERROR(__xludf.DUMMYFUNCTION("""COMPUTED_VALUE"""),"JD")</f>
        <v>JD</v>
      </c>
      <c r="C227" s="113" t="str">
        <f>IFERROR(__xludf.DUMMYFUNCTION("""COMPUTED_VALUE"""),"Weidman")</f>
        <v>Weidman</v>
      </c>
      <c r="D227" s="158">
        <f>IFERROR(__xludf.DUMMYFUNCTION("""COMPUTED_VALUE"""),1214.0)</f>
        <v>1214</v>
      </c>
      <c r="E227" s="161">
        <f t="shared" si="1"/>
        <v>7</v>
      </c>
      <c r="F227" s="160">
        <f>COUNTIFS('Scores Import DO NOT EDIT'!C:C, D227,'Scores Import DO NOT EDIT'!M:M,A227)</f>
        <v>1</v>
      </c>
      <c r="G227" s="162">
        <f t="shared" si="2"/>
        <v>0.1428571429</v>
      </c>
      <c r="H227" s="163" t="str">
        <f t="shared" si="3"/>
        <v>F-71214</v>
      </c>
      <c r="I227" s="113"/>
      <c r="J227" s="113"/>
      <c r="K227" s="113"/>
      <c r="L227" s="158"/>
      <c r="M227" s="166" t="s">
        <v>718</v>
      </c>
      <c r="N227" s="113"/>
      <c r="O227" s="113"/>
      <c r="P227" s="113"/>
      <c r="Q227" s="113"/>
      <c r="R227" s="113"/>
      <c r="S227" s="113"/>
      <c r="T227" s="113"/>
      <c r="U227" s="113"/>
      <c r="V227" s="113"/>
      <c r="W227" s="113"/>
      <c r="X227" s="113"/>
      <c r="Y227" s="113"/>
      <c r="Z227" s="113"/>
      <c r="AA227" s="113"/>
      <c r="AB227" s="113"/>
      <c r="AC227" s="113"/>
      <c r="AD227" s="113"/>
      <c r="AE227" s="113"/>
      <c r="AF227" s="113"/>
      <c r="AG227" s="113"/>
      <c r="AH227" s="113"/>
      <c r="AI227" s="113"/>
      <c r="AJ227" s="113"/>
      <c r="AK227" s="113"/>
      <c r="AL227" s="113"/>
      <c r="AM227" s="113"/>
      <c r="AN227" s="113"/>
      <c r="AO227" s="113"/>
      <c r="AP227" s="113"/>
      <c r="AQ227" s="113"/>
      <c r="AR227" s="113"/>
      <c r="AS227" s="113"/>
      <c r="AT227" s="113"/>
      <c r="AU227" s="113"/>
      <c r="AV227" s="113"/>
      <c r="AW227" s="113"/>
      <c r="AX227" s="113"/>
      <c r="AY227" s="113"/>
      <c r="AZ227" s="113"/>
      <c r="BA227" s="113"/>
      <c r="BB227" s="113"/>
      <c r="BC227" s="113"/>
      <c r="BD227" s="113"/>
      <c r="BE227" s="113"/>
      <c r="BF227" s="113"/>
      <c r="BG227" s="113"/>
      <c r="BH227" s="113"/>
      <c r="BI227" s="113"/>
      <c r="BJ227" s="113"/>
      <c r="BK227" s="113"/>
      <c r="BL227" s="113"/>
      <c r="BM227" s="113"/>
      <c r="BN227" s="113"/>
      <c r="BO227" s="113"/>
      <c r="BP227" s="113"/>
      <c r="BQ227" s="113"/>
      <c r="BR227" s="113"/>
      <c r="BS227" s="113"/>
      <c r="BT227" s="113"/>
      <c r="BU227" s="113"/>
      <c r="BV227" s="113"/>
      <c r="BW227" s="113"/>
      <c r="BX227" s="113"/>
      <c r="BY227" s="113"/>
      <c r="BZ227" s="113"/>
      <c r="CA227" s="113"/>
      <c r="CB227" s="113"/>
      <c r="CC227" s="113"/>
      <c r="CD227" s="113"/>
      <c r="CE227" s="113"/>
      <c r="CF227" s="113"/>
      <c r="CG227" s="113"/>
      <c r="CH227" s="113"/>
      <c r="CI227" s="113"/>
      <c r="CJ227" s="113"/>
      <c r="CK227" s="113"/>
      <c r="CL227" s="113"/>
      <c r="CM227" s="113"/>
      <c r="CN227" s="113"/>
      <c r="CO227" s="113"/>
      <c r="CP227" s="113"/>
      <c r="CQ227" s="113"/>
      <c r="CR227" s="113"/>
      <c r="CS227" s="113"/>
      <c r="CT227" s="113"/>
      <c r="CU227" s="113"/>
    </row>
    <row r="228">
      <c r="A228" s="159" t="str">
        <f>IFERROR(__xludf.DUMMYFUNCTION("""COMPUTED_VALUE"""),"F-7")</f>
        <v>F-7</v>
      </c>
      <c r="B228" s="113" t="str">
        <f>IFERROR(__xludf.DUMMYFUNCTION("""COMPUTED_VALUE"""),"Noelle")</f>
        <v>Noelle</v>
      </c>
      <c r="C228" s="113" t="str">
        <f>IFERROR(__xludf.DUMMYFUNCTION("""COMPUTED_VALUE"""),"Abbott")</f>
        <v>Abbott</v>
      </c>
      <c r="D228" s="158">
        <f>IFERROR(__xludf.DUMMYFUNCTION("""COMPUTED_VALUE"""),1117.0)</f>
        <v>1117</v>
      </c>
      <c r="E228" s="161">
        <f t="shared" si="1"/>
        <v>7</v>
      </c>
      <c r="F228" s="160">
        <f>COUNTIFS('Scores Import DO NOT EDIT'!C:C, D228,'Scores Import DO NOT EDIT'!M:M,A228)</f>
        <v>6</v>
      </c>
      <c r="G228" s="162">
        <f t="shared" si="2"/>
        <v>0.8571428571</v>
      </c>
      <c r="H228" s="163" t="str">
        <f t="shared" si="3"/>
        <v>F-71117</v>
      </c>
      <c r="I228" s="113"/>
      <c r="J228" s="113"/>
      <c r="K228" s="113"/>
      <c r="L228" s="158"/>
      <c r="M228" s="166" t="s">
        <v>314</v>
      </c>
      <c r="N228" s="113"/>
      <c r="O228" s="113"/>
      <c r="P228" s="113"/>
      <c r="Q228" s="113"/>
      <c r="R228" s="113"/>
      <c r="S228" s="113"/>
      <c r="T228" s="113"/>
      <c r="U228" s="113"/>
      <c r="V228" s="113"/>
      <c r="W228" s="113"/>
      <c r="X228" s="113"/>
      <c r="Y228" s="113"/>
      <c r="Z228" s="113"/>
      <c r="AA228" s="113"/>
      <c r="AB228" s="113"/>
      <c r="AC228" s="113"/>
      <c r="AD228" s="113"/>
      <c r="AE228" s="113"/>
      <c r="AF228" s="113"/>
      <c r="AG228" s="113"/>
      <c r="AH228" s="113"/>
      <c r="AI228" s="113"/>
      <c r="AJ228" s="113"/>
      <c r="AK228" s="113"/>
      <c r="AL228" s="113"/>
      <c r="AM228" s="113"/>
      <c r="AN228" s="113"/>
      <c r="AO228" s="113"/>
      <c r="AP228" s="113"/>
      <c r="AQ228" s="113"/>
      <c r="AR228" s="113"/>
      <c r="AS228" s="113"/>
      <c r="AT228" s="113"/>
      <c r="AU228" s="113"/>
      <c r="AV228" s="113"/>
      <c r="AW228" s="113"/>
      <c r="AX228" s="113"/>
      <c r="AY228" s="113"/>
      <c r="AZ228" s="113"/>
      <c r="BA228" s="113"/>
      <c r="BB228" s="113"/>
      <c r="BC228" s="113"/>
      <c r="BD228" s="113"/>
      <c r="BE228" s="113"/>
      <c r="BF228" s="113"/>
      <c r="BG228" s="113"/>
      <c r="BH228" s="113"/>
      <c r="BI228" s="113"/>
      <c r="BJ228" s="113"/>
      <c r="BK228" s="113"/>
      <c r="BL228" s="113"/>
      <c r="BM228" s="113"/>
      <c r="BN228" s="113"/>
      <c r="BO228" s="113"/>
      <c r="BP228" s="113"/>
      <c r="BQ228" s="113"/>
      <c r="BR228" s="113"/>
      <c r="BS228" s="113"/>
      <c r="BT228" s="113"/>
      <c r="BU228" s="113"/>
      <c r="BV228" s="113"/>
      <c r="BW228" s="113"/>
      <c r="BX228" s="113"/>
      <c r="BY228" s="113"/>
      <c r="BZ228" s="113"/>
      <c r="CA228" s="113"/>
      <c r="CB228" s="113"/>
      <c r="CC228" s="113"/>
      <c r="CD228" s="113"/>
      <c r="CE228" s="113"/>
      <c r="CF228" s="113"/>
      <c r="CG228" s="113"/>
      <c r="CH228" s="113"/>
      <c r="CI228" s="113"/>
      <c r="CJ228" s="113"/>
      <c r="CK228" s="113"/>
      <c r="CL228" s="113"/>
      <c r="CM228" s="113"/>
      <c r="CN228" s="113"/>
      <c r="CO228" s="113"/>
      <c r="CP228" s="113"/>
      <c r="CQ228" s="113"/>
      <c r="CR228" s="113"/>
      <c r="CS228" s="113"/>
      <c r="CT228" s="113"/>
      <c r="CU228" s="113"/>
    </row>
    <row r="229">
      <c r="A229" s="159" t="str">
        <f>IFERROR(__xludf.DUMMYFUNCTION("""COMPUTED_VALUE"""),"F-8")</f>
        <v>F-8</v>
      </c>
      <c r="B229" s="113" t="str">
        <f>IFERROR(__xludf.DUMMYFUNCTION("""COMPUTED_VALUE"""),"Isaac")</f>
        <v>Isaac</v>
      </c>
      <c r="C229" s="113" t="str">
        <f>IFERROR(__xludf.DUMMYFUNCTION("""COMPUTED_VALUE"""),"Ullah")</f>
        <v>Ullah</v>
      </c>
      <c r="D229" s="158">
        <f>IFERROR(__xludf.DUMMYFUNCTION("""COMPUTED_VALUE"""),1059.0)</f>
        <v>1059</v>
      </c>
      <c r="E229" s="161">
        <f t="shared" si="1"/>
        <v>8</v>
      </c>
      <c r="F229" s="160">
        <f>COUNTIFS('Scores Import DO NOT EDIT'!C:C, D229,'Scores Import DO NOT EDIT'!M:M,A229)</f>
        <v>6</v>
      </c>
      <c r="G229" s="162">
        <f t="shared" si="2"/>
        <v>0.75</v>
      </c>
      <c r="H229" s="163" t="str">
        <f t="shared" si="3"/>
        <v>F-81059</v>
      </c>
      <c r="I229" s="113"/>
      <c r="J229" s="113"/>
      <c r="K229" s="113"/>
      <c r="L229" s="158"/>
      <c r="M229" s="166" t="s">
        <v>311</v>
      </c>
      <c r="N229" s="113"/>
      <c r="O229" s="113"/>
      <c r="P229" s="113"/>
      <c r="Q229" s="113"/>
      <c r="R229" s="113"/>
      <c r="S229" s="113"/>
      <c r="T229" s="113"/>
      <c r="U229" s="113"/>
      <c r="V229" s="113"/>
      <c r="W229" s="113"/>
      <c r="X229" s="113"/>
      <c r="Y229" s="113"/>
      <c r="Z229" s="113"/>
      <c r="AA229" s="113"/>
      <c r="AB229" s="113"/>
      <c r="AC229" s="113"/>
      <c r="AD229" s="113"/>
      <c r="AE229" s="113"/>
      <c r="AF229" s="113"/>
      <c r="AG229" s="113"/>
      <c r="AH229" s="113"/>
      <c r="AI229" s="113"/>
      <c r="AJ229" s="113"/>
      <c r="AK229" s="113"/>
      <c r="AL229" s="113"/>
      <c r="AM229" s="113"/>
      <c r="AN229" s="113"/>
      <c r="AO229" s="113"/>
      <c r="AP229" s="113"/>
      <c r="AQ229" s="113"/>
      <c r="AR229" s="113"/>
      <c r="AS229" s="113"/>
      <c r="AT229" s="113"/>
      <c r="AU229" s="113"/>
      <c r="AV229" s="113"/>
      <c r="AW229" s="113"/>
      <c r="AX229" s="113"/>
      <c r="AY229" s="113"/>
      <c r="AZ229" s="113"/>
      <c r="BA229" s="113"/>
      <c r="BB229" s="113"/>
      <c r="BC229" s="113"/>
      <c r="BD229" s="113"/>
      <c r="BE229" s="113"/>
      <c r="BF229" s="113"/>
      <c r="BG229" s="113"/>
      <c r="BH229" s="113"/>
      <c r="BI229" s="113"/>
      <c r="BJ229" s="113"/>
      <c r="BK229" s="113"/>
      <c r="BL229" s="113"/>
      <c r="BM229" s="113"/>
      <c r="BN229" s="113"/>
      <c r="BO229" s="113"/>
      <c r="BP229" s="113"/>
      <c r="BQ229" s="113"/>
      <c r="BR229" s="113"/>
      <c r="BS229" s="113"/>
      <c r="BT229" s="113"/>
      <c r="BU229" s="113"/>
      <c r="BV229" s="113"/>
      <c r="BW229" s="113"/>
      <c r="BX229" s="113"/>
      <c r="BY229" s="113"/>
      <c r="BZ229" s="113"/>
      <c r="CA229" s="113"/>
      <c r="CB229" s="113"/>
      <c r="CC229" s="113"/>
      <c r="CD229" s="113"/>
      <c r="CE229" s="113"/>
      <c r="CF229" s="113"/>
      <c r="CG229" s="113"/>
      <c r="CH229" s="113"/>
      <c r="CI229" s="113"/>
      <c r="CJ229" s="113"/>
      <c r="CK229" s="113"/>
      <c r="CL229" s="113"/>
      <c r="CM229" s="113"/>
      <c r="CN229" s="113"/>
      <c r="CO229" s="113"/>
      <c r="CP229" s="113"/>
      <c r="CQ229" s="113"/>
      <c r="CR229" s="113"/>
      <c r="CS229" s="113"/>
      <c r="CT229" s="113"/>
      <c r="CU229" s="113"/>
    </row>
    <row r="230">
      <c r="A230" s="159" t="str">
        <f>IFERROR(__xludf.DUMMYFUNCTION("""COMPUTED_VALUE"""),"F-8")</f>
        <v>F-8</v>
      </c>
      <c r="B230" s="113" t="str">
        <f>IFERROR(__xludf.DUMMYFUNCTION("""COMPUTED_VALUE"""),"Patricia Sánchez")</f>
        <v>Patricia Sánchez</v>
      </c>
      <c r="C230" s="113" t="str">
        <f>IFERROR(__xludf.DUMMYFUNCTION("""COMPUTED_VALUE"""),"Lizardi")</f>
        <v>Lizardi</v>
      </c>
      <c r="D230" s="158">
        <f>IFERROR(__xludf.DUMMYFUNCTION("""COMPUTED_VALUE"""),1182.0)</f>
        <v>1182</v>
      </c>
      <c r="E230" s="161">
        <f t="shared" si="1"/>
        <v>8</v>
      </c>
      <c r="F230" s="160">
        <f>COUNTIFS('Scores Import DO NOT EDIT'!C:C, D230,'Scores Import DO NOT EDIT'!M:M,A230)</f>
        <v>0</v>
      </c>
      <c r="G230" s="162">
        <f t="shared" si="2"/>
        <v>0</v>
      </c>
      <c r="H230" s="163" t="str">
        <f t="shared" si="3"/>
        <v>F-81182</v>
      </c>
      <c r="I230" s="113"/>
      <c r="J230" s="113"/>
      <c r="K230" s="113"/>
      <c r="L230" s="158"/>
      <c r="M230" s="166" t="s">
        <v>315</v>
      </c>
      <c r="N230" s="113"/>
      <c r="O230" s="113"/>
      <c r="P230" s="113"/>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c r="AT230" s="113"/>
      <c r="AU230" s="113"/>
      <c r="AV230" s="113"/>
      <c r="AW230" s="113"/>
      <c r="AX230" s="113"/>
      <c r="AY230" s="113"/>
      <c r="AZ230" s="113"/>
      <c r="BA230" s="113"/>
      <c r="BB230" s="113"/>
      <c r="BC230" s="113"/>
      <c r="BD230" s="113"/>
      <c r="BE230" s="113"/>
      <c r="BF230" s="113"/>
      <c r="BG230" s="113"/>
      <c r="BH230" s="113"/>
      <c r="BI230" s="113"/>
      <c r="BJ230" s="113"/>
      <c r="BK230" s="113"/>
      <c r="BL230" s="113"/>
      <c r="BM230" s="113"/>
      <c r="BN230" s="113"/>
      <c r="BO230" s="113"/>
      <c r="BP230" s="113"/>
      <c r="BQ230" s="113"/>
      <c r="BR230" s="113"/>
      <c r="BS230" s="113"/>
      <c r="BT230" s="113"/>
      <c r="BU230" s="113"/>
      <c r="BV230" s="113"/>
      <c r="BW230" s="113"/>
      <c r="BX230" s="113"/>
      <c r="BY230" s="113"/>
      <c r="BZ230" s="113"/>
      <c r="CA230" s="113"/>
      <c r="CB230" s="113"/>
      <c r="CC230" s="113"/>
      <c r="CD230" s="113"/>
      <c r="CE230" s="113"/>
      <c r="CF230" s="113"/>
      <c r="CG230" s="113"/>
      <c r="CH230" s="113"/>
      <c r="CI230" s="113"/>
      <c r="CJ230" s="113"/>
      <c r="CK230" s="113"/>
      <c r="CL230" s="113"/>
      <c r="CM230" s="113"/>
      <c r="CN230" s="113"/>
      <c r="CO230" s="113"/>
      <c r="CP230" s="113"/>
      <c r="CQ230" s="113"/>
      <c r="CR230" s="113"/>
      <c r="CS230" s="113"/>
      <c r="CT230" s="113"/>
      <c r="CU230" s="113"/>
    </row>
    <row r="231">
      <c r="A231" s="159" t="str">
        <f>IFERROR(__xludf.DUMMYFUNCTION("""COMPUTED_VALUE"""),"F-8")</f>
        <v>F-8</v>
      </c>
      <c r="B231" s="113" t="str">
        <f>IFERROR(__xludf.DUMMYFUNCTION("""COMPUTED_VALUE"""),"Kris")</f>
        <v>Kris</v>
      </c>
      <c r="C231" s="113" t="str">
        <f>IFERROR(__xludf.DUMMYFUNCTION("""COMPUTED_VALUE"""),"Rodenberg")</f>
        <v>Rodenberg</v>
      </c>
      <c r="D231" s="158">
        <f>IFERROR(__xludf.DUMMYFUNCTION("""COMPUTED_VALUE"""),1110.0)</f>
        <v>1110</v>
      </c>
      <c r="E231" s="161">
        <f t="shared" si="1"/>
        <v>8</v>
      </c>
      <c r="F231" s="160">
        <f>COUNTIFS('Scores Import DO NOT EDIT'!C:C, D231,'Scores Import DO NOT EDIT'!M:M,A231)</f>
        <v>6</v>
      </c>
      <c r="G231" s="162">
        <f t="shared" si="2"/>
        <v>0.75</v>
      </c>
      <c r="H231" s="163" t="str">
        <f t="shared" si="3"/>
        <v>F-81110</v>
      </c>
      <c r="I231" s="113"/>
      <c r="J231" s="113"/>
      <c r="K231" s="113"/>
      <c r="L231" s="158"/>
      <c r="M231" s="166" t="s">
        <v>312</v>
      </c>
      <c r="N231" s="113"/>
      <c r="O231" s="113"/>
      <c r="P231" s="113"/>
      <c r="Q231" s="113"/>
      <c r="R231" s="113"/>
      <c r="S231" s="113"/>
      <c r="T231" s="113"/>
      <c r="U231" s="113"/>
      <c r="V231" s="113"/>
      <c r="W231" s="113"/>
      <c r="X231" s="113"/>
      <c r="Y231" s="113"/>
      <c r="Z231" s="113"/>
      <c r="AA231" s="113"/>
      <c r="AB231" s="113"/>
      <c r="AC231" s="113"/>
      <c r="AD231" s="113"/>
      <c r="AE231" s="113"/>
      <c r="AF231" s="113"/>
      <c r="AG231" s="113"/>
      <c r="AH231" s="113"/>
      <c r="AI231" s="113"/>
      <c r="AJ231" s="113"/>
      <c r="AK231" s="113"/>
      <c r="AL231" s="113"/>
      <c r="AM231" s="113"/>
      <c r="AN231" s="113"/>
      <c r="AO231" s="113"/>
      <c r="AP231" s="113"/>
      <c r="AQ231" s="113"/>
      <c r="AR231" s="113"/>
      <c r="AS231" s="113"/>
      <c r="AT231" s="113"/>
      <c r="AU231" s="113"/>
      <c r="AV231" s="113"/>
      <c r="AW231" s="113"/>
      <c r="AX231" s="113"/>
      <c r="AY231" s="113"/>
      <c r="AZ231" s="113"/>
      <c r="BA231" s="113"/>
      <c r="BB231" s="113"/>
      <c r="BC231" s="113"/>
      <c r="BD231" s="113"/>
      <c r="BE231" s="113"/>
      <c r="BF231" s="113"/>
      <c r="BG231" s="113"/>
      <c r="BH231" s="113"/>
      <c r="BI231" s="113"/>
      <c r="BJ231" s="113"/>
      <c r="BK231" s="113"/>
      <c r="BL231" s="113"/>
      <c r="BM231" s="113"/>
      <c r="BN231" s="113"/>
      <c r="BO231" s="113"/>
      <c r="BP231" s="113"/>
      <c r="BQ231" s="113"/>
      <c r="BR231" s="113"/>
      <c r="BS231" s="113"/>
      <c r="BT231" s="113"/>
      <c r="BU231" s="113"/>
      <c r="BV231" s="113"/>
      <c r="BW231" s="113"/>
      <c r="BX231" s="113"/>
      <c r="BY231" s="113"/>
      <c r="BZ231" s="113"/>
      <c r="CA231" s="113"/>
      <c r="CB231" s="113"/>
      <c r="CC231" s="113"/>
      <c r="CD231" s="113"/>
      <c r="CE231" s="113"/>
      <c r="CF231" s="113"/>
      <c r="CG231" s="113"/>
      <c r="CH231" s="113"/>
      <c r="CI231" s="113"/>
      <c r="CJ231" s="113"/>
      <c r="CK231" s="113"/>
      <c r="CL231" s="113"/>
      <c r="CM231" s="113"/>
      <c r="CN231" s="113"/>
      <c r="CO231" s="113"/>
      <c r="CP231" s="113"/>
      <c r="CQ231" s="113"/>
      <c r="CR231" s="113"/>
      <c r="CS231" s="113"/>
      <c r="CT231" s="113"/>
      <c r="CU231" s="113"/>
    </row>
    <row r="232">
      <c r="A232" s="159" t="str">
        <f>IFERROR(__xludf.DUMMYFUNCTION("""COMPUTED_VALUE"""),"F-8")</f>
        <v>F-8</v>
      </c>
      <c r="B232" s="113" t="str">
        <f>IFERROR(__xludf.DUMMYFUNCTION("""COMPUTED_VALUE"""),"Ignatius")</f>
        <v>Ignatius</v>
      </c>
      <c r="C232" s="113" t="str">
        <f>IFERROR(__xludf.DUMMYFUNCTION("""COMPUTED_VALUE"""),"Nip")</f>
        <v>Nip</v>
      </c>
      <c r="D232" s="158">
        <f>IFERROR(__xludf.DUMMYFUNCTION("""COMPUTED_VALUE"""),1085.0)</f>
        <v>1085</v>
      </c>
      <c r="E232" s="161">
        <f t="shared" si="1"/>
        <v>8</v>
      </c>
      <c r="F232" s="160">
        <f>COUNTIFS('Scores Import DO NOT EDIT'!C:C, D232,'Scores Import DO NOT EDIT'!M:M,A232)</f>
        <v>6</v>
      </c>
      <c r="G232" s="162">
        <f t="shared" si="2"/>
        <v>0.75</v>
      </c>
      <c r="H232" s="163" t="str">
        <f t="shared" si="3"/>
        <v>F-81085</v>
      </c>
      <c r="I232" s="113"/>
      <c r="J232" s="113"/>
      <c r="K232" s="113"/>
      <c r="L232" s="158"/>
      <c r="M232" s="166" t="s">
        <v>317</v>
      </c>
      <c r="N232" s="113"/>
      <c r="O232" s="113"/>
      <c r="P232" s="113"/>
      <c r="Q232" s="113"/>
      <c r="R232" s="113"/>
      <c r="S232" s="113"/>
      <c r="T232" s="113"/>
      <c r="U232" s="113"/>
      <c r="V232" s="113"/>
      <c r="W232" s="113"/>
      <c r="X232" s="113"/>
      <c r="Y232" s="113"/>
      <c r="Z232" s="113"/>
      <c r="AA232" s="113"/>
      <c r="AB232" s="113"/>
      <c r="AC232" s="113"/>
      <c r="AD232" s="113"/>
      <c r="AE232" s="113"/>
      <c r="AF232" s="113"/>
      <c r="AG232" s="113"/>
      <c r="AH232" s="113"/>
      <c r="AI232" s="113"/>
      <c r="AJ232" s="113"/>
      <c r="AK232" s="113"/>
      <c r="AL232" s="113"/>
      <c r="AM232" s="113"/>
      <c r="AN232" s="113"/>
      <c r="AO232" s="113"/>
      <c r="AP232" s="113"/>
      <c r="AQ232" s="113"/>
      <c r="AR232" s="113"/>
      <c r="AS232" s="113"/>
      <c r="AT232" s="113"/>
      <c r="AU232" s="113"/>
      <c r="AV232" s="113"/>
      <c r="AW232" s="113"/>
      <c r="AX232" s="113"/>
      <c r="AY232" s="113"/>
      <c r="AZ232" s="113"/>
      <c r="BA232" s="113"/>
      <c r="BB232" s="113"/>
      <c r="BC232" s="113"/>
      <c r="BD232" s="113"/>
      <c r="BE232" s="113"/>
      <c r="BF232" s="113"/>
      <c r="BG232" s="113"/>
      <c r="BH232" s="113"/>
      <c r="BI232" s="113"/>
      <c r="BJ232" s="113"/>
      <c r="BK232" s="113"/>
      <c r="BL232" s="113"/>
      <c r="BM232" s="113"/>
      <c r="BN232" s="113"/>
      <c r="BO232" s="113"/>
      <c r="BP232" s="113"/>
      <c r="BQ232" s="113"/>
      <c r="BR232" s="113"/>
      <c r="BS232" s="113"/>
      <c r="BT232" s="113"/>
      <c r="BU232" s="113"/>
      <c r="BV232" s="113"/>
      <c r="BW232" s="113"/>
      <c r="BX232" s="113"/>
      <c r="BY232" s="113"/>
      <c r="BZ232" s="113"/>
      <c r="CA232" s="113"/>
      <c r="CB232" s="113"/>
      <c r="CC232" s="113"/>
      <c r="CD232" s="113"/>
      <c r="CE232" s="113"/>
      <c r="CF232" s="113"/>
      <c r="CG232" s="113"/>
      <c r="CH232" s="113"/>
      <c r="CI232" s="113"/>
      <c r="CJ232" s="113"/>
      <c r="CK232" s="113"/>
      <c r="CL232" s="113"/>
      <c r="CM232" s="113"/>
      <c r="CN232" s="113"/>
      <c r="CO232" s="113"/>
      <c r="CP232" s="113"/>
      <c r="CQ232" s="113"/>
      <c r="CR232" s="113"/>
      <c r="CS232" s="113"/>
      <c r="CT232" s="113"/>
      <c r="CU232" s="113"/>
    </row>
    <row r="233">
      <c r="A233" s="159" t="str">
        <f>IFERROR(__xludf.DUMMYFUNCTION("""COMPUTED_VALUE"""),"F-9")</f>
        <v>F-9</v>
      </c>
      <c r="B233" s="113" t="str">
        <f>IFERROR(__xludf.DUMMYFUNCTION("""COMPUTED_VALUE"""),"Daniel A.")</f>
        <v>Daniel A.</v>
      </c>
      <c r="C233" s="113" t="str">
        <f>IFERROR(__xludf.DUMMYFUNCTION("""COMPUTED_VALUE"""),"Norena-Caro")</f>
        <v>Norena-Caro</v>
      </c>
      <c r="D233" s="158">
        <f>IFERROR(__xludf.DUMMYFUNCTION("""COMPUTED_VALUE"""),1231.0)</f>
        <v>1231</v>
      </c>
      <c r="E233" s="161">
        <f t="shared" si="1"/>
        <v>8</v>
      </c>
      <c r="F233" s="160">
        <f>COUNTIFS('Scores Import DO NOT EDIT'!C:C, D233,'Scores Import DO NOT EDIT'!M:M,A233)</f>
        <v>6</v>
      </c>
      <c r="G233" s="162">
        <f t="shared" si="2"/>
        <v>0.75</v>
      </c>
      <c r="H233" s="163" t="str">
        <f t="shared" si="3"/>
        <v>F-91231</v>
      </c>
      <c r="I233" s="113"/>
      <c r="J233" s="113"/>
      <c r="K233" s="113"/>
      <c r="L233" s="158"/>
      <c r="M233" s="166" t="s">
        <v>313</v>
      </c>
      <c r="N233" s="113"/>
      <c r="O233" s="113"/>
      <c r="P233" s="113"/>
      <c r="Q233" s="113"/>
      <c r="R233" s="113"/>
      <c r="S233" s="113"/>
      <c r="T233" s="113"/>
      <c r="U233" s="113"/>
      <c r="V233" s="113"/>
      <c r="W233" s="113"/>
      <c r="X233" s="113"/>
      <c r="Y233" s="113"/>
      <c r="Z233" s="113"/>
      <c r="AA233" s="113"/>
      <c r="AB233" s="113"/>
      <c r="AC233" s="113"/>
      <c r="AD233" s="113"/>
      <c r="AE233" s="113"/>
      <c r="AF233" s="113"/>
      <c r="AG233" s="113"/>
      <c r="AH233" s="113"/>
      <c r="AI233" s="113"/>
      <c r="AJ233" s="113"/>
      <c r="AK233" s="113"/>
      <c r="AL233" s="113"/>
      <c r="AM233" s="113"/>
      <c r="AN233" s="113"/>
      <c r="AO233" s="113"/>
      <c r="AP233" s="113"/>
      <c r="AQ233" s="113"/>
      <c r="AR233" s="113"/>
      <c r="AS233" s="113"/>
      <c r="AT233" s="113"/>
      <c r="AU233" s="113"/>
      <c r="AV233" s="113"/>
      <c r="AW233" s="113"/>
      <c r="AX233" s="113"/>
      <c r="AY233" s="113"/>
      <c r="AZ233" s="113"/>
      <c r="BA233" s="113"/>
      <c r="BB233" s="113"/>
      <c r="BC233" s="113"/>
      <c r="BD233" s="113"/>
      <c r="BE233" s="113"/>
      <c r="BF233" s="113"/>
      <c r="BG233" s="113"/>
      <c r="BH233" s="113"/>
      <c r="BI233" s="113"/>
      <c r="BJ233" s="113"/>
      <c r="BK233" s="113"/>
      <c r="BL233" s="113"/>
      <c r="BM233" s="113"/>
      <c r="BN233" s="113"/>
      <c r="BO233" s="113"/>
      <c r="BP233" s="113"/>
      <c r="BQ233" s="113"/>
      <c r="BR233" s="113"/>
      <c r="BS233" s="113"/>
      <c r="BT233" s="113"/>
      <c r="BU233" s="113"/>
      <c r="BV233" s="113"/>
      <c r="BW233" s="113"/>
      <c r="BX233" s="113"/>
      <c r="BY233" s="113"/>
      <c r="BZ233" s="113"/>
      <c r="CA233" s="113"/>
      <c r="CB233" s="113"/>
      <c r="CC233" s="113"/>
      <c r="CD233" s="113"/>
      <c r="CE233" s="113"/>
      <c r="CF233" s="113"/>
      <c r="CG233" s="113"/>
      <c r="CH233" s="113"/>
      <c r="CI233" s="113"/>
      <c r="CJ233" s="113"/>
      <c r="CK233" s="113"/>
      <c r="CL233" s="113"/>
      <c r="CM233" s="113"/>
      <c r="CN233" s="113"/>
      <c r="CO233" s="113"/>
      <c r="CP233" s="113"/>
      <c r="CQ233" s="113"/>
      <c r="CR233" s="113"/>
      <c r="CS233" s="113"/>
      <c r="CT233" s="113"/>
      <c r="CU233" s="113"/>
    </row>
    <row r="234">
      <c r="A234" s="159" t="str">
        <f>IFERROR(__xludf.DUMMYFUNCTION("""COMPUTED_VALUE"""),"F-9")</f>
        <v>F-9</v>
      </c>
      <c r="B234" s="113" t="str">
        <f>IFERROR(__xludf.DUMMYFUNCTION("""COMPUTED_VALUE"""),"Jenn")</f>
        <v>Jenn</v>
      </c>
      <c r="C234" s="113" t="str">
        <f>IFERROR(__xludf.DUMMYFUNCTION("""COMPUTED_VALUE"""),"Cossaboon")</f>
        <v>Cossaboon</v>
      </c>
      <c r="D234" s="158">
        <f>IFERROR(__xludf.DUMMYFUNCTION("""COMPUTED_VALUE"""),1163.0)</f>
        <v>1163</v>
      </c>
      <c r="E234" s="161">
        <f t="shared" si="1"/>
        <v>8</v>
      </c>
      <c r="F234" s="160">
        <f>COUNTIFS('Scores Import DO NOT EDIT'!C:C, D234,'Scores Import DO NOT EDIT'!M:M,A234)</f>
        <v>7</v>
      </c>
      <c r="G234" s="162">
        <f t="shared" si="2"/>
        <v>0.875</v>
      </c>
      <c r="H234" s="163" t="str">
        <f t="shared" si="3"/>
        <v>F-91163</v>
      </c>
      <c r="I234" s="113"/>
      <c r="J234" s="113"/>
      <c r="K234" s="113"/>
      <c r="L234" s="158"/>
      <c r="M234" s="166" t="s">
        <v>316</v>
      </c>
      <c r="N234" s="113"/>
      <c r="O234" s="113"/>
      <c r="P234" s="113"/>
      <c r="Q234" s="113"/>
      <c r="R234" s="113"/>
      <c r="S234" s="113"/>
      <c r="T234" s="113"/>
      <c r="U234" s="113"/>
      <c r="V234" s="113"/>
      <c r="W234" s="113"/>
      <c r="X234" s="113"/>
      <c r="Y234" s="113"/>
      <c r="Z234" s="113"/>
      <c r="AA234" s="113"/>
      <c r="AB234" s="113"/>
      <c r="AC234" s="113"/>
      <c r="AD234" s="113"/>
      <c r="AE234" s="113"/>
      <c r="AF234" s="113"/>
      <c r="AG234" s="113"/>
      <c r="AH234" s="113"/>
      <c r="AI234" s="113"/>
      <c r="AJ234" s="113"/>
      <c r="AK234" s="113"/>
      <c r="AL234" s="113"/>
      <c r="AM234" s="113"/>
      <c r="AN234" s="113"/>
      <c r="AO234" s="113"/>
      <c r="AP234" s="113"/>
      <c r="AQ234" s="113"/>
      <c r="AR234" s="113"/>
      <c r="AS234" s="113"/>
      <c r="AT234" s="113"/>
      <c r="AU234" s="113"/>
      <c r="AV234" s="113"/>
      <c r="AW234" s="113"/>
      <c r="AX234" s="113"/>
      <c r="AY234" s="113"/>
      <c r="AZ234" s="113"/>
      <c r="BA234" s="113"/>
      <c r="BB234" s="113"/>
      <c r="BC234" s="113"/>
      <c r="BD234" s="113"/>
      <c r="BE234" s="113"/>
      <c r="BF234" s="113"/>
      <c r="BG234" s="113"/>
      <c r="BH234" s="113"/>
      <c r="BI234" s="113"/>
      <c r="BJ234" s="113"/>
      <c r="BK234" s="113"/>
      <c r="BL234" s="113"/>
      <c r="BM234" s="113"/>
      <c r="BN234" s="113"/>
      <c r="BO234" s="113"/>
      <c r="BP234" s="113"/>
      <c r="BQ234" s="113"/>
      <c r="BR234" s="113"/>
      <c r="BS234" s="113"/>
      <c r="BT234" s="113"/>
      <c r="BU234" s="113"/>
      <c r="BV234" s="113"/>
      <c r="BW234" s="113"/>
      <c r="BX234" s="113"/>
      <c r="BY234" s="113"/>
      <c r="BZ234" s="113"/>
      <c r="CA234" s="113"/>
      <c r="CB234" s="113"/>
      <c r="CC234" s="113"/>
      <c r="CD234" s="113"/>
      <c r="CE234" s="113"/>
      <c r="CF234" s="113"/>
      <c r="CG234" s="113"/>
      <c r="CH234" s="113"/>
      <c r="CI234" s="113"/>
      <c r="CJ234" s="113"/>
      <c r="CK234" s="113"/>
      <c r="CL234" s="113"/>
      <c r="CM234" s="113"/>
      <c r="CN234" s="113"/>
      <c r="CO234" s="113"/>
      <c r="CP234" s="113"/>
      <c r="CQ234" s="113"/>
      <c r="CR234" s="113"/>
      <c r="CS234" s="113"/>
      <c r="CT234" s="113"/>
      <c r="CU234" s="113"/>
    </row>
    <row r="235">
      <c r="A235" s="159" t="str">
        <f>IFERROR(__xludf.DUMMYFUNCTION("""COMPUTED_VALUE"""),"F-9")</f>
        <v>F-9</v>
      </c>
      <c r="B235" s="113" t="str">
        <f>IFERROR(__xludf.DUMMYFUNCTION("""COMPUTED_VALUE"""),"Luis")</f>
        <v>Luis</v>
      </c>
      <c r="C235" s="113" t="str">
        <f>IFERROR(__xludf.DUMMYFUNCTION("""COMPUTED_VALUE"""),"Cruz")</f>
        <v>Cruz</v>
      </c>
      <c r="D235" s="158">
        <f>IFERROR(__xludf.DUMMYFUNCTION("""COMPUTED_VALUE"""),1189.0)</f>
        <v>1189</v>
      </c>
      <c r="E235" s="161">
        <f t="shared" si="1"/>
        <v>8</v>
      </c>
      <c r="F235" s="160">
        <f>COUNTIFS('Scores Import DO NOT EDIT'!C:C, D235,'Scores Import DO NOT EDIT'!M:M,A235)</f>
        <v>6</v>
      </c>
      <c r="G235" s="162">
        <f t="shared" si="2"/>
        <v>0.75</v>
      </c>
      <c r="H235" s="163" t="str">
        <f t="shared" si="3"/>
        <v>F-91189</v>
      </c>
      <c r="I235" s="113"/>
      <c r="J235" s="113"/>
      <c r="K235" s="113"/>
      <c r="L235" s="158"/>
      <c r="M235" s="166" t="s">
        <v>319</v>
      </c>
      <c r="N235" s="113"/>
      <c r="O235" s="113"/>
      <c r="P235" s="113"/>
      <c r="Q235" s="113"/>
      <c r="R235" s="113"/>
      <c r="S235" s="113"/>
      <c r="T235" s="113"/>
      <c r="U235" s="113"/>
      <c r="V235" s="113"/>
      <c r="W235" s="113"/>
      <c r="X235" s="113"/>
      <c r="Y235" s="113"/>
      <c r="Z235" s="113"/>
      <c r="AA235" s="113"/>
      <c r="AB235" s="113"/>
      <c r="AC235" s="113"/>
      <c r="AD235" s="113"/>
      <c r="AE235" s="113"/>
      <c r="AF235" s="113"/>
      <c r="AG235" s="113"/>
      <c r="AH235" s="113"/>
      <c r="AI235" s="113"/>
      <c r="AJ235" s="113"/>
      <c r="AK235" s="113"/>
      <c r="AL235" s="113"/>
      <c r="AM235" s="113"/>
      <c r="AN235" s="113"/>
      <c r="AO235" s="113"/>
      <c r="AP235" s="113"/>
      <c r="AQ235" s="113"/>
      <c r="AR235" s="113"/>
      <c r="AS235" s="113"/>
      <c r="AT235" s="113"/>
      <c r="AU235" s="113"/>
      <c r="AV235" s="113"/>
      <c r="AW235" s="113"/>
      <c r="AX235" s="113"/>
      <c r="AY235" s="113"/>
      <c r="AZ235" s="113"/>
      <c r="BA235" s="113"/>
      <c r="BB235" s="113"/>
      <c r="BC235" s="113"/>
      <c r="BD235" s="113"/>
      <c r="BE235" s="113"/>
      <c r="BF235" s="113"/>
      <c r="BG235" s="113"/>
      <c r="BH235" s="113"/>
      <c r="BI235" s="113"/>
      <c r="BJ235" s="113"/>
      <c r="BK235" s="113"/>
      <c r="BL235" s="113"/>
      <c r="BM235" s="113"/>
      <c r="BN235" s="113"/>
      <c r="BO235" s="113"/>
      <c r="BP235" s="113"/>
      <c r="BQ235" s="113"/>
      <c r="BR235" s="113"/>
      <c r="BS235" s="113"/>
      <c r="BT235" s="113"/>
      <c r="BU235" s="113"/>
      <c r="BV235" s="113"/>
      <c r="BW235" s="113"/>
      <c r="BX235" s="113"/>
      <c r="BY235" s="113"/>
      <c r="BZ235" s="113"/>
      <c r="CA235" s="113"/>
      <c r="CB235" s="113"/>
      <c r="CC235" s="113"/>
      <c r="CD235" s="113"/>
      <c r="CE235" s="113"/>
      <c r="CF235" s="113"/>
      <c r="CG235" s="113"/>
      <c r="CH235" s="113"/>
      <c r="CI235" s="113"/>
      <c r="CJ235" s="113"/>
      <c r="CK235" s="113"/>
      <c r="CL235" s="113"/>
      <c r="CM235" s="113"/>
      <c r="CN235" s="113"/>
      <c r="CO235" s="113"/>
      <c r="CP235" s="113"/>
      <c r="CQ235" s="113"/>
      <c r="CR235" s="113"/>
      <c r="CS235" s="113"/>
      <c r="CT235" s="113"/>
      <c r="CU235" s="113"/>
    </row>
    <row r="236">
      <c r="A236" s="159" t="str">
        <f>IFERROR(__xludf.DUMMYFUNCTION("""COMPUTED_VALUE"""),"F-9")</f>
        <v>F-9</v>
      </c>
      <c r="B236" s="113" t="str">
        <f>IFERROR(__xludf.DUMMYFUNCTION("""COMPUTED_VALUE"""),"Kate")</f>
        <v>Kate</v>
      </c>
      <c r="C236" s="113" t="str">
        <f>IFERROR(__xludf.DUMMYFUNCTION("""COMPUTED_VALUE"""),"Broderick")</f>
        <v>Broderick</v>
      </c>
      <c r="D236" s="158">
        <f>IFERROR(__xludf.DUMMYFUNCTION("""COMPUTED_VALUE"""),1072.0)</f>
        <v>1072</v>
      </c>
      <c r="E236" s="161">
        <f t="shared" si="1"/>
        <v>8</v>
      </c>
      <c r="F236" s="160">
        <f>COUNTIFS('Scores Import DO NOT EDIT'!C:C, D236,'Scores Import DO NOT EDIT'!M:M,A236)</f>
        <v>8</v>
      </c>
      <c r="G236" s="162">
        <f t="shared" si="2"/>
        <v>1</v>
      </c>
      <c r="H236" s="163" t="str">
        <f t="shared" si="3"/>
        <v>F-91072</v>
      </c>
      <c r="I236" s="113"/>
      <c r="J236" s="113"/>
      <c r="K236" s="113"/>
      <c r="L236" s="158"/>
      <c r="M236" s="166" t="s">
        <v>318</v>
      </c>
      <c r="N236" s="113"/>
      <c r="O236" s="113"/>
      <c r="P236" s="113"/>
      <c r="Q236" s="113"/>
      <c r="R236" s="113"/>
      <c r="S236" s="113"/>
      <c r="T236" s="113"/>
      <c r="U236" s="113"/>
      <c r="V236" s="113"/>
      <c r="W236" s="113"/>
      <c r="X236" s="113"/>
      <c r="Y236" s="113"/>
      <c r="Z236" s="113"/>
      <c r="AA236" s="113"/>
      <c r="AB236" s="113"/>
      <c r="AC236" s="113"/>
      <c r="AD236" s="113"/>
      <c r="AE236" s="113"/>
      <c r="AF236" s="113"/>
      <c r="AG236" s="113"/>
      <c r="AH236" s="113"/>
      <c r="AI236" s="113"/>
      <c r="AJ236" s="113"/>
      <c r="AK236" s="113"/>
      <c r="AL236" s="113"/>
      <c r="AM236" s="113"/>
      <c r="AN236" s="113"/>
      <c r="AO236" s="113"/>
      <c r="AP236" s="113"/>
      <c r="AQ236" s="113"/>
      <c r="AR236" s="113"/>
      <c r="AS236" s="113"/>
      <c r="AT236" s="113"/>
      <c r="AU236" s="113"/>
      <c r="AV236" s="113"/>
      <c r="AW236" s="113"/>
      <c r="AX236" s="113"/>
      <c r="AY236" s="113"/>
      <c r="AZ236" s="113"/>
      <c r="BA236" s="113"/>
      <c r="BB236" s="113"/>
      <c r="BC236" s="113"/>
      <c r="BD236" s="113"/>
      <c r="BE236" s="113"/>
      <c r="BF236" s="113"/>
      <c r="BG236" s="113"/>
      <c r="BH236" s="113"/>
      <c r="BI236" s="113"/>
      <c r="BJ236" s="113"/>
      <c r="BK236" s="113"/>
      <c r="BL236" s="113"/>
      <c r="BM236" s="113"/>
      <c r="BN236" s="113"/>
      <c r="BO236" s="113"/>
      <c r="BP236" s="113"/>
      <c r="BQ236" s="113"/>
      <c r="BR236" s="113"/>
      <c r="BS236" s="113"/>
      <c r="BT236" s="113"/>
      <c r="BU236" s="113"/>
      <c r="BV236" s="113"/>
      <c r="BW236" s="113"/>
      <c r="BX236" s="113"/>
      <c r="BY236" s="113"/>
      <c r="BZ236" s="113"/>
      <c r="CA236" s="113"/>
      <c r="CB236" s="113"/>
      <c r="CC236" s="113"/>
      <c r="CD236" s="113"/>
      <c r="CE236" s="113"/>
      <c r="CF236" s="113"/>
      <c r="CG236" s="113"/>
      <c r="CH236" s="113"/>
      <c r="CI236" s="113"/>
      <c r="CJ236" s="113"/>
      <c r="CK236" s="113"/>
      <c r="CL236" s="113"/>
      <c r="CM236" s="113"/>
      <c r="CN236" s="113"/>
      <c r="CO236" s="113"/>
      <c r="CP236" s="113"/>
      <c r="CQ236" s="113"/>
      <c r="CR236" s="113"/>
      <c r="CS236" s="113"/>
      <c r="CT236" s="113"/>
      <c r="CU236" s="113"/>
    </row>
    <row r="237">
      <c r="A237" s="159" t="str">
        <f>IFERROR(__xludf.DUMMYFUNCTION("""COMPUTED_VALUE"""),"G-1")</f>
        <v>G-1</v>
      </c>
      <c r="B237" s="113" t="str">
        <f>IFERROR(__xludf.DUMMYFUNCTION("""COMPUTED_VALUE"""),"Valeria")</f>
        <v>Valeria</v>
      </c>
      <c r="C237" s="113" t="str">
        <f>IFERROR(__xludf.DUMMYFUNCTION("""COMPUTED_VALUE"""),"Reese")</f>
        <v>Reese</v>
      </c>
      <c r="D237" s="158">
        <f>IFERROR(__xludf.DUMMYFUNCTION("""COMPUTED_VALUE"""),1037.0)</f>
        <v>1037</v>
      </c>
      <c r="E237" s="161">
        <f t="shared" si="1"/>
        <v>7</v>
      </c>
      <c r="F237" s="160">
        <f>COUNTIFS('Scores Import DO NOT EDIT'!C:C, D237,'Scores Import DO NOT EDIT'!M:M,A237)</f>
        <v>0</v>
      </c>
      <c r="G237" s="162">
        <f t="shared" si="2"/>
        <v>0</v>
      </c>
      <c r="H237" s="163" t="str">
        <f t="shared" si="3"/>
        <v>G-11037</v>
      </c>
      <c r="I237" s="113"/>
      <c r="J237" s="113"/>
      <c r="K237" s="113"/>
      <c r="L237" s="158"/>
      <c r="M237" s="166" t="s">
        <v>321</v>
      </c>
      <c r="N237" s="113"/>
      <c r="O237" s="113"/>
      <c r="P237" s="113"/>
      <c r="Q237" s="113"/>
      <c r="R237" s="113"/>
      <c r="S237" s="113"/>
      <c r="T237" s="113"/>
      <c r="U237" s="113"/>
      <c r="V237" s="113"/>
      <c r="W237" s="113"/>
      <c r="X237" s="113"/>
      <c r="Y237" s="113"/>
      <c r="Z237" s="113"/>
      <c r="AA237" s="113"/>
      <c r="AB237" s="113"/>
      <c r="AC237" s="113"/>
      <c r="AD237" s="113"/>
      <c r="AE237" s="113"/>
      <c r="AF237" s="113"/>
      <c r="AG237" s="113"/>
      <c r="AH237" s="113"/>
      <c r="AI237" s="113"/>
      <c r="AJ237" s="113"/>
      <c r="AK237" s="113"/>
      <c r="AL237" s="113"/>
      <c r="AM237" s="113"/>
      <c r="AN237" s="113"/>
      <c r="AO237" s="113"/>
      <c r="AP237" s="113"/>
      <c r="AQ237" s="113"/>
      <c r="AR237" s="113"/>
      <c r="AS237" s="113"/>
      <c r="AT237" s="113"/>
      <c r="AU237" s="113"/>
      <c r="AV237" s="113"/>
      <c r="AW237" s="113"/>
      <c r="AX237" s="113"/>
      <c r="AY237" s="113"/>
      <c r="AZ237" s="113"/>
      <c r="BA237" s="113"/>
      <c r="BB237" s="113"/>
      <c r="BC237" s="113"/>
      <c r="BD237" s="113"/>
      <c r="BE237" s="113"/>
      <c r="BF237" s="113"/>
      <c r="BG237" s="113"/>
      <c r="BH237" s="113"/>
      <c r="BI237" s="113"/>
      <c r="BJ237" s="113"/>
      <c r="BK237" s="113"/>
      <c r="BL237" s="113"/>
      <c r="BM237" s="113"/>
      <c r="BN237" s="113"/>
      <c r="BO237" s="113"/>
      <c r="BP237" s="113"/>
      <c r="BQ237" s="113"/>
      <c r="BR237" s="113"/>
      <c r="BS237" s="113"/>
      <c r="BT237" s="113"/>
      <c r="BU237" s="113"/>
      <c r="BV237" s="113"/>
      <c r="BW237" s="113"/>
      <c r="BX237" s="113"/>
      <c r="BY237" s="113"/>
      <c r="BZ237" s="113"/>
      <c r="CA237" s="113"/>
      <c r="CB237" s="113"/>
      <c r="CC237" s="113"/>
      <c r="CD237" s="113"/>
      <c r="CE237" s="113"/>
      <c r="CF237" s="113"/>
      <c r="CG237" s="113"/>
      <c r="CH237" s="113"/>
      <c r="CI237" s="113"/>
      <c r="CJ237" s="113"/>
      <c r="CK237" s="113"/>
      <c r="CL237" s="113"/>
      <c r="CM237" s="113"/>
      <c r="CN237" s="113"/>
      <c r="CO237" s="113"/>
      <c r="CP237" s="113"/>
      <c r="CQ237" s="113"/>
      <c r="CR237" s="113"/>
      <c r="CS237" s="113"/>
      <c r="CT237" s="113"/>
      <c r="CU237" s="113"/>
    </row>
    <row r="238">
      <c r="A238" s="159" t="str">
        <f>IFERROR(__xludf.DUMMYFUNCTION("""COMPUTED_VALUE"""),"G-1")</f>
        <v>G-1</v>
      </c>
      <c r="B238" s="113" t="str">
        <f>IFERROR(__xludf.DUMMYFUNCTION("""COMPUTED_VALUE"""),"Karen")</f>
        <v>Karen</v>
      </c>
      <c r="C238" s="113" t="str">
        <f>IFERROR(__xludf.DUMMYFUNCTION("""COMPUTED_VALUE"""),"Han")</f>
        <v>Han</v>
      </c>
      <c r="D238" s="158">
        <f>IFERROR(__xludf.DUMMYFUNCTION("""COMPUTED_VALUE"""),1039.0)</f>
        <v>1039</v>
      </c>
      <c r="E238" s="161">
        <f t="shared" si="1"/>
        <v>7</v>
      </c>
      <c r="F238" s="160">
        <f>COUNTIFS('Scores Import DO NOT EDIT'!C:C, D238,'Scores Import DO NOT EDIT'!M:M,A238)</f>
        <v>6</v>
      </c>
      <c r="G238" s="162">
        <f t="shared" si="2"/>
        <v>0.8571428571</v>
      </c>
      <c r="H238" s="163" t="str">
        <f t="shared" si="3"/>
        <v>G-11039</v>
      </c>
      <c r="I238" s="113"/>
      <c r="J238" s="113"/>
      <c r="K238" s="113"/>
      <c r="L238" s="158"/>
      <c r="M238" s="166" t="s">
        <v>322</v>
      </c>
      <c r="N238" s="113"/>
      <c r="O238" s="113"/>
      <c r="P238" s="113"/>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c r="AT238" s="113"/>
      <c r="AU238" s="113"/>
      <c r="AV238" s="113"/>
      <c r="AW238" s="113"/>
      <c r="AX238" s="113"/>
      <c r="AY238" s="113"/>
      <c r="AZ238" s="113"/>
      <c r="BA238" s="113"/>
      <c r="BB238" s="113"/>
      <c r="BC238" s="113"/>
      <c r="BD238" s="113"/>
      <c r="BE238" s="113"/>
      <c r="BF238" s="113"/>
      <c r="BG238" s="113"/>
      <c r="BH238" s="113"/>
      <c r="BI238" s="113"/>
      <c r="BJ238" s="113"/>
      <c r="BK238" s="113"/>
      <c r="BL238" s="113"/>
      <c r="BM238" s="113"/>
      <c r="BN238" s="113"/>
      <c r="BO238" s="113"/>
      <c r="BP238" s="113"/>
      <c r="BQ238" s="113"/>
      <c r="BR238" s="113"/>
      <c r="BS238" s="113"/>
      <c r="BT238" s="113"/>
      <c r="BU238" s="113"/>
      <c r="BV238" s="113"/>
      <c r="BW238" s="113"/>
      <c r="BX238" s="113"/>
      <c r="BY238" s="113"/>
      <c r="BZ238" s="113"/>
      <c r="CA238" s="113"/>
      <c r="CB238" s="113"/>
      <c r="CC238" s="113"/>
      <c r="CD238" s="113"/>
      <c r="CE238" s="113"/>
      <c r="CF238" s="113"/>
      <c r="CG238" s="113"/>
      <c r="CH238" s="113"/>
      <c r="CI238" s="113"/>
      <c r="CJ238" s="113"/>
      <c r="CK238" s="113"/>
      <c r="CL238" s="113"/>
      <c r="CM238" s="113"/>
      <c r="CN238" s="113"/>
      <c r="CO238" s="113"/>
      <c r="CP238" s="113"/>
      <c r="CQ238" s="113"/>
      <c r="CR238" s="113"/>
      <c r="CS238" s="113"/>
      <c r="CT238" s="113"/>
      <c r="CU238" s="113"/>
    </row>
    <row r="239">
      <c r="A239" s="159" t="str">
        <f>IFERROR(__xludf.DUMMYFUNCTION("""COMPUTED_VALUE"""),"G-1")</f>
        <v>G-1</v>
      </c>
      <c r="B239" s="113" t="str">
        <f>IFERROR(__xludf.DUMMYFUNCTION("""COMPUTED_VALUE"""),"Alicia")</f>
        <v>Alicia</v>
      </c>
      <c r="C239" s="113" t="str">
        <f>IFERROR(__xludf.DUMMYFUNCTION("""COMPUTED_VALUE"""),"Nunez")</f>
        <v>Nunez</v>
      </c>
      <c r="D239" s="158">
        <f>IFERROR(__xludf.DUMMYFUNCTION("""COMPUTED_VALUE"""),1019.0)</f>
        <v>1019</v>
      </c>
      <c r="E239" s="161">
        <f t="shared" si="1"/>
        <v>7</v>
      </c>
      <c r="F239" s="160">
        <f>COUNTIFS('Scores Import DO NOT EDIT'!C:C, D239,'Scores Import DO NOT EDIT'!M:M,A239)</f>
        <v>5</v>
      </c>
      <c r="G239" s="162">
        <f t="shared" si="2"/>
        <v>0.7142857143</v>
      </c>
      <c r="H239" s="163" t="str">
        <f t="shared" si="3"/>
        <v>G-11019</v>
      </c>
      <c r="I239" s="113"/>
      <c r="J239" s="113"/>
      <c r="K239" s="113"/>
      <c r="L239" s="158"/>
      <c r="M239" s="166" t="s">
        <v>323</v>
      </c>
      <c r="N239" s="113"/>
      <c r="O239" s="113"/>
      <c r="P239" s="113"/>
      <c r="Q239" s="113"/>
      <c r="R239" s="113"/>
      <c r="S239" s="113"/>
      <c r="T239" s="113"/>
      <c r="U239" s="113"/>
      <c r="V239" s="113"/>
      <c r="W239" s="113"/>
      <c r="X239" s="113"/>
      <c r="Y239" s="113"/>
      <c r="Z239" s="113"/>
      <c r="AA239" s="113"/>
      <c r="AB239" s="113"/>
      <c r="AC239" s="113"/>
      <c r="AD239" s="113"/>
      <c r="AE239" s="113"/>
      <c r="AF239" s="113"/>
      <c r="AG239" s="113"/>
      <c r="AH239" s="113"/>
      <c r="AI239" s="113"/>
      <c r="AJ239" s="113"/>
      <c r="AK239" s="113"/>
      <c r="AL239" s="113"/>
      <c r="AM239" s="113"/>
      <c r="AN239" s="113"/>
      <c r="AO239" s="113"/>
      <c r="AP239" s="113"/>
      <c r="AQ239" s="113"/>
      <c r="AR239" s="113"/>
      <c r="AS239" s="113"/>
      <c r="AT239" s="113"/>
      <c r="AU239" s="113"/>
      <c r="AV239" s="113"/>
      <c r="AW239" s="113"/>
      <c r="AX239" s="113"/>
      <c r="AY239" s="113"/>
      <c r="AZ239" s="113"/>
      <c r="BA239" s="113"/>
      <c r="BB239" s="113"/>
      <c r="BC239" s="113"/>
      <c r="BD239" s="113"/>
      <c r="BE239" s="113"/>
      <c r="BF239" s="113"/>
      <c r="BG239" s="113"/>
      <c r="BH239" s="113"/>
      <c r="BI239" s="113"/>
      <c r="BJ239" s="113"/>
      <c r="BK239" s="113"/>
      <c r="BL239" s="113"/>
      <c r="BM239" s="113"/>
      <c r="BN239" s="113"/>
      <c r="BO239" s="113"/>
      <c r="BP239" s="113"/>
      <c r="BQ239" s="113"/>
      <c r="BR239" s="113"/>
      <c r="BS239" s="113"/>
      <c r="BT239" s="113"/>
      <c r="BU239" s="113"/>
      <c r="BV239" s="113"/>
      <c r="BW239" s="113"/>
      <c r="BX239" s="113"/>
      <c r="BY239" s="113"/>
      <c r="BZ239" s="113"/>
      <c r="CA239" s="113"/>
      <c r="CB239" s="113"/>
      <c r="CC239" s="113"/>
      <c r="CD239" s="113"/>
      <c r="CE239" s="113"/>
      <c r="CF239" s="113"/>
      <c r="CG239" s="113"/>
      <c r="CH239" s="113"/>
      <c r="CI239" s="113"/>
      <c r="CJ239" s="113"/>
      <c r="CK239" s="113"/>
      <c r="CL239" s="113"/>
      <c r="CM239" s="113"/>
      <c r="CN239" s="113"/>
      <c r="CO239" s="113"/>
      <c r="CP239" s="113"/>
      <c r="CQ239" s="113"/>
      <c r="CR239" s="113"/>
      <c r="CS239" s="113"/>
      <c r="CT239" s="113"/>
      <c r="CU239" s="113"/>
    </row>
    <row r="240">
      <c r="A240" s="159" t="str">
        <f>IFERROR(__xludf.DUMMYFUNCTION("""COMPUTED_VALUE"""),"G-1")</f>
        <v>G-1</v>
      </c>
      <c r="B240" s="113" t="str">
        <f>IFERROR(__xludf.DUMMYFUNCTION("""COMPUTED_VALUE"""),"Gloria")</f>
        <v>Gloria</v>
      </c>
      <c r="C240" s="113" t="str">
        <f>IFERROR(__xludf.DUMMYFUNCTION("""COMPUTED_VALUE"""),"Faraone")</f>
        <v>Faraone</v>
      </c>
      <c r="D240" s="158">
        <f>IFERROR(__xludf.DUMMYFUNCTION("""COMPUTED_VALUE"""),1173.0)</f>
        <v>1173</v>
      </c>
      <c r="E240" s="161">
        <f t="shared" si="1"/>
        <v>7</v>
      </c>
      <c r="F240" s="160">
        <f>COUNTIFS('Scores Import DO NOT EDIT'!C:C, D240,'Scores Import DO NOT EDIT'!M:M,A240)</f>
        <v>0</v>
      </c>
      <c r="G240" s="162">
        <f t="shared" si="2"/>
        <v>0</v>
      </c>
      <c r="H240" s="163" t="str">
        <f t="shared" si="3"/>
        <v>G-11173</v>
      </c>
      <c r="I240" s="113"/>
      <c r="J240" s="113"/>
      <c r="K240" s="113"/>
      <c r="L240" s="158"/>
      <c r="M240" s="166" t="s">
        <v>320</v>
      </c>
      <c r="N240" s="113"/>
      <c r="O240" s="113"/>
      <c r="P240" s="113"/>
      <c r="Q240" s="113"/>
      <c r="R240" s="113"/>
      <c r="S240" s="113"/>
      <c r="T240" s="113"/>
      <c r="U240" s="113"/>
      <c r="V240" s="113"/>
      <c r="W240" s="113"/>
      <c r="X240" s="113"/>
      <c r="Y240" s="113"/>
      <c r="Z240" s="113"/>
      <c r="AA240" s="113"/>
      <c r="AB240" s="113"/>
      <c r="AC240" s="113"/>
      <c r="AD240" s="113"/>
      <c r="AE240" s="113"/>
      <c r="AF240" s="113"/>
      <c r="AG240" s="113"/>
      <c r="AH240" s="113"/>
      <c r="AI240" s="113"/>
      <c r="AJ240" s="113"/>
      <c r="AK240" s="113"/>
      <c r="AL240" s="113"/>
      <c r="AM240" s="113"/>
      <c r="AN240" s="113"/>
      <c r="AO240" s="113"/>
      <c r="AP240" s="113"/>
      <c r="AQ240" s="113"/>
      <c r="AR240" s="113"/>
      <c r="AS240" s="113"/>
      <c r="AT240" s="113"/>
      <c r="AU240" s="113"/>
      <c r="AV240" s="113"/>
      <c r="AW240" s="113"/>
      <c r="AX240" s="113"/>
      <c r="AY240" s="113"/>
      <c r="AZ240" s="113"/>
      <c r="BA240" s="113"/>
      <c r="BB240" s="113"/>
      <c r="BC240" s="113"/>
      <c r="BD240" s="113"/>
      <c r="BE240" s="113"/>
      <c r="BF240" s="113"/>
      <c r="BG240" s="113"/>
      <c r="BH240" s="113"/>
      <c r="BI240" s="113"/>
      <c r="BJ240" s="113"/>
      <c r="BK240" s="113"/>
      <c r="BL240" s="113"/>
      <c r="BM240" s="113"/>
      <c r="BN240" s="113"/>
      <c r="BO240" s="113"/>
      <c r="BP240" s="113"/>
      <c r="BQ240" s="113"/>
      <c r="BR240" s="113"/>
      <c r="BS240" s="113"/>
      <c r="BT240" s="113"/>
      <c r="BU240" s="113"/>
      <c r="BV240" s="113"/>
      <c r="BW240" s="113"/>
      <c r="BX240" s="113"/>
      <c r="BY240" s="113"/>
      <c r="BZ240" s="113"/>
      <c r="CA240" s="113"/>
      <c r="CB240" s="113"/>
      <c r="CC240" s="113"/>
      <c r="CD240" s="113"/>
      <c r="CE240" s="113"/>
      <c r="CF240" s="113"/>
      <c r="CG240" s="113"/>
      <c r="CH240" s="113"/>
      <c r="CI240" s="113"/>
      <c r="CJ240" s="113"/>
      <c r="CK240" s="113"/>
      <c r="CL240" s="113"/>
      <c r="CM240" s="113"/>
      <c r="CN240" s="113"/>
      <c r="CO240" s="113"/>
      <c r="CP240" s="113"/>
      <c r="CQ240" s="113"/>
      <c r="CR240" s="113"/>
      <c r="CS240" s="113"/>
      <c r="CT240" s="113"/>
      <c r="CU240" s="113"/>
    </row>
    <row r="241">
      <c r="A241" s="159" t="str">
        <f>IFERROR(__xludf.DUMMYFUNCTION("""COMPUTED_VALUE"""),"G-1")</f>
        <v>G-1</v>
      </c>
      <c r="B241" s="113" t="str">
        <f>IFERROR(__xludf.DUMMYFUNCTION("""COMPUTED_VALUE"""),"Emily")</f>
        <v>Emily</v>
      </c>
      <c r="C241" s="113" t="str">
        <f>IFERROR(__xludf.DUMMYFUNCTION("""COMPUTED_VALUE"""),"Schmied")</f>
        <v>Schmied</v>
      </c>
      <c r="D241" s="158">
        <f>IFERROR(__xludf.DUMMYFUNCTION("""COMPUTED_VALUE"""),1006.0)</f>
        <v>1006</v>
      </c>
      <c r="E241" s="161">
        <f t="shared" si="1"/>
        <v>7</v>
      </c>
      <c r="F241" s="160">
        <f>COUNTIFS('Scores Import DO NOT EDIT'!C:C, D241,'Scores Import DO NOT EDIT'!M:M,A241)</f>
        <v>0</v>
      </c>
      <c r="G241" s="162">
        <f t="shared" si="2"/>
        <v>0</v>
      </c>
      <c r="H241" s="163" t="str">
        <f t="shared" si="3"/>
        <v>G-11006</v>
      </c>
      <c r="I241" s="113"/>
      <c r="J241" s="113"/>
      <c r="K241" s="113"/>
      <c r="L241" s="158"/>
      <c r="M241" s="166" t="s">
        <v>327</v>
      </c>
      <c r="N241" s="113"/>
      <c r="O241" s="113"/>
      <c r="P241" s="113"/>
      <c r="Q241" s="113"/>
      <c r="R241" s="113"/>
      <c r="S241" s="113"/>
      <c r="T241" s="113"/>
      <c r="U241" s="113"/>
      <c r="V241" s="113"/>
      <c r="W241" s="113"/>
      <c r="X241" s="113"/>
      <c r="Y241" s="113"/>
      <c r="Z241" s="113"/>
      <c r="AA241" s="113"/>
      <c r="AB241" s="113"/>
      <c r="AC241" s="113"/>
      <c r="AD241" s="113"/>
      <c r="AE241" s="113"/>
      <c r="AF241" s="113"/>
      <c r="AG241" s="113"/>
      <c r="AH241" s="113"/>
      <c r="AI241" s="113"/>
      <c r="AJ241" s="113"/>
      <c r="AK241" s="113"/>
      <c r="AL241" s="113"/>
      <c r="AM241" s="113"/>
      <c r="AN241" s="113"/>
      <c r="AO241" s="113"/>
      <c r="AP241" s="113"/>
      <c r="AQ241" s="113"/>
      <c r="AR241" s="113"/>
      <c r="AS241" s="113"/>
      <c r="AT241" s="113"/>
      <c r="AU241" s="113"/>
      <c r="AV241" s="113"/>
      <c r="AW241" s="113"/>
      <c r="AX241" s="113"/>
      <c r="AY241" s="113"/>
      <c r="AZ241" s="113"/>
      <c r="BA241" s="113"/>
      <c r="BB241" s="113"/>
      <c r="BC241" s="113"/>
      <c r="BD241" s="113"/>
      <c r="BE241" s="113"/>
      <c r="BF241" s="113"/>
      <c r="BG241" s="113"/>
      <c r="BH241" s="113"/>
      <c r="BI241" s="113"/>
      <c r="BJ241" s="113"/>
      <c r="BK241" s="113"/>
      <c r="BL241" s="113"/>
      <c r="BM241" s="113"/>
      <c r="BN241" s="113"/>
      <c r="BO241" s="113"/>
      <c r="BP241" s="113"/>
      <c r="BQ241" s="113"/>
      <c r="BR241" s="113"/>
      <c r="BS241" s="113"/>
      <c r="BT241" s="113"/>
      <c r="BU241" s="113"/>
      <c r="BV241" s="113"/>
      <c r="BW241" s="113"/>
      <c r="BX241" s="113"/>
      <c r="BY241" s="113"/>
      <c r="BZ241" s="113"/>
      <c r="CA241" s="113"/>
      <c r="CB241" s="113"/>
      <c r="CC241" s="113"/>
      <c r="CD241" s="113"/>
      <c r="CE241" s="113"/>
      <c r="CF241" s="113"/>
      <c r="CG241" s="113"/>
      <c r="CH241" s="113"/>
      <c r="CI241" s="113"/>
      <c r="CJ241" s="113"/>
      <c r="CK241" s="113"/>
      <c r="CL241" s="113"/>
      <c r="CM241" s="113"/>
      <c r="CN241" s="113"/>
      <c r="CO241" s="113"/>
      <c r="CP241" s="113"/>
      <c r="CQ241" s="113"/>
      <c r="CR241" s="113"/>
      <c r="CS241" s="113"/>
      <c r="CT241" s="113"/>
      <c r="CU241" s="113"/>
    </row>
    <row r="242">
      <c r="A242" s="159" t="str">
        <f>IFERROR(__xludf.DUMMYFUNCTION("""COMPUTED_VALUE"""),"G-10")</f>
        <v>G-10</v>
      </c>
      <c r="B242" s="113" t="str">
        <f>IFERROR(__xludf.DUMMYFUNCTION("""COMPUTED_VALUE"""),"Yan")</f>
        <v>Yan</v>
      </c>
      <c r="C242" s="113" t="str">
        <f>IFERROR(__xludf.DUMMYFUNCTION("""COMPUTED_VALUE"""),"Luo")</f>
        <v>Luo</v>
      </c>
      <c r="D242" s="158">
        <f>IFERROR(__xludf.DUMMYFUNCTION("""COMPUTED_VALUE"""),1051.0)</f>
        <v>1051</v>
      </c>
      <c r="E242" s="161">
        <f t="shared" si="1"/>
        <v>5</v>
      </c>
      <c r="F242" s="160">
        <f>COUNTIFS('Scores Import DO NOT EDIT'!C:C, D242,'Scores Import DO NOT EDIT'!M:M,A242)</f>
        <v>0</v>
      </c>
      <c r="G242" s="162">
        <f t="shared" si="2"/>
        <v>0</v>
      </c>
      <c r="H242" s="163" t="str">
        <f t="shared" si="3"/>
        <v>G-101051</v>
      </c>
      <c r="I242" s="113"/>
      <c r="J242" s="113"/>
      <c r="K242" s="113"/>
      <c r="L242" s="158"/>
      <c r="M242" s="166" t="s">
        <v>328</v>
      </c>
      <c r="N242" s="113"/>
      <c r="O242" s="113"/>
      <c r="P242" s="113"/>
      <c r="Q242" s="113"/>
      <c r="R242" s="113"/>
      <c r="S242" s="113"/>
      <c r="T242" s="113"/>
      <c r="U242" s="113"/>
      <c r="V242" s="113"/>
      <c r="W242" s="113"/>
      <c r="X242" s="113"/>
      <c r="Y242" s="113"/>
      <c r="Z242" s="113"/>
      <c r="AA242" s="113"/>
      <c r="AB242" s="113"/>
      <c r="AC242" s="113"/>
      <c r="AD242" s="113"/>
      <c r="AE242" s="113"/>
      <c r="AF242" s="113"/>
      <c r="AG242" s="113"/>
      <c r="AH242" s="113"/>
      <c r="AI242" s="113"/>
      <c r="AJ242" s="113"/>
      <c r="AK242" s="113"/>
      <c r="AL242" s="113"/>
      <c r="AM242" s="113"/>
      <c r="AN242" s="113"/>
      <c r="AO242" s="113"/>
      <c r="AP242" s="113"/>
      <c r="AQ242" s="113"/>
      <c r="AR242" s="113"/>
      <c r="AS242" s="113"/>
      <c r="AT242" s="113"/>
      <c r="AU242" s="113"/>
      <c r="AV242" s="113"/>
      <c r="AW242" s="113"/>
      <c r="AX242" s="113"/>
      <c r="AY242" s="113"/>
      <c r="AZ242" s="113"/>
      <c r="BA242" s="113"/>
      <c r="BB242" s="113"/>
      <c r="BC242" s="113"/>
      <c r="BD242" s="113"/>
      <c r="BE242" s="113"/>
      <c r="BF242" s="113"/>
      <c r="BG242" s="113"/>
      <c r="BH242" s="113"/>
      <c r="BI242" s="113"/>
      <c r="BJ242" s="113"/>
      <c r="BK242" s="113"/>
      <c r="BL242" s="113"/>
      <c r="BM242" s="113"/>
      <c r="BN242" s="113"/>
      <c r="BO242" s="113"/>
      <c r="BP242" s="113"/>
      <c r="BQ242" s="113"/>
      <c r="BR242" s="113"/>
      <c r="BS242" s="113"/>
      <c r="BT242" s="113"/>
      <c r="BU242" s="113"/>
      <c r="BV242" s="113"/>
      <c r="BW242" s="113"/>
      <c r="BX242" s="113"/>
      <c r="BY242" s="113"/>
      <c r="BZ242" s="113"/>
      <c r="CA242" s="113"/>
      <c r="CB242" s="113"/>
      <c r="CC242" s="113"/>
      <c r="CD242" s="113"/>
      <c r="CE242" s="113"/>
      <c r="CF242" s="113"/>
      <c r="CG242" s="113"/>
      <c r="CH242" s="113"/>
      <c r="CI242" s="113"/>
      <c r="CJ242" s="113"/>
      <c r="CK242" s="113"/>
      <c r="CL242" s="113"/>
      <c r="CM242" s="113"/>
      <c r="CN242" s="113"/>
      <c r="CO242" s="113"/>
      <c r="CP242" s="113"/>
      <c r="CQ242" s="113"/>
      <c r="CR242" s="113"/>
      <c r="CS242" s="113"/>
      <c r="CT242" s="113"/>
      <c r="CU242" s="113"/>
    </row>
    <row r="243">
      <c r="A243" s="159" t="str">
        <f>IFERROR(__xludf.DUMMYFUNCTION("""COMPUTED_VALUE"""),"G-10")</f>
        <v>G-10</v>
      </c>
      <c r="B243" s="113" t="str">
        <f>IFERROR(__xludf.DUMMYFUNCTION("""COMPUTED_VALUE"""),"Roger")</f>
        <v>Roger</v>
      </c>
      <c r="C243" s="113" t="str">
        <f>IFERROR(__xludf.DUMMYFUNCTION("""COMPUTED_VALUE"""),"Whitney")</f>
        <v>Whitney</v>
      </c>
      <c r="D243" s="158">
        <f>IFERROR(__xludf.DUMMYFUNCTION("""COMPUTED_VALUE"""),1091.0)</f>
        <v>1091</v>
      </c>
      <c r="E243" s="161">
        <f t="shared" si="1"/>
        <v>5</v>
      </c>
      <c r="F243" s="160">
        <f>COUNTIFS('Scores Import DO NOT EDIT'!C:C, D243,'Scores Import DO NOT EDIT'!M:M,A243)</f>
        <v>5</v>
      </c>
      <c r="G243" s="162">
        <f t="shared" si="2"/>
        <v>1</v>
      </c>
      <c r="H243" s="163" t="str">
        <f t="shared" si="3"/>
        <v>G-101091</v>
      </c>
      <c r="I243" s="113"/>
      <c r="J243" s="113"/>
      <c r="K243" s="113"/>
      <c r="L243" s="158"/>
      <c r="M243" s="166" t="s">
        <v>330</v>
      </c>
      <c r="N243" s="113"/>
      <c r="O243" s="113"/>
      <c r="P243" s="113"/>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c r="AT243" s="113"/>
      <c r="AU243" s="113"/>
      <c r="AV243" s="113"/>
      <c r="AW243" s="113"/>
      <c r="AX243" s="113"/>
      <c r="AY243" s="113"/>
      <c r="AZ243" s="113"/>
      <c r="BA243" s="113"/>
      <c r="BB243" s="113"/>
      <c r="BC243" s="113"/>
      <c r="BD243" s="113"/>
      <c r="BE243" s="113"/>
      <c r="BF243" s="113"/>
      <c r="BG243" s="113"/>
      <c r="BH243" s="113"/>
      <c r="BI243" s="113"/>
      <c r="BJ243" s="113"/>
      <c r="BK243" s="113"/>
      <c r="BL243" s="113"/>
      <c r="BM243" s="113"/>
      <c r="BN243" s="113"/>
      <c r="BO243" s="113"/>
      <c r="BP243" s="113"/>
      <c r="BQ243" s="113"/>
      <c r="BR243" s="113"/>
      <c r="BS243" s="113"/>
      <c r="BT243" s="113"/>
      <c r="BU243" s="113"/>
      <c r="BV243" s="113"/>
      <c r="BW243" s="113"/>
      <c r="BX243" s="113"/>
      <c r="BY243" s="113"/>
      <c r="BZ243" s="113"/>
      <c r="CA243" s="113"/>
      <c r="CB243" s="113"/>
      <c r="CC243" s="113"/>
      <c r="CD243" s="113"/>
      <c r="CE243" s="113"/>
      <c r="CF243" s="113"/>
      <c r="CG243" s="113"/>
      <c r="CH243" s="113"/>
      <c r="CI243" s="113"/>
      <c r="CJ243" s="113"/>
      <c r="CK243" s="113"/>
      <c r="CL243" s="113"/>
      <c r="CM243" s="113"/>
      <c r="CN243" s="113"/>
      <c r="CO243" s="113"/>
      <c r="CP243" s="113"/>
      <c r="CQ243" s="113"/>
      <c r="CR243" s="113"/>
      <c r="CS243" s="113"/>
      <c r="CT243" s="113"/>
      <c r="CU243" s="113"/>
    </row>
    <row r="244">
      <c r="A244" s="159" t="str">
        <f>IFERROR(__xludf.DUMMYFUNCTION("""COMPUTED_VALUE"""),"G-10")</f>
        <v>G-10</v>
      </c>
      <c r="B244" s="113" t="str">
        <f>IFERROR(__xludf.DUMMYFUNCTION("""COMPUTED_VALUE"""),"David")</f>
        <v>David</v>
      </c>
      <c r="C244" s="113" t="str">
        <f>IFERROR(__xludf.DUMMYFUNCTION("""COMPUTED_VALUE"""),"Trejo")</f>
        <v>Trejo</v>
      </c>
      <c r="D244" s="158">
        <f>IFERROR(__xludf.DUMMYFUNCTION("""COMPUTED_VALUE"""),1170.0)</f>
        <v>1170</v>
      </c>
      <c r="E244" s="161">
        <f t="shared" si="1"/>
        <v>5</v>
      </c>
      <c r="F244" s="160">
        <f>COUNTIFS('Scores Import DO NOT EDIT'!C:C, D244,'Scores Import DO NOT EDIT'!M:M,A244)</f>
        <v>4</v>
      </c>
      <c r="G244" s="162">
        <f t="shared" si="2"/>
        <v>0.8</v>
      </c>
      <c r="H244" s="163" t="str">
        <f t="shared" si="3"/>
        <v>G-101170</v>
      </c>
      <c r="I244" s="113"/>
      <c r="J244" s="113"/>
      <c r="K244" s="113"/>
      <c r="L244" s="158"/>
      <c r="M244" s="166" t="s">
        <v>326</v>
      </c>
      <c r="N244" s="113"/>
      <c r="O244" s="113"/>
      <c r="P244" s="113"/>
      <c r="Q244" s="113"/>
      <c r="R244" s="113"/>
      <c r="S244" s="113"/>
      <c r="T244" s="113"/>
      <c r="U244" s="113"/>
      <c r="V244" s="113"/>
      <c r="W244" s="113"/>
      <c r="X244" s="113"/>
      <c r="Y244" s="113"/>
      <c r="Z244" s="113"/>
      <c r="AA244" s="113"/>
      <c r="AB244" s="113"/>
      <c r="AC244" s="113"/>
      <c r="AD244" s="113"/>
      <c r="AE244" s="113"/>
      <c r="AF244" s="113"/>
      <c r="AG244" s="113"/>
      <c r="AH244" s="113"/>
      <c r="AI244" s="113"/>
      <c r="AJ244" s="113"/>
      <c r="AK244" s="113"/>
      <c r="AL244" s="113"/>
      <c r="AM244" s="113"/>
      <c r="AN244" s="113"/>
      <c r="AO244" s="113"/>
      <c r="AP244" s="113"/>
      <c r="AQ244" s="113"/>
      <c r="AR244" s="113"/>
      <c r="AS244" s="113"/>
      <c r="AT244" s="113"/>
      <c r="AU244" s="113"/>
      <c r="AV244" s="113"/>
      <c r="AW244" s="113"/>
      <c r="AX244" s="113"/>
      <c r="AY244" s="113"/>
      <c r="AZ244" s="113"/>
      <c r="BA244" s="113"/>
      <c r="BB244" s="113"/>
      <c r="BC244" s="113"/>
      <c r="BD244" s="113"/>
      <c r="BE244" s="113"/>
      <c r="BF244" s="113"/>
      <c r="BG244" s="113"/>
      <c r="BH244" s="113"/>
      <c r="BI244" s="113"/>
      <c r="BJ244" s="113"/>
      <c r="BK244" s="113"/>
      <c r="BL244" s="113"/>
      <c r="BM244" s="113"/>
      <c r="BN244" s="113"/>
      <c r="BO244" s="113"/>
      <c r="BP244" s="113"/>
      <c r="BQ244" s="113"/>
      <c r="BR244" s="113"/>
      <c r="BS244" s="113"/>
      <c r="BT244" s="113"/>
      <c r="BU244" s="113"/>
      <c r="BV244" s="113"/>
      <c r="BW244" s="113"/>
      <c r="BX244" s="113"/>
      <c r="BY244" s="113"/>
      <c r="BZ244" s="113"/>
      <c r="CA244" s="113"/>
      <c r="CB244" s="113"/>
      <c r="CC244" s="113"/>
      <c r="CD244" s="113"/>
      <c r="CE244" s="113"/>
      <c r="CF244" s="113"/>
      <c r="CG244" s="113"/>
      <c r="CH244" s="113"/>
      <c r="CI244" s="113"/>
      <c r="CJ244" s="113"/>
      <c r="CK244" s="113"/>
      <c r="CL244" s="113"/>
      <c r="CM244" s="113"/>
      <c r="CN244" s="113"/>
      <c r="CO244" s="113"/>
      <c r="CP244" s="113"/>
      <c r="CQ244" s="113"/>
      <c r="CR244" s="113"/>
      <c r="CS244" s="113"/>
      <c r="CT244" s="113"/>
      <c r="CU244" s="113"/>
    </row>
    <row r="245">
      <c r="A245" s="159" t="str">
        <f>IFERROR(__xludf.DUMMYFUNCTION("""COMPUTED_VALUE"""),"G-10")</f>
        <v>G-10</v>
      </c>
      <c r="B245" s="113" t="str">
        <f>IFERROR(__xludf.DUMMYFUNCTION("""COMPUTED_VALUE"""),"Jade")</f>
        <v>Jade</v>
      </c>
      <c r="C245" s="113" t="str">
        <f>IFERROR(__xludf.DUMMYFUNCTION("""COMPUTED_VALUE"""),"Roccoforte")</f>
        <v>Roccoforte</v>
      </c>
      <c r="D245" s="158">
        <f>IFERROR(__xludf.DUMMYFUNCTION("""COMPUTED_VALUE"""),1107.0)</f>
        <v>1107</v>
      </c>
      <c r="E245" s="161">
        <f t="shared" si="1"/>
        <v>5</v>
      </c>
      <c r="F245" s="160">
        <f>COUNTIFS('Scores Import DO NOT EDIT'!C:C, D245,'Scores Import DO NOT EDIT'!M:M,A245)</f>
        <v>5</v>
      </c>
      <c r="G245" s="162">
        <f t="shared" si="2"/>
        <v>1</v>
      </c>
      <c r="H245" s="163" t="str">
        <f t="shared" si="3"/>
        <v>G-101107</v>
      </c>
      <c r="I245" s="113"/>
      <c r="J245" s="113"/>
      <c r="K245" s="113"/>
      <c r="L245" s="158"/>
      <c r="M245" s="166" t="s">
        <v>329</v>
      </c>
      <c r="N245" s="113"/>
      <c r="O245" s="113"/>
      <c r="P245" s="113"/>
      <c r="Q245" s="113"/>
      <c r="R245" s="113"/>
      <c r="S245" s="113"/>
      <c r="T245" s="113"/>
      <c r="U245" s="113"/>
      <c r="V245" s="113"/>
      <c r="W245" s="113"/>
      <c r="X245" s="113"/>
      <c r="Y245" s="113"/>
      <c r="Z245" s="113"/>
      <c r="AA245" s="113"/>
      <c r="AB245" s="113"/>
      <c r="AC245" s="113"/>
      <c r="AD245" s="113"/>
      <c r="AE245" s="113"/>
      <c r="AF245" s="113"/>
      <c r="AG245" s="113"/>
      <c r="AH245" s="113"/>
      <c r="AI245" s="113"/>
      <c r="AJ245" s="113"/>
      <c r="AK245" s="113"/>
      <c r="AL245" s="113"/>
      <c r="AM245" s="113"/>
      <c r="AN245" s="113"/>
      <c r="AO245" s="113"/>
      <c r="AP245" s="113"/>
      <c r="AQ245" s="113"/>
      <c r="AR245" s="113"/>
      <c r="AS245" s="113"/>
      <c r="AT245" s="113"/>
      <c r="AU245" s="113"/>
      <c r="AV245" s="113"/>
      <c r="AW245" s="113"/>
      <c r="AX245" s="113"/>
      <c r="AY245" s="113"/>
      <c r="AZ245" s="113"/>
      <c r="BA245" s="113"/>
      <c r="BB245" s="113"/>
      <c r="BC245" s="113"/>
      <c r="BD245" s="113"/>
      <c r="BE245" s="113"/>
      <c r="BF245" s="113"/>
      <c r="BG245" s="113"/>
      <c r="BH245" s="113"/>
      <c r="BI245" s="113"/>
      <c r="BJ245" s="113"/>
      <c r="BK245" s="113"/>
      <c r="BL245" s="113"/>
      <c r="BM245" s="113"/>
      <c r="BN245" s="113"/>
      <c r="BO245" s="113"/>
      <c r="BP245" s="113"/>
      <c r="BQ245" s="113"/>
      <c r="BR245" s="113"/>
      <c r="BS245" s="113"/>
      <c r="BT245" s="113"/>
      <c r="BU245" s="113"/>
      <c r="BV245" s="113"/>
      <c r="BW245" s="113"/>
      <c r="BX245" s="113"/>
      <c r="BY245" s="113"/>
      <c r="BZ245" s="113"/>
      <c r="CA245" s="113"/>
      <c r="CB245" s="113"/>
      <c r="CC245" s="113"/>
      <c r="CD245" s="113"/>
      <c r="CE245" s="113"/>
      <c r="CF245" s="113"/>
      <c r="CG245" s="113"/>
      <c r="CH245" s="113"/>
      <c r="CI245" s="113"/>
      <c r="CJ245" s="113"/>
      <c r="CK245" s="113"/>
      <c r="CL245" s="113"/>
      <c r="CM245" s="113"/>
      <c r="CN245" s="113"/>
      <c r="CO245" s="113"/>
      <c r="CP245" s="113"/>
      <c r="CQ245" s="113"/>
      <c r="CR245" s="113"/>
      <c r="CS245" s="113"/>
      <c r="CT245" s="113"/>
      <c r="CU245" s="113"/>
    </row>
    <row r="246">
      <c r="A246" s="159" t="str">
        <f>IFERROR(__xludf.DUMMYFUNCTION("""COMPUTED_VALUE"""),"G-10")</f>
        <v>G-10</v>
      </c>
      <c r="B246" s="113" t="str">
        <f>IFERROR(__xludf.DUMMYFUNCTION("""COMPUTED_VALUE"""),"Carmelo")</f>
        <v>Carmelo</v>
      </c>
      <c r="C246" s="113" t="str">
        <f>IFERROR(__xludf.DUMMYFUNCTION("""COMPUTED_VALUE"""),"Interlando")</f>
        <v>Interlando</v>
      </c>
      <c r="D246" s="158">
        <f>IFERROR(__xludf.DUMMYFUNCTION("""COMPUTED_VALUE"""),1096.0)</f>
        <v>1096</v>
      </c>
      <c r="E246" s="161">
        <f t="shared" si="1"/>
        <v>5</v>
      </c>
      <c r="F246" s="160">
        <f>COUNTIFS('Scores Import DO NOT EDIT'!C:C, D246,'Scores Import DO NOT EDIT'!M:M,A246)</f>
        <v>5</v>
      </c>
      <c r="G246" s="162">
        <f t="shared" si="2"/>
        <v>1</v>
      </c>
      <c r="H246" s="163" t="str">
        <f t="shared" si="3"/>
        <v>G-101096</v>
      </c>
      <c r="I246" s="113"/>
      <c r="J246" s="113"/>
      <c r="K246" s="113"/>
      <c r="L246" s="158"/>
      <c r="M246" s="166" t="s">
        <v>331</v>
      </c>
      <c r="N246" s="113"/>
      <c r="O246" s="113"/>
      <c r="P246" s="113"/>
      <c r="Q246" s="113"/>
      <c r="R246" s="113"/>
      <c r="S246" s="113"/>
      <c r="T246" s="113"/>
      <c r="U246" s="113"/>
      <c r="V246" s="113"/>
      <c r="W246" s="113"/>
      <c r="X246" s="113"/>
      <c r="Y246" s="113"/>
      <c r="Z246" s="113"/>
      <c r="AA246" s="113"/>
      <c r="AB246" s="113"/>
      <c r="AC246" s="113"/>
      <c r="AD246" s="113"/>
      <c r="AE246" s="113"/>
      <c r="AF246" s="113"/>
      <c r="AG246" s="113"/>
      <c r="AH246" s="113"/>
      <c r="AI246" s="113"/>
      <c r="AJ246" s="113"/>
      <c r="AK246" s="113"/>
      <c r="AL246" s="113"/>
      <c r="AM246" s="113"/>
      <c r="AN246" s="113"/>
      <c r="AO246" s="113"/>
      <c r="AP246" s="113"/>
      <c r="AQ246" s="113"/>
      <c r="AR246" s="113"/>
      <c r="AS246" s="113"/>
      <c r="AT246" s="113"/>
      <c r="AU246" s="113"/>
      <c r="AV246" s="113"/>
      <c r="AW246" s="113"/>
      <c r="AX246" s="113"/>
      <c r="AY246" s="113"/>
      <c r="AZ246" s="113"/>
      <c r="BA246" s="113"/>
      <c r="BB246" s="113"/>
      <c r="BC246" s="113"/>
      <c r="BD246" s="113"/>
      <c r="BE246" s="113"/>
      <c r="BF246" s="113"/>
      <c r="BG246" s="113"/>
      <c r="BH246" s="113"/>
      <c r="BI246" s="113"/>
      <c r="BJ246" s="113"/>
      <c r="BK246" s="113"/>
      <c r="BL246" s="113"/>
      <c r="BM246" s="113"/>
      <c r="BN246" s="113"/>
      <c r="BO246" s="113"/>
      <c r="BP246" s="113"/>
      <c r="BQ246" s="113"/>
      <c r="BR246" s="113"/>
      <c r="BS246" s="113"/>
      <c r="BT246" s="113"/>
      <c r="BU246" s="113"/>
      <c r="BV246" s="113"/>
      <c r="BW246" s="113"/>
      <c r="BX246" s="113"/>
      <c r="BY246" s="113"/>
      <c r="BZ246" s="113"/>
      <c r="CA246" s="113"/>
      <c r="CB246" s="113"/>
      <c r="CC246" s="113"/>
      <c r="CD246" s="113"/>
      <c r="CE246" s="113"/>
      <c r="CF246" s="113"/>
      <c r="CG246" s="113"/>
      <c r="CH246" s="113"/>
      <c r="CI246" s="113"/>
      <c r="CJ246" s="113"/>
      <c r="CK246" s="113"/>
      <c r="CL246" s="113"/>
      <c r="CM246" s="113"/>
      <c r="CN246" s="113"/>
      <c r="CO246" s="113"/>
      <c r="CP246" s="113"/>
      <c r="CQ246" s="113"/>
      <c r="CR246" s="113"/>
      <c r="CS246" s="113"/>
      <c r="CT246" s="113"/>
      <c r="CU246" s="113"/>
    </row>
    <row r="247">
      <c r="A247" s="159" t="str">
        <f>IFERROR(__xludf.DUMMYFUNCTION("""COMPUTED_VALUE"""),"G-11")</f>
        <v>G-11</v>
      </c>
      <c r="B247" s="113" t="str">
        <f>IFERROR(__xludf.DUMMYFUNCTION("""COMPUTED_VALUE"""),"Jing")</f>
        <v>Jing</v>
      </c>
      <c r="C247" s="113" t="str">
        <f>IFERROR(__xludf.DUMMYFUNCTION("""COMPUTED_VALUE"""),"Gu")</f>
        <v>Gu</v>
      </c>
      <c r="D247" s="158">
        <f>IFERROR(__xludf.DUMMYFUNCTION("""COMPUTED_VALUE"""),1086.0)</f>
        <v>1086</v>
      </c>
      <c r="E247" s="161">
        <f t="shared" si="1"/>
        <v>7</v>
      </c>
      <c r="F247" s="160">
        <f>COUNTIFS('Scores Import DO NOT EDIT'!C:C, D247,'Scores Import DO NOT EDIT'!M:M,A247)</f>
        <v>6</v>
      </c>
      <c r="G247" s="162">
        <f t="shared" si="2"/>
        <v>0.8571428571</v>
      </c>
      <c r="H247" s="163" t="str">
        <f t="shared" si="3"/>
        <v>G-111086</v>
      </c>
      <c r="I247" s="113"/>
      <c r="J247" s="113"/>
      <c r="K247" s="113"/>
      <c r="L247" s="158"/>
      <c r="M247" s="166" t="s">
        <v>325</v>
      </c>
      <c r="N247" s="113"/>
      <c r="O247" s="113"/>
      <c r="P247" s="113"/>
      <c r="Q247" s="113"/>
      <c r="R247" s="113"/>
      <c r="S247" s="113"/>
      <c r="T247" s="113"/>
      <c r="U247" s="113"/>
      <c r="V247" s="113"/>
      <c r="W247" s="113"/>
      <c r="X247" s="113"/>
      <c r="Y247" s="113"/>
      <c r="Z247" s="113"/>
      <c r="AA247" s="113"/>
      <c r="AB247" s="113"/>
      <c r="AC247" s="113"/>
      <c r="AD247" s="113"/>
      <c r="AE247" s="113"/>
      <c r="AF247" s="113"/>
      <c r="AG247" s="113"/>
      <c r="AH247" s="113"/>
      <c r="AI247" s="113"/>
      <c r="AJ247" s="113"/>
      <c r="AK247" s="113"/>
      <c r="AL247" s="113"/>
      <c r="AM247" s="113"/>
      <c r="AN247" s="113"/>
      <c r="AO247" s="113"/>
      <c r="AP247" s="113"/>
      <c r="AQ247" s="113"/>
      <c r="AR247" s="113"/>
      <c r="AS247" s="113"/>
      <c r="AT247" s="113"/>
      <c r="AU247" s="113"/>
      <c r="AV247" s="113"/>
      <c r="AW247" s="113"/>
      <c r="AX247" s="113"/>
      <c r="AY247" s="113"/>
      <c r="AZ247" s="113"/>
      <c r="BA247" s="113"/>
      <c r="BB247" s="113"/>
      <c r="BC247" s="113"/>
      <c r="BD247" s="113"/>
      <c r="BE247" s="113"/>
      <c r="BF247" s="113"/>
      <c r="BG247" s="113"/>
      <c r="BH247" s="113"/>
      <c r="BI247" s="113"/>
      <c r="BJ247" s="113"/>
      <c r="BK247" s="113"/>
      <c r="BL247" s="113"/>
      <c r="BM247" s="113"/>
      <c r="BN247" s="113"/>
      <c r="BO247" s="113"/>
      <c r="BP247" s="113"/>
      <c r="BQ247" s="113"/>
      <c r="BR247" s="113"/>
      <c r="BS247" s="113"/>
      <c r="BT247" s="113"/>
      <c r="BU247" s="113"/>
      <c r="BV247" s="113"/>
      <c r="BW247" s="113"/>
      <c r="BX247" s="113"/>
      <c r="BY247" s="113"/>
      <c r="BZ247" s="113"/>
      <c r="CA247" s="113"/>
      <c r="CB247" s="113"/>
      <c r="CC247" s="113"/>
      <c r="CD247" s="113"/>
      <c r="CE247" s="113"/>
      <c r="CF247" s="113"/>
      <c r="CG247" s="113"/>
      <c r="CH247" s="113"/>
      <c r="CI247" s="113"/>
      <c r="CJ247" s="113"/>
      <c r="CK247" s="113"/>
      <c r="CL247" s="113"/>
      <c r="CM247" s="113"/>
      <c r="CN247" s="113"/>
      <c r="CO247" s="113"/>
      <c r="CP247" s="113"/>
      <c r="CQ247" s="113"/>
      <c r="CR247" s="113"/>
      <c r="CS247" s="113"/>
      <c r="CT247" s="113"/>
      <c r="CU247" s="113"/>
    </row>
    <row r="248">
      <c r="A248" s="159" t="str">
        <f>IFERROR(__xludf.DUMMYFUNCTION("""COMPUTED_VALUE"""),"G-11")</f>
        <v>G-11</v>
      </c>
      <c r="B248" s="113" t="str">
        <f>IFERROR(__xludf.DUMMYFUNCTION("""COMPUTED_VALUE"""),"Kanchan")</f>
        <v>Kanchan</v>
      </c>
      <c r="C248" s="113" t="str">
        <f>IFERROR(__xludf.DUMMYFUNCTION("""COMPUTED_VALUE"""),"Mishra")</f>
        <v>Mishra</v>
      </c>
      <c r="D248" s="158">
        <f>IFERROR(__xludf.DUMMYFUNCTION("""COMPUTED_VALUE"""),1126.0)</f>
        <v>1126</v>
      </c>
      <c r="E248" s="161">
        <f t="shared" si="1"/>
        <v>7</v>
      </c>
      <c r="F248" s="160">
        <f>COUNTIFS('Scores Import DO NOT EDIT'!C:C, D248,'Scores Import DO NOT EDIT'!M:M,A248)</f>
        <v>7</v>
      </c>
      <c r="G248" s="162">
        <f t="shared" si="2"/>
        <v>1</v>
      </c>
      <c r="H248" s="163" t="str">
        <f t="shared" si="3"/>
        <v>G-111126</v>
      </c>
      <c r="I248" s="113"/>
      <c r="J248" s="113"/>
      <c r="K248" s="113"/>
      <c r="L248" s="158"/>
      <c r="M248" s="166" t="s">
        <v>333</v>
      </c>
      <c r="N248" s="113"/>
      <c r="O248" s="113"/>
      <c r="P248" s="113"/>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c r="AT248" s="113"/>
      <c r="AU248" s="113"/>
      <c r="AV248" s="113"/>
      <c r="AW248" s="113"/>
      <c r="AX248" s="113"/>
      <c r="AY248" s="113"/>
      <c r="AZ248" s="113"/>
      <c r="BA248" s="113"/>
      <c r="BB248" s="113"/>
      <c r="BC248" s="113"/>
      <c r="BD248" s="113"/>
      <c r="BE248" s="113"/>
      <c r="BF248" s="113"/>
      <c r="BG248" s="113"/>
      <c r="BH248" s="113"/>
      <c r="BI248" s="113"/>
      <c r="BJ248" s="113"/>
      <c r="BK248" s="113"/>
      <c r="BL248" s="113"/>
      <c r="BM248" s="113"/>
      <c r="BN248" s="113"/>
      <c r="BO248" s="113"/>
      <c r="BP248" s="113"/>
      <c r="BQ248" s="113"/>
      <c r="BR248" s="113"/>
      <c r="BS248" s="113"/>
      <c r="BT248" s="113"/>
      <c r="BU248" s="113"/>
      <c r="BV248" s="113"/>
      <c r="BW248" s="113"/>
      <c r="BX248" s="113"/>
      <c r="BY248" s="113"/>
      <c r="BZ248" s="113"/>
      <c r="CA248" s="113"/>
      <c r="CB248" s="113"/>
      <c r="CC248" s="113"/>
      <c r="CD248" s="113"/>
      <c r="CE248" s="113"/>
      <c r="CF248" s="113"/>
      <c r="CG248" s="113"/>
      <c r="CH248" s="113"/>
      <c r="CI248" s="113"/>
      <c r="CJ248" s="113"/>
      <c r="CK248" s="113"/>
      <c r="CL248" s="113"/>
      <c r="CM248" s="113"/>
      <c r="CN248" s="113"/>
      <c r="CO248" s="113"/>
      <c r="CP248" s="113"/>
      <c r="CQ248" s="113"/>
      <c r="CR248" s="113"/>
      <c r="CS248" s="113"/>
      <c r="CT248" s="113"/>
      <c r="CU248" s="113"/>
    </row>
    <row r="249">
      <c r="A249" s="159" t="str">
        <f>IFERROR(__xludf.DUMMYFUNCTION("""COMPUTED_VALUE"""),"G-11")</f>
        <v>G-11</v>
      </c>
      <c r="B249" s="113" t="str">
        <f>IFERROR(__xludf.DUMMYFUNCTION("""COMPUTED_VALUE"""),"Sanjay")</f>
        <v>Sanjay</v>
      </c>
      <c r="C249" s="113" t="str">
        <f>IFERROR(__xludf.DUMMYFUNCTION("""COMPUTED_VALUE"""),"Yadav")</f>
        <v>Yadav</v>
      </c>
      <c r="D249" s="158">
        <f>IFERROR(__xludf.DUMMYFUNCTION("""COMPUTED_VALUE"""),1143.0)</f>
        <v>1143</v>
      </c>
      <c r="E249" s="161">
        <f t="shared" si="1"/>
        <v>7</v>
      </c>
      <c r="F249" s="160">
        <f>COUNTIFS('Scores Import DO NOT EDIT'!C:C, D249,'Scores Import DO NOT EDIT'!M:M,A249)</f>
        <v>7</v>
      </c>
      <c r="G249" s="162">
        <f t="shared" si="2"/>
        <v>1</v>
      </c>
      <c r="H249" s="163" t="str">
        <f t="shared" si="3"/>
        <v>G-111143</v>
      </c>
      <c r="I249" s="113"/>
      <c r="J249" s="113"/>
      <c r="K249" s="113"/>
      <c r="L249" s="158"/>
      <c r="M249" s="166" t="s">
        <v>336</v>
      </c>
      <c r="N249" s="113"/>
      <c r="O249" s="113"/>
      <c r="P249" s="113"/>
      <c r="Q249" s="113"/>
      <c r="R249" s="113"/>
      <c r="S249" s="113"/>
      <c r="T249" s="113"/>
      <c r="U249" s="113"/>
      <c r="V249" s="113"/>
      <c r="W249" s="113"/>
      <c r="X249" s="113"/>
      <c r="Y249" s="113"/>
      <c r="Z249" s="113"/>
      <c r="AA249" s="113"/>
      <c r="AB249" s="113"/>
      <c r="AC249" s="113"/>
      <c r="AD249" s="113"/>
      <c r="AE249" s="113"/>
      <c r="AF249" s="113"/>
      <c r="AG249" s="113"/>
      <c r="AH249" s="113"/>
      <c r="AI249" s="113"/>
      <c r="AJ249" s="113"/>
      <c r="AK249" s="113"/>
      <c r="AL249" s="113"/>
      <c r="AM249" s="113"/>
      <c r="AN249" s="113"/>
      <c r="AO249" s="113"/>
      <c r="AP249" s="113"/>
      <c r="AQ249" s="113"/>
      <c r="AR249" s="113"/>
      <c r="AS249" s="113"/>
      <c r="AT249" s="113"/>
      <c r="AU249" s="113"/>
      <c r="AV249" s="113"/>
      <c r="AW249" s="113"/>
      <c r="AX249" s="113"/>
      <c r="AY249" s="113"/>
      <c r="AZ249" s="113"/>
      <c r="BA249" s="113"/>
      <c r="BB249" s="113"/>
      <c r="BC249" s="113"/>
      <c r="BD249" s="113"/>
      <c r="BE249" s="113"/>
      <c r="BF249" s="113"/>
      <c r="BG249" s="113"/>
      <c r="BH249" s="113"/>
      <c r="BI249" s="113"/>
      <c r="BJ249" s="113"/>
      <c r="BK249" s="113"/>
      <c r="BL249" s="113"/>
      <c r="BM249" s="113"/>
      <c r="BN249" s="113"/>
      <c r="BO249" s="113"/>
      <c r="BP249" s="113"/>
      <c r="BQ249" s="113"/>
      <c r="BR249" s="113"/>
      <c r="BS249" s="113"/>
      <c r="BT249" s="113"/>
      <c r="BU249" s="113"/>
      <c r="BV249" s="113"/>
      <c r="BW249" s="113"/>
      <c r="BX249" s="113"/>
      <c r="BY249" s="113"/>
      <c r="BZ249" s="113"/>
      <c r="CA249" s="113"/>
      <c r="CB249" s="113"/>
      <c r="CC249" s="113"/>
      <c r="CD249" s="113"/>
      <c r="CE249" s="113"/>
      <c r="CF249" s="113"/>
      <c r="CG249" s="113"/>
      <c r="CH249" s="113"/>
      <c r="CI249" s="113"/>
      <c r="CJ249" s="113"/>
      <c r="CK249" s="113"/>
      <c r="CL249" s="113"/>
      <c r="CM249" s="113"/>
      <c r="CN249" s="113"/>
      <c r="CO249" s="113"/>
      <c r="CP249" s="113"/>
      <c r="CQ249" s="113"/>
      <c r="CR249" s="113"/>
      <c r="CS249" s="113"/>
      <c r="CT249" s="113"/>
      <c r="CU249" s="113"/>
    </row>
    <row r="250">
      <c r="A250" s="159" t="str">
        <f>IFERROR(__xludf.DUMMYFUNCTION("""COMPUTED_VALUE"""),"G-11")</f>
        <v>G-11</v>
      </c>
      <c r="B250" s="113" t="str">
        <f>IFERROR(__xludf.DUMMYFUNCTION("""COMPUTED_VALUE"""),"Milton")</f>
        <v>Milton</v>
      </c>
      <c r="C250" s="113" t="str">
        <f>IFERROR(__xludf.DUMMYFUNCTION("""COMPUTED_VALUE"""),"Torikachvili")</f>
        <v>Torikachvili</v>
      </c>
      <c r="D250" s="158">
        <f>IFERROR(__xludf.DUMMYFUNCTION("""COMPUTED_VALUE"""),1213.0)</f>
        <v>1213</v>
      </c>
      <c r="E250" s="161">
        <f t="shared" si="1"/>
        <v>7</v>
      </c>
      <c r="F250" s="160">
        <f>COUNTIFS('Scores Import DO NOT EDIT'!C:C, D250,'Scores Import DO NOT EDIT'!M:M,A250)</f>
        <v>0</v>
      </c>
      <c r="G250" s="162">
        <f t="shared" si="2"/>
        <v>0</v>
      </c>
      <c r="H250" s="163" t="str">
        <f t="shared" si="3"/>
        <v>G-111213</v>
      </c>
      <c r="I250" s="113"/>
      <c r="J250" s="113"/>
      <c r="K250" s="113"/>
      <c r="L250" s="158"/>
      <c r="M250" s="166" t="s">
        <v>337</v>
      </c>
      <c r="N250" s="113"/>
      <c r="O250" s="113"/>
      <c r="P250" s="113"/>
      <c r="Q250" s="113"/>
      <c r="R250" s="113"/>
      <c r="S250" s="113"/>
      <c r="T250" s="113"/>
      <c r="U250" s="113"/>
      <c r="V250" s="113"/>
      <c r="W250" s="113"/>
      <c r="X250" s="113"/>
      <c r="Y250" s="113"/>
      <c r="Z250" s="113"/>
      <c r="AA250" s="113"/>
      <c r="AB250" s="113"/>
      <c r="AC250" s="113"/>
      <c r="AD250" s="113"/>
      <c r="AE250" s="113"/>
      <c r="AF250" s="113"/>
      <c r="AG250" s="113"/>
      <c r="AH250" s="113"/>
      <c r="AI250" s="113"/>
      <c r="AJ250" s="113"/>
      <c r="AK250" s="113"/>
      <c r="AL250" s="113"/>
      <c r="AM250" s="113"/>
      <c r="AN250" s="113"/>
      <c r="AO250" s="113"/>
      <c r="AP250" s="113"/>
      <c r="AQ250" s="113"/>
      <c r="AR250" s="113"/>
      <c r="AS250" s="113"/>
      <c r="AT250" s="113"/>
      <c r="AU250" s="113"/>
      <c r="AV250" s="113"/>
      <c r="AW250" s="113"/>
      <c r="AX250" s="113"/>
      <c r="AY250" s="113"/>
      <c r="AZ250" s="113"/>
      <c r="BA250" s="113"/>
      <c r="BB250" s="113"/>
      <c r="BC250" s="113"/>
      <c r="BD250" s="113"/>
      <c r="BE250" s="113"/>
      <c r="BF250" s="113"/>
      <c r="BG250" s="113"/>
      <c r="BH250" s="113"/>
      <c r="BI250" s="113"/>
      <c r="BJ250" s="113"/>
      <c r="BK250" s="113"/>
      <c r="BL250" s="113"/>
      <c r="BM250" s="113"/>
      <c r="BN250" s="113"/>
      <c r="BO250" s="113"/>
      <c r="BP250" s="113"/>
      <c r="BQ250" s="113"/>
      <c r="BR250" s="113"/>
      <c r="BS250" s="113"/>
      <c r="BT250" s="113"/>
      <c r="BU250" s="113"/>
      <c r="BV250" s="113"/>
      <c r="BW250" s="113"/>
      <c r="BX250" s="113"/>
      <c r="BY250" s="113"/>
      <c r="BZ250" s="113"/>
      <c r="CA250" s="113"/>
      <c r="CB250" s="113"/>
      <c r="CC250" s="113"/>
      <c r="CD250" s="113"/>
      <c r="CE250" s="113"/>
      <c r="CF250" s="113"/>
      <c r="CG250" s="113"/>
      <c r="CH250" s="113"/>
      <c r="CI250" s="113"/>
      <c r="CJ250" s="113"/>
      <c r="CK250" s="113"/>
      <c r="CL250" s="113"/>
      <c r="CM250" s="113"/>
      <c r="CN250" s="113"/>
      <c r="CO250" s="113"/>
      <c r="CP250" s="113"/>
      <c r="CQ250" s="113"/>
      <c r="CR250" s="113"/>
      <c r="CS250" s="113"/>
      <c r="CT250" s="113"/>
      <c r="CU250" s="113"/>
    </row>
    <row r="251">
      <c r="A251" s="159" t="str">
        <f>IFERROR(__xludf.DUMMYFUNCTION("""COMPUTED_VALUE"""),"G-2")</f>
        <v>G-2</v>
      </c>
      <c r="B251" s="113" t="str">
        <f>IFERROR(__xludf.DUMMYFUNCTION("""COMPUTED_VALUE"""),"Valeria")</f>
        <v>Valeria</v>
      </c>
      <c r="C251" s="113" t="str">
        <f>IFERROR(__xludf.DUMMYFUNCTION("""COMPUTED_VALUE"""),"Ochoa")</f>
        <v>Ochoa</v>
      </c>
      <c r="D251" s="158">
        <f>IFERROR(__xludf.DUMMYFUNCTION("""COMPUTED_VALUE"""),1219.0)</f>
        <v>1219</v>
      </c>
      <c r="E251" s="161">
        <f t="shared" si="1"/>
        <v>6</v>
      </c>
      <c r="F251" s="160">
        <f>COUNTIFS('Scores Import DO NOT EDIT'!C:C, D251,'Scores Import DO NOT EDIT'!M:M,A251)</f>
        <v>6</v>
      </c>
      <c r="G251" s="162">
        <f t="shared" si="2"/>
        <v>1</v>
      </c>
      <c r="H251" s="163" t="str">
        <f t="shared" si="3"/>
        <v>G-21219</v>
      </c>
      <c r="I251" s="113"/>
      <c r="J251" s="113"/>
      <c r="K251" s="113"/>
      <c r="L251" s="158"/>
      <c r="M251" s="166" t="s">
        <v>332</v>
      </c>
      <c r="N251" s="113"/>
      <c r="O251" s="113"/>
      <c r="P251" s="113"/>
      <c r="Q251" s="113"/>
      <c r="R251" s="113"/>
      <c r="S251" s="113"/>
      <c r="T251" s="113"/>
      <c r="U251" s="113"/>
      <c r="V251" s="113"/>
      <c r="W251" s="113"/>
      <c r="X251" s="113"/>
      <c r="Y251" s="113"/>
      <c r="Z251" s="113"/>
      <c r="AA251" s="113"/>
      <c r="AB251" s="113"/>
      <c r="AC251" s="113"/>
      <c r="AD251" s="113"/>
      <c r="AE251" s="113"/>
      <c r="AF251" s="113"/>
      <c r="AG251" s="113"/>
      <c r="AH251" s="113"/>
      <c r="AI251" s="113"/>
      <c r="AJ251" s="113"/>
      <c r="AK251" s="113"/>
      <c r="AL251" s="113"/>
      <c r="AM251" s="113"/>
      <c r="AN251" s="113"/>
      <c r="AO251" s="113"/>
      <c r="AP251" s="113"/>
      <c r="AQ251" s="113"/>
      <c r="AR251" s="113"/>
      <c r="AS251" s="113"/>
      <c r="AT251" s="113"/>
      <c r="AU251" s="113"/>
      <c r="AV251" s="113"/>
      <c r="AW251" s="113"/>
      <c r="AX251" s="113"/>
      <c r="AY251" s="113"/>
      <c r="AZ251" s="113"/>
      <c r="BA251" s="113"/>
      <c r="BB251" s="113"/>
      <c r="BC251" s="113"/>
      <c r="BD251" s="113"/>
      <c r="BE251" s="113"/>
      <c r="BF251" s="113"/>
      <c r="BG251" s="113"/>
      <c r="BH251" s="113"/>
      <c r="BI251" s="113"/>
      <c r="BJ251" s="113"/>
      <c r="BK251" s="113"/>
      <c r="BL251" s="113"/>
      <c r="BM251" s="113"/>
      <c r="BN251" s="113"/>
      <c r="BO251" s="113"/>
      <c r="BP251" s="113"/>
      <c r="BQ251" s="113"/>
      <c r="BR251" s="113"/>
      <c r="BS251" s="113"/>
      <c r="BT251" s="113"/>
      <c r="BU251" s="113"/>
      <c r="BV251" s="113"/>
      <c r="BW251" s="113"/>
      <c r="BX251" s="113"/>
      <c r="BY251" s="113"/>
      <c r="BZ251" s="113"/>
      <c r="CA251" s="113"/>
      <c r="CB251" s="113"/>
      <c r="CC251" s="113"/>
      <c r="CD251" s="113"/>
      <c r="CE251" s="113"/>
      <c r="CF251" s="113"/>
      <c r="CG251" s="113"/>
      <c r="CH251" s="113"/>
      <c r="CI251" s="113"/>
      <c r="CJ251" s="113"/>
      <c r="CK251" s="113"/>
      <c r="CL251" s="113"/>
      <c r="CM251" s="113"/>
      <c r="CN251" s="113"/>
      <c r="CO251" s="113"/>
      <c r="CP251" s="113"/>
      <c r="CQ251" s="113"/>
      <c r="CR251" s="113"/>
      <c r="CS251" s="113"/>
      <c r="CT251" s="113"/>
      <c r="CU251" s="113"/>
    </row>
    <row r="252">
      <c r="A252" s="159" t="str">
        <f>IFERROR(__xludf.DUMMYFUNCTION("""COMPUTED_VALUE"""),"G-2")</f>
        <v>G-2</v>
      </c>
      <c r="B252" s="113" t="str">
        <f>IFERROR(__xludf.DUMMYFUNCTION("""COMPUTED_VALUE"""),"Edwin")</f>
        <v>Edwin</v>
      </c>
      <c r="C252" s="113" t="str">
        <f>IFERROR(__xludf.DUMMYFUNCTION("""COMPUTED_VALUE"""),"Rodriguez")</f>
        <v>Rodriguez</v>
      </c>
      <c r="D252" s="158">
        <f>IFERROR(__xludf.DUMMYFUNCTION("""COMPUTED_VALUE"""),1098.0)</f>
        <v>1098</v>
      </c>
      <c r="E252" s="161">
        <f t="shared" si="1"/>
        <v>6</v>
      </c>
      <c r="F252" s="160">
        <f>COUNTIFS('Scores Import DO NOT EDIT'!C:C, D252,'Scores Import DO NOT EDIT'!M:M,A252)</f>
        <v>6</v>
      </c>
      <c r="G252" s="162">
        <f t="shared" si="2"/>
        <v>1</v>
      </c>
      <c r="H252" s="163" t="str">
        <f t="shared" si="3"/>
        <v>G-21098</v>
      </c>
      <c r="I252" s="113"/>
      <c r="J252" s="113"/>
      <c r="K252" s="113"/>
      <c r="L252" s="158"/>
      <c r="M252" s="166" t="s">
        <v>335</v>
      </c>
      <c r="N252" s="113"/>
      <c r="O252" s="113"/>
      <c r="P252" s="113"/>
      <c r="Q252" s="113"/>
      <c r="R252" s="113"/>
      <c r="S252" s="113"/>
      <c r="T252" s="113"/>
      <c r="U252" s="113"/>
      <c r="V252" s="113"/>
      <c r="W252" s="113"/>
      <c r="X252" s="113"/>
      <c r="Y252" s="113"/>
      <c r="Z252" s="113"/>
      <c r="AA252" s="113"/>
      <c r="AB252" s="113"/>
      <c r="AC252" s="113"/>
      <c r="AD252" s="113"/>
      <c r="AE252" s="113"/>
      <c r="AF252" s="113"/>
      <c r="AG252" s="113"/>
      <c r="AH252" s="113"/>
      <c r="AI252" s="113"/>
      <c r="AJ252" s="113"/>
      <c r="AK252" s="113"/>
      <c r="AL252" s="113"/>
      <c r="AM252" s="113"/>
      <c r="AN252" s="113"/>
      <c r="AO252" s="113"/>
      <c r="AP252" s="113"/>
      <c r="AQ252" s="113"/>
      <c r="AR252" s="113"/>
      <c r="AS252" s="113"/>
      <c r="AT252" s="113"/>
      <c r="AU252" s="113"/>
      <c r="AV252" s="113"/>
      <c r="AW252" s="113"/>
      <c r="AX252" s="113"/>
      <c r="AY252" s="113"/>
      <c r="AZ252" s="113"/>
      <c r="BA252" s="113"/>
      <c r="BB252" s="113"/>
      <c r="BC252" s="113"/>
      <c r="BD252" s="113"/>
      <c r="BE252" s="113"/>
      <c r="BF252" s="113"/>
      <c r="BG252" s="113"/>
      <c r="BH252" s="113"/>
      <c r="BI252" s="113"/>
      <c r="BJ252" s="113"/>
      <c r="BK252" s="113"/>
      <c r="BL252" s="113"/>
      <c r="BM252" s="113"/>
      <c r="BN252" s="113"/>
      <c r="BO252" s="113"/>
      <c r="BP252" s="113"/>
      <c r="BQ252" s="113"/>
      <c r="BR252" s="113"/>
      <c r="BS252" s="113"/>
      <c r="BT252" s="113"/>
      <c r="BU252" s="113"/>
      <c r="BV252" s="113"/>
      <c r="BW252" s="113"/>
      <c r="BX252" s="113"/>
      <c r="BY252" s="113"/>
      <c r="BZ252" s="113"/>
      <c r="CA252" s="113"/>
      <c r="CB252" s="113"/>
      <c r="CC252" s="113"/>
      <c r="CD252" s="113"/>
      <c r="CE252" s="113"/>
      <c r="CF252" s="113"/>
      <c r="CG252" s="113"/>
      <c r="CH252" s="113"/>
      <c r="CI252" s="113"/>
      <c r="CJ252" s="113"/>
      <c r="CK252" s="113"/>
      <c r="CL252" s="113"/>
      <c r="CM252" s="113"/>
      <c r="CN252" s="113"/>
      <c r="CO252" s="113"/>
      <c r="CP252" s="113"/>
      <c r="CQ252" s="113"/>
      <c r="CR252" s="113"/>
      <c r="CS252" s="113"/>
      <c r="CT252" s="113"/>
      <c r="CU252" s="113"/>
    </row>
    <row r="253">
      <c r="A253" s="159" t="str">
        <f>IFERROR(__xludf.DUMMYFUNCTION("""COMPUTED_VALUE"""),"G-2")</f>
        <v>G-2</v>
      </c>
      <c r="B253" s="113" t="str">
        <f>IFERROR(__xludf.DUMMYFUNCTION("""COMPUTED_VALUE"""),"Kristine")</f>
        <v>Kristine</v>
      </c>
      <c r="C253" s="113" t="str">
        <f>IFERROR(__xludf.DUMMYFUNCTION("""COMPUTED_VALUE"""),"Ehrich")</f>
        <v>Ehrich</v>
      </c>
      <c r="D253" s="158">
        <f>IFERROR(__xludf.DUMMYFUNCTION("""COMPUTED_VALUE"""),1183.0)</f>
        <v>1183</v>
      </c>
      <c r="E253" s="161">
        <f t="shared" si="1"/>
        <v>6</v>
      </c>
      <c r="F253" s="160">
        <f>COUNTIFS('Scores Import DO NOT EDIT'!C:C, D253,'Scores Import DO NOT EDIT'!M:M,A253)</f>
        <v>5</v>
      </c>
      <c r="G253" s="162">
        <f t="shared" si="2"/>
        <v>0.8333333333</v>
      </c>
      <c r="H253" s="163" t="str">
        <f t="shared" si="3"/>
        <v>G-21183</v>
      </c>
      <c r="I253" s="113"/>
      <c r="J253" s="113"/>
      <c r="K253" s="113"/>
      <c r="L253" s="158"/>
      <c r="M253" s="166" t="s">
        <v>342</v>
      </c>
      <c r="N253" s="113"/>
      <c r="O253" s="113"/>
      <c r="P253" s="113"/>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c r="AT253" s="113"/>
      <c r="AU253" s="113"/>
      <c r="AV253" s="113"/>
      <c r="AW253" s="113"/>
      <c r="AX253" s="113"/>
      <c r="AY253" s="113"/>
      <c r="AZ253" s="113"/>
      <c r="BA253" s="113"/>
      <c r="BB253" s="113"/>
      <c r="BC253" s="113"/>
      <c r="BD253" s="113"/>
      <c r="BE253" s="113"/>
      <c r="BF253" s="113"/>
      <c r="BG253" s="113"/>
      <c r="BH253" s="113"/>
      <c r="BI253" s="113"/>
      <c r="BJ253" s="113"/>
      <c r="BK253" s="113"/>
      <c r="BL253" s="113"/>
      <c r="BM253" s="113"/>
      <c r="BN253" s="113"/>
      <c r="BO253" s="113"/>
      <c r="BP253" s="113"/>
      <c r="BQ253" s="113"/>
      <c r="BR253" s="113"/>
      <c r="BS253" s="113"/>
      <c r="BT253" s="113"/>
      <c r="BU253" s="113"/>
      <c r="BV253" s="113"/>
      <c r="BW253" s="113"/>
      <c r="BX253" s="113"/>
      <c r="BY253" s="113"/>
      <c r="BZ253" s="113"/>
      <c r="CA253" s="113"/>
      <c r="CB253" s="113"/>
      <c r="CC253" s="113"/>
      <c r="CD253" s="113"/>
      <c r="CE253" s="113"/>
      <c r="CF253" s="113"/>
      <c r="CG253" s="113"/>
      <c r="CH253" s="113"/>
      <c r="CI253" s="113"/>
      <c r="CJ253" s="113"/>
      <c r="CK253" s="113"/>
      <c r="CL253" s="113"/>
      <c r="CM253" s="113"/>
      <c r="CN253" s="113"/>
      <c r="CO253" s="113"/>
      <c r="CP253" s="113"/>
      <c r="CQ253" s="113"/>
      <c r="CR253" s="113"/>
      <c r="CS253" s="113"/>
      <c r="CT253" s="113"/>
      <c r="CU253" s="113"/>
    </row>
    <row r="254">
      <c r="A254" s="159" t="str">
        <f>IFERROR(__xludf.DUMMYFUNCTION("""COMPUTED_VALUE"""),"G-2")</f>
        <v>G-2</v>
      </c>
      <c r="B254" s="113" t="str">
        <f>IFERROR(__xludf.DUMMYFUNCTION("""COMPUTED_VALUE"""),"Melanie")</f>
        <v>Melanie</v>
      </c>
      <c r="C254" s="113" t="str">
        <f>IFERROR(__xludf.DUMMYFUNCTION("""COMPUTED_VALUE"""),"Nicholls")</f>
        <v>Nicholls</v>
      </c>
      <c r="D254" s="158">
        <f>IFERROR(__xludf.DUMMYFUNCTION("""COMPUTED_VALUE"""),1097.0)</f>
        <v>1097</v>
      </c>
      <c r="E254" s="161">
        <f t="shared" si="1"/>
        <v>6</v>
      </c>
      <c r="F254" s="160">
        <f>COUNTIFS('Scores Import DO NOT EDIT'!C:C, D254,'Scores Import DO NOT EDIT'!M:M,A254)</f>
        <v>6</v>
      </c>
      <c r="G254" s="162">
        <f t="shared" si="2"/>
        <v>1</v>
      </c>
      <c r="H254" s="163" t="str">
        <f t="shared" si="3"/>
        <v>G-21097</v>
      </c>
      <c r="I254" s="113"/>
      <c r="J254" s="113"/>
      <c r="K254" s="113"/>
      <c r="L254" s="158"/>
      <c r="M254" s="166" t="s">
        <v>339</v>
      </c>
      <c r="N254" s="113"/>
      <c r="O254" s="113"/>
      <c r="P254" s="113"/>
      <c r="Q254" s="113"/>
      <c r="R254" s="113"/>
      <c r="S254" s="113"/>
      <c r="T254" s="113"/>
      <c r="U254" s="113"/>
      <c r="V254" s="113"/>
      <c r="W254" s="113"/>
      <c r="X254" s="113"/>
      <c r="Y254" s="113"/>
      <c r="Z254" s="113"/>
      <c r="AA254" s="113"/>
      <c r="AB254" s="113"/>
      <c r="AC254" s="113"/>
      <c r="AD254" s="113"/>
      <c r="AE254" s="113"/>
      <c r="AF254" s="113"/>
      <c r="AG254" s="113"/>
      <c r="AH254" s="113"/>
      <c r="AI254" s="113"/>
      <c r="AJ254" s="113"/>
      <c r="AK254" s="113"/>
      <c r="AL254" s="113"/>
      <c r="AM254" s="113"/>
      <c r="AN254" s="113"/>
      <c r="AO254" s="113"/>
      <c r="AP254" s="113"/>
      <c r="AQ254" s="113"/>
      <c r="AR254" s="113"/>
      <c r="AS254" s="113"/>
      <c r="AT254" s="113"/>
      <c r="AU254" s="113"/>
      <c r="AV254" s="113"/>
      <c r="AW254" s="113"/>
      <c r="AX254" s="113"/>
      <c r="AY254" s="113"/>
      <c r="AZ254" s="113"/>
      <c r="BA254" s="113"/>
      <c r="BB254" s="113"/>
      <c r="BC254" s="113"/>
      <c r="BD254" s="113"/>
      <c r="BE254" s="113"/>
      <c r="BF254" s="113"/>
      <c r="BG254" s="113"/>
      <c r="BH254" s="113"/>
      <c r="BI254" s="113"/>
      <c r="BJ254" s="113"/>
      <c r="BK254" s="113"/>
      <c r="BL254" s="113"/>
      <c r="BM254" s="113"/>
      <c r="BN254" s="113"/>
      <c r="BO254" s="113"/>
      <c r="BP254" s="113"/>
      <c r="BQ254" s="113"/>
      <c r="BR254" s="113"/>
      <c r="BS254" s="113"/>
      <c r="BT254" s="113"/>
      <c r="BU254" s="113"/>
      <c r="BV254" s="113"/>
      <c r="BW254" s="113"/>
      <c r="BX254" s="113"/>
      <c r="BY254" s="113"/>
      <c r="BZ254" s="113"/>
      <c r="CA254" s="113"/>
      <c r="CB254" s="113"/>
      <c r="CC254" s="113"/>
      <c r="CD254" s="113"/>
      <c r="CE254" s="113"/>
      <c r="CF254" s="113"/>
      <c r="CG254" s="113"/>
      <c r="CH254" s="113"/>
      <c r="CI254" s="113"/>
      <c r="CJ254" s="113"/>
      <c r="CK254" s="113"/>
      <c r="CL254" s="113"/>
      <c r="CM254" s="113"/>
      <c r="CN254" s="113"/>
      <c r="CO254" s="113"/>
      <c r="CP254" s="113"/>
      <c r="CQ254" s="113"/>
      <c r="CR254" s="113"/>
      <c r="CS254" s="113"/>
      <c r="CT254" s="113"/>
      <c r="CU254" s="113"/>
    </row>
    <row r="255">
      <c r="A255" s="159" t="str">
        <f>IFERROR(__xludf.DUMMYFUNCTION("""COMPUTED_VALUE"""),"G-3")</f>
        <v>G-3</v>
      </c>
      <c r="B255" s="113" t="str">
        <f>IFERROR(__xludf.DUMMYFUNCTION("""COMPUTED_VALUE"""),"Rick")</f>
        <v>Rick</v>
      </c>
      <c r="C255" s="113" t="str">
        <f>IFERROR(__xludf.DUMMYFUNCTION("""COMPUTED_VALUE"""),"Sayen")</f>
        <v>Sayen</v>
      </c>
      <c r="D255" s="158">
        <f>IFERROR(__xludf.DUMMYFUNCTION("""COMPUTED_VALUE"""),1028.0)</f>
        <v>1028</v>
      </c>
      <c r="E255" s="161">
        <f t="shared" si="1"/>
        <v>8</v>
      </c>
      <c r="F255" s="160">
        <f>COUNTIFS('Scores Import DO NOT EDIT'!C:C, D255,'Scores Import DO NOT EDIT'!M:M,A255)</f>
        <v>8</v>
      </c>
      <c r="G255" s="162">
        <f t="shared" si="2"/>
        <v>1</v>
      </c>
      <c r="H255" s="163" t="str">
        <f t="shared" si="3"/>
        <v>G-31028</v>
      </c>
      <c r="I255" s="113"/>
      <c r="J255" s="113"/>
      <c r="K255" s="113"/>
      <c r="L255" s="158"/>
      <c r="M255" s="166" t="s">
        <v>338</v>
      </c>
      <c r="N255" s="113"/>
      <c r="O255" s="113"/>
      <c r="P255" s="113"/>
      <c r="Q255" s="113"/>
      <c r="R255" s="113"/>
      <c r="S255" s="113"/>
      <c r="T255" s="113"/>
      <c r="U255" s="113"/>
      <c r="V255" s="113"/>
      <c r="W255" s="113"/>
      <c r="X255" s="113"/>
      <c r="Y255" s="113"/>
      <c r="Z255" s="113"/>
      <c r="AA255" s="113"/>
      <c r="AB255" s="113"/>
      <c r="AC255" s="113"/>
      <c r="AD255" s="113"/>
      <c r="AE255" s="113"/>
      <c r="AF255" s="113"/>
      <c r="AG255" s="113"/>
      <c r="AH255" s="113"/>
      <c r="AI255" s="113"/>
      <c r="AJ255" s="113"/>
      <c r="AK255" s="113"/>
      <c r="AL255" s="113"/>
      <c r="AM255" s="113"/>
      <c r="AN255" s="113"/>
      <c r="AO255" s="113"/>
      <c r="AP255" s="113"/>
      <c r="AQ255" s="113"/>
      <c r="AR255" s="113"/>
      <c r="AS255" s="113"/>
      <c r="AT255" s="113"/>
      <c r="AU255" s="113"/>
      <c r="AV255" s="113"/>
      <c r="AW255" s="113"/>
      <c r="AX255" s="113"/>
      <c r="AY255" s="113"/>
      <c r="AZ255" s="113"/>
      <c r="BA255" s="113"/>
      <c r="BB255" s="113"/>
      <c r="BC255" s="113"/>
      <c r="BD255" s="113"/>
      <c r="BE255" s="113"/>
      <c r="BF255" s="113"/>
      <c r="BG255" s="113"/>
      <c r="BH255" s="113"/>
      <c r="BI255" s="113"/>
      <c r="BJ255" s="113"/>
      <c r="BK255" s="113"/>
      <c r="BL255" s="113"/>
      <c r="BM255" s="113"/>
      <c r="BN255" s="113"/>
      <c r="BO255" s="113"/>
      <c r="BP255" s="113"/>
      <c r="BQ255" s="113"/>
      <c r="BR255" s="113"/>
      <c r="BS255" s="113"/>
      <c r="BT255" s="113"/>
      <c r="BU255" s="113"/>
      <c r="BV255" s="113"/>
      <c r="BW255" s="113"/>
      <c r="BX255" s="113"/>
      <c r="BY255" s="113"/>
      <c r="BZ255" s="113"/>
      <c r="CA255" s="113"/>
      <c r="CB255" s="113"/>
      <c r="CC255" s="113"/>
      <c r="CD255" s="113"/>
      <c r="CE255" s="113"/>
      <c r="CF255" s="113"/>
      <c r="CG255" s="113"/>
      <c r="CH255" s="113"/>
      <c r="CI255" s="113"/>
      <c r="CJ255" s="113"/>
      <c r="CK255" s="113"/>
      <c r="CL255" s="113"/>
      <c r="CM255" s="113"/>
      <c r="CN255" s="113"/>
      <c r="CO255" s="113"/>
      <c r="CP255" s="113"/>
      <c r="CQ255" s="113"/>
      <c r="CR255" s="113"/>
      <c r="CS255" s="113"/>
      <c r="CT255" s="113"/>
      <c r="CU255" s="113"/>
    </row>
    <row r="256">
      <c r="A256" s="159" t="str">
        <f>IFERROR(__xludf.DUMMYFUNCTION("""COMPUTED_VALUE"""),"G-3")</f>
        <v>G-3</v>
      </c>
      <c r="B256" s="113" t="str">
        <f>IFERROR(__xludf.DUMMYFUNCTION("""COMPUTED_VALUE"""),"Brittany")</f>
        <v>Brittany</v>
      </c>
      <c r="C256" s="113" t="str">
        <f>IFERROR(__xludf.DUMMYFUNCTION("""COMPUTED_VALUE"""),"Logan")</f>
        <v>Logan</v>
      </c>
      <c r="D256" s="158">
        <f>IFERROR(__xludf.DUMMYFUNCTION("""COMPUTED_VALUE"""),1145.0)</f>
        <v>1145</v>
      </c>
      <c r="E256" s="161">
        <f t="shared" si="1"/>
        <v>8</v>
      </c>
      <c r="F256" s="160">
        <f>COUNTIFS('Scores Import DO NOT EDIT'!C:C, D256,'Scores Import DO NOT EDIT'!M:M,A256)</f>
        <v>0</v>
      </c>
      <c r="G256" s="162">
        <f t="shared" si="2"/>
        <v>0</v>
      </c>
      <c r="H256" s="163" t="str">
        <f t="shared" si="3"/>
        <v>G-31145</v>
      </c>
      <c r="I256" s="113"/>
      <c r="J256" s="113"/>
      <c r="K256" s="113"/>
      <c r="L256" s="158"/>
      <c r="M256" s="166" t="s">
        <v>341</v>
      </c>
      <c r="N256" s="113"/>
      <c r="O256" s="113"/>
      <c r="P256" s="113"/>
      <c r="Q256" s="113"/>
      <c r="R256" s="113"/>
      <c r="S256" s="113"/>
      <c r="T256" s="113"/>
      <c r="U256" s="113"/>
      <c r="V256" s="113"/>
      <c r="W256" s="113"/>
      <c r="X256" s="113"/>
      <c r="Y256" s="113"/>
      <c r="Z256" s="113"/>
      <c r="AA256" s="113"/>
      <c r="AB256" s="113"/>
      <c r="AC256" s="113"/>
      <c r="AD256" s="113"/>
      <c r="AE256" s="113"/>
      <c r="AF256" s="113"/>
      <c r="AG256" s="113"/>
      <c r="AH256" s="113"/>
      <c r="AI256" s="113"/>
      <c r="AJ256" s="113"/>
      <c r="AK256" s="113"/>
      <c r="AL256" s="113"/>
      <c r="AM256" s="113"/>
      <c r="AN256" s="113"/>
      <c r="AO256" s="113"/>
      <c r="AP256" s="113"/>
      <c r="AQ256" s="113"/>
      <c r="AR256" s="113"/>
      <c r="AS256" s="113"/>
      <c r="AT256" s="113"/>
      <c r="AU256" s="113"/>
      <c r="AV256" s="113"/>
      <c r="AW256" s="113"/>
      <c r="AX256" s="113"/>
      <c r="AY256" s="113"/>
      <c r="AZ256" s="113"/>
      <c r="BA256" s="113"/>
      <c r="BB256" s="113"/>
      <c r="BC256" s="113"/>
      <c r="BD256" s="113"/>
      <c r="BE256" s="113"/>
      <c r="BF256" s="113"/>
      <c r="BG256" s="113"/>
      <c r="BH256" s="113"/>
      <c r="BI256" s="113"/>
      <c r="BJ256" s="113"/>
      <c r="BK256" s="113"/>
      <c r="BL256" s="113"/>
      <c r="BM256" s="113"/>
      <c r="BN256" s="113"/>
      <c r="BO256" s="113"/>
      <c r="BP256" s="113"/>
      <c r="BQ256" s="113"/>
      <c r="BR256" s="113"/>
      <c r="BS256" s="113"/>
      <c r="BT256" s="113"/>
      <c r="BU256" s="113"/>
      <c r="BV256" s="113"/>
      <c r="BW256" s="113"/>
      <c r="BX256" s="113"/>
      <c r="BY256" s="113"/>
      <c r="BZ256" s="113"/>
      <c r="CA256" s="113"/>
      <c r="CB256" s="113"/>
      <c r="CC256" s="113"/>
      <c r="CD256" s="113"/>
      <c r="CE256" s="113"/>
      <c r="CF256" s="113"/>
      <c r="CG256" s="113"/>
      <c r="CH256" s="113"/>
      <c r="CI256" s="113"/>
      <c r="CJ256" s="113"/>
      <c r="CK256" s="113"/>
      <c r="CL256" s="113"/>
      <c r="CM256" s="113"/>
      <c r="CN256" s="113"/>
      <c r="CO256" s="113"/>
      <c r="CP256" s="113"/>
      <c r="CQ256" s="113"/>
      <c r="CR256" s="113"/>
      <c r="CS256" s="113"/>
      <c r="CT256" s="113"/>
      <c r="CU256" s="113"/>
    </row>
    <row r="257">
      <c r="A257" s="159" t="str">
        <f>IFERROR(__xludf.DUMMYFUNCTION("""COMPUTED_VALUE"""),"G-3")</f>
        <v>G-3</v>
      </c>
      <c r="B257" s="113" t="str">
        <f>IFERROR(__xludf.DUMMYFUNCTION("""COMPUTED_VALUE"""),"Richard")</f>
        <v>Richard</v>
      </c>
      <c r="C257" s="113" t="str">
        <f>IFERROR(__xludf.DUMMYFUNCTION("""COMPUTED_VALUE"""),"Cripps")</f>
        <v>Cripps</v>
      </c>
      <c r="D257" s="158">
        <f>IFERROR(__xludf.DUMMYFUNCTION("""COMPUTED_VALUE"""),1069.0)</f>
        <v>1069</v>
      </c>
      <c r="E257" s="161">
        <f t="shared" si="1"/>
        <v>8</v>
      </c>
      <c r="F257" s="160">
        <f>COUNTIFS('Scores Import DO NOT EDIT'!C:C, D257,'Scores Import DO NOT EDIT'!M:M,A257)</f>
        <v>8</v>
      </c>
      <c r="G257" s="162">
        <f t="shared" si="2"/>
        <v>1</v>
      </c>
      <c r="H257" s="163" t="str">
        <f t="shared" si="3"/>
        <v>G-31069</v>
      </c>
      <c r="I257" s="113"/>
      <c r="J257" s="113"/>
      <c r="K257" s="113"/>
      <c r="L257" s="158"/>
      <c r="M257" s="166" t="s">
        <v>340</v>
      </c>
      <c r="N257" s="113"/>
      <c r="O257" s="113"/>
      <c r="P257" s="113"/>
      <c r="Q257" s="113"/>
      <c r="R257" s="113"/>
      <c r="S257" s="113"/>
      <c r="T257" s="113"/>
      <c r="U257" s="113"/>
      <c r="V257" s="113"/>
      <c r="W257" s="113"/>
      <c r="X257" s="113"/>
      <c r="Y257" s="113"/>
      <c r="Z257" s="113"/>
      <c r="AA257" s="113"/>
      <c r="AB257" s="113"/>
      <c r="AC257" s="113"/>
      <c r="AD257" s="113"/>
      <c r="AE257" s="113"/>
      <c r="AF257" s="113"/>
      <c r="AG257" s="113"/>
      <c r="AH257" s="113"/>
      <c r="AI257" s="113"/>
      <c r="AJ257" s="113"/>
      <c r="AK257" s="113"/>
      <c r="AL257" s="113"/>
      <c r="AM257" s="113"/>
      <c r="AN257" s="113"/>
      <c r="AO257" s="113"/>
      <c r="AP257" s="113"/>
      <c r="AQ257" s="113"/>
      <c r="AR257" s="113"/>
      <c r="AS257" s="113"/>
      <c r="AT257" s="113"/>
      <c r="AU257" s="113"/>
      <c r="AV257" s="113"/>
      <c r="AW257" s="113"/>
      <c r="AX257" s="113"/>
      <c r="AY257" s="113"/>
      <c r="AZ257" s="113"/>
      <c r="BA257" s="113"/>
      <c r="BB257" s="113"/>
      <c r="BC257" s="113"/>
      <c r="BD257" s="113"/>
      <c r="BE257" s="113"/>
      <c r="BF257" s="113"/>
      <c r="BG257" s="113"/>
      <c r="BH257" s="113"/>
      <c r="BI257" s="113"/>
      <c r="BJ257" s="113"/>
      <c r="BK257" s="113"/>
      <c r="BL257" s="113"/>
      <c r="BM257" s="113"/>
      <c r="BN257" s="113"/>
      <c r="BO257" s="113"/>
      <c r="BP257" s="113"/>
      <c r="BQ257" s="113"/>
      <c r="BR257" s="113"/>
      <c r="BS257" s="113"/>
      <c r="BT257" s="113"/>
      <c r="BU257" s="113"/>
      <c r="BV257" s="113"/>
      <c r="BW257" s="113"/>
      <c r="BX257" s="113"/>
      <c r="BY257" s="113"/>
      <c r="BZ257" s="113"/>
      <c r="CA257" s="113"/>
      <c r="CB257" s="113"/>
      <c r="CC257" s="113"/>
      <c r="CD257" s="113"/>
      <c r="CE257" s="113"/>
      <c r="CF257" s="113"/>
      <c r="CG257" s="113"/>
      <c r="CH257" s="113"/>
      <c r="CI257" s="113"/>
      <c r="CJ257" s="113"/>
      <c r="CK257" s="113"/>
      <c r="CL257" s="113"/>
      <c r="CM257" s="113"/>
      <c r="CN257" s="113"/>
      <c r="CO257" s="113"/>
      <c r="CP257" s="113"/>
      <c r="CQ257" s="113"/>
      <c r="CR257" s="113"/>
      <c r="CS257" s="113"/>
      <c r="CT257" s="113"/>
      <c r="CU257" s="113"/>
    </row>
    <row r="258">
      <c r="A258" s="159" t="str">
        <f>IFERROR(__xludf.DUMMYFUNCTION("""COMPUTED_VALUE"""),"G-4")</f>
        <v>G-4</v>
      </c>
      <c r="B258" s="113" t="str">
        <f>IFERROR(__xludf.DUMMYFUNCTION("""COMPUTED_VALUE"""),"Manan")</f>
        <v>Manan</v>
      </c>
      <c r="C258" s="113" t="str">
        <f>IFERROR(__xludf.DUMMYFUNCTION("""COMPUTED_VALUE"""),"Katwala")</f>
        <v>Katwala</v>
      </c>
      <c r="D258" s="158">
        <f>IFERROR(__xludf.DUMMYFUNCTION("""COMPUTED_VALUE"""),1027.0)</f>
        <v>1027</v>
      </c>
      <c r="E258" s="161">
        <f t="shared" si="1"/>
        <v>6</v>
      </c>
      <c r="F258" s="160">
        <f>COUNTIFS('Scores Import DO NOT EDIT'!C:C, D258,'Scores Import DO NOT EDIT'!M:M,A258)</f>
        <v>4</v>
      </c>
      <c r="G258" s="162">
        <f t="shared" si="2"/>
        <v>0.6666666667</v>
      </c>
      <c r="H258" s="163" t="str">
        <f t="shared" si="3"/>
        <v>G-41027</v>
      </c>
      <c r="I258" s="113"/>
      <c r="J258" s="113"/>
      <c r="K258" s="113"/>
      <c r="L258" s="158"/>
      <c r="M258" s="166" t="s">
        <v>344</v>
      </c>
      <c r="N258" s="113"/>
      <c r="O258" s="113"/>
      <c r="P258" s="113"/>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c r="AT258" s="113"/>
      <c r="AU258" s="113"/>
      <c r="AV258" s="113"/>
      <c r="AW258" s="113"/>
      <c r="AX258" s="113"/>
      <c r="AY258" s="113"/>
      <c r="AZ258" s="113"/>
      <c r="BA258" s="113"/>
      <c r="BB258" s="113"/>
      <c r="BC258" s="113"/>
      <c r="BD258" s="113"/>
      <c r="BE258" s="113"/>
      <c r="BF258" s="113"/>
      <c r="BG258" s="113"/>
      <c r="BH258" s="113"/>
      <c r="BI258" s="113"/>
      <c r="BJ258" s="113"/>
      <c r="BK258" s="113"/>
      <c r="BL258" s="113"/>
      <c r="BM258" s="113"/>
      <c r="BN258" s="113"/>
      <c r="BO258" s="113"/>
      <c r="BP258" s="113"/>
      <c r="BQ258" s="113"/>
      <c r="BR258" s="113"/>
      <c r="BS258" s="113"/>
      <c r="BT258" s="113"/>
      <c r="BU258" s="113"/>
      <c r="BV258" s="113"/>
      <c r="BW258" s="113"/>
      <c r="BX258" s="113"/>
      <c r="BY258" s="113"/>
      <c r="BZ258" s="113"/>
      <c r="CA258" s="113"/>
      <c r="CB258" s="113"/>
      <c r="CC258" s="113"/>
      <c r="CD258" s="113"/>
      <c r="CE258" s="113"/>
      <c r="CF258" s="113"/>
      <c r="CG258" s="113"/>
      <c r="CH258" s="113"/>
      <c r="CI258" s="113"/>
      <c r="CJ258" s="113"/>
      <c r="CK258" s="113"/>
      <c r="CL258" s="113"/>
      <c r="CM258" s="113"/>
      <c r="CN258" s="113"/>
      <c r="CO258" s="113"/>
      <c r="CP258" s="113"/>
      <c r="CQ258" s="113"/>
      <c r="CR258" s="113"/>
      <c r="CS258" s="113"/>
      <c r="CT258" s="113"/>
      <c r="CU258" s="113"/>
    </row>
    <row r="259">
      <c r="A259" s="159" t="str">
        <f>IFERROR(__xludf.DUMMYFUNCTION("""COMPUTED_VALUE"""),"G-4")</f>
        <v>G-4</v>
      </c>
      <c r="B259" s="113" t="str">
        <f>IFERROR(__xludf.DUMMYFUNCTION("""COMPUTED_VALUE"""),"Jeanne")</f>
        <v>Jeanne</v>
      </c>
      <c r="C259" s="113" t="str">
        <f>IFERROR(__xludf.DUMMYFUNCTION("""COMPUTED_VALUE"""),"Stronach")</f>
        <v>Stronach</v>
      </c>
      <c r="D259" s="158">
        <f>IFERROR(__xludf.DUMMYFUNCTION("""COMPUTED_VALUE"""),1029.0)</f>
        <v>1029</v>
      </c>
      <c r="E259" s="161">
        <f t="shared" si="1"/>
        <v>6</v>
      </c>
      <c r="F259" s="160">
        <f>COUNTIFS('Scores Import DO NOT EDIT'!C:C, D259,'Scores Import DO NOT EDIT'!M:M,A259)</f>
        <v>4</v>
      </c>
      <c r="G259" s="162">
        <f t="shared" si="2"/>
        <v>0.6666666667</v>
      </c>
      <c r="H259" s="163" t="str">
        <f t="shared" si="3"/>
        <v>G-41029</v>
      </c>
      <c r="I259" s="113"/>
      <c r="J259" s="113"/>
      <c r="K259" s="113"/>
      <c r="L259" s="158"/>
      <c r="M259" s="166" t="s">
        <v>343</v>
      </c>
      <c r="N259" s="113"/>
      <c r="O259" s="113"/>
      <c r="P259" s="113"/>
      <c r="Q259" s="113"/>
      <c r="R259" s="113"/>
      <c r="S259" s="113"/>
      <c r="T259" s="113"/>
      <c r="U259" s="113"/>
      <c r="V259" s="113"/>
      <c r="W259" s="113"/>
      <c r="X259" s="113"/>
      <c r="Y259" s="113"/>
      <c r="Z259" s="113"/>
      <c r="AA259" s="113"/>
      <c r="AB259" s="113"/>
      <c r="AC259" s="113"/>
      <c r="AD259" s="113"/>
      <c r="AE259" s="113"/>
      <c r="AF259" s="113"/>
      <c r="AG259" s="113"/>
      <c r="AH259" s="113"/>
      <c r="AI259" s="113"/>
      <c r="AJ259" s="113"/>
      <c r="AK259" s="113"/>
      <c r="AL259" s="113"/>
      <c r="AM259" s="113"/>
      <c r="AN259" s="113"/>
      <c r="AO259" s="113"/>
      <c r="AP259" s="113"/>
      <c r="AQ259" s="113"/>
      <c r="AR259" s="113"/>
      <c r="AS259" s="113"/>
      <c r="AT259" s="113"/>
      <c r="AU259" s="113"/>
      <c r="AV259" s="113"/>
      <c r="AW259" s="113"/>
      <c r="AX259" s="113"/>
      <c r="AY259" s="113"/>
      <c r="AZ259" s="113"/>
      <c r="BA259" s="113"/>
      <c r="BB259" s="113"/>
      <c r="BC259" s="113"/>
      <c r="BD259" s="113"/>
      <c r="BE259" s="113"/>
      <c r="BF259" s="113"/>
      <c r="BG259" s="113"/>
      <c r="BH259" s="113"/>
      <c r="BI259" s="113"/>
      <c r="BJ259" s="113"/>
      <c r="BK259" s="113"/>
      <c r="BL259" s="113"/>
      <c r="BM259" s="113"/>
      <c r="BN259" s="113"/>
      <c r="BO259" s="113"/>
      <c r="BP259" s="113"/>
      <c r="BQ259" s="113"/>
      <c r="BR259" s="113"/>
      <c r="BS259" s="113"/>
      <c r="BT259" s="113"/>
      <c r="BU259" s="113"/>
      <c r="BV259" s="113"/>
      <c r="BW259" s="113"/>
      <c r="BX259" s="113"/>
      <c r="BY259" s="113"/>
      <c r="BZ259" s="113"/>
      <c r="CA259" s="113"/>
      <c r="CB259" s="113"/>
      <c r="CC259" s="113"/>
      <c r="CD259" s="113"/>
      <c r="CE259" s="113"/>
      <c r="CF259" s="113"/>
      <c r="CG259" s="113"/>
      <c r="CH259" s="113"/>
      <c r="CI259" s="113"/>
      <c r="CJ259" s="113"/>
      <c r="CK259" s="113"/>
      <c r="CL259" s="113"/>
      <c r="CM259" s="113"/>
      <c r="CN259" s="113"/>
      <c r="CO259" s="113"/>
      <c r="CP259" s="113"/>
      <c r="CQ259" s="113"/>
      <c r="CR259" s="113"/>
      <c r="CS259" s="113"/>
      <c r="CT259" s="113"/>
      <c r="CU259" s="113"/>
    </row>
    <row r="260">
      <c r="A260" s="159" t="str">
        <f>IFERROR(__xludf.DUMMYFUNCTION("""COMPUTED_VALUE"""),"G-4")</f>
        <v>G-4</v>
      </c>
      <c r="B260" s="113" t="str">
        <f>IFERROR(__xludf.DUMMYFUNCTION("""COMPUTED_VALUE"""),"Sahar")</f>
        <v>Sahar</v>
      </c>
      <c r="C260" s="113" t="str">
        <f>IFERROR(__xludf.DUMMYFUNCTION("""COMPUTED_VALUE"""),"Ghanipoor Machiani")</f>
        <v>Ghanipoor Machiani</v>
      </c>
      <c r="D260" s="158">
        <f>IFERROR(__xludf.DUMMYFUNCTION("""COMPUTED_VALUE"""),1083.0)</f>
        <v>1083</v>
      </c>
      <c r="E260" s="161">
        <f t="shared" si="1"/>
        <v>6</v>
      </c>
      <c r="F260" s="160">
        <f>COUNTIFS('Scores Import DO NOT EDIT'!C:C, D260,'Scores Import DO NOT EDIT'!M:M,A260)</f>
        <v>4</v>
      </c>
      <c r="G260" s="162">
        <f t="shared" si="2"/>
        <v>0.6666666667</v>
      </c>
      <c r="H260" s="163" t="str">
        <f t="shared" si="3"/>
        <v>G-41083</v>
      </c>
      <c r="I260" s="113"/>
      <c r="J260" s="113"/>
      <c r="K260" s="113"/>
      <c r="L260" s="158"/>
      <c r="M260" s="166" t="s">
        <v>349</v>
      </c>
      <c r="N260" s="113"/>
      <c r="O260" s="113"/>
      <c r="P260" s="113"/>
      <c r="Q260" s="113"/>
      <c r="R260" s="113"/>
      <c r="S260" s="113"/>
      <c r="T260" s="113"/>
      <c r="U260" s="113"/>
      <c r="V260" s="113"/>
      <c r="W260" s="113"/>
      <c r="X260" s="113"/>
      <c r="Y260" s="113"/>
      <c r="Z260" s="113"/>
      <c r="AA260" s="113"/>
      <c r="AB260" s="113"/>
      <c r="AC260" s="113"/>
      <c r="AD260" s="113"/>
      <c r="AE260" s="113"/>
      <c r="AF260" s="113"/>
      <c r="AG260" s="113"/>
      <c r="AH260" s="113"/>
      <c r="AI260" s="113"/>
      <c r="AJ260" s="113"/>
      <c r="AK260" s="113"/>
      <c r="AL260" s="113"/>
      <c r="AM260" s="113"/>
      <c r="AN260" s="113"/>
      <c r="AO260" s="113"/>
      <c r="AP260" s="113"/>
      <c r="AQ260" s="113"/>
      <c r="AR260" s="113"/>
      <c r="AS260" s="113"/>
      <c r="AT260" s="113"/>
      <c r="AU260" s="113"/>
      <c r="AV260" s="113"/>
      <c r="AW260" s="113"/>
      <c r="AX260" s="113"/>
      <c r="AY260" s="113"/>
      <c r="AZ260" s="113"/>
      <c r="BA260" s="113"/>
      <c r="BB260" s="113"/>
      <c r="BC260" s="113"/>
      <c r="BD260" s="113"/>
      <c r="BE260" s="113"/>
      <c r="BF260" s="113"/>
      <c r="BG260" s="113"/>
      <c r="BH260" s="113"/>
      <c r="BI260" s="113"/>
      <c r="BJ260" s="113"/>
      <c r="BK260" s="113"/>
      <c r="BL260" s="113"/>
      <c r="BM260" s="113"/>
      <c r="BN260" s="113"/>
      <c r="BO260" s="113"/>
      <c r="BP260" s="113"/>
      <c r="BQ260" s="113"/>
      <c r="BR260" s="113"/>
      <c r="BS260" s="113"/>
      <c r="BT260" s="113"/>
      <c r="BU260" s="113"/>
      <c r="BV260" s="113"/>
      <c r="BW260" s="113"/>
      <c r="BX260" s="113"/>
      <c r="BY260" s="113"/>
      <c r="BZ260" s="113"/>
      <c r="CA260" s="113"/>
      <c r="CB260" s="113"/>
      <c r="CC260" s="113"/>
      <c r="CD260" s="113"/>
      <c r="CE260" s="113"/>
      <c r="CF260" s="113"/>
      <c r="CG260" s="113"/>
      <c r="CH260" s="113"/>
      <c r="CI260" s="113"/>
      <c r="CJ260" s="113"/>
      <c r="CK260" s="113"/>
      <c r="CL260" s="113"/>
      <c r="CM260" s="113"/>
      <c r="CN260" s="113"/>
      <c r="CO260" s="113"/>
      <c r="CP260" s="113"/>
      <c r="CQ260" s="113"/>
      <c r="CR260" s="113"/>
      <c r="CS260" s="113"/>
      <c r="CT260" s="113"/>
      <c r="CU260" s="113"/>
    </row>
    <row r="261">
      <c r="A261" s="159" t="str">
        <f>IFERROR(__xludf.DUMMYFUNCTION("""COMPUTED_VALUE"""),"G-4")</f>
        <v>G-4</v>
      </c>
      <c r="B261" s="113" t="str">
        <f>IFERROR(__xludf.DUMMYFUNCTION("""COMPUTED_VALUE"""),"Johnny")</f>
        <v>Johnny</v>
      </c>
      <c r="C261" s="113" t="str">
        <f>IFERROR(__xludf.DUMMYFUNCTION("""COMPUTED_VALUE"""),"McMillan")</f>
        <v>McMillan</v>
      </c>
      <c r="D261" s="158">
        <f>IFERROR(__xludf.DUMMYFUNCTION("""COMPUTED_VALUE"""),1009.0)</f>
        <v>1009</v>
      </c>
      <c r="E261" s="161">
        <f t="shared" si="1"/>
        <v>6</v>
      </c>
      <c r="F261" s="160">
        <f>COUNTIFS('Scores Import DO NOT EDIT'!C:C, D261,'Scores Import DO NOT EDIT'!M:M,A261)</f>
        <v>4</v>
      </c>
      <c r="G261" s="162">
        <f t="shared" si="2"/>
        <v>0.6666666667</v>
      </c>
      <c r="H261" s="163" t="str">
        <f t="shared" si="3"/>
        <v>G-41009</v>
      </c>
      <c r="I261" s="113"/>
      <c r="J261" s="113"/>
      <c r="K261" s="113"/>
      <c r="L261" s="158"/>
      <c r="M261" s="166" t="s">
        <v>345</v>
      </c>
      <c r="N261" s="113"/>
      <c r="O261" s="113"/>
      <c r="P261" s="113"/>
      <c r="Q261" s="113"/>
      <c r="R261" s="113"/>
      <c r="S261" s="113"/>
      <c r="T261" s="113"/>
      <c r="U261" s="113"/>
      <c r="V261" s="113"/>
      <c r="W261" s="113"/>
      <c r="X261" s="113"/>
      <c r="Y261" s="113"/>
      <c r="Z261" s="113"/>
      <c r="AA261" s="113"/>
      <c r="AB261" s="113"/>
      <c r="AC261" s="113"/>
      <c r="AD261" s="113"/>
      <c r="AE261" s="113"/>
      <c r="AF261" s="113"/>
      <c r="AG261" s="113"/>
      <c r="AH261" s="113"/>
      <c r="AI261" s="113"/>
      <c r="AJ261" s="113"/>
      <c r="AK261" s="113"/>
      <c r="AL261" s="113"/>
      <c r="AM261" s="113"/>
      <c r="AN261" s="113"/>
      <c r="AO261" s="113"/>
      <c r="AP261" s="113"/>
      <c r="AQ261" s="113"/>
      <c r="AR261" s="113"/>
      <c r="AS261" s="113"/>
      <c r="AT261" s="113"/>
      <c r="AU261" s="113"/>
      <c r="AV261" s="113"/>
      <c r="AW261" s="113"/>
      <c r="AX261" s="113"/>
      <c r="AY261" s="113"/>
      <c r="AZ261" s="113"/>
      <c r="BA261" s="113"/>
      <c r="BB261" s="113"/>
      <c r="BC261" s="113"/>
      <c r="BD261" s="113"/>
      <c r="BE261" s="113"/>
      <c r="BF261" s="113"/>
      <c r="BG261" s="113"/>
      <c r="BH261" s="113"/>
      <c r="BI261" s="113"/>
      <c r="BJ261" s="113"/>
      <c r="BK261" s="113"/>
      <c r="BL261" s="113"/>
      <c r="BM261" s="113"/>
      <c r="BN261" s="113"/>
      <c r="BO261" s="113"/>
      <c r="BP261" s="113"/>
      <c r="BQ261" s="113"/>
      <c r="BR261" s="113"/>
      <c r="BS261" s="113"/>
      <c r="BT261" s="113"/>
      <c r="BU261" s="113"/>
      <c r="BV261" s="113"/>
      <c r="BW261" s="113"/>
      <c r="BX261" s="113"/>
      <c r="BY261" s="113"/>
      <c r="BZ261" s="113"/>
      <c r="CA261" s="113"/>
      <c r="CB261" s="113"/>
      <c r="CC261" s="113"/>
      <c r="CD261" s="113"/>
      <c r="CE261" s="113"/>
      <c r="CF261" s="113"/>
      <c r="CG261" s="113"/>
      <c r="CH261" s="113"/>
      <c r="CI261" s="113"/>
      <c r="CJ261" s="113"/>
      <c r="CK261" s="113"/>
      <c r="CL261" s="113"/>
      <c r="CM261" s="113"/>
      <c r="CN261" s="113"/>
      <c r="CO261" s="113"/>
      <c r="CP261" s="113"/>
      <c r="CQ261" s="113"/>
      <c r="CR261" s="113"/>
      <c r="CS261" s="113"/>
      <c r="CT261" s="113"/>
      <c r="CU261" s="113"/>
    </row>
    <row r="262">
      <c r="A262" s="159" t="str">
        <f>IFERROR(__xludf.DUMMYFUNCTION("""COMPUTED_VALUE"""),"G-4")</f>
        <v>G-4</v>
      </c>
      <c r="B262" s="113" t="str">
        <f>IFERROR(__xludf.DUMMYFUNCTION("""COMPUTED_VALUE"""),"Hanyang")</f>
        <v>Hanyang</v>
      </c>
      <c r="C262" s="113" t="str">
        <f>IFERROR(__xludf.DUMMYFUNCTION("""COMPUTED_VALUE"""),"Li")</f>
        <v>Li</v>
      </c>
      <c r="D262" s="158">
        <f>IFERROR(__xludf.DUMMYFUNCTION("""COMPUTED_VALUE"""),1088.0)</f>
        <v>1088</v>
      </c>
      <c r="E262" s="161">
        <f t="shared" si="1"/>
        <v>6</v>
      </c>
      <c r="F262" s="160">
        <f>COUNTIFS('Scores Import DO NOT EDIT'!C:C, D262,'Scores Import DO NOT EDIT'!M:M,A262)</f>
        <v>0</v>
      </c>
      <c r="G262" s="162">
        <f t="shared" si="2"/>
        <v>0</v>
      </c>
      <c r="H262" s="163" t="str">
        <f t="shared" si="3"/>
        <v>G-41088</v>
      </c>
      <c r="I262" s="113"/>
      <c r="J262" s="113"/>
      <c r="K262" s="113"/>
      <c r="L262" s="158"/>
      <c r="M262" s="166" t="s">
        <v>348</v>
      </c>
      <c r="N262" s="113"/>
      <c r="O262" s="113"/>
      <c r="P262" s="113"/>
      <c r="Q262" s="113"/>
      <c r="R262" s="113"/>
      <c r="S262" s="113"/>
      <c r="T262" s="113"/>
      <c r="U262" s="113"/>
      <c r="V262" s="113"/>
      <c r="W262" s="113"/>
      <c r="X262" s="113"/>
      <c r="Y262" s="113"/>
      <c r="Z262" s="113"/>
      <c r="AA262" s="113"/>
      <c r="AB262" s="113"/>
      <c r="AC262" s="113"/>
      <c r="AD262" s="113"/>
      <c r="AE262" s="113"/>
      <c r="AF262" s="113"/>
      <c r="AG262" s="113"/>
      <c r="AH262" s="113"/>
      <c r="AI262" s="113"/>
      <c r="AJ262" s="113"/>
      <c r="AK262" s="113"/>
      <c r="AL262" s="113"/>
      <c r="AM262" s="113"/>
      <c r="AN262" s="113"/>
      <c r="AO262" s="113"/>
      <c r="AP262" s="113"/>
      <c r="AQ262" s="113"/>
      <c r="AR262" s="113"/>
      <c r="AS262" s="113"/>
      <c r="AT262" s="113"/>
      <c r="AU262" s="113"/>
      <c r="AV262" s="113"/>
      <c r="AW262" s="113"/>
      <c r="AX262" s="113"/>
      <c r="AY262" s="113"/>
      <c r="AZ262" s="113"/>
      <c r="BA262" s="113"/>
      <c r="BB262" s="113"/>
      <c r="BC262" s="113"/>
      <c r="BD262" s="113"/>
      <c r="BE262" s="113"/>
      <c r="BF262" s="113"/>
      <c r="BG262" s="113"/>
      <c r="BH262" s="113"/>
      <c r="BI262" s="113"/>
      <c r="BJ262" s="113"/>
      <c r="BK262" s="113"/>
      <c r="BL262" s="113"/>
      <c r="BM262" s="113"/>
      <c r="BN262" s="113"/>
      <c r="BO262" s="113"/>
      <c r="BP262" s="113"/>
      <c r="BQ262" s="113"/>
      <c r="BR262" s="113"/>
      <c r="BS262" s="113"/>
      <c r="BT262" s="113"/>
      <c r="BU262" s="113"/>
      <c r="BV262" s="113"/>
      <c r="BW262" s="113"/>
      <c r="BX262" s="113"/>
      <c r="BY262" s="113"/>
      <c r="BZ262" s="113"/>
      <c r="CA262" s="113"/>
      <c r="CB262" s="113"/>
      <c r="CC262" s="113"/>
      <c r="CD262" s="113"/>
      <c r="CE262" s="113"/>
      <c r="CF262" s="113"/>
      <c r="CG262" s="113"/>
      <c r="CH262" s="113"/>
      <c r="CI262" s="113"/>
      <c r="CJ262" s="113"/>
      <c r="CK262" s="113"/>
      <c r="CL262" s="113"/>
      <c r="CM262" s="113"/>
      <c r="CN262" s="113"/>
      <c r="CO262" s="113"/>
      <c r="CP262" s="113"/>
      <c r="CQ262" s="113"/>
      <c r="CR262" s="113"/>
      <c r="CS262" s="113"/>
      <c r="CT262" s="113"/>
      <c r="CU262" s="113"/>
    </row>
    <row r="263">
      <c r="A263" s="159" t="str">
        <f>IFERROR(__xludf.DUMMYFUNCTION("""COMPUTED_VALUE"""),"G-5")</f>
        <v>G-5</v>
      </c>
      <c r="B263" s="113" t="str">
        <f>IFERROR(__xludf.DUMMYFUNCTION("""COMPUTED_VALUE"""),"Melad")</f>
        <v>Melad</v>
      </c>
      <c r="C263" s="113" t="str">
        <f>IFERROR(__xludf.DUMMYFUNCTION("""COMPUTED_VALUE"""),"Shaikh")</f>
        <v>Shaikh</v>
      </c>
      <c r="D263" s="158">
        <f>IFERROR(__xludf.DUMMYFUNCTION("""COMPUTED_VALUE"""),1165.0)</f>
        <v>1165</v>
      </c>
      <c r="E263" s="161">
        <f t="shared" si="1"/>
        <v>7</v>
      </c>
      <c r="F263" s="160">
        <f>COUNTIFS('Scores Import DO NOT EDIT'!C:C, D263,'Scores Import DO NOT EDIT'!M:M,A263)</f>
        <v>5</v>
      </c>
      <c r="G263" s="162">
        <f t="shared" si="2"/>
        <v>0.7142857143</v>
      </c>
      <c r="H263" s="163" t="str">
        <f t="shared" si="3"/>
        <v>G-51165</v>
      </c>
      <c r="I263" s="113"/>
      <c r="J263" s="113"/>
      <c r="K263" s="113"/>
      <c r="L263" s="158"/>
      <c r="M263" s="166" t="s">
        <v>352</v>
      </c>
      <c r="N263" s="113"/>
      <c r="O263" s="113"/>
      <c r="P263" s="113"/>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c r="AT263" s="113"/>
      <c r="AU263" s="113"/>
      <c r="AV263" s="113"/>
      <c r="AW263" s="113"/>
      <c r="AX263" s="113"/>
      <c r="AY263" s="113"/>
      <c r="AZ263" s="113"/>
      <c r="BA263" s="113"/>
      <c r="BB263" s="113"/>
      <c r="BC263" s="113"/>
      <c r="BD263" s="113"/>
      <c r="BE263" s="113"/>
      <c r="BF263" s="113"/>
      <c r="BG263" s="113"/>
      <c r="BH263" s="113"/>
      <c r="BI263" s="113"/>
      <c r="BJ263" s="113"/>
      <c r="BK263" s="113"/>
      <c r="BL263" s="113"/>
      <c r="BM263" s="113"/>
      <c r="BN263" s="113"/>
      <c r="BO263" s="113"/>
      <c r="BP263" s="113"/>
      <c r="BQ263" s="113"/>
      <c r="BR263" s="113"/>
      <c r="BS263" s="113"/>
      <c r="BT263" s="113"/>
      <c r="BU263" s="113"/>
      <c r="BV263" s="113"/>
      <c r="BW263" s="113"/>
      <c r="BX263" s="113"/>
      <c r="BY263" s="113"/>
      <c r="BZ263" s="113"/>
      <c r="CA263" s="113"/>
      <c r="CB263" s="113"/>
      <c r="CC263" s="113"/>
      <c r="CD263" s="113"/>
      <c r="CE263" s="113"/>
      <c r="CF263" s="113"/>
      <c r="CG263" s="113"/>
      <c r="CH263" s="113"/>
      <c r="CI263" s="113"/>
      <c r="CJ263" s="113"/>
      <c r="CK263" s="113"/>
      <c r="CL263" s="113"/>
      <c r="CM263" s="113"/>
      <c r="CN263" s="113"/>
      <c r="CO263" s="113"/>
      <c r="CP263" s="113"/>
      <c r="CQ263" s="113"/>
      <c r="CR263" s="113"/>
      <c r="CS263" s="113"/>
      <c r="CT263" s="113"/>
      <c r="CU263" s="113"/>
    </row>
    <row r="264">
      <c r="A264" s="159" t="str">
        <f>IFERROR(__xludf.DUMMYFUNCTION("""COMPUTED_VALUE"""),"G-5")</f>
        <v>G-5</v>
      </c>
      <c r="B264" s="113" t="str">
        <f>IFERROR(__xludf.DUMMYFUNCTION("""COMPUTED_VALUE"""),"Jeffrey")</f>
        <v>Jeffrey</v>
      </c>
      <c r="C264" s="113" t="str">
        <f>IFERROR(__xludf.DUMMYFUNCTION("""COMPUTED_VALUE"""),"Gustafson")</f>
        <v>Gustafson</v>
      </c>
      <c r="D264" s="158">
        <f>IFERROR(__xludf.DUMMYFUNCTION("""COMPUTED_VALUE"""),1205.0)</f>
        <v>1205</v>
      </c>
      <c r="E264" s="161">
        <f t="shared" si="1"/>
        <v>7</v>
      </c>
      <c r="F264" s="160">
        <f>COUNTIFS('Scores Import DO NOT EDIT'!C:C, D264,'Scores Import DO NOT EDIT'!M:M,A264)</f>
        <v>5</v>
      </c>
      <c r="G264" s="162">
        <f t="shared" si="2"/>
        <v>0.7142857143</v>
      </c>
      <c r="H264" s="163" t="str">
        <f t="shared" si="3"/>
        <v>G-51205</v>
      </c>
      <c r="I264" s="113"/>
      <c r="J264" s="113"/>
      <c r="K264" s="113"/>
      <c r="L264" s="158"/>
      <c r="M264" s="166" t="s">
        <v>351</v>
      </c>
      <c r="N264" s="113"/>
      <c r="O264" s="113"/>
      <c r="P264" s="113"/>
      <c r="Q264" s="113"/>
      <c r="R264" s="113"/>
      <c r="S264" s="113"/>
      <c r="T264" s="113"/>
      <c r="U264" s="113"/>
      <c r="V264" s="113"/>
      <c r="W264" s="113"/>
      <c r="X264" s="113"/>
      <c r="Y264" s="113"/>
      <c r="Z264" s="113"/>
      <c r="AA264" s="113"/>
      <c r="AB264" s="113"/>
      <c r="AC264" s="113"/>
      <c r="AD264" s="113"/>
      <c r="AE264" s="113"/>
      <c r="AF264" s="113"/>
      <c r="AG264" s="113"/>
      <c r="AH264" s="113"/>
      <c r="AI264" s="113"/>
      <c r="AJ264" s="113"/>
      <c r="AK264" s="113"/>
      <c r="AL264" s="113"/>
      <c r="AM264" s="113"/>
      <c r="AN264" s="113"/>
      <c r="AO264" s="113"/>
      <c r="AP264" s="113"/>
      <c r="AQ264" s="113"/>
      <c r="AR264" s="113"/>
      <c r="AS264" s="113"/>
      <c r="AT264" s="113"/>
      <c r="AU264" s="113"/>
      <c r="AV264" s="113"/>
      <c r="AW264" s="113"/>
      <c r="AX264" s="113"/>
      <c r="AY264" s="113"/>
      <c r="AZ264" s="113"/>
      <c r="BA264" s="113"/>
      <c r="BB264" s="113"/>
      <c r="BC264" s="113"/>
      <c r="BD264" s="113"/>
      <c r="BE264" s="113"/>
      <c r="BF264" s="113"/>
      <c r="BG264" s="113"/>
      <c r="BH264" s="113"/>
      <c r="BI264" s="113"/>
      <c r="BJ264" s="113"/>
      <c r="BK264" s="113"/>
      <c r="BL264" s="113"/>
      <c r="BM264" s="113"/>
      <c r="BN264" s="113"/>
      <c r="BO264" s="113"/>
      <c r="BP264" s="113"/>
      <c r="BQ264" s="113"/>
      <c r="BR264" s="113"/>
      <c r="BS264" s="113"/>
      <c r="BT264" s="113"/>
      <c r="BU264" s="113"/>
      <c r="BV264" s="113"/>
      <c r="BW264" s="113"/>
      <c r="BX264" s="113"/>
      <c r="BY264" s="113"/>
      <c r="BZ264" s="113"/>
      <c r="CA264" s="113"/>
      <c r="CB264" s="113"/>
      <c r="CC264" s="113"/>
      <c r="CD264" s="113"/>
      <c r="CE264" s="113"/>
      <c r="CF264" s="113"/>
      <c r="CG264" s="113"/>
      <c r="CH264" s="113"/>
      <c r="CI264" s="113"/>
      <c r="CJ264" s="113"/>
      <c r="CK264" s="113"/>
      <c r="CL264" s="113"/>
      <c r="CM264" s="113"/>
      <c r="CN264" s="113"/>
      <c r="CO264" s="113"/>
      <c r="CP264" s="113"/>
      <c r="CQ264" s="113"/>
      <c r="CR264" s="113"/>
      <c r="CS264" s="113"/>
      <c r="CT264" s="113"/>
      <c r="CU264" s="113"/>
    </row>
    <row r="265">
      <c r="A265" s="159" t="str">
        <f>IFERROR(__xludf.DUMMYFUNCTION("""COMPUTED_VALUE"""),"G-5")</f>
        <v>G-5</v>
      </c>
      <c r="B265" s="113" t="str">
        <f>IFERROR(__xludf.DUMMYFUNCTION("""COMPUTED_VALUE"""),"Lance")</f>
        <v>Lance</v>
      </c>
      <c r="C265" s="113" t="str">
        <f>IFERROR(__xludf.DUMMYFUNCTION("""COMPUTED_VALUE"""),"Elliott")</f>
        <v>Elliott</v>
      </c>
      <c r="D265" s="158">
        <f>IFERROR(__xludf.DUMMYFUNCTION("""COMPUTED_VALUE"""),1185.0)</f>
        <v>1185</v>
      </c>
      <c r="E265" s="161">
        <f t="shared" si="1"/>
        <v>7</v>
      </c>
      <c r="F265" s="160">
        <f>COUNTIFS('Scores Import DO NOT EDIT'!C:C, D265,'Scores Import DO NOT EDIT'!M:M,A265)</f>
        <v>5</v>
      </c>
      <c r="G265" s="162">
        <f t="shared" si="2"/>
        <v>0.7142857143</v>
      </c>
      <c r="H265" s="163" t="str">
        <f t="shared" si="3"/>
        <v>G-51185</v>
      </c>
      <c r="I265" s="113"/>
      <c r="J265" s="113"/>
      <c r="K265" s="113"/>
      <c r="L265" s="158"/>
      <c r="M265" s="166" t="s">
        <v>347</v>
      </c>
      <c r="N265" s="113"/>
      <c r="O265" s="113"/>
      <c r="P265" s="113"/>
      <c r="Q265" s="113"/>
      <c r="R265" s="113"/>
      <c r="S265" s="113"/>
      <c r="T265" s="113"/>
      <c r="U265" s="113"/>
      <c r="V265" s="113"/>
      <c r="W265" s="113"/>
      <c r="X265" s="113"/>
      <c r="Y265" s="113"/>
      <c r="Z265" s="113"/>
      <c r="AA265" s="113"/>
      <c r="AB265" s="113"/>
      <c r="AC265" s="113"/>
      <c r="AD265" s="113"/>
      <c r="AE265" s="113"/>
      <c r="AF265" s="113"/>
      <c r="AG265" s="113"/>
      <c r="AH265" s="113"/>
      <c r="AI265" s="113"/>
      <c r="AJ265" s="113"/>
      <c r="AK265" s="113"/>
      <c r="AL265" s="113"/>
      <c r="AM265" s="113"/>
      <c r="AN265" s="113"/>
      <c r="AO265" s="113"/>
      <c r="AP265" s="113"/>
      <c r="AQ265" s="113"/>
      <c r="AR265" s="113"/>
      <c r="AS265" s="113"/>
      <c r="AT265" s="113"/>
      <c r="AU265" s="113"/>
      <c r="AV265" s="113"/>
      <c r="AW265" s="113"/>
      <c r="AX265" s="113"/>
      <c r="AY265" s="113"/>
      <c r="AZ265" s="113"/>
      <c r="BA265" s="113"/>
      <c r="BB265" s="113"/>
      <c r="BC265" s="113"/>
      <c r="BD265" s="113"/>
      <c r="BE265" s="113"/>
      <c r="BF265" s="113"/>
      <c r="BG265" s="113"/>
      <c r="BH265" s="113"/>
      <c r="BI265" s="113"/>
      <c r="BJ265" s="113"/>
      <c r="BK265" s="113"/>
      <c r="BL265" s="113"/>
      <c r="BM265" s="113"/>
      <c r="BN265" s="113"/>
      <c r="BO265" s="113"/>
      <c r="BP265" s="113"/>
      <c r="BQ265" s="113"/>
      <c r="BR265" s="113"/>
      <c r="BS265" s="113"/>
      <c r="BT265" s="113"/>
      <c r="BU265" s="113"/>
      <c r="BV265" s="113"/>
      <c r="BW265" s="113"/>
      <c r="BX265" s="113"/>
      <c r="BY265" s="113"/>
      <c r="BZ265" s="113"/>
      <c r="CA265" s="113"/>
      <c r="CB265" s="113"/>
      <c r="CC265" s="113"/>
      <c r="CD265" s="113"/>
      <c r="CE265" s="113"/>
      <c r="CF265" s="113"/>
      <c r="CG265" s="113"/>
      <c r="CH265" s="113"/>
      <c r="CI265" s="113"/>
      <c r="CJ265" s="113"/>
      <c r="CK265" s="113"/>
      <c r="CL265" s="113"/>
      <c r="CM265" s="113"/>
      <c r="CN265" s="113"/>
      <c r="CO265" s="113"/>
      <c r="CP265" s="113"/>
      <c r="CQ265" s="113"/>
      <c r="CR265" s="113"/>
      <c r="CS265" s="113"/>
      <c r="CT265" s="113"/>
      <c r="CU265" s="113"/>
    </row>
    <row r="266">
      <c r="A266" s="159" t="str">
        <f>IFERROR(__xludf.DUMMYFUNCTION("""COMPUTED_VALUE"""),"G-5")</f>
        <v>G-5</v>
      </c>
      <c r="B266" s="113" t="str">
        <f>IFERROR(__xludf.DUMMYFUNCTION("""COMPUTED_VALUE"""),"Tom")</f>
        <v>Tom</v>
      </c>
      <c r="C266" s="113" t="str">
        <f>IFERROR(__xludf.DUMMYFUNCTION("""COMPUTED_VALUE"""),"Huxford")</f>
        <v>Huxford</v>
      </c>
      <c r="D266" s="158">
        <f>IFERROR(__xludf.DUMMYFUNCTION("""COMPUTED_VALUE"""),1056.0)</f>
        <v>1056</v>
      </c>
      <c r="E266" s="161">
        <f t="shared" si="1"/>
        <v>7</v>
      </c>
      <c r="F266" s="160">
        <f>COUNTIFS('Scores Import DO NOT EDIT'!C:C, D266,'Scores Import DO NOT EDIT'!M:M,A266)</f>
        <v>6</v>
      </c>
      <c r="G266" s="162">
        <f t="shared" si="2"/>
        <v>0.8571428571</v>
      </c>
      <c r="H266" s="163" t="str">
        <f t="shared" si="3"/>
        <v>G-51056</v>
      </c>
      <c r="I266" s="113"/>
      <c r="J266" s="113"/>
      <c r="K266" s="113"/>
      <c r="L266" s="158"/>
      <c r="M266" s="166" t="s">
        <v>346</v>
      </c>
      <c r="N266" s="113"/>
      <c r="O266" s="113"/>
      <c r="P266" s="113"/>
      <c r="Q266" s="113"/>
      <c r="R266" s="113"/>
      <c r="S266" s="113"/>
      <c r="T266" s="113"/>
      <c r="U266" s="113"/>
      <c r="V266" s="113"/>
      <c r="W266" s="113"/>
      <c r="X266" s="113"/>
      <c r="Y266" s="113"/>
      <c r="Z266" s="113"/>
      <c r="AA266" s="113"/>
      <c r="AB266" s="113"/>
      <c r="AC266" s="113"/>
      <c r="AD266" s="113"/>
      <c r="AE266" s="113"/>
      <c r="AF266" s="113"/>
      <c r="AG266" s="113"/>
      <c r="AH266" s="113"/>
      <c r="AI266" s="113"/>
      <c r="AJ266" s="113"/>
      <c r="AK266" s="113"/>
      <c r="AL266" s="113"/>
      <c r="AM266" s="113"/>
      <c r="AN266" s="113"/>
      <c r="AO266" s="113"/>
      <c r="AP266" s="113"/>
      <c r="AQ266" s="113"/>
      <c r="AR266" s="113"/>
      <c r="AS266" s="113"/>
      <c r="AT266" s="113"/>
      <c r="AU266" s="113"/>
      <c r="AV266" s="113"/>
      <c r="AW266" s="113"/>
      <c r="AX266" s="113"/>
      <c r="AY266" s="113"/>
      <c r="AZ266" s="113"/>
      <c r="BA266" s="113"/>
      <c r="BB266" s="113"/>
      <c r="BC266" s="113"/>
      <c r="BD266" s="113"/>
      <c r="BE266" s="113"/>
      <c r="BF266" s="113"/>
      <c r="BG266" s="113"/>
      <c r="BH266" s="113"/>
      <c r="BI266" s="113"/>
      <c r="BJ266" s="113"/>
      <c r="BK266" s="113"/>
      <c r="BL266" s="113"/>
      <c r="BM266" s="113"/>
      <c r="BN266" s="113"/>
      <c r="BO266" s="113"/>
      <c r="BP266" s="113"/>
      <c r="BQ266" s="113"/>
      <c r="BR266" s="113"/>
      <c r="BS266" s="113"/>
      <c r="BT266" s="113"/>
      <c r="BU266" s="113"/>
      <c r="BV266" s="113"/>
      <c r="BW266" s="113"/>
      <c r="BX266" s="113"/>
      <c r="BY266" s="113"/>
      <c r="BZ266" s="113"/>
      <c r="CA266" s="113"/>
      <c r="CB266" s="113"/>
      <c r="CC266" s="113"/>
      <c r="CD266" s="113"/>
      <c r="CE266" s="113"/>
      <c r="CF266" s="113"/>
      <c r="CG266" s="113"/>
      <c r="CH266" s="113"/>
      <c r="CI266" s="113"/>
      <c r="CJ266" s="113"/>
      <c r="CK266" s="113"/>
      <c r="CL266" s="113"/>
      <c r="CM266" s="113"/>
      <c r="CN266" s="113"/>
      <c r="CO266" s="113"/>
      <c r="CP266" s="113"/>
      <c r="CQ266" s="113"/>
      <c r="CR266" s="113"/>
      <c r="CS266" s="113"/>
      <c r="CT266" s="113"/>
      <c r="CU266" s="113"/>
    </row>
    <row r="267">
      <c r="A267" s="159" t="str">
        <f>IFERROR(__xludf.DUMMYFUNCTION("""COMPUTED_VALUE"""),"G-6")</f>
        <v>G-6</v>
      </c>
      <c r="B267" s="113" t="str">
        <f>IFERROR(__xludf.DUMMYFUNCTION("""COMPUTED_VALUE"""),"Michael")</f>
        <v>Michael</v>
      </c>
      <c r="C267" s="113" t="str">
        <f>IFERROR(__xludf.DUMMYFUNCTION("""COMPUTED_VALUE"""),"Peddecord")</f>
        <v>Peddecord</v>
      </c>
      <c r="D267" s="158">
        <f>IFERROR(__xludf.DUMMYFUNCTION("""COMPUTED_VALUE"""),1035.0)</f>
        <v>1035</v>
      </c>
      <c r="E267" s="161">
        <f t="shared" si="1"/>
        <v>7</v>
      </c>
      <c r="F267" s="160">
        <f>COUNTIFS('Scores Import DO NOT EDIT'!C:C, D267,'Scores Import DO NOT EDIT'!M:M,A267)</f>
        <v>0</v>
      </c>
      <c r="G267" s="162">
        <f t="shared" si="2"/>
        <v>0</v>
      </c>
      <c r="H267" s="163" t="str">
        <f t="shared" si="3"/>
        <v>G-61035</v>
      </c>
      <c r="I267" s="113"/>
      <c r="J267" s="113"/>
      <c r="K267" s="113"/>
      <c r="L267" s="158"/>
      <c r="M267" s="166" t="s">
        <v>350</v>
      </c>
      <c r="N267" s="113"/>
      <c r="O267" s="113"/>
      <c r="P267" s="113"/>
      <c r="Q267" s="113"/>
      <c r="R267" s="113"/>
      <c r="S267" s="113"/>
      <c r="T267" s="113"/>
      <c r="U267" s="113"/>
      <c r="V267" s="113"/>
      <c r="W267" s="113"/>
      <c r="X267" s="113"/>
      <c r="Y267" s="113"/>
      <c r="Z267" s="113"/>
      <c r="AA267" s="113"/>
      <c r="AB267" s="113"/>
      <c r="AC267" s="113"/>
      <c r="AD267" s="113"/>
      <c r="AE267" s="113"/>
      <c r="AF267" s="113"/>
      <c r="AG267" s="113"/>
      <c r="AH267" s="113"/>
      <c r="AI267" s="113"/>
      <c r="AJ267" s="113"/>
      <c r="AK267" s="113"/>
      <c r="AL267" s="113"/>
      <c r="AM267" s="113"/>
      <c r="AN267" s="113"/>
      <c r="AO267" s="113"/>
      <c r="AP267" s="113"/>
      <c r="AQ267" s="113"/>
      <c r="AR267" s="113"/>
      <c r="AS267" s="113"/>
      <c r="AT267" s="113"/>
      <c r="AU267" s="113"/>
      <c r="AV267" s="113"/>
      <c r="AW267" s="113"/>
      <c r="AX267" s="113"/>
      <c r="AY267" s="113"/>
      <c r="AZ267" s="113"/>
      <c r="BA267" s="113"/>
      <c r="BB267" s="113"/>
      <c r="BC267" s="113"/>
      <c r="BD267" s="113"/>
      <c r="BE267" s="113"/>
      <c r="BF267" s="113"/>
      <c r="BG267" s="113"/>
      <c r="BH267" s="113"/>
      <c r="BI267" s="113"/>
      <c r="BJ267" s="113"/>
      <c r="BK267" s="113"/>
      <c r="BL267" s="113"/>
      <c r="BM267" s="113"/>
      <c r="BN267" s="113"/>
      <c r="BO267" s="113"/>
      <c r="BP267" s="113"/>
      <c r="BQ267" s="113"/>
      <c r="BR267" s="113"/>
      <c r="BS267" s="113"/>
      <c r="BT267" s="113"/>
      <c r="BU267" s="113"/>
      <c r="BV267" s="113"/>
      <c r="BW267" s="113"/>
      <c r="BX267" s="113"/>
      <c r="BY267" s="113"/>
      <c r="BZ267" s="113"/>
      <c r="CA267" s="113"/>
      <c r="CB267" s="113"/>
      <c r="CC267" s="113"/>
      <c r="CD267" s="113"/>
      <c r="CE267" s="113"/>
      <c r="CF267" s="113"/>
      <c r="CG267" s="113"/>
      <c r="CH267" s="113"/>
      <c r="CI267" s="113"/>
      <c r="CJ267" s="113"/>
      <c r="CK267" s="113"/>
      <c r="CL267" s="113"/>
      <c r="CM267" s="113"/>
      <c r="CN267" s="113"/>
      <c r="CO267" s="113"/>
      <c r="CP267" s="113"/>
      <c r="CQ267" s="113"/>
      <c r="CR267" s="113"/>
      <c r="CS267" s="113"/>
      <c r="CT267" s="113"/>
      <c r="CU267" s="113"/>
    </row>
    <row r="268">
      <c r="A268" s="159" t="str">
        <f>IFERROR(__xludf.DUMMYFUNCTION("""COMPUTED_VALUE"""),"G-6")</f>
        <v>G-6</v>
      </c>
      <c r="B268" s="113" t="str">
        <f>IFERROR(__xludf.DUMMYFUNCTION("""COMPUTED_VALUE"""),"Cat")</f>
        <v>Cat</v>
      </c>
      <c r="C268" s="113" t="str">
        <f>IFERROR(__xludf.DUMMYFUNCTION("""COMPUTED_VALUE"""),"Ellis")</f>
        <v>Ellis</v>
      </c>
      <c r="D268" s="158">
        <f>IFERROR(__xludf.DUMMYFUNCTION("""COMPUTED_VALUE"""),1033.0)</f>
        <v>1033</v>
      </c>
      <c r="E268" s="161">
        <f t="shared" si="1"/>
        <v>7</v>
      </c>
      <c r="F268" s="160">
        <f>COUNTIFS('Scores Import DO NOT EDIT'!C:C, D268,'Scores Import DO NOT EDIT'!M:M,A268)</f>
        <v>6</v>
      </c>
      <c r="G268" s="162">
        <f t="shared" si="2"/>
        <v>0.8571428571</v>
      </c>
      <c r="H268" s="163" t="str">
        <f t="shared" si="3"/>
        <v>G-61033</v>
      </c>
      <c r="I268" s="113"/>
      <c r="J268" s="113"/>
      <c r="K268" s="113"/>
      <c r="L268" s="158"/>
      <c r="M268" s="166" t="s">
        <v>360</v>
      </c>
      <c r="N268" s="113"/>
      <c r="O268" s="113"/>
      <c r="P268" s="113"/>
      <c r="Q268" s="113"/>
      <c r="R268" s="113"/>
      <c r="S268" s="113"/>
      <c r="T268" s="113"/>
      <c r="U268" s="113"/>
      <c r="V268" s="113"/>
      <c r="W268" s="113"/>
      <c r="X268" s="113"/>
      <c r="Y268" s="113"/>
      <c r="Z268" s="113"/>
      <c r="AA268" s="113"/>
      <c r="AB268" s="113"/>
      <c r="AC268" s="113"/>
      <c r="AD268" s="113"/>
      <c r="AE268" s="113"/>
      <c r="AF268" s="113"/>
      <c r="AG268" s="113"/>
      <c r="AH268" s="113"/>
      <c r="AI268" s="113"/>
      <c r="AJ268" s="113"/>
      <c r="AK268" s="113"/>
      <c r="AL268" s="113"/>
      <c r="AM268" s="113"/>
      <c r="AN268" s="113"/>
      <c r="AO268" s="113"/>
      <c r="AP268" s="113"/>
      <c r="AQ268" s="113"/>
      <c r="AR268" s="113"/>
      <c r="AS268" s="113"/>
      <c r="AT268" s="113"/>
      <c r="AU268" s="113"/>
      <c r="AV268" s="113"/>
      <c r="AW268" s="113"/>
      <c r="AX268" s="113"/>
      <c r="AY268" s="113"/>
      <c r="AZ268" s="113"/>
      <c r="BA268" s="113"/>
      <c r="BB268" s="113"/>
      <c r="BC268" s="113"/>
      <c r="BD268" s="113"/>
      <c r="BE268" s="113"/>
      <c r="BF268" s="113"/>
      <c r="BG268" s="113"/>
      <c r="BH268" s="113"/>
      <c r="BI268" s="113"/>
      <c r="BJ268" s="113"/>
      <c r="BK268" s="113"/>
      <c r="BL268" s="113"/>
      <c r="BM268" s="113"/>
      <c r="BN268" s="113"/>
      <c r="BO268" s="113"/>
      <c r="BP268" s="113"/>
      <c r="BQ268" s="113"/>
      <c r="BR268" s="113"/>
      <c r="BS268" s="113"/>
      <c r="BT268" s="113"/>
      <c r="BU268" s="113"/>
      <c r="BV268" s="113"/>
      <c r="BW268" s="113"/>
      <c r="BX268" s="113"/>
      <c r="BY268" s="113"/>
      <c r="BZ268" s="113"/>
      <c r="CA268" s="113"/>
      <c r="CB268" s="113"/>
      <c r="CC268" s="113"/>
      <c r="CD268" s="113"/>
      <c r="CE268" s="113"/>
      <c r="CF268" s="113"/>
      <c r="CG268" s="113"/>
      <c r="CH268" s="113"/>
      <c r="CI268" s="113"/>
      <c r="CJ268" s="113"/>
      <c r="CK268" s="113"/>
      <c r="CL268" s="113"/>
      <c r="CM268" s="113"/>
      <c r="CN268" s="113"/>
      <c r="CO268" s="113"/>
      <c r="CP268" s="113"/>
      <c r="CQ268" s="113"/>
      <c r="CR268" s="113"/>
      <c r="CS268" s="113"/>
      <c r="CT268" s="113"/>
      <c r="CU268" s="113"/>
    </row>
    <row r="269">
      <c r="A269" s="159" t="str">
        <f>IFERROR(__xludf.DUMMYFUNCTION("""COMPUTED_VALUE"""),"G-6")</f>
        <v>G-6</v>
      </c>
      <c r="B269" s="113" t="str">
        <f>IFERROR(__xludf.DUMMYFUNCTION("""COMPUTED_VALUE"""),"Michelle Weber Rawlins")</f>
        <v>Michelle Weber Rawlins</v>
      </c>
      <c r="C269" s="113" t="str">
        <f>IFERROR(__xludf.DUMMYFUNCTION("""COMPUTED_VALUE"""),"Rawlins")</f>
        <v>Rawlins</v>
      </c>
      <c r="D269" s="158">
        <f>IFERROR(__xludf.DUMMYFUNCTION("""COMPUTED_VALUE"""),1074.0)</f>
        <v>1074</v>
      </c>
      <c r="E269" s="161">
        <f t="shared" si="1"/>
        <v>7</v>
      </c>
      <c r="F269" s="160">
        <f>COUNTIFS('Scores Import DO NOT EDIT'!C:C, D269,'Scores Import DO NOT EDIT'!M:M,A269)</f>
        <v>6</v>
      </c>
      <c r="G269" s="162">
        <f t="shared" si="2"/>
        <v>0.8571428571</v>
      </c>
      <c r="H269" s="163" t="str">
        <f t="shared" si="3"/>
        <v>G-61074</v>
      </c>
      <c r="I269" s="113"/>
      <c r="J269" s="113"/>
      <c r="K269" s="113"/>
      <c r="L269" s="158"/>
      <c r="M269" s="166" t="s">
        <v>353</v>
      </c>
      <c r="N269" s="113"/>
      <c r="O269" s="113"/>
      <c r="P269" s="113"/>
      <c r="Q269" s="113"/>
      <c r="R269" s="113"/>
      <c r="S269" s="113"/>
      <c r="T269" s="113"/>
      <c r="U269" s="113"/>
      <c r="V269" s="113"/>
      <c r="W269" s="113"/>
      <c r="X269" s="113"/>
      <c r="Y269" s="113"/>
      <c r="Z269" s="113"/>
      <c r="AA269" s="113"/>
      <c r="AB269" s="113"/>
      <c r="AC269" s="113"/>
      <c r="AD269" s="113"/>
      <c r="AE269" s="113"/>
      <c r="AF269" s="113"/>
      <c r="AG269" s="113"/>
      <c r="AH269" s="113"/>
      <c r="AI269" s="113"/>
      <c r="AJ269" s="113"/>
      <c r="AK269" s="113"/>
      <c r="AL269" s="113"/>
      <c r="AM269" s="113"/>
      <c r="AN269" s="113"/>
      <c r="AO269" s="113"/>
      <c r="AP269" s="113"/>
      <c r="AQ269" s="113"/>
      <c r="AR269" s="113"/>
      <c r="AS269" s="113"/>
      <c r="AT269" s="113"/>
      <c r="AU269" s="113"/>
      <c r="AV269" s="113"/>
      <c r="AW269" s="113"/>
      <c r="AX269" s="113"/>
      <c r="AY269" s="113"/>
      <c r="AZ269" s="113"/>
      <c r="BA269" s="113"/>
      <c r="BB269" s="113"/>
      <c r="BC269" s="113"/>
      <c r="BD269" s="113"/>
      <c r="BE269" s="113"/>
      <c r="BF269" s="113"/>
      <c r="BG269" s="113"/>
      <c r="BH269" s="113"/>
      <c r="BI269" s="113"/>
      <c r="BJ269" s="113"/>
      <c r="BK269" s="113"/>
      <c r="BL269" s="113"/>
      <c r="BM269" s="113"/>
      <c r="BN269" s="113"/>
      <c r="BO269" s="113"/>
      <c r="BP269" s="113"/>
      <c r="BQ269" s="113"/>
      <c r="BR269" s="113"/>
      <c r="BS269" s="113"/>
      <c r="BT269" s="113"/>
      <c r="BU269" s="113"/>
      <c r="BV269" s="113"/>
      <c r="BW269" s="113"/>
      <c r="BX269" s="113"/>
      <c r="BY269" s="113"/>
      <c r="BZ269" s="113"/>
      <c r="CA269" s="113"/>
      <c r="CB269" s="113"/>
      <c r="CC269" s="113"/>
      <c r="CD269" s="113"/>
      <c r="CE269" s="113"/>
      <c r="CF269" s="113"/>
      <c r="CG269" s="113"/>
      <c r="CH269" s="113"/>
      <c r="CI269" s="113"/>
      <c r="CJ269" s="113"/>
      <c r="CK269" s="113"/>
      <c r="CL269" s="113"/>
      <c r="CM269" s="113"/>
      <c r="CN269" s="113"/>
      <c r="CO269" s="113"/>
      <c r="CP269" s="113"/>
      <c r="CQ269" s="113"/>
      <c r="CR269" s="113"/>
      <c r="CS269" s="113"/>
      <c r="CT269" s="113"/>
      <c r="CU269" s="113"/>
    </row>
    <row r="270">
      <c r="A270" s="159" t="str">
        <f>IFERROR(__xludf.DUMMYFUNCTION("""COMPUTED_VALUE"""),"G-6")</f>
        <v>G-6</v>
      </c>
      <c r="B270" s="113" t="str">
        <f>IFERROR(__xludf.DUMMYFUNCTION("""COMPUTED_VALUE"""),"Humberto")</f>
        <v>Humberto</v>
      </c>
      <c r="C270" s="113" t="str">
        <f>IFERROR(__xludf.DUMMYFUNCTION("""COMPUTED_VALUE"""),"Parada")</f>
        <v>Parada</v>
      </c>
      <c r="D270" s="158">
        <f>IFERROR(__xludf.DUMMYFUNCTION("""COMPUTED_VALUE"""),1062.0)</f>
        <v>1062</v>
      </c>
      <c r="E270" s="161">
        <f t="shared" si="1"/>
        <v>7</v>
      </c>
      <c r="F270" s="160">
        <f>COUNTIFS('Scores Import DO NOT EDIT'!C:C, D270,'Scores Import DO NOT EDIT'!M:M,A270)</f>
        <v>6</v>
      </c>
      <c r="G270" s="162">
        <f t="shared" si="2"/>
        <v>0.8571428571</v>
      </c>
      <c r="H270" s="163" t="str">
        <f t="shared" si="3"/>
        <v>G-61062</v>
      </c>
      <c r="I270" s="113"/>
      <c r="J270" s="113"/>
      <c r="K270" s="113"/>
      <c r="L270" s="158"/>
      <c r="M270" s="166" t="s">
        <v>359</v>
      </c>
      <c r="N270" s="113"/>
      <c r="O270" s="113"/>
      <c r="P270" s="113"/>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c r="AT270" s="113"/>
      <c r="AU270" s="113"/>
      <c r="AV270" s="113"/>
      <c r="AW270" s="113"/>
      <c r="AX270" s="113"/>
      <c r="AY270" s="113"/>
      <c r="AZ270" s="113"/>
      <c r="BA270" s="113"/>
      <c r="BB270" s="113"/>
      <c r="BC270" s="113"/>
      <c r="BD270" s="113"/>
      <c r="BE270" s="113"/>
      <c r="BF270" s="113"/>
      <c r="BG270" s="113"/>
      <c r="BH270" s="113"/>
      <c r="BI270" s="113"/>
      <c r="BJ270" s="113"/>
      <c r="BK270" s="113"/>
      <c r="BL270" s="113"/>
      <c r="BM270" s="113"/>
      <c r="BN270" s="113"/>
      <c r="BO270" s="113"/>
      <c r="BP270" s="113"/>
      <c r="BQ270" s="113"/>
      <c r="BR270" s="113"/>
      <c r="BS270" s="113"/>
      <c r="BT270" s="113"/>
      <c r="BU270" s="113"/>
      <c r="BV270" s="113"/>
      <c r="BW270" s="113"/>
      <c r="BX270" s="113"/>
      <c r="BY270" s="113"/>
      <c r="BZ270" s="113"/>
      <c r="CA270" s="113"/>
      <c r="CB270" s="113"/>
      <c r="CC270" s="113"/>
      <c r="CD270" s="113"/>
      <c r="CE270" s="113"/>
      <c r="CF270" s="113"/>
      <c r="CG270" s="113"/>
      <c r="CH270" s="113"/>
      <c r="CI270" s="113"/>
      <c r="CJ270" s="113"/>
      <c r="CK270" s="113"/>
      <c r="CL270" s="113"/>
      <c r="CM270" s="113"/>
      <c r="CN270" s="113"/>
      <c r="CO270" s="113"/>
      <c r="CP270" s="113"/>
      <c r="CQ270" s="113"/>
      <c r="CR270" s="113"/>
      <c r="CS270" s="113"/>
      <c r="CT270" s="113"/>
      <c r="CU270" s="113"/>
    </row>
    <row r="271">
      <c r="A271" s="159" t="str">
        <f>IFERROR(__xludf.DUMMYFUNCTION("""COMPUTED_VALUE"""),"G-7")</f>
        <v>G-7</v>
      </c>
      <c r="B271" s="113" t="str">
        <f>IFERROR(__xludf.DUMMYFUNCTION("""COMPUTED_VALUE"""),"Arjan van der")</f>
        <v>Arjan van der</v>
      </c>
      <c r="C271" s="113" t="str">
        <f>IFERROR(__xludf.DUMMYFUNCTION("""COMPUTED_VALUE"""),"Star")</f>
        <v>Star</v>
      </c>
      <c r="D271" s="158">
        <f>IFERROR(__xludf.DUMMYFUNCTION("""COMPUTED_VALUE"""),1207.0)</f>
        <v>1207</v>
      </c>
      <c r="E271" s="161">
        <f t="shared" si="1"/>
        <v>6</v>
      </c>
      <c r="F271" s="160">
        <f>COUNTIFS('Scores Import DO NOT EDIT'!C:C, D271,'Scores Import DO NOT EDIT'!M:M,A271)</f>
        <v>5</v>
      </c>
      <c r="G271" s="162">
        <f t="shared" si="2"/>
        <v>0.8333333333</v>
      </c>
      <c r="H271" s="163" t="str">
        <f t="shared" si="3"/>
        <v>G-71207</v>
      </c>
      <c r="I271" s="113"/>
      <c r="J271" s="113"/>
      <c r="K271" s="113"/>
      <c r="L271" s="158"/>
      <c r="M271" s="166" t="s">
        <v>356</v>
      </c>
      <c r="N271" s="113"/>
      <c r="O271" s="113"/>
      <c r="P271" s="113"/>
      <c r="Q271" s="113"/>
      <c r="R271" s="113"/>
      <c r="S271" s="113"/>
      <c r="T271" s="113"/>
      <c r="U271" s="113"/>
      <c r="V271" s="113"/>
      <c r="W271" s="113"/>
      <c r="X271" s="113"/>
      <c r="Y271" s="113"/>
      <c r="Z271" s="113"/>
      <c r="AA271" s="113"/>
      <c r="AB271" s="113"/>
      <c r="AC271" s="113"/>
      <c r="AD271" s="113"/>
      <c r="AE271" s="113"/>
      <c r="AF271" s="113"/>
      <c r="AG271" s="113"/>
      <c r="AH271" s="113"/>
      <c r="AI271" s="113"/>
      <c r="AJ271" s="113"/>
      <c r="AK271" s="113"/>
      <c r="AL271" s="113"/>
      <c r="AM271" s="113"/>
      <c r="AN271" s="113"/>
      <c r="AO271" s="113"/>
      <c r="AP271" s="113"/>
      <c r="AQ271" s="113"/>
      <c r="AR271" s="113"/>
      <c r="AS271" s="113"/>
      <c r="AT271" s="113"/>
      <c r="AU271" s="113"/>
      <c r="AV271" s="113"/>
      <c r="AW271" s="113"/>
      <c r="AX271" s="113"/>
      <c r="AY271" s="113"/>
      <c r="AZ271" s="113"/>
      <c r="BA271" s="113"/>
      <c r="BB271" s="113"/>
      <c r="BC271" s="113"/>
      <c r="BD271" s="113"/>
      <c r="BE271" s="113"/>
      <c r="BF271" s="113"/>
      <c r="BG271" s="113"/>
      <c r="BH271" s="113"/>
      <c r="BI271" s="113"/>
      <c r="BJ271" s="113"/>
      <c r="BK271" s="113"/>
      <c r="BL271" s="113"/>
      <c r="BM271" s="113"/>
      <c r="BN271" s="113"/>
      <c r="BO271" s="113"/>
      <c r="BP271" s="113"/>
      <c r="BQ271" s="113"/>
      <c r="BR271" s="113"/>
      <c r="BS271" s="113"/>
      <c r="BT271" s="113"/>
      <c r="BU271" s="113"/>
      <c r="BV271" s="113"/>
      <c r="BW271" s="113"/>
      <c r="BX271" s="113"/>
      <c r="BY271" s="113"/>
      <c r="BZ271" s="113"/>
      <c r="CA271" s="113"/>
      <c r="CB271" s="113"/>
      <c r="CC271" s="113"/>
      <c r="CD271" s="113"/>
      <c r="CE271" s="113"/>
      <c r="CF271" s="113"/>
      <c r="CG271" s="113"/>
      <c r="CH271" s="113"/>
      <c r="CI271" s="113"/>
      <c r="CJ271" s="113"/>
      <c r="CK271" s="113"/>
      <c r="CL271" s="113"/>
      <c r="CM271" s="113"/>
      <c r="CN271" s="113"/>
      <c r="CO271" s="113"/>
      <c r="CP271" s="113"/>
      <c r="CQ271" s="113"/>
      <c r="CR271" s="113"/>
      <c r="CS271" s="113"/>
      <c r="CT271" s="113"/>
      <c r="CU271" s="113"/>
    </row>
    <row r="272">
      <c r="A272" s="159" t="str">
        <f>IFERROR(__xludf.DUMMYFUNCTION("""COMPUTED_VALUE"""),"G-7")</f>
        <v>G-7</v>
      </c>
      <c r="B272" s="113" t="str">
        <f>IFERROR(__xludf.DUMMYFUNCTION("""COMPUTED_VALUE"""),"Sonja")</f>
        <v>Sonja</v>
      </c>
      <c r="C272" s="113" t="str">
        <f>IFERROR(__xludf.DUMMYFUNCTION("""COMPUTED_VALUE"""),"Pruitt-Lord")</f>
        <v>Pruitt-Lord</v>
      </c>
      <c r="D272" s="158">
        <f>IFERROR(__xludf.DUMMYFUNCTION("""COMPUTED_VALUE"""),1191.0)</f>
        <v>1191</v>
      </c>
      <c r="E272" s="161">
        <f t="shared" si="1"/>
        <v>6</v>
      </c>
      <c r="F272" s="160">
        <f>COUNTIFS('Scores Import DO NOT EDIT'!C:C, D272,'Scores Import DO NOT EDIT'!M:M,A272)</f>
        <v>5</v>
      </c>
      <c r="G272" s="162">
        <f t="shared" si="2"/>
        <v>0.8333333333</v>
      </c>
      <c r="H272" s="163" t="str">
        <f t="shared" si="3"/>
        <v>G-71191</v>
      </c>
      <c r="I272" s="113"/>
      <c r="J272" s="113"/>
      <c r="K272" s="113"/>
      <c r="L272" s="158"/>
      <c r="M272" s="166" t="s">
        <v>358</v>
      </c>
      <c r="N272" s="113"/>
      <c r="O272" s="113"/>
      <c r="P272" s="113"/>
      <c r="Q272" s="113"/>
      <c r="R272" s="113"/>
      <c r="S272" s="113"/>
      <c r="T272" s="113"/>
      <c r="U272" s="113"/>
      <c r="V272" s="113"/>
      <c r="W272" s="113"/>
      <c r="X272" s="113"/>
      <c r="Y272" s="113"/>
      <c r="Z272" s="113"/>
      <c r="AA272" s="113"/>
      <c r="AB272" s="113"/>
      <c r="AC272" s="113"/>
      <c r="AD272" s="113"/>
      <c r="AE272" s="113"/>
      <c r="AF272" s="113"/>
      <c r="AG272" s="113"/>
      <c r="AH272" s="113"/>
      <c r="AI272" s="113"/>
      <c r="AJ272" s="113"/>
      <c r="AK272" s="113"/>
      <c r="AL272" s="113"/>
      <c r="AM272" s="113"/>
      <c r="AN272" s="113"/>
      <c r="AO272" s="113"/>
      <c r="AP272" s="113"/>
      <c r="AQ272" s="113"/>
      <c r="AR272" s="113"/>
      <c r="AS272" s="113"/>
      <c r="AT272" s="113"/>
      <c r="AU272" s="113"/>
      <c r="AV272" s="113"/>
      <c r="AW272" s="113"/>
      <c r="AX272" s="113"/>
      <c r="AY272" s="113"/>
      <c r="AZ272" s="113"/>
      <c r="BA272" s="113"/>
      <c r="BB272" s="113"/>
      <c r="BC272" s="113"/>
      <c r="BD272" s="113"/>
      <c r="BE272" s="113"/>
      <c r="BF272" s="113"/>
      <c r="BG272" s="113"/>
      <c r="BH272" s="113"/>
      <c r="BI272" s="113"/>
      <c r="BJ272" s="113"/>
      <c r="BK272" s="113"/>
      <c r="BL272" s="113"/>
      <c r="BM272" s="113"/>
      <c r="BN272" s="113"/>
      <c r="BO272" s="113"/>
      <c r="BP272" s="113"/>
      <c r="BQ272" s="113"/>
      <c r="BR272" s="113"/>
      <c r="BS272" s="113"/>
      <c r="BT272" s="113"/>
      <c r="BU272" s="113"/>
      <c r="BV272" s="113"/>
      <c r="BW272" s="113"/>
      <c r="BX272" s="113"/>
      <c r="BY272" s="113"/>
      <c r="BZ272" s="113"/>
      <c r="CA272" s="113"/>
      <c r="CB272" s="113"/>
      <c r="CC272" s="113"/>
      <c r="CD272" s="113"/>
      <c r="CE272" s="113"/>
      <c r="CF272" s="113"/>
      <c r="CG272" s="113"/>
      <c r="CH272" s="113"/>
      <c r="CI272" s="113"/>
      <c r="CJ272" s="113"/>
      <c r="CK272" s="113"/>
      <c r="CL272" s="113"/>
      <c r="CM272" s="113"/>
      <c r="CN272" s="113"/>
      <c r="CO272" s="113"/>
      <c r="CP272" s="113"/>
      <c r="CQ272" s="113"/>
      <c r="CR272" s="113"/>
      <c r="CS272" s="113"/>
      <c r="CT272" s="113"/>
      <c r="CU272" s="113"/>
    </row>
    <row r="273">
      <c r="A273" s="159" t="str">
        <f>IFERROR(__xludf.DUMMYFUNCTION("""COMPUTED_VALUE"""),"G-7")</f>
        <v>G-7</v>
      </c>
      <c r="B273" s="113" t="str">
        <f>IFERROR(__xludf.DUMMYFUNCTION("""COMPUTED_VALUE"""),"Sara")</f>
        <v>Sara</v>
      </c>
      <c r="C273" s="113" t="str">
        <f>IFERROR(__xludf.DUMMYFUNCTION("""COMPUTED_VALUE"""),"Gombatto")</f>
        <v>Gombatto</v>
      </c>
      <c r="D273" s="158">
        <f>IFERROR(__xludf.DUMMYFUNCTION("""COMPUTED_VALUE"""),1193.0)</f>
        <v>1193</v>
      </c>
      <c r="E273" s="161">
        <f t="shared" si="1"/>
        <v>6</v>
      </c>
      <c r="F273" s="160">
        <f>COUNTIFS('Scores Import DO NOT EDIT'!C:C, D273,'Scores Import DO NOT EDIT'!M:M,A273)</f>
        <v>4</v>
      </c>
      <c r="G273" s="162">
        <f t="shared" si="2"/>
        <v>0.6666666667</v>
      </c>
      <c r="H273" s="163" t="str">
        <f t="shared" si="3"/>
        <v>G-71193</v>
      </c>
      <c r="I273" s="113"/>
      <c r="J273" s="113"/>
      <c r="K273" s="113"/>
      <c r="L273" s="158"/>
      <c r="M273" s="166" t="s">
        <v>354</v>
      </c>
      <c r="N273" s="113"/>
      <c r="O273" s="113"/>
      <c r="P273" s="113"/>
      <c r="Q273" s="113"/>
      <c r="R273" s="113"/>
      <c r="S273" s="113"/>
      <c r="T273" s="113"/>
      <c r="U273" s="113"/>
      <c r="V273" s="113"/>
      <c r="W273" s="113"/>
      <c r="X273" s="113"/>
      <c r="Y273" s="113"/>
      <c r="Z273" s="113"/>
      <c r="AA273" s="113"/>
      <c r="AB273" s="113"/>
      <c r="AC273" s="113"/>
      <c r="AD273" s="113"/>
      <c r="AE273" s="113"/>
      <c r="AF273" s="113"/>
      <c r="AG273" s="113"/>
      <c r="AH273" s="113"/>
      <c r="AI273" s="113"/>
      <c r="AJ273" s="113"/>
      <c r="AK273" s="113"/>
      <c r="AL273" s="113"/>
      <c r="AM273" s="113"/>
      <c r="AN273" s="113"/>
      <c r="AO273" s="113"/>
      <c r="AP273" s="113"/>
      <c r="AQ273" s="113"/>
      <c r="AR273" s="113"/>
      <c r="AS273" s="113"/>
      <c r="AT273" s="113"/>
      <c r="AU273" s="113"/>
      <c r="AV273" s="113"/>
      <c r="AW273" s="113"/>
      <c r="AX273" s="113"/>
      <c r="AY273" s="113"/>
      <c r="AZ273" s="113"/>
      <c r="BA273" s="113"/>
      <c r="BB273" s="113"/>
      <c r="BC273" s="113"/>
      <c r="BD273" s="113"/>
      <c r="BE273" s="113"/>
      <c r="BF273" s="113"/>
      <c r="BG273" s="113"/>
      <c r="BH273" s="113"/>
      <c r="BI273" s="113"/>
      <c r="BJ273" s="113"/>
      <c r="BK273" s="113"/>
      <c r="BL273" s="113"/>
      <c r="BM273" s="113"/>
      <c r="BN273" s="113"/>
      <c r="BO273" s="113"/>
      <c r="BP273" s="113"/>
      <c r="BQ273" s="113"/>
      <c r="BR273" s="113"/>
      <c r="BS273" s="113"/>
      <c r="BT273" s="113"/>
      <c r="BU273" s="113"/>
      <c r="BV273" s="113"/>
      <c r="BW273" s="113"/>
      <c r="BX273" s="113"/>
      <c r="BY273" s="113"/>
      <c r="BZ273" s="113"/>
      <c r="CA273" s="113"/>
      <c r="CB273" s="113"/>
      <c r="CC273" s="113"/>
      <c r="CD273" s="113"/>
      <c r="CE273" s="113"/>
      <c r="CF273" s="113"/>
      <c r="CG273" s="113"/>
      <c r="CH273" s="113"/>
      <c r="CI273" s="113"/>
      <c r="CJ273" s="113"/>
      <c r="CK273" s="113"/>
      <c r="CL273" s="113"/>
      <c r="CM273" s="113"/>
      <c r="CN273" s="113"/>
      <c r="CO273" s="113"/>
      <c r="CP273" s="113"/>
      <c r="CQ273" s="113"/>
      <c r="CR273" s="113"/>
      <c r="CS273" s="113"/>
      <c r="CT273" s="113"/>
      <c r="CU273" s="113"/>
    </row>
    <row r="274">
      <c r="A274" s="159" t="str">
        <f>IFERROR(__xludf.DUMMYFUNCTION("""COMPUTED_VALUE"""),"G-7")</f>
        <v>G-7</v>
      </c>
      <c r="B274" s="113" t="str">
        <f>IFERROR(__xludf.DUMMYFUNCTION("""COMPUTED_VALUE"""),"Brendan")</f>
        <v>Brendan</v>
      </c>
      <c r="C274" s="113" t="str">
        <f>IFERROR(__xludf.DUMMYFUNCTION("""COMPUTED_VALUE"""),"Daly")</f>
        <v>Daly</v>
      </c>
      <c r="D274" s="158">
        <f>IFERROR(__xludf.DUMMYFUNCTION("""COMPUTED_VALUE"""),1220.0)</f>
        <v>1220</v>
      </c>
      <c r="E274" s="161">
        <f t="shared" si="1"/>
        <v>6</v>
      </c>
      <c r="F274" s="160">
        <f>COUNTIFS('Scores Import DO NOT EDIT'!C:C, D274,'Scores Import DO NOT EDIT'!M:M,A274)</f>
        <v>5</v>
      </c>
      <c r="G274" s="162">
        <f t="shared" si="2"/>
        <v>0.8333333333</v>
      </c>
      <c r="H274" s="163" t="str">
        <f t="shared" si="3"/>
        <v>G-71220</v>
      </c>
      <c r="I274" s="113"/>
      <c r="J274" s="113"/>
      <c r="K274" s="113"/>
      <c r="L274" s="158"/>
      <c r="M274" s="166" t="s">
        <v>357</v>
      </c>
      <c r="N274" s="113"/>
      <c r="O274" s="113"/>
      <c r="P274" s="113"/>
      <c r="Q274" s="113"/>
      <c r="R274" s="113"/>
      <c r="S274" s="113"/>
      <c r="T274" s="113"/>
      <c r="U274" s="113"/>
      <c r="V274" s="113"/>
      <c r="W274" s="113"/>
      <c r="X274" s="113"/>
      <c r="Y274" s="113"/>
      <c r="Z274" s="113"/>
      <c r="AA274" s="113"/>
      <c r="AB274" s="113"/>
      <c r="AC274" s="113"/>
      <c r="AD274" s="113"/>
      <c r="AE274" s="113"/>
      <c r="AF274" s="113"/>
      <c r="AG274" s="113"/>
      <c r="AH274" s="113"/>
      <c r="AI274" s="113"/>
      <c r="AJ274" s="113"/>
      <c r="AK274" s="113"/>
      <c r="AL274" s="113"/>
      <c r="AM274" s="113"/>
      <c r="AN274" s="113"/>
      <c r="AO274" s="113"/>
      <c r="AP274" s="113"/>
      <c r="AQ274" s="113"/>
      <c r="AR274" s="113"/>
      <c r="AS274" s="113"/>
      <c r="AT274" s="113"/>
      <c r="AU274" s="113"/>
      <c r="AV274" s="113"/>
      <c r="AW274" s="113"/>
      <c r="AX274" s="113"/>
      <c r="AY274" s="113"/>
      <c r="AZ274" s="113"/>
      <c r="BA274" s="113"/>
      <c r="BB274" s="113"/>
      <c r="BC274" s="113"/>
      <c r="BD274" s="113"/>
      <c r="BE274" s="113"/>
      <c r="BF274" s="113"/>
      <c r="BG274" s="113"/>
      <c r="BH274" s="113"/>
      <c r="BI274" s="113"/>
      <c r="BJ274" s="113"/>
      <c r="BK274" s="113"/>
      <c r="BL274" s="113"/>
      <c r="BM274" s="113"/>
      <c r="BN274" s="113"/>
      <c r="BO274" s="113"/>
      <c r="BP274" s="113"/>
      <c r="BQ274" s="113"/>
      <c r="BR274" s="113"/>
      <c r="BS274" s="113"/>
      <c r="BT274" s="113"/>
      <c r="BU274" s="113"/>
      <c r="BV274" s="113"/>
      <c r="BW274" s="113"/>
      <c r="BX274" s="113"/>
      <c r="BY274" s="113"/>
      <c r="BZ274" s="113"/>
      <c r="CA274" s="113"/>
      <c r="CB274" s="113"/>
      <c r="CC274" s="113"/>
      <c r="CD274" s="113"/>
      <c r="CE274" s="113"/>
      <c r="CF274" s="113"/>
      <c r="CG274" s="113"/>
      <c r="CH274" s="113"/>
      <c r="CI274" s="113"/>
      <c r="CJ274" s="113"/>
      <c r="CK274" s="113"/>
      <c r="CL274" s="113"/>
      <c r="CM274" s="113"/>
      <c r="CN274" s="113"/>
      <c r="CO274" s="113"/>
      <c r="CP274" s="113"/>
      <c r="CQ274" s="113"/>
      <c r="CR274" s="113"/>
      <c r="CS274" s="113"/>
      <c r="CT274" s="113"/>
      <c r="CU274" s="113"/>
    </row>
    <row r="275">
      <c r="A275" s="159" t="str">
        <f>IFERROR(__xludf.DUMMYFUNCTION("""COMPUTED_VALUE"""),"G-7")</f>
        <v>G-7</v>
      </c>
      <c r="B275" s="113" t="str">
        <f>IFERROR(__xludf.DUMMYFUNCTION("""COMPUTED_VALUE"""),"Francesca")</f>
        <v>Francesca</v>
      </c>
      <c r="C275" s="113" t="str">
        <f>IFERROR(__xludf.DUMMYFUNCTION("""COMPUTED_VALUE"""),"Wade")</f>
        <v>Wade</v>
      </c>
      <c r="D275" s="158">
        <f>IFERROR(__xludf.DUMMYFUNCTION("""COMPUTED_VALUE"""),1061.0)</f>
        <v>1061</v>
      </c>
      <c r="E275" s="161">
        <f t="shared" si="1"/>
        <v>6</v>
      </c>
      <c r="F275" s="160">
        <f>COUNTIFS('Scores Import DO NOT EDIT'!C:C, D275,'Scores Import DO NOT EDIT'!M:M,A275)</f>
        <v>5</v>
      </c>
      <c r="G275" s="162">
        <f t="shared" si="2"/>
        <v>0.8333333333</v>
      </c>
      <c r="H275" s="163" t="str">
        <f t="shared" si="3"/>
        <v>G-71061</v>
      </c>
      <c r="I275" s="113"/>
      <c r="J275" s="113"/>
      <c r="K275" s="113"/>
      <c r="L275" s="158"/>
      <c r="M275" s="166" t="s">
        <v>355</v>
      </c>
      <c r="N275" s="113"/>
      <c r="O275" s="113"/>
      <c r="P275" s="113"/>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c r="AT275" s="113"/>
      <c r="AU275" s="113"/>
      <c r="AV275" s="113"/>
      <c r="AW275" s="113"/>
      <c r="AX275" s="113"/>
      <c r="AY275" s="113"/>
      <c r="AZ275" s="113"/>
      <c r="BA275" s="113"/>
      <c r="BB275" s="113"/>
      <c r="BC275" s="113"/>
      <c r="BD275" s="113"/>
      <c r="BE275" s="113"/>
      <c r="BF275" s="113"/>
      <c r="BG275" s="113"/>
      <c r="BH275" s="113"/>
      <c r="BI275" s="113"/>
      <c r="BJ275" s="113"/>
      <c r="BK275" s="113"/>
      <c r="BL275" s="113"/>
      <c r="BM275" s="113"/>
      <c r="BN275" s="113"/>
      <c r="BO275" s="113"/>
      <c r="BP275" s="113"/>
      <c r="BQ275" s="113"/>
      <c r="BR275" s="113"/>
      <c r="BS275" s="113"/>
      <c r="BT275" s="113"/>
      <c r="BU275" s="113"/>
      <c r="BV275" s="113"/>
      <c r="BW275" s="113"/>
      <c r="BX275" s="113"/>
      <c r="BY275" s="113"/>
      <c r="BZ275" s="113"/>
      <c r="CA275" s="113"/>
      <c r="CB275" s="113"/>
      <c r="CC275" s="113"/>
      <c r="CD275" s="113"/>
      <c r="CE275" s="113"/>
      <c r="CF275" s="113"/>
      <c r="CG275" s="113"/>
      <c r="CH275" s="113"/>
      <c r="CI275" s="113"/>
      <c r="CJ275" s="113"/>
      <c r="CK275" s="113"/>
      <c r="CL275" s="113"/>
      <c r="CM275" s="113"/>
      <c r="CN275" s="113"/>
      <c r="CO275" s="113"/>
      <c r="CP275" s="113"/>
      <c r="CQ275" s="113"/>
      <c r="CR275" s="113"/>
      <c r="CS275" s="113"/>
      <c r="CT275" s="113"/>
      <c r="CU275" s="113"/>
    </row>
    <row r="276">
      <c r="A276" s="159" t="str">
        <f>IFERROR(__xludf.DUMMYFUNCTION("""COMPUTED_VALUE"""),"G-8")</f>
        <v>G-8</v>
      </c>
      <c r="B276" s="113" t="str">
        <f>IFERROR(__xludf.DUMMYFUNCTION("""COMPUTED_VALUE"""),"Patricia Sánchez")</f>
        <v>Patricia Sánchez</v>
      </c>
      <c r="C276" s="113" t="str">
        <f>IFERROR(__xludf.DUMMYFUNCTION("""COMPUTED_VALUE"""),"Lizardi")</f>
        <v>Lizardi</v>
      </c>
      <c r="D276" s="158">
        <f>IFERROR(__xludf.DUMMYFUNCTION("""COMPUTED_VALUE"""),1182.0)</f>
        <v>1182</v>
      </c>
      <c r="E276" s="161">
        <f t="shared" si="1"/>
        <v>8</v>
      </c>
      <c r="F276" s="160">
        <f>COUNTIFS('Scores Import DO NOT EDIT'!C:C, D276,'Scores Import DO NOT EDIT'!M:M,A276)</f>
        <v>0</v>
      </c>
      <c r="G276" s="162">
        <f t="shared" si="2"/>
        <v>0</v>
      </c>
      <c r="H276" s="163" t="str">
        <f t="shared" si="3"/>
        <v>G-81182</v>
      </c>
      <c r="I276" s="113"/>
      <c r="J276" s="113"/>
      <c r="K276" s="113"/>
      <c r="L276" s="158"/>
      <c r="M276" s="166" t="s">
        <v>292</v>
      </c>
      <c r="N276" s="113"/>
      <c r="O276" s="113"/>
      <c r="P276" s="113"/>
      <c r="Q276" s="113"/>
      <c r="R276" s="113"/>
      <c r="S276" s="113"/>
      <c r="T276" s="113"/>
      <c r="U276" s="113"/>
      <c r="V276" s="113"/>
      <c r="W276" s="113"/>
      <c r="X276" s="113"/>
      <c r="Y276" s="113"/>
      <c r="Z276" s="113"/>
      <c r="AA276" s="113"/>
      <c r="AB276" s="113"/>
      <c r="AC276" s="113"/>
      <c r="AD276" s="113"/>
      <c r="AE276" s="113"/>
      <c r="AF276" s="113"/>
      <c r="AG276" s="113"/>
      <c r="AH276" s="113"/>
      <c r="AI276" s="113"/>
      <c r="AJ276" s="113"/>
      <c r="AK276" s="113"/>
      <c r="AL276" s="113"/>
      <c r="AM276" s="113"/>
      <c r="AN276" s="113"/>
      <c r="AO276" s="113"/>
      <c r="AP276" s="113"/>
      <c r="AQ276" s="113"/>
      <c r="AR276" s="113"/>
      <c r="AS276" s="113"/>
      <c r="AT276" s="113"/>
      <c r="AU276" s="113"/>
      <c r="AV276" s="113"/>
      <c r="AW276" s="113"/>
      <c r="AX276" s="113"/>
      <c r="AY276" s="113"/>
      <c r="AZ276" s="113"/>
      <c r="BA276" s="113"/>
      <c r="BB276" s="113"/>
      <c r="BC276" s="113"/>
      <c r="BD276" s="113"/>
      <c r="BE276" s="113"/>
      <c r="BF276" s="113"/>
      <c r="BG276" s="113"/>
      <c r="BH276" s="113"/>
      <c r="BI276" s="113"/>
      <c r="BJ276" s="113"/>
      <c r="BK276" s="113"/>
      <c r="BL276" s="113"/>
      <c r="BM276" s="113"/>
      <c r="BN276" s="113"/>
      <c r="BO276" s="113"/>
      <c r="BP276" s="113"/>
      <c r="BQ276" s="113"/>
      <c r="BR276" s="113"/>
      <c r="BS276" s="113"/>
      <c r="BT276" s="113"/>
      <c r="BU276" s="113"/>
      <c r="BV276" s="113"/>
      <c r="BW276" s="113"/>
      <c r="BX276" s="113"/>
      <c r="BY276" s="113"/>
      <c r="BZ276" s="113"/>
      <c r="CA276" s="113"/>
      <c r="CB276" s="113"/>
      <c r="CC276" s="113"/>
      <c r="CD276" s="113"/>
      <c r="CE276" s="113"/>
      <c r="CF276" s="113"/>
      <c r="CG276" s="113"/>
      <c r="CH276" s="113"/>
      <c r="CI276" s="113"/>
      <c r="CJ276" s="113"/>
      <c r="CK276" s="113"/>
      <c r="CL276" s="113"/>
      <c r="CM276" s="113"/>
      <c r="CN276" s="113"/>
      <c r="CO276" s="113"/>
      <c r="CP276" s="113"/>
      <c r="CQ276" s="113"/>
      <c r="CR276" s="113"/>
      <c r="CS276" s="113"/>
      <c r="CT276" s="113"/>
      <c r="CU276" s="113"/>
    </row>
    <row r="277">
      <c r="A277" s="159" t="str">
        <f>IFERROR(__xludf.DUMMYFUNCTION("""COMPUTED_VALUE"""),"G-8")</f>
        <v>G-8</v>
      </c>
      <c r="B277" s="113" t="str">
        <f>IFERROR(__xludf.DUMMYFUNCTION("""COMPUTED_VALUE"""),"Ashley")</f>
        <v>Ashley</v>
      </c>
      <c r="C277" s="113" t="str">
        <f>IFERROR(__xludf.DUMMYFUNCTION("""COMPUTED_VALUE"""),"Sanabria")</f>
        <v>Sanabria</v>
      </c>
      <c r="D277" s="158">
        <f>IFERROR(__xludf.DUMMYFUNCTION("""COMPUTED_VALUE"""),1198.0)</f>
        <v>1198</v>
      </c>
      <c r="E277" s="161">
        <f t="shared" si="1"/>
        <v>8</v>
      </c>
      <c r="F277" s="160">
        <f>COUNTIFS('Scores Import DO NOT EDIT'!C:C, D277,'Scores Import DO NOT EDIT'!M:M,A277)</f>
        <v>8</v>
      </c>
      <c r="G277" s="162">
        <f t="shared" si="2"/>
        <v>1</v>
      </c>
      <c r="H277" s="163" t="str">
        <f t="shared" si="3"/>
        <v>G-81198</v>
      </c>
      <c r="I277" s="113"/>
      <c r="J277" s="113"/>
      <c r="K277" s="113"/>
      <c r="L277" s="158"/>
      <c r="M277" s="166" t="s">
        <v>295</v>
      </c>
      <c r="N277" s="113"/>
      <c r="O277" s="113"/>
      <c r="P277" s="113"/>
      <c r="Q277" s="113"/>
      <c r="R277" s="113"/>
      <c r="S277" s="113"/>
      <c r="T277" s="113"/>
      <c r="U277" s="113"/>
      <c r="V277" s="113"/>
      <c r="W277" s="113"/>
      <c r="X277" s="113"/>
      <c r="Y277" s="113"/>
      <c r="Z277" s="113"/>
      <c r="AA277" s="113"/>
      <c r="AB277" s="113"/>
      <c r="AC277" s="113"/>
      <c r="AD277" s="113"/>
      <c r="AE277" s="113"/>
      <c r="AF277" s="113"/>
      <c r="AG277" s="113"/>
      <c r="AH277" s="113"/>
      <c r="AI277" s="113"/>
      <c r="AJ277" s="113"/>
      <c r="AK277" s="113"/>
      <c r="AL277" s="113"/>
      <c r="AM277" s="113"/>
      <c r="AN277" s="113"/>
      <c r="AO277" s="113"/>
      <c r="AP277" s="113"/>
      <c r="AQ277" s="113"/>
      <c r="AR277" s="113"/>
      <c r="AS277" s="113"/>
      <c r="AT277" s="113"/>
      <c r="AU277" s="113"/>
      <c r="AV277" s="113"/>
      <c r="AW277" s="113"/>
      <c r="AX277" s="113"/>
      <c r="AY277" s="113"/>
      <c r="AZ277" s="113"/>
      <c r="BA277" s="113"/>
      <c r="BB277" s="113"/>
      <c r="BC277" s="113"/>
      <c r="BD277" s="113"/>
      <c r="BE277" s="113"/>
      <c r="BF277" s="113"/>
      <c r="BG277" s="113"/>
      <c r="BH277" s="113"/>
      <c r="BI277" s="113"/>
      <c r="BJ277" s="113"/>
      <c r="BK277" s="113"/>
      <c r="BL277" s="113"/>
      <c r="BM277" s="113"/>
      <c r="BN277" s="113"/>
      <c r="BO277" s="113"/>
      <c r="BP277" s="113"/>
      <c r="BQ277" s="113"/>
      <c r="BR277" s="113"/>
      <c r="BS277" s="113"/>
      <c r="BT277" s="113"/>
      <c r="BU277" s="113"/>
      <c r="BV277" s="113"/>
      <c r="BW277" s="113"/>
      <c r="BX277" s="113"/>
      <c r="BY277" s="113"/>
      <c r="BZ277" s="113"/>
      <c r="CA277" s="113"/>
      <c r="CB277" s="113"/>
      <c r="CC277" s="113"/>
      <c r="CD277" s="113"/>
      <c r="CE277" s="113"/>
      <c r="CF277" s="113"/>
      <c r="CG277" s="113"/>
      <c r="CH277" s="113"/>
      <c r="CI277" s="113"/>
      <c r="CJ277" s="113"/>
      <c r="CK277" s="113"/>
      <c r="CL277" s="113"/>
      <c r="CM277" s="113"/>
      <c r="CN277" s="113"/>
      <c r="CO277" s="113"/>
      <c r="CP277" s="113"/>
      <c r="CQ277" s="113"/>
      <c r="CR277" s="113"/>
      <c r="CS277" s="113"/>
      <c r="CT277" s="113"/>
      <c r="CU277" s="113"/>
    </row>
    <row r="278">
      <c r="A278" s="159" t="str">
        <f>IFERROR(__xludf.DUMMYFUNCTION("""COMPUTED_VALUE"""),"G-8")</f>
        <v>G-8</v>
      </c>
      <c r="B278" s="113" t="str">
        <f>IFERROR(__xludf.DUMMYFUNCTION("""COMPUTED_VALUE"""),"Jeni")</f>
        <v>Jeni</v>
      </c>
      <c r="C278" s="113" t="str">
        <f>IFERROR(__xludf.DUMMYFUNCTION("""COMPUTED_VALUE"""),"Green")</f>
        <v>Green</v>
      </c>
      <c r="D278" s="158">
        <f>IFERROR(__xludf.DUMMYFUNCTION("""COMPUTED_VALUE"""),1022.0)</f>
        <v>1022</v>
      </c>
      <c r="E278" s="161">
        <f t="shared" si="1"/>
        <v>8</v>
      </c>
      <c r="F278" s="160">
        <f>COUNTIFS('Scores Import DO NOT EDIT'!C:C, D278,'Scores Import DO NOT EDIT'!M:M,A278)</f>
        <v>8</v>
      </c>
      <c r="G278" s="162">
        <f t="shared" si="2"/>
        <v>1</v>
      </c>
      <c r="H278" s="163" t="str">
        <f t="shared" si="3"/>
        <v>G-81022</v>
      </c>
      <c r="I278" s="113"/>
      <c r="J278" s="113"/>
      <c r="K278" s="113"/>
      <c r="L278" s="158"/>
      <c r="M278" s="166" t="s">
        <v>294</v>
      </c>
      <c r="N278" s="113"/>
      <c r="O278" s="113"/>
      <c r="P278" s="113"/>
      <c r="Q278" s="113"/>
      <c r="R278" s="113"/>
      <c r="S278" s="113"/>
      <c r="T278" s="113"/>
      <c r="U278" s="113"/>
      <c r="V278" s="113"/>
      <c r="W278" s="113"/>
      <c r="X278" s="113"/>
      <c r="Y278" s="113"/>
      <c r="Z278" s="113"/>
      <c r="AA278" s="113"/>
      <c r="AB278" s="113"/>
      <c r="AC278" s="113"/>
      <c r="AD278" s="113"/>
      <c r="AE278" s="113"/>
      <c r="AF278" s="113"/>
      <c r="AG278" s="113"/>
      <c r="AH278" s="113"/>
      <c r="AI278" s="113"/>
      <c r="AJ278" s="113"/>
      <c r="AK278" s="113"/>
      <c r="AL278" s="113"/>
      <c r="AM278" s="113"/>
      <c r="AN278" s="113"/>
      <c r="AO278" s="113"/>
      <c r="AP278" s="113"/>
      <c r="AQ278" s="113"/>
      <c r="AR278" s="113"/>
      <c r="AS278" s="113"/>
      <c r="AT278" s="113"/>
      <c r="AU278" s="113"/>
      <c r="AV278" s="113"/>
      <c r="AW278" s="113"/>
      <c r="AX278" s="113"/>
      <c r="AY278" s="113"/>
      <c r="AZ278" s="113"/>
      <c r="BA278" s="113"/>
      <c r="BB278" s="113"/>
      <c r="BC278" s="113"/>
      <c r="BD278" s="113"/>
      <c r="BE278" s="113"/>
      <c r="BF278" s="113"/>
      <c r="BG278" s="113"/>
      <c r="BH278" s="113"/>
      <c r="BI278" s="113"/>
      <c r="BJ278" s="113"/>
      <c r="BK278" s="113"/>
      <c r="BL278" s="113"/>
      <c r="BM278" s="113"/>
      <c r="BN278" s="113"/>
      <c r="BO278" s="113"/>
      <c r="BP278" s="113"/>
      <c r="BQ278" s="113"/>
      <c r="BR278" s="113"/>
      <c r="BS278" s="113"/>
      <c r="BT278" s="113"/>
      <c r="BU278" s="113"/>
      <c r="BV278" s="113"/>
      <c r="BW278" s="113"/>
      <c r="BX278" s="113"/>
      <c r="BY278" s="113"/>
      <c r="BZ278" s="113"/>
      <c r="CA278" s="113"/>
      <c r="CB278" s="113"/>
      <c r="CC278" s="113"/>
      <c r="CD278" s="113"/>
      <c r="CE278" s="113"/>
      <c r="CF278" s="113"/>
      <c r="CG278" s="113"/>
      <c r="CH278" s="113"/>
      <c r="CI278" s="113"/>
      <c r="CJ278" s="113"/>
      <c r="CK278" s="113"/>
      <c r="CL278" s="113"/>
      <c r="CM278" s="113"/>
      <c r="CN278" s="113"/>
      <c r="CO278" s="113"/>
      <c r="CP278" s="113"/>
      <c r="CQ278" s="113"/>
      <c r="CR278" s="113"/>
      <c r="CS278" s="113"/>
      <c r="CT278" s="113"/>
      <c r="CU278" s="113"/>
    </row>
    <row r="279">
      <c r="A279" s="159" t="str">
        <f>IFERROR(__xludf.DUMMYFUNCTION("""COMPUTED_VALUE"""),"G-8")</f>
        <v>G-8</v>
      </c>
      <c r="B279" s="113" t="str">
        <f>IFERROR(__xludf.DUMMYFUNCTION("""COMPUTED_VALUE"""),"Daniel L.")</f>
        <v>Daniel L.</v>
      </c>
      <c r="C279" s="113" t="str">
        <f>IFERROR(__xludf.DUMMYFUNCTION("""COMPUTED_VALUE"""),"Gross")</f>
        <v>Gross</v>
      </c>
      <c r="D279" s="158">
        <f>IFERROR(__xludf.DUMMYFUNCTION("""COMPUTED_VALUE"""),1233.0)</f>
        <v>1233</v>
      </c>
      <c r="E279" s="161">
        <f t="shared" si="1"/>
        <v>8</v>
      </c>
      <c r="F279" s="160">
        <f>COUNTIFS('Scores Import DO NOT EDIT'!C:C, D279,'Scores Import DO NOT EDIT'!M:M,A279)</f>
        <v>8</v>
      </c>
      <c r="G279" s="162">
        <f t="shared" si="2"/>
        <v>1</v>
      </c>
      <c r="H279" s="163" t="str">
        <f t="shared" si="3"/>
        <v>G-81233</v>
      </c>
      <c r="I279" s="113"/>
      <c r="J279" s="113"/>
      <c r="K279" s="113"/>
      <c r="L279" s="158"/>
      <c r="M279" s="166" t="s">
        <v>291</v>
      </c>
      <c r="N279" s="113"/>
      <c r="O279" s="113"/>
      <c r="P279" s="113"/>
      <c r="Q279" s="113"/>
      <c r="R279" s="113"/>
      <c r="S279" s="113"/>
      <c r="T279" s="113"/>
      <c r="U279" s="113"/>
      <c r="V279" s="113"/>
      <c r="W279" s="113"/>
      <c r="X279" s="113"/>
      <c r="Y279" s="113"/>
      <c r="Z279" s="113"/>
      <c r="AA279" s="113"/>
      <c r="AB279" s="113"/>
      <c r="AC279" s="113"/>
      <c r="AD279" s="113"/>
      <c r="AE279" s="113"/>
      <c r="AF279" s="113"/>
      <c r="AG279" s="113"/>
      <c r="AH279" s="113"/>
      <c r="AI279" s="113"/>
      <c r="AJ279" s="113"/>
      <c r="AK279" s="113"/>
      <c r="AL279" s="113"/>
      <c r="AM279" s="113"/>
      <c r="AN279" s="113"/>
      <c r="AO279" s="113"/>
      <c r="AP279" s="113"/>
      <c r="AQ279" s="113"/>
      <c r="AR279" s="113"/>
      <c r="AS279" s="113"/>
      <c r="AT279" s="113"/>
      <c r="AU279" s="113"/>
      <c r="AV279" s="113"/>
      <c r="AW279" s="113"/>
      <c r="AX279" s="113"/>
      <c r="AY279" s="113"/>
      <c r="AZ279" s="113"/>
      <c r="BA279" s="113"/>
      <c r="BB279" s="113"/>
      <c r="BC279" s="113"/>
      <c r="BD279" s="113"/>
      <c r="BE279" s="113"/>
      <c r="BF279" s="113"/>
      <c r="BG279" s="113"/>
      <c r="BH279" s="113"/>
      <c r="BI279" s="113"/>
      <c r="BJ279" s="113"/>
      <c r="BK279" s="113"/>
      <c r="BL279" s="113"/>
      <c r="BM279" s="113"/>
      <c r="BN279" s="113"/>
      <c r="BO279" s="113"/>
      <c r="BP279" s="113"/>
      <c r="BQ279" s="113"/>
      <c r="BR279" s="113"/>
      <c r="BS279" s="113"/>
      <c r="BT279" s="113"/>
      <c r="BU279" s="113"/>
      <c r="BV279" s="113"/>
      <c r="BW279" s="113"/>
      <c r="BX279" s="113"/>
      <c r="BY279" s="113"/>
      <c r="BZ279" s="113"/>
      <c r="CA279" s="113"/>
      <c r="CB279" s="113"/>
      <c r="CC279" s="113"/>
      <c r="CD279" s="113"/>
      <c r="CE279" s="113"/>
      <c r="CF279" s="113"/>
      <c r="CG279" s="113"/>
      <c r="CH279" s="113"/>
      <c r="CI279" s="113"/>
      <c r="CJ279" s="113"/>
      <c r="CK279" s="113"/>
      <c r="CL279" s="113"/>
      <c r="CM279" s="113"/>
      <c r="CN279" s="113"/>
      <c r="CO279" s="113"/>
      <c r="CP279" s="113"/>
      <c r="CQ279" s="113"/>
      <c r="CR279" s="113"/>
      <c r="CS279" s="113"/>
      <c r="CT279" s="113"/>
      <c r="CU279" s="113"/>
    </row>
    <row r="280">
      <c r="A280" s="159" t="str">
        <f>IFERROR(__xludf.DUMMYFUNCTION("""COMPUTED_VALUE"""),"G-8")</f>
        <v>G-8</v>
      </c>
      <c r="B280" s="113" t="str">
        <f>IFERROR(__xludf.DUMMYFUNCTION("""COMPUTED_VALUE"""),"Liang")</f>
        <v>Liang</v>
      </c>
      <c r="C280" s="113" t="str">
        <f>IFERROR(__xludf.DUMMYFUNCTION("""COMPUTED_VALUE"""),"Ma")</f>
        <v>Ma</v>
      </c>
      <c r="D280" s="158">
        <f>IFERROR(__xludf.DUMMYFUNCTION("""COMPUTED_VALUE"""),1050.0)</f>
        <v>1050</v>
      </c>
      <c r="E280" s="161">
        <f t="shared" si="1"/>
        <v>8</v>
      </c>
      <c r="F280" s="160">
        <f>COUNTIFS('Scores Import DO NOT EDIT'!C:C, D280,'Scores Import DO NOT EDIT'!M:M,A280)</f>
        <v>8</v>
      </c>
      <c r="G280" s="162">
        <f t="shared" si="2"/>
        <v>1</v>
      </c>
      <c r="H280" s="163" t="str">
        <f t="shared" si="3"/>
        <v>G-81050</v>
      </c>
      <c r="I280" s="113"/>
      <c r="J280" s="113"/>
      <c r="K280" s="113"/>
      <c r="L280" s="158"/>
      <c r="M280" s="166" t="s">
        <v>296</v>
      </c>
      <c r="N280" s="113"/>
      <c r="O280" s="113"/>
      <c r="P280" s="113"/>
      <c r="Q280" s="113"/>
      <c r="R280" s="113"/>
      <c r="S280" s="113"/>
      <c r="T280" s="113"/>
      <c r="U280" s="113"/>
      <c r="V280" s="113"/>
      <c r="W280" s="113"/>
      <c r="X280" s="113"/>
      <c r="Y280" s="113"/>
      <c r="Z280" s="113"/>
      <c r="AA280" s="113"/>
      <c r="AB280" s="113"/>
      <c r="AC280" s="113"/>
      <c r="AD280" s="113"/>
      <c r="AE280" s="113"/>
      <c r="AF280" s="113"/>
      <c r="AG280" s="113"/>
      <c r="AH280" s="113"/>
      <c r="AI280" s="113"/>
      <c r="AJ280" s="113"/>
      <c r="AK280" s="113"/>
      <c r="AL280" s="113"/>
      <c r="AM280" s="113"/>
      <c r="AN280" s="113"/>
      <c r="AO280" s="113"/>
      <c r="AP280" s="113"/>
      <c r="AQ280" s="113"/>
      <c r="AR280" s="113"/>
      <c r="AS280" s="113"/>
      <c r="AT280" s="113"/>
      <c r="AU280" s="113"/>
      <c r="AV280" s="113"/>
      <c r="AW280" s="113"/>
      <c r="AX280" s="113"/>
      <c r="AY280" s="113"/>
      <c r="AZ280" s="113"/>
      <c r="BA280" s="113"/>
      <c r="BB280" s="113"/>
      <c r="BC280" s="113"/>
      <c r="BD280" s="113"/>
      <c r="BE280" s="113"/>
      <c r="BF280" s="113"/>
      <c r="BG280" s="113"/>
      <c r="BH280" s="113"/>
      <c r="BI280" s="113"/>
      <c r="BJ280" s="113"/>
      <c r="BK280" s="113"/>
      <c r="BL280" s="113"/>
      <c r="BM280" s="113"/>
      <c r="BN280" s="113"/>
      <c r="BO280" s="113"/>
      <c r="BP280" s="113"/>
      <c r="BQ280" s="113"/>
      <c r="BR280" s="113"/>
      <c r="BS280" s="113"/>
      <c r="BT280" s="113"/>
      <c r="BU280" s="113"/>
      <c r="BV280" s="113"/>
      <c r="BW280" s="113"/>
      <c r="BX280" s="113"/>
      <c r="BY280" s="113"/>
      <c r="BZ280" s="113"/>
      <c r="CA280" s="113"/>
      <c r="CB280" s="113"/>
      <c r="CC280" s="113"/>
      <c r="CD280" s="113"/>
      <c r="CE280" s="113"/>
      <c r="CF280" s="113"/>
      <c r="CG280" s="113"/>
      <c r="CH280" s="113"/>
      <c r="CI280" s="113"/>
      <c r="CJ280" s="113"/>
      <c r="CK280" s="113"/>
      <c r="CL280" s="113"/>
      <c r="CM280" s="113"/>
      <c r="CN280" s="113"/>
      <c r="CO280" s="113"/>
      <c r="CP280" s="113"/>
      <c r="CQ280" s="113"/>
      <c r="CR280" s="113"/>
      <c r="CS280" s="113"/>
      <c r="CT280" s="113"/>
      <c r="CU280" s="113"/>
    </row>
    <row r="281">
      <c r="A281" s="159" t="str">
        <f>IFERROR(__xludf.DUMMYFUNCTION("""COMPUTED_VALUE"""),"G-9")</f>
        <v>G-9</v>
      </c>
      <c r="B281" s="113" t="str">
        <f>IFERROR(__xludf.DUMMYFUNCTION("""COMPUTED_VALUE"""),"Juanjuan")</f>
        <v>Juanjuan</v>
      </c>
      <c r="C281" s="113" t="str">
        <f>IFERROR(__xludf.DUMMYFUNCTION("""COMPUTED_VALUE"""),"Fan")</f>
        <v>Fan</v>
      </c>
      <c r="D281" s="158">
        <f>IFERROR(__xludf.DUMMYFUNCTION("""COMPUTED_VALUE"""),1015.0)</f>
        <v>1015</v>
      </c>
      <c r="E281" s="161">
        <f t="shared" si="1"/>
        <v>8</v>
      </c>
      <c r="F281" s="160">
        <f>COUNTIFS('Scores Import DO NOT EDIT'!C:C, D281,'Scores Import DO NOT EDIT'!M:M,A281)</f>
        <v>8</v>
      </c>
      <c r="G281" s="162">
        <f t="shared" si="2"/>
        <v>1</v>
      </c>
      <c r="H281" s="163" t="str">
        <f t="shared" si="3"/>
        <v>G-91015</v>
      </c>
      <c r="I281" s="113"/>
      <c r="J281" s="113"/>
      <c r="K281" s="113"/>
      <c r="L281" s="158"/>
      <c r="M281" s="166" t="s">
        <v>303</v>
      </c>
      <c r="N281" s="113"/>
      <c r="O281" s="113"/>
      <c r="P281" s="113"/>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c r="AT281" s="113"/>
      <c r="AU281" s="113"/>
      <c r="AV281" s="113"/>
      <c r="AW281" s="113"/>
      <c r="AX281" s="113"/>
      <c r="AY281" s="113"/>
      <c r="AZ281" s="113"/>
      <c r="BA281" s="113"/>
      <c r="BB281" s="113"/>
      <c r="BC281" s="113"/>
      <c r="BD281" s="113"/>
      <c r="BE281" s="113"/>
      <c r="BF281" s="113"/>
      <c r="BG281" s="113"/>
      <c r="BH281" s="113"/>
      <c r="BI281" s="113"/>
      <c r="BJ281" s="113"/>
      <c r="BK281" s="113"/>
      <c r="BL281" s="113"/>
      <c r="BM281" s="113"/>
      <c r="BN281" s="113"/>
      <c r="BO281" s="113"/>
      <c r="BP281" s="113"/>
      <c r="BQ281" s="113"/>
      <c r="BR281" s="113"/>
      <c r="BS281" s="113"/>
      <c r="BT281" s="113"/>
      <c r="BU281" s="113"/>
      <c r="BV281" s="113"/>
      <c r="BW281" s="113"/>
      <c r="BX281" s="113"/>
      <c r="BY281" s="113"/>
      <c r="BZ281" s="113"/>
      <c r="CA281" s="113"/>
      <c r="CB281" s="113"/>
      <c r="CC281" s="113"/>
      <c r="CD281" s="113"/>
      <c r="CE281" s="113"/>
      <c r="CF281" s="113"/>
      <c r="CG281" s="113"/>
      <c r="CH281" s="113"/>
      <c r="CI281" s="113"/>
      <c r="CJ281" s="113"/>
      <c r="CK281" s="113"/>
      <c r="CL281" s="113"/>
      <c r="CM281" s="113"/>
      <c r="CN281" s="113"/>
      <c r="CO281" s="113"/>
      <c r="CP281" s="113"/>
      <c r="CQ281" s="113"/>
      <c r="CR281" s="113"/>
      <c r="CS281" s="113"/>
      <c r="CT281" s="113"/>
      <c r="CU281" s="113"/>
    </row>
    <row r="282">
      <c r="A282" s="159" t="str">
        <f>IFERROR(__xludf.DUMMYFUNCTION("""COMPUTED_VALUE"""),"G-9")</f>
        <v>G-9</v>
      </c>
      <c r="B282" s="113" t="str">
        <f>IFERROR(__xludf.DUMMYFUNCTION("""COMPUTED_VALUE"""),"Natalie")</f>
        <v>Natalie</v>
      </c>
      <c r="C282" s="113" t="str">
        <f>IFERROR(__xludf.DUMMYFUNCTION("""COMPUTED_VALUE"""),"Gude")</f>
        <v>Gude</v>
      </c>
      <c r="D282" s="158">
        <f>IFERROR(__xludf.DUMMYFUNCTION("""COMPUTED_VALUE"""),1010.0)</f>
        <v>1010</v>
      </c>
      <c r="E282" s="161">
        <f t="shared" si="1"/>
        <v>8</v>
      </c>
      <c r="F282" s="160">
        <f>COUNTIFS('Scores Import DO NOT EDIT'!C:C, D282,'Scores Import DO NOT EDIT'!M:M,A282)</f>
        <v>8</v>
      </c>
      <c r="G282" s="162">
        <f t="shared" si="2"/>
        <v>1</v>
      </c>
      <c r="H282" s="163" t="str">
        <f t="shared" si="3"/>
        <v>G-91010</v>
      </c>
      <c r="I282" s="113"/>
      <c r="J282" s="113"/>
      <c r="K282" s="113"/>
      <c r="L282" s="158"/>
      <c r="M282" s="166" t="s">
        <v>299</v>
      </c>
      <c r="N282" s="113"/>
      <c r="O282" s="113"/>
      <c r="P282" s="113"/>
      <c r="Q282" s="113"/>
      <c r="R282" s="113"/>
      <c r="S282" s="113"/>
      <c r="T282" s="113"/>
      <c r="U282" s="113"/>
      <c r="V282" s="113"/>
      <c r="W282" s="113"/>
      <c r="X282" s="113"/>
      <c r="Y282" s="113"/>
      <c r="Z282" s="113"/>
      <c r="AA282" s="113"/>
      <c r="AB282" s="113"/>
      <c r="AC282" s="113"/>
      <c r="AD282" s="113"/>
      <c r="AE282" s="113"/>
      <c r="AF282" s="113"/>
      <c r="AG282" s="113"/>
      <c r="AH282" s="113"/>
      <c r="AI282" s="113"/>
      <c r="AJ282" s="113"/>
      <c r="AK282" s="113"/>
      <c r="AL282" s="113"/>
      <c r="AM282" s="113"/>
      <c r="AN282" s="113"/>
      <c r="AO282" s="113"/>
      <c r="AP282" s="113"/>
      <c r="AQ282" s="113"/>
      <c r="AR282" s="113"/>
      <c r="AS282" s="113"/>
      <c r="AT282" s="113"/>
      <c r="AU282" s="113"/>
      <c r="AV282" s="113"/>
      <c r="AW282" s="113"/>
      <c r="AX282" s="113"/>
      <c r="AY282" s="113"/>
      <c r="AZ282" s="113"/>
      <c r="BA282" s="113"/>
      <c r="BB282" s="113"/>
      <c r="BC282" s="113"/>
      <c r="BD282" s="113"/>
      <c r="BE282" s="113"/>
      <c r="BF282" s="113"/>
      <c r="BG282" s="113"/>
      <c r="BH282" s="113"/>
      <c r="BI282" s="113"/>
      <c r="BJ282" s="113"/>
      <c r="BK282" s="113"/>
      <c r="BL282" s="113"/>
      <c r="BM282" s="113"/>
      <c r="BN282" s="113"/>
      <c r="BO282" s="113"/>
      <c r="BP282" s="113"/>
      <c r="BQ282" s="113"/>
      <c r="BR282" s="113"/>
      <c r="BS282" s="113"/>
      <c r="BT282" s="113"/>
      <c r="BU282" s="113"/>
      <c r="BV282" s="113"/>
      <c r="BW282" s="113"/>
      <c r="BX282" s="113"/>
      <c r="BY282" s="113"/>
      <c r="BZ282" s="113"/>
      <c r="CA282" s="113"/>
      <c r="CB282" s="113"/>
      <c r="CC282" s="113"/>
      <c r="CD282" s="113"/>
      <c r="CE282" s="113"/>
      <c r="CF282" s="113"/>
      <c r="CG282" s="113"/>
      <c r="CH282" s="113"/>
      <c r="CI282" s="113"/>
      <c r="CJ282" s="113"/>
      <c r="CK282" s="113"/>
      <c r="CL282" s="113"/>
      <c r="CM282" s="113"/>
      <c r="CN282" s="113"/>
      <c r="CO282" s="113"/>
      <c r="CP282" s="113"/>
      <c r="CQ282" s="113"/>
      <c r="CR282" s="113"/>
      <c r="CS282" s="113"/>
      <c r="CT282" s="113"/>
      <c r="CU282" s="113"/>
    </row>
    <row r="283">
      <c r="A283" s="159" t="str">
        <f>IFERROR(__xludf.DUMMYFUNCTION("""COMPUTED_VALUE"""),"G-9")</f>
        <v>G-9</v>
      </c>
      <c r="B283" s="113" t="str">
        <f>IFERROR(__xludf.DUMMYFUNCTION("""COMPUTED_VALUE"""),"Kelly")</f>
        <v>Kelly</v>
      </c>
      <c r="C283" s="113" t="str">
        <f>IFERROR(__xludf.DUMMYFUNCTION("""COMPUTED_VALUE"""),"Ross")</f>
        <v>Ross</v>
      </c>
      <c r="D283" s="158">
        <f>IFERROR(__xludf.DUMMYFUNCTION("""COMPUTED_VALUE"""),1046.0)</f>
        <v>1046</v>
      </c>
      <c r="E283" s="161">
        <f t="shared" si="1"/>
        <v>8</v>
      </c>
      <c r="F283" s="160">
        <f>COUNTIFS('Scores Import DO NOT EDIT'!C:C, D283,'Scores Import DO NOT EDIT'!M:M,A283)</f>
        <v>0</v>
      </c>
      <c r="G283" s="162">
        <f t="shared" si="2"/>
        <v>0</v>
      </c>
      <c r="H283" s="163" t="str">
        <f t="shared" si="3"/>
        <v>G-91046</v>
      </c>
      <c r="I283" s="113"/>
      <c r="J283" s="113"/>
      <c r="K283" s="113"/>
      <c r="L283" s="158"/>
      <c r="M283" s="166" t="s">
        <v>302</v>
      </c>
      <c r="N283" s="113"/>
      <c r="O283" s="113"/>
      <c r="P283" s="113"/>
      <c r="Q283" s="113"/>
      <c r="R283" s="113"/>
      <c r="S283" s="113"/>
      <c r="T283" s="113"/>
      <c r="U283" s="113"/>
      <c r="V283" s="113"/>
      <c r="W283" s="113"/>
      <c r="X283" s="113"/>
      <c r="Y283" s="113"/>
      <c r="Z283" s="113"/>
      <c r="AA283" s="113"/>
      <c r="AB283" s="113"/>
      <c r="AC283" s="113"/>
      <c r="AD283" s="113"/>
      <c r="AE283" s="113"/>
      <c r="AF283" s="113"/>
      <c r="AG283" s="113"/>
      <c r="AH283" s="113"/>
      <c r="AI283" s="113"/>
      <c r="AJ283" s="113"/>
      <c r="AK283" s="113"/>
      <c r="AL283" s="113"/>
      <c r="AM283" s="113"/>
      <c r="AN283" s="113"/>
      <c r="AO283" s="113"/>
      <c r="AP283" s="113"/>
      <c r="AQ283" s="113"/>
      <c r="AR283" s="113"/>
      <c r="AS283" s="113"/>
      <c r="AT283" s="113"/>
      <c r="AU283" s="113"/>
      <c r="AV283" s="113"/>
      <c r="AW283" s="113"/>
      <c r="AX283" s="113"/>
      <c r="AY283" s="113"/>
      <c r="AZ283" s="113"/>
      <c r="BA283" s="113"/>
      <c r="BB283" s="113"/>
      <c r="BC283" s="113"/>
      <c r="BD283" s="113"/>
      <c r="BE283" s="113"/>
      <c r="BF283" s="113"/>
      <c r="BG283" s="113"/>
      <c r="BH283" s="113"/>
      <c r="BI283" s="113"/>
      <c r="BJ283" s="113"/>
      <c r="BK283" s="113"/>
      <c r="BL283" s="113"/>
      <c r="BM283" s="113"/>
      <c r="BN283" s="113"/>
      <c r="BO283" s="113"/>
      <c r="BP283" s="113"/>
      <c r="BQ283" s="113"/>
      <c r="BR283" s="113"/>
      <c r="BS283" s="113"/>
      <c r="BT283" s="113"/>
      <c r="BU283" s="113"/>
      <c r="BV283" s="113"/>
      <c r="BW283" s="113"/>
      <c r="BX283" s="113"/>
      <c r="BY283" s="113"/>
      <c r="BZ283" s="113"/>
      <c r="CA283" s="113"/>
      <c r="CB283" s="113"/>
      <c r="CC283" s="113"/>
      <c r="CD283" s="113"/>
      <c r="CE283" s="113"/>
      <c r="CF283" s="113"/>
      <c r="CG283" s="113"/>
      <c r="CH283" s="113"/>
      <c r="CI283" s="113"/>
      <c r="CJ283" s="113"/>
      <c r="CK283" s="113"/>
      <c r="CL283" s="113"/>
      <c r="CM283" s="113"/>
      <c r="CN283" s="113"/>
      <c r="CO283" s="113"/>
      <c r="CP283" s="113"/>
      <c r="CQ283" s="113"/>
      <c r="CR283" s="113"/>
      <c r="CS283" s="113"/>
      <c r="CT283" s="113"/>
      <c r="CU283" s="113"/>
    </row>
    <row r="284">
      <c r="A284" s="159" t="str">
        <f>IFERROR(__xludf.DUMMYFUNCTION("""COMPUTED_VALUE"""),"G-9")</f>
        <v>G-9</v>
      </c>
      <c r="B284" s="113" t="str">
        <f>IFERROR(__xludf.DUMMYFUNCTION("""COMPUTED_VALUE"""),"Crystal")</f>
        <v>Crystal</v>
      </c>
      <c r="C284" s="113" t="str">
        <f>IFERROR(__xludf.DUMMYFUNCTION("""COMPUTED_VALUE"""),"English")</f>
        <v>English</v>
      </c>
      <c r="D284" s="158">
        <f>IFERROR(__xludf.DUMMYFUNCTION("""COMPUTED_VALUE"""),1032.0)</f>
        <v>1032</v>
      </c>
      <c r="E284" s="161">
        <f t="shared" si="1"/>
        <v>8</v>
      </c>
      <c r="F284" s="160">
        <f>COUNTIFS('Scores Import DO NOT EDIT'!C:C, D284,'Scores Import DO NOT EDIT'!M:M,A284)</f>
        <v>6</v>
      </c>
      <c r="G284" s="162">
        <f t="shared" si="2"/>
        <v>0.75</v>
      </c>
      <c r="H284" s="163" t="str">
        <f t="shared" si="3"/>
        <v>G-91032</v>
      </c>
      <c r="I284" s="113"/>
      <c r="J284" s="113"/>
      <c r="K284" s="113"/>
      <c r="L284" s="158"/>
      <c r="M284" s="166" t="s">
        <v>301</v>
      </c>
      <c r="N284" s="113"/>
      <c r="O284" s="113"/>
      <c r="P284" s="113"/>
      <c r="Q284" s="113"/>
      <c r="R284" s="113"/>
      <c r="S284" s="113"/>
      <c r="T284" s="113"/>
      <c r="U284" s="113"/>
      <c r="V284" s="113"/>
      <c r="W284" s="113"/>
      <c r="X284" s="113"/>
      <c r="Y284" s="113"/>
      <c r="Z284" s="113"/>
      <c r="AA284" s="113"/>
      <c r="AB284" s="113"/>
      <c r="AC284" s="113"/>
      <c r="AD284" s="113"/>
      <c r="AE284" s="113"/>
      <c r="AF284" s="113"/>
      <c r="AG284" s="113"/>
      <c r="AH284" s="113"/>
      <c r="AI284" s="113"/>
      <c r="AJ284" s="113"/>
      <c r="AK284" s="113"/>
      <c r="AL284" s="113"/>
      <c r="AM284" s="113"/>
      <c r="AN284" s="113"/>
      <c r="AO284" s="113"/>
      <c r="AP284" s="113"/>
      <c r="AQ284" s="113"/>
      <c r="AR284" s="113"/>
      <c r="AS284" s="113"/>
      <c r="AT284" s="113"/>
      <c r="AU284" s="113"/>
      <c r="AV284" s="113"/>
      <c r="AW284" s="113"/>
      <c r="AX284" s="113"/>
      <c r="AY284" s="113"/>
      <c r="AZ284" s="113"/>
      <c r="BA284" s="113"/>
      <c r="BB284" s="113"/>
      <c r="BC284" s="113"/>
      <c r="BD284" s="113"/>
      <c r="BE284" s="113"/>
      <c r="BF284" s="113"/>
      <c r="BG284" s="113"/>
      <c r="BH284" s="113"/>
      <c r="BI284" s="113"/>
      <c r="BJ284" s="113"/>
      <c r="BK284" s="113"/>
      <c r="BL284" s="113"/>
      <c r="BM284" s="113"/>
      <c r="BN284" s="113"/>
      <c r="BO284" s="113"/>
      <c r="BP284" s="113"/>
      <c r="BQ284" s="113"/>
      <c r="BR284" s="113"/>
      <c r="BS284" s="113"/>
      <c r="BT284" s="113"/>
      <c r="BU284" s="113"/>
      <c r="BV284" s="113"/>
      <c r="BW284" s="113"/>
      <c r="BX284" s="113"/>
      <c r="BY284" s="113"/>
      <c r="BZ284" s="113"/>
      <c r="CA284" s="113"/>
      <c r="CB284" s="113"/>
      <c r="CC284" s="113"/>
      <c r="CD284" s="113"/>
      <c r="CE284" s="113"/>
      <c r="CF284" s="113"/>
      <c r="CG284" s="113"/>
      <c r="CH284" s="113"/>
      <c r="CI284" s="113"/>
      <c r="CJ284" s="113"/>
      <c r="CK284" s="113"/>
      <c r="CL284" s="113"/>
      <c r="CM284" s="113"/>
      <c r="CN284" s="113"/>
      <c r="CO284" s="113"/>
      <c r="CP284" s="113"/>
      <c r="CQ284" s="113"/>
      <c r="CR284" s="113"/>
      <c r="CS284" s="113"/>
      <c r="CT284" s="113"/>
      <c r="CU284" s="113"/>
    </row>
    <row r="285">
      <c r="A285" s="159" t="str">
        <f>IFERROR(__xludf.DUMMYFUNCTION("""COMPUTED_VALUE"""),"G-9")</f>
        <v>G-9</v>
      </c>
      <c r="B285" s="113" t="str">
        <f>IFERROR(__xludf.DUMMYFUNCTION("""COMPUTED_VALUE"""),"Jing")</f>
        <v>Jing</v>
      </c>
      <c r="C285" s="113" t="str">
        <f>IFERROR(__xludf.DUMMYFUNCTION("""COMPUTED_VALUE"""),"Zhao")</f>
        <v>Zhao</v>
      </c>
      <c r="D285" s="158">
        <f>IFERROR(__xludf.DUMMYFUNCTION("""COMPUTED_VALUE"""),1068.0)</f>
        <v>1068</v>
      </c>
      <c r="E285" s="161">
        <f t="shared" si="1"/>
        <v>8</v>
      </c>
      <c r="F285" s="160">
        <f>COUNTIFS('Scores Import DO NOT EDIT'!C:C, D285,'Scores Import DO NOT EDIT'!M:M,A285)</f>
        <v>8</v>
      </c>
      <c r="G285" s="162">
        <f t="shared" si="2"/>
        <v>1</v>
      </c>
      <c r="H285" s="163" t="str">
        <f t="shared" si="3"/>
        <v>G-91068</v>
      </c>
      <c r="I285" s="113"/>
      <c r="J285" s="113"/>
      <c r="K285" s="113"/>
      <c r="L285" s="158"/>
      <c r="M285" s="166" t="s">
        <v>298</v>
      </c>
      <c r="N285" s="113"/>
      <c r="O285" s="113"/>
      <c r="P285" s="113"/>
      <c r="Q285" s="113"/>
      <c r="R285" s="113"/>
      <c r="S285" s="113"/>
      <c r="T285" s="113"/>
      <c r="U285" s="113"/>
      <c r="V285" s="113"/>
      <c r="W285" s="113"/>
      <c r="X285" s="113"/>
      <c r="Y285" s="113"/>
      <c r="Z285" s="113"/>
      <c r="AA285" s="113"/>
      <c r="AB285" s="113"/>
      <c r="AC285" s="113"/>
      <c r="AD285" s="113"/>
      <c r="AE285" s="113"/>
      <c r="AF285" s="113"/>
      <c r="AG285" s="113"/>
      <c r="AH285" s="113"/>
      <c r="AI285" s="113"/>
      <c r="AJ285" s="113"/>
      <c r="AK285" s="113"/>
      <c r="AL285" s="113"/>
      <c r="AM285" s="113"/>
      <c r="AN285" s="113"/>
      <c r="AO285" s="113"/>
      <c r="AP285" s="113"/>
      <c r="AQ285" s="113"/>
      <c r="AR285" s="113"/>
      <c r="AS285" s="113"/>
      <c r="AT285" s="113"/>
      <c r="AU285" s="113"/>
      <c r="AV285" s="113"/>
      <c r="AW285" s="113"/>
      <c r="AX285" s="113"/>
      <c r="AY285" s="113"/>
      <c r="AZ285" s="113"/>
      <c r="BA285" s="113"/>
      <c r="BB285" s="113"/>
      <c r="BC285" s="113"/>
      <c r="BD285" s="113"/>
      <c r="BE285" s="113"/>
      <c r="BF285" s="113"/>
      <c r="BG285" s="113"/>
      <c r="BH285" s="113"/>
      <c r="BI285" s="113"/>
      <c r="BJ285" s="113"/>
      <c r="BK285" s="113"/>
      <c r="BL285" s="113"/>
      <c r="BM285" s="113"/>
      <c r="BN285" s="113"/>
      <c r="BO285" s="113"/>
      <c r="BP285" s="113"/>
      <c r="BQ285" s="113"/>
      <c r="BR285" s="113"/>
      <c r="BS285" s="113"/>
      <c r="BT285" s="113"/>
      <c r="BU285" s="113"/>
      <c r="BV285" s="113"/>
      <c r="BW285" s="113"/>
      <c r="BX285" s="113"/>
      <c r="BY285" s="113"/>
      <c r="BZ285" s="113"/>
      <c r="CA285" s="113"/>
      <c r="CB285" s="113"/>
      <c r="CC285" s="113"/>
      <c r="CD285" s="113"/>
      <c r="CE285" s="113"/>
      <c r="CF285" s="113"/>
      <c r="CG285" s="113"/>
      <c r="CH285" s="113"/>
      <c r="CI285" s="113"/>
      <c r="CJ285" s="113"/>
      <c r="CK285" s="113"/>
      <c r="CL285" s="113"/>
      <c r="CM285" s="113"/>
      <c r="CN285" s="113"/>
      <c r="CO285" s="113"/>
      <c r="CP285" s="113"/>
      <c r="CQ285" s="113"/>
      <c r="CR285" s="113"/>
      <c r="CS285" s="113"/>
      <c r="CT285" s="113"/>
      <c r="CU285" s="113"/>
    </row>
    <row r="286">
      <c r="A286" s="159" t="str">
        <f>IFERROR(__xludf.DUMMYFUNCTION("""COMPUTED_VALUE"""),"H-1")</f>
        <v>H-1</v>
      </c>
      <c r="B286" s="113" t="str">
        <f>IFERROR(__xludf.DUMMYFUNCTION("""COMPUTED_VALUE"""),"Liang")</f>
        <v>Liang</v>
      </c>
      <c r="C286" s="113" t="str">
        <f>IFERROR(__xludf.DUMMYFUNCTION("""COMPUTED_VALUE"""),"Ma")</f>
        <v>Ma</v>
      </c>
      <c r="D286" s="158">
        <f>IFERROR(__xludf.DUMMYFUNCTION("""COMPUTED_VALUE"""),1050.0)</f>
        <v>1050</v>
      </c>
      <c r="E286" s="161">
        <f t="shared" si="1"/>
        <v>7</v>
      </c>
      <c r="F286" s="160">
        <f>COUNTIFS('Scores Import DO NOT EDIT'!C:C, D286,'Scores Import DO NOT EDIT'!M:M,A286)</f>
        <v>7</v>
      </c>
      <c r="G286" s="162">
        <f t="shared" si="2"/>
        <v>1</v>
      </c>
      <c r="H286" s="163" t="str">
        <f t="shared" si="3"/>
        <v>H-11050</v>
      </c>
      <c r="I286" s="113"/>
      <c r="J286" s="113"/>
      <c r="K286" s="113"/>
      <c r="L286" s="158"/>
      <c r="M286" s="166" t="s">
        <v>300</v>
      </c>
      <c r="N286" s="113"/>
      <c r="O286" s="113"/>
      <c r="P286" s="113"/>
      <c r="Q286" s="113"/>
      <c r="R286" s="113"/>
      <c r="S286" s="113"/>
      <c r="T286" s="113"/>
      <c r="U286" s="113"/>
      <c r="V286" s="113"/>
      <c r="W286" s="113"/>
      <c r="X286" s="113"/>
      <c r="Y286" s="113"/>
      <c r="Z286" s="113"/>
      <c r="AA286" s="113"/>
      <c r="AB286" s="113"/>
      <c r="AC286" s="113"/>
      <c r="AD286" s="113"/>
      <c r="AE286" s="113"/>
      <c r="AF286" s="113"/>
      <c r="AG286" s="113"/>
      <c r="AH286" s="113"/>
      <c r="AI286" s="113"/>
      <c r="AJ286" s="113"/>
      <c r="AK286" s="113"/>
      <c r="AL286" s="113"/>
      <c r="AM286" s="113"/>
      <c r="AN286" s="113"/>
      <c r="AO286" s="113"/>
      <c r="AP286" s="113"/>
      <c r="AQ286" s="113"/>
      <c r="AR286" s="113"/>
      <c r="AS286" s="113"/>
      <c r="AT286" s="113"/>
      <c r="AU286" s="113"/>
      <c r="AV286" s="113"/>
      <c r="AW286" s="113"/>
      <c r="AX286" s="113"/>
      <c r="AY286" s="113"/>
      <c r="AZ286" s="113"/>
      <c r="BA286" s="113"/>
      <c r="BB286" s="113"/>
      <c r="BC286" s="113"/>
      <c r="BD286" s="113"/>
      <c r="BE286" s="113"/>
      <c r="BF286" s="113"/>
      <c r="BG286" s="113"/>
      <c r="BH286" s="113"/>
      <c r="BI286" s="113"/>
      <c r="BJ286" s="113"/>
      <c r="BK286" s="113"/>
      <c r="BL286" s="113"/>
      <c r="BM286" s="113"/>
      <c r="BN286" s="113"/>
      <c r="BO286" s="113"/>
      <c r="BP286" s="113"/>
      <c r="BQ286" s="113"/>
      <c r="BR286" s="113"/>
      <c r="BS286" s="113"/>
      <c r="BT286" s="113"/>
      <c r="BU286" s="113"/>
      <c r="BV286" s="113"/>
      <c r="BW286" s="113"/>
      <c r="BX286" s="113"/>
      <c r="BY286" s="113"/>
      <c r="BZ286" s="113"/>
      <c r="CA286" s="113"/>
      <c r="CB286" s="113"/>
      <c r="CC286" s="113"/>
      <c r="CD286" s="113"/>
      <c r="CE286" s="113"/>
      <c r="CF286" s="113"/>
      <c r="CG286" s="113"/>
      <c r="CH286" s="113"/>
      <c r="CI286" s="113"/>
      <c r="CJ286" s="113"/>
      <c r="CK286" s="113"/>
      <c r="CL286" s="113"/>
      <c r="CM286" s="113"/>
      <c r="CN286" s="113"/>
      <c r="CO286" s="113"/>
      <c r="CP286" s="113"/>
      <c r="CQ286" s="113"/>
      <c r="CR286" s="113"/>
      <c r="CS286" s="113"/>
      <c r="CT286" s="113"/>
      <c r="CU286" s="113"/>
    </row>
    <row r="287">
      <c r="A287" s="159" t="str">
        <f>IFERROR(__xludf.DUMMYFUNCTION("""COMPUTED_VALUE"""),"H-1")</f>
        <v>H-1</v>
      </c>
      <c r="B287" s="113" t="str">
        <f>IFERROR(__xludf.DUMMYFUNCTION("""COMPUTED_VALUE"""),"Valeria")</f>
        <v>Valeria</v>
      </c>
      <c r="C287" s="113" t="str">
        <f>IFERROR(__xludf.DUMMYFUNCTION("""COMPUTED_VALUE"""),"Reese")</f>
        <v>Reese</v>
      </c>
      <c r="D287" s="158">
        <f>IFERROR(__xludf.DUMMYFUNCTION("""COMPUTED_VALUE"""),1037.0)</f>
        <v>1037</v>
      </c>
      <c r="E287" s="161">
        <f t="shared" si="1"/>
        <v>7</v>
      </c>
      <c r="F287" s="160">
        <f>COUNTIFS('Scores Import DO NOT EDIT'!C:C, D287,'Scores Import DO NOT EDIT'!M:M,A287)</f>
        <v>0</v>
      </c>
      <c r="G287" s="162">
        <f t="shared" si="2"/>
        <v>0</v>
      </c>
      <c r="H287" s="163" t="str">
        <f t="shared" si="3"/>
        <v>H-11037</v>
      </c>
      <c r="I287" s="113"/>
      <c r="J287" s="113"/>
      <c r="K287" s="113"/>
      <c r="L287" s="158"/>
      <c r="M287" s="166" t="s">
        <v>297</v>
      </c>
      <c r="N287" s="113"/>
      <c r="O287" s="113"/>
      <c r="P287" s="113"/>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c r="AT287" s="113"/>
      <c r="AU287" s="113"/>
      <c r="AV287" s="113"/>
      <c r="AW287" s="113"/>
      <c r="AX287" s="113"/>
      <c r="AY287" s="113"/>
      <c r="AZ287" s="113"/>
      <c r="BA287" s="113"/>
      <c r="BB287" s="113"/>
      <c r="BC287" s="113"/>
      <c r="BD287" s="113"/>
      <c r="BE287" s="113"/>
      <c r="BF287" s="113"/>
      <c r="BG287" s="113"/>
      <c r="BH287" s="113"/>
      <c r="BI287" s="113"/>
      <c r="BJ287" s="113"/>
      <c r="BK287" s="113"/>
      <c r="BL287" s="113"/>
      <c r="BM287" s="113"/>
      <c r="BN287" s="113"/>
      <c r="BO287" s="113"/>
      <c r="BP287" s="113"/>
      <c r="BQ287" s="113"/>
      <c r="BR287" s="113"/>
      <c r="BS287" s="113"/>
      <c r="BT287" s="113"/>
      <c r="BU287" s="113"/>
      <c r="BV287" s="113"/>
      <c r="BW287" s="113"/>
      <c r="BX287" s="113"/>
      <c r="BY287" s="113"/>
      <c r="BZ287" s="113"/>
      <c r="CA287" s="113"/>
      <c r="CB287" s="113"/>
      <c r="CC287" s="113"/>
      <c r="CD287" s="113"/>
      <c r="CE287" s="113"/>
      <c r="CF287" s="113"/>
      <c r="CG287" s="113"/>
      <c r="CH287" s="113"/>
      <c r="CI287" s="113"/>
      <c r="CJ287" s="113"/>
      <c r="CK287" s="113"/>
      <c r="CL287" s="113"/>
      <c r="CM287" s="113"/>
      <c r="CN287" s="113"/>
      <c r="CO287" s="113"/>
      <c r="CP287" s="113"/>
      <c r="CQ287" s="113"/>
      <c r="CR287" s="113"/>
      <c r="CS287" s="113"/>
      <c r="CT287" s="113"/>
      <c r="CU287" s="113"/>
    </row>
    <row r="288">
      <c r="A288" s="159" t="str">
        <f>IFERROR(__xludf.DUMMYFUNCTION("""COMPUTED_VALUE"""),"H-1")</f>
        <v>H-1</v>
      </c>
      <c r="B288" s="113" t="str">
        <f>IFERROR(__xludf.DUMMYFUNCTION("""COMPUTED_VALUE"""),"Tam")</f>
        <v>Tam</v>
      </c>
      <c r="C288" s="113" t="str">
        <f>IFERROR(__xludf.DUMMYFUNCTION("""COMPUTED_VALUE"""),"Lieu")</f>
        <v>Lieu</v>
      </c>
      <c r="D288" s="158">
        <f>IFERROR(__xludf.DUMMYFUNCTION("""COMPUTED_VALUE"""),1023.0)</f>
        <v>1023</v>
      </c>
      <c r="E288" s="161">
        <f t="shared" si="1"/>
        <v>7</v>
      </c>
      <c r="F288" s="160">
        <f>COUNTIFS('Scores Import DO NOT EDIT'!C:C, D288,'Scores Import DO NOT EDIT'!M:M,A288)</f>
        <v>7</v>
      </c>
      <c r="G288" s="162">
        <f t="shared" si="2"/>
        <v>1</v>
      </c>
      <c r="H288" s="163" t="str">
        <f t="shared" si="3"/>
        <v>H-11023</v>
      </c>
      <c r="I288" s="113"/>
      <c r="J288" s="113"/>
      <c r="K288" s="113"/>
      <c r="L288" s="158"/>
      <c r="M288" s="166" t="s">
        <v>361</v>
      </c>
      <c r="N288" s="113"/>
      <c r="O288" s="113"/>
      <c r="P288" s="113"/>
      <c r="Q288" s="113"/>
      <c r="R288" s="113"/>
      <c r="S288" s="113"/>
      <c r="T288" s="113"/>
      <c r="U288" s="113"/>
      <c r="V288" s="113"/>
      <c r="W288" s="113"/>
      <c r="X288" s="113"/>
      <c r="Y288" s="113"/>
      <c r="Z288" s="113"/>
      <c r="AA288" s="113"/>
      <c r="AB288" s="113"/>
      <c r="AC288" s="113"/>
      <c r="AD288" s="113"/>
      <c r="AE288" s="113"/>
      <c r="AF288" s="113"/>
      <c r="AG288" s="113"/>
      <c r="AH288" s="113"/>
      <c r="AI288" s="113"/>
      <c r="AJ288" s="113"/>
      <c r="AK288" s="113"/>
      <c r="AL288" s="113"/>
      <c r="AM288" s="113"/>
      <c r="AN288" s="113"/>
      <c r="AO288" s="113"/>
      <c r="AP288" s="113"/>
      <c r="AQ288" s="113"/>
      <c r="AR288" s="113"/>
      <c r="AS288" s="113"/>
      <c r="AT288" s="113"/>
      <c r="AU288" s="113"/>
      <c r="AV288" s="113"/>
      <c r="AW288" s="113"/>
      <c r="AX288" s="113"/>
      <c r="AY288" s="113"/>
      <c r="AZ288" s="113"/>
      <c r="BA288" s="113"/>
      <c r="BB288" s="113"/>
      <c r="BC288" s="113"/>
      <c r="BD288" s="113"/>
      <c r="BE288" s="113"/>
      <c r="BF288" s="113"/>
      <c r="BG288" s="113"/>
      <c r="BH288" s="113"/>
      <c r="BI288" s="113"/>
      <c r="BJ288" s="113"/>
      <c r="BK288" s="113"/>
      <c r="BL288" s="113"/>
      <c r="BM288" s="113"/>
      <c r="BN288" s="113"/>
      <c r="BO288" s="113"/>
      <c r="BP288" s="113"/>
      <c r="BQ288" s="113"/>
      <c r="BR288" s="113"/>
      <c r="BS288" s="113"/>
      <c r="BT288" s="113"/>
      <c r="BU288" s="113"/>
      <c r="BV288" s="113"/>
      <c r="BW288" s="113"/>
      <c r="BX288" s="113"/>
      <c r="BY288" s="113"/>
      <c r="BZ288" s="113"/>
      <c r="CA288" s="113"/>
      <c r="CB288" s="113"/>
      <c r="CC288" s="113"/>
      <c r="CD288" s="113"/>
      <c r="CE288" s="113"/>
      <c r="CF288" s="113"/>
      <c r="CG288" s="113"/>
      <c r="CH288" s="113"/>
      <c r="CI288" s="113"/>
      <c r="CJ288" s="113"/>
      <c r="CK288" s="113"/>
      <c r="CL288" s="113"/>
      <c r="CM288" s="113"/>
      <c r="CN288" s="113"/>
      <c r="CO288" s="113"/>
      <c r="CP288" s="113"/>
      <c r="CQ288" s="113"/>
      <c r="CR288" s="113"/>
      <c r="CS288" s="113"/>
      <c r="CT288" s="113"/>
      <c r="CU288" s="113"/>
    </row>
    <row r="289">
      <c r="A289" s="159" t="str">
        <f>IFERROR(__xludf.DUMMYFUNCTION("""COMPUTED_VALUE"""),"H-1")</f>
        <v>H-1</v>
      </c>
      <c r="B289" s="113" t="str">
        <f>IFERROR(__xludf.DUMMYFUNCTION("""COMPUTED_VALUE"""),"Anthony")</f>
        <v>Anthony</v>
      </c>
      <c r="C289" s="113" t="str">
        <f>IFERROR(__xludf.DUMMYFUNCTION("""COMPUTED_VALUE"""),"Villarreal")</f>
        <v>Villarreal</v>
      </c>
      <c r="D289" s="158">
        <f>IFERROR(__xludf.DUMMYFUNCTION("""COMPUTED_VALUE"""),1078.0)</f>
        <v>1078</v>
      </c>
      <c r="E289" s="161">
        <f t="shared" si="1"/>
        <v>7</v>
      </c>
      <c r="F289" s="160">
        <f>COUNTIFS('Scores Import DO NOT EDIT'!C:C, D289,'Scores Import DO NOT EDIT'!M:M,A289)</f>
        <v>7</v>
      </c>
      <c r="G289" s="162">
        <f t="shared" si="2"/>
        <v>1</v>
      </c>
      <c r="H289" s="163" t="str">
        <f t="shared" si="3"/>
        <v>H-11078</v>
      </c>
      <c r="I289" s="113"/>
      <c r="J289" s="113"/>
      <c r="K289" s="113"/>
      <c r="L289" s="158"/>
      <c r="M289" s="166" t="s">
        <v>366</v>
      </c>
      <c r="N289" s="113"/>
      <c r="O289" s="113"/>
      <c r="P289" s="113"/>
      <c r="Q289" s="113"/>
      <c r="R289" s="113"/>
      <c r="S289" s="113"/>
      <c r="T289" s="113"/>
      <c r="U289" s="113"/>
      <c r="V289" s="113"/>
      <c r="W289" s="113"/>
      <c r="X289" s="113"/>
      <c r="Y289" s="113"/>
      <c r="Z289" s="113"/>
      <c r="AA289" s="113"/>
      <c r="AB289" s="113"/>
      <c r="AC289" s="113"/>
      <c r="AD289" s="113"/>
      <c r="AE289" s="113"/>
      <c r="AF289" s="113"/>
      <c r="AG289" s="113"/>
      <c r="AH289" s="113"/>
      <c r="AI289" s="113"/>
      <c r="AJ289" s="113"/>
      <c r="AK289" s="113"/>
      <c r="AL289" s="113"/>
      <c r="AM289" s="113"/>
      <c r="AN289" s="113"/>
      <c r="AO289" s="113"/>
      <c r="AP289" s="113"/>
      <c r="AQ289" s="113"/>
      <c r="AR289" s="113"/>
      <c r="AS289" s="113"/>
      <c r="AT289" s="113"/>
      <c r="AU289" s="113"/>
      <c r="AV289" s="113"/>
      <c r="AW289" s="113"/>
      <c r="AX289" s="113"/>
      <c r="AY289" s="113"/>
      <c r="AZ289" s="113"/>
      <c r="BA289" s="113"/>
      <c r="BB289" s="113"/>
      <c r="BC289" s="113"/>
      <c r="BD289" s="113"/>
      <c r="BE289" s="113"/>
      <c r="BF289" s="113"/>
      <c r="BG289" s="113"/>
      <c r="BH289" s="113"/>
      <c r="BI289" s="113"/>
      <c r="BJ289" s="113"/>
      <c r="BK289" s="113"/>
      <c r="BL289" s="113"/>
      <c r="BM289" s="113"/>
      <c r="BN289" s="113"/>
      <c r="BO289" s="113"/>
      <c r="BP289" s="113"/>
      <c r="BQ289" s="113"/>
      <c r="BR289" s="113"/>
      <c r="BS289" s="113"/>
      <c r="BT289" s="113"/>
      <c r="BU289" s="113"/>
      <c r="BV289" s="113"/>
      <c r="BW289" s="113"/>
      <c r="BX289" s="113"/>
      <c r="BY289" s="113"/>
      <c r="BZ289" s="113"/>
      <c r="CA289" s="113"/>
      <c r="CB289" s="113"/>
      <c r="CC289" s="113"/>
      <c r="CD289" s="113"/>
      <c r="CE289" s="113"/>
      <c r="CF289" s="113"/>
      <c r="CG289" s="113"/>
      <c r="CH289" s="113"/>
      <c r="CI289" s="113"/>
      <c r="CJ289" s="113"/>
      <c r="CK289" s="113"/>
      <c r="CL289" s="113"/>
      <c r="CM289" s="113"/>
      <c r="CN289" s="113"/>
      <c r="CO289" s="113"/>
      <c r="CP289" s="113"/>
      <c r="CQ289" s="113"/>
      <c r="CR289" s="113"/>
      <c r="CS289" s="113"/>
      <c r="CT289" s="113"/>
      <c r="CU289" s="113"/>
    </row>
    <row r="290">
      <c r="A290" s="159" t="str">
        <f>IFERROR(__xludf.DUMMYFUNCTION("""COMPUTED_VALUE"""),"H-1")</f>
        <v>H-1</v>
      </c>
      <c r="B290" s="113" t="str">
        <f>IFERROR(__xludf.DUMMYFUNCTION("""COMPUTED_VALUE"""),"Dongbowei")</f>
        <v>Dongbowei</v>
      </c>
      <c r="C290" s="113" t="str">
        <f>IFERROR(__xludf.DUMMYFUNCTION("""COMPUTED_VALUE"""),"Zhang")</f>
        <v>Zhang</v>
      </c>
      <c r="D290" s="158">
        <f>IFERROR(__xludf.DUMMYFUNCTION("""COMPUTED_VALUE"""),1175.0)</f>
        <v>1175</v>
      </c>
      <c r="E290" s="161">
        <f t="shared" si="1"/>
        <v>7</v>
      </c>
      <c r="F290" s="160">
        <f>COUNTIFS('Scores Import DO NOT EDIT'!C:C, D290,'Scores Import DO NOT EDIT'!M:M,A290)</f>
        <v>6</v>
      </c>
      <c r="G290" s="162">
        <f t="shared" si="2"/>
        <v>0.8571428571</v>
      </c>
      <c r="H290" s="163" t="str">
        <f t="shared" si="3"/>
        <v>H-11175</v>
      </c>
      <c r="I290" s="113"/>
      <c r="J290" s="113"/>
      <c r="K290" s="113"/>
      <c r="L290" s="158"/>
      <c r="M290" s="166" t="s">
        <v>362</v>
      </c>
      <c r="N290" s="113"/>
      <c r="O290" s="113"/>
      <c r="P290" s="113"/>
      <c r="Q290" s="113"/>
      <c r="R290" s="113"/>
      <c r="S290" s="113"/>
      <c r="T290" s="113"/>
      <c r="U290" s="113"/>
      <c r="V290" s="113"/>
      <c r="W290" s="113"/>
      <c r="X290" s="113"/>
      <c r="Y290" s="113"/>
      <c r="Z290" s="113"/>
      <c r="AA290" s="113"/>
      <c r="AB290" s="113"/>
      <c r="AC290" s="113"/>
      <c r="AD290" s="113"/>
      <c r="AE290" s="113"/>
      <c r="AF290" s="113"/>
      <c r="AG290" s="113"/>
      <c r="AH290" s="113"/>
      <c r="AI290" s="113"/>
      <c r="AJ290" s="113"/>
      <c r="AK290" s="113"/>
      <c r="AL290" s="113"/>
      <c r="AM290" s="113"/>
      <c r="AN290" s="113"/>
      <c r="AO290" s="113"/>
      <c r="AP290" s="113"/>
      <c r="AQ290" s="113"/>
      <c r="AR290" s="113"/>
      <c r="AS290" s="113"/>
      <c r="AT290" s="113"/>
      <c r="AU290" s="113"/>
      <c r="AV290" s="113"/>
      <c r="AW290" s="113"/>
      <c r="AX290" s="113"/>
      <c r="AY290" s="113"/>
      <c r="AZ290" s="113"/>
      <c r="BA290" s="113"/>
      <c r="BB290" s="113"/>
      <c r="BC290" s="113"/>
      <c r="BD290" s="113"/>
      <c r="BE290" s="113"/>
      <c r="BF290" s="113"/>
      <c r="BG290" s="113"/>
      <c r="BH290" s="113"/>
      <c r="BI290" s="113"/>
      <c r="BJ290" s="113"/>
      <c r="BK290" s="113"/>
      <c r="BL290" s="113"/>
      <c r="BM290" s="113"/>
      <c r="BN290" s="113"/>
      <c r="BO290" s="113"/>
      <c r="BP290" s="113"/>
      <c r="BQ290" s="113"/>
      <c r="BR290" s="113"/>
      <c r="BS290" s="113"/>
      <c r="BT290" s="113"/>
      <c r="BU290" s="113"/>
      <c r="BV290" s="113"/>
      <c r="BW290" s="113"/>
      <c r="BX290" s="113"/>
      <c r="BY290" s="113"/>
      <c r="BZ290" s="113"/>
      <c r="CA290" s="113"/>
      <c r="CB290" s="113"/>
      <c r="CC290" s="113"/>
      <c r="CD290" s="113"/>
      <c r="CE290" s="113"/>
      <c r="CF290" s="113"/>
      <c r="CG290" s="113"/>
      <c r="CH290" s="113"/>
      <c r="CI290" s="113"/>
      <c r="CJ290" s="113"/>
      <c r="CK290" s="113"/>
      <c r="CL290" s="113"/>
      <c r="CM290" s="113"/>
      <c r="CN290" s="113"/>
      <c r="CO290" s="113"/>
      <c r="CP290" s="113"/>
      <c r="CQ290" s="113"/>
      <c r="CR290" s="113"/>
      <c r="CS290" s="113"/>
      <c r="CT290" s="113"/>
      <c r="CU290" s="113"/>
    </row>
    <row r="291">
      <c r="A291" s="159" t="str">
        <f>IFERROR(__xludf.DUMMYFUNCTION("""COMPUTED_VALUE"""),"H-10")</f>
        <v>H-10</v>
      </c>
      <c r="B291" s="113" t="str">
        <f>IFERROR(__xludf.DUMMYFUNCTION("""COMPUTED_VALUE"""),"Hyunjong")</f>
        <v>Hyunjong</v>
      </c>
      <c r="C291" s="113" t="str">
        <f>IFERROR(__xludf.DUMMYFUNCTION("""COMPUTED_VALUE"""),"Choi")</f>
        <v>Choi</v>
      </c>
      <c r="D291" s="158">
        <f>IFERROR(__xludf.DUMMYFUNCTION("""COMPUTED_VALUE"""),1075.0)</f>
        <v>1075</v>
      </c>
      <c r="E291" s="161">
        <f t="shared" si="1"/>
        <v>5</v>
      </c>
      <c r="F291" s="160">
        <f>COUNTIFS('Scores Import DO NOT EDIT'!C:C, D291,'Scores Import DO NOT EDIT'!M:M,A291)</f>
        <v>2</v>
      </c>
      <c r="G291" s="162">
        <f t="shared" si="2"/>
        <v>0.4</v>
      </c>
      <c r="H291" s="163" t="str">
        <f t="shared" si="3"/>
        <v>H-101075</v>
      </c>
      <c r="I291" s="113"/>
      <c r="J291" s="113"/>
      <c r="K291" s="113"/>
      <c r="L291" s="158"/>
      <c r="M291" s="166" t="s">
        <v>369</v>
      </c>
      <c r="N291" s="113"/>
      <c r="O291" s="113"/>
      <c r="P291" s="113"/>
      <c r="Q291" s="113"/>
      <c r="R291" s="113"/>
      <c r="S291" s="113"/>
      <c r="T291" s="113"/>
      <c r="U291" s="113"/>
      <c r="V291" s="113"/>
      <c r="W291" s="113"/>
      <c r="X291" s="113"/>
      <c r="Y291" s="113"/>
      <c r="Z291" s="113"/>
      <c r="AA291" s="113"/>
      <c r="AB291" s="113"/>
      <c r="AC291" s="113"/>
      <c r="AD291" s="113"/>
      <c r="AE291" s="113"/>
      <c r="AF291" s="113"/>
      <c r="AG291" s="113"/>
      <c r="AH291" s="113"/>
      <c r="AI291" s="113"/>
      <c r="AJ291" s="113"/>
      <c r="AK291" s="113"/>
      <c r="AL291" s="113"/>
      <c r="AM291" s="113"/>
      <c r="AN291" s="113"/>
      <c r="AO291" s="113"/>
      <c r="AP291" s="113"/>
      <c r="AQ291" s="113"/>
      <c r="AR291" s="113"/>
      <c r="AS291" s="113"/>
      <c r="AT291" s="113"/>
      <c r="AU291" s="113"/>
      <c r="AV291" s="113"/>
      <c r="AW291" s="113"/>
      <c r="AX291" s="113"/>
      <c r="AY291" s="113"/>
      <c r="AZ291" s="113"/>
      <c r="BA291" s="113"/>
      <c r="BB291" s="113"/>
      <c r="BC291" s="113"/>
      <c r="BD291" s="113"/>
      <c r="BE291" s="113"/>
      <c r="BF291" s="113"/>
      <c r="BG291" s="113"/>
      <c r="BH291" s="113"/>
      <c r="BI291" s="113"/>
      <c r="BJ291" s="113"/>
      <c r="BK291" s="113"/>
      <c r="BL291" s="113"/>
      <c r="BM291" s="113"/>
      <c r="BN291" s="113"/>
      <c r="BO291" s="113"/>
      <c r="BP291" s="113"/>
      <c r="BQ291" s="113"/>
      <c r="BR291" s="113"/>
      <c r="BS291" s="113"/>
      <c r="BT291" s="113"/>
      <c r="BU291" s="113"/>
      <c r="BV291" s="113"/>
      <c r="BW291" s="113"/>
      <c r="BX291" s="113"/>
      <c r="BY291" s="113"/>
      <c r="BZ291" s="113"/>
      <c r="CA291" s="113"/>
      <c r="CB291" s="113"/>
      <c r="CC291" s="113"/>
      <c r="CD291" s="113"/>
      <c r="CE291" s="113"/>
      <c r="CF291" s="113"/>
      <c r="CG291" s="113"/>
      <c r="CH291" s="113"/>
      <c r="CI291" s="113"/>
      <c r="CJ291" s="113"/>
      <c r="CK291" s="113"/>
      <c r="CL291" s="113"/>
      <c r="CM291" s="113"/>
      <c r="CN291" s="113"/>
      <c r="CO291" s="113"/>
      <c r="CP291" s="113"/>
      <c r="CQ291" s="113"/>
      <c r="CR291" s="113"/>
      <c r="CS291" s="113"/>
      <c r="CT291" s="113"/>
      <c r="CU291" s="113"/>
    </row>
    <row r="292">
      <c r="A292" s="159" t="str">
        <f>IFERROR(__xludf.DUMMYFUNCTION("""COMPUTED_VALUE"""),"H-10")</f>
        <v>H-10</v>
      </c>
      <c r="B292" s="113" t="str">
        <f>IFERROR(__xludf.DUMMYFUNCTION("""COMPUTED_VALUE"""),"Roger")</f>
        <v>Roger</v>
      </c>
      <c r="C292" s="113" t="str">
        <f>IFERROR(__xludf.DUMMYFUNCTION("""COMPUTED_VALUE"""),"Whitney")</f>
        <v>Whitney</v>
      </c>
      <c r="D292" s="158">
        <f>IFERROR(__xludf.DUMMYFUNCTION("""COMPUTED_VALUE"""),1091.0)</f>
        <v>1091</v>
      </c>
      <c r="E292" s="161">
        <f t="shared" si="1"/>
        <v>5</v>
      </c>
      <c r="F292" s="160">
        <f>COUNTIFS('Scores Import DO NOT EDIT'!C:C, D292,'Scores Import DO NOT EDIT'!M:M,A292)</f>
        <v>4</v>
      </c>
      <c r="G292" s="162">
        <f t="shared" si="2"/>
        <v>0.8</v>
      </c>
      <c r="H292" s="163" t="str">
        <f t="shared" si="3"/>
        <v>H-101091</v>
      </c>
      <c r="I292" s="113"/>
      <c r="J292" s="113"/>
      <c r="K292" s="113"/>
      <c r="L292" s="158"/>
      <c r="M292" s="166" t="s">
        <v>367</v>
      </c>
      <c r="N292" s="113"/>
      <c r="O292" s="113"/>
      <c r="P292" s="113"/>
      <c r="Q292" s="113"/>
      <c r="R292" s="113"/>
      <c r="S292" s="113"/>
      <c r="T292" s="113"/>
      <c r="U292" s="113"/>
      <c r="V292" s="113"/>
      <c r="W292" s="113"/>
      <c r="X292" s="113"/>
      <c r="Y292" s="113"/>
      <c r="Z292" s="113"/>
      <c r="AA292" s="113"/>
      <c r="AB292" s="113"/>
      <c r="AC292" s="113"/>
      <c r="AD292" s="113"/>
      <c r="AE292" s="113"/>
      <c r="AF292" s="113"/>
      <c r="AG292" s="113"/>
      <c r="AH292" s="113"/>
      <c r="AI292" s="113"/>
      <c r="AJ292" s="113"/>
      <c r="AK292" s="113"/>
      <c r="AL292" s="113"/>
      <c r="AM292" s="113"/>
      <c r="AN292" s="113"/>
      <c r="AO292" s="113"/>
      <c r="AP292" s="113"/>
      <c r="AQ292" s="113"/>
      <c r="AR292" s="113"/>
      <c r="AS292" s="113"/>
      <c r="AT292" s="113"/>
      <c r="AU292" s="113"/>
      <c r="AV292" s="113"/>
      <c r="AW292" s="113"/>
      <c r="AX292" s="113"/>
      <c r="AY292" s="113"/>
      <c r="AZ292" s="113"/>
      <c r="BA292" s="113"/>
      <c r="BB292" s="113"/>
      <c r="BC292" s="113"/>
      <c r="BD292" s="113"/>
      <c r="BE292" s="113"/>
      <c r="BF292" s="113"/>
      <c r="BG292" s="113"/>
      <c r="BH292" s="113"/>
      <c r="BI292" s="113"/>
      <c r="BJ292" s="113"/>
      <c r="BK292" s="113"/>
      <c r="BL292" s="113"/>
      <c r="BM292" s="113"/>
      <c r="BN292" s="113"/>
      <c r="BO292" s="113"/>
      <c r="BP292" s="113"/>
      <c r="BQ292" s="113"/>
      <c r="BR292" s="113"/>
      <c r="BS292" s="113"/>
      <c r="BT292" s="113"/>
      <c r="BU292" s="113"/>
      <c r="BV292" s="113"/>
      <c r="BW292" s="113"/>
      <c r="BX292" s="113"/>
      <c r="BY292" s="113"/>
      <c r="BZ292" s="113"/>
      <c r="CA292" s="113"/>
      <c r="CB292" s="113"/>
      <c r="CC292" s="113"/>
      <c r="CD292" s="113"/>
      <c r="CE292" s="113"/>
      <c r="CF292" s="113"/>
      <c r="CG292" s="113"/>
      <c r="CH292" s="113"/>
      <c r="CI292" s="113"/>
      <c r="CJ292" s="113"/>
      <c r="CK292" s="113"/>
      <c r="CL292" s="113"/>
      <c r="CM292" s="113"/>
      <c r="CN292" s="113"/>
      <c r="CO292" s="113"/>
      <c r="CP292" s="113"/>
      <c r="CQ292" s="113"/>
      <c r="CR292" s="113"/>
      <c r="CS292" s="113"/>
      <c r="CT292" s="113"/>
      <c r="CU292" s="113"/>
    </row>
    <row r="293">
      <c r="A293" s="159" t="str">
        <f>IFERROR(__xludf.DUMMYFUNCTION("""COMPUTED_VALUE"""),"H-10")</f>
        <v>H-10</v>
      </c>
      <c r="B293" s="113" t="str">
        <f>IFERROR(__xludf.DUMMYFUNCTION("""COMPUTED_VALUE"""),"David")</f>
        <v>David</v>
      </c>
      <c r="C293" s="113" t="str">
        <f>IFERROR(__xludf.DUMMYFUNCTION("""COMPUTED_VALUE"""),"Trejo")</f>
        <v>Trejo</v>
      </c>
      <c r="D293" s="158">
        <f>IFERROR(__xludf.DUMMYFUNCTION("""COMPUTED_VALUE"""),1170.0)</f>
        <v>1170</v>
      </c>
      <c r="E293" s="161">
        <f t="shared" si="1"/>
        <v>5</v>
      </c>
      <c r="F293" s="160">
        <f>COUNTIFS('Scores Import DO NOT EDIT'!C:C, D293,'Scores Import DO NOT EDIT'!M:M,A293)</f>
        <v>0</v>
      </c>
      <c r="G293" s="162">
        <f t="shared" si="2"/>
        <v>0</v>
      </c>
      <c r="H293" s="163" t="str">
        <f t="shared" si="3"/>
        <v>H-101170</v>
      </c>
      <c r="I293" s="113"/>
      <c r="J293" s="113"/>
      <c r="K293" s="113"/>
      <c r="L293" s="158"/>
      <c r="M293" s="166" t="s">
        <v>368</v>
      </c>
      <c r="N293" s="113"/>
      <c r="O293" s="113"/>
      <c r="P293" s="113"/>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c r="AT293" s="113"/>
      <c r="AU293" s="113"/>
      <c r="AV293" s="113"/>
      <c r="AW293" s="113"/>
      <c r="AX293" s="113"/>
      <c r="AY293" s="113"/>
      <c r="AZ293" s="113"/>
      <c r="BA293" s="113"/>
      <c r="BB293" s="113"/>
      <c r="BC293" s="113"/>
      <c r="BD293" s="113"/>
      <c r="BE293" s="113"/>
      <c r="BF293" s="113"/>
      <c r="BG293" s="113"/>
      <c r="BH293" s="113"/>
      <c r="BI293" s="113"/>
      <c r="BJ293" s="113"/>
      <c r="BK293" s="113"/>
      <c r="BL293" s="113"/>
      <c r="BM293" s="113"/>
      <c r="BN293" s="113"/>
      <c r="BO293" s="113"/>
      <c r="BP293" s="113"/>
      <c r="BQ293" s="113"/>
      <c r="BR293" s="113"/>
      <c r="BS293" s="113"/>
      <c r="BT293" s="113"/>
      <c r="BU293" s="113"/>
      <c r="BV293" s="113"/>
      <c r="BW293" s="113"/>
      <c r="BX293" s="113"/>
      <c r="BY293" s="113"/>
      <c r="BZ293" s="113"/>
      <c r="CA293" s="113"/>
      <c r="CB293" s="113"/>
      <c r="CC293" s="113"/>
      <c r="CD293" s="113"/>
      <c r="CE293" s="113"/>
      <c r="CF293" s="113"/>
      <c r="CG293" s="113"/>
      <c r="CH293" s="113"/>
      <c r="CI293" s="113"/>
      <c r="CJ293" s="113"/>
      <c r="CK293" s="113"/>
      <c r="CL293" s="113"/>
      <c r="CM293" s="113"/>
      <c r="CN293" s="113"/>
      <c r="CO293" s="113"/>
      <c r="CP293" s="113"/>
      <c r="CQ293" s="113"/>
      <c r="CR293" s="113"/>
      <c r="CS293" s="113"/>
      <c r="CT293" s="113"/>
      <c r="CU293" s="113"/>
    </row>
    <row r="294">
      <c r="A294" s="159" t="str">
        <f>IFERROR(__xludf.DUMMYFUNCTION("""COMPUTED_VALUE"""),"H-10")</f>
        <v>H-10</v>
      </c>
      <c r="B294" s="113" t="str">
        <f>IFERROR(__xludf.DUMMYFUNCTION("""COMPUTED_VALUE"""),"Reza")</f>
        <v>Reza</v>
      </c>
      <c r="C294" s="113" t="str">
        <f>IFERROR(__xludf.DUMMYFUNCTION("""COMPUTED_VALUE"""),"Sabzehgar")</f>
        <v>Sabzehgar</v>
      </c>
      <c r="D294" s="158">
        <f>IFERROR(__xludf.DUMMYFUNCTION("""COMPUTED_VALUE"""),1099.0)</f>
        <v>1099</v>
      </c>
      <c r="E294" s="161">
        <f t="shared" si="1"/>
        <v>5</v>
      </c>
      <c r="F294" s="160">
        <f>COUNTIFS('Scores Import DO NOT EDIT'!C:C, D294,'Scores Import DO NOT EDIT'!M:M,A294)</f>
        <v>4</v>
      </c>
      <c r="G294" s="162">
        <f t="shared" si="2"/>
        <v>0.8</v>
      </c>
      <c r="H294" s="163" t="str">
        <f t="shared" si="3"/>
        <v>H-101099</v>
      </c>
      <c r="I294" s="113"/>
      <c r="J294" s="113"/>
      <c r="K294" s="113"/>
      <c r="L294" s="158"/>
      <c r="M294" s="166" t="s">
        <v>364</v>
      </c>
      <c r="N294" s="113"/>
      <c r="O294" s="113"/>
      <c r="P294" s="113"/>
      <c r="Q294" s="113"/>
      <c r="R294" s="113"/>
      <c r="S294" s="113"/>
      <c r="T294" s="113"/>
      <c r="U294" s="113"/>
      <c r="V294" s="113"/>
      <c r="W294" s="113"/>
      <c r="X294" s="113"/>
      <c r="Y294" s="113"/>
      <c r="Z294" s="113"/>
      <c r="AA294" s="113"/>
      <c r="AB294" s="113"/>
      <c r="AC294" s="113"/>
      <c r="AD294" s="113"/>
      <c r="AE294" s="113"/>
      <c r="AF294" s="113"/>
      <c r="AG294" s="113"/>
      <c r="AH294" s="113"/>
      <c r="AI294" s="113"/>
      <c r="AJ294" s="113"/>
      <c r="AK294" s="113"/>
      <c r="AL294" s="113"/>
      <c r="AM294" s="113"/>
      <c r="AN294" s="113"/>
      <c r="AO294" s="113"/>
      <c r="AP294" s="113"/>
      <c r="AQ294" s="113"/>
      <c r="AR294" s="113"/>
      <c r="AS294" s="113"/>
      <c r="AT294" s="113"/>
      <c r="AU294" s="113"/>
      <c r="AV294" s="113"/>
      <c r="AW294" s="113"/>
      <c r="AX294" s="113"/>
      <c r="AY294" s="113"/>
      <c r="AZ294" s="113"/>
      <c r="BA294" s="113"/>
      <c r="BB294" s="113"/>
      <c r="BC294" s="113"/>
      <c r="BD294" s="113"/>
      <c r="BE294" s="113"/>
      <c r="BF294" s="113"/>
      <c r="BG294" s="113"/>
      <c r="BH294" s="113"/>
      <c r="BI294" s="113"/>
      <c r="BJ294" s="113"/>
      <c r="BK294" s="113"/>
      <c r="BL294" s="113"/>
      <c r="BM294" s="113"/>
      <c r="BN294" s="113"/>
      <c r="BO294" s="113"/>
      <c r="BP294" s="113"/>
      <c r="BQ294" s="113"/>
      <c r="BR294" s="113"/>
      <c r="BS294" s="113"/>
      <c r="BT294" s="113"/>
      <c r="BU294" s="113"/>
      <c r="BV294" s="113"/>
      <c r="BW294" s="113"/>
      <c r="BX294" s="113"/>
      <c r="BY294" s="113"/>
      <c r="BZ294" s="113"/>
      <c r="CA294" s="113"/>
      <c r="CB294" s="113"/>
      <c r="CC294" s="113"/>
      <c r="CD294" s="113"/>
      <c r="CE294" s="113"/>
      <c r="CF294" s="113"/>
      <c r="CG294" s="113"/>
      <c r="CH294" s="113"/>
      <c r="CI294" s="113"/>
      <c r="CJ294" s="113"/>
      <c r="CK294" s="113"/>
      <c r="CL294" s="113"/>
      <c r="CM294" s="113"/>
      <c r="CN294" s="113"/>
      <c r="CO294" s="113"/>
      <c r="CP294" s="113"/>
      <c r="CQ294" s="113"/>
      <c r="CR294" s="113"/>
      <c r="CS294" s="113"/>
      <c r="CT294" s="113"/>
      <c r="CU294" s="113"/>
    </row>
    <row r="295">
      <c r="A295" s="159" t="str">
        <f>IFERROR(__xludf.DUMMYFUNCTION("""COMPUTED_VALUE"""),"H-10")</f>
        <v>H-10</v>
      </c>
      <c r="B295" s="113" t="str">
        <f>IFERROR(__xludf.DUMMYFUNCTION("""COMPUTED_VALUE"""),"Margherita")</f>
        <v>Margherita</v>
      </c>
      <c r="C295" s="113" t="str">
        <f>IFERROR(__xludf.DUMMYFUNCTION("""COMPUTED_VALUE"""),"Capriotti")</f>
        <v>Capriotti</v>
      </c>
      <c r="D295" s="158">
        <f>IFERROR(__xludf.DUMMYFUNCTION("""COMPUTED_VALUE"""),1073.0)</f>
        <v>1073</v>
      </c>
      <c r="E295" s="161">
        <f t="shared" si="1"/>
        <v>5</v>
      </c>
      <c r="F295" s="160">
        <f>COUNTIFS('Scores Import DO NOT EDIT'!C:C, D295,'Scores Import DO NOT EDIT'!M:M,A295)</f>
        <v>5</v>
      </c>
      <c r="G295" s="162">
        <f t="shared" si="2"/>
        <v>1</v>
      </c>
      <c r="H295" s="163" t="str">
        <f t="shared" si="3"/>
        <v>H-101073</v>
      </c>
      <c r="I295" s="113"/>
      <c r="J295" s="113"/>
      <c r="K295" s="113"/>
      <c r="L295" s="158"/>
      <c r="M295" s="166" t="s">
        <v>382</v>
      </c>
      <c r="N295" s="113"/>
      <c r="O295" s="113"/>
      <c r="P295" s="113"/>
      <c r="Q295" s="113"/>
      <c r="R295" s="113"/>
      <c r="S295" s="113"/>
      <c r="T295" s="113"/>
      <c r="U295" s="113"/>
      <c r="V295" s="113"/>
      <c r="W295" s="113"/>
      <c r="X295" s="113"/>
      <c r="Y295" s="113"/>
      <c r="Z295" s="113"/>
      <c r="AA295" s="113"/>
      <c r="AB295" s="113"/>
      <c r="AC295" s="113"/>
      <c r="AD295" s="113"/>
      <c r="AE295" s="113"/>
      <c r="AF295" s="113"/>
      <c r="AG295" s="113"/>
      <c r="AH295" s="113"/>
      <c r="AI295" s="113"/>
      <c r="AJ295" s="113"/>
      <c r="AK295" s="113"/>
      <c r="AL295" s="113"/>
      <c r="AM295" s="113"/>
      <c r="AN295" s="113"/>
      <c r="AO295" s="113"/>
      <c r="AP295" s="113"/>
      <c r="AQ295" s="113"/>
      <c r="AR295" s="113"/>
      <c r="AS295" s="113"/>
      <c r="AT295" s="113"/>
      <c r="AU295" s="113"/>
      <c r="AV295" s="113"/>
      <c r="AW295" s="113"/>
      <c r="AX295" s="113"/>
      <c r="AY295" s="113"/>
      <c r="AZ295" s="113"/>
      <c r="BA295" s="113"/>
      <c r="BB295" s="113"/>
      <c r="BC295" s="113"/>
      <c r="BD295" s="113"/>
      <c r="BE295" s="113"/>
      <c r="BF295" s="113"/>
      <c r="BG295" s="113"/>
      <c r="BH295" s="113"/>
      <c r="BI295" s="113"/>
      <c r="BJ295" s="113"/>
      <c r="BK295" s="113"/>
      <c r="BL295" s="113"/>
      <c r="BM295" s="113"/>
      <c r="BN295" s="113"/>
      <c r="BO295" s="113"/>
      <c r="BP295" s="113"/>
      <c r="BQ295" s="113"/>
      <c r="BR295" s="113"/>
      <c r="BS295" s="113"/>
      <c r="BT295" s="113"/>
      <c r="BU295" s="113"/>
      <c r="BV295" s="113"/>
      <c r="BW295" s="113"/>
      <c r="BX295" s="113"/>
      <c r="BY295" s="113"/>
      <c r="BZ295" s="113"/>
      <c r="CA295" s="113"/>
      <c r="CB295" s="113"/>
      <c r="CC295" s="113"/>
      <c r="CD295" s="113"/>
      <c r="CE295" s="113"/>
      <c r="CF295" s="113"/>
      <c r="CG295" s="113"/>
      <c r="CH295" s="113"/>
      <c r="CI295" s="113"/>
      <c r="CJ295" s="113"/>
      <c r="CK295" s="113"/>
      <c r="CL295" s="113"/>
      <c r="CM295" s="113"/>
      <c r="CN295" s="113"/>
      <c r="CO295" s="113"/>
      <c r="CP295" s="113"/>
      <c r="CQ295" s="113"/>
      <c r="CR295" s="113"/>
      <c r="CS295" s="113"/>
      <c r="CT295" s="113"/>
      <c r="CU295" s="113"/>
    </row>
    <row r="296">
      <c r="A296" s="159" t="str">
        <f>IFERROR(__xludf.DUMMYFUNCTION("""COMPUTED_VALUE"""),"H-11")</f>
        <v>H-11</v>
      </c>
      <c r="B296" s="113" t="str">
        <f>IFERROR(__xludf.DUMMYFUNCTION("""COMPUTED_VALUE"""),"Francesca")</f>
        <v>Francesca</v>
      </c>
      <c r="C296" s="113" t="str">
        <f>IFERROR(__xludf.DUMMYFUNCTION("""COMPUTED_VALUE"""),"Wade")</f>
        <v>Wade</v>
      </c>
      <c r="D296" s="158">
        <f>IFERROR(__xludf.DUMMYFUNCTION("""COMPUTED_VALUE"""),1061.0)</f>
        <v>1061</v>
      </c>
      <c r="E296" s="161">
        <f t="shared" si="1"/>
        <v>8</v>
      </c>
      <c r="F296" s="160">
        <f>COUNTIFS('Scores Import DO NOT EDIT'!C:C, D296,'Scores Import DO NOT EDIT'!M:M,A296)</f>
        <v>7</v>
      </c>
      <c r="G296" s="162">
        <f t="shared" si="2"/>
        <v>0.875</v>
      </c>
      <c r="H296" s="163" t="str">
        <f t="shared" si="3"/>
        <v>H-111061</v>
      </c>
      <c r="I296" s="113"/>
      <c r="J296" s="113"/>
      <c r="K296" s="113"/>
      <c r="L296" s="158"/>
      <c r="M296" s="166" t="s">
        <v>383</v>
      </c>
      <c r="N296" s="113"/>
      <c r="O296" s="113"/>
      <c r="P296" s="113"/>
      <c r="Q296" s="113"/>
      <c r="R296" s="113"/>
      <c r="S296" s="113"/>
      <c r="T296" s="113"/>
      <c r="U296" s="113"/>
      <c r="V296" s="113"/>
      <c r="W296" s="113"/>
      <c r="X296" s="113"/>
      <c r="Y296" s="113"/>
      <c r="Z296" s="113"/>
      <c r="AA296" s="113"/>
      <c r="AB296" s="113"/>
      <c r="AC296" s="113"/>
      <c r="AD296" s="113"/>
      <c r="AE296" s="113"/>
      <c r="AF296" s="113"/>
      <c r="AG296" s="113"/>
      <c r="AH296" s="113"/>
      <c r="AI296" s="113"/>
      <c r="AJ296" s="113"/>
      <c r="AK296" s="113"/>
      <c r="AL296" s="113"/>
      <c r="AM296" s="113"/>
      <c r="AN296" s="113"/>
      <c r="AO296" s="113"/>
      <c r="AP296" s="113"/>
      <c r="AQ296" s="113"/>
      <c r="AR296" s="113"/>
      <c r="AS296" s="113"/>
      <c r="AT296" s="113"/>
      <c r="AU296" s="113"/>
      <c r="AV296" s="113"/>
      <c r="AW296" s="113"/>
      <c r="AX296" s="113"/>
      <c r="AY296" s="113"/>
      <c r="AZ296" s="113"/>
      <c r="BA296" s="113"/>
      <c r="BB296" s="113"/>
      <c r="BC296" s="113"/>
      <c r="BD296" s="113"/>
      <c r="BE296" s="113"/>
      <c r="BF296" s="113"/>
      <c r="BG296" s="113"/>
      <c r="BH296" s="113"/>
      <c r="BI296" s="113"/>
      <c r="BJ296" s="113"/>
      <c r="BK296" s="113"/>
      <c r="BL296" s="113"/>
      <c r="BM296" s="113"/>
      <c r="BN296" s="113"/>
      <c r="BO296" s="113"/>
      <c r="BP296" s="113"/>
      <c r="BQ296" s="113"/>
      <c r="BR296" s="113"/>
      <c r="BS296" s="113"/>
      <c r="BT296" s="113"/>
      <c r="BU296" s="113"/>
      <c r="BV296" s="113"/>
      <c r="BW296" s="113"/>
      <c r="BX296" s="113"/>
      <c r="BY296" s="113"/>
      <c r="BZ296" s="113"/>
      <c r="CA296" s="113"/>
      <c r="CB296" s="113"/>
      <c r="CC296" s="113"/>
      <c r="CD296" s="113"/>
      <c r="CE296" s="113"/>
      <c r="CF296" s="113"/>
      <c r="CG296" s="113"/>
      <c r="CH296" s="113"/>
      <c r="CI296" s="113"/>
      <c r="CJ296" s="113"/>
      <c r="CK296" s="113"/>
      <c r="CL296" s="113"/>
      <c r="CM296" s="113"/>
      <c r="CN296" s="113"/>
      <c r="CO296" s="113"/>
      <c r="CP296" s="113"/>
      <c r="CQ296" s="113"/>
      <c r="CR296" s="113"/>
      <c r="CS296" s="113"/>
      <c r="CT296" s="113"/>
      <c r="CU296" s="113"/>
    </row>
    <row r="297">
      <c r="A297" s="159" t="str">
        <f>IFERROR(__xludf.DUMMYFUNCTION("""COMPUTED_VALUE"""),"H-11")</f>
        <v>H-11</v>
      </c>
      <c r="B297" s="113" t="str">
        <f>IFERROR(__xludf.DUMMYFUNCTION("""COMPUTED_VALUE"""),"Humberto")</f>
        <v>Humberto</v>
      </c>
      <c r="C297" s="113" t="str">
        <f>IFERROR(__xludf.DUMMYFUNCTION("""COMPUTED_VALUE"""),"Parada")</f>
        <v>Parada</v>
      </c>
      <c r="D297" s="158">
        <f>IFERROR(__xludf.DUMMYFUNCTION("""COMPUTED_VALUE"""),1062.0)</f>
        <v>1062</v>
      </c>
      <c r="E297" s="161">
        <f t="shared" si="1"/>
        <v>8</v>
      </c>
      <c r="F297" s="160">
        <f>COUNTIFS('Scores Import DO NOT EDIT'!C:C, D297,'Scores Import DO NOT EDIT'!M:M,A297)</f>
        <v>0</v>
      </c>
      <c r="G297" s="162">
        <f t="shared" si="2"/>
        <v>0</v>
      </c>
      <c r="H297" s="163" t="str">
        <f t="shared" si="3"/>
        <v>H-111062</v>
      </c>
      <c r="I297" s="113"/>
      <c r="J297" s="113"/>
      <c r="K297" s="113"/>
      <c r="L297" s="158"/>
      <c r="M297" s="166" t="s">
        <v>386</v>
      </c>
      <c r="N297" s="113"/>
      <c r="O297" s="113"/>
      <c r="P297" s="113"/>
      <c r="Q297" s="113"/>
      <c r="R297" s="113"/>
      <c r="S297" s="113"/>
      <c r="T297" s="113"/>
      <c r="U297" s="113"/>
      <c r="V297" s="113"/>
      <c r="W297" s="113"/>
      <c r="X297" s="113"/>
      <c r="Y297" s="113"/>
      <c r="Z297" s="113"/>
      <c r="AA297" s="113"/>
      <c r="AB297" s="113"/>
      <c r="AC297" s="113"/>
      <c r="AD297" s="113"/>
      <c r="AE297" s="113"/>
      <c r="AF297" s="113"/>
      <c r="AG297" s="113"/>
      <c r="AH297" s="113"/>
      <c r="AI297" s="113"/>
      <c r="AJ297" s="113"/>
      <c r="AK297" s="113"/>
      <c r="AL297" s="113"/>
      <c r="AM297" s="113"/>
      <c r="AN297" s="113"/>
      <c r="AO297" s="113"/>
      <c r="AP297" s="113"/>
      <c r="AQ297" s="113"/>
      <c r="AR297" s="113"/>
      <c r="AS297" s="113"/>
      <c r="AT297" s="113"/>
      <c r="AU297" s="113"/>
      <c r="AV297" s="113"/>
      <c r="AW297" s="113"/>
      <c r="AX297" s="113"/>
      <c r="AY297" s="113"/>
      <c r="AZ297" s="113"/>
      <c r="BA297" s="113"/>
      <c r="BB297" s="113"/>
      <c r="BC297" s="113"/>
      <c r="BD297" s="113"/>
      <c r="BE297" s="113"/>
      <c r="BF297" s="113"/>
      <c r="BG297" s="113"/>
      <c r="BH297" s="113"/>
      <c r="BI297" s="113"/>
      <c r="BJ297" s="113"/>
      <c r="BK297" s="113"/>
      <c r="BL297" s="113"/>
      <c r="BM297" s="113"/>
      <c r="BN297" s="113"/>
      <c r="BO297" s="113"/>
      <c r="BP297" s="113"/>
      <c r="BQ297" s="113"/>
      <c r="BR297" s="113"/>
      <c r="BS297" s="113"/>
      <c r="BT297" s="113"/>
      <c r="BU297" s="113"/>
      <c r="BV297" s="113"/>
      <c r="BW297" s="113"/>
      <c r="BX297" s="113"/>
      <c r="BY297" s="113"/>
      <c r="BZ297" s="113"/>
      <c r="CA297" s="113"/>
      <c r="CB297" s="113"/>
      <c r="CC297" s="113"/>
      <c r="CD297" s="113"/>
      <c r="CE297" s="113"/>
      <c r="CF297" s="113"/>
      <c r="CG297" s="113"/>
      <c r="CH297" s="113"/>
      <c r="CI297" s="113"/>
      <c r="CJ297" s="113"/>
      <c r="CK297" s="113"/>
      <c r="CL297" s="113"/>
      <c r="CM297" s="113"/>
      <c r="CN297" s="113"/>
      <c r="CO297" s="113"/>
      <c r="CP297" s="113"/>
      <c r="CQ297" s="113"/>
      <c r="CR297" s="113"/>
      <c r="CS297" s="113"/>
      <c r="CT297" s="113"/>
      <c r="CU297" s="113"/>
    </row>
    <row r="298">
      <c r="A298" s="159" t="str">
        <f>IFERROR(__xludf.DUMMYFUNCTION("""COMPUTED_VALUE"""),"H-11")</f>
        <v>H-11</v>
      </c>
      <c r="B298" s="113" t="str">
        <f>IFERROR(__xludf.DUMMYFUNCTION("""COMPUTED_VALUE"""),"Michael")</f>
        <v>Michael</v>
      </c>
      <c r="C298" s="113" t="str">
        <f>IFERROR(__xludf.DUMMYFUNCTION("""COMPUTED_VALUE"""),"Peddecord")</f>
        <v>Peddecord</v>
      </c>
      <c r="D298" s="158">
        <f>IFERROR(__xludf.DUMMYFUNCTION("""COMPUTED_VALUE"""),1035.0)</f>
        <v>1035</v>
      </c>
      <c r="E298" s="161">
        <f t="shared" si="1"/>
        <v>8</v>
      </c>
      <c r="F298" s="160">
        <f>COUNTIFS('Scores Import DO NOT EDIT'!C:C, D298,'Scores Import DO NOT EDIT'!M:M,A298)</f>
        <v>8</v>
      </c>
      <c r="G298" s="162">
        <f t="shared" si="2"/>
        <v>1</v>
      </c>
      <c r="H298" s="163" t="str">
        <f t="shared" si="3"/>
        <v>H-111035</v>
      </c>
      <c r="I298" s="113"/>
      <c r="J298" s="113"/>
      <c r="K298" s="113"/>
      <c r="L298" s="158"/>
      <c r="M298" s="166" t="s">
        <v>387</v>
      </c>
      <c r="N298" s="113"/>
      <c r="O298" s="113"/>
      <c r="P298" s="113"/>
      <c r="Q298" s="113"/>
      <c r="R298" s="113"/>
      <c r="S298" s="113"/>
      <c r="T298" s="113"/>
      <c r="U298" s="113"/>
      <c r="V298" s="113"/>
      <c r="W298" s="113"/>
      <c r="X298" s="113"/>
      <c r="Y298" s="113"/>
      <c r="Z298" s="113"/>
      <c r="AA298" s="113"/>
      <c r="AB298" s="113"/>
      <c r="AC298" s="113"/>
      <c r="AD298" s="113"/>
      <c r="AE298" s="113"/>
      <c r="AF298" s="113"/>
      <c r="AG298" s="113"/>
      <c r="AH298" s="113"/>
      <c r="AI298" s="113"/>
      <c r="AJ298" s="113"/>
      <c r="AK298" s="113"/>
      <c r="AL298" s="113"/>
      <c r="AM298" s="113"/>
      <c r="AN298" s="113"/>
      <c r="AO298" s="113"/>
      <c r="AP298" s="113"/>
      <c r="AQ298" s="113"/>
      <c r="AR298" s="113"/>
      <c r="AS298" s="113"/>
      <c r="AT298" s="113"/>
      <c r="AU298" s="113"/>
      <c r="AV298" s="113"/>
      <c r="AW298" s="113"/>
      <c r="AX298" s="113"/>
      <c r="AY298" s="113"/>
      <c r="AZ298" s="113"/>
      <c r="BA298" s="113"/>
      <c r="BB298" s="113"/>
      <c r="BC298" s="113"/>
      <c r="BD298" s="113"/>
      <c r="BE298" s="113"/>
      <c r="BF298" s="113"/>
      <c r="BG298" s="113"/>
      <c r="BH298" s="113"/>
      <c r="BI298" s="113"/>
      <c r="BJ298" s="113"/>
      <c r="BK298" s="113"/>
      <c r="BL298" s="113"/>
      <c r="BM298" s="113"/>
      <c r="BN298" s="113"/>
      <c r="BO298" s="113"/>
      <c r="BP298" s="113"/>
      <c r="BQ298" s="113"/>
      <c r="BR298" s="113"/>
      <c r="BS298" s="113"/>
      <c r="BT298" s="113"/>
      <c r="BU298" s="113"/>
      <c r="BV298" s="113"/>
      <c r="BW298" s="113"/>
      <c r="BX298" s="113"/>
      <c r="BY298" s="113"/>
      <c r="BZ298" s="113"/>
      <c r="CA298" s="113"/>
      <c r="CB298" s="113"/>
      <c r="CC298" s="113"/>
      <c r="CD298" s="113"/>
      <c r="CE298" s="113"/>
      <c r="CF298" s="113"/>
      <c r="CG298" s="113"/>
      <c r="CH298" s="113"/>
      <c r="CI298" s="113"/>
      <c r="CJ298" s="113"/>
      <c r="CK298" s="113"/>
      <c r="CL298" s="113"/>
      <c r="CM298" s="113"/>
      <c r="CN298" s="113"/>
      <c r="CO298" s="113"/>
      <c r="CP298" s="113"/>
      <c r="CQ298" s="113"/>
      <c r="CR298" s="113"/>
      <c r="CS298" s="113"/>
      <c r="CT298" s="113"/>
      <c r="CU298" s="113"/>
    </row>
    <row r="299">
      <c r="A299" s="159" t="str">
        <f>IFERROR(__xludf.DUMMYFUNCTION("""COMPUTED_VALUE"""),"H-11")</f>
        <v>H-11</v>
      </c>
      <c r="B299" s="113" t="str">
        <f>IFERROR(__xludf.DUMMYFUNCTION("""COMPUTED_VALUE"""),"JoAnn")</f>
        <v>JoAnn</v>
      </c>
      <c r="C299" s="113" t="str">
        <f>IFERROR(__xludf.DUMMYFUNCTION("""COMPUTED_VALUE"""),"Silkes")</f>
        <v>Silkes</v>
      </c>
      <c r="D299" s="158">
        <f>IFERROR(__xludf.DUMMYFUNCTION("""COMPUTED_VALUE"""),1094.0)</f>
        <v>1094</v>
      </c>
      <c r="E299" s="161">
        <f t="shared" si="1"/>
        <v>8</v>
      </c>
      <c r="F299" s="160">
        <f>COUNTIFS('Scores Import DO NOT EDIT'!C:C, D299,'Scores Import DO NOT EDIT'!M:M,A299)</f>
        <v>8</v>
      </c>
      <c r="G299" s="162">
        <f t="shared" si="2"/>
        <v>1</v>
      </c>
      <c r="H299" s="163" t="str">
        <f t="shared" si="3"/>
        <v>H-111094</v>
      </c>
      <c r="I299" s="113"/>
      <c r="J299" s="113"/>
      <c r="K299" s="113"/>
      <c r="L299" s="158"/>
      <c r="M299" s="166" t="s">
        <v>384</v>
      </c>
      <c r="N299" s="113"/>
      <c r="O299" s="113"/>
      <c r="P299" s="113"/>
      <c r="Q299" s="113"/>
      <c r="R299" s="113"/>
      <c r="S299" s="113"/>
      <c r="T299" s="113"/>
      <c r="U299" s="113"/>
      <c r="V299" s="113"/>
      <c r="W299" s="113"/>
      <c r="X299" s="113"/>
      <c r="Y299" s="113"/>
      <c r="Z299" s="113"/>
      <c r="AA299" s="113"/>
      <c r="AB299" s="113"/>
      <c r="AC299" s="113"/>
      <c r="AD299" s="113"/>
      <c r="AE299" s="113"/>
      <c r="AF299" s="113"/>
      <c r="AG299" s="113"/>
      <c r="AH299" s="113"/>
      <c r="AI299" s="113"/>
      <c r="AJ299" s="113"/>
      <c r="AK299" s="113"/>
      <c r="AL299" s="113"/>
      <c r="AM299" s="113"/>
      <c r="AN299" s="113"/>
      <c r="AO299" s="113"/>
      <c r="AP299" s="113"/>
      <c r="AQ299" s="113"/>
      <c r="AR299" s="113"/>
      <c r="AS299" s="113"/>
      <c r="AT299" s="113"/>
      <c r="AU299" s="113"/>
      <c r="AV299" s="113"/>
      <c r="AW299" s="113"/>
      <c r="AX299" s="113"/>
      <c r="AY299" s="113"/>
      <c r="AZ299" s="113"/>
      <c r="BA299" s="113"/>
      <c r="BB299" s="113"/>
      <c r="BC299" s="113"/>
      <c r="BD299" s="113"/>
      <c r="BE299" s="113"/>
      <c r="BF299" s="113"/>
      <c r="BG299" s="113"/>
      <c r="BH299" s="113"/>
      <c r="BI299" s="113"/>
      <c r="BJ299" s="113"/>
      <c r="BK299" s="113"/>
      <c r="BL299" s="113"/>
      <c r="BM299" s="113"/>
      <c r="BN299" s="113"/>
      <c r="BO299" s="113"/>
      <c r="BP299" s="113"/>
      <c r="BQ299" s="113"/>
      <c r="BR299" s="113"/>
      <c r="BS299" s="113"/>
      <c r="BT299" s="113"/>
      <c r="BU299" s="113"/>
      <c r="BV299" s="113"/>
      <c r="BW299" s="113"/>
      <c r="BX299" s="113"/>
      <c r="BY299" s="113"/>
      <c r="BZ299" s="113"/>
      <c r="CA299" s="113"/>
      <c r="CB299" s="113"/>
      <c r="CC299" s="113"/>
      <c r="CD299" s="113"/>
      <c r="CE299" s="113"/>
      <c r="CF299" s="113"/>
      <c r="CG299" s="113"/>
      <c r="CH299" s="113"/>
      <c r="CI299" s="113"/>
      <c r="CJ299" s="113"/>
      <c r="CK299" s="113"/>
      <c r="CL299" s="113"/>
      <c r="CM299" s="113"/>
      <c r="CN299" s="113"/>
      <c r="CO299" s="113"/>
      <c r="CP299" s="113"/>
      <c r="CQ299" s="113"/>
      <c r="CR299" s="113"/>
      <c r="CS299" s="113"/>
      <c r="CT299" s="113"/>
      <c r="CU299" s="113"/>
    </row>
    <row r="300">
      <c r="A300" s="159" t="str">
        <f>IFERROR(__xludf.DUMMYFUNCTION("""COMPUTED_VALUE"""),"H-11")</f>
        <v>H-11</v>
      </c>
      <c r="B300" s="113" t="str">
        <f>IFERROR(__xludf.DUMMYFUNCTION("""COMPUTED_VALUE"""),"Eyal")</f>
        <v>Eyal</v>
      </c>
      <c r="C300" s="113" t="str">
        <f>IFERROR(__xludf.DUMMYFUNCTION("""COMPUTED_VALUE"""),"Oren")</f>
        <v>Oren</v>
      </c>
      <c r="D300" s="158">
        <f>IFERROR(__xludf.DUMMYFUNCTION("""COMPUTED_VALUE"""),1057.0)</f>
        <v>1057</v>
      </c>
      <c r="E300" s="161">
        <f t="shared" si="1"/>
        <v>8</v>
      </c>
      <c r="F300" s="160">
        <f>COUNTIFS('Scores Import DO NOT EDIT'!C:C, D300,'Scores Import DO NOT EDIT'!M:M,A300)</f>
        <v>7</v>
      </c>
      <c r="G300" s="162">
        <f t="shared" si="2"/>
        <v>0.875</v>
      </c>
      <c r="H300" s="163" t="str">
        <f t="shared" si="3"/>
        <v>H-111057</v>
      </c>
      <c r="I300" s="113"/>
      <c r="J300" s="113"/>
      <c r="K300" s="113"/>
      <c r="L300" s="158"/>
      <c r="M300" s="166" t="s">
        <v>385</v>
      </c>
      <c r="N300" s="113"/>
      <c r="O300" s="113"/>
      <c r="P300" s="113"/>
      <c r="Q300" s="113"/>
      <c r="R300" s="113"/>
      <c r="S300" s="113"/>
      <c r="T300" s="113"/>
      <c r="U300" s="113"/>
      <c r="V300" s="113"/>
      <c r="W300" s="113"/>
      <c r="X300" s="113"/>
      <c r="Y300" s="113"/>
      <c r="Z300" s="113"/>
      <c r="AA300" s="113"/>
      <c r="AB300" s="113"/>
      <c r="AC300" s="113"/>
      <c r="AD300" s="113"/>
      <c r="AE300" s="113"/>
      <c r="AF300" s="113"/>
      <c r="AG300" s="113"/>
      <c r="AH300" s="113"/>
      <c r="AI300" s="113"/>
      <c r="AJ300" s="113"/>
      <c r="AK300" s="113"/>
      <c r="AL300" s="113"/>
      <c r="AM300" s="113"/>
      <c r="AN300" s="113"/>
      <c r="AO300" s="113"/>
      <c r="AP300" s="113"/>
      <c r="AQ300" s="113"/>
      <c r="AR300" s="113"/>
      <c r="AS300" s="113"/>
      <c r="AT300" s="113"/>
      <c r="AU300" s="113"/>
      <c r="AV300" s="113"/>
      <c r="AW300" s="113"/>
      <c r="AX300" s="113"/>
      <c r="AY300" s="113"/>
      <c r="AZ300" s="113"/>
      <c r="BA300" s="113"/>
      <c r="BB300" s="113"/>
      <c r="BC300" s="113"/>
      <c r="BD300" s="113"/>
      <c r="BE300" s="113"/>
      <c r="BF300" s="113"/>
      <c r="BG300" s="113"/>
      <c r="BH300" s="113"/>
      <c r="BI300" s="113"/>
      <c r="BJ300" s="113"/>
      <c r="BK300" s="113"/>
      <c r="BL300" s="113"/>
      <c r="BM300" s="113"/>
      <c r="BN300" s="113"/>
      <c r="BO300" s="113"/>
      <c r="BP300" s="113"/>
      <c r="BQ300" s="113"/>
      <c r="BR300" s="113"/>
      <c r="BS300" s="113"/>
      <c r="BT300" s="113"/>
      <c r="BU300" s="113"/>
      <c r="BV300" s="113"/>
      <c r="BW300" s="113"/>
      <c r="BX300" s="113"/>
      <c r="BY300" s="113"/>
      <c r="BZ300" s="113"/>
      <c r="CA300" s="113"/>
      <c r="CB300" s="113"/>
      <c r="CC300" s="113"/>
      <c r="CD300" s="113"/>
      <c r="CE300" s="113"/>
      <c r="CF300" s="113"/>
      <c r="CG300" s="113"/>
      <c r="CH300" s="113"/>
      <c r="CI300" s="113"/>
      <c r="CJ300" s="113"/>
      <c r="CK300" s="113"/>
      <c r="CL300" s="113"/>
      <c r="CM300" s="113"/>
      <c r="CN300" s="113"/>
      <c r="CO300" s="113"/>
      <c r="CP300" s="113"/>
      <c r="CQ300" s="113"/>
      <c r="CR300" s="113"/>
      <c r="CS300" s="113"/>
      <c r="CT300" s="113"/>
      <c r="CU300" s="113"/>
    </row>
    <row r="301">
      <c r="A301" s="159" t="str">
        <f>IFERROR(__xludf.DUMMYFUNCTION("""COMPUTED_VALUE"""),"H-2")</f>
        <v>H-2</v>
      </c>
      <c r="B301" s="113" t="str">
        <f>IFERROR(__xludf.DUMMYFUNCTION("""COMPUTED_VALUE"""),"Yifan")</f>
        <v>Yifan</v>
      </c>
      <c r="C301" s="113" t="str">
        <f>IFERROR(__xludf.DUMMYFUNCTION("""COMPUTED_VALUE"""),"Yuan")</f>
        <v>Yuan</v>
      </c>
      <c r="D301" s="158">
        <f>IFERROR(__xludf.DUMMYFUNCTION("""COMPUTED_VALUE"""),1176.0)</f>
        <v>1176</v>
      </c>
      <c r="E301" s="161">
        <f t="shared" si="1"/>
        <v>7</v>
      </c>
      <c r="F301" s="160">
        <f>COUNTIFS('Scores Import DO NOT EDIT'!C:C, D301,'Scores Import DO NOT EDIT'!M:M,A301)</f>
        <v>6</v>
      </c>
      <c r="G301" s="162">
        <f t="shared" si="2"/>
        <v>0.8571428571</v>
      </c>
      <c r="H301" s="163" t="str">
        <f t="shared" si="3"/>
        <v>H-21176</v>
      </c>
      <c r="I301" s="113"/>
      <c r="J301" s="113"/>
      <c r="K301" s="113"/>
      <c r="L301" s="158"/>
      <c r="M301" s="166" t="s">
        <v>393</v>
      </c>
      <c r="N301" s="113"/>
      <c r="O301" s="113"/>
      <c r="P301" s="113"/>
      <c r="Q301" s="113"/>
      <c r="R301" s="113"/>
      <c r="S301" s="113"/>
      <c r="T301" s="113"/>
      <c r="U301" s="113"/>
      <c r="V301" s="113"/>
      <c r="W301" s="113"/>
      <c r="X301" s="113"/>
      <c r="Y301" s="113"/>
      <c r="Z301" s="113"/>
      <c r="AA301" s="113"/>
      <c r="AB301" s="113"/>
      <c r="AC301" s="113"/>
      <c r="AD301" s="113"/>
      <c r="AE301" s="113"/>
      <c r="AF301" s="113"/>
      <c r="AG301" s="113"/>
      <c r="AH301" s="113"/>
      <c r="AI301" s="113"/>
      <c r="AJ301" s="113"/>
      <c r="AK301" s="113"/>
      <c r="AL301" s="113"/>
      <c r="AM301" s="113"/>
      <c r="AN301" s="113"/>
      <c r="AO301" s="113"/>
      <c r="AP301" s="113"/>
      <c r="AQ301" s="113"/>
      <c r="AR301" s="113"/>
      <c r="AS301" s="113"/>
      <c r="AT301" s="113"/>
      <c r="AU301" s="113"/>
      <c r="AV301" s="113"/>
      <c r="AW301" s="113"/>
      <c r="AX301" s="113"/>
      <c r="AY301" s="113"/>
      <c r="AZ301" s="113"/>
      <c r="BA301" s="113"/>
      <c r="BB301" s="113"/>
      <c r="BC301" s="113"/>
      <c r="BD301" s="113"/>
      <c r="BE301" s="113"/>
      <c r="BF301" s="113"/>
      <c r="BG301" s="113"/>
      <c r="BH301" s="113"/>
      <c r="BI301" s="113"/>
      <c r="BJ301" s="113"/>
      <c r="BK301" s="113"/>
      <c r="BL301" s="113"/>
      <c r="BM301" s="113"/>
      <c r="BN301" s="113"/>
      <c r="BO301" s="113"/>
      <c r="BP301" s="113"/>
      <c r="BQ301" s="113"/>
      <c r="BR301" s="113"/>
      <c r="BS301" s="113"/>
      <c r="BT301" s="113"/>
      <c r="BU301" s="113"/>
      <c r="BV301" s="113"/>
      <c r="BW301" s="113"/>
      <c r="BX301" s="113"/>
      <c r="BY301" s="113"/>
      <c r="BZ301" s="113"/>
      <c r="CA301" s="113"/>
      <c r="CB301" s="113"/>
      <c r="CC301" s="113"/>
      <c r="CD301" s="113"/>
      <c r="CE301" s="113"/>
      <c r="CF301" s="113"/>
      <c r="CG301" s="113"/>
      <c r="CH301" s="113"/>
      <c r="CI301" s="113"/>
      <c r="CJ301" s="113"/>
      <c r="CK301" s="113"/>
      <c r="CL301" s="113"/>
      <c r="CM301" s="113"/>
      <c r="CN301" s="113"/>
      <c r="CO301" s="113"/>
      <c r="CP301" s="113"/>
      <c r="CQ301" s="113"/>
      <c r="CR301" s="113"/>
      <c r="CS301" s="113"/>
      <c r="CT301" s="113"/>
      <c r="CU301" s="113"/>
    </row>
    <row r="302">
      <c r="A302" s="159" t="str">
        <f>IFERROR(__xludf.DUMMYFUNCTION("""COMPUTED_VALUE"""),"H-2")</f>
        <v>H-2</v>
      </c>
      <c r="B302" s="113" t="str">
        <f>IFERROR(__xludf.DUMMYFUNCTION("""COMPUTED_VALUE"""),"Heidy")</f>
        <v>Heidy</v>
      </c>
      <c r="C302" s="113" t="str">
        <f>IFERROR(__xludf.DUMMYFUNCTION("""COMPUTED_VALUE"""),"Mendez-Rodriguez")</f>
        <v>Mendez-Rodriguez</v>
      </c>
      <c r="D302" s="158">
        <f>IFERROR(__xludf.DUMMYFUNCTION("""COMPUTED_VALUE"""),1174.0)</f>
        <v>1174</v>
      </c>
      <c r="E302" s="161">
        <f t="shared" si="1"/>
        <v>7</v>
      </c>
      <c r="F302" s="160">
        <f>COUNTIFS('Scores Import DO NOT EDIT'!C:C, D302,'Scores Import DO NOT EDIT'!M:M,A302)</f>
        <v>6</v>
      </c>
      <c r="G302" s="162">
        <f t="shared" si="2"/>
        <v>0.8571428571</v>
      </c>
      <c r="H302" s="163" t="str">
        <f t="shared" si="3"/>
        <v>H-21174</v>
      </c>
      <c r="I302" s="113"/>
      <c r="J302" s="113"/>
      <c r="K302" s="113"/>
      <c r="L302" s="158"/>
      <c r="M302" s="166" t="s">
        <v>388</v>
      </c>
      <c r="N302" s="113"/>
      <c r="O302" s="113"/>
      <c r="P302" s="113"/>
      <c r="Q302" s="113"/>
      <c r="R302" s="113"/>
      <c r="S302" s="113"/>
      <c r="T302" s="113"/>
      <c r="U302" s="113"/>
      <c r="V302" s="113"/>
      <c r="W302" s="113"/>
      <c r="X302" s="113"/>
      <c r="Y302" s="113"/>
      <c r="Z302" s="113"/>
      <c r="AA302" s="113"/>
      <c r="AB302" s="113"/>
      <c r="AC302" s="113"/>
      <c r="AD302" s="113"/>
      <c r="AE302" s="113"/>
      <c r="AF302" s="113"/>
      <c r="AG302" s="113"/>
      <c r="AH302" s="113"/>
      <c r="AI302" s="113"/>
      <c r="AJ302" s="113"/>
      <c r="AK302" s="113"/>
      <c r="AL302" s="113"/>
      <c r="AM302" s="113"/>
      <c r="AN302" s="113"/>
      <c r="AO302" s="113"/>
      <c r="AP302" s="113"/>
      <c r="AQ302" s="113"/>
      <c r="AR302" s="113"/>
      <c r="AS302" s="113"/>
      <c r="AT302" s="113"/>
      <c r="AU302" s="113"/>
      <c r="AV302" s="113"/>
      <c r="AW302" s="113"/>
      <c r="AX302" s="113"/>
      <c r="AY302" s="113"/>
      <c r="AZ302" s="113"/>
      <c r="BA302" s="113"/>
      <c r="BB302" s="113"/>
      <c r="BC302" s="113"/>
      <c r="BD302" s="113"/>
      <c r="BE302" s="113"/>
      <c r="BF302" s="113"/>
      <c r="BG302" s="113"/>
      <c r="BH302" s="113"/>
      <c r="BI302" s="113"/>
      <c r="BJ302" s="113"/>
      <c r="BK302" s="113"/>
      <c r="BL302" s="113"/>
      <c r="BM302" s="113"/>
      <c r="BN302" s="113"/>
      <c r="BO302" s="113"/>
      <c r="BP302" s="113"/>
      <c r="BQ302" s="113"/>
      <c r="BR302" s="113"/>
      <c r="BS302" s="113"/>
      <c r="BT302" s="113"/>
      <c r="BU302" s="113"/>
      <c r="BV302" s="113"/>
      <c r="BW302" s="113"/>
      <c r="BX302" s="113"/>
      <c r="BY302" s="113"/>
      <c r="BZ302" s="113"/>
      <c r="CA302" s="113"/>
      <c r="CB302" s="113"/>
      <c r="CC302" s="113"/>
      <c r="CD302" s="113"/>
      <c r="CE302" s="113"/>
      <c r="CF302" s="113"/>
      <c r="CG302" s="113"/>
      <c r="CH302" s="113"/>
      <c r="CI302" s="113"/>
      <c r="CJ302" s="113"/>
      <c r="CK302" s="113"/>
      <c r="CL302" s="113"/>
      <c r="CM302" s="113"/>
      <c r="CN302" s="113"/>
      <c r="CO302" s="113"/>
      <c r="CP302" s="113"/>
      <c r="CQ302" s="113"/>
      <c r="CR302" s="113"/>
      <c r="CS302" s="113"/>
      <c r="CT302" s="113"/>
      <c r="CU302" s="113"/>
    </row>
    <row r="303">
      <c r="A303" s="159" t="str">
        <f>IFERROR(__xludf.DUMMYFUNCTION("""COMPUTED_VALUE"""),"H-2")</f>
        <v>H-2</v>
      </c>
      <c r="B303" s="113" t="str">
        <f>IFERROR(__xludf.DUMMYFUNCTION("""COMPUTED_VALUE"""),"Keven")</f>
        <v>Keven</v>
      </c>
      <c r="C303" s="113" t="str">
        <f>IFERROR(__xludf.DUMMYFUNCTION("""COMPUTED_VALUE"""),"Jeffery")</f>
        <v>Jeffery</v>
      </c>
      <c r="D303" s="158">
        <f>IFERROR(__xludf.DUMMYFUNCTION("""COMPUTED_VALUE"""),1087.0)</f>
        <v>1087</v>
      </c>
      <c r="E303" s="161">
        <f t="shared" si="1"/>
        <v>7</v>
      </c>
      <c r="F303" s="160">
        <f>COUNTIFS('Scores Import DO NOT EDIT'!C:C, D303,'Scores Import DO NOT EDIT'!M:M,A303)</f>
        <v>6</v>
      </c>
      <c r="G303" s="162">
        <f t="shared" si="2"/>
        <v>0.8571428571</v>
      </c>
      <c r="H303" s="163" t="str">
        <f t="shared" si="3"/>
        <v>H-21087</v>
      </c>
      <c r="I303" s="113"/>
      <c r="J303" s="113"/>
      <c r="K303" s="113"/>
      <c r="L303" s="158"/>
      <c r="M303" s="166" t="s">
        <v>392</v>
      </c>
      <c r="N303" s="113"/>
      <c r="O303" s="113"/>
      <c r="P303" s="113"/>
      <c r="Q303" s="113"/>
      <c r="R303" s="113"/>
      <c r="S303" s="113"/>
      <c r="T303" s="113"/>
      <c r="U303" s="113"/>
      <c r="V303" s="113"/>
      <c r="W303" s="113"/>
      <c r="X303" s="113"/>
      <c r="Y303" s="113"/>
      <c r="Z303" s="113"/>
      <c r="AA303" s="113"/>
      <c r="AB303" s="113"/>
      <c r="AC303" s="113"/>
      <c r="AD303" s="113"/>
      <c r="AE303" s="113"/>
      <c r="AF303" s="113"/>
      <c r="AG303" s="113"/>
      <c r="AH303" s="113"/>
      <c r="AI303" s="113"/>
      <c r="AJ303" s="113"/>
      <c r="AK303" s="113"/>
      <c r="AL303" s="113"/>
      <c r="AM303" s="113"/>
      <c r="AN303" s="113"/>
      <c r="AO303" s="113"/>
      <c r="AP303" s="113"/>
      <c r="AQ303" s="113"/>
      <c r="AR303" s="113"/>
      <c r="AS303" s="113"/>
      <c r="AT303" s="113"/>
      <c r="AU303" s="113"/>
      <c r="AV303" s="113"/>
      <c r="AW303" s="113"/>
      <c r="AX303" s="113"/>
      <c r="AY303" s="113"/>
      <c r="AZ303" s="113"/>
      <c r="BA303" s="113"/>
      <c r="BB303" s="113"/>
      <c r="BC303" s="113"/>
      <c r="BD303" s="113"/>
      <c r="BE303" s="113"/>
      <c r="BF303" s="113"/>
      <c r="BG303" s="113"/>
      <c r="BH303" s="113"/>
      <c r="BI303" s="113"/>
      <c r="BJ303" s="113"/>
      <c r="BK303" s="113"/>
      <c r="BL303" s="113"/>
      <c r="BM303" s="113"/>
      <c r="BN303" s="113"/>
      <c r="BO303" s="113"/>
      <c r="BP303" s="113"/>
      <c r="BQ303" s="113"/>
      <c r="BR303" s="113"/>
      <c r="BS303" s="113"/>
      <c r="BT303" s="113"/>
      <c r="BU303" s="113"/>
      <c r="BV303" s="113"/>
      <c r="BW303" s="113"/>
      <c r="BX303" s="113"/>
      <c r="BY303" s="113"/>
      <c r="BZ303" s="113"/>
      <c r="CA303" s="113"/>
      <c r="CB303" s="113"/>
      <c r="CC303" s="113"/>
      <c r="CD303" s="113"/>
      <c r="CE303" s="113"/>
      <c r="CF303" s="113"/>
      <c r="CG303" s="113"/>
      <c r="CH303" s="113"/>
      <c r="CI303" s="113"/>
      <c r="CJ303" s="113"/>
      <c r="CK303" s="113"/>
      <c r="CL303" s="113"/>
      <c r="CM303" s="113"/>
      <c r="CN303" s="113"/>
      <c r="CO303" s="113"/>
      <c r="CP303" s="113"/>
      <c r="CQ303" s="113"/>
      <c r="CR303" s="113"/>
      <c r="CS303" s="113"/>
      <c r="CT303" s="113"/>
      <c r="CU303" s="113"/>
    </row>
    <row r="304">
      <c r="A304" s="159" t="str">
        <f>IFERROR(__xludf.DUMMYFUNCTION("""COMPUTED_VALUE"""),"H-2")</f>
        <v>H-2</v>
      </c>
      <c r="B304" s="113" t="str">
        <f>IFERROR(__xludf.DUMMYFUNCTION("""COMPUTED_VALUE"""),"Tonni")</f>
        <v>Tonni</v>
      </c>
      <c r="C304" s="113" t="str">
        <f>IFERROR(__xludf.DUMMYFUNCTION("""COMPUTED_VALUE"""),"Xia")</f>
        <v>Xia</v>
      </c>
      <c r="D304" s="158">
        <f>IFERROR(__xludf.DUMMYFUNCTION("""COMPUTED_VALUE"""),1005.0)</f>
        <v>1005</v>
      </c>
      <c r="E304" s="161">
        <f t="shared" si="1"/>
        <v>7</v>
      </c>
      <c r="F304" s="160">
        <f>COUNTIFS('Scores Import DO NOT EDIT'!C:C, D304,'Scores Import DO NOT EDIT'!M:M,A304)</f>
        <v>6</v>
      </c>
      <c r="G304" s="162">
        <f t="shared" si="2"/>
        <v>0.8571428571</v>
      </c>
      <c r="H304" s="163" t="str">
        <f t="shared" si="3"/>
        <v>H-21005</v>
      </c>
      <c r="I304" s="113"/>
      <c r="J304" s="113"/>
      <c r="K304" s="113"/>
      <c r="L304" s="158"/>
      <c r="M304" s="166" t="s">
        <v>391</v>
      </c>
      <c r="N304" s="113"/>
      <c r="O304" s="113"/>
      <c r="P304" s="113"/>
      <c r="Q304" s="113"/>
      <c r="R304" s="113"/>
      <c r="S304" s="113"/>
      <c r="T304" s="113"/>
      <c r="U304" s="113"/>
      <c r="V304" s="113"/>
      <c r="W304" s="113"/>
      <c r="X304" s="113"/>
      <c r="Y304" s="113"/>
      <c r="Z304" s="113"/>
      <c r="AA304" s="113"/>
      <c r="AB304" s="113"/>
      <c r="AC304" s="113"/>
      <c r="AD304" s="113"/>
      <c r="AE304" s="113"/>
      <c r="AF304" s="113"/>
      <c r="AG304" s="113"/>
      <c r="AH304" s="113"/>
      <c r="AI304" s="113"/>
      <c r="AJ304" s="113"/>
      <c r="AK304" s="113"/>
      <c r="AL304" s="113"/>
      <c r="AM304" s="113"/>
      <c r="AN304" s="113"/>
      <c r="AO304" s="113"/>
      <c r="AP304" s="113"/>
      <c r="AQ304" s="113"/>
      <c r="AR304" s="113"/>
      <c r="AS304" s="113"/>
      <c r="AT304" s="113"/>
      <c r="AU304" s="113"/>
      <c r="AV304" s="113"/>
      <c r="AW304" s="113"/>
      <c r="AX304" s="113"/>
      <c r="AY304" s="113"/>
      <c r="AZ304" s="113"/>
      <c r="BA304" s="113"/>
      <c r="BB304" s="113"/>
      <c r="BC304" s="113"/>
      <c r="BD304" s="113"/>
      <c r="BE304" s="113"/>
      <c r="BF304" s="113"/>
      <c r="BG304" s="113"/>
      <c r="BH304" s="113"/>
      <c r="BI304" s="113"/>
      <c r="BJ304" s="113"/>
      <c r="BK304" s="113"/>
      <c r="BL304" s="113"/>
      <c r="BM304" s="113"/>
      <c r="BN304" s="113"/>
      <c r="BO304" s="113"/>
      <c r="BP304" s="113"/>
      <c r="BQ304" s="113"/>
      <c r="BR304" s="113"/>
      <c r="BS304" s="113"/>
      <c r="BT304" s="113"/>
      <c r="BU304" s="113"/>
      <c r="BV304" s="113"/>
      <c r="BW304" s="113"/>
      <c r="BX304" s="113"/>
      <c r="BY304" s="113"/>
      <c r="BZ304" s="113"/>
      <c r="CA304" s="113"/>
      <c r="CB304" s="113"/>
      <c r="CC304" s="113"/>
      <c r="CD304" s="113"/>
      <c r="CE304" s="113"/>
      <c r="CF304" s="113"/>
      <c r="CG304" s="113"/>
      <c r="CH304" s="113"/>
      <c r="CI304" s="113"/>
      <c r="CJ304" s="113"/>
      <c r="CK304" s="113"/>
      <c r="CL304" s="113"/>
      <c r="CM304" s="113"/>
      <c r="CN304" s="113"/>
      <c r="CO304" s="113"/>
      <c r="CP304" s="113"/>
      <c r="CQ304" s="113"/>
      <c r="CR304" s="113"/>
      <c r="CS304" s="113"/>
      <c r="CT304" s="113"/>
      <c r="CU304" s="113"/>
    </row>
    <row r="305">
      <c r="A305" s="159" t="str">
        <f>IFERROR(__xludf.DUMMYFUNCTION("""COMPUTED_VALUE"""),"H-2")</f>
        <v>H-2</v>
      </c>
      <c r="B305" s="113" t="str">
        <f>IFERROR(__xludf.DUMMYFUNCTION("""COMPUTED_VALUE"""),"Jeanne")</f>
        <v>Jeanne</v>
      </c>
      <c r="C305" s="113" t="str">
        <f>IFERROR(__xludf.DUMMYFUNCTION("""COMPUTED_VALUE"""),"Stronach")</f>
        <v>Stronach</v>
      </c>
      <c r="D305" s="158">
        <f>IFERROR(__xludf.DUMMYFUNCTION("""COMPUTED_VALUE"""),1029.0)</f>
        <v>1029</v>
      </c>
      <c r="E305" s="161">
        <f t="shared" si="1"/>
        <v>7</v>
      </c>
      <c r="F305" s="160">
        <f>COUNTIFS('Scores Import DO NOT EDIT'!C:C, D305,'Scores Import DO NOT EDIT'!M:M,A305)</f>
        <v>6</v>
      </c>
      <c r="G305" s="162">
        <f t="shared" si="2"/>
        <v>0.8571428571</v>
      </c>
      <c r="H305" s="163" t="str">
        <f t="shared" si="3"/>
        <v>H-21029</v>
      </c>
      <c r="I305" s="113"/>
      <c r="J305" s="113"/>
      <c r="K305" s="113"/>
      <c r="L305" s="158"/>
      <c r="M305" s="166" t="s">
        <v>394</v>
      </c>
      <c r="N305" s="113"/>
      <c r="O305" s="113"/>
      <c r="P305" s="113"/>
      <c r="Q305" s="113"/>
      <c r="R305" s="113"/>
      <c r="S305" s="113"/>
      <c r="T305" s="113"/>
      <c r="U305" s="113"/>
      <c r="V305" s="113"/>
      <c r="W305" s="113"/>
      <c r="X305" s="113"/>
      <c r="Y305" s="113"/>
      <c r="Z305" s="113"/>
      <c r="AA305" s="113"/>
      <c r="AB305" s="113"/>
      <c r="AC305" s="113"/>
      <c r="AD305" s="113"/>
      <c r="AE305" s="113"/>
      <c r="AF305" s="113"/>
      <c r="AG305" s="113"/>
      <c r="AH305" s="113"/>
      <c r="AI305" s="113"/>
      <c r="AJ305" s="113"/>
      <c r="AK305" s="113"/>
      <c r="AL305" s="113"/>
      <c r="AM305" s="113"/>
      <c r="AN305" s="113"/>
      <c r="AO305" s="113"/>
      <c r="AP305" s="113"/>
      <c r="AQ305" s="113"/>
      <c r="AR305" s="113"/>
      <c r="AS305" s="113"/>
      <c r="AT305" s="113"/>
      <c r="AU305" s="113"/>
      <c r="AV305" s="113"/>
      <c r="AW305" s="113"/>
      <c r="AX305" s="113"/>
      <c r="AY305" s="113"/>
      <c r="AZ305" s="113"/>
      <c r="BA305" s="113"/>
      <c r="BB305" s="113"/>
      <c r="BC305" s="113"/>
      <c r="BD305" s="113"/>
      <c r="BE305" s="113"/>
      <c r="BF305" s="113"/>
      <c r="BG305" s="113"/>
      <c r="BH305" s="113"/>
      <c r="BI305" s="113"/>
      <c r="BJ305" s="113"/>
      <c r="BK305" s="113"/>
      <c r="BL305" s="113"/>
      <c r="BM305" s="113"/>
      <c r="BN305" s="113"/>
      <c r="BO305" s="113"/>
      <c r="BP305" s="113"/>
      <c r="BQ305" s="113"/>
      <c r="BR305" s="113"/>
      <c r="BS305" s="113"/>
      <c r="BT305" s="113"/>
      <c r="BU305" s="113"/>
      <c r="BV305" s="113"/>
      <c r="BW305" s="113"/>
      <c r="BX305" s="113"/>
      <c r="BY305" s="113"/>
      <c r="BZ305" s="113"/>
      <c r="CA305" s="113"/>
      <c r="CB305" s="113"/>
      <c r="CC305" s="113"/>
      <c r="CD305" s="113"/>
      <c r="CE305" s="113"/>
      <c r="CF305" s="113"/>
      <c r="CG305" s="113"/>
      <c r="CH305" s="113"/>
      <c r="CI305" s="113"/>
      <c r="CJ305" s="113"/>
      <c r="CK305" s="113"/>
      <c r="CL305" s="113"/>
      <c r="CM305" s="113"/>
      <c r="CN305" s="113"/>
      <c r="CO305" s="113"/>
      <c r="CP305" s="113"/>
      <c r="CQ305" s="113"/>
      <c r="CR305" s="113"/>
      <c r="CS305" s="113"/>
      <c r="CT305" s="113"/>
      <c r="CU305" s="113"/>
    </row>
    <row r="306">
      <c r="A306" s="159" t="str">
        <f>IFERROR(__xludf.DUMMYFUNCTION("""COMPUTED_VALUE"""),"H-3")</f>
        <v>H-3</v>
      </c>
      <c r="B306" s="113" t="str">
        <f>IFERROR(__xludf.DUMMYFUNCTION("""COMPUTED_VALUE"""),"Margaret")</f>
        <v>Margaret</v>
      </c>
      <c r="C306" s="113" t="str">
        <f>IFERROR(__xludf.DUMMYFUNCTION("""COMPUTED_VALUE"""),"Stack")</f>
        <v>Stack</v>
      </c>
      <c r="D306" s="158">
        <f>IFERROR(__xludf.DUMMYFUNCTION("""COMPUTED_VALUE"""),1155.0)</f>
        <v>1155</v>
      </c>
      <c r="E306" s="161">
        <f t="shared" si="1"/>
        <v>8</v>
      </c>
      <c r="F306" s="160">
        <f>COUNTIFS('Scores Import DO NOT EDIT'!C:C, D306,'Scores Import DO NOT EDIT'!M:M,A306)</f>
        <v>7</v>
      </c>
      <c r="G306" s="162">
        <f t="shared" si="2"/>
        <v>0.875</v>
      </c>
      <c r="H306" s="163" t="str">
        <f t="shared" si="3"/>
        <v>H-31155</v>
      </c>
      <c r="I306" s="113"/>
      <c r="J306" s="113"/>
      <c r="K306" s="113"/>
      <c r="L306" s="158"/>
      <c r="M306" s="166" t="s">
        <v>395</v>
      </c>
      <c r="N306" s="113"/>
      <c r="O306" s="113"/>
      <c r="P306" s="113"/>
      <c r="Q306" s="113"/>
      <c r="R306" s="113"/>
      <c r="S306" s="113"/>
      <c r="T306" s="113"/>
      <c r="U306" s="113"/>
      <c r="V306" s="113"/>
      <c r="W306" s="113"/>
      <c r="X306" s="113"/>
      <c r="Y306" s="113"/>
      <c r="Z306" s="113"/>
      <c r="AA306" s="113"/>
      <c r="AB306" s="113"/>
      <c r="AC306" s="113"/>
      <c r="AD306" s="113"/>
      <c r="AE306" s="113"/>
      <c r="AF306" s="113"/>
      <c r="AG306" s="113"/>
      <c r="AH306" s="113"/>
      <c r="AI306" s="113"/>
      <c r="AJ306" s="113"/>
      <c r="AK306" s="113"/>
      <c r="AL306" s="113"/>
      <c r="AM306" s="113"/>
      <c r="AN306" s="113"/>
      <c r="AO306" s="113"/>
      <c r="AP306" s="113"/>
      <c r="AQ306" s="113"/>
      <c r="AR306" s="113"/>
      <c r="AS306" s="113"/>
      <c r="AT306" s="113"/>
      <c r="AU306" s="113"/>
      <c r="AV306" s="113"/>
      <c r="AW306" s="113"/>
      <c r="AX306" s="113"/>
      <c r="AY306" s="113"/>
      <c r="AZ306" s="113"/>
      <c r="BA306" s="113"/>
      <c r="BB306" s="113"/>
      <c r="BC306" s="113"/>
      <c r="BD306" s="113"/>
      <c r="BE306" s="113"/>
      <c r="BF306" s="113"/>
      <c r="BG306" s="113"/>
      <c r="BH306" s="113"/>
      <c r="BI306" s="113"/>
      <c r="BJ306" s="113"/>
      <c r="BK306" s="113"/>
      <c r="BL306" s="113"/>
      <c r="BM306" s="113"/>
      <c r="BN306" s="113"/>
      <c r="BO306" s="113"/>
      <c r="BP306" s="113"/>
      <c r="BQ306" s="113"/>
      <c r="BR306" s="113"/>
      <c r="BS306" s="113"/>
      <c r="BT306" s="113"/>
      <c r="BU306" s="113"/>
      <c r="BV306" s="113"/>
      <c r="BW306" s="113"/>
      <c r="BX306" s="113"/>
      <c r="BY306" s="113"/>
      <c r="BZ306" s="113"/>
      <c r="CA306" s="113"/>
      <c r="CB306" s="113"/>
      <c r="CC306" s="113"/>
      <c r="CD306" s="113"/>
      <c r="CE306" s="113"/>
      <c r="CF306" s="113"/>
      <c r="CG306" s="113"/>
      <c r="CH306" s="113"/>
      <c r="CI306" s="113"/>
      <c r="CJ306" s="113"/>
      <c r="CK306" s="113"/>
      <c r="CL306" s="113"/>
      <c r="CM306" s="113"/>
      <c r="CN306" s="113"/>
      <c r="CO306" s="113"/>
      <c r="CP306" s="113"/>
      <c r="CQ306" s="113"/>
      <c r="CR306" s="113"/>
      <c r="CS306" s="113"/>
      <c r="CT306" s="113"/>
      <c r="CU306" s="113"/>
    </row>
    <row r="307">
      <c r="A307" s="159" t="str">
        <f>IFERROR(__xludf.DUMMYFUNCTION("""COMPUTED_VALUE"""),"H-3")</f>
        <v>H-3</v>
      </c>
      <c r="B307" s="113" t="str">
        <f>IFERROR(__xludf.DUMMYFUNCTION("""COMPUTED_VALUE"""),"Jonah")</f>
        <v>Jonah</v>
      </c>
      <c r="C307" s="113" t="str">
        <f>IFERROR(__xludf.DUMMYFUNCTION("""COMPUTED_VALUE"""),"Alderson")</f>
        <v>Alderson</v>
      </c>
      <c r="D307" s="158">
        <f>IFERROR(__xludf.DUMMYFUNCTION("""COMPUTED_VALUE"""),1100.0)</f>
        <v>1100</v>
      </c>
      <c r="E307" s="161">
        <f t="shared" si="1"/>
        <v>8</v>
      </c>
      <c r="F307" s="160">
        <f>COUNTIFS('Scores Import DO NOT EDIT'!C:C, D307,'Scores Import DO NOT EDIT'!M:M,A307)</f>
        <v>0</v>
      </c>
      <c r="G307" s="162">
        <f t="shared" si="2"/>
        <v>0</v>
      </c>
      <c r="H307" s="163" t="str">
        <f t="shared" si="3"/>
        <v>H-31100</v>
      </c>
      <c r="I307" s="113"/>
      <c r="J307" s="113"/>
      <c r="K307" s="113"/>
      <c r="L307" s="158"/>
      <c r="M307" s="166" t="s">
        <v>389</v>
      </c>
      <c r="N307" s="113"/>
      <c r="O307" s="113"/>
      <c r="P307" s="113"/>
      <c r="Q307" s="113"/>
      <c r="R307" s="113"/>
      <c r="S307" s="113"/>
      <c r="T307" s="113"/>
      <c r="U307" s="113"/>
      <c r="V307" s="113"/>
      <c r="W307" s="113"/>
      <c r="X307" s="113"/>
      <c r="Y307" s="113"/>
      <c r="Z307" s="113"/>
      <c r="AA307" s="113"/>
      <c r="AB307" s="113"/>
      <c r="AC307" s="113"/>
      <c r="AD307" s="113"/>
      <c r="AE307" s="113"/>
      <c r="AF307" s="113"/>
      <c r="AG307" s="113"/>
      <c r="AH307" s="113"/>
      <c r="AI307" s="113"/>
      <c r="AJ307" s="113"/>
      <c r="AK307" s="113"/>
      <c r="AL307" s="113"/>
      <c r="AM307" s="113"/>
      <c r="AN307" s="113"/>
      <c r="AO307" s="113"/>
      <c r="AP307" s="113"/>
      <c r="AQ307" s="113"/>
      <c r="AR307" s="113"/>
      <c r="AS307" s="113"/>
      <c r="AT307" s="113"/>
      <c r="AU307" s="113"/>
      <c r="AV307" s="113"/>
      <c r="AW307" s="113"/>
      <c r="AX307" s="113"/>
      <c r="AY307" s="113"/>
      <c r="AZ307" s="113"/>
      <c r="BA307" s="113"/>
      <c r="BB307" s="113"/>
      <c r="BC307" s="113"/>
      <c r="BD307" s="113"/>
      <c r="BE307" s="113"/>
      <c r="BF307" s="113"/>
      <c r="BG307" s="113"/>
      <c r="BH307" s="113"/>
      <c r="BI307" s="113"/>
      <c r="BJ307" s="113"/>
      <c r="BK307" s="113"/>
      <c r="BL307" s="113"/>
      <c r="BM307" s="113"/>
      <c r="BN307" s="113"/>
      <c r="BO307" s="113"/>
      <c r="BP307" s="113"/>
      <c r="BQ307" s="113"/>
      <c r="BR307" s="113"/>
      <c r="BS307" s="113"/>
      <c r="BT307" s="113"/>
      <c r="BU307" s="113"/>
      <c r="BV307" s="113"/>
      <c r="BW307" s="113"/>
      <c r="BX307" s="113"/>
      <c r="BY307" s="113"/>
      <c r="BZ307" s="113"/>
      <c r="CA307" s="113"/>
      <c r="CB307" s="113"/>
      <c r="CC307" s="113"/>
      <c r="CD307" s="113"/>
      <c r="CE307" s="113"/>
      <c r="CF307" s="113"/>
      <c r="CG307" s="113"/>
      <c r="CH307" s="113"/>
      <c r="CI307" s="113"/>
      <c r="CJ307" s="113"/>
      <c r="CK307" s="113"/>
      <c r="CL307" s="113"/>
      <c r="CM307" s="113"/>
      <c r="CN307" s="113"/>
      <c r="CO307" s="113"/>
      <c r="CP307" s="113"/>
      <c r="CQ307" s="113"/>
      <c r="CR307" s="113"/>
      <c r="CS307" s="113"/>
      <c r="CT307" s="113"/>
      <c r="CU307" s="113"/>
    </row>
    <row r="308">
      <c r="A308" s="159" t="str">
        <f>IFERROR(__xludf.DUMMYFUNCTION("""COMPUTED_VALUE"""),"H-3")</f>
        <v>H-3</v>
      </c>
      <c r="B308" s="113" t="str">
        <f>IFERROR(__xludf.DUMMYFUNCTION("""COMPUTED_VALUE"""),"Valeria")</f>
        <v>Valeria</v>
      </c>
      <c r="C308" s="113" t="str">
        <f>IFERROR(__xludf.DUMMYFUNCTION("""COMPUTED_VALUE"""),"Ochoa")</f>
        <v>Ochoa</v>
      </c>
      <c r="D308" s="158">
        <f>IFERROR(__xludf.DUMMYFUNCTION("""COMPUTED_VALUE"""),1219.0)</f>
        <v>1219</v>
      </c>
      <c r="E308" s="161">
        <f t="shared" si="1"/>
        <v>8</v>
      </c>
      <c r="F308" s="160">
        <f>COUNTIFS('Scores Import DO NOT EDIT'!C:C, D308,'Scores Import DO NOT EDIT'!M:M,A308)</f>
        <v>7</v>
      </c>
      <c r="G308" s="162">
        <f t="shared" si="2"/>
        <v>0.875</v>
      </c>
      <c r="H308" s="163" t="str">
        <f t="shared" si="3"/>
        <v>H-31219</v>
      </c>
      <c r="I308" s="113"/>
      <c r="J308" s="113"/>
      <c r="K308" s="113"/>
      <c r="L308" s="158"/>
      <c r="M308" s="166" t="s">
        <v>390</v>
      </c>
      <c r="N308" s="113"/>
      <c r="O308" s="113"/>
      <c r="P308" s="113"/>
      <c r="Q308" s="113"/>
      <c r="R308" s="113"/>
      <c r="S308" s="113"/>
      <c r="T308" s="113"/>
      <c r="U308" s="113"/>
      <c r="V308" s="113"/>
      <c r="W308" s="113"/>
      <c r="X308" s="113"/>
      <c r="Y308" s="113"/>
      <c r="Z308" s="113"/>
      <c r="AA308" s="113"/>
      <c r="AB308" s="113"/>
      <c r="AC308" s="113"/>
      <c r="AD308" s="113"/>
      <c r="AE308" s="113"/>
      <c r="AF308" s="113"/>
      <c r="AG308" s="113"/>
      <c r="AH308" s="113"/>
      <c r="AI308" s="113"/>
      <c r="AJ308" s="113"/>
      <c r="AK308" s="113"/>
      <c r="AL308" s="113"/>
      <c r="AM308" s="113"/>
      <c r="AN308" s="113"/>
      <c r="AO308" s="113"/>
      <c r="AP308" s="113"/>
      <c r="AQ308" s="113"/>
      <c r="AR308" s="113"/>
      <c r="AS308" s="113"/>
      <c r="AT308" s="113"/>
      <c r="AU308" s="113"/>
      <c r="AV308" s="113"/>
      <c r="AW308" s="113"/>
      <c r="AX308" s="113"/>
      <c r="AY308" s="113"/>
      <c r="AZ308" s="113"/>
      <c r="BA308" s="113"/>
      <c r="BB308" s="113"/>
      <c r="BC308" s="113"/>
      <c r="BD308" s="113"/>
      <c r="BE308" s="113"/>
      <c r="BF308" s="113"/>
      <c r="BG308" s="113"/>
      <c r="BH308" s="113"/>
      <c r="BI308" s="113"/>
      <c r="BJ308" s="113"/>
      <c r="BK308" s="113"/>
      <c r="BL308" s="113"/>
      <c r="BM308" s="113"/>
      <c r="BN308" s="113"/>
      <c r="BO308" s="113"/>
      <c r="BP308" s="113"/>
      <c r="BQ308" s="113"/>
      <c r="BR308" s="113"/>
      <c r="BS308" s="113"/>
      <c r="BT308" s="113"/>
      <c r="BU308" s="113"/>
      <c r="BV308" s="113"/>
      <c r="BW308" s="113"/>
      <c r="BX308" s="113"/>
      <c r="BY308" s="113"/>
      <c r="BZ308" s="113"/>
      <c r="CA308" s="113"/>
      <c r="CB308" s="113"/>
      <c r="CC308" s="113"/>
      <c r="CD308" s="113"/>
      <c r="CE308" s="113"/>
      <c r="CF308" s="113"/>
      <c r="CG308" s="113"/>
      <c r="CH308" s="113"/>
      <c r="CI308" s="113"/>
      <c r="CJ308" s="113"/>
      <c r="CK308" s="113"/>
      <c r="CL308" s="113"/>
      <c r="CM308" s="113"/>
      <c r="CN308" s="113"/>
      <c r="CO308" s="113"/>
      <c r="CP308" s="113"/>
      <c r="CQ308" s="113"/>
      <c r="CR308" s="113"/>
      <c r="CS308" s="113"/>
      <c r="CT308" s="113"/>
      <c r="CU308" s="113"/>
    </row>
    <row r="309">
      <c r="A309" s="159" t="str">
        <f>IFERROR(__xludf.DUMMYFUNCTION("""COMPUTED_VALUE"""),"H-3")</f>
        <v>H-3</v>
      </c>
      <c r="B309" s="113" t="str">
        <f>IFERROR(__xludf.DUMMYFUNCTION("""COMPUTED_VALUE"""),"Keith")</f>
        <v>Keith</v>
      </c>
      <c r="C309" s="113" t="str">
        <f>IFERROR(__xludf.DUMMYFUNCTION("""COMPUTED_VALUE"""),"Chan")</f>
        <v>Chan</v>
      </c>
      <c r="D309" s="158">
        <f>IFERROR(__xludf.DUMMYFUNCTION("""COMPUTED_VALUE"""),1138.0)</f>
        <v>1138</v>
      </c>
      <c r="E309" s="161">
        <f t="shared" si="1"/>
        <v>8</v>
      </c>
      <c r="F309" s="160">
        <f>COUNTIFS('Scores Import DO NOT EDIT'!C:C, D309,'Scores Import DO NOT EDIT'!M:M,A309)</f>
        <v>7</v>
      </c>
      <c r="G309" s="162">
        <f t="shared" si="2"/>
        <v>0.875</v>
      </c>
      <c r="H309" s="163" t="str">
        <f t="shared" si="3"/>
        <v>H-31138</v>
      </c>
      <c r="I309" s="113"/>
      <c r="J309" s="113"/>
      <c r="K309" s="113"/>
      <c r="L309" s="158"/>
      <c r="M309" s="166" t="s">
        <v>398</v>
      </c>
      <c r="N309" s="113"/>
      <c r="O309" s="113"/>
      <c r="P309" s="113"/>
      <c r="Q309" s="113"/>
      <c r="R309" s="113"/>
      <c r="S309" s="113"/>
      <c r="T309" s="113"/>
      <c r="U309" s="113"/>
      <c r="V309" s="113"/>
      <c r="W309" s="113"/>
      <c r="X309" s="113"/>
      <c r="Y309" s="113"/>
      <c r="Z309" s="113"/>
      <c r="AA309" s="113"/>
      <c r="AB309" s="113"/>
      <c r="AC309" s="113"/>
      <c r="AD309" s="113"/>
      <c r="AE309" s="113"/>
      <c r="AF309" s="113"/>
      <c r="AG309" s="113"/>
      <c r="AH309" s="113"/>
      <c r="AI309" s="113"/>
      <c r="AJ309" s="113"/>
      <c r="AK309" s="113"/>
      <c r="AL309" s="113"/>
      <c r="AM309" s="113"/>
      <c r="AN309" s="113"/>
      <c r="AO309" s="113"/>
      <c r="AP309" s="113"/>
      <c r="AQ309" s="113"/>
      <c r="AR309" s="113"/>
      <c r="AS309" s="113"/>
      <c r="AT309" s="113"/>
      <c r="AU309" s="113"/>
      <c r="AV309" s="113"/>
      <c r="AW309" s="113"/>
      <c r="AX309" s="113"/>
      <c r="AY309" s="113"/>
      <c r="AZ309" s="113"/>
      <c r="BA309" s="113"/>
      <c r="BB309" s="113"/>
      <c r="BC309" s="113"/>
      <c r="BD309" s="113"/>
      <c r="BE309" s="113"/>
      <c r="BF309" s="113"/>
      <c r="BG309" s="113"/>
      <c r="BH309" s="113"/>
      <c r="BI309" s="113"/>
      <c r="BJ309" s="113"/>
      <c r="BK309" s="113"/>
      <c r="BL309" s="113"/>
      <c r="BM309" s="113"/>
      <c r="BN309" s="113"/>
      <c r="BO309" s="113"/>
      <c r="BP309" s="113"/>
      <c r="BQ309" s="113"/>
      <c r="BR309" s="113"/>
      <c r="BS309" s="113"/>
      <c r="BT309" s="113"/>
      <c r="BU309" s="113"/>
      <c r="BV309" s="113"/>
      <c r="BW309" s="113"/>
      <c r="BX309" s="113"/>
      <c r="BY309" s="113"/>
      <c r="BZ309" s="113"/>
      <c r="CA309" s="113"/>
      <c r="CB309" s="113"/>
      <c r="CC309" s="113"/>
      <c r="CD309" s="113"/>
      <c r="CE309" s="113"/>
      <c r="CF309" s="113"/>
      <c r="CG309" s="113"/>
      <c r="CH309" s="113"/>
      <c r="CI309" s="113"/>
      <c r="CJ309" s="113"/>
      <c r="CK309" s="113"/>
      <c r="CL309" s="113"/>
      <c r="CM309" s="113"/>
      <c r="CN309" s="113"/>
      <c r="CO309" s="113"/>
      <c r="CP309" s="113"/>
      <c r="CQ309" s="113"/>
      <c r="CR309" s="113"/>
      <c r="CS309" s="113"/>
      <c r="CT309" s="113"/>
      <c r="CU309" s="113"/>
    </row>
    <row r="310">
      <c r="A310" s="159" t="str">
        <f>IFERROR(__xludf.DUMMYFUNCTION("""COMPUTED_VALUE"""),"H-4")</f>
        <v>H-4</v>
      </c>
      <c r="B310" s="113" t="str">
        <f>IFERROR(__xludf.DUMMYFUNCTION("""COMPUTED_VALUE"""),"Amanda")</f>
        <v>Amanda</v>
      </c>
      <c r="C310" s="113" t="str">
        <f>IFERROR(__xludf.DUMMYFUNCTION("""COMPUTED_VALUE"""),"Brown")</f>
        <v>Brown</v>
      </c>
      <c r="D310" s="158">
        <f>IFERROR(__xludf.DUMMYFUNCTION("""COMPUTED_VALUE"""),1190.0)</f>
        <v>1190</v>
      </c>
      <c r="E310" s="161">
        <f t="shared" si="1"/>
        <v>5</v>
      </c>
      <c r="F310" s="160">
        <f>COUNTIFS('Scores Import DO NOT EDIT'!C:C, D310,'Scores Import DO NOT EDIT'!M:M,A310)</f>
        <v>4</v>
      </c>
      <c r="G310" s="162">
        <f t="shared" si="2"/>
        <v>0.8</v>
      </c>
      <c r="H310" s="163" t="str">
        <f t="shared" si="3"/>
        <v>H-41190</v>
      </c>
      <c r="I310" s="113"/>
      <c r="J310" s="113"/>
      <c r="K310" s="113"/>
      <c r="L310" s="158"/>
      <c r="M310" s="166" t="s">
        <v>399</v>
      </c>
      <c r="N310" s="113"/>
      <c r="O310" s="113"/>
      <c r="P310" s="113"/>
      <c r="Q310" s="113"/>
      <c r="R310" s="113"/>
      <c r="S310" s="113"/>
      <c r="T310" s="113"/>
      <c r="U310" s="113"/>
      <c r="V310" s="113"/>
      <c r="W310" s="113"/>
      <c r="X310" s="113"/>
      <c r="Y310" s="113"/>
      <c r="Z310" s="113"/>
      <c r="AA310" s="113"/>
      <c r="AB310" s="113"/>
      <c r="AC310" s="113"/>
      <c r="AD310" s="113"/>
      <c r="AE310" s="113"/>
      <c r="AF310" s="113"/>
      <c r="AG310" s="113"/>
      <c r="AH310" s="113"/>
      <c r="AI310" s="113"/>
      <c r="AJ310" s="113"/>
      <c r="AK310" s="113"/>
      <c r="AL310" s="113"/>
      <c r="AM310" s="113"/>
      <c r="AN310" s="113"/>
      <c r="AO310" s="113"/>
      <c r="AP310" s="113"/>
      <c r="AQ310" s="113"/>
      <c r="AR310" s="113"/>
      <c r="AS310" s="113"/>
      <c r="AT310" s="113"/>
      <c r="AU310" s="113"/>
      <c r="AV310" s="113"/>
      <c r="AW310" s="113"/>
      <c r="AX310" s="113"/>
      <c r="AY310" s="113"/>
      <c r="AZ310" s="113"/>
      <c r="BA310" s="113"/>
      <c r="BB310" s="113"/>
      <c r="BC310" s="113"/>
      <c r="BD310" s="113"/>
      <c r="BE310" s="113"/>
      <c r="BF310" s="113"/>
      <c r="BG310" s="113"/>
      <c r="BH310" s="113"/>
      <c r="BI310" s="113"/>
      <c r="BJ310" s="113"/>
      <c r="BK310" s="113"/>
      <c r="BL310" s="113"/>
      <c r="BM310" s="113"/>
      <c r="BN310" s="113"/>
      <c r="BO310" s="113"/>
      <c r="BP310" s="113"/>
      <c r="BQ310" s="113"/>
      <c r="BR310" s="113"/>
      <c r="BS310" s="113"/>
      <c r="BT310" s="113"/>
      <c r="BU310" s="113"/>
      <c r="BV310" s="113"/>
      <c r="BW310" s="113"/>
      <c r="BX310" s="113"/>
      <c r="BY310" s="113"/>
      <c r="BZ310" s="113"/>
      <c r="CA310" s="113"/>
      <c r="CB310" s="113"/>
      <c r="CC310" s="113"/>
      <c r="CD310" s="113"/>
      <c r="CE310" s="113"/>
      <c r="CF310" s="113"/>
      <c r="CG310" s="113"/>
      <c r="CH310" s="113"/>
      <c r="CI310" s="113"/>
      <c r="CJ310" s="113"/>
      <c r="CK310" s="113"/>
      <c r="CL310" s="113"/>
      <c r="CM310" s="113"/>
      <c r="CN310" s="113"/>
      <c r="CO310" s="113"/>
      <c r="CP310" s="113"/>
      <c r="CQ310" s="113"/>
      <c r="CR310" s="113"/>
      <c r="CS310" s="113"/>
      <c r="CT310" s="113"/>
      <c r="CU310" s="113"/>
    </row>
    <row r="311">
      <c r="A311" s="159" t="str">
        <f>IFERROR(__xludf.DUMMYFUNCTION("""COMPUTED_VALUE"""),"H-4")</f>
        <v>H-4</v>
      </c>
      <c r="B311" s="113" t="str">
        <f>IFERROR(__xludf.DUMMYFUNCTION("""COMPUTED_VALUE"""),"Tiffany")</f>
        <v>Tiffany</v>
      </c>
      <c r="C311" s="113" t="str">
        <f>IFERROR(__xludf.DUMMYFUNCTION("""COMPUTED_VALUE"""),"Luong")</f>
        <v>Luong</v>
      </c>
      <c r="D311" s="158">
        <f>IFERROR(__xludf.DUMMYFUNCTION("""COMPUTED_VALUE"""),1158.0)</f>
        <v>1158</v>
      </c>
      <c r="E311" s="161">
        <f t="shared" si="1"/>
        <v>5</v>
      </c>
      <c r="F311" s="160">
        <f>COUNTIFS('Scores Import DO NOT EDIT'!C:C, D311,'Scores Import DO NOT EDIT'!M:M,A311)</f>
        <v>4</v>
      </c>
      <c r="G311" s="162">
        <f t="shared" si="2"/>
        <v>0.8</v>
      </c>
      <c r="H311" s="163" t="str">
        <f t="shared" si="3"/>
        <v>H-41158</v>
      </c>
      <c r="I311" s="113"/>
      <c r="J311" s="113"/>
      <c r="K311" s="113"/>
      <c r="L311" s="158"/>
      <c r="M311" s="166" t="s">
        <v>401</v>
      </c>
      <c r="N311" s="113"/>
      <c r="O311" s="113"/>
      <c r="P311" s="113"/>
      <c r="Q311" s="113"/>
      <c r="R311" s="113"/>
      <c r="S311" s="113"/>
      <c r="T311" s="113"/>
      <c r="U311" s="113"/>
      <c r="V311" s="113"/>
      <c r="W311" s="113"/>
      <c r="X311" s="113"/>
      <c r="Y311" s="113"/>
      <c r="Z311" s="113"/>
      <c r="AA311" s="113"/>
      <c r="AB311" s="113"/>
      <c r="AC311" s="113"/>
      <c r="AD311" s="113"/>
      <c r="AE311" s="113"/>
      <c r="AF311" s="113"/>
      <c r="AG311" s="113"/>
      <c r="AH311" s="113"/>
      <c r="AI311" s="113"/>
      <c r="AJ311" s="113"/>
      <c r="AK311" s="113"/>
      <c r="AL311" s="113"/>
      <c r="AM311" s="113"/>
      <c r="AN311" s="113"/>
      <c r="AO311" s="113"/>
      <c r="AP311" s="113"/>
      <c r="AQ311" s="113"/>
      <c r="AR311" s="113"/>
      <c r="AS311" s="113"/>
      <c r="AT311" s="113"/>
      <c r="AU311" s="113"/>
      <c r="AV311" s="113"/>
      <c r="AW311" s="113"/>
      <c r="AX311" s="113"/>
      <c r="AY311" s="113"/>
      <c r="AZ311" s="113"/>
      <c r="BA311" s="113"/>
      <c r="BB311" s="113"/>
      <c r="BC311" s="113"/>
      <c r="BD311" s="113"/>
      <c r="BE311" s="113"/>
      <c r="BF311" s="113"/>
      <c r="BG311" s="113"/>
      <c r="BH311" s="113"/>
      <c r="BI311" s="113"/>
      <c r="BJ311" s="113"/>
      <c r="BK311" s="113"/>
      <c r="BL311" s="113"/>
      <c r="BM311" s="113"/>
      <c r="BN311" s="113"/>
      <c r="BO311" s="113"/>
      <c r="BP311" s="113"/>
      <c r="BQ311" s="113"/>
      <c r="BR311" s="113"/>
      <c r="BS311" s="113"/>
      <c r="BT311" s="113"/>
      <c r="BU311" s="113"/>
      <c r="BV311" s="113"/>
      <c r="BW311" s="113"/>
      <c r="BX311" s="113"/>
      <c r="BY311" s="113"/>
      <c r="BZ311" s="113"/>
      <c r="CA311" s="113"/>
      <c r="CB311" s="113"/>
      <c r="CC311" s="113"/>
      <c r="CD311" s="113"/>
      <c r="CE311" s="113"/>
      <c r="CF311" s="113"/>
      <c r="CG311" s="113"/>
      <c r="CH311" s="113"/>
      <c r="CI311" s="113"/>
      <c r="CJ311" s="113"/>
      <c r="CK311" s="113"/>
      <c r="CL311" s="113"/>
      <c r="CM311" s="113"/>
      <c r="CN311" s="113"/>
      <c r="CO311" s="113"/>
      <c r="CP311" s="113"/>
      <c r="CQ311" s="113"/>
      <c r="CR311" s="113"/>
      <c r="CS311" s="113"/>
      <c r="CT311" s="113"/>
      <c r="CU311" s="113"/>
    </row>
    <row r="312">
      <c r="A312" s="159" t="str">
        <f>IFERROR(__xludf.DUMMYFUNCTION("""COMPUTED_VALUE"""),"H-4")</f>
        <v>H-4</v>
      </c>
      <c r="B312" s="113" t="str">
        <f>IFERROR(__xludf.DUMMYFUNCTION("""COMPUTED_VALUE"""),"Judy")</f>
        <v>Judy</v>
      </c>
      <c r="C312" s="113" t="str">
        <f>IFERROR(__xludf.DUMMYFUNCTION("""COMPUTED_VALUE"""),"Audas")</f>
        <v>Audas</v>
      </c>
      <c r="D312" s="158">
        <f>IFERROR(__xludf.DUMMYFUNCTION("""COMPUTED_VALUE"""),1164.0)</f>
        <v>1164</v>
      </c>
      <c r="E312" s="161">
        <f t="shared" si="1"/>
        <v>5</v>
      </c>
      <c r="F312" s="160">
        <f>COUNTIFS('Scores Import DO NOT EDIT'!C:C, D312,'Scores Import DO NOT EDIT'!M:M,A312)</f>
        <v>4</v>
      </c>
      <c r="G312" s="162">
        <f t="shared" si="2"/>
        <v>0.8</v>
      </c>
      <c r="H312" s="163" t="str">
        <f t="shared" si="3"/>
        <v>H-41164</v>
      </c>
      <c r="I312" s="113"/>
      <c r="J312" s="113"/>
      <c r="K312" s="113"/>
      <c r="L312" s="158"/>
      <c r="M312" s="166" t="s">
        <v>396</v>
      </c>
      <c r="N312" s="113"/>
      <c r="O312" s="113"/>
      <c r="P312" s="113"/>
      <c r="Q312" s="113"/>
      <c r="R312" s="113"/>
      <c r="S312" s="113"/>
      <c r="T312" s="113"/>
      <c r="U312" s="113"/>
      <c r="V312" s="113"/>
      <c r="W312" s="113"/>
      <c r="X312" s="113"/>
      <c r="Y312" s="113"/>
      <c r="Z312" s="113"/>
      <c r="AA312" s="113"/>
      <c r="AB312" s="113"/>
      <c r="AC312" s="113"/>
      <c r="AD312" s="113"/>
      <c r="AE312" s="113"/>
      <c r="AF312" s="113"/>
      <c r="AG312" s="113"/>
      <c r="AH312" s="113"/>
      <c r="AI312" s="113"/>
      <c r="AJ312" s="113"/>
      <c r="AK312" s="113"/>
      <c r="AL312" s="113"/>
      <c r="AM312" s="113"/>
      <c r="AN312" s="113"/>
      <c r="AO312" s="113"/>
      <c r="AP312" s="113"/>
      <c r="AQ312" s="113"/>
      <c r="AR312" s="113"/>
      <c r="AS312" s="113"/>
      <c r="AT312" s="113"/>
      <c r="AU312" s="113"/>
      <c r="AV312" s="113"/>
      <c r="AW312" s="113"/>
      <c r="AX312" s="113"/>
      <c r="AY312" s="113"/>
      <c r="AZ312" s="113"/>
      <c r="BA312" s="113"/>
      <c r="BB312" s="113"/>
      <c r="BC312" s="113"/>
      <c r="BD312" s="113"/>
      <c r="BE312" s="113"/>
      <c r="BF312" s="113"/>
      <c r="BG312" s="113"/>
      <c r="BH312" s="113"/>
      <c r="BI312" s="113"/>
      <c r="BJ312" s="113"/>
      <c r="BK312" s="113"/>
      <c r="BL312" s="113"/>
      <c r="BM312" s="113"/>
      <c r="BN312" s="113"/>
      <c r="BO312" s="113"/>
      <c r="BP312" s="113"/>
      <c r="BQ312" s="113"/>
      <c r="BR312" s="113"/>
      <c r="BS312" s="113"/>
      <c r="BT312" s="113"/>
      <c r="BU312" s="113"/>
      <c r="BV312" s="113"/>
      <c r="BW312" s="113"/>
      <c r="BX312" s="113"/>
      <c r="BY312" s="113"/>
      <c r="BZ312" s="113"/>
      <c r="CA312" s="113"/>
      <c r="CB312" s="113"/>
      <c r="CC312" s="113"/>
      <c r="CD312" s="113"/>
      <c r="CE312" s="113"/>
      <c r="CF312" s="113"/>
      <c r="CG312" s="113"/>
      <c r="CH312" s="113"/>
      <c r="CI312" s="113"/>
      <c r="CJ312" s="113"/>
      <c r="CK312" s="113"/>
      <c r="CL312" s="113"/>
      <c r="CM312" s="113"/>
      <c r="CN312" s="113"/>
      <c r="CO312" s="113"/>
      <c r="CP312" s="113"/>
      <c r="CQ312" s="113"/>
      <c r="CR312" s="113"/>
      <c r="CS312" s="113"/>
      <c r="CT312" s="113"/>
      <c r="CU312" s="113"/>
    </row>
    <row r="313">
      <c r="A313" s="159" t="str">
        <f>IFERROR(__xludf.DUMMYFUNCTION("""COMPUTED_VALUE"""),"H-4")</f>
        <v>H-4</v>
      </c>
      <c r="B313" s="113" t="str">
        <f>IFERROR(__xludf.DUMMYFUNCTION("""COMPUTED_VALUE"""),"Krishna")</f>
        <v>Krishna</v>
      </c>
      <c r="C313" s="113" t="str">
        <f>IFERROR(__xludf.DUMMYFUNCTION("""COMPUTED_VALUE"""),"Ramamoorthy")</f>
        <v>Ramamoorthy</v>
      </c>
      <c r="D313" s="158">
        <f>IFERROR(__xludf.DUMMYFUNCTION("""COMPUTED_VALUE"""),1226.0)</f>
        <v>1226</v>
      </c>
      <c r="E313" s="161">
        <f t="shared" si="1"/>
        <v>5</v>
      </c>
      <c r="F313" s="160">
        <f>COUNTIFS('Scores Import DO NOT EDIT'!C:C, D313,'Scores Import DO NOT EDIT'!M:M,A313)</f>
        <v>4</v>
      </c>
      <c r="G313" s="162">
        <f t="shared" si="2"/>
        <v>0.8</v>
      </c>
      <c r="H313" s="163" t="str">
        <f t="shared" si="3"/>
        <v>H-41226</v>
      </c>
      <c r="I313" s="113"/>
      <c r="J313" s="113"/>
      <c r="K313" s="113"/>
      <c r="L313" s="158"/>
      <c r="M313" s="166" t="s">
        <v>400</v>
      </c>
      <c r="N313" s="113"/>
      <c r="O313" s="113"/>
      <c r="P313" s="113"/>
      <c r="Q313" s="113"/>
      <c r="R313" s="113"/>
      <c r="S313" s="113"/>
      <c r="T313" s="113"/>
      <c r="U313" s="113"/>
      <c r="V313" s="113"/>
      <c r="W313" s="113"/>
      <c r="X313" s="113"/>
      <c r="Y313" s="113"/>
      <c r="Z313" s="113"/>
      <c r="AA313" s="113"/>
      <c r="AB313" s="113"/>
      <c r="AC313" s="113"/>
      <c r="AD313" s="113"/>
      <c r="AE313" s="113"/>
      <c r="AF313" s="113"/>
      <c r="AG313" s="113"/>
      <c r="AH313" s="113"/>
      <c r="AI313" s="113"/>
      <c r="AJ313" s="113"/>
      <c r="AK313" s="113"/>
      <c r="AL313" s="113"/>
      <c r="AM313" s="113"/>
      <c r="AN313" s="113"/>
      <c r="AO313" s="113"/>
      <c r="AP313" s="113"/>
      <c r="AQ313" s="113"/>
      <c r="AR313" s="113"/>
      <c r="AS313" s="113"/>
      <c r="AT313" s="113"/>
      <c r="AU313" s="113"/>
      <c r="AV313" s="113"/>
      <c r="AW313" s="113"/>
      <c r="AX313" s="113"/>
      <c r="AY313" s="113"/>
      <c r="AZ313" s="113"/>
      <c r="BA313" s="113"/>
      <c r="BB313" s="113"/>
      <c r="BC313" s="113"/>
      <c r="BD313" s="113"/>
      <c r="BE313" s="113"/>
      <c r="BF313" s="113"/>
      <c r="BG313" s="113"/>
      <c r="BH313" s="113"/>
      <c r="BI313" s="113"/>
      <c r="BJ313" s="113"/>
      <c r="BK313" s="113"/>
      <c r="BL313" s="113"/>
      <c r="BM313" s="113"/>
      <c r="BN313" s="113"/>
      <c r="BO313" s="113"/>
      <c r="BP313" s="113"/>
      <c r="BQ313" s="113"/>
      <c r="BR313" s="113"/>
      <c r="BS313" s="113"/>
      <c r="BT313" s="113"/>
      <c r="BU313" s="113"/>
      <c r="BV313" s="113"/>
      <c r="BW313" s="113"/>
      <c r="BX313" s="113"/>
      <c r="BY313" s="113"/>
      <c r="BZ313" s="113"/>
      <c r="CA313" s="113"/>
      <c r="CB313" s="113"/>
      <c r="CC313" s="113"/>
      <c r="CD313" s="113"/>
      <c r="CE313" s="113"/>
      <c r="CF313" s="113"/>
      <c r="CG313" s="113"/>
      <c r="CH313" s="113"/>
      <c r="CI313" s="113"/>
      <c r="CJ313" s="113"/>
      <c r="CK313" s="113"/>
      <c r="CL313" s="113"/>
      <c r="CM313" s="113"/>
      <c r="CN313" s="113"/>
      <c r="CO313" s="113"/>
      <c r="CP313" s="113"/>
      <c r="CQ313" s="113"/>
      <c r="CR313" s="113"/>
      <c r="CS313" s="113"/>
      <c r="CT313" s="113"/>
      <c r="CU313" s="113"/>
    </row>
    <row r="314">
      <c r="A314" s="159" t="str">
        <f>IFERROR(__xludf.DUMMYFUNCTION("""COMPUTED_VALUE"""),"H-4")</f>
        <v>H-4</v>
      </c>
      <c r="B314" s="113" t="str">
        <f>IFERROR(__xludf.DUMMYFUNCTION("""COMPUTED_VALUE"""),"Anupama")</f>
        <v>Anupama</v>
      </c>
      <c r="C314" s="113" t="str">
        <f>IFERROR(__xludf.DUMMYFUNCTION("""COMPUTED_VALUE"""),"Singh")</f>
        <v>Singh</v>
      </c>
      <c r="D314" s="158">
        <f>IFERROR(__xludf.DUMMYFUNCTION("""COMPUTED_VALUE"""),1186.0)</f>
        <v>1186</v>
      </c>
      <c r="E314" s="161">
        <f t="shared" si="1"/>
        <v>5</v>
      </c>
      <c r="F314" s="160">
        <f>COUNTIFS('Scores Import DO NOT EDIT'!C:C, D314,'Scores Import DO NOT EDIT'!M:M,A314)</f>
        <v>4</v>
      </c>
      <c r="G314" s="162">
        <f t="shared" si="2"/>
        <v>0.8</v>
      </c>
      <c r="H314" s="163" t="str">
        <f t="shared" si="3"/>
        <v>H-41186</v>
      </c>
      <c r="I314" s="113"/>
      <c r="J314" s="113"/>
      <c r="K314" s="113"/>
      <c r="L314" s="158"/>
      <c r="M314" s="166" t="s">
        <v>397</v>
      </c>
      <c r="N314" s="113"/>
      <c r="O314" s="113"/>
      <c r="P314" s="113"/>
      <c r="Q314" s="113"/>
      <c r="R314" s="113"/>
      <c r="S314" s="113"/>
      <c r="T314" s="113"/>
      <c r="U314" s="113"/>
      <c r="V314" s="113"/>
      <c r="W314" s="113"/>
      <c r="X314" s="113"/>
      <c r="Y314" s="113"/>
      <c r="Z314" s="113"/>
      <c r="AA314" s="113"/>
      <c r="AB314" s="113"/>
      <c r="AC314" s="113"/>
      <c r="AD314" s="113"/>
      <c r="AE314" s="113"/>
      <c r="AF314" s="113"/>
      <c r="AG314" s="113"/>
      <c r="AH314" s="113"/>
      <c r="AI314" s="113"/>
      <c r="AJ314" s="113"/>
      <c r="AK314" s="113"/>
      <c r="AL314" s="113"/>
      <c r="AM314" s="113"/>
      <c r="AN314" s="113"/>
      <c r="AO314" s="113"/>
      <c r="AP314" s="113"/>
      <c r="AQ314" s="113"/>
      <c r="AR314" s="113"/>
      <c r="AS314" s="113"/>
      <c r="AT314" s="113"/>
      <c r="AU314" s="113"/>
      <c r="AV314" s="113"/>
      <c r="AW314" s="113"/>
      <c r="AX314" s="113"/>
      <c r="AY314" s="113"/>
      <c r="AZ314" s="113"/>
      <c r="BA314" s="113"/>
      <c r="BB314" s="113"/>
      <c r="BC314" s="113"/>
      <c r="BD314" s="113"/>
      <c r="BE314" s="113"/>
      <c r="BF314" s="113"/>
      <c r="BG314" s="113"/>
      <c r="BH314" s="113"/>
      <c r="BI314" s="113"/>
      <c r="BJ314" s="113"/>
      <c r="BK314" s="113"/>
      <c r="BL314" s="113"/>
      <c r="BM314" s="113"/>
      <c r="BN314" s="113"/>
      <c r="BO314" s="113"/>
      <c r="BP314" s="113"/>
      <c r="BQ314" s="113"/>
      <c r="BR314" s="113"/>
      <c r="BS314" s="113"/>
      <c r="BT314" s="113"/>
      <c r="BU314" s="113"/>
      <c r="BV314" s="113"/>
      <c r="BW314" s="113"/>
      <c r="BX314" s="113"/>
      <c r="BY314" s="113"/>
      <c r="BZ314" s="113"/>
      <c r="CA314" s="113"/>
      <c r="CB314" s="113"/>
      <c r="CC314" s="113"/>
      <c r="CD314" s="113"/>
      <c r="CE314" s="113"/>
      <c r="CF314" s="113"/>
      <c r="CG314" s="113"/>
      <c r="CH314" s="113"/>
      <c r="CI314" s="113"/>
      <c r="CJ314" s="113"/>
      <c r="CK314" s="113"/>
      <c r="CL314" s="113"/>
      <c r="CM314" s="113"/>
      <c r="CN314" s="113"/>
      <c r="CO314" s="113"/>
      <c r="CP314" s="113"/>
      <c r="CQ314" s="113"/>
      <c r="CR314" s="113"/>
      <c r="CS314" s="113"/>
      <c r="CT314" s="113"/>
      <c r="CU314" s="113"/>
    </row>
    <row r="315">
      <c r="A315" s="159" t="str">
        <f>IFERROR(__xludf.DUMMYFUNCTION("""COMPUTED_VALUE"""),"H-5")</f>
        <v>H-5</v>
      </c>
      <c r="B315" s="113" t="str">
        <f>IFERROR(__xludf.DUMMYFUNCTION("""COMPUTED_VALUE"""),"Naveen K.")</f>
        <v>Naveen K.</v>
      </c>
      <c r="C315" s="113" t="str">
        <f>IFERROR(__xludf.DUMMYFUNCTION("""COMPUTED_VALUE"""),"Vaidya")</f>
        <v>Vaidya</v>
      </c>
      <c r="D315" s="158">
        <f>IFERROR(__xludf.DUMMYFUNCTION("""COMPUTED_VALUE"""),1192.0)</f>
        <v>1192</v>
      </c>
      <c r="E315" s="161">
        <f t="shared" si="1"/>
        <v>6</v>
      </c>
      <c r="F315" s="160">
        <f>COUNTIFS('Scores Import DO NOT EDIT'!C:C, D315,'Scores Import DO NOT EDIT'!M:M,A315)</f>
        <v>5</v>
      </c>
      <c r="G315" s="162">
        <f t="shared" si="2"/>
        <v>0.8333333333</v>
      </c>
      <c r="H315" s="163" t="str">
        <f t="shared" si="3"/>
        <v>H-51192</v>
      </c>
      <c r="I315" s="113"/>
      <c r="J315" s="113"/>
      <c r="K315" s="113"/>
      <c r="L315" s="158"/>
      <c r="M315" s="166" t="s">
        <v>402</v>
      </c>
      <c r="N315" s="113"/>
      <c r="O315" s="113"/>
      <c r="P315" s="113"/>
      <c r="Q315" s="113"/>
      <c r="R315" s="113"/>
      <c r="S315" s="113"/>
      <c r="T315" s="113"/>
      <c r="U315" s="113"/>
      <c r="V315" s="113"/>
      <c r="W315" s="113"/>
      <c r="X315" s="113"/>
      <c r="Y315" s="113"/>
      <c r="Z315" s="113"/>
      <c r="AA315" s="113"/>
      <c r="AB315" s="113"/>
      <c r="AC315" s="113"/>
      <c r="AD315" s="113"/>
      <c r="AE315" s="113"/>
      <c r="AF315" s="113"/>
      <c r="AG315" s="113"/>
      <c r="AH315" s="113"/>
      <c r="AI315" s="113"/>
      <c r="AJ315" s="113"/>
      <c r="AK315" s="113"/>
      <c r="AL315" s="113"/>
      <c r="AM315" s="113"/>
      <c r="AN315" s="113"/>
      <c r="AO315" s="113"/>
      <c r="AP315" s="113"/>
      <c r="AQ315" s="113"/>
      <c r="AR315" s="113"/>
      <c r="AS315" s="113"/>
      <c r="AT315" s="113"/>
      <c r="AU315" s="113"/>
      <c r="AV315" s="113"/>
      <c r="AW315" s="113"/>
      <c r="AX315" s="113"/>
      <c r="AY315" s="113"/>
      <c r="AZ315" s="113"/>
      <c r="BA315" s="113"/>
      <c r="BB315" s="113"/>
      <c r="BC315" s="113"/>
      <c r="BD315" s="113"/>
      <c r="BE315" s="113"/>
      <c r="BF315" s="113"/>
      <c r="BG315" s="113"/>
      <c r="BH315" s="113"/>
      <c r="BI315" s="113"/>
      <c r="BJ315" s="113"/>
      <c r="BK315" s="113"/>
      <c r="BL315" s="113"/>
      <c r="BM315" s="113"/>
      <c r="BN315" s="113"/>
      <c r="BO315" s="113"/>
      <c r="BP315" s="113"/>
      <c r="BQ315" s="113"/>
      <c r="BR315" s="113"/>
      <c r="BS315" s="113"/>
      <c r="BT315" s="113"/>
      <c r="BU315" s="113"/>
      <c r="BV315" s="113"/>
      <c r="BW315" s="113"/>
      <c r="BX315" s="113"/>
      <c r="BY315" s="113"/>
      <c r="BZ315" s="113"/>
      <c r="CA315" s="113"/>
      <c r="CB315" s="113"/>
      <c r="CC315" s="113"/>
      <c r="CD315" s="113"/>
      <c r="CE315" s="113"/>
      <c r="CF315" s="113"/>
      <c r="CG315" s="113"/>
      <c r="CH315" s="113"/>
      <c r="CI315" s="113"/>
      <c r="CJ315" s="113"/>
      <c r="CK315" s="113"/>
      <c r="CL315" s="113"/>
      <c r="CM315" s="113"/>
      <c r="CN315" s="113"/>
      <c r="CO315" s="113"/>
      <c r="CP315" s="113"/>
      <c r="CQ315" s="113"/>
      <c r="CR315" s="113"/>
      <c r="CS315" s="113"/>
      <c r="CT315" s="113"/>
      <c r="CU315" s="113"/>
    </row>
    <row r="316">
      <c r="A316" s="159" t="str">
        <f>IFERROR(__xludf.DUMMYFUNCTION("""COMPUTED_VALUE"""),"H-5")</f>
        <v>H-5</v>
      </c>
      <c r="B316" s="113" t="str">
        <f>IFERROR(__xludf.DUMMYFUNCTION("""COMPUTED_VALUE"""),"Lin")</f>
        <v>Lin</v>
      </c>
      <c r="C316" s="113" t="str">
        <f>IFERROR(__xludf.DUMMYFUNCTION("""COMPUTED_VALUE"""),"Wang")</f>
        <v>Wang</v>
      </c>
      <c r="D316" s="158">
        <f>IFERROR(__xludf.DUMMYFUNCTION("""COMPUTED_VALUE"""),1167.0)</f>
        <v>1167</v>
      </c>
      <c r="E316" s="161">
        <f t="shared" si="1"/>
        <v>6</v>
      </c>
      <c r="F316" s="160">
        <f>COUNTIFS('Scores Import DO NOT EDIT'!C:C, D316,'Scores Import DO NOT EDIT'!M:M,A316)</f>
        <v>5</v>
      </c>
      <c r="G316" s="162">
        <f t="shared" si="2"/>
        <v>0.8333333333</v>
      </c>
      <c r="H316" s="163" t="str">
        <f t="shared" si="3"/>
        <v>H-51167</v>
      </c>
      <c r="I316" s="113"/>
      <c r="J316" s="113"/>
      <c r="K316" s="113"/>
      <c r="L316" s="158"/>
      <c r="M316" s="166" t="s">
        <v>404</v>
      </c>
      <c r="N316" s="113"/>
      <c r="O316" s="113"/>
      <c r="P316" s="113"/>
      <c r="Q316" s="113"/>
      <c r="R316" s="113"/>
      <c r="S316" s="113"/>
      <c r="T316" s="113"/>
      <c r="U316" s="113"/>
      <c r="V316" s="113"/>
      <c r="W316" s="113"/>
      <c r="X316" s="113"/>
      <c r="Y316" s="113"/>
      <c r="Z316" s="113"/>
      <c r="AA316" s="113"/>
      <c r="AB316" s="113"/>
      <c r="AC316" s="113"/>
      <c r="AD316" s="113"/>
      <c r="AE316" s="113"/>
      <c r="AF316" s="113"/>
      <c r="AG316" s="113"/>
      <c r="AH316" s="113"/>
      <c r="AI316" s="113"/>
      <c r="AJ316" s="113"/>
      <c r="AK316" s="113"/>
      <c r="AL316" s="113"/>
      <c r="AM316" s="113"/>
      <c r="AN316" s="113"/>
      <c r="AO316" s="113"/>
      <c r="AP316" s="113"/>
      <c r="AQ316" s="113"/>
      <c r="AR316" s="113"/>
      <c r="AS316" s="113"/>
      <c r="AT316" s="113"/>
      <c r="AU316" s="113"/>
      <c r="AV316" s="113"/>
      <c r="AW316" s="113"/>
      <c r="AX316" s="113"/>
      <c r="AY316" s="113"/>
      <c r="AZ316" s="113"/>
      <c r="BA316" s="113"/>
      <c r="BB316" s="113"/>
      <c r="BC316" s="113"/>
      <c r="BD316" s="113"/>
      <c r="BE316" s="113"/>
      <c r="BF316" s="113"/>
      <c r="BG316" s="113"/>
      <c r="BH316" s="113"/>
      <c r="BI316" s="113"/>
      <c r="BJ316" s="113"/>
      <c r="BK316" s="113"/>
      <c r="BL316" s="113"/>
      <c r="BM316" s="113"/>
      <c r="BN316" s="113"/>
      <c r="BO316" s="113"/>
      <c r="BP316" s="113"/>
      <c r="BQ316" s="113"/>
      <c r="BR316" s="113"/>
      <c r="BS316" s="113"/>
      <c r="BT316" s="113"/>
      <c r="BU316" s="113"/>
      <c r="BV316" s="113"/>
      <c r="BW316" s="113"/>
      <c r="BX316" s="113"/>
      <c r="BY316" s="113"/>
      <c r="BZ316" s="113"/>
      <c r="CA316" s="113"/>
      <c r="CB316" s="113"/>
      <c r="CC316" s="113"/>
      <c r="CD316" s="113"/>
      <c r="CE316" s="113"/>
      <c r="CF316" s="113"/>
      <c r="CG316" s="113"/>
      <c r="CH316" s="113"/>
      <c r="CI316" s="113"/>
      <c r="CJ316" s="113"/>
      <c r="CK316" s="113"/>
      <c r="CL316" s="113"/>
      <c r="CM316" s="113"/>
      <c r="CN316" s="113"/>
      <c r="CO316" s="113"/>
      <c r="CP316" s="113"/>
      <c r="CQ316" s="113"/>
      <c r="CR316" s="113"/>
      <c r="CS316" s="113"/>
      <c r="CT316" s="113"/>
      <c r="CU316" s="113"/>
    </row>
    <row r="317">
      <c r="A317" s="159" t="str">
        <f>IFERROR(__xludf.DUMMYFUNCTION("""COMPUTED_VALUE"""),"H-5")</f>
        <v>H-5</v>
      </c>
      <c r="B317" s="113" t="str">
        <f>IFERROR(__xludf.DUMMYFUNCTION("""COMPUTED_VALUE"""),"Tom")</f>
        <v>Tom</v>
      </c>
      <c r="C317" s="113" t="str">
        <f>IFERROR(__xludf.DUMMYFUNCTION("""COMPUTED_VALUE"""),"Cole")</f>
        <v>Cole</v>
      </c>
      <c r="D317" s="158">
        <f>IFERROR(__xludf.DUMMYFUNCTION("""COMPUTED_VALUE"""),1236.0)</f>
        <v>1236</v>
      </c>
      <c r="E317" s="161">
        <f t="shared" si="1"/>
        <v>6</v>
      </c>
      <c r="F317" s="160">
        <f>COUNTIFS('Scores Import DO NOT EDIT'!C:C, D317,'Scores Import DO NOT EDIT'!M:M,A317)</f>
        <v>5</v>
      </c>
      <c r="G317" s="162">
        <f t="shared" si="2"/>
        <v>0.8333333333</v>
      </c>
      <c r="H317" s="163" t="str">
        <f t="shared" si="3"/>
        <v>H-51236</v>
      </c>
      <c r="I317" s="113"/>
      <c r="J317" s="113"/>
      <c r="K317" s="113"/>
      <c r="L317" s="158"/>
      <c r="M317" s="166" t="s">
        <v>408</v>
      </c>
      <c r="N317" s="113"/>
      <c r="O317" s="113"/>
      <c r="P317" s="113"/>
      <c r="Q317" s="113"/>
      <c r="R317" s="113"/>
      <c r="S317" s="113"/>
      <c r="T317" s="113"/>
      <c r="U317" s="113"/>
      <c r="V317" s="113"/>
      <c r="W317" s="113"/>
      <c r="X317" s="113"/>
      <c r="Y317" s="113"/>
      <c r="Z317" s="113"/>
      <c r="AA317" s="113"/>
      <c r="AB317" s="113"/>
      <c r="AC317" s="113"/>
      <c r="AD317" s="113"/>
      <c r="AE317" s="113"/>
      <c r="AF317" s="113"/>
      <c r="AG317" s="113"/>
      <c r="AH317" s="113"/>
      <c r="AI317" s="113"/>
      <c r="AJ317" s="113"/>
      <c r="AK317" s="113"/>
      <c r="AL317" s="113"/>
      <c r="AM317" s="113"/>
      <c r="AN317" s="113"/>
      <c r="AO317" s="113"/>
      <c r="AP317" s="113"/>
      <c r="AQ317" s="113"/>
      <c r="AR317" s="113"/>
      <c r="AS317" s="113"/>
      <c r="AT317" s="113"/>
      <c r="AU317" s="113"/>
      <c r="AV317" s="113"/>
      <c r="AW317" s="113"/>
      <c r="AX317" s="113"/>
      <c r="AY317" s="113"/>
      <c r="AZ317" s="113"/>
      <c r="BA317" s="113"/>
      <c r="BB317" s="113"/>
      <c r="BC317" s="113"/>
      <c r="BD317" s="113"/>
      <c r="BE317" s="113"/>
      <c r="BF317" s="113"/>
      <c r="BG317" s="113"/>
      <c r="BH317" s="113"/>
      <c r="BI317" s="113"/>
      <c r="BJ317" s="113"/>
      <c r="BK317" s="113"/>
      <c r="BL317" s="113"/>
      <c r="BM317" s="113"/>
      <c r="BN317" s="113"/>
      <c r="BO317" s="113"/>
      <c r="BP317" s="113"/>
      <c r="BQ317" s="113"/>
      <c r="BR317" s="113"/>
      <c r="BS317" s="113"/>
      <c r="BT317" s="113"/>
      <c r="BU317" s="113"/>
      <c r="BV317" s="113"/>
      <c r="BW317" s="113"/>
      <c r="BX317" s="113"/>
      <c r="BY317" s="113"/>
      <c r="BZ317" s="113"/>
      <c r="CA317" s="113"/>
      <c r="CB317" s="113"/>
      <c r="CC317" s="113"/>
      <c r="CD317" s="113"/>
      <c r="CE317" s="113"/>
      <c r="CF317" s="113"/>
      <c r="CG317" s="113"/>
      <c r="CH317" s="113"/>
      <c r="CI317" s="113"/>
      <c r="CJ317" s="113"/>
      <c r="CK317" s="113"/>
      <c r="CL317" s="113"/>
      <c r="CM317" s="113"/>
      <c r="CN317" s="113"/>
      <c r="CO317" s="113"/>
      <c r="CP317" s="113"/>
      <c r="CQ317" s="113"/>
      <c r="CR317" s="113"/>
      <c r="CS317" s="113"/>
      <c r="CT317" s="113"/>
      <c r="CU317" s="113"/>
    </row>
    <row r="318">
      <c r="A318" s="159" t="str">
        <f>IFERROR(__xludf.DUMMYFUNCTION("""COMPUTED_VALUE"""),"H-5")</f>
        <v>H-5</v>
      </c>
      <c r="B318" s="113" t="str">
        <f>IFERROR(__xludf.DUMMYFUNCTION("""COMPUTED_VALUE"""),"PeaceIbisia")</f>
        <v>PeaceIbisia</v>
      </c>
      <c r="C318" s="113" t="str">
        <f>IFERROR(__xludf.DUMMYFUNCTION("""COMPUTED_VALUE"""),"Jack")</f>
        <v>Jack</v>
      </c>
      <c r="D318" s="158">
        <f>IFERROR(__xludf.DUMMYFUNCTION("""COMPUTED_VALUE"""),1079.0)</f>
        <v>1079</v>
      </c>
      <c r="E318" s="161">
        <f t="shared" si="1"/>
        <v>6</v>
      </c>
      <c r="F318" s="160">
        <f>COUNTIFS('Scores Import DO NOT EDIT'!C:C, D318,'Scores Import DO NOT EDIT'!M:M,A318)</f>
        <v>5</v>
      </c>
      <c r="G318" s="162">
        <f t="shared" si="2"/>
        <v>0.8333333333</v>
      </c>
      <c r="H318" s="163" t="str">
        <f t="shared" si="3"/>
        <v>H-51079</v>
      </c>
      <c r="I318" s="113"/>
      <c r="J318" s="113"/>
      <c r="K318" s="113"/>
      <c r="L318" s="158"/>
      <c r="M318" s="166" t="s">
        <v>403</v>
      </c>
      <c r="N318" s="113"/>
      <c r="O318" s="113"/>
      <c r="P318" s="113"/>
      <c r="Q318" s="113"/>
      <c r="R318" s="113"/>
      <c r="S318" s="113"/>
      <c r="T318" s="113"/>
      <c r="U318" s="113"/>
      <c r="V318" s="113"/>
      <c r="W318" s="113"/>
      <c r="X318" s="113"/>
      <c r="Y318" s="113"/>
      <c r="Z318" s="113"/>
      <c r="AA318" s="113"/>
      <c r="AB318" s="113"/>
      <c r="AC318" s="113"/>
      <c r="AD318" s="113"/>
      <c r="AE318" s="113"/>
      <c r="AF318" s="113"/>
      <c r="AG318" s="113"/>
      <c r="AH318" s="113"/>
      <c r="AI318" s="113"/>
      <c r="AJ318" s="113"/>
      <c r="AK318" s="113"/>
      <c r="AL318" s="113"/>
      <c r="AM318" s="113"/>
      <c r="AN318" s="113"/>
      <c r="AO318" s="113"/>
      <c r="AP318" s="113"/>
      <c r="AQ318" s="113"/>
      <c r="AR318" s="113"/>
      <c r="AS318" s="113"/>
      <c r="AT318" s="113"/>
      <c r="AU318" s="113"/>
      <c r="AV318" s="113"/>
      <c r="AW318" s="113"/>
      <c r="AX318" s="113"/>
      <c r="AY318" s="113"/>
      <c r="AZ318" s="113"/>
      <c r="BA318" s="113"/>
      <c r="BB318" s="113"/>
      <c r="BC318" s="113"/>
      <c r="BD318" s="113"/>
      <c r="BE318" s="113"/>
      <c r="BF318" s="113"/>
      <c r="BG318" s="113"/>
      <c r="BH318" s="113"/>
      <c r="BI318" s="113"/>
      <c r="BJ318" s="113"/>
      <c r="BK318" s="113"/>
      <c r="BL318" s="113"/>
      <c r="BM318" s="113"/>
      <c r="BN318" s="113"/>
      <c r="BO318" s="113"/>
      <c r="BP318" s="113"/>
      <c r="BQ318" s="113"/>
      <c r="BR318" s="113"/>
      <c r="BS318" s="113"/>
      <c r="BT318" s="113"/>
      <c r="BU318" s="113"/>
      <c r="BV318" s="113"/>
      <c r="BW318" s="113"/>
      <c r="BX318" s="113"/>
      <c r="BY318" s="113"/>
      <c r="BZ318" s="113"/>
      <c r="CA318" s="113"/>
      <c r="CB318" s="113"/>
      <c r="CC318" s="113"/>
      <c r="CD318" s="113"/>
      <c r="CE318" s="113"/>
      <c r="CF318" s="113"/>
      <c r="CG318" s="113"/>
      <c r="CH318" s="113"/>
      <c r="CI318" s="113"/>
      <c r="CJ318" s="113"/>
      <c r="CK318" s="113"/>
      <c r="CL318" s="113"/>
      <c r="CM318" s="113"/>
      <c r="CN318" s="113"/>
      <c r="CO318" s="113"/>
      <c r="CP318" s="113"/>
      <c r="CQ318" s="113"/>
      <c r="CR318" s="113"/>
      <c r="CS318" s="113"/>
      <c r="CT318" s="113"/>
      <c r="CU318" s="113"/>
    </row>
    <row r="319">
      <c r="A319" s="159" t="str">
        <f>IFERROR(__xludf.DUMMYFUNCTION("""COMPUTED_VALUE"""),"H-5")</f>
        <v>H-5</v>
      </c>
      <c r="B319" s="113" t="str">
        <f>IFERROR(__xludf.DUMMYFUNCTION("""COMPUTED_VALUE"""),"Zhao")</f>
        <v>Zhao</v>
      </c>
      <c r="C319" s="113" t="str">
        <f>IFERROR(__xludf.DUMMYFUNCTION("""COMPUTED_VALUE"""),"Liu")</f>
        <v>Liu</v>
      </c>
      <c r="D319" s="158">
        <f>IFERROR(__xludf.DUMMYFUNCTION("""COMPUTED_VALUE"""),1153.0)</f>
        <v>1153</v>
      </c>
      <c r="E319" s="161">
        <f t="shared" si="1"/>
        <v>6</v>
      </c>
      <c r="F319" s="160">
        <f>COUNTIFS('Scores Import DO NOT EDIT'!C:C, D319,'Scores Import DO NOT EDIT'!M:M,A319)</f>
        <v>5</v>
      </c>
      <c r="G319" s="162">
        <f t="shared" si="2"/>
        <v>0.8333333333</v>
      </c>
      <c r="H319" s="163" t="str">
        <f t="shared" si="3"/>
        <v>H-51153</v>
      </c>
      <c r="I319" s="113"/>
      <c r="J319" s="113"/>
      <c r="K319" s="113"/>
      <c r="L319" s="158"/>
      <c r="M319" s="166" t="s">
        <v>407</v>
      </c>
      <c r="N319" s="113"/>
      <c r="O319" s="113"/>
      <c r="P319" s="113"/>
      <c r="Q319" s="113"/>
      <c r="R319" s="113"/>
      <c r="S319" s="113"/>
      <c r="T319" s="113"/>
      <c r="U319" s="113"/>
      <c r="V319" s="113"/>
      <c r="W319" s="113"/>
      <c r="X319" s="113"/>
      <c r="Y319" s="113"/>
      <c r="Z319" s="113"/>
      <c r="AA319" s="113"/>
      <c r="AB319" s="113"/>
      <c r="AC319" s="113"/>
      <c r="AD319" s="113"/>
      <c r="AE319" s="113"/>
      <c r="AF319" s="113"/>
      <c r="AG319" s="113"/>
      <c r="AH319" s="113"/>
      <c r="AI319" s="113"/>
      <c r="AJ319" s="113"/>
      <c r="AK319" s="113"/>
      <c r="AL319" s="113"/>
      <c r="AM319" s="113"/>
      <c r="AN319" s="113"/>
      <c r="AO319" s="113"/>
      <c r="AP319" s="113"/>
      <c r="AQ319" s="113"/>
      <c r="AR319" s="113"/>
      <c r="AS319" s="113"/>
      <c r="AT319" s="113"/>
      <c r="AU319" s="113"/>
      <c r="AV319" s="113"/>
      <c r="AW319" s="113"/>
      <c r="AX319" s="113"/>
      <c r="AY319" s="113"/>
      <c r="AZ319" s="113"/>
      <c r="BA319" s="113"/>
      <c r="BB319" s="113"/>
      <c r="BC319" s="113"/>
      <c r="BD319" s="113"/>
      <c r="BE319" s="113"/>
      <c r="BF319" s="113"/>
      <c r="BG319" s="113"/>
      <c r="BH319" s="113"/>
      <c r="BI319" s="113"/>
      <c r="BJ319" s="113"/>
      <c r="BK319" s="113"/>
      <c r="BL319" s="113"/>
      <c r="BM319" s="113"/>
      <c r="BN319" s="113"/>
      <c r="BO319" s="113"/>
      <c r="BP319" s="113"/>
      <c r="BQ319" s="113"/>
      <c r="BR319" s="113"/>
      <c r="BS319" s="113"/>
      <c r="BT319" s="113"/>
      <c r="BU319" s="113"/>
      <c r="BV319" s="113"/>
      <c r="BW319" s="113"/>
      <c r="BX319" s="113"/>
      <c r="BY319" s="113"/>
      <c r="BZ319" s="113"/>
      <c r="CA319" s="113"/>
      <c r="CB319" s="113"/>
      <c r="CC319" s="113"/>
      <c r="CD319" s="113"/>
      <c r="CE319" s="113"/>
      <c r="CF319" s="113"/>
      <c r="CG319" s="113"/>
      <c r="CH319" s="113"/>
      <c r="CI319" s="113"/>
      <c r="CJ319" s="113"/>
      <c r="CK319" s="113"/>
      <c r="CL319" s="113"/>
      <c r="CM319" s="113"/>
      <c r="CN319" s="113"/>
      <c r="CO319" s="113"/>
      <c r="CP319" s="113"/>
      <c r="CQ319" s="113"/>
      <c r="CR319" s="113"/>
      <c r="CS319" s="113"/>
      <c r="CT319" s="113"/>
      <c r="CU319" s="113"/>
    </row>
    <row r="320">
      <c r="A320" s="159" t="str">
        <f>IFERROR(__xludf.DUMMYFUNCTION("""COMPUTED_VALUE"""),"H-6")</f>
        <v>H-6</v>
      </c>
      <c r="B320" s="113" t="str">
        <f>IFERROR(__xludf.DUMMYFUNCTION("""COMPUTED_VALUE"""),"Margarita")</f>
        <v>Margarita</v>
      </c>
      <c r="C320" s="113" t="str">
        <f>IFERROR(__xludf.DUMMYFUNCTION("""COMPUTED_VALUE"""),"Pérez")</f>
        <v>Pérez</v>
      </c>
      <c r="D320" s="158">
        <f>IFERROR(__xludf.DUMMYFUNCTION("""COMPUTED_VALUE"""),1195.0)</f>
        <v>1195</v>
      </c>
      <c r="E320" s="161">
        <f t="shared" si="1"/>
        <v>6</v>
      </c>
      <c r="F320" s="160">
        <f>COUNTIFS('Scores Import DO NOT EDIT'!C:C, D320,'Scores Import DO NOT EDIT'!M:M,A320)</f>
        <v>6</v>
      </c>
      <c r="G320" s="162">
        <f t="shared" si="2"/>
        <v>1</v>
      </c>
      <c r="H320" s="163" t="str">
        <f t="shared" si="3"/>
        <v>H-61195</v>
      </c>
      <c r="I320" s="113"/>
      <c r="J320" s="113"/>
      <c r="K320" s="113"/>
      <c r="L320" s="158"/>
      <c r="M320" s="166" t="s">
        <v>406</v>
      </c>
      <c r="N320" s="113"/>
      <c r="O320" s="113"/>
      <c r="P320" s="113"/>
      <c r="Q320" s="113"/>
      <c r="R320" s="113"/>
      <c r="S320" s="113"/>
      <c r="T320" s="113"/>
      <c r="U320" s="113"/>
      <c r="V320" s="113"/>
      <c r="W320" s="113"/>
      <c r="X320" s="113"/>
      <c r="Y320" s="113"/>
      <c r="Z320" s="113"/>
      <c r="AA320" s="113"/>
      <c r="AB320" s="113"/>
      <c r="AC320" s="113"/>
      <c r="AD320" s="113"/>
      <c r="AE320" s="113"/>
      <c r="AF320" s="113"/>
      <c r="AG320" s="113"/>
      <c r="AH320" s="113"/>
      <c r="AI320" s="113"/>
      <c r="AJ320" s="113"/>
      <c r="AK320" s="113"/>
      <c r="AL320" s="113"/>
      <c r="AM320" s="113"/>
      <c r="AN320" s="113"/>
      <c r="AO320" s="113"/>
      <c r="AP320" s="113"/>
      <c r="AQ320" s="113"/>
      <c r="AR320" s="113"/>
      <c r="AS320" s="113"/>
      <c r="AT320" s="113"/>
      <c r="AU320" s="113"/>
      <c r="AV320" s="113"/>
      <c r="AW320" s="113"/>
      <c r="AX320" s="113"/>
      <c r="AY320" s="113"/>
      <c r="AZ320" s="113"/>
      <c r="BA320" s="113"/>
      <c r="BB320" s="113"/>
      <c r="BC320" s="113"/>
      <c r="BD320" s="113"/>
      <c r="BE320" s="113"/>
      <c r="BF320" s="113"/>
      <c r="BG320" s="113"/>
      <c r="BH320" s="113"/>
      <c r="BI320" s="113"/>
      <c r="BJ320" s="113"/>
      <c r="BK320" s="113"/>
      <c r="BL320" s="113"/>
      <c r="BM320" s="113"/>
      <c r="BN320" s="113"/>
      <c r="BO320" s="113"/>
      <c r="BP320" s="113"/>
      <c r="BQ320" s="113"/>
      <c r="BR320" s="113"/>
      <c r="BS320" s="113"/>
      <c r="BT320" s="113"/>
      <c r="BU320" s="113"/>
      <c r="BV320" s="113"/>
      <c r="BW320" s="113"/>
      <c r="BX320" s="113"/>
      <c r="BY320" s="113"/>
      <c r="BZ320" s="113"/>
      <c r="CA320" s="113"/>
      <c r="CB320" s="113"/>
      <c r="CC320" s="113"/>
      <c r="CD320" s="113"/>
      <c r="CE320" s="113"/>
      <c r="CF320" s="113"/>
      <c r="CG320" s="113"/>
      <c r="CH320" s="113"/>
      <c r="CI320" s="113"/>
      <c r="CJ320" s="113"/>
      <c r="CK320" s="113"/>
      <c r="CL320" s="113"/>
      <c r="CM320" s="113"/>
      <c r="CN320" s="113"/>
      <c r="CO320" s="113"/>
      <c r="CP320" s="113"/>
      <c r="CQ320" s="113"/>
      <c r="CR320" s="113"/>
      <c r="CS320" s="113"/>
      <c r="CT320" s="113"/>
      <c r="CU320" s="113"/>
    </row>
    <row r="321">
      <c r="A321" s="159" t="str">
        <f>IFERROR(__xludf.DUMMYFUNCTION("""COMPUTED_VALUE"""),"H-6")</f>
        <v>H-6</v>
      </c>
      <c r="B321" s="113" t="str">
        <f>IFERROR(__xludf.DUMMYFUNCTION("""COMPUTED_VALUE"""),"David")</f>
        <v>David</v>
      </c>
      <c r="C321" s="113" t="str">
        <f>IFERROR(__xludf.DUMMYFUNCTION("""COMPUTED_VALUE"""),"Pullman")</f>
        <v>Pullman</v>
      </c>
      <c r="D321" s="158">
        <f>IFERROR(__xludf.DUMMYFUNCTION("""COMPUTED_VALUE"""),1227.0)</f>
        <v>1227</v>
      </c>
      <c r="E321" s="161">
        <f t="shared" si="1"/>
        <v>6</v>
      </c>
      <c r="F321" s="160">
        <f>COUNTIFS('Scores Import DO NOT EDIT'!C:C, D321,'Scores Import DO NOT EDIT'!M:M,A321)</f>
        <v>0</v>
      </c>
      <c r="G321" s="162">
        <f t="shared" si="2"/>
        <v>0</v>
      </c>
      <c r="H321" s="163" t="str">
        <f t="shared" si="3"/>
        <v>H-61227</v>
      </c>
      <c r="I321" s="113"/>
      <c r="J321" s="113"/>
      <c r="K321" s="113"/>
      <c r="L321" s="158"/>
      <c r="M321" s="166" t="s">
        <v>405</v>
      </c>
      <c r="N321" s="113"/>
      <c r="O321" s="113"/>
      <c r="P321" s="113"/>
      <c r="Q321" s="113"/>
      <c r="R321" s="113"/>
      <c r="S321" s="113"/>
      <c r="T321" s="113"/>
      <c r="U321" s="113"/>
      <c r="V321" s="113"/>
      <c r="W321" s="113"/>
      <c r="X321" s="113"/>
      <c r="Y321" s="113"/>
      <c r="Z321" s="113"/>
      <c r="AA321" s="113"/>
      <c r="AB321" s="113"/>
      <c r="AC321" s="113"/>
      <c r="AD321" s="113"/>
      <c r="AE321" s="113"/>
      <c r="AF321" s="113"/>
      <c r="AG321" s="113"/>
      <c r="AH321" s="113"/>
      <c r="AI321" s="113"/>
      <c r="AJ321" s="113"/>
      <c r="AK321" s="113"/>
      <c r="AL321" s="113"/>
      <c r="AM321" s="113"/>
      <c r="AN321" s="113"/>
      <c r="AO321" s="113"/>
      <c r="AP321" s="113"/>
      <c r="AQ321" s="113"/>
      <c r="AR321" s="113"/>
      <c r="AS321" s="113"/>
      <c r="AT321" s="113"/>
      <c r="AU321" s="113"/>
      <c r="AV321" s="113"/>
      <c r="AW321" s="113"/>
      <c r="AX321" s="113"/>
      <c r="AY321" s="113"/>
      <c r="AZ321" s="113"/>
      <c r="BA321" s="113"/>
      <c r="BB321" s="113"/>
      <c r="BC321" s="113"/>
      <c r="BD321" s="113"/>
      <c r="BE321" s="113"/>
      <c r="BF321" s="113"/>
      <c r="BG321" s="113"/>
      <c r="BH321" s="113"/>
      <c r="BI321" s="113"/>
      <c r="BJ321" s="113"/>
      <c r="BK321" s="113"/>
      <c r="BL321" s="113"/>
      <c r="BM321" s="113"/>
      <c r="BN321" s="113"/>
      <c r="BO321" s="113"/>
      <c r="BP321" s="113"/>
      <c r="BQ321" s="113"/>
      <c r="BR321" s="113"/>
      <c r="BS321" s="113"/>
      <c r="BT321" s="113"/>
      <c r="BU321" s="113"/>
      <c r="BV321" s="113"/>
      <c r="BW321" s="113"/>
      <c r="BX321" s="113"/>
      <c r="BY321" s="113"/>
      <c r="BZ321" s="113"/>
      <c r="CA321" s="113"/>
      <c r="CB321" s="113"/>
      <c r="CC321" s="113"/>
      <c r="CD321" s="113"/>
      <c r="CE321" s="113"/>
      <c r="CF321" s="113"/>
      <c r="CG321" s="113"/>
      <c r="CH321" s="113"/>
      <c r="CI321" s="113"/>
      <c r="CJ321" s="113"/>
      <c r="CK321" s="113"/>
      <c r="CL321" s="113"/>
      <c r="CM321" s="113"/>
      <c r="CN321" s="113"/>
      <c r="CO321" s="113"/>
      <c r="CP321" s="113"/>
      <c r="CQ321" s="113"/>
      <c r="CR321" s="113"/>
      <c r="CS321" s="113"/>
      <c r="CT321" s="113"/>
      <c r="CU321" s="113"/>
    </row>
    <row r="322">
      <c r="A322" s="159" t="str">
        <f>IFERROR(__xludf.DUMMYFUNCTION("""COMPUTED_VALUE"""),"H-6")</f>
        <v>H-6</v>
      </c>
      <c r="B322" s="113" t="str">
        <f>IFERROR(__xludf.DUMMYFUNCTION("""COMPUTED_VALUE"""),"Lance")</f>
        <v>Lance</v>
      </c>
      <c r="C322" s="113" t="str">
        <f>IFERROR(__xludf.DUMMYFUNCTION("""COMPUTED_VALUE"""),"Elliott")</f>
        <v>Elliott</v>
      </c>
      <c r="D322" s="158">
        <f>IFERROR(__xludf.DUMMYFUNCTION("""COMPUTED_VALUE"""),1185.0)</f>
        <v>1185</v>
      </c>
      <c r="E322" s="161">
        <f t="shared" si="1"/>
        <v>6</v>
      </c>
      <c r="F322" s="160">
        <f>COUNTIFS('Scores Import DO NOT EDIT'!C:C, D322,'Scores Import DO NOT EDIT'!M:M,A322)</f>
        <v>6</v>
      </c>
      <c r="G322" s="162">
        <f t="shared" si="2"/>
        <v>1</v>
      </c>
      <c r="H322" s="163" t="str">
        <f t="shared" si="3"/>
        <v>H-61185</v>
      </c>
      <c r="I322" s="113"/>
      <c r="J322" s="113"/>
      <c r="K322" s="113"/>
      <c r="L322" s="158"/>
      <c r="M322" s="166" t="s">
        <v>413</v>
      </c>
      <c r="N322" s="113"/>
      <c r="O322" s="113"/>
      <c r="P322" s="113"/>
      <c r="Q322" s="113"/>
      <c r="R322" s="113"/>
      <c r="S322" s="113"/>
      <c r="T322" s="113"/>
      <c r="U322" s="113"/>
      <c r="V322" s="113"/>
      <c r="W322" s="113"/>
      <c r="X322" s="113"/>
      <c r="Y322" s="113"/>
      <c r="Z322" s="113"/>
      <c r="AA322" s="113"/>
      <c r="AB322" s="113"/>
      <c r="AC322" s="113"/>
      <c r="AD322" s="113"/>
      <c r="AE322" s="113"/>
      <c r="AF322" s="113"/>
      <c r="AG322" s="113"/>
      <c r="AH322" s="113"/>
      <c r="AI322" s="113"/>
      <c r="AJ322" s="113"/>
      <c r="AK322" s="113"/>
      <c r="AL322" s="113"/>
      <c r="AM322" s="113"/>
      <c r="AN322" s="113"/>
      <c r="AO322" s="113"/>
      <c r="AP322" s="113"/>
      <c r="AQ322" s="113"/>
      <c r="AR322" s="113"/>
      <c r="AS322" s="113"/>
      <c r="AT322" s="113"/>
      <c r="AU322" s="113"/>
      <c r="AV322" s="113"/>
      <c r="AW322" s="113"/>
      <c r="AX322" s="113"/>
      <c r="AY322" s="113"/>
      <c r="AZ322" s="113"/>
      <c r="BA322" s="113"/>
      <c r="BB322" s="113"/>
      <c r="BC322" s="113"/>
      <c r="BD322" s="113"/>
      <c r="BE322" s="113"/>
      <c r="BF322" s="113"/>
      <c r="BG322" s="113"/>
      <c r="BH322" s="113"/>
      <c r="BI322" s="113"/>
      <c r="BJ322" s="113"/>
      <c r="BK322" s="113"/>
      <c r="BL322" s="113"/>
      <c r="BM322" s="113"/>
      <c r="BN322" s="113"/>
      <c r="BO322" s="113"/>
      <c r="BP322" s="113"/>
      <c r="BQ322" s="113"/>
      <c r="BR322" s="113"/>
      <c r="BS322" s="113"/>
      <c r="BT322" s="113"/>
      <c r="BU322" s="113"/>
      <c r="BV322" s="113"/>
      <c r="BW322" s="113"/>
      <c r="BX322" s="113"/>
      <c r="BY322" s="113"/>
      <c r="BZ322" s="113"/>
      <c r="CA322" s="113"/>
      <c r="CB322" s="113"/>
      <c r="CC322" s="113"/>
      <c r="CD322" s="113"/>
      <c r="CE322" s="113"/>
      <c r="CF322" s="113"/>
      <c r="CG322" s="113"/>
      <c r="CH322" s="113"/>
      <c r="CI322" s="113"/>
      <c r="CJ322" s="113"/>
      <c r="CK322" s="113"/>
      <c r="CL322" s="113"/>
      <c r="CM322" s="113"/>
      <c r="CN322" s="113"/>
      <c r="CO322" s="113"/>
      <c r="CP322" s="113"/>
      <c r="CQ322" s="113"/>
      <c r="CR322" s="113"/>
      <c r="CS322" s="113"/>
      <c r="CT322" s="113"/>
      <c r="CU322" s="113"/>
    </row>
    <row r="323">
      <c r="A323" s="159" t="str">
        <f>IFERROR(__xludf.DUMMYFUNCTION("""COMPUTED_VALUE"""),"H-6")</f>
        <v>H-6</v>
      </c>
      <c r="B323" s="113" t="str">
        <f>IFERROR(__xludf.DUMMYFUNCTION("""COMPUTED_VALUE"""),"Kelly")</f>
        <v>Kelly</v>
      </c>
      <c r="C323" s="113" t="str">
        <f>IFERROR(__xludf.DUMMYFUNCTION("""COMPUTED_VALUE"""),"Sawyer")</f>
        <v>Sawyer</v>
      </c>
      <c r="D323" s="158">
        <f>IFERROR(__xludf.DUMMYFUNCTION("""COMPUTED_VALUE"""),1196.0)</f>
        <v>1196</v>
      </c>
      <c r="E323" s="161">
        <f t="shared" si="1"/>
        <v>6</v>
      </c>
      <c r="F323" s="160">
        <f>COUNTIFS('Scores Import DO NOT EDIT'!C:C, D323,'Scores Import DO NOT EDIT'!M:M,A323)</f>
        <v>6</v>
      </c>
      <c r="G323" s="162">
        <f t="shared" si="2"/>
        <v>1</v>
      </c>
      <c r="H323" s="163" t="str">
        <f t="shared" si="3"/>
        <v>H-61196</v>
      </c>
      <c r="I323" s="113"/>
      <c r="J323" s="113"/>
      <c r="K323" s="113"/>
      <c r="L323" s="158"/>
      <c r="M323" s="166" t="s">
        <v>415</v>
      </c>
      <c r="N323" s="113"/>
      <c r="O323" s="113"/>
      <c r="P323" s="113"/>
      <c r="Q323" s="113"/>
      <c r="R323" s="113"/>
      <c r="S323" s="113"/>
      <c r="T323" s="113"/>
      <c r="U323" s="113"/>
      <c r="V323" s="113"/>
      <c r="W323" s="113"/>
      <c r="X323" s="113"/>
      <c r="Y323" s="113"/>
      <c r="Z323" s="113"/>
      <c r="AA323" s="113"/>
      <c r="AB323" s="113"/>
      <c r="AC323" s="113"/>
      <c r="AD323" s="113"/>
      <c r="AE323" s="113"/>
      <c r="AF323" s="113"/>
      <c r="AG323" s="113"/>
      <c r="AH323" s="113"/>
      <c r="AI323" s="113"/>
      <c r="AJ323" s="113"/>
      <c r="AK323" s="113"/>
      <c r="AL323" s="113"/>
      <c r="AM323" s="113"/>
      <c r="AN323" s="113"/>
      <c r="AO323" s="113"/>
      <c r="AP323" s="113"/>
      <c r="AQ323" s="113"/>
      <c r="AR323" s="113"/>
      <c r="AS323" s="113"/>
      <c r="AT323" s="113"/>
      <c r="AU323" s="113"/>
      <c r="AV323" s="113"/>
      <c r="AW323" s="113"/>
      <c r="AX323" s="113"/>
      <c r="AY323" s="113"/>
      <c r="AZ323" s="113"/>
      <c r="BA323" s="113"/>
      <c r="BB323" s="113"/>
      <c r="BC323" s="113"/>
      <c r="BD323" s="113"/>
      <c r="BE323" s="113"/>
      <c r="BF323" s="113"/>
      <c r="BG323" s="113"/>
      <c r="BH323" s="113"/>
      <c r="BI323" s="113"/>
      <c r="BJ323" s="113"/>
      <c r="BK323" s="113"/>
      <c r="BL323" s="113"/>
      <c r="BM323" s="113"/>
      <c r="BN323" s="113"/>
      <c r="BO323" s="113"/>
      <c r="BP323" s="113"/>
      <c r="BQ323" s="113"/>
      <c r="BR323" s="113"/>
      <c r="BS323" s="113"/>
      <c r="BT323" s="113"/>
      <c r="BU323" s="113"/>
      <c r="BV323" s="113"/>
      <c r="BW323" s="113"/>
      <c r="BX323" s="113"/>
      <c r="BY323" s="113"/>
      <c r="BZ323" s="113"/>
      <c r="CA323" s="113"/>
      <c r="CB323" s="113"/>
      <c r="CC323" s="113"/>
      <c r="CD323" s="113"/>
      <c r="CE323" s="113"/>
      <c r="CF323" s="113"/>
      <c r="CG323" s="113"/>
      <c r="CH323" s="113"/>
      <c r="CI323" s="113"/>
      <c r="CJ323" s="113"/>
      <c r="CK323" s="113"/>
      <c r="CL323" s="113"/>
      <c r="CM323" s="113"/>
      <c r="CN323" s="113"/>
      <c r="CO323" s="113"/>
      <c r="CP323" s="113"/>
      <c r="CQ323" s="113"/>
      <c r="CR323" s="113"/>
      <c r="CS323" s="113"/>
      <c r="CT323" s="113"/>
      <c r="CU323" s="113"/>
    </row>
    <row r="324">
      <c r="A324" s="159" t="str">
        <f>IFERROR(__xludf.DUMMYFUNCTION("""COMPUTED_VALUE"""),"H-7")</f>
        <v>H-7</v>
      </c>
      <c r="B324" s="113" t="str">
        <f>IFERROR(__xludf.DUMMYFUNCTION("""COMPUTED_VALUE"""),"Margaret")</f>
        <v>Margaret</v>
      </c>
      <c r="C324" s="113" t="str">
        <f>IFERROR(__xludf.DUMMYFUNCTION("""COMPUTED_VALUE"""),"Henderson")</f>
        <v>Henderson</v>
      </c>
      <c r="D324" s="158">
        <f>IFERROR(__xludf.DUMMYFUNCTION("""COMPUTED_VALUE"""),1180.0)</f>
        <v>1180</v>
      </c>
      <c r="E324" s="161">
        <f t="shared" si="1"/>
        <v>5</v>
      </c>
      <c r="F324" s="160">
        <f>COUNTIFS('Scores Import DO NOT EDIT'!C:C, D324,'Scores Import DO NOT EDIT'!M:M,A324)</f>
        <v>5</v>
      </c>
      <c r="G324" s="162">
        <f t="shared" si="2"/>
        <v>1</v>
      </c>
      <c r="H324" s="163" t="str">
        <f t="shared" si="3"/>
        <v>H-71180</v>
      </c>
      <c r="I324" s="113"/>
      <c r="J324" s="113"/>
      <c r="K324" s="113"/>
      <c r="L324" s="158"/>
      <c r="M324" s="166" t="s">
        <v>412</v>
      </c>
      <c r="N324" s="113"/>
      <c r="O324" s="113"/>
      <c r="P324" s="113"/>
      <c r="Q324" s="113"/>
      <c r="R324" s="113"/>
      <c r="S324" s="113"/>
      <c r="T324" s="113"/>
      <c r="U324" s="113"/>
      <c r="V324" s="113"/>
      <c r="W324" s="113"/>
      <c r="X324" s="113"/>
      <c r="Y324" s="113"/>
      <c r="Z324" s="113"/>
      <c r="AA324" s="113"/>
      <c r="AB324" s="113"/>
      <c r="AC324" s="113"/>
      <c r="AD324" s="113"/>
      <c r="AE324" s="113"/>
      <c r="AF324" s="113"/>
      <c r="AG324" s="113"/>
      <c r="AH324" s="113"/>
      <c r="AI324" s="113"/>
      <c r="AJ324" s="113"/>
      <c r="AK324" s="113"/>
      <c r="AL324" s="113"/>
      <c r="AM324" s="113"/>
      <c r="AN324" s="113"/>
      <c r="AO324" s="113"/>
      <c r="AP324" s="113"/>
      <c r="AQ324" s="113"/>
      <c r="AR324" s="113"/>
      <c r="AS324" s="113"/>
      <c r="AT324" s="113"/>
      <c r="AU324" s="113"/>
      <c r="AV324" s="113"/>
      <c r="AW324" s="113"/>
      <c r="AX324" s="113"/>
      <c r="AY324" s="113"/>
      <c r="AZ324" s="113"/>
      <c r="BA324" s="113"/>
      <c r="BB324" s="113"/>
      <c r="BC324" s="113"/>
      <c r="BD324" s="113"/>
      <c r="BE324" s="113"/>
      <c r="BF324" s="113"/>
      <c r="BG324" s="113"/>
      <c r="BH324" s="113"/>
      <c r="BI324" s="113"/>
      <c r="BJ324" s="113"/>
      <c r="BK324" s="113"/>
      <c r="BL324" s="113"/>
      <c r="BM324" s="113"/>
      <c r="BN324" s="113"/>
      <c r="BO324" s="113"/>
      <c r="BP324" s="113"/>
      <c r="BQ324" s="113"/>
      <c r="BR324" s="113"/>
      <c r="BS324" s="113"/>
      <c r="BT324" s="113"/>
      <c r="BU324" s="113"/>
      <c r="BV324" s="113"/>
      <c r="BW324" s="113"/>
      <c r="BX324" s="113"/>
      <c r="BY324" s="113"/>
      <c r="BZ324" s="113"/>
      <c r="CA324" s="113"/>
      <c r="CB324" s="113"/>
      <c r="CC324" s="113"/>
      <c r="CD324" s="113"/>
      <c r="CE324" s="113"/>
      <c r="CF324" s="113"/>
      <c r="CG324" s="113"/>
      <c r="CH324" s="113"/>
      <c r="CI324" s="113"/>
      <c r="CJ324" s="113"/>
      <c r="CK324" s="113"/>
      <c r="CL324" s="113"/>
      <c r="CM324" s="113"/>
      <c r="CN324" s="113"/>
      <c r="CO324" s="113"/>
      <c r="CP324" s="113"/>
      <c r="CQ324" s="113"/>
      <c r="CR324" s="113"/>
      <c r="CS324" s="113"/>
      <c r="CT324" s="113"/>
      <c r="CU324" s="113"/>
    </row>
    <row r="325">
      <c r="A325" s="159" t="str">
        <f>IFERROR(__xludf.DUMMYFUNCTION("""COMPUTED_VALUE"""),"H-7")</f>
        <v>H-7</v>
      </c>
      <c r="B325" s="113" t="str">
        <f>IFERROR(__xludf.DUMMYFUNCTION("""COMPUTED_VALUE"""),"Hannah")</f>
        <v>Hannah</v>
      </c>
      <c r="C325" s="113" t="str">
        <f>IFERROR(__xludf.DUMMYFUNCTION("""COMPUTED_VALUE"""),"Friesen")</f>
        <v>Friesen</v>
      </c>
      <c r="D325" s="158">
        <f>IFERROR(__xludf.DUMMYFUNCTION("""COMPUTED_VALUE"""),1101.0)</f>
        <v>1101</v>
      </c>
      <c r="E325" s="161">
        <f t="shared" si="1"/>
        <v>5</v>
      </c>
      <c r="F325" s="160">
        <f>COUNTIFS('Scores Import DO NOT EDIT'!C:C, D325,'Scores Import DO NOT EDIT'!M:M,A325)</f>
        <v>5</v>
      </c>
      <c r="G325" s="162">
        <f t="shared" si="2"/>
        <v>1</v>
      </c>
      <c r="H325" s="163" t="str">
        <f t="shared" si="3"/>
        <v>H-71101</v>
      </c>
      <c r="I325" s="113"/>
      <c r="J325" s="113"/>
      <c r="K325" s="113"/>
      <c r="L325" s="158"/>
      <c r="M325" s="166" t="s">
        <v>410</v>
      </c>
      <c r="N325" s="113"/>
      <c r="O325" s="113"/>
      <c r="P325" s="113"/>
      <c r="Q325" s="113"/>
      <c r="R325" s="113"/>
      <c r="S325" s="113"/>
      <c r="T325" s="113"/>
      <c r="U325" s="113"/>
      <c r="V325" s="113"/>
      <c r="W325" s="113"/>
      <c r="X325" s="113"/>
      <c r="Y325" s="113"/>
      <c r="Z325" s="113"/>
      <c r="AA325" s="113"/>
      <c r="AB325" s="113"/>
      <c r="AC325" s="113"/>
      <c r="AD325" s="113"/>
      <c r="AE325" s="113"/>
      <c r="AF325" s="113"/>
      <c r="AG325" s="113"/>
      <c r="AH325" s="113"/>
      <c r="AI325" s="113"/>
      <c r="AJ325" s="113"/>
      <c r="AK325" s="113"/>
      <c r="AL325" s="113"/>
      <c r="AM325" s="113"/>
      <c r="AN325" s="113"/>
      <c r="AO325" s="113"/>
      <c r="AP325" s="113"/>
      <c r="AQ325" s="113"/>
      <c r="AR325" s="113"/>
      <c r="AS325" s="113"/>
      <c r="AT325" s="113"/>
      <c r="AU325" s="113"/>
      <c r="AV325" s="113"/>
      <c r="AW325" s="113"/>
      <c r="AX325" s="113"/>
      <c r="AY325" s="113"/>
      <c r="AZ325" s="113"/>
      <c r="BA325" s="113"/>
      <c r="BB325" s="113"/>
      <c r="BC325" s="113"/>
      <c r="BD325" s="113"/>
      <c r="BE325" s="113"/>
      <c r="BF325" s="113"/>
      <c r="BG325" s="113"/>
      <c r="BH325" s="113"/>
      <c r="BI325" s="113"/>
      <c r="BJ325" s="113"/>
      <c r="BK325" s="113"/>
      <c r="BL325" s="113"/>
      <c r="BM325" s="113"/>
      <c r="BN325" s="113"/>
      <c r="BO325" s="113"/>
      <c r="BP325" s="113"/>
      <c r="BQ325" s="113"/>
      <c r="BR325" s="113"/>
      <c r="BS325" s="113"/>
      <c r="BT325" s="113"/>
      <c r="BU325" s="113"/>
      <c r="BV325" s="113"/>
      <c r="BW325" s="113"/>
      <c r="BX325" s="113"/>
      <c r="BY325" s="113"/>
      <c r="BZ325" s="113"/>
      <c r="CA325" s="113"/>
      <c r="CB325" s="113"/>
      <c r="CC325" s="113"/>
      <c r="CD325" s="113"/>
      <c r="CE325" s="113"/>
      <c r="CF325" s="113"/>
      <c r="CG325" s="113"/>
      <c r="CH325" s="113"/>
      <c r="CI325" s="113"/>
      <c r="CJ325" s="113"/>
      <c r="CK325" s="113"/>
      <c r="CL325" s="113"/>
      <c r="CM325" s="113"/>
      <c r="CN325" s="113"/>
      <c r="CO325" s="113"/>
      <c r="CP325" s="113"/>
      <c r="CQ325" s="113"/>
      <c r="CR325" s="113"/>
      <c r="CS325" s="113"/>
      <c r="CT325" s="113"/>
      <c r="CU325" s="113"/>
    </row>
    <row r="326">
      <c r="A326" s="159" t="str">
        <f>IFERROR(__xludf.DUMMYFUNCTION("""COMPUTED_VALUE"""),"H-7")</f>
        <v>H-7</v>
      </c>
      <c r="B326" s="113" t="str">
        <f>IFERROR(__xludf.DUMMYFUNCTION("""COMPUTED_VALUE"""),"Patricia")</f>
        <v>Patricia</v>
      </c>
      <c r="C326" s="113" t="str">
        <f>IFERROR(__xludf.DUMMYFUNCTION("""COMPUTED_VALUE"""),"Dionicio")</f>
        <v>Dionicio</v>
      </c>
      <c r="D326" s="158">
        <f>IFERROR(__xludf.DUMMYFUNCTION("""COMPUTED_VALUE"""),1109.0)</f>
        <v>1109</v>
      </c>
      <c r="E326" s="161">
        <f t="shared" si="1"/>
        <v>5</v>
      </c>
      <c r="F326" s="160">
        <f>COUNTIFS('Scores Import DO NOT EDIT'!C:C, D326,'Scores Import DO NOT EDIT'!M:M,A326)</f>
        <v>5</v>
      </c>
      <c r="G326" s="162">
        <f t="shared" si="2"/>
        <v>1</v>
      </c>
      <c r="H326" s="163" t="str">
        <f t="shared" si="3"/>
        <v>H-71109</v>
      </c>
      <c r="I326" s="113"/>
      <c r="J326" s="113"/>
      <c r="K326" s="113"/>
      <c r="L326" s="158"/>
      <c r="M326" s="166" t="s">
        <v>414</v>
      </c>
      <c r="N326" s="113"/>
      <c r="O326" s="113"/>
      <c r="P326" s="113"/>
      <c r="Q326" s="113"/>
      <c r="R326" s="113"/>
      <c r="S326" s="113"/>
      <c r="T326" s="113"/>
      <c r="U326" s="113"/>
      <c r="V326" s="113"/>
      <c r="W326" s="113"/>
      <c r="X326" s="113"/>
      <c r="Y326" s="113"/>
      <c r="Z326" s="113"/>
      <c r="AA326" s="113"/>
      <c r="AB326" s="113"/>
      <c r="AC326" s="113"/>
      <c r="AD326" s="113"/>
      <c r="AE326" s="113"/>
      <c r="AF326" s="113"/>
      <c r="AG326" s="113"/>
      <c r="AH326" s="113"/>
      <c r="AI326" s="113"/>
      <c r="AJ326" s="113"/>
      <c r="AK326" s="113"/>
      <c r="AL326" s="113"/>
      <c r="AM326" s="113"/>
      <c r="AN326" s="113"/>
      <c r="AO326" s="113"/>
      <c r="AP326" s="113"/>
      <c r="AQ326" s="113"/>
      <c r="AR326" s="113"/>
      <c r="AS326" s="113"/>
      <c r="AT326" s="113"/>
      <c r="AU326" s="113"/>
      <c r="AV326" s="113"/>
      <c r="AW326" s="113"/>
      <c r="AX326" s="113"/>
      <c r="AY326" s="113"/>
      <c r="AZ326" s="113"/>
      <c r="BA326" s="113"/>
      <c r="BB326" s="113"/>
      <c r="BC326" s="113"/>
      <c r="BD326" s="113"/>
      <c r="BE326" s="113"/>
      <c r="BF326" s="113"/>
      <c r="BG326" s="113"/>
      <c r="BH326" s="113"/>
      <c r="BI326" s="113"/>
      <c r="BJ326" s="113"/>
      <c r="BK326" s="113"/>
      <c r="BL326" s="113"/>
      <c r="BM326" s="113"/>
      <c r="BN326" s="113"/>
      <c r="BO326" s="113"/>
      <c r="BP326" s="113"/>
      <c r="BQ326" s="113"/>
      <c r="BR326" s="113"/>
      <c r="BS326" s="113"/>
      <c r="BT326" s="113"/>
      <c r="BU326" s="113"/>
      <c r="BV326" s="113"/>
      <c r="BW326" s="113"/>
      <c r="BX326" s="113"/>
      <c r="BY326" s="113"/>
      <c r="BZ326" s="113"/>
      <c r="CA326" s="113"/>
      <c r="CB326" s="113"/>
      <c r="CC326" s="113"/>
      <c r="CD326" s="113"/>
      <c r="CE326" s="113"/>
      <c r="CF326" s="113"/>
      <c r="CG326" s="113"/>
      <c r="CH326" s="113"/>
      <c r="CI326" s="113"/>
      <c r="CJ326" s="113"/>
      <c r="CK326" s="113"/>
      <c r="CL326" s="113"/>
      <c r="CM326" s="113"/>
      <c r="CN326" s="113"/>
      <c r="CO326" s="113"/>
      <c r="CP326" s="113"/>
      <c r="CQ326" s="113"/>
      <c r="CR326" s="113"/>
      <c r="CS326" s="113"/>
      <c r="CT326" s="113"/>
      <c r="CU326" s="113"/>
    </row>
    <row r="327">
      <c r="A327" s="159" t="str">
        <f>IFERROR(__xludf.DUMMYFUNCTION("""COMPUTED_VALUE"""),"H-7")</f>
        <v>H-7</v>
      </c>
      <c r="B327" s="113" t="str">
        <f>IFERROR(__xludf.DUMMYFUNCTION("""COMPUTED_VALUE"""),"Cat")</f>
        <v>Cat</v>
      </c>
      <c r="C327" s="113" t="str">
        <f>IFERROR(__xludf.DUMMYFUNCTION("""COMPUTED_VALUE"""),"Ellis")</f>
        <v>Ellis</v>
      </c>
      <c r="D327" s="158">
        <f>IFERROR(__xludf.DUMMYFUNCTION("""COMPUTED_VALUE"""),1033.0)</f>
        <v>1033</v>
      </c>
      <c r="E327" s="161">
        <f t="shared" si="1"/>
        <v>5</v>
      </c>
      <c r="F327" s="160">
        <f>COUNTIFS('Scores Import DO NOT EDIT'!C:C, D327,'Scores Import DO NOT EDIT'!M:M,A327)</f>
        <v>5</v>
      </c>
      <c r="G327" s="162">
        <f t="shared" si="2"/>
        <v>1</v>
      </c>
      <c r="H327" s="163" t="str">
        <f t="shared" si="3"/>
        <v>H-71033</v>
      </c>
      <c r="I327" s="113"/>
      <c r="J327" s="113"/>
      <c r="K327" s="113"/>
      <c r="L327" s="158"/>
      <c r="M327" s="166" t="s">
        <v>409</v>
      </c>
      <c r="N327" s="113"/>
      <c r="O327" s="113"/>
      <c r="P327" s="113"/>
      <c r="Q327" s="113"/>
      <c r="R327" s="113"/>
      <c r="S327" s="113"/>
      <c r="T327" s="113"/>
      <c r="U327" s="113"/>
      <c r="V327" s="113"/>
      <c r="W327" s="113"/>
      <c r="X327" s="113"/>
      <c r="Y327" s="113"/>
      <c r="Z327" s="113"/>
      <c r="AA327" s="113"/>
      <c r="AB327" s="113"/>
      <c r="AC327" s="113"/>
      <c r="AD327" s="113"/>
      <c r="AE327" s="113"/>
      <c r="AF327" s="113"/>
      <c r="AG327" s="113"/>
      <c r="AH327" s="113"/>
      <c r="AI327" s="113"/>
      <c r="AJ327" s="113"/>
      <c r="AK327" s="113"/>
      <c r="AL327" s="113"/>
      <c r="AM327" s="113"/>
      <c r="AN327" s="113"/>
      <c r="AO327" s="113"/>
      <c r="AP327" s="113"/>
      <c r="AQ327" s="113"/>
      <c r="AR327" s="113"/>
      <c r="AS327" s="113"/>
      <c r="AT327" s="113"/>
      <c r="AU327" s="113"/>
      <c r="AV327" s="113"/>
      <c r="AW327" s="113"/>
      <c r="AX327" s="113"/>
      <c r="AY327" s="113"/>
      <c r="AZ327" s="113"/>
      <c r="BA327" s="113"/>
      <c r="BB327" s="113"/>
      <c r="BC327" s="113"/>
      <c r="BD327" s="113"/>
      <c r="BE327" s="113"/>
      <c r="BF327" s="113"/>
      <c r="BG327" s="113"/>
      <c r="BH327" s="113"/>
      <c r="BI327" s="113"/>
      <c r="BJ327" s="113"/>
      <c r="BK327" s="113"/>
      <c r="BL327" s="113"/>
      <c r="BM327" s="113"/>
      <c r="BN327" s="113"/>
      <c r="BO327" s="113"/>
      <c r="BP327" s="113"/>
      <c r="BQ327" s="113"/>
      <c r="BR327" s="113"/>
      <c r="BS327" s="113"/>
      <c r="BT327" s="113"/>
      <c r="BU327" s="113"/>
      <c r="BV327" s="113"/>
      <c r="BW327" s="113"/>
      <c r="BX327" s="113"/>
      <c r="BY327" s="113"/>
      <c r="BZ327" s="113"/>
      <c r="CA327" s="113"/>
      <c r="CB327" s="113"/>
      <c r="CC327" s="113"/>
      <c r="CD327" s="113"/>
      <c r="CE327" s="113"/>
      <c r="CF327" s="113"/>
      <c r="CG327" s="113"/>
      <c r="CH327" s="113"/>
      <c r="CI327" s="113"/>
      <c r="CJ327" s="113"/>
      <c r="CK327" s="113"/>
      <c r="CL327" s="113"/>
      <c r="CM327" s="113"/>
      <c r="CN327" s="113"/>
      <c r="CO327" s="113"/>
      <c r="CP327" s="113"/>
      <c r="CQ327" s="113"/>
      <c r="CR327" s="113"/>
      <c r="CS327" s="113"/>
      <c r="CT327" s="113"/>
      <c r="CU327" s="113"/>
    </row>
    <row r="328">
      <c r="A328" s="159" t="str">
        <f>IFERROR(__xludf.DUMMYFUNCTION("""COMPUTED_VALUE"""),"H-7")</f>
        <v>H-7</v>
      </c>
      <c r="B328" s="113" t="str">
        <f>IFERROR(__xludf.DUMMYFUNCTION("""COMPUTED_VALUE"""),"Yu")</f>
        <v>Yu</v>
      </c>
      <c r="C328" s="113" t="str">
        <f>IFERROR(__xludf.DUMMYFUNCTION("""COMPUTED_VALUE"""),"Ni")</f>
        <v>Ni</v>
      </c>
      <c r="D328" s="158">
        <f>IFERROR(__xludf.DUMMYFUNCTION("""COMPUTED_VALUE"""),1122.0)</f>
        <v>1122</v>
      </c>
      <c r="E328" s="161">
        <f t="shared" si="1"/>
        <v>5</v>
      </c>
      <c r="F328" s="160">
        <f>COUNTIFS('Scores Import DO NOT EDIT'!C:C, D328,'Scores Import DO NOT EDIT'!M:M,A328)</f>
        <v>5</v>
      </c>
      <c r="G328" s="162">
        <f t="shared" si="2"/>
        <v>1</v>
      </c>
      <c r="H328" s="163" t="str">
        <f t="shared" si="3"/>
        <v>H-71122</v>
      </c>
      <c r="I328" s="113"/>
      <c r="J328" s="113"/>
      <c r="K328" s="113"/>
      <c r="L328" s="158"/>
      <c r="M328" s="166" t="s">
        <v>411</v>
      </c>
      <c r="N328" s="113"/>
      <c r="O328" s="113"/>
      <c r="P328" s="113"/>
      <c r="Q328" s="113"/>
      <c r="R328" s="113"/>
      <c r="S328" s="113"/>
      <c r="T328" s="113"/>
      <c r="U328" s="113"/>
      <c r="V328" s="113"/>
      <c r="W328" s="113"/>
      <c r="X328" s="113"/>
      <c r="Y328" s="113"/>
      <c r="Z328" s="113"/>
      <c r="AA328" s="113"/>
      <c r="AB328" s="113"/>
      <c r="AC328" s="113"/>
      <c r="AD328" s="113"/>
      <c r="AE328" s="113"/>
      <c r="AF328" s="113"/>
      <c r="AG328" s="113"/>
      <c r="AH328" s="113"/>
      <c r="AI328" s="113"/>
      <c r="AJ328" s="113"/>
      <c r="AK328" s="113"/>
      <c r="AL328" s="113"/>
      <c r="AM328" s="113"/>
      <c r="AN328" s="113"/>
      <c r="AO328" s="113"/>
      <c r="AP328" s="113"/>
      <c r="AQ328" s="113"/>
      <c r="AR328" s="113"/>
      <c r="AS328" s="113"/>
      <c r="AT328" s="113"/>
      <c r="AU328" s="113"/>
      <c r="AV328" s="113"/>
      <c r="AW328" s="113"/>
      <c r="AX328" s="113"/>
      <c r="AY328" s="113"/>
      <c r="AZ328" s="113"/>
      <c r="BA328" s="113"/>
      <c r="BB328" s="113"/>
      <c r="BC328" s="113"/>
      <c r="BD328" s="113"/>
      <c r="BE328" s="113"/>
      <c r="BF328" s="113"/>
      <c r="BG328" s="113"/>
      <c r="BH328" s="113"/>
      <c r="BI328" s="113"/>
      <c r="BJ328" s="113"/>
      <c r="BK328" s="113"/>
      <c r="BL328" s="113"/>
      <c r="BM328" s="113"/>
      <c r="BN328" s="113"/>
      <c r="BO328" s="113"/>
      <c r="BP328" s="113"/>
      <c r="BQ328" s="113"/>
      <c r="BR328" s="113"/>
      <c r="BS328" s="113"/>
      <c r="BT328" s="113"/>
      <c r="BU328" s="113"/>
      <c r="BV328" s="113"/>
      <c r="BW328" s="113"/>
      <c r="BX328" s="113"/>
      <c r="BY328" s="113"/>
      <c r="BZ328" s="113"/>
      <c r="CA328" s="113"/>
      <c r="CB328" s="113"/>
      <c r="CC328" s="113"/>
      <c r="CD328" s="113"/>
      <c r="CE328" s="113"/>
      <c r="CF328" s="113"/>
      <c r="CG328" s="113"/>
      <c r="CH328" s="113"/>
      <c r="CI328" s="113"/>
      <c r="CJ328" s="113"/>
      <c r="CK328" s="113"/>
      <c r="CL328" s="113"/>
      <c r="CM328" s="113"/>
      <c r="CN328" s="113"/>
      <c r="CO328" s="113"/>
      <c r="CP328" s="113"/>
      <c r="CQ328" s="113"/>
      <c r="CR328" s="113"/>
      <c r="CS328" s="113"/>
      <c r="CT328" s="113"/>
      <c r="CU328" s="113"/>
    </row>
    <row r="329">
      <c r="A329" s="159" t="str">
        <f>IFERROR(__xludf.DUMMYFUNCTION("""COMPUTED_VALUE"""),"H-8")</f>
        <v>H-8</v>
      </c>
      <c r="B329" s="113" t="str">
        <f>IFERROR(__xludf.DUMMYFUNCTION("""COMPUTED_VALUE"""),"Ashleigh")</f>
        <v>Ashleigh</v>
      </c>
      <c r="C329" s="113" t="str">
        <f>IFERROR(__xludf.DUMMYFUNCTION("""COMPUTED_VALUE"""),"Johnson")</f>
        <v>Johnson</v>
      </c>
      <c r="D329" s="158">
        <f>IFERROR(__xludf.DUMMYFUNCTION("""COMPUTED_VALUE"""),1016.0)</f>
        <v>1016</v>
      </c>
      <c r="E329" s="161">
        <f t="shared" si="1"/>
        <v>8</v>
      </c>
      <c r="F329" s="160">
        <f>COUNTIFS('Scores Import DO NOT EDIT'!C:C, D329,'Scores Import DO NOT EDIT'!M:M,A329)</f>
        <v>8</v>
      </c>
      <c r="G329" s="162">
        <f t="shared" si="2"/>
        <v>1</v>
      </c>
      <c r="H329" s="163" t="str">
        <f t="shared" si="3"/>
        <v>H-81016</v>
      </c>
      <c r="I329" s="113"/>
      <c r="J329" s="113"/>
      <c r="K329" s="113"/>
      <c r="L329" s="158"/>
      <c r="M329" s="166" t="s">
        <v>417</v>
      </c>
      <c r="N329" s="113"/>
      <c r="O329" s="113"/>
      <c r="P329" s="113"/>
      <c r="Q329" s="113"/>
      <c r="R329" s="113"/>
      <c r="S329" s="113"/>
      <c r="T329" s="113"/>
      <c r="U329" s="113"/>
      <c r="V329" s="113"/>
      <c r="W329" s="113"/>
      <c r="X329" s="113"/>
      <c r="Y329" s="113"/>
      <c r="Z329" s="113"/>
      <c r="AA329" s="113"/>
      <c r="AB329" s="113"/>
      <c r="AC329" s="113"/>
      <c r="AD329" s="113"/>
      <c r="AE329" s="113"/>
      <c r="AF329" s="113"/>
      <c r="AG329" s="113"/>
      <c r="AH329" s="113"/>
      <c r="AI329" s="113"/>
      <c r="AJ329" s="113"/>
      <c r="AK329" s="113"/>
      <c r="AL329" s="113"/>
      <c r="AM329" s="113"/>
      <c r="AN329" s="113"/>
      <c r="AO329" s="113"/>
      <c r="AP329" s="113"/>
      <c r="AQ329" s="113"/>
      <c r="AR329" s="113"/>
      <c r="AS329" s="113"/>
      <c r="AT329" s="113"/>
      <c r="AU329" s="113"/>
      <c r="AV329" s="113"/>
      <c r="AW329" s="113"/>
      <c r="AX329" s="113"/>
      <c r="AY329" s="113"/>
      <c r="AZ329" s="113"/>
      <c r="BA329" s="113"/>
      <c r="BB329" s="113"/>
      <c r="BC329" s="113"/>
      <c r="BD329" s="113"/>
      <c r="BE329" s="113"/>
      <c r="BF329" s="113"/>
      <c r="BG329" s="113"/>
      <c r="BH329" s="113"/>
      <c r="BI329" s="113"/>
      <c r="BJ329" s="113"/>
      <c r="BK329" s="113"/>
      <c r="BL329" s="113"/>
      <c r="BM329" s="113"/>
      <c r="BN329" s="113"/>
      <c r="BO329" s="113"/>
      <c r="BP329" s="113"/>
      <c r="BQ329" s="113"/>
      <c r="BR329" s="113"/>
      <c r="BS329" s="113"/>
      <c r="BT329" s="113"/>
      <c r="BU329" s="113"/>
      <c r="BV329" s="113"/>
      <c r="BW329" s="113"/>
      <c r="BX329" s="113"/>
      <c r="BY329" s="113"/>
      <c r="BZ329" s="113"/>
      <c r="CA329" s="113"/>
      <c r="CB329" s="113"/>
      <c r="CC329" s="113"/>
      <c r="CD329" s="113"/>
      <c r="CE329" s="113"/>
      <c r="CF329" s="113"/>
      <c r="CG329" s="113"/>
      <c r="CH329" s="113"/>
      <c r="CI329" s="113"/>
      <c r="CJ329" s="113"/>
      <c r="CK329" s="113"/>
      <c r="CL329" s="113"/>
      <c r="CM329" s="113"/>
      <c r="CN329" s="113"/>
      <c r="CO329" s="113"/>
      <c r="CP329" s="113"/>
      <c r="CQ329" s="113"/>
      <c r="CR329" s="113"/>
      <c r="CS329" s="113"/>
      <c r="CT329" s="113"/>
      <c r="CU329" s="113"/>
    </row>
    <row r="330">
      <c r="A330" s="159" t="str">
        <f>IFERROR(__xludf.DUMMYFUNCTION("""COMPUTED_VALUE"""),"H-8")</f>
        <v>H-8</v>
      </c>
      <c r="B330" s="113" t="str">
        <f>IFERROR(__xludf.DUMMYFUNCTION("""COMPUTED_VALUE"""),"Patricia Sánchez")</f>
        <v>Patricia Sánchez</v>
      </c>
      <c r="C330" s="113" t="str">
        <f>IFERROR(__xludf.DUMMYFUNCTION("""COMPUTED_VALUE"""),"Lizardi")</f>
        <v>Lizardi</v>
      </c>
      <c r="D330" s="158">
        <f>IFERROR(__xludf.DUMMYFUNCTION("""COMPUTED_VALUE"""),1182.0)</f>
        <v>1182</v>
      </c>
      <c r="E330" s="161">
        <f t="shared" si="1"/>
        <v>8</v>
      </c>
      <c r="F330" s="160">
        <f>COUNTIFS('Scores Import DO NOT EDIT'!C:C, D330,'Scores Import DO NOT EDIT'!M:M,A330)</f>
        <v>0</v>
      </c>
      <c r="G330" s="162">
        <f t="shared" si="2"/>
        <v>0</v>
      </c>
      <c r="H330" s="163" t="str">
        <f t="shared" si="3"/>
        <v>H-81182</v>
      </c>
      <c r="I330" s="113"/>
      <c r="J330" s="113"/>
      <c r="K330" s="113"/>
      <c r="L330" s="158"/>
      <c r="M330" s="166" t="s">
        <v>419</v>
      </c>
      <c r="N330" s="113"/>
      <c r="O330" s="113"/>
      <c r="P330" s="113"/>
      <c r="Q330" s="113"/>
      <c r="R330" s="113"/>
      <c r="S330" s="113"/>
      <c r="T330" s="113"/>
      <c r="U330" s="113"/>
      <c r="V330" s="113"/>
      <c r="W330" s="113"/>
      <c r="X330" s="113"/>
      <c r="Y330" s="113"/>
      <c r="Z330" s="113"/>
      <c r="AA330" s="113"/>
      <c r="AB330" s="113"/>
      <c r="AC330" s="113"/>
      <c r="AD330" s="113"/>
      <c r="AE330" s="113"/>
      <c r="AF330" s="113"/>
      <c r="AG330" s="113"/>
      <c r="AH330" s="113"/>
      <c r="AI330" s="113"/>
      <c r="AJ330" s="113"/>
      <c r="AK330" s="113"/>
      <c r="AL330" s="113"/>
      <c r="AM330" s="113"/>
      <c r="AN330" s="113"/>
      <c r="AO330" s="113"/>
      <c r="AP330" s="113"/>
      <c r="AQ330" s="113"/>
      <c r="AR330" s="113"/>
      <c r="AS330" s="113"/>
      <c r="AT330" s="113"/>
      <c r="AU330" s="113"/>
      <c r="AV330" s="113"/>
      <c r="AW330" s="113"/>
      <c r="AX330" s="113"/>
      <c r="AY330" s="113"/>
      <c r="AZ330" s="113"/>
      <c r="BA330" s="113"/>
      <c r="BB330" s="113"/>
      <c r="BC330" s="113"/>
      <c r="BD330" s="113"/>
      <c r="BE330" s="113"/>
      <c r="BF330" s="113"/>
      <c r="BG330" s="113"/>
      <c r="BH330" s="113"/>
      <c r="BI330" s="113"/>
      <c r="BJ330" s="113"/>
      <c r="BK330" s="113"/>
      <c r="BL330" s="113"/>
      <c r="BM330" s="113"/>
      <c r="BN330" s="113"/>
      <c r="BO330" s="113"/>
      <c r="BP330" s="113"/>
      <c r="BQ330" s="113"/>
      <c r="BR330" s="113"/>
      <c r="BS330" s="113"/>
      <c r="BT330" s="113"/>
      <c r="BU330" s="113"/>
      <c r="BV330" s="113"/>
      <c r="BW330" s="113"/>
      <c r="BX330" s="113"/>
      <c r="BY330" s="113"/>
      <c r="BZ330" s="113"/>
      <c r="CA330" s="113"/>
      <c r="CB330" s="113"/>
      <c r="CC330" s="113"/>
      <c r="CD330" s="113"/>
      <c r="CE330" s="113"/>
      <c r="CF330" s="113"/>
      <c r="CG330" s="113"/>
      <c r="CH330" s="113"/>
      <c r="CI330" s="113"/>
      <c r="CJ330" s="113"/>
      <c r="CK330" s="113"/>
      <c r="CL330" s="113"/>
      <c r="CM330" s="113"/>
      <c r="CN330" s="113"/>
      <c r="CO330" s="113"/>
      <c r="CP330" s="113"/>
      <c r="CQ330" s="113"/>
      <c r="CR330" s="113"/>
      <c r="CS330" s="113"/>
      <c r="CT330" s="113"/>
      <c r="CU330" s="113"/>
    </row>
    <row r="331">
      <c r="A331" s="159" t="str">
        <f>IFERROR(__xludf.DUMMYFUNCTION("""COMPUTED_VALUE"""),"H-8")</f>
        <v>H-8</v>
      </c>
      <c r="B331" s="113" t="str">
        <f>IFERROR(__xludf.DUMMYFUNCTION("""COMPUTED_VALUE"""),"Brendan")</f>
        <v>Brendan</v>
      </c>
      <c r="C331" s="113" t="str">
        <f>IFERROR(__xludf.DUMMYFUNCTION("""COMPUTED_VALUE"""),"Daly")</f>
        <v>Daly</v>
      </c>
      <c r="D331" s="158">
        <f>IFERROR(__xludf.DUMMYFUNCTION("""COMPUTED_VALUE"""),1220.0)</f>
        <v>1220</v>
      </c>
      <c r="E331" s="161">
        <f t="shared" si="1"/>
        <v>8</v>
      </c>
      <c r="F331" s="160">
        <f>COUNTIFS('Scores Import DO NOT EDIT'!C:C, D331,'Scores Import DO NOT EDIT'!M:M,A331)</f>
        <v>7</v>
      </c>
      <c r="G331" s="162">
        <f t="shared" si="2"/>
        <v>0.875</v>
      </c>
      <c r="H331" s="163" t="str">
        <f t="shared" si="3"/>
        <v>H-81220</v>
      </c>
      <c r="I331" s="113"/>
      <c r="J331" s="113"/>
      <c r="K331" s="113"/>
      <c r="L331" s="158"/>
      <c r="M331" s="166" t="s">
        <v>418</v>
      </c>
      <c r="N331" s="113"/>
      <c r="O331" s="113"/>
      <c r="P331" s="113"/>
      <c r="Q331" s="113"/>
      <c r="R331" s="113"/>
      <c r="S331" s="113"/>
      <c r="T331" s="113"/>
      <c r="U331" s="113"/>
      <c r="V331" s="113"/>
      <c r="W331" s="113"/>
      <c r="X331" s="113"/>
      <c r="Y331" s="113"/>
      <c r="Z331" s="113"/>
      <c r="AA331" s="113"/>
      <c r="AB331" s="113"/>
      <c r="AC331" s="113"/>
      <c r="AD331" s="113"/>
      <c r="AE331" s="113"/>
      <c r="AF331" s="113"/>
      <c r="AG331" s="113"/>
      <c r="AH331" s="113"/>
      <c r="AI331" s="113"/>
      <c r="AJ331" s="113"/>
      <c r="AK331" s="113"/>
      <c r="AL331" s="113"/>
      <c r="AM331" s="113"/>
      <c r="AN331" s="113"/>
      <c r="AO331" s="113"/>
      <c r="AP331" s="113"/>
      <c r="AQ331" s="113"/>
      <c r="AR331" s="113"/>
      <c r="AS331" s="113"/>
      <c r="AT331" s="113"/>
      <c r="AU331" s="113"/>
      <c r="AV331" s="113"/>
      <c r="AW331" s="113"/>
      <c r="AX331" s="113"/>
      <c r="AY331" s="113"/>
      <c r="AZ331" s="113"/>
      <c r="BA331" s="113"/>
      <c r="BB331" s="113"/>
      <c r="BC331" s="113"/>
      <c r="BD331" s="113"/>
      <c r="BE331" s="113"/>
      <c r="BF331" s="113"/>
      <c r="BG331" s="113"/>
      <c r="BH331" s="113"/>
      <c r="BI331" s="113"/>
      <c r="BJ331" s="113"/>
      <c r="BK331" s="113"/>
      <c r="BL331" s="113"/>
      <c r="BM331" s="113"/>
      <c r="BN331" s="113"/>
      <c r="BO331" s="113"/>
      <c r="BP331" s="113"/>
      <c r="BQ331" s="113"/>
      <c r="BR331" s="113"/>
      <c r="BS331" s="113"/>
      <c r="BT331" s="113"/>
      <c r="BU331" s="113"/>
      <c r="BV331" s="113"/>
      <c r="BW331" s="113"/>
      <c r="BX331" s="113"/>
      <c r="BY331" s="113"/>
      <c r="BZ331" s="113"/>
      <c r="CA331" s="113"/>
      <c r="CB331" s="113"/>
      <c r="CC331" s="113"/>
      <c r="CD331" s="113"/>
      <c r="CE331" s="113"/>
      <c r="CF331" s="113"/>
      <c r="CG331" s="113"/>
      <c r="CH331" s="113"/>
      <c r="CI331" s="113"/>
      <c r="CJ331" s="113"/>
      <c r="CK331" s="113"/>
      <c r="CL331" s="113"/>
      <c r="CM331" s="113"/>
      <c r="CN331" s="113"/>
      <c r="CO331" s="113"/>
      <c r="CP331" s="113"/>
      <c r="CQ331" s="113"/>
      <c r="CR331" s="113"/>
      <c r="CS331" s="113"/>
      <c r="CT331" s="113"/>
      <c r="CU331" s="113"/>
    </row>
    <row r="332">
      <c r="A332" s="159" t="str">
        <f>IFERROR(__xludf.DUMMYFUNCTION("""COMPUTED_VALUE"""),"H-8")</f>
        <v>H-8</v>
      </c>
      <c r="B332" s="113" t="str">
        <f>IFERROR(__xludf.DUMMYFUNCTION("""COMPUTED_VALUE"""),"Erin P. Riley")</f>
        <v>Erin P. Riley</v>
      </c>
      <c r="C332" s="113" t="str">
        <f>IFERROR(__xludf.DUMMYFUNCTION("""COMPUTED_VALUE"""),"Riley")</f>
        <v>Riley</v>
      </c>
      <c r="D332" s="158">
        <f>IFERROR(__xludf.DUMMYFUNCTION("""COMPUTED_VALUE"""),1054.0)</f>
        <v>1054</v>
      </c>
      <c r="E332" s="161">
        <f t="shared" si="1"/>
        <v>8</v>
      </c>
      <c r="F332" s="160">
        <f>COUNTIFS('Scores Import DO NOT EDIT'!C:C, D332,'Scores Import DO NOT EDIT'!M:M,A332)</f>
        <v>7</v>
      </c>
      <c r="G332" s="162">
        <f t="shared" si="2"/>
        <v>0.875</v>
      </c>
      <c r="H332" s="163" t="str">
        <f t="shared" si="3"/>
        <v>H-81054</v>
      </c>
      <c r="I332" s="113"/>
      <c r="J332" s="113"/>
      <c r="K332" s="113"/>
      <c r="L332" s="158"/>
      <c r="M332" s="166" t="s">
        <v>421</v>
      </c>
      <c r="N332" s="113"/>
      <c r="O332" s="113"/>
      <c r="P332" s="113"/>
      <c r="Q332" s="113"/>
      <c r="R332" s="113"/>
      <c r="S332" s="113"/>
      <c r="T332" s="113"/>
      <c r="U332" s="113"/>
      <c r="V332" s="113"/>
      <c r="W332" s="113"/>
      <c r="X332" s="113"/>
      <c r="Y332" s="113"/>
      <c r="Z332" s="113"/>
      <c r="AA332" s="113"/>
      <c r="AB332" s="113"/>
      <c r="AC332" s="113"/>
      <c r="AD332" s="113"/>
      <c r="AE332" s="113"/>
      <c r="AF332" s="113"/>
      <c r="AG332" s="113"/>
      <c r="AH332" s="113"/>
      <c r="AI332" s="113"/>
      <c r="AJ332" s="113"/>
      <c r="AK332" s="113"/>
      <c r="AL332" s="113"/>
      <c r="AM332" s="113"/>
      <c r="AN332" s="113"/>
      <c r="AO332" s="113"/>
      <c r="AP332" s="113"/>
      <c r="AQ332" s="113"/>
      <c r="AR332" s="113"/>
      <c r="AS332" s="113"/>
      <c r="AT332" s="113"/>
      <c r="AU332" s="113"/>
      <c r="AV332" s="113"/>
      <c r="AW332" s="113"/>
      <c r="AX332" s="113"/>
      <c r="AY332" s="113"/>
      <c r="AZ332" s="113"/>
      <c r="BA332" s="113"/>
      <c r="BB332" s="113"/>
      <c r="BC332" s="113"/>
      <c r="BD332" s="113"/>
      <c r="BE332" s="113"/>
      <c r="BF332" s="113"/>
      <c r="BG332" s="113"/>
      <c r="BH332" s="113"/>
      <c r="BI332" s="113"/>
      <c r="BJ332" s="113"/>
      <c r="BK332" s="113"/>
      <c r="BL332" s="113"/>
      <c r="BM332" s="113"/>
      <c r="BN332" s="113"/>
      <c r="BO332" s="113"/>
      <c r="BP332" s="113"/>
      <c r="BQ332" s="113"/>
      <c r="BR332" s="113"/>
      <c r="BS332" s="113"/>
      <c r="BT332" s="113"/>
      <c r="BU332" s="113"/>
      <c r="BV332" s="113"/>
      <c r="BW332" s="113"/>
      <c r="BX332" s="113"/>
      <c r="BY332" s="113"/>
      <c r="BZ332" s="113"/>
      <c r="CA332" s="113"/>
      <c r="CB332" s="113"/>
      <c r="CC332" s="113"/>
      <c r="CD332" s="113"/>
      <c r="CE332" s="113"/>
      <c r="CF332" s="113"/>
      <c r="CG332" s="113"/>
      <c r="CH332" s="113"/>
      <c r="CI332" s="113"/>
      <c r="CJ332" s="113"/>
      <c r="CK332" s="113"/>
      <c r="CL332" s="113"/>
      <c r="CM332" s="113"/>
      <c r="CN332" s="113"/>
      <c r="CO332" s="113"/>
      <c r="CP332" s="113"/>
      <c r="CQ332" s="113"/>
      <c r="CR332" s="113"/>
      <c r="CS332" s="113"/>
      <c r="CT332" s="113"/>
      <c r="CU332" s="113"/>
    </row>
    <row r="333">
      <c r="A333" s="159" t="str">
        <f>IFERROR(__xludf.DUMMYFUNCTION("""COMPUTED_VALUE"""),"H-9")</f>
        <v>H-9</v>
      </c>
      <c r="B333" s="113" t="str">
        <f>IFERROR(__xludf.DUMMYFUNCTION("""COMPUTED_VALUE"""),"Ali")</f>
        <v>Ali</v>
      </c>
      <c r="C333" s="113" t="str">
        <f>IFERROR(__xludf.DUMMYFUNCTION("""COMPUTED_VALUE"""),"Raza")</f>
        <v>Raza</v>
      </c>
      <c r="D333" s="158">
        <f>IFERROR(__xludf.DUMMYFUNCTION("""COMPUTED_VALUE"""),1187.0)</f>
        <v>1187</v>
      </c>
      <c r="E333" s="161">
        <f t="shared" si="1"/>
        <v>7</v>
      </c>
      <c r="F333" s="160">
        <f>COUNTIFS('Scores Import DO NOT EDIT'!C:C, D333,'Scores Import DO NOT EDIT'!M:M,A333)</f>
        <v>7</v>
      </c>
      <c r="G333" s="162">
        <f t="shared" si="2"/>
        <v>1</v>
      </c>
      <c r="H333" s="163" t="str">
        <f t="shared" si="3"/>
        <v>H-91187</v>
      </c>
      <c r="I333" s="113"/>
      <c r="J333" s="113"/>
      <c r="K333" s="113"/>
      <c r="L333" s="158"/>
      <c r="M333" s="166" t="s">
        <v>416</v>
      </c>
      <c r="N333" s="113"/>
      <c r="O333" s="113"/>
      <c r="P333" s="113"/>
      <c r="Q333" s="113"/>
      <c r="R333" s="113"/>
      <c r="S333" s="113"/>
      <c r="T333" s="113"/>
      <c r="U333" s="113"/>
      <c r="V333" s="113"/>
      <c r="W333" s="113"/>
      <c r="X333" s="113"/>
      <c r="Y333" s="113"/>
      <c r="Z333" s="113"/>
      <c r="AA333" s="113"/>
      <c r="AB333" s="113"/>
      <c r="AC333" s="113"/>
      <c r="AD333" s="113"/>
      <c r="AE333" s="113"/>
      <c r="AF333" s="113"/>
      <c r="AG333" s="113"/>
      <c r="AH333" s="113"/>
      <c r="AI333" s="113"/>
      <c r="AJ333" s="113"/>
      <c r="AK333" s="113"/>
      <c r="AL333" s="113"/>
      <c r="AM333" s="113"/>
      <c r="AN333" s="113"/>
      <c r="AO333" s="113"/>
      <c r="AP333" s="113"/>
      <c r="AQ333" s="113"/>
      <c r="AR333" s="113"/>
      <c r="AS333" s="113"/>
      <c r="AT333" s="113"/>
      <c r="AU333" s="113"/>
      <c r="AV333" s="113"/>
      <c r="AW333" s="113"/>
      <c r="AX333" s="113"/>
      <c r="AY333" s="113"/>
      <c r="AZ333" s="113"/>
      <c r="BA333" s="113"/>
      <c r="BB333" s="113"/>
      <c r="BC333" s="113"/>
      <c r="BD333" s="113"/>
      <c r="BE333" s="113"/>
      <c r="BF333" s="113"/>
      <c r="BG333" s="113"/>
      <c r="BH333" s="113"/>
      <c r="BI333" s="113"/>
      <c r="BJ333" s="113"/>
      <c r="BK333" s="113"/>
      <c r="BL333" s="113"/>
      <c r="BM333" s="113"/>
      <c r="BN333" s="113"/>
      <c r="BO333" s="113"/>
      <c r="BP333" s="113"/>
      <c r="BQ333" s="113"/>
      <c r="BR333" s="113"/>
      <c r="BS333" s="113"/>
      <c r="BT333" s="113"/>
      <c r="BU333" s="113"/>
      <c r="BV333" s="113"/>
      <c r="BW333" s="113"/>
      <c r="BX333" s="113"/>
      <c r="BY333" s="113"/>
      <c r="BZ333" s="113"/>
      <c r="CA333" s="113"/>
      <c r="CB333" s="113"/>
      <c r="CC333" s="113"/>
      <c r="CD333" s="113"/>
      <c r="CE333" s="113"/>
      <c r="CF333" s="113"/>
      <c r="CG333" s="113"/>
      <c r="CH333" s="113"/>
      <c r="CI333" s="113"/>
      <c r="CJ333" s="113"/>
      <c r="CK333" s="113"/>
      <c r="CL333" s="113"/>
      <c r="CM333" s="113"/>
      <c r="CN333" s="113"/>
      <c r="CO333" s="113"/>
      <c r="CP333" s="113"/>
      <c r="CQ333" s="113"/>
      <c r="CR333" s="113"/>
      <c r="CS333" s="113"/>
      <c r="CT333" s="113"/>
      <c r="CU333" s="113"/>
    </row>
    <row r="334">
      <c r="A334" s="159" t="str">
        <f>IFERROR(__xludf.DUMMYFUNCTION("""COMPUTED_VALUE"""),"H-9")</f>
        <v>H-9</v>
      </c>
      <c r="B334" s="113" t="str">
        <f>IFERROR(__xludf.DUMMYFUNCTION("""COMPUTED_VALUE"""),"Kazandra")</f>
        <v>Kazandra</v>
      </c>
      <c r="C334" s="113" t="str">
        <f>IFERROR(__xludf.DUMMYFUNCTION("""COMPUTED_VALUE"""),"Pedroza")</f>
        <v>Pedroza</v>
      </c>
      <c r="D334" s="158">
        <f>IFERROR(__xludf.DUMMYFUNCTION("""COMPUTED_VALUE"""),1228.0)</f>
        <v>1228</v>
      </c>
      <c r="E334" s="161">
        <f t="shared" si="1"/>
        <v>7</v>
      </c>
      <c r="F334" s="160">
        <f>COUNTIFS('Scores Import DO NOT EDIT'!C:C, D334,'Scores Import DO NOT EDIT'!M:M,A334)</f>
        <v>0</v>
      </c>
      <c r="G334" s="162">
        <f t="shared" si="2"/>
        <v>0</v>
      </c>
      <c r="H334" s="163" t="str">
        <f t="shared" si="3"/>
        <v>H-91228</v>
      </c>
      <c r="I334" s="113"/>
      <c r="J334" s="113"/>
      <c r="K334" s="113"/>
      <c r="L334" s="158"/>
      <c r="M334" s="166" t="s">
        <v>420</v>
      </c>
      <c r="N334" s="113"/>
      <c r="O334" s="113"/>
      <c r="P334" s="113"/>
      <c r="Q334" s="113"/>
      <c r="R334" s="113"/>
      <c r="S334" s="113"/>
      <c r="T334" s="113"/>
      <c r="U334" s="113"/>
      <c r="V334" s="113"/>
      <c r="W334" s="113"/>
      <c r="X334" s="113"/>
      <c r="Y334" s="113"/>
      <c r="Z334" s="113"/>
      <c r="AA334" s="113"/>
      <c r="AB334" s="113"/>
      <c r="AC334" s="113"/>
      <c r="AD334" s="113"/>
      <c r="AE334" s="113"/>
      <c r="AF334" s="113"/>
      <c r="AG334" s="113"/>
      <c r="AH334" s="113"/>
      <c r="AI334" s="113"/>
      <c r="AJ334" s="113"/>
      <c r="AK334" s="113"/>
      <c r="AL334" s="113"/>
      <c r="AM334" s="113"/>
      <c r="AN334" s="113"/>
      <c r="AO334" s="113"/>
      <c r="AP334" s="113"/>
      <c r="AQ334" s="113"/>
      <c r="AR334" s="113"/>
      <c r="AS334" s="113"/>
      <c r="AT334" s="113"/>
      <c r="AU334" s="113"/>
      <c r="AV334" s="113"/>
      <c r="AW334" s="113"/>
      <c r="AX334" s="113"/>
      <c r="AY334" s="113"/>
      <c r="AZ334" s="113"/>
      <c r="BA334" s="113"/>
      <c r="BB334" s="113"/>
      <c r="BC334" s="113"/>
      <c r="BD334" s="113"/>
      <c r="BE334" s="113"/>
      <c r="BF334" s="113"/>
      <c r="BG334" s="113"/>
      <c r="BH334" s="113"/>
      <c r="BI334" s="113"/>
      <c r="BJ334" s="113"/>
      <c r="BK334" s="113"/>
      <c r="BL334" s="113"/>
      <c r="BM334" s="113"/>
      <c r="BN334" s="113"/>
      <c r="BO334" s="113"/>
      <c r="BP334" s="113"/>
      <c r="BQ334" s="113"/>
      <c r="BR334" s="113"/>
      <c r="BS334" s="113"/>
      <c r="BT334" s="113"/>
      <c r="BU334" s="113"/>
      <c r="BV334" s="113"/>
      <c r="BW334" s="113"/>
      <c r="BX334" s="113"/>
      <c r="BY334" s="113"/>
      <c r="BZ334" s="113"/>
      <c r="CA334" s="113"/>
      <c r="CB334" s="113"/>
      <c r="CC334" s="113"/>
      <c r="CD334" s="113"/>
      <c r="CE334" s="113"/>
      <c r="CF334" s="113"/>
      <c r="CG334" s="113"/>
      <c r="CH334" s="113"/>
      <c r="CI334" s="113"/>
      <c r="CJ334" s="113"/>
      <c r="CK334" s="113"/>
      <c r="CL334" s="113"/>
      <c r="CM334" s="113"/>
      <c r="CN334" s="113"/>
      <c r="CO334" s="113"/>
      <c r="CP334" s="113"/>
      <c r="CQ334" s="113"/>
      <c r="CR334" s="113"/>
      <c r="CS334" s="113"/>
      <c r="CT334" s="113"/>
      <c r="CU334" s="113"/>
    </row>
    <row r="335">
      <c r="A335" s="159" t="str">
        <f>IFERROR(__xludf.DUMMYFUNCTION("""COMPUTED_VALUE"""),"H-9")</f>
        <v>H-9</v>
      </c>
      <c r="B335" s="113" t="str">
        <f>IFERROR(__xludf.DUMMYFUNCTION("""COMPUTED_VALUE"""),"Chaztyn")</f>
        <v>Chaztyn</v>
      </c>
      <c r="C335" s="113" t="str">
        <f>IFERROR(__xludf.DUMMYFUNCTION("""COMPUTED_VALUE"""),"Pangelina")</f>
        <v>Pangelina</v>
      </c>
      <c r="D335" s="158">
        <f>IFERROR(__xludf.DUMMYFUNCTION("""COMPUTED_VALUE"""),1162.0)</f>
        <v>1162</v>
      </c>
      <c r="E335" s="161">
        <f t="shared" si="1"/>
        <v>7</v>
      </c>
      <c r="F335" s="160">
        <f>COUNTIFS('Scores Import DO NOT EDIT'!C:C, D335,'Scores Import DO NOT EDIT'!M:M,A335)</f>
        <v>7</v>
      </c>
      <c r="G335" s="162">
        <f t="shared" si="2"/>
        <v>1</v>
      </c>
      <c r="H335" s="163" t="str">
        <f t="shared" si="3"/>
        <v>H-91162</v>
      </c>
      <c r="I335" s="113"/>
      <c r="J335" s="113"/>
      <c r="K335" s="113"/>
      <c r="L335" s="158"/>
      <c r="M335" s="166" t="s">
        <v>424</v>
      </c>
      <c r="N335" s="113"/>
      <c r="O335" s="113"/>
      <c r="P335" s="113"/>
      <c r="Q335" s="113"/>
      <c r="R335" s="113"/>
      <c r="S335" s="113"/>
      <c r="T335" s="113"/>
      <c r="U335" s="113"/>
      <c r="V335" s="113"/>
      <c r="W335" s="113"/>
      <c r="X335" s="113"/>
      <c r="Y335" s="113"/>
      <c r="Z335" s="113"/>
      <c r="AA335" s="113"/>
      <c r="AB335" s="113"/>
      <c r="AC335" s="113"/>
      <c r="AD335" s="113"/>
      <c r="AE335" s="113"/>
      <c r="AF335" s="113"/>
      <c r="AG335" s="113"/>
      <c r="AH335" s="113"/>
      <c r="AI335" s="113"/>
      <c r="AJ335" s="113"/>
      <c r="AK335" s="113"/>
      <c r="AL335" s="113"/>
      <c r="AM335" s="113"/>
      <c r="AN335" s="113"/>
      <c r="AO335" s="113"/>
      <c r="AP335" s="113"/>
      <c r="AQ335" s="113"/>
      <c r="AR335" s="113"/>
      <c r="AS335" s="113"/>
      <c r="AT335" s="113"/>
      <c r="AU335" s="113"/>
      <c r="AV335" s="113"/>
      <c r="AW335" s="113"/>
      <c r="AX335" s="113"/>
      <c r="AY335" s="113"/>
      <c r="AZ335" s="113"/>
      <c r="BA335" s="113"/>
      <c r="BB335" s="113"/>
      <c r="BC335" s="113"/>
      <c r="BD335" s="113"/>
      <c r="BE335" s="113"/>
      <c r="BF335" s="113"/>
      <c r="BG335" s="113"/>
      <c r="BH335" s="113"/>
      <c r="BI335" s="113"/>
      <c r="BJ335" s="113"/>
      <c r="BK335" s="113"/>
      <c r="BL335" s="113"/>
      <c r="BM335" s="113"/>
      <c r="BN335" s="113"/>
      <c r="BO335" s="113"/>
      <c r="BP335" s="113"/>
      <c r="BQ335" s="113"/>
      <c r="BR335" s="113"/>
      <c r="BS335" s="113"/>
      <c r="BT335" s="113"/>
      <c r="BU335" s="113"/>
      <c r="BV335" s="113"/>
      <c r="BW335" s="113"/>
      <c r="BX335" s="113"/>
      <c r="BY335" s="113"/>
      <c r="BZ335" s="113"/>
      <c r="CA335" s="113"/>
      <c r="CB335" s="113"/>
      <c r="CC335" s="113"/>
      <c r="CD335" s="113"/>
      <c r="CE335" s="113"/>
      <c r="CF335" s="113"/>
      <c r="CG335" s="113"/>
      <c r="CH335" s="113"/>
      <c r="CI335" s="113"/>
      <c r="CJ335" s="113"/>
      <c r="CK335" s="113"/>
      <c r="CL335" s="113"/>
      <c r="CM335" s="113"/>
      <c r="CN335" s="113"/>
      <c r="CO335" s="113"/>
      <c r="CP335" s="113"/>
      <c r="CQ335" s="113"/>
      <c r="CR335" s="113"/>
      <c r="CS335" s="113"/>
      <c r="CT335" s="113"/>
      <c r="CU335" s="113"/>
    </row>
    <row r="336">
      <c r="A336" s="159" t="str">
        <f>IFERROR(__xludf.DUMMYFUNCTION("""COMPUTED_VALUE"""),"H-9")</f>
        <v>H-9</v>
      </c>
      <c r="B336" s="113" t="str">
        <f>IFERROR(__xludf.DUMMYFUNCTION("""COMPUTED_VALUE"""),"Carrie")</f>
        <v>Carrie</v>
      </c>
      <c r="C336" s="113" t="str">
        <f>IFERROR(__xludf.DUMMYFUNCTION("""COMPUTED_VALUE"""),"House")</f>
        <v>House</v>
      </c>
      <c r="D336" s="158">
        <f>IFERROR(__xludf.DUMMYFUNCTION("""COMPUTED_VALUE"""),1137.0)</f>
        <v>1137</v>
      </c>
      <c r="E336" s="161">
        <f t="shared" si="1"/>
        <v>7</v>
      </c>
      <c r="F336" s="160">
        <f>COUNTIFS('Scores Import DO NOT EDIT'!C:C, D336,'Scores Import DO NOT EDIT'!M:M,A336)</f>
        <v>7</v>
      </c>
      <c r="G336" s="162">
        <f t="shared" si="2"/>
        <v>1</v>
      </c>
      <c r="H336" s="163" t="str">
        <f t="shared" si="3"/>
        <v>H-91137</v>
      </c>
      <c r="I336" s="113"/>
      <c r="J336" s="113"/>
      <c r="K336" s="113"/>
      <c r="L336" s="158"/>
      <c r="M336" s="166" t="s">
        <v>427</v>
      </c>
      <c r="N336" s="113"/>
      <c r="O336" s="113"/>
      <c r="P336" s="113"/>
      <c r="Q336" s="113"/>
      <c r="R336" s="113"/>
      <c r="S336" s="113"/>
      <c r="T336" s="113"/>
      <c r="U336" s="113"/>
      <c r="V336" s="113"/>
      <c r="W336" s="113"/>
      <c r="X336" s="113"/>
      <c r="Y336" s="113"/>
      <c r="Z336" s="113"/>
      <c r="AA336" s="113"/>
      <c r="AB336" s="113"/>
      <c r="AC336" s="113"/>
      <c r="AD336" s="113"/>
      <c r="AE336" s="113"/>
      <c r="AF336" s="113"/>
      <c r="AG336" s="113"/>
      <c r="AH336" s="113"/>
      <c r="AI336" s="113"/>
      <c r="AJ336" s="113"/>
      <c r="AK336" s="113"/>
      <c r="AL336" s="113"/>
      <c r="AM336" s="113"/>
      <c r="AN336" s="113"/>
      <c r="AO336" s="113"/>
      <c r="AP336" s="113"/>
      <c r="AQ336" s="113"/>
      <c r="AR336" s="113"/>
      <c r="AS336" s="113"/>
      <c r="AT336" s="113"/>
      <c r="AU336" s="113"/>
      <c r="AV336" s="113"/>
      <c r="AW336" s="113"/>
      <c r="AX336" s="113"/>
      <c r="AY336" s="113"/>
      <c r="AZ336" s="113"/>
      <c r="BA336" s="113"/>
      <c r="BB336" s="113"/>
      <c r="BC336" s="113"/>
      <c r="BD336" s="113"/>
      <c r="BE336" s="113"/>
      <c r="BF336" s="113"/>
      <c r="BG336" s="113"/>
      <c r="BH336" s="113"/>
      <c r="BI336" s="113"/>
      <c r="BJ336" s="113"/>
      <c r="BK336" s="113"/>
      <c r="BL336" s="113"/>
      <c r="BM336" s="113"/>
      <c r="BN336" s="113"/>
      <c r="BO336" s="113"/>
      <c r="BP336" s="113"/>
      <c r="BQ336" s="113"/>
      <c r="BR336" s="113"/>
      <c r="BS336" s="113"/>
      <c r="BT336" s="113"/>
      <c r="BU336" s="113"/>
      <c r="BV336" s="113"/>
      <c r="BW336" s="113"/>
      <c r="BX336" s="113"/>
      <c r="BY336" s="113"/>
      <c r="BZ336" s="113"/>
      <c r="CA336" s="113"/>
      <c r="CB336" s="113"/>
      <c r="CC336" s="113"/>
      <c r="CD336" s="113"/>
      <c r="CE336" s="113"/>
      <c r="CF336" s="113"/>
      <c r="CG336" s="113"/>
      <c r="CH336" s="113"/>
      <c r="CI336" s="113"/>
      <c r="CJ336" s="113"/>
      <c r="CK336" s="113"/>
      <c r="CL336" s="113"/>
      <c r="CM336" s="113"/>
      <c r="CN336" s="113"/>
      <c r="CO336" s="113"/>
      <c r="CP336" s="113"/>
      <c r="CQ336" s="113"/>
      <c r="CR336" s="113"/>
      <c r="CS336" s="113"/>
      <c r="CT336" s="113"/>
      <c r="CU336" s="113"/>
    </row>
    <row r="337">
      <c r="A337" s="159" t="str">
        <f>IFERROR(__xludf.DUMMYFUNCTION("""COMPUTED_VALUE"""),"I-1")</f>
        <v>I-1</v>
      </c>
      <c r="B337" s="113" t="str">
        <f>IFERROR(__xludf.DUMMYFUNCTION("""COMPUTED_VALUE"""),"Jessi")</f>
        <v>Jessi</v>
      </c>
      <c r="C337" s="113" t="str">
        <f>IFERROR(__xludf.DUMMYFUNCTION("""COMPUTED_VALUE"""),"Rivin")</f>
        <v>Rivin</v>
      </c>
      <c r="D337" s="158">
        <f>IFERROR(__xludf.DUMMYFUNCTION("""COMPUTED_VALUE"""),1172.0)</f>
        <v>1172</v>
      </c>
      <c r="E337" s="161">
        <f t="shared" si="1"/>
        <v>7</v>
      </c>
      <c r="F337" s="160">
        <f>COUNTIFS('Scores Import DO NOT EDIT'!C:C, D337,'Scores Import DO NOT EDIT'!M:M,A337)</f>
        <v>6</v>
      </c>
      <c r="G337" s="162">
        <f t="shared" si="2"/>
        <v>0.8571428571</v>
      </c>
      <c r="H337" s="163" t="str">
        <f t="shared" si="3"/>
        <v>I-11172</v>
      </c>
      <c r="I337" s="113"/>
      <c r="J337" s="113"/>
      <c r="K337" s="113"/>
      <c r="L337" s="158"/>
      <c r="M337" s="166" t="s">
        <v>425</v>
      </c>
      <c r="N337" s="113"/>
      <c r="O337" s="113"/>
      <c r="P337" s="113"/>
      <c r="Q337" s="113"/>
      <c r="R337" s="113"/>
      <c r="S337" s="113"/>
      <c r="T337" s="113"/>
      <c r="U337" s="113"/>
      <c r="V337" s="113"/>
      <c r="W337" s="113"/>
      <c r="X337" s="113"/>
      <c r="Y337" s="113"/>
      <c r="Z337" s="113"/>
      <c r="AA337" s="113"/>
      <c r="AB337" s="113"/>
      <c r="AC337" s="113"/>
      <c r="AD337" s="113"/>
      <c r="AE337" s="113"/>
      <c r="AF337" s="113"/>
      <c r="AG337" s="113"/>
      <c r="AH337" s="113"/>
      <c r="AI337" s="113"/>
      <c r="AJ337" s="113"/>
      <c r="AK337" s="113"/>
      <c r="AL337" s="113"/>
      <c r="AM337" s="113"/>
      <c r="AN337" s="113"/>
      <c r="AO337" s="113"/>
      <c r="AP337" s="113"/>
      <c r="AQ337" s="113"/>
      <c r="AR337" s="113"/>
      <c r="AS337" s="113"/>
      <c r="AT337" s="113"/>
      <c r="AU337" s="113"/>
      <c r="AV337" s="113"/>
      <c r="AW337" s="113"/>
      <c r="AX337" s="113"/>
      <c r="AY337" s="113"/>
      <c r="AZ337" s="113"/>
      <c r="BA337" s="113"/>
      <c r="BB337" s="113"/>
      <c r="BC337" s="113"/>
      <c r="BD337" s="113"/>
      <c r="BE337" s="113"/>
      <c r="BF337" s="113"/>
      <c r="BG337" s="113"/>
      <c r="BH337" s="113"/>
      <c r="BI337" s="113"/>
      <c r="BJ337" s="113"/>
      <c r="BK337" s="113"/>
      <c r="BL337" s="113"/>
      <c r="BM337" s="113"/>
      <c r="BN337" s="113"/>
      <c r="BO337" s="113"/>
      <c r="BP337" s="113"/>
      <c r="BQ337" s="113"/>
      <c r="BR337" s="113"/>
      <c r="BS337" s="113"/>
      <c r="BT337" s="113"/>
      <c r="BU337" s="113"/>
      <c r="BV337" s="113"/>
      <c r="BW337" s="113"/>
      <c r="BX337" s="113"/>
      <c r="BY337" s="113"/>
      <c r="BZ337" s="113"/>
      <c r="CA337" s="113"/>
      <c r="CB337" s="113"/>
      <c r="CC337" s="113"/>
      <c r="CD337" s="113"/>
      <c r="CE337" s="113"/>
      <c r="CF337" s="113"/>
      <c r="CG337" s="113"/>
      <c r="CH337" s="113"/>
      <c r="CI337" s="113"/>
      <c r="CJ337" s="113"/>
      <c r="CK337" s="113"/>
      <c r="CL337" s="113"/>
      <c r="CM337" s="113"/>
      <c r="CN337" s="113"/>
      <c r="CO337" s="113"/>
      <c r="CP337" s="113"/>
      <c r="CQ337" s="113"/>
      <c r="CR337" s="113"/>
      <c r="CS337" s="113"/>
      <c r="CT337" s="113"/>
      <c r="CU337" s="113"/>
    </row>
    <row r="338">
      <c r="A338" s="159" t="str">
        <f>IFERROR(__xludf.DUMMYFUNCTION("""COMPUTED_VALUE"""),"I-1")</f>
        <v>I-1</v>
      </c>
      <c r="B338" s="113" t="str">
        <f>IFERROR(__xludf.DUMMYFUNCTION("""COMPUTED_VALUE"""),"Patricia")</f>
        <v>Patricia</v>
      </c>
      <c r="C338" s="113" t="str">
        <f>IFERROR(__xludf.DUMMYFUNCTION("""COMPUTED_VALUE"""),"Dionicio")</f>
        <v>Dionicio</v>
      </c>
      <c r="D338" s="158">
        <f>IFERROR(__xludf.DUMMYFUNCTION("""COMPUTED_VALUE"""),1109.0)</f>
        <v>1109</v>
      </c>
      <c r="E338" s="161">
        <f t="shared" si="1"/>
        <v>7</v>
      </c>
      <c r="F338" s="160">
        <f>COUNTIFS('Scores Import DO NOT EDIT'!C:C, D338,'Scores Import DO NOT EDIT'!M:M,A338)</f>
        <v>7</v>
      </c>
      <c r="G338" s="162">
        <f t="shared" si="2"/>
        <v>1</v>
      </c>
      <c r="H338" s="163" t="str">
        <f t="shared" si="3"/>
        <v>I-11109</v>
      </c>
      <c r="I338" s="113"/>
      <c r="J338" s="113"/>
      <c r="K338" s="113"/>
      <c r="L338" s="158"/>
      <c r="M338" s="166" t="s">
        <v>429</v>
      </c>
      <c r="N338" s="113"/>
      <c r="O338" s="113"/>
      <c r="P338" s="113"/>
      <c r="Q338" s="113"/>
      <c r="R338" s="113"/>
      <c r="S338" s="113"/>
      <c r="T338" s="113"/>
      <c r="U338" s="113"/>
      <c r="V338" s="113"/>
      <c r="W338" s="113"/>
      <c r="X338" s="113"/>
      <c r="Y338" s="113"/>
      <c r="Z338" s="113"/>
      <c r="AA338" s="113"/>
      <c r="AB338" s="113"/>
      <c r="AC338" s="113"/>
      <c r="AD338" s="113"/>
      <c r="AE338" s="113"/>
      <c r="AF338" s="113"/>
      <c r="AG338" s="113"/>
      <c r="AH338" s="113"/>
      <c r="AI338" s="113"/>
      <c r="AJ338" s="113"/>
      <c r="AK338" s="113"/>
      <c r="AL338" s="113"/>
      <c r="AM338" s="113"/>
      <c r="AN338" s="113"/>
      <c r="AO338" s="113"/>
      <c r="AP338" s="113"/>
      <c r="AQ338" s="113"/>
      <c r="AR338" s="113"/>
      <c r="AS338" s="113"/>
      <c r="AT338" s="113"/>
      <c r="AU338" s="113"/>
      <c r="AV338" s="113"/>
      <c r="AW338" s="113"/>
      <c r="AX338" s="113"/>
      <c r="AY338" s="113"/>
      <c r="AZ338" s="113"/>
      <c r="BA338" s="113"/>
      <c r="BB338" s="113"/>
      <c r="BC338" s="113"/>
      <c r="BD338" s="113"/>
      <c r="BE338" s="113"/>
      <c r="BF338" s="113"/>
      <c r="BG338" s="113"/>
      <c r="BH338" s="113"/>
      <c r="BI338" s="113"/>
      <c r="BJ338" s="113"/>
      <c r="BK338" s="113"/>
      <c r="BL338" s="113"/>
      <c r="BM338" s="113"/>
      <c r="BN338" s="113"/>
      <c r="BO338" s="113"/>
      <c r="BP338" s="113"/>
      <c r="BQ338" s="113"/>
      <c r="BR338" s="113"/>
      <c r="BS338" s="113"/>
      <c r="BT338" s="113"/>
      <c r="BU338" s="113"/>
      <c r="BV338" s="113"/>
      <c r="BW338" s="113"/>
      <c r="BX338" s="113"/>
      <c r="BY338" s="113"/>
      <c r="BZ338" s="113"/>
      <c r="CA338" s="113"/>
      <c r="CB338" s="113"/>
      <c r="CC338" s="113"/>
      <c r="CD338" s="113"/>
      <c r="CE338" s="113"/>
      <c r="CF338" s="113"/>
      <c r="CG338" s="113"/>
      <c r="CH338" s="113"/>
      <c r="CI338" s="113"/>
      <c r="CJ338" s="113"/>
      <c r="CK338" s="113"/>
      <c r="CL338" s="113"/>
      <c r="CM338" s="113"/>
      <c r="CN338" s="113"/>
      <c r="CO338" s="113"/>
      <c r="CP338" s="113"/>
      <c r="CQ338" s="113"/>
      <c r="CR338" s="113"/>
      <c r="CS338" s="113"/>
      <c r="CT338" s="113"/>
      <c r="CU338" s="113"/>
    </row>
    <row r="339">
      <c r="A339" s="159" t="str">
        <f>IFERROR(__xludf.DUMMYFUNCTION("""COMPUTED_VALUE"""),"I-1")</f>
        <v>I-1</v>
      </c>
      <c r="B339" s="113" t="str">
        <f>IFERROR(__xludf.DUMMYFUNCTION("""COMPUTED_VALUE"""),"Helen")</f>
        <v>Helen</v>
      </c>
      <c r="C339" s="113" t="str">
        <f>IFERROR(__xludf.DUMMYFUNCTION("""COMPUTED_VALUE"""),"Ma")</f>
        <v>Ma</v>
      </c>
      <c r="D339" s="158">
        <f>IFERROR(__xludf.DUMMYFUNCTION("""COMPUTED_VALUE"""),1120.0)</f>
        <v>1120</v>
      </c>
      <c r="E339" s="161">
        <f t="shared" si="1"/>
        <v>7</v>
      </c>
      <c r="F339" s="160">
        <f>COUNTIFS('Scores Import DO NOT EDIT'!C:C, D339,'Scores Import DO NOT EDIT'!M:M,A339)</f>
        <v>7</v>
      </c>
      <c r="G339" s="162">
        <f t="shared" si="2"/>
        <v>1</v>
      </c>
      <c r="H339" s="163" t="str">
        <f t="shared" si="3"/>
        <v>I-11120</v>
      </c>
      <c r="I339" s="113"/>
      <c r="J339" s="113"/>
      <c r="K339" s="113"/>
      <c r="L339" s="158"/>
      <c r="M339" s="166" t="s">
        <v>428</v>
      </c>
      <c r="N339" s="113"/>
      <c r="O339" s="113"/>
      <c r="P339" s="113"/>
      <c r="Q339" s="113"/>
      <c r="R339" s="113"/>
      <c r="S339" s="113"/>
      <c r="T339" s="113"/>
      <c r="U339" s="113"/>
      <c r="V339" s="113"/>
      <c r="W339" s="113"/>
      <c r="X339" s="113"/>
      <c r="Y339" s="113"/>
      <c r="Z339" s="113"/>
      <c r="AA339" s="113"/>
      <c r="AB339" s="113"/>
      <c r="AC339" s="113"/>
      <c r="AD339" s="113"/>
      <c r="AE339" s="113"/>
      <c r="AF339" s="113"/>
      <c r="AG339" s="113"/>
      <c r="AH339" s="113"/>
      <c r="AI339" s="113"/>
      <c r="AJ339" s="113"/>
      <c r="AK339" s="113"/>
      <c r="AL339" s="113"/>
      <c r="AM339" s="113"/>
      <c r="AN339" s="113"/>
      <c r="AO339" s="113"/>
      <c r="AP339" s="113"/>
      <c r="AQ339" s="113"/>
      <c r="AR339" s="113"/>
      <c r="AS339" s="113"/>
      <c r="AT339" s="113"/>
      <c r="AU339" s="113"/>
      <c r="AV339" s="113"/>
      <c r="AW339" s="113"/>
      <c r="AX339" s="113"/>
      <c r="AY339" s="113"/>
      <c r="AZ339" s="113"/>
      <c r="BA339" s="113"/>
      <c r="BB339" s="113"/>
      <c r="BC339" s="113"/>
      <c r="BD339" s="113"/>
      <c r="BE339" s="113"/>
      <c r="BF339" s="113"/>
      <c r="BG339" s="113"/>
      <c r="BH339" s="113"/>
      <c r="BI339" s="113"/>
      <c r="BJ339" s="113"/>
      <c r="BK339" s="113"/>
      <c r="BL339" s="113"/>
      <c r="BM339" s="113"/>
      <c r="BN339" s="113"/>
      <c r="BO339" s="113"/>
      <c r="BP339" s="113"/>
      <c r="BQ339" s="113"/>
      <c r="BR339" s="113"/>
      <c r="BS339" s="113"/>
      <c r="BT339" s="113"/>
      <c r="BU339" s="113"/>
      <c r="BV339" s="113"/>
      <c r="BW339" s="113"/>
      <c r="BX339" s="113"/>
      <c r="BY339" s="113"/>
      <c r="BZ339" s="113"/>
      <c r="CA339" s="113"/>
      <c r="CB339" s="113"/>
      <c r="CC339" s="113"/>
      <c r="CD339" s="113"/>
      <c r="CE339" s="113"/>
      <c r="CF339" s="113"/>
      <c r="CG339" s="113"/>
      <c r="CH339" s="113"/>
      <c r="CI339" s="113"/>
      <c r="CJ339" s="113"/>
      <c r="CK339" s="113"/>
      <c r="CL339" s="113"/>
      <c r="CM339" s="113"/>
      <c r="CN339" s="113"/>
      <c r="CO339" s="113"/>
      <c r="CP339" s="113"/>
      <c r="CQ339" s="113"/>
      <c r="CR339" s="113"/>
      <c r="CS339" s="113"/>
      <c r="CT339" s="113"/>
      <c r="CU339" s="113"/>
    </row>
    <row r="340">
      <c r="A340" s="159" t="str">
        <f>IFERROR(__xludf.DUMMYFUNCTION("""COMPUTED_VALUE"""),"I-1")</f>
        <v>I-1</v>
      </c>
      <c r="B340" s="113" t="str">
        <f>IFERROR(__xludf.DUMMYFUNCTION("""COMPUTED_VALUE"""),"Dianne")</f>
        <v>Dianne</v>
      </c>
      <c r="C340" s="113" t="str">
        <f>IFERROR(__xludf.DUMMYFUNCTION("""COMPUTED_VALUE"""),"Ciro")</f>
        <v>Ciro</v>
      </c>
      <c r="D340" s="158">
        <f>IFERROR(__xludf.DUMMYFUNCTION("""COMPUTED_VALUE"""),1123.0)</f>
        <v>1123</v>
      </c>
      <c r="E340" s="161">
        <f t="shared" si="1"/>
        <v>7</v>
      </c>
      <c r="F340" s="160">
        <f>COUNTIFS('Scores Import DO NOT EDIT'!C:C, D340,'Scores Import DO NOT EDIT'!M:M,A340)</f>
        <v>6</v>
      </c>
      <c r="G340" s="162">
        <f t="shared" si="2"/>
        <v>0.8571428571</v>
      </c>
      <c r="H340" s="163" t="str">
        <f t="shared" si="3"/>
        <v>I-11123</v>
      </c>
      <c r="I340" s="113"/>
      <c r="J340" s="113"/>
      <c r="K340" s="113"/>
      <c r="L340" s="158"/>
      <c r="M340" s="166" t="s">
        <v>426</v>
      </c>
      <c r="N340" s="113"/>
      <c r="O340" s="113"/>
      <c r="P340" s="113"/>
      <c r="Q340" s="113"/>
      <c r="R340" s="113"/>
      <c r="S340" s="113"/>
      <c r="T340" s="113"/>
      <c r="U340" s="113"/>
      <c r="V340" s="113"/>
      <c r="W340" s="113"/>
      <c r="X340" s="113"/>
      <c r="Y340" s="113"/>
      <c r="Z340" s="113"/>
      <c r="AA340" s="113"/>
      <c r="AB340" s="113"/>
      <c r="AC340" s="113"/>
      <c r="AD340" s="113"/>
      <c r="AE340" s="113"/>
      <c r="AF340" s="113"/>
      <c r="AG340" s="113"/>
      <c r="AH340" s="113"/>
      <c r="AI340" s="113"/>
      <c r="AJ340" s="113"/>
      <c r="AK340" s="113"/>
      <c r="AL340" s="113"/>
      <c r="AM340" s="113"/>
      <c r="AN340" s="113"/>
      <c r="AO340" s="113"/>
      <c r="AP340" s="113"/>
      <c r="AQ340" s="113"/>
      <c r="AR340" s="113"/>
      <c r="AS340" s="113"/>
      <c r="AT340" s="113"/>
      <c r="AU340" s="113"/>
      <c r="AV340" s="113"/>
      <c r="AW340" s="113"/>
      <c r="AX340" s="113"/>
      <c r="AY340" s="113"/>
      <c r="AZ340" s="113"/>
      <c r="BA340" s="113"/>
      <c r="BB340" s="113"/>
      <c r="BC340" s="113"/>
      <c r="BD340" s="113"/>
      <c r="BE340" s="113"/>
      <c r="BF340" s="113"/>
      <c r="BG340" s="113"/>
      <c r="BH340" s="113"/>
      <c r="BI340" s="113"/>
      <c r="BJ340" s="113"/>
      <c r="BK340" s="113"/>
      <c r="BL340" s="113"/>
      <c r="BM340" s="113"/>
      <c r="BN340" s="113"/>
      <c r="BO340" s="113"/>
      <c r="BP340" s="113"/>
      <c r="BQ340" s="113"/>
      <c r="BR340" s="113"/>
      <c r="BS340" s="113"/>
      <c r="BT340" s="113"/>
      <c r="BU340" s="113"/>
      <c r="BV340" s="113"/>
      <c r="BW340" s="113"/>
      <c r="BX340" s="113"/>
      <c r="BY340" s="113"/>
      <c r="BZ340" s="113"/>
      <c r="CA340" s="113"/>
      <c r="CB340" s="113"/>
      <c r="CC340" s="113"/>
      <c r="CD340" s="113"/>
      <c r="CE340" s="113"/>
      <c r="CF340" s="113"/>
      <c r="CG340" s="113"/>
      <c r="CH340" s="113"/>
      <c r="CI340" s="113"/>
      <c r="CJ340" s="113"/>
      <c r="CK340" s="113"/>
      <c r="CL340" s="113"/>
      <c r="CM340" s="113"/>
      <c r="CN340" s="113"/>
      <c r="CO340" s="113"/>
      <c r="CP340" s="113"/>
      <c r="CQ340" s="113"/>
      <c r="CR340" s="113"/>
      <c r="CS340" s="113"/>
      <c r="CT340" s="113"/>
      <c r="CU340" s="113"/>
    </row>
    <row r="341">
      <c r="A341" s="159" t="str">
        <f>IFERROR(__xludf.DUMMYFUNCTION("""COMPUTED_VALUE"""),"I-1")</f>
        <v>I-1</v>
      </c>
      <c r="B341" s="113" t="str">
        <f>IFERROR(__xludf.DUMMYFUNCTION("""COMPUTED_VALUE"""),"Erik")</f>
        <v>Erik</v>
      </c>
      <c r="C341" s="113" t="str">
        <f>IFERROR(__xludf.DUMMYFUNCTION("""COMPUTED_VALUE"""),"Valenzuela")</f>
        <v>Valenzuela</v>
      </c>
      <c r="D341" s="158">
        <f>IFERROR(__xludf.DUMMYFUNCTION("""COMPUTED_VALUE"""),1128.0)</f>
        <v>1128</v>
      </c>
      <c r="E341" s="161">
        <f t="shared" si="1"/>
        <v>7</v>
      </c>
      <c r="F341" s="160">
        <f>COUNTIFS('Scores Import DO NOT EDIT'!C:C, D341,'Scores Import DO NOT EDIT'!M:M,A341)</f>
        <v>7</v>
      </c>
      <c r="G341" s="162">
        <f t="shared" si="2"/>
        <v>1</v>
      </c>
      <c r="H341" s="163" t="str">
        <f t="shared" si="3"/>
        <v>I-11128</v>
      </c>
      <c r="I341" s="113"/>
      <c r="J341" s="113"/>
      <c r="K341" s="113"/>
      <c r="L341" s="158"/>
      <c r="M341" s="166" t="s">
        <v>422</v>
      </c>
      <c r="N341" s="113"/>
      <c r="O341" s="113"/>
      <c r="P341" s="113"/>
      <c r="Q341" s="113"/>
      <c r="R341" s="113"/>
      <c r="S341" s="113"/>
      <c r="T341" s="113"/>
      <c r="U341" s="113"/>
      <c r="V341" s="113"/>
      <c r="W341" s="113"/>
      <c r="X341" s="113"/>
      <c r="Y341" s="113"/>
      <c r="Z341" s="113"/>
      <c r="AA341" s="113"/>
      <c r="AB341" s="113"/>
      <c r="AC341" s="113"/>
      <c r="AD341" s="113"/>
      <c r="AE341" s="113"/>
      <c r="AF341" s="113"/>
      <c r="AG341" s="113"/>
      <c r="AH341" s="113"/>
      <c r="AI341" s="113"/>
      <c r="AJ341" s="113"/>
      <c r="AK341" s="113"/>
      <c r="AL341" s="113"/>
      <c r="AM341" s="113"/>
      <c r="AN341" s="113"/>
      <c r="AO341" s="113"/>
      <c r="AP341" s="113"/>
      <c r="AQ341" s="113"/>
      <c r="AR341" s="113"/>
      <c r="AS341" s="113"/>
      <c r="AT341" s="113"/>
      <c r="AU341" s="113"/>
      <c r="AV341" s="113"/>
      <c r="AW341" s="113"/>
      <c r="AX341" s="113"/>
      <c r="AY341" s="113"/>
      <c r="AZ341" s="113"/>
      <c r="BA341" s="113"/>
      <c r="BB341" s="113"/>
      <c r="BC341" s="113"/>
      <c r="BD341" s="113"/>
      <c r="BE341" s="113"/>
      <c r="BF341" s="113"/>
      <c r="BG341" s="113"/>
      <c r="BH341" s="113"/>
      <c r="BI341" s="113"/>
      <c r="BJ341" s="113"/>
      <c r="BK341" s="113"/>
      <c r="BL341" s="113"/>
      <c r="BM341" s="113"/>
      <c r="BN341" s="113"/>
      <c r="BO341" s="113"/>
      <c r="BP341" s="113"/>
      <c r="BQ341" s="113"/>
      <c r="BR341" s="113"/>
      <c r="BS341" s="113"/>
      <c r="BT341" s="113"/>
      <c r="BU341" s="113"/>
      <c r="BV341" s="113"/>
      <c r="BW341" s="113"/>
      <c r="BX341" s="113"/>
      <c r="BY341" s="113"/>
      <c r="BZ341" s="113"/>
      <c r="CA341" s="113"/>
      <c r="CB341" s="113"/>
      <c r="CC341" s="113"/>
      <c r="CD341" s="113"/>
      <c r="CE341" s="113"/>
      <c r="CF341" s="113"/>
      <c r="CG341" s="113"/>
      <c r="CH341" s="113"/>
      <c r="CI341" s="113"/>
      <c r="CJ341" s="113"/>
      <c r="CK341" s="113"/>
      <c r="CL341" s="113"/>
      <c r="CM341" s="113"/>
      <c r="CN341" s="113"/>
      <c r="CO341" s="113"/>
      <c r="CP341" s="113"/>
      <c r="CQ341" s="113"/>
      <c r="CR341" s="113"/>
      <c r="CS341" s="113"/>
      <c r="CT341" s="113"/>
      <c r="CU341" s="113"/>
    </row>
    <row r="342">
      <c r="A342" s="159" t="str">
        <f>IFERROR(__xludf.DUMMYFUNCTION("""COMPUTED_VALUE"""),"I-10")</f>
        <v>I-10</v>
      </c>
      <c r="B342" s="113" t="str">
        <f>IFERROR(__xludf.DUMMYFUNCTION("""COMPUTED_VALUE"""),"Emma")</f>
        <v>Emma</v>
      </c>
      <c r="C342" s="113" t="str">
        <f>IFERROR(__xludf.DUMMYFUNCTION("""COMPUTED_VALUE"""),"Clarke")</f>
        <v>Clarke</v>
      </c>
      <c r="D342" s="158">
        <f>IFERROR(__xludf.DUMMYFUNCTION("""COMPUTED_VALUE"""),1232.0)</f>
        <v>1232</v>
      </c>
      <c r="E342" s="161">
        <f t="shared" si="1"/>
        <v>5</v>
      </c>
      <c r="F342" s="160">
        <f>COUNTIFS('Scores Import DO NOT EDIT'!C:C, D342,'Scores Import DO NOT EDIT'!M:M,A342)</f>
        <v>4</v>
      </c>
      <c r="G342" s="162">
        <f t="shared" si="2"/>
        <v>0.8</v>
      </c>
      <c r="H342" s="163" t="str">
        <f t="shared" si="3"/>
        <v>I-101232</v>
      </c>
      <c r="I342" s="113"/>
      <c r="J342" s="113"/>
      <c r="K342" s="113"/>
      <c r="L342" s="158"/>
      <c r="M342" s="166" t="s">
        <v>423</v>
      </c>
      <c r="N342" s="113"/>
      <c r="O342" s="113"/>
      <c r="P342" s="113"/>
      <c r="Q342" s="113"/>
      <c r="R342" s="113"/>
      <c r="S342" s="113"/>
      <c r="T342" s="113"/>
      <c r="U342" s="113"/>
      <c r="V342" s="113"/>
      <c r="W342" s="113"/>
      <c r="X342" s="113"/>
      <c r="Y342" s="113"/>
      <c r="Z342" s="113"/>
      <c r="AA342" s="113"/>
      <c r="AB342" s="113"/>
      <c r="AC342" s="113"/>
      <c r="AD342" s="113"/>
      <c r="AE342" s="113"/>
      <c r="AF342" s="113"/>
      <c r="AG342" s="113"/>
      <c r="AH342" s="113"/>
      <c r="AI342" s="113"/>
      <c r="AJ342" s="113"/>
      <c r="AK342" s="113"/>
      <c r="AL342" s="113"/>
      <c r="AM342" s="113"/>
      <c r="AN342" s="113"/>
      <c r="AO342" s="113"/>
      <c r="AP342" s="113"/>
      <c r="AQ342" s="113"/>
      <c r="AR342" s="113"/>
      <c r="AS342" s="113"/>
      <c r="AT342" s="113"/>
      <c r="AU342" s="113"/>
      <c r="AV342" s="113"/>
      <c r="AW342" s="113"/>
      <c r="AX342" s="113"/>
      <c r="AY342" s="113"/>
      <c r="AZ342" s="113"/>
      <c r="BA342" s="113"/>
      <c r="BB342" s="113"/>
      <c r="BC342" s="113"/>
      <c r="BD342" s="113"/>
      <c r="BE342" s="113"/>
      <c r="BF342" s="113"/>
      <c r="BG342" s="113"/>
      <c r="BH342" s="113"/>
      <c r="BI342" s="113"/>
      <c r="BJ342" s="113"/>
      <c r="BK342" s="113"/>
      <c r="BL342" s="113"/>
      <c r="BM342" s="113"/>
      <c r="BN342" s="113"/>
      <c r="BO342" s="113"/>
      <c r="BP342" s="113"/>
      <c r="BQ342" s="113"/>
      <c r="BR342" s="113"/>
      <c r="BS342" s="113"/>
      <c r="BT342" s="113"/>
      <c r="BU342" s="113"/>
      <c r="BV342" s="113"/>
      <c r="BW342" s="113"/>
      <c r="BX342" s="113"/>
      <c r="BY342" s="113"/>
      <c r="BZ342" s="113"/>
      <c r="CA342" s="113"/>
      <c r="CB342" s="113"/>
      <c r="CC342" s="113"/>
      <c r="CD342" s="113"/>
      <c r="CE342" s="113"/>
      <c r="CF342" s="113"/>
      <c r="CG342" s="113"/>
      <c r="CH342" s="113"/>
      <c r="CI342" s="113"/>
      <c r="CJ342" s="113"/>
      <c r="CK342" s="113"/>
      <c r="CL342" s="113"/>
      <c r="CM342" s="113"/>
      <c r="CN342" s="113"/>
      <c r="CO342" s="113"/>
      <c r="CP342" s="113"/>
      <c r="CQ342" s="113"/>
      <c r="CR342" s="113"/>
      <c r="CS342" s="113"/>
      <c r="CT342" s="113"/>
      <c r="CU342" s="113"/>
    </row>
    <row r="343">
      <c r="A343" s="159" t="str">
        <f>IFERROR(__xludf.DUMMYFUNCTION("""COMPUTED_VALUE"""),"I-10")</f>
        <v>I-10</v>
      </c>
      <c r="B343" s="113" t="str">
        <f>IFERROR(__xludf.DUMMYFUNCTION("""COMPUTED_VALUE"""),"Brie")</f>
        <v>Brie</v>
      </c>
      <c r="C343" s="113" t="str">
        <f>IFERROR(__xludf.DUMMYFUNCTION("""COMPUTED_VALUE"""),"Iatarola")</f>
        <v>Iatarola</v>
      </c>
      <c r="D343" s="158">
        <f>IFERROR(__xludf.DUMMYFUNCTION("""COMPUTED_VALUE"""),1234.0)</f>
        <v>1234</v>
      </c>
      <c r="E343" s="161">
        <f t="shared" si="1"/>
        <v>5</v>
      </c>
      <c r="F343" s="160">
        <f>COUNTIFS('Scores Import DO NOT EDIT'!C:C, D343,'Scores Import DO NOT EDIT'!M:M,A343)</f>
        <v>3</v>
      </c>
      <c r="G343" s="162">
        <f t="shared" si="2"/>
        <v>0.6</v>
      </c>
      <c r="H343" s="163" t="str">
        <f t="shared" si="3"/>
        <v>I-101234</v>
      </c>
      <c r="I343" s="113"/>
      <c r="J343" s="113"/>
      <c r="K343" s="113"/>
      <c r="L343" s="158"/>
      <c r="M343" s="166" t="s">
        <v>431</v>
      </c>
      <c r="N343" s="113"/>
      <c r="O343" s="113"/>
      <c r="P343" s="113"/>
      <c r="Q343" s="113"/>
      <c r="R343" s="113"/>
      <c r="S343" s="113"/>
      <c r="T343" s="113"/>
      <c r="U343" s="113"/>
      <c r="V343" s="113"/>
      <c r="W343" s="113"/>
      <c r="X343" s="113"/>
      <c r="Y343" s="113"/>
      <c r="Z343" s="113"/>
      <c r="AA343" s="113"/>
      <c r="AB343" s="113"/>
      <c r="AC343" s="113"/>
      <c r="AD343" s="113"/>
      <c r="AE343" s="113"/>
      <c r="AF343" s="113"/>
      <c r="AG343" s="113"/>
      <c r="AH343" s="113"/>
      <c r="AI343" s="113"/>
      <c r="AJ343" s="113"/>
      <c r="AK343" s="113"/>
      <c r="AL343" s="113"/>
      <c r="AM343" s="113"/>
      <c r="AN343" s="113"/>
      <c r="AO343" s="113"/>
      <c r="AP343" s="113"/>
      <c r="AQ343" s="113"/>
      <c r="AR343" s="113"/>
      <c r="AS343" s="113"/>
      <c r="AT343" s="113"/>
      <c r="AU343" s="113"/>
      <c r="AV343" s="113"/>
      <c r="AW343" s="113"/>
      <c r="AX343" s="113"/>
      <c r="AY343" s="113"/>
      <c r="AZ343" s="113"/>
      <c r="BA343" s="113"/>
      <c r="BB343" s="113"/>
      <c r="BC343" s="113"/>
      <c r="BD343" s="113"/>
      <c r="BE343" s="113"/>
      <c r="BF343" s="113"/>
      <c r="BG343" s="113"/>
      <c r="BH343" s="113"/>
      <c r="BI343" s="113"/>
      <c r="BJ343" s="113"/>
      <c r="BK343" s="113"/>
      <c r="BL343" s="113"/>
      <c r="BM343" s="113"/>
      <c r="BN343" s="113"/>
      <c r="BO343" s="113"/>
      <c r="BP343" s="113"/>
      <c r="BQ343" s="113"/>
      <c r="BR343" s="113"/>
      <c r="BS343" s="113"/>
      <c r="BT343" s="113"/>
      <c r="BU343" s="113"/>
      <c r="BV343" s="113"/>
      <c r="BW343" s="113"/>
      <c r="BX343" s="113"/>
      <c r="BY343" s="113"/>
      <c r="BZ343" s="113"/>
      <c r="CA343" s="113"/>
      <c r="CB343" s="113"/>
      <c r="CC343" s="113"/>
      <c r="CD343" s="113"/>
      <c r="CE343" s="113"/>
      <c r="CF343" s="113"/>
      <c r="CG343" s="113"/>
      <c r="CH343" s="113"/>
      <c r="CI343" s="113"/>
      <c r="CJ343" s="113"/>
      <c r="CK343" s="113"/>
      <c r="CL343" s="113"/>
      <c r="CM343" s="113"/>
      <c r="CN343" s="113"/>
      <c r="CO343" s="113"/>
      <c r="CP343" s="113"/>
      <c r="CQ343" s="113"/>
      <c r="CR343" s="113"/>
      <c r="CS343" s="113"/>
      <c r="CT343" s="113"/>
      <c r="CU343" s="113"/>
    </row>
    <row r="344">
      <c r="A344" s="159" t="str">
        <f>IFERROR(__xludf.DUMMYFUNCTION("""COMPUTED_VALUE"""),"I-10")</f>
        <v>I-10</v>
      </c>
      <c r="B344" s="113" t="str">
        <f>IFERROR(__xludf.DUMMYFUNCTION("""COMPUTED_VALUE"""),"Alexsander")</f>
        <v>Alexsander</v>
      </c>
      <c r="C344" s="113" t="str">
        <f>IFERROR(__xludf.DUMMYFUNCTION("""COMPUTED_VALUE"""),"Gebara")</f>
        <v>Gebara</v>
      </c>
      <c r="D344" s="158">
        <f>IFERROR(__xludf.DUMMYFUNCTION("""COMPUTED_VALUE"""),1194.0)</f>
        <v>1194</v>
      </c>
      <c r="E344" s="161">
        <f t="shared" si="1"/>
        <v>5</v>
      </c>
      <c r="F344" s="160">
        <f>COUNTIFS('Scores Import DO NOT EDIT'!C:C, D344,'Scores Import DO NOT EDIT'!M:M,A344)</f>
        <v>4</v>
      </c>
      <c r="G344" s="162">
        <f t="shared" si="2"/>
        <v>0.8</v>
      </c>
      <c r="H344" s="163" t="str">
        <f t="shared" si="3"/>
        <v>I-101194</v>
      </c>
      <c r="I344" s="113"/>
      <c r="J344" s="113"/>
      <c r="K344" s="113"/>
      <c r="L344" s="158"/>
      <c r="M344" s="166" t="s">
        <v>435</v>
      </c>
      <c r="N344" s="113"/>
      <c r="O344" s="113"/>
      <c r="P344" s="113"/>
      <c r="Q344" s="113"/>
      <c r="R344" s="113"/>
      <c r="S344" s="113"/>
      <c r="T344" s="113"/>
      <c r="U344" s="113"/>
      <c r="V344" s="113"/>
      <c r="W344" s="113"/>
      <c r="X344" s="113"/>
      <c r="Y344" s="113"/>
      <c r="Z344" s="113"/>
      <c r="AA344" s="113"/>
      <c r="AB344" s="113"/>
      <c r="AC344" s="113"/>
      <c r="AD344" s="113"/>
      <c r="AE344" s="113"/>
      <c r="AF344" s="113"/>
      <c r="AG344" s="113"/>
      <c r="AH344" s="113"/>
      <c r="AI344" s="113"/>
      <c r="AJ344" s="113"/>
      <c r="AK344" s="113"/>
      <c r="AL344" s="113"/>
      <c r="AM344" s="113"/>
      <c r="AN344" s="113"/>
      <c r="AO344" s="113"/>
      <c r="AP344" s="113"/>
      <c r="AQ344" s="113"/>
      <c r="AR344" s="113"/>
      <c r="AS344" s="113"/>
      <c r="AT344" s="113"/>
      <c r="AU344" s="113"/>
      <c r="AV344" s="113"/>
      <c r="AW344" s="113"/>
      <c r="AX344" s="113"/>
      <c r="AY344" s="113"/>
      <c r="AZ344" s="113"/>
      <c r="BA344" s="113"/>
      <c r="BB344" s="113"/>
      <c r="BC344" s="113"/>
      <c r="BD344" s="113"/>
      <c r="BE344" s="113"/>
      <c r="BF344" s="113"/>
      <c r="BG344" s="113"/>
      <c r="BH344" s="113"/>
      <c r="BI344" s="113"/>
      <c r="BJ344" s="113"/>
      <c r="BK344" s="113"/>
      <c r="BL344" s="113"/>
      <c r="BM344" s="113"/>
      <c r="BN344" s="113"/>
      <c r="BO344" s="113"/>
      <c r="BP344" s="113"/>
      <c r="BQ344" s="113"/>
      <c r="BR344" s="113"/>
      <c r="BS344" s="113"/>
      <c r="BT344" s="113"/>
      <c r="BU344" s="113"/>
      <c r="BV344" s="113"/>
      <c r="BW344" s="113"/>
      <c r="BX344" s="113"/>
      <c r="BY344" s="113"/>
      <c r="BZ344" s="113"/>
      <c r="CA344" s="113"/>
      <c r="CB344" s="113"/>
      <c r="CC344" s="113"/>
      <c r="CD344" s="113"/>
      <c r="CE344" s="113"/>
      <c r="CF344" s="113"/>
      <c r="CG344" s="113"/>
      <c r="CH344" s="113"/>
      <c r="CI344" s="113"/>
      <c r="CJ344" s="113"/>
      <c r="CK344" s="113"/>
      <c r="CL344" s="113"/>
      <c r="CM344" s="113"/>
      <c r="CN344" s="113"/>
      <c r="CO344" s="113"/>
      <c r="CP344" s="113"/>
      <c r="CQ344" s="113"/>
      <c r="CR344" s="113"/>
      <c r="CS344" s="113"/>
      <c r="CT344" s="113"/>
      <c r="CU344" s="113"/>
    </row>
    <row r="345">
      <c r="A345" s="159" t="str">
        <f>IFERROR(__xludf.DUMMYFUNCTION("""COMPUTED_VALUE"""),"I-10")</f>
        <v>I-10</v>
      </c>
      <c r="B345" s="113" t="str">
        <f>IFERROR(__xludf.DUMMYFUNCTION("""COMPUTED_VALUE"""),"Hannah")</f>
        <v>Hannah</v>
      </c>
      <c r="C345" s="113" t="str">
        <f>IFERROR(__xludf.DUMMYFUNCTION("""COMPUTED_VALUE"""),"Friesen")</f>
        <v>Friesen</v>
      </c>
      <c r="D345" s="158">
        <f>IFERROR(__xludf.DUMMYFUNCTION("""COMPUTED_VALUE"""),1101.0)</f>
        <v>1101</v>
      </c>
      <c r="E345" s="161">
        <f t="shared" si="1"/>
        <v>5</v>
      </c>
      <c r="F345" s="160">
        <f>COUNTIFS('Scores Import DO NOT EDIT'!C:C, D345,'Scores Import DO NOT EDIT'!M:M,A345)</f>
        <v>4</v>
      </c>
      <c r="G345" s="162">
        <f t="shared" si="2"/>
        <v>0.8</v>
      </c>
      <c r="H345" s="163" t="str">
        <f t="shared" si="3"/>
        <v>I-101101</v>
      </c>
      <c r="I345" s="113"/>
      <c r="J345" s="113"/>
      <c r="K345" s="113"/>
      <c r="L345" s="158"/>
      <c r="M345" s="166" t="s">
        <v>433</v>
      </c>
      <c r="N345" s="113"/>
      <c r="O345" s="113"/>
      <c r="P345" s="113"/>
      <c r="Q345" s="113"/>
      <c r="R345" s="113"/>
      <c r="S345" s="113"/>
      <c r="T345" s="113"/>
      <c r="U345" s="113"/>
      <c r="V345" s="113"/>
      <c r="W345" s="113"/>
      <c r="X345" s="113"/>
      <c r="Y345" s="113"/>
      <c r="Z345" s="113"/>
      <c r="AA345" s="113"/>
      <c r="AB345" s="113"/>
      <c r="AC345" s="113"/>
      <c r="AD345" s="113"/>
      <c r="AE345" s="113"/>
      <c r="AF345" s="113"/>
      <c r="AG345" s="113"/>
      <c r="AH345" s="113"/>
      <c r="AI345" s="113"/>
      <c r="AJ345" s="113"/>
      <c r="AK345" s="113"/>
      <c r="AL345" s="113"/>
      <c r="AM345" s="113"/>
      <c r="AN345" s="113"/>
      <c r="AO345" s="113"/>
      <c r="AP345" s="113"/>
      <c r="AQ345" s="113"/>
      <c r="AR345" s="113"/>
      <c r="AS345" s="113"/>
      <c r="AT345" s="113"/>
      <c r="AU345" s="113"/>
      <c r="AV345" s="113"/>
      <c r="AW345" s="113"/>
      <c r="AX345" s="113"/>
      <c r="AY345" s="113"/>
      <c r="AZ345" s="113"/>
      <c r="BA345" s="113"/>
      <c r="BB345" s="113"/>
      <c r="BC345" s="113"/>
      <c r="BD345" s="113"/>
      <c r="BE345" s="113"/>
      <c r="BF345" s="113"/>
      <c r="BG345" s="113"/>
      <c r="BH345" s="113"/>
      <c r="BI345" s="113"/>
      <c r="BJ345" s="113"/>
      <c r="BK345" s="113"/>
      <c r="BL345" s="113"/>
      <c r="BM345" s="113"/>
      <c r="BN345" s="113"/>
      <c r="BO345" s="113"/>
      <c r="BP345" s="113"/>
      <c r="BQ345" s="113"/>
      <c r="BR345" s="113"/>
      <c r="BS345" s="113"/>
      <c r="BT345" s="113"/>
      <c r="BU345" s="113"/>
      <c r="BV345" s="113"/>
      <c r="BW345" s="113"/>
      <c r="BX345" s="113"/>
      <c r="BY345" s="113"/>
      <c r="BZ345" s="113"/>
      <c r="CA345" s="113"/>
      <c r="CB345" s="113"/>
      <c r="CC345" s="113"/>
      <c r="CD345" s="113"/>
      <c r="CE345" s="113"/>
      <c r="CF345" s="113"/>
      <c r="CG345" s="113"/>
      <c r="CH345" s="113"/>
      <c r="CI345" s="113"/>
      <c r="CJ345" s="113"/>
      <c r="CK345" s="113"/>
      <c r="CL345" s="113"/>
      <c r="CM345" s="113"/>
      <c r="CN345" s="113"/>
      <c r="CO345" s="113"/>
      <c r="CP345" s="113"/>
      <c r="CQ345" s="113"/>
      <c r="CR345" s="113"/>
      <c r="CS345" s="113"/>
      <c r="CT345" s="113"/>
      <c r="CU345" s="113"/>
    </row>
    <row r="346">
      <c r="A346" s="159" t="str">
        <f>IFERROR(__xludf.DUMMYFUNCTION("""COMPUTED_VALUE"""),"I-10")</f>
        <v>I-10</v>
      </c>
      <c r="B346" s="113" t="str">
        <f>IFERROR(__xludf.DUMMYFUNCTION("""COMPUTED_VALUE"""),"Karalyne Porter")</f>
        <v>Karalyne Porter</v>
      </c>
      <c r="C346" s="113" t="str">
        <f>IFERROR(__xludf.DUMMYFUNCTION("""COMPUTED_VALUE"""),"Ah-hing")</f>
        <v>Ah-hing</v>
      </c>
      <c r="D346" s="158">
        <f>IFERROR(__xludf.DUMMYFUNCTION("""COMPUTED_VALUE"""),1202.0)</f>
        <v>1202</v>
      </c>
      <c r="E346" s="161">
        <f t="shared" si="1"/>
        <v>5</v>
      </c>
      <c r="F346" s="160">
        <f>COUNTIFS('Scores Import DO NOT EDIT'!C:C, D346,'Scores Import DO NOT EDIT'!M:M,A346)</f>
        <v>0</v>
      </c>
      <c r="G346" s="162">
        <f t="shared" si="2"/>
        <v>0</v>
      </c>
      <c r="H346" s="163" t="str">
        <f t="shared" si="3"/>
        <v>I-101202</v>
      </c>
      <c r="I346" s="113"/>
      <c r="J346" s="113"/>
      <c r="K346" s="113"/>
      <c r="L346" s="158"/>
      <c r="M346" s="166" t="s">
        <v>432</v>
      </c>
      <c r="N346" s="113"/>
      <c r="O346" s="113"/>
      <c r="P346" s="113"/>
      <c r="Q346" s="113"/>
      <c r="R346" s="113"/>
      <c r="S346" s="113"/>
      <c r="T346" s="113"/>
      <c r="U346" s="113"/>
      <c r="V346" s="113"/>
      <c r="W346" s="113"/>
      <c r="X346" s="113"/>
      <c r="Y346" s="113"/>
      <c r="Z346" s="113"/>
      <c r="AA346" s="113"/>
      <c r="AB346" s="113"/>
      <c r="AC346" s="113"/>
      <c r="AD346" s="113"/>
      <c r="AE346" s="113"/>
      <c r="AF346" s="113"/>
      <c r="AG346" s="113"/>
      <c r="AH346" s="113"/>
      <c r="AI346" s="113"/>
      <c r="AJ346" s="113"/>
      <c r="AK346" s="113"/>
      <c r="AL346" s="113"/>
      <c r="AM346" s="113"/>
      <c r="AN346" s="113"/>
      <c r="AO346" s="113"/>
      <c r="AP346" s="113"/>
      <c r="AQ346" s="113"/>
      <c r="AR346" s="113"/>
      <c r="AS346" s="113"/>
      <c r="AT346" s="113"/>
      <c r="AU346" s="113"/>
      <c r="AV346" s="113"/>
      <c r="AW346" s="113"/>
      <c r="AX346" s="113"/>
      <c r="AY346" s="113"/>
      <c r="AZ346" s="113"/>
      <c r="BA346" s="113"/>
      <c r="BB346" s="113"/>
      <c r="BC346" s="113"/>
      <c r="BD346" s="113"/>
      <c r="BE346" s="113"/>
      <c r="BF346" s="113"/>
      <c r="BG346" s="113"/>
      <c r="BH346" s="113"/>
      <c r="BI346" s="113"/>
      <c r="BJ346" s="113"/>
      <c r="BK346" s="113"/>
      <c r="BL346" s="113"/>
      <c r="BM346" s="113"/>
      <c r="BN346" s="113"/>
      <c r="BO346" s="113"/>
      <c r="BP346" s="113"/>
      <c r="BQ346" s="113"/>
      <c r="BR346" s="113"/>
      <c r="BS346" s="113"/>
      <c r="BT346" s="113"/>
      <c r="BU346" s="113"/>
      <c r="BV346" s="113"/>
      <c r="BW346" s="113"/>
      <c r="BX346" s="113"/>
      <c r="BY346" s="113"/>
      <c r="BZ346" s="113"/>
      <c r="CA346" s="113"/>
      <c r="CB346" s="113"/>
      <c r="CC346" s="113"/>
      <c r="CD346" s="113"/>
      <c r="CE346" s="113"/>
      <c r="CF346" s="113"/>
      <c r="CG346" s="113"/>
      <c r="CH346" s="113"/>
      <c r="CI346" s="113"/>
      <c r="CJ346" s="113"/>
      <c r="CK346" s="113"/>
      <c r="CL346" s="113"/>
      <c r="CM346" s="113"/>
      <c r="CN346" s="113"/>
      <c r="CO346" s="113"/>
      <c r="CP346" s="113"/>
      <c r="CQ346" s="113"/>
      <c r="CR346" s="113"/>
      <c r="CS346" s="113"/>
      <c r="CT346" s="113"/>
      <c r="CU346" s="113"/>
    </row>
    <row r="347">
      <c r="A347" s="159" t="str">
        <f>IFERROR(__xludf.DUMMYFUNCTION("""COMPUTED_VALUE"""),"I-11")</f>
        <v>I-11</v>
      </c>
      <c r="B347" s="113" t="str">
        <f>IFERROR(__xludf.DUMMYFUNCTION("""COMPUTED_VALUE"""),"Mee")</f>
        <v>Mee</v>
      </c>
      <c r="C347" s="113" t="str">
        <f>IFERROR(__xludf.DUMMYFUNCTION("""COMPUTED_VALUE"""),"Young Hong")</f>
        <v>Young Hong</v>
      </c>
      <c r="D347" s="158">
        <f>IFERROR(__xludf.DUMMYFUNCTION("""COMPUTED_VALUE"""),1108.0)</f>
        <v>1108</v>
      </c>
      <c r="E347" s="161">
        <f t="shared" si="1"/>
        <v>3</v>
      </c>
      <c r="F347" s="160">
        <f>COUNTIFS('Scores Import DO NOT EDIT'!C:C, D347,'Scores Import DO NOT EDIT'!M:M,A347)</f>
        <v>2</v>
      </c>
      <c r="G347" s="162">
        <f t="shared" si="2"/>
        <v>0.6666666667</v>
      </c>
      <c r="H347" s="163" t="str">
        <f t="shared" si="3"/>
        <v>I-111108</v>
      </c>
      <c r="I347" s="113"/>
      <c r="J347" s="113"/>
      <c r="K347" s="113"/>
      <c r="L347" s="158"/>
      <c r="M347" s="166" t="s">
        <v>430</v>
      </c>
      <c r="N347" s="113"/>
      <c r="O347" s="113"/>
      <c r="P347" s="113"/>
      <c r="Q347" s="113"/>
      <c r="R347" s="113"/>
      <c r="S347" s="113"/>
      <c r="T347" s="113"/>
      <c r="U347" s="113"/>
      <c r="V347" s="113"/>
      <c r="W347" s="113"/>
      <c r="X347" s="113"/>
      <c r="Y347" s="113"/>
      <c r="Z347" s="113"/>
      <c r="AA347" s="113"/>
      <c r="AB347" s="113"/>
      <c r="AC347" s="113"/>
      <c r="AD347" s="113"/>
      <c r="AE347" s="113"/>
      <c r="AF347" s="113"/>
      <c r="AG347" s="113"/>
      <c r="AH347" s="113"/>
      <c r="AI347" s="113"/>
      <c r="AJ347" s="113"/>
      <c r="AK347" s="113"/>
      <c r="AL347" s="113"/>
      <c r="AM347" s="113"/>
      <c r="AN347" s="113"/>
      <c r="AO347" s="113"/>
      <c r="AP347" s="113"/>
      <c r="AQ347" s="113"/>
      <c r="AR347" s="113"/>
      <c r="AS347" s="113"/>
      <c r="AT347" s="113"/>
      <c r="AU347" s="113"/>
      <c r="AV347" s="113"/>
      <c r="AW347" s="113"/>
      <c r="AX347" s="113"/>
      <c r="AY347" s="113"/>
      <c r="AZ347" s="113"/>
      <c r="BA347" s="113"/>
      <c r="BB347" s="113"/>
      <c r="BC347" s="113"/>
      <c r="BD347" s="113"/>
      <c r="BE347" s="113"/>
      <c r="BF347" s="113"/>
      <c r="BG347" s="113"/>
      <c r="BH347" s="113"/>
      <c r="BI347" s="113"/>
      <c r="BJ347" s="113"/>
      <c r="BK347" s="113"/>
      <c r="BL347" s="113"/>
      <c r="BM347" s="113"/>
      <c r="BN347" s="113"/>
      <c r="BO347" s="113"/>
      <c r="BP347" s="113"/>
      <c r="BQ347" s="113"/>
      <c r="BR347" s="113"/>
      <c r="BS347" s="113"/>
      <c r="BT347" s="113"/>
      <c r="BU347" s="113"/>
      <c r="BV347" s="113"/>
      <c r="BW347" s="113"/>
      <c r="BX347" s="113"/>
      <c r="BY347" s="113"/>
      <c r="BZ347" s="113"/>
      <c r="CA347" s="113"/>
      <c r="CB347" s="113"/>
      <c r="CC347" s="113"/>
      <c r="CD347" s="113"/>
      <c r="CE347" s="113"/>
      <c r="CF347" s="113"/>
      <c r="CG347" s="113"/>
      <c r="CH347" s="113"/>
      <c r="CI347" s="113"/>
      <c r="CJ347" s="113"/>
      <c r="CK347" s="113"/>
      <c r="CL347" s="113"/>
      <c r="CM347" s="113"/>
      <c r="CN347" s="113"/>
      <c r="CO347" s="113"/>
      <c r="CP347" s="113"/>
      <c r="CQ347" s="113"/>
      <c r="CR347" s="113"/>
      <c r="CS347" s="113"/>
      <c r="CT347" s="113"/>
      <c r="CU347" s="113"/>
    </row>
    <row r="348">
      <c r="A348" s="159" t="str">
        <f>IFERROR(__xludf.DUMMYFUNCTION("""COMPUTED_VALUE"""),"I-11")</f>
        <v>I-11</v>
      </c>
      <c r="B348" s="113" t="str">
        <f>IFERROR(__xludf.DUMMYFUNCTION("""COMPUTED_VALUE"""),"Tiantian")</f>
        <v>Tiantian</v>
      </c>
      <c r="C348" s="113" t="str">
        <f>IFERROR(__xludf.DUMMYFUNCTION("""COMPUTED_VALUE"""),"Chen")</f>
        <v>Chen</v>
      </c>
      <c r="D348" s="158">
        <f>IFERROR(__xludf.DUMMYFUNCTION("""COMPUTED_VALUE"""),1224.0)</f>
        <v>1224</v>
      </c>
      <c r="E348" s="161">
        <f t="shared" si="1"/>
        <v>3</v>
      </c>
      <c r="F348" s="160">
        <f>COUNTIFS('Scores Import DO NOT EDIT'!C:C, D348,'Scores Import DO NOT EDIT'!M:M,A348)</f>
        <v>0</v>
      </c>
      <c r="G348" s="162">
        <f t="shared" si="2"/>
        <v>0</v>
      </c>
      <c r="H348" s="163" t="str">
        <f t="shared" si="3"/>
        <v>I-111224</v>
      </c>
      <c r="I348" s="113"/>
      <c r="J348" s="113"/>
      <c r="K348" s="113"/>
      <c r="L348" s="158"/>
      <c r="M348" s="166" t="s">
        <v>437</v>
      </c>
      <c r="N348" s="113"/>
      <c r="O348" s="113"/>
      <c r="P348" s="113"/>
      <c r="Q348" s="113"/>
      <c r="R348" s="113"/>
      <c r="S348" s="113"/>
      <c r="T348" s="113"/>
      <c r="U348" s="113"/>
      <c r="V348" s="113"/>
      <c r="W348" s="113"/>
      <c r="X348" s="113"/>
      <c r="Y348" s="113"/>
      <c r="Z348" s="113"/>
      <c r="AA348" s="113"/>
      <c r="AB348" s="113"/>
      <c r="AC348" s="113"/>
      <c r="AD348" s="113"/>
      <c r="AE348" s="113"/>
      <c r="AF348" s="113"/>
      <c r="AG348" s="113"/>
      <c r="AH348" s="113"/>
      <c r="AI348" s="113"/>
      <c r="AJ348" s="113"/>
      <c r="AK348" s="113"/>
      <c r="AL348" s="113"/>
      <c r="AM348" s="113"/>
      <c r="AN348" s="113"/>
      <c r="AO348" s="113"/>
      <c r="AP348" s="113"/>
      <c r="AQ348" s="113"/>
      <c r="AR348" s="113"/>
      <c r="AS348" s="113"/>
      <c r="AT348" s="113"/>
      <c r="AU348" s="113"/>
      <c r="AV348" s="113"/>
      <c r="AW348" s="113"/>
      <c r="AX348" s="113"/>
      <c r="AY348" s="113"/>
      <c r="AZ348" s="113"/>
      <c r="BA348" s="113"/>
      <c r="BB348" s="113"/>
      <c r="BC348" s="113"/>
      <c r="BD348" s="113"/>
      <c r="BE348" s="113"/>
      <c r="BF348" s="113"/>
      <c r="BG348" s="113"/>
      <c r="BH348" s="113"/>
      <c r="BI348" s="113"/>
      <c r="BJ348" s="113"/>
      <c r="BK348" s="113"/>
      <c r="BL348" s="113"/>
      <c r="BM348" s="113"/>
      <c r="BN348" s="113"/>
      <c r="BO348" s="113"/>
      <c r="BP348" s="113"/>
      <c r="BQ348" s="113"/>
      <c r="BR348" s="113"/>
      <c r="BS348" s="113"/>
      <c r="BT348" s="113"/>
      <c r="BU348" s="113"/>
      <c r="BV348" s="113"/>
      <c r="BW348" s="113"/>
      <c r="BX348" s="113"/>
      <c r="BY348" s="113"/>
      <c r="BZ348" s="113"/>
      <c r="CA348" s="113"/>
      <c r="CB348" s="113"/>
      <c r="CC348" s="113"/>
      <c r="CD348" s="113"/>
      <c r="CE348" s="113"/>
      <c r="CF348" s="113"/>
      <c r="CG348" s="113"/>
      <c r="CH348" s="113"/>
      <c r="CI348" s="113"/>
      <c r="CJ348" s="113"/>
      <c r="CK348" s="113"/>
      <c r="CL348" s="113"/>
      <c r="CM348" s="113"/>
      <c r="CN348" s="113"/>
      <c r="CO348" s="113"/>
      <c r="CP348" s="113"/>
      <c r="CQ348" s="113"/>
      <c r="CR348" s="113"/>
      <c r="CS348" s="113"/>
      <c r="CT348" s="113"/>
      <c r="CU348" s="113"/>
    </row>
    <row r="349">
      <c r="A349" s="159" t="str">
        <f>IFERROR(__xludf.DUMMYFUNCTION("""COMPUTED_VALUE"""),"I-11")</f>
        <v>I-11</v>
      </c>
      <c r="B349" s="113" t="str">
        <f>IFERROR(__xludf.DUMMYFUNCTION("""COMPUTED_VALUE"""),"Natalie")</f>
        <v>Natalie</v>
      </c>
      <c r="C349" s="113" t="str">
        <f>IFERROR(__xludf.DUMMYFUNCTION("""COMPUTED_VALUE"""),"Mladenov")</f>
        <v>Mladenov</v>
      </c>
      <c r="D349" s="158">
        <f>IFERROR(__xludf.DUMMYFUNCTION("""COMPUTED_VALUE"""),1095.0)</f>
        <v>1095</v>
      </c>
      <c r="E349" s="161">
        <f t="shared" si="1"/>
        <v>3</v>
      </c>
      <c r="F349" s="160">
        <f>COUNTIFS('Scores Import DO NOT EDIT'!C:C, D349,'Scores Import DO NOT EDIT'!M:M,A349)</f>
        <v>2</v>
      </c>
      <c r="G349" s="162">
        <f t="shared" si="2"/>
        <v>0.6666666667</v>
      </c>
      <c r="H349" s="163" t="str">
        <f t="shared" si="3"/>
        <v>I-111095</v>
      </c>
      <c r="I349" s="113"/>
      <c r="J349" s="113"/>
      <c r="K349" s="113"/>
      <c r="L349" s="158"/>
      <c r="M349" s="166" t="s">
        <v>436</v>
      </c>
      <c r="N349" s="113"/>
      <c r="O349" s="113"/>
      <c r="P349" s="113"/>
      <c r="Q349" s="113"/>
      <c r="R349" s="113"/>
      <c r="S349" s="113"/>
      <c r="T349" s="113"/>
      <c r="U349" s="113"/>
      <c r="V349" s="113"/>
      <c r="W349" s="113"/>
      <c r="X349" s="113"/>
      <c r="Y349" s="113"/>
      <c r="Z349" s="113"/>
      <c r="AA349" s="113"/>
      <c r="AB349" s="113"/>
      <c r="AC349" s="113"/>
      <c r="AD349" s="113"/>
      <c r="AE349" s="113"/>
      <c r="AF349" s="113"/>
      <c r="AG349" s="113"/>
      <c r="AH349" s="113"/>
      <c r="AI349" s="113"/>
      <c r="AJ349" s="113"/>
      <c r="AK349" s="113"/>
      <c r="AL349" s="113"/>
      <c r="AM349" s="113"/>
      <c r="AN349" s="113"/>
      <c r="AO349" s="113"/>
      <c r="AP349" s="113"/>
      <c r="AQ349" s="113"/>
      <c r="AR349" s="113"/>
      <c r="AS349" s="113"/>
      <c r="AT349" s="113"/>
      <c r="AU349" s="113"/>
      <c r="AV349" s="113"/>
      <c r="AW349" s="113"/>
      <c r="AX349" s="113"/>
      <c r="AY349" s="113"/>
      <c r="AZ349" s="113"/>
      <c r="BA349" s="113"/>
      <c r="BB349" s="113"/>
      <c r="BC349" s="113"/>
      <c r="BD349" s="113"/>
      <c r="BE349" s="113"/>
      <c r="BF349" s="113"/>
      <c r="BG349" s="113"/>
      <c r="BH349" s="113"/>
      <c r="BI349" s="113"/>
      <c r="BJ349" s="113"/>
      <c r="BK349" s="113"/>
      <c r="BL349" s="113"/>
      <c r="BM349" s="113"/>
      <c r="BN349" s="113"/>
      <c r="BO349" s="113"/>
      <c r="BP349" s="113"/>
      <c r="BQ349" s="113"/>
      <c r="BR349" s="113"/>
      <c r="BS349" s="113"/>
      <c r="BT349" s="113"/>
      <c r="BU349" s="113"/>
      <c r="BV349" s="113"/>
      <c r="BW349" s="113"/>
      <c r="BX349" s="113"/>
      <c r="BY349" s="113"/>
      <c r="BZ349" s="113"/>
      <c r="CA349" s="113"/>
      <c r="CB349" s="113"/>
      <c r="CC349" s="113"/>
      <c r="CD349" s="113"/>
      <c r="CE349" s="113"/>
      <c r="CF349" s="113"/>
      <c r="CG349" s="113"/>
      <c r="CH349" s="113"/>
      <c r="CI349" s="113"/>
      <c r="CJ349" s="113"/>
      <c r="CK349" s="113"/>
      <c r="CL349" s="113"/>
      <c r="CM349" s="113"/>
      <c r="CN349" s="113"/>
      <c r="CO349" s="113"/>
      <c r="CP349" s="113"/>
      <c r="CQ349" s="113"/>
      <c r="CR349" s="113"/>
      <c r="CS349" s="113"/>
      <c r="CT349" s="113"/>
      <c r="CU349" s="113"/>
    </row>
    <row r="350">
      <c r="A350" s="159" t="str">
        <f>IFERROR(__xludf.DUMMYFUNCTION("""COMPUTED_VALUE"""),"I-11")</f>
        <v>I-11</v>
      </c>
      <c r="B350" s="113" t="str">
        <f>IFERROR(__xludf.DUMMYFUNCTION("""COMPUTED_VALUE"""),"Maria")</f>
        <v>Maria</v>
      </c>
      <c r="C350" s="113" t="str">
        <f>IFERROR(__xludf.DUMMYFUNCTION("""COMPUTED_VALUE"""),"Amor")</f>
        <v>Amor</v>
      </c>
      <c r="D350" s="158">
        <f>IFERROR(__xludf.DUMMYFUNCTION("""COMPUTED_VALUE"""),1071.0)</f>
        <v>1071</v>
      </c>
      <c r="E350" s="161">
        <f t="shared" si="1"/>
        <v>3</v>
      </c>
      <c r="F350" s="160">
        <f>COUNTIFS('Scores Import DO NOT EDIT'!C:C, D350,'Scores Import DO NOT EDIT'!M:M,A350)</f>
        <v>0</v>
      </c>
      <c r="G350" s="162">
        <f t="shared" si="2"/>
        <v>0</v>
      </c>
      <c r="H350" s="163" t="str">
        <f t="shared" si="3"/>
        <v>I-111071</v>
      </c>
      <c r="I350" s="113"/>
      <c r="J350" s="113"/>
      <c r="K350" s="113"/>
      <c r="L350" s="158"/>
      <c r="M350" s="166" t="s">
        <v>434</v>
      </c>
      <c r="N350" s="113"/>
      <c r="O350" s="113"/>
      <c r="P350" s="113"/>
      <c r="Q350" s="113"/>
      <c r="R350" s="113"/>
      <c r="S350" s="113"/>
      <c r="T350" s="113"/>
      <c r="U350" s="113"/>
      <c r="V350" s="113"/>
      <c r="W350" s="113"/>
      <c r="X350" s="113"/>
      <c r="Y350" s="113"/>
      <c r="Z350" s="113"/>
      <c r="AA350" s="113"/>
      <c r="AB350" s="113"/>
      <c r="AC350" s="113"/>
      <c r="AD350" s="113"/>
      <c r="AE350" s="113"/>
      <c r="AF350" s="113"/>
      <c r="AG350" s="113"/>
      <c r="AH350" s="113"/>
      <c r="AI350" s="113"/>
      <c r="AJ350" s="113"/>
      <c r="AK350" s="113"/>
      <c r="AL350" s="113"/>
      <c r="AM350" s="113"/>
      <c r="AN350" s="113"/>
      <c r="AO350" s="113"/>
      <c r="AP350" s="113"/>
      <c r="AQ350" s="113"/>
      <c r="AR350" s="113"/>
      <c r="AS350" s="113"/>
      <c r="AT350" s="113"/>
      <c r="AU350" s="113"/>
      <c r="AV350" s="113"/>
      <c r="AW350" s="113"/>
      <c r="AX350" s="113"/>
      <c r="AY350" s="113"/>
      <c r="AZ350" s="113"/>
      <c r="BA350" s="113"/>
      <c r="BB350" s="113"/>
      <c r="BC350" s="113"/>
      <c r="BD350" s="113"/>
      <c r="BE350" s="113"/>
      <c r="BF350" s="113"/>
      <c r="BG350" s="113"/>
      <c r="BH350" s="113"/>
      <c r="BI350" s="113"/>
      <c r="BJ350" s="113"/>
      <c r="BK350" s="113"/>
      <c r="BL350" s="113"/>
      <c r="BM350" s="113"/>
      <c r="BN350" s="113"/>
      <c r="BO350" s="113"/>
      <c r="BP350" s="113"/>
      <c r="BQ350" s="113"/>
      <c r="BR350" s="113"/>
      <c r="BS350" s="113"/>
      <c r="BT350" s="113"/>
      <c r="BU350" s="113"/>
      <c r="BV350" s="113"/>
      <c r="BW350" s="113"/>
      <c r="BX350" s="113"/>
      <c r="BY350" s="113"/>
      <c r="BZ350" s="113"/>
      <c r="CA350" s="113"/>
      <c r="CB350" s="113"/>
      <c r="CC350" s="113"/>
      <c r="CD350" s="113"/>
      <c r="CE350" s="113"/>
      <c r="CF350" s="113"/>
      <c r="CG350" s="113"/>
      <c r="CH350" s="113"/>
      <c r="CI350" s="113"/>
      <c r="CJ350" s="113"/>
      <c r="CK350" s="113"/>
      <c r="CL350" s="113"/>
      <c r="CM350" s="113"/>
      <c r="CN350" s="113"/>
      <c r="CO350" s="113"/>
      <c r="CP350" s="113"/>
      <c r="CQ350" s="113"/>
      <c r="CR350" s="113"/>
      <c r="CS350" s="113"/>
      <c r="CT350" s="113"/>
      <c r="CU350" s="113"/>
    </row>
    <row r="351">
      <c r="A351" s="159" t="str">
        <f>IFERROR(__xludf.DUMMYFUNCTION("""COMPUTED_VALUE"""),"I-11")</f>
        <v>I-11</v>
      </c>
      <c r="B351" s="113" t="str">
        <f>IFERROR(__xludf.DUMMYFUNCTION("""COMPUTED_VALUE"""),"Cesar")</f>
        <v>Cesar</v>
      </c>
      <c r="C351" s="113" t="str">
        <f>IFERROR(__xludf.DUMMYFUNCTION("""COMPUTED_VALUE"""),"Arevalo")</f>
        <v>Arevalo</v>
      </c>
      <c r="D351" s="158">
        <f>IFERROR(__xludf.DUMMYFUNCTION("""COMPUTED_VALUE"""),1212.0)</f>
        <v>1212</v>
      </c>
      <c r="E351" s="161">
        <f t="shared" si="1"/>
        <v>3</v>
      </c>
      <c r="F351" s="160">
        <f>COUNTIFS('Scores Import DO NOT EDIT'!C:C, D351,'Scores Import DO NOT EDIT'!M:M,A351)</f>
        <v>0</v>
      </c>
      <c r="G351" s="162">
        <f t="shared" si="2"/>
        <v>0</v>
      </c>
      <c r="H351" s="163" t="str">
        <f t="shared" si="3"/>
        <v>I-111212</v>
      </c>
      <c r="I351" s="113"/>
      <c r="J351" s="113"/>
      <c r="K351" s="113"/>
      <c r="L351" s="158"/>
      <c r="M351" s="166" t="s">
        <v>371</v>
      </c>
      <c r="N351" s="113"/>
      <c r="O351" s="113"/>
      <c r="P351" s="113"/>
      <c r="Q351" s="113"/>
      <c r="R351" s="113"/>
      <c r="S351" s="113"/>
      <c r="T351" s="113"/>
      <c r="U351" s="113"/>
      <c r="V351" s="113"/>
      <c r="W351" s="113"/>
      <c r="X351" s="113"/>
      <c r="Y351" s="113"/>
      <c r="Z351" s="113"/>
      <c r="AA351" s="113"/>
      <c r="AB351" s="113"/>
      <c r="AC351" s="113"/>
      <c r="AD351" s="113"/>
      <c r="AE351" s="113"/>
      <c r="AF351" s="113"/>
      <c r="AG351" s="113"/>
      <c r="AH351" s="113"/>
      <c r="AI351" s="113"/>
      <c r="AJ351" s="113"/>
      <c r="AK351" s="113"/>
      <c r="AL351" s="113"/>
      <c r="AM351" s="113"/>
      <c r="AN351" s="113"/>
      <c r="AO351" s="113"/>
      <c r="AP351" s="113"/>
      <c r="AQ351" s="113"/>
      <c r="AR351" s="113"/>
      <c r="AS351" s="113"/>
      <c r="AT351" s="113"/>
      <c r="AU351" s="113"/>
      <c r="AV351" s="113"/>
      <c r="AW351" s="113"/>
      <c r="AX351" s="113"/>
      <c r="AY351" s="113"/>
      <c r="AZ351" s="113"/>
      <c r="BA351" s="113"/>
      <c r="BB351" s="113"/>
      <c r="BC351" s="113"/>
      <c r="BD351" s="113"/>
      <c r="BE351" s="113"/>
      <c r="BF351" s="113"/>
      <c r="BG351" s="113"/>
      <c r="BH351" s="113"/>
      <c r="BI351" s="113"/>
      <c r="BJ351" s="113"/>
      <c r="BK351" s="113"/>
      <c r="BL351" s="113"/>
      <c r="BM351" s="113"/>
      <c r="BN351" s="113"/>
      <c r="BO351" s="113"/>
      <c r="BP351" s="113"/>
      <c r="BQ351" s="113"/>
      <c r="BR351" s="113"/>
      <c r="BS351" s="113"/>
      <c r="BT351" s="113"/>
      <c r="BU351" s="113"/>
      <c r="BV351" s="113"/>
      <c r="BW351" s="113"/>
      <c r="BX351" s="113"/>
      <c r="BY351" s="113"/>
      <c r="BZ351" s="113"/>
      <c r="CA351" s="113"/>
      <c r="CB351" s="113"/>
      <c r="CC351" s="113"/>
      <c r="CD351" s="113"/>
      <c r="CE351" s="113"/>
      <c r="CF351" s="113"/>
      <c r="CG351" s="113"/>
      <c r="CH351" s="113"/>
      <c r="CI351" s="113"/>
      <c r="CJ351" s="113"/>
      <c r="CK351" s="113"/>
      <c r="CL351" s="113"/>
      <c r="CM351" s="113"/>
      <c r="CN351" s="113"/>
      <c r="CO351" s="113"/>
      <c r="CP351" s="113"/>
      <c r="CQ351" s="113"/>
      <c r="CR351" s="113"/>
      <c r="CS351" s="113"/>
      <c r="CT351" s="113"/>
      <c r="CU351" s="113"/>
    </row>
    <row r="352">
      <c r="A352" s="159" t="str">
        <f>IFERROR(__xludf.DUMMYFUNCTION("""COMPUTED_VALUE"""),"I-2")</f>
        <v>I-2</v>
      </c>
      <c r="B352" s="113" t="str">
        <f>IFERROR(__xludf.DUMMYFUNCTION("""COMPUTED_VALUE"""),"Valeria")</f>
        <v>Valeria</v>
      </c>
      <c r="C352" s="113" t="str">
        <f>IFERROR(__xludf.DUMMYFUNCTION("""COMPUTED_VALUE"""),"Ochoa")</f>
        <v>Ochoa</v>
      </c>
      <c r="D352" s="158">
        <f>IFERROR(__xludf.DUMMYFUNCTION("""COMPUTED_VALUE"""),1219.0)</f>
        <v>1219</v>
      </c>
      <c r="E352" s="161">
        <f t="shared" si="1"/>
        <v>8</v>
      </c>
      <c r="F352" s="160">
        <f>COUNTIFS('Scores Import DO NOT EDIT'!C:C, D352,'Scores Import DO NOT EDIT'!M:M,A352)</f>
        <v>7</v>
      </c>
      <c r="G352" s="162">
        <f t="shared" si="2"/>
        <v>0.875</v>
      </c>
      <c r="H352" s="163" t="str">
        <f t="shared" si="3"/>
        <v>I-21219</v>
      </c>
      <c r="I352" s="113"/>
      <c r="J352" s="113"/>
      <c r="K352" s="113"/>
      <c r="L352" s="158"/>
      <c r="M352" s="166" t="s">
        <v>374</v>
      </c>
      <c r="N352" s="113"/>
      <c r="O352" s="113"/>
      <c r="P352" s="113"/>
      <c r="Q352" s="113"/>
      <c r="R352" s="113"/>
      <c r="S352" s="113"/>
      <c r="T352" s="113"/>
      <c r="U352" s="113"/>
      <c r="V352" s="113"/>
      <c r="W352" s="113"/>
      <c r="X352" s="113"/>
      <c r="Y352" s="113"/>
      <c r="Z352" s="113"/>
      <c r="AA352" s="113"/>
      <c r="AB352" s="113"/>
      <c r="AC352" s="113"/>
      <c r="AD352" s="113"/>
      <c r="AE352" s="113"/>
      <c r="AF352" s="113"/>
      <c r="AG352" s="113"/>
      <c r="AH352" s="113"/>
      <c r="AI352" s="113"/>
      <c r="AJ352" s="113"/>
      <c r="AK352" s="113"/>
      <c r="AL352" s="113"/>
      <c r="AM352" s="113"/>
      <c r="AN352" s="113"/>
      <c r="AO352" s="113"/>
      <c r="AP352" s="113"/>
      <c r="AQ352" s="113"/>
      <c r="AR352" s="113"/>
      <c r="AS352" s="113"/>
      <c r="AT352" s="113"/>
      <c r="AU352" s="113"/>
      <c r="AV352" s="113"/>
      <c r="AW352" s="113"/>
      <c r="AX352" s="113"/>
      <c r="AY352" s="113"/>
      <c r="AZ352" s="113"/>
      <c r="BA352" s="113"/>
      <c r="BB352" s="113"/>
      <c r="BC352" s="113"/>
      <c r="BD352" s="113"/>
      <c r="BE352" s="113"/>
      <c r="BF352" s="113"/>
      <c r="BG352" s="113"/>
      <c r="BH352" s="113"/>
      <c r="BI352" s="113"/>
      <c r="BJ352" s="113"/>
      <c r="BK352" s="113"/>
      <c r="BL352" s="113"/>
      <c r="BM352" s="113"/>
      <c r="BN352" s="113"/>
      <c r="BO352" s="113"/>
      <c r="BP352" s="113"/>
      <c r="BQ352" s="113"/>
      <c r="BR352" s="113"/>
      <c r="BS352" s="113"/>
      <c r="BT352" s="113"/>
      <c r="BU352" s="113"/>
      <c r="BV352" s="113"/>
      <c r="BW352" s="113"/>
      <c r="BX352" s="113"/>
      <c r="BY352" s="113"/>
      <c r="BZ352" s="113"/>
      <c r="CA352" s="113"/>
      <c r="CB352" s="113"/>
      <c r="CC352" s="113"/>
      <c r="CD352" s="113"/>
      <c r="CE352" s="113"/>
      <c r="CF352" s="113"/>
      <c r="CG352" s="113"/>
      <c r="CH352" s="113"/>
      <c r="CI352" s="113"/>
      <c r="CJ352" s="113"/>
      <c r="CK352" s="113"/>
      <c r="CL352" s="113"/>
      <c r="CM352" s="113"/>
      <c r="CN352" s="113"/>
      <c r="CO352" s="113"/>
      <c r="CP352" s="113"/>
      <c r="CQ352" s="113"/>
      <c r="CR352" s="113"/>
      <c r="CS352" s="113"/>
      <c r="CT352" s="113"/>
      <c r="CU352" s="113"/>
    </row>
    <row r="353">
      <c r="A353" s="159" t="str">
        <f>IFERROR(__xludf.DUMMYFUNCTION("""COMPUTED_VALUE"""),"I-2")</f>
        <v>I-2</v>
      </c>
      <c r="B353" s="113" t="str">
        <f>IFERROR(__xludf.DUMMYFUNCTION("""COMPUTED_VALUE"""),"Katie")</f>
        <v>Katie</v>
      </c>
      <c r="C353" s="113" t="str">
        <f>IFERROR(__xludf.DUMMYFUNCTION("""COMPUTED_VALUE"""),"Bailey")</f>
        <v>Bailey</v>
      </c>
      <c r="D353" s="158">
        <f>IFERROR(__xludf.DUMMYFUNCTION("""COMPUTED_VALUE"""),1148.0)</f>
        <v>1148</v>
      </c>
      <c r="E353" s="161">
        <f t="shared" si="1"/>
        <v>8</v>
      </c>
      <c r="F353" s="160">
        <f>COUNTIFS('Scores Import DO NOT EDIT'!C:C, D353,'Scores Import DO NOT EDIT'!M:M,A353)</f>
        <v>6</v>
      </c>
      <c r="G353" s="162">
        <f t="shared" si="2"/>
        <v>0.75</v>
      </c>
      <c r="H353" s="163" t="str">
        <f t="shared" si="3"/>
        <v>I-21148</v>
      </c>
      <c r="I353" s="113"/>
      <c r="J353" s="113"/>
      <c r="K353" s="113"/>
      <c r="L353" s="158"/>
      <c r="M353" s="166" t="s">
        <v>372</v>
      </c>
      <c r="N353" s="113"/>
      <c r="O353" s="113"/>
      <c r="P353" s="113"/>
      <c r="Q353" s="113"/>
      <c r="R353" s="113"/>
      <c r="S353" s="113"/>
      <c r="T353" s="113"/>
      <c r="U353" s="113"/>
      <c r="V353" s="113"/>
      <c r="W353" s="113"/>
      <c r="X353" s="113"/>
      <c r="Y353" s="113"/>
      <c r="Z353" s="113"/>
      <c r="AA353" s="113"/>
      <c r="AB353" s="113"/>
      <c r="AC353" s="113"/>
      <c r="AD353" s="113"/>
      <c r="AE353" s="113"/>
      <c r="AF353" s="113"/>
      <c r="AG353" s="113"/>
      <c r="AH353" s="113"/>
      <c r="AI353" s="113"/>
      <c r="AJ353" s="113"/>
      <c r="AK353" s="113"/>
      <c r="AL353" s="113"/>
      <c r="AM353" s="113"/>
      <c r="AN353" s="113"/>
      <c r="AO353" s="113"/>
      <c r="AP353" s="113"/>
      <c r="AQ353" s="113"/>
      <c r="AR353" s="113"/>
      <c r="AS353" s="113"/>
      <c r="AT353" s="113"/>
      <c r="AU353" s="113"/>
      <c r="AV353" s="113"/>
      <c r="AW353" s="113"/>
      <c r="AX353" s="113"/>
      <c r="AY353" s="113"/>
      <c r="AZ353" s="113"/>
      <c r="BA353" s="113"/>
      <c r="BB353" s="113"/>
      <c r="BC353" s="113"/>
      <c r="BD353" s="113"/>
      <c r="BE353" s="113"/>
      <c r="BF353" s="113"/>
      <c r="BG353" s="113"/>
      <c r="BH353" s="113"/>
      <c r="BI353" s="113"/>
      <c r="BJ353" s="113"/>
      <c r="BK353" s="113"/>
      <c r="BL353" s="113"/>
      <c r="BM353" s="113"/>
      <c r="BN353" s="113"/>
      <c r="BO353" s="113"/>
      <c r="BP353" s="113"/>
      <c r="BQ353" s="113"/>
      <c r="BR353" s="113"/>
      <c r="BS353" s="113"/>
      <c r="BT353" s="113"/>
      <c r="BU353" s="113"/>
      <c r="BV353" s="113"/>
      <c r="BW353" s="113"/>
      <c r="BX353" s="113"/>
      <c r="BY353" s="113"/>
      <c r="BZ353" s="113"/>
      <c r="CA353" s="113"/>
      <c r="CB353" s="113"/>
      <c r="CC353" s="113"/>
      <c r="CD353" s="113"/>
      <c r="CE353" s="113"/>
      <c r="CF353" s="113"/>
      <c r="CG353" s="113"/>
      <c r="CH353" s="113"/>
      <c r="CI353" s="113"/>
      <c r="CJ353" s="113"/>
      <c r="CK353" s="113"/>
      <c r="CL353" s="113"/>
      <c r="CM353" s="113"/>
      <c r="CN353" s="113"/>
      <c r="CO353" s="113"/>
      <c r="CP353" s="113"/>
      <c r="CQ353" s="113"/>
      <c r="CR353" s="113"/>
      <c r="CS353" s="113"/>
      <c r="CT353" s="113"/>
      <c r="CU353" s="113"/>
    </row>
    <row r="354">
      <c r="A354" s="159" t="str">
        <f>IFERROR(__xludf.DUMMYFUNCTION("""COMPUTED_VALUE"""),"I-2")</f>
        <v>I-2</v>
      </c>
      <c r="B354" s="113" t="str">
        <f>IFERROR(__xludf.DUMMYFUNCTION("""COMPUTED_VALUE"""),"Keith")</f>
        <v>Keith</v>
      </c>
      <c r="C354" s="113" t="str">
        <f>IFERROR(__xludf.DUMMYFUNCTION("""COMPUTED_VALUE"""),"Chan")</f>
        <v>Chan</v>
      </c>
      <c r="D354" s="158">
        <f>IFERROR(__xludf.DUMMYFUNCTION("""COMPUTED_VALUE"""),1138.0)</f>
        <v>1138</v>
      </c>
      <c r="E354" s="161">
        <f t="shared" si="1"/>
        <v>8</v>
      </c>
      <c r="F354" s="160">
        <f>COUNTIFS('Scores Import DO NOT EDIT'!C:C, D354,'Scores Import DO NOT EDIT'!M:M,A354)</f>
        <v>7</v>
      </c>
      <c r="G354" s="162">
        <f t="shared" si="2"/>
        <v>0.875</v>
      </c>
      <c r="H354" s="163" t="str">
        <f t="shared" si="3"/>
        <v>I-21138</v>
      </c>
      <c r="I354" s="113"/>
      <c r="J354" s="113"/>
      <c r="K354" s="113"/>
      <c r="L354" s="158"/>
      <c r="M354" s="166" t="s">
        <v>373</v>
      </c>
      <c r="N354" s="113"/>
      <c r="O354" s="113"/>
      <c r="P354" s="113"/>
      <c r="Q354" s="113"/>
      <c r="R354" s="113"/>
      <c r="S354" s="113"/>
      <c r="T354" s="113"/>
      <c r="U354" s="113"/>
      <c r="V354" s="113"/>
      <c r="W354" s="113"/>
      <c r="X354" s="113"/>
      <c r="Y354" s="113"/>
      <c r="Z354" s="113"/>
      <c r="AA354" s="113"/>
      <c r="AB354" s="113"/>
      <c r="AC354" s="113"/>
      <c r="AD354" s="113"/>
      <c r="AE354" s="113"/>
      <c r="AF354" s="113"/>
      <c r="AG354" s="113"/>
      <c r="AH354" s="113"/>
      <c r="AI354" s="113"/>
      <c r="AJ354" s="113"/>
      <c r="AK354" s="113"/>
      <c r="AL354" s="113"/>
      <c r="AM354" s="113"/>
      <c r="AN354" s="113"/>
      <c r="AO354" s="113"/>
      <c r="AP354" s="113"/>
      <c r="AQ354" s="113"/>
      <c r="AR354" s="113"/>
      <c r="AS354" s="113"/>
      <c r="AT354" s="113"/>
      <c r="AU354" s="113"/>
      <c r="AV354" s="113"/>
      <c r="AW354" s="113"/>
      <c r="AX354" s="113"/>
      <c r="AY354" s="113"/>
      <c r="AZ354" s="113"/>
      <c r="BA354" s="113"/>
      <c r="BB354" s="113"/>
      <c r="BC354" s="113"/>
      <c r="BD354" s="113"/>
      <c r="BE354" s="113"/>
      <c r="BF354" s="113"/>
      <c r="BG354" s="113"/>
      <c r="BH354" s="113"/>
      <c r="BI354" s="113"/>
      <c r="BJ354" s="113"/>
      <c r="BK354" s="113"/>
      <c r="BL354" s="113"/>
      <c r="BM354" s="113"/>
      <c r="BN354" s="113"/>
      <c r="BO354" s="113"/>
      <c r="BP354" s="113"/>
      <c r="BQ354" s="113"/>
      <c r="BR354" s="113"/>
      <c r="BS354" s="113"/>
      <c r="BT354" s="113"/>
      <c r="BU354" s="113"/>
      <c r="BV354" s="113"/>
      <c r="BW354" s="113"/>
      <c r="BX354" s="113"/>
      <c r="BY354" s="113"/>
      <c r="BZ354" s="113"/>
      <c r="CA354" s="113"/>
      <c r="CB354" s="113"/>
      <c r="CC354" s="113"/>
      <c r="CD354" s="113"/>
      <c r="CE354" s="113"/>
      <c r="CF354" s="113"/>
      <c r="CG354" s="113"/>
      <c r="CH354" s="113"/>
      <c r="CI354" s="113"/>
      <c r="CJ354" s="113"/>
      <c r="CK354" s="113"/>
      <c r="CL354" s="113"/>
      <c r="CM354" s="113"/>
      <c r="CN354" s="113"/>
      <c r="CO354" s="113"/>
      <c r="CP354" s="113"/>
      <c r="CQ354" s="113"/>
      <c r="CR354" s="113"/>
      <c r="CS354" s="113"/>
      <c r="CT354" s="113"/>
      <c r="CU354" s="113"/>
    </row>
    <row r="355">
      <c r="A355" s="159" t="str">
        <f>IFERROR(__xludf.DUMMYFUNCTION("""COMPUTED_VALUE"""),"I-2")</f>
        <v>I-2</v>
      </c>
      <c r="B355" s="113" t="str">
        <f>IFERROR(__xludf.DUMMYFUNCTION("""COMPUTED_VALUE"""),"Teresa")</f>
        <v>Teresa</v>
      </c>
      <c r="C355" s="113" t="str">
        <f>IFERROR(__xludf.DUMMYFUNCTION("""COMPUTED_VALUE"""),"Lind")</f>
        <v>Lind</v>
      </c>
      <c r="D355" s="158">
        <f>IFERROR(__xludf.DUMMYFUNCTION("""COMPUTED_VALUE"""),1140.0)</f>
        <v>1140</v>
      </c>
      <c r="E355" s="161">
        <f t="shared" si="1"/>
        <v>8</v>
      </c>
      <c r="F355" s="160">
        <f>COUNTIFS('Scores Import DO NOT EDIT'!C:C, D355,'Scores Import DO NOT EDIT'!M:M,A355)</f>
        <v>7</v>
      </c>
      <c r="G355" s="162">
        <f t="shared" si="2"/>
        <v>0.875</v>
      </c>
      <c r="H355" s="163" t="str">
        <f t="shared" si="3"/>
        <v>I-21140</v>
      </c>
      <c r="I355" s="113"/>
      <c r="J355" s="113"/>
      <c r="K355" s="113"/>
      <c r="L355" s="158"/>
      <c r="M355" s="166" t="s">
        <v>370</v>
      </c>
      <c r="N355" s="113"/>
      <c r="O355" s="113"/>
      <c r="P355" s="113"/>
      <c r="Q355" s="113"/>
      <c r="R355" s="113"/>
      <c r="S355" s="113"/>
      <c r="T355" s="113"/>
      <c r="U355" s="113"/>
      <c r="V355" s="113"/>
      <c r="W355" s="113"/>
      <c r="X355" s="113"/>
      <c r="Y355" s="113"/>
      <c r="Z355" s="113"/>
      <c r="AA355" s="113"/>
      <c r="AB355" s="113"/>
      <c r="AC355" s="113"/>
      <c r="AD355" s="113"/>
      <c r="AE355" s="113"/>
      <c r="AF355" s="113"/>
      <c r="AG355" s="113"/>
      <c r="AH355" s="113"/>
      <c r="AI355" s="113"/>
      <c r="AJ355" s="113"/>
      <c r="AK355" s="113"/>
      <c r="AL355" s="113"/>
      <c r="AM355" s="113"/>
      <c r="AN355" s="113"/>
      <c r="AO355" s="113"/>
      <c r="AP355" s="113"/>
      <c r="AQ355" s="113"/>
      <c r="AR355" s="113"/>
      <c r="AS355" s="113"/>
      <c r="AT355" s="113"/>
      <c r="AU355" s="113"/>
      <c r="AV355" s="113"/>
      <c r="AW355" s="113"/>
      <c r="AX355" s="113"/>
      <c r="AY355" s="113"/>
      <c r="AZ355" s="113"/>
      <c r="BA355" s="113"/>
      <c r="BB355" s="113"/>
      <c r="BC355" s="113"/>
      <c r="BD355" s="113"/>
      <c r="BE355" s="113"/>
      <c r="BF355" s="113"/>
      <c r="BG355" s="113"/>
      <c r="BH355" s="113"/>
      <c r="BI355" s="113"/>
      <c r="BJ355" s="113"/>
      <c r="BK355" s="113"/>
      <c r="BL355" s="113"/>
      <c r="BM355" s="113"/>
      <c r="BN355" s="113"/>
      <c r="BO355" s="113"/>
      <c r="BP355" s="113"/>
      <c r="BQ355" s="113"/>
      <c r="BR355" s="113"/>
      <c r="BS355" s="113"/>
      <c r="BT355" s="113"/>
      <c r="BU355" s="113"/>
      <c r="BV355" s="113"/>
      <c r="BW355" s="113"/>
      <c r="BX355" s="113"/>
      <c r="BY355" s="113"/>
      <c r="BZ355" s="113"/>
      <c r="CA355" s="113"/>
      <c r="CB355" s="113"/>
      <c r="CC355" s="113"/>
      <c r="CD355" s="113"/>
      <c r="CE355" s="113"/>
      <c r="CF355" s="113"/>
      <c r="CG355" s="113"/>
      <c r="CH355" s="113"/>
      <c r="CI355" s="113"/>
      <c r="CJ355" s="113"/>
      <c r="CK355" s="113"/>
      <c r="CL355" s="113"/>
      <c r="CM355" s="113"/>
      <c r="CN355" s="113"/>
      <c r="CO355" s="113"/>
      <c r="CP355" s="113"/>
      <c r="CQ355" s="113"/>
      <c r="CR355" s="113"/>
      <c r="CS355" s="113"/>
      <c r="CT355" s="113"/>
      <c r="CU355" s="113"/>
    </row>
    <row r="356">
      <c r="A356" s="159" t="str">
        <f>IFERROR(__xludf.DUMMYFUNCTION("""COMPUTED_VALUE"""),"I-2")</f>
        <v>I-2</v>
      </c>
      <c r="B356" s="113" t="str">
        <f>IFERROR(__xludf.DUMMYFUNCTION("""COMPUTED_VALUE"""),"Amanda")</f>
        <v>Amanda</v>
      </c>
      <c r="C356" s="113" t="str">
        <f>IFERROR(__xludf.DUMMYFUNCTION("""COMPUTED_VALUE"""),"Brown")</f>
        <v>Brown</v>
      </c>
      <c r="D356" s="158">
        <f>IFERROR(__xludf.DUMMYFUNCTION("""COMPUTED_VALUE"""),1190.0)</f>
        <v>1190</v>
      </c>
      <c r="E356" s="161">
        <f t="shared" si="1"/>
        <v>8</v>
      </c>
      <c r="F356" s="160">
        <f>COUNTIFS('Scores Import DO NOT EDIT'!C:C, D356,'Scores Import DO NOT EDIT'!M:M,A356)</f>
        <v>7</v>
      </c>
      <c r="G356" s="162">
        <f t="shared" si="2"/>
        <v>0.875</v>
      </c>
      <c r="H356" s="163" t="str">
        <f t="shared" si="3"/>
        <v>I-21190</v>
      </c>
      <c r="I356" s="113"/>
      <c r="J356" s="113"/>
      <c r="K356" s="113"/>
      <c r="L356" s="158"/>
      <c r="M356" s="166" t="s">
        <v>378</v>
      </c>
      <c r="N356" s="113"/>
      <c r="O356" s="113"/>
      <c r="P356" s="113"/>
      <c r="Q356" s="113"/>
      <c r="R356" s="113"/>
      <c r="S356" s="113"/>
      <c r="T356" s="113"/>
      <c r="U356" s="113"/>
      <c r="V356" s="113"/>
      <c r="W356" s="113"/>
      <c r="X356" s="113"/>
      <c r="Y356" s="113"/>
      <c r="Z356" s="113"/>
      <c r="AA356" s="113"/>
      <c r="AB356" s="113"/>
      <c r="AC356" s="113"/>
      <c r="AD356" s="113"/>
      <c r="AE356" s="113"/>
      <c r="AF356" s="113"/>
      <c r="AG356" s="113"/>
      <c r="AH356" s="113"/>
      <c r="AI356" s="113"/>
      <c r="AJ356" s="113"/>
      <c r="AK356" s="113"/>
      <c r="AL356" s="113"/>
      <c r="AM356" s="113"/>
      <c r="AN356" s="113"/>
      <c r="AO356" s="113"/>
      <c r="AP356" s="113"/>
      <c r="AQ356" s="113"/>
      <c r="AR356" s="113"/>
      <c r="AS356" s="113"/>
      <c r="AT356" s="113"/>
      <c r="AU356" s="113"/>
      <c r="AV356" s="113"/>
      <c r="AW356" s="113"/>
      <c r="AX356" s="113"/>
      <c r="AY356" s="113"/>
      <c r="AZ356" s="113"/>
      <c r="BA356" s="113"/>
      <c r="BB356" s="113"/>
      <c r="BC356" s="113"/>
      <c r="BD356" s="113"/>
      <c r="BE356" s="113"/>
      <c r="BF356" s="113"/>
      <c r="BG356" s="113"/>
      <c r="BH356" s="113"/>
      <c r="BI356" s="113"/>
      <c r="BJ356" s="113"/>
      <c r="BK356" s="113"/>
      <c r="BL356" s="113"/>
      <c r="BM356" s="113"/>
      <c r="BN356" s="113"/>
      <c r="BO356" s="113"/>
      <c r="BP356" s="113"/>
      <c r="BQ356" s="113"/>
      <c r="BR356" s="113"/>
      <c r="BS356" s="113"/>
      <c r="BT356" s="113"/>
      <c r="BU356" s="113"/>
      <c r="BV356" s="113"/>
      <c r="BW356" s="113"/>
      <c r="BX356" s="113"/>
      <c r="BY356" s="113"/>
      <c r="BZ356" s="113"/>
      <c r="CA356" s="113"/>
      <c r="CB356" s="113"/>
      <c r="CC356" s="113"/>
      <c r="CD356" s="113"/>
      <c r="CE356" s="113"/>
      <c r="CF356" s="113"/>
      <c r="CG356" s="113"/>
      <c r="CH356" s="113"/>
      <c r="CI356" s="113"/>
      <c r="CJ356" s="113"/>
      <c r="CK356" s="113"/>
      <c r="CL356" s="113"/>
      <c r="CM356" s="113"/>
      <c r="CN356" s="113"/>
      <c r="CO356" s="113"/>
      <c r="CP356" s="113"/>
      <c r="CQ356" s="113"/>
      <c r="CR356" s="113"/>
      <c r="CS356" s="113"/>
      <c r="CT356" s="113"/>
      <c r="CU356" s="113"/>
    </row>
    <row r="357">
      <c r="A357" s="159" t="str">
        <f>IFERROR(__xludf.DUMMYFUNCTION("""COMPUTED_VALUE"""),"I-3")</f>
        <v>I-3</v>
      </c>
      <c r="B357" s="113" t="str">
        <f>IFERROR(__xludf.DUMMYFUNCTION("""COMPUTED_VALUE"""),"Nowshin")</f>
        <v>Nowshin</v>
      </c>
      <c r="C357" s="113" t="str">
        <f>IFERROR(__xludf.DUMMYFUNCTION("""COMPUTED_VALUE"""),"Nawar")</f>
        <v>Nawar</v>
      </c>
      <c r="D357" s="158">
        <f>IFERROR(__xludf.DUMMYFUNCTION("""COMPUTED_VALUE"""),1082.0)</f>
        <v>1082</v>
      </c>
      <c r="E357" s="161">
        <f t="shared" si="1"/>
        <v>7</v>
      </c>
      <c r="F357" s="160">
        <f>COUNTIFS('Scores Import DO NOT EDIT'!C:C, D357,'Scores Import DO NOT EDIT'!M:M,A357)</f>
        <v>6</v>
      </c>
      <c r="G357" s="162">
        <f t="shared" si="2"/>
        <v>0.8571428571</v>
      </c>
      <c r="H357" s="163" t="str">
        <f t="shared" si="3"/>
        <v>I-31082</v>
      </c>
      <c r="I357" s="113"/>
      <c r="J357" s="113"/>
      <c r="K357" s="113"/>
      <c r="L357" s="158"/>
      <c r="M357" s="166" t="s">
        <v>379</v>
      </c>
      <c r="N357" s="113"/>
      <c r="O357" s="113"/>
      <c r="P357" s="113"/>
      <c r="Q357" s="113"/>
      <c r="R357" s="113"/>
      <c r="S357" s="113"/>
      <c r="T357" s="113"/>
      <c r="U357" s="113"/>
      <c r="V357" s="113"/>
      <c r="W357" s="113"/>
      <c r="X357" s="113"/>
      <c r="Y357" s="113"/>
      <c r="Z357" s="113"/>
      <c r="AA357" s="113"/>
      <c r="AB357" s="113"/>
      <c r="AC357" s="113"/>
      <c r="AD357" s="113"/>
      <c r="AE357" s="113"/>
      <c r="AF357" s="113"/>
      <c r="AG357" s="113"/>
      <c r="AH357" s="113"/>
      <c r="AI357" s="113"/>
      <c r="AJ357" s="113"/>
      <c r="AK357" s="113"/>
      <c r="AL357" s="113"/>
      <c r="AM357" s="113"/>
      <c r="AN357" s="113"/>
      <c r="AO357" s="113"/>
      <c r="AP357" s="113"/>
      <c r="AQ357" s="113"/>
      <c r="AR357" s="113"/>
      <c r="AS357" s="113"/>
      <c r="AT357" s="113"/>
      <c r="AU357" s="113"/>
      <c r="AV357" s="113"/>
      <c r="AW357" s="113"/>
      <c r="AX357" s="113"/>
      <c r="AY357" s="113"/>
      <c r="AZ357" s="113"/>
      <c r="BA357" s="113"/>
      <c r="BB357" s="113"/>
      <c r="BC357" s="113"/>
      <c r="BD357" s="113"/>
      <c r="BE357" s="113"/>
      <c r="BF357" s="113"/>
      <c r="BG357" s="113"/>
      <c r="BH357" s="113"/>
      <c r="BI357" s="113"/>
      <c r="BJ357" s="113"/>
      <c r="BK357" s="113"/>
      <c r="BL357" s="113"/>
      <c r="BM357" s="113"/>
      <c r="BN357" s="113"/>
      <c r="BO357" s="113"/>
      <c r="BP357" s="113"/>
      <c r="BQ357" s="113"/>
      <c r="BR357" s="113"/>
      <c r="BS357" s="113"/>
      <c r="BT357" s="113"/>
      <c r="BU357" s="113"/>
      <c r="BV357" s="113"/>
      <c r="BW357" s="113"/>
      <c r="BX357" s="113"/>
      <c r="BY357" s="113"/>
      <c r="BZ357" s="113"/>
      <c r="CA357" s="113"/>
      <c r="CB357" s="113"/>
      <c r="CC357" s="113"/>
      <c r="CD357" s="113"/>
      <c r="CE357" s="113"/>
      <c r="CF357" s="113"/>
      <c r="CG357" s="113"/>
      <c r="CH357" s="113"/>
      <c r="CI357" s="113"/>
      <c r="CJ357" s="113"/>
      <c r="CK357" s="113"/>
      <c r="CL357" s="113"/>
      <c r="CM357" s="113"/>
      <c r="CN357" s="113"/>
      <c r="CO357" s="113"/>
      <c r="CP357" s="113"/>
      <c r="CQ357" s="113"/>
      <c r="CR357" s="113"/>
      <c r="CS357" s="113"/>
      <c r="CT357" s="113"/>
      <c r="CU357" s="113"/>
    </row>
    <row r="358">
      <c r="A358" s="159" t="str">
        <f>IFERROR(__xludf.DUMMYFUNCTION("""COMPUTED_VALUE"""),"I-3")</f>
        <v>I-3</v>
      </c>
      <c r="B358" s="113" t="str">
        <f>IFERROR(__xludf.DUMMYFUNCTION("""COMPUTED_VALUE"""),"Richard")</f>
        <v>Richard</v>
      </c>
      <c r="C358" s="113" t="str">
        <f>IFERROR(__xludf.DUMMYFUNCTION("""COMPUTED_VALUE"""),"Cripps")</f>
        <v>Cripps</v>
      </c>
      <c r="D358" s="158">
        <f>IFERROR(__xludf.DUMMYFUNCTION("""COMPUTED_VALUE"""),1069.0)</f>
        <v>1069</v>
      </c>
      <c r="E358" s="161">
        <f t="shared" si="1"/>
        <v>7</v>
      </c>
      <c r="F358" s="160">
        <f>COUNTIFS('Scores Import DO NOT EDIT'!C:C, D358,'Scores Import DO NOT EDIT'!M:M,A358)</f>
        <v>7</v>
      </c>
      <c r="G358" s="162">
        <f t="shared" si="2"/>
        <v>1</v>
      </c>
      <c r="H358" s="163" t="str">
        <f t="shared" si="3"/>
        <v>I-31069</v>
      </c>
      <c r="I358" s="113"/>
      <c r="J358" s="113"/>
      <c r="K358" s="113"/>
      <c r="L358" s="158"/>
      <c r="M358" s="166" t="s">
        <v>376</v>
      </c>
      <c r="N358" s="113"/>
      <c r="O358" s="113"/>
      <c r="P358" s="113"/>
      <c r="Q358" s="113"/>
      <c r="R358" s="113"/>
      <c r="S358" s="113"/>
      <c r="T358" s="113"/>
      <c r="U358" s="113"/>
      <c r="V358" s="113"/>
      <c r="W358" s="113"/>
      <c r="X358" s="113"/>
      <c r="Y358" s="113"/>
      <c r="Z358" s="113"/>
      <c r="AA358" s="113"/>
      <c r="AB358" s="113"/>
      <c r="AC358" s="113"/>
      <c r="AD358" s="113"/>
      <c r="AE358" s="113"/>
      <c r="AF358" s="113"/>
      <c r="AG358" s="113"/>
      <c r="AH358" s="113"/>
      <c r="AI358" s="113"/>
      <c r="AJ358" s="113"/>
      <c r="AK358" s="113"/>
      <c r="AL358" s="113"/>
      <c r="AM358" s="113"/>
      <c r="AN358" s="113"/>
      <c r="AO358" s="113"/>
      <c r="AP358" s="113"/>
      <c r="AQ358" s="113"/>
      <c r="AR358" s="113"/>
      <c r="AS358" s="113"/>
      <c r="AT358" s="113"/>
      <c r="AU358" s="113"/>
      <c r="AV358" s="113"/>
      <c r="AW358" s="113"/>
      <c r="AX358" s="113"/>
      <c r="AY358" s="113"/>
      <c r="AZ358" s="113"/>
      <c r="BA358" s="113"/>
      <c r="BB358" s="113"/>
      <c r="BC358" s="113"/>
      <c r="BD358" s="113"/>
      <c r="BE358" s="113"/>
      <c r="BF358" s="113"/>
      <c r="BG358" s="113"/>
      <c r="BH358" s="113"/>
      <c r="BI358" s="113"/>
      <c r="BJ358" s="113"/>
      <c r="BK358" s="113"/>
      <c r="BL358" s="113"/>
      <c r="BM358" s="113"/>
      <c r="BN358" s="113"/>
      <c r="BO358" s="113"/>
      <c r="BP358" s="113"/>
      <c r="BQ358" s="113"/>
      <c r="BR358" s="113"/>
      <c r="BS358" s="113"/>
      <c r="BT358" s="113"/>
      <c r="BU358" s="113"/>
      <c r="BV358" s="113"/>
      <c r="BW358" s="113"/>
      <c r="BX358" s="113"/>
      <c r="BY358" s="113"/>
      <c r="BZ358" s="113"/>
      <c r="CA358" s="113"/>
      <c r="CB358" s="113"/>
      <c r="CC358" s="113"/>
      <c r="CD358" s="113"/>
      <c r="CE358" s="113"/>
      <c r="CF358" s="113"/>
      <c r="CG358" s="113"/>
      <c r="CH358" s="113"/>
      <c r="CI358" s="113"/>
      <c r="CJ358" s="113"/>
      <c r="CK358" s="113"/>
      <c r="CL358" s="113"/>
      <c r="CM358" s="113"/>
      <c r="CN358" s="113"/>
      <c r="CO358" s="113"/>
      <c r="CP358" s="113"/>
      <c r="CQ358" s="113"/>
      <c r="CR358" s="113"/>
      <c r="CS358" s="113"/>
      <c r="CT358" s="113"/>
      <c r="CU358" s="113"/>
    </row>
    <row r="359">
      <c r="A359" s="159" t="str">
        <f>IFERROR(__xludf.DUMMYFUNCTION("""COMPUTED_VALUE"""),"I-3")</f>
        <v>I-3</v>
      </c>
      <c r="B359" s="113" t="str">
        <f>IFERROR(__xludf.DUMMYFUNCTION("""COMPUTED_VALUE"""),"Carrie")</f>
        <v>Carrie</v>
      </c>
      <c r="C359" s="113" t="str">
        <f>IFERROR(__xludf.DUMMYFUNCTION("""COMPUTED_VALUE"""),"House")</f>
        <v>House</v>
      </c>
      <c r="D359" s="158">
        <f>IFERROR(__xludf.DUMMYFUNCTION("""COMPUTED_VALUE"""),1137.0)</f>
        <v>1137</v>
      </c>
      <c r="E359" s="161">
        <f t="shared" si="1"/>
        <v>7</v>
      </c>
      <c r="F359" s="160">
        <f>COUNTIFS('Scores Import DO NOT EDIT'!C:C, D359,'Scores Import DO NOT EDIT'!M:M,A359)</f>
        <v>5</v>
      </c>
      <c r="G359" s="162">
        <f t="shared" si="2"/>
        <v>0.7142857143</v>
      </c>
      <c r="H359" s="163" t="str">
        <f t="shared" si="3"/>
        <v>I-31137</v>
      </c>
      <c r="I359" s="113"/>
      <c r="J359" s="113"/>
      <c r="K359" s="113"/>
      <c r="L359" s="158"/>
      <c r="M359" s="166" t="s">
        <v>381</v>
      </c>
      <c r="N359" s="113"/>
      <c r="O359" s="113"/>
      <c r="P359" s="113"/>
      <c r="Q359" s="113"/>
      <c r="R359" s="113"/>
      <c r="S359" s="113"/>
      <c r="T359" s="113"/>
      <c r="U359" s="113"/>
      <c r="V359" s="113"/>
      <c r="W359" s="113"/>
      <c r="X359" s="113"/>
      <c r="Y359" s="113"/>
      <c r="Z359" s="113"/>
      <c r="AA359" s="113"/>
      <c r="AB359" s="113"/>
      <c r="AC359" s="113"/>
      <c r="AD359" s="113"/>
      <c r="AE359" s="113"/>
      <c r="AF359" s="113"/>
      <c r="AG359" s="113"/>
      <c r="AH359" s="113"/>
      <c r="AI359" s="113"/>
      <c r="AJ359" s="113"/>
      <c r="AK359" s="113"/>
      <c r="AL359" s="113"/>
      <c r="AM359" s="113"/>
      <c r="AN359" s="113"/>
      <c r="AO359" s="113"/>
      <c r="AP359" s="113"/>
      <c r="AQ359" s="113"/>
      <c r="AR359" s="113"/>
      <c r="AS359" s="113"/>
      <c r="AT359" s="113"/>
      <c r="AU359" s="113"/>
      <c r="AV359" s="113"/>
      <c r="AW359" s="113"/>
      <c r="AX359" s="113"/>
      <c r="AY359" s="113"/>
      <c r="AZ359" s="113"/>
      <c r="BA359" s="113"/>
      <c r="BB359" s="113"/>
      <c r="BC359" s="113"/>
      <c r="BD359" s="113"/>
      <c r="BE359" s="113"/>
      <c r="BF359" s="113"/>
      <c r="BG359" s="113"/>
      <c r="BH359" s="113"/>
      <c r="BI359" s="113"/>
      <c r="BJ359" s="113"/>
      <c r="BK359" s="113"/>
      <c r="BL359" s="113"/>
      <c r="BM359" s="113"/>
      <c r="BN359" s="113"/>
      <c r="BO359" s="113"/>
      <c r="BP359" s="113"/>
      <c r="BQ359" s="113"/>
      <c r="BR359" s="113"/>
      <c r="BS359" s="113"/>
      <c r="BT359" s="113"/>
      <c r="BU359" s="113"/>
      <c r="BV359" s="113"/>
      <c r="BW359" s="113"/>
      <c r="BX359" s="113"/>
      <c r="BY359" s="113"/>
      <c r="BZ359" s="113"/>
      <c r="CA359" s="113"/>
      <c r="CB359" s="113"/>
      <c r="CC359" s="113"/>
      <c r="CD359" s="113"/>
      <c r="CE359" s="113"/>
      <c r="CF359" s="113"/>
      <c r="CG359" s="113"/>
      <c r="CH359" s="113"/>
      <c r="CI359" s="113"/>
      <c r="CJ359" s="113"/>
      <c r="CK359" s="113"/>
      <c r="CL359" s="113"/>
      <c r="CM359" s="113"/>
      <c r="CN359" s="113"/>
      <c r="CO359" s="113"/>
      <c r="CP359" s="113"/>
      <c r="CQ359" s="113"/>
      <c r="CR359" s="113"/>
      <c r="CS359" s="113"/>
      <c r="CT359" s="113"/>
      <c r="CU359" s="113"/>
    </row>
    <row r="360">
      <c r="A360" s="159" t="str">
        <f>IFERROR(__xludf.DUMMYFUNCTION("""COMPUTED_VALUE"""),"I-3")</f>
        <v>I-3</v>
      </c>
      <c r="B360" s="113" t="str">
        <f>IFERROR(__xludf.DUMMYFUNCTION("""COMPUTED_VALUE"""),"Barbara")</f>
        <v>Barbara</v>
      </c>
      <c r="C360" s="113" t="str">
        <f>IFERROR(__xludf.DUMMYFUNCTION("""COMPUTED_VALUE"""),"Bailey")</f>
        <v>Bailey</v>
      </c>
      <c r="D360" s="158">
        <f>IFERROR(__xludf.DUMMYFUNCTION("""COMPUTED_VALUE"""),1230.0)</f>
        <v>1230</v>
      </c>
      <c r="E360" s="161">
        <f t="shared" si="1"/>
        <v>7</v>
      </c>
      <c r="F360" s="160">
        <f>COUNTIFS('Scores Import DO NOT EDIT'!C:C, D360,'Scores Import DO NOT EDIT'!M:M,A360)</f>
        <v>7</v>
      </c>
      <c r="G360" s="162">
        <f t="shared" si="2"/>
        <v>1</v>
      </c>
      <c r="H360" s="163" t="str">
        <f t="shared" si="3"/>
        <v>I-31230</v>
      </c>
      <c r="I360" s="113"/>
      <c r="J360" s="113"/>
      <c r="K360" s="113"/>
      <c r="L360" s="158"/>
      <c r="M360" s="166" t="s">
        <v>375</v>
      </c>
      <c r="N360" s="113"/>
      <c r="O360" s="113"/>
      <c r="P360" s="113"/>
      <c r="Q360" s="113"/>
      <c r="R360" s="113"/>
      <c r="S360" s="113"/>
      <c r="T360" s="113"/>
      <c r="U360" s="113"/>
      <c r="V360" s="113"/>
      <c r="W360" s="113"/>
      <c r="X360" s="113"/>
      <c r="Y360" s="113"/>
      <c r="Z360" s="113"/>
      <c r="AA360" s="113"/>
      <c r="AB360" s="113"/>
      <c r="AC360" s="113"/>
      <c r="AD360" s="113"/>
      <c r="AE360" s="113"/>
      <c r="AF360" s="113"/>
      <c r="AG360" s="113"/>
      <c r="AH360" s="113"/>
      <c r="AI360" s="113"/>
      <c r="AJ360" s="113"/>
      <c r="AK360" s="113"/>
      <c r="AL360" s="113"/>
      <c r="AM360" s="113"/>
      <c r="AN360" s="113"/>
      <c r="AO360" s="113"/>
      <c r="AP360" s="113"/>
      <c r="AQ360" s="113"/>
      <c r="AR360" s="113"/>
      <c r="AS360" s="113"/>
      <c r="AT360" s="113"/>
      <c r="AU360" s="113"/>
      <c r="AV360" s="113"/>
      <c r="AW360" s="113"/>
      <c r="AX360" s="113"/>
      <c r="AY360" s="113"/>
      <c r="AZ360" s="113"/>
      <c r="BA360" s="113"/>
      <c r="BB360" s="113"/>
      <c r="BC360" s="113"/>
      <c r="BD360" s="113"/>
      <c r="BE360" s="113"/>
      <c r="BF360" s="113"/>
      <c r="BG360" s="113"/>
      <c r="BH360" s="113"/>
      <c r="BI360" s="113"/>
      <c r="BJ360" s="113"/>
      <c r="BK360" s="113"/>
      <c r="BL360" s="113"/>
      <c r="BM360" s="113"/>
      <c r="BN360" s="113"/>
      <c r="BO360" s="113"/>
      <c r="BP360" s="113"/>
      <c r="BQ360" s="113"/>
      <c r="BR360" s="113"/>
      <c r="BS360" s="113"/>
      <c r="BT360" s="113"/>
      <c r="BU360" s="113"/>
      <c r="BV360" s="113"/>
      <c r="BW360" s="113"/>
      <c r="BX360" s="113"/>
      <c r="BY360" s="113"/>
      <c r="BZ360" s="113"/>
      <c r="CA360" s="113"/>
      <c r="CB360" s="113"/>
      <c r="CC360" s="113"/>
      <c r="CD360" s="113"/>
      <c r="CE360" s="113"/>
      <c r="CF360" s="113"/>
      <c r="CG360" s="113"/>
      <c r="CH360" s="113"/>
      <c r="CI360" s="113"/>
      <c r="CJ360" s="113"/>
      <c r="CK360" s="113"/>
      <c r="CL360" s="113"/>
      <c r="CM360" s="113"/>
      <c r="CN360" s="113"/>
      <c r="CO360" s="113"/>
      <c r="CP360" s="113"/>
      <c r="CQ360" s="113"/>
      <c r="CR360" s="113"/>
      <c r="CS360" s="113"/>
      <c r="CT360" s="113"/>
      <c r="CU360" s="113"/>
    </row>
    <row r="361">
      <c r="A361" s="159" t="str">
        <f>IFERROR(__xludf.DUMMYFUNCTION("""COMPUTED_VALUE"""),"I-4")</f>
        <v>I-4</v>
      </c>
      <c r="B361" s="113" t="str">
        <f>IFERROR(__xludf.DUMMYFUNCTION("""COMPUTED_VALUE"""),"Valeria")</f>
        <v>Valeria</v>
      </c>
      <c r="C361" s="113" t="str">
        <f>IFERROR(__xludf.DUMMYFUNCTION("""COMPUTED_VALUE"""),"Reese")</f>
        <v>Reese</v>
      </c>
      <c r="D361" s="158">
        <f>IFERROR(__xludf.DUMMYFUNCTION("""COMPUTED_VALUE"""),1037.0)</f>
        <v>1037</v>
      </c>
      <c r="E361" s="161">
        <f t="shared" si="1"/>
        <v>8</v>
      </c>
      <c r="F361" s="160">
        <f>COUNTIFS('Scores Import DO NOT EDIT'!C:C, D361,'Scores Import DO NOT EDIT'!M:M,A361)</f>
        <v>0</v>
      </c>
      <c r="G361" s="162">
        <f t="shared" si="2"/>
        <v>0</v>
      </c>
      <c r="H361" s="163" t="str">
        <f t="shared" si="3"/>
        <v>I-41037</v>
      </c>
      <c r="I361" s="113"/>
      <c r="J361" s="113"/>
      <c r="K361" s="113"/>
      <c r="L361" s="158"/>
      <c r="M361" s="166" t="s">
        <v>377</v>
      </c>
      <c r="N361" s="113"/>
      <c r="O361" s="113"/>
      <c r="P361" s="113"/>
      <c r="Q361" s="113"/>
      <c r="R361" s="113"/>
      <c r="S361" s="113"/>
      <c r="T361" s="113"/>
      <c r="U361" s="113"/>
      <c r="V361" s="113"/>
      <c r="W361" s="113"/>
      <c r="X361" s="113"/>
      <c r="Y361" s="113"/>
      <c r="Z361" s="113"/>
      <c r="AA361" s="113"/>
      <c r="AB361" s="113"/>
      <c r="AC361" s="113"/>
      <c r="AD361" s="113"/>
      <c r="AE361" s="113"/>
      <c r="AF361" s="113"/>
      <c r="AG361" s="113"/>
      <c r="AH361" s="113"/>
      <c r="AI361" s="113"/>
      <c r="AJ361" s="113"/>
      <c r="AK361" s="113"/>
      <c r="AL361" s="113"/>
      <c r="AM361" s="113"/>
      <c r="AN361" s="113"/>
      <c r="AO361" s="113"/>
      <c r="AP361" s="113"/>
      <c r="AQ361" s="113"/>
      <c r="AR361" s="113"/>
      <c r="AS361" s="113"/>
      <c r="AT361" s="113"/>
      <c r="AU361" s="113"/>
      <c r="AV361" s="113"/>
      <c r="AW361" s="113"/>
      <c r="AX361" s="113"/>
      <c r="AY361" s="113"/>
      <c r="AZ361" s="113"/>
      <c r="BA361" s="113"/>
      <c r="BB361" s="113"/>
      <c r="BC361" s="113"/>
      <c r="BD361" s="113"/>
      <c r="BE361" s="113"/>
      <c r="BF361" s="113"/>
      <c r="BG361" s="113"/>
      <c r="BH361" s="113"/>
      <c r="BI361" s="113"/>
      <c r="BJ361" s="113"/>
      <c r="BK361" s="113"/>
      <c r="BL361" s="113"/>
      <c r="BM361" s="113"/>
      <c r="BN361" s="113"/>
      <c r="BO361" s="113"/>
      <c r="BP361" s="113"/>
      <c r="BQ361" s="113"/>
      <c r="BR361" s="113"/>
      <c r="BS361" s="113"/>
      <c r="BT361" s="113"/>
      <c r="BU361" s="113"/>
      <c r="BV361" s="113"/>
      <c r="BW361" s="113"/>
      <c r="BX361" s="113"/>
      <c r="BY361" s="113"/>
      <c r="BZ361" s="113"/>
      <c r="CA361" s="113"/>
      <c r="CB361" s="113"/>
      <c r="CC361" s="113"/>
      <c r="CD361" s="113"/>
      <c r="CE361" s="113"/>
      <c r="CF361" s="113"/>
      <c r="CG361" s="113"/>
      <c r="CH361" s="113"/>
      <c r="CI361" s="113"/>
      <c r="CJ361" s="113"/>
      <c r="CK361" s="113"/>
      <c r="CL361" s="113"/>
      <c r="CM361" s="113"/>
      <c r="CN361" s="113"/>
      <c r="CO361" s="113"/>
      <c r="CP361" s="113"/>
      <c r="CQ361" s="113"/>
      <c r="CR361" s="113"/>
      <c r="CS361" s="113"/>
      <c r="CT361" s="113"/>
      <c r="CU361" s="113"/>
    </row>
    <row r="362">
      <c r="A362" s="159" t="str">
        <f>IFERROR(__xludf.DUMMYFUNCTION("""COMPUTED_VALUE"""),"I-4")</f>
        <v>I-4</v>
      </c>
      <c r="B362" s="113" t="str">
        <f>IFERROR(__xludf.DUMMYFUNCTION("""COMPUTED_VALUE"""),"Lisa")</f>
        <v>Lisa</v>
      </c>
      <c r="C362" s="113" t="str">
        <f>IFERROR(__xludf.DUMMYFUNCTION("""COMPUTED_VALUE"""),"Lamb")</f>
        <v>Lamb</v>
      </c>
      <c r="D362" s="158">
        <f>IFERROR(__xludf.DUMMYFUNCTION("""COMPUTED_VALUE"""),1064.0)</f>
        <v>1064</v>
      </c>
      <c r="E362" s="161">
        <f t="shared" si="1"/>
        <v>8</v>
      </c>
      <c r="F362" s="160">
        <f>COUNTIFS('Scores Import DO NOT EDIT'!C:C, D362,'Scores Import DO NOT EDIT'!M:M,A362)</f>
        <v>8</v>
      </c>
      <c r="G362" s="162">
        <f t="shared" si="2"/>
        <v>1</v>
      </c>
      <c r="H362" s="163" t="str">
        <f t="shared" si="3"/>
        <v>I-41064</v>
      </c>
      <c r="I362" s="113"/>
      <c r="J362" s="113"/>
      <c r="K362" s="113"/>
      <c r="L362" s="158"/>
      <c r="M362" s="166" t="s">
        <v>380</v>
      </c>
      <c r="N362" s="113"/>
      <c r="O362" s="113"/>
      <c r="P362" s="113"/>
      <c r="Q362" s="113"/>
      <c r="R362" s="113"/>
      <c r="S362" s="113"/>
      <c r="T362" s="113"/>
      <c r="U362" s="113"/>
      <c r="V362" s="113"/>
      <c r="W362" s="113"/>
      <c r="X362" s="113"/>
      <c r="Y362" s="113"/>
      <c r="Z362" s="113"/>
      <c r="AA362" s="113"/>
      <c r="AB362" s="113"/>
      <c r="AC362" s="113"/>
      <c r="AD362" s="113"/>
      <c r="AE362" s="113"/>
      <c r="AF362" s="113"/>
      <c r="AG362" s="113"/>
      <c r="AH362" s="113"/>
      <c r="AI362" s="113"/>
      <c r="AJ362" s="113"/>
      <c r="AK362" s="113"/>
      <c r="AL362" s="113"/>
      <c r="AM362" s="113"/>
      <c r="AN362" s="113"/>
      <c r="AO362" s="113"/>
      <c r="AP362" s="113"/>
      <c r="AQ362" s="113"/>
      <c r="AR362" s="113"/>
      <c r="AS362" s="113"/>
      <c r="AT362" s="113"/>
      <c r="AU362" s="113"/>
      <c r="AV362" s="113"/>
      <c r="AW362" s="113"/>
      <c r="AX362" s="113"/>
      <c r="AY362" s="113"/>
      <c r="AZ362" s="113"/>
      <c r="BA362" s="113"/>
      <c r="BB362" s="113"/>
      <c r="BC362" s="113"/>
      <c r="BD362" s="113"/>
      <c r="BE362" s="113"/>
      <c r="BF362" s="113"/>
      <c r="BG362" s="113"/>
      <c r="BH362" s="113"/>
      <c r="BI362" s="113"/>
      <c r="BJ362" s="113"/>
      <c r="BK362" s="113"/>
      <c r="BL362" s="113"/>
      <c r="BM362" s="113"/>
      <c r="BN362" s="113"/>
      <c r="BO362" s="113"/>
      <c r="BP362" s="113"/>
      <c r="BQ362" s="113"/>
      <c r="BR362" s="113"/>
      <c r="BS362" s="113"/>
      <c r="BT362" s="113"/>
      <c r="BU362" s="113"/>
      <c r="BV362" s="113"/>
      <c r="BW362" s="113"/>
      <c r="BX362" s="113"/>
      <c r="BY362" s="113"/>
      <c r="BZ362" s="113"/>
      <c r="CA362" s="113"/>
      <c r="CB362" s="113"/>
      <c r="CC362" s="113"/>
      <c r="CD362" s="113"/>
      <c r="CE362" s="113"/>
      <c r="CF362" s="113"/>
      <c r="CG362" s="113"/>
      <c r="CH362" s="113"/>
      <c r="CI362" s="113"/>
      <c r="CJ362" s="113"/>
      <c r="CK362" s="113"/>
      <c r="CL362" s="113"/>
      <c r="CM362" s="113"/>
      <c r="CN362" s="113"/>
      <c r="CO362" s="113"/>
      <c r="CP362" s="113"/>
      <c r="CQ362" s="113"/>
      <c r="CR362" s="113"/>
      <c r="CS362" s="113"/>
      <c r="CT362" s="113"/>
      <c r="CU362" s="113"/>
    </row>
    <row r="363">
      <c r="A363" s="159" t="str">
        <f>IFERROR(__xludf.DUMMYFUNCTION("""COMPUTED_VALUE"""),"I-4")</f>
        <v>I-4</v>
      </c>
      <c r="B363" s="113" t="str">
        <f>IFERROR(__xludf.DUMMYFUNCTION("""COMPUTED_VALUE"""),"Katya")</f>
        <v>Katya</v>
      </c>
      <c r="C363" s="113" t="str">
        <f>IFERROR(__xludf.DUMMYFUNCTION("""COMPUTED_VALUE"""),"Hernandez")</f>
        <v>Hernandez</v>
      </c>
      <c r="D363" s="158">
        <f>IFERROR(__xludf.DUMMYFUNCTION("""COMPUTED_VALUE"""),1125.0)</f>
        <v>1125</v>
      </c>
      <c r="E363" s="161">
        <f t="shared" si="1"/>
        <v>8</v>
      </c>
      <c r="F363" s="160">
        <f>COUNTIFS('Scores Import DO NOT EDIT'!C:C, D363,'Scores Import DO NOT EDIT'!M:M,A363)</f>
        <v>7</v>
      </c>
      <c r="G363" s="162">
        <f t="shared" si="2"/>
        <v>0.875</v>
      </c>
      <c r="H363" s="163" t="str">
        <f t="shared" si="3"/>
        <v>I-41125</v>
      </c>
      <c r="I363" s="113"/>
      <c r="J363" s="113"/>
      <c r="K363" s="113"/>
      <c r="L363" s="158"/>
      <c r="M363" s="166" t="s">
        <v>444</v>
      </c>
      <c r="N363" s="113"/>
      <c r="O363" s="113"/>
      <c r="P363" s="113"/>
      <c r="Q363" s="113"/>
      <c r="R363" s="113"/>
      <c r="S363" s="113"/>
      <c r="T363" s="113"/>
      <c r="U363" s="113"/>
      <c r="V363" s="113"/>
      <c r="W363" s="113"/>
      <c r="X363" s="113"/>
      <c r="Y363" s="113"/>
      <c r="Z363" s="113"/>
      <c r="AA363" s="113"/>
      <c r="AB363" s="113"/>
      <c r="AC363" s="113"/>
      <c r="AD363" s="113"/>
      <c r="AE363" s="113"/>
      <c r="AF363" s="113"/>
      <c r="AG363" s="113"/>
      <c r="AH363" s="113"/>
      <c r="AI363" s="113"/>
      <c r="AJ363" s="113"/>
      <c r="AK363" s="113"/>
      <c r="AL363" s="113"/>
      <c r="AM363" s="113"/>
      <c r="AN363" s="113"/>
      <c r="AO363" s="113"/>
      <c r="AP363" s="113"/>
      <c r="AQ363" s="113"/>
      <c r="AR363" s="113"/>
      <c r="AS363" s="113"/>
      <c r="AT363" s="113"/>
      <c r="AU363" s="113"/>
      <c r="AV363" s="113"/>
      <c r="AW363" s="113"/>
      <c r="AX363" s="113"/>
      <c r="AY363" s="113"/>
      <c r="AZ363" s="113"/>
      <c r="BA363" s="113"/>
      <c r="BB363" s="113"/>
      <c r="BC363" s="113"/>
      <c r="BD363" s="113"/>
      <c r="BE363" s="113"/>
      <c r="BF363" s="113"/>
      <c r="BG363" s="113"/>
      <c r="BH363" s="113"/>
      <c r="BI363" s="113"/>
      <c r="BJ363" s="113"/>
      <c r="BK363" s="113"/>
      <c r="BL363" s="113"/>
      <c r="BM363" s="113"/>
      <c r="BN363" s="113"/>
      <c r="BO363" s="113"/>
      <c r="BP363" s="113"/>
      <c r="BQ363" s="113"/>
      <c r="BR363" s="113"/>
      <c r="BS363" s="113"/>
      <c r="BT363" s="113"/>
      <c r="BU363" s="113"/>
      <c r="BV363" s="113"/>
      <c r="BW363" s="113"/>
      <c r="BX363" s="113"/>
      <c r="BY363" s="113"/>
      <c r="BZ363" s="113"/>
      <c r="CA363" s="113"/>
      <c r="CB363" s="113"/>
      <c r="CC363" s="113"/>
      <c r="CD363" s="113"/>
      <c r="CE363" s="113"/>
      <c r="CF363" s="113"/>
      <c r="CG363" s="113"/>
      <c r="CH363" s="113"/>
      <c r="CI363" s="113"/>
      <c r="CJ363" s="113"/>
      <c r="CK363" s="113"/>
      <c r="CL363" s="113"/>
      <c r="CM363" s="113"/>
      <c r="CN363" s="113"/>
      <c r="CO363" s="113"/>
      <c r="CP363" s="113"/>
      <c r="CQ363" s="113"/>
      <c r="CR363" s="113"/>
      <c r="CS363" s="113"/>
      <c r="CT363" s="113"/>
      <c r="CU363" s="113"/>
    </row>
    <row r="364">
      <c r="A364" s="159" t="str">
        <f>IFERROR(__xludf.DUMMYFUNCTION("""COMPUTED_VALUE"""),"I-5")</f>
        <v>I-5</v>
      </c>
      <c r="B364" s="113" t="str">
        <f>IFERROR(__xludf.DUMMYFUNCTION("""COMPUTED_VALUE"""),"Rachel")</f>
        <v>Rachel</v>
      </c>
      <c r="C364" s="113" t="str">
        <f>IFERROR(__xludf.DUMMYFUNCTION("""COMPUTED_VALUE"""),"Schuck")</f>
        <v>Schuck</v>
      </c>
      <c r="D364" s="158">
        <f>IFERROR(__xludf.DUMMYFUNCTION("""COMPUTED_VALUE"""),1103.0)</f>
        <v>1103</v>
      </c>
      <c r="E364" s="161">
        <f t="shared" si="1"/>
        <v>7</v>
      </c>
      <c r="F364" s="160">
        <f>COUNTIFS('Scores Import DO NOT EDIT'!C:C, D364,'Scores Import DO NOT EDIT'!M:M,A364)</f>
        <v>6</v>
      </c>
      <c r="G364" s="162">
        <f t="shared" si="2"/>
        <v>0.8571428571</v>
      </c>
      <c r="H364" s="163" t="str">
        <f t="shared" si="3"/>
        <v>I-51103</v>
      </c>
      <c r="I364" s="113"/>
      <c r="J364" s="113"/>
      <c r="K364" s="113"/>
      <c r="L364" s="158"/>
      <c r="M364" s="166" t="s">
        <v>443</v>
      </c>
      <c r="N364" s="113"/>
      <c r="O364" s="113"/>
      <c r="P364" s="113"/>
      <c r="Q364" s="113"/>
      <c r="R364" s="113"/>
      <c r="S364" s="113"/>
      <c r="T364" s="113"/>
      <c r="U364" s="113"/>
      <c r="V364" s="113"/>
      <c r="W364" s="113"/>
      <c r="X364" s="113"/>
      <c r="Y364" s="113"/>
      <c r="Z364" s="113"/>
      <c r="AA364" s="113"/>
      <c r="AB364" s="113"/>
      <c r="AC364" s="113"/>
      <c r="AD364" s="113"/>
      <c r="AE364" s="113"/>
      <c r="AF364" s="113"/>
      <c r="AG364" s="113"/>
      <c r="AH364" s="113"/>
      <c r="AI364" s="113"/>
      <c r="AJ364" s="113"/>
      <c r="AK364" s="113"/>
      <c r="AL364" s="113"/>
      <c r="AM364" s="113"/>
      <c r="AN364" s="113"/>
      <c r="AO364" s="113"/>
      <c r="AP364" s="113"/>
      <c r="AQ364" s="113"/>
      <c r="AR364" s="113"/>
      <c r="AS364" s="113"/>
      <c r="AT364" s="113"/>
      <c r="AU364" s="113"/>
      <c r="AV364" s="113"/>
      <c r="AW364" s="113"/>
      <c r="AX364" s="113"/>
      <c r="AY364" s="113"/>
      <c r="AZ364" s="113"/>
      <c r="BA364" s="113"/>
      <c r="BB364" s="113"/>
      <c r="BC364" s="113"/>
      <c r="BD364" s="113"/>
      <c r="BE364" s="113"/>
      <c r="BF364" s="113"/>
      <c r="BG364" s="113"/>
      <c r="BH364" s="113"/>
      <c r="BI364" s="113"/>
      <c r="BJ364" s="113"/>
      <c r="BK364" s="113"/>
      <c r="BL364" s="113"/>
      <c r="BM364" s="113"/>
      <c r="BN364" s="113"/>
      <c r="BO364" s="113"/>
      <c r="BP364" s="113"/>
      <c r="BQ364" s="113"/>
      <c r="BR364" s="113"/>
      <c r="BS364" s="113"/>
      <c r="BT364" s="113"/>
      <c r="BU364" s="113"/>
      <c r="BV364" s="113"/>
      <c r="BW364" s="113"/>
      <c r="BX364" s="113"/>
      <c r="BY364" s="113"/>
      <c r="BZ364" s="113"/>
      <c r="CA364" s="113"/>
      <c r="CB364" s="113"/>
      <c r="CC364" s="113"/>
      <c r="CD364" s="113"/>
      <c r="CE364" s="113"/>
      <c r="CF364" s="113"/>
      <c r="CG364" s="113"/>
      <c r="CH364" s="113"/>
      <c r="CI364" s="113"/>
      <c r="CJ364" s="113"/>
      <c r="CK364" s="113"/>
      <c r="CL364" s="113"/>
      <c r="CM364" s="113"/>
      <c r="CN364" s="113"/>
      <c r="CO364" s="113"/>
      <c r="CP364" s="113"/>
      <c r="CQ364" s="113"/>
      <c r="CR364" s="113"/>
      <c r="CS364" s="113"/>
      <c r="CT364" s="113"/>
      <c r="CU364" s="113"/>
    </row>
    <row r="365">
      <c r="A365" s="159" t="str">
        <f>IFERROR(__xludf.DUMMYFUNCTION("""COMPUTED_VALUE"""),"I-5")</f>
        <v>I-5</v>
      </c>
      <c r="B365" s="113" t="str">
        <f>IFERROR(__xludf.DUMMYFUNCTION("""COMPUTED_VALUE"""),"Ashleigh")</f>
        <v>Ashleigh</v>
      </c>
      <c r="C365" s="113" t="str">
        <f>IFERROR(__xludf.DUMMYFUNCTION("""COMPUTED_VALUE"""),"Johnson")</f>
        <v>Johnson</v>
      </c>
      <c r="D365" s="158">
        <f>IFERROR(__xludf.DUMMYFUNCTION("""COMPUTED_VALUE"""),1016.0)</f>
        <v>1016</v>
      </c>
      <c r="E365" s="161">
        <f t="shared" si="1"/>
        <v>7</v>
      </c>
      <c r="F365" s="160">
        <f>COUNTIFS('Scores Import DO NOT EDIT'!C:C, D365,'Scores Import DO NOT EDIT'!M:M,A365)</f>
        <v>6</v>
      </c>
      <c r="G365" s="162">
        <f t="shared" si="2"/>
        <v>0.8571428571</v>
      </c>
      <c r="H365" s="163" t="str">
        <f t="shared" si="3"/>
        <v>I-51016</v>
      </c>
      <c r="I365" s="113"/>
      <c r="J365" s="113"/>
      <c r="K365" s="113"/>
      <c r="L365" s="158"/>
      <c r="M365" s="166" t="s">
        <v>441</v>
      </c>
      <c r="N365" s="113"/>
      <c r="O365" s="113"/>
      <c r="P365" s="113"/>
      <c r="Q365" s="113"/>
      <c r="R365" s="113"/>
      <c r="S365" s="113"/>
      <c r="T365" s="113"/>
      <c r="U365" s="113"/>
      <c r="V365" s="113"/>
      <c r="W365" s="113"/>
      <c r="X365" s="113"/>
      <c r="Y365" s="113"/>
      <c r="Z365" s="113"/>
      <c r="AA365" s="113"/>
      <c r="AB365" s="113"/>
      <c r="AC365" s="113"/>
      <c r="AD365" s="113"/>
      <c r="AE365" s="113"/>
      <c r="AF365" s="113"/>
      <c r="AG365" s="113"/>
      <c r="AH365" s="113"/>
      <c r="AI365" s="113"/>
      <c r="AJ365" s="113"/>
      <c r="AK365" s="113"/>
      <c r="AL365" s="113"/>
      <c r="AM365" s="113"/>
      <c r="AN365" s="113"/>
      <c r="AO365" s="113"/>
      <c r="AP365" s="113"/>
      <c r="AQ365" s="113"/>
      <c r="AR365" s="113"/>
      <c r="AS365" s="113"/>
      <c r="AT365" s="113"/>
      <c r="AU365" s="113"/>
      <c r="AV365" s="113"/>
      <c r="AW365" s="113"/>
      <c r="AX365" s="113"/>
      <c r="AY365" s="113"/>
      <c r="AZ365" s="113"/>
      <c r="BA365" s="113"/>
      <c r="BB365" s="113"/>
      <c r="BC365" s="113"/>
      <c r="BD365" s="113"/>
      <c r="BE365" s="113"/>
      <c r="BF365" s="113"/>
      <c r="BG365" s="113"/>
      <c r="BH365" s="113"/>
      <c r="BI365" s="113"/>
      <c r="BJ365" s="113"/>
      <c r="BK365" s="113"/>
      <c r="BL365" s="113"/>
      <c r="BM365" s="113"/>
      <c r="BN365" s="113"/>
      <c r="BO365" s="113"/>
      <c r="BP365" s="113"/>
      <c r="BQ365" s="113"/>
      <c r="BR365" s="113"/>
      <c r="BS365" s="113"/>
      <c r="BT365" s="113"/>
      <c r="BU365" s="113"/>
      <c r="BV365" s="113"/>
      <c r="BW365" s="113"/>
      <c r="BX365" s="113"/>
      <c r="BY365" s="113"/>
      <c r="BZ365" s="113"/>
      <c r="CA365" s="113"/>
      <c r="CB365" s="113"/>
      <c r="CC365" s="113"/>
      <c r="CD365" s="113"/>
      <c r="CE365" s="113"/>
      <c r="CF365" s="113"/>
      <c r="CG365" s="113"/>
      <c r="CH365" s="113"/>
      <c r="CI365" s="113"/>
      <c r="CJ365" s="113"/>
      <c r="CK365" s="113"/>
      <c r="CL365" s="113"/>
      <c r="CM365" s="113"/>
      <c r="CN365" s="113"/>
      <c r="CO365" s="113"/>
      <c r="CP365" s="113"/>
      <c r="CQ365" s="113"/>
      <c r="CR365" s="113"/>
      <c r="CS365" s="113"/>
      <c r="CT365" s="113"/>
      <c r="CU365" s="113"/>
    </row>
    <row r="366">
      <c r="A366" s="159" t="str">
        <f>IFERROR(__xludf.DUMMYFUNCTION("""COMPUTED_VALUE"""),"I-5")</f>
        <v>I-5</v>
      </c>
      <c r="B366" s="113" t="str">
        <f>IFERROR(__xludf.DUMMYFUNCTION("""COMPUTED_VALUE"""),"Carolyn")</f>
        <v>Carolyn</v>
      </c>
      <c r="C366" s="113" t="str">
        <f>IFERROR(__xludf.DUMMYFUNCTION("""COMPUTED_VALUE"""),"Veseliny")</f>
        <v>Veseliny</v>
      </c>
      <c r="D366" s="158">
        <f>IFERROR(__xludf.DUMMYFUNCTION("""COMPUTED_VALUE"""),1111.0)</f>
        <v>1111</v>
      </c>
      <c r="E366" s="161">
        <f t="shared" si="1"/>
        <v>7</v>
      </c>
      <c r="F366" s="160">
        <f>COUNTIFS('Scores Import DO NOT EDIT'!C:C, D366,'Scores Import DO NOT EDIT'!M:M,A366)</f>
        <v>1</v>
      </c>
      <c r="G366" s="162">
        <f t="shared" si="2"/>
        <v>0.1428571429</v>
      </c>
      <c r="H366" s="163" t="str">
        <f t="shared" si="3"/>
        <v>I-51111</v>
      </c>
      <c r="I366" s="113"/>
      <c r="J366" s="113"/>
      <c r="K366" s="113"/>
      <c r="L366" s="158"/>
      <c r="M366" s="166" t="s">
        <v>442</v>
      </c>
      <c r="N366" s="113"/>
      <c r="O366" s="113"/>
      <c r="P366" s="113"/>
      <c r="Q366" s="113"/>
      <c r="R366" s="113"/>
      <c r="S366" s="113"/>
      <c r="T366" s="113"/>
      <c r="U366" s="113"/>
      <c r="V366" s="113"/>
      <c r="W366" s="113"/>
      <c r="X366" s="113"/>
      <c r="Y366" s="113"/>
      <c r="Z366" s="113"/>
      <c r="AA366" s="113"/>
      <c r="AB366" s="113"/>
      <c r="AC366" s="113"/>
      <c r="AD366" s="113"/>
      <c r="AE366" s="113"/>
      <c r="AF366" s="113"/>
      <c r="AG366" s="113"/>
      <c r="AH366" s="113"/>
      <c r="AI366" s="113"/>
      <c r="AJ366" s="113"/>
      <c r="AK366" s="113"/>
      <c r="AL366" s="113"/>
      <c r="AM366" s="113"/>
      <c r="AN366" s="113"/>
      <c r="AO366" s="113"/>
      <c r="AP366" s="113"/>
      <c r="AQ366" s="113"/>
      <c r="AR366" s="113"/>
      <c r="AS366" s="113"/>
      <c r="AT366" s="113"/>
      <c r="AU366" s="113"/>
      <c r="AV366" s="113"/>
      <c r="AW366" s="113"/>
      <c r="AX366" s="113"/>
      <c r="AY366" s="113"/>
      <c r="AZ366" s="113"/>
      <c r="BA366" s="113"/>
      <c r="BB366" s="113"/>
      <c r="BC366" s="113"/>
      <c r="BD366" s="113"/>
      <c r="BE366" s="113"/>
      <c r="BF366" s="113"/>
      <c r="BG366" s="113"/>
      <c r="BH366" s="113"/>
      <c r="BI366" s="113"/>
      <c r="BJ366" s="113"/>
      <c r="BK366" s="113"/>
      <c r="BL366" s="113"/>
      <c r="BM366" s="113"/>
      <c r="BN366" s="113"/>
      <c r="BO366" s="113"/>
      <c r="BP366" s="113"/>
      <c r="BQ366" s="113"/>
      <c r="BR366" s="113"/>
      <c r="BS366" s="113"/>
      <c r="BT366" s="113"/>
      <c r="BU366" s="113"/>
      <c r="BV366" s="113"/>
      <c r="BW366" s="113"/>
      <c r="BX366" s="113"/>
      <c r="BY366" s="113"/>
      <c r="BZ366" s="113"/>
      <c r="CA366" s="113"/>
      <c r="CB366" s="113"/>
      <c r="CC366" s="113"/>
      <c r="CD366" s="113"/>
      <c r="CE366" s="113"/>
      <c r="CF366" s="113"/>
      <c r="CG366" s="113"/>
      <c r="CH366" s="113"/>
      <c r="CI366" s="113"/>
      <c r="CJ366" s="113"/>
      <c r="CK366" s="113"/>
      <c r="CL366" s="113"/>
      <c r="CM366" s="113"/>
      <c r="CN366" s="113"/>
      <c r="CO366" s="113"/>
      <c r="CP366" s="113"/>
      <c r="CQ366" s="113"/>
      <c r="CR366" s="113"/>
      <c r="CS366" s="113"/>
      <c r="CT366" s="113"/>
      <c r="CU366" s="113"/>
    </row>
    <row r="367">
      <c r="A367" s="159" t="str">
        <f>IFERROR(__xludf.DUMMYFUNCTION("""COMPUTED_VALUE"""),"I-5")</f>
        <v>I-5</v>
      </c>
      <c r="B367" s="113" t="str">
        <f>IFERROR(__xludf.DUMMYFUNCTION("""COMPUTED_VALUE"""),"Stephanie")</f>
        <v>Stephanie</v>
      </c>
      <c r="C367" s="113" t="str">
        <f>IFERROR(__xludf.DUMMYFUNCTION("""COMPUTED_VALUE"""),"Pedrahita")</f>
        <v>Pedrahita</v>
      </c>
      <c r="D367" s="158">
        <f>IFERROR(__xludf.DUMMYFUNCTION("""COMPUTED_VALUE"""),1225.0)</f>
        <v>1225</v>
      </c>
      <c r="E367" s="161">
        <f t="shared" si="1"/>
        <v>7</v>
      </c>
      <c r="F367" s="160">
        <f>COUNTIFS('Scores Import DO NOT EDIT'!C:C, D367,'Scores Import DO NOT EDIT'!M:M,A367)</f>
        <v>0</v>
      </c>
      <c r="G367" s="162">
        <f t="shared" si="2"/>
        <v>0</v>
      </c>
      <c r="H367" s="163" t="str">
        <f t="shared" si="3"/>
        <v>I-51225</v>
      </c>
      <c r="I367" s="113"/>
      <c r="J367" s="113"/>
      <c r="K367" s="113"/>
      <c r="L367" s="158"/>
      <c r="M367" s="166" t="s">
        <v>440</v>
      </c>
      <c r="N367" s="113"/>
      <c r="O367" s="113"/>
      <c r="P367" s="113"/>
      <c r="Q367" s="113"/>
      <c r="R367" s="113"/>
      <c r="S367" s="113"/>
      <c r="T367" s="113"/>
      <c r="U367" s="113"/>
      <c r="V367" s="113"/>
      <c r="W367" s="113"/>
      <c r="X367" s="113"/>
      <c r="Y367" s="113"/>
      <c r="Z367" s="113"/>
      <c r="AA367" s="113"/>
      <c r="AB367" s="113"/>
      <c r="AC367" s="113"/>
      <c r="AD367" s="113"/>
      <c r="AE367" s="113"/>
      <c r="AF367" s="113"/>
      <c r="AG367" s="113"/>
      <c r="AH367" s="113"/>
      <c r="AI367" s="113"/>
      <c r="AJ367" s="113"/>
      <c r="AK367" s="113"/>
      <c r="AL367" s="113"/>
      <c r="AM367" s="113"/>
      <c r="AN367" s="113"/>
      <c r="AO367" s="113"/>
      <c r="AP367" s="113"/>
      <c r="AQ367" s="113"/>
      <c r="AR367" s="113"/>
      <c r="AS367" s="113"/>
      <c r="AT367" s="113"/>
      <c r="AU367" s="113"/>
      <c r="AV367" s="113"/>
      <c r="AW367" s="113"/>
      <c r="AX367" s="113"/>
      <c r="AY367" s="113"/>
      <c r="AZ367" s="113"/>
      <c r="BA367" s="113"/>
      <c r="BB367" s="113"/>
      <c r="BC367" s="113"/>
      <c r="BD367" s="113"/>
      <c r="BE367" s="113"/>
      <c r="BF367" s="113"/>
      <c r="BG367" s="113"/>
      <c r="BH367" s="113"/>
      <c r="BI367" s="113"/>
      <c r="BJ367" s="113"/>
      <c r="BK367" s="113"/>
      <c r="BL367" s="113"/>
      <c r="BM367" s="113"/>
      <c r="BN367" s="113"/>
      <c r="BO367" s="113"/>
      <c r="BP367" s="113"/>
      <c r="BQ367" s="113"/>
      <c r="BR367" s="113"/>
      <c r="BS367" s="113"/>
      <c r="BT367" s="113"/>
      <c r="BU367" s="113"/>
      <c r="BV367" s="113"/>
      <c r="BW367" s="113"/>
      <c r="BX367" s="113"/>
      <c r="BY367" s="113"/>
      <c r="BZ367" s="113"/>
      <c r="CA367" s="113"/>
      <c r="CB367" s="113"/>
      <c r="CC367" s="113"/>
      <c r="CD367" s="113"/>
      <c r="CE367" s="113"/>
      <c r="CF367" s="113"/>
      <c r="CG367" s="113"/>
      <c r="CH367" s="113"/>
      <c r="CI367" s="113"/>
      <c r="CJ367" s="113"/>
      <c r="CK367" s="113"/>
      <c r="CL367" s="113"/>
      <c r="CM367" s="113"/>
      <c r="CN367" s="113"/>
      <c r="CO367" s="113"/>
      <c r="CP367" s="113"/>
      <c r="CQ367" s="113"/>
      <c r="CR367" s="113"/>
      <c r="CS367" s="113"/>
      <c r="CT367" s="113"/>
      <c r="CU367" s="113"/>
    </row>
    <row r="368">
      <c r="A368" s="159" t="str">
        <f>IFERROR(__xludf.DUMMYFUNCTION("""COMPUTED_VALUE"""),"I-6")</f>
        <v>I-6</v>
      </c>
      <c r="B368" s="113" t="str">
        <f>IFERROR(__xludf.DUMMYFUNCTION("""COMPUTED_VALUE"""),"Naveen K.")</f>
        <v>Naveen K.</v>
      </c>
      <c r="C368" s="113" t="str">
        <f>IFERROR(__xludf.DUMMYFUNCTION("""COMPUTED_VALUE"""),"Vaidya")</f>
        <v>Vaidya</v>
      </c>
      <c r="D368" s="158">
        <f>IFERROR(__xludf.DUMMYFUNCTION("""COMPUTED_VALUE"""),1192.0)</f>
        <v>1192</v>
      </c>
      <c r="E368" s="161">
        <f t="shared" si="1"/>
        <v>8</v>
      </c>
      <c r="F368" s="160">
        <f>COUNTIFS('Scores Import DO NOT EDIT'!C:C, D368,'Scores Import DO NOT EDIT'!M:M,A368)</f>
        <v>7</v>
      </c>
      <c r="G368" s="162">
        <f t="shared" si="2"/>
        <v>0.875</v>
      </c>
      <c r="H368" s="163" t="str">
        <f t="shared" si="3"/>
        <v>I-61192</v>
      </c>
      <c r="I368" s="113"/>
      <c r="J368" s="113"/>
      <c r="K368" s="113"/>
      <c r="L368" s="158"/>
      <c r="M368" s="166" t="s">
        <v>438</v>
      </c>
      <c r="N368" s="113"/>
      <c r="O368" s="113"/>
      <c r="P368" s="113"/>
      <c r="Q368" s="113"/>
      <c r="R368" s="113"/>
      <c r="S368" s="113"/>
      <c r="T368" s="113"/>
      <c r="U368" s="113"/>
      <c r="V368" s="113"/>
      <c r="W368" s="113"/>
      <c r="X368" s="113"/>
      <c r="Y368" s="113"/>
      <c r="Z368" s="113"/>
      <c r="AA368" s="113"/>
      <c r="AB368" s="113"/>
      <c r="AC368" s="113"/>
      <c r="AD368" s="113"/>
      <c r="AE368" s="113"/>
      <c r="AF368" s="113"/>
      <c r="AG368" s="113"/>
      <c r="AH368" s="113"/>
      <c r="AI368" s="113"/>
      <c r="AJ368" s="113"/>
      <c r="AK368" s="113"/>
      <c r="AL368" s="113"/>
      <c r="AM368" s="113"/>
      <c r="AN368" s="113"/>
      <c r="AO368" s="113"/>
      <c r="AP368" s="113"/>
      <c r="AQ368" s="113"/>
      <c r="AR368" s="113"/>
      <c r="AS368" s="113"/>
      <c r="AT368" s="113"/>
      <c r="AU368" s="113"/>
      <c r="AV368" s="113"/>
      <c r="AW368" s="113"/>
      <c r="AX368" s="113"/>
      <c r="AY368" s="113"/>
      <c r="AZ368" s="113"/>
      <c r="BA368" s="113"/>
      <c r="BB368" s="113"/>
      <c r="BC368" s="113"/>
      <c r="BD368" s="113"/>
      <c r="BE368" s="113"/>
      <c r="BF368" s="113"/>
      <c r="BG368" s="113"/>
      <c r="BH368" s="113"/>
      <c r="BI368" s="113"/>
      <c r="BJ368" s="113"/>
      <c r="BK368" s="113"/>
      <c r="BL368" s="113"/>
      <c r="BM368" s="113"/>
      <c r="BN368" s="113"/>
      <c r="BO368" s="113"/>
      <c r="BP368" s="113"/>
      <c r="BQ368" s="113"/>
      <c r="BR368" s="113"/>
      <c r="BS368" s="113"/>
      <c r="BT368" s="113"/>
      <c r="BU368" s="113"/>
      <c r="BV368" s="113"/>
      <c r="BW368" s="113"/>
      <c r="BX368" s="113"/>
      <c r="BY368" s="113"/>
      <c r="BZ368" s="113"/>
      <c r="CA368" s="113"/>
      <c r="CB368" s="113"/>
      <c r="CC368" s="113"/>
      <c r="CD368" s="113"/>
      <c r="CE368" s="113"/>
      <c r="CF368" s="113"/>
      <c r="CG368" s="113"/>
      <c r="CH368" s="113"/>
      <c r="CI368" s="113"/>
      <c r="CJ368" s="113"/>
      <c r="CK368" s="113"/>
      <c r="CL368" s="113"/>
      <c r="CM368" s="113"/>
      <c r="CN368" s="113"/>
      <c r="CO368" s="113"/>
      <c r="CP368" s="113"/>
      <c r="CQ368" s="113"/>
      <c r="CR368" s="113"/>
      <c r="CS368" s="113"/>
      <c r="CT368" s="113"/>
      <c r="CU368" s="113"/>
    </row>
    <row r="369">
      <c r="A369" s="159" t="str">
        <f>IFERROR(__xludf.DUMMYFUNCTION("""COMPUTED_VALUE"""),"I-6")</f>
        <v>I-6</v>
      </c>
      <c r="B369" s="113" t="str">
        <f>IFERROR(__xludf.DUMMYFUNCTION("""COMPUTED_VALUE"""),"Anel")</f>
        <v>Anel</v>
      </c>
      <c r="C369" s="113" t="str">
        <f>IFERROR(__xludf.DUMMYFUNCTION("""COMPUTED_VALUE"""),"Lizcano")</f>
        <v>Lizcano</v>
      </c>
      <c r="D369" s="158">
        <f>IFERROR(__xludf.DUMMYFUNCTION("""COMPUTED_VALUE"""),1209.0)</f>
        <v>1209</v>
      </c>
      <c r="E369" s="161">
        <f t="shared" si="1"/>
        <v>8</v>
      </c>
      <c r="F369" s="160">
        <f>COUNTIFS('Scores Import DO NOT EDIT'!C:C, D369,'Scores Import DO NOT EDIT'!M:M,A369)</f>
        <v>6</v>
      </c>
      <c r="G369" s="162">
        <f t="shared" si="2"/>
        <v>0.75</v>
      </c>
      <c r="H369" s="163" t="str">
        <f t="shared" si="3"/>
        <v>I-61209</v>
      </c>
      <c r="I369" s="113"/>
      <c r="J369" s="113"/>
      <c r="K369" s="113"/>
      <c r="L369" s="158"/>
      <c r="M369" s="166" t="s">
        <v>465</v>
      </c>
      <c r="N369" s="113"/>
      <c r="O369" s="113"/>
      <c r="P369" s="113"/>
      <c r="Q369" s="113"/>
      <c r="R369" s="113"/>
      <c r="S369" s="113"/>
      <c r="T369" s="113"/>
      <c r="U369" s="113"/>
      <c r="V369" s="113"/>
      <c r="W369" s="113"/>
      <c r="X369" s="113"/>
      <c r="Y369" s="113"/>
      <c r="Z369" s="113"/>
      <c r="AA369" s="113"/>
      <c r="AB369" s="113"/>
      <c r="AC369" s="113"/>
      <c r="AD369" s="113"/>
      <c r="AE369" s="113"/>
      <c r="AF369" s="113"/>
      <c r="AG369" s="113"/>
      <c r="AH369" s="113"/>
      <c r="AI369" s="113"/>
      <c r="AJ369" s="113"/>
      <c r="AK369" s="113"/>
      <c r="AL369" s="113"/>
      <c r="AM369" s="113"/>
      <c r="AN369" s="113"/>
      <c r="AO369" s="113"/>
      <c r="AP369" s="113"/>
      <c r="AQ369" s="113"/>
      <c r="AR369" s="113"/>
      <c r="AS369" s="113"/>
      <c r="AT369" s="113"/>
      <c r="AU369" s="113"/>
      <c r="AV369" s="113"/>
      <c r="AW369" s="113"/>
      <c r="AX369" s="113"/>
      <c r="AY369" s="113"/>
      <c r="AZ369" s="113"/>
      <c r="BA369" s="113"/>
      <c r="BB369" s="113"/>
      <c r="BC369" s="113"/>
      <c r="BD369" s="113"/>
      <c r="BE369" s="113"/>
      <c r="BF369" s="113"/>
      <c r="BG369" s="113"/>
      <c r="BH369" s="113"/>
      <c r="BI369" s="113"/>
      <c r="BJ369" s="113"/>
      <c r="BK369" s="113"/>
      <c r="BL369" s="113"/>
      <c r="BM369" s="113"/>
      <c r="BN369" s="113"/>
      <c r="BO369" s="113"/>
      <c r="BP369" s="113"/>
      <c r="BQ369" s="113"/>
      <c r="BR369" s="113"/>
      <c r="BS369" s="113"/>
      <c r="BT369" s="113"/>
      <c r="BU369" s="113"/>
      <c r="BV369" s="113"/>
      <c r="BW369" s="113"/>
      <c r="BX369" s="113"/>
      <c r="BY369" s="113"/>
      <c r="BZ369" s="113"/>
      <c r="CA369" s="113"/>
      <c r="CB369" s="113"/>
      <c r="CC369" s="113"/>
      <c r="CD369" s="113"/>
      <c r="CE369" s="113"/>
      <c r="CF369" s="113"/>
      <c r="CG369" s="113"/>
      <c r="CH369" s="113"/>
      <c r="CI369" s="113"/>
      <c r="CJ369" s="113"/>
      <c r="CK369" s="113"/>
      <c r="CL369" s="113"/>
      <c r="CM369" s="113"/>
      <c r="CN369" s="113"/>
      <c r="CO369" s="113"/>
      <c r="CP369" s="113"/>
      <c r="CQ369" s="113"/>
      <c r="CR369" s="113"/>
      <c r="CS369" s="113"/>
      <c r="CT369" s="113"/>
      <c r="CU369" s="113"/>
    </row>
    <row r="370">
      <c r="A370" s="159" t="str">
        <f>IFERROR(__xludf.DUMMYFUNCTION("""COMPUTED_VALUE"""),"I-6")</f>
        <v>I-6</v>
      </c>
      <c r="B370" s="113" t="str">
        <f>IFERROR(__xludf.DUMMYFUNCTION("""COMPUTED_VALUE"""),"Tiffany")</f>
        <v>Tiffany</v>
      </c>
      <c r="C370" s="113" t="str">
        <f>IFERROR(__xludf.DUMMYFUNCTION("""COMPUTED_VALUE"""),"Luong")</f>
        <v>Luong</v>
      </c>
      <c r="D370" s="158">
        <f>IFERROR(__xludf.DUMMYFUNCTION("""COMPUTED_VALUE"""),1158.0)</f>
        <v>1158</v>
      </c>
      <c r="E370" s="161">
        <f t="shared" si="1"/>
        <v>8</v>
      </c>
      <c r="F370" s="160">
        <f>COUNTIFS('Scores Import DO NOT EDIT'!C:C, D370,'Scores Import DO NOT EDIT'!M:M,A370)</f>
        <v>7</v>
      </c>
      <c r="G370" s="162">
        <f t="shared" si="2"/>
        <v>0.875</v>
      </c>
      <c r="H370" s="163" t="str">
        <f t="shared" si="3"/>
        <v>I-61158</v>
      </c>
      <c r="I370" s="113"/>
      <c r="J370" s="113"/>
      <c r="K370" s="113"/>
      <c r="L370" s="158"/>
      <c r="M370" s="166" t="s">
        <v>459</v>
      </c>
      <c r="N370" s="113"/>
      <c r="O370" s="113"/>
      <c r="P370" s="113"/>
      <c r="Q370" s="113"/>
      <c r="R370" s="113"/>
      <c r="S370" s="113"/>
      <c r="T370" s="113"/>
      <c r="U370" s="113"/>
      <c r="V370" s="113"/>
      <c r="W370" s="113"/>
      <c r="X370" s="113"/>
      <c r="Y370" s="113"/>
      <c r="Z370" s="113"/>
      <c r="AA370" s="113"/>
      <c r="AB370" s="113"/>
      <c r="AC370" s="113"/>
      <c r="AD370" s="113"/>
      <c r="AE370" s="113"/>
      <c r="AF370" s="113"/>
      <c r="AG370" s="113"/>
      <c r="AH370" s="113"/>
      <c r="AI370" s="113"/>
      <c r="AJ370" s="113"/>
      <c r="AK370" s="113"/>
      <c r="AL370" s="113"/>
      <c r="AM370" s="113"/>
      <c r="AN370" s="113"/>
      <c r="AO370" s="113"/>
      <c r="AP370" s="113"/>
      <c r="AQ370" s="113"/>
      <c r="AR370" s="113"/>
      <c r="AS370" s="113"/>
      <c r="AT370" s="113"/>
      <c r="AU370" s="113"/>
      <c r="AV370" s="113"/>
      <c r="AW370" s="113"/>
      <c r="AX370" s="113"/>
      <c r="AY370" s="113"/>
      <c r="AZ370" s="113"/>
      <c r="BA370" s="113"/>
      <c r="BB370" s="113"/>
      <c r="BC370" s="113"/>
      <c r="BD370" s="113"/>
      <c r="BE370" s="113"/>
      <c r="BF370" s="113"/>
      <c r="BG370" s="113"/>
      <c r="BH370" s="113"/>
      <c r="BI370" s="113"/>
      <c r="BJ370" s="113"/>
      <c r="BK370" s="113"/>
      <c r="BL370" s="113"/>
      <c r="BM370" s="113"/>
      <c r="BN370" s="113"/>
      <c r="BO370" s="113"/>
      <c r="BP370" s="113"/>
      <c r="BQ370" s="113"/>
      <c r="BR370" s="113"/>
      <c r="BS370" s="113"/>
      <c r="BT370" s="113"/>
      <c r="BU370" s="113"/>
      <c r="BV370" s="113"/>
      <c r="BW370" s="113"/>
      <c r="BX370" s="113"/>
      <c r="BY370" s="113"/>
      <c r="BZ370" s="113"/>
      <c r="CA370" s="113"/>
      <c r="CB370" s="113"/>
      <c r="CC370" s="113"/>
      <c r="CD370" s="113"/>
      <c r="CE370" s="113"/>
      <c r="CF370" s="113"/>
      <c r="CG370" s="113"/>
      <c r="CH370" s="113"/>
      <c r="CI370" s="113"/>
      <c r="CJ370" s="113"/>
      <c r="CK370" s="113"/>
      <c r="CL370" s="113"/>
      <c r="CM370" s="113"/>
      <c r="CN370" s="113"/>
      <c r="CO370" s="113"/>
      <c r="CP370" s="113"/>
      <c r="CQ370" s="113"/>
      <c r="CR370" s="113"/>
      <c r="CS370" s="113"/>
      <c r="CT370" s="113"/>
      <c r="CU370" s="113"/>
    </row>
    <row r="371">
      <c r="A371" s="159" t="str">
        <f>IFERROR(__xludf.DUMMYFUNCTION("""COMPUTED_VALUE"""),"I-6")</f>
        <v>I-6</v>
      </c>
      <c r="B371" s="113" t="str">
        <f>IFERROR(__xludf.DUMMYFUNCTION("""COMPUTED_VALUE"""),"Matthew")</f>
        <v>Matthew</v>
      </c>
      <c r="C371" s="113" t="str">
        <f>IFERROR(__xludf.DUMMYFUNCTION("""COMPUTED_VALUE"""),"Verbyla")</f>
        <v>Verbyla</v>
      </c>
      <c r="D371" s="158">
        <f>IFERROR(__xludf.DUMMYFUNCTION("""COMPUTED_VALUE"""),1159.0)</f>
        <v>1159</v>
      </c>
      <c r="E371" s="161">
        <f t="shared" si="1"/>
        <v>8</v>
      </c>
      <c r="F371" s="160">
        <f>COUNTIFS('Scores Import DO NOT EDIT'!C:C, D371,'Scores Import DO NOT EDIT'!M:M,A371)</f>
        <v>7</v>
      </c>
      <c r="G371" s="162">
        <f t="shared" si="2"/>
        <v>0.875</v>
      </c>
      <c r="H371" s="163" t="str">
        <f t="shared" si="3"/>
        <v>I-61159</v>
      </c>
      <c r="I371" s="113"/>
      <c r="J371" s="113"/>
      <c r="K371" s="113"/>
      <c r="L371" s="158"/>
      <c r="M371" s="166" t="s">
        <v>460</v>
      </c>
      <c r="N371" s="113"/>
      <c r="O371" s="113"/>
      <c r="P371" s="113"/>
      <c r="Q371" s="113"/>
      <c r="R371" s="113"/>
      <c r="S371" s="113"/>
      <c r="T371" s="113"/>
      <c r="U371" s="113"/>
      <c r="V371" s="113"/>
      <c r="W371" s="113"/>
      <c r="X371" s="113"/>
      <c r="Y371" s="113"/>
      <c r="Z371" s="113"/>
      <c r="AA371" s="113"/>
      <c r="AB371" s="113"/>
      <c r="AC371" s="113"/>
      <c r="AD371" s="113"/>
      <c r="AE371" s="113"/>
      <c r="AF371" s="113"/>
      <c r="AG371" s="113"/>
      <c r="AH371" s="113"/>
      <c r="AI371" s="113"/>
      <c r="AJ371" s="113"/>
      <c r="AK371" s="113"/>
      <c r="AL371" s="113"/>
      <c r="AM371" s="113"/>
      <c r="AN371" s="113"/>
      <c r="AO371" s="113"/>
      <c r="AP371" s="113"/>
      <c r="AQ371" s="113"/>
      <c r="AR371" s="113"/>
      <c r="AS371" s="113"/>
      <c r="AT371" s="113"/>
      <c r="AU371" s="113"/>
      <c r="AV371" s="113"/>
      <c r="AW371" s="113"/>
      <c r="AX371" s="113"/>
      <c r="AY371" s="113"/>
      <c r="AZ371" s="113"/>
      <c r="BA371" s="113"/>
      <c r="BB371" s="113"/>
      <c r="BC371" s="113"/>
      <c r="BD371" s="113"/>
      <c r="BE371" s="113"/>
      <c r="BF371" s="113"/>
      <c r="BG371" s="113"/>
      <c r="BH371" s="113"/>
      <c r="BI371" s="113"/>
      <c r="BJ371" s="113"/>
      <c r="BK371" s="113"/>
      <c r="BL371" s="113"/>
      <c r="BM371" s="113"/>
      <c r="BN371" s="113"/>
      <c r="BO371" s="113"/>
      <c r="BP371" s="113"/>
      <c r="BQ371" s="113"/>
      <c r="BR371" s="113"/>
      <c r="BS371" s="113"/>
      <c r="BT371" s="113"/>
      <c r="BU371" s="113"/>
      <c r="BV371" s="113"/>
      <c r="BW371" s="113"/>
      <c r="BX371" s="113"/>
      <c r="BY371" s="113"/>
      <c r="BZ371" s="113"/>
      <c r="CA371" s="113"/>
      <c r="CB371" s="113"/>
      <c r="CC371" s="113"/>
      <c r="CD371" s="113"/>
      <c r="CE371" s="113"/>
      <c r="CF371" s="113"/>
      <c r="CG371" s="113"/>
      <c r="CH371" s="113"/>
      <c r="CI371" s="113"/>
      <c r="CJ371" s="113"/>
      <c r="CK371" s="113"/>
      <c r="CL371" s="113"/>
      <c r="CM371" s="113"/>
      <c r="CN371" s="113"/>
      <c r="CO371" s="113"/>
      <c r="CP371" s="113"/>
      <c r="CQ371" s="113"/>
      <c r="CR371" s="113"/>
      <c r="CS371" s="113"/>
      <c r="CT371" s="113"/>
      <c r="CU371" s="113"/>
    </row>
    <row r="372">
      <c r="A372" s="159" t="str">
        <f>IFERROR(__xludf.DUMMYFUNCTION("""COMPUTED_VALUE"""),"I-7")</f>
        <v>I-7</v>
      </c>
      <c r="B372" s="113" t="str">
        <f>IFERROR(__xludf.DUMMYFUNCTION("""COMPUTED_VALUE"""),"Lisa")</f>
        <v>Lisa</v>
      </c>
      <c r="C372" s="113" t="str">
        <f>IFERROR(__xludf.DUMMYFUNCTION("""COMPUTED_VALUE"""),"Sorce")</f>
        <v>Sorce</v>
      </c>
      <c r="D372" s="158">
        <f>IFERROR(__xludf.DUMMYFUNCTION("""COMPUTED_VALUE"""),1152.0)</f>
        <v>1152</v>
      </c>
      <c r="E372" s="161">
        <f t="shared" si="1"/>
        <v>8</v>
      </c>
      <c r="F372" s="160">
        <f>COUNTIFS('Scores Import DO NOT EDIT'!C:C, D372,'Scores Import DO NOT EDIT'!M:M,A372)</f>
        <v>0</v>
      </c>
      <c r="G372" s="162">
        <f t="shared" si="2"/>
        <v>0</v>
      </c>
      <c r="H372" s="163" t="str">
        <f t="shared" si="3"/>
        <v>I-71152</v>
      </c>
      <c r="I372" s="113"/>
      <c r="J372" s="113"/>
      <c r="K372" s="113"/>
      <c r="L372" s="158"/>
      <c r="M372" s="166" t="s">
        <v>461</v>
      </c>
      <c r="N372" s="113"/>
      <c r="O372" s="113"/>
      <c r="P372" s="113"/>
      <c r="Q372" s="113"/>
      <c r="R372" s="113"/>
      <c r="S372" s="113"/>
      <c r="T372" s="113"/>
      <c r="U372" s="113"/>
      <c r="V372" s="113"/>
      <c r="W372" s="113"/>
      <c r="X372" s="113"/>
      <c r="Y372" s="113"/>
      <c r="Z372" s="113"/>
      <c r="AA372" s="113"/>
      <c r="AB372" s="113"/>
      <c r="AC372" s="113"/>
      <c r="AD372" s="113"/>
      <c r="AE372" s="113"/>
      <c r="AF372" s="113"/>
      <c r="AG372" s="113"/>
      <c r="AH372" s="113"/>
      <c r="AI372" s="113"/>
      <c r="AJ372" s="113"/>
      <c r="AK372" s="113"/>
      <c r="AL372" s="113"/>
      <c r="AM372" s="113"/>
      <c r="AN372" s="113"/>
      <c r="AO372" s="113"/>
      <c r="AP372" s="113"/>
      <c r="AQ372" s="113"/>
      <c r="AR372" s="113"/>
      <c r="AS372" s="113"/>
      <c r="AT372" s="113"/>
      <c r="AU372" s="113"/>
      <c r="AV372" s="113"/>
      <c r="AW372" s="113"/>
      <c r="AX372" s="113"/>
      <c r="AY372" s="113"/>
      <c r="AZ372" s="113"/>
      <c r="BA372" s="113"/>
      <c r="BB372" s="113"/>
      <c r="BC372" s="113"/>
      <c r="BD372" s="113"/>
      <c r="BE372" s="113"/>
      <c r="BF372" s="113"/>
      <c r="BG372" s="113"/>
      <c r="BH372" s="113"/>
      <c r="BI372" s="113"/>
      <c r="BJ372" s="113"/>
      <c r="BK372" s="113"/>
      <c r="BL372" s="113"/>
      <c r="BM372" s="113"/>
      <c r="BN372" s="113"/>
      <c r="BO372" s="113"/>
      <c r="BP372" s="113"/>
      <c r="BQ372" s="113"/>
      <c r="BR372" s="113"/>
      <c r="BS372" s="113"/>
      <c r="BT372" s="113"/>
      <c r="BU372" s="113"/>
      <c r="BV372" s="113"/>
      <c r="BW372" s="113"/>
      <c r="BX372" s="113"/>
      <c r="BY372" s="113"/>
      <c r="BZ372" s="113"/>
      <c r="CA372" s="113"/>
      <c r="CB372" s="113"/>
      <c r="CC372" s="113"/>
      <c r="CD372" s="113"/>
      <c r="CE372" s="113"/>
      <c r="CF372" s="113"/>
      <c r="CG372" s="113"/>
      <c r="CH372" s="113"/>
      <c r="CI372" s="113"/>
      <c r="CJ372" s="113"/>
      <c r="CK372" s="113"/>
      <c r="CL372" s="113"/>
      <c r="CM372" s="113"/>
      <c r="CN372" s="113"/>
      <c r="CO372" s="113"/>
      <c r="CP372" s="113"/>
      <c r="CQ372" s="113"/>
      <c r="CR372" s="113"/>
      <c r="CS372" s="113"/>
      <c r="CT372" s="113"/>
      <c r="CU372" s="113"/>
    </row>
    <row r="373">
      <c r="A373" s="159" t="str">
        <f>IFERROR(__xludf.DUMMYFUNCTION("""COMPUTED_VALUE"""),"I-7")</f>
        <v>I-7</v>
      </c>
      <c r="B373" s="113" t="str">
        <f>IFERROR(__xludf.DUMMYFUNCTION("""COMPUTED_VALUE"""),"Neda")</f>
        <v>Neda</v>
      </c>
      <c r="C373" s="113" t="str">
        <f>IFERROR(__xludf.DUMMYFUNCTION("""COMPUTED_VALUE"""),"Shamsalizadeh")</f>
        <v>Shamsalizadeh</v>
      </c>
      <c r="D373" s="158">
        <f>IFERROR(__xludf.DUMMYFUNCTION("""COMPUTED_VALUE"""),1156.0)</f>
        <v>1156</v>
      </c>
      <c r="E373" s="161">
        <f t="shared" si="1"/>
        <v>8</v>
      </c>
      <c r="F373" s="160">
        <f>COUNTIFS('Scores Import DO NOT EDIT'!C:C, D373,'Scores Import DO NOT EDIT'!M:M,A373)</f>
        <v>8</v>
      </c>
      <c r="G373" s="162">
        <f t="shared" si="2"/>
        <v>1</v>
      </c>
      <c r="H373" s="163" t="str">
        <f t="shared" si="3"/>
        <v>I-71156</v>
      </c>
      <c r="I373" s="113"/>
      <c r="J373" s="113"/>
      <c r="K373" s="113"/>
      <c r="L373" s="158"/>
      <c r="M373" s="166" t="s">
        <v>463</v>
      </c>
      <c r="N373" s="113"/>
      <c r="O373" s="113"/>
      <c r="P373" s="113"/>
      <c r="Q373" s="113"/>
      <c r="R373" s="113"/>
      <c r="S373" s="113"/>
      <c r="T373" s="113"/>
      <c r="U373" s="113"/>
      <c r="V373" s="113"/>
      <c r="W373" s="113"/>
      <c r="X373" s="113"/>
      <c r="Y373" s="113"/>
      <c r="Z373" s="113"/>
      <c r="AA373" s="113"/>
      <c r="AB373" s="113"/>
      <c r="AC373" s="113"/>
      <c r="AD373" s="113"/>
      <c r="AE373" s="113"/>
      <c r="AF373" s="113"/>
      <c r="AG373" s="113"/>
      <c r="AH373" s="113"/>
      <c r="AI373" s="113"/>
      <c r="AJ373" s="113"/>
      <c r="AK373" s="113"/>
      <c r="AL373" s="113"/>
      <c r="AM373" s="113"/>
      <c r="AN373" s="113"/>
      <c r="AO373" s="113"/>
      <c r="AP373" s="113"/>
      <c r="AQ373" s="113"/>
      <c r="AR373" s="113"/>
      <c r="AS373" s="113"/>
      <c r="AT373" s="113"/>
      <c r="AU373" s="113"/>
      <c r="AV373" s="113"/>
      <c r="AW373" s="113"/>
      <c r="AX373" s="113"/>
      <c r="AY373" s="113"/>
      <c r="AZ373" s="113"/>
      <c r="BA373" s="113"/>
      <c r="BB373" s="113"/>
      <c r="BC373" s="113"/>
      <c r="BD373" s="113"/>
      <c r="BE373" s="113"/>
      <c r="BF373" s="113"/>
      <c r="BG373" s="113"/>
      <c r="BH373" s="113"/>
      <c r="BI373" s="113"/>
      <c r="BJ373" s="113"/>
      <c r="BK373" s="113"/>
      <c r="BL373" s="113"/>
      <c r="BM373" s="113"/>
      <c r="BN373" s="113"/>
      <c r="BO373" s="113"/>
      <c r="BP373" s="113"/>
      <c r="BQ373" s="113"/>
      <c r="BR373" s="113"/>
      <c r="BS373" s="113"/>
      <c r="BT373" s="113"/>
      <c r="BU373" s="113"/>
      <c r="BV373" s="113"/>
      <c r="BW373" s="113"/>
      <c r="BX373" s="113"/>
      <c r="BY373" s="113"/>
      <c r="BZ373" s="113"/>
      <c r="CA373" s="113"/>
      <c r="CB373" s="113"/>
      <c r="CC373" s="113"/>
      <c r="CD373" s="113"/>
      <c r="CE373" s="113"/>
      <c r="CF373" s="113"/>
      <c r="CG373" s="113"/>
      <c r="CH373" s="113"/>
      <c r="CI373" s="113"/>
      <c r="CJ373" s="113"/>
      <c r="CK373" s="113"/>
      <c r="CL373" s="113"/>
      <c r="CM373" s="113"/>
      <c r="CN373" s="113"/>
      <c r="CO373" s="113"/>
      <c r="CP373" s="113"/>
      <c r="CQ373" s="113"/>
      <c r="CR373" s="113"/>
      <c r="CS373" s="113"/>
      <c r="CT373" s="113"/>
      <c r="CU373" s="113"/>
    </row>
    <row r="374">
      <c r="A374" s="159" t="str">
        <f>IFERROR(__xludf.DUMMYFUNCTION("""COMPUTED_VALUE"""),"I-7")</f>
        <v>I-7</v>
      </c>
      <c r="B374" s="113" t="str">
        <f>IFERROR(__xludf.DUMMYFUNCTION("""COMPUTED_VALUE"""),"Elena")</f>
        <v>Elena</v>
      </c>
      <c r="C374" s="113" t="str">
        <f>IFERROR(__xludf.DUMMYFUNCTION("""COMPUTED_VALUE"""),"Yu")</f>
        <v>Yu</v>
      </c>
      <c r="D374" s="158">
        <f>IFERROR(__xludf.DUMMYFUNCTION("""COMPUTED_VALUE"""),1215.0)</f>
        <v>1215</v>
      </c>
      <c r="E374" s="161">
        <f t="shared" si="1"/>
        <v>8</v>
      </c>
      <c r="F374" s="160">
        <f>COUNTIFS('Scores Import DO NOT EDIT'!C:C, D374,'Scores Import DO NOT EDIT'!M:M,A374)</f>
        <v>0</v>
      </c>
      <c r="G374" s="162">
        <f t="shared" si="2"/>
        <v>0</v>
      </c>
      <c r="H374" s="163" t="str">
        <f t="shared" si="3"/>
        <v>I-71215</v>
      </c>
      <c r="I374" s="113"/>
      <c r="J374" s="113"/>
      <c r="K374" s="113"/>
      <c r="L374" s="158"/>
      <c r="M374" s="166" t="s">
        <v>462</v>
      </c>
      <c r="N374" s="113"/>
      <c r="O374" s="113"/>
      <c r="P374" s="113"/>
      <c r="Q374" s="113"/>
      <c r="R374" s="113"/>
      <c r="S374" s="113"/>
      <c r="T374" s="113"/>
      <c r="U374" s="113"/>
      <c r="V374" s="113"/>
      <c r="W374" s="113"/>
      <c r="X374" s="113"/>
      <c r="Y374" s="113"/>
      <c r="Z374" s="113"/>
      <c r="AA374" s="113"/>
      <c r="AB374" s="113"/>
      <c r="AC374" s="113"/>
      <c r="AD374" s="113"/>
      <c r="AE374" s="113"/>
      <c r="AF374" s="113"/>
      <c r="AG374" s="113"/>
      <c r="AH374" s="113"/>
      <c r="AI374" s="113"/>
      <c r="AJ374" s="113"/>
      <c r="AK374" s="113"/>
      <c r="AL374" s="113"/>
      <c r="AM374" s="113"/>
      <c r="AN374" s="113"/>
      <c r="AO374" s="113"/>
      <c r="AP374" s="113"/>
      <c r="AQ374" s="113"/>
      <c r="AR374" s="113"/>
      <c r="AS374" s="113"/>
      <c r="AT374" s="113"/>
      <c r="AU374" s="113"/>
      <c r="AV374" s="113"/>
      <c r="AW374" s="113"/>
      <c r="AX374" s="113"/>
      <c r="AY374" s="113"/>
      <c r="AZ374" s="113"/>
      <c r="BA374" s="113"/>
      <c r="BB374" s="113"/>
      <c r="BC374" s="113"/>
      <c r="BD374" s="113"/>
      <c r="BE374" s="113"/>
      <c r="BF374" s="113"/>
      <c r="BG374" s="113"/>
      <c r="BH374" s="113"/>
      <c r="BI374" s="113"/>
      <c r="BJ374" s="113"/>
      <c r="BK374" s="113"/>
      <c r="BL374" s="113"/>
      <c r="BM374" s="113"/>
      <c r="BN374" s="113"/>
      <c r="BO374" s="113"/>
      <c r="BP374" s="113"/>
      <c r="BQ374" s="113"/>
      <c r="BR374" s="113"/>
      <c r="BS374" s="113"/>
      <c r="BT374" s="113"/>
      <c r="BU374" s="113"/>
      <c r="BV374" s="113"/>
      <c r="BW374" s="113"/>
      <c r="BX374" s="113"/>
      <c r="BY374" s="113"/>
      <c r="BZ374" s="113"/>
      <c r="CA374" s="113"/>
      <c r="CB374" s="113"/>
      <c r="CC374" s="113"/>
      <c r="CD374" s="113"/>
      <c r="CE374" s="113"/>
      <c r="CF374" s="113"/>
      <c r="CG374" s="113"/>
      <c r="CH374" s="113"/>
      <c r="CI374" s="113"/>
      <c r="CJ374" s="113"/>
      <c r="CK374" s="113"/>
      <c r="CL374" s="113"/>
      <c r="CM374" s="113"/>
      <c r="CN374" s="113"/>
      <c r="CO374" s="113"/>
      <c r="CP374" s="113"/>
      <c r="CQ374" s="113"/>
      <c r="CR374" s="113"/>
      <c r="CS374" s="113"/>
      <c r="CT374" s="113"/>
      <c r="CU374" s="113"/>
    </row>
    <row r="375">
      <c r="A375" s="159" t="str">
        <f>IFERROR(__xludf.DUMMYFUNCTION("""COMPUTED_VALUE"""),"I-7")</f>
        <v>I-7</v>
      </c>
      <c r="B375" s="113" t="str">
        <f>IFERROR(__xludf.DUMMYFUNCTION("""COMPUTED_VALUE"""),"Brennan")</f>
        <v>Brennan</v>
      </c>
      <c r="C375" s="113" t="str">
        <f>IFERROR(__xludf.DUMMYFUNCTION("""COMPUTED_VALUE"""),"Pearson")</f>
        <v>Pearson</v>
      </c>
      <c r="D375" s="158">
        <f>IFERROR(__xludf.DUMMYFUNCTION("""COMPUTED_VALUE"""),1066.0)</f>
        <v>1066</v>
      </c>
      <c r="E375" s="161">
        <f t="shared" si="1"/>
        <v>8</v>
      </c>
      <c r="F375" s="160">
        <f>COUNTIFS('Scores Import DO NOT EDIT'!C:C, D375,'Scores Import DO NOT EDIT'!M:M,A375)</f>
        <v>5</v>
      </c>
      <c r="G375" s="162">
        <f t="shared" si="2"/>
        <v>0.625</v>
      </c>
      <c r="H375" s="163" t="str">
        <f t="shared" si="3"/>
        <v>I-71066</v>
      </c>
      <c r="I375" s="113"/>
      <c r="J375" s="113"/>
      <c r="K375" s="113"/>
      <c r="L375" s="158"/>
      <c r="M375" s="166" t="s">
        <v>464</v>
      </c>
      <c r="N375" s="113"/>
      <c r="O375" s="113"/>
      <c r="P375" s="113"/>
      <c r="Q375" s="113"/>
      <c r="R375" s="113"/>
      <c r="S375" s="113"/>
      <c r="T375" s="113"/>
      <c r="U375" s="113"/>
      <c r="V375" s="113"/>
      <c r="W375" s="113"/>
      <c r="X375" s="113"/>
      <c r="Y375" s="113"/>
      <c r="Z375" s="113"/>
      <c r="AA375" s="113"/>
      <c r="AB375" s="113"/>
      <c r="AC375" s="113"/>
      <c r="AD375" s="113"/>
      <c r="AE375" s="113"/>
      <c r="AF375" s="113"/>
      <c r="AG375" s="113"/>
      <c r="AH375" s="113"/>
      <c r="AI375" s="113"/>
      <c r="AJ375" s="113"/>
      <c r="AK375" s="113"/>
      <c r="AL375" s="113"/>
      <c r="AM375" s="113"/>
      <c r="AN375" s="113"/>
      <c r="AO375" s="113"/>
      <c r="AP375" s="113"/>
      <c r="AQ375" s="113"/>
      <c r="AR375" s="113"/>
      <c r="AS375" s="113"/>
      <c r="AT375" s="113"/>
      <c r="AU375" s="113"/>
      <c r="AV375" s="113"/>
      <c r="AW375" s="113"/>
      <c r="AX375" s="113"/>
      <c r="AY375" s="113"/>
      <c r="AZ375" s="113"/>
      <c r="BA375" s="113"/>
      <c r="BB375" s="113"/>
      <c r="BC375" s="113"/>
      <c r="BD375" s="113"/>
      <c r="BE375" s="113"/>
      <c r="BF375" s="113"/>
      <c r="BG375" s="113"/>
      <c r="BH375" s="113"/>
      <c r="BI375" s="113"/>
      <c r="BJ375" s="113"/>
      <c r="BK375" s="113"/>
      <c r="BL375" s="113"/>
      <c r="BM375" s="113"/>
      <c r="BN375" s="113"/>
      <c r="BO375" s="113"/>
      <c r="BP375" s="113"/>
      <c r="BQ375" s="113"/>
      <c r="BR375" s="113"/>
      <c r="BS375" s="113"/>
      <c r="BT375" s="113"/>
      <c r="BU375" s="113"/>
      <c r="BV375" s="113"/>
      <c r="BW375" s="113"/>
      <c r="BX375" s="113"/>
      <c r="BY375" s="113"/>
      <c r="BZ375" s="113"/>
      <c r="CA375" s="113"/>
      <c r="CB375" s="113"/>
      <c r="CC375" s="113"/>
      <c r="CD375" s="113"/>
      <c r="CE375" s="113"/>
      <c r="CF375" s="113"/>
      <c r="CG375" s="113"/>
      <c r="CH375" s="113"/>
      <c r="CI375" s="113"/>
      <c r="CJ375" s="113"/>
      <c r="CK375" s="113"/>
      <c r="CL375" s="113"/>
      <c r="CM375" s="113"/>
      <c r="CN375" s="113"/>
      <c r="CO375" s="113"/>
      <c r="CP375" s="113"/>
      <c r="CQ375" s="113"/>
      <c r="CR375" s="113"/>
      <c r="CS375" s="113"/>
      <c r="CT375" s="113"/>
      <c r="CU375" s="113"/>
    </row>
    <row r="376">
      <c r="A376" s="159" t="str">
        <f>IFERROR(__xludf.DUMMYFUNCTION("""COMPUTED_VALUE"""),"I-7")</f>
        <v>I-7</v>
      </c>
      <c r="B376" s="113" t="str">
        <f>IFERROR(__xludf.DUMMYFUNCTION("""COMPUTED_VALUE"""),"Cat")</f>
        <v>Cat</v>
      </c>
      <c r="C376" s="113" t="str">
        <f>IFERROR(__xludf.DUMMYFUNCTION("""COMPUTED_VALUE"""),"Ellis")</f>
        <v>Ellis</v>
      </c>
      <c r="D376" s="158">
        <f>IFERROR(__xludf.DUMMYFUNCTION("""COMPUTED_VALUE"""),1033.0)</f>
        <v>1033</v>
      </c>
      <c r="E376" s="161">
        <f t="shared" si="1"/>
        <v>8</v>
      </c>
      <c r="F376" s="160">
        <f>COUNTIFS('Scores Import DO NOT EDIT'!C:C, D376,'Scores Import DO NOT EDIT'!M:M,A376)</f>
        <v>8</v>
      </c>
      <c r="G376" s="162">
        <f t="shared" si="2"/>
        <v>1</v>
      </c>
      <c r="H376" s="163" t="str">
        <f t="shared" si="3"/>
        <v>I-71033</v>
      </c>
      <c r="I376" s="113"/>
      <c r="J376" s="113"/>
      <c r="K376" s="113"/>
      <c r="L376" s="158"/>
      <c r="M376" s="166" t="s">
        <v>470</v>
      </c>
      <c r="N376" s="113"/>
      <c r="O376" s="113"/>
      <c r="P376" s="113"/>
      <c r="Q376" s="113"/>
      <c r="R376" s="113"/>
      <c r="S376" s="113"/>
      <c r="T376" s="113"/>
      <c r="U376" s="113"/>
      <c r="V376" s="113"/>
      <c r="W376" s="113"/>
      <c r="X376" s="113"/>
      <c r="Y376" s="113"/>
      <c r="Z376" s="113"/>
      <c r="AA376" s="113"/>
      <c r="AB376" s="113"/>
      <c r="AC376" s="113"/>
      <c r="AD376" s="113"/>
      <c r="AE376" s="113"/>
      <c r="AF376" s="113"/>
      <c r="AG376" s="113"/>
      <c r="AH376" s="113"/>
      <c r="AI376" s="113"/>
      <c r="AJ376" s="113"/>
      <c r="AK376" s="113"/>
      <c r="AL376" s="113"/>
      <c r="AM376" s="113"/>
      <c r="AN376" s="113"/>
      <c r="AO376" s="113"/>
      <c r="AP376" s="113"/>
      <c r="AQ376" s="113"/>
      <c r="AR376" s="113"/>
      <c r="AS376" s="113"/>
      <c r="AT376" s="113"/>
      <c r="AU376" s="113"/>
      <c r="AV376" s="113"/>
      <c r="AW376" s="113"/>
      <c r="AX376" s="113"/>
      <c r="AY376" s="113"/>
      <c r="AZ376" s="113"/>
      <c r="BA376" s="113"/>
      <c r="BB376" s="113"/>
      <c r="BC376" s="113"/>
      <c r="BD376" s="113"/>
      <c r="BE376" s="113"/>
      <c r="BF376" s="113"/>
      <c r="BG376" s="113"/>
      <c r="BH376" s="113"/>
      <c r="BI376" s="113"/>
      <c r="BJ376" s="113"/>
      <c r="BK376" s="113"/>
      <c r="BL376" s="113"/>
      <c r="BM376" s="113"/>
      <c r="BN376" s="113"/>
      <c r="BO376" s="113"/>
      <c r="BP376" s="113"/>
      <c r="BQ376" s="113"/>
      <c r="BR376" s="113"/>
      <c r="BS376" s="113"/>
      <c r="BT376" s="113"/>
      <c r="BU376" s="113"/>
      <c r="BV376" s="113"/>
      <c r="BW376" s="113"/>
      <c r="BX376" s="113"/>
      <c r="BY376" s="113"/>
      <c r="BZ376" s="113"/>
      <c r="CA376" s="113"/>
      <c r="CB376" s="113"/>
      <c r="CC376" s="113"/>
      <c r="CD376" s="113"/>
      <c r="CE376" s="113"/>
      <c r="CF376" s="113"/>
      <c r="CG376" s="113"/>
      <c r="CH376" s="113"/>
      <c r="CI376" s="113"/>
      <c r="CJ376" s="113"/>
      <c r="CK376" s="113"/>
      <c r="CL376" s="113"/>
      <c r="CM376" s="113"/>
      <c r="CN376" s="113"/>
      <c r="CO376" s="113"/>
      <c r="CP376" s="113"/>
      <c r="CQ376" s="113"/>
      <c r="CR376" s="113"/>
      <c r="CS376" s="113"/>
      <c r="CT376" s="113"/>
      <c r="CU376" s="113"/>
    </row>
    <row r="377">
      <c r="A377" s="159" t="str">
        <f>IFERROR(__xludf.DUMMYFUNCTION("""COMPUTED_VALUE"""),"I-8")</f>
        <v>I-8</v>
      </c>
      <c r="B377" s="113" t="str">
        <f>IFERROR(__xludf.DUMMYFUNCTION("""COMPUTED_VALUE"""),"Melina")</f>
        <v>Melina</v>
      </c>
      <c r="C377" s="113" t="str">
        <f>IFERROR(__xludf.DUMMYFUNCTION("""COMPUTED_VALUE"""),"Melgarejo")</f>
        <v>Melgarejo</v>
      </c>
      <c r="D377" s="158">
        <f>IFERROR(__xludf.DUMMYFUNCTION("""COMPUTED_VALUE"""),1150.0)</f>
        <v>1150</v>
      </c>
      <c r="E377" s="161">
        <f t="shared" si="1"/>
        <v>4</v>
      </c>
      <c r="F377" s="160">
        <f>COUNTIFS('Scores Import DO NOT EDIT'!C:C, D377,'Scores Import DO NOT EDIT'!M:M,A377)</f>
        <v>3</v>
      </c>
      <c r="G377" s="162">
        <f t="shared" si="2"/>
        <v>0.75</v>
      </c>
      <c r="H377" s="163" t="str">
        <f t="shared" si="3"/>
        <v>I-81150</v>
      </c>
      <c r="I377" s="113"/>
      <c r="J377" s="113"/>
      <c r="K377" s="113"/>
      <c r="L377" s="158"/>
      <c r="M377" s="166" t="s">
        <v>467</v>
      </c>
      <c r="N377" s="113"/>
      <c r="O377" s="113"/>
      <c r="P377" s="113"/>
      <c r="Q377" s="113"/>
      <c r="R377" s="113"/>
      <c r="S377" s="113"/>
      <c r="T377" s="113"/>
      <c r="U377" s="113"/>
      <c r="V377" s="113"/>
      <c r="W377" s="113"/>
      <c r="X377" s="113"/>
      <c r="Y377" s="113"/>
      <c r="Z377" s="113"/>
      <c r="AA377" s="113"/>
      <c r="AB377" s="113"/>
      <c r="AC377" s="113"/>
      <c r="AD377" s="113"/>
      <c r="AE377" s="113"/>
      <c r="AF377" s="113"/>
      <c r="AG377" s="113"/>
      <c r="AH377" s="113"/>
      <c r="AI377" s="113"/>
      <c r="AJ377" s="113"/>
      <c r="AK377" s="113"/>
      <c r="AL377" s="113"/>
      <c r="AM377" s="113"/>
      <c r="AN377" s="113"/>
      <c r="AO377" s="113"/>
      <c r="AP377" s="113"/>
      <c r="AQ377" s="113"/>
      <c r="AR377" s="113"/>
      <c r="AS377" s="113"/>
      <c r="AT377" s="113"/>
      <c r="AU377" s="113"/>
      <c r="AV377" s="113"/>
      <c r="AW377" s="113"/>
      <c r="AX377" s="113"/>
      <c r="AY377" s="113"/>
      <c r="AZ377" s="113"/>
      <c r="BA377" s="113"/>
      <c r="BB377" s="113"/>
      <c r="BC377" s="113"/>
      <c r="BD377" s="113"/>
      <c r="BE377" s="113"/>
      <c r="BF377" s="113"/>
      <c r="BG377" s="113"/>
      <c r="BH377" s="113"/>
      <c r="BI377" s="113"/>
      <c r="BJ377" s="113"/>
      <c r="BK377" s="113"/>
      <c r="BL377" s="113"/>
      <c r="BM377" s="113"/>
      <c r="BN377" s="113"/>
      <c r="BO377" s="113"/>
      <c r="BP377" s="113"/>
      <c r="BQ377" s="113"/>
      <c r="BR377" s="113"/>
      <c r="BS377" s="113"/>
      <c r="BT377" s="113"/>
      <c r="BU377" s="113"/>
      <c r="BV377" s="113"/>
      <c r="BW377" s="113"/>
      <c r="BX377" s="113"/>
      <c r="BY377" s="113"/>
      <c r="BZ377" s="113"/>
      <c r="CA377" s="113"/>
      <c r="CB377" s="113"/>
      <c r="CC377" s="113"/>
      <c r="CD377" s="113"/>
      <c r="CE377" s="113"/>
      <c r="CF377" s="113"/>
      <c r="CG377" s="113"/>
      <c r="CH377" s="113"/>
      <c r="CI377" s="113"/>
      <c r="CJ377" s="113"/>
      <c r="CK377" s="113"/>
      <c r="CL377" s="113"/>
      <c r="CM377" s="113"/>
      <c r="CN377" s="113"/>
      <c r="CO377" s="113"/>
      <c r="CP377" s="113"/>
      <c r="CQ377" s="113"/>
      <c r="CR377" s="113"/>
      <c r="CS377" s="113"/>
      <c r="CT377" s="113"/>
      <c r="CU377" s="113"/>
    </row>
    <row r="378">
      <c r="A378" s="159" t="str">
        <f>IFERROR(__xludf.DUMMYFUNCTION("""COMPUTED_VALUE"""),"I-8")</f>
        <v>I-8</v>
      </c>
      <c r="B378" s="113" t="str">
        <f>IFERROR(__xludf.DUMMYFUNCTION("""COMPUTED_VALUE"""),"Ivan A.")</f>
        <v>Ivan A.</v>
      </c>
      <c r="C378" s="113" t="str">
        <f>IFERROR(__xludf.DUMMYFUNCTION("""COMPUTED_VALUE"""),"Hernandez")</f>
        <v>Hernandez</v>
      </c>
      <c r="D378" s="158">
        <f>IFERROR(__xludf.DUMMYFUNCTION("""COMPUTED_VALUE"""),1201.0)</f>
        <v>1201</v>
      </c>
      <c r="E378" s="161">
        <f t="shared" si="1"/>
        <v>4</v>
      </c>
      <c r="F378" s="160">
        <f>COUNTIFS('Scores Import DO NOT EDIT'!C:C, D378,'Scores Import DO NOT EDIT'!M:M,A378)</f>
        <v>3</v>
      </c>
      <c r="G378" s="162">
        <f t="shared" si="2"/>
        <v>0.75</v>
      </c>
      <c r="H378" s="163" t="str">
        <f t="shared" si="3"/>
        <v>I-81201</v>
      </c>
      <c r="I378" s="113"/>
      <c r="J378" s="113"/>
      <c r="K378" s="113"/>
      <c r="L378" s="158"/>
      <c r="M378" s="166" t="s">
        <v>472</v>
      </c>
      <c r="N378" s="113"/>
      <c r="O378" s="113"/>
      <c r="P378" s="113"/>
      <c r="Q378" s="113"/>
      <c r="R378" s="113"/>
      <c r="S378" s="113"/>
      <c r="T378" s="113"/>
      <c r="U378" s="113"/>
      <c r="V378" s="113"/>
      <c r="W378" s="113"/>
      <c r="X378" s="113"/>
      <c r="Y378" s="113"/>
      <c r="Z378" s="113"/>
      <c r="AA378" s="113"/>
      <c r="AB378" s="113"/>
      <c r="AC378" s="113"/>
      <c r="AD378" s="113"/>
      <c r="AE378" s="113"/>
      <c r="AF378" s="113"/>
      <c r="AG378" s="113"/>
      <c r="AH378" s="113"/>
      <c r="AI378" s="113"/>
      <c r="AJ378" s="113"/>
      <c r="AK378" s="113"/>
      <c r="AL378" s="113"/>
      <c r="AM378" s="113"/>
      <c r="AN378" s="113"/>
      <c r="AO378" s="113"/>
      <c r="AP378" s="113"/>
      <c r="AQ378" s="113"/>
      <c r="AR378" s="113"/>
      <c r="AS378" s="113"/>
      <c r="AT378" s="113"/>
      <c r="AU378" s="113"/>
      <c r="AV378" s="113"/>
      <c r="AW378" s="113"/>
      <c r="AX378" s="113"/>
      <c r="AY378" s="113"/>
      <c r="AZ378" s="113"/>
      <c r="BA378" s="113"/>
      <c r="BB378" s="113"/>
      <c r="BC378" s="113"/>
      <c r="BD378" s="113"/>
      <c r="BE378" s="113"/>
      <c r="BF378" s="113"/>
      <c r="BG378" s="113"/>
      <c r="BH378" s="113"/>
      <c r="BI378" s="113"/>
      <c r="BJ378" s="113"/>
      <c r="BK378" s="113"/>
      <c r="BL378" s="113"/>
      <c r="BM378" s="113"/>
      <c r="BN378" s="113"/>
      <c r="BO378" s="113"/>
      <c r="BP378" s="113"/>
      <c r="BQ378" s="113"/>
      <c r="BR378" s="113"/>
      <c r="BS378" s="113"/>
      <c r="BT378" s="113"/>
      <c r="BU378" s="113"/>
      <c r="BV378" s="113"/>
      <c r="BW378" s="113"/>
      <c r="BX378" s="113"/>
      <c r="BY378" s="113"/>
      <c r="BZ378" s="113"/>
      <c r="CA378" s="113"/>
      <c r="CB378" s="113"/>
      <c r="CC378" s="113"/>
      <c r="CD378" s="113"/>
      <c r="CE378" s="113"/>
      <c r="CF378" s="113"/>
      <c r="CG378" s="113"/>
      <c r="CH378" s="113"/>
      <c r="CI378" s="113"/>
      <c r="CJ378" s="113"/>
      <c r="CK378" s="113"/>
      <c r="CL378" s="113"/>
      <c r="CM378" s="113"/>
      <c r="CN378" s="113"/>
      <c r="CO378" s="113"/>
      <c r="CP378" s="113"/>
      <c r="CQ378" s="113"/>
      <c r="CR378" s="113"/>
      <c r="CS378" s="113"/>
      <c r="CT378" s="113"/>
      <c r="CU378" s="113"/>
    </row>
    <row r="379">
      <c r="A379" s="159" t="str">
        <f>IFERROR(__xludf.DUMMYFUNCTION("""COMPUTED_VALUE"""),"I-8")</f>
        <v>I-8</v>
      </c>
      <c r="B379" s="113" t="str">
        <f>IFERROR(__xludf.DUMMYFUNCTION("""COMPUTED_VALUE"""),"Kelly")</f>
        <v>Kelly</v>
      </c>
      <c r="C379" s="113" t="str">
        <f>IFERROR(__xludf.DUMMYFUNCTION("""COMPUTED_VALUE"""),"Sawyer")</f>
        <v>Sawyer</v>
      </c>
      <c r="D379" s="158">
        <f>IFERROR(__xludf.DUMMYFUNCTION("""COMPUTED_VALUE"""),1196.0)</f>
        <v>1196</v>
      </c>
      <c r="E379" s="161">
        <f t="shared" si="1"/>
        <v>4</v>
      </c>
      <c r="F379" s="160">
        <f>COUNTIFS('Scores Import DO NOT EDIT'!C:C, D379,'Scores Import DO NOT EDIT'!M:M,A379)</f>
        <v>3</v>
      </c>
      <c r="G379" s="162">
        <f t="shared" si="2"/>
        <v>0.75</v>
      </c>
      <c r="H379" s="163" t="str">
        <f t="shared" si="3"/>
        <v>I-81196</v>
      </c>
      <c r="I379" s="113"/>
      <c r="J379" s="113"/>
      <c r="K379" s="113"/>
      <c r="L379" s="158"/>
      <c r="M379" s="166" t="s">
        <v>471</v>
      </c>
      <c r="N379" s="113"/>
      <c r="O379" s="113"/>
      <c r="P379" s="113"/>
      <c r="Q379" s="113"/>
      <c r="R379" s="113"/>
      <c r="S379" s="113"/>
      <c r="T379" s="113"/>
      <c r="U379" s="113"/>
      <c r="V379" s="113"/>
      <c r="W379" s="113"/>
      <c r="X379" s="113"/>
      <c r="Y379" s="113"/>
      <c r="Z379" s="113"/>
      <c r="AA379" s="113"/>
      <c r="AB379" s="113"/>
      <c r="AC379" s="113"/>
      <c r="AD379" s="113"/>
      <c r="AE379" s="113"/>
      <c r="AF379" s="113"/>
      <c r="AG379" s="113"/>
      <c r="AH379" s="113"/>
      <c r="AI379" s="113"/>
      <c r="AJ379" s="113"/>
      <c r="AK379" s="113"/>
      <c r="AL379" s="113"/>
      <c r="AM379" s="113"/>
      <c r="AN379" s="113"/>
      <c r="AO379" s="113"/>
      <c r="AP379" s="113"/>
      <c r="AQ379" s="113"/>
      <c r="AR379" s="113"/>
      <c r="AS379" s="113"/>
      <c r="AT379" s="113"/>
      <c r="AU379" s="113"/>
      <c r="AV379" s="113"/>
      <c r="AW379" s="113"/>
      <c r="AX379" s="113"/>
      <c r="AY379" s="113"/>
      <c r="AZ379" s="113"/>
      <c r="BA379" s="113"/>
      <c r="BB379" s="113"/>
      <c r="BC379" s="113"/>
      <c r="BD379" s="113"/>
      <c r="BE379" s="113"/>
      <c r="BF379" s="113"/>
      <c r="BG379" s="113"/>
      <c r="BH379" s="113"/>
      <c r="BI379" s="113"/>
      <c r="BJ379" s="113"/>
      <c r="BK379" s="113"/>
      <c r="BL379" s="113"/>
      <c r="BM379" s="113"/>
      <c r="BN379" s="113"/>
      <c r="BO379" s="113"/>
      <c r="BP379" s="113"/>
      <c r="BQ379" s="113"/>
      <c r="BR379" s="113"/>
      <c r="BS379" s="113"/>
      <c r="BT379" s="113"/>
      <c r="BU379" s="113"/>
      <c r="BV379" s="113"/>
      <c r="BW379" s="113"/>
      <c r="BX379" s="113"/>
      <c r="BY379" s="113"/>
      <c r="BZ379" s="113"/>
      <c r="CA379" s="113"/>
      <c r="CB379" s="113"/>
      <c r="CC379" s="113"/>
      <c r="CD379" s="113"/>
      <c r="CE379" s="113"/>
      <c r="CF379" s="113"/>
      <c r="CG379" s="113"/>
      <c r="CH379" s="113"/>
      <c r="CI379" s="113"/>
      <c r="CJ379" s="113"/>
      <c r="CK379" s="113"/>
      <c r="CL379" s="113"/>
      <c r="CM379" s="113"/>
      <c r="CN379" s="113"/>
      <c r="CO379" s="113"/>
      <c r="CP379" s="113"/>
      <c r="CQ379" s="113"/>
      <c r="CR379" s="113"/>
      <c r="CS379" s="113"/>
      <c r="CT379" s="113"/>
      <c r="CU379" s="113"/>
    </row>
    <row r="380">
      <c r="A380" s="159" t="str">
        <f>IFERROR(__xludf.DUMMYFUNCTION("""COMPUTED_VALUE"""),"I-8")</f>
        <v>I-8</v>
      </c>
      <c r="B380" s="113" t="str">
        <f>IFERROR(__xludf.DUMMYFUNCTION("""COMPUTED_VALUE"""),"Miranda")</f>
        <v>Miranda</v>
      </c>
      <c r="C380" s="113" t="str">
        <f>IFERROR(__xludf.DUMMYFUNCTION("""COMPUTED_VALUE"""),"Parker")</f>
        <v>Parker</v>
      </c>
      <c r="D380" s="158">
        <f>IFERROR(__xludf.DUMMYFUNCTION("""COMPUTED_VALUE"""),1149.0)</f>
        <v>1149</v>
      </c>
      <c r="E380" s="161">
        <f t="shared" si="1"/>
        <v>4</v>
      </c>
      <c r="F380" s="160">
        <f>COUNTIFS('Scores Import DO NOT EDIT'!C:C, D380,'Scores Import DO NOT EDIT'!M:M,A380)</f>
        <v>3</v>
      </c>
      <c r="G380" s="162">
        <f t="shared" si="2"/>
        <v>0.75</v>
      </c>
      <c r="H380" s="163" t="str">
        <f t="shared" si="3"/>
        <v>I-81149</v>
      </c>
      <c r="I380" s="113"/>
      <c r="J380" s="113"/>
      <c r="K380" s="113"/>
      <c r="L380" s="158"/>
      <c r="M380" s="166" t="s">
        <v>468</v>
      </c>
      <c r="N380" s="113"/>
      <c r="O380" s="113"/>
      <c r="P380" s="113"/>
      <c r="Q380" s="113"/>
      <c r="R380" s="113"/>
      <c r="S380" s="113"/>
      <c r="T380" s="113"/>
      <c r="U380" s="113"/>
      <c r="V380" s="113"/>
      <c r="W380" s="113"/>
      <c r="X380" s="113"/>
      <c r="Y380" s="113"/>
      <c r="Z380" s="113"/>
      <c r="AA380" s="113"/>
      <c r="AB380" s="113"/>
      <c r="AC380" s="113"/>
      <c r="AD380" s="113"/>
      <c r="AE380" s="113"/>
      <c r="AF380" s="113"/>
      <c r="AG380" s="113"/>
      <c r="AH380" s="113"/>
      <c r="AI380" s="113"/>
      <c r="AJ380" s="113"/>
      <c r="AK380" s="113"/>
      <c r="AL380" s="113"/>
      <c r="AM380" s="113"/>
      <c r="AN380" s="113"/>
      <c r="AO380" s="113"/>
      <c r="AP380" s="113"/>
      <c r="AQ380" s="113"/>
      <c r="AR380" s="113"/>
      <c r="AS380" s="113"/>
      <c r="AT380" s="113"/>
      <c r="AU380" s="113"/>
      <c r="AV380" s="113"/>
      <c r="AW380" s="113"/>
      <c r="AX380" s="113"/>
      <c r="AY380" s="113"/>
      <c r="AZ380" s="113"/>
      <c r="BA380" s="113"/>
      <c r="BB380" s="113"/>
      <c r="BC380" s="113"/>
      <c r="BD380" s="113"/>
      <c r="BE380" s="113"/>
      <c r="BF380" s="113"/>
      <c r="BG380" s="113"/>
      <c r="BH380" s="113"/>
      <c r="BI380" s="113"/>
      <c r="BJ380" s="113"/>
      <c r="BK380" s="113"/>
      <c r="BL380" s="113"/>
      <c r="BM380" s="113"/>
      <c r="BN380" s="113"/>
      <c r="BO380" s="113"/>
      <c r="BP380" s="113"/>
      <c r="BQ380" s="113"/>
      <c r="BR380" s="113"/>
      <c r="BS380" s="113"/>
      <c r="BT380" s="113"/>
      <c r="BU380" s="113"/>
      <c r="BV380" s="113"/>
      <c r="BW380" s="113"/>
      <c r="BX380" s="113"/>
      <c r="BY380" s="113"/>
      <c r="BZ380" s="113"/>
      <c r="CA380" s="113"/>
      <c r="CB380" s="113"/>
      <c r="CC380" s="113"/>
      <c r="CD380" s="113"/>
      <c r="CE380" s="113"/>
      <c r="CF380" s="113"/>
      <c r="CG380" s="113"/>
      <c r="CH380" s="113"/>
      <c r="CI380" s="113"/>
      <c r="CJ380" s="113"/>
      <c r="CK380" s="113"/>
      <c r="CL380" s="113"/>
      <c r="CM380" s="113"/>
      <c r="CN380" s="113"/>
      <c r="CO380" s="113"/>
      <c r="CP380" s="113"/>
      <c r="CQ380" s="113"/>
      <c r="CR380" s="113"/>
      <c r="CS380" s="113"/>
      <c r="CT380" s="113"/>
      <c r="CU380" s="113"/>
    </row>
    <row r="381">
      <c r="A381" s="159" t="str">
        <f>IFERROR(__xludf.DUMMYFUNCTION("""COMPUTED_VALUE"""),"I-9")</f>
        <v>I-9</v>
      </c>
      <c r="B381" s="113" t="str">
        <f>IFERROR(__xludf.DUMMYFUNCTION("""COMPUTED_VALUE"""),"Yaoyi")</f>
        <v>Yaoyi</v>
      </c>
      <c r="C381" s="113" t="str">
        <f>IFERROR(__xludf.DUMMYFUNCTION("""COMPUTED_VALUE"""),"Xi")</f>
        <v>Xi</v>
      </c>
      <c r="D381" s="158">
        <f>IFERROR(__xludf.DUMMYFUNCTION("""COMPUTED_VALUE"""),1070.0)</f>
        <v>1070</v>
      </c>
      <c r="E381" s="161">
        <f t="shared" si="1"/>
        <v>6</v>
      </c>
      <c r="F381" s="160">
        <f>COUNTIFS('Scores Import DO NOT EDIT'!C:C, D381,'Scores Import DO NOT EDIT'!M:M,A381)</f>
        <v>0</v>
      </c>
      <c r="G381" s="162">
        <f t="shared" si="2"/>
        <v>0</v>
      </c>
      <c r="H381" s="163" t="str">
        <f t="shared" si="3"/>
        <v>I-91070</v>
      </c>
      <c r="I381" s="113"/>
      <c r="J381" s="113"/>
      <c r="K381" s="113"/>
      <c r="L381" s="158"/>
      <c r="M381" s="166" t="s">
        <v>473</v>
      </c>
      <c r="N381" s="113"/>
      <c r="O381" s="113"/>
      <c r="P381" s="113"/>
      <c r="Q381" s="113"/>
      <c r="R381" s="113"/>
      <c r="S381" s="113"/>
      <c r="T381" s="113"/>
      <c r="U381" s="113"/>
      <c r="V381" s="113"/>
      <c r="W381" s="113"/>
      <c r="X381" s="113"/>
      <c r="Y381" s="113"/>
      <c r="Z381" s="113"/>
      <c r="AA381" s="113"/>
      <c r="AB381" s="113"/>
      <c r="AC381" s="113"/>
      <c r="AD381" s="113"/>
      <c r="AE381" s="113"/>
      <c r="AF381" s="113"/>
      <c r="AG381" s="113"/>
      <c r="AH381" s="113"/>
      <c r="AI381" s="113"/>
      <c r="AJ381" s="113"/>
      <c r="AK381" s="113"/>
      <c r="AL381" s="113"/>
      <c r="AM381" s="113"/>
      <c r="AN381" s="113"/>
      <c r="AO381" s="113"/>
      <c r="AP381" s="113"/>
      <c r="AQ381" s="113"/>
      <c r="AR381" s="113"/>
      <c r="AS381" s="113"/>
      <c r="AT381" s="113"/>
      <c r="AU381" s="113"/>
      <c r="AV381" s="113"/>
      <c r="AW381" s="113"/>
      <c r="AX381" s="113"/>
      <c r="AY381" s="113"/>
      <c r="AZ381" s="113"/>
      <c r="BA381" s="113"/>
      <c r="BB381" s="113"/>
      <c r="BC381" s="113"/>
      <c r="BD381" s="113"/>
      <c r="BE381" s="113"/>
      <c r="BF381" s="113"/>
      <c r="BG381" s="113"/>
      <c r="BH381" s="113"/>
      <c r="BI381" s="113"/>
      <c r="BJ381" s="113"/>
      <c r="BK381" s="113"/>
      <c r="BL381" s="113"/>
      <c r="BM381" s="113"/>
      <c r="BN381" s="113"/>
      <c r="BO381" s="113"/>
      <c r="BP381" s="113"/>
      <c r="BQ381" s="113"/>
      <c r="BR381" s="113"/>
      <c r="BS381" s="113"/>
      <c r="BT381" s="113"/>
      <c r="BU381" s="113"/>
      <c r="BV381" s="113"/>
      <c r="BW381" s="113"/>
      <c r="BX381" s="113"/>
      <c r="BY381" s="113"/>
      <c r="BZ381" s="113"/>
      <c r="CA381" s="113"/>
      <c r="CB381" s="113"/>
      <c r="CC381" s="113"/>
      <c r="CD381" s="113"/>
      <c r="CE381" s="113"/>
      <c r="CF381" s="113"/>
      <c r="CG381" s="113"/>
      <c r="CH381" s="113"/>
      <c r="CI381" s="113"/>
      <c r="CJ381" s="113"/>
      <c r="CK381" s="113"/>
      <c r="CL381" s="113"/>
      <c r="CM381" s="113"/>
      <c r="CN381" s="113"/>
      <c r="CO381" s="113"/>
      <c r="CP381" s="113"/>
      <c r="CQ381" s="113"/>
      <c r="CR381" s="113"/>
      <c r="CS381" s="113"/>
      <c r="CT381" s="113"/>
      <c r="CU381" s="113"/>
    </row>
    <row r="382">
      <c r="A382" s="159" t="str">
        <f>IFERROR(__xludf.DUMMYFUNCTION("""COMPUTED_VALUE"""),"I-9")</f>
        <v>I-9</v>
      </c>
      <c r="B382" s="113" t="str">
        <f>IFERROR(__xludf.DUMMYFUNCTION("""COMPUTED_VALUE"""),"Tam")</f>
        <v>Tam</v>
      </c>
      <c r="C382" s="113" t="str">
        <f>IFERROR(__xludf.DUMMYFUNCTION("""COMPUTED_VALUE"""),"Lieu")</f>
        <v>Lieu</v>
      </c>
      <c r="D382" s="158">
        <f>IFERROR(__xludf.DUMMYFUNCTION("""COMPUTED_VALUE"""),1023.0)</f>
        <v>1023</v>
      </c>
      <c r="E382" s="161">
        <f t="shared" si="1"/>
        <v>6</v>
      </c>
      <c r="F382" s="160">
        <f>COUNTIFS('Scores Import DO NOT EDIT'!C:C, D382,'Scores Import DO NOT EDIT'!M:M,A382)</f>
        <v>5</v>
      </c>
      <c r="G382" s="162">
        <f t="shared" si="2"/>
        <v>0.8333333333</v>
      </c>
      <c r="H382" s="163" t="str">
        <f t="shared" si="3"/>
        <v>I-91023</v>
      </c>
      <c r="I382" s="113"/>
      <c r="J382" s="113"/>
      <c r="K382" s="113"/>
      <c r="L382" s="158"/>
      <c r="M382" s="166" t="s">
        <v>466</v>
      </c>
      <c r="N382" s="113"/>
      <c r="O382" s="113"/>
      <c r="P382" s="113"/>
      <c r="Q382" s="113"/>
      <c r="R382" s="113"/>
      <c r="S382" s="113"/>
      <c r="T382" s="113"/>
      <c r="U382" s="113"/>
      <c r="V382" s="113"/>
      <c r="W382" s="113"/>
      <c r="X382" s="113"/>
      <c r="Y382" s="113"/>
      <c r="Z382" s="113"/>
      <c r="AA382" s="113"/>
      <c r="AB382" s="113"/>
      <c r="AC382" s="113"/>
      <c r="AD382" s="113"/>
      <c r="AE382" s="113"/>
      <c r="AF382" s="113"/>
      <c r="AG382" s="113"/>
      <c r="AH382" s="113"/>
      <c r="AI382" s="113"/>
      <c r="AJ382" s="113"/>
      <c r="AK382" s="113"/>
      <c r="AL382" s="113"/>
      <c r="AM382" s="113"/>
      <c r="AN382" s="113"/>
      <c r="AO382" s="113"/>
      <c r="AP382" s="113"/>
      <c r="AQ382" s="113"/>
      <c r="AR382" s="113"/>
      <c r="AS382" s="113"/>
      <c r="AT382" s="113"/>
      <c r="AU382" s="113"/>
      <c r="AV382" s="113"/>
      <c r="AW382" s="113"/>
      <c r="AX382" s="113"/>
      <c r="AY382" s="113"/>
      <c r="AZ382" s="113"/>
      <c r="BA382" s="113"/>
      <c r="BB382" s="113"/>
      <c r="BC382" s="113"/>
      <c r="BD382" s="113"/>
      <c r="BE382" s="113"/>
      <c r="BF382" s="113"/>
      <c r="BG382" s="113"/>
      <c r="BH382" s="113"/>
      <c r="BI382" s="113"/>
      <c r="BJ382" s="113"/>
      <c r="BK382" s="113"/>
      <c r="BL382" s="113"/>
      <c r="BM382" s="113"/>
      <c r="BN382" s="113"/>
      <c r="BO382" s="113"/>
      <c r="BP382" s="113"/>
      <c r="BQ382" s="113"/>
      <c r="BR382" s="113"/>
      <c r="BS382" s="113"/>
      <c r="BT382" s="113"/>
      <c r="BU382" s="113"/>
      <c r="BV382" s="113"/>
      <c r="BW382" s="113"/>
      <c r="BX382" s="113"/>
      <c r="BY382" s="113"/>
      <c r="BZ382" s="113"/>
      <c r="CA382" s="113"/>
      <c r="CB382" s="113"/>
      <c r="CC382" s="113"/>
      <c r="CD382" s="113"/>
      <c r="CE382" s="113"/>
      <c r="CF382" s="113"/>
      <c r="CG382" s="113"/>
      <c r="CH382" s="113"/>
      <c r="CI382" s="113"/>
      <c r="CJ382" s="113"/>
      <c r="CK382" s="113"/>
      <c r="CL382" s="113"/>
      <c r="CM382" s="113"/>
      <c r="CN382" s="113"/>
      <c r="CO382" s="113"/>
      <c r="CP382" s="113"/>
      <c r="CQ382" s="113"/>
      <c r="CR382" s="113"/>
      <c r="CS382" s="113"/>
      <c r="CT382" s="113"/>
      <c r="CU382" s="113"/>
    </row>
    <row r="383">
      <c r="A383" s="159" t="str">
        <f>IFERROR(__xludf.DUMMYFUNCTION("""COMPUTED_VALUE"""),"I-9")</f>
        <v>I-9</v>
      </c>
      <c r="B383" s="113" t="str">
        <f>IFERROR(__xludf.DUMMYFUNCTION("""COMPUTED_VALUE"""),"Liang")</f>
        <v>Liang</v>
      </c>
      <c r="C383" s="113" t="str">
        <f>IFERROR(__xludf.DUMMYFUNCTION("""COMPUTED_VALUE"""),"Ma")</f>
        <v>Ma</v>
      </c>
      <c r="D383" s="158">
        <f>IFERROR(__xludf.DUMMYFUNCTION("""COMPUTED_VALUE"""),1050.0)</f>
        <v>1050</v>
      </c>
      <c r="E383" s="161">
        <f t="shared" si="1"/>
        <v>6</v>
      </c>
      <c r="F383" s="160">
        <f>COUNTIFS('Scores Import DO NOT EDIT'!C:C, D383,'Scores Import DO NOT EDIT'!M:M,A383)</f>
        <v>5</v>
      </c>
      <c r="G383" s="162">
        <f t="shared" si="2"/>
        <v>0.8333333333</v>
      </c>
      <c r="H383" s="163" t="str">
        <f t="shared" si="3"/>
        <v>I-91050</v>
      </c>
      <c r="I383" s="113"/>
      <c r="J383" s="113"/>
      <c r="K383" s="113"/>
      <c r="L383" s="158"/>
      <c r="M383" s="166" t="s">
        <v>469</v>
      </c>
      <c r="N383" s="113"/>
      <c r="O383" s="113"/>
      <c r="P383" s="113"/>
      <c r="Q383" s="113"/>
      <c r="R383" s="113"/>
      <c r="S383" s="113"/>
      <c r="T383" s="113"/>
      <c r="U383" s="113"/>
      <c r="V383" s="113"/>
      <c r="W383" s="113"/>
      <c r="X383" s="113"/>
      <c r="Y383" s="113"/>
      <c r="Z383" s="113"/>
      <c r="AA383" s="113"/>
      <c r="AB383" s="113"/>
      <c r="AC383" s="113"/>
      <c r="AD383" s="113"/>
      <c r="AE383" s="113"/>
      <c r="AF383" s="113"/>
      <c r="AG383" s="113"/>
      <c r="AH383" s="113"/>
      <c r="AI383" s="113"/>
      <c r="AJ383" s="113"/>
      <c r="AK383" s="113"/>
      <c r="AL383" s="113"/>
      <c r="AM383" s="113"/>
      <c r="AN383" s="113"/>
      <c r="AO383" s="113"/>
      <c r="AP383" s="113"/>
      <c r="AQ383" s="113"/>
      <c r="AR383" s="113"/>
      <c r="AS383" s="113"/>
      <c r="AT383" s="113"/>
      <c r="AU383" s="113"/>
      <c r="AV383" s="113"/>
      <c r="AW383" s="113"/>
      <c r="AX383" s="113"/>
      <c r="AY383" s="113"/>
      <c r="AZ383" s="113"/>
      <c r="BA383" s="113"/>
      <c r="BB383" s="113"/>
      <c r="BC383" s="113"/>
      <c r="BD383" s="113"/>
      <c r="BE383" s="113"/>
      <c r="BF383" s="113"/>
      <c r="BG383" s="113"/>
      <c r="BH383" s="113"/>
      <c r="BI383" s="113"/>
      <c r="BJ383" s="113"/>
      <c r="BK383" s="113"/>
      <c r="BL383" s="113"/>
      <c r="BM383" s="113"/>
      <c r="BN383" s="113"/>
      <c r="BO383" s="113"/>
      <c r="BP383" s="113"/>
      <c r="BQ383" s="113"/>
      <c r="BR383" s="113"/>
      <c r="BS383" s="113"/>
      <c r="BT383" s="113"/>
      <c r="BU383" s="113"/>
      <c r="BV383" s="113"/>
      <c r="BW383" s="113"/>
      <c r="BX383" s="113"/>
      <c r="BY383" s="113"/>
      <c r="BZ383" s="113"/>
      <c r="CA383" s="113"/>
      <c r="CB383" s="113"/>
      <c r="CC383" s="113"/>
      <c r="CD383" s="113"/>
      <c r="CE383" s="113"/>
      <c r="CF383" s="113"/>
      <c r="CG383" s="113"/>
      <c r="CH383" s="113"/>
      <c r="CI383" s="113"/>
      <c r="CJ383" s="113"/>
      <c r="CK383" s="113"/>
      <c r="CL383" s="113"/>
      <c r="CM383" s="113"/>
      <c r="CN383" s="113"/>
      <c r="CO383" s="113"/>
      <c r="CP383" s="113"/>
      <c r="CQ383" s="113"/>
      <c r="CR383" s="113"/>
      <c r="CS383" s="113"/>
      <c r="CT383" s="113"/>
      <c r="CU383" s="113"/>
    </row>
    <row r="384">
      <c r="A384" s="159" t="str">
        <f>IFERROR(__xludf.DUMMYFUNCTION("""COMPUTED_VALUE"""),"I-9")</f>
        <v>I-9</v>
      </c>
      <c r="B384" s="113" t="str">
        <f>IFERROR(__xludf.DUMMYFUNCTION("""COMPUTED_VALUE"""),"Aner")</f>
        <v>Aner</v>
      </c>
      <c r="C384" s="113" t="str">
        <f>IFERROR(__xludf.DUMMYFUNCTION("""COMPUTED_VALUE"""),"Zhou")</f>
        <v>Zhou</v>
      </c>
      <c r="D384" s="158">
        <f>IFERROR(__xludf.DUMMYFUNCTION("""COMPUTED_VALUE"""),1042.0)</f>
        <v>1042</v>
      </c>
      <c r="E384" s="161">
        <f t="shared" si="1"/>
        <v>6</v>
      </c>
      <c r="F384" s="160">
        <f>COUNTIFS('Scores Import DO NOT EDIT'!C:C, D384,'Scores Import DO NOT EDIT'!M:M,A384)</f>
        <v>5</v>
      </c>
      <c r="G384" s="162">
        <f t="shared" si="2"/>
        <v>0.8333333333</v>
      </c>
      <c r="H384" s="163" t="str">
        <f t="shared" si="3"/>
        <v>I-91042</v>
      </c>
      <c r="I384" s="113"/>
      <c r="J384" s="113"/>
      <c r="K384" s="113"/>
      <c r="L384" s="158"/>
      <c r="M384" s="166" t="s">
        <v>477</v>
      </c>
      <c r="N384" s="113"/>
      <c r="O384" s="113"/>
      <c r="P384" s="113"/>
      <c r="Q384" s="113"/>
      <c r="R384" s="113"/>
      <c r="S384" s="113"/>
      <c r="T384" s="113"/>
      <c r="U384" s="113"/>
      <c r="V384" s="113"/>
      <c r="W384" s="113"/>
      <c r="X384" s="113"/>
      <c r="Y384" s="113"/>
      <c r="Z384" s="113"/>
      <c r="AA384" s="113"/>
      <c r="AB384" s="113"/>
      <c r="AC384" s="113"/>
      <c r="AD384" s="113"/>
      <c r="AE384" s="113"/>
      <c r="AF384" s="113"/>
      <c r="AG384" s="113"/>
      <c r="AH384" s="113"/>
      <c r="AI384" s="113"/>
      <c r="AJ384" s="113"/>
      <c r="AK384" s="113"/>
      <c r="AL384" s="113"/>
      <c r="AM384" s="113"/>
      <c r="AN384" s="113"/>
      <c r="AO384" s="113"/>
      <c r="AP384" s="113"/>
      <c r="AQ384" s="113"/>
      <c r="AR384" s="113"/>
      <c r="AS384" s="113"/>
      <c r="AT384" s="113"/>
      <c r="AU384" s="113"/>
      <c r="AV384" s="113"/>
      <c r="AW384" s="113"/>
      <c r="AX384" s="113"/>
      <c r="AY384" s="113"/>
      <c r="AZ384" s="113"/>
      <c r="BA384" s="113"/>
      <c r="BB384" s="113"/>
      <c r="BC384" s="113"/>
      <c r="BD384" s="113"/>
      <c r="BE384" s="113"/>
      <c r="BF384" s="113"/>
      <c r="BG384" s="113"/>
      <c r="BH384" s="113"/>
      <c r="BI384" s="113"/>
      <c r="BJ384" s="113"/>
      <c r="BK384" s="113"/>
      <c r="BL384" s="113"/>
      <c r="BM384" s="113"/>
      <c r="BN384" s="113"/>
      <c r="BO384" s="113"/>
      <c r="BP384" s="113"/>
      <c r="BQ384" s="113"/>
      <c r="BR384" s="113"/>
      <c r="BS384" s="113"/>
      <c r="BT384" s="113"/>
      <c r="BU384" s="113"/>
      <c r="BV384" s="113"/>
      <c r="BW384" s="113"/>
      <c r="BX384" s="113"/>
      <c r="BY384" s="113"/>
      <c r="BZ384" s="113"/>
      <c r="CA384" s="113"/>
      <c r="CB384" s="113"/>
      <c r="CC384" s="113"/>
      <c r="CD384" s="113"/>
      <c r="CE384" s="113"/>
      <c r="CF384" s="113"/>
      <c r="CG384" s="113"/>
      <c r="CH384" s="113"/>
      <c r="CI384" s="113"/>
      <c r="CJ384" s="113"/>
      <c r="CK384" s="113"/>
      <c r="CL384" s="113"/>
      <c r="CM384" s="113"/>
      <c r="CN384" s="113"/>
      <c r="CO384" s="113"/>
      <c r="CP384" s="113"/>
      <c r="CQ384" s="113"/>
      <c r="CR384" s="113"/>
      <c r="CS384" s="113"/>
      <c r="CT384" s="113"/>
      <c r="CU384" s="113"/>
    </row>
    <row r="385">
      <c r="A385" s="159" t="str">
        <f>IFERROR(__xludf.DUMMYFUNCTION("""COMPUTED_VALUE"""),"J-1")</f>
        <v>J-1</v>
      </c>
      <c r="B385" s="113" t="str">
        <f>IFERROR(__xludf.DUMMYFUNCTION("""COMPUTED_VALUE"""),"Norah P.")</f>
        <v>Norah P.</v>
      </c>
      <c r="C385" s="113" t="str">
        <f>IFERROR(__xludf.DUMMYFUNCTION("""COMPUTED_VALUE"""),"Shultz")</f>
        <v>Shultz</v>
      </c>
      <c r="D385" s="158">
        <f>IFERROR(__xludf.DUMMYFUNCTION("""COMPUTED_VALUE"""),1235.0)</f>
        <v>1235</v>
      </c>
      <c r="E385" s="161">
        <f t="shared" si="1"/>
        <v>3</v>
      </c>
      <c r="F385" s="160">
        <f>COUNTIFS('Scores Import DO NOT EDIT'!C:C, D385,'Scores Import DO NOT EDIT'!M:M,A385)</f>
        <v>2</v>
      </c>
      <c r="G385" s="162">
        <f t="shared" si="2"/>
        <v>0.6666666667</v>
      </c>
      <c r="H385" s="163" t="str">
        <f t="shared" si="3"/>
        <v>J-11235</v>
      </c>
      <c r="I385" s="113"/>
      <c r="J385" s="113"/>
      <c r="K385" s="113"/>
      <c r="L385" s="158"/>
      <c r="M385" s="166" t="s">
        <v>478</v>
      </c>
      <c r="N385" s="113"/>
      <c r="O385" s="113"/>
      <c r="P385" s="113"/>
      <c r="Q385" s="113"/>
      <c r="R385" s="113"/>
      <c r="S385" s="113"/>
      <c r="T385" s="113"/>
      <c r="U385" s="113"/>
      <c r="V385" s="113"/>
      <c r="W385" s="113"/>
      <c r="X385" s="113"/>
      <c r="Y385" s="113"/>
      <c r="Z385" s="113"/>
      <c r="AA385" s="113"/>
      <c r="AB385" s="113"/>
      <c r="AC385" s="113"/>
      <c r="AD385" s="113"/>
      <c r="AE385" s="113"/>
      <c r="AF385" s="113"/>
      <c r="AG385" s="113"/>
      <c r="AH385" s="113"/>
      <c r="AI385" s="113"/>
      <c r="AJ385" s="113"/>
      <c r="AK385" s="113"/>
      <c r="AL385" s="113"/>
      <c r="AM385" s="113"/>
      <c r="AN385" s="113"/>
      <c r="AO385" s="113"/>
      <c r="AP385" s="113"/>
      <c r="AQ385" s="113"/>
      <c r="AR385" s="113"/>
      <c r="AS385" s="113"/>
      <c r="AT385" s="113"/>
      <c r="AU385" s="113"/>
      <c r="AV385" s="113"/>
      <c r="AW385" s="113"/>
      <c r="AX385" s="113"/>
      <c r="AY385" s="113"/>
      <c r="AZ385" s="113"/>
      <c r="BA385" s="113"/>
      <c r="BB385" s="113"/>
      <c r="BC385" s="113"/>
      <c r="BD385" s="113"/>
      <c r="BE385" s="113"/>
      <c r="BF385" s="113"/>
      <c r="BG385" s="113"/>
      <c r="BH385" s="113"/>
      <c r="BI385" s="113"/>
      <c r="BJ385" s="113"/>
      <c r="BK385" s="113"/>
      <c r="BL385" s="113"/>
      <c r="BM385" s="113"/>
      <c r="BN385" s="113"/>
      <c r="BO385" s="113"/>
      <c r="BP385" s="113"/>
      <c r="BQ385" s="113"/>
      <c r="BR385" s="113"/>
      <c r="BS385" s="113"/>
      <c r="BT385" s="113"/>
      <c r="BU385" s="113"/>
      <c r="BV385" s="113"/>
      <c r="BW385" s="113"/>
      <c r="BX385" s="113"/>
      <c r="BY385" s="113"/>
      <c r="BZ385" s="113"/>
      <c r="CA385" s="113"/>
      <c r="CB385" s="113"/>
      <c r="CC385" s="113"/>
      <c r="CD385" s="113"/>
      <c r="CE385" s="113"/>
      <c r="CF385" s="113"/>
      <c r="CG385" s="113"/>
      <c r="CH385" s="113"/>
      <c r="CI385" s="113"/>
      <c r="CJ385" s="113"/>
      <c r="CK385" s="113"/>
      <c r="CL385" s="113"/>
      <c r="CM385" s="113"/>
      <c r="CN385" s="113"/>
      <c r="CO385" s="113"/>
      <c r="CP385" s="113"/>
      <c r="CQ385" s="113"/>
      <c r="CR385" s="113"/>
      <c r="CS385" s="113"/>
      <c r="CT385" s="113"/>
      <c r="CU385" s="113"/>
    </row>
    <row r="386">
      <c r="A386" s="159" t="str">
        <f>IFERROR(__xludf.DUMMYFUNCTION("""COMPUTED_VALUE"""),"J-1")</f>
        <v>J-1</v>
      </c>
      <c r="B386" s="113" t="str">
        <f>IFERROR(__xludf.DUMMYFUNCTION("""COMPUTED_VALUE"""),"Mariam")</f>
        <v>Mariam</v>
      </c>
      <c r="C386" s="113" t="str">
        <f>IFERROR(__xludf.DUMMYFUNCTION("""COMPUTED_VALUE"""),"Ahmed")</f>
        <v>Ahmed</v>
      </c>
      <c r="D386" s="158">
        <f>IFERROR(__xludf.DUMMYFUNCTION("""COMPUTED_VALUE"""),1104.0)</f>
        <v>1104</v>
      </c>
      <c r="E386" s="161">
        <f t="shared" si="1"/>
        <v>3</v>
      </c>
      <c r="F386" s="160">
        <f>COUNTIFS('Scores Import DO NOT EDIT'!C:C, D386,'Scores Import DO NOT EDIT'!M:M,A386)</f>
        <v>0</v>
      </c>
      <c r="G386" s="162">
        <f t="shared" si="2"/>
        <v>0</v>
      </c>
      <c r="H386" s="163" t="str">
        <f t="shared" si="3"/>
        <v>J-11104</v>
      </c>
      <c r="I386" s="113"/>
      <c r="J386" s="113"/>
      <c r="K386" s="113"/>
      <c r="L386" s="158"/>
      <c r="N386" s="113"/>
      <c r="O386" s="113"/>
      <c r="P386" s="113"/>
      <c r="Q386" s="113"/>
      <c r="R386" s="113"/>
      <c r="S386" s="113"/>
      <c r="T386" s="113"/>
      <c r="U386" s="113"/>
      <c r="V386" s="113"/>
      <c r="W386" s="113"/>
      <c r="X386" s="113"/>
      <c r="Y386" s="113"/>
      <c r="Z386" s="113"/>
      <c r="AA386" s="113"/>
      <c r="AB386" s="113"/>
      <c r="AC386" s="113"/>
      <c r="AD386" s="113"/>
      <c r="AE386" s="113"/>
      <c r="AF386" s="113"/>
      <c r="AG386" s="113"/>
      <c r="AH386" s="113"/>
      <c r="AI386" s="113"/>
      <c r="AJ386" s="113"/>
      <c r="AK386" s="113"/>
      <c r="AL386" s="113"/>
      <c r="AM386" s="113"/>
      <c r="AN386" s="113"/>
      <c r="AO386" s="113"/>
      <c r="AP386" s="113"/>
      <c r="AQ386" s="113"/>
      <c r="AR386" s="113"/>
      <c r="AS386" s="113"/>
      <c r="AT386" s="113"/>
      <c r="AU386" s="113"/>
      <c r="AV386" s="113"/>
      <c r="AW386" s="113"/>
      <c r="AX386" s="113"/>
      <c r="AY386" s="113"/>
      <c r="AZ386" s="113"/>
      <c r="BA386" s="113"/>
      <c r="BB386" s="113"/>
      <c r="BC386" s="113"/>
      <c r="BD386" s="113"/>
      <c r="BE386" s="113"/>
      <c r="BF386" s="113"/>
      <c r="BG386" s="113"/>
      <c r="BH386" s="113"/>
      <c r="BI386" s="113"/>
      <c r="BJ386" s="113"/>
      <c r="BK386" s="113"/>
      <c r="BL386" s="113"/>
      <c r="BM386" s="113"/>
      <c r="BN386" s="113"/>
      <c r="BO386" s="113"/>
      <c r="BP386" s="113"/>
      <c r="BQ386" s="113"/>
      <c r="BR386" s="113"/>
      <c r="BS386" s="113"/>
      <c r="BT386" s="113"/>
      <c r="BU386" s="113"/>
      <c r="BV386" s="113"/>
      <c r="BW386" s="113"/>
      <c r="BX386" s="113"/>
      <c r="BY386" s="113"/>
      <c r="BZ386" s="113"/>
      <c r="CA386" s="113"/>
      <c r="CB386" s="113"/>
      <c r="CC386" s="113"/>
      <c r="CD386" s="113"/>
      <c r="CE386" s="113"/>
      <c r="CF386" s="113"/>
      <c r="CG386" s="113"/>
      <c r="CH386" s="113"/>
      <c r="CI386" s="113"/>
      <c r="CJ386" s="113"/>
      <c r="CK386" s="113"/>
      <c r="CL386" s="113"/>
      <c r="CM386" s="113"/>
      <c r="CN386" s="113"/>
      <c r="CO386" s="113"/>
      <c r="CP386" s="113"/>
      <c r="CQ386" s="113"/>
      <c r="CR386" s="113"/>
      <c r="CS386" s="113"/>
      <c r="CT386" s="113"/>
      <c r="CU386" s="113"/>
    </row>
    <row r="387">
      <c r="A387" s="159" t="str">
        <f>IFERROR(__xludf.DUMMYFUNCTION("""COMPUTED_VALUE"""),"J-1")</f>
        <v>J-1</v>
      </c>
      <c r="B387" s="113" t="str">
        <f>IFERROR(__xludf.DUMMYFUNCTION("""COMPUTED_VALUE"""),"Nathan")</f>
        <v>Nathan</v>
      </c>
      <c r="C387" s="113" t="str">
        <f>IFERROR(__xludf.DUMMYFUNCTION("""COMPUTED_VALUE"""),"Lindsay")</f>
        <v>Lindsay</v>
      </c>
      <c r="D387" s="158">
        <f>IFERROR(__xludf.DUMMYFUNCTION("""COMPUTED_VALUE"""),1119.0)</f>
        <v>1119</v>
      </c>
      <c r="E387" s="161">
        <f t="shared" si="1"/>
        <v>3</v>
      </c>
      <c r="F387" s="160">
        <f>COUNTIFS('Scores Import DO NOT EDIT'!C:C, D387,'Scores Import DO NOT EDIT'!M:M,A387)</f>
        <v>2</v>
      </c>
      <c r="G387" s="162">
        <f t="shared" si="2"/>
        <v>0.6666666667</v>
      </c>
      <c r="H387" s="163" t="str">
        <f t="shared" si="3"/>
        <v>J-11119</v>
      </c>
      <c r="I387" s="113"/>
      <c r="J387" s="113"/>
      <c r="K387" s="113"/>
      <c r="L387" s="158"/>
      <c r="N387" s="113"/>
      <c r="O387" s="113"/>
      <c r="P387" s="113"/>
      <c r="Q387" s="113"/>
      <c r="R387" s="113"/>
      <c r="S387" s="113"/>
      <c r="T387" s="113"/>
      <c r="U387" s="113"/>
      <c r="V387" s="113"/>
      <c r="W387" s="113"/>
      <c r="X387" s="113"/>
      <c r="Y387" s="113"/>
      <c r="Z387" s="113"/>
      <c r="AA387" s="113"/>
      <c r="AB387" s="113"/>
      <c r="AC387" s="113"/>
      <c r="AD387" s="113"/>
      <c r="AE387" s="113"/>
      <c r="AF387" s="113"/>
      <c r="AG387" s="113"/>
      <c r="AH387" s="113"/>
      <c r="AI387" s="113"/>
      <c r="AJ387" s="113"/>
      <c r="AK387" s="113"/>
      <c r="AL387" s="113"/>
      <c r="AM387" s="113"/>
      <c r="AN387" s="113"/>
      <c r="AO387" s="113"/>
      <c r="AP387" s="113"/>
      <c r="AQ387" s="113"/>
      <c r="AR387" s="113"/>
      <c r="AS387" s="113"/>
      <c r="AT387" s="113"/>
      <c r="AU387" s="113"/>
      <c r="AV387" s="113"/>
      <c r="AW387" s="113"/>
      <c r="AX387" s="113"/>
      <c r="AY387" s="113"/>
      <c r="AZ387" s="113"/>
      <c r="BA387" s="113"/>
      <c r="BB387" s="113"/>
      <c r="BC387" s="113"/>
      <c r="BD387" s="113"/>
      <c r="BE387" s="113"/>
      <c r="BF387" s="113"/>
      <c r="BG387" s="113"/>
      <c r="BH387" s="113"/>
      <c r="BI387" s="113"/>
      <c r="BJ387" s="113"/>
      <c r="BK387" s="113"/>
      <c r="BL387" s="113"/>
      <c r="BM387" s="113"/>
      <c r="BN387" s="113"/>
      <c r="BO387" s="113"/>
      <c r="BP387" s="113"/>
      <c r="BQ387" s="113"/>
      <c r="BR387" s="113"/>
      <c r="BS387" s="113"/>
      <c r="BT387" s="113"/>
      <c r="BU387" s="113"/>
      <c r="BV387" s="113"/>
      <c r="BW387" s="113"/>
      <c r="BX387" s="113"/>
      <c r="BY387" s="113"/>
      <c r="BZ387" s="113"/>
      <c r="CA387" s="113"/>
      <c r="CB387" s="113"/>
      <c r="CC387" s="113"/>
      <c r="CD387" s="113"/>
      <c r="CE387" s="113"/>
      <c r="CF387" s="113"/>
      <c r="CG387" s="113"/>
      <c r="CH387" s="113"/>
      <c r="CI387" s="113"/>
      <c r="CJ387" s="113"/>
      <c r="CK387" s="113"/>
      <c r="CL387" s="113"/>
      <c r="CM387" s="113"/>
      <c r="CN387" s="113"/>
      <c r="CO387" s="113"/>
      <c r="CP387" s="113"/>
      <c r="CQ387" s="113"/>
      <c r="CR387" s="113"/>
      <c r="CS387" s="113"/>
      <c r="CT387" s="113"/>
      <c r="CU387" s="113"/>
    </row>
    <row r="388">
      <c r="A388" s="159" t="str">
        <f>IFERROR(__xludf.DUMMYFUNCTION("""COMPUTED_VALUE"""),"J-1")</f>
        <v>J-1</v>
      </c>
      <c r="B388" s="113" t="str">
        <f>IFERROR(__xludf.DUMMYFUNCTION("""COMPUTED_VALUE"""),"Gillian")</f>
        <v>Gillian</v>
      </c>
      <c r="C388" s="113" t="str">
        <f>IFERROR(__xludf.DUMMYFUNCTION("""COMPUTED_VALUE"""),"Sneed")</f>
        <v>Sneed</v>
      </c>
      <c r="D388" s="158">
        <f>IFERROR(__xludf.DUMMYFUNCTION("""COMPUTED_VALUE"""),1118.0)</f>
        <v>1118</v>
      </c>
      <c r="E388" s="161">
        <f t="shared" si="1"/>
        <v>3</v>
      </c>
      <c r="F388" s="160">
        <f>COUNTIFS('Scores Import DO NOT EDIT'!C:C, D388,'Scores Import DO NOT EDIT'!M:M,A388)</f>
        <v>0</v>
      </c>
      <c r="G388" s="162">
        <f t="shared" si="2"/>
        <v>0</v>
      </c>
      <c r="H388" s="163" t="str">
        <f t="shared" si="3"/>
        <v>J-11118</v>
      </c>
      <c r="I388" s="113"/>
      <c r="J388" s="113"/>
      <c r="K388" s="113"/>
      <c r="L388" s="158"/>
      <c r="N388" s="113"/>
      <c r="O388" s="113"/>
      <c r="P388" s="113"/>
      <c r="Q388" s="113"/>
      <c r="R388" s="113"/>
      <c r="S388" s="113"/>
      <c r="T388" s="113"/>
      <c r="U388" s="113"/>
      <c r="V388" s="113"/>
      <c r="W388" s="113"/>
      <c r="X388" s="113"/>
      <c r="Y388" s="113"/>
      <c r="Z388" s="113"/>
      <c r="AA388" s="113"/>
      <c r="AB388" s="113"/>
      <c r="AC388" s="113"/>
      <c r="AD388" s="113"/>
      <c r="AE388" s="113"/>
      <c r="AF388" s="113"/>
      <c r="AG388" s="113"/>
      <c r="AH388" s="113"/>
      <c r="AI388" s="113"/>
      <c r="AJ388" s="113"/>
      <c r="AK388" s="113"/>
      <c r="AL388" s="113"/>
      <c r="AM388" s="113"/>
      <c r="AN388" s="113"/>
      <c r="AO388" s="113"/>
      <c r="AP388" s="113"/>
      <c r="AQ388" s="113"/>
      <c r="AR388" s="113"/>
      <c r="AS388" s="113"/>
      <c r="AT388" s="113"/>
      <c r="AU388" s="113"/>
      <c r="AV388" s="113"/>
      <c r="AW388" s="113"/>
      <c r="AX388" s="113"/>
      <c r="AY388" s="113"/>
      <c r="AZ388" s="113"/>
      <c r="BA388" s="113"/>
      <c r="BB388" s="113"/>
      <c r="BC388" s="113"/>
      <c r="BD388" s="113"/>
      <c r="BE388" s="113"/>
      <c r="BF388" s="113"/>
      <c r="BG388" s="113"/>
      <c r="BH388" s="113"/>
      <c r="BI388" s="113"/>
      <c r="BJ388" s="113"/>
      <c r="BK388" s="113"/>
      <c r="BL388" s="113"/>
      <c r="BM388" s="113"/>
      <c r="BN388" s="113"/>
      <c r="BO388" s="113"/>
      <c r="BP388" s="113"/>
      <c r="BQ388" s="113"/>
      <c r="BR388" s="113"/>
      <c r="BS388" s="113"/>
      <c r="BT388" s="113"/>
      <c r="BU388" s="113"/>
      <c r="BV388" s="113"/>
      <c r="BW388" s="113"/>
      <c r="BX388" s="113"/>
      <c r="BY388" s="113"/>
      <c r="BZ388" s="113"/>
      <c r="CA388" s="113"/>
      <c r="CB388" s="113"/>
      <c r="CC388" s="113"/>
      <c r="CD388" s="113"/>
      <c r="CE388" s="113"/>
      <c r="CF388" s="113"/>
      <c r="CG388" s="113"/>
      <c r="CH388" s="113"/>
      <c r="CI388" s="113"/>
      <c r="CJ388" s="113"/>
      <c r="CK388" s="113"/>
      <c r="CL388" s="113"/>
      <c r="CM388" s="113"/>
      <c r="CN388" s="113"/>
      <c r="CO388" s="113"/>
      <c r="CP388" s="113"/>
      <c r="CQ388" s="113"/>
      <c r="CR388" s="113"/>
      <c r="CS388" s="113"/>
      <c r="CT388" s="113"/>
      <c r="CU388" s="113"/>
    </row>
    <row r="389">
      <c r="A389" s="159" t="str">
        <f>IFERROR(__xludf.DUMMYFUNCTION("""COMPUTED_VALUE"""),"J-1")</f>
        <v>J-1</v>
      </c>
      <c r="B389" s="113" t="str">
        <f>IFERROR(__xludf.DUMMYFUNCTION("""COMPUTED_VALUE"""),"Maria")</f>
        <v>Maria</v>
      </c>
      <c r="C389" s="113" t="str">
        <f>IFERROR(__xludf.DUMMYFUNCTION("""COMPUTED_VALUE"""),"Amor")</f>
        <v>Amor</v>
      </c>
      <c r="D389" s="158">
        <f>IFERROR(__xludf.DUMMYFUNCTION("""COMPUTED_VALUE"""),1071.0)</f>
        <v>1071</v>
      </c>
      <c r="E389" s="161">
        <f t="shared" si="1"/>
        <v>3</v>
      </c>
      <c r="F389" s="160">
        <f>COUNTIFS('Scores Import DO NOT EDIT'!C:C, D389,'Scores Import DO NOT EDIT'!M:M,A389)</f>
        <v>2</v>
      </c>
      <c r="G389" s="162">
        <f t="shared" si="2"/>
        <v>0.6666666667</v>
      </c>
      <c r="H389" s="163" t="str">
        <f t="shared" si="3"/>
        <v>J-11071</v>
      </c>
      <c r="I389" s="113"/>
      <c r="J389" s="113"/>
      <c r="K389" s="113"/>
      <c r="L389" s="158"/>
      <c r="N389" s="113"/>
      <c r="O389" s="113"/>
      <c r="P389" s="113"/>
      <c r="Q389" s="113"/>
      <c r="R389" s="113"/>
      <c r="S389" s="113"/>
      <c r="T389" s="113"/>
      <c r="U389" s="113"/>
      <c r="V389" s="113"/>
      <c r="W389" s="113"/>
      <c r="X389" s="113"/>
      <c r="Y389" s="113"/>
      <c r="Z389" s="113"/>
      <c r="AA389" s="113"/>
      <c r="AB389" s="113"/>
      <c r="AC389" s="113"/>
      <c r="AD389" s="113"/>
      <c r="AE389" s="113"/>
      <c r="AF389" s="113"/>
      <c r="AG389" s="113"/>
      <c r="AH389" s="113"/>
      <c r="AI389" s="113"/>
      <c r="AJ389" s="113"/>
      <c r="AK389" s="113"/>
      <c r="AL389" s="113"/>
      <c r="AM389" s="113"/>
      <c r="AN389" s="113"/>
      <c r="AO389" s="113"/>
      <c r="AP389" s="113"/>
      <c r="AQ389" s="113"/>
      <c r="AR389" s="113"/>
      <c r="AS389" s="113"/>
      <c r="AT389" s="113"/>
      <c r="AU389" s="113"/>
      <c r="AV389" s="113"/>
      <c r="AW389" s="113"/>
      <c r="AX389" s="113"/>
      <c r="AY389" s="113"/>
      <c r="AZ389" s="113"/>
      <c r="BA389" s="113"/>
      <c r="BB389" s="113"/>
      <c r="BC389" s="113"/>
      <c r="BD389" s="113"/>
      <c r="BE389" s="113"/>
      <c r="BF389" s="113"/>
      <c r="BG389" s="113"/>
      <c r="BH389" s="113"/>
      <c r="BI389" s="113"/>
      <c r="BJ389" s="113"/>
      <c r="BK389" s="113"/>
      <c r="BL389" s="113"/>
      <c r="BM389" s="113"/>
      <c r="BN389" s="113"/>
      <c r="BO389" s="113"/>
      <c r="BP389" s="113"/>
      <c r="BQ389" s="113"/>
      <c r="BR389" s="113"/>
      <c r="BS389" s="113"/>
      <c r="BT389" s="113"/>
      <c r="BU389" s="113"/>
      <c r="BV389" s="113"/>
      <c r="BW389" s="113"/>
      <c r="BX389" s="113"/>
      <c r="BY389" s="113"/>
      <c r="BZ389" s="113"/>
      <c r="CA389" s="113"/>
      <c r="CB389" s="113"/>
      <c r="CC389" s="113"/>
      <c r="CD389" s="113"/>
      <c r="CE389" s="113"/>
      <c r="CF389" s="113"/>
      <c r="CG389" s="113"/>
      <c r="CH389" s="113"/>
      <c r="CI389" s="113"/>
      <c r="CJ389" s="113"/>
      <c r="CK389" s="113"/>
      <c r="CL389" s="113"/>
      <c r="CM389" s="113"/>
      <c r="CN389" s="113"/>
      <c r="CO389" s="113"/>
      <c r="CP389" s="113"/>
      <c r="CQ389" s="113"/>
      <c r="CR389" s="113"/>
      <c r="CS389" s="113"/>
      <c r="CT389" s="113"/>
      <c r="CU389" s="113"/>
    </row>
    <row r="390" ht="14.25" customHeight="1">
      <c r="A390" s="159" t="str">
        <f>IFERROR(__xludf.DUMMYFUNCTION("""COMPUTED_VALUE"""),"J-1")</f>
        <v>J-1</v>
      </c>
      <c r="B390" s="113" t="str">
        <f>IFERROR(__xludf.DUMMYFUNCTION("""COMPUTED_VALUE"""),"Natalie")</f>
        <v>Natalie</v>
      </c>
      <c r="C390" s="113" t="str">
        <f>IFERROR(__xludf.DUMMYFUNCTION("""COMPUTED_VALUE"""),"Mladenov")</f>
        <v>Mladenov</v>
      </c>
      <c r="D390" s="158">
        <f>IFERROR(__xludf.DUMMYFUNCTION("""COMPUTED_VALUE"""),1095.0)</f>
        <v>1095</v>
      </c>
      <c r="E390" s="161">
        <f t="shared" si="1"/>
        <v>3</v>
      </c>
      <c r="F390" s="160">
        <f>COUNTIFS('Scores Import DO NOT EDIT'!C:C, D390,'Scores Import DO NOT EDIT'!M:M,A390)</f>
        <v>0</v>
      </c>
      <c r="G390" s="162">
        <f t="shared" si="2"/>
        <v>0</v>
      </c>
      <c r="H390" s="163" t="str">
        <f t="shared" si="3"/>
        <v>J-11095</v>
      </c>
      <c r="I390" s="113"/>
      <c r="J390" s="113"/>
      <c r="K390" s="113"/>
      <c r="L390" s="158"/>
      <c r="M390" s="166"/>
      <c r="N390" s="113"/>
      <c r="O390" s="113"/>
      <c r="P390" s="113"/>
      <c r="Q390" s="113"/>
      <c r="R390" s="113"/>
      <c r="S390" s="113"/>
      <c r="T390" s="113"/>
      <c r="U390" s="113"/>
      <c r="V390" s="113"/>
      <c r="W390" s="113"/>
      <c r="X390" s="113"/>
      <c r="Y390" s="113"/>
      <c r="Z390" s="113"/>
      <c r="AA390" s="113"/>
      <c r="AB390" s="113"/>
      <c r="AC390" s="113"/>
      <c r="AD390" s="113"/>
      <c r="AE390" s="113"/>
      <c r="AF390" s="113"/>
      <c r="AG390" s="113"/>
      <c r="AH390" s="113"/>
      <c r="AI390" s="113"/>
      <c r="AJ390" s="113"/>
      <c r="AK390" s="113"/>
      <c r="AL390" s="113"/>
      <c r="AM390" s="113"/>
      <c r="AN390" s="113"/>
      <c r="AO390" s="113"/>
      <c r="AP390" s="113"/>
      <c r="AQ390" s="113"/>
      <c r="AR390" s="113"/>
      <c r="AS390" s="113"/>
      <c r="AT390" s="113"/>
      <c r="AU390" s="113"/>
      <c r="AV390" s="113"/>
      <c r="AW390" s="113"/>
      <c r="AX390" s="113"/>
      <c r="AY390" s="113"/>
      <c r="AZ390" s="113"/>
      <c r="BA390" s="113"/>
      <c r="BB390" s="113"/>
      <c r="BC390" s="113"/>
      <c r="BD390" s="113"/>
      <c r="BE390" s="113"/>
      <c r="BF390" s="113"/>
      <c r="BG390" s="113"/>
      <c r="BH390" s="113"/>
      <c r="BI390" s="113"/>
      <c r="BJ390" s="113"/>
      <c r="BK390" s="113"/>
      <c r="BL390" s="113"/>
      <c r="BM390" s="113"/>
      <c r="BN390" s="113"/>
      <c r="BO390" s="113"/>
      <c r="BP390" s="113"/>
      <c r="BQ390" s="113"/>
      <c r="BR390" s="113"/>
      <c r="BS390" s="113"/>
      <c r="BT390" s="113"/>
      <c r="BU390" s="113"/>
      <c r="BV390" s="113"/>
      <c r="BW390" s="113"/>
      <c r="BX390" s="113"/>
      <c r="BY390" s="113"/>
      <c r="BZ390" s="113"/>
      <c r="CA390" s="113"/>
      <c r="CB390" s="113"/>
      <c r="CC390" s="113"/>
      <c r="CD390" s="113"/>
      <c r="CE390" s="113"/>
      <c r="CF390" s="113"/>
      <c r="CG390" s="113"/>
      <c r="CH390" s="113"/>
      <c r="CI390" s="113"/>
      <c r="CJ390" s="113"/>
      <c r="CK390" s="113"/>
      <c r="CL390" s="113"/>
      <c r="CM390" s="113"/>
      <c r="CN390" s="113"/>
      <c r="CO390" s="113"/>
      <c r="CP390" s="113"/>
      <c r="CQ390" s="113"/>
      <c r="CR390" s="113"/>
      <c r="CS390" s="113"/>
      <c r="CT390" s="113"/>
      <c r="CU390" s="113"/>
    </row>
    <row r="391">
      <c r="A391" s="159" t="str">
        <f>IFERROR(__xludf.DUMMYFUNCTION("""COMPUTED_VALUE"""),"J-1")</f>
        <v>J-1</v>
      </c>
      <c r="B391" s="113" t="str">
        <f>IFERROR(__xludf.DUMMYFUNCTION("""COMPUTED_VALUE"""),"Erik")</f>
        <v>Erik</v>
      </c>
      <c r="C391" s="113" t="str">
        <f>IFERROR(__xludf.DUMMYFUNCTION("""COMPUTED_VALUE"""),"Valenzuela")</f>
        <v>Valenzuela</v>
      </c>
      <c r="D391" s="158">
        <f>IFERROR(__xludf.DUMMYFUNCTION("""COMPUTED_VALUE"""),1128.0)</f>
        <v>1128</v>
      </c>
      <c r="E391" s="161">
        <f t="shared" si="1"/>
        <v>3</v>
      </c>
      <c r="F391" s="160">
        <f>COUNTIFS('Scores Import DO NOT EDIT'!C:C, D391,'Scores Import DO NOT EDIT'!M:M,A391)</f>
        <v>2</v>
      </c>
      <c r="G391" s="162">
        <f t="shared" si="2"/>
        <v>0.6666666667</v>
      </c>
      <c r="H391" s="163" t="str">
        <f t="shared" si="3"/>
        <v>J-11128</v>
      </c>
      <c r="I391" s="113"/>
      <c r="J391" s="113"/>
      <c r="K391" s="113"/>
      <c r="L391" s="158"/>
      <c r="M391" s="166"/>
      <c r="N391" s="113"/>
      <c r="O391" s="113"/>
      <c r="P391" s="113"/>
      <c r="Q391" s="113"/>
      <c r="R391" s="113"/>
      <c r="S391" s="113"/>
      <c r="T391" s="113"/>
      <c r="U391" s="113"/>
      <c r="V391" s="113"/>
      <c r="W391" s="113"/>
      <c r="X391" s="113"/>
      <c r="Y391" s="113"/>
      <c r="Z391" s="113"/>
      <c r="AA391" s="113"/>
      <c r="AB391" s="113"/>
      <c r="AC391" s="113"/>
      <c r="AD391" s="113"/>
      <c r="AE391" s="113"/>
      <c r="AF391" s="113"/>
      <c r="AG391" s="113"/>
      <c r="AH391" s="113"/>
      <c r="AI391" s="113"/>
      <c r="AJ391" s="113"/>
      <c r="AK391" s="113"/>
      <c r="AL391" s="113"/>
      <c r="AM391" s="113"/>
      <c r="AN391" s="113"/>
      <c r="AO391" s="113"/>
      <c r="AP391" s="113"/>
      <c r="AQ391" s="113"/>
      <c r="AR391" s="113"/>
      <c r="AS391" s="113"/>
      <c r="AT391" s="113"/>
      <c r="AU391" s="113"/>
      <c r="AV391" s="113"/>
      <c r="AW391" s="113"/>
      <c r="AX391" s="113"/>
      <c r="AY391" s="113"/>
      <c r="AZ391" s="113"/>
      <c r="BA391" s="113"/>
      <c r="BB391" s="113"/>
      <c r="BC391" s="113"/>
      <c r="BD391" s="113"/>
      <c r="BE391" s="113"/>
      <c r="BF391" s="113"/>
      <c r="BG391" s="113"/>
      <c r="BH391" s="113"/>
      <c r="BI391" s="113"/>
      <c r="BJ391" s="113"/>
      <c r="BK391" s="113"/>
      <c r="BL391" s="113"/>
      <c r="BM391" s="113"/>
      <c r="BN391" s="113"/>
      <c r="BO391" s="113"/>
      <c r="BP391" s="113"/>
      <c r="BQ391" s="113"/>
      <c r="BR391" s="113"/>
      <c r="BS391" s="113"/>
      <c r="BT391" s="113"/>
      <c r="BU391" s="113"/>
      <c r="BV391" s="113"/>
      <c r="BW391" s="113"/>
      <c r="BX391" s="113"/>
      <c r="BY391" s="113"/>
      <c r="BZ391" s="113"/>
      <c r="CA391" s="113"/>
      <c r="CB391" s="113"/>
      <c r="CC391" s="113"/>
      <c r="CD391" s="113"/>
      <c r="CE391" s="113"/>
      <c r="CF391" s="113"/>
      <c r="CG391" s="113"/>
      <c r="CH391" s="113"/>
      <c r="CI391" s="113"/>
      <c r="CJ391" s="113"/>
      <c r="CK391" s="113"/>
      <c r="CL391" s="113"/>
      <c r="CM391" s="113"/>
      <c r="CN391" s="113"/>
      <c r="CO391" s="113"/>
      <c r="CP391" s="113"/>
      <c r="CQ391" s="113"/>
      <c r="CR391" s="113"/>
      <c r="CS391" s="113"/>
      <c r="CT391" s="113"/>
      <c r="CU391" s="113"/>
    </row>
    <row r="392">
      <c r="A392" s="159" t="str">
        <f>IFERROR(__xludf.DUMMYFUNCTION("""COMPUTED_VALUE"""),"J-1")</f>
        <v>J-1</v>
      </c>
      <c r="B392" s="113" t="str">
        <f>IFERROR(__xludf.DUMMYFUNCTION("""COMPUTED_VALUE"""),"Ksenija")</f>
        <v>Ksenija</v>
      </c>
      <c r="C392" s="113" t="str">
        <f>IFERROR(__xludf.DUMMYFUNCTION("""COMPUTED_VALUE"""),"Marinkovic")</f>
        <v>Marinkovic</v>
      </c>
      <c r="D392" s="158">
        <f>IFERROR(__xludf.DUMMYFUNCTION("""COMPUTED_VALUE"""),1063.0)</f>
        <v>1063</v>
      </c>
      <c r="E392" s="161">
        <f t="shared" si="1"/>
        <v>3</v>
      </c>
      <c r="F392" s="160">
        <f>COUNTIFS('Scores Import DO NOT EDIT'!C:C, D392,'Scores Import DO NOT EDIT'!M:M,A392)</f>
        <v>0</v>
      </c>
      <c r="G392" s="162">
        <f t="shared" si="2"/>
        <v>0</v>
      </c>
      <c r="H392" s="163" t="str">
        <f t="shared" si="3"/>
        <v>J-11063</v>
      </c>
      <c r="I392" s="113"/>
      <c r="J392" s="113"/>
      <c r="K392" s="113"/>
      <c r="L392" s="158"/>
      <c r="M392" s="166"/>
      <c r="N392" s="113"/>
      <c r="O392" s="113"/>
      <c r="P392" s="113"/>
      <c r="Q392" s="113"/>
      <c r="R392" s="113"/>
      <c r="S392" s="113"/>
      <c r="T392" s="113"/>
      <c r="U392" s="113"/>
      <c r="V392" s="113"/>
      <c r="W392" s="113"/>
      <c r="X392" s="113"/>
      <c r="Y392" s="113"/>
      <c r="Z392" s="113"/>
      <c r="AA392" s="113"/>
      <c r="AB392" s="113"/>
      <c r="AC392" s="113"/>
      <c r="AD392" s="113"/>
      <c r="AE392" s="113"/>
      <c r="AF392" s="113"/>
      <c r="AG392" s="113"/>
      <c r="AH392" s="113"/>
      <c r="AI392" s="113"/>
      <c r="AJ392" s="113"/>
      <c r="AK392" s="113"/>
      <c r="AL392" s="113"/>
      <c r="AM392" s="113"/>
      <c r="AN392" s="113"/>
      <c r="AO392" s="113"/>
      <c r="AP392" s="113"/>
      <c r="AQ392" s="113"/>
      <c r="AR392" s="113"/>
      <c r="AS392" s="113"/>
      <c r="AT392" s="113"/>
      <c r="AU392" s="113"/>
      <c r="AV392" s="113"/>
      <c r="AW392" s="113"/>
      <c r="AX392" s="113"/>
      <c r="AY392" s="113"/>
      <c r="AZ392" s="113"/>
      <c r="BA392" s="113"/>
      <c r="BB392" s="113"/>
      <c r="BC392" s="113"/>
      <c r="BD392" s="113"/>
      <c r="BE392" s="113"/>
      <c r="BF392" s="113"/>
      <c r="BG392" s="113"/>
      <c r="BH392" s="113"/>
      <c r="BI392" s="113"/>
      <c r="BJ392" s="113"/>
      <c r="BK392" s="113"/>
      <c r="BL392" s="113"/>
      <c r="BM392" s="113"/>
      <c r="BN392" s="113"/>
      <c r="BO392" s="113"/>
      <c r="BP392" s="113"/>
      <c r="BQ392" s="113"/>
      <c r="BR392" s="113"/>
      <c r="BS392" s="113"/>
      <c r="BT392" s="113"/>
      <c r="BU392" s="113"/>
      <c r="BV392" s="113"/>
      <c r="BW392" s="113"/>
      <c r="BX392" s="113"/>
      <c r="BY392" s="113"/>
      <c r="BZ392" s="113"/>
      <c r="CA392" s="113"/>
      <c r="CB392" s="113"/>
      <c r="CC392" s="113"/>
      <c r="CD392" s="113"/>
      <c r="CE392" s="113"/>
      <c r="CF392" s="113"/>
      <c r="CG392" s="113"/>
      <c r="CH392" s="113"/>
      <c r="CI392" s="113"/>
      <c r="CJ392" s="113"/>
      <c r="CK392" s="113"/>
      <c r="CL392" s="113"/>
      <c r="CM392" s="113"/>
      <c r="CN392" s="113"/>
      <c r="CO392" s="113"/>
      <c r="CP392" s="113"/>
      <c r="CQ392" s="113"/>
      <c r="CR392" s="113"/>
      <c r="CS392" s="113"/>
      <c r="CT392" s="113"/>
      <c r="CU392" s="113"/>
    </row>
    <row r="393">
      <c r="A393" s="159" t="str">
        <f>IFERROR(__xludf.DUMMYFUNCTION("""COMPUTED_VALUE"""),"J-2")</f>
        <v>J-2</v>
      </c>
      <c r="B393" s="113" t="str">
        <f>IFERROR(__xludf.DUMMYFUNCTION("""COMPUTED_VALUE"""),"Iren")</f>
        <v>Iren</v>
      </c>
      <c r="C393" s="113" t="str">
        <f>IFERROR(__xludf.DUMMYFUNCTION("""COMPUTED_VALUE"""),"Tete")</f>
        <v>Tete</v>
      </c>
      <c r="D393" s="158">
        <f>IFERROR(__xludf.DUMMYFUNCTION("""COMPUTED_VALUE"""),1131.0)</f>
        <v>1131</v>
      </c>
      <c r="E393" s="161">
        <f t="shared" si="1"/>
        <v>3</v>
      </c>
      <c r="F393" s="160">
        <f>COUNTIFS('Scores Import DO NOT EDIT'!C:C, D393,'Scores Import DO NOT EDIT'!M:M,A393)</f>
        <v>2</v>
      </c>
      <c r="G393" s="162">
        <f t="shared" si="2"/>
        <v>0.6666666667</v>
      </c>
      <c r="H393" s="163" t="str">
        <f t="shared" si="3"/>
        <v>J-21131</v>
      </c>
      <c r="I393" s="113"/>
      <c r="J393" s="113"/>
      <c r="K393" s="113"/>
      <c r="L393" s="158"/>
      <c r="M393" s="166"/>
      <c r="N393" s="113"/>
      <c r="O393" s="113"/>
      <c r="P393" s="113"/>
      <c r="Q393" s="113"/>
      <c r="R393" s="113"/>
      <c r="S393" s="113"/>
      <c r="T393" s="113"/>
      <c r="U393" s="113"/>
      <c r="V393" s="113"/>
      <c r="W393" s="113"/>
      <c r="X393" s="113"/>
      <c r="Y393" s="113"/>
      <c r="Z393" s="113"/>
      <c r="AA393" s="113"/>
      <c r="AB393" s="113"/>
      <c r="AC393" s="113"/>
      <c r="AD393" s="113"/>
      <c r="AE393" s="113"/>
      <c r="AF393" s="113"/>
      <c r="AG393" s="113"/>
      <c r="AH393" s="113"/>
      <c r="AI393" s="113"/>
      <c r="AJ393" s="113"/>
      <c r="AK393" s="113"/>
      <c r="AL393" s="113"/>
      <c r="AM393" s="113"/>
      <c r="AN393" s="113"/>
      <c r="AO393" s="113"/>
      <c r="AP393" s="113"/>
      <c r="AQ393" s="113"/>
      <c r="AR393" s="113"/>
      <c r="AS393" s="113"/>
      <c r="AT393" s="113"/>
      <c r="AU393" s="113"/>
      <c r="AV393" s="113"/>
      <c r="AW393" s="113"/>
      <c r="AX393" s="113"/>
      <c r="AY393" s="113"/>
      <c r="AZ393" s="113"/>
      <c r="BA393" s="113"/>
      <c r="BB393" s="113"/>
      <c r="BC393" s="113"/>
      <c r="BD393" s="113"/>
      <c r="BE393" s="113"/>
      <c r="BF393" s="113"/>
      <c r="BG393" s="113"/>
      <c r="BH393" s="113"/>
      <c r="BI393" s="113"/>
      <c r="BJ393" s="113"/>
      <c r="BK393" s="113"/>
      <c r="BL393" s="113"/>
      <c r="BM393" s="113"/>
      <c r="BN393" s="113"/>
      <c r="BO393" s="113"/>
      <c r="BP393" s="113"/>
      <c r="BQ393" s="113"/>
      <c r="BR393" s="113"/>
      <c r="BS393" s="113"/>
      <c r="BT393" s="113"/>
      <c r="BU393" s="113"/>
      <c r="BV393" s="113"/>
      <c r="BW393" s="113"/>
      <c r="BX393" s="113"/>
      <c r="BY393" s="113"/>
      <c r="BZ393" s="113"/>
      <c r="CA393" s="113"/>
      <c r="CB393" s="113"/>
      <c r="CC393" s="113"/>
      <c r="CD393" s="113"/>
      <c r="CE393" s="113"/>
      <c r="CF393" s="113"/>
      <c r="CG393" s="113"/>
      <c r="CH393" s="113"/>
      <c r="CI393" s="113"/>
      <c r="CJ393" s="113"/>
      <c r="CK393" s="113"/>
      <c r="CL393" s="113"/>
      <c r="CM393" s="113"/>
      <c r="CN393" s="113"/>
      <c r="CO393" s="113"/>
      <c r="CP393" s="113"/>
      <c r="CQ393" s="113"/>
      <c r="CR393" s="113"/>
      <c r="CS393" s="113"/>
      <c r="CT393" s="113"/>
      <c r="CU393" s="113"/>
    </row>
    <row r="394">
      <c r="A394" s="159" t="str">
        <f>IFERROR(__xludf.DUMMYFUNCTION("""COMPUTED_VALUE"""),"J-2")</f>
        <v>J-2</v>
      </c>
      <c r="B394" s="113" t="str">
        <f>IFERROR(__xludf.DUMMYFUNCTION("""COMPUTED_VALUE"""),"Michael")</f>
        <v>Michael</v>
      </c>
      <c r="C394" s="113" t="str">
        <f>IFERROR(__xludf.DUMMYFUNCTION("""COMPUTED_VALUE"""),"Peddecord")</f>
        <v>Peddecord</v>
      </c>
      <c r="D394" s="158">
        <f>IFERROR(__xludf.DUMMYFUNCTION("""COMPUTED_VALUE"""),1035.0)</f>
        <v>1035</v>
      </c>
      <c r="E394" s="161">
        <f t="shared" si="1"/>
        <v>3</v>
      </c>
      <c r="F394" s="160">
        <f>COUNTIFS('Scores Import DO NOT EDIT'!C:C, D394,'Scores Import DO NOT EDIT'!M:M,A394)</f>
        <v>2</v>
      </c>
      <c r="G394" s="162">
        <f t="shared" si="2"/>
        <v>0.6666666667</v>
      </c>
      <c r="H394" s="163" t="str">
        <f t="shared" si="3"/>
        <v>J-21035</v>
      </c>
      <c r="I394" s="113"/>
      <c r="J394" s="113"/>
      <c r="K394" s="113"/>
      <c r="L394" s="158"/>
      <c r="M394" s="166"/>
      <c r="N394" s="113"/>
      <c r="O394" s="113"/>
      <c r="P394" s="113"/>
      <c r="Q394" s="113"/>
      <c r="R394" s="113"/>
      <c r="S394" s="113"/>
      <c r="T394" s="113"/>
      <c r="U394" s="113"/>
      <c r="V394" s="113"/>
      <c r="W394" s="113"/>
      <c r="X394" s="113"/>
      <c r="Y394" s="113"/>
      <c r="Z394" s="113"/>
      <c r="AA394" s="113"/>
      <c r="AB394" s="113"/>
      <c r="AC394" s="113"/>
      <c r="AD394" s="113"/>
      <c r="AE394" s="113"/>
      <c r="AF394" s="113"/>
      <c r="AG394" s="113"/>
      <c r="AH394" s="113"/>
      <c r="AI394" s="113"/>
      <c r="AJ394" s="113"/>
      <c r="AK394" s="113"/>
      <c r="AL394" s="113"/>
      <c r="AM394" s="113"/>
      <c r="AN394" s="113"/>
      <c r="AO394" s="113"/>
      <c r="AP394" s="113"/>
      <c r="AQ394" s="113"/>
      <c r="AR394" s="113"/>
      <c r="AS394" s="113"/>
      <c r="AT394" s="113"/>
      <c r="AU394" s="113"/>
      <c r="AV394" s="113"/>
      <c r="AW394" s="113"/>
      <c r="AX394" s="113"/>
      <c r="AY394" s="113"/>
      <c r="AZ394" s="113"/>
      <c r="BA394" s="113"/>
      <c r="BB394" s="113"/>
      <c r="BC394" s="113"/>
      <c r="BD394" s="113"/>
      <c r="BE394" s="113"/>
      <c r="BF394" s="113"/>
      <c r="BG394" s="113"/>
      <c r="BH394" s="113"/>
      <c r="BI394" s="113"/>
      <c r="BJ394" s="113"/>
      <c r="BK394" s="113"/>
      <c r="BL394" s="113"/>
      <c r="BM394" s="113"/>
      <c r="BN394" s="113"/>
      <c r="BO394" s="113"/>
      <c r="BP394" s="113"/>
      <c r="BQ394" s="113"/>
      <c r="BR394" s="113"/>
      <c r="BS394" s="113"/>
      <c r="BT394" s="113"/>
      <c r="BU394" s="113"/>
      <c r="BV394" s="113"/>
      <c r="BW394" s="113"/>
      <c r="BX394" s="113"/>
      <c r="BY394" s="113"/>
      <c r="BZ394" s="113"/>
      <c r="CA394" s="113"/>
      <c r="CB394" s="113"/>
      <c r="CC394" s="113"/>
      <c r="CD394" s="113"/>
      <c r="CE394" s="113"/>
      <c r="CF394" s="113"/>
      <c r="CG394" s="113"/>
      <c r="CH394" s="113"/>
      <c r="CI394" s="113"/>
      <c r="CJ394" s="113"/>
      <c r="CK394" s="113"/>
      <c r="CL394" s="113"/>
      <c r="CM394" s="113"/>
      <c r="CN394" s="113"/>
      <c r="CO394" s="113"/>
      <c r="CP394" s="113"/>
      <c r="CQ394" s="113"/>
      <c r="CR394" s="113"/>
      <c r="CS394" s="113"/>
      <c r="CT394" s="113"/>
      <c r="CU394" s="113"/>
    </row>
    <row r="395">
      <c r="A395" s="159" t="str">
        <f>IFERROR(__xludf.DUMMYFUNCTION("""COMPUTED_VALUE"""),"J-2")</f>
        <v>J-2</v>
      </c>
      <c r="B395" s="113" t="str">
        <f>IFERROR(__xludf.DUMMYFUNCTION("""COMPUTED_VALUE"""),"Sara")</f>
        <v>Sara</v>
      </c>
      <c r="C395" s="113" t="str">
        <f>IFERROR(__xludf.DUMMYFUNCTION("""COMPUTED_VALUE"""),"Cruz")</f>
        <v>Cruz</v>
      </c>
      <c r="D395" s="158">
        <f>IFERROR(__xludf.DUMMYFUNCTION("""COMPUTED_VALUE"""),1197.0)</f>
        <v>1197</v>
      </c>
      <c r="E395" s="161">
        <f t="shared" si="1"/>
        <v>3</v>
      </c>
      <c r="F395" s="160">
        <f>COUNTIFS('Scores Import DO NOT EDIT'!C:C, D395,'Scores Import DO NOT EDIT'!M:M,A395)</f>
        <v>2</v>
      </c>
      <c r="G395" s="162">
        <f t="shared" si="2"/>
        <v>0.6666666667</v>
      </c>
      <c r="H395" s="163" t="str">
        <f t="shared" si="3"/>
        <v>J-21197</v>
      </c>
      <c r="I395" s="113"/>
      <c r="J395" s="113"/>
      <c r="K395" s="113"/>
      <c r="L395" s="158"/>
      <c r="M395" s="166"/>
      <c r="N395" s="113"/>
      <c r="O395" s="113"/>
      <c r="P395" s="113"/>
      <c r="Q395" s="113"/>
      <c r="R395" s="113"/>
      <c r="S395" s="113"/>
      <c r="T395" s="113"/>
      <c r="U395" s="113"/>
      <c r="V395" s="113"/>
      <c r="W395" s="113"/>
      <c r="X395" s="113"/>
      <c r="Y395" s="113"/>
      <c r="Z395" s="113"/>
      <c r="AA395" s="113"/>
      <c r="AB395" s="113"/>
      <c r="AC395" s="113"/>
      <c r="AD395" s="113"/>
      <c r="AE395" s="113"/>
      <c r="AF395" s="113"/>
      <c r="AG395" s="113"/>
      <c r="AH395" s="113"/>
      <c r="AI395" s="113"/>
      <c r="AJ395" s="113"/>
      <c r="AK395" s="113"/>
      <c r="AL395" s="113"/>
      <c r="AM395" s="113"/>
      <c r="AN395" s="113"/>
      <c r="AO395" s="113"/>
      <c r="AP395" s="113"/>
      <c r="AQ395" s="113"/>
      <c r="AR395" s="113"/>
      <c r="AS395" s="113"/>
      <c r="AT395" s="113"/>
      <c r="AU395" s="113"/>
      <c r="AV395" s="113"/>
      <c r="AW395" s="113"/>
      <c r="AX395" s="113"/>
      <c r="AY395" s="113"/>
      <c r="AZ395" s="113"/>
      <c r="BA395" s="113"/>
      <c r="BB395" s="113"/>
      <c r="BC395" s="113"/>
      <c r="BD395" s="113"/>
      <c r="BE395" s="113"/>
      <c r="BF395" s="113"/>
      <c r="BG395" s="113"/>
      <c r="BH395" s="113"/>
      <c r="BI395" s="113"/>
      <c r="BJ395" s="113"/>
      <c r="BK395" s="113"/>
      <c r="BL395" s="113"/>
      <c r="BM395" s="113"/>
      <c r="BN395" s="113"/>
      <c r="BO395" s="113"/>
      <c r="BP395" s="113"/>
      <c r="BQ395" s="113"/>
      <c r="BR395" s="113"/>
      <c r="BS395" s="113"/>
      <c r="BT395" s="113"/>
      <c r="BU395" s="113"/>
      <c r="BV395" s="113"/>
      <c r="BW395" s="113"/>
      <c r="BX395" s="113"/>
      <c r="BY395" s="113"/>
      <c r="BZ395" s="113"/>
      <c r="CA395" s="113"/>
      <c r="CB395" s="113"/>
      <c r="CC395" s="113"/>
      <c r="CD395" s="113"/>
      <c r="CE395" s="113"/>
      <c r="CF395" s="113"/>
      <c r="CG395" s="113"/>
      <c r="CH395" s="113"/>
      <c r="CI395" s="113"/>
      <c r="CJ395" s="113"/>
      <c r="CK395" s="113"/>
      <c r="CL395" s="113"/>
      <c r="CM395" s="113"/>
      <c r="CN395" s="113"/>
      <c r="CO395" s="113"/>
      <c r="CP395" s="113"/>
      <c r="CQ395" s="113"/>
      <c r="CR395" s="113"/>
      <c r="CS395" s="113"/>
      <c r="CT395" s="113"/>
      <c r="CU395" s="113"/>
    </row>
    <row r="396">
      <c r="A396" s="159" t="str">
        <f>IFERROR(__xludf.DUMMYFUNCTION("""COMPUTED_VALUE"""),"K-1")</f>
        <v>K-1</v>
      </c>
      <c r="B396" s="113" t="str">
        <f>IFERROR(__xludf.DUMMYFUNCTION("""COMPUTED_VALUE"""),"Mariam")</f>
        <v>Mariam</v>
      </c>
      <c r="C396" s="113" t="str">
        <f>IFERROR(__xludf.DUMMYFUNCTION("""COMPUTED_VALUE"""),"Ahmed")</f>
        <v>Ahmed</v>
      </c>
      <c r="D396" s="158">
        <f>IFERROR(__xludf.DUMMYFUNCTION("""COMPUTED_VALUE"""),1104.0)</f>
        <v>1104</v>
      </c>
      <c r="E396" s="161">
        <f t="shared" si="1"/>
        <v>4</v>
      </c>
      <c r="F396" s="160">
        <f>COUNTIFS('Scores Import DO NOT EDIT'!C:C, D396,'Scores Import DO NOT EDIT'!M:M,A396)</f>
        <v>0</v>
      </c>
      <c r="G396" s="162">
        <f t="shared" si="2"/>
        <v>0</v>
      </c>
      <c r="H396" s="163" t="str">
        <f t="shared" si="3"/>
        <v>K-11104</v>
      </c>
      <c r="I396" s="113"/>
      <c r="J396" s="113"/>
      <c r="K396" s="113"/>
      <c r="L396" s="158"/>
      <c r="M396" s="166"/>
      <c r="N396" s="113"/>
      <c r="O396" s="113"/>
      <c r="P396" s="113"/>
      <c r="Q396" s="113"/>
      <c r="R396" s="113"/>
      <c r="S396" s="113"/>
      <c r="T396" s="113"/>
      <c r="U396" s="113"/>
      <c r="V396" s="113"/>
      <c r="W396" s="113"/>
      <c r="X396" s="113"/>
      <c r="Y396" s="113"/>
      <c r="Z396" s="113"/>
      <c r="AA396" s="113"/>
      <c r="AB396" s="113"/>
      <c r="AC396" s="113"/>
      <c r="AD396" s="113"/>
      <c r="AE396" s="113"/>
      <c r="AF396" s="113"/>
      <c r="AG396" s="113"/>
      <c r="AH396" s="113"/>
      <c r="AI396" s="113"/>
      <c r="AJ396" s="113"/>
      <c r="AK396" s="113"/>
      <c r="AL396" s="113"/>
      <c r="AM396" s="113"/>
      <c r="AN396" s="113"/>
      <c r="AO396" s="113"/>
      <c r="AP396" s="113"/>
      <c r="AQ396" s="113"/>
      <c r="AR396" s="113"/>
      <c r="AS396" s="113"/>
      <c r="AT396" s="113"/>
      <c r="AU396" s="113"/>
      <c r="AV396" s="113"/>
      <c r="AW396" s="113"/>
      <c r="AX396" s="113"/>
      <c r="AY396" s="113"/>
      <c r="AZ396" s="113"/>
      <c r="BA396" s="113"/>
      <c r="BB396" s="113"/>
      <c r="BC396" s="113"/>
      <c r="BD396" s="113"/>
      <c r="BE396" s="113"/>
      <c r="BF396" s="113"/>
      <c r="BG396" s="113"/>
      <c r="BH396" s="113"/>
      <c r="BI396" s="113"/>
      <c r="BJ396" s="113"/>
      <c r="BK396" s="113"/>
      <c r="BL396" s="113"/>
      <c r="BM396" s="113"/>
      <c r="BN396" s="113"/>
      <c r="BO396" s="113"/>
      <c r="BP396" s="113"/>
      <c r="BQ396" s="113"/>
      <c r="BR396" s="113"/>
      <c r="BS396" s="113"/>
      <c r="BT396" s="113"/>
      <c r="BU396" s="113"/>
      <c r="BV396" s="113"/>
      <c r="BW396" s="113"/>
      <c r="BX396" s="113"/>
      <c r="BY396" s="113"/>
      <c r="BZ396" s="113"/>
      <c r="CA396" s="113"/>
      <c r="CB396" s="113"/>
      <c r="CC396" s="113"/>
      <c r="CD396" s="113"/>
      <c r="CE396" s="113"/>
      <c r="CF396" s="113"/>
      <c r="CG396" s="113"/>
      <c r="CH396" s="113"/>
      <c r="CI396" s="113"/>
      <c r="CJ396" s="113"/>
      <c r="CK396" s="113"/>
      <c r="CL396" s="113"/>
      <c r="CM396" s="113"/>
      <c r="CN396" s="113"/>
      <c r="CO396" s="113"/>
      <c r="CP396" s="113"/>
      <c r="CQ396" s="113"/>
      <c r="CR396" s="113"/>
      <c r="CS396" s="113"/>
      <c r="CT396" s="113"/>
      <c r="CU396" s="113"/>
    </row>
    <row r="397">
      <c r="A397" s="159" t="str">
        <f>IFERROR(__xludf.DUMMYFUNCTION("""COMPUTED_VALUE"""),"K-1")</f>
        <v>K-1</v>
      </c>
      <c r="B397" s="113" t="str">
        <f>IFERROR(__xludf.DUMMYFUNCTION("""COMPUTED_VALUE"""),"Edwin")</f>
        <v>Edwin</v>
      </c>
      <c r="C397" s="113" t="str">
        <f>IFERROR(__xludf.DUMMYFUNCTION("""COMPUTED_VALUE"""),"Rodriguez")</f>
        <v>Rodriguez</v>
      </c>
      <c r="D397" s="158">
        <f>IFERROR(__xludf.DUMMYFUNCTION("""COMPUTED_VALUE"""),1098.0)</f>
        <v>1098</v>
      </c>
      <c r="E397" s="161">
        <f t="shared" si="1"/>
        <v>4</v>
      </c>
      <c r="F397" s="160">
        <f>COUNTIFS('Scores Import DO NOT EDIT'!C:C, D397,'Scores Import DO NOT EDIT'!M:M,A397)</f>
        <v>3</v>
      </c>
      <c r="G397" s="162">
        <f t="shared" si="2"/>
        <v>0.75</v>
      </c>
      <c r="H397" s="163" t="str">
        <f t="shared" si="3"/>
        <v>K-11098</v>
      </c>
      <c r="I397" s="113"/>
      <c r="J397" s="113"/>
      <c r="K397" s="113"/>
      <c r="L397" s="158"/>
      <c r="M397" s="166"/>
      <c r="N397" s="113"/>
      <c r="O397" s="113"/>
      <c r="P397" s="113"/>
      <c r="Q397" s="113"/>
      <c r="R397" s="113"/>
      <c r="S397" s="113"/>
      <c r="T397" s="113"/>
      <c r="U397" s="113"/>
      <c r="V397" s="113"/>
      <c r="W397" s="113"/>
      <c r="X397" s="113"/>
      <c r="Y397" s="113"/>
      <c r="Z397" s="113"/>
      <c r="AA397" s="113"/>
      <c r="AB397" s="113"/>
      <c r="AC397" s="113"/>
      <c r="AD397" s="113"/>
      <c r="AE397" s="113"/>
      <c r="AF397" s="113"/>
      <c r="AG397" s="113"/>
      <c r="AH397" s="113"/>
      <c r="AI397" s="113"/>
      <c r="AJ397" s="113"/>
      <c r="AK397" s="113"/>
      <c r="AL397" s="113"/>
      <c r="AM397" s="113"/>
      <c r="AN397" s="113"/>
      <c r="AO397" s="113"/>
      <c r="AP397" s="113"/>
      <c r="AQ397" s="113"/>
      <c r="AR397" s="113"/>
      <c r="AS397" s="113"/>
      <c r="AT397" s="113"/>
      <c r="AU397" s="113"/>
      <c r="AV397" s="113"/>
      <c r="AW397" s="113"/>
      <c r="AX397" s="113"/>
      <c r="AY397" s="113"/>
      <c r="AZ397" s="113"/>
      <c r="BA397" s="113"/>
      <c r="BB397" s="113"/>
      <c r="BC397" s="113"/>
      <c r="BD397" s="113"/>
      <c r="BE397" s="113"/>
      <c r="BF397" s="113"/>
      <c r="BG397" s="113"/>
      <c r="BH397" s="113"/>
      <c r="BI397" s="113"/>
      <c r="BJ397" s="113"/>
      <c r="BK397" s="113"/>
      <c r="BL397" s="113"/>
      <c r="BM397" s="113"/>
      <c r="BN397" s="113"/>
      <c r="BO397" s="113"/>
      <c r="BP397" s="113"/>
      <c r="BQ397" s="113"/>
      <c r="BR397" s="113"/>
      <c r="BS397" s="113"/>
      <c r="BT397" s="113"/>
      <c r="BU397" s="113"/>
      <c r="BV397" s="113"/>
      <c r="BW397" s="113"/>
      <c r="BX397" s="113"/>
      <c r="BY397" s="113"/>
      <c r="BZ397" s="113"/>
      <c r="CA397" s="113"/>
      <c r="CB397" s="113"/>
      <c r="CC397" s="113"/>
      <c r="CD397" s="113"/>
      <c r="CE397" s="113"/>
      <c r="CF397" s="113"/>
      <c r="CG397" s="113"/>
      <c r="CH397" s="113"/>
      <c r="CI397" s="113"/>
      <c r="CJ397" s="113"/>
      <c r="CK397" s="113"/>
      <c r="CL397" s="113"/>
      <c r="CM397" s="113"/>
      <c r="CN397" s="113"/>
      <c r="CO397" s="113"/>
      <c r="CP397" s="113"/>
      <c r="CQ397" s="113"/>
      <c r="CR397" s="113"/>
      <c r="CS397" s="113"/>
      <c r="CT397" s="113"/>
      <c r="CU397" s="113"/>
    </row>
    <row r="398">
      <c r="A398" s="159" t="str">
        <f>IFERROR(__xludf.DUMMYFUNCTION("""COMPUTED_VALUE"""),"K-1")</f>
        <v>K-1</v>
      </c>
      <c r="B398" s="113" t="str">
        <f>IFERROR(__xludf.DUMMYFUNCTION("""COMPUTED_VALUE"""),"Maria")</f>
        <v>Maria</v>
      </c>
      <c r="C398" s="113" t="str">
        <f>IFERROR(__xludf.DUMMYFUNCTION("""COMPUTED_VALUE"""),"Amor")</f>
        <v>Amor</v>
      </c>
      <c r="D398" s="158">
        <f>IFERROR(__xludf.DUMMYFUNCTION("""COMPUTED_VALUE"""),1071.0)</f>
        <v>1071</v>
      </c>
      <c r="E398" s="161">
        <f t="shared" si="1"/>
        <v>4</v>
      </c>
      <c r="F398" s="160">
        <f>COUNTIFS('Scores Import DO NOT EDIT'!C:C, D398,'Scores Import DO NOT EDIT'!M:M,A398)</f>
        <v>2</v>
      </c>
      <c r="G398" s="162">
        <f t="shared" si="2"/>
        <v>0.5</v>
      </c>
      <c r="H398" s="163" t="str">
        <f t="shared" si="3"/>
        <v>K-11071</v>
      </c>
      <c r="I398" s="113"/>
      <c r="J398" s="113"/>
      <c r="K398" s="113"/>
      <c r="L398" s="158"/>
      <c r="M398" s="166"/>
      <c r="N398" s="113"/>
      <c r="O398" s="113"/>
      <c r="P398" s="113"/>
      <c r="Q398" s="113"/>
      <c r="R398" s="113"/>
      <c r="S398" s="113"/>
      <c r="T398" s="113"/>
      <c r="U398" s="113"/>
      <c r="V398" s="113"/>
      <c r="W398" s="113"/>
      <c r="X398" s="113"/>
      <c r="Y398" s="113"/>
      <c r="Z398" s="113"/>
      <c r="AA398" s="113"/>
      <c r="AB398" s="113"/>
      <c r="AC398" s="113"/>
      <c r="AD398" s="113"/>
      <c r="AE398" s="113"/>
      <c r="AF398" s="113"/>
      <c r="AG398" s="113"/>
      <c r="AH398" s="113"/>
      <c r="AI398" s="113"/>
      <c r="AJ398" s="113"/>
      <c r="AK398" s="113"/>
      <c r="AL398" s="113"/>
      <c r="AM398" s="113"/>
      <c r="AN398" s="113"/>
      <c r="AO398" s="113"/>
      <c r="AP398" s="113"/>
      <c r="AQ398" s="113"/>
      <c r="AR398" s="113"/>
      <c r="AS398" s="113"/>
      <c r="AT398" s="113"/>
      <c r="AU398" s="113"/>
      <c r="AV398" s="113"/>
      <c r="AW398" s="113"/>
      <c r="AX398" s="113"/>
      <c r="AY398" s="113"/>
      <c r="AZ398" s="113"/>
      <c r="BA398" s="113"/>
      <c r="BB398" s="113"/>
      <c r="BC398" s="113"/>
      <c r="BD398" s="113"/>
      <c r="BE398" s="113"/>
      <c r="BF398" s="113"/>
      <c r="BG398" s="113"/>
      <c r="BH398" s="113"/>
      <c r="BI398" s="113"/>
      <c r="BJ398" s="113"/>
      <c r="BK398" s="113"/>
      <c r="BL398" s="113"/>
      <c r="BM398" s="113"/>
      <c r="BN398" s="113"/>
      <c r="BO398" s="113"/>
      <c r="BP398" s="113"/>
      <c r="BQ398" s="113"/>
      <c r="BR398" s="113"/>
      <c r="BS398" s="113"/>
      <c r="BT398" s="113"/>
      <c r="BU398" s="113"/>
      <c r="BV398" s="113"/>
      <c r="BW398" s="113"/>
      <c r="BX398" s="113"/>
      <c r="BY398" s="113"/>
      <c r="BZ398" s="113"/>
      <c r="CA398" s="113"/>
      <c r="CB398" s="113"/>
      <c r="CC398" s="113"/>
      <c r="CD398" s="113"/>
      <c r="CE398" s="113"/>
      <c r="CF398" s="113"/>
      <c r="CG398" s="113"/>
      <c r="CH398" s="113"/>
      <c r="CI398" s="113"/>
      <c r="CJ398" s="113"/>
      <c r="CK398" s="113"/>
      <c r="CL398" s="113"/>
      <c r="CM398" s="113"/>
      <c r="CN398" s="113"/>
      <c r="CO398" s="113"/>
      <c r="CP398" s="113"/>
      <c r="CQ398" s="113"/>
      <c r="CR398" s="113"/>
      <c r="CS398" s="113"/>
      <c r="CT398" s="113"/>
      <c r="CU398" s="113"/>
    </row>
    <row r="399">
      <c r="A399" s="159" t="str">
        <f>IFERROR(__xludf.DUMMYFUNCTION("""COMPUTED_VALUE"""),"K-1")</f>
        <v>K-1</v>
      </c>
      <c r="B399" s="113" t="str">
        <f>IFERROR(__xludf.DUMMYFUNCTION("""COMPUTED_VALUE"""),"Martin")</f>
        <v>Martin</v>
      </c>
      <c r="C399" s="113" t="str">
        <f>IFERROR(__xludf.DUMMYFUNCTION("""COMPUTED_VALUE"""),"Kruming")</f>
        <v>Kruming</v>
      </c>
      <c r="D399" s="158">
        <f>IFERROR(__xludf.DUMMYFUNCTION("""COMPUTED_VALUE"""),1134.0)</f>
        <v>1134</v>
      </c>
      <c r="E399" s="161">
        <f t="shared" si="1"/>
        <v>4</v>
      </c>
      <c r="F399" s="160">
        <f>COUNTIFS('Scores Import DO NOT EDIT'!C:C, D399,'Scores Import DO NOT EDIT'!M:M,A399)</f>
        <v>1</v>
      </c>
      <c r="G399" s="162">
        <f t="shared" si="2"/>
        <v>0.25</v>
      </c>
      <c r="H399" s="163" t="str">
        <f t="shared" si="3"/>
        <v>K-11134</v>
      </c>
      <c r="I399" s="113"/>
      <c r="J399" s="113"/>
      <c r="K399" s="113"/>
      <c r="L399" s="158"/>
      <c r="M399" s="166"/>
      <c r="N399" s="113"/>
      <c r="O399" s="113"/>
      <c r="P399" s="113"/>
      <c r="Q399" s="113"/>
      <c r="R399" s="113"/>
      <c r="S399" s="113"/>
      <c r="T399" s="113"/>
      <c r="U399" s="113"/>
      <c r="V399" s="113"/>
      <c r="W399" s="113"/>
      <c r="X399" s="113"/>
      <c r="Y399" s="113"/>
      <c r="Z399" s="113"/>
      <c r="AA399" s="113"/>
      <c r="AB399" s="113"/>
      <c r="AC399" s="113"/>
      <c r="AD399" s="113"/>
      <c r="AE399" s="113"/>
      <c r="AF399" s="113"/>
      <c r="AG399" s="113"/>
      <c r="AH399" s="113"/>
      <c r="AI399" s="113"/>
      <c r="AJ399" s="113"/>
      <c r="AK399" s="113"/>
      <c r="AL399" s="113"/>
      <c r="AM399" s="113"/>
      <c r="AN399" s="113"/>
      <c r="AO399" s="113"/>
      <c r="AP399" s="113"/>
      <c r="AQ399" s="113"/>
      <c r="AR399" s="113"/>
      <c r="AS399" s="113"/>
      <c r="AT399" s="113"/>
      <c r="AU399" s="113"/>
      <c r="AV399" s="113"/>
      <c r="AW399" s="113"/>
      <c r="AX399" s="113"/>
      <c r="AY399" s="113"/>
      <c r="AZ399" s="113"/>
      <c r="BA399" s="113"/>
      <c r="BB399" s="113"/>
      <c r="BC399" s="113"/>
      <c r="BD399" s="113"/>
      <c r="BE399" s="113"/>
      <c r="BF399" s="113"/>
      <c r="BG399" s="113"/>
      <c r="BH399" s="113"/>
      <c r="BI399" s="113"/>
      <c r="BJ399" s="113"/>
      <c r="BK399" s="113"/>
      <c r="BL399" s="113"/>
      <c r="BM399" s="113"/>
      <c r="BN399" s="113"/>
      <c r="BO399" s="113"/>
      <c r="BP399" s="113"/>
      <c r="BQ399" s="113"/>
      <c r="BR399" s="113"/>
      <c r="BS399" s="113"/>
      <c r="BT399" s="113"/>
      <c r="BU399" s="113"/>
      <c r="BV399" s="113"/>
      <c r="BW399" s="113"/>
      <c r="BX399" s="113"/>
      <c r="BY399" s="113"/>
      <c r="BZ399" s="113"/>
      <c r="CA399" s="113"/>
      <c r="CB399" s="113"/>
      <c r="CC399" s="113"/>
      <c r="CD399" s="113"/>
      <c r="CE399" s="113"/>
      <c r="CF399" s="113"/>
      <c r="CG399" s="113"/>
      <c r="CH399" s="113"/>
      <c r="CI399" s="113"/>
      <c r="CJ399" s="113"/>
      <c r="CK399" s="113"/>
      <c r="CL399" s="113"/>
      <c r="CM399" s="113"/>
      <c r="CN399" s="113"/>
      <c r="CO399" s="113"/>
      <c r="CP399" s="113"/>
      <c r="CQ399" s="113"/>
      <c r="CR399" s="113"/>
      <c r="CS399" s="113"/>
      <c r="CT399" s="113"/>
      <c r="CU399" s="113"/>
    </row>
    <row r="400">
      <c r="A400" s="159" t="str">
        <f>IFERROR(__xludf.DUMMYFUNCTION("""COMPUTED_VALUE"""),"K-1")</f>
        <v>K-1</v>
      </c>
      <c r="B400" s="113" t="str">
        <f>IFERROR(__xludf.DUMMYFUNCTION("""COMPUTED_VALUE"""),"KJ")</f>
        <v>KJ</v>
      </c>
      <c r="C400" s="113" t="str">
        <f>IFERROR(__xludf.DUMMYFUNCTION("""COMPUTED_VALUE"""),"Archer")</f>
        <v>Archer</v>
      </c>
      <c r="D400" s="158">
        <f>IFERROR(__xludf.DUMMYFUNCTION("""COMPUTED_VALUE"""),1077.0)</f>
        <v>1077</v>
      </c>
      <c r="E400" s="161">
        <f t="shared" si="1"/>
        <v>4</v>
      </c>
      <c r="F400" s="160">
        <f>COUNTIFS('Scores Import DO NOT EDIT'!C:C, D400,'Scores Import DO NOT EDIT'!M:M,A400)</f>
        <v>2</v>
      </c>
      <c r="G400" s="162">
        <f t="shared" si="2"/>
        <v>0.5</v>
      </c>
      <c r="H400" s="163" t="str">
        <f t="shared" si="3"/>
        <v>K-11077</v>
      </c>
      <c r="I400" s="113"/>
      <c r="J400" s="113"/>
      <c r="K400" s="113"/>
      <c r="L400" s="158"/>
      <c r="M400" s="166"/>
      <c r="N400" s="113"/>
      <c r="O400" s="113"/>
      <c r="P400" s="113"/>
      <c r="Q400" s="113"/>
      <c r="R400" s="113"/>
      <c r="S400" s="113"/>
      <c r="T400" s="113"/>
      <c r="U400" s="113"/>
      <c r="V400" s="113"/>
      <c r="W400" s="113"/>
      <c r="X400" s="113"/>
      <c r="Y400" s="113"/>
      <c r="Z400" s="113"/>
      <c r="AA400" s="113"/>
      <c r="AB400" s="113"/>
      <c r="AC400" s="113"/>
      <c r="AD400" s="113"/>
      <c r="AE400" s="113"/>
      <c r="AF400" s="113"/>
      <c r="AG400" s="113"/>
      <c r="AH400" s="113"/>
      <c r="AI400" s="113"/>
      <c r="AJ400" s="113"/>
      <c r="AK400" s="113"/>
      <c r="AL400" s="113"/>
      <c r="AM400" s="113"/>
      <c r="AN400" s="113"/>
      <c r="AO400" s="113"/>
      <c r="AP400" s="113"/>
      <c r="AQ400" s="113"/>
      <c r="AR400" s="113"/>
      <c r="AS400" s="113"/>
      <c r="AT400" s="113"/>
      <c r="AU400" s="113"/>
      <c r="AV400" s="113"/>
      <c r="AW400" s="113"/>
      <c r="AX400" s="113"/>
      <c r="AY400" s="113"/>
      <c r="AZ400" s="113"/>
      <c r="BA400" s="113"/>
      <c r="BB400" s="113"/>
      <c r="BC400" s="113"/>
      <c r="BD400" s="113"/>
      <c r="BE400" s="113"/>
      <c r="BF400" s="113"/>
      <c r="BG400" s="113"/>
      <c r="BH400" s="113"/>
      <c r="BI400" s="113"/>
      <c r="BJ400" s="113"/>
      <c r="BK400" s="113"/>
      <c r="BL400" s="113"/>
      <c r="BM400" s="113"/>
      <c r="BN400" s="113"/>
      <c r="BO400" s="113"/>
      <c r="BP400" s="113"/>
      <c r="BQ400" s="113"/>
      <c r="BR400" s="113"/>
      <c r="BS400" s="113"/>
      <c r="BT400" s="113"/>
      <c r="BU400" s="113"/>
      <c r="BV400" s="113"/>
      <c r="BW400" s="113"/>
      <c r="BX400" s="113"/>
      <c r="BY400" s="113"/>
      <c r="BZ400" s="113"/>
      <c r="CA400" s="113"/>
      <c r="CB400" s="113"/>
      <c r="CC400" s="113"/>
      <c r="CD400" s="113"/>
      <c r="CE400" s="113"/>
      <c r="CF400" s="113"/>
      <c r="CG400" s="113"/>
      <c r="CH400" s="113"/>
      <c r="CI400" s="113"/>
      <c r="CJ400" s="113"/>
      <c r="CK400" s="113"/>
      <c r="CL400" s="113"/>
      <c r="CM400" s="113"/>
      <c r="CN400" s="113"/>
      <c r="CO400" s="113"/>
      <c r="CP400" s="113"/>
      <c r="CQ400" s="113"/>
      <c r="CR400" s="113"/>
      <c r="CS400" s="113"/>
      <c r="CT400" s="113"/>
      <c r="CU400" s="113"/>
    </row>
    <row r="401">
      <c r="A401" s="159" t="str">
        <f>IFERROR(__xludf.DUMMYFUNCTION("""COMPUTED_VALUE"""),"K-2")</f>
        <v>K-2</v>
      </c>
      <c r="B401" s="113" t="str">
        <f>IFERROR(__xludf.DUMMYFUNCTION("""COMPUTED_VALUE"""),"Kishauna")</f>
        <v>Kishauna</v>
      </c>
      <c r="C401" s="113" t="str">
        <f>IFERROR(__xludf.DUMMYFUNCTION("""COMPUTED_VALUE"""),"Soljour")</f>
        <v>Soljour</v>
      </c>
      <c r="D401" s="158">
        <f>IFERROR(__xludf.DUMMYFUNCTION("""COMPUTED_VALUE"""),1106.0)</f>
        <v>1106</v>
      </c>
      <c r="E401" s="161">
        <f t="shared" si="1"/>
        <v>4</v>
      </c>
      <c r="F401" s="160">
        <f>COUNTIFS('Scores Import DO NOT EDIT'!C:C, D401,'Scores Import DO NOT EDIT'!M:M,A401)</f>
        <v>4</v>
      </c>
      <c r="G401" s="162">
        <f t="shared" si="2"/>
        <v>1</v>
      </c>
      <c r="H401" s="163" t="str">
        <f t="shared" si="3"/>
        <v>K-21106</v>
      </c>
      <c r="I401" s="113"/>
      <c r="J401" s="113"/>
      <c r="K401" s="113"/>
      <c r="L401" s="158"/>
      <c r="M401" s="166"/>
      <c r="N401" s="113"/>
      <c r="O401" s="113"/>
      <c r="P401" s="113"/>
      <c r="Q401" s="113"/>
      <c r="R401" s="113"/>
      <c r="S401" s="113"/>
      <c r="T401" s="113"/>
      <c r="U401" s="113"/>
      <c r="V401" s="113"/>
      <c r="W401" s="113"/>
      <c r="X401" s="113"/>
      <c r="Y401" s="113"/>
      <c r="Z401" s="113"/>
      <c r="AA401" s="113"/>
      <c r="AB401" s="113"/>
      <c r="AC401" s="113"/>
      <c r="AD401" s="113"/>
      <c r="AE401" s="113"/>
      <c r="AF401" s="113"/>
      <c r="AG401" s="113"/>
      <c r="AH401" s="113"/>
      <c r="AI401" s="113"/>
      <c r="AJ401" s="113"/>
      <c r="AK401" s="113"/>
      <c r="AL401" s="113"/>
      <c r="AM401" s="113"/>
      <c r="AN401" s="113"/>
      <c r="AO401" s="113"/>
      <c r="AP401" s="113"/>
      <c r="AQ401" s="113"/>
      <c r="AR401" s="113"/>
      <c r="AS401" s="113"/>
      <c r="AT401" s="113"/>
      <c r="AU401" s="113"/>
      <c r="AV401" s="113"/>
      <c r="AW401" s="113"/>
      <c r="AX401" s="113"/>
      <c r="AY401" s="113"/>
      <c r="AZ401" s="113"/>
      <c r="BA401" s="113"/>
      <c r="BB401" s="113"/>
      <c r="BC401" s="113"/>
      <c r="BD401" s="113"/>
      <c r="BE401" s="113"/>
      <c r="BF401" s="113"/>
      <c r="BG401" s="113"/>
      <c r="BH401" s="113"/>
      <c r="BI401" s="113"/>
      <c r="BJ401" s="113"/>
      <c r="BK401" s="113"/>
      <c r="BL401" s="113"/>
      <c r="BM401" s="113"/>
      <c r="BN401" s="113"/>
      <c r="BO401" s="113"/>
      <c r="BP401" s="113"/>
      <c r="BQ401" s="113"/>
      <c r="BR401" s="113"/>
      <c r="BS401" s="113"/>
      <c r="BT401" s="113"/>
      <c r="BU401" s="113"/>
      <c r="BV401" s="113"/>
      <c r="BW401" s="113"/>
      <c r="BX401" s="113"/>
      <c r="BY401" s="113"/>
      <c r="BZ401" s="113"/>
      <c r="CA401" s="113"/>
      <c r="CB401" s="113"/>
      <c r="CC401" s="113"/>
      <c r="CD401" s="113"/>
      <c r="CE401" s="113"/>
      <c r="CF401" s="113"/>
      <c r="CG401" s="113"/>
      <c r="CH401" s="113"/>
      <c r="CI401" s="113"/>
      <c r="CJ401" s="113"/>
      <c r="CK401" s="113"/>
      <c r="CL401" s="113"/>
      <c r="CM401" s="113"/>
      <c r="CN401" s="113"/>
      <c r="CO401" s="113"/>
      <c r="CP401" s="113"/>
      <c r="CQ401" s="113"/>
      <c r="CR401" s="113"/>
      <c r="CS401" s="113"/>
      <c r="CT401" s="113"/>
      <c r="CU401" s="113"/>
    </row>
    <row r="402">
      <c r="A402" s="159" t="str">
        <f>IFERROR(__xludf.DUMMYFUNCTION("""COMPUTED_VALUE"""),"K-2")</f>
        <v>K-2</v>
      </c>
      <c r="B402" s="113" t="str">
        <f>IFERROR(__xludf.DUMMYFUNCTION("""COMPUTED_VALUE"""),"Maria")</f>
        <v>Maria</v>
      </c>
      <c r="C402" s="113" t="str">
        <f>IFERROR(__xludf.DUMMYFUNCTION("""COMPUTED_VALUE"""),"Amor")</f>
        <v>Amor</v>
      </c>
      <c r="D402" s="158">
        <f>IFERROR(__xludf.DUMMYFUNCTION("""COMPUTED_VALUE"""),1071.0)</f>
        <v>1071</v>
      </c>
      <c r="E402" s="161">
        <f t="shared" si="1"/>
        <v>4</v>
      </c>
      <c r="F402" s="160">
        <f>COUNTIFS('Scores Import DO NOT EDIT'!C:C, D402,'Scores Import DO NOT EDIT'!M:M,A402)</f>
        <v>2</v>
      </c>
      <c r="G402" s="162">
        <f t="shared" si="2"/>
        <v>0.5</v>
      </c>
      <c r="H402" s="163" t="str">
        <f t="shared" si="3"/>
        <v>K-21071</v>
      </c>
      <c r="I402" s="113"/>
      <c r="J402" s="113"/>
      <c r="K402" s="113"/>
      <c r="L402" s="158"/>
      <c r="M402" s="166"/>
      <c r="N402" s="113"/>
      <c r="O402" s="113"/>
      <c r="P402" s="113"/>
      <c r="Q402" s="113"/>
      <c r="R402" s="113"/>
      <c r="S402" s="113"/>
      <c r="T402" s="113"/>
      <c r="U402" s="113"/>
      <c r="V402" s="113"/>
      <c r="W402" s="113"/>
      <c r="X402" s="113"/>
      <c r="Y402" s="113"/>
      <c r="Z402" s="113"/>
      <c r="AA402" s="113"/>
      <c r="AB402" s="113"/>
      <c r="AC402" s="113"/>
      <c r="AD402" s="113"/>
      <c r="AE402" s="113"/>
      <c r="AF402" s="113"/>
      <c r="AG402" s="113"/>
      <c r="AH402" s="113"/>
      <c r="AI402" s="113"/>
      <c r="AJ402" s="113"/>
      <c r="AK402" s="113"/>
      <c r="AL402" s="113"/>
      <c r="AM402" s="113"/>
      <c r="AN402" s="113"/>
      <c r="AO402" s="113"/>
      <c r="AP402" s="113"/>
      <c r="AQ402" s="113"/>
      <c r="AR402" s="113"/>
      <c r="AS402" s="113"/>
      <c r="AT402" s="113"/>
      <c r="AU402" s="113"/>
      <c r="AV402" s="113"/>
      <c r="AW402" s="113"/>
      <c r="AX402" s="113"/>
      <c r="AY402" s="113"/>
      <c r="AZ402" s="113"/>
      <c r="BA402" s="113"/>
      <c r="BB402" s="113"/>
      <c r="BC402" s="113"/>
      <c r="BD402" s="113"/>
      <c r="BE402" s="113"/>
      <c r="BF402" s="113"/>
      <c r="BG402" s="113"/>
      <c r="BH402" s="113"/>
      <c r="BI402" s="113"/>
      <c r="BJ402" s="113"/>
      <c r="BK402" s="113"/>
      <c r="BL402" s="113"/>
      <c r="BM402" s="113"/>
      <c r="BN402" s="113"/>
      <c r="BO402" s="113"/>
      <c r="BP402" s="113"/>
      <c r="BQ402" s="113"/>
      <c r="BR402" s="113"/>
      <c r="BS402" s="113"/>
      <c r="BT402" s="113"/>
      <c r="BU402" s="113"/>
      <c r="BV402" s="113"/>
      <c r="BW402" s="113"/>
      <c r="BX402" s="113"/>
      <c r="BY402" s="113"/>
      <c r="BZ402" s="113"/>
      <c r="CA402" s="113"/>
      <c r="CB402" s="113"/>
      <c r="CC402" s="113"/>
      <c r="CD402" s="113"/>
      <c r="CE402" s="113"/>
      <c r="CF402" s="113"/>
      <c r="CG402" s="113"/>
      <c r="CH402" s="113"/>
      <c r="CI402" s="113"/>
      <c r="CJ402" s="113"/>
      <c r="CK402" s="113"/>
      <c r="CL402" s="113"/>
      <c r="CM402" s="113"/>
      <c r="CN402" s="113"/>
      <c r="CO402" s="113"/>
      <c r="CP402" s="113"/>
      <c r="CQ402" s="113"/>
      <c r="CR402" s="113"/>
      <c r="CS402" s="113"/>
      <c r="CT402" s="113"/>
      <c r="CU402" s="113"/>
    </row>
    <row r="403">
      <c r="A403" s="159" t="str">
        <f>IFERROR(__xludf.DUMMYFUNCTION("""COMPUTED_VALUE"""),"K-2")</f>
        <v>K-2</v>
      </c>
      <c r="B403" s="113" t="str">
        <f>IFERROR(__xludf.DUMMYFUNCTION("""COMPUTED_VALUE"""),"Erik")</f>
        <v>Erik</v>
      </c>
      <c r="C403" s="113" t="str">
        <f>IFERROR(__xludf.DUMMYFUNCTION("""COMPUTED_VALUE"""),"Valenzuela")</f>
        <v>Valenzuela</v>
      </c>
      <c r="D403" s="158">
        <f>IFERROR(__xludf.DUMMYFUNCTION("""COMPUTED_VALUE"""),1128.0)</f>
        <v>1128</v>
      </c>
      <c r="E403" s="161">
        <f t="shared" si="1"/>
        <v>4</v>
      </c>
      <c r="F403" s="160">
        <f>COUNTIFS('Scores Import DO NOT EDIT'!C:C, D403,'Scores Import DO NOT EDIT'!M:M,A403)</f>
        <v>4</v>
      </c>
      <c r="G403" s="162">
        <f t="shared" si="2"/>
        <v>1</v>
      </c>
      <c r="H403" s="163" t="str">
        <f t="shared" si="3"/>
        <v>K-21128</v>
      </c>
      <c r="I403" s="113"/>
      <c r="J403" s="113"/>
      <c r="K403" s="113"/>
      <c r="L403" s="158"/>
      <c r="M403" s="166"/>
      <c r="N403" s="113"/>
      <c r="O403" s="113"/>
      <c r="P403" s="113"/>
      <c r="Q403" s="113"/>
      <c r="R403" s="113"/>
      <c r="S403" s="113"/>
      <c r="T403" s="113"/>
      <c r="U403" s="113"/>
      <c r="V403" s="113"/>
      <c r="W403" s="113"/>
      <c r="X403" s="113"/>
      <c r="Y403" s="113"/>
      <c r="Z403" s="113"/>
      <c r="AA403" s="113"/>
      <c r="AB403" s="113"/>
      <c r="AC403" s="113"/>
      <c r="AD403" s="113"/>
      <c r="AE403" s="113"/>
      <c r="AF403" s="113"/>
      <c r="AG403" s="113"/>
      <c r="AH403" s="113"/>
      <c r="AI403" s="113"/>
      <c r="AJ403" s="113"/>
      <c r="AK403" s="113"/>
      <c r="AL403" s="113"/>
      <c r="AM403" s="113"/>
      <c r="AN403" s="113"/>
      <c r="AO403" s="113"/>
      <c r="AP403" s="113"/>
      <c r="AQ403" s="113"/>
      <c r="AR403" s="113"/>
      <c r="AS403" s="113"/>
      <c r="AT403" s="113"/>
      <c r="AU403" s="113"/>
      <c r="AV403" s="113"/>
      <c r="AW403" s="113"/>
      <c r="AX403" s="113"/>
      <c r="AY403" s="113"/>
      <c r="AZ403" s="113"/>
      <c r="BA403" s="113"/>
      <c r="BB403" s="113"/>
      <c r="BC403" s="113"/>
      <c r="BD403" s="113"/>
      <c r="BE403" s="113"/>
      <c r="BF403" s="113"/>
      <c r="BG403" s="113"/>
      <c r="BH403" s="113"/>
      <c r="BI403" s="113"/>
      <c r="BJ403" s="113"/>
      <c r="BK403" s="113"/>
      <c r="BL403" s="113"/>
      <c r="BM403" s="113"/>
      <c r="BN403" s="113"/>
      <c r="BO403" s="113"/>
      <c r="BP403" s="113"/>
      <c r="BQ403" s="113"/>
      <c r="BR403" s="113"/>
      <c r="BS403" s="113"/>
      <c r="BT403" s="113"/>
      <c r="BU403" s="113"/>
      <c r="BV403" s="113"/>
      <c r="BW403" s="113"/>
      <c r="BX403" s="113"/>
      <c r="BY403" s="113"/>
      <c r="BZ403" s="113"/>
      <c r="CA403" s="113"/>
      <c r="CB403" s="113"/>
      <c r="CC403" s="113"/>
      <c r="CD403" s="113"/>
      <c r="CE403" s="113"/>
      <c r="CF403" s="113"/>
      <c r="CG403" s="113"/>
      <c r="CH403" s="113"/>
      <c r="CI403" s="113"/>
      <c r="CJ403" s="113"/>
      <c r="CK403" s="113"/>
      <c r="CL403" s="113"/>
      <c r="CM403" s="113"/>
      <c r="CN403" s="113"/>
      <c r="CO403" s="113"/>
      <c r="CP403" s="113"/>
      <c r="CQ403" s="113"/>
      <c r="CR403" s="113"/>
      <c r="CS403" s="113"/>
      <c r="CT403" s="113"/>
      <c r="CU403" s="113"/>
    </row>
    <row r="404">
      <c r="A404" s="159" t="str">
        <f>IFERROR(__xludf.DUMMYFUNCTION("""COMPUTED_VALUE"""),"K-2")</f>
        <v>K-2</v>
      </c>
      <c r="B404" s="113" t="str">
        <f>IFERROR(__xludf.DUMMYFUNCTION("""COMPUTED_VALUE"""),"Nathan")</f>
        <v>Nathan</v>
      </c>
      <c r="C404" s="113" t="str">
        <f>IFERROR(__xludf.DUMMYFUNCTION("""COMPUTED_VALUE"""),"Lindsay")</f>
        <v>Lindsay</v>
      </c>
      <c r="D404" s="158">
        <f>IFERROR(__xludf.DUMMYFUNCTION("""COMPUTED_VALUE"""),1119.0)</f>
        <v>1119</v>
      </c>
      <c r="E404" s="161">
        <f t="shared" si="1"/>
        <v>4</v>
      </c>
      <c r="F404" s="160">
        <f>COUNTIFS('Scores Import DO NOT EDIT'!C:C, D404,'Scores Import DO NOT EDIT'!M:M,A404)</f>
        <v>1</v>
      </c>
      <c r="G404" s="162">
        <f t="shared" si="2"/>
        <v>0.25</v>
      </c>
      <c r="H404" s="163" t="str">
        <f t="shared" si="3"/>
        <v>K-21119</v>
      </c>
      <c r="I404" s="113"/>
      <c r="J404" s="113"/>
      <c r="K404" s="113"/>
      <c r="L404" s="158"/>
      <c r="M404" s="166"/>
      <c r="N404" s="113"/>
      <c r="O404" s="113"/>
      <c r="P404" s="113"/>
      <c r="Q404" s="113"/>
      <c r="R404" s="113"/>
      <c r="S404" s="113"/>
      <c r="T404" s="113"/>
      <c r="U404" s="113"/>
      <c r="V404" s="113"/>
      <c r="W404" s="113"/>
      <c r="X404" s="113"/>
      <c r="Y404" s="113"/>
      <c r="Z404" s="113"/>
      <c r="AA404" s="113"/>
      <c r="AB404" s="113"/>
      <c r="AC404" s="113"/>
      <c r="AD404" s="113"/>
      <c r="AE404" s="113"/>
      <c r="AF404" s="113"/>
      <c r="AG404" s="113"/>
      <c r="AH404" s="113"/>
      <c r="AI404" s="113"/>
      <c r="AJ404" s="113"/>
      <c r="AK404" s="113"/>
      <c r="AL404" s="113"/>
      <c r="AM404" s="113"/>
      <c r="AN404" s="113"/>
      <c r="AO404" s="113"/>
      <c r="AP404" s="113"/>
      <c r="AQ404" s="113"/>
      <c r="AR404" s="113"/>
      <c r="AS404" s="113"/>
      <c r="AT404" s="113"/>
      <c r="AU404" s="113"/>
      <c r="AV404" s="113"/>
      <c r="AW404" s="113"/>
      <c r="AX404" s="113"/>
      <c r="AY404" s="113"/>
      <c r="AZ404" s="113"/>
      <c r="BA404" s="113"/>
      <c r="BB404" s="113"/>
      <c r="BC404" s="113"/>
      <c r="BD404" s="113"/>
      <c r="BE404" s="113"/>
      <c r="BF404" s="113"/>
      <c r="BG404" s="113"/>
      <c r="BH404" s="113"/>
      <c r="BI404" s="113"/>
      <c r="BJ404" s="113"/>
      <c r="BK404" s="113"/>
      <c r="BL404" s="113"/>
      <c r="BM404" s="113"/>
      <c r="BN404" s="113"/>
      <c r="BO404" s="113"/>
      <c r="BP404" s="113"/>
      <c r="BQ404" s="113"/>
      <c r="BR404" s="113"/>
      <c r="BS404" s="113"/>
      <c r="BT404" s="113"/>
      <c r="BU404" s="113"/>
      <c r="BV404" s="113"/>
      <c r="BW404" s="113"/>
      <c r="BX404" s="113"/>
      <c r="BY404" s="113"/>
      <c r="BZ404" s="113"/>
      <c r="CA404" s="113"/>
      <c r="CB404" s="113"/>
      <c r="CC404" s="113"/>
      <c r="CD404" s="113"/>
      <c r="CE404" s="113"/>
      <c r="CF404" s="113"/>
      <c r="CG404" s="113"/>
      <c r="CH404" s="113"/>
      <c r="CI404" s="113"/>
      <c r="CJ404" s="113"/>
      <c r="CK404" s="113"/>
      <c r="CL404" s="113"/>
      <c r="CM404" s="113"/>
      <c r="CN404" s="113"/>
      <c r="CO404" s="113"/>
      <c r="CP404" s="113"/>
      <c r="CQ404" s="113"/>
      <c r="CR404" s="113"/>
      <c r="CS404" s="113"/>
      <c r="CT404" s="113"/>
      <c r="CU404" s="113"/>
    </row>
    <row r="405">
      <c r="A405" s="159" t="str">
        <f>IFERROR(__xludf.DUMMYFUNCTION("""COMPUTED_VALUE"""),"K-2")</f>
        <v>K-2</v>
      </c>
      <c r="B405" s="113" t="str">
        <f>IFERROR(__xludf.DUMMYFUNCTION("""COMPUTED_VALUE"""),"Mariam")</f>
        <v>Mariam</v>
      </c>
      <c r="C405" s="113" t="str">
        <f>IFERROR(__xludf.DUMMYFUNCTION("""COMPUTED_VALUE"""),"Ahmed")</f>
        <v>Ahmed</v>
      </c>
      <c r="D405" s="158">
        <f>IFERROR(__xludf.DUMMYFUNCTION("""COMPUTED_VALUE"""),1104.0)</f>
        <v>1104</v>
      </c>
      <c r="E405" s="161">
        <f t="shared" si="1"/>
        <v>4</v>
      </c>
      <c r="F405" s="160">
        <f>COUNTIFS('Scores Import DO NOT EDIT'!C:C, D405,'Scores Import DO NOT EDIT'!M:M,A405)</f>
        <v>0</v>
      </c>
      <c r="G405" s="162">
        <f t="shared" si="2"/>
        <v>0</v>
      </c>
      <c r="H405" s="163" t="str">
        <f t="shared" si="3"/>
        <v>K-21104</v>
      </c>
      <c r="I405" s="113"/>
      <c r="J405" s="113"/>
      <c r="K405" s="113"/>
      <c r="L405" s="158"/>
      <c r="M405" s="166"/>
      <c r="N405" s="113"/>
      <c r="O405" s="113"/>
      <c r="P405" s="113"/>
      <c r="Q405" s="113"/>
      <c r="R405" s="113"/>
      <c r="S405" s="113"/>
      <c r="T405" s="113"/>
      <c r="U405" s="113"/>
      <c r="V405" s="113"/>
      <c r="W405" s="113"/>
      <c r="X405" s="113"/>
      <c r="Y405" s="113"/>
      <c r="Z405" s="113"/>
      <c r="AA405" s="113"/>
      <c r="AB405" s="113"/>
      <c r="AC405" s="113"/>
      <c r="AD405" s="113"/>
      <c r="AE405" s="113"/>
      <c r="AF405" s="113"/>
      <c r="AG405" s="113"/>
      <c r="AH405" s="113"/>
      <c r="AI405" s="113"/>
      <c r="AJ405" s="113"/>
      <c r="AK405" s="113"/>
      <c r="AL405" s="113"/>
      <c r="AM405" s="113"/>
      <c r="AN405" s="113"/>
      <c r="AO405" s="113"/>
      <c r="AP405" s="113"/>
      <c r="AQ405" s="113"/>
      <c r="AR405" s="113"/>
      <c r="AS405" s="113"/>
      <c r="AT405" s="113"/>
      <c r="AU405" s="113"/>
      <c r="AV405" s="113"/>
      <c r="AW405" s="113"/>
      <c r="AX405" s="113"/>
      <c r="AY405" s="113"/>
      <c r="AZ405" s="113"/>
      <c r="BA405" s="113"/>
      <c r="BB405" s="113"/>
      <c r="BC405" s="113"/>
      <c r="BD405" s="113"/>
      <c r="BE405" s="113"/>
      <c r="BF405" s="113"/>
      <c r="BG405" s="113"/>
      <c r="BH405" s="113"/>
      <c r="BI405" s="113"/>
      <c r="BJ405" s="113"/>
      <c r="BK405" s="113"/>
      <c r="BL405" s="113"/>
      <c r="BM405" s="113"/>
      <c r="BN405" s="113"/>
      <c r="BO405" s="113"/>
      <c r="BP405" s="113"/>
      <c r="BQ405" s="113"/>
      <c r="BR405" s="113"/>
      <c r="BS405" s="113"/>
      <c r="BT405" s="113"/>
      <c r="BU405" s="113"/>
      <c r="BV405" s="113"/>
      <c r="BW405" s="113"/>
      <c r="BX405" s="113"/>
      <c r="BY405" s="113"/>
      <c r="BZ405" s="113"/>
      <c r="CA405" s="113"/>
      <c r="CB405" s="113"/>
      <c r="CC405" s="113"/>
      <c r="CD405" s="113"/>
      <c r="CE405" s="113"/>
      <c r="CF405" s="113"/>
      <c r="CG405" s="113"/>
      <c r="CH405" s="113"/>
      <c r="CI405" s="113"/>
      <c r="CJ405" s="113"/>
      <c r="CK405" s="113"/>
      <c r="CL405" s="113"/>
      <c r="CM405" s="113"/>
      <c r="CN405" s="113"/>
      <c r="CO405" s="113"/>
      <c r="CP405" s="113"/>
      <c r="CQ405" s="113"/>
      <c r="CR405" s="113"/>
      <c r="CS405" s="113"/>
      <c r="CT405" s="113"/>
      <c r="CU405" s="113"/>
    </row>
    <row r="406">
      <c r="A406" s="159"/>
      <c r="B406" s="113"/>
      <c r="C406" s="113"/>
      <c r="D406" s="158"/>
      <c r="E406" s="161"/>
      <c r="F406" s="160"/>
      <c r="G406" s="162"/>
      <c r="H406" s="159"/>
      <c r="I406" s="113"/>
      <c r="J406" s="113"/>
      <c r="K406" s="113"/>
      <c r="L406" s="158"/>
      <c r="M406" s="166"/>
      <c r="N406" s="113"/>
      <c r="O406" s="113"/>
      <c r="P406" s="113"/>
      <c r="Q406" s="113"/>
      <c r="R406" s="113"/>
      <c r="S406" s="113"/>
      <c r="T406" s="113"/>
      <c r="U406" s="113"/>
      <c r="V406" s="113"/>
      <c r="W406" s="113"/>
      <c r="X406" s="113"/>
      <c r="Y406" s="113"/>
      <c r="Z406" s="113"/>
      <c r="AA406" s="113"/>
      <c r="AB406" s="113"/>
      <c r="AC406" s="113"/>
      <c r="AD406" s="113"/>
      <c r="AE406" s="113"/>
      <c r="AF406" s="113"/>
      <c r="AG406" s="113"/>
      <c r="AH406" s="113"/>
      <c r="AI406" s="113"/>
      <c r="AJ406" s="113"/>
      <c r="AK406" s="113"/>
      <c r="AL406" s="113"/>
      <c r="AM406" s="113"/>
      <c r="AN406" s="113"/>
      <c r="AO406" s="113"/>
      <c r="AP406" s="113"/>
      <c r="AQ406" s="113"/>
      <c r="AR406" s="113"/>
      <c r="AS406" s="113"/>
      <c r="AT406" s="113"/>
      <c r="AU406" s="113"/>
      <c r="AV406" s="113"/>
      <c r="AW406" s="113"/>
      <c r="AX406" s="113"/>
      <c r="AY406" s="113"/>
      <c r="AZ406" s="113"/>
      <c r="BA406" s="113"/>
      <c r="BB406" s="113"/>
      <c r="BC406" s="113"/>
      <c r="BD406" s="113"/>
      <c r="BE406" s="113"/>
      <c r="BF406" s="113"/>
      <c r="BG406" s="113"/>
      <c r="BH406" s="113"/>
      <c r="BI406" s="113"/>
      <c r="BJ406" s="113"/>
      <c r="BK406" s="113"/>
      <c r="BL406" s="113"/>
      <c r="BM406" s="113"/>
      <c r="BN406" s="113"/>
      <c r="BO406" s="113"/>
      <c r="BP406" s="113"/>
      <c r="BQ406" s="113"/>
      <c r="BR406" s="113"/>
      <c r="BS406" s="113"/>
      <c r="BT406" s="113"/>
      <c r="BU406" s="113"/>
      <c r="BV406" s="113"/>
      <c r="BW406" s="113"/>
      <c r="BX406" s="113"/>
      <c r="BY406" s="113"/>
      <c r="BZ406" s="113"/>
      <c r="CA406" s="113"/>
      <c r="CB406" s="113"/>
      <c r="CC406" s="113"/>
      <c r="CD406" s="113"/>
      <c r="CE406" s="113"/>
      <c r="CF406" s="113"/>
      <c r="CG406" s="113"/>
      <c r="CH406" s="113"/>
      <c r="CI406" s="113"/>
      <c r="CJ406" s="113"/>
      <c r="CK406" s="113"/>
      <c r="CL406" s="113"/>
      <c r="CM406" s="113"/>
      <c r="CN406" s="113"/>
      <c r="CO406" s="113"/>
      <c r="CP406" s="113"/>
      <c r="CQ406" s="113"/>
      <c r="CR406" s="113"/>
      <c r="CS406" s="113"/>
      <c r="CT406" s="113"/>
      <c r="CU406" s="113"/>
    </row>
    <row r="407">
      <c r="A407" s="159"/>
      <c r="B407" s="113"/>
      <c r="C407" s="113"/>
      <c r="D407" s="158"/>
      <c r="E407" s="161"/>
      <c r="F407" s="160"/>
      <c r="G407" s="162"/>
      <c r="H407" s="159"/>
      <c r="I407" s="113"/>
      <c r="J407" s="113"/>
      <c r="K407" s="113"/>
      <c r="L407" s="158"/>
      <c r="M407" s="166"/>
      <c r="N407" s="113"/>
      <c r="O407" s="113"/>
      <c r="P407" s="113"/>
      <c r="Q407" s="113"/>
      <c r="R407" s="113"/>
      <c r="S407" s="113"/>
      <c r="T407" s="113"/>
      <c r="U407" s="113"/>
      <c r="V407" s="113"/>
      <c r="W407" s="113"/>
      <c r="X407" s="113"/>
      <c r="Y407" s="113"/>
      <c r="Z407" s="113"/>
      <c r="AA407" s="113"/>
      <c r="AB407" s="113"/>
      <c r="AC407" s="113"/>
      <c r="AD407" s="113"/>
      <c r="AE407" s="113"/>
      <c r="AF407" s="113"/>
      <c r="AG407" s="113"/>
      <c r="AH407" s="113"/>
      <c r="AI407" s="113"/>
      <c r="AJ407" s="113"/>
      <c r="AK407" s="113"/>
      <c r="AL407" s="113"/>
      <c r="AM407" s="113"/>
      <c r="AN407" s="113"/>
      <c r="AO407" s="113"/>
      <c r="AP407" s="113"/>
      <c r="AQ407" s="113"/>
      <c r="AR407" s="113"/>
      <c r="AS407" s="113"/>
      <c r="AT407" s="113"/>
      <c r="AU407" s="113"/>
      <c r="AV407" s="113"/>
      <c r="AW407" s="113"/>
      <c r="AX407" s="113"/>
      <c r="AY407" s="113"/>
      <c r="AZ407" s="113"/>
      <c r="BA407" s="113"/>
      <c r="BB407" s="113"/>
      <c r="BC407" s="113"/>
      <c r="BD407" s="113"/>
      <c r="BE407" s="113"/>
      <c r="BF407" s="113"/>
      <c r="BG407" s="113"/>
      <c r="BH407" s="113"/>
      <c r="BI407" s="113"/>
      <c r="BJ407" s="113"/>
      <c r="BK407" s="113"/>
      <c r="BL407" s="113"/>
      <c r="BM407" s="113"/>
      <c r="BN407" s="113"/>
      <c r="BO407" s="113"/>
      <c r="BP407" s="113"/>
      <c r="BQ407" s="113"/>
      <c r="BR407" s="113"/>
      <c r="BS407" s="113"/>
      <c r="BT407" s="113"/>
      <c r="BU407" s="113"/>
      <c r="BV407" s="113"/>
      <c r="BW407" s="113"/>
      <c r="BX407" s="113"/>
      <c r="BY407" s="113"/>
      <c r="BZ407" s="113"/>
      <c r="CA407" s="113"/>
      <c r="CB407" s="113"/>
      <c r="CC407" s="113"/>
      <c r="CD407" s="113"/>
      <c r="CE407" s="113"/>
      <c r="CF407" s="113"/>
      <c r="CG407" s="113"/>
      <c r="CH407" s="113"/>
      <c r="CI407" s="113"/>
      <c r="CJ407" s="113"/>
      <c r="CK407" s="113"/>
      <c r="CL407" s="113"/>
      <c r="CM407" s="113"/>
      <c r="CN407" s="113"/>
      <c r="CO407" s="113"/>
      <c r="CP407" s="113"/>
      <c r="CQ407" s="113"/>
      <c r="CR407" s="113"/>
      <c r="CS407" s="113"/>
      <c r="CT407" s="113"/>
      <c r="CU407" s="113"/>
    </row>
    <row r="408">
      <c r="A408" s="159"/>
      <c r="B408" s="113"/>
      <c r="C408" s="113"/>
      <c r="D408" s="158"/>
      <c r="E408" s="161"/>
      <c r="F408" s="160"/>
      <c r="G408" s="162"/>
      <c r="H408" s="159"/>
      <c r="I408" s="113"/>
      <c r="J408" s="113"/>
      <c r="K408" s="113"/>
      <c r="L408" s="158"/>
      <c r="M408" s="166"/>
      <c r="N408" s="113"/>
      <c r="O408" s="113"/>
      <c r="P408" s="113"/>
      <c r="Q408" s="113"/>
      <c r="R408" s="113"/>
      <c r="S408" s="113"/>
      <c r="T408" s="113"/>
      <c r="U408" s="113"/>
      <c r="V408" s="113"/>
      <c r="W408" s="113"/>
      <c r="X408" s="113"/>
      <c r="Y408" s="113"/>
      <c r="Z408" s="113"/>
      <c r="AA408" s="113"/>
      <c r="AB408" s="113"/>
      <c r="AC408" s="113"/>
      <c r="AD408" s="113"/>
      <c r="AE408" s="113"/>
      <c r="AF408" s="113"/>
      <c r="AG408" s="113"/>
      <c r="AH408" s="113"/>
      <c r="AI408" s="113"/>
      <c r="AJ408" s="113"/>
      <c r="AK408" s="113"/>
      <c r="AL408" s="113"/>
      <c r="AM408" s="113"/>
      <c r="AN408" s="113"/>
      <c r="AO408" s="113"/>
      <c r="AP408" s="113"/>
      <c r="AQ408" s="113"/>
      <c r="AR408" s="113"/>
      <c r="AS408" s="113"/>
      <c r="AT408" s="113"/>
      <c r="AU408" s="113"/>
      <c r="AV408" s="113"/>
      <c r="AW408" s="113"/>
      <c r="AX408" s="113"/>
      <c r="AY408" s="113"/>
      <c r="AZ408" s="113"/>
      <c r="BA408" s="113"/>
      <c r="BB408" s="113"/>
      <c r="BC408" s="113"/>
      <c r="BD408" s="113"/>
      <c r="BE408" s="113"/>
      <c r="BF408" s="113"/>
      <c r="BG408" s="113"/>
      <c r="BH408" s="113"/>
      <c r="BI408" s="113"/>
      <c r="BJ408" s="113"/>
      <c r="BK408" s="113"/>
      <c r="BL408" s="113"/>
      <c r="BM408" s="113"/>
      <c r="BN408" s="113"/>
      <c r="BO408" s="113"/>
      <c r="BP408" s="113"/>
      <c r="BQ408" s="113"/>
      <c r="BR408" s="113"/>
      <c r="BS408" s="113"/>
      <c r="BT408" s="113"/>
      <c r="BU408" s="113"/>
      <c r="BV408" s="113"/>
      <c r="BW408" s="113"/>
      <c r="BX408" s="113"/>
      <c r="BY408" s="113"/>
      <c r="BZ408" s="113"/>
      <c r="CA408" s="113"/>
      <c r="CB408" s="113"/>
      <c r="CC408" s="113"/>
      <c r="CD408" s="113"/>
      <c r="CE408" s="113"/>
      <c r="CF408" s="113"/>
      <c r="CG408" s="113"/>
      <c r="CH408" s="113"/>
      <c r="CI408" s="113"/>
      <c r="CJ408" s="113"/>
      <c r="CK408" s="113"/>
      <c r="CL408" s="113"/>
      <c r="CM408" s="113"/>
      <c r="CN408" s="113"/>
      <c r="CO408" s="113"/>
      <c r="CP408" s="113"/>
      <c r="CQ408" s="113"/>
      <c r="CR408" s="113"/>
      <c r="CS408" s="113"/>
      <c r="CT408" s="113"/>
      <c r="CU408" s="113"/>
    </row>
    <row r="409">
      <c r="A409" s="159"/>
      <c r="B409" s="113"/>
      <c r="C409" s="113"/>
      <c r="D409" s="158"/>
      <c r="E409" s="161"/>
      <c r="F409" s="160"/>
      <c r="G409" s="162"/>
      <c r="H409" s="159"/>
      <c r="I409" s="113"/>
      <c r="J409" s="113"/>
      <c r="K409" s="113"/>
      <c r="L409" s="158"/>
      <c r="M409" s="166"/>
      <c r="N409" s="113"/>
      <c r="O409" s="113"/>
      <c r="P409" s="113"/>
      <c r="Q409" s="113"/>
      <c r="R409" s="113"/>
      <c r="S409" s="113"/>
      <c r="T409" s="113"/>
      <c r="U409" s="113"/>
      <c r="V409" s="113"/>
      <c r="W409" s="113"/>
      <c r="X409" s="113"/>
      <c r="Y409" s="113"/>
      <c r="Z409" s="113"/>
      <c r="AA409" s="113"/>
      <c r="AB409" s="113"/>
      <c r="AC409" s="113"/>
      <c r="AD409" s="113"/>
      <c r="AE409" s="113"/>
      <c r="AF409" s="113"/>
      <c r="AG409" s="113"/>
      <c r="AH409" s="113"/>
      <c r="AI409" s="113"/>
      <c r="AJ409" s="113"/>
      <c r="AK409" s="113"/>
      <c r="AL409" s="113"/>
      <c r="AM409" s="113"/>
      <c r="AN409" s="113"/>
      <c r="AO409" s="113"/>
      <c r="AP409" s="113"/>
      <c r="AQ409" s="113"/>
      <c r="AR409" s="113"/>
      <c r="AS409" s="113"/>
      <c r="AT409" s="113"/>
      <c r="AU409" s="113"/>
      <c r="AV409" s="113"/>
      <c r="AW409" s="113"/>
      <c r="AX409" s="113"/>
      <c r="AY409" s="113"/>
      <c r="AZ409" s="113"/>
      <c r="BA409" s="113"/>
      <c r="BB409" s="113"/>
      <c r="BC409" s="113"/>
      <c r="BD409" s="113"/>
      <c r="BE409" s="113"/>
      <c r="BF409" s="113"/>
      <c r="BG409" s="113"/>
      <c r="BH409" s="113"/>
      <c r="BI409" s="113"/>
      <c r="BJ409" s="113"/>
      <c r="BK409" s="113"/>
      <c r="BL409" s="113"/>
      <c r="BM409" s="113"/>
      <c r="BN409" s="113"/>
      <c r="BO409" s="113"/>
      <c r="BP409" s="113"/>
      <c r="BQ409" s="113"/>
      <c r="BR409" s="113"/>
      <c r="BS409" s="113"/>
      <c r="BT409" s="113"/>
      <c r="BU409" s="113"/>
      <c r="BV409" s="113"/>
      <c r="BW409" s="113"/>
      <c r="BX409" s="113"/>
      <c r="BY409" s="113"/>
      <c r="BZ409" s="113"/>
      <c r="CA409" s="113"/>
      <c r="CB409" s="113"/>
      <c r="CC409" s="113"/>
      <c r="CD409" s="113"/>
      <c r="CE409" s="113"/>
      <c r="CF409" s="113"/>
      <c r="CG409" s="113"/>
      <c r="CH409" s="113"/>
      <c r="CI409" s="113"/>
      <c r="CJ409" s="113"/>
      <c r="CK409" s="113"/>
      <c r="CL409" s="113"/>
      <c r="CM409" s="113"/>
      <c r="CN409" s="113"/>
      <c r="CO409" s="113"/>
      <c r="CP409" s="113"/>
      <c r="CQ409" s="113"/>
      <c r="CR409" s="113"/>
      <c r="CS409" s="113"/>
      <c r="CT409" s="113"/>
      <c r="CU409" s="113"/>
    </row>
    <row r="410">
      <c r="A410" s="159"/>
      <c r="B410" s="113"/>
      <c r="C410" s="113"/>
      <c r="D410" s="158"/>
      <c r="E410" s="161"/>
      <c r="F410" s="160"/>
      <c r="G410" s="162"/>
      <c r="H410" s="159"/>
      <c r="I410" s="113"/>
      <c r="J410" s="113"/>
      <c r="K410" s="113"/>
      <c r="L410" s="158"/>
      <c r="M410" s="166"/>
      <c r="N410" s="113"/>
      <c r="O410" s="113"/>
      <c r="P410" s="113"/>
      <c r="Q410" s="113"/>
      <c r="R410" s="113"/>
      <c r="S410" s="113"/>
      <c r="T410" s="113"/>
      <c r="U410" s="113"/>
      <c r="V410" s="113"/>
      <c r="W410" s="113"/>
      <c r="X410" s="113"/>
      <c r="Y410" s="113"/>
      <c r="Z410" s="113"/>
      <c r="AA410" s="113"/>
      <c r="AB410" s="113"/>
      <c r="AC410" s="113"/>
      <c r="AD410" s="113"/>
      <c r="AE410" s="113"/>
      <c r="AF410" s="113"/>
      <c r="AG410" s="113"/>
      <c r="AH410" s="113"/>
      <c r="AI410" s="113"/>
      <c r="AJ410" s="113"/>
      <c r="AK410" s="113"/>
      <c r="AL410" s="113"/>
      <c r="AM410" s="113"/>
      <c r="AN410" s="113"/>
      <c r="AO410" s="113"/>
      <c r="AP410" s="113"/>
      <c r="AQ410" s="113"/>
      <c r="AR410" s="113"/>
      <c r="AS410" s="113"/>
      <c r="AT410" s="113"/>
      <c r="AU410" s="113"/>
      <c r="AV410" s="113"/>
      <c r="AW410" s="113"/>
      <c r="AX410" s="113"/>
      <c r="AY410" s="113"/>
      <c r="AZ410" s="113"/>
      <c r="BA410" s="113"/>
      <c r="BB410" s="113"/>
      <c r="BC410" s="113"/>
      <c r="BD410" s="113"/>
      <c r="BE410" s="113"/>
      <c r="BF410" s="113"/>
      <c r="BG410" s="113"/>
      <c r="BH410" s="113"/>
      <c r="BI410" s="113"/>
      <c r="BJ410" s="113"/>
      <c r="BK410" s="113"/>
      <c r="BL410" s="113"/>
      <c r="BM410" s="113"/>
      <c r="BN410" s="113"/>
      <c r="BO410" s="113"/>
      <c r="BP410" s="113"/>
      <c r="BQ410" s="113"/>
      <c r="BR410" s="113"/>
      <c r="BS410" s="113"/>
      <c r="BT410" s="113"/>
      <c r="BU410" s="113"/>
      <c r="BV410" s="113"/>
      <c r="BW410" s="113"/>
      <c r="BX410" s="113"/>
      <c r="BY410" s="113"/>
      <c r="BZ410" s="113"/>
      <c r="CA410" s="113"/>
      <c r="CB410" s="113"/>
      <c r="CC410" s="113"/>
      <c r="CD410" s="113"/>
      <c r="CE410" s="113"/>
      <c r="CF410" s="113"/>
      <c r="CG410" s="113"/>
      <c r="CH410" s="113"/>
      <c r="CI410" s="113"/>
      <c r="CJ410" s="113"/>
      <c r="CK410" s="113"/>
      <c r="CL410" s="113"/>
      <c r="CM410" s="113"/>
      <c r="CN410" s="113"/>
      <c r="CO410" s="113"/>
      <c r="CP410" s="113"/>
      <c r="CQ410" s="113"/>
      <c r="CR410" s="113"/>
      <c r="CS410" s="113"/>
      <c r="CT410" s="113"/>
      <c r="CU410" s="113"/>
    </row>
    <row r="411">
      <c r="A411" s="159"/>
      <c r="B411" s="113"/>
      <c r="C411" s="113"/>
      <c r="D411" s="158"/>
      <c r="E411" s="161"/>
      <c r="F411" s="160"/>
      <c r="G411" s="162"/>
      <c r="H411" s="159"/>
      <c r="I411" s="113"/>
      <c r="J411" s="113"/>
      <c r="K411" s="113"/>
      <c r="L411" s="158"/>
      <c r="M411" s="166"/>
      <c r="N411" s="113"/>
      <c r="O411" s="113"/>
      <c r="P411" s="113"/>
      <c r="Q411" s="113"/>
      <c r="R411" s="113"/>
      <c r="S411" s="113"/>
      <c r="T411" s="113"/>
      <c r="U411" s="113"/>
      <c r="V411" s="113"/>
      <c r="W411" s="113"/>
      <c r="X411" s="113"/>
      <c r="Y411" s="113"/>
      <c r="Z411" s="113"/>
      <c r="AA411" s="113"/>
      <c r="AB411" s="113"/>
      <c r="AC411" s="113"/>
      <c r="AD411" s="113"/>
      <c r="AE411" s="113"/>
      <c r="AF411" s="113"/>
      <c r="AG411" s="113"/>
      <c r="AH411" s="113"/>
      <c r="AI411" s="113"/>
      <c r="AJ411" s="113"/>
      <c r="AK411" s="113"/>
      <c r="AL411" s="113"/>
      <c r="AM411" s="113"/>
      <c r="AN411" s="113"/>
      <c r="AO411" s="113"/>
      <c r="AP411" s="113"/>
      <c r="AQ411" s="113"/>
      <c r="AR411" s="113"/>
      <c r="AS411" s="113"/>
      <c r="AT411" s="113"/>
      <c r="AU411" s="113"/>
      <c r="AV411" s="113"/>
      <c r="AW411" s="113"/>
      <c r="AX411" s="113"/>
      <c r="AY411" s="113"/>
      <c r="AZ411" s="113"/>
      <c r="BA411" s="113"/>
      <c r="BB411" s="113"/>
      <c r="BC411" s="113"/>
      <c r="BD411" s="113"/>
      <c r="BE411" s="113"/>
      <c r="BF411" s="113"/>
      <c r="BG411" s="113"/>
      <c r="BH411" s="113"/>
      <c r="BI411" s="113"/>
      <c r="BJ411" s="113"/>
      <c r="BK411" s="113"/>
      <c r="BL411" s="113"/>
      <c r="BM411" s="113"/>
      <c r="BN411" s="113"/>
      <c r="BO411" s="113"/>
      <c r="BP411" s="113"/>
      <c r="BQ411" s="113"/>
      <c r="BR411" s="113"/>
      <c r="BS411" s="113"/>
      <c r="BT411" s="113"/>
      <c r="BU411" s="113"/>
      <c r="BV411" s="113"/>
      <c r="BW411" s="113"/>
      <c r="BX411" s="113"/>
      <c r="BY411" s="113"/>
      <c r="BZ411" s="113"/>
      <c r="CA411" s="113"/>
      <c r="CB411" s="113"/>
      <c r="CC411" s="113"/>
      <c r="CD411" s="113"/>
      <c r="CE411" s="113"/>
      <c r="CF411" s="113"/>
      <c r="CG411" s="113"/>
      <c r="CH411" s="113"/>
      <c r="CI411" s="113"/>
      <c r="CJ411" s="113"/>
      <c r="CK411" s="113"/>
      <c r="CL411" s="113"/>
      <c r="CM411" s="113"/>
      <c r="CN411" s="113"/>
      <c r="CO411" s="113"/>
      <c r="CP411" s="113"/>
      <c r="CQ411" s="113"/>
      <c r="CR411" s="113"/>
      <c r="CS411" s="113"/>
      <c r="CT411" s="113"/>
      <c r="CU411" s="113"/>
    </row>
    <row r="412">
      <c r="A412" s="159"/>
      <c r="B412" s="113"/>
      <c r="C412" s="113"/>
      <c r="D412" s="158"/>
      <c r="E412" s="161"/>
      <c r="F412" s="160"/>
      <c r="G412" s="162"/>
      <c r="H412" s="159"/>
      <c r="I412" s="113"/>
      <c r="J412" s="113"/>
      <c r="K412" s="113"/>
      <c r="L412" s="158"/>
      <c r="M412" s="166"/>
      <c r="N412" s="113"/>
      <c r="O412" s="113"/>
      <c r="P412" s="113"/>
      <c r="Q412" s="113"/>
      <c r="R412" s="113"/>
      <c r="S412" s="113"/>
      <c r="T412" s="113"/>
      <c r="U412" s="113"/>
      <c r="V412" s="113"/>
      <c r="W412" s="113"/>
      <c r="X412" s="113"/>
      <c r="Y412" s="113"/>
      <c r="Z412" s="113"/>
      <c r="AA412" s="113"/>
      <c r="AB412" s="113"/>
      <c r="AC412" s="113"/>
      <c r="AD412" s="113"/>
      <c r="AE412" s="113"/>
      <c r="AF412" s="113"/>
      <c r="AG412" s="113"/>
      <c r="AH412" s="113"/>
      <c r="AI412" s="113"/>
      <c r="AJ412" s="113"/>
      <c r="AK412" s="113"/>
      <c r="AL412" s="113"/>
      <c r="AM412" s="113"/>
      <c r="AN412" s="113"/>
      <c r="AO412" s="113"/>
      <c r="AP412" s="113"/>
      <c r="AQ412" s="113"/>
      <c r="AR412" s="113"/>
      <c r="AS412" s="113"/>
      <c r="AT412" s="113"/>
      <c r="AU412" s="113"/>
      <c r="AV412" s="113"/>
      <c r="AW412" s="113"/>
      <c r="AX412" s="113"/>
      <c r="AY412" s="113"/>
      <c r="AZ412" s="113"/>
      <c r="BA412" s="113"/>
      <c r="BB412" s="113"/>
      <c r="BC412" s="113"/>
      <c r="BD412" s="113"/>
      <c r="BE412" s="113"/>
      <c r="BF412" s="113"/>
      <c r="BG412" s="113"/>
      <c r="BH412" s="113"/>
      <c r="BI412" s="113"/>
      <c r="BJ412" s="113"/>
      <c r="BK412" s="113"/>
      <c r="BL412" s="113"/>
      <c r="BM412" s="113"/>
      <c r="BN412" s="113"/>
      <c r="BO412" s="113"/>
      <c r="BP412" s="113"/>
      <c r="BQ412" s="113"/>
      <c r="BR412" s="113"/>
      <c r="BS412" s="113"/>
      <c r="BT412" s="113"/>
      <c r="BU412" s="113"/>
      <c r="BV412" s="113"/>
      <c r="BW412" s="113"/>
      <c r="BX412" s="113"/>
      <c r="BY412" s="113"/>
      <c r="BZ412" s="113"/>
      <c r="CA412" s="113"/>
      <c r="CB412" s="113"/>
      <c r="CC412" s="113"/>
      <c r="CD412" s="113"/>
      <c r="CE412" s="113"/>
      <c r="CF412" s="113"/>
      <c r="CG412" s="113"/>
      <c r="CH412" s="113"/>
      <c r="CI412" s="113"/>
      <c r="CJ412" s="113"/>
      <c r="CK412" s="113"/>
      <c r="CL412" s="113"/>
      <c r="CM412" s="113"/>
      <c r="CN412" s="113"/>
      <c r="CO412" s="113"/>
      <c r="CP412" s="113"/>
      <c r="CQ412" s="113"/>
      <c r="CR412" s="113"/>
      <c r="CS412" s="113"/>
      <c r="CT412" s="113"/>
      <c r="CU412" s="113"/>
    </row>
    <row r="413">
      <c r="A413" s="159"/>
      <c r="B413" s="113"/>
      <c r="C413" s="113"/>
      <c r="D413" s="158"/>
      <c r="E413" s="161"/>
      <c r="F413" s="160"/>
      <c r="G413" s="162"/>
      <c r="H413" s="159"/>
      <c r="I413" s="113"/>
      <c r="J413" s="113"/>
      <c r="K413" s="113"/>
      <c r="L413" s="158"/>
      <c r="M413" s="166"/>
      <c r="N413" s="113"/>
      <c r="O413" s="113"/>
      <c r="P413" s="113"/>
      <c r="Q413" s="113"/>
      <c r="R413" s="113"/>
      <c r="S413" s="113"/>
      <c r="T413" s="113"/>
      <c r="U413" s="113"/>
      <c r="V413" s="113"/>
      <c r="W413" s="113"/>
      <c r="X413" s="113"/>
      <c r="Y413" s="113"/>
      <c r="Z413" s="113"/>
      <c r="AA413" s="113"/>
      <c r="AB413" s="113"/>
      <c r="AC413" s="113"/>
      <c r="AD413" s="113"/>
      <c r="AE413" s="113"/>
      <c r="AF413" s="113"/>
      <c r="AG413" s="113"/>
      <c r="AH413" s="113"/>
      <c r="AI413" s="113"/>
      <c r="AJ413" s="113"/>
      <c r="AK413" s="113"/>
      <c r="AL413" s="113"/>
      <c r="AM413" s="113"/>
      <c r="AN413" s="113"/>
      <c r="AO413" s="113"/>
      <c r="AP413" s="113"/>
      <c r="AQ413" s="113"/>
      <c r="AR413" s="113"/>
      <c r="AS413" s="113"/>
      <c r="AT413" s="113"/>
      <c r="AU413" s="113"/>
      <c r="AV413" s="113"/>
      <c r="AW413" s="113"/>
      <c r="AX413" s="113"/>
      <c r="AY413" s="113"/>
      <c r="AZ413" s="113"/>
      <c r="BA413" s="113"/>
      <c r="BB413" s="113"/>
      <c r="BC413" s="113"/>
      <c r="BD413" s="113"/>
      <c r="BE413" s="113"/>
      <c r="BF413" s="113"/>
      <c r="BG413" s="113"/>
      <c r="BH413" s="113"/>
      <c r="BI413" s="113"/>
      <c r="BJ413" s="113"/>
      <c r="BK413" s="113"/>
      <c r="BL413" s="113"/>
      <c r="BM413" s="113"/>
      <c r="BN413" s="113"/>
      <c r="BO413" s="113"/>
      <c r="BP413" s="113"/>
      <c r="BQ413" s="113"/>
      <c r="BR413" s="113"/>
      <c r="BS413" s="113"/>
      <c r="BT413" s="113"/>
      <c r="BU413" s="113"/>
      <c r="BV413" s="113"/>
      <c r="BW413" s="113"/>
      <c r="BX413" s="113"/>
      <c r="BY413" s="113"/>
      <c r="BZ413" s="113"/>
      <c r="CA413" s="113"/>
      <c r="CB413" s="113"/>
      <c r="CC413" s="113"/>
      <c r="CD413" s="113"/>
      <c r="CE413" s="113"/>
      <c r="CF413" s="113"/>
      <c r="CG413" s="113"/>
      <c r="CH413" s="113"/>
      <c r="CI413" s="113"/>
      <c r="CJ413" s="113"/>
      <c r="CK413" s="113"/>
      <c r="CL413" s="113"/>
      <c r="CM413" s="113"/>
      <c r="CN413" s="113"/>
      <c r="CO413" s="113"/>
      <c r="CP413" s="113"/>
      <c r="CQ413" s="113"/>
      <c r="CR413" s="113"/>
      <c r="CS413" s="113"/>
      <c r="CT413" s="113"/>
      <c r="CU413" s="113"/>
    </row>
    <row r="414">
      <c r="A414" s="159"/>
      <c r="B414" s="113"/>
      <c r="C414" s="113"/>
      <c r="D414" s="158"/>
      <c r="E414" s="161"/>
      <c r="F414" s="160"/>
      <c r="G414" s="162"/>
      <c r="H414" s="159"/>
      <c r="I414" s="113"/>
      <c r="J414" s="113"/>
      <c r="K414" s="113"/>
      <c r="L414" s="158"/>
      <c r="M414" s="166"/>
      <c r="N414" s="113"/>
      <c r="O414" s="113"/>
      <c r="P414" s="113"/>
      <c r="Q414" s="113"/>
      <c r="R414" s="113"/>
      <c r="S414" s="113"/>
      <c r="T414" s="113"/>
      <c r="U414" s="113"/>
      <c r="V414" s="113"/>
      <c r="W414" s="113"/>
      <c r="X414" s="113"/>
      <c r="Y414" s="113"/>
      <c r="Z414" s="113"/>
      <c r="AA414" s="113"/>
      <c r="AB414" s="113"/>
      <c r="AC414" s="113"/>
      <c r="AD414" s="113"/>
      <c r="AE414" s="113"/>
      <c r="AF414" s="113"/>
      <c r="AG414" s="113"/>
      <c r="AH414" s="113"/>
      <c r="AI414" s="113"/>
      <c r="AJ414" s="113"/>
      <c r="AK414" s="113"/>
      <c r="AL414" s="113"/>
      <c r="AM414" s="113"/>
      <c r="AN414" s="113"/>
      <c r="AO414" s="113"/>
      <c r="AP414" s="113"/>
      <c r="AQ414" s="113"/>
      <c r="AR414" s="113"/>
      <c r="AS414" s="113"/>
      <c r="AT414" s="113"/>
      <c r="AU414" s="113"/>
      <c r="AV414" s="113"/>
      <c r="AW414" s="113"/>
      <c r="AX414" s="113"/>
      <c r="AY414" s="113"/>
      <c r="AZ414" s="113"/>
      <c r="BA414" s="113"/>
      <c r="BB414" s="113"/>
      <c r="BC414" s="113"/>
      <c r="BD414" s="113"/>
      <c r="BE414" s="113"/>
      <c r="BF414" s="113"/>
      <c r="BG414" s="113"/>
      <c r="BH414" s="113"/>
      <c r="BI414" s="113"/>
      <c r="BJ414" s="113"/>
      <c r="BK414" s="113"/>
      <c r="BL414" s="113"/>
      <c r="BM414" s="113"/>
      <c r="BN414" s="113"/>
      <c r="BO414" s="113"/>
      <c r="BP414" s="113"/>
      <c r="BQ414" s="113"/>
      <c r="BR414" s="113"/>
      <c r="BS414" s="113"/>
      <c r="BT414" s="113"/>
      <c r="BU414" s="113"/>
      <c r="BV414" s="113"/>
      <c r="BW414" s="113"/>
      <c r="BX414" s="113"/>
      <c r="BY414" s="113"/>
      <c r="BZ414" s="113"/>
      <c r="CA414" s="113"/>
      <c r="CB414" s="113"/>
      <c r="CC414" s="113"/>
      <c r="CD414" s="113"/>
      <c r="CE414" s="113"/>
      <c r="CF414" s="113"/>
      <c r="CG414" s="113"/>
      <c r="CH414" s="113"/>
      <c r="CI414" s="113"/>
      <c r="CJ414" s="113"/>
      <c r="CK414" s="113"/>
      <c r="CL414" s="113"/>
      <c r="CM414" s="113"/>
      <c r="CN414" s="113"/>
      <c r="CO414" s="113"/>
      <c r="CP414" s="113"/>
      <c r="CQ414" s="113"/>
      <c r="CR414" s="113"/>
      <c r="CS414" s="113"/>
      <c r="CT414" s="113"/>
      <c r="CU414" s="113"/>
    </row>
    <row r="415">
      <c r="A415" s="159"/>
      <c r="B415" s="113"/>
      <c r="C415" s="113"/>
      <c r="D415" s="158"/>
      <c r="E415" s="161"/>
      <c r="F415" s="160"/>
      <c r="G415" s="162"/>
      <c r="H415" s="159"/>
      <c r="I415" s="113"/>
      <c r="J415" s="113"/>
      <c r="K415" s="113"/>
      <c r="L415" s="158"/>
      <c r="M415" s="166"/>
      <c r="N415" s="113"/>
      <c r="O415" s="113"/>
      <c r="P415" s="113"/>
      <c r="Q415" s="113"/>
      <c r="R415" s="113"/>
      <c r="S415" s="113"/>
      <c r="T415" s="113"/>
      <c r="U415" s="113"/>
      <c r="V415" s="113"/>
      <c r="W415" s="113"/>
      <c r="X415" s="113"/>
      <c r="Y415" s="113"/>
      <c r="Z415" s="113"/>
      <c r="AA415" s="113"/>
      <c r="AB415" s="113"/>
      <c r="AC415" s="113"/>
      <c r="AD415" s="113"/>
      <c r="AE415" s="113"/>
      <c r="AF415" s="113"/>
      <c r="AG415" s="113"/>
      <c r="AH415" s="113"/>
      <c r="AI415" s="113"/>
      <c r="AJ415" s="113"/>
      <c r="AK415" s="113"/>
      <c r="AL415" s="113"/>
      <c r="AM415" s="113"/>
      <c r="AN415" s="113"/>
      <c r="AO415" s="113"/>
      <c r="AP415" s="113"/>
      <c r="AQ415" s="113"/>
      <c r="AR415" s="113"/>
      <c r="AS415" s="113"/>
      <c r="AT415" s="113"/>
      <c r="AU415" s="113"/>
      <c r="AV415" s="113"/>
      <c r="AW415" s="113"/>
      <c r="AX415" s="113"/>
      <c r="AY415" s="113"/>
      <c r="AZ415" s="113"/>
      <c r="BA415" s="113"/>
      <c r="BB415" s="113"/>
      <c r="BC415" s="113"/>
      <c r="BD415" s="113"/>
      <c r="BE415" s="113"/>
      <c r="BF415" s="113"/>
      <c r="BG415" s="113"/>
      <c r="BH415" s="113"/>
      <c r="BI415" s="113"/>
      <c r="BJ415" s="113"/>
      <c r="BK415" s="113"/>
      <c r="BL415" s="113"/>
      <c r="BM415" s="113"/>
      <c r="BN415" s="113"/>
      <c r="BO415" s="113"/>
      <c r="BP415" s="113"/>
      <c r="BQ415" s="113"/>
      <c r="BR415" s="113"/>
      <c r="BS415" s="113"/>
      <c r="BT415" s="113"/>
      <c r="BU415" s="113"/>
      <c r="BV415" s="113"/>
      <c r="BW415" s="113"/>
      <c r="BX415" s="113"/>
      <c r="BY415" s="113"/>
      <c r="BZ415" s="113"/>
      <c r="CA415" s="113"/>
      <c r="CB415" s="113"/>
      <c r="CC415" s="113"/>
      <c r="CD415" s="113"/>
      <c r="CE415" s="113"/>
      <c r="CF415" s="113"/>
      <c r="CG415" s="113"/>
      <c r="CH415" s="113"/>
      <c r="CI415" s="113"/>
      <c r="CJ415" s="113"/>
      <c r="CK415" s="113"/>
      <c r="CL415" s="113"/>
      <c r="CM415" s="113"/>
      <c r="CN415" s="113"/>
      <c r="CO415" s="113"/>
      <c r="CP415" s="113"/>
      <c r="CQ415" s="113"/>
      <c r="CR415" s="113"/>
      <c r="CS415" s="113"/>
      <c r="CT415" s="113"/>
      <c r="CU415" s="113"/>
    </row>
    <row r="416">
      <c r="A416" s="159"/>
      <c r="B416" s="113"/>
      <c r="C416" s="113"/>
      <c r="D416" s="158"/>
      <c r="E416" s="161"/>
      <c r="F416" s="160"/>
      <c r="G416" s="162"/>
      <c r="H416" s="159"/>
      <c r="I416" s="113"/>
      <c r="J416" s="113"/>
      <c r="K416" s="113"/>
      <c r="L416" s="158"/>
      <c r="M416" s="166"/>
      <c r="N416" s="113"/>
      <c r="O416" s="113"/>
      <c r="P416" s="113"/>
      <c r="Q416" s="113"/>
      <c r="R416" s="113"/>
      <c r="S416" s="113"/>
      <c r="T416" s="113"/>
      <c r="U416" s="113"/>
      <c r="V416" s="113"/>
      <c r="W416" s="113"/>
      <c r="X416" s="113"/>
      <c r="Y416" s="113"/>
      <c r="Z416" s="113"/>
      <c r="AA416" s="113"/>
      <c r="AB416" s="113"/>
      <c r="AC416" s="113"/>
      <c r="AD416" s="113"/>
      <c r="AE416" s="113"/>
      <c r="AF416" s="113"/>
      <c r="AG416" s="113"/>
      <c r="AH416" s="113"/>
      <c r="AI416" s="113"/>
      <c r="AJ416" s="113"/>
      <c r="AK416" s="113"/>
      <c r="AL416" s="113"/>
      <c r="AM416" s="113"/>
      <c r="AN416" s="113"/>
      <c r="AO416" s="113"/>
      <c r="AP416" s="113"/>
      <c r="AQ416" s="113"/>
      <c r="AR416" s="113"/>
      <c r="AS416" s="113"/>
      <c r="AT416" s="113"/>
      <c r="AU416" s="113"/>
      <c r="AV416" s="113"/>
      <c r="AW416" s="113"/>
      <c r="AX416" s="113"/>
      <c r="AY416" s="113"/>
      <c r="AZ416" s="113"/>
      <c r="BA416" s="113"/>
      <c r="BB416" s="113"/>
      <c r="BC416" s="113"/>
      <c r="BD416" s="113"/>
      <c r="BE416" s="113"/>
      <c r="BF416" s="113"/>
      <c r="BG416" s="113"/>
      <c r="BH416" s="113"/>
      <c r="BI416" s="113"/>
      <c r="BJ416" s="113"/>
      <c r="BK416" s="113"/>
      <c r="BL416" s="113"/>
      <c r="BM416" s="113"/>
      <c r="BN416" s="113"/>
      <c r="BO416" s="113"/>
      <c r="BP416" s="113"/>
      <c r="BQ416" s="113"/>
      <c r="BR416" s="113"/>
      <c r="BS416" s="113"/>
      <c r="BT416" s="113"/>
      <c r="BU416" s="113"/>
      <c r="BV416" s="113"/>
      <c r="BW416" s="113"/>
      <c r="BX416" s="113"/>
      <c r="BY416" s="113"/>
      <c r="BZ416" s="113"/>
      <c r="CA416" s="113"/>
      <c r="CB416" s="113"/>
      <c r="CC416" s="113"/>
      <c r="CD416" s="113"/>
      <c r="CE416" s="113"/>
      <c r="CF416" s="113"/>
      <c r="CG416" s="113"/>
      <c r="CH416" s="113"/>
      <c r="CI416" s="113"/>
      <c r="CJ416" s="113"/>
      <c r="CK416" s="113"/>
      <c r="CL416" s="113"/>
      <c r="CM416" s="113"/>
      <c r="CN416" s="113"/>
      <c r="CO416" s="113"/>
      <c r="CP416" s="113"/>
      <c r="CQ416" s="113"/>
      <c r="CR416" s="113"/>
      <c r="CS416" s="113"/>
      <c r="CT416" s="113"/>
      <c r="CU416" s="113"/>
    </row>
    <row r="417">
      <c r="A417" s="159"/>
      <c r="B417" s="113"/>
      <c r="C417" s="113"/>
      <c r="D417" s="158"/>
      <c r="E417" s="161"/>
      <c r="F417" s="160"/>
      <c r="G417" s="162"/>
      <c r="H417" s="159"/>
      <c r="I417" s="113"/>
      <c r="J417" s="113"/>
      <c r="K417" s="113"/>
      <c r="L417" s="158"/>
      <c r="M417" s="166"/>
      <c r="N417" s="113"/>
      <c r="O417" s="113"/>
      <c r="P417" s="113"/>
      <c r="Q417" s="113"/>
      <c r="R417" s="113"/>
      <c r="S417" s="113"/>
      <c r="T417" s="113"/>
      <c r="U417" s="113"/>
      <c r="V417" s="113"/>
      <c r="W417" s="113"/>
      <c r="X417" s="113"/>
      <c r="Y417" s="113"/>
      <c r="Z417" s="113"/>
      <c r="AA417" s="113"/>
      <c r="AB417" s="113"/>
      <c r="AC417" s="113"/>
      <c r="AD417" s="113"/>
      <c r="AE417" s="113"/>
      <c r="AF417" s="113"/>
      <c r="AG417" s="113"/>
      <c r="AH417" s="113"/>
      <c r="AI417" s="113"/>
      <c r="AJ417" s="113"/>
      <c r="AK417" s="113"/>
      <c r="AL417" s="113"/>
      <c r="AM417" s="113"/>
      <c r="AN417" s="113"/>
      <c r="AO417" s="113"/>
      <c r="AP417" s="113"/>
      <c r="AQ417" s="113"/>
      <c r="AR417" s="113"/>
      <c r="AS417" s="113"/>
      <c r="AT417" s="113"/>
      <c r="AU417" s="113"/>
      <c r="AV417" s="113"/>
      <c r="AW417" s="113"/>
      <c r="AX417" s="113"/>
      <c r="AY417" s="113"/>
      <c r="AZ417" s="113"/>
      <c r="BA417" s="113"/>
      <c r="BB417" s="113"/>
      <c r="BC417" s="113"/>
      <c r="BD417" s="113"/>
      <c r="BE417" s="113"/>
      <c r="BF417" s="113"/>
      <c r="BG417" s="113"/>
      <c r="BH417" s="113"/>
      <c r="BI417" s="113"/>
      <c r="BJ417" s="113"/>
      <c r="BK417" s="113"/>
      <c r="BL417" s="113"/>
      <c r="BM417" s="113"/>
      <c r="BN417" s="113"/>
      <c r="BO417" s="113"/>
      <c r="BP417" s="113"/>
      <c r="BQ417" s="113"/>
      <c r="BR417" s="113"/>
      <c r="BS417" s="113"/>
      <c r="BT417" s="113"/>
      <c r="BU417" s="113"/>
      <c r="BV417" s="113"/>
      <c r="BW417" s="113"/>
      <c r="BX417" s="113"/>
      <c r="BY417" s="113"/>
      <c r="BZ417" s="113"/>
      <c r="CA417" s="113"/>
      <c r="CB417" s="113"/>
      <c r="CC417" s="113"/>
      <c r="CD417" s="113"/>
      <c r="CE417" s="113"/>
      <c r="CF417" s="113"/>
      <c r="CG417" s="113"/>
      <c r="CH417" s="113"/>
      <c r="CI417" s="113"/>
      <c r="CJ417" s="113"/>
      <c r="CK417" s="113"/>
      <c r="CL417" s="113"/>
      <c r="CM417" s="113"/>
      <c r="CN417" s="113"/>
      <c r="CO417" s="113"/>
      <c r="CP417" s="113"/>
      <c r="CQ417" s="113"/>
      <c r="CR417" s="113"/>
      <c r="CS417" s="113"/>
      <c r="CT417" s="113"/>
      <c r="CU417" s="113"/>
    </row>
    <row r="418">
      <c r="A418" s="159"/>
      <c r="B418" s="113"/>
      <c r="C418" s="113"/>
      <c r="D418" s="158"/>
      <c r="E418" s="161"/>
      <c r="F418" s="160"/>
      <c r="G418" s="162"/>
      <c r="H418" s="159"/>
      <c r="I418" s="113"/>
      <c r="J418" s="113"/>
      <c r="K418" s="113"/>
      <c r="L418" s="158"/>
      <c r="M418" s="166"/>
      <c r="N418" s="113"/>
      <c r="O418" s="113"/>
      <c r="P418" s="113"/>
      <c r="Q418" s="113"/>
      <c r="R418" s="113"/>
      <c r="S418" s="113"/>
      <c r="T418" s="113"/>
      <c r="U418" s="113"/>
      <c r="V418" s="113"/>
      <c r="W418" s="113"/>
      <c r="X418" s="113"/>
      <c r="Y418" s="113"/>
      <c r="Z418" s="113"/>
      <c r="AA418" s="113"/>
      <c r="AB418" s="113"/>
      <c r="AC418" s="113"/>
      <c r="AD418" s="113"/>
      <c r="AE418" s="113"/>
      <c r="AF418" s="113"/>
      <c r="AG418" s="113"/>
      <c r="AH418" s="113"/>
      <c r="AI418" s="113"/>
      <c r="AJ418" s="113"/>
      <c r="AK418" s="113"/>
      <c r="AL418" s="113"/>
      <c r="AM418" s="113"/>
      <c r="AN418" s="113"/>
      <c r="AO418" s="113"/>
      <c r="AP418" s="113"/>
      <c r="AQ418" s="113"/>
      <c r="AR418" s="113"/>
      <c r="AS418" s="113"/>
      <c r="AT418" s="113"/>
      <c r="AU418" s="113"/>
      <c r="AV418" s="113"/>
      <c r="AW418" s="113"/>
      <c r="AX418" s="113"/>
      <c r="AY418" s="113"/>
      <c r="AZ418" s="113"/>
      <c r="BA418" s="113"/>
      <c r="BB418" s="113"/>
      <c r="BC418" s="113"/>
      <c r="BD418" s="113"/>
      <c r="BE418" s="113"/>
      <c r="BF418" s="113"/>
      <c r="BG418" s="113"/>
      <c r="BH418" s="113"/>
      <c r="BI418" s="113"/>
      <c r="BJ418" s="113"/>
      <c r="BK418" s="113"/>
      <c r="BL418" s="113"/>
      <c r="BM418" s="113"/>
      <c r="BN418" s="113"/>
      <c r="BO418" s="113"/>
      <c r="BP418" s="113"/>
      <c r="BQ418" s="113"/>
      <c r="BR418" s="113"/>
      <c r="BS418" s="113"/>
      <c r="BT418" s="113"/>
      <c r="BU418" s="113"/>
      <c r="BV418" s="113"/>
      <c r="BW418" s="113"/>
      <c r="BX418" s="113"/>
      <c r="BY418" s="113"/>
      <c r="BZ418" s="113"/>
      <c r="CA418" s="113"/>
      <c r="CB418" s="113"/>
      <c r="CC418" s="113"/>
      <c r="CD418" s="113"/>
      <c r="CE418" s="113"/>
      <c r="CF418" s="113"/>
      <c r="CG418" s="113"/>
      <c r="CH418" s="113"/>
      <c r="CI418" s="113"/>
      <c r="CJ418" s="113"/>
      <c r="CK418" s="113"/>
      <c r="CL418" s="113"/>
      <c r="CM418" s="113"/>
      <c r="CN418" s="113"/>
      <c r="CO418" s="113"/>
      <c r="CP418" s="113"/>
      <c r="CQ418" s="113"/>
      <c r="CR418" s="113"/>
      <c r="CS418" s="113"/>
      <c r="CT418" s="113"/>
      <c r="CU418" s="113"/>
    </row>
    <row r="419">
      <c r="A419" s="159"/>
      <c r="B419" s="113"/>
      <c r="C419" s="113"/>
      <c r="D419" s="158"/>
      <c r="E419" s="161"/>
      <c r="F419" s="160"/>
      <c r="G419" s="162"/>
      <c r="H419" s="159"/>
      <c r="I419" s="113"/>
      <c r="J419" s="113"/>
      <c r="K419" s="113"/>
      <c r="L419" s="158"/>
      <c r="M419" s="166"/>
      <c r="N419" s="113"/>
      <c r="O419" s="113"/>
      <c r="P419" s="113"/>
      <c r="Q419" s="113"/>
      <c r="R419" s="113"/>
      <c r="S419" s="113"/>
      <c r="T419" s="113"/>
      <c r="U419" s="113"/>
      <c r="V419" s="113"/>
      <c r="W419" s="113"/>
      <c r="X419" s="113"/>
      <c r="Y419" s="113"/>
      <c r="Z419" s="113"/>
      <c r="AA419" s="113"/>
      <c r="AB419" s="113"/>
      <c r="AC419" s="113"/>
      <c r="AD419" s="113"/>
      <c r="AE419" s="113"/>
      <c r="AF419" s="113"/>
      <c r="AG419" s="113"/>
      <c r="AH419" s="113"/>
      <c r="AI419" s="113"/>
      <c r="AJ419" s="113"/>
      <c r="AK419" s="113"/>
      <c r="AL419" s="113"/>
      <c r="AM419" s="113"/>
      <c r="AN419" s="113"/>
      <c r="AO419" s="113"/>
      <c r="AP419" s="113"/>
      <c r="AQ419" s="113"/>
      <c r="AR419" s="113"/>
      <c r="AS419" s="113"/>
      <c r="AT419" s="113"/>
      <c r="AU419" s="113"/>
      <c r="AV419" s="113"/>
      <c r="AW419" s="113"/>
      <c r="AX419" s="113"/>
      <c r="AY419" s="113"/>
      <c r="AZ419" s="113"/>
      <c r="BA419" s="113"/>
      <c r="BB419" s="113"/>
      <c r="BC419" s="113"/>
      <c r="BD419" s="113"/>
      <c r="BE419" s="113"/>
      <c r="BF419" s="113"/>
      <c r="BG419" s="113"/>
      <c r="BH419" s="113"/>
      <c r="BI419" s="113"/>
      <c r="BJ419" s="113"/>
      <c r="BK419" s="113"/>
      <c r="BL419" s="113"/>
      <c r="BM419" s="113"/>
      <c r="BN419" s="113"/>
      <c r="BO419" s="113"/>
      <c r="BP419" s="113"/>
      <c r="BQ419" s="113"/>
      <c r="BR419" s="113"/>
      <c r="BS419" s="113"/>
      <c r="BT419" s="113"/>
      <c r="BU419" s="113"/>
      <c r="BV419" s="113"/>
      <c r="BW419" s="113"/>
      <c r="BX419" s="113"/>
      <c r="BY419" s="113"/>
      <c r="BZ419" s="113"/>
      <c r="CA419" s="113"/>
      <c r="CB419" s="113"/>
      <c r="CC419" s="113"/>
      <c r="CD419" s="113"/>
      <c r="CE419" s="113"/>
      <c r="CF419" s="113"/>
      <c r="CG419" s="113"/>
      <c r="CH419" s="113"/>
      <c r="CI419" s="113"/>
      <c r="CJ419" s="113"/>
      <c r="CK419" s="113"/>
      <c r="CL419" s="113"/>
      <c r="CM419" s="113"/>
      <c r="CN419" s="113"/>
      <c r="CO419" s="113"/>
      <c r="CP419" s="113"/>
      <c r="CQ419" s="113"/>
      <c r="CR419" s="113"/>
      <c r="CS419" s="113"/>
      <c r="CT419" s="113"/>
      <c r="CU419" s="113"/>
    </row>
    <row r="420">
      <c r="A420" s="159"/>
      <c r="B420" s="113"/>
      <c r="C420" s="113"/>
      <c r="D420" s="158"/>
      <c r="E420" s="161"/>
      <c r="F420" s="160"/>
      <c r="G420" s="162"/>
      <c r="H420" s="159"/>
      <c r="I420" s="113"/>
      <c r="J420" s="113"/>
      <c r="K420" s="113"/>
      <c r="L420" s="158"/>
      <c r="M420" s="166"/>
      <c r="N420" s="113"/>
      <c r="O420" s="113"/>
      <c r="P420" s="113"/>
      <c r="Q420" s="113"/>
      <c r="R420" s="113"/>
      <c r="S420" s="113"/>
      <c r="T420" s="113"/>
      <c r="U420" s="113"/>
      <c r="V420" s="113"/>
      <c r="W420" s="113"/>
      <c r="X420" s="113"/>
      <c r="Y420" s="113"/>
      <c r="Z420" s="113"/>
      <c r="AA420" s="113"/>
      <c r="AB420" s="113"/>
      <c r="AC420" s="113"/>
      <c r="AD420" s="113"/>
      <c r="AE420" s="113"/>
      <c r="AF420" s="113"/>
      <c r="AG420" s="113"/>
      <c r="AH420" s="113"/>
      <c r="AI420" s="113"/>
      <c r="AJ420" s="113"/>
      <c r="AK420" s="113"/>
      <c r="AL420" s="113"/>
      <c r="AM420" s="113"/>
      <c r="AN420" s="113"/>
      <c r="AO420" s="113"/>
      <c r="AP420" s="113"/>
      <c r="AQ420" s="113"/>
      <c r="AR420" s="113"/>
      <c r="AS420" s="113"/>
      <c r="AT420" s="113"/>
      <c r="AU420" s="113"/>
      <c r="AV420" s="113"/>
      <c r="AW420" s="113"/>
      <c r="AX420" s="113"/>
      <c r="AY420" s="113"/>
      <c r="AZ420" s="113"/>
      <c r="BA420" s="113"/>
      <c r="BB420" s="113"/>
      <c r="BC420" s="113"/>
      <c r="BD420" s="113"/>
      <c r="BE420" s="113"/>
      <c r="BF420" s="113"/>
      <c r="BG420" s="113"/>
      <c r="BH420" s="113"/>
      <c r="BI420" s="113"/>
      <c r="BJ420" s="113"/>
      <c r="BK420" s="113"/>
      <c r="BL420" s="113"/>
      <c r="BM420" s="113"/>
      <c r="BN420" s="113"/>
      <c r="BO420" s="113"/>
      <c r="BP420" s="113"/>
      <c r="BQ420" s="113"/>
      <c r="BR420" s="113"/>
      <c r="BS420" s="113"/>
      <c r="BT420" s="113"/>
      <c r="BU420" s="113"/>
      <c r="BV420" s="113"/>
      <c r="BW420" s="113"/>
      <c r="BX420" s="113"/>
      <c r="BY420" s="113"/>
      <c r="BZ420" s="113"/>
      <c r="CA420" s="113"/>
      <c r="CB420" s="113"/>
      <c r="CC420" s="113"/>
      <c r="CD420" s="113"/>
      <c r="CE420" s="113"/>
      <c r="CF420" s="113"/>
      <c r="CG420" s="113"/>
      <c r="CH420" s="113"/>
      <c r="CI420" s="113"/>
      <c r="CJ420" s="113"/>
      <c r="CK420" s="113"/>
      <c r="CL420" s="113"/>
      <c r="CM420" s="113"/>
      <c r="CN420" s="113"/>
      <c r="CO420" s="113"/>
      <c r="CP420" s="113"/>
      <c r="CQ420" s="113"/>
      <c r="CR420" s="113"/>
      <c r="CS420" s="113"/>
      <c r="CT420" s="113"/>
      <c r="CU420" s="113"/>
    </row>
    <row r="421">
      <c r="A421" s="159"/>
      <c r="B421" s="113"/>
      <c r="C421" s="113"/>
      <c r="D421" s="158"/>
      <c r="E421" s="161"/>
      <c r="F421" s="160"/>
      <c r="G421" s="162"/>
      <c r="H421" s="159"/>
      <c r="I421" s="113"/>
      <c r="J421" s="113"/>
      <c r="K421" s="113"/>
      <c r="L421" s="158"/>
      <c r="M421" s="166"/>
      <c r="N421" s="113"/>
      <c r="O421" s="113"/>
      <c r="P421" s="113"/>
      <c r="Q421" s="113"/>
      <c r="R421" s="113"/>
      <c r="S421" s="113"/>
      <c r="T421" s="113"/>
      <c r="U421" s="113"/>
      <c r="V421" s="113"/>
      <c r="W421" s="113"/>
      <c r="X421" s="113"/>
      <c r="Y421" s="113"/>
      <c r="Z421" s="113"/>
      <c r="AA421" s="113"/>
      <c r="AB421" s="113"/>
      <c r="AC421" s="113"/>
      <c r="AD421" s="113"/>
      <c r="AE421" s="113"/>
      <c r="AF421" s="113"/>
      <c r="AG421" s="113"/>
      <c r="AH421" s="113"/>
      <c r="AI421" s="113"/>
      <c r="AJ421" s="113"/>
      <c r="AK421" s="113"/>
      <c r="AL421" s="113"/>
      <c r="AM421" s="113"/>
      <c r="AN421" s="113"/>
      <c r="AO421" s="113"/>
      <c r="AP421" s="113"/>
      <c r="AQ421" s="113"/>
      <c r="AR421" s="113"/>
      <c r="AS421" s="113"/>
      <c r="AT421" s="113"/>
      <c r="AU421" s="113"/>
      <c r="AV421" s="113"/>
      <c r="AW421" s="113"/>
      <c r="AX421" s="113"/>
      <c r="AY421" s="113"/>
      <c r="AZ421" s="113"/>
      <c r="BA421" s="113"/>
      <c r="BB421" s="113"/>
      <c r="BC421" s="113"/>
      <c r="BD421" s="113"/>
      <c r="BE421" s="113"/>
      <c r="BF421" s="113"/>
      <c r="BG421" s="113"/>
      <c r="BH421" s="113"/>
      <c r="BI421" s="113"/>
      <c r="BJ421" s="113"/>
      <c r="BK421" s="113"/>
      <c r="BL421" s="113"/>
      <c r="BM421" s="113"/>
      <c r="BN421" s="113"/>
      <c r="BO421" s="113"/>
      <c r="BP421" s="113"/>
      <c r="BQ421" s="113"/>
      <c r="BR421" s="113"/>
      <c r="BS421" s="113"/>
      <c r="BT421" s="113"/>
      <c r="BU421" s="113"/>
      <c r="BV421" s="113"/>
      <c r="BW421" s="113"/>
      <c r="BX421" s="113"/>
      <c r="BY421" s="113"/>
      <c r="BZ421" s="113"/>
      <c r="CA421" s="113"/>
      <c r="CB421" s="113"/>
      <c r="CC421" s="113"/>
      <c r="CD421" s="113"/>
      <c r="CE421" s="113"/>
      <c r="CF421" s="113"/>
      <c r="CG421" s="113"/>
      <c r="CH421" s="113"/>
      <c r="CI421" s="113"/>
      <c r="CJ421" s="113"/>
      <c r="CK421" s="113"/>
      <c r="CL421" s="113"/>
      <c r="CM421" s="113"/>
      <c r="CN421" s="113"/>
      <c r="CO421" s="113"/>
      <c r="CP421" s="113"/>
      <c r="CQ421" s="113"/>
      <c r="CR421" s="113"/>
      <c r="CS421" s="113"/>
      <c r="CT421" s="113"/>
      <c r="CU421" s="113"/>
    </row>
    <row r="422">
      <c r="A422" s="159"/>
      <c r="B422" s="113"/>
      <c r="C422" s="113"/>
      <c r="D422" s="158"/>
      <c r="E422" s="161"/>
      <c r="F422" s="160"/>
      <c r="G422" s="162"/>
      <c r="H422" s="159"/>
      <c r="I422" s="113"/>
      <c r="J422" s="113"/>
      <c r="K422" s="113"/>
      <c r="L422" s="158"/>
      <c r="M422" s="166"/>
      <c r="N422" s="113"/>
      <c r="O422" s="113"/>
      <c r="P422" s="113"/>
      <c r="Q422" s="113"/>
      <c r="R422" s="113"/>
      <c r="S422" s="113"/>
      <c r="T422" s="113"/>
      <c r="U422" s="113"/>
      <c r="V422" s="113"/>
      <c r="W422" s="113"/>
      <c r="X422" s="113"/>
      <c r="Y422" s="113"/>
      <c r="Z422" s="113"/>
      <c r="AA422" s="113"/>
      <c r="AB422" s="113"/>
      <c r="AC422" s="113"/>
      <c r="AD422" s="113"/>
      <c r="AE422" s="113"/>
      <c r="AF422" s="113"/>
      <c r="AG422" s="113"/>
      <c r="AH422" s="113"/>
      <c r="AI422" s="113"/>
      <c r="AJ422" s="113"/>
      <c r="AK422" s="113"/>
      <c r="AL422" s="113"/>
      <c r="AM422" s="113"/>
      <c r="AN422" s="113"/>
      <c r="AO422" s="113"/>
      <c r="AP422" s="113"/>
      <c r="AQ422" s="113"/>
      <c r="AR422" s="113"/>
      <c r="AS422" s="113"/>
      <c r="AT422" s="113"/>
      <c r="AU422" s="113"/>
      <c r="AV422" s="113"/>
      <c r="AW422" s="113"/>
      <c r="AX422" s="113"/>
      <c r="AY422" s="113"/>
      <c r="AZ422" s="113"/>
      <c r="BA422" s="113"/>
      <c r="BB422" s="113"/>
      <c r="BC422" s="113"/>
      <c r="BD422" s="113"/>
      <c r="BE422" s="113"/>
      <c r="BF422" s="113"/>
      <c r="BG422" s="113"/>
      <c r="BH422" s="113"/>
      <c r="BI422" s="113"/>
      <c r="BJ422" s="113"/>
      <c r="BK422" s="113"/>
      <c r="BL422" s="113"/>
      <c r="BM422" s="113"/>
      <c r="BN422" s="113"/>
      <c r="BO422" s="113"/>
      <c r="BP422" s="113"/>
      <c r="BQ422" s="113"/>
      <c r="BR422" s="113"/>
      <c r="BS422" s="113"/>
      <c r="BT422" s="113"/>
      <c r="BU422" s="113"/>
      <c r="BV422" s="113"/>
      <c r="BW422" s="113"/>
      <c r="BX422" s="113"/>
      <c r="BY422" s="113"/>
      <c r="BZ422" s="113"/>
      <c r="CA422" s="113"/>
      <c r="CB422" s="113"/>
      <c r="CC422" s="113"/>
      <c r="CD422" s="113"/>
      <c r="CE422" s="113"/>
      <c r="CF422" s="113"/>
      <c r="CG422" s="113"/>
      <c r="CH422" s="113"/>
      <c r="CI422" s="113"/>
      <c r="CJ422" s="113"/>
      <c r="CK422" s="113"/>
      <c r="CL422" s="113"/>
      <c r="CM422" s="113"/>
      <c r="CN422" s="113"/>
      <c r="CO422" s="113"/>
      <c r="CP422" s="113"/>
      <c r="CQ422" s="113"/>
      <c r="CR422" s="113"/>
      <c r="CS422" s="113"/>
      <c r="CT422" s="113"/>
      <c r="CU422" s="113"/>
    </row>
    <row r="423">
      <c r="A423" s="159"/>
      <c r="B423" s="113"/>
      <c r="C423" s="113"/>
      <c r="D423" s="158"/>
      <c r="E423" s="161"/>
      <c r="F423" s="160"/>
      <c r="G423" s="162"/>
      <c r="H423" s="159"/>
      <c r="I423" s="113"/>
      <c r="J423" s="113"/>
      <c r="K423" s="113"/>
      <c r="L423" s="158"/>
      <c r="M423" s="166"/>
      <c r="N423" s="113"/>
      <c r="O423" s="113"/>
      <c r="P423" s="113"/>
      <c r="Q423" s="113"/>
      <c r="R423" s="113"/>
      <c r="S423" s="113"/>
      <c r="T423" s="113"/>
      <c r="U423" s="113"/>
      <c r="V423" s="113"/>
      <c r="W423" s="113"/>
      <c r="X423" s="113"/>
      <c r="Y423" s="113"/>
      <c r="Z423" s="113"/>
      <c r="AA423" s="113"/>
      <c r="AB423" s="113"/>
      <c r="AC423" s="113"/>
      <c r="AD423" s="113"/>
      <c r="AE423" s="113"/>
      <c r="AF423" s="113"/>
      <c r="AG423" s="113"/>
      <c r="AH423" s="113"/>
      <c r="AI423" s="113"/>
      <c r="AJ423" s="113"/>
      <c r="AK423" s="113"/>
      <c r="AL423" s="113"/>
      <c r="AM423" s="113"/>
      <c r="AN423" s="113"/>
      <c r="AO423" s="113"/>
      <c r="AP423" s="113"/>
      <c r="AQ423" s="113"/>
      <c r="AR423" s="113"/>
      <c r="AS423" s="113"/>
      <c r="AT423" s="113"/>
      <c r="AU423" s="113"/>
      <c r="AV423" s="113"/>
      <c r="AW423" s="113"/>
      <c r="AX423" s="113"/>
      <c r="AY423" s="113"/>
      <c r="AZ423" s="113"/>
      <c r="BA423" s="113"/>
      <c r="BB423" s="113"/>
      <c r="BC423" s="113"/>
      <c r="BD423" s="113"/>
      <c r="BE423" s="113"/>
      <c r="BF423" s="113"/>
      <c r="BG423" s="113"/>
      <c r="BH423" s="113"/>
      <c r="BI423" s="113"/>
      <c r="BJ423" s="113"/>
      <c r="BK423" s="113"/>
      <c r="BL423" s="113"/>
      <c r="BM423" s="113"/>
      <c r="BN423" s="113"/>
      <c r="BO423" s="113"/>
      <c r="BP423" s="113"/>
      <c r="BQ423" s="113"/>
      <c r="BR423" s="113"/>
      <c r="BS423" s="113"/>
      <c r="BT423" s="113"/>
      <c r="BU423" s="113"/>
      <c r="BV423" s="113"/>
      <c r="BW423" s="113"/>
      <c r="BX423" s="113"/>
      <c r="BY423" s="113"/>
      <c r="BZ423" s="113"/>
      <c r="CA423" s="113"/>
      <c r="CB423" s="113"/>
      <c r="CC423" s="113"/>
      <c r="CD423" s="113"/>
      <c r="CE423" s="113"/>
      <c r="CF423" s="113"/>
      <c r="CG423" s="113"/>
      <c r="CH423" s="113"/>
      <c r="CI423" s="113"/>
      <c r="CJ423" s="113"/>
      <c r="CK423" s="113"/>
      <c r="CL423" s="113"/>
      <c r="CM423" s="113"/>
      <c r="CN423" s="113"/>
      <c r="CO423" s="113"/>
      <c r="CP423" s="113"/>
      <c r="CQ423" s="113"/>
      <c r="CR423" s="113"/>
      <c r="CS423" s="113"/>
      <c r="CT423" s="113"/>
      <c r="CU423" s="113"/>
    </row>
    <row r="424">
      <c r="A424" s="159"/>
      <c r="B424" s="113"/>
      <c r="C424" s="113"/>
      <c r="D424" s="158"/>
      <c r="E424" s="161"/>
      <c r="F424" s="160"/>
      <c r="G424" s="162"/>
      <c r="H424" s="159"/>
      <c r="I424" s="113"/>
      <c r="J424" s="113"/>
      <c r="K424" s="113"/>
      <c r="L424" s="158"/>
      <c r="M424" s="166"/>
      <c r="N424" s="113"/>
      <c r="O424" s="113"/>
      <c r="P424" s="113"/>
      <c r="Q424" s="113"/>
      <c r="R424" s="113"/>
      <c r="S424" s="113"/>
      <c r="T424" s="113"/>
      <c r="U424" s="113"/>
      <c r="V424" s="113"/>
      <c r="W424" s="113"/>
      <c r="X424" s="113"/>
      <c r="Y424" s="113"/>
      <c r="Z424" s="113"/>
      <c r="AA424" s="113"/>
      <c r="AB424" s="113"/>
      <c r="AC424" s="113"/>
      <c r="AD424" s="113"/>
      <c r="AE424" s="113"/>
      <c r="AF424" s="113"/>
      <c r="AG424" s="113"/>
      <c r="AH424" s="113"/>
      <c r="AI424" s="113"/>
      <c r="AJ424" s="113"/>
      <c r="AK424" s="113"/>
      <c r="AL424" s="113"/>
      <c r="AM424" s="113"/>
      <c r="AN424" s="113"/>
      <c r="AO424" s="113"/>
      <c r="AP424" s="113"/>
      <c r="AQ424" s="113"/>
      <c r="AR424" s="113"/>
      <c r="AS424" s="113"/>
      <c r="AT424" s="113"/>
      <c r="AU424" s="113"/>
      <c r="AV424" s="113"/>
      <c r="AW424" s="113"/>
      <c r="AX424" s="113"/>
      <c r="AY424" s="113"/>
      <c r="AZ424" s="113"/>
      <c r="BA424" s="113"/>
      <c r="BB424" s="113"/>
      <c r="BC424" s="113"/>
      <c r="BD424" s="113"/>
      <c r="BE424" s="113"/>
      <c r="BF424" s="113"/>
      <c r="BG424" s="113"/>
      <c r="BH424" s="113"/>
      <c r="BI424" s="113"/>
      <c r="BJ424" s="113"/>
      <c r="BK424" s="113"/>
      <c r="BL424" s="113"/>
      <c r="BM424" s="113"/>
      <c r="BN424" s="113"/>
      <c r="BO424" s="113"/>
      <c r="BP424" s="113"/>
      <c r="BQ424" s="113"/>
      <c r="BR424" s="113"/>
      <c r="BS424" s="113"/>
      <c r="BT424" s="113"/>
      <c r="BU424" s="113"/>
      <c r="BV424" s="113"/>
      <c r="BW424" s="113"/>
      <c r="BX424" s="113"/>
      <c r="BY424" s="113"/>
      <c r="BZ424" s="113"/>
      <c r="CA424" s="113"/>
      <c r="CB424" s="113"/>
      <c r="CC424" s="113"/>
      <c r="CD424" s="113"/>
      <c r="CE424" s="113"/>
      <c r="CF424" s="113"/>
      <c r="CG424" s="113"/>
      <c r="CH424" s="113"/>
      <c r="CI424" s="113"/>
      <c r="CJ424" s="113"/>
      <c r="CK424" s="113"/>
      <c r="CL424" s="113"/>
      <c r="CM424" s="113"/>
      <c r="CN424" s="113"/>
      <c r="CO424" s="113"/>
      <c r="CP424" s="113"/>
      <c r="CQ424" s="113"/>
      <c r="CR424" s="113"/>
      <c r="CS424" s="113"/>
      <c r="CT424" s="113"/>
      <c r="CU424" s="113"/>
    </row>
    <row r="425">
      <c r="A425" s="159"/>
      <c r="B425" s="113"/>
      <c r="C425" s="113"/>
      <c r="D425" s="158"/>
      <c r="E425" s="161"/>
      <c r="F425" s="160"/>
      <c r="G425" s="162"/>
      <c r="H425" s="159"/>
      <c r="I425" s="113"/>
      <c r="J425" s="113"/>
      <c r="K425" s="113"/>
      <c r="L425" s="158"/>
      <c r="M425" s="166"/>
      <c r="N425" s="113"/>
      <c r="O425" s="113"/>
      <c r="P425" s="113"/>
      <c r="Q425" s="113"/>
      <c r="R425" s="113"/>
      <c r="S425" s="113"/>
      <c r="T425" s="113"/>
      <c r="U425" s="113"/>
      <c r="V425" s="113"/>
      <c r="W425" s="113"/>
      <c r="X425" s="113"/>
      <c r="Y425" s="113"/>
      <c r="Z425" s="113"/>
      <c r="AA425" s="113"/>
      <c r="AB425" s="113"/>
      <c r="AC425" s="113"/>
      <c r="AD425" s="113"/>
      <c r="AE425" s="113"/>
      <c r="AF425" s="113"/>
      <c r="AG425" s="113"/>
      <c r="AH425" s="113"/>
      <c r="AI425" s="113"/>
      <c r="AJ425" s="113"/>
      <c r="AK425" s="113"/>
      <c r="AL425" s="113"/>
      <c r="AM425" s="113"/>
      <c r="AN425" s="113"/>
      <c r="AO425" s="113"/>
      <c r="AP425" s="113"/>
      <c r="AQ425" s="113"/>
      <c r="AR425" s="113"/>
      <c r="AS425" s="113"/>
      <c r="AT425" s="113"/>
      <c r="AU425" s="113"/>
      <c r="AV425" s="113"/>
      <c r="AW425" s="113"/>
      <c r="AX425" s="113"/>
      <c r="AY425" s="113"/>
      <c r="AZ425" s="113"/>
      <c r="BA425" s="113"/>
      <c r="BB425" s="113"/>
      <c r="BC425" s="113"/>
      <c r="BD425" s="113"/>
      <c r="BE425" s="113"/>
      <c r="BF425" s="113"/>
      <c r="BG425" s="113"/>
      <c r="BH425" s="113"/>
      <c r="BI425" s="113"/>
      <c r="BJ425" s="113"/>
      <c r="BK425" s="113"/>
      <c r="BL425" s="113"/>
      <c r="BM425" s="113"/>
      <c r="BN425" s="113"/>
      <c r="BO425" s="113"/>
      <c r="BP425" s="113"/>
      <c r="BQ425" s="113"/>
      <c r="BR425" s="113"/>
      <c r="BS425" s="113"/>
      <c r="BT425" s="113"/>
      <c r="BU425" s="113"/>
      <c r="BV425" s="113"/>
      <c r="BW425" s="113"/>
      <c r="BX425" s="113"/>
      <c r="BY425" s="113"/>
      <c r="BZ425" s="113"/>
      <c r="CA425" s="113"/>
      <c r="CB425" s="113"/>
      <c r="CC425" s="113"/>
      <c r="CD425" s="113"/>
      <c r="CE425" s="113"/>
      <c r="CF425" s="113"/>
      <c r="CG425" s="113"/>
      <c r="CH425" s="113"/>
      <c r="CI425" s="113"/>
      <c r="CJ425" s="113"/>
      <c r="CK425" s="113"/>
      <c r="CL425" s="113"/>
      <c r="CM425" s="113"/>
      <c r="CN425" s="113"/>
      <c r="CO425" s="113"/>
      <c r="CP425" s="113"/>
      <c r="CQ425" s="113"/>
      <c r="CR425" s="113"/>
      <c r="CS425" s="113"/>
      <c r="CT425" s="113"/>
      <c r="CU425" s="113"/>
    </row>
    <row r="426">
      <c r="A426" s="159"/>
      <c r="B426" s="113"/>
      <c r="C426" s="113"/>
      <c r="D426" s="158"/>
      <c r="E426" s="161"/>
      <c r="F426" s="160"/>
      <c r="G426" s="162"/>
      <c r="H426" s="159"/>
      <c r="I426" s="113"/>
      <c r="J426" s="113"/>
      <c r="K426" s="113"/>
      <c r="L426" s="158"/>
      <c r="M426" s="166"/>
      <c r="N426" s="113"/>
      <c r="O426" s="113"/>
      <c r="P426" s="113"/>
      <c r="Q426" s="113"/>
      <c r="R426" s="113"/>
      <c r="S426" s="113"/>
      <c r="T426" s="113"/>
      <c r="U426" s="113"/>
      <c r="V426" s="113"/>
      <c r="W426" s="113"/>
      <c r="X426" s="113"/>
      <c r="Y426" s="113"/>
      <c r="Z426" s="113"/>
      <c r="AA426" s="113"/>
      <c r="AB426" s="113"/>
      <c r="AC426" s="113"/>
      <c r="AD426" s="113"/>
      <c r="AE426" s="113"/>
      <c r="AF426" s="113"/>
      <c r="AG426" s="113"/>
      <c r="AH426" s="113"/>
      <c r="AI426" s="113"/>
      <c r="AJ426" s="113"/>
      <c r="AK426" s="113"/>
      <c r="AL426" s="113"/>
      <c r="AM426" s="113"/>
      <c r="AN426" s="113"/>
      <c r="AO426" s="113"/>
      <c r="AP426" s="113"/>
      <c r="AQ426" s="113"/>
      <c r="AR426" s="113"/>
      <c r="AS426" s="113"/>
      <c r="AT426" s="113"/>
      <c r="AU426" s="113"/>
      <c r="AV426" s="113"/>
      <c r="AW426" s="113"/>
      <c r="AX426" s="113"/>
      <c r="AY426" s="113"/>
      <c r="AZ426" s="113"/>
      <c r="BA426" s="113"/>
      <c r="BB426" s="113"/>
      <c r="BC426" s="113"/>
      <c r="BD426" s="113"/>
      <c r="BE426" s="113"/>
      <c r="BF426" s="113"/>
      <c r="BG426" s="113"/>
      <c r="BH426" s="113"/>
      <c r="BI426" s="113"/>
      <c r="BJ426" s="113"/>
      <c r="BK426" s="113"/>
      <c r="BL426" s="113"/>
      <c r="BM426" s="113"/>
      <c r="BN426" s="113"/>
      <c r="BO426" s="113"/>
      <c r="BP426" s="113"/>
      <c r="BQ426" s="113"/>
      <c r="BR426" s="113"/>
      <c r="BS426" s="113"/>
      <c r="BT426" s="113"/>
      <c r="BU426" s="113"/>
      <c r="BV426" s="113"/>
      <c r="BW426" s="113"/>
      <c r="BX426" s="113"/>
      <c r="BY426" s="113"/>
      <c r="BZ426" s="113"/>
      <c r="CA426" s="113"/>
      <c r="CB426" s="113"/>
      <c r="CC426" s="113"/>
      <c r="CD426" s="113"/>
      <c r="CE426" s="113"/>
      <c r="CF426" s="113"/>
      <c r="CG426" s="113"/>
      <c r="CH426" s="113"/>
      <c r="CI426" s="113"/>
      <c r="CJ426" s="113"/>
      <c r="CK426" s="113"/>
      <c r="CL426" s="113"/>
      <c r="CM426" s="113"/>
      <c r="CN426" s="113"/>
      <c r="CO426" s="113"/>
      <c r="CP426" s="113"/>
      <c r="CQ426" s="113"/>
      <c r="CR426" s="113"/>
      <c r="CS426" s="113"/>
      <c r="CT426" s="113"/>
      <c r="CU426" s="113"/>
    </row>
    <row r="427">
      <c r="A427" s="159"/>
      <c r="B427" s="113"/>
      <c r="C427" s="113"/>
      <c r="D427" s="158"/>
      <c r="E427" s="161"/>
      <c r="F427" s="160"/>
      <c r="G427" s="162"/>
      <c r="H427" s="159"/>
      <c r="I427" s="113"/>
      <c r="J427" s="113"/>
      <c r="K427" s="113"/>
      <c r="L427" s="158"/>
      <c r="M427" s="113"/>
      <c r="N427" s="113"/>
      <c r="O427" s="113"/>
      <c r="P427" s="113"/>
      <c r="Q427" s="113"/>
      <c r="R427" s="113"/>
      <c r="S427" s="113"/>
      <c r="T427" s="113"/>
      <c r="U427" s="113"/>
      <c r="V427" s="113"/>
      <c r="W427" s="113"/>
      <c r="X427" s="113"/>
      <c r="Y427" s="113"/>
      <c r="Z427" s="113"/>
      <c r="AA427" s="113"/>
      <c r="AB427" s="113"/>
      <c r="AC427" s="113"/>
      <c r="AD427" s="113"/>
      <c r="AE427" s="113"/>
      <c r="AF427" s="113"/>
      <c r="AG427" s="113"/>
      <c r="AH427" s="113"/>
      <c r="AI427" s="113"/>
      <c r="AJ427" s="113"/>
      <c r="AK427" s="113"/>
      <c r="AL427" s="113"/>
      <c r="AM427" s="113"/>
      <c r="AN427" s="113"/>
      <c r="AO427" s="113"/>
      <c r="AP427" s="113"/>
      <c r="AQ427" s="113"/>
      <c r="AR427" s="113"/>
      <c r="AS427" s="113"/>
      <c r="AT427" s="113"/>
      <c r="AU427" s="113"/>
      <c r="AV427" s="113"/>
      <c r="AW427" s="113"/>
      <c r="AX427" s="113"/>
      <c r="AY427" s="113"/>
      <c r="AZ427" s="113"/>
      <c r="BA427" s="113"/>
      <c r="BB427" s="113"/>
      <c r="BC427" s="113"/>
      <c r="BD427" s="113"/>
      <c r="BE427" s="113"/>
      <c r="BF427" s="113"/>
      <c r="BG427" s="113"/>
      <c r="BH427" s="113"/>
      <c r="BI427" s="113"/>
      <c r="BJ427" s="113"/>
      <c r="BK427" s="113"/>
      <c r="BL427" s="113"/>
      <c r="BM427" s="113"/>
      <c r="BN427" s="113"/>
      <c r="BO427" s="113"/>
      <c r="BP427" s="113"/>
      <c r="BQ427" s="113"/>
      <c r="BR427" s="113"/>
      <c r="BS427" s="113"/>
      <c r="BT427" s="113"/>
      <c r="BU427" s="113"/>
      <c r="BV427" s="113"/>
      <c r="BW427" s="113"/>
      <c r="BX427" s="113"/>
      <c r="BY427" s="113"/>
      <c r="BZ427" s="113"/>
      <c r="CA427" s="113"/>
      <c r="CB427" s="113"/>
      <c r="CC427" s="113"/>
      <c r="CD427" s="113"/>
      <c r="CE427" s="113"/>
      <c r="CF427" s="113"/>
      <c r="CG427" s="113"/>
      <c r="CH427" s="113"/>
      <c r="CI427" s="113"/>
      <c r="CJ427" s="113"/>
      <c r="CK427" s="113"/>
      <c r="CL427" s="113"/>
      <c r="CM427" s="113"/>
      <c r="CN427" s="113"/>
      <c r="CO427" s="113"/>
      <c r="CP427" s="113"/>
      <c r="CQ427" s="113"/>
      <c r="CR427" s="113"/>
      <c r="CS427" s="113"/>
      <c r="CT427" s="113"/>
      <c r="CU427" s="113"/>
    </row>
    <row r="428">
      <c r="A428" s="159"/>
      <c r="B428" s="113"/>
      <c r="C428" s="113"/>
      <c r="D428" s="158"/>
      <c r="E428" s="161"/>
      <c r="F428" s="160"/>
      <c r="G428" s="162"/>
      <c r="H428" s="159"/>
      <c r="I428" s="113"/>
      <c r="J428" s="113"/>
      <c r="K428" s="113"/>
      <c r="L428" s="158"/>
      <c r="M428" s="113"/>
      <c r="N428" s="113"/>
      <c r="O428" s="113"/>
      <c r="P428" s="113"/>
      <c r="Q428" s="113"/>
      <c r="R428" s="113"/>
      <c r="S428" s="113"/>
      <c r="T428" s="113"/>
      <c r="U428" s="113"/>
      <c r="V428" s="113"/>
      <c r="W428" s="113"/>
      <c r="X428" s="113"/>
      <c r="Y428" s="113"/>
      <c r="Z428" s="113"/>
      <c r="AA428" s="113"/>
      <c r="AB428" s="113"/>
      <c r="AC428" s="113"/>
      <c r="AD428" s="113"/>
      <c r="AE428" s="113"/>
      <c r="AF428" s="113"/>
      <c r="AG428" s="113"/>
      <c r="AH428" s="113"/>
      <c r="AI428" s="113"/>
      <c r="AJ428" s="113"/>
      <c r="AK428" s="113"/>
      <c r="AL428" s="113"/>
      <c r="AM428" s="113"/>
      <c r="AN428" s="113"/>
      <c r="AO428" s="113"/>
      <c r="AP428" s="113"/>
      <c r="AQ428" s="113"/>
      <c r="AR428" s="113"/>
      <c r="AS428" s="113"/>
      <c r="AT428" s="113"/>
      <c r="AU428" s="113"/>
      <c r="AV428" s="113"/>
      <c r="AW428" s="113"/>
      <c r="AX428" s="113"/>
      <c r="AY428" s="113"/>
      <c r="AZ428" s="113"/>
      <c r="BA428" s="113"/>
      <c r="BB428" s="113"/>
      <c r="BC428" s="113"/>
      <c r="BD428" s="113"/>
      <c r="BE428" s="113"/>
      <c r="BF428" s="113"/>
      <c r="BG428" s="113"/>
      <c r="BH428" s="113"/>
      <c r="BI428" s="113"/>
      <c r="BJ428" s="113"/>
      <c r="BK428" s="113"/>
      <c r="BL428" s="113"/>
      <c r="BM428" s="113"/>
      <c r="BN428" s="113"/>
      <c r="BO428" s="113"/>
      <c r="BP428" s="113"/>
      <c r="BQ428" s="113"/>
      <c r="BR428" s="113"/>
      <c r="BS428" s="113"/>
      <c r="BT428" s="113"/>
      <c r="BU428" s="113"/>
      <c r="BV428" s="113"/>
      <c r="BW428" s="113"/>
      <c r="BX428" s="113"/>
      <c r="BY428" s="113"/>
      <c r="BZ428" s="113"/>
      <c r="CA428" s="113"/>
      <c r="CB428" s="113"/>
      <c r="CC428" s="113"/>
      <c r="CD428" s="113"/>
      <c r="CE428" s="113"/>
      <c r="CF428" s="113"/>
      <c r="CG428" s="113"/>
      <c r="CH428" s="113"/>
      <c r="CI428" s="113"/>
      <c r="CJ428" s="113"/>
      <c r="CK428" s="113"/>
      <c r="CL428" s="113"/>
      <c r="CM428" s="113"/>
      <c r="CN428" s="113"/>
      <c r="CO428" s="113"/>
      <c r="CP428" s="113"/>
      <c r="CQ428" s="113"/>
      <c r="CR428" s="113"/>
      <c r="CS428" s="113"/>
      <c r="CT428" s="113"/>
      <c r="CU428" s="113"/>
    </row>
    <row r="429">
      <c r="A429" s="159"/>
      <c r="B429" s="113"/>
      <c r="C429" s="113"/>
      <c r="D429" s="158"/>
      <c r="E429" s="161"/>
      <c r="F429" s="160"/>
      <c r="G429" s="162"/>
      <c r="H429" s="159"/>
      <c r="I429" s="113"/>
      <c r="J429" s="113"/>
      <c r="K429" s="113"/>
      <c r="L429" s="158"/>
      <c r="M429" s="113"/>
      <c r="N429" s="113"/>
      <c r="O429" s="113"/>
      <c r="P429" s="113"/>
      <c r="Q429" s="113"/>
      <c r="R429" s="113"/>
      <c r="S429" s="113"/>
      <c r="T429" s="113"/>
      <c r="U429" s="113"/>
      <c r="V429" s="113"/>
      <c r="W429" s="113"/>
      <c r="X429" s="113"/>
      <c r="Y429" s="113"/>
      <c r="Z429" s="113"/>
      <c r="AA429" s="113"/>
      <c r="AB429" s="113"/>
      <c r="AC429" s="113"/>
      <c r="AD429" s="113"/>
      <c r="AE429" s="113"/>
      <c r="AF429" s="113"/>
      <c r="AG429" s="113"/>
      <c r="AH429" s="113"/>
      <c r="AI429" s="113"/>
      <c r="AJ429" s="113"/>
      <c r="AK429" s="113"/>
      <c r="AL429" s="113"/>
      <c r="AM429" s="113"/>
      <c r="AN429" s="113"/>
      <c r="AO429" s="113"/>
      <c r="AP429" s="113"/>
      <c r="AQ429" s="113"/>
      <c r="AR429" s="113"/>
      <c r="AS429" s="113"/>
      <c r="AT429" s="113"/>
      <c r="AU429" s="113"/>
      <c r="AV429" s="113"/>
      <c r="AW429" s="113"/>
      <c r="AX429" s="113"/>
      <c r="AY429" s="113"/>
      <c r="AZ429" s="113"/>
      <c r="BA429" s="113"/>
      <c r="BB429" s="113"/>
      <c r="BC429" s="113"/>
      <c r="BD429" s="113"/>
      <c r="BE429" s="113"/>
      <c r="BF429" s="113"/>
      <c r="BG429" s="113"/>
      <c r="BH429" s="113"/>
      <c r="BI429" s="113"/>
      <c r="BJ429" s="113"/>
      <c r="BK429" s="113"/>
      <c r="BL429" s="113"/>
      <c r="BM429" s="113"/>
      <c r="BN429" s="113"/>
      <c r="BO429" s="113"/>
      <c r="BP429" s="113"/>
      <c r="BQ429" s="113"/>
      <c r="BR429" s="113"/>
      <c r="BS429" s="113"/>
      <c r="BT429" s="113"/>
      <c r="BU429" s="113"/>
      <c r="BV429" s="113"/>
      <c r="BW429" s="113"/>
      <c r="BX429" s="113"/>
      <c r="BY429" s="113"/>
      <c r="BZ429" s="113"/>
      <c r="CA429" s="113"/>
      <c r="CB429" s="113"/>
      <c r="CC429" s="113"/>
      <c r="CD429" s="113"/>
      <c r="CE429" s="113"/>
      <c r="CF429" s="113"/>
      <c r="CG429" s="113"/>
      <c r="CH429" s="113"/>
      <c r="CI429" s="113"/>
      <c r="CJ429" s="113"/>
      <c r="CK429" s="113"/>
      <c r="CL429" s="113"/>
      <c r="CM429" s="113"/>
      <c r="CN429" s="113"/>
      <c r="CO429" s="113"/>
      <c r="CP429" s="113"/>
      <c r="CQ429" s="113"/>
      <c r="CR429" s="113"/>
      <c r="CS429" s="113"/>
      <c r="CT429" s="113"/>
      <c r="CU429" s="113"/>
    </row>
    <row r="430">
      <c r="A430" s="159"/>
      <c r="B430" s="113"/>
      <c r="C430" s="113"/>
      <c r="D430" s="158"/>
      <c r="E430" s="161"/>
      <c r="F430" s="160"/>
      <c r="G430" s="162"/>
      <c r="H430" s="159"/>
      <c r="I430" s="113"/>
      <c r="J430" s="113"/>
      <c r="K430" s="113"/>
      <c r="L430" s="158"/>
      <c r="M430" s="113"/>
      <c r="N430" s="113"/>
      <c r="O430" s="113"/>
      <c r="P430" s="113"/>
      <c r="Q430" s="113"/>
      <c r="R430" s="113"/>
      <c r="S430" s="113"/>
      <c r="T430" s="113"/>
      <c r="U430" s="113"/>
      <c r="V430" s="113"/>
      <c r="W430" s="113"/>
      <c r="X430" s="113"/>
      <c r="Y430" s="113"/>
      <c r="Z430" s="113"/>
      <c r="AA430" s="113"/>
      <c r="AB430" s="113"/>
      <c r="AC430" s="113"/>
      <c r="AD430" s="113"/>
      <c r="AE430" s="113"/>
      <c r="AF430" s="113"/>
      <c r="AG430" s="113"/>
      <c r="AH430" s="113"/>
      <c r="AI430" s="113"/>
      <c r="AJ430" s="113"/>
      <c r="AK430" s="113"/>
      <c r="AL430" s="113"/>
      <c r="AM430" s="113"/>
      <c r="AN430" s="113"/>
      <c r="AO430" s="113"/>
      <c r="AP430" s="113"/>
      <c r="AQ430" s="113"/>
      <c r="AR430" s="113"/>
      <c r="AS430" s="113"/>
      <c r="AT430" s="113"/>
      <c r="AU430" s="113"/>
      <c r="AV430" s="113"/>
      <c r="AW430" s="113"/>
      <c r="AX430" s="113"/>
      <c r="AY430" s="113"/>
      <c r="AZ430" s="113"/>
      <c r="BA430" s="113"/>
      <c r="BB430" s="113"/>
      <c r="BC430" s="113"/>
      <c r="BD430" s="113"/>
      <c r="BE430" s="113"/>
      <c r="BF430" s="113"/>
      <c r="BG430" s="113"/>
      <c r="BH430" s="113"/>
      <c r="BI430" s="113"/>
      <c r="BJ430" s="113"/>
      <c r="BK430" s="113"/>
      <c r="BL430" s="113"/>
      <c r="BM430" s="113"/>
      <c r="BN430" s="113"/>
      <c r="BO430" s="113"/>
      <c r="BP430" s="113"/>
      <c r="BQ430" s="113"/>
      <c r="BR430" s="113"/>
      <c r="BS430" s="113"/>
      <c r="BT430" s="113"/>
      <c r="BU430" s="113"/>
      <c r="BV430" s="113"/>
      <c r="BW430" s="113"/>
      <c r="BX430" s="113"/>
      <c r="BY430" s="113"/>
      <c r="BZ430" s="113"/>
      <c r="CA430" s="113"/>
      <c r="CB430" s="113"/>
      <c r="CC430" s="113"/>
      <c r="CD430" s="113"/>
      <c r="CE430" s="113"/>
      <c r="CF430" s="113"/>
      <c r="CG430" s="113"/>
      <c r="CH430" s="113"/>
      <c r="CI430" s="113"/>
      <c r="CJ430" s="113"/>
      <c r="CK430" s="113"/>
      <c r="CL430" s="113"/>
      <c r="CM430" s="113"/>
      <c r="CN430" s="113"/>
      <c r="CO430" s="113"/>
      <c r="CP430" s="113"/>
      <c r="CQ430" s="113"/>
      <c r="CR430" s="113"/>
      <c r="CS430" s="113"/>
      <c r="CT430" s="113"/>
      <c r="CU430" s="113"/>
    </row>
    <row r="431">
      <c r="A431" s="159"/>
      <c r="B431" s="113"/>
      <c r="C431" s="113"/>
      <c r="D431" s="158"/>
      <c r="E431" s="161"/>
      <c r="F431" s="160"/>
      <c r="G431" s="162"/>
      <c r="H431" s="159"/>
      <c r="I431" s="113"/>
      <c r="J431" s="113"/>
      <c r="K431" s="113"/>
      <c r="L431" s="158"/>
      <c r="M431" s="113"/>
      <c r="N431" s="113"/>
      <c r="O431" s="113"/>
      <c r="P431" s="113"/>
      <c r="Q431" s="113"/>
      <c r="R431" s="113"/>
      <c r="S431" s="113"/>
      <c r="T431" s="113"/>
      <c r="U431" s="113"/>
      <c r="V431" s="113"/>
      <c r="W431" s="113"/>
      <c r="X431" s="113"/>
      <c r="Y431" s="113"/>
      <c r="Z431" s="113"/>
      <c r="AA431" s="113"/>
      <c r="AB431" s="113"/>
      <c r="AC431" s="113"/>
      <c r="AD431" s="113"/>
      <c r="AE431" s="113"/>
      <c r="AF431" s="113"/>
      <c r="AG431" s="113"/>
      <c r="AH431" s="113"/>
      <c r="AI431" s="113"/>
      <c r="AJ431" s="113"/>
      <c r="AK431" s="113"/>
      <c r="AL431" s="113"/>
      <c r="AM431" s="113"/>
      <c r="AN431" s="113"/>
      <c r="AO431" s="113"/>
      <c r="AP431" s="113"/>
      <c r="AQ431" s="113"/>
      <c r="AR431" s="113"/>
      <c r="AS431" s="113"/>
      <c r="AT431" s="113"/>
      <c r="AU431" s="113"/>
      <c r="AV431" s="113"/>
      <c r="AW431" s="113"/>
      <c r="AX431" s="113"/>
      <c r="AY431" s="113"/>
      <c r="AZ431" s="113"/>
      <c r="BA431" s="113"/>
      <c r="BB431" s="113"/>
      <c r="BC431" s="113"/>
      <c r="BD431" s="113"/>
      <c r="BE431" s="113"/>
      <c r="BF431" s="113"/>
      <c r="BG431" s="113"/>
      <c r="BH431" s="113"/>
      <c r="BI431" s="113"/>
      <c r="BJ431" s="113"/>
      <c r="BK431" s="113"/>
      <c r="BL431" s="113"/>
      <c r="BM431" s="113"/>
      <c r="BN431" s="113"/>
      <c r="BO431" s="113"/>
      <c r="BP431" s="113"/>
      <c r="BQ431" s="113"/>
      <c r="BR431" s="113"/>
      <c r="BS431" s="113"/>
      <c r="BT431" s="113"/>
      <c r="BU431" s="113"/>
      <c r="BV431" s="113"/>
      <c r="BW431" s="113"/>
      <c r="BX431" s="113"/>
      <c r="BY431" s="113"/>
      <c r="BZ431" s="113"/>
      <c r="CA431" s="113"/>
      <c r="CB431" s="113"/>
      <c r="CC431" s="113"/>
      <c r="CD431" s="113"/>
      <c r="CE431" s="113"/>
      <c r="CF431" s="113"/>
      <c r="CG431" s="113"/>
      <c r="CH431" s="113"/>
      <c r="CI431" s="113"/>
      <c r="CJ431" s="113"/>
      <c r="CK431" s="113"/>
      <c r="CL431" s="113"/>
      <c r="CM431" s="113"/>
      <c r="CN431" s="113"/>
      <c r="CO431" s="113"/>
      <c r="CP431" s="113"/>
      <c r="CQ431" s="113"/>
      <c r="CR431" s="113"/>
      <c r="CS431" s="113"/>
      <c r="CT431" s="113"/>
      <c r="CU431" s="113"/>
    </row>
    <row r="432">
      <c r="A432" s="159"/>
      <c r="B432" s="113"/>
      <c r="C432" s="113"/>
      <c r="D432" s="158"/>
      <c r="E432" s="161"/>
      <c r="F432" s="160"/>
      <c r="G432" s="162"/>
      <c r="H432" s="159"/>
      <c r="I432" s="113"/>
      <c r="J432" s="113"/>
      <c r="K432" s="113"/>
      <c r="L432" s="158"/>
      <c r="M432" s="113"/>
      <c r="N432" s="113"/>
      <c r="O432" s="113"/>
      <c r="P432" s="113"/>
      <c r="Q432" s="113"/>
      <c r="R432" s="113"/>
      <c r="S432" s="113"/>
      <c r="T432" s="113"/>
      <c r="U432" s="113"/>
      <c r="V432" s="113"/>
      <c r="W432" s="113"/>
      <c r="X432" s="113"/>
      <c r="Y432" s="113"/>
      <c r="Z432" s="113"/>
      <c r="AA432" s="113"/>
      <c r="AB432" s="113"/>
      <c r="AC432" s="113"/>
      <c r="AD432" s="113"/>
      <c r="AE432" s="113"/>
      <c r="AF432" s="113"/>
      <c r="AG432" s="113"/>
      <c r="AH432" s="113"/>
      <c r="AI432" s="113"/>
      <c r="AJ432" s="113"/>
      <c r="AK432" s="113"/>
      <c r="AL432" s="113"/>
      <c r="AM432" s="113"/>
      <c r="AN432" s="113"/>
      <c r="AO432" s="113"/>
      <c r="AP432" s="113"/>
      <c r="AQ432" s="113"/>
      <c r="AR432" s="113"/>
      <c r="AS432" s="113"/>
      <c r="AT432" s="113"/>
      <c r="AU432" s="113"/>
      <c r="AV432" s="113"/>
      <c r="AW432" s="113"/>
      <c r="AX432" s="113"/>
      <c r="AY432" s="113"/>
      <c r="AZ432" s="113"/>
      <c r="BA432" s="113"/>
      <c r="BB432" s="113"/>
      <c r="BC432" s="113"/>
      <c r="BD432" s="113"/>
      <c r="BE432" s="113"/>
      <c r="BF432" s="113"/>
      <c r="BG432" s="113"/>
      <c r="BH432" s="113"/>
      <c r="BI432" s="113"/>
      <c r="BJ432" s="113"/>
      <c r="BK432" s="113"/>
      <c r="BL432" s="113"/>
      <c r="BM432" s="113"/>
      <c r="BN432" s="113"/>
      <c r="BO432" s="113"/>
      <c r="BP432" s="113"/>
      <c r="BQ432" s="113"/>
      <c r="BR432" s="113"/>
      <c r="BS432" s="113"/>
      <c r="BT432" s="113"/>
      <c r="BU432" s="113"/>
      <c r="BV432" s="113"/>
      <c r="BW432" s="113"/>
      <c r="BX432" s="113"/>
      <c r="BY432" s="113"/>
      <c r="BZ432" s="113"/>
      <c r="CA432" s="113"/>
      <c r="CB432" s="113"/>
      <c r="CC432" s="113"/>
      <c r="CD432" s="113"/>
      <c r="CE432" s="113"/>
      <c r="CF432" s="113"/>
      <c r="CG432" s="113"/>
      <c r="CH432" s="113"/>
      <c r="CI432" s="113"/>
      <c r="CJ432" s="113"/>
      <c r="CK432" s="113"/>
      <c r="CL432" s="113"/>
      <c r="CM432" s="113"/>
      <c r="CN432" s="113"/>
      <c r="CO432" s="113"/>
      <c r="CP432" s="113"/>
      <c r="CQ432" s="113"/>
      <c r="CR432" s="113"/>
      <c r="CS432" s="113"/>
      <c r="CT432" s="113"/>
      <c r="CU432" s="113"/>
    </row>
    <row r="433">
      <c r="A433" s="159"/>
      <c r="B433" s="113"/>
      <c r="C433" s="113"/>
      <c r="D433" s="158"/>
      <c r="E433" s="161"/>
      <c r="F433" s="160"/>
      <c r="G433" s="162"/>
      <c r="H433" s="159"/>
      <c r="I433" s="113"/>
      <c r="J433" s="113"/>
      <c r="K433" s="113"/>
      <c r="L433" s="158"/>
      <c r="M433" s="113"/>
      <c r="N433" s="113"/>
      <c r="O433" s="113"/>
      <c r="P433" s="113"/>
      <c r="Q433" s="113"/>
      <c r="R433" s="113"/>
      <c r="S433" s="113"/>
      <c r="T433" s="113"/>
      <c r="U433" s="113"/>
      <c r="V433" s="113"/>
      <c r="W433" s="113"/>
      <c r="X433" s="113"/>
      <c r="Y433" s="113"/>
      <c r="Z433" s="113"/>
      <c r="AA433" s="113"/>
      <c r="AB433" s="113"/>
      <c r="AC433" s="113"/>
      <c r="AD433" s="113"/>
      <c r="AE433" s="113"/>
      <c r="AF433" s="113"/>
      <c r="AG433" s="113"/>
      <c r="AH433" s="113"/>
      <c r="AI433" s="113"/>
      <c r="AJ433" s="113"/>
      <c r="AK433" s="113"/>
      <c r="AL433" s="113"/>
      <c r="AM433" s="113"/>
      <c r="AN433" s="113"/>
      <c r="AO433" s="113"/>
      <c r="AP433" s="113"/>
      <c r="AQ433" s="113"/>
      <c r="AR433" s="113"/>
      <c r="AS433" s="113"/>
      <c r="AT433" s="113"/>
      <c r="AU433" s="113"/>
      <c r="AV433" s="113"/>
      <c r="AW433" s="113"/>
      <c r="AX433" s="113"/>
      <c r="AY433" s="113"/>
      <c r="AZ433" s="113"/>
      <c r="BA433" s="113"/>
      <c r="BB433" s="113"/>
      <c r="BC433" s="113"/>
      <c r="BD433" s="113"/>
      <c r="BE433" s="113"/>
      <c r="BF433" s="113"/>
      <c r="BG433" s="113"/>
      <c r="BH433" s="113"/>
      <c r="BI433" s="113"/>
      <c r="BJ433" s="113"/>
      <c r="BK433" s="113"/>
      <c r="BL433" s="113"/>
      <c r="BM433" s="113"/>
      <c r="BN433" s="113"/>
      <c r="BO433" s="113"/>
      <c r="BP433" s="113"/>
      <c r="BQ433" s="113"/>
      <c r="BR433" s="113"/>
      <c r="BS433" s="113"/>
      <c r="BT433" s="113"/>
      <c r="BU433" s="113"/>
      <c r="BV433" s="113"/>
      <c r="BW433" s="113"/>
      <c r="BX433" s="113"/>
      <c r="BY433" s="113"/>
      <c r="BZ433" s="113"/>
      <c r="CA433" s="113"/>
      <c r="CB433" s="113"/>
      <c r="CC433" s="113"/>
      <c r="CD433" s="113"/>
      <c r="CE433" s="113"/>
      <c r="CF433" s="113"/>
      <c r="CG433" s="113"/>
      <c r="CH433" s="113"/>
      <c r="CI433" s="113"/>
      <c r="CJ433" s="113"/>
      <c r="CK433" s="113"/>
      <c r="CL433" s="113"/>
      <c r="CM433" s="113"/>
      <c r="CN433" s="113"/>
      <c r="CO433" s="113"/>
      <c r="CP433" s="113"/>
      <c r="CQ433" s="113"/>
      <c r="CR433" s="113"/>
      <c r="CS433" s="113"/>
      <c r="CT433" s="113"/>
      <c r="CU433" s="113"/>
    </row>
    <row r="434">
      <c r="A434" s="159"/>
      <c r="B434" s="113"/>
      <c r="C434" s="113"/>
      <c r="D434" s="158"/>
      <c r="E434" s="161"/>
      <c r="F434" s="160"/>
      <c r="G434" s="162"/>
      <c r="H434" s="159"/>
      <c r="I434" s="113"/>
      <c r="J434" s="113"/>
      <c r="K434" s="113"/>
      <c r="L434" s="158"/>
      <c r="M434" s="113"/>
      <c r="N434" s="113"/>
      <c r="O434" s="113"/>
      <c r="P434" s="113"/>
      <c r="Q434" s="113"/>
      <c r="R434" s="113"/>
      <c r="S434" s="113"/>
      <c r="T434" s="113"/>
      <c r="U434" s="113"/>
      <c r="V434" s="113"/>
      <c r="W434" s="113"/>
      <c r="X434" s="113"/>
      <c r="Y434" s="113"/>
      <c r="Z434" s="113"/>
      <c r="AA434" s="113"/>
      <c r="AB434" s="113"/>
      <c r="AC434" s="113"/>
      <c r="AD434" s="113"/>
      <c r="AE434" s="113"/>
      <c r="AF434" s="113"/>
      <c r="AG434" s="113"/>
      <c r="AH434" s="113"/>
      <c r="AI434" s="113"/>
      <c r="AJ434" s="113"/>
      <c r="AK434" s="113"/>
      <c r="AL434" s="113"/>
      <c r="AM434" s="113"/>
      <c r="AN434" s="113"/>
      <c r="AO434" s="113"/>
      <c r="AP434" s="113"/>
      <c r="AQ434" s="113"/>
      <c r="AR434" s="113"/>
      <c r="AS434" s="113"/>
      <c r="AT434" s="113"/>
      <c r="AU434" s="113"/>
      <c r="AV434" s="113"/>
      <c r="AW434" s="113"/>
      <c r="AX434" s="113"/>
      <c r="AY434" s="113"/>
      <c r="AZ434" s="113"/>
      <c r="BA434" s="113"/>
      <c r="BB434" s="113"/>
      <c r="BC434" s="113"/>
      <c r="BD434" s="113"/>
      <c r="BE434" s="113"/>
      <c r="BF434" s="113"/>
      <c r="BG434" s="113"/>
      <c r="BH434" s="113"/>
      <c r="BI434" s="113"/>
      <c r="BJ434" s="113"/>
      <c r="BK434" s="113"/>
      <c r="BL434" s="113"/>
      <c r="BM434" s="113"/>
      <c r="BN434" s="113"/>
      <c r="BO434" s="113"/>
      <c r="BP434" s="113"/>
      <c r="BQ434" s="113"/>
      <c r="BR434" s="113"/>
      <c r="BS434" s="113"/>
      <c r="BT434" s="113"/>
      <c r="BU434" s="113"/>
      <c r="BV434" s="113"/>
      <c r="BW434" s="113"/>
      <c r="BX434" s="113"/>
      <c r="BY434" s="113"/>
      <c r="BZ434" s="113"/>
      <c r="CA434" s="113"/>
      <c r="CB434" s="113"/>
      <c r="CC434" s="113"/>
      <c r="CD434" s="113"/>
      <c r="CE434" s="113"/>
      <c r="CF434" s="113"/>
      <c r="CG434" s="113"/>
      <c r="CH434" s="113"/>
      <c r="CI434" s="113"/>
      <c r="CJ434" s="113"/>
      <c r="CK434" s="113"/>
      <c r="CL434" s="113"/>
      <c r="CM434" s="113"/>
      <c r="CN434" s="113"/>
      <c r="CO434" s="113"/>
      <c r="CP434" s="113"/>
      <c r="CQ434" s="113"/>
      <c r="CR434" s="113"/>
      <c r="CS434" s="113"/>
      <c r="CT434" s="113"/>
      <c r="CU434" s="113"/>
    </row>
    <row r="435">
      <c r="A435" s="159"/>
      <c r="B435" s="113"/>
      <c r="C435" s="113"/>
      <c r="D435" s="158"/>
      <c r="E435" s="161"/>
      <c r="F435" s="160"/>
      <c r="G435" s="162"/>
      <c r="H435" s="159"/>
      <c r="I435" s="113"/>
      <c r="J435" s="113"/>
      <c r="K435" s="113"/>
      <c r="L435" s="158"/>
      <c r="M435" s="113"/>
      <c r="N435" s="113"/>
      <c r="O435" s="113"/>
      <c r="P435" s="113"/>
      <c r="Q435" s="113"/>
      <c r="R435" s="113"/>
      <c r="S435" s="113"/>
      <c r="T435" s="113"/>
      <c r="U435" s="113"/>
      <c r="V435" s="113"/>
      <c r="W435" s="113"/>
      <c r="X435" s="113"/>
      <c r="Y435" s="113"/>
      <c r="Z435" s="113"/>
      <c r="AA435" s="113"/>
      <c r="AB435" s="113"/>
      <c r="AC435" s="113"/>
      <c r="AD435" s="113"/>
      <c r="AE435" s="113"/>
      <c r="AF435" s="113"/>
      <c r="AG435" s="113"/>
      <c r="AH435" s="113"/>
      <c r="AI435" s="113"/>
      <c r="AJ435" s="113"/>
      <c r="AK435" s="113"/>
      <c r="AL435" s="113"/>
      <c r="AM435" s="113"/>
      <c r="AN435" s="113"/>
      <c r="AO435" s="113"/>
      <c r="AP435" s="113"/>
      <c r="AQ435" s="113"/>
      <c r="AR435" s="113"/>
      <c r="AS435" s="113"/>
      <c r="AT435" s="113"/>
      <c r="AU435" s="113"/>
      <c r="AV435" s="113"/>
      <c r="AW435" s="113"/>
      <c r="AX435" s="113"/>
      <c r="AY435" s="113"/>
      <c r="AZ435" s="113"/>
      <c r="BA435" s="113"/>
      <c r="BB435" s="113"/>
      <c r="BC435" s="113"/>
      <c r="BD435" s="113"/>
      <c r="BE435" s="113"/>
      <c r="BF435" s="113"/>
      <c r="BG435" s="113"/>
      <c r="BH435" s="113"/>
      <c r="BI435" s="113"/>
      <c r="BJ435" s="113"/>
      <c r="BK435" s="113"/>
      <c r="BL435" s="113"/>
      <c r="BM435" s="113"/>
      <c r="BN435" s="113"/>
      <c r="BO435" s="113"/>
      <c r="BP435" s="113"/>
      <c r="BQ435" s="113"/>
      <c r="BR435" s="113"/>
      <c r="BS435" s="113"/>
      <c r="BT435" s="113"/>
      <c r="BU435" s="113"/>
      <c r="BV435" s="113"/>
      <c r="BW435" s="113"/>
      <c r="BX435" s="113"/>
      <c r="BY435" s="113"/>
      <c r="BZ435" s="113"/>
      <c r="CA435" s="113"/>
      <c r="CB435" s="113"/>
      <c r="CC435" s="113"/>
      <c r="CD435" s="113"/>
      <c r="CE435" s="113"/>
      <c r="CF435" s="113"/>
      <c r="CG435" s="113"/>
      <c r="CH435" s="113"/>
      <c r="CI435" s="113"/>
      <c r="CJ435" s="113"/>
      <c r="CK435" s="113"/>
      <c r="CL435" s="113"/>
      <c r="CM435" s="113"/>
      <c r="CN435" s="113"/>
      <c r="CO435" s="113"/>
      <c r="CP435" s="113"/>
      <c r="CQ435" s="113"/>
      <c r="CR435" s="113"/>
      <c r="CS435" s="113"/>
      <c r="CT435" s="113"/>
      <c r="CU435" s="113"/>
    </row>
    <row r="436">
      <c r="A436" s="159"/>
      <c r="B436" s="113"/>
      <c r="C436" s="113"/>
      <c r="D436" s="158"/>
      <c r="E436" s="161"/>
      <c r="F436" s="160"/>
      <c r="G436" s="162"/>
      <c r="H436" s="159"/>
      <c r="I436" s="113"/>
      <c r="J436" s="113"/>
      <c r="K436" s="113"/>
      <c r="L436" s="158"/>
      <c r="M436" s="113"/>
      <c r="N436" s="113"/>
      <c r="O436" s="113"/>
      <c r="P436" s="113"/>
      <c r="Q436" s="113"/>
      <c r="R436" s="113"/>
      <c r="S436" s="113"/>
      <c r="T436" s="113"/>
      <c r="U436" s="113"/>
      <c r="V436" s="113"/>
      <c r="W436" s="113"/>
      <c r="X436" s="113"/>
      <c r="Y436" s="113"/>
      <c r="Z436" s="113"/>
      <c r="AA436" s="113"/>
      <c r="AB436" s="113"/>
      <c r="AC436" s="113"/>
      <c r="AD436" s="113"/>
      <c r="AE436" s="113"/>
      <c r="AF436" s="113"/>
      <c r="AG436" s="113"/>
      <c r="AH436" s="113"/>
      <c r="AI436" s="113"/>
      <c r="AJ436" s="113"/>
      <c r="AK436" s="113"/>
      <c r="AL436" s="113"/>
      <c r="AM436" s="113"/>
      <c r="AN436" s="113"/>
      <c r="AO436" s="113"/>
      <c r="AP436" s="113"/>
      <c r="AQ436" s="113"/>
      <c r="AR436" s="113"/>
      <c r="AS436" s="113"/>
      <c r="AT436" s="113"/>
      <c r="AU436" s="113"/>
      <c r="AV436" s="113"/>
      <c r="AW436" s="113"/>
      <c r="AX436" s="113"/>
      <c r="AY436" s="113"/>
      <c r="AZ436" s="113"/>
      <c r="BA436" s="113"/>
      <c r="BB436" s="113"/>
      <c r="BC436" s="113"/>
      <c r="BD436" s="113"/>
      <c r="BE436" s="113"/>
      <c r="BF436" s="113"/>
      <c r="BG436" s="113"/>
      <c r="BH436" s="113"/>
      <c r="BI436" s="113"/>
      <c r="BJ436" s="113"/>
      <c r="BK436" s="113"/>
      <c r="BL436" s="113"/>
      <c r="BM436" s="113"/>
      <c r="BN436" s="113"/>
      <c r="BO436" s="113"/>
      <c r="BP436" s="113"/>
      <c r="BQ436" s="113"/>
      <c r="BR436" s="113"/>
      <c r="BS436" s="113"/>
      <c r="BT436" s="113"/>
      <c r="BU436" s="113"/>
      <c r="BV436" s="113"/>
      <c r="BW436" s="113"/>
      <c r="BX436" s="113"/>
      <c r="BY436" s="113"/>
      <c r="BZ436" s="113"/>
      <c r="CA436" s="113"/>
      <c r="CB436" s="113"/>
      <c r="CC436" s="113"/>
      <c r="CD436" s="113"/>
      <c r="CE436" s="113"/>
      <c r="CF436" s="113"/>
      <c r="CG436" s="113"/>
      <c r="CH436" s="113"/>
      <c r="CI436" s="113"/>
      <c r="CJ436" s="113"/>
      <c r="CK436" s="113"/>
      <c r="CL436" s="113"/>
      <c r="CM436" s="113"/>
      <c r="CN436" s="113"/>
      <c r="CO436" s="113"/>
      <c r="CP436" s="113"/>
      <c r="CQ436" s="113"/>
      <c r="CR436" s="113"/>
      <c r="CS436" s="113"/>
      <c r="CT436" s="113"/>
      <c r="CU436" s="113"/>
    </row>
    <row r="437">
      <c r="A437" s="159"/>
      <c r="B437" s="113"/>
      <c r="C437" s="113"/>
      <c r="D437" s="158"/>
      <c r="E437" s="161"/>
      <c r="F437" s="160"/>
      <c r="G437" s="162"/>
      <c r="H437" s="159"/>
      <c r="I437" s="113"/>
      <c r="J437" s="113"/>
      <c r="K437" s="113"/>
      <c r="L437" s="158"/>
      <c r="M437" s="113"/>
      <c r="N437" s="113"/>
      <c r="O437" s="113"/>
      <c r="P437" s="113"/>
      <c r="Q437" s="113"/>
      <c r="R437" s="113"/>
      <c r="S437" s="113"/>
      <c r="T437" s="113"/>
      <c r="U437" s="113"/>
      <c r="V437" s="113"/>
      <c r="W437" s="113"/>
      <c r="X437" s="113"/>
      <c r="Y437" s="113"/>
      <c r="Z437" s="113"/>
      <c r="AA437" s="113"/>
      <c r="AB437" s="113"/>
      <c r="AC437" s="113"/>
      <c r="AD437" s="113"/>
      <c r="AE437" s="113"/>
      <c r="AF437" s="113"/>
      <c r="AG437" s="113"/>
      <c r="AH437" s="113"/>
      <c r="AI437" s="113"/>
      <c r="AJ437" s="113"/>
      <c r="AK437" s="113"/>
      <c r="AL437" s="113"/>
      <c r="AM437" s="113"/>
      <c r="AN437" s="113"/>
      <c r="AO437" s="113"/>
      <c r="AP437" s="113"/>
      <c r="AQ437" s="113"/>
      <c r="AR437" s="113"/>
      <c r="AS437" s="113"/>
      <c r="AT437" s="113"/>
      <c r="AU437" s="113"/>
      <c r="AV437" s="113"/>
      <c r="AW437" s="113"/>
      <c r="AX437" s="113"/>
      <c r="AY437" s="113"/>
      <c r="AZ437" s="113"/>
      <c r="BA437" s="113"/>
      <c r="BB437" s="113"/>
      <c r="BC437" s="113"/>
      <c r="BD437" s="113"/>
      <c r="BE437" s="113"/>
      <c r="BF437" s="113"/>
      <c r="BG437" s="113"/>
      <c r="BH437" s="113"/>
      <c r="BI437" s="113"/>
      <c r="BJ437" s="113"/>
      <c r="BK437" s="113"/>
      <c r="BL437" s="113"/>
      <c r="BM437" s="113"/>
      <c r="BN437" s="113"/>
      <c r="BO437" s="113"/>
      <c r="BP437" s="113"/>
      <c r="BQ437" s="113"/>
      <c r="BR437" s="113"/>
      <c r="BS437" s="113"/>
      <c r="BT437" s="113"/>
      <c r="BU437" s="113"/>
      <c r="BV437" s="113"/>
      <c r="BW437" s="113"/>
      <c r="BX437" s="113"/>
      <c r="BY437" s="113"/>
      <c r="BZ437" s="113"/>
      <c r="CA437" s="113"/>
      <c r="CB437" s="113"/>
      <c r="CC437" s="113"/>
      <c r="CD437" s="113"/>
      <c r="CE437" s="113"/>
      <c r="CF437" s="113"/>
      <c r="CG437" s="113"/>
      <c r="CH437" s="113"/>
      <c r="CI437" s="113"/>
      <c r="CJ437" s="113"/>
      <c r="CK437" s="113"/>
      <c r="CL437" s="113"/>
      <c r="CM437" s="113"/>
      <c r="CN437" s="113"/>
      <c r="CO437" s="113"/>
      <c r="CP437" s="113"/>
      <c r="CQ437" s="113"/>
      <c r="CR437" s="113"/>
      <c r="CS437" s="113"/>
      <c r="CT437" s="113"/>
      <c r="CU437" s="113"/>
    </row>
    <row r="438">
      <c r="A438" s="159"/>
      <c r="B438" s="113"/>
      <c r="C438" s="113"/>
      <c r="D438" s="158"/>
      <c r="E438" s="161"/>
      <c r="F438" s="160"/>
      <c r="G438" s="162"/>
      <c r="H438" s="159"/>
      <c r="I438" s="113"/>
      <c r="J438" s="113"/>
      <c r="K438" s="113"/>
      <c r="L438" s="158"/>
      <c r="M438" s="113"/>
      <c r="N438" s="113"/>
      <c r="O438" s="113"/>
      <c r="P438" s="113"/>
      <c r="Q438" s="113"/>
      <c r="R438" s="113"/>
      <c r="S438" s="113"/>
      <c r="T438" s="113"/>
      <c r="U438" s="113"/>
      <c r="V438" s="113"/>
      <c r="W438" s="113"/>
      <c r="X438" s="113"/>
      <c r="Y438" s="113"/>
      <c r="Z438" s="113"/>
      <c r="AA438" s="113"/>
      <c r="AB438" s="113"/>
      <c r="AC438" s="113"/>
      <c r="AD438" s="113"/>
      <c r="AE438" s="113"/>
      <c r="AF438" s="113"/>
      <c r="AG438" s="113"/>
      <c r="AH438" s="113"/>
      <c r="AI438" s="113"/>
      <c r="AJ438" s="113"/>
      <c r="AK438" s="113"/>
      <c r="AL438" s="113"/>
      <c r="AM438" s="113"/>
      <c r="AN438" s="113"/>
      <c r="AO438" s="113"/>
      <c r="AP438" s="113"/>
      <c r="AQ438" s="113"/>
      <c r="AR438" s="113"/>
      <c r="AS438" s="113"/>
      <c r="AT438" s="113"/>
      <c r="AU438" s="113"/>
      <c r="AV438" s="113"/>
      <c r="AW438" s="113"/>
      <c r="AX438" s="113"/>
      <c r="AY438" s="113"/>
      <c r="AZ438" s="113"/>
      <c r="BA438" s="113"/>
      <c r="BB438" s="113"/>
      <c r="BC438" s="113"/>
      <c r="BD438" s="113"/>
      <c r="BE438" s="113"/>
      <c r="BF438" s="113"/>
      <c r="BG438" s="113"/>
      <c r="BH438" s="113"/>
      <c r="BI438" s="113"/>
      <c r="BJ438" s="113"/>
      <c r="BK438" s="113"/>
      <c r="BL438" s="113"/>
      <c r="BM438" s="113"/>
      <c r="BN438" s="113"/>
      <c r="BO438" s="113"/>
      <c r="BP438" s="113"/>
      <c r="BQ438" s="113"/>
      <c r="BR438" s="113"/>
      <c r="BS438" s="113"/>
      <c r="BT438" s="113"/>
      <c r="BU438" s="113"/>
      <c r="BV438" s="113"/>
      <c r="BW438" s="113"/>
      <c r="BX438" s="113"/>
      <c r="BY438" s="113"/>
      <c r="BZ438" s="113"/>
      <c r="CA438" s="113"/>
      <c r="CB438" s="113"/>
      <c r="CC438" s="113"/>
      <c r="CD438" s="113"/>
      <c r="CE438" s="113"/>
      <c r="CF438" s="113"/>
      <c r="CG438" s="113"/>
      <c r="CH438" s="113"/>
      <c r="CI438" s="113"/>
      <c r="CJ438" s="113"/>
      <c r="CK438" s="113"/>
      <c r="CL438" s="113"/>
      <c r="CM438" s="113"/>
      <c r="CN438" s="113"/>
      <c r="CO438" s="113"/>
      <c r="CP438" s="113"/>
      <c r="CQ438" s="113"/>
      <c r="CR438" s="113"/>
      <c r="CS438" s="113"/>
      <c r="CT438" s="113"/>
      <c r="CU438" s="113"/>
    </row>
    <row r="439">
      <c r="A439" s="159"/>
      <c r="B439" s="113"/>
      <c r="C439" s="113"/>
      <c r="D439" s="158"/>
      <c r="E439" s="161"/>
      <c r="F439" s="160"/>
      <c r="G439" s="162"/>
      <c r="H439" s="159"/>
      <c r="I439" s="113"/>
      <c r="J439" s="113"/>
      <c r="K439" s="113"/>
      <c r="L439" s="158"/>
      <c r="M439" s="113"/>
      <c r="N439" s="113"/>
      <c r="O439" s="113"/>
      <c r="P439" s="113"/>
      <c r="Q439" s="113"/>
      <c r="R439" s="113"/>
      <c r="S439" s="113"/>
      <c r="T439" s="113"/>
      <c r="U439" s="113"/>
      <c r="V439" s="113"/>
      <c r="W439" s="113"/>
      <c r="X439" s="113"/>
      <c r="Y439" s="113"/>
      <c r="Z439" s="113"/>
      <c r="AA439" s="113"/>
      <c r="AB439" s="113"/>
      <c r="AC439" s="113"/>
      <c r="AD439" s="113"/>
      <c r="AE439" s="113"/>
      <c r="AF439" s="113"/>
      <c r="AG439" s="113"/>
      <c r="AH439" s="113"/>
      <c r="AI439" s="113"/>
      <c r="AJ439" s="113"/>
      <c r="AK439" s="113"/>
      <c r="AL439" s="113"/>
      <c r="AM439" s="113"/>
      <c r="AN439" s="113"/>
      <c r="AO439" s="113"/>
      <c r="AP439" s="113"/>
      <c r="AQ439" s="113"/>
      <c r="AR439" s="113"/>
      <c r="AS439" s="113"/>
      <c r="AT439" s="113"/>
      <c r="AU439" s="113"/>
      <c r="AV439" s="113"/>
      <c r="AW439" s="113"/>
      <c r="AX439" s="113"/>
      <c r="AY439" s="113"/>
      <c r="AZ439" s="113"/>
      <c r="BA439" s="113"/>
      <c r="BB439" s="113"/>
      <c r="BC439" s="113"/>
      <c r="BD439" s="113"/>
      <c r="BE439" s="113"/>
      <c r="BF439" s="113"/>
      <c r="BG439" s="113"/>
      <c r="BH439" s="113"/>
      <c r="BI439" s="113"/>
      <c r="BJ439" s="113"/>
      <c r="BK439" s="113"/>
      <c r="BL439" s="113"/>
      <c r="BM439" s="113"/>
      <c r="BN439" s="113"/>
      <c r="BO439" s="113"/>
      <c r="BP439" s="113"/>
      <c r="BQ439" s="113"/>
      <c r="BR439" s="113"/>
      <c r="BS439" s="113"/>
      <c r="BT439" s="113"/>
      <c r="BU439" s="113"/>
      <c r="BV439" s="113"/>
      <c r="BW439" s="113"/>
      <c r="BX439" s="113"/>
      <c r="BY439" s="113"/>
      <c r="BZ439" s="113"/>
      <c r="CA439" s="113"/>
      <c r="CB439" s="113"/>
      <c r="CC439" s="113"/>
      <c r="CD439" s="113"/>
      <c r="CE439" s="113"/>
      <c r="CF439" s="113"/>
      <c r="CG439" s="113"/>
      <c r="CH439" s="113"/>
      <c r="CI439" s="113"/>
      <c r="CJ439" s="113"/>
      <c r="CK439" s="113"/>
      <c r="CL439" s="113"/>
      <c r="CM439" s="113"/>
      <c r="CN439" s="113"/>
      <c r="CO439" s="113"/>
      <c r="CP439" s="113"/>
      <c r="CQ439" s="113"/>
      <c r="CR439" s="113"/>
      <c r="CS439" s="113"/>
      <c r="CT439" s="113"/>
      <c r="CU439" s="113"/>
    </row>
    <row r="440">
      <c r="A440" s="159"/>
      <c r="B440" s="113"/>
      <c r="C440" s="113"/>
      <c r="D440" s="158"/>
      <c r="E440" s="161"/>
      <c r="F440" s="160"/>
      <c r="G440" s="162"/>
      <c r="H440" s="159"/>
      <c r="I440" s="113"/>
      <c r="J440" s="113"/>
      <c r="K440" s="113"/>
      <c r="L440" s="158"/>
      <c r="M440" s="113"/>
      <c r="N440" s="113"/>
      <c r="O440" s="113"/>
      <c r="P440" s="113"/>
      <c r="Q440" s="113"/>
      <c r="R440" s="113"/>
      <c r="S440" s="113"/>
      <c r="T440" s="113"/>
      <c r="U440" s="113"/>
      <c r="V440" s="113"/>
      <c r="W440" s="113"/>
      <c r="X440" s="113"/>
      <c r="Y440" s="113"/>
      <c r="Z440" s="113"/>
      <c r="AA440" s="113"/>
      <c r="AB440" s="113"/>
      <c r="AC440" s="113"/>
      <c r="AD440" s="113"/>
      <c r="AE440" s="113"/>
      <c r="AF440" s="113"/>
      <c r="AG440" s="113"/>
      <c r="AH440" s="113"/>
      <c r="AI440" s="113"/>
      <c r="AJ440" s="113"/>
      <c r="AK440" s="113"/>
      <c r="AL440" s="113"/>
      <c r="AM440" s="113"/>
      <c r="AN440" s="113"/>
      <c r="AO440" s="113"/>
      <c r="AP440" s="113"/>
      <c r="AQ440" s="113"/>
      <c r="AR440" s="113"/>
      <c r="AS440" s="113"/>
      <c r="AT440" s="113"/>
      <c r="AU440" s="113"/>
      <c r="AV440" s="113"/>
      <c r="AW440" s="113"/>
      <c r="AX440" s="113"/>
      <c r="AY440" s="113"/>
      <c r="AZ440" s="113"/>
      <c r="BA440" s="113"/>
      <c r="BB440" s="113"/>
      <c r="BC440" s="113"/>
      <c r="BD440" s="113"/>
      <c r="BE440" s="113"/>
      <c r="BF440" s="113"/>
      <c r="BG440" s="113"/>
      <c r="BH440" s="113"/>
      <c r="BI440" s="113"/>
      <c r="BJ440" s="113"/>
      <c r="BK440" s="113"/>
      <c r="BL440" s="113"/>
      <c r="BM440" s="113"/>
      <c r="BN440" s="113"/>
      <c r="BO440" s="113"/>
      <c r="BP440" s="113"/>
      <c r="BQ440" s="113"/>
      <c r="BR440" s="113"/>
      <c r="BS440" s="113"/>
      <c r="BT440" s="113"/>
      <c r="BU440" s="113"/>
      <c r="BV440" s="113"/>
      <c r="BW440" s="113"/>
      <c r="BX440" s="113"/>
      <c r="BY440" s="113"/>
      <c r="BZ440" s="113"/>
      <c r="CA440" s="113"/>
      <c r="CB440" s="113"/>
      <c r="CC440" s="113"/>
      <c r="CD440" s="113"/>
      <c r="CE440" s="113"/>
      <c r="CF440" s="113"/>
      <c r="CG440" s="113"/>
      <c r="CH440" s="113"/>
      <c r="CI440" s="113"/>
      <c r="CJ440" s="113"/>
      <c r="CK440" s="113"/>
      <c r="CL440" s="113"/>
      <c r="CM440" s="113"/>
      <c r="CN440" s="113"/>
      <c r="CO440" s="113"/>
      <c r="CP440" s="113"/>
      <c r="CQ440" s="113"/>
      <c r="CR440" s="113"/>
      <c r="CS440" s="113"/>
      <c r="CT440" s="113"/>
      <c r="CU440" s="113"/>
    </row>
    <row r="441">
      <c r="A441" s="159"/>
      <c r="B441" s="113"/>
      <c r="C441" s="113"/>
      <c r="D441" s="158"/>
      <c r="E441" s="161"/>
      <c r="F441" s="160"/>
      <c r="G441" s="162"/>
      <c r="H441" s="159"/>
      <c r="I441" s="113"/>
      <c r="J441" s="113"/>
      <c r="K441" s="113"/>
      <c r="L441" s="158"/>
      <c r="M441" s="113"/>
      <c r="N441" s="113"/>
      <c r="O441" s="113"/>
      <c r="P441" s="113"/>
      <c r="Q441" s="113"/>
      <c r="R441" s="113"/>
      <c r="S441" s="113"/>
      <c r="T441" s="113"/>
      <c r="U441" s="113"/>
      <c r="V441" s="113"/>
      <c r="W441" s="113"/>
      <c r="X441" s="113"/>
      <c r="Y441" s="113"/>
      <c r="Z441" s="113"/>
      <c r="AA441" s="113"/>
      <c r="AB441" s="113"/>
      <c r="AC441" s="113"/>
      <c r="AD441" s="113"/>
      <c r="AE441" s="113"/>
      <c r="AF441" s="113"/>
      <c r="AG441" s="113"/>
      <c r="AH441" s="113"/>
      <c r="AI441" s="113"/>
      <c r="AJ441" s="113"/>
      <c r="AK441" s="113"/>
      <c r="AL441" s="113"/>
      <c r="AM441" s="113"/>
      <c r="AN441" s="113"/>
      <c r="AO441" s="113"/>
      <c r="AP441" s="113"/>
      <c r="AQ441" s="113"/>
      <c r="AR441" s="113"/>
      <c r="AS441" s="113"/>
      <c r="AT441" s="113"/>
      <c r="AU441" s="113"/>
      <c r="AV441" s="113"/>
      <c r="AW441" s="113"/>
      <c r="AX441" s="113"/>
      <c r="AY441" s="113"/>
      <c r="AZ441" s="113"/>
      <c r="BA441" s="113"/>
      <c r="BB441" s="113"/>
      <c r="BC441" s="113"/>
      <c r="BD441" s="113"/>
      <c r="BE441" s="113"/>
      <c r="BF441" s="113"/>
      <c r="BG441" s="113"/>
      <c r="BH441" s="113"/>
      <c r="BI441" s="113"/>
      <c r="BJ441" s="113"/>
      <c r="BK441" s="113"/>
      <c r="BL441" s="113"/>
      <c r="BM441" s="113"/>
      <c r="BN441" s="113"/>
      <c r="BO441" s="113"/>
      <c r="BP441" s="113"/>
      <c r="BQ441" s="113"/>
      <c r="BR441" s="113"/>
      <c r="BS441" s="113"/>
      <c r="BT441" s="113"/>
      <c r="BU441" s="113"/>
      <c r="BV441" s="113"/>
      <c r="BW441" s="113"/>
      <c r="BX441" s="113"/>
      <c r="BY441" s="113"/>
      <c r="BZ441" s="113"/>
      <c r="CA441" s="113"/>
      <c r="CB441" s="113"/>
      <c r="CC441" s="113"/>
      <c r="CD441" s="113"/>
      <c r="CE441" s="113"/>
      <c r="CF441" s="113"/>
      <c r="CG441" s="113"/>
      <c r="CH441" s="113"/>
      <c r="CI441" s="113"/>
      <c r="CJ441" s="113"/>
      <c r="CK441" s="113"/>
      <c r="CL441" s="113"/>
      <c r="CM441" s="113"/>
      <c r="CN441" s="113"/>
      <c r="CO441" s="113"/>
      <c r="CP441" s="113"/>
      <c r="CQ441" s="113"/>
      <c r="CR441" s="113"/>
      <c r="CS441" s="113"/>
      <c r="CT441" s="113"/>
      <c r="CU441" s="113"/>
    </row>
    <row r="442">
      <c r="A442" s="159"/>
      <c r="B442" s="113"/>
      <c r="C442" s="113"/>
      <c r="D442" s="158"/>
      <c r="E442" s="161"/>
      <c r="F442" s="160"/>
      <c r="G442" s="162"/>
      <c r="H442" s="159"/>
      <c r="I442" s="113"/>
      <c r="J442" s="113"/>
      <c r="K442" s="113"/>
      <c r="L442" s="158"/>
      <c r="M442" s="113"/>
      <c r="N442" s="113"/>
      <c r="O442" s="113"/>
      <c r="P442" s="113"/>
      <c r="Q442" s="113"/>
      <c r="R442" s="113"/>
      <c r="S442" s="113"/>
      <c r="T442" s="113"/>
      <c r="U442" s="113"/>
      <c r="V442" s="113"/>
      <c r="W442" s="113"/>
      <c r="X442" s="113"/>
      <c r="Y442" s="113"/>
      <c r="Z442" s="113"/>
      <c r="AA442" s="113"/>
      <c r="AB442" s="113"/>
      <c r="AC442" s="113"/>
      <c r="AD442" s="113"/>
      <c r="AE442" s="113"/>
      <c r="AF442" s="113"/>
      <c r="AG442" s="113"/>
      <c r="AH442" s="113"/>
      <c r="AI442" s="113"/>
      <c r="AJ442" s="113"/>
      <c r="AK442" s="113"/>
      <c r="AL442" s="113"/>
      <c r="AM442" s="113"/>
      <c r="AN442" s="113"/>
      <c r="AO442" s="113"/>
      <c r="AP442" s="113"/>
      <c r="AQ442" s="113"/>
      <c r="AR442" s="113"/>
      <c r="AS442" s="113"/>
      <c r="AT442" s="113"/>
      <c r="AU442" s="113"/>
      <c r="AV442" s="113"/>
      <c r="AW442" s="113"/>
      <c r="AX442" s="113"/>
      <c r="AY442" s="113"/>
      <c r="AZ442" s="113"/>
      <c r="BA442" s="113"/>
      <c r="BB442" s="113"/>
      <c r="BC442" s="113"/>
      <c r="BD442" s="113"/>
      <c r="BE442" s="113"/>
      <c r="BF442" s="113"/>
      <c r="BG442" s="113"/>
      <c r="BH442" s="113"/>
      <c r="BI442" s="113"/>
      <c r="BJ442" s="113"/>
      <c r="BK442" s="113"/>
      <c r="BL442" s="113"/>
      <c r="BM442" s="113"/>
      <c r="BN442" s="113"/>
      <c r="BO442" s="113"/>
      <c r="BP442" s="113"/>
      <c r="BQ442" s="113"/>
      <c r="BR442" s="113"/>
      <c r="BS442" s="113"/>
      <c r="BT442" s="113"/>
      <c r="BU442" s="113"/>
      <c r="BV442" s="113"/>
      <c r="BW442" s="113"/>
      <c r="BX442" s="113"/>
      <c r="BY442" s="113"/>
      <c r="BZ442" s="113"/>
      <c r="CA442" s="113"/>
      <c r="CB442" s="113"/>
      <c r="CC442" s="113"/>
      <c r="CD442" s="113"/>
      <c r="CE442" s="113"/>
      <c r="CF442" s="113"/>
      <c r="CG442" s="113"/>
      <c r="CH442" s="113"/>
      <c r="CI442" s="113"/>
      <c r="CJ442" s="113"/>
      <c r="CK442" s="113"/>
      <c r="CL442" s="113"/>
      <c r="CM442" s="113"/>
      <c r="CN442" s="113"/>
      <c r="CO442" s="113"/>
      <c r="CP442" s="113"/>
      <c r="CQ442" s="113"/>
      <c r="CR442" s="113"/>
      <c r="CS442" s="113"/>
      <c r="CT442" s="113"/>
      <c r="CU442" s="113"/>
    </row>
    <row r="443">
      <c r="A443" s="159"/>
      <c r="B443" s="113"/>
      <c r="C443" s="113"/>
      <c r="D443" s="158"/>
      <c r="E443" s="161"/>
      <c r="F443" s="160"/>
      <c r="G443" s="162"/>
      <c r="H443" s="159"/>
      <c r="I443" s="113"/>
      <c r="J443" s="113"/>
      <c r="K443" s="113"/>
      <c r="L443" s="158"/>
      <c r="M443" s="113"/>
      <c r="N443" s="113"/>
      <c r="O443" s="113"/>
      <c r="P443" s="113"/>
      <c r="Q443" s="113"/>
      <c r="R443" s="113"/>
      <c r="S443" s="113"/>
      <c r="T443" s="113"/>
      <c r="U443" s="113"/>
      <c r="V443" s="113"/>
      <c r="W443" s="113"/>
      <c r="X443" s="113"/>
      <c r="Y443" s="113"/>
      <c r="Z443" s="113"/>
      <c r="AA443" s="113"/>
      <c r="AB443" s="113"/>
      <c r="AC443" s="113"/>
      <c r="AD443" s="113"/>
      <c r="AE443" s="113"/>
      <c r="AF443" s="113"/>
      <c r="AG443" s="113"/>
      <c r="AH443" s="113"/>
      <c r="AI443" s="113"/>
      <c r="AJ443" s="113"/>
      <c r="AK443" s="113"/>
      <c r="AL443" s="113"/>
      <c r="AM443" s="113"/>
      <c r="AN443" s="113"/>
      <c r="AO443" s="113"/>
      <c r="AP443" s="113"/>
      <c r="AQ443" s="113"/>
      <c r="AR443" s="113"/>
      <c r="AS443" s="113"/>
      <c r="AT443" s="113"/>
      <c r="AU443" s="113"/>
      <c r="AV443" s="113"/>
      <c r="AW443" s="113"/>
      <c r="AX443" s="113"/>
      <c r="AY443" s="113"/>
      <c r="AZ443" s="113"/>
      <c r="BA443" s="113"/>
      <c r="BB443" s="113"/>
      <c r="BC443" s="113"/>
      <c r="BD443" s="113"/>
      <c r="BE443" s="113"/>
      <c r="BF443" s="113"/>
      <c r="BG443" s="113"/>
      <c r="BH443" s="113"/>
      <c r="BI443" s="113"/>
      <c r="BJ443" s="113"/>
      <c r="BK443" s="113"/>
      <c r="BL443" s="113"/>
      <c r="BM443" s="113"/>
      <c r="BN443" s="113"/>
      <c r="BO443" s="113"/>
      <c r="BP443" s="113"/>
      <c r="BQ443" s="113"/>
      <c r="BR443" s="113"/>
      <c r="BS443" s="113"/>
      <c r="BT443" s="113"/>
      <c r="BU443" s="113"/>
      <c r="BV443" s="113"/>
      <c r="BW443" s="113"/>
      <c r="BX443" s="113"/>
      <c r="BY443" s="113"/>
      <c r="BZ443" s="113"/>
      <c r="CA443" s="113"/>
      <c r="CB443" s="113"/>
      <c r="CC443" s="113"/>
      <c r="CD443" s="113"/>
      <c r="CE443" s="113"/>
      <c r="CF443" s="113"/>
      <c r="CG443" s="113"/>
      <c r="CH443" s="113"/>
      <c r="CI443" s="113"/>
      <c r="CJ443" s="113"/>
      <c r="CK443" s="113"/>
      <c r="CL443" s="113"/>
      <c r="CM443" s="113"/>
      <c r="CN443" s="113"/>
      <c r="CO443" s="113"/>
      <c r="CP443" s="113"/>
      <c r="CQ443" s="113"/>
      <c r="CR443" s="113"/>
      <c r="CS443" s="113"/>
      <c r="CT443" s="113"/>
      <c r="CU443" s="113"/>
    </row>
    <row r="444">
      <c r="A444" s="159"/>
      <c r="B444" s="113"/>
      <c r="C444" s="113"/>
      <c r="D444" s="158"/>
      <c r="E444" s="161"/>
      <c r="F444" s="160"/>
      <c r="G444" s="162"/>
      <c r="H444" s="159"/>
      <c r="I444" s="113"/>
      <c r="J444" s="113"/>
      <c r="K444" s="113"/>
      <c r="L444" s="158"/>
      <c r="M444" s="113"/>
      <c r="N444" s="113"/>
      <c r="O444" s="113"/>
      <c r="P444" s="113"/>
      <c r="Q444" s="113"/>
      <c r="R444" s="113"/>
      <c r="S444" s="113"/>
      <c r="T444" s="113"/>
      <c r="U444" s="113"/>
      <c r="V444" s="113"/>
      <c r="W444" s="113"/>
      <c r="X444" s="113"/>
      <c r="Y444" s="113"/>
      <c r="Z444" s="113"/>
      <c r="AA444" s="113"/>
      <c r="AB444" s="113"/>
      <c r="AC444" s="113"/>
      <c r="AD444" s="113"/>
      <c r="AE444" s="113"/>
      <c r="AF444" s="113"/>
      <c r="AG444" s="113"/>
      <c r="AH444" s="113"/>
      <c r="AI444" s="113"/>
      <c r="AJ444" s="113"/>
      <c r="AK444" s="113"/>
      <c r="AL444" s="113"/>
      <c r="AM444" s="113"/>
      <c r="AN444" s="113"/>
      <c r="AO444" s="113"/>
      <c r="AP444" s="113"/>
      <c r="AQ444" s="113"/>
      <c r="AR444" s="113"/>
      <c r="AS444" s="113"/>
      <c r="AT444" s="113"/>
      <c r="AU444" s="113"/>
      <c r="AV444" s="113"/>
      <c r="AW444" s="113"/>
      <c r="AX444" s="113"/>
      <c r="AY444" s="113"/>
      <c r="AZ444" s="113"/>
      <c r="BA444" s="113"/>
      <c r="BB444" s="113"/>
      <c r="BC444" s="113"/>
      <c r="BD444" s="113"/>
      <c r="BE444" s="113"/>
      <c r="BF444" s="113"/>
      <c r="BG444" s="113"/>
      <c r="BH444" s="113"/>
      <c r="BI444" s="113"/>
      <c r="BJ444" s="113"/>
      <c r="BK444" s="113"/>
      <c r="BL444" s="113"/>
      <c r="BM444" s="113"/>
      <c r="BN444" s="113"/>
      <c r="BO444" s="113"/>
      <c r="BP444" s="113"/>
      <c r="BQ444" s="113"/>
      <c r="BR444" s="113"/>
      <c r="BS444" s="113"/>
      <c r="BT444" s="113"/>
      <c r="BU444" s="113"/>
      <c r="BV444" s="113"/>
      <c r="BW444" s="113"/>
      <c r="BX444" s="113"/>
      <c r="BY444" s="113"/>
      <c r="BZ444" s="113"/>
      <c r="CA444" s="113"/>
      <c r="CB444" s="113"/>
      <c r="CC444" s="113"/>
      <c r="CD444" s="113"/>
      <c r="CE444" s="113"/>
      <c r="CF444" s="113"/>
      <c r="CG444" s="113"/>
      <c r="CH444" s="113"/>
      <c r="CI444" s="113"/>
      <c r="CJ444" s="113"/>
      <c r="CK444" s="113"/>
      <c r="CL444" s="113"/>
      <c r="CM444" s="113"/>
      <c r="CN444" s="113"/>
      <c r="CO444" s="113"/>
      <c r="CP444" s="113"/>
      <c r="CQ444" s="113"/>
      <c r="CR444" s="113"/>
      <c r="CS444" s="113"/>
      <c r="CT444" s="113"/>
      <c r="CU444" s="113"/>
    </row>
    <row r="445">
      <c r="A445" s="159"/>
      <c r="B445" s="113"/>
      <c r="C445" s="113"/>
      <c r="D445" s="158"/>
      <c r="E445" s="161"/>
      <c r="F445" s="160"/>
      <c r="G445" s="162"/>
      <c r="H445" s="159"/>
      <c r="I445" s="113"/>
      <c r="J445" s="113"/>
      <c r="K445" s="113"/>
      <c r="L445" s="158"/>
      <c r="M445" s="113"/>
      <c r="N445" s="113"/>
      <c r="O445" s="113"/>
      <c r="P445" s="113"/>
      <c r="Q445" s="113"/>
      <c r="R445" s="113"/>
      <c r="S445" s="113"/>
      <c r="T445" s="113"/>
      <c r="U445" s="113"/>
      <c r="V445" s="113"/>
      <c r="W445" s="113"/>
      <c r="X445" s="113"/>
      <c r="Y445" s="113"/>
      <c r="Z445" s="113"/>
      <c r="AA445" s="113"/>
      <c r="AB445" s="113"/>
      <c r="AC445" s="113"/>
      <c r="AD445" s="113"/>
      <c r="AE445" s="113"/>
      <c r="AF445" s="113"/>
      <c r="AG445" s="113"/>
      <c r="AH445" s="113"/>
      <c r="AI445" s="113"/>
      <c r="AJ445" s="113"/>
      <c r="AK445" s="113"/>
      <c r="AL445" s="113"/>
      <c r="AM445" s="113"/>
      <c r="AN445" s="113"/>
      <c r="AO445" s="113"/>
      <c r="AP445" s="113"/>
      <c r="AQ445" s="113"/>
      <c r="AR445" s="113"/>
      <c r="AS445" s="113"/>
      <c r="AT445" s="113"/>
      <c r="AU445" s="113"/>
      <c r="AV445" s="113"/>
      <c r="AW445" s="113"/>
      <c r="AX445" s="113"/>
      <c r="AY445" s="113"/>
      <c r="AZ445" s="113"/>
      <c r="BA445" s="113"/>
      <c r="BB445" s="113"/>
      <c r="BC445" s="113"/>
      <c r="BD445" s="113"/>
      <c r="BE445" s="113"/>
      <c r="BF445" s="113"/>
      <c r="BG445" s="113"/>
      <c r="BH445" s="113"/>
      <c r="BI445" s="113"/>
      <c r="BJ445" s="113"/>
      <c r="BK445" s="113"/>
      <c r="BL445" s="113"/>
      <c r="BM445" s="113"/>
      <c r="BN445" s="113"/>
      <c r="BO445" s="113"/>
      <c r="BP445" s="113"/>
      <c r="BQ445" s="113"/>
      <c r="BR445" s="113"/>
      <c r="BS445" s="113"/>
      <c r="BT445" s="113"/>
      <c r="BU445" s="113"/>
      <c r="BV445" s="113"/>
      <c r="BW445" s="113"/>
      <c r="BX445" s="113"/>
      <c r="BY445" s="113"/>
      <c r="BZ445" s="113"/>
      <c r="CA445" s="113"/>
      <c r="CB445" s="113"/>
      <c r="CC445" s="113"/>
      <c r="CD445" s="113"/>
      <c r="CE445" s="113"/>
      <c r="CF445" s="113"/>
      <c r="CG445" s="113"/>
      <c r="CH445" s="113"/>
      <c r="CI445" s="113"/>
      <c r="CJ445" s="113"/>
      <c r="CK445" s="113"/>
      <c r="CL445" s="113"/>
      <c r="CM445" s="113"/>
      <c r="CN445" s="113"/>
      <c r="CO445" s="113"/>
      <c r="CP445" s="113"/>
      <c r="CQ445" s="113"/>
      <c r="CR445" s="113"/>
      <c r="CS445" s="113"/>
      <c r="CT445" s="113"/>
      <c r="CU445" s="113"/>
    </row>
    <row r="446">
      <c r="A446" s="159"/>
      <c r="B446" s="113"/>
      <c r="C446" s="113"/>
      <c r="D446" s="158"/>
      <c r="E446" s="161"/>
      <c r="F446" s="160"/>
      <c r="G446" s="162"/>
      <c r="H446" s="159"/>
      <c r="I446" s="113"/>
      <c r="J446" s="113"/>
      <c r="K446" s="113"/>
      <c r="L446" s="158"/>
      <c r="M446" s="113"/>
      <c r="N446" s="113"/>
      <c r="O446" s="113"/>
      <c r="P446" s="113"/>
      <c r="Q446" s="113"/>
      <c r="R446" s="113"/>
      <c r="S446" s="113"/>
      <c r="T446" s="113"/>
      <c r="U446" s="113"/>
      <c r="V446" s="113"/>
      <c r="W446" s="113"/>
      <c r="X446" s="113"/>
      <c r="Y446" s="113"/>
      <c r="Z446" s="113"/>
      <c r="AA446" s="113"/>
      <c r="AB446" s="113"/>
      <c r="AC446" s="113"/>
      <c r="AD446" s="113"/>
      <c r="AE446" s="113"/>
      <c r="AF446" s="113"/>
      <c r="AG446" s="113"/>
      <c r="AH446" s="113"/>
      <c r="AI446" s="113"/>
      <c r="AJ446" s="113"/>
      <c r="AK446" s="113"/>
      <c r="AL446" s="113"/>
      <c r="AM446" s="113"/>
      <c r="AN446" s="113"/>
      <c r="AO446" s="113"/>
      <c r="AP446" s="113"/>
      <c r="AQ446" s="113"/>
      <c r="AR446" s="113"/>
      <c r="AS446" s="113"/>
      <c r="AT446" s="113"/>
      <c r="AU446" s="113"/>
      <c r="AV446" s="113"/>
      <c r="AW446" s="113"/>
      <c r="AX446" s="113"/>
      <c r="AY446" s="113"/>
      <c r="AZ446" s="113"/>
      <c r="BA446" s="113"/>
      <c r="BB446" s="113"/>
      <c r="BC446" s="113"/>
      <c r="BD446" s="113"/>
      <c r="BE446" s="113"/>
      <c r="BF446" s="113"/>
      <c r="BG446" s="113"/>
      <c r="BH446" s="113"/>
      <c r="BI446" s="113"/>
      <c r="BJ446" s="113"/>
      <c r="BK446" s="113"/>
      <c r="BL446" s="113"/>
      <c r="BM446" s="113"/>
      <c r="BN446" s="113"/>
      <c r="BO446" s="113"/>
      <c r="BP446" s="113"/>
      <c r="BQ446" s="113"/>
      <c r="BR446" s="113"/>
      <c r="BS446" s="113"/>
      <c r="BT446" s="113"/>
      <c r="BU446" s="113"/>
      <c r="BV446" s="113"/>
      <c r="BW446" s="113"/>
      <c r="BX446" s="113"/>
      <c r="BY446" s="113"/>
      <c r="BZ446" s="113"/>
      <c r="CA446" s="113"/>
      <c r="CB446" s="113"/>
      <c r="CC446" s="113"/>
      <c r="CD446" s="113"/>
      <c r="CE446" s="113"/>
      <c r="CF446" s="113"/>
      <c r="CG446" s="113"/>
      <c r="CH446" s="113"/>
      <c r="CI446" s="113"/>
      <c r="CJ446" s="113"/>
      <c r="CK446" s="113"/>
      <c r="CL446" s="113"/>
      <c r="CM446" s="113"/>
      <c r="CN446" s="113"/>
      <c r="CO446" s="113"/>
      <c r="CP446" s="113"/>
      <c r="CQ446" s="113"/>
      <c r="CR446" s="113"/>
      <c r="CS446" s="113"/>
      <c r="CT446" s="113"/>
      <c r="CU446" s="113"/>
    </row>
    <row r="447">
      <c r="A447" s="159"/>
      <c r="B447" s="113"/>
      <c r="C447" s="113"/>
      <c r="D447" s="158"/>
      <c r="E447" s="161"/>
      <c r="F447" s="160"/>
      <c r="G447" s="162"/>
      <c r="H447" s="159"/>
      <c r="I447" s="113"/>
      <c r="J447" s="113"/>
      <c r="K447" s="113"/>
      <c r="L447" s="158"/>
      <c r="M447" s="113"/>
      <c r="N447" s="113"/>
      <c r="O447" s="113"/>
      <c r="P447" s="113"/>
      <c r="Q447" s="113"/>
      <c r="R447" s="113"/>
      <c r="S447" s="113"/>
      <c r="T447" s="113"/>
      <c r="U447" s="113"/>
      <c r="V447" s="113"/>
      <c r="W447" s="113"/>
      <c r="X447" s="113"/>
      <c r="Y447" s="113"/>
      <c r="Z447" s="113"/>
      <c r="AA447" s="113"/>
      <c r="AB447" s="113"/>
      <c r="AC447" s="113"/>
      <c r="AD447" s="113"/>
      <c r="AE447" s="113"/>
      <c r="AF447" s="113"/>
      <c r="AG447" s="113"/>
      <c r="AH447" s="113"/>
      <c r="AI447" s="113"/>
      <c r="AJ447" s="113"/>
      <c r="AK447" s="113"/>
      <c r="AL447" s="113"/>
      <c r="AM447" s="113"/>
      <c r="AN447" s="113"/>
      <c r="AO447" s="113"/>
      <c r="AP447" s="113"/>
      <c r="AQ447" s="113"/>
      <c r="AR447" s="113"/>
      <c r="AS447" s="113"/>
      <c r="AT447" s="113"/>
      <c r="AU447" s="113"/>
      <c r="AV447" s="113"/>
      <c r="AW447" s="113"/>
      <c r="AX447" s="113"/>
      <c r="AY447" s="113"/>
      <c r="AZ447" s="113"/>
      <c r="BA447" s="113"/>
      <c r="BB447" s="113"/>
      <c r="BC447" s="113"/>
      <c r="BD447" s="113"/>
      <c r="BE447" s="113"/>
      <c r="BF447" s="113"/>
      <c r="BG447" s="113"/>
      <c r="BH447" s="113"/>
      <c r="BI447" s="113"/>
      <c r="BJ447" s="113"/>
      <c r="BK447" s="113"/>
      <c r="BL447" s="113"/>
      <c r="BM447" s="113"/>
      <c r="BN447" s="113"/>
      <c r="BO447" s="113"/>
      <c r="BP447" s="113"/>
      <c r="BQ447" s="113"/>
      <c r="BR447" s="113"/>
      <c r="BS447" s="113"/>
      <c r="BT447" s="113"/>
      <c r="BU447" s="113"/>
      <c r="BV447" s="113"/>
      <c r="BW447" s="113"/>
      <c r="BX447" s="113"/>
      <c r="BY447" s="113"/>
      <c r="BZ447" s="113"/>
      <c r="CA447" s="113"/>
      <c r="CB447" s="113"/>
      <c r="CC447" s="113"/>
      <c r="CD447" s="113"/>
      <c r="CE447" s="113"/>
      <c r="CF447" s="113"/>
      <c r="CG447" s="113"/>
      <c r="CH447" s="113"/>
      <c r="CI447" s="113"/>
      <c r="CJ447" s="113"/>
      <c r="CK447" s="113"/>
      <c r="CL447" s="113"/>
      <c r="CM447" s="113"/>
      <c r="CN447" s="113"/>
      <c r="CO447" s="113"/>
      <c r="CP447" s="113"/>
      <c r="CQ447" s="113"/>
      <c r="CR447" s="113"/>
      <c r="CS447" s="113"/>
      <c r="CT447" s="113"/>
      <c r="CU447" s="113"/>
    </row>
    <row r="448">
      <c r="A448" s="159"/>
      <c r="B448" s="113"/>
      <c r="C448" s="113"/>
      <c r="D448" s="158"/>
      <c r="E448" s="161"/>
      <c r="F448" s="160"/>
      <c r="G448" s="162"/>
      <c r="H448" s="159"/>
      <c r="I448" s="113"/>
      <c r="J448" s="113"/>
      <c r="K448" s="113"/>
      <c r="L448" s="158"/>
      <c r="M448" s="113"/>
      <c r="N448" s="113"/>
      <c r="O448" s="113"/>
      <c r="P448" s="113"/>
      <c r="Q448" s="113"/>
      <c r="R448" s="113"/>
      <c r="S448" s="113"/>
      <c r="T448" s="113"/>
      <c r="U448" s="113"/>
      <c r="V448" s="113"/>
      <c r="W448" s="113"/>
      <c r="X448" s="113"/>
      <c r="Y448" s="113"/>
      <c r="Z448" s="113"/>
      <c r="AA448" s="113"/>
      <c r="AB448" s="113"/>
      <c r="AC448" s="113"/>
      <c r="AD448" s="113"/>
      <c r="AE448" s="113"/>
      <c r="AF448" s="113"/>
      <c r="AG448" s="113"/>
      <c r="AH448" s="113"/>
      <c r="AI448" s="113"/>
      <c r="AJ448" s="113"/>
      <c r="AK448" s="113"/>
      <c r="AL448" s="113"/>
      <c r="AM448" s="113"/>
      <c r="AN448" s="113"/>
      <c r="AO448" s="113"/>
      <c r="AP448" s="113"/>
      <c r="AQ448" s="113"/>
      <c r="AR448" s="113"/>
      <c r="AS448" s="113"/>
      <c r="AT448" s="113"/>
      <c r="AU448" s="113"/>
      <c r="AV448" s="113"/>
      <c r="AW448" s="113"/>
      <c r="AX448" s="113"/>
      <c r="AY448" s="113"/>
      <c r="AZ448" s="113"/>
      <c r="BA448" s="113"/>
      <c r="BB448" s="113"/>
      <c r="BC448" s="113"/>
      <c r="BD448" s="113"/>
      <c r="BE448" s="113"/>
      <c r="BF448" s="113"/>
      <c r="BG448" s="113"/>
      <c r="BH448" s="113"/>
      <c r="BI448" s="113"/>
      <c r="BJ448" s="113"/>
      <c r="BK448" s="113"/>
      <c r="BL448" s="113"/>
      <c r="BM448" s="113"/>
      <c r="BN448" s="113"/>
      <c r="BO448" s="113"/>
      <c r="BP448" s="113"/>
      <c r="BQ448" s="113"/>
      <c r="BR448" s="113"/>
      <c r="BS448" s="113"/>
      <c r="BT448" s="113"/>
      <c r="BU448" s="113"/>
      <c r="BV448" s="113"/>
      <c r="BW448" s="113"/>
      <c r="BX448" s="113"/>
      <c r="BY448" s="113"/>
      <c r="BZ448" s="113"/>
      <c r="CA448" s="113"/>
      <c r="CB448" s="113"/>
      <c r="CC448" s="113"/>
      <c r="CD448" s="113"/>
      <c r="CE448" s="113"/>
      <c r="CF448" s="113"/>
      <c r="CG448" s="113"/>
      <c r="CH448" s="113"/>
      <c r="CI448" s="113"/>
      <c r="CJ448" s="113"/>
      <c r="CK448" s="113"/>
      <c r="CL448" s="113"/>
      <c r="CM448" s="113"/>
      <c r="CN448" s="113"/>
      <c r="CO448" s="113"/>
      <c r="CP448" s="113"/>
      <c r="CQ448" s="113"/>
      <c r="CR448" s="113"/>
      <c r="CS448" s="113"/>
      <c r="CT448" s="113"/>
      <c r="CU448" s="113"/>
    </row>
    <row r="449">
      <c r="A449" s="159"/>
      <c r="B449" s="113"/>
      <c r="C449" s="113"/>
      <c r="D449" s="158"/>
      <c r="E449" s="161"/>
      <c r="F449" s="160"/>
      <c r="G449" s="162"/>
      <c r="H449" s="159"/>
      <c r="I449" s="113"/>
      <c r="J449" s="113"/>
      <c r="K449" s="113"/>
      <c r="L449" s="158"/>
      <c r="M449" s="113"/>
      <c r="N449" s="113"/>
      <c r="O449" s="113"/>
      <c r="P449" s="113"/>
      <c r="Q449" s="113"/>
      <c r="R449" s="113"/>
      <c r="S449" s="113"/>
      <c r="T449" s="113"/>
      <c r="U449" s="113"/>
      <c r="V449" s="113"/>
      <c r="W449" s="113"/>
      <c r="X449" s="113"/>
      <c r="Y449" s="113"/>
      <c r="Z449" s="113"/>
      <c r="AA449" s="113"/>
      <c r="AB449" s="113"/>
      <c r="AC449" s="113"/>
      <c r="AD449" s="113"/>
      <c r="AE449" s="113"/>
      <c r="AF449" s="113"/>
      <c r="AG449" s="113"/>
      <c r="AH449" s="113"/>
      <c r="AI449" s="113"/>
      <c r="AJ449" s="113"/>
      <c r="AK449" s="113"/>
      <c r="AL449" s="113"/>
      <c r="AM449" s="113"/>
      <c r="AN449" s="113"/>
      <c r="AO449" s="113"/>
      <c r="AP449" s="113"/>
      <c r="AQ449" s="113"/>
      <c r="AR449" s="113"/>
      <c r="AS449" s="113"/>
      <c r="AT449" s="113"/>
      <c r="AU449" s="113"/>
      <c r="AV449" s="113"/>
      <c r="AW449" s="113"/>
      <c r="AX449" s="113"/>
      <c r="AY449" s="113"/>
      <c r="AZ449" s="113"/>
      <c r="BA449" s="113"/>
      <c r="BB449" s="113"/>
      <c r="BC449" s="113"/>
      <c r="BD449" s="113"/>
      <c r="BE449" s="113"/>
      <c r="BF449" s="113"/>
      <c r="BG449" s="113"/>
      <c r="BH449" s="113"/>
      <c r="BI449" s="113"/>
      <c r="BJ449" s="113"/>
      <c r="BK449" s="113"/>
      <c r="BL449" s="113"/>
      <c r="BM449" s="113"/>
      <c r="BN449" s="113"/>
      <c r="BO449" s="113"/>
      <c r="BP449" s="113"/>
      <c r="BQ449" s="113"/>
      <c r="BR449" s="113"/>
      <c r="BS449" s="113"/>
      <c r="BT449" s="113"/>
      <c r="BU449" s="113"/>
      <c r="BV449" s="113"/>
      <c r="BW449" s="113"/>
      <c r="BX449" s="113"/>
      <c r="BY449" s="113"/>
      <c r="BZ449" s="113"/>
      <c r="CA449" s="113"/>
      <c r="CB449" s="113"/>
      <c r="CC449" s="113"/>
      <c r="CD449" s="113"/>
      <c r="CE449" s="113"/>
      <c r="CF449" s="113"/>
      <c r="CG449" s="113"/>
      <c r="CH449" s="113"/>
      <c r="CI449" s="113"/>
      <c r="CJ449" s="113"/>
      <c r="CK449" s="113"/>
      <c r="CL449" s="113"/>
      <c r="CM449" s="113"/>
      <c r="CN449" s="113"/>
      <c r="CO449" s="113"/>
      <c r="CP449" s="113"/>
      <c r="CQ449" s="113"/>
      <c r="CR449" s="113"/>
      <c r="CS449" s="113"/>
      <c r="CT449" s="113"/>
      <c r="CU449" s="113"/>
    </row>
    <row r="450">
      <c r="A450" s="159"/>
      <c r="B450" s="113"/>
      <c r="C450" s="113"/>
      <c r="D450" s="158"/>
      <c r="E450" s="161"/>
      <c r="F450" s="160"/>
      <c r="G450" s="162"/>
      <c r="H450" s="159"/>
      <c r="I450" s="113"/>
      <c r="J450" s="113"/>
      <c r="K450" s="113"/>
      <c r="L450" s="158"/>
      <c r="M450" s="113"/>
      <c r="N450" s="113"/>
      <c r="O450" s="113"/>
      <c r="P450" s="113"/>
      <c r="Q450" s="113"/>
      <c r="R450" s="113"/>
      <c r="S450" s="113"/>
      <c r="T450" s="113"/>
      <c r="U450" s="113"/>
      <c r="V450" s="113"/>
      <c r="W450" s="113"/>
      <c r="X450" s="113"/>
      <c r="Y450" s="113"/>
      <c r="Z450" s="113"/>
      <c r="AA450" s="113"/>
      <c r="AB450" s="113"/>
      <c r="AC450" s="113"/>
      <c r="AD450" s="113"/>
      <c r="AE450" s="113"/>
      <c r="AF450" s="113"/>
      <c r="AG450" s="113"/>
      <c r="AH450" s="113"/>
      <c r="AI450" s="113"/>
      <c r="AJ450" s="113"/>
      <c r="AK450" s="113"/>
      <c r="AL450" s="113"/>
      <c r="AM450" s="113"/>
      <c r="AN450" s="113"/>
      <c r="AO450" s="113"/>
      <c r="AP450" s="113"/>
      <c r="AQ450" s="113"/>
      <c r="AR450" s="113"/>
      <c r="AS450" s="113"/>
      <c r="AT450" s="113"/>
      <c r="AU450" s="113"/>
      <c r="AV450" s="113"/>
      <c r="AW450" s="113"/>
      <c r="AX450" s="113"/>
      <c r="AY450" s="113"/>
      <c r="AZ450" s="113"/>
      <c r="BA450" s="113"/>
      <c r="BB450" s="113"/>
      <c r="BC450" s="113"/>
      <c r="BD450" s="113"/>
      <c r="BE450" s="113"/>
      <c r="BF450" s="113"/>
      <c r="BG450" s="113"/>
      <c r="BH450" s="113"/>
      <c r="BI450" s="113"/>
      <c r="BJ450" s="113"/>
      <c r="BK450" s="113"/>
      <c r="BL450" s="113"/>
      <c r="BM450" s="113"/>
      <c r="BN450" s="113"/>
      <c r="BO450" s="113"/>
      <c r="BP450" s="113"/>
      <c r="BQ450" s="113"/>
      <c r="BR450" s="113"/>
      <c r="BS450" s="113"/>
      <c r="BT450" s="113"/>
      <c r="BU450" s="113"/>
      <c r="BV450" s="113"/>
      <c r="BW450" s="113"/>
      <c r="BX450" s="113"/>
      <c r="BY450" s="113"/>
      <c r="BZ450" s="113"/>
      <c r="CA450" s="113"/>
      <c r="CB450" s="113"/>
      <c r="CC450" s="113"/>
      <c r="CD450" s="113"/>
      <c r="CE450" s="113"/>
      <c r="CF450" s="113"/>
      <c r="CG450" s="113"/>
      <c r="CH450" s="113"/>
      <c r="CI450" s="113"/>
      <c r="CJ450" s="113"/>
      <c r="CK450" s="113"/>
      <c r="CL450" s="113"/>
      <c r="CM450" s="113"/>
      <c r="CN450" s="113"/>
      <c r="CO450" s="113"/>
      <c r="CP450" s="113"/>
      <c r="CQ450" s="113"/>
      <c r="CR450" s="113"/>
      <c r="CS450" s="113"/>
      <c r="CT450" s="113"/>
      <c r="CU450" s="113"/>
    </row>
    <row r="451">
      <c r="A451" s="159"/>
      <c r="B451" s="113"/>
      <c r="C451" s="113"/>
      <c r="D451" s="158"/>
      <c r="E451" s="161"/>
      <c r="F451" s="160"/>
      <c r="G451" s="162"/>
      <c r="H451" s="159"/>
      <c r="I451" s="113"/>
      <c r="J451" s="113"/>
      <c r="K451" s="113"/>
      <c r="L451" s="158"/>
      <c r="M451" s="113"/>
      <c r="N451" s="113"/>
      <c r="O451" s="113"/>
      <c r="P451" s="113"/>
      <c r="Q451" s="113"/>
      <c r="R451" s="113"/>
      <c r="S451" s="113"/>
      <c r="T451" s="113"/>
      <c r="U451" s="113"/>
      <c r="V451" s="113"/>
      <c r="W451" s="113"/>
      <c r="X451" s="113"/>
      <c r="Y451" s="113"/>
      <c r="Z451" s="113"/>
      <c r="AA451" s="113"/>
      <c r="AB451" s="113"/>
      <c r="AC451" s="113"/>
      <c r="AD451" s="113"/>
      <c r="AE451" s="113"/>
      <c r="AF451" s="113"/>
      <c r="AG451" s="113"/>
      <c r="AH451" s="113"/>
      <c r="AI451" s="113"/>
      <c r="AJ451" s="113"/>
      <c r="AK451" s="113"/>
      <c r="AL451" s="113"/>
      <c r="AM451" s="113"/>
      <c r="AN451" s="113"/>
      <c r="AO451" s="113"/>
      <c r="AP451" s="113"/>
      <c r="AQ451" s="113"/>
      <c r="AR451" s="113"/>
      <c r="AS451" s="113"/>
      <c r="AT451" s="113"/>
      <c r="AU451" s="113"/>
      <c r="AV451" s="113"/>
      <c r="AW451" s="113"/>
      <c r="AX451" s="113"/>
      <c r="AY451" s="113"/>
      <c r="AZ451" s="113"/>
      <c r="BA451" s="113"/>
      <c r="BB451" s="113"/>
      <c r="BC451" s="113"/>
      <c r="BD451" s="113"/>
      <c r="BE451" s="113"/>
      <c r="BF451" s="113"/>
      <c r="BG451" s="113"/>
      <c r="BH451" s="113"/>
      <c r="BI451" s="113"/>
      <c r="BJ451" s="113"/>
      <c r="BK451" s="113"/>
      <c r="BL451" s="113"/>
      <c r="BM451" s="113"/>
      <c r="BN451" s="113"/>
      <c r="BO451" s="113"/>
      <c r="BP451" s="113"/>
      <c r="BQ451" s="113"/>
      <c r="BR451" s="113"/>
      <c r="BS451" s="113"/>
      <c r="BT451" s="113"/>
      <c r="BU451" s="113"/>
      <c r="BV451" s="113"/>
      <c r="BW451" s="113"/>
      <c r="BX451" s="113"/>
      <c r="BY451" s="113"/>
      <c r="BZ451" s="113"/>
      <c r="CA451" s="113"/>
      <c r="CB451" s="113"/>
      <c r="CC451" s="113"/>
      <c r="CD451" s="113"/>
      <c r="CE451" s="113"/>
      <c r="CF451" s="113"/>
      <c r="CG451" s="113"/>
      <c r="CH451" s="113"/>
      <c r="CI451" s="113"/>
      <c r="CJ451" s="113"/>
      <c r="CK451" s="113"/>
      <c r="CL451" s="113"/>
      <c r="CM451" s="113"/>
      <c r="CN451" s="113"/>
      <c r="CO451" s="113"/>
      <c r="CP451" s="113"/>
      <c r="CQ451" s="113"/>
      <c r="CR451" s="113"/>
      <c r="CS451" s="113"/>
      <c r="CT451" s="113"/>
      <c r="CU451" s="113"/>
    </row>
    <row r="452">
      <c r="A452" s="159"/>
      <c r="B452" s="113"/>
      <c r="C452" s="113"/>
      <c r="D452" s="158"/>
      <c r="E452" s="161"/>
      <c r="F452" s="160"/>
      <c r="G452" s="162"/>
      <c r="H452" s="159"/>
      <c r="I452" s="113"/>
      <c r="J452" s="113"/>
      <c r="K452" s="113"/>
      <c r="L452" s="158"/>
      <c r="M452" s="113"/>
      <c r="N452" s="113"/>
      <c r="O452" s="113"/>
      <c r="P452" s="113"/>
      <c r="Q452" s="113"/>
      <c r="R452" s="113"/>
      <c r="S452" s="113"/>
      <c r="T452" s="113"/>
      <c r="U452" s="113"/>
      <c r="V452" s="113"/>
      <c r="W452" s="113"/>
      <c r="X452" s="113"/>
      <c r="Y452" s="113"/>
      <c r="Z452" s="113"/>
      <c r="AA452" s="113"/>
      <c r="AB452" s="113"/>
      <c r="AC452" s="113"/>
      <c r="AD452" s="113"/>
      <c r="AE452" s="113"/>
      <c r="AF452" s="113"/>
      <c r="AG452" s="113"/>
      <c r="AH452" s="113"/>
      <c r="AI452" s="113"/>
      <c r="AJ452" s="113"/>
      <c r="AK452" s="113"/>
      <c r="AL452" s="113"/>
      <c r="AM452" s="113"/>
      <c r="AN452" s="113"/>
      <c r="AO452" s="113"/>
      <c r="AP452" s="113"/>
      <c r="AQ452" s="113"/>
      <c r="AR452" s="113"/>
      <c r="AS452" s="113"/>
      <c r="AT452" s="113"/>
      <c r="AU452" s="113"/>
      <c r="AV452" s="113"/>
      <c r="AW452" s="113"/>
      <c r="AX452" s="113"/>
      <c r="AY452" s="113"/>
      <c r="AZ452" s="113"/>
      <c r="BA452" s="113"/>
      <c r="BB452" s="113"/>
      <c r="BC452" s="113"/>
      <c r="BD452" s="113"/>
      <c r="BE452" s="113"/>
      <c r="BF452" s="113"/>
      <c r="BG452" s="113"/>
      <c r="BH452" s="113"/>
      <c r="BI452" s="113"/>
      <c r="BJ452" s="113"/>
      <c r="BK452" s="113"/>
      <c r="BL452" s="113"/>
      <c r="BM452" s="113"/>
      <c r="BN452" s="113"/>
      <c r="BO452" s="113"/>
      <c r="BP452" s="113"/>
      <c r="BQ452" s="113"/>
      <c r="BR452" s="113"/>
      <c r="BS452" s="113"/>
      <c r="BT452" s="113"/>
      <c r="BU452" s="113"/>
      <c r="BV452" s="113"/>
      <c r="BW452" s="113"/>
      <c r="BX452" s="113"/>
      <c r="BY452" s="113"/>
      <c r="BZ452" s="113"/>
      <c r="CA452" s="113"/>
      <c r="CB452" s="113"/>
      <c r="CC452" s="113"/>
      <c r="CD452" s="113"/>
      <c r="CE452" s="113"/>
      <c r="CF452" s="113"/>
      <c r="CG452" s="113"/>
      <c r="CH452" s="113"/>
      <c r="CI452" s="113"/>
      <c r="CJ452" s="113"/>
      <c r="CK452" s="113"/>
      <c r="CL452" s="113"/>
      <c r="CM452" s="113"/>
      <c r="CN452" s="113"/>
      <c r="CO452" s="113"/>
      <c r="CP452" s="113"/>
      <c r="CQ452" s="113"/>
      <c r="CR452" s="113"/>
      <c r="CS452" s="113"/>
      <c r="CT452" s="113"/>
      <c r="CU452" s="113"/>
    </row>
    <row r="453">
      <c r="A453" s="159"/>
      <c r="B453" s="113"/>
      <c r="C453" s="113"/>
      <c r="D453" s="158"/>
      <c r="E453" s="161"/>
      <c r="F453" s="160"/>
      <c r="G453" s="162"/>
      <c r="H453" s="159"/>
      <c r="I453" s="113"/>
      <c r="J453" s="113"/>
      <c r="K453" s="113"/>
      <c r="L453" s="158"/>
      <c r="M453" s="113"/>
      <c r="N453" s="113"/>
      <c r="O453" s="113"/>
      <c r="P453" s="113"/>
      <c r="Q453" s="113"/>
      <c r="R453" s="113"/>
      <c r="S453" s="113"/>
      <c r="T453" s="113"/>
      <c r="U453" s="113"/>
      <c r="V453" s="113"/>
      <c r="W453" s="113"/>
      <c r="X453" s="113"/>
      <c r="Y453" s="113"/>
      <c r="Z453" s="113"/>
      <c r="AA453" s="113"/>
      <c r="AB453" s="113"/>
      <c r="AC453" s="113"/>
      <c r="AD453" s="113"/>
      <c r="AE453" s="113"/>
      <c r="AF453" s="113"/>
      <c r="AG453" s="113"/>
      <c r="AH453" s="113"/>
      <c r="AI453" s="113"/>
      <c r="AJ453" s="113"/>
      <c r="AK453" s="113"/>
      <c r="AL453" s="113"/>
      <c r="AM453" s="113"/>
      <c r="AN453" s="113"/>
      <c r="AO453" s="113"/>
      <c r="AP453" s="113"/>
      <c r="AQ453" s="113"/>
      <c r="AR453" s="113"/>
      <c r="AS453" s="113"/>
      <c r="AT453" s="113"/>
      <c r="AU453" s="113"/>
      <c r="AV453" s="113"/>
      <c r="AW453" s="113"/>
      <c r="AX453" s="113"/>
      <c r="AY453" s="113"/>
      <c r="AZ453" s="113"/>
      <c r="BA453" s="113"/>
      <c r="BB453" s="113"/>
      <c r="BC453" s="113"/>
      <c r="BD453" s="113"/>
      <c r="BE453" s="113"/>
      <c r="BF453" s="113"/>
      <c r="BG453" s="113"/>
      <c r="BH453" s="113"/>
      <c r="BI453" s="113"/>
      <c r="BJ453" s="113"/>
      <c r="BK453" s="113"/>
      <c r="BL453" s="113"/>
      <c r="BM453" s="113"/>
      <c r="BN453" s="113"/>
      <c r="BO453" s="113"/>
      <c r="BP453" s="113"/>
      <c r="BQ453" s="113"/>
      <c r="BR453" s="113"/>
      <c r="BS453" s="113"/>
      <c r="BT453" s="113"/>
      <c r="BU453" s="113"/>
      <c r="BV453" s="113"/>
      <c r="BW453" s="113"/>
      <c r="BX453" s="113"/>
      <c r="BY453" s="113"/>
      <c r="BZ453" s="113"/>
      <c r="CA453" s="113"/>
      <c r="CB453" s="113"/>
      <c r="CC453" s="113"/>
      <c r="CD453" s="113"/>
      <c r="CE453" s="113"/>
      <c r="CF453" s="113"/>
      <c r="CG453" s="113"/>
      <c r="CH453" s="113"/>
      <c r="CI453" s="113"/>
      <c r="CJ453" s="113"/>
      <c r="CK453" s="113"/>
      <c r="CL453" s="113"/>
      <c r="CM453" s="113"/>
      <c r="CN453" s="113"/>
      <c r="CO453" s="113"/>
      <c r="CP453" s="113"/>
      <c r="CQ453" s="113"/>
      <c r="CR453" s="113"/>
      <c r="CS453" s="113"/>
      <c r="CT453" s="113"/>
      <c r="CU453" s="113"/>
    </row>
    <row r="454">
      <c r="A454" s="159"/>
      <c r="B454" s="113"/>
      <c r="C454" s="113"/>
      <c r="D454" s="158"/>
      <c r="E454" s="161"/>
      <c r="F454" s="160"/>
      <c r="G454" s="162"/>
      <c r="H454" s="159"/>
      <c r="I454" s="113"/>
      <c r="J454" s="113"/>
      <c r="K454" s="113"/>
      <c r="L454" s="158"/>
      <c r="M454" s="113"/>
      <c r="N454" s="113"/>
      <c r="O454" s="113"/>
      <c r="P454" s="113"/>
      <c r="Q454" s="113"/>
      <c r="R454" s="113"/>
      <c r="S454" s="113"/>
      <c r="T454" s="113"/>
      <c r="U454" s="113"/>
      <c r="V454" s="113"/>
      <c r="W454" s="113"/>
      <c r="X454" s="113"/>
      <c r="Y454" s="113"/>
      <c r="Z454" s="113"/>
      <c r="AA454" s="113"/>
      <c r="AB454" s="113"/>
      <c r="AC454" s="113"/>
      <c r="AD454" s="113"/>
      <c r="AE454" s="113"/>
      <c r="AF454" s="113"/>
      <c r="AG454" s="113"/>
      <c r="AH454" s="113"/>
      <c r="AI454" s="113"/>
      <c r="AJ454" s="113"/>
      <c r="AK454" s="113"/>
      <c r="AL454" s="113"/>
      <c r="AM454" s="113"/>
      <c r="AN454" s="113"/>
      <c r="AO454" s="113"/>
      <c r="AP454" s="113"/>
      <c r="AQ454" s="113"/>
      <c r="AR454" s="113"/>
      <c r="AS454" s="113"/>
      <c r="AT454" s="113"/>
      <c r="AU454" s="113"/>
      <c r="AV454" s="113"/>
      <c r="AW454" s="113"/>
      <c r="AX454" s="113"/>
      <c r="AY454" s="113"/>
      <c r="AZ454" s="113"/>
      <c r="BA454" s="113"/>
      <c r="BB454" s="113"/>
      <c r="BC454" s="113"/>
      <c r="BD454" s="113"/>
      <c r="BE454" s="113"/>
      <c r="BF454" s="113"/>
      <c r="BG454" s="113"/>
      <c r="BH454" s="113"/>
      <c r="BI454" s="113"/>
      <c r="BJ454" s="113"/>
      <c r="BK454" s="113"/>
      <c r="BL454" s="113"/>
      <c r="BM454" s="113"/>
      <c r="BN454" s="113"/>
      <c r="BO454" s="113"/>
      <c r="BP454" s="113"/>
      <c r="BQ454" s="113"/>
      <c r="BR454" s="113"/>
      <c r="BS454" s="113"/>
      <c r="BT454" s="113"/>
      <c r="BU454" s="113"/>
      <c r="BV454" s="113"/>
      <c r="BW454" s="113"/>
      <c r="BX454" s="113"/>
      <c r="BY454" s="113"/>
      <c r="BZ454" s="113"/>
      <c r="CA454" s="113"/>
      <c r="CB454" s="113"/>
      <c r="CC454" s="113"/>
      <c r="CD454" s="113"/>
      <c r="CE454" s="113"/>
      <c r="CF454" s="113"/>
      <c r="CG454" s="113"/>
      <c r="CH454" s="113"/>
      <c r="CI454" s="113"/>
      <c r="CJ454" s="113"/>
      <c r="CK454" s="113"/>
      <c r="CL454" s="113"/>
      <c r="CM454" s="113"/>
      <c r="CN454" s="113"/>
      <c r="CO454" s="113"/>
      <c r="CP454" s="113"/>
      <c r="CQ454" s="113"/>
      <c r="CR454" s="113"/>
      <c r="CS454" s="113"/>
      <c r="CT454" s="113"/>
      <c r="CU454" s="113"/>
    </row>
    <row r="455">
      <c r="A455" s="159"/>
      <c r="B455" s="113"/>
      <c r="C455" s="113"/>
      <c r="D455" s="158"/>
      <c r="E455" s="161"/>
      <c r="F455" s="160"/>
      <c r="G455" s="162"/>
      <c r="H455" s="159"/>
      <c r="I455" s="113"/>
      <c r="J455" s="113"/>
      <c r="K455" s="113"/>
      <c r="L455" s="158"/>
      <c r="M455" s="113"/>
      <c r="N455" s="113"/>
      <c r="O455" s="113"/>
      <c r="P455" s="113"/>
      <c r="Q455" s="113"/>
      <c r="R455" s="113"/>
      <c r="S455" s="113"/>
      <c r="T455" s="113"/>
      <c r="U455" s="113"/>
      <c r="V455" s="113"/>
      <c r="W455" s="113"/>
      <c r="X455" s="113"/>
      <c r="Y455" s="113"/>
      <c r="Z455" s="113"/>
      <c r="AA455" s="113"/>
      <c r="AB455" s="113"/>
      <c r="AC455" s="113"/>
      <c r="AD455" s="113"/>
      <c r="AE455" s="113"/>
      <c r="AF455" s="113"/>
      <c r="AG455" s="113"/>
      <c r="AH455" s="113"/>
      <c r="AI455" s="113"/>
      <c r="AJ455" s="113"/>
      <c r="AK455" s="113"/>
      <c r="AL455" s="113"/>
      <c r="AM455" s="113"/>
      <c r="AN455" s="113"/>
      <c r="AO455" s="113"/>
      <c r="AP455" s="113"/>
      <c r="AQ455" s="113"/>
      <c r="AR455" s="113"/>
      <c r="AS455" s="113"/>
      <c r="AT455" s="113"/>
      <c r="AU455" s="113"/>
      <c r="AV455" s="113"/>
      <c r="AW455" s="113"/>
      <c r="AX455" s="113"/>
      <c r="AY455" s="113"/>
      <c r="AZ455" s="113"/>
      <c r="BA455" s="113"/>
      <c r="BB455" s="113"/>
      <c r="BC455" s="113"/>
      <c r="BD455" s="113"/>
      <c r="BE455" s="113"/>
      <c r="BF455" s="113"/>
      <c r="BG455" s="113"/>
      <c r="BH455" s="113"/>
      <c r="BI455" s="113"/>
      <c r="BJ455" s="113"/>
      <c r="BK455" s="113"/>
      <c r="BL455" s="113"/>
      <c r="BM455" s="113"/>
      <c r="BN455" s="113"/>
      <c r="BO455" s="113"/>
      <c r="BP455" s="113"/>
      <c r="BQ455" s="113"/>
      <c r="BR455" s="113"/>
      <c r="BS455" s="113"/>
      <c r="BT455" s="113"/>
      <c r="BU455" s="113"/>
      <c r="BV455" s="113"/>
      <c r="BW455" s="113"/>
      <c r="BX455" s="113"/>
      <c r="BY455" s="113"/>
      <c r="BZ455" s="113"/>
      <c r="CA455" s="113"/>
      <c r="CB455" s="113"/>
      <c r="CC455" s="113"/>
      <c r="CD455" s="113"/>
      <c r="CE455" s="113"/>
      <c r="CF455" s="113"/>
      <c r="CG455" s="113"/>
      <c r="CH455" s="113"/>
      <c r="CI455" s="113"/>
      <c r="CJ455" s="113"/>
      <c r="CK455" s="113"/>
      <c r="CL455" s="113"/>
      <c r="CM455" s="113"/>
      <c r="CN455" s="113"/>
      <c r="CO455" s="113"/>
      <c r="CP455" s="113"/>
      <c r="CQ455" s="113"/>
      <c r="CR455" s="113"/>
      <c r="CS455" s="113"/>
      <c r="CT455" s="113"/>
      <c r="CU455" s="113"/>
    </row>
    <row r="456">
      <c r="A456" s="159"/>
      <c r="B456" s="113"/>
      <c r="C456" s="113"/>
      <c r="D456" s="158"/>
      <c r="E456" s="161"/>
      <c r="F456" s="160"/>
      <c r="G456" s="162"/>
      <c r="H456" s="159"/>
      <c r="I456" s="113"/>
      <c r="J456" s="113"/>
      <c r="K456" s="113"/>
      <c r="L456" s="158"/>
      <c r="M456" s="113"/>
      <c r="N456" s="113"/>
      <c r="O456" s="113"/>
      <c r="P456" s="113"/>
      <c r="Q456" s="113"/>
      <c r="R456" s="113"/>
      <c r="S456" s="113"/>
      <c r="T456" s="113"/>
      <c r="U456" s="113"/>
      <c r="V456" s="113"/>
      <c r="W456" s="113"/>
      <c r="X456" s="113"/>
      <c r="Y456" s="113"/>
      <c r="Z456" s="113"/>
      <c r="AA456" s="113"/>
      <c r="AB456" s="113"/>
      <c r="AC456" s="113"/>
      <c r="AD456" s="113"/>
      <c r="AE456" s="113"/>
      <c r="AF456" s="113"/>
      <c r="AG456" s="113"/>
      <c r="AH456" s="113"/>
      <c r="AI456" s="113"/>
      <c r="AJ456" s="113"/>
      <c r="AK456" s="113"/>
      <c r="AL456" s="113"/>
      <c r="AM456" s="113"/>
      <c r="AN456" s="113"/>
      <c r="AO456" s="113"/>
      <c r="AP456" s="113"/>
      <c r="AQ456" s="113"/>
      <c r="AR456" s="113"/>
      <c r="AS456" s="113"/>
      <c r="AT456" s="113"/>
      <c r="AU456" s="113"/>
      <c r="AV456" s="113"/>
      <c r="AW456" s="113"/>
      <c r="AX456" s="113"/>
      <c r="AY456" s="113"/>
      <c r="AZ456" s="113"/>
      <c r="BA456" s="113"/>
      <c r="BB456" s="113"/>
      <c r="BC456" s="113"/>
      <c r="BD456" s="113"/>
      <c r="BE456" s="113"/>
      <c r="BF456" s="113"/>
      <c r="BG456" s="113"/>
      <c r="BH456" s="113"/>
      <c r="BI456" s="113"/>
      <c r="BJ456" s="113"/>
      <c r="BK456" s="113"/>
      <c r="BL456" s="113"/>
      <c r="BM456" s="113"/>
      <c r="BN456" s="113"/>
      <c r="BO456" s="113"/>
      <c r="BP456" s="113"/>
      <c r="BQ456" s="113"/>
      <c r="BR456" s="113"/>
      <c r="BS456" s="113"/>
      <c r="BT456" s="113"/>
      <c r="BU456" s="113"/>
      <c r="BV456" s="113"/>
      <c r="BW456" s="113"/>
      <c r="BX456" s="113"/>
      <c r="BY456" s="113"/>
      <c r="BZ456" s="113"/>
      <c r="CA456" s="113"/>
      <c r="CB456" s="113"/>
      <c r="CC456" s="113"/>
      <c r="CD456" s="113"/>
      <c r="CE456" s="113"/>
      <c r="CF456" s="113"/>
      <c r="CG456" s="113"/>
      <c r="CH456" s="113"/>
      <c r="CI456" s="113"/>
      <c r="CJ456" s="113"/>
      <c r="CK456" s="113"/>
      <c r="CL456" s="113"/>
      <c r="CM456" s="113"/>
      <c r="CN456" s="113"/>
      <c r="CO456" s="113"/>
      <c r="CP456" s="113"/>
      <c r="CQ456" s="113"/>
      <c r="CR456" s="113"/>
      <c r="CS456" s="113"/>
      <c r="CT456" s="113"/>
      <c r="CU456" s="113"/>
    </row>
    <row r="457">
      <c r="A457" s="159"/>
      <c r="B457" s="113"/>
      <c r="C457" s="113"/>
      <c r="D457" s="158"/>
      <c r="E457" s="161"/>
      <c r="F457" s="160"/>
      <c r="G457" s="162"/>
      <c r="H457" s="159"/>
      <c r="I457" s="113"/>
      <c r="J457" s="113"/>
      <c r="K457" s="113"/>
      <c r="L457" s="158"/>
      <c r="M457" s="113"/>
      <c r="N457" s="113"/>
      <c r="O457" s="113"/>
      <c r="P457" s="113"/>
      <c r="Q457" s="113"/>
      <c r="R457" s="113"/>
      <c r="S457" s="113"/>
      <c r="T457" s="113"/>
      <c r="U457" s="113"/>
      <c r="V457" s="113"/>
      <c r="W457" s="113"/>
      <c r="X457" s="113"/>
      <c r="Y457" s="113"/>
      <c r="Z457" s="113"/>
      <c r="AA457" s="113"/>
      <c r="AB457" s="113"/>
      <c r="AC457" s="113"/>
      <c r="AD457" s="113"/>
      <c r="AE457" s="113"/>
      <c r="AF457" s="113"/>
      <c r="AG457" s="113"/>
      <c r="AH457" s="113"/>
      <c r="AI457" s="113"/>
      <c r="AJ457" s="113"/>
      <c r="AK457" s="113"/>
      <c r="AL457" s="113"/>
      <c r="AM457" s="113"/>
      <c r="AN457" s="113"/>
      <c r="AO457" s="113"/>
      <c r="AP457" s="113"/>
      <c r="AQ457" s="113"/>
      <c r="AR457" s="113"/>
      <c r="AS457" s="113"/>
      <c r="AT457" s="113"/>
      <c r="AU457" s="113"/>
      <c r="AV457" s="113"/>
      <c r="AW457" s="113"/>
      <c r="AX457" s="113"/>
      <c r="AY457" s="113"/>
      <c r="AZ457" s="113"/>
      <c r="BA457" s="113"/>
      <c r="BB457" s="113"/>
      <c r="BC457" s="113"/>
      <c r="BD457" s="113"/>
      <c r="BE457" s="113"/>
      <c r="BF457" s="113"/>
      <c r="BG457" s="113"/>
      <c r="BH457" s="113"/>
      <c r="BI457" s="113"/>
      <c r="BJ457" s="113"/>
      <c r="BK457" s="113"/>
      <c r="BL457" s="113"/>
      <c r="BM457" s="113"/>
      <c r="BN457" s="113"/>
      <c r="BO457" s="113"/>
      <c r="BP457" s="113"/>
      <c r="BQ457" s="113"/>
      <c r="BR457" s="113"/>
      <c r="BS457" s="113"/>
      <c r="BT457" s="113"/>
      <c r="BU457" s="113"/>
      <c r="BV457" s="113"/>
      <c r="BW457" s="113"/>
      <c r="BX457" s="113"/>
      <c r="BY457" s="113"/>
      <c r="BZ457" s="113"/>
      <c r="CA457" s="113"/>
      <c r="CB457" s="113"/>
      <c r="CC457" s="113"/>
      <c r="CD457" s="113"/>
      <c r="CE457" s="113"/>
      <c r="CF457" s="113"/>
      <c r="CG457" s="113"/>
      <c r="CH457" s="113"/>
      <c r="CI457" s="113"/>
      <c r="CJ457" s="113"/>
      <c r="CK457" s="113"/>
      <c r="CL457" s="113"/>
      <c r="CM457" s="113"/>
      <c r="CN457" s="113"/>
      <c r="CO457" s="113"/>
      <c r="CP457" s="113"/>
      <c r="CQ457" s="113"/>
      <c r="CR457" s="113"/>
      <c r="CS457" s="113"/>
      <c r="CT457" s="113"/>
      <c r="CU457" s="113"/>
    </row>
    <row r="458">
      <c r="A458" s="159"/>
      <c r="B458" s="113"/>
      <c r="C458" s="113"/>
      <c r="D458" s="158"/>
      <c r="E458" s="161"/>
      <c r="F458" s="160"/>
      <c r="G458" s="162"/>
      <c r="H458" s="159"/>
      <c r="I458" s="113"/>
      <c r="J458" s="113"/>
      <c r="K458" s="113"/>
      <c r="L458" s="158"/>
      <c r="M458" s="113"/>
      <c r="N458" s="113"/>
      <c r="O458" s="113"/>
      <c r="P458" s="113"/>
      <c r="Q458" s="113"/>
      <c r="R458" s="113"/>
      <c r="S458" s="113"/>
      <c r="T458" s="113"/>
      <c r="U458" s="113"/>
      <c r="V458" s="113"/>
      <c r="W458" s="113"/>
      <c r="X458" s="113"/>
      <c r="Y458" s="113"/>
      <c r="Z458" s="113"/>
      <c r="AA458" s="113"/>
      <c r="AB458" s="113"/>
      <c r="AC458" s="113"/>
      <c r="AD458" s="113"/>
      <c r="AE458" s="113"/>
      <c r="AF458" s="113"/>
      <c r="AG458" s="113"/>
      <c r="AH458" s="113"/>
      <c r="AI458" s="113"/>
      <c r="AJ458" s="113"/>
      <c r="AK458" s="113"/>
      <c r="AL458" s="113"/>
      <c r="AM458" s="113"/>
      <c r="AN458" s="113"/>
      <c r="AO458" s="113"/>
      <c r="AP458" s="113"/>
      <c r="AQ458" s="113"/>
      <c r="AR458" s="113"/>
      <c r="AS458" s="113"/>
      <c r="AT458" s="113"/>
      <c r="AU458" s="113"/>
      <c r="AV458" s="113"/>
      <c r="AW458" s="113"/>
      <c r="AX458" s="113"/>
      <c r="AY458" s="113"/>
      <c r="AZ458" s="113"/>
      <c r="BA458" s="113"/>
      <c r="BB458" s="113"/>
      <c r="BC458" s="113"/>
      <c r="BD458" s="113"/>
      <c r="BE458" s="113"/>
      <c r="BF458" s="113"/>
      <c r="BG458" s="113"/>
      <c r="BH458" s="113"/>
      <c r="BI458" s="113"/>
      <c r="BJ458" s="113"/>
      <c r="BK458" s="113"/>
      <c r="BL458" s="113"/>
      <c r="BM458" s="113"/>
      <c r="BN458" s="113"/>
      <c r="BO458" s="113"/>
      <c r="BP458" s="113"/>
      <c r="BQ458" s="113"/>
      <c r="BR458" s="113"/>
      <c r="BS458" s="113"/>
      <c r="BT458" s="113"/>
      <c r="BU458" s="113"/>
      <c r="BV458" s="113"/>
      <c r="BW458" s="113"/>
      <c r="BX458" s="113"/>
      <c r="BY458" s="113"/>
      <c r="BZ458" s="113"/>
      <c r="CA458" s="113"/>
      <c r="CB458" s="113"/>
      <c r="CC458" s="113"/>
      <c r="CD458" s="113"/>
      <c r="CE458" s="113"/>
      <c r="CF458" s="113"/>
      <c r="CG458" s="113"/>
      <c r="CH458" s="113"/>
      <c r="CI458" s="113"/>
      <c r="CJ458" s="113"/>
      <c r="CK458" s="113"/>
      <c r="CL458" s="113"/>
      <c r="CM458" s="113"/>
      <c r="CN458" s="113"/>
      <c r="CO458" s="113"/>
      <c r="CP458" s="113"/>
      <c r="CQ458" s="113"/>
      <c r="CR458" s="113"/>
      <c r="CS458" s="113"/>
      <c r="CT458" s="113"/>
      <c r="CU458" s="113"/>
    </row>
    <row r="459">
      <c r="A459" s="159"/>
      <c r="B459" s="113"/>
      <c r="C459" s="113"/>
      <c r="D459" s="158"/>
      <c r="E459" s="161"/>
      <c r="F459" s="160"/>
      <c r="G459" s="162"/>
      <c r="H459" s="159"/>
      <c r="I459" s="113"/>
      <c r="J459" s="113"/>
      <c r="K459" s="113"/>
      <c r="L459" s="158"/>
      <c r="M459" s="113"/>
      <c r="N459" s="113"/>
      <c r="O459" s="113"/>
      <c r="P459" s="113"/>
      <c r="Q459" s="113"/>
      <c r="R459" s="113"/>
      <c r="S459" s="113"/>
      <c r="T459" s="113"/>
      <c r="U459" s="113"/>
      <c r="V459" s="113"/>
      <c r="W459" s="113"/>
      <c r="X459" s="113"/>
      <c r="Y459" s="113"/>
      <c r="Z459" s="113"/>
      <c r="AA459" s="113"/>
      <c r="AB459" s="113"/>
      <c r="AC459" s="113"/>
      <c r="AD459" s="113"/>
      <c r="AE459" s="113"/>
      <c r="AF459" s="113"/>
      <c r="AG459" s="113"/>
      <c r="AH459" s="113"/>
      <c r="AI459" s="113"/>
      <c r="AJ459" s="113"/>
      <c r="AK459" s="113"/>
      <c r="AL459" s="113"/>
      <c r="AM459" s="113"/>
      <c r="AN459" s="113"/>
      <c r="AO459" s="113"/>
      <c r="AP459" s="113"/>
      <c r="AQ459" s="113"/>
      <c r="AR459" s="113"/>
      <c r="AS459" s="113"/>
      <c r="AT459" s="113"/>
      <c r="AU459" s="113"/>
      <c r="AV459" s="113"/>
      <c r="AW459" s="113"/>
      <c r="AX459" s="113"/>
      <c r="AY459" s="113"/>
      <c r="AZ459" s="113"/>
      <c r="BA459" s="113"/>
      <c r="BB459" s="113"/>
      <c r="BC459" s="113"/>
      <c r="BD459" s="113"/>
      <c r="BE459" s="113"/>
      <c r="BF459" s="113"/>
      <c r="BG459" s="113"/>
      <c r="BH459" s="113"/>
      <c r="BI459" s="113"/>
      <c r="BJ459" s="113"/>
      <c r="BK459" s="113"/>
      <c r="BL459" s="113"/>
      <c r="BM459" s="113"/>
      <c r="BN459" s="113"/>
      <c r="BO459" s="113"/>
      <c r="BP459" s="113"/>
      <c r="BQ459" s="113"/>
      <c r="BR459" s="113"/>
      <c r="BS459" s="113"/>
      <c r="BT459" s="113"/>
      <c r="BU459" s="113"/>
      <c r="BV459" s="113"/>
      <c r="BW459" s="113"/>
      <c r="BX459" s="113"/>
      <c r="BY459" s="113"/>
      <c r="BZ459" s="113"/>
      <c r="CA459" s="113"/>
      <c r="CB459" s="113"/>
      <c r="CC459" s="113"/>
      <c r="CD459" s="113"/>
      <c r="CE459" s="113"/>
      <c r="CF459" s="113"/>
      <c r="CG459" s="113"/>
      <c r="CH459" s="113"/>
      <c r="CI459" s="113"/>
      <c r="CJ459" s="113"/>
      <c r="CK459" s="113"/>
      <c r="CL459" s="113"/>
      <c r="CM459" s="113"/>
      <c r="CN459" s="113"/>
      <c r="CO459" s="113"/>
      <c r="CP459" s="113"/>
      <c r="CQ459" s="113"/>
      <c r="CR459" s="113"/>
      <c r="CS459" s="113"/>
      <c r="CT459" s="113"/>
      <c r="CU459" s="113"/>
    </row>
    <row r="460">
      <c r="A460" s="159"/>
      <c r="B460" s="113"/>
      <c r="C460" s="113"/>
      <c r="D460" s="158"/>
      <c r="E460" s="161"/>
      <c r="F460" s="160"/>
      <c r="G460" s="162"/>
      <c r="H460" s="159"/>
      <c r="I460" s="113"/>
      <c r="J460" s="113"/>
      <c r="K460" s="113"/>
      <c r="L460" s="158"/>
      <c r="M460" s="113"/>
      <c r="N460" s="113"/>
      <c r="O460" s="113"/>
      <c r="P460" s="113"/>
      <c r="Q460" s="113"/>
      <c r="R460" s="113"/>
      <c r="S460" s="113"/>
      <c r="T460" s="113"/>
      <c r="U460" s="113"/>
      <c r="V460" s="113"/>
      <c r="W460" s="113"/>
      <c r="X460" s="113"/>
      <c r="Y460" s="113"/>
      <c r="Z460" s="113"/>
      <c r="AA460" s="113"/>
      <c r="AB460" s="113"/>
      <c r="AC460" s="113"/>
      <c r="AD460" s="113"/>
      <c r="AE460" s="113"/>
      <c r="AF460" s="113"/>
      <c r="AG460" s="113"/>
      <c r="AH460" s="113"/>
      <c r="AI460" s="113"/>
      <c r="AJ460" s="113"/>
      <c r="AK460" s="113"/>
      <c r="AL460" s="113"/>
      <c r="AM460" s="113"/>
      <c r="AN460" s="113"/>
      <c r="AO460" s="113"/>
      <c r="AP460" s="113"/>
      <c r="AQ460" s="113"/>
      <c r="AR460" s="113"/>
      <c r="AS460" s="113"/>
      <c r="AT460" s="113"/>
      <c r="AU460" s="113"/>
      <c r="AV460" s="113"/>
      <c r="AW460" s="113"/>
      <c r="AX460" s="113"/>
      <c r="AY460" s="113"/>
      <c r="AZ460" s="113"/>
      <c r="BA460" s="113"/>
      <c r="BB460" s="113"/>
      <c r="BC460" s="113"/>
      <c r="BD460" s="113"/>
      <c r="BE460" s="113"/>
      <c r="BF460" s="113"/>
      <c r="BG460" s="113"/>
      <c r="BH460" s="113"/>
      <c r="BI460" s="113"/>
      <c r="BJ460" s="113"/>
      <c r="BK460" s="113"/>
      <c r="BL460" s="113"/>
      <c r="BM460" s="113"/>
      <c r="BN460" s="113"/>
      <c r="BO460" s="113"/>
      <c r="BP460" s="113"/>
      <c r="BQ460" s="113"/>
      <c r="BR460" s="113"/>
      <c r="BS460" s="113"/>
      <c r="BT460" s="113"/>
      <c r="BU460" s="113"/>
      <c r="BV460" s="113"/>
      <c r="BW460" s="113"/>
      <c r="BX460" s="113"/>
      <c r="BY460" s="113"/>
      <c r="BZ460" s="113"/>
      <c r="CA460" s="113"/>
      <c r="CB460" s="113"/>
      <c r="CC460" s="113"/>
      <c r="CD460" s="113"/>
      <c r="CE460" s="113"/>
      <c r="CF460" s="113"/>
      <c r="CG460" s="113"/>
      <c r="CH460" s="113"/>
      <c r="CI460" s="113"/>
      <c r="CJ460" s="113"/>
      <c r="CK460" s="113"/>
      <c r="CL460" s="113"/>
      <c r="CM460" s="113"/>
      <c r="CN460" s="113"/>
      <c r="CO460" s="113"/>
      <c r="CP460" s="113"/>
      <c r="CQ460" s="113"/>
      <c r="CR460" s="113"/>
      <c r="CS460" s="113"/>
      <c r="CT460" s="113"/>
      <c r="CU460" s="113"/>
    </row>
    <row r="461">
      <c r="A461" s="159"/>
      <c r="B461" s="113"/>
      <c r="C461" s="113"/>
      <c r="D461" s="158"/>
      <c r="E461" s="161"/>
      <c r="F461" s="160"/>
      <c r="G461" s="162"/>
      <c r="H461" s="159"/>
      <c r="I461" s="113"/>
      <c r="J461" s="113"/>
      <c r="K461" s="113"/>
      <c r="L461" s="158"/>
      <c r="M461" s="113"/>
      <c r="N461" s="113"/>
      <c r="O461" s="113"/>
      <c r="P461" s="113"/>
      <c r="Q461" s="113"/>
      <c r="R461" s="113"/>
      <c r="S461" s="113"/>
      <c r="T461" s="113"/>
      <c r="U461" s="113"/>
      <c r="V461" s="113"/>
      <c r="W461" s="113"/>
      <c r="X461" s="113"/>
      <c r="Y461" s="113"/>
      <c r="Z461" s="113"/>
      <c r="AA461" s="113"/>
      <c r="AB461" s="113"/>
      <c r="AC461" s="113"/>
      <c r="AD461" s="113"/>
      <c r="AE461" s="113"/>
      <c r="AF461" s="113"/>
      <c r="AG461" s="113"/>
      <c r="AH461" s="113"/>
      <c r="AI461" s="113"/>
      <c r="AJ461" s="113"/>
      <c r="AK461" s="113"/>
      <c r="AL461" s="113"/>
      <c r="AM461" s="113"/>
      <c r="AN461" s="113"/>
      <c r="AO461" s="113"/>
      <c r="AP461" s="113"/>
      <c r="AQ461" s="113"/>
      <c r="AR461" s="113"/>
      <c r="AS461" s="113"/>
      <c r="AT461" s="113"/>
      <c r="AU461" s="113"/>
      <c r="AV461" s="113"/>
      <c r="AW461" s="113"/>
      <c r="AX461" s="113"/>
      <c r="AY461" s="113"/>
      <c r="AZ461" s="113"/>
      <c r="BA461" s="113"/>
      <c r="BB461" s="113"/>
      <c r="BC461" s="113"/>
      <c r="BD461" s="113"/>
      <c r="BE461" s="113"/>
      <c r="BF461" s="113"/>
      <c r="BG461" s="113"/>
      <c r="BH461" s="113"/>
      <c r="BI461" s="113"/>
      <c r="BJ461" s="113"/>
      <c r="BK461" s="113"/>
      <c r="BL461" s="113"/>
      <c r="BM461" s="113"/>
      <c r="BN461" s="113"/>
      <c r="BO461" s="113"/>
      <c r="BP461" s="113"/>
      <c r="BQ461" s="113"/>
      <c r="BR461" s="113"/>
      <c r="BS461" s="113"/>
      <c r="BT461" s="113"/>
      <c r="BU461" s="113"/>
      <c r="BV461" s="113"/>
      <c r="BW461" s="113"/>
      <c r="BX461" s="113"/>
      <c r="BY461" s="113"/>
      <c r="BZ461" s="113"/>
      <c r="CA461" s="113"/>
      <c r="CB461" s="113"/>
      <c r="CC461" s="113"/>
      <c r="CD461" s="113"/>
      <c r="CE461" s="113"/>
      <c r="CF461" s="113"/>
      <c r="CG461" s="113"/>
      <c r="CH461" s="113"/>
      <c r="CI461" s="113"/>
      <c r="CJ461" s="113"/>
      <c r="CK461" s="113"/>
      <c r="CL461" s="113"/>
      <c r="CM461" s="113"/>
      <c r="CN461" s="113"/>
      <c r="CO461" s="113"/>
      <c r="CP461" s="113"/>
      <c r="CQ461" s="113"/>
      <c r="CR461" s="113"/>
      <c r="CS461" s="113"/>
      <c r="CT461" s="113"/>
      <c r="CU461" s="113"/>
    </row>
    <row r="462">
      <c r="A462" s="159"/>
      <c r="B462" s="113"/>
      <c r="C462" s="113"/>
      <c r="D462" s="158"/>
      <c r="E462" s="161"/>
      <c r="F462" s="160"/>
      <c r="G462" s="162"/>
      <c r="H462" s="159"/>
      <c r="I462" s="113"/>
      <c r="J462" s="113"/>
      <c r="K462" s="113"/>
      <c r="L462" s="158"/>
      <c r="M462" s="113"/>
      <c r="N462" s="113"/>
      <c r="O462" s="113"/>
      <c r="P462" s="113"/>
      <c r="Q462" s="113"/>
      <c r="R462" s="113"/>
      <c r="S462" s="113"/>
      <c r="T462" s="113"/>
      <c r="U462" s="113"/>
      <c r="V462" s="113"/>
      <c r="W462" s="113"/>
      <c r="X462" s="113"/>
      <c r="Y462" s="113"/>
      <c r="Z462" s="113"/>
      <c r="AA462" s="113"/>
      <c r="AB462" s="113"/>
      <c r="AC462" s="113"/>
      <c r="AD462" s="113"/>
      <c r="AE462" s="113"/>
      <c r="AF462" s="113"/>
      <c r="AG462" s="113"/>
      <c r="AH462" s="113"/>
      <c r="AI462" s="113"/>
      <c r="AJ462" s="113"/>
      <c r="AK462" s="113"/>
      <c r="AL462" s="113"/>
      <c r="AM462" s="113"/>
      <c r="AN462" s="113"/>
      <c r="AO462" s="113"/>
      <c r="AP462" s="113"/>
      <c r="AQ462" s="113"/>
      <c r="AR462" s="113"/>
      <c r="AS462" s="113"/>
      <c r="AT462" s="113"/>
      <c r="AU462" s="113"/>
      <c r="AV462" s="113"/>
      <c r="AW462" s="113"/>
      <c r="AX462" s="113"/>
      <c r="AY462" s="113"/>
      <c r="AZ462" s="113"/>
      <c r="BA462" s="113"/>
      <c r="BB462" s="113"/>
      <c r="BC462" s="113"/>
      <c r="BD462" s="113"/>
      <c r="BE462" s="113"/>
      <c r="BF462" s="113"/>
      <c r="BG462" s="113"/>
      <c r="BH462" s="113"/>
      <c r="BI462" s="113"/>
      <c r="BJ462" s="113"/>
      <c r="BK462" s="113"/>
      <c r="BL462" s="113"/>
      <c r="BM462" s="113"/>
      <c r="BN462" s="113"/>
      <c r="BO462" s="113"/>
      <c r="BP462" s="113"/>
      <c r="BQ462" s="113"/>
      <c r="BR462" s="113"/>
      <c r="BS462" s="113"/>
      <c r="BT462" s="113"/>
      <c r="BU462" s="113"/>
      <c r="BV462" s="113"/>
      <c r="BW462" s="113"/>
      <c r="BX462" s="113"/>
      <c r="BY462" s="113"/>
      <c r="BZ462" s="113"/>
      <c r="CA462" s="113"/>
      <c r="CB462" s="113"/>
      <c r="CC462" s="113"/>
      <c r="CD462" s="113"/>
      <c r="CE462" s="113"/>
      <c r="CF462" s="113"/>
      <c r="CG462" s="113"/>
      <c r="CH462" s="113"/>
      <c r="CI462" s="113"/>
      <c r="CJ462" s="113"/>
      <c r="CK462" s="113"/>
      <c r="CL462" s="113"/>
      <c r="CM462" s="113"/>
      <c r="CN462" s="113"/>
      <c r="CO462" s="113"/>
      <c r="CP462" s="113"/>
      <c r="CQ462" s="113"/>
      <c r="CR462" s="113"/>
      <c r="CS462" s="113"/>
      <c r="CT462" s="113"/>
      <c r="CU462" s="113"/>
    </row>
    <row r="463">
      <c r="A463" s="159"/>
      <c r="B463" s="113"/>
      <c r="C463" s="113"/>
      <c r="D463" s="158"/>
      <c r="E463" s="161"/>
      <c r="F463" s="160"/>
      <c r="G463" s="162"/>
      <c r="H463" s="159"/>
      <c r="I463" s="113"/>
      <c r="J463" s="113"/>
      <c r="K463" s="113"/>
      <c r="L463" s="158"/>
      <c r="M463" s="113"/>
      <c r="N463" s="113"/>
      <c r="O463" s="113"/>
      <c r="P463" s="113"/>
      <c r="Q463" s="113"/>
      <c r="R463" s="113"/>
      <c r="S463" s="113"/>
      <c r="T463" s="113"/>
      <c r="U463" s="113"/>
      <c r="V463" s="113"/>
      <c r="W463" s="113"/>
      <c r="X463" s="113"/>
      <c r="Y463" s="113"/>
      <c r="Z463" s="113"/>
      <c r="AA463" s="113"/>
      <c r="AB463" s="113"/>
      <c r="AC463" s="113"/>
      <c r="AD463" s="113"/>
      <c r="AE463" s="113"/>
      <c r="AF463" s="113"/>
      <c r="AG463" s="113"/>
      <c r="AH463" s="113"/>
      <c r="AI463" s="113"/>
      <c r="AJ463" s="113"/>
      <c r="AK463" s="113"/>
      <c r="AL463" s="113"/>
      <c r="AM463" s="113"/>
      <c r="AN463" s="113"/>
      <c r="AO463" s="113"/>
      <c r="AP463" s="113"/>
      <c r="AQ463" s="113"/>
      <c r="AR463" s="113"/>
      <c r="AS463" s="113"/>
      <c r="AT463" s="113"/>
      <c r="AU463" s="113"/>
      <c r="AV463" s="113"/>
      <c r="AW463" s="113"/>
      <c r="AX463" s="113"/>
      <c r="AY463" s="113"/>
      <c r="AZ463" s="113"/>
      <c r="BA463" s="113"/>
      <c r="BB463" s="113"/>
      <c r="BC463" s="113"/>
      <c r="BD463" s="113"/>
      <c r="BE463" s="113"/>
      <c r="BF463" s="113"/>
      <c r="BG463" s="113"/>
      <c r="BH463" s="113"/>
      <c r="BI463" s="113"/>
      <c r="BJ463" s="113"/>
      <c r="BK463" s="113"/>
      <c r="BL463" s="113"/>
      <c r="BM463" s="113"/>
      <c r="BN463" s="113"/>
      <c r="BO463" s="113"/>
      <c r="BP463" s="113"/>
      <c r="BQ463" s="113"/>
      <c r="BR463" s="113"/>
      <c r="BS463" s="113"/>
      <c r="BT463" s="113"/>
      <c r="BU463" s="113"/>
      <c r="BV463" s="113"/>
      <c r="BW463" s="113"/>
      <c r="BX463" s="113"/>
      <c r="BY463" s="113"/>
      <c r="BZ463" s="113"/>
      <c r="CA463" s="113"/>
      <c r="CB463" s="113"/>
      <c r="CC463" s="113"/>
      <c r="CD463" s="113"/>
      <c r="CE463" s="113"/>
      <c r="CF463" s="113"/>
      <c r="CG463" s="113"/>
      <c r="CH463" s="113"/>
      <c r="CI463" s="113"/>
      <c r="CJ463" s="113"/>
      <c r="CK463" s="113"/>
      <c r="CL463" s="113"/>
      <c r="CM463" s="113"/>
      <c r="CN463" s="113"/>
      <c r="CO463" s="113"/>
      <c r="CP463" s="113"/>
      <c r="CQ463" s="113"/>
      <c r="CR463" s="113"/>
      <c r="CS463" s="113"/>
      <c r="CT463" s="113"/>
      <c r="CU463" s="113"/>
    </row>
    <row r="464">
      <c r="A464" s="159"/>
      <c r="B464" s="113"/>
      <c r="C464" s="113"/>
      <c r="D464" s="158"/>
      <c r="E464" s="161"/>
      <c r="F464" s="160"/>
      <c r="G464" s="162"/>
      <c r="H464" s="159"/>
      <c r="I464" s="113"/>
      <c r="J464" s="113"/>
      <c r="K464" s="113"/>
      <c r="L464" s="158"/>
      <c r="M464" s="113"/>
      <c r="N464" s="113"/>
      <c r="O464" s="113"/>
      <c r="P464" s="113"/>
      <c r="Q464" s="113"/>
      <c r="R464" s="113"/>
      <c r="S464" s="113"/>
      <c r="T464" s="113"/>
      <c r="U464" s="113"/>
      <c r="V464" s="113"/>
      <c r="W464" s="113"/>
      <c r="X464" s="113"/>
      <c r="Y464" s="113"/>
      <c r="Z464" s="113"/>
      <c r="AA464" s="113"/>
      <c r="AB464" s="113"/>
      <c r="AC464" s="113"/>
      <c r="AD464" s="113"/>
      <c r="AE464" s="113"/>
      <c r="AF464" s="113"/>
      <c r="AG464" s="113"/>
      <c r="AH464" s="113"/>
      <c r="AI464" s="113"/>
      <c r="AJ464" s="113"/>
      <c r="AK464" s="113"/>
      <c r="AL464" s="113"/>
      <c r="AM464" s="113"/>
      <c r="AN464" s="113"/>
      <c r="AO464" s="113"/>
      <c r="AP464" s="113"/>
      <c r="AQ464" s="113"/>
      <c r="AR464" s="113"/>
      <c r="AS464" s="113"/>
      <c r="AT464" s="113"/>
      <c r="AU464" s="113"/>
      <c r="AV464" s="113"/>
      <c r="AW464" s="113"/>
      <c r="AX464" s="113"/>
      <c r="AY464" s="113"/>
      <c r="AZ464" s="113"/>
      <c r="BA464" s="113"/>
      <c r="BB464" s="113"/>
      <c r="BC464" s="113"/>
      <c r="BD464" s="113"/>
      <c r="BE464" s="113"/>
      <c r="BF464" s="113"/>
      <c r="BG464" s="113"/>
      <c r="BH464" s="113"/>
      <c r="BI464" s="113"/>
      <c r="BJ464" s="113"/>
      <c r="BK464" s="113"/>
      <c r="BL464" s="113"/>
      <c r="BM464" s="113"/>
      <c r="BN464" s="113"/>
      <c r="BO464" s="113"/>
      <c r="BP464" s="113"/>
      <c r="BQ464" s="113"/>
      <c r="BR464" s="113"/>
      <c r="BS464" s="113"/>
      <c r="BT464" s="113"/>
      <c r="BU464" s="113"/>
      <c r="BV464" s="113"/>
      <c r="BW464" s="113"/>
      <c r="BX464" s="113"/>
      <c r="BY464" s="113"/>
      <c r="BZ464" s="113"/>
      <c r="CA464" s="113"/>
      <c r="CB464" s="113"/>
      <c r="CC464" s="113"/>
      <c r="CD464" s="113"/>
      <c r="CE464" s="113"/>
      <c r="CF464" s="113"/>
      <c r="CG464" s="113"/>
      <c r="CH464" s="113"/>
      <c r="CI464" s="113"/>
      <c r="CJ464" s="113"/>
      <c r="CK464" s="113"/>
      <c r="CL464" s="113"/>
      <c r="CM464" s="113"/>
      <c r="CN464" s="113"/>
      <c r="CO464" s="113"/>
      <c r="CP464" s="113"/>
      <c r="CQ464" s="113"/>
      <c r="CR464" s="113"/>
      <c r="CS464" s="113"/>
      <c r="CT464" s="113"/>
      <c r="CU464" s="113"/>
    </row>
    <row r="465">
      <c r="A465" s="159"/>
      <c r="B465" s="113"/>
      <c r="C465" s="113"/>
      <c r="D465" s="158"/>
      <c r="E465" s="161"/>
      <c r="F465" s="160"/>
      <c r="G465" s="162"/>
      <c r="H465" s="159"/>
      <c r="I465" s="113"/>
      <c r="J465" s="113"/>
      <c r="K465" s="113"/>
      <c r="L465" s="158"/>
      <c r="M465" s="113"/>
      <c r="N465" s="113"/>
      <c r="O465" s="113"/>
      <c r="P465" s="113"/>
      <c r="Q465" s="113"/>
      <c r="R465" s="113"/>
      <c r="S465" s="113"/>
      <c r="T465" s="113"/>
      <c r="U465" s="113"/>
      <c r="V465" s="113"/>
      <c r="W465" s="113"/>
      <c r="X465" s="113"/>
      <c r="Y465" s="113"/>
      <c r="Z465" s="113"/>
      <c r="AA465" s="113"/>
      <c r="AB465" s="113"/>
      <c r="AC465" s="113"/>
      <c r="AD465" s="113"/>
      <c r="AE465" s="113"/>
      <c r="AF465" s="113"/>
      <c r="AG465" s="113"/>
      <c r="AH465" s="113"/>
      <c r="AI465" s="113"/>
      <c r="AJ465" s="113"/>
      <c r="AK465" s="113"/>
      <c r="AL465" s="113"/>
      <c r="AM465" s="113"/>
      <c r="AN465" s="113"/>
      <c r="AO465" s="113"/>
      <c r="AP465" s="113"/>
      <c r="AQ465" s="113"/>
      <c r="AR465" s="113"/>
      <c r="AS465" s="113"/>
      <c r="AT465" s="113"/>
      <c r="AU465" s="113"/>
      <c r="AV465" s="113"/>
      <c r="AW465" s="113"/>
      <c r="AX465" s="113"/>
      <c r="AY465" s="113"/>
      <c r="AZ465" s="113"/>
      <c r="BA465" s="113"/>
      <c r="BB465" s="113"/>
      <c r="BC465" s="113"/>
      <c r="BD465" s="113"/>
      <c r="BE465" s="113"/>
      <c r="BF465" s="113"/>
      <c r="BG465" s="113"/>
      <c r="BH465" s="113"/>
      <c r="BI465" s="113"/>
      <c r="BJ465" s="113"/>
      <c r="BK465" s="113"/>
      <c r="BL465" s="113"/>
      <c r="BM465" s="113"/>
      <c r="BN465" s="113"/>
      <c r="BO465" s="113"/>
      <c r="BP465" s="113"/>
      <c r="BQ465" s="113"/>
      <c r="BR465" s="113"/>
      <c r="BS465" s="113"/>
      <c r="BT465" s="113"/>
      <c r="BU465" s="113"/>
      <c r="BV465" s="113"/>
      <c r="BW465" s="113"/>
      <c r="BX465" s="113"/>
      <c r="BY465" s="113"/>
      <c r="BZ465" s="113"/>
      <c r="CA465" s="113"/>
      <c r="CB465" s="113"/>
      <c r="CC465" s="113"/>
      <c r="CD465" s="113"/>
      <c r="CE465" s="113"/>
      <c r="CF465" s="113"/>
      <c r="CG465" s="113"/>
      <c r="CH465" s="113"/>
      <c r="CI465" s="113"/>
      <c r="CJ465" s="113"/>
      <c r="CK465" s="113"/>
      <c r="CL465" s="113"/>
      <c r="CM465" s="113"/>
      <c r="CN465" s="113"/>
      <c r="CO465" s="113"/>
      <c r="CP465" s="113"/>
      <c r="CQ465" s="113"/>
      <c r="CR465" s="113"/>
      <c r="CS465" s="113"/>
      <c r="CT465" s="113"/>
      <c r="CU465" s="113"/>
    </row>
    <row r="466">
      <c r="A466" s="159"/>
      <c r="B466" s="113"/>
      <c r="C466" s="113"/>
      <c r="D466" s="158"/>
      <c r="E466" s="161"/>
      <c r="F466" s="160"/>
      <c r="G466" s="162"/>
      <c r="H466" s="159"/>
      <c r="I466" s="113"/>
      <c r="J466" s="113"/>
      <c r="K466" s="113"/>
      <c r="L466" s="158"/>
      <c r="M466" s="113"/>
      <c r="N466" s="113"/>
      <c r="O466" s="113"/>
      <c r="P466" s="113"/>
      <c r="Q466" s="113"/>
      <c r="R466" s="113"/>
      <c r="S466" s="113"/>
      <c r="T466" s="113"/>
      <c r="U466" s="113"/>
      <c r="V466" s="113"/>
      <c r="W466" s="113"/>
      <c r="X466" s="113"/>
      <c r="Y466" s="113"/>
      <c r="Z466" s="113"/>
      <c r="AA466" s="113"/>
      <c r="AB466" s="113"/>
      <c r="AC466" s="113"/>
      <c r="AD466" s="113"/>
      <c r="AE466" s="113"/>
      <c r="AF466" s="113"/>
      <c r="AG466" s="113"/>
      <c r="AH466" s="113"/>
      <c r="AI466" s="113"/>
      <c r="AJ466" s="113"/>
      <c r="AK466" s="113"/>
      <c r="AL466" s="113"/>
      <c r="AM466" s="113"/>
      <c r="AN466" s="113"/>
      <c r="AO466" s="113"/>
      <c r="AP466" s="113"/>
      <c r="AQ466" s="113"/>
      <c r="AR466" s="113"/>
      <c r="AS466" s="113"/>
      <c r="AT466" s="113"/>
      <c r="AU466" s="113"/>
      <c r="AV466" s="113"/>
      <c r="AW466" s="113"/>
      <c r="AX466" s="113"/>
      <c r="AY466" s="113"/>
      <c r="AZ466" s="113"/>
      <c r="BA466" s="113"/>
      <c r="BB466" s="113"/>
      <c r="BC466" s="113"/>
      <c r="BD466" s="113"/>
      <c r="BE466" s="113"/>
      <c r="BF466" s="113"/>
      <c r="BG466" s="113"/>
      <c r="BH466" s="113"/>
      <c r="BI466" s="113"/>
      <c r="BJ466" s="113"/>
      <c r="BK466" s="113"/>
      <c r="BL466" s="113"/>
      <c r="BM466" s="113"/>
      <c r="BN466" s="113"/>
      <c r="BO466" s="113"/>
      <c r="BP466" s="113"/>
      <c r="BQ466" s="113"/>
      <c r="BR466" s="113"/>
      <c r="BS466" s="113"/>
      <c r="BT466" s="113"/>
      <c r="BU466" s="113"/>
      <c r="BV466" s="113"/>
      <c r="BW466" s="113"/>
      <c r="BX466" s="113"/>
      <c r="BY466" s="113"/>
      <c r="BZ466" s="113"/>
      <c r="CA466" s="113"/>
      <c r="CB466" s="113"/>
      <c r="CC466" s="113"/>
      <c r="CD466" s="113"/>
      <c r="CE466" s="113"/>
      <c r="CF466" s="113"/>
      <c r="CG466" s="113"/>
      <c r="CH466" s="113"/>
      <c r="CI466" s="113"/>
      <c r="CJ466" s="113"/>
      <c r="CK466" s="113"/>
      <c r="CL466" s="113"/>
      <c r="CM466" s="113"/>
      <c r="CN466" s="113"/>
      <c r="CO466" s="113"/>
      <c r="CP466" s="113"/>
      <c r="CQ466" s="113"/>
      <c r="CR466" s="113"/>
      <c r="CS466" s="113"/>
      <c r="CT466" s="113"/>
      <c r="CU466" s="113"/>
    </row>
    <row r="467">
      <c r="A467" s="159"/>
      <c r="B467" s="113"/>
      <c r="C467" s="113"/>
      <c r="D467" s="158"/>
      <c r="E467" s="161"/>
      <c r="F467" s="160"/>
      <c r="G467" s="162"/>
      <c r="H467" s="159"/>
      <c r="I467" s="113"/>
      <c r="J467" s="113"/>
      <c r="K467" s="113"/>
      <c r="L467" s="158"/>
      <c r="M467" s="113"/>
      <c r="N467" s="113"/>
      <c r="O467" s="113"/>
      <c r="P467" s="113"/>
      <c r="Q467" s="113"/>
      <c r="R467" s="113"/>
      <c r="S467" s="113"/>
      <c r="T467" s="113"/>
      <c r="U467" s="113"/>
      <c r="V467" s="113"/>
      <c r="W467" s="113"/>
      <c r="X467" s="113"/>
      <c r="Y467" s="113"/>
      <c r="Z467" s="113"/>
      <c r="AA467" s="113"/>
      <c r="AB467" s="113"/>
      <c r="AC467" s="113"/>
      <c r="AD467" s="113"/>
      <c r="AE467" s="113"/>
      <c r="AF467" s="113"/>
      <c r="AG467" s="113"/>
      <c r="AH467" s="113"/>
      <c r="AI467" s="113"/>
      <c r="AJ467" s="113"/>
      <c r="AK467" s="113"/>
      <c r="AL467" s="113"/>
      <c r="AM467" s="113"/>
      <c r="AN467" s="113"/>
      <c r="AO467" s="113"/>
      <c r="AP467" s="113"/>
      <c r="AQ467" s="113"/>
      <c r="AR467" s="113"/>
      <c r="AS467" s="113"/>
      <c r="AT467" s="113"/>
      <c r="AU467" s="113"/>
      <c r="AV467" s="113"/>
      <c r="AW467" s="113"/>
      <c r="AX467" s="113"/>
      <c r="AY467" s="113"/>
      <c r="AZ467" s="113"/>
      <c r="BA467" s="113"/>
      <c r="BB467" s="113"/>
      <c r="BC467" s="113"/>
      <c r="BD467" s="113"/>
      <c r="BE467" s="113"/>
      <c r="BF467" s="113"/>
      <c r="BG467" s="113"/>
      <c r="BH467" s="113"/>
      <c r="BI467" s="113"/>
      <c r="BJ467" s="113"/>
      <c r="BK467" s="113"/>
      <c r="BL467" s="113"/>
      <c r="BM467" s="113"/>
      <c r="BN467" s="113"/>
      <c r="BO467" s="113"/>
      <c r="BP467" s="113"/>
      <c r="BQ467" s="113"/>
      <c r="BR467" s="113"/>
      <c r="BS467" s="113"/>
      <c r="BT467" s="113"/>
      <c r="BU467" s="113"/>
      <c r="BV467" s="113"/>
      <c r="BW467" s="113"/>
      <c r="BX467" s="113"/>
      <c r="BY467" s="113"/>
      <c r="BZ467" s="113"/>
      <c r="CA467" s="113"/>
      <c r="CB467" s="113"/>
      <c r="CC467" s="113"/>
      <c r="CD467" s="113"/>
      <c r="CE467" s="113"/>
      <c r="CF467" s="113"/>
      <c r="CG467" s="113"/>
      <c r="CH467" s="113"/>
      <c r="CI467" s="113"/>
      <c r="CJ467" s="113"/>
      <c r="CK467" s="113"/>
      <c r="CL467" s="113"/>
      <c r="CM467" s="113"/>
      <c r="CN467" s="113"/>
      <c r="CO467" s="113"/>
      <c r="CP467" s="113"/>
      <c r="CQ467" s="113"/>
      <c r="CR467" s="113"/>
      <c r="CS467" s="113"/>
      <c r="CT467" s="113"/>
      <c r="CU467" s="113"/>
    </row>
    <row r="468">
      <c r="A468" s="159"/>
      <c r="B468" s="113"/>
      <c r="C468" s="113"/>
      <c r="D468" s="158"/>
      <c r="E468" s="161"/>
      <c r="F468" s="160"/>
      <c r="G468" s="162"/>
      <c r="H468" s="159"/>
      <c r="I468" s="113"/>
      <c r="J468" s="113"/>
      <c r="K468" s="113"/>
      <c r="L468" s="158"/>
      <c r="M468" s="113"/>
      <c r="N468" s="113"/>
      <c r="O468" s="113"/>
      <c r="P468" s="113"/>
      <c r="Q468" s="113"/>
      <c r="R468" s="113"/>
      <c r="S468" s="113"/>
      <c r="T468" s="113"/>
      <c r="U468" s="113"/>
      <c r="V468" s="113"/>
      <c r="W468" s="113"/>
      <c r="X468" s="113"/>
      <c r="Y468" s="113"/>
      <c r="Z468" s="113"/>
      <c r="AA468" s="113"/>
      <c r="AB468" s="113"/>
      <c r="AC468" s="113"/>
      <c r="AD468" s="113"/>
      <c r="AE468" s="113"/>
      <c r="AF468" s="113"/>
      <c r="AG468" s="113"/>
      <c r="AH468" s="113"/>
      <c r="AI468" s="113"/>
      <c r="AJ468" s="113"/>
      <c r="AK468" s="113"/>
      <c r="AL468" s="113"/>
      <c r="AM468" s="113"/>
      <c r="AN468" s="113"/>
      <c r="AO468" s="113"/>
      <c r="AP468" s="113"/>
      <c r="AQ468" s="113"/>
      <c r="AR468" s="113"/>
      <c r="AS468" s="113"/>
      <c r="AT468" s="113"/>
      <c r="AU468" s="113"/>
      <c r="AV468" s="113"/>
      <c r="AW468" s="113"/>
      <c r="AX468" s="113"/>
      <c r="AY468" s="113"/>
      <c r="AZ468" s="113"/>
      <c r="BA468" s="113"/>
      <c r="BB468" s="113"/>
      <c r="BC468" s="113"/>
      <c r="BD468" s="113"/>
      <c r="BE468" s="113"/>
      <c r="BF468" s="113"/>
      <c r="BG468" s="113"/>
      <c r="BH468" s="113"/>
      <c r="BI468" s="113"/>
      <c r="BJ468" s="113"/>
      <c r="BK468" s="113"/>
      <c r="BL468" s="113"/>
      <c r="BM468" s="113"/>
      <c r="BN468" s="113"/>
      <c r="BO468" s="113"/>
      <c r="BP468" s="113"/>
      <c r="BQ468" s="113"/>
      <c r="BR468" s="113"/>
      <c r="BS468" s="113"/>
      <c r="BT468" s="113"/>
      <c r="BU468" s="113"/>
      <c r="BV468" s="113"/>
      <c r="BW468" s="113"/>
      <c r="BX468" s="113"/>
      <c r="BY468" s="113"/>
      <c r="BZ468" s="113"/>
      <c r="CA468" s="113"/>
      <c r="CB468" s="113"/>
      <c r="CC468" s="113"/>
      <c r="CD468" s="113"/>
      <c r="CE468" s="113"/>
      <c r="CF468" s="113"/>
      <c r="CG468" s="113"/>
      <c r="CH468" s="113"/>
      <c r="CI468" s="113"/>
      <c r="CJ468" s="113"/>
      <c r="CK468" s="113"/>
      <c r="CL468" s="113"/>
      <c r="CM468" s="113"/>
      <c r="CN468" s="113"/>
      <c r="CO468" s="113"/>
      <c r="CP468" s="113"/>
      <c r="CQ468" s="113"/>
      <c r="CR468" s="113"/>
      <c r="CS468" s="113"/>
      <c r="CT468" s="113"/>
      <c r="CU468" s="113"/>
    </row>
    <row r="469">
      <c r="A469" s="159"/>
      <c r="B469" s="113"/>
      <c r="C469" s="113"/>
      <c r="D469" s="158"/>
      <c r="E469" s="161"/>
      <c r="F469" s="160"/>
      <c r="G469" s="162"/>
      <c r="H469" s="159"/>
      <c r="I469" s="113"/>
      <c r="J469" s="113"/>
      <c r="K469" s="113"/>
      <c r="L469" s="158"/>
      <c r="M469" s="113"/>
      <c r="N469" s="113"/>
      <c r="O469" s="113"/>
      <c r="P469" s="113"/>
      <c r="Q469" s="113"/>
      <c r="R469" s="113"/>
      <c r="S469" s="113"/>
      <c r="T469" s="113"/>
      <c r="U469" s="113"/>
      <c r="V469" s="113"/>
      <c r="W469" s="113"/>
      <c r="X469" s="113"/>
      <c r="Y469" s="113"/>
      <c r="Z469" s="113"/>
      <c r="AA469" s="113"/>
      <c r="AB469" s="113"/>
      <c r="AC469" s="113"/>
      <c r="AD469" s="113"/>
      <c r="AE469" s="113"/>
      <c r="AF469" s="113"/>
      <c r="AG469" s="113"/>
      <c r="AH469" s="113"/>
      <c r="AI469" s="113"/>
      <c r="AJ469" s="113"/>
      <c r="AK469" s="113"/>
      <c r="AL469" s="113"/>
      <c r="AM469" s="113"/>
      <c r="AN469" s="113"/>
      <c r="AO469" s="113"/>
      <c r="AP469" s="113"/>
      <c r="AQ469" s="113"/>
      <c r="AR469" s="113"/>
      <c r="AS469" s="113"/>
      <c r="AT469" s="113"/>
      <c r="AU469" s="113"/>
      <c r="AV469" s="113"/>
      <c r="AW469" s="113"/>
      <c r="AX469" s="113"/>
      <c r="AY469" s="113"/>
      <c r="AZ469" s="113"/>
      <c r="BA469" s="113"/>
      <c r="BB469" s="113"/>
      <c r="BC469" s="113"/>
      <c r="BD469" s="113"/>
      <c r="BE469" s="113"/>
      <c r="BF469" s="113"/>
      <c r="BG469" s="113"/>
      <c r="BH469" s="113"/>
      <c r="BI469" s="113"/>
      <c r="BJ469" s="113"/>
      <c r="BK469" s="113"/>
      <c r="BL469" s="113"/>
      <c r="BM469" s="113"/>
      <c r="BN469" s="113"/>
      <c r="BO469" s="113"/>
      <c r="BP469" s="113"/>
      <c r="BQ469" s="113"/>
      <c r="BR469" s="113"/>
      <c r="BS469" s="113"/>
      <c r="BT469" s="113"/>
      <c r="BU469" s="113"/>
      <c r="BV469" s="113"/>
      <c r="BW469" s="113"/>
      <c r="BX469" s="113"/>
      <c r="BY469" s="113"/>
      <c r="BZ469" s="113"/>
      <c r="CA469" s="113"/>
      <c r="CB469" s="113"/>
      <c r="CC469" s="113"/>
      <c r="CD469" s="113"/>
      <c r="CE469" s="113"/>
      <c r="CF469" s="113"/>
      <c r="CG469" s="113"/>
      <c r="CH469" s="113"/>
      <c r="CI469" s="113"/>
      <c r="CJ469" s="113"/>
      <c r="CK469" s="113"/>
      <c r="CL469" s="113"/>
      <c r="CM469" s="113"/>
      <c r="CN469" s="113"/>
      <c r="CO469" s="113"/>
      <c r="CP469" s="113"/>
      <c r="CQ469" s="113"/>
      <c r="CR469" s="113"/>
      <c r="CS469" s="113"/>
      <c r="CT469" s="113"/>
      <c r="CU469" s="113"/>
    </row>
    <row r="470">
      <c r="A470" s="159"/>
      <c r="B470" s="113"/>
      <c r="C470" s="113"/>
      <c r="D470" s="158"/>
      <c r="E470" s="161"/>
      <c r="F470" s="160"/>
      <c r="G470" s="162"/>
      <c r="H470" s="159"/>
      <c r="I470" s="113"/>
      <c r="J470" s="113"/>
      <c r="K470" s="113"/>
      <c r="L470" s="158"/>
      <c r="M470" s="113"/>
      <c r="N470" s="113"/>
      <c r="O470" s="113"/>
      <c r="P470" s="113"/>
      <c r="Q470" s="113"/>
      <c r="R470" s="113"/>
      <c r="S470" s="113"/>
      <c r="T470" s="113"/>
      <c r="U470" s="113"/>
      <c r="V470" s="113"/>
      <c r="W470" s="113"/>
      <c r="X470" s="113"/>
      <c r="Y470" s="113"/>
      <c r="Z470" s="113"/>
      <c r="AA470" s="113"/>
      <c r="AB470" s="113"/>
      <c r="AC470" s="113"/>
      <c r="AD470" s="113"/>
      <c r="AE470" s="113"/>
      <c r="AF470" s="113"/>
      <c r="AG470" s="113"/>
      <c r="AH470" s="113"/>
      <c r="AI470" s="113"/>
      <c r="AJ470" s="113"/>
      <c r="AK470" s="113"/>
      <c r="AL470" s="113"/>
      <c r="AM470" s="113"/>
      <c r="AN470" s="113"/>
      <c r="AO470" s="113"/>
      <c r="AP470" s="113"/>
      <c r="AQ470" s="113"/>
      <c r="AR470" s="113"/>
      <c r="AS470" s="113"/>
      <c r="AT470" s="113"/>
      <c r="AU470" s="113"/>
      <c r="AV470" s="113"/>
      <c r="AW470" s="113"/>
      <c r="AX470" s="113"/>
      <c r="AY470" s="113"/>
      <c r="AZ470" s="113"/>
      <c r="BA470" s="113"/>
      <c r="BB470" s="113"/>
      <c r="BC470" s="113"/>
      <c r="BD470" s="113"/>
      <c r="BE470" s="113"/>
      <c r="BF470" s="113"/>
      <c r="BG470" s="113"/>
      <c r="BH470" s="113"/>
      <c r="BI470" s="113"/>
      <c r="BJ470" s="113"/>
      <c r="BK470" s="113"/>
      <c r="BL470" s="113"/>
      <c r="BM470" s="113"/>
      <c r="BN470" s="113"/>
      <c r="BO470" s="113"/>
      <c r="BP470" s="113"/>
      <c r="BQ470" s="113"/>
      <c r="BR470" s="113"/>
      <c r="BS470" s="113"/>
      <c r="BT470" s="113"/>
      <c r="BU470" s="113"/>
      <c r="BV470" s="113"/>
      <c r="BW470" s="113"/>
      <c r="BX470" s="113"/>
      <c r="BY470" s="113"/>
      <c r="BZ470" s="113"/>
      <c r="CA470" s="113"/>
      <c r="CB470" s="113"/>
      <c r="CC470" s="113"/>
      <c r="CD470" s="113"/>
      <c r="CE470" s="113"/>
      <c r="CF470" s="113"/>
      <c r="CG470" s="113"/>
      <c r="CH470" s="113"/>
      <c r="CI470" s="113"/>
      <c r="CJ470" s="113"/>
      <c r="CK470" s="113"/>
      <c r="CL470" s="113"/>
      <c r="CM470" s="113"/>
      <c r="CN470" s="113"/>
      <c r="CO470" s="113"/>
      <c r="CP470" s="113"/>
      <c r="CQ470" s="113"/>
      <c r="CR470" s="113"/>
      <c r="CS470" s="113"/>
      <c r="CT470" s="113"/>
      <c r="CU470" s="113"/>
    </row>
    <row r="471">
      <c r="A471" s="159"/>
      <c r="B471" s="113"/>
      <c r="C471" s="113"/>
      <c r="D471" s="158"/>
      <c r="E471" s="161"/>
      <c r="F471" s="160"/>
      <c r="G471" s="162"/>
      <c r="H471" s="159"/>
      <c r="I471" s="113"/>
      <c r="J471" s="113"/>
      <c r="K471" s="113"/>
      <c r="L471" s="158"/>
      <c r="M471" s="113"/>
      <c r="N471" s="113"/>
      <c r="O471" s="113"/>
      <c r="P471" s="113"/>
      <c r="Q471" s="113"/>
      <c r="R471" s="113"/>
      <c r="S471" s="113"/>
      <c r="T471" s="113"/>
      <c r="U471" s="113"/>
      <c r="V471" s="113"/>
      <c r="W471" s="113"/>
      <c r="X471" s="113"/>
      <c r="Y471" s="113"/>
      <c r="Z471" s="113"/>
      <c r="AA471" s="113"/>
      <c r="AB471" s="113"/>
      <c r="AC471" s="113"/>
      <c r="AD471" s="113"/>
      <c r="AE471" s="113"/>
      <c r="AF471" s="113"/>
      <c r="AG471" s="113"/>
      <c r="AH471" s="113"/>
      <c r="AI471" s="113"/>
      <c r="AJ471" s="113"/>
      <c r="AK471" s="113"/>
      <c r="AL471" s="113"/>
      <c r="AM471" s="113"/>
      <c r="AN471" s="113"/>
      <c r="AO471" s="113"/>
      <c r="AP471" s="113"/>
      <c r="AQ471" s="113"/>
      <c r="AR471" s="113"/>
      <c r="AS471" s="113"/>
      <c r="AT471" s="113"/>
      <c r="AU471" s="113"/>
      <c r="AV471" s="113"/>
      <c r="AW471" s="113"/>
      <c r="AX471" s="113"/>
      <c r="AY471" s="113"/>
      <c r="AZ471" s="113"/>
      <c r="BA471" s="113"/>
      <c r="BB471" s="113"/>
      <c r="BC471" s="113"/>
      <c r="BD471" s="113"/>
      <c r="BE471" s="113"/>
      <c r="BF471" s="113"/>
      <c r="BG471" s="113"/>
      <c r="BH471" s="113"/>
      <c r="BI471" s="113"/>
      <c r="BJ471" s="113"/>
      <c r="BK471" s="113"/>
      <c r="BL471" s="113"/>
      <c r="BM471" s="113"/>
      <c r="BN471" s="113"/>
      <c r="BO471" s="113"/>
      <c r="BP471" s="113"/>
      <c r="BQ471" s="113"/>
      <c r="BR471" s="113"/>
      <c r="BS471" s="113"/>
      <c r="BT471" s="113"/>
      <c r="BU471" s="113"/>
      <c r="BV471" s="113"/>
      <c r="BW471" s="113"/>
      <c r="BX471" s="113"/>
      <c r="BY471" s="113"/>
      <c r="BZ471" s="113"/>
      <c r="CA471" s="113"/>
      <c r="CB471" s="113"/>
      <c r="CC471" s="113"/>
      <c r="CD471" s="113"/>
      <c r="CE471" s="113"/>
      <c r="CF471" s="113"/>
      <c r="CG471" s="113"/>
      <c r="CH471" s="113"/>
      <c r="CI471" s="113"/>
      <c r="CJ471" s="113"/>
      <c r="CK471" s="113"/>
      <c r="CL471" s="113"/>
      <c r="CM471" s="113"/>
      <c r="CN471" s="113"/>
      <c r="CO471" s="113"/>
      <c r="CP471" s="113"/>
      <c r="CQ471" s="113"/>
      <c r="CR471" s="113"/>
      <c r="CS471" s="113"/>
      <c r="CT471" s="113"/>
      <c r="CU471" s="113"/>
    </row>
    <row r="472">
      <c r="A472" s="159"/>
      <c r="B472" s="113"/>
      <c r="C472" s="113"/>
      <c r="D472" s="158"/>
      <c r="E472" s="161"/>
      <c r="F472" s="160"/>
      <c r="G472" s="162"/>
      <c r="H472" s="159"/>
      <c r="I472" s="113"/>
      <c r="J472" s="113"/>
      <c r="K472" s="113"/>
      <c r="L472" s="158"/>
      <c r="M472" s="113"/>
      <c r="N472" s="113"/>
      <c r="O472" s="113"/>
      <c r="P472" s="113"/>
      <c r="Q472" s="113"/>
      <c r="R472" s="113"/>
      <c r="S472" s="113"/>
      <c r="T472" s="113"/>
      <c r="U472" s="113"/>
      <c r="V472" s="113"/>
      <c r="W472" s="113"/>
      <c r="X472" s="113"/>
      <c r="Y472" s="113"/>
      <c r="Z472" s="113"/>
      <c r="AA472" s="113"/>
      <c r="AB472" s="113"/>
      <c r="AC472" s="113"/>
      <c r="AD472" s="113"/>
      <c r="AE472" s="113"/>
      <c r="AF472" s="113"/>
      <c r="AG472" s="113"/>
      <c r="AH472" s="113"/>
      <c r="AI472" s="113"/>
      <c r="AJ472" s="113"/>
      <c r="AK472" s="113"/>
      <c r="AL472" s="113"/>
      <c r="AM472" s="113"/>
      <c r="AN472" s="113"/>
      <c r="AO472" s="113"/>
      <c r="AP472" s="113"/>
      <c r="AQ472" s="113"/>
      <c r="AR472" s="113"/>
      <c r="AS472" s="113"/>
      <c r="AT472" s="113"/>
      <c r="AU472" s="113"/>
      <c r="AV472" s="113"/>
      <c r="AW472" s="113"/>
      <c r="AX472" s="113"/>
      <c r="AY472" s="113"/>
      <c r="AZ472" s="113"/>
      <c r="BA472" s="113"/>
      <c r="BB472" s="113"/>
      <c r="BC472" s="113"/>
      <c r="BD472" s="113"/>
      <c r="BE472" s="113"/>
      <c r="BF472" s="113"/>
      <c r="BG472" s="113"/>
      <c r="BH472" s="113"/>
      <c r="BI472" s="113"/>
      <c r="BJ472" s="113"/>
      <c r="BK472" s="113"/>
      <c r="BL472" s="113"/>
      <c r="BM472" s="113"/>
      <c r="BN472" s="113"/>
      <c r="BO472" s="113"/>
      <c r="BP472" s="113"/>
      <c r="BQ472" s="113"/>
      <c r="BR472" s="113"/>
      <c r="BS472" s="113"/>
      <c r="BT472" s="113"/>
      <c r="BU472" s="113"/>
      <c r="BV472" s="113"/>
      <c r="BW472" s="113"/>
      <c r="BX472" s="113"/>
      <c r="BY472" s="113"/>
      <c r="BZ472" s="113"/>
      <c r="CA472" s="113"/>
      <c r="CB472" s="113"/>
      <c r="CC472" s="113"/>
      <c r="CD472" s="113"/>
      <c r="CE472" s="113"/>
      <c r="CF472" s="113"/>
      <c r="CG472" s="113"/>
      <c r="CH472" s="113"/>
      <c r="CI472" s="113"/>
      <c r="CJ472" s="113"/>
      <c r="CK472" s="113"/>
      <c r="CL472" s="113"/>
      <c r="CM472" s="113"/>
      <c r="CN472" s="113"/>
      <c r="CO472" s="113"/>
      <c r="CP472" s="113"/>
      <c r="CQ472" s="113"/>
      <c r="CR472" s="113"/>
      <c r="CS472" s="113"/>
      <c r="CT472" s="113"/>
      <c r="CU472" s="113"/>
    </row>
    <row r="473">
      <c r="A473" s="159"/>
      <c r="B473" s="113"/>
      <c r="C473" s="113"/>
      <c r="D473" s="158"/>
      <c r="E473" s="161"/>
      <c r="F473" s="160"/>
      <c r="G473" s="162"/>
      <c r="H473" s="159"/>
      <c r="I473" s="113"/>
      <c r="J473" s="113"/>
      <c r="K473" s="113"/>
      <c r="L473" s="158"/>
      <c r="M473" s="113"/>
      <c r="N473" s="113"/>
      <c r="O473" s="113"/>
      <c r="P473" s="113"/>
      <c r="Q473" s="113"/>
      <c r="R473" s="113"/>
      <c r="S473" s="113"/>
      <c r="T473" s="113"/>
      <c r="U473" s="113"/>
      <c r="V473" s="113"/>
      <c r="W473" s="113"/>
      <c r="X473" s="113"/>
      <c r="Y473" s="113"/>
      <c r="Z473" s="113"/>
      <c r="AA473" s="113"/>
      <c r="AB473" s="113"/>
      <c r="AC473" s="113"/>
      <c r="AD473" s="113"/>
      <c r="AE473" s="113"/>
      <c r="AF473" s="113"/>
      <c r="AG473" s="113"/>
      <c r="AH473" s="113"/>
      <c r="AI473" s="113"/>
      <c r="AJ473" s="113"/>
      <c r="AK473" s="113"/>
      <c r="AL473" s="113"/>
      <c r="AM473" s="113"/>
      <c r="AN473" s="113"/>
      <c r="AO473" s="113"/>
      <c r="AP473" s="113"/>
      <c r="AQ473" s="113"/>
      <c r="AR473" s="113"/>
      <c r="AS473" s="113"/>
      <c r="AT473" s="113"/>
      <c r="AU473" s="113"/>
      <c r="AV473" s="113"/>
      <c r="AW473" s="113"/>
      <c r="AX473" s="113"/>
      <c r="AY473" s="113"/>
      <c r="AZ473" s="113"/>
      <c r="BA473" s="113"/>
      <c r="BB473" s="113"/>
      <c r="BC473" s="113"/>
      <c r="BD473" s="113"/>
      <c r="BE473" s="113"/>
      <c r="BF473" s="113"/>
      <c r="BG473" s="113"/>
      <c r="BH473" s="113"/>
      <c r="BI473" s="113"/>
      <c r="BJ473" s="113"/>
      <c r="BK473" s="113"/>
      <c r="BL473" s="113"/>
      <c r="BM473" s="113"/>
      <c r="BN473" s="113"/>
      <c r="BO473" s="113"/>
      <c r="BP473" s="113"/>
      <c r="BQ473" s="113"/>
      <c r="BR473" s="113"/>
      <c r="BS473" s="113"/>
      <c r="BT473" s="113"/>
      <c r="BU473" s="113"/>
      <c r="BV473" s="113"/>
      <c r="BW473" s="113"/>
      <c r="BX473" s="113"/>
      <c r="BY473" s="113"/>
      <c r="BZ473" s="113"/>
      <c r="CA473" s="113"/>
      <c r="CB473" s="113"/>
      <c r="CC473" s="113"/>
      <c r="CD473" s="113"/>
      <c r="CE473" s="113"/>
      <c r="CF473" s="113"/>
      <c r="CG473" s="113"/>
      <c r="CH473" s="113"/>
      <c r="CI473" s="113"/>
      <c r="CJ473" s="113"/>
      <c r="CK473" s="113"/>
      <c r="CL473" s="113"/>
      <c r="CM473" s="113"/>
      <c r="CN473" s="113"/>
      <c r="CO473" s="113"/>
      <c r="CP473" s="113"/>
      <c r="CQ473" s="113"/>
      <c r="CR473" s="113"/>
      <c r="CS473" s="113"/>
      <c r="CT473" s="113"/>
      <c r="CU473" s="113"/>
    </row>
    <row r="474">
      <c r="A474" s="159"/>
      <c r="B474" s="113"/>
      <c r="C474" s="113"/>
      <c r="D474" s="158"/>
      <c r="E474" s="161"/>
      <c r="F474" s="160"/>
      <c r="G474" s="162"/>
      <c r="H474" s="159"/>
      <c r="I474" s="113"/>
      <c r="J474" s="113"/>
      <c r="K474" s="113"/>
      <c r="L474" s="158"/>
      <c r="M474" s="113"/>
      <c r="N474" s="113"/>
      <c r="O474" s="113"/>
      <c r="P474" s="113"/>
      <c r="Q474" s="113"/>
      <c r="R474" s="113"/>
      <c r="S474" s="113"/>
      <c r="T474" s="113"/>
      <c r="U474" s="113"/>
      <c r="V474" s="113"/>
      <c r="W474" s="113"/>
      <c r="X474" s="113"/>
      <c r="Y474" s="113"/>
      <c r="Z474" s="113"/>
      <c r="AA474" s="113"/>
      <c r="AB474" s="113"/>
      <c r="AC474" s="113"/>
      <c r="AD474" s="113"/>
      <c r="AE474" s="113"/>
      <c r="AF474" s="113"/>
      <c r="AG474" s="113"/>
      <c r="AH474" s="113"/>
      <c r="AI474" s="113"/>
      <c r="AJ474" s="113"/>
      <c r="AK474" s="113"/>
      <c r="AL474" s="113"/>
      <c r="AM474" s="113"/>
      <c r="AN474" s="113"/>
      <c r="AO474" s="113"/>
      <c r="AP474" s="113"/>
      <c r="AQ474" s="113"/>
      <c r="AR474" s="113"/>
      <c r="AS474" s="113"/>
      <c r="AT474" s="113"/>
      <c r="AU474" s="113"/>
      <c r="AV474" s="113"/>
      <c r="AW474" s="113"/>
      <c r="AX474" s="113"/>
      <c r="AY474" s="113"/>
      <c r="AZ474" s="113"/>
      <c r="BA474" s="113"/>
      <c r="BB474" s="113"/>
      <c r="BC474" s="113"/>
      <c r="BD474" s="113"/>
      <c r="BE474" s="113"/>
      <c r="BF474" s="113"/>
      <c r="BG474" s="113"/>
      <c r="BH474" s="113"/>
      <c r="BI474" s="113"/>
      <c r="BJ474" s="113"/>
      <c r="BK474" s="113"/>
      <c r="BL474" s="113"/>
      <c r="BM474" s="113"/>
      <c r="BN474" s="113"/>
      <c r="BO474" s="113"/>
      <c r="BP474" s="113"/>
      <c r="BQ474" s="113"/>
      <c r="BR474" s="113"/>
      <c r="BS474" s="113"/>
      <c r="BT474" s="113"/>
      <c r="BU474" s="113"/>
      <c r="BV474" s="113"/>
      <c r="BW474" s="113"/>
      <c r="BX474" s="113"/>
      <c r="BY474" s="113"/>
      <c r="BZ474" s="113"/>
      <c r="CA474" s="113"/>
      <c r="CB474" s="113"/>
      <c r="CC474" s="113"/>
      <c r="CD474" s="113"/>
      <c r="CE474" s="113"/>
      <c r="CF474" s="113"/>
      <c r="CG474" s="113"/>
      <c r="CH474" s="113"/>
      <c r="CI474" s="113"/>
      <c r="CJ474" s="113"/>
      <c r="CK474" s="113"/>
      <c r="CL474" s="113"/>
      <c r="CM474" s="113"/>
      <c r="CN474" s="113"/>
      <c r="CO474" s="113"/>
      <c r="CP474" s="113"/>
      <c r="CQ474" s="113"/>
      <c r="CR474" s="113"/>
      <c r="CS474" s="113"/>
      <c r="CT474" s="113"/>
      <c r="CU474" s="113"/>
    </row>
    <row r="475">
      <c r="A475" s="159"/>
      <c r="B475" s="113"/>
      <c r="C475" s="113"/>
      <c r="D475" s="158"/>
      <c r="E475" s="161"/>
      <c r="F475" s="160"/>
      <c r="G475" s="162"/>
      <c r="H475" s="159"/>
      <c r="I475" s="113"/>
      <c r="J475" s="113"/>
      <c r="K475" s="113"/>
      <c r="L475" s="158"/>
      <c r="M475" s="113"/>
      <c r="N475" s="113"/>
      <c r="O475" s="113"/>
      <c r="P475" s="113"/>
      <c r="Q475" s="113"/>
      <c r="R475" s="113"/>
      <c r="S475" s="113"/>
      <c r="T475" s="113"/>
      <c r="U475" s="113"/>
      <c r="V475" s="113"/>
      <c r="W475" s="113"/>
      <c r="X475" s="113"/>
      <c r="Y475" s="113"/>
      <c r="Z475" s="113"/>
      <c r="AA475" s="113"/>
      <c r="AB475" s="113"/>
      <c r="AC475" s="113"/>
      <c r="AD475" s="113"/>
      <c r="AE475" s="113"/>
      <c r="AF475" s="113"/>
      <c r="AG475" s="113"/>
      <c r="AH475" s="113"/>
      <c r="AI475" s="113"/>
      <c r="AJ475" s="113"/>
      <c r="AK475" s="113"/>
      <c r="AL475" s="113"/>
      <c r="AM475" s="113"/>
      <c r="AN475" s="113"/>
      <c r="AO475" s="113"/>
      <c r="AP475" s="113"/>
      <c r="AQ475" s="113"/>
      <c r="AR475" s="113"/>
      <c r="AS475" s="113"/>
      <c r="AT475" s="113"/>
      <c r="AU475" s="113"/>
      <c r="AV475" s="113"/>
      <c r="AW475" s="113"/>
      <c r="AX475" s="113"/>
      <c r="AY475" s="113"/>
      <c r="AZ475" s="113"/>
      <c r="BA475" s="113"/>
      <c r="BB475" s="113"/>
      <c r="BC475" s="113"/>
      <c r="BD475" s="113"/>
      <c r="BE475" s="113"/>
      <c r="BF475" s="113"/>
      <c r="BG475" s="113"/>
      <c r="BH475" s="113"/>
      <c r="BI475" s="113"/>
      <c r="BJ475" s="113"/>
      <c r="BK475" s="113"/>
      <c r="BL475" s="113"/>
      <c r="BM475" s="113"/>
      <c r="BN475" s="113"/>
      <c r="BO475" s="113"/>
      <c r="BP475" s="113"/>
      <c r="BQ475" s="113"/>
      <c r="BR475" s="113"/>
      <c r="BS475" s="113"/>
      <c r="BT475" s="113"/>
      <c r="BU475" s="113"/>
      <c r="BV475" s="113"/>
      <c r="BW475" s="113"/>
      <c r="BX475" s="113"/>
      <c r="BY475" s="113"/>
      <c r="BZ475" s="113"/>
      <c r="CA475" s="113"/>
      <c r="CB475" s="113"/>
      <c r="CC475" s="113"/>
      <c r="CD475" s="113"/>
      <c r="CE475" s="113"/>
      <c r="CF475" s="113"/>
      <c r="CG475" s="113"/>
      <c r="CH475" s="113"/>
      <c r="CI475" s="113"/>
      <c r="CJ475" s="113"/>
      <c r="CK475" s="113"/>
      <c r="CL475" s="113"/>
      <c r="CM475" s="113"/>
      <c r="CN475" s="113"/>
      <c r="CO475" s="113"/>
      <c r="CP475" s="113"/>
      <c r="CQ475" s="113"/>
      <c r="CR475" s="113"/>
      <c r="CS475" s="113"/>
      <c r="CT475" s="113"/>
      <c r="CU475" s="113"/>
    </row>
    <row r="476">
      <c r="A476" s="159"/>
      <c r="B476" s="113"/>
      <c r="C476" s="113"/>
      <c r="D476" s="158"/>
      <c r="E476" s="161"/>
      <c r="F476" s="160"/>
      <c r="G476" s="162"/>
      <c r="H476" s="159"/>
      <c r="I476" s="113"/>
      <c r="J476" s="113"/>
      <c r="K476" s="113"/>
      <c r="L476" s="158"/>
      <c r="M476" s="113"/>
      <c r="N476" s="113"/>
      <c r="O476" s="113"/>
      <c r="P476" s="113"/>
      <c r="Q476" s="113"/>
      <c r="R476" s="113"/>
      <c r="S476" s="113"/>
      <c r="T476" s="113"/>
      <c r="U476" s="113"/>
      <c r="V476" s="113"/>
      <c r="W476" s="113"/>
      <c r="X476" s="113"/>
      <c r="Y476" s="113"/>
      <c r="Z476" s="113"/>
      <c r="AA476" s="113"/>
      <c r="AB476" s="113"/>
      <c r="AC476" s="113"/>
      <c r="AD476" s="113"/>
      <c r="AE476" s="113"/>
      <c r="AF476" s="113"/>
      <c r="AG476" s="113"/>
      <c r="AH476" s="113"/>
      <c r="AI476" s="113"/>
      <c r="AJ476" s="113"/>
      <c r="AK476" s="113"/>
      <c r="AL476" s="113"/>
      <c r="AM476" s="113"/>
      <c r="AN476" s="113"/>
      <c r="AO476" s="113"/>
      <c r="AP476" s="113"/>
      <c r="AQ476" s="113"/>
      <c r="AR476" s="113"/>
      <c r="AS476" s="113"/>
      <c r="AT476" s="113"/>
      <c r="AU476" s="113"/>
      <c r="AV476" s="113"/>
      <c r="AW476" s="113"/>
      <c r="AX476" s="113"/>
      <c r="AY476" s="113"/>
      <c r="AZ476" s="113"/>
      <c r="BA476" s="113"/>
      <c r="BB476" s="113"/>
      <c r="BC476" s="113"/>
      <c r="BD476" s="113"/>
      <c r="BE476" s="113"/>
      <c r="BF476" s="113"/>
      <c r="BG476" s="113"/>
      <c r="BH476" s="113"/>
      <c r="BI476" s="113"/>
      <c r="BJ476" s="113"/>
      <c r="BK476" s="113"/>
      <c r="BL476" s="113"/>
      <c r="BM476" s="113"/>
      <c r="BN476" s="113"/>
      <c r="BO476" s="113"/>
      <c r="BP476" s="113"/>
      <c r="BQ476" s="113"/>
      <c r="BR476" s="113"/>
      <c r="BS476" s="113"/>
      <c r="BT476" s="113"/>
      <c r="BU476" s="113"/>
      <c r="BV476" s="113"/>
      <c r="BW476" s="113"/>
      <c r="BX476" s="113"/>
      <c r="BY476" s="113"/>
      <c r="BZ476" s="113"/>
      <c r="CA476" s="113"/>
      <c r="CB476" s="113"/>
      <c r="CC476" s="113"/>
      <c r="CD476" s="113"/>
      <c r="CE476" s="113"/>
      <c r="CF476" s="113"/>
      <c r="CG476" s="113"/>
      <c r="CH476" s="113"/>
      <c r="CI476" s="113"/>
      <c r="CJ476" s="113"/>
      <c r="CK476" s="113"/>
      <c r="CL476" s="113"/>
      <c r="CM476" s="113"/>
      <c r="CN476" s="113"/>
      <c r="CO476" s="113"/>
      <c r="CP476" s="113"/>
      <c r="CQ476" s="113"/>
      <c r="CR476" s="113"/>
      <c r="CS476" s="113"/>
      <c r="CT476" s="113"/>
      <c r="CU476" s="113"/>
    </row>
    <row r="477">
      <c r="A477" s="159"/>
      <c r="B477" s="113"/>
      <c r="C477" s="113"/>
      <c r="D477" s="158"/>
      <c r="E477" s="161"/>
      <c r="F477" s="160"/>
      <c r="G477" s="162"/>
      <c r="H477" s="159"/>
      <c r="I477" s="113"/>
      <c r="J477" s="113"/>
      <c r="K477" s="113"/>
      <c r="L477" s="158"/>
      <c r="M477" s="113"/>
      <c r="N477" s="113"/>
      <c r="O477" s="113"/>
      <c r="P477" s="113"/>
      <c r="Q477" s="113"/>
      <c r="R477" s="113"/>
      <c r="S477" s="113"/>
      <c r="T477" s="113"/>
      <c r="U477" s="113"/>
      <c r="V477" s="113"/>
      <c r="W477" s="113"/>
      <c r="X477" s="113"/>
      <c r="Y477" s="113"/>
      <c r="Z477" s="113"/>
      <c r="AA477" s="113"/>
      <c r="AB477" s="113"/>
      <c r="AC477" s="113"/>
      <c r="AD477" s="113"/>
      <c r="AE477" s="113"/>
      <c r="AF477" s="113"/>
      <c r="AG477" s="113"/>
      <c r="AH477" s="113"/>
      <c r="AI477" s="113"/>
      <c r="AJ477" s="113"/>
      <c r="AK477" s="113"/>
      <c r="AL477" s="113"/>
      <c r="AM477" s="113"/>
      <c r="AN477" s="113"/>
      <c r="AO477" s="113"/>
      <c r="AP477" s="113"/>
      <c r="AQ477" s="113"/>
      <c r="AR477" s="113"/>
      <c r="AS477" s="113"/>
      <c r="AT477" s="113"/>
      <c r="AU477" s="113"/>
      <c r="AV477" s="113"/>
      <c r="AW477" s="113"/>
      <c r="AX477" s="113"/>
      <c r="AY477" s="113"/>
      <c r="AZ477" s="113"/>
      <c r="BA477" s="113"/>
      <c r="BB477" s="113"/>
      <c r="BC477" s="113"/>
      <c r="BD477" s="113"/>
      <c r="BE477" s="113"/>
      <c r="BF477" s="113"/>
      <c r="BG477" s="113"/>
      <c r="BH477" s="113"/>
      <c r="BI477" s="113"/>
      <c r="BJ477" s="113"/>
      <c r="BK477" s="113"/>
      <c r="BL477" s="113"/>
      <c r="BM477" s="113"/>
      <c r="BN477" s="113"/>
      <c r="BO477" s="113"/>
      <c r="BP477" s="113"/>
      <c r="BQ477" s="113"/>
      <c r="BR477" s="113"/>
      <c r="BS477" s="113"/>
      <c r="BT477" s="113"/>
      <c r="BU477" s="113"/>
      <c r="BV477" s="113"/>
      <c r="BW477" s="113"/>
      <c r="BX477" s="113"/>
      <c r="BY477" s="113"/>
      <c r="BZ477" s="113"/>
      <c r="CA477" s="113"/>
      <c r="CB477" s="113"/>
      <c r="CC477" s="113"/>
      <c r="CD477" s="113"/>
      <c r="CE477" s="113"/>
      <c r="CF477" s="113"/>
      <c r="CG477" s="113"/>
      <c r="CH477" s="113"/>
      <c r="CI477" s="113"/>
      <c r="CJ477" s="113"/>
      <c r="CK477" s="113"/>
      <c r="CL477" s="113"/>
      <c r="CM477" s="113"/>
      <c r="CN477" s="113"/>
      <c r="CO477" s="113"/>
      <c r="CP477" s="113"/>
      <c r="CQ477" s="113"/>
      <c r="CR477" s="113"/>
      <c r="CS477" s="113"/>
      <c r="CT477" s="113"/>
      <c r="CU477" s="113"/>
    </row>
    <row r="478">
      <c r="A478" s="159"/>
      <c r="B478" s="113"/>
      <c r="C478" s="113"/>
      <c r="D478" s="158"/>
      <c r="E478" s="161"/>
      <c r="F478" s="160"/>
      <c r="G478" s="162"/>
      <c r="H478" s="159"/>
      <c r="I478" s="113"/>
      <c r="J478" s="113"/>
      <c r="K478" s="113"/>
      <c r="L478" s="158"/>
      <c r="M478" s="113"/>
      <c r="N478" s="113"/>
      <c r="O478" s="113"/>
      <c r="P478" s="113"/>
      <c r="Q478" s="113"/>
      <c r="R478" s="113"/>
      <c r="S478" s="113"/>
      <c r="T478" s="113"/>
      <c r="U478" s="113"/>
      <c r="V478" s="113"/>
      <c r="W478" s="113"/>
      <c r="X478" s="113"/>
      <c r="Y478" s="113"/>
      <c r="Z478" s="113"/>
      <c r="AA478" s="113"/>
      <c r="AB478" s="113"/>
      <c r="AC478" s="113"/>
      <c r="AD478" s="113"/>
      <c r="AE478" s="113"/>
      <c r="AF478" s="113"/>
      <c r="AG478" s="113"/>
      <c r="AH478" s="113"/>
      <c r="AI478" s="113"/>
      <c r="AJ478" s="113"/>
      <c r="AK478" s="113"/>
      <c r="AL478" s="113"/>
      <c r="AM478" s="113"/>
      <c r="AN478" s="113"/>
      <c r="AO478" s="113"/>
      <c r="AP478" s="113"/>
      <c r="AQ478" s="113"/>
      <c r="AR478" s="113"/>
      <c r="AS478" s="113"/>
      <c r="AT478" s="113"/>
      <c r="AU478" s="113"/>
      <c r="AV478" s="113"/>
      <c r="AW478" s="113"/>
      <c r="AX478" s="113"/>
      <c r="AY478" s="113"/>
      <c r="AZ478" s="113"/>
      <c r="BA478" s="113"/>
      <c r="BB478" s="113"/>
      <c r="BC478" s="113"/>
      <c r="BD478" s="113"/>
      <c r="BE478" s="113"/>
      <c r="BF478" s="113"/>
      <c r="BG478" s="113"/>
      <c r="BH478" s="113"/>
      <c r="BI478" s="113"/>
      <c r="BJ478" s="113"/>
      <c r="BK478" s="113"/>
      <c r="BL478" s="113"/>
      <c r="BM478" s="113"/>
      <c r="BN478" s="113"/>
      <c r="BO478" s="113"/>
      <c r="BP478" s="113"/>
      <c r="BQ478" s="113"/>
      <c r="BR478" s="113"/>
      <c r="BS478" s="113"/>
      <c r="BT478" s="113"/>
      <c r="BU478" s="113"/>
      <c r="BV478" s="113"/>
      <c r="BW478" s="113"/>
      <c r="BX478" s="113"/>
      <c r="BY478" s="113"/>
      <c r="BZ478" s="113"/>
      <c r="CA478" s="113"/>
      <c r="CB478" s="113"/>
      <c r="CC478" s="113"/>
      <c r="CD478" s="113"/>
      <c r="CE478" s="113"/>
      <c r="CF478" s="113"/>
      <c r="CG478" s="113"/>
      <c r="CH478" s="113"/>
      <c r="CI478" s="113"/>
      <c r="CJ478" s="113"/>
      <c r="CK478" s="113"/>
      <c r="CL478" s="113"/>
      <c r="CM478" s="113"/>
      <c r="CN478" s="113"/>
      <c r="CO478" s="113"/>
      <c r="CP478" s="113"/>
      <c r="CQ478" s="113"/>
      <c r="CR478" s="113"/>
      <c r="CS478" s="113"/>
      <c r="CT478" s="113"/>
      <c r="CU478" s="113"/>
    </row>
    <row r="479">
      <c r="A479" s="159"/>
      <c r="B479" s="113"/>
      <c r="C479" s="113"/>
      <c r="D479" s="158"/>
      <c r="E479" s="161"/>
      <c r="F479" s="160"/>
      <c r="G479" s="162"/>
      <c r="H479" s="159"/>
      <c r="I479" s="113"/>
      <c r="J479" s="113"/>
      <c r="K479" s="113"/>
      <c r="L479" s="158"/>
      <c r="M479" s="113"/>
      <c r="N479" s="113"/>
      <c r="O479" s="113"/>
      <c r="P479" s="113"/>
      <c r="Q479" s="113"/>
      <c r="R479" s="113"/>
      <c r="S479" s="113"/>
      <c r="T479" s="113"/>
      <c r="U479" s="113"/>
      <c r="V479" s="113"/>
      <c r="W479" s="113"/>
      <c r="X479" s="113"/>
      <c r="Y479" s="113"/>
      <c r="Z479" s="113"/>
      <c r="AA479" s="113"/>
      <c r="AB479" s="113"/>
      <c r="AC479" s="113"/>
      <c r="AD479" s="113"/>
      <c r="AE479" s="113"/>
      <c r="AF479" s="113"/>
      <c r="AG479" s="113"/>
      <c r="AH479" s="113"/>
      <c r="AI479" s="113"/>
      <c r="AJ479" s="113"/>
      <c r="AK479" s="113"/>
      <c r="AL479" s="113"/>
      <c r="AM479" s="113"/>
      <c r="AN479" s="113"/>
      <c r="AO479" s="113"/>
      <c r="AP479" s="113"/>
      <c r="AQ479" s="113"/>
      <c r="AR479" s="113"/>
      <c r="AS479" s="113"/>
      <c r="AT479" s="113"/>
      <c r="AU479" s="113"/>
      <c r="AV479" s="113"/>
      <c r="AW479" s="113"/>
      <c r="AX479" s="113"/>
      <c r="AY479" s="113"/>
      <c r="AZ479" s="113"/>
      <c r="BA479" s="113"/>
      <c r="BB479" s="113"/>
      <c r="BC479" s="113"/>
      <c r="BD479" s="113"/>
      <c r="BE479" s="113"/>
      <c r="BF479" s="113"/>
      <c r="BG479" s="113"/>
      <c r="BH479" s="113"/>
      <c r="BI479" s="113"/>
      <c r="BJ479" s="113"/>
      <c r="BK479" s="113"/>
      <c r="BL479" s="113"/>
      <c r="BM479" s="113"/>
      <c r="BN479" s="113"/>
      <c r="BO479" s="113"/>
      <c r="BP479" s="113"/>
      <c r="BQ479" s="113"/>
      <c r="BR479" s="113"/>
      <c r="BS479" s="113"/>
      <c r="BT479" s="113"/>
      <c r="BU479" s="113"/>
      <c r="BV479" s="113"/>
      <c r="BW479" s="113"/>
      <c r="BX479" s="113"/>
      <c r="BY479" s="113"/>
      <c r="BZ479" s="113"/>
      <c r="CA479" s="113"/>
      <c r="CB479" s="113"/>
      <c r="CC479" s="113"/>
      <c r="CD479" s="113"/>
      <c r="CE479" s="113"/>
      <c r="CF479" s="113"/>
      <c r="CG479" s="113"/>
      <c r="CH479" s="113"/>
      <c r="CI479" s="113"/>
      <c r="CJ479" s="113"/>
      <c r="CK479" s="113"/>
      <c r="CL479" s="113"/>
      <c r="CM479" s="113"/>
      <c r="CN479" s="113"/>
      <c r="CO479" s="113"/>
      <c r="CP479" s="113"/>
      <c r="CQ479" s="113"/>
      <c r="CR479" s="113"/>
      <c r="CS479" s="113"/>
      <c r="CT479" s="113"/>
      <c r="CU479" s="113"/>
    </row>
    <row r="480">
      <c r="A480" s="159"/>
      <c r="B480" s="113"/>
      <c r="C480" s="113"/>
      <c r="D480" s="158"/>
      <c r="E480" s="161"/>
      <c r="F480" s="160"/>
      <c r="G480" s="162"/>
      <c r="H480" s="159"/>
      <c r="I480" s="113"/>
      <c r="J480" s="113"/>
      <c r="K480" s="113"/>
      <c r="L480" s="158"/>
      <c r="M480" s="113"/>
      <c r="N480" s="113"/>
      <c r="O480" s="113"/>
      <c r="P480" s="113"/>
      <c r="Q480" s="113"/>
      <c r="R480" s="113"/>
      <c r="S480" s="113"/>
      <c r="T480" s="113"/>
      <c r="U480" s="113"/>
      <c r="V480" s="113"/>
      <c r="W480" s="113"/>
      <c r="X480" s="113"/>
      <c r="Y480" s="113"/>
      <c r="Z480" s="113"/>
      <c r="AA480" s="113"/>
      <c r="AB480" s="113"/>
      <c r="AC480" s="113"/>
      <c r="AD480" s="113"/>
      <c r="AE480" s="113"/>
      <c r="AF480" s="113"/>
      <c r="AG480" s="113"/>
      <c r="AH480" s="113"/>
      <c r="AI480" s="113"/>
      <c r="AJ480" s="113"/>
      <c r="AK480" s="113"/>
      <c r="AL480" s="113"/>
      <c r="AM480" s="113"/>
      <c r="AN480" s="113"/>
      <c r="AO480" s="113"/>
      <c r="AP480" s="113"/>
      <c r="AQ480" s="113"/>
      <c r="AR480" s="113"/>
      <c r="AS480" s="113"/>
      <c r="AT480" s="113"/>
      <c r="AU480" s="113"/>
      <c r="AV480" s="113"/>
      <c r="AW480" s="113"/>
      <c r="AX480" s="113"/>
      <c r="AY480" s="113"/>
      <c r="AZ480" s="113"/>
      <c r="BA480" s="113"/>
      <c r="BB480" s="113"/>
      <c r="BC480" s="113"/>
      <c r="BD480" s="113"/>
      <c r="BE480" s="113"/>
      <c r="BF480" s="113"/>
      <c r="BG480" s="113"/>
      <c r="BH480" s="113"/>
      <c r="BI480" s="113"/>
      <c r="BJ480" s="113"/>
      <c r="BK480" s="113"/>
      <c r="BL480" s="113"/>
      <c r="BM480" s="113"/>
      <c r="BN480" s="113"/>
      <c r="BO480" s="113"/>
      <c r="BP480" s="113"/>
      <c r="BQ480" s="113"/>
      <c r="BR480" s="113"/>
      <c r="BS480" s="113"/>
      <c r="BT480" s="113"/>
      <c r="BU480" s="113"/>
      <c r="BV480" s="113"/>
      <c r="BW480" s="113"/>
      <c r="BX480" s="113"/>
      <c r="BY480" s="113"/>
      <c r="BZ480" s="113"/>
      <c r="CA480" s="113"/>
      <c r="CB480" s="113"/>
      <c r="CC480" s="113"/>
      <c r="CD480" s="113"/>
      <c r="CE480" s="113"/>
      <c r="CF480" s="113"/>
      <c r="CG480" s="113"/>
      <c r="CH480" s="113"/>
      <c r="CI480" s="113"/>
      <c r="CJ480" s="113"/>
      <c r="CK480" s="113"/>
      <c r="CL480" s="113"/>
      <c r="CM480" s="113"/>
      <c r="CN480" s="113"/>
      <c r="CO480" s="113"/>
      <c r="CP480" s="113"/>
      <c r="CQ480" s="113"/>
      <c r="CR480" s="113"/>
      <c r="CS480" s="113"/>
      <c r="CT480" s="113"/>
      <c r="CU480" s="113"/>
    </row>
    <row r="481">
      <c r="A481" s="159"/>
      <c r="B481" s="113"/>
      <c r="C481" s="113"/>
      <c r="D481" s="158"/>
      <c r="E481" s="161"/>
      <c r="F481" s="160"/>
      <c r="G481" s="162"/>
      <c r="H481" s="159"/>
      <c r="I481" s="113"/>
      <c r="J481" s="113"/>
      <c r="K481" s="113"/>
      <c r="L481" s="158"/>
      <c r="M481" s="113"/>
      <c r="N481" s="113"/>
      <c r="O481" s="113"/>
      <c r="P481" s="113"/>
      <c r="Q481" s="113"/>
      <c r="R481" s="113"/>
      <c r="S481" s="113"/>
      <c r="T481" s="113"/>
      <c r="U481" s="113"/>
      <c r="V481" s="113"/>
      <c r="W481" s="113"/>
      <c r="X481" s="113"/>
      <c r="Y481" s="113"/>
      <c r="Z481" s="113"/>
      <c r="AA481" s="113"/>
      <c r="AB481" s="113"/>
      <c r="AC481" s="113"/>
      <c r="AD481" s="113"/>
      <c r="AE481" s="113"/>
      <c r="AF481" s="113"/>
      <c r="AG481" s="113"/>
      <c r="AH481" s="113"/>
      <c r="AI481" s="113"/>
      <c r="AJ481" s="113"/>
      <c r="AK481" s="113"/>
      <c r="AL481" s="113"/>
      <c r="AM481" s="113"/>
      <c r="AN481" s="113"/>
      <c r="AO481" s="113"/>
      <c r="AP481" s="113"/>
      <c r="AQ481" s="113"/>
      <c r="AR481" s="113"/>
      <c r="AS481" s="113"/>
      <c r="AT481" s="113"/>
      <c r="AU481" s="113"/>
      <c r="AV481" s="113"/>
      <c r="AW481" s="113"/>
      <c r="AX481" s="113"/>
      <c r="AY481" s="113"/>
      <c r="AZ481" s="113"/>
      <c r="BA481" s="113"/>
      <c r="BB481" s="113"/>
      <c r="BC481" s="113"/>
      <c r="BD481" s="113"/>
      <c r="BE481" s="113"/>
      <c r="BF481" s="113"/>
      <c r="BG481" s="113"/>
      <c r="BH481" s="113"/>
      <c r="BI481" s="113"/>
      <c r="BJ481" s="113"/>
      <c r="BK481" s="113"/>
      <c r="BL481" s="113"/>
      <c r="BM481" s="113"/>
      <c r="BN481" s="113"/>
      <c r="BO481" s="113"/>
      <c r="BP481" s="113"/>
      <c r="BQ481" s="113"/>
      <c r="BR481" s="113"/>
      <c r="BS481" s="113"/>
      <c r="BT481" s="113"/>
      <c r="BU481" s="113"/>
      <c r="BV481" s="113"/>
      <c r="BW481" s="113"/>
      <c r="BX481" s="113"/>
      <c r="BY481" s="113"/>
      <c r="BZ481" s="113"/>
      <c r="CA481" s="113"/>
      <c r="CB481" s="113"/>
      <c r="CC481" s="113"/>
      <c r="CD481" s="113"/>
      <c r="CE481" s="113"/>
      <c r="CF481" s="113"/>
      <c r="CG481" s="113"/>
      <c r="CH481" s="113"/>
      <c r="CI481" s="113"/>
      <c r="CJ481" s="113"/>
      <c r="CK481" s="113"/>
      <c r="CL481" s="113"/>
      <c r="CM481" s="113"/>
      <c r="CN481" s="113"/>
      <c r="CO481" s="113"/>
      <c r="CP481" s="113"/>
      <c r="CQ481" s="113"/>
      <c r="CR481" s="113"/>
      <c r="CS481" s="113"/>
      <c r="CT481" s="113"/>
      <c r="CU481" s="113"/>
    </row>
    <row r="482">
      <c r="A482" s="159"/>
      <c r="B482" s="113"/>
      <c r="C482" s="113"/>
      <c r="D482" s="158"/>
      <c r="E482" s="161"/>
      <c r="F482" s="160"/>
      <c r="G482" s="162"/>
      <c r="H482" s="159"/>
      <c r="I482" s="113"/>
      <c r="J482" s="113"/>
      <c r="K482" s="113"/>
      <c r="L482" s="158"/>
      <c r="M482" s="113"/>
      <c r="N482" s="113"/>
      <c r="O482" s="113"/>
      <c r="P482" s="113"/>
      <c r="Q482" s="113"/>
      <c r="R482" s="113"/>
      <c r="S482" s="113"/>
      <c r="T482" s="113"/>
      <c r="U482" s="113"/>
      <c r="V482" s="113"/>
      <c r="W482" s="113"/>
      <c r="X482" s="113"/>
      <c r="Y482" s="113"/>
      <c r="Z482" s="113"/>
      <c r="AA482" s="113"/>
      <c r="AB482" s="113"/>
      <c r="AC482" s="113"/>
      <c r="AD482" s="113"/>
      <c r="AE482" s="113"/>
      <c r="AF482" s="113"/>
      <c r="AG482" s="113"/>
      <c r="AH482" s="113"/>
      <c r="AI482" s="113"/>
      <c r="AJ482" s="113"/>
      <c r="AK482" s="113"/>
      <c r="AL482" s="113"/>
      <c r="AM482" s="113"/>
      <c r="AN482" s="113"/>
      <c r="AO482" s="113"/>
      <c r="AP482" s="113"/>
      <c r="AQ482" s="113"/>
      <c r="AR482" s="113"/>
      <c r="AS482" s="113"/>
      <c r="AT482" s="113"/>
      <c r="AU482" s="113"/>
      <c r="AV482" s="113"/>
      <c r="AW482" s="113"/>
      <c r="AX482" s="113"/>
      <c r="AY482" s="113"/>
      <c r="AZ482" s="113"/>
      <c r="BA482" s="113"/>
      <c r="BB482" s="113"/>
      <c r="BC482" s="113"/>
      <c r="BD482" s="113"/>
      <c r="BE482" s="113"/>
      <c r="BF482" s="113"/>
      <c r="BG482" s="113"/>
      <c r="BH482" s="113"/>
      <c r="BI482" s="113"/>
      <c r="BJ482" s="113"/>
      <c r="BK482" s="113"/>
      <c r="BL482" s="113"/>
      <c r="BM482" s="113"/>
      <c r="BN482" s="113"/>
      <c r="BO482" s="113"/>
      <c r="BP482" s="113"/>
      <c r="BQ482" s="113"/>
      <c r="BR482" s="113"/>
      <c r="BS482" s="113"/>
      <c r="BT482" s="113"/>
      <c r="BU482" s="113"/>
      <c r="BV482" s="113"/>
      <c r="BW482" s="113"/>
      <c r="BX482" s="113"/>
      <c r="BY482" s="113"/>
      <c r="BZ482" s="113"/>
      <c r="CA482" s="113"/>
      <c r="CB482" s="113"/>
      <c r="CC482" s="113"/>
      <c r="CD482" s="113"/>
      <c r="CE482" s="113"/>
      <c r="CF482" s="113"/>
      <c r="CG482" s="113"/>
      <c r="CH482" s="113"/>
      <c r="CI482" s="113"/>
      <c r="CJ482" s="113"/>
      <c r="CK482" s="113"/>
      <c r="CL482" s="113"/>
      <c r="CM482" s="113"/>
      <c r="CN482" s="113"/>
      <c r="CO482" s="113"/>
      <c r="CP482" s="113"/>
      <c r="CQ482" s="113"/>
      <c r="CR482" s="113"/>
      <c r="CS482" s="113"/>
      <c r="CT482" s="113"/>
      <c r="CU482" s="113"/>
    </row>
    <row r="483">
      <c r="A483" s="159"/>
      <c r="B483" s="113"/>
      <c r="C483" s="113"/>
      <c r="D483" s="158"/>
      <c r="E483" s="161"/>
      <c r="F483" s="160"/>
      <c r="G483" s="162"/>
      <c r="H483" s="159"/>
      <c r="I483" s="113"/>
      <c r="J483" s="113"/>
      <c r="K483" s="113"/>
      <c r="L483" s="158"/>
      <c r="M483" s="113"/>
      <c r="N483" s="113"/>
      <c r="O483" s="113"/>
      <c r="P483" s="113"/>
      <c r="Q483" s="113"/>
      <c r="R483" s="113"/>
      <c r="S483" s="113"/>
      <c r="T483" s="113"/>
      <c r="U483" s="113"/>
      <c r="V483" s="113"/>
      <c r="W483" s="113"/>
      <c r="X483" s="113"/>
      <c r="Y483" s="113"/>
      <c r="Z483" s="113"/>
      <c r="AA483" s="113"/>
      <c r="AB483" s="113"/>
      <c r="AC483" s="113"/>
      <c r="AD483" s="113"/>
      <c r="AE483" s="113"/>
      <c r="AF483" s="113"/>
      <c r="AG483" s="113"/>
      <c r="AH483" s="113"/>
      <c r="AI483" s="113"/>
      <c r="AJ483" s="113"/>
      <c r="AK483" s="113"/>
      <c r="AL483" s="113"/>
      <c r="AM483" s="113"/>
      <c r="AN483" s="113"/>
      <c r="AO483" s="113"/>
      <c r="AP483" s="113"/>
      <c r="AQ483" s="113"/>
      <c r="AR483" s="113"/>
      <c r="AS483" s="113"/>
      <c r="AT483" s="113"/>
      <c r="AU483" s="113"/>
      <c r="AV483" s="113"/>
      <c r="AW483" s="113"/>
      <c r="AX483" s="113"/>
      <c r="AY483" s="113"/>
      <c r="AZ483" s="113"/>
      <c r="BA483" s="113"/>
      <c r="BB483" s="113"/>
      <c r="BC483" s="113"/>
      <c r="BD483" s="113"/>
      <c r="BE483" s="113"/>
      <c r="BF483" s="113"/>
      <c r="BG483" s="113"/>
      <c r="BH483" s="113"/>
      <c r="BI483" s="113"/>
      <c r="BJ483" s="113"/>
      <c r="BK483" s="113"/>
      <c r="BL483" s="113"/>
      <c r="BM483" s="113"/>
      <c r="BN483" s="113"/>
      <c r="BO483" s="113"/>
      <c r="BP483" s="113"/>
      <c r="BQ483" s="113"/>
      <c r="BR483" s="113"/>
      <c r="BS483" s="113"/>
      <c r="BT483" s="113"/>
      <c r="BU483" s="113"/>
      <c r="BV483" s="113"/>
      <c r="BW483" s="113"/>
      <c r="BX483" s="113"/>
      <c r="BY483" s="113"/>
      <c r="BZ483" s="113"/>
      <c r="CA483" s="113"/>
      <c r="CB483" s="113"/>
      <c r="CC483" s="113"/>
      <c r="CD483" s="113"/>
      <c r="CE483" s="113"/>
      <c r="CF483" s="113"/>
      <c r="CG483" s="113"/>
      <c r="CH483" s="113"/>
      <c r="CI483" s="113"/>
      <c r="CJ483" s="113"/>
      <c r="CK483" s="113"/>
      <c r="CL483" s="113"/>
      <c r="CM483" s="113"/>
      <c r="CN483" s="113"/>
      <c r="CO483" s="113"/>
      <c r="CP483" s="113"/>
      <c r="CQ483" s="113"/>
      <c r="CR483" s="113"/>
      <c r="CS483" s="113"/>
      <c r="CT483" s="113"/>
      <c r="CU483" s="113"/>
    </row>
    <row r="484">
      <c r="A484" s="159"/>
      <c r="B484" s="113"/>
      <c r="C484" s="113"/>
      <c r="D484" s="158"/>
      <c r="E484" s="161"/>
      <c r="F484" s="160"/>
      <c r="G484" s="162"/>
      <c r="H484" s="159"/>
      <c r="I484" s="113"/>
      <c r="J484" s="113"/>
      <c r="K484" s="113"/>
      <c r="L484" s="158"/>
      <c r="M484" s="113"/>
      <c r="N484" s="113"/>
      <c r="O484" s="113"/>
      <c r="P484" s="113"/>
      <c r="Q484" s="113"/>
      <c r="R484" s="113"/>
      <c r="S484" s="113"/>
      <c r="T484" s="113"/>
      <c r="U484" s="113"/>
      <c r="V484" s="113"/>
      <c r="W484" s="113"/>
      <c r="X484" s="113"/>
      <c r="Y484" s="113"/>
      <c r="Z484" s="113"/>
      <c r="AA484" s="113"/>
      <c r="AB484" s="113"/>
      <c r="AC484" s="113"/>
      <c r="AD484" s="113"/>
      <c r="AE484" s="113"/>
      <c r="AF484" s="113"/>
      <c r="AG484" s="113"/>
      <c r="AH484" s="113"/>
      <c r="AI484" s="113"/>
      <c r="AJ484" s="113"/>
      <c r="AK484" s="113"/>
      <c r="AL484" s="113"/>
      <c r="AM484" s="113"/>
      <c r="AN484" s="113"/>
      <c r="AO484" s="113"/>
      <c r="AP484" s="113"/>
      <c r="AQ484" s="113"/>
      <c r="AR484" s="113"/>
      <c r="AS484" s="113"/>
      <c r="AT484" s="113"/>
      <c r="AU484" s="113"/>
      <c r="AV484" s="113"/>
      <c r="AW484" s="113"/>
      <c r="AX484" s="113"/>
      <c r="AY484" s="113"/>
      <c r="AZ484" s="113"/>
      <c r="BA484" s="113"/>
      <c r="BB484" s="113"/>
      <c r="BC484" s="113"/>
      <c r="BD484" s="113"/>
      <c r="BE484" s="113"/>
      <c r="BF484" s="113"/>
      <c r="BG484" s="113"/>
      <c r="BH484" s="113"/>
      <c r="BI484" s="113"/>
      <c r="BJ484" s="113"/>
      <c r="BK484" s="113"/>
      <c r="BL484" s="113"/>
      <c r="BM484" s="113"/>
      <c r="BN484" s="113"/>
      <c r="BO484" s="113"/>
      <c r="BP484" s="113"/>
      <c r="BQ484" s="113"/>
      <c r="BR484" s="113"/>
      <c r="BS484" s="113"/>
      <c r="BT484" s="113"/>
      <c r="BU484" s="113"/>
      <c r="BV484" s="113"/>
      <c r="BW484" s="113"/>
      <c r="BX484" s="113"/>
      <c r="BY484" s="113"/>
      <c r="BZ484" s="113"/>
      <c r="CA484" s="113"/>
      <c r="CB484" s="113"/>
      <c r="CC484" s="113"/>
      <c r="CD484" s="113"/>
      <c r="CE484" s="113"/>
      <c r="CF484" s="113"/>
      <c r="CG484" s="113"/>
      <c r="CH484" s="113"/>
      <c r="CI484" s="113"/>
      <c r="CJ484" s="113"/>
      <c r="CK484" s="113"/>
      <c r="CL484" s="113"/>
      <c r="CM484" s="113"/>
      <c r="CN484" s="113"/>
      <c r="CO484" s="113"/>
      <c r="CP484" s="113"/>
      <c r="CQ484" s="113"/>
      <c r="CR484" s="113"/>
      <c r="CS484" s="113"/>
      <c r="CT484" s="113"/>
      <c r="CU484" s="113"/>
    </row>
    <row r="485">
      <c r="A485" s="159"/>
      <c r="B485" s="113"/>
      <c r="C485" s="113"/>
      <c r="D485" s="158"/>
      <c r="E485" s="161"/>
      <c r="F485" s="160"/>
      <c r="G485" s="162"/>
      <c r="H485" s="159"/>
      <c r="I485" s="113"/>
      <c r="J485" s="113"/>
      <c r="K485" s="113"/>
      <c r="L485" s="158"/>
      <c r="M485" s="113"/>
      <c r="N485" s="113"/>
      <c r="O485" s="113"/>
      <c r="P485" s="113"/>
      <c r="Q485" s="113"/>
      <c r="R485" s="113"/>
      <c r="S485" s="113"/>
      <c r="T485" s="113"/>
      <c r="U485" s="113"/>
      <c r="V485" s="113"/>
      <c r="W485" s="113"/>
      <c r="X485" s="113"/>
      <c r="Y485" s="113"/>
      <c r="Z485" s="113"/>
      <c r="AA485" s="113"/>
      <c r="AB485" s="113"/>
      <c r="AC485" s="113"/>
      <c r="AD485" s="113"/>
      <c r="AE485" s="113"/>
      <c r="AF485" s="113"/>
      <c r="AG485" s="113"/>
      <c r="AH485" s="113"/>
      <c r="AI485" s="113"/>
      <c r="AJ485" s="113"/>
      <c r="AK485" s="113"/>
      <c r="AL485" s="113"/>
      <c r="AM485" s="113"/>
      <c r="AN485" s="113"/>
      <c r="AO485" s="113"/>
      <c r="AP485" s="113"/>
      <c r="AQ485" s="113"/>
      <c r="AR485" s="113"/>
      <c r="AS485" s="113"/>
      <c r="AT485" s="113"/>
      <c r="AU485" s="113"/>
      <c r="AV485" s="113"/>
      <c r="AW485" s="113"/>
      <c r="AX485" s="113"/>
      <c r="AY485" s="113"/>
      <c r="AZ485" s="113"/>
      <c r="BA485" s="113"/>
      <c r="BB485" s="113"/>
      <c r="BC485" s="113"/>
      <c r="BD485" s="113"/>
      <c r="BE485" s="113"/>
      <c r="BF485" s="113"/>
      <c r="BG485" s="113"/>
      <c r="BH485" s="113"/>
      <c r="BI485" s="113"/>
      <c r="BJ485" s="113"/>
      <c r="BK485" s="113"/>
      <c r="BL485" s="113"/>
      <c r="BM485" s="113"/>
      <c r="BN485" s="113"/>
      <c r="BO485" s="113"/>
      <c r="BP485" s="113"/>
      <c r="BQ485" s="113"/>
      <c r="BR485" s="113"/>
      <c r="BS485" s="113"/>
      <c r="BT485" s="113"/>
      <c r="BU485" s="113"/>
      <c r="BV485" s="113"/>
      <c r="BW485" s="113"/>
      <c r="BX485" s="113"/>
      <c r="BY485" s="113"/>
      <c r="BZ485" s="113"/>
      <c r="CA485" s="113"/>
      <c r="CB485" s="113"/>
      <c r="CC485" s="113"/>
      <c r="CD485" s="113"/>
      <c r="CE485" s="113"/>
      <c r="CF485" s="113"/>
      <c r="CG485" s="113"/>
      <c r="CH485" s="113"/>
      <c r="CI485" s="113"/>
      <c r="CJ485" s="113"/>
      <c r="CK485" s="113"/>
      <c r="CL485" s="113"/>
      <c r="CM485" s="113"/>
      <c r="CN485" s="113"/>
      <c r="CO485" s="113"/>
      <c r="CP485" s="113"/>
      <c r="CQ485" s="113"/>
      <c r="CR485" s="113"/>
      <c r="CS485" s="113"/>
      <c r="CT485" s="113"/>
      <c r="CU485" s="113"/>
    </row>
    <row r="486">
      <c r="A486" s="159"/>
      <c r="B486" s="113"/>
      <c r="C486" s="113"/>
      <c r="D486" s="158"/>
      <c r="E486" s="161"/>
      <c r="F486" s="160"/>
      <c r="G486" s="162"/>
      <c r="H486" s="159"/>
      <c r="I486" s="113"/>
      <c r="J486" s="113"/>
      <c r="K486" s="113"/>
      <c r="L486" s="158"/>
      <c r="M486" s="113"/>
      <c r="N486" s="113"/>
      <c r="O486" s="113"/>
      <c r="P486" s="113"/>
      <c r="Q486" s="113"/>
      <c r="R486" s="113"/>
      <c r="S486" s="113"/>
      <c r="T486" s="113"/>
      <c r="U486" s="113"/>
      <c r="V486" s="113"/>
      <c r="W486" s="113"/>
      <c r="X486" s="113"/>
      <c r="Y486" s="113"/>
      <c r="Z486" s="113"/>
      <c r="AA486" s="113"/>
      <c r="AB486" s="113"/>
      <c r="AC486" s="113"/>
      <c r="AD486" s="113"/>
      <c r="AE486" s="113"/>
      <c r="AF486" s="113"/>
      <c r="AG486" s="113"/>
      <c r="AH486" s="113"/>
      <c r="AI486" s="113"/>
      <c r="AJ486" s="113"/>
      <c r="AK486" s="113"/>
      <c r="AL486" s="113"/>
      <c r="AM486" s="113"/>
      <c r="AN486" s="113"/>
      <c r="AO486" s="113"/>
      <c r="AP486" s="113"/>
      <c r="AQ486" s="113"/>
      <c r="AR486" s="113"/>
      <c r="AS486" s="113"/>
      <c r="AT486" s="113"/>
      <c r="AU486" s="113"/>
      <c r="AV486" s="113"/>
      <c r="AW486" s="113"/>
      <c r="AX486" s="113"/>
      <c r="AY486" s="113"/>
      <c r="AZ486" s="113"/>
      <c r="BA486" s="113"/>
      <c r="BB486" s="113"/>
      <c r="BC486" s="113"/>
      <c r="BD486" s="113"/>
      <c r="BE486" s="113"/>
      <c r="BF486" s="113"/>
      <c r="BG486" s="113"/>
      <c r="BH486" s="113"/>
      <c r="BI486" s="113"/>
      <c r="BJ486" s="113"/>
      <c r="BK486" s="113"/>
      <c r="BL486" s="113"/>
      <c r="BM486" s="113"/>
      <c r="BN486" s="113"/>
      <c r="BO486" s="113"/>
      <c r="BP486" s="113"/>
      <c r="BQ486" s="113"/>
      <c r="BR486" s="113"/>
      <c r="BS486" s="113"/>
      <c r="BT486" s="113"/>
      <c r="BU486" s="113"/>
      <c r="BV486" s="113"/>
      <c r="BW486" s="113"/>
      <c r="BX486" s="113"/>
      <c r="BY486" s="113"/>
      <c r="BZ486" s="113"/>
      <c r="CA486" s="113"/>
      <c r="CB486" s="113"/>
      <c r="CC486" s="113"/>
      <c r="CD486" s="113"/>
      <c r="CE486" s="113"/>
      <c r="CF486" s="113"/>
      <c r="CG486" s="113"/>
      <c r="CH486" s="113"/>
      <c r="CI486" s="113"/>
      <c r="CJ486" s="113"/>
      <c r="CK486" s="113"/>
      <c r="CL486" s="113"/>
      <c r="CM486" s="113"/>
      <c r="CN486" s="113"/>
      <c r="CO486" s="113"/>
      <c r="CP486" s="113"/>
      <c r="CQ486" s="113"/>
      <c r="CR486" s="113"/>
      <c r="CS486" s="113"/>
      <c r="CT486" s="113"/>
      <c r="CU486" s="113"/>
    </row>
    <row r="487">
      <c r="A487" s="159"/>
      <c r="B487" s="113"/>
      <c r="C487" s="113"/>
      <c r="D487" s="158"/>
      <c r="E487" s="161"/>
      <c r="F487" s="160"/>
      <c r="G487" s="162"/>
      <c r="H487" s="159"/>
      <c r="I487" s="113"/>
      <c r="J487" s="113"/>
      <c r="K487" s="113"/>
      <c r="L487" s="158"/>
      <c r="M487" s="113"/>
      <c r="N487" s="113"/>
      <c r="O487" s="113"/>
      <c r="P487" s="113"/>
      <c r="Q487" s="113"/>
      <c r="R487" s="113"/>
      <c r="S487" s="113"/>
      <c r="T487" s="113"/>
      <c r="U487" s="113"/>
      <c r="V487" s="113"/>
      <c r="W487" s="113"/>
      <c r="X487" s="113"/>
      <c r="Y487" s="113"/>
      <c r="Z487" s="113"/>
      <c r="AA487" s="113"/>
      <c r="AB487" s="113"/>
      <c r="AC487" s="113"/>
      <c r="AD487" s="113"/>
      <c r="AE487" s="113"/>
      <c r="AF487" s="113"/>
      <c r="AG487" s="113"/>
      <c r="AH487" s="113"/>
      <c r="AI487" s="113"/>
      <c r="AJ487" s="113"/>
      <c r="AK487" s="113"/>
      <c r="AL487" s="113"/>
      <c r="AM487" s="113"/>
      <c r="AN487" s="113"/>
      <c r="AO487" s="113"/>
      <c r="AP487" s="113"/>
      <c r="AQ487" s="113"/>
      <c r="AR487" s="113"/>
      <c r="AS487" s="113"/>
      <c r="AT487" s="113"/>
      <c r="AU487" s="113"/>
      <c r="AV487" s="113"/>
      <c r="AW487" s="113"/>
      <c r="AX487" s="113"/>
      <c r="AY487" s="113"/>
      <c r="AZ487" s="113"/>
      <c r="BA487" s="113"/>
      <c r="BB487" s="113"/>
      <c r="BC487" s="113"/>
      <c r="BD487" s="113"/>
      <c r="BE487" s="113"/>
      <c r="BF487" s="113"/>
      <c r="BG487" s="113"/>
      <c r="BH487" s="113"/>
      <c r="BI487" s="113"/>
      <c r="BJ487" s="113"/>
      <c r="BK487" s="113"/>
      <c r="BL487" s="113"/>
      <c r="BM487" s="113"/>
      <c r="BN487" s="113"/>
      <c r="BO487" s="113"/>
      <c r="BP487" s="113"/>
      <c r="BQ487" s="113"/>
      <c r="BR487" s="113"/>
      <c r="BS487" s="113"/>
      <c r="BT487" s="113"/>
      <c r="BU487" s="113"/>
      <c r="BV487" s="113"/>
      <c r="BW487" s="113"/>
      <c r="BX487" s="113"/>
      <c r="BY487" s="113"/>
      <c r="BZ487" s="113"/>
      <c r="CA487" s="113"/>
      <c r="CB487" s="113"/>
      <c r="CC487" s="113"/>
      <c r="CD487" s="113"/>
      <c r="CE487" s="113"/>
      <c r="CF487" s="113"/>
      <c r="CG487" s="113"/>
      <c r="CH487" s="113"/>
      <c r="CI487" s="113"/>
      <c r="CJ487" s="113"/>
      <c r="CK487" s="113"/>
      <c r="CL487" s="113"/>
      <c r="CM487" s="113"/>
      <c r="CN487" s="113"/>
      <c r="CO487" s="113"/>
      <c r="CP487" s="113"/>
      <c r="CQ487" s="113"/>
      <c r="CR487" s="113"/>
      <c r="CS487" s="113"/>
      <c r="CT487" s="113"/>
      <c r="CU487" s="113"/>
    </row>
    <row r="488">
      <c r="A488" s="159"/>
      <c r="B488" s="113"/>
      <c r="C488" s="113"/>
      <c r="D488" s="158"/>
      <c r="E488" s="161"/>
      <c r="F488" s="160"/>
      <c r="G488" s="162"/>
      <c r="H488" s="159"/>
      <c r="I488" s="113"/>
      <c r="J488" s="113"/>
      <c r="K488" s="113"/>
      <c r="L488" s="158"/>
      <c r="M488" s="113"/>
      <c r="N488" s="113"/>
      <c r="O488" s="113"/>
      <c r="P488" s="113"/>
      <c r="Q488" s="113"/>
      <c r="R488" s="113"/>
      <c r="S488" s="113"/>
      <c r="T488" s="113"/>
      <c r="U488" s="113"/>
      <c r="V488" s="113"/>
      <c r="W488" s="113"/>
      <c r="X488" s="113"/>
      <c r="Y488" s="113"/>
      <c r="Z488" s="113"/>
      <c r="AA488" s="113"/>
      <c r="AB488" s="113"/>
      <c r="AC488" s="113"/>
      <c r="AD488" s="113"/>
      <c r="AE488" s="113"/>
      <c r="AF488" s="113"/>
      <c r="AG488" s="113"/>
      <c r="AH488" s="113"/>
      <c r="AI488" s="113"/>
      <c r="AJ488" s="113"/>
      <c r="AK488" s="113"/>
      <c r="AL488" s="113"/>
      <c r="AM488" s="113"/>
      <c r="AN488" s="113"/>
      <c r="AO488" s="113"/>
      <c r="AP488" s="113"/>
      <c r="AQ488" s="113"/>
      <c r="AR488" s="113"/>
      <c r="AS488" s="113"/>
      <c r="AT488" s="113"/>
      <c r="AU488" s="113"/>
      <c r="AV488" s="113"/>
      <c r="AW488" s="113"/>
      <c r="AX488" s="113"/>
      <c r="AY488" s="113"/>
      <c r="AZ488" s="113"/>
      <c r="BA488" s="113"/>
      <c r="BB488" s="113"/>
      <c r="BC488" s="113"/>
      <c r="BD488" s="113"/>
      <c r="BE488" s="113"/>
      <c r="BF488" s="113"/>
      <c r="BG488" s="113"/>
      <c r="BH488" s="113"/>
      <c r="BI488" s="113"/>
      <c r="BJ488" s="113"/>
      <c r="BK488" s="113"/>
      <c r="BL488" s="113"/>
      <c r="BM488" s="113"/>
      <c r="BN488" s="113"/>
      <c r="BO488" s="113"/>
      <c r="BP488" s="113"/>
      <c r="BQ488" s="113"/>
      <c r="BR488" s="113"/>
      <c r="BS488" s="113"/>
      <c r="BT488" s="113"/>
      <c r="BU488" s="113"/>
      <c r="BV488" s="113"/>
      <c r="BW488" s="113"/>
      <c r="BX488" s="113"/>
      <c r="BY488" s="113"/>
      <c r="BZ488" s="113"/>
      <c r="CA488" s="113"/>
      <c r="CB488" s="113"/>
      <c r="CC488" s="113"/>
      <c r="CD488" s="113"/>
      <c r="CE488" s="113"/>
      <c r="CF488" s="113"/>
      <c r="CG488" s="113"/>
      <c r="CH488" s="113"/>
      <c r="CI488" s="113"/>
      <c r="CJ488" s="113"/>
      <c r="CK488" s="113"/>
      <c r="CL488" s="113"/>
      <c r="CM488" s="113"/>
      <c r="CN488" s="113"/>
      <c r="CO488" s="113"/>
      <c r="CP488" s="113"/>
      <c r="CQ488" s="113"/>
      <c r="CR488" s="113"/>
      <c r="CS488" s="113"/>
      <c r="CT488" s="113"/>
      <c r="CU488" s="113"/>
    </row>
    <row r="489">
      <c r="A489" s="159"/>
      <c r="B489" s="113"/>
      <c r="C489" s="113"/>
      <c r="D489" s="158"/>
      <c r="E489" s="161"/>
      <c r="F489" s="160"/>
      <c r="G489" s="162"/>
      <c r="H489" s="159"/>
      <c r="I489" s="113"/>
      <c r="J489" s="113"/>
      <c r="K489" s="113"/>
      <c r="L489" s="158"/>
      <c r="M489" s="113"/>
      <c r="N489" s="113"/>
      <c r="O489" s="113"/>
      <c r="P489" s="113"/>
      <c r="Q489" s="113"/>
      <c r="R489" s="113"/>
      <c r="S489" s="113"/>
      <c r="T489" s="113"/>
      <c r="U489" s="113"/>
      <c r="V489" s="113"/>
      <c r="W489" s="113"/>
      <c r="X489" s="113"/>
      <c r="Y489" s="113"/>
      <c r="Z489" s="113"/>
      <c r="AA489" s="113"/>
      <c r="AB489" s="113"/>
      <c r="AC489" s="113"/>
      <c r="AD489" s="113"/>
      <c r="AE489" s="113"/>
      <c r="AF489" s="113"/>
      <c r="AG489" s="113"/>
      <c r="AH489" s="113"/>
      <c r="AI489" s="113"/>
      <c r="AJ489" s="113"/>
      <c r="AK489" s="113"/>
      <c r="AL489" s="113"/>
      <c r="AM489" s="113"/>
      <c r="AN489" s="113"/>
      <c r="AO489" s="113"/>
      <c r="AP489" s="113"/>
      <c r="AQ489" s="113"/>
      <c r="AR489" s="113"/>
      <c r="AS489" s="113"/>
      <c r="AT489" s="113"/>
      <c r="AU489" s="113"/>
      <c r="AV489" s="113"/>
      <c r="AW489" s="113"/>
      <c r="AX489" s="113"/>
      <c r="AY489" s="113"/>
      <c r="AZ489" s="113"/>
      <c r="BA489" s="113"/>
      <c r="BB489" s="113"/>
      <c r="BC489" s="113"/>
      <c r="BD489" s="113"/>
      <c r="BE489" s="113"/>
      <c r="BF489" s="113"/>
      <c r="BG489" s="113"/>
      <c r="BH489" s="113"/>
      <c r="BI489" s="113"/>
      <c r="BJ489" s="113"/>
      <c r="BK489" s="113"/>
      <c r="BL489" s="113"/>
      <c r="BM489" s="113"/>
      <c r="BN489" s="113"/>
      <c r="BO489" s="113"/>
      <c r="BP489" s="113"/>
      <c r="BQ489" s="113"/>
      <c r="BR489" s="113"/>
      <c r="BS489" s="113"/>
      <c r="BT489" s="113"/>
      <c r="BU489" s="113"/>
      <c r="BV489" s="113"/>
      <c r="BW489" s="113"/>
      <c r="BX489" s="113"/>
      <c r="BY489" s="113"/>
      <c r="BZ489" s="113"/>
      <c r="CA489" s="113"/>
      <c r="CB489" s="113"/>
      <c r="CC489" s="113"/>
      <c r="CD489" s="113"/>
      <c r="CE489" s="113"/>
      <c r="CF489" s="113"/>
      <c r="CG489" s="113"/>
      <c r="CH489" s="113"/>
      <c r="CI489" s="113"/>
      <c r="CJ489" s="113"/>
      <c r="CK489" s="113"/>
      <c r="CL489" s="113"/>
      <c r="CM489" s="113"/>
      <c r="CN489" s="113"/>
      <c r="CO489" s="113"/>
      <c r="CP489" s="113"/>
      <c r="CQ489" s="113"/>
      <c r="CR489" s="113"/>
      <c r="CS489" s="113"/>
      <c r="CT489" s="113"/>
      <c r="CU489" s="113"/>
    </row>
    <row r="490">
      <c r="A490" s="159"/>
      <c r="B490" s="113"/>
      <c r="C490" s="113"/>
      <c r="D490" s="158"/>
      <c r="E490" s="161"/>
      <c r="F490" s="160"/>
      <c r="G490" s="162"/>
      <c r="H490" s="159"/>
      <c r="I490" s="113"/>
      <c r="J490" s="113"/>
      <c r="K490" s="113"/>
      <c r="L490" s="158"/>
      <c r="M490" s="113"/>
      <c r="N490" s="113"/>
      <c r="O490" s="113"/>
      <c r="P490" s="113"/>
      <c r="Q490" s="113"/>
      <c r="R490" s="113"/>
      <c r="S490" s="113"/>
      <c r="T490" s="113"/>
      <c r="U490" s="113"/>
      <c r="V490" s="113"/>
      <c r="W490" s="113"/>
      <c r="X490" s="113"/>
      <c r="Y490" s="113"/>
      <c r="Z490" s="113"/>
      <c r="AA490" s="113"/>
      <c r="AB490" s="113"/>
      <c r="AC490" s="113"/>
      <c r="AD490" s="113"/>
      <c r="AE490" s="113"/>
      <c r="AF490" s="113"/>
      <c r="AG490" s="113"/>
      <c r="AH490" s="113"/>
      <c r="AI490" s="113"/>
      <c r="AJ490" s="113"/>
      <c r="AK490" s="113"/>
      <c r="AL490" s="113"/>
      <c r="AM490" s="113"/>
      <c r="AN490" s="113"/>
      <c r="AO490" s="113"/>
      <c r="AP490" s="113"/>
      <c r="AQ490" s="113"/>
      <c r="AR490" s="113"/>
      <c r="AS490" s="113"/>
      <c r="AT490" s="113"/>
      <c r="AU490" s="113"/>
      <c r="AV490" s="113"/>
      <c r="AW490" s="113"/>
      <c r="AX490" s="113"/>
      <c r="AY490" s="113"/>
      <c r="AZ490" s="113"/>
      <c r="BA490" s="113"/>
      <c r="BB490" s="113"/>
      <c r="BC490" s="113"/>
      <c r="BD490" s="113"/>
      <c r="BE490" s="113"/>
      <c r="BF490" s="113"/>
      <c r="BG490" s="113"/>
      <c r="BH490" s="113"/>
      <c r="BI490" s="113"/>
      <c r="BJ490" s="113"/>
      <c r="BK490" s="113"/>
      <c r="BL490" s="113"/>
      <c r="BM490" s="113"/>
      <c r="BN490" s="113"/>
      <c r="BO490" s="113"/>
      <c r="BP490" s="113"/>
      <c r="BQ490" s="113"/>
      <c r="BR490" s="113"/>
      <c r="BS490" s="113"/>
      <c r="BT490" s="113"/>
      <c r="BU490" s="113"/>
      <c r="BV490" s="113"/>
      <c r="BW490" s="113"/>
      <c r="BX490" s="113"/>
      <c r="BY490" s="113"/>
      <c r="BZ490" s="113"/>
      <c r="CA490" s="113"/>
      <c r="CB490" s="113"/>
      <c r="CC490" s="113"/>
      <c r="CD490" s="113"/>
      <c r="CE490" s="113"/>
      <c r="CF490" s="113"/>
      <c r="CG490" s="113"/>
      <c r="CH490" s="113"/>
      <c r="CI490" s="113"/>
      <c r="CJ490" s="113"/>
      <c r="CK490" s="113"/>
      <c r="CL490" s="113"/>
      <c r="CM490" s="113"/>
      <c r="CN490" s="113"/>
      <c r="CO490" s="113"/>
      <c r="CP490" s="113"/>
      <c r="CQ490" s="113"/>
      <c r="CR490" s="113"/>
      <c r="CS490" s="113"/>
      <c r="CT490" s="113"/>
      <c r="CU490" s="113"/>
    </row>
    <row r="491">
      <c r="A491" s="159"/>
      <c r="B491" s="113"/>
      <c r="C491" s="113"/>
      <c r="D491" s="158"/>
      <c r="E491" s="161"/>
      <c r="F491" s="160"/>
      <c r="G491" s="162"/>
      <c r="H491" s="159"/>
      <c r="I491" s="113"/>
      <c r="J491" s="113"/>
      <c r="K491" s="113"/>
      <c r="L491" s="158"/>
      <c r="M491" s="113"/>
      <c r="N491" s="113"/>
      <c r="O491" s="113"/>
      <c r="P491" s="113"/>
      <c r="Q491" s="113"/>
      <c r="R491" s="113"/>
      <c r="S491" s="113"/>
      <c r="T491" s="113"/>
      <c r="U491" s="113"/>
      <c r="V491" s="113"/>
      <c r="W491" s="113"/>
      <c r="X491" s="113"/>
      <c r="Y491" s="113"/>
      <c r="Z491" s="113"/>
      <c r="AA491" s="113"/>
      <c r="AB491" s="113"/>
      <c r="AC491" s="113"/>
      <c r="AD491" s="113"/>
      <c r="AE491" s="113"/>
      <c r="AF491" s="113"/>
      <c r="AG491" s="113"/>
      <c r="AH491" s="113"/>
      <c r="AI491" s="113"/>
      <c r="AJ491" s="113"/>
      <c r="AK491" s="113"/>
      <c r="AL491" s="113"/>
      <c r="AM491" s="113"/>
      <c r="AN491" s="113"/>
      <c r="AO491" s="113"/>
      <c r="AP491" s="113"/>
      <c r="AQ491" s="113"/>
      <c r="AR491" s="113"/>
      <c r="AS491" s="113"/>
      <c r="AT491" s="113"/>
      <c r="AU491" s="113"/>
      <c r="AV491" s="113"/>
      <c r="AW491" s="113"/>
      <c r="AX491" s="113"/>
      <c r="AY491" s="113"/>
      <c r="AZ491" s="113"/>
      <c r="BA491" s="113"/>
      <c r="BB491" s="113"/>
      <c r="BC491" s="113"/>
      <c r="BD491" s="113"/>
      <c r="BE491" s="113"/>
      <c r="BF491" s="113"/>
      <c r="BG491" s="113"/>
      <c r="BH491" s="113"/>
      <c r="BI491" s="113"/>
      <c r="BJ491" s="113"/>
      <c r="BK491" s="113"/>
      <c r="BL491" s="113"/>
      <c r="BM491" s="113"/>
      <c r="BN491" s="113"/>
      <c r="BO491" s="113"/>
      <c r="BP491" s="113"/>
      <c r="BQ491" s="113"/>
      <c r="BR491" s="113"/>
      <c r="BS491" s="113"/>
      <c r="BT491" s="113"/>
      <c r="BU491" s="113"/>
      <c r="BV491" s="113"/>
      <c r="BW491" s="113"/>
      <c r="BX491" s="113"/>
      <c r="BY491" s="113"/>
      <c r="BZ491" s="113"/>
      <c r="CA491" s="113"/>
      <c r="CB491" s="113"/>
      <c r="CC491" s="113"/>
      <c r="CD491" s="113"/>
      <c r="CE491" s="113"/>
      <c r="CF491" s="113"/>
      <c r="CG491" s="113"/>
      <c r="CH491" s="113"/>
      <c r="CI491" s="113"/>
      <c r="CJ491" s="113"/>
      <c r="CK491" s="113"/>
      <c r="CL491" s="113"/>
      <c r="CM491" s="113"/>
      <c r="CN491" s="113"/>
      <c r="CO491" s="113"/>
      <c r="CP491" s="113"/>
      <c r="CQ491" s="113"/>
      <c r="CR491" s="113"/>
      <c r="CS491" s="113"/>
      <c r="CT491" s="113"/>
      <c r="CU491" s="113"/>
    </row>
    <row r="492">
      <c r="A492" s="159"/>
      <c r="B492" s="113"/>
      <c r="C492" s="113"/>
      <c r="D492" s="158"/>
      <c r="E492" s="161"/>
      <c r="F492" s="160"/>
      <c r="G492" s="162"/>
      <c r="H492" s="159"/>
      <c r="I492" s="113"/>
      <c r="J492" s="113"/>
      <c r="K492" s="113"/>
      <c r="L492" s="158"/>
      <c r="M492" s="113"/>
      <c r="N492" s="113"/>
      <c r="O492" s="113"/>
      <c r="P492" s="113"/>
      <c r="Q492" s="113"/>
      <c r="R492" s="113"/>
      <c r="S492" s="113"/>
      <c r="T492" s="113"/>
      <c r="U492" s="113"/>
      <c r="V492" s="113"/>
      <c r="W492" s="113"/>
      <c r="X492" s="113"/>
      <c r="Y492" s="113"/>
      <c r="Z492" s="113"/>
      <c r="AA492" s="113"/>
      <c r="AB492" s="113"/>
      <c r="AC492" s="113"/>
      <c r="AD492" s="113"/>
      <c r="AE492" s="113"/>
      <c r="AF492" s="113"/>
      <c r="AG492" s="113"/>
      <c r="AH492" s="113"/>
      <c r="AI492" s="113"/>
      <c r="AJ492" s="113"/>
      <c r="AK492" s="113"/>
      <c r="AL492" s="113"/>
      <c r="AM492" s="113"/>
      <c r="AN492" s="113"/>
      <c r="AO492" s="113"/>
      <c r="AP492" s="113"/>
      <c r="AQ492" s="113"/>
      <c r="AR492" s="113"/>
      <c r="AS492" s="113"/>
      <c r="AT492" s="113"/>
      <c r="AU492" s="113"/>
      <c r="AV492" s="113"/>
      <c r="AW492" s="113"/>
      <c r="AX492" s="113"/>
      <c r="AY492" s="113"/>
      <c r="AZ492" s="113"/>
      <c r="BA492" s="113"/>
      <c r="BB492" s="113"/>
      <c r="BC492" s="113"/>
      <c r="BD492" s="113"/>
      <c r="BE492" s="113"/>
      <c r="BF492" s="113"/>
      <c r="BG492" s="113"/>
      <c r="BH492" s="113"/>
      <c r="BI492" s="113"/>
      <c r="BJ492" s="113"/>
      <c r="BK492" s="113"/>
      <c r="BL492" s="113"/>
      <c r="BM492" s="113"/>
      <c r="BN492" s="113"/>
      <c r="BO492" s="113"/>
      <c r="BP492" s="113"/>
      <c r="BQ492" s="113"/>
      <c r="BR492" s="113"/>
      <c r="BS492" s="113"/>
      <c r="BT492" s="113"/>
      <c r="BU492" s="113"/>
      <c r="BV492" s="113"/>
      <c r="BW492" s="113"/>
      <c r="BX492" s="113"/>
      <c r="BY492" s="113"/>
      <c r="BZ492" s="113"/>
      <c r="CA492" s="113"/>
      <c r="CB492" s="113"/>
      <c r="CC492" s="113"/>
      <c r="CD492" s="113"/>
      <c r="CE492" s="113"/>
      <c r="CF492" s="113"/>
      <c r="CG492" s="113"/>
      <c r="CH492" s="113"/>
      <c r="CI492" s="113"/>
      <c r="CJ492" s="113"/>
      <c r="CK492" s="113"/>
      <c r="CL492" s="113"/>
      <c r="CM492" s="113"/>
      <c r="CN492" s="113"/>
      <c r="CO492" s="113"/>
      <c r="CP492" s="113"/>
      <c r="CQ492" s="113"/>
      <c r="CR492" s="113"/>
      <c r="CS492" s="113"/>
      <c r="CT492" s="113"/>
      <c r="CU492" s="113"/>
    </row>
    <row r="493">
      <c r="A493" s="159"/>
      <c r="B493" s="113"/>
      <c r="C493" s="113"/>
      <c r="D493" s="158"/>
      <c r="E493" s="161"/>
      <c r="F493" s="160"/>
      <c r="G493" s="162"/>
      <c r="H493" s="159"/>
      <c r="I493" s="113"/>
      <c r="J493" s="113"/>
      <c r="K493" s="113"/>
      <c r="L493" s="158"/>
      <c r="M493" s="113"/>
      <c r="N493" s="113"/>
      <c r="O493" s="113"/>
      <c r="P493" s="113"/>
      <c r="Q493" s="113"/>
      <c r="R493" s="113"/>
      <c r="S493" s="113"/>
      <c r="T493" s="113"/>
      <c r="U493" s="113"/>
      <c r="V493" s="113"/>
      <c r="W493" s="113"/>
      <c r="X493" s="113"/>
      <c r="Y493" s="113"/>
      <c r="Z493" s="113"/>
      <c r="AA493" s="113"/>
      <c r="AB493" s="113"/>
      <c r="AC493" s="113"/>
      <c r="AD493" s="113"/>
      <c r="AE493" s="113"/>
      <c r="AF493" s="113"/>
      <c r="AG493" s="113"/>
      <c r="AH493" s="113"/>
      <c r="AI493" s="113"/>
      <c r="AJ493" s="113"/>
      <c r="AK493" s="113"/>
      <c r="AL493" s="113"/>
      <c r="AM493" s="113"/>
      <c r="AN493" s="113"/>
      <c r="AO493" s="113"/>
      <c r="AP493" s="113"/>
      <c r="AQ493" s="113"/>
      <c r="AR493" s="113"/>
      <c r="AS493" s="113"/>
      <c r="AT493" s="113"/>
      <c r="AU493" s="113"/>
      <c r="AV493" s="113"/>
      <c r="AW493" s="113"/>
      <c r="AX493" s="113"/>
      <c r="AY493" s="113"/>
      <c r="AZ493" s="113"/>
      <c r="BA493" s="113"/>
      <c r="BB493" s="113"/>
      <c r="BC493" s="113"/>
      <c r="BD493" s="113"/>
      <c r="BE493" s="113"/>
      <c r="BF493" s="113"/>
      <c r="BG493" s="113"/>
      <c r="BH493" s="113"/>
      <c r="BI493" s="113"/>
      <c r="BJ493" s="113"/>
      <c r="BK493" s="113"/>
      <c r="BL493" s="113"/>
      <c r="BM493" s="113"/>
      <c r="BN493" s="113"/>
      <c r="BO493" s="113"/>
      <c r="BP493" s="113"/>
      <c r="BQ493" s="113"/>
      <c r="BR493" s="113"/>
      <c r="BS493" s="113"/>
      <c r="BT493" s="113"/>
      <c r="BU493" s="113"/>
      <c r="BV493" s="113"/>
      <c r="BW493" s="113"/>
      <c r="BX493" s="113"/>
      <c r="BY493" s="113"/>
      <c r="BZ493" s="113"/>
      <c r="CA493" s="113"/>
      <c r="CB493" s="113"/>
      <c r="CC493" s="113"/>
      <c r="CD493" s="113"/>
      <c r="CE493" s="113"/>
      <c r="CF493" s="113"/>
      <c r="CG493" s="113"/>
      <c r="CH493" s="113"/>
      <c r="CI493" s="113"/>
      <c r="CJ493" s="113"/>
      <c r="CK493" s="113"/>
      <c r="CL493" s="113"/>
      <c r="CM493" s="113"/>
      <c r="CN493" s="113"/>
      <c r="CO493" s="113"/>
      <c r="CP493" s="113"/>
      <c r="CQ493" s="113"/>
      <c r="CR493" s="113"/>
      <c r="CS493" s="113"/>
      <c r="CT493" s="113"/>
      <c r="CU493" s="113"/>
    </row>
    <row r="494">
      <c r="A494" s="159"/>
      <c r="B494" s="113"/>
      <c r="C494" s="113"/>
      <c r="D494" s="158"/>
      <c r="E494" s="161"/>
      <c r="F494" s="160"/>
      <c r="G494" s="162"/>
      <c r="H494" s="159"/>
      <c r="I494" s="113"/>
      <c r="J494" s="113"/>
      <c r="K494" s="113"/>
      <c r="L494" s="158"/>
      <c r="M494" s="113"/>
      <c r="N494" s="113"/>
      <c r="O494" s="113"/>
      <c r="P494" s="113"/>
      <c r="Q494" s="113"/>
      <c r="R494" s="113"/>
      <c r="S494" s="113"/>
      <c r="T494" s="113"/>
      <c r="U494" s="113"/>
      <c r="V494" s="113"/>
      <c r="W494" s="113"/>
      <c r="X494" s="113"/>
      <c r="Y494" s="113"/>
      <c r="Z494" s="113"/>
      <c r="AA494" s="113"/>
      <c r="AB494" s="113"/>
      <c r="AC494" s="113"/>
      <c r="AD494" s="113"/>
      <c r="AE494" s="113"/>
      <c r="AF494" s="113"/>
      <c r="AG494" s="113"/>
      <c r="AH494" s="113"/>
      <c r="AI494" s="113"/>
      <c r="AJ494" s="113"/>
      <c r="AK494" s="113"/>
      <c r="AL494" s="113"/>
      <c r="AM494" s="113"/>
      <c r="AN494" s="113"/>
      <c r="AO494" s="113"/>
      <c r="AP494" s="113"/>
      <c r="AQ494" s="113"/>
      <c r="AR494" s="113"/>
      <c r="AS494" s="113"/>
      <c r="AT494" s="113"/>
      <c r="AU494" s="113"/>
      <c r="AV494" s="113"/>
      <c r="AW494" s="113"/>
      <c r="AX494" s="113"/>
      <c r="AY494" s="113"/>
      <c r="AZ494" s="113"/>
      <c r="BA494" s="113"/>
      <c r="BB494" s="113"/>
      <c r="BC494" s="113"/>
      <c r="BD494" s="113"/>
      <c r="BE494" s="113"/>
      <c r="BF494" s="113"/>
      <c r="BG494" s="113"/>
      <c r="BH494" s="113"/>
      <c r="BI494" s="113"/>
      <c r="BJ494" s="113"/>
      <c r="BK494" s="113"/>
      <c r="BL494" s="113"/>
      <c r="BM494" s="113"/>
      <c r="BN494" s="113"/>
      <c r="BO494" s="113"/>
      <c r="BP494" s="113"/>
      <c r="BQ494" s="113"/>
      <c r="BR494" s="113"/>
      <c r="BS494" s="113"/>
      <c r="BT494" s="113"/>
      <c r="BU494" s="113"/>
      <c r="BV494" s="113"/>
      <c r="BW494" s="113"/>
      <c r="BX494" s="113"/>
      <c r="BY494" s="113"/>
      <c r="BZ494" s="113"/>
      <c r="CA494" s="113"/>
      <c r="CB494" s="113"/>
      <c r="CC494" s="113"/>
      <c r="CD494" s="113"/>
      <c r="CE494" s="113"/>
      <c r="CF494" s="113"/>
      <c r="CG494" s="113"/>
      <c r="CH494" s="113"/>
      <c r="CI494" s="113"/>
      <c r="CJ494" s="113"/>
      <c r="CK494" s="113"/>
      <c r="CL494" s="113"/>
      <c r="CM494" s="113"/>
      <c r="CN494" s="113"/>
      <c r="CO494" s="113"/>
      <c r="CP494" s="113"/>
      <c r="CQ494" s="113"/>
      <c r="CR494" s="113"/>
      <c r="CS494" s="113"/>
      <c r="CT494" s="113"/>
      <c r="CU494" s="113"/>
    </row>
    <row r="495">
      <c r="A495" s="159"/>
      <c r="B495" s="113"/>
      <c r="C495" s="113"/>
      <c r="D495" s="158"/>
      <c r="E495" s="161"/>
      <c r="F495" s="160"/>
      <c r="G495" s="162"/>
      <c r="H495" s="159"/>
      <c r="I495" s="113"/>
      <c r="J495" s="113"/>
      <c r="K495" s="113"/>
      <c r="L495" s="158"/>
      <c r="M495" s="113"/>
      <c r="N495" s="113"/>
      <c r="O495" s="113"/>
      <c r="P495" s="113"/>
      <c r="Q495" s="113"/>
      <c r="R495" s="113"/>
      <c r="S495" s="113"/>
      <c r="T495" s="113"/>
      <c r="U495" s="113"/>
      <c r="V495" s="113"/>
      <c r="W495" s="113"/>
      <c r="X495" s="113"/>
      <c r="Y495" s="113"/>
      <c r="Z495" s="113"/>
      <c r="AA495" s="113"/>
      <c r="AB495" s="113"/>
      <c r="AC495" s="113"/>
      <c r="AD495" s="113"/>
      <c r="AE495" s="113"/>
      <c r="AF495" s="113"/>
      <c r="AG495" s="113"/>
      <c r="AH495" s="113"/>
      <c r="AI495" s="113"/>
      <c r="AJ495" s="113"/>
      <c r="AK495" s="113"/>
      <c r="AL495" s="113"/>
      <c r="AM495" s="113"/>
      <c r="AN495" s="113"/>
      <c r="AO495" s="113"/>
      <c r="AP495" s="113"/>
      <c r="AQ495" s="113"/>
      <c r="AR495" s="113"/>
      <c r="AS495" s="113"/>
      <c r="AT495" s="113"/>
      <c r="AU495" s="113"/>
      <c r="AV495" s="113"/>
      <c r="AW495" s="113"/>
      <c r="AX495" s="113"/>
      <c r="AY495" s="113"/>
      <c r="AZ495" s="113"/>
      <c r="BA495" s="113"/>
      <c r="BB495" s="113"/>
      <c r="BC495" s="113"/>
      <c r="BD495" s="113"/>
      <c r="BE495" s="113"/>
      <c r="BF495" s="113"/>
      <c r="BG495" s="113"/>
      <c r="BH495" s="113"/>
      <c r="BI495" s="113"/>
      <c r="BJ495" s="113"/>
      <c r="BK495" s="113"/>
      <c r="BL495" s="113"/>
      <c r="BM495" s="113"/>
      <c r="BN495" s="113"/>
      <c r="BO495" s="113"/>
      <c r="BP495" s="113"/>
      <c r="BQ495" s="113"/>
      <c r="BR495" s="113"/>
      <c r="BS495" s="113"/>
      <c r="BT495" s="113"/>
      <c r="BU495" s="113"/>
      <c r="BV495" s="113"/>
      <c r="BW495" s="113"/>
      <c r="BX495" s="113"/>
      <c r="BY495" s="113"/>
      <c r="BZ495" s="113"/>
      <c r="CA495" s="113"/>
      <c r="CB495" s="113"/>
      <c r="CC495" s="113"/>
      <c r="CD495" s="113"/>
      <c r="CE495" s="113"/>
      <c r="CF495" s="113"/>
      <c r="CG495" s="113"/>
      <c r="CH495" s="113"/>
      <c r="CI495" s="113"/>
      <c r="CJ495" s="113"/>
      <c r="CK495" s="113"/>
      <c r="CL495" s="113"/>
      <c r="CM495" s="113"/>
      <c r="CN495" s="113"/>
      <c r="CO495" s="113"/>
      <c r="CP495" s="113"/>
      <c r="CQ495" s="113"/>
      <c r="CR495" s="113"/>
      <c r="CS495" s="113"/>
      <c r="CT495" s="113"/>
      <c r="CU495" s="113"/>
    </row>
    <row r="496">
      <c r="A496" s="159"/>
      <c r="B496" s="113"/>
      <c r="C496" s="113"/>
      <c r="D496" s="158"/>
      <c r="E496" s="161"/>
      <c r="F496" s="160"/>
      <c r="G496" s="162"/>
      <c r="H496" s="159"/>
      <c r="I496" s="113"/>
      <c r="J496" s="113"/>
      <c r="K496" s="113"/>
      <c r="L496" s="158"/>
      <c r="M496" s="113"/>
      <c r="N496" s="113"/>
      <c r="O496" s="113"/>
      <c r="P496" s="113"/>
      <c r="Q496" s="113"/>
      <c r="R496" s="113"/>
      <c r="S496" s="113"/>
      <c r="T496" s="113"/>
      <c r="U496" s="113"/>
      <c r="V496" s="113"/>
      <c r="W496" s="113"/>
      <c r="X496" s="113"/>
      <c r="Y496" s="113"/>
      <c r="Z496" s="113"/>
      <c r="AA496" s="113"/>
      <c r="AB496" s="113"/>
      <c r="AC496" s="113"/>
      <c r="AD496" s="113"/>
      <c r="AE496" s="113"/>
      <c r="AF496" s="113"/>
      <c r="AG496" s="113"/>
      <c r="AH496" s="113"/>
      <c r="AI496" s="113"/>
      <c r="AJ496" s="113"/>
      <c r="AK496" s="113"/>
      <c r="AL496" s="113"/>
      <c r="AM496" s="113"/>
      <c r="AN496" s="113"/>
      <c r="AO496" s="113"/>
      <c r="AP496" s="113"/>
      <c r="AQ496" s="113"/>
      <c r="AR496" s="113"/>
      <c r="AS496" s="113"/>
      <c r="AT496" s="113"/>
      <c r="AU496" s="113"/>
      <c r="AV496" s="113"/>
      <c r="AW496" s="113"/>
      <c r="AX496" s="113"/>
      <c r="AY496" s="113"/>
      <c r="AZ496" s="113"/>
      <c r="BA496" s="113"/>
      <c r="BB496" s="113"/>
      <c r="BC496" s="113"/>
      <c r="BD496" s="113"/>
      <c r="BE496" s="113"/>
      <c r="BF496" s="113"/>
      <c r="BG496" s="113"/>
      <c r="BH496" s="113"/>
      <c r="BI496" s="113"/>
      <c r="BJ496" s="113"/>
      <c r="BK496" s="113"/>
      <c r="BL496" s="113"/>
      <c r="BM496" s="113"/>
      <c r="BN496" s="113"/>
      <c r="BO496" s="113"/>
      <c r="BP496" s="113"/>
      <c r="BQ496" s="113"/>
      <c r="BR496" s="113"/>
      <c r="BS496" s="113"/>
      <c r="BT496" s="113"/>
      <c r="BU496" s="113"/>
      <c r="BV496" s="113"/>
      <c r="BW496" s="113"/>
      <c r="BX496" s="113"/>
      <c r="BY496" s="113"/>
      <c r="BZ496" s="113"/>
      <c r="CA496" s="113"/>
      <c r="CB496" s="113"/>
      <c r="CC496" s="113"/>
      <c r="CD496" s="113"/>
      <c r="CE496" s="113"/>
      <c r="CF496" s="113"/>
      <c r="CG496" s="113"/>
      <c r="CH496" s="113"/>
      <c r="CI496" s="113"/>
      <c r="CJ496" s="113"/>
      <c r="CK496" s="113"/>
      <c r="CL496" s="113"/>
      <c r="CM496" s="113"/>
      <c r="CN496" s="113"/>
      <c r="CO496" s="113"/>
      <c r="CP496" s="113"/>
      <c r="CQ496" s="113"/>
      <c r="CR496" s="113"/>
      <c r="CS496" s="113"/>
      <c r="CT496" s="113"/>
      <c r="CU496" s="113"/>
    </row>
    <row r="497">
      <c r="A497" s="159"/>
      <c r="B497" s="113"/>
      <c r="C497" s="113"/>
      <c r="D497" s="158"/>
      <c r="E497" s="161"/>
      <c r="F497" s="160"/>
      <c r="G497" s="162"/>
      <c r="H497" s="159"/>
      <c r="I497" s="113"/>
      <c r="J497" s="113"/>
      <c r="K497" s="113"/>
      <c r="L497" s="158"/>
      <c r="M497" s="113"/>
      <c r="N497" s="113"/>
      <c r="O497" s="113"/>
      <c r="P497" s="113"/>
      <c r="Q497" s="113"/>
      <c r="R497" s="113"/>
      <c r="S497" s="113"/>
      <c r="T497" s="113"/>
      <c r="U497" s="113"/>
      <c r="V497" s="113"/>
      <c r="W497" s="113"/>
      <c r="X497" s="113"/>
      <c r="Y497" s="113"/>
      <c r="Z497" s="113"/>
      <c r="AA497" s="113"/>
      <c r="AB497" s="113"/>
      <c r="AC497" s="113"/>
      <c r="AD497" s="113"/>
      <c r="AE497" s="113"/>
      <c r="AF497" s="113"/>
      <c r="AG497" s="113"/>
      <c r="AH497" s="113"/>
      <c r="AI497" s="113"/>
      <c r="AJ497" s="113"/>
      <c r="AK497" s="113"/>
      <c r="AL497" s="113"/>
      <c r="AM497" s="113"/>
      <c r="AN497" s="113"/>
      <c r="AO497" s="113"/>
      <c r="AP497" s="113"/>
      <c r="AQ497" s="113"/>
      <c r="AR497" s="113"/>
      <c r="AS497" s="113"/>
      <c r="AT497" s="113"/>
      <c r="AU497" s="113"/>
      <c r="AV497" s="113"/>
      <c r="AW497" s="113"/>
      <c r="AX497" s="113"/>
      <c r="AY497" s="113"/>
      <c r="AZ497" s="113"/>
      <c r="BA497" s="113"/>
      <c r="BB497" s="113"/>
      <c r="BC497" s="113"/>
      <c r="BD497" s="113"/>
      <c r="BE497" s="113"/>
      <c r="BF497" s="113"/>
      <c r="BG497" s="113"/>
      <c r="BH497" s="113"/>
      <c r="BI497" s="113"/>
      <c r="BJ497" s="113"/>
      <c r="BK497" s="113"/>
      <c r="BL497" s="113"/>
      <c r="BM497" s="113"/>
      <c r="BN497" s="113"/>
      <c r="BO497" s="113"/>
      <c r="BP497" s="113"/>
      <c r="BQ497" s="113"/>
      <c r="BR497" s="113"/>
      <c r="BS497" s="113"/>
      <c r="BT497" s="113"/>
      <c r="BU497" s="113"/>
      <c r="BV497" s="113"/>
      <c r="BW497" s="113"/>
      <c r="BX497" s="113"/>
      <c r="BY497" s="113"/>
      <c r="BZ497" s="113"/>
      <c r="CA497" s="113"/>
      <c r="CB497" s="113"/>
      <c r="CC497" s="113"/>
      <c r="CD497" s="113"/>
      <c r="CE497" s="113"/>
      <c r="CF497" s="113"/>
      <c r="CG497" s="113"/>
      <c r="CH497" s="113"/>
      <c r="CI497" s="113"/>
      <c r="CJ497" s="113"/>
      <c r="CK497" s="113"/>
      <c r="CL497" s="113"/>
      <c r="CM497" s="113"/>
      <c r="CN497" s="113"/>
      <c r="CO497" s="113"/>
      <c r="CP497" s="113"/>
      <c r="CQ497" s="113"/>
      <c r="CR497" s="113"/>
      <c r="CS497" s="113"/>
      <c r="CT497" s="113"/>
      <c r="CU497" s="113"/>
    </row>
    <row r="498">
      <c r="A498" s="159"/>
      <c r="B498" s="113"/>
      <c r="C498" s="113"/>
      <c r="D498" s="158"/>
      <c r="E498" s="161"/>
      <c r="F498" s="160"/>
      <c r="G498" s="162"/>
      <c r="H498" s="159"/>
      <c r="I498" s="113"/>
      <c r="J498" s="113"/>
      <c r="K498" s="113"/>
      <c r="L498" s="158"/>
      <c r="M498" s="113"/>
      <c r="N498" s="113"/>
      <c r="O498" s="113"/>
      <c r="P498" s="113"/>
      <c r="Q498" s="113"/>
      <c r="R498" s="113"/>
      <c r="S498" s="113"/>
      <c r="T498" s="113"/>
      <c r="U498" s="113"/>
      <c r="V498" s="113"/>
      <c r="W498" s="113"/>
      <c r="X498" s="113"/>
      <c r="Y498" s="113"/>
      <c r="Z498" s="113"/>
      <c r="AA498" s="113"/>
      <c r="AB498" s="113"/>
      <c r="AC498" s="113"/>
      <c r="AD498" s="113"/>
      <c r="AE498" s="113"/>
      <c r="AF498" s="113"/>
      <c r="AG498" s="113"/>
      <c r="AH498" s="113"/>
      <c r="AI498" s="113"/>
      <c r="AJ498" s="113"/>
      <c r="AK498" s="113"/>
      <c r="AL498" s="113"/>
      <c r="AM498" s="113"/>
      <c r="AN498" s="113"/>
      <c r="AO498" s="113"/>
      <c r="AP498" s="113"/>
      <c r="AQ498" s="113"/>
      <c r="AR498" s="113"/>
      <c r="AS498" s="113"/>
      <c r="AT498" s="113"/>
      <c r="AU498" s="113"/>
      <c r="AV498" s="113"/>
      <c r="AW498" s="113"/>
      <c r="AX498" s="113"/>
      <c r="AY498" s="113"/>
      <c r="AZ498" s="113"/>
      <c r="BA498" s="113"/>
      <c r="BB498" s="113"/>
      <c r="BC498" s="113"/>
      <c r="BD498" s="113"/>
      <c r="BE498" s="113"/>
      <c r="BF498" s="113"/>
      <c r="BG498" s="113"/>
      <c r="BH498" s="113"/>
      <c r="BI498" s="113"/>
      <c r="BJ498" s="113"/>
      <c r="BK498" s="113"/>
      <c r="BL498" s="113"/>
      <c r="BM498" s="113"/>
      <c r="BN498" s="113"/>
      <c r="BO498" s="113"/>
      <c r="BP498" s="113"/>
      <c r="BQ498" s="113"/>
      <c r="BR498" s="113"/>
      <c r="BS498" s="113"/>
      <c r="BT498" s="113"/>
      <c r="BU498" s="113"/>
      <c r="BV498" s="113"/>
      <c r="BW498" s="113"/>
      <c r="BX498" s="113"/>
      <c r="BY498" s="113"/>
      <c r="BZ498" s="113"/>
      <c r="CA498" s="113"/>
      <c r="CB498" s="113"/>
      <c r="CC498" s="113"/>
      <c r="CD498" s="113"/>
      <c r="CE498" s="113"/>
      <c r="CF498" s="113"/>
      <c r="CG498" s="113"/>
      <c r="CH498" s="113"/>
      <c r="CI498" s="113"/>
      <c r="CJ498" s="113"/>
      <c r="CK498" s="113"/>
      <c r="CL498" s="113"/>
      <c r="CM498" s="113"/>
      <c r="CN498" s="113"/>
      <c r="CO498" s="113"/>
      <c r="CP498" s="113"/>
      <c r="CQ498" s="113"/>
      <c r="CR498" s="113"/>
      <c r="CS498" s="113"/>
      <c r="CT498" s="113"/>
      <c r="CU498" s="113"/>
    </row>
    <row r="499">
      <c r="A499" s="159"/>
      <c r="B499" s="113"/>
      <c r="C499" s="113"/>
      <c r="D499" s="158"/>
      <c r="E499" s="161"/>
      <c r="F499" s="160"/>
      <c r="G499" s="162"/>
      <c r="H499" s="159"/>
      <c r="I499" s="113"/>
      <c r="J499" s="113"/>
      <c r="K499" s="113"/>
      <c r="L499" s="158"/>
      <c r="M499" s="113"/>
      <c r="N499" s="113"/>
      <c r="O499" s="113"/>
      <c r="P499" s="113"/>
      <c r="Q499" s="113"/>
      <c r="R499" s="113"/>
      <c r="S499" s="113"/>
      <c r="T499" s="113"/>
      <c r="U499" s="113"/>
      <c r="V499" s="113"/>
      <c r="W499" s="113"/>
      <c r="X499" s="113"/>
      <c r="Y499" s="113"/>
      <c r="Z499" s="113"/>
      <c r="AA499" s="113"/>
      <c r="AB499" s="113"/>
      <c r="AC499" s="113"/>
      <c r="AD499" s="113"/>
      <c r="AE499" s="113"/>
      <c r="AF499" s="113"/>
      <c r="AG499" s="113"/>
      <c r="AH499" s="113"/>
      <c r="AI499" s="113"/>
      <c r="AJ499" s="113"/>
      <c r="AK499" s="113"/>
      <c r="AL499" s="113"/>
      <c r="AM499" s="113"/>
      <c r="AN499" s="113"/>
      <c r="AO499" s="113"/>
      <c r="AP499" s="113"/>
      <c r="AQ499" s="113"/>
      <c r="AR499" s="113"/>
      <c r="AS499" s="113"/>
      <c r="AT499" s="113"/>
      <c r="AU499" s="113"/>
      <c r="AV499" s="113"/>
      <c r="AW499" s="113"/>
      <c r="AX499" s="113"/>
      <c r="AY499" s="113"/>
      <c r="AZ499" s="113"/>
      <c r="BA499" s="113"/>
      <c r="BB499" s="113"/>
      <c r="BC499" s="113"/>
      <c r="BD499" s="113"/>
      <c r="BE499" s="113"/>
      <c r="BF499" s="113"/>
      <c r="BG499" s="113"/>
      <c r="BH499" s="113"/>
      <c r="BI499" s="113"/>
      <c r="BJ499" s="113"/>
      <c r="BK499" s="113"/>
      <c r="BL499" s="113"/>
      <c r="BM499" s="113"/>
      <c r="BN499" s="113"/>
      <c r="BO499" s="113"/>
      <c r="BP499" s="113"/>
      <c r="BQ499" s="113"/>
      <c r="BR499" s="113"/>
      <c r="BS499" s="113"/>
      <c r="BT499" s="113"/>
      <c r="BU499" s="113"/>
      <c r="BV499" s="113"/>
      <c r="BW499" s="113"/>
      <c r="BX499" s="113"/>
      <c r="BY499" s="113"/>
      <c r="BZ499" s="113"/>
      <c r="CA499" s="113"/>
      <c r="CB499" s="113"/>
      <c r="CC499" s="113"/>
      <c r="CD499" s="113"/>
      <c r="CE499" s="113"/>
      <c r="CF499" s="113"/>
      <c r="CG499" s="113"/>
      <c r="CH499" s="113"/>
      <c r="CI499" s="113"/>
      <c r="CJ499" s="113"/>
      <c r="CK499" s="113"/>
      <c r="CL499" s="113"/>
      <c r="CM499" s="113"/>
      <c r="CN499" s="113"/>
      <c r="CO499" s="113"/>
      <c r="CP499" s="113"/>
      <c r="CQ499" s="113"/>
      <c r="CR499" s="113"/>
      <c r="CS499" s="113"/>
      <c r="CT499" s="113"/>
      <c r="CU499" s="113"/>
    </row>
    <row r="500">
      <c r="A500" s="159"/>
      <c r="B500" s="113"/>
      <c r="C500" s="113"/>
      <c r="D500" s="158"/>
      <c r="E500" s="161"/>
      <c r="F500" s="160"/>
      <c r="G500" s="162"/>
      <c r="H500" s="159"/>
      <c r="I500" s="113"/>
      <c r="J500" s="113"/>
      <c r="K500" s="113"/>
      <c r="L500" s="158"/>
      <c r="M500" s="113"/>
      <c r="N500" s="113"/>
      <c r="O500" s="113"/>
      <c r="P500" s="113"/>
      <c r="Q500" s="113"/>
      <c r="R500" s="113"/>
      <c r="S500" s="113"/>
      <c r="T500" s="113"/>
      <c r="U500" s="113"/>
      <c r="V500" s="113"/>
      <c r="W500" s="113"/>
      <c r="X500" s="113"/>
      <c r="Y500" s="113"/>
      <c r="Z500" s="113"/>
      <c r="AA500" s="113"/>
      <c r="AB500" s="113"/>
      <c r="AC500" s="113"/>
      <c r="AD500" s="113"/>
      <c r="AE500" s="113"/>
      <c r="AF500" s="113"/>
      <c r="AG500" s="113"/>
      <c r="AH500" s="113"/>
      <c r="AI500" s="113"/>
      <c r="AJ500" s="113"/>
      <c r="AK500" s="113"/>
      <c r="AL500" s="113"/>
      <c r="AM500" s="113"/>
      <c r="AN500" s="113"/>
      <c r="AO500" s="113"/>
      <c r="AP500" s="113"/>
      <c r="AQ500" s="113"/>
      <c r="AR500" s="113"/>
      <c r="AS500" s="113"/>
      <c r="AT500" s="113"/>
      <c r="AU500" s="113"/>
      <c r="AV500" s="113"/>
      <c r="AW500" s="113"/>
      <c r="AX500" s="113"/>
      <c r="AY500" s="113"/>
      <c r="AZ500" s="113"/>
      <c r="BA500" s="113"/>
      <c r="BB500" s="113"/>
      <c r="BC500" s="113"/>
      <c r="BD500" s="113"/>
      <c r="BE500" s="113"/>
      <c r="BF500" s="113"/>
      <c r="BG500" s="113"/>
      <c r="BH500" s="113"/>
      <c r="BI500" s="113"/>
      <c r="BJ500" s="113"/>
      <c r="BK500" s="113"/>
      <c r="BL500" s="113"/>
      <c r="BM500" s="113"/>
      <c r="BN500" s="113"/>
      <c r="BO500" s="113"/>
      <c r="BP500" s="113"/>
      <c r="BQ500" s="113"/>
      <c r="BR500" s="113"/>
      <c r="BS500" s="113"/>
      <c r="BT500" s="113"/>
      <c r="BU500" s="113"/>
      <c r="BV500" s="113"/>
      <c r="BW500" s="113"/>
      <c r="BX500" s="113"/>
      <c r="BY500" s="113"/>
      <c r="BZ500" s="113"/>
      <c r="CA500" s="113"/>
      <c r="CB500" s="113"/>
      <c r="CC500" s="113"/>
      <c r="CD500" s="113"/>
      <c r="CE500" s="113"/>
      <c r="CF500" s="113"/>
      <c r="CG500" s="113"/>
      <c r="CH500" s="113"/>
      <c r="CI500" s="113"/>
      <c r="CJ500" s="113"/>
      <c r="CK500" s="113"/>
      <c r="CL500" s="113"/>
      <c r="CM500" s="113"/>
      <c r="CN500" s="113"/>
      <c r="CO500" s="113"/>
      <c r="CP500" s="113"/>
      <c r="CQ500" s="113"/>
      <c r="CR500" s="113"/>
      <c r="CS500" s="113"/>
      <c r="CT500" s="113"/>
      <c r="CU500" s="113"/>
    </row>
    <row r="501">
      <c r="A501" s="159"/>
      <c r="B501" s="113"/>
      <c r="C501" s="113"/>
      <c r="D501" s="158"/>
      <c r="E501" s="161"/>
      <c r="F501" s="160"/>
      <c r="G501" s="162"/>
      <c r="H501" s="159"/>
      <c r="I501" s="113"/>
      <c r="J501" s="113"/>
      <c r="K501" s="113"/>
      <c r="L501" s="158"/>
      <c r="M501" s="113"/>
      <c r="N501" s="113"/>
      <c r="O501" s="113"/>
      <c r="P501" s="113"/>
      <c r="Q501" s="113"/>
      <c r="R501" s="113"/>
      <c r="S501" s="113"/>
      <c r="T501" s="113"/>
      <c r="U501" s="113"/>
      <c r="V501" s="113"/>
      <c r="W501" s="113"/>
      <c r="X501" s="113"/>
      <c r="Y501" s="113"/>
      <c r="Z501" s="113"/>
      <c r="AA501" s="113"/>
      <c r="AB501" s="113"/>
      <c r="AC501" s="113"/>
      <c r="AD501" s="113"/>
      <c r="AE501" s="113"/>
      <c r="AF501" s="113"/>
      <c r="AG501" s="113"/>
      <c r="AH501" s="113"/>
      <c r="AI501" s="113"/>
      <c r="AJ501" s="113"/>
      <c r="AK501" s="113"/>
      <c r="AL501" s="113"/>
      <c r="AM501" s="113"/>
      <c r="AN501" s="113"/>
      <c r="AO501" s="113"/>
      <c r="AP501" s="113"/>
      <c r="AQ501" s="113"/>
      <c r="AR501" s="113"/>
      <c r="AS501" s="113"/>
      <c r="AT501" s="113"/>
      <c r="AU501" s="113"/>
      <c r="AV501" s="113"/>
      <c r="AW501" s="113"/>
      <c r="AX501" s="113"/>
      <c r="AY501" s="113"/>
      <c r="AZ501" s="113"/>
      <c r="BA501" s="113"/>
      <c r="BB501" s="113"/>
      <c r="BC501" s="113"/>
      <c r="BD501" s="113"/>
      <c r="BE501" s="113"/>
      <c r="BF501" s="113"/>
      <c r="BG501" s="113"/>
      <c r="BH501" s="113"/>
      <c r="BI501" s="113"/>
      <c r="BJ501" s="113"/>
      <c r="BK501" s="113"/>
      <c r="BL501" s="113"/>
      <c r="BM501" s="113"/>
      <c r="BN501" s="113"/>
      <c r="BO501" s="113"/>
      <c r="BP501" s="113"/>
      <c r="BQ501" s="113"/>
      <c r="BR501" s="113"/>
      <c r="BS501" s="113"/>
      <c r="BT501" s="113"/>
      <c r="BU501" s="113"/>
      <c r="BV501" s="113"/>
      <c r="BW501" s="113"/>
      <c r="BX501" s="113"/>
      <c r="BY501" s="113"/>
      <c r="BZ501" s="113"/>
      <c r="CA501" s="113"/>
      <c r="CB501" s="113"/>
      <c r="CC501" s="113"/>
      <c r="CD501" s="113"/>
      <c r="CE501" s="113"/>
      <c r="CF501" s="113"/>
      <c r="CG501" s="113"/>
      <c r="CH501" s="113"/>
      <c r="CI501" s="113"/>
      <c r="CJ501" s="113"/>
      <c r="CK501" s="113"/>
      <c r="CL501" s="113"/>
      <c r="CM501" s="113"/>
      <c r="CN501" s="113"/>
      <c r="CO501" s="113"/>
      <c r="CP501" s="113"/>
      <c r="CQ501" s="113"/>
      <c r="CR501" s="113"/>
      <c r="CS501" s="113"/>
      <c r="CT501" s="113"/>
      <c r="CU501" s="113"/>
    </row>
    <row r="502">
      <c r="A502" s="159"/>
      <c r="B502" s="113"/>
      <c r="C502" s="113"/>
      <c r="D502" s="158"/>
      <c r="E502" s="161"/>
      <c r="F502" s="160"/>
      <c r="G502" s="162"/>
      <c r="H502" s="159"/>
      <c r="I502" s="113"/>
      <c r="J502" s="113"/>
      <c r="K502" s="113"/>
      <c r="L502" s="158"/>
      <c r="M502" s="113"/>
      <c r="N502" s="113"/>
      <c r="O502" s="113"/>
      <c r="P502" s="113"/>
      <c r="Q502" s="113"/>
      <c r="R502" s="113"/>
      <c r="S502" s="113"/>
      <c r="T502" s="113"/>
      <c r="U502" s="113"/>
      <c r="V502" s="113"/>
      <c r="W502" s="113"/>
      <c r="X502" s="113"/>
      <c r="Y502" s="113"/>
      <c r="Z502" s="113"/>
      <c r="AA502" s="113"/>
      <c r="AB502" s="113"/>
      <c r="AC502" s="113"/>
      <c r="AD502" s="113"/>
      <c r="AE502" s="113"/>
      <c r="AF502" s="113"/>
      <c r="AG502" s="113"/>
      <c r="AH502" s="113"/>
      <c r="AI502" s="113"/>
      <c r="AJ502" s="113"/>
      <c r="AK502" s="113"/>
      <c r="AL502" s="113"/>
      <c r="AM502" s="113"/>
      <c r="AN502" s="113"/>
      <c r="AO502" s="113"/>
      <c r="AP502" s="113"/>
      <c r="AQ502" s="113"/>
      <c r="AR502" s="113"/>
      <c r="AS502" s="113"/>
      <c r="AT502" s="113"/>
      <c r="AU502" s="113"/>
      <c r="AV502" s="113"/>
      <c r="AW502" s="113"/>
      <c r="AX502" s="113"/>
      <c r="AY502" s="113"/>
      <c r="AZ502" s="113"/>
      <c r="BA502" s="113"/>
      <c r="BB502" s="113"/>
      <c r="BC502" s="113"/>
      <c r="BD502" s="113"/>
      <c r="BE502" s="113"/>
      <c r="BF502" s="113"/>
      <c r="BG502" s="113"/>
      <c r="BH502" s="113"/>
      <c r="BI502" s="113"/>
      <c r="BJ502" s="113"/>
      <c r="BK502" s="113"/>
      <c r="BL502" s="113"/>
      <c r="BM502" s="113"/>
      <c r="BN502" s="113"/>
      <c r="BO502" s="113"/>
      <c r="BP502" s="113"/>
      <c r="BQ502" s="113"/>
      <c r="BR502" s="113"/>
      <c r="BS502" s="113"/>
      <c r="BT502" s="113"/>
      <c r="BU502" s="113"/>
      <c r="BV502" s="113"/>
      <c r="BW502" s="113"/>
      <c r="BX502" s="113"/>
      <c r="BY502" s="113"/>
      <c r="BZ502" s="113"/>
      <c r="CA502" s="113"/>
      <c r="CB502" s="113"/>
      <c r="CC502" s="113"/>
      <c r="CD502" s="113"/>
      <c r="CE502" s="113"/>
      <c r="CF502" s="113"/>
      <c r="CG502" s="113"/>
      <c r="CH502" s="113"/>
      <c r="CI502" s="113"/>
      <c r="CJ502" s="113"/>
      <c r="CK502" s="113"/>
      <c r="CL502" s="113"/>
      <c r="CM502" s="113"/>
      <c r="CN502" s="113"/>
      <c r="CO502" s="113"/>
      <c r="CP502" s="113"/>
      <c r="CQ502" s="113"/>
      <c r="CR502" s="113"/>
      <c r="CS502" s="113"/>
      <c r="CT502" s="113"/>
      <c r="CU502" s="113"/>
    </row>
    <row r="503">
      <c r="A503" s="159"/>
      <c r="B503" s="113"/>
      <c r="C503" s="113"/>
      <c r="D503" s="158"/>
      <c r="E503" s="161"/>
      <c r="F503" s="160"/>
      <c r="G503" s="162"/>
      <c r="H503" s="159"/>
      <c r="I503" s="113"/>
      <c r="J503" s="113"/>
      <c r="K503" s="113"/>
      <c r="L503" s="158"/>
      <c r="M503" s="113"/>
      <c r="N503" s="113"/>
      <c r="O503" s="113"/>
      <c r="P503" s="113"/>
      <c r="Q503" s="113"/>
      <c r="R503" s="113"/>
      <c r="S503" s="113"/>
      <c r="T503" s="113"/>
      <c r="U503" s="113"/>
      <c r="V503" s="113"/>
      <c r="W503" s="113"/>
      <c r="X503" s="113"/>
      <c r="Y503" s="113"/>
      <c r="Z503" s="113"/>
      <c r="AA503" s="113"/>
      <c r="AB503" s="113"/>
      <c r="AC503" s="113"/>
      <c r="AD503" s="113"/>
      <c r="AE503" s="113"/>
      <c r="AF503" s="113"/>
      <c r="AG503" s="113"/>
      <c r="AH503" s="113"/>
      <c r="AI503" s="113"/>
      <c r="AJ503" s="113"/>
      <c r="AK503" s="113"/>
      <c r="AL503" s="113"/>
      <c r="AM503" s="113"/>
      <c r="AN503" s="113"/>
      <c r="AO503" s="113"/>
      <c r="AP503" s="113"/>
      <c r="AQ503" s="113"/>
      <c r="AR503" s="113"/>
      <c r="AS503" s="113"/>
      <c r="AT503" s="113"/>
      <c r="AU503" s="113"/>
      <c r="AV503" s="113"/>
      <c r="AW503" s="113"/>
      <c r="AX503" s="113"/>
      <c r="AY503" s="113"/>
      <c r="AZ503" s="113"/>
      <c r="BA503" s="113"/>
      <c r="BB503" s="113"/>
      <c r="BC503" s="113"/>
      <c r="BD503" s="113"/>
      <c r="BE503" s="113"/>
      <c r="BF503" s="113"/>
      <c r="BG503" s="113"/>
      <c r="BH503" s="113"/>
      <c r="BI503" s="113"/>
      <c r="BJ503" s="113"/>
      <c r="BK503" s="113"/>
      <c r="BL503" s="113"/>
      <c r="BM503" s="113"/>
      <c r="BN503" s="113"/>
      <c r="BO503" s="113"/>
      <c r="BP503" s="113"/>
      <c r="BQ503" s="113"/>
      <c r="BR503" s="113"/>
      <c r="BS503" s="113"/>
      <c r="BT503" s="113"/>
      <c r="BU503" s="113"/>
      <c r="BV503" s="113"/>
      <c r="BW503" s="113"/>
      <c r="BX503" s="113"/>
      <c r="BY503" s="113"/>
      <c r="BZ503" s="113"/>
      <c r="CA503" s="113"/>
      <c r="CB503" s="113"/>
      <c r="CC503" s="113"/>
      <c r="CD503" s="113"/>
      <c r="CE503" s="113"/>
      <c r="CF503" s="113"/>
      <c r="CG503" s="113"/>
      <c r="CH503" s="113"/>
      <c r="CI503" s="113"/>
      <c r="CJ503" s="113"/>
      <c r="CK503" s="113"/>
      <c r="CL503" s="113"/>
      <c r="CM503" s="113"/>
      <c r="CN503" s="113"/>
      <c r="CO503" s="113"/>
      <c r="CP503" s="113"/>
      <c r="CQ503" s="113"/>
      <c r="CR503" s="113"/>
      <c r="CS503" s="113"/>
      <c r="CT503" s="113"/>
      <c r="CU503" s="113"/>
    </row>
    <row r="504">
      <c r="A504" s="159"/>
      <c r="B504" s="113"/>
      <c r="C504" s="113"/>
      <c r="D504" s="158"/>
      <c r="E504" s="161"/>
      <c r="F504" s="160"/>
      <c r="G504" s="162"/>
      <c r="H504" s="159"/>
      <c r="I504" s="113"/>
      <c r="J504" s="113"/>
      <c r="K504" s="113"/>
      <c r="L504" s="158"/>
      <c r="M504" s="113"/>
      <c r="N504" s="113"/>
      <c r="O504" s="113"/>
      <c r="P504" s="113"/>
      <c r="Q504" s="113"/>
      <c r="R504" s="113"/>
      <c r="S504" s="113"/>
      <c r="T504" s="113"/>
      <c r="U504" s="113"/>
      <c r="V504" s="113"/>
      <c r="W504" s="113"/>
      <c r="X504" s="113"/>
      <c r="Y504" s="113"/>
      <c r="Z504" s="113"/>
      <c r="AA504" s="113"/>
      <c r="AB504" s="113"/>
      <c r="AC504" s="113"/>
      <c r="AD504" s="113"/>
      <c r="AE504" s="113"/>
      <c r="AF504" s="113"/>
      <c r="AG504" s="113"/>
      <c r="AH504" s="113"/>
      <c r="AI504" s="113"/>
      <c r="AJ504" s="113"/>
      <c r="AK504" s="113"/>
      <c r="AL504" s="113"/>
      <c r="AM504" s="113"/>
      <c r="AN504" s="113"/>
      <c r="AO504" s="113"/>
      <c r="AP504" s="113"/>
      <c r="AQ504" s="113"/>
      <c r="AR504" s="113"/>
      <c r="AS504" s="113"/>
      <c r="AT504" s="113"/>
      <c r="AU504" s="113"/>
      <c r="AV504" s="113"/>
      <c r="AW504" s="113"/>
      <c r="AX504" s="113"/>
      <c r="AY504" s="113"/>
      <c r="AZ504" s="113"/>
      <c r="BA504" s="113"/>
      <c r="BB504" s="113"/>
      <c r="BC504" s="113"/>
      <c r="BD504" s="113"/>
      <c r="BE504" s="113"/>
      <c r="BF504" s="113"/>
      <c r="BG504" s="113"/>
      <c r="BH504" s="113"/>
      <c r="BI504" s="113"/>
      <c r="BJ504" s="113"/>
      <c r="BK504" s="113"/>
      <c r="BL504" s="113"/>
      <c r="BM504" s="113"/>
      <c r="BN504" s="113"/>
      <c r="BO504" s="113"/>
      <c r="BP504" s="113"/>
      <c r="BQ504" s="113"/>
      <c r="BR504" s="113"/>
      <c r="BS504" s="113"/>
      <c r="BT504" s="113"/>
      <c r="BU504" s="113"/>
      <c r="BV504" s="113"/>
      <c r="BW504" s="113"/>
      <c r="BX504" s="113"/>
      <c r="BY504" s="113"/>
      <c r="BZ504" s="113"/>
      <c r="CA504" s="113"/>
      <c r="CB504" s="113"/>
      <c r="CC504" s="113"/>
      <c r="CD504" s="113"/>
      <c r="CE504" s="113"/>
      <c r="CF504" s="113"/>
      <c r="CG504" s="113"/>
      <c r="CH504" s="113"/>
      <c r="CI504" s="113"/>
      <c r="CJ504" s="113"/>
      <c r="CK504" s="113"/>
      <c r="CL504" s="113"/>
      <c r="CM504" s="113"/>
      <c r="CN504" s="113"/>
      <c r="CO504" s="113"/>
      <c r="CP504" s="113"/>
      <c r="CQ504" s="113"/>
      <c r="CR504" s="113"/>
      <c r="CS504" s="113"/>
      <c r="CT504" s="113"/>
      <c r="CU504" s="113"/>
    </row>
    <row r="505">
      <c r="A505" s="159"/>
      <c r="B505" s="113"/>
      <c r="C505" s="113"/>
      <c r="D505" s="158"/>
      <c r="E505" s="161"/>
      <c r="F505" s="160"/>
      <c r="G505" s="162"/>
      <c r="H505" s="159"/>
      <c r="I505" s="113"/>
      <c r="J505" s="113"/>
      <c r="K505" s="113"/>
      <c r="L505" s="158"/>
      <c r="M505" s="113"/>
      <c r="N505" s="113"/>
      <c r="O505" s="113"/>
      <c r="P505" s="113"/>
      <c r="Q505" s="113"/>
      <c r="R505" s="113"/>
      <c r="S505" s="113"/>
      <c r="T505" s="113"/>
      <c r="U505" s="113"/>
      <c r="V505" s="113"/>
      <c r="W505" s="113"/>
      <c r="X505" s="113"/>
      <c r="Y505" s="113"/>
      <c r="Z505" s="113"/>
      <c r="AA505" s="113"/>
      <c r="AB505" s="113"/>
      <c r="AC505" s="113"/>
      <c r="AD505" s="113"/>
      <c r="AE505" s="113"/>
      <c r="AF505" s="113"/>
      <c r="AG505" s="113"/>
      <c r="AH505" s="113"/>
      <c r="AI505" s="113"/>
      <c r="AJ505" s="113"/>
      <c r="AK505" s="113"/>
      <c r="AL505" s="113"/>
      <c r="AM505" s="113"/>
      <c r="AN505" s="113"/>
      <c r="AO505" s="113"/>
      <c r="AP505" s="113"/>
      <c r="AQ505" s="113"/>
      <c r="AR505" s="113"/>
      <c r="AS505" s="113"/>
      <c r="AT505" s="113"/>
      <c r="AU505" s="113"/>
      <c r="AV505" s="113"/>
      <c r="AW505" s="113"/>
      <c r="AX505" s="113"/>
      <c r="AY505" s="113"/>
      <c r="AZ505" s="113"/>
      <c r="BA505" s="113"/>
      <c r="BB505" s="113"/>
      <c r="BC505" s="113"/>
      <c r="BD505" s="113"/>
      <c r="BE505" s="113"/>
      <c r="BF505" s="113"/>
      <c r="BG505" s="113"/>
      <c r="BH505" s="113"/>
      <c r="BI505" s="113"/>
      <c r="BJ505" s="113"/>
      <c r="BK505" s="113"/>
      <c r="BL505" s="113"/>
      <c r="BM505" s="113"/>
      <c r="BN505" s="113"/>
      <c r="BO505" s="113"/>
      <c r="BP505" s="113"/>
      <c r="BQ505" s="113"/>
      <c r="BR505" s="113"/>
      <c r="BS505" s="113"/>
      <c r="BT505" s="113"/>
      <c r="BU505" s="113"/>
      <c r="BV505" s="113"/>
      <c r="BW505" s="113"/>
      <c r="BX505" s="113"/>
      <c r="BY505" s="113"/>
      <c r="BZ505" s="113"/>
      <c r="CA505" s="113"/>
      <c r="CB505" s="113"/>
      <c r="CC505" s="113"/>
      <c r="CD505" s="113"/>
      <c r="CE505" s="113"/>
      <c r="CF505" s="113"/>
      <c r="CG505" s="113"/>
      <c r="CH505" s="113"/>
      <c r="CI505" s="113"/>
      <c r="CJ505" s="113"/>
      <c r="CK505" s="113"/>
      <c r="CL505" s="113"/>
      <c r="CM505" s="113"/>
      <c r="CN505" s="113"/>
      <c r="CO505" s="113"/>
      <c r="CP505" s="113"/>
      <c r="CQ505" s="113"/>
      <c r="CR505" s="113"/>
      <c r="CS505" s="113"/>
      <c r="CT505" s="113"/>
      <c r="CU505" s="113"/>
    </row>
    <row r="506">
      <c r="A506" s="159"/>
      <c r="B506" s="113"/>
      <c r="C506" s="113"/>
      <c r="D506" s="158"/>
      <c r="E506" s="161"/>
      <c r="F506" s="160"/>
      <c r="G506" s="162"/>
      <c r="H506" s="159"/>
      <c r="I506" s="113"/>
      <c r="J506" s="113"/>
      <c r="K506" s="113"/>
      <c r="L506" s="158"/>
      <c r="M506" s="113"/>
      <c r="N506" s="113"/>
      <c r="O506" s="113"/>
      <c r="P506" s="113"/>
      <c r="Q506" s="113"/>
      <c r="R506" s="113"/>
      <c r="S506" s="113"/>
      <c r="T506" s="113"/>
      <c r="U506" s="113"/>
      <c r="V506" s="113"/>
      <c r="W506" s="113"/>
      <c r="X506" s="113"/>
      <c r="Y506" s="113"/>
      <c r="Z506" s="113"/>
      <c r="AA506" s="113"/>
      <c r="AB506" s="113"/>
      <c r="AC506" s="113"/>
      <c r="AD506" s="113"/>
      <c r="AE506" s="113"/>
      <c r="AF506" s="113"/>
      <c r="AG506" s="113"/>
      <c r="AH506" s="113"/>
      <c r="AI506" s="113"/>
      <c r="AJ506" s="113"/>
      <c r="AK506" s="113"/>
      <c r="AL506" s="113"/>
      <c r="AM506" s="113"/>
      <c r="AN506" s="113"/>
      <c r="AO506" s="113"/>
      <c r="AP506" s="113"/>
      <c r="AQ506" s="113"/>
      <c r="AR506" s="113"/>
      <c r="AS506" s="113"/>
      <c r="AT506" s="113"/>
      <c r="AU506" s="113"/>
      <c r="AV506" s="113"/>
      <c r="AW506" s="113"/>
      <c r="AX506" s="113"/>
      <c r="AY506" s="113"/>
      <c r="AZ506" s="113"/>
      <c r="BA506" s="113"/>
      <c r="BB506" s="113"/>
      <c r="BC506" s="113"/>
      <c r="BD506" s="113"/>
      <c r="BE506" s="113"/>
      <c r="BF506" s="113"/>
      <c r="BG506" s="113"/>
      <c r="BH506" s="113"/>
      <c r="BI506" s="113"/>
      <c r="BJ506" s="113"/>
      <c r="BK506" s="113"/>
      <c r="BL506" s="113"/>
      <c r="BM506" s="113"/>
      <c r="BN506" s="113"/>
      <c r="BO506" s="113"/>
      <c r="BP506" s="113"/>
      <c r="BQ506" s="113"/>
      <c r="BR506" s="113"/>
      <c r="BS506" s="113"/>
      <c r="BT506" s="113"/>
      <c r="BU506" s="113"/>
      <c r="BV506" s="113"/>
      <c r="BW506" s="113"/>
      <c r="BX506" s="113"/>
      <c r="BY506" s="113"/>
      <c r="BZ506" s="113"/>
      <c r="CA506" s="113"/>
      <c r="CB506" s="113"/>
      <c r="CC506" s="113"/>
      <c r="CD506" s="113"/>
      <c r="CE506" s="113"/>
      <c r="CF506" s="113"/>
      <c r="CG506" s="113"/>
      <c r="CH506" s="113"/>
      <c r="CI506" s="113"/>
      <c r="CJ506" s="113"/>
      <c r="CK506" s="113"/>
      <c r="CL506" s="113"/>
      <c r="CM506" s="113"/>
      <c r="CN506" s="113"/>
      <c r="CO506" s="113"/>
      <c r="CP506" s="113"/>
      <c r="CQ506" s="113"/>
      <c r="CR506" s="113"/>
      <c r="CS506" s="113"/>
      <c r="CT506" s="113"/>
      <c r="CU506" s="113"/>
    </row>
    <row r="507">
      <c r="A507" s="159"/>
      <c r="B507" s="113"/>
      <c r="C507" s="113"/>
      <c r="D507" s="158"/>
      <c r="E507" s="161"/>
      <c r="F507" s="160"/>
      <c r="G507" s="162"/>
      <c r="H507" s="159"/>
      <c r="I507" s="113"/>
      <c r="J507" s="113"/>
      <c r="K507" s="113"/>
      <c r="L507" s="158"/>
      <c r="M507" s="113"/>
      <c r="N507" s="113"/>
      <c r="O507" s="113"/>
      <c r="P507" s="113"/>
      <c r="Q507" s="113"/>
      <c r="R507" s="113"/>
      <c r="S507" s="113"/>
      <c r="T507" s="113"/>
      <c r="U507" s="113"/>
      <c r="V507" s="113"/>
      <c r="W507" s="113"/>
      <c r="X507" s="113"/>
      <c r="Y507" s="113"/>
      <c r="Z507" s="113"/>
      <c r="AA507" s="113"/>
      <c r="AB507" s="113"/>
      <c r="AC507" s="113"/>
      <c r="AD507" s="113"/>
      <c r="AE507" s="113"/>
      <c r="AF507" s="113"/>
      <c r="AG507" s="113"/>
      <c r="AH507" s="113"/>
      <c r="AI507" s="113"/>
      <c r="AJ507" s="113"/>
      <c r="AK507" s="113"/>
      <c r="AL507" s="113"/>
      <c r="AM507" s="113"/>
      <c r="AN507" s="113"/>
      <c r="AO507" s="113"/>
      <c r="AP507" s="113"/>
      <c r="AQ507" s="113"/>
      <c r="AR507" s="113"/>
      <c r="AS507" s="113"/>
      <c r="AT507" s="113"/>
      <c r="AU507" s="113"/>
      <c r="AV507" s="113"/>
      <c r="AW507" s="113"/>
      <c r="AX507" s="113"/>
      <c r="AY507" s="113"/>
      <c r="AZ507" s="113"/>
      <c r="BA507" s="113"/>
      <c r="BB507" s="113"/>
      <c r="BC507" s="113"/>
      <c r="BD507" s="113"/>
      <c r="BE507" s="113"/>
      <c r="BF507" s="113"/>
      <c r="BG507" s="113"/>
      <c r="BH507" s="113"/>
      <c r="BI507" s="113"/>
      <c r="BJ507" s="113"/>
      <c r="BK507" s="113"/>
      <c r="BL507" s="113"/>
      <c r="BM507" s="113"/>
      <c r="BN507" s="113"/>
      <c r="BO507" s="113"/>
      <c r="BP507" s="113"/>
      <c r="BQ507" s="113"/>
      <c r="BR507" s="113"/>
      <c r="BS507" s="113"/>
      <c r="BT507" s="113"/>
      <c r="BU507" s="113"/>
      <c r="BV507" s="113"/>
      <c r="BW507" s="113"/>
      <c r="BX507" s="113"/>
      <c r="BY507" s="113"/>
      <c r="BZ507" s="113"/>
      <c r="CA507" s="113"/>
      <c r="CB507" s="113"/>
      <c r="CC507" s="113"/>
      <c r="CD507" s="113"/>
      <c r="CE507" s="113"/>
      <c r="CF507" s="113"/>
      <c r="CG507" s="113"/>
      <c r="CH507" s="113"/>
      <c r="CI507" s="113"/>
      <c r="CJ507" s="113"/>
      <c r="CK507" s="113"/>
      <c r="CL507" s="113"/>
      <c r="CM507" s="113"/>
      <c r="CN507" s="113"/>
      <c r="CO507" s="113"/>
      <c r="CP507" s="113"/>
      <c r="CQ507" s="113"/>
      <c r="CR507" s="113"/>
      <c r="CS507" s="113"/>
      <c r="CT507" s="113"/>
      <c r="CU507" s="113"/>
    </row>
    <row r="508">
      <c r="A508" s="159"/>
      <c r="B508" s="113"/>
      <c r="C508" s="113"/>
      <c r="D508" s="158"/>
      <c r="E508" s="161"/>
      <c r="F508" s="160"/>
      <c r="G508" s="162"/>
      <c r="H508" s="159"/>
      <c r="I508" s="113"/>
      <c r="J508" s="113"/>
      <c r="K508" s="113"/>
      <c r="L508" s="158"/>
      <c r="M508" s="113"/>
      <c r="N508" s="113"/>
      <c r="O508" s="113"/>
      <c r="P508" s="113"/>
      <c r="Q508" s="113"/>
      <c r="R508" s="113"/>
      <c r="S508" s="113"/>
      <c r="T508" s="113"/>
      <c r="U508" s="113"/>
      <c r="V508" s="113"/>
      <c r="W508" s="113"/>
      <c r="X508" s="113"/>
      <c r="Y508" s="113"/>
      <c r="Z508" s="113"/>
      <c r="AA508" s="113"/>
      <c r="AB508" s="113"/>
      <c r="AC508" s="113"/>
      <c r="AD508" s="113"/>
      <c r="AE508" s="113"/>
      <c r="AF508" s="113"/>
      <c r="AG508" s="113"/>
      <c r="AH508" s="113"/>
      <c r="AI508" s="113"/>
      <c r="AJ508" s="113"/>
      <c r="AK508" s="113"/>
      <c r="AL508" s="113"/>
      <c r="AM508" s="113"/>
      <c r="AN508" s="113"/>
      <c r="AO508" s="113"/>
      <c r="AP508" s="113"/>
      <c r="AQ508" s="113"/>
      <c r="AR508" s="113"/>
      <c r="AS508" s="113"/>
      <c r="AT508" s="113"/>
      <c r="AU508" s="113"/>
      <c r="AV508" s="113"/>
      <c r="AW508" s="113"/>
      <c r="AX508" s="113"/>
      <c r="AY508" s="113"/>
      <c r="AZ508" s="113"/>
      <c r="BA508" s="113"/>
      <c r="BB508" s="113"/>
      <c r="BC508" s="113"/>
      <c r="BD508" s="113"/>
      <c r="BE508" s="113"/>
      <c r="BF508" s="113"/>
      <c r="BG508" s="113"/>
      <c r="BH508" s="113"/>
      <c r="BI508" s="113"/>
      <c r="BJ508" s="113"/>
      <c r="BK508" s="113"/>
      <c r="BL508" s="113"/>
      <c r="BM508" s="113"/>
      <c r="BN508" s="113"/>
      <c r="BO508" s="113"/>
      <c r="BP508" s="113"/>
      <c r="BQ508" s="113"/>
      <c r="BR508" s="113"/>
      <c r="BS508" s="113"/>
      <c r="BT508" s="113"/>
      <c r="BU508" s="113"/>
      <c r="BV508" s="113"/>
      <c r="BW508" s="113"/>
      <c r="BX508" s="113"/>
      <c r="BY508" s="113"/>
      <c r="BZ508" s="113"/>
      <c r="CA508" s="113"/>
      <c r="CB508" s="113"/>
      <c r="CC508" s="113"/>
      <c r="CD508" s="113"/>
      <c r="CE508" s="113"/>
      <c r="CF508" s="113"/>
      <c r="CG508" s="113"/>
      <c r="CH508" s="113"/>
      <c r="CI508" s="113"/>
      <c r="CJ508" s="113"/>
      <c r="CK508" s="113"/>
      <c r="CL508" s="113"/>
      <c r="CM508" s="113"/>
      <c r="CN508" s="113"/>
      <c r="CO508" s="113"/>
      <c r="CP508" s="113"/>
      <c r="CQ508" s="113"/>
      <c r="CR508" s="113"/>
      <c r="CS508" s="113"/>
      <c r="CT508" s="113"/>
      <c r="CU508" s="113"/>
    </row>
    <row r="509">
      <c r="A509" s="159"/>
      <c r="B509" s="113"/>
      <c r="C509" s="113"/>
      <c r="D509" s="158"/>
      <c r="E509" s="161"/>
      <c r="F509" s="160"/>
      <c r="G509" s="162"/>
      <c r="H509" s="159"/>
      <c r="I509" s="113"/>
      <c r="J509" s="113"/>
      <c r="K509" s="113"/>
      <c r="L509" s="158"/>
      <c r="M509" s="113"/>
      <c r="N509" s="113"/>
      <c r="O509" s="113"/>
      <c r="P509" s="113"/>
      <c r="Q509" s="113"/>
      <c r="R509" s="113"/>
      <c r="S509" s="113"/>
      <c r="T509" s="113"/>
      <c r="U509" s="113"/>
      <c r="V509" s="113"/>
      <c r="W509" s="113"/>
      <c r="X509" s="113"/>
      <c r="Y509" s="113"/>
      <c r="Z509" s="113"/>
      <c r="AA509" s="113"/>
      <c r="AB509" s="113"/>
      <c r="AC509" s="113"/>
      <c r="AD509" s="113"/>
      <c r="AE509" s="113"/>
      <c r="AF509" s="113"/>
      <c r="AG509" s="113"/>
      <c r="AH509" s="113"/>
      <c r="AI509" s="113"/>
      <c r="AJ509" s="113"/>
      <c r="AK509" s="113"/>
      <c r="AL509" s="113"/>
      <c r="AM509" s="113"/>
      <c r="AN509" s="113"/>
      <c r="AO509" s="113"/>
      <c r="AP509" s="113"/>
      <c r="AQ509" s="113"/>
      <c r="AR509" s="113"/>
      <c r="AS509" s="113"/>
      <c r="AT509" s="113"/>
      <c r="AU509" s="113"/>
      <c r="AV509" s="113"/>
      <c r="AW509" s="113"/>
      <c r="AX509" s="113"/>
      <c r="AY509" s="113"/>
      <c r="AZ509" s="113"/>
      <c r="BA509" s="113"/>
      <c r="BB509" s="113"/>
      <c r="BC509" s="113"/>
      <c r="BD509" s="113"/>
      <c r="BE509" s="113"/>
      <c r="BF509" s="113"/>
      <c r="BG509" s="113"/>
      <c r="BH509" s="113"/>
      <c r="BI509" s="113"/>
      <c r="BJ509" s="113"/>
      <c r="BK509" s="113"/>
      <c r="BL509" s="113"/>
      <c r="BM509" s="113"/>
      <c r="BN509" s="113"/>
      <c r="BO509" s="113"/>
      <c r="BP509" s="113"/>
      <c r="BQ509" s="113"/>
      <c r="BR509" s="113"/>
      <c r="BS509" s="113"/>
      <c r="BT509" s="113"/>
      <c r="BU509" s="113"/>
      <c r="BV509" s="113"/>
      <c r="BW509" s="113"/>
      <c r="BX509" s="113"/>
      <c r="BY509" s="113"/>
      <c r="BZ509" s="113"/>
      <c r="CA509" s="113"/>
      <c r="CB509" s="113"/>
      <c r="CC509" s="113"/>
      <c r="CD509" s="113"/>
      <c r="CE509" s="113"/>
      <c r="CF509" s="113"/>
      <c r="CG509" s="113"/>
      <c r="CH509" s="113"/>
      <c r="CI509" s="113"/>
      <c r="CJ509" s="113"/>
      <c r="CK509" s="113"/>
      <c r="CL509" s="113"/>
      <c r="CM509" s="113"/>
      <c r="CN509" s="113"/>
      <c r="CO509" s="113"/>
      <c r="CP509" s="113"/>
      <c r="CQ509" s="113"/>
      <c r="CR509" s="113"/>
      <c r="CS509" s="113"/>
      <c r="CT509" s="113"/>
      <c r="CU509" s="113"/>
    </row>
    <row r="510">
      <c r="A510" s="159"/>
      <c r="B510" s="113"/>
      <c r="C510" s="113"/>
      <c r="D510" s="158"/>
      <c r="E510" s="161"/>
      <c r="F510" s="160"/>
      <c r="G510" s="162"/>
      <c r="H510" s="159"/>
      <c r="I510" s="113"/>
      <c r="J510" s="113"/>
      <c r="K510" s="113"/>
      <c r="L510" s="158"/>
      <c r="M510" s="113"/>
      <c r="N510" s="113"/>
      <c r="O510" s="113"/>
      <c r="P510" s="113"/>
      <c r="Q510" s="113"/>
      <c r="R510" s="113"/>
      <c r="S510" s="113"/>
      <c r="T510" s="113"/>
      <c r="U510" s="113"/>
      <c r="V510" s="113"/>
      <c r="W510" s="113"/>
      <c r="X510" s="113"/>
      <c r="Y510" s="113"/>
      <c r="Z510" s="113"/>
      <c r="AA510" s="113"/>
      <c r="AB510" s="113"/>
      <c r="AC510" s="113"/>
      <c r="AD510" s="113"/>
      <c r="AE510" s="113"/>
      <c r="AF510" s="113"/>
      <c r="AG510" s="113"/>
      <c r="AH510" s="113"/>
      <c r="AI510" s="113"/>
      <c r="AJ510" s="113"/>
      <c r="AK510" s="113"/>
      <c r="AL510" s="113"/>
      <c r="AM510" s="113"/>
      <c r="AN510" s="113"/>
      <c r="AO510" s="113"/>
      <c r="AP510" s="113"/>
      <c r="AQ510" s="113"/>
      <c r="AR510" s="113"/>
      <c r="AS510" s="113"/>
      <c r="AT510" s="113"/>
      <c r="AU510" s="113"/>
      <c r="AV510" s="113"/>
      <c r="AW510" s="113"/>
      <c r="AX510" s="113"/>
      <c r="AY510" s="113"/>
      <c r="AZ510" s="113"/>
      <c r="BA510" s="113"/>
      <c r="BB510" s="113"/>
      <c r="BC510" s="113"/>
      <c r="BD510" s="113"/>
      <c r="BE510" s="113"/>
      <c r="BF510" s="113"/>
      <c r="BG510" s="113"/>
      <c r="BH510" s="113"/>
      <c r="BI510" s="113"/>
      <c r="BJ510" s="113"/>
      <c r="BK510" s="113"/>
      <c r="BL510" s="113"/>
      <c r="BM510" s="113"/>
      <c r="BN510" s="113"/>
      <c r="BO510" s="113"/>
      <c r="BP510" s="113"/>
      <c r="BQ510" s="113"/>
      <c r="BR510" s="113"/>
      <c r="BS510" s="113"/>
      <c r="BT510" s="113"/>
      <c r="BU510" s="113"/>
      <c r="BV510" s="113"/>
      <c r="BW510" s="113"/>
      <c r="BX510" s="113"/>
      <c r="BY510" s="113"/>
      <c r="BZ510" s="113"/>
      <c r="CA510" s="113"/>
      <c r="CB510" s="113"/>
      <c r="CC510" s="113"/>
      <c r="CD510" s="113"/>
      <c r="CE510" s="113"/>
      <c r="CF510" s="113"/>
      <c r="CG510" s="113"/>
      <c r="CH510" s="113"/>
      <c r="CI510" s="113"/>
      <c r="CJ510" s="113"/>
      <c r="CK510" s="113"/>
      <c r="CL510" s="113"/>
      <c r="CM510" s="113"/>
      <c r="CN510" s="113"/>
      <c r="CO510" s="113"/>
      <c r="CP510" s="113"/>
      <c r="CQ510" s="113"/>
      <c r="CR510" s="113"/>
      <c r="CS510" s="113"/>
      <c r="CT510" s="113"/>
      <c r="CU510" s="113"/>
    </row>
    <row r="511">
      <c r="A511" s="159"/>
      <c r="B511" s="113"/>
      <c r="C511" s="113"/>
      <c r="D511" s="158"/>
      <c r="E511" s="161"/>
      <c r="F511" s="160"/>
      <c r="G511" s="162"/>
      <c r="H511" s="159"/>
      <c r="I511" s="113"/>
      <c r="J511" s="113"/>
      <c r="K511" s="113"/>
      <c r="L511" s="158"/>
      <c r="M511" s="113"/>
      <c r="N511" s="113"/>
      <c r="O511" s="113"/>
      <c r="P511" s="113"/>
      <c r="Q511" s="113"/>
      <c r="R511" s="113"/>
      <c r="S511" s="113"/>
      <c r="T511" s="113"/>
      <c r="U511" s="113"/>
      <c r="V511" s="113"/>
      <c r="W511" s="113"/>
      <c r="X511" s="113"/>
      <c r="Y511" s="113"/>
      <c r="Z511" s="113"/>
      <c r="AA511" s="113"/>
      <c r="AB511" s="113"/>
      <c r="AC511" s="113"/>
      <c r="AD511" s="113"/>
      <c r="AE511" s="113"/>
      <c r="AF511" s="113"/>
      <c r="AG511" s="113"/>
      <c r="AH511" s="113"/>
      <c r="AI511" s="113"/>
      <c r="AJ511" s="113"/>
      <c r="AK511" s="113"/>
      <c r="AL511" s="113"/>
      <c r="AM511" s="113"/>
      <c r="AN511" s="113"/>
      <c r="AO511" s="113"/>
      <c r="AP511" s="113"/>
      <c r="AQ511" s="113"/>
      <c r="AR511" s="113"/>
      <c r="AS511" s="113"/>
      <c r="AT511" s="113"/>
      <c r="AU511" s="113"/>
      <c r="AV511" s="113"/>
      <c r="AW511" s="113"/>
      <c r="AX511" s="113"/>
      <c r="AY511" s="113"/>
      <c r="AZ511" s="113"/>
      <c r="BA511" s="113"/>
      <c r="BB511" s="113"/>
      <c r="BC511" s="113"/>
      <c r="BD511" s="113"/>
      <c r="BE511" s="113"/>
      <c r="BF511" s="113"/>
      <c r="BG511" s="113"/>
      <c r="BH511" s="113"/>
      <c r="BI511" s="113"/>
      <c r="BJ511" s="113"/>
      <c r="BK511" s="113"/>
      <c r="BL511" s="113"/>
      <c r="BM511" s="113"/>
      <c r="BN511" s="113"/>
      <c r="BO511" s="113"/>
      <c r="BP511" s="113"/>
      <c r="BQ511" s="113"/>
      <c r="BR511" s="113"/>
      <c r="BS511" s="113"/>
      <c r="BT511" s="113"/>
      <c r="BU511" s="113"/>
      <c r="BV511" s="113"/>
      <c r="BW511" s="113"/>
      <c r="BX511" s="113"/>
      <c r="BY511" s="113"/>
      <c r="BZ511" s="113"/>
      <c r="CA511" s="113"/>
      <c r="CB511" s="113"/>
      <c r="CC511" s="113"/>
      <c r="CD511" s="113"/>
      <c r="CE511" s="113"/>
      <c r="CF511" s="113"/>
      <c r="CG511" s="113"/>
      <c r="CH511" s="113"/>
      <c r="CI511" s="113"/>
      <c r="CJ511" s="113"/>
      <c r="CK511" s="113"/>
      <c r="CL511" s="113"/>
      <c r="CM511" s="113"/>
      <c r="CN511" s="113"/>
      <c r="CO511" s="113"/>
      <c r="CP511" s="113"/>
      <c r="CQ511" s="113"/>
      <c r="CR511" s="113"/>
      <c r="CS511" s="113"/>
      <c r="CT511" s="113"/>
      <c r="CU511" s="113"/>
    </row>
    <row r="512">
      <c r="A512" s="159"/>
      <c r="B512" s="113"/>
      <c r="C512" s="113"/>
      <c r="D512" s="158"/>
      <c r="E512" s="161"/>
      <c r="F512" s="160"/>
      <c r="G512" s="162"/>
      <c r="H512" s="159"/>
      <c r="I512" s="113"/>
      <c r="J512" s="113"/>
      <c r="K512" s="113"/>
      <c r="L512" s="158"/>
      <c r="M512" s="113"/>
      <c r="N512" s="113"/>
      <c r="O512" s="113"/>
      <c r="P512" s="113"/>
      <c r="Q512" s="113"/>
      <c r="R512" s="113"/>
      <c r="S512" s="113"/>
      <c r="T512" s="113"/>
      <c r="U512" s="113"/>
      <c r="V512" s="113"/>
      <c r="W512" s="113"/>
      <c r="X512" s="113"/>
      <c r="Y512" s="113"/>
      <c r="Z512" s="113"/>
      <c r="AA512" s="113"/>
      <c r="AB512" s="113"/>
      <c r="AC512" s="113"/>
      <c r="AD512" s="113"/>
      <c r="AE512" s="113"/>
      <c r="AF512" s="113"/>
      <c r="AG512" s="113"/>
      <c r="AH512" s="113"/>
      <c r="AI512" s="113"/>
      <c r="AJ512" s="113"/>
      <c r="AK512" s="113"/>
      <c r="AL512" s="113"/>
      <c r="AM512" s="113"/>
      <c r="AN512" s="113"/>
      <c r="AO512" s="113"/>
      <c r="AP512" s="113"/>
      <c r="AQ512" s="113"/>
      <c r="AR512" s="113"/>
      <c r="AS512" s="113"/>
      <c r="AT512" s="113"/>
      <c r="AU512" s="113"/>
      <c r="AV512" s="113"/>
      <c r="AW512" s="113"/>
      <c r="AX512" s="113"/>
      <c r="AY512" s="113"/>
      <c r="AZ512" s="113"/>
      <c r="BA512" s="113"/>
      <c r="BB512" s="113"/>
      <c r="BC512" s="113"/>
      <c r="BD512" s="113"/>
      <c r="BE512" s="113"/>
      <c r="BF512" s="113"/>
      <c r="BG512" s="113"/>
      <c r="BH512" s="113"/>
      <c r="BI512" s="113"/>
      <c r="BJ512" s="113"/>
      <c r="BK512" s="113"/>
      <c r="BL512" s="113"/>
      <c r="BM512" s="113"/>
      <c r="BN512" s="113"/>
      <c r="BO512" s="113"/>
      <c r="BP512" s="113"/>
      <c r="BQ512" s="113"/>
      <c r="BR512" s="113"/>
      <c r="BS512" s="113"/>
      <c r="BT512" s="113"/>
      <c r="BU512" s="113"/>
      <c r="BV512" s="113"/>
      <c r="BW512" s="113"/>
      <c r="BX512" s="113"/>
      <c r="BY512" s="113"/>
      <c r="BZ512" s="113"/>
      <c r="CA512" s="113"/>
      <c r="CB512" s="113"/>
      <c r="CC512" s="113"/>
      <c r="CD512" s="113"/>
      <c r="CE512" s="113"/>
      <c r="CF512" s="113"/>
      <c r="CG512" s="113"/>
      <c r="CH512" s="113"/>
      <c r="CI512" s="113"/>
      <c r="CJ512" s="113"/>
      <c r="CK512" s="113"/>
      <c r="CL512" s="113"/>
      <c r="CM512" s="113"/>
      <c r="CN512" s="113"/>
      <c r="CO512" s="113"/>
      <c r="CP512" s="113"/>
      <c r="CQ512" s="113"/>
      <c r="CR512" s="113"/>
      <c r="CS512" s="113"/>
      <c r="CT512" s="113"/>
      <c r="CU512" s="113"/>
    </row>
    <row r="513">
      <c r="A513" s="159"/>
      <c r="B513" s="113"/>
      <c r="C513" s="113"/>
      <c r="D513" s="158"/>
      <c r="E513" s="161"/>
      <c r="F513" s="160"/>
      <c r="G513" s="162"/>
      <c r="H513" s="159"/>
      <c r="I513" s="113"/>
      <c r="J513" s="113"/>
      <c r="K513" s="113"/>
      <c r="L513" s="158"/>
      <c r="M513" s="113"/>
      <c r="N513" s="113"/>
      <c r="O513" s="113"/>
      <c r="P513" s="113"/>
      <c r="Q513" s="113"/>
      <c r="R513" s="113"/>
      <c r="S513" s="113"/>
      <c r="T513" s="113"/>
      <c r="U513" s="113"/>
      <c r="V513" s="113"/>
      <c r="W513" s="113"/>
      <c r="X513" s="113"/>
      <c r="Y513" s="113"/>
      <c r="Z513" s="113"/>
      <c r="AA513" s="113"/>
      <c r="AB513" s="113"/>
      <c r="AC513" s="113"/>
      <c r="AD513" s="113"/>
      <c r="AE513" s="113"/>
      <c r="AF513" s="113"/>
      <c r="AG513" s="113"/>
      <c r="AH513" s="113"/>
      <c r="AI513" s="113"/>
      <c r="AJ513" s="113"/>
      <c r="AK513" s="113"/>
      <c r="AL513" s="113"/>
      <c r="AM513" s="113"/>
      <c r="AN513" s="113"/>
      <c r="AO513" s="113"/>
      <c r="AP513" s="113"/>
      <c r="AQ513" s="113"/>
      <c r="AR513" s="113"/>
      <c r="AS513" s="113"/>
      <c r="AT513" s="113"/>
      <c r="AU513" s="113"/>
      <c r="AV513" s="113"/>
      <c r="AW513" s="113"/>
      <c r="AX513" s="113"/>
      <c r="AY513" s="113"/>
      <c r="AZ513" s="113"/>
      <c r="BA513" s="113"/>
      <c r="BB513" s="113"/>
      <c r="BC513" s="113"/>
      <c r="BD513" s="113"/>
      <c r="BE513" s="113"/>
      <c r="BF513" s="113"/>
      <c r="BG513" s="113"/>
      <c r="BH513" s="113"/>
      <c r="BI513" s="113"/>
      <c r="BJ513" s="113"/>
      <c r="BK513" s="113"/>
      <c r="BL513" s="113"/>
      <c r="BM513" s="113"/>
      <c r="BN513" s="113"/>
      <c r="BO513" s="113"/>
      <c r="BP513" s="113"/>
      <c r="BQ513" s="113"/>
      <c r="BR513" s="113"/>
      <c r="BS513" s="113"/>
      <c r="BT513" s="113"/>
      <c r="BU513" s="113"/>
      <c r="BV513" s="113"/>
      <c r="BW513" s="113"/>
      <c r="BX513" s="113"/>
      <c r="BY513" s="113"/>
      <c r="BZ513" s="113"/>
      <c r="CA513" s="113"/>
      <c r="CB513" s="113"/>
      <c r="CC513" s="113"/>
      <c r="CD513" s="113"/>
      <c r="CE513" s="113"/>
      <c r="CF513" s="113"/>
      <c r="CG513" s="113"/>
      <c r="CH513" s="113"/>
      <c r="CI513" s="113"/>
      <c r="CJ513" s="113"/>
      <c r="CK513" s="113"/>
      <c r="CL513" s="113"/>
      <c r="CM513" s="113"/>
      <c r="CN513" s="113"/>
      <c r="CO513" s="113"/>
      <c r="CP513" s="113"/>
      <c r="CQ513" s="113"/>
      <c r="CR513" s="113"/>
      <c r="CS513" s="113"/>
      <c r="CT513" s="113"/>
      <c r="CU513" s="113"/>
    </row>
    <row r="514">
      <c r="A514" s="159"/>
      <c r="B514" s="113"/>
      <c r="C514" s="113"/>
      <c r="D514" s="158"/>
      <c r="E514" s="161"/>
      <c r="F514" s="160"/>
      <c r="G514" s="162"/>
      <c r="H514" s="159"/>
      <c r="I514" s="113"/>
      <c r="J514" s="113"/>
      <c r="K514" s="113"/>
      <c r="L514" s="158"/>
      <c r="M514" s="113"/>
      <c r="N514" s="113"/>
      <c r="O514" s="113"/>
      <c r="P514" s="113"/>
      <c r="Q514" s="113"/>
      <c r="R514" s="113"/>
      <c r="S514" s="113"/>
      <c r="T514" s="113"/>
      <c r="U514" s="113"/>
      <c r="V514" s="113"/>
      <c r="W514" s="113"/>
      <c r="X514" s="113"/>
      <c r="Y514" s="113"/>
      <c r="Z514" s="113"/>
      <c r="AA514" s="113"/>
      <c r="AB514" s="113"/>
      <c r="AC514" s="113"/>
      <c r="AD514" s="113"/>
      <c r="AE514" s="113"/>
      <c r="AF514" s="113"/>
      <c r="AG514" s="113"/>
      <c r="AH514" s="113"/>
      <c r="AI514" s="113"/>
      <c r="AJ514" s="113"/>
      <c r="AK514" s="113"/>
      <c r="AL514" s="113"/>
      <c r="AM514" s="113"/>
      <c r="AN514" s="113"/>
      <c r="AO514" s="113"/>
      <c r="AP514" s="113"/>
      <c r="AQ514" s="113"/>
      <c r="AR514" s="113"/>
      <c r="AS514" s="113"/>
      <c r="AT514" s="113"/>
      <c r="AU514" s="113"/>
      <c r="AV514" s="113"/>
      <c r="AW514" s="113"/>
      <c r="AX514" s="113"/>
      <c r="AY514" s="113"/>
      <c r="AZ514" s="113"/>
      <c r="BA514" s="113"/>
      <c r="BB514" s="113"/>
      <c r="BC514" s="113"/>
      <c r="BD514" s="113"/>
      <c r="BE514" s="113"/>
      <c r="BF514" s="113"/>
      <c r="BG514" s="113"/>
      <c r="BH514" s="113"/>
      <c r="BI514" s="113"/>
      <c r="BJ514" s="113"/>
      <c r="BK514" s="113"/>
      <c r="BL514" s="113"/>
      <c r="BM514" s="113"/>
      <c r="BN514" s="113"/>
      <c r="BO514" s="113"/>
      <c r="BP514" s="113"/>
      <c r="BQ514" s="113"/>
      <c r="BR514" s="113"/>
      <c r="BS514" s="113"/>
      <c r="BT514" s="113"/>
      <c r="BU514" s="113"/>
      <c r="BV514" s="113"/>
      <c r="BW514" s="113"/>
      <c r="BX514" s="113"/>
      <c r="BY514" s="113"/>
      <c r="BZ514" s="113"/>
      <c r="CA514" s="113"/>
      <c r="CB514" s="113"/>
      <c r="CC514" s="113"/>
      <c r="CD514" s="113"/>
      <c r="CE514" s="113"/>
      <c r="CF514" s="113"/>
      <c r="CG514" s="113"/>
      <c r="CH514" s="113"/>
      <c r="CI514" s="113"/>
      <c r="CJ514" s="113"/>
      <c r="CK514" s="113"/>
      <c r="CL514" s="113"/>
      <c r="CM514" s="113"/>
      <c r="CN514" s="113"/>
      <c r="CO514" s="113"/>
      <c r="CP514" s="113"/>
      <c r="CQ514" s="113"/>
      <c r="CR514" s="113"/>
      <c r="CS514" s="113"/>
      <c r="CT514" s="113"/>
      <c r="CU514" s="113"/>
    </row>
    <row r="515">
      <c r="A515" s="159"/>
      <c r="B515" s="113"/>
      <c r="C515" s="113"/>
      <c r="D515" s="158"/>
      <c r="E515" s="161"/>
      <c r="F515" s="160"/>
      <c r="G515" s="162"/>
      <c r="H515" s="159"/>
      <c r="I515" s="113"/>
      <c r="J515" s="113"/>
      <c r="K515" s="113"/>
      <c r="L515" s="158"/>
      <c r="M515" s="113"/>
      <c r="N515" s="113"/>
      <c r="O515" s="113"/>
      <c r="P515" s="113"/>
      <c r="Q515" s="113"/>
      <c r="R515" s="113"/>
      <c r="S515" s="113"/>
      <c r="T515" s="113"/>
      <c r="U515" s="113"/>
      <c r="V515" s="113"/>
      <c r="W515" s="113"/>
      <c r="X515" s="113"/>
      <c r="Y515" s="113"/>
      <c r="Z515" s="113"/>
      <c r="AA515" s="113"/>
      <c r="AB515" s="113"/>
      <c r="AC515" s="113"/>
      <c r="AD515" s="113"/>
      <c r="AE515" s="113"/>
      <c r="AF515" s="113"/>
      <c r="AG515" s="113"/>
      <c r="AH515" s="113"/>
      <c r="AI515" s="113"/>
      <c r="AJ515" s="113"/>
      <c r="AK515" s="113"/>
      <c r="AL515" s="113"/>
      <c r="AM515" s="113"/>
      <c r="AN515" s="113"/>
      <c r="AO515" s="113"/>
      <c r="AP515" s="113"/>
      <c r="AQ515" s="113"/>
      <c r="AR515" s="113"/>
      <c r="AS515" s="113"/>
      <c r="AT515" s="113"/>
      <c r="AU515" s="113"/>
      <c r="AV515" s="113"/>
      <c r="AW515" s="113"/>
      <c r="AX515" s="113"/>
      <c r="AY515" s="113"/>
      <c r="AZ515" s="113"/>
      <c r="BA515" s="113"/>
      <c r="BB515" s="113"/>
      <c r="BC515" s="113"/>
      <c r="BD515" s="113"/>
      <c r="BE515" s="113"/>
      <c r="BF515" s="113"/>
      <c r="BG515" s="113"/>
      <c r="BH515" s="113"/>
      <c r="BI515" s="113"/>
      <c r="BJ515" s="113"/>
      <c r="BK515" s="113"/>
      <c r="BL515" s="113"/>
      <c r="BM515" s="113"/>
      <c r="BN515" s="113"/>
      <c r="BO515" s="113"/>
      <c r="BP515" s="113"/>
      <c r="BQ515" s="113"/>
      <c r="BR515" s="113"/>
      <c r="BS515" s="113"/>
      <c r="BT515" s="113"/>
      <c r="BU515" s="113"/>
      <c r="BV515" s="113"/>
      <c r="BW515" s="113"/>
      <c r="BX515" s="113"/>
      <c r="BY515" s="113"/>
      <c r="BZ515" s="113"/>
      <c r="CA515" s="113"/>
      <c r="CB515" s="113"/>
      <c r="CC515" s="113"/>
      <c r="CD515" s="113"/>
      <c r="CE515" s="113"/>
      <c r="CF515" s="113"/>
      <c r="CG515" s="113"/>
      <c r="CH515" s="113"/>
      <c r="CI515" s="113"/>
      <c r="CJ515" s="113"/>
      <c r="CK515" s="113"/>
      <c r="CL515" s="113"/>
      <c r="CM515" s="113"/>
      <c r="CN515" s="113"/>
      <c r="CO515" s="113"/>
      <c r="CP515" s="113"/>
      <c r="CQ515" s="113"/>
      <c r="CR515" s="113"/>
      <c r="CS515" s="113"/>
      <c r="CT515" s="113"/>
      <c r="CU515" s="113"/>
    </row>
    <row r="516">
      <c r="A516" s="159"/>
      <c r="B516" s="113"/>
      <c r="C516" s="113"/>
      <c r="D516" s="158"/>
      <c r="E516" s="161"/>
      <c r="F516" s="160"/>
      <c r="G516" s="162"/>
      <c r="H516" s="159"/>
      <c r="I516" s="113"/>
      <c r="J516" s="113"/>
      <c r="K516" s="113"/>
      <c r="L516" s="158"/>
      <c r="M516" s="113"/>
      <c r="N516" s="113"/>
      <c r="O516" s="113"/>
      <c r="P516" s="113"/>
      <c r="Q516" s="113"/>
      <c r="R516" s="113"/>
      <c r="S516" s="113"/>
      <c r="T516" s="113"/>
      <c r="U516" s="113"/>
      <c r="V516" s="113"/>
      <c r="W516" s="113"/>
      <c r="X516" s="113"/>
      <c r="Y516" s="113"/>
      <c r="Z516" s="113"/>
      <c r="AA516" s="113"/>
      <c r="AB516" s="113"/>
      <c r="AC516" s="113"/>
      <c r="AD516" s="113"/>
      <c r="AE516" s="113"/>
      <c r="AF516" s="113"/>
      <c r="AG516" s="113"/>
      <c r="AH516" s="113"/>
      <c r="AI516" s="113"/>
      <c r="AJ516" s="113"/>
      <c r="AK516" s="113"/>
      <c r="AL516" s="113"/>
      <c r="AM516" s="113"/>
      <c r="AN516" s="113"/>
      <c r="AO516" s="113"/>
      <c r="AP516" s="113"/>
      <c r="AQ516" s="113"/>
      <c r="AR516" s="113"/>
      <c r="AS516" s="113"/>
      <c r="AT516" s="113"/>
      <c r="AU516" s="113"/>
      <c r="AV516" s="113"/>
      <c r="AW516" s="113"/>
      <c r="AX516" s="113"/>
      <c r="AY516" s="113"/>
      <c r="AZ516" s="113"/>
      <c r="BA516" s="113"/>
      <c r="BB516" s="113"/>
      <c r="BC516" s="113"/>
      <c r="BD516" s="113"/>
      <c r="BE516" s="113"/>
      <c r="BF516" s="113"/>
      <c r="BG516" s="113"/>
      <c r="BH516" s="113"/>
      <c r="BI516" s="113"/>
      <c r="BJ516" s="113"/>
      <c r="BK516" s="113"/>
      <c r="BL516" s="113"/>
      <c r="BM516" s="113"/>
      <c r="BN516" s="113"/>
      <c r="BO516" s="113"/>
      <c r="BP516" s="113"/>
      <c r="BQ516" s="113"/>
      <c r="BR516" s="113"/>
      <c r="BS516" s="113"/>
      <c r="BT516" s="113"/>
      <c r="BU516" s="113"/>
      <c r="BV516" s="113"/>
      <c r="BW516" s="113"/>
      <c r="BX516" s="113"/>
      <c r="BY516" s="113"/>
      <c r="BZ516" s="113"/>
      <c r="CA516" s="113"/>
      <c r="CB516" s="113"/>
      <c r="CC516" s="113"/>
      <c r="CD516" s="113"/>
      <c r="CE516" s="113"/>
      <c r="CF516" s="113"/>
      <c r="CG516" s="113"/>
      <c r="CH516" s="113"/>
      <c r="CI516" s="113"/>
      <c r="CJ516" s="113"/>
      <c r="CK516" s="113"/>
      <c r="CL516" s="113"/>
      <c r="CM516" s="113"/>
      <c r="CN516" s="113"/>
      <c r="CO516" s="113"/>
      <c r="CP516" s="113"/>
      <c r="CQ516" s="113"/>
      <c r="CR516" s="113"/>
      <c r="CS516" s="113"/>
      <c r="CT516" s="113"/>
      <c r="CU516" s="113"/>
    </row>
    <row r="517">
      <c r="A517" s="159"/>
      <c r="B517" s="113"/>
      <c r="C517" s="113"/>
      <c r="D517" s="158"/>
      <c r="E517" s="161"/>
      <c r="F517" s="160"/>
      <c r="G517" s="162"/>
      <c r="H517" s="159"/>
      <c r="I517" s="113"/>
      <c r="J517" s="113"/>
      <c r="K517" s="113"/>
      <c r="L517" s="158"/>
      <c r="M517" s="113"/>
      <c r="N517" s="113"/>
      <c r="O517" s="113"/>
      <c r="P517" s="113"/>
      <c r="Q517" s="113"/>
      <c r="R517" s="113"/>
      <c r="S517" s="113"/>
      <c r="T517" s="113"/>
      <c r="U517" s="113"/>
      <c r="V517" s="113"/>
      <c r="W517" s="113"/>
      <c r="X517" s="113"/>
      <c r="Y517" s="113"/>
      <c r="Z517" s="113"/>
      <c r="AA517" s="113"/>
      <c r="AB517" s="113"/>
      <c r="AC517" s="113"/>
      <c r="AD517" s="113"/>
      <c r="AE517" s="113"/>
      <c r="AF517" s="113"/>
      <c r="AG517" s="113"/>
      <c r="AH517" s="113"/>
      <c r="AI517" s="113"/>
      <c r="AJ517" s="113"/>
      <c r="AK517" s="113"/>
      <c r="AL517" s="113"/>
      <c r="AM517" s="113"/>
      <c r="AN517" s="113"/>
      <c r="AO517" s="113"/>
      <c r="AP517" s="113"/>
      <c r="AQ517" s="113"/>
      <c r="AR517" s="113"/>
      <c r="AS517" s="113"/>
      <c r="AT517" s="113"/>
      <c r="AU517" s="113"/>
      <c r="AV517" s="113"/>
      <c r="AW517" s="113"/>
      <c r="AX517" s="113"/>
      <c r="AY517" s="113"/>
      <c r="AZ517" s="113"/>
      <c r="BA517" s="113"/>
      <c r="BB517" s="113"/>
      <c r="BC517" s="113"/>
      <c r="BD517" s="113"/>
      <c r="BE517" s="113"/>
      <c r="BF517" s="113"/>
      <c r="BG517" s="113"/>
      <c r="BH517" s="113"/>
      <c r="BI517" s="113"/>
      <c r="BJ517" s="113"/>
      <c r="BK517" s="113"/>
      <c r="BL517" s="113"/>
      <c r="BM517" s="113"/>
      <c r="BN517" s="113"/>
      <c r="BO517" s="113"/>
      <c r="BP517" s="113"/>
      <c r="BQ517" s="113"/>
      <c r="BR517" s="113"/>
      <c r="BS517" s="113"/>
      <c r="BT517" s="113"/>
      <c r="BU517" s="113"/>
      <c r="BV517" s="113"/>
      <c r="BW517" s="113"/>
      <c r="BX517" s="113"/>
      <c r="BY517" s="113"/>
      <c r="BZ517" s="113"/>
      <c r="CA517" s="113"/>
      <c r="CB517" s="113"/>
      <c r="CC517" s="113"/>
      <c r="CD517" s="113"/>
      <c r="CE517" s="113"/>
      <c r="CF517" s="113"/>
      <c r="CG517" s="113"/>
      <c r="CH517" s="113"/>
      <c r="CI517" s="113"/>
      <c r="CJ517" s="113"/>
      <c r="CK517" s="113"/>
      <c r="CL517" s="113"/>
      <c r="CM517" s="113"/>
      <c r="CN517" s="113"/>
      <c r="CO517" s="113"/>
      <c r="CP517" s="113"/>
      <c r="CQ517" s="113"/>
      <c r="CR517" s="113"/>
      <c r="CS517" s="113"/>
      <c r="CT517" s="113"/>
      <c r="CU517" s="113"/>
    </row>
    <row r="518">
      <c r="A518" s="159"/>
      <c r="B518" s="113"/>
      <c r="C518" s="113"/>
      <c r="D518" s="158"/>
      <c r="E518" s="161"/>
      <c r="F518" s="160"/>
      <c r="G518" s="162"/>
      <c r="H518" s="159"/>
      <c r="I518" s="113"/>
      <c r="J518" s="113"/>
      <c r="K518" s="113"/>
      <c r="L518" s="158"/>
      <c r="M518" s="113"/>
      <c r="N518" s="113"/>
      <c r="O518" s="113"/>
      <c r="P518" s="113"/>
      <c r="Q518" s="113"/>
      <c r="R518" s="113"/>
      <c r="S518" s="113"/>
      <c r="T518" s="113"/>
      <c r="U518" s="113"/>
      <c r="V518" s="113"/>
      <c r="W518" s="113"/>
      <c r="X518" s="113"/>
      <c r="Y518" s="113"/>
      <c r="Z518" s="113"/>
      <c r="AA518" s="113"/>
      <c r="AB518" s="113"/>
      <c r="AC518" s="113"/>
      <c r="AD518" s="113"/>
      <c r="AE518" s="113"/>
      <c r="AF518" s="113"/>
      <c r="AG518" s="113"/>
      <c r="AH518" s="113"/>
      <c r="AI518" s="113"/>
      <c r="AJ518" s="113"/>
      <c r="AK518" s="113"/>
      <c r="AL518" s="113"/>
      <c r="AM518" s="113"/>
      <c r="AN518" s="113"/>
      <c r="AO518" s="113"/>
      <c r="AP518" s="113"/>
      <c r="AQ518" s="113"/>
      <c r="AR518" s="113"/>
      <c r="AS518" s="113"/>
      <c r="AT518" s="113"/>
      <c r="AU518" s="113"/>
      <c r="AV518" s="113"/>
      <c r="AW518" s="113"/>
      <c r="AX518" s="113"/>
      <c r="AY518" s="113"/>
      <c r="AZ518" s="113"/>
      <c r="BA518" s="113"/>
      <c r="BB518" s="113"/>
      <c r="BC518" s="113"/>
      <c r="BD518" s="113"/>
      <c r="BE518" s="113"/>
      <c r="BF518" s="113"/>
      <c r="BG518" s="113"/>
      <c r="BH518" s="113"/>
      <c r="BI518" s="113"/>
      <c r="BJ518" s="113"/>
      <c r="BK518" s="113"/>
      <c r="BL518" s="113"/>
      <c r="BM518" s="113"/>
      <c r="BN518" s="113"/>
      <c r="BO518" s="113"/>
      <c r="BP518" s="113"/>
      <c r="BQ518" s="113"/>
      <c r="BR518" s="113"/>
      <c r="BS518" s="113"/>
      <c r="BT518" s="113"/>
      <c r="BU518" s="113"/>
      <c r="BV518" s="113"/>
      <c r="BW518" s="113"/>
      <c r="BX518" s="113"/>
      <c r="BY518" s="113"/>
      <c r="BZ518" s="113"/>
      <c r="CA518" s="113"/>
      <c r="CB518" s="113"/>
      <c r="CC518" s="113"/>
      <c r="CD518" s="113"/>
      <c r="CE518" s="113"/>
      <c r="CF518" s="113"/>
      <c r="CG518" s="113"/>
      <c r="CH518" s="113"/>
      <c r="CI518" s="113"/>
      <c r="CJ518" s="113"/>
      <c r="CK518" s="113"/>
      <c r="CL518" s="113"/>
      <c r="CM518" s="113"/>
      <c r="CN518" s="113"/>
      <c r="CO518" s="113"/>
      <c r="CP518" s="113"/>
      <c r="CQ518" s="113"/>
      <c r="CR518" s="113"/>
      <c r="CS518" s="113"/>
      <c r="CT518" s="113"/>
      <c r="CU518" s="113"/>
    </row>
    <row r="519">
      <c r="A519" s="159"/>
      <c r="B519" s="113"/>
      <c r="C519" s="113"/>
      <c r="D519" s="158"/>
      <c r="E519" s="161"/>
      <c r="F519" s="160"/>
      <c r="G519" s="162"/>
      <c r="H519" s="159"/>
      <c r="I519" s="113"/>
      <c r="J519" s="113"/>
      <c r="K519" s="113"/>
      <c r="L519" s="158"/>
      <c r="M519" s="113"/>
      <c r="N519" s="113"/>
      <c r="O519" s="113"/>
      <c r="P519" s="113"/>
      <c r="Q519" s="113"/>
      <c r="R519" s="113"/>
      <c r="S519" s="113"/>
      <c r="T519" s="113"/>
      <c r="U519" s="113"/>
      <c r="V519" s="113"/>
      <c r="W519" s="113"/>
      <c r="X519" s="113"/>
      <c r="Y519" s="113"/>
      <c r="Z519" s="113"/>
      <c r="AA519" s="113"/>
      <c r="AB519" s="113"/>
      <c r="AC519" s="113"/>
      <c r="AD519" s="113"/>
      <c r="AE519" s="113"/>
      <c r="AF519" s="113"/>
      <c r="AG519" s="113"/>
      <c r="AH519" s="113"/>
      <c r="AI519" s="113"/>
      <c r="AJ519" s="113"/>
      <c r="AK519" s="113"/>
      <c r="AL519" s="113"/>
      <c r="AM519" s="113"/>
      <c r="AN519" s="113"/>
      <c r="AO519" s="113"/>
      <c r="AP519" s="113"/>
      <c r="AQ519" s="113"/>
      <c r="AR519" s="113"/>
      <c r="AS519" s="113"/>
      <c r="AT519" s="113"/>
      <c r="AU519" s="113"/>
      <c r="AV519" s="113"/>
      <c r="AW519" s="113"/>
      <c r="AX519" s="113"/>
      <c r="AY519" s="113"/>
      <c r="AZ519" s="113"/>
      <c r="BA519" s="113"/>
      <c r="BB519" s="113"/>
      <c r="BC519" s="113"/>
      <c r="BD519" s="113"/>
      <c r="BE519" s="113"/>
      <c r="BF519" s="113"/>
      <c r="BG519" s="113"/>
      <c r="BH519" s="113"/>
      <c r="BI519" s="113"/>
      <c r="BJ519" s="113"/>
      <c r="BK519" s="113"/>
      <c r="BL519" s="113"/>
      <c r="BM519" s="113"/>
      <c r="BN519" s="113"/>
      <c r="BO519" s="113"/>
      <c r="BP519" s="113"/>
      <c r="BQ519" s="113"/>
      <c r="BR519" s="113"/>
      <c r="BS519" s="113"/>
      <c r="BT519" s="113"/>
      <c r="BU519" s="113"/>
      <c r="BV519" s="113"/>
      <c r="BW519" s="113"/>
      <c r="BX519" s="113"/>
      <c r="BY519" s="113"/>
      <c r="BZ519" s="113"/>
      <c r="CA519" s="113"/>
      <c r="CB519" s="113"/>
      <c r="CC519" s="113"/>
      <c r="CD519" s="113"/>
      <c r="CE519" s="113"/>
      <c r="CF519" s="113"/>
      <c r="CG519" s="113"/>
      <c r="CH519" s="113"/>
      <c r="CI519" s="113"/>
      <c r="CJ519" s="113"/>
      <c r="CK519" s="113"/>
      <c r="CL519" s="113"/>
      <c r="CM519" s="113"/>
      <c r="CN519" s="113"/>
      <c r="CO519" s="113"/>
      <c r="CP519" s="113"/>
      <c r="CQ519" s="113"/>
      <c r="CR519" s="113"/>
      <c r="CS519" s="113"/>
      <c r="CT519" s="113"/>
      <c r="CU519" s="113"/>
    </row>
    <row r="520">
      <c r="A520" s="159"/>
      <c r="B520" s="113"/>
      <c r="C520" s="113"/>
      <c r="D520" s="158"/>
      <c r="E520" s="161"/>
      <c r="F520" s="160"/>
      <c r="G520" s="162"/>
      <c r="H520" s="159"/>
      <c r="I520" s="113"/>
      <c r="J520" s="113"/>
      <c r="K520" s="113"/>
      <c r="L520" s="158"/>
      <c r="M520" s="113"/>
      <c r="N520" s="113"/>
      <c r="O520" s="113"/>
      <c r="P520" s="113"/>
      <c r="Q520" s="113"/>
      <c r="R520" s="113"/>
      <c r="S520" s="113"/>
      <c r="T520" s="113"/>
      <c r="U520" s="113"/>
      <c r="V520" s="113"/>
      <c r="W520" s="113"/>
      <c r="X520" s="113"/>
      <c r="Y520" s="113"/>
      <c r="Z520" s="113"/>
      <c r="AA520" s="113"/>
      <c r="AB520" s="113"/>
      <c r="AC520" s="113"/>
      <c r="AD520" s="113"/>
      <c r="AE520" s="113"/>
      <c r="AF520" s="113"/>
      <c r="AG520" s="113"/>
      <c r="AH520" s="113"/>
      <c r="AI520" s="113"/>
      <c r="AJ520" s="113"/>
      <c r="AK520" s="113"/>
      <c r="AL520" s="113"/>
      <c r="AM520" s="113"/>
      <c r="AN520" s="113"/>
      <c r="AO520" s="113"/>
      <c r="AP520" s="113"/>
      <c r="AQ520" s="113"/>
      <c r="AR520" s="113"/>
      <c r="AS520" s="113"/>
      <c r="AT520" s="113"/>
      <c r="AU520" s="113"/>
      <c r="AV520" s="113"/>
      <c r="AW520" s="113"/>
      <c r="AX520" s="113"/>
      <c r="AY520" s="113"/>
      <c r="AZ520" s="113"/>
      <c r="BA520" s="113"/>
      <c r="BB520" s="113"/>
      <c r="BC520" s="113"/>
      <c r="BD520" s="113"/>
      <c r="BE520" s="113"/>
      <c r="BF520" s="113"/>
      <c r="BG520" s="113"/>
      <c r="BH520" s="113"/>
      <c r="BI520" s="113"/>
      <c r="BJ520" s="113"/>
      <c r="BK520" s="113"/>
      <c r="BL520" s="113"/>
      <c r="BM520" s="113"/>
      <c r="BN520" s="113"/>
      <c r="BO520" s="113"/>
      <c r="BP520" s="113"/>
      <c r="BQ520" s="113"/>
      <c r="BR520" s="113"/>
      <c r="BS520" s="113"/>
      <c r="BT520" s="113"/>
      <c r="BU520" s="113"/>
      <c r="BV520" s="113"/>
      <c r="BW520" s="113"/>
      <c r="BX520" s="113"/>
      <c r="BY520" s="113"/>
      <c r="BZ520" s="113"/>
      <c r="CA520" s="113"/>
      <c r="CB520" s="113"/>
      <c r="CC520" s="113"/>
      <c r="CD520" s="113"/>
      <c r="CE520" s="113"/>
      <c r="CF520" s="113"/>
      <c r="CG520" s="113"/>
      <c r="CH520" s="113"/>
      <c r="CI520" s="113"/>
      <c r="CJ520" s="113"/>
      <c r="CK520" s="113"/>
      <c r="CL520" s="113"/>
      <c r="CM520" s="113"/>
      <c r="CN520" s="113"/>
      <c r="CO520" s="113"/>
      <c r="CP520" s="113"/>
      <c r="CQ520" s="113"/>
      <c r="CR520" s="113"/>
      <c r="CS520" s="113"/>
      <c r="CT520" s="113"/>
      <c r="CU520" s="113"/>
    </row>
    <row r="521">
      <c r="A521" s="159"/>
      <c r="B521" s="113"/>
      <c r="C521" s="113"/>
      <c r="D521" s="158"/>
      <c r="E521" s="161"/>
      <c r="F521" s="160"/>
      <c r="G521" s="162"/>
      <c r="H521" s="159"/>
      <c r="I521" s="113"/>
      <c r="J521" s="113"/>
      <c r="K521" s="113"/>
      <c r="L521" s="158"/>
      <c r="M521" s="113"/>
      <c r="N521" s="113"/>
      <c r="O521" s="113"/>
      <c r="P521" s="113"/>
      <c r="Q521" s="113"/>
      <c r="R521" s="113"/>
      <c r="S521" s="113"/>
      <c r="T521" s="113"/>
      <c r="U521" s="113"/>
      <c r="V521" s="113"/>
      <c r="W521" s="113"/>
      <c r="X521" s="113"/>
      <c r="Y521" s="113"/>
      <c r="Z521" s="113"/>
      <c r="AA521" s="113"/>
      <c r="AB521" s="113"/>
      <c r="AC521" s="113"/>
      <c r="AD521" s="113"/>
      <c r="AE521" s="113"/>
      <c r="AF521" s="113"/>
      <c r="AG521" s="113"/>
      <c r="AH521" s="113"/>
      <c r="AI521" s="113"/>
      <c r="AJ521" s="113"/>
      <c r="AK521" s="113"/>
      <c r="AL521" s="113"/>
      <c r="AM521" s="113"/>
      <c r="AN521" s="113"/>
      <c r="AO521" s="113"/>
      <c r="AP521" s="113"/>
      <c r="AQ521" s="113"/>
      <c r="AR521" s="113"/>
      <c r="AS521" s="113"/>
      <c r="AT521" s="113"/>
      <c r="AU521" s="113"/>
      <c r="AV521" s="113"/>
      <c r="AW521" s="113"/>
      <c r="AX521" s="113"/>
      <c r="AY521" s="113"/>
      <c r="AZ521" s="113"/>
      <c r="BA521" s="113"/>
      <c r="BB521" s="113"/>
      <c r="BC521" s="113"/>
      <c r="BD521" s="113"/>
      <c r="BE521" s="113"/>
      <c r="BF521" s="113"/>
      <c r="BG521" s="113"/>
      <c r="BH521" s="113"/>
      <c r="BI521" s="113"/>
      <c r="BJ521" s="113"/>
      <c r="BK521" s="113"/>
      <c r="BL521" s="113"/>
      <c r="BM521" s="113"/>
      <c r="BN521" s="113"/>
      <c r="BO521" s="113"/>
      <c r="BP521" s="113"/>
      <c r="BQ521" s="113"/>
      <c r="BR521" s="113"/>
      <c r="BS521" s="113"/>
      <c r="BT521" s="113"/>
      <c r="BU521" s="113"/>
      <c r="BV521" s="113"/>
      <c r="BW521" s="113"/>
      <c r="BX521" s="113"/>
      <c r="BY521" s="113"/>
      <c r="BZ521" s="113"/>
      <c r="CA521" s="113"/>
      <c r="CB521" s="113"/>
      <c r="CC521" s="113"/>
      <c r="CD521" s="113"/>
      <c r="CE521" s="113"/>
      <c r="CF521" s="113"/>
      <c r="CG521" s="113"/>
      <c r="CH521" s="113"/>
      <c r="CI521" s="113"/>
      <c r="CJ521" s="113"/>
      <c r="CK521" s="113"/>
      <c r="CL521" s="113"/>
      <c r="CM521" s="113"/>
      <c r="CN521" s="113"/>
      <c r="CO521" s="113"/>
      <c r="CP521" s="113"/>
      <c r="CQ521" s="113"/>
      <c r="CR521" s="113"/>
      <c r="CS521" s="113"/>
      <c r="CT521" s="113"/>
      <c r="CU521" s="113"/>
    </row>
    <row r="522">
      <c r="A522" s="159"/>
      <c r="B522" s="113"/>
      <c r="C522" s="113"/>
      <c r="D522" s="158"/>
      <c r="E522" s="161"/>
      <c r="F522" s="160"/>
      <c r="G522" s="162"/>
      <c r="H522" s="159"/>
      <c r="I522" s="113"/>
      <c r="J522" s="113"/>
      <c r="K522" s="113"/>
      <c r="L522" s="158"/>
      <c r="M522" s="113"/>
      <c r="N522" s="113"/>
      <c r="O522" s="113"/>
      <c r="P522" s="113"/>
      <c r="Q522" s="113"/>
      <c r="R522" s="113"/>
      <c r="S522" s="113"/>
      <c r="T522" s="113"/>
      <c r="U522" s="113"/>
      <c r="V522" s="113"/>
      <c r="W522" s="113"/>
      <c r="X522" s="113"/>
      <c r="Y522" s="113"/>
      <c r="Z522" s="113"/>
      <c r="AA522" s="113"/>
      <c r="AB522" s="113"/>
      <c r="AC522" s="113"/>
      <c r="AD522" s="113"/>
      <c r="AE522" s="113"/>
      <c r="AF522" s="113"/>
      <c r="AG522" s="113"/>
      <c r="AH522" s="113"/>
      <c r="AI522" s="113"/>
      <c r="AJ522" s="113"/>
      <c r="AK522" s="113"/>
      <c r="AL522" s="113"/>
      <c r="AM522" s="113"/>
      <c r="AN522" s="113"/>
      <c r="AO522" s="113"/>
      <c r="AP522" s="113"/>
      <c r="AQ522" s="113"/>
      <c r="AR522" s="113"/>
      <c r="AS522" s="113"/>
      <c r="AT522" s="113"/>
      <c r="AU522" s="113"/>
      <c r="AV522" s="113"/>
      <c r="AW522" s="113"/>
      <c r="AX522" s="113"/>
      <c r="AY522" s="113"/>
      <c r="AZ522" s="113"/>
      <c r="BA522" s="113"/>
      <c r="BB522" s="113"/>
      <c r="BC522" s="113"/>
      <c r="BD522" s="113"/>
      <c r="BE522" s="113"/>
      <c r="BF522" s="113"/>
      <c r="BG522" s="113"/>
      <c r="BH522" s="113"/>
      <c r="BI522" s="113"/>
      <c r="BJ522" s="113"/>
      <c r="BK522" s="113"/>
      <c r="BL522" s="113"/>
      <c r="BM522" s="113"/>
      <c r="BN522" s="113"/>
      <c r="BO522" s="113"/>
      <c r="BP522" s="113"/>
      <c r="BQ522" s="113"/>
      <c r="BR522" s="113"/>
      <c r="BS522" s="113"/>
      <c r="BT522" s="113"/>
      <c r="BU522" s="113"/>
      <c r="BV522" s="113"/>
      <c r="BW522" s="113"/>
      <c r="BX522" s="113"/>
      <c r="BY522" s="113"/>
      <c r="BZ522" s="113"/>
      <c r="CA522" s="113"/>
      <c r="CB522" s="113"/>
      <c r="CC522" s="113"/>
      <c r="CD522" s="113"/>
      <c r="CE522" s="113"/>
      <c r="CF522" s="113"/>
      <c r="CG522" s="113"/>
      <c r="CH522" s="113"/>
      <c r="CI522" s="113"/>
      <c r="CJ522" s="113"/>
      <c r="CK522" s="113"/>
      <c r="CL522" s="113"/>
      <c r="CM522" s="113"/>
      <c r="CN522" s="113"/>
      <c r="CO522" s="113"/>
      <c r="CP522" s="113"/>
      <c r="CQ522" s="113"/>
      <c r="CR522" s="113"/>
      <c r="CS522" s="113"/>
      <c r="CT522" s="113"/>
      <c r="CU522" s="113"/>
    </row>
    <row r="523">
      <c r="A523" s="159"/>
      <c r="B523" s="113"/>
      <c r="C523" s="113"/>
      <c r="D523" s="158"/>
      <c r="E523" s="161"/>
      <c r="F523" s="160"/>
      <c r="G523" s="162"/>
      <c r="H523" s="159"/>
      <c r="I523" s="113"/>
      <c r="J523" s="113"/>
      <c r="K523" s="113"/>
      <c r="L523" s="158"/>
      <c r="M523" s="113"/>
      <c r="N523" s="113"/>
      <c r="O523" s="113"/>
      <c r="P523" s="113"/>
      <c r="Q523" s="113"/>
      <c r="R523" s="113"/>
      <c r="S523" s="113"/>
      <c r="T523" s="113"/>
      <c r="U523" s="113"/>
      <c r="V523" s="113"/>
      <c r="W523" s="113"/>
      <c r="X523" s="113"/>
      <c r="Y523" s="113"/>
      <c r="Z523" s="113"/>
      <c r="AA523" s="113"/>
      <c r="AB523" s="113"/>
      <c r="AC523" s="113"/>
      <c r="AD523" s="113"/>
      <c r="AE523" s="113"/>
      <c r="AF523" s="113"/>
      <c r="AG523" s="113"/>
      <c r="AH523" s="113"/>
      <c r="AI523" s="113"/>
      <c r="AJ523" s="113"/>
      <c r="AK523" s="113"/>
      <c r="AL523" s="113"/>
      <c r="AM523" s="113"/>
      <c r="AN523" s="113"/>
      <c r="AO523" s="113"/>
      <c r="AP523" s="113"/>
      <c r="AQ523" s="113"/>
      <c r="AR523" s="113"/>
      <c r="AS523" s="113"/>
      <c r="AT523" s="113"/>
      <c r="AU523" s="113"/>
      <c r="AV523" s="113"/>
      <c r="AW523" s="113"/>
      <c r="AX523" s="113"/>
      <c r="AY523" s="113"/>
      <c r="AZ523" s="113"/>
      <c r="BA523" s="113"/>
      <c r="BB523" s="113"/>
      <c r="BC523" s="113"/>
      <c r="BD523" s="113"/>
      <c r="BE523" s="113"/>
      <c r="BF523" s="113"/>
      <c r="BG523" s="113"/>
      <c r="BH523" s="113"/>
      <c r="BI523" s="113"/>
      <c r="BJ523" s="113"/>
      <c r="BK523" s="113"/>
      <c r="BL523" s="113"/>
      <c r="BM523" s="113"/>
      <c r="BN523" s="113"/>
      <c r="BO523" s="113"/>
      <c r="BP523" s="113"/>
      <c r="BQ523" s="113"/>
      <c r="BR523" s="113"/>
      <c r="BS523" s="113"/>
      <c r="BT523" s="113"/>
      <c r="BU523" s="113"/>
      <c r="BV523" s="113"/>
      <c r="BW523" s="113"/>
      <c r="BX523" s="113"/>
      <c r="BY523" s="113"/>
      <c r="BZ523" s="113"/>
      <c r="CA523" s="113"/>
      <c r="CB523" s="113"/>
      <c r="CC523" s="113"/>
      <c r="CD523" s="113"/>
      <c r="CE523" s="113"/>
      <c r="CF523" s="113"/>
      <c r="CG523" s="113"/>
      <c r="CH523" s="113"/>
      <c r="CI523" s="113"/>
      <c r="CJ523" s="113"/>
      <c r="CK523" s="113"/>
      <c r="CL523" s="113"/>
      <c r="CM523" s="113"/>
      <c r="CN523" s="113"/>
      <c r="CO523" s="113"/>
      <c r="CP523" s="113"/>
      <c r="CQ523" s="113"/>
      <c r="CR523" s="113"/>
      <c r="CS523" s="113"/>
      <c r="CT523" s="113"/>
      <c r="CU523" s="113"/>
    </row>
    <row r="524">
      <c r="A524" s="159"/>
      <c r="B524" s="113"/>
      <c r="C524" s="113"/>
      <c r="D524" s="158"/>
      <c r="E524" s="161"/>
      <c r="F524" s="160"/>
      <c r="G524" s="162"/>
      <c r="H524" s="159"/>
      <c r="I524" s="113"/>
      <c r="J524" s="113"/>
      <c r="K524" s="113"/>
      <c r="L524" s="158"/>
      <c r="M524" s="113"/>
      <c r="N524" s="113"/>
      <c r="O524" s="113"/>
      <c r="P524" s="113"/>
      <c r="Q524" s="113"/>
      <c r="R524" s="113"/>
      <c r="S524" s="113"/>
      <c r="T524" s="113"/>
      <c r="U524" s="113"/>
      <c r="V524" s="113"/>
      <c r="W524" s="113"/>
      <c r="X524" s="113"/>
      <c r="Y524" s="113"/>
      <c r="Z524" s="113"/>
      <c r="AA524" s="113"/>
      <c r="AB524" s="113"/>
      <c r="AC524" s="113"/>
      <c r="AD524" s="113"/>
      <c r="AE524" s="113"/>
      <c r="AF524" s="113"/>
      <c r="AG524" s="113"/>
      <c r="AH524" s="113"/>
      <c r="AI524" s="113"/>
      <c r="AJ524" s="113"/>
      <c r="AK524" s="113"/>
      <c r="AL524" s="113"/>
      <c r="AM524" s="113"/>
      <c r="AN524" s="113"/>
      <c r="AO524" s="113"/>
      <c r="AP524" s="113"/>
      <c r="AQ524" s="113"/>
      <c r="AR524" s="113"/>
      <c r="AS524" s="113"/>
      <c r="AT524" s="113"/>
      <c r="AU524" s="113"/>
      <c r="AV524" s="113"/>
      <c r="AW524" s="113"/>
      <c r="AX524" s="113"/>
      <c r="AY524" s="113"/>
      <c r="AZ524" s="113"/>
      <c r="BA524" s="113"/>
      <c r="BB524" s="113"/>
      <c r="BC524" s="113"/>
      <c r="BD524" s="113"/>
      <c r="BE524" s="113"/>
      <c r="BF524" s="113"/>
      <c r="BG524" s="113"/>
      <c r="BH524" s="113"/>
      <c r="BI524" s="113"/>
      <c r="BJ524" s="113"/>
      <c r="BK524" s="113"/>
      <c r="BL524" s="113"/>
      <c r="BM524" s="113"/>
      <c r="BN524" s="113"/>
      <c r="BO524" s="113"/>
      <c r="BP524" s="113"/>
      <c r="BQ524" s="113"/>
      <c r="BR524" s="113"/>
      <c r="BS524" s="113"/>
      <c r="BT524" s="113"/>
      <c r="BU524" s="113"/>
      <c r="BV524" s="113"/>
      <c r="BW524" s="113"/>
      <c r="BX524" s="113"/>
      <c r="BY524" s="113"/>
      <c r="BZ524" s="113"/>
      <c r="CA524" s="113"/>
      <c r="CB524" s="113"/>
      <c r="CC524" s="113"/>
      <c r="CD524" s="113"/>
      <c r="CE524" s="113"/>
      <c r="CF524" s="113"/>
      <c r="CG524" s="113"/>
      <c r="CH524" s="113"/>
      <c r="CI524" s="113"/>
      <c r="CJ524" s="113"/>
      <c r="CK524" s="113"/>
      <c r="CL524" s="113"/>
      <c r="CM524" s="113"/>
      <c r="CN524" s="113"/>
      <c r="CO524" s="113"/>
      <c r="CP524" s="113"/>
      <c r="CQ524" s="113"/>
      <c r="CR524" s="113"/>
      <c r="CS524" s="113"/>
      <c r="CT524" s="113"/>
      <c r="CU524" s="113"/>
    </row>
    <row r="525">
      <c r="A525" s="159"/>
      <c r="B525" s="113"/>
      <c r="C525" s="113"/>
      <c r="D525" s="158"/>
      <c r="E525" s="161"/>
      <c r="F525" s="160"/>
      <c r="G525" s="162"/>
      <c r="H525" s="159"/>
      <c r="I525" s="113"/>
      <c r="J525" s="113"/>
      <c r="K525" s="113"/>
      <c r="L525" s="158"/>
      <c r="M525" s="113"/>
      <c r="N525" s="113"/>
      <c r="O525" s="113"/>
      <c r="P525" s="113"/>
      <c r="Q525" s="113"/>
      <c r="R525" s="113"/>
      <c r="S525" s="113"/>
      <c r="T525" s="113"/>
      <c r="U525" s="113"/>
      <c r="V525" s="113"/>
      <c r="W525" s="113"/>
      <c r="X525" s="113"/>
      <c r="Y525" s="113"/>
      <c r="Z525" s="113"/>
      <c r="AA525" s="113"/>
      <c r="AB525" s="113"/>
      <c r="AC525" s="113"/>
      <c r="AD525" s="113"/>
      <c r="AE525" s="113"/>
      <c r="AF525" s="113"/>
      <c r="AG525" s="113"/>
      <c r="AH525" s="113"/>
      <c r="AI525" s="113"/>
      <c r="AJ525" s="113"/>
      <c r="AK525" s="113"/>
      <c r="AL525" s="113"/>
      <c r="AM525" s="113"/>
      <c r="AN525" s="113"/>
      <c r="AO525" s="113"/>
      <c r="AP525" s="113"/>
      <c r="AQ525" s="113"/>
      <c r="AR525" s="113"/>
      <c r="AS525" s="113"/>
      <c r="AT525" s="113"/>
      <c r="AU525" s="113"/>
      <c r="AV525" s="113"/>
      <c r="AW525" s="113"/>
      <c r="AX525" s="113"/>
      <c r="AY525" s="113"/>
      <c r="AZ525" s="113"/>
      <c r="BA525" s="113"/>
      <c r="BB525" s="113"/>
      <c r="BC525" s="113"/>
      <c r="BD525" s="113"/>
      <c r="BE525" s="113"/>
      <c r="BF525" s="113"/>
      <c r="BG525" s="113"/>
      <c r="BH525" s="113"/>
      <c r="BI525" s="113"/>
      <c r="BJ525" s="113"/>
      <c r="BK525" s="113"/>
      <c r="BL525" s="113"/>
      <c r="BM525" s="113"/>
      <c r="BN525" s="113"/>
      <c r="BO525" s="113"/>
      <c r="BP525" s="113"/>
      <c r="BQ525" s="113"/>
      <c r="BR525" s="113"/>
      <c r="BS525" s="113"/>
      <c r="BT525" s="113"/>
      <c r="BU525" s="113"/>
      <c r="BV525" s="113"/>
      <c r="BW525" s="113"/>
      <c r="BX525" s="113"/>
      <c r="BY525" s="113"/>
      <c r="BZ525" s="113"/>
      <c r="CA525" s="113"/>
      <c r="CB525" s="113"/>
      <c r="CC525" s="113"/>
      <c r="CD525" s="113"/>
      <c r="CE525" s="113"/>
      <c r="CF525" s="113"/>
      <c r="CG525" s="113"/>
      <c r="CH525" s="113"/>
      <c r="CI525" s="113"/>
      <c r="CJ525" s="113"/>
      <c r="CK525" s="113"/>
      <c r="CL525" s="113"/>
      <c r="CM525" s="113"/>
      <c r="CN525" s="113"/>
      <c r="CO525" s="113"/>
      <c r="CP525" s="113"/>
      <c r="CQ525" s="113"/>
      <c r="CR525" s="113"/>
      <c r="CS525" s="113"/>
      <c r="CT525" s="113"/>
      <c r="CU525" s="113"/>
    </row>
    <row r="526">
      <c r="A526" s="159"/>
      <c r="B526" s="113"/>
      <c r="C526" s="113"/>
      <c r="D526" s="158"/>
      <c r="E526" s="161"/>
      <c r="F526" s="160"/>
      <c r="G526" s="162"/>
      <c r="H526" s="159"/>
      <c r="I526" s="113"/>
      <c r="J526" s="113"/>
      <c r="K526" s="113"/>
      <c r="L526" s="158"/>
      <c r="M526" s="113"/>
      <c r="N526" s="113"/>
      <c r="O526" s="113"/>
      <c r="P526" s="113"/>
      <c r="Q526" s="113"/>
      <c r="R526" s="113"/>
      <c r="S526" s="113"/>
      <c r="T526" s="113"/>
      <c r="U526" s="113"/>
      <c r="V526" s="113"/>
      <c r="W526" s="113"/>
      <c r="X526" s="113"/>
      <c r="Y526" s="113"/>
      <c r="Z526" s="113"/>
      <c r="AA526" s="113"/>
      <c r="AB526" s="113"/>
      <c r="AC526" s="113"/>
      <c r="AD526" s="113"/>
      <c r="AE526" s="113"/>
      <c r="AF526" s="113"/>
      <c r="AG526" s="113"/>
      <c r="AH526" s="113"/>
      <c r="AI526" s="113"/>
      <c r="AJ526" s="113"/>
      <c r="AK526" s="113"/>
      <c r="AL526" s="113"/>
      <c r="AM526" s="113"/>
      <c r="AN526" s="113"/>
      <c r="AO526" s="113"/>
      <c r="AP526" s="113"/>
      <c r="AQ526" s="113"/>
      <c r="AR526" s="113"/>
      <c r="AS526" s="113"/>
      <c r="AT526" s="113"/>
      <c r="AU526" s="113"/>
      <c r="AV526" s="113"/>
      <c r="AW526" s="113"/>
      <c r="AX526" s="113"/>
      <c r="AY526" s="113"/>
      <c r="AZ526" s="113"/>
      <c r="BA526" s="113"/>
      <c r="BB526" s="113"/>
      <c r="BC526" s="113"/>
      <c r="BD526" s="113"/>
      <c r="BE526" s="113"/>
      <c r="BF526" s="113"/>
      <c r="BG526" s="113"/>
      <c r="BH526" s="113"/>
      <c r="BI526" s="113"/>
      <c r="BJ526" s="113"/>
      <c r="BK526" s="113"/>
      <c r="BL526" s="113"/>
      <c r="BM526" s="113"/>
      <c r="BN526" s="113"/>
      <c r="BO526" s="113"/>
      <c r="BP526" s="113"/>
      <c r="BQ526" s="113"/>
      <c r="BR526" s="113"/>
      <c r="BS526" s="113"/>
      <c r="BT526" s="113"/>
      <c r="BU526" s="113"/>
      <c r="BV526" s="113"/>
      <c r="BW526" s="113"/>
      <c r="BX526" s="113"/>
      <c r="BY526" s="113"/>
      <c r="BZ526" s="113"/>
      <c r="CA526" s="113"/>
      <c r="CB526" s="113"/>
      <c r="CC526" s="113"/>
      <c r="CD526" s="113"/>
      <c r="CE526" s="113"/>
      <c r="CF526" s="113"/>
      <c r="CG526" s="113"/>
      <c r="CH526" s="113"/>
      <c r="CI526" s="113"/>
      <c r="CJ526" s="113"/>
      <c r="CK526" s="113"/>
      <c r="CL526" s="113"/>
      <c r="CM526" s="113"/>
      <c r="CN526" s="113"/>
      <c r="CO526" s="113"/>
      <c r="CP526" s="113"/>
      <c r="CQ526" s="113"/>
      <c r="CR526" s="113"/>
      <c r="CS526" s="113"/>
      <c r="CT526" s="113"/>
      <c r="CU526" s="113"/>
    </row>
    <row r="527">
      <c r="A527" s="159"/>
      <c r="B527" s="113"/>
      <c r="C527" s="113"/>
      <c r="D527" s="158"/>
      <c r="E527" s="161"/>
      <c r="F527" s="160"/>
      <c r="G527" s="162"/>
      <c r="H527" s="159"/>
      <c r="I527" s="113"/>
      <c r="J527" s="113"/>
      <c r="K527" s="113"/>
      <c r="L527" s="158"/>
      <c r="M527" s="113"/>
      <c r="N527" s="113"/>
      <c r="O527" s="113"/>
      <c r="P527" s="113"/>
      <c r="Q527" s="113"/>
      <c r="R527" s="113"/>
      <c r="S527" s="113"/>
      <c r="T527" s="113"/>
      <c r="U527" s="113"/>
      <c r="V527" s="113"/>
      <c r="W527" s="113"/>
      <c r="X527" s="113"/>
      <c r="Y527" s="113"/>
      <c r="Z527" s="113"/>
      <c r="AA527" s="113"/>
      <c r="AB527" s="113"/>
      <c r="AC527" s="113"/>
      <c r="AD527" s="113"/>
      <c r="AE527" s="113"/>
      <c r="AF527" s="113"/>
      <c r="AG527" s="113"/>
      <c r="AH527" s="113"/>
      <c r="AI527" s="113"/>
      <c r="AJ527" s="113"/>
      <c r="AK527" s="113"/>
      <c r="AL527" s="113"/>
      <c r="AM527" s="113"/>
      <c r="AN527" s="113"/>
      <c r="AO527" s="113"/>
      <c r="AP527" s="113"/>
      <c r="AQ527" s="113"/>
      <c r="AR527" s="113"/>
      <c r="AS527" s="113"/>
      <c r="AT527" s="113"/>
      <c r="AU527" s="113"/>
      <c r="AV527" s="113"/>
      <c r="AW527" s="113"/>
      <c r="AX527" s="113"/>
      <c r="AY527" s="113"/>
      <c r="AZ527" s="113"/>
      <c r="BA527" s="113"/>
      <c r="BB527" s="113"/>
      <c r="BC527" s="113"/>
      <c r="BD527" s="113"/>
      <c r="BE527" s="113"/>
      <c r="BF527" s="113"/>
      <c r="BG527" s="113"/>
      <c r="BH527" s="113"/>
      <c r="BI527" s="113"/>
      <c r="BJ527" s="113"/>
      <c r="BK527" s="113"/>
      <c r="BL527" s="113"/>
      <c r="BM527" s="113"/>
      <c r="BN527" s="113"/>
      <c r="BO527" s="113"/>
      <c r="BP527" s="113"/>
      <c r="BQ527" s="113"/>
      <c r="BR527" s="113"/>
      <c r="BS527" s="113"/>
      <c r="BT527" s="113"/>
      <c r="BU527" s="113"/>
      <c r="BV527" s="113"/>
      <c r="BW527" s="113"/>
      <c r="BX527" s="113"/>
      <c r="BY527" s="113"/>
      <c r="BZ527" s="113"/>
      <c r="CA527" s="113"/>
      <c r="CB527" s="113"/>
      <c r="CC527" s="113"/>
      <c r="CD527" s="113"/>
      <c r="CE527" s="113"/>
      <c r="CF527" s="113"/>
      <c r="CG527" s="113"/>
      <c r="CH527" s="113"/>
      <c r="CI527" s="113"/>
      <c r="CJ527" s="113"/>
      <c r="CK527" s="113"/>
      <c r="CL527" s="113"/>
      <c r="CM527" s="113"/>
      <c r="CN527" s="113"/>
      <c r="CO527" s="113"/>
      <c r="CP527" s="113"/>
      <c r="CQ527" s="113"/>
      <c r="CR527" s="113"/>
      <c r="CS527" s="113"/>
      <c r="CT527" s="113"/>
      <c r="CU527" s="113"/>
    </row>
    <row r="528">
      <c r="A528" s="159"/>
      <c r="B528" s="113"/>
      <c r="C528" s="113"/>
      <c r="D528" s="158"/>
      <c r="E528" s="161"/>
      <c r="F528" s="160"/>
      <c r="G528" s="162"/>
      <c r="H528" s="159"/>
      <c r="I528" s="113"/>
      <c r="J528" s="113"/>
      <c r="K528" s="113"/>
      <c r="L528" s="158"/>
      <c r="M528" s="113"/>
      <c r="N528" s="113"/>
      <c r="O528" s="113"/>
      <c r="P528" s="113"/>
      <c r="Q528" s="113"/>
      <c r="R528" s="113"/>
      <c r="S528" s="113"/>
      <c r="T528" s="113"/>
      <c r="U528" s="113"/>
      <c r="V528" s="113"/>
      <c r="W528" s="113"/>
      <c r="X528" s="113"/>
      <c r="Y528" s="113"/>
      <c r="Z528" s="113"/>
      <c r="AA528" s="113"/>
      <c r="AB528" s="113"/>
      <c r="AC528" s="113"/>
      <c r="AD528" s="113"/>
      <c r="AE528" s="113"/>
      <c r="AF528" s="113"/>
      <c r="AG528" s="113"/>
      <c r="AH528" s="113"/>
      <c r="AI528" s="113"/>
      <c r="AJ528" s="113"/>
      <c r="AK528" s="113"/>
      <c r="AL528" s="113"/>
      <c r="AM528" s="113"/>
      <c r="AN528" s="113"/>
      <c r="AO528" s="113"/>
      <c r="AP528" s="113"/>
      <c r="AQ528" s="113"/>
      <c r="AR528" s="113"/>
      <c r="AS528" s="113"/>
      <c r="AT528" s="113"/>
      <c r="AU528" s="113"/>
      <c r="AV528" s="113"/>
      <c r="AW528" s="113"/>
      <c r="AX528" s="113"/>
      <c r="AY528" s="113"/>
      <c r="AZ528" s="113"/>
      <c r="BA528" s="113"/>
      <c r="BB528" s="113"/>
      <c r="BC528" s="113"/>
      <c r="BD528" s="113"/>
      <c r="BE528" s="113"/>
      <c r="BF528" s="113"/>
      <c r="BG528" s="113"/>
      <c r="BH528" s="113"/>
      <c r="BI528" s="113"/>
      <c r="BJ528" s="113"/>
      <c r="BK528" s="113"/>
      <c r="BL528" s="113"/>
      <c r="BM528" s="113"/>
      <c r="BN528" s="113"/>
      <c r="BO528" s="113"/>
      <c r="BP528" s="113"/>
      <c r="BQ528" s="113"/>
      <c r="BR528" s="113"/>
      <c r="BS528" s="113"/>
      <c r="BT528" s="113"/>
      <c r="BU528" s="113"/>
      <c r="BV528" s="113"/>
      <c r="BW528" s="113"/>
      <c r="BX528" s="113"/>
      <c r="BY528" s="113"/>
      <c r="BZ528" s="113"/>
      <c r="CA528" s="113"/>
      <c r="CB528" s="113"/>
      <c r="CC528" s="113"/>
      <c r="CD528" s="113"/>
      <c r="CE528" s="113"/>
      <c r="CF528" s="113"/>
      <c r="CG528" s="113"/>
      <c r="CH528" s="113"/>
      <c r="CI528" s="113"/>
      <c r="CJ528" s="113"/>
      <c r="CK528" s="113"/>
      <c r="CL528" s="113"/>
      <c r="CM528" s="113"/>
      <c r="CN528" s="113"/>
      <c r="CO528" s="113"/>
      <c r="CP528" s="113"/>
      <c r="CQ528" s="113"/>
      <c r="CR528" s="113"/>
      <c r="CS528" s="113"/>
      <c r="CT528" s="113"/>
      <c r="CU528" s="113"/>
    </row>
    <row r="529">
      <c r="A529" s="159"/>
      <c r="B529" s="113"/>
      <c r="C529" s="113"/>
      <c r="D529" s="158"/>
      <c r="E529" s="161"/>
      <c r="F529" s="160"/>
      <c r="G529" s="162"/>
      <c r="H529" s="159"/>
      <c r="I529" s="113"/>
      <c r="J529" s="113"/>
      <c r="K529" s="113"/>
      <c r="L529" s="158"/>
      <c r="M529" s="113"/>
      <c r="N529" s="113"/>
      <c r="O529" s="113"/>
      <c r="P529" s="113"/>
      <c r="Q529" s="113"/>
      <c r="R529" s="113"/>
      <c r="S529" s="113"/>
      <c r="T529" s="113"/>
      <c r="U529" s="113"/>
      <c r="V529" s="113"/>
      <c r="W529" s="113"/>
      <c r="X529" s="113"/>
      <c r="Y529" s="113"/>
      <c r="Z529" s="113"/>
      <c r="AA529" s="113"/>
      <c r="AB529" s="113"/>
      <c r="AC529" s="113"/>
      <c r="AD529" s="113"/>
      <c r="AE529" s="113"/>
      <c r="AF529" s="113"/>
      <c r="AG529" s="113"/>
      <c r="AH529" s="113"/>
      <c r="AI529" s="113"/>
      <c r="AJ529" s="113"/>
      <c r="AK529" s="113"/>
      <c r="AL529" s="113"/>
      <c r="AM529" s="113"/>
      <c r="AN529" s="113"/>
      <c r="AO529" s="113"/>
      <c r="AP529" s="113"/>
      <c r="AQ529" s="113"/>
      <c r="AR529" s="113"/>
      <c r="AS529" s="113"/>
      <c r="AT529" s="113"/>
      <c r="AU529" s="113"/>
      <c r="AV529" s="113"/>
      <c r="AW529" s="113"/>
      <c r="AX529" s="113"/>
      <c r="AY529" s="113"/>
      <c r="AZ529" s="113"/>
      <c r="BA529" s="113"/>
      <c r="BB529" s="113"/>
      <c r="BC529" s="113"/>
      <c r="BD529" s="113"/>
      <c r="BE529" s="113"/>
      <c r="BF529" s="113"/>
      <c r="BG529" s="113"/>
      <c r="BH529" s="113"/>
      <c r="BI529" s="113"/>
      <c r="BJ529" s="113"/>
      <c r="BK529" s="113"/>
      <c r="BL529" s="113"/>
      <c r="BM529" s="113"/>
      <c r="BN529" s="113"/>
      <c r="BO529" s="113"/>
      <c r="BP529" s="113"/>
      <c r="BQ529" s="113"/>
      <c r="BR529" s="113"/>
      <c r="BS529" s="113"/>
      <c r="BT529" s="113"/>
      <c r="BU529" s="113"/>
      <c r="BV529" s="113"/>
      <c r="BW529" s="113"/>
      <c r="BX529" s="113"/>
      <c r="BY529" s="113"/>
      <c r="BZ529" s="113"/>
      <c r="CA529" s="113"/>
      <c r="CB529" s="113"/>
      <c r="CC529" s="113"/>
      <c r="CD529" s="113"/>
      <c r="CE529" s="113"/>
      <c r="CF529" s="113"/>
      <c r="CG529" s="113"/>
      <c r="CH529" s="113"/>
      <c r="CI529" s="113"/>
      <c r="CJ529" s="113"/>
      <c r="CK529" s="113"/>
      <c r="CL529" s="113"/>
      <c r="CM529" s="113"/>
      <c r="CN529" s="113"/>
      <c r="CO529" s="113"/>
      <c r="CP529" s="113"/>
      <c r="CQ529" s="113"/>
      <c r="CR529" s="113"/>
      <c r="CS529" s="113"/>
      <c r="CT529" s="113"/>
      <c r="CU529" s="113"/>
    </row>
    <row r="530">
      <c r="A530" s="159"/>
      <c r="B530" s="113"/>
      <c r="C530" s="113"/>
      <c r="D530" s="158"/>
      <c r="E530" s="161"/>
      <c r="F530" s="160"/>
      <c r="G530" s="162"/>
      <c r="H530" s="159"/>
      <c r="I530" s="113"/>
      <c r="J530" s="113"/>
      <c r="K530" s="113"/>
      <c r="L530" s="158"/>
      <c r="M530" s="113"/>
      <c r="N530" s="113"/>
      <c r="O530" s="113"/>
      <c r="P530" s="113"/>
      <c r="Q530" s="113"/>
      <c r="R530" s="113"/>
      <c r="S530" s="113"/>
      <c r="T530" s="113"/>
      <c r="U530" s="113"/>
      <c r="V530" s="113"/>
      <c r="W530" s="113"/>
      <c r="X530" s="113"/>
      <c r="Y530" s="113"/>
      <c r="Z530" s="113"/>
      <c r="AA530" s="113"/>
      <c r="AB530" s="113"/>
      <c r="AC530" s="113"/>
      <c r="AD530" s="113"/>
      <c r="AE530" s="113"/>
      <c r="AF530" s="113"/>
      <c r="AG530" s="113"/>
      <c r="AH530" s="113"/>
      <c r="AI530" s="113"/>
      <c r="AJ530" s="113"/>
      <c r="AK530" s="113"/>
      <c r="AL530" s="113"/>
      <c r="AM530" s="113"/>
      <c r="AN530" s="113"/>
      <c r="AO530" s="113"/>
      <c r="AP530" s="113"/>
      <c r="AQ530" s="113"/>
      <c r="AR530" s="113"/>
      <c r="AS530" s="113"/>
      <c r="AT530" s="113"/>
      <c r="AU530" s="113"/>
      <c r="AV530" s="113"/>
      <c r="AW530" s="113"/>
      <c r="AX530" s="113"/>
      <c r="AY530" s="113"/>
      <c r="AZ530" s="113"/>
      <c r="BA530" s="113"/>
      <c r="BB530" s="113"/>
      <c r="BC530" s="113"/>
      <c r="BD530" s="113"/>
      <c r="BE530" s="113"/>
      <c r="BF530" s="113"/>
      <c r="BG530" s="113"/>
      <c r="BH530" s="113"/>
      <c r="BI530" s="113"/>
      <c r="BJ530" s="113"/>
      <c r="BK530" s="113"/>
      <c r="BL530" s="113"/>
      <c r="BM530" s="113"/>
      <c r="BN530" s="113"/>
      <c r="BO530" s="113"/>
      <c r="BP530" s="113"/>
      <c r="BQ530" s="113"/>
      <c r="BR530" s="113"/>
      <c r="BS530" s="113"/>
      <c r="BT530" s="113"/>
      <c r="BU530" s="113"/>
      <c r="BV530" s="113"/>
      <c r="BW530" s="113"/>
      <c r="BX530" s="113"/>
      <c r="BY530" s="113"/>
      <c r="BZ530" s="113"/>
      <c r="CA530" s="113"/>
      <c r="CB530" s="113"/>
      <c r="CC530" s="113"/>
      <c r="CD530" s="113"/>
      <c r="CE530" s="113"/>
      <c r="CF530" s="113"/>
      <c r="CG530" s="113"/>
      <c r="CH530" s="113"/>
      <c r="CI530" s="113"/>
      <c r="CJ530" s="113"/>
      <c r="CK530" s="113"/>
      <c r="CL530" s="113"/>
      <c r="CM530" s="113"/>
      <c r="CN530" s="113"/>
      <c r="CO530" s="113"/>
      <c r="CP530" s="113"/>
      <c r="CQ530" s="113"/>
      <c r="CR530" s="113"/>
      <c r="CS530" s="113"/>
      <c r="CT530" s="113"/>
      <c r="CU530" s="113"/>
    </row>
    <row r="531">
      <c r="A531" s="159"/>
      <c r="B531" s="113"/>
      <c r="C531" s="113"/>
      <c r="D531" s="158"/>
      <c r="E531" s="161"/>
      <c r="F531" s="160"/>
      <c r="G531" s="162"/>
      <c r="H531" s="159"/>
      <c r="I531" s="113"/>
      <c r="J531" s="113"/>
      <c r="K531" s="113"/>
      <c r="L531" s="158"/>
      <c r="M531" s="113"/>
      <c r="N531" s="113"/>
      <c r="O531" s="113"/>
      <c r="P531" s="113"/>
      <c r="Q531" s="113"/>
      <c r="R531" s="113"/>
      <c r="S531" s="113"/>
      <c r="T531" s="113"/>
      <c r="U531" s="113"/>
      <c r="V531" s="113"/>
      <c r="W531" s="113"/>
      <c r="X531" s="113"/>
      <c r="Y531" s="113"/>
      <c r="Z531" s="113"/>
      <c r="AA531" s="113"/>
      <c r="AB531" s="113"/>
      <c r="AC531" s="113"/>
      <c r="AD531" s="113"/>
      <c r="AE531" s="113"/>
      <c r="AF531" s="113"/>
      <c r="AG531" s="113"/>
      <c r="AH531" s="113"/>
      <c r="AI531" s="113"/>
      <c r="AJ531" s="113"/>
      <c r="AK531" s="113"/>
      <c r="AL531" s="113"/>
      <c r="AM531" s="113"/>
      <c r="AN531" s="113"/>
      <c r="AO531" s="113"/>
      <c r="AP531" s="113"/>
      <c r="AQ531" s="113"/>
      <c r="AR531" s="113"/>
      <c r="AS531" s="113"/>
      <c r="AT531" s="113"/>
      <c r="AU531" s="113"/>
      <c r="AV531" s="113"/>
      <c r="AW531" s="113"/>
      <c r="AX531" s="113"/>
      <c r="AY531" s="113"/>
      <c r="AZ531" s="113"/>
      <c r="BA531" s="113"/>
      <c r="BB531" s="113"/>
      <c r="BC531" s="113"/>
      <c r="BD531" s="113"/>
      <c r="BE531" s="113"/>
      <c r="BF531" s="113"/>
      <c r="BG531" s="113"/>
      <c r="BH531" s="113"/>
      <c r="BI531" s="113"/>
      <c r="BJ531" s="113"/>
      <c r="BK531" s="113"/>
      <c r="BL531" s="113"/>
      <c r="BM531" s="113"/>
      <c r="BN531" s="113"/>
      <c r="BO531" s="113"/>
      <c r="BP531" s="113"/>
      <c r="BQ531" s="113"/>
      <c r="BR531" s="113"/>
      <c r="BS531" s="113"/>
      <c r="BT531" s="113"/>
      <c r="BU531" s="113"/>
      <c r="BV531" s="113"/>
      <c r="BW531" s="113"/>
      <c r="BX531" s="113"/>
      <c r="BY531" s="113"/>
      <c r="BZ531" s="113"/>
      <c r="CA531" s="113"/>
      <c r="CB531" s="113"/>
      <c r="CC531" s="113"/>
      <c r="CD531" s="113"/>
      <c r="CE531" s="113"/>
      <c r="CF531" s="113"/>
      <c r="CG531" s="113"/>
      <c r="CH531" s="113"/>
      <c r="CI531" s="113"/>
      <c r="CJ531" s="113"/>
      <c r="CK531" s="113"/>
      <c r="CL531" s="113"/>
      <c r="CM531" s="113"/>
      <c r="CN531" s="113"/>
      <c r="CO531" s="113"/>
      <c r="CP531" s="113"/>
      <c r="CQ531" s="113"/>
      <c r="CR531" s="113"/>
      <c r="CS531" s="113"/>
      <c r="CT531" s="113"/>
      <c r="CU531" s="113"/>
    </row>
    <row r="532">
      <c r="A532" s="159"/>
      <c r="B532" s="113"/>
      <c r="C532" s="113"/>
      <c r="D532" s="158"/>
      <c r="E532" s="161"/>
      <c r="F532" s="160"/>
      <c r="G532" s="162"/>
      <c r="H532" s="159"/>
      <c r="I532" s="113"/>
      <c r="J532" s="113"/>
      <c r="K532" s="113"/>
      <c r="L532" s="158"/>
      <c r="M532" s="113"/>
      <c r="N532" s="113"/>
      <c r="O532" s="113"/>
      <c r="P532" s="113"/>
      <c r="Q532" s="113"/>
      <c r="R532" s="113"/>
      <c r="S532" s="113"/>
      <c r="T532" s="113"/>
      <c r="U532" s="113"/>
      <c r="V532" s="113"/>
      <c r="W532" s="113"/>
      <c r="X532" s="113"/>
      <c r="Y532" s="113"/>
      <c r="Z532" s="113"/>
      <c r="AA532" s="113"/>
      <c r="AB532" s="113"/>
      <c r="AC532" s="113"/>
      <c r="AD532" s="113"/>
      <c r="AE532" s="113"/>
      <c r="AF532" s="113"/>
      <c r="AG532" s="113"/>
      <c r="AH532" s="113"/>
      <c r="AI532" s="113"/>
      <c r="AJ532" s="113"/>
      <c r="AK532" s="113"/>
      <c r="AL532" s="113"/>
      <c r="AM532" s="113"/>
      <c r="AN532" s="113"/>
      <c r="AO532" s="113"/>
      <c r="AP532" s="113"/>
      <c r="AQ532" s="113"/>
      <c r="AR532" s="113"/>
      <c r="AS532" s="113"/>
      <c r="AT532" s="113"/>
      <c r="AU532" s="113"/>
      <c r="AV532" s="113"/>
      <c r="AW532" s="113"/>
      <c r="AX532" s="113"/>
      <c r="AY532" s="113"/>
      <c r="AZ532" s="113"/>
      <c r="BA532" s="113"/>
      <c r="BB532" s="113"/>
      <c r="BC532" s="113"/>
      <c r="BD532" s="113"/>
      <c r="BE532" s="113"/>
      <c r="BF532" s="113"/>
      <c r="BG532" s="113"/>
      <c r="BH532" s="113"/>
      <c r="BI532" s="113"/>
      <c r="BJ532" s="113"/>
      <c r="BK532" s="113"/>
      <c r="BL532" s="113"/>
      <c r="BM532" s="113"/>
      <c r="BN532" s="113"/>
      <c r="BO532" s="113"/>
      <c r="BP532" s="113"/>
      <c r="BQ532" s="113"/>
      <c r="BR532" s="113"/>
      <c r="BS532" s="113"/>
      <c r="BT532" s="113"/>
      <c r="BU532" s="113"/>
      <c r="BV532" s="113"/>
      <c r="BW532" s="113"/>
      <c r="BX532" s="113"/>
      <c r="BY532" s="113"/>
      <c r="BZ532" s="113"/>
      <c r="CA532" s="113"/>
      <c r="CB532" s="113"/>
      <c r="CC532" s="113"/>
      <c r="CD532" s="113"/>
      <c r="CE532" s="113"/>
      <c r="CF532" s="113"/>
      <c r="CG532" s="113"/>
      <c r="CH532" s="113"/>
      <c r="CI532" s="113"/>
      <c r="CJ532" s="113"/>
      <c r="CK532" s="113"/>
      <c r="CL532" s="113"/>
      <c r="CM532" s="113"/>
      <c r="CN532" s="113"/>
      <c r="CO532" s="113"/>
      <c r="CP532" s="113"/>
      <c r="CQ532" s="113"/>
      <c r="CR532" s="113"/>
      <c r="CS532" s="113"/>
      <c r="CT532" s="113"/>
      <c r="CU532" s="113"/>
    </row>
    <row r="533">
      <c r="A533" s="159"/>
      <c r="B533" s="113"/>
      <c r="C533" s="113"/>
      <c r="D533" s="158"/>
      <c r="E533" s="161"/>
      <c r="F533" s="160"/>
      <c r="G533" s="162"/>
      <c r="H533" s="159"/>
      <c r="I533" s="113"/>
      <c r="J533" s="113"/>
      <c r="K533" s="113"/>
      <c r="L533" s="158"/>
      <c r="M533" s="113"/>
      <c r="N533" s="113"/>
      <c r="O533" s="113"/>
      <c r="P533" s="113"/>
      <c r="Q533" s="113"/>
      <c r="R533" s="113"/>
      <c r="S533" s="113"/>
      <c r="T533" s="113"/>
      <c r="U533" s="113"/>
      <c r="V533" s="113"/>
      <c r="W533" s="113"/>
      <c r="X533" s="113"/>
      <c r="Y533" s="113"/>
      <c r="Z533" s="113"/>
      <c r="AA533" s="113"/>
      <c r="AB533" s="113"/>
      <c r="AC533" s="113"/>
      <c r="AD533" s="113"/>
      <c r="AE533" s="113"/>
      <c r="AF533" s="113"/>
      <c r="AG533" s="113"/>
      <c r="AH533" s="113"/>
      <c r="AI533" s="113"/>
      <c r="AJ533" s="113"/>
      <c r="AK533" s="113"/>
      <c r="AL533" s="113"/>
      <c r="AM533" s="113"/>
      <c r="AN533" s="113"/>
      <c r="AO533" s="113"/>
      <c r="AP533" s="113"/>
      <c r="AQ533" s="113"/>
      <c r="AR533" s="113"/>
      <c r="AS533" s="113"/>
      <c r="AT533" s="113"/>
      <c r="AU533" s="113"/>
      <c r="AV533" s="113"/>
      <c r="AW533" s="113"/>
      <c r="AX533" s="113"/>
      <c r="AY533" s="113"/>
      <c r="AZ533" s="113"/>
      <c r="BA533" s="113"/>
      <c r="BB533" s="113"/>
      <c r="BC533" s="113"/>
      <c r="BD533" s="113"/>
      <c r="BE533" s="113"/>
      <c r="BF533" s="113"/>
      <c r="BG533" s="113"/>
      <c r="BH533" s="113"/>
      <c r="BI533" s="113"/>
      <c r="BJ533" s="113"/>
      <c r="BK533" s="113"/>
      <c r="BL533" s="113"/>
      <c r="BM533" s="113"/>
      <c r="BN533" s="113"/>
      <c r="BO533" s="113"/>
      <c r="BP533" s="113"/>
      <c r="BQ533" s="113"/>
      <c r="BR533" s="113"/>
      <c r="BS533" s="113"/>
      <c r="BT533" s="113"/>
      <c r="BU533" s="113"/>
      <c r="BV533" s="113"/>
      <c r="BW533" s="113"/>
      <c r="BX533" s="113"/>
      <c r="BY533" s="113"/>
      <c r="BZ533" s="113"/>
      <c r="CA533" s="113"/>
      <c r="CB533" s="113"/>
      <c r="CC533" s="113"/>
      <c r="CD533" s="113"/>
      <c r="CE533" s="113"/>
      <c r="CF533" s="113"/>
      <c r="CG533" s="113"/>
      <c r="CH533" s="113"/>
      <c r="CI533" s="113"/>
      <c r="CJ533" s="113"/>
      <c r="CK533" s="113"/>
      <c r="CL533" s="113"/>
      <c r="CM533" s="113"/>
      <c r="CN533" s="113"/>
      <c r="CO533" s="113"/>
      <c r="CP533" s="113"/>
      <c r="CQ533" s="113"/>
      <c r="CR533" s="113"/>
      <c r="CS533" s="113"/>
      <c r="CT533" s="113"/>
      <c r="CU533" s="113"/>
    </row>
    <row r="534">
      <c r="A534" s="159"/>
      <c r="B534" s="113"/>
      <c r="C534" s="113"/>
      <c r="D534" s="158"/>
      <c r="E534" s="161"/>
      <c r="F534" s="160"/>
      <c r="G534" s="162"/>
      <c r="H534" s="159"/>
      <c r="I534" s="113"/>
      <c r="J534" s="113"/>
      <c r="K534" s="113"/>
      <c r="L534" s="158"/>
      <c r="M534" s="113"/>
      <c r="N534" s="113"/>
      <c r="O534" s="113"/>
      <c r="P534" s="113"/>
      <c r="Q534" s="113"/>
      <c r="R534" s="113"/>
      <c r="S534" s="113"/>
      <c r="T534" s="113"/>
      <c r="U534" s="113"/>
      <c r="V534" s="113"/>
      <c r="W534" s="113"/>
      <c r="X534" s="113"/>
      <c r="Y534" s="113"/>
      <c r="Z534" s="113"/>
      <c r="AA534" s="113"/>
      <c r="AB534" s="113"/>
      <c r="AC534" s="113"/>
      <c r="AD534" s="113"/>
      <c r="AE534" s="113"/>
      <c r="AF534" s="113"/>
      <c r="AG534" s="113"/>
      <c r="AH534" s="113"/>
      <c r="AI534" s="113"/>
      <c r="AJ534" s="113"/>
      <c r="AK534" s="113"/>
      <c r="AL534" s="113"/>
      <c r="AM534" s="113"/>
      <c r="AN534" s="113"/>
      <c r="AO534" s="113"/>
      <c r="AP534" s="113"/>
      <c r="AQ534" s="113"/>
      <c r="AR534" s="113"/>
      <c r="AS534" s="113"/>
      <c r="AT534" s="113"/>
      <c r="AU534" s="113"/>
      <c r="AV534" s="113"/>
      <c r="AW534" s="113"/>
      <c r="AX534" s="113"/>
      <c r="AY534" s="113"/>
      <c r="AZ534" s="113"/>
      <c r="BA534" s="113"/>
      <c r="BB534" s="113"/>
      <c r="BC534" s="113"/>
      <c r="BD534" s="113"/>
      <c r="BE534" s="113"/>
      <c r="BF534" s="113"/>
      <c r="BG534" s="113"/>
      <c r="BH534" s="113"/>
      <c r="BI534" s="113"/>
      <c r="BJ534" s="113"/>
      <c r="BK534" s="113"/>
      <c r="BL534" s="113"/>
      <c r="BM534" s="113"/>
      <c r="BN534" s="113"/>
      <c r="BO534" s="113"/>
      <c r="BP534" s="113"/>
      <c r="BQ534" s="113"/>
      <c r="BR534" s="113"/>
      <c r="BS534" s="113"/>
      <c r="BT534" s="113"/>
      <c r="BU534" s="113"/>
      <c r="BV534" s="113"/>
      <c r="BW534" s="113"/>
      <c r="BX534" s="113"/>
      <c r="BY534" s="113"/>
      <c r="BZ534" s="113"/>
      <c r="CA534" s="113"/>
      <c r="CB534" s="113"/>
      <c r="CC534" s="113"/>
      <c r="CD534" s="113"/>
      <c r="CE534" s="113"/>
      <c r="CF534" s="113"/>
      <c r="CG534" s="113"/>
      <c r="CH534" s="113"/>
      <c r="CI534" s="113"/>
      <c r="CJ534" s="113"/>
      <c r="CK534" s="113"/>
      <c r="CL534" s="113"/>
      <c r="CM534" s="113"/>
      <c r="CN534" s="113"/>
      <c r="CO534" s="113"/>
      <c r="CP534" s="113"/>
      <c r="CQ534" s="113"/>
      <c r="CR534" s="113"/>
      <c r="CS534" s="113"/>
      <c r="CT534" s="113"/>
      <c r="CU534" s="113"/>
    </row>
    <row r="535">
      <c r="A535" s="159"/>
      <c r="B535" s="113"/>
      <c r="C535" s="113"/>
      <c r="D535" s="158"/>
      <c r="E535" s="161"/>
      <c r="F535" s="160"/>
      <c r="G535" s="162"/>
      <c r="H535" s="159"/>
      <c r="I535" s="113"/>
      <c r="J535" s="113"/>
      <c r="K535" s="113"/>
      <c r="L535" s="158"/>
      <c r="M535" s="113"/>
      <c r="N535" s="113"/>
      <c r="O535" s="113"/>
      <c r="P535" s="113"/>
      <c r="Q535" s="113"/>
      <c r="R535" s="113"/>
      <c r="S535" s="113"/>
      <c r="T535" s="113"/>
      <c r="U535" s="113"/>
      <c r="V535" s="113"/>
      <c r="W535" s="113"/>
      <c r="X535" s="113"/>
      <c r="Y535" s="113"/>
      <c r="Z535" s="113"/>
      <c r="AA535" s="113"/>
      <c r="AB535" s="113"/>
      <c r="AC535" s="113"/>
      <c r="AD535" s="113"/>
      <c r="AE535" s="113"/>
      <c r="AF535" s="113"/>
      <c r="AG535" s="113"/>
      <c r="AH535" s="113"/>
      <c r="AI535" s="113"/>
      <c r="AJ535" s="113"/>
      <c r="AK535" s="113"/>
      <c r="AL535" s="113"/>
      <c r="AM535" s="113"/>
      <c r="AN535" s="113"/>
      <c r="AO535" s="113"/>
      <c r="AP535" s="113"/>
      <c r="AQ535" s="113"/>
      <c r="AR535" s="113"/>
      <c r="AS535" s="113"/>
      <c r="AT535" s="113"/>
      <c r="AU535" s="113"/>
      <c r="AV535" s="113"/>
      <c r="AW535" s="113"/>
      <c r="AX535" s="113"/>
      <c r="AY535" s="113"/>
      <c r="AZ535" s="113"/>
      <c r="BA535" s="113"/>
      <c r="BB535" s="113"/>
      <c r="BC535" s="113"/>
      <c r="BD535" s="113"/>
      <c r="BE535" s="113"/>
      <c r="BF535" s="113"/>
      <c r="BG535" s="113"/>
      <c r="BH535" s="113"/>
      <c r="BI535" s="113"/>
      <c r="BJ535" s="113"/>
      <c r="BK535" s="113"/>
      <c r="BL535" s="113"/>
      <c r="BM535" s="113"/>
      <c r="BN535" s="113"/>
      <c r="BO535" s="113"/>
      <c r="BP535" s="113"/>
      <c r="BQ535" s="113"/>
      <c r="BR535" s="113"/>
      <c r="BS535" s="113"/>
      <c r="BT535" s="113"/>
      <c r="BU535" s="113"/>
      <c r="BV535" s="113"/>
      <c r="BW535" s="113"/>
      <c r="BX535" s="113"/>
      <c r="BY535" s="113"/>
      <c r="BZ535" s="113"/>
      <c r="CA535" s="113"/>
      <c r="CB535" s="113"/>
      <c r="CC535" s="113"/>
      <c r="CD535" s="113"/>
      <c r="CE535" s="113"/>
      <c r="CF535" s="113"/>
      <c r="CG535" s="113"/>
      <c r="CH535" s="113"/>
      <c r="CI535" s="113"/>
      <c r="CJ535" s="113"/>
      <c r="CK535" s="113"/>
      <c r="CL535" s="113"/>
      <c r="CM535" s="113"/>
      <c r="CN535" s="113"/>
      <c r="CO535" s="113"/>
      <c r="CP535" s="113"/>
      <c r="CQ535" s="113"/>
      <c r="CR535" s="113"/>
      <c r="CS535" s="113"/>
      <c r="CT535" s="113"/>
      <c r="CU535" s="113"/>
    </row>
    <row r="536">
      <c r="A536" s="159"/>
      <c r="B536" s="113"/>
      <c r="C536" s="113"/>
      <c r="D536" s="158"/>
      <c r="E536" s="161"/>
      <c r="F536" s="160"/>
      <c r="G536" s="162"/>
      <c r="H536" s="159"/>
      <c r="I536" s="113"/>
      <c r="J536" s="113"/>
      <c r="K536" s="113"/>
      <c r="L536" s="158"/>
      <c r="M536" s="113"/>
      <c r="N536" s="113"/>
      <c r="O536" s="113"/>
      <c r="P536" s="113"/>
      <c r="Q536" s="113"/>
      <c r="R536" s="113"/>
      <c r="S536" s="113"/>
      <c r="T536" s="113"/>
      <c r="U536" s="113"/>
      <c r="V536" s="113"/>
      <c r="W536" s="113"/>
      <c r="X536" s="113"/>
      <c r="Y536" s="113"/>
      <c r="Z536" s="113"/>
      <c r="AA536" s="113"/>
      <c r="AB536" s="113"/>
      <c r="AC536" s="113"/>
      <c r="AD536" s="113"/>
      <c r="AE536" s="113"/>
      <c r="AF536" s="113"/>
      <c r="AG536" s="113"/>
      <c r="AH536" s="113"/>
      <c r="AI536" s="113"/>
      <c r="AJ536" s="113"/>
      <c r="AK536" s="113"/>
      <c r="AL536" s="113"/>
      <c r="AM536" s="113"/>
      <c r="AN536" s="113"/>
      <c r="AO536" s="113"/>
      <c r="AP536" s="113"/>
      <c r="AQ536" s="113"/>
      <c r="AR536" s="113"/>
      <c r="AS536" s="113"/>
      <c r="AT536" s="113"/>
      <c r="AU536" s="113"/>
      <c r="AV536" s="113"/>
      <c r="AW536" s="113"/>
      <c r="AX536" s="113"/>
      <c r="AY536" s="113"/>
      <c r="AZ536" s="113"/>
      <c r="BA536" s="113"/>
      <c r="BB536" s="113"/>
      <c r="BC536" s="113"/>
      <c r="BD536" s="113"/>
      <c r="BE536" s="113"/>
      <c r="BF536" s="113"/>
      <c r="BG536" s="113"/>
      <c r="BH536" s="113"/>
      <c r="BI536" s="113"/>
      <c r="BJ536" s="113"/>
      <c r="BK536" s="113"/>
      <c r="BL536" s="113"/>
      <c r="BM536" s="113"/>
      <c r="BN536" s="113"/>
      <c r="BO536" s="113"/>
      <c r="BP536" s="113"/>
      <c r="BQ536" s="113"/>
      <c r="BR536" s="113"/>
      <c r="BS536" s="113"/>
      <c r="BT536" s="113"/>
      <c r="BU536" s="113"/>
      <c r="BV536" s="113"/>
      <c r="BW536" s="113"/>
      <c r="BX536" s="113"/>
      <c r="BY536" s="113"/>
      <c r="BZ536" s="113"/>
      <c r="CA536" s="113"/>
      <c r="CB536" s="113"/>
      <c r="CC536" s="113"/>
      <c r="CD536" s="113"/>
      <c r="CE536" s="113"/>
      <c r="CF536" s="113"/>
      <c r="CG536" s="113"/>
      <c r="CH536" s="113"/>
      <c r="CI536" s="113"/>
      <c r="CJ536" s="113"/>
      <c r="CK536" s="113"/>
      <c r="CL536" s="113"/>
      <c r="CM536" s="113"/>
      <c r="CN536" s="113"/>
      <c r="CO536" s="113"/>
      <c r="CP536" s="113"/>
      <c r="CQ536" s="113"/>
      <c r="CR536" s="113"/>
      <c r="CS536" s="113"/>
      <c r="CT536" s="113"/>
      <c r="CU536" s="113"/>
    </row>
    <row r="537">
      <c r="A537" s="159"/>
      <c r="B537" s="113"/>
      <c r="C537" s="113"/>
      <c r="D537" s="158"/>
      <c r="E537" s="161"/>
      <c r="F537" s="160"/>
      <c r="G537" s="162"/>
      <c r="H537" s="159"/>
      <c r="I537" s="113"/>
      <c r="J537" s="113"/>
      <c r="K537" s="113"/>
      <c r="L537" s="158"/>
      <c r="M537" s="113"/>
      <c r="N537" s="113"/>
      <c r="O537" s="113"/>
      <c r="P537" s="113"/>
      <c r="Q537" s="113"/>
      <c r="R537" s="113"/>
      <c r="S537" s="113"/>
      <c r="T537" s="113"/>
      <c r="U537" s="113"/>
      <c r="V537" s="113"/>
      <c r="W537" s="113"/>
      <c r="X537" s="113"/>
      <c r="Y537" s="113"/>
      <c r="Z537" s="113"/>
      <c r="AA537" s="113"/>
      <c r="AB537" s="113"/>
      <c r="AC537" s="113"/>
      <c r="AD537" s="113"/>
      <c r="AE537" s="113"/>
      <c r="AF537" s="113"/>
      <c r="AG537" s="113"/>
      <c r="AH537" s="113"/>
      <c r="AI537" s="113"/>
      <c r="AJ537" s="113"/>
      <c r="AK537" s="113"/>
      <c r="AL537" s="113"/>
      <c r="AM537" s="113"/>
      <c r="AN537" s="113"/>
      <c r="AO537" s="113"/>
      <c r="AP537" s="113"/>
      <c r="AQ537" s="113"/>
      <c r="AR537" s="113"/>
      <c r="AS537" s="113"/>
      <c r="AT537" s="113"/>
      <c r="AU537" s="113"/>
      <c r="AV537" s="113"/>
      <c r="AW537" s="113"/>
      <c r="AX537" s="113"/>
      <c r="AY537" s="113"/>
      <c r="AZ537" s="113"/>
      <c r="BA537" s="113"/>
      <c r="BB537" s="113"/>
      <c r="BC537" s="113"/>
      <c r="BD537" s="113"/>
      <c r="BE537" s="113"/>
      <c r="BF537" s="113"/>
      <c r="BG537" s="113"/>
      <c r="BH537" s="113"/>
      <c r="BI537" s="113"/>
      <c r="BJ537" s="113"/>
      <c r="BK537" s="113"/>
      <c r="BL537" s="113"/>
      <c r="BM537" s="113"/>
      <c r="BN537" s="113"/>
      <c r="BO537" s="113"/>
      <c r="BP537" s="113"/>
      <c r="BQ537" s="113"/>
      <c r="BR537" s="113"/>
      <c r="BS537" s="113"/>
      <c r="BT537" s="113"/>
      <c r="BU537" s="113"/>
      <c r="BV537" s="113"/>
      <c r="BW537" s="113"/>
      <c r="BX537" s="113"/>
      <c r="BY537" s="113"/>
      <c r="BZ537" s="113"/>
      <c r="CA537" s="113"/>
      <c r="CB537" s="113"/>
      <c r="CC537" s="113"/>
      <c r="CD537" s="113"/>
      <c r="CE537" s="113"/>
      <c r="CF537" s="113"/>
      <c r="CG537" s="113"/>
      <c r="CH537" s="113"/>
      <c r="CI537" s="113"/>
      <c r="CJ537" s="113"/>
      <c r="CK537" s="113"/>
      <c r="CL537" s="113"/>
      <c r="CM537" s="113"/>
      <c r="CN537" s="113"/>
      <c r="CO537" s="113"/>
      <c r="CP537" s="113"/>
      <c r="CQ537" s="113"/>
      <c r="CR537" s="113"/>
      <c r="CS537" s="113"/>
      <c r="CT537" s="113"/>
      <c r="CU537" s="113"/>
    </row>
    <row r="538">
      <c r="A538" s="159"/>
      <c r="B538" s="113"/>
      <c r="C538" s="113"/>
      <c r="D538" s="158"/>
      <c r="E538" s="161"/>
      <c r="F538" s="160"/>
      <c r="G538" s="162"/>
      <c r="H538" s="159"/>
      <c r="I538" s="113"/>
      <c r="J538" s="113"/>
      <c r="K538" s="113"/>
      <c r="L538" s="158"/>
      <c r="M538" s="113"/>
      <c r="N538" s="113"/>
      <c r="O538" s="113"/>
      <c r="P538" s="113"/>
      <c r="Q538" s="113"/>
      <c r="R538" s="113"/>
      <c r="S538" s="113"/>
      <c r="T538" s="113"/>
      <c r="U538" s="113"/>
      <c r="V538" s="113"/>
      <c r="W538" s="113"/>
      <c r="X538" s="113"/>
      <c r="Y538" s="113"/>
      <c r="Z538" s="113"/>
      <c r="AA538" s="113"/>
      <c r="AB538" s="113"/>
      <c r="AC538" s="113"/>
      <c r="AD538" s="113"/>
      <c r="AE538" s="113"/>
      <c r="AF538" s="113"/>
      <c r="AG538" s="113"/>
      <c r="AH538" s="113"/>
      <c r="AI538" s="113"/>
      <c r="AJ538" s="113"/>
      <c r="AK538" s="113"/>
      <c r="AL538" s="113"/>
      <c r="AM538" s="113"/>
      <c r="AN538" s="113"/>
      <c r="AO538" s="113"/>
      <c r="AP538" s="113"/>
      <c r="AQ538" s="113"/>
      <c r="AR538" s="113"/>
      <c r="AS538" s="113"/>
      <c r="AT538" s="113"/>
      <c r="AU538" s="113"/>
      <c r="AV538" s="113"/>
      <c r="AW538" s="113"/>
      <c r="AX538" s="113"/>
      <c r="AY538" s="113"/>
      <c r="AZ538" s="113"/>
      <c r="BA538" s="113"/>
      <c r="BB538" s="113"/>
      <c r="BC538" s="113"/>
      <c r="BD538" s="113"/>
      <c r="BE538" s="113"/>
      <c r="BF538" s="113"/>
      <c r="BG538" s="113"/>
      <c r="BH538" s="113"/>
      <c r="BI538" s="113"/>
      <c r="BJ538" s="113"/>
      <c r="BK538" s="113"/>
      <c r="BL538" s="113"/>
      <c r="BM538" s="113"/>
      <c r="BN538" s="113"/>
      <c r="BO538" s="113"/>
      <c r="BP538" s="113"/>
      <c r="BQ538" s="113"/>
      <c r="BR538" s="113"/>
      <c r="BS538" s="113"/>
      <c r="BT538" s="113"/>
      <c r="BU538" s="113"/>
      <c r="BV538" s="113"/>
      <c r="BW538" s="113"/>
      <c r="BX538" s="113"/>
      <c r="BY538" s="113"/>
      <c r="BZ538" s="113"/>
      <c r="CA538" s="113"/>
      <c r="CB538" s="113"/>
      <c r="CC538" s="113"/>
      <c r="CD538" s="113"/>
      <c r="CE538" s="113"/>
      <c r="CF538" s="113"/>
      <c r="CG538" s="113"/>
      <c r="CH538" s="113"/>
      <c r="CI538" s="113"/>
      <c r="CJ538" s="113"/>
      <c r="CK538" s="113"/>
      <c r="CL538" s="113"/>
      <c r="CM538" s="113"/>
      <c r="CN538" s="113"/>
      <c r="CO538" s="113"/>
      <c r="CP538" s="113"/>
      <c r="CQ538" s="113"/>
      <c r="CR538" s="113"/>
      <c r="CS538" s="113"/>
      <c r="CT538" s="113"/>
      <c r="CU538" s="113"/>
    </row>
    <row r="539">
      <c r="A539" s="159"/>
      <c r="B539" s="113"/>
      <c r="C539" s="113"/>
      <c r="D539" s="158"/>
      <c r="E539" s="161"/>
      <c r="F539" s="160"/>
      <c r="G539" s="162"/>
      <c r="H539" s="159"/>
      <c r="I539" s="113"/>
      <c r="J539" s="113"/>
      <c r="K539" s="113"/>
      <c r="L539" s="158"/>
      <c r="M539" s="113"/>
      <c r="N539" s="113"/>
      <c r="O539" s="113"/>
      <c r="P539" s="113"/>
      <c r="Q539" s="113"/>
      <c r="R539" s="113"/>
      <c r="S539" s="113"/>
      <c r="T539" s="113"/>
      <c r="U539" s="113"/>
      <c r="V539" s="113"/>
      <c r="W539" s="113"/>
      <c r="X539" s="113"/>
      <c r="Y539" s="113"/>
      <c r="Z539" s="113"/>
      <c r="AA539" s="113"/>
      <c r="AB539" s="113"/>
      <c r="AC539" s="113"/>
      <c r="AD539" s="113"/>
      <c r="AE539" s="113"/>
      <c r="AF539" s="113"/>
      <c r="AG539" s="113"/>
      <c r="AH539" s="113"/>
      <c r="AI539" s="113"/>
      <c r="AJ539" s="113"/>
      <c r="AK539" s="113"/>
      <c r="AL539" s="113"/>
      <c r="AM539" s="113"/>
      <c r="AN539" s="113"/>
      <c r="AO539" s="113"/>
      <c r="AP539" s="113"/>
      <c r="AQ539" s="113"/>
      <c r="AR539" s="113"/>
      <c r="AS539" s="113"/>
      <c r="AT539" s="113"/>
      <c r="AU539" s="113"/>
      <c r="AV539" s="113"/>
      <c r="AW539" s="113"/>
      <c r="AX539" s="113"/>
      <c r="AY539" s="113"/>
      <c r="AZ539" s="113"/>
      <c r="BA539" s="113"/>
      <c r="BB539" s="113"/>
      <c r="BC539" s="113"/>
      <c r="BD539" s="113"/>
      <c r="BE539" s="113"/>
      <c r="BF539" s="113"/>
      <c r="BG539" s="113"/>
      <c r="BH539" s="113"/>
      <c r="BI539" s="113"/>
      <c r="BJ539" s="113"/>
      <c r="BK539" s="113"/>
      <c r="BL539" s="113"/>
      <c r="BM539" s="113"/>
      <c r="BN539" s="113"/>
      <c r="BO539" s="113"/>
      <c r="BP539" s="113"/>
      <c r="BQ539" s="113"/>
      <c r="BR539" s="113"/>
      <c r="BS539" s="113"/>
      <c r="BT539" s="113"/>
      <c r="BU539" s="113"/>
      <c r="BV539" s="113"/>
      <c r="BW539" s="113"/>
      <c r="BX539" s="113"/>
      <c r="BY539" s="113"/>
      <c r="BZ539" s="113"/>
      <c r="CA539" s="113"/>
      <c r="CB539" s="113"/>
      <c r="CC539" s="113"/>
      <c r="CD539" s="113"/>
      <c r="CE539" s="113"/>
      <c r="CF539" s="113"/>
      <c r="CG539" s="113"/>
      <c r="CH539" s="113"/>
      <c r="CI539" s="113"/>
      <c r="CJ539" s="113"/>
      <c r="CK539" s="113"/>
      <c r="CL539" s="113"/>
      <c r="CM539" s="113"/>
      <c r="CN539" s="113"/>
      <c r="CO539" s="113"/>
      <c r="CP539" s="113"/>
      <c r="CQ539" s="113"/>
      <c r="CR539" s="113"/>
      <c r="CS539" s="113"/>
      <c r="CT539" s="113"/>
      <c r="CU539" s="113"/>
    </row>
    <row r="540">
      <c r="A540" s="159"/>
      <c r="B540" s="113"/>
      <c r="C540" s="113"/>
      <c r="D540" s="158"/>
      <c r="E540" s="161"/>
      <c r="F540" s="160"/>
      <c r="G540" s="162"/>
      <c r="H540" s="159"/>
      <c r="I540" s="113"/>
      <c r="J540" s="113"/>
      <c r="K540" s="113"/>
      <c r="L540" s="158"/>
      <c r="M540" s="113"/>
      <c r="N540" s="113"/>
      <c r="O540" s="113"/>
      <c r="P540" s="113"/>
      <c r="Q540" s="113"/>
      <c r="R540" s="113"/>
      <c r="S540" s="113"/>
      <c r="T540" s="113"/>
      <c r="U540" s="113"/>
      <c r="V540" s="113"/>
      <c r="W540" s="113"/>
      <c r="X540" s="113"/>
      <c r="Y540" s="113"/>
      <c r="Z540" s="113"/>
      <c r="AA540" s="113"/>
      <c r="AB540" s="113"/>
      <c r="AC540" s="113"/>
      <c r="AD540" s="113"/>
      <c r="AE540" s="113"/>
      <c r="AF540" s="113"/>
      <c r="AG540" s="113"/>
      <c r="AH540" s="113"/>
      <c r="AI540" s="113"/>
      <c r="AJ540" s="113"/>
      <c r="AK540" s="113"/>
      <c r="AL540" s="113"/>
      <c r="AM540" s="113"/>
      <c r="AN540" s="113"/>
      <c r="AO540" s="113"/>
      <c r="AP540" s="113"/>
      <c r="AQ540" s="113"/>
      <c r="AR540" s="113"/>
      <c r="AS540" s="113"/>
      <c r="AT540" s="113"/>
      <c r="AU540" s="113"/>
      <c r="AV540" s="113"/>
      <c r="AW540" s="113"/>
      <c r="AX540" s="113"/>
      <c r="AY540" s="113"/>
      <c r="AZ540" s="113"/>
      <c r="BA540" s="113"/>
      <c r="BB540" s="113"/>
      <c r="BC540" s="113"/>
      <c r="BD540" s="113"/>
      <c r="BE540" s="113"/>
      <c r="BF540" s="113"/>
      <c r="BG540" s="113"/>
      <c r="BH540" s="113"/>
      <c r="BI540" s="113"/>
      <c r="BJ540" s="113"/>
      <c r="BK540" s="113"/>
      <c r="BL540" s="113"/>
      <c r="BM540" s="113"/>
      <c r="BN540" s="113"/>
      <c r="BO540" s="113"/>
      <c r="BP540" s="113"/>
      <c r="BQ540" s="113"/>
      <c r="BR540" s="113"/>
      <c r="BS540" s="113"/>
      <c r="BT540" s="113"/>
      <c r="BU540" s="113"/>
      <c r="BV540" s="113"/>
      <c r="BW540" s="113"/>
      <c r="BX540" s="113"/>
      <c r="BY540" s="113"/>
      <c r="BZ540" s="113"/>
      <c r="CA540" s="113"/>
      <c r="CB540" s="113"/>
      <c r="CC540" s="113"/>
      <c r="CD540" s="113"/>
      <c r="CE540" s="113"/>
      <c r="CF540" s="113"/>
      <c r="CG540" s="113"/>
      <c r="CH540" s="113"/>
      <c r="CI540" s="113"/>
      <c r="CJ540" s="113"/>
      <c r="CK540" s="113"/>
      <c r="CL540" s="113"/>
      <c r="CM540" s="113"/>
      <c r="CN540" s="113"/>
      <c r="CO540" s="113"/>
      <c r="CP540" s="113"/>
      <c r="CQ540" s="113"/>
      <c r="CR540" s="113"/>
      <c r="CS540" s="113"/>
      <c r="CT540" s="113"/>
      <c r="CU540" s="113"/>
    </row>
    <row r="541">
      <c r="A541" s="159"/>
      <c r="B541" s="113"/>
      <c r="C541" s="113"/>
      <c r="D541" s="158"/>
      <c r="E541" s="161"/>
      <c r="F541" s="160"/>
      <c r="G541" s="162"/>
      <c r="H541" s="159"/>
      <c r="I541" s="113"/>
      <c r="J541" s="113"/>
      <c r="K541" s="113"/>
      <c r="L541" s="158"/>
      <c r="M541" s="113"/>
      <c r="N541" s="113"/>
      <c r="O541" s="113"/>
      <c r="P541" s="113"/>
      <c r="Q541" s="113"/>
      <c r="R541" s="113"/>
      <c r="S541" s="113"/>
      <c r="T541" s="113"/>
      <c r="U541" s="113"/>
      <c r="V541" s="113"/>
      <c r="W541" s="113"/>
      <c r="X541" s="113"/>
      <c r="Y541" s="113"/>
      <c r="Z541" s="113"/>
      <c r="AA541" s="113"/>
      <c r="AB541" s="113"/>
      <c r="AC541" s="113"/>
      <c r="AD541" s="113"/>
      <c r="AE541" s="113"/>
      <c r="AF541" s="113"/>
      <c r="AG541" s="113"/>
      <c r="AH541" s="113"/>
      <c r="AI541" s="113"/>
      <c r="AJ541" s="113"/>
      <c r="AK541" s="113"/>
      <c r="AL541" s="113"/>
      <c r="AM541" s="113"/>
      <c r="AN541" s="113"/>
      <c r="AO541" s="113"/>
      <c r="AP541" s="113"/>
      <c r="AQ541" s="113"/>
      <c r="AR541" s="113"/>
      <c r="AS541" s="113"/>
      <c r="AT541" s="113"/>
      <c r="AU541" s="113"/>
      <c r="AV541" s="113"/>
      <c r="AW541" s="113"/>
      <c r="AX541" s="113"/>
      <c r="AY541" s="113"/>
      <c r="AZ541" s="113"/>
      <c r="BA541" s="113"/>
      <c r="BB541" s="113"/>
      <c r="BC541" s="113"/>
      <c r="BD541" s="113"/>
      <c r="BE541" s="113"/>
      <c r="BF541" s="113"/>
      <c r="BG541" s="113"/>
      <c r="BH541" s="113"/>
      <c r="BI541" s="113"/>
      <c r="BJ541" s="113"/>
      <c r="BK541" s="113"/>
      <c r="BL541" s="113"/>
      <c r="BM541" s="113"/>
      <c r="BN541" s="113"/>
      <c r="BO541" s="113"/>
      <c r="BP541" s="113"/>
      <c r="BQ541" s="113"/>
      <c r="BR541" s="113"/>
      <c r="BS541" s="113"/>
      <c r="BT541" s="113"/>
      <c r="BU541" s="113"/>
      <c r="BV541" s="113"/>
      <c r="BW541" s="113"/>
      <c r="BX541" s="113"/>
      <c r="BY541" s="113"/>
      <c r="BZ541" s="113"/>
      <c r="CA541" s="113"/>
      <c r="CB541" s="113"/>
      <c r="CC541" s="113"/>
      <c r="CD541" s="113"/>
      <c r="CE541" s="113"/>
      <c r="CF541" s="113"/>
      <c r="CG541" s="113"/>
      <c r="CH541" s="113"/>
      <c r="CI541" s="113"/>
      <c r="CJ541" s="113"/>
      <c r="CK541" s="113"/>
      <c r="CL541" s="113"/>
      <c r="CM541" s="113"/>
      <c r="CN541" s="113"/>
      <c r="CO541" s="113"/>
      <c r="CP541" s="113"/>
      <c r="CQ541" s="113"/>
      <c r="CR541" s="113"/>
      <c r="CS541" s="113"/>
      <c r="CT541" s="113"/>
      <c r="CU541" s="113"/>
    </row>
    <row r="542">
      <c r="A542" s="159"/>
      <c r="B542" s="113"/>
      <c r="C542" s="113"/>
      <c r="D542" s="158"/>
      <c r="E542" s="161"/>
      <c r="F542" s="160"/>
      <c r="G542" s="162"/>
      <c r="H542" s="159"/>
      <c r="I542" s="113"/>
      <c r="J542" s="113"/>
      <c r="K542" s="113"/>
      <c r="L542" s="158"/>
      <c r="M542" s="113"/>
      <c r="N542" s="113"/>
      <c r="O542" s="113"/>
      <c r="P542" s="113"/>
      <c r="Q542" s="113"/>
      <c r="R542" s="113"/>
      <c r="S542" s="113"/>
      <c r="T542" s="113"/>
      <c r="U542" s="113"/>
      <c r="V542" s="113"/>
      <c r="W542" s="113"/>
      <c r="X542" s="113"/>
      <c r="Y542" s="113"/>
      <c r="Z542" s="113"/>
      <c r="AA542" s="113"/>
      <c r="AB542" s="113"/>
      <c r="AC542" s="113"/>
      <c r="AD542" s="113"/>
      <c r="AE542" s="113"/>
      <c r="AF542" s="113"/>
      <c r="AG542" s="113"/>
      <c r="AH542" s="113"/>
      <c r="AI542" s="113"/>
      <c r="AJ542" s="113"/>
      <c r="AK542" s="113"/>
      <c r="AL542" s="113"/>
      <c r="AM542" s="113"/>
      <c r="AN542" s="113"/>
      <c r="AO542" s="113"/>
      <c r="AP542" s="113"/>
      <c r="AQ542" s="113"/>
      <c r="AR542" s="113"/>
      <c r="AS542" s="113"/>
      <c r="AT542" s="113"/>
      <c r="AU542" s="113"/>
      <c r="AV542" s="113"/>
      <c r="AW542" s="113"/>
      <c r="AX542" s="113"/>
      <c r="AY542" s="113"/>
      <c r="AZ542" s="113"/>
      <c r="BA542" s="113"/>
      <c r="BB542" s="113"/>
      <c r="BC542" s="113"/>
      <c r="BD542" s="113"/>
      <c r="BE542" s="113"/>
      <c r="BF542" s="113"/>
      <c r="BG542" s="113"/>
      <c r="BH542" s="113"/>
      <c r="BI542" s="113"/>
      <c r="BJ542" s="113"/>
      <c r="BK542" s="113"/>
      <c r="BL542" s="113"/>
      <c r="BM542" s="113"/>
      <c r="BN542" s="113"/>
      <c r="BO542" s="113"/>
      <c r="BP542" s="113"/>
      <c r="BQ542" s="113"/>
      <c r="BR542" s="113"/>
      <c r="BS542" s="113"/>
      <c r="BT542" s="113"/>
      <c r="BU542" s="113"/>
      <c r="BV542" s="113"/>
      <c r="BW542" s="113"/>
      <c r="BX542" s="113"/>
      <c r="BY542" s="113"/>
      <c r="BZ542" s="113"/>
      <c r="CA542" s="113"/>
      <c r="CB542" s="113"/>
      <c r="CC542" s="113"/>
      <c r="CD542" s="113"/>
      <c r="CE542" s="113"/>
      <c r="CF542" s="113"/>
      <c r="CG542" s="113"/>
      <c r="CH542" s="113"/>
      <c r="CI542" s="113"/>
      <c r="CJ542" s="113"/>
      <c r="CK542" s="113"/>
      <c r="CL542" s="113"/>
      <c r="CM542" s="113"/>
      <c r="CN542" s="113"/>
      <c r="CO542" s="113"/>
      <c r="CP542" s="113"/>
      <c r="CQ542" s="113"/>
      <c r="CR542" s="113"/>
      <c r="CS542" s="113"/>
      <c r="CT542" s="113"/>
      <c r="CU542" s="113"/>
    </row>
    <row r="543">
      <c r="A543" s="159"/>
      <c r="B543" s="113"/>
      <c r="C543" s="113"/>
      <c r="D543" s="158"/>
      <c r="E543" s="161"/>
      <c r="F543" s="160"/>
      <c r="G543" s="162"/>
      <c r="H543" s="159"/>
      <c r="I543" s="113"/>
      <c r="J543" s="113"/>
      <c r="K543" s="113"/>
      <c r="L543" s="158"/>
      <c r="M543" s="113"/>
      <c r="N543" s="113"/>
      <c r="O543" s="113"/>
      <c r="P543" s="113"/>
      <c r="Q543" s="113"/>
      <c r="R543" s="113"/>
      <c r="S543" s="113"/>
      <c r="T543" s="113"/>
      <c r="U543" s="113"/>
      <c r="V543" s="113"/>
      <c r="W543" s="113"/>
      <c r="X543" s="113"/>
      <c r="Y543" s="113"/>
      <c r="Z543" s="113"/>
      <c r="AA543" s="113"/>
      <c r="AB543" s="113"/>
      <c r="AC543" s="113"/>
      <c r="AD543" s="113"/>
      <c r="AE543" s="113"/>
      <c r="AF543" s="113"/>
      <c r="AG543" s="113"/>
      <c r="AH543" s="113"/>
      <c r="AI543" s="113"/>
      <c r="AJ543" s="113"/>
      <c r="AK543" s="113"/>
      <c r="AL543" s="113"/>
      <c r="AM543" s="113"/>
      <c r="AN543" s="113"/>
      <c r="AO543" s="113"/>
      <c r="AP543" s="113"/>
      <c r="AQ543" s="113"/>
      <c r="AR543" s="113"/>
      <c r="AS543" s="113"/>
      <c r="AT543" s="113"/>
      <c r="AU543" s="113"/>
      <c r="AV543" s="113"/>
      <c r="AW543" s="113"/>
      <c r="AX543" s="113"/>
      <c r="AY543" s="113"/>
      <c r="AZ543" s="113"/>
      <c r="BA543" s="113"/>
      <c r="BB543" s="113"/>
      <c r="BC543" s="113"/>
      <c r="BD543" s="113"/>
      <c r="BE543" s="113"/>
      <c r="BF543" s="113"/>
      <c r="BG543" s="113"/>
      <c r="BH543" s="113"/>
      <c r="BI543" s="113"/>
      <c r="BJ543" s="113"/>
      <c r="BK543" s="113"/>
      <c r="BL543" s="113"/>
      <c r="BM543" s="113"/>
      <c r="BN543" s="113"/>
      <c r="BO543" s="113"/>
      <c r="BP543" s="113"/>
      <c r="BQ543" s="113"/>
      <c r="BR543" s="113"/>
      <c r="BS543" s="113"/>
      <c r="BT543" s="113"/>
      <c r="BU543" s="113"/>
      <c r="BV543" s="113"/>
      <c r="BW543" s="113"/>
      <c r="BX543" s="113"/>
      <c r="BY543" s="113"/>
      <c r="BZ543" s="113"/>
      <c r="CA543" s="113"/>
      <c r="CB543" s="113"/>
      <c r="CC543" s="113"/>
      <c r="CD543" s="113"/>
      <c r="CE543" s="113"/>
      <c r="CF543" s="113"/>
      <c r="CG543" s="113"/>
      <c r="CH543" s="113"/>
      <c r="CI543" s="113"/>
      <c r="CJ543" s="113"/>
      <c r="CK543" s="113"/>
      <c r="CL543" s="113"/>
      <c r="CM543" s="113"/>
      <c r="CN543" s="113"/>
      <c r="CO543" s="113"/>
      <c r="CP543" s="113"/>
      <c r="CQ543" s="113"/>
      <c r="CR543" s="113"/>
      <c r="CS543" s="113"/>
      <c r="CT543" s="113"/>
      <c r="CU543" s="113"/>
    </row>
    <row r="544">
      <c r="A544" s="159"/>
      <c r="B544" s="113"/>
      <c r="C544" s="113"/>
      <c r="D544" s="158"/>
      <c r="E544" s="161"/>
      <c r="F544" s="160"/>
      <c r="G544" s="162"/>
      <c r="H544" s="159"/>
      <c r="I544" s="113"/>
      <c r="J544" s="113"/>
      <c r="K544" s="113"/>
      <c r="L544" s="158"/>
      <c r="M544" s="113"/>
      <c r="N544" s="113"/>
      <c r="O544" s="113"/>
      <c r="P544" s="113"/>
      <c r="Q544" s="113"/>
      <c r="R544" s="113"/>
      <c r="S544" s="113"/>
      <c r="T544" s="113"/>
      <c r="U544" s="113"/>
      <c r="V544" s="113"/>
      <c r="W544" s="113"/>
      <c r="X544" s="113"/>
      <c r="Y544" s="113"/>
      <c r="Z544" s="113"/>
      <c r="AA544" s="113"/>
      <c r="AB544" s="113"/>
      <c r="AC544" s="113"/>
      <c r="AD544" s="113"/>
      <c r="AE544" s="113"/>
      <c r="AF544" s="113"/>
      <c r="AG544" s="113"/>
      <c r="AH544" s="113"/>
      <c r="AI544" s="113"/>
      <c r="AJ544" s="113"/>
      <c r="AK544" s="113"/>
      <c r="AL544" s="113"/>
      <c r="AM544" s="113"/>
      <c r="AN544" s="113"/>
      <c r="AO544" s="113"/>
      <c r="AP544" s="113"/>
      <c r="AQ544" s="113"/>
      <c r="AR544" s="113"/>
      <c r="AS544" s="113"/>
      <c r="AT544" s="113"/>
      <c r="AU544" s="113"/>
      <c r="AV544" s="113"/>
      <c r="AW544" s="113"/>
      <c r="AX544" s="113"/>
      <c r="AY544" s="113"/>
      <c r="AZ544" s="113"/>
      <c r="BA544" s="113"/>
      <c r="BB544" s="113"/>
      <c r="BC544" s="113"/>
      <c r="BD544" s="113"/>
      <c r="BE544" s="113"/>
      <c r="BF544" s="113"/>
      <c r="BG544" s="113"/>
      <c r="BH544" s="113"/>
      <c r="BI544" s="113"/>
      <c r="BJ544" s="113"/>
      <c r="BK544" s="113"/>
      <c r="BL544" s="113"/>
      <c r="BM544" s="113"/>
      <c r="BN544" s="113"/>
      <c r="BO544" s="113"/>
      <c r="BP544" s="113"/>
      <c r="BQ544" s="113"/>
      <c r="BR544" s="113"/>
      <c r="BS544" s="113"/>
      <c r="BT544" s="113"/>
      <c r="BU544" s="113"/>
      <c r="BV544" s="113"/>
      <c r="BW544" s="113"/>
      <c r="BX544" s="113"/>
      <c r="BY544" s="113"/>
      <c r="BZ544" s="113"/>
      <c r="CA544" s="113"/>
      <c r="CB544" s="113"/>
      <c r="CC544" s="113"/>
      <c r="CD544" s="113"/>
      <c r="CE544" s="113"/>
      <c r="CF544" s="113"/>
      <c r="CG544" s="113"/>
      <c r="CH544" s="113"/>
      <c r="CI544" s="113"/>
      <c r="CJ544" s="113"/>
      <c r="CK544" s="113"/>
      <c r="CL544" s="113"/>
      <c r="CM544" s="113"/>
      <c r="CN544" s="113"/>
      <c r="CO544" s="113"/>
      <c r="CP544" s="113"/>
      <c r="CQ544" s="113"/>
      <c r="CR544" s="113"/>
      <c r="CS544" s="113"/>
      <c r="CT544" s="113"/>
      <c r="CU544" s="113"/>
    </row>
    <row r="545">
      <c r="A545" s="159"/>
      <c r="B545" s="113"/>
      <c r="C545" s="113"/>
      <c r="D545" s="158"/>
      <c r="E545" s="161"/>
      <c r="F545" s="160"/>
      <c r="G545" s="162"/>
      <c r="H545" s="159"/>
      <c r="I545" s="113"/>
      <c r="J545" s="113"/>
      <c r="K545" s="113"/>
      <c r="L545" s="158"/>
      <c r="M545" s="113"/>
      <c r="N545" s="113"/>
      <c r="O545" s="113"/>
      <c r="P545" s="113"/>
      <c r="Q545" s="113"/>
      <c r="R545" s="113"/>
      <c r="S545" s="113"/>
      <c r="T545" s="113"/>
      <c r="U545" s="113"/>
      <c r="V545" s="113"/>
      <c r="W545" s="113"/>
      <c r="X545" s="113"/>
      <c r="Y545" s="113"/>
      <c r="Z545" s="113"/>
      <c r="AA545" s="113"/>
      <c r="AB545" s="113"/>
      <c r="AC545" s="113"/>
      <c r="AD545" s="113"/>
      <c r="AE545" s="113"/>
      <c r="AF545" s="113"/>
      <c r="AG545" s="113"/>
      <c r="AH545" s="113"/>
      <c r="AI545" s="113"/>
      <c r="AJ545" s="113"/>
      <c r="AK545" s="113"/>
      <c r="AL545" s="113"/>
      <c r="AM545" s="113"/>
      <c r="AN545" s="113"/>
      <c r="AO545" s="113"/>
      <c r="AP545" s="113"/>
      <c r="AQ545" s="113"/>
      <c r="AR545" s="113"/>
      <c r="AS545" s="113"/>
      <c r="AT545" s="113"/>
      <c r="AU545" s="113"/>
      <c r="AV545" s="113"/>
      <c r="AW545" s="113"/>
      <c r="AX545" s="113"/>
      <c r="AY545" s="113"/>
      <c r="AZ545" s="113"/>
      <c r="BA545" s="113"/>
      <c r="BB545" s="113"/>
      <c r="BC545" s="113"/>
      <c r="BD545" s="113"/>
      <c r="BE545" s="113"/>
      <c r="BF545" s="113"/>
      <c r="BG545" s="113"/>
      <c r="BH545" s="113"/>
      <c r="BI545" s="113"/>
      <c r="BJ545" s="113"/>
      <c r="BK545" s="113"/>
      <c r="BL545" s="113"/>
      <c r="BM545" s="113"/>
      <c r="BN545" s="113"/>
      <c r="BO545" s="113"/>
      <c r="BP545" s="113"/>
      <c r="BQ545" s="113"/>
      <c r="BR545" s="113"/>
      <c r="BS545" s="113"/>
      <c r="BT545" s="113"/>
      <c r="BU545" s="113"/>
      <c r="BV545" s="113"/>
      <c r="BW545" s="113"/>
      <c r="BX545" s="113"/>
      <c r="BY545" s="113"/>
      <c r="BZ545" s="113"/>
      <c r="CA545" s="113"/>
      <c r="CB545" s="113"/>
      <c r="CC545" s="113"/>
      <c r="CD545" s="113"/>
      <c r="CE545" s="113"/>
      <c r="CF545" s="113"/>
      <c r="CG545" s="113"/>
      <c r="CH545" s="113"/>
      <c r="CI545" s="113"/>
      <c r="CJ545" s="113"/>
      <c r="CK545" s="113"/>
      <c r="CL545" s="113"/>
      <c r="CM545" s="113"/>
      <c r="CN545" s="113"/>
      <c r="CO545" s="113"/>
      <c r="CP545" s="113"/>
      <c r="CQ545" s="113"/>
      <c r="CR545" s="113"/>
      <c r="CS545" s="113"/>
      <c r="CT545" s="113"/>
      <c r="CU545" s="113"/>
    </row>
    <row r="546">
      <c r="A546" s="159"/>
      <c r="B546" s="113"/>
      <c r="C546" s="113"/>
      <c r="D546" s="158"/>
      <c r="E546" s="161"/>
      <c r="F546" s="160"/>
      <c r="G546" s="162"/>
      <c r="H546" s="159"/>
      <c r="I546" s="113"/>
      <c r="J546" s="113"/>
      <c r="K546" s="113"/>
      <c r="L546" s="158"/>
      <c r="M546" s="113"/>
      <c r="N546" s="113"/>
      <c r="O546" s="113"/>
      <c r="P546" s="113"/>
      <c r="Q546" s="113"/>
      <c r="R546" s="113"/>
      <c r="S546" s="113"/>
      <c r="T546" s="113"/>
      <c r="U546" s="113"/>
      <c r="V546" s="113"/>
      <c r="W546" s="113"/>
      <c r="X546" s="113"/>
      <c r="Y546" s="113"/>
      <c r="Z546" s="113"/>
      <c r="AA546" s="113"/>
      <c r="AB546" s="113"/>
      <c r="AC546" s="113"/>
      <c r="AD546" s="113"/>
      <c r="AE546" s="113"/>
      <c r="AF546" s="113"/>
      <c r="AG546" s="113"/>
      <c r="AH546" s="113"/>
      <c r="AI546" s="113"/>
      <c r="AJ546" s="113"/>
      <c r="AK546" s="113"/>
      <c r="AL546" s="113"/>
      <c r="AM546" s="113"/>
      <c r="AN546" s="113"/>
      <c r="AO546" s="113"/>
      <c r="AP546" s="113"/>
      <c r="AQ546" s="113"/>
      <c r="AR546" s="113"/>
      <c r="AS546" s="113"/>
      <c r="AT546" s="113"/>
      <c r="AU546" s="113"/>
      <c r="AV546" s="113"/>
      <c r="AW546" s="113"/>
      <c r="AX546" s="113"/>
      <c r="AY546" s="113"/>
      <c r="AZ546" s="113"/>
      <c r="BA546" s="113"/>
      <c r="BB546" s="113"/>
      <c r="BC546" s="113"/>
      <c r="BD546" s="113"/>
      <c r="BE546" s="113"/>
      <c r="BF546" s="113"/>
      <c r="BG546" s="113"/>
      <c r="BH546" s="113"/>
      <c r="BI546" s="113"/>
      <c r="BJ546" s="113"/>
      <c r="BK546" s="113"/>
      <c r="BL546" s="113"/>
      <c r="BM546" s="113"/>
      <c r="BN546" s="113"/>
      <c r="BO546" s="113"/>
      <c r="BP546" s="113"/>
      <c r="BQ546" s="113"/>
      <c r="BR546" s="113"/>
      <c r="BS546" s="113"/>
      <c r="BT546" s="113"/>
      <c r="BU546" s="113"/>
      <c r="BV546" s="113"/>
      <c r="BW546" s="113"/>
      <c r="BX546" s="113"/>
      <c r="BY546" s="113"/>
      <c r="BZ546" s="113"/>
      <c r="CA546" s="113"/>
      <c r="CB546" s="113"/>
      <c r="CC546" s="113"/>
      <c r="CD546" s="113"/>
      <c r="CE546" s="113"/>
      <c r="CF546" s="113"/>
      <c r="CG546" s="113"/>
      <c r="CH546" s="113"/>
      <c r="CI546" s="113"/>
      <c r="CJ546" s="113"/>
      <c r="CK546" s="113"/>
      <c r="CL546" s="113"/>
      <c r="CM546" s="113"/>
      <c r="CN546" s="113"/>
      <c r="CO546" s="113"/>
      <c r="CP546" s="113"/>
      <c r="CQ546" s="113"/>
      <c r="CR546" s="113"/>
      <c r="CS546" s="113"/>
      <c r="CT546" s="113"/>
      <c r="CU546" s="113"/>
    </row>
    <row r="547">
      <c r="A547" s="159"/>
      <c r="B547" s="113"/>
      <c r="C547" s="113"/>
      <c r="D547" s="158"/>
      <c r="E547" s="161"/>
      <c r="F547" s="160"/>
      <c r="G547" s="162"/>
      <c r="H547" s="159"/>
      <c r="I547" s="113"/>
      <c r="J547" s="113"/>
      <c r="K547" s="113"/>
      <c r="L547" s="158"/>
      <c r="M547" s="113"/>
      <c r="N547" s="113"/>
      <c r="O547" s="113"/>
      <c r="P547" s="113"/>
      <c r="Q547" s="113"/>
      <c r="R547" s="113"/>
      <c r="S547" s="113"/>
      <c r="T547" s="113"/>
      <c r="U547" s="113"/>
      <c r="V547" s="113"/>
      <c r="W547" s="113"/>
      <c r="X547" s="113"/>
      <c r="Y547" s="113"/>
      <c r="Z547" s="113"/>
      <c r="AA547" s="113"/>
      <c r="AB547" s="113"/>
      <c r="AC547" s="113"/>
      <c r="AD547" s="113"/>
      <c r="AE547" s="113"/>
      <c r="AF547" s="113"/>
      <c r="AG547" s="113"/>
      <c r="AH547" s="113"/>
      <c r="AI547" s="113"/>
      <c r="AJ547" s="113"/>
      <c r="AK547" s="113"/>
      <c r="AL547" s="113"/>
      <c r="AM547" s="113"/>
      <c r="AN547" s="113"/>
      <c r="AO547" s="113"/>
      <c r="AP547" s="113"/>
      <c r="AQ547" s="113"/>
      <c r="AR547" s="113"/>
      <c r="AS547" s="113"/>
      <c r="AT547" s="113"/>
      <c r="AU547" s="113"/>
      <c r="AV547" s="113"/>
      <c r="AW547" s="113"/>
      <c r="AX547" s="113"/>
      <c r="AY547" s="113"/>
      <c r="AZ547" s="113"/>
      <c r="BA547" s="113"/>
      <c r="BB547" s="113"/>
      <c r="BC547" s="113"/>
      <c r="BD547" s="113"/>
      <c r="BE547" s="113"/>
      <c r="BF547" s="113"/>
      <c r="BG547" s="113"/>
      <c r="BH547" s="113"/>
      <c r="BI547" s="113"/>
      <c r="BJ547" s="113"/>
      <c r="BK547" s="113"/>
      <c r="BL547" s="113"/>
      <c r="BM547" s="113"/>
      <c r="BN547" s="113"/>
      <c r="BO547" s="113"/>
      <c r="BP547" s="113"/>
      <c r="BQ547" s="113"/>
      <c r="BR547" s="113"/>
      <c r="BS547" s="113"/>
      <c r="BT547" s="113"/>
      <c r="BU547" s="113"/>
      <c r="BV547" s="113"/>
      <c r="BW547" s="113"/>
      <c r="BX547" s="113"/>
      <c r="BY547" s="113"/>
      <c r="BZ547" s="113"/>
      <c r="CA547" s="113"/>
      <c r="CB547" s="113"/>
      <c r="CC547" s="113"/>
      <c r="CD547" s="113"/>
      <c r="CE547" s="113"/>
      <c r="CF547" s="113"/>
      <c r="CG547" s="113"/>
      <c r="CH547" s="113"/>
      <c r="CI547" s="113"/>
      <c r="CJ547" s="113"/>
      <c r="CK547" s="113"/>
      <c r="CL547" s="113"/>
      <c r="CM547" s="113"/>
      <c r="CN547" s="113"/>
      <c r="CO547" s="113"/>
      <c r="CP547" s="113"/>
      <c r="CQ547" s="113"/>
      <c r="CR547" s="113"/>
      <c r="CS547" s="113"/>
      <c r="CT547" s="113"/>
      <c r="CU547" s="113"/>
    </row>
    <row r="548">
      <c r="A548" s="159"/>
      <c r="B548" s="113"/>
      <c r="C548" s="113"/>
      <c r="D548" s="158"/>
      <c r="E548" s="161"/>
      <c r="F548" s="160"/>
      <c r="G548" s="162"/>
      <c r="H548" s="159"/>
      <c r="I548" s="113"/>
      <c r="J548" s="113"/>
      <c r="K548" s="113"/>
      <c r="L548" s="158"/>
      <c r="M548" s="113"/>
      <c r="N548" s="113"/>
      <c r="O548" s="113"/>
      <c r="P548" s="113"/>
      <c r="Q548" s="113"/>
      <c r="R548" s="113"/>
      <c r="S548" s="113"/>
      <c r="T548" s="113"/>
      <c r="U548" s="113"/>
      <c r="V548" s="113"/>
      <c r="W548" s="113"/>
      <c r="X548" s="113"/>
      <c r="Y548" s="113"/>
      <c r="Z548" s="113"/>
      <c r="AA548" s="113"/>
      <c r="AB548" s="113"/>
      <c r="AC548" s="113"/>
      <c r="AD548" s="113"/>
      <c r="AE548" s="113"/>
      <c r="AF548" s="113"/>
      <c r="AG548" s="113"/>
      <c r="AH548" s="113"/>
      <c r="AI548" s="113"/>
      <c r="AJ548" s="113"/>
      <c r="AK548" s="113"/>
      <c r="AL548" s="113"/>
      <c r="AM548" s="113"/>
      <c r="AN548" s="113"/>
      <c r="AO548" s="113"/>
      <c r="AP548" s="113"/>
      <c r="AQ548" s="113"/>
      <c r="AR548" s="113"/>
      <c r="AS548" s="113"/>
      <c r="AT548" s="113"/>
      <c r="AU548" s="113"/>
      <c r="AV548" s="113"/>
      <c r="AW548" s="113"/>
      <c r="AX548" s="113"/>
      <c r="AY548" s="113"/>
      <c r="AZ548" s="113"/>
      <c r="BA548" s="113"/>
      <c r="BB548" s="113"/>
      <c r="BC548" s="113"/>
      <c r="BD548" s="113"/>
      <c r="BE548" s="113"/>
      <c r="BF548" s="113"/>
      <c r="BG548" s="113"/>
      <c r="BH548" s="113"/>
      <c r="BI548" s="113"/>
      <c r="BJ548" s="113"/>
      <c r="BK548" s="113"/>
      <c r="BL548" s="113"/>
      <c r="BM548" s="113"/>
      <c r="BN548" s="113"/>
      <c r="BO548" s="113"/>
      <c r="BP548" s="113"/>
      <c r="BQ548" s="113"/>
      <c r="BR548" s="113"/>
      <c r="BS548" s="113"/>
      <c r="BT548" s="113"/>
      <c r="BU548" s="113"/>
      <c r="BV548" s="113"/>
      <c r="BW548" s="113"/>
      <c r="BX548" s="113"/>
      <c r="BY548" s="113"/>
      <c r="BZ548" s="113"/>
      <c r="CA548" s="113"/>
      <c r="CB548" s="113"/>
      <c r="CC548" s="113"/>
      <c r="CD548" s="113"/>
      <c r="CE548" s="113"/>
      <c r="CF548" s="113"/>
      <c r="CG548" s="113"/>
      <c r="CH548" s="113"/>
      <c r="CI548" s="113"/>
      <c r="CJ548" s="113"/>
      <c r="CK548" s="113"/>
      <c r="CL548" s="113"/>
      <c r="CM548" s="113"/>
      <c r="CN548" s="113"/>
      <c r="CO548" s="113"/>
      <c r="CP548" s="113"/>
      <c r="CQ548" s="113"/>
      <c r="CR548" s="113"/>
      <c r="CS548" s="113"/>
      <c r="CT548" s="113"/>
      <c r="CU548" s="113"/>
    </row>
    <row r="549">
      <c r="A549" s="159"/>
      <c r="B549" s="113"/>
      <c r="C549" s="113"/>
      <c r="D549" s="158"/>
      <c r="E549" s="161"/>
      <c r="F549" s="160"/>
      <c r="G549" s="162"/>
      <c r="H549" s="159"/>
      <c r="I549" s="113"/>
      <c r="J549" s="113"/>
      <c r="K549" s="113"/>
      <c r="L549" s="158"/>
      <c r="M549" s="113"/>
      <c r="N549" s="113"/>
      <c r="O549" s="113"/>
      <c r="P549" s="113"/>
      <c r="Q549" s="113"/>
      <c r="R549" s="113"/>
      <c r="S549" s="113"/>
      <c r="T549" s="113"/>
      <c r="U549" s="113"/>
      <c r="V549" s="113"/>
      <c r="W549" s="113"/>
      <c r="X549" s="113"/>
      <c r="Y549" s="113"/>
      <c r="Z549" s="113"/>
      <c r="AA549" s="113"/>
      <c r="AB549" s="113"/>
      <c r="AC549" s="113"/>
      <c r="AD549" s="113"/>
      <c r="AE549" s="113"/>
      <c r="AF549" s="113"/>
      <c r="AG549" s="113"/>
      <c r="AH549" s="113"/>
      <c r="AI549" s="113"/>
      <c r="AJ549" s="113"/>
      <c r="AK549" s="113"/>
      <c r="AL549" s="113"/>
      <c r="AM549" s="113"/>
      <c r="AN549" s="113"/>
      <c r="AO549" s="113"/>
      <c r="AP549" s="113"/>
      <c r="AQ549" s="113"/>
      <c r="AR549" s="113"/>
      <c r="AS549" s="113"/>
      <c r="AT549" s="113"/>
      <c r="AU549" s="113"/>
      <c r="AV549" s="113"/>
      <c r="AW549" s="113"/>
      <c r="AX549" s="113"/>
      <c r="AY549" s="113"/>
      <c r="AZ549" s="113"/>
      <c r="BA549" s="113"/>
      <c r="BB549" s="113"/>
      <c r="BC549" s="113"/>
      <c r="BD549" s="113"/>
      <c r="BE549" s="113"/>
      <c r="BF549" s="113"/>
      <c r="BG549" s="113"/>
      <c r="BH549" s="113"/>
      <c r="BI549" s="113"/>
      <c r="BJ549" s="113"/>
      <c r="BK549" s="113"/>
      <c r="BL549" s="113"/>
      <c r="BM549" s="113"/>
      <c r="BN549" s="113"/>
      <c r="BO549" s="113"/>
      <c r="BP549" s="113"/>
      <c r="BQ549" s="113"/>
      <c r="BR549" s="113"/>
      <c r="BS549" s="113"/>
      <c r="BT549" s="113"/>
      <c r="BU549" s="113"/>
      <c r="BV549" s="113"/>
      <c r="BW549" s="113"/>
      <c r="BX549" s="113"/>
      <c r="BY549" s="113"/>
      <c r="BZ549" s="113"/>
      <c r="CA549" s="113"/>
      <c r="CB549" s="113"/>
      <c r="CC549" s="113"/>
      <c r="CD549" s="113"/>
      <c r="CE549" s="113"/>
      <c r="CF549" s="113"/>
      <c r="CG549" s="113"/>
      <c r="CH549" s="113"/>
      <c r="CI549" s="113"/>
      <c r="CJ549" s="113"/>
      <c r="CK549" s="113"/>
      <c r="CL549" s="113"/>
      <c r="CM549" s="113"/>
      <c r="CN549" s="113"/>
      <c r="CO549" s="113"/>
      <c r="CP549" s="113"/>
      <c r="CQ549" s="113"/>
      <c r="CR549" s="113"/>
      <c r="CS549" s="113"/>
      <c r="CT549" s="113"/>
      <c r="CU549" s="113"/>
    </row>
    <row r="550">
      <c r="A550" s="159"/>
      <c r="B550" s="113"/>
      <c r="C550" s="113"/>
      <c r="D550" s="158"/>
      <c r="E550" s="161"/>
      <c r="F550" s="160"/>
      <c r="G550" s="162"/>
      <c r="H550" s="159"/>
      <c r="I550" s="113"/>
      <c r="J550" s="113"/>
      <c r="K550" s="113"/>
      <c r="L550" s="158"/>
      <c r="M550" s="113"/>
      <c r="N550" s="113"/>
      <c r="O550" s="113"/>
      <c r="P550" s="113"/>
      <c r="Q550" s="113"/>
      <c r="R550" s="113"/>
      <c r="S550" s="113"/>
      <c r="T550" s="113"/>
      <c r="U550" s="113"/>
      <c r="V550" s="113"/>
      <c r="W550" s="113"/>
      <c r="X550" s="113"/>
      <c r="Y550" s="113"/>
      <c r="Z550" s="113"/>
      <c r="AA550" s="113"/>
      <c r="AB550" s="113"/>
      <c r="AC550" s="113"/>
      <c r="AD550" s="113"/>
      <c r="AE550" s="113"/>
      <c r="AF550" s="113"/>
      <c r="AG550" s="113"/>
      <c r="AH550" s="113"/>
      <c r="AI550" s="113"/>
      <c r="AJ550" s="113"/>
      <c r="AK550" s="113"/>
      <c r="AL550" s="113"/>
      <c r="AM550" s="113"/>
      <c r="AN550" s="113"/>
      <c r="AO550" s="113"/>
      <c r="AP550" s="113"/>
      <c r="AQ550" s="113"/>
      <c r="AR550" s="113"/>
      <c r="AS550" s="113"/>
      <c r="AT550" s="113"/>
      <c r="AU550" s="113"/>
      <c r="AV550" s="113"/>
      <c r="AW550" s="113"/>
      <c r="AX550" s="113"/>
      <c r="AY550" s="113"/>
      <c r="AZ550" s="113"/>
      <c r="BA550" s="113"/>
      <c r="BB550" s="113"/>
      <c r="BC550" s="113"/>
      <c r="BD550" s="113"/>
      <c r="BE550" s="113"/>
      <c r="BF550" s="113"/>
      <c r="BG550" s="113"/>
      <c r="BH550" s="113"/>
      <c r="BI550" s="113"/>
      <c r="BJ550" s="113"/>
      <c r="BK550" s="113"/>
      <c r="BL550" s="113"/>
      <c r="BM550" s="113"/>
      <c r="BN550" s="113"/>
      <c r="BO550" s="113"/>
      <c r="BP550" s="113"/>
      <c r="BQ550" s="113"/>
      <c r="BR550" s="113"/>
      <c r="BS550" s="113"/>
      <c r="BT550" s="113"/>
      <c r="BU550" s="113"/>
      <c r="BV550" s="113"/>
      <c r="BW550" s="113"/>
      <c r="BX550" s="113"/>
      <c r="BY550" s="113"/>
      <c r="BZ550" s="113"/>
      <c r="CA550" s="113"/>
      <c r="CB550" s="113"/>
      <c r="CC550" s="113"/>
      <c r="CD550" s="113"/>
      <c r="CE550" s="113"/>
      <c r="CF550" s="113"/>
      <c r="CG550" s="113"/>
      <c r="CH550" s="113"/>
      <c r="CI550" s="113"/>
      <c r="CJ550" s="113"/>
      <c r="CK550" s="113"/>
      <c r="CL550" s="113"/>
      <c r="CM550" s="113"/>
      <c r="CN550" s="113"/>
      <c r="CO550" s="113"/>
      <c r="CP550" s="113"/>
      <c r="CQ550" s="113"/>
      <c r="CR550" s="113"/>
      <c r="CS550" s="113"/>
      <c r="CT550" s="113"/>
      <c r="CU550" s="113"/>
    </row>
    <row r="551">
      <c r="A551" s="159"/>
      <c r="B551" s="113"/>
      <c r="C551" s="113"/>
      <c r="D551" s="158"/>
      <c r="E551" s="161"/>
      <c r="F551" s="160"/>
      <c r="G551" s="162"/>
      <c r="H551" s="159"/>
      <c r="I551" s="113"/>
      <c r="J551" s="113"/>
      <c r="K551" s="113"/>
      <c r="L551" s="158"/>
      <c r="M551" s="113"/>
      <c r="N551" s="113"/>
      <c r="O551" s="113"/>
      <c r="P551" s="113"/>
      <c r="Q551" s="113"/>
      <c r="R551" s="113"/>
      <c r="S551" s="113"/>
      <c r="T551" s="113"/>
      <c r="U551" s="113"/>
      <c r="V551" s="113"/>
      <c r="W551" s="113"/>
      <c r="X551" s="113"/>
      <c r="Y551" s="113"/>
      <c r="Z551" s="113"/>
      <c r="AA551" s="113"/>
      <c r="AB551" s="113"/>
      <c r="AC551" s="113"/>
      <c r="AD551" s="113"/>
      <c r="AE551" s="113"/>
      <c r="AF551" s="113"/>
      <c r="AG551" s="113"/>
      <c r="AH551" s="113"/>
      <c r="AI551" s="113"/>
      <c r="AJ551" s="113"/>
      <c r="AK551" s="113"/>
      <c r="AL551" s="113"/>
      <c r="AM551" s="113"/>
      <c r="AN551" s="113"/>
      <c r="AO551" s="113"/>
      <c r="AP551" s="113"/>
      <c r="AQ551" s="113"/>
      <c r="AR551" s="113"/>
      <c r="AS551" s="113"/>
      <c r="AT551" s="113"/>
      <c r="AU551" s="113"/>
      <c r="AV551" s="113"/>
      <c r="AW551" s="113"/>
      <c r="AX551" s="113"/>
      <c r="AY551" s="113"/>
      <c r="AZ551" s="113"/>
      <c r="BA551" s="113"/>
      <c r="BB551" s="113"/>
      <c r="BC551" s="113"/>
      <c r="BD551" s="113"/>
      <c r="BE551" s="113"/>
      <c r="BF551" s="113"/>
      <c r="BG551" s="113"/>
      <c r="BH551" s="113"/>
      <c r="BI551" s="113"/>
      <c r="BJ551" s="113"/>
      <c r="BK551" s="113"/>
      <c r="BL551" s="113"/>
      <c r="BM551" s="113"/>
      <c r="BN551" s="113"/>
      <c r="BO551" s="113"/>
      <c r="BP551" s="113"/>
      <c r="BQ551" s="113"/>
      <c r="BR551" s="113"/>
      <c r="BS551" s="113"/>
      <c r="BT551" s="113"/>
      <c r="BU551" s="113"/>
      <c r="BV551" s="113"/>
      <c r="BW551" s="113"/>
      <c r="BX551" s="113"/>
      <c r="BY551" s="113"/>
      <c r="BZ551" s="113"/>
      <c r="CA551" s="113"/>
      <c r="CB551" s="113"/>
      <c r="CC551" s="113"/>
      <c r="CD551" s="113"/>
      <c r="CE551" s="113"/>
      <c r="CF551" s="113"/>
      <c r="CG551" s="113"/>
      <c r="CH551" s="113"/>
      <c r="CI551" s="113"/>
      <c r="CJ551" s="113"/>
      <c r="CK551" s="113"/>
      <c r="CL551" s="113"/>
      <c r="CM551" s="113"/>
      <c r="CN551" s="113"/>
      <c r="CO551" s="113"/>
      <c r="CP551" s="113"/>
      <c r="CQ551" s="113"/>
      <c r="CR551" s="113"/>
      <c r="CS551" s="113"/>
      <c r="CT551" s="113"/>
      <c r="CU551" s="113"/>
    </row>
    <row r="552">
      <c r="A552" s="159"/>
      <c r="B552" s="113"/>
      <c r="C552" s="113"/>
      <c r="D552" s="158"/>
      <c r="E552" s="161"/>
      <c r="F552" s="160"/>
      <c r="G552" s="162"/>
      <c r="H552" s="159"/>
      <c r="I552" s="113"/>
      <c r="J552" s="113"/>
      <c r="K552" s="113"/>
      <c r="L552" s="158"/>
      <c r="M552" s="113"/>
      <c r="N552" s="113"/>
      <c r="O552" s="113"/>
      <c r="P552" s="113"/>
      <c r="Q552" s="113"/>
      <c r="R552" s="113"/>
      <c r="S552" s="113"/>
      <c r="T552" s="113"/>
      <c r="U552" s="113"/>
      <c r="V552" s="113"/>
      <c r="W552" s="113"/>
      <c r="X552" s="113"/>
      <c r="Y552" s="113"/>
      <c r="Z552" s="113"/>
      <c r="AA552" s="113"/>
      <c r="AB552" s="113"/>
      <c r="AC552" s="113"/>
      <c r="AD552" s="113"/>
      <c r="AE552" s="113"/>
      <c r="AF552" s="113"/>
      <c r="AG552" s="113"/>
      <c r="AH552" s="113"/>
      <c r="AI552" s="113"/>
      <c r="AJ552" s="113"/>
      <c r="AK552" s="113"/>
      <c r="AL552" s="113"/>
      <c r="AM552" s="113"/>
      <c r="AN552" s="113"/>
      <c r="AO552" s="113"/>
      <c r="AP552" s="113"/>
      <c r="AQ552" s="113"/>
      <c r="AR552" s="113"/>
      <c r="AS552" s="113"/>
      <c r="AT552" s="113"/>
      <c r="AU552" s="113"/>
      <c r="AV552" s="113"/>
      <c r="AW552" s="113"/>
      <c r="AX552" s="113"/>
      <c r="AY552" s="113"/>
      <c r="AZ552" s="113"/>
      <c r="BA552" s="113"/>
      <c r="BB552" s="113"/>
      <c r="BC552" s="113"/>
      <c r="BD552" s="113"/>
      <c r="BE552" s="113"/>
      <c r="BF552" s="113"/>
      <c r="BG552" s="113"/>
      <c r="BH552" s="113"/>
      <c r="BI552" s="113"/>
      <c r="BJ552" s="113"/>
      <c r="BK552" s="113"/>
      <c r="BL552" s="113"/>
      <c r="BM552" s="113"/>
      <c r="BN552" s="113"/>
      <c r="BO552" s="113"/>
      <c r="BP552" s="113"/>
      <c r="BQ552" s="113"/>
      <c r="BR552" s="113"/>
      <c r="BS552" s="113"/>
      <c r="BT552" s="113"/>
      <c r="BU552" s="113"/>
      <c r="BV552" s="113"/>
      <c r="BW552" s="113"/>
      <c r="BX552" s="113"/>
      <c r="BY552" s="113"/>
      <c r="BZ552" s="113"/>
      <c r="CA552" s="113"/>
      <c r="CB552" s="113"/>
      <c r="CC552" s="113"/>
      <c r="CD552" s="113"/>
      <c r="CE552" s="113"/>
      <c r="CF552" s="113"/>
      <c r="CG552" s="113"/>
      <c r="CH552" s="113"/>
      <c r="CI552" s="113"/>
      <c r="CJ552" s="113"/>
      <c r="CK552" s="113"/>
      <c r="CL552" s="113"/>
      <c r="CM552" s="113"/>
      <c r="CN552" s="113"/>
      <c r="CO552" s="113"/>
      <c r="CP552" s="113"/>
      <c r="CQ552" s="113"/>
      <c r="CR552" s="113"/>
      <c r="CS552" s="113"/>
      <c r="CT552" s="113"/>
      <c r="CU552" s="113"/>
    </row>
    <row r="553">
      <c r="A553" s="159"/>
      <c r="B553" s="113"/>
      <c r="C553" s="113"/>
      <c r="D553" s="158"/>
      <c r="E553" s="161"/>
      <c r="F553" s="160"/>
      <c r="G553" s="162"/>
      <c r="H553" s="159"/>
      <c r="I553" s="113"/>
      <c r="J553" s="113"/>
      <c r="K553" s="113"/>
      <c r="L553" s="158"/>
      <c r="M553" s="113"/>
      <c r="N553" s="113"/>
      <c r="O553" s="113"/>
      <c r="P553" s="113"/>
      <c r="Q553" s="113"/>
      <c r="R553" s="113"/>
      <c r="S553" s="113"/>
      <c r="T553" s="113"/>
      <c r="U553" s="113"/>
      <c r="V553" s="113"/>
      <c r="W553" s="113"/>
      <c r="X553" s="113"/>
      <c r="Y553" s="113"/>
      <c r="Z553" s="113"/>
      <c r="AA553" s="113"/>
      <c r="AB553" s="113"/>
      <c r="AC553" s="113"/>
      <c r="AD553" s="113"/>
      <c r="AE553" s="113"/>
      <c r="AF553" s="113"/>
      <c r="AG553" s="113"/>
      <c r="AH553" s="113"/>
      <c r="AI553" s="113"/>
      <c r="AJ553" s="113"/>
      <c r="AK553" s="113"/>
      <c r="AL553" s="113"/>
      <c r="AM553" s="113"/>
      <c r="AN553" s="113"/>
      <c r="AO553" s="113"/>
      <c r="AP553" s="113"/>
      <c r="AQ553" s="113"/>
      <c r="AR553" s="113"/>
      <c r="AS553" s="113"/>
      <c r="AT553" s="113"/>
      <c r="AU553" s="113"/>
      <c r="AV553" s="113"/>
      <c r="AW553" s="113"/>
      <c r="AX553" s="113"/>
      <c r="AY553" s="113"/>
      <c r="AZ553" s="113"/>
      <c r="BA553" s="113"/>
      <c r="BB553" s="113"/>
      <c r="BC553" s="113"/>
      <c r="BD553" s="113"/>
      <c r="BE553" s="113"/>
      <c r="BF553" s="113"/>
      <c r="BG553" s="113"/>
      <c r="BH553" s="113"/>
      <c r="BI553" s="113"/>
      <c r="BJ553" s="113"/>
      <c r="BK553" s="113"/>
      <c r="BL553" s="113"/>
      <c r="BM553" s="113"/>
      <c r="BN553" s="113"/>
      <c r="BO553" s="113"/>
      <c r="BP553" s="113"/>
      <c r="BQ553" s="113"/>
      <c r="BR553" s="113"/>
      <c r="BS553" s="113"/>
      <c r="BT553" s="113"/>
      <c r="BU553" s="113"/>
      <c r="BV553" s="113"/>
      <c r="BW553" s="113"/>
      <c r="BX553" s="113"/>
      <c r="BY553" s="113"/>
      <c r="BZ553" s="113"/>
      <c r="CA553" s="113"/>
      <c r="CB553" s="113"/>
      <c r="CC553" s="113"/>
      <c r="CD553" s="113"/>
      <c r="CE553" s="113"/>
      <c r="CF553" s="113"/>
      <c r="CG553" s="113"/>
      <c r="CH553" s="113"/>
      <c r="CI553" s="113"/>
      <c r="CJ553" s="113"/>
      <c r="CK553" s="113"/>
      <c r="CL553" s="113"/>
      <c r="CM553" s="113"/>
      <c r="CN553" s="113"/>
      <c r="CO553" s="113"/>
      <c r="CP553" s="113"/>
      <c r="CQ553" s="113"/>
      <c r="CR553" s="113"/>
      <c r="CS553" s="113"/>
      <c r="CT553" s="113"/>
      <c r="CU553" s="113"/>
    </row>
    <row r="554">
      <c r="A554" s="159"/>
      <c r="B554" s="113"/>
      <c r="C554" s="113"/>
      <c r="D554" s="158"/>
      <c r="E554" s="161"/>
      <c r="F554" s="160"/>
      <c r="G554" s="162"/>
      <c r="H554" s="159"/>
      <c r="I554" s="113"/>
      <c r="J554" s="113"/>
      <c r="K554" s="113"/>
      <c r="L554" s="158"/>
      <c r="M554" s="113"/>
      <c r="N554" s="113"/>
      <c r="O554" s="113"/>
      <c r="P554" s="113"/>
      <c r="Q554" s="113"/>
      <c r="R554" s="113"/>
      <c r="S554" s="113"/>
      <c r="T554" s="113"/>
      <c r="U554" s="113"/>
      <c r="V554" s="113"/>
      <c r="W554" s="113"/>
      <c r="X554" s="113"/>
      <c r="Y554" s="113"/>
      <c r="Z554" s="113"/>
      <c r="AA554" s="113"/>
      <c r="AB554" s="113"/>
      <c r="AC554" s="113"/>
      <c r="AD554" s="113"/>
      <c r="AE554" s="113"/>
      <c r="AF554" s="113"/>
      <c r="AG554" s="113"/>
      <c r="AH554" s="113"/>
      <c r="AI554" s="113"/>
      <c r="AJ554" s="113"/>
      <c r="AK554" s="113"/>
      <c r="AL554" s="113"/>
      <c r="AM554" s="113"/>
      <c r="AN554" s="113"/>
      <c r="AO554" s="113"/>
      <c r="AP554" s="113"/>
      <c r="AQ554" s="113"/>
      <c r="AR554" s="113"/>
      <c r="AS554" s="113"/>
      <c r="AT554" s="113"/>
      <c r="AU554" s="113"/>
      <c r="AV554" s="113"/>
      <c r="AW554" s="113"/>
      <c r="AX554" s="113"/>
      <c r="AY554" s="113"/>
      <c r="AZ554" s="113"/>
      <c r="BA554" s="113"/>
      <c r="BB554" s="113"/>
      <c r="BC554" s="113"/>
      <c r="BD554" s="113"/>
      <c r="BE554" s="113"/>
      <c r="BF554" s="113"/>
      <c r="BG554" s="113"/>
      <c r="BH554" s="113"/>
      <c r="BI554" s="113"/>
      <c r="BJ554" s="113"/>
      <c r="BK554" s="113"/>
      <c r="BL554" s="113"/>
      <c r="BM554" s="113"/>
      <c r="BN554" s="113"/>
      <c r="BO554" s="113"/>
      <c r="BP554" s="113"/>
      <c r="BQ554" s="113"/>
      <c r="BR554" s="113"/>
      <c r="BS554" s="113"/>
      <c r="BT554" s="113"/>
      <c r="BU554" s="113"/>
      <c r="BV554" s="113"/>
      <c r="BW554" s="113"/>
      <c r="BX554" s="113"/>
      <c r="BY554" s="113"/>
      <c r="BZ554" s="113"/>
      <c r="CA554" s="113"/>
      <c r="CB554" s="113"/>
      <c r="CC554" s="113"/>
      <c r="CD554" s="113"/>
      <c r="CE554" s="113"/>
      <c r="CF554" s="113"/>
      <c r="CG554" s="113"/>
      <c r="CH554" s="113"/>
      <c r="CI554" s="113"/>
      <c r="CJ554" s="113"/>
      <c r="CK554" s="113"/>
      <c r="CL554" s="113"/>
      <c r="CM554" s="113"/>
      <c r="CN554" s="113"/>
      <c r="CO554" s="113"/>
      <c r="CP554" s="113"/>
      <c r="CQ554" s="113"/>
      <c r="CR554" s="113"/>
      <c r="CS554" s="113"/>
      <c r="CT554" s="113"/>
      <c r="CU554" s="113"/>
    </row>
    <row r="555">
      <c r="A555" s="159"/>
      <c r="B555" s="113"/>
      <c r="C555" s="113"/>
      <c r="D555" s="158"/>
      <c r="E555" s="161"/>
      <c r="F555" s="160"/>
      <c r="G555" s="162"/>
      <c r="H555" s="159"/>
      <c r="I555" s="113"/>
      <c r="J555" s="113"/>
      <c r="K555" s="113"/>
      <c r="L555" s="158"/>
      <c r="M555" s="113"/>
      <c r="N555" s="113"/>
      <c r="O555" s="113"/>
      <c r="P555" s="113"/>
      <c r="Q555" s="113"/>
      <c r="R555" s="113"/>
      <c r="S555" s="113"/>
      <c r="T555" s="113"/>
      <c r="U555" s="113"/>
      <c r="V555" s="113"/>
      <c r="W555" s="113"/>
      <c r="X555" s="113"/>
      <c r="Y555" s="113"/>
      <c r="Z555" s="113"/>
      <c r="AA555" s="113"/>
      <c r="AB555" s="113"/>
      <c r="AC555" s="113"/>
      <c r="AD555" s="113"/>
      <c r="AE555" s="113"/>
      <c r="AF555" s="113"/>
      <c r="AG555" s="113"/>
      <c r="AH555" s="113"/>
      <c r="AI555" s="113"/>
      <c r="AJ555" s="113"/>
      <c r="AK555" s="113"/>
      <c r="AL555" s="113"/>
      <c r="AM555" s="113"/>
      <c r="AN555" s="113"/>
      <c r="AO555" s="113"/>
      <c r="AP555" s="113"/>
      <c r="AQ555" s="113"/>
      <c r="AR555" s="113"/>
      <c r="AS555" s="113"/>
      <c r="AT555" s="113"/>
      <c r="AU555" s="113"/>
      <c r="AV555" s="113"/>
      <c r="AW555" s="113"/>
      <c r="AX555" s="113"/>
      <c r="AY555" s="113"/>
      <c r="AZ555" s="113"/>
      <c r="BA555" s="113"/>
      <c r="BB555" s="113"/>
      <c r="BC555" s="113"/>
      <c r="BD555" s="113"/>
      <c r="BE555" s="113"/>
      <c r="BF555" s="113"/>
      <c r="BG555" s="113"/>
      <c r="BH555" s="113"/>
      <c r="BI555" s="113"/>
      <c r="BJ555" s="113"/>
      <c r="BK555" s="113"/>
      <c r="BL555" s="113"/>
      <c r="BM555" s="113"/>
      <c r="BN555" s="113"/>
      <c r="BO555" s="113"/>
      <c r="BP555" s="113"/>
      <c r="BQ555" s="113"/>
      <c r="BR555" s="113"/>
      <c r="BS555" s="113"/>
      <c r="BT555" s="113"/>
      <c r="BU555" s="113"/>
      <c r="BV555" s="113"/>
      <c r="BW555" s="113"/>
      <c r="BX555" s="113"/>
      <c r="BY555" s="113"/>
      <c r="BZ555" s="113"/>
      <c r="CA555" s="113"/>
      <c r="CB555" s="113"/>
      <c r="CC555" s="113"/>
      <c r="CD555" s="113"/>
      <c r="CE555" s="113"/>
      <c r="CF555" s="113"/>
      <c r="CG555" s="113"/>
      <c r="CH555" s="113"/>
      <c r="CI555" s="113"/>
      <c r="CJ555" s="113"/>
      <c r="CK555" s="113"/>
      <c r="CL555" s="113"/>
      <c r="CM555" s="113"/>
      <c r="CN555" s="113"/>
      <c r="CO555" s="113"/>
      <c r="CP555" s="113"/>
      <c r="CQ555" s="113"/>
      <c r="CR555" s="113"/>
      <c r="CS555" s="113"/>
      <c r="CT555" s="113"/>
      <c r="CU555" s="113"/>
    </row>
    <row r="556">
      <c r="A556" s="159"/>
      <c r="B556" s="113"/>
      <c r="C556" s="113"/>
      <c r="D556" s="158"/>
      <c r="E556" s="161"/>
      <c r="F556" s="160"/>
      <c r="G556" s="162"/>
      <c r="H556" s="159"/>
      <c r="I556" s="113"/>
      <c r="J556" s="113"/>
      <c r="K556" s="113"/>
      <c r="L556" s="158"/>
      <c r="M556" s="113"/>
      <c r="N556" s="113"/>
      <c r="O556" s="113"/>
      <c r="P556" s="113"/>
      <c r="Q556" s="113"/>
      <c r="R556" s="113"/>
      <c r="S556" s="113"/>
      <c r="T556" s="113"/>
      <c r="U556" s="113"/>
      <c r="V556" s="113"/>
      <c r="W556" s="113"/>
      <c r="X556" s="113"/>
      <c r="Y556" s="113"/>
      <c r="Z556" s="113"/>
      <c r="AA556" s="113"/>
      <c r="AB556" s="113"/>
      <c r="AC556" s="113"/>
      <c r="AD556" s="113"/>
      <c r="AE556" s="113"/>
      <c r="AF556" s="113"/>
      <c r="AG556" s="113"/>
      <c r="AH556" s="113"/>
      <c r="AI556" s="113"/>
      <c r="AJ556" s="113"/>
      <c r="AK556" s="113"/>
      <c r="AL556" s="113"/>
      <c r="AM556" s="113"/>
      <c r="AN556" s="113"/>
      <c r="AO556" s="113"/>
      <c r="AP556" s="113"/>
      <c r="AQ556" s="113"/>
      <c r="AR556" s="113"/>
      <c r="AS556" s="113"/>
      <c r="AT556" s="113"/>
      <c r="AU556" s="113"/>
      <c r="AV556" s="113"/>
      <c r="AW556" s="113"/>
      <c r="AX556" s="113"/>
      <c r="AY556" s="113"/>
      <c r="AZ556" s="113"/>
      <c r="BA556" s="113"/>
      <c r="BB556" s="113"/>
      <c r="BC556" s="113"/>
      <c r="BD556" s="113"/>
      <c r="BE556" s="113"/>
      <c r="BF556" s="113"/>
      <c r="BG556" s="113"/>
      <c r="BH556" s="113"/>
      <c r="BI556" s="113"/>
      <c r="BJ556" s="113"/>
      <c r="BK556" s="113"/>
      <c r="BL556" s="113"/>
      <c r="BM556" s="113"/>
      <c r="BN556" s="113"/>
      <c r="BO556" s="113"/>
      <c r="BP556" s="113"/>
      <c r="BQ556" s="113"/>
      <c r="BR556" s="113"/>
      <c r="BS556" s="113"/>
      <c r="BT556" s="113"/>
      <c r="BU556" s="113"/>
      <c r="BV556" s="113"/>
      <c r="BW556" s="113"/>
      <c r="BX556" s="113"/>
      <c r="BY556" s="113"/>
      <c r="BZ556" s="113"/>
      <c r="CA556" s="113"/>
      <c r="CB556" s="113"/>
      <c r="CC556" s="113"/>
      <c r="CD556" s="113"/>
      <c r="CE556" s="113"/>
      <c r="CF556" s="113"/>
      <c r="CG556" s="113"/>
      <c r="CH556" s="113"/>
      <c r="CI556" s="113"/>
      <c r="CJ556" s="113"/>
      <c r="CK556" s="113"/>
      <c r="CL556" s="113"/>
      <c r="CM556" s="113"/>
      <c r="CN556" s="113"/>
      <c r="CO556" s="113"/>
      <c r="CP556" s="113"/>
      <c r="CQ556" s="113"/>
      <c r="CR556" s="113"/>
      <c r="CS556" s="113"/>
      <c r="CT556" s="113"/>
      <c r="CU556" s="113"/>
    </row>
    <row r="557">
      <c r="A557" s="159"/>
      <c r="B557" s="113"/>
      <c r="C557" s="113"/>
      <c r="D557" s="158"/>
      <c r="E557" s="161"/>
      <c r="F557" s="160"/>
      <c r="G557" s="162"/>
      <c r="H557" s="159"/>
      <c r="I557" s="113"/>
      <c r="J557" s="113"/>
      <c r="K557" s="113"/>
      <c r="L557" s="158"/>
      <c r="M557" s="113"/>
      <c r="N557" s="113"/>
      <c r="O557" s="113"/>
      <c r="P557" s="113"/>
      <c r="Q557" s="113"/>
      <c r="R557" s="113"/>
      <c r="S557" s="113"/>
      <c r="T557" s="113"/>
      <c r="U557" s="113"/>
      <c r="V557" s="113"/>
      <c r="W557" s="113"/>
      <c r="X557" s="113"/>
      <c r="Y557" s="113"/>
      <c r="Z557" s="113"/>
      <c r="AA557" s="113"/>
      <c r="AB557" s="113"/>
      <c r="AC557" s="113"/>
      <c r="AD557" s="113"/>
      <c r="AE557" s="113"/>
      <c r="AF557" s="113"/>
      <c r="AG557" s="113"/>
      <c r="AH557" s="113"/>
      <c r="AI557" s="113"/>
      <c r="AJ557" s="113"/>
      <c r="AK557" s="113"/>
      <c r="AL557" s="113"/>
      <c r="AM557" s="113"/>
      <c r="AN557" s="113"/>
      <c r="AO557" s="113"/>
      <c r="AP557" s="113"/>
      <c r="AQ557" s="113"/>
      <c r="AR557" s="113"/>
      <c r="AS557" s="113"/>
      <c r="AT557" s="113"/>
      <c r="AU557" s="113"/>
      <c r="AV557" s="113"/>
      <c r="AW557" s="113"/>
      <c r="AX557" s="113"/>
      <c r="AY557" s="113"/>
      <c r="AZ557" s="113"/>
      <c r="BA557" s="113"/>
      <c r="BB557" s="113"/>
      <c r="BC557" s="113"/>
      <c r="BD557" s="113"/>
      <c r="BE557" s="113"/>
      <c r="BF557" s="113"/>
      <c r="BG557" s="113"/>
      <c r="BH557" s="113"/>
      <c r="BI557" s="113"/>
      <c r="BJ557" s="113"/>
      <c r="BK557" s="113"/>
      <c r="BL557" s="113"/>
      <c r="BM557" s="113"/>
      <c r="BN557" s="113"/>
      <c r="BO557" s="113"/>
      <c r="BP557" s="113"/>
      <c r="BQ557" s="113"/>
      <c r="BR557" s="113"/>
      <c r="BS557" s="113"/>
      <c r="BT557" s="113"/>
      <c r="BU557" s="113"/>
      <c r="BV557" s="113"/>
      <c r="BW557" s="113"/>
      <c r="BX557" s="113"/>
      <c r="BY557" s="113"/>
      <c r="BZ557" s="113"/>
      <c r="CA557" s="113"/>
      <c r="CB557" s="113"/>
      <c r="CC557" s="113"/>
      <c r="CD557" s="113"/>
      <c r="CE557" s="113"/>
      <c r="CF557" s="113"/>
      <c r="CG557" s="113"/>
      <c r="CH557" s="113"/>
      <c r="CI557" s="113"/>
      <c r="CJ557" s="113"/>
      <c r="CK557" s="113"/>
      <c r="CL557" s="113"/>
      <c r="CM557" s="113"/>
      <c r="CN557" s="113"/>
      <c r="CO557" s="113"/>
      <c r="CP557" s="113"/>
      <c r="CQ557" s="113"/>
      <c r="CR557" s="113"/>
      <c r="CS557" s="113"/>
      <c r="CT557" s="113"/>
      <c r="CU557" s="113"/>
    </row>
    <row r="558">
      <c r="A558" s="159"/>
      <c r="B558" s="113"/>
      <c r="C558" s="113"/>
      <c r="D558" s="158"/>
      <c r="E558" s="161"/>
      <c r="F558" s="160"/>
      <c r="G558" s="162"/>
      <c r="H558" s="159"/>
      <c r="I558" s="113"/>
      <c r="J558" s="113"/>
      <c r="K558" s="113"/>
      <c r="L558" s="158"/>
      <c r="M558" s="113"/>
      <c r="N558" s="113"/>
      <c r="O558" s="113"/>
      <c r="P558" s="113"/>
      <c r="Q558" s="113"/>
      <c r="R558" s="113"/>
      <c r="S558" s="113"/>
      <c r="T558" s="113"/>
      <c r="U558" s="113"/>
      <c r="V558" s="113"/>
      <c r="W558" s="113"/>
      <c r="X558" s="113"/>
      <c r="Y558" s="113"/>
      <c r="Z558" s="113"/>
      <c r="AA558" s="113"/>
      <c r="AB558" s="113"/>
      <c r="AC558" s="113"/>
      <c r="AD558" s="113"/>
      <c r="AE558" s="113"/>
      <c r="AF558" s="113"/>
      <c r="AG558" s="113"/>
      <c r="AH558" s="113"/>
      <c r="AI558" s="113"/>
      <c r="AJ558" s="113"/>
      <c r="AK558" s="113"/>
      <c r="AL558" s="113"/>
      <c r="AM558" s="113"/>
      <c r="AN558" s="113"/>
      <c r="AO558" s="113"/>
      <c r="AP558" s="113"/>
      <c r="AQ558" s="113"/>
      <c r="AR558" s="113"/>
      <c r="AS558" s="113"/>
      <c r="AT558" s="113"/>
      <c r="AU558" s="113"/>
      <c r="AV558" s="113"/>
      <c r="AW558" s="113"/>
      <c r="AX558" s="113"/>
      <c r="AY558" s="113"/>
      <c r="AZ558" s="113"/>
      <c r="BA558" s="113"/>
      <c r="BB558" s="113"/>
      <c r="BC558" s="113"/>
      <c r="BD558" s="113"/>
      <c r="BE558" s="113"/>
      <c r="BF558" s="113"/>
      <c r="BG558" s="113"/>
      <c r="BH558" s="113"/>
      <c r="BI558" s="113"/>
      <c r="BJ558" s="113"/>
      <c r="BK558" s="113"/>
      <c r="BL558" s="113"/>
      <c r="BM558" s="113"/>
      <c r="BN558" s="113"/>
      <c r="BO558" s="113"/>
      <c r="BP558" s="113"/>
      <c r="BQ558" s="113"/>
      <c r="BR558" s="113"/>
      <c r="BS558" s="113"/>
      <c r="BT558" s="113"/>
      <c r="BU558" s="113"/>
      <c r="BV558" s="113"/>
      <c r="BW558" s="113"/>
      <c r="BX558" s="113"/>
      <c r="BY558" s="113"/>
      <c r="BZ558" s="113"/>
      <c r="CA558" s="113"/>
      <c r="CB558" s="113"/>
      <c r="CC558" s="113"/>
      <c r="CD558" s="113"/>
      <c r="CE558" s="113"/>
      <c r="CF558" s="113"/>
      <c r="CG558" s="113"/>
      <c r="CH558" s="113"/>
      <c r="CI558" s="113"/>
      <c r="CJ558" s="113"/>
      <c r="CK558" s="113"/>
      <c r="CL558" s="113"/>
      <c r="CM558" s="113"/>
      <c r="CN558" s="113"/>
      <c r="CO558" s="113"/>
      <c r="CP558" s="113"/>
      <c r="CQ558" s="113"/>
      <c r="CR558" s="113"/>
      <c r="CS558" s="113"/>
      <c r="CT558" s="113"/>
      <c r="CU558" s="113"/>
    </row>
    <row r="559">
      <c r="A559" s="159"/>
      <c r="B559" s="113"/>
      <c r="C559" s="113"/>
      <c r="D559" s="158"/>
      <c r="E559" s="161"/>
      <c r="F559" s="160"/>
      <c r="G559" s="162"/>
      <c r="H559" s="159"/>
      <c r="I559" s="113"/>
      <c r="J559" s="113"/>
      <c r="K559" s="113"/>
      <c r="L559" s="158"/>
      <c r="M559" s="113"/>
      <c r="N559" s="113"/>
      <c r="O559" s="113"/>
      <c r="P559" s="113"/>
      <c r="Q559" s="113"/>
      <c r="R559" s="113"/>
      <c r="S559" s="113"/>
      <c r="T559" s="113"/>
      <c r="U559" s="113"/>
      <c r="V559" s="113"/>
      <c r="W559" s="113"/>
      <c r="X559" s="113"/>
      <c r="Y559" s="113"/>
      <c r="Z559" s="113"/>
      <c r="AA559" s="113"/>
      <c r="AB559" s="113"/>
      <c r="AC559" s="113"/>
      <c r="AD559" s="113"/>
      <c r="AE559" s="113"/>
      <c r="AF559" s="113"/>
      <c r="AG559" s="113"/>
      <c r="AH559" s="113"/>
      <c r="AI559" s="113"/>
      <c r="AJ559" s="113"/>
      <c r="AK559" s="113"/>
      <c r="AL559" s="113"/>
      <c r="AM559" s="113"/>
      <c r="AN559" s="113"/>
      <c r="AO559" s="113"/>
      <c r="AP559" s="113"/>
      <c r="AQ559" s="113"/>
      <c r="AR559" s="113"/>
      <c r="AS559" s="113"/>
      <c r="AT559" s="113"/>
      <c r="AU559" s="113"/>
      <c r="AV559" s="113"/>
      <c r="AW559" s="113"/>
      <c r="AX559" s="113"/>
      <c r="AY559" s="113"/>
      <c r="AZ559" s="113"/>
      <c r="BA559" s="113"/>
      <c r="BB559" s="113"/>
      <c r="BC559" s="113"/>
      <c r="BD559" s="113"/>
      <c r="BE559" s="113"/>
      <c r="BF559" s="113"/>
      <c r="BG559" s="113"/>
      <c r="BH559" s="113"/>
      <c r="BI559" s="113"/>
      <c r="BJ559" s="113"/>
      <c r="BK559" s="113"/>
      <c r="BL559" s="113"/>
      <c r="BM559" s="113"/>
      <c r="BN559" s="113"/>
      <c r="BO559" s="113"/>
      <c r="BP559" s="113"/>
      <c r="BQ559" s="113"/>
      <c r="BR559" s="113"/>
      <c r="BS559" s="113"/>
      <c r="BT559" s="113"/>
      <c r="BU559" s="113"/>
      <c r="BV559" s="113"/>
      <c r="BW559" s="113"/>
      <c r="BX559" s="113"/>
      <c r="BY559" s="113"/>
      <c r="BZ559" s="113"/>
      <c r="CA559" s="113"/>
      <c r="CB559" s="113"/>
      <c r="CC559" s="113"/>
      <c r="CD559" s="113"/>
      <c r="CE559" s="113"/>
      <c r="CF559" s="113"/>
      <c r="CG559" s="113"/>
      <c r="CH559" s="113"/>
      <c r="CI559" s="113"/>
      <c r="CJ559" s="113"/>
      <c r="CK559" s="113"/>
      <c r="CL559" s="113"/>
      <c r="CM559" s="113"/>
      <c r="CN559" s="113"/>
      <c r="CO559" s="113"/>
      <c r="CP559" s="113"/>
      <c r="CQ559" s="113"/>
      <c r="CR559" s="113"/>
      <c r="CS559" s="113"/>
      <c r="CT559" s="113"/>
      <c r="CU559" s="113"/>
    </row>
    <row r="560">
      <c r="A560" s="159"/>
      <c r="B560" s="113"/>
      <c r="C560" s="113"/>
      <c r="D560" s="158"/>
      <c r="E560" s="161"/>
      <c r="F560" s="160"/>
      <c r="G560" s="162"/>
      <c r="H560" s="159"/>
      <c r="I560" s="113"/>
      <c r="J560" s="113"/>
      <c r="K560" s="113"/>
      <c r="L560" s="158"/>
      <c r="M560" s="113"/>
      <c r="N560" s="113"/>
      <c r="O560" s="113"/>
      <c r="P560" s="113"/>
      <c r="Q560" s="113"/>
      <c r="R560" s="113"/>
      <c r="S560" s="113"/>
      <c r="T560" s="113"/>
      <c r="U560" s="113"/>
      <c r="V560" s="113"/>
      <c r="W560" s="113"/>
      <c r="X560" s="113"/>
      <c r="Y560" s="113"/>
      <c r="Z560" s="113"/>
      <c r="AA560" s="113"/>
      <c r="AB560" s="113"/>
      <c r="AC560" s="113"/>
      <c r="AD560" s="113"/>
      <c r="AE560" s="113"/>
      <c r="AF560" s="113"/>
      <c r="AG560" s="113"/>
      <c r="AH560" s="113"/>
      <c r="AI560" s="113"/>
      <c r="AJ560" s="113"/>
      <c r="AK560" s="113"/>
      <c r="AL560" s="113"/>
      <c r="AM560" s="113"/>
      <c r="AN560" s="113"/>
      <c r="AO560" s="113"/>
      <c r="AP560" s="113"/>
      <c r="AQ560" s="113"/>
      <c r="AR560" s="113"/>
      <c r="AS560" s="113"/>
      <c r="AT560" s="113"/>
      <c r="AU560" s="113"/>
      <c r="AV560" s="113"/>
      <c r="AW560" s="113"/>
      <c r="AX560" s="113"/>
      <c r="AY560" s="113"/>
      <c r="AZ560" s="113"/>
      <c r="BA560" s="113"/>
      <c r="BB560" s="113"/>
      <c r="BC560" s="113"/>
      <c r="BD560" s="113"/>
      <c r="BE560" s="113"/>
      <c r="BF560" s="113"/>
      <c r="BG560" s="113"/>
      <c r="BH560" s="113"/>
      <c r="BI560" s="113"/>
      <c r="BJ560" s="113"/>
      <c r="BK560" s="113"/>
      <c r="BL560" s="113"/>
      <c r="BM560" s="113"/>
      <c r="BN560" s="113"/>
      <c r="BO560" s="113"/>
      <c r="BP560" s="113"/>
      <c r="BQ560" s="113"/>
      <c r="BR560" s="113"/>
      <c r="BS560" s="113"/>
      <c r="BT560" s="113"/>
      <c r="BU560" s="113"/>
      <c r="BV560" s="113"/>
      <c r="BW560" s="113"/>
      <c r="BX560" s="113"/>
      <c r="BY560" s="113"/>
      <c r="BZ560" s="113"/>
      <c r="CA560" s="113"/>
      <c r="CB560" s="113"/>
      <c r="CC560" s="113"/>
      <c r="CD560" s="113"/>
      <c r="CE560" s="113"/>
      <c r="CF560" s="113"/>
      <c r="CG560" s="113"/>
      <c r="CH560" s="113"/>
      <c r="CI560" s="113"/>
      <c r="CJ560" s="113"/>
      <c r="CK560" s="113"/>
      <c r="CL560" s="113"/>
      <c r="CM560" s="113"/>
      <c r="CN560" s="113"/>
      <c r="CO560" s="113"/>
      <c r="CP560" s="113"/>
      <c r="CQ560" s="113"/>
      <c r="CR560" s="113"/>
      <c r="CS560" s="113"/>
      <c r="CT560" s="113"/>
      <c r="CU560" s="113"/>
    </row>
    <row r="561">
      <c r="A561" s="159"/>
      <c r="B561" s="113"/>
      <c r="C561" s="113"/>
      <c r="D561" s="158"/>
      <c r="E561" s="161"/>
      <c r="F561" s="160"/>
      <c r="G561" s="162"/>
      <c r="H561" s="159"/>
      <c r="I561" s="113"/>
      <c r="J561" s="113"/>
      <c r="K561" s="113"/>
      <c r="L561" s="158"/>
      <c r="M561" s="113"/>
      <c r="N561" s="113"/>
      <c r="O561" s="113"/>
      <c r="P561" s="113"/>
      <c r="Q561" s="113"/>
      <c r="R561" s="113"/>
      <c r="S561" s="113"/>
      <c r="T561" s="113"/>
      <c r="U561" s="113"/>
      <c r="V561" s="113"/>
      <c r="W561" s="113"/>
      <c r="X561" s="113"/>
      <c r="Y561" s="113"/>
      <c r="Z561" s="113"/>
      <c r="AA561" s="113"/>
      <c r="AB561" s="113"/>
      <c r="AC561" s="113"/>
      <c r="AD561" s="113"/>
      <c r="AE561" s="113"/>
      <c r="AF561" s="113"/>
      <c r="AG561" s="113"/>
      <c r="AH561" s="113"/>
      <c r="AI561" s="113"/>
      <c r="AJ561" s="113"/>
      <c r="AK561" s="113"/>
      <c r="AL561" s="113"/>
      <c r="AM561" s="113"/>
      <c r="AN561" s="113"/>
      <c r="AO561" s="113"/>
      <c r="AP561" s="113"/>
      <c r="AQ561" s="113"/>
      <c r="AR561" s="113"/>
      <c r="AS561" s="113"/>
      <c r="AT561" s="113"/>
      <c r="AU561" s="113"/>
      <c r="AV561" s="113"/>
      <c r="AW561" s="113"/>
      <c r="AX561" s="113"/>
      <c r="AY561" s="113"/>
      <c r="AZ561" s="113"/>
      <c r="BA561" s="113"/>
      <c r="BB561" s="113"/>
      <c r="BC561" s="113"/>
      <c r="BD561" s="113"/>
      <c r="BE561" s="113"/>
      <c r="BF561" s="113"/>
      <c r="BG561" s="113"/>
      <c r="BH561" s="113"/>
      <c r="BI561" s="113"/>
      <c r="BJ561" s="113"/>
      <c r="BK561" s="113"/>
      <c r="BL561" s="113"/>
      <c r="BM561" s="113"/>
      <c r="BN561" s="113"/>
      <c r="BO561" s="113"/>
      <c r="BP561" s="113"/>
      <c r="BQ561" s="113"/>
      <c r="BR561" s="113"/>
      <c r="BS561" s="113"/>
      <c r="BT561" s="113"/>
      <c r="BU561" s="113"/>
      <c r="BV561" s="113"/>
      <c r="BW561" s="113"/>
      <c r="BX561" s="113"/>
      <c r="BY561" s="113"/>
      <c r="BZ561" s="113"/>
      <c r="CA561" s="113"/>
      <c r="CB561" s="113"/>
      <c r="CC561" s="113"/>
      <c r="CD561" s="113"/>
      <c r="CE561" s="113"/>
      <c r="CF561" s="113"/>
      <c r="CG561" s="113"/>
      <c r="CH561" s="113"/>
      <c r="CI561" s="113"/>
      <c r="CJ561" s="113"/>
      <c r="CK561" s="113"/>
      <c r="CL561" s="113"/>
      <c r="CM561" s="113"/>
      <c r="CN561" s="113"/>
      <c r="CO561" s="113"/>
      <c r="CP561" s="113"/>
      <c r="CQ561" s="113"/>
      <c r="CR561" s="113"/>
      <c r="CS561" s="113"/>
      <c r="CT561" s="113"/>
      <c r="CU561" s="113"/>
    </row>
    <row r="562">
      <c r="A562" s="159"/>
      <c r="B562" s="113"/>
      <c r="C562" s="113"/>
      <c r="D562" s="158"/>
      <c r="E562" s="161"/>
      <c r="F562" s="160"/>
      <c r="G562" s="162"/>
      <c r="H562" s="159"/>
      <c r="I562" s="113"/>
      <c r="J562" s="113"/>
      <c r="K562" s="113"/>
      <c r="L562" s="158"/>
      <c r="M562" s="113"/>
      <c r="N562" s="113"/>
      <c r="O562" s="113"/>
      <c r="P562" s="113"/>
      <c r="Q562" s="113"/>
      <c r="R562" s="113"/>
      <c r="S562" s="113"/>
      <c r="T562" s="113"/>
      <c r="U562" s="113"/>
      <c r="V562" s="113"/>
      <c r="W562" s="113"/>
      <c r="X562" s="113"/>
      <c r="Y562" s="113"/>
      <c r="Z562" s="113"/>
      <c r="AA562" s="113"/>
      <c r="AB562" s="113"/>
      <c r="AC562" s="113"/>
      <c r="AD562" s="113"/>
      <c r="AE562" s="113"/>
      <c r="AF562" s="113"/>
      <c r="AG562" s="113"/>
      <c r="AH562" s="113"/>
      <c r="AI562" s="113"/>
      <c r="AJ562" s="113"/>
      <c r="AK562" s="113"/>
      <c r="AL562" s="113"/>
      <c r="AM562" s="113"/>
      <c r="AN562" s="113"/>
      <c r="AO562" s="113"/>
      <c r="AP562" s="113"/>
      <c r="AQ562" s="113"/>
      <c r="AR562" s="113"/>
      <c r="AS562" s="113"/>
      <c r="AT562" s="113"/>
      <c r="AU562" s="113"/>
      <c r="AV562" s="113"/>
      <c r="AW562" s="113"/>
      <c r="AX562" s="113"/>
      <c r="AY562" s="113"/>
      <c r="AZ562" s="113"/>
      <c r="BA562" s="113"/>
      <c r="BB562" s="113"/>
      <c r="BC562" s="113"/>
      <c r="BD562" s="113"/>
      <c r="BE562" s="113"/>
      <c r="BF562" s="113"/>
      <c r="BG562" s="113"/>
      <c r="BH562" s="113"/>
      <c r="BI562" s="113"/>
      <c r="BJ562" s="113"/>
      <c r="BK562" s="113"/>
      <c r="BL562" s="113"/>
      <c r="BM562" s="113"/>
      <c r="BN562" s="113"/>
      <c r="BO562" s="113"/>
      <c r="BP562" s="113"/>
      <c r="BQ562" s="113"/>
      <c r="BR562" s="113"/>
      <c r="BS562" s="113"/>
      <c r="BT562" s="113"/>
      <c r="BU562" s="113"/>
      <c r="BV562" s="113"/>
      <c r="BW562" s="113"/>
      <c r="BX562" s="113"/>
      <c r="BY562" s="113"/>
      <c r="BZ562" s="113"/>
      <c r="CA562" s="113"/>
      <c r="CB562" s="113"/>
      <c r="CC562" s="113"/>
      <c r="CD562" s="113"/>
      <c r="CE562" s="113"/>
      <c r="CF562" s="113"/>
      <c r="CG562" s="113"/>
      <c r="CH562" s="113"/>
      <c r="CI562" s="113"/>
      <c r="CJ562" s="113"/>
      <c r="CK562" s="113"/>
      <c r="CL562" s="113"/>
      <c r="CM562" s="113"/>
      <c r="CN562" s="113"/>
      <c r="CO562" s="113"/>
      <c r="CP562" s="113"/>
      <c r="CQ562" s="113"/>
      <c r="CR562" s="113"/>
      <c r="CS562" s="113"/>
      <c r="CT562" s="113"/>
      <c r="CU562" s="113"/>
    </row>
    <row r="563">
      <c r="A563" s="159"/>
      <c r="B563" s="113"/>
      <c r="C563" s="113"/>
      <c r="D563" s="158"/>
      <c r="E563" s="161"/>
      <c r="F563" s="160"/>
      <c r="G563" s="162"/>
      <c r="H563" s="159"/>
      <c r="I563" s="113"/>
      <c r="J563" s="113"/>
      <c r="K563" s="113"/>
      <c r="L563" s="158"/>
      <c r="M563" s="113"/>
      <c r="N563" s="113"/>
      <c r="O563" s="113"/>
      <c r="P563" s="113"/>
      <c r="Q563" s="113"/>
      <c r="R563" s="113"/>
      <c r="S563" s="113"/>
      <c r="T563" s="113"/>
      <c r="U563" s="113"/>
      <c r="V563" s="113"/>
      <c r="W563" s="113"/>
      <c r="X563" s="113"/>
      <c r="Y563" s="113"/>
      <c r="Z563" s="113"/>
      <c r="AA563" s="113"/>
      <c r="AB563" s="113"/>
      <c r="AC563" s="113"/>
      <c r="AD563" s="113"/>
      <c r="AE563" s="113"/>
      <c r="AF563" s="113"/>
      <c r="AG563" s="113"/>
      <c r="AH563" s="113"/>
      <c r="AI563" s="113"/>
      <c r="AJ563" s="113"/>
      <c r="AK563" s="113"/>
      <c r="AL563" s="113"/>
      <c r="AM563" s="113"/>
      <c r="AN563" s="113"/>
      <c r="AO563" s="113"/>
      <c r="AP563" s="113"/>
      <c r="AQ563" s="113"/>
      <c r="AR563" s="113"/>
      <c r="AS563" s="113"/>
      <c r="AT563" s="113"/>
      <c r="AU563" s="113"/>
      <c r="AV563" s="113"/>
      <c r="AW563" s="113"/>
      <c r="AX563" s="113"/>
      <c r="AY563" s="113"/>
      <c r="AZ563" s="113"/>
      <c r="BA563" s="113"/>
      <c r="BB563" s="113"/>
      <c r="BC563" s="113"/>
      <c r="BD563" s="113"/>
      <c r="BE563" s="113"/>
      <c r="BF563" s="113"/>
      <c r="BG563" s="113"/>
      <c r="BH563" s="113"/>
      <c r="BI563" s="113"/>
      <c r="BJ563" s="113"/>
      <c r="BK563" s="113"/>
      <c r="BL563" s="113"/>
      <c r="BM563" s="113"/>
      <c r="BN563" s="113"/>
      <c r="BO563" s="113"/>
      <c r="BP563" s="113"/>
      <c r="BQ563" s="113"/>
      <c r="BR563" s="113"/>
      <c r="BS563" s="113"/>
      <c r="BT563" s="113"/>
      <c r="BU563" s="113"/>
      <c r="BV563" s="113"/>
      <c r="BW563" s="113"/>
      <c r="BX563" s="113"/>
      <c r="BY563" s="113"/>
      <c r="BZ563" s="113"/>
      <c r="CA563" s="113"/>
      <c r="CB563" s="113"/>
      <c r="CC563" s="113"/>
      <c r="CD563" s="113"/>
      <c r="CE563" s="113"/>
      <c r="CF563" s="113"/>
      <c r="CG563" s="113"/>
      <c r="CH563" s="113"/>
      <c r="CI563" s="113"/>
      <c r="CJ563" s="113"/>
      <c r="CK563" s="113"/>
      <c r="CL563" s="113"/>
      <c r="CM563" s="113"/>
      <c r="CN563" s="113"/>
      <c r="CO563" s="113"/>
      <c r="CP563" s="113"/>
      <c r="CQ563" s="113"/>
      <c r="CR563" s="113"/>
      <c r="CS563" s="113"/>
      <c r="CT563" s="113"/>
      <c r="CU563" s="113"/>
    </row>
    <row r="564">
      <c r="A564" s="159"/>
      <c r="B564" s="113"/>
      <c r="C564" s="113"/>
      <c r="D564" s="158"/>
      <c r="E564" s="161"/>
      <c r="F564" s="160"/>
      <c r="G564" s="162"/>
      <c r="H564" s="159"/>
      <c r="I564" s="113"/>
      <c r="J564" s="113"/>
      <c r="K564" s="113"/>
      <c r="L564" s="158"/>
      <c r="M564" s="113"/>
      <c r="N564" s="113"/>
      <c r="O564" s="113"/>
      <c r="P564" s="113"/>
      <c r="Q564" s="113"/>
      <c r="R564" s="113"/>
      <c r="S564" s="113"/>
      <c r="T564" s="113"/>
      <c r="U564" s="113"/>
      <c r="V564" s="113"/>
      <c r="W564" s="113"/>
      <c r="X564" s="113"/>
      <c r="Y564" s="113"/>
      <c r="Z564" s="113"/>
      <c r="AA564" s="113"/>
      <c r="AB564" s="113"/>
      <c r="AC564" s="113"/>
      <c r="AD564" s="113"/>
      <c r="AE564" s="113"/>
      <c r="AF564" s="113"/>
      <c r="AG564" s="113"/>
      <c r="AH564" s="113"/>
      <c r="AI564" s="113"/>
      <c r="AJ564" s="113"/>
      <c r="AK564" s="113"/>
      <c r="AL564" s="113"/>
      <c r="AM564" s="113"/>
      <c r="AN564" s="113"/>
      <c r="AO564" s="113"/>
      <c r="AP564" s="113"/>
      <c r="AQ564" s="113"/>
      <c r="AR564" s="113"/>
      <c r="AS564" s="113"/>
      <c r="AT564" s="113"/>
      <c r="AU564" s="113"/>
      <c r="AV564" s="113"/>
      <c r="AW564" s="113"/>
      <c r="AX564" s="113"/>
      <c r="AY564" s="113"/>
      <c r="AZ564" s="113"/>
      <c r="BA564" s="113"/>
      <c r="BB564" s="113"/>
      <c r="BC564" s="113"/>
      <c r="BD564" s="113"/>
      <c r="BE564" s="113"/>
      <c r="BF564" s="113"/>
      <c r="BG564" s="113"/>
      <c r="BH564" s="113"/>
      <c r="BI564" s="113"/>
      <c r="BJ564" s="113"/>
      <c r="BK564" s="113"/>
      <c r="BL564" s="113"/>
      <c r="BM564" s="113"/>
      <c r="BN564" s="113"/>
      <c r="BO564" s="113"/>
      <c r="BP564" s="113"/>
      <c r="BQ564" s="113"/>
      <c r="BR564" s="113"/>
      <c r="BS564" s="113"/>
      <c r="BT564" s="113"/>
      <c r="BU564" s="113"/>
      <c r="BV564" s="113"/>
      <c r="BW564" s="113"/>
      <c r="BX564" s="113"/>
      <c r="BY564" s="113"/>
      <c r="BZ564" s="113"/>
      <c r="CA564" s="113"/>
      <c r="CB564" s="113"/>
      <c r="CC564" s="113"/>
      <c r="CD564" s="113"/>
      <c r="CE564" s="113"/>
      <c r="CF564" s="113"/>
      <c r="CG564" s="113"/>
      <c r="CH564" s="113"/>
      <c r="CI564" s="113"/>
      <c r="CJ564" s="113"/>
      <c r="CK564" s="113"/>
      <c r="CL564" s="113"/>
      <c r="CM564" s="113"/>
      <c r="CN564" s="113"/>
      <c r="CO564" s="113"/>
      <c r="CP564" s="113"/>
      <c r="CQ564" s="113"/>
      <c r="CR564" s="113"/>
      <c r="CS564" s="113"/>
      <c r="CT564" s="113"/>
      <c r="CU564" s="113"/>
    </row>
    <row r="565">
      <c r="A565" s="159"/>
      <c r="B565" s="113"/>
      <c r="C565" s="113"/>
      <c r="D565" s="158"/>
      <c r="E565" s="161"/>
      <c r="F565" s="160"/>
      <c r="G565" s="162"/>
      <c r="H565" s="159"/>
      <c r="I565" s="113"/>
      <c r="J565" s="113"/>
      <c r="K565" s="113"/>
      <c r="L565" s="158"/>
      <c r="M565" s="113"/>
      <c r="N565" s="113"/>
      <c r="O565" s="113"/>
      <c r="P565" s="113"/>
      <c r="Q565" s="113"/>
      <c r="R565" s="113"/>
      <c r="S565" s="113"/>
      <c r="T565" s="113"/>
      <c r="U565" s="113"/>
      <c r="V565" s="113"/>
      <c r="W565" s="113"/>
      <c r="X565" s="113"/>
      <c r="Y565" s="113"/>
      <c r="Z565" s="113"/>
      <c r="AA565" s="113"/>
      <c r="AB565" s="113"/>
      <c r="AC565" s="113"/>
      <c r="AD565" s="113"/>
      <c r="AE565" s="113"/>
      <c r="AF565" s="113"/>
      <c r="AG565" s="113"/>
      <c r="AH565" s="113"/>
      <c r="AI565" s="113"/>
      <c r="AJ565" s="113"/>
      <c r="AK565" s="113"/>
      <c r="AL565" s="113"/>
      <c r="AM565" s="113"/>
      <c r="AN565" s="113"/>
      <c r="AO565" s="113"/>
      <c r="AP565" s="113"/>
      <c r="AQ565" s="113"/>
      <c r="AR565" s="113"/>
      <c r="AS565" s="113"/>
      <c r="AT565" s="113"/>
      <c r="AU565" s="113"/>
      <c r="AV565" s="113"/>
      <c r="AW565" s="113"/>
      <c r="AX565" s="113"/>
      <c r="AY565" s="113"/>
      <c r="AZ565" s="113"/>
      <c r="BA565" s="113"/>
      <c r="BB565" s="113"/>
      <c r="BC565" s="113"/>
      <c r="BD565" s="113"/>
      <c r="BE565" s="113"/>
      <c r="BF565" s="113"/>
      <c r="BG565" s="113"/>
      <c r="BH565" s="113"/>
      <c r="BI565" s="113"/>
      <c r="BJ565" s="113"/>
      <c r="BK565" s="113"/>
      <c r="BL565" s="113"/>
      <c r="BM565" s="113"/>
      <c r="BN565" s="113"/>
      <c r="BO565" s="113"/>
      <c r="BP565" s="113"/>
      <c r="BQ565" s="113"/>
      <c r="BR565" s="113"/>
      <c r="BS565" s="113"/>
      <c r="BT565" s="113"/>
      <c r="BU565" s="113"/>
      <c r="BV565" s="113"/>
      <c r="BW565" s="113"/>
      <c r="BX565" s="113"/>
      <c r="BY565" s="113"/>
      <c r="BZ565" s="113"/>
      <c r="CA565" s="113"/>
      <c r="CB565" s="113"/>
      <c r="CC565" s="113"/>
      <c r="CD565" s="113"/>
      <c r="CE565" s="113"/>
      <c r="CF565" s="113"/>
      <c r="CG565" s="113"/>
      <c r="CH565" s="113"/>
      <c r="CI565" s="113"/>
      <c r="CJ565" s="113"/>
      <c r="CK565" s="113"/>
      <c r="CL565" s="113"/>
      <c r="CM565" s="113"/>
      <c r="CN565" s="113"/>
      <c r="CO565" s="113"/>
      <c r="CP565" s="113"/>
      <c r="CQ565" s="113"/>
      <c r="CR565" s="113"/>
      <c r="CS565" s="113"/>
      <c r="CT565" s="113"/>
      <c r="CU565" s="113"/>
    </row>
    <row r="566">
      <c r="A566" s="159"/>
      <c r="B566" s="113"/>
      <c r="C566" s="113"/>
      <c r="D566" s="158"/>
      <c r="E566" s="161"/>
      <c r="F566" s="160"/>
      <c r="G566" s="162"/>
      <c r="H566" s="159"/>
      <c r="I566" s="113"/>
      <c r="J566" s="113"/>
      <c r="K566" s="113"/>
      <c r="L566" s="158"/>
      <c r="M566" s="113"/>
      <c r="N566" s="113"/>
      <c r="O566" s="113"/>
      <c r="P566" s="113"/>
      <c r="Q566" s="113"/>
      <c r="R566" s="113"/>
      <c r="S566" s="113"/>
      <c r="T566" s="113"/>
      <c r="U566" s="113"/>
      <c r="V566" s="113"/>
      <c r="W566" s="113"/>
      <c r="X566" s="113"/>
      <c r="Y566" s="113"/>
      <c r="Z566" s="113"/>
      <c r="AA566" s="113"/>
      <c r="AB566" s="113"/>
      <c r="AC566" s="113"/>
      <c r="AD566" s="113"/>
      <c r="AE566" s="113"/>
      <c r="AF566" s="113"/>
      <c r="AG566" s="113"/>
      <c r="AH566" s="113"/>
      <c r="AI566" s="113"/>
      <c r="AJ566" s="113"/>
      <c r="AK566" s="113"/>
      <c r="AL566" s="113"/>
      <c r="AM566" s="113"/>
      <c r="AN566" s="113"/>
      <c r="AO566" s="113"/>
      <c r="AP566" s="113"/>
      <c r="AQ566" s="113"/>
      <c r="AR566" s="113"/>
      <c r="AS566" s="113"/>
      <c r="AT566" s="113"/>
      <c r="AU566" s="113"/>
      <c r="AV566" s="113"/>
      <c r="AW566" s="113"/>
      <c r="AX566" s="113"/>
      <c r="AY566" s="113"/>
      <c r="AZ566" s="113"/>
      <c r="BA566" s="113"/>
      <c r="BB566" s="113"/>
      <c r="BC566" s="113"/>
      <c r="BD566" s="113"/>
      <c r="BE566" s="113"/>
      <c r="BF566" s="113"/>
      <c r="BG566" s="113"/>
      <c r="BH566" s="113"/>
      <c r="BI566" s="113"/>
      <c r="BJ566" s="113"/>
      <c r="BK566" s="113"/>
      <c r="BL566" s="113"/>
      <c r="BM566" s="113"/>
      <c r="BN566" s="113"/>
      <c r="BO566" s="113"/>
      <c r="BP566" s="113"/>
      <c r="BQ566" s="113"/>
      <c r="BR566" s="113"/>
      <c r="BS566" s="113"/>
      <c r="BT566" s="113"/>
      <c r="BU566" s="113"/>
      <c r="BV566" s="113"/>
      <c r="BW566" s="113"/>
      <c r="BX566" s="113"/>
      <c r="BY566" s="113"/>
      <c r="BZ566" s="113"/>
      <c r="CA566" s="113"/>
      <c r="CB566" s="113"/>
      <c r="CC566" s="113"/>
      <c r="CD566" s="113"/>
      <c r="CE566" s="113"/>
      <c r="CF566" s="113"/>
      <c r="CG566" s="113"/>
      <c r="CH566" s="113"/>
      <c r="CI566" s="113"/>
      <c r="CJ566" s="113"/>
      <c r="CK566" s="113"/>
      <c r="CL566" s="113"/>
      <c r="CM566" s="113"/>
      <c r="CN566" s="113"/>
      <c r="CO566" s="113"/>
      <c r="CP566" s="113"/>
      <c r="CQ566" s="113"/>
      <c r="CR566" s="113"/>
      <c r="CS566" s="113"/>
      <c r="CT566" s="113"/>
      <c r="CU566" s="113"/>
    </row>
    <row r="567">
      <c r="A567" s="159"/>
      <c r="B567" s="113"/>
      <c r="C567" s="113"/>
      <c r="D567" s="158"/>
      <c r="E567" s="161"/>
      <c r="F567" s="160"/>
      <c r="G567" s="162"/>
      <c r="H567" s="159"/>
      <c r="I567" s="113"/>
      <c r="J567" s="113"/>
      <c r="K567" s="113"/>
      <c r="L567" s="158"/>
      <c r="M567" s="113"/>
      <c r="N567" s="113"/>
      <c r="O567" s="113"/>
      <c r="P567" s="113"/>
      <c r="Q567" s="113"/>
      <c r="R567" s="113"/>
      <c r="S567" s="113"/>
      <c r="T567" s="113"/>
      <c r="U567" s="113"/>
      <c r="V567" s="113"/>
      <c r="W567" s="113"/>
      <c r="X567" s="113"/>
      <c r="Y567" s="113"/>
      <c r="Z567" s="113"/>
      <c r="AA567" s="113"/>
      <c r="AB567" s="113"/>
      <c r="AC567" s="113"/>
      <c r="AD567" s="113"/>
      <c r="AE567" s="113"/>
      <c r="AF567" s="113"/>
      <c r="AG567" s="113"/>
      <c r="AH567" s="113"/>
      <c r="AI567" s="113"/>
      <c r="AJ567" s="113"/>
      <c r="AK567" s="113"/>
      <c r="AL567" s="113"/>
      <c r="AM567" s="113"/>
      <c r="AN567" s="113"/>
      <c r="AO567" s="113"/>
      <c r="AP567" s="113"/>
      <c r="AQ567" s="113"/>
      <c r="AR567" s="113"/>
      <c r="AS567" s="113"/>
      <c r="AT567" s="113"/>
      <c r="AU567" s="113"/>
      <c r="AV567" s="113"/>
      <c r="AW567" s="113"/>
      <c r="AX567" s="113"/>
      <c r="AY567" s="113"/>
      <c r="AZ567" s="113"/>
      <c r="BA567" s="113"/>
      <c r="BB567" s="113"/>
      <c r="BC567" s="113"/>
      <c r="BD567" s="113"/>
      <c r="BE567" s="113"/>
      <c r="BF567" s="113"/>
      <c r="BG567" s="113"/>
      <c r="BH567" s="113"/>
      <c r="BI567" s="113"/>
      <c r="BJ567" s="113"/>
      <c r="BK567" s="113"/>
      <c r="BL567" s="113"/>
      <c r="BM567" s="113"/>
      <c r="BN567" s="113"/>
      <c r="BO567" s="113"/>
      <c r="BP567" s="113"/>
      <c r="BQ567" s="113"/>
      <c r="BR567" s="113"/>
      <c r="BS567" s="113"/>
      <c r="BT567" s="113"/>
      <c r="BU567" s="113"/>
      <c r="BV567" s="113"/>
      <c r="BW567" s="113"/>
      <c r="BX567" s="113"/>
      <c r="BY567" s="113"/>
      <c r="BZ567" s="113"/>
      <c r="CA567" s="113"/>
      <c r="CB567" s="113"/>
      <c r="CC567" s="113"/>
      <c r="CD567" s="113"/>
      <c r="CE567" s="113"/>
      <c r="CF567" s="113"/>
      <c r="CG567" s="113"/>
      <c r="CH567" s="113"/>
      <c r="CI567" s="113"/>
      <c r="CJ567" s="113"/>
      <c r="CK567" s="113"/>
      <c r="CL567" s="113"/>
      <c r="CM567" s="113"/>
      <c r="CN567" s="113"/>
      <c r="CO567" s="113"/>
      <c r="CP567" s="113"/>
      <c r="CQ567" s="113"/>
      <c r="CR567" s="113"/>
      <c r="CS567" s="113"/>
      <c r="CT567" s="113"/>
      <c r="CU567" s="113"/>
    </row>
    <row r="568">
      <c r="A568" s="159"/>
      <c r="B568" s="113"/>
      <c r="C568" s="113"/>
      <c r="D568" s="158"/>
      <c r="E568" s="161"/>
      <c r="F568" s="160"/>
      <c r="G568" s="162"/>
      <c r="H568" s="159"/>
      <c r="I568" s="113"/>
      <c r="J568" s="113"/>
      <c r="K568" s="113"/>
      <c r="L568" s="158"/>
      <c r="M568" s="113"/>
      <c r="N568" s="113"/>
      <c r="O568" s="113"/>
      <c r="P568" s="113"/>
      <c r="Q568" s="113"/>
      <c r="R568" s="113"/>
      <c r="S568" s="113"/>
      <c r="T568" s="113"/>
      <c r="U568" s="113"/>
      <c r="V568" s="113"/>
      <c r="W568" s="113"/>
      <c r="X568" s="113"/>
      <c r="Y568" s="113"/>
      <c r="Z568" s="113"/>
      <c r="AA568" s="113"/>
      <c r="AB568" s="113"/>
      <c r="AC568" s="113"/>
      <c r="AD568" s="113"/>
      <c r="AE568" s="113"/>
      <c r="AF568" s="113"/>
      <c r="AG568" s="113"/>
      <c r="AH568" s="113"/>
      <c r="AI568" s="113"/>
      <c r="AJ568" s="113"/>
      <c r="AK568" s="113"/>
      <c r="AL568" s="113"/>
      <c r="AM568" s="113"/>
      <c r="AN568" s="113"/>
      <c r="AO568" s="113"/>
      <c r="AP568" s="113"/>
      <c r="AQ568" s="113"/>
      <c r="AR568" s="113"/>
      <c r="AS568" s="113"/>
      <c r="AT568" s="113"/>
      <c r="AU568" s="113"/>
      <c r="AV568" s="113"/>
      <c r="AW568" s="113"/>
      <c r="AX568" s="113"/>
      <c r="AY568" s="113"/>
      <c r="AZ568" s="113"/>
      <c r="BA568" s="113"/>
      <c r="BB568" s="113"/>
      <c r="BC568" s="113"/>
      <c r="BD568" s="113"/>
      <c r="BE568" s="113"/>
      <c r="BF568" s="113"/>
      <c r="BG568" s="113"/>
      <c r="BH568" s="113"/>
      <c r="BI568" s="113"/>
      <c r="BJ568" s="113"/>
      <c r="BK568" s="113"/>
      <c r="BL568" s="113"/>
      <c r="BM568" s="113"/>
      <c r="BN568" s="113"/>
      <c r="BO568" s="113"/>
      <c r="BP568" s="113"/>
      <c r="BQ568" s="113"/>
      <c r="BR568" s="113"/>
      <c r="BS568" s="113"/>
      <c r="BT568" s="113"/>
      <c r="BU568" s="113"/>
      <c r="BV568" s="113"/>
      <c r="BW568" s="113"/>
      <c r="BX568" s="113"/>
      <c r="BY568" s="113"/>
      <c r="BZ568" s="113"/>
      <c r="CA568" s="113"/>
      <c r="CB568" s="113"/>
      <c r="CC568" s="113"/>
      <c r="CD568" s="113"/>
      <c r="CE568" s="113"/>
      <c r="CF568" s="113"/>
      <c r="CG568" s="113"/>
      <c r="CH568" s="113"/>
      <c r="CI568" s="113"/>
      <c r="CJ568" s="113"/>
      <c r="CK568" s="113"/>
      <c r="CL568" s="113"/>
      <c r="CM568" s="113"/>
      <c r="CN568" s="113"/>
      <c r="CO568" s="113"/>
      <c r="CP568" s="113"/>
      <c r="CQ568" s="113"/>
      <c r="CR568" s="113"/>
      <c r="CS568" s="113"/>
      <c r="CT568" s="113"/>
      <c r="CU568" s="113"/>
    </row>
    <row r="569">
      <c r="A569" s="159"/>
      <c r="B569" s="113"/>
      <c r="C569" s="113"/>
      <c r="D569" s="158"/>
      <c r="E569" s="161"/>
      <c r="F569" s="160"/>
      <c r="G569" s="162"/>
      <c r="H569" s="159"/>
      <c r="I569" s="113"/>
      <c r="J569" s="113"/>
      <c r="K569" s="113"/>
      <c r="L569" s="158"/>
      <c r="M569" s="113"/>
      <c r="N569" s="113"/>
      <c r="O569" s="113"/>
      <c r="P569" s="113"/>
      <c r="Q569" s="113"/>
      <c r="R569" s="113"/>
      <c r="S569" s="113"/>
      <c r="T569" s="113"/>
      <c r="U569" s="113"/>
      <c r="V569" s="113"/>
      <c r="W569" s="113"/>
      <c r="X569" s="113"/>
      <c r="Y569" s="113"/>
      <c r="Z569" s="113"/>
      <c r="AA569" s="113"/>
      <c r="AB569" s="113"/>
      <c r="AC569" s="113"/>
      <c r="AD569" s="113"/>
      <c r="AE569" s="113"/>
      <c r="AF569" s="113"/>
      <c r="AG569" s="113"/>
      <c r="AH569" s="113"/>
      <c r="AI569" s="113"/>
      <c r="AJ569" s="113"/>
      <c r="AK569" s="113"/>
      <c r="AL569" s="113"/>
      <c r="AM569" s="113"/>
      <c r="AN569" s="113"/>
      <c r="AO569" s="113"/>
      <c r="AP569" s="113"/>
      <c r="AQ569" s="113"/>
      <c r="AR569" s="113"/>
      <c r="AS569" s="113"/>
      <c r="AT569" s="113"/>
      <c r="AU569" s="113"/>
      <c r="AV569" s="113"/>
      <c r="AW569" s="113"/>
      <c r="AX569" s="113"/>
      <c r="AY569" s="113"/>
      <c r="AZ569" s="113"/>
      <c r="BA569" s="113"/>
      <c r="BB569" s="113"/>
      <c r="BC569" s="113"/>
      <c r="BD569" s="113"/>
      <c r="BE569" s="113"/>
      <c r="BF569" s="113"/>
      <c r="BG569" s="113"/>
      <c r="BH569" s="113"/>
      <c r="BI569" s="113"/>
      <c r="BJ569" s="113"/>
      <c r="BK569" s="113"/>
      <c r="BL569" s="113"/>
      <c r="BM569" s="113"/>
      <c r="BN569" s="113"/>
      <c r="BO569" s="113"/>
      <c r="BP569" s="113"/>
      <c r="BQ569" s="113"/>
      <c r="BR569" s="113"/>
      <c r="BS569" s="113"/>
      <c r="BT569" s="113"/>
      <c r="BU569" s="113"/>
      <c r="BV569" s="113"/>
      <c r="BW569" s="113"/>
      <c r="BX569" s="113"/>
      <c r="BY569" s="113"/>
      <c r="BZ569" s="113"/>
      <c r="CA569" s="113"/>
      <c r="CB569" s="113"/>
      <c r="CC569" s="113"/>
      <c r="CD569" s="113"/>
      <c r="CE569" s="113"/>
      <c r="CF569" s="113"/>
      <c r="CG569" s="113"/>
      <c r="CH569" s="113"/>
      <c r="CI569" s="113"/>
      <c r="CJ569" s="113"/>
      <c r="CK569" s="113"/>
      <c r="CL569" s="113"/>
      <c r="CM569" s="113"/>
      <c r="CN569" s="113"/>
      <c r="CO569" s="113"/>
      <c r="CP569" s="113"/>
      <c r="CQ569" s="113"/>
      <c r="CR569" s="113"/>
      <c r="CS569" s="113"/>
      <c r="CT569" s="113"/>
      <c r="CU569" s="113"/>
    </row>
    <row r="570">
      <c r="A570" s="159"/>
      <c r="B570" s="113"/>
      <c r="C570" s="113"/>
      <c r="D570" s="158"/>
      <c r="E570" s="161"/>
      <c r="F570" s="160"/>
      <c r="G570" s="162"/>
      <c r="H570" s="159"/>
      <c r="I570" s="113"/>
      <c r="J570" s="113"/>
      <c r="K570" s="113"/>
      <c r="L570" s="158"/>
      <c r="M570" s="113"/>
      <c r="N570" s="113"/>
      <c r="O570" s="113"/>
      <c r="P570" s="113"/>
      <c r="Q570" s="113"/>
      <c r="R570" s="113"/>
      <c r="S570" s="113"/>
      <c r="T570" s="113"/>
      <c r="U570" s="113"/>
      <c r="V570" s="113"/>
      <c r="W570" s="113"/>
      <c r="X570" s="113"/>
      <c r="Y570" s="113"/>
      <c r="Z570" s="113"/>
      <c r="AA570" s="113"/>
      <c r="AB570" s="113"/>
      <c r="AC570" s="113"/>
      <c r="AD570" s="113"/>
      <c r="AE570" s="113"/>
      <c r="AF570" s="113"/>
      <c r="AG570" s="113"/>
      <c r="AH570" s="113"/>
      <c r="AI570" s="113"/>
      <c r="AJ570" s="113"/>
      <c r="AK570" s="113"/>
      <c r="AL570" s="113"/>
      <c r="AM570" s="113"/>
      <c r="AN570" s="113"/>
      <c r="AO570" s="113"/>
      <c r="AP570" s="113"/>
      <c r="AQ570" s="113"/>
      <c r="AR570" s="113"/>
      <c r="AS570" s="113"/>
      <c r="AT570" s="113"/>
      <c r="AU570" s="113"/>
      <c r="AV570" s="113"/>
      <c r="AW570" s="113"/>
      <c r="AX570" s="113"/>
      <c r="AY570" s="113"/>
      <c r="AZ570" s="113"/>
      <c r="BA570" s="113"/>
      <c r="BB570" s="113"/>
      <c r="BC570" s="113"/>
      <c r="BD570" s="113"/>
      <c r="BE570" s="113"/>
      <c r="BF570" s="113"/>
      <c r="BG570" s="113"/>
      <c r="BH570" s="113"/>
      <c r="BI570" s="113"/>
      <c r="BJ570" s="113"/>
      <c r="BK570" s="113"/>
      <c r="BL570" s="113"/>
      <c r="BM570" s="113"/>
      <c r="BN570" s="113"/>
      <c r="BO570" s="113"/>
      <c r="BP570" s="113"/>
      <c r="BQ570" s="113"/>
      <c r="BR570" s="113"/>
      <c r="BS570" s="113"/>
      <c r="BT570" s="113"/>
      <c r="BU570" s="113"/>
      <c r="BV570" s="113"/>
      <c r="BW570" s="113"/>
      <c r="BX570" s="113"/>
      <c r="BY570" s="113"/>
      <c r="BZ570" s="113"/>
      <c r="CA570" s="113"/>
      <c r="CB570" s="113"/>
      <c r="CC570" s="113"/>
      <c r="CD570" s="113"/>
      <c r="CE570" s="113"/>
      <c r="CF570" s="113"/>
      <c r="CG570" s="113"/>
      <c r="CH570" s="113"/>
      <c r="CI570" s="113"/>
      <c r="CJ570" s="113"/>
      <c r="CK570" s="113"/>
      <c r="CL570" s="113"/>
      <c r="CM570" s="113"/>
      <c r="CN570" s="113"/>
      <c r="CO570" s="113"/>
      <c r="CP570" s="113"/>
      <c r="CQ570" s="113"/>
      <c r="CR570" s="113"/>
      <c r="CS570" s="113"/>
      <c r="CT570" s="113"/>
      <c r="CU570" s="113"/>
    </row>
    <row r="571">
      <c r="A571" s="159"/>
      <c r="B571" s="113"/>
      <c r="C571" s="113"/>
      <c r="D571" s="158"/>
      <c r="E571" s="161"/>
      <c r="F571" s="160"/>
      <c r="G571" s="162"/>
      <c r="H571" s="159"/>
      <c r="I571" s="113"/>
      <c r="J571" s="113"/>
      <c r="K571" s="113"/>
      <c r="L571" s="158"/>
      <c r="M571" s="113"/>
      <c r="N571" s="113"/>
      <c r="O571" s="113"/>
      <c r="P571" s="113"/>
      <c r="Q571" s="113"/>
      <c r="R571" s="113"/>
      <c r="S571" s="113"/>
      <c r="T571" s="113"/>
      <c r="U571" s="113"/>
      <c r="V571" s="113"/>
      <c r="W571" s="113"/>
      <c r="X571" s="113"/>
      <c r="Y571" s="113"/>
      <c r="Z571" s="113"/>
      <c r="AA571" s="113"/>
      <c r="AB571" s="113"/>
      <c r="AC571" s="113"/>
      <c r="AD571" s="113"/>
      <c r="AE571" s="113"/>
      <c r="AF571" s="113"/>
      <c r="AG571" s="113"/>
      <c r="AH571" s="113"/>
      <c r="AI571" s="113"/>
      <c r="AJ571" s="113"/>
      <c r="AK571" s="113"/>
      <c r="AL571" s="113"/>
      <c r="AM571" s="113"/>
      <c r="AN571" s="113"/>
      <c r="AO571" s="113"/>
      <c r="AP571" s="113"/>
      <c r="AQ571" s="113"/>
      <c r="AR571" s="113"/>
      <c r="AS571" s="113"/>
      <c r="AT571" s="113"/>
      <c r="AU571" s="113"/>
      <c r="AV571" s="113"/>
      <c r="AW571" s="113"/>
      <c r="AX571" s="113"/>
      <c r="AY571" s="113"/>
      <c r="AZ571" s="113"/>
      <c r="BA571" s="113"/>
      <c r="BB571" s="113"/>
      <c r="BC571" s="113"/>
      <c r="BD571" s="113"/>
      <c r="BE571" s="113"/>
      <c r="BF571" s="113"/>
      <c r="BG571" s="113"/>
      <c r="BH571" s="113"/>
      <c r="BI571" s="113"/>
      <c r="BJ571" s="113"/>
      <c r="BK571" s="113"/>
      <c r="BL571" s="113"/>
      <c r="BM571" s="113"/>
      <c r="BN571" s="113"/>
      <c r="BO571" s="113"/>
      <c r="BP571" s="113"/>
      <c r="BQ571" s="113"/>
      <c r="BR571" s="113"/>
      <c r="BS571" s="113"/>
      <c r="BT571" s="113"/>
      <c r="BU571" s="113"/>
      <c r="BV571" s="113"/>
      <c r="BW571" s="113"/>
      <c r="BX571" s="113"/>
      <c r="BY571" s="113"/>
      <c r="BZ571" s="113"/>
      <c r="CA571" s="113"/>
      <c r="CB571" s="113"/>
      <c r="CC571" s="113"/>
      <c r="CD571" s="113"/>
      <c r="CE571" s="113"/>
      <c r="CF571" s="113"/>
      <c r="CG571" s="113"/>
      <c r="CH571" s="113"/>
      <c r="CI571" s="113"/>
      <c r="CJ571" s="113"/>
      <c r="CK571" s="113"/>
      <c r="CL571" s="113"/>
      <c r="CM571" s="113"/>
      <c r="CN571" s="113"/>
      <c r="CO571" s="113"/>
      <c r="CP571" s="113"/>
      <c r="CQ571" s="113"/>
      <c r="CR571" s="113"/>
      <c r="CS571" s="113"/>
      <c r="CT571" s="113"/>
      <c r="CU571" s="113"/>
    </row>
    <row r="572">
      <c r="A572" s="159"/>
      <c r="B572" s="113"/>
      <c r="C572" s="113"/>
      <c r="D572" s="158"/>
      <c r="E572" s="161"/>
      <c r="F572" s="160"/>
      <c r="G572" s="162"/>
      <c r="H572" s="159"/>
      <c r="I572" s="113"/>
      <c r="J572" s="113"/>
      <c r="K572" s="113"/>
      <c r="L572" s="158"/>
      <c r="M572" s="113"/>
      <c r="N572" s="113"/>
      <c r="O572" s="113"/>
      <c r="P572" s="113"/>
      <c r="Q572" s="113"/>
      <c r="R572" s="113"/>
      <c r="S572" s="113"/>
      <c r="T572" s="113"/>
      <c r="U572" s="113"/>
      <c r="V572" s="113"/>
      <c r="W572" s="113"/>
      <c r="X572" s="113"/>
      <c r="Y572" s="113"/>
      <c r="Z572" s="113"/>
      <c r="AA572" s="113"/>
      <c r="AB572" s="113"/>
      <c r="AC572" s="113"/>
      <c r="AD572" s="113"/>
      <c r="AE572" s="113"/>
      <c r="AF572" s="113"/>
      <c r="AG572" s="113"/>
      <c r="AH572" s="113"/>
      <c r="AI572" s="113"/>
      <c r="AJ572" s="113"/>
      <c r="AK572" s="113"/>
      <c r="AL572" s="113"/>
      <c r="AM572" s="113"/>
      <c r="AN572" s="113"/>
      <c r="AO572" s="113"/>
      <c r="AP572" s="113"/>
      <c r="AQ572" s="113"/>
      <c r="AR572" s="113"/>
      <c r="AS572" s="113"/>
      <c r="AT572" s="113"/>
      <c r="AU572" s="113"/>
      <c r="AV572" s="113"/>
      <c r="AW572" s="113"/>
      <c r="AX572" s="113"/>
      <c r="AY572" s="113"/>
      <c r="AZ572" s="113"/>
      <c r="BA572" s="113"/>
      <c r="BB572" s="113"/>
      <c r="BC572" s="113"/>
      <c r="BD572" s="113"/>
      <c r="BE572" s="113"/>
      <c r="BF572" s="113"/>
      <c r="BG572" s="113"/>
      <c r="BH572" s="113"/>
      <c r="BI572" s="113"/>
      <c r="BJ572" s="113"/>
      <c r="BK572" s="113"/>
      <c r="BL572" s="113"/>
      <c r="BM572" s="113"/>
      <c r="BN572" s="113"/>
      <c r="BO572" s="113"/>
      <c r="BP572" s="113"/>
      <c r="BQ572" s="113"/>
      <c r="BR572" s="113"/>
      <c r="BS572" s="113"/>
      <c r="BT572" s="113"/>
      <c r="BU572" s="113"/>
      <c r="BV572" s="113"/>
      <c r="BW572" s="113"/>
      <c r="BX572" s="113"/>
      <c r="BY572" s="113"/>
      <c r="BZ572" s="113"/>
      <c r="CA572" s="113"/>
      <c r="CB572" s="113"/>
      <c r="CC572" s="113"/>
      <c r="CD572" s="113"/>
      <c r="CE572" s="113"/>
      <c r="CF572" s="113"/>
      <c r="CG572" s="113"/>
      <c r="CH572" s="113"/>
      <c r="CI572" s="113"/>
      <c r="CJ572" s="113"/>
      <c r="CK572" s="113"/>
      <c r="CL572" s="113"/>
      <c r="CM572" s="113"/>
      <c r="CN572" s="113"/>
      <c r="CO572" s="113"/>
      <c r="CP572" s="113"/>
      <c r="CQ572" s="113"/>
      <c r="CR572" s="113"/>
      <c r="CS572" s="113"/>
      <c r="CT572" s="113"/>
      <c r="CU572" s="113"/>
    </row>
    <row r="573">
      <c r="A573" s="159"/>
      <c r="B573" s="113"/>
      <c r="C573" s="113"/>
      <c r="D573" s="158"/>
      <c r="E573" s="161"/>
      <c r="F573" s="160"/>
      <c r="G573" s="162"/>
      <c r="H573" s="159"/>
      <c r="I573" s="113"/>
      <c r="J573" s="113"/>
      <c r="K573" s="113"/>
      <c r="L573" s="158"/>
      <c r="M573" s="113"/>
      <c r="N573" s="113"/>
      <c r="O573" s="113"/>
      <c r="P573" s="113"/>
      <c r="Q573" s="113"/>
      <c r="R573" s="113"/>
      <c r="S573" s="113"/>
      <c r="T573" s="113"/>
      <c r="U573" s="113"/>
      <c r="V573" s="113"/>
      <c r="W573" s="113"/>
      <c r="X573" s="113"/>
      <c r="Y573" s="113"/>
      <c r="Z573" s="113"/>
      <c r="AA573" s="113"/>
      <c r="AB573" s="113"/>
      <c r="AC573" s="113"/>
      <c r="AD573" s="113"/>
      <c r="AE573" s="113"/>
      <c r="AF573" s="113"/>
      <c r="AG573" s="113"/>
      <c r="AH573" s="113"/>
      <c r="AI573" s="113"/>
      <c r="AJ573" s="113"/>
      <c r="AK573" s="113"/>
      <c r="AL573" s="113"/>
      <c r="AM573" s="113"/>
      <c r="AN573" s="113"/>
      <c r="AO573" s="113"/>
      <c r="AP573" s="113"/>
      <c r="AQ573" s="113"/>
      <c r="AR573" s="113"/>
      <c r="AS573" s="113"/>
      <c r="AT573" s="113"/>
      <c r="AU573" s="113"/>
      <c r="AV573" s="113"/>
      <c r="AW573" s="113"/>
      <c r="AX573" s="113"/>
      <c r="AY573" s="113"/>
      <c r="AZ573" s="113"/>
      <c r="BA573" s="113"/>
      <c r="BB573" s="113"/>
      <c r="BC573" s="113"/>
      <c r="BD573" s="113"/>
      <c r="BE573" s="113"/>
      <c r="BF573" s="113"/>
      <c r="BG573" s="113"/>
      <c r="BH573" s="113"/>
      <c r="BI573" s="113"/>
      <c r="BJ573" s="113"/>
      <c r="BK573" s="113"/>
      <c r="BL573" s="113"/>
      <c r="BM573" s="113"/>
      <c r="BN573" s="113"/>
      <c r="BO573" s="113"/>
      <c r="BP573" s="113"/>
      <c r="BQ573" s="113"/>
      <c r="BR573" s="113"/>
      <c r="BS573" s="113"/>
      <c r="BT573" s="113"/>
      <c r="BU573" s="113"/>
      <c r="BV573" s="113"/>
      <c r="BW573" s="113"/>
      <c r="BX573" s="113"/>
      <c r="BY573" s="113"/>
      <c r="BZ573" s="113"/>
      <c r="CA573" s="113"/>
      <c r="CB573" s="113"/>
      <c r="CC573" s="113"/>
      <c r="CD573" s="113"/>
      <c r="CE573" s="113"/>
      <c r="CF573" s="113"/>
      <c r="CG573" s="113"/>
      <c r="CH573" s="113"/>
      <c r="CI573" s="113"/>
      <c r="CJ573" s="113"/>
      <c r="CK573" s="113"/>
      <c r="CL573" s="113"/>
      <c r="CM573" s="113"/>
      <c r="CN573" s="113"/>
      <c r="CO573" s="113"/>
      <c r="CP573" s="113"/>
      <c r="CQ573" s="113"/>
      <c r="CR573" s="113"/>
      <c r="CS573" s="113"/>
      <c r="CT573" s="113"/>
      <c r="CU573" s="113"/>
    </row>
    <row r="574">
      <c r="A574" s="159"/>
      <c r="B574" s="113"/>
      <c r="C574" s="113"/>
      <c r="D574" s="158"/>
      <c r="E574" s="161"/>
      <c r="F574" s="160"/>
      <c r="G574" s="162"/>
      <c r="H574" s="159"/>
      <c r="I574" s="113"/>
      <c r="J574" s="113"/>
      <c r="K574" s="113"/>
      <c r="L574" s="158"/>
      <c r="M574" s="113"/>
      <c r="N574" s="113"/>
      <c r="O574" s="113"/>
      <c r="P574" s="113"/>
      <c r="Q574" s="113"/>
      <c r="R574" s="113"/>
      <c r="S574" s="113"/>
      <c r="T574" s="113"/>
      <c r="U574" s="113"/>
      <c r="V574" s="113"/>
      <c r="W574" s="113"/>
      <c r="X574" s="113"/>
      <c r="Y574" s="113"/>
      <c r="Z574" s="113"/>
      <c r="AA574" s="113"/>
      <c r="AB574" s="113"/>
      <c r="AC574" s="113"/>
      <c r="AD574" s="113"/>
      <c r="AE574" s="113"/>
      <c r="AF574" s="113"/>
      <c r="AG574" s="113"/>
      <c r="AH574" s="113"/>
      <c r="AI574" s="113"/>
      <c r="AJ574" s="113"/>
      <c r="AK574" s="113"/>
      <c r="AL574" s="113"/>
      <c r="AM574" s="113"/>
      <c r="AN574" s="113"/>
      <c r="AO574" s="113"/>
      <c r="AP574" s="113"/>
      <c r="AQ574" s="113"/>
      <c r="AR574" s="113"/>
      <c r="AS574" s="113"/>
      <c r="AT574" s="113"/>
      <c r="AU574" s="113"/>
      <c r="AV574" s="113"/>
      <c r="AW574" s="113"/>
      <c r="AX574" s="113"/>
      <c r="AY574" s="113"/>
      <c r="AZ574" s="113"/>
      <c r="BA574" s="113"/>
      <c r="BB574" s="113"/>
      <c r="BC574" s="113"/>
      <c r="BD574" s="113"/>
      <c r="BE574" s="113"/>
      <c r="BF574" s="113"/>
      <c r="BG574" s="113"/>
      <c r="BH574" s="113"/>
      <c r="BI574" s="113"/>
      <c r="BJ574" s="113"/>
      <c r="BK574" s="113"/>
      <c r="BL574" s="113"/>
      <c r="BM574" s="113"/>
      <c r="BN574" s="113"/>
      <c r="BO574" s="113"/>
      <c r="BP574" s="113"/>
      <c r="BQ574" s="113"/>
      <c r="BR574" s="113"/>
      <c r="BS574" s="113"/>
      <c r="BT574" s="113"/>
      <c r="BU574" s="113"/>
      <c r="BV574" s="113"/>
      <c r="BW574" s="113"/>
      <c r="BX574" s="113"/>
      <c r="BY574" s="113"/>
      <c r="BZ574" s="113"/>
      <c r="CA574" s="113"/>
      <c r="CB574" s="113"/>
      <c r="CC574" s="113"/>
      <c r="CD574" s="113"/>
      <c r="CE574" s="113"/>
      <c r="CF574" s="113"/>
      <c r="CG574" s="113"/>
      <c r="CH574" s="113"/>
      <c r="CI574" s="113"/>
      <c r="CJ574" s="113"/>
      <c r="CK574" s="113"/>
      <c r="CL574" s="113"/>
      <c r="CM574" s="113"/>
      <c r="CN574" s="113"/>
      <c r="CO574" s="113"/>
      <c r="CP574" s="113"/>
      <c r="CQ574" s="113"/>
      <c r="CR574" s="113"/>
      <c r="CS574" s="113"/>
      <c r="CT574" s="113"/>
      <c r="CU574" s="113"/>
    </row>
    <row r="575">
      <c r="A575" s="159"/>
      <c r="B575" s="113"/>
      <c r="C575" s="113"/>
      <c r="D575" s="158"/>
      <c r="E575" s="161"/>
      <c r="F575" s="160"/>
      <c r="G575" s="162"/>
      <c r="H575" s="159"/>
      <c r="I575" s="113"/>
      <c r="J575" s="113"/>
      <c r="K575" s="113"/>
      <c r="L575" s="158"/>
      <c r="M575" s="113"/>
      <c r="N575" s="113"/>
      <c r="O575" s="113"/>
      <c r="P575" s="113"/>
      <c r="Q575" s="113"/>
      <c r="R575" s="113"/>
      <c r="S575" s="113"/>
      <c r="T575" s="113"/>
      <c r="U575" s="113"/>
      <c r="V575" s="113"/>
      <c r="W575" s="113"/>
      <c r="X575" s="113"/>
      <c r="Y575" s="113"/>
      <c r="Z575" s="113"/>
      <c r="AA575" s="113"/>
      <c r="AB575" s="113"/>
      <c r="AC575" s="113"/>
      <c r="AD575" s="113"/>
      <c r="AE575" s="113"/>
      <c r="AF575" s="113"/>
      <c r="AG575" s="113"/>
      <c r="AH575" s="113"/>
      <c r="AI575" s="113"/>
      <c r="AJ575" s="113"/>
      <c r="AK575" s="113"/>
      <c r="AL575" s="113"/>
      <c r="AM575" s="113"/>
      <c r="AN575" s="113"/>
      <c r="AO575" s="113"/>
      <c r="AP575" s="113"/>
      <c r="AQ575" s="113"/>
      <c r="AR575" s="113"/>
      <c r="AS575" s="113"/>
      <c r="AT575" s="113"/>
      <c r="AU575" s="113"/>
      <c r="AV575" s="113"/>
      <c r="AW575" s="113"/>
      <c r="AX575" s="113"/>
      <c r="AY575" s="113"/>
      <c r="AZ575" s="113"/>
      <c r="BA575" s="113"/>
      <c r="BB575" s="113"/>
      <c r="BC575" s="113"/>
      <c r="BD575" s="113"/>
      <c r="BE575" s="113"/>
      <c r="BF575" s="113"/>
      <c r="BG575" s="113"/>
      <c r="BH575" s="113"/>
      <c r="BI575" s="113"/>
      <c r="BJ575" s="113"/>
      <c r="BK575" s="113"/>
      <c r="BL575" s="113"/>
      <c r="BM575" s="113"/>
      <c r="BN575" s="113"/>
      <c r="BO575" s="113"/>
      <c r="BP575" s="113"/>
      <c r="BQ575" s="113"/>
      <c r="BR575" s="113"/>
      <c r="BS575" s="113"/>
      <c r="BT575" s="113"/>
      <c r="BU575" s="113"/>
      <c r="BV575" s="113"/>
      <c r="BW575" s="113"/>
      <c r="BX575" s="113"/>
      <c r="BY575" s="113"/>
      <c r="BZ575" s="113"/>
      <c r="CA575" s="113"/>
      <c r="CB575" s="113"/>
      <c r="CC575" s="113"/>
      <c r="CD575" s="113"/>
      <c r="CE575" s="113"/>
      <c r="CF575" s="113"/>
      <c r="CG575" s="113"/>
      <c r="CH575" s="113"/>
      <c r="CI575" s="113"/>
      <c r="CJ575" s="113"/>
      <c r="CK575" s="113"/>
      <c r="CL575" s="113"/>
      <c r="CM575" s="113"/>
      <c r="CN575" s="113"/>
      <c r="CO575" s="113"/>
      <c r="CP575" s="113"/>
      <c r="CQ575" s="113"/>
      <c r="CR575" s="113"/>
      <c r="CS575" s="113"/>
      <c r="CT575" s="113"/>
      <c r="CU575" s="113"/>
    </row>
    <row r="576">
      <c r="A576" s="159"/>
      <c r="B576" s="113"/>
      <c r="C576" s="113"/>
      <c r="D576" s="158"/>
      <c r="E576" s="161"/>
      <c r="F576" s="160"/>
      <c r="G576" s="162"/>
      <c r="H576" s="159"/>
      <c r="I576" s="113"/>
      <c r="J576" s="113"/>
      <c r="K576" s="113"/>
      <c r="L576" s="158"/>
      <c r="M576" s="113"/>
      <c r="N576" s="113"/>
      <c r="O576" s="113"/>
      <c r="P576" s="113"/>
      <c r="Q576" s="113"/>
      <c r="R576" s="113"/>
      <c r="S576" s="113"/>
      <c r="T576" s="113"/>
      <c r="U576" s="113"/>
      <c r="V576" s="113"/>
      <c r="W576" s="113"/>
      <c r="X576" s="113"/>
      <c r="Y576" s="113"/>
      <c r="Z576" s="113"/>
      <c r="AA576" s="113"/>
      <c r="AB576" s="113"/>
      <c r="AC576" s="113"/>
      <c r="AD576" s="113"/>
      <c r="AE576" s="113"/>
      <c r="AF576" s="113"/>
      <c r="AG576" s="113"/>
      <c r="AH576" s="113"/>
      <c r="AI576" s="113"/>
      <c r="AJ576" s="113"/>
      <c r="AK576" s="113"/>
      <c r="AL576" s="113"/>
      <c r="AM576" s="113"/>
      <c r="AN576" s="113"/>
      <c r="AO576" s="113"/>
      <c r="AP576" s="113"/>
      <c r="AQ576" s="113"/>
      <c r="AR576" s="113"/>
      <c r="AS576" s="113"/>
      <c r="AT576" s="113"/>
      <c r="AU576" s="113"/>
      <c r="AV576" s="113"/>
      <c r="AW576" s="113"/>
      <c r="AX576" s="113"/>
      <c r="AY576" s="113"/>
      <c r="AZ576" s="113"/>
      <c r="BA576" s="113"/>
      <c r="BB576" s="113"/>
      <c r="BC576" s="113"/>
      <c r="BD576" s="113"/>
      <c r="BE576" s="113"/>
      <c r="BF576" s="113"/>
      <c r="BG576" s="113"/>
      <c r="BH576" s="113"/>
      <c r="BI576" s="113"/>
      <c r="BJ576" s="113"/>
      <c r="BK576" s="113"/>
      <c r="BL576" s="113"/>
      <c r="BM576" s="113"/>
      <c r="BN576" s="113"/>
      <c r="BO576" s="113"/>
      <c r="BP576" s="113"/>
      <c r="BQ576" s="113"/>
      <c r="BR576" s="113"/>
      <c r="BS576" s="113"/>
      <c r="BT576" s="113"/>
      <c r="BU576" s="113"/>
      <c r="BV576" s="113"/>
      <c r="BW576" s="113"/>
      <c r="BX576" s="113"/>
      <c r="BY576" s="113"/>
      <c r="BZ576" s="113"/>
      <c r="CA576" s="113"/>
      <c r="CB576" s="113"/>
      <c r="CC576" s="113"/>
      <c r="CD576" s="113"/>
      <c r="CE576" s="113"/>
      <c r="CF576" s="113"/>
      <c r="CG576" s="113"/>
      <c r="CH576" s="113"/>
      <c r="CI576" s="113"/>
      <c r="CJ576" s="113"/>
      <c r="CK576" s="113"/>
      <c r="CL576" s="113"/>
      <c r="CM576" s="113"/>
      <c r="CN576" s="113"/>
      <c r="CO576" s="113"/>
      <c r="CP576" s="113"/>
      <c r="CQ576" s="113"/>
      <c r="CR576" s="113"/>
      <c r="CS576" s="113"/>
      <c r="CT576" s="113"/>
      <c r="CU576" s="113"/>
    </row>
    <row r="577">
      <c r="A577" s="159"/>
      <c r="B577" s="113"/>
      <c r="C577" s="113"/>
      <c r="D577" s="158"/>
      <c r="E577" s="161"/>
      <c r="F577" s="160"/>
      <c r="G577" s="162"/>
      <c r="H577" s="159"/>
      <c r="I577" s="113"/>
      <c r="J577" s="113"/>
      <c r="K577" s="113"/>
      <c r="L577" s="158"/>
      <c r="M577" s="113"/>
      <c r="N577" s="113"/>
      <c r="O577" s="113"/>
      <c r="P577" s="113"/>
      <c r="Q577" s="113"/>
      <c r="R577" s="113"/>
      <c r="S577" s="113"/>
      <c r="T577" s="113"/>
      <c r="U577" s="113"/>
      <c r="V577" s="113"/>
      <c r="W577" s="113"/>
      <c r="X577" s="113"/>
      <c r="Y577" s="113"/>
      <c r="Z577" s="113"/>
      <c r="AA577" s="113"/>
      <c r="AB577" s="113"/>
      <c r="AC577" s="113"/>
      <c r="AD577" s="113"/>
      <c r="AE577" s="113"/>
      <c r="AF577" s="113"/>
      <c r="AG577" s="113"/>
      <c r="AH577" s="113"/>
      <c r="AI577" s="113"/>
      <c r="AJ577" s="113"/>
      <c r="AK577" s="113"/>
      <c r="AL577" s="113"/>
      <c r="AM577" s="113"/>
      <c r="AN577" s="113"/>
      <c r="AO577" s="113"/>
      <c r="AP577" s="113"/>
      <c r="AQ577" s="113"/>
      <c r="AR577" s="113"/>
      <c r="AS577" s="113"/>
      <c r="AT577" s="113"/>
      <c r="AU577" s="113"/>
      <c r="AV577" s="113"/>
      <c r="AW577" s="113"/>
      <c r="AX577" s="113"/>
      <c r="AY577" s="113"/>
      <c r="AZ577" s="113"/>
      <c r="BA577" s="113"/>
      <c r="BB577" s="113"/>
      <c r="BC577" s="113"/>
      <c r="BD577" s="113"/>
      <c r="BE577" s="113"/>
      <c r="BF577" s="113"/>
      <c r="BG577" s="113"/>
      <c r="BH577" s="113"/>
      <c r="BI577" s="113"/>
      <c r="BJ577" s="113"/>
      <c r="BK577" s="113"/>
      <c r="BL577" s="113"/>
      <c r="BM577" s="113"/>
      <c r="BN577" s="113"/>
      <c r="BO577" s="113"/>
      <c r="BP577" s="113"/>
      <c r="BQ577" s="113"/>
      <c r="BR577" s="113"/>
      <c r="BS577" s="113"/>
      <c r="BT577" s="113"/>
      <c r="BU577" s="113"/>
      <c r="BV577" s="113"/>
      <c r="BW577" s="113"/>
      <c r="BX577" s="113"/>
      <c r="BY577" s="113"/>
      <c r="BZ577" s="113"/>
      <c r="CA577" s="113"/>
      <c r="CB577" s="113"/>
      <c r="CC577" s="113"/>
      <c r="CD577" s="113"/>
      <c r="CE577" s="113"/>
      <c r="CF577" s="113"/>
      <c r="CG577" s="113"/>
      <c r="CH577" s="113"/>
      <c r="CI577" s="113"/>
      <c r="CJ577" s="113"/>
      <c r="CK577" s="113"/>
      <c r="CL577" s="113"/>
      <c r="CM577" s="113"/>
      <c r="CN577" s="113"/>
      <c r="CO577" s="113"/>
      <c r="CP577" s="113"/>
      <c r="CQ577" s="113"/>
      <c r="CR577" s="113"/>
      <c r="CS577" s="113"/>
      <c r="CT577" s="113"/>
      <c r="CU577" s="113"/>
    </row>
    <row r="578">
      <c r="A578" s="159"/>
      <c r="B578" s="113"/>
      <c r="C578" s="113"/>
      <c r="D578" s="158"/>
      <c r="E578" s="161"/>
      <c r="F578" s="160"/>
      <c r="G578" s="162"/>
      <c r="H578" s="159"/>
      <c r="I578" s="113"/>
      <c r="J578" s="113"/>
      <c r="K578" s="113"/>
      <c r="L578" s="158"/>
      <c r="M578" s="113"/>
      <c r="N578" s="113"/>
      <c r="O578" s="113"/>
      <c r="P578" s="113"/>
      <c r="Q578" s="113"/>
      <c r="R578" s="113"/>
      <c r="S578" s="113"/>
      <c r="T578" s="113"/>
      <c r="U578" s="113"/>
      <c r="V578" s="113"/>
      <c r="W578" s="113"/>
      <c r="X578" s="113"/>
      <c r="Y578" s="113"/>
      <c r="Z578" s="113"/>
      <c r="AA578" s="113"/>
      <c r="AB578" s="113"/>
      <c r="AC578" s="113"/>
      <c r="AD578" s="113"/>
      <c r="AE578" s="113"/>
      <c r="AF578" s="113"/>
      <c r="AG578" s="113"/>
      <c r="AH578" s="113"/>
      <c r="AI578" s="113"/>
      <c r="AJ578" s="113"/>
      <c r="AK578" s="113"/>
      <c r="AL578" s="113"/>
      <c r="AM578" s="113"/>
      <c r="AN578" s="113"/>
      <c r="AO578" s="113"/>
      <c r="AP578" s="113"/>
      <c r="AQ578" s="113"/>
      <c r="AR578" s="113"/>
      <c r="AS578" s="113"/>
      <c r="AT578" s="113"/>
      <c r="AU578" s="113"/>
      <c r="AV578" s="113"/>
      <c r="AW578" s="113"/>
      <c r="AX578" s="113"/>
      <c r="AY578" s="113"/>
      <c r="AZ578" s="113"/>
      <c r="BA578" s="113"/>
      <c r="BB578" s="113"/>
      <c r="BC578" s="113"/>
      <c r="BD578" s="113"/>
      <c r="BE578" s="113"/>
      <c r="BF578" s="113"/>
      <c r="BG578" s="113"/>
      <c r="BH578" s="113"/>
      <c r="BI578" s="113"/>
      <c r="BJ578" s="113"/>
      <c r="BK578" s="113"/>
      <c r="BL578" s="113"/>
      <c r="BM578" s="113"/>
      <c r="BN578" s="113"/>
      <c r="BO578" s="113"/>
      <c r="BP578" s="113"/>
      <c r="BQ578" s="113"/>
      <c r="BR578" s="113"/>
      <c r="BS578" s="113"/>
      <c r="BT578" s="113"/>
      <c r="BU578" s="113"/>
      <c r="BV578" s="113"/>
      <c r="BW578" s="113"/>
      <c r="BX578" s="113"/>
      <c r="BY578" s="113"/>
      <c r="BZ578" s="113"/>
      <c r="CA578" s="113"/>
      <c r="CB578" s="113"/>
      <c r="CC578" s="113"/>
      <c r="CD578" s="113"/>
      <c r="CE578" s="113"/>
      <c r="CF578" s="113"/>
      <c r="CG578" s="113"/>
      <c r="CH578" s="113"/>
      <c r="CI578" s="113"/>
      <c r="CJ578" s="113"/>
      <c r="CK578" s="113"/>
      <c r="CL578" s="113"/>
      <c r="CM578" s="113"/>
      <c r="CN578" s="113"/>
      <c r="CO578" s="113"/>
      <c r="CP578" s="113"/>
      <c r="CQ578" s="113"/>
      <c r="CR578" s="113"/>
      <c r="CS578" s="113"/>
      <c r="CT578" s="113"/>
      <c r="CU578" s="113"/>
    </row>
    <row r="579">
      <c r="A579" s="159"/>
      <c r="B579" s="113"/>
      <c r="C579" s="113"/>
      <c r="D579" s="158"/>
      <c r="E579" s="161"/>
      <c r="F579" s="160"/>
      <c r="G579" s="162"/>
      <c r="H579" s="159"/>
      <c r="I579" s="113"/>
      <c r="J579" s="113"/>
      <c r="K579" s="113"/>
      <c r="L579" s="158"/>
      <c r="M579" s="113"/>
      <c r="N579" s="113"/>
      <c r="O579" s="113"/>
      <c r="P579" s="113"/>
      <c r="Q579" s="113"/>
      <c r="R579" s="113"/>
      <c r="S579" s="113"/>
      <c r="T579" s="113"/>
      <c r="U579" s="113"/>
      <c r="V579" s="113"/>
      <c r="W579" s="113"/>
      <c r="X579" s="113"/>
      <c r="Y579" s="113"/>
      <c r="Z579" s="113"/>
      <c r="AA579" s="113"/>
      <c r="AB579" s="113"/>
      <c r="AC579" s="113"/>
      <c r="AD579" s="113"/>
      <c r="AE579" s="113"/>
      <c r="AF579" s="113"/>
      <c r="AG579" s="113"/>
      <c r="AH579" s="113"/>
      <c r="AI579" s="113"/>
      <c r="AJ579" s="113"/>
      <c r="AK579" s="113"/>
      <c r="AL579" s="113"/>
      <c r="AM579" s="113"/>
      <c r="AN579" s="113"/>
      <c r="AO579" s="113"/>
      <c r="AP579" s="113"/>
      <c r="AQ579" s="113"/>
      <c r="AR579" s="113"/>
      <c r="AS579" s="113"/>
      <c r="AT579" s="113"/>
      <c r="AU579" s="113"/>
      <c r="AV579" s="113"/>
      <c r="AW579" s="113"/>
      <c r="AX579" s="113"/>
      <c r="AY579" s="113"/>
      <c r="AZ579" s="113"/>
      <c r="BA579" s="113"/>
      <c r="BB579" s="113"/>
      <c r="BC579" s="113"/>
      <c r="BD579" s="113"/>
      <c r="BE579" s="113"/>
      <c r="BF579" s="113"/>
      <c r="BG579" s="113"/>
      <c r="BH579" s="113"/>
      <c r="BI579" s="113"/>
      <c r="BJ579" s="113"/>
      <c r="BK579" s="113"/>
      <c r="BL579" s="113"/>
      <c r="BM579" s="113"/>
      <c r="BN579" s="113"/>
      <c r="BO579" s="113"/>
      <c r="BP579" s="113"/>
      <c r="BQ579" s="113"/>
      <c r="BR579" s="113"/>
      <c r="BS579" s="113"/>
      <c r="BT579" s="113"/>
      <c r="BU579" s="113"/>
      <c r="BV579" s="113"/>
      <c r="BW579" s="113"/>
      <c r="BX579" s="113"/>
      <c r="BY579" s="113"/>
      <c r="BZ579" s="113"/>
      <c r="CA579" s="113"/>
      <c r="CB579" s="113"/>
      <c r="CC579" s="113"/>
      <c r="CD579" s="113"/>
      <c r="CE579" s="113"/>
      <c r="CF579" s="113"/>
      <c r="CG579" s="113"/>
      <c r="CH579" s="113"/>
      <c r="CI579" s="113"/>
      <c r="CJ579" s="113"/>
      <c r="CK579" s="113"/>
      <c r="CL579" s="113"/>
      <c r="CM579" s="113"/>
      <c r="CN579" s="113"/>
      <c r="CO579" s="113"/>
      <c r="CP579" s="113"/>
      <c r="CQ579" s="113"/>
      <c r="CR579" s="113"/>
      <c r="CS579" s="113"/>
      <c r="CT579" s="113"/>
      <c r="CU579" s="113"/>
    </row>
    <row r="580">
      <c r="A580" s="159"/>
      <c r="B580" s="113"/>
      <c r="C580" s="113"/>
      <c r="D580" s="158"/>
      <c r="E580" s="161"/>
      <c r="F580" s="160"/>
      <c r="G580" s="162"/>
      <c r="H580" s="159"/>
      <c r="I580" s="113"/>
      <c r="J580" s="113"/>
      <c r="K580" s="113"/>
      <c r="L580" s="158"/>
      <c r="M580" s="113"/>
      <c r="N580" s="113"/>
      <c r="O580" s="113"/>
      <c r="P580" s="113"/>
      <c r="Q580" s="113"/>
      <c r="R580" s="113"/>
      <c r="S580" s="113"/>
      <c r="T580" s="113"/>
      <c r="U580" s="113"/>
      <c r="V580" s="113"/>
      <c r="W580" s="113"/>
      <c r="X580" s="113"/>
      <c r="Y580" s="113"/>
      <c r="Z580" s="113"/>
      <c r="AA580" s="113"/>
      <c r="AB580" s="113"/>
      <c r="AC580" s="113"/>
      <c r="AD580" s="113"/>
      <c r="AE580" s="113"/>
      <c r="AF580" s="113"/>
      <c r="AG580" s="113"/>
      <c r="AH580" s="113"/>
      <c r="AI580" s="113"/>
      <c r="AJ580" s="113"/>
      <c r="AK580" s="113"/>
      <c r="AL580" s="113"/>
      <c r="AM580" s="113"/>
      <c r="AN580" s="113"/>
      <c r="AO580" s="113"/>
      <c r="AP580" s="113"/>
      <c r="AQ580" s="113"/>
      <c r="AR580" s="113"/>
      <c r="AS580" s="113"/>
      <c r="AT580" s="113"/>
      <c r="AU580" s="113"/>
      <c r="AV580" s="113"/>
      <c r="AW580" s="113"/>
      <c r="AX580" s="113"/>
      <c r="AY580" s="113"/>
      <c r="AZ580" s="113"/>
      <c r="BA580" s="113"/>
      <c r="BB580" s="113"/>
      <c r="BC580" s="113"/>
      <c r="BD580" s="113"/>
      <c r="BE580" s="113"/>
      <c r="BF580" s="113"/>
      <c r="BG580" s="113"/>
      <c r="BH580" s="113"/>
      <c r="BI580" s="113"/>
      <c r="BJ580" s="113"/>
      <c r="BK580" s="113"/>
      <c r="BL580" s="113"/>
      <c r="BM580" s="113"/>
      <c r="BN580" s="113"/>
      <c r="BO580" s="113"/>
      <c r="BP580" s="113"/>
      <c r="BQ580" s="113"/>
      <c r="BR580" s="113"/>
      <c r="BS580" s="113"/>
      <c r="BT580" s="113"/>
      <c r="BU580" s="113"/>
      <c r="BV580" s="113"/>
      <c r="BW580" s="113"/>
      <c r="BX580" s="113"/>
      <c r="BY580" s="113"/>
      <c r="BZ580" s="113"/>
      <c r="CA580" s="113"/>
      <c r="CB580" s="113"/>
      <c r="CC580" s="113"/>
      <c r="CD580" s="113"/>
      <c r="CE580" s="113"/>
      <c r="CF580" s="113"/>
      <c r="CG580" s="113"/>
      <c r="CH580" s="113"/>
      <c r="CI580" s="113"/>
      <c r="CJ580" s="113"/>
      <c r="CK580" s="113"/>
      <c r="CL580" s="113"/>
      <c r="CM580" s="113"/>
      <c r="CN580" s="113"/>
      <c r="CO580" s="113"/>
      <c r="CP580" s="113"/>
      <c r="CQ580" s="113"/>
      <c r="CR580" s="113"/>
      <c r="CS580" s="113"/>
      <c r="CT580" s="113"/>
      <c r="CU580" s="113"/>
    </row>
    <row r="581">
      <c r="A581" s="159"/>
      <c r="B581" s="113"/>
      <c r="C581" s="113"/>
      <c r="D581" s="158"/>
      <c r="E581" s="161"/>
      <c r="F581" s="160"/>
      <c r="G581" s="162"/>
      <c r="H581" s="159"/>
      <c r="I581" s="113"/>
      <c r="J581" s="113"/>
      <c r="K581" s="113"/>
      <c r="L581" s="158"/>
      <c r="M581" s="113"/>
      <c r="N581" s="113"/>
      <c r="O581" s="113"/>
      <c r="P581" s="113"/>
      <c r="Q581" s="113"/>
      <c r="R581" s="113"/>
      <c r="S581" s="113"/>
      <c r="T581" s="113"/>
      <c r="U581" s="113"/>
      <c r="V581" s="113"/>
      <c r="W581" s="113"/>
      <c r="X581" s="113"/>
      <c r="Y581" s="113"/>
      <c r="Z581" s="113"/>
      <c r="AA581" s="113"/>
      <c r="AB581" s="113"/>
      <c r="AC581" s="113"/>
      <c r="AD581" s="113"/>
      <c r="AE581" s="113"/>
      <c r="AF581" s="113"/>
      <c r="AG581" s="113"/>
      <c r="AH581" s="113"/>
      <c r="AI581" s="113"/>
      <c r="AJ581" s="113"/>
      <c r="AK581" s="113"/>
      <c r="AL581" s="113"/>
      <c r="AM581" s="113"/>
      <c r="AN581" s="113"/>
      <c r="AO581" s="113"/>
      <c r="AP581" s="113"/>
      <c r="AQ581" s="113"/>
      <c r="AR581" s="113"/>
      <c r="AS581" s="113"/>
      <c r="AT581" s="113"/>
      <c r="AU581" s="113"/>
      <c r="AV581" s="113"/>
      <c r="AW581" s="113"/>
      <c r="AX581" s="113"/>
      <c r="AY581" s="113"/>
      <c r="AZ581" s="113"/>
      <c r="BA581" s="113"/>
      <c r="BB581" s="113"/>
      <c r="BC581" s="113"/>
      <c r="BD581" s="113"/>
      <c r="BE581" s="113"/>
      <c r="BF581" s="113"/>
      <c r="BG581" s="113"/>
      <c r="BH581" s="113"/>
      <c r="BI581" s="113"/>
      <c r="BJ581" s="113"/>
      <c r="BK581" s="113"/>
      <c r="BL581" s="113"/>
      <c r="BM581" s="113"/>
      <c r="BN581" s="113"/>
      <c r="BO581" s="113"/>
      <c r="BP581" s="113"/>
      <c r="BQ581" s="113"/>
      <c r="BR581" s="113"/>
      <c r="BS581" s="113"/>
      <c r="BT581" s="113"/>
      <c r="BU581" s="113"/>
      <c r="BV581" s="113"/>
      <c r="BW581" s="113"/>
      <c r="BX581" s="113"/>
      <c r="BY581" s="113"/>
      <c r="BZ581" s="113"/>
      <c r="CA581" s="113"/>
      <c r="CB581" s="113"/>
      <c r="CC581" s="113"/>
      <c r="CD581" s="113"/>
      <c r="CE581" s="113"/>
      <c r="CF581" s="113"/>
      <c r="CG581" s="113"/>
      <c r="CH581" s="113"/>
      <c r="CI581" s="113"/>
      <c r="CJ581" s="113"/>
      <c r="CK581" s="113"/>
      <c r="CL581" s="113"/>
      <c r="CM581" s="113"/>
      <c r="CN581" s="113"/>
      <c r="CO581" s="113"/>
      <c r="CP581" s="113"/>
      <c r="CQ581" s="113"/>
      <c r="CR581" s="113"/>
      <c r="CS581" s="113"/>
      <c r="CT581" s="113"/>
      <c r="CU581" s="113"/>
    </row>
    <row r="582">
      <c r="A582" s="159"/>
      <c r="B582" s="113"/>
      <c r="C582" s="113"/>
      <c r="D582" s="158"/>
      <c r="E582" s="161"/>
      <c r="F582" s="160"/>
      <c r="G582" s="162"/>
      <c r="H582" s="159"/>
      <c r="I582" s="113"/>
      <c r="J582" s="113"/>
      <c r="K582" s="113"/>
      <c r="L582" s="158"/>
      <c r="M582" s="113"/>
      <c r="N582" s="113"/>
      <c r="O582" s="113"/>
      <c r="P582" s="113"/>
      <c r="Q582" s="113"/>
      <c r="R582" s="113"/>
      <c r="S582" s="113"/>
      <c r="T582" s="113"/>
      <c r="U582" s="113"/>
      <c r="V582" s="113"/>
      <c r="W582" s="113"/>
      <c r="X582" s="113"/>
      <c r="Y582" s="113"/>
      <c r="Z582" s="113"/>
      <c r="AA582" s="113"/>
      <c r="AB582" s="113"/>
      <c r="AC582" s="113"/>
      <c r="AD582" s="113"/>
      <c r="AE582" s="113"/>
      <c r="AF582" s="113"/>
      <c r="AG582" s="113"/>
      <c r="AH582" s="113"/>
      <c r="AI582" s="113"/>
      <c r="AJ582" s="113"/>
      <c r="AK582" s="113"/>
      <c r="AL582" s="113"/>
      <c r="AM582" s="113"/>
      <c r="AN582" s="113"/>
      <c r="AO582" s="113"/>
      <c r="AP582" s="113"/>
      <c r="AQ582" s="113"/>
      <c r="AR582" s="113"/>
      <c r="AS582" s="113"/>
      <c r="AT582" s="113"/>
      <c r="AU582" s="113"/>
      <c r="AV582" s="113"/>
      <c r="AW582" s="113"/>
      <c r="AX582" s="113"/>
      <c r="AY582" s="113"/>
      <c r="AZ582" s="113"/>
      <c r="BA582" s="113"/>
      <c r="BB582" s="113"/>
      <c r="BC582" s="113"/>
      <c r="BD582" s="113"/>
      <c r="BE582" s="113"/>
      <c r="BF582" s="113"/>
      <c r="BG582" s="113"/>
      <c r="BH582" s="113"/>
      <c r="BI582" s="113"/>
      <c r="BJ582" s="113"/>
      <c r="BK582" s="113"/>
      <c r="BL582" s="113"/>
      <c r="BM582" s="113"/>
      <c r="BN582" s="113"/>
      <c r="BO582" s="113"/>
      <c r="BP582" s="113"/>
      <c r="BQ582" s="113"/>
      <c r="BR582" s="113"/>
      <c r="BS582" s="113"/>
      <c r="BT582" s="113"/>
      <c r="BU582" s="113"/>
      <c r="BV582" s="113"/>
      <c r="BW582" s="113"/>
      <c r="BX582" s="113"/>
      <c r="BY582" s="113"/>
      <c r="BZ582" s="113"/>
      <c r="CA582" s="113"/>
      <c r="CB582" s="113"/>
      <c r="CC582" s="113"/>
      <c r="CD582" s="113"/>
      <c r="CE582" s="113"/>
      <c r="CF582" s="113"/>
      <c r="CG582" s="113"/>
      <c r="CH582" s="113"/>
      <c r="CI582" s="113"/>
      <c r="CJ582" s="113"/>
      <c r="CK582" s="113"/>
      <c r="CL582" s="113"/>
      <c r="CM582" s="113"/>
      <c r="CN582" s="113"/>
      <c r="CO582" s="113"/>
      <c r="CP582" s="113"/>
      <c r="CQ582" s="113"/>
      <c r="CR582" s="113"/>
      <c r="CS582" s="113"/>
      <c r="CT582" s="113"/>
      <c r="CU582" s="113"/>
    </row>
    <row r="583">
      <c r="A583" s="159"/>
      <c r="B583" s="113"/>
      <c r="C583" s="113"/>
      <c r="D583" s="158"/>
      <c r="E583" s="161"/>
      <c r="F583" s="160"/>
      <c r="G583" s="162"/>
      <c r="H583" s="159"/>
      <c r="I583" s="113"/>
      <c r="J583" s="113"/>
      <c r="K583" s="113"/>
      <c r="L583" s="158"/>
      <c r="M583" s="113"/>
      <c r="N583" s="113"/>
      <c r="O583" s="113"/>
      <c r="P583" s="113"/>
      <c r="Q583" s="113"/>
      <c r="R583" s="113"/>
      <c r="S583" s="113"/>
      <c r="T583" s="113"/>
      <c r="U583" s="113"/>
      <c r="V583" s="113"/>
      <c r="W583" s="113"/>
      <c r="X583" s="113"/>
      <c r="Y583" s="113"/>
      <c r="Z583" s="113"/>
      <c r="AA583" s="113"/>
      <c r="AB583" s="113"/>
      <c r="AC583" s="113"/>
      <c r="AD583" s="113"/>
      <c r="AE583" s="113"/>
      <c r="AF583" s="113"/>
      <c r="AG583" s="113"/>
      <c r="AH583" s="113"/>
      <c r="AI583" s="113"/>
      <c r="AJ583" s="113"/>
      <c r="AK583" s="113"/>
      <c r="AL583" s="113"/>
      <c r="AM583" s="113"/>
      <c r="AN583" s="113"/>
      <c r="AO583" s="113"/>
      <c r="AP583" s="113"/>
      <c r="AQ583" s="113"/>
      <c r="AR583" s="113"/>
      <c r="AS583" s="113"/>
      <c r="AT583" s="113"/>
      <c r="AU583" s="113"/>
      <c r="AV583" s="113"/>
      <c r="AW583" s="113"/>
      <c r="AX583" s="113"/>
      <c r="AY583" s="113"/>
      <c r="AZ583" s="113"/>
      <c r="BA583" s="113"/>
      <c r="BB583" s="113"/>
      <c r="BC583" s="113"/>
      <c r="BD583" s="113"/>
      <c r="BE583" s="113"/>
      <c r="BF583" s="113"/>
      <c r="BG583" s="113"/>
      <c r="BH583" s="113"/>
      <c r="BI583" s="113"/>
      <c r="BJ583" s="113"/>
      <c r="BK583" s="113"/>
      <c r="BL583" s="113"/>
      <c r="BM583" s="113"/>
      <c r="BN583" s="113"/>
      <c r="BO583" s="113"/>
      <c r="BP583" s="113"/>
      <c r="BQ583" s="113"/>
      <c r="BR583" s="113"/>
      <c r="BS583" s="113"/>
      <c r="BT583" s="113"/>
      <c r="BU583" s="113"/>
      <c r="BV583" s="113"/>
      <c r="BW583" s="113"/>
      <c r="BX583" s="113"/>
      <c r="BY583" s="113"/>
      <c r="BZ583" s="113"/>
      <c r="CA583" s="113"/>
      <c r="CB583" s="113"/>
      <c r="CC583" s="113"/>
      <c r="CD583" s="113"/>
      <c r="CE583" s="113"/>
      <c r="CF583" s="113"/>
      <c r="CG583" s="113"/>
      <c r="CH583" s="113"/>
      <c r="CI583" s="113"/>
      <c r="CJ583" s="113"/>
      <c r="CK583" s="113"/>
      <c r="CL583" s="113"/>
      <c r="CM583" s="113"/>
      <c r="CN583" s="113"/>
      <c r="CO583" s="113"/>
      <c r="CP583" s="113"/>
      <c r="CQ583" s="113"/>
      <c r="CR583" s="113"/>
      <c r="CS583" s="113"/>
      <c r="CT583" s="113"/>
      <c r="CU583" s="113"/>
    </row>
    <row r="584">
      <c r="A584" s="159"/>
      <c r="B584" s="113"/>
      <c r="C584" s="113"/>
      <c r="D584" s="158"/>
      <c r="E584" s="161"/>
      <c r="F584" s="160"/>
      <c r="G584" s="162"/>
      <c r="H584" s="159"/>
      <c r="I584" s="113"/>
      <c r="J584" s="113"/>
      <c r="K584" s="113"/>
      <c r="L584" s="158"/>
      <c r="M584" s="113"/>
      <c r="N584" s="113"/>
      <c r="O584" s="113"/>
      <c r="P584" s="113"/>
      <c r="Q584" s="113"/>
      <c r="R584" s="113"/>
      <c r="S584" s="113"/>
      <c r="T584" s="113"/>
      <c r="U584" s="113"/>
      <c r="V584" s="113"/>
      <c r="W584" s="113"/>
      <c r="X584" s="113"/>
      <c r="Y584" s="113"/>
      <c r="Z584" s="113"/>
      <c r="AA584" s="113"/>
      <c r="AB584" s="113"/>
      <c r="AC584" s="113"/>
      <c r="AD584" s="113"/>
      <c r="AE584" s="113"/>
      <c r="AF584" s="113"/>
      <c r="AG584" s="113"/>
      <c r="AH584" s="113"/>
      <c r="AI584" s="113"/>
      <c r="AJ584" s="113"/>
      <c r="AK584" s="113"/>
      <c r="AL584" s="113"/>
      <c r="AM584" s="113"/>
      <c r="AN584" s="113"/>
      <c r="AO584" s="113"/>
      <c r="AP584" s="113"/>
      <c r="AQ584" s="113"/>
      <c r="AR584" s="113"/>
      <c r="AS584" s="113"/>
      <c r="AT584" s="113"/>
      <c r="AU584" s="113"/>
      <c r="AV584" s="113"/>
      <c r="AW584" s="113"/>
      <c r="AX584" s="113"/>
      <c r="AY584" s="113"/>
      <c r="AZ584" s="113"/>
      <c r="BA584" s="113"/>
      <c r="BB584" s="113"/>
      <c r="BC584" s="113"/>
      <c r="BD584" s="113"/>
      <c r="BE584" s="113"/>
      <c r="BF584" s="113"/>
      <c r="BG584" s="113"/>
      <c r="BH584" s="113"/>
      <c r="BI584" s="113"/>
      <c r="BJ584" s="113"/>
      <c r="BK584" s="113"/>
      <c r="BL584" s="113"/>
      <c r="BM584" s="113"/>
      <c r="BN584" s="113"/>
      <c r="BO584" s="113"/>
      <c r="BP584" s="113"/>
      <c r="BQ584" s="113"/>
      <c r="BR584" s="113"/>
      <c r="BS584" s="113"/>
      <c r="BT584" s="113"/>
      <c r="BU584" s="113"/>
      <c r="BV584" s="113"/>
      <c r="BW584" s="113"/>
      <c r="BX584" s="113"/>
      <c r="BY584" s="113"/>
      <c r="BZ584" s="113"/>
      <c r="CA584" s="113"/>
      <c r="CB584" s="113"/>
      <c r="CC584" s="113"/>
      <c r="CD584" s="113"/>
      <c r="CE584" s="113"/>
      <c r="CF584" s="113"/>
      <c r="CG584" s="113"/>
      <c r="CH584" s="113"/>
      <c r="CI584" s="113"/>
      <c r="CJ584" s="113"/>
      <c r="CK584" s="113"/>
      <c r="CL584" s="113"/>
      <c r="CM584" s="113"/>
      <c r="CN584" s="113"/>
      <c r="CO584" s="113"/>
      <c r="CP584" s="113"/>
      <c r="CQ584" s="113"/>
      <c r="CR584" s="113"/>
      <c r="CS584" s="113"/>
      <c r="CT584" s="113"/>
      <c r="CU584" s="113"/>
    </row>
    <row r="585">
      <c r="A585" s="159"/>
      <c r="B585" s="113"/>
      <c r="C585" s="113"/>
      <c r="D585" s="158"/>
      <c r="E585" s="161"/>
      <c r="F585" s="160"/>
      <c r="G585" s="162"/>
      <c r="H585" s="159"/>
      <c r="I585" s="113"/>
      <c r="J585" s="113"/>
      <c r="K585" s="113"/>
      <c r="L585" s="158"/>
      <c r="M585" s="113"/>
      <c r="N585" s="113"/>
      <c r="O585" s="113"/>
      <c r="P585" s="113"/>
      <c r="Q585" s="113"/>
      <c r="R585" s="113"/>
      <c r="S585" s="113"/>
      <c r="T585" s="113"/>
      <c r="U585" s="113"/>
      <c r="V585" s="113"/>
      <c r="W585" s="113"/>
      <c r="X585" s="113"/>
      <c r="Y585" s="113"/>
      <c r="Z585" s="113"/>
      <c r="AA585" s="113"/>
      <c r="AB585" s="113"/>
      <c r="AC585" s="113"/>
      <c r="AD585" s="113"/>
      <c r="AE585" s="113"/>
      <c r="AF585" s="113"/>
      <c r="AG585" s="113"/>
      <c r="AH585" s="113"/>
      <c r="AI585" s="113"/>
      <c r="AJ585" s="113"/>
      <c r="AK585" s="113"/>
      <c r="AL585" s="113"/>
      <c r="AM585" s="113"/>
      <c r="AN585" s="113"/>
      <c r="AO585" s="113"/>
      <c r="AP585" s="113"/>
      <c r="AQ585" s="113"/>
      <c r="AR585" s="113"/>
      <c r="AS585" s="113"/>
      <c r="AT585" s="113"/>
      <c r="AU585" s="113"/>
      <c r="AV585" s="113"/>
      <c r="AW585" s="113"/>
      <c r="AX585" s="113"/>
      <c r="AY585" s="113"/>
      <c r="AZ585" s="113"/>
      <c r="BA585" s="113"/>
      <c r="BB585" s="113"/>
      <c r="BC585" s="113"/>
      <c r="BD585" s="113"/>
      <c r="BE585" s="113"/>
      <c r="BF585" s="113"/>
      <c r="BG585" s="113"/>
      <c r="BH585" s="113"/>
      <c r="BI585" s="113"/>
      <c r="BJ585" s="113"/>
      <c r="BK585" s="113"/>
      <c r="BL585" s="113"/>
      <c r="BM585" s="113"/>
      <c r="BN585" s="113"/>
      <c r="BO585" s="113"/>
      <c r="BP585" s="113"/>
      <c r="BQ585" s="113"/>
      <c r="BR585" s="113"/>
      <c r="BS585" s="113"/>
      <c r="BT585" s="113"/>
      <c r="BU585" s="113"/>
      <c r="BV585" s="113"/>
      <c r="BW585" s="113"/>
      <c r="BX585" s="113"/>
      <c r="BY585" s="113"/>
      <c r="BZ585" s="113"/>
      <c r="CA585" s="113"/>
      <c r="CB585" s="113"/>
      <c r="CC585" s="113"/>
      <c r="CD585" s="113"/>
      <c r="CE585" s="113"/>
      <c r="CF585" s="113"/>
      <c r="CG585" s="113"/>
      <c r="CH585" s="113"/>
      <c r="CI585" s="113"/>
      <c r="CJ585" s="113"/>
      <c r="CK585" s="113"/>
      <c r="CL585" s="113"/>
      <c r="CM585" s="113"/>
      <c r="CN585" s="113"/>
      <c r="CO585" s="113"/>
      <c r="CP585" s="113"/>
      <c r="CQ585" s="113"/>
      <c r="CR585" s="113"/>
      <c r="CS585" s="113"/>
      <c r="CT585" s="113"/>
      <c r="CU585" s="113"/>
    </row>
    <row r="586">
      <c r="A586" s="159"/>
      <c r="B586" s="113"/>
      <c r="C586" s="113"/>
      <c r="D586" s="158"/>
      <c r="E586" s="161"/>
      <c r="F586" s="160"/>
      <c r="G586" s="162"/>
      <c r="H586" s="159"/>
      <c r="I586" s="113"/>
      <c r="J586" s="113"/>
      <c r="K586" s="113"/>
      <c r="L586" s="158"/>
      <c r="M586" s="113"/>
      <c r="N586" s="113"/>
      <c r="O586" s="113"/>
      <c r="P586" s="113"/>
      <c r="Q586" s="113"/>
      <c r="R586" s="113"/>
      <c r="S586" s="113"/>
      <c r="T586" s="113"/>
      <c r="U586" s="113"/>
      <c r="V586" s="113"/>
      <c r="W586" s="113"/>
      <c r="X586" s="113"/>
      <c r="Y586" s="113"/>
      <c r="Z586" s="113"/>
      <c r="AA586" s="113"/>
      <c r="AB586" s="113"/>
      <c r="AC586" s="113"/>
      <c r="AD586" s="113"/>
      <c r="AE586" s="113"/>
      <c r="AF586" s="113"/>
      <c r="AG586" s="113"/>
      <c r="AH586" s="113"/>
      <c r="AI586" s="113"/>
      <c r="AJ586" s="113"/>
      <c r="AK586" s="113"/>
      <c r="AL586" s="113"/>
      <c r="AM586" s="113"/>
      <c r="AN586" s="113"/>
      <c r="AO586" s="113"/>
      <c r="AP586" s="113"/>
      <c r="AQ586" s="113"/>
      <c r="AR586" s="113"/>
      <c r="AS586" s="113"/>
      <c r="AT586" s="113"/>
      <c r="AU586" s="113"/>
      <c r="AV586" s="113"/>
      <c r="AW586" s="113"/>
      <c r="AX586" s="113"/>
      <c r="AY586" s="113"/>
      <c r="AZ586" s="113"/>
      <c r="BA586" s="113"/>
      <c r="BB586" s="113"/>
      <c r="BC586" s="113"/>
      <c r="BD586" s="113"/>
      <c r="BE586" s="113"/>
      <c r="BF586" s="113"/>
      <c r="BG586" s="113"/>
      <c r="BH586" s="113"/>
      <c r="BI586" s="113"/>
      <c r="BJ586" s="113"/>
      <c r="BK586" s="113"/>
      <c r="BL586" s="113"/>
      <c r="BM586" s="113"/>
      <c r="BN586" s="113"/>
      <c r="BO586" s="113"/>
      <c r="BP586" s="113"/>
      <c r="BQ586" s="113"/>
      <c r="BR586" s="113"/>
      <c r="BS586" s="113"/>
      <c r="BT586" s="113"/>
      <c r="BU586" s="113"/>
      <c r="BV586" s="113"/>
      <c r="BW586" s="113"/>
      <c r="BX586" s="113"/>
      <c r="BY586" s="113"/>
      <c r="BZ586" s="113"/>
      <c r="CA586" s="113"/>
      <c r="CB586" s="113"/>
      <c r="CC586" s="113"/>
      <c r="CD586" s="113"/>
      <c r="CE586" s="113"/>
      <c r="CF586" s="113"/>
      <c r="CG586" s="113"/>
      <c r="CH586" s="113"/>
      <c r="CI586" s="113"/>
      <c r="CJ586" s="113"/>
      <c r="CK586" s="113"/>
      <c r="CL586" s="113"/>
      <c r="CM586" s="113"/>
      <c r="CN586" s="113"/>
      <c r="CO586" s="113"/>
      <c r="CP586" s="113"/>
      <c r="CQ586" s="113"/>
      <c r="CR586" s="113"/>
      <c r="CS586" s="113"/>
      <c r="CT586" s="113"/>
      <c r="CU586" s="113"/>
    </row>
    <row r="587">
      <c r="A587" s="159"/>
      <c r="B587" s="113"/>
      <c r="C587" s="113"/>
      <c r="D587" s="158"/>
      <c r="E587" s="161"/>
      <c r="F587" s="160"/>
      <c r="G587" s="162"/>
      <c r="H587" s="159"/>
      <c r="I587" s="113"/>
      <c r="J587" s="113"/>
      <c r="K587" s="113"/>
      <c r="L587" s="158"/>
      <c r="M587" s="113"/>
      <c r="N587" s="113"/>
      <c r="O587" s="113"/>
      <c r="P587" s="113"/>
      <c r="Q587" s="113"/>
      <c r="R587" s="113"/>
      <c r="S587" s="113"/>
      <c r="T587" s="113"/>
      <c r="U587" s="113"/>
      <c r="V587" s="113"/>
      <c r="W587" s="113"/>
      <c r="X587" s="113"/>
      <c r="Y587" s="113"/>
      <c r="Z587" s="113"/>
      <c r="AA587" s="113"/>
      <c r="AB587" s="113"/>
      <c r="AC587" s="113"/>
      <c r="AD587" s="113"/>
      <c r="AE587" s="113"/>
      <c r="AF587" s="113"/>
      <c r="AG587" s="113"/>
      <c r="AH587" s="113"/>
      <c r="AI587" s="113"/>
      <c r="AJ587" s="113"/>
      <c r="AK587" s="113"/>
      <c r="AL587" s="113"/>
      <c r="AM587" s="113"/>
      <c r="AN587" s="113"/>
      <c r="AO587" s="113"/>
      <c r="AP587" s="113"/>
      <c r="AQ587" s="113"/>
      <c r="AR587" s="113"/>
      <c r="AS587" s="113"/>
      <c r="AT587" s="113"/>
      <c r="AU587" s="113"/>
      <c r="AV587" s="113"/>
      <c r="AW587" s="113"/>
      <c r="AX587" s="113"/>
      <c r="AY587" s="113"/>
      <c r="AZ587" s="113"/>
      <c r="BA587" s="113"/>
      <c r="BB587" s="113"/>
      <c r="BC587" s="113"/>
      <c r="BD587" s="113"/>
      <c r="BE587" s="113"/>
      <c r="BF587" s="113"/>
      <c r="BG587" s="113"/>
      <c r="BH587" s="113"/>
      <c r="BI587" s="113"/>
      <c r="BJ587" s="113"/>
      <c r="BK587" s="113"/>
      <c r="BL587" s="113"/>
      <c r="BM587" s="113"/>
      <c r="BN587" s="113"/>
      <c r="BO587" s="113"/>
      <c r="BP587" s="113"/>
      <c r="BQ587" s="113"/>
      <c r="BR587" s="113"/>
      <c r="BS587" s="113"/>
      <c r="BT587" s="113"/>
      <c r="BU587" s="113"/>
      <c r="BV587" s="113"/>
      <c r="BW587" s="113"/>
      <c r="BX587" s="113"/>
      <c r="BY587" s="113"/>
      <c r="BZ587" s="113"/>
      <c r="CA587" s="113"/>
      <c r="CB587" s="113"/>
      <c r="CC587" s="113"/>
      <c r="CD587" s="113"/>
      <c r="CE587" s="113"/>
      <c r="CF587" s="113"/>
      <c r="CG587" s="113"/>
      <c r="CH587" s="113"/>
      <c r="CI587" s="113"/>
      <c r="CJ587" s="113"/>
      <c r="CK587" s="113"/>
      <c r="CL587" s="113"/>
      <c r="CM587" s="113"/>
      <c r="CN587" s="113"/>
      <c r="CO587" s="113"/>
      <c r="CP587" s="113"/>
      <c r="CQ587" s="113"/>
      <c r="CR587" s="113"/>
      <c r="CS587" s="113"/>
      <c r="CT587" s="113"/>
      <c r="CU587" s="113"/>
    </row>
    <row r="588">
      <c r="A588" s="159"/>
      <c r="B588" s="113"/>
      <c r="C588" s="113"/>
      <c r="D588" s="158"/>
      <c r="E588" s="161"/>
      <c r="F588" s="160"/>
      <c r="G588" s="162"/>
      <c r="H588" s="159"/>
      <c r="I588" s="113"/>
      <c r="J588" s="113"/>
      <c r="K588" s="113"/>
      <c r="L588" s="158"/>
      <c r="M588" s="113"/>
      <c r="N588" s="113"/>
      <c r="O588" s="113"/>
      <c r="P588" s="113"/>
      <c r="Q588" s="113"/>
      <c r="R588" s="113"/>
      <c r="S588" s="113"/>
      <c r="T588" s="113"/>
      <c r="U588" s="113"/>
      <c r="V588" s="113"/>
      <c r="W588" s="113"/>
      <c r="X588" s="113"/>
      <c r="Y588" s="113"/>
      <c r="Z588" s="113"/>
      <c r="AA588" s="113"/>
      <c r="AB588" s="113"/>
      <c r="AC588" s="113"/>
      <c r="AD588" s="113"/>
      <c r="AE588" s="113"/>
      <c r="AF588" s="113"/>
      <c r="AG588" s="113"/>
      <c r="AH588" s="113"/>
      <c r="AI588" s="113"/>
      <c r="AJ588" s="113"/>
      <c r="AK588" s="113"/>
      <c r="AL588" s="113"/>
      <c r="AM588" s="113"/>
      <c r="AN588" s="113"/>
      <c r="AO588" s="113"/>
      <c r="AP588" s="113"/>
      <c r="AQ588" s="113"/>
      <c r="AR588" s="113"/>
      <c r="AS588" s="113"/>
      <c r="AT588" s="113"/>
      <c r="AU588" s="113"/>
      <c r="AV588" s="113"/>
      <c r="AW588" s="113"/>
      <c r="AX588" s="113"/>
      <c r="AY588" s="113"/>
      <c r="AZ588" s="113"/>
      <c r="BA588" s="113"/>
      <c r="BB588" s="113"/>
      <c r="BC588" s="113"/>
      <c r="BD588" s="113"/>
      <c r="BE588" s="113"/>
      <c r="BF588" s="113"/>
      <c r="BG588" s="113"/>
      <c r="BH588" s="113"/>
      <c r="BI588" s="113"/>
      <c r="BJ588" s="113"/>
      <c r="BK588" s="113"/>
      <c r="BL588" s="113"/>
      <c r="BM588" s="113"/>
      <c r="BN588" s="113"/>
      <c r="BO588" s="113"/>
      <c r="BP588" s="113"/>
      <c r="BQ588" s="113"/>
      <c r="BR588" s="113"/>
      <c r="BS588" s="113"/>
      <c r="BT588" s="113"/>
      <c r="BU588" s="113"/>
      <c r="BV588" s="113"/>
      <c r="BW588" s="113"/>
      <c r="BX588" s="113"/>
      <c r="BY588" s="113"/>
      <c r="BZ588" s="113"/>
      <c r="CA588" s="113"/>
      <c r="CB588" s="113"/>
      <c r="CC588" s="113"/>
      <c r="CD588" s="113"/>
      <c r="CE588" s="113"/>
      <c r="CF588" s="113"/>
      <c r="CG588" s="113"/>
      <c r="CH588" s="113"/>
      <c r="CI588" s="113"/>
      <c r="CJ588" s="113"/>
      <c r="CK588" s="113"/>
      <c r="CL588" s="113"/>
      <c r="CM588" s="113"/>
      <c r="CN588" s="113"/>
      <c r="CO588" s="113"/>
      <c r="CP588" s="113"/>
      <c r="CQ588" s="113"/>
      <c r="CR588" s="113"/>
      <c r="CS588" s="113"/>
      <c r="CT588" s="113"/>
      <c r="CU588" s="113"/>
    </row>
    <row r="589">
      <c r="A589" s="159"/>
      <c r="B589" s="113"/>
      <c r="C589" s="113"/>
      <c r="D589" s="158"/>
      <c r="E589" s="161"/>
      <c r="F589" s="160"/>
      <c r="G589" s="162"/>
      <c r="H589" s="159"/>
      <c r="I589" s="113"/>
      <c r="J589" s="113"/>
      <c r="K589" s="113"/>
      <c r="L589" s="158"/>
      <c r="M589" s="113"/>
      <c r="N589" s="113"/>
      <c r="O589" s="113"/>
      <c r="P589" s="113"/>
      <c r="Q589" s="113"/>
      <c r="R589" s="113"/>
      <c r="S589" s="113"/>
      <c r="T589" s="113"/>
      <c r="U589" s="113"/>
      <c r="V589" s="113"/>
      <c r="W589" s="113"/>
      <c r="X589" s="113"/>
      <c r="Y589" s="113"/>
      <c r="Z589" s="113"/>
      <c r="AA589" s="113"/>
      <c r="AB589" s="113"/>
      <c r="AC589" s="113"/>
      <c r="AD589" s="113"/>
      <c r="AE589" s="113"/>
      <c r="AF589" s="113"/>
      <c r="AG589" s="113"/>
      <c r="AH589" s="113"/>
      <c r="AI589" s="113"/>
      <c r="AJ589" s="113"/>
      <c r="AK589" s="113"/>
      <c r="AL589" s="113"/>
      <c r="AM589" s="113"/>
      <c r="AN589" s="113"/>
      <c r="AO589" s="113"/>
      <c r="AP589" s="113"/>
      <c r="AQ589" s="113"/>
      <c r="AR589" s="113"/>
      <c r="AS589" s="113"/>
      <c r="AT589" s="113"/>
      <c r="AU589" s="113"/>
      <c r="AV589" s="113"/>
      <c r="AW589" s="113"/>
      <c r="AX589" s="113"/>
      <c r="AY589" s="113"/>
      <c r="AZ589" s="113"/>
      <c r="BA589" s="113"/>
      <c r="BB589" s="113"/>
      <c r="BC589" s="113"/>
      <c r="BD589" s="113"/>
      <c r="BE589" s="113"/>
      <c r="BF589" s="113"/>
      <c r="BG589" s="113"/>
      <c r="BH589" s="113"/>
      <c r="BI589" s="113"/>
      <c r="BJ589" s="113"/>
      <c r="BK589" s="113"/>
      <c r="BL589" s="113"/>
      <c r="BM589" s="113"/>
      <c r="BN589" s="113"/>
      <c r="BO589" s="113"/>
      <c r="BP589" s="113"/>
      <c r="BQ589" s="113"/>
      <c r="BR589" s="113"/>
      <c r="BS589" s="113"/>
      <c r="BT589" s="113"/>
      <c r="BU589" s="113"/>
      <c r="BV589" s="113"/>
      <c r="BW589" s="113"/>
      <c r="BX589" s="113"/>
      <c r="BY589" s="113"/>
      <c r="BZ589" s="113"/>
      <c r="CA589" s="113"/>
      <c r="CB589" s="113"/>
      <c r="CC589" s="113"/>
      <c r="CD589" s="113"/>
      <c r="CE589" s="113"/>
      <c r="CF589" s="113"/>
      <c r="CG589" s="113"/>
      <c r="CH589" s="113"/>
      <c r="CI589" s="113"/>
      <c r="CJ589" s="113"/>
      <c r="CK589" s="113"/>
      <c r="CL589" s="113"/>
      <c r="CM589" s="113"/>
      <c r="CN589" s="113"/>
      <c r="CO589" s="113"/>
      <c r="CP589" s="113"/>
      <c r="CQ589" s="113"/>
      <c r="CR589" s="113"/>
      <c r="CS589" s="113"/>
      <c r="CT589" s="113"/>
      <c r="CU589" s="113"/>
    </row>
    <row r="590">
      <c r="A590" s="159"/>
      <c r="B590" s="113"/>
      <c r="C590" s="113"/>
      <c r="D590" s="158"/>
      <c r="E590" s="161"/>
      <c r="F590" s="160"/>
      <c r="G590" s="162"/>
      <c r="H590" s="159"/>
      <c r="I590" s="113"/>
      <c r="J590" s="113"/>
      <c r="K590" s="113"/>
      <c r="L590" s="158"/>
      <c r="M590" s="113"/>
      <c r="N590" s="113"/>
      <c r="O590" s="113"/>
      <c r="P590" s="113"/>
      <c r="Q590" s="113"/>
      <c r="R590" s="113"/>
      <c r="S590" s="113"/>
      <c r="T590" s="113"/>
      <c r="U590" s="113"/>
      <c r="V590" s="113"/>
      <c r="W590" s="113"/>
      <c r="X590" s="113"/>
      <c r="Y590" s="113"/>
      <c r="Z590" s="113"/>
      <c r="AA590" s="113"/>
      <c r="AB590" s="113"/>
      <c r="AC590" s="113"/>
      <c r="AD590" s="113"/>
      <c r="AE590" s="113"/>
      <c r="AF590" s="113"/>
      <c r="AG590" s="113"/>
      <c r="AH590" s="113"/>
      <c r="AI590" s="113"/>
      <c r="AJ590" s="113"/>
      <c r="AK590" s="113"/>
      <c r="AL590" s="113"/>
      <c r="AM590" s="113"/>
      <c r="AN590" s="113"/>
      <c r="AO590" s="113"/>
      <c r="AP590" s="113"/>
      <c r="AQ590" s="113"/>
      <c r="AR590" s="113"/>
      <c r="AS590" s="113"/>
      <c r="AT590" s="113"/>
      <c r="AU590" s="113"/>
      <c r="AV590" s="113"/>
      <c r="AW590" s="113"/>
      <c r="AX590" s="113"/>
      <c r="AY590" s="113"/>
      <c r="AZ590" s="113"/>
      <c r="BA590" s="113"/>
      <c r="BB590" s="113"/>
      <c r="BC590" s="113"/>
      <c r="BD590" s="113"/>
      <c r="BE590" s="113"/>
      <c r="BF590" s="113"/>
      <c r="BG590" s="113"/>
      <c r="BH590" s="113"/>
      <c r="BI590" s="113"/>
      <c r="BJ590" s="113"/>
      <c r="BK590" s="113"/>
      <c r="BL590" s="113"/>
      <c r="BM590" s="113"/>
      <c r="BN590" s="113"/>
      <c r="BO590" s="113"/>
      <c r="BP590" s="113"/>
      <c r="BQ590" s="113"/>
      <c r="BR590" s="113"/>
      <c r="BS590" s="113"/>
      <c r="BT590" s="113"/>
      <c r="BU590" s="113"/>
      <c r="BV590" s="113"/>
      <c r="BW590" s="113"/>
      <c r="BX590" s="113"/>
      <c r="BY590" s="113"/>
      <c r="BZ590" s="113"/>
      <c r="CA590" s="113"/>
      <c r="CB590" s="113"/>
      <c r="CC590" s="113"/>
      <c r="CD590" s="113"/>
      <c r="CE590" s="113"/>
      <c r="CF590" s="113"/>
      <c r="CG590" s="113"/>
      <c r="CH590" s="113"/>
      <c r="CI590" s="113"/>
      <c r="CJ590" s="113"/>
      <c r="CK590" s="113"/>
      <c r="CL590" s="113"/>
      <c r="CM590" s="113"/>
      <c r="CN590" s="113"/>
      <c r="CO590" s="113"/>
      <c r="CP590" s="113"/>
      <c r="CQ590" s="113"/>
      <c r="CR590" s="113"/>
      <c r="CS590" s="113"/>
      <c r="CT590" s="113"/>
      <c r="CU590" s="113"/>
    </row>
    <row r="591">
      <c r="A591" s="159"/>
      <c r="B591" s="113"/>
      <c r="C591" s="113"/>
      <c r="D591" s="158"/>
      <c r="E591" s="161"/>
      <c r="F591" s="160"/>
      <c r="G591" s="162"/>
      <c r="H591" s="159"/>
      <c r="I591" s="113"/>
      <c r="J591" s="113"/>
      <c r="K591" s="113"/>
      <c r="L591" s="158"/>
      <c r="M591" s="113"/>
      <c r="N591" s="113"/>
      <c r="O591" s="113"/>
      <c r="P591" s="113"/>
      <c r="Q591" s="113"/>
      <c r="R591" s="113"/>
      <c r="S591" s="113"/>
      <c r="T591" s="113"/>
      <c r="U591" s="113"/>
      <c r="V591" s="113"/>
      <c r="W591" s="113"/>
      <c r="X591" s="113"/>
      <c r="Y591" s="113"/>
      <c r="Z591" s="113"/>
      <c r="AA591" s="113"/>
      <c r="AB591" s="113"/>
      <c r="AC591" s="113"/>
      <c r="AD591" s="113"/>
      <c r="AE591" s="113"/>
      <c r="AF591" s="113"/>
      <c r="AG591" s="113"/>
      <c r="AH591" s="113"/>
      <c r="AI591" s="113"/>
      <c r="AJ591" s="113"/>
      <c r="AK591" s="113"/>
      <c r="AL591" s="113"/>
      <c r="AM591" s="113"/>
      <c r="AN591" s="113"/>
      <c r="AO591" s="113"/>
      <c r="AP591" s="113"/>
      <c r="AQ591" s="113"/>
      <c r="AR591" s="113"/>
      <c r="AS591" s="113"/>
      <c r="AT591" s="113"/>
      <c r="AU591" s="113"/>
      <c r="AV591" s="113"/>
      <c r="AW591" s="113"/>
      <c r="AX591" s="113"/>
      <c r="AY591" s="113"/>
      <c r="AZ591" s="113"/>
      <c r="BA591" s="113"/>
      <c r="BB591" s="113"/>
      <c r="BC591" s="113"/>
      <c r="BD591" s="113"/>
      <c r="BE591" s="113"/>
      <c r="BF591" s="113"/>
      <c r="BG591" s="113"/>
      <c r="BH591" s="113"/>
      <c r="BI591" s="113"/>
      <c r="BJ591" s="113"/>
      <c r="BK591" s="113"/>
      <c r="BL591" s="113"/>
      <c r="BM591" s="113"/>
      <c r="BN591" s="113"/>
      <c r="BO591" s="113"/>
      <c r="BP591" s="113"/>
      <c r="BQ591" s="113"/>
      <c r="BR591" s="113"/>
      <c r="BS591" s="113"/>
      <c r="BT591" s="113"/>
      <c r="BU591" s="113"/>
      <c r="BV591" s="113"/>
      <c r="BW591" s="113"/>
      <c r="BX591" s="113"/>
      <c r="BY591" s="113"/>
      <c r="BZ591" s="113"/>
      <c r="CA591" s="113"/>
      <c r="CB591" s="113"/>
      <c r="CC591" s="113"/>
      <c r="CD591" s="113"/>
      <c r="CE591" s="113"/>
      <c r="CF591" s="113"/>
      <c r="CG591" s="113"/>
      <c r="CH591" s="113"/>
      <c r="CI591" s="113"/>
      <c r="CJ591" s="113"/>
      <c r="CK591" s="113"/>
      <c r="CL591" s="113"/>
      <c r="CM591" s="113"/>
      <c r="CN591" s="113"/>
      <c r="CO591" s="113"/>
      <c r="CP591" s="113"/>
      <c r="CQ591" s="113"/>
      <c r="CR591" s="113"/>
      <c r="CS591" s="113"/>
      <c r="CT591" s="113"/>
      <c r="CU591" s="113"/>
    </row>
    <row r="592">
      <c r="A592" s="159"/>
      <c r="B592" s="113"/>
      <c r="C592" s="113"/>
      <c r="D592" s="158"/>
      <c r="E592" s="161"/>
      <c r="F592" s="160"/>
      <c r="G592" s="162"/>
      <c r="H592" s="159"/>
      <c r="I592" s="113"/>
      <c r="J592" s="113"/>
      <c r="K592" s="113"/>
      <c r="L592" s="158"/>
      <c r="M592" s="113"/>
      <c r="N592" s="113"/>
      <c r="O592" s="113"/>
      <c r="P592" s="113"/>
      <c r="Q592" s="113"/>
      <c r="R592" s="113"/>
      <c r="S592" s="113"/>
      <c r="T592" s="113"/>
      <c r="U592" s="113"/>
      <c r="V592" s="113"/>
      <c r="W592" s="113"/>
      <c r="X592" s="113"/>
      <c r="Y592" s="113"/>
      <c r="Z592" s="113"/>
      <c r="AA592" s="113"/>
      <c r="AB592" s="113"/>
      <c r="AC592" s="113"/>
      <c r="AD592" s="113"/>
      <c r="AE592" s="113"/>
      <c r="AF592" s="113"/>
      <c r="AG592" s="113"/>
      <c r="AH592" s="113"/>
      <c r="AI592" s="113"/>
      <c r="AJ592" s="113"/>
      <c r="AK592" s="113"/>
      <c r="AL592" s="113"/>
      <c r="AM592" s="113"/>
      <c r="AN592" s="113"/>
      <c r="AO592" s="113"/>
      <c r="AP592" s="113"/>
      <c r="AQ592" s="113"/>
      <c r="AR592" s="113"/>
      <c r="AS592" s="113"/>
      <c r="AT592" s="113"/>
      <c r="AU592" s="113"/>
      <c r="AV592" s="113"/>
      <c r="AW592" s="113"/>
      <c r="AX592" s="113"/>
      <c r="AY592" s="113"/>
      <c r="AZ592" s="113"/>
      <c r="BA592" s="113"/>
      <c r="BB592" s="113"/>
      <c r="BC592" s="113"/>
      <c r="BD592" s="113"/>
      <c r="BE592" s="113"/>
      <c r="BF592" s="113"/>
      <c r="BG592" s="113"/>
      <c r="BH592" s="113"/>
      <c r="BI592" s="113"/>
      <c r="BJ592" s="113"/>
      <c r="BK592" s="113"/>
      <c r="BL592" s="113"/>
      <c r="BM592" s="113"/>
      <c r="BN592" s="113"/>
      <c r="BO592" s="113"/>
      <c r="BP592" s="113"/>
      <c r="BQ592" s="113"/>
      <c r="BR592" s="113"/>
      <c r="BS592" s="113"/>
      <c r="BT592" s="113"/>
      <c r="BU592" s="113"/>
      <c r="BV592" s="113"/>
      <c r="BW592" s="113"/>
      <c r="BX592" s="113"/>
      <c r="BY592" s="113"/>
      <c r="BZ592" s="113"/>
      <c r="CA592" s="113"/>
      <c r="CB592" s="113"/>
      <c r="CC592" s="113"/>
      <c r="CD592" s="113"/>
      <c r="CE592" s="113"/>
      <c r="CF592" s="113"/>
      <c r="CG592" s="113"/>
      <c r="CH592" s="113"/>
      <c r="CI592" s="113"/>
      <c r="CJ592" s="113"/>
      <c r="CK592" s="113"/>
      <c r="CL592" s="113"/>
      <c r="CM592" s="113"/>
      <c r="CN592" s="113"/>
      <c r="CO592" s="113"/>
      <c r="CP592" s="113"/>
      <c r="CQ592" s="113"/>
      <c r="CR592" s="113"/>
      <c r="CS592" s="113"/>
      <c r="CT592" s="113"/>
      <c r="CU592" s="113"/>
    </row>
    <row r="593">
      <c r="A593" s="159"/>
      <c r="B593" s="113"/>
      <c r="C593" s="113"/>
      <c r="D593" s="158"/>
      <c r="E593" s="161"/>
      <c r="F593" s="160"/>
      <c r="G593" s="162"/>
      <c r="H593" s="159"/>
      <c r="I593" s="113"/>
      <c r="J593" s="113"/>
      <c r="K593" s="113"/>
      <c r="L593" s="158"/>
      <c r="M593" s="113"/>
      <c r="N593" s="113"/>
      <c r="O593" s="113"/>
      <c r="P593" s="113"/>
      <c r="Q593" s="113"/>
      <c r="R593" s="113"/>
      <c r="S593" s="113"/>
      <c r="T593" s="113"/>
      <c r="U593" s="113"/>
      <c r="V593" s="113"/>
      <c r="W593" s="113"/>
      <c r="X593" s="113"/>
      <c r="Y593" s="113"/>
      <c r="Z593" s="113"/>
      <c r="AA593" s="113"/>
      <c r="AB593" s="113"/>
      <c r="AC593" s="113"/>
      <c r="AD593" s="113"/>
      <c r="AE593" s="113"/>
      <c r="AF593" s="113"/>
      <c r="AG593" s="113"/>
      <c r="AH593" s="113"/>
      <c r="AI593" s="113"/>
      <c r="AJ593" s="113"/>
      <c r="AK593" s="113"/>
      <c r="AL593" s="113"/>
      <c r="AM593" s="113"/>
      <c r="AN593" s="113"/>
      <c r="AO593" s="113"/>
      <c r="AP593" s="113"/>
      <c r="AQ593" s="113"/>
      <c r="AR593" s="113"/>
      <c r="AS593" s="113"/>
      <c r="AT593" s="113"/>
      <c r="AU593" s="113"/>
      <c r="AV593" s="113"/>
      <c r="AW593" s="113"/>
      <c r="AX593" s="113"/>
      <c r="AY593" s="113"/>
      <c r="AZ593" s="113"/>
      <c r="BA593" s="113"/>
      <c r="BB593" s="113"/>
      <c r="BC593" s="113"/>
      <c r="BD593" s="113"/>
      <c r="BE593" s="113"/>
      <c r="BF593" s="113"/>
      <c r="BG593" s="113"/>
      <c r="BH593" s="113"/>
      <c r="BI593" s="113"/>
      <c r="BJ593" s="113"/>
      <c r="BK593" s="113"/>
      <c r="BL593" s="113"/>
      <c r="BM593" s="113"/>
      <c r="BN593" s="113"/>
      <c r="BO593" s="113"/>
      <c r="BP593" s="113"/>
      <c r="BQ593" s="113"/>
      <c r="BR593" s="113"/>
      <c r="BS593" s="113"/>
      <c r="BT593" s="113"/>
      <c r="BU593" s="113"/>
      <c r="BV593" s="113"/>
      <c r="BW593" s="113"/>
      <c r="BX593" s="113"/>
      <c r="BY593" s="113"/>
      <c r="BZ593" s="113"/>
      <c r="CA593" s="113"/>
      <c r="CB593" s="113"/>
      <c r="CC593" s="113"/>
      <c r="CD593" s="113"/>
      <c r="CE593" s="113"/>
      <c r="CF593" s="113"/>
      <c r="CG593" s="113"/>
      <c r="CH593" s="113"/>
      <c r="CI593" s="113"/>
      <c r="CJ593" s="113"/>
      <c r="CK593" s="113"/>
      <c r="CL593" s="113"/>
      <c r="CM593" s="113"/>
      <c r="CN593" s="113"/>
      <c r="CO593" s="113"/>
      <c r="CP593" s="113"/>
      <c r="CQ593" s="113"/>
      <c r="CR593" s="113"/>
      <c r="CS593" s="113"/>
      <c r="CT593" s="113"/>
      <c r="CU593" s="113"/>
    </row>
    <row r="594">
      <c r="A594" s="159"/>
      <c r="B594" s="113"/>
      <c r="C594" s="113"/>
      <c r="D594" s="158"/>
      <c r="E594" s="161"/>
      <c r="F594" s="160"/>
      <c r="G594" s="162"/>
      <c r="H594" s="159"/>
      <c r="I594" s="113"/>
      <c r="J594" s="113"/>
      <c r="K594" s="113"/>
      <c r="L594" s="158"/>
      <c r="M594" s="113"/>
      <c r="N594" s="113"/>
      <c r="O594" s="113"/>
      <c r="P594" s="113"/>
      <c r="Q594" s="113"/>
      <c r="R594" s="113"/>
      <c r="S594" s="113"/>
      <c r="T594" s="113"/>
      <c r="U594" s="113"/>
      <c r="V594" s="113"/>
      <c r="W594" s="113"/>
      <c r="X594" s="113"/>
      <c r="Y594" s="113"/>
      <c r="Z594" s="113"/>
      <c r="AA594" s="113"/>
      <c r="AB594" s="113"/>
      <c r="AC594" s="113"/>
      <c r="AD594" s="113"/>
      <c r="AE594" s="113"/>
      <c r="AF594" s="113"/>
      <c r="AG594" s="113"/>
      <c r="AH594" s="113"/>
      <c r="AI594" s="113"/>
      <c r="AJ594" s="113"/>
      <c r="AK594" s="113"/>
      <c r="AL594" s="113"/>
      <c r="AM594" s="113"/>
      <c r="AN594" s="113"/>
      <c r="AO594" s="113"/>
      <c r="AP594" s="113"/>
      <c r="AQ594" s="113"/>
      <c r="AR594" s="113"/>
      <c r="AS594" s="113"/>
      <c r="AT594" s="113"/>
      <c r="AU594" s="113"/>
      <c r="AV594" s="113"/>
      <c r="AW594" s="113"/>
      <c r="AX594" s="113"/>
      <c r="AY594" s="113"/>
      <c r="AZ594" s="113"/>
      <c r="BA594" s="113"/>
      <c r="BB594" s="113"/>
      <c r="BC594" s="113"/>
      <c r="BD594" s="113"/>
      <c r="BE594" s="113"/>
      <c r="BF594" s="113"/>
      <c r="BG594" s="113"/>
      <c r="BH594" s="113"/>
      <c r="BI594" s="113"/>
      <c r="BJ594" s="113"/>
      <c r="BK594" s="113"/>
      <c r="BL594" s="113"/>
      <c r="BM594" s="113"/>
      <c r="BN594" s="113"/>
      <c r="BO594" s="113"/>
      <c r="BP594" s="113"/>
      <c r="BQ594" s="113"/>
      <c r="BR594" s="113"/>
      <c r="BS594" s="113"/>
      <c r="BT594" s="113"/>
      <c r="BU594" s="113"/>
      <c r="BV594" s="113"/>
      <c r="BW594" s="113"/>
      <c r="BX594" s="113"/>
      <c r="BY594" s="113"/>
      <c r="BZ594" s="113"/>
      <c r="CA594" s="113"/>
      <c r="CB594" s="113"/>
      <c r="CC594" s="113"/>
      <c r="CD594" s="113"/>
      <c r="CE594" s="113"/>
      <c r="CF594" s="113"/>
      <c r="CG594" s="113"/>
      <c r="CH594" s="113"/>
      <c r="CI594" s="113"/>
      <c r="CJ594" s="113"/>
      <c r="CK594" s="113"/>
      <c r="CL594" s="113"/>
      <c r="CM594" s="113"/>
      <c r="CN594" s="113"/>
      <c r="CO594" s="113"/>
      <c r="CP594" s="113"/>
      <c r="CQ594" s="113"/>
      <c r="CR594" s="113"/>
      <c r="CS594" s="113"/>
      <c r="CT594" s="113"/>
      <c r="CU594" s="113"/>
    </row>
    <row r="595">
      <c r="A595" s="159"/>
      <c r="B595" s="113"/>
      <c r="C595" s="113"/>
      <c r="D595" s="158"/>
      <c r="E595" s="161"/>
      <c r="F595" s="160"/>
      <c r="G595" s="162"/>
      <c r="H595" s="159"/>
      <c r="I595" s="113"/>
      <c r="J595" s="113"/>
      <c r="K595" s="113"/>
      <c r="L595" s="158"/>
      <c r="M595" s="113"/>
      <c r="N595" s="113"/>
      <c r="O595" s="113"/>
      <c r="P595" s="113"/>
      <c r="Q595" s="113"/>
      <c r="R595" s="113"/>
      <c r="S595" s="113"/>
      <c r="T595" s="113"/>
      <c r="U595" s="113"/>
      <c r="V595" s="113"/>
      <c r="W595" s="113"/>
      <c r="X595" s="113"/>
      <c r="Y595" s="113"/>
      <c r="Z595" s="113"/>
      <c r="AA595" s="113"/>
      <c r="AB595" s="113"/>
      <c r="AC595" s="113"/>
      <c r="AD595" s="113"/>
      <c r="AE595" s="113"/>
      <c r="AF595" s="113"/>
      <c r="AG595" s="113"/>
      <c r="AH595" s="113"/>
      <c r="AI595" s="113"/>
      <c r="AJ595" s="113"/>
      <c r="AK595" s="113"/>
      <c r="AL595" s="113"/>
      <c r="AM595" s="113"/>
      <c r="AN595" s="113"/>
      <c r="AO595" s="113"/>
      <c r="AP595" s="113"/>
      <c r="AQ595" s="113"/>
      <c r="AR595" s="113"/>
      <c r="AS595" s="113"/>
      <c r="AT595" s="113"/>
      <c r="AU595" s="113"/>
      <c r="AV595" s="113"/>
      <c r="AW595" s="113"/>
      <c r="AX595" s="113"/>
      <c r="AY595" s="113"/>
      <c r="AZ595" s="113"/>
      <c r="BA595" s="113"/>
      <c r="BB595" s="113"/>
      <c r="BC595" s="113"/>
      <c r="BD595" s="113"/>
      <c r="BE595" s="113"/>
      <c r="BF595" s="113"/>
      <c r="BG595" s="113"/>
      <c r="BH595" s="113"/>
      <c r="BI595" s="113"/>
      <c r="BJ595" s="113"/>
      <c r="BK595" s="113"/>
      <c r="BL595" s="113"/>
      <c r="BM595" s="113"/>
      <c r="BN595" s="113"/>
      <c r="BO595" s="113"/>
      <c r="BP595" s="113"/>
      <c r="BQ595" s="113"/>
      <c r="BR595" s="113"/>
      <c r="BS595" s="113"/>
      <c r="BT595" s="113"/>
      <c r="BU595" s="113"/>
      <c r="BV595" s="113"/>
      <c r="BW595" s="113"/>
      <c r="BX595" s="113"/>
      <c r="BY595" s="113"/>
      <c r="BZ595" s="113"/>
      <c r="CA595" s="113"/>
      <c r="CB595" s="113"/>
      <c r="CC595" s="113"/>
      <c r="CD595" s="113"/>
      <c r="CE595" s="113"/>
      <c r="CF595" s="113"/>
      <c r="CG595" s="113"/>
      <c r="CH595" s="113"/>
      <c r="CI595" s="113"/>
      <c r="CJ595" s="113"/>
      <c r="CK595" s="113"/>
      <c r="CL595" s="113"/>
      <c r="CM595" s="113"/>
      <c r="CN595" s="113"/>
      <c r="CO595" s="113"/>
      <c r="CP595" s="113"/>
      <c r="CQ595" s="113"/>
      <c r="CR595" s="113"/>
      <c r="CS595" s="113"/>
      <c r="CT595" s="113"/>
      <c r="CU595" s="113"/>
    </row>
    <row r="596">
      <c r="A596" s="159"/>
      <c r="B596" s="113"/>
      <c r="C596" s="113"/>
      <c r="D596" s="158"/>
      <c r="E596" s="161"/>
      <c r="F596" s="160"/>
      <c r="G596" s="162"/>
      <c r="H596" s="159"/>
      <c r="I596" s="113"/>
      <c r="J596" s="113"/>
      <c r="K596" s="113"/>
      <c r="L596" s="158"/>
      <c r="M596" s="113"/>
      <c r="N596" s="113"/>
      <c r="O596" s="113"/>
      <c r="P596" s="113"/>
      <c r="Q596" s="113"/>
      <c r="R596" s="113"/>
      <c r="S596" s="113"/>
      <c r="T596" s="113"/>
      <c r="U596" s="113"/>
      <c r="V596" s="113"/>
      <c r="W596" s="113"/>
      <c r="X596" s="113"/>
      <c r="Y596" s="113"/>
      <c r="Z596" s="113"/>
      <c r="AA596" s="113"/>
      <c r="AB596" s="113"/>
      <c r="AC596" s="113"/>
      <c r="AD596" s="113"/>
      <c r="AE596" s="113"/>
      <c r="AF596" s="113"/>
      <c r="AG596" s="113"/>
      <c r="AH596" s="113"/>
      <c r="AI596" s="113"/>
      <c r="AJ596" s="113"/>
      <c r="AK596" s="113"/>
      <c r="AL596" s="113"/>
      <c r="AM596" s="113"/>
      <c r="AN596" s="113"/>
      <c r="AO596" s="113"/>
      <c r="AP596" s="113"/>
      <c r="AQ596" s="113"/>
      <c r="AR596" s="113"/>
      <c r="AS596" s="113"/>
      <c r="AT596" s="113"/>
      <c r="AU596" s="113"/>
      <c r="AV596" s="113"/>
      <c r="AW596" s="113"/>
      <c r="AX596" s="113"/>
      <c r="AY596" s="113"/>
      <c r="AZ596" s="113"/>
      <c r="BA596" s="113"/>
      <c r="BB596" s="113"/>
      <c r="BC596" s="113"/>
      <c r="BD596" s="113"/>
      <c r="BE596" s="113"/>
      <c r="BF596" s="113"/>
      <c r="BG596" s="113"/>
      <c r="BH596" s="113"/>
      <c r="BI596" s="113"/>
      <c r="BJ596" s="113"/>
      <c r="BK596" s="113"/>
      <c r="BL596" s="113"/>
      <c r="BM596" s="113"/>
      <c r="BN596" s="113"/>
      <c r="BO596" s="113"/>
      <c r="BP596" s="113"/>
      <c r="BQ596" s="113"/>
      <c r="BR596" s="113"/>
      <c r="BS596" s="113"/>
      <c r="BT596" s="113"/>
      <c r="BU596" s="113"/>
      <c r="BV596" s="113"/>
      <c r="BW596" s="113"/>
      <c r="BX596" s="113"/>
      <c r="BY596" s="113"/>
      <c r="BZ596" s="113"/>
      <c r="CA596" s="113"/>
      <c r="CB596" s="113"/>
      <c r="CC596" s="113"/>
      <c r="CD596" s="113"/>
      <c r="CE596" s="113"/>
      <c r="CF596" s="113"/>
      <c r="CG596" s="113"/>
      <c r="CH596" s="113"/>
      <c r="CI596" s="113"/>
      <c r="CJ596" s="113"/>
      <c r="CK596" s="113"/>
      <c r="CL596" s="113"/>
      <c r="CM596" s="113"/>
      <c r="CN596" s="113"/>
      <c r="CO596" s="113"/>
      <c r="CP596" s="113"/>
      <c r="CQ596" s="113"/>
      <c r="CR596" s="113"/>
      <c r="CS596" s="113"/>
      <c r="CT596" s="113"/>
      <c r="CU596" s="113"/>
    </row>
    <row r="597">
      <c r="A597" s="159"/>
      <c r="B597" s="113"/>
      <c r="C597" s="113"/>
      <c r="D597" s="158"/>
      <c r="E597" s="161"/>
      <c r="F597" s="160"/>
      <c r="G597" s="162"/>
      <c r="H597" s="159"/>
      <c r="I597" s="113"/>
      <c r="J597" s="113"/>
      <c r="K597" s="113"/>
      <c r="L597" s="158"/>
      <c r="M597" s="113"/>
      <c r="N597" s="113"/>
      <c r="O597" s="113"/>
      <c r="P597" s="113"/>
      <c r="Q597" s="113"/>
      <c r="R597" s="113"/>
      <c r="S597" s="113"/>
      <c r="T597" s="113"/>
      <c r="U597" s="113"/>
      <c r="V597" s="113"/>
      <c r="W597" s="113"/>
      <c r="X597" s="113"/>
      <c r="Y597" s="113"/>
      <c r="Z597" s="113"/>
      <c r="AA597" s="113"/>
      <c r="AB597" s="113"/>
      <c r="AC597" s="113"/>
      <c r="AD597" s="113"/>
      <c r="AE597" s="113"/>
      <c r="AF597" s="113"/>
      <c r="AG597" s="113"/>
      <c r="AH597" s="113"/>
      <c r="AI597" s="113"/>
      <c r="AJ597" s="113"/>
      <c r="AK597" s="113"/>
      <c r="AL597" s="113"/>
      <c r="AM597" s="113"/>
      <c r="AN597" s="113"/>
      <c r="AO597" s="113"/>
      <c r="AP597" s="113"/>
      <c r="AQ597" s="113"/>
      <c r="AR597" s="113"/>
      <c r="AS597" s="113"/>
      <c r="AT597" s="113"/>
      <c r="AU597" s="113"/>
      <c r="AV597" s="113"/>
      <c r="AW597" s="113"/>
      <c r="AX597" s="113"/>
      <c r="AY597" s="113"/>
      <c r="AZ597" s="113"/>
      <c r="BA597" s="113"/>
      <c r="BB597" s="113"/>
      <c r="BC597" s="113"/>
      <c r="BD597" s="113"/>
      <c r="BE597" s="113"/>
      <c r="BF597" s="113"/>
      <c r="BG597" s="113"/>
      <c r="BH597" s="113"/>
      <c r="BI597" s="113"/>
      <c r="BJ597" s="113"/>
      <c r="BK597" s="113"/>
      <c r="BL597" s="113"/>
      <c r="BM597" s="113"/>
      <c r="BN597" s="113"/>
      <c r="BO597" s="113"/>
      <c r="BP597" s="113"/>
      <c r="BQ597" s="113"/>
      <c r="BR597" s="113"/>
      <c r="BS597" s="113"/>
      <c r="BT597" s="113"/>
      <c r="BU597" s="113"/>
      <c r="BV597" s="113"/>
      <c r="BW597" s="113"/>
      <c r="BX597" s="113"/>
      <c r="BY597" s="113"/>
      <c r="BZ597" s="113"/>
      <c r="CA597" s="113"/>
      <c r="CB597" s="113"/>
      <c r="CC597" s="113"/>
      <c r="CD597" s="113"/>
      <c r="CE597" s="113"/>
      <c r="CF597" s="113"/>
      <c r="CG597" s="113"/>
      <c r="CH597" s="113"/>
      <c r="CI597" s="113"/>
      <c r="CJ597" s="113"/>
      <c r="CK597" s="113"/>
      <c r="CL597" s="113"/>
      <c r="CM597" s="113"/>
      <c r="CN597" s="113"/>
      <c r="CO597" s="113"/>
      <c r="CP597" s="113"/>
      <c r="CQ597" s="113"/>
      <c r="CR597" s="113"/>
      <c r="CS597" s="113"/>
      <c r="CT597" s="113"/>
      <c r="CU597" s="113"/>
    </row>
    <row r="598">
      <c r="A598" s="159"/>
      <c r="B598" s="113"/>
      <c r="C598" s="113"/>
      <c r="D598" s="158"/>
      <c r="E598" s="161"/>
      <c r="F598" s="160"/>
      <c r="G598" s="162"/>
      <c r="H598" s="159"/>
      <c r="I598" s="113"/>
      <c r="J598" s="113"/>
      <c r="K598" s="113"/>
      <c r="L598" s="158"/>
      <c r="M598" s="113"/>
      <c r="N598" s="113"/>
      <c r="O598" s="113"/>
      <c r="P598" s="113"/>
      <c r="Q598" s="113"/>
      <c r="R598" s="113"/>
      <c r="S598" s="113"/>
      <c r="T598" s="113"/>
      <c r="U598" s="113"/>
      <c r="V598" s="113"/>
      <c r="W598" s="113"/>
      <c r="X598" s="113"/>
      <c r="Y598" s="113"/>
      <c r="Z598" s="113"/>
      <c r="AA598" s="113"/>
      <c r="AB598" s="113"/>
      <c r="AC598" s="113"/>
      <c r="AD598" s="113"/>
      <c r="AE598" s="113"/>
      <c r="AF598" s="113"/>
      <c r="AG598" s="113"/>
      <c r="AH598" s="113"/>
      <c r="AI598" s="113"/>
      <c r="AJ598" s="113"/>
      <c r="AK598" s="113"/>
      <c r="AL598" s="113"/>
      <c r="AM598" s="113"/>
      <c r="AN598" s="113"/>
      <c r="AO598" s="113"/>
      <c r="AP598" s="113"/>
      <c r="AQ598" s="113"/>
      <c r="AR598" s="113"/>
      <c r="AS598" s="113"/>
      <c r="AT598" s="113"/>
      <c r="AU598" s="113"/>
      <c r="AV598" s="113"/>
      <c r="AW598" s="113"/>
      <c r="AX598" s="113"/>
      <c r="AY598" s="113"/>
      <c r="AZ598" s="113"/>
      <c r="BA598" s="113"/>
      <c r="BB598" s="113"/>
      <c r="BC598" s="113"/>
      <c r="BD598" s="113"/>
      <c r="BE598" s="113"/>
      <c r="BF598" s="113"/>
      <c r="BG598" s="113"/>
      <c r="BH598" s="113"/>
      <c r="BI598" s="113"/>
      <c r="BJ598" s="113"/>
      <c r="BK598" s="113"/>
      <c r="BL598" s="113"/>
      <c r="BM598" s="113"/>
      <c r="BN598" s="113"/>
      <c r="BO598" s="113"/>
      <c r="BP598" s="113"/>
      <c r="BQ598" s="113"/>
      <c r="BR598" s="113"/>
      <c r="BS598" s="113"/>
      <c r="BT598" s="113"/>
      <c r="BU598" s="113"/>
      <c r="BV598" s="113"/>
      <c r="BW598" s="113"/>
      <c r="BX598" s="113"/>
      <c r="BY598" s="113"/>
      <c r="BZ598" s="113"/>
      <c r="CA598" s="113"/>
      <c r="CB598" s="113"/>
      <c r="CC598" s="113"/>
      <c r="CD598" s="113"/>
      <c r="CE598" s="113"/>
      <c r="CF598" s="113"/>
      <c r="CG598" s="113"/>
      <c r="CH598" s="113"/>
      <c r="CI598" s="113"/>
      <c r="CJ598" s="113"/>
      <c r="CK598" s="113"/>
      <c r="CL598" s="113"/>
      <c r="CM598" s="113"/>
      <c r="CN598" s="113"/>
      <c r="CO598" s="113"/>
      <c r="CP598" s="113"/>
      <c r="CQ598" s="113"/>
      <c r="CR598" s="113"/>
      <c r="CS598" s="113"/>
      <c r="CT598" s="113"/>
      <c r="CU598" s="113"/>
    </row>
    <row r="599">
      <c r="A599" s="159"/>
      <c r="B599" s="113"/>
      <c r="C599" s="113"/>
      <c r="D599" s="158"/>
      <c r="E599" s="161"/>
      <c r="F599" s="160"/>
      <c r="G599" s="162"/>
      <c r="H599" s="159"/>
      <c r="I599" s="113"/>
      <c r="J599" s="113"/>
      <c r="K599" s="113"/>
      <c r="L599" s="158"/>
      <c r="M599" s="113"/>
      <c r="N599" s="113"/>
      <c r="O599" s="113"/>
      <c r="P599" s="113"/>
      <c r="Q599" s="113"/>
      <c r="R599" s="113"/>
      <c r="S599" s="113"/>
      <c r="T599" s="113"/>
      <c r="U599" s="113"/>
      <c r="V599" s="113"/>
      <c r="W599" s="113"/>
      <c r="X599" s="113"/>
      <c r="Y599" s="113"/>
      <c r="Z599" s="113"/>
      <c r="AA599" s="113"/>
      <c r="AB599" s="113"/>
      <c r="AC599" s="113"/>
      <c r="AD599" s="113"/>
      <c r="AE599" s="113"/>
      <c r="AF599" s="113"/>
      <c r="AG599" s="113"/>
      <c r="AH599" s="113"/>
      <c r="AI599" s="113"/>
      <c r="AJ599" s="113"/>
      <c r="AK599" s="113"/>
      <c r="AL599" s="113"/>
      <c r="AM599" s="113"/>
      <c r="AN599" s="113"/>
      <c r="AO599" s="113"/>
      <c r="AP599" s="113"/>
      <c r="AQ599" s="113"/>
      <c r="AR599" s="113"/>
      <c r="AS599" s="113"/>
      <c r="AT599" s="113"/>
      <c r="AU599" s="113"/>
      <c r="AV599" s="113"/>
      <c r="AW599" s="113"/>
      <c r="AX599" s="113"/>
      <c r="AY599" s="113"/>
      <c r="AZ599" s="113"/>
      <c r="BA599" s="113"/>
      <c r="BB599" s="113"/>
      <c r="BC599" s="113"/>
      <c r="BD599" s="113"/>
      <c r="BE599" s="113"/>
      <c r="BF599" s="113"/>
      <c r="BG599" s="113"/>
      <c r="BH599" s="113"/>
      <c r="BI599" s="113"/>
      <c r="BJ599" s="113"/>
      <c r="BK599" s="113"/>
      <c r="BL599" s="113"/>
      <c r="BM599" s="113"/>
      <c r="BN599" s="113"/>
      <c r="BO599" s="113"/>
      <c r="BP599" s="113"/>
      <c r="BQ599" s="113"/>
      <c r="BR599" s="113"/>
      <c r="BS599" s="113"/>
      <c r="BT599" s="113"/>
      <c r="BU599" s="113"/>
      <c r="BV599" s="113"/>
      <c r="BW599" s="113"/>
      <c r="BX599" s="113"/>
      <c r="BY599" s="113"/>
      <c r="BZ599" s="113"/>
      <c r="CA599" s="113"/>
      <c r="CB599" s="113"/>
      <c r="CC599" s="113"/>
      <c r="CD599" s="113"/>
      <c r="CE599" s="113"/>
      <c r="CF599" s="113"/>
      <c r="CG599" s="113"/>
      <c r="CH599" s="113"/>
      <c r="CI599" s="113"/>
      <c r="CJ599" s="113"/>
      <c r="CK599" s="113"/>
      <c r="CL599" s="113"/>
      <c r="CM599" s="113"/>
      <c r="CN599" s="113"/>
      <c r="CO599" s="113"/>
      <c r="CP599" s="113"/>
      <c r="CQ599" s="113"/>
      <c r="CR599" s="113"/>
      <c r="CS599" s="113"/>
      <c r="CT599" s="113"/>
      <c r="CU599" s="113"/>
    </row>
    <row r="600">
      <c r="A600" s="159"/>
      <c r="B600" s="113"/>
      <c r="C600" s="113"/>
      <c r="D600" s="158"/>
      <c r="E600" s="161"/>
      <c r="F600" s="160"/>
      <c r="G600" s="162"/>
      <c r="H600" s="159"/>
      <c r="I600" s="113"/>
      <c r="J600" s="113"/>
      <c r="K600" s="113"/>
      <c r="L600" s="158"/>
      <c r="M600" s="113"/>
      <c r="N600" s="113"/>
      <c r="O600" s="113"/>
      <c r="P600" s="113"/>
      <c r="Q600" s="113"/>
      <c r="R600" s="113"/>
      <c r="S600" s="113"/>
      <c r="T600" s="113"/>
      <c r="U600" s="113"/>
      <c r="V600" s="113"/>
      <c r="W600" s="113"/>
      <c r="X600" s="113"/>
      <c r="Y600" s="113"/>
      <c r="Z600" s="113"/>
      <c r="AA600" s="113"/>
      <c r="AB600" s="113"/>
      <c r="AC600" s="113"/>
      <c r="AD600" s="113"/>
      <c r="AE600" s="113"/>
      <c r="AF600" s="113"/>
      <c r="AG600" s="113"/>
      <c r="AH600" s="113"/>
      <c r="AI600" s="113"/>
      <c r="AJ600" s="113"/>
      <c r="AK600" s="113"/>
      <c r="AL600" s="113"/>
      <c r="AM600" s="113"/>
      <c r="AN600" s="113"/>
      <c r="AO600" s="113"/>
      <c r="AP600" s="113"/>
      <c r="AQ600" s="113"/>
      <c r="AR600" s="113"/>
      <c r="AS600" s="113"/>
      <c r="AT600" s="113"/>
      <c r="AU600" s="113"/>
      <c r="AV600" s="113"/>
      <c r="AW600" s="113"/>
      <c r="AX600" s="113"/>
      <c r="AY600" s="113"/>
      <c r="AZ600" s="113"/>
      <c r="BA600" s="113"/>
      <c r="BB600" s="113"/>
      <c r="BC600" s="113"/>
      <c r="BD600" s="113"/>
      <c r="BE600" s="113"/>
      <c r="BF600" s="113"/>
      <c r="BG600" s="113"/>
      <c r="BH600" s="113"/>
      <c r="BI600" s="113"/>
      <c r="BJ600" s="113"/>
      <c r="BK600" s="113"/>
      <c r="BL600" s="113"/>
      <c r="BM600" s="113"/>
      <c r="BN600" s="113"/>
      <c r="BO600" s="113"/>
      <c r="BP600" s="113"/>
      <c r="BQ600" s="113"/>
      <c r="BR600" s="113"/>
      <c r="BS600" s="113"/>
      <c r="BT600" s="113"/>
      <c r="BU600" s="113"/>
      <c r="BV600" s="113"/>
      <c r="BW600" s="113"/>
      <c r="BX600" s="113"/>
      <c r="BY600" s="113"/>
      <c r="BZ600" s="113"/>
      <c r="CA600" s="113"/>
      <c r="CB600" s="113"/>
      <c r="CC600" s="113"/>
      <c r="CD600" s="113"/>
      <c r="CE600" s="113"/>
      <c r="CF600" s="113"/>
      <c r="CG600" s="113"/>
      <c r="CH600" s="113"/>
      <c r="CI600" s="113"/>
      <c r="CJ600" s="113"/>
      <c r="CK600" s="113"/>
      <c r="CL600" s="113"/>
      <c r="CM600" s="113"/>
      <c r="CN600" s="113"/>
      <c r="CO600" s="113"/>
      <c r="CP600" s="113"/>
      <c r="CQ600" s="113"/>
      <c r="CR600" s="113"/>
      <c r="CS600" s="113"/>
      <c r="CT600" s="113"/>
      <c r="CU600" s="113"/>
    </row>
    <row r="601">
      <c r="A601" s="159"/>
      <c r="B601" s="113"/>
      <c r="C601" s="113"/>
      <c r="D601" s="158"/>
      <c r="E601" s="161"/>
      <c r="F601" s="160"/>
      <c r="G601" s="162"/>
      <c r="H601" s="159"/>
      <c r="I601" s="113"/>
      <c r="J601" s="113"/>
      <c r="K601" s="113"/>
      <c r="L601" s="158"/>
      <c r="M601" s="113"/>
      <c r="N601" s="113"/>
      <c r="O601" s="113"/>
      <c r="P601" s="113"/>
      <c r="Q601" s="113"/>
      <c r="R601" s="113"/>
      <c r="S601" s="113"/>
      <c r="T601" s="113"/>
      <c r="U601" s="113"/>
      <c r="V601" s="113"/>
      <c r="W601" s="113"/>
      <c r="X601" s="113"/>
      <c r="Y601" s="113"/>
      <c r="Z601" s="113"/>
      <c r="AA601" s="113"/>
      <c r="AB601" s="113"/>
      <c r="AC601" s="113"/>
      <c r="AD601" s="113"/>
      <c r="AE601" s="113"/>
      <c r="AF601" s="113"/>
      <c r="AG601" s="113"/>
      <c r="AH601" s="113"/>
      <c r="AI601" s="113"/>
      <c r="AJ601" s="113"/>
      <c r="AK601" s="113"/>
      <c r="AL601" s="113"/>
      <c r="AM601" s="113"/>
      <c r="AN601" s="113"/>
      <c r="AO601" s="113"/>
      <c r="AP601" s="113"/>
      <c r="AQ601" s="113"/>
      <c r="AR601" s="113"/>
      <c r="AS601" s="113"/>
      <c r="AT601" s="113"/>
      <c r="AU601" s="113"/>
      <c r="AV601" s="113"/>
      <c r="AW601" s="113"/>
      <c r="AX601" s="113"/>
      <c r="AY601" s="113"/>
      <c r="AZ601" s="113"/>
      <c r="BA601" s="113"/>
      <c r="BB601" s="113"/>
      <c r="BC601" s="113"/>
      <c r="BD601" s="113"/>
      <c r="BE601" s="113"/>
      <c r="BF601" s="113"/>
      <c r="BG601" s="113"/>
      <c r="BH601" s="113"/>
      <c r="BI601" s="113"/>
      <c r="BJ601" s="113"/>
      <c r="BK601" s="113"/>
      <c r="BL601" s="113"/>
      <c r="BM601" s="113"/>
      <c r="BN601" s="113"/>
      <c r="BO601" s="113"/>
      <c r="BP601" s="113"/>
      <c r="BQ601" s="113"/>
      <c r="BR601" s="113"/>
      <c r="BS601" s="113"/>
      <c r="BT601" s="113"/>
      <c r="BU601" s="113"/>
      <c r="BV601" s="113"/>
      <c r="BW601" s="113"/>
      <c r="BX601" s="113"/>
      <c r="BY601" s="113"/>
      <c r="BZ601" s="113"/>
      <c r="CA601" s="113"/>
      <c r="CB601" s="113"/>
      <c r="CC601" s="113"/>
      <c r="CD601" s="113"/>
      <c r="CE601" s="113"/>
      <c r="CF601" s="113"/>
      <c r="CG601" s="113"/>
      <c r="CH601" s="113"/>
      <c r="CI601" s="113"/>
      <c r="CJ601" s="113"/>
      <c r="CK601" s="113"/>
      <c r="CL601" s="113"/>
      <c r="CM601" s="113"/>
      <c r="CN601" s="113"/>
      <c r="CO601" s="113"/>
      <c r="CP601" s="113"/>
      <c r="CQ601" s="113"/>
      <c r="CR601" s="113"/>
      <c r="CS601" s="113"/>
      <c r="CT601" s="113"/>
      <c r="CU601" s="113"/>
    </row>
    <row r="602">
      <c r="A602" s="159"/>
      <c r="B602" s="113"/>
      <c r="C602" s="113"/>
      <c r="D602" s="158"/>
      <c r="E602" s="161"/>
      <c r="F602" s="160"/>
      <c r="G602" s="162"/>
      <c r="H602" s="159"/>
      <c r="I602" s="113"/>
      <c r="J602" s="113"/>
      <c r="K602" s="113"/>
      <c r="L602" s="158"/>
      <c r="M602" s="113"/>
      <c r="N602" s="113"/>
      <c r="O602" s="113"/>
      <c r="P602" s="113"/>
      <c r="Q602" s="113"/>
      <c r="R602" s="113"/>
      <c r="S602" s="113"/>
      <c r="T602" s="113"/>
      <c r="U602" s="113"/>
      <c r="V602" s="113"/>
      <c r="W602" s="113"/>
      <c r="X602" s="113"/>
      <c r="Y602" s="113"/>
      <c r="Z602" s="113"/>
      <c r="AA602" s="113"/>
      <c r="AB602" s="113"/>
      <c r="AC602" s="113"/>
      <c r="AD602" s="113"/>
      <c r="AE602" s="113"/>
      <c r="AF602" s="113"/>
      <c r="AG602" s="113"/>
      <c r="AH602" s="113"/>
      <c r="AI602" s="113"/>
      <c r="AJ602" s="113"/>
      <c r="AK602" s="113"/>
      <c r="AL602" s="113"/>
      <c r="AM602" s="113"/>
      <c r="AN602" s="113"/>
      <c r="AO602" s="113"/>
      <c r="AP602" s="113"/>
      <c r="AQ602" s="113"/>
      <c r="AR602" s="113"/>
      <c r="AS602" s="113"/>
      <c r="AT602" s="113"/>
      <c r="AU602" s="113"/>
      <c r="AV602" s="113"/>
      <c r="AW602" s="113"/>
      <c r="AX602" s="113"/>
      <c r="AY602" s="113"/>
      <c r="AZ602" s="113"/>
      <c r="BA602" s="113"/>
      <c r="BB602" s="113"/>
      <c r="BC602" s="113"/>
      <c r="BD602" s="113"/>
      <c r="BE602" s="113"/>
      <c r="BF602" s="113"/>
      <c r="BG602" s="113"/>
      <c r="BH602" s="113"/>
      <c r="BI602" s="113"/>
      <c r="BJ602" s="113"/>
      <c r="BK602" s="113"/>
      <c r="BL602" s="113"/>
      <c r="BM602" s="113"/>
      <c r="BN602" s="113"/>
      <c r="BO602" s="113"/>
      <c r="BP602" s="113"/>
      <c r="BQ602" s="113"/>
      <c r="BR602" s="113"/>
      <c r="BS602" s="113"/>
      <c r="BT602" s="113"/>
      <c r="BU602" s="113"/>
      <c r="BV602" s="113"/>
      <c r="BW602" s="113"/>
      <c r="BX602" s="113"/>
      <c r="BY602" s="113"/>
      <c r="BZ602" s="113"/>
      <c r="CA602" s="113"/>
      <c r="CB602" s="113"/>
      <c r="CC602" s="113"/>
      <c r="CD602" s="113"/>
      <c r="CE602" s="113"/>
      <c r="CF602" s="113"/>
      <c r="CG602" s="113"/>
      <c r="CH602" s="113"/>
      <c r="CI602" s="113"/>
      <c r="CJ602" s="113"/>
      <c r="CK602" s="113"/>
      <c r="CL602" s="113"/>
      <c r="CM602" s="113"/>
      <c r="CN602" s="113"/>
      <c r="CO602" s="113"/>
      <c r="CP602" s="113"/>
      <c r="CQ602" s="113"/>
      <c r="CR602" s="113"/>
      <c r="CS602" s="113"/>
      <c r="CT602" s="113"/>
      <c r="CU602" s="113"/>
    </row>
    <row r="603">
      <c r="A603" s="159"/>
      <c r="B603" s="113"/>
      <c r="C603" s="113"/>
      <c r="D603" s="158"/>
      <c r="E603" s="161"/>
      <c r="F603" s="160"/>
      <c r="G603" s="162"/>
      <c r="H603" s="159"/>
      <c r="I603" s="113"/>
      <c r="J603" s="113"/>
      <c r="K603" s="113"/>
      <c r="L603" s="158"/>
      <c r="M603" s="113"/>
      <c r="N603" s="113"/>
      <c r="O603" s="113"/>
      <c r="P603" s="113"/>
      <c r="Q603" s="113"/>
      <c r="R603" s="113"/>
      <c r="S603" s="113"/>
      <c r="T603" s="113"/>
      <c r="U603" s="113"/>
      <c r="V603" s="113"/>
      <c r="W603" s="113"/>
      <c r="X603" s="113"/>
      <c r="Y603" s="113"/>
      <c r="Z603" s="113"/>
      <c r="AA603" s="113"/>
      <c r="AB603" s="113"/>
      <c r="AC603" s="113"/>
      <c r="AD603" s="113"/>
      <c r="AE603" s="113"/>
      <c r="AF603" s="113"/>
      <c r="AG603" s="113"/>
      <c r="AH603" s="113"/>
      <c r="AI603" s="113"/>
      <c r="AJ603" s="113"/>
      <c r="AK603" s="113"/>
      <c r="AL603" s="113"/>
      <c r="AM603" s="113"/>
      <c r="AN603" s="113"/>
      <c r="AO603" s="113"/>
      <c r="AP603" s="113"/>
      <c r="AQ603" s="113"/>
      <c r="AR603" s="113"/>
      <c r="AS603" s="113"/>
      <c r="AT603" s="113"/>
      <c r="AU603" s="113"/>
      <c r="AV603" s="113"/>
      <c r="AW603" s="113"/>
      <c r="AX603" s="113"/>
      <c r="AY603" s="113"/>
      <c r="AZ603" s="113"/>
      <c r="BA603" s="113"/>
      <c r="BB603" s="113"/>
      <c r="BC603" s="113"/>
      <c r="BD603" s="113"/>
      <c r="BE603" s="113"/>
      <c r="BF603" s="113"/>
      <c r="BG603" s="113"/>
      <c r="BH603" s="113"/>
      <c r="BI603" s="113"/>
      <c r="BJ603" s="113"/>
      <c r="BK603" s="113"/>
      <c r="BL603" s="113"/>
      <c r="BM603" s="113"/>
      <c r="BN603" s="113"/>
      <c r="BO603" s="113"/>
      <c r="BP603" s="113"/>
      <c r="BQ603" s="113"/>
      <c r="BR603" s="113"/>
      <c r="BS603" s="113"/>
      <c r="BT603" s="113"/>
      <c r="BU603" s="113"/>
      <c r="BV603" s="113"/>
      <c r="BW603" s="113"/>
      <c r="BX603" s="113"/>
      <c r="BY603" s="113"/>
      <c r="BZ603" s="113"/>
      <c r="CA603" s="113"/>
      <c r="CB603" s="113"/>
      <c r="CC603" s="113"/>
      <c r="CD603" s="113"/>
      <c r="CE603" s="113"/>
      <c r="CF603" s="113"/>
      <c r="CG603" s="113"/>
      <c r="CH603" s="113"/>
      <c r="CI603" s="113"/>
      <c r="CJ603" s="113"/>
      <c r="CK603" s="113"/>
      <c r="CL603" s="113"/>
      <c r="CM603" s="113"/>
      <c r="CN603" s="113"/>
      <c r="CO603" s="113"/>
      <c r="CP603" s="113"/>
      <c r="CQ603" s="113"/>
      <c r="CR603" s="113"/>
      <c r="CS603" s="113"/>
      <c r="CT603" s="113"/>
      <c r="CU603" s="113"/>
    </row>
    <row r="604">
      <c r="A604" s="159"/>
      <c r="B604" s="113"/>
      <c r="C604" s="113"/>
      <c r="D604" s="158"/>
      <c r="E604" s="161"/>
      <c r="F604" s="160"/>
      <c r="G604" s="162"/>
      <c r="H604" s="159"/>
      <c r="I604" s="113"/>
      <c r="J604" s="113"/>
      <c r="K604" s="113"/>
      <c r="L604" s="158"/>
      <c r="M604" s="113"/>
      <c r="N604" s="113"/>
      <c r="O604" s="113"/>
      <c r="P604" s="113"/>
      <c r="Q604" s="113"/>
      <c r="R604" s="113"/>
      <c r="S604" s="113"/>
      <c r="T604" s="113"/>
      <c r="U604" s="113"/>
      <c r="V604" s="113"/>
      <c r="W604" s="113"/>
      <c r="X604" s="113"/>
      <c r="Y604" s="113"/>
      <c r="Z604" s="113"/>
      <c r="AA604" s="113"/>
      <c r="AB604" s="113"/>
      <c r="AC604" s="113"/>
      <c r="AD604" s="113"/>
      <c r="AE604" s="113"/>
      <c r="AF604" s="113"/>
      <c r="AG604" s="113"/>
      <c r="AH604" s="113"/>
      <c r="AI604" s="113"/>
      <c r="AJ604" s="113"/>
      <c r="AK604" s="113"/>
      <c r="AL604" s="113"/>
      <c r="AM604" s="113"/>
      <c r="AN604" s="113"/>
      <c r="AO604" s="113"/>
      <c r="AP604" s="113"/>
      <c r="AQ604" s="113"/>
      <c r="AR604" s="113"/>
      <c r="AS604" s="113"/>
      <c r="AT604" s="113"/>
      <c r="AU604" s="113"/>
      <c r="AV604" s="113"/>
      <c r="AW604" s="113"/>
      <c r="AX604" s="113"/>
      <c r="AY604" s="113"/>
      <c r="AZ604" s="113"/>
      <c r="BA604" s="113"/>
      <c r="BB604" s="113"/>
      <c r="BC604" s="113"/>
      <c r="BD604" s="113"/>
      <c r="BE604" s="113"/>
      <c r="BF604" s="113"/>
      <c r="BG604" s="113"/>
      <c r="BH604" s="113"/>
      <c r="BI604" s="113"/>
      <c r="BJ604" s="113"/>
      <c r="BK604" s="113"/>
      <c r="BL604" s="113"/>
      <c r="BM604" s="113"/>
      <c r="BN604" s="113"/>
      <c r="BO604" s="113"/>
      <c r="BP604" s="113"/>
      <c r="BQ604" s="113"/>
      <c r="BR604" s="113"/>
      <c r="BS604" s="113"/>
      <c r="BT604" s="113"/>
      <c r="BU604" s="113"/>
      <c r="BV604" s="113"/>
      <c r="BW604" s="113"/>
      <c r="BX604" s="113"/>
      <c r="BY604" s="113"/>
      <c r="BZ604" s="113"/>
      <c r="CA604" s="113"/>
      <c r="CB604" s="113"/>
      <c r="CC604" s="113"/>
      <c r="CD604" s="113"/>
      <c r="CE604" s="113"/>
      <c r="CF604" s="113"/>
      <c r="CG604" s="113"/>
      <c r="CH604" s="113"/>
      <c r="CI604" s="113"/>
      <c r="CJ604" s="113"/>
      <c r="CK604" s="113"/>
      <c r="CL604" s="113"/>
      <c r="CM604" s="113"/>
      <c r="CN604" s="113"/>
      <c r="CO604" s="113"/>
      <c r="CP604" s="113"/>
      <c r="CQ604" s="113"/>
      <c r="CR604" s="113"/>
      <c r="CS604" s="113"/>
      <c r="CT604" s="113"/>
      <c r="CU604" s="113"/>
    </row>
    <row r="605">
      <c r="A605" s="159"/>
      <c r="B605" s="113"/>
      <c r="C605" s="113"/>
      <c r="D605" s="158"/>
      <c r="E605" s="161"/>
      <c r="F605" s="160"/>
      <c r="G605" s="162"/>
      <c r="H605" s="159"/>
      <c r="I605" s="113"/>
      <c r="J605" s="113"/>
      <c r="K605" s="113"/>
      <c r="L605" s="158"/>
      <c r="M605" s="113"/>
      <c r="N605" s="113"/>
      <c r="O605" s="113"/>
      <c r="P605" s="113"/>
      <c r="Q605" s="113"/>
      <c r="R605" s="113"/>
      <c r="S605" s="113"/>
      <c r="T605" s="113"/>
      <c r="U605" s="113"/>
      <c r="V605" s="113"/>
      <c r="W605" s="113"/>
      <c r="X605" s="113"/>
      <c r="Y605" s="113"/>
      <c r="Z605" s="113"/>
      <c r="AA605" s="113"/>
      <c r="AB605" s="113"/>
      <c r="AC605" s="113"/>
      <c r="AD605" s="113"/>
      <c r="AE605" s="113"/>
      <c r="AF605" s="113"/>
      <c r="AG605" s="113"/>
      <c r="AH605" s="113"/>
      <c r="AI605" s="113"/>
      <c r="AJ605" s="113"/>
      <c r="AK605" s="113"/>
      <c r="AL605" s="113"/>
      <c r="AM605" s="113"/>
      <c r="AN605" s="113"/>
      <c r="AO605" s="113"/>
      <c r="AP605" s="113"/>
      <c r="AQ605" s="113"/>
      <c r="AR605" s="113"/>
      <c r="AS605" s="113"/>
      <c r="AT605" s="113"/>
      <c r="AU605" s="113"/>
      <c r="AV605" s="113"/>
      <c r="AW605" s="113"/>
      <c r="AX605" s="113"/>
      <c r="AY605" s="113"/>
      <c r="AZ605" s="113"/>
      <c r="BA605" s="113"/>
      <c r="BB605" s="113"/>
      <c r="BC605" s="113"/>
      <c r="BD605" s="113"/>
      <c r="BE605" s="113"/>
      <c r="BF605" s="113"/>
      <c r="BG605" s="113"/>
      <c r="BH605" s="113"/>
      <c r="BI605" s="113"/>
      <c r="BJ605" s="113"/>
      <c r="BK605" s="113"/>
      <c r="BL605" s="113"/>
      <c r="BM605" s="113"/>
      <c r="BN605" s="113"/>
      <c r="BO605" s="113"/>
      <c r="BP605" s="113"/>
      <c r="BQ605" s="113"/>
      <c r="BR605" s="113"/>
      <c r="BS605" s="113"/>
      <c r="BT605" s="113"/>
      <c r="BU605" s="113"/>
      <c r="BV605" s="113"/>
      <c r="BW605" s="113"/>
      <c r="BX605" s="113"/>
      <c r="BY605" s="113"/>
      <c r="BZ605" s="113"/>
      <c r="CA605" s="113"/>
      <c r="CB605" s="113"/>
      <c r="CC605" s="113"/>
      <c r="CD605" s="113"/>
      <c r="CE605" s="113"/>
      <c r="CF605" s="113"/>
      <c r="CG605" s="113"/>
      <c r="CH605" s="113"/>
      <c r="CI605" s="113"/>
      <c r="CJ605" s="113"/>
      <c r="CK605" s="113"/>
      <c r="CL605" s="113"/>
      <c r="CM605" s="113"/>
      <c r="CN605" s="113"/>
      <c r="CO605" s="113"/>
      <c r="CP605" s="113"/>
      <c r="CQ605" s="113"/>
      <c r="CR605" s="113"/>
      <c r="CS605" s="113"/>
      <c r="CT605" s="113"/>
      <c r="CU605" s="113"/>
    </row>
    <row r="606">
      <c r="A606" s="159"/>
      <c r="B606" s="113"/>
      <c r="C606" s="113"/>
      <c r="D606" s="158"/>
      <c r="E606" s="161"/>
      <c r="F606" s="160"/>
      <c r="G606" s="162"/>
      <c r="H606" s="159"/>
      <c r="I606" s="113"/>
      <c r="J606" s="113"/>
      <c r="K606" s="113"/>
      <c r="L606" s="158"/>
      <c r="M606" s="113"/>
      <c r="N606" s="113"/>
      <c r="O606" s="113"/>
      <c r="P606" s="113"/>
      <c r="Q606" s="113"/>
      <c r="R606" s="113"/>
      <c r="S606" s="113"/>
      <c r="T606" s="113"/>
      <c r="U606" s="113"/>
      <c r="V606" s="113"/>
      <c r="W606" s="113"/>
      <c r="X606" s="113"/>
      <c r="Y606" s="113"/>
      <c r="Z606" s="113"/>
      <c r="AA606" s="113"/>
      <c r="AB606" s="113"/>
      <c r="AC606" s="113"/>
      <c r="AD606" s="113"/>
      <c r="AE606" s="113"/>
      <c r="AF606" s="113"/>
      <c r="AG606" s="113"/>
      <c r="AH606" s="113"/>
      <c r="AI606" s="113"/>
      <c r="AJ606" s="113"/>
      <c r="AK606" s="113"/>
      <c r="AL606" s="113"/>
      <c r="AM606" s="113"/>
      <c r="AN606" s="113"/>
      <c r="AO606" s="113"/>
      <c r="AP606" s="113"/>
      <c r="AQ606" s="113"/>
      <c r="AR606" s="113"/>
      <c r="AS606" s="113"/>
      <c r="AT606" s="113"/>
      <c r="AU606" s="113"/>
      <c r="AV606" s="113"/>
      <c r="AW606" s="113"/>
      <c r="AX606" s="113"/>
      <c r="AY606" s="113"/>
      <c r="AZ606" s="113"/>
      <c r="BA606" s="113"/>
      <c r="BB606" s="113"/>
      <c r="BC606" s="113"/>
      <c r="BD606" s="113"/>
      <c r="BE606" s="113"/>
      <c r="BF606" s="113"/>
      <c r="BG606" s="113"/>
      <c r="BH606" s="113"/>
      <c r="BI606" s="113"/>
      <c r="BJ606" s="113"/>
      <c r="BK606" s="113"/>
      <c r="BL606" s="113"/>
      <c r="BM606" s="113"/>
      <c r="BN606" s="113"/>
      <c r="BO606" s="113"/>
      <c r="BP606" s="113"/>
      <c r="BQ606" s="113"/>
      <c r="BR606" s="113"/>
      <c r="BS606" s="113"/>
      <c r="BT606" s="113"/>
      <c r="BU606" s="113"/>
      <c r="BV606" s="113"/>
      <c r="BW606" s="113"/>
      <c r="BX606" s="113"/>
      <c r="BY606" s="113"/>
      <c r="BZ606" s="113"/>
      <c r="CA606" s="113"/>
      <c r="CB606" s="113"/>
      <c r="CC606" s="113"/>
      <c r="CD606" s="113"/>
      <c r="CE606" s="113"/>
      <c r="CF606" s="113"/>
      <c r="CG606" s="113"/>
      <c r="CH606" s="113"/>
      <c r="CI606" s="113"/>
      <c r="CJ606" s="113"/>
      <c r="CK606" s="113"/>
      <c r="CL606" s="113"/>
      <c r="CM606" s="113"/>
      <c r="CN606" s="113"/>
      <c r="CO606" s="113"/>
      <c r="CP606" s="113"/>
      <c r="CQ606" s="113"/>
      <c r="CR606" s="113"/>
      <c r="CS606" s="113"/>
      <c r="CT606" s="113"/>
      <c r="CU606" s="113"/>
    </row>
    <row r="607">
      <c r="A607" s="159"/>
      <c r="B607" s="113"/>
      <c r="C607" s="113"/>
      <c r="D607" s="158"/>
      <c r="E607" s="161"/>
      <c r="F607" s="160"/>
      <c r="G607" s="162"/>
      <c r="H607" s="159"/>
      <c r="I607" s="113"/>
      <c r="J607" s="113"/>
      <c r="K607" s="113"/>
      <c r="L607" s="158"/>
      <c r="M607" s="113"/>
      <c r="N607" s="113"/>
      <c r="O607" s="113"/>
      <c r="P607" s="113"/>
      <c r="Q607" s="113"/>
      <c r="R607" s="113"/>
      <c r="S607" s="113"/>
      <c r="T607" s="113"/>
      <c r="U607" s="113"/>
      <c r="V607" s="113"/>
      <c r="W607" s="113"/>
      <c r="X607" s="113"/>
      <c r="Y607" s="113"/>
      <c r="Z607" s="113"/>
      <c r="AA607" s="113"/>
      <c r="AB607" s="113"/>
      <c r="AC607" s="113"/>
      <c r="AD607" s="113"/>
      <c r="AE607" s="113"/>
      <c r="AF607" s="113"/>
      <c r="AG607" s="113"/>
      <c r="AH607" s="113"/>
      <c r="AI607" s="113"/>
      <c r="AJ607" s="113"/>
      <c r="AK607" s="113"/>
      <c r="AL607" s="113"/>
      <c r="AM607" s="113"/>
      <c r="AN607" s="113"/>
      <c r="AO607" s="113"/>
      <c r="AP607" s="113"/>
      <c r="AQ607" s="113"/>
      <c r="AR607" s="113"/>
      <c r="AS607" s="113"/>
      <c r="AT607" s="113"/>
      <c r="AU607" s="113"/>
      <c r="AV607" s="113"/>
      <c r="AW607" s="113"/>
      <c r="AX607" s="113"/>
      <c r="AY607" s="113"/>
      <c r="AZ607" s="113"/>
      <c r="BA607" s="113"/>
      <c r="BB607" s="113"/>
      <c r="BC607" s="113"/>
      <c r="BD607" s="113"/>
      <c r="BE607" s="113"/>
      <c r="BF607" s="113"/>
      <c r="BG607" s="113"/>
      <c r="BH607" s="113"/>
      <c r="BI607" s="113"/>
      <c r="BJ607" s="113"/>
      <c r="BK607" s="113"/>
      <c r="BL607" s="113"/>
      <c r="BM607" s="113"/>
      <c r="BN607" s="113"/>
      <c r="BO607" s="113"/>
      <c r="BP607" s="113"/>
      <c r="BQ607" s="113"/>
      <c r="BR607" s="113"/>
      <c r="BS607" s="113"/>
      <c r="BT607" s="113"/>
      <c r="BU607" s="113"/>
      <c r="BV607" s="113"/>
      <c r="BW607" s="113"/>
      <c r="BX607" s="113"/>
      <c r="BY607" s="113"/>
      <c r="BZ607" s="113"/>
      <c r="CA607" s="113"/>
      <c r="CB607" s="113"/>
      <c r="CC607" s="113"/>
      <c r="CD607" s="113"/>
      <c r="CE607" s="113"/>
      <c r="CF607" s="113"/>
      <c r="CG607" s="113"/>
      <c r="CH607" s="113"/>
      <c r="CI607" s="113"/>
      <c r="CJ607" s="113"/>
      <c r="CK607" s="113"/>
      <c r="CL607" s="113"/>
      <c r="CM607" s="113"/>
      <c r="CN607" s="113"/>
      <c r="CO607" s="113"/>
      <c r="CP607" s="113"/>
      <c r="CQ607" s="113"/>
      <c r="CR607" s="113"/>
      <c r="CS607" s="113"/>
      <c r="CT607" s="113"/>
      <c r="CU607" s="113"/>
    </row>
    <row r="608">
      <c r="A608" s="159"/>
      <c r="B608" s="113"/>
      <c r="C608" s="113"/>
      <c r="D608" s="158"/>
      <c r="E608" s="161"/>
      <c r="F608" s="160"/>
      <c r="G608" s="162"/>
      <c r="H608" s="159"/>
      <c r="I608" s="113"/>
      <c r="J608" s="113"/>
      <c r="K608" s="113"/>
      <c r="L608" s="158"/>
      <c r="M608" s="113"/>
      <c r="N608" s="113"/>
      <c r="O608" s="113"/>
      <c r="P608" s="113"/>
      <c r="Q608" s="113"/>
      <c r="R608" s="113"/>
      <c r="S608" s="113"/>
      <c r="T608" s="113"/>
      <c r="U608" s="113"/>
      <c r="V608" s="113"/>
      <c r="W608" s="113"/>
      <c r="X608" s="113"/>
      <c r="Y608" s="113"/>
      <c r="Z608" s="113"/>
      <c r="AA608" s="113"/>
      <c r="AB608" s="113"/>
      <c r="AC608" s="113"/>
      <c r="AD608" s="113"/>
      <c r="AE608" s="113"/>
      <c r="AF608" s="113"/>
      <c r="AG608" s="113"/>
      <c r="AH608" s="113"/>
      <c r="AI608" s="113"/>
      <c r="AJ608" s="113"/>
      <c r="AK608" s="113"/>
      <c r="AL608" s="113"/>
      <c r="AM608" s="113"/>
      <c r="AN608" s="113"/>
      <c r="AO608" s="113"/>
      <c r="AP608" s="113"/>
      <c r="AQ608" s="113"/>
      <c r="AR608" s="113"/>
      <c r="AS608" s="113"/>
      <c r="AT608" s="113"/>
      <c r="AU608" s="113"/>
      <c r="AV608" s="113"/>
      <c r="AW608" s="113"/>
      <c r="AX608" s="113"/>
      <c r="AY608" s="113"/>
      <c r="AZ608" s="113"/>
      <c r="BA608" s="113"/>
      <c r="BB608" s="113"/>
      <c r="BC608" s="113"/>
      <c r="BD608" s="113"/>
      <c r="BE608" s="113"/>
      <c r="BF608" s="113"/>
      <c r="BG608" s="113"/>
      <c r="BH608" s="113"/>
      <c r="BI608" s="113"/>
      <c r="BJ608" s="113"/>
      <c r="BK608" s="113"/>
      <c r="BL608" s="113"/>
      <c r="BM608" s="113"/>
      <c r="BN608" s="113"/>
      <c r="BO608" s="113"/>
      <c r="BP608" s="113"/>
      <c r="BQ608" s="113"/>
      <c r="BR608" s="113"/>
      <c r="BS608" s="113"/>
      <c r="BT608" s="113"/>
      <c r="BU608" s="113"/>
      <c r="BV608" s="113"/>
      <c r="BW608" s="113"/>
      <c r="BX608" s="113"/>
      <c r="BY608" s="113"/>
      <c r="BZ608" s="113"/>
      <c r="CA608" s="113"/>
      <c r="CB608" s="113"/>
      <c r="CC608" s="113"/>
      <c r="CD608" s="113"/>
      <c r="CE608" s="113"/>
      <c r="CF608" s="113"/>
      <c r="CG608" s="113"/>
      <c r="CH608" s="113"/>
      <c r="CI608" s="113"/>
      <c r="CJ608" s="113"/>
      <c r="CK608" s="113"/>
      <c r="CL608" s="113"/>
      <c r="CM608" s="113"/>
      <c r="CN608" s="113"/>
      <c r="CO608" s="113"/>
      <c r="CP608" s="113"/>
      <c r="CQ608" s="113"/>
      <c r="CR608" s="113"/>
      <c r="CS608" s="113"/>
      <c r="CT608" s="113"/>
      <c r="CU608" s="113"/>
    </row>
    <row r="609">
      <c r="A609" s="159"/>
      <c r="B609" s="113"/>
      <c r="C609" s="113"/>
      <c r="D609" s="158"/>
      <c r="E609" s="161"/>
      <c r="F609" s="160"/>
      <c r="G609" s="162"/>
      <c r="H609" s="159"/>
      <c r="I609" s="113"/>
      <c r="J609" s="113"/>
      <c r="K609" s="113"/>
      <c r="L609" s="158"/>
      <c r="M609" s="113"/>
      <c r="N609" s="113"/>
      <c r="O609" s="113"/>
      <c r="P609" s="113"/>
      <c r="Q609" s="113"/>
      <c r="R609" s="113"/>
      <c r="S609" s="113"/>
      <c r="T609" s="113"/>
      <c r="U609" s="113"/>
      <c r="V609" s="113"/>
      <c r="W609" s="113"/>
      <c r="X609" s="113"/>
      <c r="Y609" s="113"/>
      <c r="Z609" s="113"/>
      <c r="AA609" s="113"/>
      <c r="AB609" s="113"/>
      <c r="AC609" s="113"/>
      <c r="AD609" s="113"/>
      <c r="AE609" s="113"/>
      <c r="AF609" s="113"/>
      <c r="AG609" s="113"/>
      <c r="AH609" s="113"/>
      <c r="AI609" s="113"/>
      <c r="AJ609" s="113"/>
      <c r="AK609" s="113"/>
      <c r="AL609" s="113"/>
      <c r="AM609" s="113"/>
      <c r="AN609" s="113"/>
      <c r="AO609" s="113"/>
      <c r="AP609" s="113"/>
      <c r="AQ609" s="113"/>
      <c r="AR609" s="113"/>
      <c r="AS609" s="113"/>
      <c r="AT609" s="113"/>
      <c r="AU609" s="113"/>
      <c r="AV609" s="113"/>
      <c r="AW609" s="113"/>
      <c r="AX609" s="113"/>
      <c r="AY609" s="113"/>
      <c r="AZ609" s="113"/>
      <c r="BA609" s="113"/>
      <c r="BB609" s="113"/>
      <c r="BC609" s="113"/>
      <c r="BD609" s="113"/>
      <c r="BE609" s="113"/>
      <c r="BF609" s="113"/>
      <c r="BG609" s="113"/>
      <c r="BH609" s="113"/>
      <c r="BI609" s="113"/>
      <c r="BJ609" s="113"/>
      <c r="BK609" s="113"/>
      <c r="BL609" s="113"/>
      <c r="BM609" s="113"/>
      <c r="BN609" s="113"/>
      <c r="BO609" s="113"/>
      <c r="BP609" s="113"/>
      <c r="BQ609" s="113"/>
      <c r="BR609" s="113"/>
      <c r="BS609" s="113"/>
      <c r="BT609" s="113"/>
      <c r="BU609" s="113"/>
      <c r="BV609" s="113"/>
      <c r="BW609" s="113"/>
      <c r="BX609" s="113"/>
      <c r="BY609" s="113"/>
      <c r="BZ609" s="113"/>
      <c r="CA609" s="113"/>
      <c r="CB609" s="113"/>
      <c r="CC609" s="113"/>
      <c r="CD609" s="113"/>
      <c r="CE609" s="113"/>
      <c r="CF609" s="113"/>
      <c r="CG609" s="113"/>
      <c r="CH609" s="113"/>
      <c r="CI609" s="113"/>
      <c r="CJ609" s="113"/>
      <c r="CK609" s="113"/>
      <c r="CL609" s="113"/>
      <c r="CM609" s="113"/>
      <c r="CN609" s="113"/>
      <c r="CO609" s="113"/>
      <c r="CP609" s="113"/>
      <c r="CQ609" s="113"/>
      <c r="CR609" s="113"/>
      <c r="CS609" s="113"/>
      <c r="CT609" s="113"/>
      <c r="CU609" s="113"/>
    </row>
    <row r="610">
      <c r="A610" s="159"/>
      <c r="B610" s="113"/>
      <c r="C610" s="113"/>
      <c r="D610" s="158"/>
      <c r="E610" s="161"/>
      <c r="F610" s="160"/>
      <c r="G610" s="162"/>
      <c r="H610" s="159"/>
      <c r="I610" s="113"/>
      <c r="J610" s="113"/>
      <c r="K610" s="113"/>
      <c r="L610" s="158"/>
      <c r="M610" s="113"/>
      <c r="N610" s="113"/>
      <c r="O610" s="113"/>
      <c r="P610" s="113"/>
      <c r="Q610" s="113"/>
      <c r="R610" s="113"/>
      <c r="S610" s="113"/>
      <c r="T610" s="113"/>
      <c r="U610" s="113"/>
      <c r="V610" s="113"/>
      <c r="W610" s="113"/>
      <c r="X610" s="113"/>
      <c r="Y610" s="113"/>
      <c r="Z610" s="113"/>
      <c r="AA610" s="113"/>
      <c r="AB610" s="113"/>
      <c r="AC610" s="113"/>
      <c r="AD610" s="113"/>
      <c r="AE610" s="113"/>
      <c r="AF610" s="113"/>
      <c r="AG610" s="113"/>
      <c r="AH610" s="113"/>
      <c r="AI610" s="113"/>
      <c r="AJ610" s="113"/>
      <c r="AK610" s="113"/>
      <c r="AL610" s="113"/>
      <c r="AM610" s="113"/>
      <c r="AN610" s="113"/>
      <c r="AO610" s="113"/>
      <c r="AP610" s="113"/>
      <c r="AQ610" s="113"/>
      <c r="AR610" s="113"/>
      <c r="AS610" s="113"/>
      <c r="AT610" s="113"/>
      <c r="AU610" s="113"/>
      <c r="AV610" s="113"/>
      <c r="AW610" s="113"/>
      <c r="AX610" s="113"/>
      <c r="AY610" s="113"/>
      <c r="AZ610" s="113"/>
      <c r="BA610" s="113"/>
      <c r="BB610" s="113"/>
      <c r="BC610" s="113"/>
      <c r="BD610" s="113"/>
      <c r="BE610" s="113"/>
      <c r="BF610" s="113"/>
      <c r="BG610" s="113"/>
      <c r="BH610" s="113"/>
      <c r="BI610" s="113"/>
      <c r="BJ610" s="113"/>
      <c r="BK610" s="113"/>
      <c r="BL610" s="113"/>
      <c r="BM610" s="113"/>
      <c r="BN610" s="113"/>
      <c r="BO610" s="113"/>
      <c r="BP610" s="113"/>
      <c r="BQ610" s="113"/>
      <c r="BR610" s="113"/>
      <c r="BS610" s="113"/>
      <c r="BT610" s="113"/>
      <c r="BU610" s="113"/>
      <c r="BV610" s="113"/>
      <c r="BW610" s="113"/>
      <c r="BX610" s="113"/>
      <c r="BY610" s="113"/>
      <c r="BZ610" s="113"/>
      <c r="CA610" s="113"/>
      <c r="CB610" s="113"/>
      <c r="CC610" s="113"/>
      <c r="CD610" s="113"/>
      <c r="CE610" s="113"/>
      <c r="CF610" s="113"/>
      <c r="CG610" s="113"/>
      <c r="CH610" s="113"/>
      <c r="CI610" s="113"/>
      <c r="CJ610" s="113"/>
      <c r="CK610" s="113"/>
      <c r="CL610" s="113"/>
      <c r="CM610" s="113"/>
      <c r="CN610" s="113"/>
      <c r="CO610" s="113"/>
      <c r="CP610" s="113"/>
      <c r="CQ610" s="113"/>
      <c r="CR610" s="113"/>
      <c r="CS610" s="113"/>
      <c r="CT610" s="113"/>
      <c r="CU610" s="113"/>
    </row>
    <row r="611">
      <c r="A611" s="159"/>
      <c r="B611" s="113"/>
      <c r="C611" s="113"/>
      <c r="D611" s="158"/>
      <c r="E611" s="161"/>
      <c r="F611" s="160"/>
      <c r="G611" s="162"/>
      <c r="H611" s="159"/>
      <c r="I611" s="113"/>
      <c r="J611" s="113"/>
      <c r="K611" s="113"/>
      <c r="L611" s="158"/>
      <c r="M611" s="113"/>
      <c r="N611" s="113"/>
      <c r="O611" s="113"/>
      <c r="P611" s="113"/>
      <c r="Q611" s="113"/>
      <c r="R611" s="113"/>
      <c r="S611" s="113"/>
      <c r="T611" s="113"/>
      <c r="U611" s="113"/>
      <c r="V611" s="113"/>
      <c r="W611" s="113"/>
      <c r="X611" s="113"/>
      <c r="Y611" s="113"/>
      <c r="Z611" s="113"/>
      <c r="AA611" s="113"/>
      <c r="AB611" s="113"/>
      <c r="AC611" s="113"/>
      <c r="AD611" s="113"/>
      <c r="AE611" s="113"/>
      <c r="AF611" s="113"/>
      <c r="AG611" s="113"/>
      <c r="AH611" s="113"/>
      <c r="AI611" s="113"/>
      <c r="AJ611" s="113"/>
      <c r="AK611" s="113"/>
      <c r="AL611" s="113"/>
      <c r="AM611" s="113"/>
      <c r="AN611" s="113"/>
      <c r="AO611" s="113"/>
      <c r="AP611" s="113"/>
      <c r="AQ611" s="113"/>
      <c r="AR611" s="113"/>
      <c r="AS611" s="113"/>
      <c r="AT611" s="113"/>
      <c r="AU611" s="113"/>
      <c r="AV611" s="113"/>
      <c r="AW611" s="113"/>
      <c r="AX611" s="113"/>
      <c r="AY611" s="113"/>
      <c r="AZ611" s="113"/>
      <c r="BA611" s="113"/>
      <c r="BB611" s="113"/>
      <c r="BC611" s="113"/>
      <c r="BD611" s="113"/>
      <c r="BE611" s="113"/>
      <c r="BF611" s="113"/>
      <c r="BG611" s="113"/>
      <c r="BH611" s="113"/>
      <c r="BI611" s="113"/>
      <c r="BJ611" s="113"/>
      <c r="BK611" s="113"/>
      <c r="BL611" s="113"/>
      <c r="BM611" s="113"/>
      <c r="BN611" s="113"/>
      <c r="BO611" s="113"/>
      <c r="BP611" s="113"/>
      <c r="BQ611" s="113"/>
      <c r="BR611" s="113"/>
      <c r="BS611" s="113"/>
      <c r="BT611" s="113"/>
      <c r="BU611" s="113"/>
      <c r="BV611" s="113"/>
      <c r="BW611" s="113"/>
      <c r="BX611" s="113"/>
      <c r="BY611" s="113"/>
      <c r="BZ611" s="113"/>
      <c r="CA611" s="113"/>
      <c r="CB611" s="113"/>
      <c r="CC611" s="113"/>
      <c r="CD611" s="113"/>
      <c r="CE611" s="113"/>
      <c r="CF611" s="113"/>
      <c r="CG611" s="113"/>
      <c r="CH611" s="113"/>
      <c r="CI611" s="113"/>
      <c r="CJ611" s="113"/>
      <c r="CK611" s="113"/>
      <c r="CL611" s="113"/>
      <c r="CM611" s="113"/>
      <c r="CN611" s="113"/>
      <c r="CO611" s="113"/>
      <c r="CP611" s="113"/>
      <c r="CQ611" s="113"/>
      <c r="CR611" s="113"/>
      <c r="CS611" s="113"/>
      <c r="CT611" s="113"/>
      <c r="CU611" s="113"/>
    </row>
    <row r="612">
      <c r="A612" s="159"/>
      <c r="B612" s="113"/>
      <c r="C612" s="113"/>
      <c r="D612" s="158"/>
      <c r="E612" s="161"/>
      <c r="F612" s="160"/>
      <c r="G612" s="162"/>
      <c r="H612" s="159"/>
      <c r="I612" s="113"/>
      <c r="J612" s="113"/>
      <c r="K612" s="113"/>
      <c r="L612" s="158"/>
      <c r="M612" s="113"/>
      <c r="N612" s="113"/>
      <c r="O612" s="113"/>
      <c r="P612" s="113"/>
      <c r="Q612" s="113"/>
      <c r="R612" s="113"/>
      <c r="S612" s="113"/>
      <c r="T612" s="113"/>
      <c r="U612" s="113"/>
      <c r="V612" s="113"/>
      <c r="W612" s="113"/>
      <c r="X612" s="113"/>
      <c r="Y612" s="113"/>
      <c r="Z612" s="113"/>
      <c r="AA612" s="113"/>
      <c r="AB612" s="113"/>
      <c r="AC612" s="113"/>
      <c r="AD612" s="113"/>
      <c r="AE612" s="113"/>
      <c r="AF612" s="113"/>
      <c r="AG612" s="113"/>
      <c r="AH612" s="113"/>
      <c r="AI612" s="113"/>
      <c r="AJ612" s="113"/>
      <c r="AK612" s="113"/>
      <c r="AL612" s="113"/>
      <c r="AM612" s="113"/>
      <c r="AN612" s="113"/>
      <c r="AO612" s="113"/>
      <c r="AP612" s="113"/>
      <c r="AQ612" s="113"/>
      <c r="AR612" s="113"/>
      <c r="AS612" s="113"/>
      <c r="AT612" s="113"/>
      <c r="AU612" s="113"/>
      <c r="AV612" s="113"/>
      <c r="AW612" s="113"/>
      <c r="AX612" s="113"/>
      <c r="AY612" s="113"/>
      <c r="AZ612" s="113"/>
      <c r="BA612" s="113"/>
      <c r="BB612" s="113"/>
      <c r="BC612" s="113"/>
      <c r="BD612" s="113"/>
      <c r="BE612" s="113"/>
      <c r="BF612" s="113"/>
      <c r="BG612" s="113"/>
      <c r="BH612" s="113"/>
      <c r="BI612" s="113"/>
      <c r="BJ612" s="113"/>
      <c r="BK612" s="113"/>
      <c r="BL612" s="113"/>
      <c r="BM612" s="113"/>
      <c r="BN612" s="113"/>
      <c r="BO612" s="113"/>
      <c r="BP612" s="113"/>
      <c r="BQ612" s="113"/>
      <c r="BR612" s="113"/>
      <c r="BS612" s="113"/>
      <c r="BT612" s="113"/>
      <c r="BU612" s="113"/>
      <c r="BV612" s="113"/>
      <c r="BW612" s="113"/>
      <c r="BX612" s="113"/>
      <c r="BY612" s="113"/>
      <c r="BZ612" s="113"/>
      <c r="CA612" s="113"/>
      <c r="CB612" s="113"/>
      <c r="CC612" s="113"/>
      <c r="CD612" s="113"/>
      <c r="CE612" s="113"/>
      <c r="CF612" s="113"/>
      <c r="CG612" s="113"/>
      <c r="CH612" s="113"/>
      <c r="CI612" s="113"/>
      <c r="CJ612" s="113"/>
      <c r="CK612" s="113"/>
      <c r="CL612" s="113"/>
      <c r="CM612" s="113"/>
      <c r="CN612" s="113"/>
      <c r="CO612" s="113"/>
      <c r="CP612" s="113"/>
      <c r="CQ612" s="113"/>
      <c r="CR612" s="113"/>
      <c r="CS612" s="113"/>
      <c r="CT612" s="113"/>
      <c r="CU612" s="113"/>
    </row>
    <row r="613">
      <c r="A613" s="159"/>
      <c r="B613" s="113"/>
      <c r="C613" s="113"/>
      <c r="D613" s="158"/>
      <c r="E613" s="161"/>
      <c r="F613" s="160"/>
      <c r="G613" s="162"/>
      <c r="H613" s="159"/>
      <c r="I613" s="113"/>
      <c r="J613" s="113"/>
      <c r="K613" s="113"/>
      <c r="L613" s="158"/>
      <c r="M613" s="113"/>
      <c r="N613" s="113"/>
      <c r="O613" s="113"/>
      <c r="P613" s="113"/>
      <c r="Q613" s="113"/>
      <c r="R613" s="113"/>
      <c r="S613" s="113"/>
      <c r="T613" s="113"/>
      <c r="U613" s="113"/>
      <c r="V613" s="113"/>
      <c r="W613" s="113"/>
      <c r="X613" s="113"/>
      <c r="Y613" s="113"/>
      <c r="Z613" s="113"/>
      <c r="AA613" s="113"/>
      <c r="AB613" s="113"/>
      <c r="AC613" s="113"/>
      <c r="AD613" s="113"/>
      <c r="AE613" s="113"/>
      <c r="AF613" s="113"/>
      <c r="AG613" s="113"/>
      <c r="AH613" s="113"/>
      <c r="AI613" s="113"/>
      <c r="AJ613" s="113"/>
      <c r="AK613" s="113"/>
      <c r="AL613" s="113"/>
      <c r="AM613" s="113"/>
      <c r="AN613" s="113"/>
      <c r="AO613" s="113"/>
      <c r="AP613" s="113"/>
      <c r="AQ613" s="113"/>
      <c r="AR613" s="113"/>
      <c r="AS613" s="113"/>
      <c r="AT613" s="113"/>
      <c r="AU613" s="113"/>
      <c r="AV613" s="113"/>
      <c r="AW613" s="113"/>
      <c r="AX613" s="113"/>
      <c r="AY613" s="113"/>
      <c r="AZ613" s="113"/>
      <c r="BA613" s="113"/>
      <c r="BB613" s="113"/>
      <c r="BC613" s="113"/>
      <c r="BD613" s="113"/>
      <c r="BE613" s="113"/>
      <c r="BF613" s="113"/>
      <c r="BG613" s="113"/>
      <c r="BH613" s="113"/>
      <c r="BI613" s="113"/>
      <c r="BJ613" s="113"/>
      <c r="BK613" s="113"/>
      <c r="BL613" s="113"/>
      <c r="BM613" s="113"/>
      <c r="BN613" s="113"/>
      <c r="BO613" s="113"/>
      <c r="BP613" s="113"/>
      <c r="BQ613" s="113"/>
      <c r="BR613" s="113"/>
      <c r="BS613" s="113"/>
      <c r="BT613" s="113"/>
      <c r="BU613" s="113"/>
      <c r="BV613" s="113"/>
      <c r="BW613" s="113"/>
      <c r="BX613" s="113"/>
      <c r="BY613" s="113"/>
      <c r="BZ613" s="113"/>
      <c r="CA613" s="113"/>
      <c r="CB613" s="113"/>
      <c r="CC613" s="113"/>
      <c r="CD613" s="113"/>
      <c r="CE613" s="113"/>
      <c r="CF613" s="113"/>
      <c r="CG613" s="113"/>
      <c r="CH613" s="113"/>
      <c r="CI613" s="113"/>
      <c r="CJ613" s="113"/>
      <c r="CK613" s="113"/>
      <c r="CL613" s="113"/>
      <c r="CM613" s="113"/>
      <c r="CN613" s="113"/>
      <c r="CO613" s="113"/>
      <c r="CP613" s="113"/>
      <c r="CQ613" s="113"/>
      <c r="CR613" s="113"/>
      <c r="CS613" s="113"/>
      <c r="CT613" s="113"/>
      <c r="CU613" s="113"/>
    </row>
    <row r="614">
      <c r="A614" s="159"/>
      <c r="B614" s="113"/>
      <c r="C614" s="113"/>
      <c r="D614" s="158"/>
      <c r="E614" s="161"/>
      <c r="F614" s="160"/>
      <c r="G614" s="162"/>
      <c r="H614" s="159"/>
      <c r="I614" s="113"/>
      <c r="J614" s="113"/>
      <c r="K614" s="113"/>
      <c r="L614" s="158"/>
      <c r="M614" s="113"/>
      <c r="N614" s="113"/>
      <c r="O614" s="113"/>
      <c r="P614" s="113"/>
      <c r="Q614" s="113"/>
      <c r="R614" s="113"/>
      <c r="S614" s="113"/>
      <c r="T614" s="113"/>
      <c r="U614" s="113"/>
      <c r="V614" s="113"/>
      <c r="W614" s="113"/>
      <c r="X614" s="113"/>
      <c r="Y614" s="113"/>
      <c r="Z614" s="113"/>
      <c r="AA614" s="113"/>
      <c r="AB614" s="113"/>
      <c r="AC614" s="113"/>
      <c r="AD614" s="113"/>
      <c r="AE614" s="113"/>
      <c r="AF614" s="113"/>
      <c r="AG614" s="113"/>
      <c r="AH614" s="113"/>
      <c r="AI614" s="113"/>
      <c r="AJ614" s="113"/>
      <c r="AK614" s="113"/>
      <c r="AL614" s="113"/>
      <c r="AM614" s="113"/>
      <c r="AN614" s="113"/>
      <c r="AO614" s="113"/>
      <c r="AP614" s="113"/>
      <c r="AQ614" s="113"/>
      <c r="AR614" s="113"/>
      <c r="AS614" s="113"/>
      <c r="AT614" s="113"/>
      <c r="AU614" s="113"/>
      <c r="AV614" s="113"/>
      <c r="AW614" s="113"/>
      <c r="AX614" s="113"/>
      <c r="AY614" s="113"/>
      <c r="AZ614" s="113"/>
      <c r="BA614" s="113"/>
      <c r="BB614" s="113"/>
      <c r="BC614" s="113"/>
      <c r="BD614" s="113"/>
      <c r="BE614" s="113"/>
      <c r="BF614" s="113"/>
      <c r="BG614" s="113"/>
      <c r="BH614" s="113"/>
      <c r="BI614" s="113"/>
      <c r="BJ614" s="113"/>
      <c r="BK614" s="113"/>
      <c r="BL614" s="113"/>
      <c r="BM614" s="113"/>
      <c r="BN614" s="113"/>
      <c r="BO614" s="113"/>
      <c r="BP614" s="113"/>
      <c r="BQ614" s="113"/>
      <c r="BR614" s="113"/>
      <c r="BS614" s="113"/>
      <c r="BT614" s="113"/>
      <c r="BU614" s="113"/>
      <c r="BV614" s="113"/>
      <c r="BW614" s="113"/>
      <c r="BX614" s="113"/>
      <c r="BY614" s="113"/>
      <c r="BZ614" s="113"/>
      <c r="CA614" s="113"/>
      <c r="CB614" s="113"/>
      <c r="CC614" s="113"/>
      <c r="CD614" s="113"/>
      <c r="CE614" s="113"/>
      <c r="CF614" s="113"/>
      <c r="CG614" s="113"/>
      <c r="CH614" s="113"/>
      <c r="CI614" s="113"/>
      <c r="CJ614" s="113"/>
      <c r="CK614" s="113"/>
      <c r="CL614" s="113"/>
      <c r="CM614" s="113"/>
      <c r="CN614" s="113"/>
      <c r="CO614" s="113"/>
      <c r="CP614" s="113"/>
      <c r="CQ614" s="113"/>
      <c r="CR614" s="113"/>
      <c r="CS614" s="113"/>
      <c r="CT614" s="113"/>
      <c r="CU614" s="113"/>
    </row>
    <row r="615">
      <c r="A615" s="159"/>
      <c r="B615" s="113"/>
      <c r="C615" s="113"/>
      <c r="D615" s="158"/>
      <c r="E615" s="161"/>
      <c r="F615" s="160"/>
      <c r="G615" s="162"/>
      <c r="H615" s="159"/>
      <c r="I615" s="113"/>
      <c r="J615" s="113"/>
      <c r="K615" s="113"/>
      <c r="L615" s="158"/>
      <c r="M615" s="113"/>
      <c r="N615" s="113"/>
      <c r="O615" s="113"/>
      <c r="P615" s="113"/>
      <c r="Q615" s="113"/>
      <c r="R615" s="113"/>
      <c r="S615" s="113"/>
      <c r="T615" s="113"/>
      <c r="U615" s="113"/>
      <c r="V615" s="113"/>
      <c r="W615" s="113"/>
      <c r="X615" s="113"/>
      <c r="Y615" s="113"/>
      <c r="Z615" s="113"/>
      <c r="AA615" s="113"/>
      <c r="AB615" s="113"/>
      <c r="AC615" s="113"/>
      <c r="AD615" s="113"/>
      <c r="AE615" s="113"/>
      <c r="AF615" s="113"/>
      <c r="AG615" s="113"/>
      <c r="AH615" s="113"/>
      <c r="AI615" s="113"/>
      <c r="AJ615" s="113"/>
      <c r="AK615" s="113"/>
      <c r="AL615" s="113"/>
      <c r="AM615" s="113"/>
      <c r="AN615" s="113"/>
      <c r="AO615" s="113"/>
      <c r="AP615" s="113"/>
      <c r="AQ615" s="113"/>
      <c r="AR615" s="113"/>
      <c r="AS615" s="113"/>
      <c r="AT615" s="113"/>
      <c r="AU615" s="113"/>
      <c r="AV615" s="113"/>
      <c r="AW615" s="113"/>
      <c r="AX615" s="113"/>
      <c r="AY615" s="113"/>
      <c r="AZ615" s="113"/>
      <c r="BA615" s="113"/>
      <c r="BB615" s="113"/>
      <c r="BC615" s="113"/>
      <c r="BD615" s="113"/>
      <c r="BE615" s="113"/>
      <c r="BF615" s="113"/>
      <c r="BG615" s="113"/>
      <c r="BH615" s="113"/>
      <c r="BI615" s="113"/>
      <c r="BJ615" s="113"/>
      <c r="BK615" s="113"/>
      <c r="BL615" s="113"/>
      <c r="BM615" s="113"/>
      <c r="BN615" s="113"/>
      <c r="BO615" s="113"/>
      <c r="BP615" s="113"/>
      <c r="BQ615" s="113"/>
      <c r="BR615" s="113"/>
      <c r="BS615" s="113"/>
      <c r="BT615" s="113"/>
      <c r="BU615" s="113"/>
      <c r="BV615" s="113"/>
      <c r="BW615" s="113"/>
      <c r="BX615" s="113"/>
      <c r="BY615" s="113"/>
      <c r="BZ615" s="113"/>
      <c r="CA615" s="113"/>
      <c r="CB615" s="113"/>
      <c r="CC615" s="113"/>
      <c r="CD615" s="113"/>
      <c r="CE615" s="113"/>
      <c r="CF615" s="113"/>
      <c r="CG615" s="113"/>
      <c r="CH615" s="113"/>
      <c r="CI615" s="113"/>
      <c r="CJ615" s="113"/>
      <c r="CK615" s="113"/>
      <c r="CL615" s="113"/>
      <c r="CM615" s="113"/>
      <c r="CN615" s="113"/>
      <c r="CO615" s="113"/>
      <c r="CP615" s="113"/>
      <c r="CQ615" s="113"/>
      <c r="CR615" s="113"/>
      <c r="CS615" s="113"/>
      <c r="CT615" s="113"/>
      <c r="CU615" s="113"/>
    </row>
    <row r="616">
      <c r="A616" s="159"/>
      <c r="B616" s="113"/>
      <c r="C616" s="113"/>
      <c r="D616" s="158"/>
      <c r="E616" s="161"/>
      <c r="F616" s="160"/>
      <c r="G616" s="162"/>
      <c r="H616" s="159"/>
      <c r="I616" s="113"/>
      <c r="J616" s="113"/>
      <c r="K616" s="113"/>
      <c r="L616" s="158"/>
      <c r="M616" s="113"/>
      <c r="N616" s="113"/>
      <c r="O616" s="113"/>
      <c r="P616" s="113"/>
      <c r="Q616" s="113"/>
      <c r="R616" s="113"/>
      <c r="S616" s="113"/>
      <c r="T616" s="113"/>
      <c r="U616" s="113"/>
      <c r="V616" s="113"/>
      <c r="W616" s="113"/>
      <c r="X616" s="113"/>
      <c r="Y616" s="113"/>
      <c r="Z616" s="113"/>
      <c r="AA616" s="113"/>
      <c r="AB616" s="113"/>
      <c r="AC616" s="113"/>
      <c r="AD616" s="113"/>
      <c r="AE616" s="113"/>
      <c r="AF616" s="113"/>
      <c r="AG616" s="113"/>
      <c r="AH616" s="113"/>
      <c r="AI616" s="113"/>
      <c r="AJ616" s="113"/>
      <c r="AK616" s="113"/>
      <c r="AL616" s="113"/>
      <c r="AM616" s="113"/>
      <c r="AN616" s="113"/>
      <c r="AO616" s="113"/>
      <c r="AP616" s="113"/>
      <c r="AQ616" s="113"/>
      <c r="AR616" s="113"/>
      <c r="AS616" s="113"/>
      <c r="AT616" s="113"/>
      <c r="AU616" s="113"/>
      <c r="AV616" s="113"/>
      <c r="AW616" s="113"/>
      <c r="AX616" s="113"/>
      <c r="AY616" s="113"/>
      <c r="AZ616" s="113"/>
      <c r="BA616" s="113"/>
      <c r="BB616" s="113"/>
      <c r="BC616" s="113"/>
      <c r="BD616" s="113"/>
      <c r="BE616" s="113"/>
      <c r="BF616" s="113"/>
      <c r="BG616" s="113"/>
      <c r="BH616" s="113"/>
      <c r="BI616" s="113"/>
      <c r="BJ616" s="113"/>
      <c r="BK616" s="113"/>
      <c r="BL616" s="113"/>
      <c r="BM616" s="113"/>
      <c r="BN616" s="113"/>
      <c r="BO616" s="113"/>
      <c r="BP616" s="113"/>
      <c r="BQ616" s="113"/>
      <c r="BR616" s="113"/>
      <c r="BS616" s="113"/>
      <c r="BT616" s="113"/>
      <c r="BU616" s="113"/>
      <c r="BV616" s="113"/>
      <c r="BW616" s="113"/>
      <c r="BX616" s="113"/>
      <c r="BY616" s="113"/>
      <c r="BZ616" s="113"/>
      <c r="CA616" s="113"/>
      <c r="CB616" s="113"/>
      <c r="CC616" s="113"/>
      <c r="CD616" s="113"/>
      <c r="CE616" s="113"/>
      <c r="CF616" s="113"/>
      <c r="CG616" s="113"/>
      <c r="CH616" s="113"/>
      <c r="CI616" s="113"/>
      <c r="CJ616" s="113"/>
      <c r="CK616" s="113"/>
      <c r="CL616" s="113"/>
      <c r="CM616" s="113"/>
      <c r="CN616" s="113"/>
      <c r="CO616" s="113"/>
      <c r="CP616" s="113"/>
      <c r="CQ616" s="113"/>
      <c r="CR616" s="113"/>
      <c r="CS616" s="113"/>
      <c r="CT616" s="113"/>
      <c r="CU616" s="113"/>
    </row>
    <row r="617">
      <c r="A617" s="159"/>
      <c r="B617" s="113"/>
      <c r="C617" s="113"/>
      <c r="D617" s="158"/>
      <c r="E617" s="161"/>
      <c r="F617" s="160"/>
      <c r="G617" s="162"/>
      <c r="H617" s="159"/>
      <c r="I617" s="113"/>
      <c r="J617" s="113"/>
      <c r="K617" s="113"/>
      <c r="L617" s="158"/>
      <c r="M617" s="113"/>
      <c r="N617" s="113"/>
      <c r="O617" s="113"/>
      <c r="P617" s="113"/>
      <c r="Q617" s="113"/>
      <c r="R617" s="113"/>
      <c r="S617" s="113"/>
      <c r="T617" s="113"/>
      <c r="U617" s="113"/>
      <c r="V617" s="113"/>
      <c r="W617" s="113"/>
      <c r="X617" s="113"/>
      <c r="Y617" s="113"/>
      <c r="Z617" s="113"/>
      <c r="AA617" s="113"/>
      <c r="AB617" s="113"/>
      <c r="AC617" s="113"/>
      <c r="AD617" s="113"/>
      <c r="AE617" s="113"/>
      <c r="AF617" s="113"/>
      <c r="AG617" s="113"/>
      <c r="AH617" s="113"/>
      <c r="AI617" s="113"/>
      <c r="AJ617" s="113"/>
      <c r="AK617" s="113"/>
      <c r="AL617" s="113"/>
      <c r="AM617" s="113"/>
      <c r="AN617" s="113"/>
      <c r="AO617" s="113"/>
      <c r="AP617" s="113"/>
      <c r="AQ617" s="113"/>
      <c r="AR617" s="113"/>
      <c r="AS617" s="113"/>
      <c r="AT617" s="113"/>
      <c r="AU617" s="113"/>
      <c r="AV617" s="113"/>
      <c r="AW617" s="113"/>
      <c r="AX617" s="113"/>
      <c r="AY617" s="113"/>
      <c r="AZ617" s="113"/>
      <c r="BA617" s="113"/>
      <c r="BB617" s="113"/>
      <c r="BC617" s="113"/>
      <c r="BD617" s="113"/>
      <c r="BE617" s="113"/>
      <c r="BF617" s="113"/>
      <c r="BG617" s="113"/>
      <c r="BH617" s="113"/>
      <c r="BI617" s="113"/>
      <c r="BJ617" s="113"/>
      <c r="BK617" s="113"/>
      <c r="BL617" s="113"/>
      <c r="BM617" s="113"/>
      <c r="BN617" s="113"/>
      <c r="BO617" s="113"/>
      <c r="BP617" s="113"/>
      <c r="BQ617" s="113"/>
      <c r="BR617" s="113"/>
      <c r="BS617" s="113"/>
      <c r="BT617" s="113"/>
      <c r="BU617" s="113"/>
      <c r="BV617" s="113"/>
      <c r="BW617" s="113"/>
      <c r="BX617" s="113"/>
      <c r="BY617" s="113"/>
      <c r="BZ617" s="113"/>
      <c r="CA617" s="113"/>
      <c r="CB617" s="113"/>
      <c r="CC617" s="113"/>
      <c r="CD617" s="113"/>
      <c r="CE617" s="113"/>
      <c r="CF617" s="113"/>
      <c r="CG617" s="113"/>
      <c r="CH617" s="113"/>
      <c r="CI617" s="113"/>
      <c r="CJ617" s="113"/>
      <c r="CK617" s="113"/>
      <c r="CL617" s="113"/>
      <c r="CM617" s="113"/>
      <c r="CN617" s="113"/>
      <c r="CO617" s="113"/>
      <c r="CP617" s="113"/>
      <c r="CQ617" s="113"/>
      <c r="CR617" s="113"/>
      <c r="CS617" s="113"/>
      <c r="CT617" s="113"/>
      <c r="CU617" s="113"/>
    </row>
    <row r="618">
      <c r="A618" s="159"/>
      <c r="B618" s="113"/>
      <c r="C618" s="113"/>
      <c r="D618" s="158"/>
      <c r="E618" s="161"/>
      <c r="F618" s="160"/>
      <c r="G618" s="162"/>
      <c r="H618" s="159"/>
      <c r="I618" s="113"/>
      <c r="J618" s="113"/>
      <c r="K618" s="113"/>
      <c r="L618" s="158"/>
      <c r="M618" s="113"/>
      <c r="N618" s="113"/>
      <c r="O618" s="113"/>
      <c r="P618" s="113"/>
      <c r="Q618" s="113"/>
      <c r="R618" s="113"/>
      <c r="S618" s="113"/>
      <c r="T618" s="113"/>
      <c r="U618" s="113"/>
      <c r="V618" s="113"/>
      <c r="W618" s="113"/>
      <c r="X618" s="113"/>
      <c r="Y618" s="113"/>
      <c r="Z618" s="113"/>
      <c r="AA618" s="113"/>
      <c r="AB618" s="113"/>
      <c r="AC618" s="113"/>
      <c r="AD618" s="113"/>
      <c r="AE618" s="113"/>
      <c r="AF618" s="113"/>
      <c r="AG618" s="113"/>
      <c r="AH618" s="113"/>
      <c r="AI618" s="113"/>
      <c r="AJ618" s="113"/>
      <c r="AK618" s="113"/>
      <c r="AL618" s="113"/>
      <c r="AM618" s="113"/>
      <c r="AN618" s="113"/>
      <c r="AO618" s="113"/>
      <c r="AP618" s="113"/>
      <c r="AQ618" s="113"/>
      <c r="AR618" s="113"/>
      <c r="AS618" s="113"/>
      <c r="AT618" s="113"/>
      <c r="AU618" s="113"/>
      <c r="AV618" s="113"/>
      <c r="AW618" s="113"/>
      <c r="AX618" s="113"/>
      <c r="AY618" s="113"/>
      <c r="AZ618" s="113"/>
      <c r="BA618" s="113"/>
      <c r="BB618" s="113"/>
      <c r="BC618" s="113"/>
      <c r="BD618" s="113"/>
      <c r="BE618" s="113"/>
      <c r="BF618" s="113"/>
      <c r="BG618" s="113"/>
      <c r="BH618" s="113"/>
      <c r="BI618" s="113"/>
      <c r="BJ618" s="113"/>
      <c r="BK618" s="113"/>
      <c r="BL618" s="113"/>
      <c r="BM618" s="113"/>
      <c r="BN618" s="113"/>
      <c r="BO618" s="113"/>
      <c r="BP618" s="113"/>
      <c r="BQ618" s="113"/>
      <c r="BR618" s="113"/>
      <c r="BS618" s="113"/>
      <c r="BT618" s="113"/>
      <c r="BU618" s="113"/>
      <c r="BV618" s="113"/>
      <c r="BW618" s="113"/>
      <c r="BX618" s="113"/>
      <c r="BY618" s="113"/>
      <c r="BZ618" s="113"/>
      <c r="CA618" s="113"/>
      <c r="CB618" s="113"/>
      <c r="CC618" s="113"/>
      <c r="CD618" s="113"/>
      <c r="CE618" s="113"/>
      <c r="CF618" s="113"/>
      <c r="CG618" s="113"/>
      <c r="CH618" s="113"/>
      <c r="CI618" s="113"/>
      <c r="CJ618" s="113"/>
      <c r="CK618" s="113"/>
      <c r="CL618" s="113"/>
      <c r="CM618" s="113"/>
      <c r="CN618" s="113"/>
      <c r="CO618" s="113"/>
      <c r="CP618" s="113"/>
      <c r="CQ618" s="113"/>
      <c r="CR618" s="113"/>
      <c r="CS618" s="113"/>
      <c r="CT618" s="113"/>
      <c r="CU618" s="113"/>
    </row>
    <row r="619">
      <c r="A619" s="159"/>
      <c r="B619" s="113"/>
      <c r="C619" s="113"/>
      <c r="D619" s="158"/>
      <c r="E619" s="161"/>
      <c r="F619" s="160"/>
      <c r="G619" s="162"/>
      <c r="H619" s="159"/>
      <c r="I619" s="113"/>
      <c r="J619" s="113"/>
      <c r="K619" s="113"/>
      <c r="L619" s="158"/>
      <c r="M619" s="113"/>
      <c r="N619" s="113"/>
      <c r="O619" s="113"/>
      <c r="P619" s="113"/>
      <c r="Q619" s="113"/>
      <c r="R619" s="113"/>
      <c r="S619" s="113"/>
      <c r="T619" s="113"/>
      <c r="U619" s="113"/>
      <c r="V619" s="113"/>
      <c r="W619" s="113"/>
      <c r="X619" s="113"/>
      <c r="Y619" s="113"/>
      <c r="Z619" s="113"/>
      <c r="AA619" s="113"/>
      <c r="AB619" s="113"/>
      <c r="AC619" s="113"/>
      <c r="AD619" s="113"/>
      <c r="AE619" s="113"/>
      <c r="AF619" s="113"/>
      <c r="AG619" s="113"/>
      <c r="AH619" s="113"/>
      <c r="AI619" s="113"/>
      <c r="AJ619" s="113"/>
      <c r="AK619" s="113"/>
      <c r="AL619" s="113"/>
      <c r="AM619" s="113"/>
      <c r="AN619" s="113"/>
      <c r="AO619" s="113"/>
      <c r="AP619" s="113"/>
      <c r="AQ619" s="113"/>
      <c r="AR619" s="113"/>
      <c r="AS619" s="113"/>
      <c r="AT619" s="113"/>
      <c r="AU619" s="113"/>
      <c r="AV619" s="113"/>
      <c r="AW619" s="113"/>
      <c r="AX619" s="113"/>
      <c r="AY619" s="113"/>
      <c r="AZ619" s="113"/>
      <c r="BA619" s="113"/>
      <c r="BB619" s="113"/>
      <c r="BC619" s="113"/>
      <c r="BD619" s="113"/>
      <c r="BE619" s="113"/>
      <c r="BF619" s="113"/>
      <c r="BG619" s="113"/>
      <c r="BH619" s="113"/>
      <c r="BI619" s="113"/>
      <c r="BJ619" s="113"/>
      <c r="BK619" s="113"/>
      <c r="BL619" s="113"/>
      <c r="BM619" s="113"/>
      <c r="BN619" s="113"/>
      <c r="BO619" s="113"/>
      <c r="BP619" s="113"/>
      <c r="BQ619" s="113"/>
      <c r="BR619" s="113"/>
      <c r="BS619" s="113"/>
      <c r="BT619" s="113"/>
      <c r="BU619" s="113"/>
      <c r="BV619" s="113"/>
      <c r="BW619" s="113"/>
      <c r="BX619" s="113"/>
      <c r="BY619" s="113"/>
      <c r="BZ619" s="113"/>
      <c r="CA619" s="113"/>
      <c r="CB619" s="113"/>
      <c r="CC619" s="113"/>
      <c r="CD619" s="113"/>
      <c r="CE619" s="113"/>
      <c r="CF619" s="113"/>
      <c r="CG619" s="113"/>
      <c r="CH619" s="113"/>
      <c r="CI619" s="113"/>
      <c r="CJ619" s="113"/>
      <c r="CK619" s="113"/>
      <c r="CL619" s="113"/>
      <c r="CM619" s="113"/>
      <c r="CN619" s="113"/>
      <c r="CO619" s="113"/>
      <c r="CP619" s="113"/>
      <c r="CQ619" s="113"/>
      <c r="CR619" s="113"/>
      <c r="CS619" s="113"/>
      <c r="CT619" s="113"/>
      <c r="CU619" s="113"/>
    </row>
    <row r="620">
      <c r="A620" s="159"/>
      <c r="B620" s="113"/>
      <c r="C620" s="113"/>
      <c r="D620" s="158"/>
      <c r="E620" s="161"/>
      <c r="F620" s="160"/>
      <c r="G620" s="162"/>
      <c r="H620" s="159"/>
      <c r="I620" s="113"/>
      <c r="J620" s="113"/>
      <c r="K620" s="113"/>
      <c r="L620" s="158"/>
      <c r="M620" s="113"/>
      <c r="N620" s="113"/>
      <c r="O620" s="113"/>
      <c r="P620" s="113"/>
      <c r="Q620" s="113"/>
      <c r="R620" s="113"/>
      <c r="S620" s="113"/>
      <c r="T620" s="113"/>
      <c r="U620" s="113"/>
      <c r="V620" s="113"/>
      <c r="W620" s="113"/>
      <c r="X620" s="113"/>
      <c r="Y620" s="113"/>
      <c r="Z620" s="113"/>
      <c r="AA620" s="113"/>
      <c r="AB620" s="113"/>
      <c r="AC620" s="113"/>
      <c r="AD620" s="113"/>
      <c r="AE620" s="113"/>
      <c r="AF620" s="113"/>
      <c r="AG620" s="113"/>
      <c r="AH620" s="113"/>
      <c r="AI620" s="113"/>
      <c r="AJ620" s="113"/>
      <c r="AK620" s="113"/>
      <c r="AL620" s="113"/>
      <c r="AM620" s="113"/>
      <c r="AN620" s="113"/>
      <c r="AO620" s="113"/>
      <c r="AP620" s="113"/>
      <c r="AQ620" s="113"/>
      <c r="AR620" s="113"/>
      <c r="AS620" s="113"/>
      <c r="AT620" s="113"/>
      <c r="AU620" s="113"/>
      <c r="AV620" s="113"/>
      <c r="AW620" s="113"/>
      <c r="AX620" s="113"/>
      <c r="AY620" s="113"/>
      <c r="AZ620" s="113"/>
      <c r="BA620" s="113"/>
      <c r="BB620" s="113"/>
      <c r="BC620" s="113"/>
      <c r="BD620" s="113"/>
      <c r="BE620" s="113"/>
      <c r="BF620" s="113"/>
      <c r="BG620" s="113"/>
      <c r="BH620" s="113"/>
      <c r="BI620" s="113"/>
      <c r="BJ620" s="113"/>
      <c r="BK620" s="113"/>
      <c r="BL620" s="113"/>
      <c r="BM620" s="113"/>
      <c r="BN620" s="113"/>
      <c r="BO620" s="113"/>
      <c r="BP620" s="113"/>
      <c r="BQ620" s="113"/>
      <c r="BR620" s="113"/>
      <c r="BS620" s="113"/>
      <c r="BT620" s="113"/>
      <c r="BU620" s="113"/>
      <c r="BV620" s="113"/>
      <c r="BW620" s="113"/>
      <c r="BX620" s="113"/>
      <c r="BY620" s="113"/>
      <c r="BZ620" s="113"/>
      <c r="CA620" s="113"/>
      <c r="CB620" s="113"/>
      <c r="CC620" s="113"/>
      <c r="CD620" s="113"/>
      <c r="CE620" s="113"/>
      <c r="CF620" s="113"/>
      <c r="CG620" s="113"/>
      <c r="CH620" s="113"/>
      <c r="CI620" s="113"/>
      <c r="CJ620" s="113"/>
      <c r="CK620" s="113"/>
      <c r="CL620" s="113"/>
      <c r="CM620" s="113"/>
      <c r="CN620" s="113"/>
      <c r="CO620" s="113"/>
      <c r="CP620" s="113"/>
      <c r="CQ620" s="113"/>
      <c r="CR620" s="113"/>
      <c r="CS620" s="113"/>
      <c r="CT620" s="113"/>
      <c r="CU620" s="113"/>
    </row>
    <row r="621">
      <c r="A621" s="159"/>
      <c r="B621" s="113"/>
      <c r="C621" s="113"/>
      <c r="D621" s="158"/>
      <c r="E621" s="161"/>
      <c r="F621" s="160"/>
      <c r="G621" s="162"/>
      <c r="H621" s="159"/>
      <c r="I621" s="113"/>
      <c r="J621" s="113"/>
      <c r="K621" s="113"/>
      <c r="L621" s="158"/>
      <c r="M621" s="113"/>
      <c r="N621" s="113"/>
      <c r="O621" s="113"/>
      <c r="P621" s="113"/>
      <c r="Q621" s="113"/>
      <c r="R621" s="113"/>
      <c r="S621" s="113"/>
      <c r="T621" s="113"/>
      <c r="U621" s="113"/>
      <c r="V621" s="113"/>
      <c r="W621" s="113"/>
      <c r="X621" s="113"/>
      <c r="Y621" s="113"/>
      <c r="Z621" s="113"/>
      <c r="AA621" s="113"/>
      <c r="AB621" s="113"/>
      <c r="AC621" s="113"/>
      <c r="AD621" s="113"/>
      <c r="AE621" s="113"/>
      <c r="AF621" s="113"/>
      <c r="AG621" s="113"/>
      <c r="AH621" s="113"/>
      <c r="AI621" s="113"/>
      <c r="AJ621" s="113"/>
      <c r="AK621" s="113"/>
      <c r="AL621" s="113"/>
      <c r="AM621" s="113"/>
      <c r="AN621" s="113"/>
      <c r="AO621" s="113"/>
      <c r="AP621" s="113"/>
      <c r="AQ621" s="113"/>
      <c r="AR621" s="113"/>
      <c r="AS621" s="113"/>
      <c r="AT621" s="113"/>
      <c r="AU621" s="113"/>
      <c r="AV621" s="113"/>
      <c r="AW621" s="113"/>
      <c r="AX621" s="113"/>
      <c r="AY621" s="113"/>
      <c r="AZ621" s="113"/>
      <c r="BA621" s="113"/>
      <c r="BB621" s="113"/>
      <c r="BC621" s="113"/>
      <c r="BD621" s="113"/>
      <c r="BE621" s="113"/>
      <c r="BF621" s="113"/>
      <c r="BG621" s="113"/>
      <c r="BH621" s="113"/>
      <c r="BI621" s="113"/>
      <c r="BJ621" s="113"/>
      <c r="BK621" s="113"/>
      <c r="BL621" s="113"/>
      <c r="BM621" s="113"/>
      <c r="BN621" s="113"/>
      <c r="BO621" s="113"/>
      <c r="BP621" s="113"/>
      <c r="BQ621" s="113"/>
      <c r="BR621" s="113"/>
      <c r="BS621" s="113"/>
      <c r="BT621" s="113"/>
      <c r="BU621" s="113"/>
      <c r="BV621" s="113"/>
      <c r="BW621" s="113"/>
      <c r="BX621" s="113"/>
      <c r="BY621" s="113"/>
      <c r="BZ621" s="113"/>
      <c r="CA621" s="113"/>
      <c r="CB621" s="113"/>
      <c r="CC621" s="113"/>
      <c r="CD621" s="113"/>
      <c r="CE621" s="113"/>
      <c r="CF621" s="113"/>
      <c r="CG621" s="113"/>
      <c r="CH621" s="113"/>
      <c r="CI621" s="113"/>
      <c r="CJ621" s="113"/>
      <c r="CK621" s="113"/>
      <c r="CL621" s="113"/>
      <c r="CM621" s="113"/>
      <c r="CN621" s="113"/>
      <c r="CO621" s="113"/>
      <c r="CP621" s="113"/>
      <c r="CQ621" s="113"/>
      <c r="CR621" s="113"/>
      <c r="CS621" s="113"/>
      <c r="CT621" s="113"/>
      <c r="CU621" s="113"/>
    </row>
    <row r="622">
      <c r="A622" s="159"/>
      <c r="B622" s="113"/>
      <c r="C622" s="113"/>
      <c r="D622" s="158"/>
      <c r="E622" s="161"/>
      <c r="F622" s="160"/>
      <c r="G622" s="162"/>
      <c r="H622" s="159"/>
      <c r="I622" s="113"/>
      <c r="J622" s="113"/>
      <c r="K622" s="113"/>
      <c r="L622" s="158"/>
      <c r="M622" s="113"/>
      <c r="N622" s="113"/>
      <c r="O622" s="113"/>
      <c r="P622" s="113"/>
      <c r="Q622" s="113"/>
      <c r="R622" s="113"/>
      <c r="S622" s="113"/>
      <c r="T622" s="113"/>
      <c r="U622" s="113"/>
      <c r="V622" s="113"/>
      <c r="W622" s="113"/>
      <c r="X622" s="113"/>
      <c r="Y622" s="113"/>
      <c r="Z622" s="113"/>
      <c r="AA622" s="113"/>
      <c r="AB622" s="113"/>
      <c r="AC622" s="113"/>
      <c r="AD622" s="113"/>
      <c r="AE622" s="113"/>
      <c r="AF622" s="113"/>
      <c r="AG622" s="113"/>
      <c r="AH622" s="113"/>
      <c r="AI622" s="113"/>
      <c r="AJ622" s="113"/>
      <c r="AK622" s="113"/>
      <c r="AL622" s="113"/>
      <c r="AM622" s="113"/>
      <c r="AN622" s="113"/>
      <c r="AO622" s="113"/>
      <c r="AP622" s="113"/>
      <c r="AQ622" s="113"/>
      <c r="AR622" s="113"/>
      <c r="AS622" s="113"/>
      <c r="AT622" s="113"/>
      <c r="AU622" s="113"/>
      <c r="AV622" s="113"/>
      <c r="AW622" s="113"/>
      <c r="AX622" s="113"/>
      <c r="AY622" s="113"/>
      <c r="AZ622" s="113"/>
      <c r="BA622" s="113"/>
      <c r="BB622" s="113"/>
      <c r="BC622" s="113"/>
      <c r="BD622" s="113"/>
      <c r="BE622" s="113"/>
      <c r="BF622" s="113"/>
      <c r="BG622" s="113"/>
      <c r="BH622" s="113"/>
      <c r="BI622" s="113"/>
      <c r="BJ622" s="113"/>
      <c r="BK622" s="113"/>
      <c r="BL622" s="113"/>
      <c r="BM622" s="113"/>
      <c r="BN622" s="113"/>
      <c r="BO622" s="113"/>
      <c r="BP622" s="113"/>
      <c r="BQ622" s="113"/>
      <c r="BR622" s="113"/>
      <c r="BS622" s="113"/>
      <c r="BT622" s="113"/>
      <c r="BU622" s="113"/>
      <c r="BV622" s="113"/>
      <c r="BW622" s="113"/>
      <c r="BX622" s="113"/>
      <c r="BY622" s="113"/>
      <c r="BZ622" s="113"/>
      <c r="CA622" s="113"/>
      <c r="CB622" s="113"/>
      <c r="CC622" s="113"/>
      <c r="CD622" s="113"/>
      <c r="CE622" s="113"/>
      <c r="CF622" s="113"/>
      <c r="CG622" s="113"/>
      <c r="CH622" s="113"/>
      <c r="CI622" s="113"/>
      <c r="CJ622" s="113"/>
      <c r="CK622" s="113"/>
      <c r="CL622" s="113"/>
      <c r="CM622" s="113"/>
      <c r="CN622" s="113"/>
      <c r="CO622" s="113"/>
      <c r="CP622" s="113"/>
      <c r="CQ622" s="113"/>
      <c r="CR622" s="113"/>
      <c r="CS622" s="113"/>
      <c r="CT622" s="113"/>
      <c r="CU622" s="113"/>
    </row>
    <row r="623">
      <c r="A623" s="159"/>
      <c r="B623" s="113"/>
      <c r="C623" s="113"/>
      <c r="D623" s="158"/>
      <c r="E623" s="161"/>
      <c r="F623" s="160"/>
      <c r="G623" s="162"/>
      <c r="H623" s="159"/>
      <c r="I623" s="113"/>
      <c r="J623" s="113"/>
      <c r="K623" s="113"/>
      <c r="L623" s="158"/>
      <c r="M623" s="113"/>
      <c r="N623" s="113"/>
      <c r="O623" s="113"/>
      <c r="P623" s="113"/>
      <c r="Q623" s="113"/>
      <c r="R623" s="113"/>
      <c r="S623" s="113"/>
      <c r="T623" s="113"/>
      <c r="U623" s="113"/>
      <c r="V623" s="113"/>
      <c r="W623" s="113"/>
      <c r="X623" s="113"/>
      <c r="Y623" s="113"/>
      <c r="Z623" s="113"/>
      <c r="AA623" s="113"/>
      <c r="AB623" s="113"/>
      <c r="AC623" s="113"/>
      <c r="AD623" s="113"/>
      <c r="AE623" s="113"/>
      <c r="AF623" s="113"/>
      <c r="AG623" s="113"/>
      <c r="AH623" s="113"/>
      <c r="AI623" s="113"/>
      <c r="AJ623" s="113"/>
      <c r="AK623" s="113"/>
      <c r="AL623" s="113"/>
      <c r="AM623" s="113"/>
      <c r="AN623" s="113"/>
      <c r="AO623" s="113"/>
      <c r="AP623" s="113"/>
      <c r="AQ623" s="113"/>
      <c r="AR623" s="113"/>
      <c r="AS623" s="113"/>
      <c r="AT623" s="113"/>
      <c r="AU623" s="113"/>
      <c r="AV623" s="113"/>
      <c r="AW623" s="113"/>
      <c r="AX623" s="113"/>
      <c r="AY623" s="113"/>
      <c r="AZ623" s="113"/>
      <c r="BA623" s="113"/>
      <c r="BB623" s="113"/>
      <c r="BC623" s="113"/>
      <c r="BD623" s="113"/>
      <c r="BE623" s="113"/>
      <c r="BF623" s="113"/>
      <c r="BG623" s="113"/>
      <c r="BH623" s="113"/>
      <c r="BI623" s="113"/>
      <c r="BJ623" s="113"/>
      <c r="BK623" s="113"/>
      <c r="BL623" s="113"/>
      <c r="BM623" s="113"/>
      <c r="BN623" s="113"/>
      <c r="BO623" s="113"/>
      <c r="BP623" s="113"/>
      <c r="BQ623" s="113"/>
      <c r="BR623" s="113"/>
      <c r="BS623" s="113"/>
      <c r="BT623" s="113"/>
      <c r="BU623" s="113"/>
      <c r="BV623" s="113"/>
      <c r="BW623" s="113"/>
      <c r="BX623" s="113"/>
      <c r="BY623" s="113"/>
      <c r="BZ623" s="113"/>
      <c r="CA623" s="113"/>
      <c r="CB623" s="113"/>
      <c r="CC623" s="113"/>
      <c r="CD623" s="113"/>
      <c r="CE623" s="113"/>
      <c r="CF623" s="113"/>
      <c r="CG623" s="113"/>
      <c r="CH623" s="113"/>
      <c r="CI623" s="113"/>
      <c r="CJ623" s="113"/>
      <c r="CK623" s="113"/>
      <c r="CL623" s="113"/>
      <c r="CM623" s="113"/>
      <c r="CN623" s="113"/>
      <c r="CO623" s="113"/>
      <c r="CP623" s="113"/>
      <c r="CQ623" s="113"/>
      <c r="CR623" s="113"/>
      <c r="CS623" s="113"/>
      <c r="CT623" s="113"/>
      <c r="CU623" s="113"/>
    </row>
    <row r="624">
      <c r="A624" s="159"/>
      <c r="B624" s="113"/>
      <c r="C624" s="113"/>
      <c r="D624" s="158"/>
      <c r="E624" s="161"/>
      <c r="F624" s="160"/>
      <c r="G624" s="162"/>
      <c r="H624" s="159"/>
      <c r="I624" s="113"/>
      <c r="J624" s="113"/>
      <c r="K624" s="113"/>
      <c r="L624" s="158"/>
      <c r="M624" s="113"/>
      <c r="N624" s="113"/>
      <c r="O624" s="113"/>
      <c r="P624" s="113"/>
      <c r="Q624" s="113"/>
      <c r="R624" s="113"/>
      <c r="S624" s="113"/>
      <c r="T624" s="113"/>
      <c r="U624" s="113"/>
      <c r="V624" s="113"/>
      <c r="W624" s="113"/>
      <c r="X624" s="113"/>
      <c r="Y624" s="113"/>
      <c r="Z624" s="113"/>
      <c r="AA624" s="113"/>
      <c r="AB624" s="113"/>
      <c r="AC624" s="113"/>
      <c r="AD624" s="113"/>
      <c r="AE624" s="113"/>
      <c r="AF624" s="113"/>
      <c r="AG624" s="113"/>
      <c r="AH624" s="113"/>
      <c r="AI624" s="113"/>
      <c r="AJ624" s="113"/>
      <c r="AK624" s="113"/>
      <c r="AL624" s="113"/>
      <c r="AM624" s="113"/>
      <c r="AN624" s="113"/>
      <c r="AO624" s="113"/>
      <c r="AP624" s="113"/>
      <c r="AQ624" s="113"/>
      <c r="AR624" s="113"/>
      <c r="AS624" s="113"/>
      <c r="AT624" s="113"/>
      <c r="AU624" s="113"/>
      <c r="AV624" s="113"/>
      <c r="AW624" s="113"/>
      <c r="AX624" s="113"/>
      <c r="AY624" s="113"/>
      <c r="AZ624" s="113"/>
      <c r="BA624" s="113"/>
      <c r="BB624" s="113"/>
      <c r="BC624" s="113"/>
      <c r="BD624" s="113"/>
      <c r="BE624" s="113"/>
      <c r="BF624" s="113"/>
      <c r="BG624" s="113"/>
      <c r="BH624" s="113"/>
      <c r="BI624" s="113"/>
      <c r="BJ624" s="113"/>
      <c r="BK624" s="113"/>
      <c r="BL624" s="113"/>
      <c r="BM624" s="113"/>
      <c r="BN624" s="113"/>
      <c r="BO624" s="113"/>
      <c r="BP624" s="113"/>
      <c r="BQ624" s="113"/>
      <c r="BR624" s="113"/>
      <c r="BS624" s="113"/>
      <c r="BT624" s="113"/>
      <c r="BU624" s="113"/>
      <c r="BV624" s="113"/>
      <c r="BW624" s="113"/>
      <c r="BX624" s="113"/>
      <c r="BY624" s="113"/>
      <c r="BZ624" s="113"/>
      <c r="CA624" s="113"/>
      <c r="CB624" s="113"/>
      <c r="CC624" s="113"/>
      <c r="CD624" s="113"/>
      <c r="CE624" s="113"/>
      <c r="CF624" s="113"/>
      <c r="CG624" s="113"/>
      <c r="CH624" s="113"/>
      <c r="CI624" s="113"/>
      <c r="CJ624" s="113"/>
      <c r="CK624" s="113"/>
      <c r="CL624" s="113"/>
      <c r="CM624" s="113"/>
      <c r="CN624" s="113"/>
      <c r="CO624" s="113"/>
      <c r="CP624" s="113"/>
      <c r="CQ624" s="113"/>
      <c r="CR624" s="113"/>
      <c r="CS624" s="113"/>
      <c r="CT624" s="113"/>
      <c r="CU624" s="113"/>
    </row>
    <row r="625">
      <c r="A625" s="159"/>
      <c r="B625" s="113"/>
      <c r="C625" s="113"/>
      <c r="D625" s="158"/>
      <c r="E625" s="161"/>
      <c r="F625" s="160"/>
      <c r="G625" s="162"/>
      <c r="H625" s="159"/>
      <c r="I625" s="113"/>
      <c r="J625" s="113"/>
      <c r="K625" s="113"/>
      <c r="L625" s="158"/>
      <c r="M625" s="113"/>
      <c r="N625" s="113"/>
      <c r="O625" s="113"/>
      <c r="P625" s="113"/>
      <c r="Q625" s="113"/>
      <c r="R625" s="113"/>
      <c r="S625" s="113"/>
      <c r="T625" s="113"/>
      <c r="U625" s="113"/>
      <c r="V625" s="113"/>
      <c r="W625" s="113"/>
      <c r="X625" s="113"/>
      <c r="Y625" s="113"/>
      <c r="Z625" s="113"/>
      <c r="AA625" s="113"/>
      <c r="AB625" s="113"/>
      <c r="AC625" s="113"/>
      <c r="AD625" s="113"/>
      <c r="AE625" s="113"/>
      <c r="AF625" s="113"/>
      <c r="AG625" s="113"/>
      <c r="AH625" s="113"/>
      <c r="AI625" s="113"/>
      <c r="AJ625" s="113"/>
      <c r="AK625" s="113"/>
      <c r="AL625" s="113"/>
      <c r="AM625" s="113"/>
      <c r="AN625" s="113"/>
      <c r="AO625" s="113"/>
      <c r="AP625" s="113"/>
      <c r="AQ625" s="113"/>
      <c r="AR625" s="113"/>
      <c r="AS625" s="113"/>
      <c r="AT625" s="113"/>
      <c r="AU625" s="113"/>
      <c r="AV625" s="113"/>
      <c r="AW625" s="113"/>
      <c r="AX625" s="113"/>
      <c r="AY625" s="113"/>
      <c r="AZ625" s="113"/>
      <c r="BA625" s="113"/>
      <c r="BB625" s="113"/>
      <c r="BC625" s="113"/>
      <c r="BD625" s="113"/>
      <c r="BE625" s="113"/>
      <c r="BF625" s="113"/>
      <c r="BG625" s="113"/>
      <c r="BH625" s="113"/>
      <c r="BI625" s="113"/>
      <c r="BJ625" s="113"/>
      <c r="BK625" s="113"/>
      <c r="BL625" s="113"/>
      <c r="BM625" s="113"/>
      <c r="BN625" s="113"/>
      <c r="BO625" s="113"/>
      <c r="BP625" s="113"/>
      <c r="BQ625" s="113"/>
      <c r="BR625" s="113"/>
      <c r="BS625" s="113"/>
      <c r="BT625" s="113"/>
      <c r="BU625" s="113"/>
      <c r="BV625" s="113"/>
      <c r="BW625" s="113"/>
      <c r="BX625" s="113"/>
      <c r="BY625" s="113"/>
      <c r="BZ625" s="113"/>
      <c r="CA625" s="113"/>
      <c r="CB625" s="113"/>
      <c r="CC625" s="113"/>
      <c r="CD625" s="113"/>
      <c r="CE625" s="113"/>
      <c r="CF625" s="113"/>
      <c r="CG625" s="113"/>
      <c r="CH625" s="113"/>
      <c r="CI625" s="113"/>
      <c r="CJ625" s="113"/>
      <c r="CK625" s="113"/>
      <c r="CL625" s="113"/>
      <c r="CM625" s="113"/>
      <c r="CN625" s="113"/>
      <c r="CO625" s="113"/>
      <c r="CP625" s="113"/>
      <c r="CQ625" s="113"/>
      <c r="CR625" s="113"/>
      <c r="CS625" s="113"/>
      <c r="CT625" s="113"/>
      <c r="CU625" s="113"/>
    </row>
    <row r="626">
      <c r="A626" s="159"/>
      <c r="B626" s="113"/>
      <c r="C626" s="113"/>
      <c r="D626" s="158"/>
      <c r="E626" s="161"/>
      <c r="F626" s="160"/>
      <c r="G626" s="162"/>
      <c r="H626" s="159"/>
      <c r="I626" s="113"/>
      <c r="J626" s="113"/>
      <c r="K626" s="113"/>
      <c r="L626" s="158"/>
      <c r="M626" s="113"/>
      <c r="N626" s="113"/>
      <c r="O626" s="113"/>
      <c r="P626" s="113"/>
      <c r="Q626" s="113"/>
      <c r="R626" s="113"/>
      <c r="S626" s="113"/>
      <c r="T626" s="113"/>
      <c r="U626" s="113"/>
      <c r="V626" s="113"/>
      <c r="W626" s="113"/>
      <c r="X626" s="113"/>
      <c r="Y626" s="113"/>
      <c r="Z626" s="113"/>
      <c r="AA626" s="113"/>
      <c r="AB626" s="113"/>
      <c r="AC626" s="113"/>
      <c r="AD626" s="113"/>
      <c r="AE626" s="113"/>
      <c r="AF626" s="113"/>
      <c r="AG626" s="113"/>
      <c r="AH626" s="113"/>
      <c r="AI626" s="113"/>
      <c r="AJ626" s="113"/>
      <c r="AK626" s="113"/>
      <c r="AL626" s="113"/>
      <c r="AM626" s="113"/>
      <c r="AN626" s="113"/>
      <c r="AO626" s="113"/>
      <c r="AP626" s="113"/>
      <c r="AQ626" s="113"/>
      <c r="AR626" s="113"/>
      <c r="AS626" s="113"/>
      <c r="AT626" s="113"/>
      <c r="AU626" s="113"/>
      <c r="AV626" s="113"/>
      <c r="AW626" s="113"/>
      <c r="AX626" s="113"/>
      <c r="AY626" s="113"/>
      <c r="AZ626" s="113"/>
      <c r="BA626" s="113"/>
      <c r="BB626" s="113"/>
      <c r="BC626" s="113"/>
      <c r="BD626" s="113"/>
      <c r="BE626" s="113"/>
      <c r="BF626" s="113"/>
      <c r="BG626" s="113"/>
      <c r="BH626" s="113"/>
      <c r="BI626" s="113"/>
      <c r="BJ626" s="113"/>
      <c r="BK626" s="113"/>
      <c r="BL626" s="113"/>
      <c r="BM626" s="113"/>
      <c r="BN626" s="113"/>
      <c r="BO626" s="113"/>
      <c r="BP626" s="113"/>
      <c r="BQ626" s="113"/>
      <c r="BR626" s="113"/>
      <c r="BS626" s="113"/>
      <c r="BT626" s="113"/>
      <c r="BU626" s="113"/>
      <c r="BV626" s="113"/>
      <c r="BW626" s="113"/>
      <c r="BX626" s="113"/>
      <c r="BY626" s="113"/>
      <c r="BZ626" s="113"/>
      <c r="CA626" s="113"/>
      <c r="CB626" s="113"/>
      <c r="CC626" s="113"/>
      <c r="CD626" s="113"/>
      <c r="CE626" s="113"/>
      <c r="CF626" s="113"/>
      <c r="CG626" s="113"/>
      <c r="CH626" s="113"/>
      <c r="CI626" s="113"/>
      <c r="CJ626" s="113"/>
      <c r="CK626" s="113"/>
      <c r="CL626" s="113"/>
      <c r="CM626" s="113"/>
      <c r="CN626" s="113"/>
      <c r="CO626" s="113"/>
      <c r="CP626" s="113"/>
      <c r="CQ626" s="113"/>
      <c r="CR626" s="113"/>
      <c r="CS626" s="113"/>
      <c r="CT626" s="113"/>
      <c r="CU626" s="113"/>
    </row>
    <row r="627">
      <c r="A627" s="159"/>
      <c r="B627" s="113"/>
      <c r="C627" s="113"/>
      <c r="D627" s="158"/>
      <c r="E627" s="161"/>
      <c r="F627" s="160"/>
      <c r="G627" s="162"/>
      <c r="H627" s="159"/>
      <c r="I627" s="113"/>
      <c r="J627" s="113"/>
      <c r="K627" s="113"/>
      <c r="L627" s="158"/>
      <c r="M627" s="113"/>
      <c r="N627" s="113"/>
      <c r="O627" s="113"/>
      <c r="P627" s="113"/>
      <c r="Q627" s="113"/>
      <c r="R627" s="113"/>
      <c r="S627" s="113"/>
      <c r="T627" s="113"/>
      <c r="U627" s="113"/>
      <c r="V627" s="113"/>
      <c r="W627" s="113"/>
      <c r="X627" s="113"/>
      <c r="Y627" s="113"/>
      <c r="Z627" s="113"/>
      <c r="AA627" s="113"/>
      <c r="AB627" s="113"/>
      <c r="AC627" s="113"/>
      <c r="AD627" s="113"/>
      <c r="AE627" s="113"/>
      <c r="AF627" s="113"/>
      <c r="AG627" s="113"/>
      <c r="AH627" s="113"/>
      <c r="AI627" s="113"/>
      <c r="AJ627" s="113"/>
      <c r="AK627" s="113"/>
      <c r="AL627" s="113"/>
      <c r="AM627" s="113"/>
      <c r="AN627" s="113"/>
      <c r="AO627" s="113"/>
      <c r="AP627" s="113"/>
      <c r="AQ627" s="113"/>
      <c r="AR627" s="113"/>
      <c r="AS627" s="113"/>
      <c r="AT627" s="113"/>
      <c r="AU627" s="113"/>
      <c r="AV627" s="113"/>
      <c r="AW627" s="113"/>
      <c r="AX627" s="113"/>
      <c r="AY627" s="113"/>
      <c r="AZ627" s="113"/>
      <c r="BA627" s="113"/>
      <c r="BB627" s="113"/>
      <c r="BC627" s="113"/>
      <c r="BD627" s="113"/>
      <c r="BE627" s="113"/>
      <c r="BF627" s="113"/>
      <c r="BG627" s="113"/>
      <c r="BH627" s="113"/>
      <c r="BI627" s="113"/>
      <c r="BJ627" s="113"/>
      <c r="BK627" s="113"/>
      <c r="BL627" s="113"/>
      <c r="BM627" s="113"/>
      <c r="BN627" s="113"/>
      <c r="BO627" s="113"/>
      <c r="BP627" s="113"/>
      <c r="BQ627" s="113"/>
      <c r="BR627" s="113"/>
      <c r="BS627" s="113"/>
      <c r="BT627" s="113"/>
      <c r="BU627" s="113"/>
      <c r="BV627" s="113"/>
      <c r="BW627" s="113"/>
      <c r="BX627" s="113"/>
      <c r="BY627" s="113"/>
      <c r="BZ627" s="113"/>
      <c r="CA627" s="113"/>
      <c r="CB627" s="113"/>
      <c r="CC627" s="113"/>
      <c r="CD627" s="113"/>
      <c r="CE627" s="113"/>
      <c r="CF627" s="113"/>
      <c r="CG627" s="113"/>
      <c r="CH627" s="113"/>
      <c r="CI627" s="113"/>
      <c r="CJ627" s="113"/>
      <c r="CK627" s="113"/>
      <c r="CL627" s="113"/>
      <c r="CM627" s="113"/>
      <c r="CN627" s="113"/>
      <c r="CO627" s="113"/>
      <c r="CP627" s="113"/>
      <c r="CQ627" s="113"/>
      <c r="CR627" s="113"/>
      <c r="CS627" s="113"/>
      <c r="CT627" s="113"/>
      <c r="CU627" s="113"/>
    </row>
    <row r="628">
      <c r="A628" s="159"/>
      <c r="B628" s="113"/>
      <c r="C628" s="113"/>
      <c r="D628" s="158"/>
      <c r="E628" s="161"/>
      <c r="F628" s="160"/>
      <c r="G628" s="162"/>
      <c r="H628" s="159"/>
      <c r="I628" s="113"/>
      <c r="J628" s="113"/>
      <c r="K628" s="113"/>
      <c r="L628" s="158"/>
      <c r="M628" s="113"/>
      <c r="N628" s="113"/>
      <c r="O628" s="113"/>
      <c r="P628" s="113"/>
      <c r="Q628" s="113"/>
      <c r="R628" s="113"/>
      <c r="S628" s="113"/>
      <c r="T628" s="113"/>
      <c r="U628" s="113"/>
      <c r="V628" s="113"/>
      <c r="W628" s="113"/>
      <c r="X628" s="113"/>
      <c r="Y628" s="113"/>
      <c r="Z628" s="113"/>
      <c r="AA628" s="113"/>
      <c r="AB628" s="113"/>
      <c r="AC628" s="113"/>
      <c r="AD628" s="113"/>
      <c r="AE628" s="113"/>
      <c r="AF628" s="113"/>
      <c r="AG628" s="113"/>
      <c r="AH628" s="113"/>
      <c r="AI628" s="113"/>
      <c r="AJ628" s="113"/>
      <c r="AK628" s="113"/>
      <c r="AL628" s="113"/>
      <c r="AM628" s="113"/>
      <c r="AN628" s="113"/>
      <c r="AO628" s="113"/>
      <c r="AP628" s="113"/>
      <c r="AQ628" s="113"/>
      <c r="AR628" s="113"/>
      <c r="AS628" s="113"/>
      <c r="AT628" s="113"/>
      <c r="AU628" s="113"/>
      <c r="AV628" s="113"/>
      <c r="AW628" s="113"/>
      <c r="AX628" s="113"/>
      <c r="AY628" s="113"/>
      <c r="AZ628" s="113"/>
      <c r="BA628" s="113"/>
      <c r="BB628" s="113"/>
      <c r="BC628" s="113"/>
      <c r="BD628" s="113"/>
      <c r="BE628" s="113"/>
      <c r="BF628" s="113"/>
      <c r="BG628" s="113"/>
      <c r="BH628" s="113"/>
      <c r="BI628" s="113"/>
      <c r="BJ628" s="113"/>
      <c r="BK628" s="113"/>
      <c r="BL628" s="113"/>
      <c r="BM628" s="113"/>
      <c r="BN628" s="113"/>
      <c r="BO628" s="113"/>
      <c r="BP628" s="113"/>
      <c r="BQ628" s="113"/>
      <c r="BR628" s="113"/>
      <c r="BS628" s="113"/>
      <c r="BT628" s="113"/>
      <c r="BU628" s="113"/>
      <c r="BV628" s="113"/>
      <c r="BW628" s="113"/>
      <c r="BX628" s="113"/>
      <c r="BY628" s="113"/>
      <c r="BZ628" s="113"/>
      <c r="CA628" s="113"/>
      <c r="CB628" s="113"/>
      <c r="CC628" s="113"/>
      <c r="CD628" s="113"/>
      <c r="CE628" s="113"/>
      <c r="CF628" s="113"/>
      <c r="CG628" s="113"/>
      <c r="CH628" s="113"/>
      <c r="CI628" s="113"/>
      <c r="CJ628" s="113"/>
      <c r="CK628" s="113"/>
      <c r="CL628" s="113"/>
      <c r="CM628" s="113"/>
      <c r="CN628" s="113"/>
      <c r="CO628" s="113"/>
      <c r="CP628" s="113"/>
      <c r="CQ628" s="113"/>
      <c r="CR628" s="113"/>
      <c r="CS628" s="113"/>
      <c r="CT628" s="113"/>
      <c r="CU628" s="113"/>
    </row>
    <row r="629">
      <c r="A629" s="159"/>
      <c r="B629" s="113"/>
      <c r="C629" s="113"/>
      <c r="D629" s="158"/>
      <c r="E629" s="161"/>
      <c r="F629" s="160"/>
      <c r="G629" s="162"/>
      <c r="H629" s="159"/>
      <c r="I629" s="113"/>
      <c r="J629" s="113"/>
      <c r="K629" s="113"/>
      <c r="L629" s="158"/>
      <c r="M629" s="113"/>
      <c r="N629" s="113"/>
      <c r="O629" s="113"/>
      <c r="P629" s="113"/>
      <c r="Q629" s="113"/>
      <c r="R629" s="113"/>
      <c r="S629" s="113"/>
      <c r="T629" s="113"/>
      <c r="U629" s="113"/>
      <c r="V629" s="113"/>
      <c r="W629" s="113"/>
      <c r="X629" s="113"/>
      <c r="Y629" s="113"/>
      <c r="Z629" s="113"/>
      <c r="AA629" s="113"/>
      <c r="AB629" s="113"/>
      <c r="AC629" s="113"/>
      <c r="AD629" s="113"/>
      <c r="AE629" s="113"/>
      <c r="AF629" s="113"/>
      <c r="AG629" s="113"/>
      <c r="AH629" s="113"/>
      <c r="AI629" s="113"/>
      <c r="AJ629" s="113"/>
      <c r="AK629" s="113"/>
      <c r="AL629" s="113"/>
      <c r="AM629" s="113"/>
      <c r="AN629" s="113"/>
      <c r="AO629" s="113"/>
      <c r="AP629" s="113"/>
      <c r="AQ629" s="113"/>
      <c r="AR629" s="113"/>
      <c r="AS629" s="113"/>
      <c r="AT629" s="113"/>
      <c r="AU629" s="113"/>
      <c r="AV629" s="113"/>
      <c r="AW629" s="113"/>
      <c r="AX629" s="113"/>
      <c r="AY629" s="113"/>
      <c r="AZ629" s="113"/>
      <c r="BA629" s="113"/>
      <c r="BB629" s="113"/>
      <c r="BC629" s="113"/>
      <c r="BD629" s="113"/>
      <c r="BE629" s="113"/>
      <c r="BF629" s="113"/>
      <c r="BG629" s="113"/>
      <c r="BH629" s="113"/>
      <c r="BI629" s="113"/>
      <c r="BJ629" s="113"/>
      <c r="BK629" s="113"/>
      <c r="BL629" s="113"/>
      <c r="BM629" s="113"/>
      <c r="BN629" s="113"/>
      <c r="BO629" s="113"/>
      <c r="BP629" s="113"/>
      <c r="BQ629" s="113"/>
      <c r="BR629" s="113"/>
      <c r="BS629" s="113"/>
      <c r="BT629" s="113"/>
      <c r="BU629" s="113"/>
      <c r="BV629" s="113"/>
      <c r="BW629" s="113"/>
      <c r="BX629" s="113"/>
      <c r="BY629" s="113"/>
      <c r="BZ629" s="113"/>
      <c r="CA629" s="113"/>
      <c r="CB629" s="113"/>
      <c r="CC629" s="113"/>
      <c r="CD629" s="113"/>
      <c r="CE629" s="113"/>
      <c r="CF629" s="113"/>
      <c r="CG629" s="113"/>
      <c r="CH629" s="113"/>
      <c r="CI629" s="113"/>
      <c r="CJ629" s="113"/>
      <c r="CK629" s="113"/>
      <c r="CL629" s="113"/>
      <c r="CM629" s="113"/>
      <c r="CN629" s="113"/>
      <c r="CO629" s="113"/>
      <c r="CP629" s="113"/>
      <c r="CQ629" s="113"/>
      <c r="CR629" s="113"/>
      <c r="CS629" s="113"/>
      <c r="CT629" s="113"/>
      <c r="CU629" s="113"/>
    </row>
    <row r="630">
      <c r="A630" s="159"/>
      <c r="B630" s="113"/>
      <c r="C630" s="113"/>
      <c r="D630" s="158"/>
      <c r="E630" s="161"/>
      <c r="F630" s="160"/>
      <c r="G630" s="162"/>
      <c r="H630" s="159"/>
      <c r="I630" s="113"/>
      <c r="J630" s="113"/>
      <c r="K630" s="113"/>
      <c r="L630" s="158"/>
      <c r="M630" s="113"/>
      <c r="N630" s="113"/>
      <c r="O630" s="113"/>
      <c r="P630" s="113"/>
      <c r="Q630" s="113"/>
      <c r="R630" s="113"/>
      <c r="S630" s="113"/>
      <c r="T630" s="113"/>
      <c r="U630" s="113"/>
      <c r="V630" s="113"/>
      <c r="W630" s="113"/>
      <c r="X630" s="113"/>
      <c r="Y630" s="113"/>
      <c r="Z630" s="113"/>
      <c r="AA630" s="113"/>
      <c r="AB630" s="113"/>
      <c r="AC630" s="113"/>
      <c r="AD630" s="113"/>
      <c r="AE630" s="113"/>
      <c r="AF630" s="113"/>
      <c r="AG630" s="113"/>
      <c r="AH630" s="113"/>
      <c r="AI630" s="113"/>
      <c r="AJ630" s="113"/>
      <c r="AK630" s="113"/>
      <c r="AL630" s="113"/>
      <c r="AM630" s="113"/>
      <c r="AN630" s="113"/>
      <c r="AO630" s="113"/>
      <c r="AP630" s="113"/>
      <c r="AQ630" s="113"/>
      <c r="AR630" s="113"/>
      <c r="AS630" s="113"/>
      <c r="AT630" s="113"/>
      <c r="AU630" s="113"/>
      <c r="AV630" s="113"/>
      <c r="AW630" s="113"/>
      <c r="AX630" s="113"/>
      <c r="AY630" s="113"/>
      <c r="AZ630" s="113"/>
      <c r="BA630" s="113"/>
      <c r="BB630" s="113"/>
      <c r="BC630" s="113"/>
      <c r="BD630" s="113"/>
      <c r="BE630" s="113"/>
      <c r="BF630" s="113"/>
      <c r="BG630" s="113"/>
      <c r="BH630" s="113"/>
      <c r="BI630" s="113"/>
      <c r="BJ630" s="113"/>
      <c r="BK630" s="113"/>
      <c r="BL630" s="113"/>
      <c r="BM630" s="113"/>
      <c r="BN630" s="113"/>
      <c r="BO630" s="113"/>
      <c r="BP630" s="113"/>
      <c r="BQ630" s="113"/>
      <c r="BR630" s="113"/>
      <c r="BS630" s="113"/>
      <c r="BT630" s="113"/>
      <c r="BU630" s="113"/>
      <c r="BV630" s="113"/>
      <c r="BW630" s="113"/>
      <c r="BX630" s="113"/>
      <c r="BY630" s="113"/>
      <c r="BZ630" s="113"/>
      <c r="CA630" s="113"/>
      <c r="CB630" s="113"/>
      <c r="CC630" s="113"/>
      <c r="CD630" s="113"/>
      <c r="CE630" s="113"/>
      <c r="CF630" s="113"/>
      <c r="CG630" s="113"/>
      <c r="CH630" s="113"/>
      <c r="CI630" s="113"/>
      <c r="CJ630" s="113"/>
      <c r="CK630" s="113"/>
      <c r="CL630" s="113"/>
      <c r="CM630" s="113"/>
      <c r="CN630" s="113"/>
      <c r="CO630" s="113"/>
      <c r="CP630" s="113"/>
      <c r="CQ630" s="113"/>
      <c r="CR630" s="113"/>
      <c r="CS630" s="113"/>
      <c r="CT630" s="113"/>
      <c r="CU630" s="113"/>
    </row>
    <row r="631">
      <c r="A631" s="159"/>
      <c r="B631" s="113"/>
      <c r="C631" s="113"/>
      <c r="D631" s="158"/>
      <c r="E631" s="161"/>
      <c r="F631" s="160"/>
      <c r="G631" s="162"/>
      <c r="H631" s="159"/>
      <c r="I631" s="113"/>
      <c r="J631" s="113"/>
      <c r="K631" s="113"/>
      <c r="L631" s="158"/>
      <c r="M631" s="113"/>
      <c r="N631" s="113"/>
      <c r="O631" s="113"/>
      <c r="P631" s="113"/>
      <c r="Q631" s="113"/>
      <c r="R631" s="113"/>
      <c r="S631" s="113"/>
      <c r="T631" s="113"/>
      <c r="U631" s="113"/>
      <c r="V631" s="113"/>
      <c r="W631" s="113"/>
      <c r="X631" s="113"/>
      <c r="Y631" s="113"/>
      <c r="Z631" s="113"/>
      <c r="AA631" s="113"/>
      <c r="AB631" s="113"/>
      <c r="AC631" s="113"/>
      <c r="AD631" s="113"/>
      <c r="AE631" s="113"/>
      <c r="AF631" s="113"/>
      <c r="AG631" s="113"/>
      <c r="AH631" s="113"/>
      <c r="AI631" s="113"/>
      <c r="AJ631" s="113"/>
      <c r="AK631" s="113"/>
      <c r="AL631" s="113"/>
      <c r="AM631" s="113"/>
      <c r="AN631" s="113"/>
      <c r="AO631" s="113"/>
      <c r="AP631" s="113"/>
      <c r="AQ631" s="113"/>
      <c r="AR631" s="113"/>
      <c r="AS631" s="113"/>
      <c r="AT631" s="113"/>
      <c r="AU631" s="113"/>
      <c r="AV631" s="113"/>
      <c r="AW631" s="113"/>
      <c r="AX631" s="113"/>
      <c r="AY631" s="113"/>
      <c r="AZ631" s="113"/>
      <c r="BA631" s="113"/>
      <c r="BB631" s="113"/>
      <c r="BC631" s="113"/>
      <c r="BD631" s="113"/>
      <c r="BE631" s="113"/>
      <c r="BF631" s="113"/>
      <c r="BG631" s="113"/>
      <c r="BH631" s="113"/>
      <c r="BI631" s="113"/>
      <c r="BJ631" s="113"/>
      <c r="BK631" s="113"/>
      <c r="BL631" s="113"/>
      <c r="BM631" s="113"/>
      <c r="BN631" s="113"/>
      <c r="BO631" s="113"/>
      <c r="BP631" s="113"/>
      <c r="BQ631" s="113"/>
      <c r="BR631" s="113"/>
      <c r="BS631" s="113"/>
      <c r="BT631" s="113"/>
      <c r="BU631" s="113"/>
      <c r="BV631" s="113"/>
      <c r="BW631" s="113"/>
      <c r="BX631" s="113"/>
      <c r="BY631" s="113"/>
      <c r="BZ631" s="113"/>
      <c r="CA631" s="113"/>
      <c r="CB631" s="113"/>
      <c r="CC631" s="113"/>
      <c r="CD631" s="113"/>
      <c r="CE631" s="113"/>
      <c r="CF631" s="113"/>
      <c r="CG631" s="113"/>
      <c r="CH631" s="113"/>
      <c r="CI631" s="113"/>
      <c r="CJ631" s="113"/>
      <c r="CK631" s="113"/>
      <c r="CL631" s="113"/>
      <c r="CM631" s="113"/>
      <c r="CN631" s="113"/>
      <c r="CO631" s="113"/>
      <c r="CP631" s="113"/>
      <c r="CQ631" s="113"/>
      <c r="CR631" s="113"/>
      <c r="CS631" s="113"/>
      <c r="CT631" s="113"/>
      <c r="CU631" s="113"/>
    </row>
    <row r="632">
      <c r="A632" s="159"/>
      <c r="B632" s="113"/>
      <c r="C632" s="113"/>
      <c r="D632" s="158"/>
      <c r="E632" s="161"/>
      <c r="F632" s="160"/>
      <c r="G632" s="162"/>
      <c r="H632" s="159"/>
      <c r="I632" s="113"/>
      <c r="J632" s="113"/>
      <c r="K632" s="113"/>
      <c r="L632" s="158"/>
      <c r="M632" s="113"/>
      <c r="N632" s="113"/>
      <c r="O632" s="113"/>
      <c r="P632" s="113"/>
      <c r="Q632" s="113"/>
      <c r="R632" s="113"/>
      <c r="S632" s="113"/>
      <c r="T632" s="113"/>
      <c r="U632" s="113"/>
      <c r="V632" s="113"/>
      <c r="W632" s="113"/>
      <c r="X632" s="113"/>
      <c r="Y632" s="113"/>
      <c r="Z632" s="113"/>
      <c r="AA632" s="113"/>
      <c r="AB632" s="113"/>
      <c r="AC632" s="113"/>
      <c r="AD632" s="113"/>
      <c r="AE632" s="113"/>
      <c r="AF632" s="113"/>
      <c r="AG632" s="113"/>
      <c r="AH632" s="113"/>
      <c r="AI632" s="113"/>
      <c r="AJ632" s="113"/>
      <c r="AK632" s="113"/>
      <c r="AL632" s="113"/>
      <c r="AM632" s="113"/>
      <c r="AN632" s="113"/>
      <c r="AO632" s="113"/>
      <c r="AP632" s="113"/>
      <c r="AQ632" s="113"/>
      <c r="AR632" s="113"/>
      <c r="AS632" s="113"/>
      <c r="AT632" s="113"/>
      <c r="AU632" s="113"/>
      <c r="AV632" s="113"/>
      <c r="AW632" s="113"/>
      <c r="AX632" s="113"/>
      <c r="AY632" s="113"/>
      <c r="AZ632" s="113"/>
      <c r="BA632" s="113"/>
      <c r="BB632" s="113"/>
      <c r="BC632" s="113"/>
      <c r="BD632" s="113"/>
      <c r="BE632" s="113"/>
      <c r="BF632" s="113"/>
      <c r="BG632" s="113"/>
      <c r="BH632" s="113"/>
      <c r="BI632" s="113"/>
      <c r="BJ632" s="113"/>
      <c r="BK632" s="113"/>
      <c r="BL632" s="113"/>
      <c r="BM632" s="113"/>
      <c r="BN632" s="113"/>
      <c r="BO632" s="113"/>
      <c r="BP632" s="113"/>
      <c r="BQ632" s="113"/>
      <c r="BR632" s="113"/>
      <c r="BS632" s="113"/>
      <c r="BT632" s="113"/>
      <c r="BU632" s="113"/>
      <c r="BV632" s="113"/>
      <c r="BW632" s="113"/>
      <c r="BX632" s="113"/>
      <c r="BY632" s="113"/>
      <c r="BZ632" s="113"/>
      <c r="CA632" s="113"/>
      <c r="CB632" s="113"/>
      <c r="CC632" s="113"/>
      <c r="CD632" s="113"/>
      <c r="CE632" s="113"/>
      <c r="CF632" s="113"/>
      <c r="CG632" s="113"/>
      <c r="CH632" s="113"/>
      <c r="CI632" s="113"/>
      <c r="CJ632" s="113"/>
      <c r="CK632" s="113"/>
      <c r="CL632" s="113"/>
      <c r="CM632" s="113"/>
      <c r="CN632" s="113"/>
      <c r="CO632" s="113"/>
      <c r="CP632" s="113"/>
      <c r="CQ632" s="113"/>
      <c r="CR632" s="113"/>
      <c r="CS632" s="113"/>
      <c r="CT632" s="113"/>
      <c r="CU632" s="113"/>
    </row>
    <row r="633">
      <c r="A633" s="159"/>
      <c r="B633" s="113"/>
      <c r="C633" s="113"/>
      <c r="D633" s="158"/>
      <c r="E633" s="161"/>
      <c r="F633" s="160"/>
      <c r="G633" s="162"/>
      <c r="H633" s="159"/>
      <c r="I633" s="113"/>
      <c r="J633" s="113"/>
      <c r="K633" s="113"/>
      <c r="L633" s="158"/>
      <c r="M633" s="113"/>
      <c r="N633" s="113"/>
      <c r="O633" s="113"/>
      <c r="P633" s="113"/>
      <c r="Q633" s="113"/>
      <c r="R633" s="113"/>
      <c r="S633" s="113"/>
      <c r="T633" s="113"/>
      <c r="U633" s="113"/>
      <c r="V633" s="113"/>
      <c r="W633" s="113"/>
      <c r="X633" s="113"/>
      <c r="Y633" s="113"/>
      <c r="Z633" s="113"/>
      <c r="AA633" s="113"/>
      <c r="AB633" s="113"/>
      <c r="AC633" s="113"/>
      <c r="AD633" s="113"/>
      <c r="AE633" s="113"/>
      <c r="AF633" s="113"/>
      <c r="AG633" s="113"/>
      <c r="AH633" s="113"/>
      <c r="AI633" s="113"/>
      <c r="AJ633" s="113"/>
      <c r="AK633" s="113"/>
      <c r="AL633" s="113"/>
      <c r="AM633" s="113"/>
      <c r="AN633" s="113"/>
      <c r="AO633" s="113"/>
      <c r="AP633" s="113"/>
      <c r="AQ633" s="113"/>
      <c r="AR633" s="113"/>
      <c r="AS633" s="113"/>
      <c r="AT633" s="113"/>
      <c r="AU633" s="113"/>
      <c r="AV633" s="113"/>
      <c r="AW633" s="113"/>
      <c r="AX633" s="113"/>
      <c r="AY633" s="113"/>
      <c r="AZ633" s="113"/>
      <c r="BA633" s="113"/>
      <c r="BB633" s="113"/>
      <c r="BC633" s="113"/>
      <c r="BD633" s="113"/>
      <c r="BE633" s="113"/>
      <c r="BF633" s="113"/>
      <c r="BG633" s="113"/>
      <c r="BH633" s="113"/>
      <c r="BI633" s="113"/>
      <c r="BJ633" s="113"/>
      <c r="BK633" s="113"/>
      <c r="BL633" s="113"/>
      <c r="BM633" s="113"/>
      <c r="BN633" s="113"/>
      <c r="BO633" s="113"/>
      <c r="BP633" s="113"/>
      <c r="BQ633" s="113"/>
      <c r="BR633" s="113"/>
      <c r="BS633" s="113"/>
      <c r="BT633" s="113"/>
      <c r="BU633" s="113"/>
      <c r="BV633" s="113"/>
      <c r="BW633" s="113"/>
      <c r="BX633" s="113"/>
      <c r="BY633" s="113"/>
      <c r="BZ633" s="113"/>
      <c r="CA633" s="113"/>
      <c r="CB633" s="113"/>
      <c r="CC633" s="113"/>
      <c r="CD633" s="113"/>
      <c r="CE633" s="113"/>
      <c r="CF633" s="113"/>
      <c r="CG633" s="113"/>
      <c r="CH633" s="113"/>
      <c r="CI633" s="113"/>
      <c r="CJ633" s="113"/>
      <c r="CK633" s="113"/>
      <c r="CL633" s="113"/>
      <c r="CM633" s="113"/>
      <c r="CN633" s="113"/>
      <c r="CO633" s="113"/>
      <c r="CP633" s="113"/>
      <c r="CQ633" s="113"/>
      <c r="CR633" s="113"/>
      <c r="CS633" s="113"/>
      <c r="CT633" s="113"/>
      <c r="CU633" s="113"/>
    </row>
    <row r="634">
      <c r="A634" s="159"/>
      <c r="B634" s="113"/>
      <c r="C634" s="113"/>
      <c r="D634" s="158"/>
      <c r="E634" s="161"/>
      <c r="F634" s="160"/>
      <c r="G634" s="162"/>
      <c r="H634" s="159"/>
      <c r="I634" s="113"/>
      <c r="J634" s="113"/>
      <c r="K634" s="113"/>
      <c r="L634" s="158"/>
      <c r="M634" s="113"/>
      <c r="N634" s="113"/>
      <c r="O634" s="113"/>
      <c r="P634" s="113"/>
      <c r="Q634" s="113"/>
      <c r="R634" s="113"/>
      <c r="S634" s="113"/>
      <c r="T634" s="113"/>
      <c r="U634" s="113"/>
      <c r="V634" s="113"/>
      <c r="W634" s="113"/>
      <c r="X634" s="113"/>
      <c r="Y634" s="113"/>
      <c r="Z634" s="113"/>
      <c r="AA634" s="113"/>
      <c r="AB634" s="113"/>
      <c r="AC634" s="113"/>
      <c r="AD634" s="113"/>
      <c r="AE634" s="113"/>
      <c r="AF634" s="113"/>
      <c r="AG634" s="113"/>
      <c r="AH634" s="113"/>
      <c r="AI634" s="113"/>
      <c r="AJ634" s="113"/>
      <c r="AK634" s="113"/>
      <c r="AL634" s="113"/>
      <c r="AM634" s="113"/>
      <c r="AN634" s="113"/>
      <c r="AO634" s="113"/>
      <c r="AP634" s="113"/>
      <c r="AQ634" s="113"/>
      <c r="AR634" s="113"/>
      <c r="AS634" s="113"/>
      <c r="AT634" s="113"/>
      <c r="AU634" s="113"/>
      <c r="AV634" s="113"/>
      <c r="AW634" s="113"/>
      <c r="AX634" s="113"/>
      <c r="AY634" s="113"/>
      <c r="AZ634" s="113"/>
      <c r="BA634" s="113"/>
      <c r="BB634" s="113"/>
      <c r="BC634" s="113"/>
      <c r="BD634" s="113"/>
      <c r="BE634" s="113"/>
      <c r="BF634" s="113"/>
      <c r="BG634" s="113"/>
      <c r="BH634" s="113"/>
      <c r="BI634" s="113"/>
      <c r="BJ634" s="113"/>
      <c r="BK634" s="113"/>
      <c r="BL634" s="113"/>
      <c r="BM634" s="113"/>
      <c r="BN634" s="113"/>
      <c r="BO634" s="113"/>
      <c r="BP634" s="113"/>
      <c r="BQ634" s="113"/>
      <c r="BR634" s="113"/>
      <c r="BS634" s="113"/>
      <c r="BT634" s="113"/>
      <c r="BU634" s="113"/>
      <c r="BV634" s="113"/>
      <c r="BW634" s="113"/>
      <c r="BX634" s="113"/>
      <c r="BY634" s="113"/>
      <c r="BZ634" s="113"/>
      <c r="CA634" s="113"/>
      <c r="CB634" s="113"/>
      <c r="CC634" s="113"/>
      <c r="CD634" s="113"/>
      <c r="CE634" s="113"/>
      <c r="CF634" s="113"/>
      <c r="CG634" s="113"/>
      <c r="CH634" s="113"/>
      <c r="CI634" s="113"/>
      <c r="CJ634" s="113"/>
      <c r="CK634" s="113"/>
      <c r="CL634" s="113"/>
      <c r="CM634" s="113"/>
      <c r="CN634" s="113"/>
      <c r="CO634" s="113"/>
      <c r="CP634" s="113"/>
      <c r="CQ634" s="113"/>
      <c r="CR634" s="113"/>
      <c r="CS634" s="113"/>
      <c r="CT634" s="113"/>
      <c r="CU634" s="113"/>
    </row>
    <row r="635">
      <c r="A635" s="159"/>
      <c r="B635" s="113"/>
      <c r="C635" s="113"/>
      <c r="D635" s="158"/>
      <c r="E635" s="161"/>
      <c r="F635" s="160"/>
      <c r="G635" s="162"/>
      <c r="H635" s="159"/>
      <c r="I635" s="113"/>
      <c r="J635" s="113"/>
      <c r="K635" s="113"/>
      <c r="L635" s="158"/>
      <c r="M635" s="113"/>
      <c r="N635" s="113"/>
      <c r="O635" s="113"/>
      <c r="P635" s="113"/>
      <c r="Q635" s="113"/>
      <c r="R635" s="113"/>
      <c r="S635" s="113"/>
      <c r="T635" s="113"/>
      <c r="U635" s="113"/>
      <c r="V635" s="113"/>
      <c r="W635" s="113"/>
      <c r="X635" s="113"/>
      <c r="Y635" s="113"/>
      <c r="Z635" s="113"/>
      <c r="AA635" s="113"/>
      <c r="AB635" s="113"/>
      <c r="AC635" s="113"/>
      <c r="AD635" s="113"/>
      <c r="AE635" s="113"/>
      <c r="AF635" s="113"/>
      <c r="AG635" s="113"/>
      <c r="AH635" s="113"/>
      <c r="AI635" s="113"/>
      <c r="AJ635" s="113"/>
      <c r="AK635" s="113"/>
      <c r="AL635" s="113"/>
      <c r="AM635" s="113"/>
      <c r="AN635" s="113"/>
      <c r="AO635" s="113"/>
      <c r="AP635" s="113"/>
      <c r="AQ635" s="113"/>
      <c r="AR635" s="113"/>
      <c r="AS635" s="113"/>
      <c r="AT635" s="113"/>
      <c r="AU635" s="113"/>
      <c r="AV635" s="113"/>
      <c r="AW635" s="113"/>
      <c r="AX635" s="113"/>
      <c r="AY635" s="113"/>
      <c r="AZ635" s="113"/>
      <c r="BA635" s="113"/>
      <c r="BB635" s="113"/>
      <c r="BC635" s="113"/>
      <c r="BD635" s="113"/>
      <c r="BE635" s="113"/>
      <c r="BF635" s="113"/>
      <c r="BG635" s="113"/>
      <c r="BH635" s="113"/>
      <c r="BI635" s="113"/>
      <c r="BJ635" s="113"/>
      <c r="BK635" s="113"/>
      <c r="BL635" s="113"/>
      <c r="BM635" s="113"/>
      <c r="BN635" s="113"/>
      <c r="BO635" s="113"/>
      <c r="BP635" s="113"/>
      <c r="BQ635" s="113"/>
      <c r="BR635" s="113"/>
      <c r="BS635" s="113"/>
      <c r="BT635" s="113"/>
      <c r="BU635" s="113"/>
      <c r="BV635" s="113"/>
      <c r="BW635" s="113"/>
      <c r="BX635" s="113"/>
      <c r="BY635" s="113"/>
      <c r="BZ635" s="113"/>
      <c r="CA635" s="113"/>
      <c r="CB635" s="113"/>
      <c r="CC635" s="113"/>
      <c r="CD635" s="113"/>
      <c r="CE635" s="113"/>
      <c r="CF635" s="113"/>
      <c r="CG635" s="113"/>
      <c r="CH635" s="113"/>
      <c r="CI635" s="113"/>
      <c r="CJ635" s="113"/>
      <c r="CK635" s="113"/>
      <c r="CL635" s="113"/>
      <c r="CM635" s="113"/>
      <c r="CN635" s="113"/>
      <c r="CO635" s="113"/>
      <c r="CP635" s="113"/>
      <c r="CQ635" s="113"/>
      <c r="CR635" s="113"/>
      <c r="CS635" s="113"/>
      <c r="CT635" s="113"/>
      <c r="CU635" s="113"/>
    </row>
    <row r="636">
      <c r="A636" s="159"/>
      <c r="B636" s="113"/>
      <c r="C636" s="113"/>
      <c r="D636" s="158"/>
      <c r="E636" s="161"/>
      <c r="F636" s="160"/>
      <c r="G636" s="162"/>
      <c r="H636" s="159"/>
      <c r="I636" s="113"/>
      <c r="J636" s="113"/>
      <c r="K636" s="113"/>
      <c r="L636" s="158"/>
      <c r="M636" s="113"/>
      <c r="N636" s="113"/>
      <c r="O636" s="113"/>
      <c r="P636" s="113"/>
      <c r="Q636" s="113"/>
      <c r="R636" s="113"/>
      <c r="S636" s="113"/>
      <c r="T636" s="113"/>
      <c r="U636" s="113"/>
      <c r="V636" s="113"/>
      <c r="W636" s="113"/>
      <c r="X636" s="113"/>
      <c r="Y636" s="113"/>
      <c r="Z636" s="113"/>
      <c r="AA636" s="113"/>
      <c r="AB636" s="113"/>
      <c r="AC636" s="113"/>
      <c r="AD636" s="113"/>
      <c r="AE636" s="113"/>
      <c r="AF636" s="113"/>
      <c r="AG636" s="113"/>
      <c r="AH636" s="113"/>
      <c r="AI636" s="113"/>
      <c r="AJ636" s="113"/>
      <c r="AK636" s="113"/>
      <c r="AL636" s="113"/>
      <c r="AM636" s="113"/>
      <c r="AN636" s="113"/>
      <c r="AO636" s="113"/>
      <c r="AP636" s="113"/>
      <c r="AQ636" s="113"/>
      <c r="AR636" s="113"/>
      <c r="AS636" s="113"/>
      <c r="AT636" s="113"/>
      <c r="AU636" s="113"/>
      <c r="AV636" s="113"/>
      <c r="AW636" s="113"/>
      <c r="AX636" s="113"/>
      <c r="AY636" s="113"/>
      <c r="AZ636" s="113"/>
      <c r="BA636" s="113"/>
      <c r="BB636" s="113"/>
      <c r="BC636" s="113"/>
      <c r="BD636" s="113"/>
      <c r="BE636" s="113"/>
      <c r="BF636" s="113"/>
      <c r="BG636" s="113"/>
      <c r="BH636" s="113"/>
      <c r="BI636" s="113"/>
      <c r="BJ636" s="113"/>
      <c r="BK636" s="113"/>
      <c r="BL636" s="113"/>
      <c r="BM636" s="113"/>
      <c r="BN636" s="113"/>
      <c r="BO636" s="113"/>
      <c r="BP636" s="113"/>
      <c r="BQ636" s="113"/>
      <c r="BR636" s="113"/>
      <c r="BS636" s="113"/>
      <c r="BT636" s="113"/>
      <c r="BU636" s="113"/>
      <c r="BV636" s="113"/>
      <c r="BW636" s="113"/>
      <c r="BX636" s="113"/>
      <c r="BY636" s="113"/>
      <c r="BZ636" s="113"/>
      <c r="CA636" s="113"/>
      <c r="CB636" s="113"/>
      <c r="CC636" s="113"/>
      <c r="CD636" s="113"/>
      <c r="CE636" s="113"/>
      <c r="CF636" s="113"/>
      <c r="CG636" s="113"/>
      <c r="CH636" s="113"/>
      <c r="CI636" s="113"/>
      <c r="CJ636" s="113"/>
      <c r="CK636" s="113"/>
      <c r="CL636" s="113"/>
      <c r="CM636" s="113"/>
      <c r="CN636" s="113"/>
      <c r="CO636" s="113"/>
      <c r="CP636" s="113"/>
      <c r="CQ636" s="113"/>
      <c r="CR636" s="113"/>
      <c r="CS636" s="113"/>
      <c r="CT636" s="113"/>
      <c r="CU636" s="113"/>
    </row>
    <row r="637">
      <c r="A637" s="159"/>
      <c r="B637" s="113"/>
      <c r="C637" s="113"/>
      <c r="D637" s="158"/>
      <c r="E637" s="161"/>
      <c r="F637" s="160"/>
      <c r="G637" s="162"/>
      <c r="H637" s="159"/>
      <c r="I637" s="113"/>
      <c r="J637" s="113"/>
      <c r="K637" s="113"/>
      <c r="L637" s="158"/>
      <c r="M637" s="113"/>
      <c r="N637" s="113"/>
      <c r="O637" s="113"/>
      <c r="P637" s="113"/>
      <c r="Q637" s="113"/>
      <c r="R637" s="113"/>
      <c r="S637" s="113"/>
      <c r="T637" s="113"/>
      <c r="U637" s="113"/>
      <c r="V637" s="113"/>
      <c r="W637" s="113"/>
      <c r="X637" s="113"/>
      <c r="Y637" s="113"/>
      <c r="Z637" s="113"/>
      <c r="AA637" s="113"/>
      <c r="AB637" s="113"/>
      <c r="AC637" s="113"/>
      <c r="AD637" s="113"/>
      <c r="AE637" s="113"/>
      <c r="AF637" s="113"/>
      <c r="AG637" s="113"/>
      <c r="AH637" s="113"/>
      <c r="AI637" s="113"/>
      <c r="AJ637" s="113"/>
      <c r="AK637" s="113"/>
      <c r="AL637" s="113"/>
      <c r="AM637" s="113"/>
      <c r="AN637" s="113"/>
      <c r="AO637" s="113"/>
      <c r="AP637" s="113"/>
      <c r="AQ637" s="113"/>
      <c r="AR637" s="113"/>
      <c r="AS637" s="113"/>
      <c r="AT637" s="113"/>
      <c r="AU637" s="113"/>
      <c r="AV637" s="113"/>
      <c r="AW637" s="113"/>
      <c r="AX637" s="113"/>
      <c r="AY637" s="113"/>
      <c r="AZ637" s="113"/>
      <c r="BA637" s="113"/>
      <c r="BB637" s="113"/>
      <c r="BC637" s="113"/>
      <c r="BD637" s="113"/>
      <c r="BE637" s="113"/>
      <c r="BF637" s="113"/>
      <c r="BG637" s="113"/>
      <c r="BH637" s="113"/>
      <c r="BI637" s="113"/>
      <c r="BJ637" s="113"/>
      <c r="BK637" s="113"/>
      <c r="BL637" s="113"/>
      <c r="BM637" s="113"/>
      <c r="BN637" s="113"/>
      <c r="BO637" s="113"/>
      <c r="BP637" s="113"/>
      <c r="BQ637" s="113"/>
      <c r="BR637" s="113"/>
      <c r="BS637" s="113"/>
      <c r="BT637" s="113"/>
      <c r="BU637" s="113"/>
      <c r="BV637" s="113"/>
      <c r="BW637" s="113"/>
      <c r="BX637" s="113"/>
      <c r="BY637" s="113"/>
      <c r="BZ637" s="113"/>
      <c r="CA637" s="113"/>
      <c r="CB637" s="113"/>
      <c r="CC637" s="113"/>
      <c r="CD637" s="113"/>
      <c r="CE637" s="113"/>
      <c r="CF637" s="113"/>
      <c r="CG637" s="113"/>
      <c r="CH637" s="113"/>
      <c r="CI637" s="113"/>
      <c r="CJ637" s="113"/>
      <c r="CK637" s="113"/>
      <c r="CL637" s="113"/>
      <c r="CM637" s="113"/>
      <c r="CN637" s="113"/>
      <c r="CO637" s="113"/>
      <c r="CP637" s="113"/>
      <c r="CQ637" s="113"/>
      <c r="CR637" s="113"/>
      <c r="CS637" s="113"/>
      <c r="CT637" s="113"/>
      <c r="CU637" s="113"/>
    </row>
    <row r="638">
      <c r="A638" s="159"/>
      <c r="B638" s="113"/>
      <c r="C638" s="113"/>
      <c r="D638" s="158"/>
      <c r="E638" s="161"/>
      <c r="F638" s="160"/>
      <c r="G638" s="162"/>
      <c r="H638" s="159"/>
      <c r="I638" s="113"/>
      <c r="J638" s="113"/>
      <c r="K638" s="113"/>
      <c r="L638" s="158"/>
      <c r="M638" s="113"/>
      <c r="N638" s="113"/>
      <c r="O638" s="113"/>
      <c r="P638" s="113"/>
      <c r="Q638" s="113"/>
      <c r="R638" s="113"/>
      <c r="S638" s="113"/>
      <c r="T638" s="113"/>
      <c r="U638" s="113"/>
      <c r="V638" s="113"/>
      <c r="W638" s="113"/>
      <c r="X638" s="113"/>
      <c r="Y638" s="113"/>
      <c r="Z638" s="113"/>
      <c r="AA638" s="113"/>
      <c r="AB638" s="113"/>
      <c r="AC638" s="113"/>
      <c r="AD638" s="113"/>
      <c r="AE638" s="113"/>
      <c r="AF638" s="113"/>
      <c r="AG638" s="113"/>
      <c r="AH638" s="113"/>
      <c r="AI638" s="113"/>
      <c r="AJ638" s="113"/>
      <c r="AK638" s="113"/>
      <c r="AL638" s="113"/>
      <c r="AM638" s="113"/>
      <c r="AN638" s="113"/>
      <c r="AO638" s="113"/>
      <c r="AP638" s="113"/>
      <c r="AQ638" s="113"/>
      <c r="AR638" s="113"/>
      <c r="AS638" s="113"/>
      <c r="AT638" s="113"/>
      <c r="AU638" s="113"/>
      <c r="AV638" s="113"/>
      <c r="AW638" s="113"/>
      <c r="AX638" s="113"/>
      <c r="AY638" s="113"/>
      <c r="AZ638" s="113"/>
      <c r="BA638" s="113"/>
      <c r="BB638" s="113"/>
      <c r="BC638" s="113"/>
      <c r="BD638" s="113"/>
      <c r="BE638" s="113"/>
      <c r="BF638" s="113"/>
      <c r="BG638" s="113"/>
      <c r="BH638" s="113"/>
      <c r="BI638" s="113"/>
      <c r="BJ638" s="113"/>
      <c r="BK638" s="113"/>
      <c r="BL638" s="113"/>
      <c r="BM638" s="113"/>
      <c r="BN638" s="113"/>
      <c r="BO638" s="113"/>
      <c r="BP638" s="113"/>
      <c r="BQ638" s="113"/>
      <c r="BR638" s="113"/>
      <c r="BS638" s="113"/>
      <c r="BT638" s="113"/>
      <c r="BU638" s="113"/>
      <c r="BV638" s="113"/>
      <c r="BW638" s="113"/>
      <c r="BX638" s="113"/>
      <c r="BY638" s="113"/>
      <c r="BZ638" s="113"/>
      <c r="CA638" s="113"/>
      <c r="CB638" s="113"/>
      <c r="CC638" s="113"/>
      <c r="CD638" s="113"/>
      <c r="CE638" s="113"/>
      <c r="CF638" s="113"/>
      <c r="CG638" s="113"/>
      <c r="CH638" s="113"/>
      <c r="CI638" s="113"/>
      <c r="CJ638" s="113"/>
      <c r="CK638" s="113"/>
      <c r="CL638" s="113"/>
      <c r="CM638" s="113"/>
      <c r="CN638" s="113"/>
      <c r="CO638" s="113"/>
      <c r="CP638" s="113"/>
      <c r="CQ638" s="113"/>
      <c r="CR638" s="113"/>
      <c r="CS638" s="113"/>
      <c r="CT638" s="113"/>
      <c r="CU638" s="113"/>
    </row>
    <row r="639">
      <c r="A639" s="159"/>
      <c r="B639" s="113"/>
      <c r="C639" s="113"/>
      <c r="D639" s="158"/>
      <c r="E639" s="161"/>
      <c r="F639" s="160"/>
      <c r="G639" s="162"/>
      <c r="H639" s="159"/>
      <c r="I639" s="113"/>
      <c r="J639" s="113"/>
      <c r="K639" s="113"/>
      <c r="L639" s="158"/>
      <c r="M639" s="113"/>
      <c r="N639" s="113"/>
      <c r="O639" s="113"/>
      <c r="P639" s="113"/>
      <c r="Q639" s="113"/>
      <c r="R639" s="113"/>
      <c r="S639" s="113"/>
      <c r="T639" s="113"/>
      <c r="U639" s="113"/>
      <c r="V639" s="113"/>
      <c r="W639" s="113"/>
      <c r="X639" s="113"/>
      <c r="Y639" s="113"/>
      <c r="Z639" s="113"/>
      <c r="AA639" s="113"/>
      <c r="AB639" s="113"/>
      <c r="AC639" s="113"/>
      <c r="AD639" s="113"/>
      <c r="AE639" s="113"/>
      <c r="AF639" s="113"/>
      <c r="AG639" s="113"/>
      <c r="AH639" s="113"/>
      <c r="AI639" s="113"/>
      <c r="AJ639" s="113"/>
      <c r="AK639" s="113"/>
      <c r="AL639" s="113"/>
      <c r="AM639" s="113"/>
      <c r="AN639" s="113"/>
      <c r="AO639" s="113"/>
      <c r="AP639" s="113"/>
      <c r="AQ639" s="113"/>
      <c r="AR639" s="113"/>
      <c r="AS639" s="113"/>
      <c r="AT639" s="113"/>
      <c r="AU639" s="113"/>
      <c r="AV639" s="113"/>
      <c r="AW639" s="113"/>
      <c r="AX639" s="113"/>
      <c r="AY639" s="113"/>
      <c r="AZ639" s="113"/>
      <c r="BA639" s="113"/>
      <c r="BB639" s="113"/>
      <c r="BC639" s="113"/>
      <c r="BD639" s="113"/>
      <c r="BE639" s="113"/>
      <c r="BF639" s="113"/>
      <c r="BG639" s="113"/>
      <c r="BH639" s="113"/>
      <c r="BI639" s="113"/>
      <c r="BJ639" s="113"/>
      <c r="BK639" s="113"/>
      <c r="BL639" s="113"/>
      <c r="BM639" s="113"/>
      <c r="BN639" s="113"/>
      <c r="BO639" s="113"/>
      <c r="BP639" s="113"/>
      <c r="BQ639" s="113"/>
      <c r="BR639" s="113"/>
      <c r="BS639" s="113"/>
      <c r="BT639" s="113"/>
      <c r="BU639" s="113"/>
      <c r="BV639" s="113"/>
      <c r="BW639" s="113"/>
      <c r="BX639" s="113"/>
      <c r="BY639" s="113"/>
      <c r="BZ639" s="113"/>
      <c r="CA639" s="113"/>
      <c r="CB639" s="113"/>
      <c r="CC639" s="113"/>
      <c r="CD639" s="113"/>
      <c r="CE639" s="113"/>
      <c r="CF639" s="113"/>
      <c r="CG639" s="113"/>
      <c r="CH639" s="113"/>
      <c r="CI639" s="113"/>
      <c r="CJ639" s="113"/>
      <c r="CK639" s="113"/>
      <c r="CL639" s="113"/>
      <c r="CM639" s="113"/>
      <c r="CN639" s="113"/>
      <c r="CO639" s="113"/>
      <c r="CP639" s="113"/>
      <c r="CQ639" s="113"/>
      <c r="CR639" s="113"/>
      <c r="CS639" s="113"/>
      <c r="CT639" s="113"/>
      <c r="CU639" s="113"/>
    </row>
    <row r="640">
      <c r="A640" s="159"/>
      <c r="B640" s="113"/>
      <c r="C640" s="113"/>
      <c r="D640" s="158"/>
      <c r="E640" s="161"/>
      <c r="F640" s="160"/>
      <c r="G640" s="162"/>
      <c r="H640" s="159"/>
      <c r="I640" s="113"/>
      <c r="J640" s="113"/>
      <c r="K640" s="113"/>
      <c r="L640" s="158"/>
      <c r="M640" s="113"/>
      <c r="N640" s="113"/>
      <c r="O640" s="113"/>
      <c r="P640" s="113"/>
      <c r="Q640" s="113"/>
      <c r="R640" s="113"/>
      <c r="S640" s="113"/>
      <c r="T640" s="113"/>
      <c r="U640" s="113"/>
      <c r="V640" s="113"/>
      <c r="W640" s="113"/>
      <c r="X640" s="113"/>
      <c r="Y640" s="113"/>
      <c r="Z640" s="113"/>
      <c r="AA640" s="113"/>
      <c r="AB640" s="113"/>
      <c r="AC640" s="113"/>
      <c r="AD640" s="113"/>
      <c r="AE640" s="113"/>
      <c r="AF640" s="113"/>
      <c r="AG640" s="113"/>
      <c r="AH640" s="113"/>
      <c r="AI640" s="113"/>
      <c r="AJ640" s="113"/>
      <c r="AK640" s="113"/>
      <c r="AL640" s="113"/>
      <c r="AM640" s="113"/>
      <c r="AN640" s="113"/>
      <c r="AO640" s="113"/>
      <c r="AP640" s="113"/>
      <c r="AQ640" s="113"/>
      <c r="AR640" s="113"/>
      <c r="AS640" s="113"/>
      <c r="AT640" s="113"/>
      <c r="AU640" s="113"/>
      <c r="AV640" s="113"/>
      <c r="AW640" s="113"/>
      <c r="AX640" s="113"/>
      <c r="AY640" s="113"/>
      <c r="AZ640" s="113"/>
      <c r="BA640" s="113"/>
      <c r="BB640" s="113"/>
      <c r="BC640" s="113"/>
      <c r="BD640" s="113"/>
      <c r="BE640" s="113"/>
      <c r="BF640" s="113"/>
      <c r="BG640" s="113"/>
      <c r="BH640" s="113"/>
      <c r="BI640" s="113"/>
      <c r="BJ640" s="113"/>
      <c r="BK640" s="113"/>
      <c r="BL640" s="113"/>
      <c r="BM640" s="113"/>
      <c r="BN640" s="113"/>
      <c r="BO640" s="113"/>
      <c r="BP640" s="113"/>
      <c r="BQ640" s="113"/>
      <c r="BR640" s="113"/>
      <c r="BS640" s="113"/>
      <c r="BT640" s="113"/>
      <c r="BU640" s="113"/>
      <c r="BV640" s="113"/>
      <c r="BW640" s="113"/>
      <c r="BX640" s="113"/>
      <c r="BY640" s="113"/>
      <c r="BZ640" s="113"/>
      <c r="CA640" s="113"/>
      <c r="CB640" s="113"/>
      <c r="CC640" s="113"/>
      <c r="CD640" s="113"/>
      <c r="CE640" s="113"/>
      <c r="CF640" s="113"/>
      <c r="CG640" s="113"/>
      <c r="CH640" s="113"/>
      <c r="CI640" s="113"/>
      <c r="CJ640" s="113"/>
      <c r="CK640" s="113"/>
      <c r="CL640" s="113"/>
      <c r="CM640" s="113"/>
      <c r="CN640" s="113"/>
      <c r="CO640" s="113"/>
      <c r="CP640" s="113"/>
      <c r="CQ640" s="113"/>
      <c r="CR640" s="113"/>
      <c r="CS640" s="113"/>
      <c r="CT640" s="113"/>
      <c r="CU640" s="113"/>
    </row>
    <row r="641">
      <c r="A641" s="159"/>
      <c r="B641" s="113"/>
      <c r="C641" s="113"/>
      <c r="D641" s="158"/>
      <c r="E641" s="161"/>
      <c r="F641" s="160"/>
      <c r="G641" s="162"/>
      <c r="H641" s="159"/>
      <c r="I641" s="113"/>
      <c r="J641" s="113"/>
      <c r="K641" s="113"/>
      <c r="L641" s="158"/>
      <c r="M641" s="113"/>
      <c r="N641" s="113"/>
      <c r="O641" s="113"/>
      <c r="P641" s="113"/>
      <c r="Q641" s="113"/>
      <c r="R641" s="113"/>
      <c r="S641" s="113"/>
      <c r="T641" s="113"/>
      <c r="U641" s="113"/>
      <c r="V641" s="113"/>
      <c r="W641" s="113"/>
      <c r="X641" s="113"/>
      <c r="Y641" s="113"/>
      <c r="Z641" s="113"/>
      <c r="AA641" s="113"/>
      <c r="AB641" s="113"/>
      <c r="AC641" s="113"/>
      <c r="AD641" s="113"/>
      <c r="AE641" s="113"/>
      <c r="AF641" s="113"/>
      <c r="AG641" s="113"/>
      <c r="AH641" s="113"/>
      <c r="AI641" s="113"/>
      <c r="AJ641" s="113"/>
      <c r="AK641" s="113"/>
      <c r="AL641" s="113"/>
      <c r="AM641" s="113"/>
      <c r="AN641" s="113"/>
      <c r="AO641" s="113"/>
      <c r="AP641" s="113"/>
      <c r="AQ641" s="113"/>
      <c r="AR641" s="113"/>
      <c r="AS641" s="113"/>
      <c r="AT641" s="113"/>
      <c r="AU641" s="113"/>
      <c r="AV641" s="113"/>
      <c r="AW641" s="113"/>
      <c r="AX641" s="113"/>
      <c r="AY641" s="113"/>
      <c r="AZ641" s="113"/>
      <c r="BA641" s="113"/>
      <c r="BB641" s="113"/>
      <c r="BC641" s="113"/>
      <c r="BD641" s="113"/>
      <c r="BE641" s="113"/>
      <c r="BF641" s="113"/>
      <c r="BG641" s="113"/>
      <c r="BH641" s="113"/>
      <c r="BI641" s="113"/>
      <c r="BJ641" s="113"/>
      <c r="BK641" s="113"/>
      <c r="BL641" s="113"/>
      <c r="BM641" s="113"/>
      <c r="BN641" s="113"/>
      <c r="BO641" s="113"/>
      <c r="BP641" s="113"/>
      <c r="BQ641" s="113"/>
      <c r="BR641" s="113"/>
      <c r="BS641" s="113"/>
      <c r="BT641" s="113"/>
      <c r="BU641" s="113"/>
      <c r="BV641" s="113"/>
      <c r="BW641" s="113"/>
      <c r="BX641" s="113"/>
      <c r="BY641" s="113"/>
      <c r="BZ641" s="113"/>
      <c r="CA641" s="113"/>
      <c r="CB641" s="113"/>
      <c r="CC641" s="113"/>
      <c r="CD641" s="113"/>
      <c r="CE641" s="113"/>
      <c r="CF641" s="113"/>
      <c r="CG641" s="113"/>
      <c r="CH641" s="113"/>
      <c r="CI641" s="113"/>
      <c r="CJ641" s="113"/>
      <c r="CK641" s="113"/>
      <c r="CL641" s="113"/>
      <c r="CM641" s="113"/>
      <c r="CN641" s="113"/>
      <c r="CO641" s="113"/>
      <c r="CP641" s="113"/>
      <c r="CQ641" s="113"/>
      <c r="CR641" s="113"/>
      <c r="CS641" s="113"/>
      <c r="CT641" s="113"/>
      <c r="CU641" s="113"/>
    </row>
    <row r="642">
      <c r="A642" s="159"/>
      <c r="B642" s="113"/>
      <c r="C642" s="113"/>
      <c r="D642" s="158"/>
      <c r="E642" s="161"/>
      <c r="F642" s="160"/>
      <c r="G642" s="162"/>
      <c r="H642" s="159"/>
      <c r="I642" s="113"/>
      <c r="J642" s="113"/>
      <c r="K642" s="113"/>
      <c r="L642" s="158"/>
      <c r="M642" s="113"/>
      <c r="N642" s="113"/>
      <c r="O642" s="113"/>
      <c r="P642" s="113"/>
      <c r="Q642" s="113"/>
      <c r="R642" s="113"/>
      <c r="S642" s="113"/>
      <c r="T642" s="113"/>
      <c r="U642" s="113"/>
      <c r="V642" s="113"/>
      <c r="W642" s="113"/>
      <c r="X642" s="113"/>
      <c r="Y642" s="113"/>
      <c r="Z642" s="113"/>
      <c r="AA642" s="113"/>
      <c r="AB642" s="113"/>
      <c r="AC642" s="113"/>
      <c r="AD642" s="113"/>
      <c r="AE642" s="113"/>
      <c r="AF642" s="113"/>
      <c r="AG642" s="113"/>
      <c r="AH642" s="113"/>
      <c r="AI642" s="113"/>
      <c r="AJ642" s="113"/>
      <c r="AK642" s="113"/>
      <c r="AL642" s="113"/>
      <c r="AM642" s="113"/>
      <c r="AN642" s="113"/>
      <c r="AO642" s="113"/>
      <c r="AP642" s="113"/>
      <c r="AQ642" s="113"/>
      <c r="AR642" s="113"/>
      <c r="AS642" s="113"/>
      <c r="AT642" s="113"/>
      <c r="AU642" s="113"/>
      <c r="AV642" s="113"/>
      <c r="AW642" s="113"/>
      <c r="AX642" s="113"/>
      <c r="AY642" s="113"/>
      <c r="AZ642" s="113"/>
      <c r="BA642" s="113"/>
      <c r="BB642" s="113"/>
      <c r="BC642" s="113"/>
      <c r="BD642" s="113"/>
      <c r="BE642" s="113"/>
      <c r="BF642" s="113"/>
      <c r="BG642" s="113"/>
      <c r="BH642" s="113"/>
      <c r="BI642" s="113"/>
      <c r="BJ642" s="113"/>
      <c r="BK642" s="113"/>
      <c r="BL642" s="113"/>
      <c r="BM642" s="113"/>
      <c r="BN642" s="113"/>
      <c r="BO642" s="113"/>
      <c r="BP642" s="113"/>
      <c r="BQ642" s="113"/>
      <c r="BR642" s="113"/>
      <c r="BS642" s="113"/>
      <c r="BT642" s="113"/>
      <c r="BU642" s="113"/>
      <c r="BV642" s="113"/>
      <c r="BW642" s="113"/>
      <c r="BX642" s="113"/>
      <c r="BY642" s="113"/>
      <c r="BZ642" s="113"/>
      <c r="CA642" s="113"/>
      <c r="CB642" s="113"/>
      <c r="CC642" s="113"/>
      <c r="CD642" s="113"/>
      <c r="CE642" s="113"/>
      <c r="CF642" s="113"/>
      <c r="CG642" s="113"/>
      <c r="CH642" s="113"/>
      <c r="CI642" s="113"/>
      <c r="CJ642" s="113"/>
      <c r="CK642" s="113"/>
      <c r="CL642" s="113"/>
      <c r="CM642" s="113"/>
      <c r="CN642" s="113"/>
      <c r="CO642" s="113"/>
      <c r="CP642" s="113"/>
      <c r="CQ642" s="113"/>
      <c r="CR642" s="113"/>
      <c r="CS642" s="113"/>
      <c r="CT642" s="113"/>
      <c r="CU642" s="113"/>
    </row>
    <row r="643">
      <c r="A643" s="159"/>
      <c r="B643" s="113"/>
      <c r="C643" s="113"/>
      <c r="D643" s="158"/>
      <c r="E643" s="161"/>
      <c r="F643" s="160"/>
      <c r="G643" s="162"/>
      <c r="H643" s="159"/>
      <c r="I643" s="113"/>
      <c r="J643" s="113"/>
      <c r="K643" s="113"/>
      <c r="L643" s="158"/>
      <c r="M643" s="113"/>
      <c r="N643" s="113"/>
      <c r="O643" s="113"/>
      <c r="P643" s="113"/>
      <c r="Q643" s="113"/>
      <c r="R643" s="113"/>
      <c r="S643" s="113"/>
      <c r="T643" s="113"/>
      <c r="U643" s="113"/>
      <c r="V643" s="113"/>
      <c r="W643" s="113"/>
      <c r="X643" s="113"/>
      <c r="Y643" s="113"/>
      <c r="Z643" s="113"/>
      <c r="AA643" s="113"/>
      <c r="AB643" s="113"/>
      <c r="AC643" s="113"/>
      <c r="AD643" s="113"/>
      <c r="AE643" s="113"/>
      <c r="AF643" s="113"/>
      <c r="AG643" s="113"/>
      <c r="AH643" s="113"/>
      <c r="AI643" s="113"/>
      <c r="AJ643" s="113"/>
      <c r="AK643" s="113"/>
      <c r="AL643" s="113"/>
      <c r="AM643" s="113"/>
      <c r="AN643" s="113"/>
      <c r="AO643" s="113"/>
      <c r="AP643" s="113"/>
      <c r="AQ643" s="113"/>
      <c r="AR643" s="113"/>
      <c r="AS643" s="113"/>
      <c r="AT643" s="113"/>
      <c r="AU643" s="113"/>
      <c r="AV643" s="113"/>
      <c r="AW643" s="113"/>
      <c r="AX643" s="113"/>
      <c r="AY643" s="113"/>
      <c r="AZ643" s="113"/>
      <c r="BA643" s="113"/>
      <c r="BB643" s="113"/>
      <c r="BC643" s="113"/>
      <c r="BD643" s="113"/>
      <c r="BE643" s="113"/>
      <c r="BF643" s="113"/>
      <c r="BG643" s="113"/>
      <c r="BH643" s="113"/>
      <c r="BI643" s="113"/>
      <c r="BJ643" s="113"/>
      <c r="BK643" s="113"/>
      <c r="BL643" s="113"/>
      <c r="BM643" s="113"/>
      <c r="BN643" s="113"/>
      <c r="BO643" s="113"/>
      <c r="BP643" s="113"/>
      <c r="BQ643" s="113"/>
      <c r="BR643" s="113"/>
      <c r="BS643" s="113"/>
      <c r="BT643" s="113"/>
      <c r="BU643" s="113"/>
      <c r="BV643" s="113"/>
      <c r="BW643" s="113"/>
      <c r="BX643" s="113"/>
      <c r="BY643" s="113"/>
      <c r="BZ643" s="113"/>
      <c r="CA643" s="113"/>
      <c r="CB643" s="113"/>
      <c r="CC643" s="113"/>
      <c r="CD643" s="113"/>
      <c r="CE643" s="113"/>
      <c r="CF643" s="113"/>
      <c r="CG643" s="113"/>
      <c r="CH643" s="113"/>
      <c r="CI643" s="113"/>
      <c r="CJ643" s="113"/>
      <c r="CK643" s="113"/>
      <c r="CL643" s="113"/>
      <c r="CM643" s="113"/>
      <c r="CN643" s="113"/>
      <c r="CO643" s="113"/>
      <c r="CP643" s="113"/>
      <c r="CQ643" s="113"/>
      <c r="CR643" s="113"/>
      <c r="CS643" s="113"/>
      <c r="CT643" s="113"/>
      <c r="CU643" s="113"/>
    </row>
    <row r="644">
      <c r="A644" s="159"/>
      <c r="B644" s="113"/>
      <c r="C644" s="113"/>
      <c r="D644" s="158"/>
      <c r="E644" s="161"/>
      <c r="F644" s="160"/>
      <c r="G644" s="162"/>
      <c r="H644" s="159"/>
      <c r="I644" s="113"/>
      <c r="J644" s="113"/>
      <c r="K644" s="113"/>
      <c r="L644" s="158"/>
      <c r="M644" s="113"/>
      <c r="N644" s="113"/>
      <c r="O644" s="113"/>
      <c r="P644" s="113"/>
      <c r="Q644" s="113"/>
      <c r="R644" s="113"/>
      <c r="S644" s="113"/>
      <c r="T644" s="113"/>
      <c r="U644" s="113"/>
      <c r="V644" s="113"/>
      <c r="W644" s="113"/>
      <c r="X644" s="113"/>
      <c r="Y644" s="113"/>
      <c r="Z644" s="113"/>
      <c r="AA644" s="113"/>
      <c r="AB644" s="113"/>
      <c r="AC644" s="113"/>
      <c r="AD644" s="113"/>
      <c r="AE644" s="113"/>
      <c r="AF644" s="113"/>
      <c r="AG644" s="113"/>
      <c r="AH644" s="113"/>
      <c r="AI644" s="113"/>
      <c r="AJ644" s="113"/>
      <c r="AK644" s="113"/>
      <c r="AL644" s="113"/>
      <c r="AM644" s="113"/>
      <c r="AN644" s="113"/>
      <c r="AO644" s="113"/>
      <c r="AP644" s="113"/>
      <c r="AQ644" s="113"/>
      <c r="AR644" s="113"/>
      <c r="AS644" s="113"/>
      <c r="AT644" s="113"/>
      <c r="AU644" s="113"/>
      <c r="AV644" s="113"/>
      <c r="AW644" s="113"/>
      <c r="AX644" s="113"/>
      <c r="AY644" s="113"/>
      <c r="AZ644" s="113"/>
      <c r="BA644" s="113"/>
      <c r="BB644" s="113"/>
      <c r="BC644" s="113"/>
      <c r="BD644" s="113"/>
      <c r="BE644" s="113"/>
      <c r="BF644" s="113"/>
      <c r="BG644" s="113"/>
      <c r="BH644" s="113"/>
      <c r="BI644" s="113"/>
      <c r="BJ644" s="113"/>
      <c r="BK644" s="113"/>
      <c r="BL644" s="113"/>
      <c r="BM644" s="113"/>
      <c r="BN644" s="113"/>
      <c r="BO644" s="113"/>
      <c r="BP644" s="113"/>
      <c r="BQ644" s="113"/>
      <c r="BR644" s="113"/>
      <c r="BS644" s="113"/>
      <c r="BT644" s="113"/>
      <c r="BU644" s="113"/>
      <c r="BV644" s="113"/>
      <c r="BW644" s="113"/>
      <c r="BX644" s="113"/>
      <c r="BY644" s="113"/>
      <c r="BZ644" s="113"/>
      <c r="CA644" s="113"/>
      <c r="CB644" s="113"/>
      <c r="CC644" s="113"/>
      <c r="CD644" s="113"/>
      <c r="CE644" s="113"/>
      <c r="CF644" s="113"/>
      <c r="CG644" s="113"/>
      <c r="CH644" s="113"/>
      <c r="CI644" s="113"/>
      <c r="CJ644" s="113"/>
      <c r="CK644" s="113"/>
      <c r="CL644" s="113"/>
      <c r="CM644" s="113"/>
      <c r="CN644" s="113"/>
      <c r="CO644" s="113"/>
      <c r="CP644" s="113"/>
      <c r="CQ644" s="113"/>
      <c r="CR644" s="113"/>
      <c r="CS644" s="113"/>
      <c r="CT644" s="113"/>
      <c r="CU644" s="113"/>
    </row>
    <row r="645">
      <c r="A645" s="159"/>
      <c r="B645" s="113"/>
      <c r="C645" s="113"/>
      <c r="D645" s="158"/>
      <c r="E645" s="161"/>
      <c r="F645" s="160"/>
      <c r="G645" s="162"/>
      <c r="H645" s="159"/>
      <c r="I645" s="113"/>
      <c r="J645" s="113"/>
      <c r="K645" s="113"/>
      <c r="L645" s="158"/>
      <c r="M645" s="113"/>
      <c r="N645" s="113"/>
      <c r="O645" s="113"/>
      <c r="P645" s="113"/>
      <c r="Q645" s="113"/>
      <c r="R645" s="113"/>
      <c r="S645" s="113"/>
      <c r="T645" s="113"/>
      <c r="U645" s="113"/>
      <c r="V645" s="113"/>
      <c r="W645" s="113"/>
      <c r="X645" s="113"/>
      <c r="Y645" s="113"/>
      <c r="Z645" s="113"/>
      <c r="AA645" s="113"/>
      <c r="AB645" s="113"/>
      <c r="AC645" s="113"/>
      <c r="AD645" s="113"/>
      <c r="AE645" s="113"/>
      <c r="AF645" s="113"/>
      <c r="AG645" s="113"/>
      <c r="AH645" s="113"/>
      <c r="AI645" s="113"/>
      <c r="AJ645" s="113"/>
      <c r="AK645" s="113"/>
      <c r="AL645" s="113"/>
      <c r="AM645" s="113"/>
      <c r="AN645" s="113"/>
      <c r="AO645" s="113"/>
      <c r="AP645" s="113"/>
      <c r="AQ645" s="113"/>
      <c r="AR645" s="113"/>
      <c r="AS645" s="113"/>
      <c r="AT645" s="113"/>
      <c r="AU645" s="113"/>
      <c r="AV645" s="113"/>
      <c r="AW645" s="113"/>
      <c r="AX645" s="113"/>
      <c r="AY645" s="113"/>
      <c r="AZ645" s="113"/>
      <c r="BA645" s="113"/>
      <c r="BB645" s="113"/>
      <c r="BC645" s="113"/>
      <c r="BD645" s="113"/>
      <c r="BE645" s="113"/>
      <c r="BF645" s="113"/>
      <c r="BG645" s="113"/>
      <c r="BH645" s="113"/>
      <c r="BI645" s="113"/>
      <c r="BJ645" s="113"/>
      <c r="BK645" s="113"/>
      <c r="BL645" s="113"/>
      <c r="BM645" s="113"/>
      <c r="BN645" s="113"/>
      <c r="BO645" s="113"/>
      <c r="BP645" s="113"/>
      <c r="BQ645" s="113"/>
      <c r="BR645" s="113"/>
      <c r="BS645" s="113"/>
      <c r="BT645" s="113"/>
      <c r="BU645" s="113"/>
      <c r="BV645" s="113"/>
      <c r="BW645" s="113"/>
      <c r="BX645" s="113"/>
      <c r="BY645" s="113"/>
      <c r="BZ645" s="113"/>
      <c r="CA645" s="113"/>
      <c r="CB645" s="113"/>
      <c r="CC645" s="113"/>
      <c r="CD645" s="113"/>
      <c r="CE645" s="113"/>
      <c r="CF645" s="113"/>
      <c r="CG645" s="113"/>
      <c r="CH645" s="113"/>
      <c r="CI645" s="113"/>
      <c r="CJ645" s="113"/>
      <c r="CK645" s="113"/>
      <c r="CL645" s="113"/>
      <c r="CM645" s="113"/>
      <c r="CN645" s="113"/>
      <c r="CO645" s="113"/>
      <c r="CP645" s="113"/>
      <c r="CQ645" s="113"/>
      <c r="CR645" s="113"/>
      <c r="CS645" s="113"/>
      <c r="CT645" s="113"/>
      <c r="CU645" s="113"/>
    </row>
    <row r="646">
      <c r="A646" s="159"/>
      <c r="B646" s="113"/>
      <c r="C646" s="113"/>
      <c r="D646" s="158"/>
      <c r="E646" s="161"/>
      <c r="F646" s="160"/>
      <c r="G646" s="162"/>
      <c r="H646" s="159"/>
      <c r="I646" s="113"/>
      <c r="J646" s="113"/>
      <c r="K646" s="113"/>
      <c r="L646" s="158"/>
      <c r="M646" s="113"/>
      <c r="N646" s="113"/>
      <c r="O646" s="113"/>
      <c r="P646" s="113"/>
      <c r="Q646" s="113"/>
      <c r="R646" s="113"/>
      <c r="S646" s="113"/>
      <c r="T646" s="113"/>
      <c r="U646" s="113"/>
      <c r="V646" s="113"/>
      <c r="W646" s="113"/>
      <c r="X646" s="113"/>
      <c r="Y646" s="113"/>
      <c r="Z646" s="113"/>
      <c r="AA646" s="113"/>
      <c r="AB646" s="113"/>
      <c r="AC646" s="113"/>
      <c r="AD646" s="113"/>
      <c r="AE646" s="113"/>
      <c r="AF646" s="113"/>
      <c r="AG646" s="113"/>
      <c r="AH646" s="113"/>
      <c r="AI646" s="113"/>
      <c r="AJ646" s="113"/>
      <c r="AK646" s="113"/>
      <c r="AL646" s="113"/>
      <c r="AM646" s="113"/>
      <c r="AN646" s="113"/>
      <c r="AO646" s="113"/>
      <c r="AP646" s="113"/>
      <c r="AQ646" s="113"/>
      <c r="AR646" s="113"/>
      <c r="AS646" s="113"/>
      <c r="AT646" s="113"/>
      <c r="AU646" s="113"/>
      <c r="AV646" s="113"/>
      <c r="AW646" s="113"/>
      <c r="AX646" s="113"/>
      <c r="AY646" s="113"/>
      <c r="AZ646" s="113"/>
      <c r="BA646" s="113"/>
      <c r="BB646" s="113"/>
      <c r="BC646" s="113"/>
      <c r="BD646" s="113"/>
      <c r="BE646" s="113"/>
      <c r="BF646" s="113"/>
      <c r="BG646" s="113"/>
      <c r="BH646" s="113"/>
      <c r="BI646" s="113"/>
      <c r="BJ646" s="113"/>
      <c r="BK646" s="113"/>
      <c r="BL646" s="113"/>
      <c r="BM646" s="113"/>
      <c r="BN646" s="113"/>
      <c r="BO646" s="113"/>
      <c r="BP646" s="113"/>
      <c r="BQ646" s="113"/>
      <c r="BR646" s="113"/>
      <c r="BS646" s="113"/>
      <c r="BT646" s="113"/>
      <c r="BU646" s="113"/>
      <c r="BV646" s="113"/>
      <c r="BW646" s="113"/>
      <c r="BX646" s="113"/>
      <c r="BY646" s="113"/>
      <c r="BZ646" s="113"/>
      <c r="CA646" s="113"/>
      <c r="CB646" s="113"/>
      <c r="CC646" s="113"/>
      <c r="CD646" s="113"/>
      <c r="CE646" s="113"/>
      <c r="CF646" s="113"/>
      <c r="CG646" s="113"/>
      <c r="CH646" s="113"/>
      <c r="CI646" s="113"/>
      <c r="CJ646" s="113"/>
      <c r="CK646" s="113"/>
      <c r="CL646" s="113"/>
      <c r="CM646" s="113"/>
      <c r="CN646" s="113"/>
      <c r="CO646" s="113"/>
      <c r="CP646" s="113"/>
      <c r="CQ646" s="113"/>
      <c r="CR646" s="113"/>
      <c r="CS646" s="113"/>
      <c r="CT646" s="113"/>
      <c r="CU646" s="113"/>
    </row>
    <row r="647">
      <c r="A647" s="159"/>
      <c r="B647" s="113"/>
      <c r="C647" s="113"/>
      <c r="D647" s="158"/>
      <c r="E647" s="161"/>
      <c r="F647" s="160"/>
      <c r="G647" s="162"/>
      <c r="H647" s="159"/>
      <c r="I647" s="113"/>
      <c r="J647" s="113"/>
      <c r="K647" s="113"/>
      <c r="L647" s="158"/>
      <c r="M647" s="113"/>
      <c r="N647" s="113"/>
      <c r="O647" s="113"/>
      <c r="P647" s="113"/>
      <c r="Q647" s="113"/>
      <c r="R647" s="113"/>
      <c r="S647" s="113"/>
      <c r="T647" s="113"/>
      <c r="U647" s="113"/>
      <c r="V647" s="113"/>
      <c r="W647" s="113"/>
      <c r="X647" s="113"/>
      <c r="Y647" s="113"/>
      <c r="Z647" s="113"/>
      <c r="AA647" s="113"/>
      <c r="AB647" s="113"/>
      <c r="AC647" s="113"/>
      <c r="AD647" s="113"/>
      <c r="AE647" s="113"/>
      <c r="AF647" s="113"/>
      <c r="AG647" s="113"/>
      <c r="AH647" s="113"/>
      <c r="AI647" s="113"/>
      <c r="AJ647" s="113"/>
      <c r="AK647" s="113"/>
      <c r="AL647" s="113"/>
      <c r="AM647" s="113"/>
      <c r="AN647" s="113"/>
      <c r="AO647" s="113"/>
      <c r="AP647" s="113"/>
      <c r="AQ647" s="113"/>
      <c r="AR647" s="113"/>
      <c r="AS647" s="113"/>
      <c r="AT647" s="113"/>
      <c r="AU647" s="113"/>
      <c r="AV647" s="113"/>
      <c r="AW647" s="113"/>
      <c r="AX647" s="113"/>
      <c r="AY647" s="113"/>
      <c r="AZ647" s="113"/>
      <c r="BA647" s="113"/>
      <c r="BB647" s="113"/>
      <c r="BC647" s="113"/>
      <c r="BD647" s="113"/>
      <c r="BE647" s="113"/>
      <c r="BF647" s="113"/>
      <c r="BG647" s="113"/>
      <c r="BH647" s="113"/>
      <c r="BI647" s="113"/>
      <c r="BJ647" s="113"/>
      <c r="BK647" s="113"/>
      <c r="BL647" s="113"/>
      <c r="BM647" s="113"/>
      <c r="BN647" s="113"/>
      <c r="BO647" s="113"/>
      <c r="BP647" s="113"/>
      <c r="BQ647" s="113"/>
      <c r="BR647" s="113"/>
      <c r="BS647" s="113"/>
      <c r="BT647" s="113"/>
      <c r="BU647" s="113"/>
      <c r="BV647" s="113"/>
      <c r="BW647" s="113"/>
      <c r="BX647" s="113"/>
      <c r="BY647" s="113"/>
      <c r="BZ647" s="113"/>
      <c r="CA647" s="113"/>
      <c r="CB647" s="113"/>
      <c r="CC647" s="113"/>
      <c r="CD647" s="113"/>
      <c r="CE647" s="113"/>
      <c r="CF647" s="113"/>
      <c r="CG647" s="113"/>
      <c r="CH647" s="113"/>
      <c r="CI647" s="113"/>
      <c r="CJ647" s="113"/>
      <c r="CK647" s="113"/>
      <c r="CL647" s="113"/>
      <c r="CM647" s="113"/>
      <c r="CN647" s="113"/>
      <c r="CO647" s="113"/>
      <c r="CP647" s="113"/>
      <c r="CQ647" s="113"/>
      <c r="CR647" s="113"/>
      <c r="CS647" s="113"/>
      <c r="CT647" s="113"/>
      <c r="CU647" s="113"/>
    </row>
    <row r="648">
      <c r="A648" s="159"/>
      <c r="B648" s="113"/>
      <c r="C648" s="113"/>
      <c r="D648" s="158"/>
      <c r="E648" s="161"/>
      <c r="F648" s="160"/>
      <c r="G648" s="162"/>
      <c r="H648" s="159"/>
      <c r="I648" s="113"/>
      <c r="J648" s="113"/>
      <c r="K648" s="113"/>
      <c r="L648" s="158"/>
      <c r="M648" s="113"/>
      <c r="N648" s="113"/>
      <c r="O648" s="113"/>
      <c r="P648" s="113"/>
      <c r="Q648" s="113"/>
      <c r="R648" s="113"/>
      <c r="S648" s="113"/>
      <c r="T648" s="113"/>
      <c r="U648" s="113"/>
      <c r="V648" s="113"/>
      <c r="W648" s="113"/>
      <c r="X648" s="113"/>
      <c r="Y648" s="113"/>
      <c r="Z648" s="113"/>
      <c r="AA648" s="113"/>
      <c r="AB648" s="113"/>
      <c r="AC648" s="113"/>
      <c r="AD648" s="113"/>
      <c r="AE648" s="113"/>
      <c r="AF648" s="113"/>
      <c r="AG648" s="113"/>
      <c r="AH648" s="113"/>
      <c r="AI648" s="113"/>
      <c r="AJ648" s="113"/>
      <c r="AK648" s="113"/>
      <c r="AL648" s="113"/>
      <c r="AM648" s="113"/>
      <c r="AN648" s="113"/>
      <c r="AO648" s="113"/>
      <c r="AP648" s="113"/>
      <c r="AQ648" s="113"/>
      <c r="AR648" s="113"/>
      <c r="AS648" s="113"/>
      <c r="AT648" s="113"/>
      <c r="AU648" s="113"/>
      <c r="AV648" s="113"/>
      <c r="AW648" s="113"/>
      <c r="AX648" s="113"/>
      <c r="AY648" s="113"/>
      <c r="AZ648" s="113"/>
      <c r="BA648" s="113"/>
      <c r="BB648" s="113"/>
      <c r="BC648" s="113"/>
      <c r="BD648" s="113"/>
      <c r="BE648" s="113"/>
      <c r="BF648" s="113"/>
      <c r="BG648" s="113"/>
      <c r="BH648" s="113"/>
      <c r="BI648" s="113"/>
      <c r="BJ648" s="113"/>
      <c r="BK648" s="113"/>
      <c r="BL648" s="113"/>
      <c r="BM648" s="113"/>
      <c r="BN648" s="113"/>
      <c r="BO648" s="113"/>
      <c r="BP648" s="113"/>
      <c r="BQ648" s="113"/>
      <c r="BR648" s="113"/>
      <c r="BS648" s="113"/>
      <c r="BT648" s="113"/>
      <c r="BU648" s="113"/>
      <c r="BV648" s="113"/>
      <c r="BW648" s="113"/>
      <c r="BX648" s="113"/>
      <c r="BY648" s="113"/>
      <c r="BZ648" s="113"/>
      <c r="CA648" s="113"/>
      <c r="CB648" s="113"/>
      <c r="CC648" s="113"/>
      <c r="CD648" s="113"/>
      <c r="CE648" s="113"/>
      <c r="CF648" s="113"/>
      <c r="CG648" s="113"/>
      <c r="CH648" s="113"/>
      <c r="CI648" s="113"/>
      <c r="CJ648" s="113"/>
      <c r="CK648" s="113"/>
      <c r="CL648" s="113"/>
      <c r="CM648" s="113"/>
      <c r="CN648" s="113"/>
      <c r="CO648" s="113"/>
      <c r="CP648" s="113"/>
      <c r="CQ648" s="113"/>
      <c r="CR648" s="113"/>
      <c r="CS648" s="113"/>
      <c r="CT648" s="113"/>
      <c r="CU648" s="113"/>
    </row>
    <row r="649">
      <c r="A649" s="159"/>
      <c r="B649" s="113"/>
      <c r="C649" s="113"/>
      <c r="D649" s="158"/>
      <c r="E649" s="161"/>
      <c r="F649" s="160"/>
      <c r="G649" s="162"/>
      <c r="H649" s="159"/>
      <c r="I649" s="113"/>
      <c r="J649" s="113"/>
      <c r="K649" s="113"/>
      <c r="L649" s="158"/>
      <c r="M649" s="113"/>
      <c r="N649" s="113"/>
      <c r="O649" s="113"/>
      <c r="P649" s="113"/>
      <c r="Q649" s="113"/>
      <c r="R649" s="113"/>
      <c r="S649" s="113"/>
      <c r="T649" s="113"/>
      <c r="U649" s="113"/>
      <c r="V649" s="113"/>
      <c r="W649" s="113"/>
      <c r="X649" s="113"/>
      <c r="Y649" s="113"/>
      <c r="Z649" s="113"/>
      <c r="AA649" s="113"/>
      <c r="AB649" s="113"/>
      <c r="AC649" s="113"/>
      <c r="AD649" s="113"/>
      <c r="AE649" s="113"/>
      <c r="AF649" s="113"/>
      <c r="AG649" s="113"/>
      <c r="AH649" s="113"/>
      <c r="AI649" s="113"/>
      <c r="AJ649" s="113"/>
      <c r="AK649" s="113"/>
      <c r="AL649" s="113"/>
      <c r="AM649" s="113"/>
      <c r="AN649" s="113"/>
      <c r="AO649" s="113"/>
      <c r="AP649" s="113"/>
      <c r="AQ649" s="113"/>
      <c r="AR649" s="113"/>
      <c r="AS649" s="113"/>
      <c r="AT649" s="113"/>
      <c r="AU649" s="113"/>
      <c r="AV649" s="113"/>
      <c r="AW649" s="113"/>
      <c r="AX649" s="113"/>
      <c r="AY649" s="113"/>
      <c r="AZ649" s="113"/>
      <c r="BA649" s="113"/>
      <c r="BB649" s="113"/>
      <c r="BC649" s="113"/>
      <c r="BD649" s="113"/>
      <c r="BE649" s="113"/>
      <c r="BF649" s="113"/>
      <c r="BG649" s="113"/>
      <c r="BH649" s="113"/>
      <c r="BI649" s="113"/>
      <c r="BJ649" s="113"/>
      <c r="BK649" s="113"/>
      <c r="BL649" s="113"/>
      <c r="BM649" s="113"/>
      <c r="BN649" s="113"/>
      <c r="BO649" s="113"/>
      <c r="BP649" s="113"/>
      <c r="BQ649" s="113"/>
      <c r="BR649" s="113"/>
      <c r="BS649" s="113"/>
      <c r="BT649" s="113"/>
      <c r="BU649" s="113"/>
      <c r="BV649" s="113"/>
      <c r="BW649" s="113"/>
      <c r="BX649" s="113"/>
      <c r="BY649" s="113"/>
      <c r="BZ649" s="113"/>
      <c r="CA649" s="113"/>
      <c r="CB649" s="113"/>
      <c r="CC649" s="113"/>
      <c r="CD649" s="113"/>
      <c r="CE649" s="113"/>
      <c r="CF649" s="113"/>
      <c r="CG649" s="113"/>
      <c r="CH649" s="113"/>
      <c r="CI649" s="113"/>
      <c r="CJ649" s="113"/>
      <c r="CK649" s="113"/>
      <c r="CL649" s="113"/>
      <c r="CM649" s="113"/>
      <c r="CN649" s="113"/>
      <c r="CO649" s="113"/>
      <c r="CP649" s="113"/>
      <c r="CQ649" s="113"/>
      <c r="CR649" s="113"/>
      <c r="CS649" s="113"/>
      <c r="CT649" s="113"/>
      <c r="CU649" s="113"/>
    </row>
    <row r="650">
      <c r="A650" s="159"/>
      <c r="B650" s="113"/>
      <c r="C650" s="113"/>
      <c r="D650" s="158"/>
      <c r="E650" s="161"/>
      <c r="F650" s="160"/>
      <c r="G650" s="162"/>
      <c r="H650" s="159"/>
      <c r="I650" s="113"/>
      <c r="J650" s="113"/>
      <c r="K650" s="113"/>
      <c r="L650" s="158"/>
      <c r="M650" s="113"/>
      <c r="N650" s="113"/>
      <c r="O650" s="113"/>
      <c r="P650" s="113"/>
      <c r="Q650" s="113"/>
      <c r="R650" s="113"/>
      <c r="S650" s="113"/>
      <c r="T650" s="113"/>
      <c r="U650" s="113"/>
      <c r="V650" s="113"/>
      <c r="W650" s="113"/>
      <c r="X650" s="113"/>
      <c r="Y650" s="113"/>
      <c r="Z650" s="113"/>
      <c r="AA650" s="113"/>
      <c r="AB650" s="113"/>
      <c r="AC650" s="113"/>
      <c r="AD650" s="113"/>
      <c r="AE650" s="113"/>
      <c r="AF650" s="113"/>
      <c r="AG650" s="113"/>
      <c r="AH650" s="113"/>
      <c r="AI650" s="113"/>
      <c r="AJ650" s="113"/>
      <c r="AK650" s="113"/>
      <c r="AL650" s="113"/>
      <c r="AM650" s="113"/>
      <c r="AN650" s="113"/>
      <c r="AO650" s="113"/>
      <c r="AP650" s="113"/>
      <c r="AQ650" s="113"/>
      <c r="AR650" s="113"/>
      <c r="AS650" s="113"/>
      <c r="AT650" s="113"/>
      <c r="AU650" s="113"/>
      <c r="AV650" s="113"/>
      <c r="AW650" s="113"/>
      <c r="AX650" s="113"/>
      <c r="AY650" s="113"/>
      <c r="AZ650" s="113"/>
      <c r="BA650" s="113"/>
      <c r="BB650" s="113"/>
      <c r="BC650" s="113"/>
      <c r="BD650" s="113"/>
      <c r="BE650" s="113"/>
      <c r="BF650" s="113"/>
      <c r="BG650" s="113"/>
      <c r="BH650" s="113"/>
      <c r="BI650" s="113"/>
      <c r="BJ650" s="113"/>
      <c r="BK650" s="113"/>
      <c r="BL650" s="113"/>
      <c r="BM650" s="113"/>
      <c r="BN650" s="113"/>
      <c r="BO650" s="113"/>
      <c r="BP650" s="113"/>
      <c r="BQ650" s="113"/>
      <c r="BR650" s="113"/>
      <c r="BS650" s="113"/>
      <c r="BT650" s="113"/>
      <c r="BU650" s="113"/>
      <c r="BV650" s="113"/>
      <c r="BW650" s="113"/>
      <c r="BX650" s="113"/>
      <c r="BY650" s="113"/>
      <c r="BZ650" s="113"/>
      <c r="CA650" s="113"/>
      <c r="CB650" s="113"/>
      <c r="CC650" s="113"/>
      <c r="CD650" s="113"/>
      <c r="CE650" s="113"/>
      <c r="CF650" s="113"/>
      <c r="CG650" s="113"/>
      <c r="CH650" s="113"/>
      <c r="CI650" s="113"/>
      <c r="CJ650" s="113"/>
      <c r="CK650" s="113"/>
      <c r="CL650" s="113"/>
      <c r="CM650" s="113"/>
      <c r="CN650" s="113"/>
      <c r="CO650" s="113"/>
      <c r="CP650" s="113"/>
      <c r="CQ650" s="113"/>
      <c r="CR650" s="113"/>
      <c r="CS650" s="113"/>
      <c r="CT650" s="113"/>
      <c r="CU650" s="113"/>
    </row>
    <row r="651">
      <c r="A651" s="159"/>
      <c r="B651" s="113"/>
      <c r="C651" s="113"/>
      <c r="D651" s="158"/>
      <c r="E651" s="161"/>
      <c r="F651" s="160"/>
      <c r="G651" s="162"/>
      <c r="H651" s="159"/>
      <c r="I651" s="113"/>
      <c r="J651" s="113"/>
      <c r="K651" s="113"/>
      <c r="L651" s="158"/>
      <c r="M651" s="113"/>
      <c r="N651" s="113"/>
      <c r="O651" s="113"/>
      <c r="P651" s="113"/>
      <c r="Q651" s="113"/>
      <c r="R651" s="113"/>
      <c r="S651" s="113"/>
      <c r="T651" s="113"/>
      <c r="U651" s="113"/>
      <c r="V651" s="113"/>
      <c r="W651" s="113"/>
      <c r="X651" s="113"/>
      <c r="Y651" s="113"/>
      <c r="Z651" s="113"/>
      <c r="AA651" s="113"/>
      <c r="AB651" s="113"/>
      <c r="AC651" s="113"/>
      <c r="AD651" s="113"/>
      <c r="AE651" s="113"/>
      <c r="AF651" s="113"/>
      <c r="AG651" s="113"/>
      <c r="AH651" s="113"/>
      <c r="AI651" s="113"/>
      <c r="AJ651" s="113"/>
      <c r="AK651" s="113"/>
      <c r="AL651" s="113"/>
      <c r="AM651" s="113"/>
      <c r="AN651" s="113"/>
      <c r="AO651" s="113"/>
      <c r="AP651" s="113"/>
      <c r="AQ651" s="113"/>
      <c r="AR651" s="113"/>
      <c r="AS651" s="113"/>
      <c r="AT651" s="113"/>
      <c r="AU651" s="113"/>
      <c r="AV651" s="113"/>
      <c r="AW651" s="113"/>
      <c r="AX651" s="113"/>
      <c r="AY651" s="113"/>
      <c r="AZ651" s="113"/>
      <c r="BA651" s="113"/>
      <c r="BB651" s="113"/>
      <c r="BC651" s="113"/>
      <c r="BD651" s="113"/>
      <c r="BE651" s="113"/>
      <c r="BF651" s="113"/>
      <c r="BG651" s="113"/>
      <c r="BH651" s="113"/>
      <c r="BI651" s="113"/>
      <c r="BJ651" s="113"/>
      <c r="BK651" s="113"/>
      <c r="BL651" s="113"/>
      <c r="BM651" s="113"/>
      <c r="BN651" s="113"/>
      <c r="BO651" s="113"/>
      <c r="BP651" s="113"/>
      <c r="BQ651" s="113"/>
      <c r="BR651" s="113"/>
      <c r="BS651" s="113"/>
      <c r="BT651" s="113"/>
      <c r="BU651" s="113"/>
      <c r="BV651" s="113"/>
      <c r="BW651" s="113"/>
      <c r="BX651" s="113"/>
      <c r="BY651" s="113"/>
      <c r="BZ651" s="113"/>
      <c r="CA651" s="113"/>
      <c r="CB651" s="113"/>
      <c r="CC651" s="113"/>
      <c r="CD651" s="113"/>
      <c r="CE651" s="113"/>
      <c r="CF651" s="113"/>
      <c r="CG651" s="113"/>
      <c r="CH651" s="113"/>
      <c r="CI651" s="113"/>
      <c r="CJ651" s="113"/>
      <c r="CK651" s="113"/>
      <c r="CL651" s="113"/>
      <c r="CM651" s="113"/>
      <c r="CN651" s="113"/>
      <c r="CO651" s="113"/>
      <c r="CP651" s="113"/>
      <c r="CQ651" s="113"/>
      <c r="CR651" s="113"/>
      <c r="CS651" s="113"/>
      <c r="CT651" s="113"/>
      <c r="CU651" s="113"/>
    </row>
    <row r="652">
      <c r="A652" s="159"/>
      <c r="B652" s="113"/>
      <c r="C652" s="113"/>
      <c r="D652" s="158"/>
      <c r="E652" s="161"/>
      <c r="F652" s="160"/>
      <c r="G652" s="162"/>
      <c r="H652" s="159"/>
      <c r="I652" s="113"/>
      <c r="J652" s="113"/>
      <c r="K652" s="113"/>
      <c r="L652" s="158"/>
      <c r="M652" s="113"/>
      <c r="N652" s="113"/>
      <c r="O652" s="113"/>
      <c r="P652" s="113"/>
      <c r="Q652" s="113"/>
      <c r="R652" s="113"/>
      <c r="S652" s="113"/>
      <c r="T652" s="113"/>
      <c r="U652" s="113"/>
      <c r="V652" s="113"/>
      <c r="W652" s="113"/>
      <c r="X652" s="113"/>
      <c r="Y652" s="113"/>
      <c r="Z652" s="113"/>
      <c r="AA652" s="113"/>
      <c r="AB652" s="113"/>
      <c r="AC652" s="113"/>
      <c r="AD652" s="113"/>
      <c r="AE652" s="113"/>
      <c r="AF652" s="113"/>
      <c r="AG652" s="113"/>
      <c r="AH652" s="113"/>
      <c r="AI652" s="113"/>
      <c r="AJ652" s="113"/>
      <c r="AK652" s="113"/>
      <c r="AL652" s="113"/>
      <c r="AM652" s="113"/>
      <c r="AN652" s="113"/>
      <c r="AO652" s="113"/>
      <c r="AP652" s="113"/>
      <c r="AQ652" s="113"/>
      <c r="AR652" s="113"/>
      <c r="AS652" s="113"/>
      <c r="AT652" s="113"/>
      <c r="AU652" s="113"/>
      <c r="AV652" s="113"/>
      <c r="AW652" s="113"/>
      <c r="AX652" s="113"/>
      <c r="AY652" s="113"/>
      <c r="AZ652" s="113"/>
      <c r="BA652" s="113"/>
      <c r="BB652" s="113"/>
      <c r="BC652" s="113"/>
      <c r="BD652" s="113"/>
      <c r="BE652" s="113"/>
      <c r="BF652" s="113"/>
      <c r="BG652" s="113"/>
      <c r="BH652" s="113"/>
      <c r="BI652" s="113"/>
      <c r="BJ652" s="113"/>
      <c r="BK652" s="113"/>
      <c r="BL652" s="113"/>
      <c r="BM652" s="113"/>
      <c r="BN652" s="113"/>
      <c r="BO652" s="113"/>
      <c r="BP652" s="113"/>
      <c r="BQ652" s="113"/>
      <c r="BR652" s="113"/>
      <c r="BS652" s="113"/>
      <c r="BT652" s="113"/>
      <c r="BU652" s="113"/>
      <c r="BV652" s="113"/>
      <c r="BW652" s="113"/>
      <c r="BX652" s="113"/>
      <c r="BY652" s="113"/>
      <c r="BZ652" s="113"/>
      <c r="CA652" s="113"/>
      <c r="CB652" s="113"/>
      <c r="CC652" s="113"/>
      <c r="CD652" s="113"/>
      <c r="CE652" s="113"/>
      <c r="CF652" s="113"/>
      <c r="CG652" s="113"/>
      <c r="CH652" s="113"/>
      <c r="CI652" s="113"/>
      <c r="CJ652" s="113"/>
      <c r="CK652" s="113"/>
      <c r="CL652" s="113"/>
      <c r="CM652" s="113"/>
      <c r="CN652" s="113"/>
      <c r="CO652" s="113"/>
      <c r="CP652" s="113"/>
      <c r="CQ652" s="113"/>
      <c r="CR652" s="113"/>
      <c r="CS652" s="113"/>
      <c r="CT652" s="113"/>
      <c r="CU652" s="113"/>
    </row>
    <row r="653">
      <c r="A653" s="159"/>
      <c r="B653" s="113"/>
      <c r="C653" s="113"/>
      <c r="D653" s="158"/>
      <c r="E653" s="161"/>
      <c r="F653" s="160"/>
      <c r="G653" s="162"/>
      <c r="H653" s="159"/>
      <c r="I653" s="113"/>
      <c r="J653" s="113"/>
      <c r="K653" s="113"/>
      <c r="L653" s="158"/>
      <c r="M653" s="113"/>
      <c r="N653" s="113"/>
      <c r="O653" s="113"/>
      <c r="P653" s="113"/>
      <c r="Q653" s="113"/>
      <c r="R653" s="113"/>
      <c r="S653" s="113"/>
      <c r="T653" s="113"/>
      <c r="U653" s="113"/>
      <c r="V653" s="113"/>
      <c r="W653" s="113"/>
      <c r="X653" s="113"/>
      <c r="Y653" s="113"/>
      <c r="Z653" s="113"/>
      <c r="AA653" s="113"/>
      <c r="AB653" s="113"/>
      <c r="AC653" s="113"/>
      <c r="AD653" s="113"/>
      <c r="AE653" s="113"/>
      <c r="AF653" s="113"/>
      <c r="AG653" s="113"/>
      <c r="AH653" s="113"/>
      <c r="AI653" s="113"/>
      <c r="AJ653" s="113"/>
      <c r="AK653" s="113"/>
      <c r="AL653" s="113"/>
      <c r="AM653" s="113"/>
      <c r="AN653" s="113"/>
      <c r="AO653" s="113"/>
      <c r="AP653" s="113"/>
      <c r="AQ653" s="113"/>
      <c r="AR653" s="113"/>
      <c r="AS653" s="113"/>
      <c r="AT653" s="113"/>
      <c r="AU653" s="113"/>
      <c r="AV653" s="113"/>
      <c r="AW653" s="113"/>
      <c r="AX653" s="113"/>
      <c r="AY653" s="113"/>
      <c r="AZ653" s="113"/>
      <c r="BA653" s="113"/>
      <c r="BB653" s="113"/>
      <c r="BC653" s="113"/>
      <c r="BD653" s="113"/>
      <c r="BE653" s="113"/>
      <c r="BF653" s="113"/>
      <c r="BG653" s="113"/>
      <c r="BH653" s="113"/>
      <c r="BI653" s="113"/>
      <c r="BJ653" s="113"/>
      <c r="BK653" s="113"/>
      <c r="BL653" s="113"/>
      <c r="BM653" s="113"/>
      <c r="BN653" s="113"/>
      <c r="BO653" s="113"/>
      <c r="BP653" s="113"/>
      <c r="BQ653" s="113"/>
      <c r="BR653" s="113"/>
      <c r="BS653" s="113"/>
      <c r="BT653" s="113"/>
      <c r="BU653" s="113"/>
      <c r="BV653" s="113"/>
      <c r="BW653" s="113"/>
      <c r="BX653" s="113"/>
      <c r="BY653" s="113"/>
      <c r="BZ653" s="113"/>
      <c r="CA653" s="113"/>
      <c r="CB653" s="113"/>
      <c r="CC653" s="113"/>
      <c r="CD653" s="113"/>
      <c r="CE653" s="113"/>
      <c r="CF653" s="113"/>
      <c r="CG653" s="113"/>
      <c r="CH653" s="113"/>
      <c r="CI653" s="113"/>
      <c r="CJ653" s="113"/>
      <c r="CK653" s="113"/>
      <c r="CL653" s="113"/>
      <c r="CM653" s="113"/>
      <c r="CN653" s="113"/>
      <c r="CO653" s="113"/>
      <c r="CP653" s="113"/>
      <c r="CQ653" s="113"/>
      <c r="CR653" s="113"/>
      <c r="CS653" s="113"/>
      <c r="CT653" s="113"/>
      <c r="CU653" s="113"/>
    </row>
    <row r="654">
      <c r="A654" s="159"/>
      <c r="B654" s="113"/>
      <c r="C654" s="113"/>
      <c r="D654" s="158"/>
      <c r="E654" s="161"/>
      <c r="F654" s="160"/>
      <c r="G654" s="162"/>
      <c r="H654" s="159"/>
      <c r="I654" s="113"/>
      <c r="J654" s="113"/>
      <c r="K654" s="113"/>
      <c r="L654" s="158"/>
      <c r="M654" s="113"/>
      <c r="N654" s="113"/>
      <c r="O654" s="113"/>
      <c r="P654" s="113"/>
      <c r="Q654" s="113"/>
      <c r="R654" s="113"/>
      <c r="S654" s="113"/>
      <c r="T654" s="113"/>
      <c r="U654" s="113"/>
      <c r="V654" s="113"/>
      <c r="W654" s="113"/>
      <c r="X654" s="113"/>
      <c r="Y654" s="113"/>
      <c r="Z654" s="113"/>
      <c r="AA654" s="113"/>
      <c r="AB654" s="113"/>
      <c r="AC654" s="113"/>
      <c r="AD654" s="113"/>
      <c r="AE654" s="113"/>
      <c r="AF654" s="113"/>
      <c r="AG654" s="113"/>
      <c r="AH654" s="113"/>
      <c r="AI654" s="113"/>
      <c r="AJ654" s="113"/>
      <c r="AK654" s="113"/>
      <c r="AL654" s="113"/>
      <c r="AM654" s="113"/>
      <c r="AN654" s="113"/>
      <c r="AO654" s="113"/>
      <c r="AP654" s="113"/>
      <c r="AQ654" s="113"/>
      <c r="AR654" s="113"/>
      <c r="AS654" s="113"/>
      <c r="AT654" s="113"/>
      <c r="AU654" s="113"/>
      <c r="AV654" s="113"/>
      <c r="AW654" s="113"/>
      <c r="AX654" s="113"/>
      <c r="AY654" s="113"/>
      <c r="AZ654" s="113"/>
      <c r="BA654" s="113"/>
      <c r="BB654" s="113"/>
      <c r="BC654" s="113"/>
      <c r="BD654" s="113"/>
      <c r="BE654" s="113"/>
      <c r="BF654" s="113"/>
      <c r="BG654" s="113"/>
      <c r="BH654" s="113"/>
      <c r="BI654" s="113"/>
      <c r="BJ654" s="113"/>
      <c r="BK654" s="113"/>
      <c r="BL654" s="113"/>
      <c r="BM654" s="113"/>
      <c r="BN654" s="113"/>
      <c r="BO654" s="113"/>
      <c r="BP654" s="113"/>
      <c r="BQ654" s="113"/>
      <c r="BR654" s="113"/>
      <c r="BS654" s="113"/>
      <c r="BT654" s="113"/>
      <c r="BU654" s="113"/>
      <c r="BV654" s="113"/>
      <c r="BW654" s="113"/>
      <c r="BX654" s="113"/>
      <c r="BY654" s="113"/>
      <c r="BZ654" s="113"/>
      <c r="CA654" s="113"/>
      <c r="CB654" s="113"/>
      <c r="CC654" s="113"/>
      <c r="CD654" s="113"/>
      <c r="CE654" s="113"/>
      <c r="CF654" s="113"/>
      <c r="CG654" s="113"/>
      <c r="CH654" s="113"/>
      <c r="CI654" s="113"/>
      <c r="CJ654" s="113"/>
      <c r="CK654" s="113"/>
      <c r="CL654" s="113"/>
      <c r="CM654" s="113"/>
      <c r="CN654" s="113"/>
      <c r="CO654" s="113"/>
      <c r="CP654" s="113"/>
      <c r="CQ654" s="113"/>
      <c r="CR654" s="113"/>
      <c r="CS654" s="113"/>
      <c r="CT654" s="113"/>
      <c r="CU654" s="113"/>
    </row>
    <row r="655">
      <c r="A655" s="159"/>
      <c r="B655" s="113"/>
      <c r="C655" s="113"/>
      <c r="D655" s="158"/>
      <c r="E655" s="161"/>
      <c r="F655" s="160"/>
      <c r="G655" s="162"/>
      <c r="H655" s="159"/>
      <c r="I655" s="113"/>
      <c r="J655" s="113"/>
      <c r="K655" s="113"/>
      <c r="L655" s="158"/>
      <c r="M655" s="113"/>
      <c r="N655" s="113"/>
      <c r="O655" s="113"/>
      <c r="P655" s="113"/>
      <c r="Q655" s="113"/>
      <c r="R655" s="113"/>
      <c r="S655" s="113"/>
      <c r="T655" s="113"/>
      <c r="U655" s="113"/>
      <c r="V655" s="113"/>
      <c r="W655" s="113"/>
      <c r="X655" s="113"/>
      <c r="Y655" s="113"/>
      <c r="Z655" s="113"/>
      <c r="AA655" s="113"/>
      <c r="AB655" s="113"/>
      <c r="AC655" s="113"/>
      <c r="AD655" s="113"/>
      <c r="AE655" s="113"/>
      <c r="AF655" s="113"/>
      <c r="AG655" s="113"/>
      <c r="AH655" s="113"/>
      <c r="AI655" s="113"/>
      <c r="AJ655" s="113"/>
      <c r="AK655" s="113"/>
      <c r="AL655" s="113"/>
      <c r="AM655" s="113"/>
      <c r="AN655" s="113"/>
      <c r="AO655" s="113"/>
      <c r="AP655" s="113"/>
      <c r="AQ655" s="113"/>
      <c r="AR655" s="113"/>
      <c r="AS655" s="113"/>
      <c r="AT655" s="113"/>
      <c r="AU655" s="113"/>
      <c r="AV655" s="113"/>
      <c r="AW655" s="113"/>
      <c r="AX655" s="113"/>
      <c r="AY655" s="113"/>
      <c r="AZ655" s="113"/>
      <c r="BA655" s="113"/>
      <c r="BB655" s="113"/>
      <c r="BC655" s="113"/>
      <c r="BD655" s="113"/>
      <c r="BE655" s="113"/>
      <c r="BF655" s="113"/>
      <c r="BG655" s="113"/>
      <c r="BH655" s="113"/>
      <c r="BI655" s="113"/>
      <c r="BJ655" s="113"/>
      <c r="BK655" s="113"/>
      <c r="BL655" s="113"/>
      <c r="BM655" s="113"/>
      <c r="BN655" s="113"/>
      <c r="BO655" s="113"/>
      <c r="BP655" s="113"/>
      <c r="BQ655" s="113"/>
      <c r="BR655" s="113"/>
      <c r="BS655" s="113"/>
      <c r="BT655" s="113"/>
      <c r="BU655" s="113"/>
      <c r="BV655" s="113"/>
      <c r="BW655" s="113"/>
      <c r="BX655" s="113"/>
      <c r="BY655" s="113"/>
      <c r="BZ655" s="113"/>
      <c r="CA655" s="113"/>
      <c r="CB655" s="113"/>
      <c r="CC655" s="113"/>
      <c r="CD655" s="113"/>
      <c r="CE655" s="113"/>
      <c r="CF655" s="113"/>
      <c r="CG655" s="113"/>
      <c r="CH655" s="113"/>
      <c r="CI655" s="113"/>
      <c r="CJ655" s="113"/>
      <c r="CK655" s="113"/>
      <c r="CL655" s="113"/>
      <c r="CM655" s="113"/>
      <c r="CN655" s="113"/>
      <c r="CO655" s="113"/>
      <c r="CP655" s="113"/>
      <c r="CQ655" s="113"/>
      <c r="CR655" s="113"/>
      <c r="CS655" s="113"/>
      <c r="CT655" s="113"/>
      <c r="CU655" s="113"/>
    </row>
    <row r="656">
      <c r="A656" s="159"/>
      <c r="B656" s="113"/>
      <c r="C656" s="113"/>
      <c r="D656" s="158"/>
      <c r="E656" s="161"/>
      <c r="F656" s="160"/>
      <c r="G656" s="162"/>
      <c r="H656" s="159"/>
      <c r="I656" s="113"/>
      <c r="J656" s="113"/>
      <c r="K656" s="113"/>
      <c r="L656" s="158"/>
      <c r="M656" s="113"/>
      <c r="N656" s="113"/>
      <c r="O656" s="113"/>
      <c r="P656" s="113"/>
      <c r="Q656" s="113"/>
      <c r="R656" s="113"/>
      <c r="S656" s="113"/>
      <c r="T656" s="113"/>
      <c r="U656" s="113"/>
      <c r="V656" s="113"/>
      <c r="W656" s="113"/>
      <c r="X656" s="113"/>
      <c r="Y656" s="113"/>
      <c r="Z656" s="113"/>
      <c r="AA656" s="113"/>
      <c r="AB656" s="113"/>
      <c r="AC656" s="113"/>
      <c r="AD656" s="113"/>
      <c r="AE656" s="113"/>
      <c r="AF656" s="113"/>
      <c r="AG656" s="113"/>
      <c r="AH656" s="113"/>
      <c r="AI656" s="113"/>
      <c r="AJ656" s="113"/>
      <c r="AK656" s="113"/>
      <c r="AL656" s="113"/>
      <c r="AM656" s="113"/>
      <c r="AN656" s="113"/>
      <c r="AO656" s="113"/>
      <c r="AP656" s="113"/>
      <c r="AQ656" s="113"/>
      <c r="AR656" s="113"/>
      <c r="AS656" s="113"/>
      <c r="AT656" s="113"/>
      <c r="AU656" s="113"/>
      <c r="AV656" s="113"/>
      <c r="AW656" s="113"/>
      <c r="AX656" s="113"/>
      <c r="AY656" s="113"/>
      <c r="AZ656" s="113"/>
      <c r="BA656" s="113"/>
      <c r="BB656" s="113"/>
      <c r="BC656" s="113"/>
      <c r="BD656" s="113"/>
      <c r="BE656" s="113"/>
      <c r="BF656" s="113"/>
      <c r="BG656" s="113"/>
      <c r="BH656" s="113"/>
      <c r="BI656" s="113"/>
      <c r="BJ656" s="113"/>
      <c r="BK656" s="113"/>
      <c r="BL656" s="113"/>
      <c r="BM656" s="113"/>
      <c r="BN656" s="113"/>
      <c r="BO656" s="113"/>
      <c r="BP656" s="113"/>
      <c r="BQ656" s="113"/>
      <c r="BR656" s="113"/>
      <c r="BS656" s="113"/>
      <c r="BT656" s="113"/>
      <c r="BU656" s="113"/>
      <c r="BV656" s="113"/>
      <c r="BW656" s="113"/>
      <c r="BX656" s="113"/>
      <c r="BY656" s="113"/>
      <c r="BZ656" s="113"/>
      <c r="CA656" s="113"/>
      <c r="CB656" s="113"/>
      <c r="CC656" s="113"/>
      <c r="CD656" s="113"/>
      <c r="CE656" s="113"/>
      <c r="CF656" s="113"/>
      <c r="CG656" s="113"/>
      <c r="CH656" s="113"/>
      <c r="CI656" s="113"/>
      <c r="CJ656" s="113"/>
      <c r="CK656" s="113"/>
      <c r="CL656" s="113"/>
      <c r="CM656" s="113"/>
      <c r="CN656" s="113"/>
      <c r="CO656" s="113"/>
      <c r="CP656" s="113"/>
      <c r="CQ656" s="113"/>
      <c r="CR656" s="113"/>
      <c r="CS656" s="113"/>
      <c r="CT656" s="113"/>
      <c r="CU656" s="113"/>
    </row>
    <row r="657">
      <c r="A657" s="159"/>
      <c r="B657" s="113"/>
      <c r="C657" s="113"/>
      <c r="D657" s="158"/>
      <c r="E657" s="161"/>
      <c r="F657" s="160"/>
      <c r="G657" s="162"/>
      <c r="H657" s="159"/>
      <c r="I657" s="113"/>
      <c r="J657" s="113"/>
      <c r="K657" s="113"/>
      <c r="L657" s="158"/>
      <c r="M657" s="113"/>
      <c r="N657" s="113"/>
      <c r="O657" s="113"/>
      <c r="P657" s="113"/>
      <c r="Q657" s="113"/>
      <c r="R657" s="113"/>
      <c r="S657" s="113"/>
      <c r="T657" s="113"/>
      <c r="U657" s="113"/>
      <c r="V657" s="113"/>
      <c r="W657" s="113"/>
      <c r="X657" s="113"/>
      <c r="Y657" s="113"/>
      <c r="Z657" s="113"/>
      <c r="AA657" s="113"/>
      <c r="AB657" s="113"/>
      <c r="AC657" s="113"/>
      <c r="AD657" s="113"/>
      <c r="AE657" s="113"/>
      <c r="AF657" s="113"/>
      <c r="AG657" s="113"/>
      <c r="AH657" s="113"/>
      <c r="AI657" s="113"/>
      <c r="AJ657" s="113"/>
      <c r="AK657" s="113"/>
      <c r="AL657" s="113"/>
      <c r="AM657" s="113"/>
      <c r="AN657" s="113"/>
      <c r="AO657" s="113"/>
      <c r="AP657" s="113"/>
      <c r="AQ657" s="113"/>
      <c r="AR657" s="113"/>
      <c r="AS657" s="113"/>
      <c r="AT657" s="113"/>
      <c r="AU657" s="113"/>
      <c r="AV657" s="113"/>
      <c r="AW657" s="113"/>
      <c r="AX657" s="113"/>
      <c r="AY657" s="113"/>
      <c r="AZ657" s="113"/>
      <c r="BA657" s="113"/>
      <c r="BB657" s="113"/>
      <c r="BC657" s="113"/>
      <c r="BD657" s="113"/>
      <c r="BE657" s="113"/>
      <c r="BF657" s="113"/>
      <c r="BG657" s="113"/>
      <c r="BH657" s="113"/>
      <c r="BI657" s="113"/>
      <c r="BJ657" s="113"/>
      <c r="BK657" s="113"/>
      <c r="BL657" s="113"/>
      <c r="BM657" s="113"/>
      <c r="BN657" s="113"/>
      <c r="BO657" s="113"/>
      <c r="BP657" s="113"/>
      <c r="BQ657" s="113"/>
      <c r="BR657" s="113"/>
      <c r="BS657" s="113"/>
      <c r="BT657" s="113"/>
      <c r="BU657" s="113"/>
      <c r="BV657" s="113"/>
      <c r="BW657" s="113"/>
      <c r="BX657" s="113"/>
      <c r="BY657" s="113"/>
      <c r="BZ657" s="113"/>
      <c r="CA657" s="113"/>
      <c r="CB657" s="113"/>
      <c r="CC657" s="113"/>
      <c r="CD657" s="113"/>
      <c r="CE657" s="113"/>
      <c r="CF657" s="113"/>
      <c r="CG657" s="113"/>
      <c r="CH657" s="113"/>
      <c r="CI657" s="113"/>
      <c r="CJ657" s="113"/>
      <c r="CK657" s="113"/>
      <c r="CL657" s="113"/>
      <c r="CM657" s="113"/>
      <c r="CN657" s="113"/>
      <c r="CO657" s="113"/>
      <c r="CP657" s="113"/>
      <c r="CQ657" s="113"/>
      <c r="CR657" s="113"/>
      <c r="CS657" s="113"/>
      <c r="CT657" s="113"/>
      <c r="CU657" s="113"/>
    </row>
    <row r="658">
      <c r="A658" s="159"/>
      <c r="B658" s="113"/>
      <c r="C658" s="113"/>
      <c r="D658" s="158"/>
      <c r="E658" s="161"/>
      <c r="F658" s="160"/>
      <c r="G658" s="162"/>
      <c r="H658" s="159"/>
      <c r="I658" s="113"/>
      <c r="J658" s="113"/>
      <c r="K658" s="113"/>
      <c r="L658" s="158"/>
      <c r="M658" s="113"/>
      <c r="N658" s="113"/>
      <c r="O658" s="113"/>
      <c r="P658" s="113"/>
      <c r="Q658" s="113"/>
      <c r="R658" s="113"/>
      <c r="S658" s="113"/>
      <c r="T658" s="113"/>
      <c r="U658" s="113"/>
      <c r="V658" s="113"/>
      <c r="W658" s="113"/>
      <c r="X658" s="113"/>
      <c r="Y658" s="113"/>
      <c r="Z658" s="113"/>
      <c r="AA658" s="113"/>
      <c r="AB658" s="113"/>
      <c r="AC658" s="113"/>
      <c r="AD658" s="113"/>
      <c r="AE658" s="113"/>
      <c r="AF658" s="113"/>
      <c r="AG658" s="113"/>
      <c r="AH658" s="113"/>
      <c r="AI658" s="113"/>
      <c r="AJ658" s="113"/>
      <c r="AK658" s="113"/>
      <c r="AL658" s="113"/>
      <c r="AM658" s="113"/>
      <c r="AN658" s="113"/>
      <c r="AO658" s="113"/>
      <c r="AP658" s="113"/>
      <c r="AQ658" s="113"/>
      <c r="AR658" s="113"/>
      <c r="AS658" s="113"/>
      <c r="AT658" s="113"/>
      <c r="AU658" s="113"/>
      <c r="AV658" s="113"/>
      <c r="AW658" s="113"/>
      <c r="AX658" s="113"/>
      <c r="AY658" s="113"/>
      <c r="AZ658" s="113"/>
      <c r="BA658" s="113"/>
      <c r="BB658" s="113"/>
      <c r="BC658" s="113"/>
      <c r="BD658" s="113"/>
      <c r="BE658" s="113"/>
      <c r="BF658" s="113"/>
      <c r="BG658" s="113"/>
      <c r="BH658" s="113"/>
      <c r="BI658" s="113"/>
      <c r="BJ658" s="113"/>
      <c r="BK658" s="113"/>
      <c r="BL658" s="113"/>
      <c r="BM658" s="113"/>
      <c r="BN658" s="113"/>
      <c r="BO658" s="113"/>
      <c r="BP658" s="113"/>
      <c r="BQ658" s="113"/>
      <c r="BR658" s="113"/>
      <c r="BS658" s="113"/>
      <c r="BT658" s="113"/>
      <c r="BU658" s="113"/>
      <c r="BV658" s="113"/>
      <c r="BW658" s="113"/>
      <c r="BX658" s="113"/>
      <c r="BY658" s="113"/>
      <c r="BZ658" s="113"/>
      <c r="CA658" s="113"/>
      <c r="CB658" s="113"/>
      <c r="CC658" s="113"/>
      <c r="CD658" s="113"/>
      <c r="CE658" s="113"/>
      <c r="CF658" s="113"/>
      <c r="CG658" s="113"/>
      <c r="CH658" s="113"/>
      <c r="CI658" s="113"/>
      <c r="CJ658" s="113"/>
      <c r="CK658" s="113"/>
      <c r="CL658" s="113"/>
      <c r="CM658" s="113"/>
      <c r="CN658" s="113"/>
      <c r="CO658" s="113"/>
      <c r="CP658" s="113"/>
      <c r="CQ658" s="113"/>
      <c r="CR658" s="113"/>
      <c r="CS658" s="113"/>
      <c r="CT658" s="113"/>
      <c r="CU658" s="113"/>
    </row>
    <row r="659">
      <c r="A659" s="159"/>
      <c r="B659" s="113"/>
      <c r="C659" s="113"/>
      <c r="D659" s="158"/>
      <c r="E659" s="161"/>
      <c r="F659" s="160"/>
      <c r="G659" s="162"/>
      <c r="H659" s="159"/>
      <c r="I659" s="113"/>
      <c r="J659" s="113"/>
      <c r="K659" s="113"/>
      <c r="L659" s="158"/>
      <c r="M659" s="113"/>
      <c r="N659" s="113"/>
      <c r="O659" s="113"/>
      <c r="P659" s="113"/>
      <c r="Q659" s="113"/>
      <c r="R659" s="113"/>
      <c r="S659" s="113"/>
      <c r="T659" s="113"/>
      <c r="U659" s="113"/>
      <c r="V659" s="113"/>
      <c r="W659" s="113"/>
      <c r="X659" s="113"/>
      <c r="Y659" s="113"/>
      <c r="Z659" s="113"/>
      <c r="AA659" s="113"/>
      <c r="AB659" s="113"/>
      <c r="AC659" s="113"/>
      <c r="AD659" s="113"/>
      <c r="AE659" s="113"/>
      <c r="AF659" s="113"/>
      <c r="AG659" s="113"/>
      <c r="AH659" s="113"/>
      <c r="AI659" s="113"/>
      <c r="AJ659" s="113"/>
      <c r="AK659" s="113"/>
      <c r="AL659" s="113"/>
      <c r="AM659" s="113"/>
      <c r="AN659" s="113"/>
      <c r="AO659" s="113"/>
      <c r="AP659" s="113"/>
      <c r="AQ659" s="113"/>
      <c r="AR659" s="113"/>
      <c r="AS659" s="113"/>
      <c r="AT659" s="113"/>
      <c r="AU659" s="113"/>
      <c r="AV659" s="113"/>
      <c r="AW659" s="113"/>
      <c r="AX659" s="113"/>
      <c r="AY659" s="113"/>
      <c r="AZ659" s="113"/>
      <c r="BA659" s="113"/>
      <c r="BB659" s="113"/>
      <c r="BC659" s="113"/>
      <c r="BD659" s="113"/>
      <c r="BE659" s="113"/>
      <c r="BF659" s="113"/>
      <c r="BG659" s="113"/>
      <c r="BH659" s="113"/>
      <c r="BI659" s="113"/>
      <c r="BJ659" s="113"/>
      <c r="BK659" s="113"/>
      <c r="BL659" s="113"/>
      <c r="BM659" s="113"/>
      <c r="BN659" s="113"/>
      <c r="BO659" s="113"/>
      <c r="BP659" s="113"/>
      <c r="BQ659" s="113"/>
      <c r="BR659" s="113"/>
      <c r="BS659" s="113"/>
      <c r="BT659" s="113"/>
      <c r="BU659" s="113"/>
      <c r="BV659" s="113"/>
      <c r="BW659" s="113"/>
      <c r="BX659" s="113"/>
      <c r="BY659" s="113"/>
      <c r="BZ659" s="113"/>
      <c r="CA659" s="113"/>
      <c r="CB659" s="113"/>
      <c r="CC659" s="113"/>
      <c r="CD659" s="113"/>
      <c r="CE659" s="113"/>
      <c r="CF659" s="113"/>
      <c r="CG659" s="113"/>
      <c r="CH659" s="113"/>
      <c r="CI659" s="113"/>
      <c r="CJ659" s="113"/>
      <c r="CK659" s="113"/>
      <c r="CL659" s="113"/>
      <c r="CM659" s="113"/>
      <c r="CN659" s="113"/>
      <c r="CO659" s="113"/>
      <c r="CP659" s="113"/>
      <c r="CQ659" s="113"/>
      <c r="CR659" s="113"/>
      <c r="CS659" s="113"/>
      <c r="CT659" s="113"/>
      <c r="CU659" s="113"/>
    </row>
    <row r="660">
      <c r="A660" s="159"/>
      <c r="B660" s="113"/>
      <c r="C660" s="113"/>
      <c r="D660" s="158"/>
      <c r="E660" s="161"/>
      <c r="F660" s="160"/>
      <c r="G660" s="162"/>
      <c r="H660" s="159"/>
      <c r="I660" s="113"/>
      <c r="J660" s="113"/>
      <c r="K660" s="113"/>
      <c r="L660" s="158"/>
      <c r="M660" s="113"/>
      <c r="N660" s="113"/>
      <c r="O660" s="113"/>
      <c r="P660" s="113"/>
      <c r="Q660" s="113"/>
      <c r="R660" s="113"/>
      <c r="S660" s="113"/>
      <c r="T660" s="113"/>
      <c r="U660" s="113"/>
      <c r="V660" s="113"/>
      <c r="W660" s="113"/>
      <c r="X660" s="113"/>
      <c r="Y660" s="113"/>
      <c r="Z660" s="113"/>
      <c r="AA660" s="113"/>
      <c r="AB660" s="113"/>
      <c r="AC660" s="113"/>
      <c r="AD660" s="113"/>
      <c r="AE660" s="113"/>
      <c r="AF660" s="113"/>
      <c r="AG660" s="113"/>
      <c r="AH660" s="113"/>
      <c r="AI660" s="113"/>
      <c r="AJ660" s="113"/>
      <c r="AK660" s="113"/>
      <c r="AL660" s="113"/>
      <c r="AM660" s="113"/>
      <c r="AN660" s="113"/>
      <c r="AO660" s="113"/>
      <c r="AP660" s="113"/>
      <c r="AQ660" s="113"/>
      <c r="AR660" s="113"/>
      <c r="AS660" s="113"/>
      <c r="AT660" s="113"/>
      <c r="AU660" s="113"/>
      <c r="AV660" s="113"/>
      <c r="AW660" s="113"/>
      <c r="AX660" s="113"/>
      <c r="AY660" s="113"/>
      <c r="AZ660" s="113"/>
      <c r="BA660" s="113"/>
      <c r="BB660" s="113"/>
      <c r="BC660" s="113"/>
      <c r="BD660" s="113"/>
      <c r="BE660" s="113"/>
      <c r="BF660" s="113"/>
      <c r="BG660" s="113"/>
      <c r="BH660" s="113"/>
      <c r="BI660" s="113"/>
      <c r="BJ660" s="113"/>
      <c r="BK660" s="113"/>
      <c r="BL660" s="113"/>
      <c r="BM660" s="113"/>
      <c r="BN660" s="113"/>
      <c r="BO660" s="113"/>
      <c r="BP660" s="113"/>
      <c r="BQ660" s="113"/>
      <c r="BR660" s="113"/>
      <c r="BS660" s="113"/>
      <c r="BT660" s="113"/>
      <c r="BU660" s="113"/>
      <c r="BV660" s="113"/>
      <c r="BW660" s="113"/>
      <c r="BX660" s="113"/>
      <c r="BY660" s="113"/>
      <c r="BZ660" s="113"/>
      <c r="CA660" s="113"/>
      <c r="CB660" s="113"/>
      <c r="CC660" s="113"/>
      <c r="CD660" s="113"/>
      <c r="CE660" s="113"/>
      <c r="CF660" s="113"/>
      <c r="CG660" s="113"/>
      <c r="CH660" s="113"/>
      <c r="CI660" s="113"/>
      <c r="CJ660" s="113"/>
      <c r="CK660" s="113"/>
      <c r="CL660" s="113"/>
      <c r="CM660" s="113"/>
      <c r="CN660" s="113"/>
      <c r="CO660" s="113"/>
      <c r="CP660" s="113"/>
      <c r="CQ660" s="113"/>
      <c r="CR660" s="113"/>
      <c r="CS660" s="113"/>
      <c r="CT660" s="113"/>
      <c r="CU660" s="113"/>
    </row>
    <row r="661">
      <c r="A661" s="159"/>
      <c r="B661" s="113"/>
      <c r="C661" s="113"/>
      <c r="D661" s="158"/>
      <c r="E661" s="161"/>
      <c r="F661" s="160"/>
      <c r="G661" s="162"/>
      <c r="H661" s="159"/>
      <c r="I661" s="113"/>
      <c r="J661" s="113"/>
      <c r="K661" s="113"/>
      <c r="L661" s="158"/>
      <c r="M661" s="113"/>
      <c r="N661" s="113"/>
      <c r="O661" s="113"/>
      <c r="P661" s="113"/>
      <c r="Q661" s="113"/>
      <c r="R661" s="113"/>
      <c r="S661" s="113"/>
      <c r="T661" s="113"/>
      <c r="U661" s="113"/>
      <c r="V661" s="113"/>
      <c r="W661" s="113"/>
      <c r="X661" s="113"/>
      <c r="Y661" s="113"/>
      <c r="Z661" s="113"/>
      <c r="AA661" s="113"/>
      <c r="AB661" s="113"/>
      <c r="AC661" s="113"/>
      <c r="AD661" s="113"/>
      <c r="AE661" s="113"/>
      <c r="AF661" s="113"/>
      <c r="AG661" s="113"/>
      <c r="AH661" s="113"/>
      <c r="AI661" s="113"/>
      <c r="AJ661" s="113"/>
      <c r="AK661" s="113"/>
      <c r="AL661" s="113"/>
      <c r="AM661" s="113"/>
      <c r="AN661" s="113"/>
      <c r="AO661" s="113"/>
      <c r="AP661" s="113"/>
      <c r="AQ661" s="113"/>
      <c r="AR661" s="113"/>
      <c r="AS661" s="113"/>
      <c r="AT661" s="113"/>
      <c r="AU661" s="113"/>
      <c r="AV661" s="113"/>
      <c r="AW661" s="113"/>
      <c r="AX661" s="113"/>
      <c r="AY661" s="113"/>
      <c r="AZ661" s="113"/>
      <c r="BA661" s="113"/>
      <c r="BB661" s="113"/>
      <c r="BC661" s="113"/>
      <c r="BD661" s="113"/>
      <c r="BE661" s="113"/>
      <c r="BF661" s="113"/>
      <c r="BG661" s="113"/>
      <c r="BH661" s="113"/>
      <c r="BI661" s="113"/>
      <c r="BJ661" s="113"/>
      <c r="BK661" s="113"/>
      <c r="BL661" s="113"/>
      <c r="BM661" s="113"/>
      <c r="BN661" s="113"/>
      <c r="BO661" s="113"/>
      <c r="BP661" s="113"/>
      <c r="BQ661" s="113"/>
      <c r="BR661" s="113"/>
      <c r="BS661" s="113"/>
      <c r="BT661" s="113"/>
      <c r="BU661" s="113"/>
      <c r="BV661" s="113"/>
      <c r="BW661" s="113"/>
      <c r="BX661" s="113"/>
      <c r="BY661" s="113"/>
      <c r="BZ661" s="113"/>
      <c r="CA661" s="113"/>
      <c r="CB661" s="113"/>
      <c r="CC661" s="113"/>
      <c r="CD661" s="113"/>
      <c r="CE661" s="113"/>
      <c r="CF661" s="113"/>
      <c r="CG661" s="113"/>
      <c r="CH661" s="113"/>
      <c r="CI661" s="113"/>
      <c r="CJ661" s="113"/>
      <c r="CK661" s="113"/>
      <c r="CL661" s="113"/>
      <c r="CM661" s="113"/>
      <c r="CN661" s="113"/>
      <c r="CO661" s="113"/>
      <c r="CP661" s="113"/>
      <c r="CQ661" s="113"/>
      <c r="CR661" s="113"/>
      <c r="CS661" s="113"/>
      <c r="CT661" s="113"/>
      <c r="CU661" s="113"/>
    </row>
    <row r="662">
      <c r="A662" s="159"/>
      <c r="B662" s="113"/>
      <c r="C662" s="113"/>
      <c r="D662" s="158"/>
      <c r="E662" s="161"/>
      <c r="F662" s="160"/>
      <c r="G662" s="162"/>
      <c r="H662" s="159"/>
      <c r="I662" s="113"/>
      <c r="J662" s="113"/>
      <c r="K662" s="113"/>
      <c r="L662" s="158"/>
      <c r="M662" s="113"/>
      <c r="N662" s="113"/>
      <c r="O662" s="113"/>
      <c r="P662" s="113"/>
      <c r="Q662" s="113"/>
      <c r="R662" s="113"/>
      <c r="S662" s="113"/>
      <c r="T662" s="113"/>
      <c r="U662" s="113"/>
      <c r="V662" s="113"/>
      <c r="W662" s="113"/>
      <c r="X662" s="113"/>
      <c r="Y662" s="113"/>
      <c r="Z662" s="113"/>
      <c r="AA662" s="113"/>
      <c r="AB662" s="113"/>
      <c r="AC662" s="113"/>
      <c r="AD662" s="113"/>
      <c r="AE662" s="113"/>
      <c r="AF662" s="113"/>
      <c r="AG662" s="113"/>
      <c r="AH662" s="113"/>
      <c r="AI662" s="113"/>
      <c r="AJ662" s="113"/>
      <c r="AK662" s="113"/>
      <c r="AL662" s="113"/>
      <c r="AM662" s="113"/>
      <c r="AN662" s="113"/>
      <c r="AO662" s="113"/>
      <c r="AP662" s="113"/>
      <c r="AQ662" s="113"/>
      <c r="AR662" s="113"/>
      <c r="AS662" s="113"/>
      <c r="AT662" s="113"/>
      <c r="AU662" s="113"/>
      <c r="AV662" s="113"/>
      <c r="AW662" s="113"/>
      <c r="AX662" s="113"/>
      <c r="AY662" s="113"/>
      <c r="AZ662" s="113"/>
      <c r="BA662" s="113"/>
      <c r="BB662" s="113"/>
      <c r="BC662" s="113"/>
      <c r="BD662" s="113"/>
      <c r="BE662" s="113"/>
      <c r="BF662" s="113"/>
      <c r="BG662" s="113"/>
      <c r="BH662" s="113"/>
      <c r="BI662" s="113"/>
      <c r="BJ662" s="113"/>
      <c r="BK662" s="113"/>
      <c r="BL662" s="113"/>
      <c r="BM662" s="113"/>
      <c r="BN662" s="113"/>
      <c r="BO662" s="113"/>
      <c r="BP662" s="113"/>
      <c r="BQ662" s="113"/>
      <c r="BR662" s="113"/>
      <c r="BS662" s="113"/>
      <c r="BT662" s="113"/>
      <c r="BU662" s="113"/>
      <c r="BV662" s="113"/>
      <c r="BW662" s="113"/>
      <c r="BX662" s="113"/>
      <c r="BY662" s="113"/>
      <c r="BZ662" s="113"/>
      <c r="CA662" s="113"/>
      <c r="CB662" s="113"/>
      <c r="CC662" s="113"/>
      <c r="CD662" s="113"/>
      <c r="CE662" s="113"/>
      <c r="CF662" s="113"/>
      <c r="CG662" s="113"/>
      <c r="CH662" s="113"/>
      <c r="CI662" s="113"/>
      <c r="CJ662" s="113"/>
      <c r="CK662" s="113"/>
      <c r="CL662" s="113"/>
      <c r="CM662" s="113"/>
      <c r="CN662" s="113"/>
      <c r="CO662" s="113"/>
      <c r="CP662" s="113"/>
      <c r="CQ662" s="113"/>
      <c r="CR662" s="113"/>
      <c r="CS662" s="113"/>
      <c r="CT662" s="113"/>
      <c r="CU662" s="113"/>
    </row>
    <row r="663">
      <c r="A663" s="159"/>
      <c r="B663" s="113"/>
      <c r="C663" s="113"/>
      <c r="D663" s="158"/>
      <c r="E663" s="161"/>
      <c r="F663" s="160"/>
      <c r="G663" s="162"/>
      <c r="H663" s="159"/>
      <c r="I663" s="113"/>
      <c r="J663" s="113"/>
      <c r="K663" s="113"/>
      <c r="L663" s="158"/>
      <c r="M663" s="113"/>
      <c r="N663" s="113"/>
      <c r="O663" s="113"/>
      <c r="P663" s="113"/>
      <c r="Q663" s="113"/>
      <c r="R663" s="113"/>
      <c r="S663" s="113"/>
      <c r="T663" s="113"/>
      <c r="U663" s="113"/>
      <c r="V663" s="113"/>
      <c r="W663" s="113"/>
      <c r="X663" s="113"/>
      <c r="Y663" s="113"/>
      <c r="Z663" s="113"/>
      <c r="AA663" s="113"/>
      <c r="AB663" s="113"/>
      <c r="AC663" s="113"/>
      <c r="AD663" s="113"/>
      <c r="AE663" s="113"/>
      <c r="AF663" s="113"/>
      <c r="AG663" s="113"/>
      <c r="AH663" s="113"/>
      <c r="AI663" s="113"/>
      <c r="AJ663" s="113"/>
      <c r="AK663" s="113"/>
      <c r="AL663" s="113"/>
      <c r="AM663" s="113"/>
      <c r="AN663" s="113"/>
      <c r="AO663" s="113"/>
      <c r="AP663" s="113"/>
      <c r="AQ663" s="113"/>
      <c r="AR663" s="113"/>
      <c r="AS663" s="113"/>
      <c r="AT663" s="113"/>
      <c r="AU663" s="113"/>
      <c r="AV663" s="113"/>
      <c r="AW663" s="113"/>
      <c r="AX663" s="113"/>
      <c r="AY663" s="113"/>
      <c r="AZ663" s="113"/>
      <c r="BA663" s="113"/>
      <c r="BB663" s="113"/>
      <c r="BC663" s="113"/>
      <c r="BD663" s="113"/>
      <c r="BE663" s="113"/>
      <c r="BF663" s="113"/>
      <c r="BG663" s="113"/>
      <c r="BH663" s="113"/>
      <c r="BI663" s="113"/>
      <c r="BJ663" s="113"/>
      <c r="BK663" s="113"/>
      <c r="BL663" s="113"/>
      <c r="BM663" s="113"/>
      <c r="BN663" s="113"/>
      <c r="BO663" s="113"/>
      <c r="BP663" s="113"/>
      <c r="BQ663" s="113"/>
      <c r="BR663" s="113"/>
      <c r="BS663" s="113"/>
      <c r="BT663" s="113"/>
      <c r="BU663" s="113"/>
      <c r="BV663" s="113"/>
      <c r="BW663" s="113"/>
      <c r="BX663" s="113"/>
      <c r="BY663" s="113"/>
      <c r="BZ663" s="113"/>
      <c r="CA663" s="113"/>
      <c r="CB663" s="113"/>
      <c r="CC663" s="113"/>
      <c r="CD663" s="113"/>
      <c r="CE663" s="113"/>
      <c r="CF663" s="113"/>
      <c r="CG663" s="113"/>
      <c r="CH663" s="113"/>
      <c r="CI663" s="113"/>
      <c r="CJ663" s="113"/>
      <c r="CK663" s="113"/>
      <c r="CL663" s="113"/>
      <c r="CM663" s="113"/>
      <c r="CN663" s="113"/>
      <c r="CO663" s="113"/>
      <c r="CP663" s="113"/>
      <c r="CQ663" s="113"/>
      <c r="CR663" s="113"/>
      <c r="CS663" s="113"/>
      <c r="CT663" s="113"/>
      <c r="CU663" s="113"/>
    </row>
    <row r="664">
      <c r="A664" s="159"/>
      <c r="B664" s="113"/>
      <c r="C664" s="113"/>
      <c r="D664" s="158"/>
      <c r="E664" s="161"/>
      <c r="F664" s="160"/>
      <c r="G664" s="162"/>
      <c r="H664" s="159"/>
      <c r="I664" s="113"/>
      <c r="J664" s="113"/>
      <c r="K664" s="113"/>
      <c r="L664" s="158"/>
      <c r="M664" s="113"/>
      <c r="N664" s="113"/>
      <c r="O664" s="113"/>
      <c r="P664" s="113"/>
      <c r="Q664" s="113"/>
      <c r="R664" s="113"/>
      <c r="S664" s="113"/>
      <c r="T664" s="113"/>
      <c r="U664" s="113"/>
      <c r="V664" s="113"/>
      <c r="W664" s="113"/>
      <c r="X664" s="113"/>
      <c r="Y664" s="113"/>
      <c r="Z664" s="113"/>
      <c r="AA664" s="113"/>
      <c r="AB664" s="113"/>
      <c r="AC664" s="113"/>
      <c r="AD664" s="113"/>
      <c r="AE664" s="113"/>
      <c r="AF664" s="113"/>
      <c r="AG664" s="113"/>
      <c r="AH664" s="113"/>
      <c r="AI664" s="113"/>
      <c r="AJ664" s="113"/>
      <c r="AK664" s="113"/>
      <c r="AL664" s="113"/>
      <c r="AM664" s="113"/>
      <c r="AN664" s="113"/>
      <c r="AO664" s="113"/>
      <c r="AP664" s="113"/>
      <c r="AQ664" s="113"/>
      <c r="AR664" s="113"/>
      <c r="AS664" s="113"/>
      <c r="AT664" s="113"/>
      <c r="AU664" s="113"/>
      <c r="AV664" s="113"/>
      <c r="AW664" s="113"/>
      <c r="AX664" s="113"/>
      <c r="AY664" s="113"/>
      <c r="AZ664" s="113"/>
      <c r="BA664" s="113"/>
      <c r="BB664" s="113"/>
      <c r="BC664" s="113"/>
      <c r="BD664" s="113"/>
      <c r="BE664" s="113"/>
      <c r="BF664" s="113"/>
      <c r="BG664" s="113"/>
      <c r="BH664" s="113"/>
      <c r="BI664" s="113"/>
      <c r="BJ664" s="113"/>
      <c r="BK664" s="113"/>
      <c r="BL664" s="113"/>
      <c r="BM664" s="113"/>
      <c r="BN664" s="113"/>
      <c r="BO664" s="113"/>
      <c r="BP664" s="113"/>
      <c r="BQ664" s="113"/>
      <c r="BR664" s="113"/>
      <c r="BS664" s="113"/>
      <c r="BT664" s="113"/>
      <c r="BU664" s="113"/>
      <c r="BV664" s="113"/>
      <c r="BW664" s="113"/>
      <c r="BX664" s="113"/>
      <c r="BY664" s="113"/>
      <c r="BZ664" s="113"/>
      <c r="CA664" s="113"/>
      <c r="CB664" s="113"/>
      <c r="CC664" s="113"/>
      <c r="CD664" s="113"/>
      <c r="CE664" s="113"/>
      <c r="CF664" s="113"/>
      <c r="CG664" s="113"/>
      <c r="CH664" s="113"/>
      <c r="CI664" s="113"/>
      <c r="CJ664" s="113"/>
      <c r="CK664" s="113"/>
      <c r="CL664" s="113"/>
      <c r="CM664" s="113"/>
      <c r="CN664" s="113"/>
      <c r="CO664" s="113"/>
      <c r="CP664" s="113"/>
      <c r="CQ664" s="113"/>
      <c r="CR664" s="113"/>
      <c r="CS664" s="113"/>
      <c r="CT664" s="113"/>
      <c r="CU664" s="113"/>
    </row>
    <row r="665">
      <c r="A665" s="159"/>
      <c r="B665" s="113"/>
      <c r="C665" s="113"/>
      <c r="D665" s="158"/>
      <c r="E665" s="161"/>
      <c r="F665" s="160"/>
      <c r="G665" s="162"/>
      <c r="H665" s="159"/>
      <c r="I665" s="113"/>
      <c r="J665" s="113"/>
      <c r="K665" s="113"/>
      <c r="L665" s="158"/>
      <c r="M665" s="113"/>
      <c r="N665" s="113"/>
      <c r="O665" s="113"/>
      <c r="P665" s="113"/>
      <c r="Q665" s="113"/>
      <c r="R665" s="113"/>
      <c r="S665" s="113"/>
      <c r="T665" s="113"/>
      <c r="U665" s="113"/>
      <c r="V665" s="113"/>
      <c r="W665" s="113"/>
      <c r="X665" s="113"/>
      <c r="Y665" s="113"/>
      <c r="Z665" s="113"/>
      <c r="AA665" s="113"/>
      <c r="AB665" s="113"/>
      <c r="AC665" s="113"/>
      <c r="AD665" s="113"/>
      <c r="AE665" s="113"/>
      <c r="AF665" s="113"/>
      <c r="AG665" s="113"/>
      <c r="AH665" s="113"/>
      <c r="AI665" s="113"/>
      <c r="AJ665" s="113"/>
      <c r="AK665" s="113"/>
      <c r="AL665" s="113"/>
      <c r="AM665" s="113"/>
      <c r="AN665" s="113"/>
      <c r="AO665" s="113"/>
      <c r="AP665" s="113"/>
      <c r="AQ665" s="113"/>
      <c r="AR665" s="113"/>
      <c r="AS665" s="113"/>
      <c r="AT665" s="113"/>
      <c r="AU665" s="113"/>
      <c r="AV665" s="113"/>
      <c r="AW665" s="113"/>
      <c r="AX665" s="113"/>
      <c r="AY665" s="113"/>
      <c r="AZ665" s="113"/>
      <c r="BA665" s="113"/>
      <c r="BB665" s="113"/>
      <c r="BC665" s="113"/>
      <c r="BD665" s="113"/>
      <c r="BE665" s="113"/>
      <c r="BF665" s="113"/>
      <c r="BG665" s="113"/>
      <c r="BH665" s="113"/>
      <c r="BI665" s="113"/>
      <c r="BJ665" s="113"/>
      <c r="BK665" s="113"/>
      <c r="BL665" s="113"/>
      <c r="BM665" s="113"/>
      <c r="BN665" s="113"/>
      <c r="BO665" s="113"/>
      <c r="BP665" s="113"/>
      <c r="BQ665" s="113"/>
      <c r="BR665" s="113"/>
      <c r="BS665" s="113"/>
      <c r="BT665" s="113"/>
      <c r="BU665" s="113"/>
      <c r="BV665" s="113"/>
      <c r="BW665" s="113"/>
      <c r="BX665" s="113"/>
      <c r="BY665" s="113"/>
      <c r="BZ665" s="113"/>
      <c r="CA665" s="113"/>
      <c r="CB665" s="113"/>
      <c r="CC665" s="113"/>
      <c r="CD665" s="113"/>
      <c r="CE665" s="113"/>
      <c r="CF665" s="113"/>
      <c r="CG665" s="113"/>
      <c r="CH665" s="113"/>
      <c r="CI665" s="113"/>
      <c r="CJ665" s="113"/>
      <c r="CK665" s="113"/>
      <c r="CL665" s="113"/>
      <c r="CM665" s="113"/>
      <c r="CN665" s="113"/>
      <c r="CO665" s="113"/>
      <c r="CP665" s="113"/>
      <c r="CQ665" s="113"/>
      <c r="CR665" s="113"/>
      <c r="CS665" s="113"/>
      <c r="CT665" s="113"/>
      <c r="CU665" s="113"/>
    </row>
    <row r="666">
      <c r="A666" s="159"/>
      <c r="B666" s="113"/>
      <c r="C666" s="113"/>
      <c r="D666" s="158"/>
      <c r="E666" s="161"/>
      <c r="F666" s="160"/>
      <c r="G666" s="162"/>
      <c r="H666" s="159"/>
      <c r="I666" s="113"/>
      <c r="J666" s="113"/>
      <c r="K666" s="113"/>
      <c r="L666" s="158"/>
      <c r="M666" s="113"/>
      <c r="N666" s="113"/>
      <c r="O666" s="113"/>
      <c r="P666" s="113"/>
      <c r="Q666" s="113"/>
      <c r="R666" s="113"/>
      <c r="S666" s="113"/>
      <c r="T666" s="113"/>
      <c r="U666" s="113"/>
      <c r="V666" s="113"/>
      <c r="W666" s="113"/>
      <c r="X666" s="113"/>
      <c r="Y666" s="113"/>
      <c r="Z666" s="113"/>
      <c r="AA666" s="113"/>
      <c r="AB666" s="113"/>
      <c r="AC666" s="113"/>
      <c r="AD666" s="113"/>
      <c r="AE666" s="113"/>
      <c r="AF666" s="113"/>
      <c r="AG666" s="113"/>
      <c r="AH666" s="113"/>
      <c r="AI666" s="113"/>
      <c r="AJ666" s="113"/>
      <c r="AK666" s="113"/>
      <c r="AL666" s="113"/>
      <c r="AM666" s="113"/>
      <c r="AN666" s="113"/>
      <c r="AO666" s="113"/>
      <c r="AP666" s="113"/>
      <c r="AQ666" s="113"/>
      <c r="AR666" s="113"/>
      <c r="AS666" s="113"/>
      <c r="AT666" s="113"/>
      <c r="AU666" s="113"/>
      <c r="AV666" s="113"/>
      <c r="AW666" s="113"/>
      <c r="AX666" s="113"/>
      <c r="AY666" s="113"/>
      <c r="AZ666" s="113"/>
      <c r="BA666" s="113"/>
      <c r="BB666" s="113"/>
      <c r="BC666" s="113"/>
      <c r="BD666" s="113"/>
      <c r="BE666" s="113"/>
      <c r="BF666" s="113"/>
      <c r="BG666" s="113"/>
      <c r="BH666" s="113"/>
      <c r="BI666" s="113"/>
      <c r="BJ666" s="113"/>
      <c r="BK666" s="113"/>
      <c r="BL666" s="113"/>
      <c r="BM666" s="113"/>
      <c r="BN666" s="113"/>
      <c r="BO666" s="113"/>
      <c r="BP666" s="113"/>
      <c r="BQ666" s="113"/>
      <c r="BR666" s="113"/>
      <c r="BS666" s="113"/>
      <c r="BT666" s="113"/>
      <c r="BU666" s="113"/>
      <c r="BV666" s="113"/>
      <c r="BW666" s="113"/>
      <c r="BX666" s="113"/>
      <c r="BY666" s="113"/>
      <c r="BZ666" s="113"/>
      <c r="CA666" s="113"/>
      <c r="CB666" s="113"/>
      <c r="CC666" s="113"/>
      <c r="CD666" s="113"/>
      <c r="CE666" s="113"/>
      <c r="CF666" s="113"/>
      <c r="CG666" s="113"/>
      <c r="CH666" s="113"/>
      <c r="CI666" s="113"/>
      <c r="CJ666" s="113"/>
      <c r="CK666" s="113"/>
      <c r="CL666" s="113"/>
      <c r="CM666" s="113"/>
      <c r="CN666" s="113"/>
      <c r="CO666" s="113"/>
      <c r="CP666" s="113"/>
      <c r="CQ666" s="113"/>
      <c r="CR666" s="113"/>
      <c r="CS666" s="113"/>
      <c r="CT666" s="113"/>
      <c r="CU666" s="113"/>
    </row>
    <row r="667">
      <c r="A667" s="159"/>
      <c r="B667" s="113"/>
      <c r="C667" s="113"/>
      <c r="D667" s="158"/>
      <c r="E667" s="161"/>
      <c r="F667" s="160"/>
      <c r="G667" s="162"/>
      <c r="H667" s="159"/>
      <c r="I667" s="113"/>
      <c r="J667" s="113"/>
      <c r="K667" s="113"/>
      <c r="L667" s="158"/>
      <c r="M667" s="113"/>
      <c r="N667" s="113"/>
      <c r="O667" s="113"/>
      <c r="P667" s="113"/>
      <c r="Q667" s="113"/>
      <c r="R667" s="113"/>
      <c r="S667" s="113"/>
      <c r="T667" s="113"/>
      <c r="U667" s="113"/>
      <c r="V667" s="113"/>
      <c r="W667" s="113"/>
      <c r="X667" s="113"/>
      <c r="Y667" s="113"/>
      <c r="Z667" s="113"/>
      <c r="AA667" s="113"/>
      <c r="AB667" s="113"/>
      <c r="AC667" s="113"/>
      <c r="AD667" s="113"/>
      <c r="AE667" s="113"/>
      <c r="AF667" s="113"/>
      <c r="AG667" s="113"/>
      <c r="AH667" s="113"/>
      <c r="AI667" s="113"/>
      <c r="AJ667" s="113"/>
      <c r="AK667" s="113"/>
      <c r="AL667" s="113"/>
      <c r="AM667" s="113"/>
      <c r="AN667" s="113"/>
      <c r="AO667" s="113"/>
      <c r="AP667" s="113"/>
      <c r="AQ667" s="113"/>
      <c r="AR667" s="113"/>
      <c r="AS667" s="113"/>
      <c r="AT667" s="113"/>
      <c r="AU667" s="113"/>
      <c r="AV667" s="113"/>
      <c r="AW667" s="113"/>
      <c r="AX667" s="113"/>
      <c r="AY667" s="113"/>
      <c r="AZ667" s="113"/>
      <c r="BA667" s="113"/>
      <c r="BB667" s="113"/>
      <c r="BC667" s="113"/>
      <c r="BD667" s="113"/>
      <c r="BE667" s="113"/>
      <c r="BF667" s="113"/>
      <c r="BG667" s="113"/>
      <c r="BH667" s="113"/>
      <c r="BI667" s="113"/>
      <c r="BJ667" s="113"/>
      <c r="BK667" s="113"/>
      <c r="BL667" s="113"/>
      <c r="BM667" s="113"/>
      <c r="BN667" s="113"/>
      <c r="BO667" s="113"/>
      <c r="BP667" s="113"/>
      <c r="BQ667" s="113"/>
      <c r="BR667" s="113"/>
      <c r="BS667" s="113"/>
      <c r="BT667" s="113"/>
      <c r="BU667" s="113"/>
      <c r="BV667" s="113"/>
      <c r="BW667" s="113"/>
      <c r="BX667" s="113"/>
      <c r="BY667" s="113"/>
      <c r="BZ667" s="113"/>
      <c r="CA667" s="113"/>
      <c r="CB667" s="113"/>
      <c r="CC667" s="113"/>
      <c r="CD667" s="113"/>
      <c r="CE667" s="113"/>
      <c r="CF667" s="113"/>
      <c r="CG667" s="113"/>
      <c r="CH667" s="113"/>
      <c r="CI667" s="113"/>
      <c r="CJ667" s="113"/>
      <c r="CK667" s="113"/>
      <c r="CL667" s="113"/>
      <c r="CM667" s="113"/>
      <c r="CN667" s="113"/>
      <c r="CO667" s="113"/>
      <c r="CP667" s="113"/>
      <c r="CQ667" s="113"/>
      <c r="CR667" s="113"/>
      <c r="CS667" s="113"/>
      <c r="CT667" s="113"/>
      <c r="CU667" s="113"/>
    </row>
    <row r="668">
      <c r="A668" s="159"/>
      <c r="B668" s="113"/>
      <c r="C668" s="113"/>
      <c r="D668" s="158"/>
      <c r="E668" s="161"/>
      <c r="F668" s="160"/>
      <c r="G668" s="162"/>
      <c r="H668" s="159"/>
      <c r="I668" s="113"/>
      <c r="J668" s="113"/>
      <c r="K668" s="113"/>
      <c r="L668" s="158"/>
      <c r="M668" s="113"/>
      <c r="N668" s="113"/>
      <c r="O668" s="113"/>
      <c r="P668" s="113"/>
      <c r="Q668" s="113"/>
      <c r="R668" s="113"/>
      <c r="S668" s="113"/>
      <c r="T668" s="113"/>
      <c r="U668" s="113"/>
      <c r="V668" s="113"/>
      <c r="W668" s="113"/>
      <c r="X668" s="113"/>
      <c r="Y668" s="113"/>
      <c r="Z668" s="113"/>
      <c r="AA668" s="113"/>
      <c r="AB668" s="113"/>
      <c r="AC668" s="113"/>
      <c r="AD668" s="113"/>
      <c r="AE668" s="113"/>
      <c r="AF668" s="113"/>
      <c r="AG668" s="113"/>
      <c r="AH668" s="113"/>
      <c r="AI668" s="113"/>
      <c r="AJ668" s="113"/>
      <c r="AK668" s="113"/>
      <c r="AL668" s="113"/>
      <c r="AM668" s="113"/>
      <c r="AN668" s="113"/>
      <c r="AO668" s="113"/>
      <c r="AP668" s="113"/>
      <c r="AQ668" s="113"/>
      <c r="AR668" s="113"/>
      <c r="AS668" s="113"/>
      <c r="AT668" s="113"/>
      <c r="AU668" s="113"/>
      <c r="AV668" s="113"/>
      <c r="AW668" s="113"/>
      <c r="AX668" s="113"/>
      <c r="AY668" s="113"/>
      <c r="AZ668" s="113"/>
      <c r="BA668" s="113"/>
      <c r="BB668" s="113"/>
      <c r="BC668" s="113"/>
      <c r="BD668" s="113"/>
      <c r="BE668" s="113"/>
      <c r="BF668" s="113"/>
      <c r="BG668" s="113"/>
      <c r="BH668" s="113"/>
      <c r="BI668" s="113"/>
      <c r="BJ668" s="113"/>
      <c r="BK668" s="113"/>
      <c r="BL668" s="113"/>
      <c r="BM668" s="113"/>
      <c r="BN668" s="113"/>
      <c r="BO668" s="113"/>
      <c r="BP668" s="113"/>
      <c r="BQ668" s="113"/>
      <c r="BR668" s="113"/>
      <c r="BS668" s="113"/>
      <c r="BT668" s="113"/>
      <c r="BU668" s="113"/>
      <c r="BV668" s="113"/>
      <c r="BW668" s="113"/>
      <c r="BX668" s="113"/>
      <c r="BY668" s="113"/>
      <c r="BZ668" s="113"/>
      <c r="CA668" s="113"/>
      <c r="CB668" s="113"/>
      <c r="CC668" s="113"/>
      <c r="CD668" s="113"/>
      <c r="CE668" s="113"/>
      <c r="CF668" s="113"/>
      <c r="CG668" s="113"/>
      <c r="CH668" s="113"/>
      <c r="CI668" s="113"/>
      <c r="CJ668" s="113"/>
      <c r="CK668" s="113"/>
      <c r="CL668" s="113"/>
      <c r="CM668" s="113"/>
      <c r="CN668" s="113"/>
      <c r="CO668" s="113"/>
      <c r="CP668" s="113"/>
      <c r="CQ668" s="113"/>
      <c r="CR668" s="113"/>
      <c r="CS668" s="113"/>
      <c r="CT668" s="113"/>
      <c r="CU668" s="113"/>
    </row>
    <row r="669">
      <c r="A669" s="159"/>
      <c r="B669" s="113"/>
      <c r="C669" s="113"/>
      <c r="D669" s="158"/>
      <c r="E669" s="161"/>
      <c r="F669" s="160"/>
      <c r="G669" s="162"/>
      <c r="H669" s="159"/>
      <c r="I669" s="113"/>
      <c r="J669" s="113"/>
      <c r="K669" s="113"/>
      <c r="L669" s="158"/>
      <c r="M669" s="113"/>
      <c r="N669" s="113"/>
      <c r="O669" s="113"/>
      <c r="P669" s="113"/>
      <c r="Q669" s="113"/>
      <c r="R669" s="113"/>
      <c r="S669" s="113"/>
      <c r="T669" s="113"/>
      <c r="U669" s="113"/>
      <c r="V669" s="113"/>
      <c r="W669" s="113"/>
      <c r="X669" s="113"/>
      <c r="Y669" s="113"/>
      <c r="Z669" s="113"/>
      <c r="AA669" s="113"/>
      <c r="AB669" s="113"/>
      <c r="AC669" s="113"/>
      <c r="AD669" s="113"/>
      <c r="AE669" s="113"/>
      <c r="AF669" s="113"/>
      <c r="AG669" s="113"/>
      <c r="AH669" s="113"/>
      <c r="AI669" s="113"/>
      <c r="AJ669" s="113"/>
      <c r="AK669" s="113"/>
      <c r="AL669" s="113"/>
      <c r="AM669" s="113"/>
      <c r="AN669" s="113"/>
      <c r="AO669" s="113"/>
      <c r="AP669" s="113"/>
      <c r="AQ669" s="113"/>
      <c r="AR669" s="113"/>
      <c r="AS669" s="113"/>
      <c r="AT669" s="113"/>
      <c r="AU669" s="113"/>
      <c r="AV669" s="113"/>
      <c r="AW669" s="113"/>
      <c r="AX669" s="113"/>
      <c r="AY669" s="113"/>
      <c r="AZ669" s="113"/>
      <c r="BA669" s="113"/>
      <c r="BB669" s="113"/>
      <c r="BC669" s="113"/>
      <c r="BD669" s="113"/>
      <c r="BE669" s="113"/>
      <c r="BF669" s="113"/>
      <c r="BG669" s="113"/>
      <c r="BH669" s="113"/>
      <c r="BI669" s="113"/>
      <c r="BJ669" s="113"/>
      <c r="BK669" s="113"/>
      <c r="BL669" s="113"/>
      <c r="BM669" s="113"/>
      <c r="BN669" s="113"/>
      <c r="BO669" s="113"/>
      <c r="BP669" s="113"/>
      <c r="BQ669" s="113"/>
      <c r="BR669" s="113"/>
      <c r="BS669" s="113"/>
      <c r="BT669" s="113"/>
      <c r="BU669" s="113"/>
      <c r="BV669" s="113"/>
      <c r="BW669" s="113"/>
      <c r="BX669" s="113"/>
      <c r="BY669" s="113"/>
      <c r="BZ669" s="113"/>
      <c r="CA669" s="113"/>
      <c r="CB669" s="113"/>
      <c r="CC669" s="113"/>
      <c r="CD669" s="113"/>
      <c r="CE669" s="113"/>
      <c r="CF669" s="113"/>
      <c r="CG669" s="113"/>
      <c r="CH669" s="113"/>
      <c r="CI669" s="113"/>
      <c r="CJ669" s="113"/>
      <c r="CK669" s="113"/>
      <c r="CL669" s="113"/>
      <c r="CM669" s="113"/>
      <c r="CN669" s="113"/>
      <c r="CO669" s="113"/>
      <c r="CP669" s="113"/>
      <c r="CQ669" s="113"/>
      <c r="CR669" s="113"/>
      <c r="CS669" s="113"/>
      <c r="CT669" s="113"/>
      <c r="CU669" s="113"/>
    </row>
    <row r="670">
      <c r="A670" s="159"/>
      <c r="B670" s="113"/>
      <c r="C670" s="113"/>
      <c r="D670" s="158"/>
      <c r="E670" s="161"/>
      <c r="F670" s="160"/>
      <c r="G670" s="162"/>
      <c r="H670" s="159"/>
      <c r="I670" s="113"/>
      <c r="J670" s="113"/>
      <c r="K670" s="113"/>
      <c r="L670" s="158"/>
      <c r="M670" s="113"/>
      <c r="N670" s="113"/>
      <c r="O670" s="113"/>
      <c r="P670" s="113"/>
      <c r="Q670" s="113"/>
      <c r="R670" s="113"/>
      <c r="S670" s="113"/>
      <c r="T670" s="113"/>
      <c r="U670" s="113"/>
      <c r="V670" s="113"/>
      <c r="W670" s="113"/>
      <c r="X670" s="113"/>
      <c r="Y670" s="113"/>
      <c r="Z670" s="113"/>
      <c r="AA670" s="113"/>
      <c r="AB670" s="113"/>
      <c r="AC670" s="113"/>
      <c r="AD670" s="113"/>
      <c r="AE670" s="113"/>
      <c r="AF670" s="113"/>
      <c r="AG670" s="113"/>
      <c r="AH670" s="113"/>
      <c r="AI670" s="113"/>
      <c r="AJ670" s="113"/>
      <c r="AK670" s="113"/>
      <c r="AL670" s="113"/>
      <c r="AM670" s="113"/>
      <c r="AN670" s="113"/>
      <c r="AO670" s="113"/>
      <c r="AP670" s="113"/>
      <c r="AQ670" s="113"/>
      <c r="AR670" s="113"/>
      <c r="AS670" s="113"/>
      <c r="AT670" s="113"/>
      <c r="AU670" s="113"/>
      <c r="AV670" s="113"/>
      <c r="AW670" s="113"/>
      <c r="AX670" s="113"/>
      <c r="AY670" s="113"/>
      <c r="AZ670" s="113"/>
      <c r="BA670" s="113"/>
      <c r="BB670" s="113"/>
      <c r="BC670" s="113"/>
      <c r="BD670" s="113"/>
      <c r="BE670" s="113"/>
      <c r="BF670" s="113"/>
      <c r="BG670" s="113"/>
      <c r="BH670" s="113"/>
      <c r="BI670" s="113"/>
      <c r="BJ670" s="113"/>
      <c r="BK670" s="113"/>
      <c r="BL670" s="113"/>
      <c r="BM670" s="113"/>
      <c r="BN670" s="113"/>
      <c r="BO670" s="113"/>
      <c r="BP670" s="113"/>
      <c r="BQ670" s="113"/>
      <c r="BR670" s="113"/>
      <c r="BS670" s="113"/>
      <c r="BT670" s="113"/>
      <c r="BU670" s="113"/>
      <c r="BV670" s="113"/>
      <c r="BW670" s="113"/>
      <c r="BX670" s="113"/>
      <c r="BY670" s="113"/>
      <c r="BZ670" s="113"/>
      <c r="CA670" s="113"/>
      <c r="CB670" s="113"/>
      <c r="CC670" s="113"/>
      <c r="CD670" s="113"/>
      <c r="CE670" s="113"/>
      <c r="CF670" s="113"/>
      <c r="CG670" s="113"/>
      <c r="CH670" s="113"/>
      <c r="CI670" s="113"/>
      <c r="CJ670" s="113"/>
      <c r="CK670" s="113"/>
      <c r="CL670" s="113"/>
      <c r="CM670" s="113"/>
      <c r="CN670" s="113"/>
      <c r="CO670" s="113"/>
      <c r="CP670" s="113"/>
      <c r="CQ670" s="113"/>
      <c r="CR670" s="113"/>
      <c r="CS670" s="113"/>
      <c r="CT670" s="113"/>
      <c r="CU670" s="113"/>
    </row>
    <row r="671">
      <c r="A671" s="159"/>
      <c r="B671" s="113"/>
      <c r="C671" s="113"/>
      <c r="D671" s="158"/>
      <c r="E671" s="161"/>
      <c r="F671" s="160"/>
      <c r="G671" s="162"/>
      <c r="H671" s="159"/>
      <c r="I671" s="113"/>
      <c r="J671" s="113"/>
      <c r="K671" s="113"/>
      <c r="L671" s="158"/>
      <c r="M671" s="113"/>
      <c r="N671" s="113"/>
      <c r="O671" s="113"/>
      <c r="P671" s="113"/>
      <c r="Q671" s="113"/>
      <c r="R671" s="113"/>
      <c r="S671" s="113"/>
      <c r="T671" s="113"/>
      <c r="U671" s="113"/>
      <c r="V671" s="113"/>
      <c r="W671" s="113"/>
      <c r="X671" s="113"/>
      <c r="Y671" s="113"/>
      <c r="Z671" s="113"/>
      <c r="AA671" s="113"/>
      <c r="AB671" s="113"/>
      <c r="AC671" s="113"/>
      <c r="AD671" s="113"/>
      <c r="AE671" s="113"/>
      <c r="AF671" s="113"/>
      <c r="AG671" s="113"/>
      <c r="AH671" s="113"/>
      <c r="AI671" s="113"/>
      <c r="AJ671" s="113"/>
      <c r="AK671" s="113"/>
      <c r="AL671" s="113"/>
      <c r="AM671" s="113"/>
      <c r="AN671" s="113"/>
      <c r="AO671" s="113"/>
      <c r="AP671" s="113"/>
      <c r="AQ671" s="113"/>
      <c r="AR671" s="113"/>
      <c r="AS671" s="113"/>
      <c r="AT671" s="113"/>
      <c r="AU671" s="113"/>
      <c r="AV671" s="113"/>
      <c r="AW671" s="113"/>
      <c r="AX671" s="113"/>
      <c r="AY671" s="113"/>
      <c r="AZ671" s="113"/>
      <c r="BA671" s="113"/>
      <c r="BB671" s="113"/>
      <c r="BC671" s="113"/>
      <c r="BD671" s="113"/>
      <c r="BE671" s="113"/>
      <c r="BF671" s="113"/>
      <c r="BG671" s="113"/>
      <c r="BH671" s="113"/>
      <c r="BI671" s="113"/>
      <c r="BJ671" s="113"/>
      <c r="BK671" s="113"/>
      <c r="BL671" s="113"/>
      <c r="BM671" s="113"/>
      <c r="BN671" s="113"/>
      <c r="BO671" s="113"/>
      <c r="BP671" s="113"/>
      <c r="BQ671" s="113"/>
      <c r="BR671" s="113"/>
      <c r="BS671" s="113"/>
      <c r="BT671" s="113"/>
      <c r="BU671" s="113"/>
      <c r="BV671" s="113"/>
      <c r="BW671" s="113"/>
      <c r="BX671" s="113"/>
      <c r="BY671" s="113"/>
      <c r="BZ671" s="113"/>
      <c r="CA671" s="113"/>
      <c r="CB671" s="113"/>
      <c r="CC671" s="113"/>
      <c r="CD671" s="113"/>
      <c r="CE671" s="113"/>
      <c r="CF671" s="113"/>
      <c r="CG671" s="113"/>
      <c r="CH671" s="113"/>
      <c r="CI671" s="113"/>
      <c r="CJ671" s="113"/>
      <c r="CK671" s="113"/>
      <c r="CL671" s="113"/>
      <c r="CM671" s="113"/>
      <c r="CN671" s="113"/>
      <c r="CO671" s="113"/>
      <c r="CP671" s="113"/>
      <c r="CQ671" s="113"/>
      <c r="CR671" s="113"/>
      <c r="CS671" s="113"/>
      <c r="CT671" s="113"/>
      <c r="CU671" s="113"/>
    </row>
    <row r="672">
      <c r="A672" s="159"/>
      <c r="B672" s="113"/>
      <c r="C672" s="113"/>
      <c r="D672" s="158"/>
      <c r="E672" s="161"/>
      <c r="F672" s="160"/>
      <c r="G672" s="162"/>
      <c r="H672" s="159"/>
      <c r="I672" s="113"/>
      <c r="J672" s="113"/>
      <c r="K672" s="113"/>
      <c r="L672" s="158"/>
      <c r="M672" s="113"/>
      <c r="N672" s="113"/>
      <c r="O672" s="113"/>
      <c r="P672" s="113"/>
      <c r="Q672" s="113"/>
      <c r="R672" s="113"/>
      <c r="S672" s="113"/>
      <c r="T672" s="113"/>
      <c r="U672" s="113"/>
      <c r="V672" s="113"/>
      <c r="W672" s="113"/>
      <c r="X672" s="113"/>
      <c r="Y672" s="113"/>
      <c r="Z672" s="113"/>
      <c r="AA672" s="113"/>
      <c r="AB672" s="113"/>
      <c r="AC672" s="113"/>
      <c r="AD672" s="113"/>
      <c r="AE672" s="113"/>
      <c r="AF672" s="113"/>
      <c r="AG672" s="113"/>
      <c r="AH672" s="113"/>
      <c r="AI672" s="113"/>
      <c r="AJ672" s="113"/>
      <c r="AK672" s="113"/>
      <c r="AL672" s="113"/>
      <c r="AM672" s="113"/>
      <c r="AN672" s="113"/>
      <c r="AO672" s="113"/>
      <c r="AP672" s="113"/>
      <c r="AQ672" s="113"/>
      <c r="AR672" s="113"/>
      <c r="AS672" s="113"/>
      <c r="AT672" s="113"/>
      <c r="AU672" s="113"/>
      <c r="AV672" s="113"/>
      <c r="AW672" s="113"/>
      <c r="AX672" s="113"/>
      <c r="AY672" s="113"/>
      <c r="AZ672" s="113"/>
      <c r="BA672" s="113"/>
      <c r="BB672" s="113"/>
      <c r="BC672" s="113"/>
      <c r="BD672" s="113"/>
      <c r="BE672" s="113"/>
      <c r="BF672" s="113"/>
      <c r="BG672" s="113"/>
      <c r="BH672" s="113"/>
      <c r="BI672" s="113"/>
      <c r="BJ672" s="113"/>
      <c r="BK672" s="113"/>
      <c r="BL672" s="113"/>
      <c r="BM672" s="113"/>
      <c r="BN672" s="113"/>
      <c r="BO672" s="113"/>
      <c r="BP672" s="113"/>
      <c r="BQ672" s="113"/>
      <c r="BR672" s="113"/>
      <c r="BS672" s="113"/>
      <c r="BT672" s="113"/>
      <c r="BU672" s="113"/>
      <c r="BV672" s="113"/>
      <c r="BW672" s="113"/>
      <c r="BX672" s="113"/>
      <c r="BY672" s="113"/>
      <c r="BZ672" s="113"/>
      <c r="CA672" s="113"/>
      <c r="CB672" s="113"/>
      <c r="CC672" s="113"/>
      <c r="CD672" s="113"/>
      <c r="CE672" s="113"/>
      <c r="CF672" s="113"/>
      <c r="CG672" s="113"/>
      <c r="CH672" s="113"/>
      <c r="CI672" s="113"/>
      <c r="CJ672" s="113"/>
      <c r="CK672" s="113"/>
      <c r="CL672" s="113"/>
      <c r="CM672" s="113"/>
      <c r="CN672" s="113"/>
      <c r="CO672" s="113"/>
      <c r="CP672" s="113"/>
      <c r="CQ672" s="113"/>
      <c r="CR672" s="113"/>
      <c r="CS672" s="113"/>
      <c r="CT672" s="113"/>
      <c r="CU672" s="113"/>
    </row>
    <row r="673">
      <c r="A673" s="159"/>
      <c r="B673" s="113"/>
      <c r="C673" s="113"/>
      <c r="D673" s="158"/>
      <c r="E673" s="161"/>
      <c r="F673" s="160"/>
      <c r="G673" s="162"/>
      <c r="H673" s="159"/>
      <c r="I673" s="113"/>
      <c r="J673" s="113"/>
      <c r="K673" s="113"/>
      <c r="L673" s="158"/>
      <c r="M673" s="113"/>
      <c r="N673" s="113"/>
      <c r="O673" s="113"/>
      <c r="P673" s="113"/>
      <c r="Q673" s="113"/>
      <c r="R673" s="113"/>
      <c r="S673" s="113"/>
      <c r="T673" s="113"/>
      <c r="U673" s="113"/>
      <c r="V673" s="113"/>
      <c r="W673" s="113"/>
      <c r="X673" s="113"/>
      <c r="Y673" s="113"/>
      <c r="Z673" s="113"/>
      <c r="AA673" s="113"/>
      <c r="AB673" s="113"/>
      <c r="AC673" s="113"/>
      <c r="AD673" s="113"/>
      <c r="AE673" s="113"/>
      <c r="AF673" s="113"/>
      <c r="AG673" s="113"/>
      <c r="AH673" s="113"/>
      <c r="AI673" s="113"/>
      <c r="AJ673" s="113"/>
      <c r="AK673" s="113"/>
      <c r="AL673" s="113"/>
      <c r="AM673" s="113"/>
      <c r="AN673" s="113"/>
      <c r="AO673" s="113"/>
      <c r="AP673" s="113"/>
      <c r="AQ673" s="113"/>
      <c r="AR673" s="113"/>
      <c r="AS673" s="113"/>
      <c r="AT673" s="113"/>
      <c r="AU673" s="113"/>
      <c r="AV673" s="113"/>
      <c r="AW673" s="113"/>
      <c r="AX673" s="113"/>
      <c r="AY673" s="113"/>
      <c r="AZ673" s="113"/>
      <c r="BA673" s="113"/>
      <c r="BB673" s="113"/>
      <c r="BC673" s="113"/>
      <c r="BD673" s="113"/>
      <c r="BE673" s="113"/>
      <c r="BF673" s="113"/>
      <c r="BG673" s="113"/>
      <c r="BH673" s="113"/>
      <c r="BI673" s="113"/>
      <c r="BJ673" s="113"/>
      <c r="BK673" s="113"/>
      <c r="BL673" s="113"/>
      <c r="BM673" s="113"/>
      <c r="BN673" s="113"/>
      <c r="BO673" s="113"/>
      <c r="BP673" s="113"/>
      <c r="BQ673" s="113"/>
      <c r="BR673" s="113"/>
      <c r="BS673" s="113"/>
      <c r="BT673" s="113"/>
      <c r="BU673" s="113"/>
      <c r="BV673" s="113"/>
      <c r="BW673" s="113"/>
      <c r="BX673" s="113"/>
      <c r="BY673" s="113"/>
      <c r="BZ673" s="113"/>
      <c r="CA673" s="113"/>
      <c r="CB673" s="113"/>
      <c r="CC673" s="113"/>
      <c r="CD673" s="113"/>
      <c r="CE673" s="113"/>
      <c r="CF673" s="113"/>
      <c r="CG673" s="113"/>
      <c r="CH673" s="113"/>
      <c r="CI673" s="113"/>
      <c r="CJ673" s="113"/>
      <c r="CK673" s="113"/>
      <c r="CL673" s="113"/>
      <c r="CM673" s="113"/>
      <c r="CN673" s="113"/>
      <c r="CO673" s="113"/>
      <c r="CP673" s="113"/>
      <c r="CQ673" s="113"/>
      <c r="CR673" s="113"/>
      <c r="CS673" s="113"/>
      <c r="CT673" s="113"/>
      <c r="CU673" s="113"/>
    </row>
    <row r="674">
      <c r="A674" s="159"/>
      <c r="B674" s="113"/>
      <c r="C674" s="113"/>
      <c r="D674" s="158"/>
      <c r="E674" s="161"/>
      <c r="F674" s="160"/>
      <c r="G674" s="162"/>
      <c r="H674" s="159"/>
      <c r="I674" s="113"/>
      <c r="J674" s="113"/>
      <c r="K674" s="113"/>
      <c r="L674" s="158"/>
      <c r="M674" s="113"/>
      <c r="N674" s="113"/>
      <c r="O674" s="113"/>
      <c r="P674" s="113"/>
      <c r="Q674" s="113"/>
      <c r="R674" s="113"/>
      <c r="S674" s="113"/>
      <c r="T674" s="113"/>
      <c r="U674" s="113"/>
      <c r="V674" s="113"/>
      <c r="W674" s="113"/>
      <c r="X674" s="113"/>
      <c r="Y674" s="113"/>
      <c r="Z674" s="113"/>
      <c r="AA674" s="113"/>
      <c r="AB674" s="113"/>
      <c r="AC674" s="113"/>
      <c r="AD674" s="113"/>
      <c r="AE674" s="113"/>
      <c r="AF674" s="113"/>
      <c r="AG674" s="113"/>
      <c r="AH674" s="113"/>
      <c r="AI674" s="113"/>
      <c r="AJ674" s="113"/>
      <c r="AK674" s="113"/>
      <c r="AL674" s="113"/>
      <c r="AM674" s="113"/>
      <c r="AN674" s="113"/>
      <c r="AO674" s="113"/>
      <c r="AP674" s="113"/>
      <c r="AQ674" s="113"/>
      <c r="AR674" s="113"/>
      <c r="AS674" s="113"/>
      <c r="AT674" s="113"/>
      <c r="AU674" s="113"/>
      <c r="AV674" s="113"/>
      <c r="AW674" s="113"/>
      <c r="AX674" s="113"/>
      <c r="AY674" s="113"/>
      <c r="AZ674" s="113"/>
      <c r="BA674" s="113"/>
      <c r="BB674" s="113"/>
      <c r="BC674" s="113"/>
      <c r="BD674" s="113"/>
      <c r="BE674" s="113"/>
      <c r="BF674" s="113"/>
      <c r="BG674" s="113"/>
      <c r="BH674" s="113"/>
      <c r="BI674" s="113"/>
      <c r="BJ674" s="113"/>
      <c r="BK674" s="113"/>
      <c r="BL674" s="113"/>
      <c r="BM674" s="113"/>
      <c r="BN674" s="113"/>
      <c r="BO674" s="113"/>
      <c r="BP674" s="113"/>
      <c r="BQ674" s="113"/>
      <c r="BR674" s="113"/>
      <c r="BS674" s="113"/>
      <c r="BT674" s="113"/>
      <c r="BU674" s="113"/>
      <c r="BV674" s="113"/>
      <c r="BW674" s="113"/>
      <c r="BX674" s="113"/>
      <c r="BY674" s="113"/>
      <c r="BZ674" s="113"/>
      <c r="CA674" s="113"/>
      <c r="CB674" s="113"/>
      <c r="CC674" s="113"/>
      <c r="CD674" s="113"/>
      <c r="CE674" s="113"/>
      <c r="CF674" s="113"/>
      <c r="CG674" s="113"/>
      <c r="CH674" s="113"/>
      <c r="CI674" s="113"/>
      <c r="CJ674" s="113"/>
      <c r="CK674" s="113"/>
      <c r="CL674" s="113"/>
      <c r="CM674" s="113"/>
      <c r="CN674" s="113"/>
      <c r="CO674" s="113"/>
      <c r="CP674" s="113"/>
      <c r="CQ674" s="113"/>
      <c r="CR674" s="113"/>
      <c r="CS674" s="113"/>
      <c r="CT674" s="113"/>
      <c r="CU674" s="113"/>
    </row>
    <row r="675">
      <c r="A675" s="159"/>
      <c r="B675" s="113"/>
      <c r="C675" s="113"/>
      <c r="D675" s="158"/>
      <c r="E675" s="161"/>
      <c r="F675" s="160"/>
      <c r="G675" s="162"/>
      <c r="H675" s="159"/>
      <c r="I675" s="113"/>
      <c r="J675" s="113"/>
      <c r="K675" s="113"/>
      <c r="L675" s="158"/>
      <c r="M675" s="113"/>
      <c r="N675" s="113"/>
      <c r="O675" s="113"/>
      <c r="P675" s="113"/>
      <c r="Q675" s="113"/>
      <c r="R675" s="113"/>
      <c r="S675" s="113"/>
      <c r="T675" s="113"/>
      <c r="U675" s="113"/>
      <c r="V675" s="113"/>
      <c r="W675" s="113"/>
      <c r="X675" s="113"/>
      <c r="Y675" s="113"/>
      <c r="Z675" s="113"/>
      <c r="AA675" s="113"/>
      <c r="AB675" s="113"/>
      <c r="AC675" s="113"/>
      <c r="AD675" s="113"/>
      <c r="AE675" s="113"/>
      <c r="AF675" s="113"/>
      <c r="AG675" s="113"/>
      <c r="AH675" s="113"/>
      <c r="AI675" s="113"/>
      <c r="AJ675" s="113"/>
      <c r="AK675" s="113"/>
      <c r="AL675" s="113"/>
      <c r="AM675" s="113"/>
      <c r="AN675" s="113"/>
      <c r="AO675" s="113"/>
      <c r="AP675" s="113"/>
      <c r="AQ675" s="113"/>
      <c r="AR675" s="113"/>
      <c r="AS675" s="113"/>
      <c r="AT675" s="113"/>
      <c r="AU675" s="113"/>
      <c r="AV675" s="113"/>
      <c r="AW675" s="113"/>
      <c r="AX675" s="113"/>
      <c r="AY675" s="113"/>
      <c r="AZ675" s="113"/>
      <c r="BA675" s="113"/>
      <c r="BB675" s="113"/>
      <c r="BC675" s="113"/>
      <c r="BD675" s="113"/>
      <c r="BE675" s="113"/>
      <c r="BF675" s="113"/>
      <c r="BG675" s="113"/>
      <c r="BH675" s="113"/>
      <c r="BI675" s="113"/>
      <c r="BJ675" s="113"/>
      <c r="BK675" s="113"/>
      <c r="BL675" s="113"/>
      <c r="BM675" s="113"/>
      <c r="BN675" s="113"/>
      <c r="BO675" s="113"/>
      <c r="BP675" s="113"/>
      <c r="BQ675" s="113"/>
      <c r="BR675" s="113"/>
      <c r="BS675" s="113"/>
      <c r="BT675" s="113"/>
      <c r="BU675" s="113"/>
      <c r="BV675" s="113"/>
      <c r="BW675" s="113"/>
      <c r="BX675" s="113"/>
      <c r="BY675" s="113"/>
      <c r="BZ675" s="113"/>
      <c r="CA675" s="113"/>
      <c r="CB675" s="113"/>
      <c r="CC675" s="113"/>
      <c r="CD675" s="113"/>
      <c r="CE675" s="113"/>
      <c r="CF675" s="113"/>
      <c r="CG675" s="113"/>
      <c r="CH675" s="113"/>
      <c r="CI675" s="113"/>
      <c r="CJ675" s="113"/>
      <c r="CK675" s="113"/>
      <c r="CL675" s="113"/>
      <c r="CM675" s="113"/>
      <c r="CN675" s="113"/>
      <c r="CO675" s="113"/>
      <c r="CP675" s="113"/>
      <c r="CQ675" s="113"/>
      <c r="CR675" s="113"/>
      <c r="CS675" s="113"/>
      <c r="CT675" s="113"/>
      <c r="CU675" s="113"/>
    </row>
    <row r="676">
      <c r="A676" s="159"/>
      <c r="B676" s="113"/>
      <c r="C676" s="113"/>
      <c r="D676" s="158"/>
      <c r="E676" s="161"/>
      <c r="F676" s="160"/>
      <c r="G676" s="162"/>
      <c r="H676" s="159"/>
      <c r="I676" s="113"/>
      <c r="J676" s="113"/>
      <c r="K676" s="113"/>
      <c r="L676" s="158"/>
      <c r="M676" s="113"/>
      <c r="N676" s="113"/>
      <c r="O676" s="113"/>
      <c r="P676" s="113"/>
      <c r="Q676" s="113"/>
      <c r="R676" s="113"/>
      <c r="S676" s="113"/>
      <c r="T676" s="113"/>
      <c r="U676" s="113"/>
      <c r="V676" s="113"/>
      <c r="W676" s="113"/>
      <c r="X676" s="113"/>
      <c r="Y676" s="113"/>
      <c r="Z676" s="113"/>
      <c r="AA676" s="113"/>
      <c r="AB676" s="113"/>
      <c r="AC676" s="113"/>
      <c r="AD676" s="113"/>
      <c r="AE676" s="113"/>
      <c r="AF676" s="113"/>
      <c r="AG676" s="113"/>
      <c r="AH676" s="113"/>
      <c r="AI676" s="113"/>
      <c r="AJ676" s="113"/>
      <c r="AK676" s="113"/>
      <c r="AL676" s="113"/>
      <c r="AM676" s="113"/>
      <c r="AN676" s="113"/>
      <c r="AO676" s="113"/>
      <c r="AP676" s="113"/>
      <c r="AQ676" s="113"/>
      <c r="AR676" s="113"/>
      <c r="AS676" s="113"/>
      <c r="AT676" s="113"/>
      <c r="AU676" s="113"/>
      <c r="AV676" s="113"/>
      <c r="AW676" s="113"/>
      <c r="AX676" s="113"/>
      <c r="AY676" s="113"/>
      <c r="AZ676" s="113"/>
      <c r="BA676" s="113"/>
      <c r="BB676" s="113"/>
      <c r="BC676" s="113"/>
      <c r="BD676" s="113"/>
      <c r="BE676" s="113"/>
      <c r="BF676" s="113"/>
      <c r="BG676" s="113"/>
      <c r="BH676" s="113"/>
      <c r="BI676" s="113"/>
      <c r="BJ676" s="113"/>
      <c r="BK676" s="113"/>
      <c r="BL676" s="113"/>
      <c r="BM676" s="113"/>
      <c r="BN676" s="113"/>
      <c r="BO676" s="113"/>
      <c r="BP676" s="113"/>
      <c r="BQ676" s="113"/>
      <c r="BR676" s="113"/>
      <c r="BS676" s="113"/>
      <c r="BT676" s="113"/>
      <c r="BU676" s="113"/>
      <c r="BV676" s="113"/>
      <c r="BW676" s="113"/>
      <c r="BX676" s="113"/>
      <c r="BY676" s="113"/>
      <c r="BZ676" s="113"/>
      <c r="CA676" s="113"/>
      <c r="CB676" s="113"/>
      <c r="CC676" s="113"/>
      <c r="CD676" s="113"/>
      <c r="CE676" s="113"/>
      <c r="CF676" s="113"/>
      <c r="CG676" s="113"/>
      <c r="CH676" s="113"/>
      <c r="CI676" s="113"/>
      <c r="CJ676" s="113"/>
      <c r="CK676" s="113"/>
      <c r="CL676" s="113"/>
      <c r="CM676" s="113"/>
      <c r="CN676" s="113"/>
      <c r="CO676" s="113"/>
      <c r="CP676" s="113"/>
      <c r="CQ676" s="113"/>
      <c r="CR676" s="113"/>
      <c r="CS676" s="113"/>
      <c r="CT676" s="113"/>
      <c r="CU676" s="113"/>
    </row>
    <row r="677">
      <c r="A677" s="159"/>
      <c r="B677" s="113"/>
      <c r="C677" s="113"/>
      <c r="D677" s="158"/>
      <c r="E677" s="161"/>
      <c r="F677" s="160"/>
      <c r="G677" s="162"/>
      <c r="H677" s="159"/>
      <c r="I677" s="113"/>
      <c r="J677" s="113"/>
      <c r="K677" s="113"/>
      <c r="L677" s="158"/>
      <c r="M677" s="113"/>
      <c r="N677" s="113"/>
      <c r="O677" s="113"/>
      <c r="P677" s="113"/>
      <c r="Q677" s="113"/>
      <c r="R677" s="113"/>
      <c r="S677" s="113"/>
      <c r="T677" s="113"/>
      <c r="U677" s="113"/>
      <c r="V677" s="113"/>
      <c r="W677" s="113"/>
      <c r="X677" s="113"/>
      <c r="Y677" s="113"/>
      <c r="Z677" s="113"/>
      <c r="AA677" s="113"/>
      <c r="AB677" s="113"/>
      <c r="AC677" s="113"/>
      <c r="AD677" s="113"/>
      <c r="AE677" s="113"/>
      <c r="AF677" s="113"/>
      <c r="AG677" s="113"/>
      <c r="AH677" s="113"/>
      <c r="AI677" s="113"/>
      <c r="AJ677" s="113"/>
      <c r="AK677" s="113"/>
      <c r="AL677" s="113"/>
      <c r="AM677" s="113"/>
      <c r="AN677" s="113"/>
      <c r="AO677" s="113"/>
      <c r="AP677" s="113"/>
      <c r="AQ677" s="113"/>
      <c r="AR677" s="113"/>
      <c r="AS677" s="113"/>
      <c r="AT677" s="113"/>
      <c r="AU677" s="113"/>
      <c r="AV677" s="113"/>
      <c r="AW677" s="113"/>
      <c r="AX677" s="113"/>
      <c r="AY677" s="113"/>
      <c r="AZ677" s="113"/>
      <c r="BA677" s="113"/>
      <c r="BB677" s="113"/>
      <c r="BC677" s="113"/>
      <c r="BD677" s="113"/>
      <c r="BE677" s="113"/>
      <c r="BF677" s="113"/>
      <c r="BG677" s="113"/>
      <c r="BH677" s="113"/>
      <c r="BI677" s="113"/>
      <c r="BJ677" s="113"/>
      <c r="BK677" s="113"/>
      <c r="BL677" s="113"/>
      <c r="BM677" s="113"/>
      <c r="BN677" s="113"/>
      <c r="BO677" s="113"/>
      <c r="BP677" s="113"/>
      <c r="BQ677" s="113"/>
      <c r="BR677" s="113"/>
      <c r="BS677" s="113"/>
      <c r="BT677" s="113"/>
      <c r="BU677" s="113"/>
      <c r="BV677" s="113"/>
      <c r="BW677" s="113"/>
      <c r="BX677" s="113"/>
      <c r="BY677" s="113"/>
      <c r="BZ677" s="113"/>
      <c r="CA677" s="113"/>
      <c r="CB677" s="113"/>
      <c r="CC677" s="113"/>
      <c r="CD677" s="113"/>
      <c r="CE677" s="113"/>
      <c r="CF677" s="113"/>
      <c r="CG677" s="113"/>
      <c r="CH677" s="113"/>
      <c r="CI677" s="113"/>
      <c r="CJ677" s="113"/>
      <c r="CK677" s="113"/>
      <c r="CL677" s="113"/>
      <c r="CM677" s="113"/>
      <c r="CN677" s="113"/>
      <c r="CO677" s="113"/>
      <c r="CP677" s="113"/>
      <c r="CQ677" s="113"/>
      <c r="CR677" s="113"/>
      <c r="CS677" s="113"/>
      <c r="CT677" s="113"/>
      <c r="CU677" s="113"/>
    </row>
    <row r="678">
      <c r="A678" s="159"/>
      <c r="B678" s="113"/>
      <c r="C678" s="113"/>
      <c r="D678" s="158"/>
      <c r="E678" s="161"/>
      <c r="F678" s="160"/>
      <c r="G678" s="162"/>
      <c r="H678" s="159"/>
      <c r="I678" s="113"/>
      <c r="J678" s="113"/>
      <c r="K678" s="113"/>
      <c r="L678" s="158"/>
      <c r="M678" s="113"/>
      <c r="N678" s="113"/>
      <c r="O678" s="113"/>
      <c r="P678" s="113"/>
      <c r="Q678" s="113"/>
      <c r="R678" s="113"/>
      <c r="S678" s="113"/>
      <c r="T678" s="113"/>
      <c r="U678" s="113"/>
      <c r="V678" s="113"/>
      <c r="W678" s="113"/>
      <c r="X678" s="113"/>
      <c r="Y678" s="113"/>
      <c r="Z678" s="113"/>
      <c r="AA678" s="113"/>
      <c r="AB678" s="113"/>
      <c r="AC678" s="113"/>
      <c r="AD678" s="113"/>
      <c r="AE678" s="113"/>
      <c r="AF678" s="113"/>
      <c r="AG678" s="113"/>
      <c r="AH678" s="113"/>
      <c r="AI678" s="113"/>
      <c r="AJ678" s="113"/>
      <c r="AK678" s="113"/>
      <c r="AL678" s="113"/>
      <c r="AM678" s="113"/>
      <c r="AN678" s="113"/>
      <c r="AO678" s="113"/>
      <c r="AP678" s="113"/>
      <c r="AQ678" s="113"/>
      <c r="AR678" s="113"/>
      <c r="AS678" s="113"/>
      <c r="AT678" s="113"/>
      <c r="AU678" s="113"/>
      <c r="AV678" s="113"/>
      <c r="AW678" s="113"/>
      <c r="AX678" s="113"/>
      <c r="AY678" s="113"/>
      <c r="AZ678" s="113"/>
      <c r="BA678" s="113"/>
      <c r="BB678" s="113"/>
      <c r="BC678" s="113"/>
      <c r="BD678" s="113"/>
      <c r="BE678" s="113"/>
      <c r="BF678" s="113"/>
      <c r="BG678" s="113"/>
      <c r="BH678" s="113"/>
      <c r="BI678" s="113"/>
      <c r="BJ678" s="113"/>
      <c r="BK678" s="113"/>
      <c r="BL678" s="113"/>
      <c r="BM678" s="113"/>
      <c r="BN678" s="113"/>
      <c r="BO678" s="113"/>
      <c r="BP678" s="113"/>
      <c r="BQ678" s="113"/>
      <c r="BR678" s="113"/>
      <c r="BS678" s="113"/>
      <c r="BT678" s="113"/>
      <c r="BU678" s="113"/>
      <c r="BV678" s="113"/>
      <c r="BW678" s="113"/>
      <c r="BX678" s="113"/>
      <c r="BY678" s="113"/>
      <c r="BZ678" s="113"/>
      <c r="CA678" s="113"/>
      <c r="CB678" s="113"/>
      <c r="CC678" s="113"/>
      <c r="CD678" s="113"/>
      <c r="CE678" s="113"/>
      <c r="CF678" s="113"/>
      <c r="CG678" s="113"/>
      <c r="CH678" s="113"/>
      <c r="CI678" s="113"/>
      <c r="CJ678" s="113"/>
      <c r="CK678" s="113"/>
      <c r="CL678" s="113"/>
      <c r="CM678" s="113"/>
      <c r="CN678" s="113"/>
      <c r="CO678" s="113"/>
      <c r="CP678" s="113"/>
      <c r="CQ678" s="113"/>
      <c r="CR678" s="113"/>
      <c r="CS678" s="113"/>
      <c r="CT678" s="113"/>
      <c r="CU678" s="113"/>
    </row>
    <row r="679">
      <c r="A679" s="159"/>
      <c r="B679" s="113"/>
      <c r="C679" s="113"/>
      <c r="D679" s="158"/>
      <c r="E679" s="161"/>
      <c r="F679" s="160"/>
      <c r="G679" s="162"/>
      <c r="H679" s="159"/>
      <c r="I679" s="113"/>
      <c r="J679" s="113"/>
      <c r="K679" s="113"/>
      <c r="L679" s="158"/>
      <c r="M679" s="113"/>
      <c r="N679" s="113"/>
      <c r="O679" s="113"/>
      <c r="P679" s="113"/>
      <c r="Q679" s="113"/>
      <c r="R679" s="113"/>
      <c r="S679" s="113"/>
      <c r="T679" s="113"/>
      <c r="U679" s="113"/>
      <c r="V679" s="113"/>
      <c r="W679" s="113"/>
      <c r="X679" s="113"/>
      <c r="Y679" s="113"/>
      <c r="Z679" s="113"/>
      <c r="AA679" s="113"/>
      <c r="AB679" s="113"/>
      <c r="AC679" s="113"/>
      <c r="AD679" s="113"/>
      <c r="AE679" s="113"/>
      <c r="AF679" s="113"/>
      <c r="AG679" s="113"/>
      <c r="AH679" s="113"/>
      <c r="AI679" s="113"/>
      <c r="AJ679" s="113"/>
      <c r="AK679" s="113"/>
      <c r="AL679" s="113"/>
      <c r="AM679" s="113"/>
      <c r="AN679" s="113"/>
      <c r="AO679" s="113"/>
      <c r="AP679" s="113"/>
      <c r="AQ679" s="113"/>
      <c r="AR679" s="113"/>
      <c r="AS679" s="113"/>
      <c r="AT679" s="113"/>
      <c r="AU679" s="113"/>
      <c r="AV679" s="113"/>
      <c r="AW679" s="113"/>
      <c r="AX679" s="113"/>
      <c r="AY679" s="113"/>
      <c r="AZ679" s="113"/>
      <c r="BA679" s="113"/>
      <c r="BB679" s="113"/>
      <c r="BC679" s="113"/>
      <c r="BD679" s="113"/>
      <c r="BE679" s="113"/>
      <c r="BF679" s="113"/>
      <c r="BG679" s="113"/>
      <c r="BH679" s="113"/>
      <c r="BI679" s="113"/>
      <c r="BJ679" s="113"/>
      <c r="BK679" s="113"/>
      <c r="BL679" s="113"/>
      <c r="BM679" s="113"/>
      <c r="BN679" s="113"/>
      <c r="BO679" s="113"/>
      <c r="BP679" s="113"/>
      <c r="BQ679" s="113"/>
      <c r="BR679" s="113"/>
      <c r="BS679" s="113"/>
      <c r="BT679" s="113"/>
      <c r="BU679" s="113"/>
      <c r="BV679" s="113"/>
      <c r="BW679" s="113"/>
      <c r="BX679" s="113"/>
      <c r="BY679" s="113"/>
      <c r="BZ679" s="113"/>
      <c r="CA679" s="113"/>
      <c r="CB679" s="113"/>
      <c r="CC679" s="113"/>
      <c r="CD679" s="113"/>
      <c r="CE679" s="113"/>
      <c r="CF679" s="113"/>
      <c r="CG679" s="113"/>
      <c r="CH679" s="113"/>
      <c r="CI679" s="113"/>
      <c r="CJ679" s="113"/>
      <c r="CK679" s="113"/>
      <c r="CL679" s="113"/>
      <c r="CM679" s="113"/>
      <c r="CN679" s="113"/>
      <c r="CO679" s="113"/>
      <c r="CP679" s="113"/>
      <c r="CQ679" s="113"/>
      <c r="CR679" s="113"/>
      <c r="CS679" s="113"/>
      <c r="CT679" s="113"/>
      <c r="CU679" s="113"/>
    </row>
    <row r="680">
      <c r="A680" s="159"/>
      <c r="B680" s="113"/>
      <c r="C680" s="113"/>
      <c r="D680" s="158"/>
      <c r="E680" s="161"/>
      <c r="F680" s="160"/>
      <c r="G680" s="162"/>
      <c r="H680" s="159"/>
      <c r="I680" s="113"/>
      <c r="J680" s="113"/>
      <c r="K680" s="113"/>
      <c r="L680" s="158"/>
      <c r="M680" s="113"/>
      <c r="N680" s="113"/>
      <c r="O680" s="113"/>
      <c r="P680" s="113"/>
      <c r="Q680" s="113"/>
      <c r="R680" s="113"/>
      <c r="S680" s="113"/>
      <c r="T680" s="113"/>
      <c r="U680" s="113"/>
      <c r="V680" s="113"/>
      <c r="W680" s="113"/>
      <c r="X680" s="113"/>
      <c r="Y680" s="113"/>
      <c r="Z680" s="113"/>
      <c r="AA680" s="113"/>
      <c r="AB680" s="113"/>
      <c r="AC680" s="113"/>
      <c r="AD680" s="113"/>
      <c r="AE680" s="113"/>
      <c r="AF680" s="113"/>
      <c r="AG680" s="113"/>
      <c r="AH680" s="113"/>
      <c r="AI680" s="113"/>
      <c r="AJ680" s="113"/>
      <c r="AK680" s="113"/>
      <c r="AL680" s="113"/>
      <c r="AM680" s="113"/>
      <c r="AN680" s="113"/>
      <c r="AO680" s="113"/>
      <c r="AP680" s="113"/>
      <c r="AQ680" s="113"/>
      <c r="AR680" s="113"/>
      <c r="AS680" s="113"/>
      <c r="AT680" s="113"/>
      <c r="AU680" s="113"/>
      <c r="AV680" s="113"/>
      <c r="AW680" s="113"/>
      <c r="AX680" s="113"/>
      <c r="AY680" s="113"/>
      <c r="AZ680" s="113"/>
      <c r="BA680" s="113"/>
      <c r="BB680" s="113"/>
      <c r="BC680" s="113"/>
      <c r="BD680" s="113"/>
      <c r="BE680" s="113"/>
      <c r="BF680" s="113"/>
      <c r="BG680" s="113"/>
      <c r="BH680" s="113"/>
      <c r="BI680" s="113"/>
      <c r="BJ680" s="113"/>
      <c r="BK680" s="113"/>
      <c r="BL680" s="113"/>
      <c r="BM680" s="113"/>
      <c r="BN680" s="113"/>
      <c r="BO680" s="113"/>
      <c r="BP680" s="113"/>
      <c r="BQ680" s="113"/>
      <c r="BR680" s="113"/>
      <c r="BS680" s="113"/>
      <c r="BT680" s="113"/>
      <c r="BU680" s="113"/>
      <c r="BV680" s="113"/>
      <c r="BW680" s="113"/>
      <c r="BX680" s="113"/>
      <c r="BY680" s="113"/>
      <c r="BZ680" s="113"/>
      <c r="CA680" s="113"/>
      <c r="CB680" s="113"/>
      <c r="CC680" s="113"/>
      <c r="CD680" s="113"/>
      <c r="CE680" s="113"/>
      <c r="CF680" s="113"/>
      <c r="CG680" s="113"/>
      <c r="CH680" s="113"/>
      <c r="CI680" s="113"/>
      <c r="CJ680" s="113"/>
      <c r="CK680" s="113"/>
      <c r="CL680" s="113"/>
      <c r="CM680" s="113"/>
      <c r="CN680" s="113"/>
      <c r="CO680" s="113"/>
      <c r="CP680" s="113"/>
      <c r="CQ680" s="113"/>
      <c r="CR680" s="113"/>
      <c r="CS680" s="113"/>
      <c r="CT680" s="113"/>
      <c r="CU680" s="113"/>
    </row>
    <row r="681">
      <c r="A681" s="159"/>
      <c r="B681" s="113"/>
      <c r="C681" s="113"/>
      <c r="D681" s="158"/>
      <c r="E681" s="161"/>
      <c r="F681" s="160"/>
      <c r="G681" s="162"/>
      <c r="H681" s="159"/>
      <c r="I681" s="113"/>
      <c r="J681" s="113"/>
      <c r="K681" s="113"/>
      <c r="L681" s="158"/>
      <c r="M681" s="113"/>
      <c r="N681" s="113"/>
      <c r="O681" s="113"/>
      <c r="P681" s="113"/>
      <c r="Q681" s="113"/>
      <c r="R681" s="113"/>
      <c r="S681" s="113"/>
      <c r="T681" s="113"/>
      <c r="U681" s="113"/>
      <c r="V681" s="113"/>
      <c r="W681" s="113"/>
      <c r="X681" s="113"/>
      <c r="Y681" s="113"/>
      <c r="Z681" s="113"/>
      <c r="AA681" s="113"/>
      <c r="AB681" s="113"/>
      <c r="AC681" s="113"/>
      <c r="AD681" s="113"/>
      <c r="AE681" s="113"/>
      <c r="AF681" s="113"/>
      <c r="AG681" s="113"/>
      <c r="AH681" s="113"/>
      <c r="AI681" s="113"/>
      <c r="AJ681" s="113"/>
      <c r="AK681" s="113"/>
      <c r="AL681" s="113"/>
      <c r="AM681" s="113"/>
      <c r="AN681" s="113"/>
      <c r="AO681" s="113"/>
      <c r="AP681" s="113"/>
      <c r="AQ681" s="113"/>
      <c r="AR681" s="113"/>
      <c r="AS681" s="113"/>
      <c r="AT681" s="113"/>
      <c r="AU681" s="113"/>
      <c r="AV681" s="113"/>
      <c r="AW681" s="113"/>
      <c r="AX681" s="113"/>
      <c r="AY681" s="113"/>
      <c r="AZ681" s="113"/>
      <c r="BA681" s="113"/>
      <c r="BB681" s="113"/>
      <c r="BC681" s="113"/>
      <c r="BD681" s="113"/>
      <c r="BE681" s="113"/>
      <c r="BF681" s="113"/>
      <c r="BG681" s="113"/>
      <c r="BH681" s="113"/>
      <c r="BI681" s="113"/>
      <c r="BJ681" s="113"/>
      <c r="BK681" s="113"/>
      <c r="BL681" s="113"/>
      <c r="BM681" s="113"/>
      <c r="BN681" s="113"/>
      <c r="BO681" s="113"/>
      <c r="BP681" s="113"/>
      <c r="BQ681" s="113"/>
      <c r="BR681" s="113"/>
      <c r="BS681" s="113"/>
      <c r="BT681" s="113"/>
      <c r="BU681" s="113"/>
      <c r="BV681" s="113"/>
      <c r="BW681" s="113"/>
      <c r="BX681" s="113"/>
      <c r="BY681" s="113"/>
      <c r="BZ681" s="113"/>
      <c r="CA681" s="113"/>
      <c r="CB681" s="113"/>
      <c r="CC681" s="113"/>
      <c r="CD681" s="113"/>
      <c r="CE681" s="113"/>
      <c r="CF681" s="113"/>
      <c r="CG681" s="113"/>
      <c r="CH681" s="113"/>
      <c r="CI681" s="113"/>
      <c r="CJ681" s="113"/>
      <c r="CK681" s="113"/>
      <c r="CL681" s="113"/>
      <c r="CM681" s="113"/>
      <c r="CN681" s="113"/>
      <c r="CO681" s="113"/>
      <c r="CP681" s="113"/>
      <c r="CQ681" s="113"/>
      <c r="CR681" s="113"/>
      <c r="CS681" s="113"/>
      <c r="CT681" s="113"/>
      <c r="CU681" s="113"/>
    </row>
    <row r="682">
      <c r="A682" s="159"/>
      <c r="B682" s="113"/>
      <c r="C682" s="113"/>
      <c r="D682" s="158"/>
      <c r="E682" s="161"/>
      <c r="F682" s="160"/>
      <c r="G682" s="162"/>
      <c r="H682" s="159"/>
      <c r="I682" s="113"/>
      <c r="J682" s="113"/>
      <c r="K682" s="113"/>
      <c r="L682" s="158"/>
      <c r="M682" s="113"/>
      <c r="N682" s="113"/>
      <c r="O682" s="113"/>
      <c r="P682" s="113"/>
      <c r="Q682" s="113"/>
      <c r="R682" s="113"/>
      <c r="S682" s="113"/>
      <c r="T682" s="113"/>
      <c r="U682" s="113"/>
      <c r="V682" s="113"/>
      <c r="W682" s="113"/>
      <c r="X682" s="113"/>
      <c r="Y682" s="113"/>
      <c r="Z682" s="113"/>
      <c r="AA682" s="113"/>
      <c r="AB682" s="113"/>
      <c r="AC682" s="113"/>
      <c r="AD682" s="113"/>
      <c r="AE682" s="113"/>
      <c r="AF682" s="113"/>
      <c r="AG682" s="113"/>
      <c r="AH682" s="113"/>
      <c r="AI682" s="113"/>
      <c r="AJ682" s="113"/>
      <c r="AK682" s="113"/>
      <c r="AL682" s="113"/>
      <c r="AM682" s="113"/>
      <c r="AN682" s="113"/>
      <c r="AO682" s="113"/>
      <c r="AP682" s="113"/>
      <c r="AQ682" s="113"/>
      <c r="AR682" s="113"/>
      <c r="AS682" s="113"/>
      <c r="AT682" s="113"/>
      <c r="AU682" s="113"/>
      <c r="AV682" s="113"/>
      <c r="AW682" s="113"/>
      <c r="AX682" s="113"/>
      <c r="AY682" s="113"/>
      <c r="AZ682" s="113"/>
      <c r="BA682" s="113"/>
      <c r="BB682" s="113"/>
      <c r="BC682" s="113"/>
      <c r="BD682" s="113"/>
      <c r="BE682" s="113"/>
      <c r="BF682" s="113"/>
      <c r="BG682" s="113"/>
      <c r="BH682" s="113"/>
      <c r="BI682" s="113"/>
      <c r="BJ682" s="113"/>
      <c r="BK682" s="113"/>
      <c r="BL682" s="113"/>
      <c r="BM682" s="113"/>
      <c r="BN682" s="113"/>
      <c r="BO682" s="113"/>
      <c r="BP682" s="113"/>
      <c r="BQ682" s="113"/>
      <c r="BR682" s="113"/>
      <c r="BS682" s="113"/>
      <c r="BT682" s="113"/>
      <c r="BU682" s="113"/>
      <c r="BV682" s="113"/>
      <c r="BW682" s="113"/>
      <c r="BX682" s="113"/>
      <c r="BY682" s="113"/>
      <c r="BZ682" s="113"/>
      <c r="CA682" s="113"/>
      <c r="CB682" s="113"/>
      <c r="CC682" s="113"/>
      <c r="CD682" s="113"/>
      <c r="CE682" s="113"/>
      <c r="CF682" s="113"/>
      <c r="CG682" s="113"/>
      <c r="CH682" s="113"/>
      <c r="CI682" s="113"/>
      <c r="CJ682" s="113"/>
      <c r="CK682" s="113"/>
      <c r="CL682" s="113"/>
      <c r="CM682" s="113"/>
      <c r="CN682" s="113"/>
      <c r="CO682" s="113"/>
      <c r="CP682" s="113"/>
      <c r="CQ682" s="113"/>
      <c r="CR682" s="113"/>
      <c r="CS682" s="113"/>
      <c r="CT682" s="113"/>
      <c r="CU682" s="113"/>
    </row>
    <row r="683">
      <c r="A683" s="159"/>
      <c r="B683" s="113"/>
      <c r="C683" s="113"/>
      <c r="D683" s="158"/>
      <c r="E683" s="161"/>
      <c r="F683" s="160"/>
      <c r="G683" s="162"/>
      <c r="H683" s="159"/>
      <c r="I683" s="113"/>
      <c r="J683" s="113"/>
      <c r="K683" s="113"/>
      <c r="L683" s="158"/>
      <c r="M683" s="113"/>
      <c r="N683" s="113"/>
      <c r="O683" s="113"/>
      <c r="P683" s="113"/>
      <c r="Q683" s="113"/>
      <c r="R683" s="113"/>
      <c r="S683" s="113"/>
      <c r="T683" s="113"/>
      <c r="U683" s="113"/>
      <c r="V683" s="113"/>
      <c r="W683" s="113"/>
      <c r="X683" s="113"/>
      <c r="Y683" s="113"/>
      <c r="Z683" s="113"/>
      <c r="AA683" s="113"/>
      <c r="AB683" s="113"/>
      <c r="AC683" s="113"/>
      <c r="AD683" s="113"/>
      <c r="AE683" s="113"/>
      <c r="AF683" s="113"/>
      <c r="AG683" s="113"/>
      <c r="AH683" s="113"/>
      <c r="AI683" s="113"/>
      <c r="AJ683" s="113"/>
      <c r="AK683" s="113"/>
      <c r="AL683" s="113"/>
      <c r="AM683" s="113"/>
      <c r="AN683" s="113"/>
      <c r="AO683" s="113"/>
      <c r="AP683" s="113"/>
      <c r="AQ683" s="113"/>
      <c r="AR683" s="113"/>
      <c r="AS683" s="113"/>
      <c r="AT683" s="113"/>
      <c r="AU683" s="113"/>
      <c r="AV683" s="113"/>
      <c r="AW683" s="113"/>
      <c r="AX683" s="113"/>
      <c r="AY683" s="113"/>
      <c r="AZ683" s="113"/>
      <c r="BA683" s="113"/>
      <c r="BB683" s="113"/>
      <c r="BC683" s="113"/>
      <c r="BD683" s="113"/>
      <c r="BE683" s="113"/>
      <c r="BF683" s="113"/>
      <c r="BG683" s="113"/>
      <c r="BH683" s="113"/>
      <c r="BI683" s="113"/>
      <c r="BJ683" s="113"/>
      <c r="BK683" s="113"/>
      <c r="BL683" s="113"/>
      <c r="BM683" s="113"/>
      <c r="BN683" s="113"/>
      <c r="BO683" s="113"/>
      <c r="BP683" s="113"/>
      <c r="BQ683" s="113"/>
      <c r="BR683" s="113"/>
      <c r="BS683" s="113"/>
      <c r="BT683" s="113"/>
      <c r="BU683" s="113"/>
      <c r="BV683" s="113"/>
      <c r="BW683" s="113"/>
      <c r="BX683" s="113"/>
      <c r="BY683" s="113"/>
      <c r="BZ683" s="113"/>
      <c r="CA683" s="113"/>
      <c r="CB683" s="113"/>
      <c r="CC683" s="113"/>
      <c r="CD683" s="113"/>
      <c r="CE683" s="113"/>
      <c r="CF683" s="113"/>
      <c r="CG683" s="113"/>
      <c r="CH683" s="113"/>
      <c r="CI683" s="113"/>
      <c r="CJ683" s="113"/>
      <c r="CK683" s="113"/>
      <c r="CL683" s="113"/>
      <c r="CM683" s="113"/>
      <c r="CN683" s="113"/>
      <c r="CO683" s="113"/>
      <c r="CP683" s="113"/>
      <c r="CQ683" s="113"/>
      <c r="CR683" s="113"/>
      <c r="CS683" s="113"/>
      <c r="CT683" s="113"/>
      <c r="CU683" s="113"/>
    </row>
    <row r="684">
      <c r="A684" s="159"/>
      <c r="B684" s="113"/>
      <c r="C684" s="113"/>
      <c r="D684" s="158"/>
      <c r="E684" s="161"/>
      <c r="F684" s="160"/>
      <c r="G684" s="162"/>
      <c r="H684" s="159"/>
      <c r="I684" s="113"/>
      <c r="J684" s="113"/>
      <c r="K684" s="113"/>
      <c r="L684" s="158"/>
      <c r="M684" s="113"/>
      <c r="N684" s="113"/>
      <c r="O684" s="113"/>
      <c r="P684" s="113"/>
      <c r="Q684" s="113"/>
      <c r="R684" s="113"/>
      <c r="S684" s="113"/>
      <c r="T684" s="113"/>
      <c r="U684" s="113"/>
      <c r="V684" s="113"/>
      <c r="W684" s="113"/>
      <c r="X684" s="113"/>
      <c r="Y684" s="113"/>
      <c r="Z684" s="113"/>
      <c r="AA684" s="113"/>
      <c r="AB684" s="113"/>
      <c r="AC684" s="113"/>
      <c r="AD684" s="113"/>
      <c r="AE684" s="113"/>
      <c r="AF684" s="113"/>
      <c r="AG684" s="113"/>
      <c r="AH684" s="113"/>
      <c r="AI684" s="113"/>
      <c r="AJ684" s="113"/>
      <c r="AK684" s="113"/>
      <c r="AL684" s="113"/>
      <c r="AM684" s="113"/>
      <c r="AN684" s="113"/>
      <c r="AO684" s="113"/>
      <c r="AP684" s="113"/>
      <c r="AQ684" s="113"/>
      <c r="AR684" s="113"/>
      <c r="AS684" s="113"/>
      <c r="AT684" s="113"/>
      <c r="AU684" s="113"/>
      <c r="AV684" s="113"/>
      <c r="AW684" s="113"/>
      <c r="AX684" s="113"/>
      <c r="AY684" s="113"/>
      <c r="AZ684" s="113"/>
      <c r="BA684" s="113"/>
      <c r="BB684" s="113"/>
      <c r="BC684" s="113"/>
      <c r="BD684" s="113"/>
      <c r="BE684" s="113"/>
      <c r="BF684" s="113"/>
      <c r="BG684" s="113"/>
      <c r="BH684" s="113"/>
      <c r="BI684" s="113"/>
      <c r="BJ684" s="113"/>
      <c r="BK684" s="113"/>
      <c r="BL684" s="113"/>
      <c r="BM684" s="113"/>
      <c r="BN684" s="113"/>
      <c r="BO684" s="113"/>
      <c r="BP684" s="113"/>
      <c r="BQ684" s="113"/>
      <c r="BR684" s="113"/>
      <c r="BS684" s="113"/>
      <c r="BT684" s="113"/>
      <c r="BU684" s="113"/>
      <c r="BV684" s="113"/>
      <c r="BW684" s="113"/>
      <c r="BX684" s="113"/>
      <c r="BY684" s="113"/>
      <c r="BZ684" s="113"/>
      <c r="CA684" s="113"/>
      <c r="CB684" s="113"/>
      <c r="CC684" s="113"/>
      <c r="CD684" s="113"/>
      <c r="CE684" s="113"/>
      <c r="CF684" s="113"/>
      <c r="CG684" s="113"/>
      <c r="CH684" s="113"/>
      <c r="CI684" s="113"/>
      <c r="CJ684" s="113"/>
      <c r="CK684" s="113"/>
      <c r="CL684" s="113"/>
      <c r="CM684" s="113"/>
      <c r="CN684" s="113"/>
      <c r="CO684" s="113"/>
      <c r="CP684" s="113"/>
      <c r="CQ684" s="113"/>
      <c r="CR684" s="113"/>
      <c r="CS684" s="113"/>
      <c r="CT684" s="113"/>
      <c r="CU684" s="113"/>
    </row>
    <row r="685">
      <c r="A685" s="159"/>
      <c r="B685" s="113"/>
      <c r="C685" s="113"/>
      <c r="D685" s="158"/>
      <c r="E685" s="161"/>
      <c r="F685" s="160"/>
      <c r="G685" s="162"/>
      <c r="H685" s="159"/>
      <c r="I685" s="113"/>
      <c r="J685" s="113"/>
      <c r="K685" s="113"/>
      <c r="L685" s="158"/>
      <c r="M685" s="113"/>
      <c r="N685" s="113"/>
      <c r="O685" s="113"/>
      <c r="P685" s="113"/>
      <c r="Q685" s="113"/>
      <c r="R685" s="113"/>
      <c r="S685" s="113"/>
      <c r="T685" s="113"/>
      <c r="U685" s="113"/>
      <c r="V685" s="113"/>
      <c r="W685" s="113"/>
      <c r="X685" s="113"/>
      <c r="Y685" s="113"/>
      <c r="Z685" s="113"/>
      <c r="AA685" s="113"/>
      <c r="AB685" s="113"/>
      <c r="AC685" s="113"/>
      <c r="AD685" s="113"/>
      <c r="AE685" s="113"/>
      <c r="AF685" s="113"/>
      <c r="AG685" s="113"/>
      <c r="AH685" s="113"/>
      <c r="AI685" s="113"/>
      <c r="AJ685" s="113"/>
      <c r="AK685" s="113"/>
      <c r="AL685" s="113"/>
      <c r="AM685" s="113"/>
      <c r="AN685" s="113"/>
      <c r="AO685" s="113"/>
      <c r="AP685" s="113"/>
      <c r="AQ685" s="113"/>
      <c r="AR685" s="113"/>
      <c r="AS685" s="113"/>
      <c r="AT685" s="113"/>
      <c r="AU685" s="113"/>
      <c r="AV685" s="113"/>
      <c r="AW685" s="113"/>
      <c r="AX685" s="113"/>
      <c r="AY685" s="113"/>
      <c r="AZ685" s="113"/>
      <c r="BA685" s="113"/>
      <c r="BB685" s="113"/>
      <c r="BC685" s="113"/>
      <c r="BD685" s="113"/>
      <c r="BE685" s="113"/>
      <c r="BF685" s="113"/>
      <c r="BG685" s="113"/>
      <c r="BH685" s="113"/>
      <c r="BI685" s="113"/>
      <c r="BJ685" s="113"/>
      <c r="BK685" s="113"/>
      <c r="BL685" s="113"/>
      <c r="BM685" s="113"/>
      <c r="BN685" s="113"/>
      <c r="BO685" s="113"/>
      <c r="BP685" s="113"/>
      <c r="BQ685" s="113"/>
      <c r="BR685" s="113"/>
      <c r="BS685" s="113"/>
      <c r="BT685" s="113"/>
      <c r="BU685" s="113"/>
      <c r="BV685" s="113"/>
      <c r="BW685" s="113"/>
      <c r="BX685" s="113"/>
      <c r="BY685" s="113"/>
      <c r="BZ685" s="113"/>
      <c r="CA685" s="113"/>
      <c r="CB685" s="113"/>
      <c r="CC685" s="113"/>
      <c r="CD685" s="113"/>
      <c r="CE685" s="113"/>
      <c r="CF685" s="113"/>
      <c r="CG685" s="113"/>
      <c r="CH685" s="113"/>
      <c r="CI685" s="113"/>
      <c r="CJ685" s="113"/>
      <c r="CK685" s="113"/>
      <c r="CL685" s="113"/>
      <c r="CM685" s="113"/>
      <c r="CN685" s="113"/>
      <c r="CO685" s="113"/>
      <c r="CP685" s="113"/>
      <c r="CQ685" s="113"/>
      <c r="CR685" s="113"/>
      <c r="CS685" s="113"/>
      <c r="CT685" s="113"/>
      <c r="CU685" s="113"/>
    </row>
    <row r="686">
      <c r="A686" s="159"/>
      <c r="B686" s="113"/>
      <c r="C686" s="113"/>
      <c r="D686" s="158"/>
      <c r="E686" s="161"/>
      <c r="F686" s="160"/>
      <c r="G686" s="162"/>
      <c r="H686" s="159"/>
      <c r="I686" s="113"/>
      <c r="J686" s="113"/>
      <c r="K686" s="113"/>
      <c r="L686" s="158"/>
      <c r="M686" s="113"/>
      <c r="N686" s="113"/>
      <c r="O686" s="113"/>
      <c r="P686" s="113"/>
      <c r="Q686" s="113"/>
      <c r="R686" s="113"/>
      <c r="S686" s="113"/>
      <c r="T686" s="113"/>
      <c r="U686" s="113"/>
      <c r="V686" s="113"/>
      <c r="W686" s="113"/>
      <c r="X686" s="113"/>
      <c r="Y686" s="113"/>
      <c r="Z686" s="113"/>
      <c r="AA686" s="113"/>
      <c r="AB686" s="113"/>
      <c r="AC686" s="113"/>
      <c r="AD686" s="113"/>
      <c r="AE686" s="113"/>
      <c r="AF686" s="113"/>
      <c r="AG686" s="113"/>
      <c r="AH686" s="113"/>
      <c r="AI686" s="113"/>
      <c r="AJ686" s="113"/>
      <c r="AK686" s="113"/>
      <c r="AL686" s="113"/>
      <c r="AM686" s="113"/>
      <c r="AN686" s="113"/>
      <c r="AO686" s="113"/>
      <c r="AP686" s="113"/>
      <c r="AQ686" s="113"/>
      <c r="AR686" s="113"/>
      <c r="AS686" s="113"/>
      <c r="AT686" s="113"/>
      <c r="AU686" s="113"/>
      <c r="AV686" s="113"/>
      <c r="AW686" s="113"/>
      <c r="AX686" s="113"/>
      <c r="AY686" s="113"/>
      <c r="AZ686" s="113"/>
      <c r="BA686" s="113"/>
      <c r="BB686" s="113"/>
      <c r="BC686" s="113"/>
      <c r="BD686" s="113"/>
      <c r="BE686" s="113"/>
      <c r="BF686" s="113"/>
      <c r="BG686" s="113"/>
      <c r="BH686" s="113"/>
      <c r="BI686" s="113"/>
      <c r="BJ686" s="113"/>
      <c r="BK686" s="113"/>
      <c r="BL686" s="113"/>
      <c r="BM686" s="113"/>
      <c r="BN686" s="113"/>
      <c r="BO686" s="113"/>
      <c r="BP686" s="113"/>
      <c r="BQ686" s="113"/>
      <c r="BR686" s="113"/>
      <c r="BS686" s="113"/>
      <c r="BT686" s="113"/>
      <c r="BU686" s="113"/>
      <c r="BV686" s="113"/>
      <c r="BW686" s="113"/>
      <c r="BX686" s="113"/>
      <c r="BY686" s="113"/>
      <c r="BZ686" s="113"/>
      <c r="CA686" s="113"/>
      <c r="CB686" s="113"/>
      <c r="CC686" s="113"/>
      <c r="CD686" s="113"/>
      <c r="CE686" s="113"/>
      <c r="CF686" s="113"/>
      <c r="CG686" s="113"/>
      <c r="CH686" s="113"/>
      <c r="CI686" s="113"/>
      <c r="CJ686" s="113"/>
      <c r="CK686" s="113"/>
      <c r="CL686" s="113"/>
      <c r="CM686" s="113"/>
      <c r="CN686" s="113"/>
      <c r="CO686" s="113"/>
      <c r="CP686" s="113"/>
      <c r="CQ686" s="113"/>
      <c r="CR686" s="113"/>
      <c r="CS686" s="113"/>
      <c r="CT686" s="113"/>
      <c r="CU686" s="113"/>
    </row>
    <row r="687">
      <c r="A687" s="159"/>
      <c r="B687" s="113"/>
      <c r="C687" s="113"/>
      <c r="D687" s="158"/>
      <c r="E687" s="161"/>
      <c r="F687" s="160"/>
      <c r="G687" s="162"/>
      <c r="H687" s="159"/>
      <c r="I687" s="113"/>
      <c r="J687" s="113"/>
      <c r="K687" s="113"/>
      <c r="L687" s="158"/>
      <c r="M687" s="113"/>
      <c r="N687" s="113"/>
      <c r="O687" s="113"/>
      <c r="P687" s="113"/>
      <c r="Q687" s="113"/>
      <c r="R687" s="113"/>
      <c r="S687" s="113"/>
      <c r="T687" s="113"/>
      <c r="U687" s="113"/>
      <c r="V687" s="113"/>
      <c r="W687" s="113"/>
      <c r="X687" s="113"/>
      <c r="Y687" s="113"/>
      <c r="Z687" s="113"/>
      <c r="AA687" s="113"/>
      <c r="AB687" s="113"/>
      <c r="AC687" s="113"/>
      <c r="AD687" s="113"/>
      <c r="AE687" s="113"/>
      <c r="AF687" s="113"/>
      <c r="AG687" s="113"/>
      <c r="AH687" s="113"/>
      <c r="AI687" s="113"/>
      <c r="AJ687" s="113"/>
      <c r="AK687" s="113"/>
      <c r="AL687" s="113"/>
      <c r="AM687" s="113"/>
      <c r="AN687" s="113"/>
      <c r="AO687" s="113"/>
      <c r="AP687" s="113"/>
      <c r="AQ687" s="113"/>
      <c r="AR687" s="113"/>
      <c r="AS687" s="113"/>
      <c r="AT687" s="113"/>
      <c r="AU687" s="113"/>
      <c r="AV687" s="113"/>
      <c r="AW687" s="113"/>
      <c r="AX687" s="113"/>
      <c r="AY687" s="113"/>
      <c r="AZ687" s="113"/>
      <c r="BA687" s="113"/>
      <c r="BB687" s="113"/>
      <c r="BC687" s="113"/>
      <c r="BD687" s="113"/>
      <c r="BE687" s="113"/>
      <c r="BF687" s="113"/>
      <c r="BG687" s="113"/>
      <c r="BH687" s="113"/>
      <c r="BI687" s="113"/>
      <c r="BJ687" s="113"/>
      <c r="BK687" s="113"/>
      <c r="BL687" s="113"/>
      <c r="BM687" s="113"/>
      <c r="BN687" s="113"/>
      <c r="BO687" s="113"/>
      <c r="BP687" s="113"/>
      <c r="BQ687" s="113"/>
      <c r="BR687" s="113"/>
      <c r="BS687" s="113"/>
      <c r="BT687" s="113"/>
      <c r="BU687" s="113"/>
      <c r="BV687" s="113"/>
      <c r="BW687" s="113"/>
      <c r="BX687" s="113"/>
      <c r="BY687" s="113"/>
      <c r="BZ687" s="113"/>
      <c r="CA687" s="113"/>
      <c r="CB687" s="113"/>
      <c r="CC687" s="113"/>
      <c r="CD687" s="113"/>
      <c r="CE687" s="113"/>
      <c r="CF687" s="113"/>
      <c r="CG687" s="113"/>
      <c r="CH687" s="113"/>
      <c r="CI687" s="113"/>
      <c r="CJ687" s="113"/>
      <c r="CK687" s="113"/>
      <c r="CL687" s="113"/>
      <c r="CM687" s="113"/>
      <c r="CN687" s="113"/>
      <c r="CO687" s="113"/>
      <c r="CP687" s="113"/>
      <c r="CQ687" s="113"/>
      <c r="CR687" s="113"/>
      <c r="CS687" s="113"/>
      <c r="CT687" s="113"/>
      <c r="CU687" s="113"/>
    </row>
    <row r="688">
      <c r="A688" s="159"/>
      <c r="B688" s="113"/>
      <c r="C688" s="113"/>
      <c r="D688" s="158"/>
      <c r="E688" s="161"/>
      <c r="F688" s="160"/>
      <c r="G688" s="162"/>
      <c r="H688" s="159"/>
      <c r="I688" s="113"/>
      <c r="J688" s="113"/>
      <c r="K688" s="113"/>
      <c r="L688" s="158"/>
      <c r="M688" s="113"/>
      <c r="N688" s="113"/>
      <c r="O688" s="113"/>
      <c r="P688" s="113"/>
      <c r="Q688" s="113"/>
      <c r="R688" s="113"/>
      <c r="S688" s="113"/>
      <c r="T688" s="113"/>
      <c r="U688" s="113"/>
      <c r="V688" s="113"/>
      <c r="W688" s="113"/>
      <c r="X688" s="113"/>
      <c r="Y688" s="113"/>
      <c r="Z688" s="113"/>
      <c r="AA688" s="113"/>
      <c r="AB688" s="113"/>
      <c r="AC688" s="113"/>
      <c r="AD688" s="113"/>
      <c r="AE688" s="113"/>
      <c r="AF688" s="113"/>
      <c r="AG688" s="113"/>
      <c r="AH688" s="113"/>
      <c r="AI688" s="113"/>
      <c r="AJ688" s="113"/>
      <c r="AK688" s="113"/>
      <c r="AL688" s="113"/>
      <c r="AM688" s="113"/>
      <c r="AN688" s="113"/>
      <c r="AO688" s="113"/>
      <c r="AP688" s="113"/>
      <c r="AQ688" s="113"/>
      <c r="AR688" s="113"/>
      <c r="AS688" s="113"/>
      <c r="AT688" s="113"/>
      <c r="AU688" s="113"/>
      <c r="AV688" s="113"/>
      <c r="AW688" s="113"/>
      <c r="AX688" s="113"/>
      <c r="AY688" s="113"/>
      <c r="AZ688" s="113"/>
      <c r="BA688" s="113"/>
      <c r="BB688" s="113"/>
      <c r="BC688" s="113"/>
      <c r="BD688" s="113"/>
      <c r="BE688" s="113"/>
      <c r="BF688" s="113"/>
      <c r="BG688" s="113"/>
      <c r="BH688" s="113"/>
      <c r="BI688" s="113"/>
      <c r="BJ688" s="113"/>
      <c r="BK688" s="113"/>
      <c r="BL688" s="113"/>
      <c r="BM688" s="113"/>
      <c r="BN688" s="113"/>
      <c r="BO688" s="113"/>
      <c r="BP688" s="113"/>
      <c r="BQ688" s="113"/>
      <c r="BR688" s="113"/>
      <c r="BS688" s="113"/>
      <c r="BT688" s="113"/>
      <c r="BU688" s="113"/>
      <c r="BV688" s="113"/>
      <c r="BW688" s="113"/>
      <c r="BX688" s="113"/>
      <c r="BY688" s="113"/>
      <c r="BZ688" s="113"/>
      <c r="CA688" s="113"/>
      <c r="CB688" s="113"/>
      <c r="CC688" s="113"/>
      <c r="CD688" s="113"/>
      <c r="CE688" s="113"/>
      <c r="CF688" s="113"/>
      <c r="CG688" s="113"/>
      <c r="CH688" s="113"/>
      <c r="CI688" s="113"/>
      <c r="CJ688" s="113"/>
      <c r="CK688" s="113"/>
      <c r="CL688" s="113"/>
      <c r="CM688" s="113"/>
      <c r="CN688" s="113"/>
      <c r="CO688" s="113"/>
      <c r="CP688" s="113"/>
      <c r="CQ688" s="113"/>
      <c r="CR688" s="113"/>
      <c r="CS688" s="113"/>
      <c r="CT688" s="113"/>
      <c r="CU688" s="113"/>
    </row>
    <row r="689">
      <c r="A689" s="159"/>
      <c r="B689" s="113"/>
      <c r="C689" s="113"/>
      <c r="D689" s="158"/>
      <c r="E689" s="161"/>
      <c r="F689" s="160"/>
      <c r="G689" s="162"/>
      <c r="H689" s="159"/>
      <c r="I689" s="113"/>
      <c r="J689" s="113"/>
      <c r="K689" s="113"/>
      <c r="L689" s="158"/>
      <c r="M689" s="113"/>
      <c r="N689" s="113"/>
      <c r="O689" s="113"/>
      <c r="P689" s="113"/>
      <c r="Q689" s="113"/>
      <c r="R689" s="113"/>
      <c r="S689" s="113"/>
      <c r="T689" s="113"/>
      <c r="U689" s="113"/>
      <c r="V689" s="113"/>
      <c r="W689" s="113"/>
      <c r="X689" s="113"/>
      <c r="Y689" s="113"/>
      <c r="Z689" s="113"/>
      <c r="AA689" s="113"/>
      <c r="AB689" s="113"/>
      <c r="AC689" s="113"/>
      <c r="AD689" s="113"/>
      <c r="AE689" s="113"/>
      <c r="AF689" s="113"/>
      <c r="AG689" s="113"/>
      <c r="AH689" s="113"/>
      <c r="AI689" s="113"/>
      <c r="AJ689" s="113"/>
      <c r="AK689" s="113"/>
      <c r="AL689" s="113"/>
      <c r="AM689" s="113"/>
      <c r="AN689" s="113"/>
      <c r="AO689" s="113"/>
      <c r="AP689" s="113"/>
      <c r="AQ689" s="113"/>
      <c r="AR689" s="113"/>
      <c r="AS689" s="113"/>
      <c r="AT689" s="113"/>
      <c r="AU689" s="113"/>
      <c r="AV689" s="113"/>
      <c r="AW689" s="113"/>
      <c r="AX689" s="113"/>
      <c r="AY689" s="113"/>
      <c r="AZ689" s="113"/>
      <c r="BA689" s="113"/>
      <c r="BB689" s="113"/>
      <c r="BC689" s="113"/>
      <c r="BD689" s="113"/>
      <c r="BE689" s="113"/>
      <c r="BF689" s="113"/>
      <c r="BG689" s="113"/>
      <c r="BH689" s="113"/>
      <c r="BI689" s="113"/>
      <c r="BJ689" s="113"/>
      <c r="BK689" s="113"/>
      <c r="BL689" s="113"/>
      <c r="BM689" s="113"/>
      <c r="BN689" s="113"/>
      <c r="BO689" s="113"/>
      <c r="BP689" s="113"/>
      <c r="BQ689" s="113"/>
      <c r="BR689" s="113"/>
      <c r="BS689" s="113"/>
      <c r="BT689" s="113"/>
      <c r="BU689" s="113"/>
      <c r="BV689" s="113"/>
      <c r="BW689" s="113"/>
      <c r="BX689" s="113"/>
      <c r="BY689" s="113"/>
      <c r="BZ689" s="113"/>
      <c r="CA689" s="113"/>
      <c r="CB689" s="113"/>
      <c r="CC689" s="113"/>
      <c r="CD689" s="113"/>
      <c r="CE689" s="113"/>
      <c r="CF689" s="113"/>
      <c r="CG689" s="113"/>
      <c r="CH689" s="113"/>
      <c r="CI689" s="113"/>
      <c r="CJ689" s="113"/>
      <c r="CK689" s="113"/>
      <c r="CL689" s="113"/>
      <c r="CM689" s="113"/>
      <c r="CN689" s="113"/>
      <c r="CO689" s="113"/>
      <c r="CP689" s="113"/>
      <c r="CQ689" s="113"/>
      <c r="CR689" s="113"/>
      <c r="CS689" s="113"/>
      <c r="CT689" s="113"/>
      <c r="CU689" s="113"/>
    </row>
    <row r="690">
      <c r="A690" s="159"/>
      <c r="B690" s="113"/>
      <c r="C690" s="113"/>
      <c r="D690" s="158"/>
      <c r="E690" s="161"/>
      <c r="F690" s="160"/>
      <c r="G690" s="162"/>
      <c r="H690" s="159"/>
      <c r="I690" s="113"/>
      <c r="J690" s="113"/>
      <c r="K690" s="113"/>
      <c r="L690" s="158"/>
      <c r="M690" s="113"/>
      <c r="N690" s="113"/>
      <c r="O690" s="113"/>
      <c r="P690" s="113"/>
      <c r="Q690" s="113"/>
      <c r="R690" s="113"/>
      <c r="S690" s="113"/>
      <c r="T690" s="113"/>
      <c r="U690" s="113"/>
      <c r="V690" s="113"/>
      <c r="W690" s="113"/>
      <c r="X690" s="113"/>
      <c r="Y690" s="113"/>
      <c r="Z690" s="113"/>
      <c r="AA690" s="113"/>
      <c r="AB690" s="113"/>
      <c r="AC690" s="113"/>
      <c r="AD690" s="113"/>
      <c r="AE690" s="113"/>
      <c r="AF690" s="113"/>
      <c r="AG690" s="113"/>
      <c r="AH690" s="113"/>
      <c r="AI690" s="113"/>
      <c r="AJ690" s="113"/>
      <c r="AK690" s="113"/>
      <c r="AL690" s="113"/>
      <c r="AM690" s="113"/>
      <c r="AN690" s="113"/>
      <c r="AO690" s="113"/>
      <c r="AP690" s="113"/>
      <c r="AQ690" s="113"/>
      <c r="AR690" s="113"/>
      <c r="AS690" s="113"/>
      <c r="AT690" s="113"/>
      <c r="AU690" s="113"/>
      <c r="AV690" s="113"/>
      <c r="AW690" s="113"/>
      <c r="AX690" s="113"/>
      <c r="AY690" s="113"/>
      <c r="AZ690" s="113"/>
      <c r="BA690" s="113"/>
      <c r="BB690" s="113"/>
      <c r="BC690" s="113"/>
      <c r="BD690" s="113"/>
      <c r="BE690" s="113"/>
      <c r="BF690" s="113"/>
      <c r="BG690" s="113"/>
      <c r="BH690" s="113"/>
      <c r="BI690" s="113"/>
      <c r="BJ690" s="113"/>
      <c r="BK690" s="113"/>
      <c r="BL690" s="113"/>
      <c r="BM690" s="113"/>
      <c r="BN690" s="113"/>
      <c r="BO690" s="113"/>
      <c r="BP690" s="113"/>
      <c r="BQ690" s="113"/>
      <c r="BR690" s="113"/>
      <c r="BS690" s="113"/>
      <c r="BT690" s="113"/>
      <c r="BU690" s="113"/>
      <c r="BV690" s="113"/>
      <c r="BW690" s="113"/>
      <c r="BX690" s="113"/>
      <c r="BY690" s="113"/>
      <c r="BZ690" s="113"/>
      <c r="CA690" s="113"/>
      <c r="CB690" s="113"/>
      <c r="CC690" s="113"/>
      <c r="CD690" s="113"/>
      <c r="CE690" s="113"/>
      <c r="CF690" s="113"/>
      <c r="CG690" s="113"/>
      <c r="CH690" s="113"/>
      <c r="CI690" s="113"/>
      <c r="CJ690" s="113"/>
      <c r="CK690" s="113"/>
      <c r="CL690" s="113"/>
      <c r="CM690" s="113"/>
      <c r="CN690" s="113"/>
      <c r="CO690" s="113"/>
      <c r="CP690" s="113"/>
      <c r="CQ690" s="113"/>
      <c r="CR690" s="113"/>
      <c r="CS690" s="113"/>
      <c r="CT690" s="113"/>
      <c r="CU690" s="113"/>
    </row>
    <row r="691">
      <c r="A691" s="159"/>
      <c r="B691" s="113"/>
      <c r="C691" s="113"/>
      <c r="D691" s="158"/>
      <c r="E691" s="161"/>
      <c r="F691" s="160"/>
      <c r="G691" s="162"/>
      <c r="H691" s="159"/>
      <c r="I691" s="113"/>
      <c r="J691" s="113"/>
      <c r="K691" s="113"/>
      <c r="L691" s="158"/>
      <c r="M691" s="113"/>
      <c r="N691" s="113"/>
      <c r="O691" s="113"/>
      <c r="P691" s="113"/>
      <c r="Q691" s="113"/>
      <c r="R691" s="113"/>
      <c r="S691" s="113"/>
      <c r="T691" s="113"/>
      <c r="U691" s="113"/>
      <c r="V691" s="113"/>
      <c r="W691" s="113"/>
      <c r="X691" s="113"/>
      <c r="Y691" s="113"/>
      <c r="Z691" s="113"/>
      <c r="AA691" s="113"/>
      <c r="AB691" s="113"/>
      <c r="AC691" s="113"/>
      <c r="AD691" s="113"/>
      <c r="AE691" s="113"/>
      <c r="AF691" s="113"/>
      <c r="AG691" s="113"/>
      <c r="AH691" s="113"/>
      <c r="AI691" s="113"/>
      <c r="AJ691" s="113"/>
      <c r="AK691" s="113"/>
      <c r="AL691" s="113"/>
      <c r="AM691" s="113"/>
      <c r="AN691" s="113"/>
      <c r="AO691" s="113"/>
      <c r="AP691" s="113"/>
      <c r="AQ691" s="113"/>
      <c r="AR691" s="113"/>
      <c r="AS691" s="113"/>
      <c r="AT691" s="113"/>
      <c r="AU691" s="113"/>
      <c r="AV691" s="113"/>
      <c r="AW691" s="113"/>
      <c r="AX691" s="113"/>
      <c r="AY691" s="113"/>
      <c r="AZ691" s="113"/>
      <c r="BA691" s="113"/>
      <c r="BB691" s="113"/>
      <c r="BC691" s="113"/>
      <c r="BD691" s="113"/>
      <c r="BE691" s="113"/>
      <c r="BF691" s="113"/>
      <c r="BG691" s="113"/>
      <c r="BH691" s="113"/>
      <c r="BI691" s="113"/>
      <c r="BJ691" s="113"/>
      <c r="BK691" s="113"/>
      <c r="BL691" s="113"/>
      <c r="BM691" s="113"/>
      <c r="BN691" s="113"/>
      <c r="BO691" s="113"/>
      <c r="BP691" s="113"/>
      <c r="BQ691" s="113"/>
      <c r="BR691" s="113"/>
      <c r="BS691" s="113"/>
      <c r="BT691" s="113"/>
      <c r="BU691" s="113"/>
      <c r="BV691" s="113"/>
      <c r="BW691" s="113"/>
      <c r="BX691" s="113"/>
      <c r="BY691" s="113"/>
      <c r="BZ691" s="113"/>
      <c r="CA691" s="113"/>
      <c r="CB691" s="113"/>
      <c r="CC691" s="113"/>
      <c r="CD691" s="113"/>
      <c r="CE691" s="113"/>
      <c r="CF691" s="113"/>
      <c r="CG691" s="113"/>
      <c r="CH691" s="113"/>
      <c r="CI691" s="113"/>
      <c r="CJ691" s="113"/>
      <c r="CK691" s="113"/>
      <c r="CL691" s="113"/>
      <c r="CM691" s="113"/>
      <c r="CN691" s="113"/>
      <c r="CO691" s="113"/>
      <c r="CP691" s="113"/>
      <c r="CQ691" s="113"/>
      <c r="CR691" s="113"/>
      <c r="CS691" s="113"/>
      <c r="CT691" s="113"/>
      <c r="CU691" s="113"/>
    </row>
    <row r="692">
      <c r="A692" s="159"/>
      <c r="B692" s="113"/>
      <c r="C692" s="113"/>
      <c r="D692" s="158"/>
      <c r="E692" s="161"/>
      <c r="F692" s="160"/>
      <c r="G692" s="162"/>
      <c r="H692" s="159"/>
      <c r="I692" s="113"/>
      <c r="J692" s="113"/>
      <c r="K692" s="113"/>
      <c r="L692" s="158"/>
      <c r="M692" s="113"/>
      <c r="N692" s="113"/>
      <c r="O692" s="113"/>
      <c r="P692" s="113"/>
      <c r="Q692" s="113"/>
      <c r="R692" s="113"/>
      <c r="S692" s="113"/>
      <c r="T692" s="113"/>
      <c r="U692" s="113"/>
      <c r="V692" s="113"/>
      <c r="W692" s="113"/>
      <c r="X692" s="113"/>
      <c r="Y692" s="113"/>
      <c r="Z692" s="113"/>
      <c r="AA692" s="113"/>
      <c r="AB692" s="113"/>
      <c r="AC692" s="113"/>
      <c r="AD692" s="113"/>
      <c r="AE692" s="113"/>
      <c r="AF692" s="113"/>
      <c r="AG692" s="113"/>
      <c r="AH692" s="113"/>
      <c r="AI692" s="113"/>
      <c r="AJ692" s="113"/>
      <c r="AK692" s="113"/>
      <c r="AL692" s="113"/>
      <c r="AM692" s="113"/>
      <c r="AN692" s="113"/>
      <c r="AO692" s="113"/>
      <c r="AP692" s="113"/>
      <c r="AQ692" s="113"/>
      <c r="AR692" s="113"/>
      <c r="AS692" s="113"/>
      <c r="AT692" s="113"/>
      <c r="AU692" s="113"/>
      <c r="AV692" s="113"/>
      <c r="AW692" s="113"/>
      <c r="AX692" s="113"/>
      <c r="AY692" s="113"/>
      <c r="AZ692" s="113"/>
      <c r="BA692" s="113"/>
      <c r="BB692" s="113"/>
      <c r="BC692" s="113"/>
      <c r="BD692" s="113"/>
      <c r="BE692" s="113"/>
      <c r="BF692" s="113"/>
      <c r="BG692" s="113"/>
      <c r="BH692" s="113"/>
      <c r="BI692" s="113"/>
      <c r="BJ692" s="113"/>
      <c r="BK692" s="113"/>
      <c r="BL692" s="113"/>
      <c r="BM692" s="113"/>
      <c r="BN692" s="113"/>
      <c r="BO692" s="113"/>
      <c r="BP692" s="113"/>
      <c r="BQ692" s="113"/>
      <c r="BR692" s="113"/>
      <c r="BS692" s="113"/>
      <c r="BT692" s="113"/>
      <c r="BU692" s="113"/>
      <c r="BV692" s="113"/>
      <c r="BW692" s="113"/>
      <c r="BX692" s="113"/>
      <c r="BY692" s="113"/>
      <c r="BZ692" s="113"/>
      <c r="CA692" s="113"/>
      <c r="CB692" s="113"/>
      <c r="CC692" s="113"/>
      <c r="CD692" s="113"/>
      <c r="CE692" s="113"/>
      <c r="CF692" s="113"/>
      <c r="CG692" s="113"/>
      <c r="CH692" s="113"/>
      <c r="CI692" s="113"/>
      <c r="CJ692" s="113"/>
      <c r="CK692" s="113"/>
      <c r="CL692" s="113"/>
      <c r="CM692" s="113"/>
      <c r="CN692" s="113"/>
      <c r="CO692" s="113"/>
      <c r="CP692" s="113"/>
      <c r="CQ692" s="113"/>
      <c r="CR692" s="113"/>
      <c r="CS692" s="113"/>
      <c r="CT692" s="113"/>
      <c r="CU692" s="113"/>
    </row>
    <row r="693">
      <c r="A693" s="159"/>
      <c r="B693" s="113"/>
      <c r="C693" s="113"/>
      <c r="D693" s="158"/>
      <c r="E693" s="161"/>
      <c r="F693" s="160"/>
      <c r="G693" s="162"/>
      <c r="H693" s="159"/>
      <c r="I693" s="113"/>
      <c r="J693" s="113"/>
      <c r="K693" s="113"/>
      <c r="L693" s="158"/>
      <c r="M693" s="113"/>
      <c r="N693" s="113"/>
      <c r="O693" s="113"/>
      <c r="P693" s="113"/>
      <c r="Q693" s="113"/>
      <c r="R693" s="113"/>
      <c r="S693" s="113"/>
      <c r="T693" s="113"/>
      <c r="U693" s="113"/>
      <c r="V693" s="113"/>
      <c r="W693" s="113"/>
      <c r="X693" s="113"/>
      <c r="Y693" s="113"/>
      <c r="Z693" s="113"/>
      <c r="AA693" s="113"/>
      <c r="AB693" s="113"/>
      <c r="AC693" s="113"/>
      <c r="AD693" s="113"/>
      <c r="AE693" s="113"/>
      <c r="AF693" s="113"/>
      <c r="AG693" s="113"/>
      <c r="AH693" s="113"/>
      <c r="AI693" s="113"/>
      <c r="AJ693" s="113"/>
      <c r="AK693" s="113"/>
      <c r="AL693" s="113"/>
      <c r="AM693" s="113"/>
      <c r="AN693" s="113"/>
      <c r="AO693" s="113"/>
      <c r="AP693" s="113"/>
      <c r="AQ693" s="113"/>
      <c r="AR693" s="113"/>
      <c r="AS693" s="113"/>
      <c r="AT693" s="113"/>
      <c r="AU693" s="113"/>
      <c r="AV693" s="113"/>
      <c r="AW693" s="113"/>
      <c r="AX693" s="113"/>
      <c r="AY693" s="113"/>
      <c r="AZ693" s="113"/>
      <c r="BA693" s="113"/>
      <c r="BB693" s="113"/>
      <c r="BC693" s="113"/>
      <c r="BD693" s="113"/>
      <c r="BE693" s="113"/>
      <c r="BF693" s="113"/>
      <c r="BG693" s="113"/>
      <c r="BH693" s="113"/>
      <c r="BI693" s="113"/>
      <c r="BJ693" s="113"/>
      <c r="BK693" s="113"/>
      <c r="BL693" s="113"/>
      <c r="BM693" s="113"/>
      <c r="BN693" s="113"/>
      <c r="BO693" s="113"/>
      <c r="BP693" s="113"/>
      <c r="BQ693" s="113"/>
      <c r="BR693" s="113"/>
      <c r="BS693" s="113"/>
      <c r="BT693" s="113"/>
      <c r="BU693" s="113"/>
      <c r="BV693" s="113"/>
      <c r="BW693" s="113"/>
      <c r="BX693" s="113"/>
      <c r="BY693" s="113"/>
      <c r="BZ693" s="113"/>
      <c r="CA693" s="113"/>
      <c r="CB693" s="113"/>
      <c r="CC693" s="113"/>
      <c r="CD693" s="113"/>
      <c r="CE693" s="113"/>
      <c r="CF693" s="113"/>
      <c r="CG693" s="113"/>
      <c r="CH693" s="113"/>
      <c r="CI693" s="113"/>
      <c r="CJ693" s="113"/>
      <c r="CK693" s="113"/>
      <c r="CL693" s="113"/>
      <c r="CM693" s="113"/>
      <c r="CN693" s="113"/>
      <c r="CO693" s="113"/>
      <c r="CP693" s="113"/>
      <c r="CQ693" s="113"/>
      <c r="CR693" s="113"/>
      <c r="CS693" s="113"/>
      <c r="CT693" s="113"/>
      <c r="CU693" s="113"/>
    </row>
    <row r="694">
      <c r="A694" s="159"/>
      <c r="B694" s="113"/>
      <c r="C694" s="113"/>
      <c r="D694" s="158"/>
      <c r="E694" s="161"/>
      <c r="F694" s="160"/>
      <c r="G694" s="162"/>
      <c r="H694" s="159"/>
      <c r="I694" s="113"/>
      <c r="J694" s="113"/>
      <c r="K694" s="113"/>
      <c r="L694" s="158"/>
      <c r="M694" s="113"/>
      <c r="N694" s="113"/>
      <c r="O694" s="113"/>
      <c r="P694" s="113"/>
      <c r="Q694" s="113"/>
      <c r="R694" s="113"/>
      <c r="S694" s="113"/>
      <c r="T694" s="113"/>
      <c r="U694" s="113"/>
      <c r="V694" s="113"/>
      <c r="W694" s="113"/>
      <c r="X694" s="113"/>
      <c r="Y694" s="113"/>
      <c r="Z694" s="113"/>
      <c r="AA694" s="113"/>
      <c r="AB694" s="113"/>
      <c r="AC694" s="113"/>
      <c r="AD694" s="113"/>
      <c r="AE694" s="113"/>
      <c r="AF694" s="113"/>
      <c r="AG694" s="113"/>
      <c r="AH694" s="113"/>
      <c r="AI694" s="113"/>
      <c r="AJ694" s="113"/>
      <c r="AK694" s="113"/>
      <c r="AL694" s="113"/>
      <c r="AM694" s="113"/>
      <c r="AN694" s="113"/>
      <c r="AO694" s="113"/>
      <c r="AP694" s="113"/>
      <c r="AQ694" s="113"/>
      <c r="AR694" s="113"/>
      <c r="AS694" s="113"/>
      <c r="AT694" s="113"/>
      <c r="AU694" s="113"/>
      <c r="AV694" s="113"/>
      <c r="AW694" s="113"/>
      <c r="AX694" s="113"/>
      <c r="AY694" s="113"/>
      <c r="AZ694" s="113"/>
      <c r="BA694" s="113"/>
      <c r="BB694" s="113"/>
      <c r="BC694" s="113"/>
      <c r="BD694" s="113"/>
      <c r="BE694" s="113"/>
      <c r="BF694" s="113"/>
      <c r="BG694" s="113"/>
      <c r="BH694" s="113"/>
      <c r="BI694" s="113"/>
      <c r="BJ694" s="113"/>
      <c r="BK694" s="113"/>
      <c r="BL694" s="113"/>
      <c r="BM694" s="113"/>
      <c r="BN694" s="113"/>
      <c r="BO694" s="113"/>
      <c r="BP694" s="113"/>
      <c r="BQ694" s="113"/>
      <c r="BR694" s="113"/>
      <c r="BS694" s="113"/>
      <c r="BT694" s="113"/>
      <c r="BU694" s="113"/>
      <c r="BV694" s="113"/>
      <c r="BW694" s="113"/>
      <c r="BX694" s="113"/>
      <c r="BY694" s="113"/>
      <c r="BZ694" s="113"/>
      <c r="CA694" s="113"/>
      <c r="CB694" s="113"/>
      <c r="CC694" s="113"/>
      <c r="CD694" s="113"/>
      <c r="CE694" s="113"/>
      <c r="CF694" s="113"/>
      <c r="CG694" s="113"/>
      <c r="CH694" s="113"/>
      <c r="CI694" s="113"/>
      <c r="CJ694" s="113"/>
      <c r="CK694" s="113"/>
      <c r="CL694" s="113"/>
      <c r="CM694" s="113"/>
      <c r="CN694" s="113"/>
      <c r="CO694" s="113"/>
      <c r="CP694" s="113"/>
      <c r="CQ694" s="113"/>
      <c r="CR694" s="113"/>
      <c r="CS694" s="113"/>
      <c r="CT694" s="113"/>
      <c r="CU694" s="113"/>
    </row>
    <row r="695">
      <c r="A695" s="159"/>
      <c r="B695" s="113"/>
      <c r="C695" s="113"/>
      <c r="D695" s="158"/>
      <c r="E695" s="161"/>
      <c r="F695" s="160"/>
      <c r="G695" s="162"/>
      <c r="H695" s="159"/>
      <c r="I695" s="113"/>
      <c r="J695" s="113"/>
      <c r="K695" s="113"/>
      <c r="L695" s="158"/>
      <c r="M695" s="113"/>
      <c r="N695" s="113"/>
      <c r="O695" s="113"/>
      <c r="P695" s="113"/>
      <c r="Q695" s="113"/>
      <c r="R695" s="113"/>
      <c r="S695" s="113"/>
      <c r="T695" s="113"/>
      <c r="U695" s="113"/>
      <c r="V695" s="113"/>
      <c r="W695" s="113"/>
      <c r="X695" s="113"/>
      <c r="Y695" s="113"/>
      <c r="Z695" s="113"/>
      <c r="AA695" s="113"/>
      <c r="AB695" s="113"/>
      <c r="AC695" s="113"/>
      <c r="AD695" s="113"/>
      <c r="AE695" s="113"/>
      <c r="AF695" s="113"/>
      <c r="AG695" s="113"/>
      <c r="AH695" s="113"/>
      <c r="AI695" s="113"/>
      <c r="AJ695" s="113"/>
      <c r="AK695" s="113"/>
      <c r="AL695" s="113"/>
      <c r="AM695" s="113"/>
      <c r="AN695" s="113"/>
      <c r="AO695" s="113"/>
      <c r="AP695" s="113"/>
      <c r="AQ695" s="113"/>
      <c r="AR695" s="113"/>
      <c r="AS695" s="113"/>
      <c r="AT695" s="113"/>
      <c r="AU695" s="113"/>
      <c r="AV695" s="113"/>
      <c r="AW695" s="113"/>
      <c r="AX695" s="113"/>
      <c r="AY695" s="113"/>
      <c r="AZ695" s="113"/>
      <c r="BA695" s="113"/>
      <c r="BB695" s="113"/>
      <c r="BC695" s="113"/>
      <c r="BD695" s="113"/>
      <c r="BE695" s="113"/>
      <c r="BF695" s="113"/>
      <c r="BG695" s="113"/>
      <c r="BH695" s="113"/>
      <c r="BI695" s="113"/>
      <c r="BJ695" s="113"/>
      <c r="BK695" s="113"/>
      <c r="BL695" s="113"/>
      <c r="BM695" s="113"/>
      <c r="BN695" s="113"/>
      <c r="BO695" s="113"/>
      <c r="BP695" s="113"/>
      <c r="BQ695" s="113"/>
      <c r="BR695" s="113"/>
      <c r="BS695" s="113"/>
      <c r="BT695" s="113"/>
      <c r="BU695" s="113"/>
      <c r="BV695" s="113"/>
      <c r="BW695" s="113"/>
      <c r="BX695" s="113"/>
      <c r="BY695" s="113"/>
      <c r="BZ695" s="113"/>
      <c r="CA695" s="113"/>
      <c r="CB695" s="113"/>
      <c r="CC695" s="113"/>
      <c r="CD695" s="113"/>
      <c r="CE695" s="113"/>
      <c r="CF695" s="113"/>
      <c r="CG695" s="113"/>
      <c r="CH695" s="113"/>
      <c r="CI695" s="113"/>
      <c r="CJ695" s="113"/>
      <c r="CK695" s="113"/>
      <c r="CL695" s="113"/>
      <c r="CM695" s="113"/>
      <c r="CN695" s="113"/>
      <c r="CO695" s="113"/>
      <c r="CP695" s="113"/>
      <c r="CQ695" s="113"/>
      <c r="CR695" s="113"/>
      <c r="CS695" s="113"/>
      <c r="CT695" s="113"/>
      <c r="CU695" s="113"/>
    </row>
    <row r="696">
      <c r="A696" s="159"/>
      <c r="B696" s="113"/>
      <c r="C696" s="113"/>
      <c r="D696" s="158"/>
      <c r="E696" s="161"/>
      <c r="F696" s="160"/>
      <c r="G696" s="162"/>
      <c r="H696" s="159"/>
      <c r="I696" s="113"/>
      <c r="J696" s="113"/>
      <c r="K696" s="113"/>
      <c r="L696" s="158"/>
      <c r="M696" s="113"/>
      <c r="N696" s="113"/>
      <c r="O696" s="113"/>
      <c r="P696" s="113"/>
      <c r="Q696" s="113"/>
      <c r="R696" s="113"/>
      <c r="S696" s="113"/>
      <c r="T696" s="113"/>
      <c r="U696" s="113"/>
      <c r="V696" s="113"/>
      <c r="W696" s="113"/>
      <c r="X696" s="113"/>
      <c r="Y696" s="113"/>
      <c r="Z696" s="113"/>
      <c r="AA696" s="113"/>
      <c r="AB696" s="113"/>
      <c r="AC696" s="113"/>
      <c r="AD696" s="113"/>
      <c r="AE696" s="113"/>
      <c r="AF696" s="113"/>
      <c r="AG696" s="113"/>
      <c r="AH696" s="113"/>
      <c r="AI696" s="113"/>
      <c r="AJ696" s="113"/>
      <c r="AK696" s="113"/>
      <c r="AL696" s="113"/>
      <c r="AM696" s="113"/>
      <c r="AN696" s="113"/>
      <c r="AO696" s="113"/>
      <c r="AP696" s="113"/>
      <c r="AQ696" s="113"/>
      <c r="AR696" s="113"/>
      <c r="AS696" s="113"/>
      <c r="AT696" s="113"/>
      <c r="AU696" s="113"/>
      <c r="AV696" s="113"/>
      <c r="AW696" s="113"/>
      <c r="AX696" s="113"/>
      <c r="AY696" s="113"/>
      <c r="AZ696" s="113"/>
      <c r="BA696" s="113"/>
      <c r="BB696" s="113"/>
      <c r="BC696" s="113"/>
      <c r="BD696" s="113"/>
      <c r="BE696" s="113"/>
      <c r="BF696" s="113"/>
      <c r="BG696" s="113"/>
      <c r="BH696" s="113"/>
      <c r="BI696" s="113"/>
      <c r="BJ696" s="113"/>
      <c r="BK696" s="113"/>
      <c r="BL696" s="113"/>
      <c r="BM696" s="113"/>
      <c r="BN696" s="113"/>
      <c r="BO696" s="113"/>
      <c r="BP696" s="113"/>
      <c r="BQ696" s="113"/>
      <c r="BR696" s="113"/>
      <c r="BS696" s="113"/>
      <c r="BT696" s="113"/>
      <c r="BU696" s="113"/>
      <c r="BV696" s="113"/>
      <c r="BW696" s="113"/>
      <c r="BX696" s="113"/>
      <c r="BY696" s="113"/>
      <c r="BZ696" s="113"/>
      <c r="CA696" s="113"/>
      <c r="CB696" s="113"/>
      <c r="CC696" s="113"/>
      <c r="CD696" s="113"/>
      <c r="CE696" s="113"/>
      <c r="CF696" s="113"/>
      <c r="CG696" s="113"/>
      <c r="CH696" s="113"/>
      <c r="CI696" s="113"/>
      <c r="CJ696" s="113"/>
      <c r="CK696" s="113"/>
      <c r="CL696" s="113"/>
      <c r="CM696" s="113"/>
      <c r="CN696" s="113"/>
      <c r="CO696" s="113"/>
      <c r="CP696" s="113"/>
      <c r="CQ696" s="113"/>
      <c r="CR696" s="113"/>
      <c r="CS696" s="113"/>
      <c r="CT696" s="113"/>
      <c r="CU696" s="113"/>
    </row>
    <row r="697">
      <c r="A697" s="159"/>
      <c r="B697" s="113"/>
      <c r="C697" s="113"/>
      <c r="D697" s="158"/>
      <c r="E697" s="161"/>
      <c r="F697" s="160"/>
      <c r="G697" s="162"/>
      <c r="H697" s="159"/>
      <c r="I697" s="113"/>
      <c r="J697" s="113"/>
      <c r="K697" s="113"/>
      <c r="L697" s="158"/>
      <c r="M697" s="113"/>
      <c r="N697" s="113"/>
      <c r="O697" s="113"/>
      <c r="P697" s="113"/>
      <c r="Q697" s="113"/>
      <c r="R697" s="113"/>
      <c r="S697" s="113"/>
      <c r="T697" s="113"/>
      <c r="U697" s="113"/>
      <c r="V697" s="113"/>
      <c r="W697" s="113"/>
      <c r="X697" s="113"/>
      <c r="Y697" s="113"/>
      <c r="Z697" s="113"/>
      <c r="AA697" s="113"/>
      <c r="AB697" s="113"/>
      <c r="AC697" s="113"/>
      <c r="AD697" s="113"/>
      <c r="AE697" s="113"/>
      <c r="AF697" s="113"/>
      <c r="AG697" s="113"/>
      <c r="AH697" s="113"/>
      <c r="AI697" s="113"/>
      <c r="AJ697" s="113"/>
      <c r="AK697" s="113"/>
      <c r="AL697" s="113"/>
      <c r="AM697" s="113"/>
      <c r="AN697" s="113"/>
      <c r="AO697" s="113"/>
      <c r="AP697" s="113"/>
      <c r="AQ697" s="113"/>
      <c r="AR697" s="113"/>
      <c r="AS697" s="113"/>
      <c r="AT697" s="113"/>
      <c r="AU697" s="113"/>
      <c r="AV697" s="113"/>
      <c r="AW697" s="113"/>
      <c r="AX697" s="113"/>
      <c r="AY697" s="113"/>
      <c r="AZ697" s="113"/>
      <c r="BA697" s="113"/>
      <c r="BB697" s="113"/>
      <c r="BC697" s="113"/>
      <c r="BD697" s="113"/>
      <c r="BE697" s="113"/>
      <c r="BF697" s="113"/>
      <c r="BG697" s="113"/>
      <c r="BH697" s="113"/>
      <c r="BI697" s="113"/>
      <c r="BJ697" s="113"/>
      <c r="BK697" s="113"/>
      <c r="BL697" s="113"/>
      <c r="BM697" s="113"/>
      <c r="BN697" s="113"/>
      <c r="BO697" s="113"/>
      <c r="BP697" s="113"/>
      <c r="BQ697" s="113"/>
      <c r="BR697" s="113"/>
      <c r="BS697" s="113"/>
      <c r="BT697" s="113"/>
      <c r="BU697" s="113"/>
      <c r="BV697" s="113"/>
      <c r="BW697" s="113"/>
      <c r="BX697" s="113"/>
      <c r="BY697" s="113"/>
      <c r="BZ697" s="113"/>
      <c r="CA697" s="113"/>
      <c r="CB697" s="113"/>
      <c r="CC697" s="113"/>
      <c r="CD697" s="113"/>
      <c r="CE697" s="113"/>
      <c r="CF697" s="113"/>
      <c r="CG697" s="113"/>
      <c r="CH697" s="113"/>
      <c r="CI697" s="113"/>
      <c r="CJ697" s="113"/>
      <c r="CK697" s="113"/>
      <c r="CL697" s="113"/>
      <c r="CM697" s="113"/>
      <c r="CN697" s="113"/>
      <c r="CO697" s="113"/>
      <c r="CP697" s="113"/>
      <c r="CQ697" s="113"/>
      <c r="CR697" s="113"/>
      <c r="CS697" s="113"/>
      <c r="CT697" s="113"/>
      <c r="CU697" s="113"/>
    </row>
    <row r="698">
      <c r="A698" s="159"/>
      <c r="B698" s="113"/>
      <c r="C698" s="113"/>
      <c r="D698" s="158"/>
      <c r="E698" s="161"/>
      <c r="F698" s="160"/>
      <c r="G698" s="162"/>
      <c r="H698" s="159"/>
      <c r="I698" s="113"/>
      <c r="J698" s="113"/>
      <c r="K698" s="113"/>
      <c r="L698" s="158"/>
      <c r="M698" s="113"/>
      <c r="N698" s="113"/>
      <c r="O698" s="113"/>
      <c r="P698" s="113"/>
      <c r="Q698" s="113"/>
      <c r="R698" s="113"/>
      <c r="S698" s="113"/>
      <c r="T698" s="113"/>
      <c r="U698" s="113"/>
      <c r="V698" s="113"/>
      <c r="W698" s="113"/>
      <c r="X698" s="113"/>
      <c r="Y698" s="113"/>
      <c r="Z698" s="113"/>
      <c r="AA698" s="113"/>
      <c r="AB698" s="113"/>
      <c r="AC698" s="113"/>
      <c r="AD698" s="113"/>
      <c r="AE698" s="113"/>
      <c r="AF698" s="113"/>
      <c r="AG698" s="113"/>
      <c r="AH698" s="113"/>
      <c r="AI698" s="113"/>
      <c r="AJ698" s="113"/>
      <c r="AK698" s="113"/>
      <c r="AL698" s="113"/>
      <c r="AM698" s="113"/>
      <c r="AN698" s="113"/>
      <c r="AO698" s="113"/>
      <c r="AP698" s="113"/>
      <c r="AQ698" s="113"/>
      <c r="AR698" s="113"/>
      <c r="AS698" s="113"/>
      <c r="AT698" s="113"/>
      <c r="AU698" s="113"/>
      <c r="AV698" s="113"/>
      <c r="AW698" s="113"/>
      <c r="AX698" s="113"/>
      <c r="AY698" s="113"/>
      <c r="AZ698" s="113"/>
      <c r="BA698" s="113"/>
      <c r="BB698" s="113"/>
      <c r="BC698" s="113"/>
      <c r="BD698" s="113"/>
      <c r="BE698" s="113"/>
      <c r="BF698" s="113"/>
      <c r="BG698" s="113"/>
      <c r="BH698" s="113"/>
      <c r="BI698" s="113"/>
      <c r="BJ698" s="113"/>
      <c r="BK698" s="113"/>
      <c r="BL698" s="113"/>
      <c r="BM698" s="113"/>
      <c r="BN698" s="113"/>
      <c r="BO698" s="113"/>
      <c r="BP698" s="113"/>
      <c r="BQ698" s="113"/>
      <c r="BR698" s="113"/>
      <c r="BS698" s="113"/>
      <c r="BT698" s="113"/>
      <c r="BU698" s="113"/>
      <c r="BV698" s="113"/>
      <c r="BW698" s="113"/>
      <c r="BX698" s="113"/>
      <c r="BY698" s="113"/>
      <c r="BZ698" s="113"/>
      <c r="CA698" s="113"/>
      <c r="CB698" s="113"/>
      <c r="CC698" s="113"/>
      <c r="CD698" s="113"/>
      <c r="CE698" s="113"/>
      <c r="CF698" s="113"/>
      <c r="CG698" s="113"/>
      <c r="CH698" s="113"/>
      <c r="CI698" s="113"/>
      <c r="CJ698" s="113"/>
      <c r="CK698" s="113"/>
      <c r="CL698" s="113"/>
      <c r="CM698" s="113"/>
      <c r="CN698" s="113"/>
      <c r="CO698" s="113"/>
      <c r="CP698" s="113"/>
      <c r="CQ698" s="113"/>
      <c r="CR698" s="113"/>
      <c r="CS698" s="113"/>
      <c r="CT698" s="113"/>
      <c r="CU698" s="113"/>
    </row>
    <row r="699">
      <c r="A699" s="159"/>
      <c r="B699" s="113"/>
      <c r="C699" s="113"/>
      <c r="D699" s="158"/>
      <c r="E699" s="161"/>
      <c r="F699" s="160"/>
      <c r="G699" s="162"/>
      <c r="H699" s="159"/>
      <c r="I699" s="113"/>
      <c r="J699" s="113"/>
      <c r="K699" s="113"/>
      <c r="L699" s="158"/>
      <c r="M699" s="113"/>
      <c r="N699" s="113"/>
      <c r="O699" s="113"/>
      <c r="P699" s="113"/>
      <c r="Q699" s="113"/>
      <c r="R699" s="113"/>
      <c r="S699" s="113"/>
      <c r="T699" s="113"/>
      <c r="U699" s="113"/>
      <c r="V699" s="113"/>
      <c r="W699" s="113"/>
      <c r="X699" s="113"/>
      <c r="Y699" s="113"/>
      <c r="Z699" s="113"/>
      <c r="AA699" s="113"/>
      <c r="AB699" s="113"/>
      <c r="AC699" s="113"/>
      <c r="AD699" s="113"/>
      <c r="AE699" s="113"/>
      <c r="AF699" s="113"/>
      <c r="AG699" s="113"/>
      <c r="AH699" s="113"/>
      <c r="AI699" s="113"/>
      <c r="AJ699" s="113"/>
      <c r="AK699" s="113"/>
      <c r="AL699" s="113"/>
      <c r="AM699" s="113"/>
      <c r="AN699" s="113"/>
      <c r="AO699" s="113"/>
      <c r="AP699" s="113"/>
      <c r="AQ699" s="113"/>
      <c r="AR699" s="113"/>
      <c r="AS699" s="113"/>
      <c r="AT699" s="113"/>
      <c r="AU699" s="113"/>
      <c r="AV699" s="113"/>
      <c r="AW699" s="113"/>
      <c r="AX699" s="113"/>
      <c r="AY699" s="113"/>
      <c r="AZ699" s="113"/>
      <c r="BA699" s="113"/>
      <c r="BB699" s="113"/>
      <c r="BC699" s="113"/>
      <c r="BD699" s="113"/>
      <c r="BE699" s="113"/>
      <c r="BF699" s="113"/>
      <c r="BG699" s="113"/>
      <c r="BH699" s="113"/>
      <c r="BI699" s="113"/>
      <c r="BJ699" s="113"/>
      <c r="BK699" s="113"/>
      <c r="BL699" s="113"/>
      <c r="BM699" s="113"/>
      <c r="BN699" s="113"/>
      <c r="BO699" s="113"/>
      <c r="BP699" s="113"/>
      <c r="BQ699" s="113"/>
      <c r="BR699" s="113"/>
      <c r="BS699" s="113"/>
      <c r="BT699" s="113"/>
      <c r="BU699" s="113"/>
      <c r="BV699" s="113"/>
      <c r="BW699" s="113"/>
      <c r="BX699" s="113"/>
      <c r="BY699" s="113"/>
      <c r="BZ699" s="113"/>
      <c r="CA699" s="113"/>
      <c r="CB699" s="113"/>
      <c r="CC699" s="113"/>
      <c r="CD699" s="113"/>
      <c r="CE699" s="113"/>
      <c r="CF699" s="113"/>
      <c r="CG699" s="113"/>
      <c r="CH699" s="113"/>
      <c r="CI699" s="113"/>
      <c r="CJ699" s="113"/>
      <c r="CK699" s="113"/>
      <c r="CL699" s="113"/>
      <c r="CM699" s="113"/>
      <c r="CN699" s="113"/>
      <c r="CO699" s="113"/>
      <c r="CP699" s="113"/>
      <c r="CQ699" s="113"/>
      <c r="CR699" s="113"/>
      <c r="CS699" s="113"/>
      <c r="CT699" s="113"/>
      <c r="CU699" s="113"/>
    </row>
    <row r="700">
      <c r="A700" s="159"/>
      <c r="B700" s="113"/>
      <c r="C700" s="113"/>
      <c r="D700" s="158"/>
      <c r="E700" s="161"/>
      <c r="F700" s="160"/>
      <c r="G700" s="162"/>
      <c r="H700" s="159"/>
      <c r="I700" s="113"/>
      <c r="J700" s="113"/>
      <c r="K700" s="113"/>
      <c r="L700" s="158"/>
      <c r="M700" s="113"/>
      <c r="N700" s="113"/>
      <c r="O700" s="113"/>
      <c r="P700" s="113"/>
      <c r="Q700" s="113"/>
      <c r="R700" s="113"/>
      <c r="S700" s="113"/>
      <c r="T700" s="113"/>
      <c r="U700" s="113"/>
      <c r="V700" s="113"/>
      <c r="W700" s="113"/>
      <c r="X700" s="113"/>
      <c r="Y700" s="113"/>
      <c r="Z700" s="113"/>
      <c r="AA700" s="113"/>
      <c r="AB700" s="113"/>
      <c r="AC700" s="113"/>
      <c r="AD700" s="113"/>
      <c r="AE700" s="113"/>
      <c r="AF700" s="113"/>
      <c r="AG700" s="113"/>
      <c r="AH700" s="113"/>
      <c r="AI700" s="113"/>
      <c r="AJ700" s="113"/>
      <c r="AK700" s="113"/>
      <c r="AL700" s="113"/>
      <c r="AM700" s="113"/>
      <c r="AN700" s="113"/>
      <c r="AO700" s="113"/>
      <c r="AP700" s="113"/>
      <c r="AQ700" s="113"/>
      <c r="AR700" s="113"/>
      <c r="AS700" s="113"/>
      <c r="AT700" s="113"/>
      <c r="AU700" s="113"/>
      <c r="AV700" s="113"/>
      <c r="AW700" s="113"/>
      <c r="AX700" s="113"/>
      <c r="AY700" s="113"/>
      <c r="AZ700" s="113"/>
      <c r="BA700" s="113"/>
      <c r="BB700" s="113"/>
      <c r="BC700" s="113"/>
      <c r="BD700" s="113"/>
      <c r="BE700" s="113"/>
      <c r="BF700" s="113"/>
      <c r="BG700" s="113"/>
      <c r="BH700" s="113"/>
      <c r="BI700" s="113"/>
      <c r="BJ700" s="113"/>
      <c r="BK700" s="113"/>
      <c r="BL700" s="113"/>
      <c r="BM700" s="113"/>
      <c r="BN700" s="113"/>
      <c r="BO700" s="113"/>
      <c r="BP700" s="113"/>
      <c r="BQ700" s="113"/>
      <c r="BR700" s="113"/>
      <c r="BS700" s="113"/>
      <c r="BT700" s="113"/>
      <c r="BU700" s="113"/>
      <c r="BV700" s="113"/>
      <c r="BW700" s="113"/>
      <c r="BX700" s="113"/>
      <c r="BY700" s="113"/>
      <c r="BZ700" s="113"/>
      <c r="CA700" s="113"/>
      <c r="CB700" s="113"/>
      <c r="CC700" s="113"/>
      <c r="CD700" s="113"/>
      <c r="CE700" s="113"/>
      <c r="CF700" s="113"/>
      <c r="CG700" s="113"/>
      <c r="CH700" s="113"/>
      <c r="CI700" s="113"/>
      <c r="CJ700" s="113"/>
      <c r="CK700" s="113"/>
      <c r="CL700" s="113"/>
      <c r="CM700" s="113"/>
      <c r="CN700" s="113"/>
      <c r="CO700" s="113"/>
      <c r="CP700" s="113"/>
      <c r="CQ700" s="113"/>
      <c r="CR700" s="113"/>
      <c r="CS700" s="113"/>
      <c r="CT700" s="113"/>
      <c r="CU700" s="113"/>
    </row>
    <row r="701">
      <c r="A701" s="159"/>
      <c r="B701" s="113"/>
      <c r="C701" s="113"/>
      <c r="D701" s="158"/>
      <c r="E701" s="161"/>
      <c r="F701" s="160"/>
      <c r="G701" s="162"/>
      <c r="H701" s="159"/>
      <c r="I701" s="113"/>
      <c r="J701" s="113"/>
      <c r="K701" s="113"/>
      <c r="L701" s="158"/>
      <c r="M701" s="113"/>
      <c r="N701" s="113"/>
      <c r="O701" s="113"/>
      <c r="P701" s="113"/>
      <c r="Q701" s="113"/>
      <c r="R701" s="113"/>
      <c r="S701" s="113"/>
      <c r="T701" s="113"/>
      <c r="U701" s="113"/>
      <c r="V701" s="113"/>
      <c r="W701" s="113"/>
      <c r="X701" s="113"/>
      <c r="Y701" s="113"/>
      <c r="Z701" s="113"/>
      <c r="AA701" s="113"/>
      <c r="AB701" s="113"/>
      <c r="AC701" s="113"/>
      <c r="AD701" s="113"/>
      <c r="AE701" s="113"/>
      <c r="AF701" s="113"/>
      <c r="AG701" s="113"/>
      <c r="AH701" s="113"/>
      <c r="AI701" s="113"/>
      <c r="AJ701" s="113"/>
      <c r="AK701" s="113"/>
      <c r="AL701" s="113"/>
      <c r="AM701" s="113"/>
      <c r="AN701" s="113"/>
      <c r="AO701" s="113"/>
      <c r="AP701" s="113"/>
      <c r="AQ701" s="113"/>
      <c r="AR701" s="113"/>
      <c r="AS701" s="113"/>
      <c r="AT701" s="113"/>
      <c r="AU701" s="113"/>
      <c r="AV701" s="113"/>
      <c r="AW701" s="113"/>
      <c r="AX701" s="113"/>
      <c r="AY701" s="113"/>
      <c r="AZ701" s="113"/>
      <c r="BA701" s="113"/>
      <c r="BB701" s="113"/>
      <c r="BC701" s="113"/>
      <c r="BD701" s="113"/>
      <c r="BE701" s="113"/>
      <c r="BF701" s="113"/>
      <c r="BG701" s="113"/>
      <c r="BH701" s="113"/>
      <c r="BI701" s="113"/>
      <c r="BJ701" s="113"/>
      <c r="BK701" s="113"/>
      <c r="BL701" s="113"/>
      <c r="BM701" s="113"/>
      <c r="BN701" s="113"/>
      <c r="BO701" s="113"/>
      <c r="BP701" s="113"/>
      <c r="BQ701" s="113"/>
      <c r="BR701" s="113"/>
      <c r="BS701" s="113"/>
      <c r="BT701" s="113"/>
      <c r="BU701" s="113"/>
      <c r="BV701" s="113"/>
      <c r="BW701" s="113"/>
      <c r="BX701" s="113"/>
      <c r="BY701" s="113"/>
      <c r="BZ701" s="113"/>
      <c r="CA701" s="113"/>
      <c r="CB701" s="113"/>
      <c r="CC701" s="113"/>
      <c r="CD701" s="113"/>
      <c r="CE701" s="113"/>
      <c r="CF701" s="113"/>
      <c r="CG701" s="113"/>
      <c r="CH701" s="113"/>
      <c r="CI701" s="113"/>
      <c r="CJ701" s="113"/>
      <c r="CK701" s="113"/>
      <c r="CL701" s="113"/>
      <c r="CM701" s="113"/>
      <c r="CN701" s="113"/>
      <c r="CO701" s="113"/>
      <c r="CP701" s="113"/>
      <c r="CQ701" s="113"/>
      <c r="CR701" s="113"/>
      <c r="CS701" s="113"/>
      <c r="CT701" s="113"/>
      <c r="CU701" s="113"/>
    </row>
    <row r="702">
      <c r="A702" s="159"/>
      <c r="B702" s="113"/>
      <c r="C702" s="113"/>
      <c r="D702" s="158"/>
      <c r="E702" s="161"/>
      <c r="F702" s="160"/>
      <c r="G702" s="162"/>
      <c r="H702" s="159"/>
      <c r="I702" s="113"/>
      <c r="J702" s="113"/>
      <c r="K702" s="113"/>
      <c r="L702" s="158"/>
      <c r="M702" s="113"/>
      <c r="N702" s="113"/>
      <c r="O702" s="113"/>
      <c r="P702" s="113"/>
      <c r="Q702" s="113"/>
      <c r="R702" s="113"/>
      <c r="S702" s="113"/>
      <c r="T702" s="113"/>
      <c r="U702" s="113"/>
      <c r="V702" s="113"/>
      <c r="W702" s="113"/>
      <c r="X702" s="113"/>
      <c r="Y702" s="113"/>
      <c r="Z702" s="113"/>
      <c r="AA702" s="113"/>
      <c r="AB702" s="113"/>
      <c r="AC702" s="113"/>
      <c r="AD702" s="113"/>
      <c r="AE702" s="113"/>
      <c r="AF702" s="113"/>
      <c r="AG702" s="113"/>
      <c r="AH702" s="113"/>
      <c r="AI702" s="113"/>
      <c r="AJ702" s="113"/>
      <c r="AK702" s="113"/>
      <c r="AL702" s="113"/>
      <c r="AM702" s="113"/>
      <c r="AN702" s="113"/>
      <c r="AO702" s="113"/>
      <c r="AP702" s="113"/>
      <c r="AQ702" s="113"/>
      <c r="AR702" s="113"/>
      <c r="AS702" s="113"/>
      <c r="AT702" s="113"/>
      <c r="AU702" s="113"/>
      <c r="AV702" s="113"/>
      <c r="AW702" s="113"/>
      <c r="AX702" s="113"/>
      <c r="AY702" s="113"/>
      <c r="AZ702" s="113"/>
      <c r="BA702" s="113"/>
      <c r="BB702" s="113"/>
      <c r="BC702" s="113"/>
      <c r="BD702" s="113"/>
      <c r="BE702" s="113"/>
      <c r="BF702" s="113"/>
      <c r="BG702" s="113"/>
      <c r="BH702" s="113"/>
      <c r="BI702" s="113"/>
      <c r="BJ702" s="113"/>
      <c r="BK702" s="113"/>
      <c r="BL702" s="113"/>
      <c r="BM702" s="113"/>
      <c r="BN702" s="113"/>
      <c r="BO702" s="113"/>
      <c r="BP702" s="113"/>
      <c r="BQ702" s="113"/>
      <c r="BR702" s="113"/>
      <c r="BS702" s="113"/>
      <c r="BT702" s="113"/>
      <c r="BU702" s="113"/>
      <c r="BV702" s="113"/>
      <c r="BW702" s="113"/>
      <c r="BX702" s="113"/>
      <c r="BY702" s="113"/>
      <c r="BZ702" s="113"/>
      <c r="CA702" s="113"/>
      <c r="CB702" s="113"/>
      <c r="CC702" s="113"/>
      <c r="CD702" s="113"/>
      <c r="CE702" s="113"/>
      <c r="CF702" s="113"/>
      <c r="CG702" s="113"/>
      <c r="CH702" s="113"/>
      <c r="CI702" s="113"/>
      <c r="CJ702" s="113"/>
      <c r="CK702" s="113"/>
      <c r="CL702" s="113"/>
      <c r="CM702" s="113"/>
      <c r="CN702" s="113"/>
      <c r="CO702" s="113"/>
      <c r="CP702" s="113"/>
      <c r="CQ702" s="113"/>
      <c r="CR702" s="113"/>
      <c r="CS702" s="113"/>
      <c r="CT702" s="113"/>
      <c r="CU702" s="113"/>
    </row>
    <row r="703">
      <c r="A703" s="159"/>
      <c r="B703" s="113"/>
      <c r="C703" s="113"/>
      <c r="D703" s="158"/>
      <c r="E703" s="161"/>
      <c r="F703" s="160"/>
      <c r="G703" s="162"/>
      <c r="H703" s="159"/>
      <c r="I703" s="113"/>
      <c r="J703" s="113"/>
      <c r="K703" s="113"/>
      <c r="L703" s="158"/>
      <c r="M703" s="113"/>
      <c r="N703" s="113"/>
      <c r="O703" s="113"/>
      <c r="P703" s="113"/>
      <c r="Q703" s="113"/>
      <c r="R703" s="113"/>
      <c r="S703" s="113"/>
      <c r="T703" s="113"/>
      <c r="U703" s="113"/>
      <c r="V703" s="113"/>
      <c r="W703" s="113"/>
      <c r="X703" s="113"/>
      <c r="Y703" s="113"/>
      <c r="Z703" s="113"/>
      <c r="AA703" s="113"/>
      <c r="AB703" s="113"/>
      <c r="AC703" s="113"/>
      <c r="AD703" s="113"/>
      <c r="AE703" s="113"/>
      <c r="AF703" s="113"/>
      <c r="AG703" s="113"/>
      <c r="AH703" s="113"/>
      <c r="AI703" s="113"/>
      <c r="AJ703" s="113"/>
      <c r="AK703" s="113"/>
      <c r="AL703" s="113"/>
      <c r="AM703" s="113"/>
      <c r="AN703" s="113"/>
      <c r="AO703" s="113"/>
      <c r="AP703" s="113"/>
      <c r="AQ703" s="113"/>
      <c r="AR703" s="113"/>
      <c r="AS703" s="113"/>
      <c r="AT703" s="113"/>
      <c r="AU703" s="113"/>
      <c r="AV703" s="113"/>
      <c r="AW703" s="113"/>
      <c r="AX703" s="113"/>
      <c r="AY703" s="113"/>
      <c r="AZ703" s="113"/>
      <c r="BA703" s="113"/>
      <c r="BB703" s="113"/>
      <c r="BC703" s="113"/>
      <c r="BD703" s="113"/>
      <c r="BE703" s="113"/>
      <c r="BF703" s="113"/>
      <c r="BG703" s="113"/>
      <c r="BH703" s="113"/>
      <c r="BI703" s="113"/>
      <c r="BJ703" s="113"/>
      <c r="BK703" s="113"/>
      <c r="BL703" s="113"/>
      <c r="BM703" s="113"/>
      <c r="BN703" s="113"/>
      <c r="BO703" s="113"/>
      <c r="BP703" s="113"/>
      <c r="BQ703" s="113"/>
      <c r="BR703" s="113"/>
      <c r="BS703" s="113"/>
      <c r="BT703" s="113"/>
      <c r="BU703" s="113"/>
      <c r="BV703" s="113"/>
      <c r="BW703" s="113"/>
      <c r="BX703" s="113"/>
      <c r="BY703" s="113"/>
      <c r="BZ703" s="113"/>
      <c r="CA703" s="113"/>
      <c r="CB703" s="113"/>
      <c r="CC703" s="113"/>
      <c r="CD703" s="113"/>
      <c r="CE703" s="113"/>
      <c r="CF703" s="113"/>
      <c r="CG703" s="113"/>
      <c r="CH703" s="113"/>
      <c r="CI703" s="113"/>
      <c r="CJ703" s="113"/>
      <c r="CK703" s="113"/>
      <c r="CL703" s="113"/>
      <c r="CM703" s="113"/>
      <c r="CN703" s="113"/>
      <c r="CO703" s="113"/>
      <c r="CP703" s="113"/>
      <c r="CQ703" s="113"/>
      <c r="CR703" s="113"/>
      <c r="CS703" s="113"/>
      <c r="CT703" s="113"/>
      <c r="CU703" s="113"/>
    </row>
    <row r="704">
      <c r="A704" s="159"/>
      <c r="B704" s="113"/>
      <c r="C704" s="113"/>
      <c r="D704" s="158"/>
      <c r="E704" s="161"/>
      <c r="F704" s="160"/>
      <c r="G704" s="162"/>
      <c r="H704" s="159"/>
      <c r="I704" s="113"/>
      <c r="J704" s="113"/>
      <c r="K704" s="113"/>
      <c r="L704" s="158"/>
      <c r="M704" s="113"/>
      <c r="N704" s="113"/>
      <c r="O704" s="113"/>
      <c r="P704" s="113"/>
      <c r="Q704" s="113"/>
      <c r="R704" s="113"/>
      <c r="S704" s="113"/>
      <c r="T704" s="113"/>
      <c r="U704" s="113"/>
      <c r="V704" s="113"/>
      <c r="W704" s="113"/>
      <c r="X704" s="113"/>
      <c r="Y704" s="113"/>
      <c r="Z704" s="113"/>
      <c r="AA704" s="113"/>
      <c r="AB704" s="113"/>
      <c r="AC704" s="113"/>
      <c r="AD704" s="113"/>
      <c r="AE704" s="113"/>
      <c r="AF704" s="113"/>
      <c r="AG704" s="113"/>
      <c r="AH704" s="113"/>
      <c r="AI704" s="113"/>
      <c r="AJ704" s="113"/>
      <c r="AK704" s="113"/>
      <c r="AL704" s="113"/>
      <c r="AM704" s="113"/>
      <c r="AN704" s="113"/>
      <c r="AO704" s="113"/>
      <c r="AP704" s="113"/>
      <c r="AQ704" s="113"/>
      <c r="AR704" s="113"/>
      <c r="AS704" s="113"/>
      <c r="AT704" s="113"/>
      <c r="AU704" s="113"/>
      <c r="AV704" s="113"/>
      <c r="AW704" s="113"/>
      <c r="AX704" s="113"/>
      <c r="AY704" s="113"/>
      <c r="AZ704" s="113"/>
      <c r="BA704" s="113"/>
      <c r="BB704" s="113"/>
      <c r="BC704" s="113"/>
      <c r="BD704" s="113"/>
      <c r="BE704" s="113"/>
      <c r="BF704" s="113"/>
      <c r="BG704" s="113"/>
      <c r="BH704" s="113"/>
      <c r="BI704" s="113"/>
      <c r="BJ704" s="113"/>
      <c r="BK704" s="113"/>
      <c r="BL704" s="113"/>
      <c r="BM704" s="113"/>
      <c r="BN704" s="113"/>
      <c r="BO704" s="113"/>
      <c r="BP704" s="113"/>
      <c r="BQ704" s="113"/>
      <c r="BR704" s="113"/>
      <c r="BS704" s="113"/>
      <c r="BT704" s="113"/>
      <c r="BU704" s="113"/>
      <c r="BV704" s="113"/>
      <c r="BW704" s="113"/>
      <c r="BX704" s="113"/>
      <c r="BY704" s="113"/>
      <c r="BZ704" s="113"/>
      <c r="CA704" s="113"/>
      <c r="CB704" s="113"/>
      <c r="CC704" s="113"/>
      <c r="CD704" s="113"/>
      <c r="CE704" s="113"/>
      <c r="CF704" s="113"/>
      <c r="CG704" s="113"/>
      <c r="CH704" s="113"/>
      <c r="CI704" s="113"/>
      <c r="CJ704" s="113"/>
      <c r="CK704" s="113"/>
      <c r="CL704" s="113"/>
      <c r="CM704" s="113"/>
      <c r="CN704" s="113"/>
      <c r="CO704" s="113"/>
      <c r="CP704" s="113"/>
      <c r="CQ704" s="113"/>
      <c r="CR704" s="113"/>
      <c r="CS704" s="113"/>
      <c r="CT704" s="113"/>
      <c r="CU704" s="113"/>
    </row>
    <row r="705">
      <c r="A705" s="159"/>
      <c r="B705" s="113"/>
      <c r="C705" s="113"/>
      <c r="D705" s="158"/>
      <c r="E705" s="161"/>
      <c r="F705" s="160"/>
      <c r="G705" s="162"/>
      <c r="H705" s="159"/>
      <c r="I705" s="113"/>
      <c r="J705" s="113"/>
      <c r="K705" s="113"/>
      <c r="L705" s="158"/>
      <c r="M705" s="113"/>
      <c r="N705" s="113"/>
      <c r="O705" s="113"/>
      <c r="P705" s="113"/>
      <c r="Q705" s="113"/>
      <c r="R705" s="113"/>
      <c r="S705" s="113"/>
      <c r="T705" s="113"/>
      <c r="U705" s="113"/>
      <c r="V705" s="113"/>
      <c r="W705" s="113"/>
      <c r="X705" s="113"/>
      <c r="Y705" s="113"/>
      <c r="Z705" s="113"/>
      <c r="AA705" s="113"/>
      <c r="AB705" s="113"/>
      <c r="AC705" s="113"/>
      <c r="AD705" s="113"/>
      <c r="AE705" s="113"/>
      <c r="AF705" s="113"/>
      <c r="AG705" s="113"/>
      <c r="AH705" s="113"/>
      <c r="AI705" s="113"/>
      <c r="AJ705" s="113"/>
      <c r="AK705" s="113"/>
      <c r="AL705" s="113"/>
      <c r="AM705" s="113"/>
      <c r="AN705" s="113"/>
      <c r="AO705" s="113"/>
      <c r="AP705" s="113"/>
      <c r="AQ705" s="113"/>
      <c r="AR705" s="113"/>
      <c r="AS705" s="113"/>
      <c r="AT705" s="113"/>
      <c r="AU705" s="113"/>
      <c r="AV705" s="113"/>
      <c r="AW705" s="113"/>
      <c r="AX705" s="113"/>
      <c r="AY705" s="113"/>
      <c r="AZ705" s="113"/>
      <c r="BA705" s="113"/>
      <c r="BB705" s="113"/>
      <c r="BC705" s="113"/>
      <c r="BD705" s="113"/>
      <c r="BE705" s="113"/>
      <c r="BF705" s="113"/>
      <c r="BG705" s="113"/>
      <c r="BH705" s="113"/>
      <c r="BI705" s="113"/>
      <c r="BJ705" s="113"/>
      <c r="BK705" s="113"/>
      <c r="BL705" s="113"/>
      <c r="BM705" s="113"/>
      <c r="BN705" s="113"/>
      <c r="BO705" s="113"/>
      <c r="BP705" s="113"/>
      <c r="BQ705" s="113"/>
      <c r="BR705" s="113"/>
      <c r="BS705" s="113"/>
      <c r="BT705" s="113"/>
      <c r="BU705" s="113"/>
      <c r="BV705" s="113"/>
      <c r="BW705" s="113"/>
      <c r="BX705" s="113"/>
      <c r="BY705" s="113"/>
      <c r="BZ705" s="113"/>
      <c r="CA705" s="113"/>
      <c r="CB705" s="113"/>
      <c r="CC705" s="113"/>
      <c r="CD705" s="113"/>
      <c r="CE705" s="113"/>
      <c r="CF705" s="113"/>
      <c r="CG705" s="113"/>
      <c r="CH705" s="113"/>
      <c r="CI705" s="113"/>
      <c r="CJ705" s="113"/>
      <c r="CK705" s="113"/>
      <c r="CL705" s="113"/>
      <c r="CM705" s="113"/>
      <c r="CN705" s="113"/>
      <c r="CO705" s="113"/>
      <c r="CP705" s="113"/>
      <c r="CQ705" s="113"/>
      <c r="CR705" s="113"/>
      <c r="CS705" s="113"/>
      <c r="CT705" s="113"/>
      <c r="CU705" s="113"/>
    </row>
    <row r="706">
      <c r="A706" s="159"/>
      <c r="B706" s="113"/>
      <c r="C706" s="113"/>
      <c r="D706" s="158"/>
      <c r="E706" s="161"/>
      <c r="F706" s="160"/>
      <c r="G706" s="162"/>
      <c r="H706" s="159"/>
      <c r="I706" s="113"/>
      <c r="J706" s="113"/>
      <c r="K706" s="113"/>
      <c r="L706" s="158"/>
      <c r="M706" s="113"/>
      <c r="N706" s="113"/>
      <c r="O706" s="113"/>
      <c r="P706" s="113"/>
      <c r="Q706" s="113"/>
      <c r="R706" s="113"/>
      <c r="S706" s="113"/>
      <c r="T706" s="113"/>
      <c r="U706" s="113"/>
      <c r="V706" s="113"/>
      <c r="W706" s="113"/>
      <c r="X706" s="113"/>
      <c r="Y706" s="113"/>
      <c r="Z706" s="113"/>
      <c r="AA706" s="113"/>
      <c r="AB706" s="113"/>
      <c r="AC706" s="113"/>
      <c r="AD706" s="113"/>
      <c r="AE706" s="113"/>
      <c r="AF706" s="113"/>
      <c r="AG706" s="113"/>
      <c r="AH706" s="113"/>
      <c r="AI706" s="113"/>
      <c r="AJ706" s="113"/>
      <c r="AK706" s="113"/>
      <c r="AL706" s="113"/>
      <c r="AM706" s="113"/>
      <c r="AN706" s="113"/>
      <c r="AO706" s="113"/>
      <c r="AP706" s="113"/>
      <c r="AQ706" s="113"/>
      <c r="AR706" s="113"/>
      <c r="AS706" s="113"/>
      <c r="AT706" s="113"/>
      <c r="AU706" s="113"/>
      <c r="AV706" s="113"/>
      <c r="AW706" s="113"/>
      <c r="AX706" s="113"/>
      <c r="AY706" s="113"/>
      <c r="AZ706" s="113"/>
      <c r="BA706" s="113"/>
      <c r="BB706" s="113"/>
      <c r="BC706" s="113"/>
      <c r="BD706" s="113"/>
      <c r="BE706" s="113"/>
      <c r="BF706" s="113"/>
      <c r="BG706" s="113"/>
      <c r="BH706" s="113"/>
      <c r="BI706" s="113"/>
      <c r="BJ706" s="113"/>
      <c r="BK706" s="113"/>
      <c r="BL706" s="113"/>
      <c r="BM706" s="113"/>
      <c r="BN706" s="113"/>
      <c r="BO706" s="113"/>
      <c r="BP706" s="113"/>
      <c r="BQ706" s="113"/>
      <c r="BR706" s="113"/>
      <c r="BS706" s="113"/>
      <c r="BT706" s="113"/>
      <c r="BU706" s="113"/>
      <c r="BV706" s="113"/>
      <c r="BW706" s="113"/>
      <c r="BX706" s="113"/>
      <c r="BY706" s="113"/>
      <c r="BZ706" s="113"/>
      <c r="CA706" s="113"/>
      <c r="CB706" s="113"/>
      <c r="CC706" s="113"/>
      <c r="CD706" s="113"/>
      <c r="CE706" s="113"/>
      <c r="CF706" s="113"/>
      <c r="CG706" s="113"/>
      <c r="CH706" s="113"/>
      <c r="CI706" s="113"/>
      <c r="CJ706" s="113"/>
      <c r="CK706" s="113"/>
      <c r="CL706" s="113"/>
      <c r="CM706" s="113"/>
      <c r="CN706" s="113"/>
      <c r="CO706" s="113"/>
      <c r="CP706" s="113"/>
      <c r="CQ706" s="113"/>
      <c r="CR706" s="113"/>
      <c r="CS706" s="113"/>
      <c r="CT706" s="113"/>
      <c r="CU706" s="113"/>
    </row>
    <row r="707">
      <c r="A707" s="159"/>
      <c r="B707" s="113"/>
      <c r="C707" s="113"/>
      <c r="D707" s="158"/>
      <c r="E707" s="161"/>
      <c r="F707" s="160"/>
      <c r="G707" s="162"/>
      <c r="H707" s="159"/>
      <c r="I707" s="113"/>
      <c r="J707" s="113"/>
      <c r="K707" s="113"/>
      <c r="L707" s="158"/>
      <c r="M707" s="113"/>
      <c r="N707" s="113"/>
      <c r="O707" s="113"/>
      <c r="P707" s="113"/>
      <c r="Q707" s="113"/>
      <c r="R707" s="113"/>
      <c r="S707" s="113"/>
      <c r="T707" s="113"/>
      <c r="U707" s="113"/>
      <c r="V707" s="113"/>
      <c r="W707" s="113"/>
      <c r="X707" s="113"/>
      <c r="Y707" s="113"/>
      <c r="Z707" s="113"/>
      <c r="AA707" s="113"/>
      <c r="AB707" s="113"/>
      <c r="AC707" s="113"/>
      <c r="AD707" s="113"/>
      <c r="AE707" s="113"/>
      <c r="AF707" s="113"/>
      <c r="AG707" s="113"/>
      <c r="AH707" s="113"/>
      <c r="AI707" s="113"/>
      <c r="AJ707" s="113"/>
      <c r="AK707" s="113"/>
      <c r="AL707" s="113"/>
      <c r="AM707" s="113"/>
      <c r="AN707" s="113"/>
      <c r="AO707" s="113"/>
      <c r="AP707" s="113"/>
      <c r="AQ707" s="113"/>
      <c r="AR707" s="113"/>
      <c r="AS707" s="113"/>
      <c r="AT707" s="113"/>
      <c r="AU707" s="113"/>
      <c r="AV707" s="113"/>
      <c r="AW707" s="113"/>
      <c r="AX707" s="113"/>
      <c r="AY707" s="113"/>
      <c r="AZ707" s="113"/>
      <c r="BA707" s="113"/>
      <c r="BB707" s="113"/>
      <c r="BC707" s="113"/>
      <c r="BD707" s="113"/>
      <c r="BE707" s="113"/>
      <c r="BF707" s="113"/>
      <c r="BG707" s="113"/>
      <c r="BH707" s="113"/>
      <c r="BI707" s="113"/>
      <c r="BJ707" s="113"/>
      <c r="BK707" s="113"/>
      <c r="BL707" s="113"/>
      <c r="BM707" s="113"/>
      <c r="BN707" s="113"/>
      <c r="BO707" s="113"/>
      <c r="BP707" s="113"/>
      <c r="BQ707" s="113"/>
      <c r="BR707" s="113"/>
      <c r="BS707" s="113"/>
      <c r="BT707" s="113"/>
      <c r="BU707" s="113"/>
      <c r="BV707" s="113"/>
      <c r="BW707" s="113"/>
      <c r="BX707" s="113"/>
      <c r="BY707" s="113"/>
      <c r="BZ707" s="113"/>
      <c r="CA707" s="113"/>
      <c r="CB707" s="113"/>
      <c r="CC707" s="113"/>
      <c r="CD707" s="113"/>
      <c r="CE707" s="113"/>
      <c r="CF707" s="113"/>
      <c r="CG707" s="113"/>
      <c r="CH707" s="113"/>
      <c r="CI707" s="113"/>
      <c r="CJ707" s="113"/>
      <c r="CK707" s="113"/>
      <c r="CL707" s="113"/>
      <c r="CM707" s="113"/>
      <c r="CN707" s="113"/>
      <c r="CO707" s="113"/>
      <c r="CP707" s="113"/>
      <c r="CQ707" s="113"/>
      <c r="CR707" s="113"/>
      <c r="CS707" s="113"/>
      <c r="CT707" s="113"/>
      <c r="CU707" s="113"/>
    </row>
    <row r="708">
      <c r="A708" s="159"/>
      <c r="B708" s="113"/>
      <c r="C708" s="113"/>
      <c r="D708" s="158"/>
      <c r="E708" s="161"/>
      <c r="F708" s="160"/>
      <c r="G708" s="162"/>
      <c r="H708" s="159"/>
      <c r="I708" s="113"/>
      <c r="J708" s="113"/>
      <c r="K708" s="113"/>
      <c r="L708" s="158"/>
      <c r="M708" s="113"/>
      <c r="N708" s="113"/>
      <c r="O708" s="113"/>
      <c r="P708" s="113"/>
      <c r="Q708" s="113"/>
      <c r="R708" s="113"/>
      <c r="S708" s="113"/>
      <c r="T708" s="113"/>
      <c r="U708" s="113"/>
      <c r="V708" s="113"/>
      <c r="W708" s="113"/>
      <c r="X708" s="113"/>
      <c r="Y708" s="113"/>
      <c r="Z708" s="113"/>
      <c r="AA708" s="113"/>
      <c r="AB708" s="113"/>
      <c r="AC708" s="113"/>
      <c r="AD708" s="113"/>
      <c r="AE708" s="113"/>
      <c r="AF708" s="113"/>
      <c r="AG708" s="113"/>
      <c r="AH708" s="113"/>
      <c r="AI708" s="113"/>
      <c r="AJ708" s="113"/>
      <c r="AK708" s="113"/>
      <c r="AL708" s="113"/>
      <c r="AM708" s="113"/>
      <c r="AN708" s="113"/>
      <c r="AO708" s="113"/>
      <c r="AP708" s="113"/>
      <c r="AQ708" s="113"/>
      <c r="AR708" s="113"/>
      <c r="AS708" s="113"/>
      <c r="AT708" s="113"/>
      <c r="AU708" s="113"/>
      <c r="AV708" s="113"/>
      <c r="AW708" s="113"/>
      <c r="AX708" s="113"/>
      <c r="AY708" s="113"/>
      <c r="AZ708" s="113"/>
      <c r="BA708" s="113"/>
      <c r="BB708" s="113"/>
      <c r="BC708" s="113"/>
      <c r="BD708" s="113"/>
      <c r="BE708" s="113"/>
      <c r="BF708" s="113"/>
      <c r="BG708" s="113"/>
      <c r="BH708" s="113"/>
      <c r="BI708" s="113"/>
      <c r="BJ708" s="113"/>
      <c r="BK708" s="113"/>
      <c r="BL708" s="113"/>
      <c r="BM708" s="113"/>
      <c r="BN708" s="113"/>
      <c r="BO708" s="113"/>
      <c r="BP708" s="113"/>
      <c r="BQ708" s="113"/>
      <c r="BR708" s="113"/>
      <c r="BS708" s="113"/>
      <c r="BT708" s="113"/>
      <c r="BU708" s="113"/>
      <c r="BV708" s="113"/>
      <c r="BW708" s="113"/>
      <c r="BX708" s="113"/>
      <c r="BY708" s="113"/>
      <c r="BZ708" s="113"/>
      <c r="CA708" s="113"/>
      <c r="CB708" s="113"/>
      <c r="CC708" s="113"/>
      <c r="CD708" s="113"/>
      <c r="CE708" s="113"/>
      <c r="CF708" s="113"/>
      <c r="CG708" s="113"/>
      <c r="CH708" s="113"/>
      <c r="CI708" s="113"/>
      <c r="CJ708" s="113"/>
      <c r="CK708" s="113"/>
      <c r="CL708" s="113"/>
      <c r="CM708" s="113"/>
      <c r="CN708" s="113"/>
      <c r="CO708" s="113"/>
      <c r="CP708" s="113"/>
      <c r="CQ708" s="113"/>
      <c r="CR708" s="113"/>
      <c r="CS708" s="113"/>
      <c r="CT708" s="113"/>
      <c r="CU708" s="113"/>
    </row>
    <row r="709">
      <c r="A709" s="159"/>
      <c r="B709" s="113"/>
      <c r="C709" s="113"/>
      <c r="D709" s="158"/>
      <c r="E709" s="161"/>
      <c r="F709" s="160"/>
      <c r="G709" s="162"/>
      <c r="H709" s="159"/>
      <c r="I709" s="113"/>
      <c r="J709" s="113"/>
      <c r="K709" s="113"/>
      <c r="L709" s="158"/>
      <c r="M709" s="113"/>
      <c r="N709" s="113"/>
      <c r="O709" s="113"/>
      <c r="P709" s="113"/>
      <c r="Q709" s="113"/>
      <c r="R709" s="113"/>
      <c r="S709" s="113"/>
      <c r="T709" s="113"/>
      <c r="U709" s="113"/>
      <c r="V709" s="113"/>
      <c r="W709" s="113"/>
      <c r="X709" s="113"/>
      <c r="Y709" s="113"/>
      <c r="Z709" s="113"/>
      <c r="AA709" s="113"/>
      <c r="AB709" s="113"/>
      <c r="AC709" s="113"/>
      <c r="AD709" s="113"/>
      <c r="AE709" s="113"/>
      <c r="AF709" s="113"/>
      <c r="AG709" s="113"/>
      <c r="AH709" s="113"/>
      <c r="AI709" s="113"/>
      <c r="AJ709" s="113"/>
      <c r="AK709" s="113"/>
      <c r="AL709" s="113"/>
      <c r="AM709" s="113"/>
      <c r="AN709" s="113"/>
      <c r="AO709" s="113"/>
      <c r="AP709" s="113"/>
      <c r="AQ709" s="113"/>
      <c r="AR709" s="113"/>
      <c r="AS709" s="113"/>
      <c r="AT709" s="113"/>
      <c r="AU709" s="113"/>
      <c r="AV709" s="113"/>
      <c r="AW709" s="113"/>
      <c r="AX709" s="113"/>
      <c r="AY709" s="113"/>
      <c r="AZ709" s="113"/>
      <c r="BA709" s="113"/>
      <c r="BB709" s="113"/>
      <c r="BC709" s="113"/>
      <c r="BD709" s="113"/>
      <c r="BE709" s="113"/>
      <c r="BF709" s="113"/>
      <c r="BG709" s="113"/>
      <c r="BH709" s="113"/>
      <c r="BI709" s="113"/>
      <c r="BJ709" s="113"/>
      <c r="BK709" s="113"/>
      <c r="BL709" s="113"/>
      <c r="BM709" s="113"/>
      <c r="BN709" s="113"/>
      <c r="BO709" s="113"/>
      <c r="BP709" s="113"/>
      <c r="BQ709" s="113"/>
      <c r="BR709" s="113"/>
      <c r="BS709" s="113"/>
      <c r="BT709" s="113"/>
      <c r="BU709" s="113"/>
      <c r="BV709" s="113"/>
      <c r="BW709" s="113"/>
      <c r="BX709" s="113"/>
      <c r="BY709" s="113"/>
      <c r="BZ709" s="113"/>
      <c r="CA709" s="113"/>
      <c r="CB709" s="113"/>
      <c r="CC709" s="113"/>
      <c r="CD709" s="113"/>
      <c r="CE709" s="113"/>
      <c r="CF709" s="113"/>
      <c r="CG709" s="113"/>
      <c r="CH709" s="113"/>
      <c r="CI709" s="113"/>
      <c r="CJ709" s="113"/>
      <c r="CK709" s="113"/>
      <c r="CL709" s="113"/>
      <c r="CM709" s="113"/>
      <c r="CN709" s="113"/>
      <c r="CO709" s="113"/>
      <c r="CP709" s="113"/>
      <c r="CQ709" s="113"/>
      <c r="CR709" s="113"/>
      <c r="CS709" s="113"/>
      <c r="CT709" s="113"/>
      <c r="CU709" s="113"/>
    </row>
    <row r="710">
      <c r="A710" s="159"/>
      <c r="B710" s="113"/>
      <c r="C710" s="113"/>
      <c r="D710" s="158"/>
      <c r="E710" s="161"/>
      <c r="F710" s="160"/>
      <c r="G710" s="162"/>
      <c r="H710" s="159"/>
      <c r="I710" s="113"/>
      <c r="J710" s="113"/>
      <c r="K710" s="113"/>
      <c r="L710" s="158"/>
      <c r="M710" s="113"/>
      <c r="N710" s="113"/>
      <c r="O710" s="113"/>
      <c r="P710" s="113"/>
      <c r="Q710" s="113"/>
      <c r="R710" s="113"/>
      <c r="S710" s="113"/>
      <c r="T710" s="113"/>
      <c r="U710" s="113"/>
      <c r="V710" s="113"/>
      <c r="W710" s="113"/>
      <c r="X710" s="113"/>
      <c r="Y710" s="113"/>
      <c r="Z710" s="113"/>
      <c r="AA710" s="113"/>
      <c r="AB710" s="113"/>
      <c r="AC710" s="113"/>
      <c r="AD710" s="113"/>
      <c r="AE710" s="113"/>
      <c r="AF710" s="113"/>
      <c r="AG710" s="113"/>
      <c r="AH710" s="113"/>
      <c r="AI710" s="113"/>
      <c r="AJ710" s="113"/>
      <c r="AK710" s="113"/>
      <c r="AL710" s="113"/>
      <c r="AM710" s="113"/>
      <c r="AN710" s="113"/>
      <c r="AO710" s="113"/>
      <c r="AP710" s="113"/>
      <c r="AQ710" s="113"/>
      <c r="AR710" s="113"/>
      <c r="AS710" s="113"/>
      <c r="AT710" s="113"/>
      <c r="AU710" s="113"/>
      <c r="AV710" s="113"/>
      <c r="AW710" s="113"/>
      <c r="AX710" s="113"/>
      <c r="AY710" s="113"/>
      <c r="AZ710" s="113"/>
      <c r="BA710" s="113"/>
      <c r="BB710" s="113"/>
      <c r="BC710" s="113"/>
      <c r="BD710" s="113"/>
      <c r="BE710" s="113"/>
      <c r="BF710" s="113"/>
      <c r="BG710" s="113"/>
      <c r="BH710" s="113"/>
      <c r="BI710" s="113"/>
      <c r="BJ710" s="113"/>
      <c r="BK710" s="113"/>
      <c r="BL710" s="113"/>
      <c r="BM710" s="113"/>
      <c r="BN710" s="113"/>
      <c r="BO710" s="113"/>
      <c r="BP710" s="113"/>
      <c r="BQ710" s="113"/>
      <c r="BR710" s="113"/>
      <c r="BS710" s="113"/>
      <c r="BT710" s="113"/>
      <c r="BU710" s="113"/>
      <c r="BV710" s="113"/>
      <c r="BW710" s="113"/>
      <c r="BX710" s="113"/>
      <c r="BY710" s="113"/>
      <c r="BZ710" s="113"/>
      <c r="CA710" s="113"/>
      <c r="CB710" s="113"/>
      <c r="CC710" s="113"/>
      <c r="CD710" s="113"/>
      <c r="CE710" s="113"/>
      <c r="CF710" s="113"/>
      <c r="CG710" s="113"/>
      <c r="CH710" s="113"/>
      <c r="CI710" s="113"/>
      <c r="CJ710" s="113"/>
      <c r="CK710" s="113"/>
      <c r="CL710" s="113"/>
      <c r="CM710" s="113"/>
      <c r="CN710" s="113"/>
      <c r="CO710" s="113"/>
      <c r="CP710" s="113"/>
      <c r="CQ710" s="113"/>
      <c r="CR710" s="113"/>
      <c r="CS710" s="113"/>
      <c r="CT710" s="113"/>
      <c r="CU710" s="113"/>
    </row>
    <row r="711">
      <c r="A711" s="159"/>
      <c r="B711" s="113"/>
      <c r="C711" s="113"/>
      <c r="D711" s="158"/>
      <c r="E711" s="161"/>
      <c r="F711" s="160"/>
      <c r="G711" s="162"/>
      <c r="H711" s="159"/>
      <c r="I711" s="113"/>
      <c r="J711" s="113"/>
      <c r="K711" s="113"/>
      <c r="L711" s="158"/>
      <c r="M711" s="113"/>
      <c r="N711" s="113"/>
      <c r="O711" s="113"/>
      <c r="P711" s="113"/>
      <c r="Q711" s="113"/>
      <c r="R711" s="113"/>
      <c r="S711" s="113"/>
      <c r="T711" s="113"/>
      <c r="U711" s="113"/>
      <c r="V711" s="113"/>
      <c r="W711" s="113"/>
      <c r="X711" s="113"/>
      <c r="Y711" s="113"/>
      <c r="Z711" s="113"/>
      <c r="AA711" s="113"/>
      <c r="AB711" s="113"/>
      <c r="AC711" s="113"/>
      <c r="AD711" s="113"/>
      <c r="AE711" s="113"/>
      <c r="AF711" s="113"/>
      <c r="AG711" s="113"/>
      <c r="AH711" s="113"/>
      <c r="AI711" s="113"/>
      <c r="AJ711" s="113"/>
      <c r="AK711" s="113"/>
      <c r="AL711" s="113"/>
      <c r="AM711" s="113"/>
      <c r="AN711" s="113"/>
      <c r="AO711" s="113"/>
      <c r="AP711" s="113"/>
      <c r="AQ711" s="113"/>
      <c r="AR711" s="113"/>
      <c r="AS711" s="113"/>
      <c r="AT711" s="113"/>
      <c r="AU711" s="113"/>
      <c r="AV711" s="113"/>
      <c r="AW711" s="113"/>
      <c r="AX711" s="113"/>
      <c r="AY711" s="113"/>
      <c r="AZ711" s="113"/>
      <c r="BA711" s="113"/>
      <c r="BB711" s="113"/>
      <c r="BC711" s="113"/>
      <c r="BD711" s="113"/>
      <c r="BE711" s="113"/>
      <c r="BF711" s="113"/>
      <c r="BG711" s="113"/>
      <c r="BH711" s="113"/>
      <c r="BI711" s="113"/>
      <c r="BJ711" s="113"/>
      <c r="BK711" s="113"/>
      <c r="BL711" s="113"/>
      <c r="BM711" s="113"/>
      <c r="BN711" s="113"/>
      <c r="BO711" s="113"/>
      <c r="BP711" s="113"/>
      <c r="BQ711" s="113"/>
      <c r="BR711" s="113"/>
      <c r="BS711" s="113"/>
      <c r="BT711" s="113"/>
      <c r="BU711" s="113"/>
      <c r="BV711" s="113"/>
      <c r="BW711" s="113"/>
      <c r="BX711" s="113"/>
      <c r="BY711" s="113"/>
      <c r="BZ711" s="113"/>
      <c r="CA711" s="113"/>
      <c r="CB711" s="113"/>
      <c r="CC711" s="113"/>
      <c r="CD711" s="113"/>
      <c r="CE711" s="113"/>
      <c r="CF711" s="113"/>
      <c r="CG711" s="113"/>
      <c r="CH711" s="113"/>
      <c r="CI711" s="113"/>
      <c r="CJ711" s="113"/>
      <c r="CK711" s="113"/>
      <c r="CL711" s="113"/>
      <c r="CM711" s="113"/>
      <c r="CN711" s="113"/>
      <c r="CO711" s="113"/>
      <c r="CP711" s="113"/>
      <c r="CQ711" s="113"/>
      <c r="CR711" s="113"/>
      <c r="CS711" s="113"/>
      <c r="CT711" s="113"/>
      <c r="CU711" s="113"/>
    </row>
    <row r="712">
      <c r="A712" s="159"/>
      <c r="B712" s="113"/>
      <c r="C712" s="113"/>
      <c r="D712" s="158"/>
      <c r="E712" s="161"/>
      <c r="F712" s="160"/>
      <c r="G712" s="162"/>
      <c r="H712" s="159"/>
      <c r="I712" s="113"/>
      <c r="J712" s="113"/>
      <c r="K712" s="113"/>
      <c r="L712" s="158"/>
      <c r="M712" s="113"/>
      <c r="N712" s="113"/>
      <c r="O712" s="113"/>
      <c r="P712" s="113"/>
      <c r="Q712" s="113"/>
      <c r="R712" s="113"/>
      <c r="S712" s="113"/>
      <c r="T712" s="113"/>
      <c r="U712" s="113"/>
      <c r="V712" s="113"/>
      <c r="W712" s="113"/>
      <c r="X712" s="113"/>
      <c r="Y712" s="113"/>
      <c r="Z712" s="113"/>
      <c r="AA712" s="113"/>
      <c r="AB712" s="113"/>
      <c r="AC712" s="113"/>
      <c r="AD712" s="113"/>
      <c r="AE712" s="113"/>
      <c r="AF712" s="113"/>
      <c r="AG712" s="113"/>
      <c r="AH712" s="113"/>
      <c r="AI712" s="113"/>
      <c r="AJ712" s="113"/>
      <c r="AK712" s="113"/>
      <c r="AL712" s="113"/>
      <c r="AM712" s="113"/>
      <c r="AN712" s="113"/>
      <c r="AO712" s="113"/>
      <c r="AP712" s="113"/>
      <c r="AQ712" s="113"/>
      <c r="AR712" s="113"/>
      <c r="AS712" s="113"/>
      <c r="AT712" s="113"/>
      <c r="AU712" s="113"/>
      <c r="AV712" s="113"/>
      <c r="AW712" s="113"/>
      <c r="AX712" s="113"/>
      <c r="AY712" s="113"/>
      <c r="AZ712" s="113"/>
      <c r="BA712" s="113"/>
      <c r="BB712" s="113"/>
      <c r="BC712" s="113"/>
      <c r="BD712" s="113"/>
      <c r="BE712" s="113"/>
      <c r="BF712" s="113"/>
      <c r="BG712" s="113"/>
      <c r="BH712" s="113"/>
      <c r="BI712" s="113"/>
      <c r="BJ712" s="113"/>
      <c r="BK712" s="113"/>
      <c r="BL712" s="113"/>
      <c r="BM712" s="113"/>
      <c r="BN712" s="113"/>
      <c r="BO712" s="113"/>
      <c r="BP712" s="113"/>
      <c r="BQ712" s="113"/>
      <c r="BR712" s="113"/>
      <c r="BS712" s="113"/>
      <c r="BT712" s="113"/>
      <c r="BU712" s="113"/>
      <c r="BV712" s="113"/>
      <c r="BW712" s="113"/>
      <c r="BX712" s="113"/>
      <c r="BY712" s="113"/>
      <c r="BZ712" s="113"/>
      <c r="CA712" s="113"/>
      <c r="CB712" s="113"/>
      <c r="CC712" s="113"/>
      <c r="CD712" s="113"/>
      <c r="CE712" s="113"/>
      <c r="CF712" s="113"/>
      <c r="CG712" s="113"/>
      <c r="CH712" s="113"/>
      <c r="CI712" s="113"/>
      <c r="CJ712" s="113"/>
      <c r="CK712" s="113"/>
      <c r="CL712" s="113"/>
      <c r="CM712" s="113"/>
      <c r="CN712" s="113"/>
      <c r="CO712" s="113"/>
      <c r="CP712" s="113"/>
      <c r="CQ712" s="113"/>
      <c r="CR712" s="113"/>
      <c r="CS712" s="113"/>
      <c r="CT712" s="113"/>
      <c r="CU712" s="113"/>
    </row>
    <row r="713">
      <c r="A713" s="159"/>
      <c r="B713" s="113"/>
      <c r="C713" s="113"/>
      <c r="D713" s="158"/>
      <c r="E713" s="161"/>
      <c r="F713" s="160"/>
      <c r="G713" s="162"/>
      <c r="H713" s="159"/>
      <c r="I713" s="113"/>
      <c r="J713" s="113"/>
      <c r="K713" s="113"/>
      <c r="L713" s="158"/>
      <c r="M713" s="113"/>
      <c r="N713" s="113"/>
      <c r="O713" s="113"/>
      <c r="P713" s="113"/>
      <c r="Q713" s="113"/>
      <c r="R713" s="113"/>
      <c r="S713" s="113"/>
      <c r="T713" s="113"/>
      <c r="U713" s="113"/>
      <c r="V713" s="113"/>
      <c r="W713" s="113"/>
      <c r="X713" s="113"/>
      <c r="Y713" s="113"/>
      <c r="Z713" s="113"/>
      <c r="AA713" s="113"/>
      <c r="AB713" s="113"/>
      <c r="AC713" s="113"/>
      <c r="AD713" s="113"/>
      <c r="AE713" s="113"/>
      <c r="AF713" s="113"/>
      <c r="AG713" s="113"/>
      <c r="AH713" s="113"/>
      <c r="AI713" s="113"/>
      <c r="AJ713" s="113"/>
      <c r="AK713" s="113"/>
      <c r="AL713" s="113"/>
      <c r="AM713" s="113"/>
      <c r="AN713" s="113"/>
      <c r="AO713" s="113"/>
      <c r="AP713" s="113"/>
      <c r="AQ713" s="113"/>
      <c r="AR713" s="113"/>
      <c r="AS713" s="113"/>
      <c r="AT713" s="113"/>
      <c r="AU713" s="113"/>
      <c r="AV713" s="113"/>
      <c r="AW713" s="113"/>
      <c r="AX713" s="113"/>
      <c r="AY713" s="113"/>
      <c r="AZ713" s="113"/>
      <c r="BA713" s="113"/>
      <c r="BB713" s="113"/>
      <c r="BC713" s="113"/>
      <c r="BD713" s="113"/>
      <c r="BE713" s="113"/>
      <c r="BF713" s="113"/>
      <c r="BG713" s="113"/>
      <c r="BH713" s="113"/>
      <c r="BI713" s="113"/>
      <c r="BJ713" s="113"/>
      <c r="BK713" s="113"/>
      <c r="BL713" s="113"/>
      <c r="BM713" s="113"/>
      <c r="BN713" s="113"/>
      <c r="BO713" s="113"/>
      <c r="BP713" s="113"/>
      <c r="BQ713" s="113"/>
      <c r="BR713" s="113"/>
      <c r="BS713" s="113"/>
      <c r="BT713" s="113"/>
      <c r="BU713" s="113"/>
      <c r="BV713" s="113"/>
      <c r="BW713" s="113"/>
      <c r="BX713" s="113"/>
      <c r="BY713" s="113"/>
      <c r="BZ713" s="113"/>
      <c r="CA713" s="113"/>
      <c r="CB713" s="113"/>
      <c r="CC713" s="113"/>
      <c r="CD713" s="113"/>
      <c r="CE713" s="113"/>
      <c r="CF713" s="113"/>
      <c r="CG713" s="113"/>
      <c r="CH713" s="113"/>
      <c r="CI713" s="113"/>
      <c r="CJ713" s="113"/>
      <c r="CK713" s="113"/>
      <c r="CL713" s="113"/>
      <c r="CM713" s="113"/>
      <c r="CN713" s="113"/>
      <c r="CO713" s="113"/>
      <c r="CP713" s="113"/>
      <c r="CQ713" s="113"/>
      <c r="CR713" s="113"/>
      <c r="CS713" s="113"/>
      <c r="CT713" s="113"/>
      <c r="CU713" s="113"/>
    </row>
    <row r="714">
      <c r="A714" s="159"/>
      <c r="B714" s="113"/>
      <c r="C714" s="113"/>
      <c r="D714" s="158"/>
      <c r="E714" s="161"/>
      <c r="F714" s="160"/>
      <c r="G714" s="162"/>
      <c r="H714" s="159"/>
      <c r="I714" s="113"/>
      <c r="J714" s="113"/>
      <c r="K714" s="113"/>
      <c r="L714" s="158"/>
      <c r="M714" s="113"/>
      <c r="N714" s="113"/>
      <c r="O714" s="113"/>
      <c r="P714" s="113"/>
      <c r="Q714" s="113"/>
      <c r="R714" s="113"/>
      <c r="S714" s="113"/>
      <c r="T714" s="113"/>
      <c r="U714" s="113"/>
      <c r="V714" s="113"/>
      <c r="W714" s="113"/>
      <c r="X714" s="113"/>
      <c r="Y714" s="113"/>
      <c r="Z714" s="113"/>
      <c r="AA714" s="113"/>
      <c r="AB714" s="113"/>
      <c r="AC714" s="113"/>
      <c r="AD714" s="113"/>
      <c r="AE714" s="113"/>
      <c r="AF714" s="113"/>
      <c r="AG714" s="113"/>
      <c r="AH714" s="113"/>
      <c r="AI714" s="113"/>
      <c r="AJ714" s="113"/>
      <c r="AK714" s="113"/>
      <c r="AL714" s="113"/>
      <c r="AM714" s="113"/>
      <c r="AN714" s="113"/>
      <c r="AO714" s="113"/>
      <c r="AP714" s="113"/>
      <c r="AQ714" s="113"/>
      <c r="AR714" s="113"/>
      <c r="AS714" s="113"/>
      <c r="AT714" s="113"/>
      <c r="AU714" s="113"/>
      <c r="AV714" s="113"/>
      <c r="AW714" s="113"/>
      <c r="AX714" s="113"/>
      <c r="AY714" s="113"/>
      <c r="AZ714" s="113"/>
      <c r="BA714" s="113"/>
      <c r="BB714" s="113"/>
      <c r="BC714" s="113"/>
      <c r="BD714" s="113"/>
      <c r="BE714" s="113"/>
      <c r="BF714" s="113"/>
      <c r="BG714" s="113"/>
      <c r="BH714" s="113"/>
      <c r="BI714" s="113"/>
      <c r="BJ714" s="113"/>
      <c r="BK714" s="113"/>
      <c r="BL714" s="113"/>
      <c r="BM714" s="113"/>
      <c r="BN714" s="113"/>
      <c r="BO714" s="113"/>
      <c r="BP714" s="113"/>
      <c r="BQ714" s="113"/>
      <c r="BR714" s="113"/>
      <c r="BS714" s="113"/>
      <c r="BT714" s="113"/>
      <c r="BU714" s="113"/>
      <c r="BV714" s="113"/>
      <c r="BW714" s="113"/>
      <c r="BX714" s="113"/>
      <c r="BY714" s="113"/>
      <c r="BZ714" s="113"/>
      <c r="CA714" s="113"/>
      <c r="CB714" s="113"/>
      <c r="CC714" s="113"/>
      <c r="CD714" s="113"/>
      <c r="CE714" s="113"/>
      <c r="CF714" s="113"/>
      <c r="CG714" s="113"/>
      <c r="CH714" s="113"/>
      <c r="CI714" s="113"/>
      <c r="CJ714" s="113"/>
      <c r="CK714" s="113"/>
      <c r="CL714" s="113"/>
      <c r="CM714" s="113"/>
      <c r="CN714" s="113"/>
      <c r="CO714" s="113"/>
      <c r="CP714" s="113"/>
      <c r="CQ714" s="113"/>
      <c r="CR714" s="113"/>
      <c r="CS714" s="113"/>
      <c r="CT714" s="113"/>
      <c r="CU714" s="113"/>
    </row>
    <row r="715">
      <c r="A715" s="159"/>
      <c r="B715" s="113"/>
      <c r="C715" s="113"/>
      <c r="D715" s="158"/>
      <c r="E715" s="161"/>
      <c r="F715" s="160"/>
      <c r="G715" s="162"/>
      <c r="H715" s="159"/>
      <c r="I715" s="113"/>
      <c r="J715" s="113"/>
      <c r="K715" s="113"/>
      <c r="L715" s="158"/>
      <c r="M715" s="113"/>
      <c r="N715" s="113"/>
      <c r="O715" s="113"/>
      <c r="P715" s="113"/>
      <c r="Q715" s="113"/>
      <c r="R715" s="113"/>
      <c r="S715" s="113"/>
      <c r="T715" s="113"/>
      <c r="U715" s="113"/>
      <c r="V715" s="113"/>
      <c r="W715" s="113"/>
      <c r="X715" s="113"/>
      <c r="Y715" s="113"/>
      <c r="Z715" s="113"/>
      <c r="AA715" s="113"/>
      <c r="AB715" s="113"/>
      <c r="AC715" s="113"/>
      <c r="AD715" s="113"/>
      <c r="AE715" s="113"/>
      <c r="AF715" s="113"/>
      <c r="AG715" s="113"/>
      <c r="AH715" s="113"/>
      <c r="AI715" s="113"/>
      <c r="AJ715" s="113"/>
      <c r="AK715" s="113"/>
      <c r="AL715" s="113"/>
      <c r="AM715" s="113"/>
      <c r="AN715" s="113"/>
      <c r="AO715" s="113"/>
      <c r="AP715" s="113"/>
      <c r="AQ715" s="113"/>
      <c r="AR715" s="113"/>
      <c r="AS715" s="113"/>
      <c r="AT715" s="113"/>
      <c r="AU715" s="113"/>
      <c r="AV715" s="113"/>
      <c r="AW715" s="113"/>
      <c r="AX715" s="113"/>
      <c r="AY715" s="113"/>
      <c r="AZ715" s="113"/>
      <c r="BA715" s="113"/>
      <c r="BB715" s="113"/>
      <c r="BC715" s="113"/>
      <c r="BD715" s="113"/>
      <c r="BE715" s="113"/>
      <c r="BF715" s="113"/>
      <c r="BG715" s="113"/>
      <c r="BH715" s="113"/>
      <c r="BI715" s="113"/>
      <c r="BJ715" s="113"/>
      <c r="BK715" s="113"/>
      <c r="BL715" s="113"/>
      <c r="BM715" s="113"/>
      <c r="BN715" s="113"/>
      <c r="BO715" s="113"/>
      <c r="BP715" s="113"/>
      <c r="BQ715" s="113"/>
      <c r="BR715" s="113"/>
      <c r="BS715" s="113"/>
      <c r="BT715" s="113"/>
      <c r="BU715" s="113"/>
      <c r="BV715" s="113"/>
      <c r="BW715" s="113"/>
      <c r="BX715" s="113"/>
      <c r="BY715" s="113"/>
      <c r="BZ715" s="113"/>
      <c r="CA715" s="113"/>
      <c r="CB715" s="113"/>
      <c r="CC715" s="113"/>
      <c r="CD715" s="113"/>
      <c r="CE715" s="113"/>
      <c r="CF715" s="113"/>
      <c r="CG715" s="113"/>
      <c r="CH715" s="113"/>
      <c r="CI715" s="113"/>
      <c r="CJ715" s="113"/>
      <c r="CK715" s="113"/>
      <c r="CL715" s="113"/>
      <c r="CM715" s="113"/>
      <c r="CN715" s="113"/>
      <c r="CO715" s="113"/>
      <c r="CP715" s="113"/>
      <c r="CQ715" s="113"/>
      <c r="CR715" s="113"/>
      <c r="CS715" s="113"/>
      <c r="CT715" s="113"/>
      <c r="CU715" s="113"/>
    </row>
    <row r="716">
      <c r="A716" s="159"/>
      <c r="B716" s="113"/>
      <c r="C716" s="113"/>
      <c r="D716" s="158"/>
      <c r="E716" s="161"/>
      <c r="F716" s="160"/>
      <c r="G716" s="162"/>
      <c r="H716" s="159"/>
      <c r="I716" s="113"/>
      <c r="J716" s="113"/>
      <c r="K716" s="113"/>
      <c r="L716" s="158"/>
      <c r="M716" s="113"/>
      <c r="N716" s="113"/>
      <c r="O716" s="113"/>
      <c r="P716" s="113"/>
      <c r="Q716" s="113"/>
      <c r="R716" s="113"/>
      <c r="S716" s="113"/>
      <c r="T716" s="113"/>
      <c r="U716" s="113"/>
      <c r="V716" s="113"/>
      <c r="W716" s="113"/>
      <c r="X716" s="113"/>
      <c r="Y716" s="113"/>
      <c r="Z716" s="113"/>
      <c r="AA716" s="113"/>
      <c r="AB716" s="113"/>
      <c r="AC716" s="113"/>
      <c r="AD716" s="113"/>
      <c r="AE716" s="113"/>
      <c r="AF716" s="113"/>
      <c r="AG716" s="113"/>
      <c r="AH716" s="113"/>
      <c r="AI716" s="113"/>
      <c r="AJ716" s="113"/>
      <c r="AK716" s="113"/>
      <c r="AL716" s="113"/>
      <c r="AM716" s="113"/>
      <c r="AN716" s="113"/>
      <c r="AO716" s="113"/>
      <c r="AP716" s="113"/>
      <c r="AQ716" s="113"/>
      <c r="AR716" s="113"/>
      <c r="AS716" s="113"/>
      <c r="AT716" s="113"/>
      <c r="AU716" s="113"/>
      <c r="AV716" s="113"/>
      <c r="AW716" s="113"/>
      <c r="AX716" s="113"/>
      <c r="AY716" s="113"/>
      <c r="AZ716" s="113"/>
      <c r="BA716" s="113"/>
      <c r="BB716" s="113"/>
      <c r="BC716" s="113"/>
      <c r="BD716" s="113"/>
      <c r="BE716" s="113"/>
      <c r="BF716" s="113"/>
      <c r="BG716" s="113"/>
      <c r="BH716" s="113"/>
      <c r="BI716" s="113"/>
      <c r="BJ716" s="113"/>
      <c r="BK716" s="113"/>
      <c r="BL716" s="113"/>
      <c r="BM716" s="113"/>
      <c r="BN716" s="113"/>
      <c r="BO716" s="113"/>
      <c r="BP716" s="113"/>
      <c r="BQ716" s="113"/>
      <c r="BR716" s="113"/>
      <c r="BS716" s="113"/>
      <c r="BT716" s="113"/>
      <c r="BU716" s="113"/>
      <c r="BV716" s="113"/>
      <c r="BW716" s="113"/>
      <c r="BX716" s="113"/>
      <c r="BY716" s="113"/>
      <c r="BZ716" s="113"/>
      <c r="CA716" s="113"/>
      <c r="CB716" s="113"/>
      <c r="CC716" s="113"/>
      <c r="CD716" s="113"/>
      <c r="CE716" s="113"/>
      <c r="CF716" s="113"/>
      <c r="CG716" s="113"/>
      <c r="CH716" s="113"/>
      <c r="CI716" s="113"/>
      <c r="CJ716" s="113"/>
      <c r="CK716" s="113"/>
      <c r="CL716" s="113"/>
      <c r="CM716" s="113"/>
      <c r="CN716" s="113"/>
      <c r="CO716" s="113"/>
      <c r="CP716" s="113"/>
      <c r="CQ716" s="113"/>
      <c r="CR716" s="113"/>
      <c r="CS716" s="113"/>
      <c r="CT716" s="113"/>
      <c r="CU716" s="113"/>
    </row>
    <row r="717">
      <c r="A717" s="159"/>
      <c r="B717" s="113"/>
      <c r="C717" s="113"/>
      <c r="D717" s="158"/>
      <c r="E717" s="161"/>
      <c r="F717" s="160"/>
      <c r="G717" s="162"/>
      <c r="H717" s="159"/>
      <c r="I717" s="113"/>
      <c r="J717" s="113"/>
      <c r="K717" s="113"/>
      <c r="L717" s="158"/>
      <c r="M717" s="113"/>
      <c r="N717" s="113"/>
      <c r="O717" s="113"/>
      <c r="P717" s="113"/>
      <c r="Q717" s="113"/>
      <c r="R717" s="113"/>
      <c r="S717" s="113"/>
      <c r="T717" s="113"/>
      <c r="U717" s="113"/>
      <c r="V717" s="113"/>
      <c r="W717" s="113"/>
      <c r="X717" s="113"/>
      <c r="Y717" s="113"/>
      <c r="Z717" s="113"/>
      <c r="AA717" s="113"/>
      <c r="AB717" s="113"/>
      <c r="AC717" s="113"/>
      <c r="AD717" s="113"/>
      <c r="AE717" s="113"/>
      <c r="AF717" s="113"/>
      <c r="AG717" s="113"/>
      <c r="AH717" s="113"/>
      <c r="AI717" s="113"/>
      <c r="AJ717" s="113"/>
      <c r="AK717" s="113"/>
      <c r="AL717" s="113"/>
      <c r="AM717" s="113"/>
      <c r="AN717" s="113"/>
      <c r="AO717" s="113"/>
      <c r="AP717" s="113"/>
      <c r="AQ717" s="113"/>
      <c r="AR717" s="113"/>
      <c r="AS717" s="113"/>
      <c r="AT717" s="113"/>
      <c r="AU717" s="113"/>
      <c r="AV717" s="113"/>
      <c r="AW717" s="113"/>
      <c r="AX717" s="113"/>
      <c r="AY717" s="113"/>
      <c r="AZ717" s="113"/>
      <c r="BA717" s="113"/>
      <c r="BB717" s="113"/>
      <c r="BC717" s="113"/>
      <c r="BD717" s="113"/>
      <c r="BE717" s="113"/>
      <c r="BF717" s="113"/>
      <c r="BG717" s="113"/>
      <c r="BH717" s="113"/>
      <c r="BI717" s="113"/>
      <c r="BJ717" s="113"/>
      <c r="BK717" s="113"/>
      <c r="BL717" s="113"/>
      <c r="BM717" s="113"/>
      <c r="BN717" s="113"/>
      <c r="BO717" s="113"/>
      <c r="BP717" s="113"/>
      <c r="BQ717" s="113"/>
      <c r="BR717" s="113"/>
      <c r="BS717" s="113"/>
      <c r="BT717" s="113"/>
      <c r="BU717" s="113"/>
      <c r="BV717" s="113"/>
      <c r="BW717" s="113"/>
      <c r="BX717" s="113"/>
      <c r="BY717" s="113"/>
      <c r="BZ717" s="113"/>
      <c r="CA717" s="113"/>
      <c r="CB717" s="113"/>
      <c r="CC717" s="113"/>
      <c r="CD717" s="113"/>
      <c r="CE717" s="113"/>
      <c r="CF717" s="113"/>
      <c r="CG717" s="113"/>
      <c r="CH717" s="113"/>
      <c r="CI717" s="113"/>
      <c r="CJ717" s="113"/>
      <c r="CK717" s="113"/>
      <c r="CL717" s="113"/>
      <c r="CM717" s="113"/>
      <c r="CN717" s="113"/>
      <c r="CO717" s="113"/>
      <c r="CP717" s="113"/>
      <c r="CQ717" s="113"/>
      <c r="CR717" s="113"/>
      <c r="CS717" s="113"/>
      <c r="CT717" s="113"/>
      <c r="CU717" s="113"/>
    </row>
    <row r="718">
      <c r="A718" s="159"/>
      <c r="B718" s="113"/>
      <c r="C718" s="113"/>
      <c r="D718" s="158"/>
      <c r="E718" s="161"/>
      <c r="F718" s="160"/>
      <c r="G718" s="162"/>
      <c r="H718" s="159"/>
      <c r="I718" s="113"/>
      <c r="J718" s="113"/>
      <c r="K718" s="113"/>
      <c r="L718" s="158"/>
      <c r="M718" s="113"/>
      <c r="N718" s="113"/>
      <c r="O718" s="113"/>
      <c r="P718" s="113"/>
      <c r="Q718" s="113"/>
      <c r="R718" s="113"/>
      <c r="S718" s="113"/>
      <c r="T718" s="113"/>
      <c r="U718" s="113"/>
      <c r="V718" s="113"/>
      <c r="W718" s="113"/>
      <c r="X718" s="113"/>
      <c r="Y718" s="113"/>
      <c r="Z718" s="113"/>
      <c r="AA718" s="113"/>
      <c r="AB718" s="113"/>
      <c r="AC718" s="113"/>
      <c r="AD718" s="113"/>
      <c r="AE718" s="113"/>
      <c r="AF718" s="113"/>
      <c r="AG718" s="113"/>
      <c r="AH718" s="113"/>
      <c r="AI718" s="113"/>
      <c r="AJ718" s="113"/>
      <c r="AK718" s="113"/>
      <c r="AL718" s="113"/>
      <c r="AM718" s="113"/>
      <c r="AN718" s="113"/>
      <c r="AO718" s="113"/>
      <c r="AP718" s="113"/>
      <c r="AQ718" s="113"/>
      <c r="AR718" s="113"/>
      <c r="AS718" s="113"/>
      <c r="AT718" s="113"/>
      <c r="AU718" s="113"/>
      <c r="AV718" s="113"/>
      <c r="AW718" s="113"/>
      <c r="AX718" s="113"/>
      <c r="AY718" s="113"/>
      <c r="AZ718" s="113"/>
      <c r="BA718" s="113"/>
      <c r="BB718" s="113"/>
      <c r="BC718" s="113"/>
      <c r="BD718" s="113"/>
      <c r="BE718" s="113"/>
      <c r="BF718" s="113"/>
      <c r="BG718" s="113"/>
      <c r="BH718" s="113"/>
      <c r="BI718" s="113"/>
      <c r="BJ718" s="113"/>
      <c r="BK718" s="113"/>
      <c r="BL718" s="113"/>
      <c r="BM718" s="113"/>
      <c r="BN718" s="113"/>
      <c r="BO718" s="113"/>
      <c r="BP718" s="113"/>
      <c r="BQ718" s="113"/>
      <c r="BR718" s="113"/>
      <c r="BS718" s="113"/>
      <c r="BT718" s="113"/>
      <c r="BU718" s="113"/>
      <c r="BV718" s="113"/>
      <c r="BW718" s="113"/>
      <c r="BX718" s="113"/>
      <c r="BY718" s="113"/>
      <c r="BZ718" s="113"/>
      <c r="CA718" s="113"/>
      <c r="CB718" s="113"/>
      <c r="CC718" s="113"/>
      <c r="CD718" s="113"/>
      <c r="CE718" s="113"/>
      <c r="CF718" s="113"/>
      <c r="CG718" s="113"/>
      <c r="CH718" s="113"/>
      <c r="CI718" s="113"/>
      <c r="CJ718" s="113"/>
      <c r="CK718" s="113"/>
      <c r="CL718" s="113"/>
      <c r="CM718" s="113"/>
      <c r="CN718" s="113"/>
      <c r="CO718" s="113"/>
      <c r="CP718" s="113"/>
      <c r="CQ718" s="113"/>
      <c r="CR718" s="113"/>
      <c r="CS718" s="113"/>
      <c r="CT718" s="113"/>
      <c r="CU718" s="113"/>
    </row>
    <row r="719">
      <c r="A719" s="159"/>
      <c r="B719" s="113"/>
      <c r="C719" s="113"/>
      <c r="D719" s="158"/>
      <c r="E719" s="161"/>
      <c r="F719" s="160"/>
      <c r="G719" s="162"/>
      <c r="H719" s="159"/>
      <c r="I719" s="113"/>
      <c r="J719" s="113"/>
      <c r="K719" s="113"/>
      <c r="L719" s="158"/>
      <c r="M719" s="113"/>
      <c r="N719" s="113"/>
      <c r="O719" s="113"/>
      <c r="P719" s="113"/>
      <c r="Q719" s="113"/>
      <c r="R719" s="113"/>
      <c r="S719" s="113"/>
      <c r="T719" s="113"/>
      <c r="U719" s="113"/>
      <c r="V719" s="113"/>
      <c r="W719" s="113"/>
      <c r="X719" s="113"/>
      <c r="Y719" s="113"/>
      <c r="Z719" s="113"/>
      <c r="AA719" s="113"/>
      <c r="AB719" s="113"/>
      <c r="AC719" s="113"/>
      <c r="AD719" s="113"/>
      <c r="AE719" s="113"/>
      <c r="AF719" s="113"/>
      <c r="AG719" s="113"/>
      <c r="AH719" s="113"/>
      <c r="AI719" s="113"/>
      <c r="AJ719" s="113"/>
      <c r="AK719" s="113"/>
      <c r="AL719" s="113"/>
      <c r="AM719" s="113"/>
      <c r="AN719" s="113"/>
      <c r="AO719" s="113"/>
      <c r="AP719" s="113"/>
      <c r="AQ719" s="113"/>
      <c r="AR719" s="113"/>
      <c r="AS719" s="113"/>
      <c r="AT719" s="113"/>
      <c r="AU719" s="113"/>
      <c r="AV719" s="113"/>
      <c r="AW719" s="113"/>
      <c r="AX719" s="113"/>
      <c r="AY719" s="113"/>
      <c r="AZ719" s="113"/>
      <c r="BA719" s="113"/>
      <c r="BB719" s="113"/>
      <c r="BC719" s="113"/>
      <c r="BD719" s="113"/>
      <c r="BE719" s="113"/>
      <c r="BF719" s="113"/>
      <c r="BG719" s="113"/>
      <c r="BH719" s="113"/>
      <c r="BI719" s="113"/>
      <c r="BJ719" s="113"/>
      <c r="BK719" s="113"/>
      <c r="BL719" s="113"/>
      <c r="BM719" s="113"/>
      <c r="BN719" s="113"/>
      <c r="BO719" s="113"/>
      <c r="BP719" s="113"/>
      <c r="BQ719" s="113"/>
      <c r="BR719" s="113"/>
      <c r="BS719" s="113"/>
      <c r="BT719" s="113"/>
      <c r="BU719" s="113"/>
      <c r="BV719" s="113"/>
      <c r="BW719" s="113"/>
      <c r="BX719" s="113"/>
      <c r="BY719" s="113"/>
      <c r="BZ719" s="113"/>
      <c r="CA719" s="113"/>
      <c r="CB719" s="113"/>
      <c r="CC719" s="113"/>
      <c r="CD719" s="113"/>
      <c r="CE719" s="113"/>
      <c r="CF719" s="113"/>
      <c r="CG719" s="113"/>
      <c r="CH719" s="113"/>
      <c r="CI719" s="113"/>
      <c r="CJ719" s="113"/>
      <c r="CK719" s="113"/>
      <c r="CL719" s="113"/>
      <c r="CM719" s="113"/>
      <c r="CN719" s="113"/>
      <c r="CO719" s="113"/>
      <c r="CP719" s="113"/>
      <c r="CQ719" s="113"/>
      <c r="CR719" s="113"/>
      <c r="CS719" s="113"/>
      <c r="CT719" s="113"/>
      <c r="CU719" s="113"/>
    </row>
    <row r="720">
      <c r="A720" s="159"/>
      <c r="B720" s="113"/>
      <c r="C720" s="113"/>
      <c r="D720" s="158"/>
      <c r="E720" s="161"/>
      <c r="F720" s="160"/>
      <c r="G720" s="162"/>
      <c r="H720" s="159"/>
      <c r="I720" s="113"/>
      <c r="J720" s="113"/>
      <c r="K720" s="113"/>
      <c r="L720" s="158"/>
      <c r="M720" s="113"/>
      <c r="N720" s="113"/>
      <c r="O720" s="113"/>
      <c r="P720" s="113"/>
      <c r="Q720" s="113"/>
      <c r="R720" s="113"/>
      <c r="S720" s="113"/>
      <c r="T720" s="113"/>
      <c r="U720" s="113"/>
      <c r="V720" s="113"/>
      <c r="W720" s="113"/>
      <c r="X720" s="113"/>
      <c r="Y720" s="113"/>
      <c r="Z720" s="113"/>
      <c r="AA720" s="113"/>
      <c r="AB720" s="113"/>
      <c r="AC720" s="113"/>
      <c r="AD720" s="113"/>
      <c r="AE720" s="113"/>
      <c r="AF720" s="113"/>
      <c r="AG720" s="113"/>
      <c r="AH720" s="113"/>
      <c r="AI720" s="113"/>
      <c r="AJ720" s="113"/>
      <c r="AK720" s="113"/>
      <c r="AL720" s="113"/>
      <c r="AM720" s="113"/>
      <c r="AN720" s="113"/>
      <c r="AO720" s="113"/>
      <c r="AP720" s="113"/>
      <c r="AQ720" s="113"/>
      <c r="AR720" s="113"/>
      <c r="AS720" s="113"/>
      <c r="AT720" s="113"/>
      <c r="AU720" s="113"/>
      <c r="AV720" s="113"/>
      <c r="AW720" s="113"/>
      <c r="AX720" s="113"/>
      <c r="AY720" s="113"/>
      <c r="AZ720" s="113"/>
      <c r="BA720" s="113"/>
      <c r="BB720" s="113"/>
      <c r="BC720" s="113"/>
      <c r="BD720" s="113"/>
      <c r="BE720" s="113"/>
      <c r="BF720" s="113"/>
      <c r="BG720" s="113"/>
      <c r="BH720" s="113"/>
      <c r="BI720" s="113"/>
      <c r="BJ720" s="113"/>
      <c r="BK720" s="113"/>
      <c r="BL720" s="113"/>
      <c r="BM720" s="113"/>
      <c r="BN720" s="113"/>
      <c r="BO720" s="113"/>
      <c r="BP720" s="113"/>
      <c r="BQ720" s="113"/>
      <c r="BR720" s="113"/>
      <c r="BS720" s="113"/>
      <c r="BT720" s="113"/>
      <c r="BU720" s="113"/>
      <c r="BV720" s="113"/>
      <c r="BW720" s="113"/>
      <c r="BX720" s="113"/>
      <c r="BY720" s="113"/>
      <c r="BZ720" s="113"/>
      <c r="CA720" s="113"/>
      <c r="CB720" s="113"/>
      <c r="CC720" s="113"/>
      <c r="CD720" s="113"/>
      <c r="CE720" s="113"/>
      <c r="CF720" s="113"/>
      <c r="CG720" s="113"/>
      <c r="CH720" s="113"/>
      <c r="CI720" s="113"/>
      <c r="CJ720" s="113"/>
      <c r="CK720" s="113"/>
      <c r="CL720" s="113"/>
      <c r="CM720" s="113"/>
      <c r="CN720" s="113"/>
      <c r="CO720" s="113"/>
      <c r="CP720" s="113"/>
      <c r="CQ720" s="113"/>
      <c r="CR720" s="113"/>
      <c r="CS720" s="113"/>
      <c r="CT720" s="113"/>
      <c r="CU720" s="113"/>
    </row>
    <row r="721">
      <c r="A721" s="159"/>
      <c r="B721" s="113"/>
      <c r="C721" s="113"/>
      <c r="D721" s="158"/>
      <c r="E721" s="161"/>
      <c r="F721" s="160"/>
      <c r="G721" s="162"/>
      <c r="H721" s="159"/>
      <c r="I721" s="113"/>
      <c r="J721" s="113"/>
      <c r="K721" s="113"/>
      <c r="L721" s="158"/>
      <c r="M721" s="113"/>
      <c r="N721" s="113"/>
      <c r="O721" s="113"/>
      <c r="P721" s="113"/>
      <c r="Q721" s="113"/>
      <c r="R721" s="113"/>
      <c r="S721" s="113"/>
      <c r="T721" s="113"/>
      <c r="U721" s="113"/>
      <c r="V721" s="113"/>
      <c r="W721" s="113"/>
      <c r="X721" s="113"/>
      <c r="Y721" s="113"/>
      <c r="Z721" s="113"/>
      <c r="AA721" s="113"/>
      <c r="AB721" s="113"/>
      <c r="AC721" s="113"/>
      <c r="AD721" s="113"/>
      <c r="AE721" s="113"/>
      <c r="AF721" s="113"/>
      <c r="AG721" s="113"/>
      <c r="AH721" s="113"/>
      <c r="AI721" s="113"/>
      <c r="AJ721" s="113"/>
      <c r="AK721" s="113"/>
      <c r="AL721" s="113"/>
      <c r="AM721" s="113"/>
      <c r="AN721" s="113"/>
      <c r="AO721" s="113"/>
      <c r="AP721" s="113"/>
      <c r="AQ721" s="113"/>
      <c r="AR721" s="113"/>
      <c r="AS721" s="113"/>
      <c r="AT721" s="113"/>
      <c r="AU721" s="113"/>
      <c r="AV721" s="113"/>
      <c r="AW721" s="113"/>
      <c r="AX721" s="113"/>
      <c r="AY721" s="113"/>
      <c r="AZ721" s="113"/>
      <c r="BA721" s="113"/>
      <c r="BB721" s="113"/>
      <c r="BC721" s="113"/>
      <c r="BD721" s="113"/>
      <c r="BE721" s="113"/>
      <c r="BF721" s="113"/>
      <c r="BG721" s="113"/>
      <c r="BH721" s="113"/>
      <c r="BI721" s="113"/>
      <c r="BJ721" s="113"/>
      <c r="BK721" s="113"/>
      <c r="BL721" s="113"/>
      <c r="BM721" s="113"/>
      <c r="BN721" s="113"/>
      <c r="BO721" s="113"/>
      <c r="BP721" s="113"/>
      <c r="BQ721" s="113"/>
      <c r="BR721" s="113"/>
      <c r="BS721" s="113"/>
      <c r="BT721" s="113"/>
      <c r="BU721" s="113"/>
      <c r="BV721" s="113"/>
      <c r="BW721" s="113"/>
      <c r="BX721" s="113"/>
      <c r="BY721" s="113"/>
      <c r="BZ721" s="113"/>
      <c r="CA721" s="113"/>
      <c r="CB721" s="113"/>
      <c r="CC721" s="113"/>
      <c r="CD721" s="113"/>
      <c r="CE721" s="113"/>
      <c r="CF721" s="113"/>
      <c r="CG721" s="113"/>
      <c r="CH721" s="113"/>
      <c r="CI721" s="113"/>
      <c r="CJ721" s="113"/>
      <c r="CK721" s="113"/>
      <c r="CL721" s="113"/>
      <c r="CM721" s="113"/>
      <c r="CN721" s="113"/>
      <c r="CO721" s="113"/>
      <c r="CP721" s="113"/>
      <c r="CQ721" s="113"/>
      <c r="CR721" s="113"/>
      <c r="CS721" s="113"/>
      <c r="CT721" s="113"/>
      <c r="CU721" s="113"/>
    </row>
    <row r="722">
      <c r="A722" s="159"/>
      <c r="B722" s="113"/>
      <c r="C722" s="113"/>
      <c r="D722" s="158"/>
      <c r="E722" s="161"/>
      <c r="F722" s="160"/>
      <c r="G722" s="162"/>
      <c r="H722" s="159"/>
      <c r="I722" s="113"/>
      <c r="J722" s="113"/>
      <c r="K722" s="113"/>
      <c r="L722" s="158"/>
      <c r="M722" s="113"/>
      <c r="N722" s="113"/>
      <c r="O722" s="113"/>
      <c r="P722" s="113"/>
      <c r="Q722" s="113"/>
      <c r="R722" s="113"/>
      <c r="S722" s="113"/>
      <c r="T722" s="113"/>
      <c r="U722" s="113"/>
      <c r="V722" s="113"/>
      <c r="W722" s="113"/>
      <c r="X722" s="113"/>
      <c r="Y722" s="113"/>
      <c r="Z722" s="113"/>
      <c r="AA722" s="113"/>
      <c r="AB722" s="113"/>
      <c r="AC722" s="113"/>
      <c r="AD722" s="113"/>
      <c r="AE722" s="113"/>
      <c r="AF722" s="113"/>
      <c r="AG722" s="113"/>
      <c r="AH722" s="113"/>
      <c r="AI722" s="113"/>
      <c r="AJ722" s="113"/>
      <c r="AK722" s="113"/>
      <c r="AL722" s="113"/>
      <c r="AM722" s="113"/>
      <c r="AN722" s="113"/>
      <c r="AO722" s="113"/>
      <c r="AP722" s="113"/>
      <c r="AQ722" s="113"/>
      <c r="AR722" s="113"/>
      <c r="AS722" s="113"/>
      <c r="AT722" s="113"/>
      <c r="AU722" s="113"/>
      <c r="AV722" s="113"/>
      <c r="AW722" s="113"/>
      <c r="AX722" s="113"/>
      <c r="AY722" s="113"/>
      <c r="AZ722" s="113"/>
      <c r="BA722" s="113"/>
      <c r="BB722" s="113"/>
      <c r="BC722" s="113"/>
      <c r="BD722" s="113"/>
      <c r="BE722" s="113"/>
      <c r="BF722" s="113"/>
      <c r="BG722" s="113"/>
      <c r="BH722" s="113"/>
      <c r="BI722" s="113"/>
      <c r="BJ722" s="113"/>
      <c r="BK722" s="113"/>
      <c r="BL722" s="113"/>
      <c r="BM722" s="113"/>
      <c r="BN722" s="113"/>
      <c r="BO722" s="113"/>
      <c r="BP722" s="113"/>
      <c r="BQ722" s="113"/>
      <c r="BR722" s="113"/>
      <c r="BS722" s="113"/>
      <c r="BT722" s="113"/>
      <c r="BU722" s="113"/>
      <c r="BV722" s="113"/>
      <c r="BW722" s="113"/>
      <c r="BX722" s="113"/>
      <c r="BY722" s="113"/>
      <c r="BZ722" s="113"/>
      <c r="CA722" s="113"/>
      <c r="CB722" s="113"/>
      <c r="CC722" s="113"/>
      <c r="CD722" s="113"/>
      <c r="CE722" s="113"/>
      <c r="CF722" s="113"/>
      <c r="CG722" s="113"/>
      <c r="CH722" s="113"/>
      <c r="CI722" s="113"/>
      <c r="CJ722" s="113"/>
      <c r="CK722" s="113"/>
      <c r="CL722" s="113"/>
      <c r="CM722" s="113"/>
      <c r="CN722" s="113"/>
      <c r="CO722" s="113"/>
      <c r="CP722" s="113"/>
      <c r="CQ722" s="113"/>
      <c r="CR722" s="113"/>
      <c r="CS722" s="113"/>
      <c r="CT722" s="113"/>
      <c r="CU722" s="113"/>
    </row>
    <row r="723">
      <c r="A723" s="159"/>
      <c r="B723" s="113"/>
      <c r="C723" s="113"/>
      <c r="D723" s="158"/>
      <c r="E723" s="161"/>
      <c r="F723" s="160"/>
      <c r="G723" s="162"/>
      <c r="H723" s="159"/>
      <c r="I723" s="113"/>
      <c r="J723" s="113"/>
      <c r="K723" s="113"/>
      <c r="L723" s="158"/>
      <c r="M723" s="113"/>
      <c r="N723" s="113"/>
      <c r="O723" s="113"/>
      <c r="P723" s="113"/>
      <c r="Q723" s="113"/>
      <c r="R723" s="113"/>
      <c r="S723" s="113"/>
      <c r="T723" s="113"/>
      <c r="U723" s="113"/>
      <c r="V723" s="113"/>
      <c r="W723" s="113"/>
      <c r="X723" s="113"/>
      <c r="Y723" s="113"/>
      <c r="Z723" s="113"/>
      <c r="AA723" s="113"/>
      <c r="AB723" s="113"/>
      <c r="AC723" s="113"/>
      <c r="AD723" s="113"/>
      <c r="AE723" s="113"/>
      <c r="AF723" s="113"/>
      <c r="AG723" s="113"/>
      <c r="AH723" s="113"/>
      <c r="AI723" s="113"/>
      <c r="AJ723" s="113"/>
      <c r="AK723" s="113"/>
      <c r="AL723" s="113"/>
      <c r="AM723" s="113"/>
      <c r="AN723" s="113"/>
      <c r="AO723" s="113"/>
      <c r="AP723" s="113"/>
      <c r="AQ723" s="113"/>
      <c r="AR723" s="113"/>
      <c r="AS723" s="113"/>
      <c r="AT723" s="113"/>
      <c r="AU723" s="113"/>
      <c r="AV723" s="113"/>
      <c r="AW723" s="113"/>
      <c r="AX723" s="113"/>
      <c r="AY723" s="113"/>
      <c r="AZ723" s="113"/>
      <c r="BA723" s="113"/>
      <c r="BB723" s="113"/>
      <c r="BC723" s="113"/>
      <c r="BD723" s="113"/>
      <c r="BE723" s="113"/>
      <c r="BF723" s="113"/>
      <c r="BG723" s="113"/>
      <c r="BH723" s="113"/>
      <c r="BI723" s="113"/>
      <c r="BJ723" s="113"/>
      <c r="BK723" s="113"/>
      <c r="BL723" s="113"/>
      <c r="BM723" s="113"/>
      <c r="BN723" s="113"/>
      <c r="BO723" s="113"/>
      <c r="BP723" s="113"/>
      <c r="BQ723" s="113"/>
      <c r="BR723" s="113"/>
      <c r="BS723" s="113"/>
      <c r="BT723" s="113"/>
      <c r="BU723" s="113"/>
      <c r="BV723" s="113"/>
      <c r="BW723" s="113"/>
      <c r="BX723" s="113"/>
      <c r="BY723" s="113"/>
      <c r="BZ723" s="113"/>
      <c r="CA723" s="113"/>
      <c r="CB723" s="113"/>
      <c r="CC723" s="113"/>
      <c r="CD723" s="113"/>
      <c r="CE723" s="113"/>
      <c r="CF723" s="113"/>
      <c r="CG723" s="113"/>
      <c r="CH723" s="113"/>
      <c r="CI723" s="113"/>
      <c r="CJ723" s="113"/>
      <c r="CK723" s="113"/>
      <c r="CL723" s="113"/>
      <c r="CM723" s="113"/>
      <c r="CN723" s="113"/>
      <c r="CO723" s="113"/>
      <c r="CP723" s="113"/>
      <c r="CQ723" s="113"/>
      <c r="CR723" s="113"/>
      <c r="CS723" s="113"/>
      <c r="CT723" s="113"/>
      <c r="CU723" s="113"/>
    </row>
    <row r="724">
      <c r="A724" s="159"/>
      <c r="B724" s="113"/>
      <c r="C724" s="113"/>
      <c r="D724" s="158"/>
      <c r="E724" s="161"/>
      <c r="F724" s="160"/>
      <c r="G724" s="162"/>
      <c r="H724" s="159"/>
      <c r="I724" s="113"/>
      <c r="J724" s="113"/>
      <c r="K724" s="113"/>
      <c r="L724" s="158"/>
      <c r="M724" s="113"/>
      <c r="N724" s="113"/>
      <c r="O724" s="113"/>
      <c r="P724" s="113"/>
      <c r="Q724" s="113"/>
      <c r="R724" s="113"/>
      <c r="S724" s="113"/>
      <c r="T724" s="113"/>
      <c r="U724" s="113"/>
      <c r="V724" s="113"/>
      <c r="W724" s="113"/>
      <c r="X724" s="113"/>
      <c r="Y724" s="113"/>
      <c r="Z724" s="113"/>
      <c r="AA724" s="113"/>
      <c r="AB724" s="113"/>
      <c r="AC724" s="113"/>
      <c r="AD724" s="113"/>
      <c r="AE724" s="113"/>
      <c r="AF724" s="113"/>
      <c r="AG724" s="113"/>
      <c r="AH724" s="113"/>
      <c r="AI724" s="113"/>
      <c r="AJ724" s="113"/>
      <c r="AK724" s="113"/>
      <c r="AL724" s="113"/>
      <c r="AM724" s="113"/>
      <c r="AN724" s="113"/>
      <c r="AO724" s="113"/>
      <c r="AP724" s="113"/>
      <c r="AQ724" s="113"/>
      <c r="AR724" s="113"/>
      <c r="AS724" s="113"/>
      <c r="AT724" s="113"/>
      <c r="AU724" s="113"/>
      <c r="AV724" s="113"/>
      <c r="AW724" s="113"/>
      <c r="AX724" s="113"/>
      <c r="AY724" s="113"/>
      <c r="AZ724" s="113"/>
      <c r="BA724" s="113"/>
      <c r="BB724" s="113"/>
      <c r="BC724" s="113"/>
      <c r="BD724" s="113"/>
      <c r="BE724" s="113"/>
      <c r="BF724" s="113"/>
      <c r="BG724" s="113"/>
      <c r="BH724" s="113"/>
      <c r="BI724" s="113"/>
      <c r="BJ724" s="113"/>
      <c r="BK724" s="113"/>
      <c r="BL724" s="113"/>
      <c r="BM724" s="113"/>
      <c r="BN724" s="113"/>
      <c r="BO724" s="113"/>
      <c r="BP724" s="113"/>
      <c r="BQ724" s="113"/>
      <c r="BR724" s="113"/>
      <c r="BS724" s="113"/>
      <c r="BT724" s="113"/>
      <c r="BU724" s="113"/>
      <c r="BV724" s="113"/>
      <c r="BW724" s="113"/>
      <c r="BX724" s="113"/>
      <c r="BY724" s="113"/>
      <c r="BZ724" s="113"/>
      <c r="CA724" s="113"/>
      <c r="CB724" s="113"/>
      <c r="CC724" s="113"/>
      <c r="CD724" s="113"/>
      <c r="CE724" s="113"/>
      <c r="CF724" s="113"/>
      <c r="CG724" s="113"/>
      <c r="CH724" s="113"/>
      <c r="CI724" s="113"/>
      <c r="CJ724" s="113"/>
      <c r="CK724" s="113"/>
      <c r="CL724" s="113"/>
      <c r="CM724" s="113"/>
      <c r="CN724" s="113"/>
      <c r="CO724" s="113"/>
      <c r="CP724" s="113"/>
      <c r="CQ724" s="113"/>
      <c r="CR724" s="113"/>
      <c r="CS724" s="113"/>
      <c r="CT724" s="113"/>
      <c r="CU724" s="113"/>
    </row>
    <row r="725">
      <c r="A725" s="159"/>
      <c r="B725" s="113"/>
      <c r="C725" s="113"/>
      <c r="D725" s="158"/>
      <c r="E725" s="161"/>
      <c r="F725" s="160"/>
      <c r="G725" s="162"/>
      <c r="H725" s="159"/>
      <c r="I725" s="113"/>
      <c r="J725" s="113"/>
      <c r="K725" s="113"/>
      <c r="L725" s="158"/>
      <c r="M725" s="113"/>
      <c r="N725" s="113"/>
      <c r="O725" s="113"/>
      <c r="P725" s="113"/>
      <c r="Q725" s="113"/>
      <c r="R725" s="113"/>
      <c r="S725" s="113"/>
      <c r="T725" s="113"/>
      <c r="U725" s="113"/>
      <c r="V725" s="113"/>
      <c r="W725" s="113"/>
      <c r="X725" s="113"/>
      <c r="Y725" s="113"/>
      <c r="Z725" s="113"/>
      <c r="AA725" s="113"/>
      <c r="AB725" s="113"/>
      <c r="AC725" s="113"/>
      <c r="AD725" s="113"/>
      <c r="AE725" s="113"/>
      <c r="AF725" s="113"/>
      <c r="AG725" s="113"/>
      <c r="AH725" s="113"/>
      <c r="AI725" s="113"/>
      <c r="AJ725" s="113"/>
      <c r="AK725" s="113"/>
      <c r="AL725" s="113"/>
      <c r="AM725" s="113"/>
      <c r="AN725" s="113"/>
      <c r="AO725" s="113"/>
      <c r="AP725" s="113"/>
      <c r="AQ725" s="113"/>
      <c r="AR725" s="113"/>
      <c r="AS725" s="113"/>
      <c r="AT725" s="113"/>
      <c r="AU725" s="113"/>
      <c r="AV725" s="113"/>
      <c r="AW725" s="113"/>
      <c r="AX725" s="113"/>
      <c r="AY725" s="113"/>
      <c r="AZ725" s="113"/>
      <c r="BA725" s="113"/>
      <c r="BB725" s="113"/>
      <c r="BC725" s="113"/>
      <c r="BD725" s="113"/>
      <c r="BE725" s="113"/>
      <c r="BF725" s="113"/>
      <c r="BG725" s="113"/>
      <c r="BH725" s="113"/>
      <c r="BI725" s="113"/>
      <c r="BJ725" s="113"/>
      <c r="BK725" s="113"/>
      <c r="BL725" s="113"/>
      <c r="BM725" s="113"/>
      <c r="BN725" s="113"/>
      <c r="BO725" s="113"/>
      <c r="BP725" s="113"/>
      <c r="BQ725" s="113"/>
      <c r="BR725" s="113"/>
      <c r="BS725" s="113"/>
      <c r="BT725" s="113"/>
      <c r="BU725" s="113"/>
      <c r="BV725" s="113"/>
      <c r="BW725" s="113"/>
      <c r="BX725" s="113"/>
      <c r="BY725" s="113"/>
      <c r="BZ725" s="113"/>
      <c r="CA725" s="113"/>
      <c r="CB725" s="113"/>
      <c r="CC725" s="113"/>
      <c r="CD725" s="113"/>
      <c r="CE725" s="113"/>
      <c r="CF725" s="113"/>
      <c r="CG725" s="113"/>
      <c r="CH725" s="113"/>
      <c r="CI725" s="113"/>
      <c r="CJ725" s="113"/>
      <c r="CK725" s="113"/>
      <c r="CL725" s="113"/>
      <c r="CM725" s="113"/>
      <c r="CN725" s="113"/>
      <c r="CO725" s="113"/>
      <c r="CP725" s="113"/>
      <c r="CQ725" s="113"/>
      <c r="CR725" s="113"/>
      <c r="CS725" s="113"/>
      <c r="CT725" s="113"/>
      <c r="CU725" s="113"/>
    </row>
    <row r="726">
      <c r="A726" s="159"/>
      <c r="B726" s="113"/>
      <c r="C726" s="113"/>
      <c r="D726" s="158"/>
      <c r="E726" s="161"/>
      <c r="F726" s="160"/>
      <c r="G726" s="162"/>
      <c r="H726" s="159"/>
      <c r="I726" s="113"/>
      <c r="J726" s="113"/>
      <c r="K726" s="113"/>
      <c r="L726" s="158"/>
      <c r="M726" s="113"/>
      <c r="N726" s="113"/>
      <c r="O726" s="113"/>
      <c r="P726" s="113"/>
      <c r="Q726" s="113"/>
      <c r="R726" s="113"/>
      <c r="S726" s="113"/>
      <c r="T726" s="113"/>
      <c r="U726" s="113"/>
      <c r="V726" s="113"/>
      <c r="W726" s="113"/>
      <c r="X726" s="113"/>
      <c r="Y726" s="113"/>
      <c r="Z726" s="113"/>
      <c r="AA726" s="113"/>
      <c r="AB726" s="113"/>
      <c r="AC726" s="113"/>
      <c r="AD726" s="113"/>
      <c r="AE726" s="113"/>
      <c r="AF726" s="113"/>
      <c r="AG726" s="113"/>
      <c r="AH726" s="113"/>
      <c r="AI726" s="113"/>
      <c r="AJ726" s="113"/>
      <c r="AK726" s="113"/>
      <c r="AL726" s="113"/>
      <c r="AM726" s="113"/>
      <c r="AN726" s="113"/>
      <c r="AO726" s="113"/>
      <c r="AP726" s="113"/>
      <c r="AQ726" s="113"/>
      <c r="AR726" s="113"/>
      <c r="AS726" s="113"/>
      <c r="AT726" s="113"/>
      <c r="AU726" s="113"/>
      <c r="AV726" s="113"/>
      <c r="AW726" s="113"/>
      <c r="AX726" s="113"/>
      <c r="AY726" s="113"/>
      <c r="AZ726" s="113"/>
      <c r="BA726" s="113"/>
      <c r="BB726" s="113"/>
      <c r="BC726" s="113"/>
      <c r="BD726" s="113"/>
      <c r="BE726" s="113"/>
      <c r="BF726" s="113"/>
      <c r="BG726" s="113"/>
      <c r="BH726" s="113"/>
      <c r="BI726" s="113"/>
      <c r="BJ726" s="113"/>
      <c r="BK726" s="113"/>
      <c r="BL726" s="113"/>
      <c r="BM726" s="113"/>
      <c r="BN726" s="113"/>
      <c r="BO726" s="113"/>
      <c r="BP726" s="113"/>
      <c r="BQ726" s="113"/>
      <c r="BR726" s="113"/>
      <c r="BS726" s="113"/>
      <c r="BT726" s="113"/>
      <c r="BU726" s="113"/>
      <c r="BV726" s="113"/>
      <c r="BW726" s="113"/>
      <c r="BX726" s="113"/>
      <c r="BY726" s="113"/>
      <c r="BZ726" s="113"/>
      <c r="CA726" s="113"/>
      <c r="CB726" s="113"/>
      <c r="CC726" s="113"/>
      <c r="CD726" s="113"/>
      <c r="CE726" s="113"/>
      <c r="CF726" s="113"/>
      <c r="CG726" s="113"/>
      <c r="CH726" s="113"/>
      <c r="CI726" s="113"/>
      <c r="CJ726" s="113"/>
      <c r="CK726" s="113"/>
      <c r="CL726" s="113"/>
      <c r="CM726" s="113"/>
      <c r="CN726" s="113"/>
      <c r="CO726" s="113"/>
      <c r="CP726" s="113"/>
      <c r="CQ726" s="113"/>
      <c r="CR726" s="113"/>
      <c r="CS726" s="113"/>
      <c r="CT726" s="113"/>
      <c r="CU726" s="113"/>
    </row>
    <row r="727">
      <c r="A727" s="159"/>
      <c r="B727" s="113"/>
      <c r="C727" s="113"/>
      <c r="D727" s="158"/>
      <c r="E727" s="161"/>
      <c r="F727" s="160"/>
      <c r="G727" s="162"/>
      <c r="H727" s="159"/>
      <c r="I727" s="113"/>
      <c r="J727" s="113"/>
      <c r="K727" s="113"/>
      <c r="L727" s="158"/>
      <c r="M727" s="113"/>
      <c r="N727" s="113"/>
      <c r="O727" s="113"/>
      <c r="P727" s="113"/>
      <c r="Q727" s="113"/>
      <c r="R727" s="113"/>
      <c r="S727" s="113"/>
      <c r="T727" s="113"/>
      <c r="U727" s="113"/>
      <c r="V727" s="113"/>
      <c r="W727" s="113"/>
      <c r="X727" s="113"/>
      <c r="Y727" s="113"/>
      <c r="Z727" s="113"/>
      <c r="AA727" s="113"/>
      <c r="AB727" s="113"/>
      <c r="AC727" s="113"/>
      <c r="AD727" s="113"/>
      <c r="AE727" s="113"/>
      <c r="AF727" s="113"/>
      <c r="AG727" s="113"/>
      <c r="AH727" s="113"/>
      <c r="AI727" s="113"/>
      <c r="AJ727" s="113"/>
      <c r="AK727" s="113"/>
      <c r="AL727" s="113"/>
      <c r="AM727" s="113"/>
      <c r="AN727" s="113"/>
      <c r="AO727" s="113"/>
      <c r="AP727" s="113"/>
      <c r="AQ727" s="113"/>
      <c r="AR727" s="113"/>
      <c r="AS727" s="113"/>
      <c r="AT727" s="113"/>
      <c r="AU727" s="113"/>
      <c r="AV727" s="113"/>
      <c r="AW727" s="113"/>
      <c r="AX727" s="113"/>
      <c r="AY727" s="113"/>
      <c r="AZ727" s="113"/>
      <c r="BA727" s="113"/>
      <c r="BB727" s="113"/>
      <c r="BC727" s="113"/>
      <c r="BD727" s="113"/>
      <c r="BE727" s="113"/>
      <c r="BF727" s="113"/>
      <c r="BG727" s="113"/>
      <c r="BH727" s="113"/>
      <c r="BI727" s="113"/>
      <c r="BJ727" s="113"/>
      <c r="BK727" s="113"/>
      <c r="BL727" s="113"/>
      <c r="BM727" s="113"/>
      <c r="BN727" s="113"/>
      <c r="BO727" s="113"/>
      <c r="BP727" s="113"/>
      <c r="BQ727" s="113"/>
      <c r="BR727" s="113"/>
      <c r="BS727" s="113"/>
      <c r="BT727" s="113"/>
      <c r="BU727" s="113"/>
      <c r="BV727" s="113"/>
      <c r="BW727" s="113"/>
      <c r="BX727" s="113"/>
      <c r="BY727" s="113"/>
      <c r="BZ727" s="113"/>
      <c r="CA727" s="113"/>
      <c r="CB727" s="113"/>
      <c r="CC727" s="113"/>
      <c r="CD727" s="113"/>
      <c r="CE727" s="113"/>
      <c r="CF727" s="113"/>
      <c r="CG727" s="113"/>
      <c r="CH727" s="113"/>
      <c r="CI727" s="113"/>
      <c r="CJ727" s="113"/>
      <c r="CK727" s="113"/>
      <c r="CL727" s="113"/>
      <c r="CM727" s="113"/>
      <c r="CN727" s="113"/>
      <c r="CO727" s="113"/>
      <c r="CP727" s="113"/>
      <c r="CQ727" s="113"/>
      <c r="CR727" s="113"/>
      <c r="CS727" s="113"/>
      <c r="CT727" s="113"/>
      <c r="CU727" s="113"/>
    </row>
    <row r="728">
      <c r="A728" s="159"/>
      <c r="B728" s="113"/>
      <c r="C728" s="113"/>
      <c r="D728" s="158"/>
      <c r="E728" s="161"/>
      <c r="F728" s="160"/>
      <c r="G728" s="162"/>
      <c r="H728" s="159"/>
      <c r="I728" s="113"/>
      <c r="J728" s="113"/>
      <c r="K728" s="113"/>
      <c r="L728" s="158"/>
      <c r="M728" s="113"/>
      <c r="N728" s="113"/>
      <c r="O728" s="113"/>
      <c r="P728" s="113"/>
      <c r="Q728" s="113"/>
      <c r="R728" s="113"/>
      <c r="S728" s="113"/>
      <c r="T728" s="113"/>
      <c r="U728" s="113"/>
      <c r="V728" s="113"/>
      <c r="W728" s="113"/>
      <c r="X728" s="113"/>
      <c r="Y728" s="113"/>
      <c r="Z728" s="113"/>
      <c r="AA728" s="113"/>
      <c r="AB728" s="113"/>
      <c r="AC728" s="113"/>
      <c r="AD728" s="113"/>
      <c r="AE728" s="113"/>
      <c r="AF728" s="113"/>
      <c r="AG728" s="113"/>
      <c r="AH728" s="113"/>
      <c r="AI728" s="113"/>
      <c r="AJ728" s="113"/>
      <c r="AK728" s="113"/>
      <c r="AL728" s="113"/>
      <c r="AM728" s="113"/>
      <c r="AN728" s="113"/>
      <c r="AO728" s="113"/>
      <c r="AP728" s="113"/>
      <c r="AQ728" s="113"/>
      <c r="AR728" s="113"/>
      <c r="AS728" s="113"/>
      <c r="AT728" s="113"/>
      <c r="AU728" s="113"/>
      <c r="AV728" s="113"/>
      <c r="AW728" s="113"/>
      <c r="AX728" s="113"/>
      <c r="AY728" s="113"/>
      <c r="AZ728" s="113"/>
      <c r="BA728" s="113"/>
      <c r="BB728" s="113"/>
      <c r="BC728" s="113"/>
      <c r="BD728" s="113"/>
      <c r="BE728" s="113"/>
      <c r="BF728" s="113"/>
      <c r="BG728" s="113"/>
      <c r="BH728" s="113"/>
      <c r="BI728" s="113"/>
      <c r="BJ728" s="113"/>
      <c r="BK728" s="113"/>
      <c r="BL728" s="113"/>
      <c r="BM728" s="113"/>
      <c r="BN728" s="113"/>
      <c r="BO728" s="113"/>
      <c r="BP728" s="113"/>
      <c r="BQ728" s="113"/>
      <c r="BR728" s="113"/>
      <c r="BS728" s="113"/>
      <c r="BT728" s="113"/>
      <c r="BU728" s="113"/>
      <c r="BV728" s="113"/>
      <c r="BW728" s="113"/>
      <c r="BX728" s="113"/>
      <c r="BY728" s="113"/>
      <c r="BZ728" s="113"/>
      <c r="CA728" s="113"/>
      <c r="CB728" s="113"/>
      <c r="CC728" s="113"/>
      <c r="CD728" s="113"/>
      <c r="CE728" s="113"/>
      <c r="CF728" s="113"/>
      <c r="CG728" s="113"/>
      <c r="CH728" s="113"/>
      <c r="CI728" s="113"/>
      <c r="CJ728" s="113"/>
      <c r="CK728" s="113"/>
      <c r="CL728" s="113"/>
      <c r="CM728" s="113"/>
      <c r="CN728" s="113"/>
      <c r="CO728" s="113"/>
      <c r="CP728" s="113"/>
      <c r="CQ728" s="113"/>
      <c r="CR728" s="113"/>
      <c r="CS728" s="113"/>
      <c r="CT728" s="113"/>
      <c r="CU728" s="113"/>
    </row>
    <row r="729">
      <c r="A729" s="159"/>
      <c r="B729" s="113"/>
      <c r="C729" s="113"/>
      <c r="D729" s="158"/>
      <c r="E729" s="161"/>
      <c r="F729" s="160"/>
      <c r="G729" s="162"/>
      <c r="H729" s="159"/>
      <c r="I729" s="113"/>
      <c r="J729" s="113"/>
      <c r="K729" s="113"/>
      <c r="L729" s="158"/>
      <c r="M729" s="113"/>
      <c r="N729" s="113"/>
      <c r="O729" s="113"/>
      <c r="P729" s="113"/>
      <c r="Q729" s="113"/>
      <c r="R729" s="113"/>
      <c r="S729" s="113"/>
      <c r="T729" s="113"/>
      <c r="U729" s="113"/>
      <c r="V729" s="113"/>
      <c r="W729" s="113"/>
      <c r="X729" s="113"/>
      <c r="Y729" s="113"/>
      <c r="Z729" s="113"/>
      <c r="AA729" s="113"/>
      <c r="AB729" s="113"/>
      <c r="AC729" s="113"/>
      <c r="AD729" s="113"/>
      <c r="AE729" s="113"/>
      <c r="AF729" s="113"/>
      <c r="AG729" s="113"/>
      <c r="AH729" s="113"/>
      <c r="AI729" s="113"/>
      <c r="AJ729" s="113"/>
      <c r="AK729" s="113"/>
      <c r="AL729" s="113"/>
      <c r="AM729" s="113"/>
      <c r="AN729" s="113"/>
      <c r="AO729" s="113"/>
      <c r="AP729" s="113"/>
      <c r="AQ729" s="113"/>
      <c r="AR729" s="113"/>
      <c r="AS729" s="113"/>
      <c r="AT729" s="113"/>
      <c r="AU729" s="113"/>
      <c r="AV729" s="113"/>
      <c r="AW729" s="113"/>
      <c r="AX729" s="113"/>
      <c r="AY729" s="113"/>
      <c r="AZ729" s="113"/>
      <c r="BA729" s="113"/>
      <c r="BB729" s="113"/>
      <c r="BC729" s="113"/>
      <c r="BD729" s="113"/>
      <c r="BE729" s="113"/>
      <c r="BF729" s="113"/>
      <c r="BG729" s="113"/>
      <c r="BH729" s="113"/>
      <c r="BI729" s="113"/>
      <c r="BJ729" s="113"/>
      <c r="BK729" s="113"/>
      <c r="BL729" s="113"/>
      <c r="BM729" s="113"/>
      <c r="BN729" s="113"/>
      <c r="BO729" s="113"/>
      <c r="BP729" s="113"/>
      <c r="BQ729" s="113"/>
      <c r="BR729" s="113"/>
      <c r="BS729" s="113"/>
      <c r="BT729" s="113"/>
      <c r="BU729" s="113"/>
      <c r="BV729" s="113"/>
      <c r="BW729" s="113"/>
      <c r="BX729" s="113"/>
      <c r="BY729" s="113"/>
      <c r="BZ729" s="113"/>
      <c r="CA729" s="113"/>
      <c r="CB729" s="113"/>
      <c r="CC729" s="113"/>
      <c r="CD729" s="113"/>
      <c r="CE729" s="113"/>
      <c r="CF729" s="113"/>
      <c r="CG729" s="113"/>
      <c r="CH729" s="113"/>
      <c r="CI729" s="113"/>
      <c r="CJ729" s="113"/>
      <c r="CK729" s="113"/>
      <c r="CL729" s="113"/>
      <c r="CM729" s="113"/>
      <c r="CN729" s="113"/>
      <c r="CO729" s="113"/>
      <c r="CP729" s="113"/>
      <c r="CQ729" s="113"/>
      <c r="CR729" s="113"/>
      <c r="CS729" s="113"/>
      <c r="CT729" s="113"/>
      <c r="CU729" s="113"/>
    </row>
    <row r="730">
      <c r="A730" s="159"/>
      <c r="B730" s="113"/>
      <c r="C730" s="113"/>
      <c r="D730" s="158"/>
      <c r="E730" s="161"/>
      <c r="F730" s="160"/>
      <c r="G730" s="162"/>
      <c r="H730" s="159"/>
      <c r="I730" s="113"/>
      <c r="J730" s="113"/>
      <c r="K730" s="113"/>
      <c r="L730" s="158"/>
      <c r="M730" s="113"/>
      <c r="N730" s="113"/>
      <c r="O730" s="113"/>
      <c r="P730" s="113"/>
      <c r="Q730" s="113"/>
      <c r="R730" s="113"/>
      <c r="S730" s="113"/>
      <c r="T730" s="113"/>
      <c r="U730" s="113"/>
      <c r="V730" s="113"/>
      <c r="W730" s="113"/>
      <c r="X730" s="113"/>
      <c r="Y730" s="113"/>
      <c r="Z730" s="113"/>
      <c r="AA730" s="113"/>
      <c r="AB730" s="113"/>
      <c r="AC730" s="113"/>
      <c r="AD730" s="113"/>
      <c r="AE730" s="113"/>
      <c r="AF730" s="113"/>
      <c r="AG730" s="113"/>
      <c r="AH730" s="113"/>
      <c r="AI730" s="113"/>
      <c r="AJ730" s="113"/>
      <c r="AK730" s="113"/>
      <c r="AL730" s="113"/>
      <c r="AM730" s="113"/>
      <c r="AN730" s="113"/>
      <c r="AO730" s="113"/>
      <c r="AP730" s="113"/>
      <c r="AQ730" s="113"/>
      <c r="AR730" s="113"/>
      <c r="AS730" s="113"/>
      <c r="AT730" s="113"/>
      <c r="AU730" s="113"/>
      <c r="AV730" s="113"/>
      <c r="AW730" s="113"/>
      <c r="AX730" s="113"/>
      <c r="AY730" s="113"/>
      <c r="AZ730" s="113"/>
      <c r="BA730" s="113"/>
      <c r="BB730" s="113"/>
      <c r="BC730" s="113"/>
      <c r="BD730" s="113"/>
      <c r="BE730" s="113"/>
      <c r="BF730" s="113"/>
      <c r="BG730" s="113"/>
      <c r="BH730" s="113"/>
      <c r="BI730" s="113"/>
      <c r="BJ730" s="113"/>
      <c r="BK730" s="113"/>
      <c r="BL730" s="113"/>
      <c r="BM730" s="113"/>
      <c r="BN730" s="113"/>
      <c r="BO730" s="113"/>
      <c r="BP730" s="113"/>
      <c r="BQ730" s="113"/>
      <c r="BR730" s="113"/>
      <c r="BS730" s="113"/>
      <c r="BT730" s="113"/>
      <c r="BU730" s="113"/>
      <c r="BV730" s="113"/>
      <c r="BW730" s="113"/>
      <c r="BX730" s="113"/>
      <c r="BY730" s="113"/>
      <c r="BZ730" s="113"/>
      <c r="CA730" s="113"/>
      <c r="CB730" s="113"/>
      <c r="CC730" s="113"/>
      <c r="CD730" s="113"/>
      <c r="CE730" s="113"/>
      <c r="CF730" s="113"/>
      <c r="CG730" s="113"/>
      <c r="CH730" s="113"/>
      <c r="CI730" s="113"/>
      <c r="CJ730" s="113"/>
      <c r="CK730" s="113"/>
      <c r="CL730" s="113"/>
      <c r="CM730" s="113"/>
      <c r="CN730" s="113"/>
      <c r="CO730" s="113"/>
      <c r="CP730" s="113"/>
      <c r="CQ730" s="113"/>
      <c r="CR730" s="113"/>
      <c r="CS730" s="113"/>
      <c r="CT730" s="113"/>
      <c r="CU730" s="113"/>
    </row>
    <row r="731">
      <c r="A731" s="159"/>
      <c r="B731" s="113"/>
      <c r="C731" s="113"/>
      <c r="D731" s="158"/>
      <c r="E731" s="161"/>
      <c r="F731" s="160"/>
      <c r="G731" s="162"/>
      <c r="H731" s="159"/>
      <c r="I731" s="113"/>
      <c r="J731" s="113"/>
      <c r="K731" s="113"/>
      <c r="L731" s="158"/>
      <c r="M731" s="113"/>
      <c r="N731" s="113"/>
      <c r="O731" s="113"/>
      <c r="P731" s="113"/>
      <c r="Q731" s="113"/>
      <c r="R731" s="113"/>
      <c r="S731" s="113"/>
      <c r="T731" s="113"/>
      <c r="U731" s="113"/>
      <c r="V731" s="113"/>
      <c r="W731" s="113"/>
      <c r="X731" s="113"/>
      <c r="Y731" s="113"/>
      <c r="Z731" s="113"/>
      <c r="AA731" s="113"/>
      <c r="AB731" s="113"/>
      <c r="AC731" s="113"/>
      <c r="AD731" s="113"/>
      <c r="AE731" s="113"/>
      <c r="AF731" s="113"/>
      <c r="AG731" s="113"/>
      <c r="AH731" s="113"/>
      <c r="AI731" s="113"/>
      <c r="AJ731" s="113"/>
      <c r="AK731" s="113"/>
      <c r="AL731" s="113"/>
      <c r="AM731" s="113"/>
      <c r="AN731" s="113"/>
      <c r="AO731" s="113"/>
      <c r="AP731" s="113"/>
      <c r="AQ731" s="113"/>
      <c r="AR731" s="113"/>
      <c r="AS731" s="113"/>
      <c r="AT731" s="113"/>
      <c r="AU731" s="113"/>
      <c r="AV731" s="113"/>
      <c r="AW731" s="113"/>
      <c r="AX731" s="113"/>
      <c r="AY731" s="113"/>
      <c r="AZ731" s="113"/>
      <c r="BA731" s="113"/>
      <c r="BB731" s="113"/>
      <c r="BC731" s="113"/>
      <c r="BD731" s="113"/>
      <c r="BE731" s="113"/>
      <c r="BF731" s="113"/>
      <c r="BG731" s="113"/>
      <c r="BH731" s="113"/>
      <c r="BI731" s="113"/>
      <c r="BJ731" s="113"/>
      <c r="BK731" s="113"/>
      <c r="BL731" s="113"/>
      <c r="BM731" s="113"/>
      <c r="BN731" s="113"/>
      <c r="BO731" s="113"/>
      <c r="BP731" s="113"/>
      <c r="BQ731" s="113"/>
      <c r="BR731" s="113"/>
      <c r="BS731" s="113"/>
      <c r="BT731" s="113"/>
      <c r="BU731" s="113"/>
      <c r="BV731" s="113"/>
      <c r="BW731" s="113"/>
      <c r="BX731" s="113"/>
      <c r="BY731" s="113"/>
      <c r="BZ731" s="113"/>
      <c r="CA731" s="113"/>
      <c r="CB731" s="113"/>
      <c r="CC731" s="113"/>
      <c r="CD731" s="113"/>
      <c r="CE731" s="113"/>
      <c r="CF731" s="113"/>
      <c r="CG731" s="113"/>
      <c r="CH731" s="113"/>
      <c r="CI731" s="113"/>
      <c r="CJ731" s="113"/>
      <c r="CK731" s="113"/>
      <c r="CL731" s="113"/>
      <c r="CM731" s="113"/>
      <c r="CN731" s="113"/>
      <c r="CO731" s="113"/>
      <c r="CP731" s="113"/>
      <c r="CQ731" s="113"/>
      <c r="CR731" s="113"/>
      <c r="CS731" s="113"/>
      <c r="CT731" s="113"/>
      <c r="CU731" s="113"/>
    </row>
    <row r="732">
      <c r="A732" s="159"/>
      <c r="B732" s="113"/>
      <c r="C732" s="113"/>
      <c r="D732" s="158"/>
      <c r="E732" s="161"/>
      <c r="F732" s="160"/>
      <c r="G732" s="162"/>
      <c r="H732" s="159"/>
      <c r="I732" s="113"/>
      <c r="J732" s="113"/>
      <c r="K732" s="113"/>
      <c r="L732" s="158"/>
      <c r="M732" s="113"/>
      <c r="N732" s="113"/>
      <c r="O732" s="113"/>
      <c r="P732" s="113"/>
      <c r="Q732" s="113"/>
      <c r="R732" s="113"/>
      <c r="S732" s="113"/>
      <c r="T732" s="113"/>
      <c r="U732" s="113"/>
      <c r="V732" s="113"/>
      <c r="W732" s="113"/>
      <c r="X732" s="113"/>
      <c r="Y732" s="113"/>
      <c r="Z732" s="113"/>
      <c r="AA732" s="113"/>
      <c r="AB732" s="113"/>
      <c r="AC732" s="113"/>
      <c r="AD732" s="113"/>
      <c r="AE732" s="113"/>
      <c r="AF732" s="113"/>
      <c r="AG732" s="113"/>
      <c r="AH732" s="113"/>
      <c r="AI732" s="113"/>
      <c r="AJ732" s="113"/>
      <c r="AK732" s="113"/>
      <c r="AL732" s="113"/>
      <c r="AM732" s="113"/>
      <c r="AN732" s="113"/>
      <c r="AO732" s="113"/>
      <c r="AP732" s="113"/>
      <c r="AQ732" s="113"/>
      <c r="AR732" s="113"/>
      <c r="AS732" s="113"/>
      <c r="AT732" s="113"/>
      <c r="AU732" s="113"/>
      <c r="AV732" s="113"/>
      <c r="AW732" s="113"/>
      <c r="AX732" s="113"/>
      <c r="AY732" s="113"/>
      <c r="AZ732" s="113"/>
      <c r="BA732" s="113"/>
      <c r="BB732" s="113"/>
      <c r="BC732" s="113"/>
      <c r="BD732" s="113"/>
      <c r="BE732" s="113"/>
      <c r="BF732" s="113"/>
      <c r="BG732" s="113"/>
      <c r="BH732" s="113"/>
      <c r="BI732" s="113"/>
      <c r="BJ732" s="113"/>
      <c r="BK732" s="113"/>
      <c r="BL732" s="113"/>
      <c r="BM732" s="113"/>
      <c r="BN732" s="113"/>
      <c r="BO732" s="113"/>
      <c r="BP732" s="113"/>
      <c r="BQ732" s="113"/>
      <c r="BR732" s="113"/>
      <c r="BS732" s="113"/>
      <c r="BT732" s="113"/>
      <c r="BU732" s="113"/>
      <c r="BV732" s="113"/>
      <c r="BW732" s="113"/>
      <c r="BX732" s="113"/>
      <c r="BY732" s="113"/>
      <c r="BZ732" s="113"/>
      <c r="CA732" s="113"/>
      <c r="CB732" s="113"/>
      <c r="CC732" s="113"/>
      <c r="CD732" s="113"/>
      <c r="CE732" s="113"/>
      <c r="CF732" s="113"/>
      <c r="CG732" s="113"/>
      <c r="CH732" s="113"/>
      <c r="CI732" s="113"/>
      <c r="CJ732" s="113"/>
      <c r="CK732" s="113"/>
      <c r="CL732" s="113"/>
      <c r="CM732" s="113"/>
      <c r="CN732" s="113"/>
      <c r="CO732" s="113"/>
      <c r="CP732" s="113"/>
      <c r="CQ732" s="113"/>
      <c r="CR732" s="113"/>
      <c r="CS732" s="113"/>
      <c r="CT732" s="113"/>
      <c r="CU732" s="113"/>
    </row>
    <row r="733">
      <c r="A733" s="159"/>
      <c r="B733" s="113"/>
      <c r="C733" s="113"/>
      <c r="D733" s="158"/>
      <c r="E733" s="161"/>
      <c r="F733" s="160"/>
      <c r="G733" s="162"/>
      <c r="H733" s="159"/>
      <c r="I733" s="113"/>
      <c r="J733" s="113"/>
      <c r="K733" s="113"/>
      <c r="L733" s="158"/>
      <c r="M733" s="113"/>
      <c r="N733" s="113"/>
      <c r="O733" s="113"/>
      <c r="P733" s="113"/>
      <c r="Q733" s="113"/>
      <c r="R733" s="113"/>
      <c r="S733" s="113"/>
      <c r="T733" s="113"/>
      <c r="U733" s="113"/>
      <c r="V733" s="113"/>
      <c r="W733" s="113"/>
      <c r="X733" s="113"/>
      <c r="Y733" s="113"/>
      <c r="Z733" s="113"/>
      <c r="AA733" s="113"/>
      <c r="AB733" s="113"/>
      <c r="AC733" s="113"/>
      <c r="AD733" s="113"/>
      <c r="AE733" s="113"/>
      <c r="AF733" s="113"/>
      <c r="AG733" s="113"/>
      <c r="AH733" s="113"/>
      <c r="AI733" s="113"/>
      <c r="AJ733" s="113"/>
      <c r="AK733" s="113"/>
      <c r="AL733" s="113"/>
      <c r="AM733" s="113"/>
      <c r="AN733" s="113"/>
      <c r="AO733" s="113"/>
      <c r="AP733" s="113"/>
      <c r="AQ733" s="113"/>
      <c r="AR733" s="113"/>
      <c r="AS733" s="113"/>
      <c r="AT733" s="113"/>
      <c r="AU733" s="113"/>
      <c r="AV733" s="113"/>
      <c r="AW733" s="113"/>
      <c r="AX733" s="113"/>
      <c r="AY733" s="113"/>
      <c r="AZ733" s="113"/>
      <c r="BA733" s="113"/>
      <c r="BB733" s="113"/>
      <c r="BC733" s="113"/>
      <c r="BD733" s="113"/>
      <c r="BE733" s="113"/>
      <c r="BF733" s="113"/>
      <c r="BG733" s="113"/>
      <c r="BH733" s="113"/>
      <c r="BI733" s="113"/>
      <c r="BJ733" s="113"/>
      <c r="BK733" s="113"/>
      <c r="BL733" s="113"/>
      <c r="BM733" s="113"/>
      <c r="BN733" s="113"/>
      <c r="BO733" s="113"/>
      <c r="BP733" s="113"/>
      <c r="BQ733" s="113"/>
      <c r="BR733" s="113"/>
      <c r="BS733" s="113"/>
      <c r="BT733" s="113"/>
      <c r="BU733" s="113"/>
      <c r="BV733" s="113"/>
      <c r="BW733" s="113"/>
      <c r="BX733" s="113"/>
      <c r="BY733" s="113"/>
      <c r="BZ733" s="113"/>
      <c r="CA733" s="113"/>
      <c r="CB733" s="113"/>
      <c r="CC733" s="113"/>
      <c r="CD733" s="113"/>
      <c r="CE733" s="113"/>
      <c r="CF733" s="113"/>
      <c r="CG733" s="113"/>
      <c r="CH733" s="113"/>
      <c r="CI733" s="113"/>
      <c r="CJ733" s="113"/>
      <c r="CK733" s="113"/>
      <c r="CL733" s="113"/>
      <c r="CM733" s="113"/>
      <c r="CN733" s="113"/>
      <c r="CO733" s="113"/>
      <c r="CP733" s="113"/>
      <c r="CQ733" s="113"/>
      <c r="CR733" s="113"/>
      <c r="CS733" s="113"/>
      <c r="CT733" s="113"/>
      <c r="CU733" s="113"/>
    </row>
    <row r="734">
      <c r="A734" s="159"/>
      <c r="B734" s="113"/>
      <c r="C734" s="113"/>
      <c r="D734" s="158"/>
      <c r="E734" s="161"/>
      <c r="F734" s="160"/>
      <c r="G734" s="162"/>
      <c r="H734" s="159"/>
      <c r="I734" s="113"/>
      <c r="J734" s="113"/>
      <c r="K734" s="113"/>
      <c r="L734" s="158"/>
      <c r="M734" s="113"/>
      <c r="N734" s="113"/>
      <c r="O734" s="113"/>
      <c r="P734" s="113"/>
      <c r="Q734" s="113"/>
      <c r="R734" s="113"/>
      <c r="S734" s="113"/>
      <c r="T734" s="113"/>
      <c r="U734" s="113"/>
      <c r="V734" s="113"/>
      <c r="W734" s="113"/>
      <c r="X734" s="113"/>
      <c r="Y734" s="113"/>
      <c r="Z734" s="113"/>
      <c r="AA734" s="113"/>
      <c r="AB734" s="113"/>
      <c r="AC734" s="113"/>
      <c r="AD734" s="113"/>
      <c r="AE734" s="113"/>
      <c r="AF734" s="113"/>
      <c r="AG734" s="113"/>
      <c r="AH734" s="113"/>
      <c r="AI734" s="113"/>
      <c r="AJ734" s="113"/>
      <c r="AK734" s="113"/>
      <c r="AL734" s="113"/>
      <c r="AM734" s="113"/>
      <c r="AN734" s="113"/>
      <c r="AO734" s="113"/>
      <c r="AP734" s="113"/>
      <c r="AQ734" s="113"/>
      <c r="AR734" s="113"/>
      <c r="AS734" s="113"/>
      <c r="AT734" s="113"/>
      <c r="AU734" s="113"/>
      <c r="AV734" s="113"/>
      <c r="AW734" s="113"/>
      <c r="AX734" s="113"/>
      <c r="AY734" s="113"/>
      <c r="AZ734" s="113"/>
      <c r="BA734" s="113"/>
      <c r="BB734" s="113"/>
      <c r="BC734" s="113"/>
      <c r="BD734" s="113"/>
      <c r="BE734" s="113"/>
      <c r="BF734" s="113"/>
      <c r="BG734" s="113"/>
      <c r="BH734" s="113"/>
      <c r="BI734" s="113"/>
      <c r="BJ734" s="113"/>
      <c r="BK734" s="113"/>
      <c r="BL734" s="113"/>
      <c r="BM734" s="113"/>
      <c r="BN734" s="113"/>
      <c r="BO734" s="113"/>
      <c r="BP734" s="113"/>
      <c r="BQ734" s="113"/>
      <c r="BR734" s="113"/>
      <c r="BS734" s="113"/>
      <c r="BT734" s="113"/>
      <c r="BU734" s="113"/>
      <c r="BV734" s="113"/>
      <c r="BW734" s="113"/>
      <c r="BX734" s="113"/>
      <c r="BY734" s="113"/>
      <c r="BZ734" s="113"/>
      <c r="CA734" s="113"/>
      <c r="CB734" s="113"/>
      <c r="CC734" s="113"/>
      <c r="CD734" s="113"/>
      <c r="CE734" s="113"/>
      <c r="CF734" s="113"/>
      <c r="CG734" s="113"/>
      <c r="CH734" s="113"/>
      <c r="CI734" s="113"/>
      <c r="CJ734" s="113"/>
      <c r="CK734" s="113"/>
      <c r="CL734" s="113"/>
      <c r="CM734" s="113"/>
      <c r="CN734" s="113"/>
      <c r="CO734" s="113"/>
      <c r="CP734" s="113"/>
      <c r="CQ734" s="113"/>
      <c r="CR734" s="113"/>
      <c r="CS734" s="113"/>
      <c r="CT734" s="113"/>
      <c r="CU734" s="113"/>
    </row>
    <row r="735">
      <c r="A735" s="159"/>
      <c r="B735" s="113"/>
      <c r="C735" s="113"/>
      <c r="D735" s="158"/>
      <c r="E735" s="161"/>
      <c r="F735" s="160"/>
      <c r="G735" s="162"/>
      <c r="H735" s="159"/>
      <c r="I735" s="113"/>
      <c r="J735" s="113"/>
      <c r="K735" s="113"/>
      <c r="L735" s="158"/>
      <c r="M735" s="113"/>
      <c r="N735" s="113"/>
      <c r="O735" s="113"/>
      <c r="P735" s="113"/>
      <c r="Q735" s="113"/>
      <c r="R735" s="113"/>
      <c r="S735" s="113"/>
      <c r="T735" s="113"/>
      <c r="U735" s="113"/>
      <c r="V735" s="113"/>
      <c r="W735" s="113"/>
      <c r="X735" s="113"/>
      <c r="Y735" s="113"/>
      <c r="Z735" s="113"/>
      <c r="AA735" s="113"/>
      <c r="AB735" s="113"/>
      <c r="AC735" s="113"/>
      <c r="AD735" s="113"/>
      <c r="AE735" s="113"/>
      <c r="AF735" s="113"/>
      <c r="AG735" s="113"/>
      <c r="AH735" s="113"/>
      <c r="AI735" s="113"/>
      <c r="AJ735" s="113"/>
      <c r="AK735" s="113"/>
      <c r="AL735" s="113"/>
      <c r="AM735" s="113"/>
      <c r="AN735" s="113"/>
      <c r="AO735" s="113"/>
      <c r="AP735" s="113"/>
      <c r="AQ735" s="113"/>
      <c r="AR735" s="113"/>
      <c r="AS735" s="113"/>
      <c r="AT735" s="113"/>
      <c r="AU735" s="113"/>
      <c r="AV735" s="113"/>
      <c r="AW735" s="113"/>
      <c r="AX735" s="113"/>
      <c r="AY735" s="113"/>
      <c r="AZ735" s="113"/>
      <c r="BA735" s="113"/>
      <c r="BB735" s="113"/>
      <c r="BC735" s="113"/>
      <c r="BD735" s="113"/>
      <c r="BE735" s="113"/>
      <c r="BF735" s="113"/>
      <c r="BG735" s="113"/>
      <c r="BH735" s="113"/>
      <c r="BI735" s="113"/>
      <c r="BJ735" s="113"/>
      <c r="BK735" s="113"/>
      <c r="BL735" s="113"/>
      <c r="BM735" s="113"/>
      <c r="BN735" s="113"/>
      <c r="BO735" s="113"/>
      <c r="BP735" s="113"/>
      <c r="BQ735" s="113"/>
      <c r="BR735" s="113"/>
      <c r="BS735" s="113"/>
      <c r="BT735" s="113"/>
      <c r="BU735" s="113"/>
      <c r="BV735" s="113"/>
      <c r="BW735" s="113"/>
      <c r="BX735" s="113"/>
      <c r="BY735" s="113"/>
      <c r="BZ735" s="113"/>
      <c r="CA735" s="113"/>
      <c r="CB735" s="113"/>
      <c r="CC735" s="113"/>
      <c r="CD735" s="113"/>
      <c r="CE735" s="113"/>
      <c r="CF735" s="113"/>
      <c r="CG735" s="113"/>
      <c r="CH735" s="113"/>
      <c r="CI735" s="113"/>
      <c r="CJ735" s="113"/>
      <c r="CK735" s="113"/>
      <c r="CL735" s="113"/>
      <c r="CM735" s="113"/>
      <c r="CN735" s="113"/>
      <c r="CO735" s="113"/>
      <c r="CP735" s="113"/>
      <c r="CQ735" s="113"/>
      <c r="CR735" s="113"/>
      <c r="CS735" s="113"/>
      <c r="CT735" s="113"/>
      <c r="CU735" s="113"/>
    </row>
    <row r="736">
      <c r="A736" s="159"/>
      <c r="B736" s="113"/>
      <c r="C736" s="113"/>
      <c r="D736" s="158"/>
      <c r="E736" s="161"/>
      <c r="F736" s="160"/>
      <c r="G736" s="162"/>
      <c r="H736" s="159"/>
      <c r="I736" s="113"/>
      <c r="J736" s="113"/>
      <c r="K736" s="113"/>
      <c r="L736" s="158"/>
      <c r="M736" s="113"/>
      <c r="N736" s="113"/>
      <c r="O736" s="113"/>
      <c r="P736" s="113"/>
      <c r="Q736" s="113"/>
      <c r="R736" s="113"/>
      <c r="S736" s="113"/>
      <c r="T736" s="113"/>
      <c r="U736" s="113"/>
      <c r="V736" s="113"/>
      <c r="W736" s="113"/>
      <c r="X736" s="113"/>
      <c r="Y736" s="113"/>
      <c r="Z736" s="113"/>
      <c r="AA736" s="113"/>
      <c r="AB736" s="113"/>
      <c r="AC736" s="113"/>
      <c r="AD736" s="113"/>
      <c r="AE736" s="113"/>
      <c r="AF736" s="113"/>
      <c r="AG736" s="113"/>
      <c r="AH736" s="113"/>
      <c r="AI736" s="113"/>
      <c r="AJ736" s="113"/>
      <c r="AK736" s="113"/>
      <c r="AL736" s="113"/>
      <c r="AM736" s="113"/>
      <c r="AN736" s="113"/>
      <c r="AO736" s="113"/>
      <c r="AP736" s="113"/>
      <c r="AQ736" s="113"/>
      <c r="AR736" s="113"/>
      <c r="AS736" s="113"/>
      <c r="AT736" s="113"/>
      <c r="AU736" s="113"/>
      <c r="AV736" s="113"/>
      <c r="AW736" s="113"/>
      <c r="AX736" s="113"/>
      <c r="AY736" s="113"/>
      <c r="AZ736" s="113"/>
      <c r="BA736" s="113"/>
      <c r="BB736" s="113"/>
      <c r="BC736" s="113"/>
      <c r="BD736" s="113"/>
      <c r="BE736" s="113"/>
      <c r="BF736" s="113"/>
      <c r="BG736" s="113"/>
      <c r="BH736" s="113"/>
      <c r="BI736" s="113"/>
      <c r="BJ736" s="113"/>
      <c r="BK736" s="113"/>
      <c r="BL736" s="113"/>
      <c r="BM736" s="113"/>
      <c r="BN736" s="113"/>
      <c r="BO736" s="113"/>
      <c r="BP736" s="113"/>
      <c r="BQ736" s="113"/>
      <c r="BR736" s="113"/>
      <c r="BS736" s="113"/>
      <c r="BT736" s="113"/>
      <c r="BU736" s="113"/>
      <c r="BV736" s="113"/>
      <c r="BW736" s="113"/>
      <c r="BX736" s="113"/>
      <c r="BY736" s="113"/>
      <c r="BZ736" s="113"/>
      <c r="CA736" s="113"/>
      <c r="CB736" s="113"/>
      <c r="CC736" s="113"/>
      <c r="CD736" s="113"/>
      <c r="CE736" s="113"/>
      <c r="CF736" s="113"/>
      <c r="CG736" s="113"/>
      <c r="CH736" s="113"/>
      <c r="CI736" s="113"/>
      <c r="CJ736" s="113"/>
      <c r="CK736" s="113"/>
      <c r="CL736" s="113"/>
      <c r="CM736" s="113"/>
      <c r="CN736" s="113"/>
      <c r="CO736" s="113"/>
      <c r="CP736" s="113"/>
      <c r="CQ736" s="113"/>
      <c r="CR736" s="113"/>
      <c r="CS736" s="113"/>
      <c r="CT736" s="113"/>
      <c r="CU736" s="113"/>
    </row>
    <row r="737">
      <c r="A737" s="159"/>
      <c r="B737" s="113"/>
      <c r="C737" s="113"/>
      <c r="D737" s="158"/>
      <c r="E737" s="161"/>
      <c r="F737" s="160"/>
      <c r="G737" s="162"/>
      <c r="H737" s="159"/>
      <c r="I737" s="113"/>
      <c r="J737" s="113"/>
      <c r="K737" s="113"/>
      <c r="L737" s="158"/>
      <c r="M737" s="113"/>
      <c r="N737" s="113"/>
      <c r="O737" s="113"/>
      <c r="P737" s="113"/>
      <c r="Q737" s="113"/>
      <c r="R737" s="113"/>
      <c r="S737" s="113"/>
      <c r="T737" s="113"/>
      <c r="U737" s="113"/>
      <c r="V737" s="113"/>
      <c r="W737" s="113"/>
      <c r="X737" s="113"/>
      <c r="Y737" s="113"/>
      <c r="Z737" s="113"/>
      <c r="AA737" s="113"/>
      <c r="AB737" s="113"/>
      <c r="AC737" s="113"/>
      <c r="AD737" s="113"/>
      <c r="AE737" s="113"/>
      <c r="AF737" s="113"/>
      <c r="AG737" s="113"/>
      <c r="AH737" s="113"/>
      <c r="AI737" s="113"/>
      <c r="AJ737" s="113"/>
      <c r="AK737" s="113"/>
      <c r="AL737" s="113"/>
      <c r="AM737" s="113"/>
      <c r="AN737" s="113"/>
      <c r="AO737" s="113"/>
      <c r="AP737" s="113"/>
      <c r="AQ737" s="113"/>
      <c r="AR737" s="113"/>
      <c r="AS737" s="113"/>
      <c r="AT737" s="113"/>
      <c r="AU737" s="113"/>
      <c r="AV737" s="113"/>
      <c r="AW737" s="113"/>
      <c r="AX737" s="113"/>
      <c r="AY737" s="113"/>
      <c r="AZ737" s="113"/>
      <c r="BA737" s="113"/>
      <c r="BB737" s="113"/>
      <c r="BC737" s="113"/>
      <c r="BD737" s="113"/>
      <c r="BE737" s="113"/>
      <c r="BF737" s="113"/>
      <c r="BG737" s="113"/>
      <c r="BH737" s="113"/>
      <c r="BI737" s="113"/>
      <c r="BJ737" s="113"/>
      <c r="BK737" s="113"/>
      <c r="BL737" s="113"/>
      <c r="BM737" s="113"/>
      <c r="BN737" s="113"/>
      <c r="BO737" s="113"/>
      <c r="BP737" s="113"/>
      <c r="BQ737" s="113"/>
      <c r="BR737" s="113"/>
      <c r="BS737" s="113"/>
      <c r="BT737" s="113"/>
      <c r="BU737" s="113"/>
      <c r="BV737" s="113"/>
      <c r="BW737" s="113"/>
      <c r="BX737" s="113"/>
      <c r="BY737" s="113"/>
      <c r="BZ737" s="113"/>
      <c r="CA737" s="113"/>
      <c r="CB737" s="113"/>
      <c r="CC737" s="113"/>
      <c r="CD737" s="113"/>
      <c r="CE737" s="113"/>
      <c r="CF737" s="113"/>
      <c r="CG737" s="113"/>
      <c r="CH737" s="113"/>
      <c r="CI737" s="113"/>
      <c r="CJ737" s="113"/>
      <c r="CK737" s="113"/>
      <c r="CL737" s="113"/>
      <c r="CM737" s="113"/>
      <c r="CN737" s="113"/>
      <c r="CO737" s="113"/>
      <c r="CP737" s="113"/>
      <c r="CQ737" s="113"/>
      <c r="CR737" s="113"/>
      <c r="CS737" s="113"/>
      <c r="CT737" s="113"/>
      <c r="CU737" s="113"/>
    </row>
    <row r="738">
      <c r="A738" s="159"/>
      <c r="B738" s="113"/>
      <c r="C738" s="113"/>
      <c r="D738" s="158"/>
      <c r="E738" s="161"/>
      <c r="F738" s="160"/>
      <c r="G738" s="162"/>
      <c r="H738" s="159"/>
      <c r="I738" s="113"/>
      <c r="J738" s="113"/>
      <c r="K738" s="113"/>
      <c r="L738" s="158"/>
      <c r="M738" s="113"/>
      <c r="N738" s="113"/>
      <c r="O738" s="113"/>
      <c r="P738" s="113"/>
      <c r="Q738" s="113"/>
      <c r="R738" s="113"/>
      <c r="S738" s="113"/>
      <c r="T738" s="113"/>
      <c r="U738" s="113"/>
      <c r="V738" s="113"/>
      <c r="W738" s="113"/>
      <c r="X738" s="113"/>
      <c r="Y738" s="113"/>
      <c r="Z738" s="113"/>
      <c r="AA738" s="113"/>
      <c r="AB738" s="113"/>
      <c r="AC738" s="113"/>
      <c r="AD738" s="113"/>
      <c r="AE738" s="113"/>
      <c r="AF738" s="113"/>
      <c r="AG738" s="113"/>
      <c r="AH738" s="113"/>
      <c r="AI738" s="113"/>
      <c r="AJ738" s="113"/>
      <c r="AK738" s="113"/>
      <c r="AL738" s="113"/>
      <c r="AM738" s="113"/>
      <c r="AN738" s="113"/>
      <c r="AO738" s="113"/>
      <c r="AP738" s="113"/>
      <c r="AQ738" s="113"/>
      <c r="AR738" s="113"/>
      <c r="AS738" s="113"/>
      <c r="AT738" s="113"/>
      <c r="AU738" s="113"/>
      <c r="AV738" s="113"/>
      <c r="AW738" s="113"/>
      <c r="AX738" s="113"/>
      <c r="AY738" s="113"/>
      <c r="AZ738" s="113"/>
      <c r="BA738" s="113"/>
      <c r="BB738" s="113"/>
      <c r="BC738" s="113"/>
      <c r="BD738" s="113"/>
      <c r="BE738" s="113"/>
      <c r="BF738" s="113"/>
      <c r="BG738" s="113"/>
      <c r="BH738" s="113"/>
      <c r="BI738" s="113"/>
      <c r="BJ738" s="113"/>
      <c r="BK738" s="113"/>
      <c r="BL738" s="113"/>
      <c r="BM738" s="113"/>
      <c r="BN738" s="113"/>
      <c r="BO738" s="113"/>
      <c r="BP738" s="113"/>
      <c r="BQ738" s="113"/>
      <c r="BR738" s="113"/>
      <c r="BS738" s="113"/>
      <c r="BT738" s="113"/>
      <c r="BU738" s="113"/>
      <c r="BV738" s="113"/>
      <c r="BW738" s="113"/>
      <c r="BX738" s="113"/>
      <c r="BY738" s="113"/>
      <c r="BZ738" s="113"/>
      <c r="CA738" s="113"/>
      <c r="CB738" s="113"/>
      <c r="CC738" s="113"/>
      <c r="CD738" s="113"/>
      <c r="CE738" s="113"/>
      <c r="CF738" s="113"/>
      <c r="CG738" s="113"/>
      <c r="CH738" s="113"/>
      <c r="CI738" s="113"/>
      <c r="CJ738" s="113"/>
      <c r="CK738" s="113"/>
      <c r="CL738" s="113"/>
      <c r="CM738" s="113"/>
      <c r="CN738" s="113"/>
      <c r="CO738" s="113"/>
      <c r="CP738" s="113"/>
      <c r="CQ738" s="113"/>
      <c r="CR738" s="113"/>
      <c r="CS738" s="113"/>
      <c r="CT738" s="113"/>
      <c r="CU738" s="113"/>
    </row>
    <row r="739">
      <c r="A739" s="159"/>
      <c r="B739" s="113"/>
      <c r="C739" s="113"/>
      <c r="D739" s="158"/>
      <c r="E739" s="161"/>
      <c r="F739" s="160"/>
      <c r="G739" s="162"/>
      <c r="H739" s="159"/>
      <c r="I739" s="113"/>
      <c r="J739" s="113"/>
      <c r="K739" s="113"/>
      <c r="L739" s="158"/>
      <c r="M739" s="113"/>
      <c r="N739" s="113"/>
      <c r="O739" s="113"/>
      <c r="P739" s="113"/>
      <c r="Q739" s="113"/>
      <c r="R739" s="113"/>
      <c r="S739" s="113"/>
      <c r="T739" s="113"/>
      <c r="U739" s="113"/>
      <c r="V739" s="113"/>
      <c r="W739" s="113"/>
      <c r="X739" s="113"/>
      <c r="Y739" s="113"/>
      <c r="Z739" s="113"/>
      <c r="AA739" s="113"/>
      <c r="AB739" s="113"/>
      <c r="AC739" s="113"/>
      <c r="AD739" s="113"/>
      <c r="AE739" s="113"/>
      <c r="AF739" s="113"/>
      <c r="AG739" s="113"/>
      <c r="AH739" s="113"/>
      <c r="AI739" s="113"/>
      <c r="AJ739" s="113"/>
      <c r="AK739" s="113"/>
      <c r="AL739" s="113"/>
      <c r="AM739" s="113"/>
      <c r="AN739" s="113"/>
      <c r="AO739" s="113"/>
      <c r="AP739" s="113"/>
      <c r="AQ739" s="113"/>
      <c r="AR739" s="113"/>
      <c r="AS739" s="113"/>
      <c r="AT739" s="113"/>
      <c r="AU739" s="113"/>
      <c r="AV739" s="113"/>
      <c r="AW739" s="113"/>
      <c r="AX739" s="113"/>
      <c r="AY739" s="113"/>
      <c r="AZ739" s="113"/>
      <c r="BA739" s="113"/>
      <c r="BB739" s="113"/>
      <c r="BC739" s="113"/>
      <c r="BD739" s="113"/>
      <c r="BE739" s="113"/>
      <c r="BF739" s="113"/>
      <c r="BG739" s="113"/>
      <c r="BH739" s="113"/>
      <c r="BI739" s="113"/>
      <c r="BJ739" s="113"/>
      <c r="BK739" s="113"/>
      <c r="BL739" s="113"/>
      <c r="BM739" s="113"/>
      <c r="BN739" s="113"/>
      <c r="BO739" s="113"/>
      <c r="BP739" s="113"/>
      <c r="BQ739" s="113"/>
      <c r="BR739" s="113"/>
      <c r="BS739" s="113"/>
      <c r="BT739" s="113"/>
      <c r="BU739" s="113"/>
      <c r="BV739" s="113"/>
      <c r="BW739" s="113"/>
      <c r="BX739" s="113"/>
      <c r="BY739" s="113"/>
      <c r="BZ739" s="113"/>
      <c r="CA739" s="113"/>
      <c r="CB739" s="113"/>
      <c r="CC739" s="113"/>
      <c r="CD739" s="113"/>
      <c r="CE739" s="113"/>
      <c r="CF739" s="113"/>
      <c r="CG739" s="113"/>
      <c r="CH739" s="113"/>
      <c r="CI739" s="113"/>
      <c r="CJ739" s="113"/>
      <c r="CK739" s="113"/>
      <c r="CL739" s="113"/>
      <c r="CM739" s="113"/>
      <c r="CN739" s="113"/>
      <c r="CO739" s="113"/>
      <c r="CP739" s="113"/>
      <c r="CQ739" s="113"/>
      <c r="CR739" s="113"/>
      <c r="CS739" s="113"/>
      <c r="CT739" s="113"/>
      <c r="CU739" s="113"/>
    </row>
    <row r="740">
      <c r="A740" s="159"/>
      <c r="B740" s="113"/>
      <c r="C740" s="113"/>
      <c r="D740" s="158"/>
      <c r="E740" s="161"/>
      <c r="F740" s="160"/>
      <c r="G740" s="162"/>
      <c r="H740" s="159"/>
      <c r="I740" s="113"/>
      <c r="J740" s="113"/>
      <c r="K740" s="113"/>
      <c r="L740" s="158"/>
      <c r="M740" s="113"/>
      <c r="N740" s="113"/>
      <c r="O740" s="113"/>
      <c r="P740" s="113"/>
      <c r="Q740" s="113"/>
      <c r="R740" s="113"/>
      <c r="S740" s="113"/>
      <c r="T740" s="113"/>
      <c r="U740" s="113"/>
      <c r="V740" s="113"/>
      <c r="W740" s="113"/>
      <c r="X740" s="113"/>
      <c r="Y740" s="113"/>
      <c r="Z740" s="113"/>
      <c r="AA740" s="113"/>
      <c r="AB740" s="113"/>
      <c r="AC740" s="113"/>
      <c r="AD740" s="113"/>
      <c r="AE740" s="113"/>
      <c r="AF740" s="113"/>
      <c r="AG740" s="113"/>
      <c r="AH740" s="113"/>
      <c r="AI740" s="113"/>
      <c r="AJ740" s="113"/>
      <c r="AK740" s="113"/>
      <c r="AL740" s="113"/>
      <c r="AM740" s="113"/>
      <c r="AN740" s="113"/>
      <c r="AO740" s="113"/>
      <c r="AP740" s="113"/>
      <c r="AQ740" s="113"/>
      <c r="AR740" s="113"/>
      <c r="AS740" s="113"/>
      <c r="AT740" s="113"/>
      <c r="AU740" s="113"/>
      <c r="AV740" s="113"/>
      <c r="AW740" s="113"/>
      <c r="AX740" s="113"/>
      <c r="AY740" s="113"/>
      <c r="AZ740" s="113"/>
      <c r="BA740" s="113"/>
      <c r="BB740" s="113"/>
      <c r="BC740" s="113"/>
      <c r="BD740" s="113"/>
      <c r="BE740" s="113"/>
      <c r="BF740" s="113"/>
      <c r="BG740" s="113"/>
      <c r="BH740" s="113"/>
      <c r="BI740" s="113"/>
      <c r="BJ740" s="113"/>
      <c r="BK740" s="113"/>
      <c r="BL740" s="113"/>
      <c r="BM740" s="113"/>
      <c r="BN740" s="113"/>
      <c r="BO740" s="113"/>
      <c r="BP740" s="113"/>
      <c r="BQ740" s="113"/>
      <c r="BR740" s="113"/>
      <c r="BS740" s="113"/>
      <c r="BT740" s="113"/>
      <c r="BU740" s="113"/>
      <c r="BV740" s="113"/>
      <c r="BW740" s="113"/>
      <c r="BX740" s="113"/>
      <c r="BY740" s="113"/>
      <c r="BZ740" s="113"/>
      <c r="CA740" s="113"/>
      <c r="CB740" s="113"/>
      <c r="CC740" s="113"/>
      <c r="CD740" s="113"/>
      <c r="CE740" s="113"/>
      <c r="CF740" s="113"/>
      <c r="CG740" s="113"/>
      <c r="CH740" s="113"/>
      <c r="CI740" s="113"/>
      <c r="CJ740" s="113"/>
      <c r="CK740" s="113"/>
      <c r="CL740" s="113"/>
      <c r="CM740" s="113"/>
      <c r="CN740" s="113"/>
      <c r="CO740" s="113"/>
      <c r="CP740" s="113"/>
      <c r="CQ740" s="113"/>
      <c r="CR740" s="113"/>
      <c r="CS740" s="113"/>
      <c r="CT740" s="113"/>
      <c r="CU740" s="113"/>
    </row>
    <row r="741">
      <c r="A741" s="159"/>
      <c r="B741" s="113"/>
      <c r="C741" s="113"/>
      <c r="D741" s="158"/>
      <c r="E741" s="161"/>
      <c r="F741" s="160"/>
      <c r="G741" s="162"/>
      <c r="H741" s="159"/>
      <c r="I741" s="113"/>
      <c r="J741" s="113"/>
      <c r="K741" s="113"/>
      <c r="L741" s="158"/>
      <c r="M741" s="113"/>
      <c r="N741" s="113"/>
      <c r="O741" s="113"/>
      <c r="P741" s="113"/>
      <c r="Q741" s="113"/>
      <c r="R741" s="113"/>
      <c r="S741" s="113"/>
      <c r="T741" s="113"/>
      <c r="U741" s="113"/>
      <c r="V741" s="113"/>
      <c r="W741" s="113"/>
      <c r="X741" s="113"/>
      <c r="Y741" s="113"/>
      <c r="Z741" s="113"/>
      <c r="AA741" s="113"/>
      <c r="AB741" s="113"/>
      <c r="AC741" s="113"/>
      <c r="AD741" s="113"/>
      <c r="AE741" s="113"/>
      <c r="AF741" s="113"/>
      <c r="AG741" s="113"/>
      <c r="AH741" s="113"/>
      <c r="AI741" s="113"/>
      <c r="AJ741" s="113"/>
      <c r="AK741" s="113"/>
      <c r="AL741" s="113"/>
      <c r="AM741" s="113"/>
      <c r="AN741" s="113"/>
      <c r="AO741" s="113"/>
      <c r="AP741" s="113"/>
      <c r="AQ741" s="113"/>
      <c r="AR741" s="113"/>
      <c r="AS741" s="113"/>
      <c r="AT741" s="113"/>
      <c r="AU741" s="113"/>
      <c r="AV741" s="113"/>
      <c r="AW741" s="113"/>
      <c r="AX741" s="113"/>
      <c r="AY741" s="113"/>
      <c r="AZ741" s="113"/>
      <c r="BA741" s="113"/>
      <c r="BB741" s="113"/>
      <c r="BC741" s="113"/>
      <c r="BD741" s="113"/>
      <c r="BE741" s="113"/>
      <c r="BF741" s="113"/>
      <c r="BG741" s="113"/>
      <c r="BH741" s="113"/>
      <c r="BI741" s="113"/>
      <c r="BJ741" s="113"/>
      <c r="BK741" s="113"/>
      <c r="BL741" s="113"/>
      <c r="BM741" s="113"/>
      <c r="BN741" s="113"/>
      <c r="BO741" s="113"/>
      <c r="BP741" s="113"/>
      <c r="BQ741" s="113"/>
      <c r="BR741" s="113"/>
      <c r="BS741" s="113"/>
      <c r="BT741" s="113"/>
      <c r="BU741" s="113"/>
      <c r="BV741" s="113"/>
      <c r="BW741" s="113"/>
      <c r="BX741" s="113"/>
      <c r="BY741" s="113"/>
      <c r="BZ741" s="113"/>
      <c r="CA741" s="113"/>
      <c r="CB741" s="113"/>
      <c r="CC741" s="113"/>
      <c r="CD741" s="113"/>
      <c r="CE741" s="113"/>
      <c r="CF741" s="113"/>
      <c r="CG741" s="113"/>
      <c r="CH741" s="113"/>
      <c r="CI741" s="113"/>
      <c r="CJ741" s="113"/>
      <c r="CK741" s="113"/>
      <c r="CL741" s="113"/>
      <c r="CM741" s="113"/>
      <c r="CN741" s="113"/>
      <c r="CO741" s="113"/>
      <c r="CP741" s="113"/>
      <c r="CQ741" s="113"/>
      <c r="CR741" s="113"/>
      <c r="CS741" s="113"/>
      <c r="CT741" s="113"/>
      <c r="CU741" s="113"/>
    </row>
    <row r="742">
      <c r="A742" s="159"/>
      <c r="B742" s="113"/>
      <c r="C742" s="113"/>
      <c r="D742" s="158"/>
      <c r="E742" s="161"/>
      <c r="F742" s="160"/>
      <c r="G742" s="162"/>
      <c r="H742" s="159"/>
      <c r="I742" s="113"/>
      <c r="J742" s="113"/>
      <c r="K742" s="113"/>
      <c r="L742" s="158"/>
      <c r="M742" s="113"/>
      <c r="N742" s="113"/>
      <c r="O742" s="113"/>
      <c r="P742" s="113"/>
      <c r="Q742" s="113"/>
      <c r="R742" s="113"/>
      <c r="S742" s="113"/>
      <c r="T742" s="113"/>
      <c r="U742" s="113"/>
      <c r="V742" s="113"/>
      <c r="W742" s="113"/>
      <c r="X742" s="113"/>
      <c r="Y742" s="113"/>
      <c r="Z742" s="113"/>
      <c r="AA742" s="113"/>
      <c r="AB742" s="113"/>
      <c r="AC742" s="113"/>
      <c r="AD742" s="113"/>
      <c r="AE742" s="113"/>
      <c r="AF742" s="113"/>
      <c r="AG742" s="113"/>
      <c r="AH742" s="113"/>
      <c r="AI742" s="113"/>
      <c r="AJ742" s="113"/>
      <c r="AK742" s="113"/>
      <c r="AL742" s="113"/>
      <c r="AM742" s="113"/>
      <c r="AN742" s="113"/>
      <c r="AO742" s="113"/>
      <c r="AP742" s="113"/>
      <c r="AQ742" s="113"/>
      <c r="AR742" s="113"/>
      <c r="AS742" s="113"/>
      <c r="AT742" s="113"/>
      <c r="AU742" s="113"/>
      <c r="AV742" s="113"/>
      <c r="AW742" s="113"/>
      <c r="AX742" s="113"/>
      <c r="AY742" s="113"/>
      <c r="AZ742" s="113"/>
      <c r="BA742" s="113"/>
      <c r="BB742" s="113"/>
      <c r="BC742" s="113"/>
      <c r="BD742" s="113"/>
      <c r="BE742" s="113"/>
      <c r="BF742" s="113"/>
      <c r="BG742" s="113"/>
      <c r="BH742" s="113"/>
      <c r="BI742" s="113"/>
      <c r="BJ742" s="113"/>
      <c r="BK742" s="113"/>
      <c r="BL742" s="113"/>
      <c r="BM742" s="113"/>
      <c r="BN742" s="113"/>
      <c r="BO742" s="113"/>
      <c r="BP742" s="113"/>
      <c r="BQ742" s="113"/>
      <c r="BR742" s="113"/>
      <c r="BS742" s="113"/>
      <c r="BT742" s="113"/>
      <c r="BU742" s="113"/>
      <c r="BV742" s="113"/>
      <c r="BW742" s="113"/>
      <c r="BX742" s="113"/>
      <c r="BY742" s="113"/>
      <c r="BZ742" s="113"/>
      <c r="CA742" s="113"/>
      <c r="CB742" s="113"/>
      <c r="CC742" s="113"/>
      <c r="CD742" s="113"/>
      <c r="CE742" s="113"/>
      <c r="CF742" s="113"/>
      <c r="CG742" s="113"/>
      <c r="CH742" s="113"/>
      <c r="CI742" s="113"/>
      <c r="CJ742" s="113"/>
      <c r="CK742" s="113"/>
      <c r="CL742" s="113"/>
      <c r="CM742" s="113"/>
      <c r="CN742" s="113"/>
      <c r="CO742" s="113"/>
      <c r="CP742" s="113"/>
      <c r="CQ742" s="113"/>
      <c r="CR742" s="113"/>
      <c r="CS742" s="113"/>
      <c r="CT742" s="113"/>
      <c r="CU742" s="113"/>
    </row>
    <row r="743">
      <c r="A743" s="159"/>
      <c r="B743" s="113"/>
      <c r="C743" s="113"/>
      <c r="D743" s="158"/>
      <c r="E743" s="161"/>
      <c r="F743" s="160"/>
      <c r="G743" s="162"/>
      <c r="H743" s="159"/>
      <c r="I743" s="113"/>
      <c r="J743" s="113"/>
      <c r="K743" s="113"/>
      <c r="L743" s="158"/>
      <c r="M743" s="113"/>
      <c r="N743" s="113"/>
      <c r="O743" s="113"/>
      <c r="P743" s="113"/>
      <c r="Q743" s="113"/>
      <c r="R743" s="113"/>
      <c r="S743" s="113"/>
      <c r="T743" s="113"/>
      <c r="U743" s="113"/>
      <c r="V743" s="113"/>
      <c r="W743" s="113"/>
      <c r="X743" s="113"/>
      <c r="Y743" s="113"/>
      <c r="Z743" s="113"/>
      <c r="AA743" s="113"/>
      <c r="AB743" s="113"/>
      <c r="AC743" s="113"/>
      <c r="AD743" s="113"/>
      <c r="AE743" s="113"/>
      <c r="AF743" s="113"/>
      <c r="AG743" s="113"/>
      <c r="AH743" s="113"/>
      <c r="AI743" s="113"/>
      <c r="AJ743" s="113"/>
      <c r="AK743" s="113"/>
      <c r="AL743" s="113"/>
      <c r="AM743" s="113"/>
      <c r="AN743" s="113"/>
      <c r="AO743" s="113"/>
      <c r="AP743" s="113"/>
      <c r="AQ743" s="113"/>
      <c r="AR743" s="113"/>
      <c r="AS743" s="113"/>
      <c r="AT743" s="113"/>
      <c r="AU743" s="113"/>
      <c r="AV743" s="113"/>
      <c r="AW743" s="113"/>
      <c r="AX743" s="113"/>
      <c r="AY743" s="113"/>
      <c r="AZ743" s="113"/>
      <c r="BA743" s="113"/>
      <c r="BB743" s="113"/>
      <c r="BC743" s="113"/>
      <c r="BD743" s="113"/>
      <c r="BE743" s="113"/>
      <c r="BF743" s="113"/>
      <c r="BG743" s="113"/>
      <c r="BH743" s="113"/>
      <c r="BI743" s="113"/>
      <c r="BJ743" s="113"/>
      <c r="BK743" s="113"/>
      <c r="BL743" s="113"/>
      <c r="BM743" s="113"/>
      <c r="BN743" s="113"/>
      <c r="BO743" s="113"/>
      <c r="BP743" s="113"/>
      <c r="BQ743" s="113"/>
      <c r="BR743" s="113"/>
      <c r="BS743" s="113"/>
      <c r="BT743" s="113"/>
      <c r="BU743" s="113"/>
      <c r="BV743" s="113"/>
      <c r="BW743" s="113"/>
      <c r="BX743" s="113"/>
      <c r="BY743" s="113"/>
      <c r="BZ743" s="113"/>
      <c r="CA743" s="113"/>
      <c r="CB743" s="113"/>
      <c r="CC743" s="113"/>
      <c r="CD743" s="113"/>
      <c r="CE743" s="113"/>
      <c r="CF743" s="113"/>
      <c r="CG743" s="113"/>
      <c r="CH743" s="113"/>
      <c r="CI743" s="113"/>
      <c r="CJ743" s="113"/>
      <c r="CK743" s="113"/>
      <c r="CL743" s="113"/>
      <c r="CM743" s="113"/>
      <c r="CN743" s="113"/>
      <c r="CO743" s="113"/>
      <c r="CP743" s="113"/>
      <c r="CQ743" s="113"/>
      <c r="CR743" s="113"/>
      <c r="CS743" s="113"/>
      <c r="CT743" s="113"/>
      <c r="CU743" s="113"/>
    </row>
    <row r="744">
      <c r="A744" s="159"/>
      <c r="B744" s="113"/>
      <c r="C744" s="113"/>
      <c r="D744" s="158"/>
      <c r="E744" s="161"/>
      <c r="F744" s="160"/>
      <c r="G744" s="162"/>
      <c r="H744" s="159"/>
      <c r="I744" s="113"/>
      <c r="J744" s="113"/>
      <c r="K744" s="113"/>
      <c r="L744" s="158"/>
      <c r="M744" s="113"/>
      <c r="N744" s="113"/>
      <c r="O744" s="113"/>
      <c r="P744" s="113"/>
      <c r="Q744" s="113"/>
      <c r="R744" s="113"/>
      <c r="S744" s="113"/>
      <c r="T744" s="113"/>
      <c r="U744" s="113"/>
      <c r="V744" s="113"/>
      <c r="W744" s="113"/>
      <c r="X744" s="113"/>
      <c r="Y744" s="113"/>
      <c r="Z744" s="113"/>
      <c r="AA744" s="113"/>
      <c r="AB744" s="113"/>
      <c r="AC744" s="113"/>
      <c r="AD744" s="113"/>
      <c r="AE744" s="113"/>
      <c r="AF744" s="113"/>
      <c r="AG744" s="113"/>
      <c r="AH744" s="113"/>
      <c r="AI744" s="113"/>
      <c r="AJ744" s="113"/>
      <c r="AK744" s="113"/>
      <c r="AL744" s="113"/>
      <c r="AM744" s="113"/>
      <c r="AN744" s="113"/>
      <c r="AO744" s="113"/>
      <c r="AP744" s="113"/>
      <c r="AQ744" s="113"/>
      <c r="AR744" s="113"/>
      <c r="AS744" s="113"/>
      <c r="AT744" s="113"/>
      <c r="AU744" s="113"/>
      <c r="AV744" s="113"/>
      <c r="AW744" s="113"/>
      <c r="AX744" s="113"/>
      <c r="AY744" s="113"/>
      <c r="AZ744" s="113"/>
      <c r="BA744" s="113"/>
      <c r="BB744" s="113"/>
      <c r="BC744" s="113"/>
      <c r="BD744" s="113"/>
      <c r="BE744" s="113"/>
      <c r="BF744" s="113"/>
      <c r="BG744" s="113"/>
      <c r="BH744" s="113"/>
      <c r="BI744" s="113"/>
      <c r="BJ744" s="113"/>
      <c r="BK744" s="113"/>
      <c r="BL744" s="113"/>
      <c r="BM744" s="113"/>
      <c r="BN744" s="113"/>
      <c r="BO744" s="113"/>
      <c r="BP744" s="113"/>
      <c r="BQ744" s="113"/>
      <c r="BR744" s="113"/>
      <c r="BS744" s="113"/>
      <c r="BT744" s="113"/>
      <c r="BU744" s="113"/>
      <c r="BV744" s="113"/>
      <c r="BW744" s="113"/>
      <c r="BX744" s="113"/>
      <c r="BY744" s="113"/>
      <c r="BZ744" s="113"/>
      <c r="CA744" s="113"/>
      <c r="CB744" s="113"/>
      <c r="CC744" s="113"/>
      <c r="CD744" s="113"/>
      <c r="CE744" s="113"/>
      <c r="CF744" s="113"/>
      <c r="CG744" s="113"/>
      <c r="CH744" s="113"/>
      <c r="CI744" s="113"/>
      <c r="CJ744" s="113"/>
      <c r="CK744" s="113"/>
      <c r="CL744" s="113"/>
      <c r="CM744" s="113"/>
      <c r="CN744" s="113"/>
      <c r="CO744" s="113"/>
      <c r="CP744" s="113"/>
      <c r="CQ744" s="113"/>
      <c r="CR744" s="113"/>
      <c r="CS744" s="113"/>
      <c r="CT744" s="113"/>
      <c r="CU744" s="113"/>
    </row>
    <row r="745">
      <c r="A745" s="159"/>
      <c r="B745" s="113"/>
      <c r="C745" s="113"/>
      <c r="D745" s="158"/>
      <c r="E745" s="161"/>
      <c r="F745" s="160"/>
      <c r="G745" s="162"/>
      <c r="H745" s="159"/>
      <c r="I745" s="113"/>
      <c r="J745" s="113"/>
      <c r="K745" s="113"/>
      <c r="L745" s="158"/>
      <c r="M745" s="113"/>
      <c r="N745" s="113"/>
      <c r="O745" s="113"/>
      <c r="P745" s="113"/>
      <c r="Q745" s="113"/>
      <c r="R745" s="113"/>
      <c r="S745" s="113"/>
      <c r="T745" s="113"/>
      <c r="U745" s="113"/>
      <c r="V745" s="113"/>
      <c r="W745" s="113"/>
      <c r="X745" s="113"/>
      <c r="Y745" s="113"/>
      <c r="Z745" s="113"/>
      <c r="AA745" s="113"/>
      <c r="AB745" s="113"/>
      <c r="AC745" s="113"/>
      <c r="AD745" s="113"/>
      <c r="AE745" s="113"/>
      <c r="AF745" s="113"/>
      <c r="AG745" s="113"/>
      <c r="AH745" s="113"/>
      <c r="AI745" s="113"/>
      <c r="AJ745" s="113"/>
      <c r="AK745" s="113"/>
      <c r="AL745" s="113"/>
      <c r="AM745" s="113"/>
      <c r="AN745" s="113"/>
      <c r="AO745" s="113"/>
      <c r="AP745" s="113"/>
      <c r="AQ745" s="113"/>
      <c r="AR745" s="113"/>
      <c r="AS745" s="113"/>
      <c r="AT745" s="113"/>
      <c r="AU745" s="113"/>
      <c r="AV745" s="113"/>
      <c r="AW745" s="113"/>
      <c r="AX745" s="113"/>
      <c r="AY745" s="113"/>
      <c r="AZ745" s="113"/>
      <c r="BA745" s="113"/>
      <c r="BB745" s="113"/>
      <c r="BC745" s="113"/>
      <c r="BD745" s="113"/>
      <c r="BE745" s="113"/>
      <c r="BF745" s="113"/>
      <c r="BG745" s="113"/>
      <c r="BH745" s="113"/>
      <c r="BI745" s="113"/>
      <c r="BJ745" s="113"/>
      <c r="BK745" s="113"/>
      <c r="BL745" s="113"/>
      <c r="BM745" s="113"/>
      <c r="BN745" s="113"/>
      <c r="BO745" s="113"/>
      <c r="BP745" s="113"/>
      <c r="BQ745" s="113"/>
      <c r="BR745" s="113"/>
      <c r="BS745" s="113"/>
      <c r="BT745" s="113"/>
      <c r="BU745" s="113"/>
      <c r="BV745" s="113"/>
      <c r="BW745" s="113"/>
      <c r="BX745" s="113"/>
      <c r="BY745" s="113"/>
      <c r="BZ745" s="113"/>
      <c r="CA745" s="113"/>
      <c r="CB745" s="113"/>
      <c r="CC745" s="113"/>
      <c r="CD745" s="113"/>
      <c r="CE745" s="113"/>
      <c r="CF745" s="113"/>
      <c r="CG745" s="113"/>
      <c r="CH745" s="113"/>
      <c r="CI745" s="113"/>
      <c r="CJ745" s="113"/>
      <c r="CK745" s="113"/>
      <c r="CL745" s="113"/>
      <c r="CM745" s="113"/>
      <c r="CN745" s="113"/>
      <c r="CO745" s="113"/>
      <c r="CP745" s="113"/>
      <c r="CQ745" s="113"/>
      <c r="CR745" s="113"/>
      <c r="CS745" s="113"/>
      <c r="CT745" s="113"/>
      <c r="CU745" s="113"/>
    </row>
    <row r="746">
      <c r="A746" s="159"/>
      <c r="B746" s="113"/>
      <c r="C746" s="113"/>
      <c r="D746" s="158"/>
      <c r="E746" s="161"/>
      <c r="F746" s="160"/>
      <c r="G746" s="162"/>
      <c r="H746" s="159"/>
      <c r="I746" s="113"/>
      <c r="J746" s="113"/>
      <c r="K746" s="113"/>
      <c r="L746" s="158"/>
      <c r="M746" s="113"/>
      <c r="N746" s="113"/>
      <c r="O746" s="113"/>
      <c r="P746" s="113"/>
      <c r="Q746" s="113"/>
      <c r="R746" s="113"/>
      <c r="S746" s="113"/>
      <c r="T746" s="113"/>
      <c r="U746" s="113"/>
      <c r="V746" s="113"/>
      <c r="W746" s="113"/>
      <c r="X746" s="113"/>
      <c r="Y746" s="113"/>
      <c r="Z746" s="113"/>
      <c r="AA746" s="113"/>
      <c r="AB746" s="113"/>
      <c r="AC746" s="113"/>
      <c r="AD746" s="113"/>
      <c r="AE746" s="113"/>
      <c r="AF746" s="113"/>
      <c r="AG746" s="113"/>
      <c r="AH746" s="113"/>
      <c r="AI746" s="113"/>
      <c r="AJ746" s="113"/>
      <c r="AK746" s="113"/>
      <c r="AL746" s="113"/>
      <c r="AM746" s="113"/>
      <c r="AN746" s="113"/>
      <c r="AO746" s="113"/>
      <c r="AP746" s="113"/>
      <c r="AQ746" s="113"/>
      <c r="AR746" s="113"/>
      <c r="AS746" s="113"/>
      <c r="AT746" s="113"/>
      <c r="AU746" s="113"/>
      <c r="AV746" s="113"/>
      <c r="AW746" s="113"/>
      <c r="AX746" s="113"/>
      <c r="AY746" s="113"/>
      <c r="AZ746" s="113"/>
      <c r="BA746" s="113"/>
      <c r="BB746" s="113"/>
      <c r="BC746" s="113"/>
      <c r="BD746" s="113"/>
      <c r="BE746" s="113"/>
      <c r="BF746" s="113"/>
      <c r="BG746" s="113"/>
      <c r="BH746" s="113"/>
      <c r="BI746" s="113"/>
      <c r="BJ746" s="113"/>
      <c r="BK746" s="113"/>
      <c r="BL746" s="113"/>
      <c r="BM746" s="113"/>
      <c r="BN746" s="113"/>
      <c r="BO746" s="113"/>
      <c r="BP746" s="113"/>
      <c r="BQ746" s="113"/>
      <c r="BR746" s="113"/>
      <c r="BS746" s="113"/>
      <c r="BT746" s="113"/>
      <c r="BU746" s="113"/>
      <c r="BV746" s="113"/>
      <c r="BW746" s="113"/>
      <c r="BX746" s="113"/>
      <c r="BY746" s="113"/>
      <c r="BZ746" s="113"/>
      <c r="CA746" s="113"/>
      <c r="CB746" s="113"/>
      <c r="CC746" s="113"/>
      <c r="CD746" s="113"/>
      <c r="CE746" s="113"/>
      <c r="CF746" s="113"/>
      <c r="CG746" s="113"/>
      <c r="CH746" s="113"/>
      <c r="CI746" s="113"/>
      <c r="CJ746" s="113"/>
      <c r="CK746" s="113"/>
      <c r="CL746" s="113"/>
      <c r="CM746" s="113"/>
      <c r="CN746" s="113"/>
      <c r="CO746" s="113"/>
      <c r="CP746" s="113"/>
      <c r="CQ746" s="113"/>
      <c r="CR746" s="113"/>
      <c r="CS746" s="113"/>
      <c r="CT746" s="113"/>
      <c r="CU746" s="113"/>
    </row>
    <row r="747">
      <c r="A747" s="159"/>
      <c r="B747" s="113"/>
      <c r="C747" s="113"/>
      <c r="D747" s="158"/>
      <c r="E747" s="161"/>
      <c r="F747" s="160"/>
      <c r="G747" s="162"/>
      <c r="H747" s="159"/>
      <c r="I747" s="113"/>
      <c r="J747" s="113"/>
      <c r="K747" s="113"/>
      <c r="L747" s="158"/>
      <c r="M747" s="113"/>
      <c r="N747" s="113"/>
      <c r="O747" s="113"/>
      <c r="P747" s="113"/>
      <c r="Q747" s="113"/>
      <c r="R747" s="113"/>
      <c r="S747" s="113"/>
      <c r="T747" s="113"/>
      <c r="U747" s="113"/>
      <c r="V747" s="113"/>
      <c r="W747" s="113"/>
      <c r="X747" s="113"/>
      <c r="Y747" s="113"/>
      <c r="Z747" s="113"/>
      <c r="AA747" s="113"/>
      <c r="AB747" s="113"/>
      <c r="AC747" s="113"/>
      <c r="AD747" s="113"/>
      <c r="AE747" s="113"/>
      <c r="AF747" s="113"/>
      <c r="AG747" s="113"/>
      <c r="AH747" s="113"/>
      <c r="AI747" s="113"/>
      <c r="AJ747" s="113"/>
      <c r="AK747" s="113"/>
      <c r="AL747" s="113"/>
      <c r="AM747" s="113"/>
      <c r="AN747" s="113"/>
      <c r="AO747" s="113"/>
      <c r="AP747" s="113"/>
      <c r="AQ747" s="113"/>
      <c r="AR747" s="113"/>
      <c r="AS747" s="113"/>
      <c r="AT747" s="113"/>
      <c r="AU747" s="113"/>
      <c r="AV747" s="113"/>
      <c r="AW747" s="113"/>
      <c r="AX747" s="113"/>
      <c r="AY747" s="113"/>
      <c r="AZ747" s="113"/>
      <c r="BA747" s="113"/>
      <c r="BB747" s="113"/>
      <c r="BC747" s="113"/>
      <c r="BD747" s="113"/>
      <c r="BE747" s="113"/>
      <c r="BF747" s="113"/>
      <c r="BG747" s="113"/>
      <c r="BH747" s="113"/>
      <c r="BI747" s="113"/>
      <c r="BJ747" s="113"/>
      <c r="BK747" s="113"/>
      <c r="BL747" s="113"/>
      <c r="BM747" s="113"/>
      <c r="BN747" s="113"/>
      <c r="BO747" s="113"/>
      <c r="BP747" s="113"/>
      <c r="BQ747" s="113"/>
      <c r="BR747" s="113"/>
      <c r="BS747" s="113"/>
      <c r="BT747" s="113"/>
      <c r="BU747" s="113"/>
      <c r="BV747" s="113"/>
      <c r="BW747" s="113"/>
      <c r="BX747" s="113"/>
      <c r="BY747" s="113"/>
      <c r="BZ747" s="113"/>
      <c r="CA747" s="113"/>
      <c r="CB747" s="113"/>
      <c r="CC747" s="113"/>
      <c r="CD747" s="113"/>
      <c r="CE747" s="113"/>
      <c r="CF747" s="113"/>
      <c r="CG747" s="113"/>
      <c r="CH747" s="113"/>
      <c r="CI747" s="113"/>
      <c r="CJ747" s="113"/>
      <c r="CK747" s="113"/>
      <c r="CL747" s="113"/>
      <c r="CM747" s="113"/>
      <c r="CN747" s="113"/>
      <c r="CO747" s="113"/>
      <c r="CP747" s="113"/>
      <c r="CQ747" s="113"/>
      <c r="CR747" s="113"/>
      <c r="CS747" s="113"/>
      <c r="CT747" s="113"/>
      <c r="CU747" s="113"/>
    </row>
    <row r="748">
      <c r="A748" s="159"/>
      <c r="B748" s="113"/>
      <c r="C748" s="113"/>
      <c r="D748" s="158"/>
      <c r="E748" s="161"/>
      <c r="F748" s="160"/>
      <c r="G748" s="162"/>
      <c r="H748" s="159"/>
      <c r="I748" s="113"/>
      <c r="J748" s="113"/>
      <c r="K748" s="113"/>
      <c r="L748" s="158"/>
      <c r="M748" s="113"/>
      <c r="N748" s="113"/>
      <c r="O748" s="113"/>
      <c r="P748" s="113"/>
      <c r="Q748" s="113"/>
      <c r="R748" s="113"/>
      <c r="S748" s="113"/>
      <c r="T748" s="113"/>
      <c r="U748" s="113"/>
      <c r="V748" s="113"/>
      <c r="W748" s="113"/>
      <c r="X748" s="113"/>
      <c r="Y748" s="113"/>
      <c r="Z748" s="113"/>
      <c r="AA748" s="113"/>
      <c r="AB748" s="113"/>
      <c r="AC748" s="113"/>
      <c r="AD748" s="113"/>
      <c r="AE748" s="113"/>
      <c r="AF748" s="113"/>
      <c r="AG748" s="113"/>
      <c r="AH748" s="113"/>
      <c r="AI748" s="113"/>
      <c r="AJ748" s="113"/>
      <c r="AK748" s="113"/>
      <c r="AL748" s="113"/>
      <c r="AM748" s="113"/>
      <c r="AN748" s="113"/>
      <c r="AO748" s="113"/>
      <c r="AP748" s="113"/>
      <c r="AQ748" s="113"/>
      <c r="AR748" s="113"/>
      <c r="AS748" s="113"/>
      <c r="AT748" s="113"/>
      <c r="AU748" s="113"/>
      <c r="AV748" s="113"/>
      <c r="AW748" s="113"/>
      <c r="AX748" s="113"/>
      <c r="AY748" s="113"/>
      <c r="AZ748" s="113"/>
      <c r="BA748" s="113"/>
      <c r="BB748" s="113"/>
      <c r="BC748" s="113"/>
      <c r="BD748" s="113"/>
      <c r="BE748" s="113"/>
      <c r="BF748" s="113"/>
      <c r="BG748" s="113"/>
      <c r="BH748" s="113"/>
      <c r="BI748" s="113"/>
      <c r="BJ748" s="113"/>
      <c r="BK748" s="113"/>
      <c r="BL748" s="113"/>
      <c r="BM748" s="113"/>
      <c r="BN748" s="113"/>
      <c r="BO748" s="113"/>
      <c r="BP748" s="113"/>
      <c r="BQ748" s="113"/>
      <c r="BR748" s="113"/>
      <c r="BS748" s="113"/>
      <c r="BT748" s="113"/>
      <c r="BU748" s="113"/>
      <c r="BV748" s="113"/>
      <c r="BW748" s="113"/>
      <c r="BX748" s="113"/>
      <c r="BY748" s="113"/>
      <c r="BZ748" s="113"/>
      <c r="CA748" s="113"/>
      <c r="CB748" s="113"/>
      <c r="CC748" s="113"/>
      <c r="CD748" s="113"/>
      <c r="CE748" s="113"/>
      <c r="CF748" s="113"/>
      <c r="CG748" s="113"/>
      <c r="CH748" s="113"/>
      <c r="CI748" s="113"/>
      <c r="CJ748" s="113"/>
      <c r="CK748" s="113"/>
      <c r="CL748" s="113"/>
      <c r="CM748" s="113"/>
      <c r="CN748" s="113"/>
      <c r="CO748" s="113"/>
      <c r="CP748" s="113"/>
      <c r="CQ748" s="113"/>
      <c r="CR748" s="113"/>
      <c r="CS748" s="113"/>
      <c r="CT748" s="113"/>
      <c r="CU748" s="113"/>
    </row>
    <row r="749">
      <c r="A749" s="159"/>
      <c r="B749" s="113"/>
      <c r="C749" s="113"/>
      <c r="D749" s="158"/>
      <c r="E749" s="161"/>
      <c r="F749" s="160"/>
      <c r="G749" s="162"/>
      <c r="H749" s="159"/>
      <c r="I749" s="113"/>
      <c r="J749" s="113"/>
      <c r="K749" s="113"/>
      <c r="L749" s="158"/>
      <c r="M749" s="113"/>
      <c r="N749" s="113"/>
      <c r="O749" s="113"/>
      <c r="P749" s="113"/>
      <c r="Q749" s="113"/>
      <c r="R749" s="113"/>
      <c r="S749" s="113"/>
      <c r="T749" s="113"/>
      <c r="U749" s="113"/>
      <c r="V749" s="113"/>
      <c r="W749" s="113"/>
      <c r="X749" s="113"/>
      <c r="Y749" s="113"/>
      <c r="Z749" s="113"/>
      <c r="AA749" s="113"/>
      <c r="AB749" s="113"/>
      <c r="AC749" s="113"/>
      <c r="AD749" s="113"/>
      <c r="AE749" s="113"/>
      <c r="AF749" s="113"/>
      <c r="AG749" s="113"/>
      <c r="AH749" s="113"/>
      <c r="AI749" s="113"/>
      <c r="AJ749" s="113"/>
      <c r="AK749" s="113"/>
      <c r="AL749" s="113"/>
      <c r="AM749" s="113"/>
      <c r="AN749" s="113"/>
      <c r="AO749" s="113"/>
      <c r="AP749" s="113"/>
      <c r="AQ749" s="113"/>
      <c r="AR749" s="113"/>
      <c r="AS749" s="113"/>
      <c r="AT749" s="113"/>
      <c r="AU749" s="113"/>
      <c r="AV749" s="113"/>
      <c r="AW749" s="113"/>
      <c r="AX749" s="113"/>
      <c r="AY749" s="113"/>
      <c r="AZ749" s="113"/>
      <c r="BA749" s="113"/>
      <c r="BB749" s="113"/>
      <c r="BC749" s="113"/>
      <c r="BD749" s="113"/>
      <c r="BE749" s="113"/>
      <c r="BF749" s="113"/>
      <c r="BG749" s="113"/>
      <c r="BH749" s="113"/>
      <c r="BI749" s="113"/>
      <c r="BJ749" s="113"/>
      <c r="BK749" s="113"/>
      <c r="BL749" s="113"/>
      <c r="BM749" s="113"/>
      <c r="BN749" s="113"/>
      <c r="BO749" s="113"/>
      <c r="BP749" s="113"/>
      <c r="BQ749" s="113"/>
      <c r="BR749" s="113"/>
      <c r="BS749" s="113"/>
      <c r="BT749" s="113"/>
      <c r="BU749" s="113"/>
      <c r="BV749" s="113"/>
      <c r="BW749" s="113"/>
      <c r="BX749" s="113"/>
      <c r="BY749" s="113"/>
      <c r="BZ749" s="113"/>
      <c r="CA749" s="113"/>
      <c r="CB749" s="113"/>
      <c r="CC749" s="113"/>
      <c r="CD749" s="113"/>
      <c r="CE749" s="113"/>
      <c r="CF749" s="113"/>
      <c r="CG749" s="113"/>
      <c r="CH749" s="113"/>
      <c r="CI749" s="113"/>
      <c r="CJ749" s="113"/>
      <c r="CK749" s="113"/>
      <c r="CL749" s="113"/>
      <c r="CM749" s="113"/>
      <c r="CN749" s="113"/>
      <c r="CO749" s="113"/>
      <c r="CP749" s="113"/>
      <c r="CQ749" s="113"/>
      <c r="CR749" s="113"/>
      <c r="CS749" s="113"/>
      <c r="CT749" s="113"/>
      <c r="CU749" s="113"/>
    </row>
    <row r="750">
      <c r="A750" s="159"/>
      <c r="B750" s="113"/>
      <c r="C750" s="113"/>
      <c r="D750" s="158"/>
      <c r="E750" s="161"/>
      <c r="F750" s="160"/>
      <c r="G750" s="162"/>
      <c r="H750" s="159"/>
      <c r="I750" s="113"/>
      <c r="J750" s="113"/>
      <c r="K750" s="113"/>
      <c r="L750" s="158"/>
      <c r="M750" s="113"/>
      <c r="N750" s="113"/>
      <c r="O750" s="113"/>
      <c r="P750" s="113"/>
      <c r="Q750" s="113"/>
      <c r="R750" s="113"/>
      <c r="S750" s="113"/>
      <c r="T750" s="113"/>
      <c r="U750" s="113"/>
      <c r="V750" s="113"/>
      <c r="W750" s="113"/>
      <c r="X750" s="113"/>
      <c r="Y750" s="113"/>
      <c r="Z750" s="113"/>
      <c r="AA750" s="113"/>
      <c r="AB750" s="113"/>
      <c r="AC750" s="113"/>
      <c r="AD750" s="113"/>
      <c r="AE750" s="113"/>
      <c r="AF750" s="113"/>
      <c r="AG750" s="113"/>
      <c r="AH750" s="113"/>
      <c r="AI750" s="113"/>
      <c r="AJ750" s="113"/>
      <c r="AK750" s="113"/>
      <c r="AL750" s="113"/>
      <c r="AM750" s="113"/>
      <c r="AN750" s="113"/>
      <c r="AO750" s="113"/>
      <c r="AP750" s="113"/>
      <c r="AQ750" s="113"/>
      <c r="AR750" s="113"/>
      <c r="AS750" s="113"/>
      <c r="AT750" s="113"/>
      <c r="AU750" s="113"/>
      <c r="AV750" s="113"/>
      <c r="AW750" s="113"/>
      <c r="AX750" s="113"/>
      <c r="AY750" s="113"/>
      <c r="AZ750" s="113"/>
      <c r="BA750" s="113"/>
      <c r="BB750" s="113"/>
      <c r="BC750" s="113"/>
      <c r="BD750" s="113"/>
      <c r="BE750" s="113"/>
      <c r="BF750" s="113"/>
      <c r="BG750" s="113"/>
      <c r="BH750" s="113"/>
      <c r="BI750" s="113"/>
      <c r="BJ750" s="113"/>
      <c r="BK750" s="113"/>
      <c r="BL750" s="113"/>
      <c r="BM750" s="113"/>
      <c r="BN750" s="113"/>
      <c r="BO750" s="113"/>
      <c r="BP750" s="113"/>
      <c r="BQ750" s="113"/>
      <c r="BR750" s="113"/>
      <c r="BS750" s="113"/>
      <c r="BT750" s="113"/>
      <c r="BU750" s="113"/>
      <c r="BV750" s="113"/>
      <c r="BW750" s="113"/>
      <c r="BX750" s="113"/>
      <c r="BY750" s="113"/>
      <c r="BZ750" s="113"/>
      <c r="CA750" s="113"/>
      <c r="CB750" s="113"/>
      <c r="CC750" s="113"/>
      <c r="CD750" s="113"/>
      <c r="CE750" s="113"/>
      <c r="CF750" s="113"/>
      <c r="CG750" s="113"/>
      <c r="CH750" s="113"/>
      <c r="CI750" s="113"/>
      <c r="CJ750" s="113"/>
      <c r="CK750" s="113"/>
      <c r="CL750" s="113"/>
      <c r="CM750" s="113"/>
      <c r="CN750" s="113"/>
      <c r="CO750" s="113"/>
      <c r="CP750" s="113"/>
      <c r="CQ750" s="113"/>
      <c r="CR750" s="113"/>
      <c r="CS750" s="113"/>
      <c r="CT750" s="113"/>
      <c r="CU750" s="113"/>
    </row>
    <row r="751">
      <c r="A751" s="159"/>
      <c r="B751" s="113"/>
      <c r="C751" s="113"/>
      <c r="D751" s="158"/>
      <c r="E751" s="161"/>
      <c r="F751" s="160"/>
      <c r="G751" s="162"/>
      <c r="H751" s="159"/>
      <c r="I751" s="113"/>
      <c r="J751" s="113"/>
      <c r="K751" s="113"/>
      <c r="L751" s="158"/>
      <c r="M751" s="113"/>
      <c r="N751" s="113"/>
      <c r="O751" s="113"/>
      <c r="P751" s="113"/>
      <c r="Q751" s="113"/>
      <c r="R751" s="113"/>
      <c r="S751" s="113"/>
      <c r="T751" s="113"/>
      <c r="U751" s="113"/>
      <c r="V751" s="113"/>
      <c r="W751" s="113"/>
      <c r="X751" s="113"/>
      <c r="Y751" s="113"/>
      <c r="Z751" s="113"/>
      <c r="AA751" s="113"/>
      <c r="AB751" s="113"/>
      <c r="AC751" s="113"/>
      <c r="AD751" s="113"/>
      <c r="AE751" s="113"/>
      <c r="AF751" s="113"/>
      <c r="AG751" s="113"/>
      <c r="AH751" s="113"/>
      <c r="AI751" s="113"/>
      <c r="AJ751" s="113"/>
      <c r="AK751" s="113"/>
      <c r="AL751" s="113"/>
      <c r="AM751" s="113"/>
      <c r="AN751" s="113"/>
      <c r="AO751" s="113"/>
      <c r="AP751" s="113"/>
      <c r="AQ751" s="113"/>
      <c r="AR751" s="113"/>
      <c r="AS751" s="113"/>
      <c r="AT751" s="113"/>
      <c r="AU751" s="113"/>
      <c r="AV751" s="113"/>
      <c r="AW751" s="113"/>
      <c r="AX751" s="113"/>
      <c r="AY751" s="113"/>
      <c r="AZ751" s="113"/>
      <c r="BA751" s="113"/>
      <c r="BB751" s="113"/>
      <c r="BC751" s="113"/>
      <c r="BD751" s="113"/>
      <c r="BE751" s="113"/>
      <c r="BF751" s="113"/>
      <c r="BG751" s="113"/>
      <c r="BH751" s="113"/>
      <c r="BI751" s="113"/>
      <c r="BJ751" s="113"/>
      <c r="BK751" s="113"/>
      <c r="BL751" s="113"/>
      <c r="BM751" s="113"/>
      <c r="BN751" s="113"/>
      <c r="BO751" s="113"/>
      <c r="BP751" s="113"/>
      <c r="BQ751" s="113"/>
      <c r="BR751" s="113"/>
      <c r="BS751" s="113"/>
      <c r="BT751" s="113"/>
      <c r="BU751" s="113"/>
      <c r="BV751" s="113"/>
      <c r="BW751" s="113"/>
      <c r="BX751" s="113"/>
      <c r="BY751" s="113"/>
      <c r="BZ751" s="113"/>
      <c r="CA751" s="113"/>
      <c r="CB751" s="113"/>
      <c r="CC751" s="113"/>
      <c r="CD751" s="113"/>
      <c r="CE751" s="113"/>
      <c r="CF751" s="113"/>
      <c r="CG751" s="113"/>
      <c r="CH751" s="113"/>
      <c r="CI751" s="113"/>
      <c r="CJ751" s="113"/>
      <c r="CK751" s="113"/>
      <c r="CL751" s="113"/>
      <c r="CM751" s="113"/>
      <c r="CN751" s="113"/>
      <c r="CO751" s="113"/>
      <c r="CP751" s="113"/>
      <c r="CQ751" s="113"/>
      <c r="CR751" s="113"/>
      <c r="CS751" s="113"/>
      <c r="CT751" s="113"/>
      <c r="CU751" s="113"/>
    </row>
    <row r="752">
      <c r="A752" s="159"/>
      <c r="B752" s="113"/>
      <c r="C752" s="113"/>
      <c r="D752" s="158"/>
      <c r="E752" s="161"/>
      <c r="F752" s="160"/>
      <c r="G752" s="162"/>
      <c r="H752" s="159"/>
      <c r="I752" s="113"/>
      <c r="J752" s="113"/>
      <c r="K752" s="113"/>
      <c r="L752" s="158"/>
      <c r="M752" s="113"/>
      <c r="N752" s="113"/>
      <c r="O752" s="113"/>
      <c r="P752" s="113"/>
      <c r="Q752" s="113"/>
      <c r="R752" s="113"/>
      <c r="S752" s="113"/>
      <c r="T752" s="113"/>
      <c r="U752" s="113"/>
      <c r="V752" s="113"/>
      <c r="W752" s="113"/>
      <c r="X752" s="113"/>
      <c r="Y752" s="113"/>
      <c r="Z752" s="113"/>
      <c r="AA752" s="113"/>
      <c r="AB752" s="113"/>
      <c r="AC752" s="113"/>
      <c r="AD752" s="113"/>
      <c r="AE752" s="113"/>
      <c r="AF752" s="113"/>
      <c r="AG752" s="113"/>
      <c r="AH752" s="113"/>
      <c r="AI752" s="113"/>
      <c r="AJ752" s="113"/>
      <c r="AK752" s="113"/>
      <c r="AL752" s="113"/>
      <c r="AM752" s="113"/>
      <c r="AN752" s="113"/>
      <c r="AO752" s="113"/>
      <c r="AP752" s="113"/>
      <c r="AQ752" s="113"/>
      <c r="AR752" s="113"/>
      <c r="AS752" s="113"/>
      <c r="AT752" s="113"/>
      <c r="AU752" s="113"/>
      <c r="AV752" s="113"/>
      <c r="AW752" s="113"/>
      <c r="AX752" s="113"/>
      <c r="AY752" s="113"/>
      <c r="AZ752" s="113"/>
      <c r="BA752" s="113"/>
      <c r="BB752" s="113"/>
      <c r="BC752" s="113"/>
      <c r="BD752" s="113"/>
      <c r="BE752" s="113"/>
      <c r="BF752" s="113"/>
      <c r="BG752" s="113"/>
      <c r="BH752" s="113"/>
      <c r="BI752" s="113"/>
      <c r="BJ752" s="113"/>
      <c r="BK752" s="113"/>
      <c r="BL752" s="113"/>
      <c r="BM752" s="113"/>
      <c r="BN752" s="113"/>
      <c r="BO752" s="113"/>
      <c r="BP752" s="113"/>
      <c r="BQ752" s="113"/>
      <c r="BR752" s="113"/>
      <c r="BS752" s="113"/>
      <c r="BT752" s="113"/>
      <c r="BU752" s="113"/>
      <c r="BV752" s="113"/>
      <c r="BW752" s="113"/>
      <c r="BX752" s="113"/>
      <c r="BY752" s="113"/>
      <c r="BZ752" s="113"/>
      <c r="CA752" s="113"/>
      <c r="CB752" s="113"/>
      <c r="CC752" s="113"/>
      <c r="CD752" s="113"/>
      <c r="CE752" s="113"/>
      <c r="CF752" s="113"/>
      <c r="CG752" s="113"/>
      <c r="CH752" s="113"/>
      <c r="CI752" s="113"/>
      <c r="CJ752" s="113"/>
      <c r="CK752" s="113"/>
      <c r="CL752" s="113"/>
      <c r="CM752" s="113"/>
      <c r="CN752" s="113"/>
      <c r="CO752" s="113"/>
      <c r="CP752" s="113"/>
      <c r="CQ752" s="113"/>
      <c r="CR752" s="113"/>
      <c r="CS752" s="113"/>
      <c r="CT752" s="113"/>
      <c r="CU752" s="113"/>
    </row>
    <row r="753">
      <c r="A753" s="159"/>
      <c r="B753" s="113"/>
      <c r="C753" s="113"/>
      <c r="D753" s="158"/>
      <c r="E753" s="161"/>
      <c r="F753" s="160"/>
      <c r="G753" s="162"/>
      <c r="H753" s="159"/>
      <c r="I753" s="113"/>
      <c r="J753" s="113"/>
      <c r="K753" s="113"/>
      <c r="L753" s="158"/>
      <c r="M753" s="113"/>
      <c r="N753" s="113"/>
      <c r="O753" s="113"/>
      <c r="P753" s="113"/>
      <c r="Q753" s="113"/>
      <c r="R753" s="113"/>
      <c r="S753" s="113"/>
      <c r="T753" s="113"/>
      <c r="U753" s="113"/>
      <c r="V753" s="113"/>
      <c r="W753" s="113"/>
      <c r="X753" s="113"/>
      <c r="Y753" s="113"/>
      <c r="Z753" s="113"/>
      <c r="AA753" s="113"/>
      <c r="AB753" s="113"/>
      <c r="AC753" s="113"/>
      <c r="AD753" s="113"/>
      <c r="AE753" s="113"/>
      <c r="AF753" s="113"/>
      <c r="AG753" s="113"/>
      <c r="AH753" s="113"/>
      <c r="AI753" s="113"/>
      <c r="AJ753" s="113"/>
      <c r="AK753" s="113"/>
      <c r="AL753" s="113"/>
      <c r="AM753" s="113"/>
      <c r="AN753" s="113"/>
      <c r="AO753" s="113"/>
      <c r="AP753" s="113"/>
      <c r="AQ753" s="113"/>
      <c r="AR753" s="113"/>
      <c r="AS753" s="113"/>
      <c r="AT753" s="113"/>
      <c r="AU753" s="113"/>
      <c r="AV753" s="113"/>
      <c r="AW753" s="113"/>
      <c r="AX753" s="113"/>
      <c r="AY753" s="113"/>
      <c r="AZ753" s="113"/>
      <c r="BA753" s="113"/>
      <c r="BB753" s="113"/>
      <c r="BC753" s="113"/>
      <c r="BD753" s="113"/>
      <c r="BE753" s="113"/>
      <c r="BF753" s="113"/>
      <c r="BG753" s="113"/>
      <c r="BH753" s="113"/>
      <c r="BI753" s="113"/>
      <c r="BJ753" s="113"/>
      <c r="BK753" s="113"/>
      <c r="BL753" s="113"/>
      <c r="BM753" s="113"/>
      <c r="BN753" s="113"/>
      <c r="BO753" s="113"/>
      <c r="BP753" s="113"/>
      <c r="BQ753" s="113"/>
      <c r="BR753" s="113"/>
      <c r="BS753" s="113"/>
      <c r="BT753" s="113"/>
      <c r="BU753" s="113"/>
      <c r="BV753" s="113"/>
      <c r="BW753" s="113"/>
      <c r="BX753" s="113"/>
      <c r="BY753" s="113"/>
      <c r="BZ753" s="113"/>
      <c r="CA753" s="113"/>
      <c r="CB753" s="113"/>
      <c r="CC753" s="113"/>
      <c r="CD753" s="113"/>
      <c r="CE753" s="113"/>
      <c r="CF753" s="113"/>
      <c r="CG753" s="113"/>
      <c r="CH753" s="113"/>
      <c r="CI753" s="113"/>
      <c r="CJ753" s="113"/>
      <c r="CK753" s="113"/>
      <c r="CL753" s="113"/>
      <c r="CM753" s="113"/>
      <c r="CN753" s="113"/>
      <c r="CO753" s="113"/>
      <c r="CP753" s="113"/>
      <c r="CQ753" s="113"/>
      <c r="CR753" s="113"/>
      <c r="CS753" s="113"/>
      <c r="CT753" s="113"/>
      <c r="CU753" s="113"/>
    </row>
    <row r="754">
      <c r="A754" s="159"/>
      <c r="B754" s="113"/>
      <c r="C754" s="113"/>
      <c r="D754" s="158"/>
      <c r="E754" s="161"/>
      <c r="F754" s="160"/>
      <c r="G754" s="162"/>
      <c r="H754" s="159"/>
      <c r="I754" s="113"/>
      <c r="J754" s="113"/>
      <c r="K754" s="113"/>
      <c r="L754" s="158"/>
      <c r="M754" s="113"/>
      <c r="N754" s="113"/>
      <c r="O754" s="113"/>
      <c r="P754" s="113"/>
      <c r="Q754" s="113"/>
      <c r="R754" s="113"/>
      <c r="S754" s="113"/>
      <c r="T754" s="113"/>
      <c r="U754" s="113"/>
      <c r="V754" s="113"/>
      <c r="W754" s="113"/>
      <c r="X754" s="113"/>
      <c r="Y754" s="113"/>
      <c r="Z754" s="113"/>
      <c r="AA754" s="113"/>
      <c r="AB754" s="113"/>
      <c r="AC754" s="113"/>
      <c r="AD754" s="113"/>
      <c r="AE754" s="113"/>
      <c r="AF754" s="113"/>
      <c r="AG754" s="113"/>
      <c r="AH754" s="113"/>
      <c r="AI754" s="113"/>
      <c r="AJ754" s="113"/>
      <c r="AK754" s="113"/>
      <c r="AL754" s="113"/>
      <c r="AM754" s="113"/>
      <c r="AN754" s="113"/>
      <c r="AO754" s="113"/>
      <c r="AP754" s="113"/>
      <c r="AQ754" s="113"/>
      <c r="AR754" s="113"/>
      <c r="AS754" s="113"/>
      <c r="AT754" s="113"/>
      <c r="AU754" s="113"/>
      <c r="AV754" s="113"/>
      <c r="AW754" s="113"/>
      <c r="AX754" s="113"/>
      <c r="AY754" s="113"/>
      <c r="AZ754" s="113"/>
      <c r="BA754" s="113"/>
      <c r="BB754" s="113"/>
      <c r="BC754" s="113"/>
      <c r="BD754" s="113"/>
      <c r="BE754" s="113"/>
      <c r="BF754" s="113"/>
      <c r="BG754" s="113"/>
      <c r="BH754" s="113"/>
      <c r="BI754" s="113"/>
      <c r="BJ754" s="113"/>
      <c r="BK754" s="113"/>
      <c r="BL754" s="113"/>
      <c r="BM754" s="113"/>
      <c r="BN754" s="113"/>
      <c r="BO754" s="113"/>
      <c r="BP754" s="113"/>
      <c r="BQ754" s="113"/>
      <c r="BR754" s="113"/>
      <c r="BS754" s="113"/>
      <c r="BT754" s="113"/>
      <c r="BU754" s="113"/>
      <c r="BV754" s="113"/>
      <c r="BW754" s="113"/>
      <c r="BX754" s="113"/>
      <c r="BY754" s="113"/>
      <c r="BZ754" s="113"/>
      <c r="CA754" s="113"/>
      <c r="CB754" s="113"/>
      <c r="CC754" s="113"/>
      <c r="CD754" s="113"/>
      <c r="CE754" s="113"/>
      <c r="CF754" s="113"/>
      <c r="CG754" s="113"/>
      <c r="CH754" s="113"/>
      <c r="CI754" s="113"/>
      <c r="CJ754" s="113"/>
      <c r="CK754" s="113"/>
      <c r="CL754" s="113"/>
      <c r="CM754" s="113"/>
      <c r="CN754" s="113"/>
      <c r="CO754" s="113"/>
      <c r="CP754" s="113"/>
      <c r="CQ754" s="113"/>
      <c r="CR754" s="113"/>
      <c r="CS754" s="113"/>
      <c r="CT754" s="113"/>
      <c r="CU754" s="113"/>
    </row>
    <row r="755">
      <c r="A755" s="159"/>
      <c r="B755" s="113"/>
      <c r="C755" s="113"/>
      <c r="D755" s="158"/>
      <c r="E755" s="161"/>
      <c r="F755" s="160"/>
      <c r="G755" s="162"/>
      <c r="H755" s="159"/>
      <c r="I755" s="113"/>
      <c r="J755" s="113"/>
      <c r="K755" s="113"/>
      <c r="L755" s="158"/>
      <c r="M755" s="113"/>
      <c r="N755" s="113"/>
      <c r="O755" s="113"/>
      <c r="P755" s="113"/>
      <c r="Q755" s="113"/>
      <c r="R755" s="113"/>
      <c r="S755" s="113"/>
      <c r="T755" s="113"/>
      <c r="U755" s="113"/>
      <c r="V755" s="113"/>
      <c r="W755" s="113"/>
      <c r="X755" s="113"/>
      <c r="Y755" s="113"/>
      <c r="Z755" s="113"/>
      <c r="AA755" s="113"/>
      <c r="AB755" s="113"/>
      <c r="AC755" s="113"/>
      <c r="AD755" s="113"/>
      <c r="AE755" s="113"/>
      <c r="AF755" s="113"/>
      <c r="AG755" s="113"/>
      <c r="AH755" s="113"/>
      <c r="AI755" s="113"/>
      <c r="AJ755" s="113"/>
      <c r="AK755" s="113"/>
      <c r="AL755" s="113"/>
      <c r="AM755" s="113"/>
      <c r="AN755" s="113"/>
      <c r="AO755" s="113"/>
      <c r="AP755" s="113"/>
      <c r="AQ755" s="113"/>
      <c r="AR755" s="113"/>
      <c r="AS755" s="113"/>
      <c r="AT755" s="113"/>
      <c r="AU755" s="113"/>
      <c r="AV755" s="113"/>
      <c r="AW755" s="113"/>
      <c r="AX755" s="113"/>
      <c r="AY755" s="113"/>
      <c r="AZ755" s="113"/>
      <c r="BA755" s="113"/>
      <c r="BB755" s="113"/>
      <c r="BC755" s="113"/>
      <c r="BD755" s="113"/>
      <c r="BE755" s="113"/>
      <c r="BF755" s="113"/>
      <c r="BG755" s="113"/>
      <c r="BH755" s="113"/>
      <c r="BI755" s="113"/>
      <c r="BJ755" s="113"/>
      <c r="BK755" s="113"/>
      <c r="BL755" s="113"/>
      <c r="BM755" s="113"/>
      <c r="BN755" s="113"/>
      <c r="BO755" s="113"/>
      <c r="BP755" s="113"/>
      <c r="BQ755" s="113"/>
      <c r="BR755" s="113"/>
      <c r="BS755" s="113"/>
      <c r="BT755" s="113"/>
      <c r="BU755" s="113"/>
      <c r="BV755" s="113"/>
      <c r="BW755" s="113"/>
      <c r="BX755" s="113"/>
      <c r="BY755" s="113"/>
      <c r="BZ755" s="113"/>
      <c r="CA755" s="113"/>
      <c r="CB755" s="113"/>
      <c r="CC755" s="113"/>
      <c r="CD755" s="113"/>
      <c r="CE755" s="113"/>
      <c r="CF755" s="113"/>
      <c r="CG755" s="113"/>
      <c r="CH755" s="113"/>
      <c r="CI755" s="113"/>
      <c r="CJ755" s="113"/>
      <c r="CK755" s="113"/>
      <c r="CL755" s="113"/>
      <c r="CM755" s="113"/>
      <c r="CN755" s="113"/>
      <c r="CO755" s="113"/>
      <c r="CP755" s="113"/>
      <c r="CQ755" s="113"/>
      <c r="CR755" s="113"/>
      <c r="CS755" s="113"/>
      <c r="CT755" s="113"/>
      <c r="CU755" s="113"/>
    </row>
    <row r="756">
      <c r="A756" s="159"/>
      <c r="B756" s="113"/>
      <c r="C756" s="113"/>
      <c r="D756" s="158"/>
      <c r="E756" s="161"/>
      <c r="F756" s="160"/>
      <c r="G756" s="162"/>
      <c r="H756" s="159"/>
      <c r="I756" s="113"/>
      <c r="J756" s="113"/>
      <c r="K756" s="113"/>
      <c r="L756" s="158"/>
      <c r="M756" s="113"/>
      <c r="N756" s="113"/>
      <c r="O756" s="113"/>
      <c r="P756" s="113"/>
      <c r="Q756" s="113"/>
      <c r="R756" s="113"/>
      <c r="S756" s="113"/>
      <c r="T756" s="113"/>
      <c r="U756" s="113"/>
      <c r="V756" s="113"/>
      <c r="W756" s="113"/>
      <c r="X756" s="113"/>
      <c r="Y756" s="113"/>
      <c r="Z756" s="113"/>
      <c r="AA756" s="113"/>
      <c r="AB756" s="113"/>
      <c r="AC756" s="113"/>
      <c r="AD756" s="113"/>
      <c r="AE756" s="113"/>
      <c r="AF756" s="113"/>
      <c r="AG756" s="113"/>
      <c r="AH756" s="113"/>
      <c r="AI756" s="113"/>
      <c r="AJ756" s="113"/>
      <c r="AK756" s="113"/>
      <c r="AL756" s="113"/>
      <c r="AM756" s="113"/>
      <c r="AN756" s="113"/>
      <c r="AO756" s="113"/>
      <c r="AP756" s="113"/>
      <c r="AQ756" s="113"/>
      <c r="AR756" s="113"/>
      <c r="AS756" s="113"/>
      <c r="AT756" s="113"/>
      <c r="AU756" s="113"/>
      <c r="AV756" s="113"/>
      <c r="AW756" s="113"/>
      <c r="AX756" s="113"/>
      <c r="AY756" s="113"/>
      <c r="AZ756" s="113"/>
      <c r="BA756" s="113"/>
      <c r="BB756" s="113"/>
      <c r="BC756" s="113"/>
      <c r="BD756" s="113"/>
      <c r="BE756" s="113"/>
      <c r="BF756" s="113"/>
      <c r="BG756" s="113"/>
      <c r="BH756" s="113"/>
      <c r="BI756" s="113"/>
      <c r="BJ756" s="113"/>
      <c r="BK756" s="113"/>
      <c r="BL756" s="113"/>
      <c r="BM756" s="113"/>
      <c r="BN756" s="113"/>
      <c r="BO756" s="113"/>
      <c r="BP756" s="113"/>
      <c r="BQ756" s="113"/>
      <c r="BR756" s="113"/>
      <c r="BS756" s="113"/>
      <c r="BT756" s="113"/>
      <c r="BU756" s="113"/>
      <c r="BV756" s="113"/>
      <c r="BW756" s="113"/>
      <c r="BX756" s="113"/>
      <c r="BY756" s="113"/>
      <c r="BZ756" s="113"/>
      <c r="CA756" s="113"/>
      <c r="CB756" s="113"/>
      <c r="CC756" s="113"/>
      <c r="CD756" s="113"/>
      <c r="CE756" s="113"/>
      <c r="CF756" s="113"/>
      <c r="CG756" s="113"/>
      <c r="CH756" s="113"/>
      <c r="CI756" s="113"/>
      <c r="CJ756" s="113"/>
      <c r="CK756" s="113"/>
      <c r="CL756" s="113"/>
      <c r="CM756" s="113"/>
      <c r="CN756" s="113"/>
      <c r="CO756" s="113"/>
      <c r="CP756" s="113"/>
      <c r="CQ756" s="113"/>
      <c r="CR756" s="113"/>
      <c r="CS756" s="113"/>
      <c r="CT756" s="113"/>
      <c r="CU756" s="113"/>
    </row>
    <row r="757">
      <c r="A757" s="159"/>
      <c r="B757" s="113"/>
      <c r="C757" s="113"/>
      <c r="D757" s="158"/>
      <c r="E757" s="161"/>
      <c r="F757" s="160"/>
      <c r="G757" s="162"/>
      <c r="H757" s="159"/>
      <c r="I757" s="113"/>
      <c r="J757" s="113"/>
      <c r="K757" s="113"/>
      <c r="L757" s="158"/>
      <c r="M757" s="113"/>
      <c r="N757" s="113"/>
      <c r="O757" s="113"/>
      <c r="P757" s="113"/>
      <c r="Q757" s="113"/>
      <c r="R757" s="113"/>
      <c r="S757" s="113"/>
      <c r="T757" s="113"/>
      <c r="U757" s="113"/>
      <c r="V757" s="113"/>
      <c r="W757" s="113"/>
      <c r="X757" s="113"/>
      <c r="Y757" s="113"/>
      <c r="Z757" s="113"/>
      <c r="AA757" s="113"/>
      <c r="AB757" s="113"/>
      <c r="AC757" s="113"/>
      <c r="AD757" s="113"/>
      <c r="AE757" s="113"/>
      <c r="AF757" s="113"/>
      <c r="AG757" s="113"/>
      <c r="AH757" s="113"/>
      <c r="AI757" s="113"/>
      <c r="AJ757" s="113"/>
      <c r="AK757" s="113"/>
      <c r="AL757" s="113"/>
      <c r="AM757" s="113"/>
      <c r="AN757" s="113"/>
      <c r="AO757" s="113"/>
      <c r="AP757" s="113"/>
      <c r="AQ757" s="113"/>
      <c r="AR757" s="113"/>
      <c r="AS757" s="113"/>
      <c r="AT757" s="113"/>
      <c r="AU757" s="113"/>
      <c r="AV757" s="113"/>
      <c r="AW757" s="113"/>
      <c r="AX757" s="113"/>
      <c r="AY757" s="113"/>
      <c r="AZ757" s="113"/>
      <c r="BA757" s="113"/>
      <c r="BB757" s="113"/>
      <c r="BC757" s="113"/>
      <c r="BD757" s="113"/>
      <c r="BE757" s="113"/>
      <c r="BF757" s="113"/>
      <c r="BG757" s="113"/>
      <c r="BH757" s="113"/>
      <c r="BI757" s="113"/>
      <c r="BJ757" s="113"/>
      <c r="BK757" s="113"/>
      <c r="BL757" s="113"/>
      <c r="BM757" s="113"/>
      <c r="BN757" s="113"/>
      <c r="BO757" s="113"/>
      <c r="BP757" s="113"/>
      <c r="BQ757" s="113"/>
      <c r="BR757" s="113"/>
      <c r="BS757" s="113"/>
      <c r="BT757" s="113"/>
      <c r="BU757" s="113"/>
      <c r="BV757" s="113"/>
      <c r="BW757" s="113"/>
      <c r="BX757" s="113"/>
      <c r="BY757" s="113"/>
      <c r="BZ757" s="113"/>
      <c r="CA757" s="113"/>
      <c r="CB757" s="113"/>
      <c r="CC757" s="113"/>
      <c r="CD757" s="113"/>
      <c r="CE757" s="113"/>
      <c r="CF757" s="113"/>
      <c r="CG757" s="113"/>
      <c r="CH757" s="113"/>
      <c r="CI757" s="113"/>
      <c r="CJ757" s="113"/>
      <c r="CK757" s="113"/>
      <c r="CL757" s="113"/>
      <c r="CM757" s="113"/>
      <c r="CN757" s="113"/>
      <c r="CO757" s="113"/>
      <c r="CP757" s="113"/>
      <c r="CQ757" s="113"/>
      <c r="CR757" s="113"/>
      <c r="CS757" s="113"/>
      <c r="CT757" s="113"/>
      <c r="CU757" s="113"/>
    </row>
    <row r="758">
      <c r="A758" s="159"/>
      <c r="B758" s="113"/>
      <c r="C758" s="113"/>
      <c r="D758" s="158"/>
      <c r="E758" s="161"/>
      <c r="F758" s="160"/>
      <c r="G758" s="162"/>
      <c r="H758" s="159"/>
      <c r="I758" s="113"/>
      <c r="J758" s="113"/>
      <c r="K758" s="113"/>
      <c r="L758" s="158"/>
      <c r="M758" s="113"/>
      <c r="N758" s="113"/>
      <c r="O758" s="113"/>
      <c r="P758" s="113"/>
      <c r="Q758" s="113"/>
      <c r="R758" s="113"/>
      <c r="S758" s="113"/>
      <c r="T758" s="113"/>
      <c r="U758" s="113"/>
      <c r="V758" s="113"/>
      <c r="W758" s="113"/>
      <c r="X758" s="113"/>
      <c r="Y758" s="113"/>
      <c r="Z758" s="113"/>
      <c r="AA758" s="113"/>
      <c r="AB758" s="113"/>
      <c r="AC758" s="113"/>
      <c r="AD758" s="113"/>
      <c r="AE758" s="113"/>
      <c r="AF758" s="113"/>
      <c r="AG758" s="113"/>
      <c r="AH758" s="113"/>
      <c r="AI758" s="113"/>
      <c r="AJ758" s="113"/>
      <c r="AK758" s="113"/>
      <c r="AL758" s="113"/>
      <c r="AM758" s="113"/>
      <c r="AN758" s="113"/>
      <c r="AO758" s="113"/>
      <c r="AP758" s="113"/>
      <c r="AQ758" s="113"/>
      <c r="AR758" s="113"/>
      <c r="AS758" s="113"/>
      <c r="AT758" s="113"/>
      <c r="AU758" s="113"/>
      <c r="AV758" s="113"/>
      <c r="AW758" s="113"/>
      <c r="AX758" s="113"/>
      <c r="AY758" s="113"/>
      <c r="AZ758" s="113"/>
      <c r="BA758" s="113"/>
      <c r="BB758" s="113"/>
      <c r="BC758" s="113"/>
      <c r="BD758" s="113"/>
      <c r="BE758" s="113"/>
      <c r="BF758" s="113"/>
      <c r="BG758" s="113"/>
      <c r="BH758" s="113"/>
      <c r="BI758" s="113"/>
      <c r="BJ758" s="113"/>
      <c r="BK758" s="113"/>
      <c r="BL758" s="113"/>
      <c r="BM758" s="113"/>
      <c r="BN758" s="113"/>
      <c r="BO758" s="113"/>
      <c r="BP758" s="113"/>
      <c r="BQ758" s="113"/>
      <c r="BR758" s="113"/>
      <c r="BS758" s="113"/>
      <c r="BT758" s="113"/>
      <c r="BU758" s="113"/>
      <c r="BV758" s="113"/>
      <c r="BW758" s="113"/>
      <c r="BX758" s="113"/>
      <c r="BY758" s="113"/>
      <c r="BZ758" s="113"/>
      <c r="CA758" s="113"/>
      <c r="CB758" s="113"/>
      <c r="CC758" s="113"/>
      <c r="CD758" s="113"/>
      <c r="CE758" s="113"/>
      <c r="CF758" s="113"/>
      <c r="CG758" s="113"/>
      <c r="CH758" s="113"/>
      <c r="CI758" s="113"/>
      <c r="CJ758" s="113"/>
      <c r="CK758" s="113"/>
      <c r="CL758" s="113"/>
      <c r="CM758" s="113"/>
      <c r="CN758" s="113"/>
      <c r="CO758" s="113"/>
      <c r="CP758" s="113"/>
      <c r="CQ758" s="113"/>
      <c r="CR758" s="113"/>
      <c r="CS758" s="113"/>
      <c r="CT758" s="113"/>
      <c r="CU758" s="113"/>
    </row>
    <row r="759">
      <c r="A759" s="159"/>
      <c r="B759" s="113"/>
      <c r="C759" s="113"/>
      <c r="D759" s="158"/>
      <c r="E759" s="161"/>
      <c r="F759" s="160"/>
      <c r="G759" s="162"/>
      <c r="H759" s="159"/>
      <c r="I759" s="113"/>
      <c r="J759" s="113"/>
      <c r="K759" s="113"/>
      <c r="L759" s="158"/>
      <c r="M759" s="113"/>
      <c r="N759" s="113"/>
      <c r="O759" s="113"/>
      <c r="P759" s="113"/>
      <c r="Q759" s="113"/>
      <c r="R759" s="113"/>
      <c r="S759" s="113"/>
      <c r="T759" s="113"/>
      <c r="U759" s="113"/>
      <c r="V759" s="113"/>
      <c r="W759" s="113"/>
      <c r="X759" s="113"/>
      <c r="Y759" s="113"/>
      <c r="Z759" s="113"/>
      <c r="AA759" s="113"/>
      <c r="AB759" s="113"/>
      <c r="AC759" s="113"/>
      <c r="AD759" s="113"/>
      <c r="AE759" s="113"/>
      <c r="AF759" s="113"/>
      <c r="AG759" s="113"/>
      <c r="AH759" s="113"/>
      <c r="AI759" s="113"/>
      <c r="AJ759" s="113"/>
      <c r="AK759" s="113"/>
      <c r="AL759" s="113"/>
      <c r="AM759" s="113"/>
      <c r="AN759" s="113"/>
      <c r="AO759" s="113"/>
      <c r="AP759" s="113"/>
      <c r="AQ759" s="113"/>
      <c r="AR759" s="113"/>
      <c r="AS759" s="113"/>
      <c r="AT759" s="113"/>
      <c r="AU759" s="113"/>
      <c r="AV759" s="113"/>
      <c r="AW759" s="113"/>
      <c r="AX759" s="113"/>
      <c r="AY759" s="113"/>
      <c r="AZ759" s="113"/>
      <c r="BA759" s="113"/>
      <c r="BB759" s="113"/>
      <c r="BC759" s="113"/>
      <c r="BD759" s="113"/>
      <c r="BE759" s="113"/>
      <c r="BF759" s="113"/>
      <c r="BG759" s="113"/>
      <c r="BH759" s="113"/>
      <c r="BI759" s="113"/>
      <c r="BJ759" s="113"/>
      <c r="BK759" s="113"/>
      <c r="BL759" s="113"/>
      <c r="BM759" s="113"/>
      <c r="BN759" s="113"/>
      <c r="BO759" s="113"/>
      <c r="BP759" s="113"/>
      <c r="BQ759" s="113"/>
      <c r="BR759" s="113"/>
      <c r="BS759" s="113"/>
      <c r="BT759" s="113"/>
      <c r="BU759" s="113"/>
      <c r="BV759" s="113"/>
      <c r="BW759" s="113"/>
      <c r="BX759" s="113"/>
      <c r="BY759" s="113"/>
      <c r="BZ759" s="113"/>
      <c r="CA759" s="113"/>
      <c r="CB759" s="113"/>
      <c r="CC759" s="113"/>
      <c r="CD759" s="113"/>
      <c r="CE759" s="113"/>
      <c r="CF759" s="113"/>
      <c r="CG759" s="113"/>
      <c r="CH759" s="113"/>
      <c r="CI759" s="113"/>
      <c r="CJ759" s="113"/>
      <c r="CK759" s="113"/>
      <c r="CL759" s="113"/>
      <c r="CM759" s="113"/>
      <c r="CN759" s="113"/>
      <c r="CO759" s="113"/>
      <c r="CP759" s="113"/>
      <c r="CQ759" s="113"/>
      <c r="CR759" s="113"/>
      <c r="CS759" s="113"/>
      <c r="CT759" s="113"/>
      <c r="CU759" s="113"/>
    </row>
    <row r="760">
      <c r="A760" s="159"/>
      <c r="B760" s="113"/>
      <c r="C760" s="113"/>
      <c r="D760" s="158"/>
      <c r="E760" s="161"/>
      <c r="F760" s="160"/>
      <c r="G760" s="162"/>
      <c r="H760" s="159"/>
      <c r="I760" s="113"/>
      <c r="J760" s="113"/>
      <c r="K760" s="113"/>
      <c r="L760" s="158"/>
      <c r="M760" s="113"/>
      <c r="N760" s="113"/>
      <c r="O760" s="113"/>
      <c r="P760" s="113"/>
      <c r="Q760" s="113"/>
      <c r="R760" s="113"/>
      <c r="S760" s="113"/>
      <c r="T760" s="113"/>
      <c r="U760" s="113"/>
      <c r="V760" s="113"/>
      <c r="W760" s="113"/>
      <c r="X760" s="113"/>
      <c r="Y760" s="113"/>
      <c r="Z760" s="113"/>
      <c r="AA760" s="113"/>
      <c r="AB760" s="113"/>
      <c r="AC760" s="113"/>
      <c r="AD760" s="113"/>
      <c r="AE760" s="113"/>
      <c r="AF760" s="113"/>
      <c r="AG760" s="113"/>
      <c r="AH760" s="113"/>
      <c r="AI760" s="113"/>
      <c r="AJ760" s="113"/>
      <c r="AK760" s="113"/>
      <c r="AL760" s="113"/>
      <c r="AM760" s="113"/>
      <c r="AN760" s="113"/>
      <c r="AO760" s="113"/>
      <c r="AP760" s="113"/>
      <c r="AQ760" s="113"/>
      <c r="AR760" s="113"/>
      <c r="AS760" s="113"/>
      <c r="AT760" s="113"/>
      <c r="AU760" s="113"/>
      <c r="AV760" s="113"/>
      <c r="AW760" s="113"/>
      <c r="AX760" s="113"/>
      <c r="AY760" s="113"/>
      <c r="AZ760" s="113"/>
      <c r="BA760" s="113"/>
      <c r="BB760" s="113"/>
      <c r="BC760" s="113"/>
      <c r="BD760" s="113"/>
      <c r="BE760" s="113"/>
      <c r="BF760" s="113"/>
      <c r="BG760" s="113"/>
      <c r="BH760" s="113"/>
      <c r="BI760" s="113"/>
      <c r="BJ760" s="113"/>
      <c r="BK760" s="113"/>
      <c r="BL760" s="113"/>
      <c r="BM760" s="113"/>
      <c r="BN760" s="113"/>
      <c r="BO760" s="113"/>
      <c r="BP760" s="113"/>
      <c r="BQ760" s="113"/>
      <c r="BR760" s="113"/>
      <c r="BS760" s="113"/>
      <c r="BT760" s="113"/>
      <c r="BU760" s="113"/>
      <c r="BV760" s="113"/>
      <c r="BW760" s="113"/>
      <c r="BX760" s="113"/>
      <c r="BY760" s="113"/>
      <c r="BZ760" s="113"/>
      <c r="CA760" s="113"/>
      <c r="CB760" s="113"/>
      <c r="CC760" s="113"/>
      <c r="CD760" s="113"/>
      <c r="CE760" s="113"/>
      <c r="CF760" s="113"/>
      <c r="CG760" s="113"/>
      <c r="CH760" s="113"/>
      <c r="CI760" s="113"/>
      <c r="CJ760" s="113"/>
      <c r="CK760" s="113"/>
      <c r="CL760" s="113"/>
      <c r="CM760" s="113"/>
      <c r="CN760" s="113"/>
      <c r="CO760" s="113"/>
      <c r="CP760" s="113"/>
      <c r="CQ760" s="113"/>
      <c r="CR760" s="113"/>
      <c r="CS760" s="113"/>
      <c r="CT760" s="113"/>
      <c r="CU760" s="113"/>
    </row>
    <row r="761">
      <c r="A761" s="159"/>
      <c r="B761" s="113"/>
      <c r="C761" s="113"/>
      <c r="D761" s="158"/>
      <c r="E761" s="161"/>
      <c r="F761" s="160"/>
      <c r="G761" s="162"/>
      <c r="H761" s="159"/>
      <c r="I761" s="113"/>
      <c r="J761" s="113"/>
      <c r="K761" s="113"/>
      <c r="L761" s="158"/>
      <c r="M761" s="113"/>
      <c r="N761" s="113"/>
      <c r="O761" s="113"/>
      <c r="P761" s="113"/>
      <c r="Q761" s="113"/>
      <c r="R761" s="113"/>
      <c r="S761" s="113"/>
      <c r="T761" s="113"/>
      <c r="U761" s="113"/>
      <c r="V761" s="113"/>
      <c r="W761" s="113"/>
      <c r="X761" s="113"/>
      <c r="Y761" s="113"/>
      <c r="Z761" s="113"/>
      <c r="AA761" s="113"/>
      <c r="AB761" s="113"/>
      <c r="AC761" s="113"/>
      <c r="AD761" s="113"/>
      <c r="AE761" s="113"/>
      <c r="AF761" s="113"/>
      <c r="AG761" s="113"/>
      <c r="AH761" s="113"/>
      <c r="AI761" s="113"/>
      <c r="AJ761" s="113"/>
      <c r="AK761" s="113"/>
      <c r="AL761" s="113"/>
      <c r="AM761" s="113"/>
      <c r="AN761" s="113"/>
      <c r="AO761" s="113"/>
      <c r="AP761" s="113"/>
      <c r="AQ761" s="113"/>
      <c r="AR761" s="113"/>
      <c r="AS761" s="113"/>
      <c r="AT761" s="113"/>
      <c r="AU761" s="113"/>
      <c r="AV761" s="113"/>
      <c r="AW761" s="113"/>
      <c r="AX761" s="113"/>
      <c r="AY761" s="113"/>
      <c r="AZ761" s="113"/>
      <c r="BA761" s="113"/>
      <c r="BB761" s="113"/>
      <c r="BC761" s="113"/>
      <c r="BD761" s="113"/>
      <c r="BE761" s="113"/>
      <c r="BF761" s="113"/>
      <c r="BG761" s="113"/>
      <c r="BH761" s="113"/>
      <c r="BI761" s="113"/>
      <c r="BJ761" s="113"/>
      <c r="BK761" s="113"/>
      <c r="BL761" s="113"/>
      <c r="BM761" s="113"/>
      <c r="BN761" s="113"/>
      <c r="BO761" s="113"/>
      <c r="BP761" s="113"/>
      <c r="BQ761" s="113"/>
      <c r="BR761" s="113"/>
      <c r="BS761" s="113"/>
      <c r="BT761" s="113"/>
      <c r="BU761" s="113"/>
      <c r="BV761" s="113"/>
      <c r="BW761" s="113"/>
      <c r="BX761" s="113"/>
      <c r="BY761" s="113"/>
      <c r="BZ761" s="113"/>
      <c r="CA761" s="113"/>
      <c r="CB761" s="113"/>
      <c r="CC761" s="113"/>
      <c r="CD761" s="113"/>
      <c r="CE761" s="113"/>
      <c r="CF761" s="113"/>
      <c r="CG761" s="113"/>
      <c r="CH761" s="113"/>
      <c r="CI761" s="113"/>
      <c r="CJ761" s="113"/>
      <c r="CK761" s="113"/>
      <c r="CL761" s="113"/>
      <c r="CM761" s="113"/>
      <c r="CN761" s="113"/>
      <c r="CO761" s="113"/>
      <c r="CP761" s="113"/>
      <c r="CQ761" s="113"/>
      <c r="CR761" s="113"/>
      <c r="CS761" s="113"/>
      <c r="CT761" s="113"/>
      <c r="CU761" s="113"/>
    </row>
    <row r="762">
      <c r="A762" s="159"/>
      <c r="B762" s="113"/>
      <c r="C762" s="113"/>
      <c r="D762" s="158"/>
      <c r="E762" s="161"/>
      <c r="F762" s="160"/>
      <c r="G762" s="162"/>
      <c r="H762" s="159"/>
      <c r="I762" s="113"/>
      <c r="J762" s="113"/>
      <c r="K762" s="113"/>
      <c r="L762" s="158"/>
      <c r="M762" s="113"/>
      <c r="N762" s="113"/>
      <c r="O762" s="113"/>
      <c r="P762" s="113"/>
      <c r="Q762" s="113"/>
      <c r="R762" s="113"/>
      <c r="S762" s="113"/>
      <c r="T762" s="113"/>
      <c r="U762" s="113"/>
      <c r="V762" s="113"/>
      <c r="W762" s="113"/>
      <c r="X762" s="113"/>
      <c r="Y762" s="113"/>
      <c r="Z762" s="113"/>
      <c r="AA762" s="113"/>
      <c r="AB762" s="113"/>
      <c r="AC762" s="113"/>
      <c r="AD762" s="113"/>
      <c r="AE762" s="113"/>
      <c r="AF762" s="113"/>
      <c r="AG762" s="113"/>
      <c r="AH762" s="113"/>
      <c r="AI762" s="113"/>
      <c r="AJ762" s="113"/>
      <c r="AK762" s="113"/>
      <c r="AL762" s="113"/>
      <c r="AM762" s="113"/>
      <c r="AN762" s="113"/>
      <c r="AO762" s="113"/>
      <c r="AP762" s="113"/>
      <c r="AQ762" s="113"/>
      <c r="AR762" s="113"/>
      <c r="AS762" s="113"/>
      <c r="AT762" s="113"/>
      <c r="AU762" s="113"/>
      <c r="AV762" s="113"/>
      <c r="AW762" s="113"/>
      <c r="AX762" s="113"/>
      <c r="AY762" s="113"/>
      <c r="AZ762" s="113"/>
      <c r="BA762" s="113"/>
      <c r="BB762" s="113"/>
      <c r="BC762" s="113"/>
      <c r="BD762" s="113"/>
      <c r="BE762" s="113"/>
      <c r="BF762" s="113"/>
      <c r="BG762" s="113"/>
      <c r="BH762" s="113"/>
      <c r="BI762" s="113"/>
      <c r="BJ762" s="113"/>
      <c r="BK762" s="113"/>
      <c r="BL762" s="113"/>
      <c r="BM762" s="113"/>
      <c r="BN762" s="113"/>
      <c r="BO762" s="113"/>
      <c r="BP762" s="113"/>
      <c r="BQ762" s="113"/>
      <c r="BR762" s="113"/>
      <c r="BS762" s="113"/>
      <c r="BT762" s="113"/>
      <c r="BU762" s="113"/>
      <c r="BV762" s="113"/>
      <c r="BW762" s="113"/>
      <c r="BX762" s="113"/>
      <c r="BY762" s="113"/>
      <c r="BZ762" s="113"/>
      <c r="CA762" s="113"/>
      <c r="CB762" s="113"/>
      <c r="CC762" s="113"/>
      <c r="CD762" s="113"/>
      <c r="CE762" s="113"/>
      <c r="CF762" s="113"/>
      <c r="CG762" s="113"/>
      <c r="CH762" s="113"/>
      <c r="CI762" s="113"/>
      <c r="CJ762" s="113"/>
      <c r="CK762" s="113"/>
      <c r="CL762" s="113"/>
      <c r="CM762" s="113"/>
      <c r="CN762" s="113"/>
      <c r="CO762" s="113"/>
      <c r="CP762" s="113"/>
      <c r="CQ762" s="113"/>
      <c r="CR762" s="113"/>
      <c r="CS762" s="113"/>
      <c r="CT762" s="113"/>
      <c r="CU762" s="113"/>
    </row>
    <row r="763">
      <c r="A763" s="159"/>
      <c r="B763" s="113"/>
      <c r="C763" s="113"/>
      <c r="D763" s="158"/>
      <c r="E763" s="161"/>
      <c r="F763" s="160"/>
      <c r="G763" s="162"/>
      <c r="H763" s="159"/>
      <c r="I763" s="113"/>
      <c r="J763" s="113"/>
      <c r="K763" s="113"/>
      <c r="L763" s="158"/>
      <c r="M763" s="113"/>
      <c r="N763" s="113"/>
      <c r="O763" s="113"/>
      <c r="P763" s="113"/>
      <c r="Q763" s="113"/>
      <c r="R763" s="113"/>
      <c r="S763" s="113"/>
      <c r="T763" s="113"/>
      <c r="U763" s="113"/>
      <c r="V763" s="113"/>
      <c r="W763" s="113"/>
      <c r="X763" s="113"/>
      <c r="Y763" s="113"/>
      <c r="Z763" s="113"/>
      <c r="AA763" s="113"/>
      <c r="AB763" s="113"/>
      <c r="AC763" s="113"/>
      <c r="AD763" s="113"/>
      <c r="AE763" s="113"/>
      <c r="AF763" s="113"/>
      <c r="AG763" s="113"/>
      <c r="AH763" s="113"/>
      <c r="AI763" s="113"/>
      <c r="AJ763" s="113"/>
      <c r="AK763" s="113"/>
      <c r="AL763" s="113"/>
      <c r="AM763" s="113"/>
      <c r="AN763" s="113"/>
      <c r="AO763" s="113"/>
      <c r="AP763" s="113"/>
      <c r="AQ763" s="113"/>
      <c r="AR763" s="113"/>
      <c r="AS763" s="113"/>
      <c r="AT763" s="113"/>
      <c r="AU763" s="113"/>
      <c r="AV763" s="113"/>
      <c r="AW763" s="113"/>
      <c r="AX763" s="113"/>
      <c r="AY763" s="113"/>
      <c r="AZ763" s="113"/>
      <c r="BA763" s="113"/>
      <c r="BB763" s="113"/>
      <c r="BC763" s="113"/>
      <c r="BD763" s="113"/>
      <c r="BE763" s="113"/>
      <c r="BF763" s="113"/>
      <c r="BG763" s="113"/>
      <c r="BH763" s="113"/>
      <c r="BI763" s="113"/>
      <c r="BJ763" s="113"/>
      <c r="BK763" s="113"/>
      <c r="BL763" s="113"/>
      <c r="BM763" s="113"/>
      <c r="BN763" s="113"/>
      <c r="BO763" s="113"/>
      <c r="BP763" s="113"/>
      <c r="BQ763" s="113"/>
      <c r="BR763" s="113"/>
      <c r="BS763" s="113"/>
      <c r="BT763" s="113"/>
      <c r="BU763" s="113"/>
      <c r="BV763" s="113"/>
      <c r="BW763" s="113"/>
      <c r="BX763" s="113"/>
      <c r="BY763" s="113"/>
      <c r="BZ763" s="113"/>
      <c r="CA763" s="113"/>
      <c r="CB763" s="113"/>
      <c r="CC763" s="113"/>
      <c r="CD763" s="113"/>
      <c r="CE763" s="113"/>
      <c r="CF763" s="113"/>
      <c r="CG763" s="113"/>
      <c r="CH763" s="113"/>
      <c r="CI763" s="113"/>
      <c r="CJ763" s="113"/>
      <c r="CK763" s="113"/>
      <c r="CL763" s="113"/>
      <c r="CM763" s="113"/>
      <c r="CN763" s="113"/>
      <c r="CO763" s="113"/>
      <c r="CP763" s="113"/>
      <c r="CQ763" s="113"/>
      <c r="CR763" s="113"/>
      <c r="CS763" s="113"/>
      <c r="CT763" s="113"/>
      <c r="CU763" s="113"/>
    </row>
    <row r="764">
      <c r="A764" s="159"/>
      <c r="B764" s="113"/>
      <c r="C764" s="113"/>
      <c r="D764" s="158"/>
      <c r="E764" s="161"/>
      <c r="F764" s="160"/>
      <c r="G764" s="162"/>
      <c r="H764" s="159"/>
      <c r="I764" s="113"/>
      <c r="J764" s="113"/>
      <c r="K764" s="113"/>
      <c r="L764" s="158"/>
      <c r="M764" s="113"/>
      <c r="N764" s="113"/>
      <c r="O764" s="113"/>
      <c r="P764" s="113"/>
      <c r="Q764" s="113"/>
      <c r="R764" s="113"/>
      <c r="S764" s="113"/>
      <c r="T764" s="113"/>
      <c r="U764" s="113"/>
      <c r="V764" s="113"/>
      <c r="W764" s="113"/>
      <c r="X764" s="113"/>
      <c r="Y764" s="113"/>
      <c r="Z764" s="113"/>
      <c r="AA764" s="113"/>
      <c r="AB764" s="113"/>
      <c r="AC764" s="113"/>
      <c r="AD764" s="113"/>
      <c r="AE764" s="113"/>
      <c r="AF764" s="113"/>
      <c r="AG764" s="113"/>
      <c r="AH764" s="113"/>
      <c r="AI764" s="113"/>
      <c r="AJ764" s="113"/>
      <c r="AK764" s="113"/>
      <c r="AL764" s="113"/>
      <c r="AM764" s="113"/>
      <c r="AN764" s="113"/>
      <c r="AO764" s="113"/>
      <c r="AP764" s="113"/>
      <c r="AQ764" s="113"/>
      <c r="AR764" s="113"/>
      <c r="AS764" s="113"/>
      <c r="AT764" s="113"/>
      <c r="AU764" s="113"/>
      <c r="AV764" s="113"/>
      <c r="AW764" s="113"/>
      <c r="AX764" s="113"/>
      <c r="AY764" s="113"/>
      <c r="AZ764" s="113"/>
      <c r="BA764" s="113"/>
      <c r="BB764" s="113"/>
      <c r="BC764" s="113"/>
      <c r="BD764" s="113"/>
      <c r="BE764" s="113"/>
      <c r="BF764" s="113"/>
      <c r="BG764" s="113"/>
      <c r="BH764" s="113"/>
      <c r="BI764" s="113"/>
      <c r="BJ764" s="113"/>
      <c r="BK764" s="113"/>
      <c r="BL764" s="113"/>
      <c r="BM764" s="113"/>
      <c r="BN764" s="113"/>
      <c r="BO764" s="113"/>
      <c r="BP764" s="113"/>
      <c r="BQ764" s="113"/>
      <c r="BR764" s="113"/>
      <c r="BS764" s="113"/>
      <c r="BT764" s="113"/>
      <c r="BU764" s="113"/>
      <c r="BV764" s="113"/>
      <c r="BW764" s="113"/>
      <c r="BX764" s="113"/>
      <c r="BY764" s="113"/>
      <c r="BZ764" s="113"/>
      <c r="CA764" s="113"/>
      <c r="CB764" s="113"/>
      <c r="CC764" s="113"/>
      <c r="CD764" s="113"/>
      <c r="CE764" s="113"/>
      <c r="CF764" s="113"/>
      <c r="CG764" s="113"/>
      <c r="CH764" s="113"/>
      <c r="CI764" s="113"/>
      <c r="CJ764" s="113"/>
      <c r="CK764" s="113"/>
      <c r="CL764" s="113"/>
      <c r="CM764" s="113"/>
      <c r="CN764" s="113"/>
      <c r="CO764" s="113"/>
      <c r="CP764" s="113"/>
      <c r="CQ764" s="113"/>
      <c r="CR764" s="113"/>
      <c r="CS764" s="113"/>
      <c r="CT764" s="113"/>
      <c r="CU764" s="113"/>
    </row>
    <row r="765">
      <c r="A765" s="159"/>
      <c r="B765" s="113"/>
      <c r="C765" s="113"/>
      <c r="D765" s="158"/>
      <c r="E765" s="161"/>
      <c r="F765" s="160"/>
      <c r="G765" s="162"/>
      <c r="H765" s="159"/>
      <c r="I765" s="113"/>
      <c r="J765" s="113"/>
      <c r="K765" s="113"/>
      <c r="L765" s="158"/>
      <c r="M765" s="113"/>
      <c r="N765" s="113"/>
      <c r="O765" s="113"/>
      <c r="P765" s="113"/>
      <c r="Q765" s="113"/>
      <c r="R765" s="113"/>
      <c r="S765" s="113"/>
      <c r="T765" s="113"/>
      <c r="U765" s="113"/>
      <c r="V765" s="113"/>
      <c r="W765" s="113"/>
      <c r="X765" s="113"/>
      <c r="Y765" s="113"/>
      <c r="Z765" s="113"/>
      <c r="AA765" s="113"/>
      <c r="AB765" s="113"/>
      <c r="AC765" s="113"/>
      <c r="AD765" s="113"/>
      <c r="AE765" s="113"/>
      <c r="AF765" s="113"/>
      <c r="AG765" s="113"/>
      <c r="AH765" s="113"/>
      <c r="AI765" s="113"/>
      <c r="AJ765" s="113"/>
      <c r="AK765" s="113"/>
      <c r="AL765" s="113"/>
      <c r="AM765" s="113"/>
      <c r="AN765" s="113"/>
      <c r="AO765" s="113"/>
      <c r="AP765" s="113"/>
      <c r="AQ765" s="113"/>
      <c r="AR765" s="113"/>
      <c r="AS765" s="113"/>
      <c r="AT765" s="113"/>
      <c r="AU765" s="113"/>
      <c r="AV765" s="113"/>
      <c r="AW765" s="113"/>
      <c r="AX765" s="113"/>
      <c r="AY765" s="113"/>
      <c r="AZ765" s="113"/>
      <c r="BA765" s="113"/>
      <c r="BB765" s="113"/>
      <c r="BC765" s="113"/>
      <c r="BD765" s="113"/>
      <c r="BE765" s="113"/>
      <c r="BF765" s="113"/>
      <c r="BG765" s="113"/>
      <c r="BH765" s="113"/>
      <c r="BI765" s="113"/>
      <c r="BJ765" s="113"/>
      <c r="BK765" s="113"/>
      <c r="BL765" s="113"/>
      <c r="BM765" s="113"/>
      <c r="BN765" s="113"/>
      <c r="BO765" s="113"/>
      <c r="BP765" s="113"/>
      <c r="BQ765" s="113"/>
      <c r="BR765" s="113"/>
      <c r="BS765" s="113"/>
      <c r="BT765" s="113"/>
      <c r="BU765" s="113"/>
      <c r="BV765" s="113"/>
      <c r="BW765" s="113"/>
      <c r="BX765" s="113"/>
      <c r="BY765" s="113"/>
      <c r="BZ765" s="113"/>
      <c r="CA765" s="113"/>
      <c r="CB765" s="113"/>
      <c r="CC765" s="113"/>
      <c r="CD765" s="113"/>
      <c r="CE765" s="113"/>
      <c r="CF765" s="113"/>
      <c r="CG765" s="113"/>
      <c r="CH765" s="113"/>
      <c r="CI765" s="113"/>
      <c r="CJ765" s="113"/>
      <c r="CK765" s="113"/>
      <c r="CL765" s="113"/>
      <c r="CM765" s="113"/>
      <c r="CN765" s="113"/>
      <c r="CO765" s="113"/>
      <c r="CP765" s="113"/>
      <c r="CQ765" s="113"/>
      <c r="CR765" s="113"/>
      <c r="CS765" s="113"/>
      <c r="CT765" s="113"/>
      <c r="CU765" s="113"/>
    </row>
    <row r="766">
      <c r="A766" s="159"/>
      <c r="B766" s="113"/>
      <c r="C766" s="113"/>
      <c r="D766" s="158"/>
      <c r="E766" s="161"/>
      <c r="F766" s="160"/>
      <c r="G766" s="162"/>
      <c r="H766" s="159"/>
      <c r="I766" s="113"/>
      <c r="J766" s="113"/>
      <c r="K766" s="113"/>
      <c r="L766" s="158"/>
      <c r="M766" s="113"/>
      <c r="N766" s="113"/>
      <c r="O766" s="113"/>
      <c r="P766" s="113"/>
      <c r="Q766" s="113"/>
      <c r="R766" s="113"/>
      <c r="S766" s="113"/>
      <c r="T766" s="113"/>
      <c r="U766" s="113"/>
      <c r="V766" s="113"/>
      <c r="W766" s="113"/>
      <c r="X766" s="113"/>
      <c r="Y766" s="113"/>
      <c r="Z766" s="113"/>
      <c r="AA766" s="113"/>
      <c r="AB766" s="113"/>
      <c r="AC766" s="113"/>
      <c r="AD766" s="113"/>
      <c r="AE766" s="113"/>
      <c r="AF766" s="113"/>
      <c r="AG766" s="113"/>
      <c r="AH766" s="113"/>
      <c r="AI766" s="113"/>
      <c r="AJ766" s="113"/>
      <c r="AK766" s="113"/>
      <c r="AL766" s="113"/>
      <c r="AM766" s="113"/>
      <c r="AN766" s="113"/>
      <c r="AO766" s="113"/>
      <c r="AP766" s="113"/>
      <c r="AQ766" s="113"/>
      <c r="AR766" s="113"/>
      <c r="AS766" s="113"/>
      <c r="AT766" s="113"/>
      <c r="AU766" s="113"/>
      <c r="AV766" s="113"/>
      <c r="AW766" s="113"/>
      <c r="AX766" s="113"/>
      <c r="AY766" s="113"/>
      <c r="AZ766" s="113"/>
      <c r="BA766" s="113"/>
      <c r="BB766" s="113"/>
      <c r="BC766" s="113"/>
      <c r="BD766" s="113"/>
      <c r="BE766" s="113"/>
      <c r="BF766" s="113"/>
      <c r="BG766" s="113"/>
      <c r="BH766" s="113"/>
      <c r="BI766" s="113"/>
      <c r="BJ766" s="113"/>
      <c r="BK766" s="113"/>
      <c r="BL766" s="113"/>
      <c r="BM766" s="113"/>
      <c r="BN766" s="113"/>
      <c r="BO766" s="113"/>
      <c r="BP766" s="113"/>
      <c r="BQ766" s="113"/>
      <c r="BR766" s="113"/>
      <c r="BS766" s="113"/>
      <c r="BT766" s="113"/>
      <c r="BU766" s="113"/>
      <c r="BV766" s="113"/>
      <c r="BW766" s="113"/>
      <c r="BX766" s="113"/>
      <c r="BY766" s="113"/>
      <c r="BZ766" s="113"/>
      <c r="CA766" s="113"/>
      <c r="CB766" s="113"/>
      <c r="CC766" s="113"/>
      <c r="CD766" s="113"/>
      <c r="CE766" s="113"/>
      <c r="CF766" s="113"/>
      <c r="CG766" s="113"/>
      <c r="CH766" s="113"/>
      <c r="CI766" s="113"/>
      <c r="CJ766" s="113"/>
      <c r="CK766" s="113"/>
      <c r="CL766" s="113"/>
      <c r="CM766" s="113"/>
      <c r="CN766" s="113"/>
      <c r="CO766" s="113"/>
      <c r="CP766" s="113"/>
      <c r="CQ766" s="113"/>
      <c r="CR766" s="113"/>
      <c r="CS766" s="113"/>
      <c r="CT766" s="113"/>
      <c r="CU766" s="113"/>
    </row>
    <row r="767">
      <c r="A767" s="159"/>
      <c r="B767" s="113"/>
      <c r="C767" s="113"/>
      <c r="D767" s="158"/>
      <c r="E767" s="161"/>
      <c r="F767" s="160"/>
      <c r="G767" s="162"/>
      <c r="H767" s="159"/>
      <c r="I767" s="113"/>
      <c r="J767" s="113"/>
      <c r="K767" s="113"/>
      <c r="L767" s="158"/>
      <c r="M767" s="113"/>
      <c r="N767" s="113"/>
      <c r="O767" s="113"/>
      <c r="P767" s="113"/>
      <c r="Q767" s="113"/>
      <c r="R767" s="113"/>
      <c r="S767" s="113"/>
      <c r="T767" s="113"/>
      <c r="U767" s="113"/>
      <c r="V767" s="113"/>
      <c r="W767" s="113"/>
      <c r="X767" s="113"/>
      <c r="Y767" s="113"/>
      <c r="Z767" s="113"/>
      <c r="AA767" s="113"/>
      <c r="AB767" s="113"/>
      <c r="AC767" s="113"/>
      <c r="AD767" s="113"/>
      <c r="AE767" s="113"/>
      <c r="AF767" s="113"/>
      <c r="AG767" s="113"/>
      <c r="AH767" s="113"/>
      <c r="AI767" s="113"/>
      <c r="AJ767" s="113"/>
      <c r="AK767" s="113"/>
      <c r="AL767" s="113"/>
      <c r="AM767" s="113"/>
      <c r="AN767" s="113"/>
      <c r="AO767" s="113"/>
      <c r="AP767" s="113"/>
      <c r="AQ767" s="113"/>
      <c r="AR767" s="113"/>
      <c r="AS767" s="113"/>
      <c r="AT767" s="113"/>
      <c r="AU767" s="113"/>
      <c r="AV767" s="113"/>
      <c r="AW767" s="113"/>
      <c r="AX767" s="113"/>
      <c r="AY767" s="113"/>
      <c r="AZ767" s="113"/>
      <c r="BA767" s="113"/>
      <c r="BB767" s="113"/>
      <c r="BC767" s="113"/>
      <c r="BD767" s="113"/>
      <c r="BE767" s="113"/>
      <c r="BF767" s="113"/>
      <c r="BG767" s="113"/>
      <c r="BH767" s="113"/>
      <c r="BI767" s="113"/>
      <c r="BJ767" s="113"/>
      <c r="BK767" s="113"/>
      <c r="BL767" s="113"/>
      <c r="BM767" s="113"/>
      <c r="BN767" s="113"/>
      <c r="BO767" s="113"/>
      <c r="BP767" s="113"/>
      <c r="BQ767" s="113"/>
      <c r="BR767" s="113"/>
      <c r="BS767" s="113"/>
      <c r="BT767" s="113"/>
      <c r="BU767" s="113"/>
      <c r="BV767" s="113"/>
      <c r="BW767" s="113"/>
      <c r="BX767" s="113"/>
      <c r="BY767" s="113"/>
      <c r="BZ767" s="113"/>
      <c r="CA767" s="113"/>
      <c r="CB767" s="113"/>
      <c r="CC767" s="113"/>
      <c r="CD767" s="113"/>
      <c r="CE767" s="113"/>
      <c r="CF767" s="113"/>
      <c r="CG767" s="113"/>
      <c r="CH767" s="113"/>
      <c r="CI767" s="113"/>
      <c r="CJ767" s="113"/>
      <c r="CK767" s="113"/>
      <c r="CL767" s="113"/>
      <c r="CM767" s="113"/>
      <c r="CN767" s="113"/>
      <c r="CO767" s="113"/>
      <c r="CP767" s="113"/>
      <c r="CQ767" s="113"/>
      <c r="CR767" s="113"/>
      <c r="CS767" s="113"/>
      <c r="CT767" s="113"/>
      <c r="CU767" s="113"/>
    </row>
    <row r="768">
      <c r="A768" s="159"/>
      <c r="B768" s="113"/>
      <c r="C768" s="113"/>
      <c r="D768" s="158"/>
      <c r="E768" s="161"/>
      <c r="F768" s="160"/>
      <c r="G768" s="162"/>
      <c r="H768" s="159"/>
      <c r="I768" s="113"/>
      <c r="J768" s="113"/>
      <c r="K768" s="113"/>
      <c r="L768" s="158"/>
      <c r="M768" s="113"/>
      <c r="N768" s="113"/>
      <c r="O768" s="113"/>
      <c r="P768" s="113"/>
      <c r="Q768" s="113"/>
      <c r="R768" s="113"/>
      <c r="S768" s="113"/>
      <c r="T768" s="113"/>
      <c r="U768" s="113"/>
      <c r="V768" s="113"/>
      <c r="W768" s="113"/>
      <c r="X768" s="113"/>
      <c r="Y768" s="113"/>
      <c r="Z768" s="113"/>
      <c r="AA768" s="113"/>
      <c r="AB768" s="113"/>
      <c r="AC768" s="113"/>
      <c r="AD768" s="113"/>
      <c r="AE768" s="113"/>
      <c r="AF768" s="113"/>
      <c r="AG768" s="113"/>
      <c r="AH768" s="113"/>
      <c r="AI768" s="113"/>
      <c r="AJ768" s="113"/>
      <c r="AK768" s="113"/>
      <c r="AL768" s="113"/>
      <c r="AM768" s="113"/>
      <c r="AN768" s="113"/>
      <c r="AO768" s="113"/>
      <c r="AP768" s="113"/>
      <c r="AQ768" s="113"/>
      <c r="AR768" s="113"/>
      <c r="AS768" s="113"/>
      <c r="AT768" s="113"/>
      <c r="AU768" s="113"/>
      <c r="AV768" s="113"/>
      <c r="AW768" s="113"/>
      <c r="AX768" s="113"/>
      <c r="AY768" s="113"/>
      <c r="AZ768" s="113"/>
      <c r="BA768" s="113"/>
      <c r="BB768" s="113"/>
      <c r="BC768" s="113"/>
      <c r="BD768" s="113"/>
      <c r="BE768" s="113"/>
      <c r="BF768" s="113"/>
      <c r="BG768" s="113"/>
      <c r="BH768" s="113"/>
      <c r="BI768" s="113"/>
      <c r="BJ768" s="113"/>
      <c r="BK768" s="113"/>
      <c r="BL768" s="113"/>
      <c r="BM768" s="113"/>
      <c r="BN768" s="113"/>
      <c r="BO768" s="113"/>
      <c r="BP768" s="113"/>
      <c r="BQ768" s="113"/>
      <c r="BR768" s="113"/>
      <c r="BS768" s="113"/>
      <c r="BT768" s="113"/>
      <c r="BU768" s="113"/>
      <c r="BV768" s="113"/>
      <c r="BW768" s="113"/>
      <c r="BX768" s="113"/>
      <c r="BY768" s="113"/>
      <c r="BZ768" s="113"/>
      <c r="CA768" s="113"/>
      <c r="CB768" s="113"/>
      <c r="CC768" s="113"/>
      <c r="CD768" s="113"/>
      <c r="CE768" s="113"/>
      <c r="CF768" s="113"/>
      <c r="CG768" s="113"/>
      <c r="CH768" s="113"/>
      <c r="CI768" s="113"/>
      <c r="CJ768" s="113"/>
      <c r="CK768" s="113"/>
      <c r="CL768" s="113"/>
      <c r="CM768" s="113"/>
      <c r="CN768" s="113"/>
      <c r="CO768" s="113"/>
      <c r="CP768" s="113"/>
      <c r="CQ768" s="113"/>
      <c r="CR768" s="113"/>
      <c r="CS768" s="113"/>
      <c r="CT768" s="113"/>
      <c r="CU768" s="113"/>
    </row>
    <row r="769">
      <c r="A769" s="159"/>
      <c r="B769" s="113"/>
      <c r="C769" s="113"/>
      <c r="D769" s="158"/>
      <c r="E769" s="161"/>
      <c r="F769" s="160"/>
      <c r="G769" s="162"/>
      <c r="H769" s="159"/>
      <c r="I769" s="113"/>
      <c r="J769" s="113"/>
      <c r="K769" s="113"/>
      <c r="L769" s="158"/>
      <c r="M769" s="113"/>
      <c r="N769" s="113"/>
      <c r="O769" s="113"/>
      <c r="P769" s="113"/>
      <c r="Q769" s="113"/>
      <c r="R769" s="113"/>
      <c r="S769" s="113"/>
      <c r="T769" s="113"/>
      <c r="U769" s="113"/>
      <c r="V769" s="113"/>
      <c r="W769" s="113"/>
      <c r="X769" s="113"/>
      <c r="Y769" s="113"/>
      <c r="Z769" s="113"/>
      <c r="AA769" s="113"/>
      <c r="AB769" s="113"/>
      <c r="AC769" s="113"/>
      <c r="AD769" s="113"/>
      <c r="AE769" s="113"/>
      <c r="AF769" s="113"/>
      <c r="AG769" s="113"/>
      <c r="AH769" s="113"/>
      <c r="AI769" s="113"/>
      <c r="AJ769" s="113"/>
      <c r="AK769" s="113"/>
      <c r="AL769" s="113"/>
      <c r="AM769" s="113"/>
      <c r="AN769" s="113"/>
      <c r="AO769" s="113"/>
      <c r="AP769" s="113"/>
      <c r="AQ769" s="113"/>
      <c r="AR769" s="113"/>
      <c r="AS769" s="113"/>
      <c r="AT769" s="113"/>
      <c r="AU769" s="113"/>
      <c r="AV769" s="113"/>
      <c r="AW769" s="113"/>
      <c r="AX769" s="113"/>
      <c r="AY769" s="113"/>
      <c r="AZ769" s="113"/>
      <c r="BA769" s="113"/>
      <c r="BB769" s="113"/>
      <c r="BC769" s="113"/>
      <c r="BD769" s="113"/>
      <c r="BE769" s="113"/>
      <c r="BF769" s="113"/>
      <c r="BG769" s="113"/>
      <c r="BH769" s="113"/>
      <c r="BI769" s="113"/>
      <c r="BJ769" s="113"/>
      <c r="BK769" s="113"/>
      <c r="BL769" s="113"/>
      <c r="BM769" s="113"/>
      <c r="BN769" s="113"/>
      <c r="BO769" s="113"/>
      <c r="BP769" s="113"/>
      <c r="BQ769" s="113"/>
      <c r="BR769" s="113"/>
      <c r="BS769" s="113"/>
      <c r="BT769" s="113"/>
      <c r="BU769" s="113"/>
      <c r="BV769" s="113"/>
      <c r="BW769" s="113"/>
      <c r="BX769" s="113"/>
      <c r="BY769" s="113"/>
      <c r="BZ769" s="113"/>
      <c r="CA769" s="113"/>
      <c r="CB769" s="113"/>
      <c r="CC769" s="113"/>
      <c r="CD769" s="113"/>
      <c r="CE769" s="113"/>
      <c r="CF769" s="113"/>
      <c r="CG769" s="113"/>
      <c r="CH769" s="113"/>
      <c r="CI769" s="113"/>
      <c r="CJ769" s="113"/>
      <c r="CK769" s="113"/>
      <c r="CL769" s="113"/>
      <c r="CM769" s="113"/>
      <c r="CN769" s="113"/>
      <c r="CO769" s="113"/>
      <c r="CP769" s="113"/>
      <c r="CQ769" s="113"/>
      <c r="CR769" s="113"/>
      <c r="CS769" s="113"/>
      <c r="CT769" s="113"/>
      <c r="CU769" s="113"/>
    </row>
    <row r="770">
      <c r="A770" s="159"/>
      <c r="B770" s="113"/>
      <c r="C770" s="113"/>
      <c r="D770" s="158"/>
      <c r="E770" s="161"/>
      <c r="F770" s="160"/>
      <c r="G770" s="162"/>
      <c r="H770" s="159"/>
      <c r="I770" s="113"/>
      <c r="J770" s="113"/>
      <c r="K770" s="113"/>
      <c r="L770" s="158"/>
      <c r="M770" s="113"/>
      <c r="N770" s="113"/>
      <c r="O770" s="113"/>
      <c r="P770" s="113"/>
      <c r="Q770" s="113"/>
      <c r="R770" s="113"/>
      <c r="S770" s="113"/>
      <c r="T770" s="113"/>
      <c r="U770" s="113"/>
      <c r="V770" s="113"/>
      <c r="W770" s="113"/>
      <c r="X770" s="113"/>
      <c r="Y770" s="113"/>
      <c r="Z770" s="113"/>
      <c r="AA770" s="113"/>
      <c r="AB770" s="113"/>
      <c r="AC770" s="113"/>
      <c r="AD770" s="113"/>
      <c r="AE770" s="113"/>
      <c r="AF770" s="113"/>
      <c r="AG770" s="113"/>
      <c r="AH770" s="113"/>
      <c r="AI770" s="113"/>
      <c r="AJ770" s="113"/>
      <c r="AK770" s="113"/>
      <c r="AL770" s="113"/>
      <c r="AM770" s="113"/>
      <c r="AN770" s="113"/>
      <c r="AO770" s="113"/>
      <c r="AP770" s="113"/>
      <c r="AQ770" s="113"/>
      <c r="AR770" s="113"/>
      <c r="AS770" s="113"/>
      <c r="AT770" s="113"/>
      <c r="AU770" s="113"/>
      <c r="AV770" s="113"/>
      <c r="AW770" s="113"/>
      <c r="AX770" s="113"/>
      <c r="AY770" s="113"/>
      <c r="AZ770" s="113"/>
      <c r="BA770" s="113"/>
      <c r="BB770" s="113"/>
      <c r="BC770" s="113"/>
      <c r="BD770" s="113"/>
      <c r="BE770" s="113"/>
      <c r="BF770" s="113"/>
      <c r="BG770" s="113"/>
      <c r="BH770" s="113"/>
      <c r="BI770" s="113"/>
      <c r="BJ770" s="113"/>
      <c r="BK770" s="113"/>
      <c r="BL770" s="113"/>
      <c r="BM770" s="113"/>
      <c r="BN770" s="113"/>
      <c r="BO770" s="113"/>
      <c r="BP770" s="113"/>
      <c r="BQ770" s="113"/>
      <c r="BR770" s="113"/>
      <c r="BS770" s="113"/>
      <c r="BT770" s="113"/>
      <c r="BU770" s="113"/>
      <c r="BV770" s="113"/>
      <c r="BW770" s="113"/>
      <c r="BX770" s="113"/>
      <c r="BY770" s="113"/>
      <c r="BZ770" s="113"/>
      <c r="CA770" s="113"/>
      <c r="CB770" s="113"/>
      <c r="CC770" s="113"/>
      <c r="CD770" s="113"/>
      <c r="CE770" s="113"/>
      <c r="CF770" s="113"/>
      <c r="CG770" s="113"/>
      <c r="CH770" s="113"/>
      <c r="CI770" s="113"/>
      <c r="CJ770" s="113"/>
      <c r="CK770" s="113"/>
      <c r="CL770" s="113"/>
      <c r="CM770" s="113"/>
      <c r="CN770" s="113"/>
      <c r="CO770" s="113"/>
      <c r="CP770" s="113"/>
      <c r="CQ770" s="113"/>
      <c r="CR770" s="113"/>
      <c r="CS770" s="113"/>
      <c r="CT770" s="113"/>
      <c r="CU770" s="113"/>
    </row>
    <row r="771">
      <c r="A771" s="159"/>
      <c r="B771" s="113"/>
      <c r="C771" s="113"/>
      <c r="D771" s="158"/>
      <c r="E771" s="161"/>
      <c r="F771" s="160"/>
      <c r="G771" s="162"/>
      <c r="H771" s="159"/>
      <c r="I771" s="113"/>
      <c r="J771" s="113"/>
      <c r="K771" s="113"/>
      <c r="L771" s="158"/>
      <c r="M771" s="113"/>
      <c r="N771" s="113"/>
      <c r="O771" s="113"/>
      <c r="P771" s="113"/>
      <c r="Q771" s="113"/>
      <c r="R771" s="113"/>
      <c r="S771" s="113"/>
      <c r="T771" s="113"/>
      <c r="U771" s="113"/>
      <c r="V771" s="113"/>
      <c r="W771" s="113"/>
      <c r="X771" s="113"/>
      <c r="Y771" s="113"/>
      <c r="Z771" s="113"/>
      <c r="AA771" s="113"/>
      <c r="AB771" s="113"/>
      <c r="AC771" s="113"/>
      <c r="AD771" s="113"/>
      <c r="AE771" s="113"/>
      <c r="AF771" s="113"/>
      <c r="AG771" s="113"/>
      <c r="AH771" s="113"/>
      <c r="AI771" s="113"/>
      <c r="AJ771" s="113"/>
      <c r="AK771" s="113"/>
      <c r="AL771" s="113"/>
      <c r="AM771" s="113"/>
      <c r="AN771" s="113"/>
      <c r="AO771" s="113"/>
      <c r="AP771" s="113"/>
      <c r="AQ771" s="113"/>
      <c r="AR771" s="113"/>
      <c r="AS771" s="113"/>
      <c r="AT771" s="113"/>
      <c r="AU771" s="113"/>
      <c r="AV771" s="113"/>
      <c r="AW771" s="113"/>
      <c r="AX771" s="113"/>
      <c r="AY771" s="113"/>
      <c r="AZ771" s="113"/>
      <c r="BA771" s="113"/>
      <c r="BB771" s="113"/>
      <c r="BC771" s="113"/>
      <c r="BD771" s="113"/>
      <c r="BE771" s="113"/>
      <c r="BF771" s="113"/>
      <c r="BG771" s="113"/>
      <c r="BH771" s="113"/>
      <c r="BI771" s="113"/>
      <c r="BJ771" s="113"/>
      <c r="BK771" s="113"/>
      <c r="BL771" s="113"/>
      <c r="BM771" s="113"/>
      <c r="BN771" s="113"/>
      <c r="BO771" s="113"/>
      <c r="BP771" s="113"/>
      <c r="BQ771" s="113"/>
      <c r="BR771" s="113"/>
      <c r="BS771" s="113"/>
      <c r="BT771" s="113"/>
      <c r="BU771" s="113"/>
      <c r="BV771" s="113"/>
      <c r="BW771" s="113"/>
      <c r="BX771" s="113"/>
      <c r="BY771" s="113"/>
      <c r="BZ771" s="113"/>
      <c r="CA771" s="113"/>
      <c r="CB771" s="113"/>
      <c r="CC771" s="113"/>
      <c r="CD771" s="113"/>
      <c r="CE771" s="113"/>
      <c r="CF771" s="113"/>
      <c r="CG771" s="113"/>
      <c r="CH771" s="113"/>
      <c r="CI771" s="113"/>
      <c r="CJ771" s="113"/>
      <c r="CK771" s="113"/>
      <c r="CL771" s="113"/>
      <c r="CM771" s="113"/>
      <c r="CN771" s="113"/>
      <c r="CO771" s="113"/>
      <c r="CP771" s="113"/>
      <c r="CQ771" s="113"/>
      <c r="CR771" s="113"/>
      <c r="CS771" s="113"/>
      <c r="CT771" s="113"/>
      <c r="CU771" s="113"/>
    </row>
    <row r="772">
      <c r="A772" s="159"/>
      <c r="B772" s="113"/>
      <c r="C772" s="113"/>
      <c r="D772" s="158"/>
      <c r="E772" s="161"/>
      <c r="F772" s="160"/>
      <c r="G772" s="162"/>
      <c r="H772" s="159"/>
      <c r="I772" s="113"/>
      <c r="J772" s="113"/>
      <c r="K772" s="113"/>
      <c r="L772" s="158"/>
      <c r="M772" s="113"/>
      <c r="N772" s="113"/>
      <c r="O772" s="113"/>
      <c r="P772" s="113"/>
      <c r="Q772" s="113"/>
      <c r="R772" s="113"/>
      <c r="S772" s="113"/>
      <c r="T772" s="113"/>
      <c r="U772" s="113"/>
      <c r="V772" s="113"/>
      <c r="W772" s="113"/>
      <c r="X772" s="113"/>
      <c r="Y772" s="113"/>
      <c r="Z772" s="113"/>
      <c r="AA772" s="113"/>
      <c r="AB772" s="113"/>
      <c r="AC772" s="113"/>
      <c r="AD772" s="113"/>
      <c r="AE772" s="113"/>
      <c r="AF772" s="113"/>
      <c r="AG772" s="113"/>
      <c r="AH772" s="113"/>
      <c r="AI772" s="113"/>
      <c r="AJ772" s="113"/>
      <c r="AK772" s="113"/>
      <c r="AL772" s="113"/>
      <c r="AM772" s="113"/>
      <c r="AN772" s="113"/>
      <c r="AO772" s="113"/>
      <c r="AP772" s="113"/>
      <c r="AQ772" s="113"/>
      <c r="AR772" s="113"/>
      <c r="AS772" s="113"/>
      <c r="AT772" s="113"/>
      <c r="AU772" s="113"/>
      <c r="AV772" s="113"/>
      <c r="AW772" s="113"/>
      <c r="AX772" s="113"/>
      <c r="AY772" s="113"/>
      <c r="AZ772" s="113"/>
      <c r="BA772" s="113"/>
      <c r="BB772" s="113"/>
      <c r="BC772" s="113"/>
      <c r="BD772" s="113"/>
      <c r="BE772" s="113"/>
      <c r="BF772" s="113"/>
      <c r="BG772" s="113"/>
      <c r="BH772" s="113"/>
      <c r="BI772" s="113"/>
      <c r="BJ772" s="113"/>
      <c r="BK772" s="113"/>
      <c r="BL772" s="113"/>
      <c r="BM772" s="113"/>
      <c r="BN772" s="113"/>
      <c r="BO772" s="113"/>
      <c r="BP772" s="113"/>
      <c r="BQ772" s="113"/>
      <c r="BR772" s="113"/>
      <c r="BS772" s="113"/>
      <c r="BT772" s="113"/>
      <c r="BU772" s="113"/>
      <c r="BV772" s="113"/>
      <c r="BW772" s="113"/>
      <c r="BX772" s="113"/>
      <c r="BY772" s="113"/>
      <c r="BZ772" s="113"/>
      <c r="CA772" s="113"/>
      <c r="CB772" s="113"/>
      <c r="CC772" s="113"/>
      <c r="CD772" s="113"/>
      <c r="CE772" s="113"/>
      <c r="CF772" s="113"/>
      <c r="CG772" s="113"/>
      <c r="CH772" s="113"/>
      <c r="CI772" s="113"/>
      <c r="CJ772" s="113"/>
      <c r="CK772" s="113"/>
      <c r="CL772" s="113"/>
      <c r="CM772" s="113"/>
      <c r="CN772" s="113"/>
      <c r="CO772" s="113"/>
      <c r="CP772" s="113"/>
      <c r="CQ772" s="113"/>
      <c r="CR772" s="113"/>
      <c r="CS772" s="113"/>
      <c r="CT772" s="113"/>
      <c r="CU772" s="113"/>
    </row>
    <row r="773">
      <c r="A773" s="159"/>
      <c r="B773" s="113"/>
      <c r="C773" s="113"/>
      <c r="D773" s="158"/>
      <c r="E773" s="161"/>
      <c r="F773" s="160"/>
      <c r="G773" s="162"/>
      <c r="H773" s="159"/>
      <c r="I773" s="113"/>
      <c r="J773" s="113"/>
      <c r="K773" s="113"/>
      <c r="L773" s="158"/>
      <c r="M773" s="113"/>
      <c r="N773" s="113"/>
      <c r="O773" s="113"/>
      <c r="P773" s="113"/>
      <c r="Q773" s="113"/>
      <c r="R773" s="113"/>
      <c r="S773" s="113"/>
      <c r="T773" s="113"/>
      <c r="U773" s="113"/>
      <c r="V773" s="113"/>
      <c r="W773" s="113"/>
      <c r="X773" s="113"/>
      <c r="Y773" s="113"/>
      <c r="Z773" s="113"/>
      <c r="AA773" s="113"/>
      <c r="AB773" s="113"/>
      <c r="AC773" s="113"/>
      <c r="AD773" s="113"/>
      <c r="AE773" s="113"/>
      <c r="AF773" s="113"/>
      <c r="AG773" s="113"/>
      <c r="AH773" s="113"/>
      <c r="AI773" s="113"/>
      <c r="AJ773" s="113"/>
      <c r="AK773" s="113"/>
      <c r="AL773" s="113"/>
      <c r="AM773" s="113"/>
      <c r="AN773" s="113"/>
      <c r="AO773" s="113"/>
      <c r="AP773" s="113"/>
      <c r="AQ773" s="113"/>
      <c r="AR773" s="113"/>
      <c r="AS773" s="113"/>
      <c r="AT773" s="113"/>
      <c r="AU773" s="113"/>
      <c r="AV773" s="113"/>
      <c r="AW773" s="113"/>
      <c r="AX773" s="113"/>
      <c r="AY773" s="113"/>
      <c r="AZ773" s="113"/>
      <c r="BA773" s="113"/>
      <c r="BB773" s="113"/>
      <c r="BC773" s="113"/>
      <c r="BD773" s="113"/>
      <c r="BE773" s="113"/>
      <c r="BF773" s="113"/>
      <c r="BG773" s="113"/>
      <c r="BH773" s="113"/>
      <c r="BI773" s="113"/>
      <c r="BJ773" s="113"/>
      <c r="BK773" s="113"/>
      <c r="BL773" s="113"/>
      <c r="BM773" s="113"/>
      <c r="BN773" s="113"/>
      <c r="BO773" s="113"/>
      <c r="BP773" s="113"/>
      <c r="BQ773" s="113"/>
      <c r="BR773" s="113"/>
      <c r="BS773" s="113"/>
      <c r="BT773" s="113"/>
      <c r="BU773" s="113"/>
      <c r="BV773" s="113"/>
      <c r="BW773" s="113"/>
      <c r="BX773" s="113"/>
      <c r="BY773" s="113"/>
      <c r="BZ773" s="113"/>
      <c r="CA773" s="113"/>
      <c r="CB773" s="113"/>
      <c r="CC773" s="113"/>
      <c r="CD773" s="113"/>
      <c r="CE773" s="113"/>
      <c r="CF773" s="113"/>
      <c r="CG773" s="113"/>
      <c r="CH773" s="113"/>
      <c r="CI773" s="113"/>
      <c r="CJ773" s="113"/>
      <c r="CK773" s="113"/>
      <c r="CL773" s="113"/>
      <c r="CM773" s="113"/>
      <c r="CN773" s="113"/>
      <c r="CO773" s="113"/>
      <c r="CP773" s="113"/>
      <c r="CQ773" s="113"/>
      <c r="CR773" s="113"/>
      <c r="CS773" s="113"/>
      <c r="CT773" s="113"/>
      <c r="CU773" s="113"/>
    </row>
    <row r="774">
      <c r="A774" s="159"/>
      <c r="B774" s="113"/>
      <c r="C774" s="113"/>
      <c r="D774" s="158"/>
      <c r="E774" s="161"/>
      <c r="F774" s="160"/>
      <c r="G774" s="162"/>
      <c r="H774" s="159"/>
      <c r="I774" s="113"/>
      <c r="J774" s="113"/>
      <c r="K774" s="113"/>
      <c r="L774" s="158"/>
      <c r="M774" s="113"/>
      <c r="N774" s="113"/>
      <c r="O774" s="113"/>
      <c r="P774" s="113"/>
      <c r="Q774" s="113"/>
      <c r="R774" s="113"/>
      <c r="S774" s="113"/>
      <c r="T774" s="113"/>
      <c r="U774" s="113"/>
      <c r="V774" s="113"/>
      <c r="W774" s="113"/>
      <c r="X774" s="113"/>
      <c r="Y774" s="113"/>
      <c r="Z774" s="113"/>
      <c r="AA774" s="113"/>
      <c r="AB774" s="113"/>
      <c r="AC774" s="113"/>
      <c r="AD774" s="113"/>
      <c r="AE774" s="113"/>
      <c r="AF774" s="113"/>
      <c r="AG774" s="113"/>
      <c r="AH774" s="113"/>
      <c r="AI774" s="113"/>
      <c r="AJ774" s="113"/>
      <c r="AK774" s="113"/>
      <c r="AL774" s="113"/>
      <c r="AM774" s="113"/>
      <c r="AN774" s="113"/>
      <c r="AO774" s="113"/>
      <c r="AP774" s="113"/>
      <c r="AQ774" s="113"/>
      <c r="AR774" s="113"/>
      <c r="AS774" s="113"/>
      <c r="AT774" s="113"/>
      <c r="AU774" s="113"/>
      <c r="AV774" s="113"/>
      <c r="AW774" s="113"/>
      <c r="AX774" s="113"/>
      <c r="AY774" s="113"/>
      <c r="AZ774" s="113"/>
      <c r="BA774" s="113"/>
      <c r="BB774" s="113"/>
      <c r="BC774" s="113"/>
      <c r="BD774" s="113"/>
      <c r="BE774" s="113"/>
      <c r="BF774" s="113"/>
      <c r="BG774" s="113"/>
      <c r="BH774" s="113"/>
      <c r="BI774" s="113"/>
      <c r="BJ774" s="113"/>
      <c r="BK774" s="113"/>
      <c r="BL774" s="113"/>
      <c r="BM774" s="113"/>
      <c r="BN774" s="113"/>
      <c r="BO774" s="113"/>
      <c r="BP774" s="113"/>
      <c r="BQ774" s="113"/>
      <c r="BR774" s="113"/>
      <c r="BS774" s="113"/>
      <c r="BT774" s="113"/>
      <c r="BU774" s="113"/>
      <c r="BV774" s="113"/>
      <c r="BW774" s="113"/>
      <c r="BX774" s="113"/>
      <c r="BY774" s="113"/>
      <c r="BZ774" s="113"/>
      <c r="CA774" s="113"/>
      <c r="CB774" s="113"/>
      <c r="CC774" s="113"/>
      <c r="CD774" s="113"/>
      <c r="CE774" s="113"/>
      <c r="CF774" s="113"/>
      <c r="CG774" s="113"/>
      <c r="CH774" s="113"/>
      <c r="CI774" s="113"/>
      <c r="CJ774" s="113"/>
      <c r="CK774" s="113"/>
      <c r="CL774" s="113"/>
      <c r="CM774" s="113"/>
      <c r="CN774" s="113"/>
      <c r="CO774" s="113"/>
      <c r="CP774" s="113"/>
      <c r="CQ774" s="113"/>
      <c r="CR774" s="113"/>
      <c r="CS774" s="113"/>
      <c r="CT774" s="113"/>
      <c r="CU774" s="113"/>
    </row>
    <row r="775">
      <c r="A775" s="159"/>
      <c r="B775" s="113"/>
      <c r="C775" s="113"/>
      <c r="D775" s="158"/>
      <c r="E775" s="161"/>
      <c r="F775" s="160"/>
      <c r="G775" s="162"/>
      <c r="H775" s="159"/>
      <c r="I775" s="113"/>
      <c r="J775" s="113"/>
      <c r="K775" s="113"/>
      <c r="L775" s="158"/>
      <c r="M775" s="113"/>
      <c r="N775" s="113"/>
      <c r="O775" s="113"/>
      <c r="P775" s="113"/>
      <c r="Q775" s="113"/>
      <c r="R775" s="113"/>
      <c r="S775" s="113"/>
      <c r="T775" s="113"/>
      <c r="U775" s="113"/>
      <c r="V775" s="113"/>
      <c r="W775" s="113"/>
      <c r="X775" s="113"/>
      <c r="Y775" s="113"/>
      <c r="Z775" s="113"/>
      <c r="AA775" s="113"/>
      <c r="AB775" s="113"/>
      <c r="AC775" s="113"/>
      <c r="AD775" s="113"/>
      <c r="AE775" s="113"/>
      <c r="AF775" s="113"/>
      <c r="AG775" s="113"/>
      <c r="AH775" s="113"/>
      <c r="AI775" s="113"/>
      <c r="AJ775" s="113"/>
      <c r="AK775" s="113"/>
      <c r="AL775" s="113"/>
      <c r="AM775" s="113"/>
      <c r="AN775" s="113"/>
      <c r="AO775" s="113"/>
      <c r="AP775" s="113"/>
      <c r="AQ775" s="113"/>
      <c r="AR775" s="113"/>
      <c r="AS775" s="113"/>
      <c r="AT775" s="113"/>
      <c r="AU775" s="113"/>
      <c r="AV775" s="113"/>
      <c r="AW775" s="113"/>
      <c r="AX775" s="113"/>
      <c r="AY775" s="113"/>
      <c r="AZ775" s="113"/>
      <c r="BA775" s="113"/>
      <c r="BB775" s="113"/>
      <c r="BC775" s="113"/>
      <c r="BD775" s="113"/>
      <c r="BE775" s="113"/>
      <c r="BF775" s="113"/>
      <c r="BG775" s="113"/>
      <c r="BH775" s="113"/>
      <c r="BI775" s="113"/>
      <c r="BJ775" s="113"/>
      <c r="BK775" s="113"/>
      <c r="BL775" s="113"/>
      <c r="BM775" s="113"/>
      <c r="BN775" s="113"/>
      <c r="BO775" s="113"/>
      <c r="BP775" s="113"/>
      <c r="BQ775" s="113"/>
      <c r="BR775" s="113"/>
      <c r="BS775" s="113"/>
      <c r="BT775" s="113"/>
      <c r="BU775" s="113"/>
      <c r="BV775" s="113"/>
      <c r="BW775" s="113"/>
      <c r="BX775" s="113"/>
      <c r="BY775" s="113"/>
      <c r="BZ775" s="113"/>
      <c r="CA775" s="113"/>
      <c r="CB775" s="113"/>
      <c r="CC775" s="113"/>
      <c r="CD775" s="113"/>
      <c r="CE775" s="113"/>
      <c r="CF775" s="113"/>
      <c r="CG775" s="113"/>
      <c r="CH775" s="113"/>
      <c r="CI775" s="113"/>
      <c r="CJ775" s="113"/>
      <c r="CK775" s="113"/>
      <c r="CL775" s="113"/>
      <c r="CM775" s="113"/>
      <c r="CN775" s="113"/>
      <c r="CO775" s="113"/>
      <c r="CP775" s="113"/>
      <c r="CQ775" s="113"/>
      <c r="CR775" s="113"/>
      <c r="CS775" s="113"/>
      <c r="CT775" s="113"/>
      <c r="CU775" s="113"/>
    </row>
    <row r="776">
      <c r="A776" s="159"/>
      <c r="B776" s="113"/>
      <c r="C776" s="113"/>
      <c r="D776" s="158"/>
      <c r="E776" s="161"/>
      <c r="F776" s="160"/>
      <c r="G776" s="162"/>
      <c r="H776" s="159"/>
      <c r="I776" s="113"/>
      <c r="J776" s="113"/>
      <c r="K776" s="113"/>
      <c r="L776" s="158"/>
      <c r="M776" s="113"/>
      <c r="N776" s="113"/>
      <c r="O776" s="113"/>
      <c r="P776" s="113"/>
      <c r="Q776" s="113"/>
      <c r="R776" s="113"/>
      <c r="S776" s="113"/>
      <c r="T776" s="113"/>
      <c r="U776" s="113"/>
      <c r="V776" s="113"/>
      <c r="W776" s="113"/>
      <c r="X776" s="113"/>
      <c r="Y776" s="113"/>
      <c r="Z776" s="113"/>
      <c r="AA776" s="113"/>
      <c r="AB776" s="113"/>
      <c r="AC776" s="113"/>
      <c r="AD776" s="113"/>
      <c r="AE776" s="113"/>
      <c r="AF776" s="113"/>
      <c r="AG776" s="113"/>
      <c r="AH776" s="113"/>
      <c r="AI776" s="113"/>
      <c r="AJ776" s="113"/>
      <c r="AK776" s="113"/>
      <c r="AL776" s="113"/>
      <c r="AM776" s="113"/>
      <c r="AN776" s="113"/>
      <c r="AO776" s="113"/>
      <c r="AP776" s="113"/>
      <c r="AQ776" s="113"/>
      <c r="AR776" s="113"/>
      <c r="AS776" s="113"/>
      <c r="AT776" s="113"/>
      <c r="AU776" s="113"/>
      <c r="AV776" s="113"/>
      <c r="AW776" s="113"/>
      <c r="AX776" s="113"/>
      <c r="AY776" s="113"/>
      <c r="AZ776" s="113"/>
      <c r="BA776" s="113"/>
      <c r="BB776" s="113"/>
      <c r="BC776" s="113"/>
      <c r="BD776" s="113"/>
      <c r="BE776" s="113"/>
      <c r="BF776" s="113"/>
      <c r="BG776" s="113"/>
      <c r="BH776" s="113"/>
      <c r="BI776" s="113"/>
      <c r="BJ776" s="113"/>
      <c r="BK776" s="113"/>
      <c r="BL776" s="113"/>
      <c r="BM776" s="113"/>
      <c r="BN776" s="113"/>
      <c r="BO776" s="113"/>
      <c r="BP776" s="113"/>
      <c r="BQ776" s="113"/>
      <c r="BR776" s="113"/>
      <c r="BS776" s="113"/>
      <c r="BT776" s="113"/>
      <c r="BU776" s="113"/>
      <c r="BV776" s="113"/>
      <c r="BW776" s="113"/>
      <c r="BX776" s="113"/>
      <c r="BY776" s="113"/>
      <c r="BZ776" s="113"/>
      <c r="CA776" s="113"/>
      <c r="CB776" s="113"/>
      <c r="CC776" s="113"/>
      <c r="CD776" s="113"/>
      <c r="CE776" s="113"/>
      <c r="CF776" s="113"/>
      <c r="CG776" s="113"/>
      <c r="CH776" s="113"/>
      <c r="CI776" s="113"/>
      <c r="CJ776" s="113"/>
      <c r="CK776" s="113"/>
      <c r="CL776" s="113"/>
      <c r="CM776" s="113"/>
      <c r="CN776" s="113"/>
      <c r="CO776" s="113"/>
      <c r="CP776" s="113"/>
      <c r="CQ776" s="113"/>
      <c r="CR776" s="113"/>
      <c r="CS776" s="113"/>
      <c r="CT776" s="113"/>
      <c r="CU776" s="113"/>
    </row>
    <row r="777">
      <c r="A777" s="159"/>
      <c r="B777" s="113"/>
      <c r="C777" s="113"/>
      <c r="D777" s="158"/>
      <c r="E777" s="161"/>
      <c r="F777" s="160"/>
      <c r="G777" s="162"/>
      <c r="H777" s="159"/>
      <c r="I777" s="113"/>
      <c r="J777" s="113"/>
      <c r="K777" s="113"/>
      <c r="L777" s="158"/>
      <c r="M777" s="113"/>
      <c r="N777" s="113"/>
      <c r="O777" s="113"/>
      <c r="P777" s="113"/>
      <c r="Q777" s="113"/>
      <c r="R777" s="113"/>
      <c r="S777" s="113"/>
      <c r="T777" s="113"/>
      <c r="U777" s="113"/>
      <c r="V777" s="113"/>
      <c r="W777" s="113"/>
      <c r="X777" s="113"/>
      <c r="Y777" s="113"/>
      <c r="Z777" s="113"/>
      <c r="AA777" s="113"/>
      <c r="AB777" s="113"/>
      <c r="AC777" s="113"/>
      <c r="AD777" s="113"/>
      <c r="AE777" s="113"/>
      <c r="AF777" s="113"/>
      <c r="AG777" s="113"/>
      <c r="AH777" s="113"/>
      <c r="AI777" s="113"/>
      <c r="AJ777" s="113"/>
      <c r="AK777" s="113"/>
      <c r="AL777" s="113"/>
      <c r="AM777" s="113"/>
      <c r="AN777" s="113"/>
      <c r="AO777" s="113"/>
      <c r="AP777" s="113"/>
      <c r="AQ777" s="113"/>
      <c r="AR777" s="113"/>
      <c r="AS777" s="113"/>
      <c r="AT777" s="113"/>
      <c r="AU777" s="113"/>
      <c r="AV777" s="113"/>
      <c r="AW777" s="113"/>
      <c r="AX777" s="113"/>
      <c r="AY777" s="113"/>
      <c r="AZ777" s="113"/>
      <c r="BA777" s="113"/>
      <c r="BB777" s="113"/>
      <c r="BC777" s="113"/>
      <c r="BD777" s="113"/>
      <c r="BE777" s="113"/>
      <c r="BF777" s="113"/>
      <c r="BG777" s="113"/>
      <c r="BH777" s="113"/>
      <c r="BI777" s="113"/>
      <c r="BJ777" s="113"/>
      <c r="BK777" s="113"/>
      <c r="BL777" s="113"/>
      <c r="BM777" s="113"/>
      <c r="BN777" s="113"/>
      <c r="BO777" s="113"/>
      <c r="BP777" s="113"/>
      <c r="BQ777" s="113"/>
      <c r="BR777" s="113"/>
      <c r="BS777" s="113"/>
      <c r="BT777" s="113"/>
      <c r="BU777" s="113"/>
      <c r="BV777" s="113"/>
      <c r="BW777" s="113"/>
      <c r="BX777" s="113"/>
      <c r="BY777" s="113"/>
      <c r="BZ777" s="113"/>
      <c r="CA777" s="113"/>
      <c r="CB777" s="113"/>
      <c r="CC777" s="113"/>
      <c r="CD777" s="113"/>
      <c r="CE777" s="113"/>
      <c r="CF777" s="113"/>
      <c r="CG777" s="113"/>
      <c r="CH777" s="113"/>
      <c r="CI777" s="113"/>
      <c r="CJ777" s="113"/>
      <c r="CK777" s="113"/>
      <c r="CL777" s="113"/>
      <c r="CM777" s="113"/>
      <c r="CN777" s="113"/>
      <c r="CO777" s="113"/>
      <c r="CP777" s="113"/>
      <c r="CQ777" s="113"/>
      <c r="CR777" s="113"/>
      <c r="CS777" s="113"/>
      <c r="CT777" s="113"/>
      <c r="CU777" s="113"/>
    </row>
    <row r="778">
      <c r="A778" s="159"/>
      <c r="B778" s="113"/>
      <c r="C778" s="113"/>
      <c r="D778" s="158"/>
      <c r="E778" s="161"/>
      <c r="F778" s="160"/>
      <c r="G778" s="162"/>
      <c r="H778" s="159"/>
      <c r="I778" s="113"/>
      <c r="J778" s="113"/>
      <c r="K778" s="113"/>
      <c r="L778" s="158"/>
      <c r="M778" s="113"/>
      <c r="N778" s="113"/>
      <c r="O778" s="113"/>
      <c r="P778" s="113"/>
      <c r="Q778" s="113"/>
      <c r="R778" s="113"/>
      <c r="S778" s="113"/>
      <c r="T778" s="113"/>
      <c r="U778" s="113"/>
      <c r="V778" s="113"/>
      <c r="W778" s="113"/>
      <c r="X778" s="113"/>
      <c r="Y778" s="113"/>
      <c r="Z778" s="113"/>
      <c r="AA778" s="113"/>
      <c r="AB778" s="113"/>
      <c r="AC778" s="113"/>
      <c r="AD778" s="113"/>
      <c r="AE778" s="113"/>
      <c r="AF778" s="113"/>
      <c r="AG778" s="113"/>
      <c r="AH778" s="113"/>
      <c r="AI778" s="113"/>
      <c r="AJ778" s="113"/>
      <c r="AK778" s="113"/>
      <c r="AL778" s="113"/>
      <c r="AM778" s="113"/>
      <c r="AN778" s="113"/>
      <c r="AO778" s="113"/>
      <c r="AP778" s="113"/>
      <c r="AQ778" s="113"/>
      <c r="AR778" s="113"/>
      <c r="AS778" s="113"/>
      <c r="AT778" s="113"/>
      <c r="AU778" s="113"/>
      <c r="AV778" s="113"/>
      <c r="AW778" s="113"/>
      <c r="AX778" s="113"/>
      <c r="AY778" s="113"/>
      <c r="AZ778" s="113"/>
      <c r="BA778" s="113"/>
      <c r="BB778" s="113"/>
      <c r="BC778" s="113"/>
      <c r="BD778" s="113"/>
      <c r="BE778" s="113"/>
      <c r="BF778" s="113"/>
      <c r="BG778" s="113"/>
      <c r="BH778" s="113"/>
      <c r="BI778" s="113"/>
      <c r="BJ778" s="113"/>
      <c r="BK778" s="113"/>
      <c r="BL778" s="113"/>
      <c r="BM778" s="113"/>
      <c r="BN778" s="113"/>
      <c r="BO778" s="113"/>
      <c r="BP778" s="113"/>
      <c r="BQ778" s="113"/>
      <c r="BR778" s="113"/>
      <c r="BS778" s="113"/>
      <c r="BT778" s="113"/>
      <c r="BU778" s="113"/>
      <c r="BV778" s="113"/>
      <c r="BW778" s="113"/>
      <c r="BX778" s="113"/>
      <c r="BY778" s="113"/>
      <c r="BZ778" s="113"/>
      <c r="CA778" s="113"/>
      <c r="CB778" s="113"/>
      <c r="CC778" s="113"/>
      <c r="CD778" s="113"/>
      <c r="CE778" s="113"/>
      <c r="CF778" s="113"/>
      <c r="CG778" s="113"/>
      <c r="CH778" s="113"/>
      <c r="CI778" s="113"/>
      <c r="CJ778" s="113"/>
      <c r="CK778" s="113"/>
      <c r="CL778" s="113"/>
      <c r="CM778" s="113"/>
      <c r="CN778" s="113"/>
      <c r="CO778" s="113"/>
      <c r="CP778" s="113"/>
      <c r="CQ778" s="113"/>
      <c r="CR778" s="113"/>
      <c r="CS778" s="113"/>
      <c r="CT778" s="113"/>
      <c r="CU778" s="113"/>
    </row>
    <row r="779">
      <c r="A779" s="159"/>
      <c r="B779" s="113"/>
      <c r="C779" s="113"/>
      <c r="D779" s="158"/>
      <c r="E779" s="161"/>
      <c r="F779" s="160"/>
      <c r="G779" s="162"/>
      <c r="H779" s="159"/>
      <c r="I779" s="113"/>
      <c r="J779" s="113"/>
      <c r="K779" s="113"/>
      <c r="L779" s="158"/>
      <c r="M779" s="113"/>
      <c r="N779" s="113"/>
      <c r="O779" s="113"/>
      <c r="P779" s="113"/>
      <c r="Q779" s="113"/>
      <c r="R779" s="113"/>
      <c r="S779" s="113"/>
      <c r="T779" s="113"/>
      <c r="U779" s="113"/>
      <c r="V779" s="113"/>
      <c r="W779" s="113"/>
      <c r="X779" s="113"/>
      <c r="Y779" s="113"/>
      <c r="Z779" s="113"/>
      <c r="AA779" s="113"/>
      <c r="AB779" s="113"/>
      <c r="AC779" s="113"/>
      <c r="AD779" s="113"/>
      <c r="AE779" s="113"/>
      <c r="AF779" s="113"/>
      <c r="AG779" s="113"/>
      <c r="AH779" s="113"/>
      <c r="AI779" s="113"/>
      <c r="AJ779" s="113"/>
      <c r="AK779" s="113"/>
      <c r="AL779" s="113"/>
      <c r="AM779" s="113"/>
      <c r="AN779" s="113"/>
      <c r="AO779" s="113"/>
      <c r="AP779" s="113"/>
      <c r="AQ779" s="113"/>
      <c r="AR779" s="113"/>
      <c r="AS779" s="113"/>
      <c r="AT779" s="113"/>
      <c r="AU779" s="113"/>
      <c r="AV779" s="113"/>
      <c r="AW779" s="113"/>
      <c r="AX779" s="113"/>
      <c r="AY779" s="113"/>
      <c r="AZ779" s="113"/>
      <c r="BA779" s="113"/>
      <c r="BB779" s="113"/>
      <c r="BC779" s="113"/>
      <c r="BD779" s="113"/>
      <c r="BE779" s="113"/>
      <c r="BF779" s="113"/>
      <c r="BG779" s="113"/>
      <c r="BH779" s="113"/>
      <c r="BI779" s="113"/>
      <c r="BJ779" s="113"/>
      <c r="BK779" s="113"/>
      <c r="BL779" s="113"/>
      <c r="BM779" s="113"/>
      <c r="BN779" s="113"/>
      <c r="BO779" s="113"/>
      <c r="BP779" s="113"/>
      <c r="BQ779" s="113"/>
      <c r="BR779" s="113"/>
      <c r="BS779" s="113"/>
      <c r="BT779" s="113"/>
      <c r="BU779" s="113"/>
      <c r="BV779" s="113"/>
      <c r="BW779" s="113"/>
      <c r="BX779" s="113"/>
      <c r="BY779" s="113"/>
      <c r="BZ779" s="113"/>
      <c r="CA779" s="113"/>
      <c r="CB779" s="113"/>
      <c r="CC779" s="113"/>
      <c r="CD779" s="113"/>
      <c r="CE779" s="113"/>
      <c r="CF779" s="113"/>
      <c r="CG779" s="113"/>
      <c r="CH779" s="113"/>
      <c r="CI779" s="113"/>
      <c r="CJ779" s="113"/>
      <c r="CK779" s="113"/>
      <c r="CL779" s="113"/>
      <c r="CM779" s="113"/>
      <c r="CN779" s="113"/>
      <c r="CO779" s="113"/>
      <c r="CP779" s="113"/>
      <c r="CQ779" s="113"/>
      <c r="CR779" s="113"/>
      <c r="CS779" s="113"/>
      <c r="CT779" s="113"/>
      <c r="CU779" s="113"/>
    </row>
    <row r="780">
      <c r="A780" s="159"/>
      <c r="B780" s="113"/>
      <c r="C780" s="113"/>
      <c r="D780" s="158"/>
      <c r="E780" s="161"/>
      <c r="F780" s="160"/>
      <c r="G780" s="162"/>
      <c r="H780" s="159"/>
      <c r="I780" s="113"/>
      <c r="J780" s="113"/>
      <c r="K780" s="113"/>
      <c r="L780" s="158"/>
      <c r="M780" s="113"/>
      <c r="N780" s="113"/>
      <c r="O780" s="113"/>
      <c r="P780" s="113"/>
      <c r="Q780" s="113"/>
      <c r="R780" s="113"/>
      <c r="S780" s="113"/>
      <c r="T780" s="113"/>
      <c r="U780" s="113"/>
      <c r="V780" s="113"/>
      <c r="W780" s="113"/>
      <c r="X780" s="113"/>
      <c r="Y780" s="113"/>
      <c r="Z780" s="113"/>
      <c r="AA780" s="113"/>
      <c r="AB780" s="113"/>
      <c r="AC780" s="113"/>
      <c r="AD780" s="113"/>
      <c r="AE780" s="113"/>
      <c r="AF780" s="113"/>
      <c r="AG780" s="113"/>
      <c r="AH780" s="113"/>
      <c r="AI780" s="113"/>
      <c r="AJ780" s="113"/>
      <c r="AK780" s="113"/>
      <c r="AL780" s="113"/>
      <c r="AM780" s="113"/>
      <c r="AN780" s="113"/>
      <c r="AO780" s="113"/>
      <c r="AP780" s="113"/>
      <c r="AQ780" s="113"/>
      <c r="AR780" s="113"/>
      <c r="AS780" s="113"/>
      <c r="AT780" s="113"/>
      <c r="AU780" s="113"/>
      <c r="AV780" s="113"/>
      <c r="AW780" s="113"/>
      <c r="AX780" s="113"/>
      <c r="AY780" s="113"/>
      <c r="AZ780" s="113"/>
      <c r="BA780" s="113"/>
      <c r="BB780" s="113"/>
      <c r="BC780" s="113"/>
      <c r="BD780" s="113"/>
      <c r="BE780" s="113"/>
      <c r="BF780" s="113"/>
      <c r="BG780" s="113"/>
      <c r="BH780" s="113"/>
      <c r="BI780" s="113"/>
      <c r="BJ780" s="113"/>
      <c r="BK780" s="113"/>
      <c r="BL780" s="113"/>
      <c r="BM780" s="113"/>
      <c r="BN780" s="113"/>
      <c r="BO780" s="113"/>
      <c r="BP780" s="113"/>
      <c r="BQ780" s="113"/>
      <c r="BR780" s="113"/>
      <c r="BS780" s="113"/>
      <c r="BT780" s="113"/>
      <c r="BU780" s="113"/>
      <c r="BV780" s="113"/>
      <c r="BW780" s="113"/>
      <c r="BX780" s="113"/>
      <c r="BY780" s="113"/>
      <c r="BZ780" s="113"/>
      <c r="CA780" s="113"/>
      <c r="CB780" s="113"/>
      <c r="CC780" s="113"/>
      <c r="CD780" s="113"/>
      <c r="CE780" s="113"/>
      <c r="CF780" s="113"/>
      <c r="CG780" s="113"/>
      <c r="CH780" s="113"/>
      <c r="CI780" s="113"/>
      <c r="CJ780" s="113"/>
      <c r="CK780" s="113"/>
      <c r="CL780" s="113"/>
      <c r="CM780" s="113"/>
      <c r="CN780" s="113"/>
      <c r="CO780" s="113"/>
      <c r="CP780" s="113"/>
      <c r="CQ780" s="113"/>
      <c r="CR780" s="113"/>
      <c r="CS780" s="113"/>
      <c r="CT780" s="113"/>
      <c r="CU780" s="113"/>
    </row>
    <row r="781">
      <c r="A781" s="159"/>
      <c r="B781" s="113"/>
      <c r="C781" s="113"/>
      <c r="D781" s="158"/>
      <c r="E781" s="161"/>
      <c r="F781" s="160"/>
      <c r="G781" s="162"/>
      <c r="H781" s="159"/>
      <c r="I781" s="113"/>
      <c r="J781" s="113"/>
      <c r="K781" s="113"/>
      <c r="L781" s="158"/>
      <c r="M781" s="113"/>
      <c r="N781" s="113"/>
      <c r="O781" s="113"/>
      <c r="P781" s="113"/>
      <c r="Q781" s="113"/>
      <c r="R781" s="113"/>
      <c r="S781" s="113"/>
      <c r="T781" s="113"/>
      <c r="U781" s="113"/>
      <c r="V781" s="113"/>
      <c r="W781" s="113"/>
      <c r="X781" s="113"/>
      <c r="Y781" s="113"/>
      <c r="Z781" s="113"/>
      <c r="AA781" s="113"/>
      <c r="AB781" s="113"/>
      <c r="AC781" s="113"/>
      <c r="AD781" s="113"/>
      <c r="AE781" s="113"/>
      <c r="AF781" s="113"/>
      <c r="AG781" s="113"/>
      <c r="AH781" s="113"/>
      <c r="AI781" s="113"/>
      <c r="AJ781" s="113"/>
      <c r="AK781" s="113"/>
      <c r="AL781" s="113"/>
      <c r="AM781" s="113"/>
      <c r="AN781" s="113"/>
      <c r="AO781" s="113"/>
      <c r="AP781" s="113"/>
      <c r="AQ781" s="113"/>
      <c r="AR781" s="113"/>
      <c r="AS781" s="113"/>
      <c r="AT781" s="113"/>
      <c r="AU781" s="113"/>
      <c r="AV781" s="113"/>
      <c r="AW781" s="113"/>
      <c r="AX781" s="113"/>
      <c r="AY781" s="113"/>
      <c r="AZ781" s="113"/>
      <c r="BA781" s="113"/>
      <c r="BB781" s="113"/>
      <c r="BC781" s="113"/>
      <c r="BD781" s="113"/>
      <c r="BE781" s="113"/>
      <c r="BF781" s="113"/>
      <c r="BG781" s="113"/>
      <c r="BH781" s="113"/>
      <c r="BI781" s="113"/>
      <c r="BJ781" s="113"/>
      <c r="BK781" s="113"/>
      <c r="BL781" s="113"/>
      <c r="BM781" s="113"/>
      <c r="BN781" s="113"/>
      <c r="BO781" s="113"/>
      <c r="BP781" s="113"/>
      <c r="BQ781" s="113"/>
      <c r="BR781" s="113"/>
      <c r="BS781" s="113"/>
      <c r="BT781" s="113"/>
      <c r="BU781" s="113"/>
      <c r="BV781" s="113"/>
      <c r="BW781" s="113"/>
      <c r="BX781" s="113"/>
      <c r="BY781" s="113"/>
      <c r="BZ781" s="113"/>
      <c r="CA781" s="113"/>
      <c r="CB781" s="113"/>
      <c r="CC781" s="113"/>
      <c r="CD781" s="113"/>
      <c r="CE781" s="113"/>
      <c r="CF781" s="113"/>
      <c r="CG781" s="113"/>
      <c r="CH781" s="113"/>
      <c r="CI781" s="113"/>
      <c r="CJ781" s="113"/>
      <c r="CK781" s="113"/>
      <c r="CL781" s="113"/>
      <c r="CM781" s="113"/>
      <c r="CN781" s="113"/>
      <c r="CO781" s="113"/>
      <c r="CP781" s="113"/>
      <c r="CQ781" s="113"/>
      <c r="CR781" s="113"/>
      <c r="CS781" s="113"/>
      <c r="CT781" s="113"/>
      <c r="CU781" s="113"/>
    </row>
    <row r="782">
      <c r="A782" s="159"/>
      <c r="B782" s="113"/>
      <c r="C782" s="113"/>
      <c r="D782" s="158"/>
      <c r="E782" s="161"/>
      <c r="F782" s="160"/>
      <c r="G782" s="162"/>
      <c r="H782" s="159"/>
      <c r="I782" s="113"/>
      <c r="J782" s="113"/>
      <c r="K782" s="113"/>
      <c r="L782" s="158"/>
      <c r="M782" s="113"/>
      <c r="N782" s="113"/>
      <c r="O782" s="113"/>
      <c r="P782" s="113"/>
      <c r="Q782" s="113"/>
      <c r="R782" s="113"/>
      <c r="S782" s="113"/>
      <c r="T782" s="113"/>
      <c r="U782" s="113"/>
      <c r="V782" s="113"/>
      <c r="W782" s="113"/>
      <c r="X782" s="113"/>
      <c r="Y782" s="113"/>
      <c r="Z782" s="113"/>
      <c r="AA782" s="113"/>
      <c r="AB782" s="113"/>
      <c r="AC782" s="113"/>
      <c r="AD782" s="113"/>
      <c r="AE782" s="113"/>
      <c r="AF782" s="113"/>
      <c r="AG782" s="113"/>
      <c r="AH782" s="113"/>
      <c r="AI782" s="113"/>
      <c r="AJ782" s="113"/>
      <c r="AK782" s="113"/>
      <c r="AL782" s="113"/>
      <c r="AM782" s="113"/>
      <c r="AN782" s="113"/>
      <c r="AO782" s="113"/>
      <c r="AP782" s="113"/>
      <c r="AQ782" s="113"/>
      <c r="AR782" s="113"/>
      <c r="AS782" s="113"/>
      <c r="AT782" s="113"/>
      <c r="AU782" s="113"/>
      <c r="AV782" s="113"/>
      <c r="AW782" s="113"/>
      <c r="AX782" s="113"/>
      <c r="AY782" s="113"/>
      <c r="AZ782" s="113"/>
      <c r="BA782" s="113"/>
      <c r="BB782" s="113"/>
      <c r="BC782" s="113"/>
      <c r="BD782" s="113"/>
      <c r="BE782" s="113"/>
      <c r="BF782" s="113"/>
      <c r="BG782" s="113"/>
      <c r="BH782" s="113"/>
      <c r="BI782" s="113"/>
      <c r="BJ782" s="113"/>
      <c r="BK782" s="113"/>
      <c r="BL782" s="113"/>
      <c r="BM782" s="113"/>
      <c r="BN782" s="113"/>
      <c r="BO782" s="113"/>
      <c r="BP782" s="113"/>
      <c r="BQ782" s="113"/>
      <c r="BR782" s="113"/>
      <c r="BS782" s="113"/>
      <c r="BT782" s="113"/>
      <c r="BU782" s="113"/>
      <c r="BV782" s="113"/>
      <c r="BW782" s="113"/>
      <c r="BX782" s="113"/>
      <c r="BY782" s="113"/>
      <c r="BZ782" s="113"/>
      <c r="CA782" s="113"/>
      <c r="CB782" s="113"/>
      <c r="CC782" s="113"/>
      <c r="CD782" s="113"/>
      <c r="CE782" s="113"/>
      <c r="CF782" s="113"/>
      <c r="CG782" s="113"/>
      <c r="CH782" s="113"/>
      <c r="CI782" s="113"/>
      <c r="CJ782" s="113"/>
      <c r="CK782" s="113"/>
      <c r="CL782" s="113"/>
      <c r="CM782" s="113"/>
      <c r="CN782" s="113"/>
      <c r="CO782" s="113"/>
      <c r="CP782" s="113"/>
      <c r="CQ782" s="113"/>
      <c r="CR782" s="113"/>
      <c r="CS782" s="113"/>
      <c r="CT782" s="113"/>
      <c r="CU782" s="113"/>
    </row>
    <row r="783">
      <c r="A783" s="159"/>
      <c r="B783" s="113"/>
      <c r="C783" s="113"/>
      <c r="D783" s="158"/>
      <c r="E783" s="161"/>
      <c r="F783" s="160"/>
      <c r="G783" s="162"/>
      <c r="H783" s="159"/>
      <c r="I783" s="113"/>
      <c r="J783" s="113"/>
      <c r="K783" s="113"/>
      <c r="L783" s="158"/>
      <c r="M783" s="113"/>
      <c r="N783" s="113"/>
      <c r="O783" s="113"/>
      <c r="P783" s="113"/>
      <c r="Q783" s="113"/>
      <c r="R783" s="113"/>
      <c r="S783" s="113"/>
      <c r="T783" s="113"/>
      <c r="U783" s="113"/>
      <c r="V783" s="113"/>
      <c r="W783" s="113"/>
      <c r="X783" s="113"/>
      <c r="Y783" s="113"/>
      <c r="Z783" s="113"/>
      <c r="AA783" s="113"/>
      <c r="AB783" s="113"/>
      <c r="AC783" s="113"/>
      <c r="AD783" s="113"/>
      <c r="AE783" s="113"/>
      <c r="AF783" s="113"/>
      <c r="AG783" s="113"/>
      <c r="AH783" s="113"/>
      <c r="AI783" s="113"/>
      <c r="AJ783" s="113"/>
      <c r="AK783" s="113"/>
      <c r="AL783" s="113"/>
      <c r="AM783" s="113"/>
      <c r="AN783" s="113"/>
      <c r="AO783" s="113"/>
      <c r="AP783" s="113"/>
      <c r="AQ783" s="113"/>
      <c r="AR783" s="113"/>
      <c r="AS783" s="113"/>
      <c r="AT783" s="113"/>
      <c r="AU783" s="113"/>
      <c r="AV783" s="113"/>
      <c r="AW783" s="113"/>
      <c r="AX783" s="113"/>
      <c r="AY783" s="113"/>
      <c r="AZ783" s="113"/>
      <c r="BA783" s="113"/>
      <c r="BB783" s="113"/>
      <c r="BC783" s="113"/>
      <c r="BD783" s="113"/>
      <c r="BE783" s="113"/>
      <c r="BF783" s="113"/>
      <c r="BG783" s="113"/>
      <c r="BH783" s="113"/>
      <c r="BI783" s="113"/>
      <c r="BJ783" s="113"/>
      <c r="BK783" s="113"/>
      <c r="BL783" s="113"/>
      <c r="BM783" s="113"/>
      <c r="BN783" s="113"/>
      <c r="BO783" s="113"/>
      <c r="BP783" s="113"/>
      <c r="BQ783" s="113"/>
      <c r="BR783" s="113"/>
      <c r="BS783" s="113"/>
      <c r="BT783" s="113"/>
      <c r="BU783" s="113"/>
      <c r="BV783" s="113"/>
      <c r="BW783" s="113"/>
      <c r="BX783" s="113"/>
      <c r="BY783" s="113"/>
      <c r="BZ783" s="113"/>
      <c r="CA783" s="113"/>
      <c r="CB783" s="113"/>
      <c r="CC783" s="113"/>
      <c r="CD783" s="113"/>
      <c r="CE783" s="113"/>
      <c r="CF783" s="113"/>
      <c r="CG783" s="113"/>
      <c r="CH783" s="113"/>
      <c r="CI783" s="113"/>
      <c r="CJ783" s="113"/>
      <c r="CK783" s="113"/>
      <c r="CL783" s="113"/>
      <c r="CM783" s="113"/>
      <c r="CN783" s="113"/>
      <c r="CO783" s="113"/>
      <c r="CP783" s="113"/>
      <c r="CQ783" s="113"/>
      <c r="CR783" s="113"/>
      <c r="CS783" s="113"/>
      <c r="CT783" s="113"/>
      <c r="CU783" s="113"/>
    </row>
    <row r="784">
      <c r="A784" s="159"/>
      <c r="B784" s="113"/>
      <c r="C784" s="113"/>
      <c r="D784" s="158"/>
      <c r="E784" s="161"/>
      <c r="F784" s="160"/>
      <c r="G784" s="162"/>
      <c r="H784" s="159"/>
      <c r="I784" s="113"/>
      <c r="J784" s="113"/>
      <c r="K784" s="113"/>
      <c r="L784" s="158"/>
      <c r="M784" s="113"/>
      <c r="N784" s="113"/>
      <c r="O784" s="113"/>
      <c r="P784" s="113"/>
      <c r="Q784" s="113"/>
      <c r="R784" s="113"/>
      <c r="S784" s="113"/>
      <c r="T784" s="113"/>
      <c r="U784" s="113"/>
      <c r="V784" s="113"/>
      <c r="W784" s="113"/>
      <c r="X784" s="113"/>
      <c r="Y784" s="113"/>
      <c r="Z784" s="113"/>
      <c r="AA784" s="113"/>
      <c r="AB784" s="113"/>
      <c r="AC784" s="113"/>
      <c r="AD784" s="113"/>
      <c r="AE784" s="113"/>
      <c r="AF784" s="113"/>
      <c r="AG784" s="113"/>
      <c r="AH784" s="113"/>
      <c r="AI784" s="113"/>
      <c r="AJ784" s="113"/>
      <c r="AK784" s="113"/>
      <c r="AL784" s="113"/>
      <c r="AM784" s="113"/>
      <c r="AN784" s="113"/>
      <c r="AO784" s="113"/>
      <c r="AP784" s="113"/>
      <c r="AQ784" s="113"/>
      <c r="AR784" s="113"/>
      <c r="AS784" s="113"/>
      <c r="AT784" s="113"/>
      <c r="AU784" s="113"/>
      <c r="AV784" s="113"/>
      <c r="AW784" s="113"/>
      <c r="AX784" s="113"/>
      <c r="AY784" s="113"/>
      <c r="AZ784" s="113"/>
      <c r="BA784" s="113"/>
      <c r="BB784" s="113"/>
      <c r="BC784" s="113"/>
      <c r="BD784" s="113"/>
      <c r="BE784" s="113"/>
      <c r="BF784" s="113"/>
      <c r="BG784" s="113"/>
      <c r="BH784" s="113"/>
      <c r="BI784" s="113"/>
      <c r="BJ784" s="113"/>
      <c r="BK784" s="113"/>
      <c r="BL784" s="113"/>
      <c r="BM784" s="113"/>
      <c r="BN784" s="113"/>
      <c r="BO784" s="113"/>
      <c r="BP784" s="113"/>
      <c r="BQ784" s="113"/>
      <c r="BR784" s="113"/>
      <c r="BS784" s="113"/>
      <c r="BT784" s="113"/>
      <c r="BU784" s="113"/>
      <c r="BV784" s="113"/>
      <c r="BW784" s="113"/>
      <c r="BX784" s="113"/>
      <c r="BY784" s="113"/>
      <c r="BZ784" s="113"/>
      <c r="CA784" s="113"/>
      <c r="CB784" s="113"/>
      <c r="CC784" s="113"/>
      <c r="CD784" s="113"/>
      <c r="CE784" s="113"/>
      <c r="CF784" s="113"/>
      <c r="CG784" s="113"/>
      <c r="CH784" s="113"/>
      <c r="CI784" s="113"/>
      <c r="CJ784" s="113"/>
      <c r="CK784" s="113"/>
      <c r="CL784" s="113"/>
      <c r="CM784" s="113"/>
      <c r="CN784" s="113"/>
      <c r="CO784" s="113"/>
      <c r="CP784" s="113"/>
      <c r="CQ784" s="113"/>
      <c r="CR784" s="113"/>
      <c r="CS784" s="113"/>
      <c r="CT784" s="113"/>
      <c r="CU784" s="113"/>
    </row>
    <row r="785">
      <c r="A785" s="159"/>
      <c r="B785" s="113"/>
      <c r="C785" s="113"/>
      <c r="D785" s="158"/>
      <c r="E785" s="161"/>
      <c r="F785" s="160"/>
      <c r="G785" s="162"/>
      <c r="H785" s="159"/>
      <c r="I785" s="113"/>
      <c r="J785" s="113"/>
      <c r="K785" s="113"/>
      <c r="L785" s="158"/>
      <c r="M785" s="113"/>
      <c r="N785" s="113"/>
      <c r="O785" s="113"/>
      <c r="P785" s="113"/>
      <c r="Q785" s="113"/>
      <c r="R785" s="113"/>
      <c r="S785" s="113"/>
      <c r="T785" s="113"/>
      <c r="U785" s="113"/>
      <c r="V785" s="113"/>
      <c r="W785" s="113"/>
      <c r="X785" s="113"/>
      <c r="Y785" s="113"/>
      <c r="Z785" s="113"/>
      <c r="AA785" s="113"/>
      <c r="AB785" s="113"/>
      <c r="AC785" s="113"/>
      <c r="AD785" s="113"/>
      <c r="AE785" s="113"/>
      <c r="AF785" s="113"/>
      <c r="AG785" s="113"/>
      <c r="AH785" s="113"/>
      <c r="AI785" s="113"/>
      <c r="AJ785" s="113"/>
      <c r="AK785" s="113"/>
      <c r="AL785" s="113"/>
      <c r="AM785" s="113"/>
      <c r="AN785" s="113"/>
      <c r="AO785" s="113"/>
      <c r="AP785" s="113"/>
      <c r="AQ785" s="113"/>
      <c r="AR785" s="113"/>
      <c r="AS785" s="113"/>
      <c r="AT785" s="113"/>
      <c r="AU785" s="113"/>
      <c r="AV785" s="113"/>
      <c r="AW785" s="113"/>
      <c r="AX785" s="113"/>
      <c r="AY785" s="113"/>
      <c r="AZ785" s="113"/>
      <c r="BA785" s="113"/>
      <c r="BB785" s="113"/>
      <c r="BC785" s="113"/>
      <c r="BD785" s="113"/>
      <c r="BE785" s="113"/>
      <c r="BF785" s="113"/>
      <c r="BG785" s="113"/>
      <c r="BH785" s="113"/>
      <c r="BI785" s="113"/>
      <c r="BJ785" s="113"/>
      <c r="BK785" s="113"/>
      <c r="BL785" s="113"/>
      <c r="BM785" s="113"/>
      <c r="BN785" s="113"/>
      <c r="BO785" s="113"/>
      <c r="BP785" s="113"/>
      <c r="BQ785" s="113"/>
      <c r="BR785" s="113"/>
      <c r="BS785" s="113"/>
      <c r="BT785" s="113"/>
      <c r="BU785" s="113"/>
      <c r="BV785" s="113"/>
      <c r="BW785" s="113"/>
      <c r="BX785" s="113"/>
      <c r="BY785" s="113"/>
      <c r="BZ785" s="113"/>
      <c r="CA785" s="113"/>
      <c r="CB785" s="113"/>
      <c r="CC785" s="113"/>
      <c r="CD785" s="113"/>
      <c r="CE785" s="113"/>
      <c r="CF785" s="113"/>
      <c r="CG785" s="113"/>
      <c r="CH785" s="113"/>
      <c r="CI785" s="113"/>
      <c r="CJ785" s="113"/>
      <c r="CK785" s="113"/>
      <c r="CL785" s="113"/>
      <c r="CM785" s="113"/>
      <c r="CN785" s="113"/>
      <c r="CO785" s="113"/>
      <c r="CP785" s="113"/>
      <c r="CQ785" s="113"/>
      <c r="CR785" s="113"/>
      <c r="CS785" s="113"/>
      <c r="CT785" s="113"/>
      <c r="CU785" s="113"/>
    </row>
    <row r="786">
      <c r="A786" s="159"/>
      <c r="B786" s="113"/>
      <c r="C786" s="113"/>
      <c r="D786" s="158"/>
      <c r="E786" s="161"/>
      <c r="F786" s="160"/>
      <c r="G786" s="162"/>
      <c r="H786" s="159"/>
      <c r="I786" s="113"/>
      <c r="J786" s="113"/>
      <c r="K786" s="113"/>
      <c r="L786" s="158"/>
      <c r="M786" s="113"/>
      <c r="N786" s="113"/>
      <c r="O786" s="113"/>
      <c r="P786" s="113"/>
      <c r="Q786" s="113"/>
      <c r="R786" s="113"/>
      <c r="S786" s="113"/>
      <c r="T786" s="113"/>
      <c r="U786" s="113"/>
      <c r="V786" s="113"/>
      <c r="W786" s="113"/>
      <c r="X786" s="113"/>
      <c r="Y786" s="113"/>
      <c r="Z786" s="113"/>
      <c r="AA786" s="113"/>
      <c r="AB786" s="113"/>
      <c r="AC786" s="113"/>
      <c r="AD786" s="113"/>
      <c r="AE786" s="113"/>
      <c r="AF786" s="113"/>
      <c r="AG786" s="113"/>
      <c r="AH786" s="113"/>
      <c r="AI786" s="113"/>
      <c r="AJ786" s="113"/>
      <c r="AK786" s="113"/>
      <c r="AL786" s="113"/>
      <c r="AM786" s="113"/>
      <c r="AN786" s="113"/>
      <c r="AO786" s="113"/>
      <c r="AP786" s="113"/>
      <c r="AQ786" s="113"/>
      <c r="AR786" s="113"/>
      <c r="AS786" s="113"/>
      <c r="AT786" s="113"/>
      <c r="AU786" s="113"/>
      <c r="AV786" s="113"/>
      <c r="AW786" s="113"/>
      <c r="AX786" s="113"/>
      <c r="AY786" s="113"/>
      <c r="AZ786" s="113"/>
      <c r="BA786" s="113"/>
      <c r="BB786" s="113"/>
      <c r="BC786" s="113"/>
      <c r="BD786" s="113"/>
      <c r="BE786" s="113"/>
      <c r="BF786" s="113"/>
      <c r="BG786" s="113"/>
      <c r="BH786" s="113"/>
      <c r="BI786" s="113"/>
      <c r="BJ786" s="113"/>
      <c r="BK786" s="113"/>
      <c r="BL786" s="113"/>
      <c r="BM786" s="113"/>
      <c r="BN786" s="113"/>
      <c r="BO786" s="113"/>
      <c r="BP786" s="113"/>
      <c r="BQ786" s="113"/>
      <c r="BR786" s="113"/>
      <c r="BS786" s="113"/>
      <c r="BT786" s="113"/>
      <c r="BU786" s="113"/>
      <c r="BV786" s="113"/>
      <c r="BW786" s="113"/>
      <c r="BX786" s="113"/>
      <c r="BY786" s="113"/>
      <c r="BZ786" s="113"/>
      <c r="CA786" s="113"/>
      <c r="CB786" s="113"/>
      <c r="CC786" s="113"/>
      <c r="CD786" s="113"/>
      <c r="CE786" s="113"/>
      <c r="CF786" s="113"/>
      <c r="CG786" s="113"/>
      <c r="CH786" s="113"/>
      <c r="CI786" s="113"/>
      <c r="CJ786" s="113"/>
      <c r="CK786" s="113"/>
      <c r="CL786" s="113"/>
      <c r="CM786" s="113"/>
      <c r="CN786" s="113"/>
      <c r="CO786" s="113"/>
      <c r="CP786" s="113"/>
      <c r="CQ786" s="113"/>
      <c r="CR786" s="113"/>
      <c r="CS786" s="113"/>
      <c r="CT786" s="113"/>
      <c r="CU786" s="113"/>
    </row>
    <row r="787">
      <c r="A787" s="159"/>
      <c r="B787" s="113"/>
      <c r="C787" s="113"/>
      <c r="D787" s="158"/>
      <c r="E787" s="161"/>
      <c r="F787" s="160"/>
      <c r="G787" s="162"/>
      <c r="H787" s="159"/>
      <c r="I787" s="113"/>
      <c r="J787" s="113"/>
      <c r="K787" s="113"/>
      <c r="L787" s="158"/>
      <c r="M787" s="113"/>
      <c r="N787" s="113"/>
      <c r="O787" s="113"/>
      <c r="P787" s="113"/>
      <c r="Q787" s="113"/>
      <c r="R787" s="113"/>
      <c r="S787" s="113"/>
      <c r="T787" s="113"/>
      <c r="U787" s="113"/>
      <c r="V787" s="113"/>
      <c r="W787" s="113"/>
      <c r="X787" s="113"/>
      <c r="Y787" s="113"/>
      <c r="Z787" s="113"/>
      <c r="AA787" s="113"/>
      <c r="AB787" s="113"/>
      <c r="AC787" s="113"/>
      <c r="AD787" s="113"/>
      <c r="AE787" s="113"/>
      <c r="AF787" s="113"/>
      <c r="AG787" s="113"/>
      <c r="AH787" s="113"/>
      <c r="AI787" s="113"/>
      <c r="AJ787" s="113"/>
      <c r="AK787" s="113"/>
      <c r="AL787" s="113"/>
      <c r="AM787" s="113"/>
      <c r="AN787" s="113"/>
      <c r="AO787" s="113"/>
      <c r="AP787" s="113"/>
      <c r="AQ787" s="113"/>
      <c r="AR787" s="113"/>
      <c r="AS787" s="113"/>
      <c r="AT787" s="113"/>
      <c r="AU787" s="113"/>
      <c r="AV787" s="113"/>
      <c r="AW787" s="113"/>
      <c r="AX787" s="113"/>
      <c r="AY787" s="113"/>
      <c r="AZ787" s="113"/>
      <c r="BA787" s="113"/>
      <c r="BB787" s="113"/>
      <c r="BC787" s="113"/>
      <c r="BD787" s="113"/>
      <c r="BE787" s="113"/>
      <c r="BF787" s="113"/>
      <c r="BG787" s="113"/>
      <c r="BH787" s="113"/>
      <c r="BI787" s="113"/>
      <c r="BJ787" s="113"/>
      <c r="BK787" s="113"/>
      <c r="BL787" s="113"/>
      <c r="BM787" s="113"/>
      <c r="BN787" s="113"/>
      <c r="BO787" s="113"/>
      <c r="BP787" s="113"/>
      <c r="BQ787" s="113"/>
      <c r="BR787" s="113"/>
      <c r="BS787" s="113"/>
      <c r="BT787" s="113"/>
      <c r="BU787" s="113"/>
      <c r="BV787" s="113"/>
      <c r="BW787" s="113"/>
      <c r="BX787" s="113"/>
      <c r="BY787" s="113"/>
      <c r="BZ787" s="113"/>
      <c r="CA787" s="113"/>
      <c r="CB787" s="113"/>
      <c r="CC787" s="113"/>
      <c r="CD787" s="113"/>
      <c r="CE787" s="113"/>
      <c r="CF787" s="113"/>
      <c r="CG787" s="113"/>
      <c r="CH787" s="113"/>
      <c r="CI787" s="113"/>
      <c r="CJ787" s="113"/>
      <c r="CK787" s="113"/>
      <c r="CL787" s="113"/>
      <c r="CM787" s="113"/>
      <c r="CN787" s="113"/>
      <c r="CO787" s="113"/>
      <c r="CP787" s="113"/>
      <c r="CQ787" s="113"/>
      <c r="CR787" s="113"/>
      <c r="CS787" s="113"/>
      <c r="CT787" s="113"/>
      <c r="CU787" s="113"/>
    </row>
    <row r="788">
      <c r="A788" s="159"/>
      <c r="B788" s="113"/>
      <c r="C788" s="113"/>
      <c r="D788" s="158"/>
      <c r="E788" s="161"/>
      <c r="F788" s="160"/>
      <c r="G788" s="162"/>
      <c r="H788" s="159"/>
      <c r="I788" s="113"/>
      <c r="J788" s="113"/>
      <c r="K788" s="113"/>
      <c r="L788" s="158"/>
      <c r="M788" s="113"/>
      <c r="N788" s="113"/>
      <c r="O788" s="113"/>
      <c r="P788" s="113"/>
      <c r="Q788" s="113"/>
      <c r="R788" s="113"/>
      <c r="S788" s="113"/>
      <c r="T788" s="113"/>
      <c r="U788" s="113"/>
      <c r="V788" s="113"/>
      <c r="W788" s="113"/>
      <c r="X788" s="113"/>
      <c r="Y788" s="113"/>
      <c r="Z788" s="113"/>
      <c r="AA788" s="113"/>
      <c r="AB788" s="113"/>
      <c r="AC788" s="113"/>
      <c r="AD788" s="113"/>
      <c r="AE788" s="113"/>
      <c r="AF788" s="113"/>
      <c r="AG788" s="113"/>
      <c r="AH788" s="113"/>
      <c r="AI788" s="113"/>
      <c r="AJ788" s="113"/>
      <c r="AK788" s="113"/>
      <c r="AL788" s="113"/>
      <c r="AM788" s="113"/>
      <c r="AN788" s="113"/>
      <c r="AO788" s="113"/>
      <c r="AP788" s="113"/>
      <c r="AQ788" s="113"/>
      <c r="AR788" s="113"/>
      <c r="AS788" s="113"/>
      <c r="AT788" s="113"/>
      <c r="AU788" s="113"/>
      <c r="AV788" s="113"/>
      <c r="AW788" s="113"/>
      <c r="AX788" s="113"/>
      <c r="AY788" s="113"/>
      <c r="AZ788" s="113"/>
      <c r="BA788" s="113"/>
      <c r="BB788" s="113"/>
      <c r="BC788" s="113"/>
      <c r="BD788" s="113"/>
      <c r="BE788" s="113"/>
      <c r="BF788" s="113"/>
      <c r="BG788" s="113"/>
      <c r="BH788" s="113"/>
      <c r="BI788" s="113"/>
      <c r="BJ788" s="113"/>
      <c r="BK788" s="113"/>
      <c r="BL788" s="113"/>
      <c r="BM788" s="113"/>
      <c r="BN788" s="113"/>
      <c r="BO788" s="113"/>
      <c r="BP788" s="113"/>
      <c r="BQ788" s="113"/>
      <c r="BR788" s="113"/>
      <c r="BS788" s="113"/>
      <c r="BT788" s="113"/>
      <c r="BU788" s="113"/>
      <c r="BV788" s="113"/>
      <c r="BW788" s="113"/>
      <c r="BX788" s="113"/>
      <c r="BY788" s="113"/>
      <c r="BZ788" s="113"/>
      <c r="CA788" s="113"/>
      <c r="CB788" s="113"/>
      <c r="CC788" s="113"/>
      <c r="CD788" s="113"/>
      <c r="CE788" s="113"/>
      <c r="CF788" s="113"/>
      <c r="CG788" s="113"/>
      <c r="CH788" s="113"/>
      <c r="CI788" s="113"/>
      <c r="CJ788" s="113"/>
      <c r="CK788" s="113"/>
      <c r="CL788" s="113"/>
      <c r="CM788" s="113"/>
      <c r="CN788" s="113"/>
      <c r="CO788" s="113"/>
      <c r="CP788" s="113"/>
      <c r="CQ788" s="113"/>
      <c r="CR788" s="113"/>
      <c r="CS788" s="113"/>
      <c r="CT788" s="113"/>
      <c r="CU788" s="113"/>
    </row>
    <row r="789">
      <c r="A789" s="159"/>
      <c r="B789" s="113"/>
      <c r="C789" s="113"/>
      <c r="D789" s="158"/>
      <c r="E789" s="161"/>
      <c r="F789" s="160"/>
      <c r="G789" s="162"/>
      <c r="H789" s="159"/>
      <c r="I789" s="113"/>
      <c r="J789" s="113"/>
      <c r="K789" s="113"/>
      <c r="L789" s="158"/>
      <c r="M789" s="113"/>
      <c r="N789" s="113"/>
      <c r="O789" s="113"/>
      <c r="P789" s="113"/>
      <c r="Q789" s="113"/>
      <c r="R789" s="113"/>
      <c r="S789" s="113"/>
      <c r="T789" s="113"/>
      <c r="U789" s="113"/>
      <c r="V789" s="113"/>
      <c r="W789" s="113"/>
      <c r="X789" s="113"/>
      <c r="Y789" s="113"/>
      <c r="Z789" s="113"/>
      <c r="AA789" s="113"/>
      <c r="AB789" s="113"/>
      <c r="AC789" s="113"/>
      <c r="AD789" s="113"/>
      <c r="AE789" s="113"/>
      <c r="AF789" s="113"/>
      <c r="AG789" s="113"/>
      <c r="AH789" s="113"/>
      <c r="AI789" s="113"/>
      <c r="AJ789" s="113"/>
      <c r="AK789" s="113"/>
      <c r="AL789" s="113"/>
      <c r="AM789" s="113"/>
      <c r="AN789" s="113"/>
      <c r="AO789" s="113"/>
      <c r="AP789" s="113"/>
      <c r="AQ789" s="113"/>
      <c r="AR789" s="113"/>
      <c r="AS789" s="113"/>
      <c r="AT789" s="113"/>
      <c r="AU789" s="113"/>
      <c r="AV789" s="113"/>
      <c r="AW789" s="113"/>
      <c r="AX789" s="113"/>
      <c r="AY789" s="113"/>
      <c r="AZ789" s="113"/>
      <c r="BA789" s="113"/>
      <c r="BB789" s="113"/>
      <c r="BC789" s="113"/>
      <c r="BD789" s="113"/>
      <c r="BE789" s="113"/>
      <c r="BF789" s="113"/>
      <c r="BG789" s="113"/>
      <c r="BH789" s="113"/>
      <c r="BI789" s="113"/>
      <c r="BJ789" s="113"/>
      <c r="BK789" s="113"/>
      <c r="BL789" s="113"/>
      <c r="BM789" s="113"/>
      <c r="BN789" s="113"/>
      <c r="BO789" s="113"/>
      <c r="BP789" s="113"/>
      <c r="BQ789" s="113"/>
      <c r="BR789" s="113"/>
      <c r="BS789" s="113"/>
      <c r="BT789" s="113"/>
      <c r="BU789" s="113"/>
      <c r="BV789" s="113"/>
      <c r="BW789" s="113"/>
      <c r="BX789" s="113"/>
      <c r="BY789" s="113"/>
      <c r="BZ789" s="113"/>
      <c r="CA789" s="113"/>
      <c r="CB789" s="113"/>
      <c r="CC789" s="113"/>
      <c r="CD789" s="113"/>
      <c r="CE789" s="113"/>
      <c r="CF789" s="113"/>
      <c r="CG789" s="113"/>
      <c r="CH789" s="113"/>
      <c r="CI789" s="113"/>
      <c r="CJ789" s="113"/>
      <c r="CK789" s="113"/>
      <c r="CL789" s="113"/>
      <c r="CM789" s="113"/>
      <c r="CN789" s="113"/>
      <c r="CO789" s="113"/>
      <c r="CP789" s="113"/>
      <c r="CQ789" s="113"/>
      <c r="CR789" s="113"/>
      <c r="CS789" s="113"/>
      <c r="CT789" s="113"/>
      <c r="CU789" s="113"/>
    </row>
    <row r="790">
      <c r="A790" s="159"/>
      <c r="B790" s="113"/>
      <c r="C790" s="113"/>
      <c r="D790" s="158"/>
      <c r="E790" s="161"/>
      <c r="F790" s="160"/>
      <c r="G790" s="162"/>
      <c r="H790" s="159"/>
      <c r="I790" s="113"/>
      <c r="J790" s="113"/>
      <c r="K790" s="113"/>
      <c r="L790" s="158"/>
      <c r="M790" s="113"/>
      <c r="N790" s="113"/>
      <c r="O790" s="113"/>
      <c r="P790" s="113"/>
      <c r="Q790" s="113"/>
      <c r="R790" s="113"/>
      <c r="S790" s="113"/>
      <c r="T790" s="113"/>
      <c r="U790" s="113"/>
      <c r="V790" s="113"/>
      <c r="W790" s="113"/>
      <c r="X790" s="113"/>
      <c r="Y790" s="113"/>
      <c r="Z790" s="113"/>
      <c r="AA790" s="113"/>
      <c r="AB790" s="113"/>
      <c r="AC790" s="113"/>
      <c r="AD790" s="113"/>
      <c r="AE790" s="113"/>
      <c r="AF790" s="113"/>
      <c r="AG790" s="113"/>
      <c r="AH790" s="113"/>
      <c r="AI790" s="113"/>
      <c r="AJ790" s="113"/>
      <c r="AK790" s="113"/>
      <c r="AL790" s="113"/>
      <c r="AM790" s="113"/>
      <c r="AN790" s="113"/>
      <c r="AO790" s="113"/>
      <c r="AP790" s="113"/>
      <c r="AQ790" s="113"/>
      <c r="AR790" s="113"/>
      <c r="AS790" s="113"/>
      <c r="AT790" s="113"/>
      <c r="AU790" s="113"/>
      <c r="AV790" s="113"/>
      <c r="AW790" s="113"/>
      <c r="AX790" s="113"/>
      <c r="AY790" s="113"/>
      <c r="AZ790" s="113"/>
      <c r="BA790" s="113"/>
      <c r="BB790" s="113"/>
      <c r="BC790" s="113"/>
      <c r="BD790" s="113"/>
      <c r="BE790" s="113"/>
      <c r="BF790" s="113"/>
      <c r="BG790" s="113"/>
      <c r="BH790" s="113"/>
      <c r="BI790" s="113"/>
      <c r="BJ790" s="113"/>
      <c r="BK790" s="113"/>
      <c r="BL790" s="113"/>
      <c r="BM790" s="113"/>
      <c r="BN790" s="113"/>
      <c r="BO790" s="113"/>
      <c r="BP790" s="113"/>
      <c r="BQ790" s="113"/>
      <c r="BR790" s="113"/>
      <c r="BS790" s="113"/>
      <c r="BT790" s="113"/>
      <c r="BU790" s="113"/>
      <c r="BV790" s="113"/>
      <c r="BW790" s="113"/>
      <c r="BX790" s="113"/>
      <c r="BY790" s="113"/>
      <c r="BZ790" s="113"/>
      <c r="CA790" s="113"/>
      <c r="CB790" s="113"/>
      <c r="CC790" s="113"/>
      <c r="CD790" s="113"/>
      <c r="CE790" s="113"/>
      <c r="CF790" s="113"/>
      <c r="CG790" s="113"/>
      <c r="CH790" s="113"/>
      <c r="CI790" s="113"/>
      <c r="CJ790" s="113"/>
      <c r="CK790" s="113"/>
      <c r="CL790" s="113"/>
      <c r="CM790" s="113"/>
      <c r="CN790" s="113"/>
      <c r="CO790" s="113"/>
      <c r="CP790" s="113"/>
      <c r="CQ790" s="113"/>
      <c r="CR790" s="113"/>
      <c r="CS790" s="113"/>
      <c r="CT790" s="113"/>
      <c r="CU790" s="113"/>
    </row>
    <row r="791">
      <c r="A791" s="159"/>
      <c r="B791" s="113"/>
      <c r="C791" s="113"/>
      <c r="D791" s="158"/>
      <c r="E791" s="161"/>
      <c r="F791" s="160"/>
      <c r="G791" s="162"/>
      <c r="H791" s="159"/>
      <c r="I791" s="113"/>
      <c r="J791" s="113"/>
      <c r="K791" s="113"/>
      <c r="L791" s="158"/>
      <c r="M791" s="113"/>
      <c r="N791" s="113"/>
      <c r="O791" s="113"/>
      <c r="P791" s="113"/>
      <c r="Q791" s="113"/>
      <c r="R791" s="113"/>
      <c r="S791" s="113"/>
      <c r="T791" s="113"/>
      <c r="U791" s="113"/>
      <c r="V791" s="113"/>
      <c r="W791" s="113"/>
      <c r="X791" s="113"/>
      <c r="Y791" s="113"/>
      <c r="Z791" s="113"/>
      <c r="AA791" s="113"/>
      <c r="AB791" s="113"/>
      <c r="AC791" s="113"/>
      <c r="AD791" s="113"/>
      <c r="AE791" s="113"/>
      <c r="AF791" s="113"/>
      <c r="AG791" s="113"/>
      <c r="AH791" s="113"/>
      <c r="AI791" s="113"/>
      <c r="AJ791" s="113"/>
      <c r="AK791" s="113"/>
      <c r="AL791" s="113"/>
      <c r="AM791" s="113"/>
      <c r="AN791" s="113"/>
      <c r="AO791" s="113"/>
      <c r="AP791" s="113"/>
      <c r="AQ791" s="113"/>
      <c r="AR791" s="113"/>
      <c r="AS791" s="113"/>
      <c r="AT791" s="113"/>
      <c r="AU791" s="113"/>
      <c r="AV791" s="113"/>
      <c r="AW791" s="113"/>
      <c r="AX791" s="113"/>
      <c r="AY791" s="113"/>
      <c r="AZ791" s="113"/>
      <c r="BA791" s="113"/>
      <c r="BB791" s="113"/>
      <c r="BC791" s="113"/>
      <c r="BD791" s="113"/>
      <c r="BE791" s="113"/>
      <c r="BF791" s="113"/>
      <c r="BG791" s="113"/>
      <c r="BH791" s="113"/>
      <c r="BI791" s="113"/>
      <c r="BJ791" s="113"/>
      <c r="BK791" s="113"/>
      <c r="BL791" s="113"/>
      <c r="BM791" s="113"/>
      <c r="BN791" s="113"/>
      <c r="BO791" s="113"/>
      <c r="BP791" s="113"/>
      <c r="BQ791" s="113"/>
      <c r="BR791" s="113"/>
      <c r="BS791" s="113"/>
      <c r="BT791" s="113"/>
      <c r="BU791" s="113"/>
      <c r="BV791" s="113"/>
      <c r="BW791" s="113"/>
      <c r="BX791" s="113"/>
      <c r="BY791" s="113"/>
      <c r="BZ791" s="113"/>
      <c r="CA791" s="113"/>
      <c r="CB791" s="113"/>
      <c r="CC791" s="113"/>
      <c r="CD791" s="113"/>
      <c r="CE791" s="113"/>
      <c r="CF791" s="113"/>
      <c r="CG791" s="113"/>
      <c r="CH791" s="113"/>
      <c r="CI791" s="113"/>
      <c r="CJ791" s="113"/>
      <c r="CK791" s="113"/>
      <c r="CL791" s="113"/>
      <c r="CM791" s="113"/>
      <c r="CN791" s="113"/>
      <c r="CO791" s="113"/>
      <c r="CP791" s="113"/>
      <c r="CQ791" s="113"/>
      <c r="CR791" s="113"/>
      <c r="CS791" s="113"/>
      <c r="CT791" s="113"/>
      <c r="CU791" s="113"/>
    </row>
    <row r="792">
      <c r="A792" s="159"/>
      <c r="B792" s="113"/>
      <c r="C792" s="113"/>
      <c r="D792" s="158"/>
      <c r="E792" s="161"/>
      <c r="F792" s="160"/>
      <c r="G792" s="162"/>
      <c r="H792" s="159"/>
      <c r="I792" s="113"/>
      <c r="J792" s="113"/>
      <c r="K792" s="113"/>
      <c r="L792" s="158"/>
      <c r="M792" s="113"/>
      <c r="N792" s="113"/>
      <c r="O792" s="113"/>
      <c r="P792" s="113"/>
      <c r="Q792" s="113"/>
      <c r="R792" s="113"/>
      <c r="S792" s="113"/>
      <c r="T792" s="113"/>
      <c r="U792" s="113"/>
      <c r="V792" s="113"/>
      <c r="W792" s="113"/>
      <c r="X792" s="113"/>
      <c r="Y792" s="113"/>
      <c r="Z792" s="113"/>
      <c r="AA792" s="113"/>
      <c r="AB792" s="113"/>
      <c r="AC792" s="113"/>
      <c r="AD792" s="113"/>
      <c r="AE792" s="113"/>
      <c r="AF792" s="113"/>
      <c r="AG792" s="113"/>
      <c r="AH792" s="113"/>
      <c r="AI792" s="113"/>
      <c r="AJ792" s="113"/>
      <c r="AK792" s="113"/>
      <c r="AL792" s="113"/>
      <c r="AM792" s="113"/>
      <c r="AN792" s="113"/>
      <c r="AO792" s="113"/>
      <c r="AP792" s="113"/>
      <c r="AQ792" s="113"/>
      <c r="AR792" s="113"/>
      <c r="AS792" s="113"/>
      <c r="AT792" s="113"/>
      <c r="AU792" s="113"/>
      <c r="AV792" s="113"/>
      <c r="AW792" s="113"/>
      <c r="AX792" s="113"/>
      <c r="AY792" s="113"/>
      <c r="AZ792" s="113"/>
      <c r="BA792" s="113"/>
      <c r="BB792" s="113"/>
      <c r="BC792" s="113"/>
      <c r="BD792" s="113"/>
      <c r="BE792" s="113"/>
      <c r="BF792" s="113"/>
      <c r="BG792" s="113"/>
      <c r="BH792" s="113"/>
      <c r="BI792" s="113"/>
      <c r="BJ792" s="113"/>
      <c r="BK792" s="113"/>
      <c r="BL792" s="113"/>
      <c r="BM792" s="113"/>
      <c r="BN792" s="113"/>
      <c r="BO792" s="113"/>
      <c r="BP792" s="113"/>
      <c r="BQ792" s="113"/>
      <c r="BR792" s="113"/>
      <c r="BS792" s="113"/>
      <c r="BT792" s="113"/>
      <c r="BU792" s="113"/>
      <c r="BV792" s="113"/>
      <c r="BW792" s="113"/>
      <c r="BX792" s="113"/>
      <c r="BY792" s="113"/>
      <c r="BZ792" s="113"/>
      <c r="CA792" s="113"/>
      <c r="CB792" s="113"/>
      <c r="CC792" s="113"/>
      <c r="CD792" s="113"/>
      <c r="CE792" s="113"/>
      <c r="CF792" s="113"/>
      <c r="CG792" s="113"/>
      <c r="CH792" s="113"/>
      <c r="CI792" s="113"/>
      <c r="CJ792" s="113"/>
      <c r="CK792" s="113"/>
      <c r="CL792" s="113"/>
      <c r="CM792" s="113"/>
      <c r="CN792" s="113"/>
      <c r="CO792" s="113"/>
      <c r="CP792" s="113"/>
      <c r="CQ792" s="113"/>
      <c r="CR792" s="113"/>
      <c r="CS792" s="113"/>
      <c r="CT792" s="113"/>
      <c r="CU792" s="113"/>
    </row>
    <row r="793">
      <c r="A793" s="159"/>
      <c r="B793" s="113"/>
      <c r="C793" s="113"/>
      <c r="D793" s="158"/>
      <c r="E793" s="161"/>
      <c r="F793" s="160"/>
      <c r="G793" s="162"/>
      <c r="H793" s="159"/>
      <c r="I793" s="113"/>
      <c r="J793" s="113"/>
      <c r="K793" s="113"/>
      <c r="L793" s="158"/>
      <c r="M793" s="113"/>
      <c r="N793" s="113"/>
      <c r="O793" s="113"/>
      <c r="P793" s="113"/>
      <c r="Q793" s="113"/>
      <c r="R793" s="113"/>
      <c r="S793" s="113"/>
      <c r="T793" s="113"/>
      <c r="U793" s="113"/>
      <c r="V793" s="113"/>
      <c r="W793" s="113"/>
      <c r="X793" s="113"/>
      <c r="Y793" s="113"/>
      <c r="Z793" s="113"/>
      <c r="AA793" s="113"/>
      <c r="AB793" s="113"/>
      <c r="AC793" s="113"/>
      <c r="AD793" s="113"/>
      <c r="AE793" s="113"/>
      <c r="AF793" s="113"/>
      <c r="AG793" s="113"/>
      <c r="AH793" s="113"/>
      <c r="AI793" s="113"/>
      <c r="AJ793" s="113"/>
      <c r="AK793" s="113"/>
      <c r="AL793" s="113"/>
      <c r="AM793" s="113"/>
      <c r="AN793" s="113"/>
      <c r="AO793" s="113"/>
      <c r="AP793" s="113"/>
      <c r="AQ793" s="113"/>
      <c r="AR793" s="113"/>
      <c r="AS793" s="113"/>
      <c r="AT793" s="113"/>
      <c r="AU793" s="113"/>
      <c r="AV793" s="113"/>
      <c r="AW793" s="113"/>
      <c r="AX793" s="113"/>
      <c r="AY793" s="113"/>
      <c r="AZ793" s="113"/>
      <c r="BA793" s="113"/>
      <c r="BB793" s="113"/>
      <c r="BC793" s="113"/>
      <c r="BD793" s="113"/>
      <c r="BE793" s="113"/>
      <c r="BF793" s="113"/>
      <c r="BG793" s="113"/>
      <c r="BH793" s="113"/>
      <c r="BI793" s="113"/>
      <c r="BJ793" s="113"/>
      <c r="BK793" s="113"/>
      <c r="BL793" s="113"/>
      <c r="BM793" s="113"/>
      <c r="BN793" s="113"/>
      <c r="BO793" s="113"/>
      <c r="BP793" s="113"/>
      <c r="BQ793" s="113"/>
      <c r="BR793" s="113"/>
      <c r="BS793" s="113"/>
      <c r="BT793" s="113"/>
      <c r="BU793" s="113"/>
      <c r="BV793" s="113"/>
      <c r="BW793" s="113"/>
      <c r="BX793" s="113"/>
      <c r="BY793" s="113"/>
      <c r="BZ793" s="113"/>
      <c r="CA793" s="113"/>
      <c r="CB793" s="113"/>
      <c r="CC793" s="113"/>
      <c r="CD793" s="113"/>
      <c r="CE793" s="113"/>
      <c r="CF793" s="113"/>
      <c r="CG793" s="113"/>
      <c r="CH793" s="113"/>
      <c r="CI793" s="113"/>
      <c r="CJ793" s="113"/>
      <c r="CK793" s="113"/>
      <c r="CL793" s="113"/>
      <c r="CM793" s="113"/>
      <c r="CN793" s="113"/>
      <c r="CO793" s="113"/>
      <c r="CP793" s="113"/>
      <c r="CQ793" s="113"/>
      <c r="CR793" s="113"/>
      <c r="CS793" s="113"/>
      <c r="CT793" s="113"/>
      <c r="CU793" s="113"/>
    </row>
    <row r="794">
      <c r="A794" s="159"/>
      <c r="B794" s="113"/>
      <c r="C794" s="113"/>
      <c r="D794" s="158"/>
      <c r="E794" s="161"/>
      <c r="F794" s="160"/>
      <c r="G794" s="162"/>
      <c r="H794" s="159"/>
      <c r="I794" s="113"/>
      <c r="J794" s="113"/>
      <c r="K794" s="113"/>
      <c r="L794" s="158"/>
      <c r="M794" s="113"/>
      <c r="N794" s="113"/>
      <c r="O794" s="113"/>
      <c r="P794" s="113"/>
      <c r="Q794" s="113"/>
      <c r="R794" s="113"/>
      <c r="S794" s="113"/>
      <c r="T794" s="113"/>
      <c r="U794" s="113"/>
      <c r="V794" s="113"/>
      <c r="W794" s="113"/>
      <c r="X794" s="113"/>
      <c r="Y794" s="113"/>
      <c r="Z794" s="113"/>
      <c r="AA794" s="113"/>
      <c r="AB794" s="113"/>
      <c r="AC794" s="113"/>
      <c r="AD794" s="113"/>
      <c r="AE794" s="113"/>
      <c r="AF794" s="113"/>
      <c r="AG794" s="113"/>
      <c r="AH794" s="113"/>
      <c r="AI794" s="113"/>
      <c r="AJ794" s="113"/>
      <c r="AK794" s="113"/>
      <c r="AL794" s="113"/>
      <c r="AM794" s="113"/>
      <c r="AN794" s="113"/>
      <c r="AO794" s="113"/>
      <c r="AP794" s="113"/>
      <c r="AQ794" s="113"/>
      <c r="AR794" s="113"/>
      <c r="AS794" s="113"/>
      <c r="AT794" s="113"/>
      <c r="AU794" s="113"/>
      <c r="AV794" s="113"/>
      <c r="AW794" s="113"/>
      <c r="AX794" s="113"/>
      <c r="AY794" s="113"/>
      <c r="AZ794" s="113"/>
      <c r="BA794" s="113"/>
      <c r="BB794" s="113"/>
      <c r="BC794" s="113"/>
      <c r="BD794" s="113"/>
      <c r="BE794" s="113"/>
      <c r="BF794" s="113"/>
      <c r="BG794" s="113"/>
      <c r="BH794" s="113"/>
      <c r="BI794" s="113"/>
      <c r="BJ794" s="113"/>
      <c r="BK794" s="113"/>
      <c r="BL794" s="113"/>
      <c r="BM794" s="113"/>
      <c r="BN794" s="113"/>
      <c r="BO794" s="113"/>
      <c r="BP794" s="113"/>
      <c r="BQ794" s="113"/>
      <c r="BR794" s="113"/>
      <c r="BS794" s="113"/>
      <c r="BT794" s="113"/>
      <c r="BU794" s="113"/>
      <c r="BV794" s="113"/>
      <c r="BW794" s="113"/>
      <c r="BX794" s="113"/>
      <c r="BY794" s="113"/>
      <c r="BZ794" s="113"/>
      <c r="CA794" s="113"/>
      <c r="CB794" s="113"/>
      <c r="CC794" s="113"/>
      <c r="CD794" s="113"/>
      <c r="CE794" s="113"/>
      <c r="CF794" s="113"/>
      <c r="CG794" s="113"/>
      <c r="CH794" s="113"/>
      <c r="CI794" s="113"/>
      <c r="CJ794" s="113"/>
      <c r="CK794" s="113"/>
      <c r="CL794" s="113"/>
      <c r="CM794" s="113"/>
      <c r="CN794" s="113"/>
      <c r="CO794" s="113"/>
      <c r="CP794" s="113"/>
      <c r="CQ794" s="113"/>
      <c r="CR794" s="113"/>
      <c r="CS794" s="113"/>
      <c r="CT794" s="113"/>
      <c r="CU794" s="113"/>
    </row>
    <row r="795">
      <c r="A795" s="159"/>
      <c r="B795" s="113"/>
      <c r="C795" s="113"/>
      <c r="D795" s="158"/>
      <c r="E795" s="161"/>
      <c r="F795" s="160"/>
      <c r="G795" s="162"/>
      <c r="H795" s="159"/>
      <c r="I795" s="113"/>
      <c r="J795" s="113"/>
      <c r="K795" s="113"/>
      <c r="L795" s="158"/>
      <c r="M795" s="113"/>
      <c r="N795" s="113"/>
      <c r="O795" s="113"/>
      <c r="P795" s="113"/>
      <c r="Q795" s="113"/>
      <c r="R795" s="113"/>
      <c r="S795" s="113"/>
      <c r="T795" s="113"/>
      <c r="U795" s="113"/>
      <c r="V795" s="113"/>
      <c r="W795" s="113"/>
      <c r="X795" s="113"/>
      <c r="Y795" s="113"/>
      <c r="Z795" s="113"/>
      <c r="AA795" s="113"/>
      <c r="AB795" s="113"/>
      <c r="AC795" s="113"/>
      <c r="AD795" s="113"/>
      <c r="AE795" s="113"/>
      <c r="AF795" s="113"/>
      <c r="AG795" s="113"/>
      <c r="AH795" s="113"/>
      <c r="AI795" s="113"/>
      <c r="AJ795" s="113"/>
      <c r="AK795" s="113"/>
      <c r="AL795" s="113"/>
      <c r="AM795" s="113"/>
      <c r="AN795" s="113"/>
      <c r="AO795" s="113"/>
      <c r="AP795" s="113"/>
      <c r="AQ795" s="113"/>
      <c r="AR795" s="113"/>
      <c r="AS795" s="113"/>
      <c r="AT795" s="113"/>
      <c r="AU795" s="113"/>
      <c r="AV795" s="113"/>
      <c r="AW795" s="113"/>
      <c r="AX795" s="113"/>
      <c r="AY795" s="113"/>
      <c r="AZ795" s="113"/>
      <c r="BA795" s="113"/>
      <c r="BB795" s="113"/>
      <c r="BC795" s="113"/>
      <c r="BD795" s="113"/>
      <c r="BE795" s="113"/>
      <c r="BF795" s="113"/>
      <c r="BG795" s="113"/>
      <c r="BH795" s="113"/>
      <c r="BI795" s="113"/>
      <c r="BJ795" s="113"/>
      <c r="BK795" s="113"/>
      <c r="BL795" s="113"/>
      <c r="BM795" s="113"/>
      <c r="BN795" s="113"/>
      <c r="BO795" s="113"/>
      <c r="BP795" s="113"/>
      <c r="BQ795" s="113"/>
      <c r="BR795" s="113"/>
      <c r="BS795" s="113"/>
      <c r="BT795" s="113"/>
      <c r="BU795" s="113"/>
      <c r="BV795" s="113"/>
      <c r="BW795" s="113"/>
      <c r="BX795" s="113"/>
      <c r="BY795" s="113"/>
      <c r="BZ795" s="113"/>
      <c r="CA795" s="113"/>
      <c r="CB795" s="113"/>
      <c r="CC795" s="113"/>
      <c r="CD795" s="113"/>
      <c r="CE795" s="113"/>
      <c r="CF795" s="113"/>
      <c r="CG795" s="113"/>
      <c r="CH795" s="113"/>
      <c r="CI795" s="113"/>
      <c r="CJ795" s="113"/>
      <c r="CK795" s="113"/>
      <c r="CL795" s="113"/>
      <c r="CM795" s="113"/>
      <c r="CN795" s="113"/>
      <c r="CO795" s="113"/>
      <c r="CP795" s="113"/>
      <c r="CQ795" s="113"/>
      <c r="CR795" s="113"/>
      <c r="CS795" s="113"/>
      <c r="CT795" s="113"/>
      <c r="CU795" s="113"/>
    </row>
    <row r="796">
      <c r="A796" s="159"/>
      <c r="B796" s="113"/>
      <c r="C796" s="113"/>
      <c r="D796" s="158"/>
      <c r="E796" s="161"/>
      <c r="F796" s="160"/>
      <c r="G796" s="162"/>
      <c r="H796" s="159"/>
      <c r="I796" s="113"/>
      <c r="J796" s="113"/>
      <c r="K796" s="113"/>
      <c r="L796" s="158"/>
      <c r="M796" s="113"/>
      <c r="N796" s="113"/>
      <c r="O796" s="113"/>
      <c r="P796" s="113"/>
      <c r="Q796" s="113"/>
      <c r="R796" s="113"/>
      <c r="S796" s="113"/>
      <c r="T796" s="113"/>
      <c r="U796" s="113"/>
      <c r="V796" s="113"/>
      <c r="W796" s="113"/>
      <c r="X796" s="113"/>
      <c r="Y796" s="113"/>
      <c r="Z796" s="113"/>
      <c r="AA796" s="113"/>
      <c r="AB796" s="113"/>
      <c r="AC796" s="113"/>
      <c r="AD796" s="113"/>
      <c r="AE796" s="113"/>
      <c r="AF796" s="113"/>
      <c r="AG796" s="113"/>
      <c r="AH796" s="113"/>
      <c r="AI796" s="113"/>
      <c r="AJ796" s="113"/>
      <c r="AK796" s="113"/>
      <c r="AL796" s="113"/>
      <c r="AM796" s="113"/>
      <c r="AN796" s="113"/>
      <c r="AO796" s="113"/>
      <c r="AP796" s="113"/>
      <c r="AQ796" s="113"/>
      <c r="AR796" s="113"/>
      <c r="AS796" s="113"/>
      <c r="AT796" s="113"/>
      <c r="AU796" s="113"/>
      <c r="AV796" s="113"/>
      <c r="AW796" s="113"/>
      <c r="AX796" s="113"/>
      <c r="AY796" s="113"/>
      <c r="AZ796" s="113"/>
      <c r="BA796" s="113"/>
      <c r="BB796" s="113"/>
      <c r="BC796" s="113"/>
      <c r="BD796" s="113"/>
      <c r="BE796" s="113"/>
      <c r="BF796" s="113"/>
      <c r="BG796" s="113"/>
      <c r="BH796" s="113"/>
      <c r="BI796" s="113"/>
      <c r="BJ796" s="113"/>
      <c r="BK796" s="113"/>
      <c r="BL796" s="113"/>
      <c r="BM796" s="113"/>
      <c r="BN796" s="113"/>
      <c r="BO796" s="113"/>
      <c r="BP796" s="113"/>
      <c r="BQ796" s="113"/>
      <c r="BR796" s="113"/>
      <c r="BS796" s="113"/>
      <c r="BT796" s="113"/>
      <c r="BU796" s="113"/>
      <c r="BV796" s="113"/>
      <c r="BW796" s="113"/>
      <c r="BX796" s="113"/>
      <c r="BY796" s="113"/>
      <c r="BZ796" s="113"/>
      <c r="CA796" s="113"/>
      <c r="CB796" s="113"/>
      <c r="CC796" s="113"/>
      <c r="CD796" s="113"/>
      <c r="CE796" s="113"/>
      <c r="CF796" s="113"/>
      <c r="CG796" s="113"/>
      <c r="CH796" s="113"/>
      <c r="CI796" s="113"/>
      <c r="CJ796" s="113"/>
      <c r="CK796" s="113"/>
      <c r="CL796" s="113"/>
      <c r="CM796" s="113"/>
      <c r="CN796" s="113"/>
      <c r="CO796" s="113"/>
      <c r="CP796" s="113"/>
      <c r="CQ796" s="113"/>
      <c r="CR796" s="113"/>
      <c r="CS796" s="113"/>
      <c r="CT796" s="113"/>
      <c r="CU796" s="113"/>
    </row>
    <row r="797">
      <c r="A797" s="159"/>
      <c r="B797" s="113"/>
      <c r="C797" s="113"/>
      <c r="D797" s="158"/>
      <c r="E797" s="161"/>
      <c r="F797" s="160"/>
      <c r="G797" s="162"/>
      <c r="H797" s="159"/>
      <c r="I797" s="113"/>
      <c r="J797" s="113"/>
      <c r="K797" s="113"/>
      <c r="L797" s="158"/>
      <c r="M797" s="113"/>
      <c r="N797" s="113"/>
      <c r="O797" s="113"/>
      <c r="P797" s="113"/>
      <c r="Q797" s="113"/>
      <c r="R797" s="113"/>
      <c r="S797" s="113"/>
      <c r="T797" s="113"/>
      <c r="U797" s="113"/>
      <c r="V797" s="113"/>
      <c r="W797" s="113"/>
      <c r="X797" s="113"/>
      <c r="Y797" s="113"/>
      <c r="Z797" s="113"/>
      <c r="AA797" s="113"/>
      <c r="AB797" s="113"/>
      <c r="AC797" s="113"/>
      <c r="AD797" s="113"/>
      <c r="AE797" s="113"/>
      <c r="AF797" s="113"/>
      <c r="AG797" s="113"/>
      <c r="AH797" s="113"/>
      <c r="AI797" s="113"/>
      <c r="AJ797" s="113"/>
      <c r="AK797" s="113"/>
      <c r="AL797" s="113"/>
      <c r="AM797" s="113"/>
      <c r="AN797" s="113"/>
      <c r="AO797" s="113"/>
      <c r="AP797" s="113"/>
      <c r="AQ797" s="113"/>
      <c r="AR797" s="113"/>
      <c r="AS797" s="113"/>
      <c r="AT797" s="113"/>
      <c r="AU797" s="113"/>
      <c r="AV797" s="113"/>
      <c r="AW797" s="113"/>
      <c r="AX797" s="113"/>
      <c r="AY797" s="113"/>
      <c r="AZ797" s="113"/>
      <c r="BA797" s="113"/>
      <c r="BB797" s="113"/>
      <c r="BC797" s="113"/>
      <c r="BD797" s="113"/>
      <c r="BE797" s="113"/>
      <c r="BF797" s="113"/>
      <c r="BG797" s="113"/>
      <c r="BH797" s="113"/>
      <c r="BI797" s="113"/>
      <c r="BJ797" s="113"/>
      <c r="BK797" s="113"/>
      <c r="BL797" s="113"/>
      <c r="BM797" s="113"/>
      <c r="BN797" s="113"/>
      <c r="BO797" s="113"/>
      <c r="BP797" s="113"/>
      <c r="BQ797" s="113"/>
      <c r="BR797" s="113"/>
      <c r="BS797" s="113"/>
      <c r="BT797" s="113"/>
      <c r="BU797" s="113"/>
      <c r="BV797" s="113"/>
      <c r="BW797" s="113"/>
      <c r="BX797" s="113"/>
      <c r="BY797" s="113"/>
      <c r="BZ797" s="113"/>
      <c r="CA797" s="113"/>
      <c r="CB797" s="113"/>
      <c r="CC797" s="113"/>
      <c r="CD797" s="113"/>
      <c r="CE797" s="113"/>
      <c r="CF797" s="113"/>
      <c r="CG797" s="113"/>
      <c r="CH797" s="113"/>
      <c r="CI797" s="113"/>
      <c r="CJ797" s="113"/>
      <c r="CK797" s="113"/>
      <c r="CL797" s="113"/>
      <c r="CM797" s="113"/>
      <c r="CN797" s="113"/>
      <c r="CO797" s="113"/>
      <c r="CP797" s="113"/>
      <c r="CQ797" s="113"/>
      <c r="CR797" s="113"/>
      <c r="CS797" s="113"/>
      <c r="CT797" s="113"/>
      <c r="CU797" s="113"/>
    </row>
    <row r="798">
      <c r="A798" s="159"/>
      <c r="B798" s="113"/>
      <c r="C798" s="113"/>
      <c r="D798" s="158"/>
      <c r="E798" s="161"/>
      <c r="F798" s="160"/>
      <c r="G798" s="162"/>
      <c r="H798" s="159"/>
      <c r="I798" s="113"/>
      <c r="J798" s="113"/>
      <c r="K798" s="113"/>
      <c r="L798" s="158"/>
      <c r="M798" s="113"/>
      <c r="N798" s="113"/>
      <c r="O798" s="113"/>
      <c r="P798" s="113"/>
      <c r="Q798" s="113"/>
      <c r="R798" s="113"/>
      <c r="S798" s="113"/>
      <c r="T798" s="113"/>
      <c r="U798" s="113"/>
      <c r="V798" s="113"/>
      <c r="W798" s="113"/>
      <c r="X798" s="113"/>
      <c r="Y798" s="113"/>
      <c r="Z798" s="113"/>
      <c r="AA798" s="113"/>
      <c r="AB798" s="113"/>
      <c r="AC798" s="113"/>
      <c r="AD798" s="113"/>
      <c r="AE798" s="113"/>
      <c r="AF798" s="113"/>
      <c r="AG798" s="113"/>
      <c r="AH798" s="113"/>
      <c r="AI798" s="113"/>
      <c r="AJ798" s="113"/>
      <c r="AK798" s="113"/>
      <c r="AL798" s="113"/>
      <c r="AM798" s="113"/>
      <c r="AN798" s="113"/>
      <c r="AO798" s="113"/>
      <c r="AP798" s="113"/>
      <c r="AQ798" s="113"/>
      <c r="AR798" s="113"/>
      <c r="AS798" s="113"/>
      <c r="AT798" s="113"/>
      <c r="AU798" s="113"/>
      <c r="AV798" s="113"/>
      <c r="AW798" s="113"/>
      <c r="AX798" s="113"/>
      <c r="AY798" s="113"/>
      <c r="AZ798" s="113"/>
      <c r="BA798" s="113"/>
      <c r="BB798" s="113"/>
      <c r="BC798" s="113"/>
      <c r="BD798" s="113"/>
      <c r="BE798" s="113"/>
      <c r="BF798" s="113"/>
      <c r="BG798" s="113"/>
      <c r="BH798" s="113"/>
      <c r="BI798" s="113"/>
      <c r="BJ798" s="113"/>
      <c r="BK798" s="113"/>
      <c r="BL798" s="113"/>
      <c r="BM798" s="113"/>
      <c r="BN798" s="113"/>
      <c r="BO798" s="113"/>
      <c r="BP798" s="113"/>
      <c r="BQ798" s="113"/>
      <c r="BR798" s="113"/>
      <c r="BS798" s="113"/>
      <c r="BT798" s="113"/>
      <c r="BU798" s="113"/>
      <c r="BV798" s="113"/>
      <c r="BW798" s="113"/>
      <c r="BX798" s="113"/>
      <c r="BY798" s="113"/>
      <c r="BZ798" s="113"/>
      <c r="CA798" s="113"/>
      <c r="CB798" s="113"/>
      <c r="CC798" s="113"/>
      <c r="CD798" s="113"/>
      <c r="CE798" s="113"/>
      <c r="CF798" s="113"/>
      <c r="CG798" s="113"/>
      <c r="CH798" s="113"/>
      <c r="CI798" s="113"/>
      <c r="CJ798" s="113"/>
      <c r="CK798" s="113"/>
      <c r="CL798" s="113"/>
      <c r="CM798" s="113"/>
      <c r="CN798" s="113"/>
      <c r="CO798" s="113"/>
      <c r="CP798" s="113"/>
      <c r="CQ798" s="113"/>
      <c r="CR798" s="113"/>
      <c r="CS798" s="113"/>
      <c r="CT798" s="113"/>
      <c r="CU798" s="113"/>
    </row>
    <row r="799">
      <c r="A799" s="159"/>
      <c r="B799" s="113"/>
      <c r="C799" s="113"/>
      <c r="D799" s="158"/>
      <c r="E799" s="161"/>
      <c r="F799" s="160"/>
      <c r="G799" s="162"/>
      <c r="H799" s="159"/>
      <c r="I799" s="113"/>
      <c r="J799" s="113"/>
      <c r="K799" s="113"/>
      <c r="L799" s="158"/>
      <c r="M799" s="113"/>
      <c r="N799" s="113"/>
      <c r="O799" s="113"/>
      <c r="P799" s="113"/>
      <c r="Q799" s="113"/>
      <c r="R799" s="113"/>
      <c r="S799" s="113"/>
      <c r="T799" s="113"/>
      <c r="U799" s="113"/>
      <c r="V799" s="113"/>
      <c r="W799" s="113"/>
      <c r="X799" s="113"/>
      <c r="Y799" s="113"/>
      <c r="Z799" s="113"/>
      <c r="AA799" s="113"/>
      <c r="AB799" s="113"/>
      <c r="AC799" s="113"/>
      <c r="AD799" s="113"/>
      <c r="AE799" s="113"/>
      <c r="AF799" s="113"/>
      <c r="AG799" s="113"/>
      <c r="AH799" s="113"/>
      <c r="AI799" s="113"/>
      <c r="AJ799" s="113"/>
      <c r="AK799" s="113"/>
      <c r="AL799" s="113"/>
      <c r="AM799" s="113"/>
      <c r="AN799" s="113"/>
      <c r="AO799" s="113"/>
      <c r="AP799" s="113"/>
      <c r="AQ799" s="113"/>
      <c r="AR799" s="113"/>
      <c r="AS799" s="113"/>
      <c r="AT799" s="113"/>
      <c r="AU799" s="113"/>
      <c r="AV799" s="113"/>
      <c r="AW799" s="113"/>
      <c r="AX799" s="113"/>
      <c r="AY799" s="113"/>
      <c r="AZ799" s="113"/>
      <c r="BA799" s="113"/>
      <c r="BB799" s="113"/>
      <c r="BC799" s="113"/>
      <c r="BD799" s="113"/>
      <c r="BE799" s="113"/>
      <c r="BF799" s="113"/>
      <c r="BG799" s="113"/>
      <c r="BH799" s="113"/>
      <c r="BI799" s="113"/>
      <c r="BJ799" s="113"/>
      <c r="BK799" s="113"/>
      <c r="BL799" s="113"/>
      <c r="BM799" s="113"/>
      <c r="BN799" s="113"/>
      <c r="BO799" s="113"/>
      <c r="BP799" s="113"/>
      <c r="BQ799" s="113"/>
      <c r="BR799" s="113"/>
      <c r="BS799" s="113"/>
      <c r="BT799" s="113"/>
      <c r="BU799" s="113"/>
      <c r="BV799" s="113"/>
      <c r="BW799" s="113"/>
      <c r="BX799" s="113"/>
      <c r="BY799" s="113"/>
      <c r="BZ799" s="113"/>
      <c r="CA799" s="113"/>
      <c r="CB799" s="113"/>
      <c r="CC799" s="113"/>
      <c r="CD799" s="113"/>
      <c r="CE799" s="113"/>
      <c r="CF799" s="113"/>
      <c r="CG799" s="113"/>
      <c r="CH799" s="113"/>
      <c r="CI799" s="113"/>
      <c r="CJ799" s="113"/>
      <c r="CK799" s="113"/>
      <c r="CL799" s="113"/>
      <c r="CM799" s="113"/>
      <c r="CN799" s="113"/>
      <c r="CO799" s="113"/>
      <c r="CP799" s="113"/>
      <c r="CQ799" s="113"/>
      <c r="CR799" s="113"/>
      <c r="CS799" s="113"/>
      <c r="CT799" s="113"/>
      <c r="CU799" s="113"/>
    </row>
    <row r="800">
      <c r="A800" s="159"/>
      <c r="B800" s="113"/>
      <c r="C800" s="113"/>
      <c r="D800" s="158"/>
      <c r="E800" s="161"/>
      <c r="F800" s="160"/>
      <c r="G800" s="162"/>
      <c r="H800" s="159"/>
      <c r="I800" s="113"/>
      <c r="J800" s="113"/>
      <c r="K800" s="113"/>
      <c r="L800" s="158"/>
      <c r="M800" s="113"/>
      <c r="N800" s="113"/>
      <c r="O800" s="113"/>
      <c r="P800" s="113"/>
      <c r="Q800" s="113"/>
      <c r="R800" s="113"/>
      <c r="S800" s="113"/>
      <c r="T800" s="113"/>
      <c r="U800" s="113"/>
      <c r="V800" s="113"/>
      <c r="W800" s="113"/>
      <c r="X800" s="113"/>
      <c r="Y800" s="113"/>
      <c r="Z800" s="113"/>
      <c r="AA800" s="113"/>
      <c r="AB800" s="113"/>
      <c r="AC800" s="113"/>
      <c r="AD800" s="113"/>
      <c r="AE800" s="113"/>
      <c r="AF800" s="113"/>
      <c r="AG800" s="113"/>
      <c r="AH800" s="113"/>
      <c r="AI800" s="113"/>
      <c r="AJ800" s="113"/>
      <c r="AK800" s="113"/>
      <c r="AL800" s="113"/>
      <c r="AM800" s="113"/>
      <c r="AN800" s="113"/>
      <c r="AO800" s="113"/>
      <c r="AP800" s="113"/>
      <c r="AQ800" s="113"/>
      <c r="AR800" s="113"/>
      <c r="AS800" s="113"/>
      <c r="AT800" s="113"/>
      <c r="AU800" s="113"/>
      <c r="AV800" s="113"/>
      <c r="AW800" s="113"/>
      <c r="AX800" s="113"/>
      <c r="AY800" s="113"/>
      <c r="AZ800" s="113"/>
      <c r="BA800" s="113"/>
      <c r="BB800" s="113"/>
      <c r="BC800" s="113"/>
      <c r="BD800" s="113"/>
      <c r="BE800" s="113"/>
      <c r="BF800" s="113"/>
      <c r="BG800" s="113"/>
      <c r="BH800" s="113"/>
      <c r="BI800" s="113"/>
      <c r="BJ800" s="113"/>
      <c r="BK800" s="113"/>
      <c r="BL800" s="113"/>
      <c r="BM800" s="113"/>
      <c r="BN800" s="113"/>
      <c r="BO800" s="113"/>
      <c r="BP800" s="113"/>
      <c r="BQ800" s="113"/>
      <c r="BR800" s="113"/>
      <c r="BS800" s="113"/>
      <c r="BT800" s="113"/>
      <c r="BU800" s="113"/>
      <c r="BV800" s="113"/>
      <c r="BW800" s="113"/>
      <c r="BX800" s="113"/>
      <c r="BY800" s="113"/>
      <c r="BZ800" s="113"/>
      <c r="CA800" s="113"/>
      <c r="CB800" s="113"/>
      <c r="CC800" s="113"/>
      <c r="CD800" s="113"/>
      <c r="CE800" s="113"/>
      <c r="CF800" s="113"/>
      <c r="CG800" s="113"/>
      <c r="CH800" s="113"/>
      <c r="CI800" s="113"/>
      <c r="CJ800" s="113"/>
      <c r="CK800" s="113"/>
      <c r="CL800" s="113"/>
      <c r="CM800" s="113"/>
      <c r="CN800" s="113"/>
      <c r="CO800" s="113"/>
      <c r="CP800" s="113"/>
      <c r="CQ800" s="113"/>
      <c r="CR800" s="113"/>
      <c r="CS800" s="113"/>
      <c r="CT800" s="113"/>
      <c r="CU800" s="113"/>
    </row>
    <row r="801">
      <c r="A801" s="159"/>
      <c r="B801" s="113"/>
      <c r="C801" s="113"/>
      <c r="D801" s="158"/>
      <c r="E801" s="161"/>
      <c r="F801" s="160"/>
      <c r="G801" s="162"/>
      <c r="H801" s="159"/>
      <c r="I801" s="113"/>
      <c r="J801" s="113"/>
      <c r="K801" s="113"/>
      <c r="L801" s="158"/>
      <c r="M801" s="113"/>
      <c r="N801" s="113"/>
      <c r="O801" s="113"/>
      <c r="P801" s="113"/>
      <c r="Q801" s="113"/>
      <c r="R801" s="113"/>
      <c r="S801" s="113"/>
      <c r="T801" s="113"/>
      <c r="U801" s="113"/>
      <c r="V801" s="113"/>
      <c r="W801" s="113"/>
      <c r="X801" s="113"/>
      <c r="Y801" s="113"/>
      <c r="Z801" s="113"/>
      <c r="AA801" s="113"/>
      <c r="AB801" s="113"/>
      <c r="AC801" s="113"/>
      <c r="AD801" s="113"/>
      <c r="AE801" s="113"/>
      <c r="AF801" s="113"/>
      <c r="AG801" s="113"/>
      <c r="AH801" s="113"/>
      <c r="AI801" s="113"/>
      <c r="AJ801" s="113"/>
      <c r="AK801" s="113"/>
      <c r="AL801" s="113"/>
      <c r="AM801" s="113"/>
      <c r="AN801" s="113"/>
      <c r="AO801" s="113"/>
      <c r="AP801" s="113"/>
      <c r="AQ801" s="113"/>
      <c r="AR801" s="113"/>
      <c r="AS801" s="113"/>
      <c r="AT801" s="113"/>
      <c r="AU801" s="113"/>
      <c r="AV801" s="113"/>
      <c r="AW801" s="113"/>
      <c r="AX801" s="113"/>
      <c r="AY801" s="113"/>
      <c r="AZ801" s="113"/>
      <c r="BA801" s="113"/>
      <c r="BB801" s="113"/>
      <c r="BC801" s="113"/>
      <c r="BD801" s="113"/>
      <c r="BE801" s="113"/>
      <c r="BF801" s="113"/>
      <c r="BG801" s="113"/>
      <c r="BH801" s="113"/>
      <c r="BI801" s="113"/>
      <c r="BJ801" s="113"/>
      <c r="BK801" s="113"/>
      <c r="BL801" s="113"/>
      <c r="BM801" s="113"/>
      <c r="BN801" s="113"/>
      <c r="BO801" s="113"/>
      <c r="BP801" s="113"/>
      <c r="BQ801" s="113"/>
      <c r="BR801" s="113"/>
      <c r="BS801" s="113"/>
      <c r="BT801" s="113"/>
      <c r="BU801" s="113"/>
      <c r="BV801" s="113"/>
      <c r="BW801" s="113"/>
      <c r="BX801" s="113"/>
      <c r="BY801" s="113"/>
      <c r="BZ801" s="113"/>
      <c r="CA801" s="113"/>
      <c r="CB801" s="113"/>
      <c r="CC801" s="113"/>
      <c r="CD801" s="113"/>
      <c r="CE801" s="113"/>
      <c r="CF801" s="113"/>
      <c r="CG801" s="113"/>
      <c r="CH801" s="113"/>
      <c r="CI801" s="113"/>
      <c r="CJ801" s="113"/>
      <c r="CK801" s="113"/>
      <c r="CL801" s="113"/>
      <c r="CM801" s="113"/>
      <c r="CN801" s="113"/>
      <c r="CO801" s="113"/>
      <c r="CP801" s="113"/>
      <c r="CQ801" s="113"/>
      <c r="CR801" s="113"/>
      <c r="CS801" s="113"/>
      <c r="CT801" s="113"/>
      <c r="CU801" s="113"/>
    </row>
    <row r="802">
      <c r="A802" s="159"/>
      <c r="B802" s="113"/>
      <c r="C802" s="113"/>
      <c r="D802" s="158"/>
      <c r="E802" s="161"/>
      <c r="F802" s="160"/>
      <c r="G802" s="162"/>
      <c r="H802" s="159"/>
      <c r="I802" s="113"/>
      <c r="J802" s="113"/>
      <c r="K802" s="113"/>
      <c r="L802" s="158"/>
      <c r="M802" s="113"/>
      <c r="N802" s="113"/>
      <c r="O802" s="113"/>
      <c r="P802" s="113"/>
      <c r="Q802" s="113"/>
      <c r="R802" s="113"/>
      <c r="S802" s="113"/>
      <c r="T802" s="113"/>
      <c r="U802" s="113"/>
      <c r="V802" s="113"/>
      <c r="W802" s="113"/>
      <c r="X802" s="113"/>
      <c r="Y802" s="113"/>
      <c r="Z802" s="113"/>
      <c r="AA802" s="113"/>
      <c r="AB802" s="113"/>
      <c r="AC802" s="113"/>
      <c r="AD802" s="113"/>
      <c r="AE802" s="113"/>
      <c r="AF802" s="113"/>
      <c r="AG802" s="113"/>
      <c r="AH802" s="113"/>
      <c r="AI802" s="113"/>
      <c r="AJ802" s="113"/>
      <c r="AK802" s="113"/>
      <c r="AL802" s="113"/>
      <c r="AM802" s="113"/>
      <c r="AN802" s="113"/>
      <c r="AO802" s="113"/>
      <c r="AP802" s="113"/>
      <c r="AQ802" s="113"/>
      <c r="AR802" s="113"/>
      <c r="AS802" s="113"/>
      <c r="AT802" s="113"/>
      <c r="AU802" s="113"/>
      <c r="AV802" s="113"/>
      <c r="AW802" s="113"/>
      <c r="AX802" s="113"/>
      <c r="AY802" s="113"/>
      <c r="AZ802" s="113"/>
      <c r="BA802" s="113"/>
      <c r="BB802" s="113"/>
      <c r="BC802" s="113"/>
      <c r="BD802" s="113"/>
      <c r="BE802" s="113"/>
      <c r="BF802" s="113"/>
      <c r="BG802" s="113"/>
      <c r="BH802" s="113"/>
      <c r="BI802" s="113"/>
      <c r="BJ802" s="113"/>
      <c r="BK802" s="113"/>
      <c r="BL802" s="113"/>
      <c r="BM802" s="113"/>
      <c r="BN802" s="113"/>
      <c r="BO802" s="113"/>
      <c r="BP802" s="113"/>
      <c r="BQ802" s="113"/>
      <c r="BR802" s="113"/>
      <c r="BS802" s="113"/>
      <c r="BT802" s="113"/>
      <c r="BU802" s="113"/>
      <c r="BV802" s="113"/>
      <c r="BW802" s="113"/>
      <c r="BX802" s="113"/>
      <c r="BY802" s="113"/>
      <c r="BZ802" s="113"/>
      <c r="CA802" s="113"/>
      <c r="CB802" s="113"/>
      <c r="CC802" s="113"/>
      <c r="CD802" s="113"/>
      <c r="CE802" s="113"/>
      <c r="CF802" s="113"/>
      <c r="CG802" s="113"/>
      <c r="CH802" s="113"/>
      <c r="CI802" s="113"/>
      <c r="CJ802" s="113"/>
      <c r="CK802" s="113"/>
      <c r="CL802" s="113"/>
      <c r="CM802" s="113"/>
      <c r="CN802" s="113"/>
      <c r="CO802" s="113"/>
      <c r="CP802" s="113"/>
      <c r="CQ802" s="113"/>
      <c r="CR802" s="113"/>
      <c r="CS802" s="113"/>
      <c r="CT802" s="113"/>
      <c r="CU802" s="113"/>
    </row>
    <row r="803">
      <c r="A803" s="159"/>
      <c r="B803" s="113"/>
      <c r="C803" s="113"/>
      <c r="D803" s="158"/>
      <c r="E803" s="161"/>
      <c r="F803" s="160"/>
      <c r="G803" s="162"/>
      <c r="H803" s="159"/>
      <c r="I803" s="113"/>
      <c r="J803" s="113"/>
      <c r="K803" s="113"/>
      <c r="L803" s="158"/>
      <c r="M803" s="113"/>
      <c r="N803" s="113"/>
      <c r="O803" s="113"/>
      <c r="P803" s="113"/>
      <c r="Q803" s="113"/>
      <c r="R803" s="113"/>
      <c r="S803" s="113"/>
      <c r="T803" s="113"/>
      <c r="U803" s="113"/>
      <c r="V803" s="113"/>
      <c r="W803" s="113"/>
      <c r="X803" s="113"/>
      <c r="Y803" s="113"/>
      <c r="Z803" s="113"/>
      <c r="AA803" s="113"/>
      <c r="AB803" s="113"/>
      <c r="AC803" s="113"/>
      <c r="AD803" s="113"/>
      <c r="AE803" s="113"/>
      <c r="AF803" s="113"/>
      <c r="AG803" s="113"/>
      <c r="AH803" s="113"/>
      <c r="AI803" s="113"/>
      <c r="AJ803" s="113"/>
      <c r="AK803" s="113"/>
      <c r="AL803" s="113"/>
      <c r="AM803" s="113"/>
      <c r="AN803" s="113"/>
      <c r="AO803" s="113"/>
      <c r="AP803" s="113"/>
      <c r="AQ803" s="113"/>
      <c r="AR803" s="113"/>
      <c r="AS803" s="113"/>
      <c r="AT803" s="113"/>
      <c r="AU803" s="113"/>
      <c r="AV803" s="113"/>
      <c r="AW803" s="113"/>
      <c r="AX803" s="113"/>
      <c r="AY803" s="113"/>
      <c r="AZ803" s="113"/>
      <c r="BA803" s="113"/>
      <c r="BB803" s="113"/>
      <c r="BC803" s="113"/>
      <c r="BD803" s="113"/>
      <c r="BE803" s="113"/>
      <c r="BF803" s="113"/>
      <c r="BG803" s="113"/>
      <c r="BH803" s="113"/>
      <c r="BI803" s="113"/>
      <c r="BJ803" s="113"/>
      <c r="BK803" s="113"/>
      <c r="BL803" s="113"/>
      <c r="BM803" s="113"/>
      <c r="BN803" s="113"/>
      <c r="BO803" s="113"/>
      <c r="BP803" s="113"/>
      <c r="BQ803" s="113"/>
      <c r="BR803" s="113"/>
      <c r="BS803" s="113"/>
      <c r="BT803" s="113"/>
      <c r="BU803" s="113"/>
      <c r="BV803" s="113"/>
      <c r="BW803" s="113"/>
      <c r="BX803" s="113"/>
      <c r="BY803" s="113"/>
      <c r="BZ803" s="113"/>
      <c r="CA803" s="113"/>
      <c r="CB803" s="113"/>
      <c r="CC803" s="113"/>
      <c r="CD803" s="113"/>
      <c r="CE803" s="113"/>
      <c r="CF803" s="113"/>
      <c r="CG803" s="113"/>
      <c r="CH803" s="113"/>
      <c r="CI803" s="113"/>
      <c r="CJ803" s="113"/>
      <c r="CK803" s="113"/>
      <c r="CL803" s="113"/>
      <c r="CM803" s="113"/>
      <c r="CN803" s="113"/>
      <c r="CO803" s="113"/>
      <c r="CP803" s="113"/>
      <c r="CQ803" s="113"/>
      <c r="CR803" s="113"/>
      <c r="CS803" s="113"/>
      <c r="CT803" s="113"/>
      <c r="CU803" s="113"/>
    </row>
    <row r="804">
      <c r="A804" s="159"/>
      <c r="B804" s="113"/>
      <c r="C804" s="113"/>
      <c r="D804" s="158"/>
      <c r="E804" s="161"/>
      <c r="F804" s="160"/>
      <c r="G804" s="162"/>
      <c r="H804" s="159"/>
      <c r="I804" s="113"/>
      <c r="J804" s="113"/>
      <c r="K804" s="113"/>
      <c r="L804" s="158"/>
      <c r="M804" s="113"/>
      <c r="N804" s="113"/>
      <c r="O804" s="113"/>
      <c r="P804" s="113"/>
      <c r="Q804" s="113"/>
      <c r="R804" s="113"/>
      <c r="S804" s="113"/>
      <c r="T804" s="113"/>
      <c r="U804" s="113"/>
      <c r="V804" s="113"/>
      <c r="W804" s="113"/>
      <c r="X804" s="113"/>
      <c r="Y804" s="113"/>
      <c r="Z804" s="113"/>
      <c r="AA804" s="113"/>
      <c r="AB804" s="113"/>
      <c r="AC804" s="113"/>
      <c r="AD804" s="113"/>
      <c r="AE804" s="113"/>
      <c r="AF804" s="113"/>
      <c r="AG804" s="113"/>
      <c r="AH804" s="113"/>
      <c r="AI804" s="113"/>
      <c r="AJ804" s="113"/>
      <c r="AK804" s="113"/>
      <c r="AL804" s="113"/>
      <c r="AM804" s="113"/>
      <c r="AN804" s="113"/>
      <c r="AO804" s="113"/>
      <c r="AP804" s="113"/>
      <c r="AQ804" s="113"/>
      <c r="AR804" s="113"/>
      <c r="AS804" s="113"/>
      <c r="AT804" s="113"/>
      <c r="AU804" s="113"/>
      <c r="AV804" s="113"/>
      <c r="AW804" s="113"/>
      <c r="AX804" s="113"/>
      <c r="AY804" s="113"/>
      <c r="AZ804" s="113"/>
      <c r="BA804" s="113"/>
      <c r="BB804" s="113"/>
      <c r="BC804" s="113"/>
      <c r="BD804" s="113"/>
      <c r="BE804" s="113"/>
      <c r="BF804" s="113"/>
      <c r="BG804" s="113"/>
      <c r="BH804" s="113"/>
      <c r="BI804" s="113"/>
      <c r="BJ804" s="113"/>
      <c r="BK804" s="113"/>
      <c r="BL804" s="113"/>
      <c r="BM804" s="113"/>
      <c r="BN804" s="113"/>
      <c r="BO804" s="113"/>
      <c r="BP804" s="113"/>
      <c r="BQ804" s="113"/>
      <c r="BR804" s="113"/>
      <c r="BS804" s="113"/>
      <c r="BT804" s="113"/>
      <c r="BU804" s="113"/>
      <c r="BV804" s="113"/>
      <c r="BW804" s="113"/>
      <c r="BX804" s="113"/>
      <c r="BY804" s="113"/>
      <c r="BZ804" s="113"/>
      <c r="CA804" s="113"/>
      <c r="CB804" s="113"/>
      <c r="CC804" s="113"/>
      <c r="CD804" s="113"/>
      <c r="CE804" s="113"/>
      <c r="CF804" s="113"/>
      <c r="CG804" s="113"/>
      <c r="CH804" s="113"/>
      <c r="CI804" s="113"/>
      <c r="CJ804" s="113"/>
      <c r="CK804" s="113"/>
      <c r="CL804" s="113"/>
      <c r="CM804" s="113"/>
      <c r="CN804" s="113"/>
      <c r="CO804" s="113"/>
      <c r="CP804" s="113"/>
      <c r="CQ804" s="113"/>
      <c r="CR804" s="113"/>
      <c r="CS804" s="113"/>
      <c r="CT804" s="113"/>
      <c r="CU804" s="113"/>
    </row>
    <row r="805">
      <c r="A805" s="159"/>
      <c r="B805" s="113"/>
      <c r="C805" s="113"/>
      <c r="D805" s="158"/>
      <c r="E805" s="161"/>
      <c r="F805" s="160"/>
      <c r="G805" s="162"/>
      <c r="H805" s="159"/>
      <c r="I805" s="113"/>
      <c r="J805" s="113"/>
      <c r="K805" s="113"/>
      <c r="L805" s="158"/>
      <c r="M805" s="113"/>
      <c r="N805" s="113"/>
      <c r="O805" s="113"/>
      <c r="P805" s="113"/>
      <c r="Q805" s="113"/>
      <c r="R805" s="113"/>
      <c r="S805" s="113"/>
      <c r="T805" s="113"/>
      <c r="U805" s="113"/>
      <c r="V805" s="113"/>
      <c r="W805" s="113"/>
      <c r="X805" s="113"/>
      <c r="Y805" s="113"/>
      <c r="Z805" s="113"/>
      <c r="AA805" s="113"/>
      <c r="AB805" s="113"/>
      <c r="AC805" s="113"/>
      <c r="AD805" s="113"/>
      <c r="AE805" s="113"/>
      <c r="AF805" s="113"/>
      <c r="AG805" s="113"/>
      <c r="AH805" s="113"/>
      <c r="AI805" s="113"/>
      <c r="AJ805" s="113"/>
      <c r="AK805" s="113"/>
      <c r="AL805" s="113"/>
      <c r="AM805" s="113"/>
      <c r="AN805" s="113"/>
      <c r="AO805" s="113"/>
      <c r="AP805" s="113"/>
      <c r="AQ805" s="113"/>
      <c r="AR805" s="113"/>
      <c r="AS805" s="113"/>
      <c r="AT805" s="113"/>
      <c r="AU805" s="113"/>
      <c r="AV805" s="113"/>
      <c r="AW805" s="113"/>
      <c r="AX805" s="113"/>
      <c r="AY805" s="113"/>
      <c r="AZ805" s="113"/>
      <c r="BA805" s="113"/>
      <c r="BB805" s="113"/>
      <c r="BC805" s="113"/>
      <c r="BD805" s="113"/>
      <c r="BE805" s="113"/>
      <c r="BF805" s="113"/>
      <c r="BG805" s="113"/>
      <c r="BH805" s="113"/>
      <c r="BI805" s="113"/>
      <c r="BJ805" s="113"/>
      <c r="BK805" s="113"/>
      <c r="BL805" s="113"/>
      <c r="BM805" s="113"/>
      <c r="BN805" s="113"/>
      <c r="BO805" s="113"/>
      <c r="BP805" s="113"/>
      <c r="BQ805" s="113"/>
      <c r="BR805" s="113"/>
      <c r="BS805" s="113"/>
      <c r="BT805" s="113"/>
      <c r="BU805" s="113"/>
      <c r="BV805" s="113"/>
      <c r="BW805" s="113"/>
      <c r="BX805" s="113"/>
      <c r="BY805" s="113"/>
      <c r="BZ805" s="113"/>
      <c r="CA805" s="113"/>
      <c r="CB805" s="113"/>
      <c r="CC805" s="113"/>
      <c r="CD805" s="113"/>
      <c r="CE805" s="113"/>
      <c r="CF805" s="113"/>
      <c r="CG805" s="113"/>
      <c r="CH805" s="113"/>
      <c r="CI805" s="113"/>
      <c r="CJ805" s="113"/>
      <c r="CK805" s="113"/>
      <c r="CL805" s="113"/>
      <c r="CM805" s="113"/>
      <c r="CN805" s="113"/>
      <c r="CO805" s="113"/>
      <c r="CP805" s="113"/>
      <c r="CQ805" s="113"/>
      <c r="CR805" s="113"/>
      <c r="CS805" s="113"/>
      <c r="CT805" s="113"/>
      <c r="CU805" s="113"/>
    </row>
    <row r="806">
      <c r="A806" s="159"/>
      <c r="B806" s="113"/>
      <c r="C806" s="113"/>
      <c r="D806" s="158"/>
      <c r="E806" s="161"/>
      <c r="F806" s="160"/>
      <c r="G806" s="162"/>
      <c r="H806" s="159"/>
      <c r="I806" s="113"/>
      <c r="J806" s="113"/>
      <c r="K806" s="113"/>
      <c r="L806" s="158"/>
      <c r="M806" s="113"/>
      <c r="N806" s="113"/>
      <c r="O806" s="113"/>
      <c r="P806" s="113"/>
      <c r="Q806" s="113"/>
      <c r="R806" s="113"/>
      <c r="S806" s="113"/>
      <c r="T806" s="113"/>
      <c r="U806" s="113"/>
      <c r="V806" s="113"/>
      <c r="W806" s="113"/>
      <c r="X806" s="113"/>
      <c r="Y806" s="113"/>
      <c r="Z806" s="113"/>
      <c r="AA806" s="113"/>
      <c r="AB806" s="113"/>
      <c r="AC806" s="113"/>
      <c r="AD806" s="113"/>
      <c r="AE806" s="113"/>
      <c r="AF806" s="113"/>
      <c r="AG806" s="113"/>
      <c r="AH806" s="113"/>
      <c r="AI806" s="113"/>
      <c r="AJ806" s="113"/>
      <c r="AK806" s="113"/>
      <c r="AL806" s="113"/>
      <c r="AM806" s="113"/>
      <c r="AN806" s="113"/>
      <c r="AO806" s="113"/>
      <c r="AP806" s="113"/>
      <c r="AQ806" s="113"/>
      <c r="AR806" s="113"/>
      <c r="AS806" s="113"/>
      <c r="AT806" s="113"/>
      <c r="AU806" s="113"/>
      <c r="AV806" s="113"/>
      <c r="AW806" s="113"/>
      <c r="AX806" s="113"/>
      <c r="AY806" s="113"/>
      <c r="AZ806" s="113"/>
      <c r="BA806" s="113"/>
      <c r="BB806" s="113"/>
      <c r="BC806" s="113"/>
      <c r="BD806" s="113"/>
      <c r="BE806" s="113"/>
      <c r="BF806" s="113"/>
      <c r="BG806" s="113"/>
      <c r="BH806" s="113"/>
      <c r="BI806" s="113"/>
      <c r="BJ806" s="113"/>
      <c r="BK806" s="113"/>
      <c r="BL806" s="113"/>
      <c r="BM806" s="113"/>
      <c r="BN806" s="113"/>
      <c r="BO806" s="113"/>
      <c r="BP806" s="113"/>
      <c r="BQ806" s="113"/>
      <c r="BR806" s="113"/>
      <c r="BS806" s="113"/>
      <c r="BT806" s="113"/>
      <c r="BU806" s="113"/>
      <c r="BV806" s="113"/>
      <c r="BW806" s="113"/>
      <c r="BX806" s="113"/>
      <c r="BY806" s="113"/>
      <c r="BZ806" s="113"/>
      <c r="CA806" s="113"/>
      <c r="CB806" s="113"/>
      <c r="CC806" s="113"/>
      <c r="CD806" s="113"/>
      <c r="CE806" s="113"/>
      <c r="CF806" s="113"/>
      <c r="CG806" s="113"/>
      <c r="CH806" s="113"/>
      <c r="CI806" s="113"/>
      <c r="CJ806" s="113"/>
      <c r="CK806" s="113"/>
      <c r="CL806" s="113"/>
      <c r="CM806" s="113"/>
      <c r="CN806" s="113"/>
      <c r="CO806" s="113"/>
      <c r="CP806" s="113"/>
      <c r="CQ806" s="113"/>
      <c r="CR806" s="113"/>
      <c r="CS806" s="113"/>
      <c r="CT806" s="113"/>
      <c r="CU806" s="113"/>
    </row>
    <row r="807">
      <c r="A807" s="159"/>
      <c r="B807" s="113"/>
      <c r="C807" s="113"/>
      <c r="D807" s="158"/>
      <c r="E807" s="161"/>
      <c r="F807" s="160"/>
      <c r="G807" s="162"/>
      <c r="H807" s="159"/>
      <c r="I807" s="113"/>
      <c r="J807" s="113"/>
      <c r="K807" s="113"/>
      <c r="L807" s="158"/>
      <c r="M807" s="113"/>
      <c r="N807" s="113"/>
      <c r="O807" s="113"/>
      <c r="P807" s="113"/>
      <c r="Q807" s="113"/>
      <c r="R807" s="113"/>
      <c r="S807" s="113"/>
      <c r="T807" s="113"/>
      <c r="U807" s="113"/>
      <c r="V807" s="113"/>
      <c r="W807" s="113"/>
      <c r="X807" s="113"/>
      <c r="Y807" s="113"/>
      <c r="Z807" s="113"/>
      <c r="AA807" s="113"/>
      <c r="AB807" s="113"/>
      <c r="AC807" s="113"/>
      <c r="AD807" s="113"/>
      <c r="AE807" s="113"/>
      <c r="AF807" s="113"/>
      <c r="AG807" s="113"/>
      <c r="AH807" s="113"/>
      <c r="AI807" s="113"/>
      <c r="AJ807" s="113"/>
      <c r="AK807" s="113"/>
      <c r="AL807" s="113"/>
      <c r="AM807" s="113"/>
      <c r="AN807" s="113"/>
      <c r="AO807" s="113"/>
      <c r="AP807" s="113"/>
      <c r="AQ807" s="113"/>
      <c r="AR807" s="113"/>
      <c r="AS807" s="113"/>
      <c r="AT807" s="113"/>
      <c r="AU807" s="113"/>
      <c r="AV807" s="113"/>
      <c r="AW807" s="113"/>
      <c r="AX807" s="113"/>
      <c r="AY807" s="113"/>
      <c r="AZ807" s="113"/>
      <c r="BA807" s="113"/>
      <c r="BB807" s="113"/>
      <c r="BC807" s="113"/>
      <c r="BD807" s="113"/>
      <c r="BE807" s="113"/>
      <c r="BF807" s="113"/>
      <c r="BG807" s="113"/>
      <c r="BH807" s="113"/>
      <c r="BI807" s="113"/>
      <c r="BJ807" s="113"/>
      <c r="BK807" s="113"/>
      <c r="BL807" s="113"/>
      <c r="BM807" s="113"/>
      <c r="BN807" s="113"/>
      <c r="BO807" s="113"/>
      <c r="BP807" s="113"/>
      <c r="BQ807" s="113"/>
      <c r="BR807" s="113"/>
      <c r="BS807" s="113"/>
      <c r="BT807" s="113"/>
      <c r="BU807" s="113"/>
      <c r="BV807" s="113"/>
      <c r="BW807" s="113"/>
      <c r="BX807" s="113"/>
      <c r="BY807" s="113"/>
      <c r="BZ807" s="113"/>
      <c r="CA807" s="113"/>
      <c r="CB807" s="113"/>
      <c r="CC807" s="113"/>
      <c r="CD807" s="113"/>
      <c r="CE807" s="113"/>
      <c r="CF807" s="113"/>
      <c r="CG807" s="113"/>
      <c r="CH807" s="113"/>
      <c r="CI807" s="113"/>
      <c r="CJ807" s="113"/>
      <c r="CK807" s="113"/>
      <c r="CL807" s="113"/>
      <c r="CM807" s="113"/>
      <c r="CN807" s="113"/>
      <c r="CO807" s="113"/>
      <c r="CP807" s="113"/>
      <c r="CQ807" s="113"/>
      <c r="CR807" s="113"/>
      <c r="CS807" s="113"/>
      <c r="CT807" s="113"/>
      <c r="CU807" s="113"/>
    </row>
    <row r="808">
      <c r="A808" s="159"/>
      <c r="B808" s="113"/>
      <c r="C808" s="113"/>
      <c r="D808" s="158"/>
      <c r="E808" s="161"/>
      <c r="F808" s="160"/>
      <c r="G808" s="162"/>
      <c r="H808" s="159"/>
      <c r="I808" s="113"/>
      <c r="J808" s="113"/>
      <c r="K808" s="113"/>
      <c r="L808" s="158"/>
      <c r="M808" s="113"/>
      <c r="N808" s="113"/>
      <c r="O808" s="113"/>
      <c r="P808" s="113"/>
      <c r="Q808" s="113"/>
      <c r="R808" s="113"/>
      <c r="S808" s="113"/>
      <c r="T808" s="113"/>
      <c r="U808" s="113"/>
      <c r="V808" s="113"/>
      <c r="W808" s="113"/>
      <c r="X808" s="113"/>
      <c r="Y808" s="113"/>
      <c r="Z808" s="113"/>
      <c r="AA808" s="113"/>
      <c r="AB808" s="113"/>
      <c r="AC808" s="113"/>
      <c r="AD808" s="113"/>
      <c r="AE808" s="113"/>
      <c r="AF808" s="113"/>
      <c r="AG808" s="113"/>
      <c r="AH808" s="113"/>
      <c r="AI808" s="113"/>
      <c r="AJ808" s="113"/>
      <c r="AK808" s="113"/>
      <c r="AL808" s="113"/>
      <c r="AM808" s="113"/>
      <c r="AN808" s="113"/>
      <c r="AO808" s="113"/>
      <c r="AP808" s="113"/>
      <c r="AQ808" s="113"/>
      <c r="AR808" s="113"/>
      <c r="AS808" s="113"/>
      <c r="AT808" s="113"/>
      <c r="AU808" s="113"/>
      <c r="AV808" s="113"/>
      <c r="AW808" s="113"/>
      <c r="AX808" s="113"/>
      <c r="AY808" s="113"/>
      <c r="AZ808" s="113"/>
      <c r="BA808" s="113"/>
      <c r="BB808" s="113"/>
      <c r="BC808" s="113"/>
      <c r="BD808" s="113"/>
      <c r="BE808" s="113"/>
      <c r="BF808" s="113"/>
      <c r="BG808" s="113"/>
      <c r="BH808" s="113"/>
      <c r="BI808" s="113"/>
      <c r="BJ808" s="113"/>
      <c r="BK808" s="113"/>
      <c r="BL808" s="113"/>
      <c r="BM808" s="113"/>
      <c r="BN808" s="113"/>
      <c r="BO808" s="113"/>
      <c r="BP808" s="113"/>
      <c r="BQ808" s="113"/>
      <c r="BR808" s="113"/>
      <c r="BS808" s="113"/>
      <c r="BT808" s="113"/>
      <c r="BU808" s="113"/>
      <c r="BV808" s="113"/>
      <c r="BW808" s="113"/>
      <c r="BX808" s="113"/>
      <c r="BY808" s="113"/>
      <c r="BZ808" s="113"/>
      <c r="CA808" s="113"/>
      <c r="CB808" s="113"/>
      <c r="CC808" s="113"/>
      <c r="CD808" s="113"/>
      <c r="CE808" s="113"/>
      <c r="CF808" s="113"/>
      <c r="CG808" s="113"/>
      <c r="CH808" s="113"/>
      <c r="CI808" s="113"/>
      <c r="CJ808" s="113"/>
      <c r="CK808" s="113"/>
      <c r="CL808" s="113"/>
      <c r="CM808" s="113"/>
      <c r="CN808" s="113"/>
      <c r="CO808" s="113"/>
      <c r="CP808" s="113"/>
      <c r="CQ808" s="113"/>
      <c r="CR808" s="113"/>
      <c r="CS808" s="113"/>
      <c r="CT808" s="113"/>
      <c r="CU808" s="113"/>
    </row>
    <row r="809">
      <c r="A809" s="159"/>
      <c r="B809" s="113"/>
      <c r="C809" s="113"/>
      <c r="D809" s="158"/>
      <c r="E809" s="161"/>
      <c r="F809" s="160"/>
      <c r="G809" s="162"/>
      <c r="H809" s="159"/>
      <c r="I809" s="113"/>
      <c r="J809" s="113"/>
      <c r="K809" s="113"/>
      <c r="L809" s="158"/>
      <c r="M809" s="113"/>
      <c r="N809" s="113"/>
      <c r="O809" s="113"/>
      <c r="P809" s="113"/>
      <c r="Q809" s="113"/>
      <c r="R809" s="113"/>
      <c r="S809" s="113"/>
      <c r="T809" s="113"/>
      <c r="U809" s="113"/>
      <c r="V809" s="113"/>
      <c r="W809" s="113"/>
      <c r="X809" s="113"/>
      <c r="Y809" s="113"/>
      <c r="Z809" s="113"/>
      <c r="AA809" s="113"/>
      <c r="AB809" s="113"/>
      <c r="AC809" s="113"/>
      <c r="AD809" s="113"/>
      <c r="AE809" s="113"/>
      <c r="AF809" s="113"/>
      <c r="AG809" s="113"/>
      <c r="AH809" s="113"/>
      <c r="AI809" s="113"/>
      <c r="AJ809" s="113"/>
      <c r="AK809" s="113"/>
      <c r="AL809" s="113"/>
      <c r="AM809" s="113"/>
      <c r="AN809" s="113"/>
      <c r="AO809" s="113"/>
      <c r="AP809" s="113"/>
      <c r="AQ809" s="113"/>
      <c r="AR809" s="113"/>
      <c r="AS809" s="113"/>
      <c r="AT809" s="113"/>
      <c r="AU809" s="113"/>
      <c r="AV809" s="113"/>
      <c r="AW809" s="113"/>
      <c r="AX809" s="113"/>
      <c r="AY809" s="113"/>
      <c r="AZ809" s="113"/>
      <c r="BA809" s="113"/>
      <c r="BB809" s="113"/>
      <c r="BC809" s="113"/>
      <c r="BD809" s="113"/>
      <c r="BE809" s="113"/>
      <c r="BF809" s="113"/>
      <c r="BG809" s="113"/>
      <c r="BH809" s="113"/>
      <c r="BI809" s="113"/>
      <c r="BJ809" s="113"/>
      <c r="BK809" s="113"/>
      <c r="BL809" s="113"/>
      <c r="BM809" s="113"/>
      <c r="BN809" s="113"/>
      <c r="BO809" s="113"/>
      <c r="BP809" s="113"/>
      <c r="BQ809" s="113"/>
      <c r="BR809" s="113"/>
      <c r="BS809" s="113"/>
      <c r="BT809" s="113"/>
      <c r="BU809" s="113"/>
      <c r="BV809" s="113"/>
      <c r="BW809" s="113"/>
      <c r="BX809" s="113"/>
      <c r="BY809" s="113"/>
      <c r="BZ809" s="113"/>
      <c r="CA809" s="113"/>
      <c r="CB809" s="113"/>
      <c r="CC809" s="113"/>
      <c r="CD809" s="113"/>
      <c r="CE809" s="113"/>
      <c r="CF809" s="113"/>
      <c r="CG809" s="113"/>
      <c r="CH809" s="113"/>
      <c r="CI809" s="113"/>
      <c r="CJ809" s="113"/>
      <c r="CK809" s="113"/>
      <c r="CL809" s="113"/>
      <c r="CM809" s="113"/>
      <c r="CN809" s="113"/>
      <c r="CO809" s="113"/>
      <c r="CP809" s="113"/>
      <c r="CQ809" s="113"/>
      <c r="CR809" s="113"/>
      <c r="CS809" s="113"/>
      <c r="CT809" s="113"/>
      <c r="CU809" s="113"/>
    </row>
    <row r="810">
      <c r="A810" s="159"/>
      <c r="B810" s="113"/>
      <c r="C810" s="113"/>
      <c r="D810" s="158"/>
      <c r="E810" s="161"/>
      <c r="F810" s="160"/>
      <c r="G810" s="162"/>
      <c r="H810" s="159"/>
      <c r="I810" s="113"/>
      <c r="J810" s="113"/>
      <c r="K810" s="113"/>
      <c r="L810" s="158"/>
      <c r="M810" s="113"/>
      <c r="N810" s="113"/>
      <c r="O810" s="113"/>
      <c r="P810" s="113"/>
      <c r="Q810" s="113"/>
      <c r="R810" s="113"/>
      <c r="S810" s="113"/>
      <c r="T810" s="113"/>
      <c r="U810" s="113"/>
      <c r="V810" s="113"/>
      <c r="W810" s="113"/>
      <c r="X810" s="113"/>
      <c r="Y810" s="113"/>
      <c r="Z810" s="113"/>
      <c r="AA810" s="113"/>
      <c r="AB810" s="113"/>
      <c r="AC810" s="113"/>
      <c r="AD810" s="113"/>
      <c r="AE810" s="113"/>
      <c r="AF810" s="113"/>
      <c r="AG810" s="113"/>
      <c r="AH810" s="113"/>
      <c r="AI810" s="113"/>
      <c r="AJ810" s="113"/>
      <c r="AK810" s="113"/>
      <c r="AL810" s="113"/>
      <c r="AM810" s="113"/>
      <c r="AN810" s="113"/>
      <c r="AO810" s="113"/>
      <c r="AP810" s="113"/>
      <c r="AQ810" s="113"/>
      <c r="AR810" s="113"/>
      <c r="AS810" s="113"/>
      <c r="AT810" s="113"/>
      <c r="AU810" s="113"/>
      <c r="AV810" s="113"/>
      <c r="AW810" s="113"/>
      <c r="AX810" s="113"/>
      <c r="AY810" s="113"/>
      <c r="AZ810" s="113"/>
      <c r="BA810" s="113"/>
      <c r="BB810" s="113"/>
      <c r="BC810" s="113"/>
      <c r="BD810" s="113"/>
      <c r="BE810" s="113"/>
      <c r="BF810" s="113"/>
      <c r="BG810" s="113"/>
      <c r="BH810" s="113"/>
      <c r="BI810" s="113"/>
      <c r="BJ810" s="113"/>
      <c r="BK810" s="113"/>
      <c r="BL810" s="113"/>
      <c r="BM810" s="113"/>
      <c r="BN810" s="113"/>
      <c r="BO810" s="113"/>
      <c r="BP810" s="113"/>
      <c r="BQ810" s="113"/>
      <c r="BR810" s="113"/>
      <c r="BS810" s="113"/>
      <c r="BT810" s="113"/>
      <c r="BU810" s="113"/>
      <c r="BV810" s="113"/>
      <c r="BW810" s="113"/>
      <c r="BX810" s="113"/>
      <c r="BY810" s="113"/>
      <c r="BZ810" s="113"/>
      <c r="CA810" s="113"/>
      <c r="CB810" s="113"/>
      <c r="CC810" s="113"/>
      <c r="CD810" s="113"/>
      <c r="CE810" s="113"/>
      <c r="CF810" s="113"/>
      <c r="CG810" s="113"/>
      <c r="CH810" s="113"/>
      <c r="CI810" s="113"/>
      <c r="CJ810" s="113"/>
      <c r="CK810" s="113"/>
      <c r="CL810" s="113"/>
      <c r="CM810" s="113"/>
      <c r="CN810" s="113"/>
      <c r="CO810" s="113"/>
      <c r="CP810" s="113"/>
      <c r="CQ810" s="113"/>
      <c r="CR810" s="113"/>
      <c r="CS810" s="113"/>
      <c r="CT810" s="113"/>
      <c r="CU810" s="113"/>
    </row>
    <row r="811">
      <c r="A811" s="159"/>
      <c r="B811" s="113"/>
      <c r="C811" s="113"/>
      <c r="D811" s="158"/>
      <c r="E811" s="161"/>
      <c r="F811" s="160"/>
      <c r="G811" s="162"/>
      <c r="H811" s="159"/>
      <c r="I811" s="113"/>
      <c r="J811" s="113"/>
      <c r="K811" s="113"/>
      <c r="L811" s="158"/>
      <c r="M811" s="113"/>
      <c r="N811" s="113"/>
      <c r="O811" s="113"/>
      <c r="P811" s="113"/>
      <c r="Q811" s="113"/>
      <c r="R811" s="113"/>
      <c r="S811" s="113"/>
      <c r="T811" s="113"/>
      <c r="U811" s="113"/>
      <c r="V811" s="113"/>
      <c r="W811" s="113"/>
      <c r="X811" s="113"/>
      <c r="Y811" s="113"/>
      <c r="Z811" s="113"/>
      <c r="AA811" s="113"/>
      <c r="AB811" s="113"/>
      <c r="AC811" s="113"/>
      <c r="AD811" s="113"/>
      <c r="AE811" s="113"/>
      <c r="AF811" s="113"/>
      <c r="AG811" s="113"/>
      <c r="AH811" s="113"/>
      <c r="AI811" s="113"/>
      <c r="AJ811" s="113"/>
      <c r="AK811" s="113"/>
      <c r="AL811" s="113"/>
      <c r="AM811" s="113"/>
      <c r="AN811" s="113"/>
      <c r="AO811" s="113"/>
      <c r="AP811" s="113"/>
      <c r="AQ811" s="113"/>
      <c r="AR811" s="113"/>
      <c r="AS811" s="113"/>
      <c r="AT811" s="113"/>
      <c r="AU811" s="113"/>
      <c r="AV811" s="113"/>
      <c r="AW811" s="113"/>
      <c r="AX811" s="113"/>
      <c r="AY811" s="113"/>
      <c r="AZ811" s="113"/>
      <c r="BA811" s="113"/>
      <c r="BB811" s="113"/>
      <c r="BC811" s="113"/>
      <c r="BD811" s="113"/>
      <c r="BE811" s="113"/>
      <c r="BF811" s="113"/>
      <c r="BG811" s="113"/>
      <c r="BH811" s="113"/>
      <c r="BI811" s="113"/>
      <c r="BJ811" s="113"/>
      <c r="BK811" s="113"/>
      <c r="BL811" s="113"/>
      <c r="BM811" s="113"/>
      <c r="BN811" s="113"/>
      <c r="BO811" s="113"/>
      <c r="BP811" s="113"/>
      <c r="BQ811" s="113"/>
      <c r="BR811" s="113"/>
      <c r="BS811" s="113"/>
      <c r="BT811" s="113"/>
      <c r="BU811" s="113"/>
      <c r="BV811" s="113"/>
      <c r="BW811" s="113"/>
      <c r="BX811" s="113"/>
      <c r="BY811" s="113"/>
      <c r="BZ811" s="113"/>
      <c r="CA811" s="113"/>
      <c r="CB811" s="113"/>
      <c r="CC811" s="113"/>
      <c r="CD811" s="113"/>
      <c r="CE811" s="113"/>
      <c r="CF811" s="113"/>
      <c r="CG811" s="113"/>
      <c r="CH811" s="113"/>
      <c r="CI811" s="113"/>
      <c r="CJ811" s="113"/>
      <c r="CK811" s="113"/>
      <c r="CL811" s="113"/>
      <c r="CM811" s="113"/>
      <c r="CN811" s="113"/>
      <c r="CO811" s="113"/>
      <c r="CP811" s="113"/>
      <c r="CQ811" s="113"/>
      <c r="CR811" s="113"/>
      <c r="CS811" s="113"/>
      <c r="CT811" s="113"/>
      <c r="CU811" s="113"/>
    </row>
    <row r="812">
      <c r="A812" s="159"/>
      <c r="B812" s="113"/>
      <c r="C812" s="113"/>
      <c r="D812" s="158"/>
      <c r="E812" s="161"/>
      <c r="F812" s="160"/>
      <c r="G812" s="162"/>
      <c r="H812" s="159"/>
      <c r="I812" s="113"/>
      <c r="J812" s="113"/>
      <c r="K812" s="113"/>
      <c r="L812" s="158"/>
      <c r="M812" s="113"/>
      <c r="N812" s="113"/>
      <c r="O812" s="113"/>
      <c r="P812" s="113"/>
      <c r="Q812" s="113"/>
      <c r="R812" s="113"/>
      <c r="S812" s="113"/>
      <c r="T812" s="113"/>
      <c r="U812" s="113"/>
      <c r="V812" s="113"/>
      <c r="W812" s="113"/>
      <c r="X812" s="113"/>
      <c r="Y812" s="113"/>
      <c r="Z812" s="113"/>
      <c r="AA812" s="113"/>
      <c r="AB812" s="113"/>
      <c r="AC812" s="113"/>
      <c r="AD812" s="113"/>
      <c r="AE812" s="113"/>
      <c r="AF812" s="113"/>
      <c r="AG812" s="113"/>
      <c r="AH812" s="113"/>
      <c r="AI812" s="113"/>
      <c r="AJ812" s="113"/>
      <c r="AK812" s="113"/>
      <c r="AL812" s="113"/>
      <c r="AM812" s="113"/>
      <c r="AN812" s="113"/>
      <c r="AO812" s="113"/>
      <c r="AP812" s="113"/>
      <c r="AQ812" s="113"/>
      <c r="AR812" s="113"/>
      <c r="AS812" s="113"/>
      <c r="AT812" s="113"/>
      <c r="AU812" s="113"/>
      <c r="AV812" s="113"/>
      <c r="AW812" s="113"/>
      <c r="AX812" s="113"/>
      <c r="AY812" s="113"/>
      <c r="AZ812" s="113"/>
      <c r="BA812" s="113"/>
      <c r="BB812" s="113"/>
      <c r="BC812" s="113"/>
      <c r="BD812" s="113"/>
      <c r="BE812" s="113"/>
      <c r="BF812" s="113"/>
      <c r="BG812" s="113"/>
      <c r="BH812" s="113"/>
      <c r="BI812" s="113"/>
      <c r="BJ812" s="113"/>
      <c r="BK812" s="113"/>
      <c r="BL812" s="113"/>
      <c r="BM812" s="113"/>
      <c r="BN812" s="113"/>
      <c r="BO812" s="113"/>
      <c r="BP812" s="113"/>
      <c r="BQ812" s="113"/>
      <c r="BR812" s="113"/>
      <c r="BS812" s="113"/>
      <c r="BT812" s="113"/>
      <c r="BU812" s="113"/>
      <c r="BV812" s="113"/>
      <c r="BW812" s="113"/>
      <c r="BX812" s="113"/>
      <c r="BY812" s="113"/>
      <c r="BZ812" s="113"/>
      <c r="CA812" s="113"/>
      <c r="CB812" s="113"/>
      <c r="CC812" s="113"/>
      <c r="CD812" s="113"/>
      <c r="CE812" s="113"/>
      <c r="CF812" s="113"/>
      <c r="CG812" s="113"/>
      <c r="CH812" s="113"/>
      <c r="CI812" s="113"/>
      <c r="CJ812" s="113"/>
      <c r="CK812" s="113"/>
      <c r="CL812" s="113"/>
      <c r="CM812" s="113"/>
      <c r="CN812" s="113"/>
      <c r="CO812" s="113"/>
      <c r="CP812" s="113"/>
      <c r="CQ812" s="113"/>
      <c r="CR812" s="113"/>
      <c r="CS812" s="113"/>
      <c r="CT812" s="113"/>
      <c r="CU812" s="113"/>
    </row>
    <row r="813">
      <c r="A813" s="159"/>
      <c r="B813" s="113"/>
      <c r="C813" s="113"/>
      <c r="D813" s="158"/>
      <c r="E813" s="161"/>
      <c r="F813" s="160"/>
      <c r="G813" s="162"/>
      <c r="H813" s="159"/>
      <c r="I813" s="113"/>
      <c r="J813" s="113"/>
      <c r="K813" s="113"/>
      <c r="L813" s="158"/>
      <c r="M813" s="113"/>
      <c r="N813" s="113"/>
      <c r="O813" s="113"/>
      <c r="P813" s="113"/>
      <c r="Q813" s="113"/>
      <c r="R813" s="113"/>
      <c r="S813" s="113"/>
      <c r="T813" s="113"/>
      <c r="U813" s="113"/>
      <c r="V813" s="113"/>
      <c r="W813" s="113"/>
      <c r="X813" s="113"/>
      <c r="Y813" s="113"/>
      <c r="Z813" s="113"/>
      <c r="AA813" s="113"/>
      <c r="AB813" s="113"/>
      <c r="AC813" s="113"/>
      <c r="AD813" s="113"/>
      <c r="AE813" s="113"/>
      <c r="AF813" s="113"/>
      <c r="AG813" s="113"/>
      <c r="AH813" s="113"/>
      <c r="AI813" s="113"/>
      <c r="AJ813" s="113"/>
      <c r="AK813" s="113"/>
      <c r="AL813" s="113"/>
      <c r="AM813" s="113"/>
      <c r="AN813" s="113"/>
      <c r="AO813" s="113"/>
      <c r="AP813" s="113"/>
      <c r="AQ813" s="113"/>
      <c r="AR813" s="113"/>
      <c r="AS813" s="113"/>
      <c r="AT813" s="113"/>
      <c r="AU813" s="113"/>
      <c r="AV813" s="113"/>
      <c r="AW813" s="113"/>
      <c r="AX813" s="113"/>
      <c r="AY813" s="113"/>
      <c r="AZ813" s="113"/>
      <c r="BA813" s="113"/>
      <c r="BB813" s="113"/>
      <c r="BC813" s="113"/>
      <c r="BD813" s="113"/>
      <c r="BE813" s="113"/>
      <c r="BF813" s="113"/>
      <c r="BG813" s="113"/>
      <c r="BH813" s="113"/>
      <c r="BI813" s="113"/>
      <c r="BJ813" s="113"/>
      <c r="BK813" s="113"/>
      <c r="BL813" s="113"/>
      <c r="BM813" s="113"/>
      <c r="BN813" s="113"/>
      <c r="BO813" s="113"/>
      <c r="BP813" s="113"/>
      <c r="BQ813" s="113"/>
      <c r="BR813" s="113"/>
      <c r="BS813" s="113"/>
      <c r="BT813" s="113"/>
      <c r="BU813" s="113"/>
      <c r="BV813" s="113"/>
      <c r="BW813" s="113"/>
      <c r="BX813" s="113"/>
      <c r="BY813" s="113"/>
      <c r="BZ813" s="113"/>
      <c r="CA813" s="113"/>
      <c r="CB813" s="113"/>
      <c r="CC813" s="113"/>
      <c r="CD813" s="113"/>
      <c r="CE813" s="113"/>
      <c r="CF813" s="113"/>
      <c r="CG813" s="113"/>
      <c r="CH813" s="113"/>
      <c r="CI813" s="113"/>
      <c r="CJ813" s="113"/>
      <c r="CK813" s="113"/>
      <c r="CL813" s="113"/>
      <c r="CM813" s="113"/>
      <c r="CN813" s="113"/>
      <c r="CO813" s="113"/>
      <c r="CP813" s="113"/>
      <c r="CQ813" s="113"/>
      <c r="CR813" s="113"/>
      <c r="CS813" s="113"/>
      <c r="CT813" s="113"/>
      <c r="CU813" s="113"/>
    </row>
    <row r="814">
      <c r="A814" s="159"/>
      <c r="B814" s="113"/>
      <c r="C814" s="113"/>
      <c r="D814" s="158"/>
      <c r="E814" s="161"/>
      <c r="F814" s="160"/>
      <c r="G814" s="162"/>
      <c r="H814" s="159"/>
      <c r="I814" s="113"/>
      <c r="J814" s="113"/>
      <c r="K814" s="113"/>
      <c r="L814" s="158"/>
      <c r="M814" s="113"/>
      <c r="N814" s="113"/>
      <c r="O814" s="113"/>
      <c r="P814" s="113"/>
      <c r="Q814" s="113"/>
      <c r="R814" s="113"/>
      <c r="S814" s="113"/>
      <c r="T814" s="113"/>
      <c r="U814" s="113"/>
      <c r="V814" s="113"/>
      <c r="W814" s="113"/>
      <c r="X814" s="113"/>
      <c r="Y814" s="113"/>
      <c r="Z814" s="113"/>
      <c r="AA814" s="113"/>
      <c r="AB814" s="113"/>
      <c r="AC814" s="113"/>
      <c r="AD814" s="113"/>
      <c r="AE814" s="113"/>
      <c r="AF814" s="113"/>
      <c r="AG814" s="113"/>
      <c r="AH814" s="113"/>
      <c r="AI814" s="113"/>
      <c r="AJ814" s="113"/>
      <c r="AK814" s="113"/>
      <c r="AL814" s="113"/>
      <c r="AM814" s="113"/>
      <c r="AN814" s="113"/>
      <c r="AO814" s="113"/>
      <c r="AP814" s="113"/>
      <c r="AQ814" s="113"/>
      <c r="AR814" s="113"/>
      <c r="AS814" s="113"/>
      <c r="AT814" s="113"/>
      <c r="AU814" s="113"/>
      <c r="AV814" s="113"/>
      <c r="AW814" s="113"/>
      <c r="AX814" s="113"/>
      <c r="AY814" s="113"/>
      <c r="AZ814" s="113"/>
      <c r="BA814" s="113"/>
      <c r="BB814" s="113"/>
      <c r="BC814" s="113"/>
      <c r="BD814" s="113"/>
      <c r="BE814" s="113"/>
      <c r="BF814" s="113"/>
      <c r="BG814" s="113"/>
      <c r="BH814" s="113"/>
      <c r="BI814" s="113"/>
      <c r="BJ814" s="113"/>
      <c r="BK814" s="113"/>
      <c r="BL814" s="113"/>
      <c r="BM814" s="113"/>
      <c r="BN814" s="113"/>
      <c r="BO814" s="113"/>
      <c r="BP814" s="113"/>
      <c r="BQ814" s="113"/>
      <c r="BR814" s="113"/>
      <c r="BS814" s="113"/>
      <c r="BT814" s="113"/>
      <c r="BU814" s="113"/>
      <c r="BV814" s="113"/>
      <c r="BW814" s="113"/>
      <c r="BX814" s="113"/>
      <c r="BY814" s="113"/>
      <c r="BZ814" s="113"/>
      <c r="CA814" s="113"/>
      <c r="CB814" s="113"/>
      <c r="CC814" s="113"/>
      <c r="CD814" s="113"/>
      <c r="CE814" s="113"/>
      <c r="CF814" s="113"/>
      <c r="CG814" s="113"/>
      <c r="CH814" s="113"/>
      <c r="CI814" s="113"/>
      <c r="CJ814" s="113"/>
      <c r="CK814" s="113"/>
      <c r="CL814" s="113"/>
      <c r="CM814" s="113"/>
      <c r="CN814" s="113"/>
      <c r="CO814" s="113"/>
      <c r="CP814" s="113"/>
      <c r="CQ814" s="113"/>
      <c r="CR814" s="113"/>
      <c r="CS814" s="113"/>
      <c r="CT814" s="113"/>
      <c r="CU814" s="113"/>
    </row>
    <row r="815">
      <c r="A815" s="159"/>
      <c r="B815" s="113"/>
      <c r="C815" s="113"/>
      <c r="D815" s="158"/>
      <c r="E815" s="161"/>
      <c r="F815" s="160"/>
      <c r="G815" s="162"/>
      <c r="H815" s="159"/>
      <c r="I815" s="113"/>
      <c r="J815" s="113"/>
      <c r="K815" s="113"/>
      <c r="L815" s="158"/>
      <c r="M815" s="113"/>
      <c r="N815" s="113"/>
      <c r="O815" s="113"/>
      <c r="P815" s="113"/>
      <c r="Q815" s="113"/>
      <c r="R815" s="113"/>
      <c r="S815" s="113"/>
      <c r="T815" s="113"/>
      <c r="U815" s="113"/>
      <c r="V815" s="113"/>
      <c r="W815" s="113"/>
      <c r="X815" s="113"/>
      <c r="Y815" s="113"/>
      <c r="Z815" s="113"/>
      <c r="AA815" s="113"/>
      <c r="AB815" s="113"/>
      <c r="AC815" s="113"/>
      <c r="AD815" s="113"/>
      <c r="AE815" s="113"/>
      <c r="AF815" s="113"/>
      <c r="AG815" s="113"/>
      <c r="AH815" s="113"/>
      <c r="AI815" s="113"/>
      <c r="AJ815" s="113"/>
      <c r="AK815" s="113"/>
      <c r="AL815" s="113"/>
      <c r="AM815" s="113"/>
      <c r="AN815" s="113"/>
      <c r="AO815" s="113"/>
      <c r="AP815" s="113"/>
      <c r="AQ815" s="113"/>
      <c r="AR815" s="113"/>
      <c r="AS815" s="113"/>
      <c r="AT815" s="113"/>
      <c r="AU815" s="113"/>
      <c r="AV815" s="113"/>
      <c r="AW815" s="113"/>
      <c r="AX815" s="113"/>
      <c r="AY815" s="113"/>
      <c r="AZ815" s="113"/>
      <c r="BA815" s="113"/>
      <c r="BB815" s="113"/>
      <c r="BC815" s="113"/>
      <c r="BD815" s="113"/>
      <c r="BE815" s="113"/>
      <c r="BF815" s="113"/>
      <c r="BG815" s="113"/>
      <c r="BH815" s="113"/>
      <c r="BI815" s="113"/>
      <c r="BJ815" s="113"/>
      <c r="BK815" s="113"/>
      <c r="BL815" s="113"/>
      <c r="BM815" s="113"/>
      <c r="BN815" s="113"/>
      <c r="BO815" s="113"/>
      <c r="BP815" s="113"/>
      <c r="BQ815" s="113"/>
      <c r="BR815" s="113"/>
      <c r="BS815" s="113"/>
      <c r="BT815" s="113"/>
      <c r="BU815" s="113"/>
      <c r="BV815" s="113"/>
      <c r="BW815" s="113"/>
      <c r="BX815" s="113"/>
      <c r="BY815" s="113"/>
      <c r="BZ815" s="113"/>
      <c r="CA815" s="113"/>
      <c r="CB815" s="113"/>
      <c r="CC815" s="113"/>
      <c r="CD815" s="113"/>
      <c r="CE815" s="113"/>
      <c r="CF815" s="113"/>
      <c r="CG815" s="113"/>
      <c r="CH815" s="113"/>
      <c r="CI815" s="113"/>
      <c r="CJ815" s="113"/>
      <c r="CK815" s="113"/>
      <c r="CL815" s="113"/>
      <c r="CM815" s="113"/>
      <c r="CN815" s="113"/>
      <c r="CO815" s="113"/>
      <c r="CP815" s="113"/>
      <c r="CQ815" s="113"/>
      <c r="CR815" s="113"/>
      <c r="CS815" s="113"/>
      <c r="CT815" s="113"/>
      <c r="CU815" s="113"/>
    </row>
    <row r="816">
      <c r="A816" s="159"/>
      <c r="B816" s="113"/>
      <c r="C816" s="113"/>
      <c r="D816" s="158"/>
      <c r="E816" s="161"/>
      <c r="F816" s="160"/>
      <c r="G816" s="162"/>
      <c r="H816" s="159"/>
      <c r="I816" s="113"/>
      <c r="J816" s="113"/>
      <c r="K816" s="113"/>
      <c r="L816" s="158"/>
      <c r="M816" s="113"/>
      <c r="N816" s="113"/>
      <c r="O816" s="113"/>
      <c r="P816" s="113"/>
      <c r="Q816" s="113"/>
      <c r="R816" s="113"/>
      <c r="S816" s="113"/>
      <c r="T816" s="113"/>
      <c r="U816" s="113"/>
      <c r="V816" s="113"/>
      <c r="W816" s="113"/>
      <c r="X816" s="113"/>
      <c r="Y816" s="113"/>
      <c r="Z816" s="113"/>
      <c r="AA816" s="113"/>
      <c r="AB816" s="113"/>
      <c r="AC816" s="113"/>
      <c r="AD816" s="113"/>
      <c r="AE816" s="113"/>
      <c r="AF816" s="113"/>
      <c r="AG816" s="113"/>
      <c r="AH816" s="113"/>
      <c r="AI816" s="113"/>
      <c r="AJ816" s="113"/>
      <c r="AK816" s="113"/>
      <c r="AL816" s="113"/>
      <c r="AM816" s="113"/>
      <c r="AN816" s="113"/>
      <c r="AO816" s="113"/>
      <c r="AP816" s="113"/>
      <c r="AQ816" s="113"/>
      <c r="AR816" s="113"/>
      <c r="AS816" s="113"/>
      <c r="AT816" s="113"/>
      <c r="AU816" s="113"/>
      <c r="AV816" s="113"/>
      <c r="AW816" s="113"/>
      <c r="AX816" s="113"/>
      <c r="AY816" s="113"/>
      <c r="AZ816" s="113"/>
      <c r="BA816" s="113"/>
      <c r="BB816" s="113"/>
      <c r="BC816" s="113"/>
      <c r="BD816" s="113"/>
      <c r="BE816" s="113"/>
      <c r="BF816" s="113"/>
      <c r="BG816" s="113"/>
      <c r="BH816" s="113"/>
      <c r="BI816" s="113"/>
      <c r="BJ816" s="113"/>
      <c r="BK816" s="113"/>
      <c r="BL816" s="113"/>
      <c r="BM816" s="113"/>
      <c r="BN816" s="113"/>
      <c r="BO816" s="113"/>
      <c r="BP816" s="113"/>
      <c r="BQ816" s="113"/>
      <c r="BR816" s="113"/>
      <c r="BS816" s="113"/>
      <c r="BT816" s="113"/>
      <c r="BU816" s="113"/>
      <c r="BV816" s="113"/>
      <c r="BW816" s="113"/>
      <c r="BX816" s="113"/>
      <c r="BY816" s="113"/>
      <c r="BZ816" s="113"/>
      <c r="CA816" s="113"/>
      <c r="CB816" s="113"/>
      <c r="CC816" s="113"/>
      <c r="CD816" s="113"/>
      <c r="CE816" s="113"/>
      <c r="CF816" s="113"/>
      <c r="CG816" s="113"/>
      <c r="CH816" s="113"/>
      <c r="CI816" s="113"/>
      <c r="CJ816" s="113"/>
      <c r="CK816" s="113"/>
      <c r="CL816" s="113"/>
      <c r="CM816" s="113"/>
      <c r="CN816" s="113"/>
      <c r="CO816" s="113"/>
      <c r="CP816" s="113"/>
      <c r="CQ816" s="113"/>
      <c r="CR816" s="113"/>
      <c r="CS816" s="113"/>
      <c r="CT816" s="113"/>
      <c r="CU816" s="113"/>
    </row>
    <row r="817">
      <c r="A817" s="159"/>
      <c r="B817" s="113"/>
      <c r="C817" s="113"/>
      <c r="D817" s="158"/>
      <c r="E817" s="161"/>
      <c r="F817" s="160"/>
      <c r="G817" s="162"/>
      <c r="H817" s="159"/>
      <c r="I817" s="113"/>
      <c r="J817" s="113"/>
      <c r="K817" s="113"/>
      <c r="L817" s="158"/>
      <c r="M817" s="113"/>
      <c r="N817" s="113"/>
      <c r="O817" s="113"/>
      <c r="P817" s="113"/>
      <c r="Q817" s="113"/>
      <c r="R817" s="113"/>
      <c r="S817" s="113"/>
      <c r="T817" s="113"/>
      <c r="U817" s="113"/>
      <c r="V817" s="113"/>
      <c r="W817" s="113"/>
      <c r="X817" s="113"/>
      <c r="Y817" s="113"/>
      <c r="Z817" s="113"/>
      <c r="AA817" s="113"/>
      <c r="AB817" s="113"/>
      <c r="AC817" s="113"/>
      <c r="AD817" s="113"/>
      <c r="AE817" s="113"/>
      <c r="AF817" s="113"/>
      <c r="AG817" s="113"/>
      <c r="AH817" s="113"/>
      <c r="AI817" s="113"/>
      <c r="AJ817" s="113"/>
      <c r="AK817" s="113"/>
      <c r="AL817" s="113"/>
      <c r="AM817" s="113"/>
      <c r="AN817" s="113"/>
      <c r="AO817" s="113"/>
      <c r="AP817" s="113"/>
      <c r="AQ817" s="113"/>
      <c r="AR817" s="113"/>
      <c r="AS817" s="113"/>
      <c r="AT817" s="113"/>
      <c r="AU817" s="113"/>
      <c r="AV817" s="113"/>
      <c r="AW817" s="113"/>
      <c r="AX817" s="113"/>
      <c r="AY817" s="113"/>
      <c r="AZ817" s="113"/>
      <c r="BA817" s="113"/>
      <c r="BB817" s="113"/>
      <c r="BC817" s="113"/>
      <c r="BD817" s="113"/>
      <c r="BE817" s="113"/>
      <c r="BF817" s="113"/>
      <c r="BG817" s="113"/>
      <c r="BH817" s="113"/>
      <c r="BI817" s="113"/>
      <c r="BJ817" s="113"/>
      <c r="BK817" s="113"/>
      <c r="BL817" s="113"/>
      <c r="BM817" s="113"/>
      <c r="BN817" s="113"/>
      <c r="BO817" s="113"/>
      <c r="BP817" s="113"/>
      <c r="BQ817" s="113"/>
      <c r="BR817" s="113"/>
      <c r="BS817" s="113"/>
      <c r="BT817" s="113"/>
      <c r="BU817" s="113"/>
      <c r="BV817" s="113"/>
      <c r="BW817" s="113"/>
      <c r="BX817" s="113"/>
      <c r="BY817" s="113"/>
      <c r="BZ817" s="113"/>
      <c r="CA817" s="113"/>
      <c r="CB817" s="113"/>
      <c r="CC817" s="113"/>
      <c r="CD817" s="113"/>
      <c r="CE817" s="113"/>
      <c r="CF817" s="113"/>
      <c r="CG817" s="113"/>
      <c r="CH817" s="113"/>
      <c r="CI817" s="113"/>
      <c r="CJ817" s="113"/>
      <c r="CK817" s="113"/>
      <c r="CL817" s="113"/>
      <c r="CM817" s="113"/>
      <c r="CN817" s="113"/>
      <c r="CO817" s="113"/>
      <c r="CP817" s="113"/>
      <c r="CQ817" s="113"/>
      <c r="CR817" s="113"/>
      <c r="CS817" s="113"/>
      <c r="CT817" s="113"/>
      <c r="CU817" s="113"/>
    </row>
    <row r="818">
      <c r="A818" s="159"/>
      <c r="B818" s="113"/>
      <c r="C818" s="113"/>
      <c r="D818" s="158"/>
      <c r="E818" s="161"/>
      <c r="F818" s="160"/>
      <c r="G818" s="162"/>
      <c r="H818" s="159"/>
      <c r="I818" s="113"/>
      <c r="J818" s="113"/>
      <c r="K818" s="113"/>
      <c r="L818" s="158"/>
      <c r="M818" s="113"/>
      <c r="N818" s="113"/>
      <c r="O818" s="113"/>
      <c r="P818" s="113"/>
      <c r="Q818" s="113"/>
      <c r="R818" s="113"/>
      <c r="S818" s="113"/>
      <c r="T818" s="113"/>
      <c r="U818" s="113"/>
      <c r="V818" s="113"/>
      <c r="W818" s="113"/>
      <c r="X818" s="113"/>
      <c r="Y818" s="113"/>
      <c r="Z818" s="113"/>
      <c r="AA818" s="113"/>
      <c r="AB818" s="113"/>
      <c r="AC818" s="113"/>
      <c r="AD818" s="113"/>
      <c r="AE818" s="113"/>
      <c r="AF818" s="113"/>
      <c r="AG818" s="113"/>
      <c r="AH818" s="113"/>
      <c r="AI818" s="113"/>
      <c r="AJ818" s="113"/>
      <c r="AK818" s="113"/>
      <c r="AL818" s="113"/>
      <c r="AM818" s="113"/>
      <c r="AN818" s="113"/>
      <c r="AO818" s="113"/>
      <c r="AP818" s="113"/>
      <c r="AQ818" s="113"/>
      <c r="AR818" s="113"/>
      <c r="AS818" s="113"/>
      <c r="AT818" s="113"/>
      <c r="AU818" s="113"/>
      <c r="AV818" s="113"/>
      <c r="AW818" s="113"/>
      <c r="AX818" s="113"/>
      <c r="AY818" s="113"/>
      <c r="AZ818" s="113"/>
      <c r="BA818" s="113"/>
      <c r="BB818" s="113"/>
      <c r="BC818" s="113"/>
      <c r="BD818" s="113"/>
      <c r="BE818" s="113"/>
      <c r="BF818" s="113"/>
      <c r="BG818" s="113"/>
      <c r="BH818" s="113"/>
      <c r="BI818" s="113"/>
      <c r="BJ818" s="113"/>
      <c r="BK818" s="113"/>
      <c r="BL818" s="113"/>
      <c r="BM818" s="113"/>
      <c r="BN818" s="113"/>
      <c r="BO818" s="113"/>
      <c r="BP818" s="113"/>
      <c r="BQ818" s="113"/>
      <c r="BR818" s="113"/>
      <c r="BS818" s="113"/>
      <c r="BT818" s="113"/>
      <c r="BU818" s="113"/>
      <c r="BV818" s="113"/>
      <c r="BW818" s="113"/>
      <c r="BX818" s="113"/>
      <c r="BY818" s="113"/>
      <c r="BZ818" s="113"/>
      <c r="CA818" s="113"/>
      <c r="CB818" s="113"/>
      <c r="CC818" s="113"/>
      <c r="CD818" s="113"/>
      <c r="CE818" s="113"/>
      <c r="CF818" s="113"/>
      <c r="CG818" s="113"/>
      <c r="CH818" s="113"/>
      <c r="CI818" s="113"/>
      <c r="CJ818" s="113"/>
      <c r="CK818" s="113"/>
      <c r="CL818" s="113"/>
      <c r="CM818" s="113"/>
      <c r="CN818" s="113"/>
      <c r="CO818" s="113"/>
      <c r="CP818" s="113"/>
      <c r="CQ818" s="113"/>
      <c r="CR818" s="113"/>
      <c r="CS818" s="113"/>
      <c r="CT818" s="113"/>
      <c r="CU818" s="113"/>
    </row>
    <row r="819">
      <c r="A819" s="159"/>
      <c r="B819" s="113"/>
      <c r="C819" s="113"/>
      <c r="D819" s="158"/>
      <c r="E819" s="161"/>
      <c r="F819" s="160"/>
      <c r="G819" s="162"/>
      <c r="H819" s="159"/>
      <c r="I819" s="113"/>
      <c r="J819" s="113"/>
      <c r="K819" s="113"/>
      <c r="L819" s="158"/>
      <c r="M819" s="113"/>
      <c r="N819" s="113"/>
      <c r="O819" s="113"/>
      <c r="P819" s="113"/>
      <c r="Q819" s="113"/>
      <c r="R819" s="113"/>
      <c r="S819" s="113"/>
      <c r="T819" s="113"/>
      <c r="U819" s="113"/>
      <c r="V819" s="113"/>
      <c r="W819" s="113"/>
      <c r="X819" s="113"/>
      <c r="Y819" s="113"/>
      <c r="Z819" s="113"/>
      <c r="AA819" s="113"/>
      <c r="AB819" s="113"/>
      <c r="AC819" s="113"/>
      <c r="AD819" s="113"/>
      <c r="AE819" s="113"/>
      <c r="AF819" s="113"/>
      <c r="AG819" s="113"/>
      <c r="AH819" s="113"/>
      <c r="AI819" s="113"/>
      <c r="AJ819" s="113"/>
      <c r="AK819" s="113"/>
      <c r="AL819" s="113"/>
      <c r="AM819" s="113"/>
      <c r="AN819" s="113"/>
      <c r="AO819" s="113"/>
      <c r="AP819" s="113"/>
      <c r="AQ819" s="113"/>
      <c r="AR819" s="113"/>
      <c r="AS819" s="113"/>
      <c r="AT819" s="113"/>
      <c r="AU819" s="113"/>
      <c r="AV819" s="113"/>
      <c r="AW819" s="113"/>
      <c r="AX819" s="113"/>
      <c r="AY819" s="113"/>
      <c r="AZ819" s="113"/>
      <c r="BA819" s="113"/>
      <c r="BB819" s="113"/>
      <c r="BC819" s="113"/>
      <c r="BD819" s="113"/>
      <c r="BE819" s="113"/>
      <c r="BF819" s="113"/>
      <c r="BG819" s="113"/>
      <c r="BH819" s="113"/>
      <c r="BI819" s="113"/>
      <c r="BJ819" s="113"/>
      <c r="BK819" s="113"/>
      <c r="BL819" s="113"/>
      <c r="BM819" s="113"/>
      <c r="BN819" s="113"/>
      <c r="BO819" s="113"/>
      <c r="BP819" s="113"/>
      <c r="BQ819" s="113"/>
      <c r="BR819" s="113"/>
      <c r="BS819" s="113"/>
      <c r="BT819" s="113"/>
      <c r="BU819" s="113"/>
      <c r="BV819" s="113"/>
      <c r="BW819" s="113"/>
      <c r="BX819" s="113"/>
      <c r="BY819" s="113"/>
      <c r="BZ819" s="113"/>
      <c r="CA819" s="113"/>
      <c r="CB819" s="113"/>
      <c r="CC819" s="113"/>
      <c r="CD819" s="113"/>
      <c r="CE819" s="113"/>
      <c r="CF819" s="113"/>
      <c r="CG819" s="113"/>
      <c r="CH819" s="113"/>
      <c r="CI819" s="113"/>
      <c r="CJ819" s="113"/>
      <c r="CK819" s="113"/>
      <c r="CL819" s="113"/>
      <c r="CM819" s="113"/>
      <c r="CN819" s="113"/>
      <c r="CO819" s="113"/>
      <c r="CP819" s="113"/>
      <c r="CQ819" s="113"/>
      <c r="CR819" s="113"/>
      <c r="CS819" s="113"/>
      <c r="CT819" s="113"/>
      <c r="CU819" s="113"/>
    </row>
    <row r="820">
      <c r="A820" s="159"/>
      <c r="B820" s="113"/>
      <c r="C820" s="113"/>
      <c r="D820" s="158"/>
      <c r="E820" s="161"/>
      <c r="F820" s="160"/>
      <c r="G820" s="162"/>
      <c r="H820" s="159"/>
      <c r="I820" s="113"/>
      <c r="J820" s="113"/>
      <c r="K820" s="113"/>
      <c r="L820" s="158"/>
      <c r="M820" s="113"/>
      <c r="N820" s="113"/>
      <c r="O820" s="113"/>
      <c r="P820" s="113"/>
      <c r="Q820" s="113"/>
      <c r="R820" s="113"/>
      <c r="S820" s="113"/>
      <c r="T820" s="113"/>
      <c r="U820" s="113"/>
      <c r="V820" s="113"/>
      <c r="W820" s="113"/>
      <c r="X820" s="113"/>
      <c r="Y820" s="113"/>
      <c r="Z820" s="113"/>
      <c r="AA820" s="113"/>
      <c r="AB820" s="113"/>
      <c r="AC820" s="113"/>
      <c r="AD820" s="113"/>
      <c r="AE820" s="113"/>
      <c r="AF820" s="113"/>
      <c r="AG820" s="113"/>
      <c r="AH820" s="113"/>
      <c r="AI820" s="113"/>
      <c r="AJ820" s="113"/>
      <c r="AK820" s="113"/>
      <c r="AL820" s="113"/>
      <c r="AM820" s="113"/>
      <c r="AN820" s="113"/>
      <c r="AO820" s="113"/>
      <c r="AP820" s="113"/>
      <c r="AQ820" s="113"/>
      <c r="AR820" s="113"/>
      <c r="AS820" s="113"/>
      <c r="AT820" s="113"/>
      <c r="AU820" s="113"/>
      <c r="AV820" s="113"/>
      <c r="AW820" s="113"/>
      <c r="AX820" s="113"/>
      <c r="AY820" s="113"/>
      <c r="AZ820" s="113"/>
      <c r="BA820" s="113"/>
      <c r="BB820" s="113"/>
      <c r="BC820" s="113"/>
      <c r="BD820" s="113"/>
      <c r="BE820" s="113"/>
      <c r="BF820" s="113"/>
      <c r="BG820" s="113"/>
      <c r="BH820" s="113"/>
      <c r="BI820" s="113"/>
      <c r="BJ820" s="113"/>
      <c r="BK820" s="113"/>
      <c r="BL820" s="113"/>
      <c r="BM820" s="113"/>
      <c r="BN820" s="113"/>
      <c r="BO820" s="113"/>
      <c r="BP820" s="113"/>
      <c r="BQ820" s="113"/>
      <c r="BR820" s="113"/>
      <c r="BS820" s="113"/>
      <c r="BT820" s="113"/>
      <c r="BU820" s="113"/>
      <c r="BV820" s="113"/>
      <c r="BW820" s="113"/>
      <c r="BX820" s="113"/>
      <c r="BY820" s="113"/>
      <c r="BZ820" s="113"/>
      <c r="CA820" s="113"/>
      <c r="CB820" s="113"/>
      <c r="CC820" s="113"/>
      <c r="CD820" s="113"/>
      <c r="CE820" s="113"/>
      <c r="CF820" s="113"/>
      <c r="CG820" s="113"/>
      <c r="CH820" s="113"/>
      <c r="CI820" s="113"/>
      <c r="CJ820" s="113"/>
      <c r="CK820" s="113"/>
      <c r="CL820" s="113"/>
      <c r="CM820" s="113"/>
      <c r="CN820" s="113"/>
      <c r="CO820" s="113"/>
      <c r="CP820" s="113"/>
      <c r="CQ820" s="113"/>
      <c r="CR820" s="113"/>
      <c r="CS820" s="113"/>
      <c r="CT820" s="113"/>
      <c r="CU820" s="113"/>
    </row>
    <row r="821">
      <c r="A821" s="159"/>
      <c r="B821" s="113"/>
      <c r="C821" s="113"/>
      <c r="D821" s="158"/>
      <c r="E821" s="161"/>
      <c r="F821" s="160"/>
      <c r="G821" s="162"/>
      <c r="H821" s="159"/>
      <c r="I821" s="113"/>
      <c r="J821" s="113"/>
      <c r="K821" s="113"/>
      <c r="L821" s="158"/>
      <c r="M821" s="113"/>
      <c r="N821" s="113"/>
      <c r="O821" s="113"/>
      <c r="P821" s="113"/>
      <c r="Q821" s="113"/>
      <c r="R821" s="113"/>
      <c r="S821" s="113"/>
      <c r="T821" s="113"/>
      <c r="U821" s="113"/>
      <c r="V821" s="113"/>
      <c r="W821" s="113"/>
      <c r="X821" s="113"/>
      <c r="Y821" s="113"/>
      <c r="Z821" s="113"/>
      <c r="AA821" s="113"/>
      <c r="AB821" s="113"/>
      <c r="AC821" s="113"/>
      <c r="AD821" s="113"/>
      <c r="AE821" s="113"/>
      <c r="AF821" s="113"/>
      <c r="AG821" s="113"/>
      <c r="AH821" s="113"/>
      <c r="AI821" s="113"/>
      <c r="AJ821" s="113"/>
      <c r="AK821" s="113"/>
      <c r="AL821" s="113"/>
      <c r="AM821" s="113"/>
      <c r="AN821" s="113"/>
      <c r="AO821" s="113"/>
      <c r="AP821" s="113"/>
      <c r="AQ821" s="113"/>
      <c r="AR821" s="113"/>
      <c r="AS821" s="113"/>
      <c r="AT821" s="113"/>
      <c r="AU821" s="113"/>
      <c r="AV821" s="113"/>
      <c r="AW821" s="113"/>
      <c r="AX821" s="113"/>
      <c r="AY821" s="113"/>
      <c r="AZ821" s="113"/>
      <c r="BA821" s="113"/>
      <c r="BB821" s="113"/>
      <c r="BC821" s="113"/>
      <c r="BD821" s="113"/>
      <c r="BE821" s="113"/>
      <c r="BF821" s="113"/>
      <c r="BG821" s="113"/>
      <c r="BH821" s="113"/>
      <c r="BI821" s="113"/>
      <c r="BJ821" s="113"/>
      <c r="BK821" s="113"/>
      <c r="BL821" s="113"/>
      <c r="BM821" s="113"/>
      <c r="BN821" s="113"/>
      <c r="BO821" s="113"/>
      <c r="BP821" s="113"/>
      <c r="BQ821" s="113"/>
      <c r="BR821" s="113"/>
      <c r="BS821" s="113"/>
      <c r="BT821" s="113"/>
      <c r="BU821" s="113"/>
      <c r="BV821" s="113"/>
      <c r="BW821" s="113"/>
      <c r="BX821" s="113"/>
      <c r="BY821" s="113"/>
      <c r="BZ821" s="113"/>
      <c r="CA821" s="113"/>
      <c r="CB821" s="113"/>
      <c r="CC821" s="113"/>
      <c r="CD821" s="113"/>
      <c r="CE821" s="113"/>
      <c r="CF821" s="113"/>
      <c r="CG821" s="113"/>
      <c r="CH821" s="113"/>
      <c r="CI821" s="113"/>
      <c r="CJ821" s="113"/>
      <c r="CK821" s="113"/>
      <c r="CL821" s="113"/>
      <c r="CM821" s="113"/>
      <c r="CN821" s="113"/>
      <c r="CO821" s="113"/>
      <c r="CP821" s="113"/>
      <c r="CQ821" s="113"/>
      <c r="CR821" s="113"/>
      <c r="CS821" s="113"/>
      <c r="CT821" s="113"/>
      <c r="CU821" s="113"/>
    </row>
    <row r="822">
      <c r="A822" s="159"/>
      <c r="B822" s="113"/>
      <c r="C822" s="113"/>
      <c r="D822" s="158"/>
      <c r="E822" s="161"/>
      <c r="F822" s="160"/>
      <c r="G822" s="162"/>
      <c r="H822" s="159"/>
      <c r="I822" s="113"/>
      <c r="J822" s="113"/>
      <c r="K822" s="113"/>
      <c r="L822" s="158"/>
      <c r="M822" s="113"/>
      <c r="N822" s="113"/>
      <c r="O822" s="113"/>
      <c r="P822" s="113"/>
      <c r="Q822" s="113"/>
      <c r="R822" s="113"/>
      <c r="S822" s="113"/>
      <c r="T822" s="113"/>
      <c r="U822" s="113"/>
      <c r="V822" s="113"/>
      <c r="W822" s="113"/>
      <c r="X822" s="113"/>
      <c r="Y822" s="113"/>
      <c r="Z822" s="113"/>
      <c r="AA822" s="113"/>
      <c r="AB822" s="113"/>
      <c r="AC822" s="113"/>
      <c r="AD822" s="113"/>
      <c r="AE822" s="113"/>
      <c r="AF822" s="113"/>
      <c r="AG822" s="113"/>
      <c r="AH822" s="113"/>
      <c r="AI822" s="113"/>
      <c r="AJ822" s="113"/>
      <c r="AK822" s="113"/>
      <c r="AL822" s="113"/>
      <c r="AM822" s="113"/>
      <c r="AN822" s="113"/>
      <c r="AO822" s="113"/>
      <c r="AP822" s="113"/>
      <c r="AQ822" s="113"/>
      <c r="AR822" s="113"/>
      <c r="AS822" s="113"/>
      <c r="AT822" s="113"/>
      <c r="AU822" s="113"/>
      <c r="AV822" s="113"/>
      <c r="AW822" s="113"/>
      <c r="AX822" s="113"/>
      <c r="AY822" s="113"/>
      <c r="AZ822" s="113"/>
      <c r="BA822" s="113"/>
      <c r="BB822" s="113"/>
      <c r="BC822" s="113"/>
      <c r="BD822" s="113"/>
      <c r="BE822" s="113"/>
      <c r="BF822" s="113"/>
      <c r="BG822" s="113"/>
      <c r="BH822" s="113"/>
      <c r="BI822" s="113"/>
      <c r="BJ822" s="113"/>
      <c r="BK822" s="113"/>
      <c r="BL822" s="113"/>
      <c r="BM822" s="113"/>
      <c r="BN822" s="113"/>
      <c r="BO822" s="113"/>
      <c r="BP822" s="113"/>
      <c r="BQ822" s="113"/>
      <c r="BR822" s="113"/>
      <c r="BS822" s="113"/>
      <c r="BT822" s="113"/>
      <c r="BU822" s="113"/>
      <c r="BV822" s="113"/>
      <c r="BW822" s="113"/>
      <c r="BX822" s="113"/>
      <c r="BY822" s="113"/>
      <c r="BZ822" s="113"/>
      <c r="CA822" s="113"/>
      <c r="CB822" s="113"/>
      <c r="CC822" s="113"/>
      <c r="CD822" s="113"/>
      <c r="CE822" s="113"/>
      <c r="CF822" s="113"/>
      <c r="CG822" s="113"/>
      <c r="CH822" s="113"/>
      <c r="CI822" s="113"/>
      <c r="CJ822" s="113"/>
      <c r="CK822" s="113"/>
      <c r="CL822" s="113"/>
      <c r="CM822" s="113"/>
      <c r="CN822" s="113"/>
      <c r="CO822" s="113"/>
      <c r="CP822" s="113"/>
      <c r="CQ822" s="113"/>
      <c r="CR822" s="113"/>
      <c r="CS822" s="113"/>
      <c r="CT822" s="113"/>
      <c r="CU822" s="113"/>
    </row>
    <row r="823">
      <c r="A823" s="159"/>
      <c r="B823" s="113"/>
      <c r="C823" s="113"/>
      <c r="D823" s="158"/>
      <c r="E823" s="161"/>
      <c r="F823" s="160"/>
      <c r="G823" s="162"/>
      <c r="H823" s="159"/>
      <c r="I823" s="113"/>
      <c r="J823" s="113"/>
      <c r="K823" s="113"/>
      <c r="L823" s="158"/>
      <c r="M823" s="113"/>
      <c r="N823" s="113"/>
      <c r="O823" s="113"/>
      <c r="P823" s="113"/>
      <c r="Q823" s="113"/>
      <c r="R823" s="113"/>
      <c r="S823" s="113"/>
      <c r="T823" s="113"/>
      <c r="U823" s="113"/>
      <c r="V823" s="113"/>
      <c r="W823" s="113"/>
      <c r="X823" s="113"/>
      <c r="Y823" s="113"/>
      <c r="Z823" s="113"/>
      <c r="AA823" s="113"/>
      <c r="AB823" s="113"/>
      <c r="AC823" s="113"/>
      <c r="AD823" s="113"/>
      <c r="AE823" s="113"/>
      <c r="AF823" s="113"/>
      <c r="AG823" s="113"/>
      <c r="AH823" s="113"/>
      <c r="AI823" s="113"/>
      <c r="AJ823" s="113"/>
      <c r="AK823" s="113"/>
      <c r="AL823" s="113"/>
      <c r="AM823" s="113"/>
      <c r="AN823" s="113"/>
      <c r="AO823" s="113"/>
      <c r="AP823" s="113"/>
      <c r="AQ823" s="113"/>
      <c r="AR823" s="113"/>
      <c r="AS823" s="113"/>
      <c r="AT823" s="113"/>
      <c r="AU823" s="113"/>
      <c r="AV823" s="113"/>
      <c r="AW823" s="113"/>
      <c r="AX823" s="113"/>
      <c r="AY823" s="113"/>
      <c r="AZ823" s="113"/>
      <c r="BA823" s="113"/>
      <c r="BB823" s="113"/>
      <c r="BC823" s="113"/>
      <c r="BD823" s="113"/>
      <c r="BE823" s="113"/>
      <c r="BF823" s="113"/>
      <c r="BG823" s="113"/>
      <c r="BH823" s="113"/>
      <c r="BI823" s="113"/>
      <c r="BJ823" s="113"/>
      <c r="BK823" s="113"/>
      <c r="BL823" s="113"/>
      <c r="BM823" s="113"/>
      <c r="BN823" s="113"/>
      <c r="BO823" s="113"/>
      <c r="BP823" s="113"/>
      <c r="BQ823" s="113"/>
      <c r="BR823" s="113"/>
      <c r="BS823" s="113"/>
      <c r="BT823" s="113"/>
      <c r="BU823" s="113"/>
      <c r="BV823" s="113"/>
      <c r="BW823" s="113"/>
      <c r="BX823" s="113"/>
      <c r="BY823" s="113"/>
      <c r="BZ823" s="113"/>
      <c r="CA823" s="113"/>
      <c r="CB823" s="113"/>
      <c r="CC823" s="113"/>
      <c r="CD823" s="113"/>
      <c r="CE823" s="113"/>
      <c r="CF823" s="113"/>
      <c r="CG823" s="113"/>
      <c r="CH823" s="113"/>
      <c r="CI823" s="113"/>
      <c r="CJ823" s="113"/>
      <c r="CK823" s="113"/>
      <c r="CL823" s="113"/>
      <c r="CM823" s="113"/>
      <c r="CN823" s="113"/>
      <c r="CO823" s="113"/>
      <c r="CP823" s="113"/>
      <c r="CQ823" s="113"/>
      <c r="CR823" s="113"/>
      <c r="CS823" s="113"/>
      <c r="CT823" s="113"/>
      <c r="CU823" s="113"/>
    </row>
    <row r="824">
      <c r="A824" s="159"/>
      <c r="B824" s="113"/>
      <c r="C824" s="113"/>
      <c r="D824" s="158"/>
      <c r="E824" s="161"/>
      <c r="F824" s="160"/>
      <c r="G824" s="162"/>
      <c r="H824" s="159"/>
      <c r="I824" s="113"/>
      <c r="J824" s="113"/>
      <c r="K824" s="113"/>
      <c r="L824" s="158"/>
      <c r="M824" s="113"/>
      <c r="N824" s="113"/>
      <c r="O824" s="113"/>
      <c r="P824" s="113"/>
      <c r="Q824" s="113"/>
      <c r="R824" s="113"/>
      <c r="S824" s="113"/>
      <c r="T824" s="113"/>
      <c r="U824" s="113"/>
      <c r="V824" s="113"/>
      <c r="W824" s="113"/>
      <c r="X824" s="113"/>
      <c r="Y824" s="113"/>
      <c r="Z824" s="113"/>
      <c r="AA824" s="113"/>
      <c r="AB824" s="113"/>
      <c r="AC824" s="113"/>
      <c r="AD824" s="113"/>
      <c r="AE824" s="113"/>
      <c r="AF824" s="113"/>
      <c r="AG824" s="113"/>
      <c r="AH824" s="113"/>
      <c r="AI824" s="113"/>
      <c r="AJ824" s="113"/>
      <c r="AK824" s="113"/>
      <c r="AL824" s="113"/>
      <c r="AM824" s="113"/>
      <c r="AN824" s="113"/>
      <c r="AO824" s="113"/>
      <c r="AP824" s="113"/>
      <c r="AQ824" s="113"/>
      <c r="AR824" s="113"/>
      <c r="AS824" s="113"/>
      <c r="AT824" s="113"/>
      <c r="AU824" s="113"/>
      <c r="AV824" s="113"/>
      <c r="AW824" s="113"/>
      <c r="AX824" s="113"/>
      <c r="AY824" s="113"/>
      <c r="AZ824" s="113"/>
      <c r="BA824" s="113"/>
      <c r="BB824" s="113"/>
      <c r="BC824" s="113"/>
      <c r="BD824" s="113"/>
      <c r="BE824" s="113"/>
      <c r="BF824" s="113"/>
      <c r="BG824" s="113"/>
      <c r="BH824" s="113"/>
      <c r="BI824" s="113"/>
      <c r="BJ824" s="113"/>
      <c r="BK824" s="113"/>
      <c r="BL824" s="113"/>
      <c r="BM824" s="113"/>
      <c r="BN824" s="113"/>
      <c r="BO824" s="113"/>
      <c r="BP824" s="113"/>
      <c r="BQ824" s="113"/>
      <c r="BR824" s="113"/>
      <c r="BS824" s="113"/>
      <c r="BT824" s="113"/>
      <c r="BU824" s="113"/>
      <c r="BV824" s="113"/>
      <c r="BW824" s="113"/>
      <c r="BX824" s="113"/>
      <c r="BY824" s="113"/>
      <c r="BZ824" s="113"/>
      <c r="CA824" s="113"/>
      <c r="CB824" s="113"/>
      <c r="CC824" s="113"/>
      <c r="CD824" s="113"/>
      <c r="CE824" s="113"/>
      <c r="CF824" s="113"/>
      <c r="CG824" s="113"/>
      <c r="CH824" s="113"/>
      <c r="CI824" s="113"/>
      <c r="CJ824" s="113"/>
      <c r="CK824" s="113"/>
      <c r="CL824" s="113"/>
      <c r="CM824" s="113"/>
      <c r="CN824" s="113"/>
      <c r="CO824" s="113"/>
      <c r="CP824" s="113"/>
      <c r="CQ824" s="113"/>
      <c r="CR824" s="113"/>
      <c r="CS824" s="113"/>
      <c r="CT824" s="113"/>
      <c r="CU824" s="113"/>
    </row>
    <row r="825">
      <c r="A825" s="159"/>
      <c r="B825" s="113"/>
      <c r="C825" s="113"/>
      <c r="D825" s="158"/>
      <c r="E825" s="161"/>
      <c r="F825" s="160"/>
      <c r="G825" s="162"/>
      <c r="H825" s="159"/>
      <c r="I825" s="113"/>
      <c r="J825" s="113"/>
      <c r="K825" s="113"/>
      <c r="L825" s="158"/>
      <c r="M825" s="113"/>
      <c r="N825" s="113"/>
      <c r="O825" s="113"/>
      <c r="P825" s="113"/>
      <c r="Q825" s="113"/>
      <c r="R825" s="113"/>
      <c r="S825" s="113"/>
      <c r="T825" s="113"/>
      <c r="U825" s="113"/>
      <c r="V825" s="113"/>
      <c r="W825" s="113"/>
      <c r="X825" s="113"/>
      <c r="Y825" s="113"/>
      <c r="Z825" s="113"/>
      <c r="AA825" s="113"/>
      <c r="AB825" s="113"/>
      <c r="AC825" s="113"/>
      <c r="AD825" s="113"/>
      <c r="AE825" s="113"/>
      <c r="AF825" s="113"/>
      <c r="AG825" s="113"/>
      <c r="AH825" s="113"/>
      <c r="AI825" s="113"/>
      <c r="AJ825" s="113"/>
      <c r="AK825" s="113"/>
      <c r="AL825" s="113"/>
      <c r="AM825" s="113"/>
      <c r="AN825" s="113"/>
      <c r="AO825" s="113"/>
      <c r="AP825" s="113"/>
      <c r="AQ825" s="113"/>
      <c r="AR825" s="113"/>
      <c r="AS825" s="113"/>
      <c r="AT825" s="113"/>
      <c r="AU825" s="113"/>
      <c r="AV825" s="113"/>
      <c r="AW825" s="113"/>
      <c r="AX825" s="113"/>
      <c r="AY825" s="113"/>
      <c r="AZ825" s="113"/>
      <c r="BA825" s="113"/>
      <c r="BB825" s="113"/>
      <c r="BC825" s="113"/>
      <c r="BD825" s="113"/>
      <c r="BE825" s="113"/>
      <c r="BF825" s="113"/>
      <c r="BG825" s="113"/>
      <c r="BH825" s="113"/>
      <c r="BI825" s="113"/>
      <c r="BJ825" s="113"/>
      <c r="BK825" s="113"/>
      <c r="BL825" s="113"/>
      <c r="BM825" s="113"/>
      <c r="BN825" s="113"/>
      <c r="BO825" s="113"/>
      <c r="BP825" s="113"/>
      <c r="BQ825" s="113"/>
      <c r="BR825" s="113"/>
      <c r="BS825" s="113"/>
      <c r="BT825" s="113"/>
      <c r="BU825" s="113"/>
      <c r="BV825" s="113"/>
      <c r="BW825" s="113"/>
      <c r="BX825" s="113"/>
      <c r="BY825" s="113"/>
      <c r="BZ825" s="113"/>
      <c r="CA825" s="113"/>
      <c r="CB825" s="113"/>
      <c r="CC825" s="113"/>
      <c r="CD825" s="113"/>
      <c r="CE825" s="113"/>
      <c r="CF825" s="113"/>
      <c r="CG825" s="113"/>
      <c r="CH825" s="113"/>
      <c r="CI825" s="113"/>
      <c r="CJ825" s="113"/>
      <c r="CK825" s="113"/>
      <c r="CL825" s="113"/>
      <c r="CM825" s="113"/>
      <c r="CN825" s="113"/>
      <c r="CO825" s="113"/>
      <c r="CP825" s="113"/>
      <c r="CQ825" s="113"/>
      <c r="CR825" s="113"/>
      <c r="CS825" s="113"/>
      <c r="CT825" s="113"/>
      <c r="CU825" s="113"/>
    </row>
    <row r="826">
      <c r="A826" s="159"/>
      <c r="B826" s="113"/>
      <c r="C826" s="113"/>
      <c r="D826" s="158"/>
      <c r="E826" s="161"/>
      <c r="F826" s="160"/>
      <c r="G826" s="162"/>
      <c r="H826" s="159"/>
      <c r="I826" s="113"/>
      <c r="J826" s="113"/>
      <c r="K826" s="113"/>
      <c r="L826" s="158"/>
      <c r="M826" s="113"/>
      <c r="N826" s="113"/>
      <c r="O826" s="113"/>
      <c r="P826" s="113"/>
      <c r="Q826" s="113"/>
      <c r="R826" s="113"/>
      <c r="S826" s="113"/>
      <c r="T826" s="113"/>
      <c r="U826" s="113"/>
      <c r="V826" s="113"/>
      <c r="W826" s="113"/>
      <c r="X826" s="113"/>
      <c r="Y826" s="113"/>
      <c r="Z826" s="113"/>
      <c r="AA826" s="113"/>
      <c r="AB826" s="113"/>
      <c r="AC826" s="113"/>
      <c r="AD826" s="113"/>
      <c r="AE826" s="113"/>
      <c r="AF826" s="113"/>
      <c r="AG826" s="113"/>
      <c r="AH826" s="113"/>
      <c r="AI826" s="113"/>
      <c r="AJ826" s="113"/>
      <c r="AK826" s="113"/>
      <c r="AL826" s="113"/>
      <c r="AM826" s="113"/>
      <c r="AN826" s="113"/>
      <c r="AO826" s="113"/>
      <c r="AP826" s="113"/>
      <c r="AQ826" s="113"/>
      <c r="AR826" s="113"/>
      <c r="AS826" s="113"/>
      <c r="AT826" s="113"/>
      <c r="AU826" s="113"/>
      <c r="AV826" s="113"/>
      <c r="AW826" s="113"/>
      <c r="AX826" s="113"/>
      <c r="AY826" s="113"/>
      <c r="AZ826" s="113"/>
      <c r="BA826" s="113"/>
      <c r="BB826" s="113"/>
      <c r="BC826" s="113"/>
      <c r="BD826" s="113"/>
      <c r="BE826" s="113"/>
      <c r="BF826" s="113"/>
      <c r="BG826" s="113"/>
      <c r="BH826" s="113"/>
      <c r="BI826" s="113"/>
      <c r="BJ826" s="113"/>
      <c r="BK826" s="113"/>
      <c r="BL826" s="113"/>
      <c r="BM826" s="113"/>
      <c r="BN826" s="113"/>
      <c r="BO826" s="113"/>
      <c r="BP826" s="113"/>
      <c r="BQ826" s="113"/>
      <c r="BR826" s="113"/>
      <c r="BS826" s="113"/>
      <c r="BT826" s="113"/>
      <c r="BU826" s="113"/>
      <c r="BV826" s="113"/>
      <c r="BW826" s="113"/>
      <c r="BX826" s="113"/>
      <c r="BY826" s="113"/>
      <c r="BZ826" s="113"/>
      <c r="CA826" s="113"/>
      <c r="CB826" s="113"/>
      <c r="CC826" s="113"/>
      <c r="CD826" s="113"/>
      <c r="CE826" s="113"/>
      <c r="CF826" s="113"/>
      <c r="CG826" s="113"/>
      <c r="CH826" s="113"/>
      <c r="CI826" s="113"/>
      <c r="CJ826" s="113"/>
      <c r="CK826" s="113"/>
      <c r="CL826" s="113"/>
      <c r="CM826" s="113"/>
      <c r="CN826" s="113"/>
      <c r="CO826" s="113"/>
      <c r="CP826" s="113"/>
      <c r="CQ826" s="113"/>
      <c r="CR826" s="113"/>
      <c r="CS826" s="113"/>
      <c r="CT826" s="113"/>
      <c r="CU826" s="113"/>
    </row>
    <row r="827">
      <c r="A827" s="159"/>
      <c r="B827" s="113"/>
      <c r="C827" s="113"/>
      <c r="D827" s="158"/>
      <c r="E827" s="161"/>
      <c r="F827" s="160"/>
      <c r="G827" s="162"/>
      <c r="H827" s="159"/>
      <c r="I827" s="113"/>
      <c r="J827" s="113"/>
      <c r="K827" s="113"/>
      <c r="L827" s="158"/>
      <c r="M827" s="113"/>
      <c r="N827" s="113"/>
      <c r="O827" s="113"/>
      <c r="P827" s="113"/>
      <c r="Q827" s="113"/>
      <c r="R827" s="113"/>
      <c r="S827" s="113"/>
      <c r="T827" s="113"/>
      <c r="U827" s="113"/>
      <c r="V827" s="113"/>
      <c r="W827" s="113"/>
      <c r="X827" s="113"/>
      <c r="Y827" s="113"/>
      <c r="Z827" s="113"/>
      <c r="AA827" s="113"/>
      <c r="AB827" s="113"/>
      <c r="AC827" s="113"/>
      <c r="AD827" s="113"/>
      <c r="AE827" s="113"/>
      <c r="AF827" s="113"/>
      <c r="AG827" s="113"/>
      <c r="AH827" s="113"/>
      <c r="AI827" s="113"/>
      <c r="AJ827" s="113"/>
      <c r="AK827" s="113"/>
      <c r="AL827" s="113"/>
      <c r="AM827" s="113"/>
      <c r="AN827" s="113"/>
      <c r="AO827" s="113"/>
      <c r="AP827" s="113"/>
      <c r="AQ827" s="113"/>
      <c r="AR827" s="113"/>
      <c r="AS827" s="113"/>
      <c r="AT827" s="113"/>
      <c r="AU827" s="113"/>
      <c r="AV827" s="113"/>
      <c r="AW827" s="113"/>
      <c r="AX827" s="113"/>
      <c r="AY827" s="113"/>
      <c r="AZ827" s="113"/>
      <c r="BA827" s="113"/>
      <c r="BB827" s="113"/>
      <c r="BC827" s="113"/>
      <c r="BD827" s="113"/>
      <c r="BE827" s="113"/>
      <c r="BF827" s="113"/>
      <c r="BG827" s="113"/>
      <c r="BH827" s="113"/>
      <c r="BI827" s="113"/>
      <c r="BJ827" s="113"/>
      <c r="BK827" s="113"/>
      <c r="BL827" s="113"/>
      <c r="BM827" s="113"/>
      <c r="BN827" s="113"/>
      <c r="BO827" s="113"/>
      <c r="BP827" s="113"/>
      <c r="BQ827" s="113"/>
      <c r="BR827" s="113"/>
      <c r="BS827" s="113"/>
      <c r="BT827" s="113"/>
      <c r="BU827" s="113"/>
      <c r="BV827" s="113"/>
      <c r="BW827" s="113"/>
      <c r="BX827" s="113"/>
      <c r="BY827" s="113"/>
      <c r="BZ827" s="113"/>
      <c r="CA827" s="113"/>
      <c r="CB827" s="113"/>
      <c r="CC827" s="113"/>
      <c r="CD827" s="113"/>
      <c r="CE827" s="113"/>
      <c r="CF827" s="113"/>
      <c r="CG827" s="113"/>
      <c r="CH827" s="113"/>
      <c r="CI827" s="113"/>
      <c r="CJ827" s="113"/>
      <c r="CK827" s="113"/>
      <c r="CL827" s="113"/>
      <c r="CM827" s="113"/>
      <c r="CN827" s="113"/>
      <c r="CO827" s="113"/>
      <c r="CP827" s="113"/>
      <c r="CQ827" s="113"/>
      <c r="CR827" s="113"/>
      <c r="CS827" s="113"/>
      <c r="CT827" s="113"/>
      <c r="CU827" s="113"/>
    </row>
    <row r="828">
      <c r="A828" s="159"/>
      <c r="B828" s="113"/>
      <c r="C828" s="113"/>
      <c r="D828" s="158"/>
      <c r="E828" s="161"/>
      <c r="F828" s="160"/>
      <c r="G828" s="162"/>
      <c r="H828" s="159"/>
      <c r="I828" s="113"/>
      <c r="J828" s="113"/>
      <c r="K828" s="113"/>
      <c r="L828" s="158"/>
      <c r="M828" s="113"/>
      <c r="N828" s="113"/>
      <c r="O828" s="113"/>
      <c r="P828" s="113"/>
      <c r="Q828" s="113"/>
      <c r="R828" s="113"/>
      <c r="S828" s="113"/>
      <c r="T828" s="113"/>
      <c r="U828" s="113"/>
      <c r="V828" s="113"/>
      <c r="W828" s="113"/>
      <c r="X828" s="113"/>
      <c r="Y828" s="113"/>
      <c r="Z828" s="113"/>
      <c r="AA828" s="113"/>
      <c r="AB828" s="113"/>
      <c r="AC828" s="113"/>
      <c r="AD828" s="113"/>
      <c r="AE828" s="113"/>
      <c r="AF828" s="113"/>
      <c r="AG828" s="113"/>
      <c r="AH828" s="113"/>
      <c r="AI828" s="113"/>
      <c r="AJ828" s="113"/>
      <c r="AK828" s="113"/>
      <c r="AL828" s="113"/>
      <c r="AM828" s="113"/>
      <c r="AN828" s="113"/>
      <c r="AO828" s="113"/>
      <c r="AP828" s="113"/>
      <c r="AQ828" s="113"/>
      <c r="AR828" s="113"/>
      <c r="AS828" s="113"/>
      <c r="AT828" s="113"/>
      <c r="AU828" s="113"/>
      <c r="AV828" s="113"/>
      <c r="AW828" s="113"/>
      <c r="AX828" s="113"/>
      <c r="AY828" s="113"/>
      <c r="AZ828" s="113"/>
      <c r="BA828" s="113"/>
      <c r="BB828" s="113"/>
      <c r="BC828" s="113"/>
      <c r="BD828" s="113"/>
      <c r="BE828" s="113"/>
      <c r="BF828" s="113"/>
      <c r="BG828" s="113"/>
      <c r="BH828" s="113"/>
      <c r="BI828" s="113"/>
      <c r="BJ828" s="113"/>
      <c r="BK828" s="113"/>
      <c r="BL828" s="113"/>
      <c r="BM828" s="113"/>
      <c r="BN828" s="113"/>
      <c r="BO828" s="113"/>
      <c r="BP828" s="113"/>
      <c r="BQ828" s="113"/>
      <c r="BR828" s="113"/>
      <c r="BS828" s="113"/>
      <c r="BT828" s="113"/>
      <c r="BU828" s="113"/>
      <c r="BV828" s="113"/>
      <c r="BW828" s="113"/>
      <c r="BX828" s="113"/>
      <c r="BY828" s="113"/>
      <c r="BZ828" s="113"/>
      <c r="CA828" s="113"/>
      <c r="CB828" s="113"/>
      <c r="CC828" s="113"/>
      <c r="CD828" s="113"/>
      <c r="CE828" s="113"/>
      <c r="CF828" s="113"/>
      <c r="CG828" s="113"/>
      <c r="CH828" s="113"/>
      <c r="CI828" s="113"/>
      <c r="CJ828" s="113"/>
      <c r="CK828" s="113"/>
      <c r="CL828" s="113"/>
      <c r="CM828" s="113"/>
      <c r="CN828" s="113"/>
      <c r="CO828" s="113"/>
      <c r="CP828" s="113"/>
      <c r="CQ828" s="113"/>
      <c r="CR828" s="113"/>
      <c r="CS828" s="113"/>
      <c r="CT828" s="113"/>
      <c r="CU828" s="113"/>
    </row>
    <row r="829">
      <c r="A829" s="159"/>
      <c r="B829" s="113"/>
      <c r="C829" s="113"/>
      <c r="D829" s="158"/>
      <c r="E829" s="161"/>
      <c r="F829" s="160"/>
      <c r="G829" s="162"/>
      <c r="H829" s="159"/>
      <c r="I829" s="113"/>
      <c r="J829" s="113"/>
      <c r="K829" s="113"/>
      <c r="L829" s="158"/>
      <c r="M829" s="113"/>
      <c r="N829" s="113"/>
      <c r="O829" s="113"/>
      <c r="P829" s="113"/>
      <c r="Q829" s="113"/>
      <c r="R829" s="113"/>
      <c r="S829" s="113"/>
      <c r="T829" s="113"/>
      <c r="U829" s="113"/>
      <c r="V829" s="113"/>
      <c r="W829" s="113"/>
      <c r="X829" s="113"/>
      <c r="Y829" s="113"/>
      <c r="Z829" s="113"/>
      <c r="AA829" s="113"/>
      <c r="AB829" s="113"/>
      <c r="AC829" s="113"/>
      <c r="AD829" s="113"/>
      <c r="AE829" s="113"/>
      <c r="AF829" s="113"/>
      <c r="AG829" s="113"/>
      <c r="AH829" s="113"/>
      <c r="AI829" s="113"/>
      <c r="AJ829" s="113"/>
      <c r="AK829" s="113"/>
      <c r="AL829" s="113"/>
      <c r="AM829" s="113"/>
      <c r="AN829" s="113"/>
      <c r="AO829" s="113"/>
      <c r="AP829" s="113"/>
      <c r="AQ829" s="113"/>
      <c r="AR829" s="113"/>
      <c r="AS829" s="113"/>
      <c r="AT829" s="113"/>
      <c r="AU829" s="113"/>
      <c r="AV829" s="113"/>
      <c r="AW829" s="113"/>
      <c r="AX829" s="113"/>
      <c r="AY829" s="113"/>
      <c r="AZ829" s="113"/>
      <c r="BA829" s="113"/>
      <c r="BB829" s="113"/>
      <c r="BC829" s="113"/>
      <c r="BD829" s="113"/>
      <c r="BE829" s="113"/>
      <c r="BF829" s="113"/>
      <c r="BG829" s="113"/>
      <c r="BH829" s="113"/>
      <c r="BI829" s="113"/>
      <c r="BJ829" s="113"/>
      <c r="BK829" s="113"/>
      <c r="BL829" s="113"/>
      <c r="BM829" s="113"/>
      <c r="BN829" s="113"/>
      <c r="BO829" s="113"/>
      <c r="BP829" s="113"/>
      <c r="BQ829" s="113"/>
      <c r="BR829" s="113"/>
      <c r="BS829" s="113"/>
      <c r="BT829" s="113"/>
      <c r="BU829" s="113"/>
      <c r="BV829" s="113"/>
      <c r="BW829" s="113"/>
      <c r="BX829" s="113"/>
      <c r="BY829" s="113"/>
      <c r="BZ829" s="113"/>
      <c r="CA829" s="113"/>
      <c r="CB829" s="113"/>
      <c r="CC829" s="113"/>
      <c r="CD829" s="113"/>
      <c r="CE829" s="113"/>
      <c r="CF829" s="113"/>
      <c r="CG829" s="113"/>
      <c r="CH829" s="113"/>
      <c r="CI829" s="113"/>
      <c r="CJ829" s="113"/>
      <c r="CK829" s="113"/>
      <c r="CL829" s="113"/>
      <c r="CM829" s="113"/>
      <c r="CN829" s="113"/>
      <c r="CO829" s="113"/>
      <c r="CP829" s="113"/>
      <c r="CQ829" s="113"/>
      <c r="CR829" s="113"/>
      <c r="CS829" s="113"/>
      <c r="CT829" s="113"/>
      <c r="CU829" s="113"/>
    </row>
    <row r="830">
      <c r="A830" s="159"/>
      <c r="B830" s="113"/>
      <c r="C830" s="113"/>
      <c r="D830" s="158"/>
      <c r="E830" s="161"/>
      <c r="F830" s="160"/>
      <c r="G830" s="162"/>
      <c r="H830" s="159"/>
      <c r="I830" s="113"/>
      <c r="J830" s="113"/>
      <c r="K830" s="113"/>
      <c r="L830" s="158"/>
      <c r="M830" s="113"/>
      <c r="N830" s="113"/>
      <c r="O830" s="113"/>
      <c r="P830" s="113"/>
      <c r="Q830" s="113"/>
      <c r="R830" s="113"/>
      <c r="S830" s="113"/>
      <c r="T830" s="113"/>
      <c r="U830" s="113"/>
      <c r="V830" s="113"/>
      <c r="W830" s="113"/>
      <c r="X830" s="113"/>
      <c r="Y830" s="113"/>
      <c r="Z830" s="113"/>
      <c r="AA830" s="113"/>
      <c r="AB830" s="113"/>
      <c r="AC830" s="113"/>
      <c r="AD830" s="113"/>
      <c r="AE830" s="113"/>
      <c r="AF830" s="113"/>
      <c r="AG830" s="113"/>
      <c r="AH830" s="113"/>
      <c r="AI830" s="113"/>
      <c r="AJ830" s="113"/>
      <c r="AK830" s="113"/>
      <c r="AL830" s="113"/>
      <c r="AM830" s="113"/>
      <c r="AN830" s="113"/>
      <c r="AO830" s="113"/>
      <c r="AP830" s="113"/>
      <c r="AQ830" s="113"/>
      <c r="AR830" s="113"/>
      <c r="AS830" s="113"/>
      <c r="AT830" s="113"/>
      <c r="AU830" s="113"/>
      <c r="AV830" s="113"/>
      <c r="AW830" s="113"/>
      <c r="AX830" s="113"/>
      <c r="AY830" s="113"/>
      <c r="AZ830" s="113"/>
      <c r="BA830" s="113"/>
      <c r="BB830" s="113"/>
      <c r="BC830" s="113"/>
      <c r="BD830" s="113"/>
      <c r="BE830" s="113"/>
      <c r="BF830" s="113"/>
      <c r="BG830" s="113"/>
      <c r="BH830" s="113"/>
      <c r="BI830" s="113"/>
      <c r="BJ830" s="113"/>
      <c r="BK830" s="113"/>
      <c r="BL830" s="113"/>
      <c r="BM830" s="113"/>
      <c r="BN830" s="113"/>
      <c r="BO830" s="113"/>
      <c r="BP830" s="113"/>
      <c r="BQ830" s="113"/>
      <c r="BR830" s="113"/>
      <c r="BS830" s="113"/>
      <c r="BT830" s="113"/>
      <c r="BU830" s="113"/>
      <c r="BV830" s="113"/>
      <c r="BW830" s="113"/>
      <c r="BX830" s="113"/>
      <c r="BY830" s="113"/>
      <c r="BZ830" s="113"/>
      <c r="CA830" s="113"/>
      <c r="CB830" s="113"/>
      <c r="CC830" s="113"/>
      <c r="CD830" s="113"/>
      <c r="CE830" s="113"/>
      <c r="CF830" s="113"/>
      <c r="CG830" s="113"/>
      <c r="CH830" s="113"/>
      <c r="CI830" s="113"/>
      <c r="CJ830" s="113"/>
      <c r="CK830" s="113"/>
      <c r="CL830" s="113"/>
      <c r="CM830" s="113"/>
      <c r="CN830" s="113"/>
      <c r="CO830" s="113"/>
      <c r="CP830" s="113"/>
      <c r="CQ830" s="113"/>
      <c r="CR830" s="113"/>
      <c r="CS830" s="113"/>
      <c r="CT830" s="113"/>
      <c r="CU830" s="113"/>
    </row>
    <row r="831">
      <c r="A831" s="159"/>
      <c r="B831" s="113"/>
      <c r="C831" s="113"/>
      <c r="D831" s="158"/>
      <c r="E831" s="161"/>
      <c r="F831" s="160"/>
      <c r="G831" s="162"/>
      <c r="H831" s="159"/>
      <c r="I831" s="113"/>
      <c r="J831" s="113"/>
      <c r="K831" s="113"/>
      <c r="L831" s="158"/>
      <c r="M831" s="113"/>
      <c r="N831" s="113"/>
      <c r="O831" s="113"/>
      <c r="P831" s="113"/>
      <c r="Q831" s="113"/>
      <c r="R831" s="113"/>
      <c r="S831" s="113"/>
      <c r="T831" s="113"/>
      <c r="U831" s="113"/>
      <c r="V831" s="113"/>
      <c r="W831" s="113"/>
      <c r="X831" s="113"/>
      <c r="Y831" s="113"/>
      <c r="Z831" s="113"/>
      <c r="AA831" s="113"/>
      <c r="AB831" s="113"/>
      <c r="AC831" s="113"/>
      <c r="AD831" s="113"/>
      <c r="AE831" s="113"/>
      <c r="AF831" s="113"/>
      <c r="AG831" s="113"/>
      <c r="AH831" s="113"/>
      <c r="AI831" s="113"/>
      <c r="AJ831" s="113"/>
      <c r="AK831" s="113"/>
      <c r="AL831" s="113"/>
      <c r="AM831" s="113"/>
      <c r="AN831" s="113"/>
      <c r="AO831" s="113"/>
      <c r="AP831" s="113"/>
      <c r="AQ831" s="113"/>
      <c r="AR831" s="113"/>
      <c r="AS831" s="113"/>
      <c r="AT831" s="113"/>
      <c r="AU831" s="113"/>
      <c r="AV831" s="113"/>
      <c r="AW831" s="113"/>
      <c r="AX831" s="113"/>
      <c r="AY831" s="113"/>
      <c r="AZ831" s="113"/>
      <c r="BA831" s="113"/>
      <c r="BB831" s="113"/>
      <c r="BC831" s="113"/>
      <c r="BD831" s="113"/>
      <c r="BE831" s="113"/>
      <c r="BF831" s="113"/>
      <c r="BG831" s="113"/>
      <c r="BH831" s="113"/>
      <c r="BI831" s="113"/>
      <c r="BJ831" s="113"/>
      <c r="BK831" s="113"/>
      <c r="BL831" s="113"/>
      <c r="BM831" s="113"/>
      <c r="BN831" s="113"/>
      <c r="BO831" s="113"/>
      <c r="BP831" s="113"/>
      <c r="BQ831" s="113"/>
      <c r="BR831" s="113"/>
      <c r="BS831" s="113"/>
      <c r="BT831" s="113"/>
      <c r="BU831" s="113"/>
      <c r="BV831" s="113"/>
      <c r="BW831" s="113"/>
      <c r="BX831" s="113"/>
      <c r="BY831" s="113"/>
      <c r="BZ831" s="113"/>
      <c r="CA831" s="113"/>
      <c r="CB831" s="113"/>
      <c r="CC831" s="113"/>
      <c r="CD831" s="113"/>
      <c r="CE831" s="113"/>
      <c r="CF831" s="113"/>
      <c r="CG831" s="113"/>
      <c r="CH831" s="113"/>
      <c r="CI831" s="113"/>
      <c r="CJ831" s="113"/>
      <c r="CK831" s="113"/>
      <c r="CL831" s="113"/>
      <c r="CM831" s="113"/>
      <c r="CN831" s="113"/>
      <c r="CO831" s="113"/>
      <c r="CP831" s="113"/>
      <c r="CQ831" s="113"/>
      <c r="CR831" s="113"/>
      <c r="CS831" s="113"/>
      <c r="CT831" s="113"/>
      <c r="CU831" s="113"/>
    </row>
    <row r="832">
      <c r="A832" s="159"/>
      <c r="B832" s="113"/>
      <c r="C832" s="113"/>
      <c r="D832" s="158"/>
      <c r="E832" s="161"/>
      <c r="F832" s="160"/>
      <c r="G832" s="162"/>
      <c r="H832" s="159"/>
      <c r="I832" s="113"/>
      <c r="J832" s="113"/>
      <c r="K832" s="113"/>
      <c r="L832" s="158"/>
      <c r="M832" s="113"/>
      <c r="N832" s="113"/>
      <c r="O832" s="113"/>
      <c r="P832" s="113"/>
      <c r="Q832" s="113"/>
      <c r="R832" s="113"/>
      <c r="S832" s="113"/>
      <c r="T832" s="113"/>
      <c r="U832" s="113"/>
      <c r="V832" s="113"/>
      <c r="W832" s="113"/>
      <c r="X832" s="113"/>
      <c r="Y832" s="113"/>
      <c r="Z832" s="113"/>
      <c r="AA832" s="113"/>
      <c r="AB832" s="113"/>
      <c r="AC832" s="113"/>
      <c r="AD832" s="113"/>
      <c r="AE832" s="113"/>
      <c r="AF832" s="113"/>
      <c r="AG832" s="113"/>
      <c r="AH832" s="113"/>
      <c r="AI832" s="113"/>
      <c r="AJ832" s="113"/>
      <c r="AK832" s="113"/>
      <c r="AL832" s="113"/>
      <c r="AM832" s="113"/>
      <c r="AN832" s="113"/>
      <c r="AO832" s="113"/>
      <c r="AP832" s="113"/>
      <c r="AQ832" s="113"/>
      <c r="AR832" s="113"/>
      <c r="AS832" s="113"/>
      <c r="AT832" s="113"/>
      <c r="AU832" s="113"/>
      <c r="AV832" s="113"/>
      <c r="AW832" s="113"/>
      <c r="AX832" s="113"/>
      <c r="AY832" s="113"/>
      <c r="AZ832" s="113"/>
      <c r="BA832" s="113"/>
      <c r="BB832" s="113"/>
      <c r="BC832" s="113"/>
      <c r="BD832" s="113"/>
      <c r="BE832" s="113"/>
      <c r="BF832" s="113"/>
      <c r="BG832" s="113"/>
      <c r="BH832" s="113"/>
      <c r="BI832" s="113"/>
      <c r="BJ832" s="113"/>
      <c r="BK832" s="113"/>
      <c r="BL832" s="113"/>
      <c r="BM832" s="113"/>
      <c r="BN832" s="113"/>
      <c r="BO832" s="113"/>
      <c r="BP832" s="113"/>
      <c r="BQ832" s="113"/>
      <c r="BR832" s="113"/>
      <c r="BS832" s="113"/>
      <c r="BT832" s="113"/>
      <c r="BU832" s="113"/>
      <c r="BV832" s="113"/>
      <c r="BW832" s="113"/>
      <c r="BX832" s="113"/>
      <c r="BY832" s="113"/>
      <c r="BZ832" s="113"/>
      <c r="CA832" s="113"/>
      <c r="CB832" s="113"/>
      <c r="CC832" s="113"/>
      <c r="CD832" s="113"/>
      <c r="CE832" s="113"/>
      <c r="CF832" s="113"/>
      <c r="CG832" s="113"/>
      <c r="CH832" s="113"/>
      <c r="CI832" s="113"/>
      <c r="CJ832" s="113"/>
      <c r="CK832" s="113"/>
      <c r="CL832" s="113"/>
      <c r="CM832" s="113"/>
      <c r="CN832" s="113"/>
      <c r="CO832" s="113"/>
      <c r="CP832" s="113"/>
      <c r="CQ832" s="113"/>
      <c r="CR832" s="113"/>
      <c r="CS832" s="113"/>
      <c r="CT832" s="113"/>
      <c r="CU832" s="113"/>
    </row>
    <row r="833">
      <c r="A833" s="159"/>
      <c r="B833" s="113"/>
      <c r="C833" s="113"/>
      <c r="D833" s="158"/>
      <c r="E833" s="161"/>
      <c r="F833" s="160"/>
      <c r="G833" s="162"/>
      <c r="H833" s="159"/>
      <c r="I833" s="113"/>
      <c r="J833" s="113"/>
      <c r="K833" s="113"/>
      <c r="L833" s="158"/>
      <c r="M833" s="113"/>
      <c r="N833" s="113"/>
      <c r="O833" s="113"/>
      <c r="P833" s="113"/>
      <c r="Q833" s="113"/>
      <c r="R833" s="113"/>
      <c r="S833" s="113"/>
      <c r="T833" s="113"/>
      <c r="U833" s="113"/>
      <c r="V833" s="113"/>
      <c r="W833" s="113"/>
      <c r="X833" s="113"/>
      <c r="Y833" s="113"/>
      <c r="Z833" s="113"/>
      <c r="AA833" s="113"/>
      <c r="AB833" s="113"/>
      <c r="AC833" s="113"/>
      <c r="AD833" s="113"/>
      <c r="AE833" s="113"/>
      <c r="AF833" s="113"/>
      <c r="AG833" s="113"/>
      <c r="AH833" s="113"/>
      <c r="AI833" s="113"/>
      <c r="AJ833" s="113"/>
      <c r="AK833" s="113"/>
      <c r="AL833" s="113"/>
      <c r="AM833" s="113"/>
      <c r="AN833" s="113"/>
      <c r="AO833" s="113"/>
      <c r="AP833" s="113"/>
      <c r="AQ833" s="113"/>
      <c r="AR833" s="113"/>
      <c r="AS833" s="113"/>
      <c r="AT833" s="113"/>
      <c r="AU833" s="113"/>
      <c r="AV833" s="113"/>
      <c r="AW833" s="113"/>
      <c r="AX833" s="113"/>
      <c r="AY833" s="113"/>
      <c r="AZ833" s="113"/>
      <c r="BA833" s="113"/>
      <c r="BB833" s="113"/>
      <c r="BC833" s="113"/>
      <c r="BD833" s="113"/>
      <c r="BE833" s="113"/>
      <c r="BF833" s="113"/>
      <c r="BG833" s="113"/>
      <c r="BH833" s="113"/>
      <c r="BI833" s="113"/>
      <c r="BJ833" s="113"/>
      <c r="BK833" s="113"/>
      <c r="BL833" s="113"/>
      <c r="BM833" s="113"/>
      <c r="BN833" s="113"/>
      <c r="BO833" s="113"/>
      <c r="BP833" s="113"/>
      <c r="BQ833" s="113"/>
      <c r="BR833" s="113"/>
      <c r="BS833" s="113"/>
      <c r="BT833" s="113"/>
      <c r="BU833" s="113"/>
      <c r="BV833" s="113"/>
      <c r="BW833" s="113"/>
      <c r="BX833" s="113"/>
      <c r="BY833" s="113"/>
      <c r="BZ833" s="113"/>
      <c r="CA833" s="113"/>
      <c r="CB833" s="113"/>
      <c r="CC833" s="113"/>
      <c r="CD833" s="113"/>
      <c r="CE833" s="113"/>
      <c r="CF833" s="113"/>
      <c r="CG833" s="113"/>
      <c r="CH833" s="113"/>
      <c r="CI833" s="113"/>
      <c r="CJ833" s="113"/>
      <c r="CK833" s="113"/>
      <c r="CL833" s="113"/>
      <c r="CM833" s="113"/>
      <c r="CN833" s="113"/>
      <c r="CO833" s="113"/>
      <c r="CP833" s="113"/>
      <c r="CQ833" s="113"/>
      <c r="CR833" s="113"/>
      <c r="CS833" s="113"/>
      <c r="CT833" s="113"/>
      <c r="CU833" s="113"/>
    </row>
    <row r="834">
      <c r="A834" s="159"/>
      <c r="B834" s="113"/>
      <c r="C834" s="113"/>
      <c r="D834" s="158"/>
      <c r="E834" s="161"/>
      <c r="F834" s="160"/>
      <c r="G834" s="162"/>
      <c r="H834" s="159"/>
      <c r="I834" s="113"/>
      <c r="J834" s="113"/>
      <c r="K834" s="113"/>
      <c r="L834" s="158"/>
      <c r="M834" s="113"/>
      <c r="N834" s="113"/>
      <c r="O834" s="113"/>
      <c r="P834" s="113"/>
      <c r="Q834" s="113"/>
      <c r="R834" s="113"/>
      <c r="S834" s="113"/>
      <c r="T834" s="113"/>
      <c r="U834" s="113"/>
      <c r="V834" s="113"/>
      <c r="W834" s="113"/>
      <c r="X834" s="113"/>
      <c r="Y834" s="113"/>
      <c r="Z834" s="113"/>
      <c r="AA834" s="113"/>
      <c r="AB834" s="113"/>
      <c r="AC834" s="113"/>
      <c r="AD834" s="113"/>
      <c r="AE834" s="113"/>
      <c r="AF834" s="113"/>
      <c r="AG834" s="113"/>
      <c r="AH834" s="113"/>
      <c r="AI834" s="113"/>
      <c r="AJ834" s="113"/>
      <c r="AK834" s="113"/>
      <c r="AL834" s="113"/>
      <c r="AM834" s="113"/>
      <c r="AN834" s="113"/>
      <c r="AO834" s="113"/>
      <c r="AP834" s="113"/>
      <c r="AQ834" s="113"/>
      <c r="AR834" s="113"/>
      <c r="AS834" s="113"/>
      <c r="AT834" s="113"/>
      <c r="AU834" s="113"/>
      <c r="AV834" s="113"/>
      <c r="AW834" s="113"/>
      <c r="AX834" s="113"/>
      <c r="AY834" s="113"/>
      <c r="AZ834" s="113"/>
      <c r="BA834" s="113"/>
      <c r="BB834" s="113"/>
      <c r="BC834" s="113"/>
      <c r="BD834" s="113"/>
      <c r="BE834" s="113"/>
      <c r="BF834" s="113"/>
      <c r="BG834" s="113"/>
      <c r="BH834" s="113"/>
      <c r="BI834" s="113"/>
      <c r="BJ834" s="113"/>
      <c r="BK834" s="113"/>
      <c r="BL834" s="113"/>
      <c r="BM834" s="113"/>
      <c r="BN834" s="113"/>
      <c r="BO834" s="113"/>
      <c r="BP834" s="113"/>
      <c r="BQ834" s="113"/>
      <c r="BR834" s="113"/>
      <c r="BS834" s="113"/>
      <c r="BT834" s="113"/>
      <c r="BU834" s="113"/>
      <c r="BV834" s="113"/>
      <c r="BW834" s="113"/>
      <c r="BX834" s="113"/>
      <c r="BY834" s="113"/>
      <c r="BZ834" s="113"/>
      <c r="CA834" s="113"/>
      <c r="CB834" s="113"/>
      <c r="CC834" s="113"/>
      <c r="CD834" s="113"/>
      <c r="CE834" s="113"/>
      <c r="CF834" s="113"/>
      <c r="CG834" s="113"/>
      <c r="CH834" s="113"/>
      <c r="CI834" s="113"/>
      <c r="CJ834" s="113"/>
      <c r="CK834" s="113"/>
      <c r="CL834" s="113"/>
      <c r="CM834" s="113"/>
      <c r="CN834" s="113"/>
      <c r="CO834" s="113"/>
      <c r="CP834" s="113"/>
      <c r="CQ834" s="113"/>
      <c r="CR834" s="113"/>
      <c r="CS834" s="113"/>
      <c r="CT834" s="113"/>
      <c r="CU834" s="113"/>
    </row>
    <row r="835">
      <c r="A835" s="159"/>
      <c r="B835" s="113"/>
      <c r="C835" s="113"/>
      <c r="D835" s="158"/>
      <c r="E835" s="161"/>
      <c r="F835" s="160"/>
      <c r="G835" s="162"/>
      <c r="H835" s="159"/>
      <c r="I835" s="113"/>
      <c r="J835" s="113"/>
      <c r="K835" s="113"/>
      <c r="L835" s="158"/>
      <c r="M835" s="113"/>
      <c r="N835" s="113"/>
      <c r="O835" s="113"/>
      <c r="P835" s="113"/>
      <c r="Q835" s="113"/>
      <c r="R835" s="113"/>
      <c r="S835" s="113"/>
      <c r="T835" s="113"/>
      <c r="U835" s="113"/>
      <c r="V835" s="113"/>
      <c r="W835" s="113"/>
      <c r="X835" s="113"/>
      <c r="Y835" s="113"/>
      <c r="Z835" s="113"/>
      <c r="AA835" s="113"/>
      <c r="AB835" s="113"/>
      <c r="AC835" s="113"/>
      <c r="AD835" s="113"/>
      <c r="AE835" s="113"/>
      <c r="AF835" s="113"/>
      <c r="AG835" s="113"/>
      <c r="AH835" s="113"/>
      <c r="AI835" s="113"/>
      <c r="AJ835" s="113"/>
      <c r="AK835" s="113"/>
      <c r="AL835" s="113"/>
      <c r="AM835" s="113"/>
      <c r="AN835" s="113"/>
      <c r="AO835" s="113"/>
      <c r="AP835" s="113"/>
      <c r="AQ835" s="113"/>
      <c r="AR835" s="113"/>
      <c r="AS835" s="113"/>
      <c r="AT835" s="113"/>
      <c r="AU835" s="113"/>
      <c r="AV835" s="113"/>
      <c r="AW835" s="113"/>
      <c r="AX835" s="113"/>
      <c r="AY835" s="113"/>
      <c r="AZ835" s="113"/>
      <c r="BA835" s="113"/>
      <c r="BB835" s="113"/>
      <c r="BC835" s="113"/>
      <c r="BD835" s="113"/>
      <c r="BE835" s="113"/>
      <c r="BF835" s="113"/>
      <c r="BG835" s="113"/>
      <c r="BH835" s="113"/>
      <c r="BI835" s="113"/>
      <c r="BJ835" s="113"/>
      <c r="BK835" s="113"/>
      <c r="BL835" s="113"/>
      <c r="BM835" s="113"/>
      <c r="BN835" s="113"/>
      <c r="BO835" s="113"/>
      <c r="BP835" s="113"/>
      <c r="BQ835" s="113"/>
      <c r="BR835" s="113"/>
      <c r="BS835" s="113"/>
      <c r="BT835" s="113"/>
      <c r="BU835" s="113"/>
      <c r="BV835" s="113"/>
      <c r="BW835" s="113"/>
      <c r="BX835" s="113"/>
      <c r="BY835" s="113"/>
      <c r="BZ835" s="113"/>
      <c r="CA835" s="113"/>
      <c r="CB835" s="113"/>
      <c r="CC835" s="113"/>
      <c r="CD835" s="113"/>
      <c r="CE835" s="113"/>
      <c r="CF835" s="113"/>
      <c r="CG835" s="113"/>
      <c r="CH835" s="113"/>
      <c r="CI835" s="113"/>
      <c r="CJ835" s="113"/>
      <c r="CK835" s="113"/>
      <c r="CL835" s="113"/>
      <c r="CM835" s="113"/>
      <c r="CN835" s="113"/>
      <c r="CO835" s="113"/>
      <c r="CP835" s="113"/>
      <c r="CQ835" s="113"/>
      <c r="CR835" s="113"/>
      <c r="CS835" s="113"/>
      <c r="CT835" s="113"/>
      <c r="CU835" s="113"/>
    </row>
    <row r="836">
      <c r="A836" s="159"/>
      <c r="B836" s="113"/>
      <c r="C836" s="113"/>
      <c r="D836" s="158"/>
      <c r="E836" s="161"/>
      <c r="F836" s="160"/>
      <c r="G836" s="162"/>
      <c r="H836" s="159"/>
      <c r="I836" s="113"/>
      <c r="J836" s="113"/>
      <c r="K836" s="113"/>
      <c r="L836" s="158"/>
      <c r="M836" s="113"/>
      <c r="N836" s="113"/>
      <c r="O836" s="113"/>
      <c r="P836" s="113"/>
      <c r="Q836" s="113"/>
      <c r="R836" s="113"/>
      <c r="S836" s="113"/>
      <c r="T836" s="113"/>
      <c r="U836" s="113"/>
      <c r="V836" s="113"/>
      <c r="W836" s="113"/>
      <c r="X836" s="113"/>
      <c r="Y836" s="113"/>
      <c r="Z836" s="113"/>
      <c r="AA836" s="113"/>
      <c r="AB836" s="113"/>
      <c r="AC836" s="113"/>
      <c r="AD836" s="113"/>
      <c r="AE836" s="113"/>
      <c r="AF836" s="113"/>
      <c r="AG836" s="113"/>
      <c r="AH836" s="113"/>
      <c r="AI836" s="113"/>
      <c r="AJ836" s="113"/>
      <c r="AK836" s="113"/>
      <c r="AL836" s="113"/>
      <c r="AM836" s="113"/>
      <c r="AN836" s="113"/>
      <c r="AO836" s="113"/>
      <c r="AP836" s="113"/>
      <c r="AQ836" s="113"/>
      <c r="AR836" s="113"/>
      <c r="AS836" s="113"/>
      <c r="AT836" s="113"/>
      <c r="AU836" s="113"/>
      <c r="AV836" s="113"/>
      <c r="AW836" s="113"/>
      <c r="AX836" s="113"/>
      <c r="AY836" s="113"/>
      <c r="AZ836" s="113"/>
      <c r="BA836" s="113"/>
      <c r="BB836" s="113"/>
      <c r="BC836" s="113"/>
      <c r="BD836" s="113"/>
      <c r="BE836" s="113"/>
      <c r="BF836" s="113"/>
      <c r="BG836" s="113"/>
      <c r="BH836" s="113"/>
      <c r="BI836" s="113"/>
      <c r="BJ836" s="113"/>
      <c r="BK836" s="113"/>
      <c r="BL836" s="113"/>
      <c r="BM836" s="113"/>
      <c r="BN836" s="113"/>
      <c r="BO836" s="113"/>
      <c r="BP836" s="113"/>
      <c r="BQ836" s="113"/>
      <c r="BR836" s="113"/>
      <c r="BS836" s="113"/>
      <c r="BT836" s="113"/>
      <c r="BU836" s="113"/>
      <c r="BV836" s="113"/>
      <c r="BW836" s="113"/>
      <c r="BX836" s="113"/>
      <c r="BY836" s="113"/>
      <c r="BZ836" s="113"/>
      <c r="CA836" s="113"/>
      <c r="CB836" s="113"/>
      <c r="CC836" s="113"/>
      <c r="CD836" s="113"/>
      <c r="CE836" s="113"/>
      <c r="CF836" s="113"/>
      <c r="CG836" s="113"/>
      <c r="CH836" s="113"/>
      <c r="CI836" s="113"/>
      <c r="CJ836" s="113"/>
      <c r="CK836" s="113"/>
      <c r="CL836" s="113"/>
      <c r="CM836" s="113"/>
      <c r="CN836" s="113"/>
      <c r="CO836" s="113"/>
      <c r="CP836" s="113"/>
      <c r="CQ836" s="113"/>
      <c r="CR836" s="113"/>
      <c r="CS836" s="113"/>
      <c r="CT836" s="113"/>
      <c r="CU836" s="113"/>
    </row>
    <row r="837">
      <c r="A837" s="159"/>
      <c r="B837" s="113"/>
      <c r="C837" s="113"/>
      <c r="D837" s="158"/>
      <c r="E837" s="161"/>
      <c r="F837" s="160"/>
      <c r="G837" s="162"/>
      <c r="H837" s="159"/>
      <c r="I837" s="113"/>
      <c r="J837" s="113"/>
      <c r="K837" s="113"/>
      <c r="L837" s="158"/>
      <c r="M837" s="113"/>
      <c r="N837" s="113"/>
      <c r="O837" s="113"/>
      <c r="P837" s="113"/>
      <c r="Q837" s="113"/>
      <c r="R837" s="113"/>
      <c r="S837" s="113"/>
      <c r="T837" s="113"/>
      <c r="U837" s="113"/>
      <c r="V837" s="113"/>
      <c r="W837" s="113"/>
      <c r="X837" s="113"/>
      <c r="Y837" s="113"/>
      <c r="Z837" s="113"/>
      <c r="AA837" s="113"/>
      <c r="AB837" s="113"/>
      <c r="AC837" s="113"/>
      <c r="AD837" s="113"/>
      <c r="AE837" s="113"/>
      <c r="AF837" s="113"/>
      <c r="AG837" s="113"/>
      <c r="AH837" s="113"/>
      <c r="AI837" s="113"/>
      <c r="AJ837" s="113"/>
      <c r="AK837" s="113"/>
      <c r="AL837" s="113"/>
      <c r="AM837" s="113"/>
      <c r="AN837" s="113"/>
      <c r="AO837" s="113"/>
      <c r="AP837" s="113"/>
      <c r="AQ837" s="113"/>
      <c r="AR837" s="113"/>
      <c r="AS837" s="113"/>
      <c r="AT837" s="113"/>
      <c r="AU837" s="113"/>
      <c r="AV837" s="113"/>
      <c r="AW837" s="113"/>
      <c r="AX837" s="113"/>
      <c r="AY837" s="113"/>
      <c r="AZ837" s="113"/>
      <c r="BA837" s="113"/>
      <c r="BB837" s="113"/>
      <c r="BC837" s="113"/>
      <c r="BD837" s="113"/>
      <c r="BE837" s="113"/>
      <c r="BF837" s="113"/>
      <c r="BG837" s="113"/>
      <c r="BH837" s="113"/>
      <c r="BI837" s="113"/>
      <c r="BJ837" s="113"/>
      <c r="BK837" s="113"/>
      <c r="BL837" s="113"/>
      <c r="BM837" s="113"/>
      <c r="BN837" s="113"/>
      <c r="BO837" s="113"/>
      <c r="BP837" s="113"/>
      <c r="BQ837" s="113"/>
      <c r="BR837" s="113"/>
      <c r="BS837" s="113"/>
      <c r="BT837" s="113"/>
      <c r="BU837" s="113"/>
      <c r="BV837" s="113"/>
      <c r="BW837" s="113"/>
      <c r="BX837" s="113"/>
      <c r="BY837" s="113"/>
      <c r="BZ837" s="113"/>
      <c r="CA837" s="113"/>
      <c r="CB837" s="113"/>
      <c r="CC837" s="113"/>
      <c r="CD837" s="113"/>
      <c r="CE837" s="113"/>
      <c r="CF837" s="113"/>
      <c r="CG837" s="113"/>
      <c r="CH837" s="113"/>
      <c r="CI837" s="113"/>
      <c r="CJ837" s="113"/>
      <c r="CK837" s="113"/>
      <c r="CL837" s="113"/>
      <c r="CM837" s="113"/>
      <c r="CN837" s="113"/>
      <c r="CO837" s="113"/>
      <c r="CP837" s="113"/>
      <c r="CQ837" s="113"/>
      <c r="CR837" s="113"/>
      <c r="CS837" s="113"/>
      <c r="CT837" s="113"/>
      <c r="CU837" s="113"/>
    </row>
    <row r="838">
      <c r="A838" s="159"/>
      <c r="B838" s="113"/>
      <c r="C838" s="113"/>
      <c r="D838" s="158"/>
      <c r="E838" s="161"/>
      <c r="F838" s="160"/>
      <c r="G838" s="162"/>
      <c r="H838" s="159"/>
      <c r="I838" s="113"/>
      <c r="J838" s="113"/>
      <c r="K838" s="113"/>
      <c r="L838" s="158"/>
      <c r="M838" s="113"/>
      <c r="N838" s="113"/>
      <c r="O838" s="113"/>
      <c r="P838" s="113"/>
      <c r="Q838" s="113"/>
      <c r="R838" s="113"/>
      <c r="S838" s="113"/>
      <c r="T838" s="113"/>
      <c r="U838" s="113"/>
      <c r="V838" s="113"/>
      <c r="W838" s="113"/>
      <c r="X838" s="113"/>
      <c r="Y838" s="113"/>
      <c r="Z838" s="113"/>
      <c r="AA838" s="113"/>
      <c r="AB838" s="113"/>
      <c r="AC838" s="113"/>
      <c r="AD838" s="113"/>
      <c r="AE838" s="113"/>
      <c r="AF838" s="113"/>
      <c r="AG838" s="113"/>
      <c r="AH838" s="113"/>
      <c r="AI838" s="113"/>
      <c r="AJ838" s="113"/>
      <c r="AK838" s="113"/>
      <c r="AL838" s="113"/>
      <c r="AM838" s="113"/>
      <c r="AN838" s="113"/>
      <c r="AO838" s="113"/>
      <c r="AP838" s="113"/>
      <c r="AQ838" s="113"/>
      <c r="AR838" s="113"/>
      <c r="AS838" s="113"/>
      <c r="AT838" s="113"/>
      <c r="AU838" s="113"/>
      <c r="AV838" s="113"/>
      <c r="AW838" s="113"/>
      <c r="AX838" s="113"/>
      <c r="AY838" s="113"/>
      <c r="AZ838" s="113"/>
      <c r="BA838" s="113"/>
      <c r="BB838" s="113"/>
      <c r="BC838" s="113"/>
      <c r="BD838" s="113"/>
      <c r="BE838" s="113"/>
      <c r="BF838" s="113"/>
      <c r="BG838" s="113"/>
      <c r="BH838" s="113"/>
      <c r="BI838" s="113"/>
      <c r="BJ838" s="113"/>
      <c r="BK838" s="113"/>
      <c r="BL838" s="113"/>
      <c r="BM838" s="113"/>
      <c r="BN838" s="113"/>
      <c r="BO838" s="113"/>
      <c r="BP838" s="113"/>
      <c r="BQ838" s="113"/>
      <c r="BR838" s="113"/>
      <c r="BS838" s="113"/>
      <c r="BT838" s="113"/>
      <c r="BU838" s="113"/>
      <c r="BV838" s="113"/>
      <c r="BW838" s="113"/>
      <c r="BX838" s="113"/>
      <c r="BY838" s="113"/>
      <c r="BZ838" s="113"/>
      <c r="CA838" s="113"/>
      <c r="CB838" s="113"/>
      <c r="CC838" s="113"/>
      <c r="CD838" s="113"/>
      <c r="CE838" s="113"/>
      <c r="CF838" s="113"/>
      <c r="CG838" s="113"/>
      <c r="CH838" s="113"/>
      <c r="CI838" s="113"/>
      <c r="CJ838" s="113"/>
      <c r="CK838" s="113"/>
      <c r="CL838" s="113"/>
      <c r="CM838" s="113"/>
      <c r="CN838" s="113"/>
      <c r="CO838" s="113"/>
      <c r="CP838" s="113"/>
      <c r="CQ838" s="113"/>
      <c r="CR838" s="113"/>
      <c r="CS838" s="113"/>
      <c r="CT838" s="113"/>
      <c r="CU838" s="113"/>
    </row>
    <row r="839">
      <c r="A839" s="159"/>
      <c r="B839" s="113"/>
      <c r="C839" s="113"/>
      <c r="D839" s="158"/>
      <c r="E839" s="161"/>
      <c r="F839" s="160"/>
      <c r="G839" s="162"/>
      <c r="H839" s="159"/>
      <c r="I839" s="113"/>
      <c r="J839" s="113"/>
      <c r="K839" s="113"/>
      <c r="L839" s="158"/>
      <c r="M839" s="113"/>
      <c r="N839" s="113"/>
      <c r="O839" s="113"/>
      <c r="P839" s="113"/>
      <c r="Q839" s="113"/>
      <c r="R839" s="113"/>
      <c r="S839" s="113"/>
      <c r="T839" s="113"/>
      <c r="U839" s="113"/>
      <c r="V839" s="113"/>
      <c r="W839" s="113"/>
      <c r="X839" s="113"/>
      <c r="Y839" s="113"/>
      <c r="Z839" s="113"/>
      <c r="AA839" s="113"/>
      <c r="AB839" s="113"/>
      <c r="AC839" s="113"/>
      <c r="AD839" s="113"/>
      <c r="AE839" s="113"/>
      <c r="AF839" s="113"/>
      <c r="AG839" s="113"/>
      <c r="AH839" s="113"/>
      <c r="AI839" s="113"/>
      <c r="AJ839" s="113"/>
      <c r="AK839" s="113"/>
      <c r="AL839" s="113"/>
      <c r="AM839" s="113"/>
      <c r="AN839" s="113"/>
      <c r="AO839" s="113"/>
      <c r="AP839" s="113"/>
      <c r="AQ839" s="113"/>
      <c r="AR839" s="113"/>
      <c r="AS839" s="113"/>
      <c r="AT839" s="113"/>
      <c r="AU839" s="113"/>
      <c r="AV839" s="113"/>
      <c r="AW839" s="113"/>
      <c r="AX839" s="113"/>
      <c r="AY839" s="113"/>
      <c r="AZ839" s="113"/>
      <c r="BA839" s="113"/>
      <c r="BB839" s="113"/>
      <c r="BC839" s="113"/>
      <c r="BD839" s="113"/>
      <c r="BE839" s="113"/>
      <c r="BF839" s="113"/>
      <c r="BG839" s="113"/>
      <c r="BH839" s="113"/>
      <c r="BI839" s="113"/>
      <c r="BJ839" s="113"/>
      <c r="BK839" s="113"/>
      <c r="BL839" s="113"/>
      <c r="BM839" s="113"/>
      <c r="BN839" s="113"/>
      <c r="BO839" s="113"/>
      <c r="BP839" s="113"/>
      <c r="BQ839" s="113"/>
      <c r="BR839" s="113"/>
      <c r="BS839" s="113"/>
      <c r="BT839" s="113"/>
      <c r="BU839" s="113"/>
      <c r="BV839" s="113"/>
      <c r="BW839" s="113"/>
      <c r="BX839" s="113"/>
      <c r="BY839" s="113"/>
      <c r="BZ839" s="113"/>
      <c r="CA839" s="113"/>
      <c r="CB839" s="113"/>
      <c r="CC839" s="113"/>
      <c r="CD839" s="113"/>
      <c r="CE839" s="113"/>
      <c r="CF839" s="113"/>
      <c r="CG839" s="113"/>
      <c r="CH839" s="113"/>
      <c r="CI839" s="113"/>
      <c r="CJ839" s="113"/>
      <c r="CK839" s="113"/>
      <c r="CL839" s="113"/>
      <c r="CM839" s="113"/>
      <c r="CN839" s="113"/>
      <c r="CO839" s="113"/>
      <c r="CP839" s="113"/>
      <c r="CQ839" s="113"/>
      <c r="CR839" s="113"/>
      <c r="CS839" s="113"/>
      <c r="CT839" s="113"/>
      <c r="CU839" s="113"/>
    </row>
    <row r="840">
      <c r="A840" s="159"/>
      <c r="B840" s="113"/>
      <c r="C840" s="113"/>
      <c r="D840" s="158"/>
      <c r="E840" s="161"/>
      <c r="F840" s="160"/>
      <c r="G840" s="162"/>
      <c r="H840" s="159"/>
      <c r="I840" s="113"/>
      <c r="J840" s="113"/>
      <c r="K840" s="113"/>
      <c r="L840" s="158"/>
      <c r="M840" s="113"/>
      <c r="N840" s="113"/>
      <c r="O840" s="113"/>
      <c r="P840" s="113"/>
      <c r="Q840" s="113"/>
      <c r="R840" s="113"/>
      <c r="S840" s="113"/>
      <c r="T840" s="113"/>
      <c r="U840" s="113"/>
      <c r="V840" s="113"/>
      <c r="W840" s="113"/>
      <c r="X840" s="113"/>
      <c r="Y840" s="113"/>
      <c r="Z840" s="113"/>
      <c r="AA840" s="113"/>
      <c r="AB840" s="113"/>
      <c r="AC840" s="113"/>
      <c r="AD840" s="113"/>
      <c r="AE840" s="113"/>
      <c r="AF840" s="113"/>
      <c r="AG840" s="113"/>
      <c r="AH840" s="113"/>
      <c r="AI840" s="113"/>
      <c r="AJ840" s="113"/>
      <c r="AK840" s="113"/>
      <c r="AL840" s="113"/>
      <c r="AM840" s="113"/>
      <c r="AN840" s="113"/>
      <c r="AO840" s="113"/>
      <c r="AP840" s="113"/>
      <c r="AQ840" s="113"/>
      <c r="AR840" s="113"/>
      <c r="AS840" s="113"/>
      <c r="AT840" s="113"/>
      <c r="AU840" s="113"/>
      <c r="AV840" s="113"/>
      <c r="AW840" s="113"/>
      <c r="AX840" s="113"/>
      <c r="AY840" s="113"/>
      <c r="AZ840" s="113"/>
      <c r="BA840" s="113"/>
      <c r="BB840" s="113"/>
      <c r="BC840" s="113"/>
      <c r="BD840" s="113"/>
      <c r="BE840" s="113"/>
      <c r="BF840" s="113"/>
      <c r="BG840" s="113"/>
      <c r="BH840" s="113"/>
      <c r="BI840" s="113"/>
      <c r="BJ840" s="113"/>
      <c r="BK840" s="113"/>
      <c r="BL840" s="113"/>
      <c r="BM840" s="113"/>
      <c r="BN840" s="113"/>
      <c r="BO840" s="113"/>
      <c r="BP840" s="113"/>
      <c r="BQ840" s="113"/>
      <c r="BR840" s="113"/>
      <c r="BS840" s="113"/>
      <c r="BT840" s="113"/>
      <c r="BU840" s="113"/>
      <c r="BV840" s="113"/>
      <c r="BW840" s="113"/>
      <c r="BX840" s="113"/>
      <c r="BY840" s="113"/>
      <c r="BZ840" s="113"/>
      <c r="CA840" s="113"/>
      <c r="CB840" s="113"/>
      <c r="CC840" s="113"/>
      <c r="CD840" s="113"/>
      <c r="CE840" s="113"/>
      <c r="CF840" s="113"/>
      <c r="CG840" s="113"/>
      <c r="CH840" s="113"/>
      <c r="CI840" s="113"/>
      <c r="CJ840" s="113"/>
      <c r="CK840" s="113"/>
      <c r="CL840" s="113"/>
      <c r="CM840" s="113"/>
      <c r="CN840" s="113"/>
      <c r="CO840" s="113"/>
      <c r="CP840" s="113"/>
      <c r="CQ840" s="113"/>
      <c r="CR840" s="113"/>
      <c r="CS840" s="113"/>
      <c r="CT840" s="113"/>
      <c r="CU840" s="113"/>
    </row>
    <row r="841">
      <c r="A841" s="159"/>
      <c r="B841" s="113"/>
      <c r="C841" s="113"/>
      <c r="D841" s="158"/>
      <c r="E841" s="161"/>
      <c r="F841" s="160"/>
      <c r="G841" s="162"/>
      <c r="H841" s="159"/>
      <c r="I841" s="113"/>
      <c r="J841" s="113"/>
      <c r="K841" s="113"/>
      <c r="L841" s="158"/>
      <c r="M841" s="113"/>
      <c r="N841" s="113"/>
      <c r="O841" s="113"/>
      <c r="P841" s="113"/>
      <c r="Q841" s="113"/>
      <c r="R841" s="113"/>
      <c r="S841" s="113"/>
      <c r="T841" s="113"/>
      <c r="U841" s="113"/>
      <c r="V841" s="113"/>
      <c r="W841" s="113"/>
      <c r="X841" s="113"/>
      <c r="Y841" s="113"/>
      <c r="Z841" s="113"/>
      <c r="AA841" s="113"/>
      <c r="AB841" s="113"/>
      <c r="AC841" s="113"/>
      <c r="AD841" s="113"/>
      <c r="AE841" s="113"/>
      <c r="AF841" s="113"/>
      <c r="AG841" s="113"/>
      <c r="AH841" s="113"/>
      <c r="AI841" s="113"/>
      <c r="AJ841" s="113"/>
      <c r="AK841" s="113"/>
      <c r="AL841" s="113"/>
      <c r="AM841" s="113"/>
      <c r="AN841" s="113"/>
      <c r="AO841" s="113"/>
      <c r="AP841" s="113"/>
      <c r="AQ841" s="113"/>
      <c r="AR841" s="113"/>
      <c r="AS841" s="113"/>
      <c r="AT841" s="113"/>
      <c r="AU841" s="113"/>
      <c r="AV841" s="113"/>
      <c r="AW841" s="113"/>
      <c r="AX841" s="113"/>
      <c r="AY841" s="113"/>
      <c r="AZ841" s="113"/>
      <c r="BA841" s="113"/>
      <c r="BB841" s="113"/>
      <c r="BC841" s="113"/>
      <c r="BD841" s="113"/>
      <c r="BE841" s="113"/>
      <c r="BF841" s="113"/>
      <c r="BG841" s="113"/>
      <c r="BH841" s="113"/>
      <c r="BI841" s="113"/>
      <c r="BJ841" s="113"/>
      <c r="BK841" s="113"/>
      <c r="BL841" s="113"/>
      <c r="BM841" s="113"/>
      <c r="BN841" s="113"/>
      <c r="BO841" s="113"/>
      <c r="BP841" s="113"/>
      <c r="BQ841" s="113"/>
      <c r="BR841" s="113"/>
      <c r="BS841" s="113"/>
      <c r="BT841" s="113"/>
      <c r="BU841" s="113"/>
      <c r="BV841" s="113"/>
      <c r="BW841" s="113"/>
      <c r="BX841" s="113"/>
      <c r="BY841" s="113"/>
      <c r="BZ841" s="113"/>
      <c r="CA841" s="113"/>
      <c r="CB841" s="113"/>
      <c r="CC841" s="113"/>
      <c r="CD841" s="113"/>
      <c r="CE841" s="113"/>
      <c r="CF841" s="113"/>
      <c r="CG841" s="113"/>
      <c r="CH841" s="113"/>
      <c r="CI841" s="113"/>
      <c r="CJ841" s="113"/>
      <c r="CK841" s="113"/>
      <c r="CL841" s="113"/>
      <c r="CM841" s="113"/>
      <c r="CN841" s="113"/>
      <c r="CO841" s="113"/>
      <c r="CP841" s="113"/>
      <c r="CQ841" s="113"/>
      <c r="CR841" s="113"/>
      <c r="CS841" s="113"/>
      <c r="CT841" s="113"/>
      <c r="CU841" s="113"/>
    </row>
    <row r="842">
      <c r="A842" s="159"/>
      <c r="B842" s="113"/>
      <c r="C842" s="113"/>
      <c r="D842" s="158"/>
      <c r="E842" s="161"/>
      <c r="F842" s="160"/>
      <c r="G842" s="162"/>
      <c r="H842" s="159"/>
      <c r="I842" s="113"/>
      <c r="J842" s="113"/>
      <c r="K842" s="113"/>
      <c r="L842" s="158"/>
      <c r="M842" s="113"/>
      <c r="N842" s="113"/>
      <c r="O842" s="113"/>
      <c r="P842" s="113"/>
      <c r="Q842" s="113"/>
      <c r="R842" s="113"/>
      <c r="S842" s="113"/>
      <c r="T842" s="113"/>
      <c r="U842" s="113"/>
      <c r="V842" s="113"/>
      <c r="W842" s="113"/>
      <c r="X842" s="113"/>
      <c r="Y842" s="113"/>
      <c r="Z842" s="113"/>
      <c r="AA842" s="113"/>
      <c r="AB842" s="113"/>
      <c r="AC842" s="113"/>
      <c r="AD842" s="113"/>
      <c r="AE842" s="113"/>
      <c r="AF842" s="113"/>
      <c r="AG842" s="113"/>
      <c r="AH842" s="113"/>
      <c r="AI842" s="113"/>
      <c r="AJ842" s="113"/>
      <c r="AK842" s="113"/>
      <c r="AL842" s="113"/>
      <c r="AM842" s="113"/>
      <c r="AN842" s="113"/>
      <c r="AO842" s="113"/>
      <c r="AP842" s="113"/>
      <c r="AQ842" s="113"/>
      <c r="AR842" s="113"/>
      <c r="AS842" s="113"/>
      <c r="AT842" s="113"/>
      <c r="AU842" s="113"/>
      <c r="AV842" s="113"/>
      <c r="AW842" s="113"/>
      <c r="AX842" s="113"/>
      <c r="AY842" s="113"/>
      <c r="AZ842" s="113"/>
      <c r="BA842" s="113"/>
      <c r="BB842" s="113"/>
      <c r="BC842" s="113"/>
      <c r="BD842" s="113"/>
      <c r="BE842" s="113"/>
      <c r="BF842" s="113"/>
      <c r="BG842" s="113"/>
      <c r="BH842" s="113"/>
      <c r="BI842" s="113"/>
      <c r="BJ842" s="113"/>
      <c r="BK842" s="113"/>
      <c r="BL842" s="113"/>
      <c r="BM842" s="113"/>
      <c r="BN842" s="113"/>
      <c r="BO842" s="113"/>
      <c r="BP842" s="113"/>
      <c r="BQ842" s="113"/>
      <c r="BR842" s="113"/>
      <c r="BS842" s="113"/>
      <c r="BT842" s="113"/>
      <c r="BU842" s="113"/>
      <c r="BV842" s="113"/>
      <c r="BW842" s="113"/>
      <c r="BX842" s="113"/>
      <c r="BY842" s="113"/>
      <c r="BZ842" s="113"/>
      <c r="CA842" s="113"/>
      <c r="CB842" s="113"/>
      <c r="CC842" s="113"/>
      <c r="CD842" s="113"/>
      <c r="CE842" s="113"/>
      <c r="CF842" s="113"/>
      <c r="CG842" s="113"/>
      <c r="CH842" s="113"/>
      <c r="CI842" s="113"/>
      <c r="CJ842" s="113"/>
      <c r="CK842" s="113"/>
      <c r="CL842" s="113"/>
      <c r="CM842" s="113"/>
      <c r="CN842" s="113"/>
      <c r="CO842" s="113"/>
      <c r="CP842" s="113"/>
      <c r="CQ842" s="113"/>
      <c r="CR842" s="113"/>
      <c r="CS842" s="113"/>
      <c r="CT842" s="113"/>
      <c r="CU842" s="113"/>
    </row>
    <row r="843">
      <c r="A843" s="159"/>
      <c r="B843" s="113"/>
      <c r="C843" s="113"/>
      <c r="D843" s="158"/>
      <c r="E843" s="161"/>
      <c r="F843" s="160"/>
      <c r="G843" s="162"/>
      <c r="H843" s="159"/>
      <c r="I843" s="113"/>
      <c r="J843" s="113"/>
      <c r="K843" s="113"/>
      <c r="L843" s="158"/>
      <c r="M843" s="113"/>
      <c r="N843" s="113"/>
      <c r="O843" s="113"/>
      <c r="P843" s="113"/>
      <c r="Q843" s="113"/>
      <c r="R843" s="113"/>
      <c r="S843" s="113"/>
      <c r="T843" s="113"/>
      <c r="U843" s="113"/>
      <c r="V843" s="113"/>
      <c r="W843" s="113"/>
      <c r="X843" s="113"/>
      <c r="Y843" s="113"/>
      <c r="Z843" s="113"/>
      <c r="AA843" s="113"/>
      <c r="AB843" s="113"/>
      <c r="AC843" s="113"/>
      <c r="AD843" s="113"/>
      <c r="AE843" s="113"/>
      <c r="AF843" s="113"/>
      <c r="AG843" s="113"/>
      <c r="AH843" s="113"/>
      <c r="AI843" s="113"/>
      <c r="AJ843" s="113"/>
      <c r="AK843" s="113"/>
      <c r="AL843" s="113"/>
      <c r="AM843" s="113"/>
      <c r="AN843" s="113"/>
      <c r="AO843" s="113"/>
      <c r="AP843" s="113"/>
      <c r="AQ843" s="113"/>
      <c r="AR843" s="113"/>
      <c r="AS843" s="113"/>
      <c r="AT843" s="113"/>
      <c r="AU843" s="113"/>
      <c r="AV843" s="113"/>
      <c r="AW843" s="113"/>
      <c r="AX843" s="113"/>
      <c r="AY843" s="113"/>
      <c r="AZ843" s="113"/>
      <c r="BA843" s="113"/>
      <c r="BB843" s="113"/>
      <c r="BC843" s="113"/>
      <c r="BD843" s="113"/>
      <c r="BE843" s="113"/>
      <c r="BF843" s="113"/>
      <c r="BG843" s="113"/>
      <c r="BH843" s="113"/>
      <c r="BI843" s="113"/>
      <c r="BJ843" s="113"/>
      <c r="BK843" s="113"/>
      <c r="BL843" s="113"/>
      <c r="BM843" s="113"/>
      <c r="BN843" s="113"/>
      <c r="BO843" s="113"/>
      <c r="BP843" s="113"/>
      <c r="BQ843" s="113"/>
      <c r="BR843" s="113"/>
      <c r="BS843" s="113"/>
      <c r="BT843" s="113"/>
      <c r="BU843" s="113"/>
      <c r="BV843" s="113"/>
      <c r="BW843" s="113"/>
      <c r="BX843" s="113"/>
      <c r="BY843" s="113"/>
      <c r="BZ843" s="113"/>
      <c r="CA843" s="113"/>
      <c r="CB843" s="113"/>
      <c r="CC843" s="113"/>
      <c r="CD843" s="113"/>
      <c r="CE843" s="113"/>
      <c r="CF843" s="113"/>
      <c r="CG843" s="113"/>
      <c r="CH843" s="113"/>
      <c r="CI843" s="113"/>
      <c r="CJ843" s="113"/>
      <c r="CK843" s="113"/>
      <c r="CL843" s="113"/>
      <c r="CM843" s="113"/>
      <c r="CN843" s="113"/>
      <c r="CO843" s="113"/>
      <c r="CP843" s="113"/>
      <c r="CQ843" s="113"/>
      <c r="CR843" s="113"/>
      <c r="CS843" s="113"/>
      <c r="CT843" s="113"/>
      <c r="CU843" s="113"/>
    </row>
    <row r="844">
      <c r="A844" s="159"/>
      <c r="B844" s="113"/>
      <c r="C844" s="113"/>
      <c r="D844" s="158"/>
      <c r="E844" s="161"/>
      <c r="F844" s="160"/>
      <c r="G844" s="162"/>
      <c r="H844" s="159"/>
      <c r="I844" s="113"/>
      <c r="J844" s="113"/>
      <c r="K844" s="113"/>
      <c r="L844" s="158"/>
      <c r="M844" s="113"/>
      <c r="N844" s="113"/>
      <c r="O844" s="113"/>
      <c r="P844" s="113"/>
      <c r="Q844" s="113"/>
      <c r="R844" s="113"/>
      <c r="S844" s="113"/>
      <c r="T844" s="113"/>
      <c r="U844" s="113"/>
      <c r="V844" s="113"/>
      <c r="W844" s="113"/>
      <c r="X844" s="113"/>
      <c r="Y844" s="113"/>
      <c r="Z844" s="113"/>
      <c r="AA844" s="113"/>
      <c r="AB844" s="113"/>
      <c r="AC844" s="113"/>
      <c r="AD844" s="113"/>
      <c r="AE844" s="113"/>
      <c r="AF844" s="113"/>
      <c r="AG844" s="113"/>
      <c r="AH844" s="113"/>
      <c r="AI844" s="113"/>
      <c r="AJ844" s="113"/>
      <c r="AK844" s="113"/>
      <c r="AL844" s="113"/>
      <c r="AM844" s="113"/>
      <c r="AN844" s="113"/>
      <c r="AO844" s="113"/>
      <c r="AP844" s="113"/>
      <c r="AQ844" s="113"/>
      <c r="AR844" s="113"/>
      <c r="AS844" s="113"/>
      <c r="AT844" s="113"/>
      <c r="AU844" s="113"/>
      <c r="AV844" s="113"/>
      <c r="AW844" s="113"/>
      <c r="AX844" s="113"/>
      <c r="AY844" s="113"/>
      <c r="AZ844" s="113"/>
      <c r="BA844" s="113"/>
      <c r="BB844" s="113"/>
      <c r="BC844" s="113"/>
      <c r="BD844" s="113"/>
      <c r="BE844" s="113"/>
      <c r="BF844" s="113"/>
      <c r="BG844" s="113"/>
      <c r="BH844" s="113"/>
      <c r="BI844" s="113"/>
      <c r="BJ844" s="113"/>
      <c r="BK844" s="113"/>
      <c r="BL844" s="113"/>
      <c r="BM844" s="113"/>
      <c r="BN844" s="113"/>
      <c r="BO844" s="113"/>
      <c r="BP844" s="113"/>
      <c r="BQ844" s="113"/>
      <c r="BR844" s="113"/>
      <c r="BS844" s="113"/>
      <c r="BT844" s="113"/>
      <c r="BU844" s="113"/>
      <c r="BV844" s="113"/>
      <c r="BW844" s="113"/>
      <c r="BX844" s="113"/>
      <c r="BY844" s="113"/>
      <c r="BZ844" s="113"/>
      <c r="CA844" s="113"/>
      <c r="CB844" s="113"/>
      <c r="CC844" s="113"/>
      <c r="CD844" s="113"/>
      <c r="CE844" s="113"/>
      <c r="CF844" s="113"/>
      <c r="CG844" s="113"/>
      <c r="CH844" s="113"/>
      <c r="CI844" s="113"/>
      <c r="CJ844" s="113"/>
      <c r="CK844" s="113"/>
      <c r="CL844" s="113"/>
      <c r="CM844" s="113"/>
      <c r="CN844" s="113"/>
      <c r="CO844" s="113"/>
      <c r="CP844" s="113"/>
      <c r="CQ844" s="113"/>
      <c r="CR844" s="113"/>
      <c r="CS844" s="113"/>
      <c r="CT844" s="113"/>
      <c r="CU844" s="113"/>
    </row>
    <row r="845">
      <c r="A845" s="159"/>
      <c r="B845" s="113"/>
      <c r="C845" s="113"/>
      <c r="D845" s="158"/>
      <c r="E845" s="161"/>
      <c r="F845" s="160"/>
      <c r="G845" s="162"/>
      <c r="H845" s="159"/>
      <c r="I845" s="113"/>
      <c r="J845" s="113"/>
      <c r="K845" s="113"/>
      <c r="L845" s="158"/>
      <c r="M845" s="113"/>
      <c r="N845" s="113"/>
      <c r="O845" s="113"/>
      <c r="P845" s="113"/>
      <c r="Q845" s="113"/>
      <c r="R845" s="113"/>
      <c r="S845" s="113"/>
      <c r="T845" s="113"/>
      <c r="U845" s="113"/>
      <c r="V845" s="113"/>
      <c r="W845" s="113"/>
      <c r="X845" s="113"/>
      <c r="Y845" s="113"/>
      <c r="Z845" s="113"/>
      <c r="AA845" s="113"/>
      <c r="AB845" s="113"/>
      <c r="AC845" s="113"/>
      <c r="AD845" s="113"/>
      <c r="AE845" s="113"/>
      <c r="AF845" s="113"/>
      <c r="AG845" s="113"/>
      <c r="AH845" s="113"/>
      <c r="AI845" s="113"/>
      <c r="AJ845" s="113"/>
      <c r="AK845" s="113"/>
      <c r="AL845" s="113"/>
      <c r="AM845" s="113"/>
      <c r="AN845" s="113"/>
      <c r="AO845" s="113"/>
      <c r="AP845" s="113"/>
      <c r="AQ845" s="113"/>
      <c r="AR845" s="113"/>
      <c r="AS845" s="113"/>
      <c r="AT845" s="113"/>
      <c r="AU845" s="113"/>
      <c r="AV845" s="113"/>
      <c r="AW845" s="113"/>
      <c r="AX845" s="113"/>
      <c r="AY845" s="113"/>
      <c r="AZ845" s="113"/>
      <c r="BA845" s="113"/>
      <c r="BB845" s="113"/>
      <c r="BC845" s="113"/>
      <c r="BD845" s="113"/>
      <c r="BE845" s="113"/>
      <c r="BF845" s="113"/>
      <c r="BG845" s="113"/>
      <c r="BH845" s="113"/>
      <c r="BI845" s="113"/>
      <c r="BJ845" s="113"/>
      <c r="BK845" s="113"/>
      <c r="BL845" s="113"/>
      <c r="BM845" s="113"/>
      <c r="BN845" s="113"/>
      <c r="BO845" s="113"/>
      <c r="BP845" s="113"/>
      <c r="BQ845" s="113"/>
      <c r="BR845" s="113"/>
      <c r="BS845" s="113"/>
      <c r="BT845" s="113"/>
      <c r="BU845" s="113"/>
      <c r="BV845" s="113"/>
      <c r="BW845" s="113"/>
      <c r="BX845" s="113"/>
      <c r="BY845" s="113"/>
      <c r="BZ845" s="113"/>
      <c r="CA845" s="113"/>
      <c r="CB845" s="113"/>
      <c r="CC845" s="113"/>
      <c r="CD845" s="113"/>
      <c r="CE845" s="113"/>
      <c r="CF845" s="113"/>
      <c r="CG845" s="113"/>
      <c r="CH845" s="113"/>
      <c r="CI845" s="113"/>
      <c r="CJ845" s="113"/>
      <c r="CK845" s="113"/>
      <c r="CL845" s="113"/>
      <c r="CM845" s="113"/>
      <c r="CN845" s="113"/>
      <c r="CO845" s="113"/>
      <c r="CP845" s="113"/>
      <c r="CQ845" s="113"/>
      <c r="CR845" s="113"/>
      <c r="CS845" s="113"/>
      <c r="CT845" s="113"/>
      <c r="CU845" s="113"/>
    </row>
    <row r="846">
      <c r="A846" s="159"/>
      <c r="B846" s="113"/>
      <c r="C846" s="113"/>
      <c r="D846" s="158"/>
      <c r="E846" s="161"/>
      <c r="F846" s="160"/>
      <c r="G846" s="162"/>
      <c r="H846" s="159"/>
      <c r="I846" s="113"/>
      <c r="J846" s="113"/>
      <c r="K846" s="113"/>
      <c r="L846" s="158"/>
      <c r="M846" s="113"/>
      <c r="N846" s="113"/>
      <c r="O846" s="113"/>
      <c r="P846" s="113"/>
      <c r="Q846" s="113"/>
      <c r="R846" s="113"/>
      <c r="S846" s="113"/>
      <c r="T846" s="113"/>
      <c r="U846" s="113"/>
      <c r="V846" s="113"/>
      <c r="W846" s="113"/>
      <c r="X846" s="113"/>
      <c r="Y846" s="113"/>
      <c r="Z846" s="113"/>
      <c r="AA846" s="113"/>
      <c r="AB846" s="113"/>
      <c r="AC846" s="113"/>
      <c r="AD846" s="113"/>
      <c r="AE846" s="113"/>
      <c r="AF846" s="113"/>
      <c r="AG846" s="113"/>
      <c r="AH846" s="113"/>
      <c r="AI846" s="113"/>
      <c r="AJ846" s="113"/>
      <c r="AK846" s="113"/>
      <c r="AL846" s="113"/>
      <c r="AM846" s="113"/>
      <c r="AN846" s="113"/>
      <c r="AO846" s="113"/>
      <c r="AP846" s="113"/>
      <c r="AQ846" s="113"/>
      <c r="AR846" s="113"/>
      <c r="AS846" s="113"/>
      <c r="AT846" s="113"/>
      <c r="AU846" s="113"/>
      <c r="AV846" s="113"/>
      <c r="AW846" s="113"/>
      <c r="AX846" s="113"/>
      <c r="AY846" s="113"/>
      <c r="AZ846" s="113"/>
      <c r="BA846" s="113"/>
      <c r="BB846" s="113"/>
      <c r="BC846" s="113"/>
      <c r="BD846" s="113"/>
      <c r="BE846" s="113"/>
      <c r="BF846" s="113"/>
      <c r="BG846" s="113"/>
      <c r="BH846" s="113"/>
      <c r="BI846" s="113"/>
      <c r="BJ846" s="113"/>
      <c r="BK846" s="113"/>
      <c r="BL846" s="113"/>
      <c r="BM846" s="113"/>
      <c r="BN846" s="113"/>
      <c r="BO846" s="113"/>
      <c r="BP846" s="113"/>
      <c r="BQ846" s="113"/>
      <c r="BR846" s="113"/>
      <c r="BS846" s="113"/>
      <c r="BT846" s="113"/>
      <c r="BU846" s="113"/>
      <c r="BV846" s="113"/>
      <c r="BW846" s="113"/>
      <c r="BX846" s="113"/>
      <c r="BY846" s="113"/>
      <c r="BZ846" s="113"/>
      <c r="CA846" s="113"/>
      <c r="CB846" s="113"/>
      <c r="CC846" s="113"/>
      <c r="CD846" s="113"/>
      <c r="CE846" s="113"/>
      <c r="CF846" s="113"/>
      <c r="CG846" s="113"/>
      <c r="CH846" s="113"/>
      <c r="CI846" s="113"/>
      <c r="CJ846" s="113"/>
      <c r="CK846" s="113"/>
      <c r="CL846" s="113"/>
      <c r="CM846" s="113"/>
      <c r="CN846" s="113"/>
      <c r="CO846" s="113"/>
      <c r="CP846" s="113"/>
      <c r="CQ846" s="113"/>
      <c r="CR846" s="113"/>
      <c r="CS846" s="113"/>
      <c r="CT846" s="113"/>
      <c r="CU846" s="113"/>
    </row>
    <row r="847">
      <c r="A847" s="159"/>
      <c r="B847" s="113"/>
      <c r="C847" s="113"/>
      <c r="D847" s="158"/>
      <c r="E847" s="161"/>
      <c r="F847" s="160"/>
      <c r="G847" s="162"/>
      <c r="H847" s="159"/>
      <c r="I847" s="113"/>
      <c r="J847" s="113"/>
      <c r="K847" s="113"/>
      <c r="L847" s="158"/>
      <c r="M847" s="113"/>
      <c r="N847" s="113"/>
      <c r="O847" s="113"/>
      <c r="P847" s="113"/>
      <c r="Q847" s="113"/>
      <c r="R847" s="113"/>
      <c r="S847" s="113"/>
      <c r="T847" s="113"/>
      <c r="U847" s="113"/>
      <c r="V847" s="113"/>
      <c r="W847" s="113"/>
      <c r="X847" s="113"/>
      <c r="Y847" s="113"/>
      <c r="Z847" s="113"/>
      <c r="AA847" s="113"/>
      <c r="AB847" s="113"/>
      <c r="AC847" s="113"/>
      <c r="AD847" s="113"/>
      <c r="AE847" s="113"/>
      <c r="AF847" s="113"/>
      <c r="AG847" s="113"/>
      <c r="AH847" s="113"/>
      <c r="AI847" s="113"/>
      <c r="AJ847" s="113"/>
      <c r="AK847" s="113"/>
      <c r="AL847" s="113"/>
      <c r="AM847" s="113"/>
      <c r="AN847" s="113"/>
      <c r="AO847" s="113"/>
      <c r="AP847" s="113"/>
      <c r="AQ847" s="113"/>
      <c r="AR847" s="113"/>
      <c r="AS847" s="113"/>
      <c r="AT847" s="113"/>
      <c r="AU847" s="113"/>
      <c r="AV847" s="113"/>
      <c r="AW847" s="113"/>
      <c r="AX847" s="113"/>
      <c r="AY847" s="113"/>
      <c r="AZ847" s="113"/>
      <c r="BA847" s="113"/>
      <c r="BB847" s="113"/>
      <c r="BC847" s="113"/>
      <c r="BD847" s="113"/>
      <c r="BE847" s="113"/>
      <c r="BF847" s="113"/>
      <c r="BG847" s="113"/>
      <c r="BH847" s="113"/>
      <c r="BI847" s="113"/>
      <c r="BJ847" s="113"/>
      <c r="BK847" s="113"/>
      <c r="BL847" s="113"/>
      <c r="BM847" s="113"/>
      <c r="BN847" s="113"/>
      <c r="BO847" s="113"/>
      <c r="BP847" s="113"/>
      <c r="BQ847" s="113"/>
      <c r="BR847" s="113"/>
      <c r="BS847" s="113"/>
      <c r="BT847" s="113"/>
      <c r="BU847" s="113"/>
      <c r="BV847" s="113"/>
      <c r="BW847" s="113"/>
      <c r="BX847" s="113"/>
      <c r="BY847" s="113"/>
      <c r="BZ847" s="113"/>
      <c r="CA847" s="113"/>
      <c r="CB847" s="113"/>
      <c r="CC847" s="113"/>
      <c r="CD847" s="113"/>
      <c r="CE847" s="113"/>
      <c r="CF847" s="113"/>
      <c r="CG847" s="113"/>
      <c r="CH847" s="113"/>
      <c r="CI847" s="113"/>
      <c r="CJ847" s="113"/>
      <c r="CK847" s="113"/>
      <c r="CL847" s="113"/>
      <c r="CM847" s="113"/>
      <c r="CN847" s="113"/>
      <c r="CO847" s="113"/>
      <c r="CP847" s="113"/>
      <c r="CQ847" s="113"/>
      <c r="CR847" s="113"/>
      <c r="CS847" s="113"/>
      <c r="CT847" s="113"/>
      <c r="CU847" s="113"/>
    </row>
    <row r="848">
      <c r="A848" s="159"/>
      <c r="B848" s="113"/>
      <c r="C848" s="113"/>
      <c r="D848" s="158"/>
      <c r="E848" s="161"/>
      <c r="F848" s="160"/>
      <c r="G848" s="162"/>
      <c r="H848" s="159"/>
      <c r="I848" s="113"/>
      <c r="J848" s="113"/>
      <c r="K848" s="113"/>
      <c r="L848" s="158"/>
      <c r="M848" s="113"/>
      <c r="N848" s="113"/>
      <c r="O848" s="113"/>
      <c r="P848" s="113"/>
      <c r="Q848" s="113"/>
      <c r="R848" s="113"/>
      <c r="S848" s="113"/>
      <c r="T848" s="113"/>
      <c r="U848" s="113"/>
      <c r="V848" s="113"/>
      <c r="W848" s="113"/>
      <c r="X848" s="113"/>
      <c r="Y848" s="113"/>
      <c r="Z848" s="113"/>
      <c r="AA848" s="113"/>
      <c r="AB848" s="113"/>
      <c r="AC848" s="113"/>
      <c r="AD848" s="113"/>
      <c r="AE848" s="113"/>
      <c r="AF848" s="113"/>
      <c r="AG848" s="113"/>
      <c r="AH848" s="113"/>
      <c r="AI848" s="113"/>
      <c r="AJ848" s="113"/>
      <c r="AK848" s="113"/>
      <c r="AL848" s="113"/>
      <c r="AM848" s="113"/>
      <c r="AN848" s="113"/>
      <c r="AO848" s="113"/>
      <c r="AP848" s="113"/>
      <c r="AQ848" s="113"/>
      <c r="AR848" s="113"/>
      <c r="AS848" s="113"/>
      <c r="AT848" s="113"/>
      <c r="AU848" s="113"/>
      <c r="AV848" s="113"/>
      <c r="AW848" s="113"/>
      <c r="AX848" s="113"/>
      <c r="AY848" s="113"/>
      <c r="AZ848" s="113"/>
      <c r="BA848" s="113"/>
      <c r="BB848" s="113"/>
      <c r="BC848" s="113"/>
      <c r="BD848" s="113"/>
      <c r="BE848" s="113"/>
      <c r="BF848" s="113"/>
      <c r="BG848" s="113"/>
      <c r="BH848" s="113"/>
      <c r="BI848" s="113"/>
      <c r="BJ848" s="113"/>
      <c r="BK848" s="113"/>
      <c r="BL848" s="113"/>
      <c r="BM848" s="113"/>
      <c r="BN848" s="113"/>
      <c r="BO848" s="113"/>
      <c r="BP848" s="113"/>
      <c r="BQ848" s="113"/>
      <c r="BR848" s="113"/>
      <c r="BS848" s="113"/>
      <c r="BT848" s="113"/>
      <c r="BU848" s="113"/>
      <c r="BV848" s="113"/>
      <c r="BW848" s="113"/>
      <c r="BX848" s="113"/>
      <c r="BY848" s="113"/>
      <c r="BZ848" s="113"/>
      <c r="CA848" s="113"/>
      <c r="CB848" s="113"/>
      <c r="CC848" s="113"/>
      <c r="CD848" s="113"/>
      <c r="CE848" s="113"/>
      <c r="CF848" s="113"/>
      <c r="CG848" s="113"/>
      <c r="CH848" s="113"/>
      <c r="CI848" s="113"/>
      <c r="CJ848" s="113"/>
      <c r="CK848" s="113"/>
      <c r="CL848" s="113"/>
      <c r="CM848" s="113"/>
      <c r="CN848" s="113"/>
      <c r="CO848" s="113"/>
      <c r="CP848" s="113"/>
      <c r="CQ848" s="113"/>
      <c r="CR848" s="113"/>
      <c r="CS848" s="113"/>
      <c r="CT848" s="113"/>
      <c r="CU848" s="113"/>
    </row>
    <row r="849">
      <c r="A849" s="159"/>
      <c r="B849" s="113"/>
      <c r="C849" s="113"/>
      <c r="D849" s="158"/>
      <c r="E849" s="161"/>
      <c r="F849" s="160"/>
      <c r="G849" s="162"/>
      <c r="H849" s="159"/>
      <c r="I849" s="113"/>
      <c r="J849" s="113"/>
      <c r="K849" s="113"/>
      <c r="L849" s="158"/>
      <c r="M849" s="113"/>
      <c r="N849" s="113"/>
      <c r="O849" s="113"/>
      <c r="P849" s="113"/>
      <c r="Q849" s="113"/>
      <c r="R849" s="113"/>
      <c r="S849" s="113"/>
      <c r="T849" s="113"/>
      <c r="U849" s="113"/>
      <c r="V849" s="113"/>
      <c r="W849" s="113"/>
      <c r="X849" s="113"/>
      <c r="Y849" s="113"/>
      <c r="Z849" s="113"/>
      <c r="AA849" s="113"/>
      <c r="AB849" s="113"/>
      <c r="AC849" s="113"/>
      <c r="AD849" s="113"/>
      <c r="AE849" s="113"/>
      <c r="AF849" s="113"/>
      <c r="AG849" s="113"/>
      <c r="AH849" s="113"/>
      <c r="AI849" s="113"/>
      <c r="AJ849" s="113"/>
      <c r="AK849" s="113"/>
      <c r="AL849" s="113"/>
      <c r="AM849" s="113"/>
      <c r="AN849" s="113"/>
      <c r="AO849" s="113"/>
      <c r="AP849" s="113"/>
      <c r="AQ849" s="113"/>
      <c r="AR849" s="113"/>
      <c r="AS849" s="113"/>
      <c r="AT849" s="113"/>
      <c r="AU849" s="113"/>
      <c r="AV849" s="113"/>
      <c r="AW849" s="113"/>
      <c r="AX849" s="113"/>
      <c r="AY849" s="113"/>
      <c r="AZ849" s="113"/>
      <c r="BA849" s="113"/>
      <c r="BB849" s="113"/>
      <c r="BC849" s="113"/>
      <c r="BD849" s="113"/>
      <c r="BE849" s="113"/>
      <c r="BF849" s="113"/>
      <c r="BG849" s="113"/>
      <c r="BH849" s="113"/>
      <c r="BI849" s="113"/>
      <c r="BJ849" s="113"/>
      <c r="BK849" s="113"/>
      <c r="BL849" s="113"/>
      <c r="BM849" s="113"/>
      <c r="BN849" s="113"/>
      <c r="BO849" s="113"/>
      <c r="BP849" s="113"/>
      <c r="BQ849" s="113"/>
      <c r="BR849" s="113"/>
      <c r="BS849" s="113"/>
      <c r="BT849" s="113"/>
      <c r="BU849" s="113"/>
      <c r="BV849" s="113"/>
      <c r="BW849" s="113"/>
      <c r="BX849" s="113"/>
      <c r="BY849" s="113"/>
      <c r="BZ849" s="113"/>
      <c r="CA849" s="113"/>
      <c r="CB849" s="113"/>
      <c r="CC849" s="113"/>
      <c r="CD849" s="113"/>
      <c r="CE849" s="113"/>
      <c r="CF849" s="113"/>
      <c r="CG849" s="113"/>
      <c r="CH849" s="113"/>
      <c r="CI849" s="113"/>
      <c r="CJ849" s="113"/>
      <c r="CK849" s="113"/>
      <c r="CL849" s="113"/>
      <c r="CM849" s="113"/>
      <c r="CN849" s="113"/>
      <c r="CO849" s="113"/>
      <c r="CP849" s="113"/>
      <c r="CQ849" s="113"/>
      <c r="CR849" s="113"/>
      <c r="CS849" s="113"/>
      <c r="CT849" s="113"/>
      <c r="CU849" s="113"/>
    </row>
    <row r="850">
      <c r="A850" s="159"/>
      <c r="B850" s="113"/>
      <c r="C850" s="113"/>
      <c r="D850" s="158"/>
      <c r="E850" s="161"/>
      <c r="F850" s="160"/>
      <c r="G850" s="162"/>
      <c r="H850" s="159"/>
      <c r="I850" s="113"/>
      <c r="J850" s="113"/>
      <c r="K850" s="113"/>
      <c r="L850" s="158"/>
      <c r="M850" s="113"/>
      <c r="N850" s="113"/>
      <c r="O850" s="113"/>
      <c r="P850" s="113"/>
      <c r="Q850" s="113"/>
      <c r="R850" s="113"/>
      <c r="S850" s="113"/>
      <c r="T850" s="113"/>
      <c r="U850" s="113"/>
      <c r="V850" s="113"/>
      <c r="W850" s="113"/>
      <c r="X850" s="113"/>
      <c r="Y850" s="113"/>
      <c r="Z850" s="113"/>
      <c r="AA850" s="113"/>
      <c r="AB850" s="113"/>
      <c r="AC850" s="113"/>
      <c r="AD850" s="113"/>
      <c r="AE850" s="113"/>
      <c r="AF850" s="113"/>
      <c r="AG850" s="113"/>
      <c r="AH850" s="113"/>
      <c r="AI850" s="113"/>
      <c r="AJ850" s="113"/>
      <c r="AK850" s="113"/>
      <c r="AL850" s="113"/>
      <c r="AM850" s="113"/>
      <c r="AN850" s="113"/>
      <c r="AO850" s="113"/>
      <c r="AP850" s="113"/>
      <c r="AQ850" s="113"/>
      <c r="AR850" s="113"/>
      <c r="AS850" s="113"/>
      <c r="AT850" s="113"/>
      <c r="AU850" s="113"/>
      <c r="AV850" s="113"/>
      <c r="AW850" s="113"/>
      <c r="AX850" s="113"/>
      <c r="AY850" s="113"/>
      <c r="AZ850" s="113"/>
      <c r="BA850" s="113"/>
      <c r="BB850" s="113"/>
      <c r="BC850" s="113"/>
      <c r="BD850" s="113"/>
      <c r="BE850" s="113"/>
      <c r="BF850" s="113"/>
      <c r="BG850" s="113"/>
      <c r="BH850" s="113"/>
      <c r="BI850" s="113"/>
      <c r="BJ850" s="113"/>
      <c r="BK850" s="113"/>
      <c r="BL850" s="113"/>
      <c r="BM850" s="113"/>
      <c r="BN850" s="113"/>
      <c r="BO850" s="113"/>
      <c r="BP850" s="113"/>
      <c r="BQ850" s="113"/>
      <c r="BR850" s="113"/>
      <c r="BS850" s="113"/>
      <c r="BT850" s="113"/>
      <c r="BU850" s="113"/>
      <c r="BV850" s="113"/>
      <c r="BW850" s="113"/>
      <c r="BX850" s="113"/>
      <c r="BY850" s="113"/>
      <c r="BZ850" s="113"/>
      <c r="CA850" s="113"/>
      <c r="CB850" s="113"/>
      <c r="CC850" s="113"/>
      <c r="CD850" s="113"/>
      <c r="CE850" s="113"/>
      <c r="CF850" s="113"/>
      <c r="CG850" s="113"/>
      <c r="CH850" s="113"/>
      <c r="CI850" s="113"/>
      <c r="CJ850" s="113"/>
      <c r="CK850" s="113"/>
      <c r="CL850" s="113"/>
      <c r="CM850" s="113"/>
      <c r="CN850" s="113"/>
      <c r="CO850" s="113"/>
      <c r="CP850" s="113"/>
      <c r="CQ850" s="113"/>
      <c r="CR850" s="113"/>
      <c r="CS850" s="113"/>
      <c r="CT850" s="113"/>
      <c r="CU850" s="113"/>
    </row>
    <row r="851">
      <c r="A851" s="159"/>
      <c r="B851" s="113"/>
      <c r="C851" s="113"/>
      <c r="D851" s="158"/>
      <c r="E851" s="161"/>
      <c r="F851" s="160"/>
      <c r="G851" s="162"/>
      <c r="H851" s="159"/>
      <c r="I851" s="113"/>
      <c r="J851" s="113"/>
      <c r="K851" s="113"/>
      <c r="L851" s="158"/>
      <c r="M851" s="113"/>
      <c r="N851" s="113"/>
      <c r="O851" s="113"/>
      <c r="P851" s="113"/>
      <c r="Q851" s="113"/>
      <c r="R851" s="113"/>
      <c r="S851" s="113"/>
      <c r="T851" s="113"/>
      <c r="U851" s="113"/>
      <c r="V851" s="113"/>
      <c r="W851" s="113"/>
      <c r="X851" s="113"/>
      <c r="Y851" s="113"/>
      <c r="Z851" s="113"/>
      <c r="AA851" s="113"/>
      <c r="AB851" s="113"/>
      <c r="AC851" s="113"/>
      <c r="AD851" s="113"/>
      <c r="AE851" s="113"/>
      <c r="AF851" s="113"/>
      <c r="AG851" s="113"/>
      <c r="AH851" s="113"/>
      <c r="AI851" s="113"/>
      <c r="AJ851" s="113"/>
      <c r="AK851" s="113"/>
      <c r="AL851" s="113"/>
      <c r="AM851" s="113"/>
      <c r="AN851" s="113"/>
      <c r="AO851" s="113"/>
      <c r="AP851" s="113"/>
      <c r="AQ851" s="113"/>
      <c r="AR851" s="113"/>
      <c r="AS851" s="113"/>
      <c r="AT851" s="113"/>
      <c r="AU851" s="113"/>
      <c r="AV851" s="113"/>
      <c r="AW851" s="113"/>
      <c r="AX851" s="113"/>
      <c r="AY851" s="113"/>
      <c r="AZ851" s="113"/>
      <c r="BA851" s="113"/>
      <c r="BB851" s="113"/>
      <c r="BC851" s="113"/>
      <c r="BD851" s="113"/>
      <c r="BE851" s="113"/>
      <c r="BF851" s="113"/>
      <c r="BG851" s="113"/>
      <c r="BH851" s="113"/>
      <c r="BI851" s="113"/>
      <c r="BJ851" s="113"/>
      <c r="BK851" s="113"/>
      <c r="BL851" s="113"/>
      <c r="BM851" s="113"/>
      <c r="BN851" s="113"/>
      <c r="BO851" s="113"/>
      <c r="BP851" s="113"/>
      <c r="BQ851" s="113"/>
      <c r="BR851" s="113"/>
      <c r="BS851" s="113"/>
      <c r="BT851" s="113"/>
      <c r="BU851" s="113"/>
      <c r="BV851" s="113"/>
      <c r="BW851" s="113"/>
      <c r="BX851" s="113"/>
      <c r="BY851" s="113"/>
      <c r="BZ851" s="113"/>
      <c r="CA851" s="113"/>
      <c r="CB851" s="113"/>
      <c r="CC851" s="113"/>
      <c r="CD851" s="113"/>
      <c r="CE851" s="113"/>
      <c r="CF851" s="113"/>
      <c r="CG851" s="113"/>
      <c r="CH851" s="113"/>
      <c r="CI851" s="113"/>
      <c r="CJ851" s="113"/>
      <c r="CK851" s="113"/>
      <c r="CL851" s="113"/>
      <c r="CM851" s="113"/>
      <c r="CN851" s="113"/>
      <c r="CO851" s="113"/>
      <c r="CP851" s="113"/>
      <c r="CQ851" s="113"/>
      <c r="CR851" s="113"/>
      <c r="CS851" s="113"/>
      <c r="CT851" s="113"/>
      <c r="CU851" s="113"/>
    </row>
    <row r="852">
      <c r="A852" s="159"/>
      <c r="B852" s="113"/>
      <c r="C852" s="113"/>
      <c r="D852" s="158"/>
      <c r="E852" s="161"/>
      <c r="F852" s="160"/>
      <c r="G852" s="162"/>
      <c r="H852" s="159"/>
      <c r="I852" s="113"/>
      <c r="J852" s="113"/>
      <c r="K852" s="113"/>
      <c r="L852" s="158"/>
      <c r="M852" s="113"/>
      <c r="N852" s="113"/>
      <c r="O852" s="113"/>
      <c r="P852" s="113"/>
      <c r="Q852" s="113"/>
      <c r="R852" s="113"/>
      <c r="S852" s="113"/>
      <c r="T852" s="113"/>
      <c r="U852" s="113"/>
      <c r="V852" s="113"/>
      <c r="W852" s="113"/>
      <c r="X852" s="113"/>
      <c r="Y852" s="113"/>
      <c r="Z852" s="113"/>
      <c r="AA852" s="113"/>
      <c r="AB852" s="113"/>
      <c r="AC852" s="113"/>
      <c r="AD852" s="113"/>
      <c r="AE852" s="113"/>
      <c r="AF852" s="113"/>
      <c r="AG852" s="113"/>
      <c r="AH852" s="113"/>
      <c r="AI852" s="113"/>
      <c r="AJ852" s="113"/>
      <c r="AK852" s="113"/>
      <c r="AL852" s="113"/>
      <c r="AM852" s="113"/>
      <c r="AN852" s="113"/>
      <c r="AO852" s="113"/>
      <c r="AP852" s="113"/>
      <c r="AQ852" s="113"/>
      <c r="AR852" s="113"/>
      <c r="AS852" s="113"/>
      <c r="AT852" s="113"/>
      <c r="AU852" s="113"/>
      <c r="AV852" s="113"/>
      <c r="AW852" s="113"/>
      <c r="AX852" s="113"/>
      <c r="AY852" s="113"/>
      <c r="AZ852" s="113"/>
      <c r="BA852" s="113"/>
      <c r="BB852" s="113"/>
      <c r="BC852" s="113"/>
      <c r="BD852" s="113"/>
      <c r="BE852" s="113"/>
      <c r="BF852" s="113"/>
      <c r="BG852" s="113"/>
      <c r="BH852" s="113"/>
      <c r="BI852" s="113"/>
      <c r="BJ852" s="113"/>
      <c r="BK852" s="113"/>
      <c r="BL852" s="113"/>
      <c r="BM852" s="113"/>
      <c r="BN852" s="113"/>
      <c r="BO852" s="113"/>
      <c r="BP852" s="113"/>
      <c r="BQ852" s="113"/>
      <c r="BR852" s="113"/>
      <c r="BS852" s="113"/>
      <c r="BT852" s="113"/>
      <c r="BU852" s="113"/>
      <c r="BV852" s="113"/>
      <c r="BW852" s="113"/>
      <c r="BX852" s="113"/>
      <c r="BY852" s="113"/>
      <c r="BZ852" s="113"/>
      <c r="CA852" s="113"/>
      <c r="CB852" s="113"/>
      <c r="CC852" s="113"/>
      <c r="CD852" s="113"/>
      <c r="CE852" s="113"/>
      <c r="CF852" s="113"/>
      <c r="CG852" s="113"/>
      <c r="CH852" s="113"/>
      <c r="CI852" s="113"/>
      <c r="CJ852" s="113"/>
      <c r="CK852" s="113"/>
      <c r="CL852" s="113"/>
      <c r="CM852" s="113"/>
      <c r="CN852" s="113"/>
      <c r="CO852" s="113"/>
      <c r="CP852" s="113"/>
      <c r="CQ852" s="113"/>
      <c r="CR852" s="113"/>
      <c r="CS852" s="113"/>
      <c r="CT852" s="113"/>
      <c r="CU852" s="113"/>
    </row>
    <row r="853">
      <c r="A853" s="159"/>
      <c r="B853" s="113"/>
      <c r="C853" s="113"/>
      <c r="D853" s="158"/>
      <c r="E853" s="161"/>
      <c r="F853" s="160"/>
      <c r="G853" s="162"/>
      <c r="H853" s="159"/>
      <c r="I853" s="113"/>
      <c r="J853" s="113"/>
      <c r="K853" s="113"/>
      <c r="L853" s="158"/>
      <c r="M853" s="113"/>
      <c r="N853" s="113"/>
      <c r="O853" s="113"/>
      <c r="P853" s="113"/>
      <c r="Q853" s="113"/>
      <c r="R853" s="113"/>
      <c r="S853" s="113"/>
      <c r="T853" s="113"/>
      <c r="U853" s="113"/>
      <c r="V853" s="113"/>
      <c r="W853" s="113"/>
      <c r="X853" s="113"/>
      <c r="Y853" s="113"/>
      <c r="Z853" s="113"/>
      <c r="AA853" s="113"/>
      <c r="AB853" s="113"/>
      <c r="AC853" s="113"/>
      <c r="AD853" s="113"/>
      <c r="AE853" s="113"/>
      <c r="AF853" s="113"/>
      <c r="AG853" s="113"/>
      <c r="AH853" s="113"/>
      <c r="AI853" s="113"/>
      <c r="AJ853" s="113"/>
      <c r="AK853" s="113"/>
      <c r="AL853" s="113"/>
      <c r="AM853" s="113"/>
      <c r="AN853" s="113"/>
      <c r="AO853" s="113"/>
      <c r="AP853" s="113"/>
      <c r="AQ853" s="113"/>
      <c r="AR853" s="113"/>
      <c r="AS853" s="113"/>
      <c r="AT853" s="113"/>
      <c r="AU853" s="113"/>
      <c r="AV853" s="113"/>
      <c r="AW853" s="113"/>
      <c r="AX853" s="113"/>
      <c r="AY853" s="113"/>
      <c r="AZ853" s="113"/>
      <c r="BA853" s="113"/>
      <c r="BB853" s="113"/>
      <c r="BC853" s="113"/>
      <c r="BD853" s="113"/>
      <c r="BE853" s="113"/>
      <c r="BF853" s="113"/>
      <c r="BG853" s="113"/>
      <c r="BH853" s="113"/>
      <c r="BI853" s="113"/>
      <c r="BJ853" s="113"/>
      <c r="BK853" s="113"/>
      <c r="BL853" s="113"/>
      <c r="BM853" s="113"/>
      <c r="BN853" s="113"/>
      <c r="BO853" s="113"/>
      <c r="BP853" s="113"/>
      <c r="BQ853" s="113"/>
      <c r="BR853" s="113"/>
      <c r="BS853" s="113"/>
      <c r="BT853" s="113"/>
      <c r="BU853" s="113"/>
      <c r="BV853" s="113"/>
      <c r="BW853" s="113"/>
      <c r="BX853" s="113"/>
      <c r="BY853" s="113"/>
      <c r="BZ853" s="113"/>
      <c r="CA853" s="113"/>
      <c r="CB853" s="113"/>
      <c r="CC853" s="113"/>
      <c r="CD853" s="113"/>
      <c r="CE853" s="113"/>
      <c r="CF853" s="113"/>
      <c r="CG853" s="113"/>
      <c r="CH853" s="113"/>
      <c r="CI853" s="113"/>
      <c r="CJ853" s="113"/>
      <c r="CK853" s="113"/>
      <c r="CL853" s="113"/>
      <c r="CM853" s="113"/>
      <c r="CN853" s="113"/>
      <c r="CO853" s="113"/>
      <c r="CP853" s="113"/>
      <c r="CQ853" s="113"/>
      <c r="CR853" s="113"/>
      <c r="CS853" s="113"/>
      <c r="CT853" s="113"/>
      <c r="CU853" s="113"/>
    </row>
    <row r="854">
      <c r="A854" s="159"/>
      <c r="B854" s="113"/>
      <c r="C854" s="113"/>
      <c r="D854" s="158"/>
      <c r="E854" s="161"/>
      <c r="F854" s="160"/>
      <c r="G854" s="162"/>
      <c r="H854" s="159"/>
      <c r="I854" s="113"/>
      <c r="J854" s="113"/>
      <c r="K854" s="113"/>
      <c r="L854" s="158"/>
      <c r="M854" s="113"/>
      <c r="N854" s="113"/>
      <c r="O854" s="113"/>
      <c r="P854" s="113"/>
      <c r="Q854" s="113"/>
      <c r="R854" s="113"/>
      <c r="S854" s="113"/>
      <c r="T854" s="113"/>
      <c r="U854" s="113"/>
      <c r="V854" s="113"/>
      <c r="W854" s="113"/>
      <c r="X854" s="113"/>
      <c r="Y854" s="113"/>
      <c r="Z854" s="113"/>
      <c r="AA854" s="113"/>
      <c r="AB854" s="113"/>
      <c r="AC854" s="113"/>
      <c r="AD854" s="113"/>
      <c r="AE854" s="113"/>
      <c r="AF854" s="113"/>
      <c r="AG854" s="113"/>
      <c r="AH854" s="113"/>
      <c r="AI854" s="113"/>
      <c r="AJ854" s="113"/>
      <c r="AK854" s="113"/>
      <c r="AL854" s="113"/>
      <c r="AM854" s="113"/>
      <c r="AN854" s="113"/>
      <c r="AO854" s="113"/>
      <c r="AP854" s="113"/>
      <c r="AQ854" s="113"/>
      <c r="AR854" s="113"/>
      <c r="AS854" s="113"/>
      <c r="AT854" s="113"/>
      <c r="AU854" s="113"/>
      <c r="AV854" s="113"/>
      <c r="AW854" s="113"/>
      <c r="AX854" s="113"/>
      <c r="AY854" s="113"/>
      <c r="AZ854" s="113"/>
      <c r="BA854" s="113"/>
      <c r="BB854" s="113"/>
      <c r="BC854" s="113"/>
      <c r="BD854" s="113"/>
      <c r="BE854" s="113"/>
      <c r="BF854" s="113"/>
      <c r="BG854" s="113"/>
      <c r="BH854" s="113"/>
      <c r="BI854" s="113"/>
      <c r="BJ854" s="113"/>
      <c r="BK854" s="113"/>
      <c r="BL854" s="113"/>
      <c r="BM854" s="113"/>
      <c r="BN854" s="113"/>
      <c r="BO854" s="113"/>
      <c r="BP854" s="113"/>
      <c r="BQ854" s="113"/>
      <c r="BR854" s="113"/>
      <c r="BS854" s="113"/>
      <c r="BT854" s="113"/>
      <c r="BU854" s="113"/>
      <c r="BV854" s="113"/>
      <c r="BW854" s="113"/>
      <c r="BX854" s="113"/>
      <c r="BY854" s="113"/>
      <c r="BZ854" s="113"/>
      <c r="CA854" s="113"/>
      <c r="CB854" s="113"/>
      <c r="CC854" s="113"/>
      <c r="CD854" s="113"/>
      <c r="CE854" s="113"/>
      <c r="CF854" s="113"/>
      <c r="CG854" s="113"/>
      <c r="CH854" s="113"/>
      <c r="CI854" s="113"/>
      <c r="CJ854" s="113"/>
      <c r="CK854" s="113"/>
      <c r="CL854" s="113"/>
      <c r="CM854" s="113"/>
      <c r="CN854" s="113"/>
      <c r="CO854" s="113"/>
      <c r="CP854" s="113"/>
      <c r="CQ854" s="113"/>
      <c r="CR854" s="113"/>
      <c r="CS854" s="113"/>
      <c r="CT854" s="113"/>
      <c r="CU854" s="113"/>
    </row>
    <row r="855">
      <c r="A855" s="159"/>
      <c r="B855" s="113"/>
      <c r="C855" s="113"/>
      <c r="D855" s="158"/>
      <c r="E855" s="161"/>
      <c r="F855" s="160"/>
      <c r="G855" s="162"/>
      <c r="H855" s="159"/>
      <c r="I855" s="113"/>
      <c r="J855" s="113"/>
      <c r="K855" s="113"/>
      <c r="L855" s="158"/>
      <c r="M855" s="113"/>
      <c r="N855" s="113"/>
      <c r="O855" s="113"/>
      <c r="P855" s="113"/>
      <c r="Q855" s="113"/>
      <c r="R855" s="113"/>
      <c r="S855" s="113"/>
      <c r="T855" s="113"/>
      <c r="U855" s="113"/>
      <c r="V855" s="113"/>
      <c r="W855" s="113"/>
      <c r="X855" s="113"/>
      <c r="Y855" s="113"/>
      <c r="Z855" s="113"/>
      <c r="AA855" s="113"/>
      <c r="AB855" s="113"/>
      <c r="AC855" s="113"/>
      <c r="AD855" s="113"/>
      <c r="AE855" s="113"/>
      <c r="AF855" s="113"/>
      <c r="AG855" s="113"/>
      <c r="AH855" s="113"/>
      <c r="AI855" s="113"/>
      <c r="AJ855" s="113"/>
      <c r="AK855" s="113"/>
      <c r="AL855" s="113"/>
      <c r="AM855" s="113"/>
      <c r="AN855" s="113"/>
      <c r="AO855" s="113"/>
      <c r="AP855" s="113"/>
      <c r="AQ855" s="113"/>
      <c r="AR855" s="113"/>
      <c r="AS855" s="113"/>
      <c r="AT855" s="113"/>
      <c r="AU855" s="113"/>
      <c r="AV855" s="113"/>
      <c r="AW855" s="113"/>
      <c r="AX855" s="113"/>
      <c r="AY855" s="113"/>
      <c r="AZ855" s="113"/>
      <c r="BA855" s="113"/>
      <c r="BB855" s="113"/>
      <c r="BC855" s="113"/>
      <c r="BD855" s="113"/>
      <c r="BE855" s="113"/>
      <c r="BF855" s="113"/>
      <c r="BG855" s="113"/>
      <c r="BH855" s="113"/>
      <c r="BI855" s="113"/>
      <c r="BJ855" s="113"/>
      <c r="BK855" s="113"/>
      <c r="BL855" s="113"/>
      <c r="BM855" s="113"/>
      <c r="BN855" s="113"/>
      <c r="BO855" s="113"/>
      <c r="BP855" s="113"/>
      <c r="BQ855" s="113"/>
      <c r="BR855" s="113"/>
      <c r="BS855" s="113"/>
      <c r="BT855" s="113"/>
      <c r="BU855" s="113"/>
      <c r="BV855" s="113"/>
      <c r="BW855" s="113"/>
      <c r="BX855" s="113"/>
      <c r="BY855" s="113"/>
      <c r="BZ855" s="113"/>
      <c r="CA855" s="113"/>
      <c r="CB855" s="113"/>
      <c r="CC855" s="113"/>
      <c r="CD855" s="113"/>
      <c r="CE855" s="113"/>
      <c r="CF855" s="113"/>
      <c r="CG855" s="113"/>
      <c r="CH855" s="113"/>
      <c r="CI855" s="113"/>
      <c r="CJ855" s="113"/>
      <c r="CK855" s="113"/>
      <c r="CL855" s="113"/>
      <c r="CM855" s="113"/>
      <c r="CN855" s="113"/>
      <c r="CO855" s="113"/>
      <c r="CP855" s="113"/>
      <c r="CQ855" s="113"/>
      <c r="CR855" s="113"/>
      <c r="CS855" s="113"/>
      <c r="CT855" s="113"/>
      <c r="CU855" s="113"/>
    </row>
    <row r="856">
      <c r="A856" s="159"/>
      <c r="B856" s="113"/>
      <c r="C856" s="113"/>
      <c r="D856" s="158"/>
      <c r="E856" s="161"/>
      <c r="F856" s="160"/>
      <c r="G856" s="162"/>
      <c r="H856" s="159"/>
      <c r="I856" s="113"/>
      <c r="J856" s="113"/>
      <c r="K856" s="113"/>
      <c r="L856" s="158"/>
      <c r="M856" s="113"/>
      <c r="N856" s="113"/>
      <c r="O856" s="113"/>
      <c r="P856" s="113"/>
      <c r="Q856" s="113"/>
      <c r="R856" s="113"/>
      <c r="S856" s="113"/>
      <c r="T856" s="113"/>
      <c r="U856" s="113"/>
      <c r="V856" s="113"/>
      <c r="W856" s="113"/>
      <c r="X856" s="113"/>
      <c r="Y856" s="113"/>
      <c r="Z856" s="113"/>
      <c r="AA856" s="113"/>
      <c r="AB856" s="113"/>
      <c r="AC856" s="113"/>
      <c r="AD856" s="113"/>
      <c r="AE856" s="113"/>
      <c r="AF856" s="113"/>
      <c r="AG856" s="113"/>
      <c r="AH856" s="113"/>
      <c r="AI856" s="113"/>
      <c r="AJ856" s="113"/>
      <c r="AK856" s="113"/>
      <c r="AL856" s="113"/>
      <c r="AM856" s="113"/>
      <c r="AN856" s="113"/>
      <c r="AO856" s="113"/>
      <c r="AP856" s="113"/>
      <c r="AQ856" s="113"/>
      <c r="AR856" s="113"/>
      <c r="AS856" s="113"/>
      <c r="AT856" s="113"/>
      <c r="AU856" s="113"/>
      <c r="AV856" s="113"/>
      <c r="AW856" s="113"/>
      <c r="AX856" s="113"/>
      <c r="AY856" s="113"/>
      <c r="AZ856" s="113"/>
      <c r="BA856" s="113"/>
      <c r="BB856" s="113"/>
      <c r="BC856" s="113"/>
      <c r="BD856" s="113"/>
      <c r="BE856" s="113"/>
      <c r="BF856" s="113"/>
      <c r="BG856" s="113"/>
      <c r="BH856" s="113"/>
      <c r="BI856" s="113"/>
      <c r="BJ856" s="113"/>
      <c r="BK856" s="113"/>
      <c r="BL856" s="113"/>
      <c r="BM856" s="113"/>
      <c r="BN856" s="113"/>
      <c r="BO856" s="113"/>
      <c r="BP856" s="113"/>
      <c r="BQ856" s="113"/>
      <c r="BR856" s="113"/>
      <c r="BS856" s="113"/>
      <c r="BT856" s="113"/>
      <c r="BU856" s="113"/>
      <c r="BV856" s="113"/>
      <c r="BW856" s="113"/>
      <c r="BX856" s="113"/>
      <c r="BY856" s="113"/>
      <c r="BZ856" s="113"/>
      <c r="CA856" s="113"/>
      <c r="CB856" s="113"/>
      <c r="CC856" s="113"/>
      <c r="CD856" s="113"/>
      <c r="CE856" s="113"/>
      <c r="CF856" s="113"/>
      <c r="CG856" s="113"/>
      <c r="CH856" s="113"/>
      <c r="CI856" s="113"/>
      <c r="CJ856" s="113"/>
      <c r="CK856" s="113"/>
      <c r="CL856" s="113"/>
      <c r="CM856" s="113"/>
      <c r="CN856" s="113"/>
      <c r="CO856" s="113"/>
      <c r="CP856" s="113"/>
      <c r="CQ856" s="113"/>
      <c r="CR856" s="113"/>
      <c r="CS856" s="113"/>
      <c r="CT856" s="113"/>
      <c r="CU856" s="113"/>
    </row>
    <row r="857">
      <c r="A857" s="159"/>
      <c r="B857" s="113"/>
      <c r="C857" s="113"/>
      <c r="D857" s="158"/>
      <c r="E857" s="161"/>
      <c r="F857" s="160"/>
      <c r="G857" s="162"/>
      <c r="H857" s="159"/>
      <c r="I857" s="113"/>
      <c r="J857" s="113"/>
      <c r="K857" s="113"/>
      <c r="L857" s="158"/>
      <c r="M857" s="113"/>
      <c r="N857" s="113"/>
      <c r="O857" s="113"/>
      <c r="P857" s="113"/>
      <c r="Q857" s="113"/>
      <c r="R857" s="113"/>
      <c r="S857" s="113"/>
      <c r="T857" s="113"/>
      <c r="U857" s="113"/>
      <c r="V857" s="113"/>
      <c r="W857" s="113"/>
      <c r="X857" s="113"/>
      <c r="Y857" s="113"/>
      <c r="Z857" s="113"/>
      <c r="AA857" s="113"/>
      <c r="AB857" s="113"/>
      <c r="AC857" s="113"/>
      <c r="AD857" s="113"/>
      <c r="AE857" s="113"/>
      <c r="AF857" s="113"/>
      <c r="AG857" s="113"/>
      <c r="AH857" s="113"/>
      <c r="AI857" s="113"/>
      <c r="AJ857" s="113"/>
      <c r="AK857" s="113"/>
      <c r="AL857" s="113"/>
      <c r="AM857" s="113"/>
      <c r="AN857" s="113"/>
      <c r="AO857" s="113"/>
      <c r="AP857" s="113"/>
      <c r="AQ857" s="113"/>
      <c r="AR857" s="113"/>
      <c r="AS857" s="113"/>
      <c r="AT857" s="113"/>
      <c r="AU857" s="113"/>
      <c r="AV857" s="113"/>
      <c r="AW857" s="113"/>
      <c r="AX857" s="113"/>
      <c r="AY857" s="113"/>
      <c r="AZ857" s="113"/>
      <c r="BA857" s="113"/>
      <c r="BB857" s="113"/>
      <c r="BC857" s="113"/>
      <c r="BD857" s="113"/>
      <c r="BE857" s="113"/>
      <c r="BF857" s="113"/>
      <c r="BG857" s="113"/>
      <c r="BH857" s="113"/>
      <c r="BI857" s="113"/>
      <c r="BJ857" s="113"/>
      <c r="BK857" s="113"/>
      <c r="BL857" s="113"/>
      <c r="BM857" s="113"/>
      <c r="BN857" s="113"/>
      <c r="BO857" s="113"/>
      <c r="BP857" s="113"/>
      <c r="BQ857" s="113"/>
      <c r="BR857" s="113"/>
      <c r="BS857" s="113"/>
      <c r="BT857" s="113"/>
      <c r="BU857" s="113"/>
      <c r="BV857" s="113"/>
      <c r="BW857" s="113"/>
      <c r="BX857" s="113"/>
      <c r="BY857" s="113"/>
      <c r="BZ857" s="113"/>
      <c r="CA857" s="113"/>
      <c r="CB857" s="113"/>
      <c r="CC857" s="113"/>
      <c r="CD857" s="113"/>
      <c r="CE857" s="113"/>
      <c r="CF857" s="113"/>
      <c r="CG857" s="113"/>
      <c r="CH857" s="113"/>
      <c r="CI857" s="113"/>
      <c r="CJ857" s="113"/>
      <c r="CK857" s="113"/>
      <c r="CL857" s="113"/>
      <c r="CM857" s="113"/>
      <c r="CN857" s="113"/>
      <c r="CO857" s="113"/>
      <c r="CP857" s="113"/>
      <c r="CQ857" s="113"/>
      <c r="CR857" s="113"/>
      <c r="CS857" s="113"/>
      <c r="CT857" s="113"/>
      <c r="CU857" s="113"/>
    </row>
    <row r="858">
      <c r="A858" s="159"/>
      <c r="B858" s="113"/>
      <c r="C858" s="113"/>
      <c r="D858" s="158"/>
      <c r="E858" s="161"/>
      <c r="F858" s="160"/>
      <c r="G858" s="162"/>
      <c r="H858" s="159"/>
      <c r="I858" s="113"/>
      <c r="J858" s="113"/>
      <c r="K858" s="113"/>
      <c r="L858" s="158"/>
      <c r="M858" s="113"/>
      <c r="N858" s="113"/>
      <c r="O858" s="113"/>
      <c r="P858" s="113"/>
      <c r="Q858" s="113"/>
      <c r="R858" s="113"/>
      <c r="S858" s="113"/>
      <c r="T858" s="113"/>
      <c r="U858" s="113"/>
      <c r="V858" s="113"/>
      <c r="W858" s="113"/>
      <c r="X858" s="113"/>
      <c r="Y858" s="113"/>
      <c r="Z858" s="113"/>
      <c r="AA858" s="113"/>
      <c r="AB858" s="113"/>
      <c r="AC858" s="113"/>
      <c r="AD858" s="113"/>
      <c r="AE858" s="113"/>
      <c r="AF858" s="113"/>
      <c r="AG858" s="113"/>
      <c r="AH858" s="113"/>
      <c r="AI858" s="113"/>
      <c r="AJ858" s="113"/>
      <c r="AK858" s="113"/>
      <c r="AL858" s="113"/>
      <c r="AM858" s="113"/>
      <c r="AN858" s="113"/>
      <c r="AO858" s="113"/>
      <c r="AP858" s="113"/>
      <c r="AQ858" s="113"/>
      <c r="AR858" s="113"/>
      <c r="AS858" s="113"/>
      <c r="AT858" s="113"/>
      <c r="AU858" s="113"/>
      <c r="AV858" s="113"/>
      <c r="AW858" s="113"/>
      <c r="AX858" s="113"/>
      <c r="AY858" s="113"/>
      <c r="AZ858" s="113"/>
      <c r="BA858" s="113"/>
      <c r="BB858" s="113"/>
      <c r="BC858" s="113"/>
      <c r="BD858" s="113"/>
      <c r="BE858" s="113"/>
      <c r="BF858" s="113"/>
      <c r="BG858" s="113"/>
      <c r="BH858" s="113"/>
      <c r="BI858" s="113"/>
      <c r="BJ858" s="113"/>
      <c r="BK858" s="113"/>
      <c r="BL858" s="113"/>
      <c r="BM858" s="113"/>
      <c r="BN858" s="113"/>
      <c r="BO858" s="113"/>
      <c r="BP858" s="113"/>
      <c r="BQ858" s="113"/>
      <c r="BR858" s="113"/>
      <c r="BS858" s="113"/>
      <c r="BT858" s="113"/>
      <c r="BU858" s="113"/>
      <c r="BV858" s="113"/>
      <c r="BW858" s="113"/>
      <c r="BX858" s="113"/>
      <c r="BY858" s="113"/>
      <c r="BZ858" s="113"/>
      <c r="CA858" s="113"/>
      <c r="CB858" s="113"/>
      <c r="CC858" s="113"/>
      <c r="CD858" s="113"/>
      <c r="CE858" s="113"/>
      <c r="CF858" s="113"/>
      <c r="CG858" s="113"/>
      <c r="CH858" s="113"/>
      <c r="CI858" s="113"/>
      <c r="CJ858" s="113"/>
      <c r="CK858" s="113"/>
      <c r="CL858" s="113"/>
      <c r="CM858" s="113"/>
      <c r="CN858" s="113"/>
      <c r="CO858" s="113"/>
      <c r="CP858" s="113"/>
      <c r="CQ858" s="113"/>
      <c r="CR858" s="113"/>
      <c r="CS858" s="113"/>
      <c r="CT858" s="113"/>
      <c r="CU858" s="113"/>
    </row>
    <row r="859">
      <c r="A859" s="159"/>
      <c r="B859" s="113"/>
      <c r="C859" s="113"/>
      <c r="D859" s="158"/>
      <c r="E859" s="161"/>
      <c r="F859" s="160"/>
      <c r="G859" s="162"/>
      <c r="H859" s="159"/>
      <c r="I859" s="113"/>
      <c r="J859" s="113"/>
      <c r="K859" s="113"/>
      <c r="L859" s="158"/>
      <c r="M859" s="113"/>
      <c r="N859" s="113"/>
      <c r="O859" s="113"/>
      <c r="P859" s="113"/>
      <c r="Q859" s="113"/>
      <c r="R859" s="113"/>
      <c r="S859" s="113"/>
      <c r="T859" s="113"/>
      <c r="U859" s="113"/>
      <c r="V859" s="113"/>
      <c r="W859" s="113"/>
      <c r="X859" s="113"/>
      <c r="Y859" s="113"/>
      <c r="Z859" s="113"/>
      <c r="AA859" s="113"/>
      <c r="AB859" s="113"/>
      <c r="AC859" s="113"/>
      <c r="AD859" s="113"/>
      <c r="AE859" s="113"/>
      <c r="AF859" s="113"/>
      <c r="AG859" s="113"/>
      <c r="AH859" s="113"/>
      <c r="AI859" s="113"/>
      <c r="AJ859" s="113"/>
      <c r="AK859" s="113"/>
      <c r="AL859" s="113"/>
      <c r="AM859" s="113"/>
      <c r="AN859" s="113"/>
      <c r="AO859" s="113"/>
      <c r="AP859" s="113"/>
      <c r="AQ859" s="113"/>
      <c r="AR859" s="113"/>
      <c r="AS859" s="113"/>
      <c r="AT859" s="113"/>
      <c r="AU859" s="113"/>
      <c r="AV859" s="113"/>
      <c r="AW859" s="113"/>
      <c r="AX859" s="113"/>
      <c r="AY859" s="113"/>
      <c r="AZ859" s="113"/>
      <c r="BA859" s="113"/>
      <c r="BB859" s="113"/>
      <c r="BC859" s="113"/>
      <c r="BD859" s="113"/>
      <c r="BE859" s="113"/>
      <c r="BF859" s="113"/>
      <c r="BG859" s="113"/>
      <c r="BH859" s="113"/>
      <c r="BI859" s="113"/>
      <c r="BJ859" s="113"/>
      <c r="BK859" s="113"/>
      <c r="BL859" s="113"/>
      <c r="BM859" s="113"/>
      <c r="BN859" s="113"/>
      <c r="BO859" s="113"/>
      <c r="BP859" s="113"/>
      <c r="BQ859" s="113"/>
      <c r="BR859" s="113"/>
      <c r="BS859" s="113"/>
      <c r="BT859" s="113"/>
      <c r="BU859" s="113"/>
      <c r="BV859" s="113"/>
      <c r="BW859" s="113"/>
      <c r="BX859" s="113"/>
      <c r="BY859" s="113"/>
      <c r="BZ859" s="113"/>
      <c r="CA859" s="113"/>
      <c r="CB859" s="113"/>
      <c r="CC859" s="113"/>
      <c r="CD859" s="113"/>
      <c r="CE859" s="113"/>
      <c r="CF859" s="113"/>
      <c r="CG859" s="113"/>
      <c r="CH859" s="113"/>
      <c r="CI859" s="113"/>
      <c r="CJ859" s="113"/>
      <c r="CK859" s="113"/>
      <c r="CL859" s="113"/>
      <c r="CM859" s="113"/>
      <c r="CN859" s="113"/>
      <c r="CO859" s="113"/>
      <c r="CP859" s="113"/>
      <c r="CQ859" s="113"/>
      <c r="CR859" s="113"/>
      <c r="CS859" s="113"/>
      <c r="CT859" s="113"/>
      <c r="CU859" s="113"/>
    </row>
    <row r="860">
      <c r="A860" s="159"/>
      <c r="B860" s="113"/>
      <c r="C860" s="113"/>
      <c r="D860" s="158"/>
      <c r="E860" s="161"/>
      <c r="F860" s="160"/>
      <c r="G860" s="162"/>
      <c r="H860" s="159"/>
      <c r="I860" s="113"/>
      <c r="J860" s="113"/>
      <c r="K860" s="113"/>
      <c r="L860" s="158"/>
      <c r="M860" s="113"/>
      <c r="N860" s="113"/>
      <c r="O860" s="113"/>
      <c r="P860" s="113"/>
      <c r="Q860" s="113"/>
      <c r="R860" s="113"/>
      <c r="S860" s="113"/>
      <c r="T860" s="113"/>
      <c r="U860" s="113"/>
      <c r="V860" s="113"/>
      <c r="W860" s="113"/>
      <c r="X860" s="113"/>
      <c r="Y860" s="113"/>
      <c r="Z860" s="113"/>
      <c r="AA860" s="113"/>
      <c r="AB860" s="113"/>
      <c r="AC860" s="113"/>
      <c r="AD860" s="113"/>
      <c r="AE860" s="113"/>
      <c r="AF860" s="113"/>
      <c r="AG860" s="113"/>
      <c r="AH860" s="113"/>
      <c r="AI860" s="113"/>
      <c r="AJ860" s="113"/>
      <c r="AK860" s="113"/>
      <c r="AL860" s="113"/>
      <c r="AM860" s="113"/>
      <c r="AN860" s="113"/>
      <c r="AO860" s="113"/>
      <c r="AP860" s="113"/>
      <c r="AQ860" s="113"/>
      <c r="AR860" s="113"/>
      <c r="AS860" s="113"/>
      <c r="AT860" s="113"/>
      <c r="AU860" s="113"/>
      <c r="AV860" s="113"/>
      <c r="AW860" s="113"/>
      <c r="AX860" s="113"/>
      <c r="AY860" s="113"/>
      <c r="AZ860" s="113"/>
      <c r="BA860" s="113"/>
      <c r="BB860" s="113"/>
      <c r="BC860" s="113"/>
      <c r="BD860" s="113"/>
      <c r="BE860" s="113"/>
      <c r="BF860" s="113"/>
      <c r="BG860" s="113"/>
      <c r="BH860" s="113"/>
      <c r="BI860" s="113"/>
      <c r="BJ860" s="113"/>
      <c r="BK860" s="113"/>
      <c r="BL860" s="113"/>
      <c r="BM860" s="113"/>
      <c r="BN860" s="113"/>
      <c r="BO860" s="113"/>
      <c r="BP860" s="113"/>
      <c r="BQ860" s="113"/>
      <c r="BR860" s="113"/>
      <c r="BS860" s="113"/>
      <c r="BT860" s="113"/>
      <c r="BU860" s="113"/>
      <c r="BV860" s="113"/>
      <c r="BW860" s="113"/>
      <c r="BX860" s="113"/>
      <c r="BY860" s="113"/>
      <c r="BZ860" s="113"/>
      <c r="CA860" s="113"/>
      <c r="CB860" s="113"/>
      <c r="CC860" s="113"/>
      <c r="CD860" s="113"/>
      <c r="CE860" s="113"/>
      <c r="CF860" s="113"/>
      <c r="CG860" s="113"/>
      <c r="CH860" s="113"/>
      <c r="CI860" s="113"/>
      <c r="CJ860" s="113"/>
      <c r="CK860" s="113"/>
      <c r="CL860" s="113"/>
      <c r="CM860" s="113"/>
      <c r="CN860" s="113"/>
      <c r="CO860" s="113"/>
      <c r="CP860" s="113"/>
      <c r="CQ860" s="113"/>
      <c r="CR860" s="113"/>
      <c r="CS860" s="113"/>
      <c r="CT860" s="113"/>
      <c r="CU860" s="113"/>
    </row>
    <row r="861">
      <c r="A861" s="159"/>
      <c r="B861" s="113"/>
      <c r="C861" s="113"/>
      <c r="D861" s="158"/>
      <c r="E861" s="161"/>
      <c r="F861" s="160"/>
      <c r="G861" s="162"/>
      <c r="H861" s="159"/>
      <c r="I861" s="113"/>
      <c r="J861" s="113"/>
      <c r="K861" s="113"/>
      <c r="L861" s="158"/>
      <c r="M861" s="113"/>
      <c r="N861" s="113"/>
      <c r="O861" s="113"/>
      <c r="P861" s="113"/>
      <c r="Q861" s="113"/>
      <c r="R861" s="113"/>
      <c r="S861" s="113"/>
      <c r="T861" s="113"/>
      <c r="U861" s="113"/>
      <c r="V861" s="113"/>
      <c r="W861" s="113"/>
      <c r="X861" s="113"/>
      <c r="Y861" s="113"/>
      <c r="Z861" s="113"/>
      <c r="AA861" s="113"/>
      <c r="AB861" s="113"/>
      <c r="AC861" s="113"/>
      <c r="AD861" s="113"/>
      <c r="AE861" s="113"/>
      <c r="AF861" s="113"/>
      <c r="AG861" s="113"/>
      <c r="AH861" s="113"/>
      <c r="AI861" s="113"/>
      <c r="AJ861" s="113"/>
      <c r="AK861" s="113"/>
      <c r="AL861" s="113"/>
      <c r="AM861" s="113"/>
      <c r="AN861" s="113"/>
      <c r="AO861" s="113"/>
      <c r="AP861" s="113"/>
      <c r="AQ861" s="113"/>
      <c r="AR861" s="113"/>
      <c r="AS861" s="113"/>
      <c r="AT861" s="113"/>
      <c r="AU861" s="113"/>
      <c r="AV861" s="113"/>
      <c r="AW861" s="113"/>
      <c r="AX861" s="113"/>
      <c r="AY861" s="113"/>
      <c r="AZ861" s="113"/>
      <c r="BA861" s="113"/>
      <c r="BB861" s="113"/>
      <c r="BC861" s="113"/>
      <c r="BD861" s="113"/>
      <c r="BE861" s="113"/>
      <c r="BF861" s="113"/>
      <c r="BG861" s="113"/>
      <c r="BH861" s="113"/>
      <c r="BI861" s="113"/>
      <c r="BJ861" s="113"/>
      <c r="BK861" s="113"/>
      <c r="BL861" s="113"/>
      <c r="BM861" s="113"/>
      <c r="BN861" s="113"/>
      <c r="BO861" s="113"/>
      <c r="BP861" s="113"/>
      <c r="BQ861" s="113"/>
      <c r="BR861" s="113"/>
      <c r="BS861" s="113"/>
      <c r="BT861" s="113"/>
      <c r="BU861" s="113"/>
      <c r="BV861" s="113"/>
      <c r="BW861" s="113"/>
      <c r="BX861" s="113"/>
      <c r="BY861" s="113"/>
      <c r="BZ861" s="113"/>
      <c r="CA861" s="113"/>
      <c r="CB861" s="113"/>
      <c r="CC861" s="113"/>
      <c r="CD861" s="113"/>
      <c r="CE861" s="113"/>
      <c r="CF861" s="113"/>
      <c r="CG861" s="113"/>
      <c r="CH861" s="113"/>
      <c r="CI861" s="113"/>
      <c r="CJ861" s="113"/>
      <c r="CK861" s="113"/>
      <c r="CL861" s="113"/>
      <c r="CM861" s="113"/>
      <c r="CN861" s="113"/>
      <c r="CO861" s="113"/>
      <c r="CP861" s="113"/>
      <c r="CQ861" s="113"/>
      <c r="CR861" s="113"/>
      <c r="CS861" s="113"/>
      <c r="CT861" s="113"/>
      <c r="CU861" s="113"/>
    </row>
    <row r="862">
      <c r="A862" s="159"/>
      <c r="B862" s="113"/>
      <c r="C862" s="113"/>
      <c r="D862" s="158"/>
      <c r="E862" s="161"/>
      <c r="F862" s="160"/>
      <c r="G862" s="162"/>
      <c r="H862" s="159"/>
      <c r="I862" s="113"/>
      <c r="J862" s="113"/>
      <c r="K862" s="113"/>
      <c r="L862" s="158"/>
      <c r="M862" s="113"/>
      <c r="N862" s="113"/>
      <c r="O862" s="113"/>
      <c r="P862" s="113"/>
      <c r="Q862" s="113"/>
      <c r="R862" s="113"/>
      <c r="S862" s="113"/>
      <c r="T862" s="113"/>
      <c r="U862" s="113"/>
      <c r="V862" s="113"/>
      <c r="W862" s="113"/>
      <c r="X862" s="113"/>
      <c r="Y862" s="113"/>
      <c r="Z862" s="113"/>
      <c r="AA862" s="113"/>
      <c r="AB862" s="113"/>
      <c r="AC862" s="113"/>
      <c r="AD862" s="113"/>
      <c r="AE862" s="113"/>
      <c r="AF862" s="113"/>
      <c r="AG862" s="113"/>
      <c r="AH862" s="113"/>
      <c r="AI862" s="113"/>
      <c r="AJ862" s="113"/>
      <c r="AK862" s="113"/>
      <c r="AL862" s="113"/>
      <c r="AM862" s="113"/>
      <c r="AN862" s="113"/>
      <c r="AO862" s="113"/>
      <c r="AP862" s="113"/>
      <c r="AQ862" s="113"/>
      <c r="AR862" s="113"/>
      <c r="AS862" s="113"/>
      <c r="AT862" s="113"/>
      <c r="AU862" s="113"/>
      <c r="AV862" s="113"/>
      <c r="AW862" s="113"/>
      <c r="AX862" s="113"/>
      <c r="AY862" s="113"/>
      <c r="AZ862" s="113"/>
      <c r="BA862" s="113"/>
      <c r="BB862" s="113"/>
      <c r="BC862" s="113"/>
      <c r="BD862" s="113"/>
      <c r="BE862" s="113"/>
      <c r="BF862" s="113"/>
      <c r="BG862" s="113"/>
      <c r="BH862" s="113"/>
      <c r="BI862" s="113"/>
      <c r="BJ862" s="113"/>
      <c r="BK862" s="113"/>
      <c r="BL862" s="113"/>
      <c r="BM862" s="113"/>
      <c r="BN862" s="113"/>
      <c r="BO862" s="113"/>
      <c r="BP862" s="113"/>
      <c r="BQ862" s="113"/>
      <c r="BR862" s="113"/>
      <c r="BS862" s="113"/>
      <c r="BT862" s="113"/>
      <c r="BU862" s="113"/>
      <c r="BV862" s="113"/>
      <c r="BW862" s="113"/>
      <c r="BX862" s="113"/>
      <c r="BY862" s="113"/>
      <c r="BZ862" s="113"/>
      <c r="CA862" s="113"/>
      <c r="CB862" s="113"/>
      <c r="CC862" s="113"/>
      <c r="CD862" s="113"/>
      <c r="CE862" s="113"/>
      <c r="CF862" s="113"/>
      <c r="CG862" s="113"/>
      <c r="CH862" s="113"/>
      <c r="CI862" s="113"/>
      <c r="CJ862" s="113"/>
      <c r="CK862" s="113"/>
      <c r="CL862" s="113"/>
      <c r="CM862" s="113"/>
      <c r="CN862" s="113"/>
      <c r="CO862" s="113"/>
      <c r="CP862" s="113"/>
      <c r="CQ862" s="113"/>
      <c r="CR862" s="113"/>
      <c r="CS862" s="113"/>
      <c r="CT862" s="113"/>
      <c r="CU862" s="113"/>
    </row>
    <row r="863">
      <c r="A863" s="159"/>
      <c r="B863" s="113"/>
      <c r="C863" s="113"/>
      <c r="D863" s="158"/>
      <c r="E863" s="161"/>
      <c r="F863" s="160"/>
      <c r="G863" s="162"/>
      <c r="H863" s="159"/>
      <c r="I863" s="113"/>
      <c r="J863" s="113"/>
      <c r="K863" s="113"/>
      <c r="L863" s="158"/>
      <c r="M863" s="113"/>
      <c r="N863" s="113"/>
      <c r="O863" s="113"/>
      <c r="P863" s="113"/>
      <c r="Q863" s="113"/>
      <c r="R863" s="113"/>
      <c r="S863" s="113"/>
      <c r="T863" s="113"/>
      <c r="U863" s="113"/>
      <c r="V863" s="113"/>
      <c r="W863" s="113"/>
      <c r="X863" s="113"/>
      <c r="Y863" s="113"/>
      <c r="Z863" s="113"/>
      <c r="AA863" s="113"/>
      <c r="AB863" s="113"/>
      <c r="AC863" s="113"/>
      <c r="AD863" s="113"/>
      <c r="AE863" s="113"/>
      <c r="AF863" s="113"/>
      <c r="AG863" s="113"/>
      <c r="AH863" s="113"/>
      <c r="AI863" s="113"/>
      <c r="AJ863" s="113"/>
      <c r="AK863" s="113"/>
      <c r="AL863" s="113"/>
      <c r="AM863" s="113"/>
      <c r="AN863" s="113"/>
      <c r="AO863" s="113"/>
      <c r="AP863" s="113"/>
      <c r="AQ863" s="113"/>
      <c r="AR863" s="113"/>
      <c r="AS863" s="113"/>
      <c r="AT863" s="113"/>
      <c r="AU863" s="113"/>
      <c r="AV863" s="113"/>
      <c r="AW863" s="113"/>
      <c r="AX863" s="113"/>
      <c r="AY863" s="113"/>
      <c r="AZ863" s="113"/>
      <c r="BA863" s="113"/>
      <c r="BB863" s="113"/>
      <c r="BC863" s="113"/>
      <c r="BD863" s="113"/>
      <c r="BE863" s="113"/>
      <c r="BF863" s="113"/>
      <c r="BG863" s="113"/>
      <c r="BH863" s="113"/>
      <c r="BI863" s="113"/>
      <c r="BJ863" s="113"/>
      <c r="BK863" s="113"/>
      <c r="BL863" s="113"/>
      <c r="BM863" s="113"/>
      <c r="BN863" s="113"/>
      <c r="BO863" s="113"/>
      <c r="BP863" s="113"/>
      <c r="BQ863" s="113"/>
      <c r="BR863" s="113"/>
      <c r="BS863" s="113"/>
      <c r="BT863" s="113"/>
      <c r="BU863" s="113"/>
      <c r="BV863" s="113"/>
      <c r="BW863" s="113"/>
      <c r="BX863" s="113"/>
      <c r="BY863" s="113"/>
      <c r="BZ863" s="113"/>
      <c r="CA863" s="113"/>
      <c r="CB863" s="113"/>
      <c r="CC863" s="113"/>
      <c r="CD863" s="113"/>
      <c r="CE863" s="113"/>
      <c r="CF863" s="113"/>
      <c r="CG863" s="113"/>
      <c r="CH863" s="113"/>
      <c r="CI863" s="113"/>
      <c r="CJ863" s="113"/>
      <c r="CK863" s="113"/>
      <c r="CL863" s="113"/>
      <c r="CM863" s="113"/>
      <c r="CN863" s="113"/>
      <c r="CO863" s="113"/>
      <c r="CP863" s="113"/>
      <c r="CQ863" s="113"/>
      <c r="CR863" s="113"/>
      <c r="CS863" s="113"/>
      <c r="CT863" s="113"/>
      <c r="CU863" s="113"/>
    </row>
    <row r="864">
      <c r="A864" s="159"/>
      <c r="B864" s="113"/>
      <c r="C864" s="113"/>
      <c r="D864" s="158"/>
      <c r="E864" s="161"/>
      <c r="F864" s="160"/>
      <c r="G864" s="162"/>
      <c r="H864" s="159"/>
      <c r="I864" s="113"/>
      <c r="J864" s="113"/>
      <c r="K864" s="113"/>
      <c r="L864" s="158"/>
      <c r="M864" s="113"/>
      <c r="N864" s="113"/>
      <c r="O864" s="113"/>
      <c r="P864" s="113"/>
      <c r="Q864" s="113"/>
      <c r="R864" s="113"/>
      <c r="S864" s="113"/>
      <c r="T864" s="113"/>
      <c r="U864" s="113"/>
      <c r="V864" s="113"/>
      <c r="W864" s="113"/>
      <c r="X864" s="113"/>
      <c r="Y864" s="113"/>
      <c r="Z864" s="113"/>
      <c r="AA864" s="113"/>
      <c r="AB864" s="113"/>
      <c r="AC864" s="113"/>
      <c r="AD864" s="113"/>
      <c r="AE864" s="113"/>
      <c r="AF864" s="113"/>
      <c r="AG864" s="113"/>
      <c r="AH864" s="113"/>
      <c r="AI864" s="113"/>
      <c r="AJ864" s="113"/>
      <c r="AK864" s="113"/>
      <c r="AL864" s="113"/>
      <c r="AM864" s="113"/>
      <c r="AN864" s="113"/>
      <c r="AO864" s="113"/>
      <c r="AP864" s="113"/>
      <c r="AQ864" s="113"/>
      <c r="AR864" s="113"/>
      <c r="AS864" s="113"/>
      <c r="AT864" s="113"/>
      <c r="AU864" s="113"/>
      <c r="AV864" s="113"/>
      <c r="AW864" s="113"/>
      <c r="AX864" s="113"/>
      <c r="AY864" s="113"/>
      <c r="AZ864" s="113"/>
      <c r="BA864" s="113"/>
      <c r="BB864" s="113"/>
      <c r="BC864" s="113"/>
      <c r="BD864" s="113"/>
      <c r="BE864" s="113"/>
      <c r="BF864" s="113"/>
      <c r="BG864" s="113"/>
      <c r="BH864" s="113"/>
      <c r="BI864" s="113"/>
      <c r="BJ864" s="113"/>
      <c r="BK864" s="113"/>
      <c r="BL864" s="113"/>
      <c r="BM864" s="113"/>
      <c r="BN864" s="113"/>
      <c r="BO864" s="113"/>
      <c r="BP864" s="113"/>
      <c r="BQ864" s="113"/>
      <c r="BR864" s="113"/>
      <c r="BS864" s="113"/>
      <c r="BT864" s="113"/>
      <c r="BU864" s="113"/>
      <c r="BV864" s="113"/>
      <c r="BW864" s="113"/>
      <c r="BX864" s="113"/>
      <c r="BY864" s="113"/>
      <c r="BZ864" s="113"/>
      <c r="CA864" s="113"/>
      <c r="CB864" s="113"/>
      <c r="CC864" s="113"/>
      <c r="CD864" s="113"/>
      <c r="CE864" s="113"/>
      <c r="CF864" s="113"/>
      <c r="CG864" s="113"/>
      <c r="CH864" s="113"/>
      <c r="CI864" s="113"/>
      <c r="CJ864" s="113"/>
      <c r="CK864" s="113"/>
      <c r="CL864" s="113"/>
      <c r="CM864" s="113"/>
      <c r="CN864" s="113"/>
      <c r="CO864" s="113"/>
      <c r="CP864" s="113"/>
      <c r="CQ864" s="113"/>
      <c r="CR864" s="113"/>
      <c r="CS864" s="113"/>
      <c r="CT864" s="113"/>
      <c r="CU864" s="113"/>
    </row>
    <row r="865">
      <c r="A865" s="159"/>
      <c r="B865" s="113"/>
      <c r="C865" s="113"/>
      <c r="D865" s="158"/>
      <c r="E865" s="161"/>
      <c r="F865" s="160"/>
      <c r="G865" s="162"/>
      <c r="H865" s="159"/>
      <c r="I865" s="113"/>
      <c r="J865" s="113"/>
      <c r="K865" s="113"/>
      <c r="L865" s="158"/>
      <c r="M865" s="113"/>
      <c r="N865" s="113"/>
      <c r="O865" s="113"/>
      <c r="P865" s="113"/>
      <c r="Q865" s="113"/>
      <c r="R865" s="113"/>
      <c r="S865" s="113"/>
      <c r="T865" s="113"/>
      <c r="U865" s="113"/>
      <c r="V865" s="113"/>
      <c r="W865" s="113"/>
      <c r="X865" s="113"/>
      <c r="Y865" s="113"/>
      <c r="Z865" s="113"/>
      <c r="AA865" s="113"/>
      <c r="AB865" s="113"/>
      <c r="AC865" s="113"/>
      <c r="AD865" s="113"/>
      <c r="AE865" s="113"/>
      <c r="AF865" s="113"/>
      <c r="AG865" s="113"/>
      <c r="AH865" s="113"/>
      <c r="AI865" s="113"/>
      <c r="AJ865" s="113"/>
      <c r="AK865" s="113"/>
      <c r="AL865" s="113"/>
      <c r="AM865" s="113"/>
      <c r="AN865" s="113"/>
      <c r="AO865" s="113"/>
      <c r="AP865" s="113"/>
      <c r="AQ865" s="113"/>
      <c r="AR865" s="113"/>
      <c r="AS865" s="113"/>
      <c r="AT865" s="113"/>
      <c r="AU865" s="113"/>
      <c r="AV865" s="113"/>
      <c r="AW865" s="113"/>
      <c r="AX865" s="113"/>
      <c r="AY865" s="113"/>
      <c r="AZ865" s="113"/>
      <c r="BA865" s="113"/>
      <c r="BB865" s="113"/>
      <c r="BC865" s="113"/>
      <c r="BD865" s="113"/>
      <c r="BE865" s="113"/>
      <c r="BF865" s="113"/>
      <c r="BG865" s="113"/>
      <c r="BH865" s="113"/>
      <c r="BI865" s="113"/>
      <c r="BJ865" s="113"/>
      <c r="BK865" s="113"/>
      <c r="BL865" s="113"/>
      <c r="BM865" s="113"/>
      <c r="BN865" s="113"/>
      <c r="BO865" s="113"/>
      <c r="BP865" s="113"/>
      <c r="BQ865" s="113"/>
      <c r="BR865" s="113"/>
      <c r="BS865" s="113"/>
      <c r="BT865" s="113"/>
      <c r="BU865" s="113"/>
      <c r="BV865" s="113"/>
      <c r="BW865" s="113"/>
      <c r="BX865" s="113"/>
      <c r="BY865" s="113"/>
      <c r="BZ865" s="113"/>
      <c r="CA865" s="113"/>
      <c r="CB865" s="113"/>
      <c r="CC865" s="113"/>
      <c r="CD865" s="113"/>
      <c r="CE865" s="113"/>
      <c r="CF865" s="113"/>
      <c r="CG865" s="113"/>
      <c r="CH865" s="113"/>
      <c r="CI865" s="113"/>
      <c r="CJ865" s="113"/>
      <c r="CK865" s="113"/>
      <c r="CL865" s="113"/>
      <c r="CM865" s="113"/>
      <c r="CN865" s="113"/>
      <c r="CO865" s="113"/>
      <c r="CP865" s="113"/>
      <c r="CQ865" s="113"/>
      <c r="CR865" s="113"/>
      <c r="CS865" s="113"/>
      <c r="CT865" s="113"/>
      <c r="CU865" s="113"/>
    </row>
    <row r="866">
      <c r="A866" s="159"/>
      <c r="B866" s="113"/>
      <c r="C866" s="113"/>
      <c r="D866" s="158"/>
      <c r="E866" s="161"/>
      <c r="F866" s="160"/>
      <c r="G866" s="162"/>
      <c r="H866" s="159"/>
      <c r="I866" s="113"/>
      <c r="J866" s="113"/>
      <c r="K866" s="113"/>
      <c r="L866" s="158"/>
      <c r="M866" s="113"/>
      <c r="N866" s="113"/>
      <c r="O866" s="113"/>
      <c r="P866" s="113"/>
      <c r="Q866" s="113"/>
      <c r="R866" s="113"/>
      <c r="S866" s="113"/>
      <c r="T866" s="113"/>
      <c r="U866" s="113"/>
      <c r="V866" s="113"/>
      <c r="W866" s="113"/>
      <c r="X866" s="113"/>
      <c r="Y866" s="113"/>
      <c r="Z866" s="113"/>
      <c r="AA866" s="113"/>
      <c r="AB866" s="113"/>
      <c r="AC866" s="113"/>
      <c r="AD866" s="113"/>
      <c r="AE866" s="113"/>
      <c r="AF866" s="113"/>
      <c r="AG866" s="113"/>
      <c r="AH866" s="113"/>
      <c r="AI866" s="113"/>
      <c r="AJ866" s="113"/>
      <c r="AK866" s="113"/>
      <c r="AL866" s="113"/>
      <c r="AM866" s="113"/>
      <c r="AN866" s="113"/>
      <c r="AO866" s="113"/>
      <c r="AP866" s="113"/>
      <c r="AQ866" s="113"/>
      <c r="AR866" s="113"/>
      <c r="AS866" s="113"/>
      <c r="AT866" s="113"/>
      <c r="AU866" s="113"/>
      <c r="AV866" s="113"/>
      <c r="AW866" s="113"/>
      <c r="AX866" s="113"/>
      <c r="AY866" s="113"/>
      <c r="AZ866" s="113"/>
      <c r="BA866" s="113"/>
      <c r="BB866" s="113"/>
      <c r="BC866" s="113"/>
      <c r="BD866" s="113"/>
      <c r="BE866" s="113"/>
      <c r="BF866" s="113"/>
      <c r="BG866" s="113"/>
      <c r="BH866" s="113"/>
      <c r="BI866" s="113"/>
      <c r="BJ866" s="113"/>
      <c r="BK866" s="113"/>
      <c r="BL866" s="113"/>
      <c r="BM866" s="113"/>
      <c r="BN866" s="113"/>
      <c r="BO866" s="113"/>
      <c r="BP866" s="113"/>
      <c r="BQ866" s="113"/>
      <c r="BR866" s="113"/>
      <c r="BS866" s="113"/>
      <c r="BT866" s="113"/>
      <c r="BU866" s="113"/>
      <c r="BV866" s="113"/>
      <c r="BW866" s="113"/>
      <c r="BX866" s="113"/>
      <c r="BY866" s="113"/>
      <c r="BZ866" s="113"/>
      <c r="CA866" s="113"/>
      <c r="CB866" s="113"/>
      <c r="CC866" s="113"/>
      <c r="CD866" s="113"/>
      <c r="CE866" s="113"/>
      <c r="CF866" s="113"/>
      <c r="CG866" s="113"/>
      <c r="CH866" s="113"/>
      <c r="CI866" s="113"/>
      <c r="CJ866" s="113"/>
      <c r="CK866" s="113"/>
      <c r="CL866" s="113"/>
      <c r="CM866" s="113"/>
      <c r="CN866" s="113"/>
      <c r="CO866" s="113"/>
      <c r="CP866" s="113"/>
      <c r="CQ866" s="113"/>
      <c r="CR866" s="113"/>
      <c r="CS866" s="113"/>
      <c r="CT866" s="113"/>
      <c r="CU866" s="113"/>
    </row>
    <row r="867">
      <c r="A867" s="159"/>
      <c r="B867" s="113"/>
      <c r="C867" s="113"/>
      <c r="D867" s="158"/>
      <c r="E867" s="161"/>
      <c r="F867" s="160"/>
      <c r="G867" s="162"/>
      <c r="H867" s="159"/>
      <c r="I867" s="113"/>
      <c r="J867" s="113"/>
      <c r="K867" s="113"/>
      <c r="L867" s="158"/>
      <c r="M867" s="113"/>
      <c r="N867" s="113"/>
      <c r="O867" s="113"/>
      <c r="P867" s="113"/>
      <c r="Q867" s="113"/>
      <c r="R867" s="113"/>
      <c r="S867" s="113"/>
      <c r="T867" s="113"/>
      <c r="U867" s="113"/>
      <c r="V867" s="113"/>
      <c r="W867" s="113"/>
      <c r="X867" s="113"/>
      <c r="Y867" s="113"/>
      <c r="Z867" s="113"/>
      <c r="AA867" s="113"/>
      <c r="AB867" s="113"/>
      <c r="AC867" s="113"/>
      <c r="AD867" s="113"/>
      <c r="AE867" s="113"/>
      <c r="AF867" s="113"/>
      <c r="AG867" s="113"/>
      <c r="AH867" s="113"/>
      <c r="AI867" s="113"/>
      <c r="AJ867" s="113"/>
      <c r="AK867" s="113"/>
      <c r="AL867" s="113"/>
      <c r="AM867" s="113"/>
      <c r="AN867" s="113"/>
      <c r="AO867" s="113"/>
      <c r="AP867" s="113"/>
      <c r="AQ867" s="113"/>
      <c r="AR867" s="113"/>
      <c r="AS867" s="113"/>
      <c r="AT867" s="113"/>
      <c r="AU867" s="113"/>
      <c r="AV867" s="113"/>
      <c r="AW867" s="113"/>
      <c r="AX867" s="113"/>
      <c r="AY867" s="113"/>
      <c r="AZ867" s="113"/>
      <c r="BA867" s="113"/>
      <c r="BB867" s="113"/>
      <c r="BC867" s="113"/>
      <c r="BD867" s="113"/>
      <c r="BE867" s="113"/>
      <c r="BF867" s="113"/>
      <c r="BG867" s="113"/>
      <c r="BH867" s="113"/>
      <c r="BI867" s="113"/>
      <c r="BJ867" s="113"/>
      <c r="BK867" s="113"/>
      <c r="BL867" s="113"/>
      <c r="BM867" s="113"/>
      <c r="BN867" s="113"/>
      <c r="BO867" s="113"/>
      <c r="BP867" s="113"/>
      <c r="BQ867" s="113"/>
      <c r="BR867" s="113"/>
      <c r="BS867" s="113"/>
      <c r="BT867" s="113"/>
      <c r="BU867" s="113"/>
      <c r="BV867" s="113"/>
      <c r="BW867" s="113"/>
      <c r="BX867" s="113"/>
      <c r="BY867" s="113"/>
      <c r="BZ867" s="113"/>
      <c r="CA867" s="113"/>
      <c r="CB867" s="113"/>
      <c r="CC867" s="113"/>
      <c r="CD867" s="113"/>
      <c r="CE867" s="113"/>
      <c r="CF867" s="113"/>
      <c r="CG867" s="113"/>
      <c r="CH867" s="113"/>
      <c r="CI867" s="113"/>
      <c r="CJ867" s="113"/>
      <c r="CK867" s="113"/>
      <c r="CL867" s="113"/>
      <c r="CM867" s="113"/>
      <c r="CN867" s="113"/>
      <c r="CO867" s="113"/>
      <c r="CP867" s="113"/>
      <c r="CQ867" s="113"/>
      <c r="CR867" s="113"/>
      <c r="CS867" s="113"/>
      <c r="CT867" s="113"/>
      <c r="CU867" s="113"/>
    </row>
    <row r="868">
      <c r="A868" s="159"/>
      <c r="B868" s="113"/>
      <c r="C868" s="113"/>
      <c r="D868" s="158"/>
      <c r="E868" s="161"/>
      <c r="F868" s="160"/>
      <c r="G868" s="162"/>
      <c r="H868" s="159"/>
      <c r="I868" s="113"/>
      <c r="J868" s="113"/>
      <c r="K868" s="113"/>
      <c r="L868" s="158"/>
      <c r="M868" s="113"/>
      <c r="N868" s="113"/>
      <c r="O868" s="113"/>
      <c r="P868" s="113"/>
      <c r="Q868" s="113"/>
      <c r="R868" s="113"/>
      <c r="S868" s="113"/>
      <c r="T868" s="113"/>
      <c r="U868" s="113"/>
      <c r="V868" s="113"/>
      <c r="W868" s="113"/>
      <c r="X868" s="113"/>
      <c r="Y868" s="113"/>
      <c r="Z868" s="113"/>
      <c r="AA868" s="113"/>
      <c r="AB868" s="113"/>
      <c r="AC868" s="113"/>
      <c r="AD868" s="113"/>
      <c r="AE868" s="113"/>
      <c r="AF868" s="113"/>
      <c r="AG868" s="113"/>
      <c r="AH868" s="113"/>
      <c r="AI868" s="113"/>
      <c r="AJ868" s="113"/>
      <c r="AK868" s="113"/>
      <c r="AL868" s="113"/>
      <c r="AM868" s="113"/>
      <c r="AN868" s="113"/>
      <c r="AO868" s="113"/>
      <c r="AP868" s="113"/>
      <c r="AQ868" s="113"/>
      <c r="AR868" s="113"/>
      <c r="AS868" s="113"/>
      <c r="AT868" s="113"/>
      <c r="AU868" s="113"/>
      <c r="AV868" s="113"/>
      <c r="AW868" s="113"/>
      <c r="AX868" s="113"/>
      <c r="AY868" s="113"/>
      <c r="AZ868" s="113"/>
      <c r="BA868" s="113"/>
      <c r="BB868" s="113"/>
      <c r="BC868" s="113"/>
      <c r="BD868" s="113"/>
      <c r="BE868" s="113"/>
      <c r="BF868" s="113"/>
      <c r="BG868" s="113"/>
      <c r="BH868" s="113"/>
      <c r="BI868" s="113"/>
      <c r="BJ868" s="113"/>
      <c r="BK868" s="113"/>
      <c r="BL868" s="113"/>
      <c r="BM868" s="113"/>
      <c r="BN868" s="113"/>
      <c r="BO868" s="113"/>
      <c r="BP868" s="113"/>
      <c r="BQ868" s="113"/>
      <c r="BR868" s="113"/>
      <c r="BS868" s="113"/>
      <c r="BT868" s="113"/>
      <c r="BU868" s="113"/>
      <c r="BV868" s="113"/>
      <c r="BW868" s="113"/>
      <c r="BX868" s="113"/>
      <c r="BY868" s="113"/>
      <c r="BZ868" s="113"/>
      <c r="CA868" s="113"/>
      <c r="CB868" s="113"/>
      <c r="CC868" s="113"/>
      <c r="CD868" s="113"/>
      <c r="CE868" s="113"/>
      <c r="CF868" s="113"/>
      <c r="CG868" s="113"/>
      <c r="CH868" s="113"/>
      <c r="CI868" s="113"/>
      <c r="CJ868" s="113"/>
      <c r="CK868" s="113"/>
      <c r="CL868" s="113"/>
      <c r="CM868" s="113"/>
      <c r="CN868" s="113"/>
      <c r="CO868" s="113"/>
      <c r="CP868" s="113"/>
      <c r="CQ868" s="113"/>
      <c r="CR868" s="113"/>
      <c r="CS868" s="113"/>
      <c r="CT868" s="113"/>
      <c r="CU868" s="113"/>
    </row>
    <row r="869">
      <c r="A869" s="159"/>
      <c r="B869" s="113"/>
      <c r="C869" s="113"/>
      <c r="D869" s="158"/>
      <c r="E869" s="161"/>
      <c r="F869" s="160"/>
      <c r="G869" s="162"/>
      <c r="H869" s="159"/>
      <c r="I869" s="113"/>
      <c r="J869" s="113"/>
      <c r="K869" s="113"/>
      <c r="L869" s="158"/>
      <c r="M869" s="113"/>
      <c r="N869" s="113"/>
      <c r="O869" s="113"/>
      <c r="P869" s="113"/>
      <c r="Q869" s="113"/>
      <c r="R869" s="113"/>
      <c r="S869" s="113"/>
      <c r="T869" s="113"/>
      <c r="U869" s="113"/>
      <c r="V869" s="113"/>
      <c r="W869" s="113"/>
      <c r="X869" s="113"/>
      <c r="Y869" s="113"/>
      <c r="Z869" s="113"/>
      <c r="AA869" s="113"/>
      <c r="AB869" s="113"/>
      <c r="AC869" s="113"/>
      <c r="AD869" s="113"/>
      <c r="AE869" s="113"/>
      <c r="AF869" s="113"/>
      <c r="AG869" s="113"/>
      <c r="AH869" s="113"/>
      <c r="AI869" s="113"/>
      <c r="AJ869" s="113"/>
      <c r="AK869" s="113"/>
      <c r="AL869" s="113"/>
      <c r="AM869" s="113"/>
      <c r="AN869" s="113"/>
      <c r="AO869" s="113"/>
      <c r="AP869" s="113"/>
      <c r="AQ869" s="113"/>
      <c r="AR869" s="113"/>
      <c r="AS869" s="113"/>
      <c r="AT869" s="113"/>
      <c r="AU869" s="113"/>
      <c r="AV869" s="113"/>
      <c r="AW869" s="113"/>
      <c r="AX869" s="113"/>
      <c r="AY869" s="113"/>
      <c r="AZ869" s="113"/>
      <c r="BA869" s="113"/>
      <c r="BB869" s="113"/>
      <c r="BC869" s="113"/>
      <c r="BD869" s="113"/>
      <c r="BE869" s="113"/>
      <c r="BF869" s="113"/>
      <c r="BG869" s="113"/>
      <c r="BH869" s="113"/>
      <c r="BI869" s="113"/>
      <c r="BJ869" s="113"/>
      <c r="BK869" s="113"/>
      <c r="BL869" s="113"/>
      <c r="BM869" s="113"/>
      <c r="BN869" s="113"/>
      <c r="BO869" s="113"/>
      <c r="BP869" s="113"/>
      <c r="BQ869" s="113"/>
      <c r="BR869" s="113"/>
      <c r="BS869" s="113"/>
      <c r="BT869" s="113"/>
      <c r="BU869" s="113"/>
      <c r="BV869" s="113"/>
      <c r="BW869" s="113"/>
      <c r="BX869" s="113"/>
      <c r="BY869" s="113"/>
      <c r="BZ869" s="113"/>
      <c r="CA869" s="113"/>
      <c r="CB869" s="113"/>
      <c r="CC869" s="113"/>
      <c r="CD869" s="113"/>
      <c r="CE869" s="113"/>
      <c r="CF869" s="113"/>
      <c r="CG869" s="113"/>
      <c r="CH869" s="113"/>
      <c r="CI869" s="113"/>
      <c r="CJ869" s="113"/>
      <c r="CK869" s="113"/>
      <c r="CL869" s="113"/>
      <c r="CM869" s="113"/>
      <c r="CN869" s="113"/>
      <c r="CO869" s="113"/>
      <c r="CP869" s="113"/>
      <c r="CQ869" s="113"/>
      <c r="CR869" s="113"/>
      <c r="CS869" s="113"/>
      <c r="CT869" s="113"/>
      <c r="CU869" s="113"/>
    </row>
    <row r="870">
      <c r="A870" s="159"/>
      <c r="B870" s="113"/>
      <c r="C870" s="113"/>
      <c r="D870" s="158"/>
      <c r="E870" s="161"/>
      <c r="F870" s="160"/>
      <c r="G870" s="162"/>
      <c r="H870" s="159"/>
      <c r="I870" s="113"/>
      <c r="J870" s="113"/>
      <c r="K870" s="113"/>
      <c r="L870" s="158"/>
      <c r="M870" s="113"/>
      <c r="N870" s="113"/>
      <c r="O870" s="113"/>
      <c r="P870" s="113"/>
      <c r="Q870" s="113"/>
      <c r="R870" s="113"/>
      <c r="S870" s="113"/>
      <c r="T870" s="113"/>
      <c r="U870" s="113"/>
      <c r="V870" s="113"/>
      <c r="W870" s="113"/>
      <c r="X870" s="113"/>
      <c r="Y870" s="113"/>
      <c r="Z870" s="113"/>
      <c r="AA870" s="113"/>
      <c r="AB870" s="113"/>
      <c r="AC870" s="113"/>
      <c r="AD870" s="113"/>
      <c r="AE870" s="113"/>
      <c r="AF870" s="113"/>
      <c r="AG870" s="113"/>
      <c r="AH870" s="113"/>
      <c r="AI870" s="113"/>
      <c r="AJ870" s="113"/>
      <c r="AK870" s="113"/>
      <c r="AL870" s="113"/>
      <c r="AM870" s="113"/>
      <c r="AN870" s="113"/>
      <c r="AO870" s="113"/>
      <c r="AP870" s="113"/>
      <c r="AQ870" s="113"/>
      <c r="AR870" s="113"/>
      <c r="AS870" s="113"/>
      <c r="AT870" s="113"/>
      <c r="AU870" s="113"/>
      <c r="AV870" s="113"/>
      <c r="AW870" s="113"/>
      <c r="AX870" s="113"/>
      <c r="AY870" s="113"/>
      <c r="AZ870" s="113"/>
      <c r="BA870" s="113"/>
      <c r="BB870" s="113"/>
      <c r="BC870" s="113"/>
      <c r="BD870" s="113"/>
      <c r="BE870" s="113"/>
      <c r="BF870" s="113"/>
      <c r="BG870" s="113"/>
      <c r="BH870" s="113"/>
      <c r="BI870" s="113"/>
      <c r="BJ870" s="113"/>
      <c r="BK870" s="113"/>
      <c r="BL870" s="113"/>
      <c r="BM870" s="113"/>
      <c r="BN870" s="113"/>
      <c r="BO870" s="113"/>
      <c r="BP870" s="113"/>
      <c r="BQ870" s="113"/>
      <c r="BR870" s="113"/>
      <c r="BS870" s="113"/>
      <c r="BT870" s="113"/>
      <c r="BU870" s="113"/>
      <c r="BV870" s="113"/>
      <c r="BW870" s="113"/>
      <c r="BX870" s="113"/>
      <c r="BY870" s="113"/>
      <c r="BZ870" s="113"/>
      <c r="CA870" s="113"/>
      <c r="CB870" s="113"/>
      <c r="CC870" s="113"/>
      <c r="CD870" s="113"/>
      <c r="CE870" s="113"/>
      <c r="CF870" s="113"/>
      <c r="CG870" s="113"/>
      <c r="CH870" s="113"/>
      <c r="CI870" s="113"/>
      <c r="CJ870" s="113"/>
      <c r="CK870" s="113"/>
      <c r="CL870" s="113"/>
      <c r="CM870" s="113"/>
      <c r="CN870" s="113"/>
      <c r="CO870" s="113"/>
      <c r="CP870" s="113"/>
      <c r="CQ870" s="113"/>
      <c r="CR870" s="113"/>
      <c r="CS870" s="113"/>
      <c r="CT870" s="113"/>
      <c r="CU870" s="113"/>
    </row>
    <row r="871">
      <c r="A871" s="159"/>
      <c r="B871" s="113"/>
      <c r="C871" s="113"/>
      <c r="D871" s="158"/>
      <c r="E871" s="161"/>
      <c r="F871" s="160"/>
      <c r="G871" s="162"/>
      <c r="H871" s="159"/>
      <c r="I871" s="113"/>
      <c r="J871" s="113"/>
      <c r="K871" s="113"/>
      <c r="L871" s="158"/>
      <c r="M871" s="113"/>
      <c r="N871" s="113"/>
      <c r="O871" s="113"/>
      <c r="P871" s="113"/>
      <c r="Q871" s="113"/>
      <c r="R871" s="113"/>
      <c r="S871" s="113"/>
      <c r="T871" s="113"/>
      <c r="U871" s="113"/>
      <c r="V871" s="113"/>
      <c r="W871" s="113"/>
      <c r="X871" s="113"/>
      <c r="Y871" s="113"/>
      <c r="Z871" s="113"/>
      <c r="AA871" s="113"/>
      <c r="AB871" s="113"/>
      <c r="AC871" s="113"/>
      <c r="AD871" s="113"/>
      <c r="AE871" s="113"/>
      <c r="AF871" s="113"/>
      <c r="AG871" s="113"/>
      <c r="AH871" s="113"/>
      <c r="AI871" s="113"/>
      <c r="AJ871" s="113"/>
      <c r="AK871" s="113"/>
      <c r="AL871" s="113"/>
      <c r="AM871" s="113"/>
      <c r="AN871" s="113"/>
      <c r="AO871" s="113"/>
      <c r="AP871" s="113"/>
      <c r="AQ871" s="113"/>
      <c r="AR871" s="113"/>
      <c r="AS871" s="113"/>
      <c r="AT871" s="113"/>
      <c r="AU871" s="113"/>
      <c r="AV871" s="113"/>
      <c r="AW871" s="113"/>
      <c r="AX871" s="113"/>
      <c r="AY871" s="113"/>
      <c r="AZ871" s="113"/>
      <c r="BA871" s="113"/>
      <c r="BB871" s="113"/>
      <c r="BC871" s="113"/>
      <c r="BD871" s="113"/>
      <c r="BE871" s="113"/>
      <c r="BF871" s="113"/>
      <c r="BG871" s="113"/>
      <c r="BH871" s="113"/>
      <c r="BI871" s="113"/>
      <c r="BJ871" s="113"/>
      <c r="BK871" s="113"/>
      <c r="BL871" s="113"/>
      <c r="BM871" s="113"/>
      <c r="BN871" s="113"/>
      <c r="BO871" s="113"/>
      <c r="BP871" s="113"/>
      <c r="BQ871" s="113"/>
      <c r="BR871" s="113"/>
      <c r="BS871" s="113"/>
      <c r="BT871" s="113"/>
      <c r="BU871" s="113"/>
      <c r="BV871" s="113"/>
      <c r="BW871" s="113"/>
      <c r="BX871" s="113"/>
      <c r="BY871" s="113"/>
      <c r="BZ871" s="113"/>
      <c r="CA871" s="113"/>
      <c r="CB871" s="113"/>
      <c r="CC871" s="113"/>
      <c r="CD871" s="113"/>
      <c r="CE871" s="113"/>
      <c r="CF871" s="113"/>
      <c r="CG871" s="113"/>
      <c r="CH871" s="113"/>
      <c r="CI871" s="113"/>
      <c r="CJ871" s="113"/>
      <c r="CK871" s="113"/>
      <c r="CL871" s="113"/>
      <c r="CM871" s="113"/>
      <c r="CN871" s="113"/>
      <c r="CO871" s="113"/>
      <c r="CP871" s="113"/>
      <c r="CQ871" s="113"/>
      <c r="CR871" s="113"/>
      <c r="CS871" s="113"/>
      <c r="CT871" s="113"/>
      <c r="CU871" s="113"/>
    </row>
    <row r="872">
      <c r="A872" s="159"/>
      <c r="B872" s="113"/>
      <c r="C872" s="113"/>
      <c r="D872" s="158"/>
      <c r="E872" s="161"/>
      <c r="F872" s="160"/>
      <c r="G872" s="162"/>
      <c r="H872" s="159"/>
      <c r="I872" s="113"/>
      <c r="J872" s="113"/>
      <c r="K872" s="113"/>
      <c r="L872" s="158"/>
      <c r="M872" s="113"/>
      <c r="N872" s="113"/>
      <c r="O872" s="113"/>
      <c r="P872" s="113"/>
      <c r="Q872" s="113"/>
      <c r="R872" s="113"/>
      <c r="S872" s="113"/>
      <c r="T872" s="113"/>
      <c r="U872" s="113"/>
      <c r="V872" s="113"/>
      <c r="W872" s="113"/>
      <c r="X872" s="113"/>
      <c r="Y872" s="113"/>
      <c r="Z872" s="113"/>
      <c r="AA872" s="113"/>
      <c r="AB872" s="113"/>
      <c r="AC872" s="113"/>
      <c r="AD872" s="113"/>
      <c r="AE872" s="113"/>
      <c r="AF872" s="113"/>
      <c r="AG872" s="113"/>
      <c r="AH872" s="113"/>
      <c r="AI872" s="113"/>
      <c r="AJ872" s="113"/>
      <c r="AK872" s="113"/>
      <c r="AL872" s="113"/>
      <c r="AM872" s="113"/>
      <c r="AN872" s="113"/>
      <c r="AO872" s="113"/>
      <c r="AP872" s="113"/>
      <c r="AQ872" s="113"/>
      <c r="AR872" s="113"/>
      <c r="AS872" s="113"/>
      <c r="AT872" s="113"/>
      <c r="AU872" s="113"/>
      <c r="AV872" s="113"/>
      <c r="AW872" s="113"/>
      <c r="AX872" s="113"/>
      <c r="AY872" s="113"/>
      <c r="AZ872" s="113"/>
      <c r="BA872" s="113"/>
      <c r="BB872" s="113"/>
      <c r="BC872" s="113"/>
      <c r="BD872" s="113"/>
      <c r="BE872" s="113"/>
      <c r="BF872" s="113"/>
      <c r="BG872" s="113"/>
      <c r="BH872" s="113"/>
      <c r="BI872" s="113"/>
      <c r="BJ872" s="113"/>
      <c r="BK872" s="113"/>
      <c r="BL872" s="113"/>
      <c r="BM872" s="113"/>
      <c r="BN872" s="113"/>
      <c r="BO872" s="113"/>
      <c r="BP872" s="113"/>
      <c r="BQ872" s="113"/>
      <c r="BR872" s="113"/>
      <c r="BS872" s="113"/>
      <c r="BT872" s="113"/>
      <c r="BU872" s="113"/>
      <c r="BV872" s="113"/>
      <c r="BW872" s="113"/>
      <c r="BX872" s="113"/>
      <c r="BY872" s="113"/>
      <c r="BZ872" s="113"/>
      <c r="CA872" s="113"/>
      <c r="CB872" s="113"/>
      <c r="CC872" s="113"/>
      <c r="CD872" s="113"/>
      <c r="CE872" s="113"/>
      <c r="CF872" s="113"/>
      <c r="CG872" s="113"/>
      <c r="CH872" s="113"/>
      <c r="CI872" s="113"/>
      <c r="CJ872" s="113"/>
      <c r="CK872" s="113"/>
      <c r="CL872" s="113"/>
      <c r="CM872" s="113"/>
      <c r="CN872" s="113"/>
      <c r="CO872" s="113"/>
      <c r="CP872" s="113"/>
      <c r="CQ872" s="113"/>
      <c r="CR872" s="113"/>
      <c r="CS872" s="113"/>
      <c r="CT872" s="113"/>
      <c r="CU872" s="113"/>
    </row>
    <row r="873">
      <c r="A873" s="159"/>
      <c r="B873" s="113"/>
      <c r="C873" s="113"/>
      <c r="D873" s="158"/>
      <c r="E873" s="161"/>
      <c r="F873" s="160"/>
      <c r="G873" s="162"/>
      <c r="H873" s="159"/>
      <c r="I873" s="113"/>
      <c r="J873" s="113"/>
      <c r="K873" s="113"/>
      <c r="L873" s="158"/>
      <c r="M873" s="113"/>
      <c r="N873" s="113"/>
      <c r="O873" s="113"/>
      <c r="P873" s="113"/>
      <c r="Q873" s="113"/>
      <c r="R873" s="113"/>
      <c r="S873" s="113"/>
      <c r="T873" s="113"/>
      <c r="U873" s="113"/>
      <c r="V873" s="113"/>
      <c r="W873" s="113"/>
      <c r="X873" s="113"/>
      <c r="Y873" s="113"/>
      <c r="Z873" s="113"/>
      <c r="AA873" s="113"/>
      <c r="AB873" s="113"/>
      <c r="AC873" s="113"/>
      <c r="AD873" s="113"/>
      <c r="AE873" s="113"/>
      <c r="AF873" s="113"/>
      <c r="AG873" s="113"/>
      <c r="AH873" s="113"/>
      <c r="AI873" s="113"/>
      <c r="AJ873" s="113"/>
      <c r="AK873" s="113"/>
      <c r="AL873" s="113"/>
      <c r="AM873" s="113"/>
      <c r="AN873" s="113"/>
      <c r="AO873" s="113"/>
      <c r="AP873" s="113"/>
      <c r="AQ873" s="113"/>
      <c r="AR873" s="113"/>
      <c r="AS873" s="113"/>
      <c r="AT873" s="113"/>
      <c r="AU873" s="113"/>
      <c r="AV873" s="113"/>
      <c r="AW873" s="113"/>
      <c r="AX873" s="113"/>
      <c r="AY873" s="113"/>
      <c r="AZ873" s="113"/>
      <c r="BA873" s="113"/>
      <c r="BB873" s="113"/>
      <c r="BC873" s="113"/>
      <c r="BD873" s="113"/>
      <c r="BE873" s="113"/>
      <c r="BF873" s="113"/>
      <c r="BG873" s="113"/>
      <c r="BH873" s="113"/>
      <c r="BI873" s="113"/>
      <c r="BJ873" s="113"/>
      <c r="BK873" s="113"/>
      <c r="BL873" s="113"/>
      <c r="BM873" s="113"/>
      <c r="BN873" s="113"/>
      <c r="BO873" s="113"/>
      <c r="BP873" s="113"/>
      <c r="BQ873" s="113"/>
      <c r="BR873" s="113"/>
      <c r="BS873" s="113"/>
      <c r="BT873" s="113"/>
      <c r="BU873" s="113"/>
      <c r="BV873" s="113"/>
      <c r="BW873" s="113"/>
      <c r="BX873" s="113"/>
      <c r="BY873" s="113"/>
      <c r="BZ873" s="113"/>
      <c r="CA873" s="113"/>
      <c r="CB873" s="113"/>
      <c r="CC873" s="113"/>
      <c r="CD873" s="113"/>
      <c r="CE873" s="113"/>
      <c r="CF873" s="113"/>
      <c r="CG873" s="113"/>
      <c r="CH873" s="113"/>
      <c r="CI873" s="113"/>
      <c r="CJ873" s="113"/>
      <c r="CK873" s="113"/>
      <c r="CL873" s="113"/>
      <c r="CM873" s="113"/>
      <c r="CN873" s="113"/>
      <c r="CO873" s="113"/>
      <c r="CP873" s="113"/>
      <c r="CQ873" s="113"/>
      <c r="CR873" s="113"/>
      <c r="CS873" s="113"/>
      <c r="CT873" s="113"/>
      <c r="CU873" s="113"/>
    </row>
    <row r="874">
      <c r="A874" s="159"/>
      <c r="B874" s="113"/>
      <c r="C874" s="113"/>
      <c r="D874" s="158"/>
      <c r="E874" s="161"/>
      <c r="F874" s="160"/>
      <c r="G874" s="162"/>
      <c r="H874" s="159"/>
      <c r="I874" s="113"/>
      <c r="J874" s="113"/>
      <c r="K874" s="113"/>
      <c r="L874" s="158"/>
      <c r="M874" s="113"/>
      <c r="N874" s="113"/>
      <c r="O874" s="113"/>
      <c r="P874" s="113"/>
      <c r="Q874" s="113"/>
      <c r="R874" s="113"/>
      <c r="S874" s="113"/>
      <c r="T874" s="113"/>
      <c r="U874" s="113"/>
      <c r="V874" s="113"/>
      <c r="W874" s="113"/>
      <c r="X874" s="113"/>
      <c r="Y874" s="113"/>
      <c r="Z874" s="113"/>
      <c r="AA874" s="113"/>
      <c r="AB874" s="113"/>
      <c r="AC874" s="113"/>
      <c r="AD874" s="113"/>
      <c r="AE874" s="113"/>
      <c r="AF874" s="113"/>
      <c r="AG874" s="113"/>
      <c r="AH874" s="113"/>
      <c r="AI874" s="113"/>
      <c r="AJ874" s="113"/>
      <c r="AK874" s="113"/>
      <c r="AL874" s="113"/>
      <c r="AM874" s="113"/>
      <c r="AN874" s="113"/>
      <c r="AO874" s="113"/>
      <c r="AP874" s="113"/>
      <c r="AQ874" s="113"/>
      <c r="AR874" s="113"/>
      <c r="AS874" s="113"/>
      <c r="AT874" s="113"/>
      <c r="AU874" s="113"/>
      <c r="AV874" s="113"/>
      <c r="AW874" s="113"/>
      <c r="AX874" s="113"/>
      <c r="AY874" s="113"/>
      <c r="AZ874" s="113"/>
      <c r="BA874" s="113"/>
      <c r="BB874" s="113"/>
      <c r="BC874" s="113"/>
      <c r="BD874" s="113"/>
      <c r="BE874" s="113"/>
      <c r="BF874" s="113"/>
      <c r="BG874" s="113"/>
      <c r="BH874" s="113"/>
      <c r="BI874" s="113"/>
      <c r="BJ874" s="113"/>
      <c r="BK874" s="113"/>
      <c r="BL874" s="113"/>
      <c r="BM874" s="113"/>
      <c r="BN874" s="113"/>
      <c r="BO874" s="113"/>
      <c r="BP874" s="113"/>
      <c r="BQ874" s="113"/>
      <c r="BR874" s="113"/>
      <c r="BS874" s="113"/>
      <c r="BT874" s="113"/>
      <c r="BU874" s="113"/>
      <c r="BV874" s="113"/>
      <c r="BW874" s="113"/>
      <c r="BX874" s="113"/>
      <c r="BY874" s="113"/>
      <c r="BZ874" s="113"/>
      <c r="CA874" s="113"/>
      <c r="CB874" s="113"/>
      <c r="CC874" s="113"/>
      <c r="CD874" s="113"/>
      <c r="CE874" s="113"/>
      <c r="CF874" s="113"/>
      <c r="CG874" s="113"/>
      <c r="CH874" s="113"/>
      <c r="CI874" s="113"/>
      <c r="CJ874" s="113"/>
      <c r="CK874" s="113"/>
      <c r="CL874" s="113"/>
      <c r="CM874" s="113"/>
      <c r="CN874" s="113"/>
      <c r="CO874" s="113"/>
      <c r="CP874" s="113"/>
      <c r="CQ874" s="113"/>
      <c r="CR874" s="113"/>
      <c r="CS874" s="113"/>
      <c r="CT874" s="113"/>
      <c r="CU874" s="113"/>
    </row>
    <row r="875">
      <c r="A875" s="159"/>
      <c r="B875" s="113"/>
      <c r="C875" s="113"/>
      <c r="D875" s="158"/>
      <c r="E875" s="161"/>
      <c r="F875" s="160"/>
      <c r="G875" s="162"/>
      <c r="H875" s="159"/>
      <c r="I875" s="113"/>
      <c r="J875" s="113"/>
      <c r="K875" s="113"/>
      <c r="L875" s="158"/>
      <c r="M875" s="113"/>
      <c r="N875" s="113"/>
      <c r="O875" s="113"/>
      <c r="P875" s="113"/>
      <c r="Q875" s="113"/>
      <c r="R875" s="113"/>
      <c r="S875" s="113"/>
      <c r="T875" s="113"/>
      <c r="U875" s="113"/>
      <c r="V875" s="113"/>
      <c r="W875" s="113"/>
      <c r="X875" s="113"/>
      <c r="Y875" s="113"/>
      <c r="Z875" s="113"/>
      <c r="AA875" s="113"/>
      <c r="AB875" s="113"/>
      <c r="AC875" s="113"/>
      <c r="AD875" s="113"/>
      <c r="AE875" s="113"/>
      <c r="AF875" s="113"/>
      <c r="AG875" s="113"/>
      <c r="AH875" s="113"/>
      <c r="AI875" s="113"/>
      <c r="AJ875" s="113"/>
      <c r="AK875" s="113"/>
      <c r="AL875" s="113"/>
      <c r="AM875" s="113"/>
      <c r="AN875" s="113"/>
      <c r="AO875" s="113"/>
      <c r="AP875" s="113"/>
      <c r="AQ875" s="113"/>
      <c r="AR875" s="113"/>
      <c r="AS875" s="113"/>
      <c r="AT875" s="113"/>
      <c r="AU875" s="113"/>
      <c r="AV875" s="113"/>
      <c r="AW875" s="113"/>
      <c r="AX875" s="113"/>
      <c r="AY875" s="113"/>
      <c r="AZ875" s="113"/>
      <c r="BA875" s="113"/>
      <c r="BB875" s="113"/>
      <c r="BC875" s="113"/>
      <c r="BD875" s="113"/>
      <c r="BE875" s="113"/>
      <c r="BF875" s="113"/>
      <c r="BG875" s="113"/>
      <c r="BH875" s="113"/>
      <c r="BI875" s="113"/>
      <c r="BJ875" s="113"/>
      <c r="BK875" s="113"/>
      <c r="BL875" s="113"/>
      <c r="BM875" s="113"/>
      <c r="BN875" s="113"/>
      <c r="BO875" s="113"/>
      <c r="BP875" s="113"/>
      <c r="BQ875" s="113"/>
      <c r="BR875" s="113"/>
      <c r="BS875" s="113"/>
      <c r="BT875" s="113"/>
      <c r="BU875" s="113"/>
      <c r="BV875" s="113"/>
      <c r="BW875" s="113"/>
      <c r="BX875" s="113"/>
      <c r="BY875" s="113"/>
      <c r="BZ875" s="113"/>
      <c r="CA875" s="113"/>
      <c r="CB875" s="113"/>
      <c r="CC875" s="113"/>
      <c r="CD875" s="113"/>
      <c r="CE875" s="113"/>
      <c r="CF875" s="113"/>
      <c r="CG875" s="113"/>
      <c r="CH875" s="113"/>
      <c r="CI875" s="113"/>
      <c r="CJ875" s="113"/>
      <c r="CK875" s="113"/>
      <c r="CL875" s="113"/>
      <c r="CM875" s="113"/>
      <c r="CN875" s="113"/>
      <c r="CO875" s="113"/>
      <c r="CP875" s="113"/>
      <c r="CQ875" s="113"/>
      <c r="CR875" s="113"/>
      <c r="CS875" s="113"/>
      <c r="CT875" s="113"/>
      <c r="CU875" s="113"/>
    </row>
    <row r="876">
      <c r="A876" s="159"/>
      <c r="B876" s="113"/>
      <c r="C876" s="113"/>
      <c r="D876" s="158"/>
      <c r="E876" s="161"/>
      <c r="F876" s="160"/>
      <c r="G876" s="162"/>
      <c r="H876" s="159"/>
      <c r="I876" s="113"/>
      <c r="J876" s="113"/>
      <c r="K876" s="113"/>
      <c r="L876" s="158"/>
      <c r="M876" s="113"/>
      <c r="N876" s="113"/>
      <c r="O876" s="113"/>
      <c r="P876" s="113"/>
      <c r="Q876" s="113"/>
      <c r="R876" s="113"/>
      <c r="S876" s="113"/>
      <c r="T876" s="113"/>
      <c r="U876" s="113"/>
      <c r="V876" s="113"/>
      <c r="W876" s="113"/>
      <c r="X876" s="113"/>
      <c r="Y876" s="113"/>
      <c r="Z876" s="113"/>
      <c r="AA876" s="113"/>
      <c r="AB876" s="113"/>
      <c r="AC876" s="113"/>
      <c r="AD876" s="113"/>
      <c r="AE876" s="113"/>
      <c r="AF876" s="113"/>
      <c r="AG876" s="113"/>
      <c r="AH876" s="113"/>
      <c r="AI876" s="113"/>
      <c r="AJ876" s="113"/>
      <c r="AK876" s="113"/>
      <c r="AL876" s="113"/>
      <c r="AM876" s="113"/>
      <c r="AN876" s="113"/>
      <c r="AO876" s="113"/>
      <c r="AP876" s="113"/>
      <c r="AQ876" s="113"/>
      <c r="AR876" s="113"/>
      <c r="AS876" s="113"/>
      <c r="AT876" s="113"/>
      <c r="AU876" s="113"/>
      <c r="AV876" s="113"/>
      <c r="AW876" s="113"/>
      <c r="AX876" s="113"/>
      <c r="AY876" s="113"/>
      <c r="AZ876" s="113"/>
      <c r="BA876" s="113"/>
      <c r="BB876" s="113"/>
      <c r="BC876" s="113"/>
      <c r="BD876" s="113"/>
      <c r="BE876" s="113"/>
      <c r="BF876" s="113"/>
      <c r="BG876" s="113"/>
      <c r="BH876" s="113"/>
      <c r="BI876" s="113"/>
      <c r="BJ876" s="113"/>
      <c r="BK876" s="113"/>
      <c r="BL876" s="113"/>
      <c r="BM876" s="113"/>
      <c r="BN876" s="113"/>
      <c r="BO876" s="113"/>
      <c r="BP876" s="113"/>
      <c r="BQ876" s="113"/>
      <c r="BR876" s="113"/>
      <c r="BS876" s="113"/>
      <c r="BT876" s="113"/>
      <c r="BU876" s="113"/>
      <c r="BV876" s="113"/>
      <c r="BW876" s="113"/>
      <c r="BX876" s="113"/>
      <c r="BY876" s="113"/>
      <c r="BZ876" s="113"/>
      <c r="CA876" s="113"/>
      <c r="CB876" s="113"/>
      <c r="CC876" s="113"/>
      <c r="CD876" s="113"/>
      <c r="CE876" s="113"/>
      <c r="CF876" s="113"/>
      <c r="CG876" s="113"/>
      <c r="CH876" s="113"/>
      <c r="CI876" s="113"/>
      <c r="CJ876" s="113"/>
      <c r="CK876" s="113"/>
      <c r="CL876" s="113"/>
      <c r="CM876" s="113"/>
      <c r="CN876" s="113"/>
      <c r="CO876" s="113"/>
      <c r="CP876" s="113"/>
      <c r="CQ876" s="113"/>
      <c r="CR876" s="113"/>
      <c r="CS876" s="113"/>
      <c r="CT876" s="113"/>
      <c r="CU876" s="113"/>
    </row>
    <row r="877">
      <c r="A877" s="159"/>
      <c r="B877" s="113"/>
      <c r="C877" s="113"/>
      <c r="D877" s="158"/>
      <c r="E877" s="161"/>
      <c r="F877" s="160"/>
      <c r="G877" s="162"/>
      <c r="H877" s="159"/>
      <c r="I877" s="113"/>
      <c r="J877" s="113"/>
      <c r="K877" s="113"/>
      <c r="L877" s="158"/>
      <c r="M877" s="113"/>
      <c r="N877" s="113"/>
      <c r="O877" s="113"/>
      <c r="P877" s="113"/>
      <c r="Q877" s="113"/>
      <c r="R877" s="113"/>
      <c r="S877" s="113"/>
      <c r="T877" s="113"/>
      <c r="U877" s="113"/>
      <c r="V877" s="113"/>
      <c r="W877" s="113"/>
      <c r="X877" s="113"/>
      <c r="Y877" s="113"/>
      <c r="Z877" s="113"/>
      <c r="AA877" s="113"/>
      <c r="AB877" s="113"/>
      <c r="AC877" s="113"/>
      <c r="AD877" s="113"/>
      <c r="AE877" s="113"/>
      <c r="AF877" s="113"/>
      <c r="AG877" s="113"/>
      <c r="AH877" s="113"/>
      <c r="AI877" s="113"/>
      <c r="AJ877" s="113"/>
      <c r="AK877" s="113"/>
      <c r="AL877" s="113"/>
      <c r="AM877" s="113"/>
      <c r="AN877" s="113"/>
      <c r="AO877" s="113"/>
      <c r="AP877" s="113"/>
      <c r="AQ877" s="113"/>
      <c r="AR877" s="113"/>
      <c r="AS877" s="113"/>
      <c r="AT877" s="113"/>
      <c r="AU877" s="113"/>
      <c r="AV877" s="113"/>
      <c r="AW877" s="113"/>
      <c r="AX877" s="113"/>
      <c r="AY877" s="113"/>
      <c r="AZ877" s="113"/>
      <c r="BA877" s="113"/>
      <c r="BB877" s="113"/>
      <c r="BC877" s="113"/>
      <c r="BD877" s="113"/>
      <c r="BE877" s="113"/>
      <c r="BF877" s="113"/>
      <c r="BG877" s="113"/>
      <c r="BH877" s="113"/>
      <c r="BI877" s="113"/>
      <c r="BJ877" s="113"/>
      <c r="BK877" s="113"/>
      <c r="BL877" s="113"/>
      <c r="BM877" s="113"/>
      <c r="BN877" s="113"/>
      <c r="BO877" s="113"/>
      <c r="BP877" s="113"/>
      <c r="BQ877" s="113"/>
      <c r="BR877" s="113"/>
      <c r="BS877" s="113"/>
      <c r="BT877" s="113"/>
      <c r="BU877" s="113"/>
      <c r="BV877" s="113"/>
      <c r="BW877" s="113"/>
      <c r="BX877" s="113"/>
      <c r="BY877" s="113"/>
      <c r="BZ877" s="113"/>
      <c r="CA877" s="113"/>
      <c r="CB877" s="113"/>
      <c r="CC877" s="113"/>
      <c r="CD877" s="113"/>
      <c r="CE877" s="113"/>
      <c r="CF877" s="113"/>
      <c r="CG877" s="113"/>
      <c r="CH877" s="113"/>
      <c r="CI877" s="113"/>
      <c r="CJ877" s="113"/>
      <c r="CK877" s="113"/>
      <c r="CL877" s="113"/>
      <c r="CM877" s="113"/>
      <c r="CN877" s="113"/>
      <c r="CO877" s="113"/>
      <c r="CP877" s="113"/>
      <c r="CQ877" s="113"/>
      <c r="CR877" s="113"/>
      <c r="CS877" s="113"/>
      <c r="CT877" s="113"/>
      <c r="CU877" s="113"/>
    </row>
    <row r="878">
      <c r="A878" s="159"/>
      <c r="B878" s="113"/>
      <c r="C878" s="113"/>
      <c r="D878" s="158"/>
      <c r="E878" s="161"/>
      <c r="F878" s="160"/>
      <c r="G878" s="162"/>
      <c r="H878" s="159"/>
      <c r="I878" s="113"/>
      <c r="J878" s="113"/>
      <c r="K878" s="113"/>
      <c r="L878" s="158"/>
      <c r="M878" s="113"/>
      <c r="N878" s="113"/>
      <c r="O878" s="113"/>
      <c r="P878" s="113"/>
      <c r="Q878" s="113"/>
      <c r="R878" s="113"/>
      <c r="S878" s="113"/>
      <c r="T878" s="113"/>
      <c r="U878" s="113"/>
      <c r="V878" s="113"/>
      <c r="W878" s="113"/>
      <c r="X878" s="113"/>
      <c r="Y878" s="113"/>
      <c r="Z878" s="113"/>
      <c r="AA878" s="113"/>
      <c r="AB878" s="113"/>
      <c r="AC878" s="113"/>
      <c r="AD878" s="113"/>
      <c r="AE878" s="113"/>
      <c r="AF878" s="113"/>
      <c r="AG878" s="113"/>
      <c r="AH878" s="113"/>
      <c r="AI878" s="113"/>
      <c r="AJ878" s="113"/>
      <c r="AK878" s="113"/>
      <c r="AL878" s="113"/>
      <c r="AM878" s="113"/>
      <c r="AN878" s="113"/>
      <c r="AO878" s="113"/>
      <c r="AP878" s="113"/>
      <c r="AQ878" s="113"/>
      <c r="AR878" s="113"/>
      <c r="AS878" s="113"/>
      <c r="AT878" s="113"/>
      <c r="AU878" s="113"/>
      <c r="AV878" s="113"/>
      <c r="AW878" s="113"/>
      <c r="AX878" s="113"/>
      <c r="AY878" s="113"/>
      <c r="AZ878" s="113"/>
      <c r="BA878" s="113"/>
      <c r="BB878" s="113"/>
      <c r="BC878" s="113"/>
      <c r="BD878" s="113"/>
      <c r="BE878" s="113"/>
      <c r="BF878" s="113"/>
      <c r="BG878" s="113"/>
      <c r="BH878" s="113"/>
      <c r="BI878" s="113"/>
      <c r="BJ878" s="113"/>
      <c r="BK878" s="113"/>
      <c r="BL878" s="113"/>
      <c r="BM878" s="113"/>
      <c r="BN878" s="113"/>
      <c r="BO878" s="113"/>
      <c r="BP878" s="113"/>
      <c r="BQ878" s="113"/>
      <c r="BR878" s="113"/>
      <c r="BS878" s="113"/>
      <c r="BT878" s="113"/>
      <c r="BU878" s="113"/>
      <c r="BV878" s="113"/>
      <c r="BW878" s="113"/>
      <c r="BX878" s="113"/>
      <c r="BY878" s="113"/>
      <c r="BZ878" s="113"/>
      <c r="CA878" s="113"/>
      <c r="CB878" s="113"/>
      <c r="CC878" s="113"/>
      <c r="CD878" s="113"/>
      <c r="CE878" s="113"/>
      <c r="CF878" s="113"/>
      <c r="CG878" s="113"/>
      <c r="CH878" s="113"/>
      <c r="CI878" s="113"/>
      <c r="CJ878" s="113"/>
      <c r="CK878" s="113"/>
      <c r="CL878" s="113"/>
      <c r="CM878" s="113"/>
      <c r="CN878" s="113"/>
      <c r="CO878" s="113"/>
      <c r="CP878" s="113"/>
      <c r="CQ878" s="113"/>
      <c r="CR878" s="113"/>
      <c r="CS878" s="113"/>
      <c r="CT878" s="113"/>
      <c r="CU878" s="113"/>
    </row>
    <row r="879">
      <c r="A879" s="159"/>
      <c r="B879" s="113"/>
      <c r="C879" s="113"/>
      <c r="D879" s="158"/>
      <c r="E879" s="161"/>
      <c r="F879" s="160"/>
      <c r="G879" s="162"/>
      <c r="H879" s="159"/>
      <c r="I879" s="113"/>
      <c r="J879" s="113"/>
      <c r="K879" s="113"/>
      <c r="L879" s="158"/>
      <c r="M879" s="113"/>
      <c r="N879" s="113"/>
      <c r="O879" s="113"/>
      <c r="P879" s="113"/>
      <c r="Q879" s="113"/>
      <c r="R879" s="113"/>
      <c r="S879" s="113"/>
      <c r="T879" s="113"/>
      <c r="U879" s="113"/>
      <c r="V879" s="113"/>
      <c r="W879" s="113"/>
      <c r="X879" s="113"/>
      <c r="Y879" s="113"/>
      <c r="Z879" s="113"/>
      <c r="AA879" s="113"/>
      <c r="AB879" s="113"/>
      <c r="AC879" s="113"/>
      <c r="AD879" s="113"/>
      <c r="AE879" s="113"/>
      <c r="AF879" s="113"/>
      <c r="AG879" s="113"/>
      <c r="AH879" s="113"/>
      <c r="AI879" s="113"/>
      <c r="AJ879" s="113"/>
      <c r="AK879" s="113"/>
      <c r="AL879" s="113"/>
      <c r="AM879" s="113"/>
      <c r="AN879" s="113"/>
      <c r="AO879" s="113"/>
      <c r="AP879" s="113"/>
      <c r="AQ879" s="113"/>
      <c r="AR879" s="113"/>
      <c r="AS879" s="113"/>
      <c r="AT879" s="113"/>
      <c r="AU879" s="113"/>
      <c r="AV879" s="113"/>
      <c r="AW879" s="113"/>
      <c r="AX879" s="113"/>
      <c r="AY879" s="113"/>
      <c r="AZ879" s="113"/>
      <c r="BA879" s="113"/>
      <c r="BB879" s="113"/>
      <c r="BC879" s="113"/>
      <c r="BD879" s="113"/>
      <c r="BE879" s="113"/>
      <c r="BF879" s="113"/>
      <c r="BG879" s="113"/>
      <c r="BH879" s="113"/>
      <c r="BI879" s="113"/>
      <c r="BJ879" s="113"/>
      <c r="BK879" s="113"/>
      <c r="BL879" s="113"/>
      <c r="BM879" s="113"/>
      <c r="BN879" s="113"/>
      <c r="BO879" s="113"/>
      <c r="BP879" s="113"/>
      <c r="BQ879" s="113"/>
      <c r="BR879" s="113"/>
      <c r="BS879" s="113"/>
      <c r="BT879" s="113"/>
      <c r="BU879" s="113"/>
      <c r="BV879" s="113"/>
      <c r="BW879" s="113"/>
      <c r="BX879" s="113"/>
      <c r="BY879" s="113"/>
      <c r="BZ879" s="113"/>
      <c r="CA879" s="113"/>
      <c r="CB879" s="113"/>
      <c r="CC879" s="113"/>
      <c r="CD879" s="113"/>
      <c r="CE879" s="113"/>
      <c r="CF879" s="113"/>
      <c r="CG879" s="113"/>
      <c r="CH879" s="113"/>
      <c r="CI879" s="113"/>
      <c r="CJ879" s="113"/>
      <c r="CK879" s="113"/>
      <c r="CL879" s="113"/>
      <c r="CM879" s="113"/>
      <c r="CN879" s="113"/>
      <c r="CO879" s="113"/>
      <c r="CP879" s="113"/>
      <c r="CQ879" s="113"/>
      <c r="CR879" s="113"/>
      <c r="CS879" s="113"/>
      <c r="CT879" s="113"/>
      <c r="CU879" s="113"/>
    </row>
    <row r="880">
      <c r="A880" s="159"/>
      <c r="B880" s="113"/>
      <c r="C880" s="113"/>
      <c r="D880" s="158"/>
      <c r="E880" s="161"/>
      <c r="F880" s="160"/>
      <c r="G880" s="162"/>
      <c r="H880" s="159"/>
      <c r="I880" s="113"/>
      <c r="J880" s="113"/>
      <c r="K880" s="113"/>
      <c r="L880" s="158"/>
      <c r="M880" s="113"/>
      <c r="N880" s="113"/>
      <c r="O880" s="113"/>
      <c r="P880" s="113"/>
      <c r="Q880" s="113"/>
      <c r="R880" s="113"/>
      <c r="S880" s="113"/>
      <c r="T880" s="113"/>
      <c r="U880" s="113"/>
      <c r="V880" s="113"/>
      <c r="W880" s="113"/>
      <c r="X880" s="113"/>
      <c r="Y880" s="113"/>
      <c r="Z880" s="113"/>
      <c r="AA880" s="113"/>
      <c r="AB880" s="113"/>
      <c r="AC880" s="113"/>
      <c r="AD880" s="113"/>
      <c r="AE880" s="113"/>
      <c r="AF880" s="113"/>
      <c r="AG880" s="113"/>
      <c r="AH880" s="113"/>
      <c r="AI880" s="113"/>
      <c r="AJ880" s="113"/>
      <c r="AK880" s="113"/>
      <c r="AL880" s="113"/>
      <c r="AM880" s="113"/>
      <c r="AN880" s="113"/>
      <c r="AO880" s="113"/>
      <c r="AP880" s="113"/>
      <c r="AQ880" s="113"/>
      <c r="AR880" s="113"/>
      <c r="AS880" s="113"/>
      <c r="AT880" s="113"/>
      <c r="AU880" s="113"/>
      <c r="AV880" s="113"/>
      <c r="AW880" s="113"/>
      <c r="AX880" s="113"/>
      <c r="AY880" s="113"/>
      <c r="AZ880" s="113"/>
      <c r="BA880" s="113"/>
      <c r="BB880" s="113"/>
      <c r="BC880" s="113"/>
      <c r="BD880" s="113"/>
      <c r="BE880" s="113"/>
      <c r="BF880" s="113"/>
      <c r="BG880" s="113"/>
      <c r="BH880" s="113"/>
      <c r="BI880" s="113"/>
      <c r="BJ880" s="113"/>
      <c r="BK880" s="113"/>
      <c r="BL880" s="113"/>
      <c r="BM880" s="113"/>
      <c r="BN880" s="113"/>
      <c r="BO880" s="113"/>
      <c r="BP880" s="113"/>
      <c r="BQ880" s="113"/>
      <c r="BR880" s="113"/>
      <c r="BS880" s="113"/>
      <c r="BT880" s="113"/>
      <c r="BU880" s="113"/>
      <c r="BV880" s="113"/>
      <c r="BW880" s="113"/>
      <c r="BX880" s="113"/>
      <c r="BY880" s="113"/>
      <c r="BZ880" s="113"/>
      <c r="CA880" s="113"/>
      <c r="CB880" s="113"/>
      <c r="CC880" s="113"/>
      <c r="CD880" s="113"/>
      <c r="CE880" s="113"/>
      <c r="CF880" s="113"/>
      <c r="CG880" s="113"/>
      <c r="CH880" s="113"/>
      <c r="CI880" s="113"/>
      <c r="CJ880" s="113"/>
      <c r="CK880" s="113"/>
      <c r="CL880" s="113"/>
      <c r="CM880" s="113"/>
      <c r="CN880" s="113"/>
      <c r="CO880" s="113"/>
      <c r="CP880" s="113"/>
      <c r="CQ880" s="113"/>
      <c r="CR880" s="113"/>
      <c r="CS880" s="113"/>
      <c r="CT880" s="113"/>
      <c r="CU880" s="113"/>
    </row>
    <row r="881">
      <c r="A881" s="159"/>
      <c r="B881" s="113"/>
      <c r="C881" s="113"/>
      <c r="D881" s="158"/>
      <c r="E881" s="161"/>
      <c r="F881" s="160"/>
      <c r="G881" s="162"/>
      <c r="H881" s="159"/>
      <c r="I881" s="113"/>
      <c r="J881" s="113"/>
      <c r="K881" s="113"/>
      <c r="L881" s="158"/>
      <c r="M881" s="113"/>
      <c r="N881" s="113"/>
      <c r="O881" s="113"/>
      <c r="P881" s="113"/>
      <c r="Q881" s="113"/>
      <c r="R881" s="113"/>
      <c r="S881" s="113"/>
      <c r="T881" s="113"/>
      <c r="U881" s="113"/>
      <c r="V881" s="113"/>
      <c r="W881" s="113"/>
      <c r="X881" s="113"/>
      <c r="Y881" s="113"/>
      <c r="Z881" s="113"/>
      <c r="AA881" s="113"/>
      <c r="AB881" s="113"/>
      <c r="AC881" s="113"/>
      <c r="AD881" s="113"/>
      <c r="AE881" s="113"/>
      <c r="AF881" s="113"/>
      <c r="AG881" s="113"/>
      <c r="AH881" s="113"/>
      <c r="AI881" s="113"/>
      <c r="AJ881" s="113"/>
      <c r="AK881" s="113"/>
      <c r="AL881" s="113"/>
      <c r="AM881" s="113"/>
      <c r="AN881" s="113"/>
      <c r="AO881" s="113"/>
      <c r="AP881" s="113"/>
      <c r="AQ881" s="113"/>
      <c r="AR881" s="113"/>
      <c r="AS881" s="113"/>
      <c r="AT881" s="113"/>
      <c r="AU881" s="113"/>
      <c r="AV881" s="113"/>
      <c r="AW881" s="113"/>
      <c r="AX881" s="113"/>
      <c r="AY881" s="113"/>
      <c r="AZ881" s="113"/>
      <c r="BA881" s="113"/>
      <c r="BB881" s="113"/>
      <c r="BC881" s="113"/>
      <c r="BD881" s="113"/>
      <c r="BE881" s="113"/>
      <c r="BF881" s="113"/>
      <c r="BG881" s="113"/>
      <c r="BH881" s="113"/>
      <c r="BI881" s="113"/>
      <c r="BJ881" s="113"/>
      <c r="BK881" s="113"/>
      <c r="BL881" s="113"/>
      <c r="BM881" s="113"/>
      <c r="BN881" s="113"/>
      <c r="BO881" s="113"/>
      <c r="BP881" s="113"/>
      <c r="BQ881" s="113"/>
      <c r="BR881" s="113"/>
      <c r="BS881" s="113"/>
      <c r="BT881" s="113"/>
      <c r="BU881" s="113"/>
      <c r="BV881" s="113"/>
      <c r="BW881" s="113"/>
      <c r="BX881" s="113"/>
      <c r="BY881" s="113"/>
      <c r="BZ881" s="113"/>
      <c r="CA881" s="113"/>
      <c r="CB881" s="113"/>
      <c r="CC881" s="113"/>
      <c r="CD881" s="113"/>
      <c r="CE881" s="113"/>
      <c r="CF881" s="113"/>
      <c r="CG881" s="113"/>
      <c r="CH881" s="113"/>
      <c r="CI881" s="113"/>
      <c r="CJ881" s="113"/>
      <c r="CK881" s="113"/>
      <c r="CL881" s="113"/>
      <c r="CM881" s="113"/>
      <c r="CN881" s="113"/>
      <c r="CO881" s="113"/>
      <c r="CP881" s="113"/>
      <c r="CQ881" s="113"/>
      <c r="CR881" s="113"/>
      <c r="CS881" s="113"/>
      <c r="CT881" s="113"/>
      <c r="CU881" s="113"/>
    </row>
    <row r="882">
      <c r="A882" s="159"/>
      <c r="B882" s="113"/>
      <c r="C882" s="113"/>
      <c r="D882" s="158"/>
      <c r="E882" s="161"/>
      <c r="F882" s="160"/>
      <c r="G882" s="162"/>
      <c r="H882" s="159"/>
      <c r="I882" s="113"/>
      <c r="J882" s="113"/>
      <c r="K882" s="113"/>
      <c r="L882" s="158"/>
      <c r="M882" s="113"/>
      <c r="N882" s="113"/>
      <c r="O882" s="113"/>
      <c r="P882" s="113"/>
      <c r="Q882" s="113"/>
      <c r="R882" s="113"/>
      <c r="S882" s="113"/>
      <c r="T882" s="113"/>
      <c r="U882" s="113"/>
      <c r="V882" s="113"/>
      <c r="W882" s="113"/>
      <c r="X882" s="113"/>
      <c r="Y882" s="113"/>
      <c r="Z882" s="113"/>
      <c r="AA882" s="113"/>
      <c r="AB882" s="113"/>
      <c r="AC882" s="113"/>
      <c r="AD882" s="113"/>
      <c r="AE882" s="113"/>
      <c r="AF882" s="113"/>
      <c r="AG882" s="113"/>
      <c r="AH882" s="113"/>
      <c r="AI882" s="113"/>
      <c r="AJ882" s="113"/>
      <c r="AK882" s="113"/>
      <c r="AL882" s="113"/>
      <c r="AM882" s="113"/>
      <c r="AN882" s="113"/>
      <c r="AO882" s="113"/>
      <c r="AP882" s="113"/>
      <c r="AQ882" s="113"/>
      <c r="AR882" s="113"/>
      <c r="AS882" s="113"/>
      <c r="AT882" s="113"/>
      <c r="AU882" s="113"/>
      <c r="AV882" s="113"/>
      <c r="AW882" s="113"/>
      <c r="AX882" s="113"/>
      <c r="AY882" s="113"/>
      <c r="AZ882" s="113"/>
      <c r="BA882" s="113"/>
      <c r="BB882" s="113"/>
      <c r="BC882" s="113"/>
      <c r="BD882" s="113"/>
      <c r="BE882" s="113"/>
      <c r="BF882" s="113"/>
      <c r="BG882" s="113"/>
      <c r="BH882" s="113"/>
      <c r="BI882" s="113"/>
      <c r="BJ882" s="113"/>
      <c r="BK882" s="113"/>
      <c r="BL882" s="113"/>
      <c r="BM882" s="113"/>
      <c r="BN882" s="113"/>
      <c r="BO882" s="113"/>
      <c r="BP882" s="113"/>
      <c r="BQ882" s="113"/>
      <c r="BR882" s="113"/>
      <c r="BS882" s="113"/>
      <c r="BT882" s="113"/>
      <c r="BU882" s="113"/>
      <c r="BV882" s="113"/>
      <c r="BW882" s="113"/>
      <c r="BX882" s="113"/>
      <c r="BY882" s="113"/>
      <c r="BZ882" s="113"/>
      <c r="CA882" s="113"/>
      <c r="CB882" s="113"/>
      <c r="CC882" s="113"/>
      <c r="CD882" s="113"/>
      <c r="CE882" s="113"/>
      <c r="CF882" s="113"/>
      <c r="CG882" s="113"/>
      <c r="CH882" s="113"/>
      <c r="CI882" s="113"/>
      <c r="CJ882" s="113"/>
      <c r="CK882" s="113"/>
      <c r="CL882" s="113"/>
      <c r="CM882" s="113"/>
      <c r="CN882" s="113"/>
      <c r="CO882" s="113"/>
      <c r="CP882" s="113"/>
      <c r="CQ882" s="113"/>
      <c r="CR882" s="113"/>
      <c r="CS882" s="113"/>
      <c r="CT882" s="113"/>
      <c r="CU882" s="113"/>
    </row>
    <row r="883">
      <c r="A883" s="159"/>
      <c r="B883" s="113"/>
      <c r="C883" s="113"/>
      <c r="D883" s="158"/>
      <c r="E883" s="161"/>
      <c r="F883" s="160"/>
      <c r="G883" s="162"/>
      <c r="H883" s="159"/>
      <c r="I883" s="113"/>
      <c r="J883" s="113"/>
      <c r="K883" s="113"/>
      <c r="L883" s="158"/>
      <c r="M883" s="113"/>
      <c r="N883" s="113"/>
      <c r="O883" s="113"/>
      <c r="P883" s="113"/>
      <c r="Q883" s="113"/>
      <c r="R883" s="113"/>
      <c r="S883" s="113"/>
      <c r="T883" s="113"/>
      <c r="U883" s="113"/>
      <c r="V883" s="113"/>
      <c r="W883" s="113"/>
      <c r="X883" s="113"/>
      <c r="Y883" s="113"/>
      <c r="Z883" s="113"/>
      <c r="AA883" s="113"/>
      <c r="AB883" s="113"/>
      <c r="AC883" s="113"/>
      <c r="AD883" s="113"/>
      <c r="AE883" s="113"/>
      <c r="AF883" s="113"/>
      <c r="AG883" s="113"/>
      <c r="AH883" s="113"/>
      <c r="AI883" s="113"/>
      <c r="AJ883" s="113"/>
      <c r="AK883" s="113"/>
      <c r="AL883" s="113"/>
      <c r="AM883" s="113"/>
      <c r="AN883" s="113"/>
      <c r="AO883" s="113"/>
      <c r="AP883" s="113"/>
      <c r="AQ883" s="113"/>
      <c r="AR883" s="113"/>
      <c r="AS883" s="113"/>
      <c r="AT883" s="113"/>
      <c r="AU883" s="113"/>
      <c r="AV883" s="113"/>
      <c r="AW883" s="113"/>
      <c r="AX883" s="113"/>
      <c r="AY883" s="113"/>
      <c r="AZ883" s="113"/>
      <c r="BA883" s="113"/>
      <c r="BB883" s="113"/>
      <c r="BC883" s="113"/>
      <c r="BD883" s="113"/>
      <c r="BE883" s="113"/>
      <c r="BF883" s="113"/>
      <c r="BG883" s="113"/>
      <c r="BH883" s="113"/>
      <c r="BI883" s="113"/>
      <c r="BJ883" s="113"/>
      <c r="BK883" s="113"/>
      <c r="BL883" s="113"/>
      <c r="BM883" s="113"/>
      <c r="BN883" s="113"/>
      <c r="BO883" s="113"/>
      <c r="BP883" s="113"/>
      <c r="BQ883" s="113"/>
      <c r="BR883" s="113"/>
      <c r="BS883" s="113"/>
      <c r="BT883" s="113"/>
      <c r="BU883" s="113"/>
      <c r="BV883" s="113"/>
      <c r="BW883" s="113"/>
      <c r="BX883" s="113"/>
      <c r="BY883" s="113"/>
      <c r="BZ883" s="113"/>
      <c r="CA883" s="113"/>
      <c r="CB883" s="113"/>
      <c r="CC883" s="113"/>
      <c r="CD883" s="113"/>
      <c r="CE883" s="113"/>
      <c r="CF883" s="113"/>
      <c r="CG883" s="113"/>
      <c r="CH883" s="113"/>
      <c r="CI883" s="113"/>
      <c r="CJ883" s="113"/>
      <c r="CK883" s="113"/>
      <c r="CL883" s="113"/>
      <c r="CM883" s="113"/>
      <c r="CN883" s="113"/>
      <c r="CO883" s="113"/>
      <c r="CP883" s="113"/>
      <c r="CQ883" s="113"/>
      <c r="CR883" s="113"/>
      <c r="CS883" s="113"/>
      <c r="CT883" s="113"/>
      <c r="CU883" s="113"/>
    </row>
    <row r="884">
      <c r="A884" s="159"/>
      <c r="B884" s="113"/>
      <c r="C884" s="113"/>
      <c r="D884" s="158"/>
      <c r="E884" s="161"/>
      <c r="F884" s="160"/>
      <c r="G884" s="162"/>
      <c r="H884" s="159"/>
      <c r="I884" s="113"/>
      <c r="J884" s="113"/>
      <c r="K884" s="113"/>
      <c r="L884" s="158"/>
      <c r="M884" s="113"/>
      <c r="N884" s="113"/>
      <c r="O884" s="113"/>
      <c r="P884" s="113"/>
      <c r="Q884" s="113"/>
      <c r="R884" s="113"/>
      <c r="S884" s="113"/>
      <c r="T884" s="113"/>
      <c r="U884" s="113"/>
      <c r="V884" s="113"/>
      <c r="W884" s="113"/>
      <c r="X884" s="113"/>
      <c r="Y884" s="113"/>
      <c r="Z884" s="113"/>
      <c r="AA884" s="113"/>
      <c r="AB884" s="113"/>
      <c r="AC884" s="113"/>
      <c r="AD884" s="113"/>
      <c r="AE884" s="113"/>
      <c r="AF884" s="113"/>
      <c r="AG884" s="113"/>
      <c r="AH884" s="113"/>
      <c r="AI884" s="113"/>
      <c r="AJ884" s="113"/>
      <c r="AK884" s="113"/>
      <c r="AL884" s="113"/>
      <c r="AM884" s="113"/>
      <c r="AN884" s="113"/>
      <c r="AO884" s="113"/>
      <c r="AP884" s="113"/>
      <c r="AQ884" s="113"/>
      <c r="AR884" s="113"/>
      <c r="AS884" s="113"/>
      <c r="AT884" s="113"/>
      <c r="AU884" s="113"/>
      <c r="AV884" s="113"/>
      <c r="AW884" s="113"/>
      <c r="AX884" s="113"/>
      <c r="AY884" s="113"/>
      <c r="AZ884" s="113"/>
      <c r="BA884" s="113"/>
      <c r="BB884" s="113"/>
      <c r="BC884" s="113"/>
      <c r="BD884" s="113"/>
      <c r="BE884" s="113"/>
      <c r="BF884" s="113"/>
      <c r="BG884" s="113"/>
      <c r="BH884" s="113"/>
      <c r="BI884" s="113"/>
      <c r="BJ884" s="113"/>
      <c r="BK884" s="113"/>
      <c r="BL884" s="113"/>
      <c r="BM884" s="113"/>
      <c r="BN884" s="113"/>
      <c r="BO884" s="113"/>
      <c r="BP884" s="113"/>
      <c r="BQ884" s="113"/>
      <c r="BR884" s="113"/>
      <c r="BS884" s="113"/>
      <c r="BT884" s="113"/>
      <c r="BU884" s="113"/>
      <c r="BV884" s="113"/>
      <c r="BW884" s="113"/>
      <c r="BX884" s="113"/>
      <c r="BY884" s="113"/>
      <c r="BZ884" s="113"/>
      <c r="CA884" s="113"/>
      <c r="CB884" s="113"/>
      <c r="CC884" s="113"/>
      <c r="CD884" s="113"/>
      <c r="CE884" s="113"/>
      <c r="CF884" s="113"/>
      <c r="CG884" s="113"/>
      <c r="CH884" s="113"/>
      <c r="CI884" s="113"/>
      <c r="CJ884" s="113"/>
      <c r="CK884" s="113"/>
      <c r="CL884" s="113"/>
      <c r="CM884" s="113"/>
      <c r="CN884" s="113"/>
      <c r="CO884" s="113"/>
      <c r="CP884" s="113"/>
      <c r="CQ884" s="113"/>
      <c r="CR884" s="113"/>
      <c r="CS884" s="113"/>
      <c r="CT884" s="113"/>
      <c r="CU884" s="113"/>
    </row>
    <row r="885">
      <c r="A885" s="159"/>
      <c r="B885" s="113"/>
      <c r="C885" s="113"/>
      <c r="D885" s="158"/>
      <c r="E885" s="161"/>
      <c r="F885" s="160"/>
      <c r="G885" s="162"/>
      <c r="H885" s="159"/>
      <c r="I885" s="113"/>
      <c r="J885" s="113"/>
      <c r="K885" s="113"/>
      <c r="L885" s="158"/>
      <c r="M885" s="113"/>
      <c r="N885" s="113"/>
      <c r="O885" s="113"/>
      <c r="P885" s="113"/>
      <c r="Q885" s="113"/>
      <c r="R885" s="113"/>
      <c r="S885" s="113"/>
      <c r="T885" s="113"/>
      <c r="U885" s="113"/>
      <c r="V885" s="113"/>
      <c r="W885" s="113"/>
      <c r="X885" s="113"/>
      <c r="Y885" s="113"/>
      <c r="Z885" s="113"/>
      <c r="AA885" s="113"/>
      <c r="AB885" s="113"/>
      <c r="AC885" s="113"/>
      <c r="AD885" s="113"/>
      <c r="AE885" s="113"/>
      <c r="AF885" s="113"/>
      <c r="AG885" s="113"/>
      <c r="AH885" s="113"/>
      <c r="AI885" s="113"/>
      <c r="AJ885" s="113"/>
      <c r="AK885" s="113"/>
      <c r="AL885" s="113"/>
      <c r="AM885" s="113"/>
      <c r="AN885" s="113"/>
      <c r="AO885" s="113"/>
      <c r="AP885" s="113"/>
      <c r="AQ885" s="113"/>
      <c r="AR885" s="113"/>
      <c r="AS885" s="113"/>
      <c r="AT885" s="113"/>
      <c r="AU885" s="113"/>
      <c r="AV885" s="113"/>
      <c r="AW885" s="113"/>
      <c r="AX885" s="113"/>
      <c r="AY885" s="113"/>
      <c r="AZ885" s="113"/>
      <c r="BA885" s="113"/>
      <c r="BB885" s="113"/>
      <c r="BC885" s="113"/>
      <c r="BD885" s="113"/>
      <c r="BE885" s="113"/>
      <c r="BF885" s="113"/>
      <c r="BG885" s="113"/>
      <c r="BH885" s="113"/>
      <c r="BI885" s="113"/>
      <c r="BJ885" s="113"/>
      <c r="BK885" s="113"/>
      <c r="BL885" s="113"/>
      <c r="BM885" s="113"/>
      <c r="BN885" s="113"/>
      <c r="BO885" s="113"/>
      <c r="BP885" s="113"/>
      <c r="BQ885" s="113"/>
      <c r="BR885" s="113"/>
      <c r="BS885" s="113"/>
      <c r="BT885" s="113"/>
      <c r="BU885" s="113"/>
      <c r="BV885" s="113"/>
      <c r="BW885" s="113"/>
      <c r="BX885" s="113"/>
      <c r="BY885" s="113"/>
      <c r="BZ885" s="113"/>
      <c r="CA885" s="113"/>
      <c r="CB885" s="113"/>
      <c r="CC885" s="113"/>
      <c r="CD885" s="113"/>
      <c r="CE885" s="113"/>
      <c r="CF885" s="113"/>
      <c r="CG885" s="113"/>
      <c r="CH885" s="113"/>
      <c r="CI885" s="113"/>
      <c r="CJ885" s="113"/>
      <c r="CK885" s="113"/>
      <c r="CL885" s="113"/>
      <c r="CM885" s="113"/>
      <c r="CN885" s="113"/>
      <c r="CO885" s="113"/>
      <c r="CP885" s="113"/>
      <c r="CQ885" s="113"/>
      <c r="CR885" s="113"/>
      <c r="CS885" s="113"/>
      <c r="CT885" s="113"/>
      <c r="CU885" s="113"/>
    </row>
    <row r="886">
      <c r="A886" s="159"/>
      <c r="B886" s="113"/>
      <c r="C886" s="113"/>
      <c r="D886" s="158"/>
      <c r="E886" s="161"/>
      <c r="F886" s="160"/>
      <c r="G886" s="162"/>
      <c r="H886" s="159"/>
      <c r="I886" s="113"/>
      <c r="J886" s="113"/>
      <c r="K886" s="113"/>
      <c r="L886" s="158"/>
      <c r="M886" s="113"/>
      <c r="N886" s="113"/>
      <c r="O886" s="113"/>
      <c r="P886" s="113"/>
      <c r="Q886" s="113"/>
      <c r="R886" s="113"/>
      <c r="S886" s="113"/>
      <c r="T886" s="113"/>
      <c r="U886" s="113"/>
      <c r="V886" s="113"/>
      <c r="W886" s="113"/>
      <c r="X886" s="113"/>
      <c r="Y886" s="113"/>
      <c r="Z886" s="113"/>
      <c r="AA886" s="113"/>
      <c r="AB886" s="113"/>
      <c r="AC886" s="113"/>
      <c r="AD886" s="113"/>
      <c r="AE886" s="113"/>
      <c r="AF886" s="113"/>
      <c r="AG886" s="113"/>
      <c r="AH886" s="113"/>
      <c r="AI886" s="113"/>
      <c r="AJ886" s="113"/>
      <c r="AK886" s="113"/>
      <c r="AL886" s="113"/>
      <c r="AM886" s="113"/>
      <c r="AN886" s="113"/>
      <c r="AO886" s="113"/>
      <c r="AP886" s="113"/>
      <c r="AQ886" s="113"/>
      <c r="AR886" s="113"/>
      <c r="AS886" s="113"/>
      <c r="AT886" s="113"/>
      <c r="AU886" s="113"/>
      <c r="AV886" s="113"/>
      <c r="AW886" s="113"/>
      <c r="AX886" s="113"/>
      <c r="AY886" s="113"/>
      <c r="AZ886" s="113"/>
      <c r="BA886" s="113"/>
      <c r="BB886" s="113"/>
      <c r="BC886" s="113"/>
      <c r="BD886" s="113"/>
      <c r="BE886" s="113"/>
      <c r="BF886" s="113"/>
      <c r="BG886" s="113"/>
      <c r="BH886" s="113"/>
      <c r="BI886" s="113"/>
      <c r="BJ886" s="113"/>
      <c r="BK886" s="113"/>
      <c r="BL886" s="113"/>
      <c r="BM886" s="113"/>
      <c r="BN886" s="113"/>
      <c r="BO886" s="113"/>
      <c r="BP886" s="113"/>
      <c r="BQ886" s="113"/>
      <c r="BR886" s="113"/>
      <c r="BS886" s="113"/>
      <c r="BT886" s="113"/>
      <c r="BU886" s="113"/>
      <c r="BV886" s="113"/>
      <c r="BW886" s="113"/>
      <c r="BX886" s="113"/>
      <c r="BY886" s="113"/>
      <c r="BZ886" s="113"/>
      <c r="CA886" s="113"/>
      <c r="CB886" s="113"/>
      <c r="CC886" s="113"/>
      <c r="CD886" s="113"/>
      <c r="CE886" s="113"/>
      <c r="CF886" s="113"/>
      <c r="CG886" s="113"/>
      <c r="CH886" s="113"/>
      <c r="CI886" s="113"/>
      <c r="CJ886" s="113"/>
      <c r="CK886" s="113"/>
      <c r="CL886" s="113"/>
      <c r="CM886" s="113"/>
      <c r="CN886" s="113"/>
      <c r="CO886" s="113"/>
      <c r="CP886" s="113"/>
      <c r="CQ886" s="113"/>
      <c r="CR886" s="113"/>
      <c r="CS886" s="113"/>
      <c r="CT886" s="113"/>
      <c r="CU886" s="113"/>
    </row>
    <row r="887">
      <c r="A887" s="159"/>
      <c r="B887" s="113"/>
      <c r="C887" s="113"/>
      <c r="D887" s="158"/>
      <c r="E887" s="161"/>
      <c r="F887" s="160"/>
      <c r="G887" s="162"/>
      <c r="H887" s="159"/>
      <c r="I887" s="113"/>
      <c r="J887" s="113"/>
      <c r="K887" s="113"/>
      <c r="L887" s="158"/>
      <c r="M887" s="113"/>
      <c r="N887" s="113"/>
      <c r="O887" s="113"/>
      <c r="P887" s="113"/>
      <c r="Q887" s="113"/>
      <c r="R887" s="113"/>
      <c r="S887" s="113"/>
      <c r="T887" s="113"/>
      <c r="U887" s="113"/>
      <c r="V887" s="113"/>
      <c r="W887" s="113"/>
      <c r="X887" s="113"/>
      <c r="Y887" s="113"/>
      <c r="Z887" s="113"/>
      <c r="AA887" s="113"/>
      <c r="AB887" s="113"/>
      <c r="AC887" s="113"/>
      <c r="AD887" s="113"/>
      <c r="AE887" s="113"/>
      <c r="AF887" s="113"/>
      <c r="AG887" s="113"/>
      <c r="AH887" s="113"/>
      <c r="AI887" s="113"/>
      <c r="AJ887" s="113"/>
      <c r="AK887" s="113"/>
      <c r="AL887" s="113"/>
      <c r="AM887" s="113"/>
      <c r="AN887" s="113"/>
      <c r="AO887" s="113"/>
      <c r="AP887" s="113"/>
      <c r="AQ887" s="113"/>
      <c r="AR887" s="113"/>
      <c r="AS887" s="113"/>
      <c r="AT887" s="113"/>
      <c r="AU887" s="113"/>
      <c r="AV887" s="113"/>
      <c r="AW887" s="113"/>
      <c r="AX887" s="113"/>
      <c r="AY887" s="113"/>
      <c r="AZ887" s="113"/>
      <c r="BA887" s="113"/>
      <c r="BB887" s="113"/>
      <c r="BC887" s="113"/>
      <c r="BD887" s="113"/>
      <c r="BE887" s="113"/>
      <c r="BF887" s="113"/>
      <c r="BG887" s="113"/>
      <c r="BH887" s="113"/>
      <c r="BI887" s="113"/>
      <c r="BJ887" s="113"/>
      <c r="BK887" s="113"/>
      <c r="BL887" s="113"/>
      <c r="BM887" s="113"/>
      <c r="BN887" s="113"/>
      <c r="BO887" s="113"/>
      <c r="BP887" s="113"/>
      <c r="BQ887" s="113"/>
      <c r="BR887" s="113"/>
      <c r="BS887" s="113"/>
      <c r="BT887" s="113"/>
      <c r="BU887" s="113"/>
      <c r="BV887" s="113"/>
      <c r="BW887" s="113"/>
      <c r="BX887" s="113"/>
      <c r="BY887" s="113"/>
      <c r="BZ887" s="113"/>
      <c r="CA887" s="113"/>
      <c r="CB887" s="113"/>
      <c r="CC887" s="113"/>
      <c r="CD887" s="113"/>
      <c r="CE887" s="113"/>
      <c r="CF887" s="113"/>
      <c r="CG887" s="113"/>
      <c r="CH887" s="113"/>
      <c r="CI887" s="113"/>
      <c r="CJ887" s="113"/>
      <c r="CK887" s="113"/>
      <c r="CL887" s="113"/>
      <c r="CM887" s="113"/>
      <c r="CN887" s="113"/>
      <c r="CO887" s="113"/>
      <c r="CP887" s="113"/>
      <c r="CQ887" s="113"/>
      <c r="CR887" s="113"/>
      <c r="CS887" s="113"/>
      <c r="CT887" s="113"/>
      <c r="CU887" s="113"/>
    </row>
    <row r="888">
      <c r="A888" s="159"/>
      <c r="B888" s="113"/>
      <c r="C888" s="113"/>
      <c r="D888" s="158"/>
      <c r="E888" s="161"/>
      <c r="F888" s="160"/>
      <c r="G888" s="162"/>
      <c r="H888" s="159"/>
      <c r="I888" s="113"/>
      <c r="J888" s="113"/>
      <c r="K888" s="113"/>
      <c r="L888" s="158"/>
      <c r="M888" s="113"/>
      <c r="N888" s="113"/>
      <c r="O888" s="113"/>
      <c r="P888" s="113"/>
      <c r="Q888" s="113"/>
      <c r="R888" s="113"/>
      <c r="S888" s="113"/>
      <c r="T888" s="113"/>
      <c r="U888" s="113"/>
      <c r="V888" s="113"/>
      <c r="W888" s="113"/>
      <c r="X888" s="113"/>
      <c r="Y888" s="113"/>
      <c r="Z888" s="113"/>
      <c r="AA888" s="113"/>
      <c r="AB888" s="113"/>
      <c r="AC888" s="113"/>
      <c r="AD888" s="113"/>
      <c r="AE888" s="113"/>
      <c r="AF888" s="113"/>
      <c r="AG888" s="113"/>
      <c r="AH888" s="113"/>
      <c r="AI888" s="113"/>
      <c r="AJ888" s="113"/>
      <c r="AK888" s="113"/>
      <c r="AL888" s="113"/>
      <c r="AM888" s="113"/>
      <c r="AN888" s="113"/>
      <c r="AO888" s="113"/>
      <c r="AP888" s="113"/>
      <c r="AQ888" s="113"/>
      <c r="AR888" s="113"/>
      <c r="AS888" s="113"/>
      <c r="AT888" s="113"/>
      <c r="AU888" s="113"/>
      <c r="AV888" s="113"/>
      <c r="AW888" s="113"/>
      <c r="AX888" s="113"/>
      <c r="AY888" s="113"/>
      <c r="AZ888" s="113"/>
      <c r="BA888" s="113"/>
      <c r="BB888" s="113"/>
      <c r="BC888" s="113"/>
      <c r="BD888" s="113"/>
      <c r="BE888" s="113"/>
      <c r="BF888" s="113"/>
      <c r="BG888" s="113"/>
      <c r="BH888" s="113"/>
      <c r="BI888" s="113"/>
      <c r="BJ888" s="113"/>
      <c r="BK888" s="113"/>
      <c r="BL888" s="113"/>
      <c r="BM888" s="113"/>
      <c r="BN888" s="113"/>
      <c r="BO888" s="113"/>
      <c r="BP888" s="113"/>
      <c r="BQ888" s="113"/>
      <c r="BR888" s="113"/>
      <c r="BS888" s="113"/>
      <c r="BT888" s="113"/>
      <c r="BU888" s="113"/>
      <c r="BV888" s="113"/>
      <c r="BW888" s="113"/>
      <c r="BX888" s="113"/>
      <c r="BY888" s="113"/>
      <c r="BZ888" s="113"/>
      <c r="CA888" s="113"/>
      <c r="CB888" s="113"/>
      <c r="CC888" s="113"/>
      <c r="CD888" s="113"/>
      <c r="CE888" s="113"/>
      <c r="CF888" s="113"/>
      <c r="CG888" s="113"/>
      <c r="CH888" s="113"/>
      <c r="CI888" s="113"/>
      <c r="CJ888" s="113"/>
      <c r="CK888" s="113"/>
      <c r="CL888" s="113"/>
      <c r="CM888" s="113"/>
      <c r="CN888" s="113"/>
      <c r="CO888" s="113"/>
      <c r="CP888" s="113"/>
      <c r="CQ888" s="113"/>
      <c r="CR888" s="113"/>
      <c r="CS888" s="113"/>
      <c r="CT888" s="113"/>
      <c r="CU888" s="113"/>
    </row>
    <row r="889">
      <c r="A889" s="159"/>
      <c r="B889" s="113"/>
      <c r="C889" s="113"/>
      <c r="D889" s="158"/>
      <c r="E889" s="161"/>
      <c r="F889" s="160"/>
      <c r="G889" s="162"/>
      <c r="H889" s="159"/>
      <c r="I889" s="113"/>
      <c r="J889" s="113"/>
      <c r="K889" s="113"/>
      <c r="L889" s="158"/>
      <c r="M889" s="113"/>
      <c r="N889" s="113"/>
      <c r="O889" s="113"/>
      <c r="P889" s="113"/>
      <c r="Q889" s="113"/>
      <c r="R889" s="113"/>
      <c r="S889" s="113"/>
      <c r="T889" s="113"/>
      <c r="U889" s="113"/>
      <c r="V889" s="113"/>
      <c r="W889" s="113"/>
      <c r="X889" s="113"/>
      <c r="Y889" s="113"/>
      <c r="Z889" s="113"/>
      <c r="AA889" s="113"/>
      <c r="AB889" s="113"/>
      <c r="AC889" s="113"/>
      <c r="AD889" s="113"/>
      <c r="AE889" s="113"/>
      <c r="AF889" s="113"/>
      <c r="AG889" s="113"/>
      <c r="AH889" s="113"/>
      <c r="AI889" s="113"/>
      <c r="AJ889" s="113"/>
      <c r="AK889" s="113"/>
      <c r="AL889" s="113"/>
      <c r="AM889" s="113"/>
      <c r="AN889" s="113"/>
      <c r="AO889" s="113"/>
      <c r="AP889" s="113"/>
      <c r="AQ889" s="113"/>
      <c r="AR889" s="113"/>
      <c r="AS889" s="113"/>
      <c r="AT889" s="113"/>
      <c r="AU889" s="113"/>
      <c r="AV889" s="113"/>
      <c r="AW889" s="113"/>
      <c r="AX889" s="113"/>
      <c r="AY889" s="113"/>
      <c r="AZ889" s="113"/>
      <c r="BA889" s="113"/>
      <c r="BB889" s="113"/>
      <c r="BC889" s="113"/>
      <c r="BD889" s="113"/>
      <c r="BE889" s="113"/>
      <c r="BF889" s="113"/>
      <c r="BG889" s="113"/>
      <c r="BH889" s="113"/>
      <c r="BI889" s="113"/>
      <c r="BJ889" s="113"/>
      <c r="BK889" s="113"/>
      <c r="BL889" s="113"/>
      <c r="BM889" s="113"/>
      <c r="BN889" s="113"/>
      <c r="BO889" s="113"/>
      <c r="BP889" s="113"/>
      <c r="BQ889" s="113"/>
      <c r="BR889" s="113"/>
      <c r="BS889" s="113"/>
      <c r="BT889" s="113"/>
      <c r="BU889" s="113"/>
      <c r="BV889" s="113"/>
      <c r="BW889" s="113"/>
      <c r="BX889" s="113"/>
      <c r="BY889" s="113"/>
      <c r="BZ889" s="113"/>
      <c r="CA889" s="113"/>
      <c r="CB889" s="113"/>
      <c r="CC889" s="113"/>
      <c r="CD889" s="113"/>
      <c r="CE889" s="113"/>
      <c r="CF889" s="113"/>
      <c r="CG889" s="113"/>
      <c r="CH889" s="113"/>
      <c r="CI889" s="113"/>
      <c r="CJ889" s="113"/>
      <c r="CK889" s="113"/>
      <c r="CL889" s="113"/>
      <c r="CM889" s="113"/>
      <c r="CN889" s="113"/>
      <c r="CO889" s="113"/>
      <c r="CP889" s="113"/>
      <c r="CQ889" s="113"/>
      <c r="CR889" s="113"/>
      <c r="CS889" s="113"/>
      <c r="CT889" s="113"/>
      <c r="CU889" s="113"/>
    </row>
    <row r="890">
      <c r="A890" s="159"/>
      <c r="B890" s="113"/>
      <c r="C890" s="113"/>
      <c r="D890" s="158"/>
      <c r="E890" s="161"/>
      <c r="F890" s="160"/>
      <c r="G890" s="162"/>
      <c r="H890" s="159"/>
      <c r="I890" s="113"/>
      <c r="J890" s="113"/>
      <c r="K890" s="113"/>
      <c r="L890" s="158"/>
      <c r="M890" s="113"/>
      <c r="N890" s="113"/>
      <c r="O890" s="113"/>
      <c r="P890" s="113"/>
      <c r="Q890" s="113"/>
      <c r="R890" s="113"/>
      <c r="S890" s="113"/>
      <c r="T890" s="113"/>
      <c r="U890" s="113"/>
      <c r="V890" s="113"/>
      <c r="W890" s="113"/>
      <c r="X890" s="113"/>
      <c r="Y890" s="113"/>
      <c r="Z890" s="113"/>
      <c r="AA890" s="113"/>
      <c r="AB890" s="113"/>
      <c r="AC890" s="113"/>
      <c r="AD890" s="113"/>
      <c r="AE890" s="113"/>
      <c r="AF890" s="113"/>
      <c r="AG890" s="113"/>
      <c r="AH890" s="113"/>
      <c r="AI890" s="113"/>
      <c r="AJ890" s="113"/>
      <c r="AK890" s="113"/>
      <c r="AL890" s="113"/>
      <c r="AM890" s="113"/>
      <c r="AN890" s="113"/>
      <c r="AO890" s="113"/>
      <c r="AP890" s="113"/>
      <c r="AQ890" s="113"/>
      <c r="AR890" s="113"/>
      <c r="AS890" s="113"/>
      <c r="AT890" s="113"/>
      <c r="AU890" s="113"/>
      <c r="AV890" s="113"/>
      <c r="AW890" s="113"/>
      <c r="AX890" s="113"/>
      <c r="AY890" s="113"/>
      <c r="AZ890" s="113"/>
      <c r="BA890" s="113"/>
      <c r="BB890" s="113"/>
      <c r="BC890" s="113"/>
      <c r="BD890" s="113"/>
      <c r="BE890" s="113"/>
      <c r="BF890" s="113"/>
      <c r="BG890" s="113"/>
      <c r="BH890" s="113"/>
      <c r="BI890" s="113"/>
      <c r="BJ890" s="113"/>
      <c r="BK890" s="113"/>
      <c r="BL890" s="113"/>
      <c r="BM890" s="113"/>
      <c r="BN890" s="113"/>
      <c r="BO890" s="113"/>
      <c r="BP890" s="113"/>
      <c r="BQ890" s="113"/>
      <c r="BR890" s="113"/>
      <c r="BS890" s="113"/>
      <c r="BT890" s="113"/>
      <c r="BU890" s="113"/>
      <c r="BV890" s="113"/>
      <c r="BW890" s="113"/>
      <c r="BX890" s="113"/>
      <c r="BY890" s="113"/>
      <c r="BZ890" s="113"/>
      <c r="CA890" s="113"/>
      <c r="CB890" s="113"/>
      <c r="CC890" s="113"/>
      <c r="CD890" s="113"/>
      <c r="CE890" s="113"/>
      <c r="CF890" s="113"/>
      <c r="CG890" s="113"/>
      <c r="CH890" s="113"/>
      <c r="CI890" s="113"/>
      <c r="CJ890" s="113"/>
      <c r="CK890" s="113"/>
      <c r="CL890" s="113"/>
      <c r="CM890" s="113"/>
      <c r="CN890" s="113"/>
      <c r="CO890" s="113"/>
      <c r="CP890" s="113"/>
      <c r="CQ890" s="113"/>
      <c r="CR890" s="113"/>
      <c r="CS890" s="113"/>
      <c r="CT890" s="113"/>
      <c r="CU890" s="113"/>
    </row>
    <row r="891">
      <c r="A891" s="159"/>
      <c r="B891" s="113"/>
      <c r="C891" s="113"/>
      <c r="D891" s="158"/>
      <c r="E891" s="161"/>
      <c r="F891" s="160"/>
      <c r="G891" s="162"/>
      <c r="H891" s="159"/>
      <c r="I891" s="113"/>
      <c r="J891" s="113"/>
      <c r="K891" s="113"/>
      <c r="L891" s="158"/>
      <c r="M891" s="113"/>
      <c r="N891" s="113"/>
      <c r="O891" s="113"/>
      <c r="P891" s="113"/>
      <c r="Q891" s="113"/>
      <c r="R891" s="113"/>
      <c r="S891" s="113"/>
      <c r="T891" s="113"/>
      <c r="U891" s="113"/>
      <c r="V891" s="113"/>
      <c r="W891" s="113"/>
      <c r="X891" s="113"/>
      <c r="Y891" s="113"/>
      <c r="Z891" s="113"/>
      <c r="AA891" s="113"/>
      <c r="AB891" s="113"/>
      <c r="AC891" s="113"/>
      <c r="AD891" s="113"/>
      <c r="AE891" s="113"/>
      <c r="AF891" s="113"/>
      <c r="AG891" s="113"/>
      <c r="AH891" s="113"/>
      <c r="AI891" s="113"/>
      <c r="AJ891" s="113"/>
      <c r="AK891" s="113"/>
      <c r="AL891" s="113"/>
      <c r="AM891" s="113"/>
      <c r="AN891" s="113"/>
      <c r="AO891" s="113"/>
      <c r="AP891" s="113"/>
      <c r="AQ891" s="113"/>
      <c r="AR891" s="113"/>
      <c r="AS891" s="113"/>
      <c r="AT891" s="113"/>
      <c r="AU891" s="113"/>
      <c r="AV891" s="113"/>
      <c r="AW891" s="113"/>
      <c r="AX891" s="113"/>
      <c r="AY891" s="113"/>
      <c r="AZ891" s="113"/>
      <c r="BA891" s="113"/>
      <c r="BB891" s="113"/>
      <c r="BC891" s="113"/>
      <c r="BD891" s="113"/>
      <c r="BE891" s="113"/>
      <c r="BF891" s="113"/>
      <c r="BG891" s="113"/>
      <c r="BH891" s="113"/>
      <c r="BI891" s="113"/>
      <c r="BJ891" s="113"/>
      <c r="BK891" s="113"/>
      <c r="BL891" s="113"/>
      <c r="BM891" s="113"/>
      <c r="BN891" s="113"/>
      <c r="BO891" s="113"/>
      <c r="BP891" s="113"/>
      <c r="BQ891" s="113"/>
      <c r="BR891" s="113"/>
      <c r="BS891" s="113"/>
      <c r="BT891" s="113"/>
      <c r="BU891" s="113"/>
      <c r="BV891" s="113"/>
      <c r="BW891" s="113"/>
      <c r="BX891" s="113"/>
      <c r="BY891" s="113"/>
      <c r="BZ891" s="113"/>
      <c r="CA891" s="113"/>
      <c r="CB891" s="113"/>
      <c r="CC891" s="113"/>
      <c r="CD891" s="113"/>
      <c r="CE891" s="113"/>
      <c r="CF891" s="113"/>
      <c r="CG891" s="113"/>
      <c r="CH891" s="113"/>
      <c r="CI891" s="113"/>
      <c r="CJ891" s="113"/>
      <c r="CK891" s="113"/>
      <c r="CL891" s="113"/>
      <c r="CM891" s="113"/>
      <c r="CN891" s="113"/>
      <c r="CO891" s="113"/>
      <c r="CP891" s="113"/>
      <c r="CQ891" s="113"/>
      <c r="CR891" s="113"/>
      <c r="CS891" s="113"/>
      <c r="CT891" s="113"/>
      <c r="CU891" s="113"/>
    </row>
    <row r="892">
      <c r="A892" s="159"/>
      <c r="B892" s="113"/>
      <c r="C892" s="113"/>
      <c r="D892" s="158"/>
      <c r="E892" s="161"/>
      <c r="F892" s="160"/>
      <c r="G892" s="162"/>
      <c r="H892" s="159"/>
      <c r="I892" s="113"/>
      <c r="J892" s="113"/>
      <c r="K892" s="113"/>
      <c r="L892" s="158"/>
      <c r="M892" s="113"/>
      <c r="N892" s="113"/>
      <c r="O892" s="113"/>
      <c r="P892" s="113"/>
      <c r="Q892" s="113"/>
      <c r="R892" s="113"/>
      <c r="S892" s="113"/>
      <c r="T892" s="113"/>
      <c r="U892" s="113"/>
      <c r="V892" s="113"/>
      <c r="W892" s="113"/>
      <c r="X892" s="113"/>
      <c r="Y892" s="113"/>
      <c r="Z892" s="113"/>
      <c r="AA892" s="113"/>
      <c r="AB892" s="113"/>
      <c r="AC892" s="113"/>
      <c r="AD892" s="113"/>
      <c r="AE892" s="113"/>
      <c r="AF892" s="113"/>
      <c r="AG892" s="113"/>
      <c r="AH892" s="113"/>
      <c r="AI892" s="113"/>
      <c r="AJ892" s="113"/>
      <c r="AK892" s="113"/>
      <c r="AL892" s="113"/>
      <c r="AM892" s="113"/>
      <c r="AN892" s="113"/>
      <c r="AO892" s="113"/>
      <c r="AP892" s="113"/>
      <c r="AQ892" s="113"/>
      <c r="AR892" s="113"/>
      <c r="AS892" s="113"/>
      <c r="AT892" s="113"/>
      <c r="AU892" s="113"/>
      <c r="AV892" s="113"/>
      <c r="AW892" s="113"/>
      <c r="AX892" s="113"/>
      <c r="AY892" s="113"/>
      <c r="AZ892" s="113"/>
      <c r="BA892" s="113"/>
      <c r="BB892" s="113"/>
      <c r="BC892" s="113"/>
      <c r="BD892" s="113"/>
      <c r="BE892" s="113"/>
      <c r="BF892" s="113"/>
      <c r="BG892" s="113"/>
      <c r="BH892" s="113"/>
      <c r="BI892" s="113"/>
      <c r="BJ892" s="113"/>
      <c r="BK892" s="113"/>
      <c r="BL892" s="113"/>
      <c r="BM892" s="113"/>
      <c r="BN892" s="113"/>
      <c r="BO892" s="113"/>
      <c r="BP892" s="113"/>
      <c r="BQ892" s="113"/>
      <c r="BR892" s="113"/>
      <c r="BS892" s="113"/>
      <c r="BT892" s="113"/>
      <c r="BU892" s="113"/>
      <c r="BV892" s="113"/>
      <c r="BW892" s="113"/>
      <c r="BX892" s="113"/>
      <c r="BY892" s="113"/>
      <c r="BZ892" s="113"/>
      <c r="CA892" s="113"/>
      <c r="CB892" s="113"/>
      <c r="CC892" s="113"/>
      <c r="CD892" s="113"/>
      <c r="CE892" s="113"/>
      <c r="CF892" s="113"/>
      <c r="CG892" s="113"/>
      <c r="CH892" s="113"/>
      <c r="CI892" s="113"/>
      <c r="CJ892" s="113"/>
      <c r="CK892" s="113"/>
      <c r="CL892" s="113"/>
      <c r="CM892" s="113"/>
      <c r="CN892" s="113"/>
      <c r="CO892" s="113"/>
      <c r="CP892" s="113"/>
      <c r="CQ892" s="113"/>
      <c r="CR892" s="113"/>
      <c r="CS892" s="113"/>
      <c r="CT892" s="113"/>
      <c r="CU892" s="113"/>
    </row>
    <row r="893">
      <c r="A893" s="159"/>
      <c r="B893" s="113"/>
      <c r="C893" s="113"/>
      <c r="D893" s="158"/>
      <c r="E893" s="161"/>
      <c r="F893" s="160"/>
      <c r="G893" s="162"/>
      <c r="H893" s="159"/>
      <c r="I893" s="113"/>
      <c r="J893" s="113"/>
      <c r="K893" s="113"/>
      <c r="L893" s="158"/>
      <c r="M893" s="113"/>
      <c r="N893" s="113"/>
      <c r="O893" s="113"/>
      <c r="P893" s="113"/>
      <c r="Q893" s="113"/>
      <c r="R893" s="113"/>
      <c r="S893" s="113"/>
      <c r="T893" s="113"/>
      <c r="U893" s="113"/>
      <c r="V893" s="113"/>
      <c r="W893" s="113"/>
      <c r="X893" s="113"/>
      <c r="Y893" s="113"/>
      <c r="Z893" s="113"/>
      <c r="AA893" s="113"/>
      <c r="AB893" s="113"/>
      <c r="AC893" s="113"/>
      <c r="AD893" s="113"/>
      <c r="AE893" s="113"/>
      <c r="AF893" s="113"/>
      <c r="AG893" s="113"/>
      <c r="AH893" s="113"/>
      <c r="AI893" s="113"/>
      <c r="AJ893" s="113"/>
      <c r="AK893" s="113"/>
      <c r="AL893" s="113"/>
      <c r="AM893" s="113"/>
      <c r="AN893" s="113"/>
      <c r="AO893" s="113"/>
      <c r="AP893" s="113"/>
      <c r="AQ893" s="113"/>
      <c r="AR893" s="113"/>
      <c r="AS893" s="113"/>
      <c r="AT893" s="113"/>
      <c r="AU893" s="113"/>
      <c r="AV893" s="113"/>
      <c r="AW893" s="113"/>
      <c r="AX893" s="113"/>
      <c r="AY893" s="113"/>
      <c r="AZ893" s="113"/>
      <c r="BA893" s="113"/>
      <c r="BB893" s="113"/>
      <c r="BC893" s="113"/>
      <c r="BD893" s="113"/>
      <c r="BE893" s="113"/>
      <c r="BF893" s="113"/>
      <c r="BG893" s="113"/>
      <c r="BH893" s="113"/>
      <c r="BI893" s="113"/>
      <c r="BJ893" s="113"/>
      <c r="BK893" s="113"/>
      <c r="BL893" s="113"/>
      <c r="BM893" s="113"/>
      <c r="BN893" s="113"/>
      <c r="BO893" s="113"/>
      <c r="BP893" s="113"/>
      <c r="BQ893" s="113"/>
      <c r="BR893" s="113"/>
      <c r="BS893" s="113"/>
      <c r="BT893" s="113"/>
      <c r="BU893" s="113"/>
      <c r="BV893" s="113"/>
      <c r="BW893" s="113"/>
      <c r="BX893" s="113"/>
      <c r="BY893" s="113"/>
      <c r="BZ893" s="113"/>
      <c r="CA893" s="113"/>
      <c r="CB893" s="113"/>
      <c r="CC893" s="113"/>
      <c r="CD893" s="113"/>
      <c r="CE893" s="113"/>
      <c r="CF893" s="113"/>
      <c r="CG893" s="113"/>
      <c r="CH893" s="113"/>
      <c r="CI893" s="113"/>
      <c r="CJ893" s="113"/>
      <c r="CK893" s="113"/>
      <c r="CL893" s="113"/>
      <c r="CM893" s="113"/>
      <c r="CN893" s="113"/>
      <c r="CO893" s="113"/>
      <c r="CP893" s="113"/>
      <c r="CQ893" s="113"/>
      <c r="CR893" s="113"/>
      <c r="CS893" s="113"/>
      <c r="CT893" s="113"/>
      <c r="CU893" s="113"/>
    </row>
    <row r="894">
      <c r="A894" s="159"/>
      <c r="B894" s="113"/>
      <c r="C894" s="113"/>
      <c r="D894" s="158"/>
      <c r="E894" s="161"/>
      <c r="F894" s="160"/>
      <c r="G894" s="162"/>
      <c r="H894" s="159"/>
      <c r="I894" s="113"/>
      <c r="J894" s="113"/>
      <c r="K894" s="113"/>
      <c r="L894" s="158"/>
      <c r="M894" s="113"/>
      <c r="N894" s="113"/>
      <c r="O894" s="113"/>
      <c r="P894" s="113"/>
      <c r="Q894" s="113"/>
      <c r="R894" s="113"/>
      <c r="S894" s="113"/>
      <c r="T894" s="113"/>
      <c r="U894" s="113"/>
      <c r="V894" s="113"/>
      <c r="W894" s="113"/>
      <c r="X894" s="113"/>
      <c r="Y894" s="113"/>
      <c r="Z894" s="113"/>
      <c r="AA894" s="113"/>
      <c r="AB894" s="113"/>
      <c r="AC894" s="113"/>
      <c r="AD894" s="113"/>
      <c r="AE894" s="113"/>
      <c r="AF894" s="113"/>
      <c r="AG894" s="113"/>
      <c r="AH894" s="113"/>
      <c r="AI894" s="113"/>
      <c r="AJ894" s="113"/>
      <c r="AK894" s="113"/>
      <c r="AL894" s="113"/>
      <c r="AM894" s="113"/>
      <c r="AN894" s="113"/>
      <c r="AO894" s="113"/>
      <c r="AP894" s="113"/>
      <c r="AQ894" s="113"/>
      <c r="AR894" s="113"/>
      <c r="AS894" s="113"/>
      <c r="AT894" s="113"/>
      <c r="AU894" s="113"/>
      <c r="AV894" s="113"/>
      <c r="AW894" s="113"/>
      <c r="AX894" s="113"/>
      <c r="AY894" s="113"/>
      <c r="AZ894" s="113"/>
      <c r="BA894" s="113"/>
      <c r="BB894" s="113"/>
      <c r="BC894" s="113"/>
      <c r="BD894" s="113"/>
      <c r="BE894" s="113"/>
      <c r="BF894" s="113"/>
      <c r="BG894" s="113"/>
      <c r="BH894" s="113"/>
      <c r="BI894" s="113"/>
      <c r="BJ894" s="113"/>
      <c r="BK894" s="113"/>
      <c r="BL894" s="113"/>
      <c r="BM894" s="113"/>
      <c r="BN894" s="113"/>
      <c r="BO894" s="113"/>
      <c r="BP894" s="113"/>
      <c r="BQ894" s="113"/>
      <c r="BR894" s="113"/>
      <c r="BS894" s="113"/>
      <c r="BT894" s="113"/>
      <c r="BU894" s="113"/>
      <c r="BV894" s="113"/>
      <c r="BW894" s="113"/>
      <c r="BX894" s="113"/>
      <c r="BY894" s="113"/>
      <c r="BZ894" s="113"/>
      <c r="CA894" s="113"/>
      <c r="CB894" s="113"/>
      <c r="CC894" s="113"/>
      <c r="CD894" s="113"/>
      <c r="CE894" s="113"/>
      <c r="CF894" s="113"/>
      <c r="CG894" s="113"/>
      <c r="CH894" s="113"/>
      <c r="CI894" s="113"/>
      <c r="CJ894" s="113"/>
      <c r="CK894" s="113"/>
      <c r="CL894" s="113"/>
      <c r="CM894" s="113"/>
      <c r="CN894" s="113"/>
      <c r="CO894" s="113"/>
      <c r="CP894" s="113"/>
      <c r="CQ894" s="113"/>
      <c r="CR894" s="113"/>
      <c r="CS894" s="113"/>
      <c r="CT894" s="113"/>
      <c r="CU894" s="113"/>
    </row>
    <row r="895">
      <c r="A895" s="159"/>
      <c r="B895" s="113"/>
      <c r="C895" s="113"/>
      <c r="D895" s="158"/>
      <c r="E895" s="161"/>
      <c r="F895" s="160"/>
      <c r="G895" s="162"/>
      <c r="H895" s="159"/>
      <c r="I895" s="113"/>
      <c r="J895" s="113"/>
      <c r="K895" s="113"/>
      <c r="L895" s="158"/>
      <c r="M895" s="113"/>
      <c r="N895" s="113"/>
      <c r="O895" s="113"/>
      <c r="P895" s="113"/>
      <c r="Q895" s="113"/>
      <c r="R895" s="113"/>
      <c r="S895" s="113"/>
      <c r="T895" s="113"/>
      <c r="U895" s="113"/>
      <c r="V895" s="113"/>
      <c r="W895" s="113"/>
      <c r="X895" s="113"/>
      <c r="Y895" s="113"/>
      <c r="Z895" s="113"/>
      <c r="AA895" s="113"/>
      <c r="AB895" s="113"/>
      <c r="AC895" s="113"/>
      <c r="AD895" s="113"/>
      <c r="AE895" s="113"/>
      <c r="AF895" s="113"/>
      <c r="AG895" s="113"/>
      <c r="AH895" s="113"/>
      <c r="AI895" s="113"/>
      <c r="AJ895" s="113"/>
      <c r="AK895" s="113"/>
      <c r="AL895" s="113"/>
      <c r="AM895" s="113"/>
      <c r="AN895" s="113"/>
      <c r="AO895" s="113"/>
      <c r="AP895" s="113"/>
      <c r="AQ895" s="113"/>
      <c r="AR895" s="113"/>
      <c r="AS895" s="113"/>
      <c r="AT895" s="113"/>
      <c r="AU895" s="113"/>
      <c r="AV895" s="113"/>
      <c r="AW895" s="113"/>
      <c r="AX895" s="113"/>
      <c r="AY895" s="113"/>
      <c r="AZ895" s="113"/>
      <c r="BA895" s="113"/>
      <c r="BB895" s="113"/>
      <c r="BC895" s="113"/>
      <c r="BD895" s="113"/>
      <c r="BE895" s="113"/>
      <c r="BF895" s="113"/>
      <c r="BG895" s="113"/>
      <c r="BH895" s="113"/>
      <c r="BI895" s="113"/>
      <c r="BJ895" s="113"/>
      <c r="BK895" s="113"/>
      <c r="BL895" s="113"/>
      <c r="BM895" s="113"/>
      <c r="BN895" s="113"/>
      <c r="BO895" s="113"/>
      <c r="BP895" s="113"/>
      <c r="BQ895" s="113"/>
      <c r="BR895" s="113"/>
      <c r="BS895" s="113"/>
      <c r="BT895" s="113"/>
      <c r="BU895" s="113"/>
      <c r="BV895" s="113"/>
      <c r="BW895" s="113"/>
      <c r="BX895" s="113"/>
      <c r="BY895" s="113"/>
      <c r="BZ895" s="113"/>
      <c r="CA895" s="113"/>
      <c r="CB895" s="113"/>
      <c r="CC895" s="113"/>
      <c r="CD895" s="113"/>
      <c r="CE895" s="113"/>
      <c r="CF895" s="113"/>
      <c r="CG895" s="113"/>
      <c r="CH895" s="113"/>
      <c r="CI895" s="113"/>
      <c r="CJ895" s="113"/>
      <c r="CK895" s="113"/>
      <c r="CL895" s="113"/>
      <c r="CM895" s="113"/>
      <c r="CN895" s="113"/>
      <c r="CO895" s="113"/>
      <c r="CP895" s="113"/>
      <c r="CQ895" s="113"/>
      <c r="CR895" s="113"/>
      <c r="CS895" s="113"/>
      <c r="CT895" s="113"/>
      <c r="CU895" s="113"/>
    </row>
    <row r="896">
      <c r="A896" s="159"/>
      <c r="B896" s="113"/>
      <c r="C896" s="113"/>
      <c r="D896" s="158"/>
      <c r="E896" s="161"/>
      <c r="F896" s="160"/>
      <c r="G896" s="162"/>
      <c r="H896" s="159"/>
      <c r="I896" s="113"/>
      <c r="J896" s="113"/>
      <c r="K896" s="113"/>
      <c r="L896" s="158"/>
      <c r="M896" s="113"/>
      <c r="N896" s="113"/>
      <c r="O896" s="113"/>
      <c r="P896" s="113"/>
      <c r="Q896" s="113"/>
      <c r="R896" s="113"/>
      <c r="S896" s="113"/>
      <c r="T896" s="113"/>
      <c r="U896" s="113"/>
      <c r="V896" s="113"/>
      <c r="W896" s="113"/>
      <c r="X896" s="113"/>
      <c r="Y896" s="113"/>
      <c r="Z896" s="113"/>
      <c r="AA896" s="113"/>
      <c r="AB896" s="113"/>
      <c r="AC896" s="113"/>
      <c r="AD896" s="113"/>
      <c r="AE896" s="113"/>
      <c r="AF896" s="113"/>
      <c r="AG896" s="113"/>
      <c r="AH896" s="113"/>
      <c r="AI896" s="113"/>
      <c r="AJ896" s="113"/>
      <c r="AK896" s="113"/>
      <c r="AL896" s="113"/>
      <c r="AM896" s="113"/>
      <c r="AN896" s="113"/>
      <c r="AO896" s="113"/>
      <c r="AP896" s="113"/>
      <c r="AQ896" s="113"/>
      <c r="AR896" s="113"/>
      <c r="AS896" s="113"/>
      <c r="AT896" s="113"/>
      <c r="AU896" s="113"/>
      <c r="AV896" s="113"/>
      <c r="AW896" s="113"/>
      <c r="AX896" s="113"/>
      <c r="AY896" s="113"/>
      <c r="AZ896" s="113"/>
      <c r="BA896" s="113"/>
      <c r="BB896" s="113"/>
      <c r="BC896" s="113"/>
      <c r="BD896" s="113"/>
      <c r="BE896" s="113"/>
      <c r="BF896" s="113"/>
      <c r="BG896" s="113"/>
      <c r="BH896" s="113"/>
      <c r="BI896" s="113"/>
      <c r="BJ896" s="113"/>
      <c r="BK896" s="113"/>
      <c r="BL896" s="113"/>
      <c r="BM896" s="113"/>
      <c r="BN896" s="113"/>
      <c r="BO896" s="113"/>
      <c r="BP896" s="113"/>
      <c r="BQ896" s="113"/>
      <c r="BR896" s="113"/>
      <c r="BS896" s="113"/>
      <c r="BT896" s="113"/>
      <c r="BU896" s="113"/>
      <c r="BV896" s="113"/>
      <c r="BW896" s="113"/>
      <c r="BX896" s="113"/>
      <c r="BY896" s="113"/>
      <c r="BZ896" s="113"/>
      <c r="CA896" s="113"/>
      <c r="CB896" s="113"/>
      <c r="CC896" s="113"/>
      <c r="CD896" s="113"/>
      <c r="CE896" s="113"/>
      <c r="CF896" s="113"/>
      <c r="CG896" s="113"/>
      <c r="CH896" s="113"/>
      <c r="CI896" s="113"/>
      <c r="CJ896" s="113"/>
      <c r="CK896" s="113"/>
      <c r="CL896" s="113"/>
      <c r="CM896" s="113"/>
      <c r="CN896" s="113"/>
      <c r="CO896" s="113"/>
      <c r="CP896" s="113"/>
      <c r="CQ896" s="113"/>
      <c r="CR896" s="113"/>
      <c r="CS896" s="113"/>
      <c r="CT896" s="113"/>
      <c r="CU896" s="113"/>
    </row>
    <row r="897">
      <c r="A897" s="159"/>
      <c r="B897" s="113"/>
      <c r="C897" s="113"/>
      <c r="D897" s="158"/>
      <c r="E897" s="161"/>
      <c r="F897" s="160"/>
      <c r="G897" s="162"/>
      <c r="H897" s="159"/>
      <c r="I897" s="113"/>
      <c r="J897" s="113"/>
      <c r="K897" s="113"/>
      <c r="L897" s="158"/>
      <c r="M897" s="113"/>
      <c r="N897" s="113"/>
      <c r="O897" s="113"/>
      <c r="P897" s="113"/>
      <c r="Q897" s="113"/>
      <c r="R897" s="113"/>
      <c r="S897" s="113"/>
      <c r="T897" s="113"/>
      <c r="U897" s="113"/>
      <c r="V897" s="113"/>
      <c r="W897" s="113"/>
      <c r="X897" s="113"/>
      <c r="Y897" s="113"/>
      <c r="Z897" s="113"/>
      <c r="AA897" s="113"/>
      <c r="AB897" s="113"/>
      <c r="AC897" s="113"/>
      <c r="AD897" s="113"/>
      <c r="AE897" s="113"/>
      <c r="AF897" s="113"/>
      <c r="AG897" s="113"/>
      <c r="AH897" s="113"/>
      <c r="AI897" s="113"/>
      <c r="AJ897" s="113"/>
      <c r="AK897" s="113"/>
      <c r="AL897" s="113"/>
      <c r="AM897" s="113"/>
      <c r="AN897" s="113"/>
      <c r="AO897" s="113"/>
      <c r="AP897" s="113"/>
      <c r="AQ897" s="113"/>
      <c r="AR897" s="113"/>
      <c r="AS897" s="113"/>
      <c r="AT897" s="113"/>
      <c r="AU897" s="113"/>
      <c r="AV897" s="113"/>
      <c r="AW897" s="113"/>
      <c r="AX897" s="113"/>
      <c r="AY897" s="113"/>
      <c r="AZ897" s="113"/>
      <c r="BA897" s="113"/>
      <c r="BB897" s="113"/>
      <c r="BC897" s="113"/>
      <c r="BD897" s="113"/>
      <c r="BE897" s="113"/>
      <c r="BF897" s="113"/>
      <c r="BG897" s="113"/>
      <c r="BH897" s="113"/>
      <c r="BI897" s="113"/>
      <c r="BJ897" s="113"/>
      <c r="BK897" s="113"/>
      <c r="BL897" s="113"/>
      <c r="BM897" s="113"/>
      <c r="BN897" s="113"/>
      <c r="BO897" s="113"/>
      <c r="BP897" s="113"/>
      <c r="BQ897" s="113"/>
      <c r="BR897" s="113"/>
      <c r="BS897" s="113"/>
      <c r="BT897" s="113"/>
      <c r="BU897" s="113"/>
      <c r="BV897" s="113"/>
      <c r="BW897" s="113"/>
      <c r="BX897" s="113"/>
      <c r="BY897" s="113"/>
      <c r="BZ897" s="113"/>
      <c r="CA897" s="113"/>
      <c r="CB897" s="113"/>
      <c r="CC897" s="113"/>
      <c r="CD897" s="113"/>
      <c r="CE897" s="113"/>
      <c r="CF897" s="113"/>
      <c r="CG897" s="113"/>
      <c r="CH897" s="113"/>
      <c r="CI897" s="113"/>
      <c r="CJ897" s="113"/>
      <c r="CK897" s="113"/>
      <c r="CL897" s="113"/>
      <c r="CM897" s="113"/>
      <c r="CN897" s="113"/>
      <c r="CO897" s="113"/>
      <c r="CP897" s="113"/>
      <c r="CQ897" s="113"/>
      <c r="CR897" s="113"/>
      <c r="CS897" s="113"/>
      <c r="CT897" s="113"/>
      <c r="CU897" s="113"/>
    </row>
    <row r="898">
      <c r="A898" s="159"/>
      <c r="B898" s="113"/>
      <c r="C898" s="113"/>
      <c r="D898" s="158"/>
      <c r="E898" s="161"/>
      <c r="F898" s="160"/>
      <c r="G898" s="162"/>
      <c r="H898" s="159"/>
      <c r="I898" s="113"/>
      <c r="J898" s="113"/>
      <c r="K898" s="113"/>
      <c r="L898" s="158"/>
      <c r="M898" s="113"/>
      <c r="N898" s="113"/>
      <c r="O898" s="113"/>
      <c r="P898" s="113"/>
      <c r="Q898" s="113"/>
      <c r="R898" s="113"/>
      <c r="S898" s="113"/>
      <c r="T898" s="113"/>
      <c r="U898" s="113"/>
      <c r="V898" s="113"/>
      <c r="W898" s="113"/>
      <c r="X898" s="113"/>
      <c r="Y898" s="113"/>
      <c r="Z898" s="113"/>
      <c r="AA898" s="113"/>
      <c r="AB898" s="113"/>
      <c r="AC898" s="113"/>
      <c r="AD898" s="113"/>
      <c r="AE898" s="113"/>
      <c r="AF898" s="113"/>
      <c r="AG898" s="113"/>
      <c r="AH898" s="113"/>
      <c r="AI898" s="113"/>
      <c r="AJ898" s="113"/>
      <c r="AK898" s="113"/>
      <c r="AL898" s="113"/>
      <c r="AM898" s="113"/>
      <c r="AN898" s="113"/>
      <c r="AO898" s="113"/>
      <c r="AP898" s="113"/>
      <c r="AQ898" s="113"/>
      <c r="AR898" s="113"/>
      <c r="AS898" s="113"/>
      <c r="AT898" s="113"/>
      <c r="AU898" s="113"/>
      <c r="AV898" s="113"/>
      <c r="AW898" s="113"/>
      <c r="AX898" s="113"/>
      <c r="AY898" s="113"/>
      <c r="AZ898" s="113"/>
      <c r="BA898" s="113"/>
      <c r="BB898" s="113"/>
      <c r="BC898" s="113"/>
      <c r="BD898" s="113"/>
      <c r="BE898" s="113"/>
      <c r="BF898" s="113"/>
      <c r="BG898" s="113"/>
      <c r="BH898" s="113"/>
      <c r="BI898" s="113"/>
      <c r="BJ898" s="113"/>
      <c r="BK898" s="113"/>
      <c r="BL898" s="113"/>
      <c r="BM898" s="113"/>
      <c r="BN898" s="113"/>
      <c r="BO898" s="113"/>
      <c r="BP898" s="113"/>
      <c r="BQ898" s="113"/>
      <c r="BR898" s="113"/>
      <c r="BS898" s="113"/>
      <c r="BT898" s="113"/>
      <c r="BU898" s="113"/>
      <c r="BV898" s="113"/>
      <c r="BW898" s="113"/>
      <c r="BX898" s="113"/>
      <c r="BY898" s="113"/>
      <c r="BZ898" s="113"/>
      <c r="CA898" s="113"/>
      <c r="CB898" s="113"/>
      <c r="CC898" s="113"/>
      <c r="CD898" s="113"/>
      <c r="CE898" s="113"/>
      <c r="CF898" s="113"/>
      <c r="CG898" s="113"/>
      <c r="CH898" s="113"/>
      <c r="CI898" s="113"/>
      <c r="CJ898" s="113"/>
      <c r="CK898" s="113"/>
      <c r="CL898" s="113"/>
      <c r="CM898" s="113"/>
      <c r="CN898" s="113"/>
      <c r="CO898" s="113"/>
      <c r="CP898" s="113"/>
      <c r="CQ898" s="113"/>
      <c r="CR898" s="113"/>
      <c r="CS898" s="113"/>
      <c r="CT898" s="113"/>
      <c r="CU898" s="113"/>
    </row>
    <row r="899">
      <c r="A899" s="159"/>
      <c r="B899" s="113"/>
      <c r="C899" s="113"/>
      <c r="D899" s="158"/>
      <c r="E899" s="161"/>
      <c r="F899" s="160"/>
      <c r="G899" s="162"/>
      <c r="H899" s="159"/>
      <c r="I899" s="113"/>
      <c r="J899" s="113"/>
      <c r="K899" s="113"/>
      <c r="L899" s="158"/>
      <c r="M899" s="113"/>
      <c r="N899" s="113"/>
      <c r="O899" s="113"/>
      <c r="P899" s="113"/>
      <c r="Q899" s="113"/>
      <c r="R899" s="113"/>
      <c r="S899" s="113"/>
      <c r="T899" s="113"/>
      <c r="U899" s="113"/>
      <c r="V899" s="113"/>
      <c r="W899" s="113"/>
      <c r="X899" s="113"/>
      <c r="Y899" s="113"/>
      <c r="Z899" s="113"/>
      <c r="AA899" s="113"/>
      <c r="AB899" s="113"/>
      <c r="AC899" s="113"/>
      <c r="AD899" s="113"/>
      <c r="AE899" s="113"/>
      <c r="AF899" s="113"/>
      <c r="AG899" s="113"/>
      <c r="AH899" s="113"/>
      <c r="AI899" s="113"/>
      <c r="AJ899" s="113"/>
      <c r="AK899" s="113"/>
      <c r="AL899" s="113"/>
      <c r="AM899" s="113"/>
      <c r="AN899" s="113"/>
      <c r="AO899" s="113"/>
      <c r="AP899" s="113"/>
      <c r="AQ899" s="113"/>
      <c r="AR899" s="113"/>
      <c r="AS899" s="113"/>
      <c r="AT899" s="113"/>
      <c r="AU899" s="113"/>
      <c r="AV899" s="113"/>
      <c r="AW899" s="113"/>
      <c r="AX899" s="113"/>
      <c r="AY899" s="113"/>
      <c r="AZ899" s="113"/>
      <c r="BA899" s="113"/>
      <c r="BB899" s="113"/>
      <c r="BC899" s="113"/>
      <c r="BD899" s="113"/>
      <c r="BE899" s="113"/>
      <c r="BF899" s="113"/>
      <c r="BG899" s="113"/>
      <c r="BH899" s="113"/>
      <c r="BI899" s="113"/>
      <c r="BJ899" s="113"/>
      <c r="BK899" s="113"/>
      <c r="BL899" s="113"/>
      <c r="BM899" s="113"/>
      <c r="BN899" s="113"/>
      <c r="BO899" s="113"/>
      <c r="BP899" s="113"/>
      <c r="BQ899" s="113"/>
      <c r="BR899" s="113"/>
      <c r="BS899" s="113"/>
      <c r="BT899" s="113"/>
      <c r="BU899" s="113"/>
      <c r="BV899" s="113"/>
      <c r="BW899" s="113"/>
      <c r="BX899" s="113"/>
      <c r="BY899" s="113"/>
      <c r="BZ899" s="113"/>
      <c r="CA899" s="113"/>
      <c r="CB899" s="113"/>
      <c r="CC899" s="113"/>
      <c r="CD899" s="113"/>
      <c r="CE899" s="113"/>
      <c r="CF899" s="113"/>
      <c r="CG899" s="113"/>
      <c r="CH899" s="113"/>
      <c r="CI899" s="113"/>
      <c r="CJ899" s="113"/>
      <c r="CK899" s="113"/>
      <c r="CL899" s="113"/>
      <c r="CM899" s="113"/>
      <c r="CN899" s="113"/>
      <c r="CO899" s="113"/>
      <c r="CP899" s="113"/>
      <c r="CQ899" s="113"/>
      <c r="CR899" s="113"/>
      <c r="CS899" s="113"/>
      <c r="CT899" s="113"/>
      <c r="CU899" s="113"/>
    </row>
    <row r="900">
      <c r="A900" s="159"/>
      <c r="B900" s="113"/>
      <c r="C900" s="113"/>
      <c r="D900" s="158"/>
      <c r="E900" s="161"/>
      <c r="F900" s="160"/>
      <c r="G900" s="162"/>
      <c r="H900" s="159"/>
      <c r="I900" s="113"/>
      <c r="J900" s="113"/>
      <c r="K900" s="113"/>
      <c r="L900" s="158"/>
      <c r="M900" s="113"/>
      <c r="N900" s="113"/>
      <c r="O900" s="113"/>
      <c r="P900" s="113"/>
      <c r="Q900" s="113"/>
      <c r="R900" s="113"/>
      <c r="S900" s="113"/>
      <c r="T900" s="113"/>
      <c r="U900" s="113"/>
      <c r="V900" s="113"/>
      <c r="W900" s="113"/>
      <c r="X900" s="113"/>
      <c r="Y900" s="113"/>
      <c r="Z900" s="113"/>
      <c r="AA900" s="113"/>
      <c r="AB900" s="113"/>
      <c r="AC900" s="113"/>
      <c r="AD900" s="113"/>
      <c r="AE900" s="113"/>
      <c r="AF900" s="113"/>
      <c r="AG900" s="113"/>
      <c r="AH900" s="113"/>
      <c r="AI900" s="113"/>
      <c r="AJ900" s="113"/>
      <c r="AK900" s="113"/>
      <c r="AL900" s="113"/>
      <c r="AM900" s="113"/>
      <c r="AN900" s="113"/>
      <c r="AO900" s="113"/>
      <c r="AP900" s="113"/>
      <c r="AQ900" s="113"/>
      <c r="AR900" s="113"/>
      <c r="AS900" s="113"/>
      <c r="AT900" s="113"/>
      <c r="AU900" s="113"/>
      <c r="AV900" s="113"/>
      <c r="AW900" s="113"/>
      <c r="AX900" s="113"/>
      <c r="AY900" s="113"/>
      <c r="AZ900" s="113"/>
      <c r="BA900" s="113"/>
      <c r="BB900" s="113"/>
      <c r="BC900" s="113"/>
      <c r="BD900" s="113"/>
      <c r="BE900" s="113"/>
      <c r="BF900" s="113"/>
      <c r="BG900" s="113"/>
      <c r="BH900" s="113"/>
      <c r="BI900" s="113"/>
      <c r="BJ900" s="113"/>
      <c r="BK900" s="113"/>
      <c r="BL900" s="113"/>
      <c r="BM900" s="113"/>
      <c r="BN900" s="113"/>
      <c r="BO900" s="113"/>
      <c r="BP900" s="113"/>
      <c r="BQ900" s="113"/>
      <c r="BR900" s="113"/>
      <c r="BS900" s="113"/>
      <c r="BT900" s="113"/>
      <c r="BU900" s="113"/>
      <c r="BV900" s="113"/>
      <c r="BW900" s="113"/>
      <c r="BX900" s="113"/>
      <c r="BY900" s="113"/>
      <c r="BZ900" s="113"/>
      <c r="CA900" s="113"/>
      <c r="CB900" s="113"/>
      <c r="CC900" s="113"/>
      <c r="CD900" s="113"/>
      <c r="CE900" s="113"/>
      <c r="CF900" s="113"/>
      <c r="CG900" s="113"/>
      <c r="CH900" s="113"/>
      <c r="CI900" s="113"/>
      <c r="CJ900" s="113"/>
      <c r="CK900" s="113"/>
      <c r="CL900" s="113"/>
      <c r="CM900" s="113"/>
      <c r="CN900" s="113"/>
      <c r="CO900" s="113"/>
      <c r="CP900" s="113"/>
      <c r="CQ900" s="113"/>
      <c r="CR900" s="113"/>
      <c r="CS900" s="113"/>
      <c r="CT900" s="113"/>
      <c r="CU900" s="113"/>
    </row>
    <row r="901">
      <c r="A901" s="159"/>
      <c r="B901" s="113"/>
      <c r="C901" s="113"/>
      <c r="D901" s="158"/>
      <c r="E901" s="161"/>
      <c r="F901" s="160"/>
      <c r="G901" s="162"/>
      <c r="H901" s="159"/>
      <c r="I901" s="113"/>
      <c r="J901" s="113"/>
      <c r="K901" s="113"/>
      <c r="L901" s="158"/>
      <c r="M901" s="113"/>
      <c r="N901" s="113"/>
      <c r="O901" s="113"/>
      <c r="P901" s="113"/>
      <c r="Q901" s="113"/>
      <c r="R901" s="113"/>
      <c r="S901" s="113"/>
      <c r="T901" s="113"/>
      <c r="U901" s="113"/>
      <c r="V901" s="113"/>
      <c r="W901" s="113"/>
      <c r="X901" s="113"/>
      <c r="Y901" s="113"/>
      <c r="Z901" s="113"/>
      <c r="AA901" s="113"/>
      <c r="AB901" s="113"/>
      <c r="AC901" s="113"/>
      <c r="AD901" s="113"/>
      <c r="AE901" s="113"/>
      <c r="AF901" s="113"/>
      <c r="AG901" s="113"/>
      <c r="AH901" s="113"/>
      <c r="AI901" s="113"/>
      <c r="AJ901" s="113"/>
      <c r="AK901" s="113"/>
      <c r="AL901" s="113"/>
      <c r="AM901" s="113"/>
      <c r="AN901" s="113"/>
      <c r="AO901" s="113"/>
      <c r="AP901" s="113"/>
      <c r="AQ901" s="113"/>
      <c r="AR901" s="113"/>
      <c r="AS901" s="113"/>
      <c r="AT901" s="113"/>
      <c r="AU901" s="113"/>
      <c r="AV901" s="113"/>
      <c r="AW901" s="113"/>
      <c r="AX901" s="113"/>
      <c r="AY901" s="113"/>
      <c r="AZ901" s="113"/>
      <c r="BA901" s="113"/>
      <c r="BB901" s="113"/>
      <c r="BC901" s="113"/>
      <c r="BD901" s="113"/>
      <c r="BE901" s="113"/>
      <c r="BF901" s="113"/>
      <c r="BG901" s="113"/>
      <c r="BH901" s="113"/>
      <c r="BI901" s="113"/>
      <c r="BJ901" s="113"/>
      <c r="BK901" s="113"/>
      <c r="BL901" s="113"/>
      <c r="BM901" s="113"/>
      <c r="BN901" s="113"/>
      <c r="BO901" s="113"/>
      <c r="BP901" s="113"/>
      <c r="BQ901" s="113"/>
      <c r="BR901" s="113"/>
      <c r="BS901" s="113"/>
      <c r="BT901" s="113"/>
      <c r="BU901" s="113"/>
      <c r="BV901" s="113"/>
      <c r="BW901" s="113"/>
      <c r="BX901" s="113"/>
      <c r="BY901" s="113"/>
      <c r="BZ901" s="113"/>
      <c r="CA901" s="113"/>
      <c r="CB901" s="113"/>
      <c r="CC901" s="113"/>
      <c r="CD901" s="113"/>
      <c r="CE901" s="113"/>
      <c r="CF901" s="113"/>
      <c r="CG901" s="113"/>
      <c r="CH901" s="113"/>
      <c r="CI901" s="113"/>
      <c r="CJ901" s="113"/>
      <c r="CK901" s="113"/>
      <c r="CL901" s="113"/>
      <c r="CM901" s="113"/>
      <c r="CN901" s="113"/>
      <c r="CO901" s="113"/>
      <c r="CP901" s="113"/>
      <c r="CQ901" s="113"/>
      <c r="CR901" s="113"/>
      <c r="CS901" s="113"/>
      <c r="CT901" s="113"/>
      <c r="CU901" s="113"/>
    </row>
    <row r="902">
      <c r="A902" s="159"/>
      <c r="B902" s="113"/>
      <c r="C902" s="113"/>
      <c r="D902" s="158"/>
      <c r="E902" s="161"/>
      <c r="F902" s="160"/>
      <c r="G902" s="162"/>
      <c r="H902" s="159"/>
      <c r="I902" s="113"/>
      <c r="J902" s="113"/>
      <c r="K902" s="113"/>
      <c r="L902" s="158"/>
      <c r="M902" s="113"/>
      <c r="N902" s="113"/>
      <c r="O902" s="113"/>
      <c r="P902" s="113"/>
      <c r="Q902" s="113"/>
      <c r="R902" s="113"/>
      <c r="S902" s="113"/>
      <c r="T902" s="113"/>
      <c r="U902" s="113"/>
      <c r="V902" s="113"/>
      <c r="W902" s="113"/>
      <c r="X902" s="113"/>
      <c r="Y902" s="113"/>
      <c r="Z902" s="113"/>
      <c r="AA902" s="113"/>
      <c r="AB902" s="113"/>
      <c r="AC902" s="113"/>
      <c r="AD902" s="113"/>
      <c r="AE902" s="113"/>
      <c r="AF902" s="113"/>
      <c r="AG902" s="113"/>
      <c r="AH902" s="113"/>
      <c r="AI902" s="113"/>
      <c r="AJ902" s="113"/>
      <c r="AK902" s="113"/>
      <c r="AL902" s="113"/>
      <c r="AM902" s="113"/>
      <c r="AN902" s="113"/>
      <c r="AO902" s="113"/>
      <c r="AP902" s="113"/>
      <c r="AQ902" s="113"/>
      <c r="AR902" s="113"/>
      <c r="AS902" s="113"/>
      <c r="AT902" s="113"/>
      <c r="AU902" s="113"/>
      <c r="AV902" s="113"/>
      <c r="AW902" s="113"/>
      <c r="AX902" s="113"/>
      <c r="AY902" s="113"/>
      <c r="AZ902" s="113"/>
      <c r="BA902" s="113"/>
      <c r="BB902" s="113"/>
      <c r="BC902" s="113"/>
      <c r="BD902" s="113"/>
      <c r="BE902" s="113"/>
      <c r="BF902" s="113"/>
      <c r="BG902" s="113"/>
      <c r="BH902" s="113"/>
      <c r="BI902" s="113"/>
      <c r="BJ902" s="113"/>
      <c r="BK902" s="113"/>
      <c r="BL902" s="113"/>
      <c r="BM902" s="113"/>
      <c r="BN902" s="113"/>
      <c r="BO902" s="113"/>
      <c r="BP902" s="113"/>
      <c r="BQ902" s="113"/>
      <c r="BR902" s="113"/>
      <c r="BS902" s="113"/>
      <c r="BT902" s="113"/>
      <c r="BU902" s="113"/>
      <c r="BV902" s="113"/>
      <c r="BW902" s="113"/>
      <c r="BX902" s="113"/>
      <c r="BY902" s="113"/>
      <c r="BZ902" s="113"/>
      <c r="CA902" s="113"/>
      <c r="CB902" s="113"/>
      <c r="CC902" s="113"/>
      <c r="CD902" s="113"/>
      <c r="CE902" s="113"/>
      <c r="CF902" s="113"/>
      <c r="CG902" s="113"/>
      <c r="CH902" s="113"/>
      <c r="CI902" s="113"/>
      <c r="CJ902" s="113"/>
      <c r="CK902" s="113"/>
      <c r="CL902" s="113"/>
      <c r="CM902" s="113"/>
      <c r="CN902" s="113"/>
      <c r="CO902" s="113"/>
      <c r="CP902" s="113"/>
      <c r="CQ902" s="113"/>
      <c r="CR902" s="113"/>
      <c r="CS902" s="113"/>
      <c r="CT902" s="113"/>
      <c r="CU902" s="113"/>
    </row>
    <row r="903">
      <c r="A903" s="159"/>
      <c r="B903" s="113"/>
      <c r="C903" s="113"/>
      <c r="D903" s="158"/>
      <c r="E903" s="161"/>
      <c r="F903" s="160"/>
      <c r="G903" s="162"/>
      <c r="H903" s="159"/>
      <c r="I903" s="113"/>
      <c r="J903" s="113"/>
      <c r="K903" s="113"/>
      <c r="L903" s="158"/>
      <c r="M903" s="113"/>
      <c r="N903" s="113"/>
      <c r="O903" s="113"/>
      <c r="P903" s="113"/>
      <c r="Q903" s="113"/>
      <c r="R903" s="113"/>
      <c r="S903" s="113"/>
      <c r="T903" s="113"/>
      <c r="U903" s="113"/>
      <c r="V903" s="113"/>
      <c r="W903" s="113"/>
      <c r="X903" s="113"/>
      <c r="Y903" s="113"/>
      <c r="Z903" s="113"/>
      <c r="AA903" s="113"/>
      <c r="AB903" s="113"/>
      <c r="AC903" s="113"/>
      <c r="AD903" s="113"/>
      <c r="AE903" s="113"/>
      <c r="AF903" s="113"/>
      <c r="AG903" s="113"/>
      <c r="AH903" s="113"/>
      <c r="AI903" s="113"/>
      <c r="AJ903" s="113"/>
      <c r="AK903" s="113"/>
      <c r="AL903" s="113"/>
      <c r="AM903" s="113"/>
      <c r="AN903" s="113"/>
      <c r="AO903" s="113"/>
      <c r="AP903" s="113"/>
      <c r="AQ903" s="113"/>
      <c r="AR903" s="113"/>
      <c r="AS903" s="113"/>
      <c r="AT903" s="113"/>
      <c r="AU903" s="113"/>
      <c r="AV903" s="113"/>
      <c r="AW903" s="113"/>
      <c r="AX903" s="113"/>
      <c r="AY903" s="113"/>
      <c r="AZ903" s="113"/>
      <c r="BA903" s="113"/>
      <c r="BB903" s="113"/>
      <c r="BC903" s="113"/>
      <c r="BD903" s="113"/>
      <c r="BE903" s="113"/>
      <c r="BF903" s="113"/>
      <c r="BG903" s="113"/>
      <c r="BH903" s="113"/>
      <c r="BI903" s="113"/>
      <c r="BJ903" s="113"/>
      <c r="BK903" s="113"/>
      <c r="BL903" s="113"/>
      <c r="BM903" s="113"/>
      <c r="BN903" s="113"/>
      <c r="BO903" s="113"/>
      <c r="BP903" s="113"/>
      <c r="BQ903" s="113"/>
      <c r="BR903" s="113"/>
      <c r="BS903" s="113"/>
      <c r="BT903" s="113"/>
      <c r="BU903" s="113"/>
      <c r="BV903" s="113"/>
      <c r="BW903" s="113"/>
      <c r="BX903" s="113"/>
      <c r="BY903" s="113"/>
      <c r="BZ903" s="113"/>
      <c r="CA903" s="113"/>
      <c r="CB903" s="113"/>
      <c r="CC903" s="113"/>
      <c r="CD903" s="113"/>
      <c r="CE903" s="113"/>
      <c r="CF903" s="113"/>
      <c r="CG903" s="113"/>
      <c r="CH903" s="113"/>
      <c r="CI903" s="113"/>
      <c r="CJ903" s="113"/>
      <c r="CK903" s="113"/>
      <c r="CL903" s="113"/>
      <c r="CM903" s="113"/>
      <c r="CN903" s="113"/>
      <c r="CO903" s="113"/>
      <c r="CP903" s="113"/>
      <c r="CQ903" s="113"/>
      <c r="CR903" s="113"/>
      <c r="CS903" s="113"/>
      <c r="CT903" s="113"/>
      <c r="CU903" s="113"/>
    </row>
    <row r="904">
      <c r="A904" s="159"/>
      <c r="B904" s="113"/>
      <c r="C904" s="113"/>
      <c r="D904" s="158"/>
      <c r="E904" s="161"/>
      <c r="F904" s="160"/>
      <c r="G904" s="162"/>
      <c r="H904" s="159"/>
      <c r="I904" s="113"/>
      <c r="J904" s="113"/>
      <c r="K904" s="113"/>
      <c r="L904" s="158"/>
      <c r="M904" s="113"/>
      <c r="N904" s="113"/>
      <c r="O904" s="113"/>
      <c r="P904" s="113"/>
      <c r="Q904" s="113"/>
      <c r="R904" s="113"/>
      <c r="S904" s="113"/>
      <c r="T904" s="113"/>
      <c r="U904" s="113"/>
      <c r="V904" s="113"/>
      <c r="W904" s="113"/>
      <c r="X904" s="113"/>
      <c r="Y904" s="113"/>
      <c r="Z904" s="113"/>
      <c r="AA904" s="113"/>
      <c r="AB904" s="113"/>
      <c r="AC904" s="113"/>
      <c r="AD904" s="113"/>
      <c r="AE904" s="113"/>
      <c r="AF904" s="113"/>
      <c r="AG904" s="113"/>
      <c r="AH904" s="113"/>
      <c r="AI904" s="113"/>
      <c r="AJ904" s="113"/>
      <c r="AK904" s="113"/>
      <c r="AL904" s="113"/>
      <c r="AM904" s="113"/>
      <c r="AN904" s="113"/>
      <c r="AO904" s="113"/>
      <c r="AP904" s="113"/>
      <c r="AQ904" s="113"/>
      <c r="AR904" s="113"/>
      <c r="AS904" s="113"/>
      <c r="AT904" s="113"/>
      <c r="AU904" s="113"/>
      <c r="AV904" s="113"/>
      <c r="AW904" s="113"/>
      <c r="AX904" s="113"/>
      <c r="AY904" s="113"/>
      <c r="AZ904" s="113"/>
      <c r="BA904" s="113"/>
      <c r="BB904" s="113"/>
      <c r="BC904" s="113"/>
      <c r="BD904" s="113"/>
      <c r="BE904" s="113"/>
      <c r="BF904" s="113"/>
      <c r="BG904" s="113"/>
      <c r="BH904" s="113"/>
      <c r="BI904" s="113"/>
      <c r="BJ904" s="113"/>
      <c r="BK904" s="113"/>
      <c r="BL904" s="113"/>
      <c r="BM904" s="113"/>
      <c r="BN904" s="113"/>
      <c r="BO904" s="113"/>
      <c r="BP904" s="113"/>
      <c r="BQ904" s="113"/>
      <c r="BR904" s="113"/>
      <c r="BS904" s="113"/>
      <c r="BT904" s="113"/>
      <c r="BU904" s="113"/>
      <c r="BV904" s="113"/>
      <c r="BW904" s="113"/>
      <c r="BX904" s="113"/>
      <c r="BY904" s="113"/>
      <c r="BZ904" s="113"/>
      <c r="CA904" s="113"/>
      <c r="CB904" s="113"/>
      <c r="CC904" s="113"/>
      <c r="CD904" s="113"/>
      <c r="CE904" s="113"/>
      <c r="CF904" s="113"/>
      <c r="CG904" s="113"/>
      <c r="CH904" s="113"/>
      <c r="CI904" s="113"/>
      <c r="CJ904" s="113"/>
      <c r="CK904" s="113"/>
      <c r="CL904" s="113"/>
      <c r="CM904" s="113"/>
      <c r="CN904" s="113"/>
      <c r="CO904" s="113"/>
      <c r="CP904" s="113"/>
      <c r="CQ904" s="113"/>
      <c r="CR904" s="113"/>
      <c r="CS904" s="113"/>
      <c r="CT904" s="113"/>
      <c r="CU904" s="113"/>
    </row>
    <row r="905">
      <c r="A905" s="159"/>
      <c r="B905" s="113"/>
      <c r="C905" s="113"/>
      <c r="D905" s="158"/>
      <c r="E905" s="161"/>
      <c r="F905" s="160"/>
      <c r="G905" s="162"/>
      <c r="H905" s="159"/>
      <c r="I905" s="113"/>
      <c r="J905" s="113"/>
      <c r="K905" s="113"/>
      <c r="L905" s="158"/>
      <c r="M905" s="113"/>
      <c r="N905" s="113"/>
      <c r="O905" s="113"/>
      <c r="P905" s="113"/>
      <c r="Q905" s="113"/>
      <c r="R905" s="113"/>
      <c r="S905" s="113"/>
      <c r="T905" s="113"/>
      <c r="U905" s="113"/>
      <c r="V905" s="113"/>
      <c r="W905" s="113"/>
      <c r="X905" s="113"/>
      <c r="Y905" s="113"/>
      <c r="Z905" s="113"/>
      <c r="AA905" s="113"/>
      <c r="AB905" s="113"/>
      <c r="AC905" s="113"/>
      <c r="AD905" s="113"/>
      <c r="AE905" s="113"/>
      <c r="AF905" s="113"/>
      <c r="AG905" s="113"/>
      <c r="AH905" s="113"/>
      <c r="AI905" s="113"/>
      <c r="AJ905" s="113"/>
      <c r="AK905" s="113"/>
      <c r="AL905" s="113"/>
      <c r="AM905" s="113"/>
      <c r="AN905" s="113"/>
      <c r="AO905" s="113"/>
      <c r="AP905" s="113"/>
      <c r="AQ905" s="113"/>
      <c r="AR905" s="113"/>
      <c r="AS905" s="113"/>
      <c r="AT905" s="113"/>
      <c r="AU905" s="113"/>
      <c r="AV905" s="113"/>
      <c r="AW905" s="113"/>
      <c r="AX905" s="113"/>
      <c r="AY905" s="113"/>
      <c r="AZ905" s="113"/>
      <c r="BA905" s="113"/>
      <c r="BB905" s="113"/>
      <c r="BC905" s="113"/>
      <c r="BD905" s="113"/>
      <c r="BE905" s="113"/>
      <c r="BF905" s="113"/>
      <c r="BG905" s="113"/>
      <c r="BH905" s="113"/>
      <c r="BI905" s="113"/>
      <c r="BJ905" s="113"/>
      <c r="BK905" s="113"/>
      <c r="BL905" s="113"/>
      <c r="BM905" s="113"/>
      <c r="BN905" s="113"/>
      <c r="BO905" s="113"/>
      <c r="BP905" s="113"/>
      <c r="BQ905" s="113"/>
      <c r="BR905" s="113"/>
      <c r="BS905" s="113"/>
      <c r="BT905" s="113"/>
      <c r="BU905" s="113"/>
      <c r="BV905" s="113"/>
      <c r="BW905" s="113"/>
      <c r="BX905" s="113"/>
      <c r="BY905" s="113"/>
      <c r="BZ905" s="113"/>
      <c r="CA905" s="113"/>
      <c r="CB905" s="113"/>
      <c r="CC905" s="113"/>
      <c r="CD905" s="113"/>
      <c r="CE905" s="113"/>
      <c r="CF905" s="113"/>
      <c r="CG905" s="113"/>
      <c r="CH905" s="113"/>
      <c r="CI905" s="113"/>
      <c r="CJ905" s="113"/>
      <c r="CK905" s="113"/>
      <c r="CL905" s="113"/>
      <c r="CM905" s="113"/>
      <c r="CN905" s="113"/>
      <c r="CO905" s="113"/>
      <c r="CP905" s="113"/>
      <c r="CQ905" s="113"/>
      <c r="CR905" s="113"/>
      <c r="CS905" s="113"/>
      <c r="CT905" s="113"/>
      <c r="CU905" s="113"/>
    </row>
    <row r="906">
      <c r="A906" s="159"/>
      <c r="B906" s="113"/>
      <c r="C906" s="113"/>
      <c r="D906" s="158"/>
      <c r="E906" s="161"/>
      <c r="F906" s="160"/>
      <c r="G906" s="162"/>
      <c r="H906" s="159"/>
      <c r="I906" s="113"/>
      <c r="J906" s="113"/>
      <c r="K906" s="113"/>
      <c r="L906" s="158"/>
      <c r="M906" s="113"/>
      <c r="N906" s="113"/>
      <c r="O906" s="113"/>
      <c r="P906" s="113"/>
      <c r="Q906" s="113"/>
      <c r="R906" s="113"/>
      <c r="S906" s="113"/>
      <c r="T906" s="113"/>
      <c r="U906" s="113"/>
      <c r="V906" s="113"/>
      <c r="W906" s="113"/>
      <c r="X906" s="113"/>
      <c r="Y906" s="113"/>
      <c r="Z906" s="113"/>
      <c r="AA906" s="113"/>
      <c r="AB906" s="113"/>
      <c r="AC906" s="113"/>
      <c r="AD906" s="113"/>
      <c r="AE906" s="113"/>
      <c r="AF906" s="113"/>
      <c r="AG906" s="113"/>
      <c r="AH906" s="113"/>
      <c r="AI906" s="113"/>
      <c r="AJ906" s="113"/>
      <c r="AK906" s="113"/>
      <c r="AL906" s="113"/>
      <c r="AM906" s="113"/>
      <c r="AN906" s="113"/>
      <c r="AO906" s="113"/>
      <c r="AP906" s="113"/>
      <c r="AQ906" s="113"/>
      <c r="AR906" s="113"/>
      <c r="AS906" s="113"/>
      <c r="AT906" s="113"/>
      <c r="AU906" s="113"/>
      <c r="AV906" s="113"/>
      <c r="AW906" s="113"/>
      <c r="AX906" s="113"/>
      <c r="AY906" s="113"/>
      <c r="AZ906" s="113"/>
      <c r="BA906" s="113"/>
      <c r="BB906" s="113"/>
      <c r="BC906" s="113"/>
      <c r="BD906" s="113"/>
      <c r="BE906" s="113"/>
      <c r="BF906" s="113"/>
      <c r="BG906" s="113"/>
      <c r="BH906" s="113"/>
      <c r="BI906" s="113"/>
      <c r="BJ906" s="113"/>
      <c r="BK906" s="113"/>
      <c r="BL906" s="113"/>
      <c r="BM906" s="113"/>
      <c r="BN906" s="113"/>
      <c r="BO906" s="113"/>
      <c r="BP906" s="113"/>
      <c r="BQ906" s="113"/>
      <c r="BR906" s="113"/>
      <c r="BS906" s="113"/>
      <c r="BT906" s="113"/>
      <c r="BU906" s="113"/>
      <c r="BV906" s="113"/>
      <c r="BW906" s="113"/>
      <c r="BX906" s="113"/>
      <c r="BY906" s="113"/>
      <c r="BZ906" s="113"/>
      <c r="CA906" s="113"/>
      <c r="CB906" s="113"/>
      <c r="CC906" s="113"/>
      <c r="CD906" s="113"/>
      <c r="CE906" s="113"/>
      <c r="CF906" s="113"/>
      <c r="CG906" s="113"/>
      <c r="CH906" s="113"/>
      <c r="CI906" s="113"/>
      <c r="CJ906" s="113"/>
      <c r="CK906" s="113"/>
      <c r="CL906" s="113"/>
      <c r="CM906" s="113"/>
      <c r="CN906" s="113"/>
      <c r="CO906" s="113"/>
      <c r="CP906" s="113"/>
      <c r="CQ906" s="113"/>
      <c r="CR906" s="113"/>
      <c r="CS906" s="113"/>
      <c r="CT906" s="113"/>
      <c r="CU906" s="113"/>
    </row>
    <row r="907">
      <c r="A907" s="159"/>
      <c r="B907" s="113"/>
      <c r="C907" s="113"/>
      <c r="D907" s="158"/>
      <c r="E907" s="161"/>
      <c r="F907" s="160"/>
      <c r="G907" s="162"/>
      <c r="H907" s="159"/>
      <c r="I907" s="113"/>
      <c r="J907" s="113"/>
      <c r="K907" s="113"/>
      <c r="L907" s="158"/>
      <c r="M907" s="113"/>
      <c r="N907" s="113"/>
      <c r="O907" s="113"/>
      <c r="P907" s="113"/>
      <c r="Q907" s="113"/>
      <c r="R907" s="113"/>
      <c r="S907" s="113"/>
      <c r="T907" s="113"/>
      <c r="U907" s="113"/>
      <c r="V907" s="113"/>
      <c r="W907" s="113"/>
      <c r="X907" s="113"/>
      <c r="Y907" s="113"/>
      <c r="Z907" s="113"/>
      <c r="AA907" s="113"/>
      <c r="AB907" s="113"/>
      <c r="AC907" s="113"/>
      <c r="AD907" s="113"/>
      <c r="AE907" s="113"/>
      <c r="AF907" s="113"/>
      <c r="AG907" s="113"/>
      <c r="AH907" s="113"/>
      <c r="AI907" s="113"/>
      <c r="AJ907" s="113"/>
      <c r="AK907" s="113"/>
      <c r="AL907" s="113"/>
      <c r="AM907" s="113"/>
      <c r="AN907" s="113"/>
      <c r="AO907" s="113"/>
      <c r="AP907" s="113"/>
      <c r="AQ907" s="113"/>
      <c r="AR907" s="113"/>
      <c r="AS907" s="113"/>
      <c r="AT907" s="113"/>
      <c r="AU907" s="113"/>
      <c r="AV907" s="113"/>
      <c r="AW907" s="113"/>
      <c r="AX907" s="113"/>
      <c r="AY907" s="113"/>
      <c r="AZ907" s="113"/>
      <c r="BA907" s="113"/>
      <c r="BB907" s="113"/>
      <c r="BC907" s="113"/>
      <c r="BD907" s="113"/>
      <c r="BE907" s="113"/>
      <c r="BF907" s="113"/>
      <c r="BG907" s="113"/>
      <c r="BH907" s="113"/>
      <c r="BI907" s="113"/>
      <c r="BJ907" s="113"/>
      <c r="BK907" s="113"/>
      <c r="BL907" s="113"/>
      <c r="BM907" s="113"/>
      <c r="BN907" s="113"/>
      <c r="BO907" s="113"/>
      <c r="BP907" s="113"/>
      <c r="BQ907" s="113"/>
      <c r="BR907" s="113"/>
      <c r="BS907" s="113"/>
      <c r="BT907" s="113"/>
      <c r="BU907" s="113"/>
      <c r="BV907" s="113"/>
      <c r="BW907" s="113"/>
      <c r="BX907" s="113"/>
      <c r="BY907" s="113"/>
      <c r="BZ907" s="113"/>
      <c r="CA907" s="113"/>
      <c r="CB907" s="113"/>
      <c r="CC907" s="113"/>
      <c r="CD907" s="113"/>
      <c r="CE907" s="113"/>
      <c r="CF907" s="113"/>
      <c r="CG907" s="113"/>
      <c r="CH907" s="113"/>
      <c r="CI907" s="113"/>
      <c r="CJ907" s="113"/>
      <c r="CK907" s="113"/>
      <c r="CL907" s="113"/>
      <c r="CM907" s="113"/>
      <c r="CN907" s="113"/>
      <c r="CO907" s="113"/>
      <c r="CP907" s="113"/>
      <c r="CQ907" s="113"/>
      <c r="CR907" s="113"/>
      <c r="CS907" s="113"/>
      <c r="CT907" s="113"/>
      <c r="CU907" s="113"/>
    </row>
    <row r="908">
      <c r="A908" s="159"/>
      <c r="B908" s="113"/>
      <c r="C908" s="113"/>
      <c r="D908" s="158"/>
      <c r="E908" s="161"/>
      <c r="F908" s="160"/>
      <c r="G908" s="162"/>
      <c r="H908" s="159"/>
      <c r="I908" s="113"/>
      <c r="J908" s="113"/>
      <c r="K908" s="113"/>
      <c r="L908" s="158"/>
      <c r="M908" s="113"/>
      <c r="N908" s="113"/>
      <c r="O908" s="113"/>
      <c r="P908" s="113"/>
      <c r="Q908" s="113"/>
      <c r="R908" s="113"/>
      <c r="S908" s="113"/>
      <c r="T908" s="113"/>
      <c r="U908" s="113"/>
      <c r="V908" s="113"/>
      <c r="W908" s="113"/>
      <c r="X908" s="113"/>
      <c r="Y908" s="113"/>
      <c r="Z908" s="113"/>
      <c r="AA908" s="113"/>
      <c r="AB908" s="113"/>
      <c r="AC908" s="113"/>
      <c r="AD908" s="113"/>
      <c r="AE908" s="113"/>
      <c r="AF908" s="113"/>
      <c r="AG908" s="113"/>
      <c r="AH908" s="113"/>
      <c r="AI908" s="113"/>
      <c r="AJ908" s="113"/>
      <c r="AK908" s="113"/>
      <c r="AL908" s="113"/>
      <c r="AM908" s="113"/>
      <c r="AN908" s="113"/>
      <c r="AO908" s="113"/>
      <c r="AP908" s="113"/>
      <c r="AQ908" s="113"/>
      <c r="AR908" s="113"/>
      <c r="AS908" s="113"/>
      <c r="AT908" s="113"/>
      <c r="AU908" s="113"/>
      <c r="AV908" s="113"/>
      <c r="AW908" s="113"/>
      <c r="AX908" s="113"/>
      <c r="AY908" s="113"/>
      <c r="AZ908" s="113"/>
      <c r="BA908" s="113"/>
      <c r="BB908" s="113"/>
      <c r="BC908" s="113"/>
      <c r="BD908" s="113"/>
      <c r="BE908" s="113"/>
      <c r="BF908" s="113"/>
      <c r="BG908" s="113"/>
      <c r="BH908" s="113"/>
      <c r="BI908" s="113"/>
      <c r="BJ908" s="113"/>
      <c r="BK908" s="113"/>
      <c r="BL908" s="113"/>
      <c r="BM908" s="113"/>
      <c r="BN908" s="113"/>
      <c r="BO908" s="113"/>
      <c r="BP908" s="113"/>
      <c r="BQ908" s="113"/>
      <c r="BR908" s="113"/>
      <c r="BS908" s="113"/>
      <c r="BT908" s="113"/>
      <c r="BU908" s="113"/>
      <c r="BV908" s="113"/>
      <c r="BW908" s="113"/>
      <c r="BX908" s="113"/>
      <c r="BY908" s="113"/>
      <c r="BZ908" s="113"/>
      <c r="CA908" s="113"/>
      <c r="CB908" s="113"/>
      <c r="CC908" s="113"/>
      <c r="CD908" s="113"/>
      <c r="CE908" s="113"/>
      <c r="CF908" s="113"/>
      <c r="CG908" s="113"/>
      <c r="CH908" s="113"/>
      <c r="CI908" s="113"/>
      <c r="CJ908" s="113"/>
      <c r="CK908" s="113"/>
      <c r="CL908" s="113"/>
      <c r="CM908" s="113"/>
      <c r="CN908" s="113"/>
      <c r="CO908" s="113"/>
      <c r="CP908" s="113"/>
      <c r="CQ908" s="113"/>
      <c r="CR908" s="113"/>
      <c r="CS908" s="113"/>
      <c r="CT908" s="113"/>
      <c r="CU908" s="113"/>
    </row>
    <row r="909">
      <c r="A909" s="159"/>
      <c r="B909" s="113"/>
      <c r="C909" s="113"/>
      <c r="D909" s="158"/>
      <c r="E909" s="161"/>
      <c r="F909" s="160"/>
      <c r="G909" s="162"/>
      <c r="H909" s="159"/>
      <c r="I909" s="113"/>
      <c r="J909" s="113"/>
      <c r="K909" s="113"/>
      <c r="L909" s="158"/>
      <c r="M909" s="113"/>
      <c r="N909" s="113"/>
      <c r="O909" s="113"/>
      <c r="P909" s="113"/>
      <c r="Q909" s="113"/>
      <c r="R909" s="113"/>
      <c r="S909" s="113"/>
      <c r="T909" s="113"/>
      <c r="U909" s="113"/>
      <c r="V909" s="113"/>
      <c r="W909" s="113"/>
      <c r="X909" s="113"/>
      <c r="Y909" s="113"/>
      <c r="Z909" s="113"/>
      <c r="AA909" s="113"/>
      <c r="AB909" s="113"/>
      <c r="AC909" s="113"/>
      <c r="AD909" s="113"/>
      <c r="AE909" s="113"/>
      <c r="AF909" s="113"/>
      <c r="AG909" s="113"/>
      <c r="AH909" s="113"/>
      <c r="AI909" s="113"/>
      <c r="AJ909" s="113"/>
      <c r="AK909" s="113"/>
      <c r="AL909" s="113"/>
      <c r="AM909" s="113"/>
      <c r="AN909" s="113"/>
      <c r="AO909" s="113"/>
      <c r="AP909" s="113"/>
      <c r="AQ909" s="113"/>
      <c r="AR909" s="113"/>
      <c r="AS909" s="113"/>
      <c r="AT909" s="113"/>
      <c r="AU909" s="113"/>
      <c r="AV909" s="113"/>
      <c r="AW909" s="113"/>
      <c r="AX909" s="113"/>
      <c r="AY909" s="113"/>
      <c r="AZ909" s="113"/>
      <c r="BA909" s="113"/>
      <c r="BB909" s="113"/>
      <c r="BC909" s="113"/>
      <c r="BD909" s="113"/>
      <c r="BE909" s="113"/>
      <c r="BF909" s="113"/>
      <c r="BG909" s="113"/>
      <c r="BH909" s="113"/>
      <c r="BI909" s="113"/>
      <c r="BJ909" s="113"/>
      <c r="BK909" s="113"/>
      <c r="BL909" s="113"/>
      <c r="BM909" s="113"/>
      <c r="BN909" s="113"/>
      <c r="BO909" s="113"/>
      <c r="BP909" s="113"/>
      <c r="BQ909" s="113"/>
      <c r="BR909" s="113"/>
      <c r="BS909" s="113"/>
      <c r="BT909" s="113"/>
      <c r="BU909" s="113"/>
      <c r="BV909" s="113"/>
      <c r="BW909" s="113"/>
      <c r="BX909" s="113"/>
      <c r="BY909" s="113"/>
      <c r="BZ909" s="113"/>
      <c r="CA909" s="113"/>
      <c r="CB909" s="113"/>
      <c r="CC909" s="113"/>
      <c r="CD909" s="113"/>
      <c r="CE909" s="113"/>
      <c r="CF909" s="113"/>
      <c r="CG909" s="113"/>
      <c r="CH909" s="113"/>
      <c r="CI909" s="113"/>
      <c r="CJ909" s="113"/>
      <c r="CK909" s="113"/>
      <c r="CL909" s="113"/>
      <c r="CM909" s="113"/>
      <c r="CN909" s="113"/>
      <c r="CO909" s="113"/>
      <c r="CP909" s="113"/>
      <c r="CQ909" s="113"/>
      <c r="CR909" s="113"/>
      <c r="CS909" s="113"/>
      <c r="CT909" s="113"/>
      <c r="CU909" s="113"/>
    </row>
    <row r="910">
      <c r="A910" s="159"/>
      <c r="B910" s="113"/>
      <c r="C910" s="113"/>
      <c r="D910" s="158"/>
      <c r="E910" s="161"/>
      <c r="F910" s="160"/>
      <c r="G910" s="162"/>
      <c r="H910" s="159"/>
      <c r="I910" s="113"/>
      <c r="J910" s="113"/>
      <c r="K910" s="113"/>
      <c r="L910" s="158"/>
      <c r="M910" s="113"/>
      <c r="N910" s="113"/>
      <c r="O910" s="113"/>
      <c r="P910" s="113"/>
      <c r="Q910" s="113"/>
      <c r="R910" s="113"/>
      <c r="S910" s="113"/>
      <c r="T910" s="113"/>
      <c r="U910" s="113"/>
      <c r="V910" s="113"/>
      <c r="W910" s="113"/>
      <c r="X910" s="113"/>
      <c r="Y910" s="113"/>
      <c r="Z910" s="113"/>
      <c r="AA910" s="113"/>
      <c r="AB910" s="113"/>
      <c r="AC910" s="113"/>
      <c r="AD910" s="113"/>
      <c r="AE910" s="113"/>
      <c r="AF910" s="113"/>
      <c r="AG910" s="113"/>
      <c r="AH910" s="113"/>
      <c r="AI910" s="113"/>
      <c r="AJ910" s="113"/>
      <c r="AK910" s="113"/>
      <c r="AL910" s="113"/>
      <c r="AM910" s="113"/>
      <c r="AN910" s="113"/>
      <c r="AO910" s="113"/>
      <c r="AP910" s="113"/>
      <c r="AQ910" s="113"/>
      <c r="AR910" s="113"/>
      <c r="AS910" s="113"/>
      <c r="AT910" s="113"/>
      <c r="AU910" s="113"/>
      <c r="AV910" s="113"/>
      <c r="AW910" s="113"/>
      <c r="AX910" s="113"/>
      <c r="AY910" s="113"/>
      <c r="AZ910" s="113"/>
      <c r="BA910" s="113"/>
      <c r="BB910" s="113"/>
      <c r="BC910" s="113"/>
      <c r="BD910" s="113"/>
      <c r="BE910" s="113"/>
      <c r="BF910" s="113"/>
      <c r="BG910" s="113"/>
      <c r="BH910" s="113"/>
      <c r="BI910" s="113"/>
      <c r="BJ910" s="113"/>
      <c r="BK910" s="113"/>
      <c r="BL910" s="113"/>
      <c r="BM910" s="113"/>
      <c r="BN910" s="113"/>
      <c r="BO910" s="113"/>
      <c r="BP910" s="113"/>
      <c r="BQ910" s="113"/>
      <c r="BR910" s="113"/>
      <c r="BS910" s="113"/>
      <c r="BT910" s="113"/>
      <c r="BU910" s="113"/>
      <c r="BV910" s="113"/>
      <c r="BW910" s="113"/>
      <c r="BX910" s="113"/>
      <c r="BY910" s="113"/>
      <c r="BZ910" s="113"/>
      <c r="CA910" s="113"/>
      <c r="CB910" s="113"/>
      <c r="CC910" s="113"/>
      <c r="CD910" s="113"/>
      <c r="CE910" s="113"/>
      <c r="CF910" s="113"/>
      <c r="CG910" s="113"/>
      <c r="CH910" s="113"/>
      <c r="CI910" s="113"/>
      <c r="CJ910" s="113"/>
      <c r="CK910" s="113"/>
      <c r="CL910" s="113"/>
      <c r="CM910" s="113"/>
      <c r="CN910" s="113"/>
      <c r="CO910" s="113"/>
      <c r="CP910" s="113"/>
      <c r="CQ910" s="113"/>
      <c r="CR910" s="113"/>
      <c r="CS910" s="113"/>
      <c r="CT910" s="113"/>
      <c r="CU910" s="113"/>
    </row>
    <row r="911">
      <c r="A911" s="159"/>
      <c r="B911" s="113"/>
      <c r="C911" s="113"/>
      <c r="D911" s="158"/>
      <c r="E911" s="161"/>
      <c r="F911" s="160"/>
      <c r="G911" s="162"/>
      <c r="H911" s="159"/>
      <c r="I911" s="113"/>
      <c r="J911" s="113"/>
      <c r="K911" s="113"/>
      <c r="L911" s="158"/>
      <c r="M911" s="113"/>
      <c r="N911" s="113"/>
      <c r="O911" s="113"/>
      <c r="P911" s="113"/>
      <c r="Q911" s="113"/>
      <c r="R911" s="113"/>
      <c r="S911" s="113"/>
      <c r="T911" s="113"/>
      <c r="U911" s="113"/>
      <c r="V911" s="113"/>
      <c r="W911" s="113"/>
      <c r="X911" s="113"/>
      <c r="Y911" s="113"/>
      <c r="Z911" s="113"/>
      <c r="AA911" s="113"/>
      <c r="AB911" s="113"/>
      <c r="AC911" s="113"/>
      <c r="AD911" s="113"/>
      <c r="AE911" s="113"/>
      <c r="AF911" s="113"/>
      <c r="AG911" s="113"/>
      <c r="AH911" s="113"/>
      <c r="AI911" s="113"/>
      <c r="AJ911" s="113"/>
      <c r="AK911" s="113"/>
      <c r="AL911" s="113"/>
      <c r="AM911" s="113"/>
      <c r="AN911" s="113"/>
      <c r="AO911" s="113"/>
      <c r="AP911" s="113"/>
      <c r="AQ911" s="113"/>
      <c r="AR911" s="113"/>
      <c r="AS911" s="113"/>
      <c r="AT911" s="113"/>
      <c r="AU911" s="113"/>
      <c r="AV911" s="113"/>
      <c r="AW911" s="113"/>
      <c r="AX911" s="113"/>
      <c r="AY911" s="113"/>
      <c r="AZ911" s="113"/>
      <c r="BA911" s="113"/>
      <c r="BB911" s="113"/>
      <c r="BC911" s="113"/>
      <c r="BD911" s="113"/>
      <c r="BE911" s="113"/>
      <c r="BF911" s="113"/>
      <c r="BG911" s="113"/>
      <c r="BH911" s="113"/>
      <c r="BI911" s="113"/>
      <c r="BJ911" s="113"/>
      <c r="BK911" s="113"/>
      <c r="BL911" s="113"/>
      <c r="BM911" s="113"/>
      <c r="BN911" s="113"/>
      <c r="BO911" s="113"/>
      <c r="BP911" s="113"/>
      <c r="BQ911" s="113"/>
      <c r="BR911" s="113"/>
      <c r="BS911" s="113"/>
      <c r="BT911" s="113"/>
      <c r="BU911" s="113"/>
      <c r="BV911" s="113"/>
      <c r="BW911" s="113"/>
      <c r="BX911" s="113"/>
      <c r="BY911" s="113"/>
      <c r="BZ911" s="113"/>
      <c r="CA911" s="113"/>
      <c r="CB911" s="113"/>
      <c r="CC911" s="113"/>
      <c r="CD911" s="113"/>
      <c r="CE911" s="113"/>
      <c r="CF911" s="113"/>
      <c r="CG911" s="113"/>
      <c r="CH911" s="113"/>
      <c r="CI911" s="113"/>
      <c r="CJ911" s="113"/>
      <c r="CK911" s="113"/>
      <c r="CL911" s="113"/>
      <c r="CM911" s="113"/>
      <c r="CN911" s="113"/>
      <c r="CO911" s="113"/>
      <c r="CP911" s="113"/>
      <c r="CQ911" s="113"/>
      <c r="CR911" s="113"/>
      <c r="CS911" s="113"/>
      <c r="CT911" s="113"/>
      <c r="CU911" s="113"/>
    </row>
    <row r="912">
      <c r="A912" s="159"/>
      <c r="B912" s="113"/>
      <c r="C912" s="113"/>
      <c r="D912" s="158"/>
      <c r="E912" s="161"/>
      <c r="F912" s="160"/>
      <c r="G912" s="162"/>
      <c r="H912" s="159"/>
      <c r="I912" s="113"/>
      <c r="J912" s="113"/>
      <c r="K912" s="113"/>
      <c r="L912" s="158"/>
      <c r="M912" s="113"/>
      <c r="N912" s="113"/>
      <c r="O912" s="113"/>
      <c r="P912" s="113"/>
      <c r="Q912" s="113"/>
      <c r="R912" s="113"/>
      <c r="S912" s="113"/>
      <c r="T912" s="113"/>
      <c r="U912" s="113"/>
      <c r="V912" s="113"/>
      <c r="W912" s="113"/>
      <c r="X912" s="113"/>
      <c r="Y912" s="113"/>
      <c r="Z912" s="113"/>
      <c r="AA912" s="113"/>
      <c r="AB912" s="113"/>
      <c r="AC912" s="113"/>
      <c r="AD912" s="113"/>
      <c r="AE912" s="113"/>
      <c r="AF912" s="113"/>
      <c r="AG912" s="113"/>
      <c r="AH912" s="113"/>
      <c r="AI912" s="113"/>
      <c r="AJ912" s="113"/>
      <c r="AK912" s="113"/>
      <c r="AL912" s="113"/>
      <c r="AM912" s="113"/>
      <c r="AN912" s="113"/>
      <c r="AO912" s="113"/>
      <c r="AP912" s="113"/>
      <c r="AQ912" s="113"/>
      <c r="AR912" s="113"/>
      <c r="AS912" s="113"/>
      <c r="AT912" s="113"/>
      <c r="AU912" s="113"/>
      <c r="AV912" s="113"/>
      <c r="AW912" s="113"/>
      <c r="AX912" s="113"/>
      <c r="AY912" s="113"/>
      <c r="AZ912" s="113"/>
      <c r="BA912" s="113"/>
      <c r="BB912" s="113"/>
      <c r="BC912" s="113"/>
      <c r="BD912" s="113"/>
      <c r="BE912" s="113"/>
      <c r="BF912" s="113"/>
      <c r="BG912" s="113"/>
      <c r="BH912" s="113"/>
      <c r="BI912" s="113"/>
      <c r="BJ912" s="113"/>
      <c r="BK912" s="113"/>
      <c r="BL912" s="113"/>
      <c r="BM912" s="113"/>
      <c r="BN912" s="113"/>
      <c r="BO912" s="113"/>
      <c r="BP912" s="113"/>
      <c r="BQ912" s="113"/>
      <c r="BR912" s="113"/>
      <c r="BS912" s="113"/>
      <c r="BT912" s="113"/>
      <c r="BU912" s="113"/>
      <c r="BV912" s="113"/>
      <c r="BW912" s="113"/>
      <c r="BX912" s="113"/>
      <c r="BY912" s="113"/>
      <c r="BZ912" s="113"/>
      <c r="CA912" s="113"/>
      <c r="CB912" s="113"/>
      <c r="CC912" s="113"/>
      <c r="CD912" s="113"/>
      <c r="CE912" s="113"/>
      <c r="CF912" s="113"/>
      <c r="CG912" s="113"/>
      <c r="CH912" s="113"/>
      <c r="CI912" s="113"/>
      <c r="CJ912" s="113"/>
      <c r="CK912" s="113"/>
      <c r="CL912" s="113"/>
      <c r="CM912" s="113"/>
      <c r="CN912" s="113"/>
      <c r="CO912" s="113"/>
      <c r="CP912" s="113"/>
      <c r="CQ912" s="113"/>
      <c r="CR912" s="113"/>
      <c r="CS912" s="113"/>
      <c r="CT912" s="113"/>
      <c r="CU912" s="113"/>
    </row>
    <row r="913">
      <c r="A913" s="159"/>
      <c r="B913" s="113"/>
      <c r="C913" s="113"/>
      <c r="D913" s="158"/>
      <c r="E913" s="161"/>
      <c r="F913" s="160"/>
      <c r="G913" s="162"/>
      <c r="H913" s="159"/>
      <c r="I913" s="113"/>
      <c r="J913" s="113"/>
      <c r="K913" s="113"/>
      <c r="L913" s="158"/>
      <c r="M913" s="113"/>
      <c r="N913" s="113"/>
      <c r="O913" s="113"/>
      <c r="P913" s="113"/>
      <c r="Q913" s="113"/>
      <c r="R913" s="113"/>
      <c r="S913" s="113"/>
      <c r="T913" s="113"/>
      <c r="U913" s="113"/>
      <c r="V913" s="113"/>
      <c r="W913" s="113"/>
      <c r="X913" s="113"/>
      <c r="Y913" s="113"/>
      <c r="Z913" s="113"/>
      <c r="AA913" s="113"/>
      <c r="AB913" s="113"/>
      <c r="AC913" s="113"/>
      <c r="AD913" s="113"/>
      <c r="AE913" s="113"/>
      <c r="AF913" s="113"/>
      <c r="AG913" s="113"/>
      <c r="AH913" s="113"/>
      <c r="AI913" s="113"/>
      <c r="AJ913" s="113"/>
      <c r="AK913" s="113"/>
      <c r="AL913" s="113"/>
      <c r="AM913" s="113"/>
      <c r="AN913" s="113"/>
      <c r="AO913" s="113"/>
      <c r="AP913" s="113"/>
      <c r="AQ913" s="113"/>
      <c r="AR913" s="113"/>
      <c r="AS913" s="113"/>
      <c r="AT913" s="113"/>
      <c r="AU913" s="113"/>
      <c r="AV913" s="113"/>
      <c r="AW913" s="113"/>
      <c r="AX913" s="113"/>
      <c r="AY913" s="113"/>
      <c r="AZ913" s="113"/>
      <c r="BA913" s="113"/>
      <c r="BB913" s="113"/>
      <c r="BC913" s="113"/>
      <c r="BD913" s="113"/>
      <c r="BE913" s="113"/>
      <c r="BF913" s="113"/>
      <c r="BG913" s="113"/>
      <c r="BH913" s="113"/>
      <c r="BI913" s="113"/>
      <c r="BJ913" s="113"/>
      <c r="BK913" s="113"/>
      <c r="BL913" s="113"/>
      <c r="BM913" s="113"/>
      <c r="BN913" s="113"/>
      <c r="BO913" s="113"/>
      <c r="BP913" s="113"/>
      <c r="BQ913" s="113"/>
      <c r="BR913" s="113"/>
      <c r="BS913" s="113"/>
      <c r="BT913" s="113"/>
      <c r="BU913" s="113"/>
      <c r="BV913" s="113"/>
      <c r="BW913" s="113"/>
      <c r="BX913" s="113"/>
      <c r="BY913" s="113"/>
      <c r="BZ913" s="113"/>
      <c r="CA913" s="113"/>
      <c r="CB913" s="113"/>
      <c r="CC913" s="113"/>
      <c r="CD913" s="113"/>
      <c r="CE913" s="113"/>
      <c r="CF913" s="113"/>
      <c r="CG913" s="113"/>
      <c r="CH913" s="113"/>
      <c r="CI913" s="113"/>
      <c r="CJ913" s="113"/>
      <c r="CK913" s="113"/>
      <c r="CL913" s="113"/>
      <c r="CM913" s="113"/>
      <c r="CN913" s="113"/>
      <c r="CO913" s="113"/>
      <c r="CP913" s="113"/>
      <c r="CQ913" s="113"/>
      <c r="CR913" s="113"/>
      <c r="CS913" s="113"/>
      <c r="CT913" s="113"/>
      <c r="CU913" s="113"/>
    </row>
    <row r="914">
      <c r="A914" s="159"/>
      <c r="B914" s="113"/>
      <c r="C914" s="113"/>
      <c r="D914" s="158"/>
      <c r="E914" s="161"/>
      <c r="F914" s="160"/>
      <c r="G914" s="162"/>
      <c r="H914" s="159"/>
      <c r="I914" s="113"/>
      <c r="J914" s="113"/>
      <c r="K914" s="113"/>
      <c r="L914" s="158"/>
      <c r="M914" s="113"/>
      <c r="N914" s="113"/>
      <c r="O914" s="113"/>
      <c r="P914" s="113"/>
      <c r="Q914" s="113"/>
      <c r="R914" s="113"/>
      <c r="S914" s="113"/>
      <c r="T914" s="113"/>
      <c r="U914" s="113"/>
      <c r="V914" s="113"/>
      <c r="W914" s="113"/>
      <c r="X914" s="113"/>
      <c r="Y914" s="113"/>
      <c r="Z914" s="113"/>
      <c r="AA914" s="113"/>
      <c r="AB914" s="113"/>
      <c r="AC914" s="113"/>
      <c r="AD914" s="113"/>
      <c r="AE914" s="113"/>
      <c r="AF914" s="113"/>
      <c r="AG914" s="113"/>
      <c r="AH914" s="113"/>
      <c r="AI914" s="113"/>
      <c r="AJ914" s="113"/>
      <c r="AK914" s="113"/>
      <c r="AL914" s="113"/>
      <c r="AM914" s="113"/>
      <c r="AN914" s="113"/>
      <c r="AO914" s="113"/>
      <c r="AP914" s="113"/>
      <c r="AQ914" s="113"/>
      <c r="AR914" s="113"/>
      <c r="AS914" s="113"/>
      <c r="AT914" s="113"/>
      <c r="AU914" s="113"/>
      <c r="AV914" s="113"/>
      <c r="AW914" s="113"/>
      <c r="AX914" s="113"/>
      <c r="AY914" s="113"/>
      <c r="AZ914" s="113"/>
      <c r="BA914" s="113"/>
      <c r="BB914" s="113"/>
      <c r="BC914" s="113"/>
      <c r="BD914" s="113"/>
      <c r="BE914" s="113"/>
      <c r="BF914" s="113"/>
      <c r="BG914" s="113"/>
      <c r="BH914" s="113"/>
      <c r="BI914" s="113"/>
      <c r="BJ914" s="113"/>
      <c r="BK914" s="113"/>
      <c r="BL914" s="113"/>
      <c r="BM914" s="113"/>
      <c r="BN914" s="113"/>
      <c r="BO914" s="113"/>
      <c r="BP914" s="113"/>
      <c r="BQ914" s="113"/>
      <c r="BR914" s="113"/>
      <c r="BS914" s="113"/>
      <c r="BT914" s="113"/>
      <c r="BU914" s="113"/>
      <c r="BV914" s="113"/>
      <c r="BW914" s="113"/>
      <c r="BX914" s="113"/>
      <c r="BY914" s="113"/>
      <c r="BZ914" s="113"/>
      <c r="CA914" s="113"/>
      <c r="CB914" s="113"/>
      <c r="CC914" s="113"/>
      <c r="CD914" s="113"/>
      <c r="CE914" s="113"/>
      <c r="CF914" s="113"/>
      <c r="CG914" s="113"/>
      <c r="CH914" s="113"/>
      <c r="CI914" s="113"/>
      <c r="CJ914" s="113"/>
      <c r="CK914" s="113"/>
      <c r="CL914" s="113"/>
      <c r="CM914" s="113"/>
      <c r="CN914" s="113"/>
      <c r="CO914" s="113"/>
      <c r="CP914" s="113"/>
      <c r="CQ914" s="113"/>
      <c r="CR914" s="113"/>
      <c r="CS914" s="113"/>
      <c r="CT914" s="113"/>
      <c r="CU914" s="113"/>
    </row>
    <row r="915">
      <c r="A915" s="159"/>
      <c r="B915" s="113"/>
      <c r="C915" s="113"/>
      <c r="D915" s="158"/>
      <c r="E915" s="161"/>
      <c r="F915" s="160"/>
      <c r="G915" s="162"/>
      <c r="H915" s="159"/>
      <c r="I915" s="113"/>
      <c r="J915" s="113"/>
      <c r="K915" s="113"/>
      <c r="L915" s="158"/>
      <c r="M915" s="113"/>
      <c r="N915" s="113"/>
      <c r="O915" s="113"/>
      <c r="P915" s="113"/>
      <c r="Q915" s="113"/>
      <c r="R915" s="113"/>
      <c r="S915" s="113"/>
      <c r="T915" s="113"/>
      <c r="U915" s="113"/>
      <c r="V915" s="113"/>
      <c r="W915" s="113"/>
      <c r="X915" s="113"/>
      <c r="Y915" s="113"/>
      <c r="Z915" s="113"/>
      <c r="AA915" s="113"/>
      <c r="AB915" s="113"/>
      <c r="AC915" s="113"/>
      <c r="AD915" s="113"/>
      <c r="AE915" s="113"/>
      <c r="AF915" s="113"/>
      <c r="AG915" s="113"/>
      <c r="AH915" s="113"/>
      <c r="AI915" s="113"/>
      <c r="AJ915" s="113"/>
      <c r="AK915" s="113"/>
      <c r="AL915" s="113"/>
      <c r="AM915" s="113"/>
      <c r="AN915" s="113"/>
      <c r="AO915" s="113"/>
      <c r="AP915" s="113"/>
      <c r="AQ915" s="113"/>
      <c r="AR915" s="113"/>
      <c r="AS915" s="113"/>
      <c r="AT915" s="113"/>
      <c r="AU915" s="113"/>
      <c r="AV915" s="113"/>
      <c r="AW915" s="113"/>
      <c r="AX915" s="113"/>
      <c r="AY915" s="113"/>
      <c r="AZ915" s="113"/>
      <c r="BA915" s="113"/>
      <c r="BB915" s="113"/>
      <c r="BC915" s="113"/>
      <c r="BD915" s="113"/>
      <c r="BE915" s="113"/>
      <c r="BF915" s="113"/>
      <c r="BG915" s="113"/>
      <c r="BH915" s="113"/>
      <c r="BI915" s="113"/>
      <c r="BJ915" s="113"/>
      <c r="BK915" s="113"/>
      <c r="BL915" s="113"/>
      <c r="BM915" s="113"/>
      <c r="BN915" s="113"/>
      <c r="BO915" s="113"/>
      <c r="BP915" s="113"/>
      <c r="BQ915" s="113"/>
      <c r="BR915" s="113"/>
      <c r="BS915" s="113"/>
      <c r="BT915" s="113"/>
      <c r="BU915" s="113"/>
      <c r="BV915" s="113"/>
      <c r="BW915" s="113"/>
      <c r="BX915" s="113"/>
      <c r="BY915" s="113"/>
      <c r="BZ915" s="113"/>
      <c r="CA915" s="113"/>
      <c r="CB915" s="113"/>
      <c r="CC915" s="113"/>
      <c r="CD915" s="113"/>
      <c r="CE915" s="113"/>
      <c r="CF915" s="113"/>
      <c r="CG915" s="113"/>
      <c r="CH915" s="113"/>
      <c r="CI915" s="113"/>
      <c r="CJ915" s="113"/>
      <c r="CK915" s="113"/>
      <c r="CL915" s="113"/>
      <c r="CM915" s="113"/>
      <c r="CN915" s="113"/>
      <c r="CO915" s="113"/>
      <c r="CP915" s="113"/>
      <c r="CQ915" s="113"/>
      <c r="CR915" s="113"/>
      <c r="CS915" s="113"/>
      <c r="CT915" s="113"/>
      <c r="CU915" s="113"/>
    </row>
    <row r="916">
      <c r="A916" s="159"/>
      <c r="B916" s="113"/>
      <c r="C916" s="113"/>
      <c r="D916" s="158"/>
      <c r="E916" s="161"/>
      <c r="F916" s="160"/>
      <c r="G916" s="162"/>
      <c r="H916" s="159"/>
      <c r="I916" s="113"/>
      <c r="J916" s="113"/>
      <c r="K916" s="113"/>
      <c r="L916" s="158"/>
      <c r="M916" s="113"/>
      <c r="N916" s="113"/>
      <c r="O916" s="113"/>
      <c r="P916" s="113"/>
      <c r="Q916" s="113"/>
      <c r="R916" s="113"/>
      <c r="S916" s="113"/>
      <c r="T916" s="113"/>
      <c r="U916" s="113"/>
      <c r="V916" s="113"/>
      <c r="W916" s="113"/>
      <c r="X916" s="113"/>
      <c r="Y916" s="113"/>
      <c r="Z916" s="113"/>
      <c r="AA916" s="113"/>
      <c r="AB916" s="113"/>
      <c r="AC916" s="113"/>
      <c r="AD916" s="113"/>
      <c r="AE916" s="113"/>
      <c r="AF916" s="113"/>
      <c r="AG916" s="113"/>
      <c r="AH916" s="113"/>
      <c r="AI916" s="113"/>
      <c r="AJ916" s="113"/>
      <c r="AK916" s="113"/>
      <c r="AL916" s="113"/>
      <c r="AM916" s="113"/>
      <c r="AN916" s="113"/>
      <c r="AO916" s="113"/>
      <c r="AP916" s="113"/>
      <c r="AQ916" s="113"/>
      <c r="AR916" s="113"/>
      <c r="AS916" s="113"/>
      <c r="AT916" s="113"/>
      <c r="AU916" s="113"/>
      <c r="AV916" s="113"/>
      <c r="AW916" s="113"/>
      <c r="AX916" s="113"/>
      <c r="AY916" s="113"/>
      <c r="AZ916" s="113"/>
      <c r="BA916" s="113"/>
      <c r="BB916" s="113"/>
      <c r="BC916" s="113"/>
      <c r="BD916" s="113"/>
      <c r="BE916" s="113"/>
      <c r="BF916" s="113"/>
      <c r="BG916" s="113"/>
      <c r="BH916" s="113"/>
      <c r="BI916" s="113"/>
      <c r="BJ916" s="113"/>
      <c r="BK916" s="113"/>
      <c r="BL916" s="113"/>
      <c r="BM916" s="113"/>
      <c r="BN916" s="113"/>
      <c r="BO916" s="113"/>
      <c r="BP916" s="113"/>
      <c r="BQ916" s="113"/>
      <c r="BR916" s="113"/>
      <c r="BS916" s="113"/>
      <c r="BT916" s="113"/>
      <c r="BU916" s="113"/>
      <c r="BV916" s="113"/>
      <c r="BW916" s="113"/>
      <c r="BX916" s="113"/>
      <c r="BY916" s="113"/>
      <c r="BZ916" s="113"/>
      <c r="CA916" s="113"/>
      <c r="CB916" s="113"/>
      <c r="CC916" s="113"/>
      <c r="CD916" s="113"/>
      <c r="CE916" s="113"/>
      <c r="CF916" s="113"/>
      <c r="CG916" s="113"/>
      <c r="CH916" s="113"/>
      <c r="CI916" s="113"/>
      <c r="CJ916" s="113"/>
      <c r="CK916" s="113"/>
      <c r="CL916" s="113"/>
      <c r="CM916" s="113"/>
      <c r="CN916" s="113"/>
      <c r="CO916" s="113"/>
      <c r="CP916" s="113"/>
      <c r="CQ916" s="113"/>
      <c r="CR916" s="113"/>
      <c r="CS916" s="113"/>
      <c r="CT916" s="113"/>
      <c r="CU916" s="113"/>
    </row>
    <row r="917">
      <c r="A917" s="159"/>
      <c r="B917" s="113"/>
      <c r="C917" s="113"/>
      <c r="D917" s="158"/>
      <c r="E917" s="161"/>
      <c r="F917" s="160"/>
      <c r="G917" s="162"/>
      <c r="H917" s="159"/>
      <c r="I917" s="113"/>
      <c r="J917" s="113"/>
      <c r="K917" s="113"/>
      <c r="L917" s="158"/>
      <c r="M917" s="113"/>
      <c r="N917" s="113"/>
      <c r="O917" s="113"/>
      <c r="P917" s="113"/>
      <c r="Q917" s="113"/>
      <c r="R917" s="113"/>
      <c r="S917" s="113"/>
      <c r="T917" s="113"/>
      <c r="U917" s="113"/>
      <c r="V917" s="113"/>
      <c r="W917" s="113"/>
      <c r="X917" s="113"/>
      <c r="Y917" s="113"/>
      <c r="Z917" s="113"/>
      <c r="AA917" s="113"/>
      <c r="AB917" s="113"/>
      <c r="AC917" s="113"/>
      <c r="AD917" s="113"/>
      <c r="AE917" s="113"/>
      <c r="AF917" s="113"/>
      <c r="AG917" s="113"/>
      <c r="AH917" s="113"/>
      <c r="AI917" s="113"/>
      <c r="AJ917" s="113"/>
      <c r="AK917" s="113"/>
      <c r="AL917" s="113"/>
      <c r="AM917" s="113"/>
      <c r="AN917" s="113"/>
      <c r="AO917" s="113"/>
      <c r="AP917" s="113"/>
      <c r="AQ917" s="113"/>
      <c r="AR917" s="113"/>
      <c r="AS917" s="113"/>
      <c r="AT917" s="113"/>
      <c r="AU917" s="113"/>
      <c r="AV917" s="113"/>
      <c r="AW917" s="113"/>
      <c r="AX917" s="113"/>
      <c r="AY917" s="113"/>
      <c r="AZ917" s="113"/>
      <c r="BA917" s="113"/>
      <c r="BB917" s="113"/>
      <c r="BC917" s="113"/>
      <c r="BD917" s="113"/>
      <c r="BE917" s="113"/>
      <c r="BF917" s="113"/>
      <c r="BG917" s="113"/>
      <c r="BH917" s="113"/>
      <c r="BI917" s="113"/>
      <c r="BJ917" s="113"/>
      <c r="BK917" s="113"/>
      <c r="BL917" s="113"/>
      <c r="BM917" s="113"/>
      <c r="BN917" s="113"/>
      <c r="BO917" s="113"/>
      <c r="BP917" s="113"/>
      <c r="BQ917" s="113"/>
      <c r="BR917" s="113"/>
      <c r="BS917" s="113"/>
      <c r="BT917" s="113"/>
      <c r="BU917" s="113"/>
      <c r="BV917" s="113"/>
      <c r="BW917" s="113"/>
      <c r="BX917" s="113"/>
      <c r="BY917" s="113"/>
      <c r="BZ917" s="113"/>
      <c r="CA917" s="113"/>
      <c r="CB917" s="113"/>
      <c r="CC917" s="113"/>
      <c r="CD917" s="113"/>
      <c r="CE917" s="113"/>
      <c r="CF917" s="113"/>
      <c r="CG917" s="113"/>
      <c r="CH917" s="113"/>
      <c r="CI917" s="113"/>
      <c r="CJ917" s="113"/>
      <c r="CK917" s="113"/>
      <c r="CL917" s="113"/>
      <c r="CM917" s="113"/>
      <c r="CN917" s="113"/>
      <c r="CO917" s="113"/>
      <c r="CP917" s="113"/>
      <c r="CQ917" s="113"/>
      <c r="CR917" s="113"/>
      <c r="CS917" s="113"/>
      <c r="CT917" s="113"/>
      <c r="CU917" s="113"/>
    </row>
    <row r="918">
      <c r="A918" s="159"/>
      <c r="B918" s="113"/>
      <c r="C918" s="113"/>
      <c r="D918" s="158"/>
      <c r="E918" s="161"/>
      <c r="F918" s="160"/>
      <c r="G918" s="162"/>
      <c r="H918" s="159"/>
      <c r="I918" s="113"/>
      <c r="J918" s="113"/>
      <c r="K918" s="113"/>
      <c r="L918" s="158"/>
      <c r="M918" s="113"/>
      <c r="N918" s="113"/>
      <c r="O918" s="113"/>
      <c r="P918" s="113"/>
      <c r="Q918" s="113"/>
      <c r="R918" s="113"/>
      <c r="S918" s="113"/>
      <c r="T918" s="113"/>
      <c r="U918" s="113"/>
      <c r="V918" s="113"/>
      <c r="W918" s="113"/>
      <c r="X918" s="113"/>
      <c r="Y918" s="113"/>
      <c r="Z918" s="113"/>
      <c r="AA918" s="113"/>
      <c r="AB918" s="113"/>
      <c r="AC918" s="113"/>
      <c r="AD918" s="113"/>
      <c r="AE918" s="113"/>
      <c r="AF918" s="113"/>
      <c r="AG918" s="113"/>
      <c r="AH918" s="113"/>
      <c r="AI918" s="113"/>
      <c r="AJ918" s="113"/>
      <c r="AK918" s="113"/>
      <c r="AL918" s="113"/>
      <c r="AM918" s="113"/>
      <c r="AN918" s="113"/>
      <c r="AO918" s="113"/>
      <c r="AP918" s="113"/>
      <c r="AQ918" s="113"/>
      <c r="AR918" s="113"/>
      <c r="AS918" s="113"/>
      <c r="AT918" s="113"/>
      <c r="AU918" s="113"/>
      <c r="AV918" s="113"/>
      <c r="AW918" s="113"/>
      <c r="AX918" s="113"/>
      <c r="AY918" s="113"/>
      <c r="AZ918" s="113"/>
      <c r="BA918" s="113"/>
      <c r="BB918" s="113"/>
      <c r="BC918" s="113"/>
      <c r="BD918" s="113"/>
      <c r="BE918" s="113"/>
      <c r="BF918" s="113"/>
      <c r="BG918" s="113"/>
      <c r="BH918" s="113"/>
      <c r="BI918" s="113"/>
      <c r="BJ918" s="113"/>
      <c r="BK918" s="113"/>
      <c r="BL918" s="113"/>
      <c r="BM918" s="113"/>
      <c r="BN918" s="113"/>
      <c r="BO918" s="113"/>
      <c r="BP918" s="113"/>
      <c r="BQ918" s="113"/>
      <c r="BR918" s="113"/>
      <c r="BS918" s="113"/>
      <c r="BT918" s="113"/>
      <c r="BU918" s="113"/>
      <c r="BV918" s="113"/>
      <c r="BW918" s="113"/>
      <c r="BX918" s="113"/>
      <c r="BY918" s="113"/>
      <c r="BZ918" s="113"/>
      <c r="CA918" s="113"/>
      <c r="CB918" s="113"/>
      <c r="CC918" s="113"/>
      <c r="CD918" s="113"/>
      <c r="CE918" s="113"/>
      <c r="CF918" s="113"/>
      <c r="CG918" s="113"/>
      <c r="CH918" s="113"/>
      <c r="CI918" s="113"/>
      <c r="CJ918" s="113"/>
      <c r="CK918" s="113"/>
      <c r="CL918" s="113"/>
      <c r="CM918" s="113"/>
      <c r="CN918" s="113"/>
      <c r="CO918" s="113"/>
      <c r="CP918" s="113"/>
      <c r="CQ918" s="113"/>
      <c r="CR918" s="113"/>
      <c r="CS918" s="113"/>
      <c r="CT918" s="113"/>
      <c r="CU918" s="113"/>
    </row>
    <row r="919">
      <c r="A919" s="159"/>
      <c r="B919" s="113"/>
      <c r="C919" s="113"/>
      <c r="D919" s="158"/>
      <c r="E919" s="161"/>
      <c r="F919" s="160"/>
      <c r="G919" s="162"/>
      <c r="H919" s="159"/>
      <c r="I919" s="113"/>
      <c r="J919" s="113"/>
      <c r="K919" s="113"/>
      <c r="L919" s="158"/>
      <c r="M919" s="113"/>
      <c r="N919" s="113"/>
      <c r="O919" s="113"/>
      <c r="P919" s="113"/>
      <c r="Q919" s="113"/>
      <c r="R919" s="113"/>
      <c r="S919" s="113"/>
      <c r="T919" s="113"/>
      <c r="U919" s="113"/>
      <c r="V919" s="113"/>
      <c r="W919" s="113"/>
      <c r="X919" s="113"/>
      <c r="Y919" s="113"/>
      <c r="Z919" s="113"/>
      <c r="AA919" s="113"/>
      <c r="AB919" s="113"/>
      <c r="AC919" s="113"/>
      <c r="AD919" s="113"/>
      <c r="AE919" s="113"/>
      <c r="AF919" s="113"/>
      <c r="AG919" s="113"/>
      <c r="AH919" s="113"/>
      <c r="AI919" s="113"/>
      <c r="AJ919" s="113"/>
      <c r="AK919" s="113"/>
      <c r="AL919" s="113"/>
      <c r="AM919" s="113"/>
      <c r="AN919" s="113"/>
      <c r="AO919" s="113"/>
      <c r="AP919" s="113"/>
      <c r="AQ919" s="113"/>
      <c r="AR919" s="113"/>
      <c r="AS919" s="113"/>
      <c r="AT919" s="113"/>
      <c r="AU919" s="113"/>
      <c r="AV919" s="113"/>
      <c r="AW919" s="113"/>
      <c r="AX919" s="113"/>
      <c r="AY919" s="113"/>
      <c r="AZ919" s="113"/>
      <c r="BA919" s="113"/>
      <c r="BB919" s="113"/>
      <c r="BC919" s="113"/>
      <c r="BD919" s="113"/>
      <c r="BE919" s="113"/>
      <c r="BF919" s="113"/>
      <c r="BG919" s="113"/>
      <c r="BH919" s="113"/>
      <c r="BI919" s="113"/>
      <c r="BJ919" s="113"/>
      <c r="BK919" s="113"/>
      <c r="BL919" s="113"/>
      <c r="BM919" s="113"/>
      <c r="BN919" s="113"/>
      <c r="BO919" s="113"/>
      <c r="BP919" s="113"/>
      <c r="BQ919" s="113"/>
      <c r="BR919" s="113"/>
      <c r="BS919" s="113"/>
      <c r="BT919" s="113"/>
      <c r="BU919" s="113"/>
      <c r="BV919" s="113"/>
      <c r="BW919" s="113"/>
      <c r="BX919" s="113"/>
      <c r="BY919" s="113"/>
      <c r="BZ919" s="113"/>
      <c r="CA919" s="113"/>
      <c r="CB919" s="113"/>
      <c r="CC919" s="113"/>
      <c r="CD919" s="113"/>
      <c r="CE919" s="113"/>
      <c r="CF919" s="113"/>
      <c r="CG919" s="113"/>
      <c r="CH919" s="113"/>
      <c r="CI919" s="113"/>
      <c r="CJ919" s="113"/>
      <c r="CK919" s="113"/>
      <c r="CL919" s="113"/>
      <c r="CM919" s="113"/>
      <c r="CN919" s="113"/>
      <c r="CO919" s="113"/>
      <c r="CP919" s="113"/>
      <c r="CQ919" s="113"/>
      <c r="CR919" s="113"/>
      <c r="CS919" s="113"/>
      <c r="CT919" s="113"/>
      <c r="CU919" s="113"/>
    </row>
    <row r="920">
      <c r="A920" s="159"/>
      <c r="B920" s="113"/>
      <c r="C920" s="113"/>
      <c r="D920" s="158"/>
      <c r="E920" s="161"/>
      <c r="F920" s="160"/>
      <c r="G920" s="162"/>
      <c r="H920" s="159"/>
      <c r="I920" s="113"/>
      <c r="J920" s="113"/>
      <c r="K920" s="113"/>
      <c r="L920" s="158"/>
      <c r="M920" s="113"/>
      <c r="N920" s="113"/>
      <c r="O920" s="113"/>
      <c r="P920" s="113"/>
      <c r="Q920" s="113"/>
      <c r="R920" s="113"/>
      <c r="S920" s="113"/>
      <c r="T920" s="113"/>
      <c r="U920" s="113"/>
      <c r="V920" s="113"/>
      <c r="W920" s="113"/>
      <c r="X920" s="113"/>
      <c r="Y920" s="113"/>
      <c r="Z920" s="113"/>
      <c r="AA920" s="113"/>
      <c r="AB920" s="113"/>
      <c r="AC920" s="113"/>
      <c r="AD920" s="113"/>
      <c r="AE920" s="113"/>
      <c r="AF920" s="113"/>
      <c r="AG920" s="113"/>
      <c r="AH920" s="113"/>
      <c r="AI920" s="113"/>
      <c r="AJ920" s="113"/>
      <c r="AK920" s="113"/>
      <c r="AL920" s="113"/>
      <c r="AM920" s="113"/>
      <c r="AN920" s="113"/>
      <c r="AO920" s="113"/>
      <c r="AP920" s="113"/>
      <c r="AQ920" s="113"/>
      <c r="AR920" s="113"/>
      <c r="AS920" s="113"/>
      <c r="AT920" s="113"/>
      <c r="AU920" s="113"/>
      <c r="AV920" s="113"/>
      <c r="AW920" s="113"/>
      <c r="AX920" s="113"/>
      <c r="AY920" s="113"/>
      <c r="AZ920" s="113"/>
      <c r="BA920" s="113"/>
      <c r="BB920" s="113"/>
      <c r="BC920" s="113"/>
      <c r="BD920" s="113"/>
      <c r="BE920" s="113"/>
      <c r="BF920" s="113"/>
      <c r="BG920" s="113"/>
      <c r="BH920" s="113"/>
      <c r="BI920" s="113"/>
      <c r="BJ920" s="113"/>
      <c r="BK920" s="113"/>
      <c r="BL920" s="113"/>
      <c r="BM920" s="113"/>
      <c r="BN920" s="113"/>
      <c r="BO920" s="113"/>
      <c r="BP920" s="113"/>
      <c r="BQ920" s="113"/>
      <c r="BR920" s="113"/>
      <c r="BS920" s="113"/>
      <c r="BT920" s="113"/>
      <c r="BU920" s="113"/>
      <c r="BV920" s="113"/>
      <c r="BW920" s="113"/>
      <c r="BX920" s="113"/>
      <c r="BY920" s="113"/>
      <c r="BZ920" s="113"/>
      <c r="CA920" s="113"/>
      <c r="CB920" s="113"/>
      <c r="CC920" s="113"/>
      <c r="CD920" s="113"/>
      <c r="CE920" s="113"/>
      <c r="CF920" s="113"/>
      <c r="CG920" s="113"/>
      <c r="CH920" s="113"/>
      <c r="CI920" s="113"/>
      <c r="CJ920" s="113"/>
      <c r="CK920" s="113"/>
      <c r="CL920" s="113"/>
      <c r="CM920" s="113"/>
      <c r="CN920" s="113"/>
      <c r="CO920" s="113"/>
      <c r="CP920" s="113"/>
      <c r="CQ920" s="113"/>
      <c r="CR920" s="113"/>
      <c r="CS920" s="113"/>
      <c r="CT920" s="113"/>
      <c r="CU920" s="113"/>
    </row>
    <row r="921">
      <c r="A921" s="159"/>
      <c r="B921" s="113"/>
      <c r="C921" s="113"/>
      <c r="D921" s="158"/>
      <c r="E921" s="161"/>
      <c r="F921" s="160"/>
      <c r="G921" s="162"/>
      <c r="H921" s="159"/>
      <c r="I921" s="113"/>
      <c r="J921" s="113"/>
      <c r="K921" s="113"/>
      <c r="L921" s="158"/>
      <c r="M921" s="113"/>
      <c r="N921" s="113"/>
      <c r="O921" s="113"/>
      <c r="P921" s="113"/>
      <c r="Q921" s="113"/>
      <c r="R921" s="113"/>
      <c r="S921" s="113"/>
      <c r="T921" s="113"/>
      <c r="U921" s="113"/>
      <c r="V921" s="113"/>
      <c r="W921" s="113"/>
      <c r="X921" s="113"/>
      <c r="Y921" s="113"/>
      <c r="Z921" s="113"/>
      <c r="AA921" s="113"/>
      <c r="AB921" s="113"/>
      <c r="AC921" s="113"/>
      <c r="AD921" s="113"/>
      <c r="AE921" s="113"/>
      <c r="AF921" s="113"/>
      <c r="AG921" s="113"/>
      <c r="AH921" s="113"/>
      <c r="AI921" s="113"/>
      <c r="AJ921" s="113"/>
      <c r="AK921" s="113"/>
      <c r="AL921" s="113"/>
      <c r="AM921" s="113"/>
      <c r="AN921" s="113"/>
      <c r="AO921" s="113"/>
      <c r="AP921" s="113"/>
      <c r="AQ921" s="113"/>
      <c r="AR921" s="113"/>
      <c r="AS921" s="113"/>
      <c r="AT921" s="113"/>
      <c r="AU921" s="113"/>
      <c r="AV921" s="113"/>
      <c r="AW921" s="113"/>
      <c r="AX921" s="113"/>
      <c r="AY921" s="113"/>
      <c r="AZ921" s="113"/>
      <c r="BA921" s="113"/>
      <c r="BB921" s="113"/>
      <c r="BC921" s="113"/>
      <c r="BD921" s="113"/>
      <c r="BE921" s="113"/>
      <c r="BF921" s="113"/>
      <c r="BG921" s="113"/>
      <c r="BH921" s="113"/>
      <c r="BI921" s="113"/>
      <c r="BJ921" s="113"/>
      <c r="BK921" s="113"/>
      <c r="BL921" s="113"/>
      <c r="BM921" s="113"/>
      <c r="BN921" s="113"/>
      <c r="BO921" s="113"/>
      <c r="BP921" s="113"/>
      <c r="BQ921" s="113"/>
      <c r="BR921" s="113"/>
      <c r="BS921" s="113"/>
      <c r="BT921" s="113"/>
      <c r="BU921" s="113"/>
      <c r="BV921" s="113"/>
      <c r="BW921" s="113"/>
      <c r="BX921" s="113"/>
      <c r="BY921" s="113"/>
      <c r="BZ921" s="113"/>
      <c r="CA921" s="113"/>
      <c r="CB921" s="113"/>
      <c r="CC921" s="113"/>
      <c r="CD921" s="113"/>
      <c r="CE921" s="113"/>
      <c r="CF921" s="113"/>
      <c r="CG921" s="113"/>
      <c r="CH921" s="113"/>
      <c r="CI921" s="113"/>
      <c r="CJ921" s="113"/>
      <c r="CK921" s="113"/>
      <c r="CL921" s="113"/>
      <c r="CM921" s="113"/>
      <c r="CN921" s="113"/>
      <c r="CO921" s="113"/>
      <c r="CP921" s="113"/>
      <c r="CQ921" s="113"/>
      <c r="CR921" s="113"/>
      <c r="CS921" s="113"/>
      <c r="CT921" s="113"/>
      <c r="CU921" s="113"/>
    </row>
    <row r="922">
      <c r="A922" s="159"/>
      <c r="B922" s="113"/>
      <c r="C922" s="113"/>
      <c r="D922" s="158"/>
      <c r="E922" s="161"/>
      <c r="F922" s="160"/>
      <c r="G922" s="162"/>
      <c r="H922" s="159"/>
      <c r="I922" s="113"/>
      <c r="J922" s="113"/>
      <c r="K922" s="113"/>
      <c r="L922" s="158"/>
      <c r="M922" s="113"/>
      <c r="N922" s="113"/>
      <c r="O922" s="113"/>
      <c r="P922" s="113"/>
      <c r="Q922" s="113"/>
      <c r="R922" s="113"/>
      <c r="S922" s="113"/>
      <c r="T922" s="113"/>
      <c r="U922" s="113"/>
      <c r="V922" s="113"/>
      <c r="W922" s="113"/>
      <c r="X922" s="113"/>
      <c r="Y922" s="113"/>
      <c r="Z922" s="113"/>
      <c r="AA922" s="113"/>
      <c r="AB922" s="113"/>
      <c r="AC922" s="113"/>
      <c r="AD922" s="113"/>
      <c r="AE922" s="113"/>
      <c r="AF922" s="113"/>
      <c r="AG922" s="113"/>
      <c r="AH922" s="113"/>
      <c r="AI922" s="113"/>
      <c r="AJ922" s="113"/>
      <c r="AK922" s="113"/>
      <c r="AL922" s="113"/>
      <c r="AM922" s="113"/>
      <c r="AN922" s="113"/>
      <c r="AO922" s="113"/>
      <c r="AP922" s="113"/>
      <c r="AQ922" s="113"/>
      <c r="AR922" s="113"/>
      <c r="AS922" s="113"/>
      <c r="AT922" s="113"/>
      <c r="AU922" s="113"/>
      <c r="AV922" s="113"/>
      <c r="AW922" s="113"/>
      <c r="AX922" s="113"/>
      <c r="AY922" s="113"/>
      <c r="AZ922" s="113"/>
      <c r="BA922" s="113"/>
      <c r="BB922" s="113"/>
      <c r="BC922" s="113"/>
      <c r="BD922" s="113"/>
      <c r="BE922" s="113"/>
      <c r="BF922" s="113"/>
      <c r="BG922" s="113"/>
      <c r="BH922" s="113"/>
      <c r="BI922" s="113"/>
      <c r="BJ922" s="113"/>
      <c r="BK922" s="113"/>
      <c r="BL922" s="113"/>
      <c r="BM922" s="113"/>
      <c r="BN922" s="113"/>
      <c r="BO922" s="113"/>
      <c r="BP922" s="113"/>
      <c r="BQ922" s="113"/>
      <c r="BR922" s="113"/>
      <c r="BS922" s="113"/>
      <c r="BT922" s="113"/>
      <c r="BU922" s="113"/>
      <c r="BV922" s="113"/>
      <c r="BW922" s="113"/>
      <c r="BX922" s="113"/>
      <c r="BY922" s="113"/>
      <c r="BZ922" s="113"/>
      <c r="CA922" s="113"/>
      <c r="CB922" s="113"/>
      <c r="CC922" s="113"/>
      <c r="CD922" s="113"/>
      <c r="CE922" s="113"/>
      <c r="CF922" s="113"/>
      <c r="CG922" s="113"/>
      <c r="CH922" s="113"/>
      <c r="CI922" s="113"/>
      <c r="CJ922" s="113"/>
      <c r="CK922" s="113"/>
      <c r="CL922" s="113"/>
      <c r="CM922" s="113"/>
      <c r="CN922" s="113"/>
      <c r="CO922" s="113"/>
      <c r="CP922" s="113"/>
      <c r="CQ922" s="113"/>
      <c r="CR922" s="113"/>
      <c r="CS922" s="113"/>
      <c r="CT922" s="113"/>
      <c r="CU922" s="113"/>
    </row>
    <row r="923">
      <c r="A923" s="159"/>
      <c r="B923" s="113"/>
      <c r="C923" s="113"/>
      <c r="D923" s="158"/>
      <c r="E923" s="161"/>
      <c r="F923" s="160"/>
      <c r="G923" s="162"/>
      <c r="H923" s="159"/>
      <c r="I923" s="113"/>
      <c r="J923" s="113"/>
      <c r="K923" s="113"/>
      <c r="L923" s="158"/>
      <c r="M923" s="113"/>
      <c r="N923" s="113"/>
      <c r="O923" s="113"/>
      <c r="P923" s="113"/>
      <c r="Q923" s="113"/>
      <c r="R923" s="113"/>
      <c r="S923" s="113"/>
      <c r="T923" s="113"/>
      <c r="U923" s="113"/>
      <c r="V923" s="113"/>
      <c r="W923" s="113"/>
      <c r="X923" s="113"/>
      <c r="Y923" s="113"/>
      <c r="Z923" s="113"/>
      <c r="AA923" s="113"/>
      <c r="AB923" s="113"/>
      <c r="AC923" s="113"/>
      <c r="AD923" s="113"/>
      <c r="AE923" s="113"/>
      <c r="AF923" s="113"/>
      <c r="AG923" s="113"/>
      <c r="AH923" s="113"/>
      <c r="AI923" s="113"/>
      <c r="AJ923" s="113"/>
      <c r="AK923" s="113"/>
      <c r="AL923" s="113"/>
      <c r="AM923" s="113"/>
      <c r="AN923" s="113"/>
      <c r="AO923" s="113"/>
      <c r="AP923" s="113"/>
      <c r="AQ923" s="113"/>
      <c r="AR923" s="113"/>
      <c r="AS923" s="113"/>
      <c r="AT923" s="113"/>
      <c r="AU923" s="113"/>
      <c r="AV923" s="113"/>
      <c r="AW923" s="113"/>
      <c r="AX923" s="113"/>
      <c r="AY923" s="113"/>
      <c r="AZ923" s="113"/>
      <c r="BA923" s="113"/>
      <c r="BB923" s="113"/>
      <c r="BC923" s="113"/>
      <c r="BD923" s="113"/>
      <c r="BE923" s="113"/>
      <c r="BF923" s="113"/>
      <c r="BG923" s="113"/>
      <c r="BH923" s="113"/>
      <c r="BI923" s="113"/>
      <c r="BJ923" s="113"/>
      <c r="BK923" s="113"/>
      <c r="BL923" s="113"/>
      <c r="BM923" s="113"/>
      <c r="BN923" s="113"/>
      <c r="BO923" s="113"/>
      <c r="BP923" s="113"/>
      <c r="BQ923" s="113"/>
      <c r="BR923" s="113"/>
      <c r="BS923" s="113"/>
      <c r="BT923" s="113"/>
      <c r="BU923" s="113"/>
      <c r="BV923" s="113"/>
      <c r="BW923" s="113"/>
      <c r="BX923" s="113"/>
      <c r="BY923" s="113"/>
      <c r="BZ923" s="113"/>
      <c r="CA923" s="113"/>
      <c r="CB923" s="113"/>
      <c r="CC923" s="113"/>
      <c r="CD923" s="113"/>
      <c r="CE923" s="113"/>
      <c r="CF923" s="113"/>
      <c r="CG923" s="113"/>
      <c r="CH923" s="113"/>
      <c r="CI923" s="113"/>
      <c r="CJ923" s="113"/>
      <c r="CK923" s="113"/>
      <c r="CL923" s="113"/>
      <c r="CM923" s="113"/>
      <c r="CN923" s="113"/>
      <c r="CO923" s="113"/>
      <c r="CP923" s="113"/>
      <c r="CQ923" s="113"/>
      <c r="CR923" s="113"/>
      <c r="CS923" s="113"/>
      <c r="CT923" s="113"/>
      <c r="CU923" s="113"/>
    </row>
    <row r="924">
      <c r="A924" s="159"/>
      <c r="B924" s="113"/>
      <c r="C924" s="113"/>
      <c r="D924" s="158"/>
      <c r="E924" s="161"/>
      <c r="F924" s="160"/>
      <c r="G924" s="162"/>
      <c r="H924" s="159"/>
      <c r="I924" s="113"/>
      <c r="J924" s="113"/>
      <c r="K924" s="113"/>
      <c r="L924" s="158"/>
      <c r="M924" s="113"/>
      <c r="N924" s="113"/>
      <c r="O924" s="113"/>
      <c r="P924" s="113"/>
      <c r="Q924" s="113"/>
      <c r="R924" s="113"/>
      <c r="S924" s="113"/>
      <c r="T924" s="113"/>
      <c r="U924" s="113"/>
      <c r="V924" s="113"/>
      <c r="W924" s="113"/>
      <c r="X924" s="113"/>
      <c r="Y924" s="113"/>
      <c r="Z924" s="113"/>
      <c r="AA924" s="113"/>
      <c r="AB924" s="113"/>
      <c r="AC924" s="113"/>
      <c r="AD924" s="113"/>
      <c r="AE924" s="113"/>
      <c r="AF924" s="113"/>
      <c r="AG924" s="113"/>
      <c r="AH924" s="113"/>
      <c r="AI924" s="113"/>
      <c r="AJ924" s="113"/>
      <c r="AK924" s="113"/>
      <c r="AL924" s="113"/>
      <c r="AM924" s="113"/>
      <c r="AN924" s="113"/>
      <c r="AO924" s="113"/>
      <c r="AP924" s="113"/>
      <c r="AQ924" s="113"/>
      <c r="AR924" s="113"/>
      <c r="AS924" s="113"/>
      <c r="AT924" s="113"/>
      <c r="AU924" s="113"/>
      <c r="AV924" s="113"/>
      <c r="AW924" s="113"/>
      <c r="AX924" s="113"/>
      <c r="AY924" s="113"/>
      <c r="AZ924" s="113"/>
      <c r="BA924" s="113"/>
      <c r="BB924" s="113"/>
      <c r="BC924" s="113"/>
      <c r="BD924" s="113"/>
      <c r="BE924" s="113"/>
      <c r="BF924" s="113"/>
      <c r="BG924" s="113"/>
      <c r="BH924" s="113"/>
      <c r="BI924" s="113"/>
      <c r="BJ924" s="113"/>
      <c r="BK924" s="113"/>
      <c r="BL924" s="113"/>
      <c r="BM924" s="113"/>
      <c r="BN924" s="113"/>
      <c r="BO924" s="113"/>
      <c r="BP924" s="113"/>
      <c r="BQ924" s="113"/>
      <c r="BR924" s="113"/>
      <c r="BS924" s="113"/>
      <c r="BT924" s="113"/>
      <c r="BU924" s="113"/>
      <c r="BV924" s="113"/>
      <c r="BW924" s="113"/>
      <c r="BX924" s="113"/>
      <c r="BY924" s="113"/>
      <c r="BZ924" s="113"/>
      <c r="CA924" s="113"/>
      <c r="CB924" s="113"/>
      <c r="CC924" s="113"/>
      <c r="CD924" s="113"/>
      <c r="CE924" s="113"/>
      <c r="CF924" s="113"/>
      <c r="CG924" s="113"/>
      <c r="CH924" s="113"/>
      <c r="CI924" s="113"/>
      <c r="CJ924" s="113"/>
      <c r="CK924" s="113"/>
      <c r="CL924" s="113"/>
      <c r="CM924" s="113"/>
      <c r="CN924" s="113"/>
      <c r="CO924" s="113"/>
      <c r="CP924" s="113"/>
      <c r="CQ924" s="113"/>
      <c r="CR924" s="113"/>
      <c r="CS924" s="113"/>
      <c r="CT924" s="113"/>
      <c r="CU924" s="113"/>
    </row>
    <row r="925">
      <c r="A925" s="159"/>
      <c r="B925" s="113"/>
      <c r="C925" s="113"/>
      <c r="D925" s="158"/>
      <c r="E925" s="161"/>
      <c r="F925" s="160"/>
      <c r="G925" s="162"/>
      <c r="H925" s="159"/>
      <c r="I925" s="113"/>
      <c r="J925" s="113"/>
      <c r="K925" s="113"/>
      <c r="L925" s="158"/>
      <c r="M925" s="113"/>
      <c r="N925" s="113"/>
      <c r="O925" s="113"/>
      <c r="P925" s="113"/>
      <c r="Q925" s="113"/>
      <c r="R925" s="113"/>
      <c r="S925" s="113"/>
      <c r="T925" s="113"/>
      <c r="U925" s="113"/>
      <c r="V925" s="113"/>
      <c r="W925" s="113"/>
      <c r="X925" s="113"/>
      <c r="Y925" s="113"/>
      <c r="Z925" s="113"/>
      <c r="AA925" s="113"/>
      <c r="AB925" s="113"/>
      <c r="AC925" s="113"/>
      <c r="AD925" s="113"/>
      <c r="AE925" s="113"/>
      <c r="AF925" s="113"/>
      <c r="AG925" s="113"/>
      <c r="AH925" s="113"/>
      <c r="AI925" s="113"/>
      <c r="AJ925" s="113"/>
      <c r="AK925" s="113"/>
      <c r="AL925" s="113"/>
      <c r="AM925" s="113"/>
      <c r="AN925" s="113"/>
      <c r="AO925" s="113"/>
      <c r="AP925" s="113"/>
      <c r="AQ925" s="113"/>
      <c r="AR925" s="113"/>
      <c r="AS925" s="113"/>
      <c r="AT925" s="113"/>
      <c r="AU925" s="113"/>
      <c r="AV925" s="113"/>
      <c r="AW925" s="113"/>
      <c r="AX925" s="113"/>
      <c r="AY925" s="113"/>
      <c r="AZ925" s="113"/>
      <c r="BA925" s="113"/>
      <c r="BB925" s="113"/>
      <c r="BC925" s="113"/>
      <c r="BD925" s="113"/>
      <c r="BE925" s="113"/>
      <c r="BF925" s="113"/>
      <c r="BG925" s="113"/>
      <c r="BH925" s="113"/>
      <c r="BI925" s="113"/>
      <c r="BJ925" s="113"/>
      <c r="BK925" s="113"/>
      <c r="BL925" s="113"/>
      <c r="BM925" s="113"/>
      <c r="BN925" s="113"/>
      <c r="BO925" s="113"/>
      <c r="BP925" s="113"/>
      <c r="BQ925" s="113"/>
      <c r="BR925" s="113"/>
      <c r="BS925" s="113"/>
      <c r="BT925" s="113"/>
      <c r="BU925" s="113"/>
      <c r="BV925" s="113"/>
      <c r="BW925" s="113"/>
      <c r="BX925" s="113"/>
      <c r="BY925" s="113"/>
      <c r="BZ925" s="113"/>
      <c r="CA925" s="113"/>
      <c r="CB925" s="113"/>
      <c r="CC925" s="113"/>
      <c r="CD925" s="113"/>
      <c r="CE925" s="113"/>
      <c r="CF925" s="113"/>
      <c r="CG925" s="113"/>
      <c r="CH925" s="113"/>
      <c r="CI925" s="113"/>
      <c r="CJ925" s="113"/>
      <c r="CK925" s="113"/>
      <c r="CL925" s="113"/>
      <c r="CM925" s="113"/>
      <c r="CN925" s="113"/>
      <c r="CO925" s="113"/>
      <c r="CP925" s="113"/>
      <c r="CQ925" s="113"/>
      <c r="CR925" s="113"/>
      <c r="CS925" s="113"/>
      <c r="CT925" s="113"/>
      <c r="CU925" s="113"/>
    </row>
    <row r="926">
      <c r="A926" s="159"/>
      <c r="B926" s="113"/>
      <c r="C926" s="113"/>
      <c r="D926" s="158"/>
      <c r="E926" s="161"/>
      <c r="F926" s="160"/>
      <c r="G926" s="162"/>
      <c r="H926" s="159"/>
      <c r="I926" s="113"/>
      <c r="J926" s="113"/>
      <c r="K926" s="113"/>
      <c r="L926" s="158"/>
      <c r="M926" s="113"/>
      <c r="N926" s="113"/>
      <c r="O926" s="113"/>
      <c r="P926" s="113"/>
      <c r="Q926" s="113"/>
      <c r="R926" s="113"/>
      <c r="S926" s="113"/>
      <c r="T926" s="113"/>
      <c r="U926" s="113"/>
      <c r="V926" s="113"/>
      <c r="W926" s="113"/>
      <c r="X926" s="113"/>
      <c r="Y926" s="113"/>
      <c r="Z926" s="113"/>
      <c r="AA926" s="113"/>
      <c r="AB926" s="113"/>
      <c r="AC926" s="113"/>
      <c r="AD926" s="113"/>
      <c r="AE926" s="113"/>
      <c r="AF926" s="113"/>
      <c r="AG926" s="113"/>
      <c r="AH926" s="113"/>
      <c r="AI926" s="113"/>
      <c r="AJ926" s="113"/>
      <c r="AK926" s="113"/>
      <c r="AL926" s="113"/>
      <c r="AM926" s="113"/>
      <c r="AN926" s="113"/>
      <c r="AO926" s="113"/>
      <c r="AP926" s="113"/>
      <c r="AQ926" s="113"/>
      <c r="AR926" s="113"/>
      <c r="AS926" s="113"/>
      <c r="AT926" s="113"/>
      <c r="AU926" s="113"/>
      <c r="AV926" s="113"/>
      <c r="AW926" s="113"/>
      <c r="AX926" s="113"/>
      <c r="AY926" s="113"/>
      <c r="AZ926" s="113"/>
      <c r="BA926" s="113"/>
      <c r="BB926" s="113"/>
      <c r="BC926" s="113"/>
      <c r="BD926" s="113"/>
      <c r="BE926" s="113"/>
      <c r="BF926" s="113"/>
      <c r="BG926" s="113"/>
      <c r="BH926" s="113"/>
      <c r="BI926" s="113"/>
      <c r="BJ926" s="113"/>
      <c r="BK926" s="113"/>
      <c r="BL926" s="113"/>
      <c r="BM926" s="113"/>
      <c r="BN926" s="113"/>
      <c r="BO926" s="113"/>
      <c r="BP926" s="113"/>
      <c r="BQ926" s="113"/>
      <c r="BR926" s="113"/>
      <c r="BS926" s="113"/>
      <c r="BT926" s="113"/>
      <c r="BU926" s="113"/>
      <c r="BV926" s="113"/>
      <c r="BW926" s="113"/>
      <c r="BX926" s="113"/>
      <c r="BY926" s="113"/>
      <c r="BZ926" s="113"/>
      <c r="CA926" s="113"/>
      <c r="CB926" s="113"/>
      <c r="CC926" s="113"/>
      <c r="CD926" s="113"/>
      <c r="CE926" s="113"/>
      <c r="CF926" s="113"/>
      <c r="CG926" s="113"/>
      <c r="CH926" s="113"/>
      <c r="CI926" s="113"/>
      <c r="CJ926" s="113"/>
      <c r="CK926" s="113"/>
      <c r="CL926" s="113"/>
      <c r="CM926" s="113"/>
      <c r="CN926" s="113"/>
      <c r="CO926" s="113"/>
      <c r="CP926" s="113"/>
      <c r="CQ926" s="113"/>
      <c r="CR926" s="113"/>
      <c r="CS926" s="113"/>
      <c r="CT926" s="113"/>
      <c r="CU926" s="113"/>
    </row>
    <row r="927">
      <c r="A927" s="159"/>
      <c r="B927" s="113"/>
      <c r="C927" s="113"/>
      <c r="D927" s="158"/>
      <c r="E927" s="161"/>
      <c r="F927" s="160"/>
      <c r="G927" s="162"/>
      <c r="H927" s="159"/>
      <c r="I927" s="113"/>
      <c r="J927" s="113"/>
      <c r="K927" s="113"/>
      <c r="L927" s="158"/>
      <c r="M927" s="113"/>
      <c r="N927" s="113"/>
      <c r="O927" s="113"/>
      <c r="P927" s="113"/>
      <c r="Q927" s="113"/>
      <c r="R927" s="113"/>
      <c r="S927" s="113"/>
      <c r="T927" s="113"/>
      <c r="U927" s="113"/>
      <c r="V927" s="113"/>
      <c r="W927" s="113"/>
      <c r="X927" s="113"/>
      <c r="Y927" s="113"/>
      <c r="Z927" s="113"/>
      <c r="AA927" s="113"/>
      <c r="AB927" s="113"/>
      <c r="AC927" s="113"/>
      <c r="AD927" s="113"/>
      <c r="AE927" s="113"/>
      <c r="AF927" s="113"/>
      <c r="AG927" s="113"/>
      <c r="AH927" s="113"/>
      <c r="AI927" s="113"/>
      <c r="AJ927" s="113"/>
      <c r="AK927" s="113"/>
      <c r="AL927" s="113"/>
      <c r="AM927" s="113"/>
      <c r="AN927" s="113"/>
      <c r="AO927" s="113"/>
      <c r="AP927" s="113"/>
      <c r="AQ927" s="113"/>
      <c r="AR927" s="113"/>
      <c r="AS927" s="113"/>
      <c r="AT927" s="113"/>
      <c r="AU927" s="113"/>
      <c r="AV927" s="113"/>
      <c r="AW927" s="113"/>
      <c r="AX927" s="113"/>
      <c r="AY927" s="113"/>
      <c r="AZ927" s="113"/>
      <c r="BA927" s="113"/>
      <c r="BB927" s="113"/>
      <c r="BC927" s="113"/>
      <c r="BD927" s="113"/>
      <c r="BE927" s="113"/>
      <c r="BF927" s="113"/>
      <c r="BG927" s="113"/>
      <c r="BH927" s="113"/>
      <c r="BI927" s="113"/>
      <c r="BJ927" s="113"/>
      <c r="BK927" s="113"/>
      <c r="BL927" s="113"/>
      <c r="BM927" s="113"/>
      <c r="BN927" s="113"/>
      <c r="BO927" s="113"/>
      <c r="BP927" s="113"/>
      <c r="BQ927" s="113"/>
      <c r="BR927" s="113"/>
      <c r="BS927" s="113"/>
      <c r="BT927" s="113"/>
      <c r="BU927" s="113"/>
      <c r="BV927" s="113"/>
      <c r="BW927" s="113"/>
      <c r="BX927" s="113"/>
      <c r="BY927" s="113"/>
      <c r="BZ927" s="113"/>
      <c r="CA927" s="113"/>
      <c r="CB927" s="113"/>
      <c r="CC927" s="113"/>
      <c r="CD927" s="113"/>
      <c r="CE927" s="113"/>
      <c r="CF927" s="113"/>
      <c r="CG927" s="113"/>
      <c r="CH927" s="113"/>
      <c r="CI927" s="113"/>
      <c r="CJ927" s="113"/>
      <c r="CK927" s="113"/>
      <c r="CL927" s="113"/>
      <c r="CM927" s="113"/>
      <c r="CN927" s="113"/>
      <c r="CO927" s="113"/>
      <c r="CP927" s="113"/>
      <c r="CQ927" s="113"/>
      <c r="CR927" s="113"/>
      <c r="CS927" s="113"/>
      <c r="CT927" s="113"/>
      <c r="CU927" s="113"/>
    </row>
    <row r="928">
      <c r="A928" s="159"/>
      <c r="B928" s="113"/>
      <c r="C928" s="113"/>
      <c r="D928" s="158"/>
      <c r="E928" s="161"/>
      <c r="F928" s="160"/>
      <c r="G928" s="162"/>
      <c r="H928" s="159"/>
      <c r="I928" s="113"/>
      <c r="J928" s="113"/>
      <c r="K928" s="113"/>
      <c r="L928" s="158"/>
      <c r="M928" s="113"/>
      <c r="N928" s="113"/>
      <c r="O928" s="113"/>
      <c r="P928" s="113"/>
      <c r="Q928" s="113"/>
      <c r="R928" s="113"/>
      <c r="S928" s="113"/>
      <c r="T928" s="113"/>
      <c r="U928" s="113"/>
      <c r="V928" s="113"/>
      <c r="W928" s="113"/>
      <c r="X928" s="113"/>
      <c r="Y928" s="113"/>
      <c r="Z928" s="113"/>
      <c r="AA928" s="113"/>
      <c r="AB928" s="113"/>
      <c r="AC928" s="113"/>
      <c r="AD928" s="113"/>
      <c r="AE928" s="113"/>
      <c r="AF928" s="113"/>
      <c r="AG928" s="113"/>
      <c r="AH928" s="113"/>
      <c r="AI928" s="113"/>
      <c r="AJ928" s="113"/>
      <c r="AK928" s="113"/>
      <c r="AL928" s="113"/>
      <c r="AM928" s="113"/>
      <c r="AN928" s="113"/>
      <c r="AO928" s="113"/>
      <c r="AP928" s="113"/>
      <c r="AQ928" s="113"/>
      <c r="AR928" s="113"/>
      <c r="AS928" s="113"/>
      <c r="AT928" s="113"/>
      <c r="AU928" s="113"/>
      <c r="AV928" s="113"/>
      <c r="AW928" s="113"/>
      <c r="AX928" s="113"/>
      <c r="AY928" s="113"/>
      <c r="AZ928" s="113"/>
      <c r="BA928" s="113"/>
      <c r="BB928" s="113"/>
      <c r="BC928" s="113"/>
      <c r="BD928" s="113"/>
      <c r="BE928" s="113"/>
      <c r="BF928" s="113"/>
      <c r="BG928" s="113"/>
      <c r="BH928" s="113"/>
      <c r="BI928" s="113"/>
      <c r="BJ928" s="113"/>
      <c r="BK928" s="113"/>
      <c r="BL928" s="113"/>
      <c r="BM928" s="113"/>
      <c r="BN928" s="113"/>
      <c r="BO928" s="113"/>
      <c r="BP928" s="113"/>
      <c r="BQ928" s="113"/>
      <c r="BR928" s="113"/>
      <c r="BS928" s="113"/>
      <c r="BT928" s="113"/>
      <c r="BU928" s="113"/>
      <c r="BV928" s="113"/>
      <c r="BW928" s="113"/>
      <c r="BX928" s="113"/>
      <c r="BY928" s="113"/>
      <c r="BZ928" s="113"/>
      <c r="CA928" s="113"/>
      <c r="CB928" s="113"/>
      <c r="CC928" s="113"/>
      <c r="CD928" s="113"/>
      <c r="CE928" s="113"/>
      <c r="CF928" s="113"/>
      <c r="CG928" s="113"/>
      <c r="CH928" s="113"/>
      <c r="CI928" s="113"/>
      <c r="CJ928" s="113"/>
      <c r="CK928" s="113"/>
      <c r="CL928" s="113"/>
      <c r="CM928" s="113"/>
      <c r="CN928" s="113"/>
      <c r="CO928" s="113"/>
      <c r="CP928" s="113"/>
      <c r="CQ928" s="113"/>
      <c r="CR928" s="113"/>
      <c r="CS928" s="113"/>
      <c r="CT928" s="113"/>
      <c r="CU928" s="113"/>
    </row>
    <row r="929">
      <c r="A929" s="159"/>
      <c r="B929" s="113"/>
      <c r="C929" s="113"/>
      <c r="D929" s="158"/>
      <c r="E929" s="161"/>
      <c r="F929" s="160"/>
      <c r="G929" s="162"/>
      <c r="H929" s="159"/>
      <c r="I929" s="113"/>
      <c r="J929" s="113"/>
      <c r="K929" s="113"/>
      <c r="L929" s="158"/>
      <c r="M929" s="113"/>
      <c r="N929" s="113"/>
      <c r="O929" s="113"/>
      <c r="P929" s="113"/>
      <c r="Q929" s="113"/>
      <c r="R929" s="113"/>
      <c r="S929" s="113"/>
      <c r="T929" s="113"/>
      <c r="U929" s="113"/>
      <c r="V929" s="113"/>
      <c r="W929" s="113"/>
      <c r="X929" s="113"/>
      <c r="Y929" s="113"/>
      <c r="Z929" s="113"/>
      <c r="AA929" s="113"/>
      <c r="AB929" s="113"/>
      <c r="AC929" s="113"/>
      <c r="AD929" s="113"/>
      <c r="AE929" s="113"/>
      <c r="AF929" s="113"/>
      <c r="AG929" s="113"/>
      <c r="AH929" s="113"/>
      <c r="AI929" s="113"/>
      <c r="AJ929" s="113"/>
      <c r="AK929" s="113"/>
      <c r="AL929" s="113"/>
      <c r="AM929" s="113"/>
      <c r="AN929" s="113"/>
      <c r="AO929" s="113"/>
      <c r="AP929" s="113"/>
      <c r="AQ929" s="113"/>
      <c r="AR929" s="113"/>
      <c r="AS929" s="113"/>
      <c r="AT929" s="113"/>
      <c r="AU929" s="113"/>
      <c r="AV929" s="113"/>
      <c r="AW929" s="113"/>
      <c r="AX929" s="113"/>
      <c r="AY929" s="113"/>
      <c r="AZ929" s="113"/>
      <c r="BA929" s="113"/>
      <c r="BB929" s="113"/>
      <c r="BC929" s="113"/>
      <c r="BD929" s="113"/>
      <c r="BE929" s="113"/>
      <c r="BF929" s="113"/>
      <c r="BG929" s="113"/>
      <c r="BH929" s="113"/>
      <c r="BI929" s="113"/>
      <c r="BJ929" s="113"/>
      <c r="BK929" s="113"/>
      <c r="BL929" s="113"/>
      <c r="BM929" s="113"/>
      <c r="BN929" s="113"/>
      <c r="BO929" s="113"/>
      <c r="BP929" s="113"/>
      <c r="BQ929" s="113"/>
      <c r="BR929" s="113"/>
      <c r="BS929" s="113"/>
      <c r="BT929" s="113"/>
      <c r="BU929" s="113"/>
      <c r="BV929" s="113"/>
      <c r="BW929" s="113"/>
      <c r="BX929" s="113"/>
      <c r="BY929" s="113"/>
      <c r="BZ929" s="113"/>
      <c r="CA929" s="113"/>
      <c r="CB929" s="113"/>
      <c r="CC929" s="113"/>
      <c r="CD929" s="113"/>
      <c r="CE929" s="113"/>
      <c r="CF929" s="113"/>
      <c r="CG929" s="113"/>
      <c r="CH929" s="113"/>
      <c r="CI929" s="113"/>
      <c r="CJ929" s="113"/>
      <c r="CK929" s="113"/>
      <c r="CL929" s="113"/>
      <c r="CM929" s="113"/>
      <c r="CN929" s="113"/>
      <c r="CO929" s="113"/>
      <c r="CP929" s="113"/>
      <c r="CQ929" s="113"/>
      <c r="CR929" s="113"/>
      <c r="CS929" s="113"/>
      <c r="CT929" s="113"/>
      <c r="CU929" s="113"/>
    </row>
    <row r="930">
      <c r="A930" s="159"/>
      <c r="B930" s="113"/>
      <c r="C930" s="113"/>
      <c r="D930" s="158"/>
      <c r="E930" s="161"/>
      <c r="F930" s="160"/>
      <c r="G930" s="162"/>
      <c r="H930" s="159"/>
      <c r="I930" s="113"/>
      <c r="J930" s="113"/>
      <c r="K930" s="113"/>
      <c r="L930" s="158"/>
      <c r="M930" s="113"/>
      <c r="N930" s="113"/>
      <c r="O930" s="113"/>
      <c r="P930" s="113"/>
      <c r="Q930" s="113"/>
      <c r="R930" s="113"/>
      <c r="S930" s="113"/>
      <c r="T930" s="113"/>
      <c r="U930" s="113"/>
      <c r="V930" s="113"/>
      <c r="W930" s="113"/>
      <c r="X930" s="113"/>
      <c r="Y930" s="113"/>
      <c r="Z930" s="113"/>
      <c r="AA930" s="113"/>
      <c r="AB930" s="113"/>
      <c r="AC930" s="113"/>
      <c r="AD930" s="113"/>
      <c r="AE930" s="113"/>
      <c r="AF930" s="113"/>
      <c r="AG930" s="113"/>
      <c r="AH930" s="113"/>
      <c r="AI930" s="113"/>
      <c r="AJ930" s="113"/>
      <c r="AK930" s="113"/>
      <c r="AL930" s="113"/>
      <c r="AM930" s="113"/>
      <c r="AN930" s="113"/>
      <c r="AO930" s="113"/>
      <c r="AP930" s="113"/>
      <c r="AQ930" s="113"/>
      <c r="AR930" s="113"/>
      <c r="AS930" s="113"/>
      <c r="AT930" s="113"/>
      <c r="AU930" s="113"/>
      <c r="AV930" s="113"/>
      <c r="AW930" s="113"/>
      <c r="AX930" s="113"/>
      <c r="AY930" s="113"/>
      <c r="AZ930" s="113"/>
      <c r="BA930" s="113"/>
      <c r="BB930" s="113"/>
      <c r="BC930" s="113"/>
      <c r="BD930" s="113"/>
      <c r="BE930" s="113"/>
      <c r="BF930" s="113"/>
      <c r="BG930" s="113"/>
      <c r="BH930" s="113"/>
      <c r="BI930" s="113"/>
      <c r="BJ930" s="113"/>
      <c r="BK930" s="113"/>
      <c r="BL930" s="113"/>
      <c r="BM930" s="113"/>
      <c r="BN930" s="113"/>
      <c r="BO930" s="113"/>
      <c r="BP930" s="113"/>
      <c r="BQ930" s="113"/>
      <c r="BR930" s="113"/>
      <c r="BS930" s="113"/>
      <c r="BT930" s="113"/>
      <c r="BU930" s="113"/>
      <c r="BV930" s="113"/>
      <c r="BW930" s="113"/>
      <c r="BX930" s="113"/>
      <c r="BY930" s="113"/>
      <c r="BZ930" s="113"/>
      <c r="CA930" s="113"/>
      <c r="CB930" s="113"/>
      <c r="CC930" s="113"/>
      <c r="CD930" s="113"/>
      <c r="CE930" s="113"/>
      <c r="CF930" s="113"/>
      <c r="CG930" s="113"/>
      <c r="CH930" s="113"/>
      <c r="CI930" s="113"/>
      <c r="CJ930" s="113"/>
      <c r="CK930" s="113"/>
      <c r="CL930" s="113"/>
      <c r="CM930" s="113"/>
      <c r="CN930" s="113"/>
      <c r="CO930" s="113"/>
      <c r="CP930" s="113"/>
      <c r="CQ930" s="113"/>
      <c r="CR930" s="113"/>
      <c r="CS930" s="113"/>
      <c r="CT930" s="113"/>
      <c r="CU930" s="113"/>
    </row>
    <row r="931">
      <c r="A931" s="159"/>
      <c r="B931" s="113"/>
      <c r="C931" s="113"/>
      <c r="D931" s="158"/>
      <c r="E931" s="161"/>
      <c r="F931" s="160"/>
      <c r="G931" s="162"/>
      <c r="H931" s="159"/>
      <c r="I931" s="113"/>
      <c r="J931" s="113"/>
      <c r="K931" s="113"/>
      <c r="L931" s="158"/>
      <c r="M931" s="113"/>
      <c r="N931" s="113"/>
      <c r="O931" s="113"/>
      <c r="P931" s="113"/>
      <c r="Q931" s="113"/>
      <c r="R931" s="113"/>
      <c r="S931" s="113"/>
      <c r="T931" s="113"/>
      <c r="U931" s="113"/>
      <c r="V931" s="113"/>
      <c r="W931" s="113"/>
      <c r="X931" s="113"/>
      <c r="Y931" s="113"/>
      <c r="Z931" s="113"/>
      <c r="AA931" s="113"/>
      <c r="AB931" s="113"/>
      <c r="AC931" s="113"/>
      <c r="AD931" s="113"/>
      <c r="AE931" s="113"/>
      <c r="AF931" s="113"/>
      <c r="AG931" s="113"/>
      <c r="AH931" s="113"/>
      <c r="AI931" s="113"/>
      <c r="AJ931" s="113"/>
      <c r="AK931" s="113"/>
      <c r="AL931" s="113"/>
      <c r="AM931" s="113"/>
      <c r="AN931" s="113"/>
      <c r="AO931" s="113"/>
      <c r="AP931" s="113"/>
      <c r="AQ931" s="113"/>
      <c r="AR931" s="113"/>
      <c r="AS931" s="113"/>
      <c r="AT931" s="113"/>
      <c r="AU931" s="113"/>
      <c r="AV931" s="113"/>
      <c r="AW931" s="113"/>
      <c r="AX931" s="113"/>
      <c r="AY931" s="113"/>
      <c r="AZ931" s="113"/>
      <c r="BA931" s="113"/>
      <c r="BB931" s="113"/>
      <c r="BC931" s="113"/>
      <c r="BD931" s="113"/>
      <c r="BE931" s="113"/>
      <c r="BF931" s="113"/>
      <c r="BG931" s="113"/>
      <c r="BH931" s="113"/>
      <c r="BI931" s="113"/>
      <c r="BJ931" s="113"/>
      <c r="BK931" s="113"/>
      <c r="BL931" s="113"/>
      <c r="BM931" s="113"/>
      <c r="BN931" s="113"/>
      <c r="BO931" s="113"/>
      <c r="BP931" s="113"/>
      <c r="BQ931" s="113"/>
      <c r="BR931" s="113"/>
      <c r="BS931" s="113"/>
      <c r="BT931" s="113"/>
      <c r="BU931" s="113"/>
      <c r="BV931" s="113"/>
      <c r="BW931" s="113"/>
      <c r="BX931" s="113"/>
      <c r="BY931" s="113"/>
      <c r="BZ931" s="113"/>
      <c r="CA931" s="113"/>
      <c r="CB931" s="113"/>
      <c r="CC931" s="113"/>
      <c r="CD931" s="113"/>
      <c r="CE931" s="113"/>
      <c r="CF931" s="113"/>
      <c r="CG931" s="113"/>
      <c r="CH931" s="113"/>
      <c r="CI931" s="113"/>
      <c r="CJ931" s="113"/>
      <c r="CK931" s="113"/>
      <c r="CL931" s="113"/>
      <c r="CM931" s="113"/>
      <c r="CN931" s="113"/>
      <c r="CO931" s="113"/>
      <c r="CP931" s="113"/>
      <c r="CQ931" s="113"/>
      <c r="CR931" s="113"/>
      <c r="CS931" s="113"/>
      <c r="CT931" s="113"/>
      <c r="CU931" s="113"/>
    </row>
    <row r="932">
      <c r="A932" s="159"/>
      <c r="B932" s="113"/>
      <c r="C932" s="113"/>
      <c r="D932" s="158"/>
      <c r="E932" s="161"/>
      <c r="F932" s="160"/>
      <c r="G932" s="162"/>
      <c r="H932" s="159"/>
      <c r="I932" s="113"/>
      <c r="J932" s="113"/>
      <c r="K932" s="113"/>
      <c r="L932" s="158"/>
      <c r="M932" s="113"/>
      <c r="N932" s="113"/>
      <c r="O932" s="113"/>
      <c r="P932" s="113"/>
      <c r="Q932" s="113"/>
      <c r="R932" s="113"/>
      <c r="S932" s="113"/>
      <c r="T932" s="113"/>
      <c r="U932" s="113"/>
      <c r="V932" s="113"/>
      <c r="W932" s="113"/>
      <c r="X932" s="113"/>
      <c r="Y932" s="113"/>
      <c r="Z932" s="113"/>
      <c r="AA932" s="113"/>
      <c r="AB932" s="113"/>
      <c r="AC932" s="113"/>
      <c r="AD932" s="113"/>
      <c r="AE932" s="113"/>
      <c r="AF932" s="113"/>
      <c r="AG932" s="113"/>
      <c r="AH932" s="113"/>
      <c r="AI932" s="113"/>
      <c r="AJ932" s="113"/>
      <c r="AK932" s="113"/>
      <c r="AL932" s="113"/>
      <c r="AM932" s="113"/>
      <c r="AN932" s="113"/>
      <c r="AO932" s="113"/>
      <c r="AP932" s="113"/>
      <c r="AQ932" s="113"/>
      <c r="AR932" s="113"/>
      <c r="AS932" s="113"/>
      <c r="AT932" s="113"/>
      <c r="AU932" s="113"/>
      <c r="AV932" s="113"/>
      <c r="AW932" s="113"/>
      <c r="AX932" s="113"/>
      <c r="AY932" s="113"/>
      <c r="AZ932" s="113"/>
      <c r="BA932" s="113"/>
      <c r="BB932" s="113"/>
      <c r="BC932" s="113"/>
      <c r="BD932" s="113"/>
      <c r="BE932" s="113"/>
      <c r="BF932" s="113"/>
      <c r="BG932" s="113"/>
      <c r="BH932" s="113"/>
      <c r="BI932" s="113"/>
      <c r="BJ932" s="113"/>
      <c r="BK932" s="113"/>
      <c r="BL932" s="113"/>
      <c r="BM932" s="113"/>
      <c r="BN932" s="113"/>
      <c r="BO932" s="113"/>
      <c r="BP932" s="113"/>
      <c r="BQ932" s="113"/>
      <c r="BR932" s="113"/>
      <c r="BS932" s="113"/>
      <c r="BT932" s="113"/>
      <c r="BU932" s="113"/>
      <c r="BV932" s="113"/>
      <c r="BW932" s="113"/>
      <c r="BX932" s="113"/>
      <c r="BY932" s="113"/>
      <c r="BZ932" s="113"/>
      <c r="CA932" s="113"/>
      <c r="CB932" s="113"/>
      <c r="CC932" s="113"/>
      <c r="CD932" s="113"/>
      <c r="CE932" s="113"/>
      <c r="CF932" s="113"/>
      <c r="CG932" s="113"/>
      <c r="CH932" s="113"/>
      <c r="CI932" s="113"/>
      <c r="CJ932" s="113"/>
      <c r="CK932" s="113"/>
      <c r="CL932" s="113"/>
      <c r="CM932" s="113"/>
      <c r="CN932" s="113"/>
      <c r="CO932" s="113"/>
      <c r="CP932" s="113"/>
      <c r="CQ932" s="113"/>
      <c r="CR932" s="113"/>
      <c r="CS932" s="113"/>
      <c r="CT932" s="113"/>
      <c r="CU932" s="113"/>
    </row>
    <row r="933">
      <c r="A933" s="159"/>
      <c r="B933" s="113"/>
      <c r="C933" s="113"/>
      <c r="D933" s="158"/>
      <c r="E933" s="161"/>
      <c r="F933" s="160"/>
      <c r="G933" s="162"/>
      <c r="H933" s="159"/>
      <c r="I933" s="113"/>
      <c r="J933" s="113"/>
      <c r="K933" s="113"/>
      <c r="L933" s="158"/>
      <c r="M933" s="113"/>
      <c r="N933" s="113"/>
      <c r="O933" s="113"/>
      <c r="P933" s="113"/>
      <c r="Q933" s="113"/>
      <c r="R933" s="113"/>
      <c r="S933" s="113"/>
      <c r="T933" s="113"/>
      <c r="U933" s="113"/>
      <c r="V933" s="113"/>
      <c r="W933" s="113"/>
      <c r="X933" s="113"/>
      <c r="Y933" s="113"/>
      <c r="Z933" s="113"/>
      <c r="AA933" s="113"/>
      <c r="AB933" s="113"/>
      <c r="AC933" s="113"/>
      <c r="AD933" s="113"/>
      <c r="AE933" s="113"/>
      <c r="AF933" s="113"/>
      <c r="AG933" s="113"/>
      <c r="AH933" s="113"/>
      <c r="AI933" s="113"/>
      <c r="AJ933" s="113"/>
      <c r="AK933" s="113"/>
      <c r="AL933" s="113"/>
      <c r="AM933" s="113"/>
      <c r="AN933" s="113"/>
      <c r="AO933" s="113"/>
      <c r="AP933" s="113"/>
      <c r="AQ933" s="113"/>
      <c r="AR933" s="113"/>
      <c r="AS933" s="113"/>
      <c r="AT933" s="113"/>
      <c r="AU933" s="113"/>
      <c r="AV933" s="113"/>
      <c r="AW933" s="113"/>
      <c r="AX933" s="113"/>
      <c r="AY933" s="113"/>
      <c r="AZ933" s="113"/>
      <c r="BA933" s="113"/>
      <c r="BB933" s="113"/>
      <c r="BC933" s="113"/>
      <c r="BD933" s="113"/>
      <c r="BE933" s="113"/>
      <c r="BF933" s="113"/>
      <c r="BG933" s="113"/>
      <c r="BH933" s="113"/>
      <c r="BI933" s="113"/>
      <c r="BJ933" s="113"/>
      <c r="BK933" s="113"/>
      <c r="BL933" s="113"/>
      <c r="BM933" s="113"/>
      <c r="BN933" s="113"/>
      <c r="BO933" s="113"/>
      <c r="BP933" s="113"/>
      <c r="BQ933" s="113"/>
      <c r="BR933" s="113"/>
      <c r="BS933" s="113"/>
      <c r="BT933" s="113"/>
      <c r="BU933" s="113"/>
      <c r="BV933" s="113"/>
      <c r="BW933" s="113"/>
      <c r="BX933" s="113"/>
      <c r="BY933" s="113"/>
      <c r="BZ933" s="113"/>
      <c r="CA933" s="113"/>
      <c r="CB933" s="113"/>
      <c r="CC933" s="113"/>
      <c r="CD933" s="113"/>
      <c r="CE933" s="113"/>
      <c r="CF933" s="113"/>
      <c r="CG933" s="113"/>
      <c r="CH933" s="113"/>
      <c r="CI933" s="113"/>
      <c r="CJ933" s="113"/>
      <c r="CK933" s="113"/>
      <c r="CL933" s="113"/>
      <c r="CM933" s="113"/>
      <c r="CN933" s="113"/>
      <c r="CO933" s="113"/>
      <c r="CP933" s="113"/>
      <c r="CQ933" s="113"/>
      <c r="CR933" s="113"/>
      <c r="CS933" s="113"/>
      <c r="CT933" s="113"/>
      <c r="CU933" s="113"/>
    </row>
    <row r="934">
      <c r="A934" s="159"/>
      <c r="B934" s="113"/>
      <c r="C934" s="113"/>
      <c r="D934" s="158"/>
      <c r="E934" s="161"/>
      <c r="F934" s="160"/>
      <c r="G934" s="162"/>
      <c r="H934" s="159"/>
      <c r="I934" s="113"/>
      <c r="J934" s="113"/>
      <c r="K934" s="113"/>
      <c r="L934" s="158"/>
      <c r="M934" s="113"/>
      <c r="N934" s="113"/>
      <c r="O934" s="113"/>
      <c r="P934" s="113"/>
      <c r="Q934" s="113"/>
      <c r="R934" s="113"/>
      <c r="S934" s="113"/>
      <c r="T934" s="113"/>
      <c r="U934" s="113"/>
      <c r="V934" s="113"/>
      <c r="W934" s="113"/>
      <c r="X934" s="113"/>
      <c r="Y934" s="113"/>
      <c r="Z934" s="113"/>
      <c r="AA934" s="113"/>
      <c r="AB934" s="113"/>
      <c r="AC934" s="113"/>
      <c r="AD934" s="113"/>
      <c r="AE934" s="113"/>
      <c r="AF934" s="113"/>
      <c r="AG934" s="113"/>
      <c r="AH934" s="113"/>
      <c r="AI934" s="113"/>
      <c r="AJ934" s="113"/>
      <c r="AK934" s="113"/>
      <c r="AL934" s="113"/>
      <c r="AM934" s="113"/>
      <c r="AN934" s="113"/>
      <c r="AO934" s="113"/>
      <c r="AP934" s="113"/>
      <c r="AQ934" s="113"/>
      <c r="AR934" s="113"/>
      <c r="AS934" s="113"/>
      <c r="AT934" s="113"/>
      <c r="AU934" s="113"/>
      <c r="AV934" s="113"/>
      <c r="AW934" s="113"/>
      <c r="AX934" s="113"/>
      <c r="AY934" s="113"/>
      <c r="AZ934" s="113"/>
      <c r="BA934" s="113"/>
      <c r="BB934" s="113"/>
      <c r="BC934" s="113"/>
      <c r="BD934" s="113"/>
      <c r="BE934" s="113"/>
      <c r="BF934" s="113"/>
      <c r="BG934" s="113"/>
      <c r="BH934" s="113"/>
      <c r="BI934" s="113"/>
      <c r="BJ934" s="113"/>
      <c r="BK934" s="113"/>
      <c r="BL934" s="113"/>
      <c r="BM934" s="113"/>
      <c r="BN934" s="113"/>
      <c r="BO934" s="113"/>
      <c r="BP934" s="113"/>
      <c r="BQ934" s="113"/>
      <c r="BR934" s="113"/>
      <c r="BS934" s="113"/>
      <c r="BT934" s="113"/>
      <c r="BU934" s="113"/>
      <c r="BV934" s="113"/>
      <c r="BW934" s="113"/>
      <c r="BX934" s="113"/>
      <c r="BY934" s="113"/>
      <c r="BZ934" s="113"/>
      <c r="CA934" s="113"/>
      <c r="CB934" s="113"/>
      <c r="CC934" s="113"/>
      <c r="CD934" s="113"/>
      <c r="CE934" s="113"/>
      <c r="CF934" s="113"/>
      <c r="CG934" s="113"/>
      <c r="CH934" s="113"/>
      <c r="CI934" s="113"/>
      <c r="CJ934" s="113"/>
      <c r="CK934" s="113"/>
      <c r="CL934" s="113"/>
      <c r="CM934" s="113"/>
      <c r="CN934" s="113"/>
      <c r="CO934" s="113"/>
      <c r="CP934" s="113"/>
      <c r="CQ934" s="113"/>
      <c r="CR934" s="113"/>
      <c r="CS934" s="113"/>
      <c r="CT934" s="113"/>
      <c r="CU934" s="113"/>
    </row>
    <row r="935">
      <c r="A935" s="159"/>
      <c r="B935" s="113"/>
      <c r="C935" s="113"/>
      <c r="D935" s="158"/>
      <c r="E935" s="161"/>
      <c r="F935" s="160"/>
      <c r="G935" s="162"/>
      <c r="H935" s="159"/>
      <c r="I935" s="113"/>
      <c r="J935" s="113"/>
      <c r="K935" s="113"/>
      <c r="L935" s="158"/>
      <c r="M935" s="113"/>
      <c r="N935" s="113"/>
      <c r="O935" s="113"/>
      <c r="P935" s="113"/>
      <c r="Q935" s="113"/>
      <c r="R935" s="113"/>
      <c r="S935" s="113"/>
      <c r="T935" s="113"/>
      <c r="U935" s="113"/>
      <c r="V935" s="113"/>
      <c r="W935" s="113"/>
      <c r="X935" s="113"/>
      <c r="Y935" s="113"/>
      <c r="Z935" s="113"/>
      <c r="AA935" s="113"/>
      <c r="AB935" s="113"/>
      <c r="AC935" s="113"/>
      <c r="AD935" s="113"/>
      <c r="AE935" s="113"/>
      <c r="AF935" s="113"/>
      <c r="AG935" s="113"/>
      <c r="AH935" s="113"/>
      <c r="AI935" s="113"/>
      <c r="AJ935" s="113"/>
      <c r="AK935" s="113"/>
      <c r="AL935" s="113"/>
      <c r="AM935" s="113"/>
      <c r="AN935" s="113"/>
      <c r="AO935" s="113"/>
      <c r="AP935" s="113"/>
      <c r="AQ935" s="113"/>
      <c r="AR935" s="113"/>
      <c r="AS935" s="113"/>
      <c r="AT935" s="113"/>
      <c r="AU935" s="113"/>
      <c r="AV935" s="113"/>
      <c r="AW935" s="113"/>
      <c r="AX935" s="113"/>
      <c r="AY935" s="113"/>
      <c r="AZ935" s="113"/>
      <c r="BA935" s="113"/>
      <c r="BB935" s="113"/>
      <c r="BC935" s="113"/>
      <c r="BD935" s="113"/>
      <c r="BE935" s="113"/>
      <c r="BF935" s="113"/>
      <c r="BG935" s="113"/>
      <c r="BH935" s="113"/>
      <c r="BI935" s="113"/>
      <c r="BJ935" s="113"/>
      <c r="BK935" s="113"/>
      <c r="BL935" s="113"/>
      <c r="BM935" s="113"/>
      <c r="BN935" s="113"/>
      <c r="BO935" s="113"/>
      <c r="BP935" s="113"/>
      <c r="BQ935" s="113"/>
      <c r="BR935" s="113"/>
      <c r="BS935" s="113"/>
      <c r="BT935" s="113"/>
      <c r="BU935" s="113"/>
      <c r="BV935" s="113"/>
      <c r="BW935" s="113"/>
      <c r="BX935" s="113"/>
      <c r="BY935" s="113"/>
      <c r="BZ935" s="113"/>
      <c r="CA935" s="113"/>
      <c r="CB935" s="113"/>
      <c r="CC935" s="113"/>
      <c r="CD935" s="113"/>
      <c r="CE935" s="113"/>
      <c r="CF935" s="113"/>
      <c r="CG935" s="113"/>
      <c r="CH935" s="113"/>
      <c r="CI935" s="113"/>
      <c r="CJ935" s="113"/>
      <c r="CK935" s="113"/>
      <c r="CL935" s="113"/>
      <c r="CM935" s="113"/>
      <c r="CN935" s="113"/>
      <c r="CO935" s="113"/>
      <c r="CP935" s="113"/>
      <c r="CQ935" s="113"/>
      <c r="CR935" s="113"/>
      <c r="CS935" s="113"/>
      <c r="CT935" s="113"/>
      <c r="CU935" s="113"/>
    </row>
    <row r="936">
      <c r="A936" s="159"/>
      <c r="B936" s="113"/>
      <c r="C936" s="113"/>
      <c r="D936" s="158"/>
      <c r="E936" s="161"/>
      <c r="F936" s="160"/>
      <c r="G936" s="162"/>
      <c r="H936" s="159"/>
      <c r="I936" s="113"/>
      <c r="J936" s="113"/>
      <c r="K936" s="113"/>
      <c r="L936" s="158"/>
      <c r="M936" s="113"/>
      <c r="N936" s="113"/>
      <c r="O936" s="113"/>
      <c r="P936" s="113"/>
      <c r="Q936" s="113"/>
      <c r="R936" s="113"/>
      <c r="S936" s="113"/>
      <c r="T936" s="113"/>
      <c r="U936" s="113"/>
      <c r="V936" s="113"/>
      <c r="W936" s="113"/>
      <c r="X936" s="113"/>
      <c r="Y936" s="113"/>
      <c r="Z936" s="113"/>
      <c r="AA936" s="113"/>
      <c r="AB936" s="113"/>
      <c r="AC936" s="113"/>
      <c r="AD936" s="113"/>
      <c r="AE936" s="113"/>
      <c r="AF936" s="113"/>
      <c r="AG936" s="113"/>
      <c r="AH936" s="113"/>
      <c r="AI936" s="113"/>
      <c r="AJ936" s="113"/>
      <c r="AK936" s="113"/>
      <c r="AL936" s="113"/>
      <c r="AM936" s="113"/>
      <c r="AN936" s="113"/>
      <c r="AO936" s="113"/>
      <c r="AP936" s="113"/>
      <c r="AQ936" s="113"/>
      <c r="AR936" s="113"/>
      <c r="AS936" s="113"/>
      <c r="AT936" s="113"/>
      <c r="AU936" s="113"/>
      <c r="AV936" s="113"/>
      <c r="AW936" s="113"/>
      <c r="AX936" s="113"/>
      <c r="AY936" s="113"/>
      <c r="AZ936" s="113"/>
      <c r="BA936" s="113"/>
      <c r="BB936" s="113"/>
      <c r="BC936" s="113"/>
      <c r="BD936" s="113"/>
      <c r="BE936" s="113"/>
      <c r="BF936" s="113"/>
      <c r="BG936" s="113"/>
      <c r="BH936" s="113"/>
      <c r="BI936" s="113"/>
      <c r="BJ936" s="113"/>
      <c r="BK936" s="113"/>
      <c r="BL936" s="113"/>
      <c r="BM936" s="113"/>
      <c r="BN936" s="113"/>
      <c r="BO936" s="113"/>
      <c r="BP936" s="113"/>
      <c r="BQ936" s="113"/>
      <c r="BR936" s="113"/>
      <c r="BS936" s="113"/>
      <c r="BT936" s="113"/>
      <c r="BU936" s="113"/>
      <c r="BV936" s="113"/>
      <c r="BW936" s="113"/>
      <c r="BX936" s="113"/>
      <c r="BY936" s="113"/>
      <c r="BZ936" s="113"/>
      <c r="CA936" s="113"/>
      <c r="CB936" s="113"/>
      <c r="CC936" s="113"/>
      <c r="CD936" s="113"/>
      <c r="CE936" s="113"/>
      <c r="CF936" s="113"/>
      <c r="CG936" s="113"/>
      <c r="CH936" s="113"/>
      <c r="CI936" s="113"/>
      <c r="CJ936" s="113"/>
      <c r="CK936" s="113"/>
      <c r="CL936" s="113"/>
      <c r="CM936" s="113"/>
      <c r="CN936" s="113"/>
      <c r="CO936" s="113"/>
      <c r="CP936" s="113"/>
      <c r="CQ936" s="113"/>
      <c r="CR936" s="113"/>
      <c r="CS936" s="113"/>
      <c r="CT936" s="113"/>
      <c r="CU936" s="113"/>
    </row>
    <row r="937">
      <c r="A937" s="159"/>
      <c r="B937" s="113"/>
      <c r="C937" s="113"/>
      <c r="D937" s="158"/>
      <c r="E937" s="161"/>
      <c r="F937" s="160"/>
      <c r="G937" s="162"/>
      <c r="H937" s="159"/>
      <c r="I937" s="113"/>
      <c r="J937" s="113"/>
      <c r="K937" s="113"/>
      <c r="L937" s="158"/>
      <c r="M937" s="113"/>
      <c r="N937" s="113"/>
      <c r="O937" s="113"/>
      <c r="P937" s="113"/>
      <c r="Q937" s="113"/>
      <c r="R937" s="113"/>
      <c r="S937" s="113"/>
      <c r="T937" s="113"/>
      <c r="U937" s="113"/>
      <c r="V937" s="113"/>
      <c r="W937" s="113"/>
      <c r="X937" s="113"/>
      <c r="Y937" s="113"/>
      <c r="Z937" s="113"/>
      <c r="AA937" s="113"/>
      <c r="AB937" s="113"/>
      <c r="AC937" s="113"/>
      <c r="AD937" s="113"/>
      <c r="AE937" s="113"/>
      <c r="AF937" s="113"/>
      <c r="AG937" s="113"/>
      <c r="AH937" s="113"/>
      <c r="AI937" s="113"/>
      <c r="AJ937" s="113"/>
      <c r="AK937" s="113"/>
      <c r="AL937" s="113"/>
      <c r="AM937" s="113"/>
      <c r="AN937" s="113"/>
      <c r="AO937" s="113"/>
      <c r="AP937" s="113"/>
      <c r="AQ937" s="113"/>
      <c r="AR937" s="113"/>
      <c r="AS937" s="113"/>
      <c r="AT937" s="113"/>
      <c r="AU937" s="113"/>
      <c r="AV937" s="113"/>
      <c r="AW937" s="113"/>
      <c r="AX937" s="113"/>
      <c r="AY937" s="113"/>
      <c r="AZ937" s="113"/>
      <c r="BA937" s="113"/>
      <c r="BB937" s="113"/>
      <c r="BC937" s="113"/>
      <c r="BD937" s="113"/>
      <c r="BE937" s="113"/>
      <c r="BF937" s="113"/>
      <c r="BG937" s="113"/>
      <c r="BH937" s="113"/>
      <c r="BI937" s="113"/>
      <c r="BJ937" s="113"/>
      <c r="BK937" s="113"/>
      <c r="BL937" s="113"/>
      <c r="BM937" s="113"/>
      <c r="BN937" s="113"/>
      <c r="BO937" s="113"/>
      <c r="BP937" s="113"/>
      <c r="BQ937" s="113"/>
      <c r="BR937" s="113"/>
      <c r="BS937" s="113"/>
      <c r="BT937" s="113"/>
      <c r="BU937" s="113"/>
      <c r="BV937" s="113"/>
      <c r="BW937" s="113"/>
      <c r="BX937" s="113"/>
      <c r="BY937" s="113"/>
      <c r="BZ937" s="113"/>
      <c r="CA937" s="113"/>
      <c r="CB937" s="113"/>
      <c r="CC937" s="113"/>
      <c r="CD937" s="113"/>
      <c r="CE937" s="113"/>
      <c r="CF937" s="113"/>
      <c r="CG937" s="113"/>
      <c r="CH937" s="113"/>
      <c r="CI937" s="113"/>
      <c r="CJ937" s="113"/>
      <c r="CK937" s="113"/>
      <c r="CL937" s="113"/>
      <c r="CM937" s="113"/>
      <c r="CN937" s="113"/>
      <c r="CO937" s="113"/>
      <c r="CP937" s="113"/>
      <c r="CQ937" s="113"/>
      <c r="CR937" s="113"/>
      <c r="CS937" s="113"/>
      <c r="CT937" s="113"/>
      <c r="CU937" s="113"/>
    </row>
    <row r="938">
      <c r="A938" s="159"/>
      <c r="B938" s="113"/>
      <c r="C938" s="113"/>
      <c r="D938" s="158"/>
      <c r="E938" s="161"/>
      <c r="F938" s="160"/>
      <c r="G938" s="162"/>
      <c r="H938" s="159"/>
      <c r="I938" s="113"/>
      <c r="J938" s="113"/>
      <c r="K938" s="113"/>
      <c r="L938" s="158"/>
      <c r="M938" s="113"/>
      <c r="N938" s="113"/>
      <c r="O938" s="113"/>
      <c r="P938" s="113"/>
      <c r="Q938" s="113"/>
      <c r="R938" s="113"/>
      <c r="S938" s="113"/>
      <c r="T938" s="113"/>
      <c r="U938" s="113"/>
      <c r="V938" s="113"/>
      <c r="W938" s="113"/>
      <c r="X938" s="113"/>
      <c r="Y938" s="113"/>
      <c r="Z938" s="113"/>
      <c r="AA938" s="113"/>
      <c r="AB938" s="113"/>
      <c r="AC938" s="113"/>
      <c r="AD938" s="113"/>
      <c r="AE938" s="113"/>
      <c r="AF938" s="113"/>
      <c r="AG938" s="113"/>
      <c r="AH938" s="113"/>
      <c r="AI938" s="113"/>
      <c r="AJ938" s="113"/>
      <c r="AK938" s="113"/>
      <c r="AL938" s="113"/>
      <c r="AM938" s="113"/>
      <c r="AN938" s="113"/>
      <c r="AO938" s="113"/>
      <c r="AP938" s="113"/>
      <c r="AQ938" s="113"/>
      <c r="AR938" s="113"/>
      <c r="AS938" s="113"/>
      <c r="AT938" s="113"/>
      <c r="AU938" s="113"/>
      <c r="AV938" s="113"/>
      <c r="AW938" s="113"/>
      <c r="AX938" s="113"/>
      <c r="AY938" s="113"/>
      <c r="AZ938" s="113"/>
      <c r="BA938" s="113"/>
      <c r="BB938" s="113"/>
      <c r="BC938" s="113"/>
      <c r="BD938" s="113"/>
      <c r="BE938" s="113"/>
      <c r="BF938" s="113"/>
      <c r="BG938" s="113"/>
      <c r="BH938" s="113"/>
      <c r="BI938" s="113"/>
      <c r="BJ938" s="113"/>
      <c r="BK938" s="113"/>
      <c r="BL938" s="113"/>
      <c r="BM938" s="113"/>
      <c r="BN938" s="113"/>
      <c r="BO938" s="113"/>
      <c r="BP938" s="113"/>
      <c r="BQ938" s="113"/>
      <c r="BR938" s="113"/>
      <c r="BS938" s="113"/>
      <c r="BT938" s="113"/>
      <c r="BU938" s="113"/>
      <c r="BV938" s="113"/>
      <c r="BW938" s="113"/>
      <c r="BX938" s="113"/>
      <c r="BY938" s="113"/>
      <c r="BZ938" s="113"/>
      <c r="CA938" s="113"/>
      <c r="CB938" s="113"/>
      <c r="CC938" s="113"/>
      <c r="CD938" s="113"/>
      <c r="CE938" s="113"/>
      <c r="CF938" s="113"/>
      <c r="CG938" s="113"/>
      <c r="CH938" s="113"/>
      <c r="CI938" s="113"/>
      <c r="CJ938" s="113"/>
      <c r="CK938" s="113"/>
      <c r="CL938" s="113"/>
      <c r="CM938" s="113"/>
      <c r="CN938" s="113"/>
      <c r="CO938" s="113"/>
      <c r="CP938" s="113"/>
      <c r="CQ938" s="113"/>
      <c r="CR938" s="113"/>
      <c r="CS938" s="113"/>
      <c r="CT938" s="113"/>
      <c r="CU938" s="113"/>
    </row>
    <row r="939">
      <c r="A939" s="159"/>
      <c r="B939" s="113"/>
      <c r="C939" s="113"/>
      <c r="D939" s="158"/>
      <c r="E939" s="161"/>
      <c r="F939" s="160"/>
      <c r="G939" s="162"/>
      <c r="H939" s="159"/>
      <c r="I939" s="113"/>
      <c r="J939" s="113"/>
      <c r="K939" s="113"/>
      <c r="L939" s="158"/>
      <c r="M939" s="113"/>
      <c r="N939" s="113"/>
      <c r="O939" s="113"/>
      <c r="P939" s="113"/>
      <c r="Q939" s="113"/>
      <c r="R939" s="113"/>
      <c r="S939" s="113"/>
      <c r="T939" s="113"/>
      <c r="U939" s="113"/>
      <c r="V939" s="113"/>
      <c r="W939" s="113"/>
      <c r="X939" s="113"/>
      <c r="Y939" s="113"/>
      <c r="Z939" s="113"/>
      <c r="AA939" s="113"/>
      <c r="AB939" s="113"/>
      <c r="AC939" s="113"/>
      <c r="AD939" s="113"/>
      <c r="AE939" s="113"/>
      <c r="AF939" s="113"/>
      <c r="AG939" s="113"/>
      <c r="AH939" s="113"/>
      <c r="AI939" s="113"/>
      <c r="AJ939" s="113"/>
      <c r="AK939" s="113"/>
      <c r="AL939" s="113"/>
      <c r="AM939" s="113"/>
      <c r="AN939" s="113"/>
      <c r="AO939" s="113"/>
      <c r="AP939" s="113"/>
      <c r="AQ939" s="113"/>
      <c r="AR939" s="113"/>
      <c r="AS939" s="113"/>
      <c r="AT939" s="113"/>
      <c r="AU939" s="113"/>
      <c r="AV939" s="113"/>
      <c r="AW939" s="113"/>
      <c r="AX939" s="113"/>
      <c r="AY939" s="113"/>
      <c r="AZ939" s="113"/>
      <c r="BA939" s="113"/>
      <c r="BB939" s="113"/>
      <c r="BC939" s="113"/>
      <c r="BD939" s="113"/>
      <c r="BE939" s="113"/>
      <c r="BF939" s="113"/>
      <c r="BG939" s="113"/>
      <c r="BH939" s="113"/>
      <c r="BI939" s="113"/>
      <c r="BJ939" s="113"/>
      <c r="BK939" s="113"/>
      <c r="BL939" s="113"/>
      <c r="BM939" s="113"/>
      <c r="BN939" s="113"/>
      <c r="BO939" s="113"/>
      <c r="BP939" s="113"/>
      <c r="BQ939" s="113"/>
      <c r="BR939" s="113"/>
      <c r="BS939" s="113"/>
      <c r="BT939" s="113"/>
      <c r="BU939" s="113"/>
      <c r="BV939" s="113"/>
      <c r="BW939" s="113"/>
      <c r="BX939" s="113"/>
      <c r="BY939" s="113"/>
      <c r="BZ939" s="113"/>
      <c r="CA939" s="113"/>
      <c r="CB939" s="113"/>
      <c r="CC939" s="113"/>
      <c r="CD939" s="113"/>
      <c r="CE939" s="113"/>
      <c r="CF939" s="113"/>
      <c r="CG939" s="113"/>
      <c r="CH939" s="113"/>
      <c r="CI939" s="113"/>
      <c r="CJ939" s="113"/>
      <c r="CK939" s="113"/>
      <c r="CL939" s="113"/>
      <c r="CM939" s="113"/>
      <c r="CN939" s="113"/>
      <c r="CO939" s="113"/>
      <c r="CP939" s="113"/>
      <c r="CQ939" s="113"/>
      <c r="CR939" s="113"/>
      <c r="CS939" s="113"/>
      <c r="CT939" s="113"/>
      <c r="CU939" s="113"/>
    </row>
    <row r="940">
      <c r="A940" s="159"/>
      <c r="B940" s="113"/>
      <c r="C940" s="113"/>
      <c r="D940" s="158"/>
      <c r="E940" s="161"/>
      <c r="F940" s="160"/>
      <c r="G940" s="162"/>
      <c r="H940" s="159"/>
      <c r="I940" s="113"/>
      <c r="J940" s="113"/>
      <c r="K940" s="113"/>
      <c r="L940" s="158"/>
      <c r="M940" s="113"/>
      <c r="N940" s="113"/>
      <c r="O940" s="113"/>
      <c r="P940" s="113"/>
      <c r="Q940" s="113"/>
      <c r="R940" s="113"/>
      <c r="S940" s="113"/>
      <c r="T940" s="113"/>
      <c r="U940" s="113"/>
      <c r="V940" s="113"/>
      <c r="W940" s="113"/>
      <c r="X940" s="113"/>
      <c r="Y940" s="113"/>
      <c r="Z940" s="113"/>
      <c r="AA940" s="113"/>
      <c r="AB940" s="113"/>
      <c r="AC940" s="113"/>
      <c r="AD940" s="113"/>
      <c r="AE940" s="113"/>
      <c r="AF940" s="113"/>
      <c r="AG940" s="113"/>
      <c r="AH940" s="113"/>
      <c r="AI940" s="113"/>
      <c r="AJ940" s="113"/>
      <c r="AK940" s="113"/>
      <c r="AL940" s="113"/>
      <c r="AM940" s="113"/>
      <c r="AN940" s="113"/>
      <c r="AO940" s="113"/>
      <c r="AP940" s="113"/>
      <c r="AQ940" s="113"/>
      <c r="AR940" s="113"/>
      <c r="AS940" s="113"/>
      <c r="AT940" s="113"/>
      <c r="AU940" s="113"/>
      <c r="AV940" s="113"/>
      <c r="AW940" s="113"/>
      <c r="AX940" s="113"/>
      <c r="AY940" s="113"/>
      <c r="AZ940" s="113"/>
      <c r="BA940" s="113"/>
      <c r="BB940" s="113"/>
      <c r="BC940" s="113"/>
      <c r="BD940" s="113"/>
      <c r="BE940" s="113"/>
      <c r="BF940" s="113"/>
      <c r="BG940" s="113"/>
      <c r="BH940" s="113"/>
      <c r="BI940" s="113"/>
      <c r="BJ940" s="113"/>
      <c r="BK940" s="113"/>
      <c r="BL940" s="113"/>
      <c r="BM940" s="113"/>
      <c r="BN940" s="113"/>
      <c r="BO940" s="113"/>
      <c r="BP940" s="113"/>
      <c r="BQ940" s="113"/>
      <c r="BR940" s="113"/>
      <c r="BS940" s="113"/>
      <c r="BT940" s="113"/>
      <c r="BU940" s="113"/>
      <c r="BV940" s="113"/>
      <c r="BW940" s="113"/>
      <c r="BX940" s="113"/>
      <c r="BY940" s="113"/>
      <c r="BZ940" s="113"/>
      <c r="CA940" s="113"/>
      <c r="CB940" s="113"/>
      <c r="CC940" s="113"/>
      <c r="CD940" s="113"/>
      <c r="CE940" s="113"/>
      <c r="CF940" s="113"/>
      <c r="CG940" s="113"/>
      <c r="CH940" s="113"/>
      <c r="CI940" s="113"/>
      <c r="CJ940" s="113"/>
      <c r="CK940" s="113"/>
      <c r="CL940" s="113"/>
      <c r="CM940" s="113"/>
      <c r="CN940" s="113"/>
      <c r="CO940" s="113"/>
      <c r="CP940" s="113"/>
      <c r="CQ940" s="113"/>
      <c r="CR940" s="113"/>
      <c r="CS940" s="113"/>
      <c r="CT940" s="113"/>
      <c r="CU940" s="113"/>
    </row>
    <row r="941">
      <c r="A941" s="159"/>
      <c r="B941" s="113"/>
      <c r="C941" s="113"/>
      <c r="D941" s="158"/>
      <c r="E941" s="161"/>
      <c r="F941" s="160"/>
      <c r="G941" s="162"/>
      <c r="H941" s="159"/>
      <c r="I941" s="113"/>
      <c r="J941" s="113"/>
      <c r="K941" s="113"/>
      <c r="L941" s="158"/>
      <c r="M941" s="113"/>
      <c r="N941" s="113"/>
      <c r="O941" s="113"/>
      <c r="P941" s="113"/>
      <c r="Q941" s="113"/>
      <c r="R941" s="113"/>
      <c r="S941" s="113"/>
      <c r="T941" s="113"/>
      <c r="U941" s="113"/>
      <c r="V941" s="113"/>
      <c r="W941" s="113"/>
      <c r="X941" s="113"/>
      <c r="Y941" s="113"/>
      <c r="Z941" s="113"/>
      <c r="AA941" s="113"/>
      <c r="AB941" s="113"/>
      <c r="AC941" s="113"/>
      <c r="AD941" s="113"/>
      <c r="AE941" s="113"/>
      <c r="AF941" s="113"/>
      <c r="AG941" s="113"/>
      <c r="AH941" s="113"/>
      <c r="AI941" s="113"/>
      <c r="AJ941" s="113"/>
      <c r="AK941" s="113"/>
      <c r="AL941" s="113"/>
      <c r="AM941" s="113"/>
      <c r="AN941" s="113"/>
      <c r="AO941" s="113"/>
      <c r="AP941" s="113"/>
      <c r="AQ941" s="113"/>
      <c r="AR941" s="113"/>
      <c r="AS941" s="113"/>
      <c r="AT941" s="113"/>
      <c r="AU941" s="113"/>
      <c r="AV941" s="113"/>
      <c r="AW941" s="113"/>
      <c r="AX941" s="113"/>
      <c r="AY941" s="113"/>
      <c r="AZ941" s="113"/>
      <c r="BA941" s="113"/>
      <c r="BB941" s="113"/>
      <c r="BC941" s="113"/>
      <c r="BD941" s="113"/>
      <c r="BE941" s="113"/>
      <c r="BF941" s="113"/>
      <c r="BG941" s="113"/>
      <c r="BH941" s="113"/>
      <c r="BI941" s="113"/>
      <c r="BJ941" s="113"/>
      <c r="BK941" s="113"/>
      <c r="BL941" s="113"/>
      <c r="BM941" s="113"/>
      <c r="BN941" s="113"/>
      <c r="BO941" s="113"/>
      <c r="BP941" s="113"/>
      <c r="BQ941" s="113"/>
      <c r="BR941" s="113"/>
      <c r="BS941" s="113"/>
      <c r="BT941" s="113"/>
      <c r="BU941" s="113"/>
      <c r="BV941" s="113"/>
      <c r="BW941" s="113"/>
      <c r="BX941" s="113"/>
      <c r="BY941" s="113"/>
      <c r="BZ941" s="113"/>
      <c r="CA941" s="113"/>
      <c r="CB941" s="113"/>
      <c r="CC941" s="113"/>
      <c r="CD941" s="113"/>
      <c r="CE941" s="113"/>
      <c r="CF941" s="113"/>
      <c r="CG941" s="113"/>
      <c r="CH941" s="113"/>
      <c r="CI941" s="113"/>
      <c r="CJ941" s="113"/>
      <c r="CK941" s="113"/>
      <c r="CL941" s="113"/>
      <c r="CM941" s="113"/>
      <c r="CN941" s="113"/>
      <c r="CO941" s="113"/>
      <c r="CP941" s="113"/>
      <c r="CQ941" s="113"/>
      <c r="CR941" s="113"/>
      <c r="CS941" s="113"/>
      <c r="CT941" s="113"/>
      <c r="CU941" s="113"/>
    </row>
    <row r="942">
      <c r="A942" s="159"/>
      <c r="B942" s="113"/>
      <c r="C942" s="113"/>
      <c r="D942" s="158"/>
      <c r="E942" s="161"/>
      <c r="F942" s="160"/>
      <c r="G942" s="162"/>
      <c r="H942" s="159"/>
      <c r="I942" s="113"/>
      <c r="J942" s="113"/>
      <c r="K942" s="113"/>
      <c r="L942" s="158"/>
      <c r="M942" s="113"/>
      <c r="N942" s="113"/>
      <c r="O942" s="113"/>
      <c r="P942" s="113"/>
      <c r="Q942" s="113"/>
      <c r="R942" s="113"/>
      <c r="S942" s="113"/>
      <c r="T942" s="113"/>
      <c r="U942" s="113"/>
      <c r="V942" s="113"/>
      <c r="W942" s="113"/>
      <c r="X942" s="113"/>
      <c r="Y942" s="113"/>
      <c r="Z942" s="113"/>
      <c r="AA942" s="113"/>
      <c r="AB942" s="113"/>
      <c r="AC942" s="113"/>
      <c r="AD942" s="113"/>
      <c r="AE942" s="113"/>
      <c r="AF942" s="113"/>
      <c r="AG942" s="113"/>
      <c r="AH942" s="113"/>
      <c r="AI942" s="113"/>
      <c r="AJ942" s="113"/>
      <c r="AK942" s="113"/>
      <c r="AL942" s="113"/>
      <c r="AM942" s="113"/>
      <c r="AN942" s="113"/>
      <c r="AO942" s="113"/>
      <c r="AP942" s="113"/>
      <c r="AQ942" s="113"/>
      <c r="AR942" s="113"/>
      <c r="AS942" s="113"/>
      <c r="AT942" s="113"/>
      <c r="AU942" s="113"/>
      <c r="AV942" s="113"/>
      <c r="AW942" s="113"/>
      <c r="AX942" s="113"/>
      <c r="AY942" s="113"/>
      <c r="AZ942" s="113"/>
      <c r="BA942" s="113"/>
      <c r="BB942" s="113"/>
      <c r="BC942" s="113"/>
      <c r="BD942" s="113"/>
      <c r="BE942" s="113"/>
      <c r="BF942" s="113"/>
      <c r="BG942" s="113"/>
      <c r="BH942" s="113"/>
      <c r="BI942" s="113"/>
      <c r="BJ942" s="113"/>
      <c r="BK942" s="113"/>
      <c r="BL942" s="113"/>
      <c r="BM942" s="113"/>
      <c r="BN942" s="113"/>
      <c r="BO942" s="113"/>
      <c r="BP942" s="113"/>
      <c r="BQ942" s="113"/>
      <c r="BR942" s="113"/>
      <c r="BS942" s="113"/>
      <c r="BT942" s="113"/>
      <c r="BU942" s="113"/>
      <c r="BV942" s="113"/>
      <c r="BW942" s="113"/>
      <c r="BX942" s="113"/>
      <c r="BY942" s="113"/>
      <c r="BZ942" s="113"/>
      <c r="CA942" s="113"/>
      <c r="CB942" s="113"/>
      <c r="CC942" s="113"/>
      <c r="CD942" s="113"/>
      <c r="CE942" s="113"/>
      <c r="CF942" s="113"/>
      <c r="CG942" s="113"/>
      <c r="CH942" s="113"/>
      <c r="CI942" s="113"/>
      <c r="CJ942" s="113"/>
      <c r="CK942" s="113"/>
      <c r="CL942" s="113"/>
      <c r="CM942" s="113"/>
      <c r="CN942" s="113"/>
      <c r="CO942" s="113"/>
      <c r="CP942" s="113"/>
      <c r="CQ942" s="113"/>
      <c r="CR942" s="113"/>
      <c r="CS942" s="113"/>
      <c r="CT942" s="113"/>
      <c r="CU942" s="113"/>
    </row>
    <row r="943">
      <c r="A943" s="159"/>
      <c r="B943" s="113"/>
      <c r="C943" s="113"/>
      <c r="D943" s="158"/>
      <c r="E943" s="161"/>
      <c r="F943" s="160"/>
      <c r="G943" s="162"/>
      <c r="H943" s="159"/>
      <c r="I943" s="113"/>
      <c r="J943" s="113"/>
      <c r="K943" s="113"/>
      <c r="L943" s="158"/>
      <c r="M943" s="113"/>
      <c r="N943" s="113"/>
      <c r="O943" s="113"/>
      <c r="P943" s="113"/>
      <c r="Q943" s="113"/>
      <c r="R943" s="113"/>
      <c r="S943" s="113"/>
      <c r="T943" s="113"/>
      <c r="U943" s="113"/>
      <c r="V943" s="113"/>
      <c r="W943" s="113"/>
      <c r="X943" s="113"/>
      <c r="Y943" s="113"/>
      <c r="Z943" s="113"/>
      <c r="AA943" s="113"/>
      <c r="AB943" s="113"/>
      <c r="AC943" s="113"/>
      <c r="AD943" s="113"/>
      <c r="AE943" s="113"/>
      <c r="AF943" s="113"/>
      <c r="AG943" s="113"/>
      <c r="AH943" s="113"/>
      <c r="AI943" s="113"/>
      <c r="AJ943" s="113"/>
      <c r="AK943" s="113"/>
      <c r="AL943" s="113"/>
      <c r="AM943" s="113"/>
      <c r="AN943" s="113"/>
      <c r="AO943" s="113"/>
      <c r="AP943" s="113"/>
      <c r="AQ943" s="113"/>
      <c r="AR943" s="113"/>
      <c r="AS943" s="113"/>
      <c r="AT943" s="113"/>
      <c r="AU943" s="113"/>
      <c r="AV943" s="113"/>
      <c r="AW943" s="113"/>
      <c r="AX943" s="113"/>
      <c r="AY943" s="113"/>
      <c r="AZ943" s="113"/>
      <c r="BA943" s="113"/>
      <c r="BB943" s="113"/>
      <c r="BC943" s="113"/>
      <c r="BD943" s="113"/>
      <c r="BE943" s="113"/>
      <c r="BF943" s="113"/>
      <c r="BG943" s="113"/>
      <c r="BH943" s="113"/>
      <c r="BI943" s="113"/>
      <c r="BJ943" s="113"/>
      <c r="BK943" s="113"/>
      <c r="BL943" s="113"/>
      <c r="BM943" s="113"/>
      <c r="BN943" s="113"/>
      <c r="BO943" s="113"/>
      <c r="BP943" s="113"/>
      <c r="BQ943" s="113"/>
      <c r="BR943" s="113"/>
      <c r="BS943" s="113"/>
      <c r="BT943" s="113"/>
      <c r="BU943" s="113"/>
      <c r="BV943" s="113"/>
      <c r="BW943" s="113"/>
      <c r="BX943" s="113"/>
      <c r="BY943" s="113"/>
      <c r="BZ943" s="113"/>
      <c r="CA943" s="113"/>
      <c r="CB943" s="113"/>
      <c r="CC943" s="113"/>
      <c r="CD943" s="113"/>
      <c r="CE943" s="113"/>
      <c r="CF943" s="113"/>
      <c r="CG943" s="113"/>
      <c r="CH943" s="113"/>
      <c r="CI943" s="113"/>
      <c r="CJ943" s="113"/>
      <c r="CK943" s="113"/>
      <c r="CL943" s="113"/>
      <c r="CM943" s="113"/>
      <c r="CN943" s="113"/>
      <c r="CO943" s="113"/>
      <c r="CP943" s="113"/>
      <c r="CQ943" s="113"/>
      <c r="CR943" s="113"/>
      <c r="CS943" s="113"/>
      <c r="CT943" s="113"/>
      <c r="CU943" s="113"/>
    </row>
    <row r="944">
      <c r="A944" s="159"/>
      <c r="B944" s="113"/>
      <c r="C944" s="113"/>
      <c r="D944" s="158"/>
      <c r="E944" s="161"/>
      <c r="F944" s="160"/>
      <c r="G944" s="162"/>
      <c r="H944" s="159"/>
      <c r="I944" s="113"/>
      <c r="J944" s="113"/>
      <c r="K944" s="113"/>
      <c r="L944" s="158"/>
      <c r="M944" s="113"/>
      <c r="N944" s="113"/>
      <c r="O944" s="113"/>
      <c r="P944" s="113"/>
      <c r="Q944" s="113"/>
      <c r="R944" s="113"/>
      <c r="S944" s="113"/>
      <c r="T944" s="113"/>
      <c r="U944" s="113"/>
      <c r="V944" s="113"/>
      <c r="W944" s="113"/>
      <c r="X944" s="113"/>
      <c r="Y944" s="113"/>
      <c r="Z944" s="113"/>
      <c r="AA944" s="113"/>
      <c r="AB944" s="113"/>
      <c r="AC944" s="113"/>
      <c r="AD944" s="113"/>
      <c r="AE944" s="113"/>
      <c r="AF944" s="113"/>
      <c r="AG944" s="113"/>
      <c r="AH944" s="113"/>
      <c r="AI944" s="113"/>
      <c r="AJ944" s="113"/>
      <c r="AK944" s="113"/>
      <c r="AL944" s="113"/>
      <c r="AM944" s="113"/>
      <c r="AN944" s="113"/>
      <c r="AO944" s="113"/>
      <c r="AP944" s="113"/>
      <c r="AQ944" s="113"/>
      <c r="AR944" s="113"/>
      <c r="AS944" s="113"/>
      <c r="AT944" s="113"/>
      <c r="AU944" s="113"/>
      <c r="AV944" s="113"/>
      <c r="AW944" s="113"/>
      <c r="AX944" s="113"/>
      <c r="AY944" s="113"/>
      <c r="AZ944" s="113"/>
      <c r="BA944" s="113"/>
      <c r="BB944" s="113"/>
      <c r="BC944" s="113"/>
      <c r="BD944" s="113"/>
      <c r="BE944" s="113"/>
      <c r="BF944" s="113"/>
      <c r="BG944" s="113"/>
      <c r="BH944" s="113"/>
      <c r="BI944" s="113"/>
      <c r="BJ944" s="113"/>
      <c r="BK944" s="113"/>
      <c r="BL944" s="113"/>
      <c r="BM944" s="113"/>
      <c r="BN944" s="113"/>
      <c r="BO944" s="113"/>
      <c r="BP944" s="113"/>
      <c r="BQ944" s="113"/>
      <c r="BR944" s="113"/>
      <c r="BS944" s="113"/>
      <c r="BT944" s="113"/>
      <c r="BU944" s="113"/>
      <c r="BV944" s="113"/>
      <c r="BW944" s="113"/>
      <c r="BX944" s="113"/>
      <c r="BY944" s="113"/>
      <c r="BZ944" s="113"/>
      <c r="CA944" s="113"/>
      <c r="CB944" s="113"/>
      <c r="CC944" s="113"/>
      <c r="CD944" s="113"/>
      <c r="CE944" s="113"/>
      <c r="CF944" s="113"/>
      <c r="CG944" s="113"/>
      <c r="CH944" s="113"/>
      <c r="CI944" s="113"/>
      <c r="CJ944" s="113"/>
      <c r="CK944" s="113"/>
      <c r="CL944" s="113"/>
      <c r="CM944" s="113"/>
      <c r="CN944" s="113"/>
      <c r="CO944" s="113"/>
      <c r="CP944" s="113"/>
      <c r="CQ944" s="113"/>
      <c r="CR944" s="113"/>
      <c r="CS944" s="113"/>
      <c r="CT944" s="113"/>
      <c r="CU944" s="113"/>
    </row>
    <row r="945">
      <c r="A945" s="159"/>
      <c r="B945" s="113"/>
      <c r="C945" s="113"/>
      <c r="D945" s="158"/>
      <c r="E945" s="161"/>
      <c r="F945" s="160"/>
      <c r="G945" s="162"/>
      <c r="H945" s="159"/>
      <c r="I945" s="113"/>
      <c r="J945" s="113"/>
      <c r="K945" s="113"/>
      <c r="L945" s="158"/>
      <c r="M945" s="113"/>
      <c r="N945" s="113"/>
      <c r="O945" s="113"/>
      <c r="P945" s="113"/>
      <c r="Q945" s="113"/>
      <c r="R945" s="113"/>
      <c r="S945" s="113"/>
      <c r="T945" s="113"/>
      <c r="U945" s="113"/>
      <c r="V945" s="113"/>
      <c r="W945" s="113"/>
      <c r="X945" s="113"/>
      <c r="Y945" s="113"/>
      <c r="Z945" s="113"/>
      <c r="AA945" s="113"/>
      <c r="AB945" s="113"/>
      <c r="AC945" s="113"/>
      <c r="AD945" s="113"/>
      <c r="AE945" s="113"/>
      <c r="AF945" s="113"/>
      <c r="AG945" s="113"/>
      <c r="AH945" s="113"/>
      <c r="AI945" s="113"/>
      <c r="AJ945" s="113"/>
      <c r="AK945" s="113"/>
      <c r="AL945" s="113"/>
      <c r="AM945" s="113"/>
      <c r="AN945" s="113"/>
      <c r="AO945" s="113"/>
      <c r="AP945" s="113"/>
      <c r="AQ945" s="113"/>
      <c r="AR945" s="113"/>
      <c r="AS945" s="113"/>
      <c r="AT945" s="113"/>
      <c r="AU945" s="113"/>
      <c r="AV945" s="113"/>
      <c r="AW945" s="113"/>
      <c r="AX945" s="113"/>
      <c r="AY945" s="113"/>
      <c r="AZ945" s="113"/>
      <c r="BA945" s="113"/>
      <c r="BB945" s="113"/>
      <c r="BC945" s="113"/>
      <c r="BD945" s="113"/>
      <c r="BE945" s="113"/>
      <c r="BF945" s="113"/>
      <c r="BG945" s="113"/>
      <c r="BH945" s="113"/>
      <c r="BI945" s="113"/>
      <c r="BJ945" s="113"/>
      <c r="BK945" s="113"/>
      <c r="BL945" s="113"/>
      <c r="BM945" s="113"/>
      <c r="BN945" s="113"/>
      <c r="BO945" s="113"/>
      <c r="BP945" s="113"/>
      <c r="BQ945" s="113"/>
      <c r="BR945" s="113"/>
      <c r="BS945" s="113"/>
      <c r="BT945" s="113"/>
      <c r="BU945" s="113"/>
      <c r="BV945" s="113"/>
      <c r="BW945" s="113"/>
      <c r="BX945" s="113"/>
      <c r="BY945" s="113"/>
      <c r="BZ945" s="113"/>
      <c r="CA945" s="113"/>
      <c r="CB945" s="113"/>
      <c r="CC945" s="113"/>
      <c r="CD945" s="113"/>
      <c r="CE945" s="113"/>
      <c r="CF945" s="113"/>
      <c r="CG945" s="113"/>
      <c r="CH945" s="113"/>
      <c r="CI945" s="113"/>
      <c r="CJ945" s="113"/>
      <c r="CK945" s="113"/>
      <c r="CL945" s="113"/>
      <c r="CM945" s="113"/>
      <c r="CN945" s="113"/>
      <c r="CO945" s="113"/>
      <c r="CP945" s="113"/>
      <c r="CQ945" s="113"/>
      <c r="CR945" s="113"/>
      <c r="CS945" s="113"/>
      <c r="CT945" s="113"/>
      <c r="CU945" s="113"/>
    </row>
    <row r="946">
      <c r="A946" s="159"/>
      <c r="B946" s="113"/>
      <c r="C946" s="113"/>
      <c r="D946" s="158"/>
      <c r="E946" s="161"/>
      <c r="F946" s="160"/>
      <c r="G946" s="162"/>
      <c r="H946" s="159"/>
      <c r="I946" s="113"/>
      <c r="J946" s="113"/>
      <c r="K946" s="113"/>
      <c r="L946" s="158"/>
      <c r="M946" s="113"/>
      <c r="N946" s="113"/>
      <c r="O946" s="113"/>
      <c r="P946" s="113"/>
      <c r="Q946" s="113"/>
      <c r="R946" s="113"/>
      <c r="S946" s="113"/>
      <c r="T946" s="113"/>
      <c r="U946" s="113"/>
      <c r="V946" s="113"/>
      <c r="W946" s="113"/>
      <c r="X946" s="113"/>
      <c r="Y946" s="113"/>
      <c r="Z946" s="113"/>
      <c r="AA946" s="113"/>
      <c r="AB946" s="113"/>
      <c r="AC946" s="113"/>
      <c r="AD946" s="113"/>
      <c r="AE946" s="113"/>
      <c r="AF946" s="113"/>
      <c r="AG946" s="113"/>
      <c r="AH946" s="113"/>
      <c r="AI946" s="113"/>
      <c r="AJ946" s="113"/>
      <c r="AK946" s="113"/>
      <c r="AL946" s="113"/>
      <c r="AM946" s="113"/>
      <c r="AN946" s="113"/>
      <c r="AO946" s="113"/>
      <c r="AP946" s="113"/>
      <c r="AQ946" s="113"/>
      <c r="AR946" s="113"/>
      <c r="AS946" s="113"/>
      <c r="AT946" s="113"/>
      <c r="AU946" s="113"/>
      <c r="AV946" s="113"/>
      <c r="AW946" s="113"/>
      <c r="AX946" s="113"/>
      <c r="AY946" s="113"/>
      <c r="AZ946" s="113"/>
      <c r="BA946" s="113"/>
      <c r="BB946" s="113"/>
      <c r="BC946" s="113"/>
      <c r="BD946" s="113"/>
      <c r="BE946" s="113"/>
      <c r="BF946" s="113"/>
      <c r="BG946" s="113"/>
      <c r="BH946" s="113"/>
      <c r="BI946" s="113"/>
      <c r="BJ946" s="113"/>
      <c r="BK946" s="113"/>
      <c r="BL946" s="113"/>
      <c r="BM946" s="113"/>
      <c r="BN946" s="113"/>
      <c r="BO946" s="113"/>
      <c r="BP946" s="113"/>
      <c r="BQ946" s="113"/>
      <c r="BR946" s="113"/>
      <c r="BS946" s="113"/>
      <c r="BT946" s="113"/>
      <c r="BU946" s="113"/>
      <c r="BV946" s="113"/>
      <c r="BW946" s="113"/>
      <c r="BX946" s="113"/>
      <c r="BY946" s="113"/>
      <c r="BZ946" s="113"/>
      <c r="CA946" s="113"/>
      <c r="CB946" s="113"/>
      <c r="CC946" s="113"/>
      <c r="CD946" s="113"/>
      <c r="CE946" s="113"/>
      <c r="CF946" s="113"/>
      <c r="CG946" s="113"/>
      <c r="CH946" s="113"/>
      <c r="CI946" s="113"/>
      <c r="CJ946" s="113"/>
      <c r="CK946" s="113"/>
      <c r="CL946" s="113"/>
      <c r="CM946" s="113"/>
      <c r="CN946" s="113"/>
      <c r="CO946" s="113"/>
      <c r="CP946" s="113"/>
      <c r="CQ946" s="113"/>
      <c r="CR946" s="113"/>
      <c r="CS946" s="113"/>
      <c r="CT946" s="113"/>
      <c r="CU946" s="113"/>
    </row>
    <row r="947">
      <c r="A947" s="159"/>
      <c r="B947" s="113"/>
      <c r="C947" s="113"/>
      <c r="D947" s="158"/>
      <c r="E947" s="161"/>
      <c r="F947" s="160"/>
      <c r="G947" s="162"/>
      <c r="H947" s="159"/>
      <c r="I947" s="113"/>
      <c r="J947" s="113"/>
      <c r="K947" s="113"/>
      <c r="L947" s="158"/>
      <c r="M947" s="113"/>
      <c r="N947" s="113"/>
      <c r="O947" s="113"/>
      <c r="P947" s="113"/>
      <c r="Q947" s="113"/>
      <c r="R947" s="113"/>
      <c r="S947" s="113"/>
      <c r="T947" s="113"/>
      <c r="U947" s="113"/>
      <c r="V947" s="113"/>
      <c r="W947" s="113"/>
      <c r="X947" s="113"/>
      <c r="Y947" s="113"/>
      <c r="Z947" s="113"/>
      <c r="AA947" s="113"/>
      <c r="AB947" s="113"/>
      <c r="AC947" s="113"/>
      <c r="AD947" s="113"/>
      <c r="AE947" s="113"/>
      <c r="AF947" s="113"/>
      <c r="AG947" s="113"/>
      <c r="AH947" s="113"/>
      <c r="AI947" s="113"/>
      <c r="AJ947" s="113"/>
      <c r="AK947" s="113"/>
      <c r="AL947" s="113"/>
      <c r="AM947" s="113"/>
      <c r="AN947" s="113"/>
      <c r="AO947" s="113"/>
      <c r="AP947" s="113"/>
      <c r="AQ947" s="113"/>
      <c r="AR947" s="113"/>
      <c r="AS947" s="113"/>
      <c r="AT947" s="113"/>
      <c r="AU947" s="113"/>
      <c r="AV947" s="113"/>
      <c r="AW947" s="113"/>
      <c r="AX947" s="113"/>
      <c r="AY947" s="113"/>
      <c r="AZ947" s="113"/>
      <c r="BA947" s="113"/>
      <c r="BB947" s="113"/>
      <c r="BC947" s="113"/>
      <c r="BD947" s="113"/>
      <c r="BE947" s="113"/>
      <c r="BF947" s="113"/>
      <c r="BG947" s="113"/>
      <c r="BH947" s="113"/>
      <c r="BI947" s="113"/>
      <c r="BJ947" s="113"/>
      <c r="BK947" s="113"/>
      <c r="BL947" s="113"/>
      <c r="BM947" s="113"/>
      <c r="BN947" s="113"/>
      <c r="BO947" s="113"/>
      <c r="BP947" s="113"/>
      <c r="BQ947" s="113"/>
      <c r="BR947" s="113"/>
      <c r="BS947" s="113"/>
      <c r="BT947" s="113"/>
      <c r="BU947" s="113"/>
      <c r="BV947" s="113"/>
      <c r="BW947" s="113"/>
      <c r="BX947" s="113"/>
      <c r="BY947" s="113"/>
      <c r="BZ947" s="113"/>
      <c r="CA947" s="113"/>
      <c r="CB947" s="113"/>
      <c r="CC947" s="113"/>
      <c r="CD947" s="113"/>
      <c r="CE947" s="113"/>
      <c r="CF947" s="113"/>
      <c r="CG947" s="113"/>
      <c r="CH947" s="113"/>
      <c r="CI947" s="113"/>
      <c r="CJ947" s="113"/>
      <c r="CK947" s="113"/>
      <c r="CL947" s="113"/>
      <c r="CM947" s="113"/>
      <c r="CN947" s="113"/>
      <c r="CO947" s="113"/>
      <c r="CP947" s="113"/>
      <c r="CQ947" s="113"/>
      <c r="CR947" s="113"/>
      <c r="CS947" s="113"/>
      <c r="CT947" s="113"/>
      <c r="CU947" s="113"/>
    </row>
    <row r="948">
      <c r="A948" s="159"/>
      <c r="B948" s="113"/>
      <c r="C948" s="113"/>
      <c r="D948" s="158"/>
      <c r="E948" s="161"/>
      <c r="F948" s="160"/>
      <c r="G948" s="162"/>
      <c r="H948" s="159"/>
      <c r="I948" s="113"/>
      <c r="J948" s="113"/>
      <c r="K948" s="113"/>
      <c r="L948" s="158"/>
      <c r="M948" s="113"/>
      <c r="N948" s="113"/>
      <c r="O948" s="113"/>
      <c r="P948" s="113"/>
      <c r="Q948" s="113"/>
      <c r="R948" s="113"/>
      <c r="S948" s="113"/>
      <c r="T948" s="113"/>
      <c r="U948" s="113"/>
      <c r="V948" s="113"/>
      <c r="W948" s="113"/>
      <c r="X948" s="113"/>
      <c r="Y948" s="113"/>
      <c r="Z948" s="113"/>
      <c r="AA948" s="113"/>
      <c r="AB948" s="113"/>
      <c r="AC948" s="113"/>
      <c r="AD948" s="113"/>
      <c r="AE948" s="113"/>
      <c r="AF948" s="113"/>
      <c r="AG948" s="113"/>
      <c r="AH948" s="113"/>
      <c r="AI948" s="113"/>
      <c r="AJ948" s="113"/>
      <c r="AK948" s="113"/>
      <c r="AL948" s="113"/>
      <c r="AM948" s="113"/>
      <c r="AN948" s="113"/>
      <c r="AO948" s="113"/>
      <c r="AP948" s="113"/>
      <c r="AQ948" s="113"/>
      <c r="AR948" s="113"/>
      <c r="AS948" s="113"/>
      <c r="AT948" s="113"/>
      <c r="AU948" s="113"/>
      <c r="AV948" s="113"/>
      <c r="AW948" s="113"/>
      <c r="AX948" s="113"/>
      <c r="AY948" s="113"/>
      <c r="AZ948" s="113"/>
      <c r="BA948" s="113"/>
      <c r="BB948" s="113"/>
      <c r="BC948" s="113"/>
      <c r="BD948" s="113"/>
      <c r="BE948" s="113"/>
      <c r="BF948" s="113"/>
      <c r="BG948" s="113"/>
      <c r="BH948" s="113"/>
      <c r="BI948" s="113"/>
      <c r="BJ948" s="113"/>
      <c r="BK948" s="113"/>
      <c r="BL948" s="113"/>
      <c r="BM948" s="113"/>
      <c r="BN948" s="113"/>
      <c r="BO948" s="113"/>
      <c r="BP948" s="113"/>
      <c r="BQ948" s="113"/>
      <c r="BR948" s="113"/>
      <c r="BS948" s="113"/>
      <c r="BT948" s="113"/>
      <c r="BU948" s="113"/>
      <c r="BV948" s="113"/>
      <c r="BW948" s="113"/>
      <c r="BX948" s="113"/>
      <c r="BY948" s="113"/>
      <c r="BZ948" s="113"/>
      <c r="CA948" s="113"/>
      <c r="CB948" s="113"/>
      <c r="CC948" s="113"/>
      <c r="CD948" s="113"/>
      <c r="CE948" s="113"/>
      <c r="CF948" s="113"/>
      <c r="CG948" s="113"/>
      <c r="CH948" s="113"/>
      <c r="CI948" s="113"/>
      <c r="CJ948" s="113"/>
      <c r="CK948" s="113"/>
      <c r="CL948" s="113"/>
      <c r="CM948" s="113"/>
      <c r="CN948" s="113"/>
      <c r="CO948" s="113"/>
      <c r="CP948" s="113"/>
      <c r="CQ948" s="113"/>
      <c r="CR948" s="113"/>
      <c r="CS948" s="113"/>
      <c r="CT948" s="113"/>
      <c r="CU948" s="113"/>
    </row>
    <row r="949">
      <c r="A949" s="159"/>
      <c r="B949" s="113"/>
      <c r="C949" s="113"/>
      <c r="D949" s="158"/>
      <c r="E949" s="161"/>
      <c r="F949" s="160"/>
      <c r="G949" s="162"/>
      <c r="H949" s="159"/>
      <c r="I949" s="113"/>
      <c r="J949" s="113"/>
      <c r="K949" s="113"/>
      <c r="L949" s="158"/>
      <c r="M949" s="113"/>
      <c r="N949" s="113"/>
      <c r="O949" s="113"/>
      <c r="P949" s="113"/>
      <c r="Q949" s="113"/>
      <c r="R949" s="113"/>
      <c r="S949" s="113"/>
      <c r="T949" s="113"/>
      <c r="U949" s="113"/>
      <c r="V949" s="113"/>
      <c r="W949" s="113"/>
      <c r="X949" s="113"/>
      <c r="Y949" s="113"/>
      <c r="Z949" s="113"/>
      <c r="AA949" s="113"/>
      <c r="AB949" s="113"/>
      <c r="AC949" s="113"/>
      <c r="AD949" s="113"/>
      <c r="AE949" s="113"/>
      <c r="AF949" s="113"/>
      <c r="AG949" s="113"/>
      <c r="AH949" s="113"/>
      <c r="AI949" s="113"/>
      <c r="AJ949" s="113"/>
      <c r="AK949" s="113"/>
      <c r="AL949" s="113"/>
      <c r="AM949" s="113"/>
      <c r="AN949" s="113"/>
      <c r="AO949" s="113"/>
      <c r="AP949" s="113"/>
      <c r="AQ949" s="113"/>
      <c r="AR949" s="113"/>
      <c r="AS949" s="113"/>
      <c r="AT949" s="113"/>
      <c r="AU949" s="113"/>
      <c r="AV949" s="113"/>
      <c r="AW949" s="113"/>
      <c r="AX949" s="113"/>
      <c r="AY949" s="113"/>
      <c r="AZ949" s="113"/>
      <c r="BA949" s="113"/>
      <c r="BB949" s="113"/>
      <c r="BC949" s="113"/>
      <c r="BD949" s="113"/>
      <c r="BE949" s="113"/>
      <c r="BF949" s="113"/>
      <c r="BG949" s="113"/>
      <c r="BH949" s="113"/>
      <c r="BI949" s="113"/>
      <c r="BJ949" s="113"/>
      <c r="BK949" s="113"/>
      <c r="BL949" s="113"/>
      <c r="BM949" s="113"/>
      <c r="BN949" s="113"/>
      <c r="BO949" s="113"/>
      <c r="BP949" s="113"/>
      <c r="BQ949" s="113"/>
      <c r="BR949" s="113"/>
      <c r="BS949" s="113"/>
      <c r="BT949" s="113"/>
      <c r="BU949" s="113"/>
      <c r="BV949" s="113"/>
      <c r="BW949" s="113"/>
      <c r="BX949" s="113"/>
      <c r="BY949" s="113"/>
      <c r="BZ949" s="113"/>
      <c r="CA949" s="113"/>
      <c r="CB949" s="113"/>
      <c r="CC949" s="113"/>
      <c r="CD949" s="113"/>
      <c r="CE949" s="113"/>
      <c r="CF949" s="113"/>
      <c r="CG949" s="113"/>
      <c r="CH949" s="113"/>
      <c r="CI949" s="113"/>
      <c r="CJ949" s="113"/>
      <c r="CK949" s="113"/>
      <c r="CL949" s="113"/>
      <c r="CM949" s="113"/>
      <c r="CN949" s="113"/>
      <c r="CO949" s="113"/>
      <c r="CP949" s="113"/>
      <c r="CQ949" s="113"/>
      <c r="CR949" s="113"/>
      <c r="CS949" s="113"/>
      <c r="CT949" s="113"/>
      <c r="CU949" s="113"/>
    </row>
    <row r="950">
      <c r="A950" s="159"/>
      <c r="B950" s="113"/>
      <c r="C950" s="113"/>
      <c r="D950" s="158"/>
      <c r="E950" s="161"/>
      <c r="F950" s="160"/>
      <c r="G950" s="162"/>
      <c r="H950" s="159"/>
      <c r="I950" s="113"/>
      <c r="J950" s="113"/>
      <c r="K950" s="113"/>
      <c r="L950" s="158"/>
      <c r="M950" s="113"/>
      <c r="N950" s="113"/>
      <c r="O950" s="113"/>
      <c r="P950" s="113"/>
      <c r="Q950" s="113"/>
      <c r="R950" s="113"/>
      <c r="S950" s="113"/>
      <c r="T950" s="113"/>
      <c r="U950" s="113"/>
      <c r="V950" s="113"/>
      <c r="W950" s="113"/>
      <c r="X950" s="113"/>
      <c r="Y950" s="113"/>
      <c r="Z950" s="113"/>
      <c r="AA950" s="113"/>
      <c r="AB950" s="113"/>
      <c r="AC950" s="113"/>
      <c r="AD950" s="113"/>
      <c r="AE950" s="113"/>
      <c r="AF950" s="113"/>
      <c r="AG950" s="113"/>
      <c r="AH950" s="113"/>
      <c r="AI950" s="113"/>
      <c r="AJ950" s="113"/>
      <c r="AK950" s="113"/>
      <c r="AL950" s="113"/>
      <c r="AM950" s="113"/>
      <c r="AN950" s="113"/>
      <c r="AO950" s="113"/>
      <c r="AP950" s="113"/>
      <c r="AQ950" s="113"/>
      <c r="AR950" s="113"/>
      <c r="AS950" s="113"/>
      <c r="AT950" s="113"/>
      <c r="AU950" s="113"/>
      <c r="AV950" s="113"/>
      <c r="AW950" s="113"/>
      <c r="AX950" s="113"/>
      <c r="AY950" s="113"/>
      <c r="AZ950" s="113"/>
      <c r="BA950" s="113"/>
      <c r="BB950" s="113"/>
      <c r="BC950" s="113"/>
      <c r="BD950" s="113"/>
      <c r="BE950" s="113"/>
      <c r="BF950" s="113"/>
      <c r="BG950" s="113"/>
      <c r="BH950" s="113"/>
      <c r="BI950" s="113"/>
      <c r="BJ950" s="113"/>
      <c r="BK950" s="113"/>
      <c r="BL950" s="113"/>
      <c r="BM950" s="113"/>
      <c r="BN950" s="113"/>
      <c r="BO950" s="113"/>
      <c r="BP950" s="113"/>
      <c r="BQ950" s="113"/>
      <c r="BR950" s="113"/>
      <c r="BS950" s="113"/>
      <c r="BT950" s="113"/>
      <c r="BU950" s="113"/>
      <c r="BV950" s="113"/>
      <c r="BW950" s="113"/>
      <c r="BX950" s="113"/>
      <c r="BY950" s="113"/>
      <c r="BZ950" s="113"/>
      <c r="CA950" s="113"/>
      <c r="CB950" s="113"/>
      <c r="CC950" s="113"/>
      <c r="CD950" s="113"/>
      <c r="CE950" s="113"/>
      <c r="CF950" s="113"/>
      <c r="CG950" s="113"/>
      <c r="CH950" s="113"/>
      <c r="CI950" s="113"/>
      <c r="CJ950" s="113"/>
      <c r="CK950" s="113"/>
      <c r="CL950" s="113"/>
      <c r="CM950" s="113"/>
      <c r="CN950" s="113"/>
      <c r="CO950" s="113"/>
      <c r="CP950" s="113"/>
      <c r="CQ950" s="113"/>
      <c r="CR950" s="113"/>
      <c r="CS950" s="113"/>
      <c r="CT950" s="113"/>
      <c r="CU950" s="113"/>
    </row>
    <row r="951">
      <c r="A951" s="159"/>
      <c r="B951" s="113"/>
      <c r="C951" s="113"/>
      <c r="D951" s="158"/>
      <c r="E951" s="161"/>
      <c r="F951" s="160"/>
      <c r="G951" s="162"/>
      <c r="H951" s="159"/>
      <c r="I951" s="113"/>
      <c r="J951" s="113"/>
      <c r="K951" s="113"/>
      <c r="L951" s="158"/>
      <c r="M951" s="113"/>
      <c r="N951" s="113"/>
      <c r="O951" s="113"/>
      <c r="P951" s="113"/>
      <c r="Q951" s="113"/>
      <c r="R951" s="113"/>
      <c r="S951" s="113"/>
      <c r="T951" s="113"/>
      <c r="U951" s="113"/>
      <c r="V951" s="113"/>
      <c r="W951" s="113"/>
      <c r="X951" s="113"/>
      <c r="Y951" s="113"/>
      <c r="Z951" s="113"/>
      <c r="AA951" s="113"/>
      <c r="AB951" s="113"/>
      <c r="AC951" s="113"/>
      <c r="AD951" s="113"/>
      <c r="AE951" s="113"/>
      <c r="AF951" s="113"/>
      <c r="AG951" s="113"/>
      <c r="AH951" s="113"/>
      <c r="AI951" s="113"/>
      <c r="AJ951" s="113"/>
      <c r="AK951" s="113"/>
      <c r="AL951" s="113"/>
      <c r="AM951" s="113"/>
      <c r="AN951" s="113"/>
      <c r="AO951" s="113"/>
      <c r="AP951" s="113"/>
      <c r="AQ951" s="113"/>
      <c r="AR951" s="113"/>
      <c r="AS951" s="113"/>
      <c r="AT951" s="113"/>
      <c r="AU951" s="113"/>
      <c r="AV951" s="113"/>
      <c r="AW951" s="113"/>
      <c r="AX951" s="113"/>
      <c r="AY951" s="113"/>
      <c r="AZ951" s="113"/>
      <c r="BA951" s="113"/>
      <c r="BB951" s="113"/>
      <c r="BC951" s="113"/>
      <c r="BD951" s="113"/>
      <c r="BE951" s="113"/>
      <c r="BF951" s="113"/>
      <c r="BG951" s="113"/>
      <c r="BH951" s="113"/>
      <c r="BI951" s="113"/>
      <c r="BJ951" s="113"/>
      <c r="BK951" s="113"/>
      <c r="BL951" s="113"/>
      <c r="BM951" s="113"/>
      <c r="BN951" s="113"/>
      <c r="BO951" s="113"/>
      <c r="BP951" s="113"/>
      <c r="BQ951" s="113"/>
      <c r="BR951" s="113"/>
      <c r="BS951" s="113"/>
      <c r="BT951" s="113"/>
      <c r="BU951" s="113"/>
      <c r="BV951" s="113"/>
      <c r="BW951" s="113"/>
      <c r="BX951" s="113"/>
      <c r="BY951" s="113"/>
      <c r="BZ951" s="113"/>
      <c r="CA951" s="113"/>
      <c r="CB951" s="113"/>
      <c r="CC951" s="113"/>
      <c r="CD951" s="113"/>
      <c r="CE951" s="113"/>
      <c r="CF951" s="113"/>
      <c r="CG951" s="113"/>
      <c r="CH951" s="113"/>
      <c r="CI951" s="113"/>
      <c r="CJ951" s="113"/>
      <c r="CK951" s="113"/>
      <c r="CL951" s="113"/>
      <c r="CM951" s="113"/>
      <c r="CN951" s="113"/>
      <c r="CO951" s="113"/>
      <c r="CP951" s="113"/>
      <c r="CQ951" s="113"/>
      <c r="CR951" s="113"/>
      <c r="CS951" s="113"/>
      <c r="CT951" s="113"/>
      <c r="CU951" s="113"/>
    </row>
    <row r="952">
      <c r="A952" s="159"/>
      <c r="B952" s="113"/>
      <c r="C952" s="113"/>
      <c r="D952" s="158"/>
      <c r="E952" s="161"/>
      <c r="F952" s="160"/>
      <c r="G952" s="162"/>
      <c r="H952" s="159"/>
      <c r="I952" s="113"/>
      <c r="J952" s="113"/>
      <c r="K952" s="113"/>
      <c r="L952" s="158"/>
      <c r="M952" s="113"/>
      <c r="N952" s="113"/>
      <c r="O952" s="113"/>
      <c r="P952" s="113"/>
      <c r="Q952" s="113"/>
      <c r="R952" s="113"/>
      <c r="S952" s="113"/>
      <c r="T952" s="113"/>
      <c r="U952" s="113"/>
      <c r="V952" s="113"/>
      <c r="W952" s="113"/>
      <c r="X952" s="113"/>
      <c r="Y952" s="113"/>
      <c r="Z952" s="113"/>
      <c r="AA952" s="113"/>
      <c r="AB952" s="113"/>
      <c r="AC952" s="113"/>
      <c r="AD952" s="113"/>
      <c r="AE952" s="113"/>
      <c r="AF952" s="113"/>
      <c r="AG952" s="113"/>
      <c r="AH952" s="113"/>
      <c r="AI952" s="113"/>
      <c r="AJ952" s="113"/>
      <c r="AK952" s="113"/>
      <c r="AL952" s="113"/>
      <c r="AM952" s="113"/>
      <c r="AN952" s="113"/>
      <c r="AO952" s="113"/>
      <c r="AP952" s="113"/>
      <c r="AQ952" s="113"/>
      <c r="AR952" s="113"/>
      <c r="AS952" s="113"/>
      <c r="AT952" s="113"/>
      <c r="AU952" s="113"/>
      <c r="AV952" s="113"/>
      <c r="AW952" s="113"/>
      <c r="AX952" s="113"/>
      <c r="AY952" s="113"/>
      <c r="AZ952" s="113"/>
      <c r="BA952" s="113"/>
      <c r="BB952" s="113"/>
      <c r="BC952" s="113"/>
      <c r="BD952" s="113"/>
      <c r="BE952" s="113"/>
      <c r="BF952" s="113"/>
      <c r="BG952" s="113"/>
      <c r="BH952" s="113"/>
      <c r="BI952" s="113"/>
      <c r="BJ952" s="113"/>
      <c r="BK952" s="113"/>
      <c r="BL952" s="113"/>
      <c r="BM952" s="113"/>
      <c r="BN952" s="113"/>
      <c r="BO952" s="113"/>
      <c r="BP952" s="113"/>
      <c r="BQ952" s="113"/>
      <c r="BR952" s="113"/>
      <c r="BS952" s="113"/>
      <c r="BT952" s="113"/>
      <c r="BU952" s="113"/>
      <c r="BV952" s="113"/>
      <c r="BW952" s="113"/>
      <c r="BX952" s="113"/>
      <c r="BY952" s="113"/>
      <c r="BZ952" s="113"/>
      <c r="CA952" s="113"/>
      <c r="CB952" s="113"/>
      <c r="CC952" s="113"/>
      <c r="CD952" s="113"/>
      <c r="CE952" s="113"/>
      <c r="CF952" s="113"/>
      <c r="CG952" s="113"/>
      <c r="CH952" s="113"/>
      <c r="CI952" s="113"/>
      <c r="CJ952" s="113"/>
      <c r="CK952" s="113"/>
      <c r="CL952" s="113"/>
      <c r="CM952" s="113"/>
      <c r="CN952" s="113"/>
      <c r="CO952" s="113"/>
      <c r="CP952" s="113"/>
      <c r="CQ952" s="113"/>
      <c r="CR952" s="113"/>
      <c r="CS952" s="113"/>
      <c r="CT952" s="113"/>
      <c r="CU952" s="113"/>
    </row>
    <row r="953">
      <c r="A953" s="159"/>
      <c r="B953" s="113"/>
      <c r="C953" s="113"/>
      <c r="D953" s="158"/>
      <c r="E953" s="161"/>
      <c r="F953" s="160"/>
      <c r="G953" s="162"/>
      <c r="H953" s="159"/>
      <c r="I953" s="113"/>
      <c r="J953" s="113"/>
      <c r="K953" s="113"/>
      <c r="L953" s="158"/>
      <c r="M953" s="113"/>
      <c r="N953" s="113"/>
      <c r="O953" s="113"/>
      <c r="P953" s="113"/>
      <c r="Q953" s="113"/>
      <c r="R953" s="113"/>
      <c r="S953" s="113"/>
      <c r="T953" s="113"/>
      <c r="U953" s="113"/>
      <c r="V953" s="113"/>
      <c r="W953" s="113"/>
      <c r="X953" s="113"/>
      <c r="Y953" s="113"/>
      <c r="Z953" s="113"/>
      <c r="AA953" s="113"/>
      <c r="AB953" s="113"/>
      <c r="AC953" s="113"/>
      <c r="AD953" s="113"/>
      <c r="AE953" s="113"/>
      <c r="AF953" s="113"/>
      <c r="AG953" s="113"/>
      <c r="AH953" s="113"/>
      <c r="AI953" s="113"/>
      <c r="AJ953" s="113"/>
      <c r="AK953" s="113"/>
      <c r="AL953" s="113"/>
      <c r="AM953" s="113"/>
      <c r="AN953" s="113"/>
      <c r="AO953" s="113"/>
      <c r="AP953" s="113"/>
      <c r="AQ953" s="113"/>
      <c r="AR953" s="113"/>
      <c r="AS953" s="113"/>
      <c r="AT953" s="113"/>
      <c r="AU953" s="113"/>
      <c r="AV953" s="113"/>
      <c r="AW953" s="113"/>
      <c r="AX953" s="113"/>
      <c r="AY953" s="113"/>
      <c r="AZ953" s="113"/>
      <c r="BA953" s="113"/>
      <c r="BB953" s="113"/>
      <c r="BC953" s="113"/>
      <c r="BD953" s="113"/>
      <c r="BE953" s="113"/>
      <c r="BF953" s="113"/>
      <c r="BG953" s="113"/>
      <c r="BH953" s="113"/>
      <c r="BI953" s="113"/>
      <c r="BJ953" s="113"/>
      <c r="BK953" s="113"/>
      <c r="BL953" s="113"/>
      <c r="BM953" s="113"/>
      <c r="BN953" s="113"/>
      <c r="BO953" s="113"/>
      <c r="BP953" s="113"/>
      <c r="BQ953" s="113"/>
      <c r="BR953" s="113"/>
      <c r="BS953" s="113"/>
      <c r="BT953" s="113"/>
      <c r="BU953" s="113"/>
      <c r="BV953" s="113"/>
      <c r="BW953" s="113"/>
      <c r="BX953" s="113"/>
      <c r="BY953" s="113"/>
      <c r="BZ953" s="113"/>
      <c r="CA953" s="113"/>
      <c r="CB953" s="113"/>
      <c r="CC953" s="113"/>
      <c r="CD953" s="113"/>
      <c r="CE953" s="113"/>
      <c r="CF953" s="113"/>
      <c r="CG953" s="113"/>
      <c r="CH953" s="113"/>
      <c r="CI953" s="113"/>
      <c r="CJ953" s="113"/>
      <c r="CK953" s="113"/>
      <c r="CL953" s="113"/>
      <c r="CM953" s="113"/>
      <c r="CN953" s="113"/>
      <c r="CO953" s="113"/>
      <c r="CP953" s="113"/>
      <c r="CQ953" s="113"/>
      <c r="CR953" s="113"/>
      <c r="CS953" s="113"/>
      <c r="CT953" s="113"/>
      <c r="CU953" s="113"/>
    </row>
    <row r="954">
      <c r="A954" s="159"/>
      <c r="B954" s="113"/>
      <c r="C954" s="113"/>
      <c r="D954" s="158"/>
      <c r="E954" s="161"/>
      <c r="F954" s="160"/>
      <c r="G954" s="162"/>
      <c r="H954" s="159"/>
      <c r="I954" s="113"/>
      <c r="J954" s="113"/>
      <c r="K954" s="113"/>
      <c r="L954" s="158"/>
      <c r="M954" s="113"/>
      <c r="N954" s="113"/>
      <c r="O954" s="113"/>
      <c r="P954" s="113"/>
      <c r="Q954" s="113"/>
      <c r="R954" s="113"/>
      <c r="S954" s="113"/>
      <c r="T954" s="113"/>
      <c r="U954" s="113"/>
      <c r="V954" s="113"/>
      <c r="W954" s="113"/>
      <c r="X954" s="113"/>
      <c r="Y954" s="113"/>
      <c r="Z954" s="113"/>
      <c r="AA954" s="113"/>
      <c r="AB954" s="113"/>
      <c r="AC954" s="113"/>
      <c r="AD954" s="113"/>
      <c r="AE954" s="113"/>
      <c r="AF954" s="113"/>
      <c r="AG954" s="113"/>
      <c r="AH954" s="113"/>
      <c r="AI954" s="113"/>
      <c r="AJ954" s="113"/>
      <c r="AK954" s="113"/>
      <c r="AL954" s="113"/>
      <c r="AM954" s="113"/>
      <c r="AN954" s="113"/>
      <c r="AO954" s="113"/>
      <c r="AP954" s="113"/>
      <c r="AQ954" s="113"/>
      <c r="AR954" s="113"/>
      <c r="AS954" s="113"/>
      <c r="AT954" s="113"/>
      <c r="AU954" s="113"/>
      <c r="AV954" s="113"/>
      <c r="AW954" s="113"/>
      <c r="AX954" s="113"/>
      <c r="AY954" s="113"/>
      <c r="AZ954" s="113"/>
      <c r="BA954" s="113"/>
      <c r="BB954" s="113"/>
      <c r="BC954" s="113"/>
      <c r="BD954" s="113"/>
      <c r="BE954" s="113"/>
      <c r="BF954" s="113"/>
      <c r="BG954" s="113"/>
      <c r="BH954" s="113"/>
      <c r="BI954" s="113"/>
      <c r="BJ954" s="113"/>
      <c r="BK954" s="113"/>
      <c r="BL954" s="113"/>
      <c r="BM954" s="113"/>
      <c r="BN954" s="113"/>
      <c r="BO954" s="113"/>
      <c r="BP954" s="113"/>
      <c r="BQ954" s="113"/>
      <c r="BR954" s="113"/>
      <c r="BS954" s="113"/>
      <c r="BT954" s="113"/>
      <c r="BU954" s="113"/>
      <c r="BV954" s="113"/>
      <c r="BW954" s="113"/>
      <c r="BX954" s="113"/>
      <c r="BY954" s="113"/>
      <c r="BZ954" s="113"/>
      <c r="CA954" s="113"/>
      <c r="CB954" s="113"/>
      <c r="CC954" s="113"/>
      <c r="CD954" s="113"/>
      <c r="CE954" s="113"/>
      <c r="CF954" s="113"/>
      <c r="CG954" s="113"/>
      <c r="CH954" s="113"/>
      <c r="CI954" s="113"/>
      <c r="CJ954" s="113"/>
      <c r="CK954" s="113"/>
      <c r="CL954" s="113"/>
      <c r="CM954" s="113"/>
      <c r="CN954" s="113"/>
      <c r="CO954" s="113"/>
      <c r="CP954" s="113"/>
      <c r="CQ954" s="113"/>
      <c r="CR954" s="113"/>
      <c r="CS954" s="113"/>
      <c r="CT954" s="113"/>
      <c r="CU954" s="113"/>
    </row>
    <row r="955">
      <c r="A955" s="159"/>
      <c r="B955" s="113"/>
      <c r="C955" s="113"/>
      <c r="D955" s="158"/>
      <c r="E955" s="161"/>
      <c r="F955" s="160"/>
      <c r="G955" s="162"/>
      <c r="H955" s="159"/>
      <c r="I955" s="113"/>
      <c r="J955" s="113"/>
      <c r="K955" s="113"/>
      <c r="L955" s="158"/>
      <c r="M955" s="113"/>
      <c r="N955" s="113"/>
      <c r="O955" s="113"/>
      <c r="P955" s="113"/>
      <c r="Q955" s="113"/>
      <c r="R955" s="113"/>
      <c r="S955" s="113"/>
      <c r="T955" s="113"/>
      <c r="U955" s="113"/>
      <c r="V955" s="113"/>
      <c r="W955" s="113"/>
      <c r="X955" s="113"/>
      <c r="Y955" s="113"/>
      <c r="Z955" s="113"/>
      <c r="AA955" s="113"/>
      <c r="AB955" s="113"/>
      <c r="AC955" s="113"/>
      <c r="AD955" s="113"/>
      <c r="AE955" s="113"/>
      <c r="AF955" s="113"/>
      <c r="AG955" s="113"/>
      <c r="AH955" s="113"/>
      <c r="AI955" s="113"/>
      <c r="AJ955" s="113"/>
      <c r="AK955" s="113"/>
      <c r="AL955" s="113"/>
      <c r="AM955" s="113"/>
      <c r="AN955" s="113"/>
      <c r="AO955" s="113"/>
      <c r="AP955" s="113"/>
      <c r="AQ955" s="113"/>
      <c r="AR955" s="113"/>
      <c r="AS955" s="113"/>
      <c r="AT955" s="113"/>
      <c r="AU955" s="113"/>
      <c r="AV955" s="113"/>
      <c r="AW955" s="113"/>
      <c r="AX955" s="113"/>
      <c r="AY955" s="113"/>
      <c r="AZ955" s="113"/>
      <c r="BA955" s="113"/>
      <c r="BB955" s="113"/>
      <c r="BC955" s="113"/>
      <c r="BD955" s="113"/>
      <c r="BE955" s="113"/>
      <c r="BF955" s="113"/>
      <c r="BG955" s="113"/>
      <c r="BH955" s="113"/>
      <c r="BI955" s="113"/>
      <c r="BJ955" s="113"/>
      <c r="BK955" s="113"/>
      <c r="BL955" s="113"/>
      <c r="BM955" s="113"/>
      <c r="BN955" s="113"/>
      <c r="BO955" s="113"/>
      <c r="BP955" s="113"/>
      <c r="BQ955" s="113"/>
      <c r="BR955" s="113"/>
      <c r="BS955" s="113"/>
      <c r="BT955" s="113"/>
      <c r="BU955" s="113"/>
      <c r="BV955" s="113"/>
      <c r="BW955" s="113"/>
      <c r="BX955" s="113"/>
      <c r="BY955" s="113"/>
      <c r="BZ955" s="113"/>
      <c r="CA955" s="113"/>
      <c r="CB955" s="113"/>
      <c r="CC955" s="113"/>
      <c r="CD955" s="113"/>
      <c r="CE955" s="113"/>
      <c r="CF955" s="113"/>
      <c r="CG955" s="113"/>
      <c r="CH955" s="113"/>
      <c r="CI955" s="113"/>
      <c r="CJ955" s="113"/>
      <c r="CK955" s="113"/>
      <c r="CL955" s="113"/>
      <c r="CM955" s="113"/>
      <c r="CN955" s="113"/>
      <c r="CO955" s="113"/>
      <c r="CP955" s="113"/>
      <c r="CQ955" s="113"/>
      <c r="CR955" s="113"/>
      <c r="CS955" s="113"/>
      <c r="CT955" s="113"/>
      <c r="CU955" s="113"/>
    </row>
    <row r="956">
      <c r="A956" s="159"/>
      <c r="B956" s="113"/>
      <c r="C956" s="113"/>
      <c r="D956" s="158"/>
      <c r="E956" s="161"/>
      <c r="F956" s="160"/>
      <c r="G956" s="162"/>
      <c r="H956" s="159"/>
      <c r="I956" s="113"/>
      <c r="J956" s="113"/>
      <c r="K956" s="113"/>
      <c r="L956" s="158"/>
      <c r="M956" s="113"/>
      <c r="N956" s="113"/>
      <c r="O956" s="113"/>
      <c r="P956" s="113"/>
      <c r="Q956" s="113"/>
      <c r="R956" s="113"/>
      <c r="S956" s="113"/>
      <c r="T956" s="113"/>
      <c r="U956" s="113"/>
      <c r="V956" s="113"/>
      <c r="W956" s="113"/>
      <c r="X956" s="113"/>
      <c r="Y956" s="113"/>
      <c r="Z956" s="113"/>
      <c r="AA956" s="113"/>
      <c r="AB956" s="113"/>
      <c r="AC956" s="113"/>
      <c r="AD956" s="113"/>
      <c r="AE956" s="113"/>
      <c r="AF956" s="113"/>
      <c r="AG956" s="113"/>
      <c r="AH956" s="113"/>
      <c r="AI956" s="113"/>
      <c r="AJ956" s="113"/>
      <c r="AK956" s="113"/>
      <c r="AL956" s="113"/>
      <c r="AM956" s="113"/>
      <c r="AN956" s="113"/>
      <c r="AO956" s="113"/>
      <c r="AP956" s="113"/>
      <c r="AQ956" s="113"/>
      <c r="AR956" s="113"/>
      <c r="AS956" s="113"/>
      <c r="AT956" s="113"/>
      <c r="AU956" s="113"/>
      <c r="AV956" s="113"/>
      <c r="AW956" s="113"/>
      <c r="AX956" s="113"/>
      <c r="AY956" s="113"/>
      <c r="AZ956" s="113"/>
      <c r="BA956" s="113"/>
      <c r="BB956" s="113"/>
      <c r="BC956" s="113"/>
      <c r="BD956" s="113"/>
      <c r="BE956" s="113"/>
      <c r="BF956" s="113"/>
      <c r="BG956" s="113"/>
      <c r="BH956" s="113"/>
      <c r="BI956" s="113"/>
      <c r="BJ956" s="113"/>
      <c r="BK956" s="113"/>
      <c r="BL956" s="113"/>
      <c r="BM956" s="113"/>
      <c r="BN956" s="113"/>
      <c r="BO956" s="113"/>
      <c r="BP956" s="113"/>
      <c r="BQ956" s="113"/>
      <c r="BR956" s="113"/>
      <c r="BS956" s="113"/>
      <c r="BT956" s="113"/>
      <c r="BU956" s="113"/>
      <c r="BV956" s="113"/>
      <c r="BW956" s="113"/>
      <c r="BX956" s="113"/>
      <c r="BY956" s="113"/>
      <c r="BZ956" s="113"/>
      <c r="CA956" s="113"/>
      <c r="CB956" s="113"/>
      <c r="CC956" s="113"/>
      <c r="CD956" s="113"/>
      <c r="CE956" s="113"/>
      <c r="CF956" s="113"/>
      <c r="CG956" s="113"/>
      <c r="CH956" s="113"/>
      <c r="CI956" s="113"/>
      <c r="CJ956" s="113"/>
      <c r="CK956" s="113"/>
      <c r="CL956" s="113"/>
      <c r="CM956" s="113"/>
      <c r="CN956" s="113"/>
      <c r="CO956" s="113"/>
      <c r="CP956" s="113"/>
      <c r="CQ956" s="113"/>
      <c r="CR956" s="113"/>
      <c r="CS956" s="113"/>
      <c r="CT956" s="113"/>
      <c r="CU956" s="113"/>
    </row>
    <row r="957">
      <c r="A957" s="159"/>
      <c r="B957" s="113"/>
      <c r="C957" s="113"/>
      <c r="D957" s="158"/>
      <c r="E957" s="161"/>
      <c r="F957" s="160"/>
      <c r="G957" s="162"/>
      <c r="H957" s="159"/>
      <c r="I957" s="113"/>
      <c r="J957" s="113"/>
      <c r="K957" s="113"/>
      <c r="L957" s="158"/>
      <c r="M957" s="113"/>
      <c r="N957" s="113"/>
      <c r="O957" s="113"/>
      <c r="P957" s="113"/>
      <c r="Q957" s="113"/>
      <c r="R957" s="113"/>
      <c r="S957" s="113"/>
      <c r="T957" s="113"/>
      <c r="U957" s="113"/>
      <c r="V957" s="113"/>
      <c r="W957" s="113"/>
      <c r="X957" s="113"/>
      <c r="Y957" s="113"/>
      <c r="Z957" s="113"/>
      <c r="AA957" s="113"/>
      <c r="AB957" s="113"/>
      <c r="AC957" s="113"/>
      <c r="AD957" s="113"/>
      <c r="AE957" s="113"/>
      <c r="AF957" s="113"/>
      <c r="AG957" s="113"/>
      <c r="AH957" s="113"/>
      <c r="AI957" s="113"/>
      <c r="AJ957" s="113"/>
      <c r="AK957" s="113"/>
      <c r="AL957" s="113"/>
      <c r="AM957" s="113"/>
      <c r="AN957" s="113"/>
      <c r="AO957" s="113"/>
      <c r="AP957" s="113"/>
      <c r="AQ957" s="113"/>
      <c r="AR957" s="113"/>
      <c r="AS957" s="113"/>
      <c r="AT957" s="113"/>
      <c r="AU957" s="113"/>
      <c r="AV957" s="113"/>
      <c r="AW957" s="113"/>
      <c r="AX957" s="113"/>
      <c r="AY957" s="113"/>
      <c r="AZ957" s="113"/>
      <c r="BA957" s="113"/>
      <c r="BB957" s="113"/>
      <c r="BC957" s="113"/>
      <c r="BD957" s="113"/>
      <c r="BE957" s="113"/>
      <c r="BF957" s="113"/>
      <c r="BG957" s="113"/>
      <c r="BH957" s="113"/>
      <c r="BI957" s="113"/>
      <c r="BJ957" s="113"/>
      <c r="BK957" s="113"/>
      <c r="BL957" s="113"/>
      <c r="BM957" s="113"/>
      <c r="BN957" s="113"/>
      <c r="BO957" s="113"/>
      <c r="BP957" s="113"/>
      <c r="BQ957" s="113"/>
      <c r="BR957" s="113"/>
      <c r="BS957" s="113"/>
      <c r="BT957" s="113"/>
      <c r="BU957" s="113"/>
      <c r="BV957" s="113"/>
      <c r="BW957" s="113"/>
      <c r="BX957" s="113"/>
      <c r="BY957" s="113"/>
      <c r="BZ957" s="113"/>
      <c r="CA957" s="113"/>
      <c r="CB957" s="113"/>
      <c r="CC957" s="113"/>
      <c r="CD957" s="113"/>
      <c r="CE957" s="113"/>
      <c r="CF957" s="113"/>
      <c r="CG957" s="113"/>
      <c r="CH957" s="113"/>
      <c r="CI957" s="113"/>
      <c r="CJ957" s="113"/>
      <c r="CK957" s="113"/>
      <c r="CL957" s="113"/>
      <c r="CM957" s="113"/>
      <c r="CN957" s="113"/>
      <c r="CO957" s="113"/>
      <c r="CP957" s="113"/>
      <c r="CQ957" s="113"/>
      <c r="CR957" s="113"/>
      <c r="CS957" s="113"/>
      <c r="CT957" s="113"/>
      <c r="CU957" s="113"/>
    </row>
    <row r="958">
      <c r="A958" s="159"/>
      <c r="B958" s="113"/>
      <c r="C958" s="113"/>
      <c r="D958" s="158"/>
      <c r="E958" s="161"/>
      <c r="F958" s="160"/>
      <c r="G958" s="162"/>
      <c r="H958" s="159"/>
      <c r="I958" s="113"/>
      <c r="J958" s="113"/>
      <c r="K958" s="113"/>
      <c r="L958" s="158"/>
      <c r="M958" s="113"/>
      <c r="N958" s="113"/>
      <c r="O958" s="113"/>
      <c r="P958" s="113"/>
      <c r="Q958" s="113"/>
      <c r="R958" s="113"/>
      <c r="S958" s="113"/>
      <c r="T958" s="113"/>
      <c r="U958" s="113"/>
      <c r="V958" s="113"/>
      <c r="W958" s="113"/>
      <c r="X958" s="113"/>
      <c r="Y958" s="113"/>
      <c r="Z958" s="113"/>
      <c r="AA958" s="113"/>
      <c r="AB958" s="113"/>
      <c r="AC958" s="113"/>
      <c r="AD958" s="113"/>
      <c r="AE958" s="113"/>
      <c r="AF958" s="113"/>
      <c r="AG958" s="113"/>
      <c r="AH958" s="113"/>
      <c r="AI958" s="113"/>
      <c r="AJ958" s="113"/>
      <c r="AK958" s="113"/>
      <c r="AL958" s="113"/>
      <c r="AM958" s="113"/>
      <c r="AN958" s="113"/>
      <c r="AO958" s="113"/>
      <c r="AP958" s="113"/>
      <c r="AQ958" s="113"/>
      <c r="AR958" s="113"/>
      <c r="AS958" s="113"/>
      <c r="AT958" s="113"/>
      <c r="AU958" s="113"/>
      <c r="AV958" s="113"/>
      <c r="AW958" s="113"/>
      <c r="AX958" s="113"/>
      <c r="AY958" s="113"/>
      <c r="AZ958" s="113"/>
      <c r="BA958" s="113"/>
      <c r="BB958" s="113"/>
      <c r="BC958" s="113"/>
      <c r="BD958" s="113"/>
      <c r="BE958" s="113"/>
      <c r="BF958" s="113"/>
      <c r="BG958" s="113"/>
      <c r="BH958" s="113"/>
      <c r="BI958" s="113"/>
      <c r="BJ958" s="113"/>
      <c r="BK958" s="113"/>
      <c r="BL958" s="113"/>
      <c r="BM958" s="113"/>
      <c r="BN958" s="113"/>
      <c r="BO958" s="113"/>
      <c r="BP958" s="113"/>
      <c r="BQ958" s="113"/>
      <c r="BR958" s="113"/>
      <c r="BS958" s="113"/>
      <c r="BT958" s="113"/>
      <c r="BU958" s="113"/>
      <c r="BV958" s="113"/>
      <c r="BW958" s="113"/>
      <c r="BX958" s="113"/>
      <c r="BY958" s="113"/>
      <c r="BZ958" s="113"/>
      <c r="CA958" s="113"/>
      <c r="CB958" s="113"/>
      <c r="CC958" s="113"/>
      <c r="CD958" s="113"/>
      <c r="CE958" s="113"/>
      <c r="CF958" s="113"/>
      <c r="CG958" s="113"/>
      <c r="CH958" s="113"/>
      <c r="CI958" s="113"/>
      <c r="CJ958" s="113"/>
      <c r="CK958" s="113"/>
      <c r="CL958" s="113"/>
      <c r="CM958" s="113"/>
      <c r="CN958" s="113"/>
      <c r="CO958" s="113"/>
      <c r="CP958" s="113"/>
      <c r="CQ958" s="113"/>
      <c r="CR958" s="113"/>
      <c r="CS958" s="113"/>
      <c r="CT958" s="113"/>
      <c r="CU958" s="113"/>
    </row>
    <row r="959">
      <c r="A959" s="159"/>
      <c r="B959" s="113"/>
      <c r="C959" s="113"/>
      <c r="D959" s="158"/>
      <c r="E959" s="161"/>
      <c r="F959" s="160"/>
      <c r="G959" s="162"/>
      <c r="H959" s="159"/>
      <c r="I959" s="113"/>
      <c r="J959" s="113"/>
      <c r="K959" s="113"/>
      <c r="L959" s="158"/>
      <c r="M959" s="113"/>
      <c r="N959" s="113"/>
      <c r="O959" s="113"/>
      <c r="P959" s="113"/>
      <c r="Q959" s="113"/>
      <c r="R959" s="113"/>
      <c r="S959" s="113"/>
      <c r="T959" s="113"/>
      <c r="U959" s="113"/>
      <c r="V959" s="113"/>
      <c r="W959" s="113"/>
      <c r="X959" s="113"/>
      <c r="Y959" s="113"/>
      <c r="Z959" s="113"/>
      <c r="AA959" s="113"/>
      <c r="AB959" s="113"/>
      <c r="AC959" s="113"/>
      <c r="AD959" s="113"/>
      <c r="AE959" s="113"/>
      <c r="AF959" s="113"/>
      <c r="AG959" s="113"/>
      <c r="AH959" s="113"/>
      <c r="AI959" s="113"/>
      <c r="AJ959" s="113"/>
      <c r="AK959" s="113"/>
      <c r="AL959" s="113"/>
      <c r="AM959" s="113"/>
      <c r="AN959" s="113"/>
      <c r="AO959" s="113"/>
      <c r="AP959" s="113"/>
      <c r="AQ959" s="113"/>
      <c r="AR959" s="113"/>
      <c r="AS959" s="113"/>
      <c r="AT959" s="113"/>
      <c r="AU959" s="113"/>
      <c r="AV959" s="113"/>
      <c r="AW959" s="113"/>
      <c r="AX959" s="113"/>
      <c r="AY959" s="113"/>
      <c r="AZ959" s="113"/>
      <c r="BA959" s="113"/>
      <c r="BB959" s="113"/>
      <c r="BC959" s="113"/>
      <c r="BD959" s="113"/>
      <c r="BE959" s="113"/>
      <c r="BF959" s="113"/>
      <c r="BG959" s="113"/>
      <c r="BH959" s="113"/>
      <c r="BI959" s="113"/>
      <c r="BJ959" s="113"/>
      <c r="BK959" s="113"/>
      <c r="BL959" s="113"/>
      <c r="BM959" s="113"/>
      <c r="BN959" s="113"/>
      <c r="BO959" s="113"/>
      <c r="BP959" s="113"/>
      <c r="BQ959" s="113"/>
      <c r="BR959" s="113"/>
      <c r="BS959" s="113"/>
      <c r="BT959" s="113"/>
      <c r="BU959" s="113"/>
      <c r="BV959" s="113"/>
      <c r="BW959" s="113"/>
      <c r="BX959" s="113"/>
      <c r="BY959" s="113"/>
      <c r="BZ959" s="113"/>
      <c r="CA959" s="113"/>
      <c r="CB959" s="113"/>
      <c r="CC959" s="113"/>
      <c r="CD959" s="113"/>
      <c r="CE959" s="113"/>
      <c r="CF959" s="113"/>
      <c r="CG959" s="113"/>
      <c r="CH959" s="113"/>
      <c r="CI959" s="113"/>
      <c r="CJ959" s="113"/>
      <c r="CK959" s="113"/>
      <c r="CL959" s="113"/>
      <c r="CM959" s="113"/>
      <c r="CN959" s="113"/>
      <c r="CO959" s="113"/>
      <c r="CP959" s="113"/>
      <c r="CQ959" s="113"/>
      <c r="CR959" s="113"/>
      <c r="CS959" s="113"/>
      <c r="CT959" s="113"/>
      <c r="CU959" s="113"/>
    </row>
    <row r="960">
      <c r="A960" s="159"/>
      <c r="B960" s="113"/>
      <c r="C960" s="113"/>
      <c r="D960" s="158"/>
      <c r="E960" s="161"/>
      <c r="F960" s="160"/>
      <c r="G960" s="162"/>
      <c r="H960" s="159"/>
      <c r="I960" s="113"/>
      <c r="J960" s="113"/>
      <c r="K960" s="113"/>
      <c r="L960" s="158"/>
      <c r="M960" s="113"/>
      <c r="N960" s="113"/>
      <c r="O960" s="113"/>
      <c r="P960" s="113"/>
      <c r="Q960" s="113"/>
      <c r="R960" s="113"/>
      <c r="S960" s="113"/>
      <c r="T960" s="113"/>
      <c r="U960" s="113"/>
      <c r="V960" s="113"/>
      <c r="W960" s="113"/>
      <c r="X960" s="113"/>
      <c r="Y960" s="113"/>
      <c r="Z960" s="113"/>
      <c r="AA960" s="113"/>
      <c r="AB960" s="113"/>
      <c r="AC960" s="113"/>
      <c r="AD960" s="113"/>
      <c r="AE960" s="113"/>
      <c r="AF960" s="113"/>
      <c r="AG960" s="113"/>
      <c r="AH960" s="113"/>
      <c r="AI960" s="113"/>
      <c r="AJ960" s="113"/>
      <c r="AK960" s="113"/>
      <c r="AL960" s="113"/>
      <c r="AM960" s="113"/>
      <c r="AN960" s="113"/>
      <c r="AO960" s="113"/>
      <c r="AP960" s="113"/>
      <c r="AQ960" s="113"/>
      <c r="AR960" s="113"/>
      <c r="AS960" s="113"/>
      <c r="AT960" s="113"/>
      <c r="AU960" s="113"/>
      <c r="AV960" s="113"/>
      <c r="AW960" s="113"/>
      <c r="AX960" s="113"/>
      <c r="AY960" s="113"/>
      <c r="AZ960" s="113"/>
      <c r="BA960" s="113"/>
      <c r="BB960" s="113"/>
      <c r="BC960" s="113"/>
      <c r="BD960" s="113"/>
      <c r="BE960" s="113"/>
      <c r="BF960" s="113"/>
      <c r="BG960" s="113"/>
      <c r="BH960" s="113"/>
      <c r="BI960" s="113"/>
      <c r="BJ960" s="113"/>
      <c r="BK960" s="113"/>
      <c r="BL960" s="113"/>
      <c r="BM960" s="113"/>
      <c r="BN960" s="113"/>
      <c r="BO960" s="113"/>
      <c r="BP960" s="113"/>
      <c r="BQ960" s="113"/>
      <c r="BR960" s="113"/>
      <c r="BS960" s="113"/>
      <c r="BT960" s="113"/>
      <c r="BU960" s="113"/>
      <c r="BV960" s="113"/>
      <c r="BW960" s="113"/>
      <c r="BX960" s="113"/>
      <c r="BY960" s="113"/>
      <c r="BZ960" s="113"/>
      <c r="CA960" s="113"/>
      <c r="CB960" s="113"/>
      <c r="CC960" s="113"/>
      <c r="CD960" s="113"/>
      <c r="CE960" s="113"/>
      <c r="CF960" s="113"/>
      <c r="CG960" s="113"/>
      <c r="CH960" s="113"/>
      <c r="CI960" s="113"/>
      <c r="CJ960" s="113"/>
      <c r="CK960" s="113"/>
      <c r="CL960" s="113"/>
      <c r="CM960" s="113"/>
      <c r="CN960" s="113"/>
      <c r="CO960" s="113"/>
      <c r="CP960" s="113"/>
      <c r="CQ960" s="113"/>
      <c r="CR960" s="113"/>
      <c r="CS960" s="113"/>
      <c r="CT960" s="113"/>
      <c r="CU960" s="113"/>
    </row>
    <row r="961">
      <c r="A961" s="159"/>
      <c r="B961" s="113"/>
      <c r="C961" s="113"/>
      <c r="D961" s="158"/>
      <c r="E961" s="161"/>
      <c r="F961" s="160"/>
      <c r="G961" s="162"/>
      <c r="H961" s="159"/>
      <c r="I961" s="113"/>
      <c r="J961" s="113"/>
      <c r="K961" s="113"/>
      <c r="L961" s="158"/>
      <c r="M961" s="113"/>
      <c r="N961" s="113"/>
      <c r="O961" s="113"/>
      <c r="P961" s="113"/>
      <c r="Q961" s="113"/>
      <c r="R961" s="113"/>
      <c r="S961" s="113"/>
      <c r="T961" s="113"/>
      <c r="U961" s="113"/>
      <c r="V961" s="113"/>
      <c r="W961" s="113"/>
      <c r="X961" s="113"/>
      <c r="Y961" s="113"/>
      <c r="Z961" s="113"/>
      <c r="AA961" s="113"/>
      <c r="AB961" s="113"/>
      <c r="AC961" s="113"/>
      <c r="AD961" s="113"/>
      <c r="AE961" s="113"/>
      <c r="AF961" s="113"/>
      <c r="AG961" s="113"/>
      <c r="AH961" s="113"/>
      <c r="AI961" s="113"/>
      <c r="AJ961" s="113"/>
      <c r="AK961" s="113"/>
      <c r="AL961" s="113"/>
      <c r="AM961" s="113"/>
      <c r="AN961" s="113"/>
      <c r="AO961" s="113"/>
      <c r="AP961" s="113"/>
      <c r="AQ961" s="113"/>
      <c r="AR961" s="113"/>
      <c r="AS961" s="113"/>
      <c r="AT961" s="113"/>
      <c r="AU961" s="113"/>
      <c r="AV961" s="113"/>
      <c r="AW961" s="113"/>
      <c r="AX961" s="113"/>
      <c r="AY961" s="113"/>
      <c r="AZ961" s="113"/>
      <c r="BA961" s="113"/>
      <c r="BB961" s="113"/>
      <c r="BC961" s="113"/>
      <c r="BD961" s="113"/>
      <c r="BE961" s="113"/>
      <c r="BF961" s="113"/>
      <c r="BG961" s="113"/>
      <c r="BH961" s="113"/>
      <c r="BI961" s="113"/>
      <c r="BJ961" s="113"/>
      <c r="BK961" s="113"/>
      <c r="BL961" s="113"/>
      <c r="BM961" s="113"/>
      <c r="BN961" s="113"/>
      <c r="BO961" s="113"/>
      <c r="BP961" s="113"/>
      <c r="BQ961" s="113"/>
      <c r="BR961" s="113"/>
      <c r="BS961" s="113"/>
      <c r="BT961" s="113"/>
      <c r="BU961" s="113"/>
      <c r="BV961" s="113"/>
      <c r="BW961" s="113"/>
      <c r="BX961" s="113"/>
      <c r="BY961" s="113"/>
      <c r="BZ961" s="113"/>
      <c r="CA961" s="113"/>
      <c r="CB961" s="113"/>
      <c r="CC961" s="113"/>
      <c r="CD961" s="113"/>
      <c r="CE961" s="113"/>
      <c r="CF961" s="113"/>
      <c r="CG961" s="113"/>
      <c r="CH961" s="113"/>
      <c r="CI961" s="113"/>
      <c r="CJ961" s="113"/>
      <c r="CK961" s="113"/>
      <c r="CL961" s="113"/>
      <c r="CM961" s="113"/>
      <c r="CN961" s="113"/>
      <c r="CO961" s="113"/>
      <c r="CP961" s="113"/>
      <c r="CQ961" s="113"/>
      <c r="CR961" s="113"/>
      <c r="CS961" s="113"/>
      <c r="CT961" s="113"/>
      <c r="CU961" s="113"/>
    </row>
    <row r="962">
      <c r="A962" s="159"/>
      <c r="B962" s="113"/>
      <c r="C962" s="113"/>
      <c r="D962" s="158"/>
      <c r="E962" s="161"/>
      <c r="F962" s="160"/>
      <c r="G962" s="162"/>
      <c r="H962" s="159"/>
      <c r="I962" s="113"/>
      <c r="J962" s="113"/>
      <c r="K962" s="113"/>
      <c r="L962" s="158"/>
      <c r="M962" s="113"/>
      <c r="N962" s="113"/>
      <c r="O962" s="113"/>
      <c r="P962" s="113"/>
      <c r="Q962" s="113"/>
      <c r="R962" s="113"/>
      <c r="S962" s="113"/>
      <c r="T962" s="113"/>
      <c r="U962" s="113"/>
      <c r="V962" s="113"/>
      <c r="W962" s="113"/>
      <c r="X962" s="113"/>
      <c r="Y962" s="113"/>
      <c r="Z962" s="113"/>
      <c r="AA962" s="113"/>
      <c r="AB962" s="113"/>
      <c r="AC962" s="113"/>
      <c r="AD962" s="113"/>
      <c r="AE962" s="113"/>
      <c r="AF962" s="113"/>
      <c r="AG962" s="113"/>
      <c r="AH962" s="113"/>
      <c r="AI962" s="113"/>
      <c r="AJ962" s="113"/>
      <c r="AK962" s="113"/>
      <c r="AL962" s="113"/>
      <c r="AM962" s="113"/>
      <c r="AN962" s="113"/>
      <c r="AO962" s="113"/>
      <c r="AP962" s="113"/>
      <c r="AQ962" s="113"/>
      <c r="AR962" s="113"/>
      <c r="AS962" s="113"/>
      <c r="AT962" s="113"/>
      <c r="AU962" s="113"/>
      <c r="AV962" s="113"/>
      <c r="AW962" s="113"/>
      <c r="AX962" s="113"/>
      <c r="AY962" s="113"/>
      <c r="AZ962" s="113"/>
      <c r="BA962" s="113"/>
      <c r="BB962" s="113"/>
      <c r="BC962" s="113"/>
      <c r="BD962" s="113"/>
      <c r="BE962" s="113"/>
      <c r="BF962" s="113"/>
      <c r="BG962" s="113"/>
      <c r="BH962" s="113"/>
      <c r="BI962" s="113"/>
      <c r="BJ962" s="113"/>
      <c r="BK962" s="113"/>
      <c r="BL962" s="113"/>
      <c r="BM962" s="113"/>
      <c r="BN962" s="113"/>
      <c r="BO962" s="113"/>
      <c r="BP962" s="113"/>
      <c r="BQ962" s="113"/>
      <c r="BR962" s="113"/>
      <c r="BS962" s="113"/>
      <c r="BT962" s="113"/>
      <c r="BU962" s="113"/>
      <c r="BV962" s="113"/>
      <c r="BW962" s="113"/>
      <c r="BX962" s="113"/>
      <c r="BY962" s="113"/>
      <c r="BZ962" s="113"/>
      <c r="CA962" s="113"/>
      <c r="CB962" s="113"/>
      <c r="CC962" s="113"/>
      <c r="CD962" s="113"/>
      <c r="CE962" s="113"/>
      <c r="CF962" s="113"/>
      <c r="CG962" s="113"/>
      <c r="CH962" s="113"/>
      <c r="CI962" s="113"/>
      <c r="CJ962" s="113"/>
      <c r="CK962" s="113"/>
      <c r="CL962" s="113"/>
      <c r="CM962" s="113"/>
      <c r="CN962" s="113"/>
      <c r="CO962" s="113"/>
      <c r="CP962" s="113"/>
      <c r="CQ962" s="113"/>
      <c r="CR962" s="113"/>
      <c r="CS962" s="113"/>
      <c r="CT962" s="113"/>
      <c r="CU962" s="113"/>
    </row>
    <row r="963">
      <c r="A963" s="159"/>
      <c r="B963" s="113"/>
      <c r="C963" s="113"/>
      <c r="D963" s="158"/>
      <c r="E963" s="161"/>
      <c r="F963" s="160"/>
      <c r="G963" s="162"/>
      <c r="H963" s="159"/>
      <c r="I963" s="113"/>
      <c r="J963" s="113"/>
      <c r="K963" s="113"/>
      <c r="L963" s="158"/>
      <c r="M963" s="113"/>
      <c r="N963" s="113"/>
      <c r="O963" s="113"/>
      <c r="P963" s="113"/>
      <c r="Q963" s="113"/>
      <c r="R963" s="113"/>
      <c r="S963" s="113"/>
      <c r="T963" s="113"/>
      <c r="U963" s="113"/>
      <c r="V963" s="113"/>
      <c r="W963" s="113"/>
      <c r="X963" s="113"/>
      <c r="Y963" s="113"/>
      <c r="Z963" s="113"/>
      <c r="AA963" s="113"/>
      <c r="AB963" s="113"/>
      <c r="AC963" s="113"/>
      <c r="AD963" s="113"/>
      <c r="AE963" s="113"/>
      <c r="AF963" s="113"/>
      <c r="AG963" s="113"/>
      <c r="AH963" s="113"/>
      <c r="AI963" s="113"/>
      <c r="AJ963" s="113"/>
      <c r="AK963" s="113"/>
      <c r="AL963" s="113"/>
      <c r="AM963" s="113"/>
      <c r="AN963" s="113"/>
      <c r="AO963" s="113"/>
      <c r="AP963" s="113"/>
      <c r="AQ963" s="113"/>
      <c r="AR963" s="113"/>
      <c r="AS963" s="113"/>
      <c r="AT963" s="113"/>
      <c r="AU963" s="113"/>
      <c r="AV963" s="113"/>
      <c r="AW963" s="113"/>
      <c r="AX963" s="113"/>
      <c r="AY963" s="113"/>
      <c r="AZ963" s="113"/>
      <c r="BA963" s="113"/>
      <c r="BB963" s="113"/>
      <c r="BC963" s="113"/>
      <c r="BD963" s="113"/>
      <c r="BE963" s="113"/>
      <c r="BF963" s="113"/>
      <c r="BG963" s="113"/>
      <c r="BH963" s="113"/>
      <c r="BI963" s="113"/>
      <c r="BJ963" s="113"/>
      <c r="BK963" s="113"/>
      <c r="BL963" s="113"/>
      <c r="BM963" s="113"/>
      <c r="BN963" s="113"/>
      <c r="BO963" s="113"/>
      <c r="BP963" s="113"/>
      <c r="BQ963" s="113"/>
      <c r="BR963" s="113"/>
      <c r="BS963" s="113"/>
      <c r="BT963" s="113"/>
      <c r="BU963" s="113"/>
      <c r="BV963" s="113"/>
      <c r="BW963" s="113"/>
      <c r="BX963" s="113"/>
      <c r="BY963" s="113"/>
      <c r="BZ963" s="113"/>
      <c r="CA963" s="113"/>
      <c r="CB963" s="113"/>
      <c r="CC963" s="113"/>
      <c r="CD963" s="113"/>
      <c r="CE963" s="113"/>
      <c r="CF963" s="113"/>
      <c r="CG963" s="113"/>
      <c r="CH963" s="113"/>
      <c r="CI963" s="113"/>
      <c r="CJ963" s="113"/>
      <c r="CK963" s="113"/>
      <c r="CL963" s="113"/>
      <c r="CM963" s="113"/>
      <c r="CN963" s="113"/>
      <c r="CO963" s="113"/>
      <c r="CP963" s="113"/>
      <c r="CQ963" s="113"/>
      <c r="CR963" s="113"/>
      <c r="CS963" s="113"/>
      <c r="CT963" s="113"/>
      <c r="CU963" s="113"/>
    </row>
    <row r="964">
      <c r="A964" s="159"/>
      <c r="B964" s="113"/>
      <c r="C964" s="113"/>
      <c r="D964" s="158"/>
      <c r="E964" s="161"/>
      <c r="F964" s="160"/>
      <c r="G964" s="162"/>
      <c r="H964" s="159"/>
      <c r="I964" s="113"/>
      <c r="J964" s="113"/>
      <c r="K964" s="113"/>
      <c r="L964" s="158"/>
      <c r="M964" s="113"/>
      <c r="N964" s="113"/>
      <c r="O964" s="113"/>
      <c r="P964" s="113"/>
      <c r="Q964" s="113"/>
      <c r="R964" s="113"/>
      <c r="S964" s="113"/>
      <c r="T964" s="113"/>
      <c r="U964" s="113"/>
      <c r="V964" s="113"/>
      <c r="W964" s="113"/>
      <c r="X964" s="113"/>
      <c r="Y964" s="113"/>
      <c r="Z964" s="113"/>
      <c r="AA964" s="113"/>
      <c r="AB964" s="113"/>
      <c r="AC964" s="113"/>
      <c r="AD964" s="113"/>
      <c r="AE964" s="113"/>
      <c r="AF964" s="113"/>
      <c r="AG964" s="113"/>
      <c r="AH964" s="113"/>
      <c r="AI964" s="113"/>
      <c r="AJ964" s="113"/>
      <c r="AK964" s="113"/>
      <c r="AL964" s="113"/>
      <c r="AM964" s="113"/>
      <c r="AN964" s="113"/>
      <c r="AO964" s="113"/>
      <c r="AP964" s="113"/>
      <c r="AQ964" s="113"/>
      <c r="AR964" s="113"/>
      <c r="AS964" s="113"/>
      <c r="AT964" s="113"/>
      <c r="AU964" s="113"/>
      <c r="AV964" s="113"/>
      <c r="AW964" s="113"/>
      <c r="AX964" s="113"/>
      <c r="AY964" s="113"/>
      <c r="AZ964" s="113"/>
      <c r="BA964" s="113"/>
      <c r="BB964" s="113"/>
      <c r="BC964" s="113"/>
      <c r="BD964" s="113"/>
      <c r="BE964" s="113"/>
      <c r="BF964" s="113"/>
      <c r="BG964" s="113"/>
      <c r="BH964" s="113"/>
      <c r="BI964" s="113"/>
      <c r="BJ964" s="113"/>
      <c r="BK964" s="113"/>
      <c r="BL964" s="113"/>
      <c r="BM964" s="113"/>
      <c r="BN964" s="113"/>
      <c r="BO964" s="113"/>
      <c r="BP964" s="113"/>
      <c r="BQ964" s="113"/>
      <c r="BR964" s="113"/>
      <c r="BS964" s="113"/>
      <c r="BT964" s="113"/>
      <c r="BU964" s="113"/>
      <c r="BV964" s="113"/>
      <c r="BW964" s="113"/>
      <c r="BX964" s="113"/>
      <c r="BY964" s="113"/>
      <c r="BZ964" s="113"/>
      <c r="CA964" s="113"/>
      <c r="CB964" s="113"/>
      <c r="CC964" s="113"/>
      <c r="CD964" s="113"/>
      <c r="CE964" s="113"/>
      <c r="CF964" s="113"/>
      <c r="CG964" s="113"/>
      <c r="CH964" s="113"/>
      <c r="CI964" s="113"/>
      <c r="CJ964" s="113"/>
      <c r="CK964" s="113"/>
      <c r="CL964" s="113"/>
      <c r="CM964" s="113"/>
      <c r="CN964" s="113"/>
      <c r="CO964" s="113"/>
      <c r="CP964" s="113"/>
      <c r="CQ964" s="113"/>
      <c r="CR964" s="113"/>
      <c r="CS964" s="113"/>
      <c r="CT964" s="113"/>
      <c r="CU964" s="113"/>
    </row>
    <row r="965">
      <c r="A965" s="159"/>
      <c r="B965" s="113"/>
      <c r="C965" s="113"/>
      <c r="D965" s="158"/>
      <c r="E965" s="161"/>
      <c r="F965" s="160"/>
      <c r="G965" s="162"/>
      <c r="H965" s="159"/>
      <c r="I965" s="113"/>
      <c r="J965" s="113"/>
      <c r="K965" s="113"/>
      <c r="L965" s="158"/>
      <c r="M965" s="113"/>
      <c r="N965" s="113"/>
      <c r="O965" s="113"/>
      <c r="P965" s="113"/>
      <c r="Q965" s="113"/>
      <c r="R965" s="113"/>
      <c r="S965" s="113"/>
      <c r="T965" s="113"/>
      <c r="U965" s="113"/>
      <c r="V965" s="113"/>
      <c r="W965" s="113"/>
      <c r="X965" s="113"/>
      <c r="Y965" s="113"/>
      <c r="Z965" s="113"/>
      <c r="AA965" s="113"/>
      <c r="AB965" s="113"/>
      <c r="AC965" s="113"/>
      <c r="AD965" s="113"/>
      <c r="AE965" s="113"/>
      <c r="AF965" s="113"/>
      <c r="AG965" s="113"/>
      <c r="AH965" s="113"/>
      <c r="AI965" s="113"/>
      <c r="AJ965" s="113"/>
      <c r="AK965" s="113"/>
      <c r="AL965" s="113"/>
      <c r="AM965" s="113"/>
      <c r="AN965" s="113"/>
      <c r="AO965" s="113"/>
      <c r="AP965" s="113"/>
      <c r="AQ965" s="113"/>
      <c r="AR965" s="113"/>
      <c r="AS965" s="113"/>
      <c r="AT965" s="113"/>
      <c r="AU965" s="113"/>
      <c r="AV965" s="113"/>
      <c r="AW965" s="113"/>
      <c r="AX965" s="113"/>
      <c r="AY965" s="113"/>
      <c r="AZ965" s="113"/>
      <c r="BA965" s="113"/>
      <c r="BB965" s="113"/>
      <c r="BC965" s="113"/>
      <c r="BD965" s="113"/>
      <c r="BE965" s="113"/>
      <c r="BF965" s="113"/>
      <c r="BG965" s="113"/>
      <c r="BH965" s="113"/>
      <c r="BI965" s="113"/>
      <c r="BJ965" s="113"/>
      <c r="BK965" s="113"/>
      <c r="BL965" s="113"/>
      <c r="BM965" s="113"/>
      <c r="BN965" s="113"/>
      <c r="BO965" s="113"/>
      <c r="BP965" s="113"/>
      <c r="BQ965" s="113"/>
      <c r="BR965" s="113"/>
      <c r="BS965" s="113"/>
      <c r="BT965" s="113"/>
      <c r="BU965" s="113"/>
      <c r="BV965" s="113"/>
      <c r="BW965" s="113"/>
      <c r="BX965" s="113"/>
      <c r="BY965" s="113"/>
      <c r="BZ965" s="113"/>
      <c r="CA965" s="113"/>
      <c r="CB965" s="113"/>
      <c r="CC965" s="113"/>
      <c r="CD965" s="113"/>
      <c r="CE965" s="113"/>
      <c r="CF965" s="113"/>
      <c r="CG965" s="113"/>
      <c r="CH965" s="113"/>
      <c r="CI965" s="113"/>
      <c r="CJ965" s="113"/>
      <c r="CK965" s="113"/>
      <c r="CL965" s="113"/>
      <c r="CM965" s="113"/>
      <c r="CN965" s="113"/>
      <c r="CO965" s="113"/>
      <c r="CP965" s="113"/>
      <c r="CQ965" s="113"/>
      <c r="CR965" s="113"/>
      <c r="CS965" s="113"/>
      <c r="CT965" s="113"/>
      <c r="CU965" s="113"/>
    </row>
    <row r="966">
      <c r="A966" s="159"/>
      <c r="B966" s="113"/>
      <c r="C966" s="113"/>
      <c r="D966" s="158"/>
      <c r="E966" s="161"/>
      <c r="F966" s="160"/>
      <c r="G966" s="162"/>
      <c r="H966" s="159"/>
      <c r="I966" s="113"/>
      <c r="J966" s="113"/>
      <c r="K966" s="113"/>
      <c r="L966" s="158"/>
      <c r="M966" s="113"/>
      <c r="N966" s="113"/>
      <c r="O966" s="113"/>
      <c r="P966" s="113"/>
      <c r="Q966" s="113"/>
      <c r="R966" s="113"/>
      <c r="S966" s="113"/>
      <c r="T966" s="113"/>
      <c r="U966" s="113"/>
      <c r="V966" s="113"/>
      <c r="W966" s="113"/>
      <c r="X966" s="113"/>
      <c r="Y966" s="113"/>
      <c r="Z966" s="113"/>
      <c r="AA966" s="113"/>
      <c r="AB966" s="113"/>
      <c r="AC966" s="113"/>
      <c r="AD966" s="113"/>
      <c r="AE966" s="113"/>
      <c r="AF966" s="113"/>
      <c r="AG966" s="113"/>
      <c r="AH966" s="113"/>
      <c r="AI966" s="113"/>
      <c r="AJ966" s="113"/>
      <c r="AK966" s="113"/>
      <c r="AL966" s="113"/>
      <c r="AM966" s="113"/>
      <c r="AN966" s="113"/>
      <c r="AO966" s="113"/>
      <c r="AP966" s="113"/>
      <c r="AQ966" s="113"/>
      <c r="AR966" s="113"/>
      <c r="AS966" s="113"/>
      <c r="AT966" s="113"/>
      <c r="AU966" s="113"/>
      <c r="AV966" s="113"/>
      <c r="AW966" s="113"/>
      <c r="AX966" s="113"/>
      <c r="AY966" s="113"/>
      <c r="AZ966" s="113"/>
      <c r="BA966" s="113"/>
      <c r="BB966" s="113"/>
      <c r="BC966" s="113"/>
      <c r="BD966" s="113"/>
      <c r="BE966" s="113"/>
      <c r="BF966" s="113"/>
      <c r="BG966" s="113"/>
      <c r="BH966" s="113"/>
      <c r="BI966" s="113"/>
      <c r="BJ966" s="113"/>
      <c r="BK966" s="113"/>
      <c r="BL966" s="113"/>
      <c r="BM966" s="113"/>
      <c r="BN966" s="113"/>
      <c r="BO966" s="113"/>
      <c r="BP966" s="113"/>
      <c r="BQ966" s="113"/>
      <c r="BR966" s="113"/>
      <c r="BS966" s="113"/>
      <c r="BT966" s="113"/>
      <c r="BU966" s="113"/>
      <c r="BV966" s="113"/>
      <c r="BW966" s="113"/>
      <c r="BX966" s="113"/>
      <c r="BY966" s="113"/>
      <c r="BZ966" s="113"/>
      <c r="CA966" s="113"/>
      <c r="CB966" s="113"/>
      <c r="CC966" s="113"/>
      <c r="CD966" s="113"/>
      <c r="CE966" s="113"/>
      <c r="CF966" s="113"/>
      <c r="CG966" s="113"/>
      <c r="CH966" s="113"/>
      <c r="CI966" s="113"/>
      <c r="CJ966" s="113"/>
      <c r="CK966" s="113"/>
      <c r="CL966" s="113"/>
      <c r="CM966" s="113"/>
      <c r="CN966" s="113"/>
      <c r="CO966" s="113"/>
      <c r="CP966" s="113"/>
      <c r="CQ966" s="113"/>
      <c r="CR966" s="113"/>
      <c r="CS966" s="113"/>
      <c r="CT966" s="113"/>
      <c r="CU966" s="113"/>
    </row>
    <row r="967">
      <c r="A967" s="159"/>
      <c r="B967" s="113"/>
      <c r="C967" s="113"/>
      <c r="D967" s="158"/>
      <c r="E967" s="161"/>
      <c r="F967" s="160"/>
      <c r="G967" s="162"/>
      <c r="H967" s="159"/>
      <c r="I967" s="113"/>
      <c r="J967" s="113"/>
      <c r="K967" s="113"/>
      <c r="L967" s="158"/>
      <c r="M967" s="113"/>
      <c r="N967" s="113"/>
      <c r="O967" s="113"/>
      <c r="P967" s="113"/>
      <c r="Q967" s="113"/>
      <c r="R967" s="113"/>
      <c r="S967" s="113"/>
      <c r="T967" s="113"/>
      <c r="U967" s="113"/>
      <c r="V967" s="113"/>
      <c r="W967" s="113"/>
      <c r="X967" s="113"/>
      <c r="Y967" s="113"/>
      <c r="Z967" s="113"/>
      <c r="AA967" s="113"/>
      <c r="AB967" s="113"/>
      <c r="AC967" s="113"/>
      <c r="AD967" s="113"/>
      <c r="AE967" s="113"/>
      <c r="AF967" s="113"/>
      <c r="AG967" s="113"/>
      <c r="AH967" s="113"/>
      <c r="AI967" s="113"/>
      <c r="AJ967" s="113"/>
      <c r="AK967" s="113"/>
      <c r="AL967" s="113"/>
      <c r="AM967" s="113"/>
      <c r="AN967" s="113"/>
      <c r="AO967" s="113"/>
      <c r="AP967" s="113"/>
      <c r="AQ967" s="113"/>
      <c r="AR967" s="113"/>
      <c r="AS967" s="113"/>
      <c r="AT967" s="113"/>
      <c r="AU967" s="113"/>
      <c r="AV967" s="113"/>
      <c r="AW967" s="113"/>
      <c r="AX967" s="113"/>
      <c r="AY967" s="113"/>
      <c r="AZ967" s="113"/>
      <c r="BA967" s="113"/>
      <c r="BB967" s="113"/>
      <c r="BC967" s="113"/>
      <c r="BD967" s="113"/>
      <c r="BE967" s="113"/>
      <c r="BF967" s="113"/>
      <c r="BG967" s="113"/>
      <c r="BH967" s="113"/>
      <c r="BI967" s="113"/>
      <c r="BJ967" s="113"/>
      <c r="BK967" s="113"/>
      <c r="BL967" s="113"/>
      <c r="BM967" s="113"/>
      <c r="BN967" s="113"/>
      <c r="BO967" s="113"/>
      <c r="BP967" s="113"/>
      <c r="BQ967" s="113"/>
      <c r="BR967" s="113"/>
      <c r="BS967" s="113"/>
      <c r="BT967" s="113"/>
      <c r="BU967" s="113"/>
      <c r="BV967" s="113"/>
      <c r="BW967" s="113"/>
      <c r="BX967" s="113"/>
      <c r="BY967" s="113"/>
      <c r="BZ967" s="113"/>
      <c r="CA967" s="113"/>
      <c r="CB967" s="113"/>
      <c r="CC967" s="113"/>
      <c r="CD967" s="113"/>
      <c r="CE967" s="113"/>
      <c r="CF967" s="113"/>
      <c r="CG967" s="113"/>
      <c r="CH967" s="113"/>
      <c r="CI967" s="113"/>
      <c r="CJ967" s="113"/>
      <c r="CK967" s="113"/>
      <c r="CL967" s="113"/>
      <c r="CM967" s="113"/>
      <c r="CN967" s="113"/>
      <c r="CO967" s="113"/>
      <c r="CP967" s="113"/>
      <c r="CQ967" s="113"/>
      <c r="CR967" s="113"/>
      <c r="CS967" s="113"/>
      <c r="CT967" s="113"/>
      <c r="CU967" s="113"/>
    </row>
    <row r="968">
      <c r="A968" s="159"/>
      <c r="B968" s="113"/>
      <c r="C968" s="113"/>
      <c r="D968" s="158"/>
      <c r="E968" s="161"/>
      <c r="F968" s="160"/>
      <c r="G968" s="162"/>
      <c r="H968" s="159"/>
      <c r="I968" s="113"/>
      <c r="J968" s="113"/>
      <c r="K968" s="113"/>
      <c r="L968" s="158"/>
      <c r="M968" s="113"/>
      <c r="N968" s="113"/>
      <c r="O968" s="113"/>
      <c r="P968" s="113"/>
      <c r="Q968" s="113"/>
      <c r="R968" s="113"/>
      <c r="S968" s="113"/>
      <c r="T968" s="113"/>
      <c r="U968" s="113"/>
      <c r="V968" s="113"/>
      <c r="W968" s="113"/>
      <c r="X968" s="113"/>
      <c r="Y968" s="113"/>
      <c r="Z968" s="113"/>
      <c r="AA968" s="113"/>
      <c r="AB968" s="113"/>
      <c r="AC968" s="113"/>
      <c r="AD968" s="113"/>
      <c r="AE968" s="113"/>
      <c r="AF968" s="113"/>
      <c r="AG968" s="113"/>
      <c r="AH968" s="113"/>
      <c r="AI968" s="113"/>
      <c r="AJ968" s="113"/>
      <c r="AK968" s="113"/>
      <c r="AL968" s="113"/>
      <c r="AM968" s="113"/>
      <c r="AN968" s="113"/>
      <c r="AO968" s="113"/>
      <c r="AP968" s="113"/>
      <c r="AQ968" s="113"/>
      <c r="AR968" s="113"/>
      <c r="AS968" s="113"/>
      <c r="AT968" s="113"/>
      <c r="AU968" s="113"/>
      <c r="AV968" s="113"/>
      <c r="AW968" s="113"/>
      <c r="AX968" s="113"/>
      <c r="AY968" s="113"/>
      <c r="AZ968" s="113"/>
      <c r="BA968" s="113"/>
      <c r="BB968" s="113"/>
      <c r="BC968" s="113"/>
      <c r="BD968" s="113"/>
      <c r="BE968" s="113"/>
      <c r="BF968" s="113"/>
      <c r="BG968" s="113"/>
      <c r="BH968" s="113"/>
      <c r="BI968" s="113"/>
      <c r="BJ968" s="113"/>
      <c r="BK968" s="113"/>
      <c r="BL968" s="113"/>
      <c r="BM968" s="113"/>
      <c r="BN968" s="113"/>
      <c r="BO968" s="113"/>
      <c r="BP968" s="113"/>
      <c r="BQ968" s="113"/>
      <c r="BR968" s="113"/>
      <c r="BS968" s="113"/>
      <c r="BT968" s="113"/>
      <c r="BU968" s="113"/>
      <c r="BV968" s="113"/>
      <c r="BW968" s="113"/>
      <c r="BX968" s="113"/>
      <c r="BY968" s="113"/>
      <c r="BZ968" s="113"/>
      <c r="CA968" s="113"/>
      <c r="CB968" s="113"/>
      <c r="CC968" s="113"/>
      <c r="CD968" s="113"/>
      <c r="CE968" s="113"/>
      <c r="CF968" s="113"/>
      <c r="CG968" s="113"/>
      <c r="CH968" s="113"/>
      <c r="CI968" s="113"/>
      <c r="CJ968" s="113"/>
      <c r="CK968" s="113"/>
      <c r="CL968" s="113"/>
      <c r="CM968" s="113"/>
      <c r="CN968" s="113"/>
      <c r="CO968" s="113"/>
      <c r="CP968" s="113"/>
      <c r="CQ968" s="113"/>
      <c r="CR968" s="113"/>
      <c r="CS968" s="113"/>
      <c r="CT968" s="113"/>
      <c r="CU968" s="113"/>
    </row>
    <row r="969">
      <c r="A969" s="159"/>
      <c r="B969" s="113"/>
      <c r="C969" s="113"/>
      <c r="D969" s="158"/>
      <c r="E969" s="161"/>
      <c r="F969" s="160"/>
      <c r="G969" s="162"/>
      <c r="H969" s="159"/>
      <c r="I969" s="113"/>
      <c r="J969" s="113"/>
      <c r="K969" s="113"/>
      <c r="L969" s="158"/>
      <c r="M969" s="113"/>
      <c r="N969" s="113"/>
      <c r="O969" s="113"/>
      <c r="P969" s="113"/>
      <c r="Q969" s="113"/>
      <c r="R969" s="113"/>
      <c r="S969" s="113"/>
      <c r="T969" s="113"/>
      <c r="U969" s="113"/>
      <c r="V969" s="113"/>
      <c r="W969" s="113"/>
      <c r="X969" s="113"/>
      <c r="Y969" s="113"/>
      <c r="Z969" s="113"/>
      <c r="AA969" s="113"/>
      <c r="AB969" s="113"/>
      <c r="AC969" s="113"/>
      <c r="AD969" s="113"/>
      <c r="AE969" s="113"/>
      <c r="AF969" s="113"/>
      <c r="AG969" s="113"/>
      <c r="AH969" s="113"/>
      <c r="AI969" s="113"/>
      <c r="AJ969" s="113"/>
      <c r="AK969" s="113"/>
      <c r="AL969" s="113"/>
      <c r="AM969" s="113"/>
      <c r="AN969" s="113"/>
      <c r="AO969" s="113"/>
      <c r="AP969" s="113"/>
      <c r="AQ969" s="113"/>
      <c r="AR969" s="113"/>
      <c r="AS969" s="113"/>
      <c r="AT969" s="113"/>
      <c r="AU969" s="113"/>
      <c r="AV969" s="113"/>
      <c r="AW969" s="113"/>
      <c r="AX969" s="113"/>
      <c r="AY969" s="113"/>
      <c r="AZ969" s="113"/>
      <c r="BA969" s="113"/>
      <c r="BB969" s="113"/>
      <c r="BC969" s="113"/>
      <c r="BD969" s="113"/>
      <c r="BE969" s="113"/>
      <c r="BF969" s="113"/>
      <c r="BG969" s="113"/>
      <c r="BH969" s="113"/>
      <c r="BI969" s="113"/>
      <c r="BJ969" s="113"/>
      <c r="BK969" s="113"/>
      <c r="BL969" s="113"/>
      <c r="BM969" s="113"/>
      <c r="BN969" s="113"/>
      <c r="BO969" s="113"/>
      <c r="BP969" s="113"/>
      <c r="BQ969" s="113"/>
      <c r="BR969" s="113"/>
      <c r="BS969" s="113"/>
      <c r="BT969" s="113"/>
      <c r="BU969" s="113"/>
      <c r="BV969" s="113"/>
      <c r="BW969" s="113"/>
      <c r="BX969" s="113"/>
      <c r="BY969" s="113"/>
      <c r="BZ969" s="113"/>
      <c r="CA969" s="113"/>
      <c r="CB969" s="113"/>
      <c r="CC969" s="113"/>
      <c r="CD969" s="113"/>
      <c r="CE969" s="113"/>
      <c r="CF969" s="113"/>
      <c r="CG969" s="113"/>
      <c r="CH969" s="113"/>
      <c r="CI969" s="113"/>
      <c r="CJ969" s="113"/>
      <c r="CK969" s="113"/>
      <c r="CL969" s="113"/>
      <c r="CM969" s="113"/>
      <c r="CN969" s="113"/>
      <c r="CO969" s="113"/>
      <c r="CP969" s="113"/>
      <c r="CQ969" s="113"/>
      <c r="CR969" s="113"/>
      <c r="CS969" s="113"/>
      <c r="CT969" s="113"/>
      <c r="CU969" s="113"/>
    </row>
    <row r="970">
      <c r="A970" s="159"/>
      <c r="B970" s="113"/>
      <c r="C970" s="113"/>
      <c r="D970" s="158"/>
      <c r="E970" s="161"/>
      <c r="F970" s="160"/>
      <c r="G970" s="162"/>
      <c r="H970" s="159"/>
      <c r="I970" s="113"/>
      <c r="J970" s="113"/>
      <c r="K970" s="113"/>
      <c r="L970" s="158"/>
      <c r="M970" s="113"/>
      <c r="N970" s="113"/>
      <c r="O970" s="113"/>
      <c r="P970" s="113"/>
      <c r="Q970" s="113"/>
      <c r="R970" s="113"/>
      <c r="S970" s="113"/>
      <c r="T970" s="113"/>
      <c r="U970" s="113"/>
      <c r="V970" s="113"/>
      <c r="W970" s="113"/>
      <c r="X970" s="113"/>
      <c r="Y970" s="113"/>
      <c r="Z970" s="113"/>
      <c r="AA970" s="113"/>
      <c r="AB970" s="113"/>
      <c r="AC970" s="113"/>
      <c r="AD970" s="113"/>
      <c r="AE970" s="113"/>
      <c r="AF970" s="113"/>
      <c r="AG970" s="113"/>
      <c r="AH970" s="113"/>
      <c r="AI970" s="113"/>
      <c r="AJ970" s="113"/>
      <c r="AK970" s="113"/>
      <c r="AL970" s="113"/>
      <c r="AM970" s="113"/>
      <c r="AN970" s="113"/>
      <c r="AO970" s="113"/>
      <c r="AP970" s="113"/>
      <c r="AQ970" s="113"/>
      <c r="AR970" s="113"/>
      <c r="AS970" s="113"/>
      <c r="AT970" s="113"/>
      <c r="AU970" s="113"/>
      <c r="AV970" s="113"/>
      <c r="AW970" s="113"/>
      <c r="AX970" s="113"/>
      <c r="AY970" s="113"/>
      <c r="AZ970" s="113"/>
      <c r="BA970" s="113"/>
      <c r="BB970" s="113"/>
      <c r="BC970" s="113"/>
      <c r="BD970" s="113"/>
      <c r="BE970" s="113"/>
      <c r="BF970" s="113"/>
      <c r="BG970" s="113"/>
      <c r="BH970" s="113"/>
      <c r="BI970" s="113"/>
      <c r="BJ970" s="113"/>
      <c r="BK970" s="113"/>
      <c r="BL970" s="113"/>
      <c r="BM970" s="113"/>
      <c r="BN970" s="113"/>
      <c r="BO970" s="113"/>
      <c r="BP970" s="113"/>
      <c r="BQ970" s="113"/>
      <c r="BR970" s="113"/>
      <c r="BS970" s="113"/>
      <c r="BT970" s="113"/>
      <c r="BU970" s="113"/>
      <c r="BV970" s="113"/>
      <c r="BW970" s="113"/>
      <c r="BX970" s="113"/>
      <c r="BY970" s="113"/>
      <c r="BZ970" s="113"/>
      <c r="CA970" s="113"/>
      <c r="CB970" s="113"/>
      <c r="CC970" s="113"/>
      <c r="CD970" s="113"/>
      <c r="CE970" s="113"/>
      <c r="CF970" s="113"/>
      <c r="CG970" s="113"/>
      <c r="CH970" s="113"/>
      <c r="CI970" s="113"/>
      <c r="CJ970" s="113"/>
      <c r="CK970" s="113"/>
      <c r="CL970" s="113"/>
      <c r="CM970" s="113"/>
      <c r="CN970" s="113"/>
      <c r="CO970" s="113"/>
      <c r="CP970" s="113"/>
      <c r="CQ970" s="113"/>
      <c r="CR970" s="113"/>
      <c r="CS970" s="113"/>
      <c r="CT970" s="113"/>
      <c r="CU970" s="113"/>
    </row>
    <row r="971">
      <c r="A971" s="159"/>
      <c r="B971" s="113"/>
      <c r="C971" s="113"/>
      <c r="D971" s="158"/>
      <c r="E971" s="161"/>
      <c r="F971" s="160"/>
      <c r="G971" s="162"/>
      <c r="H971" s="159"/>
      <c r="I971" s="113"/>
      <c r="J971" s="113"/>
      <c r="K971" s="113"/>
      <c r="L971" s="158"/>
      <c r="M971" s="113"/>
      <c r="N971" s="113"/>
      <c r="O971" s="113"/>
      <c r="P971" s="113"/>
      <c r="Q971" s="113"/>
      <c r="R971" s="113"/>
      <c r="S971" s="113"/>
      <c r="T971" s="113"/>
      <c r="U971" s="113"/>
      <c r="V971" s="113"/>
      <c r="W971" s="113"/>
      <c r="X971" s="113"/>
      <c r="Y971" s="113"/>
      <c r="Z971" s="113"/>
      <c r="AA971" s="113"/>
      <c r="AB971" s="113"/>
      <c r="AC971" s="113"/>
      <c r="AD971" s="113"/>
      <c r="AE971" s="113"/>
      <c r="AF971" s="113"/>
      <c r="AG971" s="113"/>
      <c r="AH971" s="113"/>
      <c r="AI971" s="113"/>
      <c r="AJ971" s="113"/>
      <c r="AK971" s="113"/>
      <c r="AL971" s="113"/>
      <c r="AM971" s="113"/>
      <c r="AN971" s="113"/>
      <c r="AO971" s="113"/>
      <c r="AP971" s="113"/>
      <c r="AQ971" s="113"/>
      <c r="AR971" s="113"/>
      <c r="AS971" s="113"/>
      <c r="AT971" s="113"/>
      <c r="AU971" s="113"/>
      <c r="AV971" s="113"/>
      <c r="AW971" s="113"/>
      <c r="AX971" s="113"/>
      <c r="AY971" s="113"/>
      <c r="AZ971" s="113"/>
      <c r="BA971" s="113"/>
      <c r="BB971" s="113"/>
      <c r="BC971" s="113"/>
      <c r="BD971" s="113"/>
      <c r="BE971" s="113"/>
      <c r="BF971" s="113"/>
      <c r="BG971" s="113"/>
      <c r="BH971" s="113"/>
      <c r="BI971" s="113"/>
      <c r="BJ971" s="113"/>
      <c r="BK971" s="113"/>
      <c r="BL971" s="113"/>
      <c r="BM971" s="113"/>
      <c r="BN971" s="113"/>
      <c r="BO971" s="113"/>
      <c r="BP971" s="113"/>
      <c r="BQ971" s="113"/>
      <c r="BR971" s="113"/>
      <c r="BS971" s="113"/>
      <c r="BT971" s="113"/>
      <c r="BU971" s="113"/>
      <c r="BV971" s="113"/>
      <c r="BW971" s="113"/>
      <c r="BX971" s="113"/>
      <c r="BY971" s="113"/>
      <c r="BZ971" s="113"/>
      <c r="CA971" s="113"/>
      <c r="CB971" s="113"/>
      <c r="CC971" s="113"/>
      <c r="CD971" s="113"/>
      <c r="CE971" s="113"/>
      <c r="CF971" s="113"/>
      <c r="CG971" s="113"/>
      <c r="CH971" s="113"/>
      <c r="CI971" s="113"/>
      <c r="CJ971" s="113"/>
      <c r="CK971" s="113"/>
      <c r="CL971" s="113"/>
      <c r="CM971" s="113"/>
      <c r="CN971" s="113"/>
      <c r="CO971" s="113"/>
      <c r="CP971" s="113"/>
      <c r="CQ971" s="113"/>
      <c r="CR971" s="113"/>
      <c r="CS971" s="113"/>
      <c r="CT971" s="113"/>
      <c r="CU971" s="113"/>
    </row>
    <row r="972">
      <c r="A972" s="159"/>
      <c r="B972" s="113"/>
      <c r="C972" s="113"/>
      <c r="D972" s="158"/>
      <c r="E972" s="161"/>
      <c r="F972" s="160"/>
      <c r="G972" s="162"/>
      <c r="H972" s="159"/>
      <c r="I972" s="113"/>
      <c r="J972" s="113"/>
      <c r="K972" s="113"/>
      <c r="L972" s="158"/>
      <c r="M972" s="113"/>
      <c r="N972" s="113"/>
      <c r="O972" s="113"/>
      <c r="P972" s="113"/>
      <c r="Q972" s="113"/>
      <c r="R972" s="113"/>
      <c r="S972" s="113"/>
      <c r="T972" s="113"/>
      <c r="U972" s="113"/>
      <c r="V972" s="113"/>
      <c r="W972" s="113"/>
      <c r="X972" s="113"/>
      <c r="Y972" s="113"/>
      <c r="Z972" s="113"/>
      <c r="AA972" s="113"/>
      <c r="AB972" s="113"/>
      <c r="AC972" s="113"/>
      <c r="AD972" s="113"/>
      <c r="AE972" s="113"/>
      <c r="AF972" s="113"/>
      <c r="AG972" s="113"/>
      <c r="AH972" s="113"/>
      <c r="AI972" s="113"/>
      <c r="AJ972" s="113"/>
      <c r="AK972" s="113"/>
      <c r="AL972" s="113"/>
      <c r="AM972" s="113"/>
      <c r="AN972" s="113"/>
      <c r="AO972" s="113"/>
      <c r="AP972" s="113"/>
      <c r="AQ972" s="113"/>
      <c r="AR972" s="113"/>
      <c r="AS972" s="113"/>
      <c r="AT972" s="113"/>
      <c r="AU972" s="113"/>
      <c r="AV972" s="113"/>
      <c r="AW972" s="113"/>
      <c r="AX972" s="113"/>
      <c r="AY972" s="113"/>
      <c r="AZ972" s="113"/>
      <c r="BA972" s="113"/>
      <c r="BB972" s="113"/>
      <c r="BC972" s="113"/>
      <c r="BD972" s="113"/>
      <c r="BE972" s="113"/>
      <c r="BF972" s="113"/>
      <c r="BG972" s="113"/>
      <c r="BH972" s="113"/>
      <c r="BI972" s="113"/>
      <c r="BJ972" s="113"/>
      <c r="BK972" s="113"/>
      <c r="BL972" s="113"/>
      <c r="BM972" s="113"/>
      <c r="BN972" s="113"/>
      <c r="BO972" s="113"/>
      <c r="BP972" s="113"/>
      <c r="BQ972" s="113"/>
      <c r="BR972" s="113"/>
      <c r="BS972" s="113"/>
      <c r="BT972" s="113"/>
      <c r="BU972" s="113"/>
      <c r="BV972" s="113"/>
      <c r="BW972" s="113"/>
      <c r="BX972" s="113"/>
      <c r="BY972" s="113"/>
      <c r="BZ972" s="113"/>
      <c r="CA972" s="113"/>
      <c r="CB972" s="113"/>
      <c r="CC972" s="113"/>
      <c r="CD972" s="113"/>
      <c r="CE972" s="113"/>
      <c r="CF972" s="113"/>
      <c r="CG972" s="113"/>
      <c r="CH972" s="113"/>
      <c r="CI972" s="113"/>
      <c r="CJ972" s="113"/>
      <c r="CK972" s="113"/>
      <c r="CL972" s="113"/>
      <c r="CM972" s="113"/>
      <c r="CN972" s="113"/>
      <c r="CO972" s="113"/>
      <c r="CP972" s="113"/>
      <c r="CQ972" s="113"/>
      <c r="CR972" s="113"/>
      <c r="CS972" s="113"/>
      <c r="CT972" s="113"/>
      <c r="CU972" s="113"/>
    </row>
    <row r="973">
      <c r="A973" s="159"/>
      <c r="B973" s="113"/>
      <c r="C973" s="113"/>
      <c r="D973" s="158"/>
      <c r="E973" s="161"/>
      <c r="F973" s="160"/>
      <c r="G973" s="162"/>
      <c r="H973" s="159"/>
      <c r="I973" s="113"/>
      <c r="J973" s="113"/>
      <c r="K973" s="113"/>
      <c r="L973" s="158"/>
      <c r="M973" s="113"/>
      <c r="N973" s="113"/>
      <c r="O973" s="113"/>
      <c r="P973" s="113"/>
      <c r="Q973" s="113"/>
      <c r="R973" s="113"/>
      <c r="S973" s="113"/>
      <c r="T973" s="113"/>
      <c r="U973" s="113"/>
      <c r="V973" s="113"/>
      <c r="W973" s="113"/>
      <c r="X973" s="113"/>
      <c r="Y973" s="113"/>
      <c r="Z973" s="113"/>
      <c r="AA973" s="113"/>
      <c r="AB973" s="113"/>
      <c r="AC973" s="113"/>
      <c r="AD973" s="113"/>
      <c r="AE973" s="113"/>
      <c r="AF973" s="113"/>
      <c r="AG973" s="113"/>
      <c r="AH973" s="113"/>
      <c r="AI973" s="113"/>
      <c r="AJ973" s="113"/>
      <c r="AK973" s="113"/>
      <c r="AL973" s="113"/>
      <c r="AM973" s="113"/>
      <c r="AN973" s="113"/>
      <c r="AO973" s="113"/>
      <c r="AP973" s="113"/>
      <c r="AQ973" s="113"/>
      <c r="AR973" s="113"/>
      <c r="AS973" s="113"/>
      <c r="AT973" s="113"/>
      <c r="AU973" s="113"/>
      <c r="AV973" s="113"/>
      <c r="AW973" s="113"/>
      <c r="AX973" s="113"/>
      <c r="AY973" s="113"/>
      <c r="AZ973" s="113"/>
      <c r="BA973" s="113"/>
      <c r="BB973" s="113"/>
      <c r="BC973" s="113"/>
      <c r="BD973" s="113"/>
      <c r="BE973" s="113"/>
      <c r="BF973" s="113"/>
      <c r="BG973" s="113"/>
      <c r="BH973" s="113"/>
      <c r="BI973" s="113"/>
      <c r="BJ973" s="113"/>
      <c r="BK973" s="113"/>
      <c r="BL973" s="113"/>
      <c r="BM973" s="113"/>
      <c r="BN973" s="113"/>
      <c r="BO973" s="113"/>
      <c r="BP973" s="113"/>
      <c r="BQ973" s="113"/>
      <c r="BR973" s="113"/>
      <c r="BS973" s="113"/>
      <c r="BT973" s="113"/>
      <c r="BU973" s="113"/>
      <c r="BV973" s="113"/>
      <c r="BW973" s="113"/>
      <c r="BX973" s="113"/>
      <c r="BY973" s="113"/>
      <c r="BZ973" s="113"/>
      <c r="CA973" s="113"/>
      <c r="CB973" s="113"/>
      <c r="CC973" s="113"/>
      <c r="CD973" s="113"/>
      <c r="CE973" s="113"/>
      <c r="CF973" s="113"/>
      <c r="CG973" s="113"/>
      <c r="CH973" s="113"/>
      <c r="CI973" s="113"/>
      <c r="CJ973" s="113"/>
      <c r="CK973" s="113"/>
      <c r="CL973" s="113"/>
      <c r="CM973" s="113"/>
      <c r="CN973" s="113"/>
      <c r="CO973" s="113"/>
      <c r="CP973" s="113"/>
      <c r="CQ973" s="113"/>
      <c r="CR973" s="113"/>
      <c r="CS973" s="113"/>
      <c r="CT973" s="113"/>
      <c r="CU973" s="113"/>
    </row>
    <row r="974">
      <c r="A974" s="159"/>
      <c r="B974" s="113"/>
      <c r="C974" s="113"/>
      <c r="D974" s="158"/>
      <c r="E974" s="161"/>
      <c r="F974" s="160"/>
      <c r="G974" s="162"/>
      <c r="H974" s="159"/>
      <c r="I974" s="113"/>
      <c r="J974" s="113"/>
      <c r="K974" s="113"/>
      <c r="L974" s="158"/>
      <c r="M974" s="113"/>
      <c r="N974" s="113"/>
      <c r="O974" s="113"/>
      <c r="P974" s="113"/>
      <c r="Q974" s="113"/>
      <c r="R974" s="113"/>
      <c r="S974" s="113"/>
      <c r="T974" s="113"/>
      <c r="U974" s="113"/>
      <c r="V974" s="113"/>
      <c r="W974" s="113"/>
      <c r="X974" s="113"/>
      <c r="Y974" s="113"/>
      <c r="Z974" s="113"/>
      <c r="AA974" s="113"/>
      <c r="AB974" s="113"/>
      <c r="AC974" s="113"/>
      <c r="AD974" s="113"/>
      <c r="AE974" s="113"/>
      <c r="AF974" s="113"/>
      <c r="AG974" s="113"/>
      <c r="AH974" s="113"/>
      <c r="AI974" s="113"/>
      <c r="AJ974" s="113"/>
      <c r="AK974" s="113"/>
      <c r="AL974" s="113"/>
      <c r="AM974" s="113"/>
      <c r="AN974" s="113"/>
      <c r="AO974" s="113"/>
      <c r="AP974" s="113"/>
      <c r="AQ974" s="113"/>
      <c r="AR974" s="113"/>
      <c r="AS974" s="113"/>
      <c r="AT974" s="113"/>
      <c r="AU974" s="113"/>
      <c r="AV974" s="113"/>
      <c r="AW974" s="113"/>
      <c r="AX974" s="113"/>
      <c r="AY974" s="113"/>
      <c r="AZ974" s="113"/>
      <c r="BA974" s="113"/>
      <c r="BB974" s="113"/>
      <c r="BC974" s="113"/>
      <c r="BD974" s="113"/>
      <c r="BE974" s="113"/>
      <c r="BF974" s="113"/>
      <c r="BG974" s="113"/>
      <c r="BH974" s="113"/>
      <c r="BI974" s="113"/>
      <c r="BJ974" s="113"/>
      <c r="BK974" s="113"/>
      <c r="BL974" s="113"/>
      <c r="BM974" s="113"/>
      <c r="BN974" s="113"/>
      <c r="BO974" s="113"/>
      <c r="BP974" s="113"/>
      <c r="BQ974" s="113"/>
      <c r="BR974" s="113"/>
      <c r="BS974" s="113"/>
      <c r="BT974" s="113"/>
      <c r="BU974" s="113"/>
      <c r="BV974" s="113"/>
      <c r="BW974" s="113"/>
      <c r="BX974" s="113"/>
      <c r="BY974" s="113"/>
      <c r="BZ974" s="113"/>
      <c r="CA974" s="113"/>
      <c r="CB974" s="113"/>
      <c r="CC974" s="113"/>
      <c r="CD974" s="113"/>
      <c r="CE974" s="113"/>
      <c r="CF974" s="113"/>
      <c r="CG974" s="113"/>
      <c r="CH974" s="113"/>
      <c r="CI974" s="113"/>
      <c r="CJ974" s="113"/>
      <c r="CK974" s="113"/>
      <c r="CL974" s="113"/>
      <c r="CM974" s="113"/>
      <c r="CN974" s="113"/>
      <c r="CO974" s="113"/>
      <c r="CP974" s="113"/>
      <c r="CQ974" s="113"/>
      <c r="CR974" s="113"/>
      <c r="CS974" s="113"/>
      <c r="CT974" s="113"/>
      <c r="CU974" s="113"/>
    </row>
    <row r="975">
      <c r="A975" s="159"/>
      <c r="B975" s="113"/>
      <c r="C975" s="113"/>
      <c r="D975" s="158"/>
      <c r="E975" s="161"/>
      <c r="F975" s="160"/>
      <c r="G975" s="162"/>
      <c r="H975" s="159"/>
      <c r="I975" s="113"/>
      <c r="J975" s="113"/>
      <c r="K975" s="113"/>
      <c r="L975" s="158"/>
      <c r="M975" s="113"/>
      <c r="N975" s="113"/>
      <c r="O975" s="113"/>
      <c r="P975" s="113"/>
      <c r="Q975" s="113"/>
      <c r="R975" s="113"/>
      <c r="S975" s="113"/>
      <c r="T975" s="113"/>
      <c r="U975" s="113"/>
      <c r="V975" s="113"/>
      <c r="W975" s="113"/>
      <c r="X975" s="113"/>
      <c r="Y975" s="113"/>
      <c r="Z975" s="113"/>
      <c r="AA975" s="113"/>
      <c r="AB975" s="113"/>
      <c r="AC975" s="113"/>
      <c r="AD975" s="113"/>
      <c r="AE975" s="113"/>
      <c r="AF975" s="113"/>
      <c r="AG975" s="113"/>
      <c r="AH975" s="113"/>
      <c r="AI975" s="113"/>
      <c r="AJ975" s="113"/>
      <c r="AK975" s="113"/>
      <c r="AL975" s="113"/>
      <c r="AM975" s="113"/>
      <c r="AN975" s="113"/>
      <c r="AO975" s="113"/>
      <c r="AP975" s="113"/>
      <c r="AQ975" s="113"/>
      <c r="AR975" s="113"/>
      <c r="AS975" s="113"/>
      <c r="AT975" s="113"/>
      <c r="AU975" s="113"/>
      <c r="AV975" s="113"/>
      <c r="AW975" s="113"/>
      <c r="AX975" s="113"/>
      <c r="AY975" s="113"/>
      <c r="AZ975" s="113"/>
      <c r="BA975" s="113"/>
      <c r="BB975" s="113"/>
      <c r="BC975" s="113"/>
      <c r="BD975" s="113"/>
      <c r="BE975" s="113"/>
      <c r="BF975" s="113"/>
      <c r="BG975" s="113"/>
      <c r="BH975" s="113"/>
      <c r="BI975" s="113"/>
      <c r="BJ975" s="113"/>
      <c r="BK975" s="113"/>
      <c r="BL975" s="113"/>
      <c r="BM975" s="113"/>
      <c r="BN975" s="113"/>
      <c r="BO975" s="113"/>
      <c r="BP975" s="113"/>
      <c r="BQ975" s="113"/>
      <c r="BR975" s="113"/>
      <c r="BS975" s="113"/>
      <c r="BT975" s="113"/>
      <c r="BU975" s="113"/>
      <c r="BV975" s="113"/>
      <c r="BW975" s="113"/>
      <c r="BX975" s="113"/>
      <c r="BY975" s="113"/>
      <c r="BZ975" s="113"/>
      <c r="CA975" s="113"/>
      <c r="CB975" s="113"/>
      <c r="CC975" s="113"/>
      <c r="CD975" s="113"/>
      <c r="CE975" s="113"/>
      <c r="CF975" s="113"/>
      <c r="CG975" s="113"/>
      <c r="CH975" s="113"/>
      <c r="CI975" s="113"/>
      <c r="CJ975" s="113"/>
      <c r="CK975" s="113"/>
      <c r="CL975" s="113"/>
      <c r="CM975" s="113"/>
      <c r="CN975" s="113"/>
      <c r="CO975" s="113"/>
      <c r="CP975" s="113"/>
      <c r="CQ975" s="113"/>
      <c r="CR975" s="113"/>
      <c r="CS975" s="113"/>
      <c r="CT975" s="113"/>
      <c r="CU975" s="113"/>
    </row>
    <row r="976">
      <c r="A976" s="159"/>
      <c r="B976" s="113"/>
      <c r="C976" s="113"/>
      <c r="D976" s="158"/>
      <c r="E976" s="161"/>
      <c r="F976" s="160"/>
      <c r="G976" s="162"/>
      <c r="H976" s="159"/>
      <c r="I976" s="113"/>
      <c r="J976" s="113"/>
      <c r="K976" s="113"/>
      <c r="L976" s="158"/>
      <c r="M976" s="113"/>
      <c r="N976" s="113"/>
      <c r="O976" s="113"/>
      <c r="P976" s="113"/>
      <c r="Q976" s="113"/>
      <c r="R976" s="113"/>
      <c r="S976" s="113"/>
      <c r="T976" s="113"/>
      <c r="U976" s="113"/>
      <c r="V976" s="113"/>
      <c r="W976" s="113"/>
      <c r="X976" s="113"/>
      <c r="Y976" s="113"/>
      <c r="Z976" s="113"/>
      <c r="AA976" s="113"/>
      <c r="AB976" s="113"/>
      <c r="AC976" s="113"/>
      <c r="AD976" s="113"/>
      <c r="AE976" s="113"/>
      <c r="AF976" s="113"/>
      <c r="AG976" s="113"/>
      <c r="AH976" s="113"/>
      <c r="AI976" s="113"/>
      <c r="AJ976" s="113"/>
      <c r="AK976" s="113"/>
      <c r="AL976" s="113"/>
      <c r="AM976" s="113"/>
      <c r="AN976" s="113"/>
      <c r="AO976" s="113"/>
      <c r="AP976" s="113"/>
      <c r="AQ976" s="113"/>
      <c r="AR976" s="113"/>
      <c r="AS976" s="113"/>
      <c r="AT976" s="113"/>
      <c r="AU976" s="113"/>
      <c r="AV976" s="113"/>
      <c r="AW976" s="113"/>
      <c r="AX976" s="113"/>
      <c r="AY976" s="113"/>
      <c r="AZ976" s="113"/>
      <c r="BA976" s="113"/>
      <c r="BB976" s="113"/>
      <c r="BC976" s="113"/>
      <c r="BD976" s="113"/>
      <c r="BE976" s="113"/>
      <c r="BF976" s="113"/>
      <c r="BG976" s="113"/>
      <c r="BH976" s="113"/>
      <c r="BI976" s="113"/>
      <c r="BJ976" s="113"/>
      <c r="BK976" s="113"/>
      <c r="BL976" s="113"/>
      <c r="BM976" s="113"/>
      <c r="BN976" s="113"/>
      <c r="BO976" s="113"/>
      <c r="BP976" s="113"/>
      <c r="BQ976" s="113"/>
      <c r="BR976" s="113"/>
      <c r="BS976" s="113"/>
      <c r="BT976" s="113"/>
      <c r="BU976" s="113"/>
      <c r="BV976" s="113"/>
      <c r="BW976" s="113"/>
      <c r="BX976" s="113"/>
      <c r="BY976" s="113"/>
      <c r="BZ976" s="113"/>
      <c r="CA976" s="113"/>
      <c r="CB976" s="113"/>
      <c r="CC976" s="113"/>
      <c r="CD976" s="113"/>
      <c r="CE976" s="113"/>
      <c r="CF976" s="113"/>
      <c r="CG976" s="113"/>
      <c r="CH976" s="113"/>
      <c r="CI976" s="113"/>
      <c r="CJ976" s="113"/>
      <c r="CK976" s="113"/>
      <c r="CL976" s="113"/>
      <c r="CM976" s="113"/>
      <c r="CN976" s="113"/>
      <c r="CO976" s="113"/>
      <c r="CP976" s="113"/>
      <c r="CQ976" s="113"/>
      <c r="CR976" s="113"/>
      <c r="CS976" s="113"/>
      <c r="CT976" s="113"/>
      <c r="CU976" s="113"/>
    </row>
    <row r="977">
      <c r="A977" s="159"/>
      <c r="B977" s="113"/>
      <c r="C977" s="113"/>
      <c r="D977" s="158"/>
      <c r="E977" s="161"/>
      <c r="F977" s="160"/>
      <c r="G977" s="162"/>
      <c r="H977" s="159"/>
      <c r="I977" s="113"/>
      <c r="J977" s="113"/>
      <c r="K977" s="113"/>
      <c r="L977" s="158"/>
      <c r="M977" s="113"/>
      <c r="N977" s="113"/>
      <c r="O977" s="113"/>
      <c r="P977" s="113"/>
      <c r="Q977" s="113"/>
      <c r="R977" s="113"/>
      <c r="S977" s="113"/>
      <c r="T977" s="113"/>
      <c r="U977" s="113"/>
      <c r="V977" s="113"/>
      <c r="W977" s="113"/>
      <c r="X977" s="113"/>
      <c r="Y977" s="113"/>
      <c r="Z977" s="113"/>
      <c r="AA977" s="113"/>
      <c r="AB977" s="113"/>
      <c r="AC977" s="113"/>
      <c r="AD977" s="113"/>
      <c r="AE977" s="113"/>
      <c r="AF977" s="113"/>
      <c r="AG977" s="113"/>
      <c r="AH977" s="113"/>
      <c r="AI977" s="113"/>
      <c r="AJ977" s="113"/>
      <c r="AK977" s="113"/>
      <c r="AL977" s="113"/>
      <c r="AM977" s="113"/>
      <c r="AN977" s="113"/>
      <c r="AO977" s="113"/>
      <c r="AP977" s="113"/>
      <c r="AQ977" s="113"/>
      <c r="AR977" s="113"/>
      <c r="AS977" s="113"/>
      <c r="AT977" s="113"/>
      <c r="AU977" s="113"/>
      <c r="AV977" s="113"/>
      <c r="AW977" s="113"/>
      <c r="AX977" s="113"/>
      <c r="AY977" s="113"/>
      <c r="AZ977" s="113"/>
      <c r="BA977" s="113"/>
      <c r="BB977" s="113"/>
      <c r="BC977" s="113"/>
      <c r="BD977" s="113"/>
      <c r="BE977" s="113"/>
      <c r="BF977" s="113"/>
      <c r="BG977" s="113"/>
      <c r="BH977" s="113"/>
      <c r="BI977" s="113"/>
      <c r="BJ977" s="113"/>
      <c r="BK977" s="113"/>
      <c r="BL977" s="113"/>
      <c r="BM977" s="113"/>
      <c r="BN977" s="113"/>
      <c r="BO977" s="113"/>
      <c r="BP977" s="113"/>
      <c r="BQ977" s="113"/>
      <c r="BR977" s="113"/>
      <c r="BS977" s="113"/>
      <c r="BT977" s="113"/>
      <c r="BU977" s="113"/>
      <c r="BV977" s="113"/>
      <c r="BW977" s="113"/>
      <c r="BX977" s="113"/>
      <c r="BY977" s="113"/>
      <c r="BZ977" s="113"/>
      <c r="CA977" s="113"/>
      <c r="CB977" s="113"/>
      <c r="CC977" s="113"/>
      <c r="CD977" s="113"/>
      <c r="CE977" s="113"/>
      <c r="CF977" s="113"/>
      <c r="CG977" s="113"/>
      <c r="CH977" s="113"/>
      <c r="CI977" s="113"/>
      <c r="CJ977" s="113"/>
      <c r="CK977" s="113"/>
      <c r="CL977" s="113"/>
      <c r="CM977" s="113"/>
      <c r="CN977" s="113"/>
      <c r="CO977" s="113"/>
      <c r="CP977" s="113"/>
      <c r="CQ977" s="113"/>
      <c r="CR977" s="113"/>
      <c r="CS977" s="113"/>
      <c r="CT977" s="113"/>
      <c r="CU977" s="113"/>
    </row>
    <row r="978">
      <c r="A978" s="159"/>
      <c r="B978" s="113"/>
      <c r="C978" s="113"/>
      <c r="D978" s="158"/>
      <c r="E978" s="161"/>
      <c r="F978" s="160"/>
      <c r="G978" s="162"/>
      <c r="H978" s="159"/>
      <c r="I978" s="113"/>
      <c r="J978" s="113"/>
      <c r="K978" s="113"/>
      <c r="L978" s="158"/>
      <c r="M978" s="113"/>
      <c r="N978" s="113"/>
      <c r="O978" s="113"/>
      <c r="P978" s="113"/>
      <c r="Q978" s="113"/>
      <c r="R978" s="113"/>
      <c r="S978" s="113"/>
      <c r="T978" s="113"/>
      <c r="U978" s="113"/>
      <c r="V978" s="113"/>
      <c r="W978" s="113"/>
      <c r="X978" s="113"/>
      <c r="Y978" s="113"/>
      <c r="Z978" s="113"/>
      <c r="AA978" s="113"/>
      <c r="AB978" s="113"/>
      <c r="AC978" s="113"/>
      <c r="AD978" s="113"/>
      <c r="AE978" s="113"/>
      <c r="AF978" s="113"/>
      <c r="AG978" s="113"/>
      <c r="AH978" s="113"/>
      <c r="AI978" s="113"/>
      <c r="AJ978" s="113"/>
      <c r="AK978" s="113"/>
      <c r="AL978" s="113"/>
      <c r="AM978" s="113"/>
      <c r="AN978" s="113"/>
      <c r="AO978" s="113"/>
      <c r="AP978" s="113"/>
      <c r="AQ978" s="113"/>
      <c r="AR978" s="113"/>
      <c r="AS978" s="113"/>
      <c r="AT978" s="113"/>
      <c r="AU978" s="113"/>
      <c r="AV978" s="113"/>
      <c r="AW978" s="113"/>
      <c r="AX978" s="113"/>
      <c r="AY978" s="113"/>
      <c r="AZ978" s="113"/>
      <c r="BA978" s="113"/>
      <c r="BB978" s="113"/>
      <c r="BC978" s="113"/>
      <c r="BD978" s="113"/>
      <c r="BE978" s="113"/>
      <c r="BF978" s="113"/>
      <c r="BG978" s="113"/>
      <c r="BH978" s="113"/>
      <c r="BI978" s="113"/>
      <c r="BJ978" s="113"/>
      <c r="BK978" s="113"/>
      <c r="BL978" s="113"/>
      <c r="BM978" s="113"/>
      <c r="BN978" s="113"/>
      <c r="BO978" s="113"/>
      <c r="BP978" s="113"/>
      <c r="BQ978" s="113"/>
      <c r="BR978" s="113"/>
      <c r="BS978" s="113"/>
      <c r="BT978" s="113"/>
      <c r="BU978" s="113"/>
      <c r="BV978" s="113"/>
      <c r="BW978" s="113"/>
      <c r="BX978" s="113"/>
      <c r="BY978" s="113"/>
      <c r="BZ978" s="113"/>
      <c r="CA978" s="113"/>
      <c r="CB978" s="113"/>
      <c r="CC978" s="113"/>
      <c r="CD978" s="113"/>
      <c r="CE978" s="113"/>
      <c r="CF978" s="113"/>
      <c r="CG978" s="113"/>
      <c r="CH978" s="113"/>
      <c r="CI978" s="113"/>
      <c r="CJ978" s="113"/>
      <c r="CK978" s="113"/>
      <c r="CL978" s="113"/>
      <c r="CM978" s="113"/>
      <c r="CN978" s="113"/>
      <c r="CO978" s="113"/>
      <c r="CP978" s="113"/>
      <c r="CQ978" s="113"/>
      <c r="CR978" s="113"/>
      <c r="CS978" s="113"/>
      <c r="CT978" s="113"/>
      <c r="CU978" s="113"/>
    </row>
    <row r="979">
      <c r="A979" s="159"/>
      <c r="B979" s="113"/>
      <c r="C979" s="113"/>
      <c r="D979" s="158"/>
      <c r="E979" s="161"/>
      <c r="F979" s="160"/>
      <c r="G979" s="162"/>
      <c r="H979" s="159"/>
      <c r="I979" s="113"/>
      <c r="J979" s="113"/>
      <c r="K979" s="113"/>
      <c r="L979" s="158"/>
      <c r="M979" s="113"/>
      <c r="N979" s="113"/>
      <c r="O979" s="113"/>
      <c r="P979" s="113"/>
      <c r="Q979" s="113"/>
      <c r="R979" s="113"/>
      <c r="S979" s="113"/>
      <c r="T979" s="113"/>
      <c r="U979" s="113"/>
      <c r="V979" s="113"/>
      <c r="W979" s="113"/>
      <c r="X979" s="113"/>
      <c r="Y979" s="113"/>
      <c r="Z979" s="113"/>
      <c r="AA979" s="113"/>
      <c r="AB979" s="113"/>
      <c r="AC979" s="113"/>
      <c r="AD979" s="113"/>
      <c r="AE979" s="113"/>
      <c r="AF979" s="113"/>
      <c r="AG979" s="113"/>
      <c r="AH979" s="113"/>
      <c r="AI979" s="113"/>
      <c r="AJ979" s="113"/>
      <c r="AK979" s="113"/>
      <c r="AL979" s="113"/>
      <c r="AM979" s="113"/>
      <c r="AN979" s="113"/>
      <c r="AO979" s="113"/>
      <c r="AP979" s="113"/>
      <c r="AQ979" s="113"/>
      <c r="AR979" s="113"/>
      <c r="AS979" s="113"/>
      <c r="AT979" s="113"/>
      <c r="AU979" s="113"/>
      <c r="AV979" s="113"/>
      <c r="AW979" s="113"/>
      <c r="AX979" s="113"/>
      <c r="AY979" s="113"/>
      <c r="AZ979" s="113"/>
      <c r="BA979" s="113"/>
      <c r="BB979" s="113"/>
      <c r="BC979" s="113"/>
      <c r="BD979" s="113"/>
      <c r="BE979" s="113"/>
      <c r="BF979" s="113"/>
      <c r="BG979" s="113"/>
      <c r="BH979" s="113"/>
      <c r="BI979" s="113"/>
      <c r="BJ979" s="113"/>
      <c r="BK979" s="113"/>
      <c r="BL979" s="113"/>
      <c r="BM979" s="113"/>
      <c r="BN979" s="113"/>
      <c r="BO979" s="113"/>
      <c r="BP979" s="113"/>
      <c r="BQ979" s="113"/>
      <c r="BR979" s="113"/>
      <c r="BS979" s="113"/>
      <c r="BT979" s="113"/>
      <c r="BU979" s="113"/>
      <c r="BV979" s="113"/>
      <c r="BW979" s="113"/>
      <c r="BX979" s="113"/>
      <c r="BY979" s="113"/>
      <c r="BZ979" s="113"/>
      <c r="CA979" s="113"/>
      <c r="CB979" s="113"/>
      <c r="CC979" s="113"/>
      <c r="CD979" s="113"/>
      <c r="CE979" s="113"/>
      <c r="CF979" s="113"/>
      <c r="CG979" s="113"/>
      <c r="CH979" s="113"/>
      <c r="CI979" s="113"/>
      <c r="CJ979" s="113"/>
      <c r="CK979" s="113"/>
      <c r="CL979" s="113"/>
      <c r="CM979" s="113"/>
      <c r="CN979" s="113"/>
      <c r="CO979" s="113"/>
      <c r="CP979" s="113"/>
      <c r="CQ979" s="113"/>
      <c r="CR979" s="113"/>
      <c r="CS979" s="113"/>
      <c r="CT979" s="113"/>
      <c r="CU979" s="113"/>
    </row>
    <row r="980">
      <c r="A980" s="159"/>
      <c r="B980" s="113"/>
      <c r="C980" s="113"/>
      <c r="D980" s="158"/>
      <c r="E980" s="161"/>
      <c r="F980" s="160"/>
      <c r="G980" s="162"/>
      <c r="H980" s="159"/>
      <c r="I980" s="113"/>
      <c r="J980" s="113"/>
      <c r="K980" s="113"/>
      <c r="L980" s="158"/>
      <c r="M980" s="113"/>
      <c r="N980" s="113"/>
      <c r="O980" s="113"/>
      <c r="P980" s="113"/>
      <c r="Q980" s="113"/>
      <c r="R980" s="113"/>
      <c r="S980" s="113"/>
      <c r="T980" s="113"/>
      <c r="U980" s="113"/>
      <c r="V980" s="113"/>
      <c r="W980" s="113"/>
      <c r="X980" s="113"/>
      <c r="Y980" s="113"/>
      <c r="Z980" s="113"/>
      <c r="AA980" s="113"/>
      <c r="AB980" s="113"/>
      <c r="AC980" s="113"/>
      <c r="AD980" s="113"/>
      <c r="AE980" s="113"/>
      <c r="AF980" s="113"/>
      <c r="AG980" s="113"/>
      <c r="AH980" s="113"/>
      <c r="AI980" s="113"/>
      <c r="AJ980" s="113"/>
      <c r="AK980" s="113"/>
      <c r="AL980" s="113"/>
      <c r="AM980" s="113"/>
      <c r="AN980" s="113"/>
      <c r="AO980" s="113"/>
      <c r="AP980" s="113"/>
      <c r="AQ980" s="113"/>
      <c r="AR980" s="113"/>
      <c r="AS980" s="113"/>
      <c r="AT980" s="113"/>
      <c r="AU980" s="113"/>
      <c r="AV980" s="113"/>
      <c r="AW980" s="113"/>
      <c r="AX980" s="113"/>
      <c r="AY980" s="113"/>
      <c r="AZ980" s="113"/>
      <c r="BA980" s="113"/>
      <c r="BB980" s="113"/>
      <c r="BC980" s="113"/>
      <c r="BD980" s="113"/>
      <c r="BE980" s="113"/>
      <c r="BF980" s="113"/>
      <c r="BG980" s="113"/>
      <c r="BH980" s="113"/>
      <c r="BI980" s="113"/>
      <c r="BJ980" s="113"/>
      <c r="BK980" s="113"/>
      <c r="BL980" s="113"/>
      <c r="BM980" s="113"/>
      <c r="BN980" s="113"/>
      <c r="BO980" s="113"/>
      <c r="BP980" s="113"/>
      <c r="BQ980" s="113"/>
      <c r="BR980" s="113"/>
      <c r="BS980" s="113"/>
      <c r="BT980" s="113"/>
      <c r="BU980" s="113"/>
      <c r="BV980" s="113"/>
      <c r="BW980" s="113"/>
      <c r="BX980" s="113"/>
      <c r="BY980" s="113"/>
      <c r="BZ980" s="113"/>
      <c r="CA980" s="113"/>
      <c r="CB980" s="113"/>
      <c r="CC980" s="113"/>
      <c r="CD980" s="113"/>
      <c r="CE980" s="113"/>
      <c r="CF980" s="113"/>
      <c r="CG980" s="113"/>
      <c r="CH980" s="113"/>
      <c r="CI980" s="113"/>
      <c r="CJ980" s="113"/>
      <c r="CK980" s="113"/>
      <c r="CL980" s="113"/>
      <c r="CM980" s="113"/>
      <c r="CN980" s="113"/>
      <c r="CO980" s="113"/>
      <c r="CP980" s="113"/>
      <c r="CQ980" s="113"/>
      <c r="CR980" s="113"/>
      <c r="CS980" s="113"/>
      <c r="CT980" s="113"/>
      <c r="CU980" s="113"/>
    </row>
    <row r="981">
      <c r="A981" s="159"/>
      <c r="B981" s="113"/>
      <c r="C981" s="113"/>
      <c r="D981" s="158"/>
      <c r="E981" s="161"/>
      <c r="F981" s="160"/>
      <c r="G981" s="162"/>
      <c r="H981" s="159"/>
      <c r="I981" s="113"/>
      <c r="J981" s="113"/>
      <c r="K981" s="113"/>
      <c r="L981" s="158"/>
      <c r="M981" s="113"/>
      <c r="N981" s="113"/>
      <c r="O981" s="113"/>
      <c r="P981" s="113"/>
      <c r="Q981" s="113"/>
      <c r="R981" s="113"/>
      <c r="S981" s="113"/>
      <c r="T981" s="113"/>
      <c r="U981" s="113"/>
      <c r="V981" s="113"/>
      <c r="W981" s="113"/>
      <c r="X981" s="113"/>
      <c r="Y981" s="113"/>
      <c r="Z981" s="113"/>
      <c r="AA981" s="113"/>
      <c r="AB981" s="113"/>
      <c r="AC981" s="113"/>
      <c r="AD981" s="113"/>
      <c r="AE981" s="113"/>
      <c r="AF981" s="113"/>
      <c r="AG981" s="113"/>
      <c r="AH981" s="113"/>
      <c r="AI981" s="113"/>
      <c r="AJ981" s="113"/>
      <c r="AK981" s="113"/>
      <c r="AL981" s="113"/>
      <c r="AM981" s="113"/>
      <c r="AN981" s="113"/>
      <c r="AO981" s="113"/>
      <c r="AP981" s="113"/>
      <c r="AQ981" s="113"/>
      <c r="AR981" s="113"/>
      <c r="AS981" s="113"/>
      <c r="AT981" s="113"/>
      <c r="AU981" s="113"/>
      <c r="AV981" s="113"/>
      <c r="AW981" s="113"/>
      <c r="AX981" s="113"/>
      <c r="AY981" s="113"/>
      <c r="AZ981" s="113"/>
      <c r="BA981" s="113"/>
      <c r="BB981" s="113"/>
      <c r="BC981" s="113"/>
      <c r="BD981" s="113"/>
      <c r="BE981" s="113"/>
      <c r="BF981" s="113"/>
      <c r="BG981" s="113"/>
      <c r="BH981" s="113"/>
      <c r="BI981" s="113"/>
      <c r="BJ981" s="113"/>
      <c r="BK981" s="113"/>
      <c r="BL981" s="113"/>
      <c r="BM981" s="113"/>
      <c r="BN981" s="113"/>
      <c r="BO981" s="113"/>
      <c r="BP981" s="113"/>
      <c r="BQ981" s="113"/>
      <c r="BR981" s="113"/>
      <c r="BS981" s="113"/>
      <c r="BT981" s="113"/>
      <c r="BU981" s="113"/>
      <c r="BV981" s="113"/>
      <c r="BW981" s="113"/>
      <c r="BX981" s="113"/>
      <c r="BY981" s="113"/>
      <c r="BZ981" s="113"/>
      <c r="CA981" s="113"/>
      <c r="CB981" s="113"/>
      <c r="CC981" s="113"/>
      <c r="CD981" s="113"/>
      <c r="CE981" s="113"/>
      <c r="CF981" s="113"/>
      <c r="CG981" s="113"/>
      <c r="CH981" s="113"/>
      <c r="CI981" s="113"/>
      <c r="CJ981" s="113"/>
      <c r="CK981" s="113"/>
      <c r="CL981" s="113"/>
      <c r="CM981" s="113"/>
      <c r="CN981" s="113"/>
      <c r="CO981" s="113"/>
      <c r="CP981" s="113"/>
      <c r="CQ981" s="113"/>
      <c r="CR981" s="113"/>
      <c r="CS981" s="113"/>
      <c r="CT981" s="113"/>
      <c r="CU981" s="113"/>
    </row>
    <row r="982">
      <c r="A982" s="159"/>
      <c r="B982" s="113"/>
      <c r="C982" s="113"/>
      <c r="D982" s="158"/>
      <c r="E982" s="161"/>
      <c r="F982" s="160"/>
      <c r="G982" s="162"/>
      <c r="H982" s="159"/>
      <c r="I982" s="113"/>
      <c r="J982" s="113"/>
      <c r="K982" s="113"/>
      <c r="L982" s="158"/>
      <c r="M982" s="113"/>
      <c r="N982" s="113"/>
      <c r="O982" s="113"/>
      <c r="P982" s="113"/>
      <c r="Q982" s="113"/>
      <c r="R982" s="113"/>
      <c r="S982" s="113"/>
      <c r="T982" s="113"/>
      <c r="U982" s="113"/>
      <c r="V982" s="113"/>
      <c r="W982" s="113"/>
      <c r="X982" s="113"/>
      <c r="Y982" s="113"/>
      <c r="Z982" s="113"/>
      <c r="AA982" s="113"/>
      <c r="AB982" s="113"/>
      <c r="AC982" s="113"/>
      <c r="AD982" s="113"/>
      <c r="AE982" s="113"/>
      <c r="AF982" s="113"/>
      <c r="AG982" s="113"/>
      <c r="AH982" s="113"/>
      <c r="AI982" s="113"/>
      <c r="AJ982" s="113"/>
      <c r="AK982" s="113"/>
      <c r="AL982" s="113"/>
      <c r="AM982" s="113"/>
      <c r="AN982" s="113"/>
      <c r="AO982" s="113"/>
      <c r="AP982" s="113"/>
      <c r="AQ982" s="113"/>
      <c r="AR982" s="113"/>
      <c r="AS982" s="113"/>
      <c r="AT982" s="113"/>
      <c r="AU982" s="113"/>
      <c r="AV982" s="113"/>
      <c r="AW982" s="113"/>
      <c r="AX982" s="113"/>
      <c r="AY982" s="113"/>
      <c r="AZ982" s="113"/>
      <c r="BA982" s="113"/>
      <c r="BB982" s="113"/>
      <c r="BC982" s="113"/>
      <c r="BD982" s="113"/>
      <c r="BE982" s="113"/>
      <c r="BF982" s="113"/>
      <c r="BG982" s="113"/>
      <c r="BH982" s="113"/>
      <c r="BI982" s="113"/>
      <c r="BJ982" s="113"/>
      <c r="BK982" s="113"/>
      <c r="BL982" s="113"/>
      <c r="BM982" s="113"/>
      <c r="BN982" s="113"/>
      <c r="BO982" s="113"/>
      <c r="BP982" s="113"/>
      <c r="BQ982" s="113"/>
      <c r="BR982" s="113"/>
      <c r="BS982" s="113"/>
      <c r="BT982" s="113"/>
      <c r="BU982" s="113"/>
      <c r="BV982" s="113"/>
      <c r="BW982" s="113"/>
      <c r="BX982" s="113"/>
      <c r="BY982" s="113"/>
      <c r="BZ982" s="113"/>
      <c r="CA982" s="113"/>
      <c r="CB982" s="113"/>
      <c r="CC982" s="113"/>
      <c r="CD982" s="113"/>
      <c r="CE982" s="113"/>
      <c r="CF982" s="113"/>
      <c r="CG982" s="113"/>
      <c r="CH982" s="113"/>
      <c r="CI982" s="113"/>
      <c r="CJ982" s="113"/>
      <c r="CK982" s="113"/>
      <c r="CL982" s="113"/>
      <c r="CM982" s="113"/>
      <c r="CN982" s="113"/>
      <c r="CO982" s="113"/>
      <c r="CP982" s="113"/>
      <c r="CQ982" s="113"/>
      <c r="CR982" s="113"/>
      <c r="CS982" s="113"/>
      <c r="CT982" s="113"/>
      <c r="CU982" s="113"/>
    </row>
    <row r="983">
      <c r="A983" s="159"/>
      <c r="B983" s="113"/>
      <c r="C983" s="113"/>
      <c r="D983" s="158"/>
      <c r="E983" s="161"/>
      <c r="F983" s="160"/>
      <c r="G983" s="162"/>
      <c r="H983" s="159"/>
      <c r="I983" s="113"/>
      <c r="J983" s="113"/>
      <c r="K983" s="113"/>
      <c r="L983" s="158"/>
      <c r="M983" s="113"/>
      <c r="N983" s="113"/>
      <c r="O983" s="113"/>
      <c r="P983" s="113"/>
      <c r="Q983" s="113"/>
      <c r="R983" s="113"/>
      <c r="S983" s="113"/>
      <c r="T983" s="113"/>
      <c r="U983" s="113"/>
      <c r="V983" s="113"/>
      <c r="W983" s="113"/>
      <c r="X983" s="113"/>
      <c r="Y983" s="113"/>
      <c r="Z983" s="113"/>
      <c r="AA983" s="113"/>
      <c r="AB983" s="113"/>
      <c r="AC983" s="113"/>
      <c r="AD983" s="113"/>
      <c r="AE983" s="113"/>
      <c r="AF983" s="113"/>
      <c r="AG983" s="113"/>
      <c r="AH983" s="113"/>
      <c r="AI983" s="113"/>
      <c r="AJ983" s="113"/>
      <c r="AK983" s="113"/>
      <c r="AL983" s="113"/>
      <c r="AM983" s="113"/>
      <c r="AN983" s="113"/>
      <c r="AO983" s="113"/>
      <c r="AP983" s="113"/>
      <c r="AQ983" s="113"/>
      <c r="AR983" s="113"/>
      <c r="AS983" s="113"/>
      <c r="AT983" s="113"/>
      <c r="AU983" s="113"/>
      <c r="AV983" s="113"/>
      <c r="AW983" s="113"/>
      <c r="AX983" s="113"/>
      <c r="AY983" s="113"/>
      <c r="AZ983" s="113"/>
      <c r="BA983" s="113"/>
      <c r="BB983" s="113"/>
      <c r="BC983" s="113"/>
      <c r="BD983" s="113"/>
      <c r="BE983" s="113"/>
      <c r="BF983" s="113"/>
      <c r="BG983" s="113"/>
      <c r="BH983" s="113"/>
      <c r="BI983" s="113"/>
      <c r="BJ983" s="113"/>
      <c r="BK983" s="113"/>
      <c r="BL983" s="113"/>
      <c r="BM983" s="113"/>
      <c r="BN983" s="113"/>
      <c r="BO983" s="113"/>
      <c r="BP983" s="113"/>
      <c r="BQ983" s="113"/>
      <c r="BR983" s="113"/>
      <c r="BS983" s="113"/>
      <c r="BT983" s="113"/>
      <c r="BU983" s="113"/>
      <c r="BV983" s="113"/>
      <c r="BW983" s="113"/>
      <c r="BX983" s="113"/>
      <c r="BY983" s="113"/>
      <c r="BZ983" s="113"/>
      <c r="CA983" s="113"/>
      <c r="CB983" s="113"/>
      <c r="CC983" s="113"/>
      <c r="CD983" s="113"/>
      <c r="CE983" s="113"/>
      <c r="CF983" s="113"/>
      <c r="CG983" s="113"/>
      <c r="CH983" s="113"/>
      <c r="CI983" s="113"/>
      <c r="CJ983" s="113"/>
      <c r="CK983" s="113"/>
      <c r="CL983" s="113"/>
      <c r="CM983" s="113"/>
      <c r="CN983" s="113"/>
      <c r="CO983" s="113"/>
      <c r="CP983" s="113"/>
      <c r="CQ983" s="113"/>
      <c r="CR983" s="113"/>
      <c r="CS983" s="113"/>
      <c r="CT983" s="113"/>
      <c r="CU983" s="113"/>
    </row>
    <row r="984">
      <c r="A984" s="159"/>
      <c r="B984" s="113"/>
      <c r="C984" s="113"/>
      <c r="D984" s="158"/>
      <c r="E984" s="161"/>
      <c r="F984" s="160"/>
      <c r="G984" s="162"/>
      <c r="H984" s="159"/>
      <c r="I984" s="113"/>
      <c r="J984" s="113"/>
      <c r="K984" s="113"/>
      <c r="L984" s="158"/>
      <c r="M984" s="113"/>
      <c r="N984" s="113"/>
      <c r="O984" s="113"/>
      <c r="P984" s="113"/>
      <c r="Q984" s="113"/>
      <c r="R984" s="113"/>
      <c r="S984" s="113"/>
      <c r="T984" s="113"/>
      <c r="U984" s="113"/>
      <c r="V984" s="113"/>
      <c r="W984" s="113"/>
      <c r="X984" s="113"/>
      <c r="Y984" s="113"/>
      <c r="Z984" s="113"/>
      <c r="AA984" s="113"/>
      <c r="AB984" s="113"/>
      <c r="AC984" s="113"/>
      <c r="AD984" s="113"/>
      <c r="AE984" s="113"/>
      <c r="AF984" s="113"/>
      <c r="AG984" s="113"/>
      <c r="AH984" s="113"/>
      <c r="AI984" s="113"/>
      <c r="AJ984" s="113"/>
      <c r="AK984" s="113"/>
      <c r="AL984" s="113"/>
      <c r="AM984" s="113"/>
      <c r="AN984" s="113"/>
      <c r="AO984" s="113"/>
      <c r="AP984" s="113"/>
      <c r="AQ984" s="113"/>
      <c r="AR984" s="113"/>
      <c r="AS984" s="113"/>
      <c r="AT984" s="113"/>
      <c r="AU984" s="113"/>
      <c r="AV984" s="113"/>
      <c r="AW984" s="113"/>
      <c r="AX984" s="113"/>
      <c r="AY984" s="113"/>
      <c r="AZ984" s="113"/>
      <c r="BA984" s="113"/>
      <c r="BB984" s="113"/>
      <c r="BC984" s="113"/>
      <c r="BD984" s="113"/>
      <c r="BE984" s="113"/>
      <c r="BF984" s="113"/>
      <c r="BG984" s="113"/>
      <c r="BH984" s="113"/>
      <c r="BI984" s="113"/>
      <c r="BJ984" s="113"/>
      <c r="BK984" s="113"/>
      <c r="BL984" s="113"/>
      <c r="BM984" s="113"/>
      <c r="BN984" s="113"/>
      <c r="BO984" s="113"/>
      <c r="BP984" s="113"/>
      <c r="BQ984" s="113"/>
      <c r="BR984" s="113"/>
      <c r="BS984" s="113"/>
      <c r="BT984" s="113"/>
      <c r="BU984" s="113"/>
      <c r="BV984" s="113"/>
      <c r="BW984" s="113"/>
      <c r="BX984" s="113"/>
      <c r="BY984" s="113"/>
      <c r="BZ984" s="113"/>
      <c r="CA984" s="113"/>
      <c r="CB984" s="113"/>
      <c r="CC984" s="113"/>
      <c r="CD984" s="113"/>
      <c r="CE984" s="113"/>
      <c r="CF984" s="113"/>
      <c r="CG984" s="113"/>
      <c r="CH984" s="113"/>
      <c r="CI984" s="113"/>
      <c r="CJ984" s="113"/>
      <c r="CK984" s="113"/>
      <c r="CL984" s="113"/>
      <c r="CM984" s="113"/>
      <c r="CN984" s="113"/>
      <c r="CO984" s="113"/>
      <c r="CP984" s="113"/>
      <c r="CQ984" s="113"/>
      <c r="CR984" s="113"/>
      <c r="CS984" s="113"/>
      <c r="CT984" s="113"/>
      <c r="CU984" s="113"/>
    </row>
    <row r="985">
      <c r="A985" s="159"/>
      <c r="B985" s="113"/>
      <c r="C985" s="113"/>
      <c r="D985" s="158"/>
      <c r="E985" s="161"/>
      <c r="F985" s="160"/>
      <c r="G985" s="162"/>
      <c r="H985" s="159"/>
      <c r="I985" s="113"/>
      <c r="J985" s="113"/>
      <c r="K985" s="113"/>
      <c r="L985" s="158"/>
      <c r="M985" s="113"/>
      <c r="N985" s="113"/>
      <c r="O985" s="113"/>
      <c r="P985" s="113"/>
      <c r="Q985" s="113"/>
      <c r="R985" s="113"/>
      <c r="S985" s="113"/>
      <c r="T985" s="113"/>
      <c r="U985" s="113"/>
      <c r="V985" s="113"/>
      <c r="W985" s="113"/>
      <c r="X985" s="113"/>
      <c r="Y985" s="113"/>
      <c r="Z985" s="113"/>
      <c r="AA985" s="113"/>
      <c r="AB985" s="113"/>
      <c r="AC985" s="113"/>
      <c r="AD985" s="113"/>
      <c r="AE985" s="113"/>
      <c r="AF985" s="113"/>
      <c r="AG985" s="113"/>
      <c r="AH985" s="113"/>
      <c r="AI985" s="113"/>
      <c r="AJ985" s="113"/>
      <c r="AK985" s="113"/>
      <c r="AL985" s="113"/>
      <c r="AM985" s="113"/>
      <c r="AN985" s="113"/>
      <c r="AO985" s="113"/>
      <c r="AP985" s="113"/>
      <c r="AQ985" s="113"/>
      <c r="AR985" s="113"/>
      <c r="AS985" s="113"/>
      <c r="AT985" s="113"/>
      <c r="AU985" s="113"/>
      <c r="AV985" s="113"/>
      <c r="AW985" s="113"/>
      <c r="AX985" s="113"/>
      <c r="AY985" s="113"/>
      <c r="AZ985" s="113"/>
      <c r="BA985" s="113"/>
      <c r="BB985" s="113"/>
      <c r="BC985" s="113"/>
      <c r="BD985" s="113"/>
      <c r="BE985" s="113"/>
      <c r="BF985" s="113"/>
      <c r="BG985" s="113"/>
      <c r="BH985" s="113"/>
      <c r="BI985" s="113"/>
      <c r="BJ985" s="113"/>
      <c r="BK985" s="113"/>
      <c r="BL985" s="113"/>
      <c r="BM985" s="113"/>
      <c r="BN985" s="113"/>
      <c r="BO985" s="113"/>
      <c r="BP985" s="113"/>
      <c r="BQ985" s="113"/>
      <c r="BR985" s="113"/>
      <c r="BS985" s="113"/>
      <c r="BT985" s="113"/>
      <c r="BU985" s="113"/>
      <c r="BV985" s="113"/>
      <c r="BW985" s="113"/>
      <c r="BX985" s="113"/>
      <c r="BY985" s="113"/>
      <c r="BZ985" s="113"/>
      <c r="CA985" s="113"/>
      <c r="CB985" s="113"/>
      <c r="CC985" s="113"/>
      <c r="CD985" s="113"/>
      <c r="CE985" s="113"/>
      <c r="CF985" s="113"/>
      <c r="CG985" s="113"/>
      <c r="CH985" s="113"/>
      <c r="CI985" s="113"/>
      <c r="CJ985" s="113"/>
      <c r="CK985" s="113"/>
      <c r="CL985" s="113"/>
      <c r="CM985" s="113"/>
      <c r="CN985" s="113"/>
      <c r="CO985" s="113"/>
      <c r="CP985" s="113"/>
      <c r="CQ985" s="113"/>
      <c r="CR985" s="113"/>
      <c r="CS985" s="113"/>
      <c r="CT985" s="113"/>
      <c r="CU985" s="113"/>
    </row>
    <row r="986">
      <c r="A986" s="159"/>
      <c r="B986" s="113"/>
      <c r="C986" s="113"/>
      <c r="D986" s="158"/>
      <c r="E986" s="161"/>
      <c r="F986" s="160"/>
      <c r="G986" s="162"/>
      <c r="H986" s="159"/>
      <c r="I986" s="113"/>
      <c r="J986" s="113"/>
      <c r="K986" s="113"/>
      <c r="L986" s="158"/>
      <c r="M986" s="113"/>
      <c r="N986" s="113"/>
      <c r="O986" s="113"/>
      <c r="P986" s="113"/>
      <c r="Q986" s="113"/>
      <c r="R986" s="113"/>
      <c r="S986" s="113"/>
      <c r="T986" s="113"/>
      <c r="U986" s="113"/>
      <c r="V986" s="113"/>
      <c r="W986" s="113"/>
      <c r="X986" s="113"/>
      <c r="Y986" s="113"/>
      <c r="Z986" s="113"/>
      <c r="AA986" s="113"/>
      <c r="AB986" s="113"/>
      <c r="AC986" s="113"/>
      <c r="AD986" s="113"/>
      <c r="AE986" s="113"/>
      <c r="AF986" s="113"/>
      <c r="AG986" s="113"/>
      <c r="AH986" s="113"/>
      <c r="AI986" s="113"/>
      <c r="AJ986" s="113"/>
      <c r="AK986" s="113"/>
      <c r="AL986" s="113"/>
      <c r="AM986" s="113"/>
      <c r="AN986" s="113"/>
      <c r="AO986" s="113"/>
      <c r="AP986" s="113"/>
      <c r="AQ986" s="113"/>
      <c r="AR986" s="113"/>
      <c r="AS986" s="113"/>
      <c r="AT986" s="113"/>
      <c r="AU986" s="113"/>
      <c r="AV986" s="113"/>
      <c r="AW986" s="113"/>
      <c r="AX986" s="113"/>
      <c r="AY986" s="113"/>
      <c r="AZ986" s="113"/>
      <c r="BA986" s="113"/>
      <c r="BB986" s="113"/>
      <c r="BC986" s="113"/>
      <c r="BD986" s="113"/>
      <c r="BE986" s="113"/>
      <c r="BF986" s="113"/>
      <c r="BG986" s="113"/>
      <c r="BH986" s="113"/>
      <c r="BI986" s="113"/>
      <c r="BJ986" s="113"/>
      <c r="BK986" s="113"/>
      <c r="BL986" s="113"/>
      <c r="BM986" s="113"/>
      <c r="BN986" s="113"/>
      <c r="BO986" s="113"/>
      <c r="BP986" s="113"/>
      <c r="BQ986" s="113"/>
      <c r="BR986" s="113"/>
      <c r="BS986" s="113"/>
      <c r="BT986" s="113"/>
      <c r="BU986" s="113"/>
      <c r="BV986" s="113"/>
      <c r="BW986" s="113"/>
      <c r="BX986" s="113"/>
      <c r="BY986" s="113"/>
      <c r="BZ986" s="113"/>
      <c r="CA986" s="113"/>
      <c r="CB986" s="113"/>
      <c r="CC986" s="113"/>
      <c r="CD986" s="113"/>
      <c r="CE986" s="113"/>
      <c r="CF986" s="113"/>
      <c r="CG986" s="113"/>
      <c r="CH986" s="113"/>
      <c r="CI986" s="113"/>
      <c r="CJ986" s="113"/>
      <c r="CK986" s="113"/>
      <c r="CL986" s="113"/>
      <c r="CM986" s="113"/>
      <c r="CN986" s="113"/>
      <c r="CO986" s="113"/>
      <c r="CP986" s="113"/>
      <c r="CQ986" s="113"/>
      <c r="CR986" s="113"/>
      <c r="CS986" s="113"/>
      <c r="CT986" s="113"/>
      <c r="CU986" s="113"/>
    </row>
    <row r="987">
      <c r="A987" s="159"/>
      <c r="B987" s="113"/>
      <c r="C987" s="113"/>
      <c r="D987" s="158"/>
      <c r="E987" s="161"/>
      <c r="F987" s="160"/>
      <c r="G987" s="162"/>
      <c r="H987" s="159"/>
      <c r="I987" s="113"/>
      <c r="J987" s="113"/>
      <c r="K987" s="113"/>
      <c r="L987" s="158"/>
      <c r="M987" s="113"/>
      <c r="N987" s="113"/>
      <c r="O987" s="113"/>
      <c r="P987" s="113"/>
      <c r="Q987" s="113"/>
      <c r="R987" s="113"/>
      <c r="S987" s="113"/>
      <c r="T987" s="113"/>
      <c r="U987" s="113"/>
      <c r="V987" s="113"/>
      <c r="W987" s="113"/>
      <c r="X987" s="113"/>
      <c r="Y987" s="113"/>
      <c r="Z987" s="113"/>
      <c r="AA987" s="113"/>
      <c r="AB987" s="113"/>
      <c r="AC987" s="113"/>
      <c r="AD987" s="113"/>
      <c r="AE987" s="113"/>
      <c r="AF987" s="113"/>
      <c r="AG987" s="113"/>
      <c r="AH987" s="113"/>
      <c r="AI987" s="113"/>
      <c r="AJ987" s="113"/>
      <c r="AK987" s="113"/>
      <c r="AL987" s="113"/>
      <c r="AM987" s="113"/>
      <c r="AN987" s="113"/>
      <c r="AO987" s="113"/>
      <c r="AP987" s="113"/>
      <c r="AQ987" s="113"/>
      <c r="AR987" s="113"/>
      <c r="AS987" s="113"/>
      <c r="AT987" s="113"/>
      <c r="AU987" s="113"/>
      <c r="AV987" s="113"/>
      <c r="AW987" s="113"/>
      <c r="AX987" s="113"/>
      <c r="AY987" s="113"/>
      <c r="AZ987" s="113"/>
      <c r="BA987" s="113"/>
      <c r="BB987" s="113"/>
      <c r="BC987" s="113"/>
      <c r="BD987" s="113"/>
      <c r="BE987" s="113"/>
      <c r="BF987" s="113"/>
      <c r="BG987" s="113"/>
      <c r="BH987" s="113"/>
      <c r="BI987" s="113"/>
      <c r="BJ987" s="113"/>
      <c r="BK987" s="113"/>
      <c r="BL987" s="113"/>
      <c r="BM987" s="113"/>
      <c r="BN987" s="113"/>
      <c r="BO987" s="113"/>
      <c r="BP987" s="113"/>
      <c r="BQ987" s="113"/>
      <c r="BR987" s="113"/>
      <c r="BS987" s="113"/>
      <c r="BT987" s="113"/>
      <c r="BU987" s="113"/>
      <c r="BV987" s="113"/>
      <c r="BW987" s="113"/>
      <c r="BX987" s="113"/>
      <c r="BY987" s="113"/>
      <c r="BZ987" s="113"/>
      <c r="CA987" s="113"/>
      <c r="CB987" s="113"/>
      <c r="CC987" s="113"/>
      <c r="CD987" s="113"/>
      <c r="CE987" s="113"/>
      <c r="CF987" s="113"/>
      <c r="CG987" s="113"/>
      <c r="CH987" s="113"/>
      <c r="CI987" s="113"/>
      <c r="CJ987" s="113"/>
      <c r="CK987" s="113"/>
      <c r="CL987" s="113"/>
      <c r="CM987" s="113"/>
      <c r="CN987" s="113"/>
      <c r="CO987" s="113"/>
      <c r="CP987" s="113"/>
      <c r="CQ987" s="113"/>
      <c r="CR987" s="113"/>
      <c r="CS987" s="113"/>
      <c r="CT987" s="113"/>
      <c r="CU987" s="113"/>
    </row>
    <row r="988">
      <c r="A988" s="159"/>
      <c r="B988" s="113"/>
      <c r="C988" s="113"/>
      <c r="D988" s="158"/>
      <c r="E988" s="161"/>
      <c r="F988" s="160"/>
      <c r="G988" s="162"/>
      <c r="H988" s="159"/>
      <c r="I988" s="113"/>
      <c r="J988" s="113"/>
      <c r="K988" s="113"/>
      <c r="L988" s="158"/>
      <c r="M988" s="113"/>
      <c r="N988" s="113"/>
      <c r="O988" s="113"/>
      <c r="P988" s="113"/>
      <c r="Q988" s="113"/>
      <c r="R988" s="113"/>
      <c r="S988" s="113"/>
      <c r="T988" s="113"/>
      <c r="U988" s="113"/>
      <c r="V988" s="113"/>
      <c r="W988" s="113"/>
      <c r="X988" s="113"/>
      <c r="Y988" s="113"/>
      <c r="Z988" s="113"/>
      <c r="AA988" s="113"/>
      <c r="AB988" s="113"/>
      <c r="AC988" s="113"/>
      <c r="AD988" s="113"/>
      <c r="AE988" s="113"/>
      <c r="AF988" s="113"/>
      <c r="AG988" s="113"/>
      <c r="AH988" s="113"/>
      <c r="AI988" s="113"/>
      <c r="AJ988" s="113"/>
      <c r="AK988" s="113"/>
      <c r="AL988" s="113"/>
      <c r="AM988" s="113"/>
      <c r="AN988" s="113"/>
      <c r="AO988" s="113"/>
      <c r="AP988" s="113"/>
      <c r="AQ988" s="113"/>
      <c r="AR988" s="113"/>
      <c r="AS988" s="113"/>
      <c r="AT988" s="113"/>
      <c r="AU988" s="113"/>
      <c r="AV988" s="113"/>
      <c r="AW988" s="113"/>
      <c r="AX988" s="113"/>
      <c r="AY988" s="113"/>
      <c r="AZ988" s="113"/>
      <c r="BA988" s="113"/>
      <c r="BB988" s="113"/>
      <c r="BC988" s="113"/>
      <c r="BD988" s="113"/>
      <c r="BE988" s="113"/>
      <c r="BF988" s="113"/>
      <c r="BG988" s="113"/>
      <c r="BH988" s="113"/>
      <c r="BI988" s="113"/>
      <c r="BJ988" s="113"/>
      <c r="BK988" s="113"/>
      <c r="BL988" s="113"/>
      <c r="BM988" s="113"/>
      <c r="BN988" s="113"/>
      <c r="BO988" s="113"/>
      <c r="BP988" s="113"/>
      <c r="BQ988" s="113"/>
      <c r="BR988" s="113"/>
      <c r="BS988" s="113"/>
      <c r="BT988" s="113"/>
      <c r="BU988" s="113"/>
      <c r="BV988" s="113"/>
      <c r="BW988" s="113"/>
      <c r="BX988" s="113"/>
      <c r="BY988" s="113"/>
      <c r="BZ988" s="113"/>
      <c r="CA988" s="113"/>
      <c r="CB988" s="113"/>
      <c r="CC988" s="113"/>
      <c r="CD988" s="113"/>
      <c r="CE988" s="113"/>
      <c r="CF988" s="113"/>
      <c r="CG988" s="113"/>
      <c r="CH988" s="113"/>
      <c r="CI988" s="113"/>
      <c r="CJ988" s="113"/>
      <c r="CK988" s="113"/>
      <c r="CL988" s="113"/>
      <c r="CM988" s="113"/>
      <c r="CN988" s="113"/>
      <c r="CO988" s="113"/>
      <c r="CP988" s="113"/>
      <c r="CQ988" s="113"/>
      <c r="CR988" s="113"/>
      <c r="CS988" s="113"/>
      <c r="CT988" s="113"/>
      <c r="CU988" s="113"/>
    </row>
    <row r="989">
      <c r="A989" s="159"/>
      <c r="B989" s="113"/>
      <c r="C989" s="113"/>
      <c r="D989" s="158"/>
      <c r="E989" s="161"/>
      <c r="F989" s="160"/>
      <c r="G989" s="162"/>
      <c r="H989" s="159"/>
      <c r="I989" s="113"/>
      <c r="J989" s="113"/>
      <c r="K989" s="113"/>
      <c r="L989" s="158"/>
      <c r="M989" s="113"/>
      <c r="N989" s="113"/>
      <c r="O989" s="113"/>
      <c r="P989" s="113"/>
      <c r="Q989" s="113"/>
      <c r="R989" s="113"/>
      <c r="S989" s="113"/>
      <c r="T989" s="113"/>
      <c r="U989" s="113"/>
      <c r="V989" s="113"/>
      <c r="W989" s="113"/>
      <c r="X989" s="113"/>
      <c r="Y989" s="113"/>
      <c r="Z989" s="113"/>
      <c r="AA989" s="113"/>
      <c r="AB989" s="113"/>
      <c r="AC989" s="113"/>
      <c r="AD989" s="113"/>
      <c r="AE989" s="113"/>
      <c r="AF989" s="113"/>
      <c r="AG989" s="113"/>
      <c r="AH989" s="113"/>
      <c r="AI989" s="113"/>
      <c r="AJ989" s="113"/>
      <c r="AK989" s="113"/>
      <c r="AL989" s="113"/>
      <c r="AM989" s="113"/>
      <c r="AN989" s="113"/>
      <c r="AO989" s="113"/>
      <c r="AP989" s="113"/>
      <c r="AQ989" s="113"/>
      <c r="AR989" s="113"/>
      <c r="AS989" s="113"/>
      <c r="AT989" s="113"/>
      <c r="AU989" s="113"/>
      <c r="AV989" s="113"/>
      <c r="AW989" s="113"/>
      <c r="AX989" s="113"/>
      <c r="AY989" s="113"/>
      <c r="AZ989" s="113"/>
      <c r="BA989" s="113"/>
      <c r="BB989" s="113"/>
      <c r="BC989" s="113"/>
      <c r="BD989" s="113"/>
      <c r="BE989" s="113"/>
      <c r="BF989" s="113"/>
      <c r="BG989" s="113"/>
      <c r="BH989" s="113"/>
      <c r="BI989" s="113"/>
      <c r="BJ989" s="113"/>
      <c r="BK989" s="113"/>
      <c r="BL989" s="113"/>
      <c r="BM989" s="113"/>
      <c r="BN989" s="113"/>
      <c r="BO989" s="113"/>
      <c r="BP989" s="113"/>
      <c r="BQ989" s="113"/>
      <c r="BR989" s="113"/>
      <c r="BS989" s="113"/>
      <c r="BT989" s="113"/>
      <c r="BU989" s="113"/>
      <c r="BV989" s="113"/>
      <c r="BW989" s="113"/>
      <c r="BX989" s="113"/>
      <c r="BY989" s="113"/>
      <c r="BZ989" s="113"/>
      <c r="CA989" s="113"/>
      <c r="CB989" s="113"/>
      <c r="CC989" s="113"/>
      <c r="CD989" s="113"/>
      <c r="CE989" s="113"/>
      <c r="CF989" s="113"/>
      <c r="CG989" s="113"/>
      <c r="CH989" s="113"/>
      <c r="CI989" s="113"/>
      <c r="CJ989" s="113"/>
      <c r="CK989" s="113"/>
      <c r="CL989" s="113"/>
      <c r="CM989" s="113"/>
      <c r="CN989" s="113"/>
      <c r="CO989" s="113"/>
      <c r="CP989" s="113"/>
      <c r="CQ989" s="113"/>
      <c r="CR989" s="113"/>
      <c r="CS989" s="113"/>
      <c r="CT989" s="113"/>
      <c r="CU989" s="113"/>
    </row>
    <row r="990">
      <c r="A990" s="159"/>
      <c r="B990" s="113"/>
      <c r="C990" s="113"/>
      <c r="D990" s="158"/>
      <c r="E990" s="161"/>
      <c r="F990" s="160"/>
      <c r="G990" s="162"/>
      <c r="H990" s="159"/>
      <c r="I990" s="113"/>
      <c r="J990" s="113"/>
      <c r="K990" s="113"/>
      <c r="L990" s="158"/>
      <c r="M990" s="113"/>
      <c r="N990" s="113"/>
      <c r="O990" s="113"/>
      <c r="P990" s="113"/>
      <c r="Q990" s="113"/>
      <c r="R990" s="113"/>
      <c r="S990" s="113"/>
      <c r="T990" s="113"/>
      <c r="U990" s="113"/>
      <c r="V990" s="113"/>
      <c r="W990" s="113"/>
      <c r="X990" s="113"/>
      <c r="Y990" s="113"/>
      <c r="Z990" s="113"/>
      <c r="AA990" s="113"/>
      <c r="AB990" s="113"/>
      <c r="AC990" s="113"/>
      <c r="AD990" s="113"/>
      <c r="AE990" s="113"/>
      <c r="AF990" s="113"/>
      <c r="AG990" s="113"/>
      <c r="AH990" s="113"/>
      <c r="AI990" s="113"/>
      <c r="AJ990" s="113"/>
      <c r="AK990" s="113"/>
      <c r="AL990" s="113"/>
      <c r="AM990" s="113"/>
      <c r="AN990" s="113"/>
      <c r="AO990" s="113"/>
      <c r="AP990" s="113"/>
      <c r="AQ990" s="113"/>
      <c r="AR990" s="113"/>
      <c r="AS990" s="113"/>
      <c r="AT990" s="113"/>
      <c r="AU990" s="113"/>
      <c r="AV990" s="113"/>
      <c r="AW990" s="113"/>
      <c r="AX990" s="113"/>
      <c r="AY990" s="113"/>
      <c r="AZ990" s="113"/>
      <c r="BA990" s="113"/>
      <c r="BB990" s="113"/>
      <c r="BC990" s="113"/>
      <c r="BD990" s="113"/>
      <c r="BE990" s="113"/>
      <c r="BF990" s="113"/>
      <c r="BG990" s="113"/>
      <c r="BH990" s="113"/>
      <c r="BI990" s="113"/>
      <c r="BJ990" s="113"/>
      <c r="BK990" s="113"/>
      <c r="BL990" s="113"/>
      <c r="BM990" s="113"/>
      <c r="BN990" s="113"/>
      <c r="BO990" s="113"/>
      <c r="BP990" s="113"/>
      <c r="BQ990" s="113"/>
      <c r="BR990" s="113"/>
      <c r="BS990" s="113"/>
      <c r="BT990" s="113"/>
      <c r="BU990" s="113"/>
      <c r="BV990" s="113"/>
      <c r="BW990" s="113"/>
      <c r="BX990" s="113"/>
      <c r="BY990" s="113"/>
      <c r="BZ990" s="113"/>
      <c r="CA990" s="113"/>
      <c r="CB990" s="113"/>
      <c r="CC990" s="113"/>
      <c r="CD990" s="113"/>
      <c r="CE990" s="113"/>
      <c r="CF990" s="113"/>
      <c r="CG990" s="113"/>
      <c r="CH990" s="113"/>
      <c r="CI990" s="113"/>
      <c r="CJ990" s="113"/>
      <c r="CK990" s="113"/>
      <c r="CL990" s="113"/>
      <c r="CM990" s="113"/>
      <c r="CN990" s="113"/>
      <c r="CO990" s="113"/>
      <c r="CP990" s="113"/>
      <c r="CQ990" s="113"/>
      <c r="CR990" s="113"/>
      <c r="CS990" s="113"/>
      <c r="CT990" s="113"/>
      <c r="CU990" s="113"/>
    </row>
    <row r="991">
      <c r="A991" s="159"/>
      <c r="B991" s="113"/>
      <c r="C991" s="113"/>
      <c r="D991" s="158"/>
      <c r="E991" s="161"/>
      <c r="F991" s="160"/>
      <c r="G991" s="162"/>
      <c r="H991" s="159"/>
      <c r="I991" s="113"/>
      <c r="J991" s="113"/>
      <c r="K991" s="113"/>
      <c r="L991" s="158"/>
      <c r="M991" s="113"/>
      <c r="N991" s="113"/>
      <c r="O991" s="113"/>
      <c r="P991" s="113"/>
      <c r="Q991" s="113"/>
      <c r="R991" s="113"/>
      <c r="S991" s="113"/>
      <c r="T991" s="113"/>
      <c r="U991" s="113"/>
      <c r="V991" s="113"/>
      <c r="W991" s="113"/>
      <c r="X991" s="113"/>
      <c r="Y991" s="113"/>
      <c r="Z991" s="113"/>
      <c r="AA991" s="113"/>
      <c r="AB991" s="113"/>
      <c r="AC991" s="113"/>
      <c r="AD991" s="113"/>
      <c r="AE991" s="113"/>
      <c r="AF991" s="113"/>
      <c r="AG991" s="113"/>
      <c r="AH991" s="113"/>
      <c r="AI991" s="113"/>
      <c r="AJ991" s="113"/>
      <c r="AK991" s="113"/>
      <c r="AL991" s="113"/>
      <c r="AM991" s="113"/>
      <c r="AN991" s="113"/>
      <c r="AO991" s="113"/>
      <c r="AP991" s="113"/>
      <c r="AQ991" s="113"/>
      <c r="AR991" s="113"/>
      <c r="AS991" s="113"/>
      <c r="AT991" s="113"/>
      <c r="AU991" s="113"/>
      <c r="AV991" s="113"/>
      <c r="AW991" s="113"/>
      <c r="AX991" s="113"/>
      <c r="AY991" s="113"/>
      <c r="AZ991" s="113"/>
      <c r="BA991" s="113"/>
      <c r="BB991" s="113"/>
      <c r="BC991" s="113"/>
      <c r="BD991" s="113"/>
      <c r="BE991" s="113"/>
      <c r="BF991" s="113"/>
      <c r="BG991" s="113"/>
      <c r="BH991" s="113"/>
      <c r="BI991" s="113"/>
      <c r="BJ991" s="113"/>
      <c r="BK991" s="113"/>
      <c r="BL991" s="113"/>
      <c r="BM991" s="113"/>
      <c r="BN991" s="113"/>
      <c r="BO991" s="113"/>
      <c r="BP991" s="113"/>
      <c r="BQ991" s="113"/>
      <c r="BR991" s="113"/>
      <c r="BS991" s="113"/>
      <c r="BT991" s="113"/>
      <c r="BU991" s="113"/>
      <c r="BV991" s="113"/>
      <c r="BW991" s="113"/>
      <c r="BX991" s="113"/>
      <c r="BY991" s="113"/>
      <c r="BZ991" s="113"/>
      <c r="CA991" s="113"/>
      <c r="CB991" s="113"/>
      <c r="CC991" s="113"/>
      <c r="CD991" s="113"/>
      <c r="CE991" s="113"/>
      <c r="CF991" s="113"/>
      <c r="CG991" s="113"/>
      <c r="CH991" s="113"/>
      <c r="CI991" s="113"/>
      <c r="CJ991" s="113"/>
      <c r="CK991" s="113"/>
      <c r="CL991" s="113"/>
      <c r="CM991" s="113"/>
      <c r="CN991" s="113"/>
      <c r="CO991" s="113"/>
      <c r="CP991" s="113"/>
      <c r="CQ991" s="113"/>
      <c r="CR991" s="113"/>
      <c r="CS991" s="113"/>
      <c r="CT991" s="113"/>
      <c r="CU991" s="113"/>
    </row>
    <row r="992">
      <c r="A992" s="159"/>
      <c r="B992" s="113"/>
      <c r="C992" s="113"/>
      <c r="D992" s="158"/>
      <c r="E992" s="161"/>
      <c r="F992" s="160"/>
      <c r="G992" s="162"/>
      <c r="H992" s="159"/>
      <c r="I992" s="113"/>
      <c r="J992" s="113"/>
      <c r="K992" s="113"/>
      <c r="L992" s="158"/>
      <c r="M992" s="113"/>
      <c r="N992" s="113"/>
      <c r="O992" s="113"/>
      <c r="P992" s="113"/>
      <c r="Q992" s="113"/>
      <c r="R992" s="113"/>
      <c r="S992" s="113"/>
      <c r="T992" s="113"/>
      <c r="U992" s="113"/>
      <c r="V992" s="113"/>
      <c r="W992" s="113"/>
      <c r="X992" s="113"/>
      <c r="Y992" s="113"/>
      <c r="Z992" s="113"/>
      <c r="AA992" s="113"/>
      <c r="AB992" s="113"/>
      <c r="AC992" s="113"/>
      <c r="AD992" s="113"/>
      <c r="AE992" s="113"/>
      <c r="AF992" s="113"/>
      <c r="AG992" s="113"/>
      <c r="AH992" s="113"/>
      <c r="AI992" s="113"/>
      <c r="AJ992" s="113"/>
      <c r="AK992" s="113"/>
      <c r="AL992" s="113"/>
      <c r="AM992" s="113"/>
      <c r="AN992" s="113"/>
      <c r="AO992" s="113"/>
      <c r="AP992" s="113"/>
      <c r="AQ992" s="113"/>
      <c r="AR992" s="113"/>
      <c r="AS992" s="113"/>
      <c r="AT992" s="113"/>
      <c r="AU992" s="113"/>
      <c r="AV992" s="113"/>
      <c r="AW992" s="113"/>
      <c r="AX992" s="113"/>
      <c r="AY992" s="113"/>
      <c r="AZ992" s="113"/>
      <c r="BA992" s="113"/>
      <c r="BB992" s="113"/>
      <c r="BC992" s="113"/>
      <c r="BD992" s="113"/>
      <c r="BE992" s="113"/>
      <c r="BF992" s="113"/>
      <c r="BG992" s="113"/>
      <c r="BH992" s="113"/>
      <c r="BI992" s="113"/>
      <c r="BJ992" s="113"/>
      <c r="BK992" s="113"/>
      <c r="BL992" s="113"/>
      <c r="BM992" s="113"/>
      <c r="BN992" s="113"/>
      <c r="BO992" s="113"/>
      <c r="BP992" s="113"/>
      <c r="BQ992" s="113"/>
      <c r="BR992" s="113"/>
      <c r="BS992" s="113"/>
      <c r="BT992" s="113"/>
      <c r="BU992" s="113"/>
      <c r="BV992" s="113"/>
      <c r="BW992" s="113"/>
      <c r="BX992" s="113"/>
      <c r="BY992" s="113"/>
      <c r="BZ992" s="113"/>
      <c r="CA992" s="113"/>
      <c r="CB992" s="113"/>
      <c r="CC992" s="113"/>
      <c r="CD992" s="113"/>
      <c r="CE992" s="113"/>
      <c r="CF992" s="113"/>
      <c r="CG992" s="113"/>
      <c r="CH992" s="113"/>
      <c r="CI992" s="113"/>
      <c r="CJ992" s="113"/>
      <c r="CK992" s="113"/>
      <c r="CL992" s="113"/>
      <c r="CM992" s="113"/>
      <c r="CN992" s="113"/>
      <c r="CO992" s="113"/>
      <c r="CP992" s="113"/>
      <c r="CQ992" s="113"/>
      <c r="CR992" s="113"/>
      <c r="CS992" s="113"/>
      <c r="CT992" s="113"/>
      <c r="CU992" s="113"/>
    </row>
    <row r="993">
      <c r="A993" s="159"/>
      <c r="B993" s="113"/>
      <c r="C993" s="113"/>
      <c r="D993" s="158"/>
      <c r="E993" s="161"/>
      <c r="F993" s="160"/>
      <c r="G993" s="162"/>
      <c r="H993" s="159"/>
      <c r="I993" s="113"/>
      <c r="J993" s="113"/>
      <c r="K993" s="113"/>
      <c r="L993" s="158"/>
      <c r="M993" s="113"/>
      <c r="N993" s="113"/>
      <c r="O993" s="113"/>
      <c r="P993" s="113"/>
      <c r="Q993" s="113"/>
      <c r="R993" s="113"/>
      <c r="S993" s="113"/>
      <c r="T993" s="113"/>
      <c r="U993" s="113"/>
      <c r="V993" s="113"/>
      <c r="W993" s="113"/>
      <c r="X993" s="113"/>
      <c r="Y993" s="113"/>
      <c r="Z993" s="113"/>
      <c r="AA993" s="113"/>
      <c r="AB993" s="113"/>
      <c r="AC993" s="113"/>
      <c r="AD993" s="113"/>
      <c r="AE993" s="113"/>
      <c r="AF993" s="113"/>
      <c r="AG993" s="113"/>
      <c r="AH993" s="113"/>
      <c r="AI993" s="113"/>
      <c r="AJ993" s="113"/>
      <c r="AK993" s="113"/>
      <c r="AL993" s="113"/>
      <c r="AM993" s="113"/>
      <c r="AN993" s="113"/>
      <c r="AO993" s="113"/>
      <c r="AP993" s="113"/>
      <c r="AQ993" s="113"/>
      <c r="AR993" s="113"/>
      <c r="AS993" s="113"/>
      <c r="AT993" s="113"/>
      <c r="AU993" s="113"/>
      <c r="AV993" s="113"/>
      <c r="AW993" s="113"/>
      <c r="AX993" s="113"/>
      <c r="AY993" s="113"/>
      <c r="AZ993" s="113"/>
      <c r="BA993" s="113"/>
      <c r="BB993" s="113"/>
      <c r="BC993" s="113"/>
      <c r="BD993" s="113"/>
      <c r="BE993" s="113"/>
      <c r="BF993" s="113"/>
      <c r="BG993" s="113"/>
      <c r="BH993" s="113"/>
      <c r="BI993" s="113"/>
      <c r="BJ993" s="113"/>
      <c r="BK993" s="113"/>
      <c r="BL993" s="113"/>
      <c r="BM993" s="113"/>
      <c r="BN993" s="113"/>
      <c r="BO993" s="113"/>
      <c r="BP993" s="113"/>
      <c r="BQ993" s="113"/>
      <c r="BR993" s="113"/>
      <c r="BS993" s="113"/>
      <c r="BT993" s="113"/>
      <c r="BU993" s="113"/>
      <c r="BV993" s="113"/>
      <c r="BW993" s="113"/>
      <c r="BX993" s="113"/>
      <c r="BY993" s="113"/>
      <c r="BZ993" s="113"/>
      <c r="CA993" s="113"/>
      <c r="CB993" s="113"/>
      <c r="CC993" s="113"/>
      <c r="CD993" s="113"/>
      <c r="CE993" s="113"/>
      <c r="CF993" s="113"/>
      <c r="CG993" s="113"/>
      <c r="CH993" s="113"/>
      <c r="CI993" s="113"/>
      <c r="CJ993" s="113"/>
      <c r="CK993" s="113"/>
      <c r="CL993" s="113"/>
      <c r="CM993" s="113"/>
      <c r="CN993" s="113"/>
      <c r="CO993" s="113"/>
      <c r="CP993" s="113"/>
      <c r="CQ993" s="113"/>
      <c r="CR993" s="113"/>
      <c r="CS993" s="113"/>
      <c r="CT993" s="113"/>
      <c r="CU993" s="113"/>
    </row>
    <row r="994">
      <c r="A994" s="159"/>
      <c r="B994" s="113"/>
      <c r="C994" s="113"/>
      <c r="D994" s="158"/>
      <c r="E994" s="161"/>
      <c r="F994" s="160"/>
      <c r="G994" s="162"/>
      <c r="H994" s="159"/>
      <c r="I994" s="113"/>
      <c r="J994" s="113"/>
      <c r="K994" s="113"/>
      <c r="L994" s="158"/>
      <c r="M994" s="113"/>
      <c r="N994" s="113"/>
      <c r="O994" s="113"/>
      <c r="P994" s="113"/>
      <c r="Q994" s="113"/>
      <c r="R994" s="113"/>
      <c r="S994" s="113"/>
      <c r="T994" s="113"/>
      <c r="U994" s="113"/>
      <c r="V994" s="113"/>
      <c r="W994" s="113"/>
      <c r="X994" s="113"/>
      <c r="Y994" s="113"/>
      <c r="Z994" s="113"/>
      <c r="AA994" s="113"/>
      <c r="AB994" s="113"/>
      <c r="AC994" s="113"/>
      <c r="AD994" s="113"/>
      <c r="AE994" s="113"/>
      <c r="AF994" s="113"/>
      <c r="AG994" s="113"/>
      <c r="AH994" s="113"/>
      <c r="AI994" s="113"/>
      <c r="AJ994" s="113"/>
      <c r="AK994" s="113"/>
      <c r="AL994" s="113"/>
      <c r="AM994" s="113"/>
      <c r="AN994" s="113"/>
      <c r="AO994" s="113"/>
      <c r="AP994" s="113"/>
      <c r="AQ994" s="113"/>
      <c r="AR994" s="113"/>
      <c r="AS994" s="113"/>
      <c r="AT994" s="113"/>
      <c r="AU994" s="113"/>
      <c r="AV994" s="113"/>
      <c r="AW994" s="113"/>
      <c r="AX994" s="113"/>
      <c r="AY994" s="113"/>
      <c r="AZ994" s="113"/>
      <c r="BA994" s="113"/>
      <c r="BB994" s="113"/>
      <c r="BC994" s="113"/>
      <c r="BD994" s="113"/>
      <c r="BE994" s="113"/>
      <c r="BF994" s="113"/>
      <c r="BG994" s="113"/>
      <c r="BH994" s="113"/>
      <c r="BI994" s="113"/>
      <c r="BJ994" s="113"/>
      <c r="BK994" s="113"/>
      <c r="BL994" s="113"/>
      <c r="BM994" s="113"/>
      <c r="BN994" s="113"/>
      <c r="BO994" s="113"/>
      <c r="BP994" s="113"/>
      <c r="BQ994" s="113"/>
      <c r="BR994" s="113"/>
      <c r="BS994" s="113"/>
      <c r="BT994" s="113"/>
      <c r="BU994" s="113"/>
      <c r="BV994" s="113"/>
      <c r="BW994" s="113"/>
      <c r="BX994" s="113"/>
      <c r="BY994" s="113"/>
      <c r="BZ994" s="113"/>
      <c r="CA994" s="113"/>
      <c r="CB994" s="113"/>
      <c r="CC994" s="113"/>
      <c r="CD994" s="113"/>
      <c r="CE994" s="113"/>
      <c r="CF994" s="113"/>
      <c r="CG994" s="113"/>
      <c r="CH994" s="113"/>
      <c r="CI994" s="113"/>
      <c r="CJ994" s="113"/>
      <c r="CK994" s="113"/>
      <c r="CL994" s="113"/>
      <c r="CM994" s="113"/>
      <c r="CN994" s="113"/>
      <c r="CO994" s="113"/>
      <c r="CP994" s="113"/>
      <c r="CQ994" s="113"/>
      <c r="CR994" s="113"/>
      <c r="CS994" s="113"/>
      <c r="CT994" s="113"/>
      <c r="CU994" s="113"/>
    </row>
    <row r="995">
      <c r="A995" s="159"/>
      <c r="B995" s="113"/>
      <c r="C995" s="113"/>
      <c r="D995" s="158"/>
      <c r="E995" s="161"/>
      <c r="F995" s="160"/>
      <c r="G995" s="162"/>
      <c r="H995" s="159"/>
      <c r="I995" s="113"/>
      <c r="J995" s="113"/>
      <c r="K995" s="113"/>
      <c r="L995" s="158"/>
      <c r="M995" s="113"/>
      <c r="N995" s="113"/>
      <c r="O995" s="113"/>
      <c r="P995" s="113"/>
      <c r="Q995" s="113"/>
      <c r="R995" s="113"/>
      <c r="S995" s="113"/>
      <c r="T995" s="113"/>
      <c r="U995" s="113"/>
      <c r="V995" s="113"/>
      <c r="W995" s="113"/>
      <c r="X995" s="113"/>
      <c r="Y995" s="113"/>
      <c r="Z995" s="113"/>
      <c r="AA995" s="113"/>
      <c r="AB995" s="113"/>
      <c r="AC995" s="113"/>
      <c r="AD995" s="113"/>
      <c r="AE995" s="113"/>
      <c r="AF995" s="113"/>
      <c r="AG995" s="113"/>
      <c r="AH995" s="113"/>
      <c r="AI995" s="113"/>
      <c r="AJ995" s="113"/>
      <c r="AK995" s="113"/>
      <c r="AL995" s="113"/>
      <c r="AM995" s="113"/>
      <c r="AN995" s="113"/>
      <c r="AO995" s="113"/>
      <c r="AP995" s="113"/>
      <c r="AQ995" s="113"/>
      <c r="AR995" s="113"/>
      <c r="AS995" s="113"/>
      <c r="AT995" s="113"/>
      <c r="AU995" s="113"/>
      <c r="AV995" s="113"/>
      <c r="AW995" s="113"/>
      <c r="AX995" s="113"/>
      <c r="AY995" s="113"/>
      <c r="AZ995" s="113"/>
      <c r="BA995" s="113"/>
      <c r="BB995" s="113"/>
      <c r="BC995" s="113"/>
      <c r="BD995" s="113"/>
      <c r="BE995" s="113"/>
      <c r="BF995" s="113"/>
      <c r="BG995" s="113"/>
      <c r="BH995" s="113"/>
      <c r="BI995" s="113"/>
      <c r="BJ995" s="113"/>
      <c r="BK995" s="113"/>
      <c r="BL995" s="113"/>
      <c r="BM995" s="113"/>
      <c r="BN995" s="113"/>
      <c r="BO995" s="113"/>
      <c r="BP995" s="113"/>
      <c r="BQ995" s="113"/>
      <c r="BR995" s="113"/>
      <c r="BS995" s="113"/>
      <c r="BT995" s="113"/>
      <c r="BU995" s="113"/>
      <c r="BV995" s="113"/>
      <c r="BW995" s="113"/>
      <c r="BX995" s="113"/>
      <c r="BY995" s="113"/>
      <c r="BZ995" s="113"/>
      <c r="CA995" s="113"/>
      <c r="CB995" s="113"/>
      <c r="CC995" s="113"/>
      <c r="CD995" s="113"/>
      <c r="CE995" s="113"/>
      <c r="CF995" s="113"/>
      <c r="CG995" s="113"/>
      <c r="CH995" s="113"/>
      <c r="CI995" s="113"/>
      <c r="CJ995" s="113"/>
      <c r="CK995" s="113"/>
      <c r="CL995" s="113"/>
      <c r="CM995" s="113"/>
      <c r="CN995" s="113"/>
      <c r="CO995" s="113"/>
      <c r="CP995" s="113"/>
      <c r="CQ995" s="113"/>
      <c r="CR995" s="113"/>
      <c r="CS995" s="113"/>
      <c r="CT995" s="113"/>
      <c r="CU995" s="113"/>
    </row>
    <row r="996">
      <c r="A996" s="159"/>
      <c r="B996" s="113"/>
      <c r="C996" s="113"/>
      <c r="D996" s="158"/>
      <c r="E996" s="161"/>
      <c r="F996" s="160"/>
      <c r="G996" s="162"/>
      <c r="H996" s="159"/>
      <c r="I996" s="113"/>
      <c r="J996" s="113"/>
      <c r="K996" s="113"/>
      <c r="L996" s="158"/>
      <c r="M996" s="113"/>
      <c r="N996" s="113"/>
      <c r="O996" s="113"/>
      <c r="P996" s="113"/>
      <c r="Q996" s="113"/>
      <c r="R996" s="113"/>
      <c r="S996" s="113"/>
      <c r="T996" s="113"/>
      <c r="U996" s="113"/>
      <c r="V996" s="113"/>
      <c r="W996" s="113"/>
      <c r="X996" s="113"/>
      <c r="Y996" s="113"/>
      <c r="Z996" s="113"/>
      <c r="AA996" s="113"/>
      <c r="AB996" s="113"/>
      <c r="AC996" s="113"/>
      <c r="AD996" s="113"/>
      <c r="AE996" s="113"/>
      <c r="AF996" s="113"/>
      <c r="AG996" s="113"/>
      <c r="AH996" s="113"/>
      <c r="AI996" s="113"/>
      <c r="AJ996" s="113"/>
      <c r="AK996" s="113"/>
      <c r="AL996" s="113"/>
      <c r="AM996" s="113"/>
      <c r="AN996" s="113"/>
      <c r="AO996" s="113"/>
      <c r="AP996" s="113"/>
      <c r="AQ996" s="113"/>
      <c r="AR996" s="113"/>
      <c r="AS996" s="113"/>
      <c r="AT996" s="113"/>
      <c r="AU996" s="113"/>
      <c r="AV996" s="113"/>
      <c r="AW996" s="113"/>
      <c r="AX996" s="113"/>
      <c r="AY996" s="113"/>
      <c r="AZ996" s="113"/>
      <c r="BA996" s="113"/>
      <c r="BB996" s="113"/>
      <c r="BC996" s="113"/>
      <c r="BD996" s="113"/>
      <c r="BE996" s="113"/>
      <c r="BF996" s="113"/>
      <c r="BG996" s="113"/>
      <c r="BH996" s="113"/>
      <c r="BI996" s="113"/>
      <c r="BJ996" s="113"/>
      <c r="BK996" s="113"/>
      <c r="BL996" s="113"/>
      <c r="BM996" s="113"/>
      <c r="BN996" s="113"/>
      <c r="BO996" s="113"/>
      <c r="BP996" s="113"/>
      <c r="BQ996" s="113"/>
      <c r="BR996" s="113"/>
      <c r="BS996" s="113"/>
      <c r="BT996" s="113"/>
      <c r="BU996" s="113"/>
      <c r="BV996" s="113"/>
      <c r="BW996" s="113"/>
      <c r="BX996" s="113"/>
      <c r="BY996" s="113"/>
      <c r="BZ996" s="113"/>
      <c r="CA996" s="113"/>
      <c r="CB996" s="113"/>
      <c r="CC996" s="113"/>
      <c r="CD996" s="113"/>
      <c r="CE996" s="113"/>
      <c r="CF996" s="113"/>
      <c r="CG996" s="113"/>
      <c r="CH996" s="113"/>
      <c r="CI996" s="113"/>
      <c r="CJ996" s="113"/>
      <c r="CK996" s="113"/>
      <c r="CL996" s="113"/>
      <c r="CM996" s="113"/>
      <c r="CN996" s="113"/>
      <c r="CO996" s="113"/>
      <c r="CP996" s="113"/>
      <c r="CQ996" s="113"/>
      <c r="CR996" s="113"/>
      <c r="CS996" s="113"/>
      <c r="CT996" s="113"/>
      <c r="CU996" s="113"/>
    </row>
    <row r="997">
      <c r="A997" s="159"/>
      <c r="B997" s="113"/>
      <c r="C997" s="113"/>
      <c r="D997" s="158"/>
      <c r="E997" s="161"/>
      <c r="F997" s="160"/>
      <c r="G997" s="162"/>
      <c r="H997" s="159"/>
      <c r="I997" s="113"/>
      <c r="J997" s="113"/>
      <c r="K997" s="113"/>
      <c r="L997" s="158"/>
      <c r="M997" s="113"/>
      <c r="N997" s="113"/>
      <c r="O997" s="113"/>
      <c r="P997" s="113"/>
      <c r="Q997" s="113"/>
      <c r="R997" s="113"/>
      <c r="S997" s="113"/>
      <c r="T997" s="113"/>
      <c r="U997" s="113"/>
      <c r="V997" s="113"/>
      <c r="W997" s="113"/>
      <c r="X997" s="113"/>
      <c r="Y997" s="113"/>
      <c r="Z997" s="113"/>
      <c r="AA997" s="113"/>
      <c r="AB997" s="113"/>
      <c r="AC997" s="113"/>
      <c r="AD997" s="113"/>
      <c r="AE997" s="113"/>
      <c r="AF997" s="113"/>
      <c r="AG997" s="113"/>
      <c r="AH997" s="113"/>
      <c r="AI997" s="113"/>
      <c r="AJ997" s="113"/>
      <c r="AK997" s="113"/>
      <c r="AL997" s="113"/>
      <c r="AM997" s="113"/>
      <c r="AN997" s="113"/>
      <c r="AO997" s="113"/>
      <c r="AP997" s="113"/>
      <c r="AQ997" s="113"/>
      <c r="AR997" s="113"/>
      <c r="AS997" s="113"/>
      <c r="AT997" s="113"/>
      <c r="AU997" s="113"/>
      <c r="AV997" s="113"/>
      <c r="AW997" s="113"/>
      <c r="AX997" s="113"/>
      <c r="AY997" s="113"/>
      <c r="AZ997" s="113"/>
      <c r="BA997" s="113"/>
      <c r="BB997" s="113"/>
      <c r="BC997" s="113"/>
      <c r="BD997" s="113"/>
      <c r="BE997" s="113"/>
      <c r="BF997" s="113"/>
      <c r="BG997" s="113"/>
      <c r="BH997" s="113"/>
      <c r="BI997" s="113"/>
      <c r="BJ997" s="113"/>
      <c r="BK997" s="113"/>
      <c r="BL997" s="113"/>
      <c r="BM997" s="113"/>
      <c r="BN997" s="113"/>
      <c r="BO997" s="113"/>
      <c r="BP997" s="113"/>
      <c r="BQ997" s="113"/>
      <c r="BR997" s="113"/>
      <c r="BS997" s="113"/>
      <c r="BT997" s="113"/>
      <c r="BU997" s="113"/>
      <c r="BV997" s="113"/>
      <c r="BW997" s="113"/>
      <c r="BX997" s="113"/>
      <c r="BY997" s="113"/>
      <c r="BZ997" s="113"/>
      <c r="CA997" s="113"/>
      <c r="CB997" s="113"/>
      <c r="CC997" s="113"/>
      <c r="CD997" s="113"/>
      <c r="CE997" s="113"/>
      <c r="CF997" s="113"/>
      <c r="CG997" s="113"/>
      <c r="CH997" s="113"/>
      <c r="CI997" s="113"/>
      <c r="CJ997" s="113"/>
      <c r="CK997" s="113"/>
      <c r="CL997" s="113"/>
      <c r="CM997" s="113"/>
      <c r="CN997" s="113"/>
      <c r="CO997" s="113"/>
      <c r="CP997" s="113"/>
      <c r="CQ997" s="113"/>
      <c r="CR997" s="113"/>
      <c r="CS997" s="113"/>
      <c r="CT997" s="113"/>
      <c r="CU997" s="113"/>
    </row>
    <row r="998">
      <c r="A998" s="159"/>
      <c r="B998" s="113"/>
      <c r="C998" s="113"/>
      <c r="D998" s="158"/>
      <c r="E998" s="161"/>
      <c r="F998" s="160"/>
      <c r="G998" s="162"/>
      <c r="H998" s="159"/>
      <c r="I998" s="113"/>
      <c r="J998" s="113"/>
      <c r="K998" s="113"/>
      <c r="L998" s="158"/>
      <c r="M998" s="113"/>
      <c r="N998" s="113"/>
      <c r="O998" s="113"/>
      <c r="P998" s="113"/>
      <c r="Q998" s="113"/>
      <c r="R998" s="113"/>
      <c r="S998" s="113"/>
      <c r="T998" s="113"/>
      <c r="U998" s="113"/>
      <c r="V998" s="113"/>
      <c r="W998" s="113"/>
      <c r="X998" s="113"/>
      <c r="Y998" s="113"/>
      <c r="Z998" s="113"/>
      <c r="AA998" s="113"/>
      <c r="AB998" s="113"/>
      <c r="AC998" s="113"/>
      <c r="AD998" s="113"/>
      <c r="AE998" s="113"/>
      <c r="AF998" s="113"/>
      <c r="AG998" s="113"/>
      <c r="AH998" s="113"/>
      <c r="AI998" s="113"/>
      <c r="AJ998" s="113"/>
      <c r="AK998" s="113"/>
      <c r="AL998" s="113"/>
      <c r="AM998" s="113"/>
      <c r="AN998" s="113"/>
      <c r="AO998" s="113"/>
      <c r="AP998" s="113"/>
      <c r="AQ998" s="113"/>
      <c r="AR998" s="113"/>
      <c r="AS998" s="113"/>
      <c r="AT998" s="113"/>
      <c r="AU998" s="113"/>
      <c r="AV998" s="113"/>
      <c r="AW998" s="113"/>
      <c r="AX998" s="113"/>
      <c r="AY998" s="113"/>
      <c r="AZ998" s="113"/>
      <c r="BA998" s="113"/>
      <c r="BB998" s="113"/>
      <c r="BC998" s="113"/>
      <c r="BD998" s="113"/>
      <c r="BE998" s="113"/>
      <c r="BF998" s="113"/>
      <c r="BG998" s="113"/>
      <c r="BH998" s="113"/>
      <c r="BI998" s="113"/>
      <c r="BJ998" s="113"/>
      <c r="BK998" s="113"/>
      <c r="BL998" s="113"/>
      <c r="BM998" s="113"/>
      <c r="BN998" s="113"/>
      <c r="BO998" s="113"/>
      <c r="BP998" s="113"/>
      <c r="BQ998" s="113"/>
      <c r="BR998" s="113"/>
      <c r="BS998" s="113"/>
      <c r="BT998" s="113"/>
      <c r="BU998" s="113"/>
      <c r="BV998" s="113"/>
      <c r="BW998" s="113"/>
      <c r="BX998" s="113"/>
      <c r="BY998" s="113"/>
      <c r="BZ998" s="113"/>
      <c r="CA998" s="113"/>
      <c r="CB998" s="113"/>
      <c r="CC998" s="113"/>
      <c r="CD998" s="113"/>
      <c r="CE998" s="113"/>
      <c r="CF998" s="113"/>
      <c r="CG998" s="113"/>
      <c r="CH998" s="113"/>
      <c r="CI998" s="113"/>
      <c r="CJ998" s="113"/>
      <c r="CK998" s="113"/>
      <c r="CL998" s="113"/>
      <c r="CM998" s="113"/>
      <c r="CN998" s="113"/>
      <c r="CO998" s="113"/>
      <c r="CP998" s="113"/>
      <c r="CQ998" s="113"/>
      <c r="CR998" s="113"/>
      <c r="CS998" s="113"/>
      <c r="CT998" s="113"/>
      <c r="CU998" s="113"/>
    </row>
    <row r="999">
      <c r="A999" s="159"/>
      <c r="B999" s="113"/>
      <c r="C999" s="113"/>
      <c r="D999" s="158"/>
      <c r="E999" s="161"/>
      <c r="F999" s="160"/>
      <c r="G999" s="162"/>
      <c r="H999" s="159"/>
      <c r="I999" s="113"/>
      <c r="J999" s="113"/>
      <c r="K999" s="113"/>
      <c r="L999" s="158"/>
      <c r="M999" s="113"/>
      <c r="N999" s="113"/>
      <c r="O999" s="113"/>
      <c r="P999" s="113"/>
      <c r="Q999" s="113"/>
      <c r="R999" s="113"/>
      <c r="S999" s="113"/>
      <c r="T999" s="113"/>
      <c r="U999" s="113"/>
      <c r="V999" s="113"/>
      <c r="W999" s="113"/>
      <c r="X999" s="113"/>
      <c r="Y999" s="113"/>
      <c r="Z999" s="113"/>
      <c r="AA999" s="113"/>
      <c r="AB999" s="113"/>
      <c r="AC999" s="113"/>
      <c r="AD999" s="113"/>
      <c r="AE999" s="113"/>
      <c r="AF999" s="113"/>
      <c r="AG999" s="113"/>
      <c r="AH999" s="113"/>
      <c r="AI999" s="113"/>
      <c r="AJ999" s="113"/>
      <c r="AK999" s="113"/>
      <c r="AL999" s="113"/>
      <c r="AM999" s="113"/>
      <c r="AN999" s="113"/>
      <c r="AO999" s="113"/>
      <c r="AP999" s="113"/>
      <c r="AQ999" s="113"/>
      <c r="AR999" s="113"/>
      <c r="AS999" s="113"/>
      <c r="AT999" s="113"/>
      <c r="AU999" s="113"/>
      <c r="AV999" s="113"/>
      <c r="AW999" s="113"/>
      <c r="AX999" s="113"/>
      <c r="AY999" s="113"/>
      <c r="AZ999" s="113"/>
      <c r="BA999" s="113"/>
      <c r="BB999" s="113"/>
      <c r="BC999" s="113"/>
      <c r="BD999" s="113"/>
      <c r="BE999" s="113"/>
      <c r="BF999" s="113"/>
      <c r="BG999" s="113"/>
      <c r="BH999" s="113"/>
      <c r="BI999" s="113"/>
      <c r="BJ999" s="113"/>
      <c r="BK999" s="113"/>
      <c r="BL999" s="113"/>
      <c r="BM999" s="113"/>
      <c r="BN999" s="113"/>
      <c r="BO999" s="113"/>
      <c r="BP999" s="113"/>
      <c r="BQ999" s="113"/>
      <c r="BR999" s="113"/>
      <c r="BS999" s="113"/>
      <c r="BT999" s="113"/>
      <c r="BU999" s="113"/>
      <c r="BV999" s="113"/>
      <c r="BW999" s="113"/>
      <c r="BX999" s="113"/>
      <c r="BY999" s="113"/>
      <c r="BZ999" s="113"/>
      <c r="CA999" s="113"/>
      <c r="CB999" s="113"/>
      <c r="CC999" s="113"/>
      <c r="CD999" s="113"/>
      <c r="CE999" s="113"/>
      <c r="CF999" s="113"/>
      <c r="CG999" s="113"/>
      <c r="CH999" s="113"/>
      <c r="CI999" s="113"/>
      <c r="CJ999" s="113"/>
      <c r="CK999" s="113"/>
      <c r="CL999" s="113"/>
      <c r="CM999" s="113"/>
      <c r="CN999" s="113"/>
      <c r="CO999" s="113"/>
      <c r="CP999" s="113"/>
      <c r="CQ999" s="113"/>
      <c r="CR999" s="113"/>
      <c r="CS999" s="113"/>
      <c r="CT999" s="113"/>
      <c r="CU999" s="113"/>
    </row>
  </sheetData>
  <conditionalFormatting sqref="E2:E999">
    <cfRule type="notContainsBlanks" dxfId="11" priority="1">
      <formula>LEN(TRIM(E2))&gt;0</formula>
    </cfRule>
  </conditionalFormatting>
  <conditionalFormatting sqref="G2:G999">
    <cfRule type="cellIs" dxfId="5" priority="2" operator="equal">
      <formula>"0%"</formula>
    </cfRule>
  </conditionalFormatting>
  <conditionalFormatting sqref="G2:G999">
    <cfRule type="cellIs" dxfId="1" priority="3" operator="between">
      <formula>"0%"</formula>
      <formula>"69.99%"</formula>
    </cfRule>
  </conditionalFormatting>
  <conditionalFormatting sqref="G2:G999">
    <cfRule type="cellIs" dxfId="2" priority="4" operator="between">
      <formula>"70%"</formula>
      <formula>"100%"</formula>
    </cfRule>
  </conditionalFormatting>
  <conditionalFormatting sqref="G2:G999">
    <cfRule type="cellIs" dxfId="4" priority="5" operator="greaterThan">
      <formula>"100%"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2" max="2" width="17.0"/>
    <col customWidth="1" min="3" max="3" width="27.71"/>
    <col customWidth="1" min="4" max="4" width="10.71"/>
    <col customWidth="1" min="5" max="5" width="35.71"/>
    <col customWidth="1" min="6" max="6" width="24.14"/>
    <col customWidth="1" min="7" max="7" width="24.71"/>
    <col customWidth="1" min="12" max="12" width="40.0"/>
    <col customWidth="1" min="23" max="23" width="44.14"/>
    <col customWidth="1" min="24" max="24" width="28.29"/>
    <col customWidth="1" min="26" max="26" width="18.14"/>
    <col customWidth="1" min="35" max="37" width="27.71"/>
    <col customWidth="1" min="39" max="39" width="62.29"/>
  </cols>
  <sheetData>
    <row r="1" ht="26.25" customHeight="1">
      <c r="A1" s="173" t="s">
        <v>719</v>
      </c>
      <c r="B1" s="174" t="s">
        <v>720</v>
      </c>
      <c r="C1" s="174" t="s">
        <v>5</v>
      </c>
      <c r="D1" s="175" t="s">
        <v>721</v>
      </c>
      <c r="E1" s="176" t="s">
        <v>722</v>
      </c>
      <c r="F1" s="177" t="s">
        <v>723</v>
      </c>
      <c r="G1" s="178" t="s">
        <v>724</v>
      </c>
      <c r="H1" s="175" t="s">
        <v>725</v>
      </c>
      <c r="I1" s="175" t="s">
        <v>726</v>
      </c>
      <c r="J1" s="175" t="s">
        <v>727</v>
      </c>
      <c r="K1" s="175" t="s">
        <v>728</v>
      </c>
      <c r="L1" s="175" t="s">
        <v>729</v>
      </c>
      <c r="M1" s="175" t="s">
        <v>730</v>
      </c>
      <c r="N1" s="175" t="s">
        <v>731</v>
      </c>
      <c r="O1" s="175" t="s">
        <v>732</v>
      </c>
      <c r="P1" s="175" t="s">
        <v>733</v>
      </c>
      <c r="Q1" s="175" t="s">
        <v>734</v>
      </c>
      <c r="R1" s="175" t="s">
        <v>735</v>
      </c>
      <c r="S1" s="175" t="s">
        <v>736</v>
      </c>
      <c r="T1" s="175" t="s">
        <v>737</v>
      </c>
      <c r="U1" s="175" t="s">
        <v>738</v>
      </c>
      <c r="V1" s="175" t="s">
        <v>24</v>
      </c>
      <c r="W1" s="175" t="s">
        <v>25</v>
      </c>
      <c r="X1" s="175" t="s">
        <v>50</v>
      </c>
      <c r="Y1" s="175" t="s">
        <v>739</v>
      </c>
      <c r="Z1" s="175" t="s">
        <v>740</v>
      </c>
      <c r="AA1" s="175" t="s">
        <v>741</v>
      </c>
      <c r="AB1" s="179"/>
      <c r="AC1" s="179"/>
      <c r="AD1" s="179"/>
      <c r="AE1" s="179"/>
      <c r="AF1" s="179"/>
      <c r="AG1" s="179"/>
      <c r="AH1" s="179"/>
      <c r="AI1" s="180"/>
      <c r="AJ1" s="179"/>
      <c r="AK1" s="181"/>
      <c r="AL1" s="179"/>
      <c r="AM1" s="179"/>
      <c r="AN1" s="179"/>
      <c r="AO1" s="179"/>
      <c r="AP1" s="179"/>
      <c r="AQ1" s="179"/>
      <c r="AR1" s="179"/>
      <c r="AS1" s="179"/>
      <c r="AT1" s="179"/>
      <c r="AU1" s="179"/>
      <c r="AV1" s="179"/>
      <c r="AW1" s="179"/>
      <c r="AX1" s="179"/>
      <c r="AY1" s="179"/>
      <c r="AZ1" s="179"/>
      <c r="BA1" s="179"/>
      <c r="BB1" s="179"/>
      <c r="BC1" s="179"/>
      <c r="BD1" s="179"/>
      <c r="BE1" s="179"/>
      <c r="BF1" s="179"/>
      <c r="BG1" s="179"/>
      <c r="BH1" s="179"/>
      <c r="BI1" s="179"/>
      <c r="BJ1" s="179"/>
      <c r="BK1" s="179"/>
      <c r="BL1" s="179"/>
      <c r="BM1" s="179"/>
      <c r="BN1" s="179"/>
      <c r="BO1" s="179"/>
      <c r="BP1" s="179"/>
      <c r="BQ1" s="179"/>
      <c r="BR1" s="179"/>
      <c r="BS1" s="179"/>
      <c r="BT1" s="179"/>
      <c r="BU1" s="179"/>
      <c r="BV1" s="179"/>
      <c r="BW1" s="179"/>
      <c r="BX1" s="179"/>
      <c r="BY1" s="179"/>
      <c r="BZ1" s="179"/>
      <c r="CA1" s="179"/>
      <c r="CB1" s="179"/>
      <c r="CC1" s="179"/>
      <c r="CD1" s="179"/>
      <c r="CE1" s="179"/>
      <c r="CF1" s="179"/>
      <c r="CG1" s="179"/>
      <c r="CH1" s="182"/>
      <c r="CI1" s="183"/>
      <c r="CJ1" s="183"/>
      <c r="CK1" s="183"/>
      <c r="CL1" s="183"/>
      <c r="CM1" s="183"/>
      <c r="CN1" s="183"/>
      <c r="CO1" s="183"/>
      <c r="CP1" s="183"/>
      <c r="CQ1" s="183"/>
      <c r="CR1" s="183"/>
      <c r="CS1" s="183"/>
      <c r="CT1" s="183"/>
    </row>
    <row r="2" ht="26.25" customHeight="1">
      <c r="A2" s="184" t="s">
        <v>61</v>
      </c>
      <c r="B2" s="184" t="s">
        <v>742</v>
      </c>
      <c r="C2" s="184" t="s">
        <v>605</v>
      </c>
      <c r="D2" s="185" t="s">
        <v>743</v>
      </c>
      <c r="E2" s="186" t="s">
        <v>744</v>
      </c>
      <c r="F2" s="187" t="s">
        <v>745</v>
      </c>
      <c r="G2" s="188">
        <v>0.3784722222222222</v>
      </c>
      <c r="H2" s="189" t="s">
        <v>746</v>
      </c>
      <c r="I2" s="189" t="s">
        <v>747</v>
      </c>
      <c r="J2" s="189" t="s">
        <v>748</v>
      </c>
      <c r="K2" s="189" t="s">
        <v>749</v>
      </c>
      <c r="L2" s="189" t="s">
        <v>750</v>
      </c>
      <c r="M2" s="185" t="s">
        <v>751</v>
      </c>
      <c r="N2" s="189" t="s">
        <v>752</v>
      </c>
      <c r="O2" s="185" t="s">
        <v>753</v>
      </c>
      <c r="P2" s="190"/>
      <c r="Q2" s="190"/>
      <c r="R2" s="190"/>
      <c r="S2" s="190"/>
      <c r="T2" s="190"/>
      <c r="U2" s="190"/>
      <c r="V2" s="189" t="s">
        <v>754</v>
      </c>
      <c r="W2" s="189" t="s">
        <v>755</v>
      </c>
      <c r="X2" s="185" t="s">
        <v>756</v>
      </c>
      <c r="Y2" s="189" t="s">
        <v>753</v>
      </c>
      <c r="Z2" s="190"/>
      <c r="AA2" s="189" t="s">
        <v>757</v>
      </c>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191"/>
      <c r="BC2" s="191"/>
      <c r="BD2" s="191"/>
      <c r="BE2" s="191"/>
      <c r="BF2" s="191"/>
      <c r="BG2" s="191"/>
      <c r="BH2" s="191"/>
      <c r="BI2" s="191"/>
      <c r="BJ2" s="191"/>
      <c r="BK2" s="191"/>
      <c r="BL2" s="191"/>
      <c r="BM2" s="191"/>
      <c r="BN2" s="191"/>
      <c r="BO2" s="191"/>
      <c r="BP2" s="191"/>
      <c r="BQ2" s="191"/>
      <c r="BR2" s="191"/>
      <c r="BS2" s="191"/>
      <c r="BT2" s="191"/>
      <c r="BU2" s="191"/>
      <c r="BV2" s="191"/>
      <c r="BW2" s="191"/>
      <c r="BX2" s="191"/>
      <c r="BY2" s="191"/>
      <c r="BZ2" s="191"/>
      <c r="CA2" s="191"/>
      <c r="CB2" s="191"/>
      <c r="CC2" s="191"/>
      <c r="CD2" s="191"/>
      <c r="CE2" s="191"/>
      <c r="CF2" s="191"/>
      <c r="CG2" s="191"/>
      <c r="CH2" s="192"/>
      <c r="CI2" s="192"/>
      <c r="CJ2" s="192"/>
      <c r="CK2" s="192"/>
      <c r="CL2" s="192"/>
      <c r="CM2" s="192"/>
      <c r="CN2" s="192"/>
      <c r="CO2" s="192"/>
      <c r="CP2" s="192"/>
      <c r="CQ2" s="192"/>
      <c r="CR2" s="192"/>
      <c r="CS2" s="192"/>
      <c r="CT2" s="192"/>
    </row>
    <row r="3" ht="26.25" customHeight="1">
      <c r="A3" s="184" t="s">
        <v>63</v>
      </c>
      <c r="B3" s="184" t="s">
        <v>742</v>
      </c>
      <c r="C3" s="184" t="s">
        <v>605</v>
      </c>
      <c r="D3" s="185" t="s">
        <v>743</v>
      </c>
      <c r="E3" s="186" t="s">
        <v>744</v>
      </c>
      <c r="F3" s="187" t="s">
        <v>745</v>
      </c>
      <c r="G3" s="188">
        <v>0.3923611111111111</v>
      </c>
      <c r="H3" s="189" t="s">
        <v>758</v>
      </c>
      <c r="I3" s="189" t="s">
        <v>759</v>
      </c>
      <c r="J3" s="189" t="s">
        <v>760</v>
      </c>
      <c r="K3" s="189" t="s">
        <v>761</v>
      </c>
      <c r="L3" s="189" t="s">
        <v>762</v>
      </c>
      <c r="M3" s="185" t="s">
        <v>763</v>
      </c>
      <c r="N3" s="189" t="s">
        <v>752</v>
      </c>
      <c r="O3" s="185" t="s">
        <v>764</v>
      </c>
      <c r="P3" s="190"/>
      <c r="Q3" s="190"/>
      <c r="R3" s="190"/>
      <c r="S3" s="190"/>
      <c r="T3" s="190"/>
      <c r="U3" s="190"/>
      <c r="V3" s="189" t="s">
        <v>765</v>
      </c>
      <c r="W3" s="189" t="s">
        <v>766</v>
      </c>
      <c r="X3" s="185" t="s">
        <v>767</v>
      </c>
      <c r="Y3" s="189" t="s">
        <v>764</v>
      </c>
      <c r="Z3" s="190"/>
      <c r="AA3" s="189" t="s">
        <v>757</v>
      </c>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1"/>
      <c r="BA3" s="191"/>
      <c r="BB3" s="191"/>
      <c r="BC3" s="191"/>
      <c r="BD3" s="191"/>
      <c r="BE3" s="191"/>
      <c r="BF3" s="191"/>
      <c r="BG3" s="191"/>
      <c r="BH3" s="191"/>
      <c r="BI3" s="191"/>
      <c r="BJ3" s="191"/>
      <c r="BK3" s="191"/>
      <c r="BL3" s="191"/>
      <c r="BM3" s="191"/>
      <c r="BN3" s="191"/>
      <c r="BO3" s="191"/>
      <c r="BP3" s="191"/>
      <c r="BQ3" s="191"/>
      <c r="BR3" s="191"/>
      <c r="BS3" s="191"/>
      <c r="BT3" s="191"/>
      <c r="BU3" s="191"/>
      <c r="BV3" s="191"/>
      <c r="BW3" s="191"/>
      <c r="BX3" s="191"/>
      <c r="BY3" s="191"/>
      <c r="BZ3" s="191"/>
      <c r="CA3" s="191"/>
      <c r="CB3" s="191"/>
      <c r="CC3" s="191"/>
      <c r="CD3" s="191"/>
      <c r="CE3" s="191"/>
      <c r="CF3" s="191"/>
      <c r="CG3" s="191"/>
      <c r="CH3" s="192"/>
      <c r="CI3" s="192"/>
      <c r="CJ3" s="192"/>
      <c r="CK3" s="192"/>
      <c r="CL3" s="192"/>
      <c r="CM3" s="192"/>
      <c r="CN3" s="192"/>
      <c r="CO3" s="192"/>
      <c r="CP3" s="192"/>
      <c r="CQ3" s="192"/>
      <c r="CR3" s="192"/>
      <c r="CS3" s="192"/>
      <c r="CT3" s="192"/>
    </row>
    <row r="4" ht="26.25" customHeight="1">
      <c r="A4" s="184" t="s">
        <v>60</v>
      </c>
      <c r="B4" s="184" t="s">
        <v>742</v>
      </c>
      <c r="C4" s="184" t="s">
        <v>605</v>
      </c>
      <c r="D4" s="185" t="s">
        <v>743</v>
      </c>
      <c r="E4" s="186" t="s">
        <v>744</v>
      </c>
      <c r="F4" s="187" t="s">
        <v>745</v>
      </c>
      <c r="G4" s="188">
        <v>0.40625</v>
      </c>
      <c r="H4" s="189" t="s">
        <v>746</v>
      </c>
      <c r="I4" s="189" t="s">
        <v>768</v>
      </c>
      <c r="J4" s="189" t="s">
        <v>769</v>
      </c>
      <c r="K4" s="189" t="s">
        <v>770</v>
      </c>
      <c r="L4" s="189" t="s">
        <v>771</v>
      </c>
      <c r="M4" s="185" t="s">
        <v>772</v>
      </c>
      <c r="N4" s="189" t="s">
        <v>752</v>
      </c>
      <c r="O4" s="185" t="s">
        <v>773</v>
      </c>
      <c r="P4" s="190"/>
      <c r="Q4" s="190"/>
      <c r="R4" s="190"/>
      <c r="S4" s="190"/>
      <c r="T4" s="190"/>
      <c r="U4" s="190"/>
      <c r="V4" s="189" t="s">
        <v>774</v>
      </c>
      <c r="W4" s="189" t="s">
        <v>775</v>
      </c>
      <c r="X4" s="185" t="s">
        <v>776</v>
      </c>
      <c r="Y4" s="189" t="s">
        <v>777</v>
      </c>
      <c r="Z4" s="190"/>
      <c r="AA4" s="189" t="s">
        <v>757</v>
      </c>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191"/>
      <c r="BO4" s="191"/>
      <c r="BP4" s="191"/>
      <c r="BQ4" s="191"/>
      <c r="BR4" s="191"/>
      <c r="BS4" s="191"/>
      <c r="BT4" s="191"/>
      <c r="BU4" s="191"/>
      <c r="BV4" s="191"/>
      <c r="BW4" s="191"/>
      <c r="BX4" s="191"/>
      <c r="BY4" s="191"/>
      <c r="BZ4" s="191"/>
      <c r="CA4" s="191"/>
      <c r="CB4" s="191"/>
      <c r="CC4" s="191"/>
      <c r="CD4" s="191"/>
      <c r="CE4" s="191"/>
      <c r="CF4" s="191"/>
      <c r="CG4" s="191"/>
      <c r="CH4" s="192"/>
      <c r="CI4" s="192"/>
      <c r="CJ4" s="192"/>
      <c r="CK4" s="192"/>
      <c r="CL4" s="192"/>
      <c r="CM4" s="192"/>
      <c r="CN4" s="192"/>
      <c r="CO4" s="192"/>
      <c r="CP4" s="192"/>
      <c r="CQ4" s="192"/>
      <c r="CR4" s="192"/>
      <c r="CS4" s="192"/>
      <c r="CT4" s="192"/>
    </row>
    <row r="5" ht="26.25" customHeight="1">
      <c r="A5" s="184" t="s">
        <v>59</v>
      </c>
      <c r="B5" s="184" t="s">
        <v>742</v>
      </c>
      <c r="C5" s="184" t="s">
        <v>605</v>
      </c>
      <c r="D5" s="185" t="s">
        <v>743</v>
      </c>
      <c r="E5" s="186" t="s">
        <v>744</v>
      </c>
      <c r="F5" s="187" t="s">
        <v>745</v>
      </c>
      <c r="G5" s="188">
        <v>0.4201388888888889</v>
      </c>
      <c r="H5" s="189" t="s">
        <v>778</v>
      </c>
      <c r="I5" s="189" t="s">
        <v>779</v>
      </c>
      <c r="J5" s="189" t="s">
        <v>780</v>
      </c>
      <c r="K5" s="189" t="s">
        <v>781</v>
      </c>
      <c r="L5" s="189" t="s">
        <v>782</v>
      </c>
      <c r="M5" s="185" t="s">
        <v>783</v>
      </c>
      <c r="N5" s="189" t="s">
        <v>752</v>
      </c>
      <c r="O5" s="185" t="s">
        <v>784</v>
      </c>
      <c r="P5" s="190"/>
      <c r="Q5" s="190"/>
      <c r="R5" s="190"/>
      <c r="S5" s="190"/>
      <c r="T5" s="190"/>
      <c r="U5" s="190"/>
      <c r="V5" s="189" t="s">
        <v>785</v>
      </c>
      <c r="W5" s="189" t="s">
        <v>786</v>
      </c>
      <c r="X5" s="185" t="s">
        <v>787</v>
      </c>
      <c r="Y5" s="189" t="s">
        <v>784</v>
      </c>
      <c r="Z5" s="190"/>
      <c r="AA5" s="189" t="s">
        <v>757</v>
      </c>
      <c r="AB5" s="191"/>
      <c r="AC5" s="191"/>
      <c r="AD5" s="191"/>
      <c r="AE5" s="191"/>
      <c r="AF5" s="191"/>
      <c r="AG5" s="191"/>
      <c r="AH5" s="191"/>
      <c r="AI5" s="191"/>
      <c r="AJ5" s="191"/>
      <c r="AK5" s="191"/>
      <c r="AL5" s="191"/>
      <c r="AM5" s="191"/>
      <c r="AN5" s="191"/>
      <c r="AO5" s="191"/>
      <c r="AP5" s="191"/>
      <c r="AQ5" s="191"/>
      <c r="AR5" s="191"/>
      <c r="AS5" s="191"/>
      <c r="AT5" s="191"/>
      <c r="AU5" s="191"/>
      <c r="AV5" s="191"/>
      <c r="AW5" s="191"/>
      <c r="AX5" s="191"/>
      <c r="AY5" s="191"/>
      <c r="AZ5" s="191"/>
      <c r="BA5" s="191"/>
      <c r="BB5" s="191"/>
      <c r="BC5" s="191"/>
      <c r="BD5" s="191"/>
      <c r="BE5" s="191"/>
      <c r="BF5" s="191"/>
      <c r="BG5" s="191"/>
      <c r="BH5" s="191"/>
      <c r="BI5" s="191"/>
      <c r="BJ5" s="191"/>
      <c r="BK5" s="191"/>
      <c r="BL5" s="191"/>
      <c r="BM5" s="191"/>
      <c r="BN5" s="191"/>
      <c r="BO5" s="191"/>
      <c r="BP5" s="191"/>
      <c r="BQ5" s="191"/>
      <c r="BR5" s="191"/>
      <c r="BS5" s="191"/>
      <c r="BT5" s="191"/>
      <c r="BU5" s="191"/>
      <c r="BV5" s="191"/>
      <c r="BW5" s="191"/>
      <c r="BX5" s="191"/>
      <c r="BY5" s="191"/>
      <c r="BZ5" s="191"/>
      <c r="CA5" s="191"/>
      <c r="CB5" s="191"/>
      <c r="CC5" s="191"/>
      <c r="CD5" s="191"/>
      <c r="CE5" s="191"/>
      <c r="CF5" s="191"/>
      <c r="CG5" s="191"/>
      <c r="CH5" s="192"/>
      <c r="CI5" s="192"/>
      <c r="CJ5" s="192"/>
      <c r="CK5" s="192"/>
      <c r="CL5" s="192"/>
      <c r="CM5" s="192"/>
      <c r="CN5" s="192"/>
      <c r="CO5" s="192"/>
      <c r="CP5" s="192"/>
      <c r="CQ5" s="192"/>
      <c r="CR5" s="192"/>
      <c r="CS5" s="192"/>
      <c r="CT5" s="192"/>
    </row>
    <row r="6" ht="26.25" customHeight="1">
      <c r="A6" s="184" t="s">
        <v>62</v>
      </c>
      <c r="B6" s="184" t="s">
        <v>742</v>
      </c>
      <c r="C6" s="184" t="s">
        <v>605</v>
      </c>
      <c r="D6" s="185" t="s">
        <v>743</v>
      </c>
      <c r="E6" s="186" t="s">
        <v>744</v>
      </c>
      <c r="F6" s="187" t="s">
        <v>745</v>
      </c>
      <c r="G6" s="188">
        <v>0.4340277777777778</v>
      </c>
      <c r="H6" s="189" t="s">
        <v>788</v>
      </c>
      <c r="I6" s="189" t="s">
        <v>789</v>
      </c>
      <c r="J6" s="189" t="s">
        <v>790</v>
      </c>
      <c r="K6" s="189" t="s">
        <v>791</v>
      </c>
      <c r="L6" s="189" t="s">
        <v>792</v>
      </c>
      <c r="M6" s="185" t="s">
        <v>793</v>
      </c>
      <c r="N6" s="189" t="s">
        <v>752</v>
      </c>
      <c r="O6" s="185" t="s">
        <v>764</v>
      </c>
      <c r="P6" s="190"/>
      <c r="Q6" s="190"/>
      <c r="R6" s="190"/>
      <c r="S6" s="190"/>
      <c r="T6" s="190"/>
      <c r="U6" s="190"/>
      <c r="V6" s="189" t="s">
        <v>794</v>
      </c>
      <c r="W6" s="189" t="s">
        <v>795</v>
      </c>
      <c r="X6" s="185" t="s">
        <v>796</v>
      </c>
      <c r="Y6" s="189" t="s">
        <v>764</v>
      </c>
      <c r="Z6" s="190"/>
      <c r="AA6" s="189" t="s">
        <v>797</v>
      </c>
      <c r="AB6" s="191"/>
      <c r="AC6" s="191"/>
      <c r="AD6" s="191"/>
      <c r="AE6" s="191"/>
      <c r="AF6" s="191"/>
      <c r="AG6" s="191"/>
      <c r="AH6" s="191"/>
      <c r="AI6" s="191"/>
      <c r="AJ6" s="191"/>
      <c r="AK6" s="191"/>
      <c r="AL6" s="191"/>
      <c r="AM6" s="191"/>
      <c r="AN6" s="191"/>
      <c r="AO6" s="191"/>
      <c r="AP6" s="191"/>
      <c r="AQ6" s="191"/>
      <c r="AR6" s="191"/>
      <c r="AS6" s="191"/>
      <c r="AT6" s="191"/>
      <c r="AU6" s="191"/>
      <c r="AV6" s="191"/>
      <c r="AW6" s="191"/>
      <c r="AX6" s="191"/>
      <c r="AY6" s="191"/>
      <c r="AZ6" s="191"/>
      <c r="BA6" s="191"/>
      <c r="BB6" s="191"/>
      <c r="BC6" s="191"/>
      <c r="BD6" s="191"/>
      <c r="BE6" s="191"/>
      <c r="BF6" s="191"/>
      <c r="BG6" s="191"/>
      <c r="BH6" s="191"/>
      <c r="BI6" s="191"/>
      <c r="BJ6" s="191"/>
      <c r="BK6" s="191"/>
      <c r="BL6" s="191"/>
      <c r="BM6" s="191"/>
      <c r="BN6" s="191"/>
      <c r="BO6" s="191"/>
      <c r="BP6" s="191"/>
      <c r="BQ6" s="191"/>
      <c r="BR6" s="191"/>
      <c r="BS6" s="191"/>
      <c r="BT6" s="191"/>
      <c r="BU6" s="191"/>
      <c r="BV6" s="191"/>
      <c r="BW6" s="191"/>
      <c r="BX6" s="191"/>
      <c r="BY6" s="191"/>
      <c r="BZ6" s="191"/>
      <c r="CA6" s="191"/>
      <c r="CB6" s="191"/>
      <c r="CC6" s="191"/>
      <c r="CD6" s="191"/>
      <c r="CE6" s="191"/>
      <c r="CF6" s="191"/>
      <c r="CG6" s="191"/>
      <c r="CH6" s="192"/>
      <c r="CI6" s="192"/>
      <c r="CJ6" s="192"/>
      <c r="CK6" s="192"/>
      <c r="CL6" s="192"/>
      <c r="CM6" s="192"/>
      <c r="CN6" s="192"/>
      <c r="CO6" s="192"/>
      <c r="CP6" s="192"/>
      <c r="CQ6" s="192"/>
      <c r="CR6" s="192"/>
      <c r="CS6" s="192"/>
      <c r="CT6" s="192"/>
    </row>
    <row r="7" ht="26.25" customHeight="1">
      <c r="A7" s="184" t="s">
        <v>64</v>
      </c>
      <c r="B7" s="184" t="s">
        <v>742</v>
      </c>
      <c r="C7" s="184" t="s">
        <v>605</v>
      </c>
      <c r="D7" s="185" t="s">
        <v>743</v>
      </c>
      <c r="E7" s="186" t="s">
        <v>744</v>
      </c>
      <c r="F7" s="187" t="s">
        <v>745</v>
      </c>
      <c r="G7" s="188">
        <v>0.4479166666666667</v>
      </c>
      <c r="H7" s="189" t="s">
        <v>746</v>
      </c>
      <c r="I7" s="189" t="s">
        <v>798</v>
      </c>
      <c r="J7" s="189" t="s">
        <v>799</v>
      </c>
      <c r="K7" s="189" t="s">
        <v>800</v>
      </c>
      <c r="L7" s="189" t="s">
        <v>801</v>
      </c>
      <c r="M7" s="185" t="s">
        <v>802</v>
      </c>
      <c r="N7" s="189" t="s">
        <v>752</v>
      </c>
      <c r="O7" s="185" t="s">
        <v>784</v>
      </c>
      <c r="P7" s="190"/>
      <c r="Q7" s="190"/>
      <c r="R7" s="190"/>
      <c r="S7" s="190"/>
      <c r="T7" s="190"/>
      <c r="U7" s="190"/>
      <c r="V7" s="189" t="s">
        <v>803</v>
      </c>
      <c r="W7" s="189" t="s">
        <v>804</v>
      </c>
      <c r="X7" s="185" t="s">
        <v>805</v>
      </c>
      <c r="Y7" s="189" t="s">
        <v>784</v>
      </c>
      <c r="Z7" s="190"/>
      <c r="AA7" s="189" t="s">
        <v>757</v>
      </c>
      <c r="AB7" s="191"/>
      <c r="AC7" s="191"/>
      <c r="AD7" s="191"/>
      <c r="AE7" s="191"/>
      <c r="AF7" s="191"/>
      <c r="AG7" s="191"/>
      <c r="AH7" s="191"/>
      <c r="AI7" s="191"/>
      <c r="AJ7" s="191"/>
      <c r="AK7" s="191"/>
      <c r="AL7" s="191"/>
      <c r="AM7" s="191"/>
      <c r="AN7" s="191"/>
      <c r="AO7" s="191"/>
      <c r="AP7" s="191"/>
      <c r="AQ7" s="191"/>
      <c r="AR7" s="191"/>
      <c r="AS7" s="191"/>
      <c r="AT7" s="191"/>
      <c r="AU7" s="191"/>
      <c r="AV7" s="191"/>
      <c r="AW7" s="191"/>
      <c r="AX7" s="191"/>
      <c r="AY7" s="191"/>
      <c r="AZ7" s="191"/>
      <c r="BA7" s="191"/>
      <c r="BB7" s="191"/>
      <c r="BC7" s="191"/>
      <c r="BD7" s="191"/>
      <c r="BE7" s="191"/>
      <c r="BF7" s="191"/>
      <c r="BG7" s="191"/>
      <c r="BH7" s="191"/>
      <c r="BI7" s="191"/>
      <c r="BJ7" s="191"/>
      <c r="BK7" s="191"/>
      <c r="BL7" s="191"/>
      <c r="BM7" s="191"/>
      <c r="BN7" s="191"/>
      <c r="BO7" s="191"/>
      <c r="BP7" s="191"/>
      <c r="BQ7" s="191"/>
      <c r="BR7" s="191"/>
      <c r="BS7" s="191"/>
      <c r="BT7" s="191"/>
      <c r="BU7" s="191"/>
      <c r="BV7" s="191"/>
      <c r="BW7" s="191"/>
      <c r="BX7" s="191"/>
      <c r="BY7" s="191"/>
      <c r="BZ7" s="191"/>
      <c r="CA7" s="191"/>
      <c r="CB7" s="191"/>
      <c r="CC7" s="191"/>
      <c r="CD7" s="191"/>
      <c r="CE7" s="191"/>
      <c r="CF7" s="191"/>
      <c r="CG7" s="191"/>
      <c r="CH7" s="192"/>
      <c r="CI7" s="192"/>
      <c r="CJ7" s="192"/>
      <c r="CK7" s="192"/>
      <c r="CL7" s="192"/>
      <c r="CM7" s="192"/>
      <c r="CN7" s="192"/>
      <c r="CO7" s="192"/>
      <c r="CP7" s="192"/>
      <c r="CQ7" s="192"/>
      <c r="CR7" s="192"/>
      <c r="CS7" s="192"/>
      <c r="CT7" s="192"/>
    </row>
    <row r="8" ht="26.25" customHeight="1">
      <c r="A8" s="184" t="s">
        <v>72</v>
      </c>
      <c r="B8" s="184" t="s">
        <v>742</v>
      </c>
      <c r="C8" s="184" t="s">
        <v>606</v>
      </c>
      <c r="D8" s="185" t="s">
        <v>743</v>
      </c>
      <c r="E8" s="186" t="s">
        <v>806</v>
      </c>
      <c r="F8" s="187" t="s">
        <v>807</v>
      </c>
      <c r="G8" s="188">
        <v>0.3784722222222222</v>
      </c>
      <c r="H8" s="189" t="s">
        <v>808</v>
      </c>
      <c r="I8" s="189" t="s">
        <v>809</v>
      </c>
      <c r="J8" s="189" t="s">
        <v>810</v>
      </c>
      <c r="K8" s="189" t="s">
        <v>811</v>
      </c>
      <c r="L8" s="189" t="s">
        <v>812</v>
      </c>
      <c r="M8" s="185" t="s">
        <v>813</v>
      </c>
      <c r="N8" s="189" t="s">
        <v>752</v>
      </c>
      <c r="O8" s="185" t="s">
        <v>764</v>
      </c>
      <c r="P8" s="190"/>
      <c r="Q8" s="190"/>
      <c r="R8" s="190"/>
      <c r="S8" s="190"/>
      <c r="T8" s="190"/>
      <c r="U8" s="190"/>
      <c r="V8" s="189" t="s">
        <v>814</v>
      </c>
      <c r="W8" s="189" t="s">
        <v>815</v>
      </c>
      <c r="X8" s="185" t="s">
        <v>816</v>
      </c>
      <c r="Y8" s="189" t="s">
        <v>764</v>
      </c>
      <c r="Z8" s="190"/>
      <c r="AA8" s="189" t="s">
        <v>797</v>
      </c>
      <c r="AB8" s="191"/>
      <c r="AC8" s="191"/>
      <c r="AD8" s="191"/>
      <c r="AE8" s="191"/>
      <c r="AF8" s="191"/>
      <c r="AG8" s="191"/>
      <c r="AH8" s="191"/>
      <c r="AI8" s="191"/>
      <c r="AJ8" s="191"/>
      <c r="AK8" s="191"/>
      <c r="AL8" s="191"/>
      <c r="AM8" s="191"/>
      <c r="AN8" s="191"/>
      <c r="AO8" s="191"/>
      <c r="AP8" s="191"/>
      <c r="AQ8" s="191"/>
      <c r="AR8" s="191"/>
      <c r="AS8" s="191"/>
      <c r="AT8" s="191"/>
      <c r="AU8" s="191"/>
      <c r="AV8" s="191"/>
      <c r="AW8" s="191"/>
      <c r="AX8" s="191"/>
      <c r="AY8" s="191"/>
      <c r="AZ8" s="191"/>
      <c r="BA8" s="191"/>
      <c r="BB8" s="191"/>
      <c r="BC8" s="191"/>
      <c r="BD8" s="191"/>
      <c r="BE8" s="191"/>
      <c r="BF8" s="191"/>
      <c r="BG8" s="191"/>
      <c r="BH8" s="191"/>
      <c r="BI8" s="191"/>
      <c r="BJ8" s="191"/>
      <c r="BK8" s="191"/>
      <c r="BL8" s="191"/>
      <c r="BM8" s="191"/>
      <c r="BN8" s="191"/>
      <c r="BO8" s="191"/>
      <c r="BP8" s="191"/>
      <c r="BQ8" s="191"/>
      <c r="BR8" s="191"/>
      <c r="BS8" s="191"/>
      <c r="BT8" s="191"/>
      <c r="BU8" s="191"/>
      <c r="BV8" s="191"/>
      <c r="BW8" s="191"/>
      <c r="BX8" s="191"/>
      <c r="BY8" s="191"/>
      <c r="BZ8" s="191"/>
      <c r="CA8" s="191"/>
      <c r="CB8" s="191"/>
      <c r="CC8" s="191"/>
      <c r="CD8" s="191"/>
      <c r="CE8" s="191"/>
      <c r="CF8" s="191"/>
      <c r="CG8" s="191"/>
      <c r="CH8" s="192"/>
      <c r="CI8" s="192"/>
      <c r="CJ8" s="192"/>
      <c r="CK8" s="192"/>
      <c r="CL8" s="192"/>
      <c r="CM8" s="192"/>
      <c r="CN8" s="192"/>
      <c r="CO8" s="192"/>
      <c r="CP8" s="192"/>
      <c r="CQ8" s="192"/>
      <c r="CR8" s="192"/>
      <c r="CS8" s="192"/>
      <c r="CT8" s="192"/>
    </row>
    <row r="9" ht="26.25" customHeight="1">
      <c r="A9" s="184" t="s">
        <v>76</v>
      </c>
      <c r="B9" s="184" t="s">
        <v>742</v>
      </c>
      <c r="C9" s="184" t="s">
        <v>606</v>
      </c>
      <c r="D9" s="185" t="s">
        <v>743</v>
      </c>
      <c r="E9" s="186" t="s">
        <v>806</v>
      </c>
      <c r="F9" s="187" t="s">
        <v>807</v>
      </c>
      <c r="G9" s="188">
        <v>0.3923611111111111</v>
      </c>
      <c r="H9" s="189" t="s">
        <v>817</v>
      </c>
      <c r="I9" s="189" t="s">
        <v>818</v>
      </c>
      <c r="J9" s="189" t="s">
        <v>819</v>
      </c>
      <c r="K9" s="189" t="s">
        <v>820</v>
      </c>
      <c r="L9" s="189" t="s">
        <v>821</v>
      </c>
      <c r="M9" s="185" t="s">
        <v>822</v>
      </c>
      <c r="N9" s="189" t="s">
        <v>752</v>
      </c>
      <c r="O9" s="185" t="s">
        <v>773</v>
      </c>
      <c r="P9" s="190"/>
      <c r="Q9" s="190"/>
      <c r="R9" s="190"/>
      <c r="S9" s="190"/>
      <c r="T9" s="190"/>
      <c r="U9" s="190"/>
      <c r="V9" s="189" t="s">
        <v>823</v>
      </c>
      <c r="W9" s="189" t="s">
        <v>824</v>
      </c>
      <c r="X9" s="185" t="s">
        <v>825</v>
      </c>
      <c r="Y9" s="189" t="s">
        <v>764</v>
      </c>
      <c r="Z9" s="190"/>
      <c r="AA9" s="189" t="s">
        <v>797</v>
      </c>
      <c r="AB9" s="191"/>
      <c r="AC9" s="191"/>
      <c r="AD9" s="191"/>
      <c r="AE9" s="191"/>
      <c r="AF9" s="191"/>
      <c r="AG9" s="191"/>
      <c r="AH9" s="191"/>
      <c r="AI9" s="191"/>
      <c r="AJ9" s="191"/>
      <c r="AK9" s="191"/>
      <c r="AL9" s="191"/>
      <c r="AM9" s="191"/>
      <c r="AN9" s="191"/>
      <c r="AO9" s="191"/>
      <c r="AP9" s="191"/>
      <c r="AQ9" s="191"/>
      <c r="AR9" s="191"/>
      <c r="AS9" s="191"/>
      <c r="AT9" s="191"/>
      <c r="AU9" s="191"/>
      <c r="AV9" s="191"/>
      <c r="AW9" s="191"/>
      <c r="AX9" s="191"/>
      <c r="AY9" s="191"/>
      <c r="AZ9" s="191"/>
      <c r="BA9" s="191"/>
      <c r="BB9" s="191"/>
      <c r="BC9" s="191"/>
      <c r="BD9" s="191"/>
      <c r="BE9" s="191"/>
      <c r="BF9" s="191"/>
      <c r="BG9" s="191"/>
      <c r="BH9" s="191"/>
      <c r="BI9" s="191"/>
      <c r="BJ9" s="191"/>
      <c r="BK9" s="191"/>
      <c r="BL9" s="191"/>
      <c r="BM9" s="191"/>
      <c r="BN9" s="191"/>
      <c r="BO9" s="191"/>
      <c r="BP9" s="191"/>
      <c r="BQ9" s="191"/>
      <c r="BR9" s="191"/>
      <c r="BS9" s="191"/>
      <c r="BT9" s="191"/>
      <c r="BU9" s="191"/>
      <c r="BV9" s="191"/>
      <c r="BW9" s="191"/>
      <c r="BX9" s="191"/>
      <c r="BY9" s="191"/>
      <c r="BZ9" s="191"/>
      <c r="CA9" s="191"/>
      <c r="CB9" s="191"/>
      <c r="CC9" s="191"/>
      <c r="CD9" s="191"/>
      <c r="CE9" s="191"/>
      <c r="CF9" s="191"/>
      <c r="CG9" s="191"/>
      <c r="CH9" s="192"/>
      <c r="CI9" s="192"/>
      <c r="CJ9" s="192"/>
      <c r="CK9" s="192"/>
      <c r="CL9" s="192"/>
      <c r="CM9" s="192"/>
      <c r="CN9" s="192"/>
      <c r="CO9" s="192"/>
      <c r="CP9" s="192"/>
      <c r="CQ9" s="192"/>
      <c r="CR9" s="192"/>
      <c r="CS9" s="192"/>
      <c r="CT9" s="192"/>
    </row>
    <row r="10" ht="26.25" customHeight="1">
      <c r="A10" s="184" t="s">
        <v>71</v>
      </c>
      <c r="B10" s="184" t="s">
        <v>742</v>
      </c>
      <c r="C10" s="184" t="s">
        <v>606</v>
      </c>
      <c r="D10" s="185" t="s">
        <v>743</v>
      </c>
      <c r="E10" s="186" t="s">
        <v>806</v>
      </c>
      <c r="F10" s="187" t="s">
        <v>807</v>
      </c>
      <c r="G10" s="188">
        <v>0.40625</v>
      </c>
      <c r="H10" s="189" t="s">
        <v>826</v>
      </c>
      <c r="I10" s="189" t="s">
        <v>827</v>
      </c>
      <c r="J10" s="189" t="s">
        <v>828</v>
      </c>
      <c r="K10" s="189" t="s">
        <v>829</v>
      </c>
      <c r="L10" s="189" t="s">
        <v>830</v>
      </c>
      <c r="M10" s="185" t="s">
        <v>831</v>
      </c>
      <c r="N10" s="189" t="s">
        <v>752</v>
      </c>
      <c r="O10" s="185" t="s">
        <v>764</v>
      </c>
      <c r="P10" s="190"/>
      <c r="Q10" s="190"/>
      <c r="R10" s="190"/>
      <c r="S10" s="190"/>
      <c r="T10" s="190"/>
      <c r="U10" s="190"/>
      <c r="V10" s="189" t="s">
        <v>832</v>
      </c>
      <c r="W10" s="189" t="s">
        <v>833</v>
      </c>
      <c r="X10" s="185" t="s">
        <v>834</v>
      </c>
      <c r="Y10" s="189" t="s">
        <v>773</v>
      </c>
      <c r="Z10" s="190"/>
      <c r="AA10" s="189" t="s">
        <v>757</v>
      </c>
      <c r="AB10" s="191"/>
      <c r="AC10" s="191"/>
      <c r="AD10" s="191"/>
      <c r="AE10" s="191"/>
      <c r="AF10" s="191"/>
      <c r="AG10" s="191"/>
      <c r="AH10" s="191"/>
      <c r="AI10" s="191"/>
      <c r="AJ10" s="191"/>
      <c r="AK10" s="191"/>
      <c r="AL10" s="191"/>
      <c r="AM10" s="191"/>
      <c r="AN10" s="191"/>
      <c r="AO10" s="191"/>
      <c r="AP10" s="191"/>
      <c r="AQ10" s="191"/>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N10" s="191"/>
      <c r="BO10" s="191"/>
      <c r="BP10" s="191"/>
      <c r="BQ10" s="191"/>
      <c r="BR10" s="191"/>
      <c r="BS10" s="191"/>
      <c r="BT10" s="191"/>
      <c r="BU10" s="191"/>
      <c r="BV10" s="191"/>
      <c r="BW10" s="191"/>
      <c r="BX10" s="191"/>
      <c r="BY10" s="191"/>
      <c r="BZ10" s="191"/>
      <c r="CA10" s="191"/>
      <c r="CB10" s="191"/>
      <c r="CC10" s="191"/>
      <c r="CD10" s="191"/>
      <c r="CE10" s="191"/>
      <c r="CF10" s="191"/>
      <c r="CG10" s="191"/>
      <c r="CH10" s="192"/>
      <c r="CI10" s="192"/>
      <c r="CJ10" s="192"/>
      <c r="CK10" s="192"/>
      <c r="CL10" s="192"/>
      <c r="CM10" s="192"/>
      <c r="CN10" s="192"/>
      <c r="CO10" s="192"/>
      <c r="CP10" s="192"/>
      <c r="CQ10" s="192"/>
      <c r="CR10" s="192"/>
      <c r="CS10" s="192"/>
      <c r="CT10" s="192"/>
    </row>
    <row r="11" ht="26.25" customHeight="1">
      <c r="A11" s="184" t="s">
        <v>74</v>
      </c>
      <c r="B11" s="184" t="s">
        <v>742</v>
      </c>
      <c r="C11" s="184" t="s">
        <v>606</v>
      </c>
      <c r="D11" s="185" t="s">
        <v>743</v>
      </c>
      <c r="E11" s="186" t="s">
        <v>806</v>
      </c>
      <c r="F11" s="187" t="s">
        <v>807</v>
      </c>
      <c r="G11" s="188">
        <v>0.4340277777777778</v>
      </c>
      <c r="H11" s="189" t="s">
        <v>835</v>
      </c>
      <c r="I11" s="189" t="s">
        <v>836</v>
      </c>
      <c r="J11" s="189" t="s">
        <v>837</v>
      </c>
      <c r="K11" s="189" t="s">
        <v>838</v>
      </c>
      <c r="L11" s="189" t="s">
        <v>839</v>
      </c>
      <c r="M11" s="185" t="s">
        <v>840</v>
      </c>
      <c r="N11" s="189" t="s">
        <v>752</v>
      </c>
      <c r="O11" s="185" t="s">
        <v>773</v>
      </c>
      <c r="P11" s="190"/>
      <c r="Q11" s="190"/>
      <c r="R11" s="190"/>
      <c r="S11" s="190"/>
      <c r="T11" s="190"/>
      <c r="U11" s="190"/>
      <c r="V11" s="189" t="s">
        <v>841</v>
      </c>
      <c r="W11" s="189" t="s">
        <v>842</v>
      </c>
      <c r="X11" s="185" t="s">
        <v>843</v>
      </c>
      <c r="Y11" s="189" t="s">
        <v>773</v>
      </c>
      <c r="Z11" s="190"/>
      <c r="AA11" s="189" t="s">
        <v>797</v>
      </c>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N11" s="191"/>
      <c r="BO11" s="191"/>
      <c r="BP11" s="191"/>
      <c r="BQ11" s="191"/>
      <c r="BR11" s="191"/>
      <c r="BS11" s="191"/>
      <c r="BT11" s="191"/>
      <c r="BU11" s="191"/>
      <c r="BV11" s="191"/>
      <c r="BW11" s="191"/>
      <c r="BX11" s="191"/>
      <c r="BY11" s="191"/>
      <c r="BZ11" s="191"/>
      <c r="CA11" s="191"/>
      <c r="CB11" s="191"/>
      <c r="CC11" s="191"/>
      <c r="CD11" s="191"/>
      <c r="CE11" s="191"/>
      <c r="CF11" s="191"/>
      <c r="CG11" s="191"/>
      <c r="CH11" s="192"/>
      <c r="CI11" s="192"/>
      <c r="CJ11" s="192"/>
      <c r="CK11" s="192"/>
      <c r="CL11" s="192"/>
      <c r="CM11" s="192"/>
      <c r="CN11" s="192"/>
      <c r="CO11" s="192"/>
      <c r="CP11" s="192"/>
      <c r="CQ11" s="192"/>
      <c r="CR11" s="192"/>
      <c r="CS11" s="192"/>
      <c r="CT11" s="192"/>
    </row>
    <row r="12" ht="26.25" customHeight="1">
      <c r="A12" s="193" t="s">
        <v>78</v>
      </c>
      <c r="B12" s="194" t="s">
        <v>742</v>
      </c>
      <c r="C12" s="195" t="s">
        <v>607</v>
      </c>
      <c r="D12" s="196" t="s">
        <v>743</v>
      </c>
      <c r="E12" s="197" t="s">
        <v>844</v>
      </c>
      <c r="F12" s="198" t="s">
        <v>845</v>
      </c>
      <c r="G12" s="199">
        <v>0.3784722222222222</v>
      </c>
      <c r="H12" s="200" t="s">
        <v>846</v>
      </c>
      <c r="I12" s="200" t="s">
        <v>847</v>
      </c>
      <c r="J12" s="200" t="s">
        <v>848</v>
      </c>
      <c r="K12" s="201"/>
      <c r="L12" s="201"/>
      <c r="M12" s="202" t="s">
        <v>849</v>
      </c>
      <c r="N12" s="202" t="s">
        <v>850</v>
      </c>
      <c r="O12" s="202" t="s">
        <v>784</v>
      </c>
      <c r="P12" s="203"/>
      <c r="Q12" s="203"/>
      <c r="R12" s="203"/>
      <c r="S12" s="203"/>
      <c r="T12" s="203"/>
      <c r="U12" s="203"/>
      <c r="V12" s="201"/>
      <c r="W12" s="201"/>
      <c r="X12" s="204"/>
      <c r="Y12" s="201"/>
      <c r="Z12" s="203"/>
      <c r="AA12" s="201"/>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c r="BH12" s="205"/>
      <c r="BI12" s="205"/>
      <c r="BJ12" s="205"/>
      <c r="BK12" s="205"/>
      <c r="BL12" s="205"/>
      <c r="BM12" s="205"/>
      <c r="BN12" s="205"/>
      <c r="BO12" s="205"/>
      <c r="BP12" s="205"/>
      <c r="BQ12" s="205"/>
      <c r="BR12" s="205"/>
      <c r="BS12" s="205"/>
      <c r="BT12" s="205"/>
      <c r="BU12" s="205"/>
      <c r="BV12" s="205"/>
      <c r="BW12" s="205"/>
      <c r="BX12" s="205"/>
      <c r="BY12" s="205"/>
      <c r="BZ12" s="205"/>
      <c r="CA12" s="205"/>
      <c r="CB12" s="205"/>
      <c r="CC12" s="205"/>
      <c r="CD12" s="205"/>
      <c r="CE12" s="205"/>
      <c r="CF12" s="205"/>
      <c r="CG12" s="205"/>
      <c r="CH12" s="206"/>
      <c r="CI12" s="206"/>
      <c r="CJ12" s="206"/>
      <c r="CK12" s="206"/>
      <c r="CL12" s="206"/>
      <c r="CM12" s="206"/>
      <c r="CN12" s="206"/>
      <c r="CO12" s="206"/>
      <c r="CP12" s="206"/>
      <c r="CQ12" s="206"/>
      <c r="CR12" s="206"/>
      <c r="CS12" s="206"/>
      <c r="CT12" s="206"/>
    </row>
    <row r="13" ht="26.25" customHeight="1">
      <c r="A13" s="184" t="s">
        <v>82</v>
      </c>
      <c r="B13" s="184" t="s">
        <v>742</v>
      </c>
      <c r="C13" s="184" t="s">
        <v>607</v>
      </c>
      <c r="D13" s="185" t="s">
        <v>743</v>
      </c>
      <c r="E13" s="186" t="s">
        <v>844</v>
      </c>
      <c r="F13" s="187" t="s">
        <v>845</v>
      </c>
      <c r="G13" s="188">
        <v>0.3923611111111111</v>
      </c>
      <c r="H13" s="189" t="s">
        <v>851</v>
      </c>
      <c r="I13" s="189" t="s">
        <v>852</v>
      </c>
      <c r="J13" s="189" t="s">
        <v>853</v>
      </c>
      <c r="K13" s="189" t="s">
        <v>854</v>
      </c>
      <c r="L13" s="189" t="s">
        <v>855</v>
      </c>
      <c r="M13" s="185" t="s">
        <v>856</v>
      </c>
      <c r="N13" s="189" t="s">
        <v>850</v>
      </c>
      <c r="O13" s="185" t="s">
        <v>784</v>
      </c>
      <c r="P13" s="190"/>
      <c r="Q13" s="190"/>
      <c r="R13" s="190"/>
      <c r="S13" s="190"/>
      <c r="T13" s="190"/>
      <c r="U13" s="190"/>
      <c r="V13" s="189" t="s">
        <v>857</v>
      </c>
      <c r="W13" s="189" t="s">
        <v>858</v>
      </c>
      <c r="X13" s="185" t="s">
        <v>859</v>
      </c>
      <c r="Y13" s="189" t="s">
        <v>784</v>
      </c>
      <c r="Z13" s="189" t="s">
        <v>744</v>
      </c>
      <c r="AA13" s="189" t="s">
        <v>797</v>
      </c>
      <c r="AB13" s="191"/>
      <c r="AC13" s="191"/>
      <c r="AD13" s="191"/>
      <c r="AE13" s="191"/>
      <c r="AF13" s="191"/>
      <c r="AG13" s="191"/>
      <c r="AH13" s="191"/>
      <c r="AI13" s="191"/>
      <c r="AJ13" s="191"/>
      <c r="AK13" s="191"/>
      <c r="AL13" s="191"/>
      <c r="AM13" s="191"/>
      <c r="AN13" s="191"/>
      <c r="AO13" s="191"/>
      <c r="AP13" s="191"/>
      <c r="AQ13" s="191"/>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N13" s="191"/>
      <c r="BO13" s="191"/>
      <c r="BP13" s="191"/>
      <c r="BQ13" s="191"/>
      <c r="BR13" s="191"/>
      <c r="BS13" s="191"/>
      <c r="BT13" s="191"/>
      <c r="BU13" s="191"/>
      <c r="BV13" s="191"/>
      <c r="BW13" s="191"/>
      <c r="BX13" s="191"/>
      <c r="BY13" s="191"/>
      <c r="BZ13" s="191"/>
      <c r="CA13" s="191"/>
      <c r="CB13" s="191"/>
      <c r="CC13" s="191"/>
      <c r="CD13" s="191"/>
      <c r="CE13" s="191"/>
      <c r="CF13" s="191"/>
      <c r="CG13" s="191"/>
      <c r="CH13" s="192"/>
      <c r="CI13" s="192"/>
      <c r="CJ13" s="192"/>
      <c r="CK13" s="192"/>
      <c r="CL13" s="192"/>
      <c r="CM13" s="192"/>
      <c r="CN13" s="192"/>
      <c r="CO13" s="192"/>
      <c r="CP13" s="192"/>
      <c r="CQ13" s="192"/>
      <c r="CR13" s="192"/>
      <c r="CS13" s="192"/>
      <c r="CT13" s="192"/>
    </row>
    <row r="14" ht="26.25" customHeight="1">
      <c r="A14" s="184" t="s">
        <v>81</v>
      </c>
      <c r="B14" s="184" t="s">
        <v>742</v>
      </c>
      <c r="C14" s="184" t="s">
        <v>607</v>
      </c>
      <c r="D14" s="185" t="s">
        <v>743</v>
      </c>
      <c r="E14" s="186" t="s">
        <v>844</v>
      </c>
      <c r="F14" s="187" t="s">
        <v>845</v>
      </c>
      <c r="G14" s="188">
        <v>0.40625</v>
      </c>
      <c r="H14" s="189" t="s">
        <v>860</v>
      </c>
      <c r="I14" s="189" t="s">
        <v>861</v>
      </c>
      <c r="J14" s="189" t="s">
        <v>862</v>
      </c>
      <c r="K14" s="189" t="s">
        <v>863</v>
      </c>
      <c r="L14" s="190" t="s">
        <v>864</v>
      </c>
      <c r="M14" s="185" t="s">
        <v>865</v>
      </c>
      <c r="N14" s="189" t="s">
        <v>850</v>
      </c>
      <c r="O14" s="185" t="s">
        <v>764</v>
      </c>
      <c r="P14" s="190"/>
      <c r="Q14" s="190"/>
      <c r="R14" s="190"/>
      <c r="S14" s="190"/>
      <c r="T14" s="190"/>
      <c r="U14" s="190"/>
      <c r="V14" s="189" t="s">
        <v>866</v>
      </c>
      <c r="W14" s="189" t="s">
        <v>867</v>
      </c>
      <c r="X14" s="185" t="s">
        <v>868</v>
      </c>
      <c r="Y14" s="189" t="s">
        <v>764</v>
      </c>
      <c r="Z14" s="189" t="s">
        <v>744</v>
      </c>
      <c r="AA14" s="189" t="s">
        <v>757</v>
      </c>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N14" s="191"/>
      <c r="BO14" s="191"/>
      <c r="BP14" s="191"/>
      <c r="BQ14" s="191"/>
      <c r="BR14" s="191"/>
      <c r="BS14" s="191"/>
      <c r="BT14" s="191"/>
      <c r="BU14" s="191"/>
      <c r="BV14" s="191"/>
      <c r="BW14" s="191"/>
      <c r="BX14" s="191"/>
      <c r="BY14" s="191"/>
      <c r="BZ14" s="191"/>
      <c r="CA14" s="191"/>
      <c r="CB14" s="191"/>
      <c r="CC14" s="191"/>
      <c r="CD14" s="191"/>
      <c r="CE14" s="191"/>
      <c r="CF14" s="191"/>
      <c r="CG14" s="191"/>
      <c r="CH14" s="192"/>
      <c r="CI14" s="192"/>
      <c r="CJ14" s="192"/>
      <c r="CK14" s="192"/>
      <c r="CL14" s="192"/>
      <c r="CM14" s="192"/>
      <c r="CN14" s="192"/>
      <c r="CO14" s="192"/>
      <c r="CP14" s="192"/>
      <c r="CQ14" s="192"/>
      <c r="CR14" s="192"/>
      <c r="CS14" s="192"/>
      <c r="CT14" s="192"/>
    </row>
    <row r="15" ht="26.25" customHeight="1">
      <c r="A15" s="184" t="s">
        <v>80</v>
      </c>
      <c r="B15" s="184" t="s">
        <v>742</v>
      </c>
      <c r="C15" s="184" t="s">
        <v>607</v>
      </c>
      <c r="D15" s="185" t="s">
        <v>743</v>
      </c>
      <c r="E15" s="186" t="s">
        <v>844</v>
      </c>
      <c r="F15" s="187" t="s">
        <v>845</v>
      </c>
      <c r="G15" s="188">
        <v>0.4201388888888889</v>
      </c>
      <c r="H15" s="189" t="s">
        <v>869</v>
      </c>
      <c r="I15" s="189" t="s">
        <v>870</v>
      </c>
      <c r="J15" s="189" t="s">
        <v>871</v>
      </c>
      <c r="K15" s="189" t="s">
        <v>872</v>
      </c>
      <c r="L15" s="189" t="s">
        <v>873</v>
      </c>
      <c r="M15" s="185" t="s">
        <v>874</v>
      </c>
      <c r="N15" s="189" t="s">
        <v>850</v>
      </c>
      <c r="O15" s="185" t="s">
        <v>753</v>
      </c>
      <c r="P15" s="190"/>
      <c r="Q15" s="190"/>
      <c r="R15" s="190"/>
      <c r="S15" s="190"/>
      <c r="T15" s="190"/>
      <c r="U15" s="190"/>
      <c r="V15" s="189" t="s">
        <v>875</v>
      </c>
      <c r="W15" s="189" t="s">
        <v>876</v>
      </c>
      <c r="X15" s="185" t="s">
        <v>877</v>
      </c>
      <c r="Y15" s="189" t="s">
        <v>753</v>
      </c>
      <c r="Z15" s="189" t="s">
        <v>744</v>
      </c>
      <c r="AA15" s="189" t="s">
        <v>757</v>
      </c>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N15" s="191"/>
      <c r="BO15" s="191"/>
      <c r="BP15" s="191"/>
      <c r="BQ15" s="191"/>
      <c r="BR15" s="191"/>
      <c r="BS15" s="191"/>
      <c r="BT15" s="191"/>
      <c r="BU15" s="191"/>
      <c r="BV15" s="191"/>
      <c r="BW15" s="191"/>
      <c r="BX15" s="191"/>
      <c r="BY15" s="191"/>
      <c r="BZ15" s="191"/>
      <c r="CA15" s="191"/>
      <c r="CB15" s="191"/>
      <c r="CC15" s="191"/>
      <c r="CD15" s="191"/>
      <c r="CE15" s="191"/>
      <c r="CF15" s="191"/>
      <c r="CG15" s="191"/>
      <c r="CH15" s="192"/>
      <c r="CI15" s="192"/>
      <c r="CJ15" s="192"/>
      <c r="CK15" s="192"/>
      <c r="CL15" s="192"/>
      <c r="CM15" s="192"/>
      <c r="CN15" s="192"/>
      <c r="CO15" s="192"/>
      <c r="CP15" s="192"/>
      <c r="CQ15" s="192"/>
      <c r="CR15" s="192"/>
      <c r="CS15" s="192"/>
      <c r="CT15" s="192"/>
    </row>
    <row r="16" ht="26.25" customHeight="1">
      <c r="A16" s="184" t="s">
        <v>77</v>
      </c>
      <c r="B16" s="184" t="s">
        <v>742</v>
      </c>
      <c r="C16" s="184" t="s">
        <v>607</v>
      </c>
      <c r="D16" s="185" t="s">
        <v>743</v>
      </c>
      <c r="E16" s="186" t="s">
        <v>844</v>
      </c>
      <c r="F16" s="187" t="s">
        <v>845</v>
      </c>
      <c r="G16" s="188">
        <v>0.4340277777777778</v>
      </c>
      <c r="H16" s="189" t="s">
        <v>878</v>
      </c>
      <c r="I16" s="189" t="s">
        <v>879</v>
      </c>
      <c r="J16" s="189" t="s">
        <v>880</v>
      </c>
      <c r="K16" s="189" t="s">
        <v>881</v>
      </c>
      <c r="L16" s="189" t="s">
        <v>882</v>
      </c>
      <c r="M16" s="185" t="s">
        <v>883</v>
      </c>
      <c r="N16" s="189" t="s">
        <v>850</v>
      </c>
      <c r="O16" s="185" t="s">
        <v>764</v>
      </c>
      <c r="P16" s="190"/>
      <c r="Q16" s="190"/>
      <c r="R16" s="190"/>
      <c r="S16" s="190"/>
      <c r="T16" s="190"/>
      <c r="U16" s="190"/>
      <c r="V16" s="189" t="s">
        <v>884</v>
      </c>
      <c r="W16" s="189" t="s">
        <v>885</v>
      </c>
      <c r="X16" s="185" t="s">
        <v>886</v>
      </c>
      <c r="Y16" s="189" t="s">
        <v>764</v>
      </c>
      <c r="Z16" s="189" t="s">
        <v>744</v>
      </c>
      <c r="AA16" s="189" t="s">
        <v>757</v>
      </c>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N16" s="191"/>
      <c r="BO16" s="191"/>
      <c r="BP16" s="191"/>
      <c r="BQ16" s="191"/>
      <c r="BR16" s="191"/>
      <c r="BS16" s="191"/>
      <c r="BT16" s="191"/>
      <c r="BU16" s="191"/>
      <c r="BV16" s="191"/>
      <c r="BW16" s="191"/>
      <c r="BX16" s="191"/>
      <c r="BY16" s="191"/>
      <c r="BZ16" s="191"/>
      <c r="CA16" s="191"/>
      <c r="CB16" s="191"/>
      <c r="CC16" s="191"/>
      <c r="CD16" s="191"/>
      <c r="CE16" s="191"/>
      <c r="CF16" s="191"/>
      <c r="CG16" s="191"/>
      <c r="CH16" s="192"/>
      <c r="CI16" s="192"/>
      <c r="CJ16" s="192"/>
      <c r="CK16" s="192"/>
      <c r="CL16" s="192"/>
      <c r="CM16" s="192"/>
      <c r="CN16" s="192"/>
      <c r="CO16" s="192"/>
      <c r="CP16" s="192"/>
      <c r="CQ16" s="192"/>
      <c r="CR16" s="192"/>
      <c r="CS16" s="192"/>
      <c r="CT16" s="192"/>
    </row>
    <row r="17" ht="26.25" customHeight="1">
      <c r="A17" s="184" t="s">
        <v>79</v>
      </c>
      <c r="B17" s="184" t="s">
        <v>742</v>
      </c>
      <c r="C17" s="184" t="s">
        <v>607</v>
      </c>
      <c r="D17" s="185" t="s">
        <v>743</v>
      </c>
      <c r="E17" s="186" t="s">
        <v>844</v>
      </c>
      <c r="F17" s="187" t="s">
        <v>845</v>
      </c>
      <c r="G17" s="188">
        <v>0.4479166666666667</v>
      </c>
      <c r="H17" s="189" t="s">
        <v>887</v>
      </c>
      <c r="I17" s="189" t="s">
        <v>888</v>
      </c>
      <c r="J17" s="189" t="s">
        <v>889</v>
      </c>
      <c r="K17" s="189" t="s">
        <v>890</v>
      </c>
      <c r="L17" s="189" t="s">
        <v>891</v>
      </c>
      <c r="M17" s="185" t="s">
        <v>892</v>
      </c>
      <c r="N17" s="189" t="s">
        <v>850</v>
      </c>
      <c r="O17" s="185" t="s">
        <v>893</v>
      </c>
      <c r="P17" s="189" t="s">
        <v>894</v>
      </c>
      <c r="Q17" s="189" t="s">
        <v>888</v>
      </c>
      <c r="R17" s="189" t="s">
        <v>895</v>
      </c>
      <c r="S17" s="189" t="s">
        <v>896</v>
      </c>
      <c r="T17" s="190"/>
      <c r="U17" s="190"/>
      <c r="V17" s="189" t="s">
        <v>897</v>
      </c>
      <c r="W17" s="189" t="s">
        <v>898</v>
      </c>
      <c r="X17" s="185" t="s">
        <v>899</v>
      </c>
      <c r="Y17" s="189" t="s">
        <v>893</v>
      </c>
      <c r="Z17" s="189" t="s">
        <v>744</v>
      </c>
      <c r="AA17" s="189" t="s">
        <v>757</v>
      </c>
      <c r="AB17" s="191"/>
      <c r="AC17" s="191"/>
      <c r="AD17" s="191"/>
      <c r="AE17" s="191"/>
      <c r="AF17" s="191"/>
      <c r="AG17" s="191"/>
      <c r="AH17" s="191"/>
      <c r="AI17" s="191"/>
      <c r="AJ17" s="191"/>
      <c r="AK17" s="191"/>
      <c r="AL17" s="191"/>
      <c r="AM17" s="191"/>
      <c r="AN17" s="191"/>
      <c r="AO17" s="191"/>
      <c r="AP17" s="191"/>
      <c r="AQ17" s="191"/>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N17" s="191"/>
      <c r="BO17" s="191"/>
      <c r="BP17" s="191"/>
      <c r="BQ17" s="191"/>
      <c r="BR17" s="191"/>
      <c r="BS17" s="191"/>
      <c r="BT17" s="191"/>
      <c r="BU17" s="191"/>
      <c r="BV17" s="191"/>
      <c r="BW17" s="191"/>
      <c r="BX17" s="191"/>
      <c r="BY17" s="191"/>
      <c r="BZ17" s="191"/>
      <c r="CA17" s="191"/>
      <c r="CB17" s="191"/>
      <c r="CC17" s="191"/>
      <c r="CD17" s="191"/>
      <c r="CE17" s="191"/>
      <c r="CF17" s="191"/>
      <c r="CG17" s="191"/>
      <c r="CH17" s="192"/>
      <c r="CI17" s="192"/>
      <c r="CJ17" s="192"/>
      <c r="CK17" s="192"/>
      <c r="CL17" s="192"/>
      <c r="CM17" s="192"/>
      <c r="CN17" s="192"/>
      <c r="CO17" s="192"/>
      <c r="CP17" s="192"/>
      <c r="CQ17" s="192"/>
      <c r="CR17" s="192"/>
      <c r="CS17" s="192"/>
      <c r="CT17" s="192"/>
    </row>
    <row r="18" ht="26.25" customHeight="1">
      <c r="A18" s="184" t="s">
        <v>85</v>
      </c>
      <c r="B18" s="184" t="s">
        <v>742</v>
      </c>
      <c r="C18" s="184" t="s">
        <v>608</v>
      </c>
      <c r="D18" s="185" t="s">
        <v>743</v>
      </c>
      <c r="E18" s="186" t="s">
        <v>900</v>
      </c>
      <c r="F18" s="187" t="s">
        <v>901</v>
      </c>
      <c r="G18" s="188">
        <v>0.3784722222222222</v>
      </c>
      <c r="H18" s="189" t="s">
        <v>902</v>
      </c>
      <c r="I18" s="189" t="s">
        <v>903</v>
      </c>
      <c r="J18" s="189" t="s">
        <v>904</v>
      </c>
      <c r="K18" s="189" t="s">
        <v>905</v>
      </c>
      <c r="L18" s="189" t="s">
        <v>906</v>
      </c>
      <c r="M18" s="185" t="s">
        <v>907</v>
      </c>
      <c r="N18" s="189" t="s">
        <v>908</v>
      </c>
      <c r="O18" s="185" t="s">
        <v>893</v>
      </c>
      <c r="P18" s="189" t="s">
        <v>909</v>
      </c>
      <c r="Q18" s="189" t="s">
        <v>903</v>
      </c>
      <c r="R18" s="189" t="s">
        <v>910</v>
      </c>
      <c r="S18" s="189" t="s">
        <v>911</v>
      </c>
      <c r="T18" s="190"/>
      <c r="U18" s="190"/>
      <c r="V18" s="189" t="s">
        <v>912</v>
      </c>
      <c r="W18" s="189" t="s">
        <v>913</v>
      </c>
      <c r="X18" s="185" t="s">
        <v>914</v>
      </c>
      <c r="Y18" s="189" t="s">
        <v>893</v>
      </c>
      <c r="Z18" s="189" t="s">
        <v>744</v>
      </c>
      <c r="AA18" s="189" t="s">
        <v>757</v>
      </c>
      <c r="AB18" s="191"/>
      <c r="AC18" s="191"/>
      <c r="AD18" s="191"/>
      <c r="AE18" s="191"/>
      <c r="AF18" s="191"/>
      <c r="AG18" s="191"/>
      <c r="AH18" s="191"/>
      <c r="AI18" s="191"/>
      <c r="AJ18" s="191"/>
      <c r="AK18" s="191"/>
      <c r="AL18" s="191"/>
      <c r="AM18" s="191"/>
      <c r="AN18" s="191"/>
      <c r="AO18" s="191"/>
      <c r="AP18" s="191"/>
      <c r="AQ18" s="191"/>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N18" s="191"/>
      <c r="BO18" s="191"/>
      <c r="BP18" s="191"/>
      <c r="BQ18" s="191"/>
      <c r="BR18" s="191"/>
      <c r="BS18" s="191"/>
      <c r="BT18" s="191"/>
      <c r="BU18" s="191"/>
      <c r="BV18" s="191"/>
      <c r="BW18" s="191"/>
      <c r="BX18" s="191"/>
      <c r="BY18" s="191"/>
      <c r="BZ18" s="191"/>
      <c r="CA18" s="191"/>
      <c r="CB18" s="191"/>
      <c r="CC18" s="191"/>
      <c r="CD18" s="191"/>
      <c r="CE18" s="191"/>
      <c r="CF18" s="191"/>
      <c r="CG18" s="191"/>
      <c r="CH18" s="192"/>
      <c r="CI18" s="192"/>
      <c r="CJ18" s="192"/>
      <c r="CK18" s="192"/>
      <c r="CL18" s="192"/>
      <c r="CM18" s="192"/>
      <c r="CN18" s="192"/>
      <c r="CO18" s="192"/>
      <c r="CP18" s="192"/>
      <c r="CQ18" s="192"/>
      <c r="CR18" s="192"/>
      <c r="CS18" s="192"/>
      <c r="CT18" s="192"/>
    </row>
    <row r="19" ht="26.25" customHeight="1">
      <c r="A19" s="184" t="s">
        <v>83</v>
      </c>
      <c r="B19" s="184" t="s">
        <v>742</v>
      </c>
      <c r="C19" s="184" t="s">
        <v>608</v>
      </c>
      <c r="D19" s="185" t="s">
        <v>743</v>
      </c>
      <c r="E19" s="186" t="s">
        <v>900</v>
      </c>
      <c r="F19" s="207" t="s">
        <v>901</v>
      </c>
      <c r="G19" s="188">
        <v>0.3923611111111111</v>
      </c>
      <c r="H19" s="189" t="s">
        <v>915</v>
      </c>
      <c r="I19" s="189" t="s">
        <v>916</v>
      </c>
      <c r="J19" s="189" t="s">
        <v>917</v>
      </c>
      <c r="K19" s="189" t="s">
        <v>918</v>
      </c>
      <c r="L19" s="189" t="s">
        <v>919</v>
      </c>
      <c r="M19" s="185" t="s">
        <v>920</v>
      </c>
      <c r="N19" s="189" t="s">
        <v>908</v>
      </c>
      <c r="O19" s="185" t="s">
        <v>764</v>
      </c>
      <c r="P19" s="190"/>
      <c r="Q19" s="190"/>
      <c r="R19" s="190"/>
      <c r="S19" s="190"/>
      <c r="T19" s="190"/>
      <c r="U19" s="190"/>
      <c r="V19" s="189" t="s">
        <v>884</v>
      </c>
      <c r="W19" s="189" t="s">
        <v>885</v>
      </c>
      <c r="X19" s="185" t="s">
        <v>886</v>
      </c>
      <c r="Y19" s="189" t="s">
        <v>764</v>
      </c>
      <c r="Z19" s="189" t="s">
        <v>744</v>
      </c>
      <c r="AA19" s="189" t="s">
        <v>757</v>
      </c>
      <c r="AB19" s="191"/>
      <c r="AC19" s="191"/>
      <c r="AD19" s="191"/>
      <c r="AE19" s="191"/>
      <c r="AF19" s="191"/>
      <c r="AG19" s="191"/>
      <c r="AH19" s="191"/>
      <c r="AI19" s="191"/>
      <c r="AJ19" s="191"/>
      <c r="AK19" s="191"/>
      <c r="AL19" s="191"/>
      <c r="AM19" s="191"/>
      <c r="AN19" s="191"/>
      <c r="AO19" s="191"/>
      <c r="AP19" s="191"/>
      <c r="AQ19" s="191"/>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N19" s="191"/>
      <c r="BO19" s="191"/>
      <c r="BP19" s="191"/>
      <c r="BQ19" s="191"/>
      <c r="BR19" s="191"/>
      <c r="BS19" s="191"/>
      <c r="BT19" s="191"/>
      <c r="BU19" s="191"/>
      <c r="BV19" s="191"/>
      <c r="BW19" s="191"/>
      <c r="BX19" s="191"/>
      <c r="BY19" s="191"/>
      <c r="BZ19" s="191"/>
      <c r="CA19" s="191"/>
      <c r="CB19" s="191"/>
      <c r="CC19" s="191"/>
      <c r="CD19" s="191"/>
      <c r="CE19" s="191"/>
      <c r="CF19" s="191"/>
      <c r="CG19" s="191"/>
      <c r="CH19" s="192"/>
      <c r="CI19" s="192"/>
      <c r="CJ19" s="192"/>
      <c r="CK19" s="192"/>
      <c r="CL19" s="192"/>
      <c r="CM19" s="192"/>
      <c r="CN19" s="192"/>
      <c r="CO19" s="192"/>
      <c r="CP19" s="192"/>
      <c r="CQ19" s="192"/>
      <c r="CR19" s="192"/>
      <c r="CS19" s="192"/>
      <c r="CT19" s="192"/>
    </row>
    <row r="20" ht="26.25" customHeight="1">
      <c r="A20" s="184" t="s">
        <v>86</v>
      </c>
      <c r="B20" s="184" t="s">
        <v>742</v>
      </c>
      <c r="C20" s="184" t="s">
        <v>608</v>
      </c>
      <c r="D20" s="185" t="s">
        <v>743</v>
      </c>
      <c r="E20" s="186" t="s">
        <v>900</v>
      </c>
      <c r="F20" s="207" t="s">
        <v>901</v>
      </c>
      <c r="G20" s="188">
        <v>0.4201388888888889</v>
      </c>
      <c r="H20" s="185" t="s">
        <v>921</v>
      </c>
      <c r="I20" s="185" t="s">
        <v>922</v>
      </c>
      <c r="J20" s="189" t="s">
        <v>923</v>
      </c>
      <c r="K20" s="189" t="s">
        <v>924</v>
      </c>
      <c r="L20" s="189" t="s">
        <v>925</v>
      </c>
      <c r="M20" s="185" t="s">
        <v>926</v>
      </c>
      <c r="N20" s="189" t="s">
        <v>850</v>
      </c>
      <c r="O20" s="185" t="s">
        <v>784</v>
      </c>
      <c r="P20" s="190"/>
      <c r="Q20" s="190"/>
      <c r="R20" s="190"/>
      <c r="S20" s="190"/>
      <c r="T20" s="190"/>
      <c r="U20" s="190"/>
      <c r="V20" s="189" t="s">
        <v>927</v>
      </c>
      <c r="W20" s="189" t="s">
        <v>928</v>
      </c>
      <c r="X20" s="185" t="s">
        <v>929</v>
      </c>
      <c r="Y20" s="189" t="s">
        <v>784</v>
      </c>
      <c r="Z20" s="189" t="s">
        <v>744</v>
      </c>
      <c r="AA20" s="189" t="s">
        <v>757</v>
      </c>
      <c r="AB20" s="191"/>
      <c r="AC20" s="191"/>
      <c r="AD20" s="191"/>
      <c r="AE20" s="191"/>
      <c r="AF20" s="191"/>
      <c r="AG20" s="191"/>
      <c r="AH20" s="191"/>
      <c r="AI20" s="191"/>
      <c r="AJ20" s="191"/>
      <c r="AK20" s="191"/>
      <c r="AL20" s="191"/>
      <c r="AM20" s="191"/>
      <c r="AN20" s="191"/>
      <c r="AO20" s="191"/>
      <c r="AP20" s="191"/>
      <c r="AQ20" s="191"/>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N20" s="191"/>
      <c r="BO20" s="191"/>
      <c r="BP20" s="191"/>
      <c r="BQ20" s="191"/>
      <c r="BR20" s="191"/>
      <c r="BS20" s="191"/>
      <c r="BT20" s="191"/>
      <c r="BU20" s="191"/>
      <c r="BV20" s="191"/>
      <c r="BW20" s="191"/>
      <c r="BX20" s="191"/>
      <c r="BY20" s="191"/>
      <c r="BZ20" s="191"/>
      <c r="CA20" s="191"/>
      <c r="CB20" s="191"/>
      <c r="CC20" s="191"/>
      <c r="CD20" s="191"/>
      <c r="CE20" s="191"/>
      <c r="CF20" s="191"/>
      <c r="CG20" s="191"/>
      <c r="CH20" s="192"/>
      <c r="CI20" s="192"/>
      <c r="CJ20" s="192"/>
      <c r="CK20" s="192"/>
      <c r="CL20" s="192"/>
      <c r="CM20" s="192"/>
      <c r="CN20" s="192"/>
      <c r="CO20" s="192"/>
      <c r="CP20" s="192"/>
      <c r="CQ20" s="192"/>
      <c r="CR20" s="192"/>
      <c r="CS20" s="192"/>
      <c r="CT20" s="192"/>
    </row>
    <row r="21" ht="26.25" customHeight="1">
      <c r="A21" s="184" t="s">
        <v>84</v>
      </c>
      <c r="B21" s="184" t="s">
        <v>742</v>
      </c>
      <c r="C21" s="184" t="s">
        <v>608</v>
      </c>
      <c r="D21" s="185" t="s">
        <v>743</v>
      </c>
      <c r="E21" s="186" t="s">
        <v>900</v>
      </c>
      <c r="F21" s="207" t="s">
        <v>901</v>
      </c>
      <c r="G21" s="188">
        <v>0.4340277777777778</v>
      </c>
      <c r="H21" s="189" t="s">
        <v>930</v>
      </c>
      <c r="I21" s="189" t="s">
        <v>931</v>
      </c>
      <c r="J21" s="189" t="s">
        <v>932</v>
      </c>
      <c r="K21" s="189" t="s">
        <v>933</v>
      </c>
      <c r="L21" s="189" t="s">
        <v>934</v>
      </c>
      <c r="M21" s="185" t="s">
        <v>935</v>
      </c>
      <c r="N21" s="189" t="s">
        <v>908</v>
      </c>
      <c r="O21" s="185" t="s">
        <v>893</v>
      </c>
      <c r="P21" s="190"/>
      <c r="Q21" s="190"/>
      <c r="R21" s="190"/>
      <c r="S21" s="190"/>
      <c r="T21" s="190"/>
      <c r="U21" s="190"/>
      <c r="V21" s="189" t="s">
        <v>936</v>
      </c>
      <c r="W21" s="189" t="s">
        <v>937</v>
      </c>
      <c r="X21" s="185" t="s">
        <v>938</v>
      </c>
      <c r="Y21" s="189" t="s">
        <v>893</v>
      </c>
      <c r="Z21" s="189" t="s">
        <v>744</v>
      </c>
      <c r="AA21" s="189" t="s">
        <v>939</v>
      </c>
      <c r="AB21" s="191"/>
      <c r="AC21" s="191"/>
      <c r="AD21" s="191"/>
      <c r="AE21" s="191"/>
      <c r="AF21" s="191"/>
      <c r="AG21" s="191"/>
      <c r="AH21" s="191"/>
      <c r="AI21" s="191"/>
      <c r="AJ21" s="191"/>
      <c r="AK21" s="191"/>
      <c r="AL21" s="191"/>
      <c r="AM21" s="191"/>
      <c r="AN21" s="191"/>
      <c r="AO21" s="191"/>
      <c r="AP21" s="191"/>
      <c r="AQ21" s="191"/>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N21" s="191"/>
      <c r="BO21" s="191"/>
      <c r="BP21" s="191"/>
      <c r="BQ21" s="191"/>
      <c r="BR21" s="191"/>
      <c r="BS21" s="191"/>
      <c r="BT21" s="191"/>
      <c r="BU21" s="191"/>
      <c r="BV21" s="191"/>
      <c r="BW21" s="191"/>
      <c r="BX21" s="191"/>
      <c r="BY21" s="191"/>
      <c r="BZ21" s="191"/>
      <c r="CA21" s="191"/>
      <c r="CB21" s="191"/>
      <c r="CC21" s="191"/>
      <c r="CD21" s="191"/>
      <c r="CE21" s="191"/>
      <c r="CF21" s="191"/>
      <c r="CG21" s="191"/>
      <c r="CH21" s="192"/>
      <c r="CI21" s="192"/>
      <c r="CJ21" s="192"/>
      <c r="CK21" s="192"/>
      <c r="CL21" s="192"/>
      <c r="CM21" s="192"/>
      <c r="CN21" s="192"/>
      <c r="CO21" s="192"/>
      <c r="CP21" s="192"/>
      <c r="CQ21" s="192"/>
      <c r="CR21" s="192"/>
      <c r="CS21" s="192"/>
      <c r="CT21" s="192"/>
    </row>
    <row r="22" ht="26.25" customHeight="1">
      <c r="A22" s="184" t="s">
        <v>87</v>
      </c>
      <c r="B22" s="184" t="s">
        <v>742</v>
      </c>
      <c r="C22" s="184" t="s">
        <v>608</v>
      </c>
      <c r="D22" s="185" t="s">
        <v>743</v>
      </c>
      <c r="E22" s="186" t="s">
        <v>900</v>
      </c>
      <c r="F22" s="207" t="s">
        <v>901</v>
      </c>
      <c r="G22" s="188">
        <v>0.4479166666666667</v>
      </c>
      <c r="H22" s="189" t="s">
        <v>912</v>
      </c>
      <c r="I22" s="189" t="s">
        <v>940</v>
      </c>
      <c r="J22" s="189" t="s">
        <v>941</v>
      </c>
      <c r="K22" s="189" t="s">
        <v>942</v>
      </c>
      <c r="L22" s="189" t="s">
        <v>943</v>
      </c>
      <c r="M22" s="185" t="s">
        <v>944</v>
      </c>
      <c r="N22" s="189" t="s">
        <v>850</v>
      </c>
      <c r="O22" s="185" t="s">
        <v>784</v>
      </c>
      <c r="P22" s="190"/>
      <c r="Q22" s="190"/>
      <c r="R22" s="190"/>
      <c r="S22" s="190"/>
      <c r="T22" s="190"/>
      <c r="U22" s="190"/>
      <c r="V22" s="189" t="s">
        <v>945</v>
      </c>
      <c r="W22" s="189" t="s">
        <v>928</v>
      </c>
      <c r="X22" s="185" t="s">
        <v>929</v>
      </c>
      <c r="Y22" s="189" t="s">
        <v>784</v>
      </c>
      <c r="Z22" s="189" t="s">
        <v>744</v>
      </c>
      <c r="AA22" s="189" t="s">
        <v>757</v>
      </c>
      <c r="AB22" s="191"/>
      <c r="AC22" s="191"/>
      <c r="AD22" s="191"/>
      <c r="AE22" s="191"/>
      <c r="AF22" s="191"/>
      <c r="AG22" s="191"/>
      <c r="AH22" s="191"/>
      <c r="AI22" s="191"/>
      <c r="AJ22" s="191"/>
      <c r="AK22" s="191"/>
      <c r="AL22" s="191"/>
      <c r="AM22" s="191"/>
      <c r="AN22" s="191"/>
      <c r="AO22" s="191"/>
      <c r="AP22" s="191"/>
      <c r="AQ22" s="191"/>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N22" s="191"/>
      <c r="BO22" s="191"/>
      <c r="BP22" s="191"/>
      <c r="BQ22" s="191"/>
      <c r="BR22" s="191"/>
      <c r="BS22" s="191"/>
      <c r="BT22" s="191"/>
      <c r="BU22" s="191"/>
      <c r="BV22" s="191"/>
      <c r="BW22" s="191"/>
      <c r="BX22" s="191"/>
      <c r="BY22" s="191"/>
      <c r="BZ22" s="191"/>
      <c r="CA22" s="191"/>
      <c r="CB22" s="191"/>
      <c r="CC22" s="191"/>
      <c r="CD22" s="191"/>
      <c r="CE22" s="191"/>
      <c r="CF22" s="191"/>
      <c r="CG22" s="191"/>
      <c r="CH22" s="192"/>
      <c r="CI22" s="192"/>
      <c r="CJ22" s="192"/>
      <c r="CK22" s="192"/>
      <c r="CL22" s="192"/>
      <c r="CM22" s="192"/>
      <c r="CN22" s="192"/>
      <c r="CO22" s="192"/>
      <c r="CP22" s="192"/>
      <c r="CQ22" s="192"/>
      <c r="CR22" s="192"/>
      <c r="CS22" s="192"/>
      <c r="CT22" s="192"/>
    </row>
    <row r="23" ht="26.25" customHeight="1">
      <c r="A23" s="184" t="s">
        <v>88</v>
      </c>
      <c r="B23" s="184" t="s">
        <v>742</v>
      </c>
      <c r="C23" s="184" t="s">
        <v>609</v>
      </c>
      <c r="D23" s="185" t="s">
        <v>743</v>
      </c>
      <c r="E23" s="186" t="s">
        <v>946</v>
      </c>
      <c r="F23" s="207" t="s">
        <v>947</v>
      </c>
      <c r="G23" s="188">
        <v>0.3784722222222222</v>
      </c>
      <c r="H23" s="189" t="s">
        <v>948</v>
      </c>
      <c r="I23" s="189" t="s">
        <v>949</v>
      </c>
      <c r="J23" s="189" t="s">
        <v>950</v>
      </c>
      <c r="K23" s="189" t="s">
        <v>951</v>
      </c>
      <c r="L23" s="189" t="s">
        <v>952</v>
      </c>
      <c r="M23" s="185" t="s">
        <v>953</v>
      </c>
      <c r="N23" s="189" t="s">
        <v>908</v>
      </c>
      <c r="O23" s="185" t="s">
        <v>764</v>
      </c>
      <c r="P23" s="190"/>
      <c r="Q23" s="190"/>
      <c r="R23" s="190"/>
      <c r="S23" s="190"/>
      <c r="T23" s="190"/>
      <c r="U23" s="190"/>
      <c r="V23" s="189" t="s">
        <v>954</v>
      </c>
      <c r="W23" s="189" t="s">
        <v>955</v>
      </c>
      <c r="X23" s="185" t="s">
        <v>956</v>
      </c>
      <c r="Y23" s="189" t="s">
        <v>764</v>
      </c>
      <c r="Z23" s="189" t="s">
        <v>946</v>
      </c>
      <c r="AA23" s="189" t="s">
        <v>757</v>
      </c>
      <c r="AB23" s="191"/>
      <c r="AC23" s="191"/>
      <c r="AD23" s="191"/>
      <c r="AE23" s="191"/>
      <c r="AF23" s="191"/>
      <c r="AG23" s="191"/>
      <c r="AH23" s="191"/>
      <c r="AI23" s="191"/>
      <c r="AJ23" s="191"/>
      <c r="AK23" s="191"/>
      <c r="AL23" s="191"/>
      <c r="AM23" s="191"/>
      <c r="AN23" s="191"/>
      <c r="AO23" s="191"/>
      <c r="AP23" s="191"/>
      <c r="AQ23" s="191"/>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N23" s="191"/>
      <c r="BO23" s="191"/>
      <c r="BP23" s="191"/>
      <c r="BQ23" s="191"/>
      <c r="BR23" s="191"/>
      <c r="BS23" s="191"/>
      <c r="BT23" s="191"/>
      <c r="BU23" s="191"/>
      <c r="BV23" s="191"/>
      <c r="BW23" s="191"/>
      <c r="BX23" s="191"/>
      <c r="BY23" s="191"/>
      <c r="BZ23" s="191"/>
      <c r="CA23" s="191"/>
      <c r="CB23" s="191"/>
      <c r="CC23" s="191"/>
      <c r="CD23" s="191"/>
      <c r="CE23" s="191"/>
      <c r="CF23" s="191"/>
      <c r="CG23" s="191"/>
      <c r="CH23" s="192"/>
      <c r="CI23" s="192"/>
      <c r="CJ23" s="192"/>
      <c r="CK23" s="192"/>
      <c r="CL23" s="192"/>
      <c r="CM23" s="192"/>
      <c r="CN23" s="192"/>
      <c r="CO23" s="192"/>
      <c r="CP23" s="192"/>
      <c r="CQ23" s="192"/>
      <c r="CR23" s="192"/>
      <c r="CS23" s="192"/>
      <c r="CT23" s="192"/>
    </row>
    <row r="24" ht="26.25" customHeight="1">
      <c r="A24" s="184" t="s">
        <v>93</v>
      </c>
      <c r="B24" s="184" t="s">
        <v>742</v>
      </c>
      <c r="C24" s="184" t="s">
        <v>609</v>
      </c>
      <c r="D24" s="185" t="s">
        <v>743</v>
      </c>
      <c r="E24" s="186" t="s">
        <v>946</v>
      </c>
      <c r="F24" s="207" t="s">
        <v>947</v>
      </c>
      <c r="G24" s="188">
        <v>0.3923611111111111</v>
      </c>
      <c r="H24" s="189" t="s">
        <v>957</v>
      </c>
      <c r="I24" s="189" t="s">
        <v>958</v>
      </c>
      <c r="J24" s="189" t="s">
        <v>959</v>
      </c>
      <c r="K24" s="189" t="s">
        <v>960</v>
      </c>
      <c r="L24" s="189" t="s">
        <v>961</v>
      </c>
      <c r="M24" s="185" t="s">
        <v>962</v>
      </c>
      <c r="N24" s="189" t="s">
        <v>850</v>
      </c>
      <c r="O24" s="185" t="s">
        <v>764</v>
      </c>
      <c r="P24" s="190"/>
      <c r="Q24" s="190"/>
      <c r="R24" s="190"/>
      <c r="S24" s="190"/>
      <c r="T24" s="190"/>
      <c r="U24" s="190"/>
      <c r="V24" s="189" t="s">
        <v>963</v>
      </c>
      <c r="W24" s="189" t="s">
        <v>964</v>
      </c>
      <c r="X24" s="185" t="s">
        <v>965</v>
      </c>
      <c r="Y24" s="189" t="s">
        <v>764</v>
      </c>
      <c r="Z24" s="189" t="s">
        <v>946</v>
      </c>
      <c r="AA24" s="189" t="s">
        <v>757</v>
      </c>
      <c r="AB24" s="191"/>
      <c r="AC24" s="191"/>
      <c r="AD24" s="191"/>
      <c r="AE24" s="191"/>
      <c r="AF24" s="191"/>
      <c r="AG24" s="191"/>
      <c r="AH24" s="191"/>
      <c r="AI24" s="191"/>
      <c r="AJ24" s="191"/>
      <c r="AK24" s="191"/>
      <c r="AL24" s="191"/>
      <c r="AM24" s="191"/>
      <c r="AN24" s="191"/>
      <c r="AO24" s="191"/>
      <c r="AP24" s="191"/>
      <c r="AQ24" s="191"/>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N24" s="191"/>
      <c r="BO24" s="191"/>
      <c r="BP24" s="191"/>
      <c r="BQ24" s="191"/>
      <c r="BR24" s="191"/>
      <c r="BS24" s="191"/>
      <c r="BT24" s="191"/>
      <c r="BU24" s="191"/>
      <c r="BV24" s="191"/>
      <c r="BW24" s="191"/>
      <c r="BX24" s="191"/>
      <c r="BY24" s="191"/>
      <c r="BZ24" s="191"/>
      <c r="CA24" s="191"/>
      <c r="CB24" s="191"/>
      <c r="CC24" s="191"/>
      <c r="CD24" s="191"/>
      <c r="CE24" s="191"/>
      <c r="CF24" s="191"/>
      <c r="CG24" s="191"/>
      <c r="CH24" s="192"/>
      <c r="CI24" s="192"/>
      <c r="CJ24" s="192"/>
      <c r="CK24" s="192"/>
      <c r="CL24" s="192"/>
      <c r="CM24" s="192"/>
      <c r="CN24" s="192"/>
      <c r="CO24" s="192"/>
      <c r="CP24" s="192"/>
      <c r="CQ24" s="192"/>
      <c r="CR24" s="192"/>
      <c r="CS24" s="192"/>
      <c r="CT24" s="192"/>
    </row>
    <row r="25" ht="26.25" customHeight="1">
      <c r="A25" s="184" t="s">
        <v>92</v>
      </c>
      <c r="B25" s="184" t="s">
        <v>742</v>
      </c>
      <c r="C25" s="184" t="s">
        <v>609</v>
      </c>
      <c r="D25" s="185" t="s">
        <v>743</v>
      </c>
      <c r="E25" s="186" t="s">
        <v>946</v>
      </c>
      <c r="F25" s="207" t="s">
        <v>947</v>
      </c>
      <c r="G25" s="188">
        <v>0.40625</v>
      </c>
      <c r="H25" s="189" t="s">
        <v>966</v>
      </c>
      <c r="I25" s="189" t="s">
        <v>967</v>
      </c>
      <c r="J25" s="189" t="s">
        <v>968</v>
      </c>
      <c r="K25" s="189" t="s">
        <v>969</v>
      </c>
      <c r="L25" s="189" t="s">
        <v>970</v>
      </c>
      <c r="M25" s="185" t="s">
        <v>971</v>
      </c>
      <c r="N25" s="189" t="s">
        <v>908</v>
      </c>
      <c r="O25" s="185" t="s">
        <v>764</v>
      </c>
      <c r="P25" s="190"/>
      <c r="Q25" s="190"/>
      <c r="R25" s="190"/>
      <c r="S25" s="190"/>
      <c r="T25" s="190"/>
      <c r="U25" s="190"/>
      <c r="V25" s="189" t="s">
        <v>972</v>
      </c>
      <c r="W25" s="189" t="s">
        <v>973</v>
      </c>
      <c r="X25" s="185" t="s">
        <v>974</v>
      </c>
      <c r="Y25" s="189" t="s">
        <v>764</v>
      </c>
      <c r="Z25" s="189" t="s">
        <v>946</v>
      </c>
      <c r="AA25" s="189" t="s">
        <v>757</v>
      </c>
      <c r="AB25" s="191"/>
      <c r="AC25" s="191"/>
      <c r="AD25" s="191"/>
      <c r="AE25" s="191"/>
      <c r="AF25" s="191"/>
      <c r="AG25" s="191"/>
      <c r="AH25" s="191"/>
      <c r="AI25" s="191"/>
      <c r="AJ25" s="191"/>
      <c r="AK25" s="191"/>
      <c r="AL25" s="191"/>
      <c r="AM25" s="191"/>
      <c r="AN25" s="191"/>
      <c r="AO25" s="191"/>
      <c r="AP25" s="191"/>
      <c r="AQ25" s="191"/>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N25" s="191"/>
      <c r="BO25" s="191"/>
      <c r="BP25" s="191"/>
      <c r="BQ25" s="191"/>
      <c r="BR25" s="191"/>
      <c r="BS25" s="191"/>
      <c r="BT25" s="191"/>
      <c r="BU25" s="191"/>
      <c r="BV25" s="191"/>
      <c r="BW25" s="191"/>
      <c r="BX25" s="191"/>
      <c r="BY25" s="191"/>
      <c r="BZ25" s="191"/>
      <c r="CA25" s="191"/>
      <c r="CB25" s="191"/>
      <c r="CC25" s="191"/>
      <c r="CD25" s="191"/>
      <c r="CE25" s="191"/>
      <c r="CF25" s="191"/>
      <c r="CG25" s="191"/>
      <c r="CH25" s="192"/>
      <c r="CI25" s="192"/>
      <c r="CJ25" s="192"/>
      <c r="CK25" s="192"/>
      <c r="CL25" s="192"/>
      <c r="CM25" s="192"/>
      <c r="CN25" s="192"/>
      <c r="CO25" s="192"/>
      <c r="CP25" s="192"/>
      <c r="CQ25" s="192"/>
      <c r="CR25" s="192"/>
      <c r="CS25" s="192"/>
      <c r="CT25" s="192"/>
    </row>
    <row r="26" ht="26.25" customHeight="1">
      <c r="A26" s="184" t="s">
        <v>91</v>
      </c>
      <c r="B26" s="184" t="s">
        <v>742</v>
      </c>
      <c r="C26" s="184" t="s">
        <v>609</v>
      </c>
      <c r="D26" s="185" t="s">
        <v>743</v>
      </c>
      <c r="E26" s="186" t="s">
        <v>946</v>
      </c>
      <c r="F26" s="207" t="s">
        <v>947</v>
      </c>
      <c r="G26" s="188">
        <v>0.4201388888888889</v>
      </c>
      <c r="H26" s="189" t="s">
        <v>975</v>
      </c>
      <c r="I26" s="189" t="s">
        <v>976</v>
      </c>
      <c r="J26" s="189" t="s">
        <v>977</v>
      </c>
      <c r="K26" s="189" t="s">
        <v>978</v>
      </c>
      <c r="L26" s="189" t="s">
        <v>979</v>
      </c>
      <c r="M26" s="185" t="s">
        <v>980</v>
      </c>
      <c r="N26" s="189" t="s">
        <v>850</v>
      </c>
      <c r="O26" s="185" t="s">
        <v>764</v>
      </c>
      <c r="P26" s="190"/>
      <c r="Q26" s="190"/>
      <c r="R26" s="190"/>
      <c r="S26" s="190"/>
      <c r="T26" s="190"/>
      <c r="U26" s="190"/>
      <c r="V26" s="189" t="s">
        <v>981</v>
      </c>
      <c r="W26" s="189" t="s">
        <v>973</v>
      </c>
      <c r="X26" s="185" t="s">
        <v>974</v>
      </c>
      <c r="Y26" s="189" t="s">
        <v>764</v>
      </c>
      <c r="Z26" s="189" t="s">
        <v>946</v>
      </c>
      <c r="AA26" s="189" t="s">
        <v>757</v>
      </c>
      <c r="AB26" s="191"/>
      <c r="AC26" s="191"/>
      <c r="AD26" s="191"/>
      <c r="AE26" s="191"/>
      <c r="AF26" s="191"/>
      <c r="AG26" s="191"/>
      <c r="AH26" s="191"/>
      <c r="AI26" s="191"/>
      <c r="AJ26" s="191"/>
      <c r="AK26" s="191"/>
      <c r="AL26" s="191"/>
      <c r="AM26" s="191"/>
      <c r="AN26" s="191"/>
      <c r="AO26" s="191"/>
      <c r="AP26" s="191"/>
      <c r="AQ26" s="191"/>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N26" s="191"/>
      <c r="BO26" s="191"/>
      <c r="BP26" s="191"/>
      <c r="BQ26" s="191"/>
      <c r="BR26" s="191"/>
      <c r="BS26" s="191"/>
      <c r="BT26" s="191"/>
      <c r="BU26" s="191"/>
      <c r="BV26" s="191"/>
      <c r="BW26" s="191"/>
      <c r="BX26" s="191"/>
      <c r="BY26" s="191"/>
      <c r="BZ26" s="191"/>
      <c r="CA26" s="191"/>
      <c r="CB26" s="191"/>
      <c r="CC26" s="191"/>
      <c r="CD26" s="191"/>
      <c r="CE26" s="191"/>
      <c r="CF26" s="191"/>
      <c r="CG26" s="191"/>
      <c r="CH26" s="192"/>
      <c r="CI26" s="192"/>
      <c r="CJ26" s="192"/>
      <c r="CK26" s="192"/>
      <c r="CL26" s="192"/>
      <c r="CM26" s="192"/>
      <c r="CN26" s="192"/>
      <c r="CO26" s="192"/>
      <c r="CP26" s="192"/>
      <c r="CQ26" s="192"/>
      <c r="CR26" s="192"/>
      <c r="CS26" s="192"/>
      <c r="CT26" s="192"/>
    </row>
    <row r="27" ht="26.25" customHeight="1">
      <c r="A27" s="184" t="s">
        <v>89</v>
      </c>
      <c r="B27" s="184" t="s">
        <v>742</v>
      </c>
      <c r="C27" s="184" t="s">
        <v>609</v>
      </c>
      <c r="D27" s="185" t="s">
        <v>743</v>
      </c>
      <c r="E27" s="186" t="s">
        <v>946</v>
      </c>
      <c r="F27" s="207" t="s">
        <v>947</v>
      </c>
      <c r="G27" s="188">
        <v>0.4340277777777778</v>
      </c>
      <c r="H27" s="189" t="s">
        <v>982</v>
      </c>
      <c r="I27" s="189" t="s">
        <v>983</v>
      </c>
      <c r="J27" s="189" t="s">
        <v>984</v>
      </c>
      <c r="K27" s="189" t="s">
        <v>985</v>
      </c>
      <c r="L27" s="189" t="s">
        <v>986</v>
      </c>
      <c r="M27" s="185" t="s">
        <v>987</v>
      </c>
      <c r="N27" s="189" t="s">
        <v>850</v>
      </c>
      <c r="O27" s="185" t="s">
        <v>773</v>
      </c>
      <c r="P27" s="190"/>
      <c r="Q27" s="190"/>
      <c r="R27" s="190"/>
      <c r="S27" s="190"/>
      <c r="T27" s="190"/>
      <c r="U27" s="190"/>
      <c r="V27" s="189" t="s">
        <v>988</v>
      </c>
      <c r="W27" s="189" t="s">
        <v>989</v>
      </c>
      <c r="X27" s="185" t="s">
        <v>990</v>
      </c>
      <c r="Y27" s="189" t="s">
        <v>773</v>
      </c>
      <c r="Z27" s="189" t="s">
        <v>806</v>
      </c>
      <c r="AA27" s="189" t="s">
        <v>757</v>
      </c>
      <c r="AB27" s="191"/>
      <c r="AC27" s="191"/>
      <c r="AD27" s="191"/>
      <c r="AE27" s="191"/>
      <c r="AF27" s="191"/>
      <c r="AG27" s="191"/>
      <c r="AH27" s="191"/>
      <c r="AI27" s="191"/>
      <c r="AJ27" s="191"/>
      <c r="AK27" s="191"/>
      <c r="AL27" s="191"/>
      <c r="AM27" s="191"/>
      <c r="AN27" s="191"/>
      <c r="AO27" s="191"/>
      <c r="AP27" s="191"/>
      <c r="AQ27" s="191"/>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N27" s="191"/>
      <c r="BO27" s="191"/>
      <c r="BP27" s="191"/>
      <c r="BQ27" s="191"/>
      <c r="BR27" s="191"/>
      <c r="BS27" s="191"/>
      <c r="BT27" s="191"/>
      <c r="BU27" s="191"/>
      <c r="BV27" s="191"/>
      <c r="BW27" s="191"/>
      <c r="BX27" s="191"/>
      <c r="BY27" s="191"/>
      <c r="BZ27" s="191"/>
      <c r="CA27" s="191"/>
      <c r="CB27" s="191"/>
      <c r="CC27" s="191"/>
      <c r="CD27" s="191"/>
      <c r="CE27" s="191"/>
      <c r="CF27" s="191"/>
      <c r="CG27" s="191"/>
      <c r="CH27" s="192"/>
      <c r="CI27" s="192"/>
      <c r="CJ27" s="192"/>
      <c r="CK27" s="192"/>
      <c r="CL27" s="192"/>
      <c r="CM27" s="192"/>
      <c r="CN27" s="192"/>
      <c r="CO27" s="192"/>
      <c r="CP27" s="192"/>
      <c r="CQ27" s="192"/>
      <c r="CR27" s="192"/>
      <c r="CS27" s="192"/>
      <c r="CT27" s="192"/>
    </row>
    <row r="28" ht="26.25" customHeight="1">
      <c r="A28" s="184" t="s">
        <v>90</v>
      </c>
      <c r="B28" s="184" t="s">
        <v>742</v>
      </c>
      <c r="C28" s="184" t="s">
        <v>609</v>
      </c>
      <c r="D28" s="185" t="s">
        <v>743</v>
      </c>
      <c r="E28" s="186" t="s">
        <v>946</v>
      </c>
      <c r="F28" s="207" t="s">
        <v>947</v>
      </c>
      <c r="G28" s="188">
        <v>0.4479166666666667</v>
      </c>
      <c r="H28" s="189" t="s">
        <v>991</v>
      </c>
      <c r="I28" s="189" t="s">
        <v>992</v>
      </c>
      <c r="J28" s="189" t="s">
        <v>993</v>
      </c>
      <c r="K28" s="189" t="s">
        <v>994</v>
      </c>
      <c r="L28" s="189" t="s">
        <v>995</v>
      </c>
      <c r="M28" s="185" t="s">
        <v>996</v>
      </c>
      <c r="N28" s="189" t="s">
        <v>850</v>
      </c>
      <c r="O28" s="185" t="s">
        <v>764</v>
      </c>
      <c r="P28" s="190"/>
      <c r="Q28" s="190"/>
      <c r="R28" s="190"/>
      <c r="S28" s="190"/>
      <c r="T28" s="190"/>
      <c r="U28" s="190"/>
      <c r="V28" s="189" t="s">
        <v>972</v>
      </c>
      <c r="W28" s="189" t="s">
        <v>973</v>
      </c>
      <c r="X28" s="185" t="s">
        <v>974</v>
      </c>
      <c r="Y28" s="189" t="s">
        <v>764</v>
      </c>
      <c r="Z28" s="189" t="s">
        <v>946</v>
      </c>
      <c r="AA28" s="189" t="s">
        <v>797</v>
      </c>
      <c r="AB28" s="191"/>
      <c r="AC28" s="191"/>
      <c r="AD28" s="191"/>
      <c r="AE28" s="191"/>
      <c r="AF28" s="191"/>
      <c r="AG28" s="191"/>
      <c r="AH28" s="191"/>
      <c r="AI28" s="191"/>
      <c r="AJ28" s="191"/>
      <c r="AK28" s="191"/>
      <c r="AL28" s="191"/>
      <c r="AM28" s="191"/>
      <c r="AN28" s="191"/>
      <c r="AO28" s="191"/>
      <c r="AP28" s="191"/>
      <c r="AQ28" s="191"/>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N28" s="191"/>
      <c r="BO28" s="191"/>
      <c r="BP28" s="191"/>
      <c r="BQ28" s="191"/>
      <c r="BR28" s="191"/>
      <c r="BS28" s="191"/>
      <c r="BT28" s="191"/>
      <c r="BU28" s="191"/>
      <c r="BV28" s="191"/>
      <c r="BW28" s="191"/>
      <c r="BX28" s="191"/>
      <c r="BY28" s="191"/>
      <c r="BZ28" s="191"/>
      <c r="CA28" s="191"/>
      <c r="CB28" s="191"/>
      <c r="CC28" s="191"/>
      <c r="CD28" s="191"/>
      <c r="CE28" s="191"/>
      <c r="CF28" s="191"/>
      <c r="CG28" s="191"/>
      <c r="CH28" s="192"/>
      <c r="CI28" s="192"/>
      <c r="CJ28" s="192"/>
      <c r="CK28" s="192"/>
      <c r="CL28" s="192"/>
      <c r="CM28" s="192"/>
      <c r="CN28" s="192"/>
      <c r="CO28" s="192"/>
      <c r="CP28" s="192"/>
      <c r="CQ28" s="192"/>
      <c r="CR28" s="192"/>
      <c r="CS28" s="192"/>
      <c r="CT28" s="192"/>
    </row>
    <row r="29" ht="26.25" customHeight="1">
      <c r="A29" s="184" t="s">
        <v>99</v>
      </c>
      <c r="B29" s="184" t="s">
        <v>742</v>
      </c>
      <c r="C29" s="184" t="s">
        <v>610</v>
      </c>
      <c r="D29" s="185" t="s">
        <v>743</v>
      </c>
      <c r="E29" s="186" t="s">
        <v>806</v>
      </c>
      <c r="F29" s="187" t="s">
        <v>997</v>
      </c>
      <c r="G29" s="188">
        <v>0.3784722222222222</v>
      </c>
      <c r="H29" s="189" t="s">
        <v>912</v>
      </c>
      <c r="I29" s="189" t="s">
        <v>998</v>
      </c>
      <c r="J29" s="189" t="s">
        <v>999</v>
      </c>
      <c r="K29" s="189" t="s">
        <v>1000</v>
      </c>
      <c r="L29" s="189" t="s">
        <v>1001</v>
      </c>
      <c r="M29" s="185" t="s">
        <v>1002</v>
      </c>
      <c r="N29" s="189" t="s">
        <v>850</v>
      </c>
      <c r="O29" s="185" t="s">
        <v>773</v>
      </c>
      <c r="P29" s="189" t="s">
        <v>1003</v>
      </c>
      <c r="Q29" s="189" t="s">
        <v>1004</v>
      </c>
      <c r="R29" s="189" t="s">
        <v>1005</v>
      </c>
      <c r="S29" s="189" t="s">
        <v>1006</v>
      </c>
      <c r="T29" s="190"/>
      <c r="U29" s="190"/>
      <c r="V29" s="189" t="s">
        <v>846</v>
      </c>
      <c r="W29" s="189" t="s">
        <v>1007</v>
      </c>
      <c r="X29" s="208" t="s">
        <v>1008</v>
      </c>
      <c r="Y29" s="189" t="s">
        <v>773</v>
      </c>
      <c r="Z29" s="189" t="s">
        <v>806</v>
      </c>
      <c r="AA29" s="189" t="s">
        <v>757</v>
      </c>
      <c r="AB29" s="191"/>
      <c r="AC29" s="191"/>
      <c r="AD29" s="191"/>
      <c r="AE29" s="191"/>
      <c r="AF29" s="191"/>
      <c r="AG29" s="191"/>
      <c r="AH29" s="191"/>
      <c r="AI29" s="191"/>
      <c r="AJ29" s="191"/>
      <c r="AK29" s="191"/>
      <c r="AL29" s="191"/>
      <c r="AM29" s="191"/>
      <c r="AN29" s="191"/>
      <c r="AO29" s="191"/>
      <c r="AP29" s="191"/>
      <c r="AQ29" s="191"/>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N29" s="191"/>
      <c r="BO29" s="191"/>
      <c r="BP29" s="191"/>
      <c r="BQ29" s="191"/>
      <c r="BR29" s="191"/>
      <c r="BS29" s="191"/>
      <c r="BT29" s="191"/>
      <c r="BU29" s="191"/>
      <c r="BV29" s="191"/>
      <c r="BW29" s="191"/>
      <c r="BX29" s="191"/>
      <c r="BY29" s="191"/>
      <c r="BZ29" s="191"/>
      <c r="CA29" s="191"/>
      <c r="CB29" s="191"/>
      <c r="CC29" s="191"/>
      <c r="CD29" s="191"/>
      <c r="CE29" s="191"/>
      <c r="CF29" s="191"/>
      <c r="CG29" s="191"/>
      <c r="CH29" s="192"/>
      <c r="CI29" s="192"/>
      <c r="CJ29" s="192"/>
      <c r="CK29" s="192"/>
      <c r="CL29" s="192"/>
      <c r="CM29" s="192"/>
      <c r="CN29" s="192"/>
      <c r="CO29" s="192"/>
      <c r="CP29" s="192"/>
      <c r="CQ29" s="192"/>
      <c r="CR29" s="192"/>
      <c r="CS29" s="192"/>
      <c r="CT29" s="192"/>
    </row>
    <row r="30" ht="26.25" customHeight="1">
      <c r="A30" s="184" t="s">
        <v>96</v>
      </c>
      <c r="B30" s="184" t="s">
        <v>742</v>
      </c>
      <c r="C30" s="184" t="s">
        <v>610</v>
      </c>
      <c r="D30" s="185" t="s">
        <v>743</v>
      </c>
      <c r="E30" s="186" t="s">
        <v>806</v>
      </c>
      <c r="F30" s="187" t="s">
        <v>997</v>
      </c>
      <c r="G30" s="188">
        <v>0.3923611111111111</v>
      </c>
      <c r="H30" s="189" t="s">
        <v>1009</v>
      </c>
      <c r="I30" s="189" t="s">
        <v>1010</v>
      </c>
      <c r="J30" s="189" t="s">
        <v>1011</v>
      </c>
      <c r="K30" s="189" t="s">
        <v>1012</v>
      </c>
      <c r="L30" s="189" t="s">
        <v>1013</v>
      </c>
      <c r="M30" s="185" t="s">
        <v>1014</v>
      </c>
      <c r="N30" s="189" t="s">
        <v>908</v>
      </c>
      <c r="O30" s="185" t="s">
        <v>773</v>
      </c>
      <c r="P30" s="190"/>
      <c r="Q30" s="190"/>
      <c r="R30" s="190"/>
      <c r="S30" s="190"/>
      <c r="T30" s="190"/>
      <c r="U30" s="190"/>
      <c r="V30" s="189" t="s">
        <v>1015</v>
      </c>
      <c r="W30" s="189" t="s">
        <v>1016</v>
      </c>
      <c r="X30" s="208" t="s">
        <v>1017</v>
      </c>
      <c r="Y30" s="189" t="s">
        <v>773</v>
      </c>
      <c r="Z30" s="189" t="s">
        <v>806</v>
      </c>
      <c r="AA30" s="189" t="s">
        <v>797</v>
      </c>
      <c r="AB30" s="191"/>
      <c r="AC30" s="191"/>
      <c r="AD30" s="191"/>
      <c r="AE30" s="191"/>
      <c r="AF30" s="191"/>
      <c r="AG30" s="191"/>
      <c r="AH30" s="191"/>
      <c r="AI30" s="191"/>
      <c r="AJ30" s="191"/>
      <c r="AK30" s="191"/>
      <c r="AL30" s="191"/>
      <c r="AM30" s="191"/>
      <c r="AN30" s="191"/>
      <c r="AO30" s="191"/>
      <c r="AP30" s="191"/>
      <c r="AQ30" s="191"/>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N30" s="191"/>
      <c r="BO30" s="191"/>
      <c r="BP30" s="191"/>
      <c r="BQ30" s="191"/>
      <c r="BR30" s="191"/>
      <c r="BS30" s="191"/>
      <c r="BT30" s="191"/>
      <c r="BU30" s="191"/>
      <c r="BV30" s="191"/>
      <c r="BW30" s="191"/>
      <c r="BX30" s="191"/>
      <c r="BY30" s="191"/>
      <c r="BZ30" s="191"/>
      <c r="CA30" s="191"/>
      <c r="CB30" s="191"/>
      <c r="CC30" s="191"/>
      <c r="CD30" s="191"/>
      <c r="CE30" s="191"/>
      <c r="CF30" s="191"/>
      <c r="CG30" s="191"/>
      <c r="CH30" s="192"/>
      <c r="CI30" s="192"/>
      <c r="CJ30" s="192"/>
      <c r="CK30" s="192"/>
      <c r="CL30" s="192"/>
      <c r="CM30" s="192"/>
      <c r="CN30" s="192"/>
      <c r="CO30" s="192"/>
      <c r="CP30" s="192"/>
      <c r="CQ30" s="192"/>
      <c r="CR30" s="192"/>
      <c r="CS30" s="192"/>
      <c r="CT30" s="192"/>
    </row>
    <row r="31" ht="26.25" customHeight="1">
      <c r="A31" s="184" t="s">
        <v>100</v>
      </c>
      <c r="B31" s="184" t="s">
        <v>742</v>
      </c>
      <c r="C31" s="184" t="s">
        <v>610</v>
      </c>
      <c r="D31" s="185" t="s">
        <v>743</v>
      </c>
      <c r="E31" s="186" t="s">
        <v>806</v>
      </c>
      <c r="F31" s="187" t="s">
        <v>997</v>
      </c>
      <c r="G31" s="188">
        <v>0.40625</v>
      </c>
      <c r="H31" s="189" t="s">
        <v>1018</v>
      </c>
      <c r="I31" s="189" t="s">
        <v>1019</v>
      </c>
      <c r="J31" s="189" t="s">
        <v>1020</v>
      </c>
      <c r="K31" s="189" t="s">
        <v>1021</v>
      </c>
      <c r="L31" s="189" t="s">
        <v>1022</v>
      </c>
      <c r="M31" s="185" t="s">
        <v>1023</v>
      </c>
      <c r="N31" s="189" t="s">
        <v>908</v>
      </c>
      <c r="O31" s="185" t="s">
        <v>773</v>
      </c>
      <c r="P31" s="190"/>
      <c r="Q31" s="190"/>
      <c r="R31" s="190"/>
      <c r="S31" s="190"/>
      <c r="T31" s="190"/>
      <c r="U31" s="190"/>
      <c r="V31" s="189" t="s">
        <v>841</v>
      </c>
      <c r="W31" s="189" t="s">
        <v>842</v>
      </c>
      <c r="X31" s="208" t="s">
        <v>843</v>
      </c>
      <c r="Y31" s="189" t="s">
        <v>773</v>
      </c>
      <c r="Z31" s="189" t="s">
        <v>806</v>
      </c>
      <c r="AA31" s="189" t="s">
        <v>757</v>
      </c>
      <c r="AB31" s="191"/>
      <c r="AC31" s="191"/>
      <c r="AD31" s="191"/>
      <c r="AE31" s="191"/>
      <c r="AF31" s="191"/>
      <c r="AG31" s="191"/>
      <c r="AH31" s="191"/>
      <c r="AI31" s="191"/>
      <c r="AJ31" s="191"/>
      <c r="AK31" s="191"/>
      <c r="AL31" s="191"/>
      <c r="AM31" s="191"/>
      <c r="AN31" s="191"/>
      <c r="AO31" s="191"/>
      <c r="AP31" s="191"/>
      <c r="AQ31" s="191"/>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N31" s="191"/>
      <c r="BO31" s="191"/>
      <c r="BP31" s="191"/>
      <c r="BQ31" s="191"/>
      <c r="BR31" s="191"/>
      <c r="BS31" s="191"/>
      <c r="BT31" s="191"/>
      <c r="BU31" s="191"/>
      <c r="BV31" s="191"/>
      <c r="BW31" s="191"/>
      <c r="BX31" s="191"/>
      <c r="BY31" s="191"/>
      <c r="BZ31" s="191"/>
      <c r="CA31" s="191"/>
      <c r="CB31" s="191"/>
      <c r="CC31" s="191"/>
      <c r="CD31" s="191"/>
      <c r="CE31" s="191"/>
      <c r="CF31" s="191"/>
      <c r="CG31" s="191"/>
      <c r="CH31" s="192"/>
      <c r="CI31" s="192"/>
      <c r="CJ31" s="192"/>
      <c r="CK31" s="192"/>
      <c r="CL31" s="192"/>
      <c r="CM31" s="192"/>
      <c r="CN31" s="192"/>
      <c r="CO31" s="192"/>
      <c r="CP31" s="192"/>
      <c r="CQ31" s="192"/>
      <c r="CR31" s="192"/>
      <c r="CS31" s="192"/>
      <c r="CT31" s="192"/>
    </row>
    <row r="32" ht="26.25" customHeight="1">
      <c r="A32" s="184" t="s">
        <v>102</v>
      </c>
      <c r="B32" s="184" t="s">
        <v>742</v>
      </c>
      <c r="C32" s="184" t="s">
        <v>610</v>
      </c>
      <c r="D32" s="185" t="s">
        <v>743</v>
      </c>
      <c r="E32" s="186" t="s">
        <v>806</v>
      </c>
      <c r="F32" s="187" t="s">
        <v>997</v>
      </c>
      <c r="G32" s="188">
        <v>0.4201388888888889</v>
      </c>
      <c r="H32" s="189" t="s">
        <v>1024</v>
      </c>
      <c r="I32" s="189" t="s">
        <v>1025</v>
      </c>
      <c r="J32" s="189" t="s">
        <v>1026</v>
      </c>
      <c r="K32" s="189" t="s">
        <v>1027</v>
      </c>
      <c r="L32" s="189" t="s">
        <v>1028</v>
      </c>
      <c r="M32" s="185" t="s">
        <v>1029</v>
      </c>
      <c r="N32" s="189" t="s">
        <v>908</v>
      </c>
      <c r="O32" s="185" t="s">
        <v>773</v>
      </c>
      <c r="P32" s="190"/>
      <c r="Q32" s="190"/>
      <c r="R32" s="190"/>
      <c r="S32" s="190"/>
      <c r="T32" s="190"/>
      <c r="U32" s="190"/>
      <c r="V32" s="189" t="s">
        <v>1015</v>
      </c>
      <c r="W32" s="189" t="s">
        <v>1016</v>
      </c>
      <c r="X32" s="208" t="s">
        <v>1017</v>
      </c>
      <c r="Y32" s="189" t="s">
        <v>773</v>
      </c>
      <c r="Z32" s="189" t="s">
        <v>806</v>
      </c>
      <c r="AA32" s="189" t="s">
        <v>757</v>
      </c>
      <c r="AB32" s="191"/>
      <c r="AC32" s="191"/>
      <c r="AD32" s="191"/>
      <c r="AE32" s="191"/>
      <c r="AF32" s="191"/>
      <c r="AG32" s="191"/>
      <c r="AH32" s="191"/>
      <c r="AI32" s="191"/>
      <c r="AJ32" s="191"/>
      <c r="AK32" s="191"/>
      <c r="AL32" s="191"/>
      <c r="AM32" s="191"/>
      <c r="AN32" s="191"/>
      <c r="AO32" s="191"/>
      <c r="AP32" s="191"/>
      <c r="AQ32" s="191"/>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N32" s="191"/>
      <c r="BO32" s="191"/>
      <c r="BP32" s="191"/>
      <c r="BQ32" s="191"/>
      <c r="BR32" s="191"/>
      <c r="BS32" s="191"/>
      <c r="BT32" s="191"/>
      <c r="BU32" s="191"/>
      <c r="BV32" s="191"/>
      <c r="BW32" s="191"/>
      <c r="BX32" s="191"/>
      <c r="BY32" s="191"/>
      <c r="BZ32" s="191"/>
      <c r="CA32" s="191"/>
      <c r="CB32" s="191"/>
      <c r="CC32" s="191"/>
      <c r="CD32" s="191"/>
      <c r="CE32" s="191"/>
      <c r="CF32" s="191"/>
      <c r="CG32" s="191"/>
      <c r="CH32" s="192"/>
      <c r="CI32" s="192"/>
      <c r="CJ32" s="192"/>
      <c r="CK32" s="192"/>
      <c r="CL32" s="192"/>
      <c r="CM32" s="192"/>
      <c r="CN32" s="192"/>
      <c r="CO32" s="192"/>
      <c r="CP32" s="192"/>
      <c r="CQ32" s="192"/>
      <c r="CR32" s="192"/>
      <c r="CS32" s="192"/>
      <c r="CT32" s="192"/>
    </row>
    <row r="33" ht="26.25" customHeight="1">
      <c r="A33" s="184" t="s">
        <v>97</v>
      </c>
      <c r="B33" s="184" t="s">
        <v>742</v>
      </c>
      <c r="C33" s="184" t="s">
        <v>610</v>
      </c>
      <c r="D33" s="185" t="s">
        <v>743</v>
      </c>
      <c r="E33" s="186" t="s">
        <v>806</v>
      </c>
      <c r="F33" s="187" t="s">
        <v>997</v>
      </c>
      <c r="G33" s="188">
        <v>0.4340277777777778</v>
      </c>
      <c r="H33" s="189" t="s">
        <v>1030</v>
      </c>
      <c r="I33" s="189" t="s">
        <v>1031</v>
      </c>
      <c r="J33" s="189" t="s">
        <v>1032</v>
      </c>
      <c r="K33" s="189" t="s">
        <v>1033</v>
      </c>
      <c r="L33" s="189" t="s">
        <v>1034</v>
      </c>
      <c r="M33" s="185" t="s">
        <v>1035</v>
      </c>
      <c r="N33" s="189" t="s">
        <v>850</v>
      </c>
      <c r="O33" s="185" t="s">
        <v>773</v>
      </c>
      <c r="P33" s="189" t="s">
        <v>1036</v>
      </c>
      <c r="Q33" s="189" t="s">
        <v>1037</v>
      </c>
      <c r="R33" s="189" t="s">
        <v>1038</v>
      </c>
      <c r="S33" s="189" t="s">
        <v>1039</v>
      </c>
      <c r="T33" s="189" t="s">
        <v>1040</v>
      </c>
      <c r="U33" s="189" t="s">
        <v>1041</v>
      </c>
      <c r="V33" s="189" t="s">
        <v>1042</v>
      </c>
      <c r="W33" s="189" t="s">
        <v>1007</v>
      </c>
      <c r="X33" s="208" t="s">
        <v>1008</v>
      </c>
      <c r="Y33" s="189" t="s">
        <v>773</v>
      </c>
      <c r="Z33" s="189" t="s">
        <v>806</v>
      </c>
      <c r="AA33" s="189" t="s">
        <v>797</v>
      </c>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N33" s="191"/>
      <c r="BO33" s="191"/>
      <c r="BP33" s="191"/>
      <c r="BQ33" s="191"/>
      <c r="BR33" s="191"/>
      <c r="BS33" s="191"/>
      <c r="BT33" s="191"/>
      <c r="BU33" s="191"/>
      <c r="BV33" s="191"/>
      <c r="BW33" s="191"/>
      <c r="BX33" s="191"/>
      <c r="BY33" s="191"/>
      <c r="BZ33" s="191"/>
      <c r="CA33" s="191"/>
      <c r="CB33" s="191"/>
      <c r="CC33" s="191"/>
      <c r="CD33" s="191"/>
      <c r="CE33" s="191"/>
      <c r="CF33" s="191"/>
      <c r="CG33" s="191"/>
      <c r="CH33" s="192"/>
      <c r="CI33" s="192"/>
      <c r="CJ33" s="192"/>
      <c r="CK33" s="192"/>
      <c r="CL33" s="192"/>
      <c r="CM33" s="192"/>
      <c r="CN33" s="192"/>
      <c r="CO33" s="192"/>
      <c r="CP33" s="192"/>
      <c r="CQ33" s="192"/>
      <c r="CR33" s="192"/>
      <c r="CS33" s="192"/>
      <c r="CT33" s="192"/>
    </row>
    <row r="34" ht="26.25" customHeight="1">
      <c r="A34" s="184" t="s">
        <v>94</v>
      </c>
      <c r="B34" s="184" t="s">
        <v>742</v>
      </c>
      <c r="C34" s="184" t="s">
        <v>610</v>
      </c>
      <c r="D34" s="185" t="s">
        <v>743</v>
      </c>
      <c r="E34" s="186" t="s">
        <v>806</v>
      </c>
      <c r="F34" s="187" t="s">
        <v>997</v>
      </c>
      <c r="G34" s="188">
        <v>0.4479166666666667</v>
      </c>
      <c r="H34" s="189" t="s">
        <v>1043</v>
      </c>
      <c r="I34" s="189" t="s">
        <v>1044</v>
      </c>
      <c r="J34" s="189" t="s">
        <v>1045</v>
      </c>
      <c r="K34" s="189" t="s">
        <v>1046</v>
      </c>
      <c r="L34" s="189" t="s">
        <v>1047</v>
      </c>
      <c r="M34" s="185" t="s">
        <v>1048</v>
      </c>
      <c r="N34" s="189" t="s">
        <v>850</v>
      </c>
      <c r="O34" s="185" t="s">
        <v>773</v>
      </c>
      <c r="P34" s="190"/>
      <c r="Q34" s="190"/>
      <c r="R34" s="190"/>
      <c r="S34" s="190"/>
      <c r="T34" s="190"/>
      <c r="U34" s="190"/>
      <c r="V34" s="189" t="s">
        <v>832</v>
      </c>
      <c r="W34" s="189" t="s">
        <v>833</v>
      </c>
      <c r="X34" s="208" t="s">
        <v>834</v>
      </c>
      <c r="Y34" s="189" t="s">
        <v>773</v>
      </c>
      <c r="Z34" s="189" t="s">
        <v>806</v>
      </c>
      <c r="AA34" s="189" t="s">
        <v>757</v>
      </c>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91"/>
      <c r="CG34" s="191"/>
      <c r="CH34" s="192"/>
      <c r="CI34" s="192"/>
      <c r="CJ34" s="192"/>
      <c r="CK34" s="192"/>
      <c r="CL34" s="192"/>
      <c r="CM34" s="192"/>
      <c r="CN34" s="192"/>
      <c r="CO34" s="192"/>
      <c r="CP34" s="192"/>
      <c r="CQ34" s="192"/>
      <c r="CR34" s="192"/>
      <c r="CS34" s="192"/>
      <c r="CT34" s="192"/>
    </row>
    <row r="35" ht="26.25" customHeight="1">
      <c r="A35" s="184" t="s">
        <v>106</v>
      </c>
      <c r="B35" s="184" t="s">
        <v>742</v>
      </c>
      <c r="C35" s="184" t="s">
        <v>611</v>
      </c>
      <c r="D35" s="185" t="s">
        <v>743</v>
      </c>
      <c r="E35" s="186" t="s">
        <v>1049</v>
      </c>
      <c r="F35" s="187" t="s">
        <v>1050</v>
      </c>
      <c r="G35" s="188">
        <v>0.3784722222222222</v>
      </c>
      <c r="H35" s="189" t="s">
        <v>1051</v>
      </c>
      <c r="I35" s="189" t="s">
        <v>1052</v>
      </c>
      <c r="J35" s="189" t="s">
        <v>1053</v>
      </c>
      <c r="K35" s="189" t="s">
        <v>1054</v>
      </c>
      <c r="L35" s="189" t="s">
        <v>1055</v>
      </c>
      <c r="M35" s="209" t="s">
        <v>1056</v>
      </c>
      <c r="N35" s="189" t="s">
        <v>850</v>
      </c>
      <c r="O35" s="185" t="s">
        <v>784</v>
      </c>
      <c r="P35" s="190"/>
      <c r="Q35" s="190"/>
      <c r="R35" s="190"/>
      <c r="S35" s="190"/>
      <c r="T35" s="190"/>
      <c r="U35" s="190"/>
      <c r="V35" s="189" t="s">
        <v>1057</v>
      </c>
      <c r="W35" s="189" t="s">
        <v>1058</v>
      </c>
      <c r="X35" s="208" t="s">
        <v>1059</v>
      </c>
      <c r="Y35" s="189" t="s">
        <v>784</v>
      </c>
      <c r="Z35" s="189" t="s">
        <v>1060</v>
      </c>
      <c r="AA35" s="189" t="s">
        <v>797</v>
      </c>
      <c r="AB35" s="191"/>
      <c r="AC35" s="191"/>
      <c r="AD35" s="191"/>
      <c r="AE35" s="191"/>
      <c r="AF35" s="191"/>
      <c r="AG35" s="191"/>
      <c r="AH35" s="191"/>
      <c r="AI35" s="191"/>
      <c r="AJ35" s="191"/>
      <c r="AK35" s="191"/>
      <c r="AL35" s="191"/>
      <c r="AM35" s="191"/>
      <c r="AN35" s="191"/>
      <c r="AO35" s="191"/>
      <c r="AP35" s="191"/>
      <c r="AQ35" s="191"/>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N35" s="191"/>
      <c r="BO35" s="191"/>
      <c r="BP35" s="191"/>
      <c r="BQ35" s="191"/>
      <c r="BR35" s="191"/>
      <c r="BS35" s="191"/>
      <c r="BT35" s="191"/>
      <c r="BU35" s="191"/>
      <c r="BV35" s="191"/>
      <c r="BW35" s="191"/>
      <c r="BX35" s="191"/>
      <c r="BY35" s="191"/>
      <c r="BZ35" s="191"/>
      <c r="CA35" s="191"/>
      <c r="CB35" s="191"/>
      <c r="CC35" s="191"/>
      <c r="CD35" s="191"/>
      <c r="CE35" s="191"/>
      <c r="CF35" s="191"/>
      <c r="CG35" s="191"/>
      <c r="CH35" s="192"/>
      <c r="CI35" s="192"/>
      <c r="CJ35" s="192"/>
      <c r="CK35" s="192"/>
      <c r="CL35" s="192"/>
      <c r="CM35" s="192"/>
      <c r="CN35" s="192"/>
      <c r="CO35" s="192"/>
      <c r="CP35" s="192"/>
      <c r="CQ35" s="192"/>
      <c r="CR35" s="192"/>
      <c r="CS35" s="192"/>
      <c r="CT35" s="192"/>
    </row>
    <row r="36" ht="26.25" customHeight="1">
      <c r="A36" s="184" t="s">
        <v>107</v>
      </c>
      <c r="B36" s="184" t="s">
        <v>742</v>
      </c>
      <c r="C36" s="184" t="s">
        <v>611</v>
      </c>
      <c r="D36" s="185" t="s">
        <v>743</v>
      </c>
      <c r="E36" s="186" t="s">
        <v>1049</v>
      </c>
      <c r="F36" s="187" t="s">
        <v>1050</v>
      </c>
      <c r="G36" s="188">
        <v>0.3923611111111111</v>
      </c>
      <c r="H36" s="189" t="s">
        <v>1061</v>
      </c>
      <c r="I36" s="189" t="s">
        <v>1062</v>
      </c>
      <c r="J36" s="189" t="s">
        <v>1063</v>
      </c>
      <c r="K36" s="189" t="s">
        <v>1064</v>
      </c>
      <c r="L36" s="189" t="s">
        <v>1065</v>
      </c>
      <c r="M36" s="185" t="s">
        <v>1066</v>
      </c>
      <c r="N36" s="189" t="s">
        <v>850</v>
      </c>
      <c r="O36" s="185" t="s">
        <v>784</v>
      </c>
      <c r="P36" s="190"/>
      <c r="Q36" s="190"/>
      <c r="R36" s="190"/>
      <c r="S36" s="190"/>
      <c r="T36" s="190"/>
      <c r="U36" s="190"/>
      <c r="V36" s="189" t="s">
        <v>1067</v>
      </c>
      <c r="W36" s="189" t="s">
        <v>1068</v>
      </c>
      <c r="X36" s="208" t="s">
        <v>1069</v>
      </c>
      <c r="Y36" s="189" t="s">
        <v>784</v>
      </c>
      <c r="Z36" s="189" t="s">
        <v>1060</v>
      </c>
      <c r="AA36" s="189" t="s">
        <v>757</v>
      </c>
      <c r="AB36" s="191"/>
      <c r="AC36" s="191"/>
      <c r="AD36" s="191"/>
      <c r="AE36" s="191"/>
      <c r="AF36" s="191"/>
      <c r="AG36" s="191"/>
      <c r="AH36" s="191"/>
      <c r="AI36" s="191"/>
      <c r="AJ36" s="191"/>
      <c r="AK36" s="191"/>
      <c r="AL36" s="191"/>
      <c r="AM36" s="191"/>
      <c r="AN36" s="191"/>
      <c r="AO36" s="191"/>
      <c r="AP36" s="191"/>
      <c r="AQ36" s="191"/>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N36" s="191"/>
      <c r="BO36" s="191"/>
      <c r="BP36" s="191"/>
      <c r="BQ36" s="191"/>
      <c r="BR36" s="191"/>
      <c r="BS36" s="191"/>
      <c r="BT36" s="191"/>
      <c r="BU36" s="191"/>
      <c r="BV36" s="191"/>
      <c r="BW36" s="191"/>
      <c r="BX36" s="191"/>
      <c r="BY36" s="191"/>
      <c r="BZ36" s="191"/>
      <c r="CA36" s="191"/>
      <c r="CB36" s="191"/>
      <c r="CC36" s="191"/>
      <c r="CD36" s="191"/>
      <c r="CE36" s="191"/>
      <c r="CF36" s="191"/>
      <c r="CG36" s="191"/>
      <c r="CH36" s="192"/>
      <c r="CI36" s="192"/>
      <c r="CJ36" s="192"/>
      <c r="CK36" s="192"/>
      <c r="CL36" s="192"/>
      <c r="CM36" s="192"/>
      <c r="CN36" s="192"/>
      <c r="CO36" s="192"/>
      <c r="CP36" s="192"/>
      <c r="CQ36" s="192"/>
      <c r="CR36" s="192"/>
      <c r="CS36" s="192"/>
      <c r="CT36" s="192"/>
    </row>
    <row r="37" ht="26.25" customHeight="1">
      <c r="A37" s="184" t="s">
        <v>104</v>
      </c>
      <c r="B37" s="184" t="s">
        <v>742</v>
      </c>
      <c r="C37" s="184" t="s">
        <v>611</v>
      </c>
      <c r="D37" s="185" t="s">
        <v>743</v>
      </c>
      <c r="E37" s="186" t="s">
        <v>1049</v>
      </c>
      <c r="F37" s="187" t="s">
        <v>1050</v>
      </c>
      <c r="G37" s="188">
        <v>0.40625</v>
      </c>
      <c r="H37" s="189" t="s">
        <v>1070</v>
      </c>
      <c r="I37" s="189" t="s">
        <v>1071</v>
      </c>
      <c r="J37" s="189" t="s">
        <v>1072</v>
      </c>
      <c r="K37" s="189" t="s">
        <v>1073</v>
      </c>
      <c r="L37" s="190" t="s">
        <v>1074</v>
      </c>
      <c r="M37" s="185" t="s">
        <v>1075</v>
      </c>
      <c r="N37" s="189" t="s">
        <v>850</v>
      </c>
      <c r="O37" s="185" t="s">
        <v>784</v>
      </c>
      <c r="P37" s="190"/>
      <c r="Q37" s="190"/>
      <c r="R37" s="190"/>
      <c r="S37" s="190"/>
      <c r="T37" s="190"/>
      <c r="U37" s="190"/>
      <c r="V37" s="189" t="s">
        <v>1076</v>
      </c>
      <c r="W37" s="189" t="s">
        <v>1077</v>
      </c>
      <c r="X37" s="208" t="s">
        <v>1078</v>
      </c>
      <c r="Y37" s="189" t="s">
        <v>784</v>
      </c>
      <c r="Z37" s="189" t="s">
        <v>1060</v>
      </c>
      <c r="AA37" s="189" t="s">
        <v>757</v>
      </c>
      <c r="AB37" s="191"/>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N37" s="191"/>
      <c r="BO37" s="191"/>
      <c r="BP37" s="191"/>
      <c r="BQ37" s="191"/>
      <c r="BR37" s="191"/>
      <c r="BS37" s="191"/>
      <c r="BT37" s="191"/>
      <c r="BU37" s="191"/>
      <c r="BV37" s="191"/>
      <c r="BW37" s="191"/>
      <c r="BX37" s="191"/>
      <c r="BY37" s="191"/>
      <c r="BZ37" s="191"/>
      <c r="CA37" s="191"/>
      <c r="CB37" s="191"/>
      <c r="CC37" s="191"/>
      <c r="CD37" s="191"/>
      <c r="CE37" s="191"/>
      <c r="CF37" s="191"/>
      <c r="CG37" s="191"/>
      <c r="CH37" s="192"/>
      <c r="CI37" s="192"/>
      <c r="CJ37" s="192"/>
      <c r="CK37" s="192"/>
      <c r="CL37" s="192"/>
      <c r="CM37" s="192"/>
      <c r="CN37" s="192"/>
      <c r="CO37" s="192"/>
      <c r="CP37" s="192"/>
      <c r="CQ37" s="192"/>
      <c r="CR37" s="192"/>
      <c r="CS37" s="192"/>
      <c r="CT37" s="192"/>
    </row>
    <row r="38" ht="26.25" customHeight="1">
      <c r="A38" s="184" t="s">
        <v>109</v>
      </c>
      <c r="B38" s="184" t="s">
        <v>742</v>
      </c>
      <c r="C38" s="184" t="s">
        <v>611</v>
      </c>
      <c r="D38" s="185" t="s">
        <v>743</v>
      </c>
      <c r="E38" s="186" t="s">
        <v>1049</v>
      </c>
      <c r="F38" s="187" t="s">
        <v>1050</v>
      </c>
      <c r="G38" s="188">
        <v>0.4201388888888889</v>
      </c>
      <c r="H38" s="189" t="s">
        <v>1079</v>
      </c>
      <c r="I38" s="189" t="s">
        <v>1080</v>
      </c>
      <c r="J38" s="189" t="s">
        <v>1081</v>
      </c>
      <c r="K38" s="189" t="s">
        <v>1082</v>
      </c>
      <c r="L38" s="189" t="s">
        <v>1083</v>
      </c>
      <c r="M38" s="185" t="s">
        <v>1084</v>
      </c>
      <c r="N38" s="189" t="s">
        <v>850</v>
      </c>
      <c r="O38" s="185" t="s">
        <v>784</v>
      </c>
      <c r="P38" s="189" t="s">
        <v>1080</v>
      </c>
      <c r="Q38" s="190"/>
      <c r="R38" s="190"/>
      <c r="S38" s="190"/>
      <c r="T38" s="190"/>
      <c r="U38" s="190"/>
      <c r="V38" s="189" t="s">
        <v>1085</v>
      </c>
      <c r="W38" s="189" t="s">
        <v>1086</v>
      </c>
      <c r="X38" s="208" t="s">
        <v>1087</v>
      </c>
      <c r="Y38" s="189" t="s">
        <v>784</v>
      </c>
      <c r="Z38" s="189" t="s">
        <v>1060</v>
      </c>
      <c r="AA38" s="189" t="s">
        <v>1088</v>
      </c>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N38" s="191"/>
      <c r="BO38" s="191"/>
      <c r="BP38" s="191"/>
      <c r="BQ38" s="191"/>
      <c r="BR38" s="191"/>
      <c r="BS38" s="191"/>
      <c r="BT38" s="191"/>
      <c r="BU38" s="191"/>
      <c r="BV38" s="191"/>
      <c r="BW38" s="191"/>
      <c r="BX38" s="191"/>
      <c r="BY38" s="191"/>
      <c r="BZ38" s="191"/>
      <c r="CA38" s="191"/>
      <c r="CB38" s="191"/>
      <c r="CC38" s="191"/>
      <c r="CD38" s="191"/>
      <c r="CE38" s="191"/>
      <c r="CF38" s="191"/>
      <c r="CG38" s="191"/>
      <c r="CH38" s="192"/>
      <c r="CI38" s="192"/>
      <c r="CJ38" s="192"/>
      <c r="CK38" s="192"/>
      <c r="CL38" s="192"/>
      <c r="CM38" s="192"/>
      <c r="CN38" s="192"/>
      <c r="CO38" s="192"/>
      <c r="CP38" s="192"/>
      <c r="CQ38" s="192"/>
      <c r="CR38" s="192"/>
      <c r="CS38" s="192"/>
      <c r="CT38" s="192"/>
    </row>
    <row r="39" ht="26.25" customHeight="1">
      <c r="A39" s="184" t="s">
        <v>103</v>
      </c>
      <c r="B39" s="184" t="s">
        <v>742</v>
      </c>
      <c r="C39" s="184" t="s">
        <v>611</v>
      </c>
      <c r="D39" s="185" t="s">
        <v>743</v>
      </c>
      <c r="E39" s="186" t="s">
        <v>1049</v>
      </c>
      <c r="F39" s="187" t="s">
        <v>1050</v>
      </c>
      <c r="G39" s="188">
        <v>0.4340277777777778</v>
      </c>
      <c r="H39" s="189" t="s">
        <v>1089</v>
      </c>
      <c r="I39" s="189" t="s">
        <v>768</v>
      </c>
      <c r="J39" s="189" t="s">
        <v>1090</v>
      </c>
      <c r="K39" s="189" t="s">
        <v>1091</v>
      </c>
      <c r="L39" s="189" t="s">
        <v>1092</v>
      </c>
      <c r="M39" s="185" t="s">
        <v>1093</v>
      </c>
      <c r="N39" s="189" t="s">
        <v>850</v>
      </c>
      <c r="O39" s="185" t="s">
        <v>784</v>
      </c>
      <c r="P39" s="190"/>
      <c r="Q39" s="190"/>
      <c r="R39" s="190"/>
      <c r="S39" s="190"/>
      <c r="T39" s="210"/>
      <c r="U39" s="210"/>
      <c r="V39" s="189" t="s">
        <v>1094</v>
      </c>
      <c r="W39" s="189" t="s">
        <v>1095</v>
      </c>
      <c r="X39" s="208" t="s">
        <v>1096</v>
      </c>
      <c r="Y39" s="189" t="s">
        <v>784</v>
      </c>
      <c r="Z39" s="189" t="s">
        <v>1060</v>
      </c>
      <c r="AA39" s="189" t="s">
        <v>797</v>
      </c>
      <c r="AB39" s="191"/>
      <c r="AC39" s="191"/>
      <c r="AD39" s="191"/>
      <c r="AE39" s="191"/>
      <c r="AF39" s="191"/>
      <c r="AG39" s="191"/>
      <c r="AH39" s="191"/>
      <c r="AI39" s="191"/>
      <c r="AJ39" s="191"/>
      <c r="AK39" s="191"/>
      <c r="AL39" s="191"/>
      <c r="AM39" s="191"/>
      <c r="AN39" s="191"/>
      <c r="AO39" s="191"/>
      <c r="AP39" s="191"/>
      <c r="AQ39" s="191"/>
      <c r="AR39" s="191"/>
      <c r="AS39" s="191"/>
      <c r="AT39" s="191"/>
      <c r="AU39" s="191"/>
      <c r="AV39" s="191"/>
      <c r="AW39" s="191"/>
      <c r="AX39" s="191"/>
      <c r="AY39" s="191"/>
      <c r="AZ39" s="191"/>
      <c r="BA39" s="191"/>
      <c r="BB39" s="191"/>
      <c r="BC39" s="191"/>
      <c r="BD39" s="191"/>
      <c r="BE39" s="191"/>
      <c r="BF39" s="191"/>
      <c r="BG39" s="191"/>
      <c r="BH39" s="191"/>
      <c r="BI39" s="191"/>
      <c r="BJ39" s="191"/>
      <c r="BK39" s="192"/>
      <c r="BL39" s="192"/>
      <c r="BM39" s="191"/>
      <c r="BN39" s="191"/>
      <c r="BO39" s="191"/>
      <c r="BP39" s="191"/>
      <c r="BQ39" s="191"/>
      <c r="BR39" s="191"/>
      <c r="BS39" s="191"/>
      <c r="BT39" s="191"/>
      <c r="BU39" s="191"/>
      <c r="BV39" s="191"/>
      <c r="BW39" s="191"/>
      <c r="BX39" s="191"/>
      <c r="BY39" s="191"/>
      <c r="BZ39" s="191"/>
      <c r="CA39" s="191"/>
      <c r="CB39" s="191"/>
      <c r="CC39" s="191"/>
      <c r="CD39" s="191"/>
      <c r="CE39" s="191"/>
      <c r="CF39" s="191"/>
      <c r="CG39" s="191"/>
      <c r="CH39" s="192"/>
      <c r="CI39" s="192"/>
      <c r="CJ39" s="192"/>
      <c r="CK39" s="192"/>
      <c r="CL39" s="192"/>
      <c r="CM39" s="192"/>
      <c r="CN39" s="192"/>
      <c r="CO39" s="192"/>
      <c r="CP39" s="192"/>
      <c r="CQ39" s="192"/>
      <c r="CR39" s="192"/>
      <c r="CS39" s="192"/>
      <c r="CT39" s="192"/>
    </row>
    <row r="40" ht="26.25" customHeight="1">
      <c r="A40" s="184" t="s">
        <v>108</v>
      </c>
      <c r="B40" s="184" t="s">
        <v>742</v>
      </c>
      <c r="C40" s="184" t="s">
        <v>611</v>
      </c>
      <c r="D40" s="185" t="s">
        <v>743</v>
      </c>
      <c r="E40" s="186" t="s">
        <v>1049</v>
      </c>
      <c r="F40" s="187" t="s">
        <v>1050</v>
      </c>
      <c r="G40" s="188">
        <v>0.4479166666666667</v>
      </c>
      <c r="H40" s="189" t="s">
        <v>1097</v>
      </c>
      <c r="I40" s="189" t="s">
        <v>1098</v>
      </c>
      <c r="J40" s="189" t="s">
        <v>1099</v>
      </c>
      <c r="K40" s="189" t="s">
        <v>1064</v>
      </c>
      <c r="L40" s="189" t="s">
        <v>1100</v>
      </c>
      <c r="M40" s="185" t="s">
        <v>1101</v>
      </c>
      <c r="N40" s="189" t="s">
        <v>850</v>
      </c>
      <c r="O40" s="185" t="s">
        <v>784</v>
      </c>
      <c r="P40" s="190"/>
      <c r="Q40" s="190"/>
      <c r="R40" s="190"/>
      <c r="S40" s="190"/>
      <c r="T40" s="190"/>
      <c r="U40" s="190"/>
      <c r="V40" s="189" t="s">
        <v>1102</v>
      </c>
      <c r="W40" s="189" t="s">
        <v>1103</v>
      </c>
      <c r="X40" s="208" t="s">
        <v>1104</v>
      </c>
      <c r="Y40" s="189" t="s">
        <v>784</v>
      </c>
      <c r="Z40" s="189" t="s">
        <v>1060</v>
      </c>
      <c r="AA40" s="189" t="s">
        <v>797</v>
      </c>
      <c r="AB40" s="191"/>
      <c r="AC40" s="191"/>
      <c r="AD40" s="191"/>
      <c r="AE40" s="191"/>
      <c r="AF40" s="191"/>
      <c r="AG40" s="191"/>
      <c r="AH40" s="191"/>
      <c r="AI40" s="191"/>
      <c r="AJ40" s="191"/>
      <c r="AK40" s="191"/>
      <c r="AL40" s="191"/>
      <c r="AM40" s="191"/>
      <c r="AN40" s="191"/>
      <c r="AO40" s="191"/>
      <c r="AP40" s="191"/>
      <c r="AQ40" s="191"/>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N40" s="191"/>
      <c r="BO40" s="191"/>
      <c r="BP40" s="191"/>
      <c r="BQ40" s="191"/>
      <c r="BR40" s="191"/>
      <c r="BS40" s="191"/>
      <c r="BT40" s="191"/>
      <c r="BU40" s="191"/>
      <c r="BV40" s="191"/>
      <c r="BW40" s="191"/>
      <c r="BX40" s="191"/>
      <c r="BY40" s="191"/>
      <c r="BZ40" s="191"/>
      <c r="CA40" s="191"/>
      <c r="CB40" s="191"/>
      <c r="CC40" s="191"/>
      <c r="CD40" s="191"/>
      <c r="CE40" s="191"/>
      <c r="CF40" s="191"/>
      <c r="CG40" s="191"/>
      <c r="CH40" s="192"/>
      <c r="CI40" s="192"/>
      <c r="CJ40" s="192"/>
      <c r="CK40" s="192"/>
      <c r="CL40" s="192"/>
      <c r="CM40" s="192"/>
      <c r="CN40" s="192"/>
      <c r="CO40" s="192"/>
      <c r="CP40" s="192"/>
      <c r="CQ40" s="192"/>
      <c r="CR40" s="192"/>
      <c r="CS40" s="192"/>
      <c r="CT40" s="192"/>
    </row>
    <row r="41" ht="26.25" customHeight="1">
      <c r="A41" s="184" t="s">
        <v>114</v>
      </c>
      <c r="B41" s="184" t="s">
        <v>742</v>
      </c>
      <c r="C41" s="184" t="s">
        <v>612</v>
      </c>
      <c r="D41" s="185" t="s">
        <v>743</v>
      </c>
      <c r="E41" s="186" t="s">
        <v>1105</v>
      </c>
      <c r="F41" s="187" t="s">
        <v>1106</v>
      </c>
      <c r="G41" s="188">
        <v>0.3784722222222222</v>
      </c>
      <c r="H41" s="189" t="s">
        <v>1107</v>
      </c>
      <c r="I41" s="189" t="s">
        <v>1108</v>
      </c>
      <c r="J41" s="189" t="s">
        <v>1109</v>
      </c>
      <c r="K41" s="189" t="s">
        <v>1110</v>
      </c>
      <c r="L41" s="185" t="s">
        <v>1111</v>
      </c>
      <c r="M41" s="185" t="s">
        <v>1112</v>
      </c>
      <c r="N41" s="189" t="s">
        <v>850</v>
      </c>
      <c r="O41" s="185" t="s">
        <v>893</v>
      </c>
      <c r="P41" s="189" t="s">
        <v>1113</v>
      </c>
      <c r="Q41" s="189" t="s">
        <v>1114</v>
      </c>
      <c r="R41" s="189" t="s">
        <v>1115</v>
      </c>
      <c r="S41" s="189" t="s">
        <v>1116</v>
      </c>
      <c r="T41" s="190"/>
      <c r="U41" s="190"/>
      <c r="V41" s="189" t="s">
        <v>1117</v>
      </c>
      <c r="W41" s="189" t="s">
        <v>1118</v>
      </c>
      <c r="X41" s="208" t="s">
        <v>1119</v>
      </c>
      <c r="Y41" s="189" t="s">
        <v>893</v>
      </c>
      <c r="Z41" s="189" t="s">
        <v>1105</v>
      </c>
      <c r="AA41" s="189" t="s">
        <v>1088</v>
      </c>
      <c r="AB41" s="191"/>
      <c r="AC41" s="191"/>
      <c r="AD41" s="191"/>
      <c r="AE41" s="191"/>
      <c r="AF41" s="191"/>
      <c r="AG41" s="191"/>
      <c r="AH41" s="191"/>
      <c r="AI41" s="191"/>
      <c r="AJ41" s="191"/>
      <c r="AK41" s="191"/>
      <c r="AL41" s="191"/>
      <c r="AM41" s="191"/>
      <c r="AN41" s="191"/>
      <c r="AO41" s="191"/>
      <c r="AP41" s="191"/>
      <c r="AQ41" s="191"/>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N41" s="191"/>
      <c r="BO41" s="191"/>
      <c r="BP41" s="191"/>
      <c r="BQ41" s="191"/>
      <c r="BR41" s="191"/>
      <c r="BS41" s="191"/>
      <c r="BT41" s="191"/>
      <c r="BU41" s="191"/>
      <c r="BV41" s="191"/>
      <c r="BW41" s="191"/>
      <c r="BX41" s="191"/>
      <c r="BY41" s="191"/>
      <c r="BZ41" s="191"/>
      <c r="CA41" s="191"/>
      <c r="CB41" s="191"/>
      <c r="CC41" s="191"/>
      <c r="CD41" s="191"/>
      <c r="CE41" s="191"/>
      <c r="CF41" s="191"/>
      <c r="CG41" s="191"/>
      <c r="CH41" s="192"/>
      <c r="CI41" s="192"/>
      <c r="CJ41" s="192"/>
      <c r="CK41" s="192"/>
      <c r="CL41" s="192"/>
      <c r="CM41" s="192"/>
      <c r="CN41" s="192"/>
      <c r="CO41" s="192"/>
      <c r="CP41" s="192"/>
      <c r="CQ41" s="192"/>
      <c r="CR41" s="192"/>
      <c r="CS41" s="192"/>
      <c r="CT41" s="192"/>
    </row>
    <row r="42" ht="26.25" customHeight="1">
      <c r="A42" s="184" t="s">
        <v>110</v>
      </c>
      <c r="B42" s="184" t="s">
        <v>742</v>
      </c>
      <c r="C42" s="184" t="s">
        <v>612</v>
      </c>
      <c r="D42" s="185" t="s">
        <v>743</v>
      </c>
      <c r="E42" s="186" t="s">
        <v>1105</v>
      </c>
      <c r="F42" s="187" t="s">
        <v>1106</v>
      </c>
      <c r="G42" s="188">
        <v>0.3923611111111111</v>
      </c>
      <c r="H42" s="189" t="s">
        <v>1120</v>
      </c>
      <c r="I42" s="189" t="s">
        <v>1121</v>
      </c>
      <c r="J42" s="189" t="s">
        <v>1122</v>
      </c>
      <c r="K42" s="189" t="s">
        <v>1123</v>
      </c>
      <c r="L42" s="189" t="s">
        <v>1124</v>
      </c>
      <c r="M42" s="185" t="s">
        <v>1125</v>
      </c>
      <c r="N42" s="189" t="s">
        <v>850</v>
      </c>
      <c r="O42" s="185" t="s">
        <v>893</v>
      </c>
      <c r="P42" s="190"/>
      <c r="Q42" s="190"/>
      <c r="R42" s="190"/>
      <c r="S42" s="190"/>
      <c r="T42" s="190"/>
      <c r="U42" s="190"/>
      <c r="V42" s="189" t="s">
        <v>1126</v>
      </c>
      <c r="W42" s="189" t="s">
        <v>1127</v>
      </c>
      <c r="X42" s="208" t="s">
        <v>1128</v>
      </c>
      <c r="Y42" s="189" t="s">
        <v>893</v>
      </c>
      <c r="Z42" s="189" t="s">
        <v>1105</v>
      </c>
      <c r="AA42" s="189" t="s">
        <v>757</v>
      </c>
      <c r="AB42" s="191"/>
      <c r="AC42" s="191"/>
      <c r="AD42" s="191"/>
      <c r="AE42" s="191"/>
      <c r="AF42" s="191"/>
      <c r="AG42" s="191"/>
      <c r="AH42" s="191"/>
      <c r="AI42" s="191"/>
      <c r="AJ42" s="191"/>
      <c r="AK42" s="191"/>
      <c r="AL42" s="191"/>
      <c r="AM42" s="191"/>
      <c r="AN42" s="191"/>
      <c r="AO42" s="191"/>
      <c r="AP42" s="191"/>
      <c r="AQ42" s="191"/>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N42" s="191"/>
      <c r="BO42" s="191"/>
      <c r="BP42" s="191"/>
      <c r="BQ42" s="191"/>
      <c r="BR42" s="191"/>
      <c r="BS42" s="191"/>
      <c r="BT42" s="191"/>
      <c r="BU42" s="191"/>
      <c r="BV42" s="191"/>
      <c r="BW42" s="191"/>
      <c r="BX42" s="191"/>
      <c r="BY42" s="191"/>
      <c r="BZ42" s="191"/>
      <c r="CA42" s="191"/>
      <c r="CB42" s="191"/>
      <c r="CC42" s="191"/>
      <c r="CD42" s="191"/>
      <c r="CE42" s="191"/>
      <c r="CF42" s="191"/>
      <c r="CG42" s="191"/>
      <c r="CH42" s="192"/>
      <c r="CI42" s="192"/>
      <c r="CJ42" s="192"/>
      <c r="CK42" s="192"/>
      <c r="CL42" s="192"/>
      <c r="CM42" s="192"/>
      <c r="CN42" s="192"/>
      <c r="CO42" s="192"/>
      <c r="CP42" s="192"/>
      <c r="CQ42" s="192"/>
      <c r="CR42" s="192"/>
      <c r="CS42" s="192"/>
      <c r="CT42" s="192"/>
    </row>
    <row r="43" ht="26.25" customHeight="1">
      <c r="A43" s="184" t="s">
        <v>113</v>
      </c>
      <c r="B43" s="184" t="s">
        <v>742</v>
      </c>
      <c r="C43" s="184" t="s">
        <v>612</v>
      </c>
      <c r="D43" s="185" t="s">
        <v>743</v>
      </c>
      <c r="E43" s="186" t="s">
        <v>1105</v>
      </c>
      <c r="F43" s="187" t="s">
        <v>1106</v>
      </c>
      <c r="G43" s="188">
        <v>0.40625</v>
      </c>
      <c r="H43" s="185" t="s">
        <v>1129</v>
      </c>
      <c r="I43" s="189" t="s">
        <v>1130</v>
      </c>
      <c r="J43" s="189" t="s">
        <v>1131</v>
      </c>
      <c r="K43" s="189" t="s">
        <v>1132</v>
      </c>
      <c r="L43" s="189" t="s">
        <v>1133</v>
      </c>
      <c r="M43" s="185" t="s">
        <v>1134</v>
      </c>
      <c r="N43" s="189" t="s">
        <v>908</v>
      </c>
      <c r="O43" s="185" t="s">
        <v>893</v>
      </c>
      <c r="P43" s="190"/>
      <c r="Q43" s="190"/>
      <c r="R43" s="190"/>
      <c r="S43" s="190"/>
      <c r="T43" s="190"/>
      <c r="U43" s="190"/>
      <c r="V43" s="189" t="s">
        <v>857</v>
      </c>
      <c r="W43" s="189" t="s">
        <v>858</v>
      </c>
      <c r="X43" s="208" t="s">
        <v>859</v>
      </c>
      <c r="Y43" s="189" t="s">
        <v>784</v>
      </c>
      <c r="Z43" s="189" t="s">
        <v>1105</v>
      </c>
      <c r="AA43" s="189" t="s">
        <v>757</v>
      </c>
      <c r="AB43" s="191"/>
      <c r="AC43" s="191"/>
      <c r="AD43" s="191"/>
      <c r="AE43" s="191"/>
      <c r="AF43" s="191"/>
      <c r="AG43" s="191"/>
      <c r="AH43" s="191"/>
      <c r="AI43" s="191"/>
      <c r="AJ43" s="191"/>
      <c r="AK43" s="191"/>
      <c r="AL43" s="191"/>
      <c r="AM43" s="191"/>
      <c r="AN43" s="191"/>
      <c r="AO43" s="191"/>
      <c r="AP43" s="191"/>
      <c r="AQ43" s="191"/>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N43" s="191"/>
      <c r="BO43" s="191"/>
      <c r="BP43" s="191"/>
      <c r="BQ43" s="191"/>
      <c r="BR43" s="191"/>
      <c r="BS43" s="191"/>
      <c r="BT43" s="191"/>
      <c r="BU43" s="191"/>
      <c r="BV43" s="191"/>
      <c r="BW43" s="191"/>
      <c r="BX43" s="191"/>
      <c r="BY43" s="191"/>
      <c r="BZ43" s="191"/>
      <c r="CA43" s="191"/>
      <c r="CB43" s="191"/>
      <c r="CC43" s="191"/>
      <c r="CD43" s="191"/>
      <c r="CE43" s="191"/>
      <c r="CF43" s="191"/>
      <c r="CG43" s="191"/>
      <c r="CH43" s="192"/>
      <c r="CI43" s="192"/>
      <c r="CJ43" s="192"/>
      <c r="CK43" s="192"/>
      <c r="CL43" s="192"/>
      <c r="CM43" s="192"/>
      <c r="CN43" s="192"/>
      <c r="CO43" s="192"/>
      <c r="CP43" s="192"/>
      <c r="CQ43" s="192"/>
      <c r="CR43" s="192"/>
      <c r="CS43" s="192"/>
      <c r="CT43" s="192"/>
    </row>
    <row r="44" ht="26.25" customHeight="1">
      <c r="A44" s="184" t="s">
        <v>112</v>
      </c>
      <c r="B44" s="184" t="s">
        <v>742</v>
      </c>
      <c r="C44" s="184" t="s">
        <v>612</v>
      </c>
      <c r="D44" s="185" t="s">
        <v>743</v>
      </c>
      <c r="E44" s="186" t="s">
        <v>1105</v>
      </c>
      <c r="F44" s="187" t="s">
        <v>1106</v>
      </c>
      <c r="G44" s="188">
        <v>0.4201388888888889</v>
      </c>
      <c r="H44" s="189" t="s">
        <v>1135</v>
      </c>
      <c r="I44" s="189" t="s">
        <v>1136</v>
      </c>
      <c r="J44" s="185" t="s">
        <v>1137</v>
      </c>
      <c r="K44" s="189" t="s">
        <v>1138</v>
      </c>
      <c r="L44" s="189" t="s">
        <v>1139</v>
      </c>
      <c r="M44" s="185" t="s">
        <v>1140</v>
      </c>
      <c r="N44" s="189" t="s">
        <v>908</v>
      </c>
      <c r="O44" s="185" t="s">
        <v>893</v>
      </c>
      <c r="P44" s="210"/>
      <c r="Q44" s="190"/>
      <c r="R44" s="190"/>
      <c r="S44" s="190"/>
      <c r="T44" s="190"/>
      <c r="U44" s="190"/>
      <c r="V44" s="189" t="s">
        <v>1141</v>
      </c>
      <c r="W44" s="189" t="s">
        <v>1142</v>
      </c>
      <c r="X44" s="208" t="s">
        <v>1143</v>
      </c>
      <c r="Y44" s="189" t="s">
        <v>893</v>
      </c>
      <c r="Z44" s="189" t="s">
        <v>1105</v>
      </c>
      <c r="AA44" s="189" t="s">
        <v>797</v>
      </c>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2"/>
      <c r="CI44" s="192"/>
      <c r="CJ44" s="192"/>
      <c r="CK44" s="192"/>
      <c r="CL44" s="192"/>
      <c r="CM44" s="192"/>
      <c r="CN44" s="192"/>
      <c r="CO44" s="192"/>
      <c r="CP44" s="192"/>
      <c r="CQ44" s="192"/>
      <c r="CR44" s="192"/>
      <c r="CS44" s="192"/>
      <c r="CT44" s="192"/>
    </row>
    <row r="45" ht="26.25" customHeight="1">
      <c r="A45" s="184" t="s">
        <v>115</v>
      </c>
      <c r="B45" s="184" t="s">
        <v>742</v>
      </c>
      <c r="C45" s="184" t="s">
        <v>612</v>
      </c>
      <c r="D45" s="185" t="s">
        <v>743</v>
      </c>
      <c r="E45" s="186" t="s">
        <v>1105</v>
      </c>
      <c r="F45" s="187" t="s">
        <v>1106</v>
      </c>
      <c r="G45" s="188">
        <v>0.4340277777777778</v>
      </c>
      <c r="H45" s="189" t="s">
        <v>1144</v>
      </c>
      <c r="I45" s="189" t="s">
        <v>1145</v>
      </c>
      <c r="J45" s="189" t="s">
        <v>1146</v>
      </c>
      <c r="K45" s="189" t="s">
        <v>1147</v>
      </c>
      <c r="L45" s="189" t="s">
        <v>1148</v>
      </c>
      <c r="M45" s="185" t="s">
        <v>1149</v>
      </c>
      <c r="N45" s="189" t="s">
        <v>850</v>
      </c>
      <c r="O45" s="185" t="s">
        <v>893</v>
      </c>
      <c r="P45" s="190"/>
      <c r="Q45" s="190"/>
      <c r="R45" s="190"/>
      <c r="S45" s="190"/>
      <c r="T45" s="190"/>
      <c r="U45" s="190"/>
      <c r="V45" s="189" t="s">
        <v>1150</v>
      </c>
      <c r="W45" s="189" t="s">
        <v>1151</v>
      </c>
      <c r="X45" s="208" t="s">
        <v>1152</v>
      </c>
      <c r="Y45" s="189" t="s">
        <v>893</v>
      </c>
      <c r="Z45" s="189" t="s">
        <v>1105</v>
      </c>
      <c r="AA45" s="189" t="s">
        <v>757</v>
      </c>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2"/>
      <c r="CI45" s="192"/>
      <c r="CJ45" s="192"/>
      <c r="CK45" s="192"/>
      <c r="CL45" s="192"/>
      <c r="CM45" s="192"/>
      <c r="CN45" s="192"/>
      <c r="CO45" s="192"/>
      <c r="CP45" s="192"/>
      <c r="CQ45" s="192"/>
      <c r="CR45" s="192"/>
      <c r="CS45" s="192"/>
      <c r="CT45" s="192"/>
    </row>
    <row r="46" ht="26.25" customHeight="1">
      <c r="A46" s="184" t="s">
        <v>111</v>
      </c>
      <c r="B46" s="184" t="s">
        <v>742</v>
      </c>
      <c r="C46" s="184" t="s">
        <v>612</v>
      </c>
      <c r="D46" s="185" t="s">
        <v>743</v>
      </c>
      <c r="E46" s="186" t="s">
        <v>1105</v>
      </c>
      <c r="F46" s="187" t="s">
        <v>1106</v>
      </c>
      <c r="G46" s="188">
        <v>0.4479166666666667</v>
      </c>
      <c r="H46" s="189" t="s">
        <v>1153</v>
      </c>
      <c r="I46" s="189" t="s">
        <v>1154</v>
      </c>
      <c r="J46" s="189" t="s">
        <v>1155</v>
      </c>
      <c r="K46" s="189" t="s">
        <v>1156</v>
      </c>
      <c r="L46" s="189" t="s">
        <v>1157</v>
      </c>
      <c r="M46" s="185" t="s">
        <v>1158</v>
      </c>
      <c r="N46" s="189" t="s">
        <v>850</v>
      </c>
      <c r="O46" s="185" t="s">
        <v>764</v>
      </c>
      <c r="P46" s="190"/>
      <c r="Q46" s="190"/>
      <c r="R46" s="190"/>
      <c r="S46" s="190"/>
      <c r="T46" s="190"/>
      <c r="U46" s="190"/>
      <c r="V46" s="189" t="s">
        <v>1159</v>
      </c>
      <c r="W46" s="189" t="s">
        <v>1160</v>
      </c>
      <c r="X46" s="208" t="s">
        <v>1161</v>
      </c>
      <c r="Y46" s="189" t="s">
        <v>764</v>
      </c>
      <c r="Z46" s="189" t="s">
        <v>1105</v>
      </c>
      <c r="AA46" s="189" t="s">
        <v>757</v>
      </c>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2"/>
      <c r="CI46" s="192"/>
      <c r="CJ46" s="192"/>
      <c r="CK46" s="192"/>
      <c r="CL46" s="192"/>
      <c r="CM46" s="192"/>
      <c r="CN46" s="192"/>
      <c r="CO46" s="192"/>
      <c r="CP46" s="192"/>
      <c r="CQ46" s="192"/>
      <c r="CR46" s="192"/>
      <c r="CS46" s="192"/>
      <c r="CT46" s="192"/>
    </row>
    <row r="47" ht="26.25" customHeight="1">
      <c r="A47" s="184" t="s">
        <v>121</v>
      </c>
      <c r="B47" s="184" t="s">
        <v>742</v>
      </c>
      <c r="C47" s="184" t="s">
        <v>613</v>
      </c>
      <c r="D47" s="185" t="s">
        <v>743</v>
      </c>
      <c r="E47" s="186" t="s">
        <v>806</v>
      </c>
      <c r="F47" s="187" t="s">
        <v>1162</v>
      </c>
      <c r="G47" s="188">
        <v>0.3784722222222222</v>
      </c>
      <c r="H47" s="189" t="s">
        <v>1163</v>
      </c>
      <c r="I47" s="189" t="s">
        <v>1164</v>
      </c>
      <c r="J47" s="189" t="s">
        <v>1165</v>
      </c>
      <c r="K47" s="189" t="s">
        <v>838</v>
      </c>
      <c r="L47" s="189" t="s">
        <v>1166</v>
      </c>
      <c r="M47" s="185" t="s">
        <v>1167</v>
      </c>
      <c r="N47" s="189" t="s">
        <v>752</v>
      </c>
      <c r="O47" s="185" t="s">
        <v>773</v>
      </c>
      <c r="P47" s="190"/>
      <c r="Q47" s="190"/>
      <c r="R47" s="190"/>
      <c r="S47" s="190"/>
      <c r="T47" s="190"/>
      <c r="U47" s="190"/>
      <c r="V47" s="189" t="s">
        <v>1168</v>
      </c>
      <c r="W47" s="189" t="s">
        <v>1169</v>
      </c>
      <c r="X47" s="208" t="s">
        <v>1170</v>
      </c>
      <c r="Y47" s="189" t="s">
        <v>773</v>
      </c>
      <c r="Z47" s="190"/>
      <c r="AA47" s="189" t="s">
        <v>797</v>
      </c>
      <c r="AB47" s="191"/>
      <c r="AC47" s="191"/>
      <c r="AD47" s="191"/>
      <c r="AE47" s="191"/>
      <c r="AF47" s="191"/>
      <c r="AG47" s="191"/>
      <c r="AH47" s="191"/>
      <c r="AI47" s="191"/>
      <c r="AJ47" s="191"/>
      <c r="AK47" s="191"/>
      <c r="AL47" s="191"/>
      <c r="AM47" s="191"/>
      <c r="AN47" s="191"/>
      <c r="AO47" s="191"/>
      <c r="AP47" s="191"/>
      <c r="AQ47" s="191"/>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N47" s="191"/>
      <c r="BO47" s="191"/>
      <c r="BP47" s="191"/>
      <c r="BQ47" s="191"/>
      <c r="BR47" s="191"/>
      <c r="BS47" s="191"/>
      <c r="BT47" s="191"/>
      <c r="BU47" s="191"/>
      <c r="BV47" s="191"/>
      <c r="BW47" s="191"/>
      <c r="BX47" s="191"/>
      <c r="BY47" s="191"/>
      <c r="BZ47" s="191"/>
      <c r="CA47" s="191"/>
      <c r="CB47" s="191"/>
      <c r="CC47" s="191"/>
      <c r="CD47" s="191"/>
      <c r="CE47" s="191"/>
      <c r="CF47" s="191"/>
      <c r="CG47" s="191"/>
      <c r="CH47" s="192"/>
      <c r="CI47" s="192"/>
      <c r="CJ47" s="192"/>
      <c r="CK47" s="192"/>
      <c r="CL47" s="192"/>
      <c r="CM47" s="192"/>
      <c r="CN47" s="192"/>
      <c r="CO47" s="192"/>
      <c r="CP47" s="192"/>
      <c r="CQ47" s="192"/>
      <c r="CR47" s="192"/>
      <c r="CS47" s="192"/>
      <c r="CT47" s="192"/>
    </row>
    <row r="48" ht="26.25" customHeight="1">
      <c r="A48" s="184" t="s">
        <v>120</v>
      </c>
      <c r="B48" s="184" t="s">
        <v>742</v>
      </c>
      <c r="C48" s="184" t="s">
        <v>613</v>
      </c>
      <c r="D48" s="185" t="s">
        <v>743</v>
      </c>
      <c r="E48" s="186" t="s">
        <v>806</v>
      </c>
      <c r="F48" s="187" t="s">
        <v>1162</v>
      </c>
      <c r="G48" s="188">
        <v>0.3923611111111111</v>
      </c>
      <c r="H48" s="189" t="s">
        <v>1171</v>
      </c>
      <c r="I48" s="189" t="s">
        <v>1172</v>
      </c>
      <c r="J48" s="189" t="s">
        <v>1173</v>
      </c>
      <c r="K48" s="189" t="s">
        <v>1174</v>
      </c>
      <c r="L48" s="189" t="s">
        <v>1175</v>
      </c>
      <c r="M48" s="185" t="s">
        <v>1176</v>
      </c>
      <c r="N48" s="189" t="s">
        <v>752</v>
      </c>
      <c r="O48" s="185" t="s">
        <v>773</v>
      </c>
      <c r="P48" s="190"/>
      <c r="Q48" s="190"/>
      <c r="R48" s="190"/>
      <c r="S48" s="190"/>
      <c r="T48" s="190"/>
      <c r="U48" s="190"/>
      <c r="V48" s="189" t="s">
        <v>1177</v>
      </c>
      <c r="W48" s="189" t="s">
        <v>1178</v>
      </c>
      <c r="X48" s="208" t="s">
        <v>1179</v>
      </c>
      <c r="Y48" s="189" t="s">
        <v>773</v>
      </c>
      <c r="Z48" s="190"/>
      <c r="AA48" s="189" t="s">
        <v>757</v>
      </c>
      <c r="AB48" s="191"/>
      <c r="AC48" s="191"/>
      <c r="AD48" s="191"/>
      <c r="AE48" s="191"/>
      <c r="AF48" s="191"/>
      <c r="AG48" s="191"/>
      <c r="AH48" s="191"/>
      <c r="AI48" s="191"/>
      <c r="AJ48" s="191"/>
      <c r="AK48" s="191"/>
      <c r="AL48" s="191"/>
      <c r="AM48" s="191"/>
      <c r="AN48" s="191"/>
      <c r="AO48" s="191"/>
      <c r="AP48" s="191"/>
      <c r="AQ48" s="191"/>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N48" s="191"/>
      <c r="BO48" s="191"/>
      <c r="BP48" s="191"/>
      <c r="BQ48" s="191"/>
      <c r="BR48" s="191"/>
      <c r="BS48" s="191"/>
      <c r="BT48" s="191"/>
      <c r="BU48" s="191"/>
      <c r="BV48" s="191"/>
      <c r="BW48" s="191"/>
      <c r="BX48" s="191"/>
      <c r="BY48" s="191"/>
      <c r="BZ48" s="191"/>
      <c r="CA48" s="191"/>
      <c r="CB48" s="191"/>
      <c r="CC48" s="191"/>
      <c r="CD48" s="191"/>
      <c r="CE48" s="191"/>
      <c r="CF48" s="191"/>
      <c r="CG48" s="191"/>
      <c r="CH48" s="192"/>
      <c r="CI48" s="192"/>
      <c r="CJ48" s="192"/>
      <c r="CK48" s="192"/>
      <c r="CL48" s="192"/>
      <c r="CM48" s="192"/>
      <c r="CN48" s="192"/>
      <c r="CO48" s="192"/>
      <c r="CP48" s="192"/>
      <c r="CQ48" s="192"/>
      <c r="CR48" s="192"/>
      <c r="CS48" s="192"/>
      <c r="CT48" s="192"/>
    </row>
    <row r="49" ht="26.25" customHeight="1">
      <c r="A49" s="184" t="s">
        <v>118</v>
      </c>
      <c r="B49" s="184" t="s">
        <v>742</v>
      </c>
      <c r="C49" s="184" t="s">
        <v>613</v>
      </c>
      <c r="D49" s="185" t="s">
        <v>743</v>
      </c>
      <c r="E49" s="186" t="s">
        <v>806</v>
      </c>
      <c r="F49" s="187" t="s">
        <v>1162</v>
      </c>
      <c r="G49" s="188">
        <v>0.40625</v>
      </c>
      <c r="H49" s="189" t="s">
        <v>1180</v>
      </c>
      <c r="I49" s="189" t="s">
        <v>1181</v>
      </c>
      <c r="J49" s="189" t="s">
        <v>1182</v>
      </c>
      <c r="K49" s="189" t="s">
        <v>1183</v>
      </c>
      <c r="L49" s="189" t="s">
        <v>1184</v>
      </c>
      <c r="M49" s="209" t="s">
        <v>1185</v>
      </c>
      <c r="N49" s="189" t="s">
        <v>850</v>
      </c>
      <c r="O49" s="185" t="s">
        <v>773</v>
      </c>
      <c r="P49" s="190"/>
      <c r="Q49" s="190"/>
      <c r="R49" s="190"/>
      <c r="S49" s="190"/>
      <c r="T49" s="190"/>
      <c r="U49" s="190"/>
      <c r="V49" s="189" t="s">
        <v>1186</v>
      </c>
      <c r="W49" s="189" t="s">
        <v>1178</v>
      </c>
      <c r="X49" s="208" t="s">
        <v>1179</v>
      </c>
      <c r="Y49" s="189" t="s">
        <v>773</v>
      </c>
      <c r="Z49" s="189" t="s">
        <v>806</v>
      </c>
      <c r="AA49" s="189" t="s">
        <v>757</v>
      </c>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N49" s="191"/>
      <c r="BO49" s="191"/>
      <c r="BP49" s="191"/>
      <c r="BQ49" s="191"/>
      <c r="BR49" s="191"/>
      <c r="BS49" s="191"/>
      <c r="BT49" s="191"/>
      <c r="BU49" s="191"/>
      <c r="BV49" s="191"/>
      <c r="BW49" s="191"/>
      <c r="BX49" s="191"/>
      <c r="BY49" s="191"/>
      <c r="BZ49" s="191"/>
      <c r="CA49" s="191"/>
      <c r="CB49" s="191"/>
      <c r="CC49" s="191"/>
      <c r="CD49" s="191"/>
      <c r="CE49" s="191"/>
      <c r="CF49" s="191"/>
      <c r="CG49" s="191"/>
      <c r="CH49" s="192"/>
      <c r="CI49" s="192"/>
      <c r="CJ49" s="192"/>
      <c r="CK49" s="192"/>
      <c r="CL49" s="192"/>
      <c r="CM49" s="192"/>
      <c r="CN49" s="192"/>
      <c r="CO49" s="192"/>
      <c r="CP49" s="192"/>
      <c r="CQ49" s="192"/>
      <c r="CR49" s="192"/>
      <c r="CS49" s="192"/>
      <c r="CT49" s="192"/>
    </row>
    <row r="50" ht="26.25" customHeight="1">
      <c r="A50" s="184" t="s">
        <v>119</v>
      </c>
      <c r="B50" s="184" t="s">
        <v>742</v>
      </c>
      <c r="C50" s="184" t="s">
        <v>613</v>
      </c>
      <c r="D50" s="185" t="s">
        <v>743</v>
      </c>
      <c r="E50" s="186" t="s">
        <v>806</v>
      </c>
      <c r="F50" s="187" t="s">
        <v>1162</v>
      </c>
      <c r="G50" s="188">
        <v>0.4201388888888889</v>
      </c>
      <c r="H50" s="189" t="s">
        <v>1187</v>
      </c>
      <c r="I50" s="189" t="s">
        <v>1188</v>
      </c>
      <c r="J50" s="189" t="s">
        <v>1189</v>
      </c>
      <c r="K50" s="189" t="s">
        <v>1000</v>
      </c>
      <c r="L50" s="189" t="s">
        <v>1190</v>
      </c>
      <c r="M50" s="185" t="s">
        <v>1191</v>
      </c>
      <c r="N50" s="189" t="s">
        <v>850</v>
      </c>
      <c r="O50" s="185" t="s">
        <v>773</v>
      </c>
      <c r="P50" s="189" t="s">
        <v>1187</v>
      </c>
      <c r="Q50" s="189" t="s">
        <v>1188</v>
      </c>
      <c r="R50" s="190"/>
      <c r="S50" s="190"/>
      <c r="T50" s="190"/>
      <c r="U50" s="190"/>
      <c r="V50" s="189" t="s">
        <v>846</v>
      </c>
      <c r="W50" s="189" t="s">
        <v>1007</v>
      </c>
      <c r="X50" s="208" t="s">
        <v>1008</v>
      </c>
      <c r="Y50" s="189" t="s">
        <v>773</v>
      </c>
      <c r="Z50" s="189" t="s">
        <v>806</v>
      </c>
      <c r="AA50" s="189" t="s">
        <v>797</v>
      </c>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N50" s="191"/>
      <c r="BO50" s="191"/>
      <c r="BP50" s="191"/>
      <c r="BQ50" s="191"/>
      <c r="BR50" s="191"/>
      <c r="BS50" s="191"/>
      <c r="BT50" s="191"/>
      <c r="BU50" s="191"/>
      <c r="BV50" s="191"/>
      <c r="BW50" s="191"/>
      <c r="BX50" s="191"/>
      <c r="BY50" s="191"/>
      <c r="BZ50" s="191"/>
      <c r="CA50" s="191"/>
      <c r="CB50" s="191"/>
      <c r="CC50" s="191"/>
      <c r="CD50" s="191"/>
      <c r="CE50" s="191"/>
      <c r="CF50" s="191"/>
      <c r="CG50" s="191"/>
      <c r="CH50" s="192"/>
      <c r="CI50" s="192"/>
      <c r="CJ50" s="192"/>
      <c r="CK50" s="192"/>
      <c r="CL50" s="192"/>
      <c r="CM50" s="192"/>
      <c r="CN50" s="192"/>
      <c r="CO50" s="192"/>
      <c r="CP50" s="192"/>
      <c r="CQ50" s="192"/>
      <c r="CR50" s="192"/>
      <c r="CS50" s="192"/>
      <c r="CT50" s="192"/>
    </row>
    <row r="51" ht="26.25" customHeight="1">
      <c r="A51" s="184" t="s">
        <v>117</v>
      </c>
      <c r="B51" s="184" t="s">
        <v>742</v>
      </c>
      <c r="C51" s="184" t="s">
        <v>613</v>
      </c>
      <c r="D51" s="185" t="s">
        <v>743</v>
      </c>
      <c r="E51" s="186" t="s">
        <v>806</v>
      </c>
      <c r="F51" s="187" t="s">
        <v>1162</v>
      </c>
      <c r="G51" s="188">
        <v>0.4340277777777778</v>
      </c>
      <c r="H51" s="189" t="s">
        <v>861</v>
      </c>
      <c r="I51" s="189" t="s">
        <v>1192</v>
      </c>
      <c r="J51" s="189" t="s">
        <v>1193</v>
      </c>
      <c r="K51" s="189" t="s">
        <v>1194</v>
      </c>
      <c r="L51" s="189" t="s">
        <v>1195</v>
      </c>
      <c r="M51" s="185" t="s">
        <v>1196</v>
      </c>
      <c r="N51" s="189" t="s">
        <v>850</v>
      </c>
      <c r="O51" s="185" t="s">
        <v>773</v>
      </c>
      <c r="P51" s="190"/>
      <c r="Q51" s="190"/>
      <c r="R51" s="190"/>
      <c r="S51" s="190"/>
      <c r="T51" s="190"/>
      <c r="U51" s="190"/>
      <c r="V51" s="189" t="s">
        <v>1197</v>
      </c>
      <c r="W51" s="189" t="s">
        <v>1198</v>
      </c>
      <c r="X51" s="208" t="s">
        <v>1199</v>
      </c>
      <c r="Y51" s="189" t="s">
        <v>773</v>
      </c>
      <c r="Z51" s="189" t="s">
        <v>806</v>
      </c>
      <c r="AA51" s="189" t="s">
        <v>797</v>
      </c>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N51" s="191"/>
      <c r="BO51" s="191"/>
      <c r="BP51" s="191"/>
      <c r="BQ51" s="191"/>
      <c r="BR51" s="191"/>
      <c r="BS51" s="191"/>
      <c r="BT51" s="191"/>
      <c r="BU51" s="191"/>
      <c r="BV51" s="191"/>
      <c r="BW51" s="191"/>
      <c r="BX51" s="191"/>
      <c r="BY51" s="191"/>
      <c r="BZ51" s="191"/>
      <c r="CA51" s="191"/>
      <c r="CB51" s="191"/>
      <c r="CC51" s="191"/>
      <c r="CD51" s="191"/>
      <c r="CE51" s="191"/>
      <c r="CF51" s="191"/>
      <c r="CG51" s="191"/>
      <c r="CH51" s="192"/>
      <c r="CI51" s="192"/>
      <c r="CJ51" s="192"/>
      <c r="CK51" s="192"/>
      <c r="CL51" s="192"/>
      <c r="CM51" s="192"/>
      <c r="CN51" s="192"/>
      <c r="CO51" s="192"/>
      <c r="CP51" s="192"/>
      <c r="CQ51" s="192"/>
      <c r="CR51" s="192"/>
      <c r="CS51" s="192"/>
      <c r="CT51" s="192"/>
    </row>
    <row r="52" ht="26.25" customHeight="1">
      <c r="A52" s="184" t="s">
        <v>116</v>
      </c>
      <c r="B52" s="184" t="s">
        <v>742</v>
      </c>
      <c r="C52" s="184" t="s">
        <v>613</v>
      </c>
      <c r="D52" s="185" t="s">
        <v>743</v>
      </c>
      <c r="E52" s="186" t="s">
        <v>806</v>
      </c>
      <c r="F52" s="187" t="s">
        <v>1162</v>
      </c>
      <c r="G52" s="188">
        <v>0.4479166666666667</v>
      </c>
      <c r="H52" s="189" t="s">
        <v>1200</v>
      </c>
      <c r="I52" s="189" t="s">
        <v>1201</v>
      </c>
      <c r="J52" s="185" t="s">
        <v>1202</v>
      </c>
      <c r="K52" s="189" t="s">
        <v>1203</v>
      </c>
      <c r="L52" s="189" t="s">
        <v>1204</v>
      </c>
      <c r="M52" s="185" t="s">
        <v>1205</v>
      </c>
      <c r="N52" s="189" t="s">
        <v>850</v>
      </c>
      <c r="O52" s="185" t="s">
        <v>784</v>
      </c>
      <c r="P52" s="189" t="s">
        <v>1206</v>
      </c>
      <c r="Q52" s="189" t="s">
        <v>911</v>
      </c>
      <c r="R52" s="189" t="s">
        <v>1207</v>
      </c>
      <c r="S52" s="189" t="s">
        <v>1208</v>
      </c>
      <c r="T52" s="190"/>
      <c r="U52" s="190"/>
      <c r="V52" s="189" t="s">
        <v>1209</v>
      </c>
      <c r="W52" s="189" t="s">
        <v>1210</v>
      </c>
      <c r="X52" s="208" t="s">
        <v>1211</v>
      </c>
      <c r="Y52" s="189" t="s">
        <v>784</v>
      </c>
      <c r="Z52" s="189" t="s">
        <v>806</v>
      </c>
      <c r="AA52" s="189" t="s">
        <v>757</v>
      </c>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N52" s="191"/>
      <c r="BO52" s="191"/>
      <c r="BP52" s="191"/>
      <c r="BQ52" s="191"/>
      <c r="BR52" s="191"/>
      <c r="BS52" s="191"/>
      <c r="BT52" s="191"/>
      <c r="BU52" s="191"/>
      <c r="BV52" s="191"/>
      <c r="BW52" s="191"/>
      <c r="BX52" s="191"/>
      <c r="BY52" s="191"/>
      <c r="BZ52" s="191"/>
      <c r="CA52" s="191"/>
      <c r="CB52" s="191"/>
      <c r="CC52" s="191"/>
      <c r="CD52" s="191"/>
      <c r="CE52" s="191"/>
      <c r="CF52" s="191"/>
      <c r="CG52" s="191"/>
      <c r="CH52" s="192"/>
      <c r="CI52" s="192"/>
      <c r="CJ52" s="192"/>
      <c r="CK52" s="192"/>
      <c r="CL52" s="192"/>
      <c r="CM52" s="192"/>
      <c r="CN52" s="192"/>
      <c r="CO52" s="192"/>
      <c r="CP52" s="192"/>
      <c r="CQ52" s="192"/>
      <c r="CR52" s="192"/>
      <c r="CS52" s="192"/>
      <c r="CT52" s="192"/>
    </row>
    <row r="53" ht="26.25" customHeight="1">
      <c r="A53" s="184" t="s">
        <v>66</v>
      </c>
      <c r="B53" s="184" t="s">
        <v>742</v>
      </c>
      <c r="C53" s="184" t="s">
        <v>614</v>
      </c>
      <c r="D53" s="185" t="s">
        <v>743</v>
      </c>
      <c r="E53" s="186" t="s">
        <v>1105</v>
      </c>
      <c r="F53" s="187" t="s">
        <v>1212</v>
      </c>
      <c r="G53" s="188">
        <v>0.3784722222222222</v>
      </c>
      <c r="H53" s="189" t="s">
        <v>1213</v>
      </c>
      <c r="I53" s="189" t="s">
        <v>1214</v>
      </c>
      <c r="J53" s="189" t="s">
        <v>1215</v>
      </c>
      <c r="K53" s="189" t="s">
        <v>1216</v>
      </c>
      <c r="L53" s="189" t="s">
        <v>1217</v>
      </c>
      <c r="M53" s="185" t="s">
        <v>1218</v>
      </c>
      <c r="N53" s="189" t="s">
        <v>752</v>
      </c>
      <c r="O53" s="185" t="s">
        <v>893</v>
      </c>
      <c r="P53" s="190"/>
      <c r="Q53" s="190"/>
      <c r="R53" s="190"/>
      <c r="S53" s="190"/>
      <c r="T53" s="190"/>
      <c r="U53" s="190"/>
      <c r="V53" s="189" t="s">
        <v>1219</v>
      </c>
      <c r="W53" s="189" t="s">
        <v>1160</v>
      </c>
      <c r="X53" s="185" t="s">
        <v>1161</v>
      </c>
      <c r="Y53" s="189" t="s">
        <v>893</v>
      </c>
      <c r="Z53" s="190"/>
      <c r="AA53" s="189" t="s">
        <v>757</v>
      </c>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N53" s="191"/>
      <c r="BO53" s="191"/>
      <c r="BP53" s="191"/>
      <c r="BQ53" s="191"/>
      <c r="BR53" s="191"/>
      <c r="BS53" s="191"/>
      <c r="BT53" s="191"/>
      <c r="BU53" s="191"/>
      <c r="BV53" s="191"/>
      <c r="BW53" s="191"/>
      <c r="BX53" s="191"/>
      <c r="BY53" s="191"/>
      <c r="BZ53" s="191"/>
      <c r="CA53" s="191"/>
      <c r="CB53" s="191"/>
      <c r="CC53" s="191"/>
      <c r="CD53" s="191"/>
      <c r="CE53" s="191"/>
      <c r="CF53" s="191"/>
      <c r="CG53" s="191"/>
      <c r="CH53" s="192"/>
      <c r="CI53" s="192"/>
      <c r="CJ53" s="192"/>
      <c r="CK53" s="192"/>
      <c r="CL53" s="192"/>
      <c r="CM53" s="192"/>
      <c r="CN53" s="192"/>
      <c r="CO53" s="192"/>
      <c r="CP53" s="192"/>
      <c r="CQ53" s="192"/>
      <c r="CR53" s="192"/>
      <c r="CS53" s="192"/>
      <c r="CT53" s="192"/>
    </row>
    <row r="54" ht="26.25" customHeight="1">
      <c r="A54" s="184" t="s">
        <v>65</v>
      </c>
      <c r="B54" s="184" t="s">
        <v>742</v>
      </c>
      <c r="C54" s="184" t="s">
        <v>614</v>
      </c>
      <c r="D54" s="185" t="s">
        <v>743</v>
      </c>
      <c r="E54" s="186" t="s">
        <v>1105</v>
      </c>
      <c r="F54" s="187" t="s">
        <v>1212</v>
      </c>
      <c r="G54" s="188">
        <v>0.3923611111111111</v>
      </c>
      <c r="H54" s="189" t="s">
        <v>1220</v>
      </c>
      <c r="I54" s="189" t="s">
        <v>1221</v>
      </c>
      <c r="J54" s="189" t="s">
        <v>1222</v>
      </c>
      <c r="K54" s="189" t="s">
        <v>1223</v>
      </c>
      <c r="L54" s="189" t="s">
        <v>1224</v>
      </c>
      <c r="M54" s="185" t="s">
        <v>1225</v>
      </c>
      <c r="N54" s="189" t="s">
        <v>752</v>
      </c>
      <c r="O54" s="185" t="s">
        <v>893</v>
      </c>
      <c r="P54" s="189" t="s">
        <v>1226</v>
      </c>
      <c r="Q54" s="189" t="s">
        <v>1227</v>
      </c>
      <c r="R54" s="190"/>
      <c r="S54" s="190"/>
      <c r="T54" s="190"/>
      <c r="U54" s="190"/>
      <c r="V54" s="189" t="s">
        <v>1159</v>
      </c>
      <c r="W54" s="189" t="s">
        <v>1160</v>
      </c>
      <c r="X54" s="185" t="s">
        <v>1161</v>
      </c>
      <c r="Y54" s="189" t="s">
        <v>893</v>
      </c>
      <c r="Z54" s="190"/>
      <c r="AA54" s="189" t="s">
        <v>757</v>
      </c>
      <c r="AB54" s="191"/>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N54" s="191"/>
      <c r="BO54" s="191"/>
      <c r="BP54" s="191"/>
      <c r="BQ54" s="191"/>
      <c r="BR54" s="191"/>
      <c r="BS54" s="191"/>
      <c r="BT54" s="191"/>
      <c r="BU54" s="191"/>
      <c r="BV54" s="191"/>
      <c r="BW54" s="191"/>
      <c r="BX54" s="191"/>
      <c r="BY54" s="191"/>
      <c r="BZ54" s="191"/>
      <c r="CA54" s="191"/>
      <c r="CB54" s="191"/>
      <c r="CC54" s="191"/>
      <c r="CD54" s="191"/>
      <c r="CE54" s="191"/>
      <c r="CF54" s="191"/>
      <c r="CG54" s="191"/>
      <c r="CH54" s="192"/>
      <c r="CI54" s="192"/>
      <c r="CJ54" s="192"/>
      <c r="CK54" s="192"/>
      <c r="CL54" s="192"/>
      <c r="CM54" s="192"/>
      <c r="CN54" s="192"/>
      <c r="CO54" s="192"/>
      <c r="CP54" s="192"/>
      <c r="CQ54" s="192"/>
      <c r="CR54" s="192"/>
      <c r="CS54" s="192"/>
      <c r="CT54" s="192"/>
    </row>
    <row r="55" ht="26.25" customHeight="1">
      <c r="A55" s="184" t="s">
        <v>69</v>
      </c>
      <c r="B55" s="184" t="s">
        <v>742</v>
      </c>
      <c r="C55" s="184" t="s">
        <v>614</v>
      </c>
      <c r="D55" s="185" t="s">
        <v>743</v>
      </c>
      <c r="E55" s="186" t="s">
        <v>1105</v>
      </c>
      <c r="F55" s="187" t="s">
        <v>1212</v>
      </c>
      <c r="G55" s="188">
        <v>0.40625</v>
      </c>
      <c r="H55" s="189" t="s">
        <v>1228</v>
      </c>
      <c r="I55" s="189" t="s">
        <v>1229</v>
      </c>
      <c r="J55" s="189" t="s">
        <v>1230</v>
      </c>
      <c r="K55" s="189" t="s">
        <v>1231</v>
      </c>
      <c r="L55" s="185" t="s">
        <v>1232</v>
      </c>
      <c r="M55" s="185" t="s">
        <v>1233</v>
      </c>
      <c r="N55" s="189" t="s">
        <v>752</v>
      </c>
      <c r="O55" s="185" t="s">
        <v>893</v>
      </c>
      <c r="P55" s="190"/>
      <c r="Q55" s="190"/>
      <c r="R55" s="190"/>
      <c r="S55" s="190"/>
      <c r="T55" s="190"/>
      <c r="U55" s="190"/>
      <c r="V55" s="189" t="s">
        <v>1117</v>
      </c>
      <c r="W55" s="189" t="s">
        <v>1234</v>
      </c>
      <c r="X55" s="185" t="s">
        <v>1119</v>
      </c>
      <c r="Y55" s="189" t="s">
        <v>893</v>
      </c>
      <c r="Z55" s="190"/>
      <c r="AA55" s="189" t="s">
        <v>757</v>
      </c>
      <c r="AB55" s="191"/>
      <c r="AC55" s="191"/>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N55" s="191"/>
      <c r="BO55" s="191"/>
      <c r="BP55" s="191"/>
      <c r="BQ55" s="191"/>
      <c r="BR55" s="191"/>
      <c r="BS55" s="191"/>
      <c r="BT55" s="191"/>
      <c r="BU55" s="191"/>
      <c r="BV55" s="191"/>
      <c r="BW55" s="191"/>
      <c r="BX55" s="191"/>
      <c r="BY55" s="191"/>
      <c r="BZ55" s="191"/>
      <c r="CA55" s="191"/>
      <c r="CB55" s="191"/>
      <c r="CC55" s="191"/>
      <c r="CD55" s="191"/>
      <c r="CE55" s="191"/>
      <c r="CF55" s="191"/>
      <c r="CG55" s="191"/>
      <c r="CH55" s="192"/>
      <c r="CI55" s="192"/>
      <c r="CJ55" s="192"/>
      <c r="CK55" s="192"/>
      <c r="CL55" s="192"/>
      <c r="CM55" s="192"/>
      <c r="CN55" s="192"/>
      <c r="CO55" s="192"/>
      <c r="CP55" s="192"/>
      <c r="CQ55" s="192"/>
      <c r="CR55" s="192"/>
      <c r="CS55" s="192"/>
      <c r="CT55" s="192"/>
    </row>
    <row r="56" ht="26.25" customHeight="1">
      <c r="A56" s="184" t="s">
        <v>67</v>
      </c>
      <c r="B56" s="184" t="s">
        <v>742</v>
      </c>
      <c r="C56" s="184" t="s">
        <v>614</v>
      </c>
      <c r="D56" s="185" t="s">
        <v>743</v>
      </c>
      <c r="E56" s="186" t="s">
        <v>1105</v>
      </c>
      <c r="F56" s="187" t="s">
        <v>1212</v>
      </c>
      <c r="G56" s="188">
        <v>0.4201388888888889</v>
      </c>
      <c r="H56" s="189" t="s">
        <v>1235</v>
      </c>
      <c r="I56" s="189" t="s">
        <v>1236</v>
      </c>
      <c r="J56" s="189" t="s">
        <v>1237</v>
      </c>
      <c r="K56" s="189" t="s">
        <v>1238</v>
      </c>
      <c r="L56" s="189" t="s">
        <v>1239</v>
      </c>
      <c r="M56" s="185" t="s">
        <v>1240</v>
      </c>
      <c r="N56" s="189" t="s">
        <v>752</v>
      </c>
      <c r="O56" s="185" t="s">
        <v>893</v>
      </c>
      <c r="P56" s="189" t="s">
        <v>1241</v>
      </c>
      <c r="Q56" s="189" t="s">
        <v>1242</v>
      </c>
      <c r="R56" s="190"/>
      <c r="S56" s="190"/>
      <c r="T56" s="190"/>
      <c r="U56" s="190"/>
      <c r="V56" s="189" t="s">
        <v>912</v>
      </c>
      <c r="W56" s="189" t="s">
        <v>913</v>
      </c>
      <c r="X56" s="185" t="s">
        <v>914</v>
      </c>
      <c r="Y56" s="189" t="s">
        <v>893</v>
      </c>
      <c r="Z56" s="190"/>
      <c r="AA56" s="189" t="s">
        <v>757</v>
      </c>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N56" s="191"/>
      <c r="BO56" s="191"/>
      <c r="BP56" s="191"/>
      <c r="BQ56" s="191"/>
      <c r="BR56" s="191"/>
      <c r="BS56" s="191"/>
      <c r="BT56" s="191"/>
      <c r="BU56" s="191"/>
      <c r="BV56" s="191"/>
      <c r="BW56" s="191"/>
      <c r="BX56" s="191"/>
      <c r="BY56" s="191"/>
      <c r="BZ56" s="191"/>
      <c r="CA56" s="191"/>
      <c r="CB56" s="191"/>
      <c r="CC56" s="191"/>
      <c r="CD56" s="191"/>
      <c r="CE56" s="191"/>
      <c r="CF56" s="191"/>
      <c r="CG56" s="191"/>
      <c r="CH56" s="192"/>
      <c r="CI56" s="192"/>
      <c r="CJ56" s="192"/>
      <c r="CK56" s="192"/>
      <c r="CL56" s="192"/>
      <c r="CM56" s="192"/>
      <c r="CN56" s="192"/>
      <c r="CO56" s="192"/>
      <c r="CP56" s="192"/>
      <c r="CQ56" s="192"/>
      <c r="CR56" s="192"/>
      <c r="CS56" s="192"/>
      <c r="CT56" s="192"/>
    </row>
    <row r="57" ht="26.25" customHeight="1">
      <c r="A57" s="184" t="s">
        <v>68</v>
      </c>
      <c r="B57" s="184" t="s">
        <v>742</v>
      </c>
      <c r="C57" s="184" t="s">
        <v>614</v>
      </c>
      <c r="D57" s="185" t="s">
        <v>743</v>
      </c>
      <c r="E57" s="186" t="s">
        <v>1105</v>
      </c>
      <c r="F57" s="187" t="s">
        <v>1212</v>
      </c>
      <c r="G57" s="188">
        <v>0.4340277777777778</v>
      </c>
      <c r="H57" s="189" t="s">
        <v>1243</v>
      </c>
      <c r="I57" s="189" t="s">
        <v>1244</v>
      </c>
      <c r="J57" s="189" t="s">
        <v>1245</v>
      </c>
      <c r="K57" s="189" t="s">
        <v>1246</v>
      </c>
      <c r="L57" s="189" t="s">
        <v>1247</v>
      </c>
      <c r="M57" s="185" t="s">
        <v>1248</v>
      </c>
      <c r="N57" s="189" t="s">
        <v>752</v>
      </c>
      <c r="O57" s="185" t="s">
        <v>753</v>
      </c>
      <c r="P57" s="189" t="s">
        <v>1249</v>
      </c>
      <c r="Q57" s="189" t="s">
        <v>1250</v>
      </c>
      <c r="R57" s="190"/>
      <c r="S57" s="190"/>
      <c r="T57" s="190"/>
      <c r="U57" s="190"/>
      <c r="V57" s="189" t="s">
        <v>912</v>
      </c>
      <c r="W57" s="189" t="s">
        <v>913</v>
      </c>
      <c r="X57" s="185" t="s">
        <v>914</v>
      </c>
      <c r="Y57" s="189" t="s">
        <v>893</v>
      </c>
      <c r="Z57" s="190"/>
      <c r="AA57" s="189" t="s">
        <v>757</v>
      </c>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N57" s="191"/>
      <c r="BO57" s="191"/>
      <c r="BP57" s="191"/>
      <c r="BQ57" s="191"/>
      <c r="BR57" s="191"/>
      <c r="BS57" s="191"/>
      <c r="BT57" s="191"/>
      <c r="BU57" s="191"/>
      <c r="BV57" s="191"/>
      <c r="BW57" s="191"/>
      <c r="BX57" s="191"/>
      <c r="BY57" s="191"/>
      <c r="BZ57" s="191"/>
      <c r="CA57" s="191"/>
      <c r="CB57" s="191"/>
      <c r="CC57" s="191"/>
      <c r="CD57" s="191"/>
      <c r="CE57" s="191"/>
      <c r="CF57" s="191"/>
      <c r="CG57" s="191"/>
      <c r="CH57" s="192"/>
      <c r="CI57" s="192"/>
      <c r="CJ57" s="192"/>
      <c r="CK57" s="192"/>
      <c r="CL57" s="192"/>
      <c r="CM57" s="192"/>
      <c r="CN57" s="192"/>
      <c r="CO57" s="192"/>
      <c r="CP57" s="192"/>
      <c r="CQ57" s="192"/>
      <c r="CR57" s="192"/>
      <c r="CS57" s="192"/>
      <c r="CT57" s="192"/>
    </row>
    <row r="58" ht="26.25" customHeight="1">
      <c r="A58" s="184" t="s">
        <v>70</v>
      </c>
      <c r="B58" s="184" t="s">
        <v>742</v>
      </c>
      <c r="C58" s="184" t="s">
        <v>614</v>
      </c>
      <c r="D58" s="185" t="s">
        <v>743</v>
      </c>
      <c r="E58" s="186" t="s">
        <v>1105</v>
      </c>
      <c r="F58" s="187" t="s">
        <v>1212</v>
      </c>
      <c r="G58" s="188">
        <v>0.4479166666666667</v>
      </c>
      <c r="H58" s="189" t="s">
        <v>1251</v>
      </c>
      <c r="I58" s="189" t="s">
        <v>1252</v>
      </c>
      <c r="J58" s="189" t="s">
        <v>1253</v>
      </c>
      <c r="K58" s="189" t="s">
        <v>1254</v>
      </c>
      <c r="L58" s="189" t="s">
        <v>1255</v>
      </c>
      <c r="M58" s="185" t="s">
        <v>1256</v>
      </c>
      <c r="N58" s="189" t="s">
        <v>850</v>
      </c>
      <c r="O58" s="185" t="s">
        <v>893</v>
      </c>
      <c r="P58" s="189" t="s">
        <v>1257</v>
      </c>
      <c r="Q58" s="189" t="s">
        <v>1258</v>
      </c>
      <c r="R58" s="190"/>
      <c r="S58" s="190"/>
      <c r="T58" s="190"/>
      <c r="U58" s="190"/>
      <c r="V58" s="189" t="s">
        <v>1259</v>
      </c>
      <c r="W58" s="189" t="s">
        <v>1210</v>
      </c>
      <c r="X58" s="185" t="s">
        <v>1211</v>
      </c>
      <c r="Y58" s="189" t="s">
        <v>777</v>
      </c>
      <c r="Z58" s="189" t="s">
        <v>1105</v>
      </c>
      <c r="AA58" s="189" t="s">
        <v>757</v>
      </c>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N58" s="191"/>
      <c r="BO58" s="191"/>
      <c r="BP58" s="191"/>
      <c r="BQ58" s="191"/>
      <c r="BR58" s="191"/>
      <c r="BS58" s="191"/>
      <c r="BT58" s="191"/>
      <c r="BU58" s="191"/>
      <c r="BV58" s="191"/>
      <c r="BW58" s="191"/>
      <c r="BX58" s="191"/>
      <c r="BY58" s="191"/>
      <c r="BZ58" s="191"/>
      <c r="CA58" s="191"/>
      <c r="CB58" s="191"/>
      <c r="CC58" s="191"/>
      <c r="CD58" s="191"/>
      <c r="CE58" s="191"/>
      <c r="CF58" s="191"/>
      <c r="CG58" s="191"/>
      <c r="CH58" s="192"/>
      <c r="CI58" s="192"/>
      <c r="CJ58" s="192"/>
      <c r="CK58" s="192"/>
      <c r="CL58" s="192"/>
      <c r="CM58" s="192"/>
      <c r="CN58" s="192"/>
      <c r="CO58" s="192"/>
      <c r="CP58" s="192"/>
      <c r="CQ58" s="192"/>
      <c r="CR58" s="192"/>
      <c r="CS58" s="192"/>
      <c r="CT58" s="192"/>
    </row>
    <row r="59" ht="26.25" customHeight="1">
      <c r="A59" s="184" t="s">
        <v>125</v>
      </c>
      <c r="B59" s="184" t="s">
        <v>1260</v>
      </c>
      <c r="C59" s="184" t="s">
        <v>615</v>
      </c>
      <c r="D59" s="185" t="s">
        <v>743</v>
      </c>
      <c r="E59" s="186" t="s">
        <v>844</v>
      </c>
      <c r="F59" s="207" t="s">
        <v>845</v>
      </c>
      <c r="G59" s="188">
        <v>0.4618055555555556</v>
      </c>
      <c r="H59" s="189" t="s">
        <v>1261</v>
      </c>
      <c r="I59" s="189" t="s">
        <v>1262</v>
      </c>
      <c r="J59" s="189" t="s">
        <v>1263</v>
      </c>
      <c r="K59" s="189" t="s">
        <v>749</v>
      </c>
      <c r="L59" s="189" t="s">
        <v>1264</v>
      </c>
      <c r="M59" s="185" t="s">
        <v>1265</v>
      </c>
      <c r="N59" s="189" t="s">
        <v>752</v>
      </c>
      <c r="O59" s="185" t="s">
        <v>753</v>
      </c>
      <c r="P59" s="190"/>
      <c r="Q59" s="190"/>
      <c r="R59" s="190"/>
      <c r="S59" s="190"/>
      <c r="T59" s="190"/>
      <c r="U59" s="190"/>
      <c r="V59" s="189" t="s">
        <v>754</v>
      </c>
      <c r="W59" s="189" t="s">
        <v>1266</v>
      </c>
      <c r="X59" s="185" t="s">
        <v>756</v>
      </c>
      <c r="Y59" s="189" t="s">
        <v>753</v>
      </c>
      <c r="Z59" s="190"/>
      <c r="AA59" s="189" t="s">
        <v>757</v>
      </c>
      <c r="AB59" s="191"/>
      <c r="AC59" s="191"/>
      <c r="AD59" s="191"/>
      <c r="AE59" s="191"/>
      <c r="AF59" s="191"/>
      <c r="AG59" s="191"/>
      <c r="AH59" s="191"/>
      <c r="AI59" s="191"/>
      <c r="AJ59" s="191"/>
      <c r="AK59" s="191"/>
      <c r="AL59" s="191"/>
      <c r="AM59" s="191"/>
      <c r="AN59" s="191"/>
      <c r="AO59" s="191"/>
      <c r="AP59" s="191"/>
      <c r="AQ59" s="191"/>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N59" s="191"/>
      <c r="BO59" s="191"/>
      <c r="BP59" s="191"/>
      <c r="BQ59" s="191"/>
      <c r="BR59" s="191"/>
      <c r="BS59" s="191"/>
      <c r="BT59" s="191"/>
      <c r="BU59" s="191"/>
      <c r="BV59" s="191"/>
      <c r="BW59" s="191"/>
      <c r="BX59" s="191"/>
      <c r="BY59" s="191"/>
      <c r="BZ59" s="191"/>
      <c r="CA59" s="191"/>
      <c r="CB59" s="191"/>
      <c r="CC59" s="191"/>
      <c r="CD59" s="191"/>
      <c r="CE59" s="191"/>
      <c r="CF59" s="191"/>
      <c r="CG59" s="191"/>
      <c r="CH59" s="192"/>
      <c r="CI59" s="192"/>
      <c r="CJ59" s="192"/>
      <c r="CK59" s="192"/>
      <c r="CL59" s="192"/>
      <c r="CM59" s="192"/>
      <c r="CN59" s="192"/>
      <c r="CO59" s="192"/>
      <c r="CP59" s="192"/>
      <c r="CQ59" s="192"/>
      <c r="CR59" s="192"/>
      <c r="CS59" s="192"/>
      <c r="CT59" s="192"/>
    </row>
    <row r="60" ht="26.25" customHeight="1">
      <c r="A60" s="184" t="s">
        <v>124</v>
      </c>
      <c r="B60" s="184" t="s">
        <v>1260</v>
      </c>
      <c r="C60" s="184" t="s">
        <v>615</v>
      </c>
      <c r="D60" s="185" t="s">
        <v>743</v>
      </c>
      <c r="E60" s="186" t="s">
        <v>844</v>
      </c>
      <c r="F60" s="207" t="s">
        <v>845</v>
      </c>
      <c r="G60" s="188">
        <v>0.4756944444444444</v>
      </c>
      <c r="H60" s="189" t="s">
        <v>1267</v>
      </c>
      <c r="I60" s="189" t="s">
        <v>1268</v>
      </c>
      <c r="J60" s="189" t="s">
        <v>1269</v>
      </c>
      <c r="K60" s="189" t="s">
        <v>1270</v>
      </c>
      <c r="L60" s="189" t="s">
        <v>1271</v>
      </c>
      <c r="M60" s="185" t="s">
        <v>1272</v>
      </c>
      <c r="N60" s="189" t="s">
        <v>752</v>
      </c>
      <c r="O60" s="185" t="s">
        <v>784</v>
      </c>
      <c r="P60" s="190"/>
      <c r="Q60" s="190"/>
      <c r="R60" s="190"/>
      <c r="S60" s="190"/>
      <c r="T60" s="190"/>
      <c r="U60" s="190"/>
      <c r="V60" s="189" t="s">
        <v>785</v>
      </c>
      <c r="W60" s="189" t="s">
        <v>786</v>
      </c>
      <c r="X60" s="185" t="s">
        <v>787</v>
      </c>
      <c r="Y60" s="189" t="s">
        <v>784</v>
      </c>
      <c r="Z60" s="190"/>
      <c r="AA60" s="189" t="s">
        <v>797</v>
      </c>
      <c r="AB60" s="191"/>
      <c r="AC60" s="191"/>
      <c r="AD60" s="191"/>
      <c r="AE60" s="191"/>
      <c r="AF60" s="191"/>
      <c r="AG60" s="191"/>
      <c r="AH60" s="191"/>
      <c r="AI60" s="191"/>
      <c r="AJ60" s="191"/>
      <c r="AK60" s="191"/>
      <c r="AL60" s="191"/>
      <c r="AM60" s="191"/>
      <c r="AN60" s="191"/>
      <c r="AO60" s="191"/>
      <c r="AP60" s="191"/>
      <c r="AQ60" s="191"/>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N60" s="191"/>
      <c r="BO60" s="191"/>
      <c r="BP60" s="191"/>
      <c r="BQ60" s="191"/>
      <c r="BR60" s="191"/>
      <c r="BS60" s="191"/>
      <c r="BT60" s="191"/>
      <c r="BU60" s="191"/>
      <c r="BV60" s="191"/>
      <c r="BW60" s="191"/>
      <c r="BX60" s="191"/>
      <c r="BY60" s="191"/>
      <c r="BZ60" s="191"/>
      <c r="CA60" s="191"/>
      <c r="CB60" s="191"/>
      <c r="CC60" s="191"/>
      <c r="CD60" s="191"/>
      <c r="CE60" s="191"/>
      <c r="CF60" s="191"/>
      <c r="CG60" s="191"/>
      <c r="CH60" s="192"/>
      <c r="CI60" s="192"/>
      <c r="CJ60" s="192"/>
      <c r="CK60" s="192"/>
      <c r="CL60" s="192"/>
      <c r="CM60" s="192"/>
      <c r="CN60" s="192"/>
      <c r="CO60" s="192"/>
      <c r="CP60" s="192"/>
      <c r="CQ60" s="192"/>
      <c r="CR60" s="192"/>
      <c r="CS60" s="192"/>
      <c r="CT60" s="192"/>
    </row>
    <row r="61" ht="26.25" customHeight="1">
      <c r="A61" s="184" t="s">
        <v>123</v>
      </c>
      <c r="B61" s="184" t="s">
        <v>1260</v>
      </c>
      <c r="C61" s="184" t="s">
        <v>615</v>
      </c>
      <c r="D61" s="185" t="s">
        <v>743</v>
      </c>
      <c r="E61" s="186" t="s">
        <v>844</v>
      </c>
      <c r="F61" s="207" t="s">
        <v>845</v>
      </c>
      <c r="G61" s="188">
        <v>0.4895833333333333</v>
      </c>
      <c r="H61" s="189" t="s">
        <v>1273</v>
      </c>
      <c r="I61" s="189" t="s">
        <v>1274</v>
      </c>
      <c r="J61" s="189" t="s">
        <v>1275</v>
      </c>
      <c r="K61" s="189" t="s">
        <v>749</v>
      </c>
      <c r="L61" s="189" t="s">
        <v>1276</v>
      </c>
      <c r="M61" s="185" t="s">
        <v>1277</v>
      </c>
      <c r="N61" s="189" t="s">
        <v>752</v>
      </c>
      <c r="O61" s="185" t="s">
        <v>753</v>
      </c>
      <c r="P61" s="190"/>
      <c r="Q61" s="190"/>
      <c r="R61" s="190"/>
      <c r="S61" s="190"/>
      <c r="T61" s="190"/>
      <c r="U61" s="190"/>
      <c r="V61" s="189" t="s">
        <v>754</v>
      </c>
      <c r="W61" s="189" t="s">
        <v>755</v>
      </c>
      <c r="X61" s="185" t="s">
        <v>756</v>
      </c>
      <c r="Y61" s="189" t="s">
        <v>753</v>
      </c>
      <c r="Z61" s="190"/>
      <c r="AA61" s="189" t="s">
        <v>757</v>
      </c>
      <c r="AB61" s="191"/>
      <c r="AC61" s="191"/>
      <c r="AD61" s="191"/>
      <c r="AE61" s="191"/>
      <c r="AF61" s="191"/>
      <c r="AG61" s="191"/>
      <c r="AH61" s="191"/>
      <c r="AI61" s="191"/>
      <c r="AJ61" s="191"/>
      <c r="AK61" s="191"/>
      <c r="AL61" s="191"/>
      <c r="AM61" s="191"/>
      <c r="AN61" s="191"/>
      <c r="AO61" s="191"/>
      <c r="AP61" s="191"/>
      <c r="AQ61" s="191"/>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N61" s="191"/>
      <c r="BO61" s="191"/>
      <c r="BP61" s="191"/>
      <c r="BQ61" s="191"/>
      <c r="BR61" s="191"/>
      <c r="BS61" s="191"/>
      <c r="BT61" s="191"/>
      <c r="BU61" s="191"/>
      <c r="BV61" s="191"/>
      <c r="BW61" s="191"/>
      <c r="BX61" s="191"/>
      <c r="BY61" s="191"/>
      <c r="BZ61" s="191"/>
      <c r="CA61" s="191"/>
      <c r="CB61" s="191"/>
      <c r="CC61" s="191"/>
      <c r="CD61" s="191"/>
      <c r="CE61" s="191"/>
      <c r="CF61" s="191"/>
      <c r="CG61" s="191"/>
      <c r="CH61" s="192"/>
      <c r="CI61" s="192"/>
      <c r="CJ61" s="192"/>
      <c r="CK61" s="192"/>
      <c r="CL61" s="192"/>
      <c r="CM61" s="192"/>
      <c r="CN61" s="192"/>
      <c r="CO61" s="192"/>
      <c r="CP61" s="192"/>
      <c r="CQ61" s="192"/>
      <c r="CR61" s="192"/>
      <c r="CS61" s="192"/>
      <c r="CT61" s="192"/>
    </row>
    <row r="62" ht="26.25" customHeight="1">
      <c r="A62" s="184" t="s">
        <v>122</v>
      </c>
      <c r="B62" s="184" t="s">
        <v>1260</v>
      </c>
      <c r="C62" s="184" t="s">
        <v>615</v>
      </c>
      <c r="D62" s="185" t="s">
        <v>743</v>
      </c>
      <c r="E62" s="186" t="s">
        <v>844</v>
      </c>
      <c r="F62" s="207" t="s">
        <v>845</v>
      </c>
      <c r="G62" s="188">
        <v>0.5034722222222222</v>
      </c>
      <c r="H62" s="189" t="s">
        <v>1278</v>
      </c>
      <c r="I62" s="189" t="s">
        <v>1279</v>
      </c>
      <c r="J62" s="189" t="s">
        <v>1280</v>
      </c>
      <c r="K62" s="189" t="s">
        <v>1281</v>
      </c>
      <c r="L62" s="189" t="s">
        <v>1282</v>
      </c>
      <c r="M62" s="185" t="s">
        <v>1283</v>
      </c>
      <c r="N62" s="189" t="s">
        <v>752</v>
      </c>
      <c r="O62" s="185" t="s">
        <v>784</v>
      </c>
      <c r="P62" s="190"/>
      <c r="Q62" s="190"/>
      <c r="R62" s="190"/>
      <c r="S62" s="190"/>
      <c r="T62" s="190"/>
      <c r="U62" s="190"/>
      <c r="V62" s="189" t="s">
        <v>1284</v>
      </c>
      <c r="W62" s="189" t="s">
        <v>1285</v>
      </c>
      <c r="X62" s="185" t="s">
        <v>1286</v>
      </c>
      <c r="Y62" s="189" t="s">
        <v>784</v>
      </c>
      <c r="Z62" s="190"/>
      <c r="AA62" s="189" t="s">
        <v>757</v>
      </c>
      <c r="AB62" s="191"/>
      <c r="AC62" s="191"/>
      <c r="AD62" s="191"/>
      <c r="AE62" s="191"/>
      <c r="AF62" s="191"/>
      <c r="AG62" s="191"/>
      <c r="AH62" s="191"/>
      <c r="AI62" s="191"/>
      <c r="AJ62" s="191"/>
      <c r="AK62" s="191"/>
      <c r="AL62" s="191"/>
      <c r="AM62" s="191"/>
      <c r="AN62" s="191"/>
      <c r="AO62" s="191"/>
      <c r="AP62" s="191"/>
      <c r="AQ62" s="191"/>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N62" s="191"/>
      <c r="BO62" s="191"/>
      <c r="BP62" s="191"/>
      <c r="BQ62" s="191"/>
      <c r="BR62" s="191"/>
      <c r="BS62" s="191"/>
      <c r="BT62" s="191"/>
      <c r="BU62" s="191"/>
      <c r="BV62" s="191"/>
      <c r="BW62" s="191"/>
      <c r="BX62" s="191"/>
      <c r="BY62" s="191"/>
      <c r="BZ62" s="191"/>
      <c r="CA62" s="191"/>
      <c r="CB62" s="191"/>
      <c r="CC62" s="191"/>
      <c r="CD62" s="191"/>
      <c r="CE62" s="191"/>
      <c r="CF62" s="191"/>
      <c r="CG62" s="191"/>
      <c r="CH62" s="192"/>
      <c r="CI62" s="192"/>
      <c r="CJ62" s="192"/>
      <c r="CK62" s="192"/>
      <c r="CL62" s="192"/>
      <c r="CM62" s="192"/>
      <c r="CN62" s="192"/>
      <c r="CO62" s="192"/>
      <c r="CP62" s="192"/>
      <c r="CQ62" s="192"/>
      <c r="CR62" s="192"/>
      <c r="CS62" s="192"/>
      <c r="CT62" s="192"/>
    </row>
    <row r="63" ht="26.25" customHeight="1">
      <c r="A63" s="184" t="s">
        <v>126</v>
      </c>
      <c r="B63" s="184" t="s">
        <v>1260</v>
      </c>
      <c r="C63" s="184" t="s">
        <v>615</v>
      </c>
      <c r="D63" s="185" t="s">
        <v>743</v>
      </c>
      <c r="E63" s="186" t="s">
        <v>844</v>
      </c>
      <c r="F63" s="207" t="s">
        <v>845</v>
      </c>
      <c r="G63" s="188">
        <v>0.5173611111111112</v>
      </c>
      <c r="H63" s="189" t="s">
        <v>1287</v>
      </c>
      <c r="I63" s="189" t="s">
        <v>1288</v>
      </c>
      <c r="J63" s="189" t="s">
        <v>1289</v>
      </c>
      <c r="K63" s="189" t="s">
        <v>1290</v>
      </c>
      <c r="L63" s="185" t="s">
        <v>1291</v>
      </c>
      <c r="M63" s="209" t="s">
        <v>1292</v>
      </c>
      <c r="N63" s="189" t="s">
        <v>752</v>
      </c>
      <c r="O63" s="185" t="s">
        <v>784</v>
      </c>
      <c r="P63" s="190"/>
      <c r="Q63" s="190"/>
      <c r="R63" s="190"/>
      <c r="S63" s="190"/>
      <c r="T63" s="190"/>
      <c r="U63" s="190"/>
      <c r="V63" s="189" t="s">
        <v>1293</v>
      </c>
      <c r="W63" s="189" t="s">
        <v>1294</v>
      </c>
      <c r="X63" s="185" t="s">
        <v>1295</v>
      </c>
      <c r="Y63" s="189" t="s">
        <v>784</v>
      </c>
      <c r="Z63" s="190"/>
      <c r="AA63" s="189" t="s">
        <v>1296</v>
      </c>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N63" s="191"/>
      <c r="BO63" s="191"/>
      <c r="BP63" s="191"/>
      <c r="BQ63" s="191"/>
      <c r="BR63" s="191"/>
      <c r="BS63" s="191"/>
      <c r="BT63" s="191"/>
      <c r="BU63" s="191"/>
      <c r="BV63" s="191"/>
      <c r="BW63" s="191"/>
      <c r="BX63" s="191"/>
      <c r="BY63" s="191"/>
      <c r="BZ63" s="191"/>
      <c r="CA63" s="191"/>
      <c r="CB63" s="191"/>
      <c r="CC63" s="191"/>
      <c r="CD63" s="191"/>
      <c r="CE63" s="191"/>
      <c r="CF63" s="191"/>
      <c r="CG63" s="191"/>
      <c r="CH63" s="192"/>
      <c r="CI63" s="192"/>
      <c r="CJ63" s="192"/>
      <c r="CK63" s="192"/>
      <c r="CL63" s="192"/>
      <c r="CM63" s="192"/>
      <c r="CN63" s="192"/>
      <c r="CO63" s="192"/>
      <c r="CP63" s="192"/>
      <c r="CQ63" s="192"/>
      <c r="CR63" s="192"/>
      <c r="CS63" s="192"/>
      <c r="CT63" s="192"/>
    </row>
    <row r="64" ht="26.25" customHeight="1">
      <c r="A64" s="184" t="s">
        <v>136</v>
      </c>
      <c r="B64" s="184" t="s">
        <v>1260</v>
      </c>
      <c r="C64" s="184" t="s">
        <v>616</v>
      </c>
      <c r="D64" s="185" t="s">
        <v>743</v>
      </c>
      <c r="E64" s="186" t="s">
        <v>900</v>
      </c>
      <c r="F64" s="211" t="s">
        <v>901</v>
      </c>
      <c r="G64" s="188">
        <v>0.4618055555555556</v>
      </c>
      <c r="H64" s="189" t="s">
        <v>1297</v>
      </c>
      <c r="I64" s="189" t="s">
        <v>1298</v>
      </c>
      <c r="J64" s="189" t="s">
        <v>1299</v>
      </c>
      <c r="K64" s="189" t="s">
        <v>1300</v>
      </c>
      <c r="L64" s="189" t="s">
        <v>1301</v>
      </c>
      <c r="M64" s="209" t="s">
        <v>1302</v>
      </c>
      <c r="N64" s="189" t="s">
        <v>752</v>
      </c>
      <c r="O64" s="185" t="s">
        <v>784</v>
      </c>
      <c r="P64" s="190"/>
      <c r="Q64" s="190"/>
      <c r="R64" s="190"/>
      <c r="S64" s="190"/>
      <c r="T64" s="190"/>
      <c r="U64" s="190"/>
      <c r="V64" s="189" t="s">
        <v>1303</v>
      </c>
      <c r="W64" s="189" t="s">
        <v>1304</v>
      </c>
      <c r="X64" s="208" t="s">
        <v>1305</v>
      </c>
      <c r="Y64" s="189" t="s">
        <v>784</v>
      </c>
      <c r="Z64" s="190"/>
      <c r="AA64" s="189" t="s">
        <v>757</v>
      </c>
      <c r="AB64" s="191"/>
      <c r="AC64" s="191"/>
      <c r="AD64" s="191"/>
      <c r="AE64" s="191"/>
      <c r="AF64" s="191"/>
      <c r="AG64" s="191"/>
      <c r="AH64" s="191"/>
      <c r="AI64" s="191"/>
      <c r="AJ64" s="191"/>
      <c r="AK64" s="191"/>
      <c r="AL64" s="191"/>
      <c r="AM64" s="191"/>
      <c r="AN64" s="191"/>
      <c r="AO64" s="191"/>
      <c r="AP64" s="191"/>
      <c r="AQ64" s="191"/>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N64" s="191"/>
      <c r="BO64" s="191"/>
      <c r="BP64" s="191"/>
      <c r="BQ64" s="191"/>
      <c r="BR64" s="191"/>
      <c r="BS64" s="191"/>
      <c r="BT64" s="191"/>
      <c r="BU64" s="191"/>
      <c r="BV64" s="191"/>
      <c r="BW64" s="191"/>
      <c r="BX64" s="191"/>
      <c r="BY64" s="191"/>
      <c r="BZ64" s="191"/>
      <c r="CA64" s="191"/>
      <c r="CB64" s="191"/>
      <c r="CC64" s="191"/>
      <c r="CD64" s="191"/>
      <c r="CE64" s="191"/>
      <c r="CF64" s="191"/>
      <c r="CG64" s="191"/>
      <c r="CH64" s="192"/>
      <c r="CI64" s="192"/>
      <c r="CJ64" s="192"/>
      <c r="CK64" s="192"/>
      <c r="CL64" s="192"/>
      <c r="CM64" s="192"/>
      <c r="CN64" s="192"/>
      <c r="CO64" s="192"/>
      <c r="CP64" s="192"/>
      <c r="CQ64" s="192"/>
      <c r="CR64" s="192"/>
      <c r="CS64" s="192"/>
      <c r="CT64" s="192"/>
    </row>
    <row r="65" ht="26.25" customHeight="1">
      <c r="A65" s="184" t="s">
        <v>135</v>
      </c>
      <c r="B65" s="184" t="s">
        <v>1260</v>
      </c>
      <c r="C65" s="184" t="s">
        <v>616</v>
      </c>
      <c r="D65" s="185" t="s">
        <v>743</v>
      </c>
      <c r="E65" s="186" t="s">
        <v>900</v>
      </c>
      <c r="F65" s="211" t="s">
        <v>901</v>
      </c>
      <c r="G65" s="188">
        <v>0.4756944444444444</v>
      </c>
      <c r="H65" s="185" t="s">
        <v>1306</v>
      </c>
      <c r="I65" s="189" t="s">
        <v>1307</v>
      </c>
      <c r="J65" s="189" t="s">
        <v>1308</v>
      </c>
      <c r="K65" s="189" t="s">
        <v>1309</v>
      </c>
      <c r="L65" s="189" t="s">
        <v>1310</v>
      </c>
      <c r="M65" s="185" t="s">
        <v>1311</v>
      </c>
      <c r="N65" s="189" t="s">
        <v>752</v>
      </c>
      <c r="O65" s="185" t="s">
        <v>784</v>
      </c>
      <c r="P65" s="190"/>
      <c r="Q65" s="190"/>
      <c r="R65" s="190"/>
      <c r="S65" s="190"/>
      <c r="T65" s="190"/>
      <c r="U65" s="190"/>
      <c r="V65" s="189" t="s">
        <v>1312</v>
      </c>
      <c r="W65" s="189" t="s">
        <v>1313</v>
      </c>
      <c r="X65" s="208" t="s">
        <v>1314</v>
      </c>
      <c r="Y65" s="189" t="s">
        <v>784</v>
      </c>
      <c r="Z65" s="190"/>
      <c r="AA65" s="189" t="s">
        <v>757</v>
      </c>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N65" s="191"/>
      <c r="BO65" s="191"/>
      <c r="BP65" s="191"/>
      <c r="BQ65" s="191"/>
      <c r="BR65" s="191"/>
      <c r="BS65" s="191"/>
      <c r="BT65" s="191"/>
      <c r="BU65" s="191"/>
      <c r="BV65" s="191"/>
      <c r="BW65" s="191"/>
      <c r="BX65" s="191"/>
      <c r="BY65" s="191"/>
      <c r="BZ65" s="191"/>
      <c r="CA65" s="191"/>
      <c r="CB65" s="191"/>
      <c r="CC65" s="191"/>
      <c r="CD65" s="191"/>
      <c r="CE65" s="191"/>
      <c r="CF65" s="191"/>
      <c r="CG65" s="191"/>
      <c r="CH65" s="192"/>
      <c r="CI65" s="192"/>
      <c r="CJ65" s="192"/>
      <c r="CK65" s="192"/>
      <c r="CL65" s="192"/>
      <c r="CM65" s="192"/>
      <c r="CN65" s="192"/>
      <c r="CO65" s="192"/>
      <c r="CP65" s="192"/>
      <c r="CQ65" s="192"/>
      <c r="CR65" s="192"/>
      <c r="CS65" s="192"/>
      <c r="CT65" s="192"/>
    </row>
    <row r="66" ht="26.25" customHeight="1">
      <c r="A66" s="184" t="s">
        <v>133</v>
      </c>
      <c r="B66" s="184" t="s">
        <v>1260</v>
      </c>
      <c r="C66" s="184" t="s">
        <v>616</v>
      </c>
      <c r="D66" s="185" t="s">
        <v>743</v>
      </c>
      <c r="E66" s="186" t="s">
        <v>900</v>
      </c>
      <c r="F66" s="211" t="s">
        <v>901</v>
      </c>
      <c r="G66" s="188">
        <v>0.5034722222222222</v>
      </c>
      <c r="H66" s="189" t="s">
        <v>1315</v>
      </c>
      <c r="I66" s="189" t="s">
        <v>1316</v>
      </c>
      <c r="J66" s="189" t="s">
        <v>1317</v>
      </c>
      <c r="K66" s="189" t="s">
        <v>1318</v>
      </c>
      <c r="L66" s="189" t="s">
        <v>1319</v>
      </c>
      <c r="M66" s="185" t="s">
        <v>1320</v>
      </c>
      <c r="N66" s="189" t="s">
        <v>752</v>
      </c>
      <c r="O66" s="185" t="s">
        <v>764</v>
      </c>
      <c r="P66" s="189" t="s">
        <v>1321</v>
      </c>
      <c r="Q66" s="189" t="s">
        <v>1322</v>
      </c>
      <c r="R66" s="190"/>
      <c r="S66" s="190"/>
      <c r="T66" s="190"/>
      <c r="U66" s="190"/>
      <c r="V66" s="189" t="s">
        <v>1323</v>
      </c>
      <c r="W66" s="189" t="s">
        <v>1324</v>
      </c>
      <c r="X66" s="208" t="s">
        <v>1325</v>
      </c>
      <c r="Y66" s="189" t="s">
        <v>784</v>
      </c>
      <c r="Z66" s="190"/>
      <c r="AA66" s="189" t="s">
        <v>757</v>
      </c>
      <c r="AB66" s="191"/>
      <c r="AC66" s="191"/>
      <c r="AD66" s="191"/>
      <c r="AE66" s="191"/>
      <c r="AF66" s="191"/>
      <c r="AG66" s="191"/>
      <c r="AH66" s="191"/>
      <c r="AI66" s="191"/>
      <c r="AJ66" s="191"/>
      <c r="AK66" s="191"/>
      <c r="AL66" s="191"/>
      <c r="AM66" s="191"/>
      <c r="AN66" s="191"/>
      <c r="AO66" s="191"/>
      <c r="AP66" s="191"/>
      <c r="AQ66" s="191"/>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N66" s="191"/>
      <c r="BO66" s="191"/>
      <c r="BP66" s="191"/>
      <c r="BQ66" s="191"/>
      <c r="BR66" s="191"/>
      <c r="BS66" s="191"/>
      <c r="BT66" s="191"/>
      <c r="BU66" s="191"/>
      <c r="BV66" s="191"/>
      <c r="BW66" s="191"/>
      <c r="BX66" s="191"/>
      <c r="BY66" s="191"/>
      <c r="BZ66" s="191"/>
      <c r="CA66" s="191"/>
      <c r="CB66" s="191"/>
      <c r="CC66" s="191"/>
      <c r="CD66" s="191"/>
      <c r="CE66" s="191"/>
      <c r="CF66" s="191"/>
      <c r="CG66" s="191"/>
      <c r="CH66" s="192"/>
      <c r="CI66" s="192"/>
      <c r="CJ66" s="192"/>
      <c r="CK66" s="192"/>
      <c r="CL66" s="192"/>
      <c r="CM66" s="192"/>
      <c r="CN66" s="192"/>
      <c r="CO66" s="192"/>
      <c r="CP66" s="192"/>
      <c r="CQ66" s="192"/>
      <c r="CR66" s="192"/>
      <c r="CS66" s="192"/>
      <c r="CT66" s="192"/>
    </row>
    <row r="67" ht="26.25" customHeight="1">
      <c r="A67" s="184" t="s">
        <v>134</v>
      </c>
      <c r="B67" s="184" t="s">
        <v>1260</v>
      </c>
      <c r="C67" s="184" t="s">
        <v>616</v>
      </c>
      <c r="D67" s="185" t="s">
        <v>743</v>
      </c>
      <c r="E67" s="186" t="s">
        <v>900</v>
      </c>
      <c r="F67" s="211" t="s">
        <v>901</v>
      </c>
      <c r="G67" s="188">
        <v>0.5173611111111112</v>
      </c>
      <c r="H67" s="189" t="s">
        <v>746</v>
      </c>
      <c r="I67" s="189" t="s">
        <v>1326</v>
      </c>
      <c r="J67" s="189" t="s">
        <v>1327</v>
      </c>
      <c r="K67" s="212" t="s">
        <v>1328</v>
      </c>
      <c r="L67" s="189" t="s">
        <v>1329</v>
      </c>
      <c r="M67" s="185" t="s">
        <v>1330</v>
      </c>
      <c r="N67" s="189" t="s">
        <v>752</v>
      </c>
      <c r="O67" s="213" t="s">
        <v>1331</v>
      </c>
      <c r="P67" s="190"/>
      <c r="Q67" s="190"/>
      <c r="R67" s="190"/>
      <c r="S67" s="190"/>
      <c r="T67" s="190"/>
      <c r="U67" s="190"/>
      <c r="V67" s="189" t="s">
        <v>1332</v>
      </c>
      <c r="W67" s="189" t="s">
        <v>1333</v>
      </c>
      <c r="X67" s="214" t="s">
        <v>1334</v>
      </c>
      <c r="Y67" s="207" t="s">
        <v>784</v>
      </c>
      <c r="Z67" s="190"/>
      <c r="AA67" s="189" t="s">
        <v>757</v>
      </c>
      <c r="AB67" s="191"/>
      <c r="AC67" s="191"/>
      <c r="AD67" s="191"/>
      <c r="AE67" s="191"/>
      <c r="AF67" s="191"/>
      <c r="AG67" s="191"/>
      <c r="AH67" s="191"/>
      <c r="AI67" s="191"/>
      <c r="AJ67" s="191"/>
      <c r="AK67" s="191"/>
      <c r="AL67" s="191"/>
      <c r="AM67" s="191"/>
      <c r="AN67" s="191"/>
      <c r="AO67" s="191"/>
      <c r="AP67" s="191"/>
      <c r="AQ67" s="191"/>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N67" s="191"/>
      <c r="BO67" s="191"/>
      <c r="BP67" s="191"/>
      <c r="BQ67" s="191"/>
      <c r="BR67" s="191"/>
      <c r="BS67" s="191"/>
      <c r="BT67" s="191"/>
      <c r="BU67" s="191"/>
      <c r="BV67" s="191"/>
      <c r="BW67" s="191"/>
      <c r="BX67" s="191"/>
      <c r="BY67" s="191"/>
      <c r="BZ67" s="191"/>
      <c r="CA67" s="191"/>
      <c r="CB67" s="191"/>
      <c r="CC67" s="191"/>
      <c r="CD67" s="191"/>
      <c r="CE67" s="191"/>
      <c r="CF67" s="191"/>
      <c r="CG67" s="191"/>
      <c r="CH67" s="192"/>
      <c r="CI67" s="192"/>
      <c r="CJ67" s="192"/>
      <c r="CK67" s="192"/>
      <c r="CL67" s="192"/>
      <c r="CM67" s="192"/>
      <c r="CN67" s="192"/>
      <c r="CO67" s="192"/>
      <c r="CP67" s="192"/>
      <c r="CQ67" s="192"/>
      <c r="CR67" s="192"/>
      <c r="CS67" s="192"/>
      <c r="CT67" s="192"/>
    </row>
    <row r="68" ht="26.25" customHeight="1">
      <c r="A68" s="184" t="s">
        <v>138</v>
      </c>
      <c r="B68" s="184" t="s">
        <v>1260</v>
      </c>
      <c r="C68" s="184" t="s">
        <v>617</v>
      </c>
      <c r="D68" s="185" t="s">
        <v>743</v>
      </c>
      <c r="E68" s="186" t="s">
        <v>946</v>
      </c>
      <c r="F68" s="187" t="s">
        <v>745</v>
      </c>
      <c r="G68" s="188">
        <v>0.4618055555555556</v>
      </c>
      <c r="H68" s="189" t="s">
        <v>1335</v>
      </c>
      <c r="I68" s="189" t="s">
        <v>1336</v>
      </c>
      <c r="J68" s="189" t="s">
        <v>1337</v>
      </c>
      <c r="K68" s="189" t="s">
        <v>1338</v>
      </c>
      <c r="L68" s="189" t="s">
        <v>1339</v>
      </c>
      <c r="M68" s="185" t="s">
        <v>1340</v>
      </c>
      <c r="N68" s="189" t="s">
        <v>752</v>
      </c>
      <c r="O68" s="185" t="s">
        <v>764</v>
      </c>
      <c r="P68" s="190"/>
      <c r="Q68" s="190"/>
      <c r="R68" s="190"/>
      <c r="S68" s="190"/>
      <c r="T68" s="190"/>
      <c r="U68" s="190"/>
      <c r="V68" s="189" t="s">
        <v>1341</v>
      </c>
      <c r="W68" s="189" t="s">
        <v>1342</v>
      </c>
      <c r="X68" s="208" t="s">
        <v>1343</v>
      </c>
      <c r="Y68" s="189" t="s">
        <v>764</v>
      </c>
      <c r="Z68" s="190"/>
      <c r="AA68" s="189" t="s">
        <v>757</v>
      </c>
      <c r="AB68" s="191"/>
      <c r="AC68" s="191"/>
      <c r="AD68" s="191"/>
      <c r="AE68" s="191"/>
      <c r="AF68" s="191"/>
      <c r="AG68" s="191"/>
      <c r="AH68" s="191"/>
      <c r="AI68" s="191"/>
      <c r="AJ68" s="191"/>
      <c r="AK68" s="191"/>
      <c r="AL68" s="191"/>
      <c r="AM68" s="191"/>
      <c r="AN68" s="191"/>
      <c r="AO68" s="191"/>
      <c r="AP68" s="191"/>
      <c r="AQ68" s="191"/>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N68" s="191"/>
      <c r="BO68" s="191"/>
      <c r="BP68" s="191"/>
      <c r="BQ68" s="191"/>
      <c r="BR68" s="191"/>
      <c r="BS68" s="191"/>
      <c r="BT68" s="191"/>
      <c r="BU68" s="191"/>
      <c r="BV68" s="191"/>
      <c r="BW68" s="191"/>
      <c r="BX68" s="191"/>
      <c r="BY68" s="191"/>
      <c r="BZ68" s="191"/>
      <c r="CA68" s="191"/>
      <c r="CB68" s="191"/>
      <c r="CC68" s="191"/>
      <c r="CD68" s="191"/>
      <c r="CE68" s="191"/>
      <c r="CF68" s="191"/>
      <c r="CG68" s="191"/>
      <c r="CH68" s="192"/>
      <c r="CI68" s="192"/>
      <c r="CJ68" s="192"/>
      <c r="CK68" s="192"/>
      <c r="CL68" s="192"/>
      <c r="CM68" s="192"/>
      <c r="CN68" s="192"/>
      <c r="CO68" s="192"/>
      <c r="CP68" s="192"/>
      <c r="CQ68" s="192"/>
      <c r="CR68" s="192"/>
      <c r="CS68" s="192"/>
      <c r="CT68" s="192"/>
    </row>
    <row r="69" ht="26.25" customHeight="1">
      <c r="A69" s="184" t="s">
        <v>137</v>
      </c>
      <c r="B69" s="184" t="s">
        <v>1260</v>
      </c>
      <c r="C69" s="184" t="s">
        <v>617</v>
      </c>
      <c r="D69" s="185" t="s">
        <v>743</v>
      </c>
      <c r="E69" s="186" t="s">
        <v>946</v>
      </c>
      <c r="F69" s="187" t="s">
        <v>745</v>
      </c>
      <c r="G69" s="188">
        <v>0.4756944444444444</v>
      </c>
      <c r="H69" s="189" t="s">
        <v>1344</v>
      </c>
      <c r="I69" s="189" t="s">
        <v>1345</v>
      </c>
      <c r="J69" s="189" t="s">
        <v>1346</v>
      </c>
      <c r="K69" s="189" t="s">
        <v>1347</v>
      </c>
      <c r="L69" s="185" t="s">
        <v>1348</v>
      </c>
      <c r="M69" s="185" t="s">
        <v>1349</v>
      </c>
      <c r="N69" s="189" t="s">
        <v>752</v>
      </c>
      <c r="O69" s="185" t="s">
        <v>764</v>
      </c>
      <c r="P69" s="190"/>
      <c r="Q69" s="190"/>
      <c r="R69" s="190"/>
      <c r="S69" s="190"/>
      <c r="T69" s="190"/>
      <c r="U69" s="190"/>
      <c r="V69" s="189" t="s">
        <v>972</v>
      </c>
      <c r="W69" s="189" t="s">
        <v>973</v>
      </c>
      <c r="X69" s="208" t="s">
        <v>974</v>
      </c>
      <c r="Y69" s="189" t="s">
        <v>764</v>
      </c>
      <c r="Z69" s="190"/>
      <c r="AA69" s="189" t="s">
        <v>757</v>
      </c>
      <c r="AB69" s="191"/>
      <c r="AC69" s="191"/>
      <c r="AD69" s="191"/>
      <c r="AE69" s="191"/>
      <c r="AF69" s="191"/>
      <c r="AG69" s="191"/>
      <c r="AH69" s="191"/>
      <c r="AI69" s="191"/>
      <c r="AJ69" s="191"/>
      <c r="AK69" s="191"/>
      <c r="AL69" s="191"/>
      <c r="AM69" s="191"/>
      <c r="AN69" s="191"/>
      <c r="AO69" s="191"/>
      <c r="AP69" s="191"/>
      <c r="AQ69" s="191"/>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N69" s="191"/>
      <c r="BO69" s="191"/>
      <c r="BP69" s="191"/>
      <c r="BQ69" s="191"/>
      <c r="BR69" s="191"/>
      <c r="BS69" s="191"/>
      <c r="BT69" s="191"/>
      <c r="BU69" s="191"/>
      <c r="BV69" s="191"/>
      <c r="BW69" s="191"/>
      <c r="BX69" s="191"/>
      <c r="BY69" s="191"/>
      <c r="BZ69" s="191"/>
      <c r="CA69" s="191"/>
      <c r="CB69" s="191"/>
      <c r="CC69" s="191"/>
      <c r="CD69" s="191"/>
      <c r="CE69" s="191"/>
      <c r="CF69" s="191"/>
      <c r="CG69" s="191"/>
      <c r="CH69" s="192"/>
      <c r="CI69" s="192"/>
      <c r="CJ69" s="192"/>
      <c r="CK69" s="192"/>
      <c r="CL69" s="192"/>
      <c r="CM69" s="192"/>
      <c r="CN69" s="192"/>
      <c r="CO69" s="192"/>
      <c r="CP69" s="192"/>
      <c r="CQ69" s="192"/>
      <c r="CR69" s="192"/>
      <c r="CS69" s="192"/>
      <c r="CT69" s="192"/>
    </row>
    <row r="70" ht="26.25" customHeight="1">
      <c r="A70" s="184" t="s">
        <v>141</v>
      </c>
      <c r="B70" s="184" t="s">
        <v>1260</v>
      </c>
      <c r="C70" s="184" t="s">
        <v>617</v>
      </c>
      <c r="D70" s="185" t="s">
        <v>743</v>
      </c>
      <c r="E70" s="186" t="s">
        <v>946</v>
      </c>
      <c r="F70" s="207" t="s">
        <v>745</v>
      </c>
      <c r="G70" s="188">
        <v>0.4895833333333333</v>
      </c>
      <c r="H70" s="189" t="s">
        <v>1350</v>
      </c>
      <c r="I70" s="189" t="s">
        <v>1351</v>
      </c>
      <c r="J70" s="189" t="s">
        <v>1352</v>
      </c>
      <c r="K70" s="189" t="s">
        <v>1353</v>
      </c>
      <c r="L70" s="185" t="s">
        <v>1354</v>
      </c>
      <c r="M70" s="185" t="s">
        <v>1355</v>
      </c>
      <c r="N70" s="189" t="s">
        <v>752</v>
      </c>
      <c r="O70" s="185" t="s">
        <v>764</v>
      </c>
      <c r="P70" s="190"/>
      <c r="Q70" s="190"/>
      <c r="R70" s="190"/>
      <c r="S70" s="190"/>
      <c r="T70" s="190"/>
      <c r="U70" s="190"/>
      <c r="V70" s="189" t="s">
        <v>1356</v>
      </c>
      <c r="W70" s="189" t="s">
        <v>1062</v>
      </c>
      <c r="X70" s="185" t="s">
        <v>1357</v>
      </c>
      <c r="Y70" s="189" t="s">
        <v>764</v>
      </c>
      <c r="Z70" s="190"/>
      <c r="AA70" s="189" t="s">
        <v>757</v>
      </c>
      <c r="AB70" s="191"/>
      <c r="AC70" s="191"/>
      <c r="AD70" s="191"/>
      <c r="AE70" s="191"/>
      <c r="AF70" s="191"/>
      <c r="AG70" s="191"/>
      <c r="AH70" s="191"/>
      <c r="AI70" s="191"/>
      <c r="AJ70" s="191"/>
      <c r="AK70" s="191"/>
      <c r="AL70" s="191"/>
      <c r="AM70" s="191"/>
      <c r="AN70" s="191"/>
      <c r="AO70" s="191"/>
      <c r="AP70" s="191"/>
      <c r="AQ70" s="191"/>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N70" s="191"/>
      <c r="BO70" s="191"/>
      <c r="BP70" s="191"/>
      <c r="BQ70" s="191"/>
      <c r="BR70" s="191"/>
      <c r="BS70" s="191"/>
      <c r="BT70" s="191"/>
      <c r="BU70" s="191"/>
      <c r="BV70" s="191"/>
      <c r="BW70" s="191"/>
      <c r="BX70" s="191"/>
      <c r="BY70" s="191"/>
      <c r="BZ70" s="191"/>
      <c r="CA70" s="191"/>
      <c r="CB70" s="191"/>
      <c r="CC70" s="191"/>
      <c r="CD70" s="191"/>
      <c r="CE70" s="191"/>
      <c r="CF70" s="191"/>
      <c r="CG70" s="191"/>
      <c r="CH70" s="192"/>
      <c r="CI70" s="192"/>
      <c r="CJ70" s="192"/>
      <c r="CK70" s="192"/>
      <c r="CL70" s="192"/>
      <c r="CM70" s="192"/>
      <c r="CN70" s="192"/>
      <c r="CO70" s="192"/>
      <c r="CP70" s="192"/>
      <c r="CQ70" s="192"/>
      <c r="CR70" s="192"/>
      <c r="CS70" s="192"/>
      <c r="CT70" s="192"/>
    </row>
    <row r="71" ht="26.25" customHeight="1">
      <c r="A71" s="184" t="s">
        <v>139</v>
      </c>
      <c r="B71" s="184" t="s">
        <v>1260</v>
      </c>
      <c r="C71" s="184" t="s">
        <v>617</v>
      </c>
      <c r="D71" s="185" t="s">
        <v>743</v>
      </c>
      <c r="E71" s="186" t="s">
        <v>946</v>
      </c>
      <c r="F71" s="207" t="s">
        <v>745</v>
      </c>
      <c r="G71" s="188">
        <v>0.5034722222222222</v>
      </c>
      <c r="H71" s="189" t="s">
        <v>1358</v>
      </c>
      <c r="I71" s="189" t="s">
        <v>1359</v>
      </c>
      <c r="J71" s="189" t="s">
        <v>1360</v>
      </c>
      <c r="K71" s="189" t="s">
        <v>1361</v>
      </c>
      <c r="L71" s="189" t="s">
        <v>1362</v>
      </c>
      <c r="M71" s="185" t="s">
        <v>1363</v>
      </c>
      <c r="N71" s="189" t="s">
        <v>752</v>
      </c>
      <c r="O71" s="185" t="s">
        <v>764</v>
      </c>
      <c r="P71" s="190"/>
      <c r="Q71" s="190"/>
      <c r="R71" s="190"/>
      <c r="S71" s="190"/>
      <c r="T71" s="190"/>
      <c r="U71" s="190"/>
      <c r="V71" s="189" t="s">
        <v>1364</v>
      </c>
      <c r="W71" s="189" t="s">
        <v>1365</v>
      </c>
      <c r="X71" s="185" t="s">
        <v>1366</v>
      </c>
      <c r="Y71" s="189" t="s">
        <v>764</v>
      </c>
      <c r="Z71" s="190"/>
      <c r="AA71" s="189" t="s">
        <v>757</v>
      </c>
      <c r="AB71" s="191"/>
      <c r="AC71" s="191"/>
      <c r="AD71" s="191"/>
      <c r="AE71" s="191"/>
      <c r="AF71" s="191"/>
      <c r="AG71" s="191"/>
      <c r="AH71" s="191"/>
      <c r="AI71" s="191"/>
      <c r="AJ71" s="191"/>
      <c r="AK71" s="191"/>
      <c r="AL71" s="191"/>
      <c r="AM71" s="191"/>
      <c r="AN71" s="191"/>
      <c r="AO71" s="191"/>
      <c r="AP71" s="191"/>
      <c r="AQ71" s="191"/>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N71" s="191"/>
      <c r="BO71" s="191"/>
      <c r="BP71" s="191"/>
      <c r="BQ71" s="191"/>
      <c r="BR71" s="191"/>
      <c r="BS71" s="191"/>
      <c r="BT71" s="191"/>
      <c r="BU71" s="191"/>
      <c r="BV71" s="191"/>
      <c r="BW71" s="191"/>
      <c r="BX71" s="191"/>
      <c r="BY71" s="191"/>
      <c r="BZ71" s="191"/>
      <c r="CA71" s="191"/>
      <c r="CB71" s="191"/>
      <c r="CC71" s="191"/>
      <c r="CD71" s="191"/>
      <c r="CE71" s="191"/>
      <c r="CF71" s="191"/>
      <c r="CG71" s="191"/>
      <c r="CH71" s="192"/>
      <c r="CI71" s="192"/>
      <c r="CJ71" s="192"/>
      <c r="CK71" s="192"/>
      <c r="CL71" s="192"/>
      <c r="CM71" s="192"/>
      <c r="CN71" s="192"/>
      <c r="CO71" s="192"/>
      <c r="CP71" s="192"/>
      <c r="CQ71" s="192"/>
      <c r="CR71" s="192"/>
      <c r="CS71" s="192"/>
      <c r="CT71" s="192"/>
    </row>
    <row r="72" ht="26.25" customHeight="1">
      <c r="A72" s="184" t="s">
        <v>140</v>
      </c>
      <c r="B72" s="184" t="s">
        <v>1260</v>
      </c>
      <c r="C72" s="184" t="s">
        <v>617</v>
      </c>
      <c r="D72" s="185" t="s">
        <v>743</v>
      </c>
      <c r="E72" s="186" t="s">
        <v>946</v>
      </c>
      <c r="F72" s="207" t="s">
        <v>745</v>
      </c>
      <c r="G72" s="188">
        <v>0.5173611111111112</v>
      </c>
      <c r="H72" s="189" t="s">
        <v>1367</v>
      </c>
      <c r="I72" s="189" t="s">
        <v>1368</v>
      </c>
      <c r="J72" s="189" t="s">
        <v>1369</v>
      </c>
      <c r="K72" s="189" t="s">
        <v>1370</v>
      </c>
      <c r="L72" s="189" t="s">
        <v>1371</v>
      </c>
      <c r="M72" s="209" t="s">
        <v>1372</v>
      </c>
      <c r="N72" s="189" t="s">
        <v>752</v>
      </c>
      <c r="O72" s="185" t="s">
        <v>764</v>
      </c>
      <c r="P72" s="190"/>
      <c r="Q72" s="190"/>
      <c r="R72" s="190"/>
      <c r="S72" s="190"/>
      <c r="T72" s="190"/>
      <c r="U72" s="190"/>
      <c r="V72" s="189" t="s">
        <v>1373</v>
      </c>
      <c r="W72" s="189" t="s">
        <v>1374</v>
      </c>
      <c r="X72" s="185" t="s">
        <v>1375</v>
      </c>
      <c r="Y72" s="189" t="s">
        <v>1376</v>
      </c>
      <c r="Z72" s="190"/>
      <c r="AA72" s="189" t="s">
        <v>757</v>
      </c>
      <c r="AB72" s="191"/>
      <c r="AC72" s="191"/>
      <c r="AD72" s="191"/>
      <c r="AE72" s="191"/>
      <c r="AF72" s="191"/>
      <c r="AG72" s="191"/>
      <c r="AH72" s="191"/>
      <c r="AI72" s="191"/>
      <c r="AJ72" s="191"/>
      <c r="AK72" s="191"/>
      <c r="AL72" s="191"/>
      <c r="AM72" s="191"/>
      <c r="AN72" s="191"/>
      <c r="AO72" s="191"/>
      <c r="AP72" s="191"/>
      <c r="AQ72" s="191"/>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N72" s="191"/>
      <c r="BO72" s="191"/>
      <c r="BP72" s="191"/>
      <c r="BQ72" s="191"/>
      <c r="BR72" s="191"/>
      <c r="BS72" s="191"/>
      <c r="BT72" s="191"/>
      <c r="BU72" s="191"/>
      <c r="BV72" s="191"/>
      <c r="BW72" s="191"/>
      <c r="BX72" s="191"/>
      <c r="BY72" s="191"/>
      <c r="BZ72" s="191"/>
      <c r="CA72" s="191"/>
      <c r="CB72" s="191"/>
      <c r="CC72" s="191"/>
      <c r="CD72" s="191"/>
      <c r="CE72" s="191"/>
      <c r="CF72" s="191"/>
      <c r="CG72" s="191"/>
      <c r="CH72" s="192"/>
      <c r="CI72" s="192"/>
      <c r="CJ72" s="192"/>
      <c r="CK72" s="192"/>
      <c r="CL72" s="192"/>
      <c r="CM72" s="192"/>
      <c r="CN72" s="192"/>
      <c r="CO72" s="192"/>
      <c r="CP72" s="192"/>
      <c r="CQ72" s="192"/>
      <c r="CR72" s="192"/>
      <c r="CS72" s="192"/>
      <c r="CT72" s="192"/>
    </row>
    <row r="73" ht="26.25" customHeight="1">
      <c r="A73" s="184" t="s">
        <v>144</v>
      </c>
      <c r="B73" s="184" t="s">
        <v>1260</v>
      </c>
      <c r="C73" s="184" t="s">
        <v>618</v>
      </c>
      <c r="D73" s="185" t="s">
        <v>743</v>
      </c>
      <c r="E73" s="186" t="s">
        <v>1377</v>
      </c>
      <c r="F73" s="207" t="s">
        <v>1162</v>
      </c>
      <c r="G73" s="188">
        <v>0.4618055555555556</v>
      </c>
      <c r="H73" s="189" t="s">
        <v>1378</v>
      </c>
      <c r="I73" s="185" t="s">
        <v>1379</v>
      </c>
      <c r="J73" s="185" t="s">
        <v>1380</v>
      </c>
      <c r="K73" s="189" t="s">
        <v>1381</v>
      </c>
      <c r="L73" s="189" t="s">
        <v>1382</v>
      </c>
      <c r="M73" s="185" t="s">
        <v>1383</v>
      </c>
      <c r="N73" s="189" t="s">
        <v>752</v>
      </c>
      <c r="O73" s="185" t="s">
        <v>764</v>
      </c>
      <c r="P73" s="190"/>
      <c r="Q73" s="190"/>
      <c r="R73" s="190"/>
      <c r="S73" s="190"/>
      <c r="T73" s="190"/>
      <c r="U73" s="190"/>
      <c r="V73" s="189" t="s">
        <v>1089</v>
      </c>
      <c r="W73" s="189" t="s">
        <v>1384</v>
      </c>
      <c r="X73" s="208" t="s">
        <v>1385</v>
      </c>
      <c r="Y73" s="189" t="s">
        <v>764</v>
      </c>
      <c r="Z73" s="190"/>
      <c r="AA73" s="189" t="s">
        <v>757</v>
      </c>
      <c r="AB73" s="191"/>
      <c r="AC73" s="191"/>
      <c r="AD73" s="215"/>
      <c r="AE73" s="215"/>
      <c r="AF73" s="215"/>
      <c r="AG73" s="215"/>
      <c r="AH73" s="215"/>
      <c r="AI73" s="215"/>
      <c r="AJ73" s="215"/>
      <c r="AK73" s="191"/>
      <c r="AL73" s="215"/>
      <c r="AM73" s="216"/>
      <c r="AN73" s="215"/>
      <c r="AO73" s="215"/>
      <c r="AP73" s="215"/>
      <c r="AQ73" s="215"/>
      <c r="AR73" s="215"/>
      <c r="AS73" s="191"/>
      <c r="AT73" s="191"/>
      <c r="AU73" s="217"/>
      <c r="AV73" s="215"/>
      <c r="AW73" s="215"/>
      <c r="AX73" s="215"/>
      <c r="AY73" s="215"/>
      <c r="AZ73" s="215"/>
      <c r="BA73" s="215"/>
      <c r="BB73" s="215"/>
      <c r="BC73" s="191"/>
      <c r="BD73" s="191"/>
      <c r="BE73" s="191"/>
      <c r="BF73" s="191"/>
      <c r="BG73" s="215"/>
      <c r="BH73" s="215"/>
      <c r="BI73" s="215"/>
      <c r="BJ73" s="215"/>
      <c r="BK73" s="215"/>
      <c r="BL73" s="215"/>
      <c r="BM73" s="215"/>
      <c r="BN73" s="215"/>
      <c r="BO73" s="215"/>
      <c r="BP73" s="215"/>
      <c r="BQ73" s="215"/>
      <c r="BR73" s="215"/>
      <c r="BS73" s="215"/>
      <c r="BT73" s="215"/>
      <c r="BU73" s="215"/>
      <c r="BV73" s="215"/>
      <c r="BW73" s="215"/>
      <c r="BX73" s="215"/>
      <c r="BY73" s="215"/>
      <c r="BZ73" s="215"/>
      <c r="CA73" s="215"/>
      <c r="CB73" s="215"/>
      <c r="CC73" s="215"/>
      <c r="CD73" s="215"/>
      <c r="CE73" s="215"/>
      <c r="CF73" s="215"/>
      <c r="CG73" s="215"/>
      <c r="CH73" s="192"/>
      <c r="CI73" s="192"/>
      <c r="CJ73" s="192"/>
      <c r="CK73" s="192"/>
      <c r="CL73" s="192"/>
      <c r="CM73" s="192"/>
      <c r="CN73" s="192"/>
      <c r="CO73" s="192"/>
      <c r="CP73" s="192"/>
      <c r="CQ73" s="192"/>
      <c r="CR73" s="192"/>
      <c r="CS73" s="192"/>
      <c r="CT73" s="192"/>
    </row>
    <row r="74" ht="26.25" customHeight="1">
      <c r="A74" s="184" t="s">
        <v>145</v>
      </c>
      <c r="B74" s="184" t="s">
        <v>1260</v>
      </c>
      <c r="C74" s="184" t="s">
        <v>618</v>
      </c>
      <c r="D74" s="185" t="s">
        <v>743</v>
      </c>
      <c r="E74" s="186" t="s">
        <v>1377</v>
      </c>
      <c r="F74" s="187" t="s">
        <v>1162</v>
      </c>
      <c r="G74" s="188">
        <v>0.4756944444444444</v>
      </c>
      <c r="H74" s="189" t="s">
        <v>1386</v>
      </c>
      <c r="I74" s="189" t="s">
        <v>1387</v>
      </c>
      <c r="J74" s="189" t="s">
        <v>1388</v>
      </c>
      <c r="K74" s="189" t="s">
        <v>1389</v>
      </c>
      <c r="L74" s="189" t="s">
        <v>1390</v>
      </c>
      <c r="M74" s="185" t="s">
        <v>1391</v>
      </c>
      <c r="N74" s="189" t="s">
        <v>752</v>
      </c>
      <c r="O74" s="185" t="s">
        <v>764</v>
      </c>
      <c r="P74" s="190"/>
      <c r="Q74" s="190"/>
      <c r="R74" s="190"/>
      <c r="S74" s="190"/>
      <c r="T74" s="190"/>
      <c r="U74" s="190"/>
      <c r="V74" s="189" t="s">
        <v>1392</v>
      </c>
      <c r="W74" s="189" t="s">
        <v>1393</v>
      </c>
      <c r="X74" s="185" t="s">
        <v>1394</v>
      </c>
      <c r="Y74" s="189" t="s">
        <v>764</v>
      </c>
      <c r="Z74" s="190"/>
      <c r="AA74" s="189" t="s">
        <v>757</v>
      </c>
      <c r="AB74" s="191"/>
      <c r="AC74" s="191"/>
      <c r="AD74" s="191"/>
      <c r="AE74" s="191"/>
      <c r="AF74" s="191"/>
      <c r="AG74" s="191"/>
      <c r="AH74" s="191"/>
      <c r="AI74" s="191"/>
      <c r="AJ74" s="191"/>
      <c r="AK74" s="191"/>
      <c r="AL74" s="191"/>
      <c r="AM74" s="218"/>
      <c r="AN74" s="191"/>
      <c r="AO74" s="191"/>
      <c r="AP74" s="191"/>
      <c r="AQ74" s="191"/>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N74" s="191"/>
      <c r="BO74" s="191"/>
      <c r="BP74" s="191"/>
      <c r="BQ74" s="191"/>
      <c r="BR74" s="191"/>
      <c r="BS74" s="191"/>
      <c r="BT74" s="191"/>
      <c r="BU74" s="191"/>
      <c r="BV74" s="191"/>
      <c r="BW74" s="191"/>
      <c r="BX74" s="191"/>
      <c r="BY74" s="191"/>
      <c r="BZ74" s="191"/>
      <c r="CA74" s="191"/>
      <c r="CB74" s="191"/>
      <c r="CC74" s="191"/>
      <c r="CD74" s="191"/>
      <c r="CE74" s="191"/>
      <c r="CF74" s="191"/>
      <c r="CG74" s="191"/>
      <c r="CH74" s="192"/>
      <c r="CI74" s="192"/>
      <c r="CJ74" s="192"/>
      <c r="CK74" s="192"/>
      <c r="CL74" s="192"/>
      <c r="CM74" s="192"/>
      <c r="CN74" s="192"/>
      <c r="CO74" s="192"/>
      <c r="CP74" s="192"/>
      <c r="CQ74" s="192"/>
      <c r="CR74" s="192"/>
      <c r="CS74" s="192"/>
      <c r="CT74" s="192"/>
    </row>
    <row r="75" ht="26.25" customHeight="1">
      <c r="A75" s="184" t="s">
        <v>142</v>
      </c>
      <c r="B75" s="184" t="s">
        <v>1260</v>
      </c>
      <c r="C75" s="184" t="s">
        <v>618</v>
      </c>
      <c r="D75" s="185" t="s">
        <v>743</v>
      </c>
      <c r="E75" s="186" t="s">
        <v>1377</v>
      </c>
      <c r="F75" s="187" t="s">
        <v>1162</v>
      </c>
      <c r="G75" s="188">
        <v>0.4895833333333333</v>
      </c>
      <c r="H75" s="189" t="s">
        <v>1395</v>
      </c>
      <c r="I75" s="189" t="s">
        <v>1396</v>
      </c>
      <c r="J75" s="189" t="s">
        <v>1397</v>
      </c>
      <c r="K75" s="189" t="s">
        <v>1398</v>
      </c>
      <c r="L75" s="189" t="s">
        <v>1399</v>
      </c>
      <c r="M75" s="185" t="s">
        <v>1400</v>
      </c>
      <c r="N75" s="189" t="s">
        <v>752</v>
      </c>
      <c r="O75" s="185" t="s">
        <v>764</v>
      </c>
      <c r="P75" s="190"/>
      <c r="Q75" s="190"/>
      <c r="R75" s="190"/>
      <c r="S75" s="190"/>
      <c r="T75" s="190"/>
      <c r="U75" s="190"/>
      <c r="V75" s="189" t="s">
        <v>1159</v>
      </c>
      <c r="W75" s="189" t="s">
        <v>1401</v>
      </c>
      <c r="X75" s="185" t="s">
        <v>1402</v>
      </c>
      <c r="Y75" s="189" t="s">
        <v>764</v>
      </c>
      <c r="Z75" s="190"/>
      <c r="AA75" s="189" t="s">
        <v>757</v>
      </c>
      <c r="AB75" s="191"/>
      <c r="AC75" s="191"/>
      <c r="AD75" s="191"/>
      <c r="AE75" s="191"/>
      <c r="AF75" s="191"/>
      <c r="AG75" s="191"/>
      <c r="AH75" s="191"/>
      <c r="AI75" s="191"/>
      <c r="AJ75" s="191"/>
      <c r="AK75" s="191"/>
      <c r="AL75" s="191"/>
      <c r="AM75" s="191"/>
      <c r="AN75" s="191"/>
      <c r="AO75" s="191"/>
      <c r="AP75" s="191"/>
      <c r="AQ75" s="191"/>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N75" s="191"/>
      <c r="BO75" s="191"/>
      <c r="BP75" s="191"/>
      <c r="BQ75" s="191"/>
      <c r="BR75" s="191"/>
      <c r="BS75" s="191"/>
      <c r="BT75" s="191"/>
      <c r="BU75" s="191"/>
      <c r="BV75" s="191"/>
      <c r="BW75" s="191"/>
      <c r="BX75" s="191"/>
      <c r="BY75" s="191"/>
      <c r="BZ75" s="191"/>
      <c r="CA75" s="191"/>
      <c r="CB75" s="191"/>
      <c r="CC75" s="191"/>
      <c r="CD75" s="191"/>
      <c r="CE75" s="191"/>
      <c r="CF75" s="191"/>
      <c r="CG75" s="191"/>
      <c r="CH75" s="192"/>
      <c r="CI75" s="192"/>
      <c r="CJ75" s="192"/>
      <c r="CK75" s="192"/>
      <c r="CL75" s="192"/>
      <c r="CM75" s="192"/>
      <c r="CN75" s="192"/>
      <c r="CO75" s="192"/>
      <c r="CP75" s="192"/>
      <c r="CQ75" s="192"/>
      <c r="CR75" s="192"/>
      <c r="CS75" s="192"/>
      <c r="CT75" s="192"/>
    </row>
    <row r="76" ht="26.25" customHeight="1">
      <c r="A76" s="184" t="s">
        <v>143</v>
      </c>
      <c r="B76" s="184" t="s">
        <v>1260</v>
      </c>
      <c r="C76" s="184" t="s">
        <v>618</v>
      </c>
      <c r="D76" s="185" t="s">
        <v>743</v>
      </c>
      <c r="E76" s="186" t="s">
        <v>1377</v>
      </c>
      <c r="F76" s="187" t="s">
        <v>1162</v>
      </c>
      <c r="G76" s="188">
        <v>0.5034722222222222</v>
      </c>
      <c r="H76" s="189" t="s">
        <v>1403</v>
      </c>
      <c r="I76" s="189" t="s">
        <v>1404</v>
      </c>
      <c r="J76" s="189" t="s">
        <v>1405</v>
      </c>
      <c r="K76" s="189" t="s">
        <v>1406</v>
      </c>
      <c r="L76" s="189" t="s">
        <v>1407</v>
      </c>
      <c r="M76" s="185" t="s">
        <v>1408</v>
      </c>
      <c r="N76" s="189" t="s">
        <v>752</v>
      </c>
      <c r="O76" s="185" t="s">
        <v>764</v>
      </c>
      <c r="P76" s="190"/>
      <c r="Q76" s="190"/>
      <c r="R76" s="190"/>
      <c r="S76" s="190"/>
      <c r="T76" s="190"/>
      <c r="U76" s="190"/>
      <c r="V76" s="189" t="s">
        <v>1409</v>
      </c>
      <c r="W76" s="189" t="s">
        <v>1410</v>
      </c>
      <c r="X76" s="185" t="s">
        <v>1411</v>
      </c>
      <c r="Y76" s="189" t="s">
        <v>764</v>
      </c>
      <c r="Z76" s="190"/>
      <c r="AA76" s="189" t="s">
        <v>757</v>
      </c>
      <c r="AB76" s="191"/>
      <c r="AC76" s="191"/>
      <c r="AD76" s="191"/>
      <c r="AE76" s="191"/>
      <c r="AF76" s="191"/>
      <c r="AG76" s="191"/>
      <c r="AH76" s="191"/>
      <c r="AI76" s="191"/>
      <c r="AJ76" s="191"/>
      <c r="AK76" s="191"/>
      <c r="AL76" s="191"/>
      <c r="AM76" s="191"/>
      <c r="AN76" s="191"/>
      <c r="AO76" s="191"/>
      <c r="AP76" s="191"/>
      <c r="AQ76" s="191"/>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N76" s="191"/>
      <c r="BO76" s="191"/>
      <c r="BP76" s="191"/>
      <c r="BQ76" s="191"/>
      <c r="BR76" s="191"/>
      <c r="BS76" s="191"/>
      <c r="BT76" s="191"/>
      <c r="BU76" s="191"/>
      <c r="BV76" s="191"/>
      <c r="BW76" s="191"/>
      <c r="BX76" s="191"/>
      <c r="BY76" s="191"/>
      <c r="BZ76" s="191"/>
      <c r="CA76" s="191"/>
      <c r="CB76" s="191"/>
      <c r="CC76" s="191"/>
      <c r="CD76" s="191"/>
      <c r="CE76" s="191"/>
      <c r="CF76" s="191"/>
      <c r="CG76" s="191"/>
      <c r="CH76" s="192"/>
      <c r="CI76" s="192"/>
      <c r="CJ76" s="192"/>
      <c r="CK76" s="192"/>
      <c r="CL76" s="192"/>
      <c r="CM76" s="192"/>
      <c r="CN76" s="192"/>
      <c r="CO76" s="192"/>
      <c r="CP76" s="192"/>
      <c r="CQ76" s="192"/>
      <c r="CR76" s="192"/>
      <c r="CS76" s="192"/>
      <c r="CT76" s="192"/>
    </row>
    <row r="77" ht="26.25" customHeight="1">
      <c r="A77" s="184" t="s">
        <v>149</v>
      </c>
      <c r="B77" s="184" t="s">
        <v>1260</v>
      </c>
      <c r="C77" s="184" t="s">
        <v>619</v>
      </c>
      <c r="D77" s="185" t="s">
        <v>743</v>
      </c>
      <c r="E77" s="186" t="s">
        <v>744</v>
      </c>
      <c r="F77" s="187" t="s">
        <v>1212</v>
      </c>
      <c r="G77" s="188">
        <v>0.4618055555555556</v>
      </c>
      <c r="H77" s="189" t="s">
        <v>1089</v>
      </c>
      <c r="I77" s="189" t="s">
        <v>1412</v>
      </c>
      <c r="J77" s="189" t="s">
        <v>1413</v>
      </c>
      <c r="K77" s="189" t="s">
        <v>881</v>
      </c>
      <c r="L77" s="189" t="s">
        <v>1414</v>
      </c>
      <c r="M77" s="185" t="s">
        <v>1415</v>
      </c>
      <c r="N77" s="189" t="s">
        <v>850</v>
      </c>
      <c r="O77" s="185" t="s">
        <v>764</v>
      </c>
      <c r="P77" s="190"/>
      <c r="Q77" s="190"/>
      <c r="R77" s="190"/>
      <c r="S77" s="190"/>
      <c r="T77" s="190"/>
      <c r="U77" s="190"/>
      <c r="V77" s="189" t="s">
        <v>1416</v>
      </c>
      <c r="W77" s="189" t="s">
        <v>1417</v>
      </c>
      <c r="X77" s="185" t="s">
        <v>1418</v>
      </c>
      <c r="Y77" s="189" t="s">
        <v>764</v>
      </c>
      <c r="Z77" s="189" t="s">
        <v>744</v>
      </c>
      <c r="AA77" s="189" t="s">
        <v>797</v>
      </c>
      <c r="AB77" s="191"/>
      <c r="AC77" s="191"/>
      <c r="AD77" s="191"/>
      <c r="AE77" s="191"/>
      <c r="AF77" s="191"/>
      <c r="AG77" s="191"/>
      <c r="AH77" s="191"/>
      <c r="AI77" s="191"/>
      <c r="AJ77" s="191"/>
      <c r="AK77" s="191"/>
      <c r="AL77" s="191"/>
      <c r="AM77" s="191"/>
      <c r="AN77" s="191"/>
      <c r="AO77" s="191"/>
      <c r="AP77" s="191"/>
      <c r="AQ77" s="191"/>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N77" s="191"/>
      <c r="BO77" s="191"/>
      <c r="BP77" s="191"/>
      <c r="BQ77" s="191"/>
      <c r="BR77" s="191"/>
      <c r="BS77" s="191"/>
      <c r="BT77" s="191"/>
      <c r="BU77" s="191"/>
      <c r="BV77" s="191"/>
      <c r="BW77" s="191"/>
      <c r="BX77" s="191"/>
      <c r="BY77" s="191"/>
      <c r="BZ77" s="191"/>
      <c r="CA77" s="191"/>
      <c r="CB77" s="191"/>
      <c r="CC77" s="191"/>
      <c r="CD77" s="191"/>
      <c r="CE77" s="191"/>
      <c r="CF77" s="191"/>
      <c r="CG77" s="191"/>
      <c r="CH77" s="192"/>
      <c r="CI77" s="192"/>
      <c r="CJ77" s="192"/>
      <c r="CK77" s="192"/>
      <c r="CL77" s="192"/>
      <c r="CM77" s="192"/>
      <c r="CN77" s="192"/>
      <c r="CO77" s="192"/>
      <c r="CP77" s="192"/>
      <c r="CQ77" s="192"/>
      <c r="CR77" s="192"/>
      <c r="CS77" s="192"/>
      <c r="CT77" s="192"/>
    </row>
    <row r="78" ht="26.25" customHeight="1">
      <c r="A78" s="184" t="s">
        <v>146</v>
      </c>
      <c r="B78" s="184" t="s">
        <v>1260</v>
      </c>
      <c r="C78" s="184" t="s">
        <v>619</v>
      </c>
      <c r="D78" s="185" t="s">
        <v>743</v>
      </c>
      <c r="E78" s="186" t="s">
        <v>744</v>
      </c>
      <c r="F78" s="187" t="s">
        <v>1212</v>
      </c>
      <c r="G78" s="188">
        <v>0.4756944444444444</v>
      </c>
      <c r="H78" s="189" t="s">
        <v>1419</v>
      </c>
      <c r="I78" s="189" t="s">
        <v>1420</v>
      </c>
      <c r="J78" s="189" t="s">
        <v>1421</v>
      </c>
      <c r="K78" s="189" t="s">
        <v>1422</v>
      </c>
      <c r="L78" s="185" t="s">
        <v>1423</v>
      </c>
      <c r="M78" s="185" t="s">
        <v>1424</v>
      </c>
      <c r="N78" s="189" t="s">
        <v>850</v>
      </c>
      <c r="O78" s="185" t="s">
        <v>764</v>
      </c>
      <c r="P78" s="190"/>
      <c r="Q78" s="190"/>
      <c r="R78" s="190"/>
      <c r="S78" s="190"/>
      <c r="T78" s="190"/>
      <c r="U78" s="190"/>
      <c r="V78" s="189" t="s">
        <v>1425</v>
      </c>
      <c r="W78" s="189" t="s">
        <v>1426</v>
      </c>
      <c r="X78" s="185" t="s">
        <v>1427</v>
      </c>
      <c r="Y78" s="189" t="s">
        <v>753</v>
      </c>
      <c r="Z78" s="189" t="s">
        <v>744</v>
      </c>
      <c r="AA78" s="189" t="s">
        <v>757</v>
      </c>
      <c r="AB78" s="191"/>
      <c r="AC78" s="191"/>
      <c r="AD78" s="191"/>
      <c r="AE78" s="191"/>
      <c r="AF78" s="191"/>
      <c r="AG78" s="191"/>
      <c r="AH78" s="191"/>
      <c r="AI78" s="191"/>
      <c r="AJ78" s="191"/>
      <c r="AK78" s="191"/>
      <c r="AL78" s="191"/>
      <c r="AM78" s="191"/>
      <c r="AN78" s="191"/>
      <c r="AO78" s="191"/>
      <c r="AP78" s="191"/>
      <c r="AQ78" s="191"/>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N78" s="191"/>
      <c r="BO78" s="191"/>
      <c r="BP78" s="191"/>
      <c r="BQ78" s="191"/>
      <c r="BR78" s="191"/>
      <c r="BS78" s="191"/>
      <c r="BT78" s="191"/>
      <c r="BU78" s="191"/>
      <c r="BV78" s="191"/>
      <c r="BW78" s="191"/>
      <c r="BX78" s="191"/>
      <c r="BY78" s="191"/>
      <c r="BZ78" s="191"/>
      <c r="CA78" s="191"/>
      <c r="CB78" s="191"/>
      <c r="CC78" s="191"/>
      <c r="CD78" s="191"/>
      <c r="CE78" s="191"/>
      <c r="CF78" s="191"/>
      <c r="CG78" s="191"/>
      <c r="CH78" s="192"/>
      <c r="CI78" s="192"/>
      <c r="CJ78" s="192"/>
      <c r="CK78" s="192"/>
      <c r="CL78" s="192"/>
      <c r="CM78" s="192"/>
      <c r="CN78" s="192"/>
      <c r="CO78" s="192"/>
      <c r="CP78" s="192"/>
      <c r="CQ78" s="192"/>
      <c r="CR78" s="192"/>
      <c r="CS78" s="192"/>
      <c r="CT78" s="192"/>
    </row>
    <row r="79" ht="25.5" customHeight="1">
      <c r="A79" s="184" t="s">
        <v>150</v>
      </c>
      <c r="B79" s="184" t="s">
        <v>1260</v>
      </c>
      <c r="C79" s="184" t="s">
        <v>619</v>
      </c>
      <c r="D79" s="185" t="s">
        <v>743</v>
      </c>
      <c r="E79" s="186" t="s">
        <v>744</v>
      </c>
      <c r="F79" s="187" t="s">
        <v>1212</v>
      </c>
      <c r="G79" s="188">
        <v>0.4895833333333333</v>
      </c>
      <c r="H79" s="189" t="s">
        <v>1428</v>
      </c>
      <c r="I79" s="189" t="s">
        <v>1429</v>
      </c>
      <c r="J79" s="189" t="s">
        <v>1430</v>
      </c>
      <c r="K79" s="189" t="s">
        <v>854</v>
      </c>
      <c r="L79" s="189" t="s">
        <v>1431</v>
      </c>
      <c r="M79" s="185" t="s">
        <v>1432</v>
      </c>
      <c r="N79" s="189" t="s">
        <v>850</v>
      </c>
      <c r="O79" s="185" t="s">
        <v>784</v>
      </c>
      <c r="P79" s="190"/>
      <c r="Q79" s="190"/>
      <c r="R79" s="190"/>
      <c r="S79" s="190"/>
      <c r="T79" s="190"/>
      <c r="U79" s="190"/>
      <c r="V79" s="189" t="s">
        <v>1332</v>
      </c>
      <c r="W79" s="189" t="s">
        <v>1333</v>
      </c>
      <c r="X79" s="185" t="s">
        <v>1334</v>
      </c>
      <c r="Y79" s="189" t="s">
        <v>784</v>
      </c>
      <c r="Z79" s="189" t="s">
        <v>744</v>
      </c>
      <c r="AA79" s="189" t="s">
        <v>757</v>
      </c>
      <c r="AB79" s="191"/>
      <c r="AC79" s="191"/>
      <c r="AD79" s="191"/>
      <c r="AE79" s="191"/>
      <c r="AF79" s="191"/>
      <c r="AG79" s="191"/>
      <c r="AH79" s="191"/>
      <c r="AI79" s="191"/>
      <c r="AJ79" s="191"/>
      <c r="AK79" s="191"/>
      <c r="AL79" s="191"/>
      <c r="AM79" s="191"/>
      <c r="AN79" s="191"/>
      <c r="AO79" s="191"/>
      <c r="AP79" s="191"/>
      <c r="AQ79" s="191"/>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N79" s="191"/>
      <c r="BO79" s="191"/>
      <c r="BP79" s="191"/>
      <c r="BQ79" s="191"/>
      <c r="BR79" s="191"/>
      <c r="BS79" s="191"/>
      <c r="BT79" s="191"/>
      <c r="BU79" s="191"/>
      <c r="BV79" s="191"/>
      <c r="BW79" s="191"/>
      <c r="BX79" s="191"/>
      <c r="BY79" s="191"/>
      <c r="BZ79" s="191"/>
      <c r="CA79" s="191"/>
      <c r="CB79" s="191"/>
      <c r="CC79" s="191"/>
      <c r="CD79" s="191"/>
      <c r="CE79" s="191"/>
      <c r="CF79" s="191"/>
      <c r="CG79" s="191"/>
      <c r="CH79" s="192"/>
      <c r="CI79" s="192"/>
      <c r="CJ79" s="192"/>
      <c r="CK79" s="192"/>
      <c r="CL79" s="192"/>
      <c r="CM79" s="192"/>
      <c r="CN79" s="192"/>
      <c r="CO79" s="192"/>
      <c r="CP79" s="192"/>
      <c r="CQ79" s="192"/>
      <c r="CR79" s="192"/>
      <c r="CS79" s="192"/>
      <c r="CT79" s="192"/>
    </row>
    <row r="80" ht="26.25" customHeight="1">
      <c r="A80" s="184" t="s">
        <v>151</v>
      </c>
      <c r="B80" s="184" t="s">
        <v>1260</v>
      </c>
      <c r="C80" s="184" t="s">
        <v>619</v>
      </c>
      <c r="D80" s="185" t="s">
        <v>743</v>
      </c>
      <c r="E80" s="186" t="s">
        <v>744</v>
      </c>
      <c r="F80" s="187" t="s">
        <v>1212</v>
      </c>
      <c r="G80" s="188">
        <v>0.5034722222222222</v>
      </c>
      <c r="H80" s="189" t="s">
        <v>1433</v>
      </c>
      <c r="I80" s="189" t="s">
        <v>1434</v>
      </c>
      <c r="J80" s="189" t="s">
        <v>1435</v>
      </c>
      <c r="K80" s="189" t="s">
        <v>1436</v>
      </c>
      <c r="L80" s="189" t="s">
        <v>1437</v>
      </c>
      <c r="M80" s="185" t="s">
        <v>1438</v>
      </c>
      <c r="N80" s="189" t="s">
        <v>850</v>
      </c>
      <c r="O80" s="185" t="s">
        <v>893</v>
      </c>
      <c r="P80" s="190"/>
      <c r="Q80" s="190"/>
      <c r="R80" s="190"/>
      <c r="S80" s="190"/>
      <c r="T80" s="190"/>
      <c r="U80" s="190"/>
      <c r="V80" s="189" t="s">
        <v>1439</v>
      </c>
      <c r="W80" s="189" t="s">
        <v>1440</v>
      </c>
      <c r="X80" s="185" t="s">
        <v>1441</v>
      </c>
      <c r="Y80" s="189" t="s">
        <v>893</v>
      </c>
      <c r="Z80" s="189" t="s">
        <v>744</v>
      </c>
      <c r="AA80" s="189" t="s">
        <v>757</v>
      </c>
      <c r="AB80" s="191"/>
      <c r="AC80" s="191"/>
      <c r="AD80" s="191"/>
      <c r="AE80" s="191"/>
      <c r="AF80" s="191"/>
      <c r="AG80" s="191"/>
      <c r="AH80" s="191"/>
      <c r="AI80" s="191"/>
      <c r="AJ80" s="191"/>
      <c r="AK80" s="191"/>
      <c r="AL80" s="191"/>
      <c r="AM80" s="191"/>
      <c r="AN80" s="191"/>
      <c r="AO80" s="191"/>
      <c r="AP80" s="191"/>
      <c r="AQ80" s="191"/>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N80" s="191"/>
      <c r="BO80" s="191"/>
      <c r="BP80" s="191"/>
      <c r="BQ80" s="191"/>
      <c r="BR80" s="191"/>
      <c r="BS80" s="191"/>
      <c r="BT80" s="191"/>
      <c r="BU80" s="191"/>
      <c r="BV80" s="191"/>
      <c r="BW80" s="191"/>
      <c r="BX80" s="191"/>
      <c r="BY80" s="191"/>
      <c r="BZ80" s="191"/>
      <c r="CA80" s="191"/>
      <c r="CB80" s="191"/>
      <c r="CC80" s="191"/>
      <c r="CD80" s="191"/>
      <c r="CE80" s="191"/>
      <c r="CF80" s="191"/>
      <c r="CG80" s="191"/>
      <c r="CH80" s="192"/>
      <c r="CI80" s="192"/>
      <c r="CJ80" s="192"/>
      <c r="CK80" s="192"/>
      <c r="CL80" s="192"/>
      <c r="CM80" s="192"/>
      <c r="CN80" s="192"/>
      <c r="CO80" s="192"/>
      <c r="CP80" s="192"/>
      <c r="CQ80" s="192"/>
      <c r="CR80" s="192"/>
      <c r="CS80" s="192"/>
      <c r="CT80" s="192"/>
    </row>
    <row r="81" ht="26.25" customHeight="1">
      <c r="A81" s="184" t="s">
        <v>147</v>
      </c>
      <c r="B81" s="184" t="s">
        <v>1260</v>
      </c>
      <c r="C81" s="184" t="s">
        <v>619</v>
      </c>
      <c r="D81" s="185" t="s">
        <v>743</v>
      </c>
      <c r="E81" s="186" t="s">
        <v>744</v>
      </c>
      <c r="F81" s="187" t="s">
        <v>1212</v>
      </c>
      <c r="G81" s="188">
        <v>0.5173611111111112</v>
      </c>
      <c r="H81" s="189" t="s">
        <v>1442</v>
      </c>
      <c r="I81" s="189" t="s">
        <v>1443</v>
      </c>
      <c r="J81" s="189" t="s">
        <v>1444</v>
      </c>
      <c r="K81" s="189" t="s">
        <v>1445</v>
      </c>
      <c r="L81" s="189" t="s">
        <v>1446</v>
      </c>
      <c r="M81" s="185" t="s">
        <v>1447</v>
      </c>
      <c r="N81" s="189" t="s">
        <v>908</v>
      </c>
      <c r="O81" s="185" t="s">
        <v>893</v>
      </c>
      <c r="P81" s="190"/>
      <c r="Q81" s="190"/>
      <c r="R81" s="190"/>
      <c r="S81" s="190"/>
      <c r="T81" s="190"/>
      <c r="U81" s="190"/>
      <c r="V81" s="189" t="s">
        <v>1448</v>
      </c>
      <c r="W81" s="189" t="s">
        <v>1449</v>
      </c>
      <c r="X81" s="185" t="s">
        <v>1450</v>
      </c>
      <c r="Y81" s="189" t="s">
        <v>893</v>
      </c>
      <c r="Z81" s="189" t="s">
        <v>744</v>
      </c>
      <c r="AA81" s="189" t="s">
        <v>757</v>
      </c>
      <c r="AB81" s="191"/>
      <c r="AC81" s="191"/>
      <c r="AD81" s="191"/>
      <c r="AE81" s="191"/>
      <c r="AF81" s="191"/>
      <c r="AG81" s="191"/>
      <c r="AH81" s="191"/>
      <c r="AI81" s="191"/>
      <c r="AJ81" s="191"/>
      <c r="AK81" s="191"/>
      <c r="AL81" s="191"/>
      <c r="AM81" s="218"/>
      <c r="AN81" s="191"/>
      <c r="AO81" s="191"/>
      <c r="AP81" s="191"/>
      <c r="AQ81" s="191"/>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N81" s="191"/>
      <c r="BO81" s="191"/>
      <c r="BP81" s="191"/>
      <c r="BQ81" s="191"/>
      <c r="BR81" s="191"/>
      <c r="BS81" s="191"/>
      <c r="BT81" s="191"/>
      <c r="BU81" s="191"/>
      <c r="BV81" s="191"/>
      <c r="BW81" s="191"/>
      <c r="BX81" s="191"/>
      <c r="BY81" s="191"/>
      <c r="BZ81" s="191"/>
      <c r="CA81" s="191"/>
      <c r="CB81" s="191"/>
      <c r="CC81" s="191"/>
      <c r="CD81" s="191"/>
      <c r="CE81" s="191"/>
      <c r="CF81" s="191"/>
      <c r="CG81" s="191"/>
      <c r="CH81" s="192"/>
      <c r="CI81" s="192"/>
      <c r="CJ81" s="192"/>
      <c r="CK81" s="192"/>
      <c r="CL81" s="192"/>
      <c r="CM81" s="192"/>
      <c r="CN81" s="192"/>
      <c r="CO81" s="192"/>
      <c r="CP81" s="192"/>
      <c r="CQ81" s="192"/>
      <c r="CR81" s="192"/>
      <c r="CS81" s="192"/>
      <c r="CT81" s="192"/>
    </row>
    <row r="82" ht="26.25" customHeight="1">
      <c r="A82" s="184" t="s">
        <v>148</v>
      </c>
      <c r="B82" s="184" t="s">
        <v>1260</v>
      </c>
      <c r="C82" s="184" t="s">
        <v>619</v>
      </c>
      <c r="D82" s="185" t="s">
        <v>743</v>
      </c>
      <c r="E82" s="186" t="s">
        <v>744</v>
      </c>
      <c r="F82" s="187" t="s">
        <v>1212</v>
      </c>
      <c r="G82" s="188">
        <v>0.53125</v>
      </c>
      <c r="H82" s="189" t="s">
        <v>1451</v>
      </c>
      <c r="I82" s="189" t="s">
        <v>1452</v>
      </c>
      <c r="J82" s="189" t="s">
        <v>1453</v>
      </c>
      <c r="K82" s="189" t="s">
        <v>1454</v>
      </c>
      <c r="L82" s="189" t="s">
        <v>1455</v>
      </c>
      <c r="M82" s="219" t="s">
        <v>1456</v>
      </c>
      <c r="N82" s="189" t="s">
        <v>908</v>
      </c>
      <c r="O82" s="185" t="s">
        <v>1457</v>
      </c>
      <c r="P82" s="189" t="s">
        <v>1458</v>
      </c>
      <c r="Q82" s="189" t="s">
        <v>1459</v>
      </c>
      <c r="R82" s="190"/>
      <c r="S82" s="190"/>
      <c r="T82" s="190"/>
      <c r="U82" s="190"/>
      <c r="V82" s="189" t="s">
        <v>1460</v>
      </c>
      <c r="W82" s="189" t="s">
        <v>1461</v>
      </c>
      <c r="X82" s="185" t="s">
        <v>1462</v>
      </c>
      <c r="Y82" s="189" t="s">
        <v>1457</v>
      </c>
      <c r="Z82" s="189" t="s">
        <v>1457</v>
      </c>
      <c r="AA82" s="189" t="s">
        <v>757</v>
      </c>
      <c r="AB82" s="191"/>
      <c r="AC82" s="191"/>
      <c r="AD82" s="191"/>
      <c r="AE82" s="191"/>
      <c r="AF82" s="191"/>
      <c r="AG82" s="191"/>
      <c r="AH82" s="191"/>
      <c r="AI82" s="191"/>
      <c r="AJ82" s="191"/>
      <c r="AK82" s="191"/>
      <c r="AL82" s="191"/>
      <c r="AM82" s="191"/>
      <c r="AN82" s="191"/>
      <c r="AO82" s="191"/>
      <c r="AP82" s="191"/>
      <c r="AQ82" s="191"/>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N82" s="191"/>
      <c r="BO82" s="191"/>
      <c r="BP82" s="191"/>
      <c r="BQ82" s="191"/>
      <c r="BR82" s="191"/>
      <c r="BS82" s="191"/>
      <c r="BT82" s="191"/>
      <c r="BU82" s="191"/>
      <c r="BV82" s="191"/>
      <c r="BW82" s="191"/>
      <c r="BX82" s="191"/>
      <c r="BY82" s="191"/>
      <c r="BZ82" s="191"/>
      <c r="CA82" s="191"/>
      <c r="CB82" s="191"/>
      <c r="CC82" s="191"/>
      <c r="CD82" s="191"/>
      <c r="CE82" s="191"/>
      <c r="CF82" s="191"/>
      <c r="CG82" s="191"/>
      <c r="CH82" s="192"/>
      <c r="CI82" s="192"/>
      <c r="CJ82" s="192"/>
      <c r="CK82" s="192"/>
      <c r="CL82" s="192"/>
      <c r="CM82" s="192"/>
      <c r="CN82" s="192"/>
      <c r="CO82" s="192"/>
      <c r="CP82" s="192"/>
      <c r="CQ82" s="192"/>
      <c r="CR82" s="192"/>
      <c r="CS82" s="192"/>
      <c r="CT82" s="192"/>
    </row>
    <row r="83" ht="26.25" customHeight="1">
      <c r="A83" s="184" t="s">
        <v>154</v>
      </c>
      <c r="B83" s="184" t="s">
        <v>1260</v>
      </c>
      <c r="C83" s="184" t="s">
        <v>620</v>
      </c>
      <c r="D83" s="185" t="s">
        <v>743</v>
      </c>
      <c r="E83" s="186" t="s">
        <v>946</v>
      </c>
      <c r="F83" s="187" t="s">
        <v>947</v>
      </c>
      <c r="G83" s="188">
        <v>0.4618055555555556</v>
      </c>
      <c r="H83" s="189" t="s">
        <v>1463</v>
      </c>
      <c r="I83" s="189" t="s">
        <v>1464</v>
      </c>
      <c r="J83" s="189" t="s">
        <v>1465</v>
      </c>
      <c r="K83" s="189" t="s">
        <v>1466</v>
      </c>
      <c r="L83" s="189" t="s">
        <v>1467</v>
      </c>
      <c r="M83" s="185" t="s">
        <v>1468</v>
      </c>
      <c r="N83" s="189" t="s">
        <v>850</v>
      </c>
      <c r="O83" s="185" t="s">
        <v>764</v>
      </c>
      <c r="P83" s="190"/>
      <c r="Q83" s="190"/>
      <c r="R83" s="190"/>
      <c r="S83" s="190"/>
      <c r="T83" s="190"/>
      <c r="U83" s="190"/>
      <c r="V83" s="189" t="s">
        <v>1469</v>
      </c>
      <c r="W83" s="189" t="s">
        <v>1470</v>
      </c>
      <c r="X83" s="208" t="s">
        <v>1471</v>
      </c>
      <c r="Y83" s="189" t="s">
        <v>764</v>
      </c>
      <c r="Z83" s="189" t="s">
        <v>946</v>
      </c>
      <c r="AA83" s="189" t="s">
        <v>757</v>
      </c>
      <c r="AB83" s="191"/>
      <c r="AC83" s="191"/>
      <c r="AD83" s="191"/>
      <c r="AE83" s="191"/>
      <c r="AF83" s="191"/>
      <c r="AG83" s="191"/>
      <c r="AH83" s="191"/>
      <c r="AI83" s="191"/>
      <c r="AJ83" s="191"/>
      <c r="AK83" s="191"/>
      <c r="AL83" s="191"/>
      <c r="AM83" s="191"/>
      <c r="AN83" s="191"/>
      <c r="AO83" s="191"/>
      <c r="AP83" s="191"/>
      <c r="AQ83" s="191"/>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N83" s="191"/>
      <c r="BO83" s="191"/>
      <c r="BP83" s="191"/>
      <c r="BQ83" s="191"/>
      <c r="BR83" s="191"/>
      <c r="BS83" s="191"/>
      <c r="BT83" s="191"/>
      <c r="BU83" s="191"/>
      <c r="BV83" s="191"/>
      <c r="BW83" s="191"/>
      <c r="BX83" s="191"/>
      <c r="BY83" s="191"/>
      <c r="BZ83" s="191"/>
      <c r="CA83" s="191"/>
      <c r="CB83" s="191"/>
      <c r="CC83" s="191"/>
      <c r="CD83" s="191"/>
      <c r="CE83" s="191"/>
      <c r="CF83" s="191"/>
      <c r="CG83" s="191"/>
      <c r="CH83" s="192"/>
      <c r="CI83" s="192"/>
      <c r="CJ83" s="192"/>
      <c r="CK83" s="192"/>
      <c r="CL83" s="192"/>
      <c r="CM83" s="192"/>
      <c r="CN83" s="192"/>
      <c r="CO83" s="192"/>
      <c r="CP83" s="192"/>
      <c r="CQ83" s="192"/>
      <c r="CR83" s="192"/>
      <c r="CS83" s="192"/>
      <c r="CT83" s="192"/>
    </row>
    <row r="84" ht="26.25" customHeight="1">
      <c r="A84" s="184" t="s">
        <v>156</v>
      </c>
      <c r="B84" s="184" t="s">
        <v>1260</v>
      </c>
      <c r="C84" s="184" t="s">
        <v>620</v>
      </c>
      <c r="D84" s="185" t="s">
        <v>743</v>
      </c>
      <c r="E84" s="186" t="s">
        <v>946</v>
      </c>
      <c r="F84" s="187" t="s">
        <v>947</v>
      </c>
      <c r="G84" s="188">
        <v>0.4756944444444444</v>
      </c>
      <c r="H84" s="189" t="s">
        <v>1472</v>
      </c>
      <c r="I84" s="189" t="s">
        <v>1473</v>
      </c>
      <c r="J84" s="189" t="s">
        <v>1474</v>
      </c>
      <c r="K84" s="189" t="s">
        <v>854</v>
      </c>
      <c r="L84" s="185" t="s">
        <v>1475</v>
      </c>
      <c r="M84" s="185" t="s">
        <v>1476</v>
      </c>
      <c r="N84" s="189" t="s">
        <v>850</v>
      </c>
      <c r="O84" s="185" t="s">
        <v>784</v>
      </c>
      <c r="P84" s="190"/>
      <c r="Q84" s="190"/>
      <c r="R84" s="190"/>
      <c r="S84" s="190"/>
      <c r="T84" s="190"/>
      <c r="U84" s="190"/>
      <c r="V84" s="189" t="s">
        <v>1332</v>
      </c>
      <c r="W84" s="189" t="s">
        <v>1333</v>
      </c>
      <c r="X84" s="208" t="s">
        <v>1334</v>
      </c>
      <c r="Y84" s="189" t="s">
        <v>784</v>
      </c>
      <c r="Z84" s="189" t="s">
        <v>946</v>
      </c>
      <c r="AA84" s="189" t="s">
        <v>797</v>
      </c>
      <c r="AB84" s="191"/>
      <c r="AC84" s="191"/>
      <c r="AD84" s="191"/>
      <c r="AE84" s="191"/>
      <c r="AF84" s="191"/>
      <c r="AG84" s="191"/>
      <c r="AH84" s="191"/>
      <c r="AI84" s="191"/>
      <c r="AJ84" s="191"/>
      <c r="AK84" s="191"/>
      <c r="AL84" s="191"/>
      <c r="AM84" s="191"/>
      <c r="AN84" s="191"/>
      <c r="AO84" s="191"/>
      <c r="AP84" s="191"/>
      <c r="AQ84" s="191"/>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N84" s="191"/>
      <c r="BO84" s="191"/>
      <c r="BP84" s="191"/>
      <c r="BQ84" s="191"/>
      <c r="BR84" s="191"/>
      <c r="BS84" s="191"/>
      <c r="BT84" s="191"/>
      <c r="BU84" s="191"/>
      <c r="BV84" s="191"/>
      <c r="BW84" s="191"/>
      <c r="BX84" s="191"/>
      <c r="BY84" s="191"/>
      <c r="BZ84" s="191"/>
      <c r="CA84" s="191"/>
      <c r="CB84" s="191"/>
      <c r="CC84" s="191"/>
      <c r="CD84" s="191"/>
      <c r="CE84" s="191"/>
      <c r="CF84" s="191"/>
      <c r="CG84" s="191"/>
      <c r="CH84" s="192"/>
      <c r="CI84" s="192"/>
      <c r="CJ84" s="192"/>
      <c r="CK84" s="192"/>
      <c r="CL84" s="192"/>
      <c r="CM84" s="192"/>
      <c r="CN84" s="192"/>
      <c r="CO84" s="192"/>
      <c r="CP84" s="192"/>
      <c r="CQ84" s="192"/>
      <c r="CR84" s="192"/>
      <c r="CS84" s="192"/>
      <c r="CT84" s="192"/>
    </row>
    <row r="85" ht="26.25" customHeight="1">
      <c r="A85" s="184" t="s">
        <v>157</v>
      </c>
      <c r="B85" s="184" t="s">
        <v>1260</v>
      </c>
      <c r="C85" s="184" t="s">
        <v>620</v>
      </c>
      <c r="D85" s="185" t="s">
        <v>743</v>
      </c>
      <c r="E85" s="186" t="s">
        <v>946</v>
      </c>
      <c r="F85" s="187" t="s">
        <v>947</v>
      </c>
      <c r="G85" s="188">
        <v>0.4895833333333333</v>
      </c>
      <c r="H85" s="189" t="s">
        <v>1477</v>
      </c>
      <c r="I85" s="189" t="s">
        <v>1478</v>
      </c>
      <c r="J85" s="189" t="s">
        <v>1479</v>
      </c>
      <c r="K85" s="189" t="s">
        <v>1480</v>
      </c>
      <c r="L85" s="189" t="s">
        <v>1481</v>
      </c>
      <c r="M85" s="185" t="s">
        <v>1482</v>
      </c>
      <c r="N85" s="189" t="s">
        <v>908</v>
      </c>
      <c r="O85" s="185" t="s">
        <v>764</v>
      </c>
      <c r="P85" s="190"/>
      <c r="Q85" s="190"/>
      <c r="R85" s="190"/>
      <c r="S85" s="190"/>
      <c r="T85" s="190"/>
      <c r="U85" s="190"/>
      <c r="V85" s="189" t="s">
        <v>1483</v>
      </c>
      <c r="W85" s="189" t="s">
        <v>1484</v>
      </c>
      <c r="X85" s="208" t="s">
        <v>1485</v>
      </c>
      <c r="Y85" s="189" t="s">
        <v>764</v>
      </c>
      <c r="Z85" s="189" t="s">
        <v>946</v>
      </c>
      <c r="AA85" s="189" t="s">
        <v>757</v>
      </c>
      <c r="AB85" s="191"/>
      <c r="AC85" s="191"/>
      <c r="AD85" s="191"/>
      <c r="AE85" s="191"/>
      <c r="AF85" s="191"/>
      <c r="AG85" s="191"/>
      <c r="AH85" s="191"/>
      <c r="AI85" s="191"/>
      <c r="AJ85" s="191"/>
      <c r="AK85" s="191"/>
      <c r="AL85" s="191"/>
      <c r="AM85" s="191"/>
      <c r="AN85" s="191"/>
      <c r="AO85" s="191"/>
      <c r="AP85" s="191"/>
      <c r="AQ85" s="191"/>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N85" s="191"/>
      <c r="BO85" s="191"/>
      <c r="BP85" s="191"/>
      <c r="BQ85" s="191"/>
      <c r="BR85" s="191"/>
      <c r="BS85" s="191"/>
      <c r="BT85" s="191"/>
      <c r="BU85" s="191"/>
      <c r="BV85" s="191"/>
      <c r="BW85" s="191"/>
      <c r="BX85" s="191"/>
      <c r="BY85" s="191"/>
      <c r="BZ85" s="191"/>
      <c r="CA85" s="191"/>
      <c r="CB85" s="191"/>
      <c r="CC85" s="191"/>
      <c r="CD85" s="191"/>
      <c r="CE85" s="191"/>
      <c r="CF85" s="191"/>
      <c r="CG85" s="191"/>
      <c r="CH85" s="192"/>
      <c r="CI85" s="192"/>
      <c r="CJ85" s="192"/>
      <c r="CK85" s="192"/>
      <c r="CL85" s="192"/>
      <c r="CM85" s="192"/>
      <c r="CN85" s="192"/>
      <c r="CO85" s="192"/>
      <c r="CP85" s="192"/>
      <c r="CQ85" s="192"/>
      <c r="CR85" s="192"/>
      <c r="CS85" s="192"/>
      <c r="CT85" s="192"/>
    </row>
    <row r="86" ht="26.25" customHeight="1">
      <c r="A86" s="184" t="s">
        <v>153</v>
      </c>
      <c r="B86" s="184" t="s">
        <v>1260</v>
      </c>
      <c r="C86" s="184" t="s">
        <v>620</v>
      </c>
      <c r="D86" s="185" t="s">
        <v>743</v>
      </c>
      <c r="E86" s="186" t="s">
        <v>946</v>
      </c>
      <c r="F86" s="187" t="s">
        <v>947</v>
      </c>
      <c r="G86" s="188">
        <v>0.5034722222222222</v>
      </c>
      <c r="H86" s="189" t="s">
        <v>1486</v>
      </c>
      <c r="I86" s="189" t="s">
        <v>1487</v>
      </c>
      <c r="J86" s="189" t="s">
        <v>1488</v>
      </c>
      <c r="K86" s="189" t="s">
        <v>1489</v>
      </c>
      <c r="L86" s="189" t="s">
        <v>1490</v>
      </c>
      <c r="M86" s="185" t="s">
        <v>1491</v>
      </c>
      <c r="N86" s="189" t="s">
        <v>850</v>
      </c>
      <c r="O86" s="185" t="s">
        <v>764</v>
      </c>
      <c r="P86" s="190"/>
      <c r="Q86" s="190"/>
      <c r="R86" s="190"/>
      <c r="S86" s="190"/>
      <c r="T86" s="190"/>
      <c r="U86" s="190"/>
      <c r="V86" s="189" t="s">
        <v>1492</v>
      </c>
      <c r="W86" s="189" t="s">
        <v>1493</v>
      </c>
      <c r="X86" s="208" t="s">
        <v>1494</v>
      </c>
      <c r="Y86" s="189" t="s">
        <v>764</v>
      </c>
      <c r="Z86" s="189" t="s">
        <v>946</v>
      </c>
      <c r="AA86" s="189" t="s">
        <v>757</v>
      </c>
      <c r="AB86" s="191"/>
      <c r="AC86" s="191"/>
      <c r="AD86" s="191"/>
      <c r="AE86" s="191"/>
      <c r="AF86" s="191"/>
      <c r="AG86" s="191"/>
      <c r="AH86" s="191"/>
      <c r="AI86" s="191"/>
      <c r="AJ86" s="191"/>
      <c r="AK86" s="191"/>
      <c r="AL86" s="191"/>
      <c r="AM86" s="191"/>
      <c r="AN86" s="191"/>
      <c r="AO86" s="191"/>
      <c r="AP86" s="191"/>
      <c r="AQ86" s="191"/>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N86" s="191"/>
      <c r="BO86" s="191"/>
      <c r="BP86" s="191"/>
      <c r="BQ86" s="191"/>
      <c r="BR86" s="191"/>
      <c r="BS86" s="191"/>
      <c r="BT86" s="191"/>
      <c r="BU86" s="191"/>
      <c r="BV86" s="191"/>
      <c r="BW86" s="191"/>
      <c r="BX86" s="191"/>
      <c r="BY86" s="191"/>
      <c r="BZ86" s="191"/>
      <c r="CA86" s="191"/>
      <c r="CB86" s="191"/>
      <c r="CC86" s="191"/>
      <c r="CD86" s="191"/>
      <c r="CE86" s="191"/>
      <c r="CF86" s="191"/>
      <c r="CG86" s="191"/>
      <c r="CH86" s="192"/>
      <c r="CI86" s="192"/>
      <c r="CJ86" s="192"/>
      <c r="CK86" s="192"/>
      <c r="CL86" s="192"/>
      <c r="CM86" s="192"/>
      <c r="CN86" s="192"/>
      <c r="CO86" s="192"/>
      <c r="CP86" s="192"/>
      <c r="CQ86" s="192"/>
      <c r="CR86" s="192"/>
      <c r="CS86" s="192"/>
      <c r="CT86" s="192"/>
    </row>
    <row r="87" ht="26.25" customHeight="1">
      <c r="A87" s="220" t="s">
        <v>152</v>
      </c>
      <c r="B87" s="220" t="s">
        <v>1260</v>
      </c>
      <c r="C87" s="220" t="s">
        <v>620</v>
      </c>
      <c r="D87" s="185" t="s">
        <v>743</v>
      </c>
      <c r="E87" s="221" t="s">
        <v>946</v>
      </c>
      <c r="F87" s="222" t="s">
        <v>947</v>
      </c>
      <c r="G87" s="223">
        <v>0.5173611111111112</v>
      </c>
      <c r="H87" s="224" t="s">
        <v>1495</v>
      </c>
      <c r="I87" s="224" t="s">
        <v>1496</v>
      </c>
      <c r="J87" s="224" t="s">
        <v>1497</v>
      </c>
      <c r="K87" s="224" t="s">
        <v>1498</v>
      </c>
      <c r="L87" s="224" t="s">
        <v>1499</v>
      </c>
      <c r="M87" s="225" t="s">
        <v>1500</v>
      </c>
      <c r="N87" s="224" t="s">
        <v>850</v>
      </c>
      <c r="O87" s="225" t="s">
        <v>784</v>
      </c>
      <c r="P87" s="190"/>
      <c r="Q87" s="190"/>
      <c r="R87" s="190"/>
      <c r="S87" s="190"/>
      <c r="T87" s="190"/>
      <c r="U87" s="190"/>
      <c r="V87" s="224" t="s">
        <v>788</v>
      </c>
      <c r="W87" s="224" t="s">
        <v>1501</v>
      </c>
      <c r="X87" s="226" t="s">
        <v>1502</v>
      </c>
      <c r="Y87" s="224" t="s">
        <v>784</v>
      </c>
      <c r="Z87" s="224" t="s">
        <v>1060</v>
      </c>
      <c r="AA87" s="224" t="s">
        <v>797</v>
      </c>
      <c r="AB87" s="191"/>
      <c r="AC87" s="191"/>
      <c r="AD87" s="191"/>
      <c r="AE87" s="191"/>
      <c r="AF87" s="191"/>
      <c r="AG87" s="191"/>
      <c r="AH87" s="191"/>
      <c r="AI87" s="191"/>
      <c r="AJ87" s="191"/>
      <c r="AK87" s="191"/>
      <c r="AL87" s="191"/>
      <c r="AM87" s="191"/>
      <c r="AN87" s="191"/>
      <c r="AO87" s="191"/>
      <c r="AP87" s="191"/>
      <c r="AQ87" s="191"/>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N87" s="191"/>
      <c r="BO87" s="191"/>
      <c r="BP87" s="191"/>
      <c r="BQ87" s="191"/>
      <c r="BR87" s="191"/>
      <c r="BS87" s="191"/>
      <c r="BT87" s="191"/>
      <c r="BU87" s="191"/>
      <c r="BV87" s="191"/>
      <c r="BW87" s="191"/>
      <c r="BX87" s="191"/>
      <c r="BY87" s="191"/>
      <c r="BZ87" s="191"/>
      <c r="CA87" s="191"/>
      <c r="CB87" s="191"/>
      <c r="CC87" s="191"/>
      <c r="CD87" s="191"/>
      <c r="CE87" s="191"/>
      <c r="CF87" s="191"/>
      <c r="CG87" s="191"/>
      <c r="CH87" s="192"/>
      <c r="CI87" s="192"/>
      <c r="CJ87" s="192"/>
      <c r="CK87" s="192"/>
      <c r="CL87" s="192"/>
      <c r="CM87" s="192"/>
      <c r="CN87" s="192"/>
      <c r="CO87" s="192"/>
      <c r="CP87" s="192"/>
      <c r="CQ87" s="192"/>
      <c r="CR87" s="192"/>
      <c r="CS87" s="192"/>
      <c r="CT87" s="192"/>
    </row>
    <row r="88" ht="26.25" customHeight="1">
      <c r="A88" s="184" t="s">
        <v>155</v>
      </c>
      <c r="B88" s="184" t="s">
        <v>1260</v>
      </c>
      <c r="C88" s="184" t="s">
        <v>620</v>
      </c>
      <c r="D88" s="185" t="s">
        <v>743</v>
      </c>
      <c r="E88" s="186" t="s">
        <v>946</v>
      </c>
      <c r="F88" s="187" t="s">
        <v>947</v>
      </c>
      <c r="G88" s="188">
        <v>0.53125</v>
      </c>
      <c r="H88" s="189" t="s">
        <v>1503</v>
      </c>
      <c r="I88" s="189" t="s">
        <v>1504</v>
      </c>
      <c r="J88" s="189" t="s">
        <v>1505</v>
      </c>
      <c r="K88" s="207" t="s">
        <v>1506</v>
      </c>
      <c r="L88" s="189" t="s">
        <v>1507</v>
      </c>
      <c r="M88" s="185" t="s">
        <v>1508</v>
      </c>
      <c r="N88" s="189" t="s">
        <v>850</v>
      </c>
      <c r="O88" s="227" t="s">
        <v>1509</v>
      </c>
      <c r="P88" s="190"/>
      <c r="Q88" s="190"/>
      <c r="R88" s="190"/>
      <c r="S88" s="190"/>
      <c r="T88" s="190"/>
      <c r="U88" s="190"/>
      <c r="V88" s="189" t="s">
        <v>972</v>
      </c>
      <c r="W88" s="189" t="s">
        <v>973</v>
      </c>
      <c r="X88" s="208" t="s">
        <v>974</v>
      </c>
      <c r="Y88" s="207" t="s">
        <v>764</v>
      </c>
      <c r="Z88" s="190"/>
      <c r="AA88" s="189" t="s">
        <v>757</v>
      </c>
      <c r="AB88" s="191"/>
      <c r="AC88" s="191"/>
      <c r="AD88" s="191"/>
      <c r="AE88" s="191"/>
      <c r="AF88" s="191"/>
      <c r="AG88" s="191"/>
      <c r="AH88" s="191"/>
      <c r="AI88" s="191"/>
      <c r="AJ88" s="191"/>
      <c r="AK88" s="191"/>
      <c r="AL88" s="191"/>
      <c r="AM88" s="191"/>
      <c r="AN88" s="191"/>
      <c r="AO88" s="191"/>
      <c r="AP88" s="191"/>
      <c r="AQ88" s="191"/>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N88" s="191"/>
      <c r="BO88" s="191"/>
      <c r="BP88" s="191"/>
      <c r="BQ88" s="191"/>
      <c r="BR88" s="191"/>
      <c r="BS88" s="191"/>
      <c r="BT88" s="191"/>
      <c r="BU88" s="191"/>
      <c r="BV88" s="191"/>
      <c r="BW88" s="191"/>
      <c r="BX88" s="191"/>
      <c r="BY88" s="191"/>
      <c r="BZ88" s="191"/>
      <c r="CA88" s="191"/>
      <c r="CB88" s="191"/>
      <c r="CC88" s="191"/>
      <c r="CD88" s="191"/>
      <c r="CE88" s="191"/>
      <c r="CF88" s="191"/>
      <c r="CG88" s="191"/>
      <c r="CH88" s="192"/>
      <c r="CI88" s="192"/>
      <c r="CJ88" s="192"/>
      <c r="CK88" s="192"/>
      <c r="CL88" s="192"/>
      <c r="CM88" s="192"/>
      <c r="CN88" s="192"/>
      <c r="CO88" s="192"/>
      <c r="CP88" s="192"/>
      <c r="CQ88" s="192"/>
      <c r="CR88" s="192"/>
      <c r="CS88" s="192"/>
      <c r="CT88" s="192"/>
    </row>
    <row r="89" ht="26.25" customHeight="1">
      <c r="A89" s="184" t="s">
        <v>158</v>
      </c>
      <c r="B89" s="184" t="s">
        <v>1260</v>
      </c>
      <c r="C89" s="184" t="s">
        <v>621</v>
      </c>
      <c r="D89" s="185" t="s">
        <v>743</v>
      </c>
      <c r="E89" s="186" t="s">
        <v>1049</v>
      </c>
      <c r="F89" s="187" t="s">
        <v>1050</v>
      </c>
      <c r="G89" s="188">
        <v>0.4618055555555556</v>
      </c>
      <c r="H89" s="189" t="s">
        <v>1510</v>
      </c>
      <c r="I89" s="189" t="s">
        <v>1511</v>
      </c>
      <c r="J89" s="189" t="s">
        <v>1512</v>
      </c>
      <c r="K89" s="189" t="s">
        <v>1064</v>
      </c>
      <c r="L89" s="189" t="s">
        <v>1513</v>
      </c>
      <c r="M89" s="185" t="s">
        <v>1514</v>
      </c>
      <c r="N89" s="189" t="s">
        <v>850</v>
      </c>
      <c r="O89" s="185" t="s">
        <v>784</v>
      </c>
      <c r="P89" s="190"/>
      <c r="Q89" s="190"/>
      <c r="R89" s="190"/>
      <c r="S89" s="190"/>
      <c r="T89" s="190"/>
      <c r="U89" s="190"/>
      <c r="V89" s="189" t="s">
        <v>1067</v>
      </c>
      <c r="W89" s="189" t="s">
        <v>1068</v>
      </c>
      <c r="X89" s="208" t="s">
        <v>1069</v>
      </c>
      <c r="Y89" s="189" t="s">
        <v>784</v>
      </c>
      <c r="Z89" s="189" t="s">
        <v>1060</v>
      </c>
      <c r="AA89" s="189" t="s">
        <v>757</v>
      </c>
      <c r="AB89" s="191"/>
      <c r="AC89" s="191"/>
      <c r="AD89" s="191"/>
      <c r="AE89" s="191"/>
      <c r="AF89" s="191"/>
      <c r="AG89" s="191"/>
      <c r="AH89" s="191"/>
      <c r="AI89" s="191"/>
      <c r="AJ89" s="191"/>
      <c r="AK89" s="191"/>
      <c r="AL89" s="191"/>
      <c r="AM89" s="191"/>
      <c r="AN89" s="191"/>
      <c r="AO89" s="191"/>
      <c r="AP89" s="191"/>
      <c r="AQ89" s="191"/>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N89" s="191"/>
      <c r="BO89" s="191"/>
      <c r="BP89" s="191"/>
      <c r="BQ89" s="191"/>
      <c r="BR89" s="191"/>
      <c r="BS89" s="191"/>
      <c r="BT89" s="191"/>
      <c r="BU89" s="191"/>
      <c r="BV89" s="191"/>
      <c r="BW89" s="191"/>
      <c r="BX89" s="191"/>
      <c r="BY89" s="191"/>
      <c r="BZ89" s="191"/>
      <c r="CA89" s="191"/>
      <c r="CB89" s="191"/>
      <c r="CC89" s="191"/>
      <c r="CD89" s="191"/>
      <c r="CE89" s="191"/>
      <c r="CF89" s="191"/>
      <c r="CG89" s="191"/>
      <c r="CH89" s="192"/>
      <c r="CI89" s="192"/>
      <c r="CJ89" s="192"/>
      <c r="CK89" s="192"/>
      <c r="CL89" s="192"/>
      <c r="CM89" s="192"/>
      <c r="CN89" s="192"/>
      <c r="CO89" s="192"/>
      <c r="CP89" s="192"/>
      <c r="CQ89" s="192"/>
      <c r="CR89" s="192"/>
      <c r="CS89" s="192"/>
      <c r="CT89" s="192"/>
    </row>
    <row r="90" ht="26.25" customHeight="1">
      <c r="A90" s="184" t="s">
        <v>162</v>
      </c>
      <c r="B90" s="184" t="s">
        <v>1260</v>
      </c>
      <c r="C90" s="184" t="s">
        <v>621</v>
      </c>
      <c r="D90" s="185" t="s">
        <v>743</v>
      </c>
      <c r="E90" s="186" t="s">
        <v>1049</v>
      </c>
      <c r="F90" s="187" t="s">
        <v>1050</v>
      </c>
      <c r="G90" s="188">
        <v>0.4756944444444444</v>
      </c>
      <c r="H90" s="189" t="s">
        <v>1515</v>
      </c>
      <c r="I90" s="189" t="s">
        <v>1516</v>
      </c>
      <c r="J90" s="189" t="s">
        <v>1517</v>
      </c>
      <c r="K90" s="189" t="s">
        <v>1518</v>
      </c>
      <c r="L90" s="189" t="s">
        <v>1519</v>
      </c>
      <c r="M90" s="185" t="s">
        <v>1520</v>
      </c>
      <c r="N90" s="189" t="s">
        <v>850</v>
      </c>
      <c r="O90" s="185" t="s">
        <v>784</v>
      </c>
      <c r="P90" s="190"/>
      <c r="Q90" s="190"/>
      <c r="R90" s="190"/>
      <c r="S90" s="190"/>
      <c r="T90" s="190"/>
      <c r="U90" s="190"/>
      <c r="V90" s="189" t="s">
        <v>1067</v>
      </c>
      <c r="W90" s="189" t="s">
        <v>1068</v>
      </c>
      <c r="X90" s="208" t="s">
        <v>1069</v>
      </c>
      <c r="Y90" s="189" t="s">
        <v>784</v>
      </c>
      <c r="Z90" s="189" t="s">
        <v>1060</v>
      </c>
      <c r="AA90" s="189" t="s">
        <v>757</v>
      </c>
      <c r="AB90" s="191"/>
      <c r="AC90" s="191"/>
      <c r="AD90" s="191"/>
      <c r="AE90" s="191"/>
      <c r="AF90" s="191"/>
      <c r="AG90" s="191"/>
      <c r="AH90" s="191"/>
      <c r="AI90" s="191"/>
      <c r="AJ90" s="191"/>
      <c r="AK90" s="191"/>
      <c r="AL90" s="191"/>
      <c r="AM90" s="191"/>
      <c r="AN90" s="191"/>
      <c r="AO90" s="191"/>
      <c r="AP90" s="191"/>
      <c r="AQ90" s="191"/>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N90" s="191"/>
      <c r="BO90" s="191"/>
      <c r="BP90" s="191"/>
      <c r="BQ90" s="191"/>
      <c r="BR90" s="191"/>
      <c r="BS90" s="191"/>
      <c r="BT90" s="191"/>
      <c r="BU90" s="191"/>
      <c r="BV90" s="191"/>
      <c r="BW90" s="191"/>
      <c r="BX90" s="191"/>
      <c r="BY90" s="191"/>
      <c r="BZ90" s="191"/>
      <c r="CA90" s="191"/>
      <c r="CB90" s="191"/>
      <c r="CC90" s="191"/>
      <c r="CD90" s="191"/>
      <c r="CE90" s="191"/>
      <c r="CF90" s="191"/>
      <c r="CG90" s="191"/>
      <c r="CH90" s="192"/>
      <c r="CI90" s="192"/>
      <c r="CJ90" s="192"/>
      <c r="CK90" s="192"/>
      <c r="CL90" s="192"/>
      <c r="CM90" s="192"/>
      <c r="CN90" s="192"/>
      <c r="CO90" s="192"/>
      <c r="CP90" s="192"/>
      <c r="CQ90" s="192"/>
      <c r="CR90" s="192"/>
      <c r="CS90" s="192"/>
      <c r="CT90" s="192"/>
    </row>
    <row r="91" ht="26.25" customHeight="1">
      <c r="A91" s="184" t="s">
        <v>159</v>
      </c>
      <c r="B91" s="184" t="s">
        <v>1260</v>
      </c>
      <c r="C91" s="184" t="s">
        <v>621</v>
      </c>
      <c r="D91" s="185" t="s">
        <v>743</v>
      </c>
      <c r="E91" s="186" t="s">
        <v>1049</v>
      </c>
      <c r="F91" s="187" t="s">
        <v>1050</v>
      </c>
      <c r="G91" s="188">
        <v>0.4895833333333333</v>
      </c>
      <c r="H91" s="189" t="s">
        <v>1521</v>
      </c>
      <c r="I91" s="189" t="s">
        <v>1522</v>
      </c>
      <c r="J91" s="189" t="s">
        <v>1523</v>
      </c>
      <c r="K91" s="189" t="s">
        <v>1524</v>
      </c>
      <c r="L91" s="189" t="s">
        <v>1525</v>
      </c>
      <c r="M91" s="185" t="s">
        <v>1526</v>
      </c>
      <c r="N91" s="189" t="s">
        <v>850</v>
      </c>
      <c r="O91" s="185" t="s">
        <v>784</v>
      </c>
      <c r="P91" s="190"/>
      <c r="Q91" s="190"/>
      <c r="R91" s="190"/>
      <c r="S91" s="190"/>
      <c r="T91" s="190"/>
      <c r="U91" s="190"/>
      <c r="V91" s="189" t="s">
        <v>1527</v>
      </c>
      <c r="W91" s="189" t="s">
        <v>1068</v>
      </c>
      <c r="X91" s="208" t="s">
        <v>1069</v>
      </c>
      <c r="Y91" s="189" t="s">
        <v>784</v>
      </c>
      <c r="Z91" s="189" t="s">
        <v>1060</v>
      </c>
      <c r="AA91" s="189" t="s">
        <v>757</v>
      </c>
      <c r="AB91" s="191"/>
      <c r="AC91" s="191"/>
      <c r="AD91" s="191"/>
      <c r="AE91" s="191"/>
      <c r="AF91" s="191"/>
      <c r="AG91" s="191"/>
      <c r="AH91" s="191"/>
      <c r="AI91" s="191"/>
      <c r="AJ91" s="191"/>
      <c r="AK91" s="191"/>
      <c r="AL91" s="191"/>
      <c r="AM91" s="191"/>
      <c r="AN91" s="191"/>
      <c r="AO91" s="191"/>
      <c r="AP91" s="191"/>
      <c r="AQ91" s="191"/>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N91" s="191"/>
      <c r="BO91" s="191"/>
      <c r="BP91" s="191"/>
      <c r="BQ91" s="191"/>
      <c r="BR91" s="191"/>
      <c r="BS91" s="191"/>
      <c r="BT91" s="191"/>
      <c r="BU91" s="191"/>
      <c r="BV91" s="191"/>
      <c r="BW91" s="191"/>
      <c r="BX91" s="191"/>
      <c r="BY91" s="191"/>
      <c r="BZ91" s="191"/>
      <c r="CA91" s="191"/>
      <c r="CB91" s="191"/>
      <c r="CC91" s="191"/>
      <c r="CD91" s="191"/>
      <c r="CE91" s="191"/>
      <c r="CF91" s="191"/>
      <c r="CG91" s="191"/>
      <c r="CH91" s="192"/>
      <c r="CI91" s="192"/>
      <c r="CJ91" s="192"/>
      <c r="CK91" s="192"/>
      <c r="CL91" s="192"/>
      <c r="CM91" s="192"/>
      <c r="CN91" s="192"/>
      <c r="CO91" s="192"/>
      <c r="CP91" s="192"/>
      <c r="CQ91" s="192"/>
      <c r="CR91" s="192"/>
      <c r="CS91" s="192"/>
      <c r="CT91" s="192"/>
    </row>
    <row r="92" ht="26.25" customHeight="1">
      <c r="A92" s="184" t="s">
        <v>160</v>
      </c>
      <c r="B92" s="184" t="s">
        <v>1260</v>
      </c>
      <c r="C92" s="184" t="s">
        <v>621</v>
      </c>
      <c r="D92" s="185" t="s">
        <v>743</v>
      </c>
      <c r="E92" s="186" t="s">
        <v>1049</v>
      </c>
      <c r="F92" s="187" t="s">
        <v>1050</v>
      </c>
      <c r="G92" s="188">
        <v>0.5034722222222222</v>
      </c>
      <c r="H92" s="189" t="s">
        <v>912</v>
      </c>
      <c r="I92" s="189" t="s">
        <v>1528</v>
      </c>
      <c r="J92" s="189" t="s">
        <v>1529</v>
      </c>
      <c r="K92" s="189" t="s">
        <v>1530</v>
      </c>
      <c r="L92" s="189" t="s">
        <v>1531</v>
      </c>
      <c r="M92" s="185" t="s">
        <v>1532</v>
      </c>
      <c r="N92" s="189" t="s">
        <v>850</v>
      </c>
      <c r="O92" s="185" t="s">
        <v>784</v>
      </c>
      <c r="P92" s="190"/>
      <c r="Q92" s="190"/>
      <c r="R92" s="190"/>
      <c r="S92" s="190"/>
      <c r="T92" s="190"/>
      <c r="U92" s="190"/>
      <c r="V92" s="189" t="s">
        <v>1067</v>
      </c>
      <c r="W92" s="189" t="s">
        <v>1068</v>
      </c>
      <c r="X92" s="208" t="s">
        <v>1069</v>
      </c>
      <c r="Y92" s="189" t="s">
        <v>784</v>
      </c>
      <c r="Z92" s="189" t="s">
        <v>1060</v>
      </c>
      <c r="AA92" s="189" t="s">
        <v>757</v>
      </c>
      <c r="AB92" s="191"/>
      <c r="AC92" s="191"/>
      <c r="AD92" s="191"/>
      <c r="AE92" s="191"/>
      <c r="AF92" s="191"/>
      <c r="AG92" s="191"/>
      <c r="AH92" s="191"/>
      <c r="AI92" s="191"/>
      <c r="AJ92" s="191"/>
      <c r="AK92" s="191"/>
      <c r="AL92" s="191"/>
      <c r="AM92" s="191"/>
      <c r="AN92" s="191"/>
      <c r="AO92" s="191"/>
      <c r="AP92" s="191"/>
      <c r="AQ92" s="191"/>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N92" s="191"/>
      <c r="BO92" s="191"/>
      <c r="BP92" s="191"/>
      <c r="BQ92" s="191"/>
      <c r="BR92" s="191"/>
      <c r="BS92" s="191"/>
      <c r="BT92" s="191"/>
      <c r="BU92" s="191"/>
      <c r="BV92" s="191"/>
      <c r="BW92" s="191"/>
      <c r="BX92" s="191"/>
      <c r="BY92" s="191"/>
      <c r="BZ92" s="191"/>
      <c r="CA92" s="191"/>
      <c r="CB92" s="191"/>
      <c r="CC92" s="191"/>
      <c r="CD92" s="191"/>
      <c r="CE92" s="191"/>
      <c r="CF92" s="191"/>
      <c r="CG92" s="191"/>
      <c r="CH92" s="192"/>
      <c r="CI92" s="192"/>
      <c r="CJ92" s="192"/>
      <c r="CK92" s="192"/>
      <c r="CL92" s="192"/>
      <c r="CM92" s="192"/>
      <c r="CN92" s="192"/>
      <c r="CO92" s="192"/>
      <c r="CP92" s="192"/>
      <c r="CQ92" s="192"/>
      <c r="CR92" s="192"/>
      <c r="CS92" s="192"/>
      <c r="CT92" s="192"/>
    </row>
    <row r="93" ht="26.25" customHeight="1">
      <c r="A93" s="184" t="s">
        <v>161</v>
      </c>
      <c r="B93" s="184" t="s">
        <v>1260</v>
      </c>
      <c r="C93" s="184" t="s">
        <v>621</v>
      </c>
      <c r="D93" s="185" t="s">
        <v>743</v>
      </c>
      <c r="E93" s="186" t="s">
        <v>1049</v>
      </c>
      <c r="F93" s="187" t="s">
        <v>1050</v>
      </c>
      <c r="G93" s="188">
        <v>0.5173611111111112</v>
      </c>
      <c r="H93" s="189" t="s">
        <v>861</v>
      </c>
      <c r="I93" s="189" t="s">
        <v>1533</v>
      </c>
      <c r="J93" s="189" t="s">
        <v>1534</v>
      </c>
      <c r="K93" s="189" t="s">
        <v>1064</v>
      </c>
      <c r="L93" s="189" t="s">
        <v>1535</v>
      </c>
      <c r="M93" s="185" t="s">
        <v>1536</v>
      </c>
      <c r="N93" s="189" t="s">
        <v>850</v>
      </c>
      <c r="O93" s="185" t="s">
        <v>784</v>
      </c>
      <c r="P93" s="190"/>
      <c r="Q93" s="190"/>
      <c r="R93" s="190"/>
      <c r="S93" s="190"/>
      <c r="T93" s="190"/>
      <c r="U93" s="190"/>
      <c r="V93" s="189" t="s">
        <v>1102</v>
      </c>
      <c r="W93" s="189" t="s">
        <v>1537</v>
      </c>
      <c r="X93" s="208" t="s">
        <v>1104</v>
      </c>
      <c r="Y93" s="189" t="s">
        <v>784</v>
      </c>
      <c r="Z93" s="189" t="s">
        <v>1060</v>
      </c>
      <c r="AA93" s="189" t="s">
        <v>797</v>
      </c>
      <c r="AB93" s="215"/>
      <c r="AC93" s="191"/>
      <c r="AD93" s="215"/>
      <c r="AE93" s="215"/>
      <c r="AF93" s="215"/>
      <c r="AG93" s="215"/>
      <c r="AH93" s="215"/>
      <c r="AI93" s="215"/>
      <c r="AJ93" s="215"/>
      <c r="AK93" s="215"/>
      <c r="AL93" s="215"/>
      <c r="AM93" s="216"/>
      <c r="AN93" s="215"/>
      <c r="AO93" s="191"/>
      <c r="AP93" s="191"/>
      <c r="AQ93" s="215"/>
      <c r="AR93" s="215"/>
      <c r="AS93" s="191"/>
      <c r="AT93" s="191"/>
      <c r="AU93" s="191"/>
      <c r="AV93" s="215"/>
      <c r="AW93" s="191"/>
      <c r="AX93" s="215"/>
      <c r="AY93" s="191"/>
      <c r="AZ93" s="191"/>
      <c r="BA93" s="191"/>
      <c r="BB93" s="215"/>
      <c r="BC93" s="191"/>
      <c r="BD93" s="191"/>
      <c r="BE93" s="215"/>
      <c r="BF93" s="215"/>
      <c r="BG93" s="215"/>
      <c r="BH93" s="215"/>
      <c r="BI93" s="215"/>
      <c r="BJ93" s="215"/>
      <c r="BK93" s="215"/>
      <c r="BL93" s="215"/>
      <c r="BM93" s="215"/>
      <c r="BN93" s="215"/>
      <c r="BO93" s="191"/>
      <c r="BP93" s="191"/>
      <c r="BQ93" s="215"/>
      <c r="BR93" s="215"/>
      <c r="BS93" s="215"/>
      <c r="BT93" s="215"/>
      <c r="BU93" s="215"/>
      <c r="BV93" s="215"/>
      <c r="BW93" s="215"/>
      <c r="BX93" s="215"/>
      <c r="BY93" s="215"/>
      <c r="BZ93" s="215"/>
      <c r="CA93" s="215"/>
      <c r="CB93" s="228"/>
      <c r="CC93" s="215"/>
      <c r="CD93" s="215"/>
      <c r="CE93" s="215"/>
      <c r="CF93" s="215"/>
      <c r="CG93" s="215"/>
      <c r="CH93" s="192"/>
      <c r="CI93" s="192"/>
      <c r="CJ93" s="192"/>
      <c r="CK93" s="192"/>
      <c r="CL93" s="192"/>
      <c r="CM93" s="192"/>
      <c r="CN93" s="192"/>
      <c r="CO93" s="192"/>
      <c r="CP93" s="192"/>
      <c r="CQ93" s="192"/>
      <c r="CR93" s="192"/>
      <c r="CS93" s="192"/>
      <c r="CT93" s="192"/>
    </row>
    <row r="94" ht="26.25" customHeight="1">
      <c r="A94" s="184" t="s">
        <v>163</v>
      </c>
      <c r="B94" s="184" t="s">
        <v>1260</v>
      </c>
      <c r="C94" s="184" t="s">
        <v>621</v>
      </c>
      <c r="D94" s="185" t="s">
        <v>743</v>
      </c>
      <c r="E94" s="186" t="s">
        <v>1049</v>
      </c>
      <c r="F94" s="187" t="s">
        <v>1050</v>
      </c>
      <c r="G94" s="188">
        <v>0.53125</v>
      </c>
      <c r="H94" s="189" t="s">
        <v>1538</v>
      </c>
      <c r="I94" s="189" t="s">
        <v>1539</v>
      </c>
      <c r="J94" s="189" t="s">
        <v>1540</v>
      </c>
      <c r="K94" s="189" t="s">
        <v>1091</v>
      </c>
      <c r="L94" s="189" t="s">
        <v>1541</v>
      </c>
      <c r="M94" s="185" t="s">
        <v>1542</v>
      </c>
      <c r="N94" s="189" t="s">
        <v>850</v>
      </c>
      <c r="O94" s="185" t="s">
        <v>784</v>
      </c>
      <c r="P94" s="190"/>
      <c r="Q94" s="190"/>
      <c r="R94" s="190"/>
      <c r="S94" s="190"/>
      <c r="T94" s="190"/>
      <c r="U94" s="190"/>
      <c r="V94" s="189" t="s">
        <v>1085</v>
      </c>
      <c r="W94" s="189" t="s">
        <v>1086</v>
      </c>
      <c r="X94" s="208" t="s">
        <v>1087</v>
      </c>
      <c r="Y94" s="189" t="s">
        <v>784</v>
      </c>
      <c r="Z94" s="189" t="s">
        <v>1060</v>
      </c>
      <c r="AA94" s="189" t="s">
        <v>797</v>
      </c>
      <c r="AB94" s="191"/>
      <c r="AC94" s="191"/>
      <c r="AD94" s="191"/>
      <c r="AE94" s="191"/>
      <c r="AF94" s="191"/>
      <c r="AG94" s="191"/>
      <c r="AH94" s="191"/>
      <c r="AI94" s="191"/>
      <c r="AJ94" s="191"/>
      <c r="AK94" s="191"/>
      <c r="AL94" s="191"/>
      <c r="AM94" s="191"/>
      <c r="AN94" s="191"/>
      <c r="AO94" s="191"/>
      <c r="AP94" s="191"/>
      <c r="AQ94" s="191"/>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N94" s="191"/>
      <c r="BO94" s="191"/>
      <c r="BP94" s="191"/>
      <c r="BQ94" s="191"/>
      <c r="BR94" s="191"/>
      <c r="BS94" s="191"/>
      <c r="BT94" s="191"/>
      <c r="BU94" s="191"/>
      <c r="BV94" s="191"/>
      <c r="BW94" s="191"/>
      <c r="BX94" s="191"/>
      <c r="BY94" s="191"/>
      <c r="BZ94" s="191"/>
      <c r="CA94" s="191"/>
      <c r="CB94" s="191"/>
      <c r="CC94" s="191"/>
      <c r="CD94" s="191"/>
      <c r="CE94" s="191"/>
      <c r="CF94" s="191"/>
      <c r="CG94" s="191"/>
      <c r="CH94" s="192"/>
      <c r="CI94" s="192"/>
      <c r="CJ94" s="192"/>
      <c r="CK94" s="192"/>
      <c r="CL94" s="192"/>
      <c r="CM94" s="192"/>
      <c r="CN94" s="192"/>
      <c r="CO94" s="192"/>
      <c r="CP94" s="192"/>
      <c r="CQ94" s="192"/>
      <c r="CR94" s="192"/>
      <c r="CS94" s="192"/>
      <c r="CT94" s="192"/>
    </row>
    <row r="95" ht="26.25" customHeight="1">
      <c r="A95" s="184" t="s">
        <v>165</v>
      </c>
      <c r="B95" s="184" t="s">
        <v>1260</v>
      </c>
      <c r="C95" s="184" t="s">
        <v>622</v>
      </c>
      <c r="D95" s="185" t="s">
        <v>743</v>
      </c>
      <c r="E95" s="186" t="s">
        <v>1543</v>
      </c>
      <c r="F95" s="187" t="s">
        <v>1106</v>
      </c>
      <c r="G95" s="188">
        <v>0.4618055555555556</v>
      </c>
      <c r="H95" s="189" t="s">
        <v>1473</v>
      </c>
      <c r="I95" s="189" t="s">
        <v>1544</v>
      </c>
      <c r="J95" s="189" t="s">
        <v>1545</v>
      </c>
      <c r="K95" s="189" t="s">
        <v>1546</v>
      </c>
      <c r="L95" s="189" t="s">
        <v>1547</v>
      </c>
      <c r="M95" s="185" t="s">
        <v>1548</v>
      </c>
      <c r="N95" s="189" t="s">
        <v>850</v>
      </c>
      <c r="O95" s="185" t="s">
        <v>764</v>
      </c>
      <c r="P95" s="190"/>
      <c r="Q95" s="190"/>
      <c r="R95" s="190"/>
      <c r="S95" s="190"/>
      <c r="T95" s="190"/>
      <c r="U95" s="190"/>
      <c r="V95" s="189" t="s">
        <v>1549</v>
      </c>
      <c r="W95" s="189" t="s">
        <v>1550</v>
      </c>
      <c r="X95" s="208" t="s">
        <v>1551</v>
      </c>
      <c r="Y95" s="189" t="s">
        <v>764</v>
      </c>
      <c r="Z95" s="189" t="s">
        <v>1543</v>
      </c>
      <c r="AA95" s="189" t="s">
        <v>797</v>
      </c>
      <c r="AB95" s="191"/>
      <c r="AC95" s="191"/>
      <c r="AD95" s="191"/>
      <c r="AE95" s="191"/>
      <c r="AF95" s="191"/>
      <c r="AG95" s="191"/>
      <c r="AH95" s="191"/>
      <c r="AI95" s="191"/>
      <c r="AJ95" s="191"/>
      <c r="AK95" s="191"/>
      <c r="AL95" s="191"/>
      <c r="AM95" s="191"/>
      <c r="AN95" s="191"/>
      <c r="AO95" s="191"/>
      <c r="AP95" s="191"/>
      <c r="AQ95" s="191"/>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N95" s="191"/>
      <c r="BO95" s="191"/>
      <c r="BP95" s="191"/>
      <c r="BQ95" s="191"/>
      <c r="BR95" s="191"/>
      <c r="BS95" s="191"/>
      <c r="BT95" s="191"/>
      <c r="BU95" s="191"/>
      <c r="BV95" s="191"/>
      <c r="BW95" s="191"/>
      <c r="BX95" s="191"/>
      <c r="BY95" s="191"/>
      <c r="BZ95" s="191"/>
      <c r="CA95" s="191"/>
      <c r="CB95" s="191"/>
      <c r="CC95" s="191"/>
      <c r="CD95" s="191"/>
      <c r="CE95" s="191"/>
      <c r="CF95" s="191"/>
      <c r="CG95" s="191"/>
      <c r="CH95" s="192"/>
      <c r="CI95" s="192"/>
      <c r="CJ95" s="192"/>
      <c r="CK95" s="192"/>
      <c r="CL95" s="192"/>
      <c r="CM95" s="192"/>
      <c r="CN95" s="192"/>
      <c r="CO95" s="192"/>
      <c r="CP95" s="192"/>
      <c r="CQ95" s="192"/>
      <c r="CR95" s="192"/>
      <c r="CS95" s="192"/>
      <c r="CT95" s="192"/>
    </row>
    <row r="96" ht="26.25" customHeight="1">
      <c r="A96" s="184" t="s">
        <v>167</v>
      </c>
      <c r="B96" s="184" t="s">
        <v>1260</v>
      </c>
      <c r="C96" s="184" t="s">
        <v>622</v>
      </c>
      <c r="D96" s="185" t="s">
        <v>743</v>
      </c>
      <c r="E96" s="186" t="s">
        <v>1543</v>
      </c>
      <c r="F96" s="187" t="s">
        <v>1106</v>
      </c>
      <c r="G96" s="188">
        <v>0.4756944444444444</v>
      </c>
      <c r="H96" s="189" t="s">
        <v>1552</v>
      </c>
      <c r="I96" s="189" t="s">
        <v>1553</v>
      </c>
      <c r="J96" s="189" t="s">
        <v>1554</v>
      </c>
      <c r="K96" s="189" t="s">
        <v>1555</v>
      </c>
      <c r="L96" s="189" t="s">
        <v>1556</v>
      </c>
      <c r="M96" s="185" t="s">
        <v>1557</v>
      </c>
      <c r="N96" s="189" t="s">
        <v>850</v>
      </c>
      <c r="O96" s="185" t="s">
        <v>764</v>
      </c>
      <c r="P96" s="190"/>
      <c r="Q96" s="190"/>
      <c r="R96" s="190"/>
      <c r="S96" s="190"/>
      <c r="T96" s="190"/>
      <c r="U96" s="190"/>
      <c r="V96" s="189" t="s">
        <v>823</v>
      </c>
      <c r="W96" s="189" t="s">
        <v>824</v>
      </c>
      <c r="X96" s="208" t="s">
        <v>825</v>
      </c>
      <c r="Y96" s="189" t="s">
        <v>764</v>
      </c>
      <c r="Z96" s="189" t="s">
        <v>1543</v>
      </c>
      <c r="AA96" s="189" t="s">
        <v>797</v>
      </c>
      <c r="AB96" s="191"/>
      <c r="AC96" s="191"/>
      <c r="AD96" s="191"/>
      <c r="AE96" s="191"/>
      <c r="AF96" s="191"/>
      <c r="AG96" s="191"/>
      <c r="AH96" s="191"/>
      <c r="AI96" s="191"/>
      <c r="AJ96" s="191"/>
      <c r="AK96" s="191"/>
      <c r="AL96" s="191"/>
      <c r="AM96" s="191"/>
      <c r="AN96" s="191"/>
      <c r="AO96" s="191"/>
      <c r="AP96" s="191"/>
      <c r="AQ96" s="191"/>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N96" s="191"/>
      <c r="BO96" s="191"/>
      <c r="BP96" s="191"/>
      <c r="BQ96" s="191"/>
      <c r="BR96" s="191"/>
      <c r="BS96" s="191"/>
      <c r="BT96" s="191"/>
      <c r="BU96" s="191"/>
      <c r="BV96" s="191"/>
      <c r="BW96" s="191"/>
      <c r="BX96" s="191"/>
      <c r="BY96" s="191"/>
      <c r="BZ96" s="191"/>
      <c r="CA96" s="191"/>
      <c r="CB96" s="191"/>
      <c r="CC96" s="191"/>
      <c r="CD96" s="191"/>
      <c r="CE96" s="191"/>
      <c r="CF96" s="191"/>
      <c r="CG96" s="191"/>
      <c r="CH96" s="192"/>
      <c r="CI96" s="192"/>
      <c r="CJ96" s="192"/>
      <c r="CK96" s="192"/>
      <c r="CL96" s="192"/>
      <c r="CM96" s="192"/>
      <c r="CN96" s="192"/>
      <c r="CO96" s="192"/>
      <c r="CP96" s="192"/>
      <c r="CQ96" s="192"/>
      <c r="CR96" s="192"/>
      <c r="CS96" s="192"/>
      <c r="CT96" s="192"/>
    </row>
    <row r="97" ht="26.25" customHeight="1">
      <c r="A97" s="184" t="s">
        <v>168</v>
      </c>
      <c r="B97" s="184" t="s">
        <v>1260</v>
      </c>
      <c r="C97" s="184" t="s">
        <v>622</v>
      </c>
      <c r="D97" s="185" t="s">
        <v>743</v>
      </c>
      <c r="E97" s="186" t="s">
        <v>1543</v>
      </c>
      <c r="F97" s="187" t="s">
        <v>1106</v>
      </c>
      <c r="G97" s="188">
        <v>0.4895833333333333</v>
      </c>
      <c r="H97" s="189" t="s">
        <v>788</v>
      </c>
      <c r="I97" s="189" t="s">
        <v>1558</v>
      </c>
      <c r="J97" s="189" t="s">
        <v>1559</v>
      </c>
      <c r="K97" s="189" t="s">
        <v>1560</v>
      </c>
      <c r="L97" s="189" t="s">
        <v>1561</v>
      </c>
      <c r="M97" s="185" t="s">
        <v>1562</v>
      </c>
      <c r="N97" s="189" t="s">
        <v>850</v>
      </c>
      <c r="O97" s="185" t="s">
        <v>764</v>
      </c>
      <c r="P97" s="190"/>
      <c r="Q97" s="190"/>
      <c r="R97" s="190"/>
      <c r="S97" s="190"/>
      <c r="T97" s="190"/>
      <c r="U97" s="190"/>
      <c r="V97" s="189" t="s">
        <v>1563</v>
      </c>
      <c r="W97" s="189" t="s">
        <v>1564</v>
      </c>
      <c r="X97" s="208" t="s">
        <v>1565</v>
      </c>
      <c r="Y97" s="189" t="s">
        <v>764</v>
      </c>
      <c r="Z97" s="189" t="s">
        <v>1543</v>
      </c>
      <c r="AA97" s="189" t="s">
        <v>797</v>
      </c>
      <c r="AB97" s="191"/>
      <c r="AC97" s="191"/>
      <c r="AD97" s="191"/>
      <c r="AE97" s="191"/>
      <c r="AF97" s="191"/>
      <c r="AG97" s="191"/>
      <c r="AH97" s="191"/>
      <c r="AI97" s="191"/>
      <c r="AJ97" s="191"/>
      <c r="AK97" s="191"/>
      <c r="AL97" s="191"/>
      <c r="AM97" s="191"/>
      <c r="AN97" s="191"/>
      <c r="AO97" s="191"/>
      <c r="AP97" s="191"/>
      <c r="AQ97" s="191"/>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N97" s="191"/>
      <c r="BO97" s="191"/>
      <c r="BP97" s="191"/>
      <c r="BQ97" s="191"/>
      <c r="BR97" s="191"/>
      <c r="BS97" s="191"/>
      <c r="BT97" s="191"/>
      <c r="BU97" s="191"/>
      <c r="BV97" s="191"/>
      <c r="BW97" s="191"/>
      <c r="BX97" s="191"/>
      <c r="BY97" s="191"/>
      <c r="BZ97" s="191"/>
      <c r="CA97" s="191"/>
      <c r="CB97" s="191"/>
      <c r="CC97" s="191"/>
      <c r="CD97" s="191"/>
      <c r="CE97" s="191"/>
      <c r="CF97" s="191"/>
      <c r="CG97" s="191"/>
      <c r="CH97" s="192"/>
      <c r="CI97" s="192"/>
      <c r="CJ97" s="192"/>
      <c r="CK97" s="192"/>
      <c r="CL97" s="192"/>
      <c r="CM97" s="192"/>
      <c r="CN97" s="192"/>
      <c r="CO97" s="192"/>
      <c r="CP97" s="192"/>
      <c r="CQ97" s="192"/>
      <c r="CR97" s="192"/>
      <c r="CS97" s="192"/>
      <c r="CT97" s="192"/>
    </row>
    <row r="98" ht="26.25" customHeight="1">
      <c r="A98" s="184" t="s">
        <v>164</v>
      </c>
      <c r="B98" s="184" t="s">
        <v>1260</v>
      </c>
      <c r="C98" s="184" t="s">
        <v>622</v>
      </c>
      <c r="D98" s="185" t="s">
        <v>743</v>
      </c>
      <c r="E98" s="186" t="s">
        <v>1543</v>
      </c>
      <c r="F98" s="187" t="s">
        <v>1106</v>
      </c>
      <c r="G98" s="188">
        <v>0.5034722222222222</v>
      </c>
      <c r="H98" s="189" t="s">
        <v>1566</v>
      </c>
      <c r="I98" s="189" t="s">
        <v>1567</v>
      </c>
      <c r="J98" s="185" t="s">
        <v>1568</v>
      </c>
      <c r="K98" s="189" t="s">
        <v>1569</v>
      </c>
      <c r="L98" s="189" t="s">
        <v>1570</v>
      </c>
      <c r="M98" s="185" t="s">
        <v>1571</v>
      </c>
      <c r="N98" s="189" t="s">
        <v>850</v>
      </c>
      <c r="O98" s="185" t="s">
        <v>764</v>
      </c>
      <c r="P98" s="190"/>
      <c r="Q98" s="190"/>
      <c r="R98" s="190"/>
      <c r="S98" s="190"/>
      <c r="T98" s="190"/>
      <c r="U98" s="190"/>
      <c r="V98" s="189" t="s">
        <v>1572</v>
      </c>
      <c r="W98" s="189" t="s">
        <v>1572</v>
      </c>
      <c r="X98" s="185" t="s">
        <v>1568</v>
      </c>
      <c r="Y98" s="189" t="s">
        <v>777</v>
      </c>
      <c r="Z98" s="189" t="s">
        <v>1543</v>
      </c>
      <c r="AA98" s="189" t="s">
        <v>757</v>
      </c>
      <c r="AB98" s="191"/>
      <c r="AC98" s="191"/>
      <c r="AD98" s="191"/>
      <c r="AE98" s="191"/>
      <c r="AF98" s="191"/>
      <c r="AG98" s="191"/>
      <c r="AH98" s="191"/>
      <c r="AI98" s="191"/>
      <c r="AJ98" s="191"/>
      <c r="AK98" s="191"/>
      <c r="AL98" s="191"/>
      <c r="AM98" s="191"/>
      <c r="AN98" s="191"/>
      <c r="AO98" s="191"/>
      <c r="AP98" s="191"/>
      <c r="AQ98" s="191"/>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N98" s="191"/>
      <c r="BO98" s="191"/>
      <c r="BP98" s="191"/>
      <c r="BQ98" s="191"/>
      <c r="BR98" s="191"/>
      <c r="BS98" s="191"/>
      <c r="BT98" s="191"/>
      <c r="BU98" s="191"/>
      <c r="BV98" s="191"/>
      <c r="BW98" s="191"/>
      <c r="BX98" s="191"/>
      <c r="BY98" s="191"/>
      <c r="BZ98" s="191"/>
      <c r="CA98" s="191"/>
      <c r="CB98" s="191"/>
      <c r="CC98" s="191"/>
      <c r="CD98" s="191"/>
      <c r="CE98" s="191"/>
      <c r="CF98" s="191"/>
      <c r="CG98" s="191"/>
      <c r="CH98" s="192"/>
      <c r="CI98" s="192"/>
      <c r="CJ98" s="192"/>
      <c r="CK98" s="192"/>
      <c r="CL98" s="192"/>
      <c r="CM98" s="192"/>
      <c r="CN98" s="192"/>
      <c r="CO98" s="192"/>
      <c r="CP98" s="192"/>
      <c r="CQ98" s="192"/>
      <c r="CR98" s="192"/>
      <c r="CS98" s="192"/>
      <c r="CT98" s="192"/>
    </row>
    <row r="99" ht="26.25" customHeight="1">
      <c r="A99" s="184" t="s">
        <v>166</v>
      </c>
      <c r="B99" s="184" t="s">
        <v>1260</v>
      </c>
      <c r="C99" s="184" t="s">
        <v>622</v>
      </c>
      <c r="D99" s="185" t="s">
        <v>743</v>
      </c>
      <c r="E99" s="186" t="s">
        <v>1543</v>
      </c>
      <c r="F99" s="187" t="s">
        <v>1106</v>
      </c>
      <c r="G99" s="188">
        <v>0.53125</v>
      </c>
      <c r="H99" s="189" t="s">
        <v>1573</v>
      </c>
      <c r="I99" s="189" t="s">
        <v>1574</v>
      </c>
      <c r="J99" s="185" t="s">
        <v>1575</v>
      </c>
      <c r="K99" s="189" t="s">
        <v>1576</v>
      </c>
      <c r="L99" s="189" t="s">
        <v>1577</v>
      </c>
      <c r="M99" s="185" t="s">
        <v>1578</v>
      </c>
      <c r="N99" s="189" t="s">
        <v>850</v>
      </c>
      <c r="O99" s="185" t="s">
        <v>764</v>
      </c>
      <c r="P99" s="190"/>
      <c r="Q99" s="190"/>
      <c r="R99" s="190"/>
      <c r="S99" s="190"/>
      <c r="T99" s="190"/>
      <c r="U99" s="190"/>
      <c r="V99" s="189" t="s">
        <v>823</v>
      </c>
      <c r="W99" s="189" t="s">
        <v>824</v>
      </c>
      <c r="X99" s="185" t="s">
        <v>825</v>
      </c>
      <c r="Y99" s="189" t="s">
        <v>764</v>
      </c>
      <c r="Z99" s="189" t="s">
        <v>1543</v>
      </c>
      <c r="AA99" s="189" t="s">
        <v>757</v>
      </c>
      <c r="AB99" s="191"/>
      <c r="AC99" s="191"/>
      <c r="AD99" s="191"/>
      <c r="AE99" s="191"/>
      <c r="AF99" s="191"/>
      <c r="AG99" s="191"/>
      <c r="AH99" s="191"/>
      <c r="AI99" s="191"/>
      <c r="AJ99" s="191"/>
      <c r="AK99" s="191"/>
      <c r="AL99" s="191"/>
      <c r="AM99" s="191"/>
      <c r="AN99" s="191"/>
      <c r="AO99" s="191"/>
      <c r="AP99" s="191"/>
      <c r="AQ99" s="191"/>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N99" s="191"/>
      <c r="BO99" s="191"/>
      <c r="BP99" s="191"/>
      <c r="BQ99" s="191"/>
      <c r="BR99" s="191"/>
      <c r="BS99" s="191"/>
      <c r="BT99" s="191"/>
      <c r="BU99" s="191"/>
      <c r="BV99" s="191"/>
      <c r="BW99" s="191"/>
      <c r="BX99" s="191"/>
      <c r="BY99" s="191"/>
      <c r="BZ99" s="191"/>
      <c r="CA99" s="191"/>
      <c r="CB99" s="191"/>
      <c r="CC99" s="191"/>
      <c r="CD99" s="191"/>
      <c r="CE99" s="191"/>
      <c r="CF99" s="191"/>
      <c r="CG99" s="191"/>
      <c r="CH99" s="192"/>
      <c r="CI99" s="192"/>
      <c r="CJ99" s="192"/>
      <c r="CK99" s="192"/>
      <c r="CL99" s="192"/>
      <c r="CM99" s="192"/>
      <c r="CN99" s="192"/>
      <c r="CO99" s="192"/>
      <c r="CP99" s="192"/>
      <c r="CQ99" s="192"/>
      <c r="CR99" s="192"/>
      <c r="CS99" s="192"/>
      <c r="CT99" s="192"/>
    </row>
    <row r="100" ht="26.25" customHeight="1">
      <c r="A100" s="184" t="s">
        <v>173</v>
      </c>
      <c r="B100" s="184" t="s">
        <v>1260</v>
      </c>
      <c r="C100" s="184" t="s">
        <v>623</v>
      </c>
      <c r="D100" s="185" t="s">
        <v>743</v>
      </c>
      <c r="E100" s="186" t="s">
        <v>946</v>
      </c>
      <c r="F100" s="187" t="s">
        <v>807</v>
      </c>
      <c r="G100" s="188">
        <v>0.4618055555555556</v>
      </c>
      <c r="H100" s="189" t="s">
        <v>1579</v>
      </c>
      <c r="I100" s="189" t="s">
        <v>1580</v>
      </c>
      <c r="J100" s="189" t="s">
        <v>1581</v>
      </c>
      <c r="K100" s="189" t="s">
        <v>1582</v>
      </c>
      <c r="L100" s="189" t="s">
        <v>1583</v>
      </c>
      <c r="M100" s="185" t="s">
        <v>1584</v>
      </c>
      <c r="N100" s="189" t="s">
        <v>752</v>
      </c>
      <c r="O100" s="185" t="s">
        <v>773</v>
      </c>
      <c r="P100" s="190"/>
      <c r="Q100" s="190"/>
      <c r="R100" s="190"/>
      <c r="S100" s="190"/>
      <c r="T100" s="190"/>
      <c r="U100" s="190"/>
      <c r="V100" s="189" t="s">
        <v>1585</v>
      </c>
      <c r="W100" s="189" t="s">
        <v>1586</v>
      </c>
      <c r="X100" s="208" t="s">
        <v>1587</v>
      </c>
      <c r="Y100" s="189" t="s">
        <v>764</v>
      </c>
      <c r="Z100" s="190"/>
      <c r="AA100" s="189" t="s">
        <v>797</v>
      </c>
      <c r="AB100" s="191"/>
      <c r="AC100" s="191"/>
      <c r="AD100" s="191"/>
      <c r="AE100" s="191"/>
      <c r="AF100" s="191"/>
      <c r="AG100" s="191"/>
      <c r="AH100" s="191"/>
      <c r="AI100" s="191"/>
      <c r="AJ100" s="191"/>
      <c r="AK100" s="191"/>
      <c r="AL100" s="191"/>
      <c r="AM100" s="191"/>
      <c r="AN100" s="191"/>
      <c r="AO100" s="191"/>
      <c r="AP100" s="191"/>
      <c r="AQ100" s="191"/>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N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2"/>
      <c r="CI100" s="192"/>
      <c r="CJ100" s="192"/>
      <c r="CK100" s="192"/>
      <c r="CL100" s="192"/>
      <c r="CM100" s="192"/>
      <c r="CN100" s="192"/>
      <c r="CO100" s="192"/>
      <c r="CP100" s="192"/>
      <c r="CQ100" s="192"/>
      <c r="CR100" s="192"/>
      <c r="CS100" s="192"/>
      <c r="CT100" s="192"/>
    </row>
    <row r="101" ht="26.25" customHeight="1">
      <c r="A101" s="184" t="s">
        <v>172</v>
      </c>
      <c r="B101" s="184" t="s">
        <v>1260</v>
      </c>
      <c r="C101" s="184" t="s">
        <v>623</v>
      </c>
      <c r="D101" s="185" t="s">
        <v>743</v>
      </c>
      <c r="E101" s="186" t="s">
        <v>946</v>
      </c>
      <c r="F101" s="187" t="s">
        <v>807</v>
      </c>
      <c r="G101" s="188">
        <v>0.4756944444444444</v>
      </c>
      <c r="H101" s="189" t="s">
        <v>1473</v>
      </c>
      <c r="I101" s="189" t="s">
        <v>1588</v>
      </c>
      <c r="J101" s="189" t="s">
        <v>1589</v>
      </c>
      <c r="K101" s="189" t="s">
        <v>1590</v>
      </c>
      <c r="L101" s="189" t="s">
        <v>1591</v>
      </c>
      <c r="M101" s="209" t="s">
        <v>1592</v>
      </c>
      <c r="N101" s="189" t="s">
        <v>752</v>
      </c>
      <c r="O101" s="185" t="s">
        <v>764</v>
      </c>
      <c r="P101" s="190"/>
      <c r="Q101" s="190"/>
      <c r="R101" s="190"/>
      <c r="S101" s="190"/>
      <c r="T101" s="190"/>
      <c r="U101" s="190"/>
      <c r="V101" s="189" t="s">
        <v>1235</v>
      </c>
      <c r="W101" s="189" t="s">
        <v>1593</v>
      </c>
      <c r="X101" s="208" t="s">
        <v>1594</v>
      </c>
      <c r="Y101" s="189" t="s">
        <v>777</v>
      </c>
      <c r="Z101" s="190"/>
      <c r="AA101" s="189" t="s">
        <v>797</v>
      </c>
      <c r="AB101" s="191"/>
      <c r="AC101" s="191"/>
      <c r="AD101" s="191"/>
      <c r="AE101" s="191"/>
      <c r="AF101" s="191"/>
      <c r="AG101" s="191"/>
      <c r="AH101" s="191"/>
      <c r="AI101" s="191"/>
      <c r="AJ101" s="191"/>
      <c r="AK101" s="191"/>
      <c r="AL101" s="191"/>
      <c r="AM101" s="191"/>
      <c r="AN101" s="191"/>
      <c r="AO101" s="191"/>
      <c r="AP101" s="191"/>
      <c r="AQ101" s="191"/>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N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2"/>
      <c r="CI101" s="192"/>
      <c r="CJ101" s="192"/>
      <c r="CK101" s="192"/>
      <c r="CL101" s="192"/>
      <c r="CM101" s="192"/>
      <c r="CN101" s="192"/>
      <c r="CO101" s="192"/>
      <c r="CP101" s="192"/>
      <c r="CQ101" s="192"/>
      <c r="CR101" s="192"/>
      <c r="CS101" s="192"/>
      <c r="CT101" s="192"/>
    </row>
    <row r="102" ht="26.25" customHeight="1">
      <c r="A102" s="184" t="s">
        <v>170</v>
      </c>
      <c r="B102" s="184" t="s">
        <v>1260</v>
      </c>
      <c r="C102" s="184" t="s">
        <v>623</v>
      </c>
      <c r="D102" s="185" t="s">
        <v>743</v>
      </c>
      <c r="E102" s="186" t="s">
        <v>946</v>
      </c>
      <c r="F102" s="187" t="s">
        <v>807</v>
      </c>
      <c r="G102" s="188">
        <v>0.4895833333333333</v>
      </c>
      <c r="H102" s="189" t="s">
        <v>1595</v>
      </c>
      <c r="I102" s="189" t="s">
        <v>1596</v>
      </c>
      <c r="J102" s="189" t="s">
        <v>1597</v>
      </c>
      <c r="K102" s="189" t="s">
        <v>1598</v>
      </c>
      <c r="L102" s="189" t="s">
        <v>1599</v>
      </c>
      <c r="M102" s="185" t="s">
        <v>1600</v>
      </c>
      <c r="N102" s="189" t="s">
        <v>908</v>
      </c>
      <c r="O102" s="185" t="s">
        <v>764</v>
      </c>
      <c r="P102" s="190"/>
      <c r="Q102" s="190"/>
      <c r="R102" s="190"/>
      <c r="S102" s="190"/>
      <c r="T102" s="190"/>
      <c r="U102" s="190"/>
      <c r="V102" s="189" t="s">
        <v>1601</v>
      </c>
      <c r="W102" s="189" t="s">
        <v>973</v>
      </c>
      <c r="X102" s="208" t="s">
        <v>974</v>
      </c>
      <c r="Y102" s="189" t="s">
        <v>764</v>
      </c>
      <c r="Z102" s="189" t="s">
        <v>946</v>
      </c>
      <c r="AA102" s="189" t="s">
        <v>757</v>
      </c>
      <c r="AB102" s="191"/>
      <c r="AC102" s="191"/>
      <c r="AD102" s="191"/>
      <c r="AE102" s="191"/>
      <c r="AF102" s="191"/>
      <c r="AG102" s="191"/>
      <c r="AH102" s="191"/>
      <c r="AI102" s="191"/>
      <c r="AJ102" s="191"/>
      <c r="AK102" s="191"/>
      <c r="AL102" s="191"/>
      <c r="AM102" s="191"/>
      <c r="AN102" s="191"/>
      <c r="AO102" s="191"/>
      <c r="AP102" s="191"/>
      <c r="AQ102" s="191"/>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N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2"/>
      <c r="CI102" s="192"/>
      <c r="CJ102" s="192"/>
      <c r="CK102" s="192"/>
      <c r="CL102" s="192"/>
      <c r="CM102" s="192"/>
      <c r="CN102" s="192"/>
      <c r="CO102" s="192"/>
      <c r="CP102" s="192"/>
      <c r="CQ102" s="192"/>
      <c r="CR102" s="192"/>
      <c r="CS102" s="192"/>
      <c r="CT102" s="192"/>
    </row>
    <row r="103" ht="26.25" customHeight="1">
      <c r="A103" s="184" t="s">
        <v>171</v>
      </c>
      <c r="B103" s="184" t="s">
        <v>1260</v>
      </c>
      <c r="C103" s="184" t="s">
        <v>623</v>
      </c>
      <c r="D103" s="185" t="s">
        <v>743</v>
      </c>
      <c r="E103" s="186" t="s">
        <v>946</v>
      </c>
      <c r="F103" s="187" t="s">
        <v>807</v>
      </c>
      <c r="G103" s="188">
        <v>0.5034722222222222</v>
      </c>
      <c r="H103" s="189" t="s">
        <v>1602</v>
      </c>
      <c r="I103" s="189" t="s">
        <v>1603</v>
      </c>
      <c r="J103" s="189" t="s">
        <v>1604</v>
      </c>
      <c r="K103" s="189" t="s">
        <v>1605</v>
      </c>
      <c r="L103" s="189" t="s">
        <v>1606</v>
      </c>
      <c r="M103" s="185" t="s">
        <v>1607</v>
      </c>
      <c r="N103" s="189" t="s">
        <v>850</v>
      </c>
      <c r="O103" s="185" t="s">
        <v>784</v>
      </c>
      <c r="P103" s="190"/>
      <c r="Q103" s="190"/>
      <c r="R103" s="190"/>
      <c r="S103" s="190"/>
      <c r="T103" s="190"/>
      <c r="U103" s="190"/>
      <c r="V103" s="189" t="s">
        <v>1608</v>
      </c>
      <c r="W103" s="189" t="s">
        <v>1609</v>
      </c>
      <c r="X103" s="208" t="s">
        <v>1610</v>
      </c>
      <c r="Y103" s="189" t="s">
        <v>784</v>
      </c>
      <c r="Z103" s="189" t="s">
        <v>946</v>
      </c>
      <c r="AA103" s="189" t="s">
        <v>757</v>
      </c>
      <c r="AB103" s="191"/>
      <c r="AC103" s="191"/>
      <c r="AD103" s="191"/>
      <c r="AE103" s="191"/>
      <c r="AF103" s="191"/>
      <c r="AG103" s="191"/>
      <c r="AH103" s="191"/>
      <c r="AI103" s="191"/>
      <c r="AJ103" s="191"/>
      <c r="AK103" s="191"/>
      <c r="AL103" s="191"/>
      <c r="AM103" s="191"/>
      <c r="AN103" s="191"/>
      <c r="AO103" s="191"/>
      <c r="AP103" s="191"/>
      <c r="AQ103" s="191"/>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N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2"/>
      <c r="CI103" s="192"/>
      <c r="CJ103" s="192"/>
      <c r="CK103" s="192"/>
      <c r="CL103" s="192"/>
      <c r="CM103" s="192"/>
      <c r="CN103" s="192"/>
      <c r="CO103" s="192"/>
      <c r="CP103" s="192"/>
      <c r="CQ103" s="192"/>
      <c r="CR103" s="192"/>
      <c r="CS103" s="192"/>
      <c r="CT103" s="192"/>
    </row>
    <row r="104" ht="26.25" customHeight="1">
      <c r="A104" s="184" t="s">
        <v>128</v>
      </c>
      <c r="B104" s="184" t="s">
        <v>1260</v>
      </c>
      <c r="C104" s="184" t="s">
        <v>624</v>
      </c>
      <c r="D104" s="185" t="s">
        <v>743</v>
      </c>
      <c r="E104" s="186" t="s">
        <v>1611</v>
      </c>
      <c r="F104" s="187" t="s">
        <v>997</v>
      </c>
      <c r="G104" s="188">
        <v>0.4618055555555556</v>
      </c>
      <c r="H104" s="189" t="s">
        <v>1612</v>
      </c>
      <c r="I104" s="189" t="s">
        <v>1613</v>
      </c>
      <c r="J104" s="189" t="s">
        <v>1614</v>
      </c>
      <c r="K104" s="189" t="s">
        <v>1615</v>
      </c>
      <c r="L104" s="189" t="s">
        <v>1616</v>
      </c>
      <c r="M104" s="185" t="s">
        <v>1617</v>
      </c>
      <c r="N104" s="189" t="s">
        <v>850</v>
      </c>
      <c r="O104" s="185" t="s">
        <v>784</v>
      </c>
      <c r="P104" s="190"/>
      <c r="Q104" s="190"/>
      <c r="R104" s="190"/>
      <c r="S104" s="190"/>
      <c r="T104" s="190"/>
      <c r="U104" s="190"/>
      <c r="V104" s="189" t="s">
        <v>1618</v>
      </c>
      <c r="W104" s="189" t="s">
        <v>1619</v>
      </c>
      <c r="X104" s="208" t="s">
        <v>1620</v>
      </c>
      <c r="Y104" s="189" t="s">
        <v>777</v>
      </c>
      <c r="Z104" s="189" t="s">
        <v>1621</v>
      </c>
      <c r="AA104" s="189" t="s">
        <v>757</v>
      </c>
      <c r="AB104" s="191"/>
      <c r="AC104" s="191"/>
      <c r="AD104" s="191"/>
      <c r="AE104" s="191"/>
      <c r="AF104" s="191"/>
      <c r="AG104" s="191"/>
      <c r="AH104" s="191"/>
      <c r="AI104" s="191"/>
      <c r="AJ104" s="191"/>
      <c r="AK104" s="191"/>
      <c r="AL104" s="191"/>
      <c r="AM104" s="191"/>
      <c r="AN104" s="191"/>
      <c r="AO104" s="191"/>
      <c r="AP104" s="191"/>
      <c r="AQ104" s="191"/>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N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2"/>
      <c r="CI104" s="192"/>
      <c r="CJ104" s="192"/>
      <c r="CK104" s="192"/>
      <c r="CL104" s="192"/>
      <c r="CM104" s="192"/>
      <c r="CN104" s="192"/>
      <c r="CO104" s="192"/>
      <c r="CP104" s="192"/>
      <c r="CQ104" s="192"/>
      <c r="CR104" s="192"/>
      <c r="CS104" s="192"/>
      <c r="CT104" s="192"/>
    </row>
    <row r="105" ht="26.25" customHeight="1">
      <c r="A105" s="184" t="s">
        <v>131</v>
      </c>
      <c r="B105" s="184" t="s">
        <v>1260</v>
      </c>
      <c r="C105" s="184" t="s">
        <v>624</v>
      </c>
      <c r="D105" s="185" t="s">
        <v>743</v>
      </c>
      <c r="E105" s="186" t="s">
        <v>1611</v>
      </c>
      <c r="F105" s="187" t="s">
        <v>997</v>
      </c>
      <c r="G105" s="188">
        <v>0.4756944444444444</v>
      </c>
      <c r="H105" s="189" t="s">
        <v>1278</v>
      </c>
      <c r="I105" s="189" t="s">
        <v>1622</v>
      </c>
      <c r="J105" s="185" t="s">
        <v>1623</v>
      </c>
      <c r="K105" s="189" t="s">
        <v>1624</v>
      </c>
      <c r="L105" s="190" t="s">
        <v>1625</v>
      </c>
      <c r="M105" s="185" t="s">
        <v>1626</v>
      </c>
      <c r="N105" s="189" t="s">
        <v>850</v>
      </c>
      <c r="O105" s="185" t="s">
        <v>753</v>
      </c>
      <c r="P105" s="190"/>
      <c r="Q105" s="190"/>
      <c r="R105" s="190"/>
      <c r="S105" s="190"/>
      <c r="T105" s="190"/>
      <c r="U105" s="190"/>
      <c r="V105" s="189" t="s">
        <v>1627</v>
      </c>
      <c r="W105" s="189" t="s">
        <v>1628</v>
      </c>
      <c r="X105" s="185" t="s">
        <v>1629</v>
      </c>
      <c r="Y105" s="189" t="s">
        <v>777</v>
      </c>
      <c r="Z105" s="189" t="s">
        <v>1621</v>
      </c>
      <c r="AA105" s="189" t="s">
        <v>757</v>
      </c>
      <c r="AB105" s="191"/>
      <c r="AC105" s="191"/>
      <c r="AD105" s="191"/>
      <c r="AE105" s="191"/>
      <c r="AF105" s="191"/>
      <c r="AG105" s="191"/>
      <c r="AH105" s="191"/>
      <c r="AI105" s="191"/>
      <c r="AJ105" s="191"/>
      <c r="AK105" s="191"/>
      <c r="AL105" s="191"/>
      <c r="AM105" s="191"/>
      <c r="AN105" s="191"/>
      <c r="AO105" s="191"/>
      <c r="AP105" s="191"/>
      <c r="AQ105" s="191"/>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N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2"/>
      <c r="CI105" s="192"/>
      <c r="CJ105" s="192"/>
      <c r="CK105" s="192"/>
      <c r="CL105" s="192"/>
      <c r="CM105" s="192"/>
      <c r="CN105" s="192"/>
      <c r="CO105" s="192"/>
      <c r="CP105" s="192"/>
      <c r="CQ105" s="192"/>
      <c r="CR105" s="192"/>
      <c r="CS105" s="192"/>
      <c r="CT105" s="192"/>
    </row>
    <row r="106" ht="26.25" customHeight="1">
      <c r="A106" s="184" t="s">
        <v>129</v>
      </c>
      <c r="B106" s="184" t="s">
        <v>1260</v>
      </c>
      <c r="C106" s="184" t="s">
        <v>624</v>
      </c>
      <c r="D106" s="185" t="s">
        <v>743</v>
      </c>
      <c r="E106" s="186" t="s">
        <v>1611</v>
      </c>
      <c r="F106" s="187" t="s">
        <v>997</v>
      </c>
      <c r="G106" s="188">
        <v>0.4895833333333333</v>
      </c>
      <c r="H106" s="189" t="s">
        <v>1630</v>
      </c>
      <c r="I106" s="189" t="s">
        <v>1631</v>
      </c>
      <c r="J106" s="185" t="s">
        <v>1632</v>
      </c>
      <c r="K106" s="189" t="s">
        <v>1633</v>
      </c>
      <c r="L106" s="185" t="s">
        <v>1634</v>
      </c>
      <c r="M106" s="185" t="s">
        <v>1635</v>
      </c>
      <c r="N106" s="189" t="s">
        <v>850</v>
      </c>
      <c r="O106" s="185" t="s">
        <v>1457</v>
      </c>
      <c r="P106" s="190"/>
      <c r="Q106" s="190"/>
      <c r="R106" s="190"/>
      <c r="S106" s="190"/>
      <c r="T106" s="190"/>
      <c r="U106" s="190"/>
      <c r="V106" s="189" t="s">
        <v>1636</v>
      </c>
      <c r="W106" s="189" t="s">
        <v>1637</v>
      </c>
      <c r="X106" s="185" t="s">
        <v>1638</v>
      </c>
      <c r="Y106" s="189" t="s">
        <v>1457</v>
      </c>
      <c r="Z106" s="189" t="s">
        <v>1457</v>
      </c>
      <c r="AA106" s="189" t="s">
        <v>797</v>
      </c>
      <c r="AB106" s="191"/>
      <c r="AC106" s="191"/>
      <c r="AD106" s="191"/>
      <c r="AE106" s="191"/>
      <c r="AF106" s="191"/>
      <c r="AG106" s="191"/>
      <c r="AH106" s="191"/>
      <c r="AI106" s="191"/>
      <c r="AJ106" s="191"/>
      <c r="AK106" s="191"/>
      <c r="AL106" s="191"/>
      <c r="AM106" s="191"/>
      <c r="AN106" s="191"/>
      <c r="AO106" s="191"/>
      <c r="AP106" s="191"/>
      <c r="AQ106" s="191"/>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N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2"/>
      <c r="CI106" s="192"/>
      <c r="CJ106" s="192"/>
      <c r="CK106" s="192"/>
      <c r="CL106" s="192"/>
      <c r="CM106" s="192"/>
      <c r="CN106" s="192"/>
      <c r="CO106" s="192"/>
      <c r="CP106" s="192"/>
      <c r="CQ106" s="192"/>
      <c r="CR106" s="192"/>
      <c r="CS106" s="192"/>
      <c r="CT106" s="192"/>
    </row>
    <row r="107" ht="26.25" customHeight="1">
      <c r="A107" s="184" t="s">
        <v>130</v>
      </c>
      <c r="B107" s="184" t="s">
        <v>1260</v>
      </c>
      <c r="C107" s="184" t="s">
        <v>624</v>
      </c>
      <c r="D107" s="185" t="s">
        <v>743</v>
      </c>
      <c r="E107" s="186" t="s">
        <v>1611</v>
      </c>
      <c r="F107" s="187" t="s">
        <v>997</v>
      </c>
      <c r="G107" s="188">
        <v>0.5034722222222222</v>
      </c>
      <c r="H107" s="189" t="s">
        <v>1639</v>
      </c>
      <c r="I107" s="189" t="s">
        <v>1640</v>
      </c>
      <c r="J107" s="185" t="s">
        <v>1641</v>
      </c>
      <c r="K107" s="189" t="s">
        <v>1642</v>
      </c>
      <c r="L107" s="189" t="s">
        <v>1643</v>
      </c>
      <c r="M107" s="185" t="s">
        <v>1644</v>
      </c>
      <c r="N107" s="189" t="s">
        <v>850</v>
      </c>
      <c r="O107" s="185" t="s">
        <v>784</v>
      </c>
      <c r="P107" s="190"/>
      <c r="Q107" s="190"/>
      <c r="R107" s="190"/>
      <c r="S107" s="190"/>
      <c r="T107" s="190"/>
      <c r="U107" s="190"/>
      <c r="V107" s="189" t="s">
        <v>1209</v>
      </c>
      <c r="W107" s="189" t="s">
        <v>1210</v>
      </c>
      <c r="X107" s="185" t="s">
        <v>1211</v>
      </c>
      <c r="Y107" s="189" t="s">
        <v>784</v>
      </c>
      <c r="Z107" s="189" t="s">
        <v>1621</v>
      </c>
      <c r="AA107" s="189" t="s">
        <v>757</v>
      </c>
      <c r="AB107" s="191"/>
      <c r="AC107" s="191"/>
      <c r="AD107" s="191"/>
      <c r="AE107" s="191"/>
      <c r="AF107" s="191"/>
      <c r="AG107" s="191"/>
      <c r="AH107" s="191"/>
      <c r="AI107" s="191"/>
      <c r="AJ107" s="191"/>
      <c r="AK107" s="191"/>
      <c r="AL107" s="191"/>
      <c r="AM107" s="191"/>
      <c r="AN107" s="191"/>
      <c r="AO107" s="191"/>
      <c r="AP107" s="191"/>
      <c r="AQ107" s="191"/>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N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2"/>
      <c r="CI107" s="192"/>
      <c r="CJ107" s="192"/>
      <c r="CK107" s="192"/>
      <c r="CL107" s="192"/>
      <c r="CM107" s="192"/>
      <c r="CN107" s="192"/>
      <c r="CO107" s="192"/>
      <c r="CP107" s="192"/>
      <c r="CQ107" s="192"/>
      <c r="CR107" s="192"/>
      <c r="CS107" s="192"/>
      <c r="CT107" s="192"/>
    </row>
    <row r="108" ht="26.25" customHeight="1">
      <c r="A108" s="184" t="s">
        <v>127</v>
      </c>
      <c r="B108" s="184" t="s">
        <v>1260</v>
      </c>
      <c r="C108" s="184" t="s">
        <v>624</v>
      </c>
      <c r="D108" s="185" t="s">
        <v>743</v>
      </c>
      <c r="E108" s="186" t="s">
        <v>1611</v>
      </c>
      <c r="F108" s="187" t="s">
        <v>997</v>
      </c>
      <c r="G108" s="188">
        <v>0.5173611111111112</v>
      </c>
      <c r="H108" s="189" t="s">
        <v>1645</v>
      </c>
      <c r="I108" s="189" t="s">
        <v>1646</v>
      </c>
      <c r="J108" s="185" t="s">
        <v>1647</v>
      </c>
      <c r="K108" s="189" t="s">
        <v>1648</v>
      </c>
      <c r="L108" s="189" t="s">
        <v>1649</v>
      </c>
      <c r="M108" s="185" t="s">
        <v>1650</v>
      </c>
      <c r="N108" s="189" t="s">
        <v>752</v>
      </c>
      <c r="O108" s="185" t="s">
        <v>784</v>
      </c>
      <c r="P108" s="190"/>
      <c r="Q108" s="190"/>
      <c r="R108" s="190"/>
      <c r="S108" s="190"/>
      <c r="T108" s="190"/>
      <c r="U108" s="190"/>
      <c r="V108" s="189" t="s">
        <v>1651</v>
      </c>
      <c r="W108" s="189" t="s">
        <v>1652</v>
      </c>
      <c r="X108" s="185" t="s">
        <v>1653</v>
      </c>
      <c r="Y108" s="189" t="s">
        <v>784</v>
      </c>
      <c r="Z108" s="190"/>
      <c r="AA108" s="189" t="s">
        <v>1654</v>
      </c>
      <c r="AB108" s="191"/>
      <c r="AC108" s="191"/>
      <c r="AD108" s="191"/>
      <c r="AE108" s="191"/>
      <c r="AF108" s="191"/>
      <c r="AG108" s="191"/>
      <c r="AH108" s="191"/>
      <c r="AI108" s="191"/>
      <c r="AJ108" s="191"/>
      <c r="AK108" s="191"/>
      <c r="AL108" s="191"/>
      <c r="AM108" s="191"/>
      <c r="AN108" s="191"/>
      <c r="AO108" s="191"/>
      <c r="AP108" s="191"/>
      <c r="AQ108" s="191"/>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N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2"/>
      <c r="CI108" s="192"/>
      <c r="CJ108" s="192"/>
      <c r="CK108" s="192"/>
      <c r="CL108" s="192"/>
      <c r="CM108" s="192"/>
      <c r="CN108" s="192"/>
      <c r="CO108" s="192"/>
      <c r="CP108" s="192"/>
      <c r="CQ108" s="192"/>
      <c r="CR108" s="192"/>
      <c r="CS108" s="192"/>
      <c r="CT108" s="192"/>
    </row>
    <row r="109" ht="26.25" customHeight="1">
      <c r="A109" s="184" t="s">
        <v>132</v>
      </c>
      <c r="B109" s="184" t="s">
        <v>1260</v>
      </c>
      <c r="C109" s="184" t="s">
        <v>624</v>
      </c>
      <c r="D109" s="185" t="s">
        <v>743</v>
      </c>
      <c r="E109" s="186" t="s">
        <v>1611</v>
      </c>
      <c r="F109" s="207" t="s">
        <v>997</v>
      </c>
      <c r="G109" s="188">
        <v>0.53125</v>
      </c>
      <c r="H109" s="189" t="s">
        <v>1655</v>
      </c>
      <c r="I109" s="189" t="s">
        <v>1656</v>
      </c>
      <c r="J109" s="189" t="s">
        <v>1657</v>
      </c>
      <c r="K109" s="189" t="s">
        <v>1658</v>
      </c>
      <c r="L109" s="189" t="s">
        <v>1659</v>
      </c>
      <c r="M109" s="209" t="s">
        <v>1660</v>
      </c>
      <c r="N109" s="189" t="s">
        <v>752</v>
      </c>
      <c r="O109" s="185" t="s">
        <v>1661</v>
      </c>
      <c r="P109" s="190"/>
      <c r="Q109" s="190"/>
      <c r="R109" s="190"/>
      <c r="S109" s="190"/>
      <c r="T109" s="190"/>
      <c r="U109" s="190"/>
      <c r="V109" s="189" t="s">
        <v>1662</v>
      </c>
      <c r="W109" s="189" t="s">
        <v>1663</v>
      </c>
      <c r="X109" s="185" t="s">
        <v>1664</v>
      </c>
      <c r="Y109" s="189" t="s">
        <v>1661</v>
      </c>
      <c r="Z109" s="190"/>
      <c r="AA109" s="189" t="s">
        <v>1654</v>
      </c>
      <c r="AB109" s="191"/>
      <c r="AC109" s="191"/>
      <c r="AD109" s="191"/>
      <c r="AE109" s="191"/>
      <c r="AF109" s="191"/>
      <c r="AG109" s="191"/>
      <c r="AH109" s="191"/>
      <c r="AI109" s="191"/>
      <c r="AJ109" s="191"/>
      <c r="AK109" s="191"/>
      <c r="AL109" s="191"/>
      <c r="AM109" s="191"/>
      <c r="AN109" s="191"/>
      <c r="AO109" s="191"/>
      <c r="AP109" s="191"/>
      <c r="AQ109" s="191"/>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N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2"/>
      <c r="CI109" s="192"/>
      <c r="CJ109" s="192"/>
      <c r="CK109" s="192"/>
      <c r="CL109" s="192"/>
      <c r="CM109" s="192"/>
      <c r="CN109" s="192"/>
      <c r="CO109" s="192"/>
      <c r="CP109" s="192"/>
      <c r="CQ109" s="192"/>
      <c r="CR109" s="192"/>
      <c r="CS109" s="192"/>
      <c r="CT109" s="192"/>
    </row>
    <row r="110" ht="26.25" customHeight="1">
      <c r="A110" s="184" t="s">
        <v>177</v>
      </c>
      <c r="B110" s="184" t="s">
        <v>1665</v>
      </c>
      <c r="C110" s="184" t="s">
        <v>625</v>
      </c>
      <c r="D110" s="185" t="s">
        <v>743</v>
      </c>
      <c r="E110" s="186" t="s">
        <v>1666</v>
      </c>
      <c r="F110" s="207" t="s">
        <v>845</v>
      </c>
      <c r="G110" s="188">
        <v>0.5451388888888888</v>
      </c>
      <c r="H110" s="189" t="s">
        <v>1667</v>
      </c>
      <c r="I110" s="189" t="s">
        <v>1668</v>
      </c>
      <c r="J110" s="189" t="s">
        <v>1669</v>
      </c>
      <c r="K110" s="189" t="s">
        <v>1670</v>
      </c>
      <c r="L110" s="189" t="s">
        <v>1671</v>
      </c>
      <c r="M110" s="185" t="s">
        <v>1672</v>
      </c>
      <c r="N110" s="189" t="s">
        <v>752</v>
      </c>
      <c r="O110" s="185" t="s">
        <v>764</v>
      </c>
      <c r="P110" s="190"/>
      <c r="Q110" s="190"/>
      <c r="R110" s="190"/>
      <c r="S110" s="190"/>
      <c r="T110" s="190"/>
      <c r="U110" s="190"/>
      <c r="V110" s="189" t="s">
        <v>1673</v>
      </c>
      <c r="W110" s="189" t="s">
        <v>1674</v>
      </c>
      <c r="X110" s="185" t="s">
        <v>1418</v>
      </c>
      <c r="Y110" s="189" t="s">
        <v>764</v>
      </c>
      <c r="Z110" s="190"/>
      <c r="AA110" s="189" t="s">
        <v>797</v>
      </c>
      <c r="AB110" s="191"/>
      <c r="AC110" s="191"/>
      <c r="AD110" s="191"/>
      <c r="AE110" s="191"/>
      <c r="AF110" s="191"/>
      <c r="AG110" s="191"/>
      <c r="AH110" s="191"/>
      <c r="AI110" s="191"/>
      <c r="AJ110" s="191"/>
      <c r="AK110" s="191"/>
      <c r="AL110" s="191"/>
      <c r="AM110" s="191"/>
      <c r="AN110" s="191"/>
      <c r="AO110" s="191"/>
      <c r="AP110" s="191"/>
      <c r="AQ110" s="191"/>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N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2"/>
      <c r="CI110" s="192"/>
      <c r="CJ110" s="192"/>
      <c r="CK110" s="192"/>
      <c r="CL110" s="192"/>
      <c r="CM110" s="192"/>
      <c r="CN110" s="192"/>
      <c r="CO110" s="192"/>
      <c r="CP110" s="192"/>
      <c r="CQ110" s="192"/>
      <c r="CR110" s="192"/>
      <c r="CS110" s="192"/>
      <c r="CT110" s="192"/>
    </row>
    <row r="111" ht="26.25" customHeight="1">
      <c r="A111" s="184" t="s">
        <v>178</v>
      </c>
      <c r="B111" s="184" t="s">
        <v>1665</v>
      </c>
      <c r="C111" s="184" t="s">
        <v>625</v>
      </c>
      <c r="D111" s="185" t="s">
        <v>743</v>
      </c>
      <c r="E111" s="186" t="s">
        <v>1666</v>
      </c>
      <c r="F111" s="207" t="s">
        <v>845</v>
      </c>
      <c r="G111" s="188">
        <v>0.5590277777777778</v>
      </c>
      <c r="H111" s="189" t="s">
        <v>1675</v>
      </c>
      <c r="I111" s="189" t="s">
        <v>1676</v>
      </c>
      <c r="J111" s="189" t="s">
        <v>1677</v>
      </c>
      <c r="K111" s="189" t="s">
        <v>1678</v>
      </c>
      <c r="L111" s="189" t="s">
        <v>1679</v>
      </c>
      <c r="M111" s="185" t="s">
        <v>1680</v>
      </c>
      <c r="N111" s="189" t="s">
        <v>752</v>
      </c>
      <c r="O111" s="185" t="s">
        <v>784</v>
      </c>
      <c r="P111" s="190"/>
      <c r="Q111" s="190"/>
      <c r="R111" s="190"/>
      <c r="S111" s="190"/>
      <c r="T111" s="190"/>
      <c r="U111" s="190"/>
      <c r="V111" s="189" t="s">
        <v>785</v>
      </c>
      <c r="W111" s="189" t="s">
        <v>786</v>
      </c>
      <c r="X111" s="185" t="s">
        <v>1681</v>
      </c>
      <c r="Y111" s="189" t="s">
        <v>784</v>
      </c>
      <c r="Z111" s="190"/>
      <c r="AA111" s="189" t="s">
        <v>797</v>
      </c>
      <c r="AB111" s="191"/>
      <c r="AC111" s="191"/>
      <c r="AD111" s="191"/>
      <c r="AE111" s="191"/>
      <c r="AF111" s="191"/>
      <c r="AG111" s="191"/>
      <c r="AH111" s="191"/>
      <c r="AI111" s="191"/>
      <c r="AJ111" s="191"/>
      <c r="AK111" s="191"/>
      <c r="AL111" s="191"/>
      <c r="AM111" s="191"/>
      <c r="AN111" s="191"/>
      <c r="AO111" s="191"/>
      <c r="AP111" s="191"/>
      <c r="AQ111" s="191"/>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N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2"/>
      <c r="CI111" s="192"/>
      <c r="CJ111" s="192"/>
      <c r="CK111" s="192"/>
      <c r="CL111" s="192"/>
      <c r="CM111" s="192"/>
      <c r="CN111" s="192"/>
      <c r="CO111" s="192"/>
      <c r="CP111" s="192"/>
      <c r="CQ111" s="192"/>
      <c r="CR111" s="192"/>
      <c r="CS111" s="192"/>
      <c r="CT111" s="192"/>
    </row>
    <row r="112" ht="26.25" customHeight="1">
      <c r="A112" s="184" t="s">
        <v>175</v>
      </c>
      <c r="B112" s="184" t="s">
        <v>1665</v>
      </c>
      <c r="C112" s="184" t="s">
        <v>625</v>
      </c>
      <c r="D112" s="185" t="s">
        <v>743</v>
      </c>
      <c r="E112" s="186" t="s">
        <v>1666</v>
      </c>
      <c r="F112" s="207" t="s">
        <v>845</v>
      </c>
      <c r="G112" s="188">
        <v>0.5729166666666666</v>
      </c>
      <c r="H112" s="189" t="s">
        <v>1682</v>
      </c>
      <c r="I112" s="189" t="s">
        <v>1683</v>
      </c>
      <c r="J112" s="189" t="s">
        <v>1684</v>
      </c>
      <c r="K112" s="189" t="s">
        <v>1685</v>
      </c>
      <c r="L112" s="189" t="s">
        <v>1686</v>
      </c>
      <c r="M112" s="185" t="s">
        <v>1687</v>
      </c>
      <c r="N112" s="189" t="s">
        <v>752</v>
      </c>
      <c r="O112" s="185" t="s">
        <v>753</v>
      </c>
      <c r="P112" s="190"/>
      <c r="Q112" s="190"/>
      <c r="R112" s="190"/>
      <c r="S112" s="190"/>
      <c r="T112" s="190"/>
      <c r="U112" s="190"/>
      <c r="V112" s="189" t="s">
        <v>1688</v>
      </c>
      <c r="W112" s="189" t="s">
        <v>1689</v>
      </c>
      <c r="X112" s="185" t="s">
        <v>1690</v>
      </c>
      <c r="Y112" s="189" t="s">
        <v>753</v>
      </c>
      <c r="Z112" s="190"/>
      <c r="AA112" s="189" t="s">
        <v>797</v>
      </c>
      <c r="AB112" s="191"/>
      <c r="AC112" s="191"/>
      <c r="AD112" s="191"/>
      <c r="AE112" s="191"/>
      <c r="AF112" s="191"/>
      <c r="AG112" s="191"/>
      <c r="AH112" s="191"/>
      <c r="AI112" s="191"/>
      <c r="AJ112" s="191"/>
      <c r="AK112" s="191"/>
      <c r="AL112" s="191"/>
      <c r="AM112" s="191"/>
      <c r="AN112" s="191"/>
      <c r="AO112" s="191"/>
      <c r="AP112" s="191"/>
      <c r="AQ112" s="191"/>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N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2"/>
      <c r="CI112" s="192"/>
      <c r="CJ112" s="192"/>
      <c r="CK112" s="192"/>
      <c r="CL112" s="192"/>
      <c r="CM112" s="192"/>
      <c r="CN112" s="192"/>
      <c r="CO112" s="192"/>
      <c r="CP112" s="192"/>
      <c r="CQ112" s="192"/>
      <c r="CR112" s="192"/>
      <c r="CS112" s="192"/>
      <c r="CT112" s="192"/>
    </row>
    <row r="113" ht="26.25" customHeight="1">
      <c r="A113" s="184" t="s">
        <v>174</v>
      </c>
      <c r="B113" s="184" t="s">
        <v>1665</v>
      </c>
      <c r="C113" s="184" t="s">
        <v>625</v>
      </c>
      <c r="D113" s="185" t="s">
        <v>743</v>
      </c>
      <c r="E113" s="186" t="s">
        <v>1666</v>
      </c>
      <c r="F113" s="207" t="s">
        <v>845</v>
      </c>
      <c r="G113" s="188">
        <v>0.5868055555555556</v>
      </c>
      <c r="H113" s="189" t="s">
        <v>1089</v>
      </c>
      <c r="I113" s="185" t="s">
        <v>1691</v>
      </c>
      <c r="J113" s="185" t="s">
        <v>1692</v>
      </c>
      <c r="K113" s="189" t="s">
        <v>1693</v>
      </c>
      <c r="L113" s="189" t="s">
        <v>1694</v>
      </c>
      <c r="M113" s="185" t="s">
        <v>1695</v>
      </c>
      <c r="N113" s="189" t="s">
        <v>752</v>
      </c>
      <c r="O113" s="185" t="s">
        <v>784</v>
      </c>
      <c r="P113" s="190"/>
      <c r="Q113" s="190"/>
      <c r="R113" s="190"/>
      <c r="S113" s="190"/>
      <c r="T113" s="190"/>
      <c r="U113" s="190"/>
      <c r="V113" s="189" t="s">
        <v>1332</v>
      </c>
      <c r="W113" s="189" t="s">
        <v>1333</v>
      </c>
      <c r="X113" s="185" t="s">
        <v>1334</v>
      </c>
      <c r="Y113" s="189" t="s">
        <v>784</v>
      </c>
      <c r="Z113" s="190"/>
      <c r="AA113" s="189" t="s">
        <v>797</v>
      </c>
      <c r="AB113" s="191"/>
      <c r="AC113" s="191"/>
      <c r="AD113" s="191"/>
      <c r="AE113" s="191"/>
      <c r="AF113" s="191"/>
      <c r="AG113" s="191"/>
      <c r="AH113" s="191"/>
      <c r="AI113" s="191"/>
      <c r="AJ113" s="191"/>
      <c r="AK113" s="191"/>
      <c r="AL113" s="191"/>
      <c r="AM113" s="191"/>
      <c r="AN113" s="191"/>
      <c r="AO113" s="191"/>
      <c r="AP113" s="191"/>
      <c r="AQ113" s="191"/>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N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2"/>
      <c r="CI113" s="192"/>
      <c r="CJ113" s="192"/>
      <c r="CK113" s="192"/>
      <c r="CL113" s="192"/>
      <c r="CM113" s="192"/>
      <c r="CN113" s="192"/>
      <c r="CO113" s="192"/>
      <c r="CP113" s="192"/>
      <c r="CQ113" s="192"/>
      <c r="CR113" s="192"/>
      <c r="CS113" s="192"/>
      <c r="CT113" s="192"/>
    </row>
    <row r="114" ht="26.25" customHeight="1">
      <c r="A114" s="184" t="s">
        <v>176</v>
      </c>
      <c r="B114" s="184" t="s">
        <v>1665</v>
      </c>
      <c r="C114" s="184" t="s">
        <v>625</v>
      </c>
      <c r="D114" s="185" t="s">
        <v>743</v>
      </c>
      <c r="E114" s="186" t="s">
        <v>1666</v>
      </c>
      <c r="F114" s="187" t="s">
        <v>845</v>
      </c>
      <c r="G114" s="188">
        <v>0.6006944444444444</v>
      </c>
      <c r="H114" s="207" t="s">
        <v>754</v>
      </c>
      <c r="I114" s="189" t="s">
        <v>1696</v>
      </c>
      <c r="J114" s="189" t="s">
        <v>1697</v>
      </c>
      <c r="K114" s="189" t="s">
        <v>1698</v>
      </c>
      <c r="L114" s="189" t="s">
        <v>1699</v>
      </c>
      <c r="M114" s="185" t="s">
        <v>1700</v>
      </c>
      <c r="N114" s="189" t="s">
        <v>752</v>
      </c>
      <c r="O114" s="185" t="s">
        <v>784</v>
      </c>
      <c r="P114" s="190"/>
      <c r="Q114" s="190"/>
      <c r="R114" s="190"/>
      <c r="S114" s="190"/>
      <c r="T114" s="190"/>
      <c r="U114" s="190"/>
      <c r="V114" s="189" t="s">
        <v>1701</v>
      </c>
      <c r="W114" s="189" t="s">
        <v>1702</v>
      </c>
      <c r="X114" s="185" t="s">
        <v>1703</v>
      </c>
      <c r="Y114" s="189" t="s">
        <v>784</v>
      </c>
      <c r="Z114" s="190"/>
      <c r="AA114" s="189" t="s">
        <v>757</v>
      </c>
      <c r="AB114" s="191"/>
      <c r="AC114" s="191"/>
      <c r="AD114" s="191"/>
      <c r="AE114" s="191"/>
      <c r="AF114" s="191"/>
      <c r="AG114" s="191"/>
      <c r="AH114" s="191"/>
      <c r="AI114" s="191"/>
      <c r="AJ114" s="191"/>
      <c r="AK114" s="191"/>
      <c r="AL114" s="191"/>
      <c r="AM114" s="191"/>
      <c r="AN114" s="191"/>
      <c r="AO114" s="191"/>
      <c r="AP114" s="191"/>
      <c r="AQ114" s="191"/>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N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2"/>
      <c r="CI114" s="192"/>
      <c r="CJ114" s="192"/>
      <c r="CK114" s="192"/>
      <c r="CL114" s="192"/>
      <c r="CM114" s="192"/>
      <c r="CN114" s="192"/>
      <c r="CO114" s="192"/>
      <c r="CP114" s="192"/>
      <c r="CQ114" s="192"/>
      <c r="CR114" s="192"/>
      <c r="CS114" s="192"/>
      <c r="CT114" s="192"/>
    </row>
    <row r="115" ht="26.25" customHeight="1">
      <c r="A115" s="184" t="s">
        <v>184</v>
      </c>
      <c r="B115" s="184" t="s">
        <v>1665</v>
      </c>
      <c r="C115" s="184" t="s">
        <v>626</v>
      </c>
      <c r="D115" s="185" t="s">
        <v>743</v>
      </c>
      <c r="E115" s="186" t="s">
        <v>946</v>
      </c>
      <c r="F115" s="211" t="s">
        <v>745</v>
      </c>
      <c r="G115" s="188">
        <v>0.5451388888888888</v>
      </c>
      <c r="H115" s="189" t="s">
        <v>1704</v>
      </c>
      <c r="I115" s="189" t="s">
        <v>1705</v>
      </c>
      <c r="J115" s="189" t="s">
        <v>1706</v>
      </c>
      <c r="K115" s="189" t="s">
        <v>1707</v>
      </c>
      <c r="L115" s="189" t="s">
        <v>1708</v>
      </c>
      <c r="M115" s="185" t="s">
        <v>1709</v>
      </c>
      <c r="N115" s="189" t="s">
        <v>752</v>
      </c>
      <c r="O115" s="185" t="s">
        <v>893</v>
      </c>
      <c r="P115" s="189" t="s">
        <v>1710</v>
      </c>
      <c r="Q115" s="189" t="s">
        <v>1711</v>
      </c>
      <c r="R115" s="189" t="s">
        <v>1712</v>
      </c>
      <c r="S115" s="189" t="s">
        <v>1116</v>
      </c>
      <c r="T115" s="190"/>
      <c r="U115" s="190"/>
      <c r="V115" s="189" t="s">
        <v>1713</v>
      </c>
      <c r="W115" s="189" t="s">
        <v>1714</v>
      </c>
      <c r="X115" s="185" t="s">
        <v>1715</v>
      </c>
      <c r="Y115" s="189" t="s">
        <v>893</v>
      </c>
      <c r="Z115" s="190"/>
      <c r="AA115" s="189" t="s">
        <v>757</v>
      </c>
      <c r="AB115" s="191"/>
      <c r="AC115" s="191"/>
      <c r="AD115" s="191"/>
      <c r="AE115" s="191"/>
      <c r="AF115" s="191"/>
      <c r="AG115" s="191"/>
      <c r="AH115" s="191"/>
      <c r="AI115" s="191"/>
      <c r="AJ115" s="191"/>
      <c r="AK115" s="191"/>
      <c r="AL115" s="191"/>
      <c r="AM115" s="191"/>
      <c r="AN115" s="191"/>
      <c r="AO115" s="191"/>
      <c r="AP115" s="191"/>
      <c r="AQ115" s="191"/>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N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2"/>
      <c r="CI115" s="192"/>
      <c r="CJ115" s="192"/>
      <c r="CK115" s="192"/>
      <c r="CL115" s="192"/>
      <c r="CM115" s="192"/>
      <c r="CN115" s="192"/>
      <c r="CO115" s="192"/>
      <c r="CP115" s="192"/>
      <c r="CQ115" s="192"/>
      <c r="CR115" s="192"/>
      <c r="CS115" s="192"/>
      <c r="CT115" s="192"/>
    </row>
    <row r="116" ht="26.25" customHeight="1">
      <c r="A116" s="184" t="s">
        <v>183</v>
      </c>
      <c r="B116" s="184" t="s">
        <v>1665</v>
      </c>
      <c r="C116" s="184" t="s">
        <v>626</v>
      </c>
      <c r="D116" s="185" t="s">
        <v>743</v>
      </c>
      <c r="E116" s="186" t="s">
        <v>946</v>
      </c>
      <c r="F116" s="211" t="s">
        <v>745</v>
      </c>
      <c r="G116" s="188">
        <v>0.5590277777777778</v>
      </c>
      <c r="H116" s="189" t="s">
        <v>1716</v>
      </c>
      <c r="I116" s="189" t="s">
        <v>1717</v>
      </c>
      <c r="J116" s="189" t="s">
        <v>1718</v>
      </c>
      <c r="K116" s="189" t="s">
        <v>1719</v>
      </c>
      <c r="L116" s="189" t="s">
        <v>1720</v>
      </c>
      <c r="M116" s="185" t="s">
        <v>1721</v>
      </c>
      <c r="N116" s="189" t="s">
        <v>752</v>
      </c>
      <c r="O116" s="185" t="s">
        <v>764</v>
      </c>
      <c r="P116" s="190"/>
      <c r="Q116" s="190"/>
      <c r="R116" s="190"/>
      <c r="S116" s="190"/>
      <c r="T116" s="190"/>
      <c r="U116" s="190"/>
      <c r="V116" s="189" t="s">
        <v>1356</v>
      </c>
      <c r="W116" s="189" t="s">
        <v>1062</v>
      </c>
      <c r="X116" s="185" t="s">
        <v>1357</v>
      </c>
      <c r="Y116" s="189" t="s">
        <v>764</v>
      </c>
      <c r="Z116" s="190"/>
      <c r="AA116" s="189" t="s">
        <v>797</v>
      </c>
      <c r="AB116" s="191"/>
      <c r="AC116" s="191"/>
      <c r="AD116" s="191"/>
      <c r="AE116" s="191"/>
      <c r="AF116" s="191"/>
      <c r="AG116" s="191"/>
      <c r="AH116" s="191"/>
      <c r="AI116" s="191"/>
      <c r="AJ116" s="191"/>
      <c r="AK116" s="191"/>
      <c r="AL116" s="191"/>
      <c r="AM116" s="191"/>
      <c r="AN116" s="191"/>
      <c r="AO116" s="191"/>
      <c r="AP116" s="191"/>
      <c r="AQ116" s="191"/>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N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2"/>
      <c r="CI116" s="192"/>
      <c r="CJ116" s="192"/>
      <c r="CK116" s="192"/>
      <c r="CL116" s="192"/>
      <c r="CM116" s="192"/>
      <c r="CN116" s="192"/>
      <c r="CO116" s="192"/>
      <c r="CP116" s="192"/>
      <c r="CQ116" s="192"/>
      <c r="CR116" s="192"/>
      <c r="CS116" s="192"/>
      <c r="CT116" s="192"/>
    </row>
    <row r="117" ht="26.25" customHeight="1">
      <c r="A117" s="184" t="s">
        <v>181</v>
      </c>
      <c r="B117" s="184" t="s">
        <v>1665</v>
      </c>
      <c r="C117" s="184" t="s">
        <v>626</v>
      </c>
      <c r="D117" s="185" t="s">
        <v>743</v>
      </c>
      <c r="E117" s="186" t="s">
        <v>946</v>
      </c>
      <c r="F117" s="211" t="s">
        <v>745</v>
      </c>
      <c r="G117" s="188">
        <v>0.5729166666666666</v>
      </c>
      <c r="H117" s="189" t="s">
        <v>1722</v>
      </c>
      <c r="I117" s="189" t="s">
        <v>1723</v>
      </c>
      <c r="J117" s="189" t="s">
        <v>1724</v>
      </c>
      <c r="K117" s="189" t="s">
        <v>1725</v>
      </c>
      <c r="L117" s="189" t="s">
        <v>1726</v>
      </c>
      <c r="M117" s="185" t="s">
        <v>1727</v>
      </c>
      <c r="N117" s="189" t="s">
        <v>752</v>
      </c>
      <c r="O117" s="185" t="s">
        <v>764</v>
      </c>
      <c r="P117" s="190"/>
      <c r="Q117" s="190"/>
      <c r="R117" s="190"/>
      <c r="S117" s="190"/>
      <c r="T117" s="190"/>
      <c r="U117" s="190"/>
      <c r="V117" s="189" t="s">
        <v>1492</v>
      </c>
      <c r="W117" s="189" t="s">
        <v>1493</v>
      </c>
      <c r="X117" s="185" t="s">
        <v>1494</v>
      </c>
      <c r="Y117" s="189" t="s">
        <v>764</v>
      </c>
      <c r="Z117" s="190"/>
      <c r="AA117" s="189" t="s">
        <v>757</v>
      </c>
      <c r="AB117" s="191"/>
      <c r="AC117" s="191"/>
      <c r="AD117" s="191"/>
      <c r="AE117" s="191"/>
      <c r="AF117" s="191"/>
      <c r="AG117" s="191"/>
      <c r="AH117" s="191"/>
      <c r="AI117" s="191"/>
      <c r="AJ117" s="191"/>
      <c r="AK117" s="191"/>
      <c r="AL117" s="191"/>
      <c r="AM117" s="191"/>
      <c r="AN117" s="191"/>
      <c r="AO117" s="191"/>
      <c r="AP117" s="191"/>
      <c r="AQ117" s="191"/>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N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2"/>
      <c r="CI117" s="192"/>
      <c r="CJ117" s="192"/>
      <c r="CK117" s="192"/>
      <c r="CL117" s="192"/>
      <c r="CM117" s="192"/>
      <c r="CN117" s="192"/>
      <c r="CO117" s="192"/>
      <c r="CP117" s="192"/>
      <c r="CQ117" s="192"/>
      <c r="CR117" s="192"/>
      <c r="CS117" s="192"/>
      <c r="CT117" s="192"/>
    </row>
    <row r="118" ht="26.25" customHeight="1">
      <c r="A118" s="220" t="s">
        <v>179</v>
      </c>
      <c r="B118" s="220" t="s">
        <v>1665</v>
      </c>
      <c r="C118" s="220" t="s">
        <v>626</v>
      </c>
      <c r="D118" s="185" t="s">
        <v>743</v>
      </c>
      <c r="E118" s="221" t="s">
        <v>946</v>
      </c>
      <c r="F118" s="229" t="s">
        <v>745</v>
      </c>
      <c r="G118" s="223">
        <v>0.5868055555555556</v>
      </c>
      <c r="H118" s="224" t="s">
        <v>1728</v>
      </c>
      <c r="I118" s="224" t="s">
        <v>1729</v>
      </c>
      <c r="J118" s="224" t="s">
        <v>1730</v>
      </c>
      <c r="K118" s="224" t="s">
        <v>1347</v>
      </c>
      <c r="L118" s="224" t="s">
        <v>1731</v>
      </c>
      <c r="M118" s="225" t="s">
        <v>1732</v>
      </c>
      <c r="N118" s="224" t="s">
        <v>752</v>
      </c>
      <c r="O118" s="225" t="s">
        <v>764</v>
      </c>
      <c r="P118" s="190"/>
      <c r="Q118" s="190"/>
      <c r="R118" s="190"/>
      <c r="S118" s="190"/>
      <c r="T118" s="190"/>
      <c r="U118" s="190"/>
      <c r="V118" s="224" t="s">
        <v>1733</v>
      </c>
      <c r="W118" s="224" t="s">
        <v>1734</v>
      </c>
      <c r="X118" s="225" t="s">
        <v>1735</v>
      </c>
      <c r="Y118" s="224" t="s">
        <v>777</v>
      </c>
      <c r="Z118" s="190"/>
      <c r="AA118" s="224" t="s">
        <v>797</v>
      </c>
      <c r="AB118" s="191"/>
      <c r="AC118" s="191"/>
      <c r="AD118" s="191"/>
      <c r="AE118" s="191"/>
      <c r="AF118" s="191"/>
      <c r="AG118" s="191"/>
      <c r="AH118" s="191"/>
      <c r="AI118" s="191"/>
      <c r="AJ118" s="191"/>
      <c r="AK118" s="191"/>
      <c r="AL118" s="191"/>
      <c r="AM118" s="191"/>
      <c r="AN118" s="191"/>
      <c r="AO118" s="191"/>
      <c r="AP118" s="191"/>
      <c r="AQ118" s="191"/>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N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2"/>
      <c r="CI118" s="192"/>
      <c r="CJ118" s="192"/>
      <c r="CK118" s="192"/>
      <c r="CL118" s="192"/>
      <c r="CM118" s="192"/>
      <c r="CN118" s="192"/>
      <c r="CO118" s="192"/>
      <c r="CP118" s="192"/>
      <c r="CQ118" s="192"/>
      <c r="CR118" s="192"/>
      <c r="CS118" s="192"/>
      <c r="CT118" s="192"/>
    </row>
    <row r="119" ht="26.25" customHeight="1">
      <c r="A119" s="184" t="s">
        <v>182</v>
      </c>
      <c r="B119" s="184" t="s">
        <v>1665</v>
      </c>
      <c r="C119" s="184" t="s">
        <v>626</v>
      </c>
      <c r="D119" s="185" t="s">
        <v>743</v>
      </c>
      <c r="E119" s="186" t="s">
        <v>946</v>
      </c>
      <c r="F119" s="211" t="s">
        <v>745</v>
      </c>
      <c r="G119" s="188">
        <v>0.6006944444444444</v>
      </c>
      <c r="H119" s="189" t="s">
        <v>1736</v>
      </c>
      <c r="I119" s="185" t="s">
        <v>1737</v>
      </c>
      <c r="J119" s="185" t="s">
        <v>1738</v>
      </c>
      <c r="K119" s="189" t="s">
        <v>1739</v>
      </c>
      <c r="L119" s="189" t="s">
        <v>1740</v>
      </c>
      <c r="M119" s="185" t="s">
        <v>1741</v>
      </c>
      <c r="N119" s="189" t="s">
        <v>752</v>
      </c>
      <c r="O119" s="185" t="s">
        <v>764</v>
      </c>
      <c r="P119" s="190"/>
      <c r="Q119" s="190"/>
      <c r="R119" s="190"/>
      <c r="S119" s="190"/>
      <c r="T119" s="190"/>
      <c r="U119" s="190"/>
      <c r="V119" s="189" t="s">
        <v>954</v>
      </c>
      <c r="W119" s="189" t="s">
        <v>955</v>
      </c>
      <c r="X119" s="185" t="s">
        <v>956</v>
      </c>
      <c r="Y119" s="189" t="s">
        <v>764</v>
      </c>
      <c r="Z119" s="190"/>
      <c r="AA119" s="189" t="s">
        <v>757</v>
      </c>
      <c r="AB119" s="191"/>
      <c r="AC119" s="191"/>
      <c r="AD119" s="191"/>
      <c r="AE119" s="191"/>
      <c r="AF119" s="191"/>
      <c r="AG119" s="191"/>
      <c r="AH119" s="191"/>
      <c r="AI119" s="191"/>
      <c r="AJ119" s="191"/>
      <c r="AK119" s="191"/>
      <c r="AL119" s="191"/>
      <c r="AM119" s="191"/>
      <c r="AN119" s="191"/>
      <c r="AO119" s="191"/>
      <c r="AP119" s="191"/>
      <c r="AQ119" s="191"/>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N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2"/>
      <c r="CI119" s="192"/>
      <c r="CJ119" s="192"/>
      <c r="CK119" s="192"/>
      <c r="CL119" s="192"/>
      <c r="CM119" s="192"/>
      <c r="CN119" s="192"/>
      <c r="CO119" s="192"/>
      <c r="CP119" s="192"/>
      <c r="CQ119" s="192"/>
      <c r="CR119" s="192"/>
      <c r="CS119" s="192"/>
      <c r="CT119" s="192"/>
    </row>
    <row r="120" ht="26.25" customHeight="1">
      <c r="A120" s="184" t="s">
        <v>180</v>
      </c>
      <c r="B120" s="184" t="s">
        <v>1665</v>
      </c>
      <c r="C120" s="184" t="s">
        <v>626</v>
      </c>
      <c r="D120" s="185" t="s">
        <v>743</v>
      </c>
      <c r="E120" s="186" t="s">
        <v>946</v>
      </c>
      <c r="F120" s="187" t="s">
        <v>745</v>
      </c>
      <c r="G120" s="188">
        <v>0.6145833333333334</v>
      </c>
      <c r="H120" s="189" t="s">
        <v>1742</v>
      </c>
      <c r="I120" s="189" t="s">
        <v>1743</v>
      </c>
      <c r="J120" s="189" t="s">
        <v>1744</v>
      </c>
      <c r="K120" s="189" t="s">
        <v>1590</v>
      </c>
      <c r="L120" s="189" t="s">
        <v>1745</v>
      </c>
      <c r="M120" s="185" t="s">
        <v>1746</v>
      </c>
      <c r="N120" s="189" t="s">
        <v>752</v>
      </c>
      <c r="O120" s="185" t="s">
        <v>764</v>
      </c>
      <c r="P120" s="190"/>
      <c r="Q120" s="190"/>
      <c r="R120" s="190"/>
      <c r="S120" s="190"/>
      <c r="T120" s="190"/>
      <c r="U120" s="190"/>
      <c r="V120" s="189" t="s">
        <v>1747</v>
      </c>
      <c r="W120" s="189" t="s">
        <v>1748</v>
      </c>
      <c r="X120" s="185" t="s">
        <v>1749</v>
      </c>
      <c r="Y120" s="189" t="s">
        <v>1376</v>
      </c>
      <c r="Z120" s="190"/>
      <c r="AA120" s="189" t="s">
        <v>757</v>
      </c>
      <c r="AB120" s="191"/>
      <c r="AC120" s="191"/>
      <c r="AD120" s="191"/>
      <c r="AE120" s="191"/>
      <c r="AF120" s="191"/>
      <c r="AG120" s="191"/>
      <c r="AH120" s="191"/>
      <c r="AI120" s="191"/>
      <c r="AJ120" s="191"/>
      <c r="AK120" s="191"/>
      <c r="AL120" s="191"/>
      <c r="AM120" s="191"/>
      <c r="AN120" s="191"/>
      <c r="AO120" s="191"/>
      <c r="AP120" s="191"/>
      <c r="AQ120" s="191"/>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N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2"/>
      <c r="CI120" s="192"/>
      <c r="CJ120" s="192"/>
      <c r="CK120" s="192"/>
      <c r="CL120" s="192"/>
      <c r="CM120" s="192"/>
      <c r="CN120" s="192"/>
      <c r="CO120" s="192"/>
      <c r="CP120" s="192"/>
      <c r="CQ120" s="192"/>
      <c r="CR120" s="192"/>
      <c r="CS120" s="192"/>
      <c r="CT120" s="192"/>
    </row>
    <row r="121" ht="26.25" customHeight="1">
      <c r="A121" s="184" t="s">
        <v>188</v>
      </c>
      <c r="B121" s="184" t="s">
        <v>1665</v>
      </c>
      <c r="C121" s="184" t="s">
        <v>627</v>
      </c>
      <c r="D121" s="185" t="s">
        <v>743</v>
      </c>
      <c r="E121" s="186" t="s">
        <v>1049</v>
      </c>
      <c r="F121" s="187" t="s">
        <v>1162</v>
      </c>
      <c r="G121" s="188">
        <v>0.5451388888888888</v>
      </c>
      <c r="H121" s="189" t="s">
        <v>1750</v>
      </c>
      <c r="I121" s="189" t="s">
        <v>1751</v>
      </c>
      <c r="J121" s="189" t="s">
        <v>1752</v>
      </c>
      <c r="K121" s="189" t="s">
        <v>1753</v>
      </c>
      <c r="L121" s="189" t="s">
        <v>1754</v>
      </c>
      <c r="M121" s="185" t="s">
        <v>1755</v>
      </c>
      <c r="N121" s="189" t="s">
        <v>752</v>
      </c>
      <c r="O121" s="185" t="s">
        <v>784</v>
      </c>
      <c r="P121" s="190"/>
      <c r="Q121" s="190"/>
      <c r="R121" s="190"/>
      <c r="S121" s="190"/>
      <c r="T121" s="190"/>
      <c r="U121" s="190"/>
      <c r="V121" s="189" t="s">
        <v>1067</v>
      </c>
      <c r="W121" s="189" t="s">
        <v>1068</v>
      </c>
      <c r="X121" s="185" t="s">
        <v>1069</v>
      </c>
      <c r="Y121" s="189" t="s">
        <v>784</v>
      </c>
      <c r="Z121" s="190"/>
      <c r="AA121" s="189" t="s">
        <v>1088</v>
      </c>
      <c r="AB121" s="191"/>
      <c r="AC121" s="191"/>
      <c r="AD121" s="191"/>
      <c r="AE121" s="191"/>
      <c r="AF121" s="191"/>
      <c r="AG121" s="191"/>
      <c r="AH121" s="191"/>
      <c r="AI121" s="191"/>
      <c r="AJ121" s="191"/>
      <c r="AK121" s="191"/>
      <c r="AL121" s="191"/>
      <c r="AM121" s="191"/>
      <c r="AN121" s="191"/>
      <c r="AO121" s="191"/>
      <c r="AP121" s="191"/>
      <c r="AQ121" s="191"/>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N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2"/>
      <c r="CI121" s="192"/>
      <c r="CJ121" s="192"/>
      <c r="CK121" s="192"/>
      <c r="CL121" s="192"/>
      <c r="CM121" s="192"/>
      <c r="CN121" s="192"/>
      <c r="CO121" s="192"/>
      <c r="CP121" s="192"/>
      <c r="CQ121" s="192"/>
      <c r="CR121" s="192"/>
      <c r="CS121" s="192"/>
      <c r="CT121" s="192"/>
    </row>
    <row r="122" ht="26.25" customHeight="1">
      <c r="A122" s="184" t="s">
        <v>189</v>
      </c>
      <c r="B122" s="184" t="s">
        <v>1665</v>
      </c>
      <c r="C122" s="184" t="s">
        <v>627</v>
      </c>
      <c r="D122" s="185" t="s">
        <v>743</v>
      </c>
      <c r="E122" s="186" t="s">
        <v>1049</v>
      </c>
      <c r="F122" s="187" t="s">
        <v>1162</v>
      </c>
      <c r="G122" s="188">
        <v>0.5590277777777778</v>
      </c>
      <c r="H122" s="189" t="s">
        <v>1579</v>
      </c>
      <c r="I122" s="189" t="s">
        <v>1756</v>
      </c>
      <c r="J122" s="189" t="s">
        <v>1757</v>
      </c>
      <c r="K122" s="189" t="s">
        <v>1758</v>
      </c>
      <c r="L122" s="189" t="s">
        <v>1759</v>
      </c>
      <c r="M122" s="185" t="s">
        <v>1760</v>
      </c>
      <c r="N122" s="189" t="s">
        <v>752</v>
      </c>
      <c r="O122" s="185" t="s">
        <v>753</v>
      </c>
      <c r="P122" s="190"/>
      <c r="Q122" s="190"/>
      <c r="R122" s="190"/>
      <c r="S122" s="190"/>
      <c r="T122" s="190"/>
      <c r="U122" s="190"/>
      <c r="V122" s="189" t="s">
        <v>1761</v>
      </c>
      <c r="W122" s="189" t="s">
        <v>1762</v>
      </c>
      <c r="X122" s="185" t="s">
        <v>1763</v>
      </c>
      <c r="Y122" s="189" t="s">
        <v>753</v>
      </c>
      <c r="Z122" s="190"/>
      <c r="AA122" s="189" t="s">
        <v>797</v>
      </c>
      <c r="AB122" s="191"/>
      <c r="AC122" s="191"/>
      <c r="AD122" s="191"/>
      <c r="AE122" s="191"/>
      <c r="AF122" s="191"/>
      <c r="AG122" s="191"/>
      <c r="AH122" s="191"/>
      <c r="AI122" s="191"/>
      <c r="AJ122" s="191"/>
      <c r="AK122" s="191"/>
      <c r="AL122" s="191"/>
      <c r="AM122" s="191"/>
      <c r="AN122" s="191"/>
      <c r="AO122" s="191"/>
      <c r="AP122" s="191"/>
      <c r="AQ122" s="191"/>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N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2"/>
      <c r="CI122" s="192"/>
      <c r="CJ122" s="192"/>
      <c r="CK122" s="192"/>
      <c r="CL122" s="192"/>
      <c r="CM122" s="192"/>
      <c r="CN122" s="192"/>
      <c r="CO122" s="192"/>
      <c r="CP122" s="192"/>
      <c r="CQ122" s="192"/>
      <c r="CR122" s="192"/>
      <c r="CS122" s="192"/>
      <c r="CT122" s="192"/>
    </row>
    <row r="123" ht="26.25" customHeight="1">
      <c r="A123" s="184" t="s">
        <v>186</v>
      </c>
      <c r="B123" s="184" t="s">
        <v>1665</v>
      </c>
      <c r="C123" s="184" t="s">
        <v>627</v>
      </c>
      <c r="D123" s="185" t="s">
        <v>743</v>
      </c>
      <c r="E123" s="186" t="s">
        <v>1049</v>
      </c>
      <c r="F123" s="187" t="s">
        <v>1162</v>
      </c>
      <c r="G123" s="188">
        <v>0.5729166666666666</v>
      </c>
      <c r="H123" s="189" t="s">
        <v>1764</v>
      </c>
      <c r="I123" s="189" t="s">
        <v>1765</v>
      </c>
      <c r="J123" s="189" t="s">
        <v>1766</v>
      </c>
      <c r="K123" s="189" t="s">
        <v>1767</v>
      </c>
      <c r="L123" s="189" t="s">
        <v>1768</v>
      </c>
      <c r="M123" s="185" t="s">
        <v>1769</v>
      </c>
      <c r="N123" s="189" t="s">
        <v>752</v>
      </c>
      <c r="O123" s="185" t="s">
        <v>753</v>
      </c>
      <c r="P123" s="190"/>
      <c r="Q123" s="190"/>
      <c r="R123" s="190"/>
      <c r="S123" s="190"/>
      <c r="T123" s="190"/>
      <c r="U123" s="190"/>
      <c r="V123" s="189" t="s">
        <v>1770</v>
      </c>
      <c r="W123" s="189" t="s">
        <v>1771</v>
      </c>
      <c r="X123" s="185" t="s">
        <v>1772</v>
      </c>
      <c r="Y123" s="189" t="s">
        <v>753</v>
      </c>
      <c r="Z123" s="190"/>
      <c r="AA123" s="189" t="s">
        <v>757</v>
      </c>
      <c r="AB123" s="191"/>
      <c r="AC123" s="191"/>
      <c r="AD123" s="191"/>
      <c r="AE123" s="191"/>
      <c r="AF123" s="191"/>
      <c r="AG123" s="191"/>
      <c r="AH123" s="191"/>
      <c r="AI123" s="191"/>
      <c r="AJ123" s="191"/>
      <c r="AK123" s="191"/>
      <c r="AL123" s="191"/>
      <c r="AM123" s="191"/>
      <c r="AN123" s="191"/>
      <c r="AO123" s="191"/>
      <c r="AP123" s="191"/>
      <c r="AQ123" s="191"/>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N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2"/>
      <c r="CI123" s="192"/>
      <c r="CJ123" s="192"/>
      <c r="CK123" s="192"/>
      <c r="CL123" s="192"/>
      <c r="CM123" s="192"/>
      <c r="CN123" s="192"/>
      <c r="CO123" s="192"/>
      <c r="CP123" s="192"/>
      <c r="CQ123" s="192"/>
      <c r="CR123" s="192"/>
      <c r="CS123" s="192"/>
      <c r="CT123" s="192"/>
    </row>
    <row r="124" ht="26.25" customHeight="1">
      <c r="A124" s="184" t="s">
        <v>190</v>
      </c>
      <c r="B124" s="184" t="s">
        <v>1665</v>
      </c>
      <c r="C124" s="184" t="s">
        <v>627</v>
      </c>
      <c r="D124" s="185" t="s">
        <v>743</v>
      </c>
      <c r="E124" s="186" t="s">
        <v>1049</v>
      </c>
      <c r="F124" s="187" t="s">
        <v>1162</v>
      </c>
      <c r="G124" s="188">
        <v>0.5868055555555556</v>
      </c>
      <c r="H124" s="189" t="s">
        <v>1773</v>
      </c>
      <c r="I124" s="189" t="s">
        <v>1774</v>
      </c>
      <c r="J124" s="189" t="s">
        <v>1775</v>
      </c>
      <c r="K124" s="189" t="s">
        <v>1776</v>
      </c>
      <c r="L124" s="189" t="s">
        <v>1777</v>
      </c>
      <c r="M124" s="185" t="s">
        <v>1778</v>
      </c>
      <c r="N124" s="189" t="s">
        <v>752</v>
      </c>
      <c r="O124" s="185" t="s">
        <v>784</v>
      </c>
      <c r="P124" s="190"/>
      <c r="Q124" s="190"/>
      <c r="R124" s="190"/>
      <c r="S124" s="190"/>
      <c r="T124" s="190"/>
      <c r="U124" s="190"/>
      <c r="V124" s="189" t="s">
        <v>1779</v>
      </c>
      <c r="W124" s="189" t="s">
        <v>1780</v>
      </c>
      <c r="X124" s="185" t="s">
        <v>1781</v>
      </c>
      <c r="Y124" s="189" t="s">
        <v>784</v>
      </c>
      <c r="Z124" s="190"/>
      <c r="AA124" s="189" t="s">
        <v>1782</v>
      </c>
      <c r="AB124" s="191"/>
      <c r="AC124" s="191"/>
      <c r="AD124" s="191"/>
      <c r="AE124" s="191"/>
      <c r="AF124" s="191"/>
      <c r="AG124" s="191"/>
      <c r="AH124" s="191"/>
      <c r="AI124" s="191"/>
      <c r="AJ124" s="191"/>
      <c r="AK124" s="191"/>
      <c r="AL124" s="191"/>
      <c r="AM124" s="191"/>
      <c r="AN124" s="191"/>
      <c r="AO124" s="191"/>
      <c r="AP124" s="191"/>
      <c r="AQ124" s="191"/>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N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2"/>
      <c r="CI124" s="192"/>
      <c r="CJ124" s="192"/>
      <c r="CK124" s="192"/>
      <c r="CL124" s="192"/>
      <c r="CM124" s="192"/>
      <c r="CN124" s="192"/>
      <c r="CO124" s="192"/>
      <c r="CP124" s="192"/>
      <c r="CQ124" s="192"/>
      <c r="CR124" s="192"/>
      <c r="CS124" s="192"/>
      <c r="CT124" s="192"/>
    </row>
    <row r="125" ht="26.25" customHeight="1">
      <c r="A125" s="184" t="s">
        <v>191</v>
      </c>
      <c r="B125" s="184" t="s">
        <v>1665</v>
      </c>
      <c r="C125" s="184" t="s">
        <v>627</v>
      </c>
      <c r="D125" s="185" t="s">
        <v>743</v>
      </c>
      <c r="E125" s="186" t="s">
        <v>1049</v>
      </c>
      <c r="F125" s="207" t="s">
        <v>1162</v>
      </c>
      <c r="G125" s="188">
        <v>0.6006944444444444</v>
      </c>
      <c r="H125" s="189" t="s">
        <v>1783</v>
      </c>
      <c r="I125" s="189" t="s">
        <v>1784</v>
      </c>
      <c r="J125" s="189" t="s">
        <v>1785</v>
      </c>
      <c r="K125" s="189" t="s">
        <v>1786</v>
      </c>
      <c r="L125" s="189" t="s">
        <v>1787</v>
      </c>
      <c r="M125" s="185" t="s">
        <v>1788</v>
      </c>
      <c r="N125" s="189" t="s">
        <v>752</v>
      </c>
      <c r="O125" s="185" t="s">
        <v>1789</v>
      </c>
      <c r="P125" s="190"/>
      <c r="Q125" s="190"/>
      <c r="R125" s="190"/>
      <c r="S125" s="190"/>
      <c r="T125" s="190"/>
      <c r="U125" s="190"/>
      <c r="V125" s="189" t="s">
        <v>1790</v>
      </c>
      <c r="W125" s="189" t="s">
        <v>1791</v>
      </c>
      <c r="X125" s="208" t="s">
        <v>1792</v>
      </c>
      <c r="Y125" s="189" t="s">
        <v>1789</v>
      </c>
      <c r="Z125" s="190"/>
      <c r="AA125" s="189" t="s">
        <v>757</v>
      </c>
      <c r="AB125" s="191"/>
      <c r="AC125" s="191"/>
      <c r="AD125" s="191"/>
      <c r="AE125" s="191"/>
      <c r="AF125" s="191"/>
      <c r="AG125" s="191"/>
      <c r="AH125" s="191"/>
      <c r="AI125" s="191"/>
      <c r="AJ125" s="191"/>
      <c r="AK125" s="191"/>
      <c r="AL125" s="191"/>
      <c r="AM125" s="191"/>
      <c r="AN125" s="191"/>
      <c r="AO125" s="191"/>
      <c r="AP125" s="191"/>
      <c r="AQ125" s="191"/>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N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2"/>
      <c r="CI125" s="192"/>
      <c r="CJ125" s="192"/>
      <c r="CK125" s="192"/>
      <c r="CL125" s="192"/>
      <c r="CM125" s="192"/>
      <c r="CN125" s="192"/>
      <c r="CO125" s="192"/>
      <c r="CP125" s="192"/>
      <c r="CQ125" s="192"/>
      <c r="CR125" s="192"/>
      <c r="CS125" s="192"/>
      <c r="CT125" s="192"/>
    </row>
    <row r="126" ht="26.25" customHeight="1">
      <c r="A126" s="184" t="s">
        <v>185</v>
      </c>
      <c r="B126" s="184" t="s">
        <v>1665</v>
      </c>
      <c r="C126" s="184" t="s">
        <v>627</v>
      </c>
      <c r="D126" s="185" t="s">
        <v>743</v>
      </c>
      <c r="E126" s="186" t="s">
        <v>1049</v>
      </c>
      <c r="F126" s="207" t="s">
        <v>1162</v>
      </c>
      <c r="G126" s="188">
        <v>0.6145833333333334</v>
      </c>
      <c r="H126" s="189" t="s">
        <v>1793</v>
      </c>
      <c r="I126" s="189" t="s">
        <v>1794</v>
      </c>
      <c r="J126" s="189" t="s">
        <v>1795</v>
      </c>
      <c r="K126" s="189" t="s">
        <v>1796</v>
      </c>
      <c r="L126" s="189" t="s">
        <v>1797</v>
      </c>
      <c r="M126" s="185" t="s">
        <v>1798</v>
      </c>
      <c r="N126" s="189" t="s">
        <v>752</v>
      </c>
      <c r="O126" s="185" t="s">
        <v>773</v>
      </c>
      <c r="P126" s="190"/>
      <c r="Q126" s="190"/>
      <c r="R126" s="190"/>
      <c r="S126" s="190"/>
      <c r="T126" s="190"/>
      <c r="U126" s="190"/>
      <c r="V126" s="189" t="s">
        <v>1799</v>
      </c>
      <c r="W126" s="189" t="s">
        <v>1800</v>
      </c>
      <c r="X126" s="208" t="s">
        <v>1801</v>
      </c>
      <c r="Y126" s="189" t="s">
        <v>753</v>
      </c>
      <c r="Z126" s="190"/>
      <c r="AA126" s="189" t="s">
        <v>757</v>
      </c>
      <c r="AB126" s="191"/>
      <c r="AC126" s="191"/>
      <c r="AD126" s="191"/>
      <c r="AE126" s="191"/>
      <c r="AF126" s="191"/>
      <c r="AG126" s="191"/>
      <c r="AH126" s="191"/>
      <c r="AI126" s="191"/>
      <c r="AJ126" s="191"/>
      <c r="AK126" s="191"/>
      <c r="AL126" s="191"/>
      <c r="AM126" s="191"/>
      <c r="AN126" s="191"/>
      <c r="AO126" s="191"/>
      <c r="AP126" s="191"/>
      <c r="AQ126" s="191"/>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N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2"/>
      <c r="CI126" s="192"/>
      <c r="CJ126" s="192"/>
      <c r="CK126" s="192"/>
      <c r="CL126" s="192"/>
      <c r="CM126" s="192"/>
      <c r="CN126" s="192"/>
      <c r="CO126" s="192"/>
      <c r="CP126" s="192"/>
      <c r="CQ126" s="192"/>
      <c r="CR126" s="192"/>
      <c r="CS126" s="192"/>
      <c r="CT126" s="192"/>
    </row>
    <row r="127" ht="26.25" customHeight="1">
      <c r="A127" s="184" t="s">
        <v>195</v>
      </c>
      <c r="B127" s="184" t="s">
        <v>1665</v>
      </c>
      <c r="C127" s="184" t="s">
        <v>628</v>
      </c>
      <c r="D127" s="185" t="s">
        <v>743</v>
      </c>
      <c r="E127" s="186" t="s">
        <v>744</v>
      </c>
      <c r="F127" s="207" t="s">
        <v>901</v>
      </c>
      <c r="G127" s="188">
        <v>0.5451388888888888</v>
      </c>
      <c r="H127" s="189" t="s">
        <v>1802</v>
      </c>
      <c r="I127" s="189" t="s">
        <v>1803</v>
      </c>
      <c r="J127" s="189" t="s">
        <v>1804</v>
      </c>
      <c r="K127" s="189" t="s">
        <v>1805</v>
      </c>
      <c r="L127" s="189" t="s">
        <v>1806</v>
      </c>
      <c r="M127" s="185" t="s">
        <v>1807</v>
      </c>
      <c r="N127" s="189" t="s">
        <v>850</v>
      </c>
      <c r="O127" s="185" t="s">
        <v>784</v>
      </c>
      <c r="P127" s="190"/>
      <c r="Q127" s="190"/>
      <c r="R127" s="190"/>
      <c r="S127" s="190"/>
      <c r="T127" s="190"/>
      <c r="U127" s="190"/>
      <c r="V127" s="189" t="s">
        <v>1808</v>
      </c>
      <c r="W127" s="189" t="s">
        <v>1809</v>
      </c>
      <c r="X127" s="208" t="s">
        <v>1810</v>
      </c>
      <c r="Y127" s="189" t="s">
        <v>784</v>
      </c>
      <c r="Z127" s="189" t="s">
        <v>744</v>
      </c>
      <c r="AA127" s="189" t="s">
        <v>1088</v>
      </c>
      <c r="AB127" s="191"/>
      <c r="AC127" s="191"/>
      <c r="AD127" s="191"/>
      <c r="AE127" s="191"/>
      <c r="AF127" s="191"/>
      <c r="AG127" s="191"/>
      <c r="AH127" s="191"/>
      <c r="AI127" s="191"/>
      <c r="AJ127" s="191"/>
      <c r="AK127" s="191"/>
      <c r="AL127" s="191"/>
      <c r="AM127" s="191"/>
      <c r="AN127" s="191"/>
      <c r="AO127" s="191"/>
      <c r="AP127" s="191"/>
      <c r="AQ127" s="191"/>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N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2"/>
      <c r="CI127" s="192"/>
      <c r="CJ127" s="192"/>
      <c r="CK127" s="192"/>
      <c r="CL127" s="192"/>
      <c r="CM127" s="192"/>
      <c r="CN127" s="192"/>
      <c r="CO127" s="192"/>
      <c r="CP127" s="192"/>
      <c r="CQ127" s="192"/>
      <c r="CR127" s="192"/>
      <c r="CS127" s="192"/>
      <c r="CT127" s="192"/>
    </row>
    <row r="128" ht="26.25" customHeight="1">
      <c r="A128" s="184" t="s">
        <v>193</v>
      </c>
      <c r="B128" s="184" t="s">
        <v>1665</v>
      </c>
      <c r="C128" s="184" t="s">
        <v>628</v>
      </c>
      <c r="D128" s="185" t="s">
        <v>743</v>
      </c>
      <c r="E128" s="186" t="s">
        <v>744</v>
      </c>
      <c r="F128" s="207" t="s">
        <v>901</v>
      </c>
      <c r="G128" s="188">
        <v>0.5590277777777778</v>
      </c>
      <c r="H128" s="189" t="s">
        <v>1811</v>
      </c>
      <c r="I128" s="189" t="s">
        <v>1812</v>
      </c>
      <c r="J128" s="189" t="s">
        <v>1813</v>
      </c>
      <c r="K128" s="189" t="s">
        <v>1814</v>
      </c>
      <c r="L128" s="189" t="s">
        <v>1815</v>
      </c>
      <c r="M128" s="185" t="s">
        <v>1816</v>
      </c>
      <c r="N128" s="189" t="s">
        <v>850</v>
      </c>
      <c r="O128" s="185" t="s">
        <v>753</v>
      </c>
      <c r="P128" s="190"/>
      <c r="Q128" s="190"/>
      <c r="R128" s="190"/>
      <c r="S128" s="190"/>
      <c r="T128" s="190"/>
      <c r="U128" s="190"/>
      <c r="V128" s="189" t="s">
        <v>754</v>
      </c>
      <c r="W128" s="189" t="s">
        <v>1266</v>
      </c>
      <c r="X128" s="208" t="s">
        <v>756</v>
      </c>
      <c r="Y128" s="189" t="s">
        <v>753</v>
      </c>
      <c r="Z128" s="189" t="s">
        <v>744</v>
      </c>
      <c r="AA128" s="189" t="s">
        <v>757</v>
      </c>
      <c r="AB128" s="191"/>
      <c r="AC128" s="191"/>
      <c r="AD128" s="191"/>
      <c r="AE128" s="191"/>
      <c r="AF128" s="191"/>
      <c r="AG128" s="191"/>
      <c r="AH128" s="191"/>
      <c r="AI128" s="191"/>
      <c r="AJ128" s="191"/>
      <c r="AK128" s="191"/>
      <c r="AL128" s="191"/>
      <c r="AM128" s="191"/>
      <c r="AN128" s="191"/>
      <c r="AO128" s="191"/>
      <c r="AP128" s="191"/>
      <c r="AQ128" s="191"/>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N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2"/>
      <c r="CI128" s="192"/>
      <c r="CJ128" s="192"/>
      <c r="CK128" s="192"/>
      <c r="CL128" s="192"/>
      <c r="CM128" s="192"/>
      <c r="CN128" s="192"/>
      <c r="CO128" s="192"/>
      <c r="CP128" s="192"/>
      <c r="CQ128" s="192"/>
      <c r="CR128" s="192"/>
      <c r="CS128" s="192"/>
      <c r="CT128" s="192"/>
    </row>
    <row r="129" ht="26.25" customHeight="1">
      <c r="A129" s="184" t="s">
        <v>192</v>
      </c>
      <c r="B129" s="184" t="s">
        <v>1665</v>
      </c>
      <c r="C129" s="184" t="s">
        <v>628</v>
      </c>
      <c r="D129" s="185" t="s">
        <v>743</v>
      </c>
      <c r="E129" s="186" t="s">
        <v>744</v>
      </c>
      <c r="F129" s="207" t="s">
        <v>901</v>
      </c>
      <c r="G129" s="188">
        <v>0.5729166666666666</v>
      </c>
      <c r="H129" s="189" t="s">
        <v>1817</v>
      </c>
      <c r="I129" s="189" t="s">
        <v>1818</v>
      </c>
      <c r="J129" s="189" t="s">
        <v>1819</v>
      </c>
      <c r="K129" s="189" t="s">
        <v>1820</v>
      </c>
      <c r="L129" s="189" t="s">
        <v>1821</v>
      </c>
      <c r="M129" s="185" t="s">
        <v>1822</v>
      </c>
      <c r="N129" s="189" t="s">
        <v>850</v>
      </c>
      <c r="O129" s="185" t="s">
        <v>893</v>
      </c>
      <c r="P129" s="190"/>
      <c r="Q129" s="190"/>
      <c r="R129" s="190"/>
      <c r="S129" s="190"/>
      <c r="T129" s="190"/>
      <c r="U129" s="190"/>
      <c r="V129" s="189" t="s">
        <v>1386</v>
      </c>
      <c r="W129" s="189" t="s">
        <v>1823</v>
      </c>
      <c r="X129" s="208" t="s">
        <v>1824</v>
      </c>
      <c r="Y129" s="189" t="s">
        <v>893</v>
      </c>
      <c r="Z129" s="189" t="s">
        <v>744</v>
      </c>
      <c r="AA129" s="189" t="s">
        <v>757</v>
      </c>
      <c r="AB129" s="191"/>
      <c r="AC129" s="191"/>
      <c r="AD129" s="191"/>
      <c r="AE129" s="191"/>
      <c r="AF129" s="191"/>
      <c r="AG129" s="191"/>
      <c r="AH129" s="191"/>
      <c r="AI129" s="191"/>
      <c r="AJ129" s="191"/>
      <c r="AK129" s="191"/>
      <c r="AL129" s="191"/>
      <c r="AM129" s="191"/>
      <c r="AN129" s="191"/>
      <c r="AO129" s="191"/>
      <c r="AP129" s="191"/>
      <c r="AQ129" s="191"/>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N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2"/>
      <c r="CI129" s="192"/>
      <c r="CJ129" s="192"/>
      <c r="CK129" s="192"/>
      <c r="CL129" s="192"/>
      <c r="CM129" s="192"/>
      <c r="CN129" s="192"/>
      <c r="CO129" s="192"/>
      <c r="CP129" s="192"/>
      <c r="CQ129" s="192"/>
      <c r="CR129" s="192"/>
      <c r="CS129" s="192"/>
      <c r="CT129" s="192"/>
    </row>
    <row r="130" ht="26.25" customHeight="1">
      <c r="A130" s="184" t="s">
        <v>194</v>
      </c>
      <c r="B130" s="184" t="s">
        <v>1665</v>
      </c>
      <c r="C130" s="184" t="s">
        <v>628</v>
      </c>
      <c r="D130" s="185" t="s">
        <v>743</v>
      </c>
      <c r="E130" s="186" t="s">
        <v>744</v>
      </c>
      <c r="F130" s="207" t="s">
        <v>901</v>
      </c>
      <c r="G130" s="188">
        <v>0.5868055555555556</v>
      </c>
      <c r="H130" s="189" t="s">
        <v>1825</v>
      </c>
      <c r="I130" s="189" t="s">
        <v>1826</v>
      </c>
      <c r="J130" s="189" t="s">
        <v>1827</v>
      </c>
      <c r="K130" s="189" t="s">
        <v>1828</v>
      </c>
      <c r="L130" s="189" t="s">
        <v>1829</v>
      </c>
      <c r="M130" s="185" t="s">
        <v>1830</v>
      </c>
      <c r="N130" s="189" t="s">
        <v>850</v>
      </c>
      <c r="O130" s="185" t="s">
        <v>893</v>
      </c>
      <c r="P130" s="190"/>
      <c r="Q130" s="190"/>
      <c r="R130" s="190"/>
      <c r="S130" s="190"/>
      <c r="T130" s="190"/>
      <c r="U130" s="190"/>
      <c r="V130" s="189" t="s">
        <v>1425</v>
      </c>
      <c r="W130" s="189" t="s">
        <v>1831</v>
      </c>
      <c r="X130" s="208" t="s">
        <v>1832</v>
      </c>
      <c r="Y130" s="189" t="s">
        <v>893</v>
      </c>
      <c r="Z130" s="189" t="s">
        <v>744</v>
      </c>
      <c r="AA130" s="189" t="s">
        <v>1654</v>
      </c>
      <c r="AB130" s="191"/>
      <c r="AC130" s="191"/>
      <c r="AD130" s="191"/>
      <c r="AE130" s="191"/>
      <c r="AF130" s="191"/>
      <c r="AG130" s="191"/>
      <c r="AH130" s="191"/>
      <c r="AI130" s="191"/>
      <c r="AJ130" s="191"/>
      <c r="AK130" s="191"/>
      <c r="AL130" s="191"/>
      <c r="AM130" s="191"/>
      <c r="AN130" s="191"/>
      <c r="AO130" s="191"/>
      <c r="AP130" s="191"/>
      <c r="AQ130" s="191"/>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N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2"/>
      <c r="CI130" s="192"/>
      <c r="CJ130" s="192"/>
      <c r="CK130" s="192"/>
      <c r="CL130" s="192"/>
      <c r="CM130" s="192"/>
      <c r="CN130" s="192"/>
      <c r="CO130" s="192"/>
      <c r="CP130" s="192"/>
      <c r="CQ130" s="192"/>
      <c r="CR130" s="192"/>
      <c r="CS130" s="192"/>
      <c r="CT130" s="192"/>
    </row>
    <row r="131" ht="26.25" customHeight="1">
      <c r="A131" s="184" t="s">
        <v>196</v>
      </c>
      <c r="B131" s="184" t="s">
        <v>1665</v>
      </c>
      <c r="C131" s="184" t="s">
        <v>628</v>
      </c>
      <c r="D131" s="185" t="s">
        <v>743</v>
      </c>
      <c r="E131" s="186" t="s">
        <v>744</v>
      </c>
      <c r="F131" s="187" t="s">
        <v>901</v>
      </c>
      <c r="G131" s="188">
        <v>0.6006944444444444</v>
      </c>
      <c r="H131" s="189" t="s">
        <v>1141</v>
      </c>
      <c r="I131" s="189" t="s">
        <v>1833</v>
      </c>
      <c r="J131" s="189" t="s">
        <v>1834</v>
      </c>
      <c r="K131" s="189" t="s">
        <v>1835</v>
      </c>
      <c r="L131" s="189" t="s">
        <v>1836</v>
      </c>
      <c r="M131" s="185" t="s">
        <v>1837</v>
      </c>
      <c r="N131" s="189" t="s">
        <v>850</v>
      </c>
      <c r="O131" s="185" t="s">
        <v>784</v>
      </c>
      <c r="P131" s="190"/>
      <c r="Q131" s="190"/>
      <c r="R131" s="190"/>
      <c r="S131" s="190"/>
      <c r="T131" s="190"/>
      <c r="U131" s="190"/>
      <c r="V131" s="189" t="s">
        <v>1838</v>
      </c>
      <c r="W131" s="189" t="s">
        <v>1839</v>
      </c>
      <c r="X131" s="208" t="s">
        <v>1840</v>
      </c>
      <c r="Y131" s="189" t="s">
        <v>893</v>
      </c>
      <c r="Z131" s="189" t="s">
        <v>744</v>
      </c>
      <c r="AA131" s="189" t="s">
        <v>757</v>
      </c>
      <c r="AB131" s="191"/>
      <c r="AC131" s="191"/>
      <c r="AD131" s="191"/>
      <c r="AE131" s="191"/>
      <c r="AF131" s="191"/>
      <c r="AG131" s="191"/>
      <c r="AH131" s="191"/>
      <c r="AI131" s="191"/>
      <c r="AJ131" s="191"/>
      <c r="AK131" s="191"/>
      <c r="AL131" s="191"/>
      <c r="AM131" s="191"/>
      <c r="AN131" s="191"/>
      <c r="AO131" s="191"/>
      <c r="AP131" s="191"/>
      <c r="AQ131" s="191"/>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N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2"/>
      <c r="CI131" s="192"/>
      <c r="CJ131" s="192"/>
      <c r="CK131" s="192"/>
      <c r="CL131" s="192"/>
      <c r="CM131" s="192"/>
      <c r="CN131" s="192"/>
      <c r="CO131" s="192"/>
      <c r="CP131" s="192"/>
      <c r="CQ131" s="192"/>
      <c r="CR131" s="192"/>
      <c r="CS131" s="192"/>
      <c r="CT131" s="192"/>
    </row>
    <row r="132" ht="26.25" customHeight="1">
      <c r="A132" s="184" t="s">
        <v>197</v>
      </c>
      <c r="B132" s="184" t="s">
        <v>1665</v>
      </c>
      <c r="C132" s="184" t="s">
        <v>628</v>
      </c>
      <c r="D132" s="185" t="s">
        <v>743</v>
      </c>
      <c r="E132" s="186" t="s">
        <v>744</v>
      </c>
      <c r="F132" s="187" t="s">
        <v>901</v>
      </c>
      <c r="G132" s="188">
        <v>0.6145833333333334</v>
      </c>
      <c r="H132" s="189" t="s">
        <v>1089</v>
      </c>
      <c r="I132" s="189" t="s">
        <v>1841</v>
      </c>
      <c r="J132" s="189" t="s">
        <v>1842</v>
      </c>
      <c r="K132" s="189" t="s">
        <v>1843</v>
      </c>
      <c r="L132" s="189" t="s">
        <v>1844</v>
      </c>
      <c r="M132" s="185" t="s">
        <v>1845</v>
      </c>
      <c r="N132" s="189" t="s">
        <v>908</v>
      </c>
      <c r="O132" s="185" t="s">
        <v>764</v>
      </c>
      <c r="P132" s="189" t="s">
        <v>1846</v>
      </c>
      <c r="Q132" s="189" t="s">
        <v>1847</v>
      </c>
      <c r="R132" s="190"/>
      <c r="S132" s="190"/>
      <c r="T132" s="190"/>
      <c r="U132" s="190"/>
      <c r="V132" s="189" t="s">
        <v>1848</v>
      </c>
      <c r="W132" s="189" t="s">
        <v>1849</v>
      </c>
      <c r="X132" s="208" t="s">
        <v>1850</v>
      </c>
      <c r="Y132" s="189" t="s">
        <v>764</v>
      </c>
      <c r="Z132" s="189" t="s">
        <v>1457</v>
      </c>
      <c r="AA132" s="189" t="s">
        <v>797</v>
      </c>
      <c r="AB132" s="191"/>
      <c r="AC132" s="191"/>
      <c r="AD132" s="191"/>
      <c r="AE132" s="191"/>
      <c r="AF132" s="191"/>
      <c r="AG132" s="191"/>
      <c r="AH132" s="191"/>
      <c r="AI132" s="191"/>
      <c r="AJ132" s="191"/>
      <c r="AK132" s="191"/>
      <c r="AL132" s="191"/>
      <c r="AM132" s="191"/>
      <c r="AN132" s="191"/>
      <c r="AO132" s="191"/>
      <c r="AP132" s="191"/>
      <c r="AQ132" s="191"/>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N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2"/>
      <c r="CI132" s="192"/>
      <c r="CJ132" s="192"/>
      <c r="CK132" s="192"/>
      <c r="CL132" s="192"/>
      <c r="CM132" s="192"/>
      <c r="CN132" s="192"/>
      <c r="CO132" s="192"/>
      <c r="CP132" s="192"/>
      <c r="CQ132" s="192"/>
      <c r="CR132" s="192"/>
      <c r="CS132" s="192"/>
      <c r="CT132" s="192"/>
    </row>
    <row r="133" ht="26.25" customHeight="1">
      <c r="A133" s="220" t="s">
        <v>199</v>
      </c>
      <c r="B133" s="220" t="s">
        <v>1665</v>
      </c>
      <c r="C133" s="220" t="s">
        <v>629</v>
      </c>
      <c r="D133" s="185" t="s">
        <v>743</v>
      </c>
      <c r="E133" s="221" t="s">
        <v>946</v>
      </c>
      <c r="F133" s="222" t="s">
        <v>1212</v>
      </c>
      <c r="G133" s="223">
        <v>0.5451388888888888</v>
      </c>
      <c r="H133" s="224" t="s">
        <v>1851</v>
      </c>
      <c r="I133" s="224" t="s">
        <v>1851</v>
      </c>
      <c r="J133" s="224" t="s">
        <v>1852</v>
      </c>
      <c r="K133" s="224" t="s">
        <v>969</v>
      </c>
      <c r="L133" s="224" t="s">
        <v>1853</v>
      </c>
      <c r="M133" s="225" t="s">
        <v>1854</v>
      </c>
      <c r="N133" s="224" t="s">
        <v>908</v>
      </c>
      <c r="O133" s="225" t="s">
        <v>764</v>
      </c>
      <c r="P133" s="190"/>
      <c r="Q133" s="190"/>
      <c r="R133" s="190"/>
      <c r="S133" s="190"/>
      <c r="T133" s="190"/>
      <c r="U133" s="190"/>
      <c r="V133" s="224" t="s">
        <v>1855</v>
      </c>
      <c r="W133" s="224" t="s">
        <v>1856</v>
      </c>
      <c r="X133" s="226" t="s">
        <v>1857</v>
      </c>
      <c r="Y133" s="224" t="s">
        <v>764</v>
      </c>
      <c r="Z133" s="224" t="s">
        <v>946</v>
      </c>
      <c r="AA133" s="224" t="s">
        <v>757</v>
      </c>
      <c r="AB133" s="191"/>
      <c r="AC133" s="191"/>
      <c r="AD133" s="191"/>
      <c r="AE133" s="191"/>
      <c r="AF133" s="191"/>
      <c r="AG133" s="191"/>
      <c r="AH133" s="191"/>
      <c r="AI133" s="191"/>
      <c r="AJ133" s="191"/>
      <c r="AK133" s="191"/>
      <c r="AL133" s="191"/>
      <c r="AM133" s="191"/>
      <c r="AN133" s="191"/>
      <c r="AO133" s="191"/>
      <c r="AP133" s="191"/>
      <c r="AQ133" s="191"/>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N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2"/>
      <c r="CI133" s="192"/>
      <c r="CJ133" s="192"/>
      <c r="CK133" s="192"/>
      <c r="CL133" s="192"/>
      <c r="CM133" s="192"/>
      <c r="CN133" s="192"/>
      <c r="CO133" s="192"/>
      <c r="CP133" s="192"/>
      <c r="CQ133" s="192"/>
      <c r="CR133" s="192"/>
      <c r="CS133" s="192"/>
      <c r="CT133" s="192"/>
    </row>
    <row r="134" ht="26.25" customHeight="1">
      <c r="A134" s="184" t="s">
        <v>201</v>
      </c>
      <c r="B134" s="184" t="s">
        <v>1665</v>
      </c>
      <c r="C134" s="184" t="s">
        <v>629</v>
      </c>
      <c r="D134" s="185" t="s">
        <v>743</v>
      </c>
      <c r="E134" s="186" t="s">
        <v>946</v>
      </c>
      <c r="F134" s="187" t="s">
        <v>1212</v>
      </c>
      <c r="G134" s="188">
        <v>0.5590277777777778</v>
      </c>
      <c r="H134" s="189" t="s">
        <v>1858</v>
      </c>
      <c r="I134" s="189" t="s">
        <v>1859</v>
      </c>
      <c r="J134" s="189" t="s">
        <v>1860</v>
      </c>
      <c r="K134" s="189" t="s">
        <v>1861</v>
      </c>
      <c r="L134" s="189" t="s">
        <v>1862</v>
      </c>
      <c r="M134" s="185" t="s">
        <v>1863</v>
      </c>
      <c r="N134" s="189" t="s">
        <v>850</v>
      </c>
      <c r="O134" s="185" t="s">
        <v>764</v>
      </c>
      <c r="P134" s="189" t="s">
        <v>1235</v>
      </c>
      <c r="Q134" s="189" t="s">
        <v>1864</v>
      </c>
      <c r="R134" s="190"/>
      <c r="S134" s="190"/>
      <c r="T134" s="190"/>
      <c r="U134" s="190"/>
      <c r="V134" s="189" t="s">
        <v>1865</v>
      </c>
      <c r="W134" s="189" t="s">
        <v>1866</v>
      </c>
      <c r="X134" s="208" t="s">
        <v>1867</v>
      </c>
      <c r="Y134" s="189" t="s">
        <v>764</v>
      </c>
      <c r="Z134" s="189" t="s">
        <v>946</v>
      </c>
      <c r="AA134" s="189" t="s">
        <v>757</v>
      </c>
      <c r="AB134" s="191"/>
      <c r="AC134" s="191"/>
      <c r="AD134" s="191"/>
      <c r="AE134" s="191"/>
      <c r="AF134" s="191"/>
      <c r="AG134" s="191"/>
      <c r="AH134" s="191"/>
      <c r="AI134" s="191"/>
      <c r="AJ134" s="191"/>
      <c r="AK134" s="191"/>
      <c r="AL134" s="191"/>
      <c r="AM134" s="191"/>
      <c r="AN134" s="191"/>
      <c r="AO134" s="191"/>
      <c r="AP134" s="191"/>
      <c r="AQ134" s="191"/>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N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2"/>
      <c r="CI134" s="192"/>
      <c r="CJ134" s="192"/>
      <c r="CK134" s="192"/>
      <c r="CL134" s="192"/>
      <c r="CM134" s="192"/>
      <c r="CN134" s="192"/>
      <c r="CO134" s="192"/>
      <c r="CP134" s="192"/>
      <c r="CQ134" s="192"/>
      <c r="CR134" s="192"/>
      <c r="CS134" s="192"/>
      <c r="CT134" s="192"/>
    </row>
    <row r="135" ht="26.25" customHeight="1">
      <c r="A135" s="184" t="s">
        <v>200</v>
      </c>
      <c r="B135" s="184" t="s">
        <v>1665</v>
      </c>
      <c r="C135" s="184" t="s">
        <v>629</v>
      </c>
      <c r="D135" s="185" t="s">
        <v>743</v>
      </c>
      <c r="E135" s="186" t="s">
        <v>946</v>
      </c>
      <c r="F135" s="187" t="s">
        <v>1212</v>
      </c>
      <c r="G135" s="188">
        <v>0.5729166666666666</v>
      </c>
      <c r="H135" s="189" t="s">
        <v>1868</v>
      </c>
      <c r="I135" s="189" t="s">
        <v>1869</v>
      </c>
      <c r="J135" s="189" t="s">
        <v>1870</v>
      </c>
      <c r="K135" s="189" t="s">
        <v>1871</v>
      </c>
      <c r="L135" s="189" t="s">
        <v>1872</v>
      </c>
      <c r="M135" s="185" t="s">
        <v>1873</v>
      </c>
      <c r="N135" s="189" t="s">
        <v>908</v>
      </c>
      <c r="O135" s="185" t="s">
        <v>764</v>
      </c>
      <c r="P135" s="190"/>
      <c r="Q135" s="190"/>
      <c r="R135" s="190"/>
      <c r="S135" s="190"/>
      <c r="T135" s="190"/>
      <c r="U135" s="190"/>
      <c r="V135" s="189" t="s">
        <v>1874</v>
      </c>
      <c r="W135" s="189" t="s">
        <v>964</v>
      </c>
      <c r="X135" s="208" t="s">
        <v>965</v>
      </c>
      <c r="Y135" s="189" t="s">
        <v>764</v>
      </c>
      <c r="Z135" s="189" t="s">
        <v>946</v>
      </c>
      <c r="AA135" s="189" t="s">
        <v>797</v>
      </c>
      <c r="AB135" s="191"/>
      <c r="AC135" s="191"/>
      <c r="AD135" s="191"/>
      <c r="AE135" s="191"/>
      <c r="AF135" s="191"/>
      <c r="AG135" s="191"/>
      <c r="AH135" s="191"/>
      <c r="AI135" s="191"/>
      <c r="AJ135" s="191"/>
      <c r="AK135" s="191"/>
      <c r="AL135" s="191"/>
      <c r="AM135" s="191"/>
      <c r="AN135" s="191"/>
      <c r="AO135" s="191"/>
      <c r="AP135" s="191"/>
      <c r="AQ135" s="191"/>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N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2"/>
      <c r="CI135" s="192"/>
      <c r="CJ135" s="192"/>
      <c r="CK135" s="192"/>
      <c r="CL135" s="192"/>
      <c r="CM135" s="192"/>
      <c r="CN135" s="192"/>
      <c r="CO135" s="192"/>
      <c r="CP135" s="192"/>
      <c r="CQ135" s="192"/>
      <c r="CR135" s="192"/>
      <c r="CS135" s="192"/>
      <c r="CT135" s="192"/>
    </row>
    <row r="136" ht="26.25" customHeight="1">
      <c r="A136" s="184" t="s">
        <v>202</v>
      </c>
      <c r="B136" s="184" t="s">
        <v>1665</v>
      </c>
      <c r="C136" s="184" t="s">
        <v>629</v>
      </c>
      <c r="D136" s="185" t="s">
        <v>743</v>
      </c>
      <c r="E136" s="186" t="s">
        <v>946</v>
      </c>
      <c r="F136" s="187" t="s">
        <v>1212</v>
      </c>
      <c r="G136" s="188">
        <v>0.5868055555555556</v>
      </c>
      <c r="H136" s="189" t="s">
        <v>1875</v>
      </c>
      <c r="I136" s="189" t="s">
        <v>1876</v>
      </c>
      <c r="J136" s="189" t="s">
        <v>1877</v>
      </c>
      <c r="K136" s="189" t="s">
        <v>1878</v>
      </c>
      <c r="L136" s="189" t="s">
        <v>1879</v>
      </c>
      <c r="M136" s="185" t="s">
        <v>1880</v>
      </c>
      <c r="N136" s="189" t="s">
        <v>908</v>
      </c>
      <c r="O136" s="185" t="s">
        <v>764</v>
      </c>
      <c r="P136" s="190"/>
      <c r="Q136" s="190"/>
      <c r="R136" s="190"/>
      <c r="S136" s="190"/>
      <c r="T136" s="190"/>
      <c r="U136" s="190"/>
      <c r="V136" s="189" t="s">
        <v>1881</v>
      </c>
      <c r="W136" s="189" t="s">
        <v>1866</v>
      </c>
      <c r="X136" s="208" t="s">
        <v>1867</v>
      </c>
      <c r="Y136" s="189" t="s">
        <v>764</v>
      </c>
      <c r="Z136" s="189" t="s">
        <v>946</v>
      </c>
      <c r="AA136" s="189" t="s">
        <v>757</v>
      </c>
      <c r="AB136" s="191"/>
      <c r="AC136" s="191"/>
      <c r="AD136" s="191"/>
      <c r="AE136" s="191"/>
      <c r="AF136" s="191"/>
      <c r="AG136" s="191"/>
      <c r="AH136" s="191"/>
      <c r="AI136" s="191"/>
      <c r="AJ136" s="191"/>
      <c r="AK136" s="191"/>
      <c r="AL136" s="191"/>
      <c r="AM136" s="191"/>
      <c r="AN136" s="191"/>
      <c r="AO136" s="191"/>
      <c r="AP136" s="191"/>
      <c r="AQ136" s="191"/>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N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2"/>
      <c r="CI136" s="192"/>
      <c r="CJ136" s="192"/>
      <c r="CK136" s="192"/>
      <c r="CL136" s="192"/>
      <c r="CM136" s="192"/>
      <c r="CN136" s="192"/>
      <c r="CO136" s="192"/>
      <c r="CP136" s="192"/>
      <c r="CQ136" s="192"/>
      <c r="CR136" s="192"/>
      <c r="CS136" s="192"/>
      <c r="CT136" s="192"/>
    </row>
    <row r="137" ht="26.25" customHeight="1">
      <c r="A137" s="184" t="s">
        <v>198</v>
      </c>
      <c r="B137" s="184" t="s">
        <v>1665</v>
      </c>
      <c r="C137" s="184" t="s">
        <v>629</v>
      </c>
      <c r="D137" s="185" t="s">
        <v>743</v>
      </c>
      <c r="E137" s="186" t="s">
        <v>946</v>
      </c>
      <c r="F137" s="187" t="s">
        <v>1212</v>
      </c>
      <c r="G137" s="188">
        <v>0.6006944444444444</v>
      </c>
      <c r="H137" s="189" t="s">
        <v>1882</v>
      </c>
      <c r="I137" s="189" t="s">
        <v>1883</v>
      </c>
      <c r="J137" s="189" t="s">
        <v>1884</v>
      </c>
      <c r="K137" s="189" t="s">
        <v>1885</v>
      </c>
      <c r="L137" s="189" t="s">
        <v>1886</v>
      </c>
      <c r="M137" s="185" t="s">
        <v>1887</v>
      </c>
      <c r="N137" s="189" t="s">
        <v>850</v>
      </c>
      <c r="O137" s="185" t="s">
        <v>764</v>
      </c>
      <c r="P137" s="190"/>
      <c r="Q137" s="190"/>
      <c r="R137" s="190"/>
      <c r="S137" s="190"/>
      <c r="T137" s="190"/>
      <c r="U137" s="190"/>
      <c r="V137" s="189" t="s">
        <v>972</v>
      </c>
      <c r="W137" s="189" t="s">
        <v>973</v>
      </c>
      <c r="X137" s="208" t="s">
        <v>974</v>
      </c>
      <c r="Y137" s="189" t="s">
        <v>764</v>
      </c>
      <c r="Z137" s="189" t="s">
        <v>946</v>
      </c>
      <c r="AA137" s="189" t="s">
        <v>757</v>
      </c>
      <c r="AB137" s="191"/>
      <c r="AC137" s="191"/>
      <c r="AD137" s="191"/>
      <c r="AE137" s="191"/>
      <c r="AF137" s="191"/>
      <c r="AG137" s="191"/>
      <c r="AH137" s="191"/>
      <c r="AI137" s="191"/>
      <c r="AJ137" s="191"/>
      <c r="AK137" s="191"/>
      <c r="AL137" s="191"/>
      <c r="AM137" s="191"/>
      <c r="AN137" s="191"/>
      <c r="AO137" s="191"/>
      <c r="AP137" s="191"/>
      <c r="AQ137" s="191"/>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N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2"/>
      <c r="CI137" s="192"/>
      <c r="CJ137" s="192"/>
      <c r="CK137" s="192"/>
      <c r="CL137" s="192"/>
      <c r="CM137" s="192"/>
      <c r="CN137" s="192"/>
      <c r="CO137" s="192"/>
      <c r="CP137" s="192"/>
      <c r="CQ137" s="192"/>
      <c r="CR137" s="192"/>
      <c r="CS137" s="192"/>
      <c r="CT137" s="192"/>
    </row>
    <row r="138" ht="26.25" customHeight="1">
      <c r="A138" s="184" t="s">
        <v>203</v>
      </c>
      <c r="B138" s="184" t="s">
        <v>1665</v>
      </c>
      <c r="C138" s="184" t="s">
        <v>629</v>
      </c>
      <c r="D138" s="185" t="s">
        <v>743</v>
      </c>
      <c r="E138" s="186" t="s">
        <v>946</v>
      </c>
      <c r="F138" s="187" t="s">
        <v>1212</v>
      </c>
      <c r="G138" s="188">
        <v>0.6145833333333334</v>
      </c>
      <c r="H138" s="189" t="s">
        <v>1888</v>
      </c>
      <c r="I138" s="189" t="s">
        <v>1889</v>
      </c>
      <c r="J138" s="189" t="s">
        <v>1890</v>
      </c>
      <c r="K138" s="189" t="s">
        <v>1891</v>
      </c>
      <c r="L138" s="189" t="s">
        <v>1892</v>
      </c>
      <c r="M138" s="185" t="s">
        <v>1893</v>
      </c>
      <c r="N138" s="189" t="s">
        <v>908</v>
      </c>
      <c r="O138" s="185" t="s">
        <v>764</v>
      </c>
      <c r="P138" s="190"/>
      <c r="Q138" s="190"/>
      <c r="R138" s="190"/>
      <c r="S138" s="190"/>
      <c r="T138" s="190"/>
      <c r="U138" s="190"/>
      <c r="V138" s="189" t="s">
        <v>1894</v>
      </c>
      <c r="W138" s="189" t="s">
        <v>1895</v>
      </c>
      <c r="X138" s="208" t="s">
        <v>1896</v>
      </c>
      <c r="Y138" s="189" t="s">
        <v>764</v>
      </c>
      <c r="Z138" s="189" t="s">
        <v>946</v>
      </c>
      <c r="AA138" s="189" t="s">
        <v>757</v>
      </c>
      <c r="AB138" s="191"/>
      <c r="AC138" s="191"/>
      <c r="AD138" s="191"/>
      <c r="AE138" s="191"/>
      <c r="AF138" s="191"/>
      <c r="AG138" s="191"/>
      <c r="AH138" s="191"/>
      <c r="AI138" s="191"/>
      <c r="AJ138" s="191"/>
      <c r="AK138" s="191"/>
      <c r="AL138" s="191"/>
      <c r="AM138" s="191"/>
      <c r="AN138" s="191"/>
      <c r="AO138" s="191"/>
      <c r="AP138" s="191"/>
      <c r="AQ138" s="191"/>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N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2"/>
      <c r="CI138" s="192"/>
      <c r="CJ138" s="192"/>
      <c r="CK138" s="192"/>
      <c r="CL138" s="192"/>
      <c r="CM138" s="192"/>
      <c r="CN138" s="192"/>
      <c r="CO138" s="192"/>
      <c r="CP138" s="192"/>
      <c r="CQ138" s="192"/>
      <c r="CR138" s="192"/>
      <c r="CS138" s="192"/>
      <c r="CT138" s="192"/>
    </row>
    <row r="139" ht="26.25" customHeight="1">
      <c r="A139" s="184" t="s">
        <v>209</v>
      </c>
      <c r="B139" s="184" t="s">
        <v>1665</v>
      </c>
      <c r="C139" s="184" t="s">
        <v>630</v>
      </c>
      <c r="D139" s="185" t="s">
        <v>743</v>
      </c>
      <c r="E139" s="186" t="s">
        <v>1049</v>
      </c>
      <c r="F139" s="187" t="s">
        <v>947</v>
      </c>
      <c r="G139" s="188">
        <v>0.5451388888888888</v>
      </c>
      <c r="H139" s="189" t="s">
        <v>912</v>
      </c>
      <c r="I139" s="189" t="s">
        <v>940</v>
      </c>
      <c r="J139" s="189" t="s">
        <v>941</v>
      </c>
      <c r="K139" s="189" t="s">
        <v>942</v>
      </c>
      <c r="L139" s="189" t="s">
        <v>1897</v>
      </c>
      <c r="M139" s="185" t="s">
        <v>1898</v>
      </c>
      <c r="N139" s="189" t="s">
        <v>850</v>
      </c>
      <c r="O139" s="185" t="s">
        <v>784</v>
      </c>
      <c r="P139" s="190"/>
      <c r="Q139" s="190"/>
      <c r="R139" s="190"/>
      <c r="S139" s="190"/>
      <c r="T139" s="190"/>
      <c r="U139" s="190"/>
      <c r="V139" s="189" t="s">
        <v>1899</v>
      </c>
      <c r="W139" s="189" t="s">
        <v>928</v>
      </c>
      <c r="X139" s="208" t="s">
        <v>929</v>
      </c>
      <c r="Y139" s="189" t="s">
        <v>784</v>
      </c>
      <c r="Z139" s="189" t="s">
        <v>1060</v>
      </c>
      <c r="AA139" s="189" t="s">
        <v>757</v>
      </c>
      <c r="AB139" s="191"/>
      <c r="AC139" s="191"/>
      <c r="AD139" s="191"/>
      <c r="AE139" s="191"/>
      <c r="AF139" s="191"/>
      <c r="AG139" s="191"/>
      <c r="AH139" s="191"/>
      <c r="AI139" s="191"/>
      <c r="AJ139" s="191"/>
      <c r="AK139" s="191"/>
      <c r="AL139" s="191"/>
      <c r="AM139" s="191"/>
      <c r="AN139" s="191"/>
      <c r="AO139" s="191"/>
      <c r="AP139" s="191"/>
      <c r="AQ139" s="191"/>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N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2"/>
      <c r="CI139" s="192"/>
      <c r="CJ139" s="192"/>
      <c r="CK139" s="192"/>
      <c r="CL139" s="192"/>
      <c r="CM139" s="192"/>
      <c r="CN139" s="192"/>
      <c r="CO139" s="192"/>
      <c r="CP139" s="192"/>
      <c r="CQ139" s="192"/>
      <c r="CR139" s="192"/>
      <c r="CS139" s="192"/>
      <c r="CT139" s="192"/>
    </row>
    <row r="140" ht="26.25" customHeight="1">
      <c r="A140" s="184" t="s">
        <v>207</v>
      </c>
      <c r="B140" s="184" t="s">
        <v>1665</v>
      </c>
      <c r="C140" s="184" t="s">
        <v>630</v>
      </c>
      <c r="D140" s="185" t="s">
        <v>743</v>
      </c>
      <c r="E140" s="186" t="s">
        <v>1049</v>
      </c>
      <c r="F140" s="187" t="s">
        <v>947</v>
      </c>
      <c r="G140" s="188">
        <v>0.5590277777777778</v>
      </c>
      <c r="H140" s="189" t="s">
        <v>930</v>
      </c>
      <c r="I140" s="189" t="s">
        <v>1900</v>
      </c>
      <c r="J140" s="189" t="s">
        <v>1901</v>
      </c>
      <c r="K140" s="189" t="s">
        <v>1902</v>
      </c>
      <c r="L140" s="185" t="s">
        <v>1903</v>
      </c>
      <c r="M140" s="185" t="s">
        <v>1904</v>
      </c>
      <c r="N140" s="189" t="s">
        <v>850</v>
      </c>
      <c r="O140" s="185" t="s">
        <v>753</v>
      </c>
      <c r="P140" s="190"/>
      <c r="Q140" s="190"/>
      <c r="R140" s="190"/>
      <c r="S140" s="190"/>
      <c r="T140" s="190"/>
      <c r="U140" s="190"/>
      <c r="V140" s="189" t="s">
        <v>1067</v>
      </c>
      <c r="W140" s="189" t="s">
        <v>1068</v>
      </c>
      <c r="X140" s="208" t="s">
        <v>1069</v>
      </c>
      <c r="Y140" s="189" t="s">
        <v>784</v>
      </c>
      <c r="Z140" s="189" t="s">
        <v>1060</v>
      </c>
      <c r="AA140" s="189" t="s">
        <v>797</v>
      </c>
      <c r="AB140" s="191"/>
      <c r="AC140" s="191"/>
      <c r="AD140" s="191"/>
      <c r="AE140" s="191"/>
      <c r="AF140" s="191"/>
      <c r="AG140" s="191"/>
      <c r="AH140" s="191"/>
      <c r="AI140" s="191"/>
      <c r="AJ140" s="191"/>
      <c r="AK140" s="191"/>
      <c r="AL140" s="191"/>
      <c r="AM140" s="191"/>
      <c r="AN140" s="191"/>
      <c r="AO140" s="191"/>
      <c r="AP140" s="191"/>
      <c r="AQ140" s="191"/>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N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2"/>
      <c r="CI140" s="192"/>
      <c r="CJ140" s="192"/>
      <c r="CK140" s="192"/>
      <c r="CL140" s="192"/>
      <c r="CM140" s="192"/>
      <c r="CN140" s="192"/>
      <c r="CO140" s="192"/>
      <c r="CP140" s="192"/>
      <c r="CQ140" s="192"/>
      <c r="CR140" s="192"/>
      <c r="CS140" s="192"/>
      <c r="CT140" s="192"/>
    </row>
    <row r="141" ht="26.25" customHeight="1">
      <c r="A141" s="184" t="s">
        <v>205</v>
      </c>
      <c r="B141" s="184" t="s">
        <v>1665</v>
      </c>
      <c r="C141" s="184" t="s">
        <v>630</v>
      </c>
      <c r="D141" s="185" t="s">
        <v>743</v>
      </c>
      <c r="E141" s="186" t="s">
        <v>1049</v>
      </c>
      <c r="F141" s="187" t="s">
        <v>947</v>
      </c>
      <c r="G141" s="188">
        <v>0.5729166666666666</v>
      </c>
      <c r="H141" s="189" t="s">
        <v>1905</v>
      </c>
      <c r="I141" s="189" t="s">
        <v>1906</v>
      </c>
      <c r="J141" s="189" t="s">
        <v>1907</v>
      </c>
      <c r="K141" s="189" t="s">
        <v>1908</v>
      </c>
      <c r="L141" s="189" t="s">
        <v>1909</v>
      </c>
      <c r="M141" s="185" t="s">
        <v>1910</v>
      </c>
      <c r="N141" s="189" t="s">
        <v>850</v>
      </c>
      <c r="O141" s="185" t="s">
        <v>784</v>
      </c>
      <c r="P141" s="190"/>
      <c r="Q141" s="190"/>
      <c r="R141" s="190"/>
      <c r="S141" s="190"/>
      <c r="T141" s="190"/>
      <c r="U141" s="190"/>
      <c r="V141" s="189" t="s">
        <v>1911</v>
      </c>
      <c r="W141" s="189" t="s">
        <v>1912</v>
      </c>
      <c r="X141" s="208" t="s">
        <v>1913</v>
      </c>
      <c r="Y141" s="189" t="s">
        <v>784</v>
      </c>
      <c r="Z141" s="189" t="s">
        <v>1060</v>
      </c>
      <c r="AA141" s="189" t="s">
        <v>797</v>
      </c>
      <c r="AB141" s="191"/>
      <c r="AC141" s="191"/>
      <c r="AD141" s="191"/>
      <c r="AE141" s="191"/>
      <c r="AF141" s="191"/>
      <c r="AG141" s="191"/>
      <c r="AH141" s="191"/>
      <c r="AI141" s="191"/>
      <c r="AJ141" s="191"/>
      <c r="AK141" s="191"/>
      <c r="AL141" s="191"/>
      <c r="AM141" s="191"/>
      <c r="AN141" s="191"/>
      <c r="AO141" s="191"/>
      <c r="AP141" s="191"/>
      <c r="AQ141" s="191"/>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N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2"/>
      <c r="CI141" s="192"/>
      <c r="CJ141" s="192"/>
      <c r="CK141" s="192"/>
      <c r="CL141" s="192"/>
      <c r="CM141" s="192"/>
      <c r="CN141" s="192"/>
      <c r="CO141" s="192"/>
      <c r="CP141" s="192"/>
      <c r="CQ141" s="192"/>
      <c r="CR141" s="192"/>
      <c r="CS141" s="192"/>
      <c r="CT141" s="192"/>
    </row>
    <row r="142" ht="26.25" customHeight="1">
      <c r="A142" s="184" t="s">
        <v>208</v>
      </c>
      <c r="B142" s="184" t="s">
        <v>1665</v>
      </c>
      <c r="C142" s="184" t="s">
        <v>630</v>
      </c>
      <c r="D142" s="185" t="s">
        <v>743</v>
      </c>
      <c r="E142" s="186" t="s">
        <v>1049</v>
      </c>
      <c r="F142" s="187" t="s">
        <v>947</v>
      </c>
      <c r="G142" s="188">
        <v>0.5868055555555556</v>
      </c>
      <c r="H142" s="189" t="s">
        <v>1914</v>
      </c>
      <c r="I142" s="189" t="s">
        <v>1915</v>
      </c>
      <c r="J142" s="189" t="s">
        <v>1916</v>
      </c>
      <c r="K142" s="189" t="s">
        <v>1917</v>
      </c>
      <c r="L142" s="189" t="s">
        <v>1918</v>
      </c>
      <c r="M142" s="185" t="s">
        <v>1919</v>
      </c>
      <c r="N142" s="189" t="s">
        <v>850</v>
      </c>
      <c r="O142" s="185" t="s">
        <v>784</v>
      </c>
      <c r="P142" s="190"/>
      <c r="Q142" s="190"/>
      <c r="R142" s="190"/>
      <c r="S142" s="190"/>
      <c r="T142" s="190"/>
      <c r="U142" s="190"/>
      <c r="V142" s="189" t="s">
        <v>1920</v>
      </c>
      <c r="W142" s="189" t="s">
        <v>1921</v>
      </c>
      <c r="X142" s="185" t="s">
        <v>1922</v>
      </c>
      <c r="Y142" s="189" t="s">
        <v>784</v>
      </c>
      <c r="Z142" s="189" t="s">
        <v>1060</v>
      </c>
      <c r="AA142" s="189" t="s">
        <v>797</v>
      </c>
      <c r="AB142" s="191"/>
      <c r="AC142" s="191"/>
      <c r="AD142" s="191"/>
      <c r="AE142" s="191"/>
      <c r="AF142" s="191"/>
      <c r="AG142" s="191"/>
      <c r="AH142" s="191"/>
      <c r="AI142" s="191"/>
      <c r="AJ142" s="191"/>
      <c r="AK142" s="191"/>
      <c r="AL142" s="191"/>
      <c r="AM142" s="191"/>
      <c r="AN142" s="191"/>
      <c r="AO142" s="191"/>
      <c r="AP142" s="191"/>
      <c r="AQ142" s="191"/>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N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2"/>
      <c r="CI142" s="192"/>
      <c r="CJ142" s="192"/>
      <c r="CK142" s="192"/>
      <c r="CL142" s="192"/>
      <c r="CM142" s="192"/>
      <c r="CN142" s="192"/>
      <c r="CO142" s="192"/>
      <c r="CP142" s="192"/>
      <c r="CQ142" s="192"/>
      <c r="CR142" s="192"/>
      <c r="CS142" s="192"/>
      <c r="CT142" s="192"/>
    </row>
    <row r="143" ht="26.25" customHeight="1">
      <c r="A143" s="184" t="s">
        <v>204</v>
      </c>
      <c r="B143" s="184" t="s">
        <v>1665</v>
      </c>
      <c r="C143" s="184" t="s">
        <v>630</v>
      </c>
      <c r="D143" s="185" t="s">
        <v>743</v>
      </c>
      <c r="E143" s="186" t="s">
        <v>1049</v>
      </c>
      <c r="F143" s="187" t="s">
        <v>947</v>
      </c>
      <c r="G143" s="188">
        <v>0.6006944444444444</v>
      </c>
      <c r="H143" s="189" t="s">
        <v>1923</v>
      </c>
      <c r="I143" s="189" t="s">
        <v>1924</v>
      </c>
      <c r="J143" s="189" t="s">
        <v>1925</v>
      </c>
      <c r="K143" s="189" t="s">
        <v>1926</v>
      </c>
      <c r="L143" s="189" t="s">
        <v>1927</v>
      </c>
      <c r="M143" s="209" t="s">
        <v>1928</v>
      </c>
      <c r="N143" s="189" t="s">
        <v>850</v>
      </c>
      <c r="O143" s="185" t="s">
        <v>784</v>
      </c>
      <c r="P143" s="190"/>
      <c r="Q143" s="190"/>
      <c r="R143" s="190"/>
      <c r="S143" s="190"/>
      <c r="T143" s="190"/>
      <c r="U143" s="190"/>
      <c r="V143" s="189" t="s">
        <v>1929</v>
      </c>
      <c r="W143" s="189" t="s">
        <v>1930</v>
      </c>
      <c r="X143" s="185" t="s">
        <v>1931</v>
      </c>
      <c r="Y143" s="189" t="s">
        <v>784</v>
      </c>
      <c r="Z143" s="189" t="s">
        <v>1060</v>
      </c>
      <c r="AA143" s="189" t="s">
        <v>757</v>
      </c>
      <c r="AB143" s="191"/>
      <c r="AC143" s="191"/>
      <c r="AD143" s="191"/>
      <c r="AE143" s="191"/>
      <c r="AF143" s="191"/>
      <c r="AG143" s="191"/>
      <c r="AH143" s="191"/>
      <c r="AI143" s="191"/>
      <c r="AJ143" s="191"/>
      <c r="AK143" s="191"/>
      <c r="AL143" s="191"/>
      <c r="AM143" s="191"/>
      <c r="AN143" s="191"/>
      <c r="AO143" s="191"/>
      <c r="AP143" s="191"/>
      <c r="AQ143" s="191"/>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N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2"/>
      <c r="CI143" s="192"/>
      <c r="CJ143" s="192"/>
      <c r="CK143" s="192"/>
      <c r="CL143" s="192"/>
      <c r="CM143" s="192"/>
      <c r="CN143" s="192"/>
      <c r="CO143" s="192"/>
      <c r="CP143" s="192"/>
      <c r="CQ143" s="192"/>
      <c r="CR143" s="192"/>
      <c r="CS143" s="192"/>
      <c r="CT143" s="192"/>
    </row>
    <row r="144" ht="26.25" customHeight="1">
      <c r="A144" s="184" t="s">
        <v>206</v>
      </c>
      <c r="B144" s="184" t="s">
        <v>1665</v>
      </c>
      <c r="C144" s="184" t="s">
        <v>630</v>
      </c>
      <c r="D144" s="185" t="s">
        <v>743</v>
      </c>
      <c r="E144" s="186" t="s">
        <v>1049</v>
      </c>
      <c r="F144" s="187" t="s">
        <v>947</v>
      </c>
      <c r="G144" s="188">
        <v>0.6145833333333334</v>
      </c>
      <c r="H144" s="189" t="s">
        <v>1932</v>
      </c>
      <c r="I144" s="189" t="s">
        <v>1933</v>
      </c>
      <c r="J144" s="189" t="s">
        <v>1934</v>
      </c>
      <c r="K144" s="189" t="s">
        <v>1935</v>
      </c>
      <c r="L144" s="189" t="s">
        <v>1936</v>
      </c>
      <c r="M144" s="185" t="s">
        <v>1937</v>
      </c>
      <c r="N144" s="189" t="s">
        <v>850</v>
      </c>
      <c r="O144" s="185" t="s">
        <v>753</v>
      </c>
      <c r="P144" s="190"/>
      <c r="Q144" s="190"/>
      <c r="R144" s="190"/>
      <c r="S144" s="190"/>
      <c r="T144" s="190"/>
      <c r="U144" s="190"/>
      <c r="V144" s="189" t="s">
        <v>1938</v>
      </c>
      <c r="W144" s="189" t="s">
        <v>1939</v>
      </c>
      <c r="X144" s="185" t="s">
        <v>1940</v>
      </c>
      <c r="Y144" s="189" t="s">
        <v>753</v>
      </c>
      <c r="Z144" s="189" t="s">
        <v>1060</v>
      </c>
      <c r="AA144" s="189" t="s">
        <v>1941</v>
      </c>
      <c r="AB144" s="191"/>
      <c r="AC144" s="191"/>
      <c r="AD144" s="191"/>
      <c r="AE144" s="191"/>
      <c r="AF144" s="191"/>
      <c r="AG144" s="191"/>
      <c r="AH144" s="191"/>
      <c r="AI144" s="191"/>
      <c r="AJ144" s="191"/>
      <c r="AK144" s="191"/>
      <c r="AL144" s="191"/>
      <c r="AM144" s="191"/>
      <c r="AN144" s="191"/>
      <c r="AO144" s="191"/>
      <c r="AP144" s="191"/>
      <c r="AQ144" s="191"/>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N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2"/>
      <c r="CI144" s="192"/>
      <c r="CJ144" s="192"/>
      <c r="CK144" s="192"/>
      <c r="CL144" s="192"/>
      <c r="CM144" s="192"/>
      <c r="CN144" s="192"/>
      <c r="CO144" s="192"/>
      <c r="CP144" s="192"/>
      <c r="CQ144" s="192"/>
      <c r="CR144" s="192"/>
      <c r="CS144" s="192"/>
      <c r="CT144" s="192"/>
    </row>
    <row r="145" ht="26.25" customHeight="1">
      <c r="A145" s="184" t="s">
        <v>210</v>
      </c>
      <c r="B145" s="184" t="s">
        <v>1665</v>
      </c>
      <c r="C145" s="184" t="s">
        <v>631</v>
      </c>
      <c r="D145" s="185" t="s">
        <v>743</v>
      </c>
      <c r="E145" s="186" t="s">
        <v>1377</v>
      </c>
      <c r="F145" s="187" t="s">
        <v>1050</v>
      </c>
      <c r="G145" s="188">
        <v>0.5451388888888888</v>
      </c>
      <c r="H145" s="189" t="s">
        <v>1942</v>
      </c>
      <c r="I145" s="189" t="s">
        <v>1943</v>
      </c>
      <c r="J145" s="189" t="s">
        <v>1944</v>
      </c>
      <c r="K145" s="189" t="s">
        <v>1945</v>
      </c>
      <c r="L145" s="189" t="s">
        <v>1946</v>
      </c>
      <c r="M145" s="185" t="s">
        <v>1947</v>
      </c>
      <c r="N145" s="189" t="s">
        <v>850</v>
      </c>
      <c r="O145" s="185" t="s">
        <v>764</v>
      </c>
      <c r="P145" s="190"/>
      <c r="Q145" s="190"/>
      <c r="R145" s="190"/>
      <c r="S145" s="190"/>
      <c r="T145" s="190"/>
      <c r="U145" s="190"/>
      <c r="V145" s="189" t="s">
        <v>1948</v>
      </c>
      <c r="W145" s="189" t="s">
        <v>1393</v>
      </c>
      <c r="X145" s="185" t="s">
        <v>1394</v>
      </c>
      <c r="Y145" s="189" t="s">
        <v>764</v>
      </c>
      <c r="Z145" s="189" t="s">
        <v>1543</v>
      </c>
      <c r="AA145" s="189" t="s">
        <v>757</v>
      </c>
      <c r="AB145" s="191"/>
      <c r="AC145" s="191"/>
      <c r="AD145" s="191"/>
      <c r="AE145" s="191"/>
      <c r="AF145" s="191"/>
      <c r="AG145" s="191"/>
      <c r="AH145" s="191"/>
      <c r="AI145" s="191"/>
      <c r="AJ145" s="191"/>
      <c r="AK145" s="191"/>
      <c r="AL145" s="191"/>
      <c r="AM145" s="191"/>
      <c r="AN145" s="191"/>
      <c r="AO145" s="191"/>
      <c r="AP145" s="191"/>
      <c r="AQ145" s="191"/>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N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2"/>
      <c r="CI145" s="192"/>
      <c r="CJ145" s="192"/>
      <c r="CK145" s="192"/>
      <c r="CL145" s="192"/>
      <c r="CM145" s="192"/>
      <c r="CN145" s="192"/>
      <c r="CO145" s="192"/>
      <c r="CP145" s="192"/>
      <c r="CQ145" s="192"/>
      <c r="CR145" s="192"/>
      <c r="CS145" s="192"/>
      <c r="CT145" s="192"/>
    </row>
    <row r="146" ht="26.25" customHeight="1">
      <c r="A146" s="184" t="s">
        <v>212</v>
      </c>
      <c r="B146" s="184" t="s">
        <v>1665</v>
      </c>
      <c r="C146" s="184" t="s">
        <v>631</v>
      </c>
      <c r="D146" s="185" t="s">
        <v>743</v>
      </c>
      <c r="E146" s="186" t="s">
        <v>1377</v>
      </c>
      <c r="F146" s="187" t="s">
        <v>1050</v>
      </c>
      <c r="G146" s="188">
        <v>0.5590277777777778</v>
      </c>
      <c r="H146" s="189" t="s">
        <v>1297</v>
      </c>
      <c r="I146" s="189" t="s">
        <v>1949</v>
      </c>
      <c r="J146" s="189" t="s">
        <v>1950</v>
      </c>
      <c r="K146" s="189" t="s">
        <v>1951</v>
      </c>
      <c r="L146" s="189" t="s">
        <v>1952</v>
      </c>
      <c r="M146" s="185" t="s">
        <v>1953</v>
      </c>
      <c r="N146" s="189" t="s">
        <v>850</v>
      </c>
      <c r="O146" s="185" t="s">
        <v>764</v>
      </c>
      <c r="P146" s="190"/>
      <c r="Q146" s="190"/>
      <c r="R146" s="190"/>
      <c r="S146" s="190"/>
      <c r="T146" s="190"/>
      <c r="U146" s="190"/>
      <c r="V146" s="189" t="s">
        <v>823</v>
      </c>
      <c r="W146" s="189" t="s">
        <v>824</v>
      </c>
      <c r="X146" s="185" t="s">
        <v>825</v>
      </c>
      <c r="Y146" s="189" t="s">
        <v>764</v>
      </c>
      <c r="Z146" s="189" t="s">
        <v>1543</v>
      </c>
      <c r="AA146" s="189" t="s">
        <v>757</v>
      </c>
      <c r="AB146" s="191"/>
      <c r="AC146" s="191"/>
      <c r="AD146" s="191"/>
      <c r="AE146" s="191"/>
      <c r="AF146" s="191"/>
      <c r="AG146" s="191"/>
      <c r="AH146" s="191"/>
      <c r="AI146" s="191"/>
      <c r="AJ146" s="191"/>
      <c r="AK146" s="191"/>
      <c r="AL146" s="191"/>
      <c r="AM146" s="191"/>
      <c r="AN146" s="191"/>
      <c r="AO146" s="191"/>
      <c r="AP146" s="191"/>
      <c r="AQ146" s="191"/>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N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2"/>
      <c r="CI146" s="192"/>
      <c r="CJ146" s="192"/>
      <c r="CK146" s="192"/>
      <c r="CL146" s="192"/>
      <c r="CM146" s="192"/>
      <c r="CN146" s="192"/>
      <c r="CO146" s="192"/>
      <c r="CP146" s="192"/>
      <c r="CQ146" s="192"/>
      <c r="CR146" s="192"/>
      <c r="CS146" s="192"/>
      <c r="CT146" s="192"/>
    </row>
    <row r="147" ht="26.25" customHeight="1">
      <c r="A147" s="184" t="s">
        <v>213</v>
      </c>
      <c r="B147" s="184" t="s">
        <v>1665</v>
      </c>
      <c r="C147" s="184" t="s">
        <v>631</v>
      </c>
      <c r="D147" s="185" t="s">
        <v>743</v>
      </c>
      <c r="E147" s="186" t="s">
        <v>1377</v>
      </c>
      <c r="F147" s="187" t="s">
        <v>1050</v>
      </c>
      <c r="G147" s="188">
        <v>0.5729166666666666</v>
      </c>
      <c r="H147" s="189" t="s">
        <v>909</v>
      </c>
      <c r="I147" s="189" t="s">
        <v>1954</v>
      </c>
      <c r="J147" s="189" t="s">
        <v>1955</v>
      </c>
      <c r="K147" s="189" t="s">
        <v>1956</v>
      </c>
      <c r="L147" s="189" t="s">
        <v>1957</v>
      </c>
      <c r="M147" s="185" t="s">
        <v>1958</v>
      </c>
      <c r="N147" s="189" t="s">
        <v>850</v>
      </c>
      <c r="O147" s="185" t="s">
        <v>764</v>
      </c>
      <c r="P147" s="190"/>
      <c r="Q147" s="190"/>
      <c r="R147" s="190"/>
      <c r="S147" s="190"/>
      <c r="T147" s="190"/>
      <c r="U147" s="190"/>
      <c r="V147" s="189" t="s">
        <v>1959</v>
      </c>
      <c r="W147" s="189" t="s">
        <v>1960</v>
      </c>
      <c r="X147" s="185" t="s">
        <v>1961</v>
      </c>
      <c r="Y147" s="189" t="s">
        <v>764</v>
      </c>
      <c r="Z147" s="189" t="s">
        <v>1543</v>
      </c>
      <c r="AA147" s="189" t="s">
        <v>1088</v>
      </c>
      <c r="AB147" s="191"/>
      <c r="AC147" s="191"/>
      <c r="AD147" s="191"/>
      <c r="AE147" s="191"/>
      <c r="AF147" s="191"/>
      <c r="AG147" s="191"/>
      <c r="AH147" s="191"/>
      <c r="AI147" s="191"/>
      <c r="AJ147" s="191"/>
      <c r="AK147" s="191"/>
      <c r="AL147" s="191"/>
      <c r="AM147" s="191"/>
      <c r="AN147" s="191"/>
      <c r="AO147" s="191"/>
      <c r="AP147" s="191"/>
      <c r="AQ147" s="191"/>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N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2"/>
      <c r="CI147" s="192"/>
      <c r="CJ147" s="192"/>
      <c r="CK147" s="192"/>
      <c r="CL147" s="192"/>
      <c r="CM147" s="192"/>
      <c r="CN147" s="192"/>
      <c r="CO147" s="192"/>
      <c r="CP147" s="192"/>
      <c r="CQ147" s="192"/>
      <c r="CR147" s="192"/>
      <c r="CS147" s="192"/>
      <c r="CT147" s="192"/>
    </row>
    <row r="148" ht="26.25" customHeight="1">
      <c r="A148" s="184" t="s">
        <v>211</v>
      </c>
      <c r="B148" s="184" t="s">
        <v>1665</v>
      </c>
      <c r="C148" s="184" t="s">
        <v>631</v>
      </c>
      <c r="D148" s="185" t="s">
        <v>743</v>
      </c>
      <c r="E148" s="186" t="s">
        <v>1377</v>
      </c>
      <c r="F148" s="187" t="s">
        <v>1050</v>
      </c>
      <c r="G148" s="188">
        <v>0.5868055555555556</v>
      </c>
      <c r="H148" s="189" t="s">
        <v>1962</v>
      </c>
      <c r="I148" s="189" t="s">
        <v>1487</v>
      </c>
      <c r="J148" s="189" t="s">
        <v>1963</v>
      </c>
      <c r="K148" s="189" t="s">
        <v>1964</v>
      </c>
      <c r="L148" s="189" t="s">
        <v>1965</v>
      </c>
      <c r="M148" s="185" t="s">
        <v>1966</v>
      </c>
      <c r="N148" s="189" t="s">
        <v>850</v>
      </c>
      <c r="O148" s="185" t="s">
        <v>784</v>
      </c>
      <c r="P148" s="190"/>
      <c r="Q148" s="190"/>
      <c r="R148" s="190"/>
      <c r="S148" s="190"/>
      <c r="T148" s="190"/>
      <c r="U148" s="190"/>
      <c r="V148" s="189" t="s">
        <v>1967</v>
      </c>
      <c r="W148" s="189" t="s">
        <v>1968</v>
      </c>
      <c r="X148" s="185" t="s">
        <v>1969</v>
      </c>
      <c r="Y148" s="189" t="s">
        <v>784</v>
      </c>
      <c r="Z148" s="189" t="s">
        <v>1543</v>
      </c>
      <c r="AA148" s="189" t="s">
        <v>757</v>
      </c>
      <c r="AB148" s="191"/>
      <c r="AC148" s="191"/>
      <c r="AD148" s="191"/>
      <c r="AE148" s="191"/>
      <c r="AF148" s="191"/>
      <c r="AG148" s="191"/>
      <c r="AH148" s="191"/>
      <c r="AI148" s="191"/>
      <c r="AJ148" s="191"/>
      <c r="AK148" s="191"/>
      <c r="AL148" s="191"/>
      <c r="AM148" s="191"/>
      <c r="AN148" s="191"/>
      <c r="AO148" s="191"/>
      <c r="AP148" s="191"/>
      <c r="AQ148" s="191"/>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N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2"/>
      <c r="CI148" s="192"/>
      <c r="CJ148" s="192"/>
      <c r="CK148" s="192"/>
      <c r="CL148" s="192"/>
      <c r="CM148" s="192"/>
      <c r="CN148" s="192"/>
      <c r="CO148" s="192"/>
      <c r="CP148" s="192"/>
      <c r="CQ148" s="192"/>
      <c r="CR148" s="192"/>
      <c r="CS148" s="192"/>
      <c r="CT148" s="192"/>
    </row>
    <row r="149" ht="26.25" customHeight="1">
      <c r="A149" s="184" t="s">
        <v>215</v>
      </c>
      <c r="B149" s="184" t="s">
        <v>1665</v>
      </c>
      <c r="C149" s="184" t="s">
        <v>632</v>
      </c>
      <c r="D149" s="185" t="s">
        <v>743</v>
      </c>
      <c r="E149" s="186" t="s">
        <v>1970</v>
      </c>
      <c r="F149" s="187" t="s">
        <v>1106</v>
      </c>
      <c r="G149" s="188">
        <v>0.5451388888888888</v>
      </c>
      <c r="H149" s="189" t="s">
        <v>1971</v>
      </c>
      <c r="I149" s="189" t="s">
        <v>1972</v>
      </c>
      <c r="J149" s="189" t="s">
        <v>1973</v>
      </c>
      <c r="K149" s="189" t="s">
        <v>1974</v>
      </c>
      <c r="L149" s="189" t="s">
        <v>1975</v>
      </c>
      <c r="M149" s="185" t="s">
        <v>1976</v>
      </c>
      <c r="N149" s="189" t="s">
        <v>850</v>
      </c>
      <c r="O149" s="185" t="s">
        <v>773</v>
      </c>
      <c r="P149" s="190"/>
      <c r="Q149" s="190"/>
      <c r="R149" s="190"/>
      <c r="S149" s="190"/>
      <c r="T149" s="190"/>
      <c r="U149" s="190"/>
      <c r="V149" s="189" t="s">
        <v>832</v>
      </c>
      <c r="W149" s="189" t="s">
        <v>833</v>
      </c>
      <c r="X149" s="185" t="s">
        <v>834</v>
      </c>
      <c r="Y149" s="189" t="s">
        <v>773</v>
      </c>
      <c r="Z149" s="189" t="s">
        <v>806</v>
      </c>
      <c r="AA149" s="189" t="s">
        <v>757</v>
      </c>
      <c r="AB149" s="191"/>
      <c r="AC149" s="191"/>
      <c r="AD149" s="191"/>
      <c r="AE149" s="191"/>
      <c r="AF149" s="191"/>
      <c r="AG149" s="191"/>
      <c r="AH149" s="191"/>
      <c r="AI149" s="191"/>
      <c r="AJ149" s="191"/>
      <c r="AK149" s="191"/>
      <c r="AL149" s="191"/>
      <c r="AM149" s="191"/>
      <c r="AN149" s="191"/>
      <c r="AO149" s="191"/>
      <c r="AP149" s="191"/>
      <c r="AQ149" s="191"/>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N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2"/>
      <c r="CI149" s="192"/>
      <c r="CJ149" s="192"/>
      <c r="CK149" s="192"/>
      <c r="CL149" s="192"/>
      <c r="CM149" s="192"/>
      <c r="CN149" s="192"/>
      <c r="CO149" s="192"/>
      <c r="CP149" s="192"/>
      <c r="CQ149" s="192"/>
      <c r="CR149" s="192"/>
      <c r="CS149" s="192"/>
      <c r="CT149" s="192"/>
    </row>
    <row r="150" ht="26.25" customHeight="1">
      <c r="A150" s="184" t="s">
        <v>219</v>
      </c>
      <c r="B150" s="184" t="s">
        <v>1665</v>
      </c>
      <c r="C150" s="184" t="s">
        <v>632</v>
      </c>
      <c r="D150" s="185" t="s">
        <v>743</v>
      </c>
      <c r="E150" s="186" t="s">
        <v>1970</v>
      </c>
      <c r="F150" s="187" t="s">
        <v>1106</v>
      </c>
      <c r="G150" s="188">
        <v>0.5590277777777778</v>
      </c>
      <c r="H150" s="189" t="s">
        <v>1977</v>
      </c>
      <c r="I150" s="189" t="s">
        <v>1978</v>
      </c>
      <c r="J150" s="189" t="s">
        <v>1979</v>
      </c>
      <c r="K150" s="189" t="s">
        <v>1980</v>
      </c>
      <c r="L150" s="189" t="s">
        <v>1981</v>
      </c>
      <c r="M150" s="185" t="s">
        <v>1982</v>
      </c>
      <c r="N150" s="189" t="s">
        <v>850</v>
      </c>
      <c r="O150" s="185" t="s">
        <v>773</v>
      </c>
      <c r="P150" s="190"/>
      <c r="Q150" s="190"/>
      <c r="R150" s="190"/>
      <c r="S150" s="190"/>
      <c r="T150" s="190"/>
      <c r="U150" s="190"/>
      <c r="V150" s="189" t="s">
        <v>1983</v>
      </c>
      <c r="W150" s="189" t="s">
        <v>1714</v>
      </c>
      <c r="X150" s="185" t="s">
        <v>1984</v>
      </c>
      <c r="Y150" s="189" t="s">
        <v>773</v>
      </c>
      <c r="Z150" s="189" t="s">
        <v>806</v>
      </c>
      <c r="AA150" s="189" t="s">
        <v>797</v>
      </c>
      <c r="AB150" s="191"/>
      <c r="AC150" s="191"/>
      <c r="AD150" s="191"/>
      <c r="AE150" s="191"/>
      <c r="AF150" s="191"/>
      <c r="AG150" s="191"/>
      <c r="AH150" s="191"/>
      <c r="AI150" s="191"/>
      <c r="AJ150" s="191"/>
      <c r="AK150" s="191"/>
      <c r="AL150" s="191"/>
      <c r="AM150" s="191"/>
      <c r="AN150" s="191"/>
      <c r="AO150" s="191"/>
      <c r="AP150" s="191"/>
      <c r="AQ150" s="191"/>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N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2"/>
      <c r="CI150" s="192"/>
      <c r="CJ150" s="192"/>
      <c r="CK150" s="192"/>
      <c r="CL150" s="192"/>
      <c r="CM150" s="192"/>
      <c r="CN150" s="192"/>
      <c r="CO150" s="192"/>
      <c r="CP150" s="192"/>
      <c r="CQ150" s="192"/>
      <c r="CR150" s="192"/>
      <c r="CS150" s="192"/>
      <c r="CT150" s="192"/>
    </row>
    <row r="151" ht="26.25" customHeight="1">
      <c r="A151" s="184" t="s">
        <v>218</v>
      </c>
      <c r="B151" s="184" t="s">
        <v>1665</v>
      </c>
      <c r="C151" s="184" t="s">
        <v>632</v>
      </c>
      <c r="D151" s="185" t="s">
        <v>743</v>
      </c>
      <c r="E151" s="186" t="s">
        <v>1970</v>
      </c>
      <c r="F151" s="187" t="s">
        <v>1106</v>
      </c>
      <c r="G151" s="188">
        <v>0.5729166666666666</v>
      </c>
      <c r="H151" s="189" t="s">
        <v>1985</v>
      </c>
      <c r="I151" s="185" t="s">
        <v>1986</v>
      </c>
      <c r="J151" s="189" t="s">
        <v>1987</v>
      </c>
      <c r="K151" s="189" t="s">
        <v>1576</v>
      </c>
      <c r="L151" s="189" t="s">
        <v>1988</v>
      </c>
      <c r="M151" s="185" t="s">
        <v>1989</v>
      </c>
      <c r="N151" s="189" t="s">
        <v>850</v>
      </c>
      <c r="O151" s="185" t="s">
        <v>764</v>
      </c>
      <c r="P151" s="190"/>
      <c r="Q151" s="190"/>
      <c r="R151" s="190"/>
      <c r="S151" s="190"/>
      <c r="T151" s="190"/>
      <c r="U151" s="190"/>
      <c r="V151" s="189" t="s">
        <v>1959</v>
      </c>
      <c r="W151" s="189" t="s">
        <v>1960</v>
      </c>
      <c r="X151" s="185" t="s">
        <v>1961</v>
      </c>
      <c r="Y151" s="189" t="s">
        <v>764</v>
      </c>
      <c r="Z151" s="189" t="s">
        <v>1543</v>
      </c>
      <c r="AA151" s="189" t="s">
        <v>757</v>
      </c>
      <c r="AB151" s="191"/>
      <c r="AC151" s="191"/>
      <c r="AD151" s="191"/>
      <c r="AE151" s="191"/>
      <c r="AF151" s="191"/>
      <c r="AG151" s="191"/>
      <c r="AH151" s="191"/>
      <c r="AI151" s="191"/>
      <c r="AJ151" s="191"/>
      <c r="AK151" s="191"/>
      <c r="AL151" s="191"/>
      <c r="AM151" s="191"/>
      <c r="AN151" s="191"/>
      <c r="AO151" s="191"/>
      <c r="AP151" s="191"/>
      <c r="AQ151" s="191"/>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N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2"/>
      <c r="CI151" s="192"/>
      <c r="CJ151" s="192"/>
      <c r="CK151" s="192"/>
      <c r="CL151" s="192"/>
      <c r="CM151" s="192"/>
      <c r="CN151" s="192"/>
      <c r="CO151" s="192"/>
      <c r="CP151" s="192"/>
      <c r="CQ151" s="192"/>
      <c r="CR151" s="192"/>
      <c r="CS151" s="192"/>
      <c r="CT151" s="192"/>
    </row>
    <row r="152" ht="26.25" customHeight="1">
      <c r="A152" s="184" t="s">
        <v>214</v>
      </c>
      <c r="B152" s="184" t="s">
        <v>1665</v>
      </c>
      <c r="C152" s="184" t="s">
        <v>632</v>
      </c>
      <c r="D152" s="185" t="s">
        <v>743</v>
      </c>
      <c r="E152" s="186" t="s">
        <v>1970</v>
      </c>
      <c r="F152" s="187" t="s">
        <v>1106</v>
      </c>
      <c r="G152" s="188">
        <v>0.5868055555555556</v>
      </c>
      <c r="H152" s="189" t="s">
        <v>1015</v>
      </c>
      <c r="I152" s="189" t="s">
        <v>1990</v>
      </c>
      <c r="J152" s="189" t="s">
        <v>1991</v>
      </c>
      <c r="K152" s="189" t="s">
        <v>1992</v>
      </c>
      <c r="L152" s="189" t="s">
        <v>1993</v>
      </c>
      <c r="M152" s="185" t="s">
        <v>1994</v>
      </c>
      <c r="N152" s="189" t="s">
        <v>908</v>
      </c>
      <c r="O152" s="185" t="s">
        <v>764</v>
      </c>
      <c r="P152" s="190"/>
      <c r="Q152" s="190"/>
      <c r="R152" s="190"/>
      <c r="S152" s="190"/>
      <c r="T152" s="190"/>
      <c r="U152" s="190"/>
      <c r="V152" s="189" t="s">
        <v>788</v>
      </c>
      <c r="W152" s="189" t="s">
        <v>1995</v>
      </c>
      <c r="X152" s="208" t="s">
        <v>1996</v>
      </c>
      <c r="Y152" s="189" t="s">
        <v>764</v>
      </c>
      <c r="Z152" s="189" t="s">
        <v>1543</v>
      </c>
      <c r="AA152" s="189" t="s">
        <v>797</v>
      </c>
      <c r="AB152" s="191"/>
      <c r="AC152" s="191"/>
      <c r="AD152" s="191"/>
      <c r="AE152" s="191"/>
      <c r="AF152" s="191"/>
      <c r="AG152" s="191"/>
      <c r="AH152" s="191"/>
      <c r="AI152" s="191"/>
      <c r="AJ152" s="191"/>
      <c r="AK152" s="191"/>
      <c r="AL152" s="191"/>
      <c r="AM152" s="191"/>
      <c r="AN152" s="191"/>
      <c r="AO152" s="191"/>
      <c r="AP152" s="191"/>
      <c r="AQ152" s="191"/>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N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2"/>
      <c r="CI152" s="192"/>
      <c r="CJ152" s="192"/>
      <c r="CK152" s="192"/>
      <c r="CL152" s="192"/>
      <c r="CM152" s="192"/>
      <c r="CN152" s="192"/>
      <c r="CO152" s="192"/>
      <c r="CP152" s="192"/>
      <c r="CQ152" s="192"/>
      <c r="CR152" s="192"/>
      <c r="CS152" s="192"/>
      <c r="CT152" s="192"/>
    </row>
    <row r="153" ht="26.25" customHeight="1">
      <c r="A153" s="184" t="s">
        <v>216</v>
      </c>
      <c r="B153" s="184" t="s">
        <v>1665</v>
      </c>
      <c r="C153" s="184" t="s">
        <v>632</v>
      </c>
      <c r="D153" s="185" t="s">
        <v>743</v>
      </c>
      <c r="E153" s="186" t="s">
        <v>1970</v>
      </c>
      <c r="F153" s="187" t="s">
        <v>1106</v>
      </c>
      <c r="G153" s="188">
        <v>0.6006944444444444</v>
      </c>
      <c r="H153" s="189" t="s">
        <v>1997</v>
      </c>
      <c r="I153" s="189" t="s">
        <v>1998</v>
      </c>
      <c r="J153" s="189" t="s">
        <v>1999</v>
      </c>
      <c r="K153" s="189" t="s">
        <v>2000</v>
      </c>
      <c r="L153" s="189" t="s">
        <v>2001</v>
      </c>
      <c r="M153" s="185" t="s">
        <v>2002</v>
      </c>
      <c r="N153" s="189" t="s">
        <v>908</v>
      </c>
      <c r="O153" s="185" t="s">
        <v>764</v>
      </c>
      <c r="P153" s="190"/>
      <c r="Q153" s="190"/>
      <c r="R153" s="190"/>
      <c r="S153" s="190"/>
      <c r="T153" s="190"/>
      <c r="U153" s="190"/>
      <c r="V153" s="189" t="s">
        <v>930</v>
      </c>
      <c r="W153" s="189" t="s">
        <v>1410</v>
      </c>
      <c r="X153" s="208" t="s">
        <v>1411</v>
      </c>
      <c r="Y153" s="189" t="s">
        <v>764</v>
      </c>
      <c r="Z153" s="189" t="s">
        <v>1543</v>
      </c>
      <c r="AA153" s="189" t="s">
        <v>797</v>
      </c>
      <c r="AB153" s="191"/>
      <c r="AC153" s="191"/>
      <c r="AD153" s="191"/>
      <c r="AE153" s="191"/>
      <c r="AF153" s="191"/>
      <c r="AG153" s="191"/>
      <c r="AH153" s="191"/>
      <c r="AI153" s="191"/>
      <c r="AJ153" s="191"/>
      <c r="AK153" s="191"/>
      <c r="AL153" s="191"/>
      <c r="AM153" s="191"/>
      <c r="AN153" s="191"/>
      <c r="AO153" s="191"/>
      <c r="AP153" s="191"/>
      <c r="AQ153" s="191"/>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N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2"/>
      <c r="CI153" s="192"/>
      <c r="CJ153" s="192"/>
      <c r="CK153" s="192"/>
      <c r="CL153" s="192"/>
      <c r="CM153" s="192"/>
      <c r="CN153" s="192"/>
      <c r="CO153" s="192"/>
      <c r="CP153" s="192"/>
      <c r="CQ153" s="192"/>
      <c r="CR153" s="192"/>
      <c r="CS153" s="192"/>
      <c r="CT153" s="192"/>
    </row>
    <row r="154" ht="26.25" customHeight="1">
      <c r="A154" s="184" t="s">
        <v>217</v>
      </c>
      <c r="B154" s="184" t="s">
        <v>1665</v>
      </c>
      <c r="C154" s="184" t="s">
        <v>632</v>
      </c>
      <c r="D154" s="185" t="s">
        <v>743</v>
      </c>
      <c r="E154" s="186" t="s">
        <v>1970</v>
      </c>
      <c r="F154" s="187" t="s">
        <v>1106</v>
      </c>
      <c r="G154" s="188">
        <v>0.6145833333333334</v>
      </c>
      <c r="H154" s="189" t="s">
        <v>2003</v>
      </c>
      <c r="I154" s="189" t="s">
        <v>2004</v>
      </c>
      <c r="J154" s="189" t="s">
        <v>2005</v>
      </c>
      <c r="K154" s="189" t="s">
        <v>1576</v>
      </c>
      <c r="L154" s="189" t="s">
        <v>2006</v>
      </c>
      <c r="M154" s="185" t="s">
        <v>2007</v>
      </c>
      <c r="N154" s="189" t="s">
        <v>850</v>
      </c>
      <c r="O154" s="185" t="s">
        <v>764</v>
      </c>
      <c r="P154" s="190"/>
      <c r="Q154" s="190"/>
      <c r="R154" s="190"/>
      <c r="S154" s="190"/>
      <c r="T154" s="190"/>
      <c r="U154" s="190"/>
      <c r="V154" s="189" t="s">
        <v>1967</v>
      </c>
      <c r="W154" s="189" t="s">
        <v>2008</v>
      </c>
      <c r="X154" s="208" t="s">
        <v>2009</v>
      </c>
      <c r="Y154" s="189" t="s">
        <v>764</v>
      </c>
      <c r="Z154" s="189" t="s">
        <v>1543</v>
      </c>
      <c r="AA154" s="189" t="s">
        <v>1296</v>
      </c>
      <c r="AB154" s="191"/>
      <c r="AC154" s="191"/>
      <c r="AD154" s="191"/>
      <c r="AE154" s="191"/>
      <c r="AF154" s="191"/>
      <c r="AG154" s="191"/>
      <c r="AH154" s="191"/>
      <c r="AI154" s="191"/>
      <c r="AJ154" s="191"/>
      <c r="AK154" s="191"/>
      <c r="AL154" s="191"/>
      <c r="AM154" s="191"/>
      <c r="AN154" s="191"/>
      <c r="AO154" s="191"/>
      <c r="AP154" s="191"/>
      <c r="AQ154" s="191"/>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N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2"/>
      <c r="CI154" s="192"/>
      <c r="CJ154" s="192"/>
      <c r="CK154" s="192"/>
      <c r="CL154" s="192"/>
      <c r="CM154" s="192"/>
      <c r="CN154" s="192"/>
      <c r="CO154" s="192"/>
      <c r="CP154" s="192"/>
      <c r="CQ154" s="192"/>
      <c r="CR154" s="192"/>
      <c r="CS154" s="192"/>
      <c r="CT154" s="192"/>
    </row>
    <row r="155" ht="26.25" customHeight="1">
      <c r="A155" s="184" t="s">
        <v>225</v>
      </c>
      <c r="B155" s="184" t="s">
        <v>1665</v>
      </c>
      <c r="C155" s="184" t="s">
        <v>633</v>
      </c>
      <c r="D155" s="185" t="s">
        <v>743</v>
      </c>
      <c r="E155" s="186" t="s">
        <v>806</v>
      </c>
      <c r="F155" s="187" t="s">
        <v>997</v>
      </c>
      <c r="G155" s="188">
        <v>0.5451388888888888</v>
      </c>
      <c r="H155" s="189" t="s">
        <v>2010</v>
      </c>
      <c r="I155" s="189" t="s">
        <v>2011</v>
      </c>
      <c r="J155" s="189" t="s">
        <v>2012</v>
      </c>
      <c r="K155" s="189" t="s">
        <v>2013</v>
      </c>
      <c r="L155" s="189" t="s">
        <v>2014</v>
      </c>
      <c r="M155" s="185" t="s">
        <v>2015</v>
      </c>
      <c r="N155" s="189" t="s">
        <v>908</v>
      </c>
      <c r="O155" s="185" t="s">
        <v>773</v>
      </c>
      <c r="P155" s="190"/>
      <c r="Q155" s="190"/>
      <c r="R155" s="190"/>
      <c r="S155" s="190"/>
      <c r="T155" s="190"/>
      <c r="U155" s="190"/>
      <c r="V155" s="189" t="s">
        <v>2016</v>
      </c>
      <c r="W155" s="189" t="s">
        <v>2017</v>
      </c>
      <c r="X155" s="208" t="s">
        <v>2018</v>
      </c>
      <c r="Y155" s="189" t="s">
        <v>773</v>
      </c>
      <c r="Z155" s="189" t="s">
        <v>806</v>
      </c>
      <c r="AA155" s="189" t="s">
        <v>757</v>
      </c>
      <c r="AB155" s="191"/>
      <c r="AC155" s="191"/>
      <c r="AD155" s="191"/>
      <c r="AE155" s="191"/>
      <c r="AF155" s="191"/>
      <c r="AG155" s="191"/>
      <c r="AH155" s="191"/>
      <c r="AI155" s="191"/>
      <c r="AJ155" s="191"/>
      <c r="AK155" s="191"/>
      <c r="AL155" s="191"/>
      <c r="AM155" s="191"/>
      <c r="AN155" s="191"/>
      <c r="AO155" s="191"/>
      <c r="AP155" s="191"/>
      <c r="AQ155" s="191"/>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N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2"/>
      <c r="CI155" s="192"/>
      <c r="CJ155" s="192"/>
      <c r="CK155" s="192"/>
      <c r="CL155" s="192"/>
      <c r="CM155" s="192"/>
      <c r="CN155" s="192"/>
      <c r="CO155" s="192"/>
      <c r="CP155" s="192"/>
      <c r="CQ155" s="192"/>
      <c r="CR155" s="192"/>
      <c r="CS155" s="192"/>
      <c r="CT155" s="192"/>
    </row>
    <row r="156" ht="26.25" customHeight="1">
      <c r="A156" s="184" t="s">
        <v>223</v>
      </c>
      <c r="B156" s="184" t="s">
        <v>1665</v>
      </c>
      <c r="C156" s="184" t="s">
        <v>633</v>
      </c>
      <c r="D156" s="185" t="s">
        <v>743</v>
      </c>
      <c r="E156" s="186" t="s">
        <v>806</v>
      </c>
      <c r="F156" s="187" t="s">
        <v>997</v>
      </c>
      <c r="G156" s="188">
        <v>0.5590277777777778</v>
      </c>
      <c r="H156" s="189" t="s">
        <v>2019</v>
      </c>
      <c r="I156" s="189" t="s">
        <v>2020</v>
      </c>
      <c r="J156" s="189" t="s">
        <v>2021</v>
      </c>
      <c r="K156" s="189" t="s">
        <v>2022</v>
      </c>
      <c r="L156" s="185" t="s">
        <v>2023</v>
      </c>
      <c r="M156" s="185" t="s">
        <v>2024</v>
      </c>
      <c r="N156" s="189" t="s">
        <v>850</v>
      </c>
      <c r="O156" s="185" t="s">
        <v>773</v>
      </c>
      <c r="P156" s="190"/>
      <c r="Q156" s="190"/>
      <c r="R156" s="190"/>
      <c r="S156" s="190"/>
      <c r="T156" s="190"/>
      <c r="U156" s="190"/>
      <c r="V156" s="189" t="s">
        <v>1983</v>
      </c>
      <c r="W156" s="189" t="s">
        <v>1714</v>
      </c>
      <c r="X156" s="208" t="s">
        <v>1984</v>
      </c>
      <c r="Y156" s="189" t="s">
        <v>773</v>
      </c>
      <c r="Z156" s="189" t="s">
        <v>806</v>
      </c>
      <c r="AA156" s="189" t="s">
        <v>797</v>
      </c>
      <c r="AB156" s="191"/>
      <c r="AC156" s="191"/>
      <c r="AD156" s="191"/>
      <c r="AE156" s="191"/>
      <c r="AF156" s="191"/>
      <c r="AG156" s="191"/>
      <c r="AH156" s="191"/>
      <c r="AI156" s="191"/>
      <c r="AJ156" s="191"/>
      <c r="AK156" s="191"/>
      <c r="AL156" s="191"/>
      <c r="AM156" s="191"/>
      <c r="AN156" s="191"/>
      <c r="AO156" s="191"/>
      <c r="AP156" s="191"/>
      <c r="AQ156" s="191"/>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N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2"/>
      <c r="CI156" s="192"/>
      <c r="CJ156" s="192"/>
      <c r="CK156" s="192"/>
      <c r="CL156" s="192"/>
      <c r="CM156" s="192"/>
      <c r="CN156" s="192"/>
      <c r="CO156" s="192"/>
      <c r="CP156" s="192"/>
      <c r="CQ156" s="192"/>
      <c r="CR156" s="192"/>
      <c r="CS156" s="192"/>
      <c r="CT156" s="192"/>
    </row>
    <row r="157" ht="26.25" customHeight="1">
      <c r="A157" s="184" t="s">
        <v>224</v>
      </c>
      <c r="B157" s="184" t="s">
        <v>1665</v>
      </c>
      <c r="C157" s="184" t="s">
        <v>633</v>
      </c>
      <c r="D157" s="185" t="s">
        <v>743</v>
      </c>
      <c r="E157" s="186" t="s">
        <v>806</v>
      </c>
      <c r="F157" s="187" t="s">
        <v>997</v>
      </c>
      <c r="G157" s="188">
        <v>0.5729166666666666</v>
      </c>
      <c r="H157" s="189" t="s">
        <v>2025</v>
      </c>
      <c r="I157" s="189" t="s">
        <v>2026</v>
      </c>
      <c r="J157" s="189" t="s">
        <v>2027</v>
      </c>
      <c r="K157" s="189" t="s">
        <v>2028</v>
      </c>
      <c r="L157" s="189" t="s">
        <v>2029</v>
      </c>
      <c r="M157" s="185" t="s">
        <v>2030</v>
      </c>
      <c r="N157" s="189" t="s">
        <v>850</v>
      </c>
      <c r="O157" s="185" t="s">
        <v>764</v>
      </c>
      <c r="P157" s="190"/>
      <c r="Q157" s="190"/>
      <c r="R157" s="190"/>
      <c r="S157" s="190"/>
      <c r="T157" s="190"/>
      <c r="U157" s="190"/>
      <c r="V157" s="189" t="s">
        <v>2031</v>
      </c>
      <c r="W157" s="189" t="s">
        <v>2032</v>
      </c>
      <c r="X157" s="208" t="s">
        <v>2033</v>
      </c>
      <c r="Y157" s="189" t="s">
        <v>773</v>
      </c>
      <c r="Z157" s="189" t="s">
        <v>806</v>
      </c>
      <c r="AA157" s="189" t="s">
        <v>757</v>
      </c>
      <c r="AB157" s="191"/>
      <c r="AC157" s="191"/>
      <c r="AD157" s="191"/>
      <c r="AE157" s="191"/>
      <c r="AF157" s="191"/>
      <c r="AG157" s="191"/>
      <c r="AH157" s="191"/>
      <c r="AI157" s="191"/>
      <c r="AJ157" s="191"/>
      <c r="AK157" s="191"/>
      <c r="AL157" s="191"/>
      <c r="AM157" s="191"/>
      <c r="AN157" s="191"/>
      <c r="AO157" s="191"/>
      <c r="AP157" s="191"/>
      <c r="AQ157" s="191"/>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N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2"/>
      <c r="CI157" s="192"/>
      <c r="CJ157" s="192"/>
      <c r="CK157" s="192"/>
      <c r="CL157" s="192"/>
      <c r="CM157" s="192"/>
      <c r="CN157" s="192"/>
      <c r="CO157" s="192"/>
      <c r="CP157" s="192"/>
      <c r="CQ157" s="192"/>
      <c r="CR157" s="192"/>
      <c r="CS157" s="192"/>
      <c r="CT157" s="192"/>
    </row>
    <row r="158" ht="26.25" customHeight="1">
      <c r="A158" s="184" t="s">
        <v>222</v>
      </c>
      <c r="B158" s="184" t="s">
        <v>1665</v>
      </c>
      <c r="C158" s="184" t="s">
        <v>633</v>
      </c>
      <c r="D158" s="185" t="s">
        <v>743</v>
      </c>
      <c r="E158" s="186" t="s">
        <v>806</v>
      </c>
      <c r="F158" s="187" t="s">
        <v>997</v>
      </c>
      <c r="G158" s="188">
        <v>0.5868055555555556</v>
      </c>
      <c r="H158" s="189" t="s">
        <v>2034</v>
      </c>
      <c r="I158" s="189" t="s">
        <v>2035</v>
      </c>
      <c r="J158" s="189" t="s">
        <v>2036</v>
      </c>
      <c r="K158" s="189" t="s">
        <v>2037</v>
      </c>
      <c r="L158" s="189" t="s">
        <v>2038</v>
      </c>
      <c r="M158" s="185" t="s">
        <v>2039</v>
      </c>
      <c r="N158" s="189" t="s">
        <v>850</v>
      </c>
      <c r="O158" s="185" t="s">
        <v>773</v>
      </c>
      <c r="P158" s="190"/>
      <c r="Q158" s="190"/>
      <c r="R158" s="190"/>
      <c r="S158" s="190"/>
      <c r="T158" s="190"/>
      <c r="U158" s="190"/>
      <c r="V158" s="189" t="s">
        <v>841</v>
      </c>
      <c r="W158" s="189" t="s">
        <v>842</v>
      </c>
      <c r="X158" s="185" t="s">
        <v>843</v>
      </c>
      <c r="Y158" s="189" t="s">
        <v>773</v>
      </c>
      <c r="Z158" s="189" t="s">
        <v>806</v>
      </c>
      <c r="AA158" s="189" t="s">
        <v>797</v>
      </c>
      <c r="AB158" s="191"/>
      <c r="AC158" s="191"/>
      <c r="AD158" s="191"/>
      <c r="AE158" s="191"/>
      <c r="AF158" s="191"/>
      <c r="AG158" s="191"/>
      <c r="AH158" s="191"/>
      <c r="AI158" s="191"/>
      <c r="AJ158" s="191"/>
      <c r="AK158" s="191"/>
      <c r="AL158" s="191"/>
      <c r="AM158" s="191"/>
      <c r="AN158" s="191"/>
      <c r="AO158" s="191"/>
      <c r="AP158" s="191"/>
      <c r="AQ158" s="191"/>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N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2"/>
      <c r="CI158" s="192"/>
      <c r="CJ158" s="192"/>
      <c r="CK158" s="192"/>
      <c r="CL158" s="192"/>
      <c r="CM158" s="192"/>
      <c r="CN158" s="192"/>
      <c r="CO158" s="192"/>
      <c r="CP158" s="192"/>
      <c r="CQ158" s="192"/>
      <c r="CR158" s="192"/>
      <c r="CS158" s="192"/>
      <c r="CT158" s="192"/>
    </row>
    <row r="159" ht="26.25" customHeight="1">
      <c r="A159" s="184" t="s">
        <v>220</v>
      </c>
      <c r="B159" s="184" t="s">
        <v>1665</v>
      </c>
      <c r="C159" s="184" t="s">
        <v>633</v>
      </c>
      <c r="D159" s="185" t="s">
        <v>743</v>
      </c>
      <c r="E159" s="186" t="s">
        <v>806</v>
      </c>
      <c r="F159" s="187" t="s">
        <v>997</v>
      </c>
      <c r="G159" s="188">
        <v>0.6006944444444444</v>
      </c>
      <c r="H159" s="189" t="s">
        <v>2040</v>
      </c>
      <c r="I159" s="189" t="s">
        <v>2041</v>
      </c>
      <c r="J159" s="189" t="s">
        <v>2042</v>
      </c>
      <c r="K159" s="189" t="s">
        <v>2043</v>
      </c>
      <c r="L159" s="189" t="s">
        <v>2044</v>
      </c>
      <c r="M159" s="209" t="s">
        <v>2045</v>
      </c>
      <c r="N159" s="189" t="s">
        <v>908</v>
      </c>
      <c r="O159" s="185" t="s">
        <v>773</v>
      </c>
      <c r="P159" s="190"/>
      <c r="Q159" s="190"/>
      <c r="R159" s="190"/>
      <c r="S159" s="190"/>
      <c r="T159" s="190"/>
      <c r="U159" s="190"/>
      <c r="V159" s="189" t="s">
        <v>2046</v>
      </c>
      <c r="W159" s="189" t="s">
        <v>2047</v>
      </c>
      <c r="X159" s="185" t="s">
        <v>2048</v>
      </c>
      <c r="Y159" s="189" t="s">
        <v>773</v>
      </c>
      <c r="Z159" s="189" t="s">
        <v>806</v>
      </c>
      <c r="AA159" s="189" t="s">
        <v>797</v>
      </c>
      <c r="AB159" s="191"/>
      <c r="AC159" s="191"/>
      <c r="AD159" s="191"/>
      <c r="AE159" s="191"/>
      <c r="AF159" s="191"/>
      <c r="AG159" s="191"/>
      <c r="AH159" s="191"/>
      <c r="AI159" s="191"/>
      <c r="AJ159" s="191"/>
      <c r="AK159" s="191"/>
      <c r="AL159" s="191"/>
      <c r="AM159" s="191"/>
      <c r="AN159" s="191"/>
      <c r="AO159" s="191"/>
      <c r="AP159" s="191"/>
      <c r="AQ159" s="191"/>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N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2"/>
      <c r="CI159" s="192"/>
      <c r="CJ159" s="192"/>
      <c r="CK159" s="192"/>
      <c r="CL159" s="192"/>
      <c r="CM159" s="192"/>
      <c r="CN159" s="192"/>
      <c r="CO159" s="192"/>
      <c r="CP159" s="192"/>
      <c r="CQ159" s="192"/>
      <c r="CR159" s="192"/>
      <c r="CS159" s="192"/>
      <c r="CT159" s="192"/>
    </row>
    <row r="160" ht="26.25" customHeight="1">
      <c r="A160" s="184" t="s">
        <v>221</v>
      </c>
      <c r="B160" s="184" t="s">
        <v>1665</v>
      </c>
      <c r="C160" s="184" t="s">
        <v>633</v>
      </c>
      <c r="D160" s="185" t="s">
        <v>743</v>
      </c>
      <c r="E160" s="186" t="s">
        <v>806</v>
      </c>
      <c r="F160" s="187" t="s">
        <v>997</v>
      </c>
      <c r="G160" s="188">
        <v>0.6145833333333334</v>
      </c>
      <c r="H160" s="189" t="s">
        <v>2049</v>
      </c>
      <c r="I160" s="189" t="s">
        <v>2050</v>
      </c>
      <c r="J160" s="189" t="s">
        <v>2051</v>
      </c>
      <c r="K160" s="189" t="s">
        <v>2052</v>
      </c>
      <c r="L160" s="189" t="s">
        <v>2053</v>
      </c>
      <c r="M160" s="185" t="s">
        <v>2054</v>
      </c>
      <c r="N160" s="189" t="s">
        <v>850</v>
      </c>
      <c r="O160" s="185" t="s">
        <v>773</v>
      </c>
      <c r="P160" s="190"/>
      <c r="Q160" s="190"/>
      <c r="R160" s="190"/>
      <c r="S160" s="190"/>
      <c r="T160" s="190"/>
      <c r="U160" s="190"/>
      <c r="V160" s="189" t="s">
        <v>841</v>
      </c>
      <c r="W160" s="189" t="s">
        <v>842</v>
      </c>
      <c r="X160" s="185" t="s">
        <v>843</v>
      </c>
      <c r="Y160" s="189" t="s">
        <v>773</v>
      </c>
      <c r="Z160" s="189" t="s">
        <v>806</v>
      </c>
      <c r="AA160" s="189" t="s">
        <v>797</v>
      </c>
      <c r="AB160" s="191"/>
      <c r="AC160" s="191"/>
      <c r="AD160" s="191"/>
      <c r="AE160" s="191"/>
      <c r="AF160" s="191"/>
      <c r="AG160" s="191"/>
      <c r="AH160" s="191"/>
      <c r="AI160" s="191"/>
      <c r="AJ160" s="191"/>
      <c r="AK160" s="191"/>
      <c r="AL160" s="191"/>
      <c r="AM160" s="191"/>
      <c r="AN160" s="191"/>
      <c r="AO160" s="191"/>
      <c r="AP160" s="191"/>
      <c r="AQ160" s="191"/>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N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2"/>
      <c r="CI160" s="192"/>
      <c r="CJ160" s="192"/>
      <c r="CK160" s="192"/>
      <c r="CL160" s="192"/>
      <c r="CM160" s="192"/>
      <c r="CN160" s="192"/>
      <c r="CO160" s="192"/>
      <c r="CP160" s="192"/>
      <c r="CQ160" s="192"/>
      <c r="CR160" s="192"/>
      <c r="CS160" s="192"/>
      <c r="CT160" s="192"/>
    </row>
    <row r="161" ht="26.25" customHeight="1">
      <c r="A161" s="184" t="s">
        <v>230</v>
      </c>
      <c r="B161" s="184" t="s">
        <v>2055</v>
      </c>
      <c r="C161" s="184" t="s">
        <v>634</v>
      </c>
      <c r="D161" s="185" t="s">
        <v>743</v>
      </c>
      <c r="E161" s="186" t="s">
        <v>744</v>
      </c>
      <c r="F161" s="187" t="s">
        <v>745</v>
      </c>
      <c r="G161" s="188">
        <v>0.6284722222222222</v>
      </c>
      <c r="H161" s="189" t="s">
        <v>2056</v>
      </c>
      <c r="I161" s="189" t="s">
        <v>2057</v>
      </c>
      <c r="J161" s="189" t="s">
        <v>2058</v>
      </c>
      <c r="K161" s="189" t="s">
        <v>2059</v>
      </c>
      <c r="L161" s="189" t="s">
        <v>2060</v>
      </c>
      <c r="M161" s="185" t="s">
        <v>2061</v>
      </c>
      <c r="N161" s="189" t="s">
        <v>752</v>
      </c>
      <c r="O161" s="185" t="s">
        <v>764</v>
      </c>
      <c r="P161" s="190"/>
      <c r="Q161" s="190"/>
      <c r="R161" s="190"/>
      <c r="S161" s="190"/>
      <c r="T161" s="190"/>
      <c r="U161" s="190"/>
      <c r="V161" s="189" t="s">
        <v>754</v>
      </c>
      <c r="W161" s="189" t="s">
        <v>755</v>
      </c>
      <c r="X161" s="185" t="s">
        <v>756</v>
      </c>
      <c r="Y161" s="189" t="s">
        <v>753</v>
      </c>
      <c r="Z161" s="190"/>
      <c r="AA161" s="189" t="s">
        <v>797</v>
      </c>
      <c r="AB161" s="191"/>
      <c r="AC161" s="191"/>
      <c r="AD161" s="191"/>
      <c r="AE161" s="191"/>
      <c r="AF161" s="191"/>
      <c r="AG161" s="191"/>
      <c r="AH161" s="191"/>
      <c r="AI161" s="191"/>
      <c r="AJ161" s="191"/>
      <c r="AK161" s="191"/>
      <c r="AL161" s="191"/>
      <c r="AM161" s="191"/>
      <c r="AN161" s="191"/>
      <c r="AO161" s="191"/>
      <c r="AP161" s="191"/>
      <c r="AQ161" s="191"/>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N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2"/>
      <c r="CI161" s="192"/>
      <c r="CJ161" s="192"/>
      <c r="CK161" s="192"/>
      <c r="CL161" s="192"/>
      <c r="CM161" s="192"/>
      <c r="CN161" s="192"/>
      <c r="CO161" s="192"/>
      <c r="CP161" s="192"/>
      <c r="CQ161" s="192"/>
      <c r="CR161" s="192"/>
      <c r="CS161" s="192"/>
      <c r="CT161" s="192"/>
    </row>
    <row r="162" ht="26.25" customHeight="1">
      <c r="A162" s="184" t="s">
        <v>228</v>
      </c>
      <c r="B162" s="184" t="s">
        <v>2055</v>
      </c>
      <c r="C162" s="184" t="s">
        <v>634</v>
      </c>
      <c r="D162" s="185" t="s">
        <v>743</v>
      </c>
      <c r="E162" s="186" t="s">
        <v>744</v>
      </c>
      <c r="F162" s="187" t="s">
        <v>745</v>
      </c>
      <c r="G162" s="188">
        <v>0.6423611111111112</v>
      </c>
      <c r="H162" s="189" t="s">
        <v>1817</v>
      </c>
      <c r="I162" s="189" t="s">
        <v>2062</v>
      </c>
      <c r="J162" s="189" t="s">
        <v>2063</v>
      </c>
      <c r="K162" s="189" t="s">
        <v>2064</v>
      </c>
      <c r="L162" s="185" t="s">
        <v>2065</v>
      </c>
      <c r="M162" s="185" t="s">
        <v>2066</v>
      </c>
      <c r="N162" s="189" t="s">
        <v>752</v>
      </c>
      <c r="O162" s="185" t="s">
        <v>753</v>
      </c>
      <c r="P162" s="190"/>
      <c r="Q162" s="190"/>
      <c r="R162" s="190"/>
      <c r="S162" s="190"/>
      <c r="T162" s="190"/>
      <c r="U162" s="190"/>
      <c r="V162" s="189" t="s">
        <v>1799</v>
      </c>
      <c r="W162" s="189" t="s">
        <v>1800</v>
      </c>
      <c r="X162" s="185" t="s">
        <v>1801</v>
      </c>
      <c r="Y162" s="189" t="s">
        <v>753</v>
      </c>
      <c r="Z162" s="190"/>
      <c r="AA162" s="189" t="s">
        <v>757</v>
      </c>
      <c r="AB162" s="191"/>
      <c r="AC162" s="191"/>
      <c r="AD162" s="191"/>
      <c r="AE162" s="191"/>
      <c r="AF162" s="191"/>
      <c r="AG162" s="191"/>
      <c r="AH162" s="191"/>
      <c r="AI162" s="191"/>
      <c r="AJ162" s="191"/>
      <c r="AK162" s="191"/>
      <c r="AL162" s="191"/>
      <c r="AM162" s="191"/>
      <c r="AN162" s="191"/>
      <c r="AO162" s="191"/>
      <c r="AP162" s="191"/>
      <c r="AQ162" s="191"/>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N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2"/>
      <c r="CI162" s="192"/>
      <c r="CJ162" s="192"/>
      <c r="CK162" s="192"/>
      <c r="CL162" s="192"/>
      <c r="CM162" s="192"/>
      <c r="CN162" s="192"/>
      <c r="CO162" s="192"/>
      <c r="CP162" s="192"/>
      <c r="CQ162" s="192"/>
      <c r="CR162" s="192"/>
      <c r="CS162" s="192"/>
      <c r="CT162" s="192"/>
    </row>
    <row r="163" ht="26.25" customHeight="1">
      <c r="A163" s="184" t="s">
        <v>229</v>
      </c>
      <c r="B163" s="184" t="s">
        <v>2055</v>
      </c>
      <c r="C163" s="184" t="s">
        <v>634</v>
      </c>
      <c r="D163" s="185" t="s">
        <v>743</v>
      </c>
      <c r="E163" s="186" t="s">
        <v>744</v>
      </c>
      <c r="F163" s="187" t="s">
        <v>745</v>
      </c>
      <c r="G163" s="188">
        <v>0.65625</v>
      </c>
      <c r="H163" s="189" t="s">
        <v>1696</v>
      </c>
      <c r="I163" s="189" t="s">
        <v>754</v>
      </c>
      <c r="J163" s="189" t="s">
        <v>1697</v>
      </c>
      <c r="K163" s="189" t="s">
        <v>1698</v>
      </c>
      <c r="L163" s="189" t="s">
        <v>2067</v>
      </c>
      <c r="M163" s="185" t="s">
        <v>2068</v>
      </c>
      <c r="N163" s="189" t="s">
        <v>752</v>
      </c>
      <c r="O163" s="185" t="s">
        <v>784</v>
      </c>
      <c r="P163" s="190"/>
      <c r="Q163" s="190"/>
      <c r="R163" s="190"/>
      <c r="S163" s="190"/>
      <c r="T163" s="190"/>
      <c r="U163" s="190"/>
      <c r="V163" s="189" t="s">
        <v>2069</v>
      </c>
      <c r="W163" s="189" t="s">
        <v>2070</v>
      </c>
      <c r="X163" s="185" t="s">
        <v>2071</v>
      </c>
      <c r="Y163" s="189" t="s">
        <v>784</v>
      </c>
      <c r="Z163" s="190"/>
      <c r="AA163" s="189" t="s">
        <v>757</v>
      </c>
      <c r="AB163" s="191"/>
      <c r="AC163" s="191"/>
      <c r="AD163" s="191"/>
      <c r="AE163" s="191"/>
      <c r="AF163" s="191"/>
      <c r="AG163" s="191"/>
      <c r="AH163" s="191"/>
      <c r="AI163" s="191"/>
      <c r="AJ163" s="191"/>
      <c r="AK163" s="191"/>
      <c r="AL163" s="191"/>
      <c r="AM163" s="191"/>
      <c r="AN163" s="191"/>
      <c r="AO163" s="191"/>
      <c r="AP163" s="191"/>
      <c r="AQ163" s="191"/>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N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2"/>
      <c r="CI163" s="192"/>
      <c r="CJ163" s="192"/>
      <c r="CK163" s="192"/>
      <c r="CL163" s="192"/>
      <c r="CM163" s="192"/>
      <c r="CN163" s="192"/>
      <c r="CO163" s="192"/>
      <c r="CP163" s="192"/>
      <c r="CQ163" s="192"/>
      <c r="CR163" s="192"/>
      <c r="CS163" s="192"/>
      <c r="CT163" s="192"/>
    </row>
    <row r="164" ht="26.25" customHeight="1">
      <c r="A164" s="184" t="s">
        <v>231</v>
      </c>
      <c r="B164" s="184" t="s">
        <v>2055</v>
      </c>
      <c r="C164" s="184" t="s">
        <v>634</v>
      </c>
      <c r="D164" s="185" t="s">
        <v>743</v>
      </c>
      <c r="E164" s="186" t="s">
        <v>744</v>
      </c>
      <c r="F164" s="207" t="s">
        <v>745</v>
      </c>
      <c r="G164" s="188">
        <v>0.6701388888888888</v>
      </c>
      <c r="H164" s="189" t="s">
        <v>1911</v>
      </c>
      <c r="I164" s="189" t="s">
        <v>2072</v>
      </c>
      <c r="J164" s="189" t="s">
        <v>2073</v>
      </c>
      <c r="K164" s="189" t="s">
        <v>2074</v>
      </c>
      <c r="L164" s="189" t="s">
        <v>2075</v>
      </c>
      <c r="M164" s="185" t="s">
        <v>2076</v>
      </c>
      <c r="N164" s="189" t="s">
        <v>752</v>
      </c>
      <c r="O164" s="185" t="s">
        <v>1789</v>
      </c>
      <c r="P164" s="190"/>
      <c r="Q164" s="190"/>
      <c r="R164" s="190"/>
      <c r="S164" s="190"/>
      <c r="T164" s="190"/>
      <c r="U164" s="190"/>
      <c r="V164" s="189" t="s">
        <v>2077</v>
      </c>
      <c r="W164" s="189" t="s">
        <v>2078</v>
      </c>
      <c r="X164" s="208" t="s">
        <v>2079</v>
      </c>
      <c r="Y164" s="189" t="s">
        <v>1789</v>
      </c>
      <c r="Z164" s="190"/>
      <c r="AA164" s="189" t="s">
        <v>797</v>
      </c>
      <c r="AB164" s="191"/>
      <c r="AC164" s="191"/>
      <c r="AD164" s="191"/>
      <c r="AE164" s="191"/>
      <c r="AF164" s="191"/>
      <c r="AG164" s="191"/>
      <c r="AH164" s="191"/>
      <c r="AI164" s="191"/>
      <c r="AJ164" s="191"/>
      <c r="AK164" s="191"/>
      <c r="AL164" s="191"/>
      <c r="AM164" s="191"/>
      <c r="AN164" s="191"/>
      <c r="AO164" s="191"/>
      <c r="AP164" s="191"/>
      <c r="AQ164" s="191"/>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N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2"/>
      <c r="CI164" s="192"/>
      <c r="CJ164" s="192"/>
      <c r="CK164" s="192"/>
      <c r="CL164" s="192"/>
      <c r="CM164" s="192"/>
      <c r="CN164" s="192"/>
      <c r="CO164" s="192"/>
      <c r="CP164" s="192"/>
      <c r="CQ164" s="192"/>
      <c r="CR164" s="192"/>
      <c r="CS164" s="192"/>
      <c r="CT164" s="192"/>
    </row>
    <row r="165" ht="26.25" customHeight="1">
      <c r="A165" s="184" t="s">
        <v>226</v>
      </c>
      <c r="B165" s="184" t="s">
        <v>2055</v>
      </c>
      <c r="C165" s="184" t="s">
        <v>634</v>
      </c>
      <c r="D165" s="185" t="s">
        <v>743</v>
      </c>
      <c r="E165" s="186" t="s">
        <v>744</v>
      </c>
      <c r="F165" s="207" t="s">
        <v>745</v>
      </c>
      <c r="G165" s="188">
        <v>0.6840277777777778</v>
      </c>
      <c r="H165" s="189" t="s">
        <v>1120</v>
      </c>
      <c r="I165" s="189" t="s">
        <v>2080</v>
      </c>
      <c r="J165" s="189" t="s">
        <v>2081</v>
      </c>
      <c r="K165" s="189" t="s">
        <v>2082</v>
      </c>
      <c r="L165" s="189" t="s">
        <v>2083</v>
      </c>
      <c r="M165" s="209" t="s">
        <v>2084</v>
      </c>
      <c r="N165" s="189" t="s">
        <v>752</v>
      </c>
      <c r="O165" s="185" t="s">
        <v>753</v>
      </c>
      <c r="P165" s="190"/>
      <c r="Q165" s="190"/>
      <c r="R165" s="190"/>
      <c r="S165" s="190"/>
      <c r="T165" s="190"/>
      <c r="U165" s="190"/>
      <c r="V165" s="189" t="s">
        <v>2085</v>
      </c>
      <c r="W165" s="189" t="s">
        <v>2086</v>
      </c>
      <c r="X165" s="208" t="s">
        <v>756</v>
      </c>
      <c r="Y165" s="189" t="s">
        <v>753</v>
      </c>
      <c r="Z165" s="190"/>
      <c r="AA165" s="189" t="s">
        <v>757</v>
      </c>
      <c r="AB165" s="191"/>
      <c r="AC165" s="191"/>
      <c r="AD165" s="191"/>
      <c r="AE165" s="191"/>
      <c r="AF165" s="191"/>
      <c r="AG165" s="191"/>
      <c r="AH165" s="191"/>
      <c r="AI165" s="191"/>
      <c r="AJ165" s="191"/>
      <c r="AK165" s="191"/>
      <c r="AL165" s="191"/>
      <c r="AM165" s="191"/>
      <c r="AN165" s="191"/>
      <c r="AO165" s="191"/>
      <c r="AP165" s="191"/>
      <c r="AQ165" s="191"/>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N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2"/>
      <c r="CI165" s="192"/>
      <c r="CJ165" s="192"/>
      <c r="CK165" s="192"/>
      <c r="CL165" s="192"/>
      <c r="CM165" s="192"/>
      <c r="CN165" s="192"/>
      <c r="CO165" s="192"/>
      <c r="CP165" s="192"/>
      <c r="CQ165" s="192"/>
      <c r="CR165" s="192"/>
      <c r="CS165" s="192"/>
      <c r="CT165" s="192"/>
    </row>
    <row r="166" ht="26.25" customHeight="1">
      <c r="A166" s="184" t="s">
        <v>227</v>
      </c>
      <c r="B166" s="184" t="s">
        <v>2055</v>
      </c>
      <c r="C166" s="184" t="s">
        <v>634</v>
      </c>
      <c r="D166" s="185" t="s">
        <v>743</v>
      </c>
      <c r="E166" s="186" t="s">
        <v>744</v>
      </c>
      <c r="F166" s="207" t="s">
        <v>745</v>
      </c>
      <c r="G166" s="188">
        <v>0.6979166666666666</v>
      </c>
      <c r="H166" s="189" t="s">
        <v>927</v>
      </c>
      <c r="I166" s="189" t="s">
        <v>2087</v>
      </c>
      <c r="J166" s="189" t="s">
        <v>2088</v>
      </c>
      <c r="K166" s="189" t="s">
        <v>2089</v>
      </c>
      <c r="L166" s="189" t="s">
        <v>2090</v>
      </c>
      <c r="M166" s="185" t="s">
        <v>2091</v>
      </c>
      <c r="N166" s="189" t="s">
        <v>752</v>
      </c>
      <c r="O166" s="185" t="s">
        <v>784</v>
      </c>
      <c r="P166" s="190"/>
      <c r="Q166" s="190"/>
      <c r="R166" s="190"/>
      <c r="S166" s="190"/>
      <c r="T166" s="190"/>
      <c r="U166" s="190"/>
      <c r="V166" s="189" t="s">
        <v>2092</v>
      </c>
      <c r="W166" s="189" t="s">
        <v>2093</v>
      </c>
      <c r="X166" s="208" t="s">
        <v>2094</v>
      </c>
      <c r="Y166" s="189" t="s">
        <v>784</v>
      </c>
      <c r="Z166" s="190"/>
      <c r="AA166" s="189" t="s">
        <v>757</v>
      </c>
      <c r="AB166" s="191"/>
      <c r="AC166" s="191"/>
      <c r="AD166" s="191"/>
      <c r="AE166" s="191"/>
      <c r="AF166" s="191"/>
      <c r="AG166" s="191"/>
      <c r="AH166" s="191"/>
      <c r="AI166" s="191"/>
      <c r="AJ166" s="191"/>
      <c r="AK166" s="191"/>
      <c r="AL166" s="191"/>
      <c r="AM166" s="191"/>
      <c r="AN166" s="191"/>
      <c r="AO166" s="191"/>
      <c r="AP166" s="191"/>
      <c r="AQ166" s="191"/>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N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2"/>
      <c r="CI166" s="192"/>
      <c r="CJ166" s="192"/>
      <c r="CK166" s="192"/>
      <c r="CL166" s="192"/>
      <c r="CM166" s="192"/>
      <c r="CN166" s="192"/>
      <c r="CO166" s="192"/>
      <c r="CP166" s="192"/>
      <c r="CQ166" s="192"/>
      <c r="CR166" s="192"/>
      <c r="CS166" s="192"/>
      <c r="CT166" s="192"/>
    </row>
    <row r="167" ht="26.25" customHeight="1">
      <c r="A167" s="184" t="s">
        <v>234</v>
      </c>
      <c r="B167" s="184" t="s">
        <v>2055</v>
      </c>
      <c r="C167" s="184" t="s">
        <v>635</v>
      </c>
      <c r="D167" s="185" t="s">
        <v>743</v>
      </c>
      <c r="E167" s="186" t="s">
        <v>844</v>
      </c>
      <c r="F167" s="207" t="s">
        <v>845</v>
      </c>
      <c r="G167" s="188">
        <v>0.6284722222222222</v>
      </c>
      <c r="H167" s="189" t="s">
        <v>2095</v>
      </c>
      <c r="I167" s="189" t="s">
        <v>2096</v>
      </c>
      <c r="J167" s="189" t="s">
        <v>2097</v>
      </c>
      <c r="K167" s="189" t="s">
        <v>2098</v>
      </c>
      <c r="L167" s="189" t="s">
        <v>2099</v>
      </c>
      <c r="M167" s="185" t="s">
        <v>2100</v>
      </c>
      <c r="N167" s="189" t="s">
        <v>850</v>
      </c>
      <c r="O167" s="185" t="s">
        <v>784</v>
      </c>
      <c r="P167" s="190"/>
      <c r="Q167" s="190"/>
      <c r="R167" s="190"/>
      <c r="S167" s="190"/>
      <c r="T167" s="190"/>
      <c r="U167" s="190"/>
      <c r="V167" s="189" t="s">
        <v>2101</v>
      </c>
      <c r="W167" s="189" t="s">
        <v>2102</v>
      </c>
      <c r="X167" s="208" t="s">
        <v>1792</v>
      </c>
      <c r="Y167" s="189" t="s">
        <v>1789</v>
      </c>
      <c r="Z167" s="189" t="s">
        <v>744</v>
      </c>
      <c r="AA167" s="189" t="s">
        <v>797</v>
      </c>
      <c r="AB167" s="191"/>
      <c r="AC167" s="191"/>
      <c r="AD167" s="191"/>
      <c r="AE167" s="191"/>
      <c r="AF167" s="191"/>
      <c r="AG167" s="191"/>
      <c r="AH167" s="191"/>
      <c r="AI167" s="191"/>
      <c r="AJ167" s="191"/>
      <c r="AK167" s="191"/>
      <c r="AL167" s="191"/>
      <c r="AM167" s="191"/>
      <c r="AN167" s="191"/>
      <c r="AO167" s="191"/>
      <c r="AP167" s="191"/>
      <c r="AQ167" s="191"/>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N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2"/>
      <c r="CI167" s="192"/>
      <c r="CJ167" s="192"/>
      <c r="CK167" s="192"/>
      <c r="CL167" s="192"/>
      <c r="CM167" s="192"/>
      <c r="CN167" s="192"/>
      <c r="CO167" s="192"/>
      <c r="CP167" s="192"/>
      <c r="CQ167" s="192"/>
      <c r="CR167" s="192"/>
      <c r="CS167" s="192"/>
      <c r="CT167" s="192"/>
    </row>
    <row r="168" ht="26.25" customHeight="1">
      <c r="A168" s="184" t="s">
        <v>235</v>
      </c>
      <c r="B168" s="184" t="s">
        <v>2055</v>
      </c>
      <c r="C168" s="184" t="s">
        <v>635</v>
      </c>
      <c r="D168" s="185" t="s">
        <v>743</v>
      </c>
      <c r="E168" s="186" t="s">
        <v>844</v>
      </c>
      <c r="F168" s="207" t="s">
        <v>845</v>
      </c>
      <c r="G168" s="188">
        <v>0.6423611111111112</v>
      </c>
      <c r="H168" s="189" t="s">
        <v>2103</v>
      </c>
      <c r="I168" s="189" t="s">
        <v>2104</v>
      </c>
      <c r="J168" s="189" t="s">
        <v>2105</v>
      </c>
      <c r="K168" s="189" t="s">
        <v>2106</v>
      </c>
      <c r="L168" s="189" t="s">
        <v>2107</v>
      </c>
      <c r="M168" s="185" t="s">
        <v>2108</v>
      </c>
      <c r="N168" s="189" t="s">
        <v>850</v>
      </c>
      <c r="O168" s="185" t="s">
        <v>764</v>
      </c>
      <c r="P168" s="190"/>
      <c r="Q168" s="190"/>
      <c r="R168" s="190"/>
      <c r="S168" s="190"/>
      <c r="T168" s="190"/>
      <c r="U168" s="190"/>
      <c r="V168" s="189" t="s">
        <v>2109</v>
      </c>
      <c r="W168" s="189" t="s">
        <v>2110</v>
      </c>
      <c r="X168" s="208" t="s">
        <v>2111</v>
      </c>
      <c r="Y168" s="189" t="s">
        <v>1789</v>
      </c>
      <c r="Z168" s="189" t="s">
        <v>744</v>
      </c>
      <c r="AA168" s="189" t="s">
        <v>1088</v>
      </c>
      <c r="AB168" s="191"/>
      <c r="AC168" s="191"/>
      <c r="AD168" s="191"/>
      <c r="AE168" s="191"/>
      <c r="AF168" s="191"/>
      <c r="AG168" s="191"/>
      <c r="AH168" s="191"/>
      <c r="AI168" s="191"/>
      <c r="AJ168" s="191"/>
      <c r="AK168" s="191"/>
      <c r="AL168" s="191"/>
      <c r="AM168" s="191"/>
      <c r="AN168" s="191"/>
      <c r="AO168" s="191"/>
      <c r="AP168" s="191"/>
      <c r="AQ168" s="191"/>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N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2"/>
      <c r="CI168" s="192"/>
      <c r="CJ168" s="192"/>
      <c r="CK168" s="192"/>
      <c r="CL168" s="192"/>
      <c r="CM168" s="192"/>
      <c r="CN168" s="192"/>
      <c r="CO168" s="192"/>
      <c r="CP168" s="192"/>
      <c r="CQ168" s="192"/>
      <c r="CR168" s="192"/>
      <c r="CS168" s="192"/>
      <c r="CT168" s="192"/>
    </row>
    <row r="169" ht="26.25" customHeight="1">
      <c r="A169" s="184" t="s">
        <v>236</v>
      </c>
      <c r="B169" s="184" t="s">
        <v>2055</v>
      </c>
      <c r="C169" s="184" t="s">
        <v>635</v>
      </c>
      <c r="D169" s="185" t="s">
        <v>743</v>
      </c>
      <c r="E169" s="186" t="s">
        <v>844</v>
      </c>
      <c r="F169" s="207" t="s">
        <v>845</v>
      </c>
      <c r="G169" s="188">
        <v>0.65625</v>
      </c>
      <c r="H169" s="189" t="s">
        <v>2112</v>
      </c>
      <c r="I169" s="189" t="s">
        <v>2113</v>
      </c>
      <c r="J169" s="189" t="s">
        <v>2114</v>
      </c>
      <c r="K169" s="189" t="s">
        <v>2115</v>
      </c>
      <c r="L169" s="189" t="s">
        <v>2116</v>
      </c>
      <c r="M169" s="185" t="s">
        <v>2117</v>
      </c>
      <c r="N169" s="189" t="s">
        <v>850</v>
      </c>
      <c r="O169" s="185" t="s">
        <v>784</v>
      </c>
      <c r="P169" s="189" t="s">
        <v>2118</v>
      </c>
      <c r="Q169" s="189" t="s">
        <v>2119</v>
      </c>
      <c r="R169" s="190"/>
      <c r="S169" s="190"/>
      <c r="T169" s="190"/>
      <c r="U169" s="190"/>
      <c r="V169" s="189" t="s">
        <v>2120</v>
      </c>
      <c r="W169" s="189" t="s">
        <v>2121</v>
      </c>
      <c r="X169" s="208" t="s">
        <v>2122</v>
      </c>
      <c r="Y169" s="189" t="s">
        <v>784</v>
      </c>
      <c r="Z169" s="189" t="s">
        <v>744</v>
      </c>
      <c r="AA169" s="189" t="s">
        <v>757</v>
      </c>
      <c r="AB169" s="191"/>
      <c r="AC169" s="191"/>
      <c r="AD169" s="191"/>
      <c r="AE169" s="191"/>
      <c r="AF169" s="191"/>
      <c r="AG169" s="191"/>
      <c r="AH169" s="191"/>
      <c r="AI169" s="191"/>
      <c r="AJ169" s="191"/>
      <c r="AK169" s="191"/>
      <c r="AL169" s="191"/>
      <c r="AM169" s="191"/>
      <c r="AN169" s="191"/>
      <c r="AO169" s="191"/>
      <c r="AP169" s="191"/>
      <c r="AQ169" s="191"/>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N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2"/>
      <c r="CI169" s="192"/>
      <c r="CJ169" s="192"/>
      <c r="CK169" s="192"/>
      <c r="CL169" s="192"/>
      <c r="CM169" s="192"/>
      <c r="CN169" s="192"/>
      <c r="CO169" s="192"/>
      <c r="CP169" s="192"/>
      <c r="CQ169" s="192"/>
      <c r="CR169" s="192"/>
      <c r="CS169" s="192"/>
      <c r="CT169" s="192"/>
    </row>
    <row r="170" ht="26.25" customHeight="1">
      <c r="A170" s="184" t="s">
        <v>232</v>
      </c>
      <c r="B170" s="184" t="s">
        <v>2055</v>
      </c>
      <c r="C170" s="184" t="s">
        <v>635</v>
      </c>
      <c r="D170" s="185" t="s">
        <v>743</v>
      </c>
      <c r="E170" s="186" t="s">
        <v>844</v>
      </c>
      <c r="F170" s="207" t="s">
        <v>845</v>
      </c>
      <c r="G170" s="188">
        <v>0.6701388888888888</v>
      </c>
      <c r="H170" s="189" t="s">
        <v>2123</v>
      </c>
      <c r="I170" s="189" t="s">
        <v>2124</v>
      </c>
      <c r="J170" s="189" t="s">
        <v>2125</v>
      </c>
      <c r="K170" s="189" t="s">
        <v>2126</v>
      </c>
      <c r="L170" s="189" t="s">
        <v>2127</v>
      </c>
      <c r="M170" s="185" t="s">
        <v>2128</v>
      </c>
      <c r="N170" s="189" t="s">
        <v>850</v>
      </c>
      <c r="O170" s="185" t="s">
        <v>893</v>
      </c>
      <c r="P170" s="189" t="s">
        <v>2129</v>
      </c>
      <c r="Q170" s="189" t="s">
        <v>2130</v>
      </c>
      <c r="R170" s="190"/>
      <c r="S170" s="190"/>
      <c r="T170" s="190"/>
      <c r="U170" s="190"/>
      <c r="V170" s="189" t="s">
        <v>2131</v>
      </c>
      <c r="W170" s="189" t="s">
        <v>2132</v>
      </c>
      <c r="X170" s="208" t="s">
        <v>2133</v>
      </c>
      <c r="Y170" s="189" t="s">
        <v>893</v>
      </c>
      <c r="Z170" s="189" t="s">
        <v>744</v>
      </c>
      <c r="AA170" s="189" t="s">
        <v>757</v>
      </c>
      <c r="AB170" s="191"/>
      <c r="AC170" s="191"/>
      <c r="AD170" s="191"/>
      <c r="AE170" s="191"/>
      <c r="AF170" s="191"/>
      <c r="AG170" s="191"/>
      <c r="AH170" s="191"/>
      <c r="AI170" s="191"/>
      <c r="AJ170" s="191"/>
      <c r="AK170" s="191"/>
      <c r="AL170" s="191"/>
      <c r="AM170" s="191"/>
      <c r="AN170" s="191"/>
      <c r="AO170" s="191"/>
      <c r="AP170" s="191"/>
      <c r="AQ170" s="191"/>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N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2"/>
      <c r="CI170" s="192"/>
      <c r="CJ170" s="192"/>
      <c r="CK170" s="192"/>
      <c r="CL170" s="192"/>
      <c r="CM170" s="192"/>
      <c r="CN170" s="192"/>
      <c r="CO170" s="192"/>
      <c r="CP170" s="192"/>
      <c r="CQ170" s="192"/>
      <c r="CR170" s="192"/>
      <c r="CS170" s="192"/>
      <c r="CT170" s="192"/>
    </row>
    <row r="171" ht="26.25" customHeight="1">
      <c r="A171" s="184" t="s">
        <v>237</v>
      </c>
      <c r="B171" s="184" t="s">
        <v>2055</v>
      </c>
      <c r="C171" s="184" t="s">
        <v>635</v>
      </c>
      <c r="D171" s="185" t="s">
        <v>743</v>
      </c>
      <c r="E171" s="186" t="s">
        <v>844</v>
      </c>
      <c r="F171" s="207" t="s">
        <v>845</v>
      </c>
      <c r="G171" s="188">
        <v>0.6840277777777778</v>
      </c>
      <c r="H171" s="185" t="s">
        <v>2134</v>
      </c>
      <c r="I171" s="189" t="s">
        <v>2135</v>
      </c>
      <c r="J171" s="189" t="s">
        <v>2136</v>
      </c>
      <c r="K171" s="189" t="s">
        <v>2137</v>
      </c>
      <c r="L171" s="189" t="s">
        <v>2138</v>
      </c>
      <c r="M171" s="185" t="s">
        <v>2139</v>
      </c>
      <c r="N171" s="189" t="s">
        <v>850</v>
      </c>
      <c r="O171" s="185" t="s">
        <v>753</v>
      </c>
      <c r="P171" s="190"/>
      <c r="Q171" s="190"/>
      <c r="R171" s="190"/>
      <c r="S171" s="190"/>
      <c r="T171" s="190"/>
      <c r="U171" s="190"/>
      <c r="V171" s="189" t="s">
        <v>1473</v>
      </c>
      <c r="W171" s="189" t="s">
        <v>2140</v>
      </c>
      <c r="X171" s="208" t="s">
        <v>2141</v>
      </c>
      <c r="Y171" s="189" t="s">
        <v>753</v>
      </c>
      <c r="Z171" s="189" t="s">
        <v>744</v>
      </c>
      <c r="AA171" s="189" t="s">
        <v>1654</v>
      </c>
      <c r="AB171" s="191"/>
      <c r="AC171" s="191"/>
      <c r="AD171" s="191"/>
      <c r="AE171" s="191"/>
      <c r="AF171" s="191"/>
      <c r="AG171" s="191"/>
      <c r="AH171" s="191"/>
      <c r="AI171" s="191"/>
      <c r="AJ171" s="191"/>
      <c r="AK171" s="191"/>
      <c r="AL171" s="191"/>
      <c r="AM171" s="191"/>
      <c r="AN171" s="191"/>
      <c r="AO171" s="191"/>
      <c r="AP171" s="191"/>
      <c r="AQ171" s="191"/>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N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2"/>
      <c r="CI171" s="192"/>
      <c r="CJ171" s="192"/>
      <c r="CK171" s="192"/>
      <c r="CL171" s="192"/>
      <c r="CM171" s="192"/>
      <c r="CN171" s="192"/>
      <c r="CO171" s="192"/>
      <c r="CP171" s="192"/>
      <c r="CQ171" s="192"/>
      <c r="CR171" s="192"/>
      <c r="CS171" s="192"/>
      <c r="CT171" s="192"/>
    </row>
    <row r="172" ht="26.25" customHeight="1">
      <c r="A172" s="184" t="s">
        <v>233</v>
      </c>
      <c r="B172" s="184" t="s">
        <v>2055</v>
      </c>
      <c r="C172" s="184" t="s">
        <v>635</v>
      </c>
      <c r="D172" s="185" t="s">
        <v>743</v>
      </c>
      <c r="E172" s="186" t="s">
        <v>844</v>
      </c>
      <c r="F172" s="207" t="s">
        <v>845</v>
      </c>
      <c r="G172" s="188">
        <v>0.6979166666666666</v>
      </c>
      <c r="H172" s="189" t="s">
        <v>2142</v>
      </c>
      <c r="I172" s="189" t="s">
        <v>2143</v>
      </c>
      <c r="J172" s="189" t="s">
        <v>2144</v>
      </c>
      <c r="K172" s="189" t="s">
        <v>2145</v>
      </c>
      <c r="L172" s="189" t="s">
        <v>2146</v>
      </c>
      <c r="M172" s="185" t="s">
        <v>2147</v>
      </c>
      <c r="N172" s="189" t="s">
        <v>850</v>
      </c>
      <c r="O172" s="185" t="s">
        <v>784</v>
      </c>
      <c r="P172" s="190"/>
      <c r="Q172" s="190"/>
      <c r="R172" s="190"/>
      <c r="S172" s="190"/>
      <c r="T172" s="190"/>
      <c r="U172" s="190"/>
      <c r="V172" s="189" t="s">
        <v>927</v>
      </c>
      <c r="W172" s="189" t="s">
        <v>2148</v>
      </c>
      <c r="X172" s="208" t="s">
        <v>929</v>
      </c>
      <c r="Y172" s="189" t="s">
        <v>784</v>
      </c>
      <c r="Z172" s="189" t="s">
        <v>744</v>
      </c>
      <c r="AA172" s="189" t="s">
        <v>757</v>
      </c>
      <c r="AB172" s="191"/>
      <c r="AC172" s="191"/>
      <c r="AD172" s="191"/>
      <c r="AE172" s="191"/>
      <c r="AF172" s="191"/>
      <c r="AG172" s="191"/>
      <c r="AH172" s="191"/>
      <c r="AI172" s="191"/>
      <c r="AJ172" s="191"/>
      <c r="AK172" s="191"/>
      <c r="AL172" s="191"/>
      <c r="AM172" s="191"/>
      <c r="AN172" s="191"/>
      <c r="AO172" s="191"/>
      <c r="AP172" s="191"/>
      <c r="AQ172" s="191"/>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N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2"/>
      <c r="CI172" s="192"/>
      <c r="CJ172" s="192"/>
      <c r="CK172" s="192"/>
      <c r="CL172" s="192"/>
      <c r="CM172" s="192"/>
      <c r="CN172" s="192"/>
      <c r="CO172" s="192"/>
      <c r="CP172" s="192"/>
      <c r="CQ172" s="192"/>
      <c r="CR172" s="192"/>
      <c r="CS172" s="192"/>
      <c r="CT172" s="192"/>
    </row>
    <row r="173" ht="26.25" customHeight="1">
      <c r="A173" s="184" t="s">
        <v>239</v>
      </c>
      <c r="B173" s="184" t="s">
        <v>2055</v>
      </c>
      <c r="C173" s="184" t="s">
        <v>636</v>
      </c>
      <c r="D173" s="185" t="s">
        <v>743</v>
      </c>
      <c r="E173" s="186" t="s">
        <v>900</v>
      </c>
      <c r="F173" s="207" t="s">
        <v>901</v>
      </c>
      <c r="G173" s="188">
        <v>0.6284722222222222</v>
      </c>
      <c r="H173" s="189" t="s">
        <v>2149</v>
      </c>
      <c r="I173" s="189" t="s">
        <v>2150</v>
      </c>
      <c r="J173" s="189" t="s">
        <v>2151</v>
      </c>
      <c r="K173" s="189" t="s">
        <v>2152</v>
      </c>
      <c r="L173" s="189" t="s">
        <v>2153</v>
      </c>
      <c r="M173" s="185" t="s">
        <v>2154</v>
      </c>
      <c r="N173" s="189" t="s">
        <v>850</v>
      </c>
      <c r="O173" s="185" t="s">
        <v>753</v>
      </c>
      <c r="P173" s="189" t="s">
        <v>2155</v>
      </c>
      <c r="Q173" s="189" t="s">
        <v>2156</v>
      </c>
      <c r="R173" s="189" t="s">
        <v>1764</v>
      </c>
      <c r="S173" s="189" t="s">
        <v>2157</v>
      </c>
      <c r="T173" s="190"/>
      <c r="U173" s="190"/>
      <c r="V173" s="189" t="s">
        <v>2158</v>
      </c>
      <c r="W173" s="189" t="s">
        <v>2159</v>
      </c>
      <c r="X173" s="208" t="s">
        <v>2160</v>
      </c>
      <c r="Y173" s="189" t="s">
        <v>753</v>
      </c>
      <c r="Z173" s="189" t="s">
        <v>744</v>
      </c>
      <c r="AA173" s="189" t="s">
        <v>757</v>
      </c>
      <c r="AB173" s="191"/>
      <c r="AC173" s="191"/>
      <c r="AD173" s="191"/>
      <c r="AE173" s="191"/>
      <c r="AF173" s="191"/>
      <c r="AG173" s="191"/>
      <c r="AH173" s="191"/>
      <c r="AI173" s="191"/>
      <c r="AJ173" s="191"/>
      <c r="AK173" s="191"/>
      <c r="AL173" s="191"/>
      <c r="AM173" s="191"/>
      <c r="AN173" s="191"/>
      <c r="AO173" s="191"/>
      <c r="AP173" s="191"/>
      <c r="AQ173" s="191"/>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N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2"/>
      <c r="CI173" s="192"/>
      <c r="CJ173" s="192"/>
      <c r="CK173" s="192"/>
      <c r="CL173" s="192"/>
      <c r="CM173" s="192"/>
      <c r="CN173" s="192"/>
      <c r="CO173" s="192"/>
      <c r="CP173" s="192"/>
      <c r="CQ173" s="192"/>
      <c r="CR173" s="192"/>
      <c r="CS173" s="192"/>
      <c r="CT173" s="192"/>
    </row>
    <row r="174" ht="26.25" customHeight="1">
      <c r="A174" s="184" t="s">
        <v>242</v>
      </c>
      <c r="B174" s="184" t="s">
        <v>2055</v>
      </c>
      <c r="C174" s="184" t="s">
        <v>636</v>
      </c>
      <c r="D174" s="185" t="s">
        <v>743</v>
      </c>
      <c r="E174" s="186" t="s">
        <v>900</v>
      </c>
      <c r="F174" s="207" t="s">
        <v>901</v>
      </c>
      <c r="G174" s="188">
        <v>0.6423611111111112</v>
      </c>
      <c r="H174" s="185" t="s">
        <v>2161</v>
      </c>
      <c r="I174" s="189" t="s">
        <v>2162</v>
      </c>
      <c r="J174" s="189" t="s">
        <v>2163</v>
      </c>
      <c r="K174" s="189" t="s">
        <v>2164</v>
      </c>
      <c r="L174" s="190" t="s">
        <v>2165</v>
      </c>
      <c r="M174" s="185" t="s">
        <v>2166</v>
      </c>
      <c r="N174" s="189" t="s">
        <v>850</v>
      </c>
      <c r="O174" s="185" t="s">
        <v>753</v>
      </c>
      <c r="P174" s="190"/>
      <c r="Q174" s="190"/>
      <c r="R174" s="190"/>
      <c r="S174" s="190"/>
      <c r="T174" s="190"/>
      <c r="U174" s="190"/>
      <c r="V174" s="189" t="s">
        <v>754</v>
      </c>
      <c r="W174" s="189" t="s">
        <v>1266</v>
      </c>
      <c r="X174" s="208" t="s">
        <v>756</v>
      </c>
      <c r="Y174" s="189" t="s">
        <v>753</v>
      </c>
      <c r="Z174" s="189" t="s">
        <v>744</v>
      </c>
      <c r="AA174" s="189" t="s">
        <v>757</v>
      </c>
      <c r="AB174" s="191"/>
      <c r="AC174" s="191"/>
      <c r="AD174" s="191"/>
      <c r="AE174" s="191"/>
      <c r="AF174" s="191"/>
      <c r="AG174" s="191"/>
      <c r="AH174" s="191"/>
      <c r="AI174" s="191"/>
      <c r="AJ174" s="191"/>
      <c r="AK174" s="191"/>
      <c r="AL174" s="191"/>
      <c r="AM174" s="191"/>
      <c r="AN174" s="191"/>
      <c r="AO174" s="191"/>
      <c r="AP174" s="191"/>
      <c r="AQ174" s="191"/>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N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2"/>
      <c r="CI174" s="192"/>
      <c r="CJ174" s="192"/>
      <c r="CK174" s="192"/>
      <c r="CL174" s="192"/>
      <c r="CM174" s="192"/>
      <c r="CN174" s="192"/>
      <c r="CO174" s="192"/>
      <c r="CP174" s="192"/>
      <c r="CQ174" s="192"/>
      <c r="CR174" s="192"/>
      <c r="CS174" s="192"/>
      <c r="CT174" s="192"/>
    </row>
    <row r="175" ht="26.25" customHeight="1">
      <c r="A175" s="184" t="s">
        <v>240</v>
      </c>
      <c r="B175" s="184" t="s">
        <v>2055</v>
      </c>
      <c r="C175" s="184" t="s">
        <v>636</v>
      </c>
      <c r="D175" s="185" t="s">
        <v>743</v>
      </c>
      <c r="E175" s="186" t="s">
        <v>900</v>
      </c>
      <c r="F175" s="207" t="s">
        <v>901</v>
      </c>
      <c r="G175" s="188">
        <v>0.65625</v>
      </c>
      <c r="H175" s="185" t="s">
        <v>2167</v>
      </c>
      <c r="I175" s="189" t="s">
        <v>2168</v>
      </c>
      <c r="J175" s="189" t="s">
        <v>2169</v>
      </c>
      <c r="K175" s="189" t="s">
        <v>2170</v>
      </c>
      <c r="L175" s="189" t="s">
        <v>2171</v>
      </c>
      <c r="M175" s="185" t="s">
        <v>2172</v>
      </c>
      <c r="N175" s="189" t="s">
        <v>850</v>
      </c>
      <c r="O175" s="185" t="s">
        <v>893</v>
      </c>
      <c r="P175" s="190"/>
      <c r="Q175" s="190"/>
      <c r="R175" s="190"/>
      <c r="S175" s="190"/>
      <c r="T175" s="190"/>
      <c r="U175" s="190"/>
      <c r="V175" s="189" t="s">
        <v>2173</v>
      </c>
      <c r="W175" s="189" t="s">
        <v>2174</v>
      </c>
      <c r="X175" s="208" t="s">
        <v>2175</v>
      </c>
      <c r="Y175" s="189" t="s">
        <v>893</v>
      </c>
      <c r="Z175" s="189" t="s">
        <v>744</v>
      </c>
      <c r="AA175" s="189" t="s">
        <v>797</v>
      </c>
      <c r="AB175" s="191"/>
      <c r="AC175" s="191"/>
      <c r="AD175" s="191"/>
      <c r="AE175" s="191"/>
      <c r="AF175" s="191"/>
      <c r="AG175" s="191"/>
      <c r="AH175" s="191"/>
      <c r="AI175" s="191"/>
      <c r="AJ175" s="191"/>
      <c r="AK175" s="191"/>
      <c r="AL175" s="191"/>
      <c r="AM175" s="191"/>
      <c r="AN175" s="191"/>
      <c r="AO175" s="191"/>
      <c r="AP175" s="191"/>
      <c r="AQ175" s="191"/>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N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2"/>
      <c r="CI175" s="192"/>
      <c r="CJ175" s="192"/>
      <c r="CK175" s="192"/>
      <c r="CL175" s="192"/>
      <c r="CM175" s="192"/>
      <c r="CN175" s="192"/>
      <c r="CO175" s="192"/>
      <c r="CP175" s="192"/>
      <c r="CQ175" s="192"/>
      <c r="CR175" s="192"/>
      <c r="CS175" s="192"/>
      <c r="CT175" s="192"/>
    </row>
    <row r="176" ht="26.25" customHeight="1">
      <c r="A176" s="184" t="s">
        <v>243</v>
      </c>
      <c r="B176" s="184" t="s">
        <v>2055</v>
      </c>
      <c r="C176" s="184" t="s">
        <v>636</v>
      </c>
      <c r="D176" s="185" t="s">
        <v>743</v>
      </c>
      <c r="E176" s="186" t="s">
        <v>900</v>
      </c>
      <c r="F176" s="187" t="s">
        <v>901</v>
      </c>
      <c r="G176" s="188">
        <v>0.6701388888888888</v>
      </c>
      <c r="H176" s="189" t="s">
        <v>2176</v>
      </c>
      <c r="I176" s="189" t="s">
        <v>2177</v>
      </c>
      <c r="J176" s="189" t="s">
        <v>2178</v>
      </c>
      <c r="K176" s="189" t="s">
        <v>2179</v>
      </c>
      <c r="L176" s="189" t="s">
        <v>2180</v>
      </c>
      <c r="M176" s="185" t="s">
        <v>2181</v>
      </c>
      <c r="N176" s="189" t="s">
        <v>850</v>
      </c>
      <c r="O176" s="185" t="s">
        <v>753</v>
      </c>
      <c r="P176" s="190"/>
      <c r="Q176" s="190"/>
      <c r="R176" s="190"/>
      <c r="S176" s="190"/>
      <c r="T176" s="190"/>
      <c r="U176" s="190"/>
      <c r="V176" s="189" t="s">
        <v>788</v>
      </c>
      <c r="W176" s="189" t="s">
        <v>2182</v>
      </c>
      <c r="X176" s="208" t="s">
        <v>2183</v>
      </c>
      <c r="Y176" s="189" t="s">
        <v>784</v>
      </c>
      <c r="Z176" s="189" t="s">
        <v>1060</v>
      </c>
      <c r="AA176" s="189" t="s">
        <v>757</v>
      </c>
      <c r="AB176" s="191"/>
      <c r="AC176" s="191"/>
      <c r="AD176" s="191"/>
      <c r="AE176" s="191"/>
      <c r="AF176" s="191"/>
      <c r="AG176" s="191"/>
      <c r="AH176" s="191"/>
      <c r="AI176" s="191"/>
      <c r="AJ176" s="191"/>
      <c r="AK176" s="191"/>
      <c r="AL176" s="191"/>
      <c r="AM176" s="191"/>
      <c r="AN176" s="191"/>
      <c r="AO176" s="191"/>
      <c r="AP176" s="191"/>
      <c r="AQ176" s="191"/>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N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2"/>
      <c r="CI176" s="192"/>
      <c r="CJ176" s="192"/>
      <c r="CK176" s="192"/>
      <c r="CL176" s="192"/>
      <c r="CM176" s="192"/>
      <c r="CN176" s="192"/>
      <c r="CO176" s="192"/>
      <c r="CP176" s="192"/>
      <c r="CQ176" s="192"/>
      <c r="CR176" s="192"/>
      <c r="CS176" s="192"/>
      <c r="CT176" s="192"/>
    </row>
    <row r="177" ht="26.25" customHeight="1">
      <c r="A177" s="184" t="s">
        <v>238</v>
      </c>
      <c r="B177" s="184" t="s">
        <v>2055</v>
      </c>
      <c r="C177" s="184" t="s">
        <v>636</v>
      </c>
      <c r="D177" s="185" t="s">
        <v>743</v>
      </c>
      <c r="E177" s="186" t="s">
        <v>900</v>
      </c>
      <c r="F177" s="187" t="s">
        <v>901</v>
      </c>
      <c r="G177" s="188">
        <v>0.6840277777777778</v>
      </c>
      <c r="H177" s="189" t="s">
        <v>2184</v>
      </c>
      <c r="I177" s="189" t="s">
        <v>1163</v>
      </c>
      <c r="J177" s="189" t="s">
        <v>2185</v>
      </c>
      <c r="K177" s="189" t="s">
        <v>2186</v>
      </c>
      <c r="L177" s="190" t="s">
        <v>2187</v>
      </c>
      <c r="M177" s="185" t="s">
        <v>2188</v>
      </c>
      <c r="N177" s="189" t="s">
        <v>850</v>
      </c>
      <c r="O177" s="185" t="s">
        <v>784</v>
      </c>
      <c r="P177" s="190"/>
      <c r="Q177" s="190"/>
      <c r="R177" s="190"/>
      <c r="S177" s="190"/>
      <c r="T177" s="190"/>
      <c r="U177" s="190"/>
      <c r="V177" s="189" t="s">
        <v>1608</v>
      </c>
      <c r="W177" s="189" t="s">
        <v>1609</v>
      </c>
      <c r="X177" s="208" t="s">
        <v>1610</v>
      </c>
      <c r="Y177" s="189" t="s">
        <v>784</v>
      </c>
      <c r="Z177" s="189" t="s">
        <v>1543</v>
      </c>
      <c r="AA177" s="189" t="s">
        <v>757</v>
      </c>
      <c r="AB177" s="191"/>
      <c r="AC177" s="191"/>
      <c r="AD177" s="191"/>
      <c r="AE177" s="191"/>
      <c r="AF177" s="191"/>
      <c r="AG177" s="191"/>
      <c r="AH177" s="191"/>
      <c r="AI177" s="191"/>
      <c r="AJ177" s="191"/>
      <c r="AK177" s="191"/>
      <c r="AL177" s="191"/>
      <c r="AM177" s="191"/>
      <c r="AN177" s="191"/>
      <c r="AO177" s="191"/>
      <c r="AP177" s="191"/>
      <c r="AQ177" s="191"/>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N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2"/>
      <c r="CI177" s="192"/>
      <c r="CJ177" s="192"/>
      <c r="CK177" s="192"/>
      <c r="CL177" s="192"/>
      <c r="CM177" s="192"/>
      <c r="CN177" s="192"/>
      <c r="CO177" s="192"/>
      <c r="CP177" s="192"/>
      <c r="CQ177" s="192"/>
      <c r="CR177" s="192"/>
      <c r="CS177" s="192"/>
      <c r="CT177" s="192"/>
    </row>
    <row r="178" ht="26.25" customHeight="1">
      <c r="A178" s="184" t="s">
        <v>241</v>
      </c>
      <c r="B178" s="184" t="s">
        <v>2055</v>
      </c>
      <c r="C178" s="184" t="s">
        <v>636</v>
      </c>
      <c r="D178" s="185" t="s">
        <v>743</v>
      </c>
      <c r="E178" s="186" t="s">
        <v>900</v>
      </c>
      <c r="F178" s="187" t="s">
        <v>901</v>
      </c>
      <c r="G178" s="188">
        <v>0.6979166666666666</v>
      </c>
      <c r="H178" s="189" t="s">
        <v>2189</v>
      </c>
      <c r="I178" s="189" t="s">
        <v>2190</v>
      </c>
      <c r="J178" s="189" t="s">
        <v>2191</v>
      </c>
      <c r="K178" s="189" t="s">
        <v>2192</v>
      </c>
      <c r="L178" s="190" t="s">
        <v>2193</v>
      </c>
      <c r="M178" s="185" t="s">
        <v>2194</v>
      </c>
      <c r="N178" s="189" t="s">
        <v>908</v>
      </c>
      <c r="O178" s="185" t="s">
        <v>893</v>
      </c>
      <c r="P178" s="190"/>
      <c r="Q178" s="190"/>
      <c r="R178" s="190"/>
      <c r="S178" s="190"/>
      <c r="T178" s="190"/>
      <c r="U178" s="190"/>
      <c r="V178" s="189" t="s">
        <v>2173</v>
      </c>
      <c r="W178" s="189" t="s">
        <v>2174</v>
      </c>
      <c r="X178" s="208" t="s">
        <v>2195</v>
      </c>
      <c r="Y178" s="189" t="s">
        <v>893</v>
      </c>
      <c r="Z178" s="189" t="s">
        <v>744</v>
      </c>
      <c r="AA178" s="189" t="s">
        <v>757</v>
      </c>
      <c r="AB178" s="191"/>
      <c r="AC178" s="191"/>
      <c r="AD178" s="191"/>
      <c r="AE178" s="191"/>
      <c r="AF178" s="191"/>
      <c r="AG178" s="191"/>
      <c r="AH178" s="191"/>
      <c r="AI178" s="191"/>
      <c r="AJ178" s="191"/>
      <c r="AK178" s="191"/>
      <c r="AL178" s="191"/>
      <c r="AM178" s="191"/>
      <c r="AN178" s="191"/>
      <c r="AO178" s="191"/>
      <c r="AP178" s="191"/>
      <c r="AQ178" s="191"/>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N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2"/>
      <c r="CI178" s="192"/>
      <c r="CJ178" s="192"/>
      <c r="CK178" s="192"/>
      <c r="CL178" s="192"/>
      <c r="CM178" s="192"/>
      <c r="CN178" s="192"/>
      <c r="CO178" s="192"/>
      <c r="CP178" s="192"/>
      <c r="CQ178" s="192"/>
      <c r="CR178" s="192"/>
      <c r="CS178" s="192"/>
      <c r="CT178" s="192"/>
    </row>
    <row r="179" ht="26.25" customHeight="1">
      <c r="A179" s="184" t="s">
        <v>248</v>
      </c>
      <c r="B179" s="184" t="s">
        <v>2055</v>
      </c>
      <c r="C179" s="184" t="s">
        <v>637</v>
      </c>
      <c r="D179" s="185" t="s">
        <v>743</v>
      </c>
      <c r="E179" s="186" t="s">
        <v>2196</v>
      </c>
      <c r="F179" s="187" t="s">
        <v>1050</v>
      </c>
      <c r="G179" s="188">
        <v>0.6284722222222222</v>
      </c>
      <c r="H179" s="189" t="s">
        <v>2197</v>
      </c>
      <c r="I179" s="189" t="s">
        <v>2198</v>
      </c>
      <c r="J179" s="189" t="s">
        <v>2199</v>
      </c>
      <c r="K179" s="189" t="s">
        <v>2200</v>
      </c>
      <c r="L179" s="189" t="s">
        <v>2201</v>
      </c>
      <c r="M179" s="185" t="s">
        <v>2202</v>
      </c>
      <c r="N179" s="189" t="s">
        <v>850</v>
      </c>
      <c r="O179" s="185" t="s">
        <v>753</v>
      </c>
      <c r="P179" s="190"/>
      <c r="Q179" s="190"/>
      <c r="R179" s="190"/>
      <c r="S179" s="190"/>
      <c r="T179" s="190"/>
      <c r="U179" s="190"/>
      <c r="V179" s="189" t="s">
        <v>1770</v>
      </c>
      <c r="W179" s="189" t="s">
        <v>1771</v>
      </c>
      <c r="X179" s="208" t="s">
        <v>1772</v>
      </c>
      <c r="Y179" s="189" t="s">
        <v>753</v>
      </c>
      <c r="Z179" s="189" t="s">
        <v>2203</v>
      </c>
      <c r="AA179" s="189" t="s">
        <v>757</v>
      </c>
      <c r="AB179" s="191"/>
      <c r="AC179" s="191"/>
      <c r="AD179" s="191"/>
      <c r="AE179" s="191"/>
      <c r="AF179" s="191"/>
      <c r="AG179" s="191"/>
      <c r="AH179" s="191"/>
      <c r="AI179" s="191"/>
      <c r="AJ179" s="191"/>
      <c r="AK179" s="191"/>
      <c r="AL179" s="191"/>
      <c r="AM179" s="191"/>
      <c r="AN179" s="191"/>
      <c r="AO179" s="191"/>
      <c r="AP179" s="191"/>
      <c r="AQ179" s="191"/>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N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2"/>
      <c r="CI179" s="192"/>
      <c r="CJ179" s="192"/>
      <c r="CK179" s="192"/>
      <c r="CL179" s="192"/>
      <c r="CM179" s="192"/>
      <c r="CN179" s="192"/>
      <c r="CO179" s="192"/>
      <c r="CP179" s="192"/>
      <c r="CQ179" s="192"/>
      <c r="CR179" s="192"/>
      <c r="CS179" s="192"/>
      <c r="CT179" s="192"/>
    </row>
    <row r="180" ht="26.25" customHeight="1">
      <c r="A180" s="184" t="s">
        <v>245</v>
      </c>
      <c r="B180" s="184" t="s">
        <v>2055</v>
      </c>
      <c r="C180" s="184" t="s">
        <v>637</v>
      </c>
      <c r="D180" s="185" t="s">
        <v>743</v>
      </c>
      <c r="E180" s="186" t="s">
        <v>2196</v>
      </c>
      <c r="F180" s="187" t="s">
        <v>1050</v>
      </c>
      <c r="G180" s="188">
        <v>0.6423611111111112</v>
      </c>
      <c r="H180" s="189" t="s">
        <v>2204</v>
      </c>
      <c r="I180" s="189" t="s">
        <v>2205</v>
      </c>
      <c r="J180" s="189" t="s">
        <v>2206</v>
      </c>
      <c r="K180" s="189" t="s">
        <v>2207</v>
      </c>
      <c r="L180" s="189" t="s">
        <v>2208</v>
      </c>
      <c r="M180" s="185" t="s">
        <v>2209</v>
      </c>
      <c r="N180" s="189" t="s">
        <v>850</v>
      </c>
      <c r="O180" s="185" t="s">
        <v>753</v>
      </c>
      <c r="P180" s="190"/>
      <c r="Q180" s="190"/>
      <c r="R180" s="190"/>
      <c r="S180" s="190"/>
      <c r="T180" s="190"/>
      <c r="U180" s="190"/>
      <c r="V180" s="189" t="s">
        <v>1770</v>
      </c>
      <c r="W180" s="189" t="s">
        <v>1771</v>
      </c>
      <c r="X180" s="208" t="s">
        <v>1772</v>
      </c>
      <c r="Y180" s="189" t="s">
        <v>753</v>
      </c>
      <c r="Z180" s="189" t="s">
        <v>2203</v>
      </c>
      <c r="AA180" s="189" t="s">
        <v>797</v>
      </c>
      <c r="AB180" s="191"/>
      <c r="AC180" s="191"/>
      <c r="AD180" s="191"/>
      <c r="AE180" s="191"/>
      <c r="AF180" s="191"/>
      <c r="AG180" s="191"/>
      <c r="AH180" s="191"/>
      <c r="AI180" s="191"/>
      <c r="AJ180" s="191"/>
      <c r="AK180" s="191"/>
      <c r="AL180" s="191"/>
      <c r="AM180" s="191"/>
      <c r="AN180" s="191"/>
      <c r="AO180" s="191"/>
      <c r="AP180" s="191"/>
      <c r="AQ180" s="191"/>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N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2"/>
      <c r="CI180" s="192"/>
      <c r="CJ180" s="192"/>
      <c r="CK180" s="192"/>
      <c r="CL180" s="192"/>
      <c r="CM180" s="192"/>
      <c r="CN180" s="192"/>
      <c r="CO180" s="192"/>
      <c r="CP180" s="192"/>
      <c r="CQ180" s="192"/>
      <c r="CR180" s="192"/>
      <c r="CS180" s="192"/>
      <c r="CT180" s="192"/>
    </row>
    <row r="181" ht="26.25" customHeight="1">
      <c r="A181" s="184" t="s">
        <v>247</v>
      </c>
      <c r="B181" s="184" t="s">
        <v>2055</v>
      </c>
      <c r="C181" s="184" t="s">
        <v>637</v>
      </c>
      <c r="D181" s="185" t="s">
        <v>743</v>
      </c>
      <c r="E181" s="186" t="s">
        <v>2196</v>
      </c>
      <c r="F181" s="187" t="s">
        <v>1050</v>
      </c>
      <c r="G181" s="188">
        <v>0.65625</v>
      </c>
      <c r="H181" s="189" t="s">
        <v>1235</v>
      </c>
      <c r="I181" s="189" t="s">
        <v>2210</v>
      </c>
      <c r="J181" s="189" t="s">
        <v>2211</v>
      </c>
      <c r="K181" s="189" t="s">
        <v>2212</v>
      </c>
      <c r="L181" s="189" t="s">
        <v>2213</v>
      </c>
      <c r="M181" s="185" t="s">
        <v>2214</v>
      </c>
      <c r="N181" s="189" t="s">
        <v>850</v>
      </c>
      <c r="O181" s="185" t="s">
        <v>753</v>
      </c>
      <c r="P181" s="190"/>
      <c r="Q181" s="190"/>
      <c r="R181" s="190"/>
      <c r="S181" s="190"/>
      <c r="T181" s="190"/>
      <c r="U181" s="190"/>
      <c r="V181" s="189" t="s">
        <v>1911</v>
      </c>
      <c r="W181" s="189" t="s">
        <v>1912</v>
      </c>
      <c r="X181" s="208" t="s">
        <v>1913</v>
      </c>
      <c r="Y181" s="189" t="s">
        <v>753</v>
      </c>
      <c r="Z181" s="189" t="s">
        <v>2203</v>
      </c>
      <c r="AA181" s="189" t="s">
        <v>757</v>
      </c>
      <c r="AB181" s="191"/>
      <c r="AC181" s="191"/>
      <c r="AD181" s="191"/>
      <c r="AE181" s="191"/>
      <c r="AF181" s="191"/>
      <c r="AG181" s="191"/>
      <c r="AH181" s="191"/>
      <c r="AI181" s="191"/>
      <c r="AJ181" s="191"/>
      <c r="AK181" s="191"/>
      <c r="AL181" s="191"/>
      <c r="AM181" s="191"/>
      <c r="AN181" s="191"/>
      <c r="AO181" s="191"/>
      <c r="AP181" s="191"/>
      <c r="AQ181" s="191"/>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N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2"/>
      <c r="CI181" s="192"/>
      <c r="CJ181" s="192"/>
      <c r="CK181" s="192"/>
      <c r="CL181" s="192"/>
      <c r="CM181" s="192"/>
      <c r="CN181" s="192"/>
      <c r="CO181" s="192"/>
      <c r="CP181" s="192"/>
      <c r="CQ181" s="192"/>
      <c r="CR181" s="192"/>
      <c r="CS181" s="192"/>
      <c r="CT181" s="192"/>
    </row>
    <row r="182" ht="26.25" customHeight="1">
      <c r="A182" s="184" t="s">
        <v>246</v>
      </c>
      <c r="B182" s="184" t="s">
        <v>2055</v>
      </c>
      <c r="C182" s="184" t="s">
        <v>637</v>
      </c>
      <c r="D182" s="185" t="s">
        <v>743</v>
      </c>
      <c r="E182" s="186" t="s">
        <v>2196</v>
      </c>
      <c r="F182" s="187" t="s">
        <v>1050</v>
      </c>
      <c r="G182" s="188">
        <v>0.6701388888888888</v>
      </c>
      <c r="H182" s="189" t="s">
        <v>1712</v>
      </c>
      <c r="I182" s="189" t="s">
        <v>1728</v>
      </c>
      <c r="J182" s="189" t="s">
        <v>2215</v>
      </c>
      <c r="K182" s="189" t="s">
        <v>2216</v>
      </c>
      <c r="L182" s="189" t="s">
        <v>2217</v>
      </c>
      <c r="M182" s="185" t="s">
        <v>2218</v>
      </c>
      <c r="N182" s="189" t="s">
        <v>850</v>
      </c>
      <c r="O182" s="185" t="s">
        <v>784</v>
      </c>
      <c r="P182" s="190"/>
      <c r="Q182" s="190"/>
      <c r="R182" s="190"/>
      <c r="S182" s="190"/>
      <c r="T182" s="190"/>
      <c r="U182" s="190"/>
      <c r="V182" s="189" t="s">
        <v>2219</v>
      </c>
      <c r="W182" s="189" t="s">
        <v>2220</v>
      </c>
      <c r="X182" s="208" t="s">
        <v>2221</v>
      </c>
      <c r="Y182" s="189" t="s">
        <v>784</v>
      </c>
      <c r="Z182" s="189" t="s">
        <v>1060</v>
      </c>
      <c r="AA182" s="189" t="s">
        <v>757</v>
      </c>
      <c r="AB182" s="191"/>
      <c r="AC182" s="191"/>
      <c r="AD182" s="191"/>
      <c r="AE182" s="191"/>
      <c r="AF182" s="191"/>
      <c r="AG182" s="191"/>
      <c r="AH182" s="191"/>
      <c r="AI182" s="191"/>
      <c r="AJ182" s="191"/>
      <c r="AK182" s="191"/>
      <c r="AL182" s="191"/>
      <c r="AM182" s="191"/>
      <c r="AN182" s="191"/>
      <c r="AO182" s="191"/>
      <c r="AP182" s="191"/>
      <c r="AQ182" s="191"/>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N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2"/>
      <c r="CI182" s="192"/>
      <c r="CJ182" s="192"/>
      <c r="CK182" s="192"/>
      <c r="CL182" s="192"/>
      <c r="CM182" s="192"/>
      <c r="CN182" s="192"/>
      <c r="CO182" s="192"/>
      <c r="CP182" s="192"/>
      <c r="CQ182" s="192"/>
      <c r="CR182" s="192"/>
      <c r="CS182" s="192"/>
      <c r="CT182" s="192"/>
    </row>
    <row r="183" ht="26.25" customHeight="1">
      <c r="A183" s="184" t="s">
        <v>244</v>
      </c>
      <c r="B183" s="184" t="s">
        <v>2055</v>
      </c>
      <c r="C183" s="184" t="s">
        <v>637</v>
      </c>
      <c r="D183" s="185" t="s">
        <v>743</v>
      </c>
      <c r="E183" s="186" t="s">
        <v>2196</v>
      </c>
      <c r="F183" s="187" t="s">
        <v>1050</v>
      </c>
      <c r="G183" s="188">
        <v>0.6840277777777778</v>
      </c>
      <c r="H183" s="189" t="s">
        <v>2222</v>
      </c>
      <c r="I183" s="189" t="s">
        <v>2223</v>
      </c>
      <c r="J183" s="189" t="s">
        <v>2224</v>
      </c>
      <c r="K183" s="189" t="s">
        <v>2225</v>
      </c>
      <c r="L183" s="189" t="s">
        <v>2226</v>
      </c>
      <c r="M183" s="185" t="s">
        <v>2227</v>
      </c>
      <c r="N183" s="189" t="s">
        <v>850</v>
      </c>
      <c r="O183" s="185" t="s">
        <v>784</v>
      </c>
      <c r="P183" s="190"/>
      <c r="Q183" s="190"/>
      <c r="R183" s="190"/>
      <c r="S183" s="190"/>
      <c r="T183" s="190"/>
      <c r="U183" s="190"/>
      <c r="V183" s="189" t="s">
        <v>2228</v>
      </c>
      <c r="W183" s="189" t="s">
        <v>1333</v>
      </c>
      <c r="X183" s="208" t="s">
        <v>1334</v>
      </c>
      <c r="Y183" s="189" t="s">
        <v>784</v>
      </c>
      <c r="Z183" s="189" t="s">
        <v>744</v>
      </c>
      <c r="AA183" s="189" t="s">
        <v>757</v>
      </c>
      <c r="AB183" s="191"/>
      <c r="AC183" s="191"/>
      <c r="AD183" s="191"/>
      <c r="AE183" s="191"/>
      <c r="AF183" s="191"/>
      <c r="AG183" s="191"/>
      <c r="AH183" s="191"/>
      <c r="AI183" s="191"/>
      <c r="AJ183" s="191"/>
      <c r="AK183" s="191"/>
      <c r="AL183" s="191"/>
      <c r="AM183" s="191"/>
      <c r="AN183" s="191"/>
      <c r="AO183" s="191"/>
      <c r="AP183" s="191"/>
      <c r="AQ183" s="191"/>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N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2"/>
      <c r="CI183" s="192"/>
      <c r="CJ183" s="192"/>
      <c r="CK183" s="192"/>
      <c r="CL183" s="192"/>
      <c r="CM183" s="192"/>
      <c r="CN183" s="192"/>
      <c r="CO183" s="192"/>
      <c r="CP183" s="192"/>
      <c r="CQ183" s="192"/>
      <c r="CR183" s="192"/>
      <c r="CS183" s="192"/>
      <c r="CT183" s="192"/>
    </row>
    <row r="184" ht="26.25" customHeight="1">
      <c r="A184" s="220" t="s">
        <v>249</v>
      </c>
      <c r="B184" s="220" t="s">
        <v>2055</v>
      </c>
      <c r="C184" s="220" t="s">
        <v>638</v>
      </c>
      <c r="D184" s="185" t="s">
        <v>743</v>
      </c>
      <c r="E184" s="221" t="s">
        <v>1457</v>
      </c>
      <c r="F184" s="222" t="s">
        <v>997</v>
      </c>
      <c r="G184" s="223">
        <v>0.6284722222222222</v>
      </c>
      <c r="H184" s="224" t="s">
        <v>2229</v>
      </c>
      <c r="I184" s="224" t="s">
        <v>2230</v>
      </c>
      <c r="J184" s="224" t="s">
        <v>2231</v>
      </c>
      <c r="K184" s="224" t="s">
        <v>2232</v>
      </c>
      <c r="L184" s="224" t="s">
        <v>2233</v>
      </c>
      <c r="M184" s="225" t="s">
        <v>2234</v>
      </c>
      <c r="N184" s="224" t="s">
        <v>908</v>
      </c>
      <c r="O184" s="225" t="s">
        <v>1457</v>
      </c>
      <c r="P184" s="190"/>
      <c r="Q184" s="190"/>
      <c r="R184" s="190"/>
      <c r="S184" s="190"/>
      <c r="T184" s="190"/>
      <c r="U184" s="190"/>
      <c r="V184" s="224" t="s">
        <v>2235</v>
      </c>
      <c r="W184" s="224" t="s">
        <v>2236</v>
      </c>
      <c r="X184" s="226" t="s">
        <v>2237</v>
      </c>
      <c r="Y184" s="224" t="s">
        <v>1457</v>
      </c>
      <c r="Z184" s="224" t="s">
        <v>1457</v>
      </c>
      <c r="AA184" s="224" t="s">
        <v>757</v>
      </c>
      <c r="AB184" s="191"/>
      <c r="AC184" s="191"/>
      <c r="AD184" s="191"/>
      <c r="AE184" s="191"/>
      <c r="AF184" s="191"/>
      <c r="AG184" s="191"/>
      <c r="AH184" s="191"/>
      <c r="AI184" s="191"/>
      <c r="AJ184" s="191"/>
      <c r="AK184" s="191"/>
      <c r="AL184" s="191"/>
      <c r="AM184" s="191"/>
      <c r="AN184" s="191"/>
      <c r="AO184" s="191"/>
      <c r="AP184" s="191"/>
      <c r="AQ184" s="191"/>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N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2"/>
      <c r="CI184" s="192"/>
      <c r="CJ184" s="192"/>
      <c r="CK184" s="192"/>
      <c r="CL184" s="192"/>
      <c r="CM184" s="192"/>
      <c r="CN184" s="192"/>
      <c r="CO184" s="192"/>
      <c r="CP184" s="192"/>
      <c r="CQ184" s="192"/>
      <c r="CR184" s="192"/>
      <c r="CS184" s="192"/>
      <c r="CT184" s="192"/>
    </row>
    <row r="185" ht="26.25" customHeight="1">
      <c r="A185" s="184" t="s">
        <v>251</v>
      </c>
      <c r="B185" s="184" t="s">
        <v>2055</v>
      </c>
      <c r="C185" s="184" t="s">
        <v>638</v>
      </c>
      <c r="D185" s="185" t="s">
        <v>743</v>
      </c>
      <c r="E185" s="186" t="s">
        <v>1457</v>
      </c>
      <c r="F185" s="187" t="s">
        <v>997</v>
      </c>
      <c r="G185" s="188">
        <v>0.6423611111111112</v>
      </c>
      <c r="H185" s="189" t="s">
        <v>875</v>
      </c>
      <c r="I185" s="189" t="s">
        <v>2238</v>
      </c>
      <c r="J185" s="189" t="s">
        <v>2239</v>
      </c>
      <c r="K185" s="189" t="s">
        <v>2240</v>
      </c>
      <c r="L185" s="189" t="s">
        <v>2241</v>
      </c>
      <c r="M185" s="185" t="s">
        <v>2242</v>
      </c>
      <c r="N185" s="189" t="s">
        <v>908</v>
      </c>
      <c r="O185" s="185" t="s">
        <v>1457</v>
      </c>
      <c r="P185" s="190"/>
      <c r="Q185" s="190"/>
      <c r="R185" s="190"/>
      <c r="S185" s="190"/>
      <c r="T185" s="190"/>
      <c r="U185" s="190"/>
      <c r="V185" s="189" t="s">
        <v>1293</v>
      </c>
      <c r="W185" s="189" t="s">
        <v>2243</v>
      </c>
      <c r="X185" s="208" t="s">
        <v>2244</v>
      </c>
      <c r="Y185" s="189" t="s">
        <v>1457</v>
      </c>
      <c r="Z185" s="189" t="s">
        <v>1457</v>
      </c>
      <c r="AA185" s="189" t="s">
        <v>757</v>
      </c>
      <c r="AB185" s="191"/>
      <c r="AC185" s="191"/>
      <c r="AD185" s="191"/>
      <c r="AE185" s="191"/>
      <c r="AF185" s="191"/>
      <c r="AG185" s="191"/>
      <c r="AH185" s="191"/>
      <c r="AI185" s="191"/>
      <c r="AJ185" s="191"/>
      <c r="AK185" s="191"/>
      <c r="AL185" s="191"/>
      <c r="AM185" s="191"/>
      <c r="AN185" s="191"/>
      <c r="AO185" s="191"/>
      <c r="AP185" s="191"/>
      <c r="AQ185" s="191"/>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N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2"/>
      <c r="CI185" s="192"/>
      <c r="CJ185" s="192"/>
      <c r="CK185" s="192"/>
      <c r="CL185" s="192"/>
      <c r="CM185" s="192"/>
      <c r="CN185" s="192"/>
      <c r="CO185" s="192"/>
      <c r="CP185" s="192"/>
      <c r="CQ185" s="192"/>
      <c r="CR185" s="192"/>
      <c r="CS185" s="192"/>
      <c r="CT185" s="192"/>
    </row>
    <row r="186" ht="26.25" customHeight="1">
      <c r="A186" s="184" t="s">
        <v>250</v>
      </c>
      <c r="B186" s="184" t="s">
        <v>2055</v>
      </c>
      <c r="C186" s="184" t="s">
        <v>638</v>
      </c>
      <c r="D186" s="185" t="s">
        <v>743</v>
      </c>
      <c r="E186" s="186" t="s">
        <v>1457</v>
      </c>
      <c r="F186" s="187" t="s">
        <v>997</v>
      </c>
      <c r="G186" s="188">
        <v>0.65625</v>
      </c>
      <c r="H186" s="189" t="s">
        <v>1875</v>
      </c>
      <c r="I186" s="189" t="s">
        <v>2157</v>
      </c>
      <c r="J186" s="189" t="s">
        <v>2245</v>
      </c>
      <c r="K186" s="189" t="s">
        <v>2246</v>
      </c>
      <c r="L186" s="189" t="s">
        <v>2247</v>
      </c>
      <c r="M186" s="185" t="s">
        <v>2248</v>
      </c>
      <c r="N186" s="189" t="s">
        <v>908</v>
      </c>
      <c r="O186" s="185" t="s">
        <v>1457</v>
      </c>
      <c r="P186" s="190"/>
      <c r="Q186" s="190"/>
      <c r="R186" s="190"/>
      <c r="S186" s="190"/>
      <c r="T186" s="190"/>
      <c r="U186" s="190"/>
      <c r="V186" s="189" t="s">
        <v>2249</v>
      </c>
      <c r="W186" s="189" t="s">
        <v>2250</v>
      </c>
      <c r="X186" s="185" t="s">
        <v>1462</v>
      </c>
      <c r="Y186" s="189" t="s">
        <v>1457</v>
      </c>
      <c r="Z186" s="189" t="s">
        <v>1457</v>
      </c>
      <c r="AA186" s="189" t="s">
        <v>757</v>
      </c>
      <c r="AB186" s="191"/>
      <c r="AC186" s="191"/>
      <c r="AD186" s="191"/>
      <c r="AE186" s="191"/>
      <c r="AF186" s="191"/>
      <c r="AG186" s="191"/>
      <c r="AH186" s="191"/>
      <c r="AI186" s="191"/>
      <c r="AJ186" s="191"/>
      <c r="AK186" s="191"/>
      <c r="AL186" s="191"/>
      <c r="AM186" s="191"/>
      <c r="AN186" s="191"/>
      <c r="AO186" s="191"/>
      <c r="AP186" s="191"/>
      <c r="AQ186" s="191"/>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N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2"/>
      <c r="CI186" s="192"/>
      <c r="CJ186" s="192"/>
      <c r="CK186" s="192"/>
      <c r="CL186" s="192"/>
      <c r="CM186" s="192"/>
      <c r="CN186" s="192"/>
      <c r="CO186" s="192"/>
      <c r="CP186" s="192"/>
      <c r="CQ186" s="192"/>
      <c r="CR186" s="192"/>
      <c r="CS186" s="192"/>
      <c r="CT186" s="192"/>
    </row>
    <row r="187" ht="26.25" customHeight="1">
      <c r="A187" s="184" t="s">
        <v>254</v>
      </c>
      <c r="B187" s="184" t="s">
        <v>2055</v>
      </c>
      <c r="C187" s="184" t="s">
        <v>638</v>
      </c>
      <c r="D187" s="185" t="s">
        <v>743</v>
      </c>
      <c r="E187" s="186" t="s">
        <v>1457</v>
      </c>
      <c r="F187" s="187" t="s">
        <v>997</v>
      </c>
      <c r="G187" s="188">
        <v>0.6701388888888888</v>
      </c>
      <c r="H187" s="189" t="s">
        <v>2251</v>
      </c>
      <c r="I187" s="189" t="s">
        <v>2252</v>
      </c>
      <c r="J187" s="189" t="s">
        <v>2253</v>
      </c>
      <c r="K187" s="189" t="s">
        <v>2254</v>
      </c>
      <c r="L187" s="185" t="s">
        <v>2255</v>
      </c>
      <c r="M187" s="185" t="s">
        <v>2256</v>
      </c>
      <c r="N187" s="189" t="s">
        <v>908</v>
      </c>
      <c r="O187" s="185" t="s">
        <v>1457</v>
      </c>
      <c r="P187" s="190"/>
      <c r="Q187" s="190"/>
      <c r="R187" s="190"/>
      <c r="S187" s="190"/>
      <c r="T187" s="190"/>
      <c r="U187" s="190"/>
      <c r="V187" s="189" t="s">
        <v>2257</v>
      </c>
      <c r="W187" s="189" t="s">
        <v>2258</v>
      </c>
      <c r="X187" s="185" t="s">
        <v>1850</v>
      </c>
      <c r="Y187" s="189" t="s">
        <v>764</v>
      </c>
      <c r="Z187" s="189" t="s">
        <v>1543</v>
      </c>
      <c r="AA187" s="189" t="s">
        <v>757</v>
      </c>
      <c r="AB187" s="191"/>
      <c r="AC187" s="191"/>
      <c r="AD187" s="191"/>
      <c r="AE187" s="191"/>
      <c r="AF187" s="191"/>
      <c r="AG187" s="191"/>
      <c r="AH187" s="191"/>
      <c r="AI187" s="191"/>
      <c r="AJ187" s="191"/>
      <c r="AK187" s="191"/>
      <c r="AL187" s="191"/>
      <c r="AM187" s="191"/>
      <c r="AN187" s="191"/>
      <c r="AO187" s="191"/>
      <c r="AP187" s="191"/>
      <c r="AQ187" s="191"/>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N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2"/>
      <c r="CI187" s="192"/>
      <c r="CJ187" s="192"/>
      <c r="CK187" s="192"/>
      <c r="CL187" s="192"/>
      <c r="CM187" s="192"/>
      <c r="CN187" s="192"/>
      <c r="CO187" s="192"/>
      <c r="CP187" s="192"/>
      <c r="CQ187" s="192"/>
      <c r="CR187" s="192"/>
      <c r="CS187" s="192"/>
      <c r="CT187" s="192"/>
    </row>
    <row r="188" ht="26.25" customHeight="1">
      <c r="A188" s="184" t="s">
        <v>253</v>
      </c>
      <c r="B188" s="184" t="s">
        <v>2055</v>
      </c>
      <c r="C188" s="184" t="s">
        <v>638</v>
      </c>
      <c r="D188" s="185" t="s">
        <v>743</v>
      </c>
      <c r="E188" s="186" t="s">
        <v>1457</v>
      </c>
      <c r="F188" s="187" t="s">
        <v>997</v>
      </c>
      <c r="G188" s="188">
        <v>0.6840277777777778</v>
      </c>
      <c r="H188" s="189" t="s">
        <v>2259</v>
      </c>
      <c r="I188" s="189" t="s">
        <v>2260</v>
      </c>
      <c r="J188" s="189" t="s">
        <v>2261</v>
      </c>
      <c r="K188" s="189" t="s">
        <v>2262</v>
      </c>
      <c r="L188" s="189" t="s">
        <v>2263</v>
      </c>
      <c r="M188" s="185" t="s">
        <v>2264</v>
      </c>
      <c r="N188" s="189" t="s">
        <v>908</v>
      </c>
      <c r="O188" s="185" t="s">
        <v>764</v>
      </c>
      <c r="P188" s="190"/>
      <c r="Q188" s="190"/>
      <c r="R188" s="190"/>
      <c r="S188" s="190"/>
      <c r="T188" s="190"/>
      <c r="U188" s="190"/>
      <c r="V188" s="189" t="s">
        <v>1848</v>
      </c>
      <c r="W188" s="189" t="s">
        <v>1849</v>
      </c>
      <c r="X188" s="185" t="s">
        <v>1850</v>
      </c>
      <c r="Y188" s="189" t="s">
        <v>764</v>
      </c>
      <c r="Z188" s="189" t="s">
        <v>1457</v>
      </c>
      <c r="AA188" s="189" t="s">
        <v>757</v>
      </c>
      <c r="AB188" s="191"/>
      <c r="AC188" s="191"/>
      <c r="AD188" s="191"/>
      <c r="AE188" s="191"/>
      <c r="AF188" s="191"/>
      <c r="AG188" s="191"/>
      <c r="AH188" s="191"/>
      <c r="AI188" s="191"/>
      <c r="AJ188" s="191"/>
      <c r="AK188" s="191"/>
      <c r="AL188" s="191"/>
      <c r="AM188" s="191"/>
      <c r="AN188" s="191"/>
      <c r="AO188" s="191"/>
      <c r="AP188" s="191"/>
      <c r="AQ188" s="191"/>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N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2"/>
      <c r="CI188" s="192"/>
      <c r="CJ188" s="192"/>
      <c r="CK188" s="192"/>
      <c r="CL188" s="192"/>
      <c r="CM188" s="192"/>
      <c r="CN188" s="192"/>
      <c r="CO188" s="192"/>
      <c r="CP188" s="192"/>
      <c r="CQ188" s="192"/>
      <c r="CR188" s="192"/>
      <c r="CS188" s="192"/>
      <c r="CT188" s="192"/>
    </row>
    <row r="189" ht="26.25" customHeight="1">
      <c r="A189" s="184" t="s">
        <v>252</v>
      </c>
      <c r="B189" s="184" t="s">
        <v>2055</v>
      </c>
      <c r="C189" s="184" t="s">
        <v>638</v>
      </c>
      <c r="D189" s="185" t="s">
        <v>743</v>
      </c>
      <c r="E189" s="186" t="s">
        <v>1457</v>
      </c>
      <c r="F189" s="187" t="s">
        <v>997</v>
      </c>
      <c r="G189" s="188">
        <v>0.6979166666666666</v>
      </c>
      <c r="H189" s="189" t="s">
        <v>2265</v>
      </c>
      <c r="I189" s="189" t="s">
        <v>2266</v>
      </c>
      <c r="J189" s="189" t="s">
        <v>2267</v>
      </c>
      <c r="K189" s="189" t="s">
        <v>2268</v>
      </c>
      <c r="L189" s="189" t="s">
        <v>2269</v>
      </c>
      <c r="M189" s="185" t="s">
        <v>2270</v>
      </c>
      <c r="N189" s="189" t="s">
        <v>908</v>
      </c>
      <c r="O189" s="185" t="s">
        <v>1457</v>
      </c>
      <c r="P189" s="190"/>
      <c r="Q189" s="190"/>
      <c r="R189" s="190"/>
      <c r="S189" s="190"/>
      <c r="T189" s="190"/>
      <c r="U189" s="190"/>
      <c r="V189" s="189" t="s">
        <v>2271</v>
      </c>
      <c r="W189" s="189" t="s">
        <v>2272</v>
      </c>
      <c r="X189" s="185" t="s">
        <v>2273</v>
      </c>
      <c r="Y189" s="189" t="s">
        <v>1376</v>
      </c>
      <c r="Z189" s="189" t="s">
        <v>1457</v>
      </c>
      <c r="AA189" s="189" t="s">
        <v>797</v>
      </c>
      <c r="AB189" s="191"/>
      <c r="AC189" s="191"/>
      <c r="AD189" s="191"/>
      <c r="AE189" s="191"/>
      <c r="AF189" s="191"/>
      <c r="AG189" s="191"/>
      <c r="AH189" s="191"/>
      <c r="AI189" s="191"/>
      <c r="AJ189" s="191"/>
      <c r="AK189" s="191"/>
      <c r="AL189" s="191"/>
      <c r="AM189" s="191"/>
      <c r="AN189" s="191"/>
      <c r="AO189" s="191"/>
      <c r="AP189" s="191"/>
      <c r="AQ189" s="191"/>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N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2"/>
      <c r="CI189" s="192"/>
      <c r="CJ189" s="192"/>
      <c r="CK189" s="192"/>
      <c r="CL189" s="192"/>
      <c r="CM189" s="192"/>
      <c r="CN189" s="192"/>
      <c r="CO189" s="192"/>
      <c r="CP189" s="192"/>
      <c r="CQ189" s="192"/>
      <c r="CR189" s="192"/>
      <c r="CS189" s="192"/>
      <c r="CT189" s="192"/>
    </row>
    <row r="190" ht="26.25" customHeight="1">
      <c r="A190" s="184" t="s">
        <v>258</v>
      </c>
      <c r="B190" s="184" t="s">
        <v>2055</v>
      </c>
      <c r="C190" s="184" t="s">
        <v>639</v>
      </c>
      <c r="D190" s="185" t="s">
        <v>743</v>
      </c>
      <c r="E190" s="186" t="s">
        <v>1049</v>
      </c>
      <c r="F190" s="187" t="s">
        <v>1106</v>
      </c>
      <c r="G190" s="188">
        <v>0.6284722222222222</v>
      </c>
      <c r="H190" s="185" t="s">
        <v>1386</v>
      </c>
      <c r="I190" s="189" t="s">
        <v>2274</v>
      </c>
      <c r="J190" s="189" t="s">
        <v>2275</v>
      </c>
      <c r="K190" s="189" t="s">
        <v>2276</v>
      </c>
      <c r="L190" s="189" t="s">
        <v>2277</v>
      </c>
      <c r="M190" s="185" t="s">
        <v>2278</v>
      </c>
      <c r="N190" s="189" t="s">
        <v>850</v>
      </c>
      <c r="O190" s="185" t="s">
        <v>784</v>
      </c>
      <c r="P190" s="190"/>
      <c r="Q190" s="190"/>
      <c r="R190" s="190"/>
      <c r="S190" s="190"/>
      <c r="T190" s="190"/>
      <c r="U190" s="190"/>
      <c r="V190" s="189" t="s">
        <v>2279</v>
      </c>
      <c r="W190" s="189" t="s">
        <v>1313</v>
      </c>
      <c r="X190" s="185" t="s">
        <v>1314</v>
      </c>
      <c r="Y190" s="189" t="s">
        <v>784</v>
      </c>
      <c r="Z190" s="189" t="s">
        <v>1060</v>
      </c>
      <c r="AA190" s="189" t="s">
        <v>757</v>
      </c>
      <c r="AB190" s="191"/>
      <c r="AC190" s="191"/>
      <c r="AD190" s="191"/>
      <c r="AE190" s="191"/>
      <c r="AF190" s="191"/>
      <c r="AG190" s="191"/>
      <c r="AH190" s="191"/>
      <c r="AI190" s="191"/>
      <c r="AJ190" s="191"/>
      <c r="AK190" s="191"/>
      <c r="AL190" s="191"/>
      <c r="AM190" s="191"/>
      <c r="AN190" s="191"/>
      <c r="AO190" s="191"/>
      <c r="AP190" s="191"/>
      <c r="AQ190" s="191"/>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N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2"/>
      <c r="CI190" s="192"/>
      <c r="CJ190" s="192"/>
      <c r="CK190" s="192"/>
      <c r="CL190" s="192"/>
      <c r="CM190" s="192"/>
      <c r="CN190" s="192"/>
      <c r="CO190" s="192"/>
      <c r="CP190" s="192"/>
      <c r="CQ190" s="192"/>
      <c r="CR190" s="192"/>
      <c r="CS190" s="192"/>
      <c r="CT190" s="192"/>
    </row>
    <row r="191" ht="26.25" customHeight="1">
      <c r="A191" s="220" t="s">
        <v>260</v>
      </c>
      <c r="B191" s="220" t="s">
        <v>2055</v>
      </c>
      <c r="C191" s="220" t="s">
        <v>639</v>
      </c>
      <c r="D191" s="185" t="s">
        <v>743</v>
      </c>
      <c r="E191" s="221" t="s">
        <v>1049</v>
      </c>
      <c r="F191" s="222" t="s">
        <v>1106</v>
      </c>
      <c r="G191" s="223">
        <v>0.6423611111111112</v>
      </c>
      <c r="H191" s="224" t="s">
        <v>860</v>
      </c>
      <c r="I191" s="224" t="s">
        <v>2280</v>
      </c>
      <c r="J191" s="224" t="s">
        <v>2281</v>
      </c>
      <c r="K191" s="224" t="s">
        <v>2282</v>
      </c>
      <c r="L191" s="224" t="s">
        <v>2283</v>
      </c>
      <c r="M191" s="225" t="s">
        <v>2284</v>
      </c>
      <c r="N191" s="224" t="s">
        <v>850</v>
      </c>
      <c r="O191" s="225" t="s">
        <v>784</v>
      </c>
      <c r="P191" s="224" t="s">
        <v>2285</v>
      </c>
      <c r="Q191" s="224" t="s">
        <v>2286</v>
      </c>
      <c r="R191" s="190"/>
      <c r="S191" s="190"/>
      <c r="T191" s="190"/>
      <c r="U191" s="190"/>
      <c r="V191" s="224" t="s">
        <v>2120</v>
      </c>
      <c r="W191" s="224" t="s">
        <v>2121</v>
      </c>
      <c r="X191" s="225" t="s">
        <v>2122</v>
      </c>
      <c r="Y191" s="224" t="s">
        <v>784</v>
      </c>
      <c r="Z191" s="224" t="s">
        <v>1060</v>
      </c>
      <c r="AA191" s="224" t="s">
        <v>2287</v>
      </c>
      <c r="AB191" s="191"/>
      <c r="AC191" s="191"/>
      <c r="AD191" s="191"/>
      <c r="AE191" s="191"/>
      <c r="AF191" s="191"/>
      <c r="AG191" s="191"/>
      <c r="AH191" s="191"/>
      <c r="AI191" s="191"/>
      <c r="AJ191" s="191"/>
      <c r="AK191" s="191"/>
      <c r="AL191" s="191"/>
      <c r="AM191" s="191"/>
      <c r="AN191" s="191"/>
      <c r="AO191" s="191"/>
      <c r="AP191" s="191"/>
      <c r="AQ191" s="191"/>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N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2"/>
      <c r="CI191" s="192"/>
      <c r="CJ191" s="192"/>
      <c r="CK191" s="192"/>
      <c r="CL191" s="192"/>
      <c r="CM191" s="192"/>
      <c r="CN191" s="192"/>
      <c r="CO191" s="192"/>
      <c r="CP191" s="192"/>
      <c r="CQ191" s="192"/>
      <c r="CR191" s="192"/>
      <c r="CS191" s="192"/>
      <c r="CT191" s="192"/>
    </row>
    <row r="192" ht="26.25" customHeight="1">
      <c r="A192" s="184" t="s">
        <v>256</v>
      </c>
      <c r="B192" s="184" t="s">
        <v>2055</v>
      </c>
      <c r="C192" s="184" t="s">
        <v>639</v>
      </c>
      <c r="D192" s="185" t="s">
        <v>743</v>
      </c>
      <c r="E192" s="186" t="s">
        <v>1049</v>
      </c>
      <c r="F192" s="187" t="s">
        <v>1106</v>
      </c>
      <c r="G192" s="188">
        <v>0.65625</v>
      </c>
      <c r="H192" s="189" t="s">
        <v>2288</v>
      </c>
      <c r="I192" s="189" t="s">
        <v>2289</v>
      </c>
      <c r="J192" s="189" t="s">
        <v>2290</v>
      </c>
      <c r="K192" s="189" t="s">
        <v>2291</v>
      </c>
      <c r="L192" s="189" t="s">
        <v>2292</v>
      </c>
      <c r="M192" s="209" t="s">
        <v>2293</v>
      </c>
      <c r="N192" s="189" t="s">
        <v>850</v>
      </c>
      <c r="O192" s="185" t="s">
        <v>753</v>
      </c>
      <c r="P192" s="190"/>
      <c r="Q192" s="190"/>
      <c r="R192" s="190"/>
      <c r="S192" s="190"/>
      <c r="T192" s="190"/>
      <c r="U192" s="190"/>
      <c r="V192" s="189" t="s">
        <v>1938</v>
      </c>
      <c r="W192" s="189" t="s">
        <v>1939</v>
      </c>
      <c r="X192" s="185" t="s">
        <v>1940</v>
      </c>
      <c r="Y192" s="189" t="s">
        <v>753</v>
      </c>
      <c r="Z192" s="189" t="s">
        <v>1060</v>
      </c>
      <c r="AA192" s="189" t="s">
        <v>757</v>
      </c>
      <c r="AB192" s="191"/>
      <c r="AC192" s="191"/>
      <c r="AD192" s="191"/>
      <c r="AE192" s="191"/>
      <c r="AF192" s="191"/>
      <c r="AG192" s="191"/>
      <c r="AH192" s="191"/>
      <c r="AI192" s="191"/>
      <c r="AJ192" s="191"/>
      <c r="AK192" s="191"/>
      <c r="AL192" s="191"/>
      <c r="AM192" s="191"/>
      <c r="AN192" s="191"/>
      <c r="AO192" s="191"/>
      <c r="AP192" s="191"/>
      <c r="AQ192" s="191"/>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N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2"/>
      <c r="CI192" s="192"/>
      <c r="CJ192" s="192"/>
      <c r="CK192" s="192"/>
      <c r="CL192" s="192"/>
      <c r="CM192" s="192"/>
      <c r="CN192" s="192"/>
      <c r="CO192" s="192"/>
      <c r="CP192" s="192"/>
      <c r="CQ192" s="192"/>
      <c r="CR192" s="192"/>
      <c r="CS192" s="192"/>
      <c r="CT192" s="192"/>
    </row>
    <row r="193" ht="26.25" customHeight="1">
      <c r="A193" s="184" t="s">
        <v>259</v>
      </c>
      <c r="B193" s="184" t="s">
        <v>2055</v>
      </c>
      <c r="C193" s="184" t="s">
        <v>639</v>
      </c>
      <c r="D193" s="185" t="s">
        <v>743</v>
      </c>
      <c r="E193" s="186" t="s">
        <v>1049</v>
      </c>
      <c r="F193" s="187" t="s">
        <v>1106</v>
      </c>
      <c r="G193" s="188">
        <v>0.6701388888888888</v>
      </c>
      <c r="H193" s="189" t="s">
        <v>1177</v>
      </c>
      <c r="I193" s="189" t="s">
        <v>2294</v>
      </c>
      <c r="J193" s="189" t="s">
        <v>2295</v>
      </c>
      <c r="K193" s="189" t="s">
        <v>2296</v>
      </c>
      <c r="L193" s="189" t="s">
        <v>2297</v>
      </c>
      <c r="M193" s="185" t="s">
        <v>2298</v>
      </c>
      <c r="N193" s="189" t="s">
        <v>850</v>
      </c>
      <c r="O193" s="185" t="s">
        <v>753</v>
      </c>
      <c r="P193" s="190"/>
      <c r="Q193" s="190"/>
      <c r="R193" s="190"/>
      <c r="S193" s="190"/>
      <c r="T193" s="190"/>
      <c r="U193" s="190"/>
      <c r="V193" s="189" t="s">
        <v>1938</v>
      </c>
      <c r="W193" s="189" t="s">
        <v>1939</v>
      </c>
      <c r="X193" s="185" t="s">
        <v>1940</v>
      </c>
      <c r="Y193" s="189" t="s">
        <v>777</v>
      </c>
      <c r="Z193" s="189" t="s">
        <v>1060</v>
      </c>
      <c r="AA193" s="189" t="s">
        <v>1296</v>
      </c>
      <c r="AB193" s="191"/>
      <c r="AC193" s="191"/>
      <c r="AD193" s="191"/>
      <c r="AE193" s="191"/>
      <c r="AF193" s="191"/>
      <c r="AG193" s="191"/>
      <c r="AH193" s="191"/>
      <c r="AI193" s="191"/>
      <c r="AJ193" s="191"/>
      <c r="AK193" s="191"/>
      <c r="AL193" s="191"/>
      <c r="AM193" s="191"/>
      <c r="AN193" s="191"/>
      <c r="AO193" s="191"/>
      <c r="AP193" s="191"/>
      <c r="AQ193" s="191"/>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N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2"/>
      <c r="CI193" s="192"/>
      <c r="CJ193" s="192"/>
      <c r="CK193" s="192"/>
      <c r="CL193" s="192"/>
      <c r="CM193" s="192"/>
      <c r="CN193" s="192"/>
      <c r="CO193" s="192"/>
      <c r="CP193" s="192"/>
      <c r="CQ193" s="192"/>
      <c r="CR193" s="192"/>
      <c r="CS193" s="192"/>
      <c r="CT193" s="192"/>
    </row>
    <row r="194" ht="26.25" customHeight="1">
      <c r="A194" s="184" t="s">
        <v>257</v>
      </c>
      <c r="B194" s="184" t="s">
        <v>2055</v>
      </c>
      <c r="C194" s="184" t="s">
        <v>639</v>
      </c>
      <c r="D194" s="185" t="s">
        <v>743</v>
      </c>
      <c r="E194" s="186" t="s">
        <v>1049</v>
      </c>
      <c r="F194" s="187" t="s">
        <v>1106</v>
      </c>
      <c r="G194" s="188">
        <v>0.6840277777777778</v>
      </c>
      <c r="H194" s="189" t="s">
        <v>2299</v>
      </c>
      <c r="I194" s="189" t="s">
        <v>2300</v>
      </c>
      <c r="J194" s="189" t="s">
        <v>2301</v>
      </c>
      <c r="K194" s="189" t="s">
        <v>2302</v>
      </c>
      <c r="L194" s="189" t="s">
        <v>2303</v>
      </c>
      <c r="M194" s="185" t="s">
        <v>2304</v>
      </c>
      <c r="N194" s="189" t="s">
        <v>850</v>
      </c>
      <c r="O194" s="185" t="s">
        <v>784</v>
      </c>
      <c r="P194" s="190"/>
      <c r="Q194" s="190"/>
      <c r="R194" s="190"/>
      <c r="S194" s="190"/>
      <c r="T194" s="190"/>
      <c r="U194" s="190"/>
      <c r="V194" s="189" t="s">
        <v>2305</v>
      </c>
      <c r="W194" s="189" t="s">
        <v>2306</v>
      </c>
      <c r="X194" s="185" t="s">
        <v>2307</v>
      </c>
      <c r="Y194" s="189" t="s">
        <v>784</v>
      </c>
      <c r="Z194" s="189" t="s">
        <v>1060</v>
      </c>
      <c r="AA194" s="189" t="s">
        <v>757</v>
      </c>
      <c r="AB194" s="191"/>
      <c r="AC194" s="191"/>
      <c r="AD194" s="191"/>
      <c r="AE194" s="191"/>
      <c r="AF194" s="191"/>
      <c r="AG194" s="191"/>
      <c r="AH194" s="191"/>
      <c r="AI194" s="191"/>
      <c r="AJ194" s="191"/>
      <c r="AK194" s="191"/>
      <c r="AL194" s="191"/>
      <c r="AM194" s="191"/>
      <c r="AN194" s="191"/>
      <c r="AO194" s="191"/>
      <c r="AP194" s="191"/>
      <c r="AQ194" s="191"/>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N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2"/>
      <c r="CI194" s="192"/>
      <c r="CJ194" s="192"/>
      <c r="CK194" s="192"/>
      <c r="CL194" s="192"/>
      <c r="CM194" s="192"/>
      <c r="CN194" s="192"/>
      <c r="CO194" s="192"/>
      <c r="CP194" s="192"/>
      <c r="CQ194" s="192"/>
      <c r="CR194" s="192"/>
      <c r="CS194" s="192"/>
      <c r="CT194" s="192"/>
    </row>
    <row r="195" ht="26.25" customHeight="1">
      <c r="A195" s="184" t="s">
        <v>255</v>
      </c>
      <c r="B195" s="184" t="s">
        <v>2055</v>
      </c>
      <c r="C195" s="184" t="s">
        <v>639</v>
      </c>
      <c r="D195" s="185" t="s">
        <v>743</v>
      </c>
      <c r="E195" s="186" t="s">
        <v>1049</v>
      </c>
      <c r="F195" s="187" t="s">
        <v>1106</v>
      </c>
      <c r="G195" s="188">
        <v>0.6979166666666666</v>
      </c>
      <c r="H195" s="189" t="s">
        <v>2308</v>
      </c>
      <c r="I195" s="189" t="s">
        <v>2309</v>
      </c>
      <c r="J195" s="189" t="s">
        <v>2310</v>
      </c>
      <c r="K195" s="189" t="s">
        <v>854</v>
      </c>
      <c r="L195" s="190" t="s">
        <v>2311</v>
      </c>
      <c r="M195" s="185" t="s">
        <v>2312</v>
      </c>
      <c r="N195" s="189" t="s">
        <v>850</v>
      </c>
      <c r="O195" s="185" t="s">
        <v>784</v>
      </c>
      <c r="P195" s="190"/>
      <c r="Q195" s="190"/>
      <c r="R195" s="190"/>
      <c r="S195" s="190"/>
      <c r="T195" s="190"/>
      <c r="U195" s="190"/>
      <c r="V195" s="189" t="s">
        <v>2313</v>
      </c>
      <c r="W195" s="189" t="s">
        <v>1333</v>
      </c>
      <c r="X195" s="185" t="s">
        <v>1334</v>
      </c>
      <c r="Y195" s="189" t="s">
        <v>784</v>
      </c>
      <c r="Z195" s="189" t="s">
        <v>1060</v>
      </c>
      <c r="AA195" s="189" t="s">
        <v>757</v>
      </c>
      <c r="AB195" s="191"/>
      <c r="AC195" s="191"/>
      <c r="AD195" s="191"/>
      <c r="AE195" s="191"/>
      <c r="AF195" s="191"/>
      <c r="AG195" s="191"/>
      <c r="AH195" s="191"/>
      <c r="AI195" s="191"/>
      <c r="AJ195" s="191"/>
      <c r="AK195" s="191"/>
      <c r="AL195" s="191"/>
      <c r="AM195" s="191"/>
      <c r="AN195" s="191"/>
      <c r="AO195" s="191"/>
      <c r="AP195" s="191"/>
      <c r="AQ195" s="191"/>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N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2"/>
      <c r="CI195" s="192"/>
      <c r="CJ195" s="192"/>
      <c r="CK195" s="192"/>
      <c r="CL195" s="192"/>
      <c r="CM195" s="192"/>
      <c r="CN195" s="192"/>
      <c r="CO195" s="192"/>
      <c r="CP195" s="192"/>
      <c r="CQ195" s="192"/>
      <c r="CR195" s="192"/>
      <c r="CS195" s="192"/>
      <c r="CT195" s="192"/>
    </row>
    <row r="196" ht="26.25" customHeight="1">
      <c r="A196" s="184" t="s">
        <v>264</v>
      </c>
      <c r="B196" s="184" t="s">
        <v>2055</v>
      </c>
      <c r="C196" s="184" t="s">
        <v>640</v>
      </c>
      <c r="D196" s="185" t="s">
        <v>743</v>
      </c>
      <c r="E196" s="186" t="s">
        <v>1049</v>
      </c>
      <c r="F196" s="187" t="s">
        <v>1162</v>
      </c>
      <c r="G196" s="188">
        <v>0.6284722222222222</v>
      </c>
      <c r="H196" s="189" t="s">
        <v>1911</v>
      </c>
      <c r="I196" s="189" t="s">
        <v>2314</v>
      </c>
      <c r="J196" s="189" t="s">
        <v>2315</v>
      </c>
      <c r="K196" s="189" t="s">
        <v>2316</v>
      </c>
      <c r="L196" s="189" t="s">
        <v>2317</v>
      </c>
      <c r="M196" s="185" t="s">
        <v>2318</v>
      </c>
      <c r="N196" s="189" t="s">
        <v>752</v>
      </c>
      <c r="O196" s="185" t="s">
        <v>784</v>
      </c>
      <c r="P196" s="190"/>
      <c r="Q196" s="190"/>
      <c r="R196" s="190"/>
      <c r="S196" s="190"/>
      <c r="T196" s="190"/>
      <c r="U196" s="190"/>
      <c r="V196" s="189" t="s">
        <v>2319</v>
      </c>
      <c r="W196" s="189" t="s">
        <v>2320</v>
      </c>
      <c r="X196" s="185" t="s">
        <v>2321</v>
      </c>
      <c r="Y196" s="189" t="s">
        <v>784</v>
      </c>
      <c r="Z196" s="190"/>
      <c r="AA196" s="189" t="s">
        <v>797</v>
      </c>
      <c r="AB196" s="191"/>
      <c r="AC196" s="191"/>
      <c r="AD196" s="191"/>
      <c r="AE196" s="191"/>
      <c r="AF196" s="191"/>
      <c r="AG196" s="191"/>
      <c r="AH196" s="191"/>
      <c r="AI196" s="191"/>
      <c r="AJ196" s="191"/>
      <c r="AK196" s="191"/>
      <c r="AL196" s="191"/>
      <c r="AM196" s="191"/>
      <c r="AN196" s="191"/>
      <c r="AO196" s="191"/>
      <c r="AP196" s="191"/>
      <c r="AQ196" s="191"/>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N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2"/>
      <c r="CI196" s="192"/>
      <c r="CJ196" s="192"/>
      <c r="CK196" s="192"/>
      <c r="CL196" s="192"/>
      <c r="CM196" s="192"/>
      <c r="CN196" s="192"/>
      <c r="CO196" s="192"/>
      <c r="CP196" s="192"/>
      <c r="CQ196" s="192"/>
      <c r="CR196" s="192"/>
      <c r="CS196" s="192"/>
      <c r="CT196" s="192"/>
    </row>
    <row r="197" ht="26.25" customHeight="1">
      <c r="A197" s="184" t="s">
        <v>262</v>
      </c>
      <c r="B197" s="184" t="s">
        <v>2055</v>
      </c>
      <c r="C197" s="184" t="s">
        <v>640</v>
      </c>
      <c r="D197" s="185" t="s">
        <v>743</v>
      </c>
      <c r="E197" s="186" t="s">
        <v>1049</v>
      </c>
      <c r="F197" s="187" t="s">
        <v>1162</v>
      </c>
      <c r="G197" s="188">
        <v>0.6423611111111112</v>
      </c>
      <c r="H197" s="189" t="s">
        <v>2322</v>
      </c>
      <c r="I197" s="189" t="s">
        <v>2323</v>
      </c>
      <c r="J197" s="189" t="s">
        <v>2324</v>
      </c>
      <c r="K197" s="189" t="s">
        <v>2316</v>
      </c>
      <c r="L197" s="189" t="s">
        <v>2325</v>
      </c>
      <c r="M197" s="185" t="s">
        <v>2326</v>
      </c>
      <c r="N197" s="189" t="s">
        <v>752</v>
      </c>
      <c r="O197" s="185" t="s">
        <v>784</v>
      </c>
      <c r="P197" s="190"/>
      <c r="Q197" s="190"/>
      <c r="R197" s="190"/>
      <c r="S197" s="190"/>
      <c r="T197" s="190"/>
      <c r="U197" s="190"/>
      <c r="V197" s="189" t="s">
        <v>1875</v>
      </c>
      <c r="W197" s="189" t="s">
        <v>2327</v>
      </c>
      <c r="X197" s="185" t="s">
        <v>2328</v>
      </c>
      <c r="Y197" s="189" t="s">
        <v>784</v>
      </c>
      <c r="Z197" s="190"/>
      <c r="AA197" s="189" t="s">
        <v>757</v>
      </c>
      <c r="AB197" s="191"/>
      <c r="AC197" s="191"/>
      <c r="AD197" s="191"/>
      <c r="AE197" s="191"/>
      <c r="AF197" s="191"/>
      <c r="AG197" s="191"/>
      <c r="AH197" s="191"/>
      <c r="AI197" s="191"/>
      <c r="AJ197" s="191"/>
      <c r="AK197" s="191"/>
      <c r="AL197" s="191"/>
      <c r="AM197" s="191"/>
      <c r="AN197" s="191"/>
      <c r="AO197" s="191"/>
      <c r="AP197" s="191"/>
      <c r="AQ197" s="191"/>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N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2"/>
      <c r="CI197" s="192"/>
      <c r="CJ197" s="192"/>
      <c r="CK197" s="192"/>
      <c r="CL197" s="192"/>
      <c r="CM197" s="192"/>
      <c r="CN197" s="192"/>
      <c r="CO197" s="192"/>
      <c r="CP197" s="192"/>
      <c r="CQ197" s="192"/>
      <c r="CR197" s="192"/>
      <c r="CS197" s="192"/>
      <c r="CT197" s="192"/>
    </row>
    <row r="198" ht="26.25" customHeight="1">
      <c r="A198" s="184" t="s">
        <v>263</v>
      </c>
      <c r="B198" s="184" t="s">
        <v>2055</v>
      </c>
      <c r="C198" s="184" t="s">
        <v>640</v>
      </c>
      <c r="D198" s="185" t="s">
        <v>743</v>
      </c>
      <c r="E198" s="186" t="s">
        <v>1049</v>
      </c>
      <c r="F198" s="187" t="s">
        <v>1162</v>
      </c>
      <c r="G198" s="188">
        <v>0.65625</v>
      </c>
      <c r="H198" s="189" t="s">
        <v>2329</v>
      </c>
      <c r="I198" s="189" t="s">
        <v>2330</v>
      </c>
      <c r="J198" s="185" t="s">
        <v>2331</v>
      </c>
      <c r="K198" s="189" t="s">
        <v>2332</v>
      </c>
      <c r="L198" s="189" t="s">
        <v>2333</v>
      </c>
      <c r="M198" s="185" t="s">
        <v>2334</v>
      </c>
      <c r="N198" s="189" t="s">
        <v>752</v>
      </c>
      <c r="O198" s="185" t="s">
        <v>784</v>
      </c>
      <c r="P198" s="190"/>
      <c r="Q198" s="190"/>
      <c r="R198" s="190"/>
      <c r="S198" s="190"/>
      <c r="T198" s="190"/>
      <c r="U198" s="190"/>
      <c r="V198" s="189" t="s">
        <v>2335</v>
      </c>
      <c r="W198" s="189" t="s">
        <v>2336</v>
      </c>
      <c r="X198" s="185" t="s">
        <v>2337</v>
      </c>
      <c r="Y198" s="189" t="s">
        <v>784</v>
      </c>
      <c r="Z198" s="190"/>
      <c r="AA198" s="189" t="s">
        <v>757</v>
      </c>
      <c r="AB198" s="191"/>
      <c r="AC198" s="191"/>
      <c r="AD198" s="191"/>
      <c r="AE198" s="191"/>
      <c r="AF198" s="191"/>
      <c r="AG198" s="191"/>
      <c r="AH198" s="191"/>
      <c r="AI198" s="191"/>
      <c r="AJ198" s="191"/>
      <c r="AK198" s="191"/>
      <c r="AL198" s="191"/>
      <c r="AM198" s="191"/>
      <c r="AN198" s="191"/>
      <c r="AO198" s="191"/>
      <c r="AP198" s="191"/>
      <c r="AQ198" s="191"/>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N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2"/>
      <c r="CI198" s="192"/>
      <c r="CJ198" s="192"/>
      <c r="CK198" s="192"/>
      <c r="CL198" s="192"/>
      <c r="CM198" s="192"/>
      <c r="CN198" s="192"/>
      <c r="CO198" s="192"/>
      <c r="CP198" s="192"/>
      <c r="CQ198" s="192"/>
      <c r="CR198" s="192"/>
      <c r="CS198" s="192"/>
      <c r="CT198" s="192"/>
    </row>
    <row r="199" ht="26.25" customHeight="1">
      <c r="A199" s="184" t="s">
        <v>261</v>
      </c>
      <c r="B199" s="184" t="s">
        <v>2055</v>
      </c>
      <c r="C199" s="184" t="s">
        <v>640</v>
      </c>
      <c r="D199" s="185" t="s">
        <v>743</v>
      </c>
      <c r="E199" s="186" t="s">
        <v>1049</v>
      </c>
      <c r="F199" s="187" t="s">
        <v>1162</v>
      </c>
      <c r="G199" s="188">
        <v>0.6701388888888888</v>
      </c>
      <c r="H199" s="189" t="s">
        <v>2338</v>
      </c>
      <c r="I199" s="189" t="s">
        <v>2339</v>
      </c>
      <c r="J199" s="185" t="s">
        <v>2340</v>
      </c>
      <c r="K199" s="189" t="s">
        <v>2341</v>
      </c>
      <c r="L199" s="189" t="s">
        <v>2342</v>
      </c>
      <c r="M199" s="185" t="s">
        <v>2343</v>
      </c>
      <c r="N199" s="189" t="s">
        <v>850</v>
      </c>
      <c r="O199" s="185" t="s">
        <v>784</v>
      </c>
      <c r="P199" s="190"/>
      <c r="Q199" s="190"/>
      <c r="R199" s="190"/>
      <c r="S199" s="190"/>
      <c r="T199" s="190"/>
      <c r="U199" s="190"/>
      <c r="V199" s="189" t="s">
        <v>1293</v>
      </c>
      <c r="W199" s="189" t="s">
        <v>1294</v>
      </c>
      <c r="X199" s="185" t="s">
        <v>1295</v>
      </c>
      <c r="Y199" s="189" t="s">
        <v>784</v>
      </c>
      <c r="Z199" s="189" t="s">
        <v>1060</v>
      </c>
      <c r="AA199" s="189" t="s">
        <v>757</v>
      </c>
      <c r="AB199" s="191"/>
      <c r="AC199" s="191"/>
      <c r="AD199" s="191"/>
      <c r="AE199" s="191"/>
      <c r="AF199" s="191"/>
      <c r="AG199" s="191"/>
      <c r="AH199" s="191"/>
      <c r="AI199" s="191"/>
      <c r="AJ199" s="191"/>
      <c r="AK199" s="191"/>
      <c r="AL199" s="191"/>
      <c r="AM199" s="191"/>
      <c r="AN199" s="191"/>
      <c r="AO199" s="191"/>
      <c r="AP199" s="191"/>
      <c r="AQ199" s="191"/>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N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2"/>
      <c r="CI199" s="192"/>
      <c r="CJ199" s="192"/>
      <c r="CK199" s="192"/>
      <c r="CL199" s="192"/>
      <c r="CM199" s="192"/>
      <c r="CN199" s="192"/>
      <c r="CO199" s="192"/>
      <c r="CP199" s="192"/>
      <c r="CQ199" s="192"/>
      <c r="CR199" s="192"/>
      <c r="CS199" s="192"/>
      <c r="CT199" s="192"/>
    </row>
    <row r="200" ht="26.25" customHeight="1">
      <c r="A200" s="184" t="s">
        <v>267</v>
      </c>
      <c r="B200" s="184" t="s">
        <v>2055</v>
      </c>
      <c r="C200" s="184" t="s">
        <v>641</v>
      </c>
      <c r="D200" s="185" t="s">
        <v>743</v>
      </c>
      <c r="E200" s="186" t="s">
        <v>2344</v>
      </c>
      <c r="F200" s="187" t="s">
        <v>1212</v>
      </c>
      <c r="G200" s="188">
        <v>0.6284722222222222</v>
      </c>
      <c r="H200" s="189" t="s">
        <v>788</v>
      </c>
      <c r="I200" s="189" t="s">
        <v>2345</v>
      </c>
      <c r="J200" s="189" t="s">
        <v>2346</v>
      </c>
      <c r="K200" s="189" t="s">
        <v>2347</v>
      </c>
      <c r="L200" s="189" t="s">
        <v>2348</v>
      </c>
      <c r="M200" s="185" t="s">
        <v>2349</v>
      </c>
      <c r="N200" s="189" t="s">
        <v>752</v>
      </c>
      <c r="O200" s="185" t="s">
        <v>764</v>
      </c>
      <c r="P200" s="190"/>
      <c r="Q200" s="190"/>
      <c r="R200" s="190"/>
      <c r="S200" s="190"/>
      <c r="T200" s="190"/>
      <c r="U200" s="190"/>
      <c r="V200" s="189" t="s">
        <v>2350</v>
      </c>
      <c r="W200" s="189" t="s">
        <v>2351</v>
      </c>
      <c r="X200" s="185" t="s">
        <v>2352</v>
      </c>
      <c r="Y200" s="189" t="s">
        <v>764</v>
      </c>
      <c r="Z200" s="190"/>
      <c r="AA200" s="189" t="s">
        <v>797</v>
      </c>
      <c r="AB200" s="191"/>
      <c r="AC200" s="191"/>
      <c r="AD200" s="191"/>
      <c r="AE200" s="191"/>
      <c r="AF200" s="191"/>
      <c r="AG200" s="191"/>
      <c r="AH200" s="191"/>
      <c r="AI200" s="191"/>
      <c r="AJ200" s="191"/>
      <c r="AK200" s="191"/>
      <c r="AL200" s="191"/>
      <c r="AM200" s="191"/>
      <c r="AN200" s="191"/>
      <c r="AO200" s="191"/>
      <c r="AP200" s="191"/>
      <c r="AQ200" s="191"/>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N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2"/>
      <c r="CI200" s="192"/>
      <c r="CJ200" s="192"/>
      <c r="CK200" s="192"/>
      <c r="CL200" s="192"/>
      <c r="CM200" s="192"/>
      <c r="CN200" s="192"/>
      <c r="CO200" s="192"/>
      <c r="CP200" s="192"/>
      <c r="CQ200" s="192"/>
      <c r="CR200" s="192"/>
      <c r="CS200" s="192"/>
      <c r="CT200" s="192"/>
    </row>
    <row r="201" ht="26.25" customHeight="1">
      <c r="A201" s="184" t="s">
        <v>269</v>
      </c>
      <c r="B201" s="184" t="s">
        <v>2055</v>
      </c>
      <c r="C201" s="184" t="s">
        <v>641</v>
      </c>
      <c r="D201" s="185" t="s">
        <v>743</v>
      </c>
      <c r="E201" s="186" t="s">
        <v>2344</v>
      </c>
      <c r="F201" s="187" t="s">
        <v>1212</v>
      </c>
      <c r="G201" s="188">
        <v>0.6423611111111112</v>
      </c>
      <c r="H201" s="189" t="s">
        <v>1651</v>
      </c>
      <c r="I201" s="189" t="s">
        <v>2353</v>
      </c>
      <c r="J201" s="189" t="s">
        <v>2354</v>
      </c>
      <c r="K201" s="189" t="s">
        <v>2355</v>
      </c>
      <c r="L201" s="189" t="s">
        <v>2356</v>
      </c>
      <c r="M201" s="185" t="s">
        <v>2357</v>
      </c>
      <c r="N201" s="189" t="s">
        <v>752</v>
      </c>
      <c r="O201" s="185" t="s">
        <v>764</v>
      </c>
      <c r="P201" s="190"/>
      <c r="Q201" s="190"/>
      <c r="R201" s="190"/>
      <c r="S201" s="190"/>
      <c r="T201" s="190"/>
      <c r="U201" s="190"/>
      <c r="V201" s="189" t="s">
        <v>1392</v>
      </c>
      <c r="W201" s="189" t="s">
        <v>1393</v>
      </c>
      <c r="X201" s="185" t="s">
        <v>1394</v>
      </c>
      <c r="Y201" s="189" t="s">
        <v>764</v>
      </c>
      <c r="Z201" s="190"/>
      <c r="AA201" s="189" t="s">
        <v>797</v>
      </c>
      <c r="AB201" s="191"/>
      <c r="AC201" s="191"/>
      <c r="AD201" s="191"/>
      <c r="AE201" s="191"/>
      <c r="AF201" s="191"/>
      <c r="AG201" s="191"/>
      <c r="AH201" s="191"/>
      <c r="AI201" s="191"/>
      <c r="AJ201" s="191"/>
      <c r="AK201" s="191"/>
      <c r="AL201" s="191"/>
      <c r="AM201" s="191"/>
      <c r="AN201" s="191"/>
      <c r="AO201" s="191"/>
      <c r="AP201" s="191"/>
      <c r="AQ201" s="191"/>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N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2"/>
      <c r="CI201" s="192"/>
      <c r="CJ201" s="192"/>
      <c r="CK201" s="192"/>
      <c r="CL201" s="192"/>
      <c r="CM201" s="192"/>
      <c r="CN201" s="192"/>
      <c r="CO201" s="192"/>
      <c r="CP201" s="192"/>
      <c r="CQ201" s="192"/>
      <c r="CR201" s="192"/>
      <c r="CS201" s="192"/>
      <c r="CT201" s="192"/>
    </row>
    <row r="202" ht="26.25" customHeight="1">
      <c r="A202" s="184" t="s">
        <v>266</v>
      </c>
      <c r="B202" s="184" t="s">
        <v>2055</v>
      </c>
      <c r="C202" s="184" t="s">
        <v>641</v>
      </c>
      <c r="D202" s="185" t="s">
        <v>743</v>
      </c>
      <c r="E202" s="186" t="s">
        <v>2344</v>
      </c>
      <c r="F202" s="187" t="s">
        <v>1212</v>
      </c>
      <c r="G202" s="188">
        <v>0.65625</v>
      </c>
      <c r="H202" s="189" t="s">
        <v>2257</v>
      </c>
      <c r="I202" s="189" t="s">
        <v>2358</v>
      </c>
      <c r="J202" s="189" t="s">
        <v>2359</v>
      </c>
      <c r="K202" s="189" t="s">
        <v>2355</v>
      </c>
      <c r="L202" s="189" t="s">
        <v>2360</v>
      </c>
      <c r="M202" s="185" t="s">
        <v>2361</v>
      </c>
      <c r="N202" s="189" t="s">
        <v>752</v>
      </c>
      <c r="O202" s="185" t="s">
        <v>764</v>
      </c>
      <c r="P202" s="190"/>
      <c r="Q202" s="190"/>
      <c r="R202" s="190"/>
      <c r="S202" s="190"/>
      <c r="T202" s="190"/>
      <c r="U202" s="190"/>
      <c r="V202" s="189" t="s">
        <v>2362</v>
      </c>
      <c r="W202" s="189" t="s">
        <v>2363</v>
      </c>
      <c r="X202" s="185" t="s">
        <v>2364</v>
      </c>
      <c r="Y202" s="189" t="s">
        <v>773</v>
      </c>
      <c r="Z202" s="190"/>
      <c r="AA202" s="189" t="s">
        <v>757</v>
      </c>
      <c r="AB202" s="191"/>
      <c r="AC202" s="191"/>
      <c r="AD202" s="191"/>
      <c r="AE202" s="191"/>
      <c r="AF202" s="191"/>
      <c r="AG202" s="191"/>
      <c r="AH202" s="191"/>
      <c r="AI202" s="191"/>
      <c r="AJ202" s="191"/>
      <c r="AK202" s="191"/>
      <c r="AL202" s="191"/>
      <c r="AM202" s="191"/>
      <c r="AN202" s="191"/>
      <c r="AO202" s="191"/>
      <c r="AP202" s="191"/>
      <c r="AQ202" s="191"/>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N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2"/>
      <c r="CI202" s="192"/>
      <c r="CJ202" s="192"/>
      <c r="CK202" s="192"/>
      <c r="CL202" s="192"/>
      <c r="CM202" s="192"/>
      <c r="CN202" s="192"/>
      <c r="CO202" s="192"/>
      <c r="CP202" s="192"/>
      <c r="CQ202" s="192"/>
      <c r="CR202" s="192"/>
      <c r="CS202" s="192"/>
      <c r="CT202" s="192"/>
    </row>
    <row r="203" ht="26.25" customHeight="1">
      <c r="A203" s="184" t="s">
        <v>265</v>
      </c>
      <c r="B203" s="184" t="s">
        <v>1665</v>
      </c>
      <c r="C203" s="184" t="s">
        <v>641</v>
      </c>
      <c r="D203" s="185" t="s">
        <v>743</v>
      </c>
      <c r="E203" s="186" t="s">
        <v>1543</v>
      </c>
      <c r="F203" s="187" t="s">
        <v>1212</v>
      </c>
      <c r="G203" s="188">
        <v>0.6701388888888888</v>
      </c>
      <c r="H203" s="189" t="s">
        <v>1750</v>
      </c>
      <c r="I203" s="189" t="s">
        <v>2365</v>
      </c>
      <c r="J203" s="189" t="s">
        <v>2366</v>
      </c>
      <c r="K203" s="189" t="s">
        <v>2367</v>
      </c>
      <c r="L203" s="189" t="s">
        <v>2368</v>
      </c>
      <c r="M203" s="185" t="s">
        <v>2369</v>
      </c>
      <c r="N203" s="189" t="s">
        <v>850</v>
      </c>
      <c r="O203" s="185" t="s">
        <v>764</v>
      </c>
      <c r="P203" s="189" t="s">
        <v>2370</v>
      </c>
      <c r="Q203" s="189" t="s">
        <v>2370</v>
      </c>
      <c r="R203" s="189" t="s">
        <v>2370</v>
      </c>
      <c r="S203" s="190"/>
      <c r="T203" s="190"/>
      <c r="U203" s="190"/>
      <c r="V203" s="189" t="s">
        <v>788</v>
      </c>
      <c r="W203" s="189" t="s">
        <v>1995</v>
      </c>
      <c r="X203" s="185" t="s">
        <v>2371</v>
      </c>
      <c r="Y203" s="189" t="s">
        <v>764</v>
      </c>
      <c r="Z203" s="189" t="s">
        <v>1543</v>
      </c>
      <c r="AA203" s="189" t="s">
        <v>1782</v>
      </c>
      <c r="AB203" s="191"/>
      <c r="AC203" s="191"/>
      <c r="AD203" s="191"/>
      <c r="AE203" s="191"/>
      <c r="AF203" s="191"/>
      <c r="AG203" s="191"/>
      <c r="AH203" s="191"/>
      <c r="AI203" s="191"/>
      <c r="AJ203" s="191"/>
      <c r="AK203" s="191"/>
      <c r="AL203" s="191"/>
      <c r="AM203" s="191"/>
      <c r="AN203" s="191"/>
      <c r="AO203" s="191"/>
      <c r="AP203" s="191"/>
      <c r="AQ203" s="191"/>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N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2"/>
      <c r="CI203" s="192"/>
      <c r="CJ203" s="192"/>
      <c r="CK203" s="192"/>
      <c r="CL203" s="192"/>
      <c r="CM203" s="192"/>
      <c r="CN203" s="192"/>
      <c r="CO203" s="192"/>
      <c r="CP203" s="192"/>
      <c r="CQ203" s="192"/>
      <c r="CR203" s="192"/>
      <c r="CS203" s="192"/>
      <c r="CT203" s="192"/>
    </row>
    <row r="204" ht="26.25" customHeight="1">
      <c r="A204" s="184" t="s">
        <v>268</v>
      </c>
      <c r="B204" s="184" t="s">
        <v>1665</v>
      </c>
      <c r="C204" s="184" t="s">
        <v>641</v>
      </c>
      <c r="D204" s="185" t="s">
        <v>743</v>
      </c>
      <c r="E204" s="186" t="s">
        <v>1543</v>
      </c>
      <c r="F204" s="187" t="s">
        <v>1212</v>
      </c>
      <c r="G204" s="188">
        <v>0.6840277777777778</v>
      </c>
      <c r="H204" s="189" t="s">
        <v>1015</v>
      </c>
      <c r="I204" s="189" t="s">
        <v>2372</v>
      </c>
      <c r="J204" s="189" t="s">
        <v>2373</v>
      </c>
      <c r="K204" s="189" t="s">
        <v>2374</v>
      </c>
      <c r="L204" s="189" t="s">
        <v>2375</v>
      </c>
      <c r="M204" s="185" t="s">
        <v>2376</v>
      </c>
      <c r="N204" s="189" t="s">
        <v>850</v>
      </c>
      <c r="O204" s="185" t="s">
        <v>764</v>
      </c>
      <c r="P204" s="190"/>
      <c r="Q204" s="190"/>
      <c r="R204" s="190"/>
      <c r="S204" s="190"/>
      <c r="T204" s="190"/>
      <c r="U204" s="190"/>
      <c r="V204" s="189" t="s">
        <v>823</v>
      </c>
      <c r="W204" s="189" t="s">
        <v>824</v>
      </c>
      <c r="X204" s="185" t="s">
        <v>825</v>
      </c>
      <c r="Y204" s="189" t="s">
        <v>764</v>
      </c>
      <c r="Z204" s="189" t="s">
        <v>1543</v>
      </c>
      <c r="AA204" s="189" t="s">
        <v>2377</v>
      </c>
      <c r="AB204" s="191"/>
      <c r="AC204" s="191"/>
      <c r="AD204" s="191"/>
      <c r="AE204" s="191"/>
      <c r="AF204" s="191"/>
      <c r="AG204" s="191"/>
      <c r="AH204" s="191"/>
      <c r="AI204" s="191"/>
      <c r="AJ204" s="191"/>
      <c r="AK204" s="191"/>
      <c r="AL204" s="191"/>
      <c r="AM204" s="191"/>
      <c r="AN204" s="191"/>
      <c r="AO204" s="191"/>
      <c r="AP204" s="191"/>
      <c r="AQ204" s="191"/>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N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2"/>
      <c r="CI204" s="192"/>
      <c r="CJ204" s="192"/>
      <c r="CK204" s="192"/>
      <c r="CL204" s="192"/>
      <c r="CM204" s="192"/>
      <c r="CN204" s="192"/>
      <c r="CO204" s="192"/>
      <c r="CP204" s="192"/>
      <c r="CQ204" s="192"/>
      <c r="CR204" s="192"/>
      <c r="CS204" s="192"/>
      <c r="CT204" s="192"/>
    </row>
    <row r="205" ht="24.0" customHeight="1">
      <c r="A205" s="184" t="s">
        <v>274</v>
      </c>
      <c r="B205" s="184" t="s">
        <v>2055</v>
      </c>
      <c r="C205" s="184" t="s">
        <v>642</v>
      </c>
      <c r="D205" s="184" t="s">
        <v>743</v>
      </c>
      <c r="E205" s="186" t="s">
        <v>1457</v>
      </c>
      <c r="F205" s="187" t="s">
        <v>947</v>
      </c>
      <c r="G205" s="188">
        <v>0.6284722222222222</v>
      </c>
      <c r="H205" s="185" t="s">
        <v>2378</v>
      </c>
      <c r="I205" s="185" t="s">
        <v>2379</v>
      </c>
      <c r="J205" s="185" t="s">
        <v>2380</v>
      </c>
      <c r="K205" s="185" t="s">
        <v>2381</v>
      </c>
      <c r="L205" s="185" t="s">
        <v>2382</v>
      </c>
      <c r="M205" s="185" t="s">
        <v>2383</v>
      </c>
      <c r="N205" s="185" t="s">
        <v>908</v>
      </c>
      <c r="O205" s="185" t="s">
        <v>764</v>
      </c>
      <c r="P205" s="210"/>
      <c r="Q205" s="190"/>
      <c r="R205" s="190"/>
      <c r="S205" s="190"/>
      <c r="T205" s="190"/>
      <c r="U205" s="210"/>
      <c r="V205" s="185" t="s">
        <v>2384</v>
      </c>
      <c r="W205" s="230" t="s">
        <v>2385</v>
      </c>
      <c r="X205" s="185" t="s">
        <v>2386</v>
      </c>
      <c r="Y205" s="185" t="s">
        <v>1457</v>
      </c>
      <c r="Z205" s="185" t="s">
        <v>1457</v>
      </c>
      <c r="AA205" s="189" t="s">
        <v>757</v>
      </c>
      <c r="AB205" s="231"/>
      <c r="AC205" s="231"/>
      <c r="AD205" s="231"/>
      <c r="AE205" s="231"/>
      <c r="AF205" s="231"/>
      <c r="AG205" s="231"/>
      <c r="AH205" s="231"/>
      <c r="AJ205" s="231"/>
      <c r="AK205" s="232"/>
      <c r="AL205" s="231"/>
      <c r="AM205" s="232"/>
      <c r="AN205" s="231"/>
      <c r="AO205" s="232"/>
      <c r="AP205" s="232"/>
      <c r="AQ205" s="232"/>
      <c r="AR205" s="232"/>
      <c r="AS205" s="232"/>
      <c r="AT205" s="232"/>
      <c r="AU205" s="232"/>
      <c r="AV205" s="232"/>
      <c r="AW205" s="231"/>
      <c r="AX205" s="231"/>
      <c r="AY205" s="231"/>
      <c r="AZ205" s="231"/>
      <c r="BA205" s="231"/>
      <c r="BB205" s="231"/>
      <c r="BC205" s="232"/>
      <c r="BD205" s="232"/>
      <c r="BE205" s="232"/>
      <c r="BF205" s="232"/>
      <c r="BG205" s="231"/>
      <c r="BH205" s="231"/>
      <c r="BI205" s="231"/>
      <c r="BJ205" s="231"/>
      <c r="BK205" s="231"/>
      <c r="BL205" s="231"/>
      <c r="BM205" s="231"/>
      <c r="BN205" s="231"/>
      <c r="BO205" s="231"/>
      <c r="BP205" s="231"/>
      <c r="BQ205" s="232"/>
      <c r="BR205" s="232"/>
      <c r="BS205" s="231"/>
      <c r="BT205" s="231"/>
      <c r="BU205" s="231"/>
      <c r="BV205" s="231"/>
      <c r="BW205" s="231"/>
      <c r="BX205" s="231"/>
      <c r="BY205" s="231"/>
      <c r="BZ205" s="231"/>
      <c r="CA205" s="231"/>
      <c r="CB205" s="231"/>
      <c r="CC205" s="231"/>
      <c r="CD205" s="231"/>
      <c r="CE205" s="232"/>
      <c r="CF205" s="232"/>
      <c r="CG205" s="232"/>
      <c r="CH205" s="231"/>
      <c r="CI205" s="232"/>
      <c r="CJ205" s="232"/>
      <c r="CK205" s="232"/>
      <c r="CL205" s="232"/>
      <c r="CM205" s="232"/>
      <c r="CN205" s="232"/>
      <c r="CO205" s="232"/>
      <c r="CP205" s="232"/>
      <c r="CQ205" s="232"/>
      <c r="CR205" s="232"/>
      <c r="CS205" s="232"/>
      <c r="CT205" s="232"/>
    </row>
    <row r="206" ht="24.0" customHeight="1">
      <c r="A206" s="184" t="s">
        <v>275</v>
      </c>
      <c r="B206" s="184" t="s">
        <v>2055</v>
      </c>
      <c r="C206" s="184" t="s">
        <v>642</v>
      </c>
      <c r="D206" s="184" t="s">
        <v>743</v>
      </c>
      <c r="E206" s="186" t="s">
        <v>1457</v>
      </c>
      <c r="F206" s="187" t="s">
        <v>947</v>
      </c>
      <c r="G206" s="188">
        <v>0.6423611111111112</v>
      </c>
      <c r="H206" s="185" t="s">
        <v>2387</v>
      </c>
      <c r="I206" s="185" t="s">
        <v>2388</v>
      </c>
      <c r="J206" s="185" t="s">
        <v>2389</v>
      </c>
      <c r="K206" s="185" t="s">
        <v>2240</v>
      </c>
      <c r="L206" s="185" t="s">
        <v>2390</v>
      </c>
      <c r="M206" s="185" t="s">
        <v>2391</v>
      </c>
      <c r="N206" s="185" t="s">
        <v>908</v>
      </c>
      <c r="O206" s="185" t="s">
        <v>1457</v>
      </c>
      <c r="P206" s="189" t="s">
        <v>2392</v>
      </c>
      <c r="Q206" s="189" t="s">
        <v>2393</v>
      </c>
      <c r="R206" s="189" t="s">
        <v>2394</v>
      </c>
      <c r="S206" s="189" t="s">
        <v>2395</v>
      </c>
      <c r="T206" s="189" t="s">
        <v>2396</v>
      </c>
      <c r="U206" s="185" t="s">
        <v>2397</v>
      </c>
      <c r="V206" s="185" t="s">
        <v>2398</v>
      </c>
      <c r="W206" s="230" t="s">
        <v>2399</v>
      </c>
      <c r="X206" s="185" t="s">
        <v>2400</v>
      </c>
      <c r="Y206" s="185" t="s">
        <v>1457</v>
      </c>
      <c r="Z206" s="185" t="s">
        <v>1457</v>
      </c>
      <c r="AA206" s="189" t="s">
        <v>757</v>
      </c>
      <c r="AB206" s="231"/>
      <c r="AC206" s="231"/>
      <c r="AD206" s="231"/>
      <c r="AE206" s="231"/>
      <c r="AF206" s="231"/>
      <c r="AG206" s="231"/>
      <c r="AH206" s="231"/>
      <c r="AJ206" s="231"/>
      <c r="AK206" s="232"/>
      <c r="AL206" s="231"/>
      <c r="AM206" s="232"/>
      <c r="AN206" s="231"/>
      <c r="AO206" s="232"/>
      <c r="AP206" s="232"/>
      <c r="AQ206" s="232"/>
      <c r="AR206" s="232"/>
      <c r="AS206" s="232"/>
      <c r="AT206" s="232"/>
      <c r="AU206" s="232"/>
      <c r="AV206" s="232"/>
      <c r="AW206" s="231"/>
      <c r="AX206" s="231"/>
      <c r="AY206" s="231"/>
      <c r="AZ206" s="231"/>
      <c r="BA206" s="231"/>
      <c r="BB206" s="231"/>
      <c r="BC206" s="231"/>
      <c r="BD206" s="231"/>
      <c r="BE206" s="231"/>
      <c r="BF206" s="231"/>
      <c r="BG206" s="231"/>
      <c r="BH206" s="231"/>
      <c r="BI206" s="231"/>
      <c r="BJ206" s="231"/>
      <c r="BK206" s="232"/>
      <c r="BL206" s="232"/>
      <c r="BM206" s="232"/>
      <c r="BN206" s="232"/>
      <c r="BO206" s="232"/>
      <c r="BP206" s="232"/>
      <c r="BQ206" s="232"/>
      <c r="BR206" s="232"/>
      <c r="BS206" s="231"/>
      <c r="BT206" s="231"/>
      <c r="BU206" s="231"/>
      <c r="BV206" s="231"/>
      <c r="BW206" s="231"/>
      <c r="BX206" s="231"/>
      <c r="BY206" s="231"/>
      <c r="BZ206" s="232"/>
      <c r="CA206" s="231"/>
      <c r="CB206" s="231"/>
      <c r="CC206" s="231"/>
      <c r="CD206" s="231"/>
      <c r="CE206" s="232"/>
      <c r="CF206" s="232"/>
      <c r="CG206" s="232"/>
      <c r="CH206" s="231"/>
      <c r="CI206" s="232"/>
      <c r="CJ206" s="232"/>
      <c r="CK206" s="232"/>
      <c r="CL206" s="232"/>
      <c r="CM206" s="232"/>
      <c r="CN206" s="232"/>
      <c r="CO206" s="232"/>
      <c r="CP206" s="232"/>
      <c r="CQ206" s="232"/>
      <c r="CR206" s="232"/>
      <c r="CS206" s="232"/>
      <c r="CT206" s="232"/>
    </row>
    <row r="207" ht="24.0" customHeight="1">
      <c r="A207" s="184" t="s">
        <v>270</v>
      </c>
      <c r="B207" s="184" t="s">
        <v>2055</v>
      </c>
      <c r="C207" s="184" t="s">
        <v>642</v>
      </c>
      <c r="D207" s="184" t="s">
        <v>743</v>
      </c>
      <c r="E207" s="186" t="s">
        <v>1457</v>
      </c>
      <c r="F207" s="187" t="s">
        <v>947</v>
      </c>
      <c r="G207" s="188">
        <v>0.65625</v>
      </c>
      <c r="H207" s="185" t="s">
        <v>2401</v>
      </c>
      <c r="I207" s="185" t="s">
        <v>2252</v>
      </c>
      <c r="J207" s="185" t="s">
        <v>2402</v>
      </c>
      <c r="K207" s="185" t="s">
        <v>2403</v>
      </c>
      <c r="L207" s="185" t="s">
        <v>2404</v>
      </c>
      <c r="M207" s="185" t="s">
        <v>2405</v>
      </c>
      <c r="N207" s="185" t="s">
        <v>752</v>
      </c>
      <c r="O207" s="185" t="s">
        <v>1457</v>
      </c>
      <c r="P207" s="189" t="s">
        <v>2406</v>
      </c>
      <c r="Q207" s="189" t="s">
        <v>2407</v>
      </c>
      <c r="R207" s="190"/>
      <c r="S207" s="190"/>
      <c r="T207" s="190"/>
      <c r="U207" s="210"/>
      <c r="V207" s="185" t="s">
        <v>1460</v>
      </c>
      <c r="W207" s="230" t="s">
        <v>1461</v>
      </c>
      <c r="X207" s="185" t="s">
        <v>1462</v>
      </c>
      <c r="Y207" s="185" t="s">
        <v>1457</v>
      </c>
      <c r="Z207" s="210"/>
      <c r="AA207" s="189" t="s">
        <v>1654</v>
      </c>
      <c r="AB207" s="231"/>
      <c r="AC207" s="231"/>
      <c r="AD207" s="231"/>
      <c r="AE207" s="231"/>
      <c r="AF207" s="231"/>
      <c r="AG207" s="231"/>
      <c r="AH207" s="231"/>
      <c r="AJ207" s="231"/>
      <c r="AK207" s="232"/>
      <c r="AL207" s="231"/>
      <c r="AM207" s="232"/>
      <c r="AN207" s="231"/>
      <c r="AO207" s="232"/>
      <c r="AP207" s="232"/>
      <c r="AQ207" s="232"/>
      <c r="AR207" s="232"/>
      <c r="AS207" s="232"/>
      <c r="AT207" s="232"/>
      <c r="AU207" s="232"/>
      <c r="AV207" s="232"/>
      <c r="AW207" s="231"/>
      <c r="AX207" s="231"/>
      <c r="AY207" s="231"/>
      <c r="AZ207" s="231"/>
      <c r="BA207" s="231"/>
      <c r="BB207" s="231"/>
      <c r="BC207" s="232"/>
      <c r="BD207" s="232"/>
      <c r="BE207" s="232"/>
      <c r="BF207" s="232"/>
      <c r="BG207" s="231"/>
      <c r="BH207" s="231"/>
      <c r="BI207" s="231"/>
      <c r="BJ207" s="231"/>
      <c r="BK207" s="231"/>
      <c r="BL207" s="231"/>
      <c r="BM207" s="231"/>
      <c r="BN207" s="231"/>
      <c r="BO207" s="232"/>
      <c r="BP207" s="232"/>
      <c r="BQ207" s="232"/>
      <c r="BR207" s="232"/>
      <c r="BS207" s="231"/>
      <c r="BT207" s="231"/>
      <c r="BU207" s="231"/>
      <c r="BV207" s="231"/>
      <c r="BW207" s="231"/>
      <c r="BX207" s="231"/>
      <c r="BY207" s="231"/>
      <c r="BZ207" s="231"/>
      <c r="CA207" s="231"/>
      <c r="CB207" s="231"/>
      <c r="CC207" s="231"/>
      <c r="CD207" s="231"/>
      <c r="CE207" s="232"/>
      <c r="CF207" s="232"/>
      <c r="CG207" s="232"/>
      <c r="CH207" s="231"/>
      <c r="CI207" s="232"/>
      <c r="CJ207" s="232"/>
      <c r="CK207" s="232"/>
      <c r="CL207" s="232"/>
      <c r="CM207" s="232"/>
      <c r="CN207" s="232"/>
      <c r="CO207" s="232"/>
      <c r="CP207" s="232"/>
      <c r="CQ207" s="232"/>
      <c r="CR207" s="232"/>
      <c r="CS207" s="232"/>
      <c r="CT207" s="232"/>
    </row>
    <row r="208" ht="24.0" customHeight="1">
      <c r="A208" s="184" t="s">
        <v>273</v>
      </c>
      <c r="B208" s="184" t="s">
        <v>2055</v>
      </c>
      <c r="C208" s="184" t="s">
        <v>642</v>
      </c>
      <c r="D208" s="184" t="s">
        <v>743</v>
      </c>
      <c r="E208" s="186" t="s">
        <v>1457</v>
      </c>
      <c r="F208" s="187" t="s">
        <v>947</v>
      </c>
      <c r="G208" s="188">
        <v>0.6701388888888888</v>
      </c>
      <c r="H208" s="185" t="s">
        <v>2408</v>
      </c>
      <c r="I208" s="185" t="s">
        <v>2409</v>
      </c>
      <c r="J208" s="185" t="s">
        <v>2410</v>
      </c>
      <c r="K208" s="185" t="s">
        <v>2411</v>
      </c>
      <c r="L208" s="185" t="s">
        <v>2412</v>
      </c>
      <c r="M208" s="185" t="s">
        <v>2413</v>
      </c>
      <c r="N208" s="185" t="s">
        <v>752</v>
      </c>
      <c r="O208" s="185" t="s">
        <v>764</v>
      </c>
      <c r="P208" s="190"/>
      <c r="Q208" s="190"/>
      <c r="R208" s="190"/>
      <c r="S208" s="190"/>
      <c r="T208" s="190"/>
      <c r="U208" s="210"/>
      <c r="V208" s="185" t="s">
        <v>1779</v>
      </c>
      <c r="W208" s="230" t="s">
        <v>1780</v>
      </c>
      <c r="X208" s="185" t="s">
        <v>1781</v>
      </c>
      <c r="Y208" s="185" t="s">
        <v>784</v>
      </c>
      <c r="Z208" s="210"/>
      <c r="AA208" s="189" t="s">
        <v>757</v>
      </c>
      <c r="AB208" s="231"/>
      <c r="AC208" s="231"/>
      <c r="AD208" s="231"/>
      <c r="AE208" s="231"/>
      <c r="AF208" s="231"/>
      <c r="AG208" s="231"/>
      <c r="AH208" s="231"/>
      <c r="AJ208" s="231"/>
      <c r="AK208" s="232"/>
      <c r="AL208" s="231"/>
      <c r="AM208" s="232"/>
      <c r="AN208" s="231"/>
      <c r="AO208" s="232"/>
      <c r="AP208" s="232"/>
      <c r="AQ208" s="232"/>
      <c r="AR208" s="232"/>
      <c r="AS208" s="232"/>
      <c r="AT208" s="232"/>
      <c r="AU208" s="232"/>
      <c r="AV208" s="232"/>
      <c r="AW208" s="231"/>
      <c r="AX208" s="231"/>
      <c r="AY208" s="231"/>
      <c r="AZ208" s="231"/>
      <c r="BA208" s="231"/>
      <c r="BB208" s="231"/>
      <c r="BC208" s="232"/>
      <c r="BD208" s="232"/>
      <c r="BE208" s="232"/>
      <c r="BF208" s="232"/>
      <c r="BG208" s="231"/>
      <c r="BH208" s="231"/>
      <c r="BI208" s="231"/>
      <c r="BJ208" s="231"/>
      <c r="BK208" s="231"/>
      <c r="BL208" s="231"/>
      <c r="BM208" s="231"/>
      <c r="BN208" s="231"/>
      <c r="BO208" s="232"/>
      <c r="BP208" s="232"/>
      <c r="BQ208" s="232"/>
      <c r="BR208" s="232"/>
      <c r="BS208" s="231"/>
      <c r="BT208" s="231"/>
      <c r="BU208" s="231"/>
      <c r="BV208" s="231"/>
      <c r="BW208" s="231"/>
      <c r="BX208" s="231"/>
      <c r="BY208" s="231"/>
      <c r="BZ208" s="231"/>
      <c r="CA208" s="231"/>
      <c r="CB208" s="231"/>
      <c r="CC208" s="231"/>
      <c r="CD208" s="231"/>
      <c r="CE208" s="232"/>
      <c r="CF208" s="232"/>
      <c r="CG208" s="232"/>
      <c r="CH208" s="231"/>
      <c r="CI208" s="232"/>
      <c r="CJ208" s="232"/>
      <c r="CK208" s="231"/>
      <c r="CL208" s="233"/>
      <c r="CM208" s="232"/>
      <c r="CN208" s="232"/>
      <c r="CO208" s="232"/>
      <c r="CP208" s="232"/>
      <c r="CQ208" s="232"/>
      <c r="CR208" s="232"/>
      <c r="CS208" s="232"/>
      <c r="CT208" s="232"/>
    </row>
    <row r="209" ht="24.0" customHeight="1">
      <c r="A209" s="220" t="s">
        <v>271</v>
      </c>
      <c r="B209" s="220" t="s">
        <v>2055</v>
      </c>
      <c r="C209" s="220" t="s">
        <v>642</v>
      </c>
      <c r="D209" s="184" t="s">
        <v>743</v>
      </c>
      <c r="E209" s="221" t="s">
        <v>1457</v>
      </c>
      <c r="F209" s="222" t="s">
        <v>947</v>
      </c>
      <c r="G209" s="223">
        <v>0.6840277777777778</v>
      </c>
      <c r="H209" s="225" t="s">
        <v>2197</v>
      </c>
      <c r="I209" s="225" t="s">
        <v>2414</v>
      </c>
      <c r="J209" s="225" t="s">
        <v>2415</v>
      </c>
      <c r="K209" s="225" t="s">
        <v>2416</v>
      </c>
      <c r="L209" s="225" t="s">
        <v>2417</v>
      </c>
      <c r="M209" s="225" t="s">
        <v>2418</v>
      </c>
      <c r="N209" s="225" t="s">
        <v>752</v>
      </c>
      <c r="O209" s="225" t="s">
        <v>784</v>
      </c>
      <c r="P209" s="190"/>
      <c r="Q209" s="190"/>
      <c r="R209" s="190"/>
      <c r="S209" s="190"/>
      <c r="T209" s="190"/>
      <c r="U209" s="210"/>
      <c r="V209" s="225" t="s">
        <v>2419</v>
      </c>
      <c r="W209" s="234" t="s">
        <v>2420</v>
      </c>
      <c r="X209" s="225" t="s">
        <v>2421</v>
      </c>
      <c r="Y209" s="225" t="s">
        <v>893</v>
      </c>
      <c r="Z209" s="210"/>
      <c r="AA209" s="224" t="s">
        <v>757</v>
      </c>
      <c r="AB209" s="231"/>
      <c r="AC209" s="231"/>
      <c r="AD209" s="231"/>
      <c r="AE209" s="231"/>
      <c r="AF209" s="231"/>
      <c r="AG209" s="231"/>
      <c r="AH209" s="231"/>
      <c r="AJ209" s="231"/>
      <c r="AK209" s="232"/>
      <c r="AL209" s="231"/>
      <c r="AM209" s="232"/>
      <c r="AN209" s="231"/>
      <c r="AO209" s="232"/>
      <c r="AP209" s="232"/>
      <c r="AQ209" s="232"/>
      <c r="AR209" s="232"/>
      <c r="AS209" s="232"/>
      <c r="AT209" s="232"/>
      <c r="AU209" s="232"/>
      <c r="AV209" s="232"/>
      <c r="AW209" s="231"/>
      <c r="AX209" s="231"/>
      <c r="AY209" s="231"/>
      <c r="AZ209" s="231"/>
      <c r="BA209" s="231"/>
      <c r="BB209" s="231"/>
      <c r="BC209" s="231"/>
      <c r="BD209" s="231"/>
      <c r="BE209" s="231"/>
      <c r="BF209" s="231"/>
      <c r="BG209" s="231"/>
      <c r="BH209" s="231"/>
      <c r="BI209" s="231"/>
      <c r="BJ209" s="231"/>
      <c r="BK209" s="232"/>
      <c r="BL209" s="232"/>
      <c r="BM209" s="232"/>
      <c r="BN209" s="232"/>
      <c r="BO209" s="232"/>
      <c r="BP209" s="232"/>
      <c r="BQ209" s="232"/>
      <c r="BR209" s="232"/>
      <c r="BS209" s="231"/>
      <c r="BT209" s="231"/>
      <c r="BU209" s="231"/>
      <c r="BV209" s="231"/>
      <c r="BW209" s="231"/>
      <c r="BX209" s="231"/>
      <c r="BY209" s="232"/>
      <c r="BZ209" s="232"/>
      <c r="CA209" s="231"/>
      <c r="CB209" s="231"/>
      <c r="CC209" s="231"/>
      <c r="CD209" s="231"/>
      <c r="CE209" s="232"/>
      <c r="CF209" s="232"/>
      <c r="CG209" s="232"/>
      <c r="CH209" s="231"/>
      <c r="CI209" s="232"/>
      <c r="CJ209" s="232"/>
      <c r="CK209" s="232"/>
      <c r="CL209" s="232"/>
      <c r="CM209" s="232"/>
      <c r="CN209" s="232"/>
      <c r="CO209" s="232"/>
      <c r="CP209" s="232"/>
      <c r="CQ209" s="232"/>
      <c r="CR209" s="232"/>
      <c r="CS209" s="232"/>
      <c r="CT209" s="232"/>
    </row>
    <row r="210" ht="24.0" customHeight="1">
      <c r="A210" s="184" t="s">
        <v>272</v>
      </c>
      <c r="B210" s="184" t="s">
        <v>2055</v>
      </c>
      <c r="C210" s="184" t="s">
        <v>642</v>
      </c>
      <c r="D210" s="184" t="s">
        <v>743</v>
      </c>
      <c r="E210" s="186" t="s">
        <v>1457</v>
      </c>
      <c r="F210" s="187" t="s">
        <v>947</v>
      </c>
      <c r="G210" s="188">
        <v>0.6979166666666666</v>
      </c>
      <c r="H210" s="185" t="s">
        <v>2422</v>
      </c>
      <c r="I210" s="185" t="s">
        <v>2423</v>
      </c>
      <c r="J210" s="185" t="s">
        <v>2424</v>
      </c>
      <c r="K210" s="185" t="s">
        <v>2425</v>
      </c>
      <c r="L210" s="185" t="s">
        <v>2426</v>
      </c>
      <c r="M210" s="185" t="s">
        <v>2427</v>
      </c>
      <c r="N210" s="185" t="s">
        <v>752</v>
      </c>
      <c r="O210" s="185" t="s">
        <v>784</v>
      </c>
      <c r="P210" s="190"/>
      <c r="Q210" s="190"/>
      <c r="R210" s="190"/>
      <c r="S210" s="190"/>
      <c r="T210" s="190"/>
      <c r="U210" s="210"/>
      <c r="V210" s="185" t="s">
        <v>2428</v>
      </c>
      <c r="W210" s="230" t="s">
        <v>2429</v>
      </c>
      <c r="X210" s="185" t="s">
        <v>2430</v>
      </c>
      <c r="Y210" s="185" t="s">
        <v>784</v>
      </c>
      <c r="Z210" s="210"/>
      <c r="AA210" s="189" t="s">
        <v>757</v>
      </c>
      <c r="AB210" s="231"/>
      <c r="AC210" s="231"/>
      <c r="AD210" s="231"/>
      <c r="AE210" s="231"/>
      <c r="AF210" s="231"/>
      <c r="AG210" s="231"/>
      <c r="AH210" s="231"/>
      <c r="AJ210" s="231"/>
      <c r="AK210" s="232"/>
      <c r="AL210" s="231"/>
      <c r="AM210" s="232"/>
      <c r="AN210" s="231"/>
      <c r="AO210" s="232"/>
      <c r="AP210" s="232"/>
      <c r="AQ210" s="232"/>
      <c r="AR210" s="232"/>
      <c r="AS210" s="232"/>
      <c r="AT210" s="232"/>
      <c r="AU210" s="232"/>
      <c r="AV210" s="232"/>
      <c r="AW210" s="231"/>
      <c r="AX210" s="231"/>
      <c r="AY210" s="231"/>
      <c r="AZ210" s="231"/>
      <c r="BA210" s="231"/>
      <c r="BB210" s="231"/>
      <c r="BC210" s="232"/>
      <c r="BD210" s="232"/>
      <c r="BE210" s="232"/>
      <c r="BF210" s="232"/>
      <c r="BG210" s="232"/>
      <c r="BH210" s="232"/>
      <c r="BI210" s="232"/>
      <c r="BJ210" s="232"/>
      <c r="BK210" s="232"/>
      <c r="BL210" s="232"/>
      <c r="BM210" s="232"/>
      <c r="BN210" s="232"/>
      <c r="BO210" s="232"/>
      <c r="BP210" s="232"/>
      <c r="BQ210" s="232"/>
      <c r="BR210" s="232"/>
      <c r="BS210" s="231"/>
      <c r="BT210" s="231"/>
      <c r="BU210" s="231"/>
      <c r="BV210" s="231"/>
      <c r="BW210" s="231"/>
      <c r="BX210" s="231"/>
      <c r="BY210" s="231"/>
      <c r="BZ210" s="231"/>
      <c r="CA210" s="231"/>
      <c r="CB210" s="231"/>
      <c r="CC210" s="231"/>
      <c r="CD210" s="231"/>
      <c r="CE210" s="232"/>
      <c r="CF210" s="232"/>
      <c r="CG210" s="232"/>
      <c r="CH210" s="231"/>
      <c r="CI210" s="232"/>
      <c r="CJ210" s="232"/>
      <c r="CK210" s="231"/>
      <c r="CL210" s="235"/>
      <c r="CM210" s="232"/>
      <c r="CN210" s="232"/>
      <c r="CO210" s="232"/>
      <c r="CP210" s="232"/>
      <c r="CQ210" s="232"/>
      <c r="CR210" s="232"/>
      <c r="CS210" s="232"/>
      <c r="CT210" s="232"/>
    </row>
    <row r="211" ht="24.0" customHeight="1">
      <c r="A211" s="184" t="s">
        <v>284</v>
      </c>
      <c r="B211" s="184" t="s">
        <v>742</v>
      </c>
      <c r="C211" s="184" t="s">
        <v>645</v>
      </c>
      <c r="D211" s="184" t="s">
        <v>2431</v>
      </c>
      <c r="E211" s="236" t="s">
        <v>844</v>
      </c>
      <c r="F211" s="186" t="s">
        <v>2432</v>
      </c>
      <c r="G211" s="185">
        <v>1.0</v>
      </c>
      <c r="H211" s="237" t="s">
        <v>2433</v>
      </c>
      <c r="I211" s="237" t="s">
        <v>2434</v>
      </c>
      <c r="J211" s="237" t="s">
        <v>2435</v>
      </c>
      <c r="K211" s="237" t="s">
        <v>2436</v>
      </c>
      <c r="L211" s="237" t="s">
        <v>2437</v>
      </c>
      <c r="M211" s="237" t="s">
        <v>2438</v>
      </c>
      <c r="N211" s="237" t="s">
        <v>752</v>
      </c>
      <c r="O211" s="237" t="s">
        <v>893</v>
      </c>
      <c r="P211" s="237" t="s">
        <v>2439</v>
      </c>
      <c r="Q211" s="237" t="s">
        <v>2440</v>
      </c>
      <c r="R211" s="190"/>
      <c r="S211" s="190"/>
      <c r="T211" s="190"/>
      <c r="U211" s="190"/>
      <c r="V211" s="237" t="s">
        <v>1141</v>
      </c>
      <c r="W211" s="238" t="s">
        <v>1142</v>
      </c>
      <c r="X211" s="239" t="s">
        <v>1143</v>
      </c>
      <c r="Y211" s="237" t="s">
        <v>893</v>
      </c>
      <c r="Z211" s="237" t="s">
        <v>744</v>
      </c>
      <c r="AA211" s="237" t="s">
        <v>757</v>
      </c>
      <c r="AB211" s="191"/>
      <c r="AC211" s="191"/>
      <c r="AD211" s="191"/>
      <c r="AE211" s="191"/>
      <c r="AF211" s="191"/>
      <c r="AG211" s="191"/>
      <c r="AH211" s="191"/>
      <c r="AJ211" s="215"/>
      <c r="AK211" s="215"/>
      <c r="AL211" s="215"/>
      <c r="AM211" s="215"/>
      <c r="AN211" s="215"/>
      <c r="AO211" s="215"/>
      <c r="AP211" s="191"/>
      <c r="AQ211" s="215"/>
      <c r="AR211" s="191"/>
      <c r="AS211" s="215"/>
      <c r="AT211" s="215"/>
      <c r="AU211" s="215"/>
      <c r="AV211" s="215"/>
      <c r="AW211" s="191"/>
      <c r="AX211" s="191"/>
      <c r="AY211" s="191"/>
      <c r="AZ211" s="191"/>
      <c r="BA211" s="191"/>
      <c r="BB211" s="191"/>
      <c r="BC211" s="215"/>
      <c r="BD211" s="215"/>
      <c r="BE211" s="215"/>
      <c r="BF211" s="215"/>
      <c r="BG211" s="215"/>
      <c r="BH211" s="215"/>
      <c r="BI211" s="215"/>
      <c r="BJ211" s="215"/>
      <c r="BK211" s="215"/>
      <c r="BL211" s="215"/>
      <c r="BM211" s="215"/>
      <c r="BN211" s="215"/>
      <c r="BO211" s="215"/>
      <c r="BP211" s="215"/>
      <c r="BQ211" s="215"/>
      <c r="BR211" s="215"/>
      <c r="BS211" s="191"/>
      <c r="BT211" s="191"/>
      <c r="BU211" s="191"/>
      <c r="BV211" s="191"/>
      <c r="BW211" s="191"/>
      <c r="BX211" s="191"/>
      <c r="BY211" s="191"/>
      <c r="BZ211" s="191"/>
      <c r="CA211" s="191"/>
      <c r="CB211" s="191"/>
      <c r="CC211" s="191"/>
      <c r="CD211" s="215"/>
      <c r="CE211" s="215"/>
      <c r="CF211" s="191"/>
      <c r="CG211" s="215"/>
      <c r="CH211" s="191"/>
      <c r="CI211" s="215"/>
      <c r="CJ211" s="215"/>
      <c r="CK211" s="215"/>
      <c r="CL211" s="240"/>
      <c r="CM211" s="215"/>
      <c r="CN211" s="215"/>
      <c r="CO211" s="215"/>
      <c r="CP211" s="215"/>
      <c r="CQ211" s="215"/>
      <c r="CR211" s="215"/>
      <c r="CS211" s="215"/>
      <c r="CT211" s="215"/>
    </row>
    <row r="212" ht="24.0" customHeight="1">
      <c r="A212" s="184" t="s">
        <v>287</v>
      </c>
      <c r="B212" s="184" t="s">
        <v>742</v>
      </c>
      <c r="C212" s="184" t="s">
        <v>645</v>
      </c>
      <c r="D212" s="184" t="s">
        <v>2431</v>
      </c>
      <c r="E212" s="236" t="s">
        <v>844</v>
      </c>
      <c r="F212" s="186" t="s">
        <v>2432</v>
      </c>
      <c r="G212" s="185">
        <v>2.0</v>
      </c>
      <c r="H212" s="237" t="s">
        <v>2441</v>
      </c>
      <c r="I212" s="237" t="s">
        <v>2442</v>
      </c>
      <c r="J212" s="237" t="s">
        <v>2443</v>
      </c>
      <c r="K212" s="237" t="s">
        <v>2059</v>
      </c>
      <c r="L212" s="209" t="s">
        <v>2444</v>
      </c>
      <c r="M212" s="237" t="s">
        <v>2445</v>
      </c>
      <c r="N212" s="237" t="s">
        <v>752</v>
      </c>
      <c r="O212" s="237" t="s">
        <v>764</v>
      </c>
      <c r="P212" s="190"/>
      <c r="Q212" s="190"/>
      <c r="R212" s="190"/>
      <c r="S212" s="190"/>
      <c r="T212" s="190"/>
      <c r="U212" s="190"/>
      <c r="V212" s="237" t="s">
        <v>2446</v>
      </c>
      <c r="W212" s="238" t="s">
        <v>2447</v>
      </c>
      <c r="X212" s="239" t="s">
        <v>2448</v>
      </c>
      <c r="Y212" s="237" t="s">
        <v>764</v>
      </c>
      <c r="Z212" s="237" t="s">
        <v>744</v>
      </c>
      <c r="AA212" s="237" t="s">
        <v>757</v>
      </c>
      <c r="AB212" s="191"/>
      <c r="AC212" s="191"/>
      <c r="AD212" s="191"/>
      <c r="AE212" s="191"/>
      <c r="AF212" s="191"/>
      <c r="AG212" s="191"/>
      <c r="AH212" s="191"/>
      <c r="AJ212" s="215"/>
      <c r="AK212" s="215"/>
      <c r="AL212" s="215"/>
      <c r="AM212" s="215"/>
      <c r="AN212" s="215"/>
      <c r="AO212" s="215"/>
      <c r="AP212" s="191"/>
      <c r="AQ212" s="215"/>
      <c r="AR212" s="191"/>
      <c r="AS212" s="215"/>
      <c r="AT212" s="215"/>
      <c r="AU212" s="215"/>
      <c r="AV212" s="215"/>
      <c r="AW212" s="191"/>
      <c r="AX212" s="191"/>
      <c r="AY212" s="191"/>
      <c r="AZ212" s="191"/>
      <c r="BA212" s="191"/>
      <c r="BB212" s="191"/>
      <c r="BC212" s="215"/>
      <c r="BD212" s="215"/>
      <c r="BE212" s="215"/>
      <c r="BF212" s="215"/>
      <c r="BG212" s="215"/>
      <c r="BH212" s="215"/>
      <c r="BI212" s="215"/>
      <c r="BJ212" s="215"/>
      <c r="BK212" s="215"/>
      <c r="BL212" s="215"/>
      <c r="BM212" s="215"/>
      <c r="BN212" s="215"/>
      <c r="BO212" s="215"/>
      <c r="BP212" s="215"/>
      <c r="BQ212" s="215"/>
      <c r="BR212" s="215"/>
      <c r="BS212" s="191"/>
      <c r="BT212" s="191"/>
      <c r="BU212" s="191"/>
      <c r="BV212" s="191"/>
      <c r="BW212" s="191"/>
      <c r="BX212" s="191"/>
      <c r="BY212" s="191"/>
      <c r="BZ212" s="215"/>
      <c r="CA212" s="191"/>
      <c r="CB212" s="191"/>
      <c r="CC212" s="191"/>
      <c r="CD212" s="215"/>
      <c r="CE212" s="215"/>
      <c r="CF212" s="191"/>
      <c r="CG212" s="215"/>
      <c r="CH212" s="191"/>
      <c r="CI212" s="215"/>
      <c r="CJ212" s="215"/>
      <c r="CK212" s="215"/>
      <c r="CL212" s="240"/>
      <c r="CM212" s="215"/>
      <c r="CN212" s="215"/>
      <c r="CO212" s="215"/>
      <c r="CP212" s="215"/>
      <c r="CQ212" s="215"/>
      <c r="CR212" s="215"/>
      <c r="CS212" s="215"/>
      <c r="CT212" s="215"/>
    </row>
    <row r="213" ht="24.0" customHeight="1">
      <c r="A213" s="184" t="s">
        <v>289</v>
      </c>
      <c r="B213" s="184" t="s">
        <v>742</v>
      </c>
      <c r="C213" s="184" t="s">
        <v>645</v>
      </c>
      <c r="D213" s="184" t="s">
        <v>2431</v>
      </c>
      <c r="E213" s="236" t="s">
        <v>844</v>
      </c>
      <c r="F213" s="186" t="s">
        <v>2432</v>
      </c>
      <c r="G213" s="185">
        <v>3.0</v>
      </c>
      <c r="H213" s="237" t="s">
        <v>2449</v>
      </c>
      <c r="I213" s="237" t="s">
        <v>2450</v>
      </c>
      <c r="J213" s="237" t="s">
        <v>2451</v>
      </c>
      <c r="K213" s="237" t="s">
        <v>2452</v>
      </c>
      <c r="L213" s="237" t="s">
        <v>2453</v>
      </c>
      <c r="M213" s="237" t="s">
        <v>2454</v>
      </c>
      <c r="N213" s="237" t="s">
        <v>752</v>
      </c>
      <c r="O213" s="237" t="s">
        <v>764</v>
      </c>
      <c r="P213" s="190"/>
      <c r="Q213" s="190"/>
      <c r="R213" s="190"/>
      <c r="S213" s="190"/>
      <c r="T213" s="190"/>
      <c r="U213" s="190"/>
      <c r="V213" s="237" t="s">
        <v>2455</v>
      </c>
      <c r="W213" s="238" t="s">
        <v>867</v>
      </c>
      <c r="X213" s="239" t="s">
        <v>868</v>
      </c>
      <c r="Y213" s="237" t="s">
        <v>764</v>
      </c>
      <c r="Z213" s="237" t="s">
        <v>744</v>
      </c>
      <c r="AA213" s="237" t="s">
        <v>757</v>
      </c>
      <c r="AB213" s="191"/>
      <c r="AC213" s="191"/>
      <c r="AD213" s="191"/>
      <c r="AE213" s="191"/>
      <c r="AF213" s="191"/>
      <c r="AG213" s="191"/>
      <c r="AH213" s="191"/>
      <c r="AJ213" s="215"/>
      <c r="AK213" s="215"/>
      <c r="AL213" s="215"/>
      <c r="AM213" s="215"/>
      <c r="AN213" s="215"/>
      <c r="AO213" s="215"/>
      <c r="AP213" s="191"/>
      <c r="AQ213" s="215"/>
      <c r="AR213" s="191"/>
      <c r="AS213" s="215"/>
      <c r="AT213" s="215"/>
      <c r="AU213" s="215"/>
      <c r="AV213" s="215"/>
      <c r="AW213" s="191"/>
      <c r="AX213" s="191"/>
      <c r="AY213" s="191"/>
      <c r="AZ213" s="191"/>
      <c r="BA213" s="191"/>
      <c r="BB213" s="191"/>
      <c r="BC213" s="215"/>
      <c r="BD213" s="215"/>
      <c r="BE213" s="215"/>
      <c r="BF213" s="215"/>
      <c r="BG213" s="215"/>
      <c r="BH213" s="215"/>
      <c r="BI213" s="215"/>
      <c r="BJ213" s="215"/>
      <c r="BK213" s="215"/>
      <c r="BL213" s="215"/>
      <c r="BM213" s="215"/>
      <c r="BN213" s="215"/>
      <c r="BO213" s="215"/>
      <c r="BP213" s="215"/>
      <c r="BQ213" s="215"/>
      <c r="BR213" s="215"/>
      <c r="BS213" s="191"/>
      <c r="BT213" s="191"/>
      <c r="BU213" s="191"/>
      <c r="BV213" s="191"/>
      <c r="BW213" s="191"/>
      <c r="BX213" s="191"/>
      <c r="BY213" s="215"/>
      <c r="BZ213" s="215"/>
      <c r="CA213" s="191"/>
      <c r="CB213" s="191"/>
      <c r="CC213" s="191"/>
      <c r="CD213" s="215"/>
      <c r="CE213" s="215"/>
      <c r="CF213" s="191"/>
      <c r="CG213" s="215"/>
      <c r="CH213" s="191"/>
      <c r="CI213" s="215"/>
      <c r="CJ213" s="215"/>
      <c r="CK213" s="215"/>
      <c r="CL213" s="240"/>
      <c r="CM213" s="215"/>
      <c r="CN213" s="215"/>
      <c r="CO213" s="215"/>
      <c r="CP213" s="215"/>
      <c r="CQ213" s="215"/>
      <c r="CR213" s="215"/>
      <c r="CS213" s="215"/>
      <c r="CT213" s="215"/>
    </row>
    <row r="214" ht="24.0" customHeight="1">
      <c r="A214" s="184" t="s">
        <v>290</v>
      </c>
      <c r="B214" s="184" t="s">
        <v>742</v>
      </c>
      <c r="C214" s="184" t="s">
        <v>645</v>
      </c>
      <c r="D214" s="184" t="s">
        <v>2431</v>
      </c>
      <c r="E214" s="236" t="s">
        <v>844</v>
      </c>
      <c r="F214" s="186" t="s">
        <v>2432</v>
      </c>
      <c r="G214" s="185">
        <v>4.0</v>
      </c>
      <c r="H214" s="237" t="s">
        <v>2456</v>
      </c>
      <c r="I214" s="237" t="s">
        <v>2457</v>
      </c>
      <c r="J214" s="237" t="s">
        <v>2458</v>
      </c>
      <c r="K214" s="237" t="s">
        <v>2459</v>
      </c>
      <c r="L214" s="237" t="s">
        <v>2460</v>
      </c>
      <c r="M214" s="237" t="s">
        <v>2461</v>
      </c>
      <c r="N214" s="237" t="s">
        <v>752</v>
      </c>
      <c r="O214" s="237" t="s">
        <v>764</v>
      </c>
      <c r="P214" s="190"/>
      <c r="Q214" s="190"/>
      <c r="R214" s="190"/>
      <c r="S214" s="190"/>
      <c r="T214" s="190"/>
      <c r="U214" s="190"/>
      <c r="V214" s="237" t="s">
        <v>2462</v>
      </c>
      <c r="W214" s="238" t="s">
        <v>2463</v>
      </c>
      <c r="X214" s="239" t="s">
        <v>2464</v>
      </c>
      <c r="Y214" s="237" t="s">
        <v>764</v>
      </c>
      <c r="Z214" s="237" t="s">
        <v>744</v>
      </c>
      <c r="AA214" s="237" t="s">
        <v>757</v>
      </c>
      <c r="AB214" s="191"/>
      <c r="AC214" s="191"/>
      <c r="AD214" s="191"/>
      <c r="AE214" s="191"/>
      <c r="AF214" s="191"/>
      <c r="AG214" s="191"/>
      <c r="AH214" s="191"/>
      <c r="AJ214" s="215"/>
      <c r="AK214" s="215"/>
      <c r="AL214" s="215"/>
      <c r="AM214" s="215"/>
      <c r="AN214" s="215"/>
      <c r="AO214" s="215"/>
      <c r="AP214" s="191"/>
      <c r="AQ214" s="215"/>
      <c r="AR214" s="191"/>
      <c r="AS214" s="215"/>
      <c r="AT214" s="215"/>
      <c r="AU214" s="215"/>
      <c r="AV214" s="215"/>
      <c r="AW214" s="191"/>
      <c r="AX214" s="191"/>
      <c r="AY214" s="191"/>
      <c r="AZ214" s="191"/>
      <c r="BA214" s="191"/>
      <c r="BB214" s="191"/>
      <c r="BC214" s="215"/>
      <c r="BD214" s="215"/>
      <c r="BE214" s="215"/>
      <c r="BF214" s="215"/>
      <c r="BG214" s="215"/>
      <c r="BH214" s="215"/>
      <c r="BI214" s="215"/>
      <c r="BJ214" s="215"/>
      <c r="BK214" s="215"/>
      <c r="BL214" s="215"/>
      <c r="BM214" s="215"/>
      <c r="BN214" s="215"/>
      <c r="BO214" s="215"/>
      <c r="BP214" s="215"/>
      <c r="BQ214" s="215"/>
      <c r="BR214" s="215"/>
      <c r="BS214" s="191"/>
      <c r="BT214" s="191"/>
      <c r="BU214" s="191"/>
      <c r="BV214" s="191"/>
      <c r="BW214" s="191"/>
      <c r="BX214" s="191"/>
      <c r="BY214" s="215"/>
      <c r="BZ214" s="191"/>
      <c r="CA214" s="191"/>
      <c r="CB214" s="191"/>
      <c r="CC214" s="191"/>
      <c r="CD214" s="215"/>
      <c r="CE214" s="215"/>
      <c r="CF214" s="191"/>
      <c r="CG214" s="215"/>
      <c r="CH214" s="191"/>
      <c r="CI214" s="215"/>
      <c r="CJ214" s="215"/>
      <c r="CK214" s="215"/>
      <c r="CL214" s="240"/>
      <c r="CM214" s="215"/>
      <c r="CN214" s="215"/>
      <c r="CO214" s="215"/>
      <c r="CP214" s="215"/>
      <c r="CQ214" s="215"/>
      <c r="CR214" s="215"/>
      <c r="CS214" s="215"/>
      <c r="CT214" s="215"/>
    </row>
    <row r="215" ht="24.0" customHeight="1">
      <c r="A215" s="184" t="s">
        <v>285</v>
      </c>
      <c r="B215" s="184" t="s">
        <v>742</v>
      </c>
      <c r="C215" s="184" t="s">
        <v>645</v>
      </c>
      <c r="D215" s="184" t="s">
        <v>2431</v>
      </c>
      <c r="E215" s="236" t="s">
        <v>844</v>
      </c>
      <c r="F215" s="186" t="s">
        <v>2432</v>
      </c>
      <c r="G215" s="185">
        <v>5.0</v>
      </c>
      <c r="H215" s="237" t="s">
        <v>2465</v>
      </c>
      <c r="I215" s="237" t="s">
        <v>2466</v>
      </c>
      <c r="J215" s="237" t="s">
        <v>2467</v>
      </c>
      <c r="K215" s="237" t="s">
        <v>2468</v>
      </c>
      <c r="L215" s="237" t="s">
        <v>2469</v>
      </c>
      <c r="M215" s="237" t="s">
        <v>2470</v>
      </c>
      <c r="N215" s="237" t="s">
        <v>752</v>
      </c>
      <c r="O215" s="237" t="s">
        <v>764</v>
      </c>
      <c r="P215" s="190"/>
      <c r="Q215" s="190"/>
      <c r="R215" s="190"/>
      <c r="S215" s="190"/>
      <c r="T215" s="190"/>
      <c r="U215" s="190"/>
      <c r="V215" s="237" t="s">
        <v>2471</v>
      </c>
      <c r="W215" s="238" t="s">
        <v>2447</v>
      </c>
      <c r="X215" s="239" t="s">
        <v>2448</v>
      </c>
      <c r="Y215" s="237" t="s">
        <v>764</v>
      </c>
      <c r="Z215" s="237" t="s">
        <v>744</v>
      </c>
      <c r="AA215" s="237" t="s">
        <v>757</v>
      </c>
      <c r="AB215" s="191"/>
      <c r="AC215" s="191"/>
      <c r="AD215" s="191"/>
      <c r="AE215" s="191"/>
      <c r="AF215" s="191"/>
      <c r="AG215" s="191"/>
      <c r="AH215" s="191"/>
      <c r="AJ215" s="215"/>
      <c r="AK215" s="215"/>
      <c r="AL215" s="215"/>
      <c r="AM215" s="215"/>
      <c r="AN215" s="215"/>
      <c r="AO215" s="215"/>
      <c r="AP215" s="191"/>
      <c r="AQ215" s="215"/>
      <c r="AR215" s="191"/>
      <c r="AS215" s="215"/>
      <c r="AT215" s="215"/>
      <c r="AU215" s="215"/>
      <c r="AV215" s="215"/>
      <c r="AW215" s="191"/>
      <c r="AX215" s="191"/>
      <c r="AY215" s="191"/>
      <c r="AZ215" s="191"/>
      <c r="BA215" s="191"/>
      <c r="BB215" s="191"/>
      <c r="BC215" s="215"/>
      <c r="BD215" s="215"/>
      <c r="BE215" s="215"/>
      <c r="BF215" s="215"/>
      <c r="BG215" s="215"/>
      <c r="BH215" s="191"/>
      <c r="BI215" s="191"/>
      <c r="BJ215" s="215"/>
      <c r="BK215" s="215"/>
      <c r="BL215" s="215"/>
      <c r="BM215" s="215"/>
      <c r="BN215" s="215"/>
      <c r="BO215" s="215"/>
      <c r="BP215" s="215"/>
      <c r="BQ215" s="215"/>
      <c r="BR215" s="215"/>
      <c r="BS215" s="191"/>
      <c r="BT215" s="191"/>
      <c r="BU215" s="191"/>
      <c r="BV215" s="191"/>
      <c r="BW215" s="191"/>
      <c r="BX215" s="191"/>
      <c r="BY215" s="191"/>
      <c r="BZ215" s="191"/>
      <c r="CA215" s="191"/>
      <c r="CB215" s="191"/>
      <c r="CC215" s="191"/>
      <c r="CD215" s="215"/>
      <c r="CE215" s="215"/>
      <c r="CF215" s="191"/>
      <c r="CG215" s="215"/>
      <c r="CH215" s="191"/>
      <c r="CI215" s="215"/>
      <c r="CJ215" s="215"/>
      <c r="CK215" s="215"/>
      <c r="CL215" s="215"/>
      <c r="CM215" s="215"/>
      <c r="CN215" s="215"/>
      <c r="CO215" s="215"/>
      <c r="CP215" s="215"/>
      <c r="CQ215" s="215"/>
      <c r="CR215" s="215"/>
      <c r="CS215" s="215"/>
      <c r="CT215" s="215"/>
    </row>
    <row r="216" ht="24.0" customHeight="1">
      <c r="A216" s="184" t="s">
        <v>288</v>
      </c>
      <c r="B216" s="184" t="s">
        <v>742</v>
      </c>
      <c r="C216" s="184" t="s">
        <v>645</v>
      </c>
      <c r="D216" s="184" t="s">
        <v>2431</v>
      </c>
      <c r="E216" s="236" t="s">
        <v>844</v>
      </c>
      <c r="F216" s="186" t="s">
        <v>2432</v>
      </c>
      <c r="G216" s="185">
        <v>6.0</v>
      </c>
      <c r="H216" s="237" t="s">
        <v>1799</v>
      </c>
      <c r="I216" s="237" t="s">
        <v>2472</v>
      </c>
      <c r="J216" s="237" t="s">
        <v>2473</v>
      </c>
      <c r="K216" s="237" t="s">
        <v>2474</v>
      </c>
      <c r="L216" s="237" t="s">
        <v>2475</v>
      </c>
      <c r="M216" s="237" t="s">
        <v>2476</v>
      </c>
      <c r="N216" s="237" t="s">
        <v>752</v>
      </c>
      <c r="O216" s="237" t="s">
        <v>893</v>
      </c>
      <c r="P216" s="190"/>
      <c r="Q216" s="190"/>
      <c r="R216" s="190"/>
      <c r="S216" s="190"/>
      <c r="T216" s="190"/>
      <c r="U216" s="190"/>
      <c r="V216" s="237" t="s">
        <v>2477</v>
      </c>
      <c r="W216" s="238" t="s">
        <v>2478</v>
      </c>
      <c r="X216" s="239" t="s">
        <v>2479</v>
      </c>
      <c r="Y216" s="237" t="s">
        <v>893</v>
      </c>
      <c r="Z216" s="237" t="s">
        <v>744</v>
      </c>
      <c r="AA216" s="237" t="s">
        <v>757</v>
      </c>
      <c r="AB216" s="191"/>
      <c r="AC216" s="191"/>
      <c r="AD216" s="191"/>
      <c r="AE216" s="191"/>
      <c r="AF216" s="191"/>
      <c r="AG216" s="191"/>
      <c r="AH216" s="191"/>
      <c r="AJ216" s="215"/>
      <c r="AK216" s="215"/>
      <c r="AL216" s="215"/>
      <c r="AM216" s="215"/>
      <c r="AN216" s="215"/>
      <c r="AO216" s="215"/>
      <c r="AP216" s="191"/>
      <c r="AQ216" s="215"/>
      <c r="AR216" s="191"/>
      <c r="AS216" s="215"/>
      <c r="AT216" s="215"/>
      <c r="AU216" s="215"/>
      <c r="AV216" s="215"/>
      <c r="AW216" s="191"/>
      <c r="AX216" s="191"/>
      <c r="AY216" s="191"/>
      <c r="AZ216" s="191"/>
      <c r="BA216" s="191"/>
      <c r="BB216" s="191"/>
      <c r="BC216" s="215"/>
      <c r="BD216" s="215"/>
      <c r="BE216" s="215"/>
      <c r="BF216" s="215"/>
      <c r="BG216" s="215"/>
      <c r="BH216" s="215"/>
      <c r="BI216" s="215"/>
      <c r="BJ216" s="215"/>
      <c r="BK216" s="215"/>
      <c r="BL216" s="215"/>
      <c r="BM216" s="215"/>
      <c r="BN216" s="215"/>
      <c r="BO216" s="215"/>
      <c r="BP216" s="215"/>
      <c r="BQ216" s="215"/>
      <c r="BR216" s="215"/>
      <c r="BS216" s="191"/>
      <c r="BT216" s="191"/>
      <c r="BU216" s="191"/>
      <c r="BV216" s="191"/>
      <c r="BW216" s="191"/>
      <c r="BX216" s="191"/>
      <c r="BY216" s="215"/>
      <c r="BZ216" s="215"/>
      <c r="CA216" s="191"/>
      <c r="CB216" s="191"/>
      <c r="CC216" s="191"/>
      <c r="CD216" s="215"/>
      <c r="CE216" s="215"/>
      <c r="CF216" s="191"/>
      <c r="CG216" s="215"/>
      <c r="CH216" s="191"/>
      <c r="CI216" s="215"/>
      <c r="CJ216" s="215"/>
      <c r="CK216" s="215"/>
      <c r="CL216" s="240"/>
      <c r="CM216" s="215"/>
      <c r="CN216" s="215"/>
      <c r="CO216" s="215"/>
      <c r="CP216" s="215"/>
      <c r="CQ216" s="215"/>
      <c r="CR216" s="215"/>
      <c r="CS216" s="215"/>
      <c r="CT216" s="215"/>
    </row>
    <row r="217" ht="24.0" customHeight="1">
      <c r="A217" s="184" t="s">
        <v>286</v>
      </c>
      <c r="B217" s="184" t="s">
        <v>742</v>
      </c>
      <c r="C217" s="184" t="s">
        <v>645</v>
      </c>
      <c r="D217" s="184" t="s">
        <v>2431</v>
      </c>
      <c r="E217" s="236" t="s">
        <v>844</v>
      </c>
      <c r="F217" s="186" t="s">
        <v>2432</v>
      </c>
      <c r="G217" s="185">
        <v>7.0</v>
      </c>
      <c r="H217" s="237" t="s">
        <v>2480</v>
      </c>
      <c r="I217" s="237" t="s">
        <v>2481</v>
      </c>
      <c r="J217" s="237" t="s">
        <v>2482</v>
      </c>
      <c r="K217" s="237" t="s">
        <v>1054</v>
      </c>
      <c r="L217" s="237" t="s">
        <v>2483</v>
      </c>
      <c r="M217" s="237" t="s">
        <v>2484</v>
      </c>
      <c r="N217" s="237" t="s">
        <v>752</v>
      </c>
      <c r="O217" s="237" t="s">
        <v>784</v>
      </c>
      <c r="P217" s="237" t="s">
        <v>2485</v>
      </c>
      <c r="Q217" s="237" t="s">
        <v>2486</v>
      </c>
      <c r="R217" s="190"/>
      <c r="S217" s="190"/>
      <c r="T217" s="190"/>
      <c r="U217" s="190"/>
      <c r="V217" s="237" t="s">
        <v>2487</v>
      </c>
      <c r="W217" s="238" t="s">
        <v>2488</v>
      </c>
      <c r="X217" s="239" t="s">
        <v>2489</v>
      </c>
      <c r="Y217" s="237" t="s">
        <v>784</v>
      </c>
      <c r="Z217" s="237" t="s">
        <v>1060</v>
      </c>
      <c r="AA217" s="237" t="s">
        <v>757</v>
      </c>
      <c r="AB217" s="191"/>
      <c r="AC217" s="191"/>
      <c r="AD217" s="191"/>
      <c r="AE217" s="191"/>
      <c r="AF217" s="191"/>
      <c r="AG217" s="191"/>
      <c r="AH217" s="191"/>
      <c r="AJ217" s="215"/>
      <c r="AK217" s="215"/>
      <c r="AL217" s="215"/>
      <c r="AM217" s="215"/>
      <c r="AN217" s="215"/>
      <c r="AO217" s="215"/>
      <c r="AP217" s="191"/>
      <c r="AQ217" s="215"/>
      <c r="AR217" s="191"/>
      <c r="AS217" s="215"/>
      <c r="AT217" s="215"/>
      <c r="AU217" s="215"/>
      <c r="AV217" s="215"/>
      <c r="AW217" s="191"/>
      <c r="AX217" s="191"/>
      <c r="AY217" s="191"/>
      <c r="AZ217" s="191"/>
      <c r="BA217" s="191"/>
      <c r="BB217" s="191"/>
      <c r="BC217" s="215"/>
      <c r="BD217" s="215"/>
      <c r="BE217" s="215"/>
      <c r="BF217" s="215"/>
      <c r="BG217" s="215"/>
      <c r="BH217" s="215"/>
      <c r="BI217" s="215"/>
      <c r="BJ217" s="215"/>
      <c r="BK217" s="215"/>
      <c r="BL217" s="215"/>
      <c r="BM217" s="215"/>
      <c r="BN217" s="215"/>
      <c r="BO217" s="215"/>
      <c r="BP217" s="215"/>
      <c r="BQ217" s="215"/>
      <c r="BR217" s="215"/>
      <c r="BS217" s="191"/>
      <c r="BT217" s="191"/>
      <c r="BU217" s="191"/>
      <c r="BV217" s="191"/>
      <c r="BW217" s="191"/>
      <c r="BX217" s="191"/>
      <c r="BY217" s="191"/>
      <c r="BZ217" s="191"/>
      <c r="CA217" s="191"/>
      <c r="CB217" s="191"/>
      <c r="CC217" s="191"/>
      <c r="CD217" s="215"/>
      <c r="CE217" s="215"/>
      <c r="CF217" s="191"/>
      <c r="CG217" s="215"/>
      <c r="CH217" s="191"/>
      <c r="CI217" s="215"/>
      <c r="CJ217" s="215"/>
      <c r="CK217" s="215"/>
      <c r="CL217" s="240"/>
      <c r="CM217" s="215"/>
      <c r="CN217" s="215"/>
      <c r="CO217" s="215"/>
      <c r="CP217" s="215"/>
      <c r="CQ217" s="215"/>
      <c r="CR217" s="215"/>
      <c r="CS217" s="215"/>
      <c r="CT217" s="215"/>
    </row>
    <row r="218" ht="24.0" customHeight="1">
      <c r="A218" s="184" t="s">
        <v>305</v>
      </c>
      <c r="B218" s="184" t="s">
        <v>742</v>
      </c>
      <c r="C218" s="184" t="s">
        <v>646</v>
      </c>
      <c r="D218" s="184" t="s">
        <v>2431</v>
      </c>
      <c r="E218" s="236" t="s">
        <v>900</v>
      </c>
      <c r="F218" s="186" t="s">
        <v>2432</v>
      </c>
      <c r="G218" s="185">
        <v>8.0</v>
      </c>
      <c r="H218" s="237" t="s">
        <v>2490</v>
      </c>
      <c r="I218" s="237" t="s">
        <v>2491</v>
      </c>
      <c r="J218" s="237" t="s">
        <v>2492</v>
      </c>
      <c r="K218" s="237" t="s">
        <v>2493</v>
      </c>
      <c r="L218" s="237" t="s">
        <v>2494</v>
      </c>
      <c r="M218" s="237" t="s">
        <v>2495</v>
      </c>
      <c r="N218" s="237" t="s">
        <v>752</v>
      </c>
      <c r="O218" s="237" t="s">
        <v>893</v>
      </c>
      <c r="P218" s="190"/>
      <c r="Q218" s="190"/>
      <c r="R218" s="190"/>
      <c r="S218" s="190"/>
      <c r="T218" s="190"/>
      <c r="U218" s="190"/>
      <c r="V218" s="237" t="s">
        <v>1177</v>
      </c>
      <c r="W218" s="238" t="s">
        <v>2496</v>
      </c>
      <c r="X218" s="239" t="s">
        <v>2497</v>
      </c>
      <c r="Y218" s="237" t="s">
        <v>893</v>
      </c>
      <c r="Z218" s="237" t="s">
        <v>744</v>
      </c>
      <c r="AA218" s="237" t="s">
        <v>1654</v>
      </c>
      <c r="AB218" s="191"/>
      <c r="AC218" s="191"/>
      <c r="AD218" s="191"/>
      <c r="AE218" s="191"/>
      <c r="AF218" s="191"/>
      <c r="AG218" s="191"/>
      <c r="AH218" s="191"/>
      <c r="AJ218" s="215"/>
      <c r="AK218" s="215"/>
      <c r="AL218" s="215"/>
      <c r="AM218" s="215"/>
      <c r="AN218" s="215"/>
      <c r="AO218" s="215"/>
      <c r="AP218" s="191"/>
      <c r="AQ218" s="215"/>
      <c r="AR218" s="191"/>
      <c r="AS218" s="215"/>
      <c r="AT218" s="215"/>
      <c r="AU218" s="215"/>
      <c r="AV218" s="215"/>
      <c r="AW218" s="191"/>
      <c r="AX218" s="191"/>
      <c r="AY218" s="191"/>
      <c r="AZ218" s="191"/>
      <c r="BA218" s="191"/>
      <c r="BB218" s="191"/>
      <c r="BC218" s="215"/>
      <c r="BD218" s="215"/>
      <c r="BE218" s="215"/>
      <c r="BF218" s="215"/>
      <c r="BG218" s="191"/>
      <c r="BH218" s="191"/>
      <c r="BI218" s="215"/>
      <c r="BJ218" s="215"/>
      <c r="BK218" s="215"/>
      <c r="BL218" s="215"/>
      <c r="BM218" s="215"/>
      <c r="BN218" s="215"/>
      <c r="BO218" s="215"/>
      <c r="BP218" s="215"/>
      <c r="BQ218" s="215"/>
      <c r="BR218" s="215"/>
      <c r="BS218" s="191"/>
      <c r="BT218" s="191"/>
      <c r="BU218" s="191"/>
      <c r="BV218" s="191"/>
      <c r="BW218" s="191"/>
      <c r="BX218" s="191"/>
      <c r="BY218" s="191"/>
      <c r="BZ218" s="191"/>
      <c r="CA218" s="191"/>
      <c r="CB218" s="191"/>
      <c r="CC218" s="191"/>
      <c r="CD218" s="215"/>
      <c r="CE218" s="215"/>
      <c r="CF218" s="191"/>
      <c r="CG218" s="215"/>
      <c r="CH218" s="191"/>
      <c r="CI218" s="215"/>
      <c r="CJ218" s="215"/>
      <c r="CK218" s="191"/>
      <c r="CL218" s="240"/>
      <c r="CM218" s="215"/>
      <c r="CN218" s="215"/>
      <c r="CO218" s="215"/>
      <c r="CP218" s="215"/>
      <c r="CQ218" s="215"/>
      <c r="CR218" s="215"/>
      <c r="CS218" s="215"/>
      <c r="CT218" s="215"/>
    </row>
    <row r="219" ht="24.0" customHeight="1">
      <c r="A219" s="184" t="s">
        <v>310</v>
      </c>
      <c r="B219" s="184" t="s">
        <v>742</v>
      </c>
      <c r="C219" s="184" t="s">
        <v>646</v>
      </c>
      <c r="D219" s="184" t="s">
        <v>2431</v>
      </c>
      <c r="E219" s="236" t="s">
        <v>900</v>
      </c>
      <c r="F219" s="186" t="s">
        <v>2432</v>
      </c>
      <c r="G219" s="185">
        <v>9.0</v>
      </c>
      <c r="H219" s="237" t="s">
        <v>2498</v>
      </c>
      <c r="I219" s="237" t="s">
        <v>2499</v>
      </c>
      <c r="J219" s="237" t="s">
        <v>2500</v>
      </c>
      <c r="K219" s="237" t="s">
        <v>2501</v>
      </c>
      <c r="L219" s="237" t="s">
        <v>2502</v>
      </c>
      <c r="M219" s="237" t="s">
        <v>2503</v>
      </c>
      <c r="N219" s="237" t="s">
        <v>752</v>
      </c>
      <c r="O219" s="237" t="s">
        <v>764</v>
      </c>
      <c r="P219" s="237" t="s">
        <v>2504</v>
      </c>
      <c r="Q219" s="237" t="s">
        <v>2505</v>
      </c>
      <c r="R219" s="190"/>
      <c r="S219" s="190"/>
      <c r="T219" s="190"/>
      <c r="U219" s="190"/>
      <c r="V219" s="237" t="s">
        <v>2506</v>
      </c>
      <c r="W219" s="238" t="s">
        <v>2507</v>
      </c>
      <c r="X219" s="239" t="s">
        <v>2508</v>
      </c>
      <c r="Y219" s="237" t="s">
        <v>893</v>
      </c>
      <c r="Z219" s="237" t="s">
        <v>744</v>
      </c>
      <c r="AA219" s="237" t="s">
        <v>757</v>
      </c>
      <c r="AB219" s="191"/>
      <c r="AC219" s="191"/>
      <c r="AD219" s="191"/>
      <c r="AE219" s="191"/>
      <c r="AF219" s="191"/>
      <c r="AG219" s="191"/>
      <c r="AH219" s="191"/>
      <c r="AJ219" s="215"/>
      <c r="AK219" s="215"/>
      <c r="AL219" s="215"/>
      <c r="AM219" s="215"/>
      <c r="AN219" s="215"/>
      <c r="AO219" s="215"/>
      <c r="AP219" s="191"/>
      <c r="AQ219" s="215"/>
      <c r="AR219" s="191"/>
      <c r="AS219" s="215"/>
      <c r="AT219" s="215"/>
      <c r="AU219" s="215"/>
      <c r="AV219" s="215"/>
      <c r="AW219" s="191"/>
      <c r="AX219" s="191"/>
      <c r="AY219" s="191"/>
      <c r="AZ219" s="191"/>
      <c r="BA219" s="191"/>
      <c r="BB219" s="191"/>
      <c r="BC219" s="215"/>
      <c r="BD219" s="215"/>
      <c r="BE219" s="215"/>
      <c r="BF219" s="215"/>
      <c r="BG219" s="215"/>
      <c r="BH219" s="215"/>
      <c r="BI219" s="215"/>
      <c r="BJ219" s="215"/>
      <c r="BK219" s="215"/>
      <c r="BL219" s="215"/>
      <c r="BM219" s="215"/>
      <c r="BN219" s="215"/>
      <c r="BO219" s="215"/>
      <c r="BP219" s="215"/>
      <c r="BQ219" s="215"/>
      <c r="BR219" s="215"/>
      <c r="BS219" s="191"/>
      <c r="BT219" s="191"/>
      <c r="BU219" s="191"/>
      <c r="BV219" s="191"/>
      <c r="BW219" s="191"/>
      <c r="BX219" s="191"/>
      <c r="BY219" s="215"/>
      <c r="BZ219" s="215"/>
      <c r="CA219" s="191"/>
      <c r="CB219" s="191"/>
      <c r="CC219" s="191"/>
      <c r="CD219" s="215"/>
      <c r="CE219" s="215"/>
      <c r="CF219" s="191"/>
      <c r="CG219" s="215"/>
      <c r="CH219" s="191"/>
      <c r="CI219" s="215"/>
      <c r="CJ219" s="215"/>
      <c r="CK219" s="215"/>
      <c r="CL219" s="240"/>
      <c r="CM219" s="215"/>
      <c r="CN219" s="215"/>
      <c r="CO219" s="215"/>
      <c r="CP219" s="215"/>
      <c r="CQ219" s="215"/>
      <c r="CR219" s="215"/>
      <c r="CS219" s="215"/>
      <c r="CT219" s="215"/>
    </row>
    <row r="220" ht="24.0" customHeight="1">
      <c r="A220" s="184" t="s">
        <v>304</v>
      </c>
      <c r="B220" s="184" t="s">
        <v>742</v>
      </c>
      <c r="C220" s="184" t="s">
        <v>646</v>
      </c>
      <c r="D220" s="184" t="s">
        <v>2431</v>
      </c>
      <c r="E220" s="236" t="s">
        <v>900</v>
      </c>
      <c r="F220" s="186" t="s">
        <v>2432</v>
      </c>
      <c r="G220" s="185">
        <v>10.0</v>
      </c>
      <c r="H220" s="237" t="s">
        <v>2509</v>
      </c>
      <c r="I220" s="237" t="s">
        <v>2510</v>
      </c>
      <c r="J220" s="237" t="s">
        <v>2511</v>
      </c>
      <c r="K220" s="237" t="s">
        <v>2059</v>
      </c>
      <c r="L220" s="237" t="s">
        <v>2512</v>
      </c>
      <c r="M220" s="237" t="s">
        <v>2513</v>
      </c>
      <c r="N220" s="237" t="s">
        <v>752</v>
      </c>
      <c r="O220" s="237" t="s">
        <v>764</v>
      </c>
      <c r="P220" s="190"/>
      <c r="Q220" s="190"/>
      <c r="R220" s="190"/>
      <c r="S220" s="190"/>
      <c r="T220" s="190"/>
      <c r="U220" s="190"/>
      <c r="V220" s="237" t="s">
        <v>2350</v>
      </c>
      <c r="W220" s="238" t="s">
        <v>2514</v>
      </c>
      <c r="X220" s="239" t="s">
        <v>2515</v>
      </c>
      <c r="Y220" s="237" t="s">
        <v>784</v>
      </c>
      <c r="Z220" s="237" t="s">
        <v>744</v>
      </c>
      <c r="AA220" s="237" t="s">
        <v>2377</v>
      </c>
      <c r="AB220" s="191"/>
      <c r="AC220" s="191"/>
      <c r="AD220" s="191"/>
      <c r="AE220" s="191"/>
      <c r="AF220" s="191"/>
      <c r="AG220" s="191"/>
      <c r="AH220" s="191"/>
      <c r="AJ220" s="215"/>
      <c r="AK220" s="215"/>
      <c r="AL220" s="215"/>
      <c r="AM220" s="215"/>
      <c r="AN220" s="215"/>
      <c r="AO220" s="215"/>
      <c r="AP220" s="191"/>
      <c r="AQ220" s="215"/>
      <c r="AR220" s="191"/>
      <c r="AS220" s="215"/>
      <c r="AT220" s="215"/>
      <c r="AU220" s="215"/>
      <c r="AV220" s="215"/>
      <c r="AW220" s="191"/>
      <c r="AX220" s="191"/>
      <c r="AY220" s="191"/>
      <c r="AZ220" s="191"/>
      <c r="BA220" s="191"/>
      <c r="BB220" s="191"/>
      <c r="BC220" s="215"/>
      <c r="BD220" s="215"/>
      <c r="BE220" s="215"/>
      <c r="BF220" s="215"/>
      <c r="BG220" s="215"/>
      <c r="BH220" s="215"/>
      <c r="BI220" s="215"/>
      <c r="BJ220" s="215"/>
      <c r="BK220" s="215"/>
      <c r="BL220" s="215"/>
      <c r="BM220" s="215"/>
      <c r="BN220" s="215"/>
      <c r="BO220" s="215"/>
      <c r="BP220" s="215"/>
      <c r="BQ220" s="215"/>
      <c r="BR220" s="215"/>
      <c r="BS220" s="191"/>
      <c r="BT220" s="191"/>
      <c r="BU220" s="191"/>
      <c r="BV220" s="191"/>
      <c r="BW220" s="191"/>
      <c r="BX220" s="191"/>
      <c r="BY220" s="215"/>
      <c r="BZ220" s="215"/>
      <c r="CA220" s="191"/>
      <c r="CB220" s="191"/>
      <c r="CC220" s="191"/>
      <c r="CD220" s="215"/>
      <c r="CE220" s="215"/>
      <c r="CF220" s="191"/>
      <c r="CG220" s="215"/>
      <c r="CH220" s="191"/>
      <c r="CI220" s="215"/>
      <c r="CJ220" s="215"/>
      <c r="CK220" s="215"/>
      <c r="CL220" s="240"/>
      <c r="CM220" s="215"/>
      <c r="CN220" s="215"/>
      <c r="CO220" s="215"/>
      <c r="CP220" s="215"/>
      <c r="CQ220" s="215"/>
      <c r="CR220" s="215"/>
      <c r="CS220" s="215"/>
      <c r="CT220" s="215"/>
    </row>
    <row r="221" ht="24.0" customHeight="1">
      <c r="A221" s="184" t="s">
        <v>307</v>
      </c>
      <c r="B221" s="184" t="s">
        <v>742</v>
      </c>
      <c r="C221" s="184" t="s">
        <v>646</v>
      </c>
      <c r="D221" s="184" t="s">
        <v>2431</v>
      </c>
      <c r="E221" s="236" t="s">
        <v>900</v>
      </c>
      <c r="F221" s="186" t="s">
        <v>2432</v>
      </c>
      <c r="G221" s="185">
        <v>11.0</v>
      </c>
      <c r="H221" s="237" t="s">
        <v>1716</v>
      </c>
      <c r="I221" s="237" t="s">
        <v>2516</v>
      </c>
      <c r="J221" s="237" t="s">
        <v>2517</v>
      </c>
      <c r="K221" s="237" t="s">
        <v>863</v>
      </c>
      <c r="L221" s="237" t="s">
        <v>2518</v>
      </c>
      <c r="M221" s="237" t="s">
        <v>2519</v>
      </c>
      <c r="N221" s="237" t="s">
        <v>752</v>
      </c>
      <c r="O221" s="237" t="s">
        <v>1789</v>
      </c>
      <c r="P221" s="237" t="s">
        <v>2520</v>
      </c>
      <c r="Q221" s="237" t="s">
        <v>2521</v>
      </c>
      <c r="R221" s="237" t="s">
        <v>2522</v>
      </c>
      <c r="S221" s="237" t="s">
        <v>2523</v>
      </c>
      <c r="T221" s="190"/>
      <c r="U221" s="190"/>
      <c r="V221" s="237" t="s">
        <v>2524</v>
      </c>
      <c r="W221" s="238" t="s">
        <v>2110</v>
      </c>
      <c r="X221" s="239" t="s">
        <v>2525</v>
      </c>
      <c r="Y221" s="237" t="s">
        <v>1789</v>
      </c>
      <c r="Z221" s="237" t="s">
        <v>744</v>
      </c>
      <c r="AA221" s="237" t="s">
        <v>797</v>
      </c>
      <c r="AB221" s="191"/>
      <c r="AC221" s="191"/>
      <c r="AD221" s="191"/>
      <c r="AE221" s="191"/>
      <c r="AF221" s="191"/>
      <c r="AG221" s="191"/>
      <c r="AH221" s="191"/>
      <c r="AJ221" s="215"/>
      <c r="AK221" s="215"/>
      <c r="AL221" s="215"/>
      <c r="AM221" s="215"/>
      <c r="AN221" s="215"/>
      <c r="AO221" s="215"/>
      <c r="AP221" s="191"/>
      <c r="AQ221" s="215"/>
      <c r="AR221" s="191"/>
      <c r="AS221" s="215"/>
      <c r="AT221" s="215"/>
      <c r="AU221" s="215"/>
      <c r="AV221" s="215"/>
      <c r="AW221" s="191"/>
      <c r="AX221" s="191"/>
      <c r="AY221" s="191"/>
      <c r="AZ221" s="191"/>
      <c r="BA221" s="191"/>
      <c r="BB221" s="191"/>
      <c r="BC221" s="215"/>
      <c r="BD221" s="215"/>
      <c r="BE221" s="215"/>
      <c r="BF221" s="215"/>
      <c r="BG221" s="215"/>
      <c r="BH221" s="215"/>
      <c r="BI221" s="215"/>
      <c r="BJ221" s="215"/>
      <c r="BK221" s="215"/>
      <c r="BL221" s="215"/>
      <c r="BM221" s="215"/>
      <c r="BN221" s="215"/>
      <c r="BO221" s="215"/>
      <c r="BP221" s="215"/>
      <c r="BQ221" s="215"/>
      <c r="BR221" s="215"/>
      <c r="BS221" s="191"/>
      <c r="BT221" s="191"/>
      <c r="BU221" s="191"/>
      <c r="BV221" s="191"/>
      <c r="BW221" s="191"/>
      <c r="BX221" s="191"/>
      <c r="BY221" s="191"/>
      <c r="BZ221" s="191"/>
      <c r="CA221" s="191"/>
      <c r="CB221" s="191"/>
      <c r="CC221" s="191"/>
      <c r="CD221" s="215"/>
      <c r="CE221" s="215"/>
      <c r="CF221" s="191"/>
      <c r="CG221" s="215"/>
      <c r="CH221" s="191"/>
      <c r="CI221" s="215"/>
      <c r="CJ221" s="215"/>
      <c r="CK221" s="215"/>
      <c r="CL221" s="240"/>
      <c r="CM221" s="215"/>
      <c r="CN221" s="215"/>
      <c r="CO221" s="215"/>
      <c r="CP221" s="215"/>
      <c r="CQ221" s="215"/>
      <c r="CR221" s="215"/>
      <c r="CS221" s="215"/>
      <c r="CT221" s="215"/>
    </row>
    <row r="222" ht="24.0" customHeight="1">
      <c r="A222" s="220" t="s">
        <v>309</v>
      </c>
      <c r="B222" s="220" t="s">
        <v>742</v>
      </c>
      <c r="C222" s="220" t="s">
        <v>646</v>
      </c>
      <c r="D222" s="184" t="s">
        <v>2431</v>
      </c>
      <c r="E222" s="221" t="s">
        <v>900</v>
      </c>
      <c r="F222" s="186" t="s">
        <v>2432</v>
      </c>
      <c r="G222" s="225">
        <v>12.0</v>
      </c>
      <c r="H222" s="241" t="s">
        <v>2526</v>
      </c>
      <c r="I222" s="241" t="s">
        <v>2527</v>
      </c>
      <c r="J222" s="241" t="s">
        <v>2528</v>
      </c>
      <c r="K222" s="241" t="s">
        <v>863</v>
      </c>
      <c r="L222" s="241" t="s">
        <v>2529</v>
      </c>
      <c r="M222" s="241" t="s">
        <v>2530</v>
      </c>
      <c r="N222" s="241" t="s">
        <v>752</v>
      </c>
      <c r="O222" s="241" t="s">
        <v>764</v>
      </c>
      <c r="P222" s="190"/>
      <c r="Q222" s="190"/>
      <c r="R222" s="190"/>
      <c r="S222" s="190"/>
      <c r="T222" s="190"/>
      <c r="U222" s="210"/>
      <c r="V222" s="241" t="s">
        <v>2531</v>
      </c>
      <c r="W222" s="242" t="s">
        <v>2532</v>
      </c>
      <c r="X222" s="243" t="s">
        <v>2533</v>
      </c>
      <c r="Y222" s="241" t="s">
        <v>1376</v>
      </c>
      <c r="Z222" s="241" t="s">
        <v>744</v>
      </c>
      <c r="AA222" s="244" t="s">
        <v>1654</v>
      </c>
      <c r="AB222" s="231"/>
      <c r="AC222" s="231"/>
      <c r="AD222" s="231"/>
      <c r="AE222" s="231"/>
      <c r="AF222" s="231"/>
      <c r="AG222" s="231"/>
      <c r="AH222" s="231"/>
      <c r="AJ222" s="231"/>
      <c r="AK222" s="232"/>
      <c r="AL222" s="231"/>
      <c r="AM222" s="232"/>
      <c r="AN222" s="231"/>
      <c r="AO222" s="232"/>
      <c r="AP222" s="232"/>
      <c r="AQ222" s="232"/>
      <c r="AR222" s="232"/>
      <c r="AS222" s="232"/>
      <c r="AT222" s="232"/>
      <c r="AU222" s="232"/>
      <c r="AV222" s="232"/>
      <c r="AW222" s="231"/>
      <c r="AX222" s="231"/>
      <c r="AY222" s="231"/>
      <c r="AZ222" s="231"/>
      <c r="BA222" s="231"/>
      <c r="BB222" s="231"/>
      <c r="BC222" s="232"/>
      <c r="BD222" s="232"/>
      <c r="BE222" s="232"/>
      <c r="BF222" s="232"/>
      <c r="BG222" s="231"/>
      <c r="BH222" s="231"/>
      <c r="BI222" s="232"/>
      <c r="BJ222" s="232"/>
      <c r="BK222" s="232"/>
      <c r="BL222" s="232"/>
      <c r="BM222" s="232"/>
      <c r="BN222" s="232"/>
      <c r="BO222" s="232"/>
      <c r="BP222" s="232"/>
      <c r="BQ222" s="232"/>
      <c r="BR222" s="232"/>
      <c r="BS222" s="231"/>
      <c r="BT222" s="231"/>
      <c r="BU222" s="231"/>
      <c r="BV222" s="231"/>
      <c r="BW222" s="231"/>
      <c r="BX222" s="231"/>
      <c r="BY222" s="232"/>
      <c r="BZ222" s="231"/>
      <c r="CA222" s="231"/>
      <c r="CB222" s="231"/>
      <c r="CC222" s="231"/>
      <c r="CD222" s="231"/>
      <c r="CE222" s="232"/>
      <c r="CF222" s="232"/>
      <c r="CG222" s="232"/>
      <c r="CH222" s="231"/>
      <c r="CI222" s="232"/>
      <c r="CJ222" s="232"/>
      <c r="CK222" s="231"/>
      <c r="CL222" s="233"/>
      <c r="CM222" s="232"/>
      <c r="CN222" s="232"/>
      <c r="CO222" s="232"/>
      <c r="CP222" s="232"/>
      <c r="CQ222" s="232"/>
      <c r="CR222" s="232"/>
      <c r="CS222" s="232"/>
      <c r="CT222" s="232"/>
    </row>
    <row r="223" ht="24.0" customHeight="1">
      <c r="A223" s="184" t="s">
        <v>308</v>
      </c>
      <c r="B223" s="184" t="s">
        <v>742</v>
      </c>
      <c r="C223" s="184" t="s">
        <v>646</v>
      </c>
      <c r="D223" s="184" t="s">
        <v>2431</v>
      </c>
      <c r="E223" s="186" t="s">
        <v>900</v>
      </c>
      <c r="F223" s="186" t="s">
        <v>2432</v>
      </c>
      <c r="G223" s="185">
        <v>13.0</v>
      </c>
      <c r="H223" s="209" t="s">
        <v>2120</v>
      </c>
      <c r="I223" s="209" t="s">
        <v>2534</v>
      </c>
      <c r="J223" s="209" t="s">
        <v>2535</v>
      </c>
      <c r="K223" s="209" t="s">
        <v>2059</v>
      </c>
      <c r="L223" s="209" t="s">
        <v>2536</v>
      </c>
      <c r="M223" s="209" t="s">
        <v>2537</v>
      </c>
      <c r="N223" s="209" t="s">
        <v>752</v>
      </c>
      <c r="O223" s="209" t="s">
        <v>764</v>
      </c>
      <c r="P223" s="210"/>
      <c r="Q223" s="190"/>
      <c r="R223" s="190"/>
      <c r="S223" s="190"/>
      <c r="T223" s="190"/>
      <c r="U223" s="210"/>
      <c r="V223" s="209" t="s">
        <v>2538</v>
      </c>
      <c r="W223" s="238" t="s">
        <v>2539</v>
      </c>
      <c r="X223" s="239" t="s">
        <v>2540</v>
      </c>
      <c r="Y223" s="209" t="s">
        <v>764</v>
      </c>
      <c r="Z223" s="209" t="s">
        <v>744</v>
      </c>
      <c r="AA223" s="237" t="s">
        <v>757</v>
      </c>
      <c r="AB223" s="231"/>
      <c r="AC223" s="231"/>
      <c r="AD223" s="231"/>
      <c r="AE223" s="231"/>
      <c r="AF223" s="231"/>
      <c r="AG223" s="231"/>
      <c r="AH223" s="231"/>
      <c r="AJ223" s="231"/>
      <c r="AK223" s="232"/>
      <c r="AL223" s="231"/>
      <c r="AM223" s="232"/>
      <c r="AN223" s="231"/>
      <c r="AO223" s="232"/>
      <c r="AP223" s="232"/>
      <c r="AQ223" s="232"/>
      <c r="AR223" s="232"/>
      <c r="AS223" s="232"/>
      <c r="AT223" s="232"/>
      <c r="AU223" s="232"/>
      <c r="AV223" s="232"/>
      <c r="AW223" s="231"/>
      <c r="AX223" s="231"/>
      <c r="AY223" s="231"/>
      <c r="AZ223" s="231"/>
      <c r="BA223" s="231"/>
      <c r="BB223" s="231"/>
      <c r="BC223" s="232"/>
      <c r="BD223" s="232"/>
      <c r="BE223" s="232"/>
      <c r="BF223" s="232"/>
      <c r="BG223" s="231"/>
      <c r="BH223" s="231"/>
      <c r="BI223" s="231"/>
      <c r="BJ223" s="231"/>
      <c r="BK223" s="232"/>
      <c r="BL223" s="232"/>
      <c r="BM223" s="232"/>
      <c r="BN223" s="232"/>
      <c r="BO223" s="232"/>
      <c r="BP223" s="232"/>
      <c r="BQ223" s="232"/>
      <c r="BR223" s="232"/>
      <c r="BS223" s="231"/>
      <c r="BT223" s="231"/>
      <c r="BU223" s="231"/>
      <c r="BV223" s="231"/>
      <c r="BW223" s="231"/>
      <c r="BX223" s="231"/>
      <c r="BY223" s="231"/>
      <c r="BZ223" s="232"/>
      <c r="CA223" s="231"/>
      <c r="CB223" s="231"/>
      <c r="CC223" s="231"/>
      <c r="CD223" s="231"/>
      <c r="CE223" s="232"/>
      <c r="CF223" s="232"/>
      <c r="CG223" s="232"/>
      <c r="CH223" s="231"/>
      <c r="CI223" s="232"/>
      <c r="CJ223" s="232"/>
      <c r="CK223" s="231"/>
      <c r="CL223" s="233"/>
      <c r="CM223" s="232"/>
      <c r="CN223" s="232"/>
      <c r="CO223" s="232"/>
      <c r="CP223" s="232"/>
      <c r="CQ223" s="232"/>
      <c r="CR223" s="232"/>
      <c r="CS223" s="232"/>
      <c r="CT223" s="232"/>
    </row>
    <row r="224" ht="24.0" customHeight="1">
      <c r="A224" s="184" t="s">
        <v>306</v>
      </c>
      <c r="B224" s="184" t="s">
        <v>742</v>
      </c>
      <c r="C224" s="184" t="s">
        <v>646</v>
      </c>
      <c r="D224" s="184" t="s">
        <v>2431</v>
      </c>
      <c r="E224" s="186" t="s">
        <v>900</v>
      </c>
      <c r="F224" s="186" t="s">
        <v>2432</v>
      </c>
      <c r="G224" s="185">
        <v>14.0</v>
      </c>
      <c r="H224" s="209" t="s">
        <v>2541</v>
      </c>
      <c r="I224" s="209" t="s">
        <v>1728</v>
      </c>
      <c r="J224" s="209" t="s">
        <v>2542</v>
      </c>
      <c r="K224" s="209" t="s">
        <v>2543</v>
      </c>
      <c r="L224" s="209" t="s">
        <v>2544</v>
      </c>
      <c r="M224" s="209" t="s">
        <v>2545</v>
      </c>
      <c r="N224" s="209" t="s">
        <v>752</v>
      </c>
      <c r="O224" s="237" t="s">
        <v>1457</v>
      </c>
      <c r="P224" s="237" t="s">
        <v>2308</v>
      </c>
      <c r="Q224" s="237" t="s">
        <v>2546</v>
      </c>
      <c r="R224" s="237" t="s">
        <v>2547</v>
      </c>
      <c r="S224" s="237" t="s">
        <v>2548</v>
      </c>
      <c r="T224" s="237" t="s">
        <v>2549</v>
      </c>
      <c r="U224" s="209" t="s">
        <v>2550</v>
      </c>
      <c r="V224" s="209" t="s">
        <v>2551</v>
      </c>
      <c r="W224" s="238" t="s">
        <v>2230</v>
      </c>
      <c r="X224" s="239" t="s">
        <v>2552</v>
      </c>
      <c r="Y224" s="209" t="s">
        <v>1457</v>
      </c>
      <c r="Z224" s="209" t="s">
        <v>1457</v>
      </c>
      <c r="AA224" s="237" t="s">
        <v>757</v>
      </c>
      <c r="AB224" s="231"/>
      <c r="AC224" s="231"/>
      <c r="AD224" s="231"/>
      <c r="AE224" s="231"/>
      <c r="AF224" s="231"/>
      <c r="AG224" s="231"/>
      <c r="AH224" s="231"/>
      <c r="AJ224" s="231"/>
      <c r="AK224" s="232"/>
      <c r="AL224" s="231"/>
      <c r="AM224" s="232"/>
      <c r="AN224" s="231"/>
      <c r="AO224" s="232"/>
      <c r="AP224" s="232"/>
      <c r="AQ224" s="232"/>
      <c r="AR224" s="232"/>
      <c r="AS224" s="232"/>
      <c r="AT224" s="232"/>
      <c r="AU224" s="232"/>
      <c r="AV224" s="232"/>
      <c r="AW224" s="231"/>
      <c r="AX224" s="231"/>
      <c r="AY224" s="231"/>
      <c r="AZ224" s="231"/>
      <c r="BA224" s="231"/>
      <c r="BB224" s="231"/>
      <c r="BC224" s="232"/>
      <c r="BD224" s="232"/>
      <c r="BE224" s="232"/>
      <c r="BF224" s="232"/>
      <c r="BG224" s="232"/>
      <c r="BH224" s="232"/>
      <c r="BI224" s="232"/>
      <c r="BJ224" s="232"/>
      <c r="BK224" s="232"/>
      <c r="BL224" s="232"/>
      <c r="BM224" s="232"/>
      <c r="BN224" s="232"/>
      <c r="BO224" s="232"/>
      <c r="BP224" s="232"/>
      <c r="BQ224" s="232"/>
      <c r="BR224" s="232"/>
      <c r="BS224" s="231"/>
      <c r="BT224" s="231"/>
      <c r="BU224" s="231"/>
      <c r="BV224" s="231"/>
      <c r="BW224" s="231"/>
      <c r="BX224" s="231"/>
      <c r="BY224" s="231"/>
      <c r="BZ224" s="232"/>
      <c r="CA224" s="231"/>
      <c r="CB224" s="231"/>
      <c r="CC224" s="231"/>
      <c r="CD224" s="231"/>
      <c r="CE224" s="232"/>
      <c r="CF224" s="232"/>
      <c r="CG224" s="232"/>
      <c r="CH224" s="231"/>
      <c r="CI224" s="232"/>
      <c r="CJ224" s="232"/>
      <c r="CK224" s="231"/>
      <c r="CL224" s="233"/>
      <c r="CM224" s="232"/>
      <c r="CN224" s="232"/>
      <c r="CO224" s="232"/>
      <c r="CP224" s="232"/>
      <c r="CQ224" s="232"/>
      <c r="CR224" s="232"/>
      <c r="CS224" s="232"/>
      <c r="CT224" s="232"/>
    </row>
    <row r="225" ht="24.0" customHeight="1">
      <c r="A225" s="184" t="s">
        <v>314</v>
      </c>
      <c r="B225" s="184" t="s">
        <v>742</v>
      </c>
      <c r="C225" s="184" t="s">
        <v>647</v>
      </c>
      <c r="D225" s="184" t="s">
        <v>2431</v>
      </c>
      <c r="E225" s="186" t="s">
        <v>946</v>
      </c>
      <c r="F225" s="186" t="s">
        <v>2432</v>
      </c>
      <c r="G225" s="185">
        <v>16.0</v>
      </c>
      <c r="H225" s="209" t="s">
        <v>2553</v>
      </c>
      <c r="I225" s="209" t="s">
        <v>2554</v>
      </c>
      <c r="J225" s="209" t="s">
        <v>2555</v>
      </c>
      <c r="K225" s="209" t="s">
        <v>2556</v>
      </c>
      <c r="L225" s="209" t="s">
        <v>2557</v>
      </c>
      <c r="M225" s="209" t="s">
        <v>2558</v>
      </c>
      <c r="N225" s="209" t="s">
        <v>752</v>
      </c>
      <c r="O225" s="209" t="s">
        <v>764</v>
      </c>
      <c r="P225" s="209" t="s">
        <v>2498</v>
      </c>
      <c r="Q225" s="209" t="s">
        <v>2559</v>
      </c>
      <c r="R225" s="210"/>
      <c r="S225" s="190"/>
      <c r="T225" s="190"/>
      <c r="U225" s="210"/>
      <c r="V225" s="209" t="s">
        <v>1874</v>
      </c>
      <c r="W225" s="238" t="s">
        <v>964</v>
      </c>
      <c r="X225" s="239" t="s">
        <v>965</v>
      </c>
      <c r="Y225" s="209" t="s">
        <v>764</v>
      </c>
      <c r="Z225" s="209" t="s">
        <v>946</v>
      </c>
      <c r="AA225" s="237" t="s">
        <v>757</v>
      </c>
      <c r="AB225" s="231"/>
      <c r="AC225" s="231"/>
      <c r="AD225" s="231"/>
      <c r="AE225" s="231"/>
      <c r="AF225" s="231"/>
      <c r="AG225" s="231"/>
      <c r="AH225" s="231"/>
      <c r="AJ225" s="231"/>
      <c r="AK225" s="232"/>
      <c r="AL225" s="231"/>
      <c r="AM225" s="232"/>
      <c r="AN225" s="231"/>
      <c r="AO225" s="232"/>
      <c r="AP225" s="232"/>
      <c r="AQ225" s="232"/>
      <c r="AR225" s="232"/>
      <c r="AS225" s="232"/>
      <c r="AT225" s="232"/>
      <c r="AU225" s="232"/>
      <c r="AV225" s="232"/>
      <c r="AW225" s="231"/>
      <c r="AX225" s="231"/>
      <c r="AY225" s="231"/>
      <c r="AZ225" s="231"/>
      <c r="BA225" s="231"/>
      <c r="BB225" s="231"/>
      <c r="BC225" s="231"/>
      <c r="BD225" s="231"/>
      <c r="BE225" s="231"/>
      <c r="BF225" s="231"/>
      <c r="BG225" s="231"/>
      <c r="BH225" s="231"/>
      <c r="BI225" s="231"/>
      <c r="BJ225" s="231"/>
      <c r="BK225" s="232"/>
      <c r="BL225" s="232"/>
      <c r="BM225" s="232"/>
      <c r="BN225" s="232"/>
      <c r="BO225" s="232"/>
      <c r="BP225" s="232"/>
      <c r="BQ225" s="232"/>
      <c r="BR225" s="232"/>
      <c r="BS225" s="231"/>
      <c r="BT225" s="231"/>
      <c r="BU225" s="231"/>
      <c r="BV225" s="231"/>
      <c r="BW225" s="231"/>
      <c r="BX225" s="231"/>
      <c r="BY225" s="231"/>
      <c r="BZ225" s="232"/>
      <c r="CA225" s="231"/>
      <c r="CB225" s="231"/>
      <c r="CC225" s="231"/>
      <c r="CD225" s="231"/>
      <c r="CE225" s="232"/>
      <c r="CF225" s="232"/>
      <c r="CG225" s="232"/>
      <c r="CH225" s="231"/>
      <c r="CI225" s="232"/>
      <c r="CJ225" s="232"/>
      <c r="CK225" s="232"/>
      <c r="CL225" s="232"/>
      <c r="CM225" s="232"/>
      <c r="CN225" s="232"/>
      <c r="CO225" s="232"/>
      <c r="CP225" s="232"/>
      <c r="CQ225" s="232"/>
      <c r="CR225" s="232"/>
      <c r="CS225" s="232"/>
      <c r="CT225" s="232"/>
    </row>
    <row r="226" ht="24.0" customHeight="1">
      <c r="A226" s="184" t="s">
        <v>311</v>
      </c>
      <c r="B226" s="184" t="s">
        <v>742</v>
      </c>
      <c r="C226" s="184" t="s">
        <v>647</v>
      </c>
      <c r="D226" s="184" t="s">
        <v>2431</v>
      </c>
      <c r="E226" s="186" t="s">
        <v>946</v>
      </c>
      <c r="F226" s="186" t="s">
        <v>2432</v>
      </c>
      <c r="G226" s="185">
        <v>17.0</v>
      </c>
      <c r="H226" s="209" t="s">
        <v>2560</v>
      </c>
      <c r="I226" s="209" t="s">
        <v>2561</v>
      </c>
      <c r="J226" s="209" t="s">
        <v>2562</v>
      </c>
      <c r="K226" s="209" t="s">
        <v>2563</v>
      </c>
      <c r="L226" s="209" t="s">
        <v>2564</v>
      </c>
      <c r="M226" s="209" t="s">
        <v>2565</v>
      </c>
      <c r="N226" s="209" t="s">
        <v>752</v>
      </c>
      <c r="O226" s="237" t="s">
        <v>764</v>
      </c>
      <c r="P226" s="190"/>
      <c r="Q226" s="190"/>
      <c r="R226" s="190"/>
      <c r="S226" s="190"/>
      <c r="T226" s="190"/>
      <c r="U226" s="210"/>
      <c r="V226" s="209" t="s">
        <v>1159</v>
      </c>
      <c r="W226" s="238" t="s">
        <v>1401</v>
      </c>
      <c r="X226" s="239" t="s">
        <v>1402</v>
      </c>
      <c r="Y226" s="209" t="s">
        <v>764</v>
      </c>
      <c r="Z226" s="209" t="s">
        <v>946</v>
      </c>
      <c r="AA226" s="237" t="s">
        <v>757</v>
      </c>
      <c r="AB226" s="231"/>
      <c r="AC226" s="231"/>
      <c r="AD226" s="231"/>
      <c r="AE226" s="231"/>
      <c r="AF226" s="231"/>
      <c r="AG226" s="231"/>
      <c r="AH226" s="231"/>
      <c r="AJ226" s="231"/>
      <c r="AK226" s="232"/>
      <c r="AL226" s="231"/>
      <c r="AM226" s="232"/>
      <c r="AN226" s="232"/>
      <c r="AO226" s="232"/>
      <c r="AP226" s="232"/>
      <c r="AQ226" s="232"/>
      <c r="AR226" s="232"/>
      <c r="AS226" s="232"/>
      <c r="AT226" s="232"/>
      <c r="AU226" s="232"/>
      <c r="AV226" s="232"/>
      <c r="AW226" s="231"/>
      <c r="AX226" s="231"/>
      <c r="AY226" s="231"/>
      <c r="AZ226" s="231"/>
      <c r="BA226" s="231"/>
      <c r="BB226" s="231"/>
      <c r="BC226" s="231"/>
      <c r="BD226" s="231"/>
      <c r="BE226" s="231"/>
      <c r="BF226" s="231"/>
      <c r="BG226" s="231"/>
      <c r="BH226" s="231"/>
      <c r="BI226" s="231"/>
      <c r="BJ226" s="231"/>
      <c r="BK226" s="232"/>
      <c r="BL226" s="232"/>
      <c r="BM226" s="232"/>
      <c r="BN226" s="232"/>
      <c r="BO226" s="232"/>
      <c r="BP226" s="232"/>
      <c r="BQ226" s="232"/>
      <c r="BR226" s="232"/>
      <c r="BS226" s="231"/>
      <c r="BT226" s="231"/>
      <c r="BU226" s="231"/>
      <c r="BV226" s="231"/>
      <c r="BW226" s="231"/>
      <c r="BX226" s="231"/>
      <c r="BY226" s="231"/>
      <c r="BZ226" s="232"/>
      <c r="CA226" s="231"/>
      <c r="CB226" s="231"/>
      <c r="CC226" s="231"/>
      <c r="CD226" s="231"/>
      <c r="CE226" s="232"/>
      <c r="CF226" s="232"/>
      <c r="CG226" s="232"/>
      <c r="CH226" s="231"/>
      <c r="CI226" s="232"/>
      <c r="CJ226" s="232"/>
      <c r="CK226" s="232"/>
      <c r="CL226" s="235"/>
      <c r="CM226" s="232"/>
      <c r="CN226" s="232"/>
      <c r="CO226" s="232"/>
      <c r="CP226" s="232"/>
      <c r="CQ226" s="232"/>
      <c r="CR226" s="232"/>
      <c r="CS226" s="232"/>
      <c r="CT226" s="232"/>
    </row>
    <row r="227" ht="24.0" customHeight="1">
      <c r="A227" s="184" t="s">
        <v>315</v>
      </c>
      <c r="B227" s="184" t="s">
        <v>742</v>
      </c>
      <c r="C227" s="184" t="s">
        <v>647</v>
      </c>
      <c r="D227" s="184" t="s">
        <v>2431</v>
      </c>
      <c r="E227" s="186" t="s">
        <v>946</v>
      </c>
      <c r="F227" s="186" t="s">
        <v>2432</v>
      </c>
      <c r="G227" s="185">
        <v>18.0</v>
      </c>
      <c r="H227" s="209" t="s">
        <v>2566</v>
      </c>
      <c r="I227" s="209" t="s">
        <v>2567</v>
      </c>
      <c r="J227" s="209" t="s">
        <v>2568</v>
      </c>
      <c r="K227" s="209" t="s">
        <v>2569</v>
      </c>
      <c r="L227" s="209" t="s">
        <v>2570</v>
      </c>
      <c r="M227" s="209" t="s">
        <v>2571</v>
      </c>
      <c r="N227" s="209" t="s">
        <v>752</v>
      </c>
      <c r="O227" s="209" t="s">
        <v>764</v>
      </c>
      <c r="P227" s="210"/>
      <c r="Q227" s="210"/>
      <c r="R227" s="210"/>
      <c r="S227" s="210"/>
      <c r="T227" s="210"/>
      <c r="U227" s="210"/>
      <c r="V227" s="209" t="s">
        <v>1549</v>
      </c>
      <c r="W227" s="238" t="s">
        <v>2572</v>
      </c>
      <c r="X227" s="239" t="s">
        <v>2573</v>
      </c>
      <c r="Y227" s="209" t="s">
        <v>764</v>
      </c>
      <c r="Z227" s="209" t="s">
        <v>946</v>
      </c>
      <c r="AA227" s="237" t="s">
        <v>2377</v>
      </c>
      <c r="AB227" s="231"/>
      <c r="AC227" s="231"/>
      <c r="AD227" s="231"/>
      <c r="AE227" s="231"/>
      <c r="AF227" s="231"/>
      <c r="AG227" s="231"/>
      <c r="AH227" s="231"/>
      <c r="AJ227" s="231"/>
      <c r="AK227" s="232"/>
      <c r="AL227" s="231"/>
      <c r="AM227" s="232"/>
      <c r="AN227" s="231"/>
      <c r="AO227" s="232"/>
      <c r="AP227" s="232"/>
      <c r="AQ227" s="232"/>
      <c r="AR227" s="232"/>
      <c r="AS227" s="232"/>
      <c r="AT227" s="232"/>
      <c r="AU227" s="232"/>
      <c r="AV227" s="232"/>
      <c r="AW227" s="231"/>
      <c r="AX227" s="231"/>
      <c r="AY227" s="231"/>
      <c r="AZ227" s="231"/>
      <c r="BA227" s="231"/>
      <c r="BB227" s="231"/>
      <c r="BC227" s="232"/>
      <c r="BD227" s="232"/>
      <c r="BE227" s="232"/>
      <c r="BF227" s="232"/>
      <c r="BG227" s="231"/>
      <c r="BH227" s="231"/>
      <c r="BI227" s="231"/>
      <c r="BJ227" s="231"/>
      <c r="BK227" s="232"/>
      <c r="BL227" s="232"/>
      <c r="BM227" s="232"/>
      <c r="BN227" s="232"/>
      <c r="BO227" s="232"/>
      <c r="BP227" s="232"/>
      <c r="BQ227" s="232"/>
      <c r="BR227" s="232"/>
      <c r="BS227" s="231"/>
      <c r="BT227" s="231"/>
      <c r="BU227" s="231"/>
      <c r="BV227" s="231"/>
      <c r="BW227" s="231"/>
      <c r="BX227" s="231"/>
      <c r="BY227" s="231"/>
      <c r="BZ227" s="231"/>
      <c r="CA227" s="231"/>
      <c r="CB227" s="231"/>
      <c r="CC227" s="231"/>
      <c r="CD227" s="231"/>
      <c r="CE227" s="232"/>
      <c r="CF227" s="232"/>
      <c r="CG227" s="232"/>
      <c r="CH227" s="231"/>
      <c r="CI227" s="232"/>
      <c r="CJ227" s="232"/>
      <c r="CK227" s="231"/>
      <c r="CL227" s="233"/>
      <c r="CM227" s="232"/>
      <c r="CN227" s="232"/>
      <c r="CO227" s="232"/>
      <c r="CP227" s="232"/>
      <c r="CQ227" s="232"/>
      <c r="CR227" s="232"/>
      <c r="CS227" s="232"/>
      <c r="CT227" s="232"/>
    </row>
    <row r="228" ht="24.0" customHeight="1">
      <c r="A228" s="184" t="s">
        <v>312</v>
      </c>
      <c r="B228" s="184" t="s">
        <v>742</v>
      </c>
      <c r="C228" s="184" t="s">
        <v>647</v>
      </c>
      <c r="D228" s="184" t="s">
        <v>2431</v>
      </c>
      <c r="E228" s="186" t="s">
        <v>946</v>
      </c>
      <c r="F228" s="186" t="s">
        <v>2432</v>
      </c>
      <c r="G228" s="185">
        <v>19.0</v>
      </c>
      <c r="H228" s="209" t="s">
        <v>1278</v>
      </c>
      <c r="I228" s="209" t="s">
        <v>2574</v>
      </c>
      <c r="J228" s="209" t="s">
        <v>2575</v>
      </c>
      <c r="K228" s="209" t="s">
        <v>2576</v>
      </c>
      <c r="L228" s="209" t="s">
        <v>2577</v>
      </c>
      <c r="M228" s="209" t="s">
        <v>2578</v>
      </c>
      <c r="N228" s="209" t="s">
        <v>752</v>
      </c>
      <c r="O228" s="209" t="s">
        <v>764</v>
      </c>
      <c r="P228" s="209" t="s">
        <v>2579</v>
      </c>
      <c r="Q228" s="237" t="s">
        <v>2507</v>
      </c>
      <c r="R228" s="190"/>
      <c r="S228" s="190"/>
      <c r="T228" s="190"/>
      <c r="U228" s="210"/>
      <c r="V228" s="209" t="s">
        <v>2580</v>
      </c>
      <c r="W228" s="238" t="s">
        <v>2581</v>
      </c>
      <c r="X228" s="239" t="s">
        <v>2582</v>
      </c>
      <c r="Y228" s="209" t="s">
        <v>764</v>
      </c>
      <c r="Z228" s="209" t="s">
        <v>946</v>
      </c>
      <c r="AA228" s="237" t="s">
        <v>2583</v>
      </c>
      <c r="AB228" s="231"/>
      <c r="AC228" s="231"/>
      <c r="AD228" s="231"/>
      <c r="AE228" s="231"/>
      <c r="AF228" s="231"/>
      <c r="AG228" s="231"/>
      <c r="AH228" s="231"/>
      <c r="AJ228" s="231"/>
      <c r="AK228" s="232"/>
      <c r="AL228" s="231"/>
      <c r="AM228" s="232"/>
      <c r="AN228" s="231"/>
      <c r="AO228" s="232"/>
      <c r="AP228" s="232"/>
      <c r="AQ228" s="232"/>
      <c r="AR228" s="232"/>
      <c r="AS228" s="232"/>
      <c r="AT228" s="232"/>
      <c r="AU228" s="232"/>
      <c r="AV228" s="232"/>
      <c r="AW228" s="231"/>
      <c r="AX228" s="231"/>
      <c r="AY228" s="231"/>
      <c r="AZ228" s="231"/>
      <c r="BA228" s="231"/>
      <c r="BB228" s="231"/>
      <c r="BC228" s="231"/>
      <c r="BD228" s="231"/>
      <c r="BE228" s="231"/>
      <c r="BF228" s="231"/>
      <c r="BG228" s="231"/>
      <c r="BH228" s="231"/>
      <c r="BI228" s="231"/>
      <c r="BJ228" s="231"/>
      <c r="BK228" s="231"/>
      <c r="BL228" s="231"/>
      <c r="BM228" s="231"/>
      <c r="BN228" s="231"/>
      <c r="BO228" s="231"/>
      <c r="BP228" s="231"/>
      <c r="BQ228" s="232"/>
      <c r="BR228" s="232"/>
      <c r="BS228" s="231"/>
      <c r="BT228" s="231"/>
      <c r="BU228" s="231"/>
      <c r="BV228" s="231"/>
      <c r="BW228" s="231"/>
      <c r="BX228" s="231"/>
      <c r="BY228" s="232"/>
      <c r="BZ228" s="232"/>
      <c r="CA228" s="231"/>
      <c r="CB228" s="231"/>
      <c r="CC228" s="231"/>
      <c r="CD228" s="231"/>
      <c r="CE228" s="232"/>
      <c r="CF228" s="232"/>
      <c r="CG228" s="232"/>
      <c r="CH228" s="231"/>
      <c r="CI228" s="232"/>
      <c r="CJ228" s="232"/>
      <c r="CK228" s="231"/>
      <c r="CL228" s="233"/>
      <c r="CM228" s="232"/>
      <c r="CN228" s="232"/>
      <c r="CO228" s="232"/>
      <c r="CP228" s="232"/>
      <c r="CQ228" s="232"/>
      <c r="CR228" s="232"/>
      <c r="CS228" s="232"/>
      <c r="CT228" s="232"/>
    </row>
    <row r="229" ht="24.0" customHeight="1">
      <c r="A229" s="184" t="s">
        <v>317</v>
      </c>
      <c r="B229" s="184" t="s">
        <v>742</v>
      </c>
      <c r="C229" s="184" t="s">
        <v>647</v>
      </c>
      <c r="D229" s="184" t="s">
        <v>2431</v>
      </c>
      <c r="E229" s="186" t="s">
        <v>946</v>
      </c>
      <c r="F229" s="186" t="s">
        <v>2432</v>
      </c>
      <c r="G229" s="185">
        <v>20.0</v>
      </c>
      <c r="H229" s="209" t="s">
        <v>2584</v>
      </c>
      <c r="I229" s="209" t="s">
        <v>2585</v>
      </c>
      <c r="J229" s="209" t="s">
        <v>2586</v>
      </c>
      <c r="K229" s="209" t="s">
        <v>2587</v>
      </c>
      <c r="L229" s="209" t="s">
        <v>2588</v>
      </c>
      <c r="M229" s="209" t="s">
        <v>2589</v>
      </c>
      <c r="N229" s="209" t="s">
        <v>752</v>
      </c>
      <c r="O229" s="237" t="s">
        <v>764</v>
      </c>
      <c r="P229" s="190"/>
      <c r="Q229" s="190"/>
      <c r="R229" s="190"/>
      <c r="S229" s="190"/>
      <c r="T229" s="190"/>
      <c r="U229" s="210"/>
      <c r="V229" s="209" t="s">
        <v>1585</v>
      </c>
      <c r="W229" s="238" t="s">
        <v>1586</v>
      </c>
      <c r="X229" s="239" t="s">
        <v>1587</v>
      </c>
      <c r="Y229" s="209" t="s">
        <v>764</v>
      </c>
      <c r="Z229" s="209" t="s">
        <v>946</v>
      </c>
      <c r="AA229" s="237" t="s">
        <v>757</v>
      </c>
      <c r="AB229" s="231"/>
      <c r="AC229" s="231"/>
      <c r="AD229" s="231"/>
      <c r="AE229" s="231"/>
      <c r="AF229" s="231"/>
      <c r="AG229" s="231"/>
      <c r="AH229" s="231"/>
      <c r="AJ229" s="231"/>
      <c r="AK229" s="232"/>
      <c r="AL229" s="231"/>
      <c r="AM229" s="232"/>
      <c r="AN229" s="231"/>
      <c r="AO229" s="232"/>
      <c r="AP229" s="232"/>
      <c r="AQ229" s="232"/>
      <c r="AR229" s="232"/>
      <c r="AS229" s="232"/>
      <c r="AT229" s="232"/>
      <c r="AU229" s="232"/>
      <c r="AV229" s="232"/>
      <c r="AW229" s="231"/>
      <c r="AX229" s="231"/>
      <c r="AY229" s="231"/>
      <c r="AZ229" s="231"/>
      <c r="BA229" s="231"/>
      <c r="BB229" s="231"/>
      <c r="BC229" s="232"/>
      <c r="BD229" s="232"/>
      <c r="BE229" s="232"/>
      <c r="BF229" s="232"/>
      <c r="BG229" s="231"/>
      <c r="BH229" s="231"/>
      <c r="BI229" s="232"/>
      <c r="BJ229" s="232"/>
      <c r="BK229" s="232"/>
      <c r="BL229" s="232"/>
      <c r="BM229" s="232"/>
      <c r="BN229" s="232"/>
      <c r="BO229" s="232"/>
      <c r="BP229" s="232"/>
      <c r="BQ229" s="232"/>
      <c r="BR229" s="232"/>
      <c r="BS229" s="231"/>
      <c r="BT229" s="231"/>
      <c r="BU229" s="231"/>
      <c r="BV229" s="231"/>
      <c r="BW229" s="231"/>
      <c r="BX229" s="231"/>
      <c r="BY229" s="232"/>
      <c r="BZ229" s="232"/>
      <c r="CA229" s="231"/>
      <c r="CB229" s="231"/>
      <c r="CC229" s="231"/>
      <c r="CD229" s="231"/>
      <c r="CE229" s="232"/>
      <c r="CF229" s="232"/>
      <c r="CG229" s="232"/>
      <c r="CH229" s="231"/>
      <c r="CI229" s="232"/>
      <c r="CJ229" s="232"/>
      <c r="CK229" s="232"/>
      <c r="CL229" s="232"/>
      <c r="CM229" s="232"/>
      <c r="CN229" s="232"/>
      <c r="CO229" s="232"/>
      <c r="CP229" s="232"/>
      <c r="CQ229" s="232"/>
      <c r="CR229" s="232"/>
      <c r="CS229" s="232"/>
      <c r="CT229" s="232"/>
    </row>
    <row r="230" ht="24.0" customHeight="1">
      <c r="A230" s="184" t="s">
        <v>313</v>
      </c>
      <c r="B230" s="184" t="s">
        <v>742</v>
      </c>
      <c r="C230" s="184" t="s">
        <v>647</v>
      </c>
      <c r="D230" s="184" t="s">
        <v>2431</v>
      </c>
      <c r="E230" s="186" t="s">
        <v>946</v>
      </c>
      <c r="F230" s="186" t="s">
        <v>2432</v>
      </c>
      <c r="G230" s="185">
        <v>21.0</v>
      </c>
      <c r="H230" s="209" t="s">
        <v>2590</v>
      </c>
      <c r="I230" s="209" t="s">
        <v>2591</v>
      </c>
      <c r="J230" s="209" t="s">
        <v>2592</v>
      </c>
      <c r="K230" s="209" t="s">
        <v>2593</v>
      </c>
      <c r="L230" s="209" t="s">
        <v>2594</v>
      </c>
      <c r="M230" s="209" t="s">
        <v>2595</v>
      </c>
      <c r="N230" s="209" t="s">
        <v>752</v>
      </c>
      <c r="O230" s="237" t="s">
        <v>764</v>
      </c>
      <c r="P230" s="190"/>
      <c r="Q230" s="190"/>
      <c r="R230" s="190"/>
      <c r="S230" s="190"/>
      <c r="T230" s="190"/>
      <c r="U230" s="210"/>
      <c r="V230" s="209" t="s">
        <v>2596</v>
      </c>
      <c r="W230" s="238" t="s">
        <v>2597</v>
      </c>
      <c r="X230" s="239" t="s">
        <v>2598</v>
      </c>
      <c r="Y230" s="209" t="s">
        <v>1376</v>
      </c>
      <c r="Z230" s="209" t="s">
        <v>946</v>
      </c>
      <c r="AA230" s="237" t="s">
        <v>797</v>
      </c>
      <c r="AB230" s="231"/>
      <c r="AC230" s="231"/>
      <c r="AD230" s="231"/>
      <c r="AE230" s="231"/>
      <c r="AF230" s="231"/>
      <c r="AG230" s="231"/>
      <c r="AH230" s="231"/>
      <c r="AJ230" s="231"/>
      <c r="AK230" s="232"/>
      <c r="AL230" s="231"/>
      <c r="AM230" s="232"/>
      <c r="AN230" s="231"/>
      <c r="AO230" s="232"/>
      <c r="AP230" s="232"/>
      <c r="AQ230" s="232"/>
      <c r="AR230" s="232"/>
      <c r="AS230" s="232"/>
      <c r="AT230" s="232"/>
      <c r="AU230" s="232"/>
      <c r="AV230" s="232"/>
      <c r="AW230" s="231"/>
      <c r="AX230" s="231"/>
      <c r="AY230" s="231"/>
      <c r="AZ230" s="231"/>
      <c r="BA230" s="231"/>
      <c r="BB230" s="231"/>
      <c r="BC230" s="231"/>
      <c r="BD230" s="231"/>
      <c r="BE230" s="231"/>
      <c r="BF230" s="231"/>
      <c r="BG230" s="231"/>
      <c r="BH230" s="231"/>
      <c r="BI230" s="231"/>
      <c r="BJ230" s="231"/>
      <c r="BK230" s="231"/>
      <c r="BL230" s="231"/>
      <c r="BM230" s="231"/>
      <c r="BN230" s="231"/>
      <c r="BO230" s="232"/>
      <c r="BP230" s="232"/>
      <c r="BQ230" s="232"/>
      <c r="BR230" s="232"/>
      <c r="BS230" s="231"/>
      <c r="BT230" s="231"/>
      <c r="BU230" s="231"/>
      <c r="BV230" s="231"/>
      <c r="BW230" s="231"/>
      <c r="BX230" s="231"/>
      <c r="BY230" s="231"/>
      <c r="BZ230" s="232"/>
      <c r="CA230" s="231"/>
      <c r="CB230" s="231"/>
      <c r="CC230" s="231"/>
      <c r="CD230" s="231"/>
      <c r="CE230" s="232"/>
      <c r="CF230" s="232"/>
      <c r="CG230" s="232"/>
      <c r="CH230" s="231"/>
      <c r="CI230" s="232"/>
      <c r="CJ230" s="232"/>
      <c r="CK230" s="231"/>
      <c r="CL230" s="233"/>
      <c r="CM230" s="232"/>
      <c r="CN230" s="232"/>
      <c r="CO230" s="232"/>
      <c r="CP230" s="232"/>
      <c r="CQ230" s="232"/>
      <c r="CR230" s="232"/>
      <c r="CS230" s="232"/>
      <c r="CT230" s="232"/>
    </row>
    <row r="231" ht="24.0" customHeight="1">
      <c r="A231" s="184" t="s">
        <v>316</v>
      </c>
      <c r="B231" s="184" t="s">
        <v>742</v>
      </c>
      <c r="C231" s="184" t="s">
        <v>647</v>
      </c>
      <c r="D231" s="184" t="s">
        <v>2431</v>
      </c>
      <c r="E231" s="186" t="s">
        <v>946</v>
      </c>
      <c r="F231" s="186" t="s">
        <v>2432</v>
      </c>
      <c r="G231" s="185">
        <v>22.0</v>
      </c>
      <c r="H231" s="209" t="s">
        <v>2599</v>
      </c>
      <c r="I231" s="209" t="s">
        <v>1136</v>
      </c>
      <c r="J231" s="209" t="s">
        <v>2600</v>
      </c>
      <c r="K231" s="209" t="s">
        <v>2601</v>
      </c>
      <c r="L231" s="209" t="s">
        <v>2602</v>
      </c>
      <c r="M231" s="209" t="s">
        <v>2603</v>
      </c>
      <c r="N231" s="209" t="s">
        <v>752</v>
      </c>
      <c r="O231" s="209" t="s">
        <v>764</v>
      </c>
      <c r="P231" s="210"/>
      <c r="Q231" s="190"/>
      <c r="R231" s="190"/>
      <c r="S231" s="190"/>
      <c r="T231" s="190"/>
      <c r="U231" s="210"/>
      <c r="V231" s="209" t="s">
        <v>1549</v>
      </c>
      <c r="W231" s="238" t="s">
        <v>2572</v>
      </c>
      <c r="X231" s="239" t="s">
        <v>2573</v>
      </c>
      <c r="Y231" s="209" t="s">
        <v>764</v>
      </c>
      <c r="Z231" s="209" t="s">
        <v>946</v>
      </c>
      <c r="AA231" s="237" t="s">
        <v>757</v>
      </c>
      <c r="AB231" s="231"/>
      <c r="AC231" s="231"/>
      <c r="AD231" s="231"/>
      <c r="AE231" s="231"/>
      <c r="AF231" s="231"/>
      <c r="AG231" s="231"/>
      <c r="AH231" s="231"/>
      <c r="AJ231" s="231"/>
      <c r="AK231" s="232"/>
      <c r="AL231" s="231"/>
      <c r="AM231" s="232"/>
      <c r="AN231" s="231"/>
      <c r="AO231" s="232"/>
      <c r="AP231" s="232"/>
      <c r="AQ231" s="232"/>
      <c r="AR231" s="232"/>
      <c r="AS231" s="232"/>
      <c r="AT231" s="232"/>
      <c r="AU231" s="232"/>
      <c r="AV231" s="232"/>
      <c r="AW231" s="231"/>
      <c r="AX231" s="231"/>
      <c r="AY231" s="231"/>
      <c r="AZ231" s="231"/>
      <c r="BA231" s="231"/>
      <c r="BB231" s="231"/>
      <c r="BC231" s="232"/>
      <c r="BD231" s="232"/>
      <c r="BE231" s="232"/>
      <c r="BF231" s="232"/>
      <c r="BG231" s="231"/>
      <c r="BH231" s="231"/>
      <c r="BI231" s="232"/>
      <c r="BJ231" s="232"/>
      <c r="BK231" s="232"/>
      <c r="BL231" s="232"/>
      <c r="BM231" s="232"/>
      <c r="BN231" s="232"/>
      <c r="BO231" s="232"/>
      <c r="BP231" s="232"/>
      <c r="BQ231" s="232"/>
      <c r="BR231" s="232"/>
      <c r="BS231" s="231"/>
      <c r="BT231" s="231"/>
      <c r="BU231" s="231"/>
      <c r="BV231" s="231"/>
      <c r="BW231" s="231"/>
      <c r="BX231" s="231"/>
      <c r="BY231" s="231"/>
      <c r="BZ231" s="232"/>
      <c r="CA231" s="231"/>
      <c r="CB231" s="231"/>
      <c r="CC231" s="231"/>
      <c r="CD231" s="231"/>
      <c r="CE231" s="232"/>
      <c r="CF231" s="232"/>
      <c r="CG231" s="232"/>
      <c r="CH231" s="231"/>
      <c r="CI231" s="232"/>
      <c r="CJ231" s="232"/>
      <c r="CK231" s="232"/>
      <c r="CL231" s="232"/>
      <c r="CM231" s="232"/>
      <c r="CN231" s="232"/>
      <c r="CO231" s="232"/>
      <c r="CP231" s="232"/>
      <c r="CQ231" s="232"/>
      <c r="CR231" s="232"/>
      <c r="CS231" s="232"/>
      <c r="CT231" s="232"/>
    </row>
    <row r="232" ht="24.0" customHeight="1">
      <c r="A232" s="184" t="s">
        <v>319</v>
      </c>
      <c r="B232" s="184" t="s">
        <v>742</v>
      </c>
      <c r="C232" s="184" t="s">
        <v>648</v>
      </c>
      <c r="D232" s="184" t="s">
        <v>2431</v>
      </c>
      <c r="E232" s="186" t="s">
        <v>2604</v>
      </c>
      <c r="F232" s="186" t="s">
        <v>2432</v>
      </c>
      <c r="G232" s="185">
        <v>23.0</v>
      </c>
      <c r="H232" s="209" t="s">
        <v>2605</v>
      </c>
      <c r="I232" s="209" t="s">
        <v>2606</v>
      </c>
      <c r="J232" s="209" t="s">
        <v>2607</v>
      </c>
      <c r="K232" s="209" t="s">
        <v>2608</v>
      </c>
      <c r="L232" s="209" t="s">
        <v>2609</v>
      </c>
      <c r="M232" s="209" t="s">
        <v>2610</v>
      </c>
      <c r="N232" s="209" t="s">
        <v>752</v>
      </c>
      <c r="O232" s="209" t="s">
        <v>773</v>
      </c>
      <c r="P232" s="190"/>
      <c r="Q232" s="190"/>
      <c r="R232" s="190"/>
      <c r="S232" s="190"/>
      <c r="T232" s="190"/>
      <c r="U232" s="210"/>
      <c r="V232" s="209" t="s">
        <v>2611</v>
      </c>
      <c r="W232" s="238" t="s">
        <v>2612</v>
      </c>
      <c r="X232" s="239" t="s">
        <v>2613</v>
      </c>
      <c r="Y232" s="209" t="s">
        <v>773</v>
      </c>
      <c r="Z232" s="209" t="s">
        <v>806</v>
      </c>
      <c r="AA232" s="237" t="s">
        <v>757</v>
      </c>
      <c r="AB232" s="231"/>
      <c r="AC232" s="231"/>
      <c r="AD232" s="231"/>
      <c r="AE232" s="231"/>
      <c r="AF232" s="231"/>
      <c r="AG232" s="231"/>
      <c r="AH232" s="231"/>
      <c r="AJ232" s="231"/>
      <c r="AK232" s="232"/>
      <c r="AL232" s="231"/>
      <c r="AM232" s="232"/>
      <c r="AN232" s="231"/>
      <c r="AO232" s="232"/>
      <c r="AP232" s="232"/>
      <c r="AQ232" s="232"/>
      <c r="AR232" s="232"/>
      <c r="AS232" s="232"/>
      <c r="AT232" s="232"/>
      <c r="AU232" s="232"/>
      <c r="AV232" s="232"/>
      <c r="AW232" s="231"/>
      <c r="AX232" s="231"/>
      <c r="AY232" s="231"/>
      <c r="AZ232" s="231"/>
      <c r="BA232" s="231"/>
      <c r="BB232" s="231"/>
      <c r="BC232" s="231"/>
      <c r="BD232" s="231"/>
      <c r="BE232" s="231"/>
      <c r="BF232" s="231"/>
      <c r="BG232" s="232"/>
      <c r="BH232" s="232"/>
      <c r="BI232" s="232"/>
      <c r="BJ232" s="232"/>
      <c r="BK232" s="232"/>
      <c r="BL232" s="232"/>
      <c r="BM232" s="232"/>
      <c r="BN232" s="232"/>
      <c r="BO232" s="232"/>
      <c r="BP232" s="232"/>
      <c r="BQ232" s="232"/>
      <c r="BR232" s="232"/>
      <c r="BS232" s="231"/>
      <c r="BT232" s="231"/>
      <c r="BU232" s="231"/>
      <c r="BV232" s="231"/>
      <c r="BW232" s="231"/>
      <c r="BX232" s="231"/>
      <c r="BY232" s="231"/>
      <c r="BZ232" s="232"/>
      <c r="CA232" s="231"/>
      <c r="CB232" s="231"/>
      <c r="CC232" s="231"/>
      <c r="CD232" s="231"/>
      <c r="CE232" s="232"/>
      <c r="CF232" s="232"/>
      <c r="CG232" s="232"/>
      <c r="CH232" s="231"/>
      <c r="CI232" s="232"/>
      <c r="CJ232" s="232"/>
      <c r="CK232" s="232"/>
      <c r="CL232" s="232"/>
      <c r="CM232" s="232"/>
      <c r="CN232" s="232"/>
      <c r="CO232" s="232"/>
      <c r="CP232" s="232"/>
      <c r="CQ232" s="232"/>
      <c r="CR232" s="232"/>
      <c r="CS232" s="232"/>
      <c r="CT232" s="232"/>
    </row>
    <row r="233" ht="24.0" customHeight="1">
      <c r="A233" s="184" t="s">
        <v>318</v>
      </c>
      <c r="B233" s="184" t="s">
        <v>742</v>
      </c>
      <c r="C233" s="184" t="s">
        <v>648</v>
      </c>
      <c r="D233" s="184" t="s">
        <v>2431</v>
      </c>
      <c r="E233" s="186" t="s">
        <v>2604</v>
      </c>
      <c r="F233" s="186" t="s">
        <v>2432</v>
      </c>
      <c r="G233" s="185">
        <v>24.0</v>
      </c>
      <c r="H233" s="209" t="s">
        <v>2614</v>
      </c>
      <c r="I233" s="209" t="s">
        <v>2615</v>
      </c>
      <c r="J233" s="209" t="s">
        <v>2616</v>
      </c>
      <c r="K233" s="209" t="s">
        <v>2617</v>
      </c>
      <c r="L233" s="209" t="s">
        <v>2618</v>
      </c>
      <c r="M233" s="209" t="s">
        <v>2619</v>
      </c>
      <c r="N233" s="209" t="s">
        <v>752</v>
      </c>
      <c r="O233" s="209" t="s">
        <v>773</v>
      </c>
      <c r="P233" s="190"/>
      <c r="Q233" s="190"/>
      <c r="R233" s="190"/>
      <c r="S233" s="190"/>
      <c r="T233" s="190"/>
      <c r="U233" s="210"/>
      <c r="V233" s="209" t="s">
        <v>2620</v>
      </c>
      <c r="W233" s="238" t="s">
        <v>833</v>
      </c>
      <c r="X233" s="239" t="s">
        <v>834</v>
      </c>
      <c r="Y233" s="209" t="s">
        <v>773</v>
      </c>
      <c r="Z233" s="209" t="s">
        <v>806</v>
      </c>
      <c r="AA233" s="237" t="s">
        <v>757</v>
      </c>
      <c r="AB233" s="231"/>
      <c r="AC233" s="231"/>
      <c r="AD233" s="231"/>
      <c r="AE233" s="231"/>
      <c r="AF233" s="231"/>
      <c r="AG233" s="231"/>
      <c r="AH233" s="231"/>
      <c r="AJ233" s="231"/>
      <c r="AK233" s="232"/>
      <c r="AL233" s="231"/>
      <c r="AM233" s="232"/>
      <c r="AN233" s="231"/>
      <c r="AO233" s="232"/>
      <c r="AP233" s="232"/>
      <c r="AQ233" s="232"/>
      <c r="AR233" s="232"/>
      <c r="AS233" s="232"/>
      <c r="AT233" s="232"/>
      <c r="AU233" s="232"/>
      <c r="AV233" s="232"/>
      <c r="AW233" s="231"/>
      <c r="AX233" s="231"/>
      <c r="AY233" s="231"/>
      <c r="AZ233" s="231"/>
      <c r="BA233" s="231"/>
      <c r="BB233" s="231"/>
      <c r="BC233" s="231"/>
      <c r="BD233" s="231"/>
      <c r="BE233" s="231"/>
      <c r="BF233" s="231"/>
      <c r="BG233" s="232"/>
      <c r="BH233" s="232"/>
      <c r="BI233" s="232"/>
      <c r="BJ233" s="232"/>
      <c r="BK233" s="232"/>
      <c r="BL233" s="232"/>
      <c r="BM233" s="232"/>
      <c r="BN233" s="232"/>
      <c r="BO233" s="232"/>
      <c r="BP233" s="232"/>
      <c r="BQ233" s="232"/>
      <c r="BR233" s="232"/>
      <c r="BS233" s="231"/>
      <c r="BT233" s="231"/>
      <c r="BU233" s="231"/>
      <c r="BV233" s="231"/>
      <c r="BW233" s="231"/>
      <c r="BX233" s="231"/>
      <c r="BY233" s="231"/>
      <c r="BZ233" s="231"/>
      <c r="CA233" s="231"/>
      <c r="CB233" s="231"/>
      <c r="CC233" s="231"/>
      <c r="CD233" s="231"/>
      <c r="CE233" s="232"/>
      <c r="CF233" s="232"/>
      <c r="CG233" s="232"/>
      <c r="CH233" s="231"/>
      <c r="CI233" s="232"/>
      <c r="CJ233" s="232"/>
      <c r="CK233" s="231"/>
      <c r="CL233" s="235"/>
      <c r="CM233" s="232"/>
      <c r="CN233" s="232"/>
      <c r="CO233" s="232"/>
      <c r="CP233" s="232"/>
      <c r="CQ233" s="232"/>
      <c r="CR233" s="232"/>
      <c r="CS233" s="232"/>
      <c r="CT233" s="232"/>
    </row>
    <row r="234" ht="24.0" customHeight="1">
      <c r="A234" s="184" t="s">
        <v>321</v>
      </c>
      <c r="B234" s="184" t="s">
        <v>742</v>
      </c>
      <c r="C234" s="184" t="s">
        <v>648</v>
      </c>
      <c r="D234" s="184" t="s">
        <v>2431</v>
      </c>
      <c r="E234" s="186" t="s">
        <v>2604</v>
      </c>
      <c r="F234" s="186" t="s">
        <v>2432</v>
      </c>
      <c r="G234" s="185">
        <v>25.0</v>
      </c>
      <c r="H234" s="209" t="s">
        <v>927</v>
      </c>
      <c r="I234" s="209" t="s">
        <v>2621</v>
      </c>
      <c r="J234" s="209" t="s">
        <v>2622</v>
      </c>
      <c r="K234" s="209" t="s">
        <v>2623</v>
      </c>
      <c r="L234" s="209" t="s">
        <v>2624</v>
      </c>
      <c r="M234" s="209" t="s">
        <v>2625</v>
      </c>
      <c r="N234" s="209" t="s">
        <v>752</v>
      </c>
      <c r="O234" s="209" t="s">
        <v>773</v>
      </c>
      <c r="P234" s="190"/>
      <c r="Q234" s="190"/>
      <c r="R234" s="190"/>
      <c r="S234" s="190"/>
      <c r="T234" s="190"/>
      <c r="U234" s="210"/>
      <c r="V234" s="209" t="s">
        <v>2626</v>
      </c>
      <c r="W234" s="238" t="s">
        <v>1178</v>
      </c>
      <c r="X234" s="239" t="s">
        <v>1179</v>
      </c>
      <c r="Y234" s="209" t="s">
        <v>773</v>
      </c>
      <c r="Z234" s="209" t="s">
        <v>806</v>
      </c>
      <c r="AA234" s="237" t="s">
        <v>757</v>
      </c>
      <c r="AB234" s="231"/>
      <c r="AC234" s="231"/>
      <c r="AD234" s="231"/>
      <c r="AE234" s="231"/>
      <c r="AF234" s="231"/>
      <c r="AG234" s="231"/>
      <c r="AH234" s="231"/>
      <c r="AJ234" s="231"/>
      <c r="AK234" s="232"/>
      <c r="AL234" s="231"/>
      <c r="AM234" s="232"/>
      <c r="AN234" s="231"/>
      <c r="AO234" s="232"/>
      <c r="AP234" s="232"/>
      <c r="AQ234" s="232"/>
      <c r="AR234" s="232"/>
      <c r="AS234" s="232"/>
      <c r="AT234" s="232"/>
      <c r="AU234" s="232"/>
      <c r="AV234" s="232"/>
      <c r="AW234" s="231"/>
      <c r="AX234" s="231"/>
      <c r="AY234" s="231"/>
      <c r="AZ234" s="231"/>
      <c r="BA234" s="231"/>
      <c r="BB234" s="231"/>
      <c r="BC234" s="231"/>
      <c r="BD234" s="231"/>
      <c r="BE234" s="231"/>
      <c r="BF234" s="231"/>
      <c r="BG234" s="231"/>
      <c r="BH234" s="231"/>
      <c r="BI234" s="231"/>
      <c r="BJ234" s="231"/>
      <c r="BK234" s="231"/>
      <c r="BL234" s="231"/>
      <c r="BM234" s="231"/>
      <c r="BN234" s="231"/>
      <c r="BO234" s="231"/>
      <c r="BP234" s="231"/>
      <c r="BQ234" s="232"/>
      <c r="BR234" s="232"/>
      <c r="BS234" s="231"/>
      <c r="BT234" s="231"/>
      <c r="BU234" s="231"/>
      <c r="BV234" s="231"/>
      <c r="BW234" s="231"/>
      <c r="BX234" s="231"/>
      <c r="BY234" s="231"/>
      <c r="BZ234" s="232"/>
      <c r="CA234" s="231"/>
      <c r="CB234" s="231"/>
      <c r="CC234" s="231"/>
      <c r="CD234" s="231"/>
      <c r="CE234" s="232"/>
      <c r="CF234" s="232"/>
      <c r="CG234" s="232"/>
      <c r="CH234" s="231"/>
      <c r="CI234" s="232"/>
      <c r="CJ234" s="232"/>
      <c r="CK234" s="231"/>
      <c r="CL234" s="235"/>
      <c r="CM234" s="232"/>
      <c r="CN234" s="232"/>
      <c r="CO234" s="232"/>
      <c r="CP234" s="232"/>
      <c r="CQ234" s="232"/>
      <c r="CR234" s="232"/>
      <c r="CS234" s="232"/>
      <c r="CT234" s="232"/>
    </row>
    <row r="235" ht="24.0" customHeight="1">
      <c r="A235" s="184" t="s">
        <v>322</v>
      </c>
      <c r="B235" s="184" t="s">
        <v>742</v>
      </c>
      <c r="C235" s="184" t="s">
        <v>648</v>
      </c>
      <c r="D235" s="184" t="s">
        <v>2431</v>
      </c>
      <c r="E235" s="186" t="s">
        <v>2604</v>
      </c>
      <c r="F235" s="186" t="s">
        <v>2432</v>
      </c>
      <c r="G235" s="185">
        <v>26.0</v>
      </c>
      <c r="H235" s="209" t="s">
        <v>2627</v>
      </c>
      <c r="I235" s="209" t="s">
        <v>2628</v>
      </c>
      <c r="J235" s="209" t="s">
        <v>2629</v>
      </c>
      <c r="K235" s="209" t="s">
        <v>2630</v>
      </c>
      <c r="L235" s="209" t="s">
        <v>2631</v>
      </c>
      <c r="M235" s="209" t="s">
        <v>2632</v>
      </c>
      <c r="N235" s="209" t="s">
        <v>752</v>
      </c>
      <c r="O235" s="209" t="s">
        <v>773</v>
      </c>
      <c r="P235" s="190"/>
      <c r="Q235" s="190"/>
      <c r="R235" s="190"/>
      <c r="S235" s="190"/>
      <c r="T235" s="190"/>
      <c r="U235" s="210"/>
      <c r="V235" s="209" t="s">
        <v>2633</v>
      </c>
      <c r="W235" s="238" t="s">
        <v>2634</v>
      </c>
      <c r="X235" s="239" t="s">
        <v>2635</v>
      </c>
      <c r="Y235" s="209" t="s">
        <v>764</v>
      </c>
      <c r="Z235" s="209" t="s">
        <v>806</v>
      </c>
      <c r="AA235" s="237" t="s">
        <v>797</v>
      </c>
      <c r="AB235" s="231"/>
      <c r="AC235" s="231"/>
      <c r="AD235" s="231"/>
      <c r="AE235" s="231"/>
      <c r="AF235" s="231"/>
      <c r="AG235" s="231"/>
      <c r="AH235" s="231"/>
      <c r="AJ235" s="231"/>
      <c r="AK235" s="232"/>
      <c r="AL235" s="231"/>
      <c r="AM235" s="232"/>
      <c r="AN235" s="231"/>
      <c r="AO235" s="232"/>
      <c r="AP235" s="232"/>
      <c r="AQ235" s="232"/>
      <c r="AR235" s="232"/>
      <c r="AS235" s="232"/>
      <c r="AT235" s="232"/>
      <c r="AU235" s="232"/>
      <c r="AV235" s="232"/>
      <c r="AW235" s="231"/>
      <c r="AX235" s="231"/>
      <c r="AY235" s="231"/>
      <c r="AZ235" s="231"/>
      <c r="BA235" s="231"/>
      <c r="BB235" s="231"/>
      <c r="BC235" s="232"/>
      <c r="BD235" s="232"/>
      <c r="BE235" s="232"/>
      <c r="BF235" s="232"/>
      <c r="BG235" s="232"/>
      <c r="BH235" s="232"/>
      <c r="BI235" s="232"/>
      <c r="BJ235" s="232"/>
      <c r="BK235" s="232"/>
      <c r="BL235" s="232"/>
      <c r="BM235" s="232"/>
      <c r="BN235" s="232"/>
      <c r="BO235" s="232"/>
      <c r="BP235" s="232"/>
      <c r="BQ235" s="232"/>
      <c r="BR235" s="232"/>
      <c r="BS235" s="231"/>
      <c r="BT235" s="231"/>
      <c r="BU235" s="231"/>
      <c r="BV235" s="231"/>
      <c r="BW235" s="231"/>
      <c r="BX235" s="231"/>
      <c r="BY235" s="232"/>
      <c r="BZ235" s="232"/>
      <c r="CA235" s="231"/>
      <c r="CB235" s="231"/>
      <c r="CC235" s="231"/>
      <c r="CD235" s="231"/>
      <c r="CE235" s="232"/>
      <c r="CF235" s="232"/>
      <c r="CG235" s="232"/>
      <c r="CH235" s="231"/>
      <c r="CI235" s="232"/>
      <c r="CJ235" s="232"/>
      <c r="CK235" s="232"/>
      <c r="CL235" s="235"/>
      <c r="CM235" s="232"/>
      <c r="CN235" s="232"/>
      <c r="CO235" s="232"/>
      <c r="CP235" s="232"/>
      <c r="CQ235" s="232"/>
      <c r="CR235" s="232"/>
      <c r="CS235" s="232"/>
      <c r="CT235" s="232"/>
    </row>
    <row r="236" ht="24.0" customHeight="1">
      <c r="A236" s="184" t="s">
        <v>323</v>
      </c>
      <c r="B236" s="184" t="s">
        <v>742</v>
      </c>
      <c r="C236" s="184" t="s">
        <v>648</v>
      </c>
      <c r="D236" s="184" t="s">
        <v>2431</v>
      </c>
      <c r="E236" s="186" t="s">
        <v>2604</v>
      </c>
      <c r="F236" s="186" t="s">
        <v>2432</v>
      </c>
      <c r="G236" s="185">
        <v>27.0</v>
      </c>
      <c r="H236" s="209" t="s">
        <v>2636</v>
      </c>
      <c r="I236" s="209" t="s">
        <v>2637</v>
      </c>
      <c r="J236" s="209" t="s">
        <v>2638</v>
      </c>
      <c r="K236" s="209" t="s">
        <v>2639</v>
      </c>
      <c r="L236" s="209" t="s">
        <v>2640</v>
      </c>
      <c r="M236" s="209" t="s">
        <v>2641</v>
      </c>
      <c r="N236" s="209" t="s">
        <v>752</v>
      </c>
      <c r="O236" s="209" t="s">
        <v>1661</v>
      </c>
      <c r="P236" s="237" t="s">
        <v>2642</v>
      </c>
      <c r="Q236" s="237" t="s">
        <v>1728</v>
      </c>
      <c r="R236" s="190"/>
      <c r="S236" s="190"/>
      <c r="T236" s="190"/>
      <c r="U236" s="210"/>
      <c r="V236" s="209" t="s">
        <v>2643</v>
      </c>
      <c r="W236" s="238" t="s">
        <v>2047</v>
      </c>
      <c r="X236" s="239" t="s">
        <v>2048</v>
      </c>
      <c r="Y236" s="209" t="s">
        <v>773</v>
      </c>
      <c r="Z236" s="209" t="s">
        <v>806</v>
      </c>
      <c r="AA236" s="237" t="s">
        <v>757</v>
      </c>
      <c r="AB236" s="231"/>
      <c r="AC236" s="231"/>
      <c r="AD236" s="231"/>
      <c r="AE236" s="231"/>
      <c r="AF236" s="231"/>
      <c r="AG236" s="231"/>
      <c r="AH236" s="231"/>
      <c r="AJ236" s="231"/>
      <c r="AK236" s="232"/>
      <c r="AL236" s="231"/>
      <c r="AM236" s="232"/>
      <c r="AN236" s="231"/>
      <c r="AO236" s="232"/>
      <c r="AP236" s="232"/>
      <c r="AQ236" s="232"/>
      <c r="AR236" s="232"/>
      <c r="AS236" s="232"/>
      <c r="AT236" s="232"/>
      <c r="AU236" s="232"/>
      <c r="AV236" s="232"/>
      <c r="AW236" s="231"/>
      <c r="AX236" s="231"/>
      <c r="AY236" s="231"/>
      <c r="AZ236" s="231"/>
      <c r="BA236" s="231"/>
      <c r="BB236" s="231"/>
      <c r="BC236" s="232"/>
      <c r="BD236" s="232"/>
      <c r="BE236" s="232"/>
      <c r="BF236" s="232"/>
      <c r="BG236" s="232"/>
      <c r="BH236" s="232"/>
      <c r="BI236" s="232"/>
      <c r="BJ236" s="232"/>
      <c r="BK236" s="232"/>
      <c r="BL236" s="232"/>
      <c r="BM236" s="232"/>
      <c r="BN236" s="232"/>
      <c r="BO236" s="232"/>
      <c r="BP236" s="232"/>
      <c r="BQ236" s="232"/>
      <c r="BR236" s="232"/>
      <c r="BS236" s="231"/>
      <c r="BT236" s="231"/>
      <c r="BU236" s="231"/>
      <c r="BV236" s="231"/>
      <c r="BW236" s="231"/>
      <c r="BX236" s="231"/>
      <c r="BY236" s="231"/>
      <c r="BZ236" s="232"/>
      <c r="CA236" s="231"/>
      <c r="CB236" s="231"/>
      <c r="CC236" s="231"/>
      <c r="CD236" s="231"/>
      <c r="CE236" s="232"/>
      <c r="CF236" s="232"/>
      <c r="CG236" s="232"/>
      <c r="CH236" s="231"/>
      <c r="CI236" s="232"/>
      <c r="CJ236" s="232"/>
      <c r="CK236" s="232"/>
      <c r="CL236" s="235"/>
      <c r="CM236" s="232"/>
      <c r="CN236" s="232"/>
      <c r="CO236" s="232"/>
      <c r="CP236" s="232"/>
      <c r="CQ236" s="232"/>
      <c r="CR236" s="232"/>
      <c r="CS236" s="232"/>
      <c r="CT236" s="232"/>
    </row>
    <row r="237" ht="24.0" customHeight="1">
      <c r="A237" s="184" t="s">
        <v>320</v>
      </c>
      <c r="B237" s="184" t="s">
        <v>742</v>
      </c>
      <c r="C237" s="184" t="s">
        <v>648</v>
      </c>
      <c r="D237" s="184" t="s">
        <v>2431</v>
      </c>
      <c r="E237" s="186" t="s">
        <v>2604</v>
      </c>
      <c r="F237" s="186" t="s">
        <v>2432</v>
      </c>
      <c r="G237" s="185">
        <v>28.0</v>
      </c>
      <c r="H237" s="209" t="s">
        <v>2644</v>
      </c>
      <c r="I237" s="209" t="s">
        <v>2645</v>
      </c>
      <c r="J237" s="209" t="s">
        <v>2646</v>
      </c>
      <c r="K237" s="209" t="s">
        <v>2647</v>
      </c>
      <c r="L237" s="209" t="s">
        <v>2648</v>
      </c>
      <c r="M237" s="209" t="s">
        <v>2649</v>
      </c>
      <c r="N237" s="209" t="s">
        <v>752</v>
      </c>
      <c r="O237" s="209" t="s">
        <v>773</v>
      </c>
      <c r="P237" s="190"/>
      <c r="Q237" s="190"/>
      <c r="R237" s="190"/>
      <c r="S237" s="190"/>
      <c r="T237" s="190"/>
      <c r="U237" s="210"/>
      <c r="V237" s="209" t="s">
        <v>912</v>
      </c>
      <c r="W237" s="238" t="s">
        <v>2650</v>
      </c>
      <c r="X237" s="239" t="s">
        <v>2651</v>
      </c>
      <c r="Y237" s="209" t="s">
        <v>773</v>
      </c>
      <c r="Z237" s="209" t="s">
        <v>806</v>
      </c>
      <c r="AA237" s="237" t="s">
        <v>797</v>
      </c>
      <c r="AB237" s="231"/>
      <c r="AC237" s="231"/>
      <c r="AD237" s="231"/>
      <c r="AE237" s="231"/>
      <c r="AF237" s="231"/>
      <c r="AG237" s="231"/>
      <c r="AH237" s="231"/>
      <c r="AJ237" s="231"/>
      <c r="AK237" s="232"/>
      <c r="AL237" s="231"/>
      <c r="AM237" s="232"/>
      <c r="AN237" s="231"/>
      <c r="AO237" s="232"/>
      <c r="AP237" s="232"/>
      <c r="AQ237" s="232"/>
      <c r="AR237" s="232"/>
      <c r="AS237" s="232"/>
      <c r="AT237" s="232"/>
      <c r="AU237" s="232"/>
      <c r="AV237" s="232"/>
      <c r="AW237" s="231"/>
      <c r="AX237" s="231"/>
      <c r="AY237" s="231"/>
      <c r="AZ237" s="231"/>
      <c r="BA237" s="231"/>
      <c r="BB237" s="231"/>
      <c r="BC237" s="232"/>
      <c r="BD237" s="232"/>
      <c r="BE237" s="232"/>
      <c r="BF237" s="232"/>
      <c r="BG237" s="231"/>
      <c r="BH237" s="231"/>
      <c r="BI237" s="231"/>
      <c r="BJ237" s="231"/>
      <c r="BK237" s="231"/>
      <c r="BL237" s="231"/>
      <c r="BM237" s="231"/>
      <c r="BN237" s="231"/>
      <c r="BO237" s="232"/>
      <c r="BP237" s="232"/>
      <c r="BQ237" s="232"/>
      <c r="BR237" s="232"/>
      <c r="BS237" s="231"/>
      <c r="BT237" s="231"/>
      <c r="BU237" s="231"/>
      <c r="BV237" s="231"/>
      <c r="BW237" s="231"/>
      <c r="BX237" s="231"/>
      <c r="BY237" s="231"/>
      <c r="BZ237" s="232"/>
      <c r="CA237" s="231"/>
      <c r="CB237" s="231"/>
      <c r="CC237" s="231"/>
      <c r="CD237" s="231"/>
      <c r="CE237" s="232"/>
      <c r="CF237" s="232"/>
      <c r="CG237" s="232"/>
      <c r="CH237" s="231"/>
      <c r="CI237" s="232"/>
      <c r="CJ237" s="232"/>
      <c r="CK237" s="231"/>
      <c r="CL237" s="235"/>
      <c r="CM237" s="232"/>
      <c r="CN237" s="232"/>
      <c r="CO237" s="232"/>
      <c r="CP237" s="232"/>
      <c r="CQ237" s="232"/>
      <c r="CR237" s="232"/>
      <c r="CS237" s="232"/>
      <c r="CT237" s="232"/>
    </row>
    <row r="238" ht="24.0" customHeight="1">
      <c r="A238" s="184" t="s">
        <v>327</v>
      </c>
      <c r="B238" s="184" t="s">
        <v>742</v>
      </c>
      <c r="C238" s="184" t="s">
        <v>649</v>
      </c>
      <c r="D238" s="184" t="s">
        <v>2431</v>
      </c>
      <c r="E238" s="186" t="s">
        <v>2652</v>
      </c>
      <c r="F238" s="186" t="s">
        <v>2432</v>
      </c>
      <c r="G238" s="185">
        <v>29.0</v>
      </c>
      <c r="H238" s="209" t="s">
        <v>835</v>
      </c>
      <c r="I238" s="209" t="s">
        <v>2653</v>
      </c>
      <c r="J238" s="209" t="s">
        <v>2654</v>
      </c>
      <c r="K238" s="209" t="s">
        <v>2655</v>
      </c>
      <c r="L238" s="209" t="s">
        <v>2656</v>
      </c>
      <c r="M238" s="209" t="s">
        <v>2657</v>
      </c>
      <c r="N238" s="209" t="s">
        <v>752</v>
      </c>
      <c r="O238" s="209" t="s">
        <v>764</v>
      </c>
      <c r="P238" s="190"/>
      <c r="Q238" s="190"/>
      <c r="R238" s="190"/>
      <c r="S238" s="190"/>
      <c r="T238" s="190"/>
      <c r="U238" s="210"/>
      <c r="V238" s="209" t="s">
        <v>2658</v>
      </c>
      <c r="W238" s="238" t="s">
        <v>2017</v>
      </c>
      <c r="X238" s="239" t="s">
        <v>2018</v>
      </c>
      <c r="Y238" s="209" t="s">
        <v>773</v>
      </c>
      <c r="Z238" s="209" t="s">
        <v>806</v>
      </c>
      <c r="AA238" s="237" t="s">
        <v>797</v>
      </c>
      <c r="AB238" s="231"/>
      <c r="AC238" s="231"/>
      <c r="AD238" s="231"/>
      <c r="AE238" s="231"/>
      <c r="AF238" s="231"/>
      <c r="AG238" s="231"/>
      <c r="AH238" s="231"/>
      <c r="AJ238" s="231"/>
      <c r="AK238" s="232"/>
      <c r="AL238" s="231"/>
      <c r="AM238" s="232"/>
      <c r="AN238" s="231"/>
      <c r="AO238" s="232"/>
      <c r="AP238" s="232"/>
      <c r="AQ238" s="232"/>
      <c r="AR238" s="232"/>
      <c r="AS238" s="232"/>
      <c r="AT238" s="232"/>
      <c r="AU238" s="232"/>
      <c r="AV238" s="232"/>
      <c r="AW238" s="231"/>
      <c r="AX238" s="231"/>
      <c r="AY238" s="231"/>
      <c r="AZ238" s="231"/>
      <c r="BA238" s="231"/>
      <c r="BB238" s="231"/>
      <c r="BC238" s="231"/>
      <c r="BD238" s="231"/>
      <c r="BE238" s="231"/>
      <c r="BF238" s="231"/>
      <c r="BG238" s="231"/>
      <c r="BH238" s="231"/>
      <c r="BI238" s="231"/>
      <c r="BJ238" s="231"/>
      <c r="BK238" s="232"/>
      <c r="BL238" s="232"/>
      <c r="BM238" s="232"/>
      <c r="BN238" s="232"/>
      <c r="BO238" s="232"/>
      <c r="BP238" s="232"/>
      <c r="BQ238" s="232"/>
      <c r="BR238" s="232"/>
      <c r="BS238" s="231"/>
      <c r="BT238" s="231"/>
      <c r="BU238" s="231"/>
      <c r="BV238" s="231"/>
      <c r="BW238" s="231"/>
      <c r="BX238" s="231"/>
      <c r="BY238" s="231"/>
      <c r="BZ238" s="231"/>
      <c r="CA238" s="231"/>
      <c r="CB238" s="231"/>
      <c r="CC238" s="231"/>
      <c r="CD238" s="231"/>
      <c r="CE238" s="232"/>
      <c r="CF238" s="232"/>
      <c r="CG238" s="232"/>
      <c r="CH238" s="231"/>
      <c r="CI238" s="232"/>
      <c r="CJ238" s="232"/>
      <c r="CK238" s="231"/>
      <c r="CL238" s="235"/>
      <c r="CM238" s="232"/>
      <c r="CN238" s="232"/>
      <c r="CO238" s="232"/>
      <c r="CP238" s="232"/>
      <c r="CQ238" s="232"/>
      <c r="CR238" s="232"/>
      <c r="CS238" s="232"/>
      <c r="CT238" s="232"/>
    </row>
    <row r="239" ht="24.0" customHeight="1">
      <c r="A239" s="184" t="s">
        <v>328</v>
      </c>
      <c r="B239" s="184" t="s">
        <v>742</v>
      </c>
      <c r="C239" s="184" t="s">
        <v>649</v>
      </c>
      <c r="D239" s="184" t="s">
        <v>2431</v>
      </c>
      <c r="E239" s="186" t="s">
        <v>2652</v>
      </c>
      <c r="F239" s="186" t="s">
        <v>2432</v>
      </c>
      <c r="G239" s="185">
        <v>30.0</v>
      </c>
      <c r="H239" s="209" t="s">
        <v>846</v>
      </c>
      <c r="I239" s="209" t="s">
        <v>2659</v>
      </c>
      <c r="J239" s="209" t="s">
        <v>2660</v>
      </c>
      <c r="K239" s="209" t="s">
        <v>1719</v>
      </c>
      <c r="L239" s="209" t="s">
        <v>2661</v>
      </c>
      <c r="M239" s="209" t="s">
        <v>2662</v>
      </c>
      <c r="N239" s="209" t="s">
        <v>752</v>
      </c>
      <c r="O239" s="237" t="s">
        <v>764</v>
      </c>
      <c r="P239" s="237" t="s">
        <v>1333</v>
      </c>
      <c r="Q239" s="237" t="s">
        <v>2663</v>
      </c>
      <c r="R239" s="190"/>
      <c r="S239" s="190"/>
      <c r="T239" s="190"/>
      <c r="U239" s="210"/>
      <c r="V239" s="209" t="s">
        <v>2664</v>
      </c>
      <c r="W239" s="238" t="s">
        <v>2665</v>
      </c>
      <c r="X239" s="239" t="s">
        <v>816</v>
      </c>
      <c r="Y239" s="209" t="s">
        <v>764</v>
      </c>
      <c r="Z239" s="209" t="s">
        <v>806</v>
      </c>
      <c r="AA239" s="237" t="s">
        <v>797</v>
      </c>
      <c r="AB239" s="231"/>
      <c r="AC239" s="231"/>
      <c r="AD239" s="231"/>
      <c r="AE239" s="231"/>
      <c r="AF239" s="231"/>
      <c r="AG239" s="231"/>
      <c r="AH239" s="231"/>
      <c r="AJ239" s="231"/>
      <c r="AK239" s="232"/>
      <c r="AL239" s="231"/>
      <c r="AM239" s="232"/>
      <c r="AN239" s="231"/>
      <c r="AO239" s="232"/>
      <c r="AP239" s="232"/>
      <c r="AQ239" s="232"/>
      <c r="AR239" s="232"/>
      <c r="AS239" s="232"/>
      <c r="AT239" s="232"/>
      <c r="AU239" s="232"/>
      <c r="AV239" s="232"/>
      <c r="AW239" s="231"/>
      <c r="AX239" s="231"/>
      <c r="AY239" s="231"/>
      <c r="AZ239" s="231"/>
      <c r="BA239" s="231"/>
      <c r="BB239" s="231"/>
      <c r="BC239" s="231"/>
      <c r="BD239" s="231"/>
      <c r="BE239" s="231"/>
      <c r="BF239" s="231"/>
      <c r="BG239" s="231"/>
      <c r="BH239" s="231"/>
      <c r="BI239" s="231"/>
      <c r="BJ239" s="231"/>
      <c r="BK239" s="232"/>
      <c r="BL239" s="232"/>
      <c r="BM239" s="232"/>
      <c r="BN239" s="232"/>
      <c r="BO239" s="232"/>
      <c r="BP239" s="232"/>
      <c r="BQ239" s="232"/>
      <c r="BR239" s="232"/>
      <c r="BS239" s="231"/>
      <c r="BT239" s="231"/>
      <c r="BU239" s="231"/>
      <c r="BV239" s="231"/>
      <c r="BW239" s="231"/>
      <c r="BX239" s="231"/>
      <c r="BY239" s="231"/>
      <c r="BZ239" s="231"/>
      <c r="CA239" s="231"/>
      <c r="CB239" s="231"/>
      <c r="CC239" s="231"/>
      <c r="CD239" s="231"/>
      <c r="CE239" s="232"/>
      <c r="CF239" s="232"/>
      <c r="CG239" s="232"/>
      <c r="CH239" s="231"/>
      <c r="CI239" s="232"/>
      <c r="CJ239" s="232"/>
      <c r="CK239" s="231"/>
      <c r="CL239" s="235"/>
      <c r="CM239" s="232"/>
      <c r="CN239" s="232"/>
      <c r="CO239" s="232"/>
      <c r="CP239" s="232"/>
      <c r="CQ239" s="232"/>
      <c r="CR239" s="232"/>
      <c r="CS239" s="232"/>
      <c r="CT239" s="232"/>
    </row>
    <row r="240" ht="24.0" customHeight="1">
      <c r="A240" s="184" t="s">
        <v>330</v>
      </c>
      <c r="B240" s="184" t="s">
        <v>742</v>
      </c>
      <c r="C240" s="184" t="s">
        <v>649</v>
      </c>
      <c r="D240" s="184" t="s">
        <v>2431</v>
      </c>
      <c r="E240" s="186" t="s">
        <v>2652</v>
      </c>
      <c r="F240" s="186" t="s">
        <v>2432</v>
      </c>
      <c r="G240" s="185">
        <v>31.0</v>
      </c>
      <c r="H240" s="209" t="s">
        <v>1579</v>
      </c>
      <c r="I240" s="209" t="s">
        <v>2666</v>
      </c>
      <c r="J240" s="209" t="s">
        <v>2667</v>
      </c>
      <c r="K240" s="209" t="s">
        <v>2668</v>
      </c>
      <c r="L240" s="209" t="s">
        <v>2669</v>
      </c>
      <c r="M240" s="209" t="s">
        <v>2670</v>
      </c>
      <c r="N240" s="209" t="s">
        <v>752</v>
      </c>
      <c r="O240" s="237" t="s">
        <v>773</v>
      </c>
      <c r="P240" s="190"/>
      <c r="Q240" s="190"/>
      <c r="R240" s="190"/>
      <c r="S240" s="190"/>
      <c r="T240" s="190"/>
      <c r="U240" s="210"/>
      <c r="V240" s="209" t="s">
        <v>2671</v>
      </c>
      <c r="W240" s="238" t="s">
        <v>2672</v>
      </c>
      <c r="X240" s="239" t="s">
        <v>2673</v>
      </c>
      <c r="Y240" s="209" t="s">
        <v>773</v>
      </c>
      <c r="Z240" s="209" t="s">
        <v>806</v>
      </c>
      <c r="AA240" s="237" t="s">
        <v>797</v>
      </c>
      <c r="AB240" s="231"/>
      <c r="AC240" s="231"/>
      <c r="AD240" s="231"/>
      <c r="AE240" s="231"/>
      <c r="AF240" s="231"/>
      <c r="AG240" s="231"/>
      <c r="AH240" s="231"/>
      <c r="AJ240" s="231"/>
      <c r="AK240" s="232"/>
      <c r="AL240" s="231"/>
      <c r="AM240" s="232"/>
      <c r="AN240" s="231"/>
      <c r="AO240" s="232"/>
      <c r="AP240" s="232"/>
      <c r="AQ240" s="232"/>
      <c r="AR240" s="232"/>
      <c r="AS240" s="232"/>
      <c r="AT240" s="232"/>
      <c r="AU240" s="232"/>
      <c r="AV240" s="232"/>
      <c r="AW240" s="231"/>
      <c r="AX240" s="231"/>
      <c r="AY240" s="231"/>
      <c r="AZ240" s="231"/>
      <c r="BA240" s="231"/>
      <c r="BB240" s="231"/>
      <c r="BC240" s="231"/>
      <c r="BD240" s="231"/>
      <c r="BE240" s="231"/>
      <c r="BF240" s="231"/>
      <c r="BG240" s="231"/>
      <c r="BH240" s="231"/>
      <c r="BI240" s="231"/>
      <c r="BJ240" s="231"/>
      <c r="BK240" s="232"/>
      <c r="BL240" s="232"/>
      <c r="BM240" s="232"/>
      <c r="BN240" s="232"/>
      <c r="BO240" s="232"/>
      <c r="BP240" s="232"/>
      <c r="BQ240" s="232"/>
      <c r="BR240" s="232"/>
      <c r="BS240" s="231"/>
      <c r="BT240" s="231"/>
      <c r="BU240" s="231"/>
      <c r="BV240" s="231"/>
      <c r="BW240" s="231"/>
      <c r="BX240" s="231"/>
      <c r="BY240" s="231"/>
      <c r="BZ240" s="231"/>
      <c r="CA240" s="231"/>
      <c r="CB240" s="231"/>
      <c r="CC240" s="231"/>
      <c r="CD240" s="231"/>
      <c r="CE240" s="232"/>
      <c r="CF240" s="232"/>
      <c r="CG240" s="232"/>
      <c r="CH240" s="231"/>
      <c r="CI240" s="232"/>
      <c r="CJ240" s="232"/>
      <c r="CK240" s="231"/>
      <c r="CL240" s="235"/>
      <c r="CM240" s="232"/>
      <c r="CN240" s="232"/>
      <c r="CO240" s="232"/>
      <c r="CP240" s="232"/>
      <c r="CQ240" s="232"/>
      <c r="CR240" s="232"/>
      <c r="CS240" s="232"/>
      <c r="CT240" s="232"/>
    </row>
    <row r="241" ht="24.0" customHeight="1">
      <c r="A241" s="184" t="s">
        <v>326</v>
      </c>
      <c r="B241" s="184" t="s">
        <v>742</v>
      </c>
      <c r="C241" s="184" t="s">
        <v>649</v>
      </c>
      <c r="D241" s="184" t="s">
        <v>2431</v>
      </c>
      <c r="E241" s="186" t="s">
        <v>2652</v>
      </c>
      <c r="F241" s="186" t="s">
        <v>2432</v>
      </c>
      <c r="G241" s="185">
        <v>32.0</v>
      </c>
      <c r="H241" s="209" t="s">
        <v>2674</v>
      </c>
      <c r="I241" s="209" t="s">
        <v>2675</v>
      </c>
      <c r="J241" s="209" t="s">
        <v>2676</v>
      </c>
      <c r="K241" s="209" t="s">
        <v>2677</v>
      </c>
      <c r="L241" s="209" t="s">
        <v>2678</v>
      </c>
      <c r="M241" s="209" t="s">
        <v>2679</v>
      </c>
      <c r="N241" s="209" t="s">
        <v>752</v>
      </c>
      <c r="O241" s="237" t="s">
        <v>773</v>
      </c>
      <c r="P241" s="190"/>
      <c r="Q241" s="190"/>
      <c r="R241" s="190"/>
      <c r="S241" s="190"/>
      <c r="T241" s="190"/>
      <c r="U241" s="210"/>
      <c r="V241" s="209" t="s">
        <v>2643</v>
      </c>
      <c r="W241" s="238" t="s">
        <v>2047</v>
      </c>
      <c r="X241" s="239" t="s">
        <v>2048</v>
      </c>
      <c r="Y241" s="209" t="s">
        <v>773</v>
      </c>
      <c r="Z241" s="209" t="s">
        <v>806</v>
      </c>
      <c r="AA241" s="237" t="s">
        <v>797</v>
      </c>
      <c r="AB241" s="231"/>
      <c r="AC241" s="231"/>
      <c r="AD241" s="231"/>
      <c r="AE241" s="231"/>
      <c r="AF241" s="231"/>
      <c r="AG241" s="231"/>
      <c r="AH241" s="231"/>
      <c r="AJ241" s="231"/>
      <c r="AK241" s="232"/>
      <c r="AL241" s="231"/>
      <c r="AM241" s="232"/>
      <c r="AN241" s="231"/>
      <c r="AO241" s="232"/>
      <c r="AP241" s="232"/>
      <c r="AQ241" s="232"/>
      <c r="AR241" s="232"/>
      <c r="AS241" s="232"/>
      <c r="AT241" s="232"/>
      <c r="AU241" s="232"/>
      <c r="AV241" s="232"/>
      <c r="AW241" s="231"/>
      <c r="AX241" s="231"/>
      <c r="AY241" s="231"/>
      <c r="AZ241" s="231"/>
      <c r="BA241" s="231"/>
      <c r="BB241" s="231"/>
      <c r="BC241" s="232"/>
      <c r="BD241" s="232"/>
      <c r="BE241" s="232"/>
      <c r="BF241" s="232"/>
      <c r="BG241" s="231"/>
      <c r="BH241" s="231"/>
      <c r="BI241" s="231"/>
      <c r="BJ241" s="231"/>
      <c r="BK241" s="231"/>
      <c r="BL241" s="231"/>
      <c r="BM241" s="231"/>
      <c r="BN241" s="231"/>
      <c r="BO241" s="232"/>
      <c r="BP241" s="232"/>
      <c r="BQ241" s="232"/>
      <c r="BR241" s="232"/>
      <c r="BS241" s="231"/>
      <c r="BT241" s="231"/>
      <c r="BU241" s="231"/>
      <c r="BV241" s="231"/>
      <c r="BW241" s="231"/>
      <c r="BX241" s="231"/>
      <c r="BY241" s="231"/>
      <c r="BZ241" s="231"/>
      <c r="CA241" s="231"/>
      <c r="CB241" s="231"/>
      <c r="CC241" s="231"/>
      <c r="CD241" s="231"/>
      <c r="CE241" s="232"/>
      <c r="CF241" s="232"/>
      <c r="CG241" s="232"/>
      <c r="CH241" s="231"/>
      <c r="CI241" s="232"/>
      <c r="CJ241" s="232"/>
      <c r="CK241" s="231"/>
      <c r="CL241" s="233"/>
      <c r="CM241" s="232"/>
      <c r="CN241" s="232"/>
      <c r="CO241" s="232"/>
      <c r="CP241" s="232"/>
      <c r="CQ241" s="232"/>
      <c r="CR241" s="232"/>
      <c r="CS241" s="232"/>
      <c r="CT241" s="232"/>
    </row>
    <row r="242" ht="24.0" customHeight="1">
      <c r="A242" s="184" t="s">
        <v>329</v>
      </c>
      <c r="B242" s="184" t="s">
        <v>742</v>
      </c>
      <c r="C242" s="184" t="s">
        <v>649</v>
      </c>
      <c r="D242" s="184" t="s">
        <v>2431</v>
      </c>
      <c r="E242" s="186" t="s">
        <v>2652</v>
      </c>
      <c r="F242" s="186" t="s">
        <v>2432</v>
      </c>
      <c r="G242" s="185">
        <v>33.0</v>
      </c>
      <c r="H242" s="209" t="s">
        <v>2680</v>
      </c>
      <c r="I242" s="209" t="s">
        <v>2681</v>
      </c>
      <c r="J242" s="209" t="s">
        <v>2682</v>
      </c>
      <c r="K242" s="209" t="s">
        <v>2683</v>
      </c>
      <c r="L242" s="209" t="s">
        <v>2684</v>
      </c>
      <c r="M242" s="209" t="s">
        <v>2685</v>
      </c>
      <c r="N242" s="209" t="s">
        <v>752</v>
      </c>
      <c r="O242" s="209" t="s">
        <v>773</v>
      </c>
      <c r="P242" s="209" t="s">
        <v>2686</v>
      </c>
      <c r="Q242" s="237" t="s">
        <v>2687</v>
      </c>
      <c r="R242" s="190"/>
      <c r="S242" s="190"/>
      <c r="T242" s="190"/>
      <c r="U242" s="210"/>
      <c r="V242" s="209" t="s">
        <v>2688</v>
      </c>
      <c r="W242" s="238" t="s">
        <v>2689</v>
      </c>
      <c r="X242" s="239" t="s">
        <v>2613</v>
      </c>
      <c r="Y242" s="209" t="s">
        <v>773</v>
      </c>
      <c r="Z242" s="209" t="s">
        <v>806</v>
      </c>
      <c r="AA242" s="237" t="s">
        <v>757</v>
      </c>
      <c r="AB242" s="231"/>
      <c r="AC242" s="231"/>
      <c r="AD242" s="231"/>
      <c r="AE242" s="231"/>
      <c r="AF242" s="231"/>
      <c r="AG242" s="231"/>
      <c r="AH242" s="231"/>
      <c r="AJ242" s="231"/>
      <c r="AK242" s="232"/>
      <c r="AL242" s="231"/>
      <c r="AM242" s="232"/>
      <c r="AN242" s="231"/>
      <c r="AO242" s="232"/>
      <c r="AP242" s="232"/>
      <c r="AQ242" s="232"/>
      <c r="AR242" s="232"/>
      <c r="AS242" s="232"/>
      <c r="AT242" s="232"/>
      <c r="AU242" s="232"/>
      <c r="AV242" s="232"/>
      <c r="AW242" s="231"/>
      <c r="AX242" s="231"/>
      <c r="AY242" s="231"/>
      <c r="AZ242" s="231"/>
      <c r="BA242" s="231"/>
      <c r="BB242" s="231"/>
      <c r="BC242" s="232"/>
      <c r="BD242" s="232"/>
      <c r="BE242" s="232"/>
      <c r="BF242" s="232"/>
      <c r="BG242" s="231"/>
      <c r="BH242" s="231"/>
      <c r="BI242" s="231"/>
      <c r="BJ242" s="231"/>
      <c r="BK242" s="232"/>
      <c r="BL242" s="232"/>
      <c r="BM242" s="232"/>
      <c r="BN242" s="232"/>
      <c r="BO242" s="232"/>
      <c r="BP242" s="232"/>
      <c r="BQ242" s="232"/>
      <c r="BR242" s="232"/>
      <c r="BS242" s="231"/>
      <c r="BT242" s="231"/>
      <c r="BU242" s="231"/>
      <c r="BV242" s="231"/>
      <c r="BW242" s="231"/>
      <c r="BX242" s="231"/>
      <c r="BY242" s="231"/>
      <c r="BZ242" s="231"/>
      <c r="CA242" s="231"/>
      <c r="CB242" s="231"/>
      <c r="CC242" s="231"/>
      <c r="CD242" s="231"/>
      <c r="CE242" s="232"/>
      <c r="CF242" s="232"/>
      <c r="CG242" s="232"/>
      <c r="CH242" s="231"/>
      <c r="CI242" s="232"/>
      <c r="CJ242" s="232"/>
      <c r="CK242" s="231"/>
      <c r="CL242" s="233"/>
      <c r="CM242" s="232"/>
      <c r="CN242" s="232"/>
      <c r="CO242" s="232"/>
      <c r="CP242" s="232"/>
      <c r="CQ242" s="232"/>
      <c r="CR242" s="232"/>
      <c r="CS242" s="232"/>
      <c r="CT242" s="232"/>
    </row>
    <row r="243" ht="24.0" customHeight="1">
      <c r="A243" s="184" t="s">
        <v>331</v>
      </c>
      <c r="B243" s="184" t="s">
        <v>742</v>
      </c>
      <c r="C243" s="184" t="s">
        <v>649</v>
      </c>
      <c r="D243" s="184" t="s">
        <v>2431</v>
      </c>
      <c r="E243" s="186" t="s">
        <v>2652</v>
      </c>
      <c r="F243" s="186" t="s">
        <v>2432</v>
      </c>
      <c r="G243" s="185">
        <v>34.0</v>
      </c>
      <c r="H243" s="209" t="s">
        <v>1538</v>
      </c>
      <c r="I243" s="209" t="s">
        <v>2690</v>
      </c>
      <c r="J243" s="209" t="s">
        <v>2691</v>
      </c>
      <c r="K243" s="209" t="s">
        <v>811</v>
      </c>
      <c r="L243" s="209" t="s">
        <v>2692</v>
      </c>
      <c r="M243" s="209" t="s">
        <v>2693</v>
      </c>
      <c r="N243" s="209" t="s">
        <v>752</v>
      </c>
      <c r="O243" s="237" t="s">
        <v>764</v>
      </c>
      <c r="P243" s="190"/>
      <c r="Q243" s="190"/>
      <c r="R243" s="190"/>
      <c r="S243" s="190"/>
      <c r="T243" s="190"/>
      <c r="U243" s="210"/>
      <c r="V243" s="209" t="s">
        <v>2694</v>
      </c>
      <c r="W243" s="238" t="s">
        <v>2695</v>
      </c>
      <c r="X243" s="239" t="s">
        <v>2696</v>
      </c>
      <c r="Y243" s="209" t="s">
        <v>764</v>
      </c>
      <c r="Z243" s="209" t="s">
        <v>806</v>
      </c>
      <c r="AA243" s="237" t="s">
        <v>797</v>
      </c>
      <c r="AB243" s="231"/>
      <c r="AC243" s="231"/>
      <c r="AD243" s="231"/>
      <c r="AE243" s="231"/>
      <c r="AF243" s="231"/>
      <c r="AG243" s="231"/>
      <c r="AH243" s="231"/>
      <c r="AJ243" s="231"/>
      <c r="AK243" s="232"/>
      <c r="AL243" s="231"/>
      <c r="AM243" s="232"/>
      <c r="AN243" s="231"/>
      <c r="AO243" s="232"/>
      <c r="AP243" s="232"/>
      <c r="AQ243" s="232"/>
      <c r="AR243" s="232"/>
      <c r="AS243" s="232"/>
      <c r="AT243" s="232"/>
      <c r="AU243" s="232"/>
      <c r="AV243" s="232"/>
      <c r="AW243" s="231"/>
      <c r="AX243" s="231"/>
      <c r="AY243" s="231"/>
      <c r="AZ243" s="231"/>
      <c r="BA243" s="231"/>
      <c r="BB243" s="231"/>
      <c r="BC243" s="232"/>
      <c r="BD243" s="232"/>
      <c r="BE243" s="232"/>
      <c r="BF243" s="232"/>
      <c r="BG243" s="232"/>
      <c r="BH243" s="232"/>
      <c r="BI243" s="232"/>
      <c r="BJ243" s="232"/>
      <c r="BK243" s="232"/>
      <c r="BL243" s="232"/>
      <c r="BM243" s="232"/>
      <c r="BN243" s="232"/>
      <c r="BO243" s="232"/>
      <c r="BP243" s="232"/>
      <c r="BQ243" s="232"/>
      <c r="BR243" s="232"/>
      <c r="BS243" s="231"/>
      <c r="BT243" s="231"/>
      <c r="BU243" s="231"/>
      <c r="BV243" s="231"/>
      <c r="BW243" s="231"/>
      <c r="BX243" s="231"/>
      <c r="BY243" s="232"/>
      <c r="BZ243" s="232"/>
      <c r="CA243" s="231"/>
      <c r="CB243" s="231"/>
      <c r="CC243" s="231"/>
      <c r="CD243" s="231"/>
      <c r="CE243" s="232"/>
      <c r="CF243" s="232"/>
      <c r="CG243" s="232"/>
      <c r="CH243" s="231"/>
      <c r="CI243" s="232"/>
      <c r="CJ243" s="232"/>
      <c r="CK243" s="232"/>
      <c r="CL243" s="232"/>
      <c r="CM243" s="232"/>
      <c r="CN243" s="232"/>
      <c r="CO243" s="232"/>
      <c r="CP243" s="232"/>
      <c r="CQ243" s="232"/>
      <c r="CR243" s="232"/>
      <c r="CS243" s="232"/>
      <c r="CT243" s="232"/>
    </row>
    <row r="244" ht="24.0" customHeight="1">
      <c r="A244" s="184" t="s">
        <v>325</v>
      </c>
      <c r="B244" s="184" t="s">
        <v>742</v>
      </c>
      <c r="C244" s="184" t="s">
        <v>649</v>
      </c>
      <c r="D244" s="184" t="s">
        <v>2431</v>
      </c>
      <c r="E244" s="186" t="s">
        <v>2652</v>
      </c>
      <c r="F244" s="186" t="s">
        <v>2432</v>
      </c>
      <c r="G244" s="185">
        <v>35.0</v>
      </c>
      <c r="H244" s="209" t="s">
        <v>2697</v>
      </c>
      <c r="I244" s="209" t="s">
        <v>2698</v>
      </c>
      <c r="J244" s="209" t="s">
        <v>2699</v>
      </c>
      <c r="K244" s="209" t="s">
        <v>770</v>
      </c>
      <c r="L244" s="209" t="s">
        <v>2700</v>
      </c>
      <c r="M244" s="209" t="s">
        <v>2701</v>
      </c>
      <c r="N244" s="209" t="s">
        <v>752</v>
      </c>
      <c r="O244" s="237" t="s">
        <v>773</v>
      </c>
      <c r="P244" s="190"/>
      <c r="Q244" s="190"/>
      <c r="R244" s="190"/>
      <c r="S244" s="190"/>
      <c r="T244" s="190"/>
      <c r="U244" s="210"/>
      <c r="V244" s="209" t="s">
        <v>832</v>
      </c>
      <c r="W244" s="238" t="s">
        <v>833</v>
      </c>
      <c r="X244" s="239" t="s">
        <v>834</v>
      </c>
      <c r="Y244" s="209" t="s">
        <v>773</v>
      </c>
      <c r="Z244" s="209" t="s">
        <v>806</v>
      </c>
      <c r="AA244" s="237" t="s">
        <v>757</v>
      </c>
      <c r="AB244" s="231"/>
      <c r="AC244" s="231"/>
      <c r="AD244" s="231"/>
      <c r="AE244" s="231"/>
      <c r="AF244" s="231"/>
      <c r="AG244" s="231"/>
      <c r="AH244" s="231"/>
      <c r="AJ244" s="231"/>
      <c r="AK244" s="232"/>
      <c r="AL244" s="231"/>
      <c r="AM244" s="232"/>
      <c r="AN244" s="231"/>
      <c r="AO244" s="232"/>
      <c r="AP244" s="232"/>
      <c r="AQ244" s="232"/>
      <c r="AR244" s="232"/>
      <c r="AS244" s="232"/>
      <c r="AT244" s="232"/>
      <c r="AU244" s="232"/>
      <c r="AV244" s="232"/>
      <c r="AW244" s="231"/>
      <c r="AX244" s="231"/>
      <c r="AY244" s="231"/>
      <c r="AZ244" s="231"/>
      <c r="BA244" s="231"/>
      <c r="BB244" s="231"/>
      <c r="BC244" s="232"/>
      <c r="BD244" s="232"/>
      <c r="BE244" s="232"/>
      <c r="BF244" s="232"/>
      <c r="BG244" s="232"/>
      <c r="BH244" s="232"/>
      <c r="BI244" s="232"/>
      <c r="BJ244" s="232"/>
      <c r="BK244" s="232"/>
      <c r="BL244" s="232"/>
      <c r="BM244" s="232"/>
      <c r="BN244" s="232"/>
      <c r="BO244" s="232"/>
      <c r="BP244" s="232"/>
      <c r="BQ244" s="232"/>
      <c r="BR244" s="232"/>
      <c r="BS244" s="231"/>
      <c r="BT244" s="231"/>
      <c r="BU244" s="231"/>
      <c r="BV244" s="231"/>
      <c r="BW244" s="231"/>
      <c r="BX244" s="231"/>
      <c r="BY244" s="231"/>
      <c r="BZ244" s="231"/>
      <c r="CA244" s="231"/>
      <c r="CB244" s="231"/>
      <c r="CC244" s="231"/>
      <c r="CD244" s="231"/>
      <c r="CE244" s="232"/>
      <c r="CF244" s="232"/>
      <c r="CG244" s="232"/>
      <c r="CH244" s="231"/>
      <c r="CI244" s="232"/>
      <c r="CJ244" s="232"/>
      <c r="CK244" s="232"/>
      <c r="CL244" s="232"/>
      <c r="CM244" s="232"/>
      <c r="CN244" s="232"/>
      <c r="CO244" s="232"/>
      <c r="CP244" s="232"/>
      <c r="CQ244" s="232"/>
      <c r="CR244" s="232"/>
      <c r="CS244" s="232"/>
      <c r="CT244" s="232"/>
    </row>
    <row r="245" ht="24.0" customHeight="1">
      <c r="A245" s="184" t="s">
        <v>333</v>
      </c>
      <c r="B245" s="184" t="s">
        <v>742</v>
      </c>
      <c r="C245" s="184" t="s">
        <v>650</v>
      </c>
      <c r="D245" s="184" t="s">
        <v>2431</v>
      </c>
      <c r="E245" s="186" t="s">
        <v>1543</v>
      </c>
      <c r="F245" s="186" t="s">
        <v>2432</v>
      </c>
      <c r="G245" s="185">
        <v>36.0</v>
      </c>
      <c r="H245" s="209" t="s">
        <v>2702</v>
      </c>
      <c r="I245" s="209" t="s">
        <v>2703</v>
      </c>
      <c r="J245" s="209" t="s">
        <v>2704</v>
      </c>
      <c r="K245" s="209" t="s">
        <v>2608</v>
      </c>
      <c r="L245" s="209" t="s">
        <v>2705</v>
      </c>
      <c r="M245" s="209" t="s">
        <v>2706</v>
      </c>
      <c r="N245" s="209" t="s">
        <v>752</v>
      </c>
      <c r="O245" s="209" t="s">
        <v>773</v>
      </c>
      <c r="P245" s="210"/>
      <c r="Q245" s="190"/>
      <c r="R245" s="190"/>
      <c r="S245" s="190"/>
      <c r="T245" s="190"/>
      <c r="U245" s="210"/>
      <c r="V245" s="209" t="s">
        <v>841</v>
      </c>
      <c r="W245" s="238" t="s">
        <v>842</v>
      </c>
      <c r="X245" s="239" t="s">
        <v>843</v>
      </c>
      <c r="Y245" s="209" t="s">
        <v>773</v>
      </c>
      <c r="Z245" s="209" t="s">
        <v>806</v>
      </c>
      <c r="AA245" s="237" t="s">
        <v>797</v>
      </c>
      <c r="AB245" s="231"/>
      <c r="AC245" s="231"/>
      <c r="AD245" s="231"/>
      <c r="AE245" s="231"/>
      <c r="AF245" s="231"/>
      <c r="AG245" s="231"/>
      <c r="AH245" s="231"/>
      <c r="AJ245" s="231"/>
      <c r="AK245" s="232"/>
      <c r="AL245" s="231"/>
      <c r="AM245" s="232"/>
      <c r="AN245" s="231"/>
      <c r="AO245" s="232"/>
      <c r="AP245" s="232"/>
      <c r="AQ245" s="232"/>
      <c r="AR245" s="232"/>
      <c r="AS245" s="232"/>
      <c r="AT245" s="232"/>
      <c r="AU245" s="232"/>
      <c r="AV245" s="232"/>
      <c r="AW245" s="231"/>
      <c r="AX245" s="231"/>
      <c r="AY245" s="231"/>
      <c r="AZ245" s="231"/>
      <c r="BA245" s="231"/>
      <c r="BB245" s="231"/>
      <c r="BC245" s="231"/>
      <c r="BD245" s="231"/>
      <c r="BE245" s="231"/>
      <c r="BF245" s="231"/>
      <c r="BG245" s="231"/>
      <c r="BH245" s="231"/>
      <c r="BI245" s="232"/>
      <c r="BJ245" s="232"/>
      <c r="BK245" s="232"/>
      <c r="BL245" s="232"/>
      <c r="BM245" s="232"/>
      <c r="BN245" s="232"/>
      <c r="BO245" s="232"/>
      <c r="BP245" s="232"/>
      <c r="BQ245" s="232"/>
      <c r="BR245" s="232"/>
      <c r="BS245" s="231"/>
      <c r="BT245" s="231"/>
      <c r="BU245" s="231"/>
      <c r="BV245" s="231"/>
      <c r="BW245" s="231"/>
      <c r="BX245" s="231"/>
      <c r="BY245" s="231"/>
      <c r="BZ245" s="232"/>
      <c r="CA245" s="231"/>
      <c r="CB245" s="231"/>
      <c r="CC245" s="231"/>
      <c r="CD245" s="231"/>
      <c r="CE245" s="232"/>
      <c r="CF245" s="232"/>
      <c r="CG245" s="232"/>
      <c r="CH245" s="231"/>
      <c r="CI245" s="232"/>
      <c r="CJ245" s="232"/>
      <c r="CK245" s="231"/>
      <c r="CL245" s="233"/>
      <c r="CM245" s="232"/>
      <c r="CN245" s="232"/>
      <c r="CO245" s="232"/>
      <c r="CP245" s="232"/>
      <c r="CQ245" s="232"/>
      <c r="CR245" s="232"/>
      <c r="CS245" s="232"/>
      <c r="CT245" s="232"/>
    </row>
    <row r="246" ht="24.0" customHeight="1">
      <c r="A246" s="184" t="s">
        <v>336</v>
      </c>
      <c r="B246" s="184" t="s">
        <v>742</v>
      </c>
      <c r="C246" s="184" t="s">
        <v>650</v>
      </c>
      <c r="D246" s="184" t="s">
        <v>2431</v>
      </c>
      <c r="E246" s="186" t="s">
        <v>1543</v>
      </c>
      <c r="F246" s="186" t="s">
        <v>2432</v>
      </c>
      <c r="G246" s="185">
        <v>37.0</v>
      </c>
      <c r="H246" s="209" t="s">
        <v>2707</v>
      </c>
      <c r="I246" s="209" t="s">
        <v>2708</v>
      </c>
      <c r="J246" s="209" t="s">
        <v>2709</v>
      </c>
      <c r="K246" s="209" t="s">
        <v>2710</v>
      </c>
      <c r="L246" s="209" t="s">
        <v>2711</v>
      </c>
      <c r="M246" s="209" t="s">
        <v>2712</v>
      </c>
      <c r="N246" s="209" t="s">
        <v>752</v>
      </c>
      <c r="O246" s="209" t="s">
        <v>764</v>
      </c>
      <c r="P246" s="190"/>
      <c r="Q246" s="190"/>
      <c r="R246" s="190"/>
      <c r="S246" s="190"/>
      <c r="T246" s="190"/>
      <c r="U246" s="210"/>
      <c r="V246" s="209" t="s">
        <v>1608</v>
      </c>
      <c r="W246" s="238" t="s">
        <v>1609</v>
      </c>
      <c r="X246" s="239" t="s">
        <v>1610</v>
      </c>
      <c r="Y246" s="209" t="s">
        <v>784</v>
      </c>
      <c r="Z246" s="209" t="s">
        <v>1543</v>
      </c>
      <c r="AA246" s="237" t="s">
        <v>757</v>
      </c>
      <c r="AB246" s="231"/>
      <c r="AC246" s="231"/>
      <c r="AD246" s="231"/>
      <c r="AE246" s="231"/>
      <c r="AF246" s="231"/>
      <c r="AG246" s="231"/>
      <c r="AH246" s="231"/>
      <c r="AJ246" s="231"/>
      <c r="AK246" s="232"/>
      <c r="AL246" s="231"/>
      <c r="AM246" s="232"/>
      <c r="AN246" s="231"/>
      <c r="AO246" s="232"/>
      <c r="AP246" s="232"/>
      <c r="AQ246" s="232"/>
      <c r="AR246" s="232"/>
      <c r="AS246" s="232"/>
      <c r="AT246" s="232"/>
      <c r="AU246" s="232"/>
      <c r="AV246" s="232"/>
      <c r="AW246" s="231"/>
      <c r="AX246" s="231"/>
      <c r="AY246" s="231"/>
      <c r="AZ246" s="231"/>
      <c r="BA246" s="231"/>
      <c r="BB246" s="231"/>
      <c r="BC246" s="232"/>
      <c r="BD246" s="232"/>
      <c r="BE246" s="232"/>
      <c r="BF246" s="232"/>
      <c r="BG246" s="231"/>
      <c r="BH246" s="231"/>
      <c r="BI246" s="231"/>
      <c r="BJ246" s="231"/>
      <c r="BK246" s="232"/>
      <c r="BL246" s="232"/>
      <c r="BM246" s="232"/>
      <c r="BN246" s="232"/>
      <c r="BO246" s="232"/>
      <c r="BP246" s="232"/>
      <c r="BQ246" s="232"/>
      <c r="BR246" s="232"/>
      <c r="BS246" s="231"/>
      <c r="BT246" s="231"/>
      <c r="BU246" s="231"/>
      <c r="BV246" s="231"/>
      <c r="BW246" s="231"/>
      <c r="BX246" s="231"/>
      <c r="BY246" s="231"/>
      <c r="BZ246" s="231"/>
      <c r="CA246" s="231"/>
      <c r="CB246" s="231"/>
      <c r="CC246" s="231"/>
      <c r="CD246" s="231"/>
      <c r="CE246" s="232"/>
      <c r="CF246" s="232"/>
      <c r="CG246" s="232"/>
      <c r="CH246" s="231"/>
      <c r="CI246" s="232"/>
      <c r="CJ246" s="232"/>
      <c r="CK246" s="232"/>
      <c r="CL246" s="232"/>
      <c r="CM246" s="232"/>
      <c r="CN246" s="232"/>
      <c r="CO246" s="232"/>
      <c r="CP246" s="232"/>
      <c r="CQ246" s="232"/>
      <c r="CR246" s="232"/>
      <c r="CS246" s="232"/>
      <c r="CT246" s="232"/>
    </row>
    <row r="247" ht="24.0" customHeight="1">
      <c r="A247" s="184" t="s">
        <v>337</v>
      </c>
      <c r="B247" s="184" t="s">
        <v>742</v>
      </c>
      <c r="C247" s="184" t="s">
        <v>650</v>
      </c>
      <c r="D247" s="184" t="s">
        <v>2431</v>
      </c>
      <c r="E247" s="186" t="s">
        <v>1543</v>
      </c>
      <c r="F247" s="186" t="s">
        <v>2432</v>
      </c>
      <c r="G247" s="185">
        <v>38.0</v>
      </c>
      <c r="H247" s="209" t="s">
        <v>2713</v>
      </c>
      <c r="I247" s="209" t="s">
        <v>2714</v>
      </c>
      <c r="J247" s="209" t="s">
        <v>2715</v>
      </c>
      <c r="K247" s="209" t="s">
        <v>2716</v>
      </c>
      <c r="L247" s="209" t="s">
        <v>2717</v>
      </c>
      <c r="M247" s="209" t="s">
        <v>2718</v>
      </c>
      <c r="N247" s="209" t="s">
        <v>752</v>
      </c>
      <c r="O247" s="209" t="s">
        <v>764</v>
      </c>
      <c r="P247" s="190"/>
      <c r="Q247" s="190"/>
      <c r="R247" s="190"/>
      <c r="S247" s="190"/>
      <c r="T247" s="190"/>
      <c r="U247" s="210"/>
      <c r="V247" s="209" t="s">
        <v>2719</v>
      </c>
      <c r="W247" s="238" t="s">
        <v>2720</v>
      </c>
      <c r="X247" s="239" t="s">
        <v>2721</v>
      </c>
      <c r="Y247" s="209" t="s">
        <v>764</v>
      </c>
      <c r="Z247" s="209" t="s">
        <v>1543</v>
      </c>
      <c r="AA247" s="237" t="s">
        <v>2377</v>
      </c>
      <c r="AB247" s="231"/>
      <c r="AC247" s="231"/>
      <c r="AD247" s="231"/>
      <c r="AE247" s="231"/>
      <c r="AF247" s="231"/>
      <c r="AG247" s="231"/>
      <c r="AH247" s="231"/>
      <c r="AJ247" s="231"/>
      <c r="AK247" s="232"/>
      <c r="AL247" s="231"/>
      <c r="AM247" s="232"/>
      <c r="AN247" s="231"/>
      <c r="AO247" s="232"/>
      <c r="AP247" s="232"/>
      <c r="AQ247" s="232"/>
      <c r="AR247" s="232"/>
      <c r="AS247" s="232"/>
      <c r="AT247" s="232"/>
      <c r="AU247" s="232"/>
      <c r="AV247" s="232"/>
      <c r="AW247" s="231"/>
      <c r="AX247" s="231"/>
      <c r="AY247" s="231"/>
      <c r="AZ247" s="231"/>
      <c r="BA247" s="231"/>
      <c r="BB247" s="231"/>
      <c r="BC247" s="231"/>
      <c r="BD247" s="231"/>
      <c r="BE247" s="231"/>
      <c r="BF247" s="231"/>
      <c r="BG247" s="232"/>
      <c r="BH247" s="232"/>
      <c r="BI247" s="232"/>
      <c r="BJ247" s="232"/>
      <c r="BK247" s="232"/>
      <c r="BL247" s="232"/>
      <c r="BM247" s="232"/>
      <c r="BN247" s="232"/>
      <c r="BO247" s="232"/>
      <c r="BP247" s="232"/>
      <c r="BQ247" s="232"/>
      <c r="BR247" s="232"/>
      <c r="BS247" s="231"/>
      <c r="BT247" s="231"/>
      <c r="BU247" s="231"/>
      <c r="BV247" s="231"/>
      <c r="BW247" s="231"/>
      <c r="BX247" s="231"/>
      <c r="BY247" s="231"/>
      <c r="BZ247" s="232"/>
      <c r="CA247" s="231"/>
      <c r="CB247" s="231"/>
      <c r="CC247" s="231"/>
      <c r="CD247" s="231"/>
      <c r="CE247" s="232"/>
      <c r="CF247" s="232"/>
      <c r="CG247" s="232"/>
      <c r="CH247" s="231"/>
      <c r="CI247" s="232"/>
      <c r="CJ247" s="232"/>
      <c r="CK247" s="232"/>
      <c r="CL247" s="235"/>
      <c r="CM247" s="232"/>
      <c r="CN247" s="232"/>
      <c r="CO247" s="232"/>
      <c r="CP247" s="232"/>
      <c r="CQ247" s="232"/>
      <c r="CR247" s="232"/>
      <c r="CS247" s="232"/>
      <c r="CT247" s="232"/>
    </row>
    <row r="248" ht="24.0" customHeight="1">
      <c r="A248" s="220" t="s">
        <v>332</v>
      </c>
      <c r="B248" s="220" t="s">
        <v>742</v>
      </c>
      <c r="C248" s="220" t="s">
        <v>650</v>
      </c>
      <c r="D248" s="184" t="s">
        <v>2431</v>
      </c>
      <c r="E248" s="221" t="s">
        <v>1543</v>
      </c>
      <c r="F248" s="186" t="s">
        <v>2432</v>
      </c>
      <c r="G248" s="225">
        <v>39.0</v>
      </c>
      <c r="H248" s="241" t="s">
        <v>2722</v>
      </c>
      <c r="I248" s="241" t="s">
        <v>2723</v>
      </c>
      <c r="J248" s="241" t="s">
        <v>2724</v>
      </c>
      <c r="K248" s="241" t="s">
        <v>1398</v>
      </c>
      <c r="L248" s="241" t="s">
        <v>2725</v>
      </c>
      <c r="M248" s="241" t="s">
        <v>2726</v>
      </c>
      <c r="N248" s="241" t="s">
        <v>752</v>
      </c>
      <c r="O248" s="241" t="s">
        <v>764</v>
      </c>
      <c r="P248" s="190"/>
      <c r="Q248" s="190"/>
      <c r="R248" s="190"/>
      <c r="S248" s="190"/>
      <c r="T248" s="190"/>
      <c r="U248" s="210"/>
      <c r="V248" s="241" t="s">
        <v>1219</v>
      </c>
      <c r="W248" s="242" t="s">
        <v>1401</v>
      </c>
      <c r="X248" s="243" t="s">
        <v>1402</v>
      </c>
      <c r="Y248" s="241" t="s">
        <v>764</v>
      </c>
      <c r="Z248" s="241" t="s">
        <v>1543</v>
      </c>
      <c r="AA248" s="244" t="s">
        <v>757</v>
      </c>
      <c r="AB248" s="231"/>
      <c r="AC248" s="231"/>
      <c r="AD248" s="231"/>
      <c r="AE248" s="231"/>
      <c r="AF248" s="231"/>
      <c r="AG248" s="231"/>
      <c r="AH248" s="231"/>
      <c r="AJ248" s="231"/>
      <c r="AK248" s="232"/>
      <c r="AL248" s="231"/>
      <c r="AM248" s="232"/>
      <c r="AN248" s="231"/>
      <c r="AO248" s="232"/>
      <c r="AP248" s="232"/>
      <c r="AQ248" s="232"/>
      <c r="AR248" s="232"/>
      <c r="AS248" s="232"/>
      <c r="AT248" s="232"/>
      <c r="AU248" s="232"/>
      <c r="AV248" s="232"/>
      <c r="AW248" s="231"/>
      <c r="AX248" s="231"/>
      <c r="AY248" s="231"/>
      <c r="AZ248" s="231"/>
      <c r="BA248" s="231"/>
      <c r="BB248" s="231"/>
      <c r="BC248" s="232"/>
      <c r="BD248" s="232"/>
      <c r="BE248" s="232"/>
      <c r="BF248" s="232"/>
      <c r="BG248" s="231"/>
      <c r="BH248" s="231"/>
      <c r="BI248" s="231"/>
      <c r="BJ248" s="231"/>
      <c r="BK248" s="232"/>
      <c r="BL248" s="232"/>
      <c r="BM248" s="232"/>
      <c r="BN248" s="232"/>
      <c r="BO248" s="232"/>
      <c r="BP248" s="232"/>
      <c r="BQ248" s="232"/>
      <c r="BR248" s="232"/>
      <c r="BS248" s="231"/>
      <c r="BT248" s="231"/>
      <c r="BU248" s="231"/>
      <c r="BV248" s="231"/>
      <c r="BW248" s="231"/>
      <c r="BX248" s="231"/>
      <c r="BY248" s="232"/>
      <c r="BZ248" s="231"/>
      <c r="CA248" s="231"/>
      <c r="CB248" s="231"/>
      <c r="CC248" s="231"/>
      <c r="CD248" s="231"/>
      <c r="CE248" s="232"/>
      <c r="CF248" s="232"/>
      <c r="CG248" s="232"/>
      <c r="CH248" s="231"/>
      <c r="CI248" s="232"/>
      <c r="CJ248" s="232"/>
      <c r="CK248" s="232"/>
      <c r="CL248" s="232"/>
      <c r="CM248" s="232"/>
      <c r="CN248" s="232"/>
      <c r="CO248" s="232"/>
      <c r="CP248" s="232"/>
      <c r="CQ248" s="232"/>
      <c r="CR248" s="232"/>
      <c r="CS248" s="232"/>
      <c r="CT248" s="232"/>
    </row>
    <row r="249" ht="24.0" customHeight="1">
      <c r="A249" s="184" t="s">
        <v>335</v>
      </c>
      <c r="B249" s="184" t="s">
        <v>742</v>
      </c>
      <c r="C249" s="184" t="s">
        <v>650</v>
      </c>
      <c r="D249" s="184" t="s">
        <v>2431</v>
      </c>
      <c r="E249" s="186" t="s">
        <v>1543</v>
      </c>
      <c r="F249" s="186" t="s">
        <v>2432</v>
      </c>
      <c r="G249" s="185">
        <v>40.0</v>
      </c>
      <c r="H249" s="209" t="s">
        <v>2727</v>
      </c>
      <c r="I249" s="209" t="s">
        <v>2728</v>
      </c>
      <c r="J249" s="209" t="s">
        <v>2729</v>
      </c>
      <c r="K249" s="209" t="s">
        <v>2730</v>
      </c>
      <c r="L249" s="209" t="s">
        <v>2731</v>
      </c>
      <c r="M249" s="209" t="s">
        <v>2732</v>
      </c>
      <c r="N249" s="209" t="s">
        <v>752</v>
      </c>
      <c r="O249" s="209" t="s">
        <v>764</v>
      </c>
      <c r="P249" s="190"/>
      <c r="Q249" s="190"/>
      <c r="R249" s="190"/>
      <c r="S249" s="190"/>
      <c r="T249" s="190"/>
      <c r="U249" s="210"/>
      <c r="V249" s="209" t="s">
        <v>1967</v>
      </c>
      <c r="W249" s="238" t="s">
        <v>2008</v>
      </c>
      <c r="X249" s="239" t="s">
        <v>2009</v>
      </c>
      <c r="Y249" s="209" t="s">
        <v>764</v>
      </c>
      <c r="Z249" s="209" t="s">
        <v>1543</v>
      </c>
      <c r="AA249" s="237" t="s">
        <v>757</v>
      </c>
      <c r="AB249" s="231"/>
      <c r="AC249" s="231"/>
      <c r="AD249" s="231"/>
      <c r="AE249" s="231"/>
      <c r="AF249" s="231"/>
      <c r="AG249" s="231"/>
      <c r="AH249" s="231"/>
      <c r="AJ249" s="231"/>
      <c r="AK249" s="232"/>
      <c r="AL249" s="231"/>
      <c r="AM249" s="232"/>
      <c r="AN249" s="231"/>
      <c r="AO249" s="232"/>
      <c r="AP249" s="232"/>
      <c r="AQ249" s="232"/>
      <c r="AR249" s="232"/>
      <c r="AS249" s="232"/>
      <c r="AT249" s="232"/>
      <c r="AU249" s="232"/>
      <c r="AV249" s="232"/>
      <c r="AW249" s="231"/>
      <c r="AX249" s="231"/>
      <c r="AY249" s="231"/>
      <c r="AZ249" s="231"/>
      <c r="BA249" s="231"/>
      <c r="BB249" s="231"/>
      <c r="BC249" s="232"/>
      <c r="BD249" s="232"/>
      <c r="BE249" s="232"/>
      <c r="BF249" s="232"/>
      <c r="BG249" s="231"/>
      <c r="BH249" s="231"/>
      <c r="BI249" s="231"/>
      <c r="BJ249" s="231"/>
      <c r="BK249" s="231"/>
      <c r="BL249" s="231"/>
      <c r="BM249" s="231"/>
      <c r="BN249" s="231"/>
      <c r="BO249" s="231"/>
      <c r="BP249" s="231"/>
      <c r="BQ249" s="232"/>
      <c r="BR249" s="232"/>
      <c r="BS249" s="231"/>
      <c r="BT249" s="231"/>
      <c r="BU249" s="231"/>
      <c r="BV249" s="231"/>
      <c r="BW249" s="231"/>
      <c r="BX249" s="231"/>
      <c r="BY249" s="231"/>
      <c r="BZ249" s="231"/>
      <c r="CA249" s="231"/>
      <c r="CB249" s="231"/>
      <c r="CC249" s="231"/>
      <c r="CD249" s="231"/>
      <c r="CE249" s="232"/>
      <c r="CF249" s="232"/>
      <c r="CG249" s="232"/>
      <c r="CH249" s="231"/>
      <c r="CI249" s="232"/>
      <c r="CJ249" s="232"/>
      <c r="CK249" s="231"/>
      <c r="CL249" s="233"/>
      <c r="CM249" s="232"/>
      <c r="CN249" s="232"/>
      <c r="CO249" s="232"/>
      <c r="CP249" s="232"/>
      <c r="CQ249" s="232"/>
      <c r="CR249" s="232"/>
      <c r="CS249" s="232"/>
      <c r="CT249" s="232"/>
    </row>
    <row r="250" ht="24.0" customHeight="1">
      <c r="A250" s="184" t="s">
        <v>342</v>
      </c>
      <c r="B250" s="184" t="s">
        <v>742</v>
      </c>
      <c r="C250" s="184" t="s">
        <v>651</v>
      </c>
      <c r="D250" s="184" t="s">
        <v>2431</v>
      </c>
      <c r="E250" s="186" t="s">
        <v>1105</v>
      </c>
      <c r="F250" s="186" t="s">
        <v>2432</v>
      </c>
      <c r="G250" s="185">
        <v>41.0</v>
      </c>
      <c r="H250" s="209" t="s">
        <v>2733</v>
      </c>
      <c r="I250" s="209" t="s">
        <v>2734</v>
      </c>
      <c r="J250" s="209" t="s">
        <v>2735</v>
      </c>
      <c r="K250" s="209" t="s">
        <v>2736</v>
      </c>
      <c r="L250" s="209" t="s">
        <v>2737</v>
      </c>
      <c r="M250" s="209" t="s">
        <v>2738</v>
      </c>
      <c r="N250" s="209" t="s">
        <v>752</v>
      </c>
      <c r="O250" s="209" t="s">
        <v>764</v>
      </c>
      <c r="P250" s="190"/>
      <c r="Q250" s="190"/>
      <c r="R250" s="190"/>
      <c r="S250" s="190"/>
      <c r="T250" s="190"/>
      <c r="U250" s="210"/>
      <c r="V250" s="209" t="s">
        <v>884</v>
      </c>
      <c r="W250" s="238" t="s">
        <v>885</v>
      </c>
      <c r="X250" s="239" t="s">
        <v>886</v>
      </c>
      <c r="Y250" s="209" t="s">
        <v>764</v>
      </c>
      <c r="Z250" s="209" t="s">
        <v>1105</v>
      </c>
      <c r="AA250" s="237" t="s">
        <v>757</v>
      </c>
      <c r="AB250" s="231"/>
      <c r="AC250" s="231"/>
      <c r="AD250" s="231"/>
      <c r="AE250" s="231"/>
      <c r="AF250" s="231"/>
      <c r="AG250" s="231"/>
      <c r="AH250" s="231"/>
      <c r="AJ250" s="231"/>
      <c r="AK250" s="232"/>
      <c r="AL250" s="231"/>
      <c r="AM250" s="232"/>
      <c r="AN250" s="231"/>
      <c r="AO250" s="232"/>
      <c r="AP250" s="232"/>
      <c r="AQ250" s="232"/>
      <c r="AR250" s="232"/>
      <c r="AS250" s="232"/>
      <c r="AT250" s="232"/>
      <c r="AU250" s="232"/>
      <c r="AV250" s="232"/>
      <c r="AW250" s="231"/>
      <c r="AX250" s="231"/>
      <c r="AY250" s="231"/>
      <c r="AZ250" s="231"/>
      <c r="BA250" s="231"/>
      <c r="BB250" s="231"/>
      <c r="BC250" s="232"/>
      <c r="BD250" s="232"/>
      <c r="BE250" s="232"/>
      <c r="BF250" s="232"/>
      <c r="BG250" s="231"/>
      <c r="BH250" s="231"/>
      <c r="BI250" s="231"/>
      <c r="BJ250" s="231"/>
      <c r="BK250" s="232"/>
      <c r="BL250" s="232"/>
      <c r="BM250" s="232"/>
      <c r="BN250" s="232"/>
      <c r="BO250" s="232"/>
      <c r="BP250" s="232"/>
      <c r="BQ250" s="232"/>
      <c r="BR250" s="232"/>
      <c r="BS250" s="231"/>
      <c r="BT250" s="231"/>
      <c r="BU250" s="231"/>
      <c r="BV250" s="231"/>
      <c r="BW250" s="231"/>
      <c r="BX250" s="231"/>
      <c r="BY250" s="231"/>
      <c r="BZ250" s="232"/>
      <c r="CA250" s="231"/>
      <c r="CB250" s="231"/>
      <c r="CC250" s="231"/>
      <c r="CD250" s="231"/>
      <c r="CE250" s="232"/>
      <c r="CF250" s="232"/>
      <c r="CG250" s="232"/>
      <c r="CH250" s="231"/>
      <c r="CI250" s="232"/>
      <c r="CJ250" s="232"/>
      <c r="CK250" s="231"/>
      <c r="CL250" s="233"/>
      <c r="CM250" s="232"/>
      <c r="CN250" s="232"/>
      <c r="CO250" s="232"/>
      <c r="CP250" s="232"/>
      <c r="CQ250" s="232"/>
      <c r="CR250" s="232"/>
      <c r="CS250" s="232"/>
      <c r="CT250" s="232"/>
    </row>
    <row r="251" ht="24.0" customHeight="1">
      <c r="A251" s="184" t="s">
        <v>339</v>
      </c>
      <c r="B251" s="184" t="s">
        <v>742</v>
      </c>
      <c r="C251" s="184" t="s">
        <v>651</v>
      </c>
      <c r="D251" s="184" t="s">
        <v>2431</v>
      </c>
      <c r="E251" s="186" t="s">
        <v>1105</v>
      </c>
      <c r="F251" s="186" t="s">
        <v>2432</v>
      </c>
      <c r="G251" s="185">
        <v>42.0</v>
      </c>
      <c r="H251" s="209" t="s">
        <v>1549</v>
      </c>
      <c r="I251" s="209" t="s">
        <v>2739</v>
      </c>
      <c r="J251" s="209" t="s">
        <v>2740</v>
      </c>
      <c r="K251" s="209" t="s">
        <v>1338</v>
      </c>
      <c r="L251" s="209" t="s">
        <v>2741</v>
      </c>
      <c r="M251" s="209" t="s">
        <v>2742</v>
      </c>
      <c r="N251" s="209" t="s">
        <v>752</v>
      </c>
      <c r="O251" s="209" t="s">
        <v>764</v>
      </c>
      <c r="P251" s="237" t="s">
        <v>1875</v>
      </c>
      <c r="Q251" s="237" t="s">
        <v>2561</v>
      </c>
      <c r="R251" s="190"/>
      <c r="S251" s="190"/>
      <c r="T251" s="190"/>
      <c r="U251" s="210"/>
      <c r="V251" s="209" t="s">
        <v>2743</v>
      </c>
      <c r="W251" s="238" t="s">
        <v>2744</v>
      </c>
      <c r="X251" s="239" t="s">
        <v>2745</v>
      </c>
      <c r="Y251" s="209" t="s">
        <v>764</v>
      </c>
      <c r="Z251" s="209" t="s">
        <v>1105</v>
      </c>
      <c r="AA251" s="237" t="s">
        <v>797</v>
      </c>
      <c r="AB251" s="231"/>
      <c r="AC251" s="231"/>
      <c r="AD251" s="231"/>
      <c r="AE251" s="231"/>
      <c r="AF251" s="231"/>
      <c r="AG251" s="231"/>
      <c r="AH251" s="231"/>
      <c r="AJ251" s="231"/>
      <c r="AK251" s="232"/>
      <c r="AL251" s="231"/>
      <c r="AM251" s="232"/>
      <c r="AN251" s="231"/>
      <c r="AO251" s="232"/>
      <c r="AP251" s="232"/>
      <c r="AQ251" s="232"/>
      <c r="AR251" s="232"/>
      <c r="AS251" s="232"/>
      <c r="AT251" s="232"/>
      <c r="AU251" s="232"/>
      <c r="AV251" s="232"/>
      <c r="AW251" s="231"/>
      <c r="AX251" s="231"/>
      <c r="AY251" s="231"/>
      <c r="AZ251" s="231"/>
      <c r="BA251" s="231"/>
      <c r="BB251" s="231"/>
      <c r="BC251" s="232"/>
      <c r="BD251" s="232"/>
      <c r="BE251" s="232"/>
      <c r="BF251" s="232"/>
      <c r="BG251" s="232"/>
      <c r="BH251" s="232"/>
      <c r="BI251" s="232"/>
      <c r="BJ251" s="232"/>
      <c r="BK251" s="232"/>
      <c r="BL251" s="232"/>
      <c r="BM251" s="232"/>
      <c r="BN251" s="232"/>
      <c r="BO251" s="232"/>
      <c r="BP251" s="232"/>
      <c r="BQ251" s="232"/>
      <c r="BR251" s="232"/>
      <c r="BS251" s="231"/>
      <c r="BT251" s="231"/>
      <c r="BU251" s="231"/>
      <c r="BV251" s="231"/>
      <c r="BW251" s="231"/>
      <c r="BX251" s="231"/>
      <c r="BY251" s="232"/>
      <c r="BZ251" s="232"/>
      <c r="CA251" s="231"/>
      <c r="CB251" s="231"/>
      <c r="CC251" s="231"/>
      <c r="CD251" s="231"/>
      <c r="CE251" s="232"/>
      <c r="CF251" s="232"/>
      <c r="CG251" s="232"/>
      <c r="CH251" s="231"/>
      <c r="CI251" s="232"/>
      <c r="CJ251" s="232"/>
      <c r="CK251" s="232"/>
      <c r="CL251" s="232"/>
      <c r="CM251" s="232"/>
      <c r="CN251" s="232"/>
      <c r="CO251" s="232"/>
      <c r="CP251" s="232"/>
      <c r="CQ251" s="232"/>
      <c r="CR251" s="232"/>
      <c r="CS251" s="232"/>
      <c r="CT251" s="232"/>
    </row>
    <row r="252" ht="24.0" customHeight="1">
      <c r="A252" s="184" t="s">
        <v>338</v>
      </c>
      <c r="B252" s="184" t="s">
        <v>742</v>
      </c>
      <c r="C252" s="184" t="s">
        <v>651</v>
      </c>
      <c r="D252" s="184" t="s">
        <v>2431</v>
      </c>
      <c r="E252" s="186" t="s">
        <v>1105</v>
      </c>
      <c r="F252" s="186" t="s">
        <v>2432</v>
      </c>
      <c r="G252" s="185">
        <v>43.0</v>
      </c>
      <c r="H252" s="209" t="s">
        <v>2746</v>
      </c>
      <c r="I252" s="209" t="s">
        <v>2747</v>
      </c>
      <c r="J252" s="209" t="s">
        <v>2748</v>
      </c>
      <c r="K252" s="209" t="s">
        <v>2749</v>
      </c>
      <c r="L252" s="209" t="s">
        <v>2750</v>
      </c>
      <c r="M252" s="209" t="s">
        <v>2751</v>
      </c>
      <c r="N252" s="209" t="s">
        <v>752</v>
      </c>
      <c r="O252" s="209" t="s">
        <v>893</v>
      </c>
      <c r="P252" s="190"/>
      <c r="Q252" s="190"/>
      <c r="R252" s="190"/>
      <c r="S252" s="190"/>
      <c r="T252" s="190"/>
      <c r="U252" s="210"/>
      <c r="V252" s="209" t="s">
        <v>2752</v>
      </c>
      <c r="W252" s="238" t="s">
        <v>2753</v>
      </c>
      <c r="X252" s="239" t="s">
        <v>2754</v>
      </c>
      <c r="Y252" s="209" t="s">
        <v>893</v>
      </c>
      <c r="Z252" s="237" t="s">
        <v>1105</v>
      </c>
      <c r="AA252" s="237" t="s">
        <v>757</v>
      </c>
      <c r="AB252" s="231"/>
      <c r="AC252" s="231"/>
      <c r="AD252" s="231"/>
      <c r="AE252" s="231"/>
      <c r="AF252" s="231"/>
      <c r="AG252" s="231"/>
      <c r="AH252" s="231"/>
      <c r="AJ252" s="231"/>
      <c r="AK252" s="232"/>
      <c r="AL252" s="231"/>
      <c r="AM252" s="232"/>
      <c r="AN252" s="231"/>
      <c r="AO252" s="232"/>
      <c r="AP252" s="232"/>
      <c r="AQ252" s="232"/>
      <c r="AR252" s="232"/>
      <c r="AS252" s="232"/>
      <c r="AT252" s="232"/>
      <c r="AU252" s="232"/>
      <c r="AV252" s="232"/>
      <c r="AW252" s="231"/>
      <c r="AX252" s="231"/>
      <c r="AY252" s="231"/>
      <c r="AZ252" s="231"/>
      <c r="BA252" s="231"/>
      <c r="BB252" s="231"/>
      <c r="BC252" s="232"/>
      <c r="BD252" s="232"/>
      <c r="BE252" s="232"/>
      <c r="BF252" s="232"/>
      <c r="BG252" s="231"/>
      <c r="BH252" s="231"/>
      <c r="BI252" s="231"/>
      <c r="BJ252" s="231"/>
      <c r="BK252" s="231"/>
      <c r="BL252" s="231"/>
      <c r="BM252" s="231"/>
      <c r="BN252" s="231"/>
      <c r="BO252" s="231"/>
      <c r="BP252" s="231"/>
      <c r="BQ252" s="232"/>
      <c r="BR252" s="232"/>
      <c r="BS252" s="231"/>
      <c r="BT252" s="231"/>
      <c r="BU252" s="231"/>
      <c r="BV252" s="231"/>
      <c r="BW252" s="231"/>
      <c r="BX252" s="231"/>
      <c r="BY252" s="232"/>
      <c r="BZ252" s="232"/>
      <c r="CA252" s="231"/>
      <c r="CB252" s="231"/>
      <c r="CC252" s="231"/>
      <c r="CD252" s="231"/>
      <c r="CE252" s="232"/>
      <c r="CF252" s="232"/>
      <c r="CG252" s="232"/>
      <c r="CH252" s="231"/>
      <c r="CI252" s="232"/>
      <c r="CJ252" s="232"/>
      <c r="CK252" s="232"/>
      <c r="CL252" s="232"/>
      <c r="CM252" s="232"/>
      <c r="CN252" s="232"/>
      <c r="CO252" s="232"/>
      <c r="CP252" s="232"/>
      <c r="CQ252" s="232"/>
      <c r="CR252" s="232"/>
      <c r="CS252" s="232"/>
      <c r="CT252" s="232"/>
    </row>
    <row r="253" ht="24.0" customHeight="1">
      <c r="A253" s="184" t="s">
        <v>341</v>
      </c>
      <c r="B253" s="184" t="s">
        <v>742</v>
      </c>
      <c r="C253" s="184" t="s">
        <v>651</v>
      </c>
      <c r="D253" s="184" t="s">
        <v>2431</v>
      </c>
      <c r="E253" s="186" t="s">
        <v>1105</v>
      </c>
      <c r="F253" s="186" t="s">
        <v>2432</v>
      </c>
      <c r="G253" s="185">
        <v>44.0</v>
      </c>
      <c r="H253" s="209" t="s">
        <v>2755</v>
      </c>
      <c r="I253" s="209" t="s">
        <v>1278</v>
      </c>
      <c r="J253" s="209" t="s">
        <v>2756</v>
      </c>
      <c r="K253" s="209" t="s">
        <v>2757</v>
      </c>
      <c r="L253" s="209" t="s">
        <v>2758</v>
      </c>
      <c r="M253" s="209" t="s">
        <v>2759</v>
      </c>
      <c r="N253" s="209" t="s">
        <v>752</v>
      </c>
      <c r="O253" s="209" t="s">
        <v>893</v>
      </c>
      <c r="P253" s="210"/>
      <c r="Q253" s="190"/>
      <c r="R253" s="190"/>
      <c r="S253" s="190"/>
      <c r="T253" s="190"/>
      <c r="U253" s="210"/>
      <c r="V253" s="209" t="s">
        <v>2760</v>
      </c>
      <c r="W253" s="238" t="s">
        <v>2761</v>
      </c>
      <c r="X253" s="239" t="s">
        <v>2762</v>
      </c>
      <c r="Y253" s="209" t="s">
        <v>893</v>
      </c>
      <c r="Z253" s="209" t="s">
        <v>1105</v>
      </c>
      <c r="AA253" s="237" t="s">
        <v>757</v>
      </c>
      <c r="AB253" s="231"/>
      <c r="AC253" s="231"/>
      <c r="AD253" s="231"/>
      <c r="AE253" s="231"/>
      <c r="AF253" s="231"/>
      <c r="AG253" s="231"/>
      <c r="AH253" s="231"/>
      <c r="AJ253" s="231"/>
      <c r="AK253" s="232"/>
      <c r="AL253" s="231"/>
      <c r="AM253" s="232"/>
      <c r="AN253" s="231"/>
      <c r="AO253" s="232"/>
      <c r="AP253" s="232"/>
      <c r="AQ253" s="232"/>
      <c r="AR253" s="232"/>
      <c r="AS253" s="232"/>
      <c r="AT253" s="232"/>
      <c r="AU253" s="232"/>
      <c r="AV253" s="232"/>
      <c r="AW253" s="231"/>
      <c r="AX253" s="231"/>
      <c r="AY253" s="231"/>
      <c r="AZ253" s="231"/>
      <c r="BA253" s="231"/>
      <c r="BB253" s="231"/>
      <c r="BC253" s="232"/>
      <c r="BD253" s="232"/>
      <c r="BE253" s="232"/>
      <c r="BF253" s="232"/>
      <c r="BG253" s="231"/>
      <c r="BH253" s="231"/>
      <c r="BI253" s="231"/>
      <c r="BJ253" s="231"/>
      <c r="BK253" s="231"/>
      <c r="BL253" s="231"/>
      <c r="BM253" s="232"/>
      <c r="BN253" s="232"/>
      <c r="BO253" s="232"/>
      <c r="BP253" s="232"/>
      <c r="BQ253" s="232"/>
      <c r="BR253" s="232"/>
      <c r="BS253" s="231"/>
      <c r="BT253" s="231"/>
      <c r="BU253" s="231"/>
      <c r="BV253" s="231"/>
      <c r="BW253" s="231"/>
      <c r="BX253" s="231"/>
      <c r="BY253" s="231"/>
      <c r="BZ253" s="231"/>
      <c r="CA253" s="231"/>
      <c r="CB253" s="231"/>
      <c r="CC253" s="231"/>
      <c r="CD253" s="231"/>
      <c r="CE253" s="232"/>
      <c r="CF253" s="232"/>
      <c r="CG253" s="232"/>
      <c r="CH253" s="231"/>
      <c r="CI253" s="232"/>
      <c r="CJ253" s="232"/>
      <c r="CK253" s="232"/>
      <c r="CL253" s="232"/>
      <c r="CM253" s="232"/>
      <c r="CN253" s="232"/>
      <c r="CO253" s="232"/>
      <c r="CP253" s="232"/>
      <c r="CQ253" s="232"/>
      <c r="CR253" s="232"/>
      <c r="CS253" s="232"/>
      <c r="CT253" s="232"/>
    </row>
    <row r="254" ht="24.0" customHeight="1">
      <c r="A254" s="184" t="s">
        <v>340</v>
      </c>
      <c r="B254" s="184" t="s">
        <v>742</v>
      </c>
      <c r="C254" s="184" t="s">
        <v>651</v>
      </c>
      <c r="D254" s="184" t="s">
        <v>2431</v>
      </c>
      <c r="E254" s="186" t="s">
        <v>1105</v>
      </c>
      <c r="F254" s="186" t="s">
        <v>2432</v>
      </c>
      <c r="G254" s="185">
        <v>45.0</v>
      </c>
      <c r="H254" s="209" t="s">
        <v>2763</v>
      </c>
      <c r="I254" s="209" t="s">
        <v>2764</v>
      </c>
      <c r="J254" s="209" t="s">
        <v>2765</v>
      </c>
      <c r="K254" s="209" t="s">
        <v>2766</v>
      </c>
      <c r="L254" s="209" t="s">
        <v>2767</v>
      </c>
      <c r="M254" s="209" t="s">
        <v>2768</v>
      </c>
      <c r="N254" s="209" t="s">
        <v>752</v>
      </c>
      <c r="O254" s="237" t="s">
        <v>893</v>
      </c>
      <c r="P254" s="190"/>
      <c r="Q254" s="190"/>
      <c r="R254" s="190"/>
      <c r="S254" s="190"/>
      <c r="T254" s="190"/>
      <c r="U254" s="210"/>
      <c r="V254" s="209" t="s">
        <v>2769</v>
      </c>
      <c r="W254" s="238" t="s">
        <v>2770</v>
      </c>
      <c r="X254" s="239" t="s">
        <v>2771</v>
      </c>
      <c r="Y254" s="209" t="s">
        <v>893</v>
      </c>
      <c r="Z254" s="209" t="s">
        <v>1105</v>
      </c>
      <c r="AA254" s="237" t="s">
        <v>797</v>
      </c>
      <c r="AB254" s="231"/>
      <c r="AC254" s="231"/>
      <c r="AD254" s="231"/>
      <c r="AE254" s="231"/>
      <c r="AF254" s="231"/>
      <c r="AG254" s="231"/>
      <c r="AH254" s="231"/>
      <c r="AJ254" s="231"/>
      <c r="AK254" s="232"/>
      <c r="AL254" s="231"/>
      <c r="AM254" s="232"/>
      <c r="AN254" s="231"/>
      <c r="AO254" s="232"/>
      <c r="AP254" s="232"/>
      <c r="AQ254" s="232"/>
      <c r="AR254" s="232"/>
      <c r="AS254" s="232"/>
      <c r="AT254" s="232"/>
      <c r="AU254" s="232"/>
      <c r="AV254" s="232"/>
      <c r="AW254" s="231"/>
      <c r="AX254" s="231"/>
      <c r="AY254" s="231"/>
      <c r="AZ254" s="231"/>
      <c r="BA254" s="231"/>
      <c r="BB254" s="231"/>
      <c r="BC254" s="232"/>
      <c r="BD254" s="232"/>
      <c r="BE254" s="232"/>
      <c r="BF254" s="232"/>
      <c r="BG254" s="231"/>
      <c r="BH254" s="231"/>
      <c r="BI254" s="231"/>
      <c r="BJ254" s="231"/>
      <c r="BK254" s="232"/>
      <c r="BL254" s="232"/>
      <c r="BM254" s="232"/>
      <c r="BN254" s="232"/>
      <c r="BO254" s="232"/>
      <c r="BP254" s="232"/>
      <c r="BQ254" s="232"/>
      <c r="BR254" s="232"/>
      <c r="BS254" s="231"/>
      <c r="BT254" s="231"/>
      <c r="BU254" s="231"/>
      <c r="BV254" s="231"/>
      <c r="BW254" s="231"/>
      <c r="BX254" s="231"/>
      <c r="BY254" s="232"/>
      <c r="BZ254" s="232"/>
      <c r="CA254" s="231"/>
      <c r="CB254" s="231"/>
      <c r="CC254" s="231"/>
      <c r="CD254" s="231"/>
      <c r="CE254" s="232"/>
      <c r="CF254" s="232"/>
      <c r="CG254" s="232"/>
      <c r="CH254" s="231"/>
      <c r="CI254" s="232"/>
      <c r="CJ254" s="232"/>
      <c r="CK254" s="232"/>
      <c r="CL254" s="235"/>
      <c r="CM254" s="232"/>
      <c r="CN254" s="232"/>
      <c r="CO254" s="232"/>
      <c r="CP254" s="232"/>
      <c r="CQ254" s="232"/>
      <c r="CR254" s="232"/>
      <c r="CS254" s="232"/>
      <c r="CT254" s="232"/>
    </row>
    <row r="255" ht="24.0" customHeight="1">
      <c r="A255" s="184" t="s">
        <v>344</v>
      </c>
      <c r="B255" s="184" t="s">
        <v>742</v>
      </c>
      <c r="C255" s="184" t="s">
        <v>651</v>
      </c>
      <c r="D255" s="184" t="s">
        <v>2431</v>
      </c>
      <c r="E255" s="186" t="s">
        <v>1105</v>
      </c>
      <c r="F255" s="186" t="s">
        <v>2432</v>
      </c>
      <c r="G255" s="185">
        <v>46.0</v>
      </c>
      <c r="H255" s="209" t="s">
        <v>2772</v>
      </c>
      <c r="I255" s="209" t="s">
        <v>2773</v>
      </c>
      <c r="J255" s="209" t="s">
        <v>2774</v>
      </c>
      <c r="K255" s="209" t="s">
        <v>2775</v>
      </c>
      <c r="L255" s="209" t="s">
        <v>2776</v>
      </c>
      <c r="M255" s="209" t="s">
        <v>2777</v>
      </c>
      <c r="N255" s="209" t="s">
        <v>752</v>
      </c>
      <c r="O255" s="237" t="s">
        <v>764</v>
      </c>
      <c r="P255" s="190"/>
      <c r="Q255" s="190"/>
      <c r="R255" s="190"/>
      <c r="S255" s="190"/>
      <c r="T255" s="190"/>
      <c r="U255" s="210"/>
      <c r="V255" s="209" t="s">
        <v>2778</v>
      </c>
      <c r="W255" s="238" t="s">
        <v>2779</v>
      </c>
      <c r="X255" s="239" t="s">
        <v>2780</v>
      </c>
      <c r="Y255" s="209" t="s">
        <v>893</v>
      </c>
      <c r="Z255" s="209" t="s">
        <v>1105</v>
      </c>
      <c r="AA255" s="237" t="s">
        <v>757</v>
      </c>
      <c r="AB255" s="231"/>
      <c r="AC255" s="231"/>
      <c r="AD255" s="231"/>
      <c r="AE255" s="231"/>
      <c r="AF255" s="231"/>
      <c r="AG255" s="231"/>
      <c r="AH255" s="231"/>
      <c r="AJ255" s="231"/>
      <c r="AK255" s="232"/>
      <c r="AL255" s="231"/>
      <c r="AM255" s="232"/>
      <c r="AN255" s="231"/>
      <c r="AO255" s="232"/>
      <c r="AP255" s="232"/>
      <c r="AQ255" s="232"/>
      <c r="AR255" s="232"/>
      <c r="AS255" s="232"/>
      <c r="AT255" s="232"/>
      <c r="AU255" s="232"/>
      <c r="AV255" s="232"/>
      <c r="AW255" s="231"/>
      <c r="AX255" s="231"/>
      <c r="AY255" s="231"/>
      <c r="AZ255" s="231"/>
      <c r="BA255" s="231"/>
      <c r="BB255" s="231"/>
      <c r="BC255" s="232"/>
      <c r="BD255" s="232"/>
      <c r="BE255" s="232"/>
      <c r="BF255" s="232"/>
      <c r="BG255" s="232"/>
      <c r="BH255" s="232"/>
      <c r="BI255" s="232"/>
      <c r="BJ255" s="232"/>
      <c r="BK255" s="232"/>
      <c r="BL255" s="232"/>
      <c r="BM255" s="232"/>
      <c r="BN255" s="232"/>
      <c r="BO255" s="232"/>
      <c r="BP255" s="232"/>
      <c r="BQ255" s="232"/>
      <c r="BR255" s="232"/>
      <c r="BS255" s="231"/>
      <c r="BT255" s="231"/>
      <c r="BU255" s="231"/>
      <c r="BV255" s="231"/>
      <c r="BW255" s="231"/>
      <c r="BX255" s="231"/>
      <c r="BY255" s="231"/>
      <c r="BZ255" s="232"/>
      <c r="CA255" s="231"/>
      <c r="CB255" s="231"/>
      <c r="CC255" s="231"/>
      <c r="CD255" s="231"/>
      <c r="CE255" s="232"/>
      <c r="CF255" s="232"/>
      <c r="CG255" s="232"/>
      <c r="CH255" s="231"/>
      <c r="CI255" s="232"/>
      <c r="CJ255" s="232"/>
      <c r="CK255" s="232"/>
      <c r="CL255" s="232"/>
      <c r="CM255" s="232"/>
      <c r="CN255" s="232"/>
      <c r="CO255" s="232"/>
      <c r="CP255" s="232"/>
      <c r="CQ255" s="232"/>
      <c r="CR255" s="232"/>
      <c r="CS255" s="232"/>
      <c r="CT255" s="232"/>
    </row>
    <row r="256" ht="24.0" customHeight="1">
      <c r="A256" s="184" t="s">
        <v>343</v>
      </c>
      <c r="B256" s="184" t="s">
        <v>742</v>
      </c>
      <c r="C256" s="184" t="s">
        <v>651</v>
      </c>
      <c r="D256" s="184" t="s">
        <v>2431</v>
      </c>
      <c r="E256" s="186" t="s">
        <v>1105</v>
      </c>
      <c r="F256" s="186" t="s">
        <v>2432</v>
      </c>
      <c r="G256" s="185">
        <v>47.0</v>
      </c>
      <c r="H256" s="209" t="s">
        <v>2781</v>
      </c>
      <c r="I256" s="209" t="s">
        <v>2782</v>
      </c>
      <c r="J256" s="209" t="s">
        <v>2783</v>
      </c>
      <c r="K256" s="209" t="s">
        <v>2784</v>
      </c>
      <c r="L256" s="209" t="s">
        <v>2785</v>
      </c>
      <c r="M256" s="209" t="s">
        <v>2786</v>
      </c>
      <c r="N256" s="209" t="s">
        <v>752</v>
      </c>
      <c r="O256" s="237" t="s">
        <v>893</v>
      </c>
      <c r="P256" s="237" t="s">
        <v>2787</v>
      </c>
      <c r="Q256" s="237" t="s">
        <v>2788</v>
      </c>
      <c r="R256" s="190"/>
      <c r="S256" s="190"/>
      <c r="T256" s="190"/>
      <c r="U256" s="210"/>
      <c r="V256" s="209" t="s">
        <v>2449</v>
      </c>
      <c r="W256" s="238" t="s">
        <v>2789</v>
      </c>
      <c r="X256" s="239" t="s">
        <v>2790</v>
      </c>
      <c r="Y256" s="209" t="s">
        <v>893</v>
      </c>
      <c r="Z256" s="209" t="s">
        <v>1105</v>
      </c>
      <c r="AA256" s="237" t="s">
        <v>757</v>
      </c>
      <c r="AB256" s="231"/>
      <c r="AC256" s="231"/>
      <c r="AD256" s="231"/>
      <c r="AE256" s="231"/>
      <c r="AF256" s="231"/>
      <c r="AG256" s="231"/>
      <c r="AH256" s="231"/>
      <c r="AJ256" s="231"/>
      <c r="AK256" s="232"/>
      <c r="AL256" s="231"/>
      <c r="AM256" s="232"/>
      <c r="AN256" s="231"/>
      <c r="AO256" s="232"/>
      <c r="AP256" s="232"/>
      <c r="AQ256" s="232"/>
      <c r="AR256" s="232"/>
      <c r="AS256" s="232"/>
      <c r="AT256" s="232"/>
      <c r="AU256" s="232"/>
      <c r="AV256" s="232"/>
      <c r="AW256" s="231"/>
      <c r="AX256" s="231"/>
      <c r="AY256" s="231"/>
      <c r="AZ256" s="231"/>
      <c r="BA256" s="231"/>
      <c r="BB256" s="231"/>
      <c r="BC256" s="232"/>
      <c r="BD256" s="232"/>
      <c r="BE256" s="232"/>
      <c r="BF256" s="232"/>
      <c r="BG256" s="232"/>
      <c r="BH256" s="232"/>
      <c r="BI256" s="232"/>
      <c r="BJ256" s="232"/>
      <c r="BK256" s="232"/>
      <c r="BL256" s="232"/>
      <c r="BM256" s="232"/>
      <c r="BN256" s="232"/>
      <c r="BO256" s="232"/>
      <c r="BP256" s="232"/>
      <c r="BQ256" s="232"/>
      <c r="BR256" s="232"/>
      <c r="BS256" s="231"/>
      <c r="BT256" s="231"/>
      <c r="BU256" s="231"/>
      <c r="BV256" s="231"/>
      <c r="BW256" s="231"/>
      <c r="BX256" s="231"/>
      <c r="BY256" s="232"/>
      <c r="BZ256" s="232"/>
      <c r="CA256" s="231"/>
      <c r="CB256" s="231"/>
      <c r="CC256" s="231"/>
      <c r="CD256" s="231"/>
      <c r="CE256" s="232"/>
      <c r="CF256" s="232"/>
      <c r="CG256" s="232"/>
      <c r="CH256" s="231"/>
      <c r="CI256" s="232"/>
      <c r="CJ256" s="232"/>
      <c r="CK256" s="232"/>
      <c r="CL256" s="235"/>
      <c r="CM256" s="232"/>
      <c r="CN256" s="232"/>
      <c r="CO256" s="232"/>
      <c r="CP256" s="232"/>
      <c r="CQ256" s="232"/>
      <c r="CR256" s="232"/>
      <c r="CS256" s="232"/>
      <c r="CT256" s="232"/>
    </row>
    <row r="257" ht="24.0" customHeight="1">
      <c r="A257" s="184" t="s">
        <v>349</v>
      </c>
      <c r="B257" s="184" t="s">
        <v>742</v>
      </c>
      <c r="C257" s="184" t="s">
        <v>652</v>
      </c>
      <c r="D257" s="184" t="s">
        <v>2431</v>
      </c>
      <c r="E257" s="186" t="s">
        <v>744</v>
      </c>
      <c r="F257" s="186" t="s">
        <v>2432</v>
      </c>
      <c r="G257" s="185">
        <v>48.0</v>
      </c>
      <c r="H257" s="185" t="s">
        <v>2791</v>
      </c>
      <c r="I257" s="185" t="s">
        <v>2792</v>
      </c>
      <c r="J257" s="185" t="s">
        <v>2793</v>
      </c>
      <c r="K257" s="185" t="s">
        <v>2794</v>
      </c>
      <c r="L257" s="185" t="s">
        <v>2795</v>
      </c>
      <c r="M257" s="185" t="s">
        <v>2796</v>
      </c>
      <c r="N257" s="185" t="s">
        <v>908</v>
      </c>
      <c r="O257" s="189" t="s">
        <v>764</v>
      </c>
      <c r="P257" s="190"/>
      <c r="Q257" s="190"/>
      <c r="R257" s="190"/>
      <c r="S257" s="190"/>
      <c r="T257" s="190"/>
      <c r="U257" s="210"/>
      <c r="V257" s="185" t="s">
        <v>823</v>
      </c>
      <c r="W257" s="230" t="s">
        <v>2797</v>
      </c>
      <c r="X257" s="245" t="s">
        <v>2798</v>
      </c>
      <c r="Y257" s="185" t="s">
        <v>764</v>
      </c>
      <c r="Z257" s="185" t="s">
        <v>744</v>
      </c>
      <c r="AA257" s="189" t="s">
        <v>757</v>
      </c>
      <c r="AB257" s="231"/>
      <c r="AC257" s="231"/>
      <c r="AD257" s="231"/>
      <c r="AE257" s="231"/>
      <c r="AF257" s="231"/>
      <c r="AG257" s="231"/>
      <c r="AH257" s="231"/>
      <c r="AJ257" s="231"/>
      <c r="AK257" s="232"/>
      <c r="AL257" s="231"/>
      <c r="AM257" s="232"/>
      <c r="AN257" s="231"/>
      <c r="AO257" s="232"/>
      <c r="AP257" s="232"/>
      <c r="AQ257" s="232"/>
      <c r="AR257" s="232"/>
      <c r="AS257" s="232"/>
      <c r="AT257" s="232"/>
      <c r="AU257" s="232"/>
      <c r="AV257" s="232"/>
      <c r="AW257" s="231"/>
      <c r="AX257" s="231"/>
      <c r="AY257" s="231"/>
      <c r="AZ257" s="231"/>
      <c r="BA257" s="231"/>
      <c r="BB257" s="231"/>
      <c r="BC257" s="232"/>
      <c r="BD257" s="232"/>
      <c r="BE257" s="232"/>
      <c r="BF257" s="232"/>
      <c r="BG257" s="232"/>
      <c r="BH257" s="232"/>
      <c r="BI257" s="232"/>
      <c r="BJ257" s="232"/>
      <c r="BK257" s="232"/>
      <c r="BL257" s="232"/>
      <c r="BM257" s="232"/>
      <c r="BN257" s="232"/>
      <c r="BO257" s="232"/>
      <c r="BP257" s="232"/>
      <c r="BQ257" s="232"/>
      <c r="BR257" s="232"/>
      <c r="BS257" s="231"/>
      <c r="BT257" s="231"/>
      <c r="BU257" s="231"/>
      <c r="BV257" s="231"/>
      <c r="BW257" s="231"/>
      <c r="BX257" s="231"/>
      <c r="BY257" s="231"/>
      <c r="BZ257" s="231"/>
      <c r="CA257" s="231"/>
      <c r="CB257" s="231"/>
      <c r="CC257" s="231"/>
      <c r="CD257" s="231"/>
      <c r="CE257" s="232"/>
      <c r="CF257" s="232"/>
      <c r="CG257" s="232"/>
      <c r="CH257" s="231"/>
      <c r="CI257" s="232"/>
      <c r="CJ257" s="232"/>
      <c r="CK257" s="232"/>
      <c r="CL257" s="232"/>
      <c r="CM257" s="232"/>
      <c r="CN257" s="232"/>
      <c r="CO257" s="232"/>
      <c r="CP257" s="232"/>
      <c r="CQ257" s="232"/>
      <c r="CR257" s="232"/>
      <c r="CS257" s="232"/>
      <c r="CT257" s="232"/>
    </row>
    <row r="258" ht="24.0" customHeight="1">
      <c r="A258" s="184" t="s">
        <v>345</v>
      </c>
      <c r="B258" s="184" t="s">
        <v>742</v>
      </c>
      <c r="C258" s="184" t="s">
        <v>652</v>
      </c>
      <c r="D258" s="184" t="s">
        <v>2431</v>
      </c>
      <c r="E258" s="186" t="s">
        <v>744</v>
      </c>
      <c r="F258" s="186" t="s">
        <v>2432</v>
      </c>
      <c r="G258" s="185">
        <v>49.0</v>
      </c>
      <c r="H258" s="185" t="s">
        <v>2799</v>
      </c>
      <c r="I258" s="185" t="s">
        <v>2800</v>
      </c>
      <c r="J258" s="185" t="s">
        <v>2801</v>
      </c>
      <c r="K258" s="185" t="s">
        <v>854</v>
      </c>
      <c r="L258" s="185" t="s">
        <v>2802</v>
      </c>
      <c r="M258" s="185" t="s">
        <v>2803</v>
      </c>
      <c r="N258" s="185" t="s">
        <v>850</v>
      </c>
      <c r="O258" s="185" t="s">
        <v>784</v>
      </c>
      <c r="P258" s="210"/>
      <c r="Q258" s="190"/>
      <c r="R258" s="190"/>
      <c r="S258" s="190"/>
      <c r="T258" s="190"/>
      <c r="U258" s="210"/>
      <c r="V258" s="185" t="s">
        <v>2804</v>
      </c>
      <c r="W258" s="230" t="s">
        <v>2805</v>
      </c>
      <c r="X258" s="245" t="s">
        <v>2806</v>
      </c>
      <c r="Y258" s="185" t="s">
        <v>784</v>
      </c>
      <c r="Z258" s="185" t="s">
        <v>744</v>
      </c>
      <c r="AA258" s="189" t="s">
        <v>797</v>
      </c>
      <c r="AB258" s="231"/>
      <c r="AC258" s="231"/>
      <c r="AD258" s="231"/>
      <c r="AE258" s="231"/>
      <c r="AF258" s="231"/>
      <c r="AG258" s="231"/>
      <c r="AH258" s="231"/>
      <c r="AJ258" s="231"/>
      <c r="AK258" s="232"/>
      <c r="AL258" s="231"/>
      <c r="AM258" s="232"/>
      <c r="AN258" s="231"/>
      <c r="AO258" s="232"/>
      <c r="AP258" s="232"/>
      <c r="AQ258" s="232"/>
      <c r="AR258" s="232"/>
      <c r="AS258" s="232"/>
      <c r="AT258" s="232"/>
      <c r="AU258" s="232"/>
      <c r="AV258" s="232"/>
      <c r="AW258" s="231"/>
      <c r="AX258" s="231"/>
      <c r="AY258" s="231"/>
      <c r="AZ258" s="231"/>
      <c r="BA258" s="231"/>
      <c r="BB258" s="231"/>
      <c r="BC258" s="231"/>
      <c r="BD258" s="231"/>
      <c r="BE258" s="231"/>
      <c r="BF258" s="231"/>
      <c r="BG258" s="232"/>
      <c r="BH258" s="232"/>
      <c r="BI258" s="232"/>
      <c r="BJ258" s="232"/>
      <c r="BK258" s="232"/>
      <c r="BL258" s="232"/>
      <c r="BM258" s="232"/>
      <c r="BN258" s="232"/>
      <c r="BO258" s="232"/>
      <c r="BP258" s="232"/>
      <c r="BQ258" s="232"/>
      <c r="BR258" s="232"/>
      <c r="BS258" s="231"/>
      <c r="BT258" s="231"/>
      <c r="BU258" s="231"/>
      <c r="BV258" s="231"/>
      <c r="BW258" s="231"/>
      <c r="BX258" s="231"/>
      <c r="BY258" s="232"/>
      <c r="BZ258" s="232"/>
      <c r="CA258" s="231"/>
      <c r="CB258" s="231"/>
      <c r="CC258" s="231"/>
      <c r="CD258" s="231"/>
      <c r="CE258" s="232"/>
      <c r="CF258" s="232"/>
      <c r="CG258" s="232"/>
      <c r="CH258" s="231"/>
      <c r="CI258" s="232"/>
      <c r="CJ258" s="232"/>
      <c r="CK258" s="232"/>
      <c r="CL258" s="235"/>
      <c r="CM258" s="232"/>
      <c r="CN258" s="232"/>
      <c r="CO258" s="232"/>
      <c r="CP258" s="232"/>
      <c r="CQ258" s="232"/>
      <c r="CR258" s="232"/>
      <c r="CS258" s="232"/>
      <c r="CT258" s="232"/>
    </row>
    <row r="259" ht="24.0" customHeight="1">
      <c r="A259" s="184" t="s">
        <v>348</v>
      </c>
      <c r="B259" s="184" t="s">
        <v>742</v>
      </c>
      <c r="C259" s="184" t="s">
        <v>652</v>
      </c>
      <c r="D259" s="184" t="s">
        <v>2431</v>
      </c>
      <c r="E259" s="236" t="s">
        <v>744</v>
      </c>
      <c r="F259" s="186" t="s">
        <v>2432</v>
      </c>
      <c r="G259" s="185">
        <v>50.0</v>
      </c>
      <c r="H259" s="189" t="s">
        <v>2807</v>
      </c>
      <c r="I259" s="189" t="s">
        <v>2808</v>
      </c>
      <c r="J259" s="189" t="s">
        <v>2809</v>
      </c>
      <c r="K259" s="189" t="s">
        <v>2810</v>
      </c>
      <c r="L259" s="189" t="s">
        <v>2811</v>
      </c>
      <c r="M259" s="189" t="s">
        <v>2812</v>
      </c>
      <c r="N259" s="189" t="s">
        <v>850</v>
      </c>
      <c r="O259" s="189" t="s">
        <v>764</v>
      </c>
      <c r="P259" s="190"/>
      <c r="Q259" s="190"/>
      <c r="R259" s="190"/>
      <c r="S259" s="190"/>
      <c r="T259" s="190"/>
      <c r="U259" s="190"/>
      <c r="V259" s="189" t="s">
        <v>1673</v>
      </c>
      <c r="W259" s="230" t="s">
        <v>1674</v>
      </c>
      <c r="X259" s="245" t="s">
        <v>1418</v>
      </c>
      <c r="Y259" s="189" t="s">
        <v>764</v>
      </c>
      <c r="Z259" s="189" t="s">
        <v>744</v>
      </c>
      <c r="AA259" s="189" t="s">
        <v>757</v>
      </c>
      <c r="AB259" s="191"/>
      <c r="AC259" s="191"/>
      <c r="AD259" s="191"/>
      <c r="AE259" s="191"/>
      <c r="AF259" s="191"/>
      <c r="AG259" s="191"/>
      <c r="AH259" s="191"/>
      <c r="AJ259" s="215"/>
      <c r="AK259" s="215"/>
      <c r="AL259" s="215"/>
      <c r="AM259" s="215"/>
      <c r="AN259" s="215"/>
      <c r="AO259" s="215"/>
      <c r="AP259" s="191"/>
      <c r="AQ259" s="215"/>
      <c r="AR259" s="191"/>
      <c r="AS259" s="215"/>
      <c r="AT259" s="215"/>
      <c r="AU259" s="215"/>
      <c r="AV259" s="215"/>
      <c r="AW259" s="191"/>
      <c r="AX259" s="191"/>
      <c r="AY259" s="191"/>
      <c r="AZ259" s="191"/>
      <c r="BA259" s="191"/>
      <c r="BB259" s="191"/>
      <c r="BC259" s="215"/>
      <c r="BD259" s="215"/>
      <c r="BE259" s="215"/>
      <c r="BF259" s="215"/>
      <c r="BG259" s="191"/>
      <c r="BH259" s="191"/>
      <c r="BI259" s="215"/>
      <c r="BJ259" s="215"/>
      <c r="BK259" s="215"/>
      <c r="BL259" s="215"/>
      <c r="BM259" s="215"/>
      <c r="BN259" s="215"/>
      <c r="BO259" s="215"/>
      <c r="BP259" s="215"/>
      <c r="BQ259" s="215"/>
      <c r="BR259" s="215"/>
      <c r="BS259" s="191"/>
      <c r="BT259" s="191"/>
      <c r="BU259" s="191"/>
      <c r="BV259" s="191"/>
      <c r="BW259" s="191"/>
      <c r="BX259" s="191"/>
      <c r="BY259" s="191"/>
      <c r="BZ259" s="191"/>
      <c r="CA259" s="191"/>
      <c r="CB259" s="191"/>
      <c r="CC259" s="191"/>
      <c r="CD259" s="215"/>
      <c r="CE259" s="215"/>
      <c r="CF259" s="191"/>
      <c r="CG259" s="215"/>
      <c r="CH259" s="191"/>
      <c r="CI259" s="215"/>
      <c r="CJ259" s="215"/>
      <c r="CK259" s="215"/>
      <c r="CL259" s="215"/>
      <c r="CM259" s="215"/>
      <c r="CN259" s="215"/>
      <c r="CO259" s="215"/>
      <c r="CP259" s="215"/>
      <c r="CQ259" s="215"/>
      <c r="CR259" s="215"/>
      <c r="CS259" s="215"/>
      <c r="CT259" s="215"/>
    </row>
    <row r="260" ht="24.0" customHeight="1">
      <c r="A260" s="184" t="s">
        <v>352</v>
      </c>
      <c r="B260" s="184" t="s">
        <v>742</v>
      </c>
      <c r="C260" s="184" t="s">
        <v>652</v>
      </c>
      <c r="D260" s="184" t="s">
        <v>2431</v>
      </c>
      <c r="E260" s="236" t="s">
        <v>744</v>
      </c>
      <c r="F260" s="186" t="s">
        <v>2432</v>
      </c>
      <c r="G260" s="185">
        <v>51.0</v>
      </c>
      <c r="H260" s="189" t="s">
        <v>1538</v>
      </c>
      <c r="I260" s="189" t="s">
        <v>2813</v>
      </c>
      <c r="J260" s="189" t="s">
        <v>2814</v>
      </c>
      <c r="K260" s="189" t="s">
        <v>881</v>
      </c>
      <c r="L260" s="189" t="s">
        <v>2815</v>
      </c>
      <c r="M260" s="189" t="s">
        <v>2816</v>
      </c>
      <c r="N260" s="189" t="s">
        <v>850</v>
      </c>
      <c r="O260" s="189" t="s">
        <v>764</v>
      </c>
      <c r="P260" s="190"/>
      <c r="Q260" s="190"/>
      <c r="R260" s="190"/>
      <c r="S260" s="190"/>
      <c r="T260" s="190"/>
      <c r="U260" s="190"/>
      <c r="V260" s="189" t="s">
        <v>2722</v>
      </c>
      <c r="W260" s="230" t="s">
        <v>2817</v>
      </c>
      <c r="X260" s="245" t="s">
        <v>2818</v>
      </c>
      <c r="Y260" s="189" t="s">
        <v>764</v>
      </c>
      <c r="Z260" s="189" t="s">
        <v>744</v>
      </c>
      <c r="AA260" s="189" t="s">
        <v>797</v>
      </c>
      <c r="AB260" s="191"/>
      <c r="AC260" s="191"/>
      <c r="AD260" s="191"/>
      <c r="AE260" s="191"/>
      <c r="AF260" s="191"/>
      <c r="AG260" s="191"/>
      <c r="AH260" s="191"/>
      <c r="AJ260" s="215"/>
      <c r="AK260" s="215"/>
      <c r="AL260" s="215"/>
      <c r="AM260" s="215"/>
      <c r="AN260" s="215"/>
      <c r="AO260" s="215"/>
      <c r="AP260" s="191"/>
      <c r="AQ260" s="215"/>
      <c r="AR260" s="191"/>
      <c r="AS260" s="215"/>
      <c r="AT260" s="215"/>
      <c r="AU260" s="215"/>
      <c r="AV260" s="215"/>
      <c r="AW260" s="191"/>
      <c r="AX260" s="191"/>
      <c r="AY260" s="191"/>
      <c r="AZ260" s="191"/>
      <c r="BA260" s="191"/>
      <c r="BB260" s="191"/>
      <c r="BC260" s="215"/>
      <c r="BD260" s="215"/>
      <c r="BE260" s="215"/>
      <c r="BF260" s="215"/>
      <c r="BG260" s="191"/>
      <c r="BH260" s="191"/>
      <c r="BI260" s="191"/>
      <c r="BJ260" s="191"/>
      <c r="BK260" s="215"/>
      <c r="BL260" s="215"/>
      <c r="BM260" s="215"/>
      <c r="BN260" s="215"/>
      <c r="BO260" s="215"/>
      <c r="BP260" s="215"/>
      <c r="BQ260" s="215"/>
      <c r="BR260" s="215"/>
      <c r="BS260" s="191"/>
      <c r="BT260" s="191"/>
      <c r="BU260" s="191"/>
      <c r="BV260" s="191"/>
      <c r="BW260" s="191"/>
      <c r="BX260" s="191"/>
      <c r="BY260" s="215"/>
      <c r="BZ260" s="215"/>
      <c r="CA260" s="191"/>
      <c r="CB260" s="191"/>
      <c r="CC260" s="191"/>
      <c r="CD260" s="215"/>
      <c r="CE260" s="215"/>
      <c r="CF260" s="191"/>
      <c r="CG260" s="215"/>
      <c r="CH260" s="191"/>
      <c r="CI260" s="215"/>
      <c r="CJ260" s="191"/>
      <c r="CK260" s="191"/>
      <c r="CL260" s="215"/>
      <c r="CM260" s="215"/>
      <c r="CN260" s="215"/>
      <c r="CO260" s="215"/>
      <c r="CP260" s="215"/>
      <c r="CQ260" s="215"/>
      <c r="CR260" s="215"/>
      <c r="CS260" s="215"/>
      <c r="CT260" s="215"/>
    </row>
    <row r="261" ht="24.0" customHeight="1">
      <c r="A261" s="184" t="s">
        <v>351</v>
      </c>
      <c r="B261" s="184" t="s">
        <v>742</v>
      </c>
      <c r="C261" s="184" t="s">
        <v>652</v>
      </c>
      <c r="D261" s="184" t="s">
        <v>2431</v>
      </c>
      <c r="E261" s="236" t="s">
        <v>744</v>
      </c>
      <c r="F261" s="186" t="s">
        <v>2432</v>
      </c>
      <c r="G261" s="185">
        <v>52.0</v>
      </c>
      <c r="H261" s="189" t="s">
        <v>2819</v>
      </c>
      <c r="I261" s="189" t="s">
        <v>2820</v>
      </c>
      <c r="J261" s="189" t="s">
        <v>2821</v>
      </c>
      <c r="K261" s="189" t="s">
        <v>2822</v>
      </c>
      <c r="L261" s="189" t="s">
        <v>2823</v>
      </c>
      <c r="M261" s="189" t="s">
        <v>2824</v>
      </c>
      <c r="N261" s="189" t="s">
        <v>850</v>
      </c>
      <c r="O261" s="189" t="s">
        <v>1457</v>
      </c>
      <c r="P261" s="190"/>
      <c r="Q261" s="190"/>
      <c r="R261" s="190"/>
      <c r="S261" s="190"/>
      <c r="T261" s="190"/>
      <c r="U261" s="190"/>
      <c r="V261" s="189" t="s">
        <v>2825</v>
      </c>
      <c r="W261" s="230" t="s">
        <v>2826</v>
      </c>
      <c r="X261" s="245" t="s">
        <v>2827</v>
      </c>
      <c r="Y261" s="189" t="s">
        <v>1457</v>
      </c>
      <c r="Z261" s="189" t="s">
        <v>1457</v>
      </c>
      <c r="AA261" s="189" t="s">
        <v>757</v>
      </c>
      <c r="AB261" s="191"/>
      <c r="AC261" s="191"/>
      <c r="AD261" s="191"/>
      <c r="AE261" s="191"/>
      <c r="AF261" s="191"/>
      <c r="AG261" s="191"/>
      <c r="AH261" s="191"/>
      <c r="AJ261" s="215"/>
      <c r="AK261" s="215"/>
      <c r="AL261" s="215"/>
      <c r="AM261" s="215"/>
      <c r="AN261" s="215"/>
      <c r="AO261" s="215"/>
      <c r="AP261" s="191"/>
      <c r="AQ261" s="215"/>
      <c r="AR261" s="191"/>
      <c r="AS261" s="215"/>
      <c r="AT261" s="215"/>
      <c r="AU261" s="215"/>
      <c r="AV261" s="215"/>
      <c r="AW261" s="191"/>
      <c r="AX261" s="191"/>
      <c r="AY261" s="191"/>
      <c r="AZ261" s="191"/>
      <c r="BA261" s="191"/>
      <c r="BB261" s="191"/>
      <c r="BC261" s="215"/>
      <c r="BD261" s="215"/>
      <c r="BE261" s="215"/>
      <c r="BF261" s="215"/>
      <c r="BG261" s="191"/>
      <c r="BH261" s="191"/>
      <c r="BI261" s="191"/>
      <c r="BJ261" s="192"/>
      <c r="BK261" s="191"/>
      <c r="BL261" s="191"/>
      <c r="BM261" s="215"/>
      <c r="BN261" s="215"/>
      <c r="BO261" s="215"/>
      <c r="BP261" s="215"/>
      <c r="BQ261" s="215"/>
      <c r="BR261" s="215"/>
      <c r="BS261" s="191"/>
      <c r="BT261" s="191"/>
      <c r="BU261" s="191"/>
      <c r="BV261" s="191"/>
      <c r="BW261" s="191"/>
      <c r="BX261" s="191"/>
      <c r="BY261" s="215"/>
      <c r="BZ261" s="215"/>
      <c r="CA261" s="191"/>
      <c r="CB261" s="191"/>
      <c r="CC261" s="191"/>
      <c r="CD261" s="215"/>
      <c r="CE261" s="215"/>
      <c r="CF261" s="191"/>
      <c r="CG261" s="215"/>
      <c r="CH261" s="191"/>
      <c r="CI261" s="215"/>
      <c r="CJ261" s="215"/>
      <c r="CK261" s="215"/>
      <c r="CL261" s="215"/>
      <c r="CM261" s="215"/>
      <c r="CN261" s="215"/>
      <c r="CO261" s="215"/>
      <c r="CP261" s="215"/>
      <c r="CQ261" s="215"/>
      <c r="CR261" s="215"/>
      <c r="CS261" s="215"/>
      <c r="CT261" s="215"/>
    </row>
    <row r="262" ht="24.0" customHeight="1">
      <c r="A262" s="184" t="s">
        <v>347</v>
      </c>
      <c r="B262" s="184" t="s">
        <v>742</v>
      </c>
      <c r="C262" s="184" t="s">
        <v>652</v>
      </c>
      <c r="D262" s="184" t="s">
        <v>2431</v>
      </c>
      <c r="E262" s="236" t="s">
        <v>744</v>
      </c>
      <c r="F262" s="186" t="s">
        <v>2432</v>
      </c>
      <c r="G262" s="185">
        <v>53.0</v>
      </c>
      <c r="H262" s="189" t="s">
        <v>2828</v>
      </c>
      <c r="I262" s="189" t="s">
        <v>2829</v>
      </c>
      <c r="J262" s="189" t="s">
        <v>2830</v>
      </c>
      <c r="K262" s="189" t="s">
        <v>2831</v>
      </c>
      <c r="L262" s="189" t="s">
        <v>2832</v>
      </c>
      <c r="M262" s="189" t="s">
        <v>2833</v>
      </c>
      <c r="N262" s="189" t="s">
        <v>850</v>
      </c>
      <c r="O262" s="189" t="s">
        <v>893</v>
      </c>
      <c r="P262" s="190"/>
      <c r="Q262" s="190"/>
      <c r="R262" s="190"/>
      <c r="S262" s="190"/>
      <c r="T262" s="190"/>
      <c r="U262" s="190"/>
      <c r="V262" s="189" t="s">
        <v>1425</v>
      </c>
      <c r="W262" s="230" t="s">
        <v>1831</v>
      </c>
      <c r="X262" s="245" t="s">
        <v>1832</v>
      </c>
      <c r="Y262" s="189" t="s">
        <v>777</v>
      </c>
      <c r="Z262" s="189" t="s">
        <v>744</v>
      </c>
      <c r="AA262" s="189" t="s">
        <v>797</v>
      </c>
      <c r="AB262" s="191"/>
      <c r="AC262" s="191"/>
      <c r="AD262" s="191"/>
      <c r="AE262" s="191"/>
      <c r="AF262" s="191"/>
      <c r="AG262" s="191"/>
      <c r="AH262" s="191"/>
      <c r="AJ262" s="215"/>
      <c r="AK262" s="215"/>
      <c r="AL262" s="215"/>
      <c r="AM262" s="215"/>
      <c r="AN262" s="215"/>
      <c r="AO262" s="215"/>
      <c r="AP262" s="191"/>
      <c r="AQ262" s="215"/>
      <c r="AR262" s="191"/>
      <c r="AS262" s="215"/>
      <c r="AT262" s="215"/>
      <c r="AU262" s="215"/>
      <c r="AV262" s="215"/>
      <c r="AW262" s="191"/>
      <c r="AX262" s="191"/>
      <c r="AY262" s="191"/>
      <c r="AZ262" s="191"/>
      <c r="BA262" s="191"/>
      <c r="BB262" s="191"/>
      <c r="BC262" s="215"/>
      <c r="BD262" s="215"/>
      <c r="BE262" s="215"/>
      <c r="BF262" s="215"/>
      <c r="BG262" s="191"/>
      <c r="BH262" s="191"/>
      <c r="BI262" s="191"/>
      <c r="BJ262" s="191"/>
      <c r="BK262" s="191"/>
      <c r="BL262" s="191"/>
      <c r="BM262" s="215"/>
      <c r="BN262" s="215"/>
      <c r="BO262" s="215"/>
      <c r="BP262" s="215"/>
      <c r="BQ262" s="215"/>
      <c r="BR262" s="215"/>
      <c r="BS262" s="191"/>
      <c r="BT262" s="191"/>
      <c r="BU262" s="191"/>
      <c r="BV262" s="191"/>
      <c r="BW262" s="191"/>
      <c r="BX262" s="191"/>
      <c r="BY262" s="191"/>
      <c r="BZ262" s="215"/>
      <c r="CA262" s="191"/>
      <c r="CB262" s="191"/>
      <c r="CC262" s="191"/>
      <c r="CD262" s="215"/>
      <c r="CE262" s="215"/>
      <c r="CF262" s="191"/>
      <c r="CG262" s="215"/>
      <c r="CH262" s="191"/>
      <c r="CI262" s="215"/>
      <c r="CJ262" s="215"/>
      <c r="CK262" s="215"/>
      <c r="CL262" s="240"/>
      <c r="CM262" s="215"/>
      <c r="CN262" s="215"/>
      <c r="CO262" s="215"/>
      <c r="CP262" s="215"/>
      <c r="CQ262" s="215"/>
      <c r="CR262" s="215"/>
      <c r="CS262" s="215"/>
      <c r="CT262" s="215"/>
    </row>
    <row r="263" ht="24.0" customHeight="1">
      <c r="A263" s="184" t="s">
        <v>346</v>
      </c>
      <c r="B263" s="184" t="s">
        <v>742</v>
      </c>
      <c r="C263" s="184" t="s">
        <v>652</v>
      </c>
      <c r="D263" s="184" t="s">
        <v>2431</v>
      </c>
      <c r="E263" s="236" t="s">
        <v>744</v>
      </c>
      <c r="F263" s="186" t="s">
        <v>2432</v>
      </c>
      <c r="G263" s="185">
        <v>54.0</v>
      </c>
      <c r="H263" s="189" t="s">
        <v>1651</v>
      </c>
      <c r="I263" s="189" t="s">
        <v>2834</v>
      </c>
      <c r="J263" s="189" t="s">
        <v>2835</v>
      </c>
      <c r="K263" s="189" t="s">
        <v>2836</v>
      </c>
      <c r="L263" s="189" t="s">
        <v>2837</v>
      </c>
      <c r="M263" s="237" t="s">
        <v>2838</v>
      </c>
      <c r="N263" s="189" t="s">
        <v>850</v>
      </c>
      <c r="O263" s="189" t="s">
        <v>764</v>
      </c>
      <c r="P263" s="189" t="s">
        <v>2839</v>
      </c>
      <c r="Q263" s="189" t="s">
        <v>2840</v>
      </c>
      <c r="R263" s="189" t="s">
        <v>2841</v>
      </c>
      <c r="S263" s="189" t="s">
        <v>2842</v>
      </c>
      <c r="T263" s="190"/>
      <c r="U263" s="190"/>
      <c r="V263" s="189" t="s">
        <v>746</v>
      </c>
      <c r="W263" s="230" t="s">
        <v>2843</v>
      </c>
      <c r="X263" s="245" t="s">
        <v>2844</v>
      </c>
      <c r="Y263" s="189" t="s">
        <v>764</v>
      </c>
      <c r="Z263" s="189" t="s">
        <v>744</v>
      </c>
      <c r="AA263" s="189" t="s">
        <v>797</v>
      </c>
      <c r="AB263" s="191"/>
      <c r="AC263" s="191"/>
      <c r="AD263" s="191"/>
      <c r="AE263" s="191"/>
      <c r="AF263" s="191"/>
      <c r="AG263" s="191"/>
      <c r="AH263" s="191"/>
      <c r="AJ263" s="215"/>
      <c r="AK263" s="215"/>
      <c r="AL263" s="215"/>
      <c r="AM263" s="215"/>
      <c r="AN263" s="215"/>
      <c r="AO263" s="215"/>
      <c r="AP263" s="191"/>
      <c r="AQ263" s="215"/>
      <c r="AR263" s="191"/>
      <c r="AS263" s="215"/>
      <c r="AT263" s="215"/>
      <c r="AU263" s="215"/>
      <c r="AV263" s="215"/>
      <c r="AW263" s="191"/>
      <c r="AX263" s="191"/>
      <c r="AY263" s="191"/>
      <c r="AZ263" s="191"/>
      <c r="BA263" s="191"/>
      <c r="BB263" s="191"/>
      <c r="BC263" s="191"/>
      <c r="BD263" s="191"/>
      <c r="BE263" s="191"/>
      <c r="BF263" s="191"/>
      <c r="BG263" s="215"/>
      <c r="BH263" s="215"/>
      <c r="BI263" s="215"/>
      <c r="BJ263" s="215"/>
      <c r="BK263" s="215"/>
      <c r="BL263" s="215"/>
      <c r="BM263" s="215"/>
      <c r="BN263" s="215"/>
      <c r="BO263" s="215"/>
      <c r="BP263" s="215"/>
      <c r="BQ263" s="215"/>
      <c r="BR263" s="215"/>
      <c r="BS263" s="191"/>
      <c r="BT263" s="191"/>
      <c r="BU263" s="191"/>
      <c r="BV263" s="191"/>
      <c r="BW263" s="191"/>
      <c r="BX263" s="191"/>
      <c r="BY263" s="191"/>
      <c r="BZ263" s="191"/>
      <c r="CA263" s="191"/>
      <c r="CB263" s="191"/>
      <c r="CC263" s="191"/>
      <c r="CD263" s="215"/>
      <c r="CE263" s="215"/>
      <c r="CF263" s="191"/>
      <c r="CG263" s="215"/>
      <c r="CH263" s="191"/>
      <c r="CI263" s="215"/>
      <c r="CJ263" s="215"/>
      <c r="CK263" s="191"/>
      <c r="CL263" s="240"/>
      <c r="CM263" s="215"/>
      <c r="CN263" s="215"/>
      <c r="CO263" s="215"/>
      <c r="CP263" s="215"/>
      <c r="CQ263" s="215"/>
      <c r="CR263" s="215"/>
      <c r="CS263" s="215"/>
      <c r="CT263" s="215"/>
    </row>
    <row r="264" ht="24.0" customHeight="1">
      <c r="A264" s="184" t="s">
        <v>350</v>
      </c>
      <c r="B264" s="184" t="s">
        <v>742</v>
      </c>
      <c r="C264" s="184" t="s">
        <v>652</v>
      </c>
      <c r="D264" s="184" t="s">
        <v>2431</v>
      </c>
      <c r="E264" s="236" t="s">
        <v>744</v>
      </c>
      <c r="F264" s="186" t="s">
        <v>2432</v>
      </c>
      <c r="G264" s="185">
        <v>55.0</v>
      </c>
      <c r="H264" s="189" t="s">
        <v>1817</v>
      </c>
      <c r="I264" s="189" t="s">
        <v>2845</v>
      </c>
      <c r="J264" s="189" t="s">
        <v>2846</v>
      </c>
      <c r="K264" s="189" t="s">
        <v>2847</v>
      </c>
      <c r="L264" s="189" t="s">
        <v>2848</v>
      </c>
      <c r="M264" s="189" t="s">
        <v>2849</v>
      </c>
      <c r="N264" s="189" t="s">
        <v>850</v>
      </c>
      <c r="O264" s="189" t="s">
        <v>784</v>
      </c>
      <c r="P264" s="190"/>
      <c r="Q264" s="190"/>
      <c r="R264" s="190"/>
      <c r="S264" s="190"/>
      <c r="T264" s="190"/>
      <c r="U264" s="190"/>
      <c r="V264" s="189" t="s">
        <v>2850</v>
      </c>
      <c r="W264" s="230" t="s">
        <v>2851</v>
      </c>
      <c r="X264" s="245" t="s">
        <v>2852</v>
      </c>
      <c r="Y264" s="189" t="s">
        <v>784</v>
      </c>
      <c r="Z264" s="189" t="s">
        <v>744</v>
      </c>
      <c r="AA264" s="189" t="s">
        <v>757</v>
      </c>
      <c r="AB264" s="191"/>
      <c r="AC264" s="191"/>
      <c r="AD264" s="191"/>
      <c r="AE264" s="191"/>
      <c r="AF264" s="191"/>
      <c r="AG264" s="191"/>
      <c r="AH264" s="191"/>
      <c r="AJ264" s="215"/>
      <c r="AK264" s="215"/>
      <c r="AL264" s="215"/>
      <c r="AM264" s="215"/>
      <c r="AN264" s="215"/>
      <c r="AO264" s="215"/>
      <c r="AP264" s="191"/>
      <c r="AQ264" s="215"/>
      <c r="AR264" s="191"/>
      <c r="AS264" s="215"/>
      <c r="AT264" s="215"/>
      <c r="AU264" s="215"/>
      <c r="AV264" s="215"/>
      <c r="AW264" s="191"/>
      <c r="AX264" s="191"/>
      <c r="AY264" s="191"/>
      <c r="AZ264" s="191"/>
      <c r="BA264" s="191"/>
      <c r="BB264" s="191"/>
      <c r="BC264" s="215"/>
      <c r="BD264" s="215"/>
      <c r="BE264" s="215"/>
      <c r="BF264" s="215"/>
      <c r="BG264" s="215"/>
      <c r="BH264" s="215"/>
      <c r="BI264" s="215"/>
      <c r="BJ264" s="215"/>
      <c r="BK264" s="215"/>
      <c r="BL264" s="215"/>
      <c r="BM264" s="215"/>
      <c r="BN264" s="215"/>
      <c r="BO264" s="215"/>
      <c r="BP264" s="215"/>
      <c r="BQ264" s="215"/>
      <c r="BR264" s="215"/>
      <c r="BS264" s="191"/>
      <c r="BT264" s="191"/>
      <c r="BU264" s="191"/>
      <c r="BV264" s="191"/>
      <c r="BW264" s="191"/>
      <c r="BX264" s="191"/>
      <c r="BY264" s="191"/>
      <c r="BZ264" s="191"/>
      <c r="CA264" s="191"/>
      <c r="CB264" s="191"/>
      <c r="CC264" s="191"/>
      <c r="CD264" s="215"/>
      <c r="CE264" s="215"/>
      <c r="CF264" s="191"/>
      <c r="CG264" s="215"/>
      <c r="CH264" s="191"/>
      <c r="CI264" s="215"/>
      <c r="CJ264" s="215"/>
      <c r="CK264" s="191"/>
      <c r="CL264" s="240"/>
      <c r="CM264" s="215"/>
      <c r="CN264" s="215"/>
      <c r="CO264" s="215"/>
      <c r="CP264" s="215"/>
      <c r="CQ264" s="215"/>
      <c r="CR264" s="215"/>
      <c r="CS264" s="215"/>
      <c r="CT264" s="215"/>
    </row>
    <row r="265" ht="24.0" customHeight="1">
      <c r="A265" s="220" t="s">
        <v>360</v>
      </c>
      <c r="B265" s="220" t="s">
        <v>742</v>
      </c>
      <c r="C265" s="220" t="s">
        <v>653</v>
      </c>
      <c r="D265" s="184" t="s">
        <v>2431</v>
      </c>
      <c r="E265" s="246" t="s">
        <v>946</v>
      </c>
      <c r="F265" s="186" t="s">
        <v>2432</v>
      </c>
      <c r="G265" s="225">
        <v>56.0</v>
      </c>
      <c r="H265" s="224" t="s">
        <v>2853</v>
      </c>
      <c r="I265" s="224" t="s">
        <v>2854</v>
      </c>
      <c r="J265" s="224" t="s">
        <v>2855</v>
      </c>
      <c r="K265" s="224" t="s">
        <v>2856</v>
      </c>
      <c r="L265" s="225" t="s">
        <v>2857</v>
      </c>
      <c r="M265" s="224" t="s">
        <v>2858</v>
      </c>
      <c r="N265" s="224" t="s">
        <v>908</v>
      </c>
      <c r="O265" s="224" t="s">
        <v>764</v>
      </c>
      <c r="P265" s="190"/>
      <c r="Q265" s="190"/>
      <c r="R265" s="190"/>
      <c r="S265" s="190"/>
      <c r="T265" s="190"/>
      <c r="U265" s="190"/>
      <c r="V265" s="224" t="s">
        <v>1492</v>
      </c>
      <c r="W265" s="234" t="s">
        <v>1493</v>
      </c>
      <c r="X265" s="247" t="s">
        <v>1494</v>
      </c>
      <c r="Y265" s="224" t="s">
        <v>764</v>
      </c>
      <c r="Z265" s="224" t="s">
        <v>946</v>
      </c>
      <c r="AA265" s="224" t="s">
        <v>757</v>
      </c>
      <c r="AB265" s="191"/>
      <c r="AC265" s="191"/>
      <c r="AD265" s="191"/>
      <c r="AE265" s="191"/>
      <c r="AF265" s="191"/>
      <c r="AG265" s="191"/>
      <c r="AH265" s="191"/>
      <c r="AJ265" s="215"/>
      <c r="AK265" s="215"/>
      <c r="AL265" s="215"/>
      <c r="AM265" s="215"/>
      <c r="AN265" s="215"/>
      <c r="AO265" s="215"/>
      <c r="AP265" s="191"/>
      <c r="AQ265" s="215"/>
      <c r="AR265" s="191"/>
      <c r="AS265" s="215"/>
      <c r="AT265" s="215"/>
      <c r="AU265" s="215"/>
      <c r="AV265" s="215"/>
      <c r="AW265" s="191"/>
      <c r="AX265" s="191"/>
      <c r="AY265" s="191"/>
      <c r="AZ265" s="191"/>
      <c r="BA265" s="191"/>
      <c r="BB265" s="191"/>
      <c r="BC265" s="215"/>
      <c r="BD265" s="215"/>
      <c r="BE265" s="215"/>
      <c r="BF265" s="215"/>
      <c r="BG265" s="191"/>
      <c r="BH265" s="191"/>
      <c r="BI265" s="191"/>
      <c r="BJ265" s="191"/>
      <c r="BK265" s="215"/>
      <c r="BL265" s="215"/>
      <c r="BM265" s="215"/>
      <c r="BN265" s="215"/>
      <c r="BO265" s="215"/>
      <c r="BP265" s="215"/>
      <c r="BQ265" s="215"/>
      <c r="BR265" s="215"/>
      <c r="BS265" s="191"/>
      <c r="BT265" s="191"/>
      <c r="BU265" s="191"/>
      <c r="BV265" s="191"/>
      <c r="BW265" s="191"/>
      <c r="BX265" s="191"/>
      <c r="BY265" s="191"/>
      <c r="BZ265" s="191"/>
      <c r="CA265" s="191"/>
      <c r="CB265" s="191"/>
      <c r="CC265" s="191"/>
      <c r="CD265" s="215"/>
      <c r="CE265" s="215"/>
      <c r="CF265" s="191"/>
      <c r="CG265" s="215"/>
      <c r="CH265" s="191"/>
      <c r="CI265" s="215"/>
      <c r="CJ265" s="215"/>
      <c r="CK265" s="215"/>
      <c r="CL265" s="240"/>
      <c r="CM265" s="215"/>
      <c r="CN265" s="215"/>
      <c r="CO265" s="215"/>
      <c r="CP265" s="215"/>
      <c r="CQ265" s="215"/>
      <c r="CR265" s="215"/>
      <c r="CS265" s="215"/>
      <c r="CT265" s="215"/>
    </row>
    <row r="266" ht="24.0" customHeight="1">
      <c r="A266" s="184" t="s">
        <v>353</v>
      </c>
      <c r="B266" s="184" t="s">
        <v>742</v>
      </c>
      <c r="C266" s="184" t="s">
        <v>653</v>
      </c>
      <c r="D266" s="184" t="s">
        <v>2431</v>
      </c>
      <c r="E266" s="236" t="s">
        <v>946</v>
      </c>
      <c r="F266" s="186" t="s">
        <v>2432</v>
      </c>
      <c r="G266" s="185">
        <v>57.0</v>
      </c>
      <c r="H266" s="189" t="s">
        <v>2859</v>
      </c>
      <c r="I266" s="189" t="s">
        <v>1637</v>
      </c>
      <c r="J266" s="189" t="s">
        <v>2860</v>
      </c>
      <c r="K266" s="189" t="s">
        <v>969</v>
      </c>
      <c r="L266" s="189" t="s">
        <v>2861</v>
      </c>
      <c r="M266" s="189" t="s">
        <v>2862</v>
      </c>
      <c r="N266" s="189" t="s">
        <v>908</v>
      </c>
      <c r="O266" s="189" t="s">
        <v>764</v>
      </c>
      <c r="P266" s="190"/>
      <c r="Q266" s="190"/>
      <c r="R266" s="190"/>
      <c r="S266" s="190"/>
      <c r="T266" s="190"/>
      <c r="U266" s="190"/>
      <c r="V266" s="189" t="s">
        <v>2863</v>
      </c>
      <c r="W266" s="230" t="s">
        <v>1856</v>
      </c>
      <c r="X266" s="245" t="s">
        <v>1857</v>
      </c>
      <c r="Y266" s="189" t="s">
        <v>764</v>
      </c>
      <c r="Z266" s="189" t="s">
        <v>946</v>
      </c>
      <c r="AA266" s="189" t="s">
        <v>757</v>
      </c>
      <c r="AB266" s="191"/>
      <c r="AC266" s="191"/>
      <c r="AD266" s="191"/>
      <c r="AE266" s="191"/>
      <c r="AF266" s="191"/>
      <c r="AG266" s="191"/>
      <c r="AH266" s="191"/>
      <c r="AJ266" s="215"/>
      <c r="AK266" s="215"/>
      <c r="AL266" s="215"/>
      <c r="AM266" s="215"/>
      <c r="AN266" s="215"/>
      <c r="AO266" s="215"/>
      <c r="AP266" s="191"/>
      <c r="AQ266" s="215"/>
      <c r="AR266" s="191"/>
      <c r="AS266" s="215"/>
      <c r="AT266" s="215"/>
      <c r="AU266" s="215"/>
      <c r="AV266" s="215"/>
      <c r="AW266" s="191"/>
      <c r="AX266" s="191"/>
      <c r="AY266" s="191"/>
      <c r="AZ266" s="191"/>
      <c r="BA266" s="191"/>
      <c r="BB266" s="191"/>
      <c r="BC266" s="215"/>
      <c r="BD266" s="215"/>
      <c r="BE266" s="215"/>
      <c r="BF266" s="215"/>
      <c r="BG266" s="215"/>
      <c r="BH266" s="215"/>
      <c r="BI266" s="215"/>
      <c r="BJ266" s="215"/>
      <c r="BK266" s="215"/>
      <c r="BL266" s="215"/>
      <c r="BM266" s="215"/>
      <c r="BN266" s="215"/>
      <c r="BO266" s="215"/>
      <c r="BP266" s="215"/>
      <c r="BQ266" s="215"/>
      <c r="BR266" s="215"/>
      <c r="BS266" s="191"/>
      <c r="BT266" s="191"/>
      <c r="BU266" s="191"/>
      <c r="BV266" s="191"/>
      <c r="BW266" s="191"/>
      <c r="BX266" s="191"/>
      <c r="BY266" s="215"/>
      <c r="BZ266" s="191"/>
      <c r="CA266" s="191"/>
      <c r="CB266" s="191"/>
      <c r="CC266" s="191"/>
      <c r="CD266" s="215"/>
      <c r="CE266" s="215"/>
      <c r="CF266" s="191"/>
      <c r="CG266" s="215"/>
      <c r="CH266" s="191"/>
      <c r="CI266" s="215"/>
      <c r="CJ266" s="215"/>
      <c r="CK266" s="215"/>
      <c r="CL266" s="240"/>
      <c r="CM266" s="215"/>
      <c r="CN266" s="215"/>
      <c r="CO266" s="215"/>
      <c r="CP266" s="215"/>
      <c r="CQ266" s="215"/>
      <c r="CR266" s="215"/>
      <c r="CS266" s="215"/>
      <c r="CT266" s="215"/>
    </row>
    <row r="267" ht="24.0" customHeight="1">
      <c r="A267" s="184" t="s">
        <v>359</v>
      </c>
      <c r="B267" s="184" t="s">
        <v>742</v>
      </c>
      <c r="C267" s="184" t="s">
        <v>653</v>
      </c>
      <c r="D267" s="184" t="s">
        <v>2431</v>
      </c>
      <c r="E267" s="236" t="s">
        <v>946</v>
      </c>
      <c r="F267" s="186" t="s">
        <v>2432</v>
      </c>
      <c r="G267" s="185">
        <v>58.0</v>
      </c>
      <c r="H267" s="189" t="s">
        <v>2864</v>
      </c>
      <c r="I267" s="189" t="s">
        <v>2865</v>
      </c>
      <c r="J267" s="189" t="s">
        <v>2866</v>
      </c>
      <c r="K267" s="189" t="s">
        <v>2367</v>
      </c>
      <c r="L267" s="189" t="s">
        <v>2867</v>
      </c>
      <c r="M267" s="189" t="s">
        <v>2868</v>
      </c>
      <c r="N267" s="189" t="s">
        <v>850</v>
      </c>
      <c r="O267" s="189" t="s">
        <v>764</v>
      </c>
      <c r="P267" s="189" t="s">
        <v>2149</v>
      </c>
      <c r="Q267" s="189" t="s">
        <v>2869</v>
      </c>
      <c r="R267" s="189" t="s">
        <v>2870</v>
      </c>
      <c r="S267" s="189" t="s">
        <v>2871</v>
      </c>
      <c r="T267" s="190"/>
      <c r="U267" s="190"/>
      <c r="V267" s="189" t="s">
        <v>2872</v>
      </c>
      <c r="W267" s="230" t="s">
        <v>1683</v>
      </c>
      <c r="X267" s="245" t="s">
        <v>2873</v>
      </c>
      <c r="Y267" s="189" t="s">
        <v>764</v>
      </c>
      <c r="Z267" s="189" t="s">
        <v>946</v>
      </c>
      <c r="AA267" s="189" t="s">
        <v>757</v>
      </c>
      <c r="AB267" s="191"/>
      <c r="AC267" s="191"/>
      <c r="AD267" s="191"/>
      <c r="AE267" s="191"/>
      <c r="AF267" s="191"/>
      <c r="AG267" s="191"/>
      <c r="AH267" s="191"/>
      <c r="AJ267" s="215"/>
      <c r="AK267" s="215"/>
      <c r="AL267" s="215"/>
      <c r="AM267" s="215"/>
      <c r="AN267" s="215"/>
      <c r="AO267" s="215"/>
      <c r="AP267" s="191"/>
      <c r="AQ267" s="215"/>
      <c r="AR267" s="191"/>
      <c r="AS267" s="215"/>
      <c r="AT267" s="215"/>
      <c r="AU267" s="215"/>
      <c r="AV267" s="215"/>
      <c r="AW267" s="191"/>
      <c r="AX267" s="191"/>
      <c r="AY267" s="191"/>
      <c r="AZ267" s="191"/>
      <c r="BA267" s="191"/>
      <c r="BB267" s="191"/>
      <c r="BC267" s="215"/>
      <c r="BD267" s="215"/>
      <c r="BE267" s="215"/>
      <c r="BF267" s="215"/>
      <c r="BG267" s="191"/>
      <c r="BH267" s="191"/>
      <c r="BI267" s="215"/>
      <c r="BJ267" s="215"/>
      <c r="BK267" s="215"/>
      <c r="BL267" s="215"/>
      <c r="BM267" s="215"/>
      <c r="BN267" s="215"/>
      <c r="BO267" s="215"/>
      <c r="BP267" s="215"/>
      <c r="BQ267" s="215"/>
      <c r="BR267" s="215"/>
      <c r="BS267" s="191"/>
      <c r="BT267" s="191"/>
      <c r="BU267" s="191"/>
      <c r="BV267" s="191"/>
      <c r="BW267" s="191"/>
      <c r="BX267" s="191"/>
      <c r="BY267" s="191"/>
      <c r="BZ267" s="215"/>
      <c r="CA267" s="191"/>
      <c r="CB267" s="191"/>
      <c r="CC267" s="191"/>
      <c r="CD267" s="215"/>
      <c r="CE267" s="215"/>
      <c r="CF267" s="191"/>
      <c r="CG267" s="215"/>
      <c r="CH267" s="191"/>
      <c r="CI267" s="215"/>
      <c r="CJ267" s="215"/>
      <c r="CK267" s="191"/>
      <c r="CL267" s="215"/>
      <c r="CM267" s="215"/>
      <c r="CN267" s="215"/>
      <c r="CO267" s="215"/>
      <c r="CP267" s="215"/>
      <c r="CQ267" s="215"/>
      <c r="CR267" s="215"/>
      <c r="CS267" s="215"/>
      <c r="CT267" s="215"/>
    </row>
    <row r="268" ht="24.0" customHeight="1">
      <c r="A268" s="184" t="s">
        <v>356</v>
      </c>
      <c r="B268" s="184" t="s">
        <v>742</v>
      </c>
      <c r="C268" s="184" t="s">
        <v>653</v>
      </c>
      <c r="D268" s="184" t="s">
        <v>2431</v>
      </c>
      <c r="E268" s="236" t="s">
        <v>946</v>
      </c>
      <c r="F268" s="186" t="s">
        <v>2432</v>
      </c>
      <c r="G268" s="185">
        <v>59.0</v>
      </c>
      <c r="H268" s="189" t="s">
        <v>2874</v>
      </c>
      <c r="I268" s="189" t="s">
        <v>2875</v>
      </c>
      <c r="J268" s="189" t="s">
        <v>2876</v>
      </c>
      <c r="K268" s="189" t="s">
        <v>2877</v>
      </c>
      <c r="L268" s="189" t="s">
        <v>2878</v>
      </c>
      <c r="M268" s="189" t="s">
        <v>2879</v>
      </c>
      <c r="N268" s="189" t="s">
        <v>850</v>
      </c>
      <c r="O268" s="189" t="s">
        <v>893</v>
      </c>
      <c r="P268" s="189" t="s">
        <v>2880</v>
      </c>
      <c r="Q268" s="189" t="s">
        <v>2881</v>
      </c>
      <c r="R268" s="190"/>
      <c r="S268" s="190"/>
      <c r="T268" s="190"/>
      <c r="U268" s="190"/>
      <c r="V268" s="189" t="s">
        <v>2882</v>
      </c>
      <c r="W268" s="230" t="s">
        <v>2883</v>
      </c>
      <c r="X268" s="245" t="s">
        <v>2884</v>
      </c>
      <c r="Y268" s="189" t="s">
        <v>893</v>
      </c>
      <c r="Z268" s="189" t="s">
        <v>946</v>
      </c>
      <c r="AA268" s="189" t="s">
        <v>757</v>
      </c>
      <c r="AB268" s="191"/>
      <c r="AC268" s="191"/>
      <c r="AD268" s="191"/>
      <c r="AE268" s="191"/>
      <c r="AF268" s="191"/>
      <c r="AG268" s="191"/>
      <c r="AH268" s="191"/>
      <c r="AJ268" s="215"/>
      <c r="AK268" s="215"/>
      <c r="AL268" s="215"/>
      <c r="AM268" s="215"/>
      <c r="AN268" s="215"/>
      <c r="AO268" s="215"/>
      <c r="AP268" s="191"/>
      <c r="AQ268" s="215"/>
      <c r="AR268" s="191"/>
      <c r="AS268" s="215"/>
      <c r="AT268" s="215"/>
      <c r="AU268" s="215"/>
      <c r="AV268" s="215"/>
      <c r="AW268" s="191"/>
      <c r="AX268" s="191"/>
      <c r="AY268" s="191"/>
      <c r="AZ268" s="191"/>
      <c r="BA268" s="191"/>
      <c r="BB268" s="191"/>
      <c r="BC268" s="215"/>
      <c r="BD268" s="215"/>
      <c r="BE268" s="215"/>
      <c r="BF268" s="215"/>
      <c r="BG268" s="191"/>
      <c r="BH268" s="191"/>
      <c r="BI268" s="191"/>
      <c r="BJ268" s="191"/>
      <c r="BK268" s="215"/>
      <c r="BL268" s="215"/>
      <c r="BM268" s="215"/>
      <c r="BN268" s="215"/>
      <c r="BO268" s="215"/>
      <c r="BP268" s="215"/>
      <c r="BQ268" s="215"/>
      <c r="BR268" s="215"/>
      <c r="BS268" s="191"/>
      <c r="BT268" s="191"/>
      <c r="BU268" s="191"/>
      <c r="BV268" s="191"/>
      <c r="BW268" s="191"/>
      <c r="BX268" s="191"/>
      <c r="BY268" s="191"/>
      <c r="BZ268" s="191"/>
      <c r="CA268" s="191"/>
      <c r="CB268" s="191"/>
      <c r="CC268" s="191"/>
      <c r="CD268" s="215"/>
      <c r="CE268" s="215"/>
      <c r="CF268" s="191"/>
      <c r="CG268" s="215"/>
      <c r="CH268" s="191"/>
      <c r="CI268" s="215"/>
      <c r="CJ268" s="215"/>
      <c r="CK268" s="191"/>
      <c r="CL268" s="215"/>
      <c r="CM268" s="215"/>
      <c r="CN268" s="215"/>
      <c r="CO268" s="215"/>
      <c r="CP268" s="215"/>
      <c r="CQ268" s="215"/>
      <c r="CR268" s="215"/>
      <c r="CS268" s="215"/>
      <c r="CT268" s="215"/>
    </row>
    <row r="269" ht="24.0" customHeight="1">
      <c r="A269" s="184" t="s">
        <v>358</v>
      </c>
      <c r="B269" s="184" t="s">
        <v>742</v>
      </c>
      <c r="C269" s="184" t="s">
        <v>653</v>
      </c>
      <c r="D269" s="184" t="s">
        <v>2431</v>
      </c>
      <c r="E269" s="236" t="s">
        <v>946</v>
      </c>
      <c r="F269" s="186" t="s">
        <v>2432</v>
      </c>
      <c r="G269" s="185">
        <v>60.0</v>
      </c>
      <c r="H269" s="189" t="s">
        <v>2885</v>
      </c>
      <c r="I269" s="189" t="s">
        <v>2886</v>
      </c>
      <c r="J269" s="189" t="s">
        <v>2887</v>
      </c>
      <c r="K269" s="189" t="s">
        <v>2888</v>
      </c>
      <c r="L269" s="189" t="s">
        <v>2889</v>
      </c>
      <c r="M269" s="189" t="s">
        <v>2890</v>
      </c>
      <c r="N269" s="189" t="s">
        <v>850</v>
      </c>
      <c r="O269" s="189" t="s">
        <v>764</v>
      </c>
      <c r="P269" s="190"/>
      <c r="Q269" s="190"/>
      <c r="R269" s="190"/>
      <c r="S269" s="190"/>
      <c r="T269" s="190"/>
      <c r="U269" s="190"/>
      <c r="V269" s="189" t="s">
        <v>2872</v>
      </c>
      <c r="W269" s="230" t="s">
        <v>1683</v>
      </c>
      <c r="X269" s="245" t="s">
        <v>2873</v>
      </c>
      <c r="Y269" s="189" t="s">
        <v>764</v>
      </c>
      <c r="Z269" s="189" t="s">
        <v>946</v>
      </c>
      <c r="AA269" s="189" t="s">
        <v>757</v>
      </c>
      <c r="AB269" s="191"/>
      <c r="AC269" s="191"/>
      <c r="AD269" s="191"/>
      <c r="AE269" s="191"/>
      <c r="AF269" s="191"/>
      <c r="AG269" s="191"/>
      <c r="AH269" s="191"/>
      <c r="AJ269" s="215"/>
      <c r="AK269" s="215"/>
      <c r="AL269" s="215"/>
      <c r="AM269" s="215"/>
      <c r="AN269" s="215"/>
      <c r="AO269" s="215"/>
      <c r="AP269" s="191"/>
      <c r="AQ269" s="215"/>
      <c r="AR269" s="191"/>
      <c r="AS269" s="215"/>
      <c r="AT269" s="215"/>
      <c r="AU269" s="215"/>
      <c r="AV269" s="215"/>
      <c r="AW269" s="191"/>
      <c r="AX269" s="191"/>
      <c r="AY269" s="191"/>
      <c r="AZ269" s="191"/>
      <c r="BA269" s="191"/>
      <c r="BB269" s="191"/>
      <c r="BC269" s="215"/>
      <c r="BD269" s="215"/>
      <c r="BE269" s="215"/>
      <c r="BF269" s="215"/>
      <c r="BG269" s="215"/>
      <c r="BH269" s="215"/>
      <c r="BI269" s="215"/>
      <c r="BJ269" s="215"/>
      <c r="BK269" s="215"/>
      <c r="BL269" s="215"/>
      <c r="BM269" s="215"/>
      <c r="BN269" s="215"/>
      <c r="BO269" s="215"/>
      <c r="BP269" s="215"/>
      <c r="BQ269" s="215"/>
      <c r="BR269" s="215"/>
      <c r="BS269" s="191"/>
      <c r="BT269" s="191"/>
      <c r="BU269" s="191"/>
      <c r="BV269" s="191"/>
      <c r="BW269" s="191"/>
      <c r="BX269" s="191"/>
      <c r="BY269" s="191"/>
      <c r="BZ269" s="215"/>
      <c r="CA269" s="191"/>
      <c r="CB269" s="191"/>
      <c r="CC269" s="191"/>
      <c r="CD269" s="215"/>
      <c r="CE269" s="215"/>
      <c r="CF269" s="191"/>
      <c r="CG269" s="215"/>
      <c r="CH269" s="191"/>
      <c r="CI269" s="215"/>
      <c r="CJ269" s="215"/>
      <c r="CK269" s="215"/>
      <c r="CL269" s="215"/>
      <c r="CM269" s="215"/>
      <c r="CN269" s="215"/>
      <c r="CO269" s="215"/>
      <c r="CP269" s="215"/>
      <c r="CQ269" s="215"/>
      <c r="CR269" s="215"/>
      <c r="CS269" s="215"/>
      <c r="CT269" s="215"/>
    </row>
    <row r="270" ht="24.0" customHeight="1">
      <c r="A270" s="184" t="s">
        <v>354</v>
      </c>
      <c r="B270" s="184" t="s">
        <v>742</v>
      </c>
      <c r="C270" s="184" t="s">
        <v>653</v>
      </c>
      <c r="D270" s="184" t="s">
        <v>2431</v>
      </c>
      <c r="E270" s="236" t="s">
        <v>946</v>
      </c>
      <c r="F270" s="186" t="s">
        <v>2432</v>
      </c>
      <c r="G270" s="185">
        <v>61.0</v>
      </c>
      <c r="H270" s="189" t="s">
        <v>2891</v>
      </c>
      <c r="I270" s="189" t="s">
        <v>2892</v>
      </c>
      <c r="J270" s="189" t="s">
        <v>1357</v>
      </c>
      <c r="K270" s="189" t="s">
        <v>2893</v>
      </c>
      <c r="L270" s="189" t="s">
        <v>2894</v>
      </c>
      <c r="M270" s="189" t="s">
        <v>2895</v>
      </c>
      <c r="N270" s="189" t="s">
        <v>850</v>
      </c>
      <c r="O270" s="189" t="s">
        <v>764</v>
      </c>
      <c r="P270" s="189" t="s">
        <v>2419</v>
      </c>
      <c r="Q270" s="189" t="s">
        <v>2896</v>
      </c>
      <c r="R270" s="190"/>
      <c r="S270" s="190"/>
      <c r="T270" s="190"/>
      <c r="U270" s="190"/>
      <c r="V270" s="189" t="s">
        <v>1356</v>
      </c>
      <c r="W270" s="230" t="s">
        <v>1062</v>
      </c>
      <c r="X270" s="245" t="s">
        <v>1357</v>
      </c>
      <c r="Y270" s="189" t="s">
        <v>764</v>
      </c>
      <c r="Z270" s="189" t="s">
        <v>946</v>
      </c>
      <c r="AA270" s="189" t="s">
        <v>797</v>
      </c>
      <c r="AB270" s="191"/>
      <c r="AC270" s="191"/>
      <c r="AD270" s="191"/>
      <c r="AE270" s="191"/>
      <c r="AF270" s="191"/>
      <c r="AG270" s="191"/>
      <c r="AH270" s="191"/>
      <c r="AJ270" s="215"/>
      <c r="AK270" s="215"/>
      <c r="AL270" s="215"/>
      <c r="AM270" s="215"/>
      <c r="AN270" s="215"/>
      <c r="AO270" s="215"/>
      <c r="AP270" s="191"/>
      <c r="AQ270" s="215"/>
      <c r="AR270" s="191"/>
      <c r="AS270" s="215"/>
      <c r="AT270" s="215"/>
      <c r="AU270" s="215"/>
      <c r="AV270" s="215"/>
      <c r="AW270" s="191"/>
      <c r="AX270" s="191"/>
      <c r="AY270" s="191"/>
      <c r="AZ270" s="191"/>
      <c r="BA270" s="191"/>
      <c r="BB270" s="191"/>
      <c r="BC270" s="215"/>
      <c r="BD270" s="215"/>
      <c r="BE270" s="215"/>
      <c r="BF270" s="215"/>
      <c r="BG270" s="191"/>
      <c r="BH270" s="191"/>
      <c r="BI270" s="215"/>
      <c r="BJ270" s="215"/>
      <c r="BK270" s="215"/>
      <c r="BL270" s="215"/>
      <c r="BM270" s="215"/>
      <c r="BN270" s="215"/>
      <c r="BO270" s="215"/>
      <c r="BP270" s="215"/>
      <c r="BQ270" s="215"/>
      <c r="BR270" s="215"/>
      <c r="BS270" s="191"/>
      <c r="BT270" s="191"/>
      <c r="BU270" s="191"/>
      <c r="BV270" s="191"/>
      <c r="BW270" s="191"/>
      <c r="BX270" s="191"/>
      <c r="BY270" s="191"/>
      <c r="BZ270" s="215"/>
      <c r="CA270" s="191"/>
      <c r="CB270" s="191"/>
      <c r="CC270" s="191"/>
      <c r="CD270" s="215"/>
      <c r="CE270" s="215"/>
      <c r="CF270" s="191"/>
      <c r="CG270" s="215"/>
      <c r="CH270" s="191"/>
      <c r="CI270" s="215"/>
      <c r="CJ270" s="215"/>
      <c r="CK270" s="215"/>
      <c r="CL270" s="215"/>
      <c r="CM270" s="215"/>
      <c r="CN270" s="215"/>
      <c r="CO270" s="215"/>
      <c r="CP270" s="215"/>
      <c r="CQ270" s="215"/>
      <c r="CR270" s="215"/>
      <c r="CS270" s="215"/>
      <c r="CT270" s="215"/>
    </row>
    <row r="271" ht="24.0" customHeight="1">
      <c r="A271" s="184" t="s">
        <v>357</v>
      </c>
      <c r="B271" s="184" t="s">
        <v>742</v>
      </c>
      <c r="C271" s="184" t="s">
        <v>653</v>
      </c>
      <c r="D271" s="184" t="s">
        <v>2431</v>
      </c>
      <c r="E271" s="236" t="s">
        <v>946</v>
      </c>
      <c r="F271" s="186" t="s">
        <v>2432</v>
      </c>
      <c r="G271" s="185">
        <v>62.0</v>
      </c>
      <c r="H271" s="189" t="s">
        <v>2897</v>
      </c>
      <c r="I271" s="189" t="s">
        <v>2898</v>
      </c>
      <c r="J271" s="189" t="s">
        <v>2899</v>
      </c>
      <c r="K271" s="189" t="s">
        <v>2900</v>
      </c>
      <c r="L271" s="189" t="s">
        <v>2901</v>
      </c>
      <c r="M271" s="189" t="s">
        <v>2902</v>
      </c>
      <c r="N271" s="189" t="s">
        <v>850</v>
      </c>
      <c r="O271" s="189" t="s">
        <v>764</v>
      </c>
      <c r="P271" s="190"/>
      <c r="Q271" s="190"/>
      <c r="R271" s="190"/>
      <c r="S271" s="190"/>
      <c r="T271" s="190"/>
      <c r="U271" s="190"/>
      <c r="V271" s="189" t="s">
        <v>1515</v>
      </c>
      <c r="W271" s="230" t="s">
        <v>1516</v>
      </c>
      <c r="X271" s="245" t="s">
        <v>1517</v>
      </c>
      <c r="Y271" s="189" t="s">
        <v>764</v>
      </c>
      <c r="Z271" s="189" t="s">
        <v>946</v>
      </c>
      <c r="AA271" s="189" t="s">
        <v>757</v>
      </c>
      <c r="AB271" s="191"/>
      <c r="AC271" s="191"/>
      <c r="AD271" s="191"/>
      <c r="AE271" s="191"/>
      <c r="AF271" s="191"/>
      <c r="AG271" s="191"/>
      <c r="AH271" s="191"/>
      <c r="AJ271" s="215"/>
      <c r="AK271" s="215"/>
      <c r="AL271" s="215"/>
      <c r="AM271" s="215"/>
      <c r="AN271" s="215"/>
      <c r="AO271" s="215"/>
      <c r="AP271" s="191"/>
      <c r="AQ271" s="215"/>
      <c r="AR271" s="191"/>
      <c r="AS271" s="215"/>
      <c r="AT271" s="215"/>
      <c r="AU271" s="215"/>
      <c r="AV271" s="215"/>
      <c r="AW271" s="191"/>
      <c r="AX271" s="191"/>
      <c r="AY271" s="191"/>
      <c r="AZ271" s="191"/>
      <c r="BA271" s="191"/>
      <c r="BB271" s="191"/>
      <c r="BC271" s="191"/>
      <c r="BD271" s="191"/>
      <c r="BE271" s="191"/>
      <c r="BF271" s="191"/>
      <c r="BG271" s="215"/>
      <c r="BH271" s="215"/>
      <c r="BI271" s="215"/>
      <c r="BJ271" s="215"/>
      <c r="BK271" s="215"/>
      <c r="BL271" s="215"/>
      <c r="BM271" s="215"/>
      <c r="BN271" s="215"/>
      <c r="BO271" s="215"/>
      <c r="BP271" s="215"/>
      <c r="BQ271" s="215"/>
      <c r="BR271" s="215"/>
      <c r="BS271" s="191"/>
      <c r="BT271" s="191"/>
      <c r="BU271" s="191"/>
      <c r="BV271" s="191"/>
      <c r="BW271" s="191"/>
      <c r="BX271" s="191"/>
      <c r="BY271" s="191"/>
      <c r="BZ271" s="215"/>
      <c r="CA271" s="191"/>
      <c r="CB271" s="191"/>
      <c r="CC271" s="191"/>
      <c r="CD271" s="215"/>
      <c r="CE271" s="215"/>
      <c r="CF271" s="191"/>
      <c r="CG271" s="215"/>
      <c r="CH271" s="191"/>
      <c r="CI271" s="215"/>
      <c r="CJ271" s="191"/>
      <c r="CK271" s="191"/>
      <c r="CL271" s="215"/>
      <c r="CM271" s="215"/>
      <c r="CN271" s="215"/>
      <c r="CO271" s="215"/>
      <c r="CP271" s="215"/>
      <c r="CQ271" s="215"/>
      <c r="CR271" s="215"/>
      <c r="CS271" s="215"/>
      <c r="CT271" s="215"/>
    </row>
    <row r="272" ht="24.0" customHeight="1">
      <c r="A272" s="184" t="s">
        <v>355</v>
      </c>
      <c r="B272" s="184" t="s">
        <v>742</v>
      </c>
      <c r="C272" s="184" t="s">
        <v>653</v>
      </c>
      <c r="D272" s="184" t="s">
        <v>2431</v>
      </c>
      <c r="E272" s="236" t="s">
        <v>946</v>
      </c>
      <c r="F272" s="186" t="s">
        <v>2432</v>
      </c>
      <c r="G272" s="185">
        <v>63.0</v>
      </c>
      <c r="H272" s="189" t="s">
        <v>2498</v>
      </c>
      <c r="I272" s="189" t="s">
        <v>2903</v>
      </c>
      <c r="J272" s="189" t="s">
        <v>2904</v>
      </c>
      <c r="K272" s="189" t="s">
        <v>1861</v>
      </c>
      <c r="L272" s="189" t="s">
        <v>2905</v>
      </c>
      <c r="M272" s="189" t="s">
        <v>2906</v>
      </c>
      <c r="N272" s="189" t="s">
        <v>850</v>
      </c>
      <c r="O272" s="189" t="s">
        <v>764</v>
      </c>
      <c r="P272" s="190"/>
      <c r="Q272" s="190"/>
      <c r="R272" s="190"/>
      <c r="S272" s="190"/>
      <c r="T272" s="190"/>
      <c r="U272" s="190"/>
      <c r="V272" s="189" t="s">
        <v>963</v>
      </c>
      <c r="W272" s="230" t="s">
        <v>964</v>
      </c>
      <c r="X272" s="245" t="s">
        <v>965</v>
      </c>
      <c r="Y272" s="189" t="s">
        <v>764</v>
      </c>
      <c r="Z272" s="189" t="s">
        <v>946</v>
      </c>
      <c r="AA272" s="189" t="s">
        <v>757</v>
      </c>
      <c r="AB272" s="191"/>
      <c r="AC272" s="191"/>
      <c r="AD272" s="191"/>
      <c r="AE272" s="191"/>
      <c r="AF272" s="191"/>
      <c r="AG272" s="191"/>
      <c r="AH272" s="191"/>
      <c r="AJ272" s="215"/>
      <c r="AK272" s="215"/>
      <c r="AL272" s="215"/>
      <c r="AM272" s="215"/>
      <c r="AN272" s="215"/>
      <c r="AO272" s="215"/>
      <c r="AP272" s="191"/>
      <c r="AQ272" s="215"/>
      <c r="AR272" s="191"/>
      <c r="AS272" s="215"/>
      <c r="AT272" s="215"/>
      <c r="AU272" s="215"/>
      <c r="AV272" s="215"/>
      <c r="AW272" s="191"/>
      <c r="AX272" s="191"/>
      <c r="AY272" s="191"/>
      <c r="AZ272" s="191"/>
      <c r="BA272" s="191"/>
      <c r="BB272" s="191"/>
      <c r="BC272" s="215"/>
      <c r="BD272" s="215"/>
      <c r="BE272" s="215"/>
      <c r="BF272" s="215"/>
      <c r="BG272" s="191"/>
      <c r="BH272" s="191"/>
      <c r="BI272" s="191"/>
      <c r="BJ272" s="191"/>
      <c r="BK272" s="215"/>
      <c r="BL272" s="215"/>
      <c r="BM272" s="215"/>
      <c r="BN272" s="215"/>
      <c r="BO272" s="215"/>
      <c r="BP272" s="215"/>
      <c r="BQ272" s="215"/>
      <c r="BR272" s="215"/>
      <c r="BS272" s="191"/>
      <c r="BT272" s="191"/>
      <c r="BU272" s="191"/>
      <c r="BV272" s="191"/>
      <c r="BW272" s="191"/>
      <c r="BX272" s="191"/>
      <c r="BY272" s="215"/>
      <c r="BZ272" s="215"/>
      <c r="CA272" s="191"/>
      <c r="CB272" s="191"/>
      <c r="CC272" s="191"/>
      <c r="CD272" s="215"/>
      <c r="CE272" s="215"/>
      <c r="CF272" s="191"/>
      <c r="CG272" s="215"/>
      <c r="CH272" s="191"/>
      <c r="CI272" s="215"/>
      <c r="CJ272" s="215"/>
      <c r="CK272" s="215"/>
      <c r="CL272" s="191"/>
      <c r="CM272" s="215"/>
      <c r="CN272" s="215"/>
      <c r="CO272" s="215"/>
      <c r="CP272" s="215"/>
      <c r="CQ272" s="215"/>
      <c r="CR272" s="215"/>
      <c r="CS272" s="215"/>
      <c r="CT272" s="215"/>
    </row>
    <row r="273" ht="24.0" customHeight="1">
      <c r="A273" s="184" t="s">
        <v>292</v>
      </c>
      <c r="B273" s="184" t="s">
        <v>742</v>
      </c>
      <c r="C273" s="184" t="s">
        <v>654</v>
      </c>
      <c r="D273" s="184" t="s">
        <v>2431</v>
      </c>
      <c r="E273" s="236" t="s">
        <v>806</v>
      </c>
      <c r="F273" s="186" t="s">
        <v>2432</v>
      </c>
      <c r="G273" s="185">
        <v>64.0</v>
      </c>
      <c r="H273" s="189" t="s">
        <v>2907</v>
      </c>
      <c r="I273" s="189" t="s">
        <v>2908</v>
      </c>
      <c r="J273" s="189" t="s">
        <v>2909</v>
      </c>
      <c r="K273" s="189" t="s">
        <v>2910</v>
      </c>
      <c r="L273" s="189" t="s">
        <v>2911</v>
      </c>
      <c r="M273" s="189" t="s">
        <v>2912</v>
      </c>
      <c r="N273" s="189" t="s">
        <v>850</v>
      </c>
      <c r="O273" s="189" t="s">
        <v>773</v>
      </c>
      <c r="P273" s="190"/>
      <c r="Q273" s="190"/>
      <c r="R273" s="190"/>
      <c r="S273" s="190"/>
      <c r="T273" s="190"/>
      <c r="U273" s="190"/>
      <c r="V273" s="189" t="s">
        <v>2913</v>
      </c>
      <c r="W273" s="230" t="s">
        <v>2914</v>
      </c>
      <c r="X273" s="245" t="s">
        <v>2915</v>
      </c>
      <c r="Y273" s="189" t="s">
        <v>773</v>
      </c>
      <c r="Z273" s="189" t="s">
        <v>806</v>
      </c>
      <c r="AA273" s="189" t="s">
        <v>757</v>
      </c>
      <c r="AB273" s="191"/>
      <c r="AC273" s="191"/>
      <c r="AD273" s="191"/>
      <c r="AE273" s="191"/>
      <c r="AF273" s="191"/>
      <c r="AG273" s="191"/>
      <c r="AH273" s="191"/>
      <c r="AJ273" s="215"/>
      <c r="AK273" s="215"/>
      <c r="AL273" s="215"/>
      <c r="AM273" s="215"/>
      <c r="AN273" s="215"/>
      <c r="AO273" s="215"/>
      <c r="AP273" s="191"/>
      <c r="AQ273" s="215"/>
      <c r="AR273" s="191"/>
      <c r="AS273" s="215"/>
      <c r="AT273" s="215"/>
      <c r="AU273" s="215"/>
      <c r="AV273" s="215"/>
      <c r="AW273" s="191"/>
      <c r="AX273" s="191"/>
      <c r="AY273" s="191"/>
      <c r="AZ273" s="191"/>
      <c r="BA273" s="191"/>
      <c r="BB273" s="191"/>
      <c r="BC273" s="215"/>
      <c r="BD273" s="215"/>
      <c r="BE273" s="215"/>
      <c r="BF273" s="215"/>
      <c r="BG273" s="215"/>
      <c r="BH273" s="215"/>
      <c r="BI273" s="215"/>
      <c r="BJ273" s="215"/>
      <c r="BK273" s="215"/>
      <c r="BL273" s="215"/>
      <c r="BM273" s="215"/>
      <c r="BN273" s="215"/>
      <c r="BO273" s="215"/>
      <c r="BP273" s="215"/>
      <c r="BQ273" s="215"/>
      <c r="BR273" s="215"/>
      <c r="BS273" s="191"/>
      <c r="BT273" s="191"/>
      <c r="BU273" s="191"/>
      <c r="BV273" s="191"/>
      <c r="BW273" s="191"/>
      <c r="BX273" s="191"/>
      <c r="BY273" s="215"/>
      <c r="BZ273" s="215"/>
      <c r="CA273" s="191"/>
      <c r="CB273" s="191"/>
      <c r="CC273" s="191"/>
      <c r="CD273" s="215"/>
      <c r="CE273" s="215"/>
      <c r="CF273" s="191"/>
      <c r="CG273" s="215"/>
      <c r="CH273" s="191"/>
      <c r="CI273" s="215"/>
      <c r="CJ273" s="215"/>
      <c r="CK273" s="215"/>
      <c r="CL273" s="191"/>
      <c r="CM273" s="215"/>
      <c r="CN273" s="215"/>
      <c r="CO273" s="215"/>
      <c r="CP273" s="215"/>
      <c r="CQ273" s="215"/>
      <c r="CR273" s="215"/>
      <c r="CS273" s="215"/>
      <c r="CT273" s="215"/>
    </row>
    <row r="274" ht="24.0" customHeight="1">
      <c r="A274" s="184" t="s">
        <v>295</v>
      </c>
      <c r="B274" s="184" t="s">
        <v>742</v>
      </c>
      <c r="C274" s="184" t="s">
        <v>654</v>
      </c>
      <c r="D274" s="184" t="s">
        <v>2431</v>
      </c>
      <c r="E274" s="186" t="s">
        <v>806</v>
      </c>
      <c r="F274" s="186" t="s">
        <v>2432</v>
      </c>
      <c r="G274" s="185">
        <v>65.0</v>
      </c>
      <c r="H274" s="185" t="s">
        <v>2916</v>
      </c>
      <c r="I274" s="185" t="s">
        <v>2917</v>
      </c>
      <c r="J274" s="185" t="s">
        <v>2918</v>
      </c>
      <c r="K274" s="185" t="s">
        <v>2037</v>
      </c>
      <c r="L274" s="185" t="s">
        <v>2919</v>
      </c>
      <c r="M274" s="209" t="s">
        <v>2920</v>
      </c>
      <c r="N274" s="185" t="s">
        <v>850</v>
      </c>
      <c r="O274" s="185" t="s">
        <v>773</v>
      </c>
      <c r="P274" s="190"/>
      <c r="Q274" s="190"/>
      <c r="R274" s="190"/>
      <c r="S274" s="190"/>
      <c r="T274" s="190"/>
      <c r="U274" s="210"/>
      <c r="V274" s="185" t="s">
        <v>1168</v>
      </c>
      <c r="W274" s="230" t="s">
        <v>1169</v>
      </c>
      <c r="X274" s="245" t="s">
        <v>1170</v>
      </c>
      <c r="Y274" s="185" t="s">
        <v>773</v>
      </c>
      <c r="Z274" s="189" t="s">
        <v>806</v>
      </c>
      <c r="AA274" s="189" t="s">
        <v>797</v>
      </c>
      <c r="AB274" s="231"/>
      <c r="AC274" s="231"/>
      <c r="AD274" s="231"/>
      <c r="AE274" s="231"/>
      <c r="AF274" s="231"/>
      <c r="AG274" s="231"/>
      <c r="AH274" s="231"/>
      <c r="AJ274" s="231"/>
      <c r="AK274" s="232"/>
      <c r="AL274" s="231"/>
      <c r="AM274" s="232"/>
      <c r="AN274" s="231"/>
      <c r="AO274" s="232"/>
      <c r="AP274" s="232"/>
      <c r="AQ274" s="232"/>
      <c r="AR274" s="232"/>
      <c r="AS274" s="232"/>
      <c r="AT274" s="232"/>
      <c r="AU274" s="232"/>
      <c r="AV274" s="232"/>
      <c r="AW274" s="231"/>
      <c r="AX274" s="231"/>
      <c r="AY274" s="231"/>
      <c r="AZ274" s="231"/>
      <c r="BA274" s="231"/>
      <c r="BB274" s="231"/>
      <c r="BC274" s="232"/>
      <c r="BD274" s="232"/>
      <c r="BE274" s="232"/>
      <c r="BF274" s="232"/>
      <c r="BG274" s="231"/>
      <c r="BH274" s="231"/>
      <c r="BI274" s="231"/>
      <c r="BJ274" s="231"/>
      <c r="BK274" s="231"/>
      <c r="BL274" s="231"/>
      <c r="BM274" s="231"/>
      <c r="BN274" s="231"/>
      <c r="BO274" s="231"/>
      <c r="BP274" s="231"/>
      <c r="BQ274" s="232"/>
      <c r="BR274" s="232"/>
      <c r="BS274" s="231"/>
      <c r="BT274" s="231"/>
      <c r="BU274" s="231"/>
      <c r="BV274" s="231"/>
      <c r="BW274" s="231"/>
      <c r="BX274" s="231"/>
      <c r="BY274" s="231"/>
      <c r="BZ274" s="232"/>
      <c r="CA274" s="231"/>
      <c r="CB274" s="231"/>
      <c r="CC274" s="231"/>
      <c r="CD274" s="231"/>
      <c r="CE274" s="232"/>
      <c r="CF274" s="232"/>
      <c r="CG274" s="232"/>
      <c r="CH274" s="231"/>
      <c r="CI274" s="232"/>
      <c r="CJ274" s="232"/>
      <c r="CK274" s="231"/>
      <c r="CL274" s="233"/>
      <c r="CM274" s="232"/>
      <c r="CN274" s="232"/>
      <c r="CO274" s="232"/>
      <c r="CP274" s="232"/>
      <c r="CQ274" s="232"/>
      <c r="CR274" s="232"/>
      <c r="CS274" s="232"/>
      <c r="CT274" s="232"/>
    </row>
    <row r="275" ht="24.0" customHeight="1">
      <c r="A275" s="184" t="s">
        <v>294</v>
      </c>
      <c r="B275" s="184" t="s">
        <v>742</v>
      </c>
      <c r="C275" s="184" t="s">
        <v>654</v>
      </c>
      <c r="D275" s="184" t="s">
        <v>2431</v>
      </c>
      <c r="E275" s="186" t="s">
        <v>806</v>
      </c>
      <c r="F275" s="186" t="s">
        <v>2432</v>
      </c>
      <c r="G275" s="185">
        <v>66.0</v>
      </c>
      <c r="H275" s="185" t="s">
        <v>2921</v>
      </c>
      <c r="I275" s="185" t="s">
        <v>2922</v>
      </c>
      <c r="J275" s="185" t="s">
        <v>2923</v>
      </c>
      <c r="K275" s="185" t="s">
        <v>2924</v>
      </c>
      <c r="L275" s="185" t="s">
        <v>2925</v>
      </c>
      <c r="M275" s="185" t="s">
        <v>2926</v>
      </c>
      <c r="N275" s="185" t="s">
        <v>850</v>
      </c>
      <c r="O275" s="185" t="s">
        <v>773</v>
      </c>
      <c r="P275" s="190"/>
      <c r="Q275" s="190"/>
      <c r="R275" s="190"/>
      <c r="S275" s="190"/>
      <c r="T275" s="190"/>
      <c r="U275" s="210"/>
      <c r="V275" s="185" t="s">
        <v>1168</v>
      </c>
      <c r="W275" s="230" t="s">
        <v>1169</v>
      </c>
      <c r="X275" s="245" t="s">
        <v>1170</v>
      </c>
      <c r="Y275" s="185" t="s">
        <v>773</v>
      </c>
      <c r="Z275" s="189" t="s">
        <v>806</v>
      </c>
      <c r="AA275" s="189" t="s">
        <v>797</v>
      </c>
      <c r="AB275" s="231"/>
      <c r="AC275" s="231"/>
      <c r="AD275" s="231"/>
      <c r="AE275" s="231"/>
      <c r="AF275" s="231"/>
      <c r="AG275" s="231"/>
      <c r="AH275" s="231"/>
      <c r="AJ275" s="231"/>
      <c r="AK275" s="232"/>
      <c r="AL275" s="231"/>
      <c r="AM275" s="232"/>
      <c r="AN275" s="231"/>
      <c r="AO275" s="232"/>
      <c r="AP275" s="232"/>
      <c r="AQ275" s="232"/>
      <c r="AR275" s="232"/>
      <c r="AS275" s="232"/>
      <c r="AT275" s="232"/>
      <c r="AU275" s="232"/>
      <c r="AV275" s="232"/>
      <c r="AW275" s="231"/>
      <c r="AX275" s="231"/>
      <c r="AY275" s="231"/>
      <c r="AZ275" s="231"/>
      <c r="BA275" s="231"/>
      <c r="BB275" s="231"/>
      <c r="BC275" s="232"/>
      <c r="BD275" s="232"/>
      <c r="BE275" s="232"/>
      <c r="BF275" s="232"/>
      <c r="BG275" s="232"/>
      <c r="BH275" s="232"/>
      <c r="BI275" s="232"/>
      <c r="BJ275" s="232"/>
      <c r="BK275" s="232"/>
      <c r="BL275" s="232"/>
      <c r="BM275" s="232"/>
      <c r="BN275" s="232"/>
      <c r="BO275" s="232"/>
      <c r="BP275" s="232"/>
      <c r="BQ275" s="232"/>
      <c r="BR275" s="232"/>
      <c r="BS275" s="231"/>
      <c r="BT275" s="231"/>
      <c r="BU275" s="231"/>
      <c r="BV275" s="231"/>
      <c r="BW275" s="231"/>
      <c r="BX275" s="231"/>
      <c r="BY275" s="231"/>
      <c r="BZ275" s="232"/>
      <c r="CA275" s="231"/>
      <c r="CB275" s="231"/>
      <c r="CC275" s="231"/>
      <c r="CD275" s="231"/>
      <c r="CE275" s="232"/>
      <c r="CF275" s="232"/>
      <c r="CG275" s="232"/>
      <c r="CH275" s="231"/>
      <c r="CI275" s="232"/>
      <c r="CJ275" s="232"/>
      <c r="CK275" s="231"/>
      <c r="CL275" s="233"/>
      <c r="CM275" s="232"/>
      <c r="CN275" s="232"/>
      <c r="CO275" s="232"/>
      <c r="CP275" s="232"/>
      <c r="CQ275" s="232"/>
      <c r="CR275" s="232"/>
      <c r="CS275" s="232"/>
      <c r="CT275" s="232"/>
    </row>
    <row r="276" ht="24.0" customHeight="1">
      <c r="A276" s="220" t="s">
        <v>291</v>
      </c>
      <c r="B276" s="220" t="s">
        <v>742</v>
      </c>
      <c r="C276" s="220" t="s">
        <v>654</v>
      </c>
      <c r="D276" s="184" t="s">
        <v>2431</v>
      </c>
      <c r="E276" s="221" t="s">
        <v>806</v>
      </c>
      <c r="F276" s="186" t="s">
        <v>2432</v>
      </c>
      <c r="G276" s="225">
        <v>67.0</v>
      </c>
      <c r="H276" s="225" t="s">
        <v>2927</v>
      </c>
      <c r="I276" s="225" t="s">
        <v>2928</v>
      </c>
      <c r="J276" s="225" t="s">
        <v>2929</v>
      </c>
      <c r="K276" s="225" t="s">
        <v>2930</v>
      </c>
      <c r="L276" s="225" t="s">
        <v>2931</v>
      </c>
      <c r="M276" s="225" t="s">
        <v>2932</v>
      </c>
      <c r="N276" s="225" t="s">
        <v>850</v>
      </c>
      <c r="O276" s="225" t="s">
        <v>773</v>
      </c>
      <c r="P276" s="210"/>
      <c r="Q276" s="190"/>
      <c r="R276" s="190"/>
      <c r="S276" s="190"/>
      <c r="T276" s="190"/>
      <c r="U276" s="210"/>
      <c r="V276" s="225" t="s">
        <v>2913</v>
      </c>
      <c r="W276" s="234" t="s">
        <v>2914</v>
      </c>
      <c r="X276" s="247" t="s">
        <v>2915</v>
      </c>
      <c r="Y276" s="225" t="s">
        <v>773</v>
      </c>
      <c r="Z276" s="225" t="s">
        <v>806</v>
      </c>
      <c r="AA276" s="224" t="s">
        <v>797</v>
      </c>
      <c r="AB276" s="231"/>
      <c r="AC276" s="231"/>
      <c r="AD276" s="231"/>
      <c r="AE276" s="231"/>
      <c r="AF276" s="231"/>
      <c r="AG276" s="231"/>
      <c r="AH276" s="231"/>
      <c r="AJ276" s="231"/>
      <c r="AK276" s="232"/>
      <c r="AL276" s="231"/>
      <c r="AM276" s="232"/>
      <c r="AN276" s="231"/>
      <c r="AO276" s="232"/>
      <c r="AP276" s="232"/>
      <c r="AQ276" s="232"/>
      <c r="AR276" s="232"/>
      <c r="AS276" s="232"/>
      <c r="AT276" s="232"/>
      <c r="AU276" s="232"/>
      <c r="AV276" s="232"/>
      <c r="AW276" s="231"/>
      <c r="AX276" s="231"/>
      <c r="AY276" s="231"/>
      <c r="AZ276" s="231"/>
      <c r="BA276" s="231"/>
      <c r="BB276" s="231"/>
      <c r="BC276" s="232"/>
      <c r="BD276" s="232"/>
      <c r="BE276" s="232"/>
      <c r="BF276" s="232"/>
      <c r="BG276" s="231"/>
      <c r="BH276" s="231"/>
      <c r="BI276" s="231"/>
      <c r="BJ276" s="231"/>
      <c r="BK276" s="231"/>
      <c r="BL276" s="231"/>
      <c r="BM276" s="231"/>
      <c r="BN276" s="231"/>
      <c r="BO276" s="231"/>
      <c r="BP276" s="231"/>
      <c r="BQ276" s="232"/>
      <c r="BR276" s="232"/>
      <c r="BS276" s="231"/>
      <c r="BT276" s="231"/>
      <c r="BU276" s="231"/>
      <c r="BV276" s="231"/>
      <c r="BW276" s="231"/>
      <c r="BX276" s="231"/>
      <c r="BY276" s="231"/>
      <c r="BZ276" s="231"/>
      <c r="CA276" s="231"/>
      <c r="CB276" s="231"/>
      <c r="CC276" s="231"/>
      <c r="CD276" s="231"/>
      <c r="CE276" s="232"/>
      <c r="CF276" s="232"/>
      <c r="CG276" s="232"/>
      <c r="CH276" s="231"/>
      <c r="CI276" s="232"/>
      <c r="CJ276" s="232"/>
      <c r="CK276" s="231"/>
      <c r="CL276" s="233"/>
      <c r="CM276" s="232"/>
      <c r="CN276" s="232"/>
      <c r="CO276" s="232"/>
      <c r="CP276" s="232"/>
      <c r="CQ276" s="232"/>
      <c r="CR276" s="232"/>
      <c r="CS276" s="232"/>
      <c r="CT276" s="232"/>
    </row>
    <row r="277" ht="24.0" customHeight="1">
      <c r="A277" s="184" t="s">
        <v>296</v>
      </c>
      <c r="B277" s="184" t="s">
        <v>742</v>
      </c>
      <c r="C277" s="184" t="s">
        <v>654</v>
      </c>
      <c r="D277" s="184" t="s">
        <v>2431</v>
      </c>
      <c r="E277" s="186" t="s">
        <v>806</v>
      </c>
      <c r="F277" s="186" t="s">
        <v>2432</v>
      </c>
      <c r="G277" s="185">
        <v>68.0</v>
      </c>
      <c r="H277" s="185" t="s">
        <v>1120</v>
      </c>
      <c r="I277" s="185" t="s">
        <v>2933</v>
      </c>
      <c r="J277" s="185" t="s">
        <v>2934</v>
      </c>
      <c r="K277" s="185" t="s">
        <v>2935</v>
      </c>
      <c r="L277" s="185" t="s">
        <v>2936</v>
      </c>
      <c r="M277" s="185" t="s">
        <v>2937</v>
      </c>
      <c r="N277" s="185" t="s">
        <v>850</v>
      </c>
      <c r="O277" s="189" t="s">
        <v>773</v>
      </c>
      <c r="P277" s="190"/>
      <c r="Q277" s="190"/>
      <c r="R277" s="190"/>
      <c r="S277" s="190"/>
      <c r="T277" s="210"/>
      <c r="U277" s="210"/>
      <c r="V277" s="185" t="s">
        <v>2913</v>
      </c>
      <c r="W277" s="230" t="s">
        <v>2914</v>
      </c>
      <c r="X277" s="245" t="s">
        <v>2915</v>
      </c>
      <c r="Y277" s="185" t="s">
        <v>773</v>
      </c>
      <c r="Z277" s="185" t="s">
        <v>806</v>
      </c>
      <c r="AA277" s="189" t="s">
        <v>757</v>
      </c>
      <c r="AB277" s="231"/>
      <c r="AC277" s="231"/>
      <c r="AD277" s="231"/>
      <c r="AE277" s="231"/>
      <c r="AF277" s="231"/>
      <c r="AG277" s="231"/>
      <c r="AH277" s="231"/>
      <c r="AJ277" s="231"/>
      <c r="AK277" s="232"/>
      <c r="AL277" s="231"/>
      <c r="AM277" s="232"/>
      <c r="AN277" s="231"/>
      <c r="AO277" s="232"/>
      <c r="AP277" s="232"/>
      <c r="AQ277" s="232"/>
      <c r="AR277" s="232"/>
      <c r="AS277" s="232"/>
      <c r="AT277" s="232"/>
      <c r="AU277" s="232"/>
      <c r="AV277" s="232"/>
      <c r="AW277" s="231"/>
      <c r="AX277" s="231"/>
      <c r="AY277" s="231"/>
      <c r="AZ277" s="231"/>
      <c r="BA277" s="231"/>
      <c r="BB277" s="231"/>
      <c r="BC277" s="232"/>
      <c r="BD277" s="232"/>
      <c r="BE277" s="232"/>
      <c r="BF277" s="232"/>
      <c r="BG277" s="232"/>
      <c r="BH277" s="231"/>
      <c r="BI277" s="231"/>
      <c r="BJ277" s="231"/>
      <c r="BK277" s="231"/>
      <c r="BL277" s="231"/>
      <c r="BM277" s="231"/>
      <c r="BN277" s="231"/>
      <c r="BO277" s="231"/>
      <c r="BP277" s="231"/>
      <c r="BQ277" s="232"/>
      <c r="BR277" s="232"/>
      <c r="BS277" s="231"/>
      <c r="BT277" s="231"/>
      <c r="BU277" s="231"/>
      <c r="BV277" s="231"/>
      <c r="BW277" s="231"/>
      <c r="BX277" s="231"/>
      <c r="BY277" s="231"/>
      <c r="BZ277" s="231"/>
      <c r="CA277" s="231"/>
      <c r="CB277" s="231"/>
      <c r="CC277" s="231"/>
      <c r="CD277" s="231"/>
      <c r="CE277" s="232"/>
      <c r="CF277" s="232"/>
      <c r="CG277" s="232"/>
      <c r="CH277" s="231"/>
      <c r="CI277" s="232"/>
      <c r="CJ277" s="232"/>
      <c r="CK277" s="231"/>
      <c r="CL277" s="233"/>
      <c r="CM277" s="232"/>
      <c r="CN277" s="232"/>
      <c r="CO277" s="232"/>
      <c r="CP277" s="232"/>
      <c r="CQ277" s="232"/>
      <c r="CR277" s="232"/>
      <c r="CS277" s="232"/>
      <c r="CT277" s="232"/>
    </row>
    <row r="278" ht="24.0" customHeight="1">
      <c r="A278" s="184" t="s">
        <v>303</v>
      </c>
      <c r="B278" s="184" t="s">
        <v>742</v>
      </c>
      <c r="C278" s="184" t="s">
        <v>655</v>
      </c>
      <c r="D278" s="184" t="s">
        <v>2431</v>
      </c>
      <c r="E278" s="186" t="s">
        <v>1543</v>
      </c>
      <c r="F278" s="186" t="s">
        <v>2432</v>
      </c>
      <c r="G278" s="185">
        <v>69.0</v>
      </c>
      <c r="H278" s="185" t="s">
        <v>2938</v>
      </c>
      <c r="I278" s="185" t="s">
        <v>2939</v>
      </c>
      <c r="J278" s="185" t="s">
        <v>2940</v>
      </c>
      <c r="K278" s="185" t="s">
        <v>2941</v>
      </c>
      <c r="L278" s="185" t="s">
        <v>2942</v>
      </c>
      <c r="M278" s="185" t="s">
        <v>2943</v>
      </c>
      <c r="N278" s="185" t="s">
        <v>850</v>
      </c>
      <c r="O278" s="189" t="s">
        <v>784</v>
      </c>
      <c r="P278" s="190"/>
      <c r="Q278" s="190"/>
      <c r="R278" s="190"/>
      <c r="S278" s="190"/>
      <c r="T278" s="190"/>
      <c r="U278" s="210"/>
      <c r="V278" s="185" t="s">
        <v>1608</v>
      </c>
      <c r="W278" s="230" t="s">
        <v>1609</v>
      </c>
      <c r="X278" s="245" t="s">
        <v>2944</v>
      </c>
      <c r="Y278" s="185" t="s">
        <v>784</v>
      </c>
      <c r="Z278" s="185" t="s">
        <v>1543</v>
      </c>
      <c r="AA278" s="189" t="s">
        <v>2945</v>
      </c>
      <c r="AB278" s="231"/>
      <c r="AC278" s="231"/>
      <c r="AD278" s="231"/>
      <c r="AE278" s="231"/>
      <c r="AF278" s="231"/>
      <c r="AG278" s="231"/>
      <c r="AH278" s="231"/>
      <c r="AJ278" s="231"/>
      <c r="AK278" s="232"/>
      <c r="AL278" s="231"/>
      <c r="AM278" s="232"/>
      <c r="AN278" s="231"/>
      <c r="AO278" s="232"/>
      <c r="AP278" s="232"/>
      <c r="AQ278" s="232"/>
      <c r="AR278" s="232"/>
      <c r="AS278" s="232"/>
      <c r="AT278" s="232"/>
      <c r="AU278" s="232"/>
      <c r="AV278" s="232"/>
      <c r="AW278" s="231"/>
      <c r="AX278" s="231"/>
      <c r="AY278" s="231"/>
      <c r="AZ278" s="231"/>
      <c r="BA278" s="231"/>
      <c r="BB278" s="231"/>
      <c r="BC278" s="232"/>
      <c r="BD278" s="232"/>
      <c r="BE278" s="232"/>
      <c r="BF278" s="232"/>
      <c r="BG278" s="232"/>
      <c r="BH278" s="232"/>
      <c r="BI278" s="232"/>
      <c r="BJ278" s="232"/>
      <c r="BK278" s="232"/>
      <c r="BL278" s="232"/>
      <c r="BM278" s="232"/>
      <c r="BN278" s="232"/>
      <c r="BO278" s="232"/>
      <c r="BP278" s="232"/>
      <c r="BQ278" s="232"/>
      <c r="BR278" s="232"/>
      <c r="BS278" s="231"/>
      <c r="BT278" s="231"/>
      <c r="BU278" s="231"/>
      <c r="BV278" s="231"/>
      <c r="BW278" s="231"/>
      <c r="BX278" s="231"/>
      <c r="BY278" s="231"/>
      <c r="BZ278" s="231"/>
      <c r="CA278" s="231"/>
      <c r="CB278" s="231"/>
      <c r="CC278" s="231"/>
      <c r="CD278" s="231"/>
      <c r="CE278" s="232"/>
      <c r="CF278" s="232"/>
      <c r="CG278" s="232"/>
      <c r="CH278" s="231"/>
      <c r="CI278" s="232"/>
      <c r="CJ278" s="232"/>
      <c r="CK278" s="232"/>
      <c r="CL278" s="232"/>
      <c r="CM278" s="232"/>
      <c r="CN278" s="232"/>
      <c r="CO278" s="232"/>
      <c r="CP278" s="232"/>
      <c r="CQ278" s="232"/>
      <c r="CR278" s="232"/>
      <c r="CS278" s="232"/>
      <c r="CT278" s="232"/>
    </row>
    <row r="279" ht="24.0" customHeight="1">
      <c r="A279" s="184" t="s">
        <v>299</v>
      </c>
      <c r="B279" s="184" t="s">
        <v>742</v>
      </c>
      <c r="C279" s="184" t="s">
        <v>655</v>
      </c>
      <c r="D279" s="184" t="s">
        <v>2431</v>
      </c>
      <c r="E279" s="186" t="s">
        <v>1543</v>
      </c>
      <c r="F279" s="186" t="s">
        <v>2432</v>
      </c>
      <c r="G279" s="185">
        <v>70.0</v>
      </c>
      <c r="H279" s="185" t="s">
        <v>930</v>
      </c>
      <c r="I279" s="185" t="s">
        <v>2946</v>
      </c>
      <c r="J279" s="185" t="s">
        <v>2947</v>
      </c>
      <c r="K279" s="185" t="s">
        <v>1576</v>
      </c>
      <c r="L279" s="185" t="s">
        <v>2948</v>
      </c>
      <c r="M279" s="185" t="s">
        <v>2949</v>
      </c>
      <c r="N279" s="185" t="s">
        <v>850</v>
      </c>
      <c r="O279" s="189" t="s">
        <v>764</v>
      </c>
      <c r="P279" s="190"/>
      <c r="Q279" s="190"/>
      <c r="R279" s="190"/>
      <c r="S279" s="190"/>
      <c r="T279" s="190"/>
      <c r="U279" s="210"/>
      <c r="V279" s="185" t="s">
        <v>2950</v>
      </c>
      <c r="W279" s="230" t="s">
        <v>2951</v>
      </c>
      <c r="X279" s="245" t="s">
        <v>2952</v>
      </c>
      <c r="Y279" s="185" t="s">
        <v>764</v>
      </c>
      <c r="Z279" s="185" t="s">
        <v>1543</v>
      </c>
      <c r="AA279" s="189" t="s">
        <v>797</v>
      </c>
      <c r="AB279" s="231"/>
      <c r="AC279" s="231"/>
      <c r="AD279" s="231"/>
      <c r="AE279" s="231"/>
      <c r="AF279" s="231"/>
      <c r="AG279" s="231"/>
      <c r="AH279" s="231"/>
      <c r="AJ279" s="231"/>
      <c r="AK279" s="232"/>
      <c r="AL279" s="231"/>
      <c r="AM279" s="232"/>
      <c r="AN279" s="231"/>
      <c r="AO279" s="232"/>
      <c r="AP279" s="232"/>
      <c r="AQ279" s="232"/>
      <c r="AR279" s="232"/>
      <c r="AS279" s="232"/>
      <c r="AT279" s="232"/>
      <c r="AU279" s="232"/>
      <c r="AV279" s="232"/>
      <c r="AW279" s="231"/>
      <c r="AX279" s="231"/>
      <c r="AY279" s="231"/>
      <c r="AZ279" s="231"/>
      <c r="BA279" s="231"/>
      <c r="BB279" s="231"/>
      <c r="BC279" s="231"/>
      <c r="BD279" s="231"/>
      <c r="BE279" s="231"/>
      <c r="BF279" s="231"/>
      <c r="BG279" s="232"/>
      <c r="BH279" s="232"/>
      <c r="BI279" s="232"/>
      <c r="BJ279" s="232"/>
      <c r="BK279" s="232"/>
      <c r="BL279" s="232"/>
      <c r="BM279" s="232"/>
      <c r="BN279" s="232"/>
      <c r="BO279" s="232"/>
      <c r="BP279" s="232"/>
      <c r="BQ279" s="232"/>
      <c r="BR279" s="232"/>
      <c r="BS279" s="231"/>
      <c r="BT279" s="231"/>
      <c r="BU279" s="231"/>
      <c r="BV279" s="231"/>
      <c r="BW279" s="231"/>
      <c r="BX279" s="231"/>
      <c r="BY279" s="232"/>
      <c r="BZ279" s="232"/>
      <c r="CA279" s="231"/>
      <c r="CB279" s="231"/>
      <c r="CC279" s="231"/>
      <c r="CD279" s="231"/>
      <c r="CE279" s="232"/>
      <c r="CF279" s="232"/>
      <c r="CG279" s="232"/>
      <c r="CH279" s="231"/>
      <c r="CI279" s="232"/>
      <c r="CJ279" s="232"/>
      <c r="CK279" s="232"/>
      <c r="CL279" s="235"/>
      <c r="CM279" s="232"/>
      <c r="CN279" s="232"/>
      <c r="CO279" s="232"/>
      <c r="CP279" s="232"/>
      <c r="CQ279" s="232"/>
      <c r="CR279" s="232"/>
      <c r="CS279" s="232"/>
      <c r="CT279" s="232"/>
    </row>
    <row r="280" ht="24.0" customHeight="1">
      <c r="A280" s="184" t="s">
        <v>302</v>
      </c>
      <c r="B280" s="184" t="s">
        <v>742</v>
      </c>
      <c r="C280" s="184" t="s">
        <v>655</v>
      </c>
      <c r="D280" s="184" t="s">
        <v>2431</v>
      </c>
      <c r="E280" s="236" t="s">
        <v>1543</v>
      </c>
      <c r="F280" s="186" t="s">
        <v>2432</v>
      </c>
      <c r="G280" s="185">
        <v>71.0</v>
      </c>
      <c r="H280" s="189" t="s">
        <v>2953</v>
      </c>
      <c r="I280" s="189" t="s">
        <v>2954</v>
      </c>
      <c r="J280" s="189" t="s">
        <v>2955</v>
      </c>
      <c r="K280" s="189" t="s">
        <v>1576</v>
      </c>
      <c r="L280" s="189" t="s">
        <v>2956</v>
      </c>
      <c r="M280" s="189" t="s">
        <v>2957</v>
      </c>
      <c r="N280" s="189" t="s">
        <v>850</v>
      </c>
      <c r="O280" s="189" t="s">
        <v>764</v>
      </c>
      <c r="P280" s="190"/>
      <c r="Q280" s="190"/>
      <c r="R280" s="190"/>
      <c r="S280" s="190"/>
      <c r="T280" s="190"/>
      <c r="U280" s="190"/>
      <c r="V280" s="189" t="s">
        <v>2950</v>
      </c>
      <c r="W280" s="230" t="s">
        <v>2951</v>
      </c>
      <c r="X280" s="245" t="s">
        <v>2952</v>
      </c>
      <c r="Y280" s="189" t="s">
        <v>764</v>
      </c>
      <c r="Z280" s="189" t="s">
        <v>1543</v>
      </c>
      <c r="AA280" s="189" t="s">
        <v>1296</v>
      </c>
      <c r="AB280" s="191"/>
      <c r="AC280" s="191"/>
      <c r="AD280" s="191"/>
      <c r="AE280" s="191"/>
      <c r="AF280" s="191"/>
      <c r="AG280" s="191"/>
      <c r="AH280" s="191"/>
      <c r="AJ280" s="215"/>
      <c r="AK280" s="215"/>
      <c r="AL280" s="215"/>
      <c r="AM280" s="215"/>
      <c r="AN280" s="215"/>
      <c r="AO280" s="215"/>
      <c r="AP280" s="191"/>
      <c r="AQ280" s="215"/>
      <c r="AR280" s="191"/>
      <c r="AS280" s="215"/>
      <c r="AT280" s="215"/>
      <c r="AU280" s="215"/>
      <c r="AV280" s="215"/>
      <c r="AW280" s="191"/>
      <c r="AX280" s="191"/>
      <c r="AY280" s="191"/>
      <c r="AZ280" s="191"/>
      <c r="BA280" s="191"/>
      <c r="BB280" s="191"/>
      <c r="BC280" s="191"/>
      <c r="BD280" s="191"/>
      <c r="BE280" s="191"/>
      <c r="BF280" s="191"/>
      <c r="BG280" s="191"/>
      <c r="BH280" s="191"/>
      <c r="BI280" s="191"/>
      <c r="BJ280" s="191"/>
      <c r="BK280" s="191"/>
      <c r="BL280" s="191"/>
      <c r="BM280" s="215"/>
      <c r="BN280" s="215"/>
      <c r="BO280" s="215"/>
      <c r="BP280" s="215"/>
      <c r="BQ280" s="215"/>
      <c r="BR280" s="215"/>
      <c r="BS280" s="191"/>
      <c r="BT280" s="191"/>
      <c r="BU280" s="191"/>
      <c r="BV280" s="191"/>
      <c r="BW280" s="191"/>
      <c r="BX280" s="191"/>
      <c r="BY280" s="191"/>
      <c r="BZ280" s="191"/>
      <c r="CA280" s="191"/>
      <c r="CB280" s="191"/>
      <c r="CC280" s="191"/>
      <c r="CD280" s="215"/>
      <c r="CE280" s="215"/>
      <c r="CF280" s="191"/>
      <c r="CG280" s="215"/>
      <c r="CH280" s="191"/>
      <c r="CI280" s="215"/>
      <c r="CJ280" s="215"/>
      <c r="CK280" s="191"/>
      <c r="CL280" s="240"/>
      <c r="CM280" s="215"/>
      <c r="CN280" s="215"/>
      <c r="CO280" s="215"/>
      <c r="CP280" s="215"/>
      <c r="CQ280" s="215"/>
      <c r="CR280" s="215"/>
      <c r="CS280" s="215"/>
      <c r="CT280" s="215"/>
    </row>
    <row r="281" ht="24.0" customHeight="1">
      <c r="A281" s="184" t="s">
        <v>301</v>
      </c>
      <c r="B281" s="184" t="s">
        <v>742</v>
      </c>
      <c r="C281" s="184" t="s">
        <v>655</v>
      </c>
      <c r="D281" s="184" t="s">
        <v>2431</v>
      </c>
      <c r="E281" s="236" t="s">
        <v>1543</v>
      </c>
      <c r="F281" s="186" t="s">
        <v>2432</v>
      </c>
      <c r="G281" s="185">
        <v>72.0</v>
      </c>
      <c r="H281" s="189" t="s">
        <v>2958</v>
      </c>
      <c r="I281" s="189" t="s">
        <v>2959</v>
      </c>
      <c r="J281" s="189" t="s">
        <v>2960</v>
      </c>
      <c r="K281" s="189" t="s">
        <v>2961</v>
      </c>
      <c r="L281" s="189" t="s">
        <v>2962</v>
      </c>
      <c r="M281" s="189" t="s">
        <v>2963</v>
      </c>
      <c r="N281" s="189" t="s">
        <v>850</v>
      </c>
      <c r="O281" s="189" t="s">
        <v>764</v>
      </c>
      <c r="P281" s="189" t="s">
        <v>2964</v>
      </c>
      <c r="Q281" s="189" t="s">
        <v>2965</v>
      </c>
      <c r="R281" s="190"/>
      <c r="S281" s="190"/>
      <c r="T281" s="190"/>
      <c r="U281" s="190"/>
      <c r="V281" s="189" t="s">
        <v>1894</v>
      </c>
      <c r="W281" s="230" t="s">
        <v>1895</v>
      </c>
      <c r="X281" s="245" t="s">
        <v>1896</v>
      </c>
      <c r="Y281" s="189" t="s">
        <v>764</v>
      </c>
      <c r="Z281" s="189" t="s">
        <v>1543</v>
      </c>
      <c r="AA281" s="189" t="s">
        <v>797</v>
      </c>
      <c r="AB281" s="191"/>
      <c r="AC281" s="191"/>
      <c r="AD281" s="191"/>
      <c r="AE281" s="191"/>
      <c r="AF281" s="191"/>
      <c r="AG281" s="191"/>
      <c r="AH281" s="191"/>
      <c r="AJ281" s="215"/>
      <c r="AK281" s="215"/>
      <c r="AL281" s="215"/>
      <c r="AM281" s="215"/>
      <c r="AN281" s="215"/>
      <c r="AO281" s="215"/>
      <c r="AP281" s="191"/>
      <c r="AQ281" s="215"/>
      <c r="AR281" s="191"/>
      <c r="AS281" s="215"/>
      <c r="AT281" s="215"/>
      <c r="AU281" s="215"/>
      <c r="AV281" s="215"/>
      <c r="AW281" s="191"/>
      <c r="AX281" s="191"/>
      <c r="AY281" s="191"/>
      <c r="AZ281" s="191"/>
      <c r="BA281" s="191"/>
      <c r="BB281" s="191"/>
      <c r="BC281" s="215"/>
      <c r="BD281" s="215"/>
      <c r="BE281" s="215"/>
      <c r="BF281" s="215"/>
      <c r="BG281" s="191"/>
      <c r="BH281" s="191"/>
      <c r="BI281" s="191"/>
      <c r="BJ281" s="191"/>
      <c r="BK281" s="191"/>
      <c r="BL281" s="191"/>
      <c r="BM281" s="191"/>
      <c r="BN281" s="191"/>
      <c r="BO281" s="215"/>
      <c r="BP281" s="215"/>
      <c r="BQ281" s="215"/>
      <c r="BR281" s="215"/>
      <c r="BS281" s="191"/>
      <c r="BT281" s="191"/>
      <c r="BU281" s="191"/>
      <c r="BV281" s="191"/>
      <c r="BW281" s="191"/>
      <c r="BX281" s="191"/>
      <c r="BY281" s="191"/>
      <c r="BZ281" s="191"/>
      <c r="CA281" s="191"/>
      <c r="CB281" s="191"/>
      <c r="CC281" s="191"/>
      <c r="CD281" s="215"/>
      <c r="CE281" s="215"/>
      <c r="CF281" s="191"/>
      <c r="CG281" s="215"/>
      <c r="CH281" s="191"/>
      <c r="CI281" s="215"/>
      <c r="CJ281" s="215"/>
      <c r="CK281" s="215"/>
      <c r="CL281" s="215"/>
      <c r="CM281" s="215"/>
      <c r="CN281" s="215"/>
      <c r="CO281" s="215"/>
      <c r="CP281" s="215"/>
      <c r="CQ281" s="215"/>
      <c r="CR281" s="215"/>
      <c r="CS281" s="215"/>
      <c r="CT281" s="215"/>
    </row>
    <row r="282" ht="24.0" customHeight="1">
      <c r="A282" s="184" t="s">
        <v>298</v>
      </c>
      <c r="B282" s="184" t="s">
        <v>742</v>
      </c>
      <c r="C282" s="184" t="s">
        <v>655</v>
      </c>
      <c r="D282" s="184" t="s">
        <v>2431</v>
      </c>
      <c r="E282" s="236" t="s">
        <v>1543</v>
      </c>
      <c r="F282" s="186" t="s">
        <v>2432</v>
      </c>
      <c r="G282" s="185">
        <v>73.0</v>
      </c>
      <c r="H282" s="189" t="s">
        <v>927</v>
      </c>
      <c r="I282" s="189" t="s">
        <v>2966</v>
      </c>
      <c r="J282" s="189" t="s">
        <v>2967</v>
      </c>
      <c r="K282" s="189" t="s">
        <v>2968</v>
      </c>
      <c r="L282" s="189" t="s">
        <v>2969</v>
      </c>
      <c r="M282" s="189" t="s">
        <v>2970</v>
      </c>
      <c r="N282" s="189" t="s">
        <v>850</v>
      </c>
      <c r="O282" s="189" t="s">
        <v>764</v>
      </c>
      <c r="P282" s="190"/>
      <c r="Q282" s="190"/>
      <c r="R282" s="190"/>
      <c r="S282" s="190"/>
      <c r="T282" s="190"/>
      <c r="U282" s="190"/>
      <c r="V282" s="189" t="s">
        <v>2971</v>
      </c>
      <c r="W282" s="230" t="s">
        <v>2972</v>
      </c>
      <c r="X282" s="245" t="s">
        <v>2973</v>
      </c>
      <c r="Y282" s="189" t="s">
        <v>764</v>
      </c>
      <c r="Z282" s="189" t="s">
        <v>1543</v>
      </c>
      <c r="AA282" s="189" t="s">
        <v>757</v>
      </c>
      <c r="AB282" s="191"/>
      <c r="AC282" s="191"/>
      <c r="AD282" s="191"/>
      <c r="AE282" s="191"/>
      <c r="AF282" s="191"/>
      <c r="AG282" s="191"/>
      <c r="AH282" s="191"/>
      <c r="AJ282" s="215"/>
      <c r="AK282" s="215"/>
      <c r="AL282" s="215"/>
      <c r="AM282" s="215"/>
      <c r="AN282" s="215"/>
      <c r="AO282" s="215"/>
      <c r="AP282" s="191"/>
      <c r="AQ282" s="215"/>
      <c r="AR282" s="191"/>
      <c r="AS282" s="215"/>
      <c r="AT282" s="215"/>
      <c r="AU282" s="215"/>
      <c r="AV282" s="215"/>
      <c r="AW282" s="191"/>
      <c r="AX282" s="191"/>
      <c r="AY282" s="191"/>
      <c r="AZ282" s="191"/>
      <c r="BA282" s="191"/>
      <c r="BB282" s="191"/>
      <c r="BC282" s="191"/>
      <c r="BD282" s="191"/>
      <c r="BE282" s="191"/>
      <c r="BF282" s="191"/>
      <c r="BG282" s="215"/>
      <c r="BH282" s="215"/>
      <c r="BI282" s="215"/>
      <c r="BJ282" s="215"/>
      <c r="BK282" s="215"/>
      <c r="BL282" s="215"/>
      <c r="BM282" s="215"/>
      <c r="BN282" s="215"/>
      <c r="BO282" s="215"/>
      <c r="BP282" s="215"/>
      <c r="BQ282" s="215"/>
      <c r="BR282" s="215"/>
      <c r="BS282" s="191"/>
      <c r="BT282" s="191"/>
      <c r="BU282" s="191"/>
      <c r="BV282" s="191"/>
      <c r="BW282" s="191"/>
      <c r="BX282" s="191"/>
      <c r="BY282" s="191"/>
      <c r="BZ282" s="191"/>
      <c r="CA282" s="191"/>
      <c r="CB282" s="191"/>
      <c r="CC282" s="191"/>
      <c r="CD282" s="215"/>
      <c r="CE282" s="215"/>
      <c r="CF282" s="191"/>
      <c r="CG282" s="215"/>
      <c r="CH282" s="191"/>
      <c r="CI282" s="215"/>
      <c r="CJ282" s="215"/>
      <c r="CK282" s="215"/>
      <c r="CL282" s="215"/>
      <c r="CM282" s="215"/>
      <c r="CN282" s="215"/>
      <c r="CO282" s="215"/>
      <c r="CP282" s="215"/>
      <c r="CQ282" s="215"/>
      <c r="CR282" s="215"/>
      <c r="CS282" s="215"/>
      <c r="CT282" s="215"/>
    </row>
    <row r="283" ht="24.0" customHeight="1">
      <c r="A283" s="184" t="s">
        <v>300</v>
      </c>
      <c r="B283" s="184" t="s">
        <v>742</v>
      </c>
      <c r="C283" s="184" t="s">
        <v>655</v>
      </c>
      <c r="D283" s="184" t="s">
        <v>2431</v>
      </c>
      <c r="E283" s="236" t="s">
        <v>1543</v>
      </c>
      <c r="F283" s="186" t="s">
        <v>2432</v>
      </c>
      <c r="G283" s="185">
        <v>74.0</v>
      </c>
      <c r="H283" s="189" t="s">
        <v>2974</v>
      </c>
      <c r="I283" s="189" t="s">
        <v>2975</v>
      </c>
      <c r="J283" s="189" t="s">
        <v>2976</v>
      </c>
      <c r="K283" s="189" t="s">
        <v>1576</v>
      </c>
      <c r="L283" s="189" t="s">
        <v>2977</v>
      </c>
      <c r="M283" s="189" t="s">
        <v>2978</v>
      </c>
      <c r="N283" s="189" t="s">
        <v>850</v>
      </c>
      <c r="O283" s="189" t="s">
        <v>764</v>
      </c>
      <c r="P283" s="190"/>
      <c r="Q283" s="190"/>
      <c r="R283" s="190"/>
      <c r="S283" s="190"/>
      <c r="T283" s="190"/>
      <c r="U283" s="190"/>
      <c r="V283" s="189" t="s">
        <v>1433</v>
      </c>
      <c r="W283" s="230" t="s">
        <v>2979</v>
      </c>
      <c r="X283" s="245" t="s">
        <v>2980</v>
      </c>
      <c r="Y283" s="189" t="s">
        <v>764</v>
      </c>
      <c r="Z283" s="189" t="s">
        <v>1543</v>
      </c>
      <c r="AA283" s="189" t="s">
        <v>1296</v>
      </c>
      <c r="AB283" s="191"/>
      <c r="AC283" s="191"/>
      <c r="AD283" s="191"/>
      <c r="AE283" s="191"/>
      <c r="AF283" s="191"/>
      <c r="AG283" s="191"/>
      <c r="AH283" s="191"/>
      <c r="AJ283" s="215"/>
      <c r="AK283" s="215"/>
      <c r="AL283" s="215"/>
      <c r="AM283" s="215"/>
      <c r="AN283" s="215"/>
      <c r="AO283" s="215"/>
      <c r="AP283" s="191"/>
      <c r="AQ283" s="215"/>
      <c r="AR283" s="191"/>
      <c r="AS283" s="215"/>
      <c r="AT283" s="215"/>
      <c r="AU283" s="215"/>
      <c r="AV283" s="215"/>
      <c r="AW283" s="191"/>
      <c r="AX283" s="191"/>
      <c r="AY283" s="191"/>
      <c r="AZ283" s="191"/>
      <c r="BA283" s="191"/>
      <c r="BB283" s="191"/>
      <c r="BC283" s="215"/>
      <c r="BD283" s="215"/>
      <c r="BE283" s="215"/>
      <c r="BF283" s="215"/>
      <c r="BG283" s="191"/>
      <c r="BH283" s="191"/>
      <c r="BI283" s="215"/>
      <c r="BJ283" s="215"/>
      <c r="BK283" s="215"/>
      <c r="BL283" s="215"/>
      <c r="BM283" s="215"/>
      <c r="BN283" s="215"/>
      <c r="BO283" s="215"/>
      <c r="BP283" s="215"/>
      <c r="BQ283" s="215"/>
      <c r="BR283" s="215"/>
      <c r="BS283" s="191"/>
      <c r="BT283" s="191"/>
      <c r="BU283" s="191"/>
      <c r="BV283" s="191"/>
      <c r="BW283" s="191"/>
      <c r="BX283" s="191"/>
      <c r="BY283" s="215"/>
      <c r="BZ283" s="215"/>
      <c r="CA283" s="191"/>
      <c r="CB283" s="191"/>
      <c r="CC283" s="191"/>
      <c r="CD283" s="215"/>
      <c r="CE283" s="215"/>
      <c r="CF283" s="191"/>
      <c r="CG283" s="215"/>
      <c r="CH283" s="191"/>
      <c r="CI283" s="215"/>
      <c r="CJ283" s="215"/>
      <c r="CK283" s="215"/>
      <c r="CL283" s="215"/>
      <c r="CM283" s="215"/>
      <c r="CN283" s="215"/>
      <c r="CO283" s="215"/>
      <c r="CP283" s="215"/>
      <c r="CQ283" s="215"/>
      <c r="CR283" s="215"/>
      <c r="CS283" s="215"/>
      <c r="CT283" s="215"/>
    </row>
    <row r="284" ht="24.0" customHeight="1">
      <c r="A284" s="184" t="s">
        <v>297</v>
      </c>
      <c r="B284" s="184" t="s">
        <v>742</v>
      </c>
      <c r="C284" s="184" t="s">
        <v>655</v>
      </c>
      <c r="D284" s="184" t="s">
        <v>2431</v>
      </c>
      <c r="E284" s="236" t="s">
        <v>1543</v>
      </c>
      <c r="F284" s="186" t="s">
        <v>2432</v>
      </c>
      <c r="G284" s="185">
        <v>75.0</v>
      </c>
      <c r="H284" s="189" t="s">
        <v>1723</v>
      </c>
      <c r="I284" s="189" t="s">
        <v>2981</v>
      </c>
      <c r="J284" s="189" t="s">
        <v>2982</v>
      </c>
      <c r="K284" s="189" t="s">
        <v>2983</v>
      </c>
      <c r="L284" s="189" t="s">
        <v>2984</v>
      </c>
      <c r="M284" s="189" t="s">
        <v>2985</v>
      </c>
      <c r="N284" s="189" t="s">
        <v>850</v>
      </c>
      <c r="O284" s="189" t="s">
        <v>764</v>
      </c>
      <c r="P284" s="190"/>
      <c r="Q284" s="190"/>
      <c r="R284" s="190"/>
      <c r="S284" s="190"/>
      <c r="T284" s="190"/>
      <c r="U284" s="190"/>
      <c r="V284" s="189" t="s">
        <v>2986</v>
      </c>
      <c r="W284" s="230" t="s">
        <v>2987</v>
      </c>
      <c r="X284" s="245" t="s">
        <v>2988</v>
      </c>
      <c r="Y284" s="189" t="s">
        <v>764</v>
      </c>
      <c r="Z284" s="189" t="s">
        <v>1543</v>
      </c>
      <c r="AA284" s="189" t="s">
        <v>757</v>
      </c>
      <c r="AB284" s="191"/>
      <c r="AC284" s="191"/>
      <c r="AD284" s="191"/>
      <c r="AE284" s="191"/>
      <c r="AF284" s="191"/>
      <c r="AG284" s="191"/>
      <c r="AH284" s="191"/>
      <c r="AJ284" s="215"/>
      <c r="AK284" s="215"/>
      <c r="AL284" s="215"/>
      <c r="AM284" s="215"/>
      <c r="AN284" s="215"/>
      <c r="AO284" s="215"/>
      <c r="AP284" s="191"/>
      <c r="AQ284" s="215"/>
      <c r="AR284" s="191"/>
      <c r="AS284" s="215"/>
      <c r="AT284" s="215"/>
      <c r="AU284" s="215"/>
      <c r="AV284" s="215"/>
      <c r="AW284" s="191"/>
      <c r="AX284" s="191"/>
      <c r="AY284" s="191"/>
      <c r="AZ284" s="191"/>
      <c r="BA284" s="191"/>
      <c r="BB284" s="191"/>
      <c r="BC284" s="215"/>
      <c r="BD284" s="215"/>
      <c r="BE284" s="215"/>
      <c r="BF284" s="215"/>
      <c r="BG284" s="191"/>
      <c r="BH284" s="191"/>
      <c r="BI284" s="191"/>
      <c r="BJ284" s="191"/>
      <c r="BK284" s="191"/>
      <c r="BL284" s="191"/>
      <c r="BM284" s="191"/>
      <c r="BN284" s="191"/>
      <c r="BO284" s="215"/>
      <c r="BP284" s="215"/>
      <c r="BQ284" s="215"/>
      <c r="BR284" s="215"/>
      <c r="BS284" s="191"/>
      <c r="BT284" s="191"/>
      <c r="BU284" s="191"/>
      <c r="BV284" s="191"/>
      <c r="BW284" s="191"/>
      <c r="BX284" s="191"/>
      <c r="BY284" s="191"/>
      <c r="BZ284" s="191"/>
      <c r="CA284" s="191"/>
      <c r="CB284" s="191"/>
      <c r="CC284" s="191"/>
      <c r="CD284" s="215"/>
      <c r="CE284" s="215"/>
      <c r="CF284" s="191"/>
      <c r="CG284" s="215"/>
      <c r="CH284" s="191"/>
      <c r="CI284" s="215"/>
      <c r="CJ284" s="215"/>
      <c r="CK284" s="191"/>
      <c r="CL284" s="240"/>
      <c r="CM284" s="215"/>
      <c r="CN284" s="215"/>
      <c r="CO284" s="215"/>
      <c r="CP284" s="215"/>
      <c r="CQ284" s="215"/>
      <c r="CR284" s="215"/>
      <c r="CS284" s="215"/>
      <c r="CT284" s="215"/>
    </row>
    <row r="285" ht="24.0" customHeight="1">
      <c r="A285" s="220" t="s">
        <v>361</v>
      </c>
      <c r="B285" s="220" t="s">
        <v>1260</v>
      </c>
      <c r="C285" s="220" t="s">
        <v>656</v>
      </c>
      <c r="D285" s="184" t="s">
        <v>2431</v>
      </c>
      <c r="E285" s="246" t="s">
        <v>844</v>
      </c>
      <c r="F285" s="186" t="s">
        <v>2432</v>
      </c>
      <c r="G285" s="225">
        <v>1.0</v>
      </c>
      <c r="H285" s="244" t="s">
        <v>2989</v>
      </c>
      <c r="I285" s="244" t="s">
        <v>2990</v>
      </c>
      <c r="J285" s="244" t="s">
        <v>2991</v>
      </c>
      <c r="K285" s="244" t="s">
        <v>2992</v>
      </c>
      <c r="L285" s="244" t="s">
        <v>2993</v>
      </c>
      <c r="M285" s="244" t="s">
        <v>2994</v>
      </c>
      <c r="N285" s="244" t="s">
        <v>752</v>
      </c>
      <c r="O285" s="244" t="s">
        <v>784</v>
      </c>
      <c r="P285" s="244" t="s">
        <v>2995</v>
      </c>
      <c r="Q285" s="244" t="s">
        <v>2996</v>
      </c>
      <c r="R285" s="244" t="s">
        <v>2997</v>
      </c>
      <c r="S285" s="244" t="s">
        <v>2998</v>
      </c>
      <c r="T285" s="244" t="s">
        <v>2999</v>
      </c>
      <c r="U285" s="244" t="s">
        <v>3000</v>
      </c>
      <c r="V285" s="244" t="s">
        <v>3001</v>
      </c>
      <c r="W285" s="242" t="s">
        <v>3002</v>
      </c>
      <c r="X285" s="243" t="s">
        <v>3003</v>
      </c>
      <c r="Y285" s="244" t="s">
        <v>753</v>
      </c>
      <c r="Z285" s="244" t="s">
        <v>744</v>
      </c>
      <c r="AA285" s="244" t="s">
        <v>757</v>
      </c>
      <c r="AB285" s="191"/>
      <c r="AC285" s="191"/>
      <c r="AD285" s="191"/>
      <c r="AE285" s="191"/>
      <c r="AF285" s="191"/>
      <c r="AG285" s="191"/>
      <c r="AH285" s="191"/>
      <c r="AJ285" s="215"/>
      <c r="AK285" s="215"/>
      <c r="AL285" s="215"/>
      <c r="AM285" s="215"/>
      <c r="AN285" s="215"/>
      <c r="AO285" s="215"/>
      <c r="AP285" s="191"/>
      <c r="AQ285" s="215"/>
      <c r="AR285" s="191"/>
      <c r="AS285" s="215"/>
      <c r="AT285" s="215"/>
      <c r="AU285" s="215"/>
      <c r="AV285" s="215"/>
      <c r="AW285" s="191"/>
      <c r="AX285" s="191"/>
      <c r="AY285" s="191"/>
      <c r="AZ285" s="191"/>
      <c r="BA285" s="191"/>
      <c r="BB285" s="191"/>
      <c r="BC285" s="215"/>
      <c r="BD285" s="215"/>
      <c r="BE285" s="215"/>
      <c r="BF285" s="215"/>
      <c r="BG285" s="191"/>
      <c r="BH285" s="191"/>
      <c r="BI285" s="191"/>
      <c r="BJ285" s="191"/>
      <c r="BK285" s="191"/>
      <c r="BL285" s="191"/>
      <c r="BM285" s="191"/>
      <c r="BN285" s="191"/>
      <c r="BO285" s="191"/>
      <c r="BP285" s="191"/>
      <c r="BQ285" s="215"/>
      <c r="BR285" s="215"/>
      <c r="BS285" s="191"/>
      <c r="BT285" s="191"/>
      <c r="BU285" s="191"/>
      <c r="BV285" s="191"/>
      <c r="BW285" s="191"/>
      <c r="BX285" s="191"/>
      <c r="BY285" s="191"/>
      <c r="BZ285" s="215"/>
      <c r="CA285" s="191"/>
      <c r="CB285" s="191"/>
      <c r="CC285" s="191"/>
      <c r="CD285" s="215"/>
      <c r="CE285" s="215"/>
      <c r="CF285" s="191"/>
      <c r="CG285" s="215"/>
      <c r="CH285" s="191"/>
      <c r="CI285" s="215"/>
      <c r="CJ285" s="215"/>
      <c r="CK285" s="215"/>
      <c r="CL285" s="215"/>
      <c r="CM285" s="215"/>
      <c r="CN285" s="215"/>
      <c r="CO285" s="215"/>
      <c r="CP285" s="215"/>
      <c r="CQ285" s="215"/>
      <c r="CR285" s="215"/>
      <c r="CS285" s="215"/>
      <c r="CT285" s="215"/>
    </row>
    <row r="286" ht="24.0" customHeight="1">
      <c r="A286" s="184" t="s">
        <v>366</v>
      </c>
      <c r="B286" s="184" t="s">
        <v>1260</v>
      </c>
      <c r="C286" s="184" t="s">
        <v>656</v>
      </c>
      <c r="D286" s="184" t="s">
        <v>2431</v>
      </c>
      <c r="E286" s="236" t="s">
        <v>844</v>
      </c>
      <c r="F286" s="186" t="s">
        <v>2432</v>
      </c>
      <c r="G286" s="185">
        <v>2.0</v>
      </c>
      <c r="H286" s="237" t="s">
        <v>3004</v>
      </c>
      <c r="I286" s="237" t="s">
        <v>3005</v>
      </c>
      <c r="J286" s="237" t="s">
        <v>3006</v>
      </c>
      <c r="K286" s="237" t="s">
        <v>3007</v>
      </c>
      <c r="L286" s="237" t="s">
        <v>3008</v>
      </c>
      <c r="M286" s="237" t="s">
        <v>3009</v>
      </c>
      <c r="N286" s="237" t="s">
        <v>752</v>
      </c>
      <c r="O286" s="237" t="s">
        <v>764</v>
      </c>
      <c r="P286" s="190"/>
      <c r="Q286" s="190"/>
      <c r="R286" s="190"/>
      <c r="S286" s="190"/>
      <c r="T286" s="190"/>
      <c r="U286" s="190"/>
      <c r="V286" s="237" t="s">
        <v>2462</v>
      </c>
      <c r="W286" s="238" t="s">
        <v>2463</v>
      </c>
      <c r="X286" s="239" t="s">
        <v>2464</v>
      </c>
      <c r="Y286" s="237" t="s">
        <v>764</v>
      </c>
      <c r="Z286" s="237" t="s">
        <v>744</v>
      </c>
      <c r="AA286" s="237" t="s">
        <v>757</v>
      </c>
      <c r="AB286" s="191"/>
      <c r="AC286" s="191"/>
      <c r="AD286" s="191"/>
      <c r="AE286" s="191"/>
      <c r="AF286" s="191"/>
      <c r="AG286" s="191"/>
      <c r="AH286" s="191"/>
      <c r="AJ286" s="215"/>
      <c r="AK286" s="215"/>
      <c r="AL286" s="215"/>
      <c r="AM286" s="215"/>
      <c r="AN286" s="215"/>
      <c r="AO286" s="215"/>
      <c r="AP286" s="191"/>
      <c r="AQ286" s="215"/>
      <c r="AR286" s="191"/>
      <c r="AS286" s="215"/>
      <c r="AT286" s="215"/>
      <c r="AU286" s="215"/>
      <c r="AV286" s="215"/>
      <c r="AW286" s="191"/>
      <c r="AX286" s="191"/>
      <c r="AY286" s="191"/>
      <c r="AZ286" s="191"/>
      <c r="BA286" s="191"/>
      <c r="BB286" s="191"/>
      <c r="BC286" s="215"/>
      <c r="BD286" s="215"/>
      <c r="BE286" s="215"/>
      <c r="BF286" s="215"/>
      <c r="BG286" s="191"/>
      <c r="BH286" s="191"/>
      <c r="BI286" s="191"/>
      <c r="BJ286" s="191"/>
      <c r="BK286" s="215"/>
      <c r="BL286" s="215"/>
      <c r="BM286" s="215"/>
      <c r="BN286" s="215"/>
      <c r="BO286" s="215"/>
      <c r="BP286" s="215"/>
      <c r="BQ286" s="215"/>
      <c r="BR286" s="215"/>
      <c r="BS286" s="191"/>
      <c r="BT286" s="191"/>
      <c r="BU286" s="191"/>
      <c r="BV286" s="191"/>
      <c r="BW286" s="191"/>
      <c r="BX286" s="191"/>
      <c r="BY286" s="215"/>
      <c r="BZ286" s="215"/>
      <c r="CA286" s="191"/>
      <c r="CB286" s="191"/>
      <c r="CC286" s="191"/>
      <c r="CD286" s="215"/>
      <c r="CE286" s="215"/>
      <c r="CF286" s="191"/>
      <c r="CG286" s="215"/>
      <c r="CH286" s="191"/>
      <c r="CI286" s="215"/>
      <c r="CJ286" s="215"/>
      <c r="CK286" s="215"/>
      <c r="CL286" s="240"/>
      <c r="CM286" s="215"/>
      <c r="CN286" s="215"/>
      <c r="CO286" s="215"/>
      <c r="CP286" s="215"/>
      <c r="CQ286" s="215"/>
      <c r="CR286" s="215"/>
      <c r="CS286" s="215"/>
      <c r="CT286" s="215"/>
    </row>
    <row r="287" ht="24.0" customHeight="1">
      <c r="A287" s="184" t="s">
        <v>362</v>
      </c>
      <c r="B287" s="184" t="s">
        <v>1260</v>
      </c>
      <c r="C287" s="184" t="s">
        <v>656</v>
      </c>
      <c r="D287" s="184" t="s">
        <v>2431</v>
      </c>
      <c r="E287" s="236" t="s">
        <v>844</v>
      </c>
      <c r="F287" s="186" t="s">
        <v>2432</v>
      </c>
      <c r="G287" s="185">
        <v>3.0</v>
      </c>
      <c r="H287" s="237" t="s">
        <v>3010</v>
      </c>
      <c r="I287" s="237" t="s">
        <v>1169</v>
      </c>
      <c r="J287" s="237" t="s">
        <v>3011</v>
      </c>
      <c r="K287" s="237" t="s">
        <v>3012</v>
      </c>
      <c r="L287" s="237" t="s">
        <v>3013</v>
      </c>
      <c r="M287" s="237" t="s">
        <v>3014</v>
      </c>
      <c r="N287" s="237" t="s">
        <v>752</v>
      </c>
      <c r="O287" s="237" t="s">
        <v>764</v>
      </c>
      <c r="P287" s="190"/>
      <c r="Q287" s="190"/>
      <c r="R287" s="190"/>
      <c r="S287" s="190"/>
      <c r="T287" s="190"/>
      <c r="U287" s="190"/>
      <c r="V287" s="237" t="s">
        <v>1848</v>
      </c>
      <c r="W287" s="238" t="s">
        <v>3015</v>
      </c>
      <c r="X287" s="239" t="s">
        <v>3016</v>
      </c>
      <c r="Y287" s="237" t="s">
        <v>1457</v>
      </c>
      <c r="Z287" s="237" t="s">
        <v>744</v>
      </c>
      <c r="AA287" s="237" t="s">
        <v>757</v>
      </c>
      <c r="AB287" s="191"/>
      <c r="AC287" s="191"/>
      <c r="AD287" s="191"/>
      <c r="AE287" s="191"/>
      <c r="AF287" s="191"/>
      <c r="AG287" s="191"/>
      <c r="AH287" s="191"/>
      <c r="AJ287" s="215"/>
      <c r="AK287" s="215"/>
      <c r="AL287" s="215"/>
      <c r="AM287" s="215"/>
      <c r="AN287" s="215"/>
      <c r="AO287" s="215"/>
      <c r="AP287" s="191"/>
      <c r="AQ287" s="215"/>
      <c r="AR287" s="191"/>
      <c r="AS287" s="215"/>
      <c r="AT287" s="215"/>
      <c r="AU287" s="215"/>
      <c r="AV287" s="215"/>
      <c r="AW287" s="191"/>
      <c r="AX287" s="191"/>
      <c r="AY287" s="191"/>
      <c r="AZ287" s="191"/>
      <c r="BA287" s="191"/>
      <c r="BB287" s="191"/>
      <c r="BC287" s="215"/>
      <c r="BD287" s="215"/>
      <c r="BE287" s="215"/>
      <c r="BF287" s="215"/>
      <c r="BG287" s="191"/>
      <c r="BH287" s="191"/>
      <c r="BI287" s="215"/>
      <c r="BJ287" s="215"/>
      <c r="BK287" s="215"/>
      <c r="BL287" s="215"/>
      <c r="BM287" s="215"/>
      <c r="BN287" s="215"/>
      <c r="BO287" s="215"/>
      <c r="BP287" s="215"/>
      <c r="BQ287" s="215"/>
      <c r="BR287" s="215"/>
      <c r="BS287" s="191"/>
      <c r="BT287" s="191"/>
      <c r="BU287" s="191"/>
      <c r="BV287" s="191"/>
      <c r="BW287" s="191"/>
      <c r="BX287" s="191"/>
      <c r="BY287" s="215"/>
      <c r="BZ287" s="215"/>
      <c r="CA287" s="191"/>
      <c r="CB287" s="191"/>
      <c r="CC287" s="191"/>
      <c r="CD287" s="215"/>
      <c r="CE287" s="215"/>
      <c r="CF287" s="191"/>
      <c r="CG287" s="215"/>
      <c r="CH287" s="191"/>
      <c r="CI287" s="215"/>
      <c r="CJ287" s="215"/>
      <c r="CK287" s="215"/>
      <c r="CL287" s="215"/>
      <c r="CM287" s="215"/>
      <c r="CN287" s="215"/>
      <c r="CO287" s="215"/>
      <c r="CP287" s="215"/>
      <c r="CQ287" s="215"/>
      <c r="CR287" s="215"/>
      <c r="CS287" s="215"/>
      <c r="CT287" s="215"/>
    </row>
    <row r="288" ht="24.0" customHeight="1">
      <c r="A288" s="184" t="s">
        <v>369</v>
      </c>
      <c r="B288" s="184" t="s">
        <v>1260</v>
      </c>
      <c r="C288" s="184" t="s">
        <v>656</v>
      </c>
      <c r="D288" s="184" t="s">
        <v>2431</v>
      </c>
      <c r="E288" s="236" t="s">
        <v>844</v>
      </c>
      <c r="F288" s="186" t="s">
        <v>2432</v>
      </c>
      <c r="G288" s="185">
        <v>4.0</v>
      </c>
      <c r="H288" s="237" t="s">
        <v>3017</v>
      </c>
      <c r="I288" s="237" t="s">
        <v>3018</v>
      </c>
      <c r="J288" s="237" t="s">
        <v>3019</v>
      </c>
      <c r="K288" s="237" t="s">
        <v>2059</v>
      </c>
      <c r="L288" s="237" t="s">
        <v>3020</v>
      </c>
      <c r="M288" s="237" t="s">
        <v>3021</v>
      </c>
      <c r="N288" s="237" t="s">
        <v>752</v>
      </c>
      <c r="O288" s="237" t="s">
        <v>764</v>
      </c>
      <c r="P288" s="237" t="s">
        <v>3022</v>
      </c>
      <c r="Q288" s="237" t="s">
        <v>3023</v>
      </c>
      <c r="R288" s="190"/>
      <c r="S288" s="190"/>
      <c r="T288" s="190"/>
      <c r="U288" s="190"/>
      <c r="V288" s="237" t="s">
        <v>2462</v>
      </c>
      <c r="W288" s="238" t="s">
        <v>2463</v>
      </c>
      <c r="X288" s="239" t="s">
        <v>2464</v>
      </c>
      <c r="Y288" s="237" t="s">
        <v>764</v>
      </c>
      <c r="Z288" s="237" t="s">
        <v>744</v>
      </c>
      <c r="AA288" s="237" t="s">
        <v>797</v>
      </c>
      <c r="AB288" s="191"/>
      <c r="AC288" s="191"/>
      <c r="AD288" s="191"/>
      <c r="AE288" s="191"/>
      <c r="AF288" s="191"/>
      <c r="AG288" s="191"/>
      <c r="AH288" s="191"/>
      <c r="AJ288" s="215"/>
      <c r="AK288" s="215"/>
      <c r="AL288" s="215"/>
      <c r="AM288" s="215"/>
      <c r="AN288" s="215"/>
      <c r="AO288" s="215"/>
      <c r="AP288" s="191"/>
      <c r="AQ288" s="215"/>
      <c r="AR288" s="191"/>
      <c r="AS288" s="215"/>
      <c r="AT288" s="215"/>
      <c r="AU288" s="215"/>
      <c r="AV288" s="215"/>
      <c r="AW288" s="191"/>
      <c r="AX288" s="191"/>
      <c r="AY288" s="191"/>
      <c r="AZ288" s="191"/>
      <c r="BA288" s="191"/>
      <c r="BB288" s="191"/>
      <c r="BC288" s="215"/>
      <c r="BD288" s="215"/>
      <c r="BE288" s="215"/>
      <c r="BF288" s="215"/>
      <c r="BG288" s="215"/>
      <c r="BH288" s="191"/>
      <c r="BI288" s="191"/>
      <c r="BJ288" s="215"/>
      <c r="BK288" s="215"/>
      <c r="BL288" s="215"/>
      <c r="BM288" s="215"/>
      <c r="BN288" s="215"/>
      <c r="BO288" s="215"/>
      <c r="BP288" s="215"/>
      <c r="BQ288" s="215"/>
      <c r="BR288" s="215"/>
      <c r="BS288" s="191"/>
      <c r="BT288" s="191"/>
      <c r="BU288" s="191"/>
      <c r="BV288" s="191"/>
      <c r="BW288" s="191"/>
      <c r="BX288" s="191"/>
      <c r="BY288" s="191"/>
      <c r="BZ288" s="215"/>
      <c r="CA288" s="191"/>
      <c r="CB288" s="191"/>
      <c r="CC288" s="191"/>
      <c r="CD288" s="215"/>
      <c r="CE288" s="215"/>
      <c r="CF288" s="191"/>
      <c r="CG288" s="215"/>
      <c r="CH288" s="191"/>
      <c r="CI288" s="215"/>
      <c r="CJ288" s="215"/>
      <c r="CK288" s="215"/>
      <c r="CL288" s="215"/>
      <c r="CM288" s="215"/>
      <c r="CN288" s="215"/>
      <c r="CO288" s="215"/>
      <c r="CP288" s="215"/>
      <c r="CQ288" s="215"/>
      <c r="CR288" s="215"/>
      <c r="CS288" s="215"/>
      <c r="CT288" s="215"/>
    </row>
    <row r="289" ht="24.0" customHeight="1">
      <c r="A289" s="184" t="s">
        <v>367</v>
      </c>
      <c r="B289" s="184" t="s">
        <v>1260</v>
      </c>
      <c r="C289" s="184" t="s">
        <v>656</v>
      </c>
      <c r="D289" s="184" t="s">
        <v>2431</v>
      </c>
      <c r="E289" s="236" t="s">
        <v>844</v>
      </c>
      <c r="F289" s="186" t="s">
        <v>2432</v>
      </c>
      <c r="G289" s="185">
        <v>5.0</v>
      </c>
      <c r="H289" s="237" t="s">
        <v>3022</v>
      </c>
      <c r="I289" s="237" t="s">
        <v>3024</v>
      </c>
      <c r="J289" s="237" t="s">
        <v>3025</v>
      </c>
      <c r="K289" s="237" t="s">
        <v>3026</v>
      </c>
      <c r="L289" s="237" t="s">
        <v>3027</v>
      </c>
      <c r="M289" s="237" t="s">
        <v>3028</v>
      </c>
      <c r="N289" s="237" t="s">
        <v>752</v>
      </c>
      <c r="O289" s="237" t="s">
        <v>764</v>
      </c>
      <c r="P289" s="190"/>
      <c r="Q289" s="190"/>
      <c r="R289" s="190"/>
      <c r="S289" s="190"/>
      <c r="T289" s="190"/>
      <c r="U289" s="237" t="s">
        <v>1630</v>
      </c>
      <c r="V289" s="237" t="s">
        <v>2462</v>
      </c>
      <c r="W289" s="238" t="s">
        <v>2463</v>
      </c>
      <c r="X289" s="239" t="s">
        <v>2464</v>
      </c>
      <c r="Y289" s="237" t="s">
        <v>764</v>
      </c>
      <c r="Z289" s="237" t="s">
        <v>744</v>
      </c>
      <c r="AA289" s="237" t="s">
        <v>797</v>
      </c>
      <c r="AB289" s="191"/>
      <c r="AC289" s="191"/>
      <c r="AD289" s="191"/>
      <c r="AE289" s="191"/>
      <c r="AF289" s="191"/>
      <c r="AG289" s="191"/>
      <c r="AH289" s="191"/>
      <c r="AJ289" s="215"/>
      <c r="AK289" s="215"/>
      <c r="AL289" s="215"/>
      <c r="AM289" s="215"/>
      <c r="AN289" s="215"/>
      <c r="AO289" s="215"/>
      <c r="AP289" s="191"/>
      <c r="AQ289" s="215"/>
      <c r="AR289" s="191"/>
      <c r="AS289" s="215"/>
      <c r="AT289" s="215"/>
      <c r="AU289" s="215"/>
      <c r="AV289" s="215"/>
      <c r="AW289" s="191"/>
      <c r="AX289" s="191"/>
      <c r="AY289" s="191"/>
      <c r="AZ289" s="191"/>
      <c r="BA289" s="191"/>
      <c r="BB289" s="191"/>
      <c r="BC289" s="215"/>
      <c r="BD289" s="215"/>
      <c r="BE289" s="215"/>
      <c r="BF289" s="215"/>
      <c r="BG289" s="191"/>
      <c r="BH289" s="191"/>
      <c r="BI289" s="215"/>
      <c r="BJ289" s="215"/>
      <c r="BK289" s="215"/>
      <c r="BL289" s="215"/>
      <c r="BM289" s="215"/>
      <c r="BN289" s="215"/>
      <c r="BO289" s="215"/>
      <c r="BP289" s="215"/>
      <c r="BQ289" s="215"/>
      <c r="BR289" s="215"/>
      <c r="BS289" s="191"/>
      <c r="BT289" s="191"/>
      <c r="BU289" s="191"/>
      <c r="BV289" s="191"/>
      <c r="BW289" s="191"/>
      <c r="BX289" s="191"/>
      <c r="BY289" s="191"/>
      <c r="BZ289" s="191"/>
      <c r="CA289" s="191"/>
      <c r="CB289" s="191"/>
      <c r="CC289" s="191"/>
      <c r="CD289" s="215"/>
      <c r="CE289" s="215"/>
      <c r="CF289" s="191"/>
      <c r="CG289" s="215"/>
      <c r="CH289" s="191"/>
      <c r="CI289" s="215"/>
      <c r="CJ289" s="215"/>
      <c r="CK289" s="215"/>
      <c r="CL289" s="215"/>
      <c r="CM289" s="215"/>
      <c r="CN289" s="215"/>
      <c r="CO289" s="215"/>
      <c r="CP289" s="215"/>
      <c r="CQ289" s="215"/>
      <c r="CR289" s="215"/>
      <c r="CS289" s="215"/>
      <c r="CT289" s="215"/>
    </row>
    <row r="290" ht="24.0" customHeight="1">
      <c r="A290" s="184" t="s">
        <v>368</v>
      </c>
      <c r="B290" s="184" t="s">
        <v>1260</v>
      </c>
      <c r="C290" s="184" t="s">
        <v>656</v>
      </c>
      <c r="D290" s="184" t="s">
        <v>2431</v>
      </c>
      <c r="E290" s="236" t="s">
        <v>844</v>
      </c>
      <c r="F290" s="186" t="s">
        <v>2432</v>
      </c>
      <c r="G290" s="185">
        <v>6.0</v>
      </c>
      <c r="H290" s="237" t="s">
        <v>3029</v>
      </c>
      <c r="I290" s="237" t="s">
        <v>3030</v>
      </c>
      <c r="J290" s="237" t="s">
        <v>3031</v>
      </c>
      <c r="K290" s="237" t="s">
        <v>3032</v>
      </c>
      <c r="L290" s="237" t="s">
        <v>3033</v>
      </c>
      <c r="M290" s="237" t="s">
        <v>3034</v>
      </c>
      <c r="N290" s="237" t="s">
        <v>752</v>
      </c>
      <c r="O290" s="237" t="s">
        <v>1457</v>
      </c>
      <c r="P290" s="190"/>
      <c r="Q290" s="190"/>
      <c r="R290" s="190"/>
      <c r="S290" s="190"/>
      <c r="T290" s="190"/>
      <c r="U290" s="190"/>
      <c r="V290" s="237" t="s">
        <v>1235</v>
      </c>
      <c r="W290" s="238" t="s">
        <v>3035</v>
      </c>
      <c r="X290" s="239" t="s">
        <v>3036</v>
      </c>
      <c r="Y290" s="237" t="s">
        <v>1457</v>
      </c>
      <c r="Z290" s="237" t="s">
        <v>744</v>
      </c>
      <c r="AA290" s="237" t="s">
        <v>757</v>
      </c>
      <c r="AB290" s="191"/>
      <c r="AC290" s="191"/>
      <c r="AD290" s="191"/>
      <c r="AE290" s="191"/>
      <c r="AF290" s="191"/>
      <c r="AG290" s="191"/>
      <c r="AH290" s="191"/>
      <c r="AJ290" s="215"/>
      <c r="AK290" s="215"/>
      <c r="AL290" s="215"/>
      <c r="AM290" s="215"/>
      <c r="AN290" s="215"/>
      <c r="AO290" s="215"/>
      <c r="AP290" s="191"/>
      <c r="AQ290" s="215"/>
      <c r="AR290" s="191"/>
      <c r="AS290" s="215"/>
      <c r="AT290" s="215"/>
      <c r="AU290" s="215"/>
      <c r="AV290" s="215"/>
      <c r="AW290" s="191"/>
      <c r="AX290" s="191"/>
      <c r="AY290" s="191"/>
      <c r="AZ290" s="191"/>
      <c r="BA290" s="191"/>
      <c r="BB290" s="191"/>
      <c r="BC290" s="215"/>
      <c r="BD290" s="215"/>
      <c r="BE290" s="215"/>
      <c r="BF290" s="215"/>
      <c r="BG290" s="191"/>
      <c r="BH290" s="191"/>
      <c r="BI290" s="215"/>
      <c r="BJ290" s="215"/>
      <c r="BK290" s="215"/>
      <c r="BL290" s="215"/>
      <c r="BM290" s="215"/>
      <c r="BN290" s="215"/>
      <c r="BO290" s="215"/>
      <c r="BP290" s="215"/>
      <c r="BQ290" s="215"/>
      <c r="BR290" s="215"/>
      <c r="BS290" s="191"/>
      <c r="BT290" s="191"/>
      <c r="BU290" s="191"/>
      <c r="BV290" s="191"/>
      <c r="BW290" s="191"/>
      <c r="BX290" s="191"/>
      <c r="BY290" s="215"/>
      <c r="BZ290" s="191"/>
      <c r="CA290" s="191"/>
      <c r="CB290" s="191"/>
      <c r="CC290" s="191"/>
      <c r="CD290" s="215"/>
      <c r="CE290" s="215"/>
      <c r="CF290" s="191"/>
      <c r="CG290" s="215"/>
      <c r="CH290" s="191"/>
      <c r="CI290" s="215"/>
      <c r="CJ290" s="215"/>
      <c r="CK290" s="215"/>
      <c r="CL290" s="215"/>
      <c r="CM290" s="215"/>
      <c r="CN290" s="215"/>
      <c r="CO290" s="215"/>
      <c r="CP290" s="215"/>
      <c r="CQ290" s="215"/>
      <c r="CR290" s="215"/>
      <c r="CS290" s="215"/>
      <c r="CT290" s="215"/>
    </row>
    <row r="291" ht="24.0" customHeight="1">
      <c r="A291" s="184" t="s">
        <v>364</v>
      </c>
      <c r="B291" s="184" t="s">
        <v>1260</v>
      </c>
      <c r="C291" s="184" t="s">
        <v>656</v>
      </c>
      <c r="D291" s="184" t="s">
        <v>2431</v>
      </c>
      <c r="E291" s="236" t="s">
        <v>844</v>
      </c>
      <c r="F291" s="186" t="s">
        <v>2432</v>
      </c>
      <c r="G291" s="185">
        <v>7.0</v>
      </c>
      <c r="H291" s="237" t="s">
        <v>3037</v>
      </c>
      <c r="I291" s="237" t="s">
        <v>3038</v>
      </c>
      <c r="J291" s="237" t="s">
        <v>3039</v>
      </c>
      <c r="K291" s="237" t="s">
        <v>3040</v>
      </c>
      <c r="L291" s="237" t="s">
        <v>3041</v>
      </c>
      <c r="M291" s="237" t="s">
        <v>3042</v>
      </c>
      <c r="N291" s="237" t="s">
        <v>752</v>
      </c>
      <c r="O291" s="237" t="s">
        <v>764</v>
      </c>
      <c r="P291" s="190"/>
      <c r="Q291" s="190"/>
      <c r="R291" s="190"/>
      <c r="S291" s="190"/>
      <c r="T291" s="190"/>
      <c r="U291" s="190"/>
      <c r="V291" s="237" t="s">
        <v>884</v>
      </c>
      <c r="W291" s="238" t="s">
        <v>3043</v>
      </c>
      <c r="X291" s="239" t="s">
        <v>886</v>
      </c>
      <c r="Y291" s="237" t="s">
        <v>764</v>
      </c>
      <c r="Z291" s="237" t="s">
        <v>744</v>
      </c>
      <c r="AA291" s="237" t="s">
        <v>757</v>
      </c>
      <c r="AB291" s="191"/>
      <c r="AC291" s="191"/>
      <c r="AD291" s="191"/>
      <c r="AE291" s="191"/>
      <c r="AF291" s="191"/>
      <c r="AG291" s="191"/>
      <c r="AH291" s="191"/>
      <c r="AJ291" s="215"/>
      <c r="AK291" s="215"/>
      <c r="AL291" s="215"/>
      <c r="AM291" s="215"/>
      <c r="AN291" s="215"/>
      <c r="AO291" s="215"/>
      <c r="AP291" s="191"/>
      <c r="AQ291" s="215"/>
      <c r="AR291" s="191"/>
      <c r="AS291" s="215"/>
      <c r="AT291" s="215"/>
      <c r="AU291" s="215"/>
      <c r="AV291" s="215"/>
      <c r="AW291" s="191"/>
      <c r="AX291" s="191"/>
      <c r="AY291" s="191"/>
      <c r="AZ291" s="191"/>
      <c r="BA291" s="191"/>
      <c r="BB291" s="191"/>
      <c r="BC291" s="215"/>
      <c r="BD291" s="215"/>
      <c r="BE291" s="215"/>
      <c r="BF291" s="215"/>
      <c r="BG291" s="215"/>
      <c r="BH291" s="215"/>
      <c r="BI291" s="215"/>
      <c r="BJ291" s="215"/>
      <c r="BK291" s="215"/>
      <c r="BL291" s="215"/>
      <c r="BM291" s="215"/>
      <c r="BN291" s="215"/>
      <c r="BO291" s="215"/>
      <c r="BP291" s="215"/>
      <c r="BQ291" s="215"/>
      <c r="BR291" s="215"/>
      <c r="BS291" s="191"/>
      <c r="BT291" s="191"/>
      <c r="BU291" s="191"/>
      <c r="BV291" s="191"/>
      <c r="BW291" s="191"/>
      <c r="BX291" s="191"/>
      <c r="BY291" s="215"/>
      <c r="BZ291" s="215"/>
      <c r="CA291" s="191"/>
      <c r="CB291" s="191"/>
      <c r="CC291" s="191"/>
      <c r="CD291" s="215"/>
      <c r="CE291" s="215"/>
      <c r="CF291" s="191"/>
      <c r="CG291" s="215"/>
      <c r="CH291" s="191"/>
      <c r="CI291" s="215"/>
      <c r="CJ291" s="215"/>
      <c r="CK291" s="215"/>
      <c r="CL291" s="191"/>
      <c r="CM291" s="215"/>
      <c r="CN291" s="215"/>
      <c r="CO291" s="215"/>
      <c r="CP291" s="215"/>
      <c r="CQ291" s="215"/>
      <c r="CR291" s="215"/>
      <c r="CS291" s="215"/>
      <c r="CT291" s="215"/>
    </row>
    <row r="292" ht="24.0" customHeight="1">
      <c r="A292" s="184" t="s">
        <v>382</v>
      </c>
      <c r="B292" s="184" t="s">
        <v>1260</v>
      </c>
      <c r="C292" s="184" t="s">
        <v>657</v>
      </c>
      <c r="D292" s="184" t="s">
        <v>2431</v>
      </c>
      <c r="E292" s="186" t="s">
        <v>900</v>
      </c>
      <c r="F292" s="186" t="s">
        <v>2432</v>
      </c>
      <c r="G292" s="185">
        <v>8.0</v>
      </c>
      <c r="H292" s="209" t="s">
        <v>3044</v>
      </c>
      <c r="I292" s="209" t="s">
        <v>3045</v>
      </c>
      <c r="J292" s="209" t="s">
        <v>3046</v>
      </c>
      <c r="K292" s="209" t="s">
        <v>3047</v>
      </c>
      <c r="L292" s="209" t="s">
        <v>3048</v>
      </c>
      <c r="M292" s="209" t="s">
        <v>3049</v>
      </c>
      <c r="N292" s="209" t="s">
        <v>752</v>
      </c>
      <c r="O292" s="237" t="s">
        <v>764</v>
      </c>
      <c r="P292" s="190"/>
      <c r="Q292" s="190"/>
      <c r="R292" s="190"/>
      <c r="S292" s="190"/>
      <c r="T292" s="190"/>
      <c r="U292" s="210"/>
      <c r="V292" s="209" t="s">
        <v>3050</v>
      </c>
      <c r="W292" s="238" t="s">
        <v>3051</v>
      </c>
      <c r="X292" s="239" t="s">
        <v>3052</v>
      </c>
      <c r="Y292" s="209" t="s">
        <v>764</v>
      </c>
      <c r="Z292" s="209" t="s">
        <v>744</v>
      </c>
      <c r="AA292" s="237" t="s">
        <v>757</v>
      </c>
      <c r="AB292" s="231"/>
      <c r="AC292" s="231"/>
      <c r="AD292" s="231"/>
      <c r="AE292" s="231"/>
      <c r="AF292" s="231"/>
      <c r="AG292" s="231"/>
      <c r="AH292" s="231"/>
      <c r="AJ292" s="231"/>
      <c r="AK292" s="232"/>
      <c r="AL292" s="231"/>
      <c r="AM292" s="232"/>
      <c r="AN292" s="231"/>
      <c r="AO292" s="232"/>
      <c r="AP292" s="232"/>
      <c r="AQ292" s="232"/>
      <c r="AR292" s="232"/>
      <c r="AS292" s="232"/>
      <c r="AT292" s="232"/>
      <c r="AU292" s="232"/>
      <c r="AV292" s="232"/>
      <c r="AW292" s="231"/>
      <c r="AX292" s="231"/>
      <c r="AY292" s="231"/>
      <c r="AZ292" s="231"/>
      <c r="BA292" s="231"/>
      <c r="BB292" s="231"/>
      <c r="BC292" s="232"/>
      <c r="BD292" s="232"/>
      <c r="BE292" s="232"/>
      <c r="BF292" s="232"/>
      <c r="BG292" s="231"/>
      <c r="BH292" s="231"/>
      <c r="BI292" s="231"/>
      <c r="BJ292" s="231"/>
      <c r="BK292" s="231"/>
      <c r="BL292" s="231"/>
      <c r="BM292" s="231"/>
      <c r="BN292" s="231"/>
      <c r="BO292" s="231"/>
      <c r="BP292" s="231"/>
      <c r="BQ292" s="232"/>
      <c r="BR292" s="232"/>
      <c r="BS292" s="231"/>
      <c r="BT292" s="231"/>
      <c r="BU292" s="231"/>
      <c r="BV292" s="231"/>
      <c r="BW292" s="231"/>
      <c r="BX292" s="231"/>
      <c r="BY292" s="231"/>
      <c r="BZ292" s="232"/>
      <c r="CA292" s="231"/>
      <c r="CB292" s="231"/>
      <c r="CC292" s="231"/>
      <c r="CD292" s="231"/>
      <c r="CE292" s="232"/>
      <c r="CF292" s="232"/>
      <c r="CG292" s="232"/>
      <c r="CH292" s="231"/>
      <c r="CI292" s="232"/>
      <c r="CJ292" s="231"/>
      <c r="CK292" s="231"/>
      <c r="CL292" s="233"/>
      <c r="CM292" s="232"/>
      <c r="CN292" s="232"/>
      <c r="CO292" s="232"/>
      <c r="CP292" s="232"/>
      <c r="CQ292" s="232"/>
      <c r="CR292" s="232"/>
      <c r="CS292" s="232"/>
      <c r="CT292" s="232"/>
    </row>
    <row r="293" ht="24.0" customHeight="1">
      <c r="A293" s="184" t="s">
        <v>383</v>
      </c>
      <c r="B293" s="184" t="s">
        <v>1260</v>
      </c>
      <c r="C293" s="184" t="s">
        <v>657</v>
      </c>
      <c r="D293" s="184" t="s">
        <v>2431</v>
      </c>
      <c r="E293" s="186" t="s">
        <v>900</v>
      </c>
      <c r="F293" s="186" t="s">
        <v>2432</v>
      </c>
      <c r="G293" s="185">
        <v>9.0</v>
      </c>
      <c r="H293" s="209" t="s">
        <v>3053</v>
      </c>
      <c r="I293" s="209" t="s">
        <v>3054</v>
      </c>
      <c r="J293" s="209" t="s">
        <v>3055</v>
      </c>
      <c r="K293" s="209" t="s">
        <v>3056</v>
      </c>
      <c r="L293" s="209" t="s">
        <v>3057</v>
      </c>
      <c r="M293" s="209" t="s">
        <v>3058</v>
      </c>
      <c r="N293" s="209" t="s">
        <v>752</v>
      </c>
      <c r="O293" s="237" t="s">
        <v>764</v>
      </c>
      <c r="P293" s="190"/>
      <c r="Q293" s="190"/>
      <c r="R293" s="190"/>
      <c r="S293" s="190"/>
      <c r="T293" s="190"/>
      <c r="U293" s="210"/>
      <c r="V293" s="209" t="s">
        <v>3059</v>
      </c>
      <c r="W293" s="238" t="s">
        <v>3060</v>
      </c>
      <c r="X293" s="239" t="s">
        <v>3052</v>
      </c>
      <c r="Y293" s="209" t="s">
        <v>764</v>
      </c>
      <c r="Z293" s="209" t="s">
        <v>744</v>
      </c>
      <c r="AA293" s="237" t="s">
        <v>757</v>
      </c>
      <c r="AB293" s="231"/>
      <c r="AC293" s="231"/>
      <c r="AD293" s="231"/>
      <c r="AE293" s="231"/>
      <c r="AF293" s="231"/>
      <c r="AG293" s="231"/>
      <c r="AH293" s="231"/>
      <c r="AJ293" s="231"/>
      <c r="AK293" s="232"/>
      <c r="AL293" s="231"/>
      <c r="AM293" s="232"/>
      <c r="AN293" s="231"/>
      <c r="AO293" s="232"/>
      <c r="AP293" s="232"/>
      <c r="AQ293" s="232"/>
      <c r="AR293" s="232"/>
      <c r="AS293" s="232"/>
      <c r="AT293" s="232"/>
      <c r="AU293" s="232"/>
      <c r="AV293" s="232"/>
      <c r="AW293" s="231"/>
      <c r="AX293" s="231"/>
      <c r="AY293" s="231"/>
      <c r="AZ293" s="231"/>
      <c r="BA293" s="231"/>
      <c r="BB293" s="231"/>
      <c r="BC293" s="232"/>
      <c r="BD293" s="232"/>
      <c r="BE293" s="232"/>
      <c r="BF293" s="232"/>
      <c r="BG293" s="231"/>
      <c r="BH293" s="231"/>
      <c r="BI293" s="231"/>
      <c r="BJ293" s="231"/>
      <c r="BK293" s="231"/>
      <c r="BL293" s="231"/>
      <c r="BM293" s="231"/>
      <c r="BN293" s="231"/>
      <c r="BO293" s="231"/>
      <c r="BP293" s="231"/>
      <c r="BQ293" s="232"/>
      <c r="BR293" s="232"/>
      <c r="BS293" s="231"/>
      <c r="BT293" s="231"/>
      <c r="BU293" s="231"/>
      <c r="BV293" s="231"/>
      <c r="BW293" s="231"/>
      <c r="BX293" s="231"/>
      <c r="BY293" s="231"/>
      <c r="BZ293" s="231"/>
      <c r="CA293" s="231"/>
      <c r="CB293" s="231"/>
      <c r="CC293" s="231"/>
      <c r="CD293" s="231"/>
      <c r="CE293" s="232"/>
      <c r="CF293" s="232"/>
      <c r="CG293" s="232"/>
      <c r="CH293" s="231"/>
      <c r="CI293" s="232"/>
      <c r="CJ293" s="231"/>
      <c r="CK293" s="231"/>
      <c r="CL293" s="233"/>
      <c r="CM293" s="232"/>
      <c r="CN293" s="232"/>
      <c r="CO293" s="232"/>
      <c r="CP293" s="232"/>
      <c r="CQ293" s="232"/>
      <c r="CR293" s="232"/>
      <c r="CS293" s="232"/>
      <c r="CT293" s="232"/>
    </row>
    <row r="294" ht="24.0" customHeight="1">
      <c r="A294" s="184" t="s">
        <v>386</v>
      </c>
      <c r="B294" s="184" t="s">
        <v>1260</v>
      </c>
      <c r="C294" s="184" t="s">
        <v>657</v>
      </c>
      <c r="D294" s="184" t="s">
        <v>2431</v>
      </c>
      <c r="E294" s="186" t="s">
        <v>900</v>
      </c>
      <c r="F294" s="186" t="s">
        <v>2432</v>
      </c>
      <c r="G294" s="185">
        <v>10.0</v>
      </c>
      <c r="H294" s="209" t="s">
        <v>2480</v>
      </c>
      <c r="I294" s="209" t="s">
        <v>3061</v>
      </c>
      <c r="J294" s="209" t="s">
        <v>3062</v>
      </c>
      <c r="K294" s="209" t="s">
        <v>3012</v>
      </c>
      <c r="L294" s="209" t="s">
        <v>3063</v>
      </c>
      <c r="M294" s="209" t="s">
        <v>3064</v>
      </c>
      <c r="N294" s="209" t="s">
        <v>752</v>
      </c>
      <c r="O294" s="209" t="s">
        <v>764</v>
      </c>
      <c r="P294" s="209" t="s">
        <v>2974</v>
      </c>
      <c r="Q294" s="237" t="s">
        <v>3065</v>
      </c>
      <c r="R294" s="190"/>
      <c r="S294" s="190"/>
      <c r="T294" s="190"/>
      <c r="U294" s="210"/>
      <c r="V294" s="209" t="s">
        <v>3066</v>
      </c>
      <c r="W294" s="238" t="s">
        <v>3067</v>
      </c>
      <c r="X294" s="239" t="s">
        <v>3068</v>
      </c>
      <c r="Y294" s="209" t="s">
        <v>764</v>
      </c>
      <c r="Z294" s="209" t="s">
        <v>744</v>
      </c>
      <c r="AA294" s="237" t="s">
        <v>1654</v>
      </c>
      <c r="AB294" s="231"/>
      <c r="AC294" s="231"/>
      <c r="AD294" s="231"/>
      <c r="AE294" s="231"/>
      <c r="AF294" s="231"/>
      <c r="AG294" s="231"/>
      <c r="AH294" s="231"/>
      <c r="AJ294" s="231"/>
      <c r="AK294" s="232"/>
      <c r="AL294" s="231"/>
      <c r="AM294" s="232"/>
      <c r="AN294" s="231"/>
      <c r="AO294" s="232"/>
      <c r="AP294" s="232"/>
      <c r="AQ294" s="232"/>
      <c r="AR294" s="232"/>
      <c r="AS294" s="232"/>
      <c r="AT294" s="232"/>
      <c r="AU294" s="232"/>
      <c r="AV294" s="232"/>
      <c r="AW294" s="231"/>
      <c r="AX294" s="231"/>
      <c r="AY294" s="231"/>
      <c r="AZ294" s="231"/>
      <c r="BA294" s="231"/>
      <c r="BB294" s="231"/>
      <c r="BC294" s="232"/>
      <c r="BD294" s="232"/>
      <c r="BE294" s="232"/>
      <c r="BF294" s="232"/>
      <c r="BG294" s="231"/>
      <c r="BH294" s="231"/>
      <c r="BI294" s="231"/>
      <c r="BJ294" s="231"/>
      <c r="BK294" s="231"/>
      <c r="BL294" s="231"/>
      <c r="BM294" s="231"/>
      <c r="BN294" s="231"/>
      <c r="BO294" s="231"/>
      <c r="BP294" s="231"/>
      <c r="BQ294" s="232"/>
      <c r="BR294" s="232"/>
      <c r="BS294" s="231"/>
      <c r="BT294" s="231"/>
      <c r="BU294" s="231"/>
      <c r="BV294" s="231"/>
      <c r="BW294" s="231"/>
      <c r="BX294" s="231"/>
      <c r="BY294" s="231"/>
      <c r="BZ294" s="231"/>
      <c r="CA294" s="231"/>
      <c r="CB294" s="231"/>
      <c r="CC294" s="231"/>
      <c r="CD294" s="231"/>
      <c r="CE294" s="232"/>
      <c r="CF294" s="232"/>
      <c r="CG294" s="232"/>
      <c r="CH294" s="231"/>
      <c r="CI294" s="232"/>
      <c r="CJ294" s="232"/>
      <c r="CK294" s="231"/>
      <c r="CL294" s="233"/>
      <c r="CM294" s="232"/>
      <c r="CN294" s="232"/>
      <c r="CO294" s="232"/>
      <c r="CP294" s="232"/>
      <c r="CQ294" s="232"/>
      <c r="CR294" s="232"/>
      <c r="CS294" s="232"/>
      <c r="CT294" s="232"/>
    </row>
    <row r="295" ht="24.0" customHeight="1">
      <c r="A295" s="184" t="s">
        <v>387</v>
      </c>
      <c r="B295" s="184" t="s">
        <v>1260</v>
      </c>
      <c r="C295" s="184" t="s">
        <v>657</v>
      </c>
      <c r="D295" s="184" t="s">
        <v>2431</v>
      </c>
      <c r="E295" s="186" t="s">
        <v>900</v>
      </c>
      <c r="F295" s="186" t="s">
        <v>2432</v>
      </c>
      <c r="G295" s="185">
        <v>11.0</v>
      </c>
      <c r="H295" s="209" t="s">
        <v>869</v>
      </c>
      <c r="I295" s="209" t="s">
        <v>1116</v>
      </c>
      <c r="J295" s="209" t="s">
        <v>3069</v>
      </c>
      <c r="K295" s="209" t="s">
        <v>3070</v>
      </c>
      <c r="L295" s="209" t="s">
        <v>3071</v>
      </c>
      <c r="M295" s="209" t="s">
        <v>3072</v>
      </c>
      <c r="N295" s="209" t="s">
        <v>752</v>
      </c>
      <c r="O295" s="209" t="s">
        <v>1457</v>
      </c>
      <c r="P295" s="209" t="s">
        <v>1742</v>
      </c>
      <c r="Q295" s="237" t="s">
        <v>3073</v>
      </c>
      <c r="R295" s="190"/>
      <c r="S295" s="190"/>
      <c r="T295" s="190"/>
      <c r="U295" s="210"/>
      <c r="V295" s="209" t="s">
        <v>3074</v>
      </c>
      <c r="W295" s="238" t="s">
        <v>3075</v>
      </c>
      <c r="X295" s="239" t="s">
        <v>3076</v>
      </c>
      <c r="Y295" s="209" t="s">
        <v>1457</v>
      </c>
      <c r="Z295" s="209" t="s">
        <v>744</v>
      </c>
      <c r="AA295" s="237" t="s">
        <v>757</v>
      </c>
      <c r="AB295" s="231"/>
      <c r="AC295" s="231"/>
      <c r="AD295" s="231"/>
      <c r="AE295" s="231"/>
      <c r="AF295" s="231"/>
      <c r="AG295" s="231"/>
      <c r="AH295" s="231"/>
      <c r="AJ295" s="231"/>
      <c r="AK295" s="232"/>
      <c r="AL295" s="231"/>
      <c r="AM295" s="232"/>
      <c r="AN295" s="231"/>
      <c r="AO295" s="232"/>
      <c r="AP295" s="232"/>
      <c r="AQ295" s="232"/>
      <c r="AR295" s="232"/>
      <c r="AS295" s="232"/>
      <c r="AT295" s="232"/>
      <c r="AU295" s="232"/>
      <c r="AV295" s="232"/>
      <c r="AW295" s="231"/>
      <c r="AX295" s="231"/>
      <c r="AY295" s="231"/>
      <c r="AZ295" s="231"/>
      <c r="BA295" s="231"/>
      <c r="BB295" s="231"/>
      <c r="BC295" s="232"/>
      <c r="BD295" s="232"/>
      <c r="BE295" s="232"/>
      <c r="BF295" s="232"/>
      <c r="BG295" s="231"/>
      <c r="BH295" s="231"/>
      <c r="BI295" s="231"/>
      <c r="BJ295" s="231"/>
      <c r="BK295" s="232"/>
      <c r="BL295" s="232"/>
      <c r="BM295" s="232"/>
      <c r="BN295" s="232"/>
      <c r="BO295" s="232"/>
      <c r="BP295" s="232"/>
      <c r="BQ295" s="232"/>
      <c r="BR295" s="232"/>
      <c r="BS295" s="231"/>
      <c r="BT295" s="231"/>
      <c r="BU295" s="231"/>
      <c r="BV295" s="231"/>
      <c r="BW295" s="231"/>
      <c r="BX295" s="231"/>
      <c r="BY295" s="231"/>
      <c r="BZ295" s="231"/>
      <c r="CA295" s="231"/>
      <c r="CB295" s="231"/>
      <c r="CC295" s="231"/>
      <c r="CD295" s="231"/>
      <c r="CE295" s="232"/>
      <c r="CF295" s="232"/>
      <c r="CG295" s="232"/>
      <c r="CH295" s="231"/>
      <c r="CI295" s="232"/>
      <c r="CJ295" s="232"/>
      <c r="CK295" s="231"/>
      <c r="CL295" s="233"/>
      <c r="CM295" s="232"/>
      <c r="CN295" s="232"/>
      <c r="CO295" s="232"/>
      <c r="CP295" s="232"/>
      <c r="CQ295" s="232"/>
      <c r="CR295" s="232"/>
      <c r="CS295" s="232"/>
      <c r="CT295" s="232"/>
    </row>
    <row r="296" ht="24.0" customHeight="1">
      <c r="A296" s="184" t="s">
        <v>384</v>
      </c>
      <c r="B296" s="184" t="s">
        <v>1260</v>
      </c>
      <c r="C296" s="184" t="s">
        <v>657</v>
      </c>
      <c r="D296" s="184" t="s">
        <v>2431</v>
      </c>
      <c r="E296" s="186" t="s">
        <v>900</v>
      </c>
      <c r="F296" s="186" t="s">
        <v>2432</v>
      </c>
      <c r="G296" s="185">
        <v>12.0</v>
      </c>
      <c r="H296" s="209" t="s">
        <v>3077</v>
      </c>
      <c r="I296" s="209" t="s">
        <v>3078</v>
      </c>
      <c r="J296" s="209" t="s">
        <v>3079</v>
      </c>
      <c r="K296" s="209" t="s">
        <v>3080</v>
      </c>
      <c r="L296" s="209" t="s">
        <v>3081</v>
      </c>
      <c r="M296" s="209" t="s">
        <v>3082</v>
      </c>
      <c r="N296" s="209" t="s">
        <v>752</v>
      </c>
      <c r="O296" s="209" t="s">
        <v>784</v>
      </c>
      <c r="P296" s="209" t="s">
        <v>1428</v>
      </c>
      <c r="Q296" s="237" t="s">
        <v>1169</v>
      </c>
      <c r="R296" s="190"/>
      <c r="S296" s="190"/>
      <c r="T296" s="190"/>
      <c r="U296" s="210"/>
      <c r="V296" s="209" t="s">
        <v>3083</v>
      </c>
      <c r="W296" s="238" t="s">
        <v>3084</v>
      </c>
      <c r="X296" s="239" t="s">
        <v>3085</v>
      </c>
      <c r="Y296" s="209" t="s">
        <v>784</v>
      </c>
      <c r="Z296" s="209" t="s">
        <v>744</v>
      </c>
      <c r="AA296" s="237" t="s">
        <v>757</v>
      </c>
      <c r="AB296" s="231"/>
      <c r="AC296" s="231"/>
      <c r="AD296" s="231"/>
      <c r="AE296" s="231"/>
      <c r="AF296" s="231"/>
      <c r="AG296" s="231"/>
      <c r="AH296" s="231"/>
      <c r="AJ296" s="231"/>
      <c r="AK296" s="232"/>
      <c r="AL296" s="231"/>
      <c r="AM296" s="232"/>
      <c r="AN296" s="231"/>
      <c r="AO296" s="232"/>
      <c r="AP296" s="232"/>
      <c r="AQ296" s="232"/>
      <c r="AR296" s="232"/>
      <c r="AS296" s="232"/>
      <c r="AT296" s="232"/>
      <c r="AU296" s="232"/>
      <c r="AV296" s="232"/>
      <c r="AW296" s="231"/>
      <c r="AX296" s="231"/>
      <c r="AY296" s="231"/>
      <c r="AZ296" s="231"/>
      <c r="BA296" s="231"/>
      <c r="BB296" s="231"/>
      <c r="BC296" s="232"/>
      <c r="BD296" s="232"/>
      <c r="BE296" s="232"/>
      <c r="BF296" s="232"/>
      <c r="BG296" s="231"/>
      <c r="BH296" s="231"/>
      <c r="BI296" s="232"/>
      <c r="BJ296" s="232"/>
      <c r="BK296" s="232"/>
      <c r="BL296" s="232"/>
      <c r="BM296" s="232"/>
      <c r="BN296" s="232"/>
      <c r="BO296" s="232"/>
      <c r="BP296" s="232"/>
      <c r="BQ296" s="232"/>
      <c r="BR296" s="232"/>
      <c r="BS296" s="231"/>
      <c r="BT296" s="231"/>
      <c r="BU296" s="231"/>
      <c r="BV296" s="231"/>
      <c r="BW296" s="231"/>
      <c r="BX296" s="231"/>
      <c r="BY296" s="231"/>
      <c r="BZ296" s="231"/>
      <c r="CA296" s="231"/>
      <c r="CB296" s="231"/>
      <c r="CC296" s="231"/>
      <c r="CD296" s="231"/>
      <c r="CE296" s="232"/>
      <c r="CF296" s="232"/>
      <c r="CG296" s="232"/>
      <c r="CH296" s="231"/>
      <c r="CI296" s="232"/>
      <c r="CJ296" s="232"/>
      <c r="CK296" s="231"/>
      <c r="CL296" s="233"/>
      <c r="CM296" s="232"/>
      <c r="CN296" s="232"/>
      <c r="CO296" s="232"/>
      <c r="CP296" s="232"/>
      <c r="CQ296" s="232"/>
      <c r="CR296" s="232"/>
      <c r="CS296" s="232"/>
      <c r="CT296" s="232"/>
    </row>
    <row r="297" ht="24.0" customHeight="1">
      <c r="A297" s="184" t="s">
        <v>385</v>
      </c>
      <c r="B297" s="184" t="s">
        <v>1260</v>
      </c>
      <c r="C297" s="184" t="s">
        <v>657</v>
      </c>
      <c r="D297" s="184" t="s">
        <v>2431</v>
      </c>
      <c r="E297" s="186" t="s">
        <v>900</v>
      </c>
      <c r="F297" s="186" t="s">
        <v>2432</v>
      </c>
      <c r="G297" s="185">
        <v>13.0</v>
      </c>
      <c r="H297" s="209" t="s">
        <v>3086</v>
      </c>
      <c r="I297" s="209" t="s">
        <v>916</v>
      </c>
      <c r="J297" s="209" t="s">
        <v>3087</v>
      </c>
      <c r="K297" s="209" t="s">
        <v>3088</v>
      </c>
      <c r="L297" s="209" t="s">
        <v>3089</v>
      </c>
      <c r="M297" s="209" t="s">
        <v>3090</v>
      </c>
      <c r="N297" s="209" t="s">
        <v>752</v>
      </c>
      <c r="O297" s="237" t="s">
        <v>893</v>
      </c>
      <c r="P297" s="190"/>
      <c r="Q297" s="190"/>
      <c r="R297" s="190"/>
      <c r="S297" s="190"/>
      <c r="T297" s="190"/>
      <c r="U297" s="210"/>
      <c r="V297" s="209" t="s">
        <v>3091</v>
      </c>
      <c r="W297" s="238" t="s">
        <v>3092</v>
      </c>
      <c r="X297" s="239" t="s">
        <v>1119</v>
      </c>
      <c r="Y297" s="209" t="s">
        <v>893</v>
      </c>
      <c r="Z297" s="209" t="s">
        <v>744</v>
      </c>
      <c r="AA297" s="237" t="s">
        <v>757</v>
      </c>
      <c r="AB297" s="231"/>
      <c r="AC297" s="231"/>
      <c r="AD297" s="231"/>
      <c r="AE297" s="231"/>
      <c r="AF297" s="231"/>
      <c r="AG297" s="231"/>
      <c r="AH297" s="231"/>
      <c r="AJ297" s="231"/>
      <c r="AK297" s="232"/>
      <c r="AL297" s="231"/>
      <c r="AM297" s="232"/>
      <c r="AN297" s="231"/>
      <c r="AO297" s="232"/>
      <c r="AP297" s="232"/>
      <c r="AQ297" s="232"/>
      <c r="AR297" s="232"/>
      <c r="AS297" s="232"/>
      <c r="AT297" s="232"/>
      <c r="AU297" s="232"/>
      <c r="AV297" s="232"/>
      <c r="AW297" s="231"/>
      <c r="AX297" s="231"/>
      <c r="AY297" s="231"/>
      <c r="AZ297" s="231"/>
      <c r="BA297" s="231"/>
      <c r="BB297" s="231"/>
      <c r="BC297" s="232"/>
      <c r="BD297" s="232"/>
      <c r="BE297" s="232"/>
      <c r="BF297" s="232"/>
      <c r="BG297" s="231"/>
      <c r="BH297" s="231"/>
      <c r="BI297" s="231"/>
      <c r="BJ297" s="231"/>
      <c r="BK297" s="231"/>
      <c r="BL297" s="231"/>
      <c r="BM297" s="231"/>
      <c r="BN297" s="231"/>
      <c r="BO297" s="231"/>
      <c r="BP297" s="231"/>
      <c r="BQ297" s="232"/>
      <c r="BR297" s="232"/>
      <c r="BS297" s="231"/>
      <c r="BT297" s="231"/>
      <c r="BU297" s="231"/>
      <c r="BV297" s="231"/>
      <c r="BW297" s="231"/>
      <c r="BX297" s="231"/>
      <c r="BY297" s="232"/>
      <c r="BZ297" s="232"/>
      <c r="CA297" s="231"/>
      <c r="CB297" s="231"/>
      <c r="CC297" s="231"/>
      <c r="CD297" s="231"/>
      <c r="CE297" s="232"/>
      <c r="CF297" s="232"/>
      <c r="CG297" s="232"/>
      <c r="CH297" s="231"/>
      <c r="CI297" s="232"/>
      <c r="CJ297" s="232"/>
      <c r="CK297" s="232"/>
      <c r="CL297" s="232"/>
      <c r="CM297" s="232"/>
      <c r="CN297" s="232"/>
      <c r="CO297" s="232"/>
      <c r="CP297" s="232"/>
      <c r="CQ297" s="232"/>
      <c r="CR297" s="232"/>
      <c r="CS297" s="232"/>
      <c r="CT297" s="232"/>
    </row>
    <row r="298" ht="24.0" customHeight="1">
      <c r="A298" s="184" t="s">
        <v>393</v>
      </c>
      <c r="B298" s="184" t="s">
        <v>1260</v>
      </c>
      <c r="C298" s="184" t="s">
        <v>658</v>
      </c>
      <c r="D298" s="184" t="s">
        <v>2431</v>
      </c>
      <c r="E298" s="186" t="s">
        <v>946</v>
      </c>
      <c r="F298" s="186" t="s">
        <v>2432</v>
      </c>
      <c r="G298" s="185">
        <v>14.0</v>
      </c>
      <c r="H298" s="209" t="s">
        <v>3093</v>
      </c>
      <c r="I298" s="209" t="s">
        <v>3094</v>
      </c>
      <c r="J298" s="209" t="s">
        <v>3095</v>
      </c>
      <c r="K298" s="209" t="s">
        <v>3096</v>
      </c>
      <c r="L298" s="210" t="s">
        <v>3097</v>
      </c>
      <c r="M298" s="209" t="s">
        <v>3098</v>
      </c>
      <c r="N298" s="209" t="s">
        <v>752</v>
      </c>
      <c r="O298" s="237" t="s">
        <v>764</v>
      </c>
      <c r="P298" s="190"/>
      <c r="Q298" s="190"/>
      <c r="R298" s="190"/>
      <c r="S298" s="190"/>
      <c r="T298" s="190"/>
      <c r="U298" s="210"/>
      <c r="V298" s="209" t="s">
        <v>3099</v>
      </c>
      <c r="W298" s="238" t="s">
        <v>1169</v>
      </c>
      <c r="X298" s="239" t="s">
        <v>3100</v>
      </c>
      <c r="Y298" s="209" t="s">
        <v>764</v>
      </c>
      <c r="Z298" s="209" t="s">
        <v>946</v>
      </c>
      <c r="AA298" s="237" t="s">
        <v>2583</v>
      </c>
      <c r="AB298" s="231"/>
      <c r="AC298" s="231"/>
      <c r="AD298" s="231"/>
      <c r="AE298" s="231"/>
      <c r="AF298" s="231"/>
      <c r="AG298" s="231"/>
      <c r="AH298" s="231"/>
      <c r="AJ298" s="231"/>
      <c r="AK298" s="232"/>
      <c r="AL298" s="231"/>
      <c r="AM298" s="232"/>
      <c r="AN298" s="231"/>
      <c r="AO298" s="232"/>
      <c r="AP298" s="232"/>
      <c r="AQ298" s="232"/>
      <c r="AR298" s="232"/>
      <c r="AS298" s="232"/>
      <c r="AT298" s="232"/>
      <c r="AU298" s="232"/>
      <c r="AV298" s="232"/>
      <c r="AW298" s="231"/>
      <c r="AX298" s="231"/>
      <c r="AY298" s="231"/>
      <c r="AZ298" s="231"/>
      <c r="BA298" s="231"/>
      <c r="BB298" s="231"/>
      <c r="BC298" s="232"/>
      <c r="BD298" s="232"/>
      <c r="BE298" s="232"/>
      <c r="BF298" s="232"/>
      <c r="BG298" s="232"/>
      <c r="BH298" s="232"/>
      <c r="BI298" s="232"/>
      <c r="BJ298" s="232"/>
      <c r="BK298" s="232"/>
      <c r="BL298" s="232"/>
      <c r="BM298" s="232"/>
      <c r="BN298" s="232"/>
      <c r="BO298" s="232"/>
      <c r="BP298" s="232"/>
      <c r="BQ298" s="232"/>
      <c r="BR298" s="232"/>
      <c r="BS298" s="231"/>
      <c r="BT298" s="231"/>
      <c r="BU298" s="231"/>
      <c r="BV298" s="231"/>
      <c r="BW298" s="231"/>
      <c r="BX298" s="231"/>
      <c r="BY298" s="231"/>
      <c r="BZ298" s="231"/>
      <c r="CA298" s="231"/>
      <c r="CB298" s="231"/>
      <c r="CC298" s="231"/>
      <c r="CD298" s="231"/>
      <c r="CE298" s="232"/>
      <c r="CF298" s="232"/>
      <c r="CG298" s="232"/>
      <c r="CH298" s="231"/>
      <c r="CI298" s="232"/>
      <c r="CJ298" s="232"/>
      <c r="CK298" s="231"/>
      <c r="CL298" s="233"/>
      <c r="CM298" s="232"/>
      <c r="CN298" s="232"/>
      <c r="CO298" s="232"/>
      <c r="CP298" s="232"/>
      <c r="CQ298" s="232"/>
      <c r="CR298" s="232"/>
      <c r="CS298" s="232"/>
      <c r="CT298" s="232"/>
    </row>
    <row r="299" ht="24.0" customHeight="1">
      <c r="A299" s="184" t="s">
        <v>388</v>
      </c>
      <c r="B299" s="184" t="s">
        <v>1260</v>
      </c>
      <c r="C299" s="184" t="s">
        <v>658</v>
      </c>
      <c r="D299" s="184" t="s">
        <v>2431</v>
      </c>
      <c r="E299" s="186" t="s">
        <v>946</v>
      </c>
      <c r="F299" s="186" t="s">
        <v>2432</v>
      </c>
      <c r="G299" s="185">
        <v>15.0</v>
      </c>
      <c r="H299" s="209" t="s">
        <v>1005</v>
      </c>
      <c r="I299" s="209" t="s">
        <v>3101</v>
      </c>
      <c r="J299" s="209" t="s">
        <v>3102</v>
      </c>
      <c r="K299" s="209" t="s">
        <v>3103</v>
      </c>
      <c r="L299" s="209" t="s">
        <v>3104</v>
      </c>
      <c r="M299" s="209" t="s">
        <v>3105</v>
      </c>
      <c r="N299" s="209" t="s">
        <v>752</v>
      </c>
      <c r="O299" s="237" t="s">
        <v>764</v>
      </c>
      <c r="P299" s="190"/>
      <c r="Q299" s="190"/>
      <c r="R299" s="190"/>
      <c r="S299" s="190"/>
      <c r="T299" s="190"/>
      <c r="U299" s="210"/>
      <c r="V299" s="209" t="s">
        <v>2580</v>
      </c>
      <c r="W299" s="238" t="s">
        <v>2581</v>
      </c>
      <c r="X299" s="239" t="s">
        <v>2582</v>
      </c>
      <c r="Y299" s="209" t="s">
        <v>764</v>
      </c>
      <c r="Z299" s="209" t="s">
        <v>946</v>
      </c>
      <c r="AA299" s="237" t="s">
        <v>2583</v>
      </c>
      <c r="AB299" s="231"/>
      <c r="AC299" s="231"/>
      <c r="AD299" s="231"/>
      <c r="AE299" s="231"/>
      <c r="AF299" s="231"/>
      <c r="AG299" s="231"/>
      <c r="AH299" s="231"/>
      <c r="AJ299" s="231"/>
      <c r="AK299" s="232"/>
      <c r="AL299" s="231"/>
      <c r="AM299" s="232"/>
      <c r="AN299" s="231"/>
      <c r="AO299" s="232"/>
      <c r="AP299" s="232"/>
      <c r="AQ299" s="232"/>
      <c r="AR299" s="232"/>
      <c r="AS299" s="232"/>
      <c r="AT299" s="232"/>
      <c r="AU299" s="232"/>
      <c r="AV299" s="232"/>
      <c r="AW299" s="231"/>
      <c r="AX299" s="231"/>
      <c r="AY299" s="231"/>
      <c r="AZ299" s="231"/>
      <c r="BA299" s="231"/>
      <c r="BB299" s="231"/>
      <c r="BC299" s="232"/>
      <c r="BD299" s="232"/>
      <c r="BE299" s="232"/>
      <c r="BF299" s="232"/>
      <c r="BG299" s="231"/>
      <c r="BH299" s="231"/>
      <c r="BI299" s="232"/>
      <c r="BJ299" s="232"/>
      <c r="BK299" s="232"/>
      <c r="BL299" s="232"/>
      <c r="BM299" s="232"/>
      <c r="BN299" s="232"/>
      <c r="BO299" s="232"/>
      <c r="BP299" s="232"/>
      <c r="BQ299" s="232"/>
      <c r="BR299" s="232"/>
      <c r="BS299" s="231"/>
      <c r="BT299" s="231"/>
      <c r="BU299" s="231"/>
      <c r="BV299" s="231"/>
      <c r="BW299" s="231"/>
      <c r="BX299" s="231"/>
      <c r="BY299" s="231"/>
      <c r="BZ299" s="231"/>
      <c r="CA299" s="231"/>
      <c r="CB299" s="231"/>
      <c r="CC299" s="231"/>
      <c r="CD299" s="231"/>
      <c r="CE299" s="232"/>
      <c r="CF299" s="232"/>
      <c r="CG299" s="232"/>
      <c r="CH299" s="231"/>
      <c r="CI299" s="232"/>
      <c r="CJ299" s="232"/>
      <c r="CK299" s="232"/>
      <c r="CL299" s="232"/>
      <c r="CM299" s="232"/>
      <c r="CN299" s="232"/>
      <c r="CO299" s="232"/>
      <c r="CP299" s="232"/>
      <c r="CQ299" s="232"/>
      <c r="CR299" s="232"/>
      <c r="CS299" s="232"/>
      <c r="CT299" s="232"/>
    </row>
    <row r="300" ht="24.0" customHeight="1">
      <c r="A300" s="184" t="s">
        <v>392</v>
      </c>
      <c r="B300" s="184" t="s">
        <v>1260</v>
      </c>
      <c r="C300" s="184" t="s">
        <v>658</v>
      </c>
      <c r="D300" s="184" t="s">
        <v>2431</v>
      </c>
      <c r="E300" s="186" t="s">
        <v>946</v>
      </c>
      <c r="F300" s="186" t="s">
        <v>2432</v>
      </c>
      <c r="G300" s="185">
        <v>16.0</v>
      </c>
      <c r="H300" s="209" t="s">
        <v>1549</v>
      </c>
      <c r="I300" s="209" t="s">
        <v>2739</v>
      </c>
      <c r="J300" s="209" t="s">
        <v>2740</v>
      </c>
      <c r="K300" s="209" t="s">
        <v>1338</v>
      </c>
      <c r="L300" s="209" t="s">
        <v>2741</v>
      </c>
      <c r="M300" s="209" t="s">
        <v>2742</v>
      </c>
      <c r="N300" s="209" t="s">
        <v>752</v>
      </c>
      <c r="O300" s="209" t="s">
        <v>764</v>
      </c>
      <c r="P300" s="209" t="s">
        <v>1875</v>
      </c>
      <c r="Q300" s="237" t="s">
        <v>2561</v>
      </c>
      <c r="R300" s="190"/>
      <c r="S300" s="190"/>
      <c r="T300" s="190"/>
      <c r="U300" s="210"/>
      <c r="V300" s="209" t="s">
        <v>2743</v>
      </c>
      <c r="W300" s="238" t="s">
        <v>2744</v>
      </c>
      <c r="X300" s="239" t="s">
        <v>2745</v>
      </c>
      <c r="Y300" s="209" t="s">
        <v>764</v>
      </c>
      <c r="Z300" s="209" t="s">
        <v>946</v>
      </c>
      <c r="AA300" s="237" t="s">
        <v>797</v>
      </c>
      <c r="AB300" s="231"/>
      <c r="AC300" s="231"/>
      <c r="AD300" s="231"/>
      <c r="AE300" s="231"/>
      <c r="AF300" s="231"/>
      <c r="AG300" s="231"/>
      <c r="AH300" s="231"/>
      <c r="AJ300" s="231"/>
      <c r="AK300" s="232"/>
      <c r="AL300" s="231"/>
      <c r="AM300" s="232"/>
      <c r="AN300" s="231"/>
      <c r="AO300" s="232"/>
      <c r="AP300" s="232"/>
      <c r="AQ300" s="232"/>
      <c r="AR300" s="232"/>
      <c r="AS300" s="232"/>
      <c r="AT300" s="232"/>
      <c r="AU300" s="232"/>
      <c r="AV300" s="232"/>
      <c r="AW300" s="231"/>
      <c r="AX300" s="231"/>
      <c r="AY300" s="231"/>
      <c r="AZ300" s="231"/>
      <c r="BA300" s="231"/>
      <c r="BB300" s="231"/>
      <c r="BC300" s="232"/>
      <c r="BD300" s="232"/>
      <c r="BE300" s="232"/>
      <c r="BF300" s="232"/>
      <c r="BG300" s="231"/>
      <c r="BH300" s="231"/>
      <c r="BI300" s="231"/>
      <c r="BJ300" s="231"/>
      <c r="BK300" s="231"/>
      <c r="BL300" s="231"/>
      <c r="BM300" s="232"/>
      <c r="BN300" s="232"/>
      <c r="BO300" s="232"/>
      <c r="BP300" s="232"/>
      <c r="BQ300" s="232"/>
      <c r="BR300" s="232"/>
      <c r="BS300" s="231"/>
      <c r="BT300" s="231"/>
      <c r="BU300" s="231"/>
      <c r="BV300" s="231"/>
      <c r="BW300" s="231"/>
      <c r="BX300" s="231"/>
      <c r="BY300" s="231"/>
      <c r="BZ300" s="231"/>
      <c r="CA300" s="231"/>
      <c r="CB300" s="231"/>
      <c r="CC300" s="231"/>
      <c r="CD300" s="231"/>
      <c r="CE300" s="232"/>
      <c r="CF300" s="232"/>
      <c r="CG300" s="232"/>
      <c r="CH300" s="231"/>
      <c r="CI300" s="232"/>
      <c r="CJ300" s="232"/>
      <c r="CK300" s="232"/>
      <c r="CL300" s="232"/>
      <c r="CM300" s="232"/>
      <c r="CN300" s="232"/>
      <c r="CO300" s="232"/>
      <c r="CP300" s="232"/>
      <c r="CQ300" s="232"/>
      <c r="CR300" s="232"/>
      <c r="CS300" s="232"/>
      <c r="CT300" s="232"/>
    </row>
    <row r="301" ht="24.0" customHeight="1">
      <c r="A301" s="184" t="s">
        <v>391</v>
      </c>
      <c r="B301" s="184" t="s">
        <v>1260</v>
      </c>
      <c r="C301" s="184" t="s">
        <v>658</v>
      </c>
      <c r="D301" s="184" t="s">
        <v>2431</v>
      </c>
      <c r="E301" s="186" t="s">
        <v>946</v>
      </c>
      <c r="F301" s="186" t="s">
        <v>2432</v>
      </c>
      <c r="G301" s="185">
        <v>17.0</v>
      </c>
      <c r="H301" s="209" t="s">
        <v>3106</v>
      </c>
      <c r="I301" s="209" t="s">
        <v>3107</v>
      </c>
      <c r="J301" s="209" t="s">
        <v>3108</v>
      </c>
      <c r="K301" s="209" t="s">
        <v>3109</v>
      </c>
      <c r="L301" s="209" t="s">
        <v>3110</v>
      </c>
      <c r="M301" s="209" t="s">
        <v>3111</v>
      </c>
      <c r="N301" s="209" t="s">
        <v>752</v>
      </c>
      <c r="O301" s="237" t="s">
        <v>764</v>
      </c>
      <c r="P301" s="190"/>
      <c r="Q301" s="190"/>
      <c r="R301" s="190"/>
      <c r="S301" s="190"/>
      <c r="T301" s="190"/>
      <c r="U301" s="210"/>
      <c r="V301" s="209" t="s">
        <v>2580</v>
      </c>
      <c r="W301" s="238" t="s">
        <v>955</v>
      </c>
      <c r="X301" s="239" t="s">
        <v>956</v>
      </c>
      <c r="Y301" s="209" t="s">
        <v>764</v>
      </c>
      <c r="Z301" s="209" t="s">
        <v>946</v>
      </c>
      <c r="AA301" s="237" t="s">
        <v>797</v>
      </c>
      <c r="AB301" s="231"/>
      <c r="AC301" s="231"/>
      <c r="AD301" s="231"/>
      <c r="AE301" s="231"/>
      <c r="AF301" s="231"/>
      <c r="AG301" s="231"/>
      <c r="AH301" s="231"/>
      <c r="AJ301" s="231"/>
      <c r="AK301" s="232"/>
      <c r="AL301" s="231"/>
      <c r="AM301" s="232"/>
      <c r="AN301" s="231"/>
      <c r="AO301" s="232"/>
      <c r="AP301" s="232"/>
      <c r="AQ301" s="232"/>
      <c r="AR301" s="232"/>
      <c r="AS301" s="232"/>
      <c r="AT301" s="232"/>
      <c r="AU301" s="232"/>
      <c r="AV301" s="232"/>
      <c r="AW301" s="231"/>
      <c r="AX301" s="231"/>
      <c r="AY301" s="231"/>
      <c r="AZ301" s="231"/>
      <c r="BA301" s="231"/>
      <c r="BB301" s="231"/>
      <c r="BC301" s="232"/>
      <c r="BD301" s="232"/>
      <c r="BE301" s="232"/>
      <c r="BF301" s="232"/>
      <c r="BG301" s="231"/>
      <c r="BH301" s="231"/>
      <c r="BI301" s="231"/>
      <c r="BJ301" s="231"/>
      <c r="BK301" s="231"/>
      <c r="BL301" s="231"/>
      <c r="BM301" s="231"/>
      <c r="BN301" s="231"/>
      <c r="BO301" s="231"/>
      <c r="BP301" s="231"/>
      <c r="BQ301" s="232"/>
      <c r="BR301" s="232"/>
      <c r="BS301" s="231"/>
      <c r="BT301" s="231"/>
      <c r="BU301" s="231"/>
      <c r="BV301" s="231"/>
      <c r="BW301" s="231"/>
      <c r="BX301" s="231"/>
      <c r="BY301" s="231"/>
      <c r="BZ301" s="232"/>
      <c r="CA301" s="231"/>
      <c r="CB301" s="231"/>
      <c r="CC301" s="231"/>
      <c r="CD301" s="231"/>
      <c r="CE301" s="232"/>
      <c r="CF301" s="232"/>
      <c r="CG301" s="232"/>
      <c r="CH301" s="231"/>
      <c r="CI301" s="232"/>
      <c r="CJ301" s="232"/>
      <c r="CK301" s="231"/>
      <c r="CL301" s="233"/>
      <c r="CM301" s="232"/>
      <c r="CN301" s="232"/>
      <c r="CO301" s="232"/>
      <c r="CP301" s="232"/>
      <c r="CQ301" s="232"/>
      <c r="CR301" s="232"/>
      <c r="CS301" s="232"/>
      <c r="CT301" s="232"/>
    </row>
    <row r="302" ht="24.0" customHeight="1">
      <c r="A302" s="184" t="s">
        <v>394</v>
      </c>
      <c r="B302" s="184" t="s">
        <v>1260</v>
      </c>
      <c r="C302" s="184" t="s">
        <v>658</v>
      </c>
      <c r="D302" s="184" t="s">
        <v>2431</v>
      </c>
      <c r="E302" s="186" t="s">
        <v>946</v>
      </c>
      <c r="F302" s="186" t="s">
        <v>2432</v>
      </c>
      <c r="G302" s="185">
        <v>18.0</v>
      </c>
      <c r="H302" s="209" t="s">
        <v>3112</v>
      </c>
      <c r="I302" s="209" t="s">
        <v>3113</v>
      </c>
      <c r="J302" s="209" t="s">
        <v>3114</v>
      </c>
      <c r="K302" s="209" t="s">
        <v>3115</v>
      </c>
      <c r="L302" s="209" t="s">
        <v>3116</v>
      </c>
      <c r="M302" s="209" t="s">
        <v>3117</v>
      </c>
      <c r="N302" s="209" t="s">
        <v>752</v>
      </c>
      <c r="O302" s="237" t="s">
        <v>764</v>
      </c>
      <c r="P302" s="190"/>
      <c r="Q302" s="190"/>
      <c r="R302" s="190"/>
      <c r="S302" s="190"/>
      <c r="T302" s="190"/>
      <c r="U302" s="210"/>
      <c r="V302" s="209" t="s">
        <v>1549</v>
      </c>
      <c r="W302" s="238" t="s">
        <v>2572</v>
      </c>
      <c r="X302" s="239" t="s">
        <v>2573</v>
      </c>
      <c r="Y302" s="209" t="s">
        <v>764</v>
      </c>
      <c r="Z302" s="209" t="s">
        <v>946</v>
      </c>
      <c r="AA302" s="237" t="s">
        <v>757</v>
      </c>
      <c r="AB302" s="231"/>
      <c r="AC302" s="231"/>
      <c r="AD302" s="231"/>
      <c r="AE302" s="231"/>
      <c r="AF302" s="231"/>
      <c r="AG302" s="231"/>
      <c r="AH302" s="231"/>
      <c r="AJ302" s="231"/>
      <c r="AK302" s="232"/>
      <c r="AL302" s="231"/>
      <c r="AM302" s="232"/>
      <c r="AN302" s="231"/>
      <c r="AO302" s="232"/>
      <c r="AP302" s="232"/>
      <c r="AQ302" s="232"/>
      <c r="AR302" s="232"/>
      <c r="AS302" s="232"/>
      <c r="AT302" s="232"/>
      <c r="AU302" s="232"/>
      <c r="AV302" s="232"/>
      <c r="AW302" s="231"/>
      <c r="AX302" s="231"/>
      <c r="AY302" s="231"/>
      <c r="AZ302" s="231"/>
      <c r="BA302" s="231"/>
      <c r="BB302" s="231"/>
      <c r="BC302" s="231"/>
      <c r="BD302" s="231"/>
      <c r="BE302" s="231"/>
      <c r="BF302" s="231"/>
      <c r="BG302" s="231"/>
      <c r="BH302" s="231"/>
      <c r="BI302" s="232"/>
      <c r="BJ302" s="232"/>
      <c r="BK302" s="232"/>
      <c r="BL302" s="232"/>
      <c r="BM302" s="232"/>
      <c r="BN302" s="232"/>
      <c r="BO302" s="232"/>
      <c r="BP302" s="232"/>
      <c r="BQ302" s="232"/>
      <c r="BR302" s="232"/>
      <c r="BS302" s="231"/>
      <c r="BT302" s="231"/>
      <c r="BU302" s="231"/>
      <c r="BV302" s="231"/>
      <c r="BW302" s="231"/>
      <c r="BX302" s="231"/>
      <c r="BY302" s="231"/>
      <c r="BZ302" s="232"/>
      <c r="CA302" s="231"/>
      <c r="CB302" s="231"/>
      <c r="CC302" s="231"/>
      <c r="CD302" s="231"/>
      <c r="CE302" s="232"/>
      <c r="CF302" s="232"/>
      <c r="CG302" s="232"/>
      <c r="CH302" s="231"/>
      <c r="CI302" s="232"/>
      <c r="CJ302" s="232"/>
      <c r="CK302" s="232"/>
      <c r="CL302" s="235"/>
      <c r="CM302" s="232"/>
      <c r="CN302" s="232"/>
      <c r="CO302" s="232"/>
      <c r="CP302" s="232"/>
      <c r="CQ302" s="232"/>
      <c r="CR302" s="232"/>
      <c r="CS302" s="232"/>
      <c r="CT302" s="232"/>
    </row>
    <row r="303" ht="24.0" customHeight="1">
      <c r="A303" s="184" t="s">
        <v>395</v>
      </c>
      <c r="B303" s="184" t="s">
        <v>1260</v>
      </c>
      <c r="C303" s="184" t="s">
        <v>658</v>
      </c>
      <c r="D303" s="184" t="s">
        <v>2431</v>
      </c>
      <c r="E303" s="186" t="s">
        <v>946</v>
      </c>
      <c r="F303" s="186" t="s">
        <v>2432</v>
      </c>
      <c r="G303" s="185">
        <v>19.0</v>
      </c>
      <c r="H303" s="209" t="s">
        <v>3118</v>
      </c>
      <c r="I303" s="209" t="s">
        <v>3119</v>
      </c>
      <c r="J303" s="209" t="s">
        <v>3120</v>
      </c>
      <c r="K303" s="209" t="s">
        <v>3121</v>
      </c>
      <c r="L303" s="209" t="s">
        <v>3122</v>
      </c>
      <c r="M303" s="210" t="s">
        <v>3123</v>
      </c>
      <c r="N303" s="209" t="s">
        <v>752</v>
      </c>
      <c r="O303" s="237" t="s">
        <v>764</v>
      </c>
      <c r="P303" s="190"/>
      <c r="Q303" s="190"/>
      <c r="R303" s="190"/>
      <c r="S303" s="190"/>
      <c r="T303" s="190"/>
      <c r="U303" s="210"/>
      <c r="V303" s="209" t="s">
        <v>1515</v>
      </c>
      <c r="W303" s="238" t="s">
        <v>1516</v>
      </c>
      <c r="X303" s="239" t="s">
        <v>1517</v>
      </c>
      <c r="Y303" s="209" t="s">
        <v>764</v>
      </c>
      <c r="Z303" s="209" t="s">
        <v>946</v>
      </c>
      <c r="AA303" s="237" t="s">
        <v>797</v>
      </c>
      <c r="AB303" s="231"/>
      <c r="AC303" s="231"/>
      <c r="AD303" s="231"/>
      <c r="AE303" s="231"/>
      <c r="AF303" s="231"/>
      <c r="AG303" s="231"/>
      <c r="AH303" s="231"/>
      <c r="AJ303" s="231"/>
      <c r="AK303" s="232"/>
      <c r="AL303" s="231"/>
      <c r="AM303" s="232"/>
      <c r="AN303" s="231"/>
      <c r="AO303" s="232"/>
      <c r="AP303" s="232"/>
      <c r="AQ303" s="232"/>
      <c r="AR303" s="232"/>
      <c r="AS303" s="232"/>
      <c r="AT303" s="232"/>
      <c r="AU303" s="232"/>
      <c r="AV303" s="232"/>
      <c r="AW303" s="231"/>
      <c r="AX303" s="231"/>
      <c r="AY303" s="231"/>
      <c r="AZ303" s="231"/>
      <c r="BA303" s="231"/>
      <c r="BB303" s="231"/>
      <c r="BC303" s="231"/>
      <c r="BD303" s="231"/>
      <c r="BE303" s="232"/>
      <c r="BF303" s="232"/>
      <c r="BG303" s="231"/>
      <c r="BH303" s="231"/>
      <c r="BI303" s="231"/>
      <c r="BJ303" s="231"/>
      <c r="BK303" s="231"/>
      <c r="BL303" s="231"/>
      <c r="BM303" s="232"/>
      <c r="BN303" s="232"/>
      <c r="BO303" s="232"/>
      <c r="BP303" s="232"/>
      <c r="BQ303" s="232"/>
      <c r="BR303" s="232"/>
      <c r="BS303" s="231"/>
      <c r="BT303" s="231"/>
      <c r="BU303" s="231"/>
      <c r="BV303" s="231"/>
      <c r="BW303" s="231"/>
      <c r="BX303" s="231"/>
      <c r="BY303" s="232"/>
      <c r="BZ303" s="231"/>
      <c r="CA303" s="231"/>
      <c r="CB303" s="231"/>
      <c r="CC303" s="231"/>
      <c r="CD303" s="231"/>
      <c r="CE303" s="232"/>
      <c r="CF303" s="232"/>
      <c r="CG303" s="232"/>
      <c r="CH303" s="231"/>
      <c r="CI303" s="232"/>
      <c r="CJ303" s="232"/>
      <c r="CK303" s="231"/>
      <c r="CL303" s="235"/>
      <c r="CM303" s="232"/>
      <c r="CN303" s="232"/>
      <c r="CO303" s="232"/>
      <c r="CP303" s="232"/>
      <c r="CQ303" s="232"/>
      <c r="CR303" s="232"/>
      <c r="CS303" s="232"/>
      <c r="CT303" s="232"/>
    </row>
    <row r="304" ht="24.0" customHeight="1">
      <c r="A304" s="184" t="s">
        <v>389</v>
      </c>
      <c r="B304" s="184" t="s">
        <v>1260</v>
      </c>
      <c r="C304" s="184" t="s">
        <v>658</v>
      </c>
      <c r="D304" s="184" t="s">
        <v>2431</v>
      </c>
      <c r="E304" s="186" t="s">
        <v>946</v>
      </c>
      <c r="F304" s="186" t="s">
        <v>2432</v>
      </c>
      <c r="G304" s="185">
        <v>20.0</v>
      </c>
      <c r="H304" s="209" t="s">
        <v>1005</v>
      </c>
      <c r="I304" s="209" t="s">
        <v>3124</v>
      </c>
      <c r="J304" s="209" t="s">
        <v>3125</v>
      </c>
      <c r="K304" s="209" t="s">
        <v>3126</v>
      </c>
      <c r="L304" s="209" t="s">
        <v>3127</v>
      </c>
      <c r="M304" s="209" t="s">
        <v>3128</v>
      </c>
      <c r="N304" s="209" t="s">
        <v>752</v>
      </c>
      <c r="O304" s="237" t="s">
        <v>764</v>
      </c>
      <c r="P304" s="190"/>
      <c r="Q304" s="190"/>
      <c r="R304" s="190"/>
      <c r="S304" s="190"/>
      <c r="T304" s="190"/>
      <c r="U304" s="210"/>
      <c r="V304" s="209" t="s">
        <v>1608</v>
      </c>
      <c r="W304" s="238" t="s">
        <v>1609</v>
      </c>
      <c r="X304" s="239" t="s">
        <v>1610</v>
      </c>
      <c r="Y304" s="209" t="s">
        <v>784</v>
      </c>
      <c r="Z304" s="209" t="s">
        <v>946</v>
      </c>
      <c r="AA304" s="237" t="s">
        <v>757</v>
      </c>
      <c r="AB304" s="231"/>
      <c r="AC304" s="231"/>
      <c r="AD304" s="231"/>
      <c r="AE304" s="231"/>
      <c r="AF304" s="231"/>
      <c r="AG304" s="231"/>
      <c r="AH304" s="231"/>
      <c r="AJ304" s="231"/>
      <c r="AK304" s="232"/>
      <c r="AL304" s="231"/>
      <c r="AM304" s="232"/>
      <c r="AN304" s="231"/>
      <c r="AO304" s="232"/>
      <c r="AP304" s="232"/>
      <c r="AQ304" s="232"/>
      <c r="AR304" s="232"/>
      <c r="AS304" s="232"/>
      <c r="AT304" s="232"/>
      <c r="AU304" s="232"/>
      <c r="AV304" s="232"/>
      <c r="AW304" s="231"/>
      <c r="AX304" s="231"/>
      <c r="AY304" s="231"/>
      <c r="AZ304" s="231"/>
      <c r="BA304" s="231"/>
      <c r="BB304" s="231"/>
      <c r="BC304" s="232"/>
      <c r="BD304" s="232"/>
      <c r="BE304" s="232"/>
      <c r="BF304" s="232"/>
      <c r="BG304" s="232"/>
      <c r="BH304" s="232"/>
      <c r="BI304" s="232"/>
      <c r="BJ304" s="232"/>
      <c r="BK304" s="232"/>
      <c r="BL304" s="232"/>
      <c r="BM304" s="232"/>
      <c r="BN304" s="232"/>
      <c r="BO304" s="232"/>
      <c r="BP304" s="232"/>
      <c r="BQ304" s="232"/>
      <c r="BR304" s="232"/>
      <c r="BS304" s="231"/>
      <c r="BT304" s="231"/>
      <c r="BU304" s="231"/>
      <c r="BV304" s="231"/>
      <c r="BW304" s="231"/>
      <c r="BX304" s="231"/>
      <c r="BY304" s="231"/>
      <c r="BZ304" s="232"/>
      <c r="CA304" s="231"/>
      <c r="CB304" s="231"/>
      <c r="CC304" s="231"/>
      <c r="CD304" s="231"/>
      <c r="CE304" s="232"/>
      <c r="CF304" s="232"/>
      <c r="CG304" s="232"/>
      <c r="CH304" s="231"/>
      <c r="CI304" s="232"/>
      <c r="CJ304" s="232"/>
      <c r="CK304" s="232"/>
      <c r="CL304" s="235"/>
      <c r="CM304" s="232"/>
      <c r="CN304" s="232"/>
      <c r="CO304" s="232"/>
      <c r="CP304" s="232"/>
      <c r="CQ304" s="232"/>
      <c r="CR304" s="232"/>
      <c r="CS304" s="232"/>
      <c r="CT304" s="232"/>
    </row>
    <row r="305" ht="24.0" customHeight="1">
      <c r="A305" s="184" t="s">
        <v>390</v>
      </c>
      <c r="B305" s="184" t="s">
        <v>1260</v>
      </c>
      <c r="C305" s="184" t="s">
        <v>658</v>
      </c>
      <c r="D305" s="184" t="s">
        <v>2431</v>
      </c>
      <c r="E305" s="186" t="s">
        <v>946</v>
      </c>
      <c r="F305" s="186" t="s">
        <v>2432</v>
      </c>
      <c r="G305" s="185">
        <v>21.0</v>
      </c>
      <c r="H305" s="209" t="s">
        <v>3129</v>
      </c>
      <c r="I305" s="209" t="s">
        <v>3130</v>
      </c>
      <c r="J305" s="209" t="s">
        <v>3131</v>
      </c>
      <c r="K305" s="209" t="s">
        <v>3132</v>
      </c>
      <c r="L305" s="209" t="s">
        <v>3133</v>
      </c>
      <c r="M305" s="209" t="s">
        <v>3134</v>
      </c>
      <c r="N305" s="209" t="s">
        <v>752</v>
      </c>
      <c r="O305" s="237" t="s">
        <v>764</v>
      </c>
      <c r="P305" s="190"/>
      <c r="Q305" s="190"/>
      <c r="R305" s="190"/>
      <c r="S305" s="190"/>
      <c r="T305" s="190"/>
      <c r="U305" s="210"/>
      <c r="V305" s="209" t="s">
        <v>1799</v>
      </c>
      <c r="W305" s="238" t="s">
        <v>3135</v>
      </c>
      <c r="X305" s="239" t="s">
        <v>3136</v>
      </c>
      <c r="Y305" s="209" t="s">
        <v>764</v>
      </c>
      <c r="Z305" s="209" t="s">
        <v>946</v>
      </c>
      <c r="AA305" s="237" t="s">
        <v>797</v>
      </c>
      <c r="AB305" s="231"/>
      <c r="AC305" s="231"/>
      <c r="AD305" s="231"/>
      <c r="AE305" s="231"/>
      <c r="AF305" s="231"/>
      <c r="AG305" s="231"/>
      <c r="AH305" s="231"/>
      <c r="AJ305" s="231"/>
      <c r="AK305" s="232"/>
      <c r="AL305" s="231"/>
      <c r="AM305" s="232"/>
      <c r="AN305" s="231"/>
      <c r="AO305" s="232"/>
      <c r="AP305" s="232"/>
      <c r="AQ305" s="232"/>
      <c r="AR305" s="232"/>
      <c r="AS305" s="232"/>
      <c r="AT305" s="232"/>
      <c r="AU305" s="232"/>
      <c r="AV305" s="232"/>
      <c r="AW305" s="231"/>
      <c r="AX305" s="231"/>
      <c r="AY305" s="231"/>
      <c r="AZ305" s="231"/>
      <c r="BA305" s="231"/>
      <c r="BB305" s="231"/>
      <c r="BC305" s="232"/>
      <c r="BD305" s="232"/>
      <c r="BE305" s="232"/>
      <c r="BF305" s="232"/>
      <c r="BG305" s="231"/>
      <c r="BH305" s="231"/>
      <c r="BI305" s="232"/>
      <c r="BJ305" s="232"/>
      <c r="BK305" s="232"/>
      <c r="BL305" s="232"/>
      <c r="BM305" s="232"/>
      <c r="BN305" s="232"/>
      <c r="BO305" s="232"/>
      <c r="BP305" s="232"/>
      <c r="BQ305" s="232"/>
      <c r="BR305" s="232"/>
      <c r="BS305" s="231"/>
      <c r="BT305" s="231"/>
      <c r="BU305" s="231"/>
      <c r="BV305" s="231"/>
      <c r="BW305" s="231"/>
      <c r="BX305" s="231"/>
      <c r="BY305" s="231"/>
      <c r="BZ305" s="231"/>
      <c r="CA305" s="231"/>
      <c r="CB305" s="231"/>
      <c r="CC305" s="231"/>
      <c r="CD305" s="231"/>
      <c r="CE305" s="232"/>
      <c r="CF305" s="232"/>
      <c r="CG305" s="232"/>
      <c r="CH305" s="231"/>
      <c r="CI305" s="232"/>
      <c r="CJ305" s="232"/>
      <c r="CK305" s="231"/>
      <c r="CL305" s="235"/>
      <c r="CM305" s="232"/>
      <c r="CN305" s="232"/>
      <c r="CO305" s="232"/>
      <c r="CP305" s="232"/>
      <c r="CQ305" s="232"/>
      <c r="CR305" s="232"/>
      <c r="CS305" s="232"/>
      <c r="CT305" s="232"/>
    </row>
    <row r="306" ht="24.0" customHeight="1">
      <c r="A306" s="184" t="s">
        <v>398</v>
      </c>
      <c r="B306" s="184" t="s">
        <v>1260</v>
      </c>
      <c r="C306" s="184" t="s">
        <v>659</v>
      </c>
      <c r="D306" s="184" t="s">
        <v>2431</v>
      </c>
      <c r="E306" s="186" t="s">
        <v>806</v>
      </c>
      <c r="F306" s="186" t="s">
        <v>2432</v>
      </c>
      <c r="G306" s="185">
        <v>22.0</v>
      </c>
      <c r="H306" s="209" t="s">
        <v>3137</v>
      </c>
      <c r="I306" s="209" t="s">
        <v>3138</v>
      </c>
      <c r="J306" s="209" t="s">
        <v>3139</v>
      </c>
      <c r="K306" s="209" t="s">
        <v>3140</v>
      </c>
      <c r="L306" s="209" t="s">
        <v>3141</v>
      </c>
      <c r="M306" s="209" t="s">
        <v>3142</v>
      </c>
      <c r="N306" s="209" t="s">
        <v>752</v>
      </c>
      <c r="O306" s="237" t="s">
        <v>773</v>
      </c>
      <c r="P306" s="190"/>
      <c r="Q306" s="190"/>
      <c r="R306" s="190"/>
      <c r="S306" s="190"/>
      <c r="T306" s="190"/>
      <c r="U306" s="210"/>
      <c r="V306" s="209" t="s">
        <v>3143</v>
      </c>
      <c r="W306" s="238" t="s">
        <v>3144</v>
      </c>
      <c r="X306" s="239" t="s">
        <v>3145</v>
      </c>
      <c r="Y306" s="209" t="s">
        <v>773</v>
      </c>
      <c r="Z306" s="209" t="s">
        <v>806</v>
      </c>
      <c r="AA306" s="237" t="s">
        <v>757</v>
      </c>
      <c r="AB306" s="231"/>
      <c r="AC306" s="231"/>
      <c r="AD306" s="231"/>
      <c r="AE306" s="231"/>
      <c r="AF306" s="231"/>
      <c r="AG306" s="231"/>
      <c r="AH306" s="231"/>
      <c r="AJ306" s="231"/>
      <c r="AK306" s="232"/>
      <c r="AL306" s="231"/>
      <c r="AM306" s="232"/>
      <c r="AN306" s="231"/>
      <c r="AO306" s="232"/>
      <c r="AP306" s="232"/>
      <c r="AQ306" s="232"/>
      <c r="AR306" s="232"/>
      <c r="AS306" s="232"/>
      <c r="AT306" s="232"/>
      <c r="AU306" s="232"/>
      <c r="AV306" s="232"/>
      <c r="AW306" s="231"/>
      <c r="AX306" s="231"/>
      <c r="AY306" s="231"/>
      <c r="AZ306" s="231"/>
      <c r="BA306" s="231"/>
      <c r="BB306" s="231"/>
      <c r="BC306" s="232"/>
      <c r="BD306" s="232"/>
      <c r="BE306" s="232"/>
      <c r="BF306" s="232"/>
      <c r="BG306" s="232"/>
      <c r="BH306" s="232"/>
      <c r="BI306" s="232"/>
      <c r="BJ306" s="232"/>
      <c r="BK306" s="232"/>
      <c r="BL306" s="232"/>
      <c r="BM306" s="232"/>
      <c r="BN306" s="232"/>
      <c r="BO306" s="232"/>
      <c r="BP306" s="232"/>
      <c r="BQ306" s="232"/>
      <c r="BR306" s="232"/>
      <c r="BS306" s="231"/>
      <c r="BT306" s="231"/>
      <c r="BU306" s="231"/>
      <c r="BV306" s="231"/>
      <c r="BW306" s="231"/>
      <c r="BX306" s="231"/>
      <c r="BY306" s="231"/>
      <c r="BZ306" s="232"/>
      <c r="CA306" s="231"/>
      <c r="CB306" s="231"/>
      <c r="CC306" s="231"/>
      <c r="CD306" s="231"/>
      <c r="CE306" s="232"/>
      <c r="CF306" s="232"/>
      <c r="CG306" s="232"/>
      <c r="CH306" s="231"/>
      <c r="CI306" s="232"/>
      <c r="CJ306" s="232"/>
      <c r="CK306" s="233"/>
      <c r="CL306" s="233"/>
      <c r="CM306" s="233"/>
      <c r="CN306" s="232"/>
      <c r="CO306" s="232"/>
      <c r="CP306" s="232"/>
      <c r="CQ306" s="232"/>
      <c r="CR306" s="232"/>
      <c r="CS306" s="232"/>
      <c r="CT306" s="232"/>
    </row>
    <row r="307" ht="24.0" customHeight="1">
      <c r="A307" s="184" t="s">
        <v>399</v>
      </c>
      <c r="B307" s="184" t="s">
        <v>1260</v>
      </c>
      <c r="C307" s="184" t="s">
        <v>659</v>
      </c>
      <c r="D307" s="184" t="s">
        <v>2431</v>
      </c>
      <c r="E307" s="186" t="s">
        <v>806</v>
      </c>
      <c r="F307" s="186" t="s">
        <v>2432</v>
      </c>
      <c r="G307" s="185">
        <v>23.0</v>
      </c>
      <c r="H307" s="209" t="s">
        <v>3146</v>
      </c>
      <c r="I307" s="209" t="s">
        <v>3147</v>
      </c>
      <c r="J307" s="209" t="s">
        <v>3148</v>
      </c>
      <c r="K307" s="209" t="s">
        <v>1719</v>
      </c>
      <c r="L307" s="209" t="s">
        <v>3149</v>
      </c>
      <c r="M307" s="209" t="s">
        <v>3150</v>
      </c>
      <c r="N307" s="209" t="s">
        <v>752</v>
      </c>
      <c r="O307" s="237" t="s">
        <v>764</v>
      </c>
      <c r="P307" s="190"/>
      <c r="Q307" s="190"/>
      <c r="R307" s="190"/>
      <c r="S307" s="190"/>
      <c r="T307" s="190"/>
      <c r="U307" s="210"/>
      <c r="V307" s="209" t="s">
        <v>2350</v>
      </c>
      <c r="W307" s="238" t="s">
        <v>2351</v>
      </c>
      <c r="X307" s="239" t="s">
        <v>2352</v>
      </c>
      <c r="Y307" s="209" t="s">
        <v>764</v>
      </c>
      <c r="Z307" s="209" t="s">
        <v>806</v>
      </c>
      <c r="AA307" s="237" t="s">
        <v>1654</v>
      </c>
      <c r="AB307" s="231"/>
      <c r="AC307" s="231"/>
      <c r="AD307" s="231"/>
      <c r="AE307" s="231"/>
      <c r="AF307" s="231"/>
      <c r="AG307" s="231"/>
      <c r="AH307" s="231"/>
      <c r="AJ307" s="231"/>
      <c r="AK307" s="232"/>
      <c r="AL307" s="231"/>
      <c r="AM307" s="232"/>
      <c r="AN307" s="231"/>
      <c r="AO307" s="232"/>
      <c r="AP307" s="232"/>
      <c r="AQ307" s="232"/>
      <c r="AR307" s="232"/>
      <c r="AS307" s="232"/>
      <c r="AT307" s="232"/>
      <c r="AU307" s="232"/>
      <c r="AV307" s="232"/>
      <c r="AW307" s="231"/>
      <c r="AX307" s="231"/>
      <c r="AY307" s="231"/>
      <c r="AZ307" s="231"/>
      <c r="BA307" s="231"/>
      <c r="BB307" s="231"/>
      <c r="BC307" s="232"/>
      <c r="BD307" s="232"/>
      <c r="BE307" s="232"/>
      <c r="BF307" s="232"/>
      <c r="BG307" s="231"/>
      <c r="BH307" s="231"/>
      <c r="BI307" s="231"/>
      <c r="BJ307" s="231"/>
      <c r="BK307" s="232"/>
      <c r="BL307" s="232"/>
      <c r="BM307" s="232"/>
      <c r="BN307" s="232"/>
      <c r="BO307" s="232"/>
      <c r="BP307" s="232"/>
      <c r="BQ307" s="232"/>
      <c r="BR307" s="232"/>
      <c r="BS307" s="231"/>
      <c r="BT307" s="231"/>
      <c r="BU307" s="231"/>
      <c r="BV307" s="231"/>
      <c r="BW307" s="231"/>
      <c r="BX307" s="231"/>
      <c r="BY307" s="232"/>
      <c r="BZ307" s="232"/>
      <c r="CA307" s="231"/>
      <c r="CB307" s="231"/>
      <c r="CC307" s="231"/>
      <c r="CD307" s="231"/>
      <c r="CE307" s="232"/>
      <c r="CF307" s="232"/>
      <c r="CG307" s="232"/>
      <c r="CH307" s="231"/>
      <c r="CI307" s="232"/>
      <c r="CJ307" s="232"/>
      <c r="CK307" s="232"/>
      <c r="CL307" s="232"/>
      <c r="CM307" s="232"/>
      <c r="CN307" s="232"/>
      <c r="CO307" s="232"/>
      <c r="CP307" s="232"/>
      <c r="CQ307" s="232"/>
      <c r="CR307" s="232"/>
      <c r="CS307" s="232"/>
      <c r="CT307" s="232"/>
    </row>
    <row r="308" ht="24.0" customHeight="1">
      <c r="A308" s="184" t="s">
        <v>401</v>
      </c>
      <c r="B308" s="184" t="s">
        <v>1260</v>
      </c>
      <c r="C308" s="184" t="s">
        <v>659</v>
      </c>
      <c r="D308" s="184" t="s">
        <v>2431</v>
      </c>
      <c r="E308" s="186" t="s">
        <v>806</v>
      </c>
      <c r="F308" s="186" t="s">
        <v>2432</v>
      </c>
      <c r="G308" s="185">
        <v>24.0</v>
      </c>
      <c r="H308" s="209" t="s">
        <v>3151</v>
      </c>
      <c r="I308" s="209" t="s">
        <v>768</v>
      </c>
      <c r="J308" s="209" t="s">
        <v>3152</v>
      </c>
      <c r="K308" s="209" t="s">
        <v>3153</v>
      </c>
      <c r="L308" s="209" t="s">
        <v>3154</v>
      </c>
      <c r="M308" s="209" t="s">
        <v>3155</v>
      </c>
      <c r="N308" s="209" t="s">
        <v>752</v>
      </c>
      <c r="O308" s="237" t="s">
        <v>773</v>
      </c>
      <c r="P308" s="190"/>
      <c r="Q308" s="190"/>
      <c r="R308" s="190"/>
      <c r="S308" s="190"/>
      <c r="T308" s="190"/>
      <c r="U308" s="210"/>
      <c r="V308" s="209" t="s">
        <v>2986</v>
      </c>
      <c r="W308" s="238" t="s">
        <v>3156</v>
      </c>
      <c r="X308" s="239" t="s">
        <v>2673</v>
      </c>
      <c r="Y308" s="209" t="s">
        <v>773</v>
      </c>
      <c r="Z308" s="209" t="s">
        <v>806</v>
      </c>
      <c r="AA308" s="237" t="s">
        <v>797</v>
      </c>
      <c r="AB308" s="231"/>
      <c r="AC308" s="231"/>
      <c r="AD308" s="231"/>
      <c r="AE308" s="231"/>
      <c r="AF308" s="231"/>
      <c r="AG308" s="231"/>
      <c r="AH308" s="231"/>
      <c r="AJ308" s="231"/>
      <c r="AK308" s="232"/>
      <c r="AL308" s="231"/>
      <c r="AM308" s="232"/>
      <c r="AN308" s="231"/>
      <c r="AO308" s="232"/>
      <c r="AP308" s="232"/>
      <c r="AQ308" s="232"/>
      <c r="AR308" s="232"/>
      <c r="AS308" s="232"/>
      <c r="AT308" s="232"/>
      <c r="AU308" s="232"/>
      <c r="AV308" s="232"/>
      <c r="AW308" s="231"/>
      <c r="AX308" s="231"/>
      <c r="AY308" s="231"/>
      <c r="AZ308" s="231"/>
      <c r="BA308" s="231"/>
      <c r="BB308" s="231"/>
      <c r="BC308" s="232"/>
      <c r="BD308" s="232"/>
      <c r="BE308" s="232"/>
      <c r="BF308" s="232"/>
      <c r="BG308" s="232"/>
      <c r="BH308" s="232"/>
      <c r="BI308" s="232"/>
      <c r="BJ308" s="232"/>
      <c r="BK308" s="232"/>
      <c r="BL308" s="232"/>
      <c r="BM308" s="232"/>
      <c r="BN308" s="232"/>
      <c r="BO308" s="232"/>
      <c r="BP308" s="232"/>
      <c r="BQ308" s="232"/>
      <c r="BR308" s="232"/>
      <c r="BS308" s="231"/>
      <c r="BT308" s="231"/>
      <c r="BU308" s="231"/>
      <c r="BV308" s="231"/>
      <c r="BW308" s="231"/>
      <c r="BX308" s="231"/>
      <c r="BY308" s="231"/>
      <c r="BZ308" s="231"/>
      <c r="CA308" s="231"/>
      <c r="CB308" s="231"/>
      <c r="CC308" s="231"/>
      <c r="CD308" s="231"/>
      <c r="CE308" s="232"/>
      <c r="CF308" s="232"/>
      <c r="CG308" s="232"/>
      <c r="CH308" s="231"/>
      <c r="CI308" s="232"/>
      <c r="CJ308" s="232"/>
      <c r="CK308" s="231"/>
      <c r="CL308" s="233"/>
      <c r="CM308" s="232"/>
      <c r="CN308" s="232"/>
      <c r="CO308" s="232"/>
      <c r="CP308" s="232"/>
      <c r="CQ308" s="232"/>
      <c r="CR308" s="232"/>
      <c r="CS308" s="232"/>
      <c r="CT308" s="232"/>
    </row>
    <row r="309" ht="24.0" customHeight="1">
      <c r="A309" s="184" t="s">
        <v>396</v>
      </c>
      <c r="B309" s="184" t="s">
        <v>1260</v>
      </c>
      <c r="C309" s="184" t="s">
        <v>659</v>
      </c>
      <c r="D309" s="184" t="s">
        <v>2431</v>
      </c>
      <c r="E309" s="186" t="s">
        <v>806</v>
      </c>
      <c r="F309" s="186" t="s">
        <v>2432</v>
      </c>
      <c r="G309" s="185">
        <v>25.0</v>
      </c>
      <c r="H309" s="209" t="s">
        <v>1335</v>
      </c>
      <c r="I309" s="209" t="s">
        <v>3157</v>
      </c>
      <c r="J309" s="209" t="s">
        <v>3158</v>
      </c>
      <c r="K309" s="209" t="s">
        <v>3159</v>
      </c>
      <c r="L309" s="209" t="s">
        <v>3160</v>
      </c>
      <c r="M309" s="209" t="s">
        <v>3161</v>
      </c>
      <c r="N309" s="209" t="s">
        <v>752</v>
      </c>
      <c r="O309" s="237" t="s">
        <v>773</v>
      </c>
      <c r="P309" s="190"/>
      <c r="Q309" s="190"/>
      <c r="R309" s="190"/>
      <c r="S309" s="190"/>
      <c r="T309" s="190"/>
      <c r="U309" s="210"/>
      <c r="V309" s="209" t="s">
        <v>2611</v>
      </c>
      <c r="W309" s="238" t="s">
        <v>2612</v>
      </c>
      <c r="X309" s="239" t="s">
        <v>2613</v>
      </c>
      <c r="Y309" s="209" t="s">
        <v>773</v>
      </c>
      <c r="Z309" s="209" t="s">
        <v>806</v>
      </c>
      <c r="AA309" s="237" t="s">
        <v>757</v>
      </c>
      <c r="AB309" s="231"/>
      <c r="AC309" s="231"/>
      <c r="AD309" s="231"/>
      <c r="AE309" s="231"/>
      <c r="AF309" s="231"/>
      <c r="AG309" s="231"/>
      <c r="AH309" s="231"/>
      <c r="AJ309" s="231"/>
      <c r="AK309" s="232"/>
      <c r="AL309" s="231"/>
      <c r="AM309" s="232"/>
      <c r="AN309" s="231"/>
      <c r="AO309" s="232"/>
      <c r="AP309" s="232"/>
      <c r="AQ309" s="232"/>
      <c r="AR309" s="232"/>
      <c r="AS309" s="232"/>
      <c r="AT309" s="232"/>
      <c r="AU309" s="232"/>
      <c r="AV309" s="232"/>
      <c r="AW309" s="231"/>
      <c r="AX309" s="231"/>
      <c r="AY309" s="231"/>
      <c r="AZ309" s="231"/>
      <c r="BA309" s="231"/>
      <c r="BB309" s="231"/>
      <c r="BC309" s="231"/>
      <c r="BD309" s="231"/>
      <c r="BE309" s="231"/>
      <c r="BF309" s="231"/>
      <c r="BG309" s="232"/>
      <c r="BH309" s="232"/>
      <c r="BI309" s="232"/>
      <c r="BJ309" s="232"/>
      <c r="BK309" s="232"/>
      <c r="BL309" s="232"/>
      <c r="BM309" s="232"/>
      <c r="BN309" s="232"/>
      <c r="BO309" s="232"/>
      <c r="BP309" s="232"/>
      <c r="BQ309" s="232"/>
      <c r="BR309" s="232"/>
      <c r="BS309" s="231"/>
      <c r="BT309" s="231"/>
      <c r="BU309" s="231"/>
      <c r="BV309" s="231"/>
      <c r="BW309" s="231"/>
      <c r="BX309" s="231"/>
      <c r="BY309" s="231"/>
      <c r="BZ309" s="231"/>
      <c r="CA309" s="231"/>
      <c r="CB309" s="231"/>
      <c r="CC309" s="231"/>
      <c r="CD309" s="231"/>
      <c r="CE309" s="232"/>
      <c r="CF309" s="232"/>
      <c r="CG309" s="232"/>
      <c r="CH309" s="231"/>
      <c r="CI309" s="232"/>
      <c r="CJ309" s="232"/>
      <c r="CK309" s="232"/>
      <c r="CL309" s="232"/>
      <c r="CM309" s="232"/>
      <c r="CN309" s="232"/>
      <c r="CO309" s="232"/>
      <c r="CP309" s="232"/>
      <c r="CQ309" s="232"/>
      <c r="CR309" s="232"/>
      <c r="CS309" s="232"/>
      <c r="CT309" s="232"/>
    </row>
    <row r="310" ht="24.0" customHeight="1">
      <c r="A310" s="184" t="s">
        <v>400</v>
      </c>
      <c r="B310" s="184" t="s">
        <v>1260</v>
      </c>
      <c r="C310" s="184" t="s">
        <v>659</v>
      </c>
      <c r="D310" s="184" t="s">
        <v>2431</v>
      </c>
      <c r="E310" s="186" t="s">
        <v>806</v>
      </c>
      <c r="F310" s="186" t="s">
        <v>2432</v>
      </c>
      <c r="G310" s="185">
        <v>26.0</v>
      </c>
      <c r="H310" s="209" t="s">
        <v>3162</v>
      </c>
      <c r="I310" s="209" t="s">
        <v>3163</v>
      </c>
      <c r="J310" s="209" t="s">
        <v>3164</v>
      </c>
      <c r="K310" s="209" t="s">
        <v>1796</v>
      </c>
      <c r="L310" s="209" t="s">
        <v>3165</v>
      </c>
      <c r="M310" s="209" t="s">
        <v>3166</v>
      </c>
      <c r="N310" s="209" t="s">
        <v>752</v>
      </c>
      <c r="O310" s="209" t="s">
        <v>773</v>
      </c>
      <c r="P310" s="209" t="s">
        <v>3167</v>
      </c>
      <c r="Q310" s="237" t="s">
        <v>3168</v>
      </c>
      <c r="R310" s="190"/>
      <c r="S310" s="190"/>
      <c r="T310" s="190"/>
      <c r="U310" s="210"/>
      <c r="V310" s="209" t="s">
        <v>912</v>
      </c>
      <c r="W310" s="238" t="s">
        <v>2650</v>
      </c>
      <c r="X310" s="239" t="s">
        <v>2651</v>
      </c>
      <c r="Y310" s="209" t="s">
        <v>773</v>
      </c>
      <c r="Z310" s="209" t="s">
        <v>806</v>
      </c>
      <c r="AA310" s="237" t="s">
        <v>797</v>
      </c>
      <c r="AB310" s="231"/>
      <c r="AC310" s="231"/>
      <c r="AD310" s="231"/>
      <c r="AE310" s="231"/>
      <c r="AF310" s="231"/>
      <c r="AG310" s="231"/>
      <c r="AH310" s="231"/>
      <c r="AJ310" s="231"/>
      <c r="AK310" s="232"/>
      <c r="AL310" s="231"/>
      <c r="AM310" s="232"/>
      <c r="AN310" s="231"/>
      <c r="AO310" s="232"/>
      <c r="AP310" s="232"/>
      <c r="AQ310" s="232"/>
      <c r="AR310" s="232"/>
      <c r="AS310" s="232"/>
      <c r="AT310" s="232"/>
      <c r="AU310" s="232"/>
      <c r="AV310" s="232"/>
      <c r="AW310" s="231"/>
      <c r="AX310" s="231"/>
      <c r="AY310" s="231"/>
      <c r="AZ310" s="231"/>
      <c r="BA310" s="231"/>
      <c r="BB310" s="231"/>
      <c r="BC310" s="232"/>
      <c r="BD310" s="232"/>
      <c r="BE310" s="232"/>
      <c r="BF310" s="232"/>
      <c r="BG310" s="232"/>
      <c r="BH310" s="232"/>
      <c r="BI310" s="232"/>
      <c r="BJ310" s="232"/>
      <c r="BK310" s="232"/>
      <c r="BL310" s="232"/>
      <c r="BM310" s="232"/>
      <c r="BN310" s="232"/>
      <c r="BO310" s="232"/>
      <c r="BP310" s="232"/>
      <c r="BQ310" s="232"/>
      <c r="BR310" s="232"/>
      <c r="BS310" s="231"/>
      <c r="BT310" s="231"/>
      <c r="BU310" s="231"/>
      <c r="BV310" s="231"/>
      <c r="BW310" s="231"/>
      <c r="BX310" s="231"/>
      <c r="BY310" s="232"/>
      <c r="BZ310" s="231"/>
      <c r="CA310" s="231"/>
      <c r="CB310" s="231"/>
      <c r="CC310" s="231"/>
      <c r="CD310" s="231"/>
      <c r="CE310" s="232"/>
      <c r="CF310" s="232"/>
      <c r="CG310" s="232"/>
      <c r="CH310" s="231"/>
      <c r="CI310" s="232"/>
      <c r="CJ310" s="232"/>
      <c r="CK310" s="231"/>
      <c r="CL310" s="233"/>
      <c r="CM310" s="232"/>
      <c r="CN310" s="232"/>
      <c r="CO310" s="232"/>
      <c r="CP310" s="232"/>
      <c r="CQ310" s="232"/>
      <c r="CR310" s="232"/>
      <c r="CS310" s="232"/>
      <c r="CT310" s="232"/>
    </row>
    <row r="311" ht="24.0" customHeight="1">
      <c r="A311" s="220" t="s">
        <v>397</v>
      </c>
      <c r="B311" s="220" t="s">
        <v>1260</v>
      </c>
      <c r="C311" s="220" t="s">
        <v>659</v>
      </c>
      <c r="D311" s="184" t="s">
        <v>2431</v>
      </c>
      <c r="E311" s="221" t="s">
        <v>806</v>
      </c>
      <c r="F311" s="186" t="s">
        <v>2432</v>
      </c>
      <c r="G311" s="225">
        <v>27.0</v>
      </c>
      <c r="H311" s="241" t="s">
        <v>3167</v>
      </c>
      <c r="I311" s="241" t="s">
        <v>3168</v>
      </c>
      <c r="J311" s="241" t="s">
        <v>3169</v>
      </c>
      <c r="K311" s="241" t="s">
        <v>1796</v>
      </c>
      <c r="L311" s="241" t="s">
        <v>3170</v>
      </c>
      <c r="M311" s="241" t="s">
        <v>3171</v>
      </c>
      <c r="N311" s="241" t="s">
        <v>752</v>
      </c>
      <c r="O311" s="244" t="s">
        <v>773</v>
      </c>
      <c r="P311" s="244" t="s">
        <v>3162</v>
      </c>
      <c r="Q311" s="244" t="s">
        <v>3163</v>
      </c>
      <c r="R311" s="190"/>
      <c r="S311" s="190"/>
      <c r="T311" s="190"/>
      <c r="U311" s="210"/>
      <c r="V311" s="241" t="s">
        <v>912</v>
      </c>
      <c r="W311" s="242" t="s">
        <v>2650</v>
      </c>
      <c r="X311" s="243" t="s">
        <v>2651</v>
      </c>
      <c r="Y311" s="241" t="s">
        <v>773</v>
      </c>
      <c r="Z311" s="241" t="s">
        <v>806</v>
      </c>
      <c r="AA311" s="244" t="s">
        <v>2377</v>
      </c>
      <c r="AB311" s="231"/>
      <c r="AC311" s="231"/>
      <c r="AD311" s="231"/>
      <c r="AE311" s="231"/>
      <c r="AF311" s="231"/>
      <c r="AG311" s="231"/>
      <c r="AH311" s="231"/>
      <c r="AJ311" s="231"/>
      <c r="AK311" s="232"/>
      <c r="AL311" s="231"/>
      <c r="AM311" s="232"/>
      <c r="AN311" s="231"/>
      <c r="AO311" s="232"/>
      <c r="AP311" s="232"/>
      <c r="AQ311" s="232"/>
      <c r="AR311" s="232"/>
      <c r="AS311" s="232"/>
      <c r="AT311" s="232"/>
      <c r="AU311" s="232"/>
      <c r="AV311" s="232"/>
      <c r="AW311" s="231"/>
      <c r="AX311" s="231"/>
      <c r="AY311" s="231"/>
      <c r="AZ311" s="231"/>
      <c r="BA311" s="231"/>
      <c r="BB311" s="231"/>
      <c r="BC311" s="232"/>
      <c r="BD311" s="232"/>
      <c r="BE311" s="232"/>
      <c r="BF311" s="232"/>
      <c r="BG311" s="232"/>
      <c r="BH311" s="232"/>
      <c r="BI311" s="232"/>
      <c r="BJ311" s="232"/>
      <c r="BK311" s="232"/>
      <c r="BL311" s="232"/>
      <c r="BM311" s="232"/>
      <c r="BN311" s="232"/>
      <c r="BO311" s="232"/>
      <c r="BP311" s="232"/>
      <c r="BQ311" s="232"/>
      <c r="BR311" s="232"/>
      <c r="BS311" s="231"/>
      <c r="BT311" s="231"/>
      <c r="BU311" s="231"/>
      <c r="BV311" s="231"/>
      <c r="BW311" s="231"/>
      <c r="BX311" s="231"/>
      <c r="BY311" s="232"/>
      <c r="BZ311" s="231"/>
      <c r="CA311" s="231"/>
      <c r="CB311" s="231"/>
      <c r="CC311" s="231"/>
      <c r="CD311" s="231"/>
      <c r="CE311" s="232"/>
      <c r="CF311" s="232"/>
      <c r="CG311" s="232"/>
      <c r="CH311" s="231"/>
      <c r="CI311" s="232"/>
      <c r="CJ311" s="232"/>
      <c r="CK311" s="232"/>
      <c r="CL311" s="232"/>
      <c r="CM311" s="232"/>
      <c r="CN311" s="232"/>
      <c r="CO311" s="232"/>
      <c r="CP311" s="232"/>
      <c r="CQ311" s="232"/>
      <c r="CR311" s="232"/>
      <c r="CS311" s="232"/>
      <c r="CT311" s="232"/>
    </row>
    <row r="312" ht="24.0" customHeight="1">
      <c r="A312" s="184" t="s">
        <v>402</v>
      </c>
      <c r="B312" s="184" t="s">
        <v>1260</v>
      </c>
      <c r="C312" s="184" t="s">
        <v>660</v>
      </c>
      <c r="D312" s="184" t="s">
        <v>2431</v>
      </c>
      <c r="E312" s="186" t="s">
        <v>1543</v>
      </c>
      <c r="F312" s="186" t="s">
        <v>2432</v>
      </c>
      <c r="G312" s="185">
        <v>28.0</v>
      </c>
      <c r="H312" s="209" t="s">
        <v>3172</v>
      </c>
      <c r="I312" s="209" t="s">
        <v>3173</v>
      </c>
      <c r="J312" s="209" t="s">
        <v>3174</v>
      </c>
      <c r="K312" s="209" t="s">
        <v>2683</v>
      </c>
      <c r="L312" s="209" t="s">
        <v>3175</v>
      </c>
      <c r="M312" s="209" t="s">
        <v>3176</v>
      </c>
      <c r="N312" s="209" t="s">
        <v>752</v>
      </c>
      <c r="O312" s="209" t="s">
        <v>773</v>
      </c>
      <c r="P312" s="210"/>
      <c r="Q312" s="190"/>
      <c r="R312" s="190"/>
      <c r="S312" s="190"/>
      <c r="T312" s="190"/>
      <c r="U312" s="210"/>
      <c r="V312" s="209" t="s">
        <v>2913</v>
      </c>
      <c r="W312" s="238" t="s">
        <v>2914</v>
      </c>
      <c r="X312" s="239" t="s">
        <v>2915</v>
      </c>
      <c r="Y312" s="209" t="s">
        <v>773</v>
      </c>
      <c r="Z312" s="209" t="s">
        <v>806</v>
      </c>
      <c r="AA312" s="237" t="s">
        <v>757</v>
      </c>
      <c r="AB312" s="231"/>
      <c r="AC312" s="231"/>
      <c r="AD312" s="231"/>
      <c r="AE312" s="231"/>
      <c r="AF312" s="231"/>
      <c r="AG312" s="231"/>
      <c r="AH312" s="231"/>
      <c r="AJ312" s="231"/>
      <c r="AK312" s="232"/>
      <c r="AL312" s="231"/>
      <c r="AM312" s="232"/>
      <c r="AN312" s="231"/>
      <c r="AO312" s="232"/>
      <c r="AP312" s="232"/>
      <c r="AQ312" s="232"/>
      <c r="AR312" s="232"/>
      <c r="AS312" s="232"/>
      <c r="AT312" s="232"/>
      <c r="AU312" s="232"/>
      <c r="AV312" s="232"/>
      <c r="AW312" s="231"/>
      <c r="AX312" s="231"/>
      <c r="AY312" s="231"/>
      <c r="AZ312" s="231"/>
      <c r="BA312" s="231"/>
      <c r="BB312" s="231"/>
      <c r="BC312" s="231"/>
      <c r="BD312" s="231"/>
      <c r="BE312" s="231"/>
      <c r="BF312" s="231"/>
      <c r="BG312" s="231"/>
      <c r="BH312" s="231"/>
      <c r="BI312" s="231"/>
      <c r="BJ312" s="231"/>
      <c r="BK312" s="231"/>
      <c r="BL312" s="231"/>
      <c r="BM312" s="231"/>
      <c r="BN312" s="231"/>
      <c r="BO312" s="231"/>
      <c r="BP312" s="231"/>
      <c r="BQ312" s="232"/>
      <c r="BR312" s="232"/>
      <c r="BS312" s="231"/>
      <c r="BT312" s="231"/>
      <c r="BU312" s="231"/>
      <c r="BV312" s="231"/>
      <c r="BW312" s="231"/>
      <c r="BX312" s="231"/>
      <c r="BY312" s="231"/>
      <c r="BZ312" s="231"/>
      <c r="CA312" s="231"/>
      <c r="CB312" s="231"/>
      <c r="CC312" s="231"/>
      <c r="CD312" s="231"/>
      <c r="CE312" s="232"/>
      <c r="CF312" s="232"/>
      <c r="CG312" s="232"/>
      <c r="CH312" s="231"/>
      <c r="CI312" s="232"/>
      <c r="CJ312" s="232"/>
      <c r="CK312" s="231"/>
      <c r="CL312" s="233"/>
      <c r="CM312" s="232"/>
      <c r="CN312" s="232"/>
      <c r="CO312" s="232"/>
      <c r="CP312" s="232"/>
      <c r="CQ312" s="232"/>
      <c r="CR312" s="232"/>
      <c r="CS312" s="232"/>
      <c r="CT312" s="232"/>
    </row>
    <row r="313" ht="24.0" customHeight="1">
      <c r="A313" s="184" t="s">
        <v>404</v>
      </c>
      <c r="B313" s="184" t="s">
        <v>1260</v>
      </c>
      <c r="C313" s="184" t="s">
        <v>660</v>
      </c>
      <c r="D313" s="184" t="s">
        <v>2431</v>
      </c>
      <c r="E313" s="186" t="s">
        <v>1543</v>
      </c>
      <c r="F313" s="186" t="s">
        <v>2432</v>
      </c>
      <c r="G313" s="185">
        <v>29.0</v>
      </c>
      <c r="H313" s="209" t="s">
        <v>3177</v>
      </c>
      <c r="I313" s="209" t="s">
        <v>1136</v>
      </c>
      <c r="J313" s="209" t="s">
        <v>3178</v>
      </c>
      <c r="K313" s="209" t="s">
        <v>3126</v>
      </c>
      <c r="L313" s="209" t="s">
        <v>3179</v>
      </c>
      <c r="M313" s="209" t="s">
        <v>3180</v>
      </c>
      <c r="N313" s="209" t="s">
        <v>752</v>
      </c>
      <c r="O313" s="209" t="s">
        <v>764</v>
      </c>
      <c r="P313" s="209" t="s">
        <v>3181</v>
      </c>
      <c r="Q313" s="209" t="s">
        <v>2559</v>
      </c>
      <c r="R313" s="210"/>
      <c r="S313" s="210"/>
      <c r="T313" s="210"/>
      <c r="U313" s="210"/>
      <c r="V313" s="209" t="s">
        <v>3182</v>
      </c>
      <c r="W313" s="238" t="s">
        <v>3183</v>
      </c>
      <c r="X313" s="239" t="s">
        <v>3184</v>
      </c>
      <c r="Y313" s="209" t="s">
        <v>764</v>
      </c>
      <c r="Z313" s="209" t="s">
        <v>1543</v>
      </c>
      <c r="AA313" s="237" t="s">
        <v>757</v>
      </c>
      <c r="AB313" s="231"/>
      <c r="AC313" s="231"/>
      <c r="AD313" s="231"/>
      <c r="AE313" s="231"/>
      <c r="AF313" s="231"/>
      <c r="AG313" s="231"/>
      <c r="AH313" s="231"/>
      <c r="AJ313" s="231"/>
      <c r="AK313" s="232"/>
      <c r="AL313" s="231"/>
      <c r="AM313" s="232"/>
      <c r="AN313" s="231"/>
      <c r="AO313" s="232"/>
      <c r="AP313" s="232"/>
      <c r="AQ313" s="232"/>
      <c r="AR313" s="232"/>
      <c r="AS313" s="232"/>
      <c r="AT313" s="232"/>
      <c r="AU313" s="232"/>
      <c r="AV313" s="232"/>
      <c r="AW313" s="231"/>
      <c r="AX313" s="231"/>
      <c r="AY313" s="231"/>
      <c r="AZ313" s="231"/>
      <c r="BA313" s="231"/>
      <c r="BB313" s="231"/>
      <c r="BC313" s="232"/>
      <c r="BD313" s="232"/>
      <c r="BE313" s="232"/>
      <c r="BF313" s="232"/>
      <c r="BG313" s="231"/>
      <c r="BH313" s="231"/>
      <c r="BI313" s="231"/>
      <c r="BJ313" s="231"/>
      <c r="BK313" s="231"/>
      <c r="BL313" s="231"/>
      <c r="BM313" s="231"/>
      <c r="BN313" s="231"/>
      <c r="BO313" s="231"/>
      <c r="BP313" s="231"/>
      <c r="BQ313" s="232"/>
      <c r="BR313" s="232"/>
      <c r="BS313" s="231"/>
      <c r="BT313" s="231"/>
      <c r="BU313" s="231"/>
      <c r="BV313" s="231"/>
      <c r="BW313" s="231"/>
      <c r="BX313" s="231"/>
      <c r="BY313" s="231"/>
      <c r="BZ313" s="232"/>
      <c r="CA313" s="231"/>
      <c r="CB313" s="231"/>
      <c r="CC313" s="231"/>
      <c r="CD313" s="231"/>
      <c r="CE313" s="232"/>
      <c r="CF313" s="232"/>
      <c r="CG313" s="232"/>
      <c r="CH313" s="231"/>
      <c r="CI313" s="232"/>
      <c r="CJ313" s="232"/>
      <c r="CK313" s="231"/>
      <c r="CL313" s="233"/>
      <c r="CM313" s="232"/>
      <c r="CN313" s="232"/>
      <c r="CO313" s="232"/>
      <c r="CP313" s="232"/>
      <c r="CQ313" s="232"/>
      <c r="CR313" s="232"/>
      <c r="CS313" s="232"/>
      <c r="CT313" s="232"/>
    </row>
    <row r="314" ht="24.0" customHeight="1">
      <c r="A314" s="184" t="s">
        <v>408</v>
      </c>
      <c r="B314" s="184" t="s">
        <v>1260</v>
      </c>
      <c r="C314" s="184" t="s">
        <v>660</v>
      </c>
      <c r="D314" s="184" t="s">
        <v>2431</v>
      </c>
      <c r="E314" s="186" t="s">
        <v>1543</v>
      </c>
      <c r="F314" s="186" t="s">
        <v>2432</v>
      </c>
      <c r="G314" s="185">
        <v>30.0</v>
      </c>
      <c r="H314" s="209" t="s">
        <v>869</v>
      </c>
      <c r="I314" s="209" t="s">
        <v>3185</v>
      </c>
      <c r="J314" s="209" t="s">
        <v>3186</v>
      </c>
      <c r="K314" s="209" t="s">
        <v>3187</v>
      </c>
      <c r="L314" s="209" t="s">
        <v>3188</v>
      </c>
      <c r="M314" s="209" t="s">
        <v>3189</v>
      </c>
      <c r="N314" s="209" t="s">
        <v>752</v>
      </c>
      <c r="O314" s="237" t="s">
        <v>764</v>
      </c>
      <c r="P314" s="237" t="s">
        <v>832</v>
      </c>
      <c r="Q314" s="237" t="s">
        <v>3190</v>
      </c>
      <c r="R314" s="237" t="s">
        <v>746</v>
      </c>
      <c r="S314" s="237" t="s">
        <v>3191</v>
      </c>
      <c r="T314" s="237" t="s">
        <v>3192</v>
      </c>
      <c r="U314" s="209" t="s">
        <v>3193</v>
      </c>
      <c r="V314" s="209" t="s">
        <v>3182</v>
      </c>
      <c r="W314" s="238" t="s">
        <v>3183</v>
      </c>
      <c r="X314" s="239" t="s">
        <v>3184</v>
      </c>
      <c r="Y314" s="209" t="s">
        <v>764</v>
      </c>
      <c r="Z314" s="209" t="s">
        <v>1543</v>
      </c>
      <c r="AA314" s="237" t="s">
        <v>757</v>
      </c>
      <c r="AB314" s="231"/>
      <c r="AC314" s="231"/>
      <c r="AD314" s="231"/>
      <c r="AE314" s="231"/>
      <c r="AF314" s="231"/>
      <c r="AG314" s="231"/>
      <c r="AH314" s="231"/>
      <c r="AJ314" s="231"/>
      <c r="AK314" s="232"/>
      <c r="AL314" s="231"/>
      <c r="AM314" s="232"/>
      <c r="AN314" s="231"/>
      <c r="AO314" s="232"/>
      <c r="AP314" s="232"/>
      <c r="AQ314" s="232"/>
      <c r="AR314" s="232"/>
      <c r="AS314" s="232"/>
      <c r="AT314" s="232"/>
      <c r="AU314" s="232"/>
      <c r="AV314" s="232"/>
      <c r="AW314" s="231"/>
      <c r="AX314" s="231"/>
      <c r="AY314" s="231"/>
      <c r="AZ314" s="231"/>
      <c r="BA314" s="231"/>
      <c r="BB314" s="231"/>
      <c r="BC314" s="232"/>
      <c r="BD314" s="232"/>
      <c r="BE314" s="232"/>
      <c r="BF314" s="232"/>
      <c r="BG314" s="232"/>
      <c r="BH314" s="232"/>
      <c r="BI314" s="232"/>
      <c r="BJ314" s="232"/>
      <c r="BK314" s="232"/>
      <c r="BL314" s="232"/>
      <c r="BM314" s="232"/>
      <c r="BN314" s="232"/>
      <c r="BO314" s="232"/>
      <c r="BP314" s="232"/>
      <c r="BQ314" s="232"/>
      <c r="BR314" s="232"/>
      <c r="BS314" s="231"/>
      <c r="BT314" s="231"/>
      <c r="BU314" s="231"/>
      <c r="BV314" s="231"/>
      <c r="BW314" s="231"/>
      <c r="BX314" s="231"/>
      <c r="BY314" s="231"/>
      <c r="BZ314" s="232"/>
      <c r="CA314" s="231"/>
      <c r="CB314" s="231"/>
      <c r="CC314" s="231"/>
      <c r="CD314" s="231"/>
      <c r="CE314" s="232"/>
      <c r="CF314" s="232"/>
      <c r="CG314" s="232"/>
      <c r="CH314" s="231"/>
      <c r="CI314" s="232"/>
      <c r="CJ314" s="232"/>
      <c r="CK314" s="232"/>
      <c r="CL314" s="232"/>
      <c r="CM314" s="232"/>
      <c r="CN314" s="232"/>
      <c r="CO314" s="232"/>
      <c r="CP314" s="232"/>
      <c r="CQ314" s="232"/>
      <c r="CR314" s="232"/>
      <c r="CS314" s="232"/>
      <c r="CT314" s="232"/>
    </row>
    <row r="315" ht="24.0" customHeight="1">
      <c r="A315" s="220" t="s">
        <v>403</v>
      </c>
      <c r="B315" s="220" t="s">
        <v>1260</v>
      </c>
      <c r="C315" s="220" t="s">
        <v>660</v>
      </c>
      <c r="D315" s="184" t="s">
        <v>2431</v>
      </c>
      <c r="E315" s="221" t="s">
        <v>1543</v>
      </c>
      <c r="F315" s="186" t="s">
        <v>2432</v>
      </c>
      <c r="G315" s="225">
        <v>31.0</v>
      </c>
      <c r="H315" s="241" t="s">
        <v>3194</v>
      </c>
      <c r="I315" s="241" t="s">
        <v>3195</v>
      </c>
      <c r="J315" s="241" t="s">
        <v>3196</v>
      </c>
      <c r="K315" s="241" t="s">
        <v>1381</v>
      </c>
      <c r="L315" s="241" t="s">
        <v>3197</v>
      </c>
      <c r="M315" s="241" t="s">
        <v>3198</v>
      </c>
      <c r="N315" s="241" t="s">
        <v>752</v>
      </c>
      <c r="O315" s="244" t="s">
        <v>764</v>
      </c>
      <c r="P315" s="190"/>
      <c r="Q315" s="190"/>
      <c r="R315" s="190"/>
      <c r="S315" s="190"/>
      <c r="T315" s="190"/>
      <c r="U315" s="210"/>
      <c r="V315" s="241" t="s">
        <v>1392</v>
      </c>
      <c r="W315" s="242" t="s">
        <v>1393</v>
      </c>
      <c r="X315" s="243" t="s">
        <v>1394</v>
      </c>
      <c r="Y315" s="241" t="s">
        <v>764</v>
      </c>
      <c r="Z315" s="241" t="s">
        <v>1543</v>
      </c>
      <c r="AA315" s="244" t="s">
        <v>797</v>
      </c>
      <c r="AB315" s="231"/>
      <c r="AC315" s="231"/>
      <c r="AD315" s="231"/>
      <c r="AE315" s="231"/>
      <c r="AF315" s="231"/>
      <c r="AG315" s="231"/>
      <c r="AH315" s="231"/>
      <c r="AJ315" s="231"/>
      <c r="AK315" s="232"/>
      <c r="AL315" s="231"/>
      <c r="AM315" s="232"/>
      <c r="AN315" s="231"/>
      <c r="AO315" s="232"/>
      <c r="AP315" s="232"/>
      <c r="AQ315" s="232"/>
      <c r="AR315" s="232"/>
      <c r="AS315" s="232"/>
      <c r="AT315" s="232"/>
      <c r="AU315" s="232"/>
      <c r="AV315" s="232"/>
      <c r="AW315" s="231"/>
      <c r="AX315" s="231"/>
      <c r="AY315" s="231"/>
      <c r="AZ315" s="231"/>
      <c r="BA315" s="231"/>
      <c r="BB315" s="231"/>
      <c r="BC315" s="232"/>
      <c r="BD315" s="232"/>
      <c r="BE315" s="232"/>
      <c r="BF315" s="232"/>
      <c r="BG315" s="231"/>
      <c r="BH315" s="231"/>
      <c r="BI315" s="232"/>
      <c r="BJ315" s="232"/>
      <c r="BK315" s="232"/>
      <c r="BL315" s="232"/>
      <c r="BM315" s="232"/>
      <c r="BN315" s="232"/>
      <c r="BO315" s="232"/>
      <c r="BP315" s="232"/>
      <c r="BQ315" s="232"/>
      <c r="BR315" s="232"/>
      <c r="BS315" s="231"/>
      <c r="BT315" s="231"/>
      <c r="BU315" s="231"/>
      <c r="BV315" s="231"/>
      <c r="BW315" s="231"/>
      <c r="BX315" s="231"/>
      <c r="BY315" s="232"/>
      <c r="BZ315" s="232"/>
      <c r="CA315" s="231"/>
      <c r="CB315" s="231"/>
      <c r="CC315" s="231"/>
      <c r="CD315" s="231"/>
      <c r="CE315" s="232"/>
      <c r="CF315" s="232"/>
      <c r="CG315" s="232"/>
      <c r="CH315" s="231"/>
      <c r="CI315" s="232"/>
      <c r="CJ315" s="232"/>
      <c r="CK315" s="232"/>
      <c r="CL315" s="235"/>
      <c r="CM315" s="232"/>
      <c r="CN315" s="232"/>
      <c r="CO315" s="232"/>
      <c r="CP315" s="232"/>
      <c r="CQ315" s="232"/>
      <c r="CR315" s="232"/>
      <c r="CS315" s="232"/>
      <c r="CT315" s="232"/>
    </row>
    <row r="316" ht="24.0" customHeight="1">
      <c r="A316" s="184" t="s">
        <v>407</v>
      </c>
      <c r="B316" s="184" t="s">
        <v>1260</v>
      </c>
      <c r="C316" s="184" t="s">
        <v>660</v>
      </c>
      <c r="D316" s="184" t="s">
        <v>2431</v>
      </c>
      <c r="E316" s="186" t="s">
        <v>1543</v>
      </c>
      <c r="F316" s="186" t="s">
        <v>2432</v>
      </c>
      <c r="G316" s="185">
        <v>32.0</v>
      </c>
      <c r="H316" s="209" t="s">
        <v>3199</v>
      </c>
      <c r="I316" s="209" t="s">
        <v>2881</v>
      </c>
      <c r="J316" s="209" t="s">
        <v>3200</v>
      </c>
      <c r="K316" s="209" t="s">
        <v>1406</v>
      </c>
      <c r="L316" s="209" t="s">
        <v>3201</v>
      </c>
      <c r="M316" s="209" t="s">
        <v>3202</v>
      </c>
      <c r="N316" s="209" t="s">
        <v>752</v>
      </c>
      <c r="O316" s="209" t="s">
        <v>764</v>
      </c>
      <c r="P316" s="210"/>
      <c r="Q316" s="190"/>
      <c r="R316" s="190"/>
      <c r="S316" s="190"/>
      <c r="T316" s="190"/>
      <c r="U316" s="210"/>
      <c r="V316" s="209" t="s">
        <v>3203</v>
      </c>
      <c r="W316" s="238" t="s">
        <v>1493</v>
      </c>
      <c r="X316" s="239" t="s">
        <v>1494</v>
      </c>
      <c r="Y316" s="209" t="s">
        <v>764</v>
      </c>
      <c r="Z316" s="209" t="s">
        <v>1543</v>
      </c>
      <c r="AA316" s="237" t="s">
        <v>797</v>
      </c>
      <c r="AB316" s="231"/>
      <c r="AC316" s="231"/>
      <c r="AD316" s="231"/>
      <c r="AE316" s="231"/>
      <c r="AF316" s="231"/>
      <c r="AG316" s="231"/>
      <c r="AH316" s="231"/>
      <c r="AJ316" s="231"/>
      <c r="AK316" s="232"/>
      <c r="AL316" s="231"/>
      <c r="AM316" s="232"/>
      <c r="AN316" s="231"/>
      <c r="AO316" s="232"/>
      <c r="AP316" s="232"/>
      <c r="AQ316" s="232"/>
      <c r="AR316" s="232"/>
      <c r="AS316" s="232"/>
      <c r="AT316" s="232"/>
      <c r="AU316" s="232"/>
      <c r="AV316" s="232"/>
      <c r="AW316" s="231"/>
      <c r="AX316" s="231"/>
      <c r="AY316" s="231"/>
      <c r="AZ316" s="231"/>
      <c r="BA316" s="231"/>
      <c r="BB316" s="231"/>
      <c r="BC316" s="231"/>
      <c r="BD316" s="231"/>
      <c r="BE316" s="231"/>
      <c r="BF316" s="231"/>
      <c r="BG316" s="231"/>
      <c r="BH316" s="231"/>
      <c r="BI316" s="231"/>
      <c r="BJ316" s="231"/>
      <c r="BK316" s="231"/>
      <c r="BL316" s="231"/>
      <c r="BM316" s="231"/>
      <c r="BN316" s="231"/>
      <c r="BO316" s="231"/>
      <c r="BP316" s="231"/>
      <c r="BQ316" s="232"/>
      <c r="BR316" s="232"/>
      <c r="BS316" s="231"/>
      <c r="BT316" s="231"/>
      <c r="BU316" s="231"/>
      <c r="BV316" s="231"/>
      <c r="BW316" s="231"/>
      <c r="BX316" s="231"/>
      <c r="BY316" s="231"/>
      <c r="BZ316" s="232"/>
      <c r="CA316" s="231"/>
      <c r="CB316" s="231"/>
      <c r="CC316" s="231"/>
      <c r="CD316" s="231"/>
      <c r="CE316" s="232"/>
      <c r="CF316" s="232"/>
      <c r="CG316" s="232"/>
      <c r="CH316" s="231"/>
      <c r="CI316" s="232"/>
      <c r="CJ316" s="232"/>
      <c r="CK316" s="232"/>
      <c r="CL316" s="235"/>
      <c r="CM316" s="232"/>
      <c r="CN316" s="232"/>
      <c r="CO316" s="232"/>
      <c r="CP316" s="232"/>
      <c r="CQ316" s="232"/>
      <c r="CR316" s="232"/>
      <c r="CS316" s="232"/>
      <c r="CT316" s="232"/>
    </row>
    <row r="317" ht="24.0" customHeight="1">
      <c r="A317" s="184" t="s">
        <v>406</v>
      </c>
      <c r="B317" s="184" t="s">
        <v>1260</v>
      </c>
      <c r="C317" s="184" t="s">
        <v>660</v>
      </c>
      <c r="D317" s="184" t="s">
        <v>2431</v>
      </c>
      <c r="E317" s="186" t="s">
        <v>1543</v>
      </c>
      <c r="F317" s="186" t="s">
        <v>2432</v>
      </c>
      <c r="G317" s="185">
        <v>33.0</v>
      </c>
      <c r="H317" s="209" t="s">
        <v>3204</v>
      </c>
      <c r="I317" s="209" t="s">
        <v>3205</v>
      </c>
      <c r="J317" s="209" t="s">
        <v>3206</v>
      </c>
      <c r="K317" s="209" t="s">
        <v>3207</v>
      </c>
      <c r="L317" s="209" t="s">
        <v>3208</v>
      </c>
      <c r="M317" s="209" t="s">
        <v>3209</v>
      </c>
      <c r="N317" s="209" t="s">
        <v>752</v>
      </c>
      <c r="O317" s="237" t="s">
        <v>764</v>
      </c>
      <c r="P317" s="190"/>
      <c r="Q317" s="190"/>
      <c r="R317" s="190"/>
      <c r="S317" s="190"/>
      <c r="T317" s="190"/>
      <c r="U317" s="210"/>
      <c r="V317" s="209" t="s">
        <v>1015</v>
      </c>
      <c r="W317" s="238" t="s">
        <v>1997</v>
      </c>
      <c r="X317" s="239" t="s">
        <v>3210</v>
      </c>
      <c r="Y317" s="209" t="s">
        <v>764</v>
      </c>
      <c r="Z317" s="209" t="s">
        <v>1543</v>
      </c>
      <c r="AA317" s="237" t="s">
        <v>797</v>
      </c>
      <c r="AB317" s="231"/>
      <c r="AC317" s="231"/>
      <c r="AD317" s="231"/>
      <c r="AE317" s="231"/>
      <c r="AF317" s="231"/>
      <c r="AG317" s="231"/>
      <c r="AH317" s="231"/>
      <c r="AJ317" s="231"/>
      <c r="AK317" s="232"/>
      <c r="AL317" s="231"/>
      <c r="AM317" s="232"/>
      <c r="AN317" s="231"/>
      <c r="AO317" s="232"/>
      <c r="AP317" s="232"/>
      <c r="AQ317" s="232"/>
      <c r="AR317" s="232"/>
      <c r="AS317" s="232"/>
      <c r="AT317" s="232"/>
      <c r="AU317" s="232"/>
      <c r="AV317" s="232"/>
      <c r="AW317" s="231"/>
      <c r="AX317" s="231"/>
      <c r="AY317" s="231"/>
      <c r="AZ317" s="231"/>
      <c r="BA317" s="231"/>
      <c r="BB317" s="231"/>
      <c r="BC317" s="232"/>
      <c r="BD317" s="232"/>
      <c r="BE317" s="232"/>
      <c r="BF317" s="232"/>
      <c r="BG317" s="232"/>
      <c r="BH317" s="232"/>
      <c r="BI317" s="232"/>
      <c r="BJ317" s="232"/>
      <c r="BK317" s="232"/>
      <c r="BL317" s="232"/>
      <c r="BM317" s="232"/>
      <c r="BN317" s="232"/>
      <c r="BO317" s="232"/>
      <c r="BP317" s="232"/>
      <c r="BQ317" s="232"/>
      <c r="BR317" s="232"/>
      <c r="BS317" s="231"/>
      <c r="BT317" s="231"/>
      <c r="BU317" s="231"/>
      <c r="BV317" s="231"/>
      <c r="BW317" s="231"/>
      <c r="BX317" s="231"/>
      <c r="BY317" s="231"/>
      <c r="BZ317" s="231"/>
      <c r="CA317" s="231"/>
      <c r="CB317" s="231"/>
      <c r="CC317" s="231"/>
      <c r="CD317" s="231"/>
      <c r="CE317" s="232"/>
      <c r="CF317" s="232"/>
      <c r="CG317" s="232"/>
      <c r="CH317" s="231"/>
      <c r="CI317" s="232"/>
      <c r="CJ317" s="232"/>
      <c r="CK317" s="232"/>
      <c r="CL317" s="232"/>
      <c r="CM317" s="232"/>
      <c r="CN317" s="232"/>
      <c r="CO317" s="232"/>
      <c r="CP317" s="232"/>
      <c r="CQ317" s="232"/>
      <c r="CR317" s="232"/>
      <c r="CS317" s="232"/>
      <c r="CT317" s="232"/>
    </row>
    <row r="318" ht="24.0" customHeight="1">
      <c r="A318" s="184" t="s">
        <v>405</v>
      </c>
      <c r="B318" s="184" t="s">
        <v>1260</v>
      </c>
      <c r="C318" s="184" t="s">
        <v>660</v>
      </c>
      <c r="D318" s="184" t="s">
        <v>2431</v>
      </c>
      <c r="E318" s="186" t="s">
        <v>1543</v>
      </c>
      <c r="F318" s="186" t="s">
        <v>2432</v>
      </c>
      <c r="G318" s="185">
        <v>34.0</v>
      </c>
      <c r="H318" s="209" t="s">
        <v>1293</v>
      </c>
      <c r="I318" s="209" t="s">
        <v>3211</v>
      </c>
      <c r="J318" s="209" t="s">
        <v>3212</v>
      </c>
      <c r="K318" s="209" t="s">
        <v>3213</v>
      </c>
      <c r="L318" s="209" t="s">
        <v>3214</v>
      </c>
      <c r="M318" s="209" t="s">
        <v>3215</v>
      </c>
      <c r="N318" s="209" t="s">
        <v>752</v>
      </c>
      <c r="O318" s="237" t="s">
        <v>764</v>
      </c>
      <c r="P318" s="190"/>
      <c r="Q318" s="190"/>
      <c r="R318" s="190"/>
      <c r="S318" s="190"/>
      <c r="T318" s="190"/>
      <c r="U318" s="210"/>
      <c r="V318" s="209" t="s">
        <v>2850</v>
      </c>
      <c r="W318" s="238" t="s">
        <v>3216</v>
      </c>
      <c r="X318" s="239" t="s">
        <v>3217</v>
      </c>
      <c r="Y318" s="209" t="s">
        <v>764</v>
      </c>
      <c r="Z318" s="209" t="s">
        <v>1543</v>
      </c>
      <c r="AA318" s="237" t="s">
        <v>797</v>
      </c>
      <c r="AB318" s="231"/>
      <c r="AC318" s="231"/>
      <c r="AD318" s="231"/>
      <c r="AE318" s="231"/>
      <c r="AF318" s="231"/>
      <c r="AG318" s="231"/>
      <c r="AH318" s="231"/>
      <c r="AJ318" s="231"/>
      <c r="AK318" s="232"/>
      <c r="AL318" s="231"/>
      <c r="AM318" s="232"/>
      <c r="AN318" s="231"/>
      <c r="AO318" s="232"/>
      <c r="AP318" s="232"/>
      <c r="AQ318" s="232"/>
      <c r="AR318" s="232"/>
      <c r="AS318" s="232"/>
      <c r="AT318" s="232"/>
      <c r="AU318" s="232"/>
      <c r="AV318" s="232"/>
      <c r="AW318" s="231"/>
      <c r="AX318" s="231"/>
      <c r="AY318" s="231"/>
      <c r="AZ318" s="231"/>
      <c r="BA318" s="231"/>
      <c r="BB318" s="231"/>
      <c r="BC318" s="232"/>
      <c r="BD318" s="232"/>
      <c r="BE318" s="232"/>
      <c r="BF318" s="232"/>
      <c r="BG318" s="231"/>
      <c r="BH318" s="231"/>
      <c r="BI318" s="231"/>
      <c r="BJ318" s="231"/>
      <c r="BK318" s="232"/>
      <c r="BL318" s="232"/>
      <c r="BM318" s="232"/>
      <c r="BN318" s="232"/>
      <c r="BO318" s="232"/>
      <c r="BP318" s="232"/>
      <c r="BQ318" s="232"/>
      <c r="BR318" s="232"/>
      <c r="BS318" s="231"/>
      <c r="BT318" s="231"/>
      <c r="BU318" s="231"/>
      <c r="BV318" s="231"/>
      <c r="BW318" s="231"/>
      <c r="BX318" s="231"/>
      <c r="BY318" s="231"/>
      <c r="BZ318" s="231"/>
      <c r="CA318" s="231"/>
      <c r="CB318" s="231"/>
      <c r="CC318" s="231"/>
      <c r="CD318" s="231"/>
      <c r="CE318" s="232"/>
      <c r="CF318" s="232"/>
      <c r="CG318" s="232"/>
      <c r="CH318" s="231"/>
      <c r="CI318" s="232"/>
      <c r="CJ318" s="232"/>
      <c r="CK318" s="232"/>
      <c r="CL318" s="232"/>
      <c r="CM318" s="232"/>
      <c r="CN318" s="232"/>
      <c r="CO318" s="232"/>
      <c r="CP318" s="232"/>
      <c r="CQ318" s="232"/>
      <c r="CR318" s="232"/>
      <c r="CS318" s="232"/>
      <c r="CT318" s="232"/>
    </row>
    <row r="319" ht="24.0" customHeight="1">
      <c r="A319" s="184" t="s">
        <v>413</v>
      </c>
      <c r="B319" s="184" t="s">
        <v>1260</v>
      </c>
      <c r="C319" s="184" t="s">
        <v>661</v>
      </c>
      <c r="D319" s="184" t="s">
        <v>2431</v>
      </c>
      <c r="E319" s="186" t="s">
        <v>3218</v>
      </c>
      <c r="F319" s="186" t="s">
        <v>2432</v>
      </c>
      <c r="G319" s="185">
        <v>35.0</v>
      </c>
      <c r="H319" s="209" t="s">
        <v>895</v>
      </c>
      <c r="I319" s="209" t="s">
        <v>3219</v>
      </c>
      <c r="J319" s="209" t="s">
        <v>3220</v>
      </c>
      <c r="K319" s="209" t="s">
        <v>3221</v>
      </c>
      <c r="L319" s="209" t="s">
        <v>3222</v>
      </c>
      <c r="M319" s="209" t="s">
        <v>3223</v>
      </c>
      <c r="N319" s="209" t="s">
        <v>752</v>
      </c>
      <c r="O319" s="237" t="s">
        <v>893</v>
      </c>
      <c r="P319" s="190"/>
      <c r="Q319" s="190"/>
      <c r="R319" s="190"/>
      <c r="S319" s="190"/>
      <c r="T319" s="190"/>
      <c r="U319" s="210"/>
      <c r="V319" s="209" t="s">
        <v>1186</v>
      </c>
      <c r="W319" s="238" t="s">
        <v>3224</v>
      </c>
      <c r="X319" s="239" t="s">
        <v>3225</v>
      </c>
      <c r="Y319" s="209" t="s">
        <v>893</v>
      </c>
      <c r="Z319" s="209" t="s">
        <v>1105</v>
      </c>
      <c r="AA319" s="237" t="s">
        <v>757</v>
      </c>
      <c r="AB319" s="231"/>
      <c r="AC319" s="231"/>
      <c r="AD319" s="231"/>
      <c r="AE319" s="231"/>
      <c r="AF319" s="231"/>
      <c r="AG319" s="231"/>
      <c r="AH319" s="231"/>
      <c r="AJ319" s="231"/>
      <c r="AK319" s="232"/>
      <c r="AL319" s="231"/>
      <c r="AM319" s="232"/>
      <c r="AN319" s="231"/>
      <c r="AO319" s="232"/>
      <c r="AP319" s="232"/>
      <c r="AQ319" s="232"/>
      <c r="AR319" s="232"/>
      <c r="AS319" s="232"/>
      <c r="AT319" s="232"/>
      <c r="AU319" s="232"/>
      <c r="AV319" s="232"/>
      <c r="AW319" s="231"/>
      <c r="AX319" s="231"/>
      <c r="AY319" s="231"/>
      <c r="AZ319" s="231"/>
      <c r="BA319" s="231"/>
      <c r="BB319" s="231"/>
      <c r="BC319" s="232"/>
      <c r="BD319" s="232"/>
      <c r="BE319" s="232"/>
      <c r="BF319" s="232"/>
      <c r="BG319" s="232"/>
      <c r="BH319" s="232"/>
      <c r="BI319" s="232"/>
      <c r="BJ319" s="232"/>
      <c r="BK319" s="232"/>
      <c r="BL319" s="232"/>
      <c r="BM319" s="232"/>
      <c r="BN319" s="232"/>
      <c r="BO319" s="232"/>
      <c r="BP319" s="232"/>
      <c r="BQ319" s="232"/>
      <c r="BR319" s="232"/>
      <c r="BS319" s="231"/>
      <c r="BT319" s="231"/>
      <c r="BU319" s="231"/>
      <c r="BV319" s="231"/>
      <c r="BW319" s="231"/>
      <c r="BX319" s="231"/>
      <c r="BY319" s="231"/>
      <c r="BZ319" s="231"/>
      <c r="CA319" s="231"/>
      <c r="CB319" s="231"/>
      <c r="CC319" s="231"/>
      <c r="CD319" s="231"/>
      <c r="CE319" s="232"/>
      <c r="CF319" s="232"/>
      <c r="CG319" s="232"/>
      <c r="CH319" s="231"/>
      <c r="CI319" s="232"/>
      <c r="CJ319" s="232"/>
      <c r="CK319" s="232"/>
      <c r="CL319" s="232"/>
      <c r="CM319" s="232"/>
      <c r="CN319" s="232"/>
      <c r="CO319" s="232"/>
      <c r="CP319" s="232"/>
      <c r="CQ319" s="232"/>
      <c r="CR319" s="232"/>
      <c r="CS319" s="232"/>
      <c r="CT319" s="232"/>
    </row>
    <row r="320" ht="24.0" customHeight="1">
      <c r="A320" s="184" t="s">
        <v>415</v>
      </c>
      <c r="B320" s="184" t="s">
        <v>1260</v>
      </c>
      <c r="C320" s="184" t="s">
        <v>661</v>
      </c>
      <c r="D320" s="184" t="s">
        <v>2431</v>
      </c>
      <c r="E320" s="186" t="s">
        <v>3218</v>
      </c>
      <c r="F320" s="186" t="s">
        <v>2432</v>
      </c>
      <c r="G320" s="185">
        <v>36.0</v>
      </c>
      <c r="H320" s="209" t="s">
        <v>3226</v>
      </c>
      <c r="I320" s="209" t="s">
        <v>3227</v>
      </c>
      <c r="J320" s="209" t="s">
        <v>3228</v>
      </c>
      <c r="K320" s="209" t="s">
        <v>3229</v>
      </c>
      <c r="L320" s="209" t="s">
        <v>3230</v>
      </c>
      <c r="M320" s="209" t="s">
        <v>3231</v>
      </c>
      <c r="N320" s="209" t="s">
        <v>752</v>
      </c>
      <c r="O320" s="209" t="s">
        <v>893</v>
      </c>
      <c r="P320" s="210"/>
      <c r="Q320" s="190"/>
      <c r="R320" s="190"/>
      <c r="S320" s="190"/>
      <c r="T320" s="190"/>
      <c r="U320" s="210"/>
      <c r="V320" s="209" t="s">
        <v>3232</v>
      </c>
      <c r="W320" s="238" t="s">
        <v>3233</v>
      </c>
      <c r="X320" s="239" t="s">
        <v>2771</v>
      </c>
      <c r="Y320" s="209" t="s">
        <v>764</v>
      </c>
      <c r="Z320" s="209" t="s">
        <v>1105</v>
      </c>
      <c r="AA320" s="237" t="s">
        <v>797</v>
      </c>
      <c r="AB320" s="231"/>
      <c r="AC320" s="231"/>
      <c r="AD320" s="231"/>
      <c r="AE320" s="231"/>
      <c r="AF320" s="231"/>
      <c r="AG320" s="231"/>
      <c r="AH320" s="231"/>
      <c r="AJ320" s="231"/>
      <c r="AK320" s="232"/>
      <c r="AL320" s="231"/>
      <c r="AM320" s="232"/>
      <c r="AN320" s="231"/>
      <c r="AO320" s="232"/>
      <c r="AP320" s="232"/>
      <c r="AQ320" s="232"/>
      <c r="AR320" s="232"/>
      <c r="AS320" s="232"/>
      <c r="AT320" s="232"/>
      <c r="AU320" s="232"/>
      <c r="AV320" s="232"/>
      <c r="AW320" s="231"/>
      <c r="AX320" s="231"/>
      <c r="AY320" s="231"/>
      <c r="AZ320" s="231"/>
      <c r="BA320" s="231"/>
      <c r="BB320" s="231"/>
      <c r="BC320" s="232"/>
      <c r="BD320" s="232"/>
      <c r="BE320" s="232"/>
      <c r="BF320" s="232"/>
      <c r="BG320" s="231"/>
      <c r="BH320" s="231"/>
      <c r="BI320" s="232"/>
      <c r="BJ320" s="232"/>
      <c r="BK320" s="232"/>
      <c r="BL320" s="232"/>
      <c r="BM320" s="232"/>
      <c r="BN320" s="232"/>
      <c r="BO320" s="232"/>
      <c r="BP320" s="232"/>
      <c r="BQ320" s="232"/>
      <c r="BR320" s="232"/>
      <c r="BS320" s="231"/>
      <c r="BT320" s="231"/>
      <c r="BU320" s="231"/>
      <c r="BV320" s="231"/>
      <c r="BW320" s="231"/>
      <c r="BX320" s="231"/>
      <c r="BY320" s="231"/>
      <c r="BZ320" s="231"/>
      <c r="CA320" s="231"/>
      <c r="CB320" s="231"/>
      <c r="CC320" s="231"/>
      <c r="CD320" s="231"/>
      <c r="CE320" s="232"/>
      <c r="CF320" s="232"/>
      <c r="CG320" s="232"/>
      <c r="CH320" s="231"/>
      <c r="CI320" s="232"/>
      <c r="CJ320" s="232"/>
      <c r="CK320" s="232"/>
      <c r="CL320" s="232"/>
      <c r="CM320" s="232"/>
      <c r="CN320" s="232"/>
      <c r="CO320" s="232"/>
      <c r="CP320" s="232"/>
      <c r="CQ320" s="232"/>
      <c r="CR320" s="232"/>
      <c r="CS320" s="232"/>
      <c r="CT320" s="232"/>
    </row>
    <row r="321" ht="24.0" customHeight="1">
      <c r="A321" s="184" t="s">
        <v>412</v>
      </c>
      <c r="B321" s="184" t="s">
        <v>1260</v>
      </c>
      <c r="C321" s="184" t="s">
        <v>661</v>
      </c>
      <c r="D321" s="184" t="s">
        <v>2431</v>
      </c>
      <c r="E321" s="186" t="s">
        <v>3218</v>
      </c>
      <c r="F321" s="186" t="s">
        <v>2432</v>
      </c>
      <c r="G321" s="185">
        <v>37.0</v>
      </c>
      <c r="H321" s="209" t="s">
        <v>1710</v>
      </c>
      <c r="I321" s="209" t="s">
        <v>1711</v>
      </c>
      <c r="J321" s="209" t="s">
        <v>3234</v>
      </c>
      <c r="K321" s="209" t="s">
        <v>3235</v>
      </c>
      <c r="L321" s="209" t="s">
        <v>3236</v>
      </c>
      <c r="M321" s="209" t="s">
        <v>3237</v>
      </c>
      <c r="N321" s="209" t="s">
        <v>752</v>
      </c>
      <c r="O321" s="237" t="s">
        <v>893</v>
      </c>
      <c r="P321" s="190"/>
      <c r="Q321" s="190"/>
      <c r="R321" s="190"/>
      <c r="S321" s="190"/>
      <c r="T321" s="190"/>
      <c r="U321" s="210"/>
      <c r="V321" s="209" t="s">
        <v>3238</v>
      </c>
      <c r="W321" s="238" t="s">
        <v>3239</v>
      </c>
      <c r="X321" s="239" t="s">
        <v>3240</v>
      </c>
      <c r="Y321" s="209" t="s">
        <v>893</v>
      </c>
      <c r="Z321" s="209" t="s">
        <v>1105</v>
      </c>
      <c r="AA321" s="237" t="s">
        <v>757</v>
      </c>
      <c r="AB321" s="231"/>
      <c r="AC321" s="231"/>
      <c r="AD321" s="231"/>
      <c r="AE321" s="231"/>
      <c r="AF321" s="231"/>
      <c r="AG321" s="231"/>
      <c r="AH321" s="231"/>
      <c r="AJ321" s="231"/>
      <c r="AK321" s="232"/>
      <c r="AL321" s="231"/>
      <c r="AM321" s="232"/>
      <c r="AN321" s="231"/>
      <c r="AO321" s="232"/>
      <c r="AP321" s="232"/>
      <c r="AQ321" s="232"/>
      <c r="AR321" s="232"/>
      <c r="AS321" s="232"/>
      <c r="AT321" s="232"/>
      <c r="AU321" s="232"/>
      <c r="AV321" s="232"/>
      <c r="AW321" s="231"/>
      <c r="AX321" s="231"/>
      <c r="AY321" s="231"/>
      <c r="AZ321" s="231"/>
      <c r="BA321" s="231"/>
      <c r="BB321" s="231"/>
      <c r="BC321" s="232"/>
      <c r="BD321" s="232"/>
      <c r="BE321" s="232"/>
      <c r="BF321" s="232"/>
      <c r="BG321" s="231"/>
      <c r="BH321" s="231"/>
      <c r="BI321" s="231"/>
      <c r="BJ321" s="231"/>
      <c r="BK321" s="232"/>
      <c r="BL321" s="232"/>
      <c r="BM321" s="232"/>
      <c r="BN321" s="232"/>
      <c r="BO321" s="232"/>
      <c r="BP321" s="232"/>
      <c r="BQ321" s="232"/>
      <c r="BR321" s="232"/>
      <c r="BS321" s="231"/>
      <c r="BT321" s="231"/>
      <c r="BU321" s="231"/>
      <c r="BV321" s="231"/>
      <c r="BW321" s="231"/>
      <c r="BX321" s="231"/>
      <c r="BY321" s="231"/>
      <c r="BZ321" s="231"/>
      <c r="CA321" s="231"/>
      <c r="CB321" s="231"/>
      <c r="CC321" s="231"/>
      <c r="CD321" s="231"/>
      <c r="CE321" s="232"/>
      <c r="CF321" s="232"/>
      <c r="CG321" s="232"/>
      <c r="CH321" s="231"/>
      <c r="CI321" s="232"/>
      <c r="CJ321" s="232"/>
      <c r="CK321" s="231"/>
      <c r="CL321" s="233"/>
      <c r="CM321" s="232"/>
      <c r="CN321" s="232"/>
      <c r="CO321" s="232"/>
      <c r="CP321" s="232"/>
      <c r="CQ321" s="232"/>
      <c r="CR321" s="232"/>
      <c r="CS321" s="232"/>
      <c r="CT321" s="232"/>
    </row>
    <row r="322" ht="24.0" customHeight="1">
      <c r="A322" s="184" t="s">
        <v>410</v>
      </c>
      <c r="B322" s="184" t="s">
        <v>1260</v>
      </c>
      <c r="C322" s="184" t="s">
        <v>661</v>
      </c>
      <c r="D322" s="184" t="s">
        <v>2431</v>
      </c>
      <c r="E322" s="186" t="s">
        <v>3218</v>
      </c>
      <c r="F322" s="186" t="s">
        <v>2432</v>
      </c>
      <c r="G322" s="185">
        <v>38.0</v>
      </c>
      <c r="H322" s="209" t="s">
        <v>1015</v>
      </c>
      <c r="I322" s="209" t="s">
        <v>2881</v>
      </c>
      <c r="J322" s="209" t="s">
        <v>3241</v>
      </c>
      <c r="K322" s="209" t="s">
        <v>3242</v>
      </c>
      <c r="L322" s="209" t="s">
        <v>3243</v>
      </c>
      <c r="M322" s="209" t="s">
        <v>3244</v>
      </c>
      <c r="N322" s="209" t="s">
        <v>752</v>
      </c>
      <c r="O322" s="237" t="s">
        <v>893</v>
      </c>
      <c r="P322" s="237" t="s">
        <v>3245</v>
      </c>
      <c r="Q322" s="237" t="s">
        <v>3246</v>
      </c>
      <c r="R322" s="190"/>
      <c r="S322" s="190"/>
      <c r="T322" s="190"/>
      <c r="U322" s="210"/>
      <c r="V322" s="209" t="s">
        <v>1177</v>
      </c>
      <c r="W322" s="238" t="s">
        <v>3224</v>
      </c>
      <c r="X322" s="239" t="s">
        <v>3225</v>
      </c>
      <c r="Y322" s="209" t="s">
        <v>893</v>
      </c>
      <c r="Z322" s="209" t="s">
        <v>1105</v>
      </c>
      <c r="AA322" s="237" t="s">
        <v>797</v>
      </c>
      <c r="AB322" s="231"/>
      <c r="AC322" s="231"/>
      <c r="AD322" s="231"/>
      <c r="AE322" s="231"/>
      <c r="AF322" s="231"/>
      <c r="AG322" s="231"/>
      <c r="AH322" s="231"/>
      <c r="AJ322" s="231"/>
      <c r="AK322" s="232"/>
      <c r="AL322" s="231"/>
      <c r="AM322" s="232"/>
      <c r="AN322" s="231"/>
      <c r="AO322" s="232"/>
      <c r="AP322" s="232"/>
      <c r="AQ322" s="232"/>
      <c r="AR322" s="232"/>
      <c r="AS322" s="232"/>
      <c r="AT322" s="232"/>
      <c r="AU322" s="232"/>
      <c r="AV322" s="232"/>
      <c r="AW322" s="231"/>
      <c r="AX322" s="231"/>
      <c r="AY322" s="231"/>
      <c r="AZ322" s="231"/>
      <c r="BA322" s="231"/>
      <c r="BB322" s="231"/>
      <c r="BC322" s="231"/>
      <c r="BD322" s="231"/>
      <c r="BE322" s="231"/>
      <c r="BF322" s="231"/>
      <c r="BG322" s="231"/>
      <c r="BH322" s="231"/>
      <c r="BI322" s="231"/>
      <c r="BJ322" s="231"/>
      <c r="BK322" s="232"/>
      <c r="BL322" s="232"/>
      <c r="BM322" s="232"/>
      <c r="BN322" s="232"/>
      <c r="BO322" s="232"/>
      <c r="BP322" s="232"/>
      <c r="BQ322" s="232"/>
      <c r="BR322" s="232"/>
      <c r="BS322" s="231"/>
      <c r="BT322" s="231"/>
      <c r="BU322" s="231"/>
      <c r="BV322" s="231"/>
      <c r="BW322" s="231"/>
      <c r="BX322" s="231"/>
      <c r="BY322" s="231"/>
      <c r="BZ322" s="231"/>
      <c r="CA322" s="231"/>
      <c r="CB322" s="231"/>
      <c r="CC322" s="231"/>
      <c r="CD322" s="231"/>
      <c r="CE322" s="232"/>
      <c r="CF322" s="232"/>
      <c r="CG322" s="232"/>
      <c r="CH322" s="231"/>
      <c r="CI322" s="232"/>
      <c r="CJ322" s="232"/>
      <c r="CK322" s="231"/>
      <c r="CL322" s="233"/>
      <c r="CM322" s="232"/>
      <c r="CN322" s="232"/>
      <c r="CO322" s="232"/>
      <c r="CP322" s="232"/>
      <c r="CQ322" s="232"/>
      <c r="CR322" s="232"/>
      <c r="CS322" s="232"/>
      <c r="CT322" s="232"/>
    </row>
    <row r="323" ht="24.0" customHeight="1">
      <c r="A323" s="184" t="s">
        <v>414</v>
      </c>
      <c r="B323" s="184" t="s">
        <v>1260</v>
      </c>
      <c r="C323" s="184" t="s">
        <v>661</v>
      </c>
      <c r="D323" s="184" t="s">
        <v>2431</v>
      </c>
      <c r="E323" s="186" t="s">
        <v>3218</v>
      </c>
      <c r="F323" s="186" t="s">
        <v>2432</v>
      </c>
      <c r="G323" s="185">
        <v>39.0</v>
      </c>
      <c r="H323" s="209" t="s">
        <v>3247</v>
      </c>
      <c r="I323" s="209" t="s">
        <v>3248</v>
      </c>
      <c r="J323" s="209" t="s">
        <v>3249</v>
      </c>
      <c r="K323" s="209" t="s">
        <v>2794</v>
      </c>
      <c r="L323" s="209" t="s">
        <v>3250</v>
      </c>
      <c r="M323" s="209" t="s">
        <v>3251</v>
      </c>
      <c r="N323" s="209" t="s">
        <v>752</v>
      </c>
      <c r="O323" s="209" t="s">
        <v>764</v>
      </c>
      <c r="P323" s="210"/>
      <c r="Q323" s="210"/>
      <c r="R323" s="210"/>
      <c r="S323" s="210"/>
      <c r="T323" s="190"/>
      <c r="U323" s="210"/>
      <c r="V323" s="209" t="s">
        <v>3252</v>
      </c>
      <c r="W323" s="238" t="s">
        <v>3253</v>
      </c>
      <c r="X323" s="239" t="s">
        <v>3254</v>
      </c>
      <c r="Y323" s="209" t="s">
        <v>753</v>
      </c>
      <c r="Z323" s="209" t="s">
        <v>1105</v>
      </c>
      <c r="AA323" s="237" t="s">
        <v>1654</v>
      </c>
      <c r="AB323" s="248"/>
      <c r="AC323" s="248"/>
      <c r="AD323" s="248"/>
      <c r="AE323" s="248"/>
      <c r="AF323" s="248"/>
      <c r="AG323" s="248"/>
      <c r="AH323" s="248"/>
      <c r="AJ323" s="248"/>
      <c r="AK323" s="215"/>
      <c r="AL323" s="248"/>
      <c r="AM323" s="215"/>
      <c r="AN323" s="231"/>
      <c r="AO323" s="215"/>
      <c r="AP323" s="215"/>
      <c r="AQ323" s="215"/>
      <c r="AR323" s="215"/>
      <c r="AS323" s="215"/>
      <c r="AT323" s="215"/>
      <c r="AU323" s="215"/>
      <c r="AV323" s="215"/>
      <c r="AW323" s="248"/>
      <c r="AX323" s="248"/>
      <c r="AY323" s="248"/>
      <c r="AZ323" s="248"/>
      <c r="BA323" s="248"/>
      <c r="BB323" s="249"/>
      <c r="BC323" s="248"/>
      <c r="BD323" s="248"/>
      <c r="BE323" s="248"/>
      <c r="BF323" s="191"/>
      <c r="BG323" s="215"/>
      <c r="BH323" s="215"/>
      <c r="BI323" s="215"/>
      <c r="BJ323" s="215"/>
      <c r="BK323" s="215"/>
      <c r="BL323" s="215"/>
      <c r="BM323" s="215"/>
      <c r="BN323" s="215"/>
      <c r="BO323" s="215"/>
      <c r="BP323" s="249"/>
      <c r="BQ323" s="215"/>
      <c r="BR323" s="249"/>
      <c r="BS323" s="248"/>
      <c r="BT323" s="248"/>
      <c r="BU323" s="248"/>
      <c r="BV323" s="248"/>
      <c r="BW323" s="249"/>
      <c r="BX323" s="249"/>
      <c r="BY323" s="249"/>
      <c r="BZ323" s="249"/>
      <c r="CA323" s="231"/>
      <c r="CB323" s="249"/>
      <c r="CC323" s="249"/>
      <c r="CD323" s="215"/>
      <c r="CE323" s="215"/>
      <c r="CF323" s="215"/>
      <c r="CG323" s="249"/>
      <c r="CH323" s="215"/>
      <c r="CI323" s="215"/>
      <c r="CJ323" s="249"/>
      <c r="CK323" s="250"/>
      <c r="CL323" s="240"/>
      <c r="CM323" s="215"/>
      <c r="CN323" s="215"/>
      <c r="CO323" s="215"/>
      <c r="CP323" s="215"/>
      <c r="CQ323" s="215"/>
      <c r="CR323" s="215"/>
      <c r="CS323" s="215"/>
      <c r="CT323" s="215"/>
    </row>
    <row r="324" ht="24.0" customHeight="1">
      <c r="A324" s="184" t="s">
        <v>409</v>
      </c>
      <c r="B324" s="184" t="s">
        <v>1260</v>
      </c>
      <c r="C324" s="184" t="s">
        <v>661</v>
      </c>
      <c r="D324" s="184" t="s">
        <v>2431</v>
      </c>
      <c r="E324" s="186" t="s">
        <v>3218</v>
      </c>
      <c r="F324" s="186" t="s">
        <v>2432</v>
      </c>
      <c r="G324" s="185">
        <v>40.0</v>
      </c>
      <c r="H324" s="209" t="s">
        <v>3255</v>
      </c>
      <c r="I324" s="209" t="s">
        <v>1756</v>
      </c>
      <c r="J324" s="209" t="s">
        <v>3256</v>
      </c>
      <c r="K324" s="209" t="s">
        <v>3126</v>
      </c>
      <c r="L324" s="209" t="s">
        <v>3257</v>
      </c>
      <c r="M324" s="209" t="s">
        <v>3258</v>
      </c>
      <c r="N324" s="209" t="s">
        <v>752</v>
      </c>
      <c r="O324" s="209" t="s">
        <v>764</v>
      </c>
      <c r="P324" s="210"/>
      <c r="Q324" s="210"/>
      <c r="R324" s="210"/>
      <c r="S324" s="210"/>
      <c r="T324" s="210"/>
      <c r="U324" s="210"/>
      <c r="V324" s="209" t="s">
        <v>3259</v>
      </c>
      <c r="W324" s="238" t="s">
        <v>3260</v>
      </c>
      <c r="X324" s="239" t="s">
        <v>3261</v>
      </c>
      <c r="Y324" s="209" t="s">
        <v>893</v>
      </c>
      <c r="Z324" s="209" t="s">
        <v>1105</v>
      </c>
      <c r="AA324" s="237" t="s">
        <v>757</v>
      </c>
      <c r="AB324" s="231"/>
      <c r="AC324" s="231"/>
      <c r="AD324" s="231"/>
      <c r="AE324" s="231"/>
      <c r="AF324" s="231"/>
      <c r="AG324" s="231"/>
      <c r="AH324" s="231"/>
      <c r="AJ324" s="231"/>
      <c r="AK324" s="232"/>
      <c r="AL324" s="231"/>
      <c r="AM324" s="232"/>
      <c r="AN324" s="231"/>
      <c r="AO324" s="232"/>
      <c r="AP324" s="232"/>
      <c r="AQ324" s="232"/>
      <c r="AR324" s="232"/>
      <c r="AS324" s="232"/>
      <c r="AT324" s="232"/>
      <c r="AU324" s="232"/>
      <c r="AV324" s="232"/>
      <c r="AW324" s="231"/>
      <c r="AX324" s="231"/>
      <c r="AY324" s="231"/>
      <c r="AZ324" s="231"/>
      <c r="BA324" s="231"/>
      <c r="BB324" s="231"/>
      <c r="BC324" s="231"/>
      <c r="BD324" s="231"/>
      <c r="BE324" s="231"/>
      <c r="BF324" s="231"/>
      <c r="BG324" s="232"/>
      <c r="BH324" s="232"/>
      <c r="BI324" s="232"/>
      <c r="BJ324" s="232"/>
      <c r="BK324" s="232"/>
      <c r="BL324" s="232"/>
      <c r="BM324" s="232"/>
      <c r="BN324" s="232"/>
      <c r="BO324" s="232"/>
      <c r="BP324" s="232"/>
      <c r="BQ324" s="232"/>
      <c r="BR324" s="232"/>
      <c r="BS324" s="231"/>
      <c r="BT324" s="231"/>
      <c r="BU324" s="231"/>
      <c r="BV324" s="231"/>
      <c r="BW324" s="231"/>
      <c r="BX324" s="231"/>
      <c r="BY324" s="231"/>
      <c r="BZ324" s="231"/>
      <c r="CA324" s="231"/>
      <c r="CB324" s="231"/>
      <c r="CC324" s="231"/>
      <c r="CD324" s="231"/>
      <c r="CE324" s="232"/>
      <c r="CF324" s="232"/>
      <c r="CG324" s="232"/>
      <c r="CH324" s="231"/>
      <c r="CI324" s="232"/>
      <c r="CJ324" s="232"/>
      <c r="CK324" s="232"/>
      <c r="CL324" s="235"/>
      <c r="CM324" s="232"/>
      <c r="CN324" s="232"/>
      <c r="CO324" s="232"/>
      <c r="CP324" s="232"/>
      <c r="CQ324" s="232"/>
      <c r="CR324" s="232"/>
      <c r="CS324" s="232"/>
      <c r="CT324" s="232"/>
    </row>
    <row r="325" ht="24.0" customHeight="1">
      <c r="A325" s="184" t="s">
        <v>411</v>
      </c>
      <c r="B325" s="184" t="s">
        <v>1260</v>
      </c>
      <c r="C325" s="184" t="s">
        <v>661</v>
      </c>
      <c r="D325" s="184" t="s">
        <v>2431</v>
      </c>
      <c r="E325" s="186" t="s">
        <v>3218</v>
      </c>
      <c r="F325" s="186" t="s">
        <v>2432</v>
      </c>
      <c r="G325" s="185">
        <v>41.0</v>
      </c>
      <c r="H325" s="185" t="s">
        <v>2772</v>
      </c>
      <c r="I325" s="185" t="s">
        <v>3262</v>
      </c>
      <c r="J325" s="185" t="s">
        <v>3263</v>
      </c>
      <c r="K325" s="185" t="s">
        <v>2059</v>
      </c>
      <c r="L325" s="185" t="s">
        <v>3264</v>
      </c>
      <c r="M325" s="185" t="s">
        <v>3265</v>
      </c>
      <c r="N325" s="185" t="s">
        <v>752</v>
      </c>
      <c r="O325" s="207" t="s">
        <v>784</v>
      </c>
      <c r="P325" s="190"/>
      <c r="Q325" s="190"/>
      <c r="R325" s="190"/>
      <c r="S325" s="190"/>
      <c r="T325" s="190"/>
      <c r="U325" s="210"/>
      <c r="V325" s="185" t="s">
        <v>884</v>
      </c>
      <c r="W325" s="230" t="s">
        <v>885</v>
      </c>
      <c r="X325" s="245" t="s">
        <v>886</v>
      </c>
      <c r="Y325" s="185" t="s">
        <v>784</v>
      </c>
      <c r="Z325" s="209" t="s">
        <v>1105</v>
      </c>
      <c r="AA325" s="189" t="s">
        <v>757</v>
      </c>
      <c r="AB325" s="231"/>
      <c r="AC325" s="231"/>
      <c r="AD325" s="231"/>
      <c r="AE325" s="231"/>
      <c r="AF325" s="231"/>
      <c r="AG325" s="231"/>
      <c r="AH325" s="231"/>
      <c r="AJ325" s="231"/>
      <c r="AK325" s="232"/>
      <c r="AL325" s="231"/>
      <c r="AM325" s="232"/>
      <c r="AN325" s="231"/>
      <c r="AO325" s="232"/>
      <c r="AP325" s="232"/>
      <c r="AQ325" s="232"/>
      <c r="AR325" s="232"/>
      <c r="AS325" s="232"/>
      <c r="AT325" s="232"/>
      <c r="AU325" s="232"/>
      <c r="AV325" s="232"/>
      <c r="AW325" s="231"/>
      <c r="AX325" s="231"/>
      <c r="AY325" s="231"/>
      <c r="AZ325" s="231"/>
      <c r="BA325" s="231"/>
      <c r="BB325" s="231"/>
      <c r="BC325" s="232"/>
      <c r="BD325" s="232"/>
      <c r="BE325" s="232"/>
      <c r="BF325" s="232"/>
      <c r="BG325" s="231"/>
      <c r="BH325" s="231"/>
      <c r="BI325" s="231"/>
      <c r="BJ325" s="231"/>
      <c r="BK325" s="232"/>
      <c r="BL325" s="232"/>
      <c r="BM325" s="232"/>
      <c r="BN325" s="232"/>
      <c r="BO325" s="232"/>
      <c r="BP325" s="232"/>
      <c r="BQ325" s="232"/>
      <c r="BR325" s="232"/>
      <c r="BS325" s="231"/>
      <c r="BT325" s="231"/>
      <c r="BU325" s="231"/>
      <c r="BV325" s="231"/>
      <c r="BW325" s="231"/>
      <c r="BX325" s="231"/>
      <c r="BY325" s="232"/>
      <c r="BZ325" s="232"/>
      <c r="CA325" s="231"/>
      <c r="CB325" s="231"/>
      <c r="CC325" s="231"/>
      <c r="CD325" s="231"/>
      <c r="CE325" s="232"/>
      <c r="CF325" s="232"/>
      <c r="CG325" s="232"/>
      <c r="CH325" s="231"/>
      <c r="CI325" s="232"/>
      <c r="CJ325" s="232"/>
      <c r="CK325" s="232"/>
      <c r="CL325" s="235"/>
      <c r="CM325" s="232"/>
      <c r="CN325" s="232"/>
      <c r="CO325" s="232"/>
      <c r="CP325" s="232"/>
      <c r="CQ325" s="232"/>
      <c r="CR325" s="232"/>
      <c r="CS325" s="232"/>
      <c r="CT325" s="232"/>
    </row>
    <row r="326" ht="24.0" customHeight="1">
      <c r="A326" s="184" t="s">
        <v>417</v>
      </c>
      <c r="B326" s="184" t="s">
        <v>1260</v>
      </c>
      <c r="C326" s="184" t="s">
        <v>662</v>
      </c>
      <c r="D326" s="184" t="s">
        <v>2431</v>
      </c>
      <c r="E326" s="186" t="s">
        <v>3266</v>
      </c>
      <c r="F326" s="186" t="s">
        <v>2432</v>
      </c>
      <c r="G326" s="185">
        <v>42.0</v>
      </c>
      <c r="H326" s="209" t="s">
        <v>1712</v>
      </c>
      <c r="I326" s="209" t="s">
        <v>1116</v>
      </c>
      <c r="J326" s="209" t="s">
        <v>3267</v>
      </c>
      <c r="K326" s="209" t="s">
        <v>3268</v>
      </c>
      <c r="L326" s="209" t="s">
        <v>3269</v>
      </c>
      <c r="M326" s="209" t="s">
        <v>3270</v>
      </c>
      <c r="N326" s="209" t="s">
        <v>752</v>
      </c>
      <c r="O326" s="237" t="s">
        <v>893</v>
      </c>
      <c r="P326" s="237" t="s">
        <v>3271</v>
      </c>
      <c r="Q326" s="237" t="s">
        <v>3272</v>
      </c>
      <c r="R326" s="237" t="s">
        <v>3050</v>
      </c>
      <c r="S326" s="237" t="s">
        <v>3273</v>
      </c>
      <c r="T326" s="237" t="s">
        <v>1419</v>
      </c>
      <c r="U326" s="209" t="s">
        <v>3274</v>
      </c>
      <c r="V326" s="209" t="s">
        <v>1219</v>
      </c>
      <c r="W326" s="238" t="s">
        <v>1160</v>
      </c>
      <c r="X326" s="239" t="s">
        <v>1161</v>
      </c>
      <c r="Y326" s="209" t="s">
        <v>893</v>
      </c>
      <c r="Z326" s="209" t="s">
        <v>1105</v>
      </c>
      <c r="AA326" s="237" t="s">
        <v>757</v>
      </c>
      <c r="AB326" s="231"/>
      <c r="AC326" s="231"/>
      <c r="AD326" s="231"/>
      <c r="AE326" s="231"/>
      <c r="AF326" s="231"/>
      <c r="AG326" s="231"/>
      <c r="AH326" s="231"/>
      <c r="AJ326" s="231"/>
      <c r="AK326" s="232"/>
      <c r="AL326" s="231"/>
      <c r="AM326" s="232"/>
      <c r="AN326" s="231"/>
      <c r="AO326" s="232"/>
      <c r="AP326" s="232"/>
      <c r="AQ326" s="232"/>
      <c r="AR326" s="232"/>
      <c r="AS326" s="232"/>
      <c r="AT326" s="232"/>
      <c r="AU326" s="232"/>
      <c r="AV326" s="232"/>
      <c r="AW326" s="231"/>
      <c r="AX326" s="231"/>
      <c r="AY326" s="231"/>
      <c r="AZ326" s="231"/>
      <c r="BA326" s="231"/>
      <c r="BB326" s="231"/>
      <c r="BC326" s="232"/>
      <c r="BD326" s="232"/>
      <c r="BE326" s="232"/>
      <c r="BF326" s="232"/>
      <c r="BG326" s="232"/>
      <c r="BH326" s="232"/>
      <c r="BI326" s="232"/>
      <c r="BJ326" s="232"/>
      <c r="BK326" s="232"/>
      <c r="BL326" s="232"/>
      <c r="BM326" s="232"/>
      <c r="BN326" s="232"/>
      <c r="BO326" s="232"/>
      <c r="BP326" s="232"/>
      <c r="BQ326" s="232"/>
      <c r="BR326" s="232"/>
      <c r="BS326" s="231"/>
      <c r="BT326" s="231"/>
      <c r="BU326" s="231"/>
      <c r="BV326" s="231"/>
      <c r="BW326" s="231"/>
      <c r="BX326" s="231"/>
      <c r="BY326" s="231"/>
      <c r="BZ326" s="231"/>
      <c r="CA326" s="231"/>
      <c r="CB326" s="231"/>
      <c r="CC326" s="231"/>
      <c r="CD326" s="231"/>
      <c r="CE326" s="232"/>
      <c r="CF326" s="232"/>
      <c r="CG326" s="232"/>
      <c r="CH326" s="231"/>
      <c r="CI326" s="232"/>
      <c r="CJ326" s="231"/>
      <c r="CK326" s="231"/>
      <c r="CL326" s="235"/>
      <c r="CM326" s="232"/>
      <c r="CN326" s="232"/>
      <c r="CO326" s="232"/>
      <c r="CP326" s="232"/>
      <c r="CQ326" s="232"/>
      <c r="CR326" s="232"/>
      <c r="CS326" s="232"/>
      <c r="CT326" s="232"/>
    </row>
    <row r="327" ht="24.0" customHeight="1">
      <c r="A327" s="184" t="s">
        <v>419</v>
      </c>
      <c r="B327" s="184" t="s">
        <v>1260</v>
      </c>
      <c r="C327" s="184" t="s">
        <v>662</v>
      </c>
      <c r="D327" s="184" t="s">
        <v>2431</v>
      </c>
      <c r="E327" s="186" t="s">
        <v>3266</v>
      </c>
      <c r="F327" s="186" t="s">
        <v>2432</v>
      </c>
      <c r="G327" s="185">
        <v>43.0</v>
      </c>
      <c r="H327" s="209" t="s">
        <v>3275</v>
      </c>
      <c r="I327" s="209" t="s">
        <v>3276</v>
      </c>
      <c r="J327" s="209" t="s">
        <v>3277</v>
      </c>
      <c r="K327" s="209" t="s">
        <v>3278</v>
      </c>
      <c r="L327" s="209" t="s">
        <v>3279</v>
      </c>
      <c r="M327" s="210" t="s">
        <v>3280</v>
      </c>
      <c r="N327" s="209" t="s">
        <v>752</v>
      </c>
      <c r="O327" s="209" t="s">
        <v>784</v>
      </c>
      <c r="P327" s="210"/>
      <c r="Q327" s="190"/>
      <c r="R327" s="190"/>
      <c r="S327" s="190"/>
      <c r="T327" s="190"/>
      <c r="U327" s="210"/>
      <c r="V327" s="209" t="s">
        <v>3281</v>
      </c>
      <c r="W327" s="238" t="s">
        <v>3282</v>
      </c>
      <c r="X327" s="239" t="s">
        <v>3016</v>
      </c>
      <c r="Y327" s="209" t="s">
        <v>1457</v>
      </c>
      <c r="Z327" s="209" t="s">
        <v>1105</v>
      </c>
      <c r="AA327" s="237" t="s">
        <v>757</v>
      </c>
      <c r="AB327" s="231"/>
      <c r="AC327" s="231"/>
      <c r="AD327" s="231"/>
      <c r="AE327" s="231"/>
      <c r="AF327" s="231"/>
      <c r="AG327" s="231"/>
      <c r="AH327" s="231"/>
      <c r="AJ327" s="231"/>
      <c r="AK327" s="232"/>
      <c r="AL327" s="231"/>
      <c r="AM327" s="232"/>
      <c r="AN327" s="231"/>
      <c r="AO327" s="232"/>
      <c r="AP327" s="232"/>
      <c r="AQ327" s="232"/>
      <c r="AR327" s="232"/>
      <c r="AS327" s="232"/>
      <c r="AT327" s="232"/>
      <c r="AU327" s="232"/>
      <c r="AV327" s="232"/>
      <c r="AW327" s="231"/>
      <c r="AX327" s="231"/>
      <c r="AY327" s="231"/>
      <c r="AZ327" s="231"/>
      <c r="BA327" s="231"/>
      <c r="BB327" s="231"/>
      <c r="BC327" s="232"/>
      <c r="BD327" s="232"/>
      <c r="BE327" s="232"/>
      <c r="BF327" s="232"/>
      <c r="BG327" s="231"/>
      <c r="BH327" s="231"/>
      <c r="BI327" s="231"/>
      <c r="BJ327" s="231"/>
      <c r="BK327" s="231"/>
      <c r="BL327" s="231"/>
      <c r="BM327" s="232"/>
      <c r="BN327" s="232"/>
      <c r="BO327" s="232"/>
      <c r="BP327" s="232"/>
      <c r="BQ327" s="232"/>
      <c r="BR327" s="232"/>
      <c r="BS327" s="231"/>
      <c r="BT327" s="231"/>
      <c r="BU327" s="231"/>
      <c r="BV327" s="231"/>
      <c r="BW327" s="231"/>
      <c r="BX327" s="231"/>
      <c r="BY327" s="231"/>
      <c r="BZ327" s="232"/>
      <c r="CA327" s="231"/>
      <c r="CB327" s="231"/>
      <c r="CC327" s="231"/>
      <c r="CD327" s="231"/>
      <c r="CE327" s="232"/>
      <c r="CF327" s="232"/>
      <c r="CG327" s="232"/>
      <c r="CH327" s="231"/>
      <c r="CI327" s="232"/>
      <c r="CJ327" s="232"/>
      <c r="CK327" s="231"/>
      <c r="CL327" s="235"/>
      <c r="CM327" s="232"/>
      <c r="CN327" s="232"/>
      <c r="CO327" s="232"/>
      <c r="CP327" s="232"/>
      <c r="CQ327" s="232"/>
      <c r="CR327" s="232"/>
      <c r="CS327" s="232"/>
      <c r="CT327" s="232"/>
    </row>
    <row r="328" ht="24.0" customHeight="1">
      <c r="A328" s="184" t="s">
        <v>418</v>
      </c>
      <c r="B328" s="184" t="s">
        <v>1260</v>
      </c>
      <c r="C328" s="184" t="s">
        <v>662</v>
      </c>
      <c r="D328" s="184" t="s">
        <v>2431</v>
      </c>
      <c r="E328" s="186" t="s">
        <v>3266</v>
      </c>
      <c r="F328" s="186" t="s">
        <v>2432</v>
      </c>
      <c r="G328" s="185">
        <v>44.0</v>
      </c>
      <c r="H328" s="209" t="s">
        <v>3283</v>
      </c>
      <c r="I328" s="209" t="s">
        <v>3284</v>
      </c>
      <c r="J328" s="209" t="s">
        <v>3285</v>
      </c>
      <c r="K328" s="209" t="s">
        <v>3286</v>
      </c>
      <c r="L328" s="209" t="s">
        <v>3287</v>
      </c>
      <c r="M328" s="209" t="s">
        <v>3288</v>
      </c>
      <c r="N328" s="209" t="s">
        <v>752</v>
      </c>
      <c r="O328" s="237" t="s">
        <v>764</v>
      </c>
      <c r="P328" s="190"/>
      <c r="Q328" s="190"/>
      <c r="R328" s="190"/>
      <c r="S328" s="190"/>
      <c r="T328" s="190"/>
      <c r="U328" s="210"/>
      <c r="V328" s="209" t="s">
        <v>3289</v>
      </c>
      <c r="W328" s="238" t="s">
        <v>3290</v>
      </c>
      <c r="X328" s="239" t="s">
        <v>767</v>
      </c>
      <c r="Y328" s="209" t="s">
        <v>764</v>
      </c>
      <c r="Z328" s="209" t="s">
        <v>1105</v>
      </c>
      <c r="AA328" s="237" t="s">
        <v>757</v>
      </c>
      <c r="AB328" s="231"/>
      <c r="AC328" s="231"/>
      <c r="AD328" s="231"/>
      <c r="AE328" s="231"/>
      <c r="AF328" s="231"/>
      <c r="AG328" s="231"/>
      <c r="AH328" s="231"/>
      <c r="AJ328" s="231"/>
      <c r="AK328" s="232"/>
      <c r="AL328" s="231"/>
      <c r="AM328" s="232"/>
      <c r="AN328" s="231"/>
      <c r="AO328" s="232"/>
      <c r="AP328" s="232"/>
      <c r="AQ328" s="232"/>
      <c r="AR328" s="232"/>
      <c r="AS328" s="232"/>
      <c r="AT328" s="232"/>
      <c r="AU328" s="232"/>
      <c r="AV328" s="232"/>
      <c r="AW328" s="231"/>
      <c r="AX328" s="231"/>
      <c r="AY328" s="231"/>
      <c r="AZ328" s="231"/>
      <c r="BA328" s="231"/>
      <c r="BB328" s="231"/>
      <c r="BC328" s="232"/>
      <c r="BD328" s="232"/>
      <c r="BE328" s="232"/>
      <c r="BF328" s="232"/>
      <c r="BG328" s="232"/>
      <c r="BH328" s="232"/>
      <c r="BI328" s="232"/>
      <c r="BJ328" s="232"/>
      <c r="BK328" s="232"/>
      <c r="BL328" s="232"/>
      <c r="BM328" s="232"/>
      <c r="BN328" s="232"/>
      <c r="BO328" s="232"/>
      <c r="BP328" s="232"/>
      <c r="BQ328" s="232"/>
      <c r="BR328" s="232"/>
      <c r="BS328" s="231"/>
      <c r="BT328" s="231"/>
      <c r="BU328" s="231"/>
      <c r="BV328" s="231"/>
      <c r="BW328" s="231"/>
      <c r="BX328" s="231"/>
      <c r="BY328" s="231"/>
      <c r="BZ328" s="231"/>
      <c r="CA328" s="231"/>
      <c r="CB328" s="231"/>
      <c r="CC328" s="231"/>
      <c r="CD328" s="231"/>
      <c r="CE328" s="232"/>
      <c r="CF328" s="232"/>
      <c r="CG328" s="232"/>
      <c r="CH328" s="231"/>
      <c r="CI328" s="232"/>
      <c r="CJ328" s="232"/>
      <c r="CK328" s="232"/>
      <c r="CL328" s="235"/>
      <c r="CM328" s="232"/>
      <c r="CN328" s="232"/>
      <c r="CO328" s="232"/>
      <c r="CP328" s="232"/>
      <c r="CQ328" s="232"/>
      <c r="CR328" s="232"/>
      <c r="CS328" s="232"/>
      <c r="CT328" s="232"/>
    </row>
    <row r="329" ht="24.0" customHeight="1">
      <c r="A329" s="184" t="s">
        <v>421</v>
      </c>
      <c r="B329" s="184" t="s">
        <v>1260</v>
      </c>
      <c r="C329" s="184" t="s">
        <v>662</v>
      </c>
      <c r="D329" s="184" t="s">
        <v>2431</v>
      </c>
      <c r="E329" s="186" t="s">
        <v>3266</v>
      </c>
      <c r="F329" s="186" t="s">
        <v>2432</v>
      </c>
      <c r="G329" s="185">
        <v>45.0</v>
      </c>
      <c r="H329" s="209" t="s">
        <v>3291</v>
      </c>
      <c r="I329" s="209" t="s">
        <v>3292</v>
      </c>
      <c r="J329" s="209" t="s">
        <v>3293</v>
      </c>
      <c r="K329" s="209" t="s">
        <v>2059</v>
      </c>
      <c r="L329" s="209" t="s">
        <v>3294</v>
      </c>
      <c r="M329" s="209" t="s">
        <v>3295</v>
      </c>
      <c r="N329" s="209" t="s">
        <v>752</v>
      </c>
      <c r="O329" s="237" t="s">
        <v>764</v>
      </c>
      <c r="P329" s="237" t="s">
        <v>3296</v>
      </c>
      <c r="Q329" s="237" t="s">
        <v>3297</v>
      </c>
      <c r="R329" s="190"/>
      <c r="S329" s="190"/>
      <c r="T329" s="190"/>
      <c r="U329" s="210"/>
      <c r="V329" s="209" t="s">
        <v>912</v>
      </c>
      <c r="W329" s="238" t="s">
        <v>913</v>
      </c>
      <c r="X329" s="239" t="s">
        <v>914</v>
      </c>
      <c r="Y329" s="209" t="s">
        <v>893</v>
      </c>
      <c r="Z329" s="209" t="s">
        <v>1105</v>
      </c>
      <c r="AA329" s="237" t="s">
        <v>757</v>
      </c>
      <c r="AB329" s="231"/>
      <c r="AC329" s="231"/>
      <c r="AD329" s="231"/>
      <c r="AE329" s="231"/>
      <c r="AF329" s="231"/>
      <c r="AG329" s="231"/>
      <c r="AH329" s="231"/>
      <c r="AJ329" s="231"/>
      <c r="AK329" s="232"/>
      <c r="AL329" s="231"/>
      <c r="AM329" s="232"/>
      <c r="AN329" s="231"/>
      <c r="AO329" s="232"/>
      <c r="AP329" s="232"/>
      <c r="AQ329" s="232"/>
      <c r="AR329" s="232"/>
      <c r="AS329" s="232"/>
      <c r="AT329" s="232"/>
      <c r="AU329" s="232"/>
      <c r="AV329" s="232"/>
      <c r="AW329" s="231"/>
      <c r="AX329" s="231"/>
      <c r="AY329" s="231"/>
      <c r="AZ329" s="231"/>
      <c r="BA329" s="231"/>
      <c r="BB329" s="231"/>
      <c r="BC329" s="231"/>
      <c r="BD329" s="231"/>
      <c r="BE329" s="231"/>
      <c r="BF329" s="231"/>
      <c r="BG329" s="231"/>
      <c r="BH329" s="231"/>
      <c r="BI329" s="231"/>
      <c r="BJ329" s="231"/>
      <c r="BK329" s="232"/>
      <c r="BL329" s="232"/>
      <c r="BM329" s="232"/>
      <c r="BN329" s="232"/>
      <c r="BO329" s="232"/>
      <c r="BP329" s="232"/>
      <c r="BQ329" s="232"/>
      <c r="BR329" s="232"/>
      <c r="BS329" s="231"/>
      <c r="BT329" s="231"/>
      <c r="BU329" s="231"/>
      <c r="BV329" s="231"/>
      <c r="BW329" s="231"/>
      <c r="BX329" s="231"/>
      <c r="BY329" s="231"/>
      <c r="BZ329" s="231"/>
      <c r="CA329" s="231"/>
      <c r="CB329" s="231"/>
      <c r="CC329" s="231"/>
      <c r="CD329" s="231"/>
      <c r="CE329" s="232"/>
      <c r="CF329" s="232"/>
      <c r="CG329" s="232"/>
      <c r="CH329" s="231"/>
      <c r="CI329" s="232"/>
      <c r="CJ329" s="232"/>
      <c r="CK329" s="232"/>
      <c r="CL329" s="235"/>
      <c r="CM329" s="232"/>
      <c r="CN329" s="232"/>
      <c r="CO329" s="232"/>
      <c r="CP329" s="232"/>
      <c r="CQ329" s="232"/>
      <c r="CR329" s="232"/>
      <c r="CS329" s="232"/>
      <c r="CT329" s="232"/>
    </row>
    <row r="330" ht="24.0" customHeight="1">
      <c r="A330" s="184" t="s">
        <v>416</v>
      </c>
      <c r="B330" s="184" t="s">
        <v>1260</v>
      </c>
      <c r="C330" s="184" t="s">
        <v>662</v>
      </c>
      <c r="D330" s="184" t="s">
        <v>2431</v>
      </c>
      <c r="E330" s="186" t="s">
        <v>3266</v>
      </c>
      <c r="F330" s="186" t="s">
        <v>2432</v>
      </c>
      <c r="G330" s="185">
        <v>46.0</v>
      </c>
      <c r="H330" s="209" t="s">
        <v>3298</v>
      </c>
      <c r="I330" s="209" t="s">
        <v>3299</v>
      </c>
      <c r="J330" s="209" t="s">
        <v>3300</v>
      </c>
      <c r="K330" s="209" t="s">
        <v>3301</v>
      </c>
      <c r="L330" s="209" t="s">
        <v>3302</v>
      </c>
      <c r="M330" s="209" t="s">
        <v>3303</v>
      </c>
      <c r="N330" s="209" t="s">
        <v>752</v>
      </c>
      <c r="O330" s="237" t="s">
        <v>893</v>
      </c>
      <c r="P330" s="190"/>
      <c r="Q330" s="190"/>
      <c r="R330" s="190"/>
      <c r="S330" s="190"/>
      <c r="T330" s="190"/>
      <c r="U330" s="210"/>
      <c r="V330" s="209" t="s">
        <v>1177</v>
      </c>
      <c r="W330" s="238" t="s">
        <v>3304</v>
      </c>
      <c r="X330" s="239" t="s">
        <v>3225</v>
      </c>
      <c r="Y330" s="209" t="s">
        <v>893</v>
      </c>
      <c r="Z330" s="209" t="s">
        <v>1105</v>
      </c>
      <c r="AA330" s="237" t="s">
        <v>757</v>
      </c>
      <c r="AB330" s="251"/>
      <c r="AC330" s="251"/>
      <c r="AD330" s="251"/>
      <c r="AE330" s="251"/>
      <c r="AF330" s="251"/>
      <c r="AG330" s="251"/>
      <c r="AH330" s="251"/>
      <c r="AJ330" s="228"/>
      <c r="AK330" s="228"/>
      <c r="AL330" s="228"/>
      <c r="AM330" s="228"/>
      <c r="AN330" s="228"/>
      <c r="AO330" s="228"/>
      <c r="AP330" s="251"/>
      <c r="AQ330" s="228"/>
      <c r="AR330" s="251"/>
      <c r="AS330" s="228"/>
      <c r="AT330" s="228"/>
      <c r="AU330" s="228"/>
      <c r="AV330" s="228"/>
      <c r="AW330" s="251"/>
      <c r="AX330" s="251"/>
      <c r="AY330" s="251"/>
      <c r="AZ330" s="251"/>
      <c r="BA330" s="251"/>
      <c r="BB330" s="251"/>
      <c r="BC330" s="228"/>
      <c r="BD330" s="228"/>
      <c r="BE330" s="228"/>
      <c r="BF330" s="228"/>
      <c r="BG330" s="251"/>
      <c r="BH330" s="251"/>
      <c r="BI330" s="228"/>
      <c r="BJ330" s="228"/>
      <c r="BK330" s="228"/>
      <c r="BL330" s="228"/>
      <c r="BM330" s="228"/>
      <c r="BN330" s="228"/>
      <c r="BO330" s="228"/>
      <c r="BP330" s="228"/>
      <c r="BQ330" s="228"/>
      <c r="BR330" s="228"/>
      <c r="BS330" s="251"/>
      <c r="BT330" s="251"/>
      <c r="BU330" s="251"/>
      <c r="BV330" s="251"/>
      <c r="BW330" s="251"/>
      <c r="BX330" s="251"/>
      <c r="BY330" s="251"/>
      <c r="BZ330" s="251"/>
      <c r="CA330" s="251"/>
      <c r="CB330" s="251"/>
      <c r="CC330" s="251"/>
      <c r="CD330" s="228"/>
      <c r="CE330" s="228"/>
      <c r="CF330" s="251"/>
      <c r="CG330" s="228"/>
      <c r="CH330" s="251"/>
      <c r="CI330" s="228"/>
      <c r="CJ330" s="228"/>
      <c r="CK330" s="228"/>
      <c r="CL330" s="228"/>
      <c r="CM330" s="228"/>
      <c r="CN330" s="228"/>
      <c r="CO330" s="228"/>
      <c r="CP330" s="228"/>
      <c r="CQ330" s="228"/>
      <c r="CR330" s="228"/>
      <c r="CS330" s="228"/>
      <c r="CT330" s="228"/>
    </row>
    <row r="331" ht="24.0" customHeight="1">
      <c r="A331" s="184" t="s">
        <v>420</v>
      </c>
      <c r="B331" s="184" t="s">
        <v>1260</v>
      </c>
      <c r="C331" s="184" t="s">
        <v>662</v>
      </c>
      <c r="D331" s="184" t="s">
        <v>2431</v>
      </c>
      <c r="E331" s="236" t="s">
        <v>3266</v>
      </c>
      <c r="F331" s="186" t="s">
        <v>2432</v>
      </c>
      <c r="G331" s="185">
        <v>47.0</v>
      </c>
      <c r="H331" s="237" t="s">
        <v>2480</v>
      </c>
      <c r="I331" s="237" t="s">
        <v>3305</v>
      </c>
      <c r="J331" s="237" t="s">
        <v>3306</v>
      </c>
      <c r="K331" s="237" t="s">
        <v>3307</v>
      </c>
      <c r="L331" s="237" t="s">
        <v>3308</v>
      </c>
      <c r="M331" s="237" t="s">
        <v>3309</v>
      </c>
      <c r="N331" s="237" t="s">
        <v>752</v>
      </c>
      <c r="O331" s="237" t="s">
        <v>764</v>
      </c>
      <c r="P331" s="190"/>
      <c r="Q331" s="190"/>
      <c r="R331" s="190"/>
      <c r="S331" s="190"/>
      <c r="T331" s="190"/>
      <c r="U331" s="190"/>
      <c r="V331" s="237" t="s">
        <v>3310</v>
      </c>
      <c r="W331" s="238" t="s">
        <v>3311</v>
      </c>
      <c r="X331" s="239" t="s">
        <v>3240</v>
      </c>
      <c r="Y331" s="237" t="s">
        <v>764</v>
      </c>
      <c r="Z331" s="237" t="s">
        <v>1105</v>
      </c>
      <c r="AA331" s="237" t="s">
        <v>757</v>
      </c>
      <c r="AB331" s="191"/>
      <c r="AC331" s="191"/>
      <c r="AD331" s="191"/>
      <c r="AE331" s="191"/>
      <c r="AF331" s="191"/>
      <c r="AG331" s="191"/>
      <c r="AH331" s="191"/>
      <c r="AJ331" s="215"/>
      <c r="AK331" s="215"/>
      <c r="AL331" s="215"/>
      <c r="AM331" s="215"/>
      <c r="AN331" s="215"/>
      <c r="AO331" s="215"/>
      <c r="AP331" s="191"/>
      <c r="AQ331" s="215"/>
      <c r="AR331" s="191"/>
      <c r="AS331" s="215"/>
      <c r="AT331" s="215"/>
      <c r="AU331" s="215"/>
      <c r="AV331" s="215"/>
      <c r="AW331" s="191"/>
      <c r="AX331" s="191"/>
      <c r="AY331" s="191"/>
      <c r="AZ331" s="191"/>
      <c r="BA331" s="191"/>
      <c r="BB331" s="191"/>
      <c r="BC331" s="215"/>
      <c r="BD331" s="215"/>
      <c r="BE331" s="215"/>
      <c r="BF331" s="215"/>
      <c r="BG331" s="191"/>
      <c r="BH331" s="191"/>
      <c r="BI331" s="191"/>
      <c r="BJ331" s="191"/>
      <c r="BK331" s="191"/>
      <c r="BL331" s="191"/>
      <c r="BM331" s="191"/>
      <c r="BN331" s="191"/>
      <c r="BO331" s="191"/>
      <c r="BP331" s="191"/>
      <c r="BQ331" s="215"/>
      <c r="BR331" s="215"/>
      <c r="BS331" s="191"/>
      <c r="BT331" s="191"/>
      <c r="BU331" s="191"/>
      <c r="BV331" s="191"/>
      <c r="BW331" s="191"/>
      <c r="BX331" s="191"/>
      <c r="BY331" s="191"/>
      <c r="BZ331" s="191"/>
      <c r="CA331" s="191"/>
      <c r="CB331" s="191"/>
      <c r="CC331" s="191"/>
      <c r="CD331" s="215"/>
      <c r="CE331" s="215"/>
      <c r="CF331" s="191"/>
      <c r="CG331" s="215"/>
      <c r="CH331" s="191"/>
      <c r="CI331" s="215"/>
      <c r="CJ331" s="215"/>
      <c r="CK331" s="191"/>
      <c r="CL331" s="215"/>
      <c r="CM331" s="215"/>
      <c r="CN331" s="215"/>
      <c r="CO331" s="215"/>
      <c r="CP331" s="215"/>
      <c r="CQ331" s="215"/>
      <c r="CR331" s="215"/>
      <c r="CS331" s="215"/>
      <c r="CT331" s="215"/>
    </row>
    <row r="332" ht="24.0" customHeight="1">
      <c r="A332" s="184" t="s">
        <v>424</v>
      </c>
      <c r="B332" s="184" t="s">
        <v>1260</v>
      </c>
      <c r="C332" s="184" t="s">
        <v>663</v>
      </c>
      <c r="D332" s="184" t="s">
        <v>2431</v>
      </c>
      <c r="E332" s="236" t="s">
        <v>744</v>
      </c>
      <c r="F332" s="186" t="s">
        <v>2432</v>
      </c>
      <c r="G332" s="185">
        <v>48.0</v>
      </c>
      <c r="H332" s="207" t="s">
        <v>3312</v>
      </c>
      <c r="I332" s="207" t="s">
        <v>3313</v>
      </c>
      <c r="J332" s="207" t="s">
        <v>3314</v>
      </c>
      <c r="K332" s="207" t="s">
        <v>3315</v>
      </c>
      <c r="L332" s="207" t="s">
        <v>3316</v>
      </c>
      <c r="M332" s="207" t="s">
        <v>3317</v>
      </c>
      <c r="N332" s="207" t="s">
        <v>908</v>
      </c>
      <c r="O332" s="207" t="s">
        <v>764</v>
      </c>
      <c r="P332" s="190"/>
      <c r="Q332" s="190"/>
      <c r="R332" s="190"/>
      <c r="S332" s="190"/>
      <c r="T332" s="190"/>
      <c r="U332" s="190"/>
      <c r="V332" s="207" t="s">
        <v>3318</v>
      </c>
      <c r="W332" s="252" t="s">
        <v>3319</v>
      </c>
      <c r="X332" s="253" t="s">
        <v>3320</v>
      </c>
      <c r="Y332" s="207" t="s">
        <v>764</v>
      </c>
      <c r="Z332" s="207" t="s">
        <v>1457</v>
      </c>
      <c r="AA332" s="207" t="s">
        <v>797</v>
      </c>
      <c r="AB332" s="191"/>
      <c r="AC332" s="191"/>
      <c r="AD332" s="191"/>
      <c r="AE332" s="191"/>
      <c r="AF332" s="191"/>
      <c r="AG332" s="191"/>
      <c r="AH332" s="191"/>
      <c r="AJ332" s="215"/>
      <c r="AK332" s="215"/>
      <c r="AL332" s="215"/>
      <c r="AM332" s="215"/>
      <c r="AN332" s="215"/>
      <c r="AO332" s="215"/>
      <c r="AP332" s="191"/>
      <c r="AQ332" s="215"/>
      <c r="AR332" s="191"/>
      <c r="AS332" s="215"/>
      <c r="AT332" s="215"/>
      <c r="AU332" s="215"/>
      <c r="AV332" s="215"/>
      <c r="AW332" s="191"/>
      <c r="AX332" s="191"/>
      <c r="AY332" s="191"/>
      <c r="AZ332" s="191"/>
      <c r="BA332" s="191"/>
      <c r="BB332" s="191"/>
      <c r="BC332" s="215"/>
      <c r="BD332" s="215"/>
      <c r="BE332" s="215"/>
      <c r="BF332" s="215"/>
      <c r="BG332" s="191"/>
      <c r="BH332" s="191"/>
      <c r="BI332" s="215"/>
      <c r="BJ332" s="215"/>
      <c r="BK332" s="215"/>
      <c r="BL332" s="215"/>
      <c r="BM332" s="215"/>
      <c r="BN332" s="215"/>
      <c r="BO332" s="215"/>
      <c r="BP332" s="215"/>
      <c r="BQ332" s="215"/>
      <c r="BR332" s="215"/>
      <c r="BS332" s="191"/>
      <c r="BT332" s="191"/>
      <c r="BU332" s="191"/>
      <c r="BV332" s="191"/>
      <c r="BW332" s="191"/>
      <c r="BX332" s="191"/>
      <c r="BY332" s="215"/>
      <c r="BZ332" s="191"/>
      <c r="CA332" s="191"/>
      <c r="CB332" s="191"/>
      <c r="CC332" s="191"/>
      <c r="CD332" s="215"/>
      <c r="CE332" s="215"/>
      <c r="CF332" s="191"/>
      <c r="CG332" s="215"/>
      <c r="CH332" s="191"/>
      <c r="CI332" s="215"/>
      <c r="CJ332" s="215"/>
      <c r="CK332" s="215"/>
      <c r="CL332" s="215"/>
      <c r="CM332" s="215"/>
      <c r="CN332" s="215"/>
      <c r="CO332" s="215"/>
      <c r="CP332" s="215"/>
      <c r="CQ332" s="215"/>
      <c r="CR332" s="215"/>
      <c r="CS332" s="215"/>
      <c r="CT332" s="215"/>
    </row>
    <row r="333" ht="24.0" customHeight="1">
      <c r="A333" s="184" t="s">
        <v>427</v>
      </c>
      <c r="B333" s="184" t="s">
        <v>1260</v>
      </c>
      <c r="C333" s="184" t="s">
        <v>663</v>
      </c>
      <c r="D333" s="184" t="s">
        <v>2431</v>
      </c>
      <c r="E333" s="236" t="s">
        <v>744</v>
      </c>
      <c r="F333" s="186" t="s">
        <v>2432</v>
      </c>
      <c r="G333" s="185">
        <v>49.0</v>
      </c>
      <c r="H333" s="189" t="s">
        <v>3321</v>
      </c>
      <c r="I333" s="189" t="s">
        <v>2109</v>
      </c>
      <c r="J333" s="189" t="s">
        <v>3322</v>
      </c>
      <c r="K333" s="189" t="s">
        <v>3323</v>
      </c>
      <c r="L333" s="189" t="s">
        <v>3324</v>
      </c>
      <c r="M333" s="189" t="s">
        <v>3325</v>
      </c>
      <c r="N333" s="189" t="s">
        <v>908</v>
      </c>
      <c r="O333" s="189" t="s">
        <v>893</v>
      </c>
      <c r="P333" s="189" t="s">
        <v>3326</v>
      </c>
      <c r="Q333" s="189" t="s">
        <v>3327</v>
      </c>
      <c r="R333" s="190"/>
      <c r="S333" s="190"/>
      <c r="T333" s="190"/>
      <c r="U333" s="190"/>
      <c r="V333" s="189" t="s">
        <v>936</v>
      </c>
      <c r="W333" s="230" t="s">
        <v>937</v>
      </c>
      <c r="X333" s="245" t="s">
        <v>938</v>
      </c>
      <c r="Y333" s="189" t="s">
        <v>893</v>
      </c>
      <c r="Z333" s="189" t="s">
        <v>744</v>
      </c>
      <c r="AA333" s="189" t="s">
        <v>757</v>
      </c>
      <c r="AB333" s="191"/>
      <c r="AC333" s="191"/>
      <c r="AD333" s="191"/>
      <c r="AE333" s="191"/>
      <c r="AF333" s="191"/>
      <c r="AG333" s="191"/>
      <c r="AH333" s="191"/>
      <c r="AJ333" s="215"/>
      <c r="AK333" s="215"/>
      <c r="AL333" s="215"/>
      <c r="AM333" s="215"/>
      <c r="AN333" s="215"/>
      <c r="AO333" s="215"/>
      <c r="AP333" s="191"/>
      <c r="AQ333" s="215"/>
      <c r="AR333" s="191"/>
      <c r="AS333" s="215"/>
      <c r="AT333" s="215"/>
      <c r="AU333" s="215"/>
      <c r="AV333" s="215"/>
      <c r="AW333" s="191"/>
      <c r="AX333" s="191"/>
      <c r="AY333" s="191"/>
      <c r="AZ333" s="191"/>
      <c r="BA333" s="191"/>
      <c r="BB333" s="191"/>
      <c r="BC333" s="215"/>
      <c r="BD333" s="215"/>
      <c r="BE333" s="215"/>
      <c r="BF333" s="215"/>
      <c r="BG333" s="215"/>
      <c r="BH333" s="215"/>
      <c r="BI333" s="215"/>
      <c r="BJ333" s="215"/>
      <c r="BK333" s="215"/>
      <c r="BL333" s="215"/>
      <c r="BM333" s="215"/>
      <c r="BN333" s="215"/>
      <c r="BO333" s="215"/>
      <c r="BP333" s="215"/>
      <c r="BQ333" s="215"/>
      <c r="BR333" s="215"/>
      <c r="BS333" s="191"/>
      <c r="BT333" s="191"/>
      <c r="BU333" s="191"/>
      <c r="BV333" s="191"/>
      <c r="BW333" s="191"/>
      <c r="BX333" s="191"/>
      <c r="BY333" s="191"/>
      <c r="BZ333" s="191"/>
      <c r="CA333" s="191"/>
      <c r="CB333" s="191"/>
      <c r="CC333" s="191"/>
      <c r="CD333" s="215"/>
      <c r="CE333" s="215"/>
      <c r="CF333" s="191"/>
      <c r="CG333" s="215"/>
      <c r="CH333" s="191"/>
      <c r="CI333" s="215"/>
      <c r="CJ333" s="215"/>
      <c r="CK333" s="215"/>
      <c r="CL333" s="215"/>
      <c r="CM333" s="215"/>
      <c r="CN333" s="215"/>
      <c r="CO333" s="215"/>
      <c r="CP333" s="215"/>
      <c r="CQ333" s="215"/>
      <c r="CR333" s="215"/>
      <c r="CS333" s="215"/>
      <c r="CT333" s="215"/>
    </row>
    <row r="334" ht="24.0" customHeight="1">
      <c r="A334" s="184" t="s">
        <v>425</v>
      </c>
      <c r="B334" s="184" t="s">
        <v>1260</v>
      </c>
      <c r="C334" s="184" t="s">
        <v>663</v>
      </c>
      <c r="D334" s="184" t="s">
        <v>2431</v>
      </c>
      <c r="E334" s="236" t="s">
        <v>744</v>
      </c>
      <c r="F334" s="186" t="s">
        <v>2432</v>
      </c>
      <c r="G334" s="185">
        <v>50.0</v>
      </c>
      <c r="H334" s="189" t="s">
        <v>3328</v>
      </c>
      <c r="I334" s="189" t="s">
        <v>3329</v>
      </c>
      <c r="J334" s="189" t="s">
        <v>3330</v>
      </c>
      <c r="K334" s="189" t="s">
        <v>881</v>
      </c>
      <c r="L334" s="189" t="s">
        <v>3331</v>
      </c>
      <c r="M334" s="189" t="s">
        <v>3332</v>
      </c>
      <c r="N334" s="189" t="s">
        <v>850</v>
      </c>
      <c r="O334" s="189" t="s">
        <v>764</v>
      </c>
      <c r="P334" s="190"/>
      <c r="Q334" s="190"/>
      <c r="R334" s="190"/>
      <c r="S334" s="190"/>
      <c r="T334" s="190"/>
      <c r="U334" s="190"/>
      <c r="V334" s="189" t="s">
        <v>3333</v>
      </c>
      <c r="W334" s="230" t="s">
        <v>1103</v>
      </c>
      <c r="X334" s="245" t="s">
        <v>3334</v>
      </c>
      <c r="Y334" s="189" t="s">
        <v>764</v>
      </c>
      <c r="Z334" s="189" t="s">
        <v>744</v>
      </c>
      <c r="AA334" s="189" t="s">
        <v>757</v>
      </c>
      <c r="AB334" s="191"/>
      <c r="AC334" s="191"/>
      <c r="AD334" s="191"/>
      <c r="AE334" s="191"/>
      <c r="AF334" s="191"/>
      <c r="AG334" s="191"/>
      <c r="AH334" s="191"/>
      <c r="AJ334" s="215"/>
      <c r="AK334" s="215"/>
      <c r="AL334" s="215"/>
      <c r="AM334" s="215"/>
      <c r="AN334" s="215"/>
      <c r="AO334" s="215"/>
      <c r="AP334" s="191"/>
      <c r="AQ334" s="215"/>
      <c r="AR334" s="191"/>
      <c r="AS334" s="215"/>
      <c r="AT334" s="215"/>
      <c r="AU334" s="215"/>
      <c r="AV334" s="215"/>
      <c r="AW334" s="191"/>
      <c r="AX334" s="191"/>
      <c r="AY334" s="191"/>
      <c r="AZ334" s="191"/>
      <c r="BA334" s="191"/>
      <c r="BB334" s="191"/>
      <c r="BC334" s="215"/>
      <c r="BD334" s="215"/>
      <c r="BE334" s="215"/>
      <c r="BF334" s="215"/>
      <c r="BG334" s="215"/>
      <c r="BH334" s="191"/>
      <c r="BI334" s="191"/>
      <c r="BJ334" s="191"/>
      <c r="BK334" s="191"/>
      <c r="BL334" s="191"/>
      <c r="BM334" s="191"/>
      <c r="BN334" s="215"/>
      <c r="BO334" s="215"/>
      <c r="BP334" s="215"/>
      <c r="BQ334" s="215"/>
      <c r="BR334" s="215"/>
      <c r="BS334" s="191"/>
      <c r="BT334" s="191"/>
      <c r="BU334" s="191"/>
      <c r="BV334" s="191"/>
      <c r="BW334" s="191"/>
      <c r="BX334" s="191"/>
      <c r="BY334" s="191"/>
      <c r="BZ334" s="191"/>
      <c r="CA334" s="191"/>
      <c r="CB334" s="191"/>
      <c r="CC334" s="191"/>
      <c r="CD334" s="215"/>
      <c r="CE334" s="215"/>
      <c r="CF334" s="191"/>
      <c r="CG334" s="215"/>
      <c r="CH334" s="191"/>
      <c r="CI334" s="215"/>
      <c r="CJ334" s="215"/>
      <c r="CK334" s="191"/>
      <c r="CL334" s="215"/>
      <c r="CM334" s="215"/>
      <c r="CN334" s="215"/>
      <c r="CO334" s="215"/>
      <c r="CP334" s="215"/>
      <c r="CQ334" s="215"/>
      <c r="CR334" s="215"/>
      <c r="CS334" s="215"/>
      <c r="CT334" s="215"/>
    </row>
    <row r="335" ht="24.0" customHeight="1">
      <c r="A335" s="184" t="s">
        <v>429</v>
      </c>
      <c r="B335" s="184" t="s">
        <v>1260</v>
      </c>
      <c r="C335" s="184" t="s">
        <v>663</v>
      </c>
      <c r="D335" s="184" t="s">
        <v>2431</v>
      </c>
      <c r="E335" s="236" t="s">
        <v>744</v>
      </c>
      <c r="F335" s="186" t="s">
        <v>2432</v>
      </c>
      <c r="G335" s="185">
        <v>51.0</v>
      </c>
      <c r="H335" s="189" t="s">
        <v>3335</v>
      </c>
      <c r="I335" s="189" t="s">
        <v>3336</v>
      </c>
      <c r="J335" s="189" t="s">
        <v>3337</v>
      </c>
      <c r="K335" s="189" t="s">
        <v>3338</v>
      </c>
      <c r="L335" s="189" t="s">
        <v>3339</v>
      </c>
      <c r="M335" s="189" t="s">
        <v>3340</v>
      </c>
      <c r="N335" s="189" t="s">
        <v>850</v>
      </c>
      <c r="O335" s="189" t="s">
        <v>764</v>
      </c>
      <c r="P335" s="189" t="s">
        <v>3181</v>
      </c>
      <c r="Q335" s="189" t="s">
        <v>3341</v>
      </c>
      <c r="R335" s="189" t="s">
        <v>3342</v>
      </c>
      <c r="S335" s="189" t="s">
        <v>3343</v>
      </c>
      <c r="T335" s="190"/>
      <c r="U335" s="190"/>
      <c r="V335" s="189" t="s">
        <v>3344</v>
      </c>
      <c r="W335" s="230" t="s">
        <v>1103</v>
      </c>
      <c r="X335" s="245" t="s">
        <v>3334</v>
      </c>
      <c r="Y335" s="189" t="s">
        <v>764</v>
      </c>
      <c r="Z335" s="189" t="s">
        <v>744</v>
      </c>
      <c r="AA335" s="189" t="s">
        <v>757</v>
      </c>
      <c r="AB335" s="191"/>
      <c r="AC335" s="191"/>
      <c r="AD335" s="191"/>
      <c r="AE335" s="191"/>
      <c r="AF335" s="191"/>
      <c r="AG335" s="191"/>
      <c r="AH335" s="191"/>
      <c r="AJ335" s="215"/>
      <c r="AK335" s="215"/>
      <c r="AL335" s="215"/>
      <c r="AM335" s="215"/>
      <c r="AN335" s="215"/>
      <c r="AO335" s="215"/>
      <c r="AP335" s="191"/>
      <c r="AQ335" s="215"/>
      <c r="AR335" s="191"/>
      <c r="AS335" s="215"/>
      <c r="AT335" s="215"/>
      <c r="AU335" s="215"/>
      <c r="AV335" s="215"/>
      <c r="AW335" s="191"/>
      <c r="AX335" s="191"/>
      <c r="AY335" s="191"/>
      <c r="AZ335" s="191"/>
      <c r="BA335" s="191"/>
      <c r="BB335" s="191"/>
      <c r="BC335" s="215"/>
      <c r="BD335" s="215"/>
      <c r="BE335" s="215"/>
      <c r="BF335" s="215"/>
      <c r="BG335" s="191"/>
      <c r="BH335" s="191"/>
      <c r="BI335" s="191"/>
      <c r="BJ335" s="191"/>
      <c r="BK335" s="215"/>
      <c r="BL335" s="215"/>
      <c r="BM335" s="215"/>
      <c r="BN335" s="215"/>
      <c r="BO335" s="215"/>
      <c r="BP335" s="215"/>
      <c r="BQ335" s="215"/>
      <c r="BR335" s="215"/>
      <c r="BS335" s="191"/>
      <c r="BT335" s="191"/>
      <c r="BU335" s="191"/>
      <c r="BV335" s="191"/>
      <c r="BW335" s="191"/>
      <c r="BX335" s="191"/>
      <c r="BY335" s="191"/>
      <c r="BZ335" s="191"/>
      <c r="CA335" s="191"/>
      <c r="CB335" s="191"/>
      <c r="CC335" s="191"/>
      <c r="CD335" s="215"/>
      <c r="CE335" s="215"/>
      <c r="CF335" s="191"/>
      <c r="CG335" s="215"/>
      <c r="CH335" s="191"/>
      <c r="CI335" s="215"/>
      <c r="CJ335" s="215"/>
      <c r="CK335" s="191"/>
      <c r="CL335" s="215"/>
      <c r="CM335" s="215"/>
      <c r="CN335" s="215"/>
      <c r="CO335" s="215"/>
      <c r="CP335" s="215"/>
      <c r="CQ335" s="215"/>
      <c r="CR335" s="215"/>
      <c r="CS335" s="215"/>
      <c r="CT335" s="215"/>
    </row>
    <row r="336" ht="24.0" customHeight="1">
      <c r="A336" s="184" t="s">
        <v>428</v>
      </c>
      <c r="B336" s="184" t="s">
        <v>1260</v>
      </c>
      <c r="C336" s="184" t="s">
        <v>663</v>
      </c>
      <c r="D336" s="184" t="s">
        <v>2431</v>
      </c>
      <c r="E336" s="236" t="s">
        <v>744</v>
      </c>
      <c r="F336" s="186" t="s">
        <v>2432</v>
      </c>
      <c r="G336" s="185">
        <v>52.0</v>
      </c>
      <c r="H336" s="189" t="s">
        <v>746</v>
      </c>
      <c r="I336" s="189" t="s">
        <v>3345</v>
      </c>
      <c r="J336" s="189" t="s">
        <v>3346</v>
      </c>
      <c r="K336" s="189" t="s">
        <v>3347</v>
      </c>
      <c r="L336" s="185" t="s">
        <v>3348</v>
      </c>
      <c r="M336" s="189" t="s">
        <v>3349</v>
      </c>
      <c r="N336" s="189" t="s">
        <v>850</v>
      </c>
      <c r="O336" s="189" t="s">
        <v>893</v>
      </c>
      <c r="P336" s="190"/>
      <c r="Q336" s="190"/>
      <c r="R336" s="190"/>
      <c r="S336" s="190"/>
      <c r="T336" s="190"/>
      <c r="U336" s="190"/>
      <c r="V336" s="189" t="s">
        <v>746</v>
      </c>
      <c r="W336" s="230" t="s">
        <v>3350</v>
      </c>
      <c r="X336" s="245" t="s">
        <v>3351</v>
      </c>
      <c r="Y336" s="189" t="s">
        <v>893</v>
      </c>
      <c r="Z336" s="189" t="s">
        <v>744</v>
      </c>
      <c r="AA336" s="189" t="s">
        <v>757</v>
      </c>
      <c r="AB336" s="191"/>
      <c r="AC336" s="191"/>
      <c r="AD336" s="191"/>
      <c r="AE336" s="191"/>
      <c r="AF336" s="191"/>
      <c r="AG336" s="191"/>
      <c r="AH336" s="191"/>
      <c r="AJ336" s="215"/>
      <c r="AK336" s="215"/>
      <c r="AL336" s="215"/>
      <c r="AM336" s="215"/>
      <c r="AN336" s="215"/>
      <c r="AO336" s="215"/>
      <c r="AP336" s="191"/>
      <c r="AQ336" s="215"/>
      <c r="AR336" s="191"/>
      <c r="AS336" s="215"/>
      <c r="AT336" s="215"/>
      <c r="AU336" s="215"/>
      <c r="AV336" s="215"/>
      <c r="AW336" s="191"/>
      <c r="AX336" s="191"/>
      <c r="AY336" s="191"/>
      <c r="AZ336" s="191"/>
      <c r="BA336" s="191"/>
      <c r="BB336" s="191"/>
      <c r="BC336" s="215"/>
      <c r="BD336" s="215"/>
      <c r="BE336" s="215"/>
      <c r="BF336" s="215"/>
      <c r="BG336" s="191"/>
      <c r="BH336" s="191"/>
      <c r="BI336" s="191"/>
      <c r="BJ336" s="191"/>
      <c r="BK336" s="191"/>
      <c r="BL336" s="191"/>
      <c r="BM336" s="215"/>
      <c r="BN336" s="215"/>
      <c r="BO336" s="215"/>
      <c r="BP336" s="215"/>
      <c r="BQ336" s="215"/>
      <c r="BR336" s="215"/>
      <c r="BS336" s="191"/>
      <c r="BT336" s="191"/>
      <c r="BU336" s="191"/>
      <c r="BV336" s="191"/>
      <c r="BW336" s="191"/>
      <c r="BX336" s="191"/>
      <c r="BY336" s="191"/>
      <c r="BZ336" s="191"/>
      <c r="CA336" s="191"/>
      <c r="CB336" s="191"/>
      <c r="CC336" s="191"/>
      <c r="CD336" s="215"/>
      <c r="CE336" s="215"/>
      <c r="CF336" s="191"/>
      <c r="CG336" s="215"/>
      <c r="CH336" s="191"/>
      <c r="CI336" s="215"/>
      <c r="CJ336" s="215"/>
      <c r="CK336" s="215"/>
      <c r="CL336" s="240"/>
      <c r="CM336" s="215"/>
      <c r="CN336" s="215"/>
      <c r="CO336" s="215"/>
      <c r="CP336" s="215"/>
      <c r="CQ336" s="215"/>
      <c r="CR336" s="215"/>
      <c r="CS336" s="215"/>
      <c r="CT336" s="215"/>
    </row>
    <row r="337" ht="24.0" customHeight="1">
      <c r="A337" s="184" t="s">
        <v>426</v>
      </c>
      <c r="B337" s="184" t="s">
        <v>1260</v>
      </c>
      <c r="C337" s="184" t="s">
        <v>663</v>
      </c>
      <c r="D337" s="184" t="s">
        <v>2431</v>
      </c>
      <c r="E337" s="236" t="s">
        <v>744</v>
      </c>
      <c r="F337" s="186" t="s">
        <v>2432</v>
      </c>
      <c r="G337" s="185">
        <v>53.0</v>
      </c>
      <c r="H337" s="189" t="s">
        <v>3352</v>
      </c>
      <c r="I337" s="189" t="s">
        <v>3353</v>
      </c>
      <c r="J337" s="189" t="s">
        <v>3354</v>
      </c>
      <c r="K337" s="189" t="s">
        <v>3355</v>
      </c>
      <c r="L337" s="189" t="s">
        <v>3356</v>
      </c>
      <c r="M337" s="189" t="s">
        <v>3357</v>
      </c>
      <c r="N337" s="189" t="s">
        <v>850</v>
      </c>
      <c r="O337" s="189" t="s">
        <v>1457</v>
      </c>
      <c r="P337" s="189" t="s">
        <v>3358</v>
      </c>
      <c r="Q337" s="189" t="s">
        <v>3359</v>
      </c>
      <c r="R337" s="189" t="s">
        <v>3360</v>
      </c>
      <c r="S337" s="189" t="s">
        <v>3361</v>
      </c>
      <c r="T337" s="189" t="s">
        <v>3362</v>
      </c>
      <c r="U337" s="189" t="s">
        <v>3363</v>
      </c>
      <c r="V337" s="189" t="s">
        <v>3364</v>
      </c>
      <c r="W337" s="230" t="s">
        <v>3365</v>
      </c>
      <c r="X337" s="245" t="s">
        <v>3366</v>
      </c>
      <c r="Y337" s="189" t="s">
        <v>1457</v>
      </c>
      <c r="Z337" s="189" t="s">
        <v>744</v>
      </c>
      <c r="AA337" s="189" t="s">
        <v>757</v>
      </c>
      <c r="AB337" s="191"/>
      <c r="AC337" s="191"/>
      <c r="AD337" s="191"/>
      <c r="AE337" s="191"/>
      <c r="AF337" s="191"/>
      <c r="AG337" s="191"/>
      <c r="AH337" s="191"/>
      <c r="AJ337" s="215"/>
      <c r="AK337" s="215"/>
      <c r="AL337" s="215"/>
      <c r="AM337" s="215"/>
      <c r="AN337" s="215"/>
      <c r="AO337" s="215"/>
      <c r="AP337" s="191"/>
      <c r="AQ337" s="215"/>
      <c r="AR337" s="191"/>
      <c r="AS337" s="215"/>
      <c r="AT337" s="215"/>
      <c r="AU337" s="215"/>
      <c r="AV337" s="215"/>
      <c r="AW337" s="191"/>
      <c r="AX337" s="191"/>
      <c r="AY337" s="191"/>
      <c r="AZ337" s="191"/>
      <c r="BA337" s="191"/>
      <c r="BB337" s="191"/>
      <c r="BC337" s="215"/>
      <c r="BD337" s="215"/>
      <c r="BE337" s="215"/>
      <c r="BF337" s="215"/>
      <c r="BG337" s="215"/>
      <c r="BH337" s="215"/>
      <c r="BI337" s="215"/>
      <c r="BJ337" s="215"/>
      <c r="BK337" s="215"/>
      <c r="BL337" s="215"/>
      <c r="BM337" s="215"/>
      <c r="BN337" s="215"/>
      <c r="BO337" s="215"/>
      <c r="BP337" s="215"/>
      <c r="BQ337" s="215"/>
      <c r="BR337" s="215"/>
      <c r="BS337" s="191"/>
      <c r="BT337" s="191"/>
      <c r="BU337" s="191"/>
      <c r="BV337" s="191"/>
      <c r="BW337" s="191"/>
      <c r="BX337" s="191"/>
      <c r="BY337" s="215"/>
      <c r="BZ337" s="191"/>
      <c r="CA337" s="191"/>
      <c r="CB337" s="191"/>
      <c r="CC337" s="191"/>
      <c r="CD337" s="215"/>
      <c r="CE337" s="215"/>
      <c r="CF337" s="191"/>
      <c r="CG337" s="215"/>
      <c r="CH337" s="191"/>
      <c r="CI337" s="215"/>
      <c r="CJ337" s="191"/>
      <c r="CK337" s="215"/>
      <c r="CL337" s="240"/>
      <c r="CM337" s="215"/>
      <c r="CN337" s="215"/>
      <c r="CO337" s="215"/>
      <c r="CP337" s="215"/>
      <c r="CQ337" s="215"/>
      <c r="CR337" s="215"/>
      <c r="CS337" s="215"/>
      <c r="CT337" s="215"/>
    </row>
    <row r="338" ht="24.0" customHeight="1">
      <c r="A338" s="184" t="s">
        <v>422</v>
      </c>
      <c r="B338" s="184" t="s">
        <v>1260</v>
      </c>
      <c r="C338" s="184" t="s">
        <v>663</v>
      </c>
      <c r="D338" s="184" t="s">
        <v>2431</v>
      </c>
      <c r="E338" s="236" t="s">
        <v>744</v>
      </c>
      <c r="F338" s="186" t="s">
        <v>2432</v>
      </c>
      <c r="G338" s="185">
        <v>54.0</v>
      </c>
      <c r="H338" s="189" t="s">
        <v>3367</v>
      </c>
      <c r="I338" s="189" t="s">
        <v>3368</v>
      </c>
      <c r="J338" s="189" t="s">
        <v>3369</v>
      </c>
      <c r="K338" s="189" t="s">
        <v>881</v>
      </c>
      <c r="L338" s="189" t="s">
        <v>3370</v>
      </c>
      <c r="M338" s="237" t="s">
        <v>3371</v>
      </c>
      <c r="N338" s="189" t="s">
        <v>850</v>
      </c>
      <c r="O338" s="189" t="s">
        <v>764</v>
      </c>
      <c r="P338" s="190"/>
      <c r="Q338" s="190"/>
      <c r="R338" s="190"/>
      <c r="S338" s="190"/>
      <c r="T338" s="190"/>
      <c r="U338" s="190"/>
      <c r="V338" s="189" t="s">
        <v>1386</v>
      </c>
      <c r="W338" s="230" t="s">
        <v>861</v>
      </c>
      <c r="X338" s="245" t="s">
        <v>3372</v>
      </c>
      <c r="Y338" s="189" t="s">
        <v>764</v>
      </c>
      <c r="Z338" s="189" t="s">
        <v>744</v>
      </c>
      <c r="AA338" s="189" t="s">
        <v>757</v>
      </c>
      <c r="AB338" s="191"/>
      <c r="AC338" s="191"/>
      <c r="AD338" s="191"/>
      <c r="AE338" s="191"/>
      <c r="AF338" s="191"/>
      <c r="AG338" s="191"/>
      <c r="AH338" s="191"/>
      <c r="AJ338" s="215"/>
      <c r="AK338" s="215"/>
      <c r="AL338" s="215"/>
      <c r="AM338" s="215"/>
      <c r="AN338" s="215"/>
      <c r="AO338" s="215"/>
      <c r="AP338" s="191"/>
      <c r="AQ338" s="215"/>
      <c r="AR338" s="191"/>
      <c r="AS338" s="215"/>
      <c r="AT338" s="215"/>
      <c r="AU338" s="215"/>
      <c r="AV338" s="215"/>
      <c r="AW338" s="191"/>
      <c r="AX338" s="191"/>
      <c r="AY338" s="191"/>
      <c r="AZ338" s="191"/>
      <c r="BA338" s="191"/>
      <c r="BB338" s="191"/>
      <c r="BC338" s="215"/>
      <c r="BD338" s="215"/>
      <c r="BE338" s="215"/>
      <c r="BF338" s="215"/>
      <c r="BG338" s="215"/>
      <c r="BH338" s="215"/>
      <c r="BI338" s="215"/>
      <c r="BJ338" s="215"/>
      <c r="BK338" s="215"/>
      <c r="BL338" s="215"/>
      <c r="BM338" s="215"/>
      <c r="BN338" s="215"/>
      <c r="BO338" s="215"/>
      <c r="BP338" s="215"/>
      <c r="BQ338" s="215"/>
      <c r="BR338" s="215"/>
      <c r="BS338" s="191"/>
      <c r="BT338" s="191"/>
      <c r="BU338" s="191"/>
      <c r="BV338" s="191"/>
      <c r="BW338" s="191"/>
      <c r="BX338" s="191"/>
      <c r="BY338" s="191"/>
      <c r="BZ338" s="191"/>
      <c r="CA338" s="191"/>
      <c r="CB338" s="191"/>
      <c r="CC338" s="191"/>
      <c r="CD338" s="215"/>
      <c r="CE338" s="215"/>
      <c r="CF338" s="191"/>
      <c r="CG338" s="215"/>
      <c r="CH338" s="191"/>
      <c r="CI338" s="215"/>
      <c r="CJ338" s="215"/>
      <c r="CK338" s="191"/>
      <c r="CL338" s="215"/>
      <c r="CM338" s="215"/>
      <c r="CN338" s="215"/>
      <c r="CO338" s="215"/>
      <c r="CP338" s="215"/>
      <c r="CQ338" s="215"/>
      <c r="CR338" s="215"/>
      <c r="CS338" s="215"/>
      <c r="CT338" s="215"/>
    </row>
    <row r="339" ht="24.0" customHeight="1">
      <c r="A339" s="184" t="s">
        <v>423</v>
      </c>
      <c r="B339" s="184" t="s">
        <v>1260</v>
      </c>
      <c r="C339" s="184" t="s">
        <v>663</v>
      </c>
      <c r="D339" s="184" t="s">
        <v>2431</v>
      </c>
      <c r="E339" s="236" t="s">
        <v>744</v>
      </c>
      <c r="F339" s="186" t="s">
        <v>2432</v>
      </c>
      <c r="G339" s="185">
        <v>55.0</v>
      </c>
      <c r="H339" s="189" t="s">
        <v>3373</v>
      </c>
      <c r="I339" s="189" t="s">
        <v>3374</v>
      </c>
      <c r="J339" s="189" t="s">
        <v>3375</v>
      </c>
      <c r="K339" s="189" t="s">
        <v>3376</v>
      </c>
      <c r="L339" s="189" t="s">
        <v>3377</v>
      </c>
      <c r="M339" s="189" t="s">
        <v>3378</v>
      </c>
      <c r="N339" s="189" t="s">
        <v>850</v>
      </c>
      <c r="O339" s="189" t="s">
        <v>784</v>
      </c>
      <c r="P339" s="189" t="s">
        <v>3379</v>
      </c>
      <c r="Q339" s="190"/>
      <c r="R339" s="190"/>
      <c r="S339" s="190"/>
      <c r="T339" s="190"/>
      <c r="U339" s="190"/>
      <c r="V339" s="189" t="s">
        <v>2120</v>
      </c>
      <c r="W339" s="230" t="s">
        <v>2121</v>
      </c>
      <c r="X339" s="245" t="s">
        <v>2122</v>
      </c>
      <c r="Y339" s="189" t="s">
        <v>784</v>
      </c>
      <c r="Z339" s="189" t="s">
        <v>744</v>
      </c>
      <c r="AA339" s="189" t="s">
        <v>757</v>
      </c>
      <c r="AB339" s="191"/>
      <c r="AC339" s="191"/>
      <c r="AD339" s="191"/>
      <c r="AE339" s="191"/>
      <c r="AF339" s="191"/>
      <c r="AG339" s="191"/>
      <c r="AH339" s="191"/>
      <c r="AJ339" s="215"/>
      <c r="AK339" s="215"/>
      <c r="AL339" s="215"/>
      <c r="AM339" s="215"/>
      <c r="AN339" s="215"/>
      <c r="AO339" s="215"/>
      <c r="AP339" s="191"/>
      <c r="AQ339" s="215"/>
      <c r="AR339" s="191"/>
      <c r="AS339" s="215"/>
      <c r="AT339" s="215"/>
      <c r="AU339" s="215"/>
      <c r="AV339" s="215"/>
      <c r="AW339" s="191"/>
      <c r="AX339" s="191"/>
      <c r="AY339" s="191"/>
      <c r="AZ339" s="191"/>
      <c r="BA339" s="191"/>
      <c r="BB339" s="191"/>
      <c r="BC339" s="215"/>
      <c r="BD339" s="215"/>
      <c r="BE339" s="215"/>
      <c r="BF339" s="215"/>
      <c r="BG339" s="191"/>
      <c r="BH339" s="191"/>
      <c r="BI339" s="191"/>
      <c r="BJ339" s="191"/>
      <c r="BK339" s="191"/>
      <c r="BL339" s="191"/>
      <c r="BM339" s="191"/>
      <c r="BN339" s="191"/>
      <c r="BO339" s="215"/>
      <c r="BP339" s="215"/>
      <c r="BQ339" s="215"/>
      <c r="BR339" s="215"/>
      <c r="BS339" s="191"/>
      <c r="BT339" s="191"/>
      <c r="BU339" s="191"/>
      <c r="BV339" s="191"/>
      <c r="BW339" s="191"/>
      <c r="BX339" s="191"/>
      <c r="BY339" s="191"/>
      <c r="BZ339" s="215"/>
      <c r="CA339" s="191"/>
      <c r="CB339" s="191"/>
      <c r="CC339" s="191"/>
      <c r="CD339" s="215"/>
      <c r="CE339" s="215"/>
      <c r="CF339" s="191"/>
      <c r="CG339" s="215"/>
      <c r="CH339" s="191"/>
      <c r="CI339" s="215"/>
      <c r="CJ339" s="215"/>
      <c r="CK339" s="215"/>
      <c r="CL339" s="215"/>
      <c r="CM339" s="215"/>
      <c r="CN339" s="215"/>
      <c r="CO339" s="215"/>
      <c r="CP339" s="215"/>
      <c r="CQ339" s="215"/>
      <c r="CR339" s="215"/>
      <c r="CS339" s="215"/>
      <c r="CT339" s="215"/>
    </row>
    <row r="340" ht="24.0" customHeight="1">
      <c r="A340" s="184" t="s">
        <v>431</v>
      </c>
      <c r="B340" s="184" t="s">
        <v>1260</v>
      </c>
      <c r="C340" s="184" t="s">
        <v>664</v>
      </c>
      <c r="D340" s="184" t="s">
        <v>2431</v>
      </c>
      <c r="E340" s="236" t="s">
        <v>946</v>
      </c>
      <c r="F340" s="186" t="s">
        <v>2432</v>
      </c>
      <c r="G340" s="185">
        <v>56.0</v>
      </c>
      <c r="H340" s="189" t="s">
        <v>3380</v>
      </c>
      <c r="I340" s="189" t="s">
        <v>3381</v>
      </c>
      <c r="J340" s="189" t="s">
        <v>3382</v>
      </c>
      <c r="K340" s="189" t="s">
        <v>969</v>
      </c>
      <c r="L340" s="189" t="s">
        <v>3383</v>
      </c>
      <c r="M340" s="189" t="s">
        <v>3384</v>
      </c>
      <c r="N340" s="189" t="s">
        <v>908</v>
      </c>
      <c r="O340" s="189" t="s">
        <v>764</v>
      </c>
      <c r="P340" s="190"/>
      <c r="Q340" s="190"/>
      <c r="R340" s="190"/>
      <c r="S340" s="190"/>
      <c r="T340" s="190"/>
      <c r="U340" s="190"/>
      <c r="V340" s="189" t="s">
        <v>2863</v>
      </c>
      <c r="W340" s="230" t="s">
        <v>1856</v>
      </c>
      <c r="X340" s="245" t="s">
        <v>1857</v>
      </c>
      <c r="Y340" s="189" t="s">
        <v>764</v>
      </c>
      <c r="Z340" s="189" t="s">
        <v>946</v>
      </c>
      <c r="AA340" s="189" t="s">
        <v>757</v>
      </c>
      <c r="AB340" s="191"/>
      <c r="AC340" s="191"/>
      <c r="AD340" s="191"/>
      <c r="AE340" s="191"/>
      <c r="AF340" s="191"/>
      <c r="AG340" s="191"/>
      <c r="AH340" s="191"/>
      <c r="AJ340" s="215"/>
      <c r="AK340" s="215"/>
      <c r="AL340" s="215"/>
      <c r="AM340" s="215"/>
      <c r="AN340" s="215"/>
      <c r="AO340" s="215"/>
      <c r="AP340" s="191"/>
      <c r="AQ340" s="215"/>
      <c r="AR340" s="191"/>
      <c r="AS340" s="215"/>
      <c r="AT340" s="215"/>
      <c r="AU340" s="215"/>
      <c r="AV340" s="215"/>
      <c r="AW340" s="191"/>
      <c r="AX340" s="191"/>
      <c r="AY340" s="191"/>
      <c r="AZ340" s="191"/>
      <c r="BA340" s="191"/>
      <c r="BB340" s="191"/>
      <c r="BC340" s="191"/>
      <c r="BD340" s="191"/>
      <c r="BE340" s="191"/>
      <c r="BF340" s="191"/>
      <c r="BG340" s="191"/>
      <c r="BH340" s="191"/>
      <c r="BI340" s="215"/>
      <c r="BJ340" s="215"/>
      <c r="BK340" s="215"/>
      <c r="BL340" s="215"/>
      <c r="BM340" s="215"/>
      <c r="BN340" s="215"/>
      <c r="BO340" s="215"/>
      <c r="BP340" s="215"/>
      <c r="BQ340" s="215"/>
      <c r="BR340" s="215"/>
      <c r="BS340" s="191"/>
      <c r="BT340" s="191"/>
      <c r="BU340" s="191"/>
      <c r="BV340" s="191"/>
      <c r="BW340" s="191"/>
      <c r="BX340" s="191"/>
      <c r="BY340" s="191"/>
      <c r="BZ340" s="191"/>
      <c r="CA340" s="191"/>
      <c r="CB340" s="191"/>
      <c r="CC340" s="191"/>
      <c r="CD340" s="215"/>
      <c r="CE340" s="215"/>
      <c r="CF340" s="191"/>
      <c r="CG340" s="215"/>
      <c r="CH340" s="191"/>
      <c r="CI340" s="215"/>
      <c r="CJ340" s="215"/>
      <c r="CK340" s="191"/>
      <c r="CL340" s="215"/>
      <c r="CM340" s="215"/>
      <c r="CN340" s="215"/>
      <c r="CO340" s="215"/>
      <c r="CP340" s="215"/>
      <c r="CQ340" s="215"/>
      <c r="CR340" s="215"/>
      <c r="CS340" s="215"/>
      <c r="CT340" s="215"/>
    </row>
    <row r="341" ht="24.0" customHeight="1">
      <c r="A341" s="184" t="s">
        <v>435</v>
      </c>
      <c r="B341" s="184" t="s">
        <v>1260</v>
      </c>
      <c r="C341" s="184" t="s">
        <v>664</v>
      </c>
      <c r="D341" s="184" t="s">
        <v>2431</v>
      </c>
      <c r="E341" s="236" t="s">
        <v>946</v>
      </c>
      <c r="F341" s="186" t="s">
        <v>2432</v>
      </c>
      <c r="G341" s="185">
        <v>57.0</v>
      </c>
      <c r="H341" s="189" t="s">
        <v>2322</v>
      </c>
      <c r="I341" s="189" t="s">
        <v>3385</v>
      </c>
      <c r="J341" s="189" t="s">
        <v>3386</v>
      </c>
      <c r="K341" s="189" t="s">
        <v>3387</v>
      </c>
      <c r="L341" s="189" t="s">
        <v>3388</v>
      </c>
      <c r="M341" s="189" t="s">
        <v>3389</v>
      </c>
      <c r="N341" s="189" t="s">
        <v>908</v>
      </c>
      <c r="O341" s="189" t="s">
        <v>764</v>
      </c>
      <c r="P341" s="190"/>
      <c r="Q341" s="190"/>
      <c r="R341" s="190"/>
      <c r="S341" s="190"/>
      <c r="T341" s="190"/>
      <c r="U341" s="190"/>
      <c r="V341" s="189" t="s">
        <v>1492</v>
      </c>
      <c r="W341" s="230" t="s">
        <v>1493</v>
      </c>
      <c r="X341" s="245" t="s">
        <v>1494</v>
      </c>
      <c r="Y341" s="189" t="s">
        <v>764</v>
      </c>
      <c r="Z341" s="189" t="s">
        <v>946</v>
      </c>
      <c r="AA341" s="189" t="s">
        <v>757</v>
      </c>
      <c r="AB341" s="191"/>
      <c r="AC341" s="191"/>
      <c r="AD341" s="191"/>
      <c r="AE341" s="191"/>
      <c r="AF341" s="191"/>
      <c r="AG341" s="191"/>
      <c r="AH341" s="191"/>
      <c r="AJ341" s="215"/>
      <c r="AK341" s="215"/>
      <c r="AL341" s="215"/>
      <c r="AM341" s="215"/>
      <c r="AN341" s="215"/>
      <c r="AO341" s="215"/>
      <c r="AP341" s="191"/>
      <c r="AQ341" s="191"/>
      <c r="AR341" s="191"/>
      <c r="AS341" s="215"/>
      <c r="AT341" s="215"/>
      <c r="AU341" s="215"/>
      <c r="AV341" s="215"/>
      <c r="AW341" s="191"/>
      <c r="AX341" s="191"/>
      <c r="AY341" s="191"/>
      <c r="AZ341" s="191"/>
      <c r="BA341" s="191"/>
      <c r="BB341" s="191"/>
      <c r="BC341" s="215"/>
      <c r="BD341" s="215"/>
      <c r="BE341" s="215"/>
      <c r="BF341" s="215"/>
      <c r="BG341" s="191"/>
      <c r="BH341" s="191"/>
      <c r="BI341" s="215"/>
      <c r="BJ341" s="215"/>
      <c r="BK341" s="215"/>
      <c r="BL341" s="215"/>
      <c r="BM341" s="215"/>
      <c r="BN341" s="215"/>
      <c r="BO341" s="215"/>
      <c r="BP341" s="215"/>
      <c r="BQ341" s="215"/>
      <c r="BR341" s="215"/>
      <c r="BS341" s="191"/>
      <c r="BT341" s="191"/>
      <c r="BU341" s="191"/>
      <c r="BV341" s="191"/>
      <c r="BW341" s="191"/>
      <c r="BX341" s="191"/>
      <c r="BY341" s="215"/>
      <c r="BZ341" s="191"/>
      <c r="CA341" s="191"/>
      <c r="CB341" s="191"/>
      <c r="CC341" s="191"/>
      <c r="CD341" s="215"/>
      <c r="CE341" s="191"/>
      <c r="CF341" s="191"/>
      <c r="CG341" s="215"/>
      <c r="CH341" s="191"/>
      <c r="CI341" s="215"/>
      <c r="CJ341" s="215"/>
      <c r="CK341" s="215"/>
      <c r="CL341" s="215"/>
      <c r="CM341" s="215"/>
      <c r="CN341" s="215"/>
      <c r="CO341" s="215"/>
      <c r="CP341" s="215"/>
      <c r="CQ341" s="215"/>
      <c r="CR341" s="215"/>
      <c r="CS341" s="215"/>
      <c r="CT341" s="215"/>
    </row>
    <row r="342" ht="24.0" customHeight="1">
      <c r="A342" s="184" t="s">
        <v>433</v>
      </c>
      <c r="B342" s="184" t="s">
        <v>1260</v>
      </c>
      <c r="C342" s="184" t="s">
        <v>664</v>
      </c>
      <c r="D342" s="184" t="s">
        <v>2431</v>
      </c>
      <c r="E342" s="236" t="s">
        <v>946</v>
      </c>
      <c r="F342" s="186" t="s">
        <v>2432</v>
      </c>
      <c r="G342" s="185">
        <v>58.0</v>
      </c>
      <c r="H342" s="189" t="s">
        <v>1425</v>
      </c>
      <c r="I342" s="189" t="s">
        <v>3390</v>
      </c>
      <c r="J342" s="189" t="s">
        <v>3391</v>
      </c>
      <c r="K342" s="189" t="s">
        <v>3392</v>
      </c>
      <c r="L342" s="189" t="s">
        <v>3393</v>
      </c>
      <c r="M342" s="189" t="s">
        <v>3394</v>
      </c>
      <c r="N342" s="189" t="s">
        <v>908</v>
      </c>
      <c r="O342" s="189" t="s">
        <v>764</v>
      </c>
      <c r="P342" s="190"/>
      <c r="Q342" s="190"/>
      <c r="R342" s="190"/>
      <c r="S342" s="190"/>
      <c r="T342" s="190"/>
      <c r="U342" s="190"/>
      <c r="V342" s="189" t="s">
        <v>963</v>
      </c>
      <c r="W342" s="230" t="s">
        <v>964</v>
      </c>
      <c r="X342" s="245" t="s">
        <v>965</v>
      </c>
      <c r="Y342" s="189" t="s">
        <v>764</v>
      </c>
      <c r="Z342" s="189" t="s">
        <v>946</v>
      </c>
      <c r="AA342" s="189" t="s">
        <v>757</v>
      </c>
      <c r="AB342" s="191"/>
      <c r="AC342" s="191"/>
      <c r="AD342" s="191"/>
      <c r="AE342" s="191"/>
      <c r="AF342" s="191"/>
      <c r="AG342" s="191"/>
      <c r="AH342" s="191"/>
      <c r="AJ342" s="215"/>
      <c r="AK342" s="215"/>
      <c r="AL342" s="215"/>
      <c r="AM342" s="215"/>
      <c r="AN342" s="215"/>
      <c r="AO342" s="215"/>
      <c r="AP342" s="191"/>
      <c r="AQ342" s="215"/>
      <c r="AR342" s="191"/>
      <c r="AS342" s="215"/>
      <c r="AT342" s="215"/>
      <c r="AU342" s="215"/>
      <c r="AV342" s="215"/>
      <c r="AW342" s="191"/>
      <c r="AX342" s="191"/>
      <c r="AY342" s="191"/>
      <c r="AZ342" s="191"/>
      <c r="BA342" s="191"/>
      <c r="BB342" s="191"/>
      <c r="BC342" s="215"/>
      <c r="BD342" s="215"/>
      <c r="BE342" s="215"/>
      <c r="BF342" s="215"/>
      <c r="BG342" s="215"/>
      <c r="BH342" s="215"/>
      <c r="BI342" s="215"/>
      <c r="BJ342" s="215"/>
      <c r="BK342" s="215"/>
      <c r="BL342" s="215"/>
      <c r="BM342" s="215"/>
      <c r="BN342" s="215"/>
      <c r="BO342" s="215"/>
      <c r="BP342" s="215"/>
      <c r="BQ342" s="215"/>
      <c r="BR342" s="215"/>
      <c r="BS342" s="191"/>
      <c r="BT342" s="191"/>
      <c r="BU342" s="191"/>
      <c r="BV342" s="191"/>
      <c r="BW342" s="191"/>
      <c r="BX342" s="191"/>
      <c r="BY342" s="215"/>
      <c r="BZ342" s="215"/>
      <c r="CA342" s="191"/>
      <c r="CB342" s="191"/>
      <c r="CC342" s="191"/>
      <c r="CD342" s="215"/>
      <c r="CE342" s="215"/>
      <c r="CF342" s="191"/>
      <c r="CG342" s="215"/>
      <c r="CH342" s="191"/>
      <c r="CI342" s="215"/>
      <c r="CJ342" s="215"/>
      <c r="CK342" s="191"/>
      <c r="CL342" s="215"/>
      <c r="CM342" s="215"/>
      <c r="CN342" s="215"/>
      <c r="CO342" s="215"/>
      <c r="CP342" s="215"/>
      <c r="CQ342" s="215"/>
      <c r="CR342" s="215"/>
      <c r="CS342" s="215"/>
      <c r="CT342" s="215"/>
    </row>
    <row r="343" ht="24.0" customHeight="1">
      <c r="A343" s="184" t="s">
        <v>432</v>
      </c>
      <c r="B343" s="184" t="s">
        <v>1260</v>
      </c>
      <c r="C343" s="184" t="s">
        <v>664</v>
      </c>
      <c r="D343" s="184" t="s">
        <v>2431</v>
      </c>
      <c r="E343" s="236" t="s">
        <v>946</v>
      </c>
      <c r="F343" s="186" t="s">
        <v>2432</v>
      </c>
      <c r="G343" s="185">
        <v>59.0</v>
      </c>
      <c r="H343" s="189" t="s">
        <v>3395</v>
      </c>
      <c r="I343" s="189" t="s">
        <v>3396</v>
      </c>
      <c r="J343" s="189" t="s">
        <v>3397</v>
      </c>
      <c r="K343" s="189" t="s">
        <v>3398</v>
      </c>
      <c r="L343" s="189" t="s">
        <v>3399</v>
      </c>
      <c r="M343" s="189" t="s">
        <v>3400</v>
      </c>
      <c r="N343" s="189" t="s">
        <v>850</v>
      </c>
      <c r="O343" s="189" t="s">
        <v>764</v>
      </c>
      <c r="P343" s="190"/>
      <c r="Q343" s="190"/>
      <c r="R343" s="190"/>
      <c r="S343" s="190"/>
      <c r="T343" s="190"/>
      <c r="U343" s="190"/>
      <c r="V343" s="189" t="s">
        <v>2863</v>
      </c>
      <c r="W343" s="230" t="s">
        <v>1856</v>
      </c>
      <c r="X343" s="245" t="s">
        <v>1857</v>
      </c>
      <c r="Y343" s="189" t="s">
        <v>764</v>
      </c>
      <c r="Z343" s="189" t="s">
        <v>946</v>
      </c>
      <c r="AA343" s="189" t="s">
        <v>757</v>
      </c>
      <c r="AB343" s="191"/>
      <c r="AC343" s="191"/>
      <c r="AD343" s="191"/>
      <c r="AE343" s="191"/>
      <c r="AF343" s="191"/>
      <c r="AG343" s="191"/>
      <c r="AH343" s="191"/>
      <c r="AJ343" s="215"/>
      <c r="AK343" s="215"/>
      <c r="AL343" s="215"/>
      <c r="AM343" s="215"/>
      <c r="AN343" s="215"/>
      <c r="AO343" s="215"/>
      <c r="AP343" s="191"/>
      <c r="AQ343" s="215"/>
      <c r="AR343" s="191"/>
      <c r="AS343" s="215"/>
      <c r="AT343" s="215"/>
      <c r="AU343" s="215"/>
      <c r="AV343" s="215"/>
      <c r="AW343" s="191"/>
      <c r="AX343" s="191"/>
      <c r="AY343" s="191"/>
      <c r="AZ343" s="191"/>
      <c r="BA343" s="191"/>
      <c r="BB343" s="191"/>
      <c r="BC343" s="215"/>
      <c r="BD343" s="215"/>
      <c r="BE343" s="215"/>
      <c r="BF343" s="215"/>
      <c r="BG343" s="215"/>
      <c r="BH343" s="215"/>
      <c r="BI343" s="215"/>
      <c r="BJ343" s="215"/>
      <c r="BK343" s="215"/>
      <c r="BL343" s="215"/>
      <c r="BM343" s="215"/>
      <c r="BN343" s="215"/>
      <c r="BO343" s="215"/>
      <c r="BP343" s="215"/>
      <c r="BQ343" s="215"/>
      <c r="BR343" s="215"/>
      <c r="BS343" s="191"/>
      <c r="BT343" s="191"/>
      <c r="BU343" s="191"/>
      <c r="BV343" s="191"/>
      <c r="BW343" s="191"/>
      <c r="BX343" s="191"/>
      <c r="BY343" s="191"/>
      <c r="BZ343" s="191"/>
      <c r="CA343" s="191"/>
      <c r="CB343" s="191"/>
      <c r="CC343" s="191"/>
      <c r="CD343" s="215"/>
      <c r="CE343" s="215"/>
      <c r="CF343" s="191"/>
      <c r="CG343" s="215"/>
      <c r="CH343" s="191"/>
      <c r="CI343" s="215"/>
      <c r="CJ343" s="215"/>
      <c r="CK343" s="191"/>
      <c r="CL343" s="240"/>
      <c r="CM343" s="215"/>
      <c r="CN343" s="215"/>
      <c r="CO343" s="215"/>
      <c r="CP343" s="215"/>
      <c r="CQ343" s="215"/>
      <c r="CR343" s="215"/>
      <c r="CS343" s="215"/>
      <c r="CT343" s="215"/>
    </row>
    <row r="344" ht="24.0" customHeight="1">
      <c r="A344" s="184" t="s">
        <v>430</v>
      </c>
      <c r="B344" s="184" t="s">
        <v>1260</v>
      </c>
      <c r="C344" s="184" t="s">
        <v>664</v>
      </c>
      <c r="D344" s="184" t="s">
        <v>2431</v>
      </c>
      <c r="E344" s="236" t="s">
        <v>946</v>
      </c>
      <c r="F344" s="186" t="s">
        <v>2432</v>
      </c>
      <c r="G344" s="185">
        <v>60.0</v>
      </c>
      <c r="H344" s="189" t="s">
        <v>1875</v>
      </c>
      <c r="I344" s="189" t="s">
        <v>3401</v>
      </c>
      <c r="J344" s="189" t="s">
        <v>3402</v>
      </c>
      <c r="K344" s="189" t="s">
        <v>3403</v>
      </c>
      <c r="L344" s="185" t="s">
        <v>3404</v>
      </c>
      <c r="M344" s="189" t="s">
        <v>3405</v>
      </c>
      <c r="N344" s="189" t="s">
        <v>850</v>
      </c>
      <c r="O344" s="189" t="s">
        <v>784</v>
      </c>
      <c r="P344" s="190"/>
      <c r="Q344" s="190"/>
      <c r="R344" s="190"/>
      <c r="S344" s="190"/>
      <c r="T344" s="190"/>
      <c r="U344" s="190"/>
      <c r="V344" s="189" t="s">
        <v>3406</v>
      </c>
      <c r="W344" s="230" t="s">
        <v>1968</v>
      </c>
      <c r="X344" s="245" t="s">
        <v>1969</v>
      </c>
      <c r="Y344" s="189" t="s">
        <v>784</v>
      </c>
      <c r="Z344" s="189" t="s">
        <v>946</v>
      </c>
      <c r="AA344" s="189" t="s">
        <v>757</v>
      </c>
      <c r="AB344" s="191"/>
      <c r="AC344" s="191"/>
      <c r="AD344" s="191"/>
      <c r="AE344" s="191"/>
      <c r="AF344" s="191"/>
      <c r="AG344" s="191"/>
      <c r="AH344" s="191"/>
      <c r="AJ344" s="215"/>
      <c r="AK344" s="215"/>
      <c r="AL344" s="215"/>
      <c r="AM344" s="215"/>
      <c r="AN344" s="215"/>
      <c r="AO344" s="215"/>
      <c r="AP344" s="191"/>
      <c r="AQ344" s="215"/>
      <c r="AR344" s="191"/>
      <c r="AS344" s="215"/>
      <c r="AT344" s="215"/>
      <c r="AU344" s="215"/>
      <c r="AV344" s="215"/>
      <c r="AW344" s="191"/>
      <c r="AX344" s="191"/>
      <c r="AY344" s="191"/>
      <c r="AZ344" s="191"/>
      <c r="BA344" s="191"/>
      <c r="BB344" s="191"/>
      <c r="BC344" s="191"/>
      <c r="BD344" s="191"/>
      <c r="BE344" s="191"/>
      <c r="BF344" s="191"/>
      <c r="BG344" s="215"/>
      <c r="BH344" s="215"/>
      <c r="BI344" s="215"/>
      <c r="BJ344" s="215"/>
      <c r="BK344" s="215"/>
      <c r="BL344" s="215"/>
      <c r="BM344" s="215"/>
      <c r="BN344" s="215"/>
      <c r="BO344" s="215"/>
      <c r="BP344" s="215"/>
      <c r="BQ344" s="215"/>
      <c r="BR344" s="215"/>
      <c r="BS344" s="191"/>
      <c r="BT344" s="191"/>
      <c r="BU344" s="191"/>
      <c r="BV344" s="191"/>
      <c r="BW344" s="191"/>
      <c r="BX344" s="191"/>
      <c r="BY344" s="191"/>
      <c r="BZ344" s="191"/>
      <c r="CA344" s="191"/>
      <c r="CB344" s="191"/>
      <c r="CC344" s="191"/>
      <c r="CD344" s="215"/>
      <c r="CE344" s="215"/>
      <c r="CF344" s="191"/>
      <c r="CG344" s="215"/>
      <c r="CH344" s="191"/>
      <c r="CI344" s="215"/>
      <c r="CJ344" s="215"/>
      <c r="CK344" s="191"/>
      <c r="CL344" s="240"/>
      <c r="CM344" s="215"/>
      <c r="CN344" s="215"/>
      <c r="CO344" s="215"/>
      <c r="CP344" s="215"/>
      <c r="CQ344" s="215"/>
      <c r="CR344" s="215"/>
      <c r="CS344" s="215"/>
      <c r="CT344" s="215"/>
    </row>
    <row r="345" ht="24.0" customHeight="1">
      <c r="A345" s="184" t="s">
        <v>437</v>
      </c>
      <c r="B345" s="184" t="s">
        <v>1260</v>
      </c>
      <c r="C345" s="184" t="s">
        <v>664</v>
      </c>
      <c r="D345" s="184" t="s">
        <v>2431</v>
      </c>
      <c r="E345" s="236" t="s">
        <v>946</v>
      </c>
      <c r="F345" s="186" t="s">
        <v>2432</v>
      </c>
      <c r="G345" s="185">
        <v>61.0</v>
      </c>
      <c r="H345" s="189" t="s">
        <v>3407</v>
      </c>
      <c r="I345" s="189" t="s">
        <v>3408</v>
      </c>
      <c r="J345" s="189" t="s">
        <v>3409</v>
      </c>
      <c r="K345" s="189" t="s">
        <v>3410</v>
      </c>
      <c r="L345" s="189" t="s">
        <v>3411</v>
      </c>
      <c r="M345" s="189" t="s">
        <v>3412</v>
      </c>
      <c r="N345" s="189" t="s">
        <v>850</v>
      </c>
      <c r="O345" s="189" t="s">
        <v>764</v>
      </c>
      <c r="P345" s="190"/>
      <c r="Q345" s="190"/>
      <c r="R345" s="190"/>
      <c r="S345" s="190"/>
      <c r="T345" s="190"/>
      <c r="U345" s="190"/>
      <c r="V345" s="189" t="s">
        <v>3413</v>
      </c>
      <c r="W345" s="230" t="s">
        <v>3414</v>
      </c>
      <c r="X345" s="245" t="s">
        <v>3415</v>
      </c>
      <c r="Y345" s="189" t="s">
        <v>764</v>
      </c>
      <c r="Z345" s="189" t="s">
        <v>946</v>
      </c>
      <c r="AA345" s="189" t="s">
        <v>2583</v>
      </c>
      <c r="AB345" s="191"/>
      <c r="AC345" s="191"/>
      <c r="AD345" s="191"/>
      <c r="AE345" s="191"/>
      <c r="AF345" s="191"/>
      <c r="AG345" s="191"/>
      <c r="AH345" s="191"/>
      <c r="AJ345" s="215"/>
      <c r="AK345" s="215"/>
      <c r="AL345" s="215"/>
      <c r="AM345" s="215"/>
      <c r="AN345" s="215"/>
      <c r="AO345" s="215"/>
      <c r="AP345" s="191"/>
      <c r="AQ345" s="215"/>
      <c r="AR345" s="191"/>
      <c r="AS345" s="215"/>
      <c r="AT345" s="215"/>
      <c r="AU345" s="215"/>
      <c r="AV345" s="215"/>
      <c r="AW345" s="191"/>
      <c r="AX345" s="191"/>
      <c r="AY345" s="191"/>
      <c r="AZ345" s="191"/>
      <c r="BA345" s="191"/>
      <c r="BB345" s="191"/>
      <c r="BC345" s="191"/>
      <c r="BD345" s="191"/>
      <c r="BE345" s="191"/>
      <c r="BF345" s="191"/>
      <c r="BG345" s="215"/>
      <c r="BH345" s="215"/>
      <c r="BI345" s="215"/>
      <c r="BJ345" s="215"/>
      <c r="BK345" s="215"/>
      <c r="BL345" s="215"/>
      <c r="BM345" s="215"/>
      <c r="BN345" s="215"/>
      <c r="BO345" s="215"/>
      <c r="BP345" s="215"/>
      <c r="BQ345" s="215"/>
      <c r="BR345" s="215"/>
      <c r="BS345" s="191"/>
      <c r="BT345" s="191"/>
      <c r="BU345" s="191"/>
      <c r="BV345" s="191"/>
      <c r="BW345" s="191"/>
      <c r="BX345" s="191"/>
      <c r="BY345" s="191"/>
      <c r="BZ345" s="215"/>
      <c r="CA345" s="191"/>
      <c r="CB345" s="191"/>
      <c r="CC345" s="191"/>
      <c r="CD345" s="215"/>
      <c r="CE345" s="215"/>
      <c r="CF345" s="191"/>
      <c r="CG345" s="215"/>
      <c r="CH345" s="191"/>
      <c r="CI345" s="215"/>
      <c r="CJ345" s="191"/>
      <c r="CK345" s="215"/>
      <c r="CL345" s="240"/>
      <c r="CM345" s="215"/>
      <c r="CN345" s="215"/>
      <c r="CO345" s="215"/>
      <c r="CP345" s="215"/>
      <c r="CQ345" s="215"/>
      <c r="CR345" s="215"/>
      <c r="CS345" s="215"/>
      <c r="CT345" s="215"/>
    </row>
    <row r="346" ht="24.0" customHeight="1">
      <c r="A346" s="184" t="s">
        <v>436</v>
      </c>
      <c r="B346" s="184" t="s">
        <v>1260</v>
      </c>
      <c r="C346" s="184" t="s">
        <v>664</v>
      </c>
      <c r="D346" s="184" t="s">
        <v>2431</v>
      </c>
      <c r="E346" s="186" t="s">
        <v>946</v>
      </c>
      <c r="F346" s="186" t="s">
        <v>2432</v>
      </c>
      <c r="G346" s="185">
        <v>62.0</v>
      </c>
      <c r="H346" s="189" t="s">
        <v>1868</v>
      </c>
      <c r="I346" s="185" t="s">
        <v>3416</v>
      </c>
      <c r="J346" s="185" t="s">
        <v>3417</v>
      </c>
      <c r="K346" s="189" t="s">
        <v>3418</v>
      </c>
      <c r="L346" s="189" t="s">
        <v>3419</v>
      </c>
      <c r="M346" s="210" t="s">
        <v>3420</v>
      </c>
      <c r="N346" s="189" t="s">
        <v>850</v>
      </c>
      <c r="O346" s="185" t="s">
        <v>764</v>
      </c>
      <c r="P346" s="210"/>
      <c r="Q346" s="210"/>
      <c r="R346" s="210"/>
      <c r="S346" s="190"/>
      <c r="T346" s="190"/>
      <c r="U346" s="190"/>
      <c r="V346" s="185" t="s">
        <v>3421</v>
      </c>
      <c r="W346" s="230" t="s">
        <v>3422</v>
      </c>
      <c r="X346" s="245" t="s">
        <v>3423</v>
      </c>
      <c r="Y346" s="189" t="s">
        <v>1376</v>
      </c>
      <c r="Z346" s="189" t="s">
        <v>946</v>
      </c>
      <c r="AA346" s="189" t="s">
        <v>797</v>
      </c>
      <c r="AB346" s="191"/>
      <c r="AC346" s="191"/>
      <c r="AE346" s="231"/>
      <c r="AF346" s="231"/>
      <c r="AG346" s="231"/>
      <c r="AH346" s="231"/>
      <c r="AJ346" s="231"/>
      <c r="AK346" s="232"/>
      <c r="AL346" s="231"/>
      <c r="AM346" s="232"/>
      <c r="AN346" s="231"/>
      <c r="AO346" s="232"/>
      <c r="AP346" s="232"/>
      <c r="AQ346" s="232"/>
      <c r="AR346" s="232"/>
      <c r="AS346" s="232"/>
      <c r="AT346" s="232"/>
      <c r="AU346" s="232"/>
      <c r="AV346" s="232"/>
      <c r="AW346" s="191"/>
      <c r="AX346" s="191"/>
      <c r="AY346" s="231"/>
      <c r="AZ346" s="231"/>
      <c r="BA346" s="231"/>
      <c r="BB346" s="231"/>
      <c r="BC346" s="231"/>
      <c r="BD346" s="231"/>
      <c r="BE346" s="231"/>
      <c r="BF346" s="231"/>
      <c r="BG346" s="231"/>
      <c r="BH346" s="231"/>
      <c r="BI346" s="231"/>
      <c r="BJ346" s="231"/>
      <c r="BK346" s="231"/>
      <c r="BL346" s="231"/>
      <c r="BM346" s="231"/>
      <c r="BN346" s="231"/>
      <c r="BO346" s="232"/>
      <c r="BP346" s="232"/>
      <c r="BQ346" s="232"/>
      <c r="BR346" s="232"/>
      <c r="BS346" s="191"/>
      <c r="BT346" s="231"/>
      <c r="BU346" s="231"/>
      <c r="BV346" s="231"/>
      <c r="BW346" s="231"/>
      <c r="BX346" s="231"/>
      <c r="BY346" s="231"/>
      <c r="BZ346" s="231"/>
      <c r="CA346" s="231"/>
      <c r="CB346" s="231"/>
      <c r="CC346" s="231"/>
      <c r="CD346" s="231"/>
      <c r="CE346" s="232"/>
      <c r="CF346" s="232"/>
      <c r="CG346" s="232"/>
      <c r="CH346" s="231"/>
      <c r="CI346" s="232"/>
      <c r="CJ346" s="191"/>
      <c r="CK346" s="231"/>
      <c r="CL346" s="233"/>
      <c r="CM346" s="232"/>
      <c r="CN346" s="232"/>
      <c r="CO346" s="232"/>
      <c r="CP346" s="232"/>
      <c r="CQ346" s="232"/>
      <c r="CR346" s="232"/>
      <c r="CS346" s="232"/>
      <c r="CT346" s="232"/>
    </row>
    <row r="347" ht="24.0" customHeight="1">
      <c r="A347" s="184" t="s">
        <v>434</v>
      </c>
      <c r="B347" s="184" t="s">
        <v>1260</v>
      </c>
      <c r="C347" s="184" t="s">
        <v>664</v>
      </c>
      <c r="D347" s="184" t="s">
        <v>2431</v>
      </c>
      <c r="E347" s="186" t="s">
        <v>946</v>
      </c>
      <c r="F347" s="186" t="s">
        <v>2432</v>
      </c>
      <c r="G347" s="185">
        <v>63.0</v>
      </c>
      <c r="H347" s="185" t="s">
        <v>3424</v>
      </c>
      <c r="I347" s="185" t="s">
        <v>3425</v>
      </c>
      <c r="J347" s="185" t="s">
        <v>3426</v>
      </c>
      <c r="K347" s="185" t="s">
        <v>3427</v>
      </c>
      <c r="L347" s="185" t="s">
        <v>3428</v>
      </c>
      <c r="M347" s="185" t="s">
        <v>3429</v>
      </c>
      <c r="N347" s="185" t="s">
        <v>850</v>
      </c>
      <c r="O347" s="185" t="s">
        <v>784</v>
      </c>
      <c r="P347" s="210"/>
      <c r="Q347" s="190"/>
      <c r="R347" s="190"/>
      <c r="S347" s="190"/>
      <c r="T347" s="190"/>
      <c r="U347" s="210"/>
      <c r="V347" s="185" t="s">
        <v>1967</v>
      </c>
      <c r="W347" s="230" t="s">
        <v>1968</v>
      </c>
      <c r="X347" s="245" t="s">
        <v>1969</v>
      </c>
      <c r="Y347" s="185" t="s">
        <v>784</v>
      </c>
      <c r="Z347" s="185" t="s">
        <v>946</v>
      </c>
      <c r="AA347" s="189" t="s">
        <v>757</v>
      </c>
      <c r="AB347" s="231"/>
      <c r="AC347" s="231"/>
      <c r="AD347" s="231"/>
      <c r="AE347" s="231"/>
      <c r="AF347" s="231"/>
      <c r="AG347" s="231"/>
      <c r="AH347" s="231"/>
      <c r="AJ347" s="231"/>
      <c r="AK347" s="232"/>
      <c r="AL347" s="231"/>
      <c r="AM347" s="232"/>
      <c r="AN347" s="231"/>
      <c r="AO347" s="232"/>
      <c r="AP347" s="232"/>
      <c r="AQ347" s="232"/>
      <c r="AR347" s="232"/>
      <c r="AS347" s="232"/>
      <c r="AT347" s="232"/>
      <c r="AU347" s="232"/>
      <c r="AV347" s="232"/>
      <c r="AW347" s="231"/>
      <c r="AX347" s="231"/>
      <c r="AY347" s="231"/>
      <c r="AZ347" s="231"/>
      <c r="BA347" s="231"/>
      <c r="BB347" s="231"/>
      <c r="BC347" s="232"/>
      <c r="BD347" s="232"/>
      <c r="BE347" s="232"/>
      <c r="BF347" s="232"/>
      <c r="BG347" s="231"/>
      <c r="BH347" s="231"/>
      <c r="BI347" s="231"/>
      <c r="BJ347" s="231"/>
      <c r="BK347" s="231"/>
      <c r="BL347" s="231"/>
      <c r="BM347" s="231"/>
      <c r="BN347" s="231"/>
      <c r="BO347" s="232"/>
      <c r="BP347" s="232"/>
      <c r="BQ347" s="232"/>
      <c r="BR347" s="232"/>
      <c r="BS347" s="231"/>
      <c r="BT347" s="231"/>
      <c r="BU347" s="231"/>
      <c r="BV347" s="231"/>
      <c r="BW347" s="231"/>
      <c r="BX347" s="231"/>
      <c r="BY347" s="231"/>
      <c r="BZ347" s="231"/>
      <c r="CA347" s="231"/>
      <c r="CB347" s="231"/>
      <c r="CC347" s="231"/>
      <c r="CD347" s="231"/>
      <c r="CE347" s="232"/>
      <c r="CF347" s="232"/>
      <c r="CG347" s="232"/>
      <c r="CH347" s="231"/>
      <c r="CI347" s="232"/>
      <c r="CJ347" s="232"/>
      <c r="CK347" s="232"/>
      <c r="CL347" s="232"/>
      <c r="CM347" s="232"/>
      <c r="CN347" s="232"/>
      <c r="CO347" s="232"/>
      <c r="CP347" s="232"/>
      <c r="CQ347" s="232"/>
      <c r="CR347" s="232"/>
      <c r="CS347" s="232"/>
      <c r="CT347" s="232"/>
    </row>
    <row r="348" ht="24.0" customHeight="1">
      <c r="A348" s="184" t="s">
        <v>371</v>
      </c>
      <c r="B348" s="184" t="s">
        <v>1260</v>
      </c>
      <c r="C348" s="184" t="s">
        <v>665</v>
      </c>
      <c r="D348" s="184" t="s">
        <v>2431</v>
      </c>
      <c r="E348" s="186" t="s">
        <v>806</v>
      </c>
      <c r="F348" s="186" t="s">
        <v>2432</v>
      </c>
      <c r="G348" s="185">
        <v>64.0</v>
      </c>
      <c r="H348" s="185" t="s">
        <v>3430</v>
      </c>
      <c r="I348" s="185" t="s">
        <v>3431</v>
      </c>
      <c r="J348" s="185" t="s">
        <v>3432</v>
      </c>
      <c r="K348" s="185" t="s">
        <v>3433</v>
      </c>
      <c r="L348" s="185" t="s">
        <v>3434</v>
      </c>
      <c r="M348" s="185" t="s">
        <v>3435</v>
      </c>
      <c r="N348" s="185" t="s">
        <v>908</v>
      </c>
      <c r="O348" s="189" t="s">
        <v>773</v>
      </c>
      <c r="P348" s="190"/>
      <c r="Q348" s="190"/>
      <c r="R348" s="190"/>
      <c r="S348" s="190"/>
      <c r="T348" s="190"/>
      <c r="U348" s="210"/>
      <c r="V348" s="185" t="s">
        <v>3436</v>
      </c>
      <c r="W348" s="230" t="s">
        <v>1160</v>
      </c>
      <c r="X348" s="245" t="s">
        <v>3437</v>
      </c>
      <c r="Y348" s="185" t="s">
        <v>773</v>
      </c>
      <c r="Z348" s="185" t="s">
        <v>806</v>
      </c>
      <c r="AA348" s="189" t="s">
        <v>797</v>
      </c>
      <c r="AB348" s="231"/>
      <c r="AC348" s="231"/>
      <c r="AD348" s="231"/>
      <c r="AE348" s="231"/>
      <c r="AF348" s="231"/>
      <c r="AG348" s="231"/>
      <c r="AH348" s="231"/>
      <c r="AJ348" s="231"/>
      <c r="AK348" s="232"/>
      <c r="AL348" s="231"/>
      <c r="AM348" s="232"/>
      <c r="AN348" s="231"/>
      <c r="AO348" s="232"/>
      <c r="AP348" s="232"/>
      <c r="AQ348" s="232"/>
      <c r="AR348" s="232"/>
      <c r="AS348" s="232"/>
      <c r="AT348" s="232"/>
      <c r="AU348" s="232"/>
      <c r="AV348" s="232"/>
      <c r="AW348" s="231"/>
      <c r="AX348" s="231"/>
      <c r="AY348" s="231"/>
      <c r="AZ348" s="231"/>
      <c r="BA348" s="231"/>
      <c r="BB348" s="231"/>
      <c r="BC348" s="232"/>
      <c r="BD348" s="232"/>
      <c r="BE348" s="232"/>
      <c r="BF348" s="232"/>
      <c r="BG348" s="232"/>
      <c r="BH348" s="232"/>
      <c r="BI348" s="232"/>
      <c r="BJ348" s="232"/>
      <c r="BK348" s="232"/>
      <c r="BL348" s="232"/>
      <c r="BM348" s="232"/>
      <c r="BN348" s="232"/>
      <c r="BO348" s="232"/>
      <c r="BP348" s="232"/>
      <c r="BQ348" s="232"/>
      <c r="BR348" s="232"/>
      <c r="BS348" s="231"/>
      <c r="BT348" s="231"/>
      <c r="BU348" s="231"/>
      <c r="BV348" s="231"/>
      <c r="BW348" s="231"/>
      <c r="BX348" s="231"/>
      <c r="BY348" s="231"/>
      <c r="BZ348" s="232"/>
      <c r="CA348" s="231"/>
      <c r="CB348" s="231"/>
      <c r="CC348" s="231"/>
      <c r="CD348" s="231"/>
      <c r="CE348" s="232"/>
      <c r="CF348" s="232"/>
      <c r="CG348" s="232"/>
      <c r="CH348" s="231"/>
      <c r="CI348" s="232"/>
      <c r="CJ348" s="232"/>
      <c r="CK348" s="231"/>
      <c r="CL348" s="233"/>
      <c r="CM348" s="232"/>
      <c r="CN348" s="232"/>
      <c r="CO348" s="232"/>
      <c r="CP348" s="232"/>
      <c r="CQ348" s="232"/>
      <c r="CR348" s="232"/>
      <c r="CS348" s="232"/>
      <c r="CT348" s="232"/>
    </row>
    <row r="349" ht="24.0" customHeight="1">
      <c r="A349" s="184" t="s">
        <v>374</v>
      </c>
      <c r="B349" s="184" t="s">
        <v>1260</v>
      </c>
      <c r="C349" s="184" t="s">
        <v>665</v>
      </c>
      <c r="D349" s="184" t="s">
        <v>2431</v>
      </c>
      <c r="E349" s="186" t="s">
        <v>806</v>
      </c>
      <c r="F349" s="186" t="s">
        <v>2432</v>
      </c>
      <c r="G349" s="185">
        <v>65.0</v>
      </c>
      <c r="H349" s="185" t="s">
        <v>3296</v>
      </c>
      <c r="I349" s="185" t="s">
        <v>3438</v>
      </c>
      <c r="J349" s="185" t="s">
        <v>3439</v>
      </c>
      <c r="K349" s="185" t="s">
        <v>3440</v>
      </c>
      <c r="L349" s="185" t="s">
        <v>3441</v>
      </c>
      <c r="M349" s="185" t="s">
        <v>3442</v>
      </c>
      <c r="N349" s="185" t="s">
        <v>850</v>
      </c>
      <c r="O349" s="189" t="s">
        <v>764</v>
      </c>
      <c r="P349" s="189" t="s">
        <v>3443</v>
      </c>
      <c r="Q349" s="189" t="s">
        <v>3444</v>
      </c>
      <c r="R349" s="189" t="s">
        <v>3445</v>
      </c>
      <c r="S349" s="189" t="s">
        <v>1714</v>
      </c>
      <c r="T349" s="189" t="s">
        <v>3446</v>
      </c>
      <c r="U349" s="185" t="s">
        <v>3447</v>
      </c>
      <c r="V349" s="185" t="s">
        <v>1549</v>
      </c>
      <c r="W349" s="230" t="s">
        <v>3448</v>
      </c>
      <c r="X349" s="245" t="s">
        <v>3449</v>
      </c>
      <c r="Y349" s="185" t="s">
        <v>764</v>
      </c>
      <c r="Z349" s="185" t="s">
        <v>806</v>
      </c>
      <c r="AA349" s="189" t="s">
        <v>797</v>
      </c>
      <c r="AB349" s="231"/>
      <c r="AC349" s="231"/>
      <c r="AD349" s="231"/>
      <c r="AE349" s="231"/>
      <c r="AF349" s="231"/>
      <c r="AG349" s="231"/>
      <c r="AH349" s="231"/>
      <c r="AJ349" s="231"/>
      <c r="AK349" s="232"/>
      <c r="AL349" s="231"/>
      <c r="AM349" s="232"/>
      <c r="AN349" s="231"/>
      <c r="AO349" s="232"/>
      <c r="AP349" s="232"/>
      <c r="AQ349" s="232"/>
      <c r="AR349" s="232"/>
      <c r="AS349" s="232"/>
      <c r="AT349" s="232"/>
      <c r="AU349" s="232"/>
      <c r="AV349" s="232"/>
      <c r="AW349" s="231"/>
      <c r="AX349" s="231"/>
      <c r="AY349" s="231"/>
      <c r="AZ349" s="231"/>
      <c r="BA349" s="231"/>
      <c r="BB349" s="231"/>
      <c r="BC349" s="232"/>
      <c r="BD349" s="232"/>
      <c r="BE349" s="232"/>
      <c r="BF349" s="232"/>
      <c r="BG349" s="231"/>
      <c r="BH349" s="231"/>
      <c r="BI349" s="231"/>
      <c r="BJ349" s="231"/>
      <c r="BK349" s="231"/>
      <c r="BL349" s="231"/>
      <c r="BM349" s="231"/>
      <c r="BN349" s="231"/>
      <c r="BO349" s="231"/>
      <c r="BP349" s="231"/>
      <c r="BQ349" s="232"/>
      <c r="BR349" s="232"/>
      <c r="BS349" s="231"/>
      <c r="BT349" s="231"/>
      <c r="BU349" s="231"/>
      <c r="BV349" s="231"/>
      <c r="BW349" s="231"/>
      <c r="BX349" s="231"/>
      <c r="BY349" s="231"/>
      <c r="BZ349" s="231"/>
      <c r="CA349" s="231"/>
      <c r="CB349" s="231"/>
      <c r="CC349" s="231"/>
      <c r="CD349" s="231"/>
      <c r="CE349" s="232"/>
      <c r="CF349" s="232"/>
      <c r="CG349" s="232"/>
      <c r="CH349" s="231"/>
      <c r="CI349" s="232"/>
      <c r="CJ349" s="232"/>
      <c r="CK349" s="232"/>
      <c r="CL349" s="232"/>
      <c r="CM349" s="232"/>
      <c r="CN349" s="232"/>
      <c r="CO349" s="232"/>
      <c r="CP349" s="232"/>
      <c r="CQ349" s="232"/>
      <c r="CR349" s="232"/>
      <c r="CS349" s="232"/>
      <c r="CT349" s="232"/>
    </row>
    <row r="350" ht="24.0" customHeight="1">
      <c r="A350" s="184" t="s">
        <v>372</v>
      </c>
      <c r="B350" s="184" t="s">
        <v>1260</v>
      </c>
      <c r="C350" s="184" t="s">
        <v>665</v>
      </c>
      <c r="D350" s="184" t="s">
        <v>2431</v>
      </c>
      <c r="E350" s="186" t="s">
        <v>806</v>
      </c>
      <c r="F350" s="186" t="s">
        <v>2432</v>
      </c>
      <c r="G350" s="185">
        <v>66.0</v>
      </c>
      <c r="H350" s="185" t="s">
        <v>788</v>
      </c>
      <c r="I350" s="185" t="s">
        <v>3450</v>
      </c>
      <c r="J350" s="185" t="s">
        <v>3451</v>
      </c>
      <c r="K350" s="185" t="s">
        <v>3452</v>
      </c>
      <c r="L350" s="185" t="s">
        <v>3453</v>
      </c>
      <c r="M350" s="185" t="s">
        <v>3454</v>
      </c>
      <c r="N350" s="185" t="s">
        <v>850</v>
      </c>
      <c r="O350" s="189" t="s">
        <v>1661</v>
      </c>
      <c r="P350" s="190"/>
      <c r="Q350" s="190"/>
      <c r="R350" s="190"/>
      <c r="S350" s="190"/>
      <c r="T350" s="190"/>
      <c r="U350" s="210"/>
      <c r="V350" s="185" t="s">
        <v>3455</v>
      </c>
      <c r="W350" s="230" t="s">
        <v>3456</v>
      </c>
      <c r="X350" s="245" t="s">
        <v>3457</v>
      </c>
      <c r="Y350" s="185" t="s">
        <v>1661</v>
      </c>
      <c r="Z350" s="185" t="s">
        <v>806</v>
      </c>
      <c r="AA350" s="189" t="s">
        <v>797</v>
      </c>
      <c r="AB350" s="231"/>
      <c r="AC350" s="231"/>
      <c r="AD350" s="231"/>
      <c r="AE350" s="231"/>
      <c r="AF350" s="231"/>
      <c r="AG350" s="231"/>
      <c r="AH350" s="231"/>
      <c r="AJ350" s="231"/>
      <c r="AK350" s="232"/>
      <c r="AL350" s="231"/>
      <c r="AM350" s="232"/>
      <c r="AN350" s="231"/>
      <c r="AO350" s="232"/>
      <c r="AP350" s="232"/>
      <c r="AQ350" s="232"/>
      <c r="AR350" s="232"/>
      <c r="AS350" s="232"/>
      <c r="AT350" s="232"/>
      <c r="AU350" s="232"/>
      <c r="AV350" s="232"/>
      <c r="AW350" s="231"/>
      <c r="AX350" s="231"/>
      <c r="AY350" s="231"/>
      <c r="AZ350" s="231"/>
      <c r="BA350" s="231"/>
      <c r="BB350" s="231"/>
      <c r="BC350" s="232"/>
      <c r="BD350" s="232"/>
      <c r="BE350" s="232"/>
      <c r="BF350" s="232"/>
      <c r="BG350" s="231"/>
      <c r="BH350" s="231"/>
      <c r="BI350" s="231"/>
      <c r="BJ350" s="231"/>
      <c r="BK350" s="231"/>
      <c r="BL350" s="231"/>
      <c r="BM350" s="231"/>
      <c r="BN350" s="231"/>
      <c r="BO350" s="231"/>
      <c r="BP350" s="231"/>
      <c r="BQ350" s="232"/>
      <c r="BR350" s="232"/>
      <c r="BS350" s="231"/>
      <c r="BT350" s="231"/>
      <c r="BU350" s="231"/>
      <c r="BV350" s="231"/>
      <c r="BW350" s="231"/>
      <c r="BX350" s="231"/>
      <c r="BY350" s="231"/>
      <c r="BZ350" s="231"/>
      <c r="CA350" s="231"/>
      <c r="CB350" s="231"/>
      <c r="CC350" s="231"/>
      <c r="CD350" s="231"/>
      <c r="CE350" s="232"/>
      <c r="CF350" s="232"/>
      <c r="CG350" s="232"/>
      <c r="CH350" s="231"/>
      <c r="CI350" s="232"/>
      <c r="CJ350" s="232"/>
      <c r="CK350" s="232"/>
      <c r="CL350" s="232"/>
      <c r="CM350" s="232"/>
      <c r="CN350" s="232"/>
      <c r="CO350" s="232"/>
      <c r="CP350" s="232"/>
      <c r="CQ350" s="232"/>
      <c r="CR350" s="232"/>
      <c r="CS350" s="232"/>
      <c r="CT350" s="232"/>
    </row>
    <row r="351" ht="24.0" customHeight="1">
      <c r="A351" s="184" t="s">
        <v>373</v>
      </c>
      <c r="B351" s="184" t="s">
        <v>1260</v>
      </c>
      <c r="C351" s="184" t="s">
        <v>665</v>
      </c>
      <c r="D351" s="184" t="s">
        <v>2431</v>
      </c>
      <c r="E351" s="186" t="s">
        <v>806</v>
      </c>
      <c r="F351" s="186" t="s">
        <v>2432</v>
      </c>
      <c r="G351" s="185">
        <v>67.0</v>
      </c>
      <c r="H351" s="185" t="s">
        <v>3458</v>
      </c>
      <c r="I351" s="185" t="s">
        <v>3459</v>
      </c>
      <c r="J351" s="185" t="s">
        <v>3460</v>
      </c>
      <c r="K351" s="185" t="s">
        <v>2037</v>
      </c>
      <c r="L351" s="185" t="s">
        <v>3461</v>
      </c>
      <c r="M351" s="185" t="s">
        <v>3462</v>
      </c>
      <c r="N351" s="185" t="s">
        <v>850</v>
      </c>
      <c r="O351" s="185" t="s">
        <v>773</v>
      </c>
      <c r="P351" s="210"/>
      <c r="Q351" s="190"/>
      <c r="R351" s="190"/>
      <c r="S351" s="190"/>
      <c r="T351" s="190"/>
      <c r="U351" s="210"/>
      <c r="V351" s="185" t="s">
        <v>841</v>
      </c>
      <c r="W351" s="230" t="s">
        <v>842</v>
      </c>
      <c r="X351" s="245" t="s">
        <v>843</v>
      </c>
      <c r="Y351" s="185" t="s">
        <v>773</v>
      </c>
      <c r="Z351" s="185" t="s">
        <v>806</v>
      </c>
      <c r="AA351" s="189" t="s">
        <v>797</v>
      </c>
      <c r="AB351" s="231"/>
      <c r="AC351" s="231"/>
      <c r="AD351" s="231"/>
      <c r="AE351" s="231"/>
      <c r="AF351" s="231"/>
      <c r="AG351" s="231"/>
      <c r="AH351" s="231"/>
      <c r="AJ351" s="231"/>
      <c r="AK351" s="232"/>
      <c r="AL351" s="231"/>
      <c r="AM351" s="232"/>
      <c r="AN351" s="231"/>
      <c r="AO351" s="232"/>
      <c r="AP351" s="232"/>
      <c r="AQ351" s="232"/>
      <c r="AR351" s="232"/>
      <c r="AS351" s="232"/>
      <c r="AT351" s="232"/>
      <c r="AU351" s="232"/>
      <c r="AV351" s="232"/>
      <c r="AW351" s="231"/>
      <c r="AX351" s="231"/>
      <c r="AY351" s="231"/>
      <c r="AZ351" s="231"/>
      <c r="BA351" s="231"/>
      <c r="BB351" s="231"/>
      <c r="BC351" s="232"/>
      <c r="BD351" s="232"/>
      <c r="BE351" s="232"/>
      <c r="BF351" s="232"/>
      <c r="BG351" s="231"/>
      <c r="BH351" s="231"/>
      <c r="BI351" s="232"/>
      <c r="BJ351" s="232"/>
      <c r="BK351" s="232"/>
      <c r="BL351" s="232"/>
      <c r="BM351" s="232"/>
      <c r="BN351" s="232"/>
      <c r="BO351" s="232"/>
      <c r="BP351" s="232"/>
      <c r="BQ351" s="232"/>
      <c r="BR351" s="232"/>
      <c r="BS351" s="231"/>
      <c r="BT351" s="231"/>
      <c r="BU351" s="231"/>
      <c r="BV351" s="231"/>
      <c r="BW351" s="231"/>
      <c r="BX351" s="231"/>
      <c r="BY351" s="231"/>
      <c r="BZ351" s="231"/>
      <c r="CA351" s="231"/>
      <c r="CB351" s="231"/>
      <c r="CC351" s="231"/>
      <c r="CD351" s="231"/>
      <c r="CE351" s="232"/>
      <c r="CF351" s="232"/>
      <c r="CG351" s="232"/>
      <c r="CH351" s="231"/>
      <c r="CI351" s="232"/>
      <c r="CJ351" s="232"/>
      <c r="CK351" s="232"/>
      <c r="CL351" s="232"/>
      <c r="CM351" s="232"/>
      <c r="CN351" s="232"/>
      <c r="CO351" s="232"/>
      <c r="CP351" s="232"/>
      <c r="CQ351" s="232"/>
      <c r="CR351" s="232"/>
      <c r="CS351" s="232"/>
      <c r="CT351" s="232"/>
    </row>
    <row r="352" ht="24.0" customHeight="1">
      <c r="A352" s="184" t="s">
        <v>370</v>
      </c>
      <c r="B352" s="184" t="s">
        <v>1260</v>
      </c>
      <c r="C352" s="184" t="s">
        <v>665</v>
      </c>
      <c r="D352" s="184" t="s">
        <v>2431</v>
      </c>
      <c r="E352" s="186" t="s">
        <v>806</v>
      </c>
      <c r="F352" s="186" t="s">
        <v>2432</v>
      </c>
      <c r="G352" s="185">
        <v>68.0</v>
      </c>
      <c r="H352" s="185" t="s">
        <v>1882</v>
      </c>
      <c r="I352" s="185" t="s">
        <v>3463</v>
      </c>
      <c r="J352" s="185" t="s">
        <v>3464</v>
      </c>
      <c r="K352" s="185" t="s">
        <v>3465</v>
      </c>
      <c r="L352" s="185" t="s">
        <v>3466</v>
      </c>
      <c r="M352" s="185" t="s">
        <v>3467</v>
      </c>
      <c r="N352" s="185" t="s">
        <v>850</v>
      </c>
      <c r="O352" s="185" t="s">
        <v>773</v>
      </c>
      <c r="P352" s="210"/>
      <c r="Q352" s="210"/>
      <c r="R352" s="210"/>
      <c r="S352" s="190"/>
      <c r="T352" s="190"/>
      <c r="U352" s="210"/>
      <c r="V352" s="185" t="s">
        <v>832</v>
      </c>
      <c r="W352" s="230" t="s">
        <v>833</v>
      </c>
      <c r="X352" s="245" t="s">
        <v>834</v>
      </c>
      <c r="Y352" s="185" t="s">
        <v>773</v>
      </c>
      <c r="Z352" s="185" t="s">
        <v>806</v>
      </c>
      <c r="AA352" s="189" t="s">
        <v>757</v>
      </c>
      <c r="AB352" s="231"/>
      <c r="AC352" s="231"/>
      <c r="AD352" s="231"/>
      <c r="AE352" s="231"/>
      <c r="AF352" s="231"/>
      <c r="AG352" s="231"/>
      <c r="AH352" s="231"/>
      <c r="AJ352" s="231"/>
      <c r="AK352" s="232"/>
      <c r="AL352" s="231"/>
      <c r="AM352" s="232"/>
      <c r="AN352" s="231"/>
      <c r="AO352" s="232"/>
      <c r="AP352" s="232"/>
      <c r="AQ352" s="232"/>
      <c r="AR352" s="232"/>
      <c r="AS352" s="232"/>
      <c r="AT352" s="232"/>
      <c r="AU352" s="232"/>
      <c r="AV352" s="232"/>
      <c r="AW352" s="231"/>
      <c r="AX352" s="231"/>
      <c r="AY352" s="231"/>
      <c r="AZ352" s="231"/>
      <c r="BA352" s="231"/>
      <c r="BB352" s="231"/>
      <c r="BC352" s="231"/>
      <c r="BD352" s="231"/>
      <c r="BE352" s="231"/>
      <c r="BF352" s="231"/>
      <c r="BG352" s="231"/>
      <c r="BH352" s="231"/>
      <c r="BI352" s="231"/>
      <c r="BJ352" s="231"/>
      <c r="BK352" s="231"/>
      <c r="BL352" s="231"/>
      <c r="BM352" s="231"/>
      <c r="BN352" s="231"/>
      <c r="BO352" s="232"/>
      <c r="BP352" s="232"/>
      <c r="BQ352" s="232"/>
      <c r="BR352" s="232"/>
      <c r="BS352" s="231"/>
      <c r="BT352" s="231"/>
      <c r="BU352" s="231"/>
      <c r="BV352" s="231"/>
      <c r="BW352" s="231"/>
      <c r="BX352" s="231"/>
      <c r="BY352" s="231"/>
      <c r="BZ352" s="231"/>
      <c r="CA352" s="231"/>
      <c r="CB352" s="231"/>
      <c r="CC352" s="231"/>
      <c r="CD352" s="231"/>
      <c r="CE352" s="232"/>
      <c r="CF352" s="232"/>
      <c r="CG352" s="232"/>
      <c r="CH352" s="231"/>
      <c r="CI352" s="232"/>
      <c r="CJ352" s="232"/>
      <c r="CK352" s="231"/>
      <c r="CL352" s="233"/>
      <c r="CM352" s="232"/>
      <c r="CN352" s="232"/>
      <c r="CO352" s="232"/>
      <c r="CP352" s="232"/>
      <c r="CQ352" s="232"/>
      <c r="CR352" s="232"/>
      <c r="CS352" s="232"/>
      <c r="CT352" s="232"/>
    </row>
    <row r="353" ht="24.0" customHeight="1">
      <c r="A353" s="184" t="s">
        <v>378</v>
      </c>
      <c r="B353" s="184" t="s">
        <v>1260</v>
      </c>
      <c r="C353" s="184" t="s">
        <v>666</v>
      </c>
      <c r="D353" s="184" t="s">
        <v>2431</v>
      </c>
      <c r="E353" s="236" t="s">
        <v>1543</v>
      </c>
      <c r="F353" s="186" t="s">
        <v>2432</v>
      </c>
      <c r="G353" s="185">
        <v>69.0</v>
      </c>
      <c r="H353" s="189" t="s">
        <v>3468</v>
      </c>
      <c r="I353" s="189" t="s">
        <v>3469</v>
      </c>
      <c r="J353" s="189" t="s">
        <v>3470</v>
      </c>
      <c r="K353" s="189" t="s">
        <v>3471</v>
      </c>
      <c r="L353" s="189" t="s">
        <v>3472</v>
      </c>
      <c r="M353" s="189" t="s">
        <v>3473</v>
      </c>
      <c r="N353" s="189" t="s">
        <v>908</v>
      </c>
      <c r="O353" s="189" t="s">
        <v>764</v>
      </c>
      <c r="P353" s="190"/>
      <c r="Q353" s="190"/>
      <c r="R353" s="190"/>
      <c r="S353" s="190"/>
      <c r="T353" s="190"/>
      <c r="U353" s="190"/>
      <c r="V353" s="189" t="s">
        <v>1492</v>
      </c>
      <c r="W353" s="230" t="s">
        <v>1493</v>
      </c>
      <c r="X353" s="245" t="s">
        <v>1494</v>
      </c>
      <c r="Y353" s="189" t="s">
        <v>764</v>
      </c>
      <c r="Z353" s="189" t="s">
        <v>1543</v>
      </c>
      <c r="AA353" s="189" t="s">
        <v>1654</v>
      </c>
      <c r="AB353" s="191"/>
      <c r="AC353" s="191"/>
      <c r="AD353" s="191"/>
      <c r="AE353" s="191"/>
      <c r="AF353" s="191"/>
      <c r="AG353" s="191"/>
      <c r="AH353" s="191"/>
      <c r="AJ353" s="215"/>
      <c r="AK353" s="215"/>
      <c r="AL353" s="215"/>
      <c r="AM353" s="215"/>
      <c r="AN353" s="215"/>
      <c r="AO353" s="215"/>
      <c r="AP353" s="191"/>
      <c r="AQ353" s="215"/>
      <c r="AR353" s="191"/>
      <c r="AS353" s="215"/>
      <c r="AT353" s="215"/>
      <c r="AU353" s="215"/>
      <c r="AV353" s="215"/>
      <c r="AW353" s="191"/>
      <c r="AX353" s="191"/>
      <c r="AY353" s="191"/>
      <c r="AZ353" s="191"/>
      <c r="BA353" s="191"/>
      <c r="BB353" s="191"/>
      <c r="BC353" s="215"/>
      <c r="BD353" s="215"/>
      <c r="BE353" s="215"/>
      <c r="BF353" s="215"/>
      <c r="BG353" s="191"/>
      <c r="BH353" s="191"/>
      <c r="BI353" s="215"/>
      <c r="BJ353" s="215"/>
      <c r="BK353" s="215"/>
      <c r="BL353" s="215"/>
      <c r="BM353" s="215"/>
      <c r="BN353" s="215"/>
      <c r="BO353" s="215"/>
      <c r="BP353" s="215"/>
      <c r="BQ353" s="215"/>
      <c r="BR353" s="215"/>
      <c r="BS353" s="191"/>
      <c r="BT353" s="191"/>
      <c r="BU353" s="191"/>
      <c r="BV353" s="191"/>
      <c r="BW353" s="191"/>
      <c r="BX353" s="191"/>
      <c r="BY353" s="191"/>
      <c r="BZ353" s="215"/>
      <c r="CA353" s="191"/>
      <c r="CB353" s="191"/>
      <c r="CC353" s="191"/>
      <c r="CD353" s="215"/>
      <c r="CE353" s="215"/>
      <c r="CF353" s="191"/>
      <c r="CG353" s="215"/>
      <c r="CH353" s="191"/>
      <c r="CI353" s="215"/>
      <c r="CJ353" s="215"/>
      <c r="CK353" s="191"/>
      <c r="CL353" s="215"/>
      <c r="CM353" s="215"/>
      <c r="CN353" s="215"/>
      <c r="CO353" s="215"/>
      <c r="CP353" s="215"/>
      <c r="CQ353" s="215"/>
      <c r="CR353" s="215"/>
      <c r="CS353" s="215"/>
      <c r="CT353" s="215"/>
    </row>
    <row r="354" ht="24.0" customHeight="1">
      <c r="A354" s="184" t="s">
        <v>379</v>
      </c>
      <c r="B354" s="184" t="s">
        <v>1260</v>
      </c>
      <c r="C354" s="184" t="s">
        <v>666</v>
      </c>
      <c r="D354" s="184" t="s">
        <v>2431</v>
      </c>
      <c r="E354" s="236" t="s">
        <v>1543</v>
      </c>
      <c r="F354" s="186" t="s">
        <v>2432</v>
      </c>
      <c r="G354" s="185">
        <v>70.0</v>
      </c>
      <c r="H354" s="189" t="s">
        <v>3474</v>
      </c>
      <c r="I354" s="189" t="s">
        <v>3475</v>
      </c>
      <c r="J354" s="189" t="s">
        <v>3476</v>
      </c>
      <c r="K354" s="189" t="s">
        <v>2794</v>
      </c>
      <c r="L354" s="189" t="s">
        <v>3477</v>
      </c>
      <c r="M354" s="189" t="s">
        <v>3478</v>
      </c>
      <c r="N354" s="189" t="s">
        <v>908</v>
      </c>
      <c r="O354" s="189" t="s">
        <v>764</v>
      </c>
      <c r="P354" s="189" t="s">
        <v>3479</v>
      </c>
      <c r="Q354" s="189" t="s">
        <v>3480</v>
      </c>
      <c r="R354" s="189" t="s">
        <v>3481</v>
      </c>
      <c r="S354" s="189" t="s">
        <v>3482</v>
      </c>
      <c r="T354" s="190"/>
      <c r="U354" s="190"/>
      <c r="V354" s="189" t="s">
        <v>3483</v>
      </c>
      <c r="W354" s="230" t="s">
        <v>3484</v>
      </c>
      <c r="X354" s="245" t="s">
        <v>3485</v>
      </c>
      <c r="Y354" s="189" t="s">
        <v>764</v>
      </c>
      <c r="Z354" s="189" t="s">
        <v>1543</v>
      </c>
      <c r="AA354" s="189" t="s">
        <v>757</v>
      </c>
      <c r="AB354" s="191"/>
      <c r="AC354" s="191"/>
      <c r="AD354" s="191"/>
      <c r="AE354" s="191"/>
      <c r="AF354" s="191"/>
      <c r="AG354" s="191"/>
      <c r="AH354" s="191"/>
      <c r="AJ354" s="215"/>
      <c r="AK354" s="215"/>
      <c r="AL354" s="215"/>
      <c r="AM354" s="215"/>
      <c r="AN354" s="215"/>
      <c r="AO354" s="215"/>
      <c r="AP354" s="191"/>
      <c r="AQ354" s="215"/>
      <c r="AR354" s="191"/>
      <c r="AS354" s="215"/>
      <c r="AT354" s="215"/>
      <c r="AU354" s="215"/>
      <c r="AV354" s="215"/>
      <c r="AW354" s="191"/>
      <c r="AX354" s="191"/>
      <c r="AY354" s="191"/>
      <c r="AZ354" s="191"/>
      <c r="BA354" s="191"/>
      <c r="BB354" s="191"/>
      <c r="BC354" s="191"/>
      <c r="BD354" s="191"/>
      <c r="BE354" s="191"/>
      <c r="BF354" s="191"/>
      <c r="BG354" s="191"/>
      <c r="BH354" s="191"/>
      <c r="BI354" s="191"/>
      <c r="BJ354" s="191"/>
      <c r="BK354" s="215"/>
      <c r="BL354" s="215"/>
      <c r="BM354" s="215"/>
      <c r="BN354" s="215"/>
      <c r="BO354" s="215"/>
      <c r="BP354" s="215"/>
      <c r="BQ354" s="215"/>
      <c r="BR354" s="215"/>
      <c r="BS354" s="191"/>
      <c r="BT354" s="191"/>
      <c r="BU354" s="191"/>
      <c r="BV354" s="191"/>
      <c r="BW354" s="191"/>
      <c r="BX354" s="191"/>
      <c r="BY354" s="215"/>
      <c r="BZ354" s="191"/>
      <c r="CA354" s="191"/>
      <c r="CB354" s="191"/>
      <c r="CC354" s="191"/>
      <c r="CD354" s="215"/>
      <c r="CE354" s="215"/>
      <c r="CF354" s="191"/>
      <c r="CG354" s="215"/>
      <c r="CH354" s="191"/>
      <c r="CI354" s="215"/>
      <c r="CJ354" s="215"/>
      <c r="CK354" s="215"/>
      <c r="CL354" s="215"/>
      <c r="CM354" s="215"/>
      <c r="CN354" s="215"/>
      <c r="CO354" s="215"/>
      <c r="CP354" s="215"/>
      <c r="CQ354" s="215"/>
      <c r="CR354" s="215"/>
      <c r="CS354" s="215"/>
      <c r="CT354" s="215"/>
    </row>
    <row r="355" ht="24.0" customHeight="1">
      <c r="A355" s="184" t="s">
        <v>376</v>
      </c>
      <c r="B355" s="184" t="s">
        <v>1260</v>
      </c>
      <c r="C355" s="184" t="s">
        <v>666</v>
      </c>
      <c r="D355" s="184" t="s">
        <v>2431</v>
      </c>
      <c r="E355" s="236" t="s">
        <v>1543</v>
      </c>
      <c r="F355" s="186" t="s">
        <v>2432</v>
      </c>
      <c r="G355" s="185">
        <v>71.0</v>
      </c>
      <c r="H355" s="189" t="s">
        <v>3486</v>
      </c>
      <c r="I355" s="189" t="s">
        <v>3487</v>
      </c>
      <c r="J355" s="189" t="s">
        <v>3488</v>
      </c>
      <c r="K355" s="189" t="s">
        <v>3489</v>
      </c>
      <c r="L355" s="189" t="s">
        <v>3490</v>
      </c>
      <c r="M355" s="189" t="s">
        <v>3491</v>
      </c>
      <c r="N355" s="189" t="s">
        <v>908</v>
      </c>
      <c r="O355" s="189" t="s">
        <v>764</v>
      </c>
      <c r="P355" s="190"/>
      <c r="Q355" s="190"/>
      <c r="R355" s="190"/>
      <c r="S355" s="190"/>
      <c r="T355" s="190"/>
      <c r="U355" s="190"/>
      <c r="V355" s="189" t="s">
        <v>3492</v>
      </c>
      <c r="W355" s="230" t="s">
        <v>1683</v>
      </c>
      <c r="X355" s="245" t="s">
        <v>2873</v>
      </c>
      <c r="Y355" s="189" t="s">
        <v>764</v>
      </c>
      <c r="Z355" s="189" t="s">
        <v>1543</v>
      </c>
      <c r="AA355" s="189" t="s">
        <v>757</v>
      </c>
      <c r="AB355" s="191"/>
      <c r="AC355" s="191"/>
      <c r="AD355" s="191"/>
      <c r="AE355" s="191"/>
      <c r="AF355" s="191"/>
      <c r="AG355" s="191"/>
      <c r="AH355" s="191"/>
      <c r="AJ355" s="215"/>
      <c r="AK355" s="215"/>
      <c r="AL355" s="215"/>
      <c r="AM355" s="215"/>
      <c r="AN355" s="215"/>
      <c r="AO355" s="215"/>
      <c r="AP355" s="191"/>
      <c r="AQ355" s="215"/>
      <c r="AR355" s="191"/>
      <c r="AS355" s="215"/>
      <c r="AT355" s="215"/>
      <c r="AU355" s="215"/>
      <c r="AV355" s="215"/>
      <c r="AW355" s="191"/>
      <c r="AX355" s="191"/>
      <c r="AY355" s="191"/>
      <c r="AZ355" s="191"/>
      <c r="BA355" s="191"/>
      <c r="BB355" s="191"/>
      <c r="BC355" s="191"/>
      <c r="BD355" s="191"/>
      <c r="BE355" s="191"/>
      <c r="BF355" s="191"/>
      <c r="BG355" s="215"/>
      <c r="BH355" s="215"/>
      <c r="BI355" s="215"/>
      <c r="BJ355" s="215"/>
      <c r="BK355" s="215"/>
      <c r="BL355" s="215"/>
      <c r="BM355" s="215"/>
      <c r="BN355" s="215"/>
      <c r="BO355" s="215"/>
      <c r="BP355" s="215"/>
      <c r="BQ355" s="215"/>
      <c r="BR355" s="215"/>
      <c r="BS355" s="191"/>
      <c r="BT355" s="191"/>
      <c r="BU355" s="191"/>
      <c r="BV355" s="191"/>
      <c r="BW355" s="191"/>
      <c r="BX355" s="191"/>
      <c r="BY355" s="215"/>
      <c r="BZ355" s="191"/>
      <c r="CA355" s="191"/>
      <c r="CB355" s="191"/>
      <c r="CC355" s="191"/>
      <c r="CD355" s="215"/>
      <c r="CE355" s="215"/>
      <c r="CF355" s="191"/>
      <c r="CG355" s="215"/>
      <c r="CH355" s="191"/>
      <c r="CI355" s="215"/>
      <c r="CJ355" s="215"/>
      <c r="CK355" s="215"/>
      <c r="CL355" s="215"/>
      <c r="CM355" s="215"/>
      <c r="CN355" s="215"/>
      <c r="CO355" s="215"/>
      <c r="CP355" s="215"/>
      <c r="CQ355" s="215"/>
      <c r="CR355" s="215"/>
      <c r="CS355" s="215"/>
      <c r="CT355" s="215"/>
    </row>
    <row r="356" ht="24.0" customHeight="1">
      <c r="A356" s="184" t="s">
        <v>381</v>
      </c>
      <c r="B356" s="184" t="s">
        <v>1260</v>
      </c>
      <c r="C356" s="184" t="s">
        <v>666</v>
      </c>
      <c r="D356" s="184" t="s">
        <v>2431</v>
      </c>
      <c r="E356" s="236" t="s">
        <v>1543</v>
      </c>
      <c r="F356" s="186" t="s">
        <v>2432</v>
      </c>
      <c r="G356" s="185">
        <v>72.0</v>
      </c>
      <c r="H356" s="189" t="s">
        <v>3493</v>
      </c>
      <c r="I356" s="189" t="s">
        <v>2871</v>
      </c>
      <c r="J356" s="189" t="s">
        <v>3494</v>
      </c>
      <c r="K356" s="189" t="s">
        <v>3495</v>
      </c>
      <c r="L356" s="189" t="s">
        <v>3496</v>
      </c>
      <c r="M356" s="189" t="s">
        <v>3497</v>
      </c>
      <c r="N356" s="189" t="s">
        <v>908</v>
      </c>
      <c r="O356" s="189" t="s">
        <v>764</v>
      </c>
      <c r="P356" s="190"/>
      <c r="Q356" s="190"/>
      <c r="R356" s="190"/>
      <c r="S356" s="190"/>
      <c r="T356" s="190"/>
      <c r="U356" s="190"/>
      <c r="V356" s="189" t="s">
        <v>3492</v>
      </c>
      <c r="W356" s="230" t="s">
        <v>1683</v>
      </c>
      <c r="X356" s="245" t="s">
        <v>2873</v>
      </c>
      <c r="Y356" s="189" t="s">
        <v>764</v>
      </c>
      <c r="Z356" s="189" t="s">
        <v>1543</v>
      </c>
      <c r="AA356" s="189" t="s">
        <v>797</v>
      </c>
      <c r="AB356" s="191"/>
      <c r="AC356" s="191"/>
      <c r="AD356" s="191"/>
      <c r="AE356" s="191"/>
      <c r="AF356" s="191"/>
      <c r="AG356" s="191"/>
      <c r="AH356" s="191"/>
      <c r="AJ356" s="215"/>
      <c r="AK356" s="215"/>
      <c r="AL356" s="215"/>
      <c r="AM356" s="215"/>
      <c r="AN356" s="215"/>
      <c r="AO356" s="215"/>
      <c r="AP356" s="191"/>
      <c r="AQ356" s="215"/>
      <c r="AR356" s="191"/>
      <c r="AS356" s="215"/>
      <c r="AT356" s="215"/>
      <c r="AU356" s="215"/>
      <c r="AV356" s="215"/>
      <c r="AW356" s="191"/>
      <c r="AX356" s="191"/>
      <c r="AY356" s="191"/>
      <c r="AZ356" s="191"/>
      <c r="BA356" s="191"/>
      <c r="BB356" s="191"/>
      <c r="BC356" s="215"/>
      <c r="BD356" s="215"/>
      <c r="BE356" s="215"/>
      <c r="BF356" s="215"/>
      <c r="BG356" s="191"/>
      <c r="BH356" s="191"/>
      <c r="BI356" s="191"/>
      <c r="BJ356" s="191"/>
      <c r="BK356" s="215"/>
      <c r="BL356" s="215"/>
      <c r="BM356" s="215"/>
      <c r="BN356" s="215"/>
      <c r="BO356" s="215"/>
      <c r="BP356" s="215"/>
      <c r="BQ356" s="215"/>
      <c r="BR356" s="215"/>
      <c r="BS356" s="191"/>
      <c r="BT356" s="191"/>
      <c r="BU356" s="191"/>
      <c r="BV356" s="191"/>
      <c r="BW356" s="191"/>
      <c r="BX356" s="191"/>
      <c r="BY356" s="191"/>
      <c r="BZ356" s="215"/>
      <c r="CA356" s="191"/>
      <c r="CB356" s="191"/>
      <c r="CC356" s="191"/>
      <c r="CD356" s="215"/>
      <c r="CE356" s="215"/>
      <c r="CF356" s="191"/>
      <c r="CG356" s="215"/>
      <c r="CH356" s="191"/>
      <c r="CI356" s="215"/>
      <c r="CJ356" s="215"/>
      <c r="CK356" s="191"/>
      <c r="CL356" s="215"/>
      <c r="CM356" s="215"/>
      <c r="CN356" s="215"/>
      <c r="CO356" s="215"/>
      <c r="CP356" s="215"/>
      <c r="CQ356" s="215"/>
      <c r="CR356" s="215"/>
      <c r="CS356" s="215"/>
      <c r="CT356" s="215"/>
    </row>
    <row r="357" ht="24.0" customHeight="1">
      <c r="A357" s="184" t="s">
        <v>375</v>
      </c>
      <c r="B357" s="184" t="s">
        <v>1260</v>
      </c>
      <c r="C357" s="184" t="s">
        <v>666</v>
      </c>
      <c r="D357" s="184" t="s">
        <v>2431</v>
      </c>
      <c r="E357" s="236" t="s">
        <v>1543</v>
      </c>
      <c r="F357" s="186" t="s">
        <v>2432</v>
      </c>
      <c r="G357" s="185">
        <v>73.0</v>
      </c>
      <c r="H357" s="189" t="s">
        <v>3498</v>
      </c>
      <c r="I357" s="189" t="s">
        <v>2743</v>
      </c>
      <c r="J357" s="189" t="s">
        <v>3499</v>
      </c>
      <c r="K357" s="189" t="s">
        <v>3500</v>
      </c>
      <c r="L357" s="189" t="s">
        <v>3501</v>
      </c>
      <c r="M357" s="189" t="s">
        <v>3502</v>
      </c>
      <c r="N357" s="189" t="s">
        <v>850</v>
      </c>
      <c r="O357" s="189" t="s">
        <v>773</v>
      </c>
      <c r="P357" s="189" t="s">
        <v>3503</v>
      </c>
      <c r="Q357" s="189" t="s">
        <v>3504</v>
      </c>
      <c r="R357" s="190"/>
      <c r="S357" s="190"/>
      <c r="T357" s="190"/>
      <c r="U357" s="190"/>
      <c r="V357" s="189" t="s">
        <v>2913</v>
      </c>
      <c r="W357" s="230" t="s">
        <v>2914</v>
      </c>
      <c r="X357" s="245" t="s">
        <v>2915</v>
      </c>
      <c r="Y357" s="189" t="s">
        <v>773</v>
      </c>
      <c r="Z357" s="189" t="s">
        <v>1543</v>
      </c>
      <c r="AA357" s="189" t="s">
        <v>757</v>
      </c>
      <c r="AB357" s="191"/>
      <c r="AC357" s="191"/>
      <c r="AD357" s="191"/>
      <c r="AE357" s="191"/>
      <c r="AF357" s="191"/>
      <c r="AG357" s="191"/>
      <c r="AH357" s="191"/>
      <c r="AJ357" s="215"/>
      <c r="AK357" s="215"/>
      <c r="AL357" s="215"/>
      <c r="AM357" s="215"/>
      <c r="AN357" s="215"/>
      <c r="AO357" s="215"/>
      <c r="AP357" s="191"/>
      <c r="AQ357" s="215"/>
      <c r="AR357" s="191"/>
      <c r="AS357" s="215"/>
      <c r="AT357" s="215"/>
      <c r="AU357" s="215"/>
      <c r="AV357" s="215"/>
      <c r="AW357" s="191"/>
      <c r="AX357" s="191"/>
      <c r="AY357" s="191"/>
      <c r="AZ357" s="191"/>
      <c r="BA357" s="191"/>
      <c r="BB357" s="191"/>
      <c r="BC357" s="215"/>
      <c r="BD357" s="215"/>
      <c r="BE357" s="215"/>
      <c r="BF357" s="215"/>
      <c r="BG357" s="191"/>
      <c r="BH357" s="191"/>
      <c r="BI357" s="215"/>
      <c r="BJ357" s="215"/>
      <c r="BK357" s="215"/>
      <c r="BL357" s="215"/>
      <c r="BM357" s="215"/>
      <c r="BN357" s="215"/>
      <c r="BO357" s="215"/>
      <c r="BP357" s="215"/>
      <c r="BQ357" s="215"/>
      <c r="BR357" s="215"/>
      <c r="BS357" s="191"/>
      <c r="BT357" s="191"/>
      <c r="BU357" s="191"/>
      <c r="BV357" s="191"/>
      <c r="BW357" s="191"/>
      <c r="BX357" s="191"/>
      <c r="BY357" s="215"/>
      <c r="BZ357" s="191"/>
      <c r="CA357" s="191"/>
      <c r="CB357" s="191"/>
      <c r="CC357" s="191"/>
      <c r="CD357" s="215"/>
      <c r="CE357" s="215"/>
      <c r="CF357" s="191"/>
      <c r="CG357" s="215"/>
      <c r="CH357" s="191"/>
      <c r="CI357" s="215"/>
      <c r="CJ357" s="215"/>
      <c r="CK357" s="215"/>
      <c r="CL357" s="215"/>
      <c r="CM357" s="215"/>
      <c r="CN357" s="215"/>
      <c r="CO357" s="215"/>
      <c r="CP357" s="215"/>
      <c r="CQ357" s="215"/>
      <c r="CR357" s="215"/>
      <c r="CS357" s="215"/>
      <c r="CT357" s="215"/>
    </row>
    <row r="358" ht="24.0" customHeight="1">
      <c r="A358" s="184" t="s">
        <v>377</v>
      </c>
      <c r="B358" s="184" t="s">
        <v>1260</v>
      </c>
      <c r="C358" s="184" t="s">
        <v>666</v>
      </c>
      <c r="D358" s="184" t="s">
        <v>2431</v>
      </c>
      <c r="E358" s="236" t="s">
        <v>1543</v>
      </c>
      <c r="F358" s="186" t="s">
        <v>2432</v>
      </c>
      <c r="G358" s="185">
        <v>74.0</v>
      </c>
      <c r="H358" s="189" t="s">
        <v>2531</v>
      </c>
      <c r="I358" s="189" t="s">
        <v>3505</v>
      </c>
      <c r="J358" s="189" t="s">
        <v>3506</v>
      </c>
      <c r="K358" s="189" t="s">
        <v>2367</v>
      </c>
      <c r="L358" s="189" t="s">
        <v>3507</v>
      </c>
      <c r="M358" s="189" t="s">
        <v>3508</v>
      </c>
      <c r="N358" s="189" t="s">
        <v>850</v>
      </c>
      <c r="O358" s="189" t="s">
        <v>764</v>
      </c>
      <c r="P358" s="189" t="s">
        <v>3509</v>
      </c>
      <c r="Q358" s="189" t="s">
        <v>3510</v>
      </c>
      <c r="R358" s="189" t="s">
        <v>3511</v>
      </c>
      <c r="S358" s="189" t="s">
        <v>3512</v>
      </c>
      <c r="T358" s="190"/>
      <c r="U358" s="190"/>
      <c r="V358" s="189" t="s">
        <v>2850</v>
      </c>
      <c r="W358" s="230" t="s">
        <v>3216</v>
      </c>
      <c r="X358" s="245" t="s">
        <v>3217</v>
      </c>
      <c r="Y358" s="189" t="s">
        <v>764</v>
      </c>
      <c r="Z358" s="189" t="s">
        <v>1543</v>
      </c>
      <c r="AA358" s="189" t="s">
        <v>757</v>
      </c>
      <c r="AB358" s="191"/>
      <c r="AC358" s="191"/>
      <c r="AD358" s="191"/>
      <c r="AE358" s="191"/>
      <c r="AF358" s="191"/>
      <c r="AG358" s="191"/>
      <c r="AH358" s="191"/>
      <c r="AJ358" s="215"/>
      <c r="AK358" s="215"/>
      <c r="AL358" s="215"/>
      <c r="AM358" s="215"/>
      <c r="AN358" s="215"/>
      <c r="AO358" s="215"/>
      <c r="AP358" s="191"/>
      <c r="AQ358" s="215"/>
      <c r="AR358" s="191"/>
      <c r="AS358" s="215"/>
      <c r="AT358" s="215"/>
      <c r="AU358" s="215"/>
      <c r="AV358" s="215"/>
      <c r="AW358" s="191"/>
      <c r="AX358" s="191"/>
      <c r="AY358" s="191"/>
      <c r="AZ358" s="191"/>
      <c r="BA358" s="191"/>
      <c r="BB358" s="191"/>
      <c r="BC358" s="215"/>
      <c r="BD358" s="215"/>
      <c r="BE358" s="215"/>
      <c r="BF358" s="215"/>
      <c r="BG358" s="191"/>
      <c r="BH358" s="191"/>
      <c r="BI358" s="215"/>
      <c r="BJ358" s="215"/>
      <c r="BK358" s="215"/>
      <c r="BL358" s="215"/>
      <c r="BM358" s="215"/>
      <c r="BN358" s="215"/>
      <c r="BO358" s="215"/>
      <c r="BP358" s="215"/>
      <c r="BQ358" s="215"/>
      <c r="BR358" s="215"/>
      <c r="BS358" s="191"/>
      <c r="BT358" s="191"/>
      <c r="BU358" s="191"/>
      <c r="BV358" s="191"/>
      <c r="BW358" s="191"/>
      <c r="BX358" s="191"/>
      <c r="BY358" s="215"/>
      <c r="BZ358" s="215"/>
      <c r="CA358" s="191"/>
      <c r="CB358" s="191"/>
      <c r="CC358" s="191"/>
      <c r="CD358" s="215"/>
      <c r="CE358" s="215"/>
      <c r="CF358" s="191"/>
      <c r="CG358" s="215"/>
      <c r="CH358" s="191"/>
      <c r="CI358" s="215"/>
      <c r="CJ358" s="191"/>
      <c r="CK358" s="215"/>
      <c r="CL358" s="215"/>
      <c r="CM358" s="215"/>
      <c r="CN358" s="215"/>
      <c r="CO358" s="215"/>
      <c r="CP358" s="215"/>
      <c r="CQ358" s="215"/>
      <c r="CR358" s="215"/>
      <c r="CS358" s="215"/>
      <c r="CT358" s="215"/>
    </row>
    <row r="359" ht="24.0" customHeight="1">
      <c r="A359" s="184" t="s">
        <v>380</v>
      </c>
      <c r="B359" s="184" t="s">
        <v>1260</v>
      </c>
      <c r="C359" s="184" t="s">
        <v>666</v>
      </c>
      <c r="D359" s="184" t="s">
        <v>2431</v>
      </c>
      <c r="E359" s="236" t="s">
        <v>1543</v>
      </c>
      <c r="F359" s="186" t="s">
        <v>2432</v>
      </c>
      <c r="G359" s="185">
        <v>75.0</v>
      </c>
      <c r="H359" s="189" t="s">
        <v>3513</v>
      </c>
      <c r="I359" s="189" t="s">
        <v>3514</v>
      </c>
      <c r="J359" s="189" t="s">
        <v>3515</v>
      </c>
      <c r="K359" s="189" t="s">
        <v>2900</v>
      </c>
      <c r="L359" s="189" t="s">
        <v>3516</v>
      </c>
      <c r="M359" s="189" t="s">
        <v>3517</v>
      </c>
      <c r="N359" s="189" t="s">
        <v>850</v>
      </c>
      <c r="O359" s="189" t="s">
        <v>764</v>
      </c>
      <c r="P359" s="190"/>
      <c r="Q359" s="190"/>
      <c r="R359" s="190"/>
      <c r="S359" s="190"/>
      <c r="T359" s="190"/>
      <c r="U359" s="190"/>
      <c r="V359" s="189" t="s">
        <v>3492</v>
      </c>
      <c r="W359" s="230" t="s">
        <v>1683</v>
      </c>
      <c r="X359" s="245" t="s">
        <v>2873</v>
      </c>
      <c r="Y359" s="189" t="s">
        <v>764</v>
      </c>
      <c r="Z359" s="189" t="s">
        <v>1543</v>
      </c>
      <c r="AA359" s="189" t="s">
        <v>797</v>
      </c>
      <c r="AB359" s="191"/>
      <c r="AC359" s="191"/>
      <c r="AD359" s="191"/>
      <c r="AE359" s="191"/>
      <c r="AF359" s="191"/>
      <c r="AG359" s="191"/>
      <c r="AH359" s="191"/>
      <c r="AJ359" s="215"/>
      <c r="AK359" s="215"/>
      <c r="AL359" s="215"/>
      <c r="AM359" s="215"/>
      <c r="AN359" s="215"/>
      <c r="AO359" s="215"/>
      <c r="AP359" s="191"/>
      <c r="AQ359" s="215"/>
      <c r="AR359" s="191"/>
      <c r="AS359" s="215"/>
      <c r="AT359" s="215"/>
      <c r="AU359" s="215"/>
      <c r="AV359" s="215"/>
      <c r="AW359" s="191"/>
      <c r="AX359" s="191"/>
      <c r="AY359" s="191"/>
      <c r="AZ359" s="191"/>
      <c r="BA359" s="191"/>
      <c r="BB359" s="191"/>
      <c r="BC359" s="191"/>
      <c r="BD359" s="191"/>
      <c r="BE359" s="191"/>
      <c r="BF359" s="191"/>
      <c r="BG359" s="215"/>
      <c r="BH359" s="215"/>
      <c r="BI359" s="215"/>
      <c r="BJ359" s="215"/>
      <c r="BK359" s="215"/>
      <c r="BL359" s="215"/>
      <c r="BM359" s="215"/>
      <c r="BN359" s="215"/>
      <c r="BO359" s="215"/>
      <c r="BP359" s="215"/>
      <c r="BQ359" s="215"/>
      <c r="BR359" s="215"/>
      <c r="BS359" s="191"/>
      <c r="BT359" s="191"/>
      <c r="BU359" s="191"/>
      <c r="BV359" s="191"/>
      <c r="BW359" s="191"/>
      <c r="BX359" s="191"/>
      <c r="BY359" s="191"/>
      <c r="BZ359" s="215"/>
      <c r="CA359" s="191"/>
      <c r="CB359" s="191"/>
      <c r="CC359" s="191"/>
      <c r="CD359" s="215"/>
      <c r="CE359" s="215"/>
      <c r="CF359" s="191"/>
      <c r="CG359" s="215"/>
      <c r="CH359" s="191"/>
      <c r="CI359" s="215"/>
      <c r="CJ359" s="215"/>
      <c r="CK359" s="191"/>
      <c r="CL359" s="215"/>
      <c r="CM359" s="215"/>
      <c r="CN359" s="215"/>
      <c r="CO359" s="215"/>
      <c r="CP359" s="215"/>
      <c r="CQ359" s="215"/>
      <c r="CR359" s="215"/>
      <c r="CS359" s="215"/>
      <c r="CT359" s="215"/>
    </row>
    <row r="360" ht="24.0" customHeight="1">
      <c r="A360" s="184" t="s">
        <v>444</v>
      </c>
      <c r="B360" s="184" t="s">
        <v>1665</v>
      </c>
      <c r="C360" s="184" t="s">
        <v>667</v>
      </c>
      <c r="D360" s="184" t="s">
        <v>2431</v>
      </c>
      <c r="E360" s="236" t="s">
        <v>844</v>
      </c>
      <c r="F360" s="186" t="s">
        <v>2432</v>
      </c>
      <c r="G360" s="185">
        <v>1.0</v>
      </c>
      <c r="H360" s="237" t="s">
        <v>2350</v>
      </c>
      <c r="I360" s="237" t="s">
        <v>3518</v>
      </c>
      <c r="J360" s="237" t="s">
        <v>3519</v>
      </c>
      <c r="K360" s="237" t="s">
        <v>3520</v>
      </c>
      <c r="L360" s="237" t="s">
        <v>3521</v>
      </c>
      <c r="M360" s="237" t="s">
        <v>3522</v>
      </c>
      <c r="N360" s="237" t="s">
        <v>752</v>
      </c>
      <c r="O360" s="237" t="s">
        <v>753</v>
      </c>
      <c r="P360" s="237" t="s">
        <v>1579</v>
      </c>
      <c r="Q360" s="237" t="s">
        <v>1756</v>
      </c>
      <c r="R360" s="190"/>
      <c r="S360" s="190"/>
      <c r="T360" s="190"/>
      <c r="U360" s="190"/>
      <c r="V360" s="237" t="s">
        <v>3523</v>
      </c>
      <c r="W360" s="238" t="s">
        <v>3524</v>
      </c>
      <c r="X360" s="239" t="s">
        <v>3525</v>
      </c>
      <c r="Y360" s="237" t="s">
        <v>753</v>
      </c>
      <c r="Z360" s="237" t="s">
        <v>744</v>
      </c>
      <c r="AA360" s="237" t="s">
        <v>757</v>
      </c>
      <c r="AB360" s="191"/>
      <c r="AC360" s="191"/>
      <c r="AD360" s="191"/>
      <c r="AE360" s="191"/>
      <c r="AF360" s="191"/>
      <c r="AG360" s="191"/>
      <c r="AH360" s="191"/>
      <c r="AJ360" s="215"/>
      <c r="AK360" s="215"/>
      <c r="AL360" s="215"/>
      <c r="AM360" s="215"/>
      <c r="AN360" s="215"/>
      <c r="AO360" s="215"/>
      <c r="AP360" s="191"/>
      <c r="AQ360" s="215"/>
      <c r="AR360" s="191"/>
      <c r="AS360" s="215"/>
      <c r="AT360" s="215"/>
      <c r="AU360" s="215"/>
      <c r="AV360" s="215"/>
      <c r="AW360" s="191"/>
      <c r="AX360" s="191"/>
      <c r="AY360" s="191"/>
      <c r="AZ360" s="191"/>
      <c r="BA360" s="191"/>
      <c r="BB360" s="191"/>
      <c r="BC360" s="191"/>
      <c r="BD360" s="191"/>
      <c r="BE360" s="191"/>
      <c r="BF360" s="191"/>
      <c r="BG360" s="191"/>
      <c r="BH360" s="191"/>
      <c r="BI360" s="191"/>
      <c r="BJ360" s="191"/>
      <c r="BK360" s="215"/>
      <c r="BL360" s="215"/>
      <c r="BM360" s="215"/>
      <c r="BN360" s="215"/>
      <c r="BO360" s="215"/>
      <c r="BP360" s="215"/>
      <c r="BQ360" s="215"/>
      <c r="BR360" s="215"/>
      <c r="BS360" s="191"/>
      <c r="BT360" s="191"/>
      <c r="BU360" s="191"/>
      <c r="BV360" s="191"/>
      <c r="BW360" s="191"/>
      <c r="BX360" s="191"/>
      <c r="BY360" s="191"/>
      <c r="BZ360" s="215"/>
      <c r="CA360" s="191"/>
      <c r="CB360" s="191"/>
      <c r="CC360" s="191"/>
      <c r="CD360" s="215"/>
      <c r="CE360" s="215"/>
      <c r="CF360" s="191"/>
      <c r="CG360" s="215"/>
      <c r="CH360" s="191"/>
      <c r="CI360" s="215"/>
      <c r="CJ360" s="215"/>
      <c r="CK360" s="191"/>
      <c r="CL360" s="215"/>
      <c r="CM360" s="215"/>
      <c r="CN360" s="215"/>
      <c r="CO360" s="215"/>
      <c r="CP360" s="215"/>
      <c r="CQ360" s="215"/>
      <c r="CR360" s="215"/>
      <c r="CS360" s="215"/>
      <c r="CT360" s="215"/>
    </row>
    <row r="361" ht="24.0" customHeight="1">
      <c r="A361" s="184" t="s">
        <v>443</v>
      </c>
      <c r="B361" s="184" t="s">
        <v>1665</v>
      </c>
      <c r="C361" s="184" t="s">
        <v>667</v>
      </c>
      <c r="D361" s="184" t="s">
        <v>2431</v>
      </c>
      <c r="E361" s="236" t="s">
        <v>844</v>
      </c>
      <c r="F361" s="186" t="s">
        <v>2432</v>
      </c>
      <c r="G361" s="185">
        <v>2.0</v>
      </c>
      <c r="H361" s="237" t="s">
        <v>1463</v>
      </c>
      <c r="I361" s="237" t="s">
        <v>3526</v>
      </c>
      <c r="J361" s="237" t="s">
        <v>3527</v>
      </c>
      <c r="K361" s="237" t="s">
        <v>1054</v>
      </c>
      <c r="L361" s="237" t="s">
        <v>3528</v>
      </c>
      <c r="M361" s="237" t="s">
        <v>3529</v>
      </c>
      <c r="N361" s="237" t="s">
        <v>752</v>
      </c>
      <c r="O361" s="237" t="s">
        <v>784</v>
      </c>
      <c r="P361" s="190"/>
      <c r="Q361" s="190"/>
      <c r="R361" s="190"/>
      <c r="S361" s="190"/>
      <c r="T361" s="190"/>
      <c r="U361" s="190"/>
      <c r="V361" s="237" t="s">
        <v>3530</v>
      </c>
      <c r="W361" s="238" t="s">
        <v>3531</v>
      </c>
      <c r="X361" s="239" t="s">
        <v>3532</v>
      </c>
      <c r="Y361" s="237" t="s">
        <v>784</v>
      </c>
      <c r="Z361" s="237" t="s">
        <v>744</v>
      </c>
      <c r="AA361" s="237" t="s">
        <v>757</v>
      </c>
      <c r="AB361" s="191"/>
      <c r="AC361" s="191"/>
      <c r="AD361" s="191"/>
      <c r="AE361" s="191"/>
      <c r="AF361" s="191"/>
      <c r="AG361" s="191"/>
      <c r="AH361" s="191"/>
      <c r="AJ361" s="215"/>
      <c r="AK361" s="215"/>
      <c r="AL361" s="215"/>
      <c r="AM361" s="215"/>
      <c r="AN361" s="215"/>
      <c r="AO361" s="215"/>
      <c r="AP361" s="191"/>
      <c r="AQ361" s="215"/>
      <c r="AR361" s="191"/>
      <c r="AS361" s="215"/>
      <c r="AT361" s="215"/>
      <c r="AU361" s="215"/>
      <c r="AV361" s="215"/>
      <c r="AW361" s="191"/>
      <c r="AX361" s="191"/>
      <c r="AY361" s="191"/>
      <c r="AZ361" s="191"/>
      <c r="BA361" s="191"/>
      <c r="BB361" s="191"/>
      <c r="BC361" s="215"/>
      <c r="BD361" s="215"/>
      <c r="BE361" s="215"/>
      <c r="BF361" s="215"/>
      <c r="BG361" s="191"/>
      <c r="BH361" s="191"/>
      <c r="BI361" s="191"/>
      <c r="BJ361" s="191"/>
      <c r="BK361" s="191"/>
      <c r="BL361" s="191"/>
      <c r="BM361" s="215"/>
      <c r="BN361" s="215"/>
      <c r="BO361" s="215"/>
      <c r="BP361" s="215"/>
      <c r="BQ361" s="215"/>
      <c r="BR361" s="215"/>
      <c r="BS361" s="191"/>
      <c r="BT361" s="191"/>
      <c r="BU361" s="191"/>
      <c r="BV361" s="191"/>
      <c r="BW361" s="191"/>
      <c r="BX361" s="191"/>
      <c r="BY361" s="191"/>
      <c r="BZ361" s="191"/>
      <c r="CA361" s="191"/>
      <c r="CB361" s="191"/>
      <c r="CC361" s="191"/>
      <c r="CD361" s="215"/>
      <c r="CE361" s="215"/>
      <c r="CF361" s="191"/>
      <c r="CG361" s="215"/>
      <c r="CH361" s="191"/>
      <c r="CI361" s="215"/>
      <c r="CJ361" s="215"/>
      <c r="CK361" s="191"/>
      <c r="CL361" s="215"/>
      <c r="CM361" s="215"/>
      <c r="CN361" s="215"/>
      <c r="CO361" s="215"/>
      <c r="CP361" s="215"/>
      <c r="CQ361" s="215"/>
      <c r="CR361" s="215"/>
      <c r="CS361" s="215"/>
      <c r="CT361" s="215"/>
    </row>
    <row r="362" ht="24.0" customHeight="1">
      <c r="A362" s="184" t="s">
        <v>441</v>
      </c>
      <c r="B362" s="184" t="s">
        <v>1665</v>
      </c>
      <c r="C362" s="184" t="s">
        <v>667</v>
      </c>
      <c r="D362" s="184" t="s">
        <v>2431</v>
      </c>
      <c r="E362" s="236" t="s">
        <v>844</v>
      </c>
      <c r="F362" s="186" t="s">
        <v>2432</v>
      </c>
      <c r="G362" s="185">
        <v>3.0</v>
      </c>
      <c r="H362" s="237" t="s">
        <v>3533</v>
      </c>
      <c r="I362" s="237" t="s">
        <v>1553</v>
      </c>
      <c r="J362" s="237" t="s">
        <v>3534</v>
      </c>
      <c r="K362" s="237" t="s">
        <v>2059</v>
      </c>
      <c r="L362" s="237" t="s">
        <v>3535</v>
      </c>
      <c r="M362" s="237" t="s">
        <v>3536</v>
      </c>
      <c r="N362" s="237" t="s">
        <v>752</v>
      </c>
      <c r="O362" s="237" t="s">
        <v>764</v>
      </c>
      <c r="P362" s="190"/>
      <c r="Q362" s="190"/>
      <c r="R362" s="190"/>
      <c r="S362" s="190"/>
      <c r="T362" s="190"/>
      <c r="U362" s="190"/>
      <c r="V362" s="237" t="s">
        <v>3066</v>
      </c>
      <c r="W362" s="238" t="s">
        <v>3067</v>
      </c>
      <c r="X362" s="239" t="s">
        <v>3068</v>
      </c>
      <c r="Y362" s="237" t="s">
        <v>764</v>
      </c>
      <c r="Z362" s="237" t="s">
        <v>744</v>
      </c>
      <c r="AA362" s="237" t="s">
        <v>2377</v>
      </c>
      <c r="AB362" s="191"/>
      <c r="AC362" s="191"/>
      <c r="AD362" s="191"/>
      <c r="AE362" s="191"/>
      <c r="AF362" s="191"/>
      <c r="AG362" s="191"/>
      <c r="AH362" s="191"/>
      <c r="AJ362" s="215"/>
      <c r="AK362" s="215"/>
      <c r="AL362" s="215"/>
      <c r="AM362" s="215"/>
      <c r="AN362" s="215"/>
      <c r="AO362" s="215"/>
      <c r="AP362" s="191"/>
      <c r="AQ362" s="215"/>
      <c r="AR362" s="191"/>
      <c r="AS362" s="215"/>
      <c r="AT362" s="215"/>
      <c r="AU362" s="215"/>
      <c r="AV362" s="215"/>
      <c r="AW362" s="191"/>
      <c r="AX362" s="191"/>
      <c r="AY362" s="191"/>
      <c r="AZ362" s="191"/>
      <c r="BA362" s="191"/>
      <c r="BB362" s="191"/>
      <c r="BC362" s="215"/>
      <c r="BD362" s="215"/>
      <c r="BE362" s="215"/>
      <c r="BF362" s="215"/>
      <c r="BG362" s="215"/>
      <c r="BH362" s="215"/>
      <c r="BI362" s="215"/>
      <c r="BJ362" s="215"/>
      <c r="BK362" s="215"/>
      <c r="BL362" s="215"/>
      <c r="BM362" s="215"/>
      <c r="BN362" s="215"/>
      <c r="BO362" s="215"/>
      <c r="BP362" s="215"/>
      <c r="BQ362" s="215"/>
      <c r="BR362" s="215"/>
      <c r="BS362" s="191"/>
      <c r="BT362" s="191"/>
      <c r="BU362" s="191"/>
      <c r="BV362" s="191"/>
      <c r="BW362" s="191"/>
      <c r="BX362" s="191"/>
      <c r="BY362" s="191"/>
      <c r="BZ362" s="191"/>
      <c r="CA362" s="191"/>
      <c r="CB362" s="191"/>
      <c r="CC362" s="191"/>
      <c r="CD362" s="215"/>
      <c r="CE362" s="215"/>
      <c r="CF362" s="191"/>
      <c r="CG362" s="215"/>
      <c r="CH362" s="191"/>
      <c r="CI362" s="215"/>
      <c r="CJ362" s="191"/>
      <c r="CK362" s="215"/>
      <c r="CL362" s="215"/>
      <c r="CM362" s="215"/>
      <c r="CN362" s="215"/>
      <c r="CO362" s="215"/>
      <c r="CP362" s="215"/>
      <c r="CQ362" s="215"/>
      <c r="CR362" s="215"/>
      <c r="CS362" s="215"/>
      <c r="CT362" s="215"/>
    </row>
    <row r="363" ht="24.0" customHeight="1">
      <c r="A363" s="184" t="s">
        <v>442</v>
      </c>
      <c r="B363" s="184" t="s">
        <v>1665</v>
      </c>
      <c r="C363" s="184" t="s">
        <v>667</v>
      </c>
      <c r="D363" s="184" t="s">
        <v>2431</v>
      </c>
      <c r="E363" s="236" t="s">
        <v>844</v>
      </c>
      <c r="F363" s="186" t="s">
        <v>2432</v>
      </c>
      <c r="G363" s="185">
        <v>4.0</v>
      </c>
      <c r="H363" s="237" t="s">
        <v>3146</v>
      </c>
      <c r="I363" s="237" t="s">
        <v>3537</v>
      </c>
      <c r="J363" s="237" t="s">
        <v>3538</v>
      </c>
      <c r="K363" s="237" t="s">
        <v>3539</v>
      </c>
      <c r="L363" s="237" t="s">
        <v>3540</v>
      </c>
      <c r="M363" s="237" t="s">
        <v>3541</v>
      </c>
      <c r="N363" s="237" t="s">
        <v>752</v>
      </c>
      <c r="O363" s="237" t="s">
        <v>764</v>
      </c>
      <c r="P363" s="190"/>
      <c r="Q363" s="190"/>
      <c r="R363" s="190"/>
      <c r="S363" s="190"/>
      <c r="T363" s="190"/>
      <c r="U363" s="190"/>
      <c r="V363" s="237" t="s">
        <v>866</v>
      </c>
      <c r="W363" s="238" t="s">
        <v>3542</v>
      </c>
      <c r="X363" s="239" t="s">
        <v>868</v>
      </c>
      <c r="Y363" s="237" t="s">
        <v>764</v>
      </c>
      <c r="Z363" s="237" t="s">
        <v>744</v>
      </c>
      <c r="AA363" s="237" t="s">
        <v>757</v>
      </c>
      <c r="AB363" s="191"/>
      <c r="AC363" s="191"/>
      <c r="AD363" s="191"/>
      <c r="AE363" s="191"/>
      <c r="AF363" s="191"/>
      <c r="AG363" s="191"/>
      <c r="AH363" s="191"/>
      <c r="AJ363" s="215"/>
      <c r="AK363" s="215"/>
      <c r="AL363" s="215"/>
      <c r="AM363" s="215"/>
      <c r="AN363" s="215"/>
      <c r="AO363" s="215"/>
      <c r="AP363" s="191"/>
      <c r="AQ363" s="215"/>
      <c r="AR363" s="191"/>
      <c r="AS363" s="215"/>
      <c r="AT363" s="215"/>
      <c r="AU363" s="215"/>
      <c r="AV363" s="215"/>
      <c r="AW363" s="191"/>
      <c r="AX363" s="191"/>
      <c r="AY363" s="191"/>
      <c r="AZ363" s="191"/>
      <c r="BA363" s="191"/>
      <c r="BB363" s="191"/>
      <c r="BC363" s="215"/>
      <c r="BD363" s="215"/>
      <c r="BE363" s="215"/>
      <c r="BF363" s="215"/>
      <c r="BG363" s="191"/>
      <c r="BH363" s="191"/>
      <c r="BI363" s="191"/>
      <c r="BJ363" s="191"/>
      <c r="BK363" s="191"/>
      <c r="BL363" s="191"/>
      <c r="BM363" s="191"/>
      <c r="BN363" s="191"/>
      <c r="BO363" s="191"/>
      <c r="BP363" s="191"/>
      <c r="BQ363" s="215"/>
      <c r="BR363" s="215"/>
      <c r="BS363" s="191"/>
      <c r="BT363" s="191"/>
      <c r="BU363" s="191"/>
      <c r="BV363" s="191"/>
      <c r="BW363" s="191"/>
      <c r="BX363" s="191"/>
      <c r="BY363" s="191"/>
      <c r="BZ363" s="215"/>
      <c r="CA363" s="191"/>
      <c r="CB363" s="191"/>
      <c r="CC363" s="191"/>
      <c r="CD363" s="215"/>
      <c r="CE363" s="215"/>
      <c r="CF363" s="191"/>
      <c r="CG363" s="215"/>
      <c r="CH363" s="191"/>
      <c r="CI363" s="215"/>
      <c r="CJ363" s="215"/>
      <c r="CK363" s="215"/>
      <c r="CL363" s="215"/>
      <c r="CM363" s="215"/>
      <c r="CN363" s="215"/>
      <c r="CO363" s="215"/>
      <c r="CP363" s="215"/>
      <c r="CQ363" s="215"/>
      <c r="CR363" s="215"/>
      <c r="CS363" s="215"/>
      <c r="CT363" s="215"/>
    </row>
    <row r="364" ht="24.0" customHeight="1">
      <c r="A364" s="184" t="s">
        <v>440</v>
      </c>
      <c r="B364" s="184" t="s">
        <v>1665</v>
      </c>
      <c r="C364" s="184" t="s">
        <v>667</v>
      </c>
      <c r="D364" s="184" t="s">
        <v>2431</v>
      </c>
      <c r="E364" s="236" t="s">
        <v>844</v>
      </c>
      <c r="F364" s="186" t="s">
        <v>2432</v>
      </c>
      <c r="G364" s="185">
        <v>5.0</v>
      </c>
      <c r="H364" s="237" t="s">
        <v>3543</v>
      </c>
      <c r="I364" s="237" t="s">
        <v>3544</v>
      </c>
      <c r="J364" s="237" t="s">
        <v>3545</v>
      </c>
      <c r="K364" s="237" t="s">
        <v>2059</v>
      </c>
      <c r="L364" s="237" t="s">
        <v>3546</v>
      </c>
      <c r="M364" s="237" t="s">
        <v>3547</v>
      </c>
      <c r="N364" s="237" t="s">
        <v>752</v>
      </c>
      <c r="O364" s="237" t="s">
        <v>764</v>
      </c>
      <c r="P364" s="237" t="s">
        <v>3548</v>
      </c>
      <c r="Q364" s="237" t="s">
        <v>3549</v>
      </c>
      <c r="R364" s="190"/>
      <c r="S364" s="190"/>
      <c r="T364" s="190"/>
      <c r="U364" s="190"/>
      <c r="V364" s="237" t="s">
        <v>3550</v>
      </c>
      <c r="W364" s="238" t="s">
        <v>3551</v>
      </c>
      <c r="X364" s="239" t="s">
        <v>3552</v>
      </c>
      <c r="Y364" s="237" t="s">
        <v>764</v>
      </c>
      <c r="Z364" s="237" t="s">
        <v>744</v>
      </c>
      <c r="AA364" s="237" t="s">
        <v>757</v>
      </c>
      <c r="AB364" s="191"/>
      <c r="AC364" s="191"/>
      <c r="AD364" s="191"/>
      <c r="AE364" s="191"/>
      <c r="AF364" s="191"/>
      <c r="AG364" s="191"/>
      <c r="AH364" s="191"/>
      <c r="AJ364" s="215"/>
      <c r="AK364" s="215"/>
      <c r="AL364" s="215"/>
      <c r="AM364" s="215"/>
      <c r="AN364" s="215"/>
      <c r="AO364" s="215"/>
      <c r="AP364" s="191"/>
      <c r="AQ364" s="215"/>
      <c r="AR364" s="191"/>
      <c r="AS364" s="215"/>
      <c r="AT364" s="215"/>
      <c r="AU364" s="215"/>
      <c r="AV364" s="215"/>
      <c r="AW364" s="191"/>
      <c r="AX364" s="191"/>
      <c r="AY364" s="191"/>
      <c r="AZ364" s="191"/>
      <c r="BA364" s="191"/>
      <c r="BB364" s="191"/>
      <c r="BC364" s="215"/>
      <c r="BD364" s="215"/>
      <c r="BE364" s="215"/>
      <c r="BF364" s="215"/>
      <c r="BG364" s="215"/>
      <c r="BH364" s="215"/>
      <c r="BI364" s="215"/>
      <c r="BJ364" s="215"/>
      <c r="BK364" s="215"/>
      <c r="BL364" s="215"/>
      <c r="BM364" s="215"/>
      <c r="BN364" s="215"/>
      <c r="BO364" s="215"/>
      <c r="BP364" s="215"/>
      <c r="BQ364" s="215"/>
      <c r="BR364" s="215"/>
      <c r="BS364" s="191"/>
      <c r="BT364" s="191"/>
      <c r="BU364" s="191"/>
      <c r="BV364" s="191"/>
      <c r="BW364" s="191"/>
      <c r="BX364" s="191"/>
      <c r="BY364" s="191"/>
      <c r="BZ364" s="191"/>
      <c r="CA364" s="191"/>
      <c r="CB364" s="191"/>
      <c r="CC364" s="191"/>
      <c r="CD364" s="215"/>
      <c r="CE364" s="215"/>
      <c r="CF364" s="191"/>
      <c r="CG364" s="215"/>
      <c r="CH364" s="191"/>
      <c r="CI364" s="215"/>
      <c r="CJ364" s="215"/>
      <c r="CK364" s="191"/>
      <c r="CL364" s="240"/>
      <c r="CM364" s="215"/>
      <c r="CN364" s="215"/>
      <c r="CO364" s="215"/>
      <c r="CP364" s="215"/>
      <c r="CQ364" s="215"/>
      <c r="CR364" s="215"/>
      <c r="CS364" s="215"/>
      <c r="CT364" s="215"/>
    </row>
    <row r="365" ht="24.0" customHeight="1">
      <c r="A365" s="184" t="s">
        <v>438</v>
      </c>
      <c r="B365" s="184" t="s">
        <v>1665</v>
      </c>
      <c r="C365" s="184" t="s">
        <v>667</v>
      </c>
      <c r="D365" s="184" t="s">
        <v>2431</v>
      </c>
      <c r="E365" s="236" t="s">
        <v>844</v>
      </c>
      <c r="F365" s="186" t="s">
        <v>2432</v>
      </c>
      <c r="G365" s="185">
        <v>6.0</v>
      </c>
      <c r="H365" s="237" t="s">
        <v>746</v>
      </c>
      <c r="I365" s="237" t="s">
        <v>3553</v>
      </c>
      <c r="J365" s="237" t="s">
        <v>3554</v>
      </c>
      <c r="K365" s="237" t="s">
        <v>2474</v>
      </c>
      <c r="L365" s="237" t="s">
        <v>3555</v>
      </c>
      <c r="M365" s="237" t="s">
        <v>3556</v>
      </c>
      <c r="N365" s="237" t="s">
        <v>752</v>
      </c>
      <c r="O365" s="237" t="s">
        <v>893</v>
      </c>
      <c r="P365" s="237" t="s">
        <v>3091</v>
      </c>
      <c r="Q365" s="237" t="s">
        <v>1229</v>
      </c>
      <c r="R365" s="237" t="s">
        <v>1442</v>
      </c>
      <c r="S365" s="237" t="s">
        <v>1443</v>
      </c>
      <c r="T365" s="190"/>
      <c r="U365" s="190"/>
      <c r="V365" s="237" t="s">
        <v>1838</v>
      </c>
      <c r="W365" s="238" t="s">
        <v>1839</v>
      </c>
      <c r="X365" s="239" t="s">
        <v>1840</v>
      </c>
      <c r="Y365" s="237" t="s">
        <v>893</v>
      </c>
      <c r="Z365" s="237" t="s">
        <v>744</v>
      </c>
      <c r="AA365" s="237" t="s">
        <v>757</v>
      </c>
      <c r="AB365" s="191"/>
      <c r="AC365" s="191"/>
      <c r="AD365" s="191"/>
      <c r="AE365" s="191"/>
      <c r="AF365" s="191"/>
      <c r="AG365" s="191"/>
      <c r="AH365" s="191"/>
      <c r="AJ365" s="215"/>
      <c r="AK365" s="215"/>
      <c r="AL365" s="215"/>
      <c r="AM365" s="215"/>
      <c r="AN365" s="215"/>
      <c r="AO365" s="215"/>
      <c r="AP365" s="191"/>
      <c r="AQ365" s="215"/>
      <c r="AR365" s="191"/>
      <c r="AS365" s="215"/>
      <c r="AT365" s="215"/>
      <c r="AU365" s="215"/>
      <c r="AV365" s="215"/>
      <c r="AW365" s="191"/>
      <c r="AX365" s="191"/>
      <c r="AY365" s="191"/>
      <c r="AZ365" s="191"/>
      <c r="BA365" s="191"/>
      <c r="BB365" s="191"/>
      <c r="BC365" s="215"/>
      <c r="BD365" s="215"/>
      <c r="BE365" s="215"/>
      <c r="BF365" s="215"/>
      <c r="BG365" s="215"/>
      <c r="BH365" s="215"/>
      <c r="BI365" s="215"/>
      <c r="BJ365" s="215"/>
      <c r="BK365" s="215"/>
      <c r="BL365" s="215"/>
      <c r="BM365" s="215"/>
      <c r="BN365" s="215"/>
      <c r="BO365" s="215"/>
      <c r="BP365" s="215"/>
      <c r="BQ365" s="215"/>
      <c r="BR365" s="215"/>
      <c r="BS365" s="191"/>
      <c r="BT365" s="191"/>
      <c r="BU365" s="191"/>
      <c r="BV365" s="191"/>
      <c r="BW365" s="191"/>
      <c r="BX365" s="191"/>
      <c r="BY365" s="215"/>
      <c r="BZ365" s="215"/>
      <c r="CA365" s="191"/>
      <c r="CB365" s="191"/>
      <c r="CC365" s="191"/>
      <c r="CD365" s="215"/>
      <c r="CE365" s="215"/>
      <c r="CF365" s="191"/>
      <c r="CG365" s="215"/>
      <c r="CH365" s="191"/>
      <c r="CI365" s="215"/>
      <c r="CJ365" s="215"/>
      <c r="CK365" s="215"/>
      <c r="CL365" s="240"/>
      <c r="CM365" s="215"/>
      <c r="CN365" s="215"/>
      <c r="CO365" s="215"/>
      <c r="CP365" s="215"/>
      <c r="CQ365" s="215"/>
      <c r="CR365" s="215"/>
      <c r="CS365" s="215"/>
      <c r="CT365" s="215"/>
    </row>
    <row r="366" ht="24.0" customHeight="1">
      <c r="A366" s="184" t="s">
        <v>439</v>
      </c>
      <c r="B366" s="184" t="s">
        <v>1665</v>
      </c>
      <c r="C366" s="184" t="s">
        <v>667</v>
      </c>
      <c r="D366" s="184" t="s">
        <v>2431</v>
      </c>
      <c r="E366" s="186" t="s">
        <v>844</v>
      </c>
      <c r="F366" s="186" t="s">
        <v>2432</v>
      </c>
      <c r="G366" s="185">
        <v>76.0</v>
      </c>
      <c r="H366" s="187" t="s">
        <v>3557</v>
      </c>
      <c r="I366" s="185" t="s">
        <v>3558</v>
      </c>
      <c r="J366" s="185" t="s">
        <v>3559</v>
      </c>
      <c r="K366" s="185" t="s">
        <v>2059</v>
      </c>
      <c r="L366" s="185" t="s">
        <v>3560</v>
      </c>
      <c r="M366" s="185" t="s">
        <v>3561</v>
      </c>
      <c r="N366" s="185" t="s">
        <v>752</v>
      </c>
      <c r="O366" s="185" t="s">
        <v>3562</v>
      </c>
      <c r="P366" s="210"/>
      <c r="Q366" s="190"/>
      <c r="R366" s="190"/>
      <c r="S366" s="190"/>
      <c r="T366" s="190"/>
      <c r="U366" s="210"/>
      <c r="V366" s="185" t="s">
        <v>3563</v>
      </c>
      <c r="W366" s="230" t="s">
        <v>3564</v>
      </c>
      <c r="X366" s="254"/>
      <c r="Y366" s="210"/>
      <c r="Z366" s="186" t="s">
        <v>844</v>
      </c>
      <c r="AA366" s="189" t="s">
        <v>757</v>
      </c>
      <c r="AB366" s="231"/>
      <c r="AC366" s="231"/>
      <c r="AD366" s="231"/>
      <c r="AE366" s="231"/>
      <c r="AF366" s="231"/>
      <c r="AG366" s="231"/>
      <c r="AH366" s="231"/>
      <c r="AJ366" s="231"/>
      <c r="AK366" s="232"/>
      <c r="AL366" s="231"/>
      <c r="AM366" s="232"/>
      <c r="AN366" s="231"/>
      <c r="AO366" s="232"/>
      <c r="AP366" s="232"/>
      <c r="AQ366" s="232"/>
      <c r="AR366" s="232"/>
      <c r="AS366" s="232"/>
      <c r="AT366" s="232"/>
      <c r="AU366" s="232"/>
      <c r="AV366" s="232"/>
      <c r="AW366" s="231"/>
      <c r="AX366" s="231"/>
      <c r="AY366" s="231"/>
      <c r="AZ366" s="231"/>
      <c r="BA366" s="231"/>
      <c r="BB366" s="231"/>
      <c r="BC366" s="231"/>
      <c r="BD366" s="231"/>
      <c r="BE366" s="231"/>
      <c r="BF366" s="231"/>
      <c r="BG366" s="231"/>
      <c r="BH366" s="231"/>
      <c r="BI366" s="232"/>
      <c r="BJ366" s="232"/>
      <c r="BK366" s="232"/>
      <c r="BL366" s="232"/>
      <c r="BM366" s="232"/>
      <c r="BN366" s="232"/>
      <c r="BO366" s="232"/>
      <c r="BP366" s="232"/>
      <c r="BQ366" s="232"/>
      <c r="BR366" s="232"/>
      <c r="BS366" s="231"/>
      <c r="BT366" s="231"/>
      <c r="BU366" s="231"/>
      <c r="BV366" s="231"/>
      <c r="BW366" s="231"/>
      <c r="BX366" s="231"/>
      <c r="BY366" s="231"/>
      <c r="BZ366" s="231"/>
      <c r="CA366" s="231"/>
      <c r="CB366" s="231"/>
      <c r="CC366" s="231"/>
      <c r="CD366" s="231"/>
      <c r="CE366" s="232"/>
      <c r="CF366" s="232"/>
      <c r="CG366" s="232"/>
      <c r="CH366" s="231"/>
      <c r="CI366" s="232"/>
      <c r="CJ366" s="232"/>
      <c r="CK366" s="231"/>
      <c r="CL366" s="233"/>
      <c r="CM366" s="232"/>
      <c r="CN366" s="232"/>
      <c r="CO366" s="232"/>
      <c r="CP366" s="232"/>
      <c r="CQ366" s="232"/>
      <c r="CR366" s="232"/>
      <c r="CS366" s="232"/>
      <c r="CT366" s="232"/>
    </row>
    <row r="367" ht="24.0" customHeight="1">
      <c r="A367" s="184" t="s">
        <v>465</v>
      </c>
      <c r="B367" s="184" t="s">
        <v>1665</v>
      </c>
      <c r="C367" s="184" t="s">
        <v>668</v>
      </c>
      <c r="D367" s="184" t="s">
        <v>2431</v>
      </c>
      <c r="E367" s="186" t="s">
        <v>900</v>
      </c>
      <c r="F367" s="186" t="s">
        <v>2432</v>
      </c>
      <c r="G367" s="185">
        <v>7.0</v>
      </c>
      <c r="H367" s="209" t="s">
        <v>3565</v>
      </c>
      <c r="I367" s="209" t="s">
        <v>3566</v>
      </c>
      <c r="J367" s="209" t="s">
        <v>3567</v>
      </c>
      <c r="K367" s="209" t="s">
        <v>3568</v>
      </c>
      <c r="L367" s="209" t="s">
        <v>3569</v>
      </c>
      <c r="M367" s="209" t="s">
        <v>3570</v>
      </c>
      <c r="N367" s="209" t="s">
        <v>752</v>
      </c>
      <c r="O367" s="237" t="s">
        <v>1789</v>
      </c>
      <c r="P367" s="237" t="s">
        <v>2120</v>
      </c>
      <c r="Q367" s="237" t="s">
        <v>3571</v>
      </c>
      <c r="R367" s="190"/>
      <c r="S367" s="190"/>
      <c r="T367" s="190"/>
      <c r="U367" s="210"/>
      <c r="V367" s="209" t="s">
        <v>3572</v>
      </c>
      <c r="W367" s="238" t="s">
        <v>3573</v>
      </c>
      <c r="X367" s="239" t="s">
        <v>3574</v>
      </c>
      <c r="Y367" s="209" t="s">
        <v>1789</v>
      </c>
      <c r="Z367" s="209" t="s">
        <v>744</v>
      </c>
      <c r="AA367" s="237" t="s">
        <v>1296</v>
      </c>
      <c r="AB367" s="231"/>
      <c r="AC367" s="231"/>
      <c r="AD367" s="231"/>
      <c r="AE367" s="231"/>
      <c r="AF367" s="231"/>
      <c r="AG367" s="231"/>
      <c r="AH367" s="231"/>
      <c r="AJ367" s="231"/>
      <c r="AK367" s="232"/>
      <c r="AL367" s="231"/>
      <c r="AM367" s="232"/>
      <c r="AN367" s="231"/>
      <c r="AO367" s="232"/>
      <c r="AP367" s="232"/>
      <c r="AQ367" s="232"/>
      <c r="AR367" s="232"/>
      <c r="AS367" s="232"/>
      <c r="AT367" s="232"/>
      <c r="AU367" s="232"/>
      <c r="AV367" s="232"/>
      <c r="AW367" s="231"/>
      <c r="AX367" s="231"/>
      <c r="AY367" s="231"/>
      <c r="AZ367" s="231"/>
      <c r="BA367" s="231"/>
      <c r="BB367" s="231"/>
      <c r="BC367" s="231"/>
      <c r="BD367" s="231"/>
      <c r="BE367" s="231"/>
      <c r="BF367" s="231"/>
      <c r="BG367" s="232"/>
      <c r="BH367" s="232"/>
      <c r="BI367" s="232"/>
      <c r="BJ367" s="232"/>
      <c r="BK367" s="232"/>
      <c r="BL367" s="232"/>
      <c r="BM367" s="232"/>
      <c r="BN367" s="232"/>
      <c r="BO367" s="232"/>
      <c r="BP367" s="232"/>
      <c r="BQ367" s="232"/>
      <c r="BR367" s="232"/>
      <c r="BS367" s="231"/>
      <c r="BT367" s="231"/>
      <c r="BU367" s="231"/>
      <c r="BV367" s="231"/>
      <c r="BW367" s="231"/>
      <c r="BX367" s="231"/>
      <c r="BY367" s="231"/>
      <c r="BZ367" s="232"/>
      <c r="CA367" s="231"/>
      <c r="CB367" s="231"/>
      <c r="CC367" s="231"/>
      <c r="CD367" s="231"/>
      <c r="CE367" s="232"/>
      <c r="CF367" s="232"/>
      <c r="CG367" s="232"/>
      <c r="CH367" s="231"/>
      <c r="CI367" s="232"/>
      <c r="CJ367" s="231"/>
      <c r="CK367" s="231"/>
      <c r="CL367" s="233"/>
      <c r="CM367" s="232"/>
      <c r="CN367" s="232"/>
      <c r="CO367" s="232"/>
      <c r="CP367" s="232"/>
      <c r="CQ367" s="232"/>
      <c r="CR367" s="232"/>
      <c r="CS367" s="232"/>
      <c r="CT367" s="232"/>
    </row>
    <row r="368" ht="24.0" customHeight="1">
      <c r="A368" s="184" t="s">
        <v>459</v>
      </c>
      <c r="B368" s="184" t="s">
        <v>1665</v>
      </c>
      <c r="C368" s="184" t="s">
        <v>668</v>
      </c>
      <c r="D368" s="184" t="s">
        <v>2431</v>
      </c>
      <c r="E368" s="186" t="s">
        <v>900</v>
      </c>
      <c r="F368" s="186" t="s">
        <v>2432</v>
      </c>
      <c r="G368" s="185">
        <v>8.0</v>
      </c>
      <c r="H368" s="209" t="s">
        <v>3575</v>
      </c>
      <c r="I368" s="209" t="s">
        <v>3576</v>
      </c>
      <c r="J368" s="209" t="s">
        <v>3577</v>
      </c>
      <c r="K368" s="209" t="s">
        <v>3578</v>
      </c>
      <c r="L368" s="209" t="s">
        <v>3579</v>
      </c>
      <c r="M368" s="209" t="s">
        <v>3580</v>
      </c>
      <c r="N368" s="209" t="s">
        <v>752</v>
      </c>
      <c r="O368" s="237" t="s">
        <v>764</v>
      </c>
      <c r="P368" s="190"/>
      <c r="Q368" s="190"/>
      <c r="R368" s="190"/>
      <c r="S368" s="190"/>
      <c r="T368" s="190"/>
      <c r="U368" s="210"/>
      <c r="V368" s="209" t="s">
        <v>3581</v>
      </c>
      <c r="W368" s="238" t="s">
        <v>2423</v>
      </c>
      <c r="X368" s="239" t="s">
        <v>3582</v>
      </c>
      <c r="Y368" s="209" t="s">
        <v>784</v>
      </c>
      <c r="Z368" s="209" t="s">
        <v>744</v>
      </c>
      <c r="AA368" s="237" t="s">
        <v>757</v>
      </c>
      <c r="AB368" s="231"/>
      <c r="AC368" s="231"/>
      <c r="AD368" s="231"/>
      <c r="AE368" s="231"/>
      <c r="AF368" s="231"/>
      <c r="AG368" s="231"/>
      <c r="AH368" s="231"/>
      <c r="AJ368" s="231"/>
      <c r="AK368" s="232"/>
      <c r="AL368" s="231"/>
      <c r="AM368" s="232"/>
      <c r="AN368" s="231"/>
      <c r="AO368" s="232"/>
      <c r="AP368" s="232"/>
      <c r="AQ368" s="232"/>
      <c r="AR368" s="232"/>
      <c r="AS368" s="232"/>
      <c r="AT368" s="232"/>
      <c r="AU368" s="232"/>
      <c r="AV368" s="232"/>
      <c r="AW368" s="231"/>
      <c r="AX368" s="231"/>
      <c r="AY368" s="231"/>
      <c r="AZ368" s="231"/>
      <c r="BA368" s="231"/>
      <c r="BB368" s="231"/>
      <c r="BC368" s="232"/>
      <c r="BD368" s="232"/>
      <c r="BE368" s="232"/>
      <c r="BF368" s="232"/>
      <c r="BG368" s="231"/>
      <c r="BH368" s="231"/>
      <c r="BI368" s="231"/>
      <c r="BJ368" s="231"/>
      <c r="BK368" s="232"/>
      <c r="BL368" s="232"/>
      <c r="BM368" s="232"/>
      <c r="BN368" s="232"/>
      <c r="BO368" s="232"/>
      <c r="BP368" s="232"/>
      <c r="BQ368" s="232"/>
      <c r="BR368" s="232"/>
      <c r="BS368" s="231"/>
      <c r="BT368" s="231"/>
      <c r="BU368" s="231"/>
      <c r="BV368" s="231"/>
      <c r="BW368" s="231"/>
      <c r="BX368" s="231"/>
      <c r="BY368" s="231"/>
      <c r="BZ368" s="231"/>
      <c r="CA368" s="231"/>
      <c r="CB368" s="231"/>
      <c r="CC368" s="231"/>
      <c r="CD368" s="231"/>
      <c r="CE368" s="232"/>
      <c r="CF368" s="232"/>
      <c r="CG368" s="232"/>
      <c r="CH368" s="231"/>
      <c r="CI368" s="232"/>
      <c r="CJ368" s="231"/>
      <c r="CK368" s="231"/>
      <c r="CL368" s="233"/>
      <c r="CM368" s="232"/>
      <c r="CN368" s="232"/>
      <c r="CO368" s="232"/>
      <c r="CP368" s="232"/>
      <c r="CQ368" s="232"/>
      <c r="CR368" s="232"/>
      <c r="CS368" s="232"/>
      <c r="CT368" s="232"/>
    </row>
    <row r="369" ht="24.0" customHeight="1">
      <c r="A369" s="184" t="s">
        <v>460</v>
      </c>
      <c r="B369" s="184" t="s">
        <v>1665</v>
      </c>
      <c r="C369" s="184" t="s">
        <v>668</v>
      </c>
      <c r="D369" s="184" t="s">
        <v>2431</v>
      </c>
      <c r="E369" s="186" t="s">
        <v>900</v>
      </c>
      <c r="F369" s="186" t="s">
        <v>2432</v>
      </c>
      <c r="G369" s="185">
        <v>9.0</v>
      </c>
      <c r="H369" s="209" t="s">
        <v>3583</v>
      </c>
      <c r="I369" s="209" t="s">
        <v>3584</v>
      </c>
      <c r="J369" s="209" t="s">
        <v>3585</v>
      </c>
      <c r="K369" s="209" t="s">
        <v>1328</v>
      </c>
      <c r="L369" s="209" t="s">
        <v>3586</v>
      </c>
      <c r="M369" s="209" t="s">
        <v>3587</v>
      </c>
      <c r="N369" s="209" t="s">
        <v>752</v>
      </c>
      <c r="O369" s="237" t="s">
        <v>764</v>
      </c>
      <c r="P369" s="190"/>
      <c r="Q369" s="190"/>
      <c r="R369" s="190"/>
      <c r="S369" s="190"/>
      <c r="T369" s="190"/>
      <c r="U369" s="210"/>
      <c r="V369" s="209" t="s">
        <v>1332</v>
      </c>
      <c r="W369" s="238" t="s">
        <v>1333</v>
      </c>
      <c r="X369" s="239" t="s">
        <v>1334</v>
      </c>
      <c r="Y369" s="209" t="s">
        <v>784</v>
      </c>
      <c r="Z369" s="209" t="s">
        <v>744</v>
      </c>
      <c r="AA369" s="237" t="s">
        <v>757</v>
      </c>
      <c r="AB369" s="231"/>
      <c r="AC369" s="231"/>
      <c r="AD369" s="231"/>
      <c r="AE369" s="231"/>
      <c r="AF369" s="231"/>
      <c r="AG369" s="231"/>
      <c r="AH369" s="231"/>
      <c r="AJ369" s="231"/>
      <c r="AK369" s="232"/>
      <c r="AL369" s="231"/>
      <c r="AM369" s="232"/>
      <c r="AN369" s="231"/>
      <c r="AO369" s="232"/>
      <c r="AP369" s="232"/>
      <c r="AQ369" s="232"/>
      <c r="AR369" s="232"/>
      <c r="AS369" s="232"/>
      <c r="AT369" s="232"/>
      <c r="AU369" s="232"/>
      <c r="AV369" s="232"/>
      <c r="AW369" s="231"/>
      <c r="AX369" s="231"/>
      <c r="AY369" s="231"/>
      <c r="AZ369" s="231"/>
      <c r="BA369" s="231"/>
      <c r="BB369" s="231"/>
      <c r="BC369" s="231"/>
      <c r="BD369" s="231"/>
      <c r="BE369" s="231"/>
      <c r="BF369" s="231"/>
      <c r="BG369" s="231"/>
      <c r="BH369" s="231"/>
      <c r="BI369" s="231"/>
      <c r="BJ369" s="231"/>
      <c r="BK369" s="232"/>
      <c r="BL369" s="232"/>
      <c r="BM369" s="232"/>
      <c r="BN369" s="232"/>
      <c r="BO369" s="232"/>
      <c r="BP369" s="232"/>
      <c r="BQ369" s="232"/>
      <c r="BR369" s="232"/>
      <c r="BS369" s="231"/>
      <c r="BT369" s="231"/>
      <c r="BU369" s="231"/>
      <c r="BV369" s="231"/>
      <c r="BW369" s="231"/>
      <c r="BX369" s="231"/>
      <c r="BY369" s="231"/>
      <c r="BZ369" s="231"/>
      <c r="CA369" s="231"/>
      <c r="CB369" s="231"/>
      <c r="CC369" s="231"/>
      <c r="CD369" s="231"/>
      <c r="CE369" s="232"/>
      <c r="CF369" s="232"/>
      <c r="CG369" s="232"/>
      <c r="CH369" s="231"/>
      <c r="CI369" s="232"/>
      <c r="CJ369" s="232"/>
      <c r="CK369" s="231"/>
      <c r="CL369" s="235"/>
      <c r="CM369" s="232"/>
      <c r="CN369" s="232"/>
      <c r="CO369" s="232"/>
      <c r="CP369" s="232"/>
      <c r="CQ369" s="232"/>
      <c r="CR369" s="232"/>
      <c r="CS369" s="232"/>
      <c r="CT369" s="232"/>
    </row>
    <row r="370" ht="24.0" customHeight="1">
      <c r="A370" s="220" t="s">
        <v>461</v>
      </c>
      <c r="B370" s="220" t="s">
        <v>1665</v>
      </c>
      <c r="C370" s="220" t="s">
        <v>668</v>
      </c>
      <c r="D370" s="184" t="s">
        <v>2431</v>
      </c>
      <c r="E370" s="221" t="s">
        <v>900</v>
      </c>
      <c r="F370" s="186" t="s">
        <v>2432</v>
      </c>
      <c r="G370" s="225">
        <v>10.0</v>
      </c>
      <c r="H370" s="241" t="s">
        <v>3588</v>
      </c>
      <c r="I370" s="241" t="s">
        <v>3589</v>
      </c>
      <c r="J370" s="241" t="s">
        <v>3590</v>
      </c>
      <c r="K370" s="241" t="s">
        <v>2059</v>
      </c>
      <c r="L370" s="241" t="s">
        <v>3591</v>
      </c>
      <c r="M370" s="241" t="s">
        <v>3592</v>
      </c>
      <c r="N370" s="241" t="s">
        <v>752</v>
      </c>
      <c r="O370" s="241" t="s">
        <v>764</v>
      </c>
      <c r="P370" s="241" t="s">
        <v>2351</v>
      </c>
      <c r="Q370" s="241" t="s">
        <v>2663</v>
      </c>
      <c r="R370" s="241" t="s">
        <v>2019</v>
      </c>
      <c r="S370" s="244" t="s">
        <v>3593</v>
      </c>
      <c r="T370" s="190"/>
      <c r="U370" s="210"/>
      <c r="V370" s="241" t="s">
        <v>866</v>
      </c>
      <c r="W370" s="242" t="s">
        <v>867</v>
      </c>
      <c r="X370" s="243" t="s">
        <v>868</v>
      </c>
      <c r="Y370" s="241" t="s">
        <v>764</v>
      </c>
      <c r="Z370" s="241" t="s">
        <v>744</v>
      </c>
      <c r="AA370" s="244" t="s">
        <v>797</v>
      </c>
      <c r="AB370" s="231"/>
      <c r="AC370" s="231"/>
      <c r="AD370" s="231"/>
      <c r="AE370" s="231"/>
      <c r="AF370" s="231"/>
      <c r="AG370" s="231"/>
      <c r="AH370" s="231"/>
      <c r="AJ370" s="231"/>
      <c r="AK370" s="232"/>
      <c r="AL370" s="231"/>
      <c r="AM370" s="232"/>
      <c r="AN370" s="231"/>
      <c r="AO370" s="232"/>
      <c r="AP370" s="232"/>
      <c r="AQ370" s="232"/>
      <c r="AR370" s="232"/>
      <c r="AS370" s="232"/>
      <c r="AT370" s="232"/>
      <c r="AU370" s="232"/>
      <c r="AV370" s="232"/>
      <c r="AW370" s="231"/>
      <c r="AX370" s="231"/>
      <c r="AY370" s="231"/>
      <c r="AZ370" s="231"/>
      <c r="BA370" s="231"/>
      <c r="BB370" s="231"/>
      <c r="BC370" s="231"/>
      <c r="BD370" s="231"/>
      <c r="BE370" s="231"/>
      <c r="BF370" s="231"/>
      <c r="BG370" s="231"/>
      <c r="BH370" s="231"/>
      <c r="BI370" s="231"/>
      <c r="BJ370" s="231"/>
      <c r="BK370" s="231"/>
      <c r="BL370" s="231"/>
      <c r="BM370" s="231"/>
      <c r="BN370" s="231"/>
      <c r="BO370" s="232"/>
      <c r="BP370" s="232"/>
      <c r="BQ370" s="232"/>
      <c r="BR370" s="232"/>
      <c r="BS370" s="231"/>
      <c r="BT370" s="231"/>
      <c r="BU370" s="231"/>
      <c r="BV370" s="231"/>
      <c r="BW370" s="231"/>
      <c r="BX370" s="231"/>
      <c r="BY370" s="231"/>
      <c r="BZ370" s="231"/>
      <c r="CA370" s="231"/>
      <c r="CB370" s="231"/>
      <c r="CC370" s="231"/>
      <c r="CD370" s="231"/>
      <c r="CE370" s="232"/>
      <c r="CF370" s="232"/>
      <c r="CG370" s="232"/>
      <c r="CH370" s="231"/>
      <c r="CI370" s="232"/>
      <c r="CJ370" s="232"/>
      <c r="CK370" s="231"/>
      <c r="CL370" s="235"/>
      <c r="CM370" s="232"/>
      <c r="CN370" s="232"/>
      <c r="CO370" s="232"/>
      <c r="CP370" s="232"/>
      <c r="CQ370" s="232"/>
      <c r="CR370" s="232"/>
      <c r="CS370" s="232"/>
      <c r="CT370" s="232"/>
    </row>
    <row r="371" ht="24.0" customHeight="1">
      <c r="A371" s="184" t="s">
        <v>463</v>
      </c>
      <c r="B371" s="184" t="s">
        <v>1665</v>
      </c>
      <c r="C371" s="184" t="s">
        <v>668</v>
      </c>
      <c r="D371" s="184" t="s">
        <v>2431</v>
      </c>
      <c r="E371" s="186" t="s">
        <v>900</v>
      </c>
      <c r="F371" s="186" t="s">
        <v>2432</v>
      </c>
      <c r="G371" s="185">
        <v>11.0</v>
      </c>
      <c r="H371" s="209" t="s">
        <v>3594</v>
      </c>
      <c r="I371" s="209" t="s">
        <v>3246</v>
      </c>
      <c r="J371" s="209" t="s">
        <v>3595</v>
      </c>
      <c r="K371" s="209" t="s">
        <v>3012</v>
      </c>
      <c r="L371" s="209" t="s">
        <v>3596</v>
      </c>
      <c r="M371" s="209" t="s">
        <v>3597</v>
      </c>
      <c r="N371" s="209" t="s">
        <v>752</v>
      </c>
      <c r="O371" s="209" t="s">
        <v>764</v>
      </c>
      <c r="P371" s="190"/>
      <c r="Q371" s="190"/>
      <c r="R371" s="190"/>
      <c r="S371" s="190"/>
      <c r="T371" s="190"/>
      <c r="U371" s="210"/>
      <c r="V371" s="209" t="s">
        <v>869</v>
      </c>
      <c r="W371" s="238" t="s">
        <v>3598</v>
      </c>
      <c r="X371" s="239" t="s">
        <v>3599</v>
      </c>
      <c r="Y371" s="209" t="s">
        <v>764</v>
      </c>
      <c r="Z371" s="209" t="s">
        <v>744</v>
      </c>
      <c r="AA371" s="237" t="s">
        <v>757</v>
      </c>
      <c r="AB371" s="231"/>
      <c r="AC371" s="231"/>
      <c r="AD371" s="231"/>
      <c r="AE371" s="231"/>
      <c r="AF371" s="231"/>
      <c r="AG371" s="231"/>
      <c r="AH371" s="231"/>
      <c r="AJ371" s="231"/>
      <c r="AK371" s="232"/>
      <c r="AL371" s="231"/>
      <c r="AM371" s="232"/>
      <c r="AN371" s="231"/>
      <c r="AO371" s="232"/>
      <c r="AP371" s="232"/>
      <c r="AQ371" s="232"/>
      <c r="AR371" s="232"/>
      <c r="AS371" s="232"/>
      <c r="AT371" s="232"/>
      <c r="AU371" s="232"/>
      <c r="AV371" s="232"/>
      <c r="AW371" s="231"/>
      <c r="AX371" s="231"/>
      <c r="AY371" s="231"/>
      <c r="AZ371" s="231"/>
      <c r="BA371" s="231"/>
      <c r="BB371" s="231"/>
      <c r="BC371" s="232"/>
      <c r="BD371" s="232"/>
      <c r="BE371" s="232"/>
      <c r="BF371" s="232"/>
      <c r="BG371" s="231"/>
      <c r="BH371" s="231"/>
      <c r="BI371" s="231"/>
      <c r="BJ371" s="231"/>
      <c r="BK371" s="232"/>
      <c r="BL371" s="232"/>
      <c r="BM371" s="232"/>
      <c r="BN371" s="232"/>
      <c r="BO371" s="232"/>
      <c r="BP371" s="232"/>
      <c r="BQ371" s="232"/>
      <c r="BR371" s="232"/>
      <c r="BS371" s="231"/>
      <c r="BT371" s="231"/>
      <c r="BU371" s="231"/>
      <c r="BV371" s="231"/>
      <c r="BW371" s="231"/>
      <c r="BX371" s="231"/>
      <c r="BY371" s="232"/>
      <c r="BZ371" s="232"/>
      <c r="CA371" s="231"/>
      <c r="CB371" s="231"/>
      <c r="CC371" s="231"/>
      <c r="CD371" s="231"/>
      <c r="CE371" s="232"/>
      <c r="CF371" s="232"/>
      <c r="CG371" s="232"/>
      <c r="CH371" s="231"/>
      <c r="CI371" s="232"/>
      <c r="CJ371" s="232"/>
      <c r="CK371" s="232"/>
      <c r="CL371" s="235"/>
      <c r="CM371" s="232"/>
      <c r="CN371" s="232"/>
      <c r="CO371" s="232"/>
      <c r="CP371" s="232"/>
      <c r="CQ371" s="232"/>
      <c r="CR371" s="232"/>
      <c r="CS371" s="232"/>
      <c r="CT371" s="232"/>
    </row>
    <row r="372" ht="24.0" customHeight="1">
      <c r="A372" s="184" t="s">
        <v>462</v>
      </c>
      <c r="B372" s="184" t="s">
        <v>1665</v>
      </c>
      <c r="C372" s="184" t="s">
        <v>668</v>
      </c>
      <c r="D372" s="184" t="s">
        <v>2431</v>
      </c>
      <c r="E372" s="186" t="s">
        <v>900</v>
      </c>
      <c r="F372" s="186" t="s">
        <v>2432</v>
      </c>
      <c r="G372" s="185">
        <v>12.0</v>
      </c>
      <c r="H372" s="209" t="s">
        <v>3600</v>
      </c>
      <c r="I372" s="209" t="s">
        <v>2881</v>
      </c>
      <c r="J372" s="209" t="s">
        <v>3601</v>
      </c>
      <c r="K372" s="209" t="s">
        <v>3602</v>
      </c>
      <c r="L372" s="209" t="s">
        <v>3603</v>
      </c>
      <c r="M372" s="209" t="s">
        <v>3604</v>
      </c>
      <c r="N372" s="209" t="s">
        <v>752</v>
      </c>
      <c r="O372" s="209" t="s">
        <v>764</v>
      </c>
      <c r="P372" s="237" t="s">
        <v>3605</v>
      </c>
      <c r="Q372" s="237" t="s">
        <v>1116</v>
      </c>
      <c r="R372" s="237" t="s">
        <v>2781</v>
      </c>
      <c r="S372" s="237" t="s">
        <v>3292</v>
      </c>
      <c r="T372" s="190"/>
      <c r="U372" s="210"/>
      <c r="V372" s="209" t="s">
        <v>3606</v>
      </c>
      <c r="W372" s="238" t="s">
        <v>2675</v>
      </c>
      <c r="X372" s="239" t="s">
        <v>3607</v>
      </c>
      <c r="Y372" s="209" t="s">
        <v>1457</v>
      </c>
      <c r="Z372" s="209" t="s">
        <v>1457</v>
      </c>
      <c r="AA372" s="237" t="s">
        <v>757</v>
      </c>
      <c r="AB372" s="231"/>
      <c r="AC372" s="231"/>
      <c r="AD372" s="231"/>
      <c r="AE372" s="231"/>
      <c r="AF372" s="231"/>
      <c r="AG372" s="231"/>
      <c r="AH372" s="231"/>
      <c r="AJ372" s="231"/>
      <c r="AK372" s="232"/>
      <c r="AL372" s="231"/>
      <c r="AM372" s="232"/>
      <c r="AN372" s="231"/>
      <c r="AO372" s="232"/>
      <c r="AP372" s="232"/>
      <c r="AQ372" s="232"/>
      <c r="AR372" s="232"/>
      <c r="AS372" s="232"/>
      <c r="AT372" s="232"/>
      <c r="AU372" s="232"/>
      <c r="AV372" s="232"/>
      <c r="AW372" s="231"/>
      <c r="AX372" s="231"/>
      <c r="AY372" s="231"/>
      <c r="AZ372" s="231"/>
      <c r="BA372" s="231"/>
      <c r="BB372" s="231"/>
      <c r="BC372" s="232"/>
      <c r="BD372" s="232"/>
      <c r="BE372" s="232"/>
      <c r="BF372" s="232"/>
      <c r="BG372" s="231"/>
      <c r="BH372" s="231"/>
      <c r="BI372" s="232"/>
      <c r="BJ372" s="232"/>
      <c r="BK372" s="232"/>
      <c r="BL372" s="232"/>
      <c r="BM372" s="232"/>
      <c r="BN372" s="232"/>
      <c r="BO372" s="232"/>
      <c r="BP372" s="232"/>
      <c r="BQ372" s="232"/>
      <c r="BR372" s="232"/>
      <c r="BS372" s="231"/>
      <c r="BT372" s="231"/>
      <c r="BU372" s="231"/>
      <c r="BV372" s="231"/>
      <c r="BW372" s="231"/>
      <c r="BX372" s="231"/>
      <c r="BY372" s="231"/>
      <c r="BZ372" s="231"/>
      <c r="CA372" s="231"/>
      <c r="CB372" s="231"/>
      <c r="CC372" s="231"/>
      <c r="CD372" s="231"/>
      <c r="CE372" s="232"/>
      <c r="CF372" s="232"/>
      <c r="CG372" s="232"/>
      <c r="CH372" s="231"/>
      <c r="CI372" s="232"/>
      <c r="CJ372" s="232"/>
      <c r="CK372" s="232"/>
      <c r="CL372" s="232"/>
      <c r="CM372" s="232"/>
      <c r="CN372" s="232"/>
      <c r="CO372" s="232"/>
      <c r="CP372" s="232"/>
      <c r="CQ372" s="232"/>
      <c r="CR372" s="232"/>
      <c r="CS372" s="232"/>
      <c r="CT372" s="232"/>
    </row>
    <row r="373" ht="24.0" customHeight="1">
      <c r="A373" s="184" t="s">
        <v>464</v>
      </c>
      <c r="B373" s="184" t="s">
        <v>1665</v>
      </c>
      <c r="C373" s="184" t="s">
        <v>668</v>
      </c>
      <c r="D373" s="184" t="s">
        <v>2431</v>
      </c>
      <c r="E373" s="186" t="s">
        <v>900</v>
      </c>
      <c r="F373" s="186" t="s">
        <v>2432</v>
      </c>
      <c r="G373" s="185">
        <v>13.0</v>
      </c>
      <c r="H373" s="209" t="s">
        <v>2149</v>
      </c>
      <c r="I373" s="209" t="s">
        <v>3608</v>
      </c>
      <c r="J373" s="209" t="s">
        <v>3609</v>
      </c>
      <c r="K373" s="209" t="s">
        <v>3610</v>
      </c>
      <c r="L373" s="209" t="s">
        <v>3611</v>
      </c>
      <c r="M373" s="209" t="s">
        <v>3612</v>
      </c>
      <c r="N373" s="209" t="s">
        <v>752</v>
      </c>
      <c r="O373" s="209" t="s">
        <v>1457</v>
      </c>
      <c r="P373" s="190"/>
      <c r="Q373" s="190"/>
      <c r="R373" s="190"/>
      <c r="S373" s="190"/>
      <c r="T373" s="190"/>
      <c r="U373" s="210"/>
      <c r="V373" s="209" t="s">
        <v>1235</v>
      </c>
      <c r="W373" s="238" t="s">
        <v>3035</v>
      </c>
      <c r="X373" s="239" t="s">
        <v>3036</v>
      </c>
      <c r="Y373" s="209" t="s">
        <v>1457</v>
      </c>
      <c r="Z373" s="209" t="s">
        <v>1457</v>
      </c>
      <c r="AA373" s="237" t="s">
        <v>757</v>
      </c>
      <c r="AB373" s="231"/>
      <c r="AC373" s="231"/>
      <c r="AD373" s="231"/>
      <c r="AE373" s="231"/>
      <c r="AF373" s="231"/>
      <c r="AG373" s="231"/>
      <c r="AH373" s="231"/>
      <c r="AJ373" s="231"/>
      <c r="AK373" s="232"/>
      <c r="AL373" s="231"/>
      <c r="AM373" s="232"/>
      <c r="AN373" s="231"/>
      <c r="AO373" s="232"/>
      <c r="AP373" s="232"/>
      <c r="AQ373" s="232"/>
      <c r="AR373" s="232"/>
      <c r="AS373" s="232"/>
      <c r="AT373" s="232"/>
      <c r="AU373" s="232"/>
      <c r="AV373" s="232"/>
      <c r="AW373" s="231"/>
      <c r="AX373" s="231"/>
      <c r="AY373" s="231"/>
      <c r="AZ373" s="231"/>
      <c r="BA373" s="231"/>
      <c r="BB373" s="231"/>
      <c r="BC373" s="232"/>
      <c r="BD373" s="232"/>
      <c r="BE373" s="232"/>
      <c r="BF373" s="232"/>
      <c r="BG373" s="232"/>
      <c r="BH373" s="232"/>
      <c r="BI373" s="232"/>
      <c r="BJ373" s="232"/>
      <c r="BK373" s="232"/>
      <c r="BL373" s="232"/>
      <c r="BM373" s="232"/>
      <c r="BN373" s="232"/>
      <c r="BO373" s="232"/>
      <c r="BP373" s="232"/>
      <c r="BQ373" s="232"/>
      <c r="BR373" s="232"/>
      <c r="BS373" s="231"/>
      <c r="BT373" s="231"/>
      <c r="BU373" s="231"/>
      <c r="BV373" s="231"/>
      <c r="BW373" s="231"/>
      <c r="BX373" s="231"/>
      <c r="BY373" s="231"/>
      <c r="BZ373" s="231"/>
      <c r="CA373" s="231"/>
      <c r="CB373" s="231"/>
      <c r="CC373" s="231"/>
      <c r="CD373" s="231"/>
      <c r="CE373" s="232"/>
      <c r="CF373" s="232"/>
      <c r="CG373" s="232"/>
      <c r="CH373" s="231"/>
      <c r="CI373" s="232"/>
      <c r="CJ373" s="232"/>
      <c r="CK373" s="231"/>
      <c r="CL373" s="233"/>
      <c r="CM373" s="232"/>
      <c r="CN373" s="232"/>
      <c r="CO373" s="232"/>
      <c r="CP373" s="232"/>
      <c r="CQ373" s="232"/>
      <c r="CR373" s="232"/>
      <c r="CS373" s="232"/>
      <c r="CT373" s="232"/>
    </row>
    <row r="374" ht="24.0" customHeight="1">
      <c r="A374" s="184" t="s">
        <v>470</v>
      </c>
      <c r="B374" s="184" t="s">
        <v>1665</v>
      </c>
      <c r="C374" s="184" t="s">
        <v>669</v>
      </c>
      <c r="D374" s="184" t="s">
        <v>2431</v>
      </c>
      <c r="E374" s="186" t="s">
        <v>3613</v>
      </c>
      <c r="F374" s="186" t="s">
        <v>2432</v>
      </c>
      <c r="G374" s="185">
        <v>14.0</v>
      </c>
      <c r="H374" s="209" t="s">
        <v>3614</v>
      </c>
      <c r="I374" s="209" t="s">
        <v>3615</v>
      </c>
      <c r="J374" s="209" t="s">
        <v>3616</v>
      </c>
      <c r="K374" s="209" t="s">
        <v>3617</v>
      </c>
      <c r="L374" s="209" t="s">
        <v>3618</v>
      </c>
      <c r="M374" s="209" t="s">
        <v>3619</v>
      </c>
      <c r="N374" s="209" t="s">
        <v>752</v>
      </c>
      <c r="O374" s="209" t="s">
        <v>764</v>
      </c>
      <c r="P374" s="190"/>
      <c r="Q374" s="190"/>
      <c r="R374" s="190"/>
      <c r="S374" s="190"/>
      <c r="T374" s="190"/>
      <c r="U374" s="210"/>
      <c r="V374" s="209" t="s">
        <v>2580</v>
      </c>
      <c r="W374" s="238" t="s">
        <v>2581</v>
      </c>
      <c r="X374" s="239" t="s">
        <v>2582</v>
      </c>
      <c r="Y374" s="209" t="s">
        <v>764</v>
      </c>
      <c r="Z374" s="209" t="s">
        <v>946</v>
      </c>
      <c r="AA374" s="237" t="s">
        <v>1296</v>
      </c>
      <c r="AB374" s="231"/>
      <c r="AC374" s="231"/>
      <c r="AD374" s="231"/>
      <c r="AE374" s="231"/>
      <c r="AF374" s="231"/>
      <c r="AG374" s="231"/>
      <c r="AH374" s="231"/>
      <c r="AJ374" s="231"/>
      <c r="AK374" s="232"/>
      <c r="AL374" s="231"/>
      <c r="AM374" s="232"/>
      <c r="AN374" s="231"/>
      <c r="AO374" s="232"/>
      <c r="AP374" s="232"/>
      <c r="AQ374" s="232"/>
      <c r="AR374" s="232"/>
      <c r="AS374" s="232"/>
      <c r="AT374" s="232"/>
      <c r="AU374" s="232"/>
      <c r="AV374" s="232"/>
      <c r="AW374" s="231"/>
      <c r="AX374" s="231"/>
      <c r="AY374" s="231"/>
      <c r="AZ374" s="231"/>
      <c r="BA374" s="231"/>
      <c r="BB374" s="231"/>
      <c r="BC374" s="232"/>
      <c r="BD374" s="232"/>
      <c r="BE374" s="232"/>
      <c r="BF374" s="232"/>
      <c r="BG374" s="232"/>
      <c r="BH374" s="232"/>
      <c r="BI374" s="232"/>
      <c r="BJ374" s="232"/>
      <c r="BK374" s="232"/>
      <c r="BL374" s="232"/>
      <c r="BM374" s="232"/>
      <c r="BN374" s="232"/>
      <c r="BO374" s="232"/>
      <c r="BP374" s="232"/>
      <c r="BQ374" s="232"/>
      <c r="BR374" s="232"/>
      <c r="BS374" s="231"/>
      <c r="BT374" s="231"/>
      <c r="BU374" s="231"/>
      <c r="BV374" s="231"/>
      <c r="BW374" s="231"/>
      <c r="BX374" s="231"/>
      <c r="BY374" s="231"/>
      <c r="BZ374" s="232"/>
      <c r="CA374" s="231"/>
      <c r="CB374" s="231"/>
      <c r="CC374" s="231"/>
      <c r="CD374" s="231"/>
      <c r="CE374" s="232"/>
      <c r="CF374" s="232"/>
      <c r="CG374" s="232"/>
      <c r="CH374" s="231"/>
      <c r="CI374" s="232"/>
      <c r="CJ374" s="232"/>
      <c r="CK374" s="232"/>
      <c r="CL374" s="232"/>
      <c r="CM374" s="232"/>
      <c r="CN374" s="232"/>
      <c r="CO374" s="232"/>
      <c r="CP374" s="232"/>
      <c r="CQ374" s="232"/>
      <c r="CR374" s="232"/>
      <c r="CS374" s="232"/>
      <c r="CT374" s="232"/>
    </row>
    <row r="375" ht="24.0" customHeight="1">
      <c r="A375" s="184" t="s">
        <v>467</v>
      </c>
      <c r="B375" s="184" t="s">
        <v>1665</v>
      </c>
      <c r="C375" s="184" t="s">
        <v>669</v>
      </c>
      <c r="D375" s="184" t="s">
        <v>2431</v>
      </c>
      <c r="E375" s="186" t="s">
        <v>3613</v>
      </c>
      <c r="F375" s="186" t="s">
        <v>2432</v>
      </c>
      <c r="G375" s="185">
        <v>15.0</v>
      </c>
      <c r="H375" s="209" t="s">
        <v>3620</v>
      </c>
      <c r="I375" s="209" t="s">
        <v>3621</v>
      </c>
      <c r="J375" s="209" t="s">
        <v>3622</v>
      </c>
      <c r="K375" s="209" t="s">
        <v>2749</v>
      </c>
      <c r="L375" s="209" t="s">
        <v>3623</v>
      </c>
      <c r="M375" s="209" t="s">
        <v>3624</v>
      </c>
      <c r="N375" s="209" t="s">
        <v>752</v>
      </c>
      <c r="O375" s="209" t="s">
        <v>893</v>
      </c>
      <c r="P375" s="190"/>
      <c r="Q375" s="190"/>
      <c r="R375" s="190"/>
      <c r="S375" s="190"/>
      <c r="T375" s="190"/>
      <c r="U375" s="210"/>
      <c r="V375" s="209" t="s">
        <v>3625</v>
      </c>
      <c r="W375" s="238" t="s">
        <v>3626</v>
      </c>
      <c r="X375" s="239" t="s">
        <v>3627</v>
      </c>
      <c r="Y375" s="209" t="s">
        <v>893</v>
      </c>
      <c r="Z375" s="209" t="s">
        <v>946</v>
      </c>
      <c r="AA375" s="237" t="s">
        <v>757</v>
      </c>
      <c r="AB375" s="231"/>
      <c r="AC375" s="231"/>
      <c r="AD375" s="231"/>
      <c r="AE375" s="231"/>
      <c r="AF375" s="231"/>
      <c r="AG375" s="231"/>
      <c r="AH375" s="231"/>
      <c r="AJ375" s="231"/>
      <c r="AK375" s="232"/>
      <c r="AL375" s="231"/>
      <c r="AM375" s="232"/>
      <c r="AN375" s="231"/>
      <c r="AO375" s="232"/>
      <c r="AP375" s="232"/>
      <c r="AQ375" s="232"/>
      <c r="AR375" s="232"/>
      <c r="AS375" s="232"/>
      <c r="AT375" s="232"/>
      <c r="AU375" s="232"/>
      <c r="AV375" s="232"/>
      <c r="AW375" s="231"/>
      <c r="AX375" s="231"/>
      <c r="AY375" s="231"/>
      <c r="AZ375" s="231"/>
      <c r="BA375" s="231"/>
      <c r="BB375" s="231"/>
      <c r="BC375" s="231"/>
      <c r="BD375" s="231"/>
      <c r="BE375" s="231"/>
      <c r="BF375" s="231"/>
      <c r="BG375" s="231"/>
      <c r="BH375" s="231"/>
      <c r="BI375" s="231"/>
      <c r="BJ375" s="231"/>
      <c r="BK375" s="232"/>
      <c r="BL375" s="232"/>
      <c r="BM375" s="232"/>
      <c r="BN375" s="232"/>
      <c r="BO375" s="232"/>
      <c r="BP375" s="232"/>
      <c r="BQ375" s="232"/>
      <c r="BR375" s="232"/>
      <c r="BS375" s="231"/>
      <c r="BT375" s="231"/>
      <c r="BU375" s="231"/>
      <c r="BV375" s="231"/>
      <c r="BW375" s="231"/>
      <c r="BX375" s="231"/>
      <c r="BY375" s="231"/>
      <c r="BZ375" s="232"/>
      <c r="CA375" s="231"/>
      <c r="CB375" s="231"/>
      <c r="CC375" s="231"/>
      <c r="CD375" s="231"/>
      <c r="CE375" s="232"/>
      <c r="CF375" s="232"/>
      <c r="CG375" s="232"/>
      <c r="CH375" s="231"/>
      <c r="CI375" s="232"/>
      <c r="CJ375" s="232"/>
      <c r="CK375" s="231"/>
      <c r="CL375" s="233"/>
      <c r="CM375" s="232"/>
      <c r="CN375" s="232"/>
      <c r="CO375" s="232"/>
      <c r="CP375" s="232"/>
      <c r="CQ375" s="232"/>
      <c r="CR375" s="232"/>
      <c r="CS375" s="232"/>
      <c r="CT375" s="232"/>
    </row>
    <row r="376" ht="24.0" customHeight="1">
      <c r="A376" s="184" t="s">
        <v>472</v>
      </c>
      <c r="B376" s="184" t="s">
        <v>1665</v>
      </c>
      <c r="C376" s="184" t="s">
        <v>669</v>
      </c>
      <c r="D376" s="184" t="s">
        <v>2431</v>
      </c>
      <c r="E376" s="186" t="s">
        <v>3613</v>
      </c>
      <c r="F376" s="186" t="s">
        <v>2432</v>
      </c>
      <c r="G376" s="185">
        <v>16.0</v>
      </c>
      <c r="H376" s="209" t="s">
        <v>3628</v>
      </c>
      <c r="I376" s="209" t="s">
        <v>2157</v>
      </c>
      <c r="J376" s="209" t="s">
        <v>3629</v>
      </c>
      <c r="K376" s="209" t="s">
        <v>1590</v>
      </c>
      <c r="L376" s="209" t="s">
        <v>3630</v>
      </c>
      <c r="M376" s="209" t="s">
        <v>3631</v>
      </c>
      <c r="N376" s="209" t="s">
        <v>752</v>
      </c>
      <c r="O376" s="209" t="s">
        <v>764</v>
      </c>
      <c r="P376" s="210"/>
      <c r="Q376" s="190"/>
      <c r="R376" s="190"/>
      <c r="S376" s="190"/>
      <c r="T376" s="190"/>
      <c r="U376" s="210"/>
      <c r="V376" s="209" t="s">
        <v>3632</v>
      </c>
      <c r="W376" s="238" t="s">
        <v>3135</v>
      </c>
      <c r="X376" s="239" t="s">
        <v>3136</v>
      </c>
      <c r="Y376" s="209" t="s">
        <v>764</v>
      </c>
      <c r="Z376" s="209" t="s">
        <v>946</v>
      </c>
      <c r="AA376" s="237" t="s">
        <v>757</v>
      </c>
      <c r="AB376" s="231"/>
      <c r="AC376" s="231"/>
      <c r="AD376" s="231"/>
      <c r="AE376" s="231"/>
      <c r="AF376" s="231"/>
      <c r="AG376" s="231"/>
      <c r="AH376" s="231"/>
      <c r="AJ376" s="231"/>
      <c r="AK376" s="232"/>
      <c r="AL376" s="231"/>
      <c r="AM376" s="232"/>
      <c r="AN376" s="231"/>
      <c r="AO376" s="232"/>
      <c r="AP376" s="232"/>
      <c r="AQ376" s="232"/>
      <c r="AR376" s="232"/>
      <c r="AS376" s="232"/>
      <c r="AT376" s="232"/>
      <c r="AU376" s="232"/>
      <c r="AV376" s="232"/>
      <c r="AW376" s="231"/>
      <c r="AX376" s="231"/>
      <c r="AY376" s="231"/>
      <c r="AZ376" s="231"/>
      <c r="BA376" s="231"/>
      <c r="BB376" s="231"/>
      <c r="BC376" s="231"/>
      <c r="BD376" s="231"/>
      <c r="BE376" s="231"/>
      <c r="BF376" s="231"/>
      <c r="BG376" s="231"/>
      <c r="BH376" s="231"/>
      <c r="BI376" s="231"/>
      <c r="BJ376" s="231"/>
      <c r="BK376" s="231"/>
      <c r="BL376" s="231"/>
      <c r="BM376" s="232"/>
      <c r="BN376" s="232"/>
      <c r="BO376" s="232"/>
      <c r="BP376" s="232"/>
      <c r="BQ376" s="232"/>
      <c r="BR376" s="232"/>
      <c r="BS376" s="231"/>
      <c r="BT376" s="231"/>
      <c r="BU376" s="231"/>
      <c r="BV376" s="231"/>
      <c r="BW376" s="231"/>
      <c r="BX376" s="231"/>
      <c r="BY376" s="231"/>
      <c r="BZ376" s="231"/>
      <c r="CA376" s="231"/>
      <c r="CB376" s="231"/>
      <c r="CC376" s="231"/>
      <c r="CD376" s="231"/>
      <c r="CE376" s="232"/>
      <c r="CF376" s="232"/>
      <c r="CG376" s="232"/>
      <c r="CH376" s="231"/>
      <c r="CI376" s="232"/>
      <c r="CJ376" s="232"/>
      <c r="CK376" s="231"/>
      <c r="CL376" s="233"/>
      <c r="CM376" s="232"/>
      <c r="CN376" s="232"/>
      <c r="CO376" s="232"/>
      <c r="CP376" s="232"/>
      <c r="CQ376" s="232"/>
      <c r="CR376" s="232"/>
      <c r="CS376" s="232"/>
      <c r="CT376" s="232"/>
    </row>
    <row r="377" ht="24.0" customHeight="1">
      <c r="A377" s="184" t="s">
        <v>471</v>
      </c>
      <c r="B377" s="184" t="s">
        <v>1665</v>
      </c>
      <c r="C377" s="184" t="s">
        <v>669</v>
      </c>
      <c r="D377" s="184" t="s">
        <v>2431</v>
      </c>
      <c r="E377" s="186" t="s">
        <v>3613</v>
      </c>
      <c r="F377" s="186" t="s">
        <v>2432</v>
      </c>
      <c r="G377" s="185">
        <v>17.0</v>
      </c>
      <c r="H377" s="209" t="s">
        <v>3633</v>
      </c>
      <c r="I377" s="209" t="s">
        <v>3634</v>
      </c>
      <c r="J377" s="209" t="s">
        <v>3635</v>
      </c>
      <c r="K377" s="209" t="s">
        <v>3636</v>
      </c>
      <c r="L377" s="209" t="s">
        <v>3637</v>
      </c>
      <c r="M377" s="209" t="s">
        <v>3638</v>
      </c>
      <c r="N377" s="209" t="s">
        <v>752</v>
      </c>
      <c r="O377" s="237" t="s">
        <v>764</v>
      </c>
      <c r="P377" s="190"/>
      <c r="Q377" s="190"/>
      <c r="R377" s="190"/>
      <c r="S377" s="190"/>
      <c r="T377" s="190"/>
      <c r="U377" s="210"/>
      <c r="V377" s="209" t="s">
        <v>963</v>
      </c>
      <c r="W377" s="238" t="s">
        <v>964</v>
      </c>
      <c r="X377" s="239" t="s">
        <v>965</v>
      </c>
      <c r="Y377" s="209" t="s">
        <v>764</v>
      </c>
      <c r="Z377" s="209" t="s">
        <v>946</v>
      </c>
      <c r="AA377" s="237" t="s">
        <v>757</v>
      </c>
      <c r="AB377" s="231"/>
      <c r="AC377" s="231"/>
      <c r="AD377" s="231"/>
      <c r="AE377" s="231"/>
      <c r="AF377" s="231"/>
      <c r="AG377" s="231"/>
      <c r="AH377" s="231"/>
      <c r="AJ377" s="231"/>
      <c r="AK377" s="232"/>
      <c r="AL377" s="231"/>
      <c r="AM377" s="232"/>
      <c r="AN377" s="231"/>
      <c r="AO377" s="232"/>
      <c r="AP377" s="232"/>
      <c r="AQ377" s="232"/>
      <c r="AR377" s="232"/>
      <c r="AS377" s="232"/>
      <c r="AT377" s="232"/>
      <c r="AU377" s="232"/>
      <c r="AV377" s="232"/>
      <c r="AW377" s="231"/>
      <c r="AX377" s="231"/>
      <c r="AY377" s="231"/>
      <c r="AZ377" s="231"/>
      <c r="BA377" s="231"/>
      <c r="BB377" s="231"/>
      <c r="BC377" s="232"/>
      <c r="BD377" s="232"/>
      <c r="BE377" s="232"/>
      <c r="BF377" s="232"/>
      <c r="BG377" s="232"/>
      <c r="BH377" s="232"/>
      <c r="BI377" s="232"/>
      <c r="BJ377" s="232"/>
      <c r="BK377" s="232"/>
      <c r="BL377" s="232"/>
      <c r="BM377" s="232"/>
      <c r="BN377" s="232"/>
      <c r="BO377" s="232"/>
      <c r="BP377" s="232"/>
      <c r="BQ377" s="232"/>
      <c r="BR377" s="232"/>
      <c r="BS377" s="231"/>
      <c r="BT377" s="231"/>
      <c r="BU377" s="231"/>
      <c r="BV377" s="231"/>
      <c r="BW377" s="231"/>
      <c r="BX377" s="231"/>
      <c r="BY377" s="231"/>
      <c r="BZ377" s="231"/>
      <c r="CA377" s="231"/>
      <c r="CB377" s="231"/>
      <c r="CC377" s="231"/>
      <c r="CD377" s="231"/>
      <c r="CE377" s="232"/>
      <c r="CF377" s="232"/>
      <c r="CG377" s="232"/>
      <c r="CH377" s="231"/>
      <c r="CI377" s="232"/>
      <c r="CJ377" s="232"/>
      <c r="CK377" s="231"/>
      <c r="CL377" s="235"/>
      <c r="CM377" s="232"/>
      <c r="CN377" s="232"/>
      <c r="CO377" s="232"/>
      <c r="CP377" s="232"/>
      <c r="CQ377" s="232"/>
      <c r="CR377" s="232"/>
      <c r="CS377" s="232"/>
      <c r="CT377" s="232"/>
    </row>
    <row r="378" ht="24.0" customHeight="1">
      <c r="A378" s="184" t="s">
        <v>468</v>
      </c>
      <c r="B378" s="184" t="s">
        <v>1665</v>
      </c>
      <c r="C378" s="184" t="s">
        <v>669</v>
      </c>
      <c r="D378" s="184" t="s">
        <v>2431</v>
      </c>
      <c r="E378" s="186" t="s">
        <v>3613</v>
      </c>
      <c r="F378" s="186" t="s">
        <v>2432</v>
      </c>
      <c r="G378" s="185">
        <v>18.0</v>
      </c>
      <c r="H378" s="209" t="s">
        <v>3639</v>
      </c>
      <c r="I378" s="209" t="s">
        <v>3640</v>
      </c>
      <c r="J378" s="209" t="s">
        <v>3641</v>
      </c>
      <c r="K378" s="209" t="s">
        <v>3642</v>
      </c>
      <c r="L378" s="209" t="s">
        <v>3643</v>
      </c>
      <c r="M378" s="210" t="s">
        <v>3644</v>
      </c>
      <c r="N378" s="209" t="s">
        <v>752</v>
      </c>
      <c r="O378" s="209" t="s">
        <v>764</v>
      </c>
      <c r="P378" s="209" t="s">
        <v>3645</v>
      </c>
      <c r="Q378" s="237" t="s">
        <v>3646</v>
      </c>
      <c r="R378" s="190"/>
      <c r="S378" s="190"/>
      <c r="T378" s="190"/>
      <c r="U378" s="210"/>
      <c r="V378" s="209" t="s">
        <v>3647</v>
      </c>
      <c r="W378" s="238" t="s">
        <v>3648</v>
      </c>
      <c r="X378" s="239" t="s">
        <v>3649</v>
      </c>
      <c r="Y378" s="209" t="s">
        <v>764</v>
      </c>
      <c r="Z378" s="209" t="s">
        <v>946</v>
      </c>
      <c r="AA378" s="237" t="s">
        <v>757</v>
      </c>
      <c r="AB378" s="231"/>
      <c r="AC378" s="231"/>
      <c r="AD378" s="231"/>
      <c r="AE378" s="231"/>
      <c r="AF378" s="231"/>
      <c r="AG378" s="231"/>
      <c r="AH378" s="231"/>
      <c r="AJ378" s="231"/>
      <c r="AK378" s="232"/>
      <c r="AL378" s="231"/>
      <c r="AM378" s="232"/>
      <c r="AN378" s="231"/>
      <c r="AO378" s="232"/>
      <c r="AP378" s="232"/>
      <c r="AQ378" s="232"/>
      <c r="AR378" s="232"/>
      <c r="AS378" s="232"/>
      <c r="AT378" s="232"/>
      <c r="AU378" s="232"/>
      <c r="AV378" s="232"/>
      <c r="AW378" s="231"/>
      <c r="AX378" s="231"/>
      <c r="AY378" s="231"/>
      <c r="AZ378" s="231"/>
      <c r="BA378" s="231"/>
      <c r="BB378" s="231"/>
      <c r="BC378" s="232"/>
      <c r="BD378" s="232"/>
      <c r="BE378" s="232"/>
      <c r="BF378" s="232"/>
      <c r="BG378" s="232"/>
      <c r="BH378" s="231"/>
      <c r="BI378" s="231"/>
      <c r="BJ378" s="232"/>
      <c r="BK378" s="232"/>
      <c r="BL378" s="232"/>
      <c r="BM378" s="232"/>
      <c r="BN378" s="232"/>
      <c r="BO378" s="232"/>
      <c r="BP378" s="232"/>
      <c r="BQ378" s="232"/>
      <c r="BR378" s="232"/>
      <c r="BS378" s="231"/>
      <c r="BT378" s="231"/>
      <c r="BU378" s="231"/>
      <c r="BV378" s="231"/>
      <c r="BW378" s="231"/>
      <c r="BX378" s="231"/>
      <c r="BY378" s="231"/>
      <c r="BZ378" s="232"/>
      <c r="CA378" s="231"/>
      <c r="CB378" s="231"/>
      <c r="CC378" s="231"/>
      <c r="CD378" s="231"/>
      <c r="CE378" s="232"/>
      <c r="CF378" s="232"/>
      <c r="CG378" s="232"/>
      <c r="CH378" s="231"/>
      <c r="CI378" s="232"/>
      <c r="CJ378" s="232"/>
      <c r="CK378" s="232"/>
      <c r="CL378" s="235"/>
      <c r="CM378" s="232"/>
      <c r="CN378" s="232"/>
      <c r="CO378" s="232"/>
      <c r="CP378" s="232"/>
      <c r="CQ378" s="232"/>
      <c r="CR378" s="232"/>
      <c r="CS378" s="232"/>
      <c r="CT378" s="232"/>
    </row>
    <row r="379" ht="24.0" customHeight="1">
      <c r="A379" s="184" t="s">
        <v>473</v>
      </c>
      <c r="B379" s="184" t="s">
        <v>1665</v>
      </c>
      <c r="C379" s="184" t="s">
        <v>669</v>
      </c>
      <c r="D379" s="184" t="s">
        <v>2431</v>
      </c>
      <c r="E379" s="186" t="s">
        <v>3613</v>
      </c>
      <c r="F379" s="186" t="s">
        <v>2432</v>
      </c>
      <c r="G379" s="185">
        <v>19.0</v>
      </c>
      <c r="H379" s="209" t="s">
        <v>3650</v>
      </c>
      <c r="I379" s="209" t="s">
        <v>3651</v>
      </c>
      <c r="J379" s="209" t="s">
        <v>3652</v>
      </c>
      <c r="K379" s="209" t="s">
        <v>3653</v>
      </c>
      <c r="L379" s="209" t="s">
        <v>3654</v>
      </c>
      <c r="M379" s="209" t="s">
        <v>3655</v>
      </c>
      <c r="N379" s="209" t="s">
        <v>752</v>
      </c>
      <c r="O379" s="237" t="s">
        <v>764</v>
      </c>
      <c r="P379" s="190"/>
      <c r="Q379" s="190"/>
      <c r="R379" s="190"/>
      <c r="S379" s="190"/>
      <c r="T379" s="190"/>
      <c r="U379" s="210"/>
      <c r="V379" s="209" t="s">
        <v>2633</v>
      </c>
      <c r="W379" s="238" t="s">
        <v>3656</v>
      </c>
      <c r="X379" s="239" t="s">
        <v>3657</v>
      </c>
      <c r="Y379" s="209" t="s">
        <v>1376</v>
      </c>
      <c r="Z379" s="209" t="s">
        <v>946</v>
      </c>
      <c r="AA379" s="237" t="s">
        <v>757</v>
      </c>
      <c r="AB379" s="231"/>
      <c r="AC379" s="231"/>
      <c r="AD379" s="231"/>
      <c r="AE379" s="231"/>
      <c r="AF379" s="231"/>
      <c r="AG379" s="231"/>
      <c r="AH379" s="231"/>
      <c r="AJ379" s="231"/>
      <c r="AK379" s="232"/>
      <c r="AL379" s="231"/>
      <c r="AM379" s="232"/>
      <c r="AN379" s="231"/>
      <c r="AO379" s="232"/>
      <c r="AP379" s="232"/>
      <c r="AQ379" s="232"/>
      <c r="AR379" s="232"/>
      <c r="AS379" s="232"/>
      <c r="AT379" s="232"/>
      <c r="AU379" s="232"/>
      <c r="AV379" s="232"/>
      <c r="AW379" s="231"/>
      <c r="AX379" s="231"/>
      <c r="AY379" s="231"/>
      <c r="AZ379" s="231"/>
      <c r="BA379" s="231"/>
      <c r="BB379" s="231"/>
      <c r="BC379" s="232"/>
      <c r="BD379" s="232"/>
      <c r="BE379" s="232"/>
      <c r="BF379" s="232"/>
      <c r="BG379" s="231"/>
      <c r="BH379" s="231"/>
      <c r="BI379" s="232"/>
      <c r="BJ379" s="232"/>
      <c r="BK379" s="232"/>
      <c r="BL379" s="232"/>
      <c r="BM379" s="232"/>
      <c r="BN379" s="232"/>
      <c r="BO379" s="232"/>
      <c r="BP379" s="232"/>
      <c r="BQ379" s="232"/>
      <c r="BR379" s="232"/>
      <c r="BS379" s="231"/>
      <c r="BT379" s="231"/>
      <c r="BU379" s="231"/>
      <c r="BV379" s="231"/>
      <c r="BW379" s="231"/>
      <c r="BX379" s="231"/>
      <c r="BY379" s="231"/>
      <c r="BZ379" s="231"/>
      <c r="CA379" s="231"/>
      <c r="CB379" s="231"/>
      <c r="CC379" s="231"/>
      <c r="CD379" s="231"/>
      <c r="CE379" s="232"/>
      <c r="CF379" s="232"/>
      <c r="CG379" s="232"/>
      <c r="CH379" s="231"/>
      <c r="CI379" s="232"/>
      <c r="CJ379" s="232"/>
      <c r="CK379" s="231"/>
      <c r="CL379" s="233"/>
      <c r="CM379" s="232"/>
      <c r="CN379" s="232"/>
      <c r="CO379" s="232"/>
      <c r="CP379" s="232"/>
      <c r="CQ379" s="232"/>
      <c r="CR379" s="232"/>
      <c r="CS379" s="232"/>
      <c r="CT379" s="232"/>
    </row>
    <row r="380" ht="24.0" customHeight="1">
      <c r="A380" s="184" t="s">
        <v>466</v>
      </c>
      <c r="B380" s="184" t="s">
        <v>1665</v>
      </c>
      <c r="C380" s="184" t="s">
        <v>669</v>
      </c>
      <c r="D380" s="184" t="s">
        <v>2431</v>
      </c>
      <c r="E380" s="186" t="s">
        <v>3613</v>
      </c>
      <c r="F380" s="186" t="s">
        <v>2432</v>
      </c>
      <c r="G380" s="185">
        <v>20.0</v>
      </c>
      <c r="H380" s="209" t="s">
        <v>1905</v>
      </c>
      <c r="I380" s="209" t="s">
        <v>3658</v>
      </c>
      <c r="J380" s="209" t="s">
        <v>3659</v>
      </c>
      <c r="K380" s="209" t="s">
        <v>3660</v>
      </c>
      <c r="L380" s="209" t="s">
        <v>3661</v>
      </c>
      <c r="M380" s="209" t="s">
        <v>3662</v>
      </c>
      <c r="N380" s="209" t="s">
        <v>752</v>
      </c>
      <c r="O380" s="237" t="s">
        <v>764</v>
      </c>
      <c r="P380" s="237" t="s">
        <v>3663</v>
      </c>
      <c r="Q380" s="237" t="s">
        <v>3664</v>
      </c>
      <c r="R380" s="190"/>
      <c r="S380" s="190"/>
      <c r="T380" s="190"/>
      <c r="U380" s="210"/>
      <c r="V380" s="209" t="s">
        <v>2863</v>
      </c>
      <c r="W380" s="238" t="s">
        <v>1856</v>
      </c>
      <c r="X380" s="239" t="s">
        <v>1857</v>
      </c>
      <c r="Y380" s="209" t="s">
        <v>764</v>
      </c>
      <c r="Z380" s="209" t="s">
        <v>946</v>
      </c>
      <c r="AA380" s="237" t="s">
        <v>797</v>
      </c>
      <c r="AB380" s="231"/>
      <c r="AC380" s="231"/>
      <c r="AD380" s="231"/>
      <c r="AE380" s="231"/>
      <c r="AF380" s="231"/>
      <c r="AG380" s="231"/>
      <c r="AH380" s="231"/>
      <c r="AJ380" s="231"/>
      <c r="AK380" s="232"/>
      <c r="AL380" s="231"/>
      <c r="AM380" s="232"/>
      <c r="AN380" s="231"/>
      <c r="AO380" s="232"/>
      <c r="AP380" s="232"/>
      <c r="AQ380" s="232"/>
      <c r="AR380" s="232"/>
      <c r="AS380" s="232"/>
      <c r="AT380" s="232"/>
      <c r="AU380" s="232"/>
      <c r="AV380" s="232"/>
      <c r="AW380" s="231"/>
      <c r="AX380" s="231"/>
      <c r="AY380" s="231"/>
      <c r="AZ380" s="231"/>
      <c r="BA380" s="231"/>
      <c r="BB380" s="231"/>
      <c r="BC380" s="232"/>
      <c r="BD380" s="232"/>
      <c r="BE380" s="232"/>
      <c r="BF380" s="232"/>
      <c r="BG380" s="231"/>
      <c r="BH380" s="231"/>
      <c r="BI380" s="231"/>
      <c r="BJ380" s="231"/>
      <c r="BK380" s="232"/>
      <c r="BL380" s="232"/>
      <c r="BM380" s="232"/>
      <c r="BN380" s="232"/>
      <c r="BO380" s="232"/>
      <c r="BP380" s="232"/>
      <c r="BQ380" s="232"/>
      <c r="BR380" s="232"/>
      <c r="BS380" s="231"/>
      <c r="BT380" s="231"/>
      <c r="BU380" s="231"/>
      <c r="BV380" s="231"/>
      <c r="BW380" s="231"/>
      <c r="BX380" s="231"/>
      <c r="BY380" s="231"/>
      <c r="BZ380" s="231"/>
      <c r="CA380" s="231"/>
      <c r="CB380" s="231"/>
      <c r="CC380" s="231"/>
      <c r="CD380" s="231"/>
      <c r="CE380" s="232"/>
      <c r="CF380" s="232"/>
      <c r="CG380" s="232"/>
      <c r="CH380" s="231"/>
      <c r="CI380" s="232"/>
      <c r="CJ380" s="232"/>
      <c r="CK380" s="231"/>
      <c r="CL380" s="235"/>
      <c r="CM380" s="232"/>
      <c r="CN380" s="232"/>
      <c r="CO380" s="232"/>
      <c r="CP380" s="232"/>
      <c r="CQ380" s="232"/>
      <c r="CR380" s="232"/>
      <c r="CS380" s="232"/>
      <c r="CT380" s="232"/>
    </row>
    <row r="381" ht="24.0" customHeight="1">
      <c r="A381" s="184" t="s">
        <v>469</v>
      </c>
      <c r="B381" s="184" t="s">
        <v>1665</v>
      </c>
      <c r="C381" s="184" t="s">
        <v>669</v>
      </c>
      <c r="D381" s="184" t="s">
        <v>2431</v>
      </c>
      <c r="E381" s="186" t="s">
        <v>3613</v>
      </c>
      <c r="F381" s="186" t="s">
        <v>2432</v>
      </c>
      <c r="G381" s="185">
        <v>21.0</v>
      </c>
      <c r="H381" s="209" t="s">
        <v>3572</v>
      </c>
      <c r="I381" s="209" t="s">
        <v>3665</v>
      </c>
      <c r="J381" s="209" t="s">
        <v>3666</v>
      </c>
      <c r="K381" s="209" t="s">
        <v>770</v>
      </c>
      <c r="L381" s="209" t="s">
        <v>3667</v>
      </c>
      <c r="M381" s="209" t="s">
        <v>3668</v>
      </c>
      <c r="N381" s="209" t="s">
        <v>752</v>
      </c>
      <c r="O381" s="237" t="s">
        <v>773</v>
      </c>
      <c r="P381" s="190"/>
      <c r="Q381" s="190"/>
      <c r="R381" s="190"/>
      <c r="S381" s="190"/>
      <c r="T381" s="190"/>
      <c r="U381" s="210"/>
      <c r="V381" s="209" t="s">
        <v>832</v>
      </c>
      <c r="W381" s="238" t="s">
        <v>833</v>
      </c>
      <c r="X381" s="239" t="s">
        <v>834</v>
      </c>
      <c r="Y381" s="209" t="s">
        <v>773</v>
      </c>
      <c r="Z381" s="209" t="s">
        <v>806</v>
      </c>
      <c r="AA381" s="237" t="s">
        <v>797</v>
      </c>
      <c r="AB381" s="231"/>
      <c r="AC381" s="231"/>
      <c r="AD381" s="231"/>
      <c r="AE381" s="231"/>
      <c r="AF381" s="231"/>
      <c r="AG381" s="231"/>
      <c r="AH381" s="231"/>
      <c r="AJ381" s="231"/>
      <c r="AK381" s="232"/>
      <c r="AL381" s="231"/>
      <c r="AM381" s="232"/>
      <c r="AN381" s="231"/>
      <c r="AO381" s="232"/>
      <c r="AP381" s="232"/>
      <c r="AQ381" s="232"/>
      <c r="AR381" s="232"/>
      <c r="AS381" s="232"/>
      <c r="AT381" s="232"/>
      <c r="AU381" s="232"/>
      <c r="AV381" s="232"/>
      <c r="AW381" s="231"/>
      <c r="AX381" s="231"/>
      <c r="AY381" s="231"/>
      <c r="AZ381" s="231"/>
      <c r="BA381" s="231"/>
      <c r="BB381" s="231"/>
      <c r="BC381" s="231"/>
      <c r="BD381" s="231"/>
      <c r="BE381" s="231"/>
      <c r="BF381" s="231"/>
      <c r="BG381" s="231"/>
      <c r="BH381" s="231"/>
      <c r="BI381" s="231"/>
      <c r="BJ381" s="231"/>
      <c r="BK381" s="232"/>
      <c r="BL381" s="232"/>
      <c r="BM381" s="232"/>
      <c r="BN381" s="232"/>
      <c r="BO381" s="232"/>
      <c r="BP381" s="232"/>
      <c r="BQ381" s="232"/>
      <c r="BR381" s="232"/>
      <c r="BS381" s="231"/>
      <c r="BT381" s="231"/>
      <c r="BU381" s="231"/>
      <c r="BV381" s="231"/>
      <c r="BW381" s="231"/>
      <c r="BX381" s="231"/>
      <c r="BY381" s="231"/>
      <c r="BZ381" s="232"/>
      <c r="CA381" s="231"/>
      <c r="CB381" s="231"/>
      <c r="CC381" s="231"/>
      <c r="CD381" s="231"/>
      <c r="CE381" s="232"/>
      <c r="CF381" s="232"/>
      <c r="CG381" s="232"/>
      <c r="CH381" s="231"/>
      <c r="CI381" s="232"/>
      <c r="CJ381" s="232"/>
      <c r="CK381" s="231"/>
      <c r="CL381" s="235"/>
      <c r="CM381" s="232"/>
      <c r="CN381" s="232"/>
      <c r="CO381" s="232"/>
      <c r="CP381" s="232"/>
      <c r="CQ381" s="232"/>
      <c r="CR381" s="232"/>
      <c r="CS381" s="232"/>
      <c r="CT381" s="232"/>
    </row>
    <row r="382" ht="24.0" customHeight="1">
      <c r="A382" s="184" t="s">
        <v>477</v>
      </c>
      <c r="B382" s="184" t="s">
        <v>1665</v>
      </c>
      <c r="C382" s="184" t="s">
        <v>670</v>
      </c>
      <c r="D382" s="184" t="s">
        <v>2431</v>
      </c>
      <c r="E382" s="186" t="s">
        <v>3669</v>
      </c>
      <c r="F382" s="186" t="s">
        <v>2432</v>
      </c>
      <c r="G382" s="185">
        <v>22.0</v>
      </c>
      <c r="H382" s="209" t="s">
        <v>3670</v>
      </c>
      <c r="I382" s="209" t="s">
        <v>3671</v>
      </c>
      <c r="J382" s="209" t="s">
        <v>3672</v>
      </c>
      <c r="K382" s="209" t="s">
        <v>3673</v>
      </c>
      <c r="L382" s="209" t="s">
        <v>3674</v>
      </c>
      <c r="M382" s="209" t="s">
        <v>3675</v>
      </c>
      <c r="N382" s="209" t="s">
        <v>752</v>
      </c>
      <c r="O382" s="237" t="s">
        <v>764</v>
      </c>
      <c r="P382" s="190"/>
      <c r="Q382" s="190"/>
      <c r="R382" s="190"/>
      <c r="S382" s="190"/>
      <c r="T382" s="190"/>
      <c r="U382" s="210"/>
      <c r="V382" s="209" t="s">
        <v>1492</v>
      </c>
      <c r="W382" s="238" t="s">
        <v>1493</v>
      </c>
      <c r="X382" s="239" t="s">
        <v>1494</v>
      </c>
      <c r="Y382" s="209" t="s">
        <v>764</v>
      </c>
      <c r="Z382" s="209" t="s">
        <v>946</v>
      </c>
      <c r="AA382" s="237" t="s">
        <v>797</v>
      </c>
      <c r="AB382" s="231"/>
      <c r="AC382" s="231"/>
      <c r="AD382" s="231"/>
      <c r="AE382" s="231"/>
      <c r="AF382" s="231"/>
      <c r="AG382" s="231"/>
      <c r="AH382" s="231"/>
      <c r="AJ382" s="231"/>
      <c r="AK382" s="232"/>
      <c r="AL382" s="231"/>
      <c r="AM382" s="232"/>
      <c r="AN382" s="231"/>
      <c r="AO382" s="232"/>
      <c r="AP382" s="232"/>
      <c r="AQ382" s="232"/>
      <c r="AR382" s="232"/>
      <c r="AS382" s="232"/>
      <c r="AT382" s="232"/>
      <c r="AU382" s="232"/>
      <c r="AV382" s="232"/>
      <c r="AW382" s="231"/>
      <c r="AX382" s="231"/>
      <c r="AY382" s="231"/>
      <c r="AZ382" s="231"/>
      <c r="BA382" s="231"/>
      <c r="BB382" s="231"/>
      <c r="BC382" s="232"/>
      <c r="BD382" s="232"/>
      <c r="BE382" s="232"/>
      <c r="BF382" s="232"/>
      <c r="BG382" s="231"/>
      <c r="BH382" s="231"/>
      <c r="BI382" s="231"/>
      <c r="BJ382" s="231"/>
      <c r="BK382" s="231"/>
      <c r="BL382" s="231"/>
      <c r="BM382" s="232"/>
      <c r="BN382" s="232"/>
      <c r="BO382" s="232"/>
      <c r="BP382" s="232"/>
      <c r="BQ382" s="232"/>
      <c r="BR382" s="232"/>
      <c r="BS382" s="231"/>
      <c r="BT382" s="231"/>
      <c r="BU382" s="231"/>
      <c r="BV382" s="231"/>
      <c r="BW382" s="231"/>
      <c r="BX382" s="231"/>
      <c r="BY382" s="231"/>
      <c r="BZ382" s="231"/>
      <c r="CA382" s="231"/>
      <c r="CB382" s="231"/>
      <c r="CC382" s="231"/>
      <c r="CD382" s="231"/>
      <c r="CE382" s="232"/>
      <c r="CF382" s="232"/>
      <c r="CG382" s="232"/>
      <c r="CH382" s="231"/>
      <c r="CI382" s="232"/>
      <c r="CJ382" s="232"/>
      <c r="CK382" s="232"/>
      <c r="CL382" s="235"/>
      <c r="CM382" s="232"/>
      <c r="CN382" s="232"/>
      <c r="CO382" s="232"/>
      <c r="CP382" s="232"/>
      <c r="CQ382" s="232"/>
      <c r="CR382" s="232"/>
      <c r="CS382" s="232"/>
      <c r="CT382" s="232"/>
    </row>
    <row r="383" ht="24.0" customHeight="1">
      <c r="A383" s="184" t="s">
        <v>478</v>
      </c>
      <c r="B383" s="184" t="s">
        <v>1665</v>
      </c>
      <c r="C383" s="184" t="s">
        <v>670</v>
      </c>
      <c r="D383" s="184" t="s">
        <v>2431</v>
      </c>
      <c r="E383" s="186" t="s">
        <v>3669</v>
      </c>
      <c r="F383" s="186" t="s">
        <v>2432</v>
      </c>
      <c r="G383" s="185">
        <v>23.0</v>
      </c>
      <c r="H383" s="209" t="s">
        <v>3676</v>
      </c>
      <c r="I383" s="209" t="s">
        <v>3677</v>
      </c>
      <c r="J383" s="209" t="s">
        <v>3678</v>
      </c>
      <c r="K383" s="209" t="s">
        <v>3679</v>
      </c>
      <c r="L383" s="209" t="s">
        <v>3680</v>
      </c>
      <c r="M383" s="209" t="s">
        <v>3681</v>
      </c>
      <c r="N383" s="209" t="s">
        <v>752</v>
      </c>
      <c r="O383" s="209" t="s">
        <v>764</v>
      </c>
      <c r="P383" s="190"/>
      <c r="Q383" s="190"/>
      <c r="R383" s="190"/>
      <c r="S383" s="190"/>
      <c r="T383" s="190"/>
      <c r="U383" s="210"/>
      <c r="V383" s="209" t="s">
        <v>3682</v>
      </c>
      <c r="W383" s="238" t="s">
        <v>3683</v>
      </c>
      <c r="X383" s="239" t="s">
        <v>3684</v>
      </c>
      <c r="Y383" s="209" t="s">
        <v>764</v>
      </c>
      <c r="Z383" s="209" t="s">
        <v>946</v>
      </c>
      <c r="AA383" s="237" t="s">
        <v>757</v>
      </c>
      <c r="AB383" s="231"/>
      <c r="AC383" s="231"/>
      <c r="AD383" s="231"/>
      <c r="AE383" s="231"/>
      <c r="AF383" s="231"/>
      <c r="AG383" s="231"/>
      <c r="AH383" s="231"/>
      <c r="AJ383" s="231"/>
      <c r="AK383" s="232"/>
      <c r="AL383" s="231"/>
      <c r="AM383" s="232"/>
      <c r="AN383" s="231"/>
      <c r="AO383" s="232"/>
      <c r="AP383" s="232"/>
      <c r="AQ383" s="232"/>
      <c r="AR383" s="232"/>
      <c r="AS383" s="232"/>
      <c r="AT383" s="232"/>
      <c r="AU383" s="232"/>
      <c r="AV383" s="232"/>
      <c r="AW383" s="231"/>
      <c r="AX383" s="231"/>
      <c r="AY383" s="231"/>
      <c r="AZ383" s="231"/>
      <c r="BA383" s="231"/>
      <c r="BB383" s="231"/>
      <c r="BC383" s="232"/>
      <c r="BD383" s="232"/>
      <c r="BE383" s="232"/>
      <c r="BF383" s="232"/>
      <c r="BG383" s="231"/>
      <c r="BH383" s="231"/>
      <c r="BI383" s="231"/>
      <c r="BJ383" s="231"/>
      <c r="BK383" s="232"/>
      <c r="BL383" s="232"/>
      <c r="BM383" s="232"/>
      <c r="BN383" s="232"/>
      <c r="BO383" s="232"/>
      <c r="BP383" s="232"/>
      <c r="BQ383" s="232"/>
      <c r="BR383" s="232"/>
      <c r="BS383" s="231"/>
      <c r="BT383" s="231"/>
      <c r="BU383" s="231"/>
      <c r="BV383" s="231"/>
      <c r="BW383" s="231"/>
      <c r="BX383" s="231"/>
      <c r="BY383" s="232"/>
      <c r="BZ383" s="232"/>
      <c r="CA383" s="231"/>
      <c r="CB383" s="231"/>
      <c r="CC383" s="231"/>
      <c r="CD383" s="231"/>
      <c r="CE383" s="232"/>
      <c r="CF383" s="232"/>
      <c r="CG383" s="232"/>
      <c r="CH383" s="231"/>
      <c r="CI383" s="232"/>
      <c r="CJ383" s="232"/>
      <c r="CK383" s="232"/>
      <c r="CL383" s="235"/>
      <c r="CM383" s="232"/>
      <c r="CN383" s="232"/>
      <c r="CO383" s="232"/>
      <c r="CP383" s="232"/>
      <c r="CQ383" s="232"/>
      <c r="CR383" s="232"/>
      <c r="CS383" s="232"/>
      <c r="CT383" s="232"/>
    </row>
    <row r="384" ht="24.0" customHeight="1">
      <c r="A384" s="184" t="s">
        <v>474</v>
      </c>
      <c r="B384" s="184" t="s">
        <v>1665</v>
      </c>
      <c r="C384" s="184" t="s">
        <v>670</v>
      </c>
      <c r="D384" s="184" t="s">
        <v>2431</v>
      </c>
      <c r="E384" s="186" t="s">
        <v>3669</v>
      </c>
      <c r="F384" s="186" t="s">
        <v>2432</v>
      </c>
      <c r="G384" s="185">
        <v>24.0</v>
      </c>
      <c r="H384" s="209" t="s">
        <v>1651</v>
      </c>
      <c r="I384" s="209" t="s">
        <v>3685</v>
      </c>
      <c r="J384" s="209" t="s">
        <v>3686</v>
      </c>
      <c r="K384" s="209" t="s">
        <v>770</v>
      </c>
      <c r="L384" s="209" t="s">
        <v>3687</v>
      </c>
      <c r="M384" s="209" t="s">
        <v>3688</v>
      </c>
      <c r="N384" s="209" t="s">
        <v>752</v>
      </c>
      <c r="O384" s="209" t="s">
        <v>773</v>
      </c>
      <c r="P384" s="210"/>
      <c r="Q384" s="210"/>
      <c r="R384" s="210"/>
      <c r="S384" s="210"/>
      <c r="T384" s="210"/>
      <c r="U384" s="210"/>
      <c r="V384" s="209" t="s">
        <v>832</v>
      </c>
      <c r="W384" s="238" t="s">
        <v>833</v>
      </c>
      <c r="X384" s="239" t="s">
        <v>834</v>
      </c>
      <c r="Y384" s="209" t="s">
        <v>773</v>
      </c>
      <c r="Z384" s="209" t="s">
        <v>806</v>
      </c>
      <c r="AA384" s="237" t="s">
        <v>797</v>
      </c>
      <c r="AB384" s="231"/>
      <c r="AC384" s="231"/>
      <c r="AD384" s="231"/>
      <c r="AE384" s="231"/>
      <c r="AF384" s="231"/>
      <c r="AG384" s="231"/>
      <c r="AH384" s="231"/>
      <c r="AJ384" s="231"/>
      <c r="AK384" s="232"/>
      <c r="AL384" s="231"/>
      <c r="AM384" s="232"/>
      <c r="AN384" s="231"/>
      <c r="AO384" s="232"/>
      <c r="AP384" s="232"/>
      <c r="AQ384" s="232"/>
      <c r="AR384" s="232"/>
      <c r="AS384" s="232"/>
      <c r="AT384" s="232"/>
      <c r="AU384" s="232"/>
      <c r="AV384" s="232"/>
      <c r="AW384" s="231"/>
      <c r="AX384" s="231"/>
      <c r="AY384" s="231"/>
      <c r="AZ384" s="231"/>
      <c r="BA384" s="231"/>
      <c r="BB384" s="231"/>
      <c r="BC384" s="232"/>
      <c r="BD384" s="232"/>
      <c r="BE384" s="232"/>
      <c r="BF384" s="232"/>
      <c r="BG384" s="232"/>
      <c r="BH384" s="232"/>
      <c r="BI384" s="232"/>
      <c r="BJ384" s="232"/>
      <c r="BK384" s="232"/>
      <c r="BL384" s="232"/>
      <c r="BM384" s="232"/>
      <c r="BN384" s="232"/>
      <c r="BO384" s="232"/>
      <c r="BP384" s="232"/>
      <c r="BQ384" s="232"/>
      <c r="BR384" s="232"/>
      <c r="BS384" s="231"/>
      <c r="BT384" s="231"/>
      <c r="BU384" s="231"/>
      <c r="BV384" s="231"/>
      <c r="BW384" s="231"/>
      <c r="BX384" s="231"/>
      <c r="BY384" s="231"/>
      <c r="BZ384" s="231"/>
      <c r="CA384" s="231"/>
      <c r="CB384" s="231"/>
      <c r="CC384" s="231"/>
      <c r="CD384" s="231"/>
      <c r="CE384" s="232"/>
      <c r="CF384" s="232"/>
      <c r="CG384" s="232"/>
      <c r="CH384" s="231"/>
      <c r="CI384" s="232"/>
      <c r="CJ384" s="232"/>
      <c r="CK384" s="231"/>
      <c r="CL384" s="235"/>
      <c r="CM384" s="232"/>
      <c r="CN384" s="232"/>
      <c r="CO384" s="232"/>
      <c r="CP384" s="232"/>
      <c r="CQ384" s="232"/>
      <c r="CR384" s="232"/>
      <c r="CS384" s="232"/>
      <c r="CT384" s="232"/>
    </row>
    <row r="385" ht="24.0" customHeight="1">
      <c r="A385" s="184" t="s">
        <v>475</v>
      </c>
      <c r="B385" s="184" t="s">
        <v>1665</v>
      </c>
      <c r="C385" s="184" t="s">
        <v>670</v>
      </c>
      <c r="D385" s="184" t="s">
        <v>2431</v>
      </c>
      <c r="E385" s="186" t="s">
        <v>3669</v>
      </c>
      <c r="F385" s="186" t="s">
        <v>2432</v>
      </c>
      <c r="G385" s="185">
        <v>25.0</v>
      </c>
      <c r="H385" s="209" t="s">
        <v>3689</v>
      </c>
      <c r="I385" s="209" t="s">
        <v>3690</v>
      </c>
      <c r="J385" s="209" t="s">
        <v>3691</v>
      </c>
      <c r="K385" s="209" t="s">
        <v>3692</v>
      </c>
      <c r="L385" s="209" t="s">
        <v>3693</v>
      </c>
      <c r="M385" s="209" t="s">
        <v>3694</v>
      </c>
      <c r="N385" s="209" t="s">
        <v>752</v>
      </c>
      <c r="O385" s="237" t="s">
        <v>784</v>
      </c>
      <c r="P385" s="237" t="s">
        <v>3695</v>
      </c>
      <c r="Q385" s="190"/>
      <c r="R385" s="190"/>
      <c r="S385" s="190"/>
      <c r="T385" s="190"/>
      <c r="U385" s="210"/>
      <c r="V385" s="209" t="s">
        <v>2752</v>
      </c>
      <c r="W385" s="238" t="s">
        <v>2753</v>
      </c>
      <c r="X385" s="239" t="s">
        <v>2754</v>
      </c>
      <c r="Y385" s="209" t="s">
        <v>893</v>
      </c>
      <c r="Z385" s="209" t="s">
        <v>1105</v>
      </c>
      <c r="AA385" s="237" t="s">
        <v>1941</v>
      </c>
      <c r="AB385" s="231"/>
      <c r="AC385" s="231"/>
      <c r="AD385" s="231"/>
      <c r="AE385" s="231"/>
      <c r="AF385" s="231"/>
      <c r="AG385" s="231"/>
      <c r="AH385" s="231"/>
      <c r="AJ385" s="231"/>
      <c r="AK385" s="232"/>
      <c r="AL385" s="231"/>
      <c r="AM385" s="232"/>
      <c r="AN385" s="231"/>
      <c r="AO385" s="232"/>
      <c r="AP385" s="232"/>
      <c r="AQ385" s="232"/>
      <c r="AR385" s="232"/>
      <c r="AS385" s="232"/>
      <c r="AT385" s="232"/>
      <c r="AU385" s="232"/>
      <c r="AV385" s="232"/>
      <c r="AW385" s="231"/>
      <c r="AX385" s="231"/>
      <c r="AY385" s="231"/>
      <c r="AZ385" s="231"/>
      <c r="BA385" s="231"/>
      <c r="BB385" s="231"/>
      <c r="BC385" s="231"/>
      <c r="BD385" s="231"/>
      <c r="BE385" s="231"/>
      <c r="BF385" s="231"/>
      <c r="BG385" s="231"/>
      <c r="BH385" s="231"/>
      <c r="BI385" s="231"/>
      <c r="BJ385" s="231"/>
      <c r="BK385" s="232"/>
      <c r="BL385" s="232"/>
      <c r="BM385" s="232"/>
      <c r="BN385" s="232"/>
      <c r="BO385" s="232"/>
      <c r="BP385" s="232"/>
      <c r="BQ385" s="232"/>
      <c r="BR385" s="232"/>
      <c r="BS385" s="231"/>
      <c r="BT385" s="231"/>
      <c r="BU385" s="231"/>
      <c r="BV385" s="231"/>
      <c r="BW385" s="231"/>
      <c r="BX385" s="231"/>
      <c r="BY385" s="231"/>
      <c r="BZ385" s="232"/>
      <c r="CA385" s="231"/>
      <c r="CB385" s="231"/>
      <c r="CC385" s="231"/>
      <c r="CD385" s="231"/>
      <c r="CE385" s="232"/>
      <c r="CF385" s="232"/>
      <c r="CG385" s="232"/>
      <c r="CH385" s="231"/>
      <c r="CI385" s="232"/>
      <c r="CJ385" s="232"/>
      <c r="CK385" s="231"/>
      <c r="CL385" s="233"/>
      <c r="CM385" s="232"/>
      <c r="CN385" s="232"/>
      <c r="CO385" s="232"/>
      <c r="CP385" s="232"/>
      <c r="CQ385" s="232"/>
      <c r="CR385" s="232"/>
      <c r="CS385" s="232"/>
      <c r="CT385" s="232"/>
    </row>
    <row r="386" ht="24.0" customHeight="1">
      <c r="A386" s="184" t="s">
        <v>476</v>
      </c>
      <c r="B386" s="184" t="s">
        <v>1665</v>
      </c>
      <c r="C386" s="184" t="s">
        <v>670</v>
      </c>
      <c r="D386" s="184" t="s">
        <v>2431</v>
      </c>
      <c r="E386" s="186" t="s">
        <v>3669</v>
      </c>
      <c r="F386" s="186" t="s">
        <v>2432</v>
      </c>
      <c r="G386" s="185">
        <v>27.0</v>
      </c>
      <c r="H386" s="209" t="s">
        <v>3696</v>
      </c>
      <c r="I386" s="209" t="s">
        <v>3697</v>
      </c>
      <c r="J386" s="209" t="s">
        <v>3698</v>
      </c>
      <c r="K386" s="209" t="s">
        <v>3699</v>
      </c>
      <c r="L386" s="209" t="s">
        <v>3700</v>
      </c>
      <c r="M386" s="209" t="s">
        <v>3701</v>
      </c>
      <c r="N386" s="209" t="s">
        <v>752</v>
      </c>
      <c r="O386" s="237" t="s">
        <v>764</v>
      </c>
      <c r="P386" s="237" t="s">
        <v>3702</v>
      </c>
      <c r="Q386" s="237" t="s">
        <v>3703</v>
      </c>
      <c r="R386" s="237" t="s">
        <v>3704</v>
      </c>
      <c r="S386" s="237" t="s">
        <v>858</v>
      </c>
      <c r="T386" s="237" t="s">
        <v>3705</v>
      </c>
      <c r="U386" s="209" t="s">
        <v>3706</v>
      </c>
      <c r="V386" s="209" t="s">
        <v>861</v>
      </c>
      <c r="W386" s="238" t="s">
        <v>3707</v>
      </c>
      <c r="X386" s="239" t="s">
        <v>3708</v>
      </c>
      <c r="Y386" s="209" t="s">
        <v>764</v>
      </c>
      <c r="Z386" s="209" t="s">
        <v>1105</v>
      </c>
      <c r="AA386" s="237" t="s">
        <v>757</v>
      </c>
      <c r="AB386" s="231"/>
      <c r="AC386" s="231"/>
      <c r="AD386" s="231"/>
      <c r="AE386" s="231"/>
      <c r="AF386" s="231"/>
      <c r="AG386" s="231"/>
      <c r="AH386" s="231"/>
      <c r="AJ386" s="231"/>
      <c r="AK386" s="232"/>
      <c r="AL386" s="231"/>
      <c r="AM386" s="232"/>
      <c r="AN386" s="231"/>
      <c r="AO386" s="232"/>
      <c r="AP386" s="232"/>
      <c r="AQ386" s="232"/>
      <c r="AR386" s="232"/>
      <c r="AS386" s="232"/>
      <c r="AT386" s="232"/>
      <c r="AU386" s="232"/>
      <c r="AV386" s="232"/>
      <c r="AW386" s="231"/>
      <c r="AX386" s="231"/>
      <c r="AY386" s="231"/>
      <c r="AZ386" s="231"/>
      <c r="BA386" s="231"/>
      <c r="BB386" s="231"/>
      <c r="BC386" s="232"/>
      <c r="BD386" s="232"/>
      <c r="BE386" s="232"/>
      <c r="BF386" s="232"/>
      <c r="BG386" s="231"/>
      <c r="BH386" s="231"/>
      <c r="BI386" s="232"/>
      <c r="BJ386" s="232"/>
      <c r="BK386" s="232"/>
      <c r="BL386" s="232"/>
      <c r="BM386" s="232"/>
      <c r="BN386" s="232"/>
      <c r="BO386" s="232"/>
      <c r="BP386" s="232"/>
      <c r="BQ386" s="232"/>
      <c r="BR386" s="232"/>
      <c r="BS386" s="231"/>
      <c r="BT386" s="231"/>
      <c r="BU386" s="231"/>
      <c r="BV386" s="231"/>
      <c r="BW386" s="231"/>
      <c r="BX386" s="231"/>
      <c r="BY386" s="232"/>
      <c r="BZ386" s="232"/>
      <c r="CA386" s="231"/>
      <c r="CB386" s="231"/>
      <c r="CC386" s="231"/>
      <c r="CD386" s="231"/>
      <c r="CE386" s="232"/>
      <c r="CF386" s="232"/>
      <c r="CG386" s="232"/>
      <c r="CH386" s="231"/>
      <c r="CI386" s="232"/>
      <c r="CJ386" s="232"/>
      <c r="CK386" s="232"/>
      <c r="CL386" s="232"/>
      <c r="CM386" s="232"/>
      <c r="CN386" s="232"/>
      <c r="CO386" s="232"/>
      <c r="CP386" s="232"/>
      <c r="CQ386" s="232"/>
      <c r="CR386" s="232"/>
      <c r="CS386" s="232"/>
      <c r="CT386" s="232"/>
    </row>
    <row r="387" ht="24.0" customHeight="1">
      <c r="A387" s="184" t="s">
        <v>481</v>
      </c>
      <c r="B387" s="184" t="s">
        <v>1665</v>
      </c>
      <c r="C387" s="184" t="s">
        <v>671</v>
      </c>
      <c r="D387" s="184" t="s">
        <v>2431</v>
      </c>
      <c r="E387" s="186" t="s">
        <v>1377</v>
      </c>
      <c r="F387" s="186" t="s">
        <v>2432</v>
      </c>
      <c r="G387" s="185">
        <v>28.0</v>
      </c>
      <c r="H387" s="209" t="s">
        <v>3709</v>
      </c>
      <c r="I387" s="209" t="s">
        <v>3710</v>
      </c>
      <c r="J387" s="209" t="s">
        <v>3711</v>
      </c>
      <c r="K387" s="209" t="s">
        <v>3712</v>
      </c>
      <c r="L387" s="209" t="s">
        <v>3713</v>
      </c>
      <c r="M387" s="209" t="s">
        <v>3714</v>
      </c>
      <c r="N387" s="209" t="s">
        <v>752</v>
      </c>
      <c r="O387" s="237" t="s">
        <v>773</v>
      </c>
      <c r="P387" s="190"/>
      <c r="Q387" s="190"/>
      <c r="R387" s="190"/>
      <c r="S387" s="190"/>
      <c r="T387" s="190"/>
      <c r="U387" s="210"/>
      <c r="V387" s="209" t="s">
        <v>3715</v>
      </c>
      <c r="W387" s="238" t="s">
        <v>3716</v>
      </c>
      <c r="X387" s="239" t="s">
        <v>3717</v>
      </c>
      <c r="Y387" s="209" t="s">
        <v>773</v>
      </c>
      <c r="Z387" s="209" t="s">
        <v>806</v>
      </c>
      <c r="AA387" s="237" t="s">
        <v>1088</v>
      </c>
      <c r="AB387" s="231"/>
      <c r="AC387" s="231"/>
      <c r="AD387" s="231"/>
      <c r="AE387" s="231"/>
      <c r="AF387" s="231"/>
      <c r="AG387" s="231"/>
      <c r="AH387" s="231"/>
      <c r="AJ387" s="231"/>
      <c r="AK387" s="232"/>
      <c r="AL387" s="231"/>
      <c r="AM387" s="232"/>
      <c r="AN387" s="231"/>
      <c r="AO387" s="232"/>
      <c r="AP387" s="232"/>
      <c r="AQ387" s="232"/>
      <c r="AR387" s="232"/>
      <c r="AS387" s="232"/>
      <c r="AT387" s="232"/>
      <c r="AU387" s="232"/>
      <c r="AV387" s="232"/>
      <c r="AW387" s="231"/>
      <c r="AX387" s="231"/>
      <c r="AY387" s="231"/>
      <c r="AZ387" s="231"/>
      <c r="BA387" s="231"/>
      <c r="BB387" s="231"/>
      <c r="BC387" s="231"/>
      <c r="BD387" s="231"/>
      <c r="BE387" s="231"/>
      <c r="BF387" s="231"/>
      <c r="BG387" s="231"/>
      <c r="BH387" s="231"/>
      <c r="BI387" s="232"/>
      <c r="BJ387" s="232"/>
      <c r="BK387" s="232"/>
      <c r="BL387" s="232"/>
      <c r="BM387" s="232"/>
      <c r="BN387" s="232"/>
      <c r="BO387" s="232"/>
      <c r="BP387" s="232"/>
      <c r="BQ387" s="232"/>
      <c r="BR387" s="232"/>
      <c r="BS387" s="231"/>
      <c r="BT387" s="231"/>
      <c r="BU387" s="231"/>
      <c r="BV387" s="231"/>
      <c r="BW387" s="231"/>
      <c r="BX387" s="231"/>
      <c r="BY387" s="231"/>
      <c r="BZ387" s="232"/>
      <c r="CA387" s="231"/>
      <c r="CB387" s="231"/>
      <c r="CC387" s="231"/>
      <c r="CD387" s="231"/>
      <c r="CE387" s="232"/>
      <c r="CF387" s="232"/>
      <c r="CG387" s="232"/>
      <c r="CH387" s="231"/>
      <c r="CI387" s="232"/>
      <c r="CJ387" s="232"/>
      <c r="CK387" s="231"/>
      <c r="CL387" s="233"/>
      <c r="CM387" s="232"/>
      <c r="CN387" s="232"/>
      <c r="CO387" s="232"/>
      <c r="CP387" s="232"/>
      <c r="CQ387" s="232"/>
      <c r="CR387" s="232"/>
      <c r="CS387" s="232"/>
      <c r="CT387" s="232"/>
    </row>
    <row r="388" ht="24.0" customHeight="1">
      <c r="A388" s="220" t="s">
        <v>480</v>
      </c>
      <c r="B388" s="220" t="s">
        <v>1665</v>
      </c>
      <c r="C388" s="220" t="s">
        <v>671</v>
      </c>
      <c r="D388" s="184" t="s">
        <v>2431</v>
      </c>
      <c r="E388" s="221" t="s">
        <v>1377</v>
      </c>
      <c r="F388" s="186" t="s">
        <v>2432</v>
      </c>
      <c r="G388" s="225">
        <v>30.0</v>
      </c>
      <c r="H388" s="241" t="s">
        <v>3181</v>
      </c>
      <c r="I388" s="241" t="s">
        <v>3718</v>
      </c>
      <c r="J388" s="241" t="s">
        <v>3719</v>
      </c>
      <c r="K388" s="241" t="s">
        <v>1964</v>
      </c>
      <c r="L388" s="241" t="s">
        <v>3720</v>
      </c>
      <c r="M388" s="241" t="s">
        <v>3721</v>
      </c>
      <c r="N388" s="241" t="s">
        <v>752</v>
      </c>
      <c r="O388" s="244" t="s">
        <v>784</v>
      </c>
      <c r="P388" s="244" t="s">
        <v>1572</v>
      </c>
      <c r="Q388" s="244" t="s">
        <v>1572</v>
      </c>
      <c r="R388" s="244" t="s">
        <v>1572</v>
      </c>
      <c r="S388" s="244" t="s">
        <v>1572</v>
      </c>
      <c r="T388" s="244" t="s">
        <v>1572</v>
      </c>
      <c r="U388" s="241" t="s">
        <v>1572</v>
      </c>
      <c r="V388" s="241" t="s">
        <v>3182</v>
      </c>
      <c r="W388" s="242" t="s">
        <v>3183</v>
      </c>
      <c r="X388" s="243" t="s">
        <v>3184</v>
      </c>
      <c r="Y388" s="241" t="s">
        <v>784</v>
      </c>
      <c r="Z388" s="241" t="s">
        <v>1543</v>
      </c>
      <c r="AA388" s="244" t="s">
        <v>797</v>
      </c>
      <c r="AB388" s="231"/>
      <c r="AC388" s="231"/>
      <c r="AD388" s="231"/>
      <c r="AE388" s="231"/>
      <c r="AF388" s="231"/>
      <c r="AG388" s="231"/>
      <c r="AH388" s="231"/>
      <c r="AJ388" s="231"/>
      <c r="AK388" s="232"/>
      <c r="AL388" s="231"/>
      <c r="AM388" s="232"/>
      <c r="AN388" s="231"/>
      <c r="AO388" s="232"/>
      <c r="AP388" s="232"/>
      <c r="AQ388" s="232"/>
      <c r="AR388" s="232"/>
      <c r="AS388" s="232"/>
      <c r="AT388" s="232"/>
      <c r="AU388" s="232"/>
      <c r="AV388" s="232"/>
      <c r="AW388" s="231"/>
      <c r="AX388" s="231"/>
      <c r="AY388" s="231"/>
      <c r="AZ388" s="231"/>
      <c r="BA388" s="231"/>
      <c r="BB388" s="231"/>
      <c r="BC388" s="232"/>
      <c r="BD388" s="232"/>
      <c r="BE388" s="232"/>
      <c r="BF388" s="232"/>
      <c r="BG388" s="232"/>
      <c r="BH388" s="232"/>
      <c r="BI388" s="232"/>
      <c r="BJ388" s="232"/>
      <c r="BK388" s="232"/>
      <c r="BL388" s="232"/>
      <c r="BM388" s="232"/>
      <c r="BN388" s="232"/>
      <c r="BO388" s="232"/>
      <c r="BP388" s="232"/>
      <c r="BQ388" s="232"/>
      <c r="BR388" s="232"/>
      <c r="BS388" s="231"/>
      <c r="BT388" s="231"/>
      <c r="BU388" s="231"/>
      <c r="BV388" s="231"/>
      <c r="BW388" s="231"/>
      <c r="BX388" s="231"/>
      <c r="BY388" s="231"/>
      <c r="BZ388" s="231"/>
      <c r="CA388" s="231"/>
      <c r="CB388" s="231"/>
      <c r="CC388" s="231"/>
      <c r="CD388" s="231"/>
      <c r="CE388" s="232"/>
      <c r="CF388" s="232"/>
      <c r="CG388" s="232"/>
      <c r="CH388" s="231"/>
      <c r="CI388" s="232"/>
      <c r="CJ388" s="232"/>
      <c r="CK388" s="232"/>
      <c r="CL388" s="232"/>
      <c r="CM388" s="232"/>
      <c r="CN388" s="232"/>
      <c r="CO388" s="232"/>
      <c r="CP388" s="232"/>
      <c r="CQ388" s="232"/>
      <c r="CR388" s="232"/>
      <c r="CS388" s="232"/>
      <c r="CT388" s="232"/>
    </row>
    <row r="389" ht="24.0" customHeight="1">
      <c r="A389" s="184" t="s">
        <v>483</v>
      </c>
      <c r="B389" s="184" t="s">
        <v>1665</v>
      </c>
      <c r="C389" s="184" t="s">
        <v>671</v>
      </c>
      <c r="D389" s="184" t="s">
        <v>2431</v>
      </c>
      <c r="E389" s="186" t="s">
        <v>1377</v>
      </c>
      <c r="F389" s="186" t="s">
        <v>2432</v>
      </c>
      <c r="G389" s="185">
        <v>31.0</v>
      </c>
      <c r="H389" s="209" t="s">
        <v>3722</v>
      </c>
      <c r="I389" s="209" t="s">
        <v>3723</v>
      </c>
      <c r="J389" s="209" t="s">
        <v>3724</v>
      </c>
      <c r="K389" s="209" t="s">
        <v>2794</v>
      </c>
      <c r="L389" s="209" t="s">
        <v>3725</v>
      </c>
      <c r="M389" s="209" t="s">
        <v>3726</v>
      </c>
      <c r="N389" s="209" t="s">
        <v>752</v>
      </c>
      <c r="O389" s="209" t="s">
        <v>764</v>
      </c>
      <c r="P389" s="210"/>
      <c r="Q389" s="190"/>
      <c r="R389" s="190"/>
      <c r="S389" s="190"/>
      <c r="T389" s="190"/>
      <c r="U389" s="210"/>
      <c r="V389" s="209" t="s">
        <v>1159</v>
      </c>
      <c r="W389" s="238" t="s">
        <v>1401</v>
      </c>
      <c r="X389" s="239" t="s">
        <v>3727</v>
      </c>
      <c r="Y389" s="209" t="s">
        <v>764</v>
      </c>
      <c r="Z389" s="209" t="s">
        <v>1543</v>
      </c>
      <c r="AA389" s="237" t="s">
        <v>757</v>
      </c>
      <c r="AB389" s="231"/>
      <c r="AC389" s="231"/>
      <c r="AD389" s="231"/>
      <c r="AE389" s="231"/>
      <c r="AF389" s="231"/>
      <c r="AG389" s="231"/>
      <c r="AH389" s="231"/>
      <c r="AJ389" s="231"/>
      <c r="AK389" s="232"/>
      <c r="AL389" s="231"/>
      <c r="AM389" s="232"/>
      <c r="AN389" s="231"/>
      <c r="AO389" s="232"/>
      <c r="AP389" s="232"/>
      <c r="AQ389" s="232"/>
      <c r="AR389" s="232"/>
      <c r="AS389" s="232"/>
      <c r="AT389" s="232"/>
      <c r="AU389" s="232"/>
      <c r="AV389" s="232"/>
      <c r="AW389" s="231"/>
      <c r="AX389" s="231"/>
      <c r="AY389" s="231"/>
      <c r="AZ389" s="231"/>
      <c r="BA389" s="231"/>
      <c r="BB389" s="231"/>
      <c r="BC389" s="231"/>
      <c r="BD389" s="231"/>
      <c r="BE389" s="231"/>
      <c r="BF389" s="231"/>
      <c r="BG389" s="231"/>
      <c r="BH389" s="231"/>
      <c r="BI389" s="232"/>
      <c r="BJ389" s="232"/>
      <c r="BK389" s="232"/>
      <c r="BL389" s="232"/>
      <c r="BM389" s="232"/>
      <c r="BN389" s="232"/>
      <c r="BO389" s="232"/>
      <c r="BP389" s="232"/>
      <c r="BQ389" s="232"/>
      <c r="BR389" s="232"/>
      <c r="BS389" s="231"/>
      <c r="BT389" s="231"/>
      <c r="BU389" s="231"/>
      <c r="BV389" s="231"/>
      <c r="BW389" s="231"/>
      <c r="BX389" s="231"/>
      <c r="BY389" s="231"/>
      <c r="BZ389" s="232"/>
      <c r="CA389" s="231"/>
      <c r="CB389" s="231"/>
      <c r="CC389" s="231"/>
      <c r="CD389" s="231"/>
      <c r="CE389" s="232"/>
      <c r="CF389" s="232"/>
      <c r="CG389" s="232"/>
      <c r="CH389" s="231"/>
      <c r="CI389" s="232"/>
      <c r="CJ389" s="232"/>
      <c r="CK389" s="232"/>
      <c r="CL389" s="235"/>
      <c r="CM389" s="232"/>
      <c r="CN389" s="232"/>
      <c r="CO389" s="232"/>
      <c r="CP389" s="232"/>
      <c r="CQ389" s="232"/>
      <c r="CR389" s="232"/>
      <c r="CS389" s="232"/>
      <c r="CT389" s="232"/>
    </row>
    <row r="390" ht="24.0" customHeight="1">
      <c r="A390" s="184" t="s">
        <v>482</v>
      </c>
      <c r="B390" s="184" t="s">
        <v>1665</v>
      </c>
      <c r="C390" s="184" t="s">
        <v>671</v>
      </c>
      <c r="D390" s="184" t="s">
        <v>2431</v>
      </c>
      <c r="E390" s="186" t="s">
        <v>1377</v>
      </c>
      <c r="F390" s="186" t="s">
        <v>2432</v>
      </c>
      <c r="G390" s="185">
        <v>32.0</v>
      </c>
      <c r="H390" s="209" t="s">
        <v>3728</v>
      </c>
      <c r="I390" s="209" t="s">
        <v>3729</v>
      </c>
      <c r="J390" s="209" t="s">
        <v>3730</v>
      </c>
      <c r="K390" s="209" t="s">
        <v>1398</v>
      </c>
      <c r="L390" s="209" t="s">
        <v>3731</v>
      </c>
      <c r="M390" s="209" t="s">
        <v>3732</v>
      </c>
      <c r="N390" s="209" t="s">
        <v>752</v>
      </c>
      <c r="O390" s="209" t="s">
        <v>764</v>
      </c>
      <c r="P390" s="210"/>
      <c r="Q390" s="190"/>
      <c r="R390" s="190"/>
      <c r="S390" s="190"/>
      <c r="T390" s="190"/>
      <c r="U390" s="210"/>
      <c r="V390" s="209" t="s">
        <v>1015</v>
      </c>
      <c r="W390" s="238" t="s">
        <v>1997</v>
      </c>
      <c r="X390" s="239" t="s">
        <v>3210</v>
      </c>
      <c r="Y390" s="209" t="s">
        <v>764</v>
      </c>
      <c r="Z390" s="209" t="s">
        <v>1543</v>
      </c>
      <c r="AA390" s="237" t="s">
        <v>757</v>
      </c>
      <c r="AB390" s="231"/>
      <c r="AC390" s="231"/>
      <c r="AD390" s="231"/>
      <c r="AE390" s="231"/>
      <c r="AF390" s="231"/>
      <c r="AG390" s="231"/>
      <c r="AH390" s="231"/>
      <c r="AJ390" s="231"/>
      <c r="AK390" s="232"/>
      <c r="AL390" s="231"/>
      <c r="AM390" s="232"/>
      <c r="AN390" s="231"/>
      <c r="AO390" s="232"/>
      <c r="AP390" s="232"/>
      <c r="AQ390" s="232"/>
      <c r="AR390" s="232"/>
      <c r="AS390" s="232"/>
      <c r="AT390" s="232"/>
      <c r="AU390" s="232"/>
      <c r="AV390" s="232"/>
      <c r="AW390" s="231"/>
      <c r="AX390" s="231"/>
      <c r="AY390" s="231"/>
      <c r="AZ390" s="231"/>
      <c r="BA390" s="231"/>
      <c r="BB390" s="231"/>
      <c r="BC390" s="231"/>
      <c r="BD390" s="231"/>
      <c r="BE390" s="231"/>
      <c r="BF390" s="231"/>
      <c r="BG390" s="231"/>
      <c r="BH390" s="231"/>
      <c r="BI390" s="231"/>
      <c r="BJ390" s="231"/>
      <c r="BK390" s="231"/>
      <c r="BL390" s="231"/>
      <c r="BM390" s="231"/>
      <c r="BN390" s="231"/>
      <c r="BO390" s="231"/>
      <c r="BP390" s="231"/>
      <c r="BQ390" s="232"/>
      <c r="BR390" s="232"/>
      <c r="BS390" s="231"/>
      <c r="BT390" s="231"/>
      <c r="BU390" s="231"/>
      <c r="BV390" s="231"/>
      <c r="BW390" s="231"/>
      <c r="BX390" s="231"/>
      <c r="BY390" s="231"/>
      <c r="BZ390" s="232"/>
      <c r="CA390" s="231"/>
      <c r="CB390" s="231"/>
      <c r="CC390" s="231"/>
      <c r="CD390" s="231"/>
      <c r="CE390" s="232"/>
      <c r="CF390" s="232"/>
      <c r="CG390" s="232"/>
      <c r="CH390" s="231"/>
      <c r="CI390" s="232"/>
      <c r="CJ390" s="232"/>
      <c r="CK390" s="232"/>
      <c r="CL390" s="235"/>
      <c r="CM390" s="232"/>
      <c r="CN390" s="232"/>
      <c r="CO390" s="232"/>
      <c r="CP390" s="232"/>
      <c r="CQ390" s="232"/>
      <c r="CR390" s="232"/>
      <c r="CS390" s="232"/>
      <c r="CT390" s="232"/>
    </row>
    <row r="391" ht="24.0" customHeight="1">
      <c r="A391" s="184" t="s">
        <v>479</v>
      </c>
      <c r="B391" s="184" t="s">
        <v>1665</v>
      </c>
      <c r="C391" s="184" t="s">
        <v>671</v>
      </c>
      <c r="D391" s="184" t="s">
        <v>2431</v>
      </c>
      <c r="E391" s="186" t="s">
        <v>1377</v>
      </c>
      <c r="F391" s="186" t="s">
        <v>2432</v>
      </c>
      <c r="G391" s="185">
        <v>33.0</v>
      </c>
      <c r="H391" s="209" t="s">
        <v>3733</v>
      </c>
      <c r="I391" s="209" t="s">
        <v>3734</v>
      </c>
      <c r="J391" s="209" t="s">
        <v>3735</v>
      </c>
      <c r="K391" s="209" t="s">
        <v>3736</v>
      </c>
      <c r="L391" s="209" t="s">
        <v>3737</v>
      </c>
      <c r="M391" s="209" t="s">
        <v>3738</v>
      </c>
      <c r="N391" s="209" t="s">
        <v>752</v>
      </c>
      <c r="O391" s="237" t="s">
        <v>773</v>
      </c>
      <c r="P391" s="190"/>
      <c r="Q391" s="190"/>
      <c r="R391" s="190"/>
      <c r="S391" s="190"/>
      <c r="T391" s="190"/>
      <c r="U391" s="210"/>
      <c r="V391" s="209" t="s">
        <v>2913</v>
      </c>
      <c r="W391" s="238" t="s">
        <v>2914</v>
      </c>
      <c r="X391" s="239" t="s">
        <v>2915</v>
      </c>
      <c r="Y391" s="209" t="s">
        <v>773</v>
      </c>
      <c r="Z391" s="209" t="s">
        <v>1543</v>
      </c>
      <c r="AA391" s="237" t="s">
        <v>757</v>
      </c>
      <c r="AB391" s="231"/>
      <c r="AC391" s="231"/>
      <c r="AD391" s="231"/>
      <c r="AE391" s="231"/>
      <c r="AF391" s="231"/>
      <c r="AG391" s="231"/>
      <c r="AH391" s="231"/>
      <c r="AJ391" s="231"/>
      <c r="AK391" s="232"/>
      <c r="AL391" s="231"/>
      <c r="AM391" s="232"/>
      <c r="AN391" s="231"/>
      <c r="AO391" s="232"/>
      <c r="AP391" s="232"/>
      <c r="AQ391" s="232"/>
      <c r="AR391" s="232"/>
      <c r="AS391" s="232"/>
      <c r="AT391" s="232"/>
      <c r="AU391" s="232"/>
      <c r="AV391" s="232"/>
      <c r="AW391" s="231"/>
      <c r="AX391" s="231"/>
      <c r="AY391" s="231"/>
      <c r="AZ391" s="231"/>
      <c r="BA391" s="231"/>
      <c r="BB391" s="231"/>
      <c r="BC391" s="232"/>
      <c r="BD391" s="232"/>
      <c r="BE391" s="232"/>
      <c r="BF391" s="232"/>
      <c r="BG391" s="231"/>
      <c r="BH391" s="231"/>
      <c r="BI391" s="232"/>
      <c r="BJ391" s="232"/>
      <c r="BK391" s="232"/>
      <c r="BL391" s="232"/>
      <c r="BM391" s="232"/>
      <c r="BN391" s="232"/>
      <c r="BO391" s="232"/>
      <c r="BP391" s="232"/>
      <c r="BQ391" s="232"/>
      <c r="BR391" s="232"/>
      <c r="BS391" s="231"/>
      <c r="BT391" s="231"/>
      <c r="BU391" s="231"/>
      <c r="BV391" s="231"/>
      <c r="BW391" s="231"/>
      <c r="BX391" s="231"/>
      <c r="BY391" s="231"/>
      <c r="BZ391" s="231"/>
      <c r="CA391" s="231"/>
      <c r="CB391" s="231"/>
      <c r="CC391" s="231"/>
      <c r="CD391" s="231"/>
      <c r="CE391" s="232"/>
      <c r="CF391" s="232"/>
      <c r="CG391" s="232"/>
      <c r="CH391" s="231"/>
      <c r="CI391" s="232"/>
      <c r="CJ391" s="232"/>
      <c r="CK391" s="232"/>
      <c r="CL391" s="235"/>
      <c r="CM391" s="232"/>
      <c r="CN391" s="232"/>
      <c r="CO391" s="232"/>
      <c r="CP391" s="232"/>
      <c r="CQ391" s="232"/>
      <c r="CR391" s="232"/>
      <c r="CS391" s="232"/>
      <c r="CT391" s="232"/>
    </row>
    <row r="392" ht="24.0" customHeight="1">
      <c r="A392" s="184" t="s">
        <v>484</v>
      </c>
      <c r="B392" s="184" t="s">
        <v>1665</v>
      </c>
      <c r="C392" s="184" t="s">
        <v>671</v>
      </c>
      <c r="D392" s="184" t="s">
        <v>2431</v>
      </c>
      <c r="E392" s="186" t="s">
        <v>1377</v>
      </c>
      <c r="F392" s="186" t="s">
        <v>2432</v>
      </c>
      <c r="G392" s="185">
        <v>34.0</v>
      </c>
      <c r="H392" s="209" t="s">
        <v>3739</v>
      </c>
      <c r="I392" s="209" t="s">
        <v>3740</v>
      </c>
      <c r="J392" s="209" t="s">
        <v>3741</v>
      </c>
      <c r="K392" s="209" t="s">
        <v>1398</v>
      </c>
      <c r="L392" s="209" t="s">
        <v>3742</v>
      </c>
      <c r="M392" s="209" t="s">
        <v>3743</v>
      </c>
      <c r="N392" s="209" t="s">
        <v>752</v>
      </c>
      <c r="O392" s="237" t="s">
        <v>764</v>
      </c>
      <c r="P392" s="237" t="s">
        <v>3744</v>
      </c>
      <c r="Q392" s="237" t="s">
        <v>2743</v>
      </c>
      <c r="R392" s="190"/>
      <c r="S392" s="190"/>
      <c r="T392" s="190"/>
      <c r="U392" s="210"/>
      <c r="V392" s="209" t="s">
        <v>788</v>
      </c>
      <c r="W392" s="238" t="s">
        <v>1995</v>
      </c>
      <c r="X392" s="239" t="s">
        <v>1996</v>
      </c>
      <c r="Y392" s="209" t="s">
        <v>764</v>
      </c>
      <c r="Z392" s="209" t="s">
        <v>1543</v>
      </c>
      <c r="AA392" s="237" t="s">
        <v>757</v>
      </c>
      <c r="AB392" s="231"/>
      <c r="AC392" s="231"/>
      <c r="AD392" s="231"/>
      <c r="AE392" s="231"/>
      <c r="AF392" s="231"/>
      <c r="AG392" s="231"/>
      <c r="AH392" s="231"/>
      <c r="AJ392" s="231"/>
      <c r="AK392" s="232"/>
      <c r="AL392" s="231"/>
      <c r="AM392" s="232"/>
      <c r="AN392" s="231"/>
      <c r="AO392" s="232"/>
      <c r="AP392" s="232"/>
      <c r="AQ392" s="232"/>
      <c r="AR392" s="232"/>
      <c r="AS392" s="232"/>
      <c r="AT392" s="232"/>
      <c r="AU392" s="232"/>
      <c r="AV392" s="232"/>
      <c r="AW392" s="231"/>
      <c r="AX392" s="231"/>
      <c r="AY392" s="231"/>
      <c r="AZ392" s="231"/>
      <c r="BA392" s="231"/>
      <c r="BB392" s="231"/>
      <c r="BC392" s="231"/>
      <c r="BD392" s="231"/>
      <c r="BE392" s="231"/>
      <c r="BF392" s="231"/>
      <c r="BG392" s="231"/>
      <c r="BH392" s="231"/>
      <c r="BI392" s="232"/>
      <c r="BJ392" s="232"/>
      <c r="BK392" s="232"/>
      <c r="BL392" s="232"/>
      <c r="BM392" s="232"/>
      <c r="BN392" s="232"/>
      <c r="BO392" s="232"/>
      <c r="BP392" s="232"/>
      <c r="BQ392" s="232"/>
      <c r="BR392" s="232"/>
      <c r="BS392" s="231"/>
      <c r="BT392" s="231"/>
      <c r="BU392" s="231"/>
      <c r="BV392" s="231"/>
      <c r="BW392" s="231"/>
      <c r="BX392" s="231"/>
      <c r="BY392" s="231"/>
      <c r="BZ392" s="232"/>
      <c r="CA392" s="231"/>
      <c r="CB392" s="231"/>
      <c r="CC392" s="231"/>
      <c r="CD392" s="231"/>
      <c r="CE392" s="232"/>
      <c r="CF392" s="232"/>
      <c r="CG392" s="232"/>
      <c r="CH392" s="231"/>
      <c r="CI392" s="232"/>
      <c r="CJ392" s="232"/>
      <c r="CK392" s="232"/>
      <c r="CL392" s="235"/>
      <c r="CM392" s="232"/>
      <c r="CN392" s="232"/>
      <c r="CO392" s="232"/>
      <c r="CP392" s="232"/>
      <c r="CQ392" s="232"/>
      <c r="CR392" s="232"/>
      <c r="CS392" s="232"/>
      <c r="CT392" s="232"/>
    </row>
    <row r="393" ht="24.0" customHeight="1">
      <c r="A393" s="184" t="s">
        <v>486</v>
      </c>
      <c r="B393" s="184" t="s">
        <v>1665</v>
      </c>
      <c r="C393" s="184" t="s">
        <v>672</v>
      </c>
      <c r="D393" s="184" t="s">
        <v>2431</v>
      </c>
      <c r="E393" s="186" t="s">
        <v>1970</v>
      </c>
      <c r="F393" s="186" t="s">
        <v>2432</v>
      </c>
      <c r="G393" s="185">
        <v>35.0</v>
      </c>
      <c r="H393" s="209" t="s">
        <v>1579</v>
      </c>
      <c r="I393" s="209" t="s">
        <v>3745</v>
      </c>
      <c r="J393" s="209" t="s">
        <v>3746</v>
      </c>
      <c r="K393" s="209" t="s">
        <v>2355</v>
      </c>
      <c r="L393" s="209" t="s">
        <v>3747</v>
      </c>
      <c r="M393" s="209" t="s">
        <v>3748</v>
      </c>
      <c r="N393" s="209" t="s">
        <v>752</v>
      </c>
      <c r="O393" s="237" t="s">
        <v>764</v>
      </c>
      <c r="P393" s="237" t="s">
        <v>3749</v>
      </c>
      <c r="Q393" s="237" t="s">
        <v>3750</v>
      </c>
      <c r="R393" s="190"/>
      <c r="S393" s="190"/>
      <c r="T393" s="190"/>
      <c r="U393" s="210"/>
      <c r="V393" s="209" t="s">
        <v>1089</v>
      </c>
      <c r="W393" s="238" t="s">
        <v>1384</v>
      </c>
      <c r="X393" s="239" t="s">
        <v>3751</v>
      </c>
      <c r="Y393" s="209" t="s">
        <v>764</v>
      </c>
      <c r="Z393" s="209" t="s">
        <v>1543</v>
      </c>
      <c r="AA393" s="237" t="s">
        <v>797</v>
      </c>
      <c r="AB393" s="231"/>
      <c r="AC393" s="231"/>
      <c r="AD393" s="231"/>
      <c r="AE393" s="231"/>
      <c r="AF393" s="231"/>
      <c r="AG393" s="231"/>
      <c r="AH393" s="231"/>
      <c r="AJ393" s="231"/>
      <c r="AK393" s="232"/>
      <c r="AL393" s="231"/>
      <c r="AM393" s="232"/>
      <c r="AN393" s="231"/>
      <c r="AO393" s="232"/>
      <c r="AP393" s="232"/>
      <c r="AQ393" s="232"/>
      <c r="AR393" s="232"/>
      <c r="AS393" s="232"/>
      <c r="AT393" s="232"/>
      <c r="AU393" s="232"/>
      <c r="AV393" s="232"/>
      <c r="AW393" s="231"/>
      <c r="AX393" s="231"/>
      <c r="AY393" s="231"/>
      <c r="AZ393" s="231"/>
      <c r="BA393" s="231"/>
      <c r="BB393" s="231"/>
      <c r="BC393" s="231"/>
      <c r="BD393" s="231"/>
      <c r="BE393" s="231"/>
      <c r="BF393" s="231"/>
      <c r="BG393" s="231"/>
      <c r="BH393" s="231"/>
      <c r="BI393" s="232"/>
      <c r="BJ393" s="232"/>
      <c r="BK393" s="232"/>
      <c r="BL393" s="232"/>
      <c r="BM393" s="232"/>
      <c r="BN393" s="232"/>
      <c r="BO393" s="232"/>
      <c r="BP393" s="232"/>
      <c r="BQ393" s="232"/>
      <c r="BR393" s="232"/>
      <c r="BS393" s="231"/>
      <c r="BT393" s="231"/>
      <c r="BU393" s="231"/>
      <c r="BV393" s="231"/>
      <c r="BW393" s="231"/>
      <c r="BX393" s="231"/>
      <c r="BY393" s="231"/>
      <c r="BZ393" s="231"/>
      <c r="CA393" s="231"/>
      <c r="CB393" s="231"/>
      <c r="CC393" s="231"/>
      <c r="CD393" s="231"/>
      <c r="CE393" s="232"/>
      <c r="CF393" s="232"/>
      <c r="CG393" s="232"/>
      <c r="CH393" s="231"/>
      <c r="CI393" s="232"/>
      <c r="CJ393" s="232"/>
      <c r="CK393" s="232"/>
      <c r="CL393" s="235"/>
      <c r="CM393" s="232"/>
      <c r="CN393" s="232"/>
      <c r="CO393" s="232"/>
      <c r="CP393" s="232"/>
      <c r="CQ393" s="232"/>
      <c r="CR393" s="232"/>
      <c r="CS393" s="232"/>
      <c r="CT393" s="232"/>
    </row>
    <row r="394" ht="24.0" customHeight="1">
      <c r="A394" s="184" t="s">
        <v>490</v>
      </c>
      <c r="B394" s="184" t="s">
        <v>1665</v>
      </c>
      <c r="C394" s="184" t="s">
        <v>672</v>
      </c>
      <c r="D394" s="184" t="s">
        <v>2431</v>
      </c>
      <c r="E394" s="186" t="s">
        <v>1970</v>
      </c>
      <c r="F394" s="186" t="s">
        <v>2432</v>
      </c>
      <c r="G394" s="185">
        <v>36.0</v>
      </c>
      <c r="H394" s="209" t="s">
        <v>788</v>
      </c>
      <c r="I394" s="209" t="s">
        <v>3211</v>
      </c>
      <c r="J394" s="209" t="s">
        <v>3752</v>
      </c>
      <c r="K394" s="209" t="s">
        <v>3753</v>
      </c>
      <c r="L394" s="209" t="s">
        <v>3754</v>
      </c>
      <c r="M394" s="209" t="s">
        <v>3755</v>
      </c>
      <c r="N394" s="209" t="s">
        <v>752</v>
      </c>
      <c r="O394" s="209" t="s">
        <v>764</v>
      </c>
      <c r="P394" s="210"/>
      <c r="Q394" s="190"/>
      <c r="R394" s="190"/>
      <c r="S394" s="190"/>
      <c r="T394" s="190"/>
      <c r="U394" s="210"/>
      <c r="V394" s="209" t="s">
        <v>3756</v>
      </c>
      <c r="W394" s="238" t="s">
        <v>3757</v>
      </c>
      <c r="X394" s="239" t="s">
        <v>3758</v>
      </c>
      <c r="Y394" s="209" t="s">
        <v>764</v>
      </c>
      <c r="Z394" s="209" t="s">
        <v>1543</v>
      </c>
      <c r="AA394" s="237" t="s">
        <v>797</v>
      </c>
      <c r="AB394" s="231"/>
      <c r="AC394" s="231"/>
      <c r="AD394" s="231"/>
      <c r="AE394" s="231"/>
      <c r="AF394" s="231"/>
      <c r="AG394" s="231"/>
      <c r="AH394" s="231"/>
      <c r="AJ394" s="231"/>
      <c r="AK394" s="232"/>
      <c r="AL394" s="231"/>
      <c r="AM394" s="232"/>
      <c r="AN394" s="231"/>
      <c r="AO394" s="232"/>
      <c r="AP394" s="232"/>
      <c r="AQ394" s="232"/>
      <c r="AR394" s="232"/>
      <c r="AS394" s="232"/>
      <c r="AT394" s="232"/>
      <c r="AU394" s="232"/>
      <c r="AV394" s="232"/>
      <c r="AW394" s="231"/>
      <c r="AX394" s="231"/>
      <c r="AY394" s="231"/>
      <c r="AZ394" s="231"/>
      <c r="BA394" s="231"/>
      <c r="BB394" s="231"/>
      <c r="BC394" s="231"/>
      <c r="BD394" s="231"/>
      <c r="BE394" s="231"/>
      <c r="BF394" s="231"/>
      <c r="BG394" s="231"/>
      <c r="BH394" s="231"/>
      <c r="BI394" s="231"/>
      <c r="BJ394" s="231"/>
      <c r="BK394" s="231"/>
      <c r="BL394" s="231"/>
      <c r="BM394" s="231"/>
      <c r="BN394" s="231"/>
      <c r="BO394" s="231"/>
      <c r="BP394" s="231"/>
      <c r="BQ394" s="232"/>
      <c r="BR394" s="232"/>
      <c r="BS394" s="231"/>
      <c r="BT394" s="231"/>
      <c r="BU394" s="231"/>
      <c r="BV394" s="231"/>
      <c r="BW394" s="231"/>
      <c r="BX394" s="231"/>
      <c r="BY394" s="231"/>
      <c r="BZ394" s="232"/>
      <c r="CA394" s="231"/>
      <c r="CB394" s="231"/>
      <c r="CC394" s="231"/>
      <c r="CD394" s="231"/>
      <c r="CE394" s="232"/>
      <c r="CF394" s="232"/>
      <c r="CG394" s="232"/>
      <c r="CH394" s="231"/>
      <c r="CI394" s="232"/>
      <c r="CJ394" s="232"/>
      <c r="CK394" s="232"/>
      <c r="CL394" s="235"/>
      <c r="CM394" s="232"/>
      <c r="CN394" s="232"/>
      <c r="CO394" s="232"/>
      <c r="CP394" s="232"/>
      <c r="CQ394" s="232"/>
      <c r="CR394" s="232"/>
      <c r="CS394" s="232"/>
      <c r="CT394" s="232"/>
    </row>
    <row r="395" ht="24.0" customHeight="1">
      <c r="A395" s="184" t="s">
        <v>485</v>
      </c>
      <c r="B395" s="184" t="s">
        <v>1665</v>
      </c>
      <c r="C395" s="184" t="s">
        <v>672</v>
      </c>
      <c r="D395" s="184" t="s">
        <v>2431</v>
      </c>
      <c r="E395" s="186" t="s">
        <v>1970</v>
      </c>
      <c r="F395" s="186" t="s">
        <v>2432</v>
      </c>
      <c r="G395" s="185">
        <v>37.0</v>
      </c>
      <c r="H395" s="209" t="s">
        <v>3759</v>
      </c>
      <c r="I395" s="209" t="s">
        <v>3760</v>
      </c>
      <c r="J395" s="209" t="s">
        <v>3761</v>
      </c>
      <c r="K395" s="209" t="s">
        <v>3762</v>
      </c>
      <c r="L395" s="209" t="s">
        <v>3763</v>
      </c>
      <c r="M395" s="210" t="s">
        <v>3764</v>
      </c>
      <c r="N395" s="209" t="s">
        <v>752</v>
      </c>
      <c r="O395" s="209" t="s">
        <v>764</v>
      </c>
      <c r="P395" s="210"/>
      <c r="Q395" s="190"/>
      <c r="R395" s="190"/>
      <c r="S395" s="190"/>
      <c r="T395" s="190"/>
      <c r="U395" s="210"/>
      <c r="V395" s="209" t="s">
        <v>788</v>
      </c>
      <c r="W395" s="238" t="s">
        <v>1995</v>
      </c>
      <c r="X395" s="239" t="s">
        <v>1996</v>
      </c>
      <c r="Y395" s="209" t="s">
        <v>764</v>
      </c>
      <c r="Z395" s="209" t="s">
        <v>1543</v>
      </c>
      <c r="AA395" s="237" t="s">
        <v>757</v>
      </c>
      <c r="AB395" s="231"/>
      <c r="AC395" s="231"/>
      <c r="AD395" s="231"/>
      <c r="AE395" s="231"/>
      <c r="AF395" s="231"/>
      <c r="AG395" s="231"/>
      <c r="AH395" s="231"/>
      <c r="AJ395" s="231"/>
      <c r="AK395" s="232"/>
      <c r="AL395" s="231"/>
      <c r="AM395" s="232"/>
      <c r="AN395" s="231"/>
      <c r="AO395" s="232"/>
      <c r="AP395" s="232"/>
      <c r="AQ395" s="232"/>
      <c r="AR395" s="232"/>
      <c r="AS395" s="232"/>
      <c r="AT395" s="232"/>
      <c r="AU395" s="232"/>
      <c r="AV395" s="232"/>
      <c r="AW395" s="231"/>
      <c r="AX395" s="231"/>
      <c r="AY395" s="231"/>
      <c r="AZ395" s="231"/>
      <c r="BA395" s="231"/>
      <c r="BB395" s="231"/>
      <c r="BC395" s="231"/>
      <c r="BD395" s="231"/>
      <c r="BE395" s="231"/>
      <c r="BF395" s="231"/>
      <c r="BG395" s="231"/>
      <c r="BH395" s="231"/>
      <c r="BI395" s="231"/>
      <c r="BJ395" s="231"/>
      <c r="BK395" s="231"/>
      <c r="BL395" s="231"/>
      <c r="BM395" s="231"/>
      <c r="BN395" s="231"/>
      <c r="BO395" s="231"/>
      <c r="BP395" s="231"/>
      <c r="BQ395" s="232"/>
      <c r="BR395" s="232"/>
      <c r="BS395" s="231"/>
      <c r="BT395" s="231"/>
      <c r="BU395" s="231"/>
      <c r="BV395" s="231"/>
      <c r="BW395" s="231"/>
      <c r="BX395" s="231"/>
      <c r="BY395" s="231"/>
      <c r="BZ395" s="232"/>
      <c r="CA395" s="231"/>
      <c r="CB395" s="231"/>
      <c r="CC395" s="231"/>
      <c r="CD395" s="231"/>
      <c r="CE395" s="232"/>
      <c r="CF395" s="232"/>
      <c r="CG395" s="232"/>
      <c r="CH395" s="231"/>
      <c r="CI395" s="232"/>
      <c r="CJ395" s="232"/>
      <c r="CK395" s="232"/>
      <c r="CL395" s="235"/>
      <c r="CM395" s="232"/>
      <c r="CN395" s="232"/>
      <c r="CO395" s="232"/>
      <c r="CP395" s="232"/>
      <c r="CQ395" s="232"/>
      <c r="CR395" s="232"/>
      <c r="CS395" s="232"/>
      <c r="CT395" s="232"/>
    </row>
    <row r="396" ht="24.0" customHeight="1">
      <c r="A396" s="184" t="s">
        <v>487</v>
      </c>
      <c r="B396" s="184" t="s">
        <v>1665</v>
      </c>
      <c r="C396" s="184" t="s">
        <v>672</v>
      </c>
      <c r="D396" s="184" t="s">
        <v>2431</v>
      </c>
      <c r="E396" s="186" t="s">
        <v>1970</v>
      </c>
      <c r="F396" s="186" t="s">
        <v>2432</v>
      </c>
      <c r="G396" s="185">
        <v>38.0</v>
      </c>
      <c r="H396" s="209" t="s">
        <v>1675</v>
      </c>
      <c r="I396" s="209" t="s">
        <v>3765</v>
      </c>
      <c r="J396" s="209" t="s">
        <v>3766</v>
      </c>
      <c r="K396" s="209" t="s">
        <v>3767</v>
      </c>
      <c r="L396" s="209" t="s">
        <v>3768</v>
      </c>
      <c r="M396" s="209" t="s">
        <v>3769</v>
      </c>
      <c r="N396" s="209" t="s">
        <v>752</v>
      </c>
      <c r="O396" s="237" t="s">
        <v>764</v>
      </c>
      <c r="P396" s="190"/>
      <c r="Q396" s="190"/>
      <c r="R396" s="190"/>
      <c r="S396" s="190"/>
      <c r="T396" s="190"/>
      <c r="U396" s="210"/>
      <c r="V396" s="209" t="s">
        <v>3770</v>
      </c>
      <c r="W396" s="238" t="s">
        <v>3216</v>
      </c>
      <c r="X396" s="239" t="s">
        <v>3217</v>
      </c>
      <c r="Y396" s="209" t="s">
        <v>764</v>
      </c>
      <c r="Z396" s="237" t="s">
        <v>1543</v>
      </c>
      <c r="AA396" s="237" t="s">
        <v>1088</v>
      </c>
      <c r="AB396" s="231"/>
      <c r="AC396" s="231"/>
      <c r="AD396" s="231"/>
      <c r="AE396" s="231"/>
      <c r="AF396" s="231"/>
      <c r="AG396" s="231"/>
      <c r="AH396" s="231"/>
      <c r="AJ396" s="231"/>
      <c r="AK396" s="232"/>
      <c r="AL396" s="231"/>
      <c r="AM396" s="232"/>
      <c r="AN396" s="231"/>
      <c r="AO396" s="232"/>
      <c r="AP396" s="232"/>
      <c r="AQ396" s="232"/>
      <c r="AR396" s="232"/>
      <c r="AS396" s="232"/>
      <c r="AT396" s="232"/>
      <c r="AU396" s="232"/>
      <c r="AV396" s="232"/>
      <c r="AW396" s="231"/>
      <c r="AX396" s="231"/>
      <c r="AY396" s="231"/>
      <c r="AZ396" s="231"/>
      <c r="BA396" s="231"/>
      <c r="BB396" s="231"/>
      <c r="BC396" s="231"/>
      <c r="BD396" s="231"/>
      <c r="BE396" s="231"/>
      <c r="BF396" s="231"/>
      <c r="BG396" s="231"/>
      <c r="BH396" s="231"/>
      <c r="BI396" s="232"/>
      <c r="BJ396" s="232"/>
      <c r="BK396" s="232"/>
      <c r="BL396" s="232"/>
      <c r="BM396" s="232"/>
      <c r="BN396" s="232"/>
      <c r="BO396" s="232"/>
      <c r="BP396" s="232"/>
      <c r="BQ396" s="232"/>
      <c r="BR396" s="232"/>
      <c r="BS396" s="231"/>
      <c r="BT396" s="231"/>
      <c r="BU396" s="231"/>
      <c r="BV396" s="231"/>
      <c r="BW396" s="231"/>
      <c r="BX396" s="231"/>
      <c r="BY396" s="231"/>
      <c r="BZ396" s="231"/>
      <c r="CA396" s="231"/>
      <c r="CB396" s="231"/>
      <c r="CC396" s="231"/>
      <c r="CD396" s="231"/>
      <c r="CE396" s="232"/>
      <c r="CF396" s="232"/>
      <c r="CG396" s="232"/>
      <c r="CH396" s="231"/>
      <c r="CI396" s="232"/>
      <c r="CJ396" s="232"/>
      <c r="CK396" s="232"/>
      <c r="CL396" s="232"/>
      <c r="CM396" s="232"/>
      <c r="CN396" s="232"/>
      <c r="CO396" s="232"/>
      <c r="CP396" s="232"/>
      <c r="CQ396" s="232"/>
      <c r="CR396" s="232"/>
      <c r="CS396" s="232"/>
      <c r="CT396" s="232"/>
    </row>
    <row r="397" ht="24.0" customHeight="1">
      <c r="A397" s="184" t="s">
        <v>489</v>
      </c>
      <c r="B397" s="184" t="s">
        <v>1665</v>
      </c>
      <c r="C397" s="184" t="s">
        <v>672</v>
      </c>
      <c r="D397" s="184" t="s">
        <v>2431</v>
      </c>
      <c r="E397" s="186" t="s">
        <v>1970</v>
      </c>
      <c r="F397" s="186" t="s">
        <v>2432</v>
      </c>
      <c r="G397" s="185">
        <v>39.0</v>
      </c>
      <c r="H397" s="209" t="s">
        <v>3771</v>
      </c>
      <c r="I397" s="209" t="s">
        <v>3772</v>
      </c>
      <c r="J397" s="209" t="s">
        <v>3773</v>
      </c>
      <c r="K397" s="209" t="s">
        <v>3774</v>
      </c>
      <c r="L397" s="209" t="s">
        <v>3775</v>
      </c>
      <c r="M397" s="209" t="s">
        <v>3776</v>
      </c>
      <c r="N397" s="209" t="s">
        <v>752</v>
      </c>
      <c r="O397" s="237" t="s">
        <v>784</v>
      </c>
      <c r="P397" s="237" t="s">
        <v>3777</v>
      </c>
      <c r="Q397" s="237" t="s">
        <v>3778</v>
      </c>
      <c r="R397" s="190"/>
      <c r="S397" s="190"/>
      <c r="T397" s="190"/>
      <c r="U397" s="210"/>
      <c r="V397" s="209" t="s">
        <v>1608</v>
      </c>
      <c r="W397" s="238" t="s">
        <v>1609</v>
      </c>
      <c r="X397" s="239" t="s">
        <v>1610</v>
      </c>
      <c r="Y397" s="209" t="s">
        <v>784</v>
      </c>
      <c r="Z397" s="209" t="s">
        <v>1543</v>
      </c>
      <c r="AA397" s="237" t="s">
        <v>757</v>
      </c>
      <c r="AB397" s="231"/>
      <c r="AC397" s="231"/>
      <c r="AD397" s="231"/>
      <c r="AE397" s="231"/>
      <c r="AF397" s="231"/>
      <c r="AG397" s="231"/>
      <c r="AH397" s="231"/>
      <c r="AJ397" s="231"/>
      <c r="AK397" s="232"/>
      <c r="AL397" s="231"/>
      <c r="AM397" s="232"/>
      <c r="AN397" s="231"/>
      <c r="AO397" s="232"/>
      <c r="AP397" s="232"/>
      <c r="AQ397" s="232"/>
      <c r="AR397" s="232"/>
      <c r="AS397" s="232"/>
      <c r="AT397" s="232"/>
      <c r="AU397" s="232"/>
      <c r="AV397" s="232"/>
      <c r="AW397" s="231"/>
      <c r="AX397" s="231"/>
      <c r="AY397" s="231"/>
      <c r="AZ397" s="231"/>
      <c r="BA397" s="231"/>
      <c r="BB397" s="231"/>
      <c r="BC397" s="232"/>
      <c r="BD397" s="232"/>
      <c r="BE397" s="232"/>
      <c r="BF397" s="232"/>
      <c r="BG397" s="231"/>
      <c r="BH397" s="231"/>
      <c r="BI397" s="231"/>
      <c r="BJ397" s="231"/>
      <c r="BK397" s="232"/>
      <c r="BL397" s="232"/>
      <c r="BM397" s="232"/>
      <c r="BN397" s="232"/>
      <c r="BO397" s="232"/>
      <c r="BP397" s="232"/>
      <c r="BQ397" s="232"/>
      <c r="BR397" s="232"/>
      <c r="BS397" s="231"/>
      <c r="BT397" s="231"/>
      <c r="BU397" s="231"/>
      <c r="BV397" s="231"/>
      <c r="BW397" s="231"/>
      <c r="BX397" s="231"/>
      <c r="BY397" s="231"/>
      <c r="BZ397" s="232"/>
      <c r="CA397" s="231"/>
      <c r="CB397" s="231"/>
      <c r="CC397" s="231"/>
      <c r="CD397" s="231"/>
      <c r="CE397" s="232"/>
      <c r="CF397" s="232"/>
      <c r="CG397" s="232"/>
      <c r="CH397" s="231"/>
      <c r="CI397" s="232"/>
      <c r="CJ397" s="232"/>
      <c r="CK397" s="231"/>
      <c r="CL397" s="233"/>
      <c r="CM397" s="232"/>
      <c r="CN397" s="232"/>
      <c r="CO397" s="232"/>
      <c r="CP397" s="232"/>
      <c r="CQ397" s="232"/>
      <c r="CR397" s="232"/>
      <c r="CS397" s="232"/>
      <c r="CT397" s="232"/>
    </row>
    <row r="398" ht="24.0" customHeight="1">
      <c r="A398" s="184" t="s">
        <v>488</v>
      </c>
      <c r="B398" s="184" t="s">
        <v>1665</v>
      </c>
      <c r="C398" s="184" t="s">
        <v>672</v>
      </c>
      <c r="D398" s="184" t="s">
        <v>2431</v>
      </c>
      <c r="E398" s="186" t="s">
        <v>1970</v>
      </c>
      <c r="F398" s="186" t="s">
        <v>2432</v>
      </c>
      <c r="G398" s="185">
        <v>40.0</v>
      </c>
      <c r="H398" s="209" t="s">
        <v>2636</v>
      </c>
      <c r="I398" s="209" t="s">
        <v>879</v>
      </c>
      <c r="J398" s="209" t="s">
        <v>3779</v>
      </c>
      <c r="K398" s="209" t="s">
        <v>3780</v>
      </c>
      <c r="L398" s="209" t="s">
        <v>3781</v>
      </c>
      <c r="M398" s="209" t="s">
        <v>3782</v>
      </c>
      <c r="N398" s="209" t="s">
        <v>752</v>
      </c>
      <c r="O398" s="237" t="s">
        <v>764</v>
      </c>
      <c r="P398" s="190"/>
      <c r="Q398" s="190"/>
      <c r="R398" s="190"/>
      <c r="S398" s="190"/>
      <c r="T398" s="190"/>
      <c r="U398" s="210"/>
      <c r="V398" s="209" t="s">
        <v>3783</v>
      </c>
      <c r="W398" s="238" t="s">
        <v>3216</v>
      </c>
      <c r="X398" s="239" t="s">
        <v>3784</v>
      </c>
      <c r="Y398" s="209" t="s">
        <v>764</v>
      </c>
      <c r="Z398" s="209" t="s">
        <v>1543</v>
      </c>
      <c r="AA398" s="237" t="s">
        <v>757</v>
      </c>
      <c r="AB398" s="231"/>
      <c r="AC398" s="231"/>
      <c r="AD398" s="231"/>
      <c r="AE398" s="231"/>
      <c r="AF398" s="231"/>
      <c r="AG398" s="231"/>
      <c r="AH398" s="231"/>
      <c r="AJ398" s="231"/>
      <c r="AK398" s="232"/>
      <c r="AL398" s="231"/>
      <c r="AM398" s="232"/>
      <c r="AN398" s="231"/>
      <c r="AO398" s="232"/>
      <c r="AP398" s="232"/>
      <c r="AQ398" s="232"/>
      <c r="AR398" s="232"/>
      <c r="AS398" s="232"/>
      <c r="AT398" s="232"/>
      <c r="AU398" s="232"/>
      <c r="AV398" s="232"/>
      <c r="AW398" s="231"/>
      <c r="AX398" s="231"/>
      <c r="AY398" s="231"/>
      <c r="AZ398" s="231"/>
      <c r="BA398" s="231"/>
      <c r="BB398" s="231"/>
      <c r="BC398" s="232"/>
      <c r="BD398" s="232"/>
      <c r="BE398" s="232"/>
      <c r="BF398" s="232"/>
      <c r="BG398" s="232"/>
      <c r="BH398" s="231"/>
      <c r="BI398" s="231"/>
      <c r="BJ398" s="232"/>
      <c r="BK398" s="232"/>
      <c r="BL398" s="232"/>
      <c r="BM398" s="232"/>
      <c r="BN398" s="232"/>
      <c r="BO398" s="232"/>
      <c r="BP398" s="232"/>
      <c r="BQ398" s="232"/>
      <c r="BR398" s="232"/>
      <c r="BS398" s="231"/>
      <c r="BT398" s="231"/>
      <c r="BU398" s="231"/>
      <c r="BV398" s="231"/>
      <c r="BW398" s="231"/>
      <c r="BX398" s="231"/>
      <c r="BY398" s="231"/>
      <c r="BZ398" s="231"/>
      <c r="CA398" s="231"/>
      <c r="CB398" s="231"/>
      <c r="CC398" s="231"/>
      <c r="CD398" s="231"/>
      <c r="CE398" s="232"/>
      <c r="CF398" s="232"/>
      <c r="CG398" s="232"/>
      <c r="CH398" s="231"/>
      <c r="CI398" s="232"/>
      <c r="CJ398" s="232"/>
      <c r="CK398" s="231"/>
      <c r="CL398" s="233"/>
      <c r="CM398" s="232"/>
      <c r="CN398" s="232"/>
      <c r="CO398" s="232"/>
      <c r="CP398" s="232"/>
      <c r="CQ398" s="232"/>
      <c r="CR398" s="232"/>
      <c r="CS398" s="232"/>
      <c r="CT398" s="232"/>
    </row>
    <row r="399" ht="24.0" customHeight="1">
      <c r="A399" s="184" t="s">
        <v>495</v>
      </c>
      <c r="B399" s="184" t="s">
        <v>1665</v>
      </c>
      <c r="C399" s="184" t="s">
        <v>673</v>
      </c>
      <c r="D399" s="184" t="s">
        <v>2431</v>
      </c>
      <c r="E399" s="186" t="s">
        <v>1105</v>
      </c>
      <c r="F399" s="186" t="s">
        <v>2432</v>
      </c>
      <c r="G399" s="185">
        <v>41.0</v>
      </c>
      <c r="H399" s="209" t="s">
        <v>2120</v>
      </c>
      <c r="I399" s="209" t="s">
        <v>3571</v>
      </c>
      <c r="J399" s="209" t="s">
        <v>3785</v>
      </c>
      <c r="K399" s="209" t="s">
        <v>3301</v>
      </c>
      <c r="L399" s="209" t="s">
        <v>3786</v>
      </c>
      <c r="M399" s="209" t="s">
        <v>3787</v>
      </c>
      <c r="N399" s="209" t="s">
        <v>752</v>
      </c>
      <c r="O399" s="209" t="s">
        <v>893</v>
      </c>
      <c r="P399" s="210"/>
      <c r="Q399" s="210"/>
      <c r="R399" s="210"/>
      <c r="S399" s="190"/>
      <c r="T399" s="190"/>
      <c r="U399" s="210"/>
      <c r="V399" s="209" t="s">
        <v>3788</v>
      </c>
      <c r="W399" s="238" t="s">
        <v>3573</v>
      </c>
      <c r="X399" s="239" t="s">
        <v>3574</v>
      </c>
      <c r="Y399" s="209" t="s">
        <v>1789</v>
      </c>
      <c r="Z399" s="209" t="s">
        <v>1105</v>
      </c>
      <c r="AA399" s="237" t="s">
        <v>757</v>
      </c>
      <c r="AB399" s="231"/>
      <c r="AC399" s="231"/>
      <c r="AD399" s="231"/>
      <c r="AE399" s="231"/>
      <c r="AF399" s="231"/>
      <c r="AG399" s="231"/>
      <c r="AH399" s="231"/>
      <c r="AJ399" s="231"/>
      <c r="AK399" s="232"/>
      <c r="AL399" s="231"/>
      <c r="AM399" s="232"/>
      <c r="AN399" s="231"/>
      <c r="AO399" s="232"/>
      <c r="AP399" s="232"/>
      <c r="AQ399" s="232"/>
      <c r="AR399" s="232"/>
      <c r="AS399" s="232"/>
      <c r="AT399" s="232"/>
      <c r="AU399" s="232"/>
      <c r="AV399" s="232"/>
      <c r="AW399" s="231"/>
      <c r="AX399" s="231"/>
      <c r="AY399" s="231"/>
      <c r="AZ399" s="231"/>
      <c r="BA399" s="231"/>
      <c r="BB399" s="231"/>
      <c r="BC399" s="231"/>
      <c r="BD399" s="231"/>
      <c r="BE399" s="231"/>
      <c r="BF399" s="231"/>
      <c r="BG399" s="231"/>
      <c r="BH399" s="231"/>
      <c r="BI399" s="231"/>
      <c r="BJ399" s="231"/>
      <c r="BK399" s="231"/>
      <c r="BL399" s="231"/>
      <c r="BM399" s="231"/>
      <c r="BN399" s="231"/>
      <c r="BO399" s="232"/>
      <c r="BP399" s="232"/>
      <c r="BQ399" s="232"/>
      <c r="BR399" s="232"/>
      <c r="BS399" s="231"/>
      <c r="BT399" s="231"/>
      <c r="BU399" s="231"/>
      <c r="BV399" s="231"/>
      <c r="BW399" s="231"/>
      <c r="BX399" s="231"/>
      <c r="BY399" s="231"/>
      <c r="BZ399" s="231"/>
      <c r="CA399" s="231"/>
      <c r="CB399" s="231"/>
      <c r="CC399" s="231"/>
      <c r="CD399" s="231"/>
      <c r="CE399" s="232"/>
      <c r="CF399" s="232"/>
      <c r="CG399" s="232"/>
      <c r="CH399" s="231"/>
      <c r="CI399" s="232"/>
      <c r="CJ399" s="232"/>
      <c r="CK399" s="231"/>
      <c r="CL399" s="233"/>
      <c r="CM399" s="232"/>
      <c r="CN399" s="232"/>
      <c r="CO399" s="232"/>
      <c r="CP399" s="232"/>
      <c r="CQ399" s="232"/>
      <c r="CR399" s="232"/>
      <c r="CS399" s="232"/>
      <c r="CT399" s="232"/>
    </row>
    <row r="400" ht="24.0" customHeight="1">
      <c r="A400" s="184" t="s">
        <v>493</v>
      </c>
      <c r="B400" s="184" t="s">
        <v>1665</v>
      </c>
      <c r="C400" s="184" t="s">
        <v>673</v>
      </c>
      <c r="D400" s="184" t="s">
        <v>2431</v>
      </c>
      <c r="E400" s="186" t="s">
        <v>1105</v>
      </c>
      <c r="F400" s="186" t="s">
        <v>2432</v>
      </c>
      <c r="G400" s="185">
        <v>42.0</v>
      </c>
      <c r="H400" s="209" t="s">
        <v>3789</v>
      </c>
      <c r="I400" s="209" t="s">
        <v>3790</v>
      </c>
      <c r="J400" s="209" t="s">
        <v>3791</v>
      </c>
      <c r="K400" s="209" t="s">
        <v>3792</v>
      </c>
      <c r="L400" s="209" t="s">
        <v>3793</v>
      </c>
      <c r="M400" s="209" t="s">
        <v>3794</v>
      </c>
      <c r="N400" s="209" t="s">
        <v>752</v>
      </c>
      <c r="O400" s="209" t="s">
        <v>893</v>
      </c>
      <c r="P400" s="210"/>
      <c r="Q400" s="190"/>
      <c r="R400" s="190"/>
      <c r="S400" s="190"/>
      <c r="T400" s="190"/>
      <c r="U400" s="210"/>
      <c r="V400" s="209" t="s">
        <v>2769</v>
      </c>
      <c r="W400" s="238" t="s">
        <v>3795</v>
      </c>
      <c r="X400" s="239" t="s">
        <v>2771</v>
      </c>
      <c r="Y400" s="209" t="s">
        <v>893</v>
      </c>
      <c r="Z400" s="209" t="s">
        <v>1105</v>
      </c>
      <c r="AA400" s="237" t="s">
        <v>797</v>
      </c>
      <c r="AB400" s="231"/>
      <c r="AC400" s="231"/>
      <c r="AD400" s="231"/>
      <c r="AE400" s="231"/>
      <c r="AF400" s="231"/>
      <c r="AG400" s="231"/>
      <c r="AH400" s="231"/>
      <c r="AJ400" s="231"/>
      <c r="AK400" s="232"/>
      <c r="AL400" s="231"/>
      <c r="AM400" s="232"/>
      <c r="AN400" s="231"/>
      <c r="AO400" s="232"/>
      <c r="AP400" s="232"/>
      <c r="AQ400" s="232"/>
      <c r="AR400" s="232"/>
      <c r="AS400" s="232"/>
      <c r="AT400" s="232"/>
      <c r="AU400" s="232"/>
      <c r="AV400" s="232"/>
      <c r="AW400" s="231"/>
      <c r="AX400" s="231"/>
      <c r="AY400" s="231"/>
      <c r="AZ400" s="231"/>
      <c r="BA400" s="231"/>
      <c r="BB400" s="231"/>
      <c r="BC400" s="232"/>
      <c r="BD400" s="232"/>
      <c r="BE400" s="232"/>
      <c r="BF400" s="232"/>
      <c r="BG400" s="232"/>
      <c r="BH400" s="232"/>
      <c r="BI400" s="232"/>
      <c r="BJ400" s="232"/>
      <c r="BK400" s="232"/>
      <c r="BL400" s="232"/>
      <c r="BM400" s="232"/>
      <c r="BN400" s="232"/>
      <c r="BO400" s="232"/>
      <c r="BP400" s="232"/>
      <c r="BQ400" s="232"/>
      <c r="BR400" s="232"/>
      <c r="BS400" s="231"/>
      <c r="BT400" s="231"/>
      <c r="BU400" s="231"/>
      <c r="BV400" s="231"/>
      <c r="BW400" s="231"/>
      <c r="BX400" s="231"/>
      <c r="BY400" s="231"/>
      <c r="BZ400" s="231"/>
      <c r="CA400" s="231"/>
      <c r="CB400" s="231"/>
      <c r="CC400" s="231"/>
      <c r="CD400" s="231"/>
      <c r="CE400" s="232"/>
      <c r="CF400" s="232"/>
      <c r="CG400" s="232"/>
      <c r="CH400" s="231"/>
      <c r="CI400" s="232"/>
      <c r="CJ400" s="232"/>
      <c r="CK400" s="231"/>
      <c r="CL400" s="233"/>
      <c r="CM400" s="232"/>
      <c r="CN400" s="232"/>
      <c r="CO400" s="232"/>
      <c r="CP400" s="232"/>
      <c r="CQ400" s="232"/>
      <c r="CR400" s="232"/>
      <c r="CS400" s="232"/>
      <c r="CT400" s="232"/>
    </row>
    <row r="401" ht="24.0" customHeight="1">
      <c r="A401" s="184" t="s">
        <v>492</v>
      </c>
      <c r="B401" s="184" t="s">
        <v>1665</v>
      </c>
      <c r="C401" s="184" t="s">
        <v>673</v>
      </c>
      <c r="D401" s="184" t="s">
        <v>2431</v>
      </c>
      <c r="E401" s="236" t="s">
        <v>1105</v>
      </c>
      <c r="F401" s="186" t="s">
        <v>2432</v>
      </c>
      <c r="G401" s="185">
        <v>43.0</v>
      </c>
      <c r="H401" s="237" t="s">
        <v>3588</v>
      </c>
      <c r="I401" s="237" t="s">
        <v>3796</v>
      </c>
      <c r="J401" s="237" t="s">
        <v>3797</v>
      </c>
      <c r="K401" s="237" t="s">
        <v>3798</v>
      </c>
      <c r="L401" s="237" t="s">
        <v>3799</v>
      </c>
      <c r="M401" s="237" t="s">
        <v>3800</v>
      </c>
      <c r="N401" s="237" t="s">
        <v>752</v>
      </c>
      <c r="O401" s="237" t="s">
        <v>893</v>
      </c>
      <c r="P401" s="190"/>
      <c r="Q401" s="190"/>
      <c r="R401" s="190"/>
      <c r="S401" s="190"/>
      <c r="T401" s="190"/>
      <c r="U401" s="190"/>
      <c r="V401" s="237" t="s">
        <v>3232</v>
      </c>
      <c r="W401" s="238" t="s">
        <v>3233</v>
      </c>
      <c r="X401" s="239" t="s">
        <v>2771</v>
      </c>
      <c r="Y401" s="237" t="s">
        <v>893</v>
      </c>
      <c r="Z401" s="237" t="s">
        <v>1105</v>
      </c>
      <c r="AA401" s="237" t="s">
        <v>797</v>
      </c>
      <c r="AB401" s="191"/>
      <c r="AC401" s="191"/>
      <c r="AD401" s="191"/>
      <c r="AE401" s="191"/>
      <c r="AF401" s="191"/>
      <c r="AG401" s="191"/>
      <c r="AH401" s="191"/>
      <c r="AJ401" s="215"/>
      <c r="AK401" s="215"/>
      <c r="AL401" s="215"/>
      <c r="AM401" s="215"/>
      <c r="AN401" s="215"/>
      <c r="AO401" s="215"/>
      <c r="AP401" s="191"/>
      <c r="AQ401" s="215"/>
      <c r="AR401" s="191"/>
      <c r="AS401" s="215"/>
      <c r="AT401" s="215"/>
      <c r="AU401" s="215"/>
      <c r="AV401" s="215"/>
      <c r="AW401" s="191"/>
      <c r="AX401" s="191"/>
      <c r="AY401" s="191"/>
      <c r="AZ401" s="191"/>
      <c r="BA401" s="191"/>
      <c r="BB401" s="191"/>
      <c r="BC401" s="215"/>
      <c r="BD401" s="215"/>
      <c r="BE401" s="215"/>
      <c r="BF401" s="215"/>
      <c r="BG401" s="191"/>
      <c r="BH401" s="191"/>
      <c r="BI401" s="215"/>
      <c r="BJ401" s="215"/>
      <c r="BK401" s="215"/>
      <c r="BL401" s="215"/>
      <c r="BM401" s="215"/>
      <c r="BN401" s="215"/>
      <c r="BO401" s="215"/>
      <c r="BP401" s="215"/>
      <c r="BQ401" s="215"/>
      <c r="BR401" s="215"/>
      <c r="BS401" s="191"/>
      <c r="BT401" s="191"/>
      <c r="BU401" s="191"/>
      <c r="BV401" s="191"/>
      <c r="BW401" s="191"/>
      <c r="BX401" s="191"/>
      <c r="BY401" s="191"/>
      <c r="BZ401" s="191"/>
      <c r="CA401" s="191"/>
      <c r="CB401" s="191"/>
      <c r="CC401" s="191"/>
      <c r="CD401" s="215"/>
      <c r="CE401" s="215"/>
      <c r="CF401" s="191"/>
      <c r="CG401" s="215"/>
      <c r="CH401" s="191"/>
      <c r="CI401" s="215"/>
      <c r="CJ401" s="215"/>
      <c r="CK401" s="191"/>
      <c r="CL401" s="240"/>
      <c r="CM401" s="215"/>
      <c r="CN401" s="215"/>
      <c r="CO401" s="215"/>
      <c r="CP401" s="215"/>
      <c r="CQ401" s="215"/>
      <c r="CR401" s="215"/>
      <c r="CS401" s="215"/>
      <c r="CT401" s="215"/>
    </row>
    <row r="402" ht="24.0" customHeight="1">
      <c r="A402" s="184" t="s">
        <v>491</v>
      </c>
      <c r="B402" s="184" t="s">
        <v>1665</v>
      </c>
      <c r="C402" s="184" t="s">
        <v>673</v>
      </c>
      <c r="D402" s="184" t="s">
        <v>2431</v>
      </c>
      <c r="E402" s="236" t="s">
        <v>1105</v>
      </c>
      <c r="F402" s="186" t="s">
        <v>2432</v>
      </c>
      <c r="G402" s="185">
        <v>45.0</v>
      </c>
      <c r="H402" s="237" t="s">
        <v>3801</v>
      </c>
      <c r="I402" s="237" t="s">
        <v>3802</v>
      </c>
      <c r="J402" s="237" t="s">
        <v>3803</v>
      </c>
      <c r="K402" s="237" t="s">
        <v>3804</v>
      </c>
      <c r="L402" s="237" t="s">
        <v>3805</v>
      </c>
      <c r="M402" s="237" t="s">
        <v>3806</v>
      </c>
      <c r="N402" s="237" t="s">
        <v>752</v>
      </c>
      <c r="O402" s="237" t="s">
        <v>893</v>
      </c>
      <c r="P402" s="237" t="s">
        <v>3807</v>
      </c>
      <c r="Q402" s="237" t="s">
        <v>3808</v>
      </c>
      <c r="R402" s="237" t="s">
        <v>3809</v>
      </c>
      <c r="S402" s="237" t="s">
        <v>3810</v>
      </c>
      <c r="T402" s="190"/>
      <c r="U402" s="190"/>
      <c r="V402" s="237" t="s">
        <v>3811</v>
      </c>
      <c r="W402" s="238" t="s">
        <v>3312</v>
      </c>
      <c r="X402" s="239" t="s">
        <v>3812</v>
      </c>
      <c r="Y402" s="237" t="s">
        <v>893</v>
      </c>
      <c r="Z402" s="237" t="s">
        <v>1105</v>
      </c>
      <c r="AA402" s="237" t="s">
        <v>757</v>
      </c>
      <c r="AB402" s="191"/>
      <c r="AC402" s="191"/>
      <c r="AD402" s="191"/>
      <c r="AE402" s="191"/>
      <c r="AF402" s="191"/>
      <c r="AG402" s="191"/>
      <c r="AH402" s="191"/>
      <c r="AJ402" s="215"/>
      <c r="AK402" s="215"/>
      <c r="AL402" s="215"/>
      <c r="AM402" s="215"/>
      <c r="AN402" s="215"/>
      <c r="AO402" s="215"/>
      <c r="AP402" s="191"/>
      <c r="AQ402" s="215"/>
      <c r="AR402" s="191"/>
      <c r="AS402" s="215"/>
      <c r="AT402" s="215"/>
      <c r="AU402" s="215"/>
      <c r="AV402" s="215"/>
      <c r="AW402" s="191"/>
      <c r="AX402" s="191"/>
      <c r="AY402" s="191"/>
      <c r="AZ402" s="191"/>
      <c r="BA402" s="191"/>
      <c r="BB402" s="191"/>
      <c r="BC402" s="215"/>
      <c r="BD402" s="215"/>
      <c r="BE402" s="215"/>
      <c r="BF402" s="215"/>
      <c r="BG402" s="215"/>
      <c r="BH402" s="215"/>
      <c r="BI402" s="215"/>
      <c r="BJ402" s="215"/>
      <c r="BK402" s="215"/>
      <c r="BL402" s="215"/>
      <c r="BM402" s="215"/>
      <c r="BN402" s="215"/>
      <c r="BO402" s="215"/>
      <c r="BP402" s="215"/>
      <c r="BQ402" s="215"/>
      <c r="BR402" s="215"/>
      <c r="BS402" s="191"/>
      <c r="BT402" s="191"/>
      <c r="BU402" s="191"/>
      <c r="BV402" s="191"/>
      <c r="BW402" s="191"/>
      <c r="BX402" s="191"/>
      <c r="BY402" s="191"/>
      <c r="BZ402" s="215"/>
      <c r="CA402" s="191"/>
      <c r="CB402" s="191"/>
      <c r="CC402" s="191"/>
      <c r="CD402" s="215"/>
      <c r="CE402" s="215"/>
      <c r="CF402" s="191"/>
      <c r="CG402" s="215"/>
      <c r="CH402" s="191"/>
      <c r="CI402" s="215"/>
      <c r="CJ402" s="215"/>
      <c r="CK402" s="215"/>
      <c r="CL402" s="215"/>
      <c r="CM402" s="215"/>
      <c r="CN402" s="215"/>
      <c r="CO402" s="215"/>
      <c r="CP402" s="215"/>
      <c r="CQ402" s="215"/>
      <c r="CR402" s="215"/>
      <c r="CS402" s="215"/>
      <c r="CT402" s="215"/>
    </row>
    <row r="403" ht="24.0" customHeight="1">
      <c r="A403" s="184" t="s">
        <v>494</v>
      </c>
      <c r="B403" s="184" t="s">
        <v>1665</v>
      </c>
      <c r="C403" s="184" t="s">
        <v>673</v>
      </c>
      <c r="D403" s="184" t="s">
        <v>2431</v>
      </c>
      <c r="E403" s="236" t="s">
        <v>1105</v>
      </c>
      <c r="F403" s="186" t="s">
        <v>2432</v>
      </c>
      <c r="G403" s="185">
        <v>46.0</v>
      </c>
      <c r="H403" s="237" t="s">
        <v>2620</v>
      </c>
      <c r="I403" s="237" t="s">
        <v>3813</v>
      </c>
      <c r="J403" s="237" t="s">
        <v>3814</v>
      </c>
      <c r="K403" s="237" t="s">
        <v>2784</v>
      </c>
      <c r="L403" s="237" t="s">
        <v>3815</v>
      </c>
      <c r="M403" s="237" t="s">
        <v>3816</v>
      </c>
      <c r="N403" s="237" t="s">
        <v>752</v>
      </c>
      <c r="O403" s="237" t="s">
        <v>893</v>
      </c>
      <c r="P403" s="237" t="s">
        <v>3817</v>
      </c>
      <c r="Q403" s="237" t="s">
        <v>2157</v>
      </c>
      <c r="R403" s="190"/>
      <c r="S403" s="190"/>
      <c r="T403" s="190"/>
      <c r="U403" s="190"/>
      <c r="V403" s="237" t="s">
        <v>3818</v>
      </c>
      <c r="W403" s="238" t="s">
        <v>3819</v>
      </c>
      <c r="X403" s="239" t="s">
        <v>3820</v>
      </c>
      <c r="Y403" s="237" t="s">
        <v>893</v>
      </c>
      <c r="Z403" s="237" t="s">
        <v>1105</v>
      </c>
      <c r="AA403" s="237" t="s">
        <v>757</v>
      </c>
      <c r="AB403" s="191"/>
      <c r="AC403" s="191"/>
      <c r="AD403" s="191"/>
      <c r="AE403" s="191"/>
      <c r="AF403" s="191"/>
      <c r="AG403" s="191"/>
      <c r="AH403" s="191"/>
      <c r="AJ403" s="215"/>
      <c r="AK403" s="215"/>
      <c r="AL403" s="215"/>
      <c r="AM403" s="215"/>
      <c r="AN403" s="215"/>
      <c r="AO403" s="215"/>
      <c r="AP403" s="191"/>
      <c r="AQ403" s="215"/>
      <c r="AR403" s="191"/>
      <c r="AS403" s="215"/>
      <c r="AT403" s="215"/>
      <c r="AU403" s="215"/>
      <c r="AV403" s="215"/>
      <c r="AW403" s="191"/>
      <c r="AX403" s="191"/>
      <c r="AY403" s="191"/>
      <c r="AZ403" s="191"/>
      <c r="BA403" s="191"/>
      <c r="BB403" s="191"/>
      <c r="BC403" s="215"/>
      <c r="BD403" s="215"/>
      <c r="BE403" s="215"/>
      <c r="BF403" s="215"/>
      <c r="BG403" s="191"/>
      <c r="BH403" s="191"/>
      <c r="BI403" s="191"/>
      <c r="BJ403" s="191"/>
      <c r="BK403" s="215"/>
      <c r="BL403" s="215"/>
      <c r="BM403" s="215"/>
      <c r="BN403" s="215"/>
      <c r="BO403" s="215"/>
      <c r="BP403" s="215"/>
      <c r="BQ403" s="215"/>
      <c r="BR403" s="215"/>
      <c r="BS403" s="191"/>
      <c r="BT403" s="191"/>
      <c r="BU403" s="191"/>
      <c r="BV403" s="191"/>
      <c r="BW403" s="191"/>
      <c r="BX403" s="191"/>
      <c r="BY403" s="215"/>
      <c r="BZ403" s="215"/>
      <c r="CA403" s="191"/>
      <c r="CB403" s="191"/>
      <c r="CC403" s="191"/>
      <c r="CD403" s="215"/>
      <c r="CE403" s="215"/>
      <c r="CF403" s="191"/>
      <c r="CG403" s="215"/>
      <c r="CH403" s="191"/>
      <c r="CI403" s="215"/>
      <c r="CJ403" s="215"/>
      <c r="CK403" s="215"/>
      <c r="CL403" s="215"/>
      <c r="CM403" s="215"/>
      <c r="CN403" s="215"/>
      <c r="CO403" s="215"/>
      <c r="CP403" s="215"/>
      <c r="CQ403" s="215"/>
      <c r="CR403" s="215"/>
      <c r="CS403" s="215"/>
      <c r="CT403" s="215"/>
    </row>
    <row r="404" ht="24.0" customHeight="1">
      <c r="A404" s="184" t="s">
        <v>496</v>
      </c>
      <c r="B404" s="184" t="s">
        <v>1665</v>
      </c>
      <c r="C404" s="184" t="s">
        <v>674</v>
      </c>
      <c r="D404" s="184" t="s">
        <v>2431</v>
      </c>
      <c r="E404" s="236" t="s">
        <v>744</v>
      </c>
      <c r="F404" s="186" t="s">
        <v>2432</v>
      </c>
      <c r="G404" s="185">
        <v>47.0</v>
      </c>
      <c r="H404" s="189" t="s">
        <v>3821</v>
      </c>
      <c r="I404" s="189" t="s">
        <v>1710</v>
      </c>
      <c r="J404" s="189" t="s">
        <v>3822</v>
      </c>
      <c r="K404" s="189" t="s">
        <v>3823</v>
      </c>
      <c r="L404" s="189" t="s">
        <v>3824</v>
      </c>
      <c r="M404" s="189" t="s">
        <v>3825</v>
      </c>
      <c r="N404" s="189" t="s">
        <v>908</v>
      </c>
      <c r="O404" s="189" t="s">
        <v>784</v>
      </c>
      <c r="P404" s="189" t="s">
        <v>3826</v>
      </c>
      <c r="Q404" s="189" t="s">
        <v>3827</v>
      </c>
      <c r="R404" s="190"/>
      <c r="S404" s="190"/>
      <c r="T404" s="190"/>
      <c r="U404" s="190"/>
      <c r="V404" s="189" t="s">
        <v>1323</v>
      </c>
      <c r="W404" s="230" t="s">
        <v>1324</v>
      </c>
      <c r="X404" s="245" t="s">
        <v>1325</v>
      </c>
      <c r="Y404" s="189" t="s">
        <v>784</v>
      </c>
      <c r="Z404" s="189" t="s">
        <v>744</v>
      </c>
      <c r="AA404" s="189" t="s">
        <v>757</v>
      </c>
      <c r="AB404" s="191"/>
      <c r="AC404" s="191"/>
      <c r="AD404" s="191"/>
      <c r="AE404" s="191"/>
      <c r="AF404" s="191"/>
      <c r="AG404" s="191"/>
      <c r="AH404" s="191"/>
      <c r="AJ404" s="215"/>
      <c r="AK404" s="215"/>
      <c r="AL404" s="215"/>
      <c r="AM404" s="215"/>
      <c r="AN404" s="215"/>
      <c r="AO404" s="215"/>
      <c r="AP404" s="191"/>
      <c r="AQ404" s="215"/>
      <c r="AR404" s="191"/>
      <c r="AS404" s="215"/>
      <c r="AT404" s="215"/>
      <c r="AU404" s="215"/>
      <c r="AV404" s="215"/>
      <c r="AW404" s="191"/>
      <c r="AX404" s="191"/>
      <c r="AY404" s="191"/>
      <c r="AZ404" s="191"/>
      <c r="BA404" s="191"/>
      <c r="BB404" s="191"/>
      <c r="BC404" s="215"/>
      <c r="BD404" s="215"/>
      <c r="BE404" s="215"/>
      <c r="BF404" s="215"/>
      <c r="BG404" s="191"/>
      <c r="BH404" s="191"/>
      <c r="BI404" s="191"/>
      <c r="BJ404" s="191"/>
      <c r="BK404" s="191"/>
      <c r="BL404" s="191"/>
      <c r="BM404" s="191"/>
      <c r="BN404" s="191"/>
      <c r="BO404" s="191"/>
      <c r="BP404" s="191"/>
      <c r="BQ404" s="215"/>
      <c r="BR404" s="215"/>
      <c r="BS404" s="191"/>
      <c r="BT404" s="191"/>
      <c r="BU404" s="191"/>
      <c r="BV404" s="191"/>
      <c r="BW404" s="191"/>
      <c r="BX404" s="191"/>
      <c r="BY404" s="191"/>
      <c r="BZ404" s="191"/>
      <c r="CA404" s="191"/>
      <c r="CB404" s="191"/>
      <c r="CC404" s="191"/>
      <c r="CD404" s="215"/>
      <c r="CE404" s="215"/>
      <c r="CF404" s="191"/>
      <c r="CG404" s="215"/>
      <c r="CH404" s="191"/>
      <c r="CI404" s="215"/>
      <c r="CJ404" s="191"/>
      <c r="CK404" s="191"/>
      <c r="CL404" s="215"/>
      <c r="CM404" s="215"/>
      <c r="CN404" s="215"/>
      <c r="CO404" s="215"/>
      <c r="CP404" s="215"/>
      <c r="CQ404" s="215"/>
      <c r="CR404" s="215"/>
      <c r="CS404" s="215"/>
      <c r="CT404" s="215"/>
    </row>
    <row r="405" ht="24.0" customHeight="1">
      <c r="A405" s="184" t="s">
        <v>503</v>
      </c>
      <c r="B405" s="184" t="s">
        <v>1665</v>
      </c>
      <c r="C405" s="184" t="s">
        <v>674</v>
      </c>
      <c r="D405" s="184" t="s">
        <v>2431</v>
      </c>
      <c r="E405" s="236" t="s">
        <v>744</v>
      </c>
      <c r="F405" s="186" t="s">
        <v>2432</v>
      </c>
      <c r="G405" s="185">
        <v>48.0</v>
      </c>
      <c r="H405" s="189" t="s">
        <v>3828</v>
      </c>
      <c r="I405" s="189" t="s">
        <v>3829</v>
      </c>
      <c r="J405" s="189" t="s">
        <v>3830</v>
      </c>
      <c r="K405" s="189" t="s">
        <v>881</v>
      </c>
      <c r="L405" s="189" t="s">
        <v>3831</v>
      </c>
      <c r="M405" s="189" t="s">
        <v>3832</v>
      </c>
      <c r="N405" s="189" t="s">
        <v>850</v>
      </c>
      <c r="O405" s="189" t="s">
        <v>784</v>
      </c>
      <c r="P405" s="190"/>
      <c r="Q405" s="190"/>
      <c r="R405" s="190"/>
      <c r="S405" s="190"/>
      <c r="T405" s="190"/>
      <c r="U405" s="190"/>
      <c r="V405" s="189" t="s">
        <v>3066</v>
      </c>
      <c r="W405" s="230" t="s">
        <v>3067</v>
      </c>
      <c r="X405" s="245" t="s">
        <v>3068</v>
      </c>
      <c r="Y405" s="189" t="s">
        <v>764</v>
      </c>
      <c r="Z405" s="189" t="s">
        <v>744</v>
      </c>
      <c r="AA405" s="189" t="s">
        <v>757</v>
      </c>
      <c r="AB405" s="191"/>
      <c r="AC405" s="191"/>
      <c r="AD405" s="191"/>
      <c r="AE405" s="191"/>
      <c r="AF405" s="191"/>
      <c r="AG405" s="191"/>
      <c r="AH405" s="191"/>
      <c r="AJ405" s="215"/>
      <c r="AK405" s="215"/>
      <c r="AL405" s="215"/>
      <c r="AM405" s="215"/>
      <c r="AN405" s="215"/>
      <c r="AO405" s="215"/>
      <c r="AP405" s="191"/>
      <c r="AQ405" s="215"/>
      <c r="AR405" s="191"/>
      <c r="AS405" s="215"/>
      <c r="AT405" s="215"/>
      <c r="AU405" s="215"/>
      <c r="AV405" s="215"/>
      <c r="AW405" s="191"/>
      <c r="AX405" s="191"/>
      <c r="AY405" s="191"/>
      <c r="AZ405" s="191"/>
      <c r="BA405" s="191"/>
      <c r="BB405" s="191"/>
      <c r="BC405" s="191"/>
      <c r="BD405" s="191"/>
      <c r="BE405" s="191"/>
      <c r="BF405" s="191"/>
      <c r="BG405" s="215"/>
      <c r="BH405" s="215"/>
      <c r="BI405" s="215"/>
      <c r="BJ405" s="215"/>
      <c r="BK405" s="215"/>
      <c r="BL405" s="215"/>
      <c r="BM405" s="215"/>
      <c r="BN405" s="215"/>
      <c r="BO405" s="215"/>
      <c r="BP405" s="215"/>
      <c r="BQ405" s="215"/>
      <c r="BR405" s="215"/>
      <c r="BS405" s="191"/>
      <c r="BT405" s="191"/>
      <c r="BU405" s="191"/>
      <c r="BV405" s="191"/>
      <c r="BW405" s="191"/>
      <c r="BX405" s="191"/>
      <c r="BY405" s="191"/>
      <c r="BZ405" s="215"/>
      <c r="CA405" s="191"/>
      <c r="CB405" s="191"/>
      <c r="CC405" s="191"/>
      <c r="CD405" s="215"/>
      <c r="CE405" s="215"/>
      <c r="CF405" s="191"/>
      <c r="CG405" s="215"/>
      <c r="CH405" s="191"/>
      <c r="CI405" s="215"/>
      <c r="CJ405" s="215"/>
      <c r="CK405" s="215"/>
      <c r="CL405" s="215"/>
      <c r="CM405" s="215"/>
      <c r="CN405" s="215"/>
      <c r="CO405" s="215"/>
      <c r="CP405" s="215"/>
      <c r="CQ405" s="215"/>
      <c r="CR405" s="215"/>
      <c r="CS405" s="215"/>
      <c r="CT405" s="215"/>
    </row>
    <row r="406" ht="24.0" customHeight="1">
      <c r="A406" s="184" t="s">
        <v>500</v>
      </c>
      <c r="B406" s="184" t="s">
        <v>1665</v>
      </c>
      <c r="C406" s="184" t="s">
        <v>674</v>
      </c>
      <c r="D406" s="184" t="s">
        <v>2431</v>
      </c>
      <c r="E406" s="236" t="s">
        <v>744</v>
      </c>
      <c r="F406" s="186" t="s">
        <v>2432</v>
      </c>
      <c r="G406" s="185">
        <v>49.0</v>
      </c>
      <c r="H406" s="189" t="s">
        <v>3833</v>
      </c>
      <c r="I406" s="189" t="s">
        <v>3834</v>
      </c>
      <c r="J406" s="189" t="s">
        <v>3835</v>
      </c>
      <c r="K406" s="189" t="s">
        <v>881</v>
      </c>
      <c r="L406" s="189" t="s">
        <v>3836</v>
      </c>
      <c r="M406" s="189" t="s">
        <v>3837</v>
      </c>
      <c r="N406" s="189" t="s">
        <v>850</v>
      </c>
      <c r="O406" s="189" t="s">
        <v>764</v>
      </c>
      <c r="P406" s="190"/>
      <c r="Q406" s="190"/>
      <c r="R406" s="190"/>
      <c r="S406" s="190"/>
      <c r="T406" s="190"/>
      <c r="U406" s="190"/>
      <c r="V406" s="189" t="s">
        <v>3550</v>
      </c>
      <c r="W406" s="230" t="s">
        <v>3551</v>
      </c>
      <c r="X406" s="245" t="s">
        <v>3552</v>
      </c>
      <c r="Y406" s="189" t="s">
        <v>764</v>
      </c>
      <c r="Z406" s="189" t="s">
        <v>744</v>
      </c>
      <c r="AA406" s="189" t="s">
        <v>757</v>
      </c>
      <c r="AB406" s="191"/>
      <c r="AC406" s="191"/>
      <c r="AD406" s="191"/>
      <c r="AE406" s="191"/>
      <c r="AF406" s="191"/>
      <c r="AG406" s="191"/>
      <c r="AH406" s="191"/>
      <c r="AJ406" s="215"/>
      <c r="AK406" s="215"/>
      <c r="AL406" s="215"/>
      <c r="AM406" s="215"/>
      <c r="AN406" s="215"/>
      <c r="AO406" s="215"/>
      <c r="AP406" s="191"/>
      <c r="AQ406" s="215"/>
      <c r="AR406" s="191"/>
      <c r="AS406" s="215"/>
      <c r="AT406" s="215"/>
      <c r="AU406" s="215"/>
      <c r="AV406" s="215"/>
      <c r="AW406" s="191"/>
      <c r="AX406" s="191"/>
      <c r="AY406" s="191"/>
      <c r="AZ406" s="191"/>
      <c r="BA406" s="191"/>
      <c r="BB406" s="191"/>
      <c r="BC406" s="215"/>
      <c r="BD406" s="215"/>
      <c r="BE406" s="215"/>
      <c r="BF406" s="215"/>
      <c r="BG406" s="191"/>
      <c r="BH406" s="191"/>
      <c r="BI406" s="191"/>
      <c r="BJ406" s="191"/>
      <c r="BK406" s="191"/>
      <c r="BL406" s="191"/>
      <c r="BM406" s="215"/>
      <c r="BN406" s="215"/>
      <c r="BO406" s="215"/>
      <c r="BP406" s="215"/>
      <c r="BQ406" s="215"/>
      <c r="BR406" s="215"/>
      <c r="BS406" s="191"/>
      <c r="BT406" s="191"/>
      <c r="BU406" s="191"/>
      <c r="BV406" s="191"/>
      <c r="BW406" s="191"/>
      <c r="BX406" s="191"/>
      <c r="BY406" s="191"/>
      <c r="BZ406" s="215"/>
      <c r="CA406" s="191"/>
      <c r="CB406" s="191"/>
      <c r="CC406" s="191"/>
      <c r="CD406" s="215"/>
      <c r="CE406" s="215"/>
      <c r="CF406" s="191"/>
      <c r="CG406" s="215"/>
      <c r="CH406" s="191"/>
      <c r="CI406" s="215"/>
      <c r="CJ406" s="215"/>
      <c r="CK406" s="215"/>
      <c r="CL406" s="215"/>
      <c r="CM406" s="215"/>
      <c r="CN406" s="215"/>
      <c r="CO406" s="215"/>
      <c r="CP406" s="215"/>
      <c r="CQ406" s="215"/>
      <c r="CR406" s="215"/>
      <c r="CS406" s="215"/>
      <c r="CT406" s="215"/>
    </row>
    <row r="407" ht="24.0" customHeight="1">
      <c r="A407" s="184" t="s">
        <v>501</v>
      </c>
      <c r="B407" s="184" t="s">
        <v>1665</v>
      </c>
      <c r="C407" s="184" t="s">
        <v>674</v>
      </c>
      <c r="D407" s="184" t="s">
        <v>2431</v>
      </c>
      <c r="E407" s="236" t="s">
        <v>744</v>
      </c>
      <c r="F407" s="186" t="s">
        <v>2432</v>
      </c>
      <c r="G407" s="185">
        <v>50.0</v>
      </c>
      <c r="H407" s="189" t="s">
        <v>2161</v>
      </c>
      <c r="I407" s="189" t="s">
        <v>3838</v>
      </c>
      <c r="J407" s="189" t="s">
        <v>3839</v>
      </c>
      <c r="K407" s="189" t="s">
        <v>3840</v>
      </c>
      <c r="L407" s="185" t="s">
        <v>3841</v>
      </c>
      <c r="M407" s="189" t="s">
        <v>3842</v>
      </c>
      <c r="N407" s="189" t="s">
        <v>850</v>
      </c>
      <c r="O407" s="189" t="s">
        <v>764</v>
      </c>
      <c r="P407" s="190"/>
      <c r="Q407" s="190"/>
      <c r="R407" s="190"/>
      <c r="S407" s="190"/>
      <c r="T407" s="190"/>
      <c r="U407" s="190"/>
      <c r="V407" s="189" t="s">
        <v>3050</v>
      </c>
      <c r="W407" s="230" t="s">
        <v>3843</v>
      </c>
      <c r="X407" s="245" t="s">
        <v>3052</v>
      </c>
      <c r="Y407" s="189" t="s">
        <v>764</v>
      </c>
      <c r="Z407" s="189" t="s">
        <v>744</v>
      </c>
      <c r="AA407" s="189" t="s">
        <v>757</v>
      </c>
      <c r="AB407" s="191"/>
      <c r="AC407" s="191"/>
      <c r="AD407" s="191"/>
      <c r="AE407" s="191"/>
      <c r="AF407" s="191"/>
      <c r="AG407" s="191"/>
      <c r="AH407" s="191"/>
      <c r="AJ407" s="215"/>
      <c r="AK407" s="215"/>
      <c r="AL407" s="215"/>
      <c r="AM407" s="215"/>
      <c r="AN407" s="215"/>
      <c r="AO407" s="215"/>
      <c r="AP407" s="191"/>
      <c r="AQ407" s="215"/>
      <c r="AR407" s="191"/>
      <c r="AS407" s="215"/>
      <c r="AT407" s="215"/>
      <c r="AU407" s="215"/>
      <c r="AV407" s="215"/>
      <c r="AW407" s="191"/>
      <c r="AX407" s="191"/>
      <c r="AY407" s="191"/>
      <c r="AZ407" s="191"/>
      <c r="BA407" s="191"/>
      <c r="BB407" s="191"/>
      <c r="BC407" s="191"/>
      <c r="BD407" s="191"/>
      <c r="BE407" s="191"/>
      <c r="BF407" s="191"/>
      <c r="BG407" s="191"/>
      <c r="BH407" s="191"/>
      <c r="BI407" s="215"/>
      <c r="BJ407" s="215"/>
      <c r="BK407" s="215"/>
      <c r="BL407" s="215"/>
      <c r="BM407" s="215"/>
      <c r="BN407" s="215"/>
      <c r="BO407" s="215"/>
      <c r="BP407" s="215"/>
      <c r="BQ407" s="215"/>
      <c r="BR407" s="215"/>
      <c r="BS407" s="191"/>
      <c r="BT407" s="191"/>
      <c r="BU407" s="191"/>
      <c r="BV407" s="191"/>
      <c r="BW407" s="191"/>
      <c r="BX407" s="191"/>
      <c r="BY407" s="215"/>
      <c r="BZ407" s="215"/>
      <c r="CA407" s="191"/>
      <c r="CB407" s="191"/>
      <c r="CC407" s="191"/>
      <c r="CD407" s="215"/>
      <c r="CE407" s="215"/>
      <c r="CF407" s="191"/>
      <c r="CG407" s="215"/>
      <c r="CH407" s="191"/>
      <c r="CI407" s="215"/>
      <c r="CJ407" s="215"/>
      <c r="CK407" s="215"/>
      <c r="CL407" s="240"/>
      <c r="CM407" s="215"/>
      <c r="CN407" s="215"/>
      <c r="CO407" s="215"/>
      <c r="CP407" s="215"/>
      <c r="CQ407" s="215"/>
      <c r="CR407" s="215"/>
      <c r="CS407" s="215"/>
      <c r="CT407" s="215"/>
    </row>
    <row r="408" ht="24.0" customHeight="1">
      <c r="A408" s="184" t="s">
        <v>498</v>
      </c>
      <c r="B408" s="184" t="s">
        <v>1665</v>
      </c>
      <c r="C408" s="184" t="s">
        <v>674</v>
      </c>
      <c r="D408" s="184" t="s">
        <v>2431</v>
      </c>
      <c r="E408" s="236" t="s">
        <v>744</v>
      </c>
      <c r="F408" s="186" t="s">
        <v>2432</v>
      </c>
      <c r="G408" s="185">
        <v>51.0</v>
      </c>
      <c r="H408" s="189" t="s">
        <v>1825</v>
      </c>
      <c r="I408" s="189" t="s">
        <v>3844</v>
      </c>
      <c r="J408" s="189" t="s">
        <v>3845</v>
      </c>
      <c r="K408" s="189" t="s">
        <v>3846</v>
      </c>
      <c r="L408" s="189" t="s">
        <v>3847</v>
      </c>
      <c r="M408" s="189" t="s">
        <v>3848</v>
      </c>
      <c r="N408" s="189" t="s">
        <v>850</v>
      </c>
      <c r="O408" s="189" t="s">
        <v>1457</v>
      </c>
      <c r="P408" s="190"/>
      <c r="Q408" s="190"/>
      <c r="R408" s="190"/>
      <c r="S408" s="190"/>
      <c r="T408" s="190"/>
      <c r="U408" s="190"/>
      <c r="V408" s="189" t="s">
        <v>3849</v>
      </c>
      <c r="W408" s="230" t="s">
        <v>3075</v>
      </c>
      <c r="X408" s="245" t="s">
        <v>3076</v>
      </c>
      <c r="Y408" s="189" t="s">
        <v>1457</v>
      </c>
      <c r="Z408" s="189" t="s">
        <v>744</v>
      </c>
      <c r="AA408" s="189" t="s">
        <v>757</v>
      </c>
      <c r="AB408" s="191"/>
      <c r="AC408" s="191"/>
      <c r="AD408" s="191"/>
      <c r="AE408" s="191"/>
      <c r="AF408" s="191"/>
      <c r="AG408" s="191"/>
      <c r="AH408" s="191"/>
      <c r="AJ408" s="215"/>
      <c r="AK408" s="215"/>
      <c r="AL408" s="215"/>
      <c r="AM408" s="215"/>
      <c r="AN408" s="215"/>
      <c r="AO408" s="215"/>
      <c r="AP408" s="191"/>
      <c r="AQ408" s="215"/>
      <c r="AR408" s="191"/>
      <c r="AS408" s="215"/>
      <c r="AT408" s="215"/>
      <c r="AU408" s="215"/>
      <c r="AV408" s="215"/>
      <c r="AW408" s="191"/>
      <c r="AX408" s="191"/>
      <c r="AY408" s="191"/>
      <c r="AZ408" s="191"/>
      <c r="BA408" s="191"/>
      <c r="BB408" s="191"/>
      <c r="BC408" s="215"/>
      <c r="BD408" s="215"/>
      <c r="BE408" s="215"/>
      <c r="BF408" s="215"/>
      <c r="BG408" s="191"/>
      <c r="BH408" s="191"/>
      <c r="BI408" s="191"/>
      <c r="BJ408" s="191"/>
      <c r="BK408" s="215"/>
      <c r="BL408" s="215"/>
      <c r="BM408" s="215"/>
      <c r="BN408" s="215"/>
      <c r="BO408" s="215"/>
      <c r="BP408" s="215"/>
      <c r="BQ408" s="215"/>
      <c r="BR408" s="215"/>
      <c r="BS408" s="191"/>
      <c r="BT408" s="191"/>
      <c r="BU408" s="191"/>
      <c r="BV408" s="191"/>
      <c r="BW408" s="191"/>
      <c r="BX408" s="191"/>
      <c r="BY408" s="191"/>
      <c r="BZ408" s="215"/>
      <c r="CA408" s="191"/>
      <c r="CB408" s="191"/>
      <c r="CC408" s="191"/>
      <c r="CD408" s="215"/>
      <c r="CE408" s="215"/>
      <c r="CF408" s="191"/>
      <c r="CG408" s="215"/>
      <c r="CH408" s="191"/>
      <c r="CI408" s="215"/>
      <c r="CJ408" s="215"/>
      <c r="CK408" s="215"/>
      <c r="CL408" s="240"/>
      <c r="CM408" s="215"/>
      <c r="CN408" s="215"/>
      <c r="CO408" s="215"/>
      <c r="CP408" s="215"/>
      <c r="CQ408" s="215"/>
      <c r="CR408" s="215"/>
      <c r="CS408" s="215"/>
      <c r="CT408" s="215"/>
    </row>
    <row r="409" ht="24.0" customHeight="1">
      <c r="A409" s="184" t="s">
        <v>497</v>
      </c>
      <c r="B409" s="184" t="s">
        <v>1665</v>
      </c>
      <c r="C409" s="184" t="s">
        <v>674</v>
      </c>
      <c r="D409" s="184" t="s">
        <v>2431</v>
      </c>
      <c r="E409" s="236" t="s">
        <v>744</v>
      </c>
      <c r="F409" s="186" t="s">
        <v>2432</v>
      </c>
      <c r="G409" s="185">
        <v>52.0</v>
      </c>
      <c r="H409" s="189" t="s">
        <v>3850</v>
      </c>
      <c r="I409" s="189" t="s">
        <v>3851</v>
      </c>
      <c r="J409" s="189" t="s">
        <v>3852</v>
      </c>
      <c r="K409" s="189" t="s">
        <v>3853</v>
      </c>
      <c r="L409" s="189" t="s">
        <v>3854</v>
      </c>
      <c r="M409" s="189" t="s">
        <v>3855</v>
      </c>
      <c r="N409" s="189" t="s">
        <v>850</v>
      </c>
      <c r="O409" s="189" t="s">
        <v>784</v>
      </c>
      <c r="P409" s="190"/>
      <c r="Q409" s="190"/>
      <c r="R409" s="190"/>
      <c r="S409" s="190"/>
      <c r="T409" s="190"/>
      <c r="U409" s="190"/>
      <c r="V409" s="189" t="s">
        <v>3856</v>
      </c>
      <c r="W409" s="230" t="s">
        <v>3857</v>
      </c>
      <c r="X409" s="245" t="s">
        <v>3858</v>
      </c>
      <c r="Y409" s="189" t="s">
        <v>753</v>
      </c>
      <c r="Z409" s="189" t="s">
        <v>744</v>
      </c>
      <c r="AA409" s="189" t="s">
        <v>757</v>
      </c>
      <c r="AB409" s="191"/>
      <c r="AC409" s="191"/>
      <c r="AD409" s="191"/>
      <c r="AE409" s="191"/>
      <c r="AF409" s="191"/>
      <c r="AG409" s="191"/>
      <c r="AH409" s="191"/>
      <c r="AJ409" s="215"/>
      <c r="AK409" s="215"/>
      <c r="AL409" s="215"/>
      <c r="AM409" s="215"/>
      <c r="AN409" s="215"/>
      <c r="AO409" s="215"/>
      <c r="AP409" s="191"/>
      <c r="AQ409" s="215"/>
      <c r="AR409" s="191"/>
      <c r="AS409" s="215"/>
      <c r="AT409" s="215"/>
      <c r="AU409" s="215"/>
      <c r="AV409" s="215"/>
      <c r="AW409" s="191"/>
      <c r="AX409" s="191"/>
      <c r="AY409" s="191"/>
      <c r="AZ409" s="191"/>
      <c r="BA409" s="191"/>
      <c r="BB409" s="191"/>
      <c r="BC409" s="215"/>
      <c r="BD409" s="215"/>
      <c r="BE409" s="215"/>
      <c r="BF409" s="215"/>
      <c r="BG409" s="191"/>
      <c r="BH409" s="191"/>
      <c r="BI409" s="191"/>
      <c r="BJ409" s="191"/>
      <c r="BK409" s="191"/>
      <c r="BL409" s="191"/>
      <c r="BM409" s="191"/>
      <c r="BN409" s="191"/>
      <c r="BO409" s="191"/>
      <c r="BP409" s="191"/>
      <c r="BQ409" s="215"/>
      <c r="BR409" s="215"/>
      <c r="BS409" s="191"/>
      <c r="BT409" s="191"/>
      <c r="BU409" s="191"/>
      <c r="BV409" s="191"/>
      <c r="BW409" s="191"/>
      <c r="BX409" s="191"/>
      <c r="BY409" s="191"/>
      <c r="BZ409" s="191"/>
      <c r="CA409" s="191"/>
      <c r="CB409" s="191"/>
      <c r="CC409" s="191"/>
      <c r="CD409" s="215"/>
      <c r="CE409" s="215"/>
      <c r="CF409" s="191"/>
      <c r="CG409" s="215"/>
      <c r="CH409" s="191"/>
      <c r="CI409" s="215"/>
      <c r="CJ409" s="215"/>
      <c r="CK409" s="191"/>
      <c r="CL409" s="215"/>
      <c r="CM409" s="215"/>
      <c r="CN409" s="215"/>
      <c r="CO409" s="215"/>
      <c r="CP409" s="215"/>
      <c r="CQ409" s="215"/>
      <c r="CR409" s="215"/>
      <c r="CS409" s="215"/>
      <c r="CT409" s="215"/>
    </row>
    <row r="410" ht="24.0" customHeight="1">
      <c r="A410" s="184" t="s">
        <v>502</v>
      </c>
      <c r="B410" s="184" t="s">
        <v>1665</v>
      </c>
      <c r="C410" s="184" t="s">
        <v>674</v>
      </c>
      <c r="D410" s="184" t="s">
        <v>2431</v>
      </c>
      <c r="E410" s="236" t="s">
        <v>744</v>
      </c>
      <c r="F410" s="186" t="s">
        <v>2432</v>
      </c>
      <c r="G410" s="185">
        <v>53.0</v>
      </c>
      <c r="H410" s="189" t="s">
        <v>3859</v>
      </c>
      <c r="I410" s="189" t="s">
        <v>3860</v>
      </c>
      <c r="J410" s="189" t="s">
        <v>3861</v>
      </c>
      <c r="K410" s="189" t="s">
        <v>3862</v>
      </c>
      <c r="L410" s="185" t="s">
        <v>3863</v>
      </c>
      <c r="M410" s="189" t="s">
        <v>3864</v>
      </c>
      <c r="N410" s="189" t="s">
        <v>850</v>
      </c>
      <c r="O410" s="189" t="s">
        <v>893</v>
      </c>
      <c r="P410" s="190"/>
      <c r="Q410" s="190"/>
      <c r="R410" s="190"/>
      <c r="S410" s="190"/>
      <c r="T410" s="190"/>
      <c r="U410" s="190"/>
      <c r="V410" s="189" t="s">
        <v>1386</v>
      </c>
      <c r="W410" s="230" t="s">
        <v>1823</v>
      </c>
      <c r="X410" s="245" t="s">
        <v>1824</v>
      </c>
      <c r="Y410" s="189" t="s">
        <v>893</v>
      </c>
      <c r="Z410" s="189" t="s">
        <v>744</v>
      </c>
      <c r="AA410" s="189" t="s">
        <v>757</v>
      </c>
      <c r="AB410" s="191"/>
      <c r="AC410" s="191"/>
      <c r="AD410" s="191"/>
      <c r="AE410" s="191"/>
      <c r="AF410" s="191"/>
      <c r="AG410" s="191"/>
      <c r="AH410" s="191"/>
      <c r="AJ410" s="215"/>
      <c r="AK410" s="215"/>
      <c r="AL410" s="215"/>
      <c r="AM410" s="215"/>
      <c r="AN410" s="215"/>
      <c r="AO410" s="215"/>
      <c r="AP410" s="191"/>
      <c r="AQ410" s="215"/>
      <c r="AR410" s="191"/>
      <c r="AS410" s="215"/>
      <c r="AT410" s="215"/>
      <c r="AU410" s="215"/>
      <c r="AV410" s="215"/>
      <c r="AW410" s="191"/>
      <c r="AX410" s="191"/>
      <c r="AY410" s="191"/>
      <c r="AZ410" s="191"/>
      <c r="BA410" s="191"/>
      <c r="BB410" s="191"/>
      <c r="BC410" s="215"/>
      <c r="BD410" s="215"/>
      <c r="BE410" s="215"/>
      <c r="BF410" s="215"/>
      <c r="BG410" s="215"/>
      <c r="BH410" s="215"/>
      <c r="BI410" s="215"/>
      <c r="BJ410" s="215"/>
      <c r="BK410" s="215"/>
      <c r="BL410" s="215"/>
      <c r="BM410" s="215"/>
      <c r="BN410" s="215"/>
      <c r="BO410" s="215"/>
      <c r="BP410" s="215"/>
      <c r="BQ410" s="215"/>
      <c r="BR410" s="215"/>
      <c r="BS410" s="191"/>
      <c r="BT410" s="191"/>
      <c r="BU410" s="191"/>
      <c r="BV410" s="191"/>
      <c r="BW410" s="191"/>
      <c r="BX410" s="191"/>
      <c r="BY410" s="215"/>
      <c r="BZ410" s="215"/>
      <c r="CA410" s="191"/>
      <c r="CB410" s="191"/>
      <c r="CC410" s="191"/>
      <c r="CD410" s="215"/>
      <c r="CE410" s="215"/>
      <c r="CF410" s="191"/>
      <c r="CG410" s="215"/>
      <c r="CH410" s="191"/>
      <c r="CI410" s="215"/>
      <c r="CJ410" s="215"/>
      <c r="CK410" s="215"/>
      <c r="CL410" s="240"/>
      <c r="CM410" s="215"/>
      <c r="CN410" s="215"/>
      <c r="CO410" s="215"/>
      <c r="CP410" s="215"/>
      <c r="CQ410" s="215"/>
      <c r="CR410" s="215"/>
      <c r="CS410" s="215"/>
      <c r="CT410" s="215"/>
    </row>
    <row r="411" ht="24.0" customHeight="1">
      <c r="A411" s="184" t="s">
        <v>499</v>
      </c>
      <c r="B411" s="184" t="s">
        <v>1665</v>
      </c>
      <c r="C411" s="184" t="s">
        <v>674</v>
      </c>
      <c r="D411" s="184" t="s">
        <v>2431</v>
      </c>
      <c r="E411" s="236" t="s">
        <v>744</v>
      </c>
      <c r="F411" s="186" t="s">
        <v>2432</v>
      </c>
      <c r="G411" s="185">
        <v>54.0</v>
      </c>
      <c r="H411" s="189" t="s">
        <v>3557</v>
      </c>
      <c r="I411" s="189" t="s">
        <v>3865</v>
      </c>
      <c r="J411" s="189" t="s">
        <v>3866</v>
      </c>
      <c r="K411" s="189" t="s">
        <v>881</v>
      </c>
      <c r="L411" s="189" t="s">
        <v>3867</v>
      </c>
      <c r="M411" s="189" t="s">
        <v>3868</v>
      </c>
      <c r="N411" s="189" t="s">
        <v>850</v>
      </c>
      <c r="O411" s="189" t="s">
        <v>764</v>
      </c>
      <c r="P411" s="190"/>
      <c r="Q411" s="190"/>
      <c r="R411" s="190"/>
      <c r="S411" s="190"/>
      <c r="T411" s="190"/>
      <c r="U411" s="190"/>
      <c r="V411" s="189" t="s">
        <v>1386</v>
      </c>
      <c r="W411" s="230" t="s">
        <v>861</v>
      </c>
      <c r="X411" s="245" t="s">
        <v>3372</v>
      </c>
      <c r="Y411" s="189" t="s">
        <v>764</v>
      </c>
      <c r="Z411" s="189" t="s">
        <v>744</v>
      </c>
      <c r="AA411" s="189" t="s">
        <v>757</v>
      </c>
      <c r="AB411" s="191"/>
      <c r="AC411" s="191"/>
      <c r="AD411" s="191"/>
      <c r="AE411" s="191"/>
      <c r="AF411" s="191"/>
      <c r="AG411" s="191"/>
      <c r="AH411" s="191"/>
      <c r="AJ411" s="215"/>
      <c r="AK411" s="215"/>
      <c r="AL411" s="215"/>
      <c r="AM411" s="215"/>
      <c r="AN411" s="215"/>
      <c r="AO411" s="215"/>
      <c r="AP411" s="191"/>
      <c r="AQ411" s="215"/>
      <c r="AR411" s="191"/>
      <c r="AS411" s="215"/>
      <c r="AT411" s="215"/>
      <c r="AU411" s="215"/>
      <c r="AV411" s="215"/>
      <c r="AW411" s="191"/>
      <c r="AX411" s="191"/>
      <c r="AY411" s="191"/>
      <c r="AZ411" s="191"/>
      <c r="BA411" s="191"/>
      <c r="BB411" s="191"/>
      <c r="BC411" s="215"/>
      <c r="BD411" s="215"/>
      <c r="BE411" s="215"/>
      <c r="BF411" s="215"/>
      <c r="BG411" s="191"/>
      <c r="BH411" s="191"/>
      <c r="BI411" s="191"/>
      <c r="BJ411" s="191"/>
      <c r="BK411" s="191"/>
      <c r="BL411" s="191"/>
      <c r="BM411" s="191"/>
      <c r="BN411" s="191"/>
      <c r="BO411" s="215"/>
      <c r="BP411" s="215"/>
      <c r="BQ411" s="215"/>
      <c r="BR411" s="215"/>
      <c r="BS411" s="191"/>
      <c r="BT411" s="191"/>
      <c r="BU411" s="191"/>
      <c r="BV411" s="191"/>
      <c r="BW411" s="191"/>
      <c r="BX411" s="191"/>
      <c r="BY411" s="191"/>
      <c r="BZ411" s="215"/>
      <c r="CA411" s="191"/>
      <c r="CB411" s="191"/>
      <c r="CC411" s="191"/>
      <c r="CD411" s="215"/>
      <c r="CE411" s="215"/>
      <c r="CF411" s="191"/>
      <c r="CG411" s="215"/>
      <c r="CH411" s="191"/>
      <c r="CI411" s="215"/>
      <c r="CJ411" s="215"/>
      <c r="CK411" s="191"/>
      <c r="CL411" s="215"/>
      <c r="CM411" s="215"/>
      <c r="CN411" s="215"/>
      <c r="CO411" s="215"/>
      <c r="CP411" s="215"/>
      <c r="CQ411" s="215"/>
      <c r="CR411" s="215"/>
      <c r="CS411" s="215"/>
      <c r="CT411" s="215"/>
    </row>
    <row r="412" ht="24.0" customHeight="1">
      <c r="A412" s="184" t="s">
        <v>507</v>
      </c>
      <c r="B412" s="184" t="s">
        <v>1665</v>
      </c>
      <c r="C412" s="184" t="s">
        <v>675</v>
      </c>
      <c r="D412" s="184" t="s">
        <v>2431</v>
      </c>
      <c r="E412" s="236" t="s">
        <v>946</v>
      </c>
      <c r="F412" s="186" t="s">
        <v>2432</v>
      </c>
      <c r="G412" s="185">
        <v>55.0</v>
      </c>
      <c r="H412" s="189" t="s">
        <v>3869</v>
      </c>
      <c r="I412" s="189" t="s">
        <v>3870</v>
      </c>
      <c r="J412" s="189" t="s">
        <v>3871</v>
      </c>
      <c r="K412" s="189" t="s">
        <v>3872</v>
      </c>
      <c r="L412" s="189" t="s">
        <v>3873</v>
      </c>
      <c r="M412" s="189" t="s">
        <v>3874</v>
      </c>
      <c r="N412" s="189" t="s">
        <v>908</v>
      </c>
      <c r="O412" s="189" t="s">
        <v>764</v>
      </c>
      <c r="P412" s="190"/>
      <c r="Q412" s="190"/>
      <c r="R412" s="190"/>
      <c r="S412" s="190"/>
      <c r="T412" s="190"/>
      <c r="U412" s="190"/>
      <c r="V412" s="189" t="s">
        <v>3875</v>
      </c>
      <c r="W412" s="230" t="s">
        <v>3876</v>
      </c>
      <c r="X412" s="245" t="s">
        <v>3877</v>
      </c>
      <c r="Y412" s="189" t="s">
        <v>764</v>
      </c>
      <c r="Z412" s="189" t="s">
        <v>946</v>
      </c>
      <c r="AA412" s="189" t="s">
        <v>757</v>
      </c>
      <c r="AB412" s="191"/>
      <c r="AC412" s="191"/>
      <c r="AD412" s="191"/>
      <c r="AE412" s="191"/>
      <c r="AF412" s="191"/>
      <c r="AG412" s="191"/>
      <c r="AH412" s="191"/>
      <c r="AJ412" s="215"/>
      <c r="AK412" s="215"/>
      <c r="AL412" s="215"/>
      <c r="AM412" s="215"/>
      <c r="AN412" s="215"/>
      <c r="AO412" s="215"/>
      <c r="AP412" s="191"/>
      <c r="AQ412" s="215"/>
      <c r="AR412" s="191"/>
      <c r="AS412" s="215"/>
      <c r="AT412" s="215"/>
      <c r="AU412" s="215"/>
      <c r="AV412" s="215"/>
      <c r="AW412" s="191"/>
      <c r="AX412" s="191"/>
      <c r="AY412" s="191"/>
      <c r="AZ412" s="191"/>
      <c r="BA412" s="191"/>
      <c r="BB412" s="191"/>
      <c r="BC412" s="191"/>
      <c r="BD412" s="191"/>
      <c r="BE412" s="191"/>
      <c r="BF412" s="191"/>
      <c r="BG412" s="215"/>
      <c r="BH412" s="215"/>
      <c r="BI412" s="215"/>
      <c r="BJ412" s="215"/>
      <c r="BK412" s="215"/>
      <c r="BL412" s="215"/>
      <c r="BM412" s="215"/>
      <c r="BN412" s="215"/>
      <c r="BO412" s="215"/>
      <c r="BP412" s="215"/>
      <c r="BQ412" s="215"/>
      <c r="BR412" s="215"/>
      <c r="BS412" s="191"/>
      <c r="BT412" s="191"/>
      <c r="BU412" s="191"/>
      <c r="BV412" s="191"/>
      <c r="BW412" s="191"/>
      <c r="BX412" s="191"/>
      <c r="BY412" s="191"/>
      <c r="BZ412" s="215"/>
      <c r="CA412" s="191"/>
      <c r="CB412" s="191"/>
      <c r="CC412" s="191"/>
      <c r="CD412" s="215"/>
      <c r="CE412" s="215"/>
      <c r="CF412" s="191"/>
      <c r="CG412" s="215"/>
      <c r="CH412" s="191"/>
      <c r="CI412" s="215"/>
      <c r="CJ412" s="215"/>
      <c r="CK412" s="191"/>
      <c r="CL412" s="215"/>
      <c r="CM412" s="215"/>
      <c r="CN412" s="215"/>
      <c r="CO412" s="215"/>
      <c r="CP412" s="215"/>
      <c r="CQ412" s="215"/>
      <c r="CR412" s="215"/>
      <c r="CS412" s="215"/>
      <c r="CT412" s="215"/>
    </row>
    <row r="413" ht="24.0" customHeight="1">
      <c r="A413" s="184" t="s">
        <v>510</v>
      </c>
      <c r="B413" s="184" t="s">
        <v>1665</v>
      </c>
      <c r="C413" s="184" t="s">
        <v>675</v>
      </c>
      <c r="D413" s="184" t="s">
        <v>2431</v>
      </c>
      <c r="E413" s="236" t="s">
        <v>946</v>
      </c>
      <c r="F413" s="186" t="s">
        <v>2432</v>
      </c>
      <c r="G413" s="185">
        <v>56.0</v>
      </c>
      <c r="H413" s="189" t="s">
        <v>3878</v>
      </c>
      <c r="I413" s="189" t="s">
        <v>3879</v>
      </c>
      <c r="J413" s="189" t="s">
        <v>3880</v>
      </c>
      <c r="K413" s="189" t="s">
        <v>3881</v>
      </c>
      <c r="L413" s="189" t="s">
        <v>3882</v>
      </c>
      <c r="M413" s="237" t="s">
        <v>3883</v>
      </c>
      <c r="N413" s="189" t="s">
        <v>908</v>
      </c>
      <c r="O413" s="189" t="s">
        <v>764</v>
      </c>
      <c r="P413" s="190"/>
      <c r="Q413" s="190"/>
      <c r="R413" s="190"/>
      <c r="S413" s="190"/>
      <c r="T413" s="190"/>
      <c r="U413" s="190"/>
      <c r="V413" s="189" t="s">
        <v>3492</v>
      </c>
      <c r="W413" s="230" t="s">
        <v>1683</v>
      </c>
      <c r="X413" s="245" t="s">
        <v>2873</v>
      </c>
      <c r="Y413" s="189" t="s">
        <v>764</v>
      </c>
      <c r="Z413" s="189" t="s">
        <v>946</v>
      </c>
      <c r="AA413" s="189" t="s">
        <v>797</v>
      </c>
      <c r="AB413" s="191"/>
      <c r="AC413" s="191"/>
      <c r="AD413" s="191"/>
      <c r="AE413" s="191"/>
      <c r="AF413" s="191"/>
      <c r="AG413" s="191"/>
      <c r="AH413" s="191"/>
      <c r="AJ413" s="215"/>
      <c r="AK413" s="215"/>
      <c r="AL413" s="215"/>
      <c r="AM413" s="215"/>
      <c r="AN413" s="215"/>
      <c r="AO413" s="215"/>
      <c r="AP413" s="191"/>
      <c r="AQ413" s="215"/>
      <c r="AR413" s="191"/>
      <c r="AS413" s="215"/>
      <c r="AT413" s="215"/>
      <c r="AU413" s="215"/>
      <c r="AV413" s="215"/>
      <c r="AW413" s="191"/>
      <c r="AX413" s="191"/>
      <c r="AY413" s="191"/>
      <c r="AZ413" s="191"/>
      <c r="BA413" s="191"/>
      <c r="BB413" s="191"/>
      <c r="BC413" s="215"/>
      <c r="BD413" s="215"/>
      <c r="BE413" s="215"/>
      <c r="BF413" s="215"/>
      <c r="BG413" s="215"/>
      <c r="BH413" s="215"/>
      <c r="BI413" s="215"/>
      <c r="BJ413" s="215"/>
      <c r="BK413" s="215"/>
      <c r="BL413" s="215"/>
      <c r="BM413" s="215"/>
      <c r="BN413" s="215"/>
      <c r="BO413" s="215"/>
      <c r="BP413" s="215"/>
      <c r="BQ413" s="215"/>
      <c r="BR413" s="215"/>
      <c r="BS413" s="191"/>
      <c r="BT413" s="191"/>
      <c r="BU413" s="191"/>
      <c r="BV413" s="191"/>
      <c r="BW413" s="191"/>
      <c r="BX413" s="191"/>
      <c r="BY413" s="215"/>
      <c r="BZ413" s="215"/>
      <c r="CA413" s="191"/>
      <c r="CB413" s="191"/>
      <c r="CC413" s="191"/>
      <c r="CD413" s="215"/>
      <c r="CE413" s="215"/>
      <c r="CF413" s="191"/>
      <c r="CG413" s="215"/>
      <c r="CH413" s="191"/>
      <c r="CI413" s="215"/>
      <c r="CJ413" s="215"/>
      <c r="CK413" s="215"/>
      <c r="CL413" s="240"/>
      <c r="CM413" s="215"/>
      <c r="CN413" s="215"/>
      <c r="CO413" s="215"/>
      <c r="CP413" s="215"/>
      <c r="CQ413" s="215"/>
      <c r="CR413" s="215"/>
      <c r="CS413" s="215"/>
      <c r="CT413" s="215"/>
    </row>
    <row r="414" ht="24.0" customHeight="1">
      <c r="A414" s="184" t="s">
        <v>508</v>
      </c>
      <c r="B414" s="184" t="s">
        <v>1665</v>
      </c>
      <c r="C414" s="184" t="s">
        <v>675</v>
      </c>
      <c r="D414" s="184" t="s">
        <v>2431</v>
      </c>
      <c r="E414" s="236" t="s">
        <v>946</v>
      </c>
      <c r="F414" s="186" t="s">
        <v>2432</v>
      </c>
      <c r="G414" s="185">
        <v>57.0</v>
      </c>
      <c r="H414" s="189" t="s">
        <v>3884</v>
      </c>
      <c r="I414" s="189" t="s">
        <v>1168</v>
      </c>
      <c r="J414" s="189" t="s">
        <v>3885</v>
      </c>
      <c r="K414" s="189" t="s">
        <v>3886</v>
      </c>
      <c r="L414" s="189" t="s">
        <v>3887</v>
      </c>
      <c r="M414" s="189" t="s">
        <v>3888</v>
      </c>
      <c r="N414" s="189" t="s">
        <v>850</v>
      </c>
      <c r="O414" s="189" t="s">
        <v>893</v>
      </c>
      <c r="P414" s="190"/>
      <c r="Q414" s="190"/>
      <c r="R414" s="190"/>
      <c r="S414" s="190"/>
      <c r="T414" s="190"/>
      <c r="U414" s="190"/>
      <c r="V414" s="189" t="s">
        <v>3625</v>
      </c>
      <c r="W414" s="230" t="s">
        <v>3626</v>
      </c>
      <c r="X414" s="245" t="s">
        <v>3627</v>
      </c>
      <c r="Y414" s="189" t="s">
        <v>893</v>
      </c>
      <c r="Z414" s="189" t="s">
        <v>946</v>
      </c>
      <c r="AA414" s="189" t="s">
        <v>797</v>
      </c>
      <c r="AB414" s="191"/>
      <c r="AC414" s="191"/>
      <c r="AD414" s="191"/>
      <c r="AE414" s="191"/>
      <c r="AF414" s="191"/>
      <c r="AG414" s="191"/>
      <c r="AH414" s="191"/>
      <c r="AJ414" s="215"/>
      <c r="AK414" s="215"/>
      <c r="AL414" s="215"/>
      <c r="AM414" s="215"/>
      <c r="AN414" s="215"/>
      <c r="AO414" s="215"/>
      <c r="AP414" s="191"/>
      <c r="AQ414" s="215"/>
      <c r="AR414" s="191"/>
      <c r="AS414" s="215"/>
      <c r="AT414" s="215"/>
      <c r="AU414" s="215"/>
      <c r="AV414" s="215"/>
      <c r="AW414" s="191"/>
      <c r="AX414" s="191"/>
      <c r="AY414" s="191"/>
      <c r="AZ414" s="191"/>
      <c r="BA414" s="191"/>
      <c r="BB414" s="191"/>
      <c r="BC414" s="215"/>
      <c r="BD414" s="215"/>
      <c r="BE414" s="215"/>
      <c r="BF414" s="215"/>
      <c r="BG414" s="215"/>
      <c r="BH414" s="215"/>
      <c r="BI414" s="215"/>
      <c r="BJ414" s="215"/>
      <c r="BK414" s="215"/>
      <c r="BL414" s="215"/>
      <c r="BM414" s="215"/>
      <c r="BN414" s="215"/>
      <c r="BO414" s="215"/>
      <c r="BP414" s="215"/>
      <c r="BQ414" s="215"/>
      <c r="BR414" s="215"/>
      <c r="BS414" s="191"/>
      <c r="BT414" s="191"/>
      <c r="BU414" s="191"/>
      <c r="BV414" s="191"/>
      <c r="BW414" s="191"/>
      <c r="BX414" s="191"/>
      <c r="BY414" s="191"/>
      <c r="BZ414" s="191"/>
      <c r="CA414" s="191"/>
      <c r="CB414" s="191"/>
      <c r="CC414" s="191"/>
      <c r="CD414" s="215"/>
      <c r="CE414" s="215"/>
      <c r="CF414" s="191"/>
      <c r="CG414" s="215"/>
      <c r="CH414" s="191"/>
      <c r="CI414" s="215"/>
      <c r="CJ414" s="215"/>
      <c r="CK414" s="215"/>
      <c r="CL414" s="240"/>
      <c r="CM414" s="215"/>
      <c r="CN414" s="215"/>
      <c r="CO414" s="215"/>
      <c r="CP414" s="215"/>
      <c r="CQ414" s="215"/>
      <c r="CR414" s="215"/>
      <c r="CS414" s="215"/>
      <c r="CT414" s="215"/>
    </row>
    <row r="415" ht="24.0" customHeight="1">
      <c r="A415" s="184" t="s">
        <v>505</v>
      </c>
      <c r="B415" s="184" t="s">
        <v>1665</v>
      </c>
      <c r="C415" s="184" t="s">
        <v>675</v>
      </c>
      <c r="D415" s="184" t="s">
        <v>2431</v>
      </c>
      <c r="E415" s="236" t="s">
        <v>946</v>
      </c>
      <c r="F415" s="186" t="s">
        <v>2432</v>
      </c>
      <c r="G415" s="185">
        <v>58.0</v>
      </c>
      <c r="H415" s="189" t="s">
        <v>3889</v>
      </c>
      <c r="I415" s="189" t="s">
        <v>1683</v>
      </c>
      <c r="J415" s="189" t="s">
        <v>3890</v>
      </c>
      <c r="K415" s="189" t="s">
        <v>3891</v>
      </c>
      <c r="L415" s="189" t="s">
        <v>3892</v>
      </c>
      <c r="M415" s="189" t="s">
        <v>3893</v>
      </c>
      <c r="N415" s="189" t="s">
        <v>850</v>
      </c>
      <c r="O415" s="189" t="s">
        <v>893</v>
      </c>
      <c r="P415" s="189" t="s">
        <v>1651</v>
      </c>
      <c r="Q415" s="189" t="s">
        <v>3894</v>
      </c>
      <c r="R415" s="190"/>
      <c r="S415" s="190"/>
      <c r="T415" s="190"/>
      <c r="U415" s="190"/>
      <c r="V415" s="189" t="s">
        <v>3259</v>
      </c>
      <c r="W415" s="230" t="s">
        <v>3260</v>
      </c>
      <c r="X415" s="245" t="s">
        <v>3261</v>
      </c>
      <c r="Y415" s="189" t="s">
        <v>893</v>
      </c>
      <c r="Z415" s="189" t="s">
        <v>946</v>
      </c>
      <c r="AA415" s="189" t="s">
        <v>2377</v>
      </c>
      <c r="AB415" s="191"/>
      <c r="AC415" s="191"/>
      <c r="AD415" s="191"/>
      <c r="AE415" s="191"/>
      <c r="AF415" s="191"/>
      <c r="AG415" s="191"/>
      <c r="AH415" s="191"/>
      <c r="AJ415" s="215"/>
      <c r="AK415" s="215"/>
      <c r="AL415" s="215"/>
      <c r="AM415" s="215"/>
      <c r="AN415" s="215"/>
      <c r="AO415" s="215"/>
      <c r="AP415" s="191"/>
      <c r="AQ415" s="215"/>
      <c r="AR415" s="191"/>
      <c r="AS415" s="215"/>
      <c r="AT415" s="215"/>
      <c r="AU415" s="215"/>
      <c r="AV415" s="215"/>
      <c r="AW415" s="191"/>
      <c r="AX415" s="191"/>
      <c r="AY415" s="191"/>
      <c r="AZ415" s="191"/>
      <c r="BA415" s="191"/>
      <c r="BB415" s="191"/>
      <c r="BC415" s="215"/>
      <c r="BD415" s="215"/>
      <c r="BE415" s="215"/>
      <c r="BF415" s="215"/>
      <c r="BG415" s="191"/>
      <c r="BH415" s="191"/>
      <c r="BI415" s="191"/>
      <c r="BJ415" s="191"/>
      <c r="BK415" s="191"/>
      <c r="BL415" s="191"/>
      <c r="BM415" s="191"/>
      <c r="BN415" s="191"/>
      <c r="BO415" s="191"/>
      <c r="BP415" s="191"/>
      <c r="BQ415" s="215"/>
      <c r="BR415" s="215"/>
      <c r="BS415" s="191"/>
      <c r="BT415" s="191"/>
      <c r="BU415" s="191"/>
      <c r="BV415" s="191"/>
      <c r="BW415" s="191"/>
      <c r="BX415" s="191"/>
      <c r="BY415" s="191"/>
      <c r="BZ415" s="215"/>
      <c r="CA415" s="191"/>
      <c r="CB415" s="191"/>
      <c r="CC415" s="191"/>
      <c r="CD415" s="215"/>
      <c r="CE415" s="215"/>
      <c r="CF415" s="191"/>
      <c r="CG415" s="215"/>
      <c r="CH415" s="191"/>
      <c r="CI415" s="215"/>
      <c r="CJ415" s="215"/>
      <c r="CK415" s="215"/>
      <c r="CL415" s="240"/>
      <c r="CM415" s="215"/>
      <c r="CN415" s="215"/>
      <c r="CO415" s="215"/>
      <c r="CP415" s="215"/>
      <c r="CQ415" s="215"/>
      <c r="CR415" s="215"/>
      <c r="CS415" s="215"/>
      <c r="CT415" s="215"/>
    </row>
    <row r="416" ht="24.0" customHeight="1">
      <c r="A416" s="184" t="s">
        <v>506</v>
      </c>
      <c r="B416" s="184" t="s">
        <v>1665</v>
      </c>
      <c r="C416" s="184" t="s">
        <v>675</v>
      </c>
      <c r="D416" s="184" t="s">
        <v>2431</v>
      </c>
      <c r="E416" s="186" t="s">
        <v>946</v>
      </c>
      <c r="F416" s="186" t="s">
        <v>2432</v>
      </c>
      <c r="G416" s="185">
        <v>59.0</v>
      </c>
      <c r="H416" s="185" t="s">
        <v>3895</v>
      </c>
      <c r="I416" s="185" t="s">
        <v>3896</v>
      </c>
      <c r="J416" s="185" t="s">
        <v>3897</v>
      </c>
      <c r="K416" s="185" t="s">
        <v>3898</v>
      </c>
      <c r="L416" s="185" t="s">
        <v>3899</v>
      </c>
      <c r="M416" s="185" t="s">
        <v>3900</v>
      </c>
      <c r="N416" s="185" t="s">
        <v>850</v>
      </c>
      <c r="O416" s="189" t="s">
        <v>764</v>
      </c>
      <c r="P416" s="190"/>
      <c r="Q416" s="190"/>
      <c r="R416" s="190"/>
      <c r="S416" s="190"/>
      <c r="T416" s="190"/>
      <c r="U416" s="210"/>
      <c r="V416" s="185" t="s">
        <v>2580</v>
      </c>
      <c r="W416" s="230" t="s">
        <v>955</v>
      </c>
      <c r="X416" s="245" t="s">
        <v>956</v>
      </c>
      <c r="Y416" s="185" t="s">
        <v>764</v>
      </c>
      <c r="Z416" s="185" t="s">
        <v>946</v>
      </c>
      <c r="AA416" s="189" t="s">
        <v>757</v>
      </c>
      <c r="AB416" s="231"/>
      <c r="AC416" s="231"/>
      <c r="AD416" s="231"/>
      <c r="AE416" s="231"/>
      <c r="AF416" s="231"/>
      <c r="AG416" s="231"/>
      <c r="AH416" s="231"/>
      <c r="AJ416" s="231"/>
      <c r="AK416" s="232"/>
      <c r="AL416" s="231"/>
      <c r="AM416" s="232"/>
      <c r="AN416" s="231"/>
      <c r="AO416" s="232"/>
      <c r="AP416" s="232"/>
      <c r="AQ416" s="232"/>
      <c r="AR416" s="232"/>
      <c r="AS416" s="232"/>
      <c r="AT416" s="232"/>
      <c r="AU416" s="232"/>
      <c r="AV416" s="232"/>
      <c r="AW416" s="231"/>
      <c r="AX416" s="231"/>
      <c r="AY416" s="231"/>
      <c r="AZ416" s="231"/>
      <c r="BA416" s="231"/>
      <c r="BB416" s="231"/>
      <c r="BC416" s="231"/>
      <c r="BD416" s="231"/>
      <c r="BE416" s="231"/>
      <c r="BF416" s="231"/>
      <c r="BG416" s="232"/>
      <c r="BH416" s="232"/>
      <c r="BI416" s="232"/>
      <c r="BJ416" s="232"/>
      <c r="BK416" s="232"/>
      <c r="BL416" s="232"/>
      <c r="BM416" s="232"/>
      <c r="BN416" s="232"/>
      <c r="BO416" s="232"/>
      <c r="BP416" s="232"/>
      <c r="BQ416" s="232"/>
      <c r="BR416" s="232"/>
      <c r="BS416" s="231"/>
      <c r="BT416" s="231"/>
      <c r="BU416" s="231"/>
      <c r="BV416" s="231"/>
      <c r="BW416" s="231"/>
      <c r="BX416" s="231"/>
      <c r="BY416" s="231"/>
      <c r="BZ416" s="232"/>
      <c r="CA416" s="231"/>
      <c r="CB416" s="231"/>
      <c r="CC416" s="231"/>
      <c r="CD416" s="231"/>
      <c r="CE416" s="232"/>
      <c r="CF416" s="232"/>
      <c r="CG416" s="232"/>
      <c r="CH416" s="231"/>
      <c r="CI416" s="232"/>
      <c r="CJ416" s="231"/>
      <c r="CK416" s="231"/>
      <c r="CL416" s="233"/>
      <c r="CM416" s="232"/>
      <c r="CN416" s="232"/>
      <c r="CO416" s="232"/>
      <c r="CP416" s="232"/>
      <c r="CQ416" s="232"/>
      <c r="CR416" s="232"/>
      <c r="CS416" s="232"/>
      <c r="CT416" s="232"/>
    </row>
    <row r="417" ht="24.0" customHeight="1">
      <c r="A417" s="184" t="s">
        <v>504</v>
      </c>
      <c r="B417" s="184" t="s">
        <v>1665</v>
      </c>
      <c r="C417" s="184" t="s">
        <v>675</v>
      </c>
      <c r="D417" s="184" t="s">
        <v>2431</v>
      </c>
      <c r="E417" s="186" t="s">
        <v>946</v>
      </c>
      <c r="F417" s="186" t="s">
        <v>2432</v>
      </c>
      <c r="G417" s="185">
        <v>60.0</v>
      </c>
      <c r="H417" s="185" t="s">
        <v>3543</v>
      </c>
      <c r="I417" s="185" t="s">
        <v>3901</v>
      </c>
      <c r="J417" s="185" t="s">
        <v>3902</v>
      </c>
      <c r="K417" s="185" t="s">
        <v>3903</v>
      </c>
      <c r="L417" s="185" t="s">
        <v>3904</v>
      </c>
      <c r="M417" s="185" t="s">
        <v>3905</v>
      </c>
      <c r="N417" s="185" t="s">
        <v>850</v>
      </c>
      <c r="O417" s="189" t="s">
        <v>764</v>
      </c>
      <c r="P417" s="190"/>
      <c r="Q417" s="190"/>
      <c r="R417" s="190"/>
      <c r="S417" s="190"/>
      <c r="T417" s="190"/>
      <c r="U417" s="210"/>
      <c r="V417" s="185" t="s">
        <v>875</v>
      </c>
      <c r="W417" s="230" t="s">
        <v>3906</v>
      </c>
      <c r="X417" s="245" t="s">
        <v>3907</v>
      </c>
      <c r="Y417" s="185" t="s">
        <v>764</v>
      </c>
      <c r="Z417" s="189" t="s">
        <v>946</v>
      </c>
      <c r="AA417" s="189" t="s">
        <v>757</v>
      </c>
      <c r="AB417" s="231"/>
      <c r="AC417" s="231"/>
      <c r="AD417" s="231"/>
      <c r="AE417" s="231"/>
      <c r="AF417" s="231"/>
      <c r="AG417" s="231"/>
      <c r="AH417" s="231"/>
      <c r="AJ417" s="231"/>
      <c r="AK417" s="232"/>
      <c r="AL417" s="231"/>
      <c r="AM417" s="232"/>
      <c r="AN417" s="231"/>
      <c r="AO417" s="232"/>
      <c r="AP417" s="232"/>
      <c r="AQ417" s="232"/>
      <c r="AR417" s="232"/>
      <c r="AS417" s="232"/>
      <c r="AT417" s="232"/>
      <c r="AU417" s="232"/>
      <c r="AV417" s="232"/>
      <c r="AW417" s="231"/>
      <c r="AX417" s="231"/>
      <c r="AY417" s="231"/>
      <c r="AZ417" s="231"/>
      <c r="BA417" s="231"/>
      <c r="BB417" s="231"/>
      <c r="BC417" s="232"/>
      <c r="BD417" s="232"/>
      <c r="BE417" s="232"/>
      <c r="BF417" s="232"/>
      <c r="BG417" s="231"/>
      <c r="BH417" s="231"/>
      <c r="BI417" s="231"/>
      <c r="BJ417" s="231"/>
      <c r="BK417" s="231"/>
      <c r="BL417" s="231"/>
      <c r="BM417" s="232"/>
      <c r="BN417" s="232"/>
      <c r="BO417" s="232"/>
      <c r="BP417" s="232"/>
      <c r="BQ417" s="232"/>
      <c r="BR417" s="232"/>
      <c r="BS417" s="231"/>
      <c r="BT417" s="231"/>
      <c r="BU417" s="231"/>
      <c r="BV417" s="231"/>
      <c r="BW417" s="231"/>
      <c r="BX417" s="231"/>
      <c r="BY417" s="231"/>
      <c r="BZ417" s="231"/>
      <c r="CA417" s="231"/>
      <c r="CB417" s="231"/>
      <c r="CC417" s="231"/>
      <c r="CD417" s="231"/>
      <c r="CE417" s="232"/>
      <c r="CF417" s="232"/>
      <c r="CG417" s="232"/>
      <c r="CH417" s="231"/>
      <c r="CI417" s="232"/>
      <c r="CJ417" s="232"/>
      <c r="CK417" s="231"/>
      <c r="CL417" s="233"/>
      <c r="CM417" s="232"/>
      <c r="CN417" s="232"/>
      <c r="CO417" s="232"/>
      <c r="CP417" s="232"/>
      <c r="CQ417" s="232"/>
      <c r="CR417" s="232"/>
      <c r="CS417" s="232"/>
      <c r="CT417" s="232"/>
    </row>
    <row r="418" ht="24.0" customHeight="1">
      <c r="A418" s="184" t="s">
        <v>509</v>
      </c>
      <c r="B418" s="184" t="s">
        <v>1665</v>
      </c>
      <c r="C418" s="184" t="s">
        <v>675</v>
      </c>
      <c r="D418" s="184" t="s">
        <v>2431</v>
      </c>
      <c r="E418" s="186" t="s">
        <v>946</v>
      </c>
      <c r="F418" s="186" t="s">
        <v>2432</v>
      </c>
      <c r="G418" s="185">
        <v>61.0</v>
      </c>
      <c r="H418" s="185" t="s">
        <v>3458</v>
      </c>
      <c r="I418" s="185" t="s">
        <v>3908</v>
      </c>
      <c r="J418" s="185" t="s">
        <v>3909</v>
      </c>
      <c r="K418" s="185" t="s">
        <v>3910</v>
      </c>
      <c r="L418" s="185" t="s">
        <v>3911</v>
      </c>
      <c r="M418" s="185" t="s">
        <v>3912</v>
      </c>
      <c r="N418" s="185" t="s">
        <v>850</v>
      </c>
      <c r="O418" s="185" t="s">
        <v>764</v>
      </c>
      <c r="P418" s="210"/>
      <c r="Q418" s="210"/>
      <c r="R418" s="210"/>
      <c r="S418" s="190"/>
      <c r="T418" s="190"/>
      <c r="U418" s="210"/>
      <c r="V418" s="185" t="s">
        <v>1515</v>
      </c>
      <c r="W418" s="230" t="s">
        <v>1516</v>
      </c>
      <c r="X418" s="245" t="s">
        <v>1517</v>
      </c>
      <c r="Y418" s="185" t="s">
        <v>764</v>
      </c>
      <c r="Z418" s="185" t="s">
        <v>946</v>
      </c>
      <c r="AA418" s="189" t="s">
        <v>797</v>
      </c>
      <c r="AB418" s="231"/>
      <c r="AC418" s="231"/>
      <c r="AD418" s="231"/>
      <c r="AE418" s="231"/>
      <c r="AF418" s="231"/>
      <c r="AG418" s="231"/>
      <c r="AH418" s="231"/>
      <c r="AJ418" s="231"/>
      <c r="AK418" s="232"/>
      <c r="AL418" s="231"/>
      <c r="AM418" s="232"/>
      <c r="AN418" s="231"/>
      <c r="AO418" s="232"/>
      <c r="AP418" s="232"/>
      <c r="AQ418" s="232"/>
      <c r="AR418" s="232"/>
      <c r="AS418" s="232"/>
      <c r="AT418" s="232"/>
      <c r="AU418" s="232"/>
      <c r="AV418" s="232"/>
      <c r="AW418" s="231"/>
      <c r="AX418" s="231"/>
      <c r="AY418" s="231"/>
      <c r="AZ418" s="231"/>
      <c r="BA418" s="231"/>
      <c r="BB418" s="231"/>
      <c r="BC418" s="231"/>
      <c r="BD418" s="231"/>
      <c r="BE418" s="231"/>
      <c r="BF418" s="231"/>
      <c r="BG418" s="231"/>
      <c r="BH418" s="231"/>
      <c r="BI418" s="231"/>
      <c r="BJ418" s="231"/>
      <c r="BK418" s="231"/>
      <c r="BL418" s="231"/>
      <c r="BM418" s="231"/>
      <c r="BN418" s="231"/>
      <c r="BO418" s="231"/>
      <c r="BP418" s="231"/>
      <c r="BQ418" s="232"/>
      <c r="BR418" s="232"/>
      <c r="BS418" s="231"/>
      <c r="BT418" s="231"/>
      <c r="BU418" s="231"/>
      <c r="BV418" s="231"/>
      <c r="BW418" s="231"/>
      <c r="BX418" s="231"/>
      <c r="BY418" s="231"/>
      <c r="BZ418" s="232"/>
      <c r="CA418" s="231"/>
      <c r="CB418" s="231"/>
      <c r="CC418" s="231"/>
      <c r="CD418" s="231"/>
      <c r="CE418" s="232"/>
      <c r="CF418" s="232"/>
      <c r="CG418" s="232"/>
      <c r="CH418" s="231"/>
      <c r="CI418" s="232"/>
      <c r="CJ418" s="232"/>
      <c r="CK418" s="231"/>
      <c r="CL418" s="233"/>
      <c r="CM418" s="232"/>
      <c r="CN418" s="232"/>
      <c r="CO418" s="232"/>
      <c r="CP418" s="232"/>
      <c r="CQ418" s="232"/>
      <c r="CR418" s="232"/>
      <c r="CS418" s="232"/>
      <c r="CT418" s="232"/>
    </row>
    <row r="419" ht="24.0" customHeight="1">
      <c r="A419" s="184" t="s">
        <v>448</v>
      </c>
      <c r="B419" s="184" t="s">
        <v>1665</v>
      </c>
      <c r="C419" s="184" t="s">
        <v>676</v>
      </c>
      <c r="D419" s="184" t="s">
        <v>2431</v>
      </c>
      <c r="E419" s="186" t="s">
        <v>806</v>
      </c>
      <c r="F419" s="186" t="s">
        <v>2432</v>
      </c>
      <c r="G419" s="185">
        <v>62.0</v>
      </c>
      <c r="H419" s="185" t="s">
        <v>3913</v>
      </c>
      <c r="I419" s="185" t="s">
        <v>3914</v>
      </c>
      <c r="J419" s="185" t="s">
        <v>3915</v>
      </c>
      <c r="K419" s="185" t="s">
        <v>3916</v>
      </c>
      <c r="L419" s="185" t="s">
        <v>3917</v>
      </c>
      <c r="M419" s="185" t="s">
        <v>3918</v>
      </c>
      <c r="N419" s="185" t="s">
        <v>908</v>
      </c>
      <c r="O419" s="189" t="s">
        <v>773</v>
      </c>
      <c r="P419" s="189" t="s">
        <v>2727</v>
      </c>
      <c r="Q419" s="189" t="s">
        <v>3919</v>
      </c>
      <c r="R419" s="190"/>
      <c r="S419" s="190"/>
      <c r="T419" s="190"/>
      <c r="U419" s="210"/>
      <c r="V419" s="185" t="s">
        <v>832</v>
      </c>
      <c r="W419" s="230" t="s">
        <v>833</v>
      </c>
      <c r="X419" s="245" t="s">
        <v>834</v>
      </c>
      <c r="Y419" s="185" t="s">
        <v>773</v>
      </c>
      <c r="Z419" s="185" t="s">
        <v>806</v>
      </c>
      <c r="AA419" s="189" t="s">
        <v>757</v>
      </c>
      <c r="AB419" s="231"/>
      <c r="AC419" s="231"/>
      <c r="AD419" s="231"/>
      <c r="AE419" s="231"/>
      <c r="AF419" s="231"/>
      <c r="AG419" s="231"/>
      <c r="AH419" s="231"/>
      <c r="AJ419" s="231"/>
      <c r="AK419" s="232"/>
      <c r="AL419" s="231"/>
      <c r="AM419" s="232"/>
      <c r="AN419" s="231"/>
      <c r="AO419" s="232"/>
      <c r="AP419" s="232"/>
      <c r="AQ419" s="232"/>
      <c r="AR419" s="232"/>
      <c r="AS419" s="232"/>
      <c r="AT419" s="232"/>
      <c r="AU419" s="232"/>
      <c r="AV419" s="232"/>
      <c r="AW419" s="231"/>
      <c r="AX419" s="231"/>
      <c r="AY419" s="231"/>
      <c r="AZ419" s="231"/>
      <c r="BA419" s="231"/>
      <c r="BB419" s="231"/>
      <c r="BC419" s="232"/>
      <c r="BD419" s="232"/>
      <c r="BE419" s="232"/>
      <c r="BF419" s="232"/>
      <c r="BG419" s="232"/>
      <c r="BH419" s="232"/>
      <c r="BI419" s="232"/>
      <c r="BJ419" s="232"/>
      <c r="BK419" s="232"/>
      <c r="BL419" s="232"/>
      <c r="BM419" s="232"/>
      <c r="BN419" s="232"/>
      <c r="BO419" s="232"/>
      <c r="BP419" s="232"/>
      <c r="BQ419" s="232"/>
      <c r="BR419" s="232"/>
      <c r="BS419" s="231"/>
      <c r="BT419" s="231"/>
      <c r="BU419" s="231"/>
      <c r="BV419" s="231"/>
      <c r="BW419" s="231"/>
      <c r="BX419" s="231"/>
      <c r="BY419" s="231"/>
      <c r="BZ419" s="231"/>
      <c r="CA419" s="231"/>
      <c r="CB419" s="231"/>
      <c r="CC419" s="231"/>
      <c r="CD419" s="231"/>
      <c r="CE419" s="232"/>
      <c r="CF419" s="232"/>
      <c r="CG419" s="232"/>
      <c r="CH419" s="231"/>
      <c r="CI419" s="232"/>
      <c r="CJ419" s="232"/>
      <c r="CK419" s="231"/>
      <c r="CL419" s="235"/>
      <c r="CM419" s="232"/>
      <c r="CN419" s="232"/>
      <c r="CO419" s="232"/>
      <c r="CP419" s="232"/>
      <c r="CQ419" s="232"/>
      <c r="CR419" s="232"/>
      <c r="CS419" s="232"/>
      <c r="CT419" s="232"/>
    </row>
    <row r="420" ht="24.0" customHeight="1">
      <c r="A420" s="184" t="s">
        <v>446</v>
      </c>
      <c r="B420" s="184" t="s">
        <v>1665</v>
      </c>
      <c r="C420" s="184" t="s">
        <v>676</v>
      </c>
      <c r="D420" s="184" t="s">
        <v>2431</v>
      </c>
      <c r="E420" s="186" t="s">
        <v>806</v>
      </c>
      <c r="F420" s="186" t="s">
        <v>2432</v>
      </c>
      <c r="G420" s="185">
        <v>63.0</v>
      </c>
      <c r="H420" s="185" t="s">
        <v>3920</v>
      </c>
      <c r="I420" s="185" t="s">
        <v>3921</v>
      </c>
      <c r="J420" s="185" t="s">
        <v>3922</v>
      </c>
      <c r="K420" s="185" t="s">
        <v>3923</v>
      </c>
      <c r="L420" s="185" t="s">
        <v>3924</v>
      </c>
      <c r="M420" s="185" t="s">
        <v>3925</v>
      </c>
      <c r="N420" s="185" t="s">
        <v>908</v>
      </c>
      <c r="O420" s="185" t="s">
        <v>773</v>
      </c>
      <c r="P420" s="210"/>
      <c r="Q420" s="210"/>
      <c r="R420" s="210"/>
      <c r="S420" s="190"/>
      <c r="T420" s="190"/>
      <c r="U420" s="210"/>
      <c r="V420" s="185" t="s">
        <v>3530</v>
      </c>
      <c r="W420" s="230" t="s">
        <v>3926</v>
      </c>
      <c r="X420" s="245" t="s">
        <v>3927</v>
      </c>
      <c r="Y420" s="185" t="s">
        <v>773</v>
      </c>
      <c r="Z420" s="185" t="s">
        <v>806</v>
      </c>
      <c r="AA420" s="189" t="s">
        <v>757</v>
      </c>
      <c r="AB420" s="231"/>
      <c r="AC420" s="231"/>
      <c r="AD420" s="231"/>
      <c r="AE420" s="231"/>
      <c r="AF420" s="231"/>
      <c r="AG420" s="231"/>
      <c r="AH420" s="231"/>
      <c r="AJ420" s="231"/>
      <c r="AK420" s="232"/>
      <c r="AL420" s="231"/>
      <c r="AM420" s="232"/>
      <c r="AN420" s="231"/>
      <c r="AO420" s="232"/>
      <c r="AP420" s="232"/>
      <c r="AQ420" s="232"/>
      <c r="AR420" s="232"/>
      <c r="AS420" s="232"/>
      <c r="AT420" s="232"/>
      <c r="AU420" s="232"/>
      <c r="AV420" s="232"/>
      <c r="AW420" s="231"/>
      <c r="AX420" s="231"/>
      <c r="AY420" s="231"/>
      <c r="AZ420" s="231"/>
      <c r="BA420" s="231"/>
      <c r="BB420" s="231"/>
      <c r="BC420" s="232"/>
      <c r="BD420" s="232"/>
      <c r="BE420" s="232"/>
      <c r="BF420" s="232"/>
      <c r="BG420" s="231"/>
      <c r="BH420" s="231"/>
      <c r="BI420" s="232"/>
      <c r="BJ420" s="232"/>
      <c r="BK420" s="232"/>
      <c r="BL420" s="232"/>
      <c r="BM420" s="232"/>
      <c r="BN420" s="232"/>
      <c r="BO420" s="232"/>
      <c r="BP420" s="232"/>
      <c r="BQ420" s="232"/>
      <c r="BR420" s="232"/>
      <c r="BS420" s="231"/>
      <c r="BT420" s="231"/>
      <c r="BU420" s="231"/>
      <c r="BV420" s="231"/>
      <c r="BW420" s="231"/>
      <c r="BX420" s="231"/>
      <c r="BY420" s="232"/>
      <c r="BZ420" s="232"/>
      <c r="CA420" s="231"/>
      <c r="CB420" s="231"/>
      <c r="CC420" s="231"/>
      <c r="CD420" s="231"/>
      <c r="CE420" s="232"/>
      <c r="CF420" s="232"/>
      <c r="CG420" s="232"/>
      <c r="CH420" s="231"/>
      <c r="CI420" s="232"/>
      <c r="CJ420" s="232"/>
      <c r="CK420" s="232"/>
      <c r="CL420" s="235"/>
      <c r="CM420" s="232"/>
      <c r="CN420" s="232"/>
      <c r="CO420" s="232"/>
      <c r="CP420" s="232"/>
      <c r="CQ420" s="232"/>
      <c r="CR420" s="232"/>
      <c r="CS420" s="232"/>
      <c r="CT420" s="232"/>
    </row>
    <row r="421" ht="24.0" customHeight="1">
      <c r="A421" s="184" t="s">
        <v>450</v>
      </c>
      <c r="B421" s="184" t="s">
        <v>1665</v>
      </c>
      <c r="C421" s="184" t="s">
        <v>676</v>
      </c>
      <c r="D421" s="184" t="s">
        <v>2431</v>
      </c>
      <c r="E421" s="186" t="s">
        <v>806</v>
      </c>
      <c r="F421" s="186" t="s">
        <v>2432</v>
      </c>
      <c r="G421" s="185">
        <v>64.0</v>
      </c>
      <c r="H421" s="185" t="s">
        <v>3928</v>
      </c>
      <c r="I421" s="185" t="s">
        <v>3929</v>
      </c>
      <c r="J421" s="185" t="s">
        <v>3930</v>
      </c>
      <c r="K421" s="185" t="s">
        <v>3931</v>
      </c>
      <c r="L421" s="185" t="s">
        <v>3932</v>
      </c>
      <c r="M421" s="185" t="s">
        <v>3933</v>
      </c>
      <c r="N421" s="185" t="s">
        <v>908</v>
      </c>
      <c r="O421" s="189" t="s">
        <v>773</v>
      </c>
      <c r="P421" s="190"/>
      <c r="Q421" s="190"/>
      <c r="R421" s="190"/>
      <c r="S421" s="190"/>
      <c r="T421" s="190"/>
      <c r="U421" s="210"/>
      <c r="V421" s="185" t="s">
        <v>3530</v>
      </c>
      <c r="W421" s="230" t="s">
        <v>3926</v>
      </c>
      <c r="X421" s="245" t="s">
        <v>3927</v>
      </c>
      <c r="Y421" s="185" t="s">
        <v>773</v>
      </c>
      <c r="Z421" s="185" t="s">
        <v>806</v>
      </c>
      <c r="AA421" s="189" t="s">
        <v>797</v>
      </c>
      <c r="AB421" s="231"/>
      <c r="AC421" s="231"/>
      <c r="AD421" s="231"/>
      <c r="AE421" s="231"/>
      <c r="AF421" s="231"/>
      <c r="AG421" s="231"/>
      <c r="AH421" s="231"/>
      <c r="AJ421" s="231"/>
      <c r="AK421" s="232"/>
      <c r="AL421" s="231"/>
      <c r="AM421" s="232"/>
      <c r="AN421" s="231"/>
      <c r="AO421" s="232"/>
      <c r="AP421" s="232"/>
      <c r="AQ421" s="232"/>
      <c r="AR421" s="232"/>
      <c r="AS421" s="232"/>
      <c r="AT421" s="232"/>
      <c r="AU421" s="232"/>
      <c r="AV421" s="232"/>
      <c r="AW421" s="231"/>
      <c r="AX421" s="231"/>
      <c r="AY421" s="231"/>
      <c r="AZ421" s="231"/>
      <c r="BA421" s="231"/>
      <c r="BB421" s="231"/>
      <c r="BC421" s="232"/>
      <c r="BD421" s="232"/>
      <c r="BE421" s="232"/>
      <c r="BF421" s="232"/>
      <c r="BG421" s="232"/>
      <c r="BH421" s="232"/>
      <c r="BI421" s="232"/>
      <c r="BJ421" s="232"/>
      <c r="BK421" s="232"/>
      <c r="BL421" s="232"/>
      <c r="BM421" s="232"/>
      <c r="BN421" s="232"/>
      <c r="BO421" s="232"/>
      <c r="BP421" s="232"/>
      <c r="BQ421" s="232"/>
      <c r="BR421" s="232"/>
      <c r="BS421" s="231"/>
      <c r="BT421" s="231"/>
      <c r="BU421" s="231"/>
      <c r="BV421" s="231"/>
      <c r="BW421" s="231"/>
      <c r="BX421" s="231"/>
      <c r="BY421" s="231"/>
      <c r="BZ421" s="231"/>
      <c r="CA421" s="231"/>
      <c r="CB421" s="231"/>
      <c r="CC421" s="231"/>
      <c r="CD421" s="231"/>
      <c r="CE421" s="232"/>
      <c r="CF421" s="232"/>
      <c r="CG421" s="232"/>
      <c r="CH421" s="231"/>
      <c r="CI421" s="232"/>
      <c r="CJ421" s="231"/>
      <c r="CK421" s="231"/>
      <c r="CL421" s="235"/>
      <c r="CM421" s="232"/>
      <c r="CN421" s="232"/>
      <c r="CO421" s="232"/>
      <c r="CP421" s="232"/>
      <c r="CQ421" s="232"/>
      <c r="CR421" s="232"/>
      <c r="CS421" s="232"/>
      <c r="CT421" s="232"/>
    </row>
    <row r="422" ht="24.0" customHeight="1">
      <c r="A422" s="184" t="s">
        <v>449</v>
      </c>
      <c r="B422" s="184" t="s">
        <v>1665</v>
      </c>
      <c r="C422" s="184" t="s">
        <v>676</v>
      </c>
      <c r="D422" s="184" t="s">
        <v>2431</v>
      </c>
      <c r="E422" s="186" t="s">
        <v>806</v>
      </c>
      <c r="F422" s="186" t="s">
        <v>2432</v>
      </c>
      <c r="G422" s="185">
        <v>66.0</v>
      </c>
      <c r="H422" s="185" t="s">
        <v>3934</v>
      </c>
      <c r="I422" s="185" t="s">
        <v>3935</v>
      </c>
      <c r="J422" s="185" t="s">
        <v>3936</v>
      </c>
      <c r="K422" s="185" t="s">
        <v>3937</v>
      </c>
      <c r="L422" s="185" t="s">
        <v>3938</v>
      </c>
      <c r="M422" s="185" t="s">
        <v>3939</v>
      </c>
      <c r="N422" s="185" t="s">
        <v>850</v>
      </c>
      <c r="O422" s="189" t="s">
        <v>773</v>
      </c>
      <c r="P422" s="189" t="s">
        <v>3940</v>
      </c>
      <c r="Q422" s="189" t="s">
        <v>3941</v>
      </c>
      <c r="R422" s="189" t="s">
        <v>1005</v>
      </c>
      <c r="S422" s="189" t="s">
        <v>3942</v>
      </c>
      <c r="T422" s="190"/>
      <c r="U422" s="210"/>
      <c r="V422" s="185" t="s">
        <v>846</v>
      </c>
      <c r="W422" s="230" t="s">
        <v>1007</v>
      </c>
      <c r="X422" s="245" t="s">
        <v>1008</v>
      </c>
      <c r="Y422" s="185" t="s">
        <v>773</v>
      </c>
      <c r="Z422" s="185" t="s">
        <v>806</v>
      </c>
      <c r="AA422" s="189" t="s">
        <v>757</v>
      </c>
      <c r="AB422" s="231"/>
      <c r="AC422" s="231"/>
      <c r="AD422" s="231"/>
      <c r="AE422" s="231"/>
      <c r="AF422" s="231"/>
      <c r="AG422" s="231"/>
      <c r="AH422" s="231"/>
      <c r="AJ422" s="231"/>
      <c r="AK422" s="232"/>
      <c r="AL422" s="231"/>
      <c r="AM422" s="232"/>
      <c r="AN422" s="231"/>
      <c r="AO422" s="232"/>
      <c r="AP422" s="232"/>
      <c r="AQ422" s="232"/>
      <c r="AR422" s="232"/>
      <c r="AS422" s="232"/>
      <c r="AT422" s="232"/>
      <c r="AU422" s="232"/>
      <c r="AV422" s="232"/>
      <c r="AW422" s="231"/>
      <c r="AX422" s="231"/>
      <c r="AY422" s="231"/>
      <c r="AZ422" s="231"/>
      <c r="BA422" s="231"/>
      <c r="BB422" s="231"/>
      <c r="BC422" s="231"/>
      <c r="BD422" s="231"/>
      <c r="BE422" s="231"/>
      <c r="BF422" s="231"/>
      <c r="BG422" s="231"/>
      <c r="BH422" s="231"/>
      <c r="BI422" s="232"/>
      <c r="BJ422" s="232"/>
      <c r="BK422" s="232"/>
      <c r="BL422" s="232"/>
      <c r="BM422" s="232"/>
      <c r="BN422" s="232"/>
      <c r="BO422" s="232"/>
      <c r="BP422" s="232"/>
      <c r="BQ422" s="232"/>
      <c r="BR422" s="232"/>
      <c r="BS422" s="231"/>
      <c r="BT422" s="231"/>
      <c r="BU422" s="231"/>
      <c r="BV422" s="231"/>
      <c r="BW422" s="231"/>
      <c r="BX422" s="231"/>
      <c r="BY422" s="231"/>
      <c r="BZ422" s="232"/>
      <c r="CA422" s="231"/>
      <c r="CB422" s="231"/>
      <c r="CC422" s="231"/>
      <c r="CD422" s="231"/>
      <c r="CE422" s="232"/>
      <c r="CF422" s="232"/>
      <c r="CG422" s="232"/>
      <c r="CH422" s="231"/>
      <c r="CI422" s="232"/>
      <c r="CJ422" s="232"/>
      <c r="CK422" s="232"/>
      <c r="CL422" s="235"/>
      <c r="CM422" s="232"/>
      <c r="CN422" s="232"/>
      <c r="CO422" s="232"/>
      <c r="CP422" s="232"/>
      <c r="CQ422" s="232"/>
      <c r="CR422" s="232"/>
      <c r="CS422" s="232"/>
      <c r="CT422" s="232"/>
    </row>
    <row r="423" ht="24.0" customHeight="1">
      <c r="A423" s="184" t="s">
        <v>445</v>
      </c>
      <c r="B423" s="184" t="s">
        <v>1665</v>
      </c>
      <c r="C423" s="184" t="s">
        <v>676</v>
      </c>
      <c r="D423" s="184" t="s">
        <v>2431</v>
      </c>
      <c r="E423" s="186" t="s">
        <v>806</v>
      </c>
      <c r="F423" s="186" t="s">
        <v>2432</v>
      </c>
      <c r="G423" s="185">
        <v>67.0</v>
      </c>
      <c r="H423" s="185" t="s">
        <v>1911</v>
      </c>
      <c r="I423" s="185" t="s">
        <v>1933</v>
      </c>
      <c r="J423" s="185" t="s">
        <v>3943</v>
      </c>
      <c r="K423" s="185" t="s">
        <v>2924</v>
      </c>
      <c r="L423" s="185" t="s">
        <v>3944</v>
      </c>
      <c r="M423" s="185" t="s">
        <v>3945</v>
      </c>
      <c r="N423" s="185" t="s">
        <v>850</v>
      </c>
      <c r="O423" s="189" t="s">
        <v>773</v>
      </c>
      <c r="P423" s="190"/>
      <c r="Q423" s="190"/>
      <c r="R423" s="190"/>
      <c r="S423" s="190"/>
      <c r="T423" s="190"/>
      <c r="U423" s="210"/>
      <c r="V423" s="185" t="s">
        <v>841</v>
      </c>
      <c r="W423" s="230" t="s">
        <v>842</v>
      </c>
      <c r="X423" s="245" t="s">
        <v>843</v>
      </c>
      <c r="Y423" s="185" t="s">
        <v>773</v>
      </c>
      <c r="Z423" s="185" t="s">
        <v>806</v>
      </c>
      <c r="AA423" s="189" t="s">
        <v>797</v>
      </c>
      <c r="AB423" s="231"/>
      <c r="AC423" s="231"/>
      <c r="AD423" s="231"/>
      <c r="AE423" s="231"/>
      <c r="AF423" s="231"/>
      <c r="AG423" s="231"/>
      <c r="AH423" s="231"/>
      <c r="AJ423" s="232"/>
      <c r="AK423" s="232"/>
      <c r="AL423" s="232"/>
      <c r="AM423" s="232"/>
      <c r="AN423" s="232"/>
      <c r="AO423" s="232"/>
      <c r="AP423" s="231"/>
      <c r="AQ423" s="232"/>
      <c r="AR423" s="231"/>
      <c r="AS423" s="232"/>
      <c r="AT423" s="232"/>
      <c r="AU423" s="232"/>
      <c r="AV423" s="232"/>
      <c r="AW423" s="231"/>
      <c r="AX423" s="231"/>
      <c r="AY423" s="231"/>
      <c r="AZ423" s="231"/>
      <c r="BA423" s="231"/>
      <c r="BB423" s="231"/>
      <c r="BC423" s="231"/>
      <c r="BD423" s="231"/>
      <c r="BE423" s="231"/>
      <c r="BF423" s="231"/>
      <c r="BG423" s="232"/>
      <c r="BH423" s="232"/>
      <c r="BI423" s="232"/>
      <c r="BJ423" s="232"/>
      <c r="BK423" s="232"/>
      <c r="BL423" s="232"/>
      <c r="BM423" s="232"/>
      <c r="BN423" s="232"/>
      <c r="BO423" s="232"/>
      <c r="BP423" s="232"/>
      <c r="BQ423" s="232"/>
      <c r="BR423" s="232"/>
      <c r="BS423" s="231"/>
      <c r="BT423" s="231"/>
      <c r="BU423" s="231"/>
      <c r="BV423" s="231"/>
      <c r="BW423" s="231"/>
      <c r="BX423" s="231"/>
      <c r="BY423" s="231"/>
      <c r="BZ423" s="231"/>
      <c r="CA423" s="231"/>
      <c r="CB423" s="231"/>
      <c r="CC423" s="231"/>
      <c r="CD423" s="232"/>
      <c r="CE423" s="232"/>
      <c r="CF423" s="231"/>
      <c r="CG423" s="232"/>
      <c r="CH423" s="231"/>
      <c r="CI423" s="232"/>
      <c r="CJ423" s="232"/>
      <c r="CK423" s="232"/>
      <c r="CL423" s="232"/>
      <c r="CM423" s="232"/>
      <c r="CN423" s="232"/>
      <c r="CO423" s="232"/>
      <c r="CP423" s="232"/>
      <c r="CQ423" s="232"/>
      <c r="CR423" s="232"/>
      <c r="CS423" s="232"/>
      <c r="CT423" s="232"/>
    </row>
    <row r="424" ht="24.0" customHeight="1">
      <c r="A424" s="184" t="s">
        <v>453</v>
      </c>
      <c r="B424" s="184" t="s">
        <v>1665</v>
      </c>
      <c r="C424" s="184" t="s">
        <v>677</v>
      </c>
      <c r="D424" s="184" t="s">
        <v>2431</v>
      </c>
      <c r="E424" s="186" t="s">
        <v>1105</v>
      </c>
      <c r="F424" s="186" t="s">
        <v>2432</v>
      </c>
      <c r="G424" s="185">
        <v>68.0</v>
      </c>
      <c r="H424" s="185" t="s">
        <v>3946</v>
      </c>
      <c r="I424" s="185" t="s">
        <v>3947</v>
      </c>
      <c r="J424" s="185" t="s">
        <v>3948</v>
      </c>
      <c r="K424" s="185" t="s">
        <v>3949</v>
      </c>
      <c r="L424" s="185" t="s">
        <v>3950</v>
      </c>
      <c r="M424" s="185" t="s">
        <v>3951</v>
      </c>
      <c r="N424" s="185" t="s">
        <v>908</v>
      </c>
      <c r="O424" s="189" t="s">
        <v>893</v>
      </c>
      <c r="P424" s="190"/>
      <c r="Q424" s="190"/>
      <c r="R424" s="190"/>
      <c r="S424" s="190"/>
      <c r="T424" s="190"/>
      <c r="U424" s="210"/>
      <c r="V424" s="185" t="s">
        <v>2173</v>
      </c>
      <c r="W424" s="230" t="s">
        <v>2174</v>
      </c>
      <c r="X424" s="245" t="s">
        <v>2195</v>
      </c>
      <c r="Y424" s="185" t="s">
        <v>893</v>
      </c>
      <c r="Z424" s="185" t="s">
        <v>1105</v>
      </c>
      <c r="AA424" s="189" t="s">
        <v>757</v>
      </c>
      <c r="AB424" s="231"/>
      <c r="AC424" s="231"/>
      <c r="AD424" s="231"/>
      <c r="AE424" s="231"/>
      <c r="AF424" s="231"/>
      <c r="AG424" s="231"/>
      <c r="AH424" s="231"/>
      <c r="AJ424" s="231"/>
      <c r="AK424" s="232"/>
      <c r="AL424" s="231"/>
      <c r="AM424" s="232"/>
      <c r="AN424" s="231"/>
      <c r="AO424" s="232"/>
      <c r="AP424" s="232"/>
      <c r="AQ424" s="232"/>
      <c r="AR424" s="232"/>
      <c r="AS424" s="232"/>
      <c r="AT424" s="232"/>
      <c r="AU424" s="232"/>
      <c r="AV424" s="232"/>
      <c r="AW424" s="231"/>
      <c r="AX424" s="231"/>
      <c r="AY424" s="231"/>
      <c r="AZ424" s="231"/>
      <c r="BA424" s="231"/>
      <c r="BB424" s="231"/>
      <c r="BC424" s="231"/>
      <c r="BD424" s="231"/>
      <c r="BE424" s="231"/>
      <c r="BF424" s="231"/>
      <c r="BG424" s="231"/>
      <c r="BH424" s="231"/>
      <c r="BI424" s="231"/>
      <c r="BJ424" s="231"/>
      <c r="BK424" s="231"/>
      <c r="BL424" s="231"/>
      <c r="BM424" s="232"/>
      <c r="BN424" s="232"/>
      <c r="BO424" s="232"/>
      <c r="BP424" s="232"/>
      <c r="BQ424" s="232"/>
      <c r="BR424" s="232"/>
      <c r="BS424" s="231"/>
      <c r="BT424" s="231"/>
      <c r="BU424" s="231"/>
      <c r="BV424" s="231"/>
      <c r="BW424" s="231"/>
      <c r="BX424" s="231"/>
      <c r="BY424" s="232"/>
      <c r="BZ424" s="232"/>
      <c r="CA424" s="231"/>
      <c r="CB424" s="231"/>
      <c r="CC424" s="231"/>
      <c r="CD424" s="231"/>
      <c r="CE424" s="232"/>
      <c r="CF424" s="232"/>
      <c r="CG424" s="232"/>
      <c r="CH424" s="231"/>
      <c r="CI424" s="232"/>
      <c r="CJ424" s="232"/>
      <c r="CK424" s="232"/>
      <c r="CL424" s="235"/>
      <c r="CM424" s="232"/>
      <c r="CN424" s="232"/>
      <c r="CO424" s="232"/>
      <c r="CP424" s="232"/>
      <c r="CQ424" s="232"/>
      <c r="CR424" s="232"/>
      <c r="CS424" s="232"/>
      <c r="CT424" s="232"/>
    </row>
    <row r="425" ht="24.0" customHeight="1">
      <c r="A425" s="184" t="s">
        <v>451</v>
      </c>
      <c r="B425" s="184" t="s">
        <v>1665</v>
      </c>
      <c r="C425" s="184" t="s">
        <v>677</v>
      </c>
      <c r="D425" s="184" t="s">
        <v>2431</v>
      </c>
      <c r="E425" s="186" t="s">
        <v>1105</v>
      </c>
      <c r="F425" s="186" t="s">
        <v>2432</v>
      </c>
      <c r="G425" s="185">
        <v>69.0</v>
      </c>
      <c r="H425" s="185" t="s">
        <v>3952</v>
      </c>
      <c r="I425" s="185" t="s">
        <v>3953</v>
      </c>
      <c r="J425" s="185" t="s">
        <v>3954</v>
      </c>
      <c r="K425" s="185" t="s">
        <v>3955</v>
      </c>
      <c r="L425" s="185" t="s">
        <v>3956</v>
      </c>
      <c r="M425" s="185" t="s">
        <v>3957</v>
      </c>
      <c r="N425" s="185" t="s">
        <v>850</v>
      </c>
      <c r="O425" s="189" t="s">
        <v>764</v>
      </c>
      <c r="P425" s="190"/>
      <c r="Q425" s="190"/>
      <c r="R425" s="190"/>
      <c r="S425" s="190"/>
      <c r="T425" s="190"/>
      <c r="U425" s="210"/>
      <c r="V425" s="185" t="s">
        <v>3958</v>
      </c>
      <c r="W425" s="230" t="s">
        <v>3959</v>
      </c>
      <c r="X425" s="245" t="s">
        <v>3960</v>
      </c>
      <c r="Y425" s="185" t="s">
        <v>764</v>
      </c>
      <c r="Z425" s="185" t="s">
        <v>1105</v>
      </c>
      <c r="AA425" s="189" t="s">
        <v>757</v>
      </c>
      <c r="AB425" s="231"/>
      <c r="AC425" s="231"/>
      <c r="AD425" s="231"/>
      <c r="AE425" s="231"/>
      <c r="AF425" s="231"/>
      <c r="AG425" s="231"/>
      <c r="AH425" s="231"/>
      <c r="AJ425" s="231"/>
      <c r="AK425" s="232"/>
      <c r="AL425" s="231"/>
      <c r="AM425" s="232"/>
      <c r="AN425" s="231"/>
      <c r="AO425" s="232"/>
      <c r="AP425" s="232"/>
      <c r="AQ425" s="232"/>
      <c r="AR425" s="232"/>
      <c r="AS425" s="232"/>
      <c r="AT425" s="232"/>
      <c r="AU425" s="232"/>
      <c r="AV425" s="232"/>
      <c r="AW425" s="231"/>
      <c r="AX425" s="231"/>
      <c r="AY425" s="231"/>
      <c r="AZ425" s="231"/>
      <c r="BA425" s="231"/>
      <c r="BB425" s="231"/>
      <c r="BC425" s="232"/>
      <c r="BD425" s="232"/>
      <c r="BE425" s="232"/>
      <c r="BF425" s="232"/>
      <c r="BG425" s="232"/>
      <c r="BH425" s="232"/>
      <c r="BI425" s="232"/>
      <c r="BJ425" s="232"/>
      <c r="BK425" s="232"/>
      <c r="BL425" s="232"/>
      <c r="BM425" s="232"/>
      <c r="BN425" s="232"/>
      <c r="BO425" s="232"/>
      <c r="BP425" s="232"/>
      <c r="BQ425" s="232"/>
      <c r="BR425" s="232"/>
      <c r="BS425" s="231"/>
      <c r="BT425" s="231"/>
      <c r="BU425" s="231"/>
      <c r="BV425" s="231"/>
      <c r="BW425" s="231"/>
      <c r="BX425" s="231"/>
      <c r="BY425" s="231"/>
      <c r="BZ425" s="231"/>
      <c r="CA425" s="231"/>
      <c r="CB425" s="231"/>
      <c r="CC425" s="231"/>
      <c r="CD425" s="231"/>
      <c r="CE425" s="232"/>
      <c r="CF425" s="232"/>
      <c r="CG425" s="232"/>
      <c r="CH425" s="231"/>
      <c r="CI425" s="232"/>
      <c r="CJ425" s="232"/>
      <c r="CK425" s="232"/>
      <c r="CL425" s="232"/>
      <c r="CM425" s="232"/>
      <c r="CN425" s="232"/>
      <c r="CO425" s="232"/>
      <c r="CP425" s="232"/>
      <c r="CQ425" s="232"/>
      <c r="CR425" s="232"/>
      <c r="CS425" s="232"/>
      <c r="CT425" s="232"/>
    </row>
    <row r="426" ht="24.0" customHeight="1">
      <c r="A426" s="184" t="s">
        <v>458</v>
      </c>
      <c r="B426" s="184" t="s">
        <v>1665</v>
      </c>
      <c r="C426" s="184" t="s">
        <v>677</v>
      </c>
      <c r="D426" s="184" t="s">
        <v>2431</v>
      </c>
      <c r="E426" s="186" t="s">
        <v>1105</v>
      </c>
      <c r="F426" s="186" t="s">
        <v>2432</v>
      </c>
      <c r="G426" s="185">
        <v>70.0</v>
      </c>
      <c r="H426" s="185" t="s">
        <v>2611</v>
      </c>
      <c r="I426" s="185" t="s">
        <v>3961</v>
      </c>
      <c r="J426" s="185" t="s">
        <v>3962</v>
      </c>
      <c r="K426" s="185" t="s">
        <v>3963</v>
      </c>
      <c r="L426" s="185" t="s">
        <v>3964</v>
      </c>
      <c r="M426" s="185" t="s">
        <v>3965</v>
      </c>
      <c r="N426" s="185" t="s">
        <v>850</v>
      </c>
      <c r="O426" s="185" t="s">
        <v>764</v>
      </c>
      <c r="P426" s="210"/>
      <c r="Q426" s="190"/>
      <c r="R426" s="190"/>
      <c r="S426" s="190"/>
      <c r="T426" s="190"/>
      <c r="U426" s="210"/>
      <c r="V426" s="185" t="s">
        <v>1713</v>
      </c>
      <c r="W426" s="230" t="s">
        <v>1714</v>
      </c>
      <c r="X426" s="245" t="s">
        <v>1715</v>
      </c>
      <c r="Y426" s="185" t="s">
        <v>764</v>
      </c>
      <c r="Z426" s="185" t="s">
        <v>1105</v>
      </c>
      <c r="AA426" s="189" t="s">
        <v>757</v>
      </c>
      <c r="AB426" s="231"/>
      <c r="AC426" s="231"/>
      <c r="AD426" s="231"/>
      <c r="AE426" s="231"/>
      <c r="AF426" s="231"/>
      <c r="AG426" s="231"/>
      <c r="AH426" s="231"/>
      <c r="AJ426" s="231"/>
      <c r="AK426" s="232"/>
      <c r="AL426" s="231"/>
      <c r="AM426" s="232"/>
      <c r="AN426" s="231"/>
      <c r="AO426" s="232"/>
      <c r="AP426" s="232"/>
      <c r="AQ426" s="232"/>
      <c r="AR426" s="232"/>
      <c r="AS426" s="232"/>
      <c r="AT426" s="232"/>
      <c r="AU426" s="232"/>
      <c r="AV426" s="232"/>
      <c r="AW426" s="231"/>
      <c r="AX426" s="231"/>
      <c r="AY426" s="231"/>
      <c r="AZ426" s="231"/>
      <c r="BA426" s="231"/>
      <c r="BB426" s="231"/>
      <c r="BC426" s="232"/>
      <c r="BD426" s="232"/>
      <c r="BE426" s="232"/>
      <c r="BF426" s="232"/>
      <c r="BG426" s="231"/>
      <c r="BH426" s="231"/>
      <c r="BI426" s="232"/>
      <c r="BJ426" s="232"/>
      <c r="BK426" s="232"/>
      <c r="BL426" s="232"/>
      <c r="BM426" s="232"/>
      <c r="BN426" s="232"/>
      <c r="BO426" s="232"/>
      <c r="BP426" s="232"/>
      <c r="BQ426" s="232"/>
      <c r="BR426" s="232"/>
      <c r="BS426" s="231"/>
      <c r="BT426" s="231"/>
      <c r="BU426" s="231"/>
      <c r="BV426" s="231"/>
      <c r="BW426" s="231"/>
      <c r="BX426" s="231"/>
      <c r="BY426" s="232"/>
      <c r="BZ426" s="231"/>
      <c r="CA426" s="231"/>
      <c r="CB426" s="231"/>
      <c r="CC426" s="231"/>
      <c r="CD426" s="231"/>
      <c r="CE426" s="232"/>
      <c r="CF426" s="232"/>
      <c r="CG426" s="232"/>
      <c r="CH426" s="231"/>
      <c r="CI426" s="232"/>
      <c r="CJ426" s="232"/>
      <c r="CK426" s="232"/>
      <c r="CL426" s="232"/>
      <c r="CM426" s="232"/>
      <c r="CN426" s="232"/>
      <c r="CO426" s="232"/>
      <c r="CP426" s="232"/>
      <c r="CQ426" s="232"/>
      <c r="CR426" s="232"/>
      <c r="CS426" s="232"/>
      <c r="CT426" s="232"/>
    </row>
    <row r="427" ht="24.0" customHeight="1">
      <c r="A427" s="184" t="s">
        <v>456</v>
      </c>
      <c r="B427" s="184" t="s">
        <v>1665</v>
      </c>
      <c r="C427" s="184" t="s">
        <v>677</v>
      </c>
      <c r="D427" s="184" t="s">
        <v>2431</v>
      </c>
      <c r="E427" s="186" t="s">
        <v>1105</v>
      </c>
      <c r="F427" s="186" t="s">
        <v>2432</v>
      </c>
      <c r="G427" s="185">
        <v>71.0</v>
      </c>
      <c r="H427" s="185" t="s">
        <v>3966</v>
      </c>
      <c r="I427" s="185" t="s">
        <v>2329</v>
      </c>
      <c r="J427" s="185" t="s">
        <v>3967</v>
      </c>
      <c r="K427" s="185" t="s">
        <v>3968</v>
      </c>
      <c r="L427" s="185" t="s">
        <v>3969</v>
      </c>
      <c r="M427" s="185" t="s">
        <v>3970</v>
      </c>
      <c r="N427" s="185" t="s">
        <v>850</v>
      </c>
      <c r="O427" s="189" t="s">
        <v>893</v>
      </c>
      <c r="P427" s="189" t="s">
        <v>3971</v>
      </c>
      <c r="Q427" s="189" t="s">
        <v>3972</v>
      </c>
      <c r="R427" s="189" t="s">
        <v>3973</v>
      </c>
      <c r="S427" s="189" t="s">
        <v>3974</v>
      </c>
      <c r="T427" s="189" t="s">
        <v>3975</v>
      </c>
      <c r="U427" s="185" t="s">
        <v>3976</v>
      </c>
      <c r="V427" s="185" t="s">
        <v>3977</v>
      </c>
      <c r="W427" s="230" t="s">
        <v>1683</v>
      </c>
      <c r="X427" s="245" t="s">
        <v>3978</v>
      </c>
      <c r="Y427" s="185" t="s">
        <v>893</v>
      </c>
      <c r="Z427" s="185" t="s">
        <v>1105</v>
      </c>
      <c r="AA427" s="189" t="s">
        <v>797</v>
      </c>
      <c r="AB427" s="231"/>
      <c r="AC427" s="231"/>
      <c r="AD427" s="231"/>
      <c r="AE427" s="231"/>
      <c r="AF427" s="231"/>
      <c r="AG427" s="231"/>
      <c r="AH427" s="231"/>
      <c r="AJ427" s="231"/>
      <c r="AK427" s="232"/>
      <c r="AL427" s="231"/>
      <c r="AM427" s="232"/>
      <c r="AN427" s="231"/>
      <c r="AO427" s="232"/>
      <c r="AP427" s="232"/>
      <c r="AQ427" s="232"/>
      <c r="AR427" s="232"/>
      <c r="AS427" s="232"/>
      <c r="AT427" s="232"/>
      <c r="AU427" s="232"/>
      <c r="AV427" s="232"/>
      <c r="AW427" s="231"/>
      <c r="AX427" s="231"/>
      <c r="AY427" s="231"/>
      <c r="AZ427" s="231"/>
      <c r="BA427" s="231"/>
      <c r="BB427" s="231"/>
      <c r="BC427" s="232"/>
      <c r="BD427" s="232"/>
      <c r="BE427" s="232"/>
      <c r="BF427" s="232"/>
      <c r="BG427" s="232"/>
      <c r="BH427" s="232"/>
      <c r="BI427" s="232"/>
      <c r="BJ427" s="232"/>
      <c r="BK427" s="232"/>
      <c r="BL427" s="232"/>
      <c r="BM427" s="232"/>
      <c r="BN427" s="232"/>
      <c r="BO427" s="232"/>
      <c r="BP427" s="232"/>
      <c r="BQ427" s="232"/>
      <c r="BR427" s="232"/>
      <c r="BS427" s="231"/>
      <c r="BT427" s="231"/>
      <c r="BU427" s="231"/>
      <c r="BV427" s="231"/>
      <c r="BW427" s="231"/>
      <c r="BX427" s="231"/>
      <c r="BY427" s="231"/>
      <c r="BZ427" s="232"/>
      <c r="CA427" s="231"/>
      <c r="CB427" s="231"/>
      <c r="CC427" s="231"/>
      <c r="CD427" s="231"/>
      <c r="CE427" s="232"/>
      <c r="CF427" s="232"/>
      <c r="CG427" s="232"/>
      <c r="CH427" s="231"/>
      <c r="CI427" s="232"/>
      <c r="CJ427" s="232"/>
      <c r="CK427" s="232"/>
      <c r="CL427" s="232"/>
      <c r="CM427" s="232"/>
      <c r="CN427" s="232"/>
      <c r="CO427" s="232"/>
      <c r="CP427" s="232"/>
      <c r="CQ427" s="232"/>
      <c r="CR427" s="232"/>
      <c r="CS427" s="232"/>
      <c r="CT427" s="232"/>
    </row>
    <row r="428" ht="24.0" customHeight="1">
      <c r="A428" s="184" t="s">
        <v>457</v>
      </c>
      <c r="B428" s="184" t="s">
        <v>1665</v>
      </c>
      <c r="C428" s="184" t="s">
        <v>677</v>
      </c>
      <c r="D428" s="184" t="s">
        <v>2431</v>
      </c>
      <c r="E428" s="186" t="s">
        <v>1105</v>
      </c>
      <c r="F428" s="186" t="s">
        <v>2432</v>
      </c>
      <c r="G428" s="185">
        <v>72.0</v>
      </c>
      <c r="H428" s="185" t="s">
        <v>3979</v>
      </c>
      <c r="I428" s="185" t="s">
        <v>3980</v>
      </c>
      <c r="J428" s="185" t="s">
        <v>3981</v>
      </c>
      <c r="K428" s="185" t="s">
        <v>3982</v>
      </c>
      <c r="L428" s="185" t="s">
        <v>3983</v>
      </c>
      <c r="M428" s="185" t="s">
        <v>3984</v>
      </c>
      <c r="N428" s="185" t="s">
        <v>850</v>
      </c>
      <c r="O428" s="189" t="s">
        <v>784</v>
      </c>
      <c r="P428" s="190"/>
      <c r="Q428" s="190"/>
      <c r="R428" s="190"/>
      <c r="S428" s="190"/>
      <c r="T428" s="190"/>
      <c r="U428" s="210"/>
      <c r="V428" s="185" t="s">
        <v>3985</v>
      </c>
      <c r="W428" s="230" t="s">
        <v>3986</v>
      </c>
      <c r="X428" s="245" t="s">
        <v>3987</v>
      </c>
      <c r="Y428" s="185" t="s">
        <v>893</v>
      </c>
      <c r="Z428" s="185" t="s">
        <v>1105</v>
      </c>
      <c r="AA428" s="189" t="s">
        <v>757</v>
      </c>
      <c r="AB428" s="231"/>
      <c r="AC428" s="231"/>
      <c r="AD428" s="231"/>
      <c r="AE428" s="231"/>
      <c r="AF428" s="231"/>
      <c r="AG428" s="231"/>
      <c r="AH428" s="231"/>
      <c r="AJ428" s="232"/>
      <c r="AK428" s="232"/>
      <c r="AL428" s="232"/>
      <c r="AM428" s="232"/>
      <c r="AN428" s="232"/>
      <c r="AO428" s="232"/>
      <c r="AP428" s="231"/>
      <c r="AQ428" s="232"/>
      <c r="AR428" s="231"/>
      <c r="AS428" s="232"/>
      <c r="AT428" s="232"/>
      <c r="AU428" s="232"/>
      <c r="AV428" s="232"/>
      <c r="AW428" s="231"/>
      <c r="AX428" s="231"/>
      <c r="AY428" s="231"/>
      <c r="AZ428" s="231"/>
      <c r="BA428" s="231"/>
      <c r="BB428" s="231"/>
      <c r="BC428" s="232"/>
      <c r="BD428" s="232"/>
      <c r="BE428" s="232"/>
      <c r="BF428" s="232"/>
      <c r="BG428" s="232"/>
      <c r="BH428" s="232"/>
      <c r="BI428" s="232"/>
      <c r="BJ428" s="232"/>
      <c r="BK428" s="232"/>
      <c r="BL428" s="232"/>
      <c r="BM428" s="232"/>
      <c r="BN428" s="232"/>
      <c r="BO428" s="232"/>
      <c r="BP428" s="232"/>
      <c r="BQ428" s="232"/>
      <c r="BR428" s="232"/>
      <c r="BS428" s="231"/>
      <c r="BT428" s="231"/>
      <c r="BU428" s="231"/>
      <c r="BV428" s="231"/>
      <c r="BW428" s="231"/>
      <c r="BX428" s="231"/>
      <c r="BY428" s="231"/>
      <c r="BZ428" s="231"/>
      <c r="CA428" s="231"/>
      <c r="CB428" s="231"/>
      <c r="CC428" s="231"/>
      <c r="CD428" s="232"/>
      <c r="CE428" s="232"/>
      <c r="CF428" s="231"/>
      <c r="CG428" s="232"/>
      <c r="CH428" s="231"/>
      <c r="CI428" s="232"/>
      <c r="CJ428" s="232"/>
      <c r="CK428" s="231"/>
      <c r="CL428" s="233"/>
      <c r="CM428" s="232"/>
      <c r="CN428" s="232"/>
      <c r="CO428" s="232"/>
      <c r="CP428" s="232"/>
      <c r="CQ428" s="232"/>
      <c r="CR428" s="232"/>
      <c r="CS428" s="232"/>
      <c r="CT428" s="232"/>
    </row>
    <row r="429" ht="24.0" customHeight="1">
      <c r="A429" s="184" t="s">
        <v>455</v>
      </c>
      <c r="B429" s="184" t="s">
        <v>1665</v>
      </c>
      <c r="C429" s="184" t="s">
        <v>677</v>
      </c>
      <c r="D429" s="184" t="s">
        <v>2431</v>
      </c>
      <c r="E429" s="186" t="s">
        <v>1105</v>
      </c>
      <c r="F429" s="186" t="s">
        <v>2432</v>
      </c>
      <c r="G429" s="185">
        <v>73.0</v>
      </c>
      <c r="H429" s="185" t="s">
        <v>3988</v>
      </c>
      <c r="I429" s="185" t="s">
        <v>3989</v>
      </c>
      <c r="J429" s="185" t="s">
        <v>3990</v>
      </c>
      <c r="K429" s="185" t="s">
        <v>3991</v>
      </c>
      <c r="L429" s="185" t="s">
        <v>3992</v>
      </c>
      <c r="M429" s="185" t="s">
        <v>3993</v>
      </c>
      <c r="N429" s="185" t="s">
        <v>850</v>
      </c>
      <c r="O429" s="185" t="s">
        <v>893</v>
      </c>
      <c r="P429" s="210"/>
      <c r="Q429" s="190"/>
      <c r="R429" s="190"/>
      <c r="S429" s="190"/>
      <c r="T429" s="190"/>
      <c r="U429" s="210"/>
      <c r="V429" s="185" t="s">
        <v>1117</v>
      </c>
      <c r="W429" s="230" t="s">
        <v>1234</v>
      </c>
      <c r="X429" s="245" t="s">
        <v>1119</v>
      </c>
      <c r="Y429" s="185" t="s">
        <v>893</v>
      </c>
      <c r="Z429" s="185" t="s">
        <v>1105</v>
      </c>
      <c r="AA429" s="189" t="s">
        <v>757</v>
      </c>
      <c r="AB429" s="231"/>
      <c r="AC429" s="231"/>
      <c r="AD429" s="231"/>
      <c r="AE429" s="231"/>
      <c r="AF429" s="231"/>
      <c r="AG429" s="231"/>
      <c r="AH429" s="231"/>
      <c r="AJ429" s="231"/>
      <c r="AK429" s="232"/>
      <c r="AL429" s="231"/>
      <c r="AM429" s="232"/>
      <c r="AN429" s="231"/>
      <c r="AO429" s="232"/>
      <c r="AP429" s="232"/>
      <c r="AQ429" s="232"/>
      <c r="AR429" s="232"/>
      <c r="AS429" s="232"/>
      <c r="AT429" s="232"/>
      <c r="AU429" s="232"/>
      <c r="AV429" s="232"/>
      <c r="AW429" s="231"/>
      <c r="AX429" s="231"/>
      <c r="AY429" s="231"/>
      <c r="AZ429" s="231"/>
      <c r="BA429" s="231"/>
      <c r="BB429" s="231"/>
      <c r="BC429" s="231"/>
      <c r="BD429" s="231"/>
      <c r="BE429" s="231"/>
      <c r="BF429" s="231"/>
      <c r="BG429" s="231"/>
      <c r="BH429" s="231"/>
      <c r="BI429" s="231"/>
      <c r="BJ429" s="231"/>
      <c r="BK429" s="231"/>
      <c r="BL429" s="231"/>
      <c r="BM429" s="232"/>
      <c r="BN429" s="232"/>
      <c r="BO429" s="232"/>
      <c r="BP429" s="232"/>
      <c r="BQ429" s="232"/>
      <c r="BR429" s="232"/>
      <c r="BS429" s="231"/>
      <c r="BT429" s="231"/>
      <c r="BU429" s="231"/>
      <c r="BV429" s="231"/>
      <c r="BW429" s="231"/>
      <c r="BX429" s="231"/>
      <c r="BY429" s="231"/>
      <c r="BZ429" s="231"/>
      <c r="CA429" s="231"/>
      <c r="CB429" s="231"/>
      <c r="CC429" s="231"/>
      <c r="CD429" s="231"/>
      <c r="CE429" s="232"/>
      <c r="CF429" s="232"/>
      <c r="CG429" s="232"/>
      <c r="CH429" s="231"/>
      <c r="CI429" s="232"/>
      <c r="CJ429" s="231"/>
      <c r="CK429" s="231"/>
      <c r="CL429" s="235"/>
      <c r="CM429" s="232"/>
      <c r="CN429" s="232"/>
      <c r="CO429" s="232"/>
      <c r="CP429" s="232"/>
      <c r="CQ429" s="232"/>
      <c r="CR429" s="232"/>
      <c r="CS429" s="232"/>
      <c r="CT429" s="232"/>
    </row>
    <row r="430" ht="24.0" customHeight="1">
      <c r="A430" s="184" t="s">
        <v>452</v>
      </c>
      <c r="B430" s="184" t="s">
        <v>1665</v>
      </c>
      <c r="C430" s="184" t="s">
        <v>677</v>
      </c>
      <c r="D430" s="184" t="s">
        <v>2431</v>
      </c>
      <c r="E430" s="186" t="s">
        <v>1105</v>
      </c>
      <c r="F430" s="186" t="s">
        <v>2432</v>
      </c>
      <c r="G430" s="185">
        <v>74.0</v>
      </c>
      <c r="H430" s="185" t="s">
        <v>3994</v>
      </c>
      <c r="I430" s="185" t="s">
        <v>3995</v>
      </c>
      <c r="J430" s="185" t="s">
        <v>3996</v>
      </c>
      <c r="K430" s="185" t="s">
        <v>3997</v>
      </c>
      <c r="L430" s="185" t="s">
        <v>3998</v>
      </c>
      <c r="M430" s="185" t="s">
        <v>3999</v>
      </c>
      <c r="N430" s="185" t="s">
        <v>850</v>
      </c>
      <c r="O430" s="185" t="s">
        <v>764</v>
      </c>
      <c r="P430" s="210"/>
      <c r="Q430" s="210"/>
      <c r="R430" s="210"/>
      <c r="S430" s="190"/>
      <c r="T430" s="210"/>
      <c r="U430" s="210"/>
      <c r="V430" s="185" t="s">
        <v>4000</v>
      </c>
      <c r="W430" s="230" t="s">
        <v>1683</v>
      </c>
      <c r="X430" s="245" t="s">
        <v>3978</v>
      </c>
      <c r="Y430" s="185" t="s">
        <v>893</v>
      </c>
      <c r="Z430" s="185" t="s">
        <v>1105</v>
      </c>
      <c r="AA430" s="189" t="s">
        <v>757</v>
      </c>
      <c r="AB430" s="231"/>
      <c r="AC430" s="231"/>
      <c r="AD430" s="231"/>
      <c r="AE430" s="231"/>
      <c r="AF430" s="231"/>
      <c r="AG430" s="231"/>
      <c r="AH430" s="231"/>
      <c r="AJ430" s="231"/>
      <c r="AK430" s="232"/>
      <c r="AL430" s="231"/>
      <c r="AM430" s="232"/>
      <c r="AN430" s="231"/>
      <c r="AO430" s="232"/>
      <c r="AP430" s="232"/>
      <c r="AQ430" s="232"/>
      <c r="AR430" s="232"/>
      <c r="AS430" s="232"/>
      <c r="AT430" s="232"/>
      <c r="AU430" s="232"/>
      <c r="AV430" s="232"/>
      <c r="AW430" s="231"/>
      <c r="AX430" s="231"/>
      <c r="AY430" s="231"/>
      <c r="AZ430" s="231"/>
      <c r="BA430" s="231"/>
      <c r="BB430" s="231"/>
      <c r="BC430" s="232"/>
      <c r="BD430" s="232"/>
      <c r="BE430" s="232"/>
      <c r="BF430" s="232"/>
      <c r="BG430" s="231"/>
      <c r="BH430" s="232"/>
      <c r="BI430" s="232"/>
      <c r="BJ430" s="232"/>
      <c r="BK430" s="232"/>
      <c r="BL430" s="232"/>
      <c r="BM430" s="232"/>
      <c r="BN430" s="232"/>
      <c r="BO430" s="232"/>
      <c r="BP430" s="232"/>
      <c r="BQ430" s="232"/>
      <c r="BR430" s="232"/>
      <c r="BS430" s="231"/>
      <c r="BT430" s="231"/>
      <c r="BU430" s="231"/>
      <c r="BV430" s="231"/>
      <c r="BW430" s="231"/>
      <c r="BX430" s="231"/>
      <c r="BY430" s="231"/>
      <c r="BZ430" s="232"/>
      <c r="CA430" s="231"/>
      <c r="CB430" s="231"/>
      <c r="CC430" s="231"/>
      <c r="CD430" s="231"/>
      <c r="CE430" s="232"/>
      <c r="CF430" s="232"/>
      <c r="CG430" s="232"/>
      <c r="CH430" s="231"/>
      <c r="CI430" s="232"/>
      <c r="CJ430" s="232"/>
      <c r="CK430" s="232"/>
      <c r="CL430" s="235"/>
      <c r="CM430" s="232"/>
      <c r="CN430" s="232"/>
      <c r="CO430" s="232"/>
      <c r="CP430" s="232"/>
      <c r="CQ430" s="232"/>
      <c r="CR430" s="232"/>
      <c r="CS430" s="232"/>
      <c r="CT430" s="232"/>
    </row>
    <row r="431" ht="24.0" customHeight="1">
      <c r="A431" s="184" t="s">
        <v>454</v>
      </c>
      <c r="B431" s="184" t="s">
        <v>1665</v>
      </c>
      <c r="C431" s="184" t="s">
        <v>677</v>
      </c>
      <c r="D431" s="184" t="s">
        <v>2431</v>
      </c>
      <c r="E431" s="186" t="s">
        <v>1105</v>
      </c>
      <c r="F431" s="186" t="s">
        <v>2432</v>
      </c>
      <c r="G431" s="185">
        <v>75.0</v>
      </c>
      <c r="H431" s="185" t="s">
        <v>1395</v>
      </c>
      <c r="I431" s="185" t="s">
        <v>4001</v>
      </c>
      <c r="J431" s="185" t="s">
        <v>4002</v>
      </c>
      <c r="K431" s="185" t="s">
        <v>4003</v>
      </c>
      <c r="L431" s="185" t="s">
        <v>4004</v>
      </c>
      <c r="M431" s="185" t="s">
        <v>4005</v>
      </c>
      <c r="N431" s="185" t="s">
        <v>850</v>
      </c>
      <c r="O431" s="185" t="s">
        <v>893</v>
      </c>
      <c r="P431" s="210"/>
      <c r="Q431" s="210"/>
      <c r="R431" s="210"/>
      <c r="S431" s="210"/>
      <c r="T431" s="210"/>
      <c r="U431" s="210"/>
      <c r="V431" s="185" t="s">
        <v>4006</v>
      </c>
      <c r="W431" s="230" t="s">
        <v>4007</v>
      </c>
      <c r="X431" s="245" t="s">
        <v>4008</v>
      </c>
      <c r="Y431" s="185" t="s">
        <v>893</v>
      </c>
      <c r="Z431" s="185" t="s">
        <v>1105</v>
      </c>
      <c r="AA431" s="189" t="s">
        <v>757</v>
      </c>
      <c r="AB431" s="231"/>
      <c r="AC431" s="231"/>
      <c r="AD431" s="231"/>
      <c r="AE431" s="231"/>
      <c r="AF431" s="231"/>
      <c r="AG431" s="231"/>
      <c r="AH431" s="231"/>
      <c r="AJ431" s="231"/>
      <c r="AK431" s="232"/>
      <c r="AL431" s="231"/>
      <c r="AM431" s="232"/>
      <c r="AN431" s="231"/>
      <c r="AO431" s="232"/>
      <c r="AP431" s="232"/>
      <c r="AQ431" s="232"/>
      <c r="AR431" s="232"/>
      <c r="AS431" s="232"/>
      <c r="AT431" s="232"/>
      <c r="AU431" s="232"/>
      <c r="AV431" s="232"/>
      <c r="AW431" s="231"/>
      <c r="AX431" s="231"/>
      <c r="AY431" s="231"/>
      <c r="AZ431" s="231"/>
      <c r="BA431" s="231"/>
      <c r="BB431" s="231"/>
      <c r="BC431" s="231"/>
      <c r="BD431" s="231"/>
      <c r="BE431" s="231"/>
      <c r="BF431" s="231"/>
      <c r="BG431" s="231"/>
      <c r="BH431" s="231"/>
      <c r="BI431" s="231"/>
      <c r="BJ431" s="231"/>
      <c r="BK431" s="231"/>
      <c r="BL431" s="231"/>
      <c r="BM431" s="232"/>
      <c r="BN431" s="232"/>
      <c r="BO431" s="232"/>
      <c r="BP431" s="232"/>
      <c r="BQ431" s="232"/>
      <c r="BR431" s="232"/>
      <c r="BS431" s="231"/>
      <c r="BT431" s="231"/>
      <c r="BU431" s="231"/>
      <c r="BV431" s="231"/>
      <c r="BW431" s="231"/>
      <c r="BX431" s="231"/>
      <c r="BY431" s="231"/>
      <c r="BZ431" s="231"/>
      <c r="CA431" s="231"/>
      <c r="CB431" s="231"/>
      <c r="CC431" s="231"/>
      <c r="CD431" s="231"/>
      <c r="CE431" s="232"/>
      <c r="CF431" s="232"/>
      <c r="CG431" s="232"/>
      <c r="CH431" s="231"/>
      <c r="CI431" s="232"/>
      <c r="CJ431" s="232"/>
      <c r="CK431" s="231"/>
      <c r="CL431" s="235"/>
      <c r="CM431" s="232"/>
      <c r="CN431" s="232"/>
      <c r="CO431" s="232"/>
      <c r="CP431" s="232"/>
      <c r="CQ431" s="232"/>
      <c r="CR431" s="232"/>
      <c r="CS431" s="232"/>
      <c r="CT431" s="232"/>
    </row>
    <row r="432" ht="24.0" customHeight="1">
      <c r="A432" s="184" t="s">
        <v>511</v>
      </c>
      <c r="B432" s="184" t="s">
        <v>2055</v>
      </c>
      <c r="C432" s="184" t="s">
        <v>678</v>
      </c>
      <c r="D432" s="184" t="s">
        <v>2431</v>
      </c>
      <c r="E432" s="186" t="s">
        <v>844</v>
      </c>
      <c r="F432" s="186" t="s">
        <v>2432</v>
      </c>
      <c r="G432" s="185">
        <v>1.0</v>
      </c>
      <c r="H432" s="209" t="s">
        <v>4009</v>
      </c>
      <c r="I432" s="209" t="s">
        <v>4010</v>
      </c>
      <c r="J432" s="209" t="s">
        <v>4011</v>
      </c>
      <c r="K432" s="209" t="s">
        <v>4012</v>
      </c>
      <c r="L432" s="209" t="s">
        <v>4013</v>
      </c>
      <c r="M432" s="209" t="s">
        <v>4014</v>
      </c>
      <c r="N432" s="209" t="s">
        <v>752</v>
      </c>
      <c r="O432" s="237" t="s">
        <v>784</v>
      </c>
      <c r="P432" s="190"/>
      <c r="Q432" s="190"/>
      <c r="R432" s="190"/>
      <c r="S432" s="190"/>
      <c r="T432" s="190"/>
      <c r="U432" s="210"/>
      <c r="V432" s="209" t="s">
        <v>4015</v>
      </c>
      <c r="W432" s="238" t="s">
        <v>4016</v>
      </c>
      <c r="X432" s="239" t="s">
        <v>4017</v>
      </c>
      <c r="Y432" s="209" t="s">
        <v>784</v>
      </c>
      <c r="Z432" s="209" t="s">
        <v>744</v>
      </c>
      <c r="AA432" s="237" t="s">
        <v>1088</v>
      </c>
      <c r="AB432" s="231"/>
      <c r="AC432" s="231"/>
      <c r="AD432" s="231"/>
      <c r="AE432" s="231"/>
      <c r="AF432" s="231"/>
      <c r="AG432" s="231"/>
      <c r="AH432" s="231"/>
      <c r="AJ432" s="231"/>
      <c r="AK432" s="232"/>
      <c r="AL432" s="231"/>
      <c r="AM432" s="232"/>
      <c r="AN432" s="231"/>
      <c r="AO432" s="232"/>
      <c r="AP432" s="232"/>
      <c r="AQ432" s="232"/>
      <c r="AR432" s="232"/>
      <c r="AS432" s="232"/>
      <c r="AT432" s="232"/>
      <c r="AU432" s="232"/>
      <c r="AV432" s="232"/>
      <c r="AW432" s="231"/>
      <c r="AX432" s="231"/>
      <c r="AY432" s="231"/>
      <c r="AZ432" s="231"/>
      <c r="BA432" s="231"/>
      <c r="BB432" s="231"/>
      <c r="BC432" s="231"/>
      <c r="BD432" s="231"/>
      <c r="BE432" s="231"/>
      <c r="BF432" s="231"/>
      <c r="BG432" s="232"/>
      <c r="BH432" s="232"/>
      <c r="BI432" s="232"/>
      <c r="BJ432" s="232"/>
      <c r="BK432" s="232"/>
      <c r="BL432" s="232"/>
      <c r="BM432" s="232"/>
      <c r="BN432" s="232"/>
      <c r="BO432" s="232"/>
      <c r="BP432" s="232"/>
      <c r="BQ432" s="232"/>
      <c r="BR432" s="232"/>
      <c r="BS432" s="231"/>
      <c r="BT432" s="231"/>
      <c r="BU432" s="231"/>
      <c r="BV432" s="231"/>
      <c r="BW432" s="231"/>
      <c r="BX432" s="231"/>
      <c r="BY432" s="231"/>
      <c r="BZ432" s="232"/>
      <c r="CA432" s="231"/>
      <c r="CB432" s="231"/>
      <c r="CC432" s="231"/>
      <c r="CD432" s="231"/>
      <c r="CE432" s="232"/>
      <c r="CF432" s="232"/>
      <c r="CG432" s="232"/>
      <c r="CH432" s="231"/>
      <c r="CI432" s="232"/>
      <c r="CJ432" s="232"/>
      <c r="CK432" s="231"/>
      <c r="CL432" s="235"/>
      <c r="CM432" s="232"/>
      <c r="CN432" s="232"/>
      <c r="CO432" s="232"/>
      <c r="CP432" s="232"/>
      <c r="CQ432" s="232"/>
      <c r="CR432" s="232"/>
      <c r="CS432" s="232"/>
      <c r="CT432" s="232"/>
    </row>
    <row r="433" ht="24.0" customHeight="1">
      <c r="A433" s="184" t="s">
        <v>515</v>
      </c>
      <c r="B433" s="184" t="s">
        <v>2055</v>
      </c>
      <c r="C433" s="184" t="s">
        <v>678</v>
      </c>
      <c r="D433" s="184" t="s">
        <v>2431</v>
      </c>
      <c r="E433" s="186" t="s">
        <v>844</v>
      </c>
      <c r="F433" s="186" t="s">
        <v>2432</v>
      </c>
      <c r="G433" s="185">
        <v>2.0</v>
      </c>
      <c r="H433" s="209" t="s">
        <v>4018</v>
      </c>
      <c r="I433" s="209" t="s">
        <v>4019</v>
      </c>
      <c r="J433" s="209" t="s">
        <v>4020</v>
      </c>
      <c r="K433" s="209" t="s">
        <v>2059</v>
      </c>
      <c r="L433" s="209" t="s">
        <v>4021</v>
      </c>
      <c r="M433" s="209" t="s">
        <v>4022</v>
      </c>
      <c r="N433" s="209" t="s">
        <v>752</v>
      </c>
      <c r="O433" s="209" t="s">
        <v>764</v>
      </c>
      <c r="P433" s="210"/>
      <c r="Q433" s="190"/>
      <c r="R433" s="190"/>
      <c r="S433" s="190"/>
      <c r="T433" s="190"/>
      <c r="U433" s="210"/>
      <c r="V433" s="209" t="s">
        <v>1673</v>
      </c>
      <c r="W433" s="238" t="s">
        <v>1417</v>
      </c>
      <c r="X433" s="239" t="s">
        <v>1418</v>
      </c>
      <c r="Y433" s="209" t="s">
        <v>764</v>
      </c>
      <c r="Z433" s="209" t="s">
        <v>744</v>
      </c>
      <c r="AA433" s="237" t="s">
        <v>1654</v>
      </c>
      <c r="AB433" s="231"/>
      <c r="AC433" s="231"/>
      <c r="AD433" s="231"/>
      <c r="AE433" s="231"/>
      <c r="AF433" s="231"/>
      <c r="AG433" s="231"/>
      <c r="AH433" s="231"/>
      <c r="AJ433" s="231"/>
      <c r="AK433" s="232"/>
      <c r="AL433" s="231"/>
      <c r="AM433" s="232"/>
      <c r="AN433" s="231"/>
      <c r="AO433" s="232"/>
      <c r="AP433" s="232"/>
      <c r="AQ433" s="232"/>
      <c r="AR433" s="232"/>
      <c r="AS433" s="232"/>
      <c r="AT433" s="232"/>
      <c r="AU433" s="232"/>
      <c r="AV433" s="232"/>
      <c r="AW433" s="231"/>
      <c r="AX433" s="231"/>
      <c r="AY433" s="231"/>
      <c r="AZ433" s="231"/>
      <c r="BA433" s="231"/>
      <c r="BB433" s="231"/>
      <c r="BC433" s="232"/>
      <c r="BD433" s="232"/>
      <c r="BE433" s="232"/>
      <c r="BF433" s="232"/>
      <c r="BG433" s="231"/>
      <c r="BH433" s="231"/>
      <c r="BI433" s="232"/>
      <c r="BJ433" s="232"/>
      <c r="BK433" s="232"/>
      <c r="BL433" s="232"/>
      <c r="BM433" s="232"/>
      <c r="BN433" s="232"/>
      <c r="BO433" s="232"/>
      <c r="BP433" s="232"/>
      <c r="BQ433" s="232"/>
      <c r="BR433" s="232"/>
      <c r="BS433" s="231"/>
      <c r="BT433" s="231"/>
      <c r="BU433" s="231"/>
      <c r="BV433" s="231"/>
      <c r="BW433" s="231"/>
      <c r="BX433" s="231"/>
      <c r="BY433" s="231"/>
      <c r="BZ433" s="232"/>
      <c r="CA433" s="231"/>
      <c r="CB433" s="231"/>
      <c r="CC433" s="231"/>
      <c r="CD433" s="231"/>
      <c r="CE433" s="232"/>
      <c r="CF433" s="232"/>
      <c r="CG433" s="232"/>
      <c r="CH433" s="231"/>
      <c r="CI433" s="232"/>
      <c r="CJ433" s="232"/>
      <c r="CK433" s="232"/>
      <c r="CL433" s="235"/>
      <c r="CM433" s="232"/>
      <c r="CN433" s="232"/>
      <c r="CO433" s="232"/>
      <c r="CP433" s="232"/>
      <c r="CQ433" s="232"/>
      <c r="CR433" s="232"/>
      <c r="CS433" s="232"/>
      <c r="CT433" s="232"/>
    </row>
    <row r="434" ht="24.0" customHeight="1">
      <c r="A434" s="184" t="s">
        <v>512</v>
      </c>
      <c r="B434" s="184" t="s">
        <v>2055</v>
      </c>
      <c r="C434" s="184" t="s">
        <v>678</v>
      </c>
      <c r="D434" s="184" t="s">
        <v>2431</v>
      </c>
      <c r="E434" s="186" t="s">
        <v>844</v>
      </c>
      <c r="F434" s="186" t="s">
        <v>2432</v>
      </c>
      <c r="G434" s="185">
        <v>3.0</v>
      </c>
      <c r="H434" s="209" t="s">
        <v>4023</v>
      </c>
      <c r="I434" s="209" t="s">
        <v>1419</v>
      </c>
      <c r="J434" s="209" t="s">
        <v>4024</v>
      </c>
      <c r="K434" s="209" t="s">
        <v>4025</v>
      </c>
      <c r="L434" s="209" t="s">
        <v>4026</v>
      </c>
      <c r="M434" s="210" t="s">
        <v>4027</v>
      </c>
      <c r="N434" s="209" t="s">
        <v>752</v>
      </c>
      <c r="O434" s="237" t="s">
        <v>764</v>
      </c>
      <c r="P434" s="237" t="s">
        <v>4028</v>
      </c>
      <c r="Q434" s="237" t="s">
        <v>4029</v>
      </c>
      <c r="R434" s="237" t="s">
        <v>4030</v>
      </c>
      <c r="S434" s="237" t="s">
        <v>4031</v>
      </c>
      <c r="T434" s="190"/>
      <c r="U434" s="210"/>
      <c r="V434" s="209" t="s">
        <v>4032</v>
      </c>
      <c r="W434" s="238" t="s">
        <v>4033</v>
      </c>
      <c r="X434" s="239" t="s">
        <v>4034</v>
      </c>
      <c r="Y434" s="209" t="s">
        <v>764</v>
      </c>
      <c r="Z434" s="209" t="s">
        <v>744</v>
      </c>
      <c r="AA434" s="237" t="s">
        <v>757</v>
      </c>
      <c r="AB434" s="231"/>
      <c r="AC434" s="231"/>
      <c r="AD434" s="231"/>
      <c r="AE434" s="231"/>
      <c r="AF434" s="231"/>
      <c r="AG434" s="231"/>
      <c r="AH434" s="231"/>
      <c r="AJ434" s="231"/>
      <c r="AK434" s="232"/>
      <c r="AL434" s="231"/>
      <c r="AM434" s="232"/>
      <c r="AN434" s="231"/>
      <c r="AO434" s="232"/>
      <c r="AP434" s="232"/>
      <c r="AQ434" s="232"/>
      <c r="AR434" s="232"/>
      <c r="AS434" s="232"/>
      <c r="AT434" s="232"/>
      <c r="AU434" s="232"/>
      <c r="AV434" s="232"/>
      <c r="AW434" s="231"/>
      <c r="AX434" s="231"/>
      <c r="AY434" s="231"/>
      <c r="AZ434" s="231"/>
      <c r="BA434" s="231"/>
      <c r="BB434" s="231"/>
      <c r="BC434" s="232"/>
      <c r="BD434" s="232"/>
      <c r="BE434" s="232"/>
      <c r="BF434" s="232"/>
      <c r="BG434" s="231"/>
      <c r="BH434" s="231"/>
      <c r="BI434" s="231"/>
      <c r="BJ434" s="231"/>
      <c r="BK434" s="231"/>
      <c r="BL434" s="231"/>
      <c r="BM434" s="232"/>
      <c r="BN434" s="232"/>
      <c r="BO434" s="232"/>
      <c r="BP434" s="232"/>
      <c r="BQ434" s="232"/>
      <c r="BR434" s="232"/>
      <c r="BS434" s="231"/>
      <c r="BT434" s="231"/>
      <c r="BU434" s="231"/>
      <c r="BV434" s="231"/>
      <c r="BW434" s="231"/>
      <c r="BX434" s="231"/>
      <c r="BY434" s="231"/>
      <c r="BZ434" s="231"/>
      <c r="CA434" s="231"/>
      <c r="CB434" s="231"/>
      <c r="CC434" s="231"/>
      <c r="CD434" s="231"/>
      <c r="CE434" s="232"/>
      <c r="CF434" s="232"/>
      <c r="CG434" s="232"/>
      <c r="CH434" s="231"/>
      <c r="CI434" s="232"/>
      <c r="CJ434" s="232"/>
      <c r="CK434" s="232"/>
      <c r="CL434" s="235"/>
      <c r="CM434" s="232"/>
      <c r="CN434" s="232"/>
      <c r="CO434" s="232"/>
      <c r="CP434" s="232"/>
      <c r="CQ434" s="232"/>
      <c r="CR434" s="232"/>
      <c r="CS434" s="232"/>
      <c r="CT434" s="232"/>
    </row>
    <row r="435" ht="24.0" customHeight="1">
      <c r="A435" s="184" t="s">
        <v>516</v>
      </c>
      <c r="B435" s="184" t="s">
        <v>2055</v>
      </c>
      <c r="C435" s="184" t="s">
        <v>678</v>
      </c>
      <c r="D435" s="184" t="s">
        <v>2431</v>
      </c>
      <c r="E435" s="186" t="s">
        <v>844</v>
      </c>
      <c r="F435" s="186" t="s">
        <v>2432</v>
      </c>
      <c r="G435" s="185">
        <v>4.0</v>
      </c>
      <c r="H435" s="209" t="s">
        <v>1284</v>
      </c>
      <c r="I435" s="209" t="s">
        <v>4035</v>
      </c>
      <c r="J435" s="209" t="s">
        <v>4036</v>
      </c>
      <c r="K435" s="209" t="s">
        <v>4037</v>
      </c>
      <c r="L435" s="209" t="s">
        <v>4038</v>
      </c>
      <c r="M435" s="209" t="s">
        <v>4039</v>
      </c>
      <c r="N435" s="209" t="s">
        <v>752</v>
      </c>
      <c r="O435" s="237" t="s">
        <v>753</v>
      </c>
      <c r="P435" s="190"/>
      <c r="Q435" s="190"/>
      <c r="R435" s="190"/>
      <c r="S435" s="190"/>
      <c r="T435" s="190"/>
      <c r="U435" s="210"/>
      <c r="V435" s="209" t="s">
        <v>4040</v>
      </c>
      <c r="W435" s="238" t="s">
        <v>4041</v>
      </c>
      <c r="X435" s="239" t="s">
        <v>4042</v>
      </c>
      <c r="Y435" s="209" t="s">
        <v>753</v>
      </c>
      <c r="Z435" s="209" t="s">
        <v>744</v>
      </c>
      <c r="AA435" s="237" t="s">
        <v>797</v>
      </c>
      <c r="AB435" s="231"/>
      <c r="AC435" s="231"/>
      <c r="AD435" s="231"/>
      <c r="AE435" s="231"/>
      <c r="AF435" s="231"/>
      <c r="AG435" s="231"/>
      <c r="AH435" s="231"/>
      <c r="AJ435" s="231"/>
      <c r="AK435" s="232"/>
      <c r="AL435" s="231"/>
      <c r="AM435" s="232"/>
      <c r="AN435" s="231"/>
      <c r="AO435" s="232"/>
      <c r="AP435" s="232"/>
      <c r="AQ435" s="232"/>
      <c r="AR435" s="232"/>
      <c r="AS435" s="232"/>
      <c r="AT435" s="232"/>
      <c r="AU435" s="232"/>
      <c r="AV435" s="232"/>
      <c r="AW435" s="231"/>
      <c r="AX435" s="231"/>
      <c r="AY435" s="231"/>
      <c r="AZ435" s="231"/>
      <c r="BA435" s="231"/>
      <c r="BB435" s="231"/>
      <c r="BC435" s="232"/>
      <c r="BD435" s="232"/>
      <c r="BE435" s="232"/>
      <c r="BF435" s="232"/>
      <c r="BG435" s="232"/>
      <c r="BH435" s="232"/>
      <c r="BI435" s="232"/>
      <c r="BJ435" s="232"/>
      <c r="BK435" s="232"/>
      <c r="BL435" s="232"/>
      <c r="BM435" s="232"/>
      <c r="BN435" s="232"/>
      <c r="BO435" s="232"/>
      <c r="BP435" s="232"/>
      <c r="BQ435" s="232"/>
      <c r="BR435" s="232"/>
      <c r="BS435" s="231"/>
      <c r="BT435" s="231"/>
      <c r="BU435" s="231"/>
      <c r="BV435" s="231"/>
      <c r="BW435" s="231"/>
      <c r="BX435" s="231"/>
      <c r="BY435" s="231"/>
      <c r="BZ435" s="232"/>
      <c r="CA435" s="231"/>
      <c r="CB435" s="231"/>
      <c r="CC435" s="231"/>
      <c r="CD435" s="231"/>
      <c r="CE435" s="232"/>
      <c r="CF435" s="232"/>
      <c r="CG435" s="232"/>
      <c r="CH435" s="231"/>
      <c r="CI435" s="232"/>
      <c r="CJ435" s="232"/>
      <c r="CK435" s="231"/>
      <c r="CL435" s="235"/>
      <c r="CM435" s="232"/>
      <c r="CN435" s="232"/>
      <c r="CO435" s="232"/>
      <c r="CP435" s="232"/>
      <c r="CQ435" s="232"/>
      <c r="CR435" s="232"/>
      <c r="CS435" s="232"/>
      <c r="CT435" s="232"/>
    </row>
    <row r="436" ht="24.0" customHeight="1">
      <c r="A436" s="184" t="s">
        <v>513</v>
      </c>
      <c r="B436" s="184" t="s">
        <v>2055</v>
      </c>
      <c r="C436" s="184" t="s">
        <v>678</v>
      </c>
      <c r="D436" s="184" t="s">
        <v>2431</v>
      </c>
      <c r="E436" s="186" t="s">
        <v>844</v>
      </c>
      <c r="F436" s="186" t="s">
        <v>2432</v>
      </c>
      <c r="G436" s="185">
        <v>5.0</v>
      </c>
      <c r="H436" s="209" t="s">
        <v>1875</v>
      </c>
      <c r="I436" s="209" t="s">
        <v>4043</v>
      </c>
      <c r="J436" s="209" t="s">
        <v>4044</v>
      </c>
      <c r="K436" s="209" t="s">
        <v>2474</v>
      </c>
      <c r="L436" s="209" t="s">
        <v>4045</v>
      </c>
      <c r="M436" s="209" t="s">
        <v>4046</v>
      </c>
      <c r="N436" s="209" t="s">
        <v>752</v>
      </c>
      <c r="O436" s="237" t="s">
        <v>893</v>
      </c>
      <c r="P436" s="237" t="s">
        <v>3940</v>
      </c>
      <c r="Q436" s="237" t="s">
        <v>4047</v>
      </c>
      <c r="R436" s="237" t="s">
        <v>4048</v>
      </c>
      <c r="S436" s="237" t="s">
        <v>4049</v>
      </c>
      <c r="T436" s="190"/>
      <c r="U436" s="210"/>
      <c r="V436" s="209" t="s">
        <v>4050</v>
      </c>
      <c r="W436" s="238" t="s">
        <v>4051</v>
      </c>
      <c r="X436" s="239" t="s">
        <v>4052</v>
      </c>
      <c r="Y436" s="209" t="s">
        <v>893</v>
      </c>
      <c r="Z436" s="209" t="s">
        <v>744</v>
      </c>
      <c r="AA436" s="237" t="s">
        <v>757</v>
      </c>
      <c r="AB436" s="231"/>
      <c r="AC436" s="231"/>
      <c r="AD436" s="231"/>
      <c r="AE436" s="231"/>
      <c r="AF436" s="231"/>
      <c r="AG436" s="231"/>
      <c r="AH436" s="231"/>
      <c r="AJ436" s="231"/>
      <c r="AK436" s="232"/>
      <c r="AL436" s="231"/>
      <c r="AM436" s="232"/>
      <c r="AN436" s="231"/>
      <c r="AO436" s="232"/>
      <c r="AP436" s="232"/>
      <c r="AQ436" s="232"/>
      <c r="AR436" s="232"/>
      <c r="AS436" s="232"/>
      <c r="AT436" s="232"/>
      <c r="AU436" s="232"/>
      <c r="AV436" s="232"/>
      <c r="AW436" s="231"/>
      <c r="AX436" s="231"/>
      <c r="AY436" s="231"/>
      <c r="AZ436" s="231"/>
      <c r="BA436" s="231"/>
      <c r="BB436" s="231"/>
      <c r="BC436" s="232"/>
      <c r="BD436" s="232"/>
      <c r="BE436" s="232"/>
      <c r="BF436" s="232"/>
      <c r="BG436" s="231"/>
      <c r="BH436" s="231"/>
      <c r="BI436" s="231"/>
      <c r="BJ436" s="231"/>
      <c r="BK436" s="231"/>
      <c r="BL436" s="231"/>
      <c r="BM436" s="231"/>
      <c r="BN436" s="231"/>
      <c r="BO436" s="232"/>
      <c r="BP436" s="232"/>
      <c r="BQ436" s="232"/>
      <c r="BR436" s="232"/>
      <c r="BS436" s="231"/>
      <c r="BT436" s="231"/>
      <c r="BU436" s="231"/>
      <c r="BV436" s="231"/>
      <c r="BW436" s="231"/>
      <c r="BX436" s="231"/>
      <c r="BY436" s="231"/>
      <c r="BZ436" s="232"/>
      <c r="CA436" s="231"/>
      <c r="CB436" s="231"/>
      <c r="CC436" s="231"/>
      <c r="CD436" s="231"/>
      <c r="CE436" s="232"/>
      <c r="CF436" s="232"/>
      <c r="CG436" s="232"/>
      <c r="CH436" s="231"/>
      <c r="CI436" s="232"/>
      <c r="CJ436" s="232"/>
      <c r="CK436" s="232"/>
      <c r="CL436" s="235"/>
      <c r="CM436" s="232"/>
      <c r="CN436" s="232"/>
      <c r="CO436" s="232"/>
      <c r="CP436" s="232"/>
      <c r="CQ436" s="232"/>
      <c r="CR436" s="232"/>
      <c r="CS436" s="232"/>
      <c r="CT436" s="232"/>
    </row>
    <row r="437" ht="24.0" customHeight="1">
      <c r="A437" s="184" t="s">
        <v>517</v>
      </c>
      <c r="B437" s="184" t="s">
        <v>2055</v>
      </c>
      <c r="C437" s="184" t="s">
        <v>678</v>
      </c>
      <c r="D437" s="184" t="s">
        <v>2431</v>
      </c>
      <c r="E437" s="186" t="s">
        <v>844</v>
      </c>
      <c r="F437" s="186" t="s">
        <v>2432</v>
      </c>
      <c r="G437" s="185">
        <v>6.0</v>
      </c>
      <c r="H437" s="209" t="s">
        <v>2338</v>
      </c>
      <c r="I437" s="209" t="s">
        <v>4053</v>
      </c>
      <c r="J437" s="209" t="s">
        <v>4054</v>
      </c>
      <c r="K437" s="209" t="s">
        <v>2059</v>
      </c>
      <c r="L437" s="209" t="s">
        <v>4055</v>
      </c>
      <c r="M437" s="209" t="s">
        <v>4056</v>
      </c>
      <c r="N437" s="209" t="s">
        <v>752</v>
      </c>
      <c r="O437" s="237" t="s">
        <v>764</v>
      </c>
      <c r="P437" s="190"/>
      <c r="Q437" s="190"/>
      <c r="R437" s="190"/>
      <c r="S437" s="190"/>
      <c r="T437" s="190"/>
      <c r="U437" s="210"/>
      <c r="V437" s="209" t="s">
        <v>4057</v>
      </c>
      <c r="W437" s="238" t="s">
        <v>766</v>
      </c>
      <c r="X437" s="239" t="s">
        <v>767</v>
      </c>
      <c r="Y437" s="209" t="s">
        <v>764</v>
      </c>
      <c r="Z437" s="209" t="s">
        <v>744</v>
      </c>
      <c r="AA437" s="237" t="s">
        <v>757</v>
      </c>
      <c r="AB437" s="231"/>
      <c r="AC437" s="231"/>
      <c r="AD437" s="231"/>
      <c r="AE437" s="231"/>
      <c r="AF437" s="231"/>
      <c r="AG437" s="231"/>
      <c r="AH437" s="231"/>
      <c r="AJ437" s="231"/>
      <c r="AK437" s="232"/>
      <c r="AL437" s="231"/>
      <c r="AM437" s="232"/>
      <c r="AN437" s="231"/>
      <c r="AO437" s="232"/>
      <c r="AP437" s="232"/>
      <c r="AQ437" s="232"/>
      <c r="AR437" s="232"/>
      <c r="AS437" s="232"/>
      <c r="AT437" s="232"/>
      <c r="AU437" s="232"/>
      <c r="AV437" s="232"/>
      <c r="AW437" s="231"/>
      <c r="AX437" s="231"/>
      <c r="AY437" s="231"/>
      <c r="AZ437" s="231"/>
      <c r="BA437" s="231"/>
      <c r="BB437" s="231"/>
      <c r="BC437" s="232"/>
      <c r="BD437" s="232"/>
      <c r="BE437" s="232"/>
      <c r="BF437" s="232"/>
      <c r="BG437" s="231"/>
      <c r="BH437" s="231"/>
      <c r="BI437" s="231"/>
      <c r="BJ437" s="231"/>
      <c r="BK437" s="231"/>
      <c r="BL437" s="231"/>
      <c r="BM437" s="232"/>
      <c r="BN437" s="232"/>
      <c r="BO437" s="232"/>
      <c r="BP437" s="232"/>
      <c r="BQ437" s="232"/>
      <c r="BR437" s="232"/>
      <c r="BS437" s="231"/>
      <c r="BT437" s="231"/>
      <c r="BU437" s="231"/>
      <c r="BV437" s="231"/>
      <c r="BW437" s="231"/>
      <c r="BX437" s="231"/>
      <c r="BY437" s="231"/>
      <c r="BZ437" s="231"/>
      <c r="CA437" s="231"/>
      <c r="CB437" s="231"/>
      <c r="CC437" s="231"/>
      <c r="CD437" s="231"/>
      <c r="CE437" s="232"/>
      <c r="CF437" s="232"/>
      <c r="CG437" s="232"/>
      <c r="CH437" s="231"/>
      <c r="CI437" s="232"/>
      <c r="CJ437" s="232"/>
      <c r="CK437" s="231"/>
      <c r="CL437" s="233"/>
      <c r="CM437" s="232"/>
      <c r="CN437" s="232"/>
      <c r="CO437" s="232"/>
      <c r="CP437" s="232"/>
      <c r="CQ437" s="232"/>
      <c r="CR437" s="232"/>
      <c r="CS437" s="232"/>
      <c r="CT437" s="232"/>
    </row>
    <row r="438" ht="24.0" customHeight="1">
      <c r="A438" s="184" t="s">
        <v>514</v>
      </c>
      <c r="B438" s="184" t="s">
        <v>2055</v>
      </c>
      <c r="C438" s="184" t="s">
        <v>678</v>
      </c>
      <c r="D438" s="184" t="s">
        <v>2431</v>
      </c>
      <c r="E438" s="186" t="s">
        <v>844</v>
      </c>
      <c r="F438" s="186" t="s">
        <v>2432</v>
      </c>
      <c r="G438" s="185">
        <v>7.0</v>
      </c>
      <c r="H438" s="209" t="s">
        <v>2913</v>
      </c>
      <c r="I438" s="209" t="s">
        <v>4058</v>
      </c>
      <c r="J438" s="209" t="s">
        <v>4059</v>
      </c>
      <c r="K438" s="209" t="s">
        <v>2474</v>
      </c>
      <c r="L438" s="209" t="s">
        <v>4060</v>
      </c>
      <c r="M438" s="209" t="s">
        <v>4061</v>
      </c>
      <c r="N438" s="209" t="s">
        <v>752</v>
      </c>
      <c r="O438" s="237" t="s">
        <v>893</v>
      </c>
      <c r="P438" s="190"/>
      <c r="Q438" s="190"/>
      <c r="R438" s="190"/>
      <c r="S438" s="190"/>
      <c r="T438" s="190"/>
      <c r="U438" s="210"/>
      <c r="V438" s="209" t="s">
        <v>4062</v>
      </c>
      <c r="W438" s="238" t="s">
        <v>2987</v>
      </c>
      <c r="X438" s="239" t="s">
        <v>4063</v>
      </c>
      <c r="Y438" s="209" t="s">
        <v>893</v>
      </c>
      <c r="Z438" s="209" t="s">
        <v>744</v>
      </c>
      <c r="AA438" s="237" t="s">
        <v>757</v>
      </c>
      <c r="AB438" s="231"/>
      <c r="AC438" s="231"/>
      <c r="AD438" s="231"/>
      <c r="AE438" s="231"/>
      <c r="AF438" s="231"/>
      <c r="AG438" s="231"/>
      <c r="AH438" s="231"/>
      <c r="AJ438" s="231"/>
      <c r="AK438" s="232"/>
      <c r="AL438" s="231"/>
      <c r="AM438" s="232"/>
      <c r="AN438" s="231"/>
      <c r="AO438" s="232"/>
      <c r="AP438" s="232"/>
      <c r="AQ438" s="232"/>
      <c r="AR438" s="232"/>
      <c r="AS438" s="232"/>
      <c r="AT438" s="232"/>
      <c r="AU438" s="232"/>
      <c r="AV438" s="232"/>
      <c r="AW438" s="231"/>
      <c r="AX438" s="231"/>
      <c r="AY438" s="231"/>
      <c r="AZ438" s="231"/>
      <c r="BA438" s="231"/>
      <c r="BB438" s="231"/>
      <c r="BC438" s="231"/>
      <c r="BD438" s="231"/>
      <c r="BE438" s="231"/>
      <c r="BF438" s="231"/>
      <c r="BG438" s="231"/>
      <c r="BH438" s="231"/>
      <c r="BI438" s="231"/>
      <c r="BJ438" s="231"/>
      <c r="BK438" s="231"/>
      <c r="BL438" s="231"/>
      <c r="BM438" s="231"/>
      <c r="BN438" s="231"/>
      <c r="BO438" s="232"/>
      <c r="BP438" s="232"/>
      <c r="BQ438" s="232"/>
      <c r="BR438" s="232"/>
      <c r="BS438" s="231"/>
      <c r="BT438" s="231"/>
      <c r="BU438" s="231"/>
      <c r="BV438" s="231"/>
      <c r="BW438" s="231"/>
      <c r="BX438" s="231"/>
      <c r="BY438" s="232"/>
      <c r="BZ438" s="231"/>
      <c r="CA438" s="231"/>
      <c r="CB438" s="231"/>
      <c r="CC438" s="231"/>
      <c r="CD438" s="231"/>
      <c r="CE438" s="232"/>
      <c r="CF438" s="232"/>
      <c r="CG438" s="232"/>
      <c r="CH438" s="231"/>
      <c r="CI438" s="232"/>
      <c r="CJ438" s="232"/>
      <c r="CK438" s="231"/>
      <c r="CL438" s="233"/>
      <c r="CM438" s="232"/>
      <c r="CN438" s="232"/>
      <c r="CO438" s="232"/>
      <c r="CP438" s="232"/>
      <c r="CQ438" s="232"/>
      <c r="CR438" s="232"/>
      <c r="CS438" s="232"/>
      <c r="CT438" s="232"/>
    </row>
    <row r="439" ht="24.0" customHeight="1">
      <c r="A439" s="184" t="s">
        <v>526</v>
      </c>
      <c r="B439" s="184" t="s">
        <v>2055</v>
      </c>
      <c r="C439" s="184" t="s">
        <v>679</v>
      </c>
      <c r="D439" s="184" t="s">
        <v>2431</v>
      </c>
      <c r="E439" s="186" t="s">
        <v>900</v>
      </c>
      <c r="F439" s="186" t="s">
        <v>2432</v>
      </c>
      <c r="G439" s="185">
        <v>8.0</v>
      </c>
      <c r="H439" s="209" t="s">
        <v>4040</v>
      </c>
      <c r="I439" s="209" t="s">
        <v>4064</v>
      </c>
      <c r="J439" s="209" t="s">
        <v>4065</v>
      </c>
      <c r="K439" s="209" t="s">
        <v>4066</v>
      </c>
      <c r="L439" s="209" t="s">
        <v>4067</v>
      </c>
      <c r="M439" s="209" t="s">
        <v>4068</v>
      </c>
      <c r="N439" s="209" t="s">
        <v>752</v>
      </c>
      <c r="O439" s="237" t="s">
        <v>893</v>
      </c>
      <c r="P439" s="237" t="s">
        <v>4069</v>
      </c>
      <c r="Q439" s="237" t="s">
        <v>1683</v>
      </c>
      <c r="R439" s="190"/>
      <c r="S439" s="190"/>
      <c r="T439" s="190"/>
      <c r="U439" s="210"/>
      <c r="V439" s="209" t="s">
        <v>4070</v>
      </c>
      <c r="W439" s="238" t="s">
        <v>4071</v>
      </c>
      <c r="X439" s="239" t="s">
        <v>1840</v>
      </c>
      <c r="Y439" s="209" t="s">
        <v>893</v>
      </c>
      <c r="Z439" s="209" t="s">
        <v>744</v>
      </c>
      <c r="AA439" s="237" t="s">
        <v>757</v>
      </c>
      <c r="AB439" s="231"/>
      <c r="AC439" s="231"/>
      <c r="AD439" s="231"/>
      <c r="AE439" s="231"/>
      <c r="AF439" s="231"/>
      <c r="AG439" s="231"/>
      <c r="AH439" s="231"/>
      <c r="AJ439" s="231"/>
      <c r="AK439" s="232"/>
      <c r="AL439" s="231"/>
      <c r="AM439" s="232"/>
      <c r="AN439" s="231"/>
      <c r="AO439" s="232"/>
      <c r="AP439" s="232"/>
      <c r="AQ439" s="232"/>
      <c r="AR439" s="232"/>
      <c r="AS439" s="232"/>
      <c r="AT439" s="232"/>
      <c r="AU439" s="232"/>
      <c r="AV439" s="232"/>
      <c r="AW439" s="231"/>
      <c r="AX439" s="231"/>
      <c r="AY439" s="231"/>
      <c r="AZ439" s="231"/>
      <c r="BA439" s="231"/>
      <c r="BB439" s="231"/>
      <c r="BC439" s="232"/>
      <c r="BD439" s="232"/>
      <c r="BE439" s="232"/>
      <c r="BF439" s="232"/>
      <c r="BG439" s="232"/>
      <c r="BH439" s="232"/>
      <c r="BI439" s="232"/>
      <c r="BJ439" s="232"/>
      <c r="BK439" s="232"/>
      <c r="BL439" s="232"/>
      <c r="BM439" s="232"/>
      <c r="BN439" s="232"/>
      <c r="BO439" s="232"/>
      <c r="BP439" s="232"/>
      <c r="BQ439" s="232"/>
      <c r="BR439" s="232"/>
      <c r="BS439" s="231"/>
      <c r="BT439" s="231"/>
      <c r="BU439" s="231"/>
      <c r="BV439" s="231"/>
      <c r="BW439" s="231"/>
      <c r="BX439" s="231"/>
      <c r="BY439" s="231"/>
      <c r="BZ439" s="231"/>
      <c r="CA439" s="231"/>
      <c r="CB439" s="231"/>
      <c r="CC439" s="231"/>
      <c r="CD439" s="231"/>
      <c r="CE439" s="232"/>
      <c r="CF439" s="232"/>
      <c r="CG439" s="232"/>
      <c r="CH439" s="231"/>
      <c r="CI439" s="232"/>
      <c r="CJ439" s="232"/>
      <c r="CK439" s="232"/>
      <c r="CL439" s="232"/>
      <c r="CM439" s="232"/>
      <c r="CN439" s="232"/>
      <c r="CO439" s="232"/>
      <c r="CP439" s="232"/>
      <c r="CQ439" s="232"/>
      <c r="CR439" s="232"/>
      <c r="CS439" s="232"/>
      <c r="CT439" s="232"/>
    </row>
    <row r="440" ht="24.0" customHeight="1">
      <c r="A440" s="184" t="s">
        <v>531</v>
      </c>
      <c r="B440" s="184" t="s">
        <v>2055</v>
      </c>
      <c r="C440" s="184" t="s">
        <v>679</v>
      </c>
      <c r="D440" s="184" t="s">
        <v>2431</v>
      </c>
      <c r="E440" s="186" t="s">
        <v>900</v>
      </c>
      <c r="F440" s="186" t="s">
        <v>2432</v>
      </c>
      <c r="G440" s="185">
        <v>9.0</v>
      </c>
      <c r="H440" s="209" t="s">
        <v>4072</v>
      </c>
      <c r="I440" s="209" t="s">
        <v>4073</v>
      </c>
      <c r="J440" s="209" t="s">
        <v>4074</v>
      </c>
      <c r="K440" s="209" t="s">
        <v>1685</v>
      </c>
      <c r="L440" s="209" t="s">
        <v>4075</v>
      </c>
      <c r="M440" s="209" t="s">
        <v>4076</v>
      </c>
      <c r="N440" s="209" t="s">
        <v>752</v>
      </c>
      <c r="O440" s="209" t="s">
        <v>753</v>
      </c>
      <c r="P440" s="209" t="s">
        <v>3283</v>
      </c>
      <c r="Q440" s="209" t="s">
        <v>4077</v>
      </c>
      <c r="R440" s="209" t="s">
        <v>3283</v>
      </c>
      <c r="S440" s="209" t="s">
        <v>768</v>
      </c>
      <c r="T440" s="210"/>
      <c r="U440" s="209" t="s">
        <v>4078</v>
      </c>
      <c r="V440" s="209" t="s">
        <v>4079</v>
      </c>
      <c r="W440" s="238" t="s">
        <v>775</v>
      </c>
      <c r="X440" s="239" t="s">
        <v>776</v>
      </c>
      <c r="Y440" s="209" t="s">
        <v>753</v>
      </c>
      <c r="Z440" s="209" t="s">
        <v>744</v>
      </c>
      <c r="AA440" s="237" t="s">
        <v>757</v>
      </c>
      <c r="AB440" s="231"/>
      <c r="AC440" s="231"/>
      <c r="AD440" s="231"/>
      <c r="AE440" s="231"/>
      <c r="AF440" s="231"/>
      <c r="AG440" s="231"/>
      <c r="AH440" s="231"/>
      <c r="AJ440" s="231"/>
      <c r="AK440" s="232"/>
      <c r="AL440" s="231"/>
      <c r="AM440" s="232"/>
      <c r="AN440" s="231"/>
      <c r="AO440" s="232"/>
      <c r="AP440" s="232"/>
      <c r="AQ440" s="232"/>
      <c r="AR440" s="232"/>
      <c r="AS440" s="232"/>
      <c r="AT440" s="232"/>
      <c r="AU440" s="232"/>
      <c r="AV440" s="232"/>
      <c r="AW440" s="231"/>
      <c r="AX440" s="231"/>
      <c r="AY440" s="231"/>
      <c r="AZ440" s="231"/>
      <c r="BA440" s="231"/>
      <c r="BB440" s="231"/>
      <c r="BC440" s="232"/>
      <c r="BD440" s="232"/>
      <c r="BE440" s="232"/>
      <c r="BF440" s="232"/>
      <c r="BG440" s="231"/>
      <c r="BH440" s="231"/>
      <c r="BI440" s="231"/>
      <c r="BJ440" s="231"/>
      <c r="BK440" s="231"/>
      <c r="BL440" s="231"/>
      <c r="BM440" s="231"/>
      <c r="BN440" s="231"/>
      <c r="BO440" s="231"/>
      <c r="BP440" s="231"/>
      <c r="BQ440" s="232"/>
      <c r="BR440" s="232"/>
      <c r="BS440" s="231"/>
      <c r="BT440" s="231"/>
      <c r="BU440" s="231"/>
      <c r="BV440" s="231"/>
      <c r="BW440" s="231"/>
      <c r="BX440" s="231"/>
      <c r="BY440" s="231"/>
      <c r="BZ440" s="231"/>
      <c r="CA440" s="231"/>
      <c r="CB440" s="231"/>
      <c r="CC440" s="231"/>
      <c r="CD440" s="231"/>
      <c r="CE440" s="232"/>
      <c r="CF440" s="232"/>
      <c r="CG440" s="232"/>
      <c r="CH440" s="231"/>
      <c r="CI440" s="232"/>
      <c r="CJ440" s="232"/>
      <c r="CK440" s="231"/>
      <c r="CL440" s="233"/>
      <c r="CM440" s="232"/>
      <c r="CN440" s="232"/>
      <c r="CO440" s="232"/>
      <c r="CP440" s="232"/>
      <c r="CQ440" s="232"/>
      <c r="CR440" s="232"/>
      <c r="CS440" s="232"/>
      <c r="CT440" s="232"/>
    </row>
    <row r="441" ht="24.0" customHeight="1">
      <c r="A441" s="184" t="s">
        <v>532</v>
      </c>
      <c r="B441" s="184" t="s">
        <v>2055</v>
      </c>
      <c r="C441" s="184" t="s">
        <v>679</v>
      </c>
      <c r="D441" s="184" t="s">
        <v>2431</v>
      </c>
      <c r="E441" s="186" t="s">
        <v>900</v>
      </c>
      <c r="F441" s="186" t="s">
        <v>2432</v>
      </c>
      <c r="G441" s="185">
        <v>10.0</v>
      </c>
      <c r="H441" s="209" t="s">
        <v>2644</v>
      </c>
      <c r="I441" s="209" t="s">
        <v>1116</v>
      </c>
      <c r="J441" s="209" t="s">
        <v>4080</v>
      </c>
      <c r="K441" s="209" t="s">
        <v>4081</v>
      </c>
      <c r="L441" s="209" t="s">
        <v>4082</v>
      </c>
      <c r="M441" s="209" t="s">
        <v>4083</v>
      </c>
      <c r="N441" s="209" t="s">
        <v>752</v>
      </c>
      <c r="O441" s="237" t="s">
        <v>764</v>
      </c>
      <c r="P441" s="237" t="s">
        <v>1572</v>
      </c>
      <c r="Q441" s="237" t="s">
        <v>1572</v>
      </c>
      <c r="R441" s="237" t="s">
        <v>1572</v>
      </c>
      <c r="S441" s="237" t="s">
        <v>1572</v>
      </c>
      <c r="T441" s="237" t="s">
        <v>1572</v>
      </c>
      <c r="U441" s="209" t="s">
        <v>1572</v>
      </c>
      <c r="V441" s="209" t="s">
        <v>2760</v>
      </c>
      <c r="W441" s="238" t="s">
        <v>4084</v>
      </c>
      <c r="X441" s="239" t="s">
        <v>2762</v>
      </c>
      <c r="Y441" s="209" t="s">
        <v>764</v>
      </c>
      <c r="Z441" s="209" t="s">
        <v>744</v>
      </c>
      <c r="AA441" s="237" t="s">
        <v>797</v>
      </c>
      <c r="AB441" s="231"/>
      <c r="AC441" s="231"/>
      <c r="AD441" s="231"/>
      <c r="AE441" s="231"/>
      <c r="AF441" s="231"/>
      <c r="AG441" s="231"/>
      <c r="AH441" s="231"/>
      <c r="AJ441" s="231"/>
      <c r="AK441" s="232"/>
      <c r="AL441" s="231"/>
      <c r="AM441" s="232"/>
      <c r="AN441" s="231"/>
      <c r="AO441" s="232"/>
      <c r="AP441" s="232"/>
      <c r="AQ441" s="232"/>
      <c r="AR441" s="232"/>
      <c r="AS441" s="232"/>
      <c r="AT441" s="232"/>
      <c r="AU441" s="232"/>
      <c r="AV441" s="232"/>
      <c r="AW441" s="231"/>
      <c r="AX441" s="231"/>
      <c r="AY441" s="231"/>
      <c r="AZ441" s="231"/>
      <c r="BA441" s="231"/>
      <c r="BB441" s="231"/>
      <c r="BC441" s="232"/>
      <c r="BD441" s="232"/>
      <c r="BE441" s="232"/>
      <c r="BF441" s="232"/>
      <c r="BG441" s="231"/>
      <c r="BH441" s="231"/>
      <c r="BI441" s="232"/>
      <c r="BJ441" s="232"/>
      <c r="BK441" s="232"/>
      <c r="BL441" s="232"/>
      <c r="BM441" s="232"/>
      <c r="BN441" s="232"/>
      <c r="BO441" s="232"/>
      <c r="BP441" s="232"/>
      <c r="BQ441" s="232"/>
      <c r="BR441" s="232"/>
      <c r="BS441" s="231"/>
      <c r="BT441" s="231"/>
      <c r="BU441" s="231"/>
      <c r="BV441" s="231"/>
      <c r="BW441" s="231"/>
      <c r="BX441" s="231"/>
      <c r="BY441" s="231"/>
      <c r="BZ441" s="232"/>
      <c r="CA441" s="231"/>
      <c r="CB441" s="231"/>
      <c r="CC441" s="231"/>
      <c r="CD441" s="231"/>
      <c r="CE441" s="232"/>
      <c r="CF441" s="232"/>
      <c r="CG441" s="232"/>
      <c r="CH441" s="231"/>
      <c r="CI441" s="232"/>
      <c r="CJ441" s="232"/>
      <c r="CK441" s="232"/>
      <c r="CL441" s="232"/>
      <c r="CM441" s="232"/>
      <c r="CN441" s="232"/>
      <c r="CO441" s="232"/>
      <c r="CP441" s="232"/>
      <c r="CQ441" s="232"/>
      <c r="CR441" s="232"/>
      <c r="CS441" s="232"/>
      <c r="CT441" s="232"/>
    </row>
    <row r="442" ht="24.0" customHeight="1">
      <c r="A442" s="184" t="s">
        <v>529</v>
      </c>
      <c r="B442" s="184" t="s">
        <v>2055</v>
      </c>
      <c r="C442" s="184" t="s">
        <v>679</v>
      </c>
      <c r="D442" s="184" t="s">
        <v>2431</v>
      </c>
      <c r="E442" s="186" t="s">
        <v>900</v>
      </c>
      <c r="F442" s="186" t="s">
        <v>2432</v>
      </c>
      <c r="G442" s="185">
        <v>11.0</v>
      </c>
      <c r="H442" s="209" t="s">
        <v>4085</v>
      </c>
      <c r="I442" s="209" t="s">
        <v>4086</v>
      </c>
      <c r="J442" s="209" t="s">
        <v>4087</v>
      </c>
      <c r="K442" s="209" t="s">
        <v>2059</v>
      </c>
      <c r="L442" s="209" t="s">
        <v>4088</v>
      </c>
      <c r="M442" s="210" t="s">
        <v>4089</v>
      </c>
      <c r="N442" s="209" t="s">
        <v>752</v>
      </c>
      <c r="O442" s="237" t="s">
        <v>764</v>
      </c>
      <c r="P442" s="190"/>
      <c r="Q442" s="190"/>
      <c r="R442" s="190"/>
      <c r="S442" s="190"/>
      <c r="T442" s="190"/>
      <c r="U442" s="210"/>
      <c r="V442" s="209" t="s">
        <v>4090</v>
      </c>
      <c r="W442" s="238" t="s">
        <v>4091</v>
      </c>
      <c r="X442" s="239" t="s">
        <v>4092</v>
      </c>
      <c r="Y442" s="209" t="s">
        <v>764</v>
      </c>
      <c r="Z442" s="209" t="s">
        <v>744</v>
      </c>
      <c r="AA442" s="237" t="s">
        <v>757</v>
      </c>
      <c r="AB442" s="231"/>
      <c r="AC442" s="231"/>
      <c r="AD442" s="231"/>
      <c r="AE442" s="231"/>
      <c r="AF442" s="231"/>
      <c r="AG442" s="231"/>
      <c r="AH442" s="231"/>
      <c r="AJ442" s="231"/>
      <c r="AK442" s="232"/>
      <c r="AL442" s="231"/>
      <c r="AM442" s="232"/>
      <c r="AN442" s="231"/>
      <c r="AO442" s="232"/>
      <c r="AP442" s="232"/>
      <c r="AQ442" s="232"/>
      <c r="AR442" s="232"/>
      <c r="AS442" s="232"/>
      <c r="AT442" s="232"/>
      <c r="AU442" s="232"/>
      <c r="AV442" s="232"/>
      <c r="AW442" s="231"/>
      <c r="AX442" s="231"/>
      <c r="AY442" s="231"/>
      <c r="AZ442" s="231"/>
      <c r="BA442" s="231"/>
      <c r="BB442" s="231"/>
      <c r="BC442" s="231"/>
      <c r="BD442" s="231"/>
      <c r="BE442" s="231"/>
      <c r="BF442" s="231"/>
      <c r="BG442" s="231"/>
      <c r="BH442" s="231"/>
      <c r="BI442" s="231"/>
      <c r="BJ442" s="231"/>
      <c r="BK442" s="231"/>
      <c r="BL442" s="231"/>
      <c r="BM442" s="231"/>
      <c r="BN442" s="231"/>
      <c r="BO442" s="232"/>
      <c r="BP442" s="232"/>
      <c r="BQ442" s="232"/>
      <c r="BR442" s="232"/>
      <c r="BS442" s="231"/>
      <c r="BT442" s="231"/>
      <c r="BU442" s="231"/>
      <c r="BV442" s="231"/>
      <c r="BW442" s="231"/>
      <c r="BX442" s="231"/>
      <c r="BY442" s="231"/>
      <c r="BZ442" s="232"/>
      <c r="CA442" s="231"/>
      <c r="CB442" s="231"/>
      <c r="CC442" s="231"/>
      <c r="CD442" s="231"/>
      <c r="CE442" s="232"/>
      <c r="CF442" s="232"/>
      <c r="CG442" s="232"/>
      <c r="CH442" s="231"/>
      <c r="CI442" s="232"/>
      <c r="CJ442" s="232"/>
      <c r="CK442" s="231"/>
      <c r="CL442" s="235"/>
      <c r="CM442" s="232"/>
      <c r="CN442" s="232"/>
      <c r="CO442" s="232"/>
      <c r="CP442" s="232"/>
      <c r="CQ442" s="232"/>
      <c r="CR442" s="232"/>
      <c r="CS442" s="232"/>
      <c r="CT442" s="232"/>
    </row>
    <row r="443" ht="24.0" customHeight="1">
      <c r="A443" s="184" t="s">
        <v>528</v>
      </c>
      <c r="B443" s="184" t="s">
        <v>2055</v>
      </c>
      <c r="C443" s="184" t="s">
        <v>679</v>
      </c>
      <c r="D443" s="184" t="s">
        <v>2431</v>
      </c>
      <c r="E443" s="186" t="s">
        <v>900</v>
      </c>
      <c r="F443" s="186" t="s">
        <v>2432</v>
      </c>
      <c r="G443" s="185">
        <v>12.0</v>
      </c>
      <c r="H443" s="209" t="s">
        <v>4093</v>
      </c>
      <c r="I443" s="209" t="s">
        <v>4094</v>
      </c>
      <c r="J443" s="209" t="s">
        <v>4095</v>
      </c>
      <c r="K443" s="209" t="s">
        <v>4096</v>
      </c>
      <c r="L443" s="209" t="s">
        <v>4097</v>
      </c>
      <c r="M443" s="209" t="s">
        <v>4098</v>
      </c>
      <c r="N443" s="209" t="s">
        <v>752</v>
      </c>
      <c r="O443" s="209" t="s">
        <v>784</v>
      </c>
      <c r="P443" s="209" t="s">
        <v>4099</v>
      </c>
      <c r="Q443" s="237" t="s">
        <v>4100</v>
      </c>
      <c r="R443" s="190"/>
      <c r="S443" s="190"/>
      <c r="T443" s="190"/>
      <c r="U443" s="210"/>
      <c r="V443" s="209" t="s">
        <v>4101</v>
      </c>
      <c r="W443" s="238" t="s">
        <v>1324</v>
      </c>
      <c r="X443" s="239" t="s">
        <v>1325</v>
      </c>
      <c r="Y443" s="209" t="s">
        <v>784</v>
      </c>
      <c r="Z443" s="209" t="s">
        <v>744</v>
      </c>
      <c r="AA443" s="237" t="s">
        <v>757</v>
      </c>
      <c r="AB443" s="231"/>
      <c r="AC443" s="231"/>
      <c r="AD443" s="231"/>
      <c r="AE443" s="231"/>
      <c r="AF443" s="231"/>
      <c r="AG443" s="231"/>
      <c r="AH443" s="231"/>
      <c r="AJ443" s="231"/>
      <c r="AK443" s="232"/>
      <c r="AL443" s="231"/>
      <c r="AM443" s="232"/>
      <c r="AN443" s="231"/>
      <c r="AO443" s="232"/>
      <c r="AP443" s="232"/>
      <c r="AQ443" s="232"/>
      <c r="AR443" s="232"/>
      <c r="AS443" s="232"/>
      <c r="AT443" s="232"/>
      <c r="AU443" s="232"/>
      <c r="AV443" s="232"/>
      <c r="AW443" s="231"/>
      <c r="AX443" s="231"/>
      <c r="AY443" s="231"/>
      <c r="AZ443" s="231"/>
      <c r="BA443" s="231"/>
      <c r="BB443" s="231"/>
      <c r="BC443" s="231"/>
      <c r="BD443" s="231"/>
      <c r="BE443" s="231"/>
      <c r="BF443" s="231"/>
      <c r="BG443" s="231"/>
      <c r="BH443" s="231"/>
      <c r="BI443" s="231"/>
      <c r="BJ443" s="231"/>
      <c r="BK443" s="232"/>
      <c r="BL443" s="232"/>
      <c r="BM443" s="232"/>
      <c r="BN443" s="232"/>
      <c r="BO443" s="232"/>
      <c r="BP443" s="232"/>
      <c r="BQ443" s="232"/>
      <c r="BR443" s="232"/>
      <c r="BS443" s="231"/>
      <c r="BT443" s="231"/>
      <c r="BU443" s="231"/>
      <c r="BV443" s="231"/>
      <c r="BW443" s="231"/>
      <c r="BX443" s="231"/>
      <c r="BY443" s="231"/>
      <c r="BZ443" s="232"/>
      <c r="CA443" s="231"/>
      <c r="CB443" s="231"/>
      <c r="CC443" s="231"/>
      <c r="CD443" s="231"/>
      <c r="CE443" s="232"/>
      <c r="CF443" s="232"/>
      <c r="CG443" s="232"/>
      <c r="CH443" s="231"/>
      <c r="CI443" s="232"/>
      <c r="CJ443" s="232"/>
      <c r="CK443" s="231"/>
      <c r="CL443" s="235"/>
      <c r="CM443" s="232"/>
      <c r="CN443" s="232"/>
      <c r="CO443" s="232"/>
      <c r="CP443" s="232"/>
      <c r="CQ443" s="232"/>
      <c r="CR443" s="232"/>
      <c r="CS443" s="232"/>
      <c r="CT443" s="232"/>
    </row>
    <row r="444" ht="24.0" customHeight="1">
      <c r="A444" s="184" t="s">
        <v>533</v>
      </c>
      <c r="B444" s="184" t="s">
        <v>2055</v>
      </c>
      <c r="C444" s="184" t="s">
        <v>679</v>
      </c>
      <c r="D444" s="184" t="s">
        <v>2431</v>
      </c>
      <c r="E444" s="186" t="s">
        <v>900</v>
      </c>
      <c r="F444" s="186" t="s">
        <v>2432</v>
      </c>
      <c r="G444" s="185">
        <v>13.0</v>
      </c>
      <c r="H444" s="237" t="s">
        <v>4102</v>
      </c>
      <c r="I444" s="209" t="s">
        <v>4103</v>
      </c>
      <c r="J444" s="209" t="s">
        <v>4104</v>
      </c>
      <c r="K444" s="237" t="s">
        <v>2059</v>
      </c>
      <c r="L444" s="237" t="s">
        <v>4105</v>
      </c>
      <c r="M444" s="209" t="s">
        <v>4106</v>
      </c>
      <c r="N444" s="209" t="s">
        <v>752</v>
      </c>
      <c r="O444" s="237" t="s">
        <v>764</v>
      </c>
      <c r="P444" s="190"/>
      <c r="Q444" s="190"/>
      <c r="R444" s="190"/>
      <c r="S444" s="190"/>
      <c r="T444" s="190"/>
      <c r="U444" s="190"/>
      <c r="V444" s="209" t="s">
        <v>2406</v>
      </c>
      <c r="W444" s="238" t="s">
        <v>4107</v>
      </c>
      <c r="X444" s="239" t="s">
        <v>4108</v>
      </c>
      <c r="Y444" s="209" t="s">
        <v>777</v>
      </c>
      <c r="Z444" s="209" t="s">
        <v>744</v>
      </c>
      <c r="AA444" s="237" t="s">
        <v>1296</v>
      </c>
      <c r="AB444" s="231"/>
      <c r="AC444" s="231"/>
      <c r="AD444" s="231"/>
      <c r="AE444" s="231"/>
      <c r="AF444" s="231"/>
      <c r="AG444" s="231"/>
      <c r="AH444" s="231"/>
      <c r="AJ444" s="231"/>
      <c r="AK444" s="232"/>
      <c r="AL444" s="231"/>
      <c r="AM444" s="232"/>
      <c r="AN444" s="231"/>
      <c r="AO444" s="232"/>
      <c r="AP444" s="232"/>
      <c r="AQ444" s="232"/>
      <c r="AR444" s="232"/>
      <c r="AS444" s="232"/>
      <c r="AT444" s="232"/>
      <c r="AU444" s="232"/>
      <c r="AV444" s="232"/>
      <c r="AW444" s="191"/>
      <c r="AX444" s="191"/>
      <c r="AY444" s="231"/>
      <c r="AZ444" s="231"/>
      <c r="BA444" s="231"/>
      <c r="BB444" s="231"/>
      <c r="BC444" s="232"/>
      <c r="BD444" s="232"/>
      <c r="BE444" s="232"/>
      <c r="BF444" s="232"/>
      <c r="BG444" s="231"/>
      <c r="BH444" s="231"/>
      <c r="BI444" s="231"/>
      <c r="BJ444" s="231"/>
      <c r="BK444" s="232"/>
      <c r="BL444" s="232"/>
      <c r="BM444" s="232"/>
      <c r="BN444" s="232"/>
      <c r="BO444" s="232"/>
      <c r="BP444" s="232"/>
      <c r="BQ444" s="232"/>
      <c r="BR444" s="232"/>
      <c r="BS444" s="191"/>
      <c r="BT444" s="231"/>
      <c r="BU444" s="231"/>
      <c r="BV444" s="231"/>
      <c r="BW444" s="231"/>
      <c r="BX444" s="231"/>
      <c r="BY444" s="231"/>
      <c r="BZ444" s="232"/>
      <c r="CA444" s="231"/>
      <c r="CB444" s="231"/>
      <c r="CC444" s="231"/>
      <c r="CD444" s="231"/>
      <c r="CE444" s="232"/>
      <c r="CF444" s="232"/>
      <c r="CG444" s="232"/>
      <c r="CH444" s="231"/>
      <c r="CI444" s="232"/>
      <c r="CJ444" s="232"/>
      <c r="CK444" s="232"/>
      <c r="CL444" s="232"/>
      <c r="CM444" s="232"/>
      <c r="CN444" s="232"/>
      <c r="CO444" s="232"/>
      <c r="CP444" s="232"/>
      <c r="CQ444" s="232"/>
      <c r="CR444" s="232"/>
      <c r="CS444" s="232"/>
      <c r="CT444" s="232"/>
    </row>
    <row r="445" ht="24.0" customHeight="1">
      <c r="A445" s="184" t="s">
        <v>527</v>
      </c>
      <c r="B445" s="184" t="s">
        <v>2055</v>
      </c>
      <c r="C445" s="184" t="s">
        <v>679</v>
      </c>
      <c r="D445" s="184" t="s">
        <v>2431</v>
      </c>
      <c r="E445" s="186" t="s">
        <v>900</v>
      </c>
      <c r="F445" s="186" t="s">
        <v>2432</v>
      </c>
      <c r="G445" s="185">
        <v>14.0</v>
      </c>
      <c r="H445" s="209" t="s">
        <v>4109</v>
      </c>
      <c r="I445" s="209" t="s">
        <v>4110</v>
      </c>
      <c r="J445" s="209" t="s">
        <v>4111</v>
      </c>
      <c r="K445" s="209" t="s">
        <v>4112</v>
      </c>
      <c r="L445" s="209" t="s">
        <v>4113</v>
      </c>
      <c r="M445" s="209" t="s">
        <v>4114</v>
      </c>
      <c r="N445" s="209" t="s">
        <v>752</v>
      </c>
      <c r="O445" s="209" t="s">
        <v>764</v>
      </c>
      <c r="P445" s="210"/>
      <c r="Q445" s="190"/>
      <c r="R445" s="190"/>
      <c r="S445" s="190"/>
      <c r="T445" s="190"/>
      <c r="U445" s="210"/>
      <c r="V445" s="209" t="s">
        <v>1323</v>
      </c>
      <c r="W445" s="238" t="s">
        <v>1324</v>
      </c>
      <c r="X445" s="239" t="s">
        <v>1325</v>
      </c>
      <c r="Y445" s="209" t="s">
        <v>784</v>
      </c>
      <c r="Z445" s="237" t="s">
        <v>744</v>
      </c>
      <c r="AA445" s="237" t="s">
        <v>797</v>
      </c>
      <c r="AB445" s="231"/>
      <c r="AC445" s="231"/>
      <c r="AD445" s="231"/>
      <c r="AE445" s="231"/>
      <c r="AF445" s="231"/>
      <c r="AG445" s="231"/>
      <c r="AH445" s="231"/>
      <c r="AJ445" s="231"/>
      <c r="AK445" s="232"/>
      <c r="AL445" s="231"/>
      <c r="AM445" s="232"/>
      <c r="AN445" s="231"/>
      <c r="AO445" s="232"/>
      <c r="AP445" s="232"/>
      <c r="AQ445" s="232"/>
      <c r="AR445" s="232"/>
      <c r="AS445" s="232"/>
      <c r="AT445" s="232"/>
      <c r="AU445" s="232"/>
      <c r="AV445" s="232"/>
      <c r="AW445" s="231"/>
      <c r="AX445" s="231"/>
      <c r="AY445" s="231"/>
      <c r="AZ445" s="231"/>
      <c r="BA445" s="231"/>
      <c r="BB445" s="231"/>
      <c r="BC445" s="232"/>
      <c r="BD445" s="232"/>
      <c r="BE445" s="232"/>
      <c r="BF445" s="232"/>
      <c r="BG445" s="231"/>
      <c r="BH445" s="231"/>
      <c r="BI445" s="232"/>
      <c r="BJ445" s="232"/>
      <c r="BK445" s="232"/>
      <c r="BL445" s="232"/>
      <c r="BM445" s="232"/>
      <c r="BN445" s="232"/>
      <c r="BO445" s="232"/>
      <c r="BP445" s="232"/>
      <c r="BQ445" s="232"/>
      <c r="BR445" s="232"/>
      <c r="BS445" s="231"/>
      <c r="BT445" s="231"/>
      <c r="BU445" s="231"/>
      <c r="BV445" s="231"/>
      <c r="BW445" s="231"/>
      <c r="BX445" s="231"/>
      <c r="BY445" s="231"/>
      <c r="BZ445" s="231"/>
      <c r="CA445" s="231"/>
      <c r="CB445" s="231"/>
      <c r="CC445" s="231"/>
      <c r="CD445" s="231"/>
      <c r="CE445" s="232"/>
      <c r="CF445" s="232"/>
      <c r="CG445" s="232"/>
      <c r="CH445" s="231"/>
      <c r="CI445" s="232"/>
      <c r="CJ445" s="231"/>
      <c r="CK445" s="232"/>
      <c r="CL445" s="232"/>
      <c r="CM445" s="232"/>
      <c r="CN445" s="232"/>
      <c r="CO445" s="232"/>
      <c r="CP445" s="232"/>
      <c r="CQ445" s="232"/>
      <c r="CR445" s="232"/>
      <c r="CS445" s="232"/>
      <c r="CT445" s="232"/>
    </row>
    <row r="446" ht="24.0" customHeight="1">
      <c r="A446" s="184" t="s">
        <v>530</v>
      </c>
      <c r="B446" s="184" t="s">
        <v>2055</v>
      </c>
      <c r="C446" s="184" t="s">
        <v>679</v>
      </c>
      <c r="D446" s="184" t="s">
        <v>2431</v>
      </c>
      <c r="E446" s="186" t="s">
        <v>900</v>
      </c>
      <c r="F446" s="186" t="s">
        <v>2432</v>
      </c>
      <c r="G446" s="185">
        <v>15.0</v>
      </c>
      <c r="H446" s="209" t="s">
        <v>4115</v>
      </c>
      <c r="I446" s="209" t="s">
        <v>4116</v>
      </c>
      <c r="J446" s="209" t="s">
        <v>4117</v>
      </c>
      <c r="K446" s="209" t="s">
        <v>4118</v>
      </c>
      <c r="L446" s="209" t="s">
        <v>4119</v>
      </c>
      <c r="M446" s="209" t="s">
        <v>4120</v>
      </c>
      <c r="N446" s="209" t="s">
        <v>752</v>
      </c>
      <c r="O446" s="237" t="s">
        <v>893</v>
      </c>
      <c r="P446" s="190"/>
      <c r="Q446" s="190"/>
      <c r="R446" s="190"/>
      <c r="S446" s="190"/>
      <c r="T446" s="190"/>
      <c r="U446" s="210"/>
      <c r="V446" s="209" t="s">
        <v>4121</v>
      </c>
      <c r="W446" s="238" t="s">
        <v>937</v>
      </c>
      <c r="X446" s="239" t="s">
        <v>938</v>
      </c>
      <c r="Y446" s="209" t="s">
        <v>893</v>
      </c>
      <c r="Z446" s="209" t="s">
        <v>744</v>
      </c>
      <c r="AA446" s="237" t="s">
        <v>757</v>
      </c>
      <c r="AB446" s="231"/>
      <c r="AC446" s="231"/>
      <c r="AD446" s="231"/>
      <c r="AE446" s="231"/>
      <c r="AF446" s="231"/>
      <c r="AG446" s="231"/>
      <c r="AH446" s="231"/>
      <c r="AJ446" s="231"/>
      <c r="AK446" s="232"/>
      <c r="AL446" s="231"/>
      <c r="AM446" s="232"/>
      <c r="AN446" s="231"/>
      <c r="AO446" s="232"/>
      <c r="AP446" s="232"/>
      <c r="AQ446" s="232"/>
      <c r="AR446" s="232"/>
      <c r="AS446" s="232"/>
      <c r="AT446" s="232"/>
      <c r="AU446" s="232"/>
      <c r="AV446" s="232"/>
      <c r="AW446" s="231"/>
      <c r="AX446" s="231"/>
      <c r="AY446" s="231"/>
      <c r="AZ446" s="231"/>
      <c r="BA446" s="231"/>
      <c r="BB446" s="231"/>
      <c r="BC446" s="232"/>
      <c r="BD446" s="232"/>
      <c r="BE446" s="232"/>
      <c r="BF446" s="232"/>
      <c r="BG446" s="231"/>
      <c r="BH446" s="231"/>
      <c r="BI446" s="231"/>
      <c r="BJ446" s="231"/>
      <c r="BK446" s="232"/>
      <c r="BL446" s="232"/>
      <c r="BM446" s="232"/>
      <c r="BN446" s="232"/>
      <c r="BO446" s="232"/>
      <c r="BP446" s="232"/>
      <c r="BQ446" s="232"/>
      <c r="BR446" s="232"/>
      <c r="BS446" s="231"/>
      <c r="BT446" s="231"/>
      <c r="BU446" s="231"/>
      <c r="BV446" s="231"/>
      <c r="BW446" s="231"/>
      <c r="BX446" s="231"/>
      <c r="BY446" s="231"/>
      <c r="BZ446" s="232"/>
      <c r="CA446" s="231"/>
      <c r="CB446" s="231"/>
      <c r="CC446" s="231"/>
      <c r="CD446" s="231"/>
      <c r="CE446" s="232"/>
      <c r="CF446" s="232"/>
      <c r="CG446" s="232"/>
      <c r="CH446" s="231"/>
      <c r="CI446" s="232"/>
      <c r="CJ446" s="232"/>
      <c r="CK446" s="232"/>
      <c r="CL446" s="232"/>
      <c r="CM446" s="232"/>
      <c r="CN446" s="232"/>
      <c r="CO446" s="232"/>
      <c r="CP446" s="232"/>
      <c r="CQ446" s="232"/>
      <c r="CR446" s="232"/>
      <c r="CS446" s="232"/>
      <c r="CT446" s="232"/>
    </row>
    <row r="447" ht="24.0" customHeight="1">
      <c r="A447" s="184" t="s">
        <v>535</v>
      </c>
      <c r="B447" s="184" t="s">
        <v>2055</v>
      </c>
      <c r="C447" s="184" t="s">
        <v>680</v>
      </c>
      <c r="D447" s="184" t="s">
        <v>2431</v>
      </c>
      <c r="E447" s="186" t="s">
        <v>946</v>
      </c>
      <c r="F447" s="186" t="s">
        <v>2432</v>
      </c>
      <c r="G447" s="185">
        <v>16.0</v>
      </c>
      <c r="H447" s="209" t="s">
        <v>4122</v>
      </c>
      <c r="I447" s="209" t="s">
        <v>4123</v>
      </c>
      <c r="J447" s="209" t="s">
        <v>4124</v>
      </c>
      <c r="K447" s="209" t="s">
        <v>4125</v>
      </c>
      <c r="L447" s="209" t="s">
        <v>4126</v>
      </c>
      <c r="M447" s="209" t="s">
        <v>4127</v>
      </c>
      <c r="N447" s="209" t="s">
        <v>752</v>
      </c>
      <c r="O447" s="237" t="s">
        <v>764</v>
      </c>
      <c r="P447" s="190"/>
      <c r="Q447" s="190"/>
      <c r="R447" s="190"/>
      <c r="S447" s="190"/>
      <c r="T447" s="190"/>
      <c r="U447" s="210"/>
      <c r="V447" s="209" t="s">
        <v>2580</v>
      </c>
      <c r="W447" s="238" t="s">
        <v>4128</v>
      </c>
      <c r="X447" s="239" t="s">
        <v>2582</v>
      </c>
      <c r="Y447" s="209" t="s">
        <v>764</v>
      </c>
      <c r="Z447" s="209" t="s">
        <v>946</v>
      </c>
      <c r="AA447" s="237" t="s">
        <v>757</v>
      </c>
      <c r="AB447" s="231"/>
      <c r="AC447" s="231"/>
      <c r="AD447" s="231"/>
      <c r="AE447" s="231"/>
      <c r="AF447" s="231"/>
      <c r="AG447" s="231"/>
      <c r="AH447" s="231"/>
      <c r="AJ447" s="231"/>
      <c r="AK447" s="232"/>
      <c r="AL447" s="231"/>
      <c r="AM447" s="232"/>
      <c r="AN447" s="231"/>
      <c r="AO447" s="232"/>
      <c r="AP447" s="232"/>
      <c r="AQ447" s="232"/>
      <c r="AR447" s="232"/>
      <c r="AS447" s="232"/>
      <c r="AT447" s="232"/>
      <c r="AU447" s="232"/>
      <c r="AV447" s="232"/>
      <c r="AW447" s="231"/>
      <c r="AX447" s="231"/>
      <c r="AY447" s="231"/>
      <c r="AZ447" s="231"/>
      <c r="BA447" s="231"/>
      <c r="BB447" s="231"/>
      <c r="BC447" s="232"/>
      <c r="BD447" s="232"/>
      <c r="BE447" s="232"/>
      <c r="BF447" s="232"/>
      <c r="BG447" s="231"/>
      <c r="BH447" s="231"/>
      <c r="BI447" s="231"/>
      <c r="BJ447" s="231"/>
      <c r="BK447" s="232"/>
      <c r="BL447" s="232"/>
      <c r="BM447" s="232"/>
      <c r="BN447" s="232"/>
      <c r="BO447" s="232"/>
      <c r="BP447" s="232"/>
      <c r="BQ447" s="232"/>
      <c r="BR447" s="232"/>
      <c r="BS447" s="231"/>
      <c r="BT447" s="231"/>
      <c r="BU447" s="231"/>
      <c r="BV447" s="231"/>
      <c r="BW447" s="231"/>
      <c r="BX447" s="231"/>
      <c r="BY447" s="231"/>
      <c r="BZ447" s="232"/>
      <c r="CA447" s="231"/>
      <c r="CB447" s="231"/>
      <c r="CC447" s="231"/>
      <c r="CD447" s="231"/>
      <c r="CE447" s="232"/>
      <c r="CF447" s="232"/>
      <c r="CG447" s="232"/>
      <c r="CH447" s="231"/>
      <c r="CI447" s="232"/>
      <c r="CJ447" s="232"/>
      <c r="CK447" s="232"/>
      <c r="CL447" s="232"/>
      <c r="CM447" s="232"/>
      <c r="CN447" s="232"/>
      <c r="CO447" s="232"/>
      <c r="CP447" s="232"/>
      <c r="CQ447" s="232"/>
      <c r="CR447" s="232"/>
      <c r="CS447" s="232"/>
      <c r="CT447" s="232"/>
    </row>
    <row r="448" ht="24.0" customHeight="1">
      <c r="A448" s="184" t="s">
        <v>538</v>
      </c>
      <c r="B448" s="184" t="s">
        <v>2055</v>
      </c>
      <c r="C448" s="184" t="s">
        <v>680</v>
      </c>
      <c r="D448" s="184" t="s">
        <v>2431</v>
      </c>
      <c r="E448" s="186" t="s">
        <v>946</v>
      </c>
      <c r="F448" s="186" t="s">
        <v>2432</v>
      </c>
      <c r="G448" s="185">
        <v>17.0</v>
      </c>
      <c r="H448" s="209" t="s">
        <v>4129</v>
      </c>
      <c r="I448" s="209" t="s">
        <v>4130</v>
      </c>
      <c r="J448" s="209" t="s">
        <v>4131</v>
      </c>
      <c r="K448" s="209" t="s">
        <v>4132</v>
      </c>
      <c r="L448" s="209" t="s">
        <v>4133</v>
      </c>
      <c r="M448" s="209" t="s">
        <v>4134</v>
      </c>
      <c r="N448" s="209" t="s">
        <v>752</v>
      </c>
      <c r="O448" s="237" t="s">
        <v>764</v>
      </c>
      <c r="P448" s="190"/>
      <c r="Q448" s="190"/>
      <c r="R448" s="190"/>
      <c r="S448" s="190"/>
      <c r="T448" s="190"/>
      <c r="U448" s="210"/>
      <c r="V448" s="209" t="s">
        <v>4135</v>
      </c>
      <c r="W448" s="238" t="s">
        <v>949</v>
      </c>
      <c r="X448" s="239" t="s">
        <v>950</v>
      </c>
      <c r="Y448" s="209" t="s">
        <v>764</v>
      </c>
      <c r="Z448" s="209" t="s">
        <v>946</v>
      </c>
      <c r="AA448" s="237" t="s">
        <v>757</v>
      </c>
      <c r="AB448" s="231"/>
      <c r="AC448" s="231"/>
      <c r="AD448" s="231"/>
      <c r="AE448" s="231"/>
      <c r="AF448" s="231"/>
      <c r="AG448" s="231"/>
      <c r="AH448" s="231"/>
      <c r="AJ448" s="231"/>
      <c r="AK448" s="232"/>
      <c r="AL448" s="231"/>
      <c r="AM448" s="232"/>
      <c r="AN448" s="231"/>
      <c r="AO448" s="232"/>
      <c r="AP448" s="232"/>
      <c r="AQ448" s="232"/>
      <c r="AR448" s="232"/>
      <c r="AS448" s="232"/>
      <c r="AT448" s="232"/>
      <c r="AU448" s="232"/>
      <c r="AV448" s="232"/>
      <c r="AW448" s="231"/>
      <c r="AX448" s="231"/>
      <c r="AY448" s="231"/>
      <c r="AZ448" s="231"/>
      <c r="BA448" s="231"/>
      <c r="BB448" s="231"/>
      <c r="BC448" s="232"/>
      <c r="BD448" s="232"/>
      <c r="BE448" s="232"/>
      <c r="BF448" s="232"/>
      <c r="BG448" s="231"/>
      <c r="BH448" s="231"/>
      <c r="BI448" s="231"/>
      <c r="BJ448" s="231"/>
      <c r="BK448" s="232"/>
      <c r="BL448" s="232"/>
      <c r="BM448" s="232"/>
      <c r="BN448" s="232"/>
      <c r="BO448" s="232"/>
      <c r="BP448" s="232"/>
      <c r="BQ448" s="232"/>
      <c r="BR448" s="232"/>
      <c r="BS448" s="231"/>
      <c r="BT448" s="231"/>
      <c r="BU448" s="231"/>
      <c r="BV448" s="231"/>
      <c r="BW448" s="231"/>
      <c r="BX448" s="231"/>
      <c r="BY448" s="231"/>
      <c r="BZ448" s="232"/>
      <c r="CA448" s="231"/>
      <c r="CB448" s="231"/>
      <c r="CC448" s="231"/>
      <c r="CD448" s="231"/>
      <c r="CE448" s="232"/>
      <c r="CF448" s="232"/>
      <c r="CG448" s="232"/>
      <c r="CH448" s="231"/>
      <c r="CI448" s="232"/>
      <c r="CJ448" s="232"/>
      <c r="CK448" s="232"/>
      <c r="CL448" s="232"/>
      <c r="CM448" s="232"/>
      <c r="CN448" s="232"/>
      <c r="CO448" s="232"/>
      <c r="CP448" s="232"/>
      <c r="CQ448" s="232"/>
      <c r="CR448" s="232"/>
      <c r="CS448" s="232"/>
      <c r="CT448" s="232"/>
    </row>
    <row r="449" ht="24.0" customHeight="1">
      <c r="A449" s="184" t="s">
        <v>537</v>
      </c>
      <c r="B449" s="184" t="s">
        <v>2055</v>
      </c>
      <c r="C449" s="184" t="s">
        <v>680</v>
      </c>
      <c r="D449" s="184" t="s">
        <v>2431</v>
      </c>
      <c r="E449" s="186" t="s">
        <v>946</v>
      </c>
      <c r="F449" s="186" t="s">
        <v>2432</v>
      </c>
      <c r="G449" s="185">
        <v>18.0</v>
      </c>
      <c r="H449" s="209" t="s">
        <v>3588</v>
      </c>
      <c r="I449" s="209" t="s">
        <v>4136</v>
      </c>
      <c r="J449" s="209" t="s">
        <v>4137</v>
      </c>
      <c r="K449" s="209" t="s">
        <v>4138</v>
      </c>
      <c r="L449" s="209" t="s">
        <v>4139</v>
      </c>
      <c r="M449" s="209" t="s">
        <v>4140</v>
      </c>
      <c r="N449" s="209" t="s">
        <v>752</v>
      </c>
      <c r="O449" s="209" t="s">
        <v>764</v>
      </c>
      <c r="P449" s="190"/>
      <c r="Q449" s="190"/>
      <c r="R449" s="190"/>
      <c r="S449" s="190"/>
      <c r="T449" s="190"/>
      <c r="U449" s="210"/>
      <c r="V449" s="209" t="s">
        <v>4141</v>
      </c>
      <c r="W449" s="238" t="s">
        <v>4142</v>
      </c>
      <c r="X449" s="239" t="s">
        <v>4143</v>
      </c>
      <c r="Y449" s="209" t="s">
        <v>764</v>
      </c>
      <c r="Z449" s="209" t="s">
        <v>946</v>
      </c>
      <c r="AA449" s="237" t="s">
        <v>797</v>
      </c>
      <c r="AB449" s="231"/>
      <c r="AC449" s="231"/>
      <c r="AD449" s="231"/>
      <c r="AE449" s="231"/>
      <c r="AF449" s="231"/>
      <c r="AG449" s="231"/>
      <c r="AH449" s="231"/>
      <c r="AJ449" s="231"/>
      <c r="AK449" s="232"/>
      <c r="AL449" s="231"/>
      <c r="AM449" s="232"/>
      <c r="AN449" s="231"/>
      <c r="AO449" s="232"/>
      <c r="AP449" s="232"/>
      <c r="AQ449" s="232"/>
      <c r="AR449" s="232"/>
      <c r="AS449" s="232"/>
      <c r="AT449" s="232"/>
      <c r="AU449" s="232"/>
      <c r="AV449" s="232"/>
      <c r="AW449" s="231"/>
      <c r="AX449" s="231"/>
      <c r="AY449" s="231"/>
      <c r="AZ449" s="231"/>
      <c r="BA449" s="231"/>
      <c r="BB449" s="231"/>
      <c r="BC449" s="232"/>
      <c r="BD449" s="232"/>
      <c r="BE449" s="232"/>
      <c r="BF449" s="232"/>
      <c r="BG449" s="231"/>
      <c r="BH449" s="231"/>
      <c r="BI449" s="231"/>
      <c r="BJ449" s="231"/>
      <c r="BK449" s="232"/>
      <c r="BL449" s="232"/>
      <c r="BM449" s="232"/>
      <c r="BN449" s="232"/>
      <c r="BO449" s="232"/>
      <c r="BP449" s="232"/>
      <c r="BQ449" s="232"/>
      <c r="BR449" s="232"/>
      <c r="BS449" s="231"/>
      <c r="BT449" s="231"/>
      <c r="BU449" s="231"/>
      <c r="BV449" s="231"/>
      <c r="BW449" s="231"/>
      <c r="BX449" s="231"/>
      <c r="BY449" s="231"/>
      <c r="BZ449" s="232"/>
      <c r="CA449" s="231"/>
      <c r="CB449" s="231"/>
      <c r="CC449" s="231"/>
      <c r="CD449" s="231"/>
      <c r="CE449" s="232"/>
      <c r="CF449" s="232"/>
      <c r="CG449" s="232"/>
      <c r="CH449" s="231"/>
      <c r="CI449" s="232"/>
      <c r="CJ449" s="232"/>
      <c r="CK449" s="232"/>
      <c r="CL449" s="232"/>
      <c r="CM449" s="232"/>
      <c r="CN449" s="232"/>
      <c r="CO449" s="232"/>
      <c r="CP449" s="232"/>
      <c r="CQ449" s="232"/>
      <c r="CR449" s="232"/>
      <c r="CS449" s="232"/>
      <c r="CT449" s="232"/>
    </row>
    <row r="450" ht="24.0" customHeight="1">
      <c r="A450" s="184" t="s">
        <v>539</v>
      </c>
      <c r="B450" s="184" t="s">
        <v>2055</v>
      </c>
      <c r="C450" s="184" t="s">
        <v>680</v>
      </c>
      <c r="D450" s="184" t="s">
        <v>2431</v>
      </c>
      <c r="E450" s="186" t="s">
        <v>946</v>
      </c>
      <c r="F450" s="186" t="s">
        <v>2432</v>
      </c>
      <c r="G450" s="185">
        <v>19.0</v>
      </c>
      <c r="H450" s="209" t="s">
        <v>3146</v>
      </c>
      <c r="I450" s="209" t="s">
        <v>4144</v>
      </c>
      <c r="J450" s="209" t="s">
        <v>4145</v>
      </c>
      <c r="K450" s="209" t="s">
        <v>4146</v>
      </c>
      <c r="L450" s="209" t="s">
        <v>4147</v>
      </c>
      <c r="M450" s="209" t="s">
        <v>4148</v>
      </c>
      <c r="N450" s="209" t="s">
        <v>752</v>
      </c>
      <c r="O450" s="209" t="s">
        <v>764</v>
      </c>
      <c r="P450" s="237" t="s">
        <v>2370</v>
      </c>
      <c r="Q450" s="237" t="s">
        <v>2370</v>
      </c>
      <c r="R450" s="237" t="s">
        <v>2370</v>
      </c>
      <c r="S450" s="237" t="s">
        <v>2370</v>
      </c>
      <c r="T450" s="237" t="s">
        <v>2370</v>
      </c>
      <c r="U450" s="209" t="s">
        <v>2370</v>
      </c>
      <c r="V450" s="209" t="s">
        <v>4149</v>
      </c>
      <c r="W450" s="238" t="s">
        <v>1342</v>
      </c>
      <c r="X450" s="239" t="s">
        <v>4150</v>
      </c>
      <c r="Y450" s="209" t="s">
        <v>764</v>
      </c>
      <c r="Z450" s="209" t="s">
        <v>946</v>
      </c>
      <c r="AA450" s="237" t="s">
        <v>757</v>
      </c>
      <c r="AB450" s="231"/>
      <c r="AC450" s="231"/>
      <c r="AD450" s="231"/>
      <c r="AE450" s="231"/>
      <c r="AF450" s="231"/>
      <c r="AG450" s="231"/>
      <c r="AH450" s="231"/>
      <c r="AJ450" s="231"/>
      <c r="AK450" s="232"/>
      <c r="AL450" s="231"/>
      <c r="AM450" s="232"/>
      <c r="AN450" s="231"/>
      <c r="AO450" s="232"/>
      <c r="AP450" s="232"/>
      <c r="AQ450" s="232"/>
      <c r="AR450" s="232"/>
      <c r="AS450" s="232"/>
      <c r="AT450" s="232"/>
      <c r="AU450" s="232"/>
      <c r="AV450" s="232"/>
      <c r="AW450" s="231"/>
      <c r="AX450" s="231"/>
      <c r="AY450" s="231"/>
      <c r="AZ450" s="231"/>
      <c r="BA450" s="231"/>
      <c r="BB450" s="231"/>
      <c r="BC450" s="232"/>
      <c r="BD450" s="232"/>
      <c r="BE450" s="232"/>
      <c r="BF450" s="232"/>
      <c r="BG450" s="231"/>
      <c r="BH450" s="231"/>
      <c r="BI450" s="231"/>
      <c r="BJ450" s="231"/>
      <c r="BK450" s="232"/>
      <c r="BL450" s="232"/>
      <c r="BM450" s="232"/>
      <c r="BN450" s="232"/>
      <c r="BO450" s="232"/>
      <c r="BP450" s="232"/>
      <c r="BQ450" s="232"/>
      <c r="BR450" s="232"/>
      <c r="BS450" s="231"/>
      <c r="BT450" s="231"/>
      <c r="BU450" s="231"/>
      <c r="BV450" s="231"/>
      <c r="BW450" s="231"/>
      <c r="BX450" s="231"/>
      <c r="BY450" s="231"/>
      <c r="BZ450" s="232"/>
      <c r="CA450" s="231"/>
      <c r="CB450" s="231"/>
      <c r="CC450" s="231"/>
      <c r="CD450" s="231"/>
      <c r="CE450" s="232"/>
      <c r="CF450" s="232"/>
      <c r="CG450" s="232"/>
      <c r="CH450" s="231"/>
      <c r="CI450" s="232"/>
      <c r="CJ450" s="232"/>
      <c r="CK450" s="232"/>
      <c r="CL450" s="232"/>
      <c r="CM450" s="232"/>
      <c r="CN450" s="232"/>
      <c r="CO450" s="232"/>
      <c r="CP450" s="232"/>
      <c r="CQ450" s="232"/>
      <c r="CR450" s="232"/>
      <c r="CS450" s="232"/>
      <c r="CT450" s="232"/>
    </row>
    <row r="451" ht="24.0" customHeight="1">
      <c r="A451" s="184" t="s">
        <v>534</v>
      </c>
      <c r="B451" s="184" t="s">
        <v>2055</v>
      </c>
      <c r="C451" s="184" t="s">
        <v>680</v>
      </c>
      <c r="D451" s="184" t="s">
        <v>2431</v>
      </c>
      <c r="E451" s="186" t="s">
        <v>946</v>
      </c>
      <c r="F451" s="186" t="s">
        <v>2432</v>
      </c>
      <c r="G451" s="185">
        <v>20.0</v>
      </c>
      <c r="H451" s="209" t="s">
        <v>1722</v>
      </c>
      <c r="I451" s="209" t="s">
        <v>4151</v>
      </c>
      <c r="J451" s="209" t="s">
        <v>4152</v>
      </c>
      <c r="K451" s="209" t="s">
        <v>1590</v>
      </c>
      <c r="L451" s="209" t="s">
        <v>4153</v>
      </c>
      <c r="M451" s="209" t="s">
        <v>4154</v>
      </c>
      <c r="N451" s="209" t="s">
        <v>752</v>
      </c>
      <c r="O451" s="209" t="s">
        <v>764</v>
      </c>
      <c r="P451" s="190"/>
      <c r="Q451" s="190"/>
      <c r="R451" s="190"/>
      <c r="S451" s="190"/>
      <c r="T451" s="190"/>
      <c r="U451" s="210"/>
      <c r="V451" s="209" t="s">
        <v>1356</v>
      </c>
      <c r="W451" s="238" t="s">
        <v>1062</v>
      </c>
      <c r="X451" s="239" t="s">
        <v>1357</v>
      </c>
      <c r="Y451" s="209" t="s">
        <v>764</v>
      </c>
      <c r="Z451" s="209" t="s">
        <v>946</v>
      </c>
      <c r="AA451" s="237" t="s">
        <v>757</v>
      </c>
      <c r="AB451" s="231"/>
      <c r="AC451" s="231"/>
      <c r="AD451" s="231"/>
      <c r="AE451" s="231"/>
      <c r="AF451" s="231"/>
      <c r="AG451" s="231"/>
      <c r="AH451" s="231"/>
      <c r="AJ451" s="231"/>
      <c r="AK451" s="232"/>
      <c r="AL451" s="231"/>
      <c r="AM451" s="232"/>
      <c r="AN451" s="231"/>
      <c r="AO451" s="232"/>
      <c r="AP451" s="232"/>
      <c r="AQ451" s="232"/>
      <c r="AR451" s="232"/>
      <c r="AS451" s="232"/>
      <c r="AT451" s="232"/>
      <c r="AU451" s="232"/>
      <c r="AV451" s="232"/>
      <c r="AW451" s="231"/>
      <c r="AX451" s="231"/>
      <c r="AY451" s="231"/>
      <c r="AZ451" s="231"/>
      <c r="BA451" s="231"/>
      <c r="BB451" s="231"/>
      <c r="BC451" s="232"/>
      <c r="BD451" s="232"/>
      <c r="BE451" s="232"/>
      <c r="BF451" s="232"/>
      <c r="BG451" s="231"/>
      <c r="BH451" s="231"/>
      <c r="BI451" s="231"/>
      <c r="BJ451" s="231"/>
      <c r="BK451" s="232"/>
      <c r="BL451" s="232"/>
      <c r="BM451" s="232"/>
      <c r="BN451" s="232"/>
      <c r="BO451" s="232"/>
      <c r="BP451" s="232"/>
      <c r="BQ451" s="232"/>
      <c r="BR451" s="232"/>
      <c r="BS451" s="231"/>
      <c r="BT451" s="231"/>
      <c r="BU451" s="231"/>
      <c r="BV451" s="231"/>
      <c r="BW451" s="231"/>
      <c r="BX451" s="231"/>
      <c r="BY451" s="231"/>
      <c r="BZ451" s="232"/>
      <c r="CA451" s="231"/>
      <c r="CB451" s="231"/>
      <c r="CC451" s="231"/>
      <c r="CD451" s="231"/>
      <c r="CE451" s="232"/>
      <c r="CF451" s="232"/>
      <c r="CG451" s="232"/>
      <c r="CH451" s="231"/>
      <c r="CI451" s="232"/>
      <c r="CJ451" s="232"/>
      <c r="CK451" s="232"/>
      <c r="CL451" s="232"/>
      <c r="CM451" s="232"/>
      <c r="CN451" s="232"/>
      <c r="CO451" s="232"/>
      <c r="CP451" s="232"/>
      <c r="CQ451" s="232"/>
      <c r="CR451" s="232"/>
      <c r="CS451" s="232"/>
      <c r="CT451" s="232"/>
    </row>
    <row r="452" ht="24.0" customHeight="1">
      <c r="A452" s="184" t="s">
        <v>536</v>
      </c>
      <c r="B452" s="184" t="s">
        <v>2055</v>
      </c>
      <c r="C452" s="184" t="s">
        <v>680</v>
      </c>
      <c r="D452" s="184" t="s">
        <v>2431</v>
      </c>
      <c r="E452" s="236" t="s">
        <v>946</v>
      </c>
      <c r="F452" s="186" t="s">
        <v>2432</v>
      </c>
      <c r="G452" s="185">
        <v>21.0</v>
      </c>
      <c r="H452" s="237" t="s">
        <v>4155</v>
      </c>
      <c r="I452" s="237" t="s">
        <v>4156</v>
      </c>
      <c r="J452" s="237" t="s">
        <v>4157</v>
      </c>
      <c r="K452" s="237" t="s">
        <v>4158</v>
      </c>
      <c r="L452" s="237" t="s">
        <v>4159</v>
      </c>
      <c r="M452" s="190" t="s">
        <v>4160</v>
      </c>
      <c r="N452" s="237" t="s">
        <v>752</v>
      </c>
      <c r="O452" s="237" t="s">
        <v>764</v>
      </c>
      <c r="P452" s="190"/>
      <c r="Q452" s="190"/>
      <c r="R452" s="190"/>
      <c r="S452" s="190"/>
      <c r="T452" s="190"/>
      <c r="U452" s="190"/>
      <c r="V452" s="237" t="s">
        <v>2986</v>
      </c>
      <c r="W452" s="238" t="s">
        <v>4161</v>
      </c>
      <c r="X452" s="239" t="s">
        <v>4162</v>
      </c>
      <c r="Y452" s="237" t="s">
        <v>764</v>
      </c>
      <c r="Z452" s="237" t="s">
        <v>946</v>
      </c>
      <c r="AA452" s="237" t="s">
        <v>757</v>
      </c>
      <c r="AB452" s="191"/>
      <c r="AC452" s="191"/>
      <c r="AD452" s="191"/>
      <c r="AE452" s="191"/>
      <c r="AF452" s="191"/>
      <c r="AG452" s="191"/>
      <c r="AH452" s="191"/>
      <c r="AJ452" s="215"/>
      <c r="AK452" s="215"/>
      <c r="AL452" s="215"/>
      <c r="AM452" s="215"/>
      <c r="AN452" s="215"/>
      <c r="AO452" s="215"/>
      <c r="AP452" s="191"/>
      <c r="AQ452" s="215"/>
      <c r="AR452" s="191"/>
      <c r="AS452" s="215"/>
      <c r="AT452" s="215"/>
      <c r="AU452" s="215"/>
      <c r="AV452" s="215"/>
      <c r="AW452" s="191"/>
      <c r="AX452" s="191"/>
      <c r="AY452" s="191"/>
      <c r="AZ452" s="191"/>
      <c r="BA452" s="191"/>
      <c r="BB452" s="191"/>
      <c r="BC452" s="215"/>
      <c r="BD452" s="215"/>
      <c r="BE452" s="215"/>
      <c r="BF452" s="215"/>
      <c r="BG452" s="191"/>
      <c r="BH452" s="191"/>
      <c r="BI452" s="191"/>
      <c r="BJ452" s="191"/>
      <c r="BK452" s="191"/>
      <c r="BL452" s="191"/>
      <c r="BM452" s="191"/>
      <c r="BN452" s="191"/>
      <c r="BO452" s="191"/>
      <c r="BP452" s="191"/>
      <c r="BQ452" s="215"/>
      <c r="BR452" s="215"/>
      <c r="BS452" s="191"/>
      <c r="BT452" s="191"/>
      <c r="BU452" s="191"/>
      <c r="BV452" s="191"/>
      <c r="BW452" s="191"/>
      <c r="BX452" s="191"/>
      <c r="BY452" s="215"/>
      <c r="BZ452" s="215"/>
      <c r="CA452" s="191"/>
      <c r="CB452" s="191"/>
      <c r="CC452" s="191"/>
      <c r="CD452" s="215"/>
      <c r="CE452" s="215"/>
      <c r="CF452" s="191"/>
      <c r="CG452" s="215"/>
      <c r="CH452" s="191"/>
      <c r="CI452" s="215"/>
      <c r="CJ452" s="215"/>
      <c r="CK452" s="215"/>
      <c r="CL452" s="215"/>
      <c r="CM452" s="215"/>
      <c r="CN452" s="215"/>
      <c r="CO452" s="215"/>
      <c r="CP452" s="215"/>
      <c r="CQ452" s="215"/>
      <c r="CR452" s="215"/>
      <c r="CS452" s="215"/>
      <c r="CT452" s="215"/>
    </row>
    <row r="453" ht="24.0" customHeight="1">
      <c r="A453" s="184" t="s">
        <v>540</v>
      </c>
      <c r="B453" s="184" t="s">
        <v>2055</v>
      </c>
      <c r="C453" s="184" t="s">
        <v>680</v>
      </c>
      <c r="D453" s="184" t="s">
        <v>2431</v>
      </c>
      <c r="E453" s="236" t="s">
        <v>946</v>
      </c>
      <c r="F453" s="186" t="s">
        <v>2432</v>
      </c>
      <c r="G453" s="185">
        <v>22.0</v>
      </c>
      <c r="H453" s="237" t="s">
        <v>4163</v>
      </c>
      <c r="I453" s="237" t="s">
        <v>4164</v>
      </c>
      <c r="J453" s="237" t="s">
        <v>4165</v>
      </c>
      <c r="K453" s="237" t="s">
        <v>4166</v>
      </c>
      <c r="L453" s="237" t="s">
        <v>4167</v>
      </c>
      <c r="M453" s="237" t="s">
        <v>4168</v>
      </c>
      <c r="N453" s="237" t="s">
        <v>752</v>
      </c>
      <c r="O453" s="237" t="s">
        <v>764</v>
      </c>
      <c r="P453" s="237" t="s">
        <v>1868</v>
      </c>
      <c r="Q453" s="237" t="s">
        <v>4169</v>
      </c>
      <c r="R453" s="190"/>
      <c r="S453" s="190"/>
      <c r="T453" s="190"/>
      <c r="U453" s="190"/>
      <c r="V453" s="237" t="s">
        <v>3421</v>
      </c>
      <c r="W453" s="238" t="s">
        <v>4170</v>
      </c>
      <c r="X453" s="239" t="s">
        <v>3423</v>
      </c>
      <c r="Y453" s="237" t="s">
        <v>777</v>
      </c>
      <c r="Z453" s="237" t="s">
        <v>946</v>
      </c>
      <c r="AA453" s="237" t="s">
        <v>757</v>
      </c>
      <c r="AB453" s="191"/>
      <c r="AC453" s="191"/>
      <c r="AD453" s="191"/>
      <c r="AE453" s="191"/>
      <c r="AF453" s="191"/>
      <c r="AG453" s="191"/>
      <c r="AH453" s="191"/>
      <c r="AJ453" s="215"/>
      <c r="AK453" s="215"/>
      <c r="AL453" s="215"/>
      <c r="AM453" s="215"/>
      <c r="AN453" s="215"/>
      <c r="AO453" s="215"/>
      <c r="AP453" s="191"/>
      <c r="AQ453" s="215"/>
      <c r="AR453" s="191"/>
      <c r="AS453" s="215"/>
      <c r="AT453" s="215"/>
      <c r="AU453" s="215"/>
      <c r="AV453" s="215"/>
      <c r="AW453" s="191"/>
      <c r="AX453" s="191"/>
      <c r="AY453" s="191"/>
      <c r="AZ453" s="191"/>
      <c r="BA453" s="191"/>
      <c r="BB453" s="191"/>
      <c r="BC453" s="215"/>
      <c r="BD453" s="215"/>
      <c r="BE453" s="215"/>
      <c r="BF453" s="215"/>
      <c r="BG453" s="191"/>
      <c r="BH453" s="191"/>
      <c r="BI453" s="215"/>
      <c r="BJ453" s="215"/>
      <c r="BK453" s="215"/>
      <c r="BL453" s="215"/>
      <c r="BM453" s="215"/>
      <c r="BN453" s="215"/>
      <c r="BO453" s="215"/>
      <c r="BP453" s="215"/>
      <c r="BQ453" s="215"/>
      <c r="BR453" s="215"/>
      <c r="BS453" s="191"/>
      <c r="BT453" s="191"/>
      <c r="BU453" s="191"/>
      <c r="BV453" s="191"/>
      <c r="BW453" s="191"/>
      <c r="BX453" s="191"/>
      <c r="BY453" s="191"/>
      <c r="BZ453" s="215"/>
      <c r="CA453" s="191"/>
      <c r="CB453" s="191"/>
      <c r="CC453" s="191"/>
      <c r="CD453" s="215"/>
      <c r="CE453" s="215"/>
      <c r="CF453" s="191"/>
      <c r="CG453" s="215"/>
      <c r="CH453" s="191"/>
      <c r="CI453" s="215"/>
      <c r="CJ453" s="215"/>
      <c r="CK453" s="215"/>
      <c r="CL453" s="240"/>
      <c r="CM453" s="215"/>
      <c r="CN453" s="215"/>
      <c r="CO453" s="215"/>
      <c r="CP453" s="215"/>
      <c r="CQ453" s="215"/>
      <c r="CR453" s="215"/>
      <c r="CS453" s="215"/>
      <c r="CT453" s="215"/>
    </row>
    <row r="454" ht="24.0" customHeight="1">
      <c r="A454" s="184" t="s">
        <v>546</v>
      </c>
      <c r="B454" s="184" t="s">
        <v>2055</v>
      </c>
      <c r="C454" s="184" t="s">
        <v>681</v>
      </c>
      <c r="D454" s="184" t="s">
        <v>2431</v>
      </c>
      <c r="E454" s="236" t="s">
        <v>1457</v>
      </c>
      <c r="F454" s="186" t="s">
        <v>2432</v>
      </c>
      <c r="G454" s="185">
        <v>23.0</v>
      </c>
      <c r="H454" s="237" t="s">
        <v>2864</v>
      </c>
      <c r="I454" s="237" t="s">
        <v>2813</v>
      </c>
      <c r="J454" s="237" t="s">
        <v>4171</v>
      </c>
      <c r="K454" s="237" t="s">
        <v>4172</v>
      </c>
      <c r="L454" s="237" t="s">
        <v>4173</v>
      </c>
      <c r="M454" s="237" t="s">
        <v>4174</v>
      </c>
      <c r="N454" s="237" t="s">
        <v>752</v>
      </c>
      <c r="O454" s="237" t="s">
        <v>1457</v>
      </c>
      <c r="P454" s="237" t="s">
        <v>4175</v>
      </c>
      <c r="Q454" s="237" t="s">
        <v>4176</v>
      </c>
      <c r="R454" s="190"/>
      <c r="S454" s="190"/>
      <c r="T454" s="190"/>
      <c r="U454" s="190"/>
      <c r="V454" s="237" t="s">
        <v>4177</v>
      </c>
      <c r="W454" s="238" t="s">
        <v>4178</v>
      </c>
      <c r="X454" s="239" t="s">
        <v>4179</v>
      </c>
      <c r="Y454" s="237" t="s">
        <v>1457</v>
      </c>
      <c r="Z454" s="237" t="s">
        <v>1457</v>
      </c>
      <c r="AA454" s="237" t="s">
        <v>757</v>
      </c>
      <c r="AB454" s="191"/>
      <c r="AC454" s="191"/>
      <c r="AD454" s="191"/>
      <c r="AE454" s="191"/>
      <c r="AF454" s="191"/>
      <c r="AG454" s="191"/>
      <c r="AH454" s="191"/>
      <c r="AJ454" s="215"/>
      <c r="AK454" s="215"/>
      <c r="AL454" s="215"/>
      <c r="AM454" s="215"/>
      <c r="AN454" s="215"/>
      <c r="AO454" s="215"/>
      <c r="AP454" s="191"/>
      <c r="AQ454" s="215"/>
      <c r="AR454" s="191"/>
      <c r="AS454" s="215"/>
      <c r="AT454" s="215"/>
      <c r="AU454" s="215"/>
      <c r="AV454" s="215"/>
      <c r="AW454" s="191"/>
      <c r="AX454" s="191"/>
      <c r="AY454" s="191"/>
      <c r="AZ454" s="191"/>
      <c r="BA454" s="191"/>
      <c r="BB454" s="191"/>
      <c r="BC454" s="215"/>
      <c r="BD454" s="215"/>
      <c r="BE454" s="215"/>
      <c r="BF454" s="215"/>
      <c r="BG454" s="191"/>
      <c r="BH454" s="191"/>
      <c r="BI454" s="191"/>
      <c r="BJ454" s="191"/>
      <c r="BK454" s="191"/>
      <c r="BL454" s="191"/>
      <c r="BM454" s="191"/>
      <c r="BN454" s="191"/>
      <c r="BO454" s="215"/>
      <c r="BP454" s="215"/>
      <c r="BQ454" s="215"/>
      <c r="BR454" s="215"/>
      <c r="BS454" s="191"/>
      <c r="BT454" s="191"/>
      <c r="BU454" s="191"/>
      <c r="BV454" s="191"/>
      <c r="BW454" s="191"/>
      <c r="BX454" s="191"/>
      <c r="BY454" s="191"/>
      <c r="BZ454" s="215"/>
      <c r="CA454" s="191"/>
      <c r="CB454" s="191"/>
      <c r="CC454" s="191"/>
      <c r="CD454" s="215"/>
      <c r="CE454" s="215"/>
      <c r="CF454" s="191"/>
      <c r="CG454" s="215"/>
      <c r="CH454" s="191"/>
      <c r="CI454" s="215"/>
      <c r="CJ454" s="191"/>
      <c r="CK454" s="191"/>
      <c r="CL454" s="215"/>
      <c r="CM454" s="215"/>
      <c r="CN454" s="215"/>
      <c r="CO454" s="215"/>
      <c r="CP454" s="215"/>
      <c r="CQ454" s="215"/>
      <c r="CR454" s="215"/>
      <c r="CS454" s="215"/>
      <c r="CT454" s="215"/>
    </row>
    <row r="455" ht="24.0" customHeight="1">
      <c r="A455" s="184" t="s">
        <v>547</v>
      </c>
      <c r="B455" s="184" t="s">
        <v>2055</v>
      </c>
      <c r="C455" s="184" t="s">
        <v>681</v>
      </c>
      <c r="D455" s="184" t="s">
        <v>2431</v>
      </c>
      <c r="E455" s="236" t="s">
        <v>1457</v>
      </c>
      <c r="F455" s="186" t="s">
        <v>2432</v>
      </c>
      <c r="G455" s="185">
        <v>24.0</v>
      </c>
      <c r="H455" s="237" t="s">
        <v>4180</v>
      </c>
      <c r="I455" s="237" t="s">
        <v>4181</v>
      </c>
      <c r="J455" s="237" t="s">
        <v>4182</v>
      </c>
      <c r="K455" s="237" t="s">
        <v>4183</v>
      </c>
      <c r="L455" s="237" t="s">
        <v>4184</v>
      </c>
      <c r="M455" s="237" t="s">
        <v>4185</v>
      </c>
      <c r="N455" s="237" t="s">
        <v>752</v>
      </c>
      <c r="O455" s="237" t="s">
        <v>1457</v>
      </c>
      <c r="P455" s="190"/>
      <c r="Q455" s="190"/>
      <c r="R455" s="190"/>
      <c r="S455" s="190"/>
      <c r="T455" s="190"/>
      <c r="U455" s="190"/>
      <c r="V455" s="237" t="s">
        <v>4186</v>
      </c>
      <c r="W455" s="238" t="s">
        <v>4187</v>
      </c>
      <c r="X455" s="239" t="s">
        <v>4188</v>
      </c>
      <c r="Y455" s="237" t="s">
        <v>1457</v>
      </c>
      <c r="Z455" s="237" t="s">
        <v>1457</v>
      </c>
      <c r="AA455" s="237" t="s">
        <v>757</v>
      </c>
      <c r="AB455" s="191"/>
      <c r="AC455" s="191"/>
      <c r="AD455" s="191"/>
      <c r="AE455" s="191"/>
      <c r="AF455" s="191"/>
      <c r="AG455" s="191"/>
      <c r="AH455" s="191"/>
      <c r="AJ455" s="215"/>
      <c r="AK455" s="215"/>
      <c r="AL455" s="215"/>
      <c r="AM455" s="215"/>
      <c r="AN455" s="215"/>
      <c r="AO455" s="215"/>
      <c r="AP455" s="191"/>
      <c r="AQ455" s="215"/>
      <c r="AR455" s="191"/>
      <c r="AS455" s="215"/>
      <c r="AT455" s="215"/>
      <c r="AU455" s="215"/>
      <c r="AV455" s="215"/>
      <c r="AW455" s="191"/>
      <c r="AX455" s="191"/>
      <c r="AY455" s="191"/>
      <c r="AZ455" s="191"/>
      <c r="BA455" s="191"/>
      <c r="BB455" s="191"/>
      <c r="BC455" s="215"/>
      <c r="BD455" s="215"/>
      <c r="BE455" s="215"/>
      <c r="BF455" s="215"/>
      <c r="BG455" s="191"/>
      <c r="BH455" s="191"/>
      <c r="BI455" s="191"/>
      <c r="BJ455" s="191"/>
      <c r="BK455" s="191"/>
      <c r="BL455" s="191"/>
      <c r="BM455" s="191"/>
      <c r="BN455" s="191"/>
      <c r="BO455" s="191"/>
      <c r="BP455" s="191"/>
      <c r="BQ455" s="215"/>
      <c r="BR455" s="215"/>
      <c r="BS455" s="191"/>
      <c r="BT455" s="191"/>
      <c r="BU455" s="191"/>
      <c r="BV455" s="191"/>
      <c r="BW455" s="191"/>
      <c r="BX455" s="191"/>
      <c r="BY455" s="191"/>
      <c r="BZ455" s="191"/>
      <c r="CA455" s="191"/>
      <c r="CB455" s="191"/>
      <c r="CC455" s="191"/>
      <c r="CD455" s="215"/>
      <c r="CE455" s="215"/>
      <c r="CF455" s="191"/>
      <c r="CG455" s="215"/>
      <c r="CH455" s="191"/>
      <c r="CI455" s="215"/>
      <c r="CJ455" s="215"/>
      <c r="CK455" s="191"/>
      <c r="CL455" s="215"/>
      <c r="CM455" s="215"/>
      <c r="CN455" s="215"/>
      <c r="CO455" s="215"/>
      <c r="CP455" s="215"/>
      <c r="CQ455" s="215"/>
      <c r="CR455" s="215"/>
      <c r="CS455" s="215"/>
      <c r="CT455" s="215"/>
    </row>
    <row r="456" ht="24.0" customHeight="1">
      <c r="A456" s="184" t="s">
        <v>543</v>
      </c>
      <c r="B456" s="184" t="s">
        <v>2055</v>
      </c>
      <c r="C456" s="184" t="s">
        <v>681</v>
      </c>
      <c r="D456" s="184" t="s">
        <v>2431</v>
      </c>
      <c r="E456" s="236" t="s">
        <v>1457</v>
      </c>
      <c r="F456" s="186" t="s">
        <v>2432</v>
      </c>
      <c r="G456" s="185">
        <v>25.0</v>
      </c>
      <c r="H456" s="237" t="s">
        <v>4189</v>
      </c>
      <c r="I456" s="237" t="s">
        <v>4190</v>
      </c>
      <c r="J456" s="237" t="s">
        <v>4191</v>
      </c>
      <c r="K456" s="237" t="s">
        <v>2474</v>
      </c>
      <c r="L456" s="237" t="s">
        <v>4192</v>
      </c>
      <c r="M456" s="237" t="s">
        <v>4193</v>
      </c>
      <c r="N456" s="237" t="s">
        <v>752</v>
      </c>
      <c r="O456" s="237" t="s">
        <v>893</v>
      </c>
      <c r="P456" s="237" t="s">
        <v>4006</v>
      </c>
      <c r="Q456" s="237" t="s">
        <v>4194</v>
      </c>
      <c r="R456" s="237" t="s">
        <v>4195</v>
      </c>
      <c r="S456" s="237" t="s">
        <v>2252</v>
      </c>
      <c r="T456" s="190"/>
      <c r="U456" s="190"/>
      <c r="V456" s="237" t="s">
        <v>2449</v>
      </c>
      <c r="W456" s="238" t="s">
        <v>4196</v>
      </c>
      <c r="X456" s="239" t="s">
        <v>2790</v>
      </c>
      <c r="Y456" s="237" t="s">
        <v>893</v>
      </c>
      <c r="Z456" s="237" t="s">
        <v>1457</v>
      </c>
      <c r="AA456" s="237" t="s">
        <v>757</v>
      </c>
      <c r="AB456" s="191"/>
      <c r="AC456" s="191"/>
      <c r="AD456" s="191"/>
      <c r="AE456" s="191"/>
      <c r="AF456" s="191"/>
      <c r="AG456" s="191"/>
      <c r="AH456" s="191"/>
      <c r="AJ456" s="215"/>
      <c r="AK456" s="215"/>
      <c r="AL456" s="215"/>
      <c r="AM456" s="215"/>
      <c r="AN456" s="215"/>
      <c r="AO456" s="215"/>
      <c r="AP456" s="191"/>
      <c r="AQ456" s="215"/>
      <c r="AR456" s="191"/>
      <c r="AS456" s="215"/>
      <c r="AT456" s="215"/>
      <c r="AU456" s="215"/>
      <c r="AV456" s="215"/>
      <c r="AW456" s="191"/>
      <c r="AX456" s="191"/>
      <c r="AY456" s="191"/>
      <c r="AZ456" s="191"/>
      <c r="BA456" s="191"/>
      <c r="BB456" s="191"/>
      <c r="BC456" s="215"/>
      <c r="BD456" s="215"/>
      <c r="BE456" s="215"/>
      <c r="BF456" s="215"/>
      <c r="BG456" s="191"/>
      <c r="BH456" s="191"/>
      <c r="BI456" s="191"/>
      <c r="BJ456" s="191"/>
      <c r="BK456" s="191"/>
      <c r="BL456" s="191"/>
      <c r="BM456" s="191"/>
      <c r="BN456" s="191"/>
      <c r="BO456" s="191"/>
      <c r="BP456" s="191"/>
      <c r="BQ456" s="215"/>
      <c r="BR456" s="215"/>
      <c r="BS456" s="191"/>
      <c r="BT456" s="191"/>
      <c r="BU456" s="191"/>
      <c r="BV456" s="191"/>
      <c r="BW456" s="191"/>
      <c r="BX456" s="191"/>
      <c r="BY456" s="215"/>
      <c r="BZ456" s="191"/>
      <c r="CA456" s="191"/>
      <c r="CB456" s="191"/>
      <c r="CC456" s="191"/>
      <c r="CD456" s="215"/>
      <c r="CE456" s="215"/>
      <c r="CF456" s="191"/>
      <c r="CG456" s="215"/>
      <c r="CH456" s="191"/>
      <c r="CI456" s="215"/>
      <c r="CJ456" s="215"/>
      <c r="CK456" s="215"/>
      <c r="CL456" s="215"/>
      <c r="CM456" s="215"/>
      <c r="CN456" s="215"/>
      <c r="CO456" s="215"/>
      <c r="CP456" s="215"/>
      <c r="CQ456" s="215"/>
      <c r="CR456" s="215"/>
      <c r="CS456" s="215"/>
      <c r="CT456" s="215"/>
    </row>
    <row r="457" ht="24.0" customHeight="1">
      <c r="A457" s="184" t="s">
        <v>548</v>
      </c>
      <c r="B457" s="184" t="s">
        <v>2055</v>
      </c>
      <c r="C457" s="184" t="s">
        <v>681</v>
      </c>
      <c r="D457" s="184" t="s">
        <v>2431</v>
      </c>
      <c r="E457" s="236" t="s">
        <v>1457</v>
      </c>
      <c r="F457" s="186" t="s">
        <v>2432</v>
      </c>
      <c r="G457" s="185">
        <v>26.0</v>
      </c>
      <c r="H457" s="237" t="s">
        <v>3181</v>
      </c>
      <c r="I457" s="237" t="s">
        <v>4197</v>
      </c>
      <c r="J457" s="237" t="s">
        <v>4198</v>
      </c>
      <c r="K457" s="237" t="s">
        <v>1719</v>
      </c>
      <c r="L457" s="237" t="s">
        <v>4199</v>
      </c>
      <c r="M457" s="237" t="s">
        <v>4200</v>
      </c>
      <c r="N457" s="237" t="s">
        <v>752</v>
      </c>
      <c r="O457" s="237" t="s">
        <v>764</v>
      </c>
      <c r="P457" s="237" t="s">
        <v>1433</v>
      </c>
      <c r="Q457" s="237" t="s">
        <v>2157</v>
      </c>
      <c r="R457" s="237" t="s">
        <v>4201</v>
      </c>
      <c r="S457" s="237" t="s">
        <v>4202</v>
      </c>
      <c r="T457" s="237" t="s">
        <v>1742</v>
      </c>
      <c r="U457" s="237" t="s">
        <v>4203</v>
      </c>
      <c r="V457" s="237" t="s">
        <v>2350</v>
      </c>
      <c r="W457" s="238" t="s">
        <v>2351</v>
      </c>
      <c r="X457" s="239" t="s">
        <v>2352</v>
      </c>
      <c r="Y457" s="237" t="s">
        <v>764</v>
      </c>
      <c r="Z457" s="237" t="s">
        <v>1457</v>
      </c>
      <c r="AA457" s="237" t="s">
        <v>797</v>
      </c>
      <c r="AB457" s="191"/>
      <c r="AC457" s="191"/>
      <c r="AD457" s="191"/>
      <c r="AE457" s="191"/>
      <c r="AF457" s="191"/>
      <c r="AG457" s="191"/>
      <c r="AH457" s="191"/>
      <c r="AJ457" s="215"/>
      <c r="AK457" s="215"/>
      <c r="AL457" s="215"/>
      <c r="AM457" s="215"/>
      <c r="AN457" s="215"/>
      <c r="AO457" s="215"/>
      <c r="AP457" s="191"/>
      <c r="AQ457" s="215"/>
      <c r="AR457" s="191"/>
      <c r="AS457" s="215"/>
      <c r="AT457" s="215"/>
      <c r="AU457" s="215"/>
      <c r="AV457" s="215"/>
      <c r="AW457" s="191"/>
      <c r="AX457" s="191"/>
      <c r="AY457" s="191"/>
      <c r="AZ457" s="191"/>
      <c r="BA457" s="191"/>
      <c r="BB457" s="191"/>
      <c r="BC457" s="215"/>
      <c r="BD457" s="215"/>
      <c r="BE457" s="215"/>
      <c r="BF457" s="215"/>
      <c r="BG457" s="215"/>
      <c r="BH457" s="215"/>
      <c r="BI457" s="215"/>
      <c r="BJ457" s="215"/>
      <c r="BK457" s="215"/>
      <c r="BL457" s="215"/>
      <c r="BM457" s="215"/>
      <c r="BN457" s="215"/>
      <c r="BO457" s="215"/>
      <c r="BP457" s="215"/>
      <c r="BQ457" s="215"/>
      <c r="BR457" s="215"/>
      <c r="BS457" s="191"/>
      <c r="BT457" s="191"/>
      <c r="BU457" s="191"/>
      <c r="BV457" s="191"/>
      <c r="BW457" s="191"/>
      <c r="BX457" s="191"/>
      <c r="BY457" s="191"/>
      <c r="BZ457" s="215"/>
      <c r="CA457" s="191"/>
      <c r="CB457" s="191"/>
      <c r="CC457" s="191"/>
      <c r="CD457" s="215"/>
      <c r="CE457" s="215"/>
      <c r="CF457" s="191"/>
      <c r="CG457" s="215"/>
      <c r="CH457" s="191"/>
      <c r="CI457" s="215"/>
      <c r="CJ457" s="215"/>
      <c r="CK457" s="215"/>
      <c r="CL457" s="240"/>
      <c r="CM457" s="215"/>
      <c r="CN457" s="215"/>
      <c r="CO457" s="215"/>
      <c r="CP457" s="215"/>
      <c r="CQ457" s="215"/>
      <c r="CR457" s="215"/>
      <c r="CS457" s="215"/>
      <c r="CT457" s="215"/>
    </row>
    <row r="458" ht="24.0" customHeight="1">
      <c r="A458" s="184" t="s">
        <v>541</v>
      </c>
      <c r="B458" s="184" t="s">
        <v>2055</v>
      </c>
      <c r="C458" s="184" t="s">
        <v>681</v>
      </c>
      <c r="D458" s="184" t="s">
        <v>2431</v>
      </c>
      <c r="E458" s="236" t="s">
        <v>1457</v>
      </c>
      <c r="F458" s="186" t="s">
        <v>2432</v>
      </c>
      <c r="G458" s="185">
        <v>27.0</v>
      </c>
      <c r="H458" s="237" t="s">
        <v>4204</v>
      </c>
      <c r="I458" s="237" t="s">
        <v>4205</v>
      </c>
      <c r="J458" s="237" t="s">
        <v>4206</v>
      </c>
      <c r="K458" s="237" t="s">
        <v>4207</v>
      </c>
      <c r="L458" s="209" t="s">
        <v>4208</v>
      </c>
      <c r="M458" s="237" t="s">
        <v>4209</v>
      </c>
      <c r="N458" s="237" t="s">
        <v>752</v>
      </c>
      <c r="O458" s="237" t="s">
        <v>784</v>
      </c>
      <c r="P458" s="190"/>
      <c r="Q458" s="190"/>
      <c r="R458" s="190"/>
      <c r="S458" s="190"/>
      <c r="T458" s="190"/>
      <c r="U458" s="190"/>
      <c r="V458" s="237" t="s">
        <v>4210</v>
      </c>
      <c r="W458" s="238" t="s">
        <v>4211</v>
      </c>
      <c r="X458" s="239" t="s">
        <v>787</v>
      </c>
      <c r="Y458" s="237" t="s">
        <v>784</v>
      </c>
      <c r="Z458" s="237" t="s">
        <v>1457</v>
      </c>
      <c r="AA458" s="237" t="s">
        <v>757</v>
      </c>
      <c r="AB458" s="191"/>
      <c r="AC458" s="191"/>
      <c r="AD458" s="191"/>
      <c r="AE458" s="191"/>
      <c r="AF458" s="191"/>
      <c r="AG458" s="191"/>
      <c r="AH458" s="191"/>
      <c r="AJ458" s="215"/>
      <c r="AK458" s="215"/>
      <c r="AL458" s="215"/>
      <c r="AM458" s="215"/>
      <c r="AN458" s="215"/>
      <c r="AO458" s="215"/>
      <c r="AP458" s="191"/>
      <c r="AQ458" s="215"/>
      <c r="AR458" s="191"/>
      <c r="AS458" s="215"/>
      <c r="AT458" s="215"/>
      <c r="AU458" s="215"/>
      <c r="AV458" s="215"/>
      <c r="AW458" s="191"/>
      <c r="AX458" s="191"/>
      <c r="AY458" s="191"/>
      <c r="AZ458" s="191"/>
      <c r="BA458" s="191"/>
      <c r="BB458" s="191"/>
      <c r="BC458" s="215"/>
      <c r="BD458" s="215"/>
      <c r="BE458" s="215"/>
      <c r="BF458" s="215"/>
      <c r="BG458" s="215"/>
      <c r="BH458" s="215"/>
      <c r="BI458" s="215"/>
      <c r="BJ458" s="215"/>
      <c r="BK458" s="215"/>
      <c r="BL458" s="215"/>
      <c r="BM458" s="215"/>
      <c r="BN458" s="215"/>
      <c r="BO458" s="215"/>
      <c r="BP458" s="215"/>
      <c r="BQ458" s="215"/>
      <c r="BR458" s="215"/>
      <c r="BS458" s="191"/>
      <c r="BT458" s="191"/>
      <c r="BU458" s="191"/>
      <c r="BV458" s="191"/>
      <c r="BW458" s="191"/>
      <c r="BX458" s="191"/>
      <c r="BY458" s="191"/>
      <c r="BZ458" s="215"/>
      <c r="CA458" s="191"/>
      <c r="CB458" s="191"/>
      <c r="CC458" s="191"/>
      <c r="CD458" s="215"/>
      <c r="CE458" s="215"/>
      <c r="CF458" s="191"/>
      <c r="CG458" s="215"/>
      <c r="CH458" s="191"/>
      <c r="CI458" s="215"/>
      <c r="CJ458" s="191"/>
      <c r="CK458" s="215"/>
      <c r="CL458" s="240"/>
      <c r="CM458" s="215"/>
      <c r="CN458" s="215"/>
      <c r="CO458" s="215"/>
      <c r="CP458" s="215"/>
      <c r="CQ458" s="215"/>
      <c r="CR458" s="215"/>
      <c r="CS458" s="215"/>
      <c r="CT458" s="215"/>
    </row>
    <row r="459" ht="24.0" customHeight="1">
      <c r="A459" s="184" t="s">
        <v>542</v>
      </c>
      <c r="B459" s="184" t="s">
        <v>2055</v>
      </c>
      <c r="C459" s="184" t="s">
        <v>681</v>
      </c>
      <c r="D459" s="184" t="s">
        <v>2431</v>
      </c>
      <c r="E459" s="236" t="s">
        <v>1457</v>
      </c>
      <c r="F459" s="186" t="s">
        <v>2432</v>
      </c>
      <c r="G459" s="185">
        <v>28.0</v>
      </c>
      <c r="H459" s="237" t="s">
        <v>4212</v>
      </c>
      <c r="I459" s="237" t="s">
        <v>4213</v>
      </c>
      <c r="J459" s="237" t="s">
        <v>4214</v>
      </c>
      <c r="K459" s="237" t="s">
        <v>4215</v>
      </c>
      <c r="L459" s="237" t="s">
        <v>4216</v>
      </c>
      <c r="M459" s="237" t="s">
        <v>4217</v>
      </c>
      <c r="N459" s="237" t="s">
        <v>752</v>
      </c>
      <c r="O459" s="237" t="s">
        <v>1457</v>
      </c>
      <c r="P459" s="190"/>
      <c r="Q459" s="190"/>
      <c r="R459" s="190"/>
      <c r="S459" s="190"/>
      <c r="T459" s="190"/>
      <c r="U459" s="190"/>
      <c r="V459" s="237" t="s">
        <v>4186</v>
      </c>
      <c r="W459" s="238" t="s">
        <v>2230</v>
      </c>
      <c r="X459" s="239" t="s">
        <v>4188</v>
      </c>
      <c r="Y459" s="237" t="s">
        <v>1457</v>
      </c>
      <c r="Z459" s="237" t="s">
        <v>1457</v>
      </c>
      <c r="AA459" s="237" t="s">
        <v>757</v>
      </c>
      <c r="AB459" s="191"/>
      <c r="AC459" s="191"/>
      <c r="AD459" s="191"/>
      <c r="AE459" s="191"/>
      <c r="AF459" s="191"/>
      <c r="AG459" s="191"/>
      <c r="AH459" s="191"/>
      <c r="AJ459" s="215"/>
      <c r="AK459" s="215"/>
      <c r="AL459" s="215"/>
      <c r="AM459" s="215"/>
      <c r="AN459" s="215"/>
      <c r="AO459" s="215"/>
      <c r="AP459" s="191"/>
      <c r="AQ459" s="215"/>
      <c r="AR459" s="191"/>
      <c r="AS459" s="215"/>
      <c r="AT459" s="215"/>
      <c r="AU459" s="215"/>
      <c r="AV459" s="215"/>
      <c r="AW459" s="191"/>
      <c r="AX459" s="191"/>
      <c r="AY459" s="191"/>
      <c r="AZ459" s="191"/>
      <c r="BA459" s="191"/>
      <c r="BB459" s="191"/>
      <c r="BC459" s="215"/>
      <c r="BD459" s="215"/>
      <c r="BE459" s="215"/>
      <c r="BF459" s="215"/>
      <c r="BG459" s="215"/>
      <c r="BH459" s="215"/>
      <c r="BI459" s="215"/>
      <c r="BJ459" s="215"/>
      <c r="BK459" s="215"/>
      <c r="BL459" s="215"/>
      <c r="BM459" s="215"/>
      <c r="BN459" s="215"/>
      <c r="BO459" s="215"/>
      <c r="BP459" s="215"/>
      <c r="BQ459" s="215"/>
      <c r="BR459" s="215"/>
      <c r="BS459" s="191"/>
      <c r="BT459" s="191"/>
      <c r="BU459" s="191"/>
      <c r="BV459" s="191"/>
      <c r="BW459" s="191"/>
      <c r="BX459" s="191"/>
      <c r="BY459" s="191"/>
      <c r="BZ459" s="215"/>
      <c r="CA459" s="191"/>
      <c r="CB459" s="191"/>
      <c r="CC459" s="191"/>
      <c r="CD459" s="215"/>
      <c r="CE459" s="215"/>
      <c r="CF459" s="191"/>
      <c r="CG459" s="215"/>
      <c r="CH459" s="191"/>
      <c r="CI459" s="215"/>
      <c r="CJ459" s="215"/>
      <c r="CK459" s="215"/>
      <c r="CL459" s="240"/>
      <c r="CM459" s="215"/>
      <c r="CN459" s="215"/>
      <c r="CO459" s="215"/>
      <c r="CP459" s="215"/>
      <c r="CQ459" s="215"/>
      <c r="CR459" s="215"/>
      <c r="CS459" s="215"/>
      <c r="CT459" s="215"/>
    </row>
    <row r="460" ht="24.0" customHeight="1">
      <c r="A460" s="184" t="s">
        <v>545</v>
      </c>
      <c r="B460" s="184" t="s">
        <v>2055</v>
      </c>
      <c r="C460" s="184" t="s">
        <v>681</v>
      </c>
      <c r="D460" s="184" t="s">
        <v>2431</v>
      </c>
      <c r="E460" s="236" t="s">
        <v>1457</v>
      </c>
      <c r="F460" s="186" t="s">
        <v>2432</v>
      </c>
      <c r="G460" s="185">
        <v>29.0</v>
      </c>
      <c r="H460" s="237" t="s">
        <v>4218</v>
      </c>
      <c r="I460" s="237" t="s">
        <v>4219</v>
      </c>
      <c r="J460" s="237" t="s">
        <v>4220</v>
      </c>
      <c r="K460" s="237" t="s">
        <v>4221</v>
      </c>
      <c r="L460" s="237" t="s">
        <v>4222</v>
      </c>
      <c r="M460" s="237" t="s">
        <v>4223</v>
      </c>
      <c r="N460" s="237" t="s">
        <v>752</v>
      </c>
      <c r="O460" s="237" t="s">
        <v>1457</v>
      </c>
      <c r="P460" s="190"/>
      <c r="Q460" s="190"/>
      <c r="R460" s="190"/>
      <c r="S460" s="190"/>
      <c r="T460" s="190"/>
      <c r="U460" s="190"/>
      <c r="V460" s="237" t="s">
        <v>4224</v>
      </c>
      <c r="W460" s="238" t="s">
        <v>4225</v>
      </c>
      <c r="X460" s="239" t="s">
        <v>4226</v>
      </c>
      <c r="Y460" s="237" t="s">
        <v>1457</v>
      </c>
      <c r="Z460" s="237" t="s">
        <v>1457</v>
      </c>
      <c r="AA460" s="237" t="s">
        <v>757</v>
      </c>
      <c r="AB460" s="191"/>
      <c r="AC460" s="191"/>
      <c r="AD460" s="191"/>
      <c r="AE460" s="191"/>
      <c r="AF460" s="191"/>
      <c r="AG460" s="191"/>
      <c r="AH460" s="191"/>
      <c r="AJ460" s="215"/>
      <c r="AK460" s="215"/>
      <c r="AL460" s="215"/>
      <c r="AM460" s="215"/>
      <c r="AN460" s="215"/>
      <c r="AO460" s="215"/>
      <c r="AP460" s="191"/>
      <c r="AQ460" s="215"/>
      <c r="AR460" s="191"/>
      <c r="AS460" s="215"/>
      <c r="AT460" s="215"/>
      <c r="AU460" s="215"/>
      <c r="AV460" s="215"/>
      <c r="AW460" s="191"/>
      <c r="AX460" s="191"/>
      <c r="AY460" s="191"/>
      <c r="AZ460" s="191"/>
      <c r="BA460" s="191"/>
      <c r="BB460" s="191"/>
      <c r="BC460" s="215"/>
      <c r="BD460" s="215"/>
      <c r="BE460" s="215"/>
      <c r="BF460" s="215"/>
      <c r="BG460" s="215"/>
      <c r="BH460" s="215"/>
      <c r="BI460" s="215"/>
      <c r="BJ460" s="215"/>
      <c r="BK460" s="215"/>
      <c r="BL460" s="215"/>
      <c r="BM460" s="215"/>
      <c r="BN460" s="215"/>
      <c r="BO460" s="215"/>
      <c r="BP460" s="215"/>
      <c r="BQ460" s="215"/>
      <c r="BR460" s="215"/>
      <c r="BS460" s="191"/>
      <c r="BT460" s="191"/>
      <c r="BU460" s="191"/>
      <c r="BV460" s="191"/>
      <c r="BW460" s="191"/>
      <c r="BX460" s="191"/>
      <c r="BY460" s="191"/>
      <c r="BZ460" s="191"/>
      <c r="CA460" s="191"/>
      <c r="CB460" s="191"/>
      <c r="CC460" s="191"/>
      <c r="CD460" s="215"/>
      <c r="CE460" s="215"/>
      <c r="CF460" s="191"/>
      <c r="CG460" s="215"/>
      <c r="CH460" s="191"/>
      <c r="CI460" s="215"/>
      <c r="CJ460" s="215"/>
      <c r="CK460" s="215"/>
      <c r="CL460" s="215"/>
      <c r="CM460" s="215"/>
      <c r="CN460" s="215"/>
      <c r="CO460" s="215"/>
      <c r="CP460" s="215"/>
      <c r="CQ460" s="215"/>
      <c r="CR460" s="215"/>
      <c r="CS460" s="215"/>
      <c r="CT460" s="215"/>
    </row>
    <row r="461" ht="24.0" customHeight="1">
      <c r="A461" s="184" t="s">
        <v>544</v>
      </c>
      <c r="B461" s="184" t="s">
        <v>2055</v>
      </c>
      <c r="C461" s="184" t="s">
        <v>681</v>
      </c>
      <c r="D461" s="184" t="s">
        <v>2431</v>
      </c>
      <c r="E461" s="236" t="s">
        <v>1457</v>
      </c>
      <c r="F461" s="186" t="s">
        <v>2432</v>
      </c>
      <c r="G461" s="185">
        <v>72.0</v>
      </c>
      <c r="H461" s="189" t="s">
        <v>4227</v>
      </c>
      <c r="I461" s="207" t="s">
        <v>4228</v>
      </c>
      <c r="J461" s="189" t="s">
        <v>4229</v>
      </c>
      <c r="K461" s="189" t="s">
        <v>2059</v>
      </c>
      <c r="L461" s="189" t="s">
        <v>4230</v>
      </c>
      <c r="M461" s="189" t="s">
        <v>4231</v>
      </c>
      <c r="N461" s="189" t="s">
        <v>752</v>
      </c>
      <c r="O461" s="190"/>
      <c r="P461" s="190"/>
      <c r="Q461" s="190"/>
      <c r="R461" s="190"/>
      <c r="S461" s="190"/>
      <c r="T461" s="190"/>
      <c r="U461" s="190"/>
      <c r="V461" s="189" t="s">
        <v>4232</v>
      </c>
      <c r="W461" s="230" t="s">
        <v>898</v>
      </c>
      <c r="X461" s="254"/>
      <c r="Y461" s="190"/>
      <c r="Z461" s="190"/>
      <c r="AA461" s="190"/>
      <c r="AB461" s="191"/>
      <c r="AC461" s="191"/>
      <c r="AD461" s="191"/>
      <c r="AE461" s="191"/>
      <c r="AF461" s="191"/>
      <c r="AG461" s="191"/>
      <c r="AH461" s="191"/>
      <c r="AJ461" s="215"/>
      <c r="AK461" s="215"/>
      <c r="AL461" s="215"/>
      <c r="AM461" s="215"/>
      <c r="AN461" s="215"/>
      <c r="AO461" s="215"/>
      <c r="AP461" s="191"/>
      <c r="AQ461" s="215"/>
      <c r="AR461" s="191"/>
      <c r="AS461" s="215"/>
      <c r="AT461" s="215"/>
      <c r="AU461" s="215"/>
      <c r="AV461" s="215"/>
      <c r="AW461" s="191"/>
      <c r="AX461" s="191"/>
      <c r="AY461" s="191"/>
      <c r="AZ461" s="191"/>
      <c r="BA461" s="191"/>
      <c r="BB461" s="191"/>
      <c r="BC461" s="215"/>
      <c r="BD461" s="215"/>
      <c r="BE461" s="215"/>
      <c r="BF461" s="215"/>
      <c r="BG461" s="215"/>
      <c r="BH461" s="215"/>
      <c r="BI461" s="215"/>
      <c r="BJ461" s="215"/>
      <c r="BK461" s="215"/>
      <c r="BL461" s="215"/>
      <c r="BM461" s="215"/>
      <c r="BN461" s="215"/>
      <c r="BO461" s="215"/>
      <c r="BP461" s="215"/>
      <c r="BQ461" s="215"/>
      <c r="BR461" s="215"/>
      <c r="BS461" s="191"/>
      <c r="BT461" s="191"/>
      <c r="BU461" s="191"/>
      <c r="BV461" s="191"/>
      <c r="BW461" s="191"/>
      <c r="BX461" s="191"/>
      <c r="BY461" s="191"/>
      <c r="BZ461" s="191"/>
      <c r="CA461" s="191"/>
      <c r="CB461" s="191"/>
      <c r="CC461" s="191"/>
      <c r="CD461" s="215"/>
      <c r="CE461" s="215"/>
      <c r="CF461" s="191"/>
      <c r="CG461" s="215"/>
      <c r="CH461" s="191"/>
      <c r="CI461" s="215"/>
      <c r="CJ461" s="215"/>
      <c r="CK461" s="215"/>
      <c r="CL461" s="215"/>
      <c r="CM461" s="215"/>
      <c r="CN461" s="215"/>
      <c r="CO461" s="215"/>
      <c r="CP461" s="215"/>
      <c r="CQ461" s="215"/>
      <c r="CR461" s="215"/>
      <c r="CS461" s="215"/>
      <c r="CT461" s="215"/>
    </row>
    <row r="462" ht="24.0" customHeight="1">
      <c r="A462" s="184" t="s">
        <v>554</v>
      </c>
      <c r="B462" s="184" t="s">
        <v>2055</v>
      </c>
      <c r="C462" s="184" t="s">
        <v>682</v>
      </c>
      <c r="D462" s="184" t="s">
        <v>2431</v>
      </c>
      <c r="E462" s="236" t="s">
        <v>744</v>
      </c>
      <c r="F462" s="186" t="s">
        <v>2432</v>
      </c>
      <c r="G462" s="185">
        <v>30.0</v>
      </c>
      <c r="H462" s="189" t="s">
        <v>4233</v>
      </c>
      <c r="I462" s="189" t="s">
        <v>4234</v>
      </c>
      <c r="J462" s="189" t="s">
        <v>4235</v>
      </c>
      <c r="K462" s="189" t="s">
        <v>4236</v>
      </c>
      <c r="L462" s="189" t="s">
        <v>4237</v>
      </c>
      <c r="M462" s="189" t="s">
        <v>4238</v>
      </c>
      <c r="N462" s="189" t="s">
        <v>908</v>
      </c>
      <c r="O462" s="189" t="s">
        <v>893</v>
      </c>
      <c r="P462" s="190"/>
      <c r="Q462" s="190"/>
      <c r="R462" s="190"/>
      <c r="S462" s="190"/>
      <c r="T462" s="190"/>
      <c r="U462" s="190"/>
      <c r="V462" s="189" t="s">
        <v>1126</v>
      </c>
      <c r="W462" s="230" t="s">
        <v>1127</v>
      </c>
      <c r="X462" s="245" t="s">
        <v>1128</v>
      </c>
      <c r="Y462" s="189" t="s">
        <v>893</v>
      </c>
      <c r="Z462" s="189" t="s">
        <v>744</v>
      </c>
      <c r="AA462" s="189" t="s">
        <v>1654</v>
      </c>
      <c r="AB462" s="191"/>
      <c r="AC462" s="191"/>
      <c r="AD462" s="191"/>
      <c r="AE462" s="191"/>
      <c r="AF462" s="191"/>
      <c r="AG462" s="191"/>
      <c r="AH462" s="191"/>
      <c r="AJ462" s="215"/>
      <c r="AK462" s="215"/>
      <c r="AL462" s="215"/>
      <c r="AM462" s="215"/>
      <c r="AN462" s="215"/>
      <c r="AO462" s="215"/>
      <c r="AP462" s="191"/>
      <c r="AQ462" s="215"/>
      <c r="AR462" s="191"/>
      <c r="AS462" s="215"/>
      <c r="AT462" s="215"/>
      <c r="AU462" s="215"/>
      <c r="AV462" s="215"/>
      <c r="AW462" s="191"/>
      <c r="AX462" s="191"/>
      <c r="AY462" s="191"/>
      <c r="AZ462" s="191"/>
      <c r="BA462" s="191"/>
      <c r="BB462" s="191"/>
      <c r="BC462" s="215"/>
      <c r="BD462" s="215"/>
      <c r="BE462" s="215"/>
      <c r="BF462" s="215"/>
      <c r="BG462" s="215"/>
      <c r="BH462" s="215"/>
      <c r="BI462" s="215"/>
      <c r="BJ462" s="215"/>
      <c r="BK462" s="215"/>
      <c r="BL462" s="215"/>
      <c r="BM462" s="215"/>
      <c r="BN462" s="215"/>
      <c r="BO462" s="215"/>
      <c r="BP462" s="215"/>
      <c r="BQ462" s="215"/>
      <c r="BR462" s="215"/>
      <c r="BS462" s="191"/>
      <c r="BT462" s="191"/>
      <c r="BU462" s="191"/>
      <c r="BV462" s="191"/>
      <c r="BW462" s="191"/>
      <c r="BX462" s="191"/>
      <c r="BY462" s="215"/>
      <c r="BZ462" s="215"/>
      <c r="CA462" s="191"/>
      <c r="CB462" s="191"/>
      <c r="CC462" s="191"/>
      <c r="CD462" s="215"/>
      <c r="CE462" s="215"/>
      <c r="CF462" s="191"/>
      <c r="CG462" s="215"/>
      <c r="CH462" s="191"/>
      <c r="CI462" s="215"/>
      <c r="CJ462" s="215"/>
      <c r="CK462" s="215"/>
      <c r="CL462" s="215"/>
      <c r="CM462" s="215"/>
      <c r="CN462" s="215"/>
      <c r="CO462" s="215"/>
      <c r="CP462" s="215"/>
      <c r="CQ462" s="215"/>
      <c r="CR462" s="215"/>
      <c r="CS462" s="215"/>
      <c r="CT462" s="215"/>
    </row>
    <row r="463" ht="24.0" customHeight="1">
      <c r="A463" s="184" t="s">
        <v>551</v>
      </c>
      <c r="B463" s="184" t="s">
        <v>2055</v>
      </c>
      <c r="C463" s="184" t="s">
        <v>682</v>
      </c>
      <c r="D463" s="184" t="s">
        <v>2431</v>
      </c>
      <c r="E463" s="236" t="s">
        <v>744</v>
      </c>
      <c r="F463" s="186" t="s">
        <v>2432</v>
      </c>
      <c r="G463" s="185">
        <v>31.0</v>
      </c>
      <c r="H463" s="189" t="s">
        <v>4239</v>
      </c>
      <c r="I463" s="189" t="s">
        <v>4240</v>
      </c>
      <c r="J463" s="189" t="s">
        <v>4241</v>
      </c>
      <c r="K463" s="189" t="s">
        <v>4242</v>
      </c>
      <c r="L463" s="185" t="s">
        <v>4243</v>
      </c>
      <c r="M463" s="189" t="s">
        <v>4244</v>
      </c>
      <c r="N463" s="189" t="s">
        <v>908</v>
      </c>
      <c r="O463" s="189" t="s">
        <v>764</v>
      </c>
      <c r="P463" s="190"/>
      <c r="Q463" s="190"/>
      <c r="R463" s="190"/>
      <c r="S463" s="190"/>
      <c r="T463" s="190"/>
      <c r="U463" s="190"/>
      <c r="V463" s="189" t="s">
        <v>2722</v>
      </c>
      <c r="W463" s="230" t="s">
        <v>2817</v>
      </c>
      <c r="X463" s="245" t="s">
        <v>2818</v>
      </c>
      <c r="Y463" s="189" t="s">
        <v>764</v>
      </c>
      <c r="Z463" s="189" t="s">
        <v>744</v>
      </c>
      <c r="AA463" s="189" t="s">
        <v>2377</v>
      </c>
      <c r="AB463" s="191"/>
      <c r="AC463" s="191"/>
      <c r="AD463" s="191"/>
      <c r="AE463" s="191"/>
      <c r="AF463" s="191"/>
      <c r="AG463" s="191"/>
      <c r="AH463" s="191"/>
      <c r="AJ463" s="215"/>
      <c r="AK463" s="215"/>
      <c r="AL463" s="215"/>
      <c r="AM463" s="215"/>
      <c r="AN463" s="215"/>
      <c r="AO463" s="215"/>
      <c r="AP463" s="191"/>
      <c r="AQ463" s="215"/>
      <c r="AR463" s="191"/>
      <c r="AS463" s="215"/>
      <c r="AT463" s="215"/>
      <c r="AU463" s="215"/>
      <c r="AV463" s="215"/>
      <c r="AW463" s="191"/>
      <c r="AX463" s="191"/>
      <c r="AY463" s="191"/>
      <c r="AZ463" s="191"/>
      <c r="BA463" s="191"/>
      <c r="BB463" s="191"/>
      <c r="BC463" s="191"/>
      <c r="BD463" s="191"/>
      <c r="BE463" s="191"/>
      <c r="BF463" s="191"/>
      <c r="BG463" s="215"/>
      <c r="BH463" s="215"/>
      <c r="BI463" s="215"/>
      <c r="BJ463" s="215"/>
      <c r="BK463" s="215"/>
      <c r="BL463" s="215"/>
      <c r="BM463" s="215"/>
      <c r="BN463" s="215"/>
      <c r="BO463" s="215"/>
      <c r="BP463" s="215"/>
      <c r="BQ463" s="215"/>
      <c r="BR463" s="215"/>
      <c r="BS463" s="191"/>
      <c r="BT463" s="191"/>
      <c r="BU463" s="191"/>
      <c r="BV463" s="191"/>
      <c r="BW463" s="191"/>
      <c r="BX463" s="191"/>
      <c r="BY463" s="191"/>
      <c r="BZ463" s="191"/>
      <c r="CA463" s="191"/>
      <c r="CB463" s="191"/>
      <c r="CC463" s="191"/>
      <c r="CD463" s="215"/>
      <c r="CE463" s="215"/>
      <c r="CF463" s="191"/>
      <c r="CG463" s="215"/>
      <c r="CH463" s="191"/>
      <c r="CI463" s="215"/>
      <c r="CJ463" s="215"/>
      <c r="CK463" s="191"/>
      <c r="CL463" s="240"/>
      <c r="CM463" s="215"/>
      <c r="CN463" s="215"/>
      <c r="CO463" s="215"/>
      <c r="CP463" s="215"/>
      <c r="CQ463" s="215"/>
      <c r="CR463" s="215"/>
      <c r="CS463" s="215"/>
      <c r="CT463" s="215"/>
    </row>
    <row r="464" ht="24.0" customHeight="1">
      <c r="A464" s="184" t="s">
        <v>549</v>
      </c>
      <c r="B464" s="184" t="s">
        <v>2055</v>
      </c>
      <c r="C464" s="184" t="s">
        <v>682</v>
      </c>
      <c r="D464" s="184" t="s">
        <v>2431</v>
      </c>
      <c r="E464" s="236" t="s">
        <v>744</v>
      </c>
      <c r="F464" s="186" t="s">
        <v>2432</v>
      </c>
      <c r="G464" s="185">
        <v>32.0</v>
      </c>
      <c r="H464" s="189" t="s">
        <v>4245</v>
      </c>
      <c r="I464" s="189" t="s">
        <v>4246</v>
      </c>
      <c r="J464" s="189" t="s">
        <v>4247</v>
      </c>
      <c r="K464" s="189" t="s">
        <v>4248</v>
      </c>
      <c r="L464" s="185" t="s">
        <v>4249</v>
      </c>
      <c r="M464" s="189" t="s">
        <v>4250</v>
      </c>
      <c r="N464" s="189" t="s">
        <v>850</v>
      </c>
      <c r="O464" s="189" t="s">
        <v>784</v>
      </c>
      <c r="P464" s="190"/>
      <c r="Q464" s="190"/>
      <c r="R464" s="190"/>
      <c r="S464" s="190"/>
      <c r="T464" s="190"/>
      <c r="U464" s="190"/>
      <c r="V464" s="189" t="s">
        <v>4251</v>
      </c>
      <c r="W464" s="230" t="s">
        <v>4252</v>
      </c>
      <c r="X464" s="245" t="s">
        <v>4253</v>
      </c>
      <c r="Y464" s="189" t="s">
        <v>784</v>
      </c>
      <c r="Z464" s="189" t="s">
        <v>1060</v>
      </c>
      <c r="AA464" s="189" t="s">
        <v>797</v>
      </c>
      <c r="AB464" s="191"/>
      <c r="AC464" s="191"/>
      <c r="AD464" s="191"/>
      <c r="AE464" s="191"/>
      <c r="AF464" s="191"/>
      <c r="AG464" s="191"/>
      <c r="AH464" s="191"/>
      <c r="AJ464" s="215"/>
      <c r="AK464" s="215"/>
      <c r="AL464" s="215"/>
      <c r="AM464" s="215"/>
      <c r="AN464" s="215"/>
      <c r="AO464" s="215"/>
      <c r="AP464" s="191"/>
      <c r="AQ464" s="215"/>
      <c r="AR464" s="191"/>
      <c r="AS464" s="215"/>
      <c r="AT464" s="215"/>
      <c r="AU464" s="215"/>
      <c r="AV464" s="215"/>
      <c r="AW464" s="191"/>
      <c r="AX464" s="191"/>
      <c r="AY464" s="191"/>
      <c r="AZ464" s="191"/>
      <c r="BA464" s="191"/>
      <c r="BB464" s="191"/>
      <c r="BC464" s="215"/>
      <c r="BD464" s="215"/>
      <c r="BE464" s="215"/>
      <c r="BF464" s="215"/>
      <c r="BG464" s="215"/>
      <c r="BH464" s="215"/>
      <c r="BI464" s="215"/>
      <c r="BJ464" s="215"/>
      <c r="BK464" s="215"/>
      <c r="BL464" s="215"/>
      <c r="BM464" s="215"/>
      <c r="BN464" s="215"/>
      <c r="BO464" s="215"/>
      <c r="BP464" s="215"/>
      <c r="BQ464" s="215"/>
      <c r="BR464" s="215"/>
      <c r="BS464" s="191"/>
      <c r="BT464" s="191"/>
      <c r="BU464" s="191"/>
      <c r="BV464" s="191"/>
      <c r="BW464" s="191"/>
      <c r="BX464" s="191"/>
      <c r="BY464" s="191"/>
      <c r="BZ464" s="191"/>
      <c r="CA464" s="191"/>
      <c r="CB464" s="191"/>
      <c r="CC464" s="191"/>
      <c r="CD464" s="215"/>
      <c r="CE464" s="215"/>
      <c r="CF464" s="191"/>
      <c r="CG464" s="215"/>
      <c r="CH464" s="191"/>
      <c r="CI464" s="215"/>
      <c r="CJ464" s="215"/>
      <c r="CK464" s="191"/>
      <c r="CL464" s="240"/>
      <c r="CM464" s="215"/>
      <c r="CN464" s="215"/>
      <c r="CO464" s="215"/>
      <c r="CP464" s="215"/>
      <c r="CQ464" s="215"/>
      <c r="CR464" s="215"/>
      <c r="CS464" s="215"/>
      <c r="CT464" s="215"/>
    </row>
    <row r="465" ht="24.0" customHeight="1">
      <c r="A465" s="184" t="s">
        <v>553</v>
      </c>
      <c r="B465" s="184" t="s">
        <v>2055</v>
      </c>
      <c r="C465" s="184" t="s">
        <v>682</v>
      </c>
      <c r="D465" s="184" t="s">
        <v>2431</v>
      </c>
      <c r="E465" s="236" t="s">
        <v>744</v>
      </c>
      <c r="F465" s="186" t="s">
        <v>2432</v>
      </c>
      <c r="G465" s="185">
        <v>33.0</v>
      </c>
      <c r="H465" s="189" t="s">
        <v>4254</v>
      </c>
      <c r="I465" s="189" t="s">
        <v>4255</v>
      </c>
      <c r="J465" s="189" t="s">
        <v>4256</v>
      </c>
      <c r="K465" s="189" t="s">
        <v>2810</v>
      </c>
      <c r="L465" s="185" t="s">
        <v>4257</v>
      </c>
      <c r="M465" s="189" t="s">
        <v>4258</v>
      </c>
      <c r="N465" s="189" t="s">
        <v>850</v>
      </c>
      <c r="O465" s="189" t="s">
        <v>784</v>
      </c>
      <c r="P465" s="190"/>
      <c r="Q465" s="190"/>
      <c r="R465" s="190"/>
      <c r="S465" s="190"/>
      <c r="T465" s="190"/>
      <c r="U465" s="190"/>
      <c r="V465" s="189" t="s">
        <v>884</v>
      </c>
      <c r="W465" s="230" t="s">
        <v>3043</v>
      </c>
      <c r="X465" s="245" t="s">
        <v>886</v>
      </c>
      <c r="Y465" s="189" t="s">
        <v>784</v>
      </c>
      <c r="Z465" s="189" t="s">
        <v>744</v>
      </c>
      <c r="AA465" s="189" t="s">
        <v>757</v>
      </c>
      <c r="AB465" s="191"/>
      <c r="AC465" s="191"/>
      <c r="AD465" s="191"/>
      <c r="AE465" s="191"/>
      <c r="AF465" s="191"/>
      <c r="AG465" s="191"/>
      <c r="AH465" s="191"/>
      <c r="AJ465" s="215"/>
      <c r="AK465" s="215"/>
      <c r="AL465" s="215"/>
      <c r="AM465" s="215"/>
      <c r="AN465" s="215"/>
      <c r="AO465" s="215"/>
      <c r="AP465" s="191"/>
      <c r="AQ465" s="215"/>
      <c r="AR465" s="191"/>
      <c r="AS465" s="215"/>
      <c r="AT465" s="215"/>
      <c r="AU465" s="215"/>
      <c r="AV465" s="215"/>
      <c r="AW465" s="191"/>
      <c r="AX465" s="191"/>
      <c r="AY465" s="191"/>
      <c r="AZ465" s="191"/>
      <c r="BA465" s="191"/>
      <c r="BB465" s="191"/>
      <c r="BC465" s="215"/>
      <c r="BD465" s="215"/>
      <c r="BE465" s="215"/>
      <c r="BF465" s="215"/>
      <c r="BG465" s="215"/>
      <c r="BH465" s="215"/>
      <c r="BI465" s="215"/>
      <c r="BJ465" s="215"/>
      <c r="BK465" s="215"/>
      <c r="BL465" s="215"/>
      <c r="BM465" s="215"/>
      <c r="BN465" s="215"/>
      <c r="BO465" s="215"/>
      <c r="BP465" s="215"/>
      <c r="BQ465" s="215"/>
      <c r="BR465" s="215"/>
      <c r="BS465" s="191"/>
      <c r="BT465" s="191"/>
      <c r="BU465" s="191"/>
      <c r="BV465" s="191"/>
      <c r="BW465" s="191"/>
      <c r="BX465" s="191"/>
      <c r="BY465" s="191"/>
      <c r="BZ465" s="215"/>
      <c r="CA465" s="191"/>
      <c r="CB465" s="191"/>
      <c r="CC465" s="191"/>
      <c r="CD465" s="215"/>
      <c r="CE465" s="215"/>
      <c r="CF465" s="191"/>
      <c r="CG465" s="215"/>
      <c r="CH465" s="191"/>
      <c r="CI465" s="215"/>
      <c r="CJ465" s="215"/>
      <c r="CK465" s="191"/>
      <c r="CL465" s="240"/>
      <c r="CM465" s="215"/>
      <c r="CN465" s="215"/>
      <c r="CO465" s="215"/>
      <c r="CP465" s="215"/>
      <c r="CQ465" s="215"/>
      <c r="CR465" s="215"/>
      <c r="CS465" s="215"/>
      <c r="CT465" s="215"/>
    </row>
    <row r="466" ht="24.0" customHeight="1">
      <c r="A466" s="184" t="s">
        <v>552</v>
      </c>
      <c r="B466" s="184" t="s">
        <v>2055</v>
      </c>
      <c r="C466" s="184" t="s">
        <v>682</v>
      </c>
      <c r="D466" s="184" t="s">
        <v>2431</v>
      </c>
      <c r="E466" s="236" t="s">
        <v>744</v>
      </c>
      <c r="F466" s="186" t="s">
        <v>2432</v>
      </c>
      <c r="G466" s="185">
        <v>34.0</v>
      </c>
      <c r="H466" s="189" t="s">
        <v>1153</v>
      </c>
      <c r="I466" s="189" t="s">
        <v>4259</v>
      </c>
      <c r="J466" s="189" t="s">
        <v>4260</v>
      </c>
      <c r="K466" s="189" t="s">
        <v>3898</v>
      </c>
      <c r="L466" s="189" t="s">
        <v>4261</v>
      </c>
      <c r="M466" s="189" t="s">
        <v>4262</v>
      </c>
      <c r="N466" s="189" t="s">
        <v>850</v>
      </c>
      <c r="O466" s="189" t="s">
        <v>764</v>
      </c>
      <c r="P466" s="190"/>
      <c r="Q466" s="190"/>
      <c r="R466" s="190"/>
      <c r="S466" s="190"/>
      <c r="T466" s="190"/>
      <c r="U466" s="190"/>
      <c r="V466" s="189" t="s">
        <v>2743</v>
      </c>
      <c r="W466" s="230" t="s">
        <v>2744</v>
      </c>
      <c r="X466" s="245" t="s">
        <v>2745</v>
      </c>
      <c r="Y466" s="189" t="s">
        <v>764</v>
      </c>
      <c r="Z466" s="189" t="s">
        <v>946</v>
      </c>
      <c r="AA466" s="189" t="s">
        <v>797</v>
      </c>
      <c r="AB466" s="191"/>
      <c r="AC466" s="191"/>
      <c r="AD466" s="191"/>
      <c r="AE466" s="191"/>
      <c r="AF466" s="191"/>
      <c r="AG466" s="191"/>
      <c r="AH466" s="191"/>
      <c r="AJ466" s="215"/>
      <c r="AK466" s="215"/>
      <c r="AL466" s="215"/>
      <c r="AM466" s="215"/>
      <c r="AN466" s="215"/>
      <c r="AO466" s="215"/>
      <c r="AP466" s="191"/>
      <c r="AQ466" s="215"/>
      <c r="AR466" s="191"/>
      <c r="AS466" s="215"/>
      <c r="AT466" s="215"/>
      <c r="AU466" s="215"/>
      <c r="AV466" s="215"/>
      <c r="AW466" s="191"/>
      <c r="AX466" s="191"/>
      <c r="AY466" s="191"/>
      <c r="AZ466" s="191"/>
      <c r="BA466" s="191"/>
      <c r="BB466" s="191"/>
      <c r="BC466" s="215"/>
      <c r="BD466" s="215"/>
      <c r="BE466" s="215"/>
      <c r="BF466" s="215"/>
      <c r="BG466" s="215"/>
      <c r="BH466" s="215"/>
      <c r="BI466" s="215"/>
      <c r="BJ466" s="215"/>
      <c r="BK466" s="215"/>
      <c r="BL466" s="215"/>
      <c r="BM466" s="215"/>
      <c r="BN466" s="215"/>
      <c r="BO466" s="215"/>
      <c r="BP466" s="215"/>
      <c r="BQ466" s="215"/>
      <c r="BR466" s="215"/>
      <c r="BS466" s="191"/>
      <c r="BT466" s="191"/>
      <c r="BU466" s="191"/>
      <c r="BV466" s="191"/>
      <c r="BW466" s="191"/>
      <c r="BX466" s="191"/>
      <c r="BY466" s="191"/>
      <c r="BZ466" s="215"/>
      <c r="CA466" s="191"/>
      <c r="CB466" s="191"/>
      <c r="CC466" s="191"/>
      <c r="CD466" s="215"/>
      <c r="CE466" s="215"/>
      <c r="CF466" s="191"/>
      <c r="CG466" s="215"/>
      <c r="CH466" s="191"/>
      <c r="CI466" s="215"/>
      <c r="CJ466" s="191"/>
      <c r="CK466" s="191"/>
      <c r="CL466" s="215"/>
      <c r="CM466" s="215"/>
      <c r="CN466" s="215"/>
      <c r="CO466" s="215"/>
      <c r="CP466" s="215"/>
      <c r="CQ466" s="215"/>
      <c r="CR466" s="215"/>
      <c r="CS466" s="215"/>
      <c r="CT466" s="215"/>
    </row>
    <row r="467" ht="24.0" customHeight="1">
      <c r="A467" s="184" t="s">
        <v>555</v>
      </c>
      <c r="B467" s="184" t="s">
        <v>2055</v>
      </c>
      <c r="C467" s="184" t="s">
        <v>682</v>
      </c>
      <c r="D467" s="184" t="s">
        <v>2431</v>
      </c>
      <c r="E467" s="236" t="s">
        <v>744</v>
      </c>
      <c r="F467" s="186" t="s">
        <v>2432</v>
      </c>
      <c r="G467" s="185">
        <v>35.0</v>
      </c>
      <c r="H467" s="189" t="s">
        <v>4263</v>
      </c>
      <c r="I467" s="189" t="s">
        <v>2743</v>
      </c>
      <c r="J467" s="189" t="s">
        <v>4264</v>
      </c>
      <c r="K467" s="189" t="s">
        <v>4265</v>
      </c>
      <c r="L467" s="189" t="s">
        <v>4266</v>
      </c>
      <c r="M467" s="189" t="s">
        <v>4267</v>
      </c>
      <c r="N467" s="189" t="s">
        <v>850</v>
      </c>
      <c r="O467" s="189" t="s">
        <v>1457</v>
      </c>
      <c r="P467" s="190"/>
      <c r="Q467" s="190"/>
      <c r="R467" s="190"/>
      <c r="S467" s="190"/>
      <c r="T467" s="190"/>
      <c r="U467" s="190"/>
      <c r="V467" s="189" t="s">
        <v>3811</v>
      </c>
      <c r="W467" s="230" t="s">
        <v>4268</v>
      </c>
      <c r="X467" s="245" t="s">
        <v>4269</v>
      </c>
      <c r="Y467" s="189" t="s">
        <v>1457</v>
      </c>
      <c r="Z467" s="189" t="s">
        <v>744</v>
      </c>
      <c r="AA467" s="189" t="s">
        <v>757</v>
      </c>
      <c r="AB467" s="191"/>
      <c r="AC467" s="191"/>
      <c r="AD467" s="191"/>
      <c r="AE467" s="191"/>
      <c r="AF467" s="191"/>
      <c r="AG467" s="191"/>
      <c r="AH467" s="191"/>
      <c r="AJ467" s="215"/>
      <c r="AK467" s="215"/>
      <c r="AL467" s="215"/>
      <c r="AM467" s="215"/>
      <c r="AN467" s="215"/>
      <c r="AO467" s="215"/>
      <c r="AP467" s="191"/>
      <c r="AQ467" s="215"/>
      <c r="AR467" s="191"/>
      <c r="AS467" s="215"/>
      <c r="AT467" s="215"/>
      <c r="AU467" s="215"/>
      <c r="AV467" s="215"/>
      <c r="AW467" s="191"/>
      <c r="AX467" s="191"/>
      <c r="AY467" s="191"/>
      <c r="AZ467" s="191"/>
      <c r="BA467" s="191"/>
      <c r="BB467" s="191"/>
      <c r="BC467" s="215"/>
      <c r="BD467" s="215"/>
      <c r="BE467" s="215"/>
      <c r="BF467" s="215"/>
      <c r="BG467" s="191"/>
      <c r="BH467" s="191"/>
      <c r="BI467" s="191"/>
      <c r="BJ467" s="191"/>
      <c r="BK467" s="191"/>
      <c r="BL467" s="191"/>
      <c r="BM467" s="215"/>
      <c r="BN467" s="215"/>
      <c r="BO467" s="215"/>
      <c r="BP467" s="215"/>
      <c r="BQ467" s="215"/>
      <c r="BR467" s="215"/>
      <c r="BS467" s="191"/>
      <c r="BT467" s="191"/>
      <c r="BU467" s="191"/>
      <c r="BV467" s="191"/>
      <c r="BW467" s="191"/>
      <c r="BX467" s="191"/>
      <c r="BY467" s="191"/>
      <c r="BZ467" s="215"/>
      <c r="CA467" s="191"/>
      <c r="CB467" s="191"/>
      <c r="CC467" s="191"/>
      <c r="CD467" s="215"/>
      <c r="CE467" s="215"/>
      <c r="CF467" s="191"/>
      <c r="CG467" s="215"/>
      <c r="CH467" s="191"/>
      <c r="CI467" s="215"/>
      <c r="CJ467" s="215"/>
      <c r="CK467" s="215"/>
      <c r="CL467" s="240"/>
      <c r="CM467" s="215"/>
      <c r="CN467" s="215"/>
      <c r="CO467" s="215"/>
      <c r="CP467" s="215"/>
      <c r="CQ467" s="215"/>
      <c r="CR467" s="215"/>
      <c r="CS467" s="215"/>
      <c r="CT467" s="215"/>
    </row>
    <row r="468" ht="24.0" customHeight="1">
      <c r="A468" s="184" t="s">
        <v>550</v>
      </c>
      <c r="B468" s="184" t="s">
        <v>2055</v>
      </c>
      <c r="C468" s="184" t="s">
        <v>682</v>
      </c>
      <c r="D468" s="184" t="s">
        <v>2431</v>
      </c>
      <c r="E468" s="236" t="s">
        <v>744</v>
      </c>
      <c r="F468" s="186" t="s">
        <v>2432</v>
      </c>
      <c r="G468" s="185">
        <v>36.0</v>
      </c>
      <c r="H468" s="189" t="s">
        <v>4270</v>
      </c>
      <c r="I468" s="189" t="s">
        <v>2300</v>
      </c>
      <c r="J468" s="189" t="s">
        <v>4271</v>
      </c>
      <c r="K468" s="189" t="s">
        <v>2225</v>
      </c>
      <c r="L468" s="189" t="s">
        <v>4272</v>
      </c>
      <c r="M468" s="237" t="s">
        <v>4273</v>
      </c>
      <c r="N468" s="189" t="s">
        <v>850</v>
      </c>
      <c r="O468" s="189" t="s">
        <v>784</v>
      </c>
      <c r="P468" s="190"/>
      <c r="Q468" s="190"/>
      <c r="R468" s="190"/>
      <c r="S468" s="190"/>
      <c r="T468" s="190"/>
      <c r="U468" s="190"/>
      <c r="V468" s="189" t="s">
        <v>4274</v>
      </c>
      <c r="W468" s="230" t="s">
        <v>2805</v>
      </c>
      <c r="X468" s="245" t="s">
        <v>2806</v>
      </c>
      <c r="Y468" s="189" t="s">
        <v>784</v>
      </c>
      <c r="Z468" s="189" t="s">
        <v>744</v>
      </c>
      <c r="AA468" s="189" t="s">
        <v>757</v>
      </c>
      <c r="AB468" s="191"/>
      <c r="AC468" s="191"/>
      <c r="AD468" s="191"/>
      <c r="AE468" s="191"/>
      <c r="AF468" s="191"/>
      <c r="AG468" s="191"/>
      <c r="AH468" s="191"/>
      <c r="AJ468" s="215"/>
      <c r="AK468" s="215"/>
      <c r="AL468" s="215"/>
      <c r="AM468" s="215"/>
      <c r="AN468" s="215"/>
      <c r="AO468" s="215"/>
      <c r="AP468" s="191"/>
      <c r="AQ468" s="215"/>
      <c r="AR468" s="191"/>
      <c r="AS468" s="215"/>
      <c r="AT468" s="215"/>
      <c r="AU468" s="215"/>
      <c r="AV468" s="215"/>
      <c r="AW468" s="191"/>
      <c r="AX468" s="191"/>
      <c r="AY468" s="191"/>
      <c r="AZ468" s="191"/>
      <c r="BA468" s="191"/>
      <c r="BB468" s="191"/>
      <c r="BC468" s="215"/>
      <c r="BD468" s="215"/>
      <c r="BE468" s="215"/>
      <c r="BF468" s="215"/>
      <c r="BG468" s="191"/>
      <c r="BH468" s="191"/>
      <c r="BI468" s="191"/>
      <c r="BJ468" s="191"/>
      <c r="BK468" s="191"/>
      <c r="BL468" s="191"/>
      <c r="BM468" s="191"/>
      <c r="BN468" s="191"/>
      <c r="BO468" s="191"/>
      <c r="BP468" s="191"/>
      <c r="BQ468" s="215"/>
      <c r="BR468" s="215"/>
      <c r="BS468" s="191"/>
      <c r="BT468" s="191"/>
      <c r="BU468" s="191"/>
      <c r="BV468" s="191"/>
      <c r="BW468" s="191"/>
      <c r="BX468" s="191"/>
      <c r="BY468" s="215"/>
      <c r="BZ468" s="215"/>
      <c r="CA468" s="191"/>
      <c r="CB468" s="191"/>
      <c r="CC468" s="191"/>
      <c r="CD468" s="215"/>
      <c r="CE468" s="215"/>
      <c r="CF468" s="191"/>
      <c r="CG468" s="215"/>
      <c r="CH468" s="191"/>
      <c r="CI468" s="215"/>
      <c r="CJ468" s="215"/>
      <c r="CK468" s="215"/>
      <c r="CL468" s="240"/>
      <c r="CM468" s="215"/>
      <c r="CN468" s="215"/>
      <c r="CO468" s="215"/>
      <c r="CP468" s="215"/>
      <c r="CQ468" s="215"/>
      <c r="CR468" s="215"/>
      <c r="CS468" s="215"/>
      <c r="CT468" s="215"/>
    </row>
    <row r="469" ht="24.0" customHeight="1">
      <c r="A469" s="184" t="s">
        <v>558</v>
      </c>
      <c r="B469" s="184" t="s">
        <v>2055</v>
      </c>
      <c r="C469" s="184" t="s">
        <v>683</v>
      </c>
      <c r="D469" s="184" t="s">
        <v>2431</v>
      </c>
      <c r="E469" s="236" t="s">
        <v>946</v>
      </c>
      <c r="F469" s="186" t="s">
        <v>2432</v>
      </c>
      <c r="G469" s="185">
        <v>37.0</v>
      </c>
      <c r="H469" s="189" t="s">
        <v>4275</v>
      </c>
      <c r="I469" s="189" t="s">
        <v>991</v>
      </c>
      <c r="J469" s="189" t="s">
        <v>4276</v>
      </c>
      <c r="K469" s="189" t="s">
        <v>4277</v>
      </c>
      <c r="L469" s="189" t="s">
        <v>4278</v>
      </c>
      <c r="M469" s="189" t="s">
        <v>4279</v>
      </c>
      <c r="N469" s="189" t="s">
        <v>908</v>
      </c>
      <c r="O469" s="189" t="s">
        <v>764</v>
      </c>
      <c r="P469" s="190"/>
      <c r="Q469" s="190"/>
      <c r="R469" s="190"/>
      <c r="S469" s="190"/>
      <c r="T469" s="190"/>
      <c r="U469" s="190"/>
      <c r="V469" s="189" t="s">
        <v>963</v>
      </c>
      <c r="W469" s="230" t="s">
        <v>964</v>
      </c>
      <c r="X469" s="245" t="s">
        <v>965</v>
      </c>
      <c r="Y469" s="189" t="s">
        <v>764</v>
      </c>
      <c r="Z469" s="189" t="s">
        <v>946</v>
      </c>
      <c r="AA469" s="189" t="s">
        <v>797</v>
      </c>
      <c r="AB469" s="191"/>
      <c r="AC469" s="191"/>
      <c r="AD469" s="191"/>
      <c r="AE469" s="191"/>
      <c r="AF469" s="191"/>
      <c r="AG469" s="191"/>
      <c r="AH469" s="191"/>
      <c r="AJ469" s="215"/>
      <c r="AK469" s="215"/>
      <c r="AL469" s="215"/>
      <c r="AM469" s="215"/>
      <c r="AN469" s="215"/>
      <c r="AO469" s="215"/>
      <c r="AP469" s="191"/>
      <c r="AQ469" s="215"/>
      <c r="AR469" s="191"/>
      <c r="AS469" s="215"/>
      <c r="AT469" s="215"/>
      <c r="AU469" s="215"/>
      <c r="AV469" s="215"/>
      <c r="AW469" s="191"/>
      <c r="AX469" s="191"/>
      <c r="AY469" s="191"/>
      <c r="AZ469" s="191"/>
      <c r="BA469" s="191"/>
      <c r="BB469" s="191"/>
      <c r="BC469" s="215"/>
      <c r="BD469" s="215"/>
      <c r="BE469" s="215"/>
      <c r="BF469" s="215"/>
      <c r="BG469" s="191"/>
      <c r="BH469" s="191"/>
      <c r="BI469" s="191"/>
      <c r="BJ469" s="191"/>
      <c r="BK469" s="215"/>
      <c r="BL469" s="215"/>
      <c r="BM469" s="215"/>
      <c r="BN469" s="215"/>
      <c r="BO469" s="215"/>
      <c r="BP469" s="215"/>
      <c r="BQ469" s="215"/>
      <c r="BR469" s="215"/>
      <c r="BS469" s="191"/>
      <c r="BT469" s="191"/>
      <c r="BU469" s="191"/>
      <c r="BV469" s="191"/>
      <c r="BW469" s="191"/>
      <c r="BX469" s="191"/>
      <c r="BY469" s="191"/>
      <c r="BZ469" s="191"/>
      <c r="CA469" s="191"/>
      <c r="CB469" s="191"/>
      <c r="CC469" s="191"/>
      <c r="CD469" s="215"/>
      <c r="CE469" s="215"/>
      <c r="CF469" s="191"/>
      <c r="CG469" s="215"/>
      <c r="CH469" s="191"/>
      <c r="CI469" s="215"/>
      <c r="CJ469" s="215"/>
      <c r="CK469" s="191"/>
      <c r="CL469" s="215"/>
      <c r="CM469" s="215"/>
      <c r="CN469" s="215"/>
      <c r="CO469" s="215"/>
      <c r="CP469" s="215"/>
      <c r="CQ469" s="215"/>
      <c r="CR469" s="215"/>
      <c r="CS469" s="215"/>
      <c r="CT469" s="215"/>
    </row>
    <row r="470" ht="24.0" customHeight="1">
      <c r="A470" s="184" t="s">
        <v>561</v>
      </c>
      <c r="B470" s="184" t="s">
        <v>2055</v>
      </c>
      <c r="C470" s="184" t="s">
        <v>683</v>
      </c>
      <c r="D470" s="184" t="s">
        <v>2431</v>
      </c>
      <c r="E470" s="236" t="s">
        <v>946</v>
      </c>
      <c r="F470" s="186" t="s">
        <v>2432</v>
      </c>
      <c r="G470" s="185">
        <v>38.0</v>
      </c>
      <c r="H470" s="189" t="s">
        <v>2120</v>
      </c>
      <c r="I470" s="189" t="s">
        <v>4280</v>
      </c>
      <c r="J470" s="189" t="s">
        <v>4281</v>
      </c>
      <c r="K470" s="189" t="s">
        <v>1861</v>
      </c>
      <c r="L470" s="189" t="s">
        <v>4282</v>
      </c>
      <c r="M470" s="189" t="s">
        <v>4283</v>
      </c>
      <c r="N470" s="189" t="s">
        <v>850</v>
      </c>
      <c r="O470" s="189" t="s">
        <v>764</v>
      </c>
      <c r="P470" s="190"/>
      <c r="Q470" s="190"/>
      <c r="R470" s="190"/>
      <c r="S470" s="190"/>
      <c r="T470" s="190"/>
      <c r="U470" s="190"/>
      <c r="V470" s="189" t="s">
        <v>875</v>
      </c>
      <c r="W470" s="230" t="s">
        <v>3906</v>
      </c>
      <c r="X470" s="245" t="s">
        <v>4284</v>
      </c>
      <c r="Y470" s="189" t="s">
        <v>764</v>
      </c>
      <c r="Z470" s="189" t="s">
        <v>946</v>
      </c>
      <c r="AA470" s="189" t="s">
        <v>757</v>
      </c>
      <c r="AB470" s="191"/>
      <c r="AC470" s="191"/>
      <c r="AD470" s="191"/>
      <c r="AE470" s="191"/>
      <c r="AF470" s="191"/>
      <c r="AG470" s="191"/>
      <c r="AH470" s="191"/>
      <c r="AJ470" s="215"/>
      <c r="AK470" s="215"/>
      <c r="AL470" s="215"/>
      <c r="AM470" s="215"/>
      <c r="AN470" s="215"/>
      <c r="AO470" s="215"/>
      <c r="AP470" s="191"/>
      <c r="AQ470" s="215"/>
      <c r="AR470" s="191"/>
      <c r="AS470" s="215"/>
      <c r="AT470" s="215"/>
      <c r="AU470" s="215"/>
      <c r="AV470" s="215"/>
      <c r="AW470" s="191"/>
      <c r="AX470" s="191"/>
      <c r="AY470" s="191"/>
      <c r="AZ470" s="191"/>
      <c r="BA470" s="191"/>
      <c r="BB470" s="191"/>
      <c r="BC470" s="215"/>
      <c r="BD470" s="215"/>
      <c r="BE470" s="215"/>
      <c r="BF470" s="215"/>
      <c r="BG470" s="191"/>
      <c r="BH470" s="191"/>
      <c r="BI470" s="191"/>
      <c r="BJ470" s="191"/>
      <c r="BK470" s="191"/>
      <c r="BL470" s="191"/>
      <c r="BM470" s="191"/>
      <c r="BN470" s="191"/>
      <c r="BO470" s="215"/>
      <c r="BP470" s="215"/>
      <c r="BQ470" s="215"/>
      <c r="BR470" s="215"/>
      <c r="BS470" s="191"/>
      <c r="BT470" s="191"/>
      <c r="BU470" s="191"/>
      <c r="BV470" s="191"/>
      <c r="BW470" s="191"/>
      <c r="BX470" s="191"/>
      <c r="BY470" s="191"/>
      <c r="BZ470" s="215"/>
      <c r="CA470" s="191"/>
      <c r="CB470" s="191"/>
      <c r="CC470" s="191"/>
      <c r="CD470" s="215"/>
      <c r="CE470" s="215"/>
      <c r="CF470" s="191"/>
      <c r="CG470" s="215"/>
      <c r="CH470" s="191"/>
      <c r="CI470" s="215"/>
      <c r="CJ470" s="215"/>
      <c r="CK470" s="215"/>
      <c r="CL470" s="215"/>
      <c r="CM470" s="215"/>
      <c r="CN470" s="215"/>
      <c r="CO470" s="215"/>
      <c r="CP470" s="215"/>
      <c r="CQ470" s="215"/>
      <c r="CR470" s="215"/>
      <c r="CS470" s="215"/>
      <c r="CT470" s="215"/>
    </row>
    <row r="471" ht="24.0" customHeight="1">
      <c r="A471" s="184" t="s">
        <v>559</v>
      </c>
      <c r="B471" s="184" t="s">
        <v>2055</v>
      </c>
      <c r="C471" s="184" t="s">
        <v>683</v>
      </c>
      <c r="D471" s="184" t="s">
        <v>2431</v>
      </c>
      <c r="E471" s="236" t="s">
        <v>946</v>
      </c>
      <c r="F471" s="186" t="s">
        <v>2432</v>
      </c>
      <c r="G471" s="185">
        <v>39.0</v>
      </c>
      <c r="H471" s="189" t="s">
        <v>4285</v>
      </c>
      <c r="I471" s="189" t="s">
        <v>4286</v>
      </c>
      <c r="J471" s="189" t="s">
        <v>4287</v>
      </c>
      <c r="K471" s="189" t="s">
        <v>4288</v>
      </c>
      <c r="L471" s="189" t="s">
        <v>4289</v>
      </c>
      <c r="M471" s="189" t="s">
        <v>4290</v>
      </c>
      <c r="N471" s="189" t="s">
        <v>850</v>
      </c>
      <c r="O471" s="189" t="s">
        <v>764</v>
      </c>
      <c r="P471" s="189" t="s">
        <v>4291</v>
      </c>
      <c r="Q471" s="189" t="s">
        <v>4286</v>
      </c>
      <c r="R471" s="189" t="s">
        <v>4292</v>
      </c>
      <c r="S471" s="189" t="s">
        <v>4293</v>
      </c>
      <c r="T471" s="190"/>
      <c r="U471" s="190"/>
      <c r="V471" s="189" t="s">
        <v>875</v>
      </c>
      <c r="W471" s="230" t="s">
        <v>3906</v>
      </c>
      <c r="X471" s="245" t="s">
        <v>3907</v>
      </c>
      <c r="Y471" s="189" t="s">
        <v>764</v>
      </c>
      <c r="Z471" s="189" t="s">
        <v>946</v>
      </c>
      <c r="AA471" s="189" t="s">
        <v>797</v>
      </c>
      <c r="AB471" s="191"/>
      <c r="AC471" s="191"/>
      <c r="AD471" s="191"/>
      <c r="AE471" s="191"/>
      <c r="AF471" s="191"/>
      <c r="AG471" s="191"/>
      <c r="AH471" s="191"/>
      <c r="AJ471" s="215"/>
      <c r="AK471" s="215"/>
      <c r="AL471" s="215"/>
      <c r="AM471" s="215"/>
      <c r="AN471" s="215"/>
      <c r="AO471" s="215"/>
      <c r="AP471" s="191"/>
      <c r="AQ471" s="215"/>
      <c r="AR471" s="191"/>
      <c r="AS471" s="215"/>
      <c r="AT471" s="215"/>
      <c r="AU471" s="215"/>
      <c r="AV471" s="215"/>
      <c r="AW471" s="191"/>
      <c r="AX471" s="191"/>
      <c r="AY471" s="191"/>
      <c r="AZ471" s="191"/>
      <c r="BA471" s="191"/>
      <c r="BB471" s="191"/>
      <c r="BC471" s="215"/>
      <c r="BD471" s="215"/>
      <c r="BE471" s="215"/>
      <c r="BF471" s="215"/>
      <c r="BG471" s="215"/>
      <c r="BH471" s="215"/>
      <c r="BI471" s="215"/>
      <c r="BJ471" s="215"/>
      <c r="BK471" s="215"/>
      <c r="BL471" s="215"/>
      <c r="BM471" s="215"/>
      <c r="BN471" s="215"/>
      <c r="BO471" s="215"/>
      <c r="BP471" s="215"/>
      <c r="BQ471" s="215"/>
      <c r="BR471" s="215"/>
      <c r="BS471" s="191"/>
      <c r="BT471" s="191"/>
      <c r="BU471" s="191"/>
      <c r="BV471" s="191"/>
      <c r="BW471" s="191"/>
      <c r="BX471" s="191"/>
      <c r="BY471" s="191"/>
      <c r="BZ471" s="191"/>
      <c r="CA471" s="191"/>
      <c r="CB471" s="191"/>
      <c r="CC471" s="191"/>
      <c r="CD471" s="215"/>
      <c r="CE471" s="215"/>
      <c r="CF471" s="191"/>
      <c r="CG471" s="215"/>
      <c r="CH471" s="191"/>
      <c r="CI471" s="215"/>
      <c r="CJ471" s="215"/>
      <c r="CK471" s="215"/>
      <c r="CL471" s="215"/>
      <c r="CM471" s="215"/>
      <c r="CN471" s="215"/>
      <c r="CO471" s="215"/>
      <c r="CP471" s="215"/>
      <c r="CQ471" s="215"/>
      <c r="CR471" s="215"/>
      <c r="CS471" s="215"/>
      <c r="CT471" s="215"/>
    </row>
    <row r="472" ht="24.0" customHeight="1">
      <c r="A472" s="184" t="s">
        <v>556</v>
      </c>
      <c r="B472" s="184" t="s">
        <v>2055</v>
      </c>
      <c r="C472" s="184" t="s">
        <v>683</v>
      </c>
      <c r="D472" s="184" t="s">
        <v>2431</v>
      </c>
      <c r="E472" s="236" t="s">
        <v>946</v>
      </c>
      <c r="F472" s="186" t="s">
        <v>2432</v>
      </c>
      <c r="G472" s="185">
        <v>40.0</v>
      </c>
      <c r="H472" s="189" t="s">
        <v>2271</v>
      </c>
      <c r="I472" s="189" t="s">
        <v>4294</v>
      </c>
      <c r="J472" s="189" t="s">
        <v>4295</v>
      </c>
      <c r="K472" s="189" t="s">
        <v>4296</v>
      </c>
      <c r="L472" s="189" t="s">
        <v>4297</v>
      </c>
      <c r="M472" s="189" t="s">
        <v>4298</v>
      </c>
      <c r="N472" s="189" t="s">
        <v>850</v>
      </c>
      <c r="O472" s="189" t="s">
        <v>893</v>
      </c>
      <c r="P472" s="190"/>
      <c r="Q472" s="190"/>
      <c r="R472" s="190"/>
      <c r="S472" s="190"/>
      <c r="T472" s="190"/>
      <c r="U472" s="190"/>
      <c r="V472" s="189" t="s">
        <v>3259</v>
      </c>
      <c r="W472" s="230" t="s">
        <v>3260</v>
      </c>
      <c r="X472" s="245" t="s">
        <v>3261</v>
      </c>
      <c r="Y472" s="189" t="s">
        <v>893</v>
      </c>
      <c r="Z472" s="189" t="s">
        <v>946</v>
      </c>
      <c r="AA472" s="189" t="s">
        <v>757</v>
      </c>
      <c r="AB472" s="191"/>
      <c r="AC472" s="191"/>
      <c r="AD472" s="191"/>
      <c r="AE472" s="191"/>
      <c r="AF472" s="191"/>
      <c r="AG472" s="191"/>
      <c r="AH472" s="191"/>
      <c r="AJ472" s="215"/>
      <c r="AK472" s="215"/>
      <c r="AL472" s="215"/>
      <c r="AM472" s="215"/>
      <c r="AN472" s="215"/>
      <c r="AO472" s="215"/>
      <c r="AP472" s="191"/>
      <c r="AQ472" s="215"/>
      <c r="AR472" s="191"/>
      <c r="AS472" s="215"/>
      <c r="AT472" s="215"/>
      <c r="AU472" s="215"/>
      <c r="AV472" s="215"/>
      <c r="AW472" s="191"/>
      <c r="AX472" s="191"/>
      <c r="AY472" s="191"/>
      <c r="AZ472" s="191"/>
      <c r="BA472" s="191"/>
      <c r="BB472" s="191"/>
      <c r="BC472" s="191"/>
      <c r="BD472" s="191"/>
      <c r="BE472" s="191"/>
      <c r="BF472" s="191"/>
      <c r="BG472" s="215"/>
      <c r="BH472" s="215"/>
      <c r="BI472" s="215"/>
      <c r="BJ472" s="215"/>
      <c r="BK472" s="215"/>
      <c r="BL472" s="215"/>
      <c r="BM472" s="215"/>
      <c r="BN472" s="215"/>
      <c r="BO472" s="215"/>
      <c r="BP472" s="215"/>
      <c r="BQ472" s="215"/>
      <c r="BR472" s="215"/>
      <c r="BS472" s="191"/>
      <c r="BT472" s="191"/>
      <c r="BU472" s="191"/>
      <c r="BV472" s="191"/>
      <c r="BW472" s="191"/>
      <c r="BX472" s="191"/>
      <c r="BY472" s="191"/>
      <c r="BZ472" s="215"/>
      <c r="CA472" s="191"/>
      <c r="CB472" s="191"/>
      <c r="CC472" s="191"/>
      <c r="CD472" s="215"/>
      <c r="CE472" s="215"/>
      <c r="CF472" s="191"/>
      <c r="CG472" s="215"/>
      <c r="CH472" s="191"/>
      <c r="CI472" s="215"/>
      <c r="CJ472" s="215"/>
      <c r="CK472" s="215"/>
      <c r="CL472" s="215"/>
      <c r="CM472" s="215"/>
      <c r="CN472" s="215"/>
      <c r="CO472" s="215"/>
      <c r="CP472" s="215"/>
      <c r="CQ472" s="215"/>
      <c r="CR472" s="215"/>
      <c r="CS472" s="215"/>
      <c r="CT472" s="215"/>
    </row>
    <row r="473" ht="24.0" customHeight="1">
      <c r="A473" s="220" t="s">
        <v>562</v>
      </c>
      <c r="B473" s="220" t="s">
        <v>2055</v>
      </c>
      <c r="C473" s="220" t="s">
        <v>683</v>
      </c>
      <c r="D473" s="184" t="s">
        <v>2431</v>
      </c>
      <c r="E473" s="246" t="s">
        <v>946</v>
      </c>
      <c r="F473" s="186" t="s">
        <v>2432</v>
      </c>
      <c r="G473" s="225">
        <v>41.0</v>
      </c>
      <c r="H473" s="224" t="s">
        <v>1278</v>
      </c>
      <c r="I473" s="224" t="s">
        <v>1404</v>
      </c>
      <c r="J473" s="224" t="s">
        <v>4299</v>
      </c>
      <c r="K473" s="224" t="s">
        <v>4300</v>
      </c>
      <c r="L473" s="225" t="s">
        <v>4301</v>
      </c>
      <c r="M473" s="224" t="s">
        <v>4302</v>
      </c>
      <c r="N473" s="224" t="s">
        <v>850</v>
      </c>
      <c r="O473" s="224" t="s">
        <v>764</v>
      </c>
      <c r="P473" s="190"/>
      <c r="Q473" s="190"/>
      <c r="R473" s="190"/>
      <c r="S473" s="190"/>
      <c r="T473" s="190"/>
      <c r="U473" s="190"/>
      <c r="V473" s="224" t="s">
        <v>4303</v>
      </c>
      <c r="W473" s="234" t="s">
        <v>4304</v>
      </c>
      <c r="X473" s="247" t="s">
        <v>4305</v>
      </c>
      <c r="Y473" s="224" t="s">
        <v>764</v>
      </c>
      <c r="Z473" s="224" t="s">
        <v>946</v>
      </c>
      <c r="AA473" s="224" t="s">
        <v>757</v>
      </c>
      <c r="AB473" s="191"/>
      <c r="AC473" s="191"/>
      <c r="AD473" s="191"/>
      <c r="AE473" s="191"/>
      <c r="AF473" s="191"/>
      <c r="AG473" s="191"/>
      <c r="AH473" s="191"/>
      <c r="AJ473" s="215"/>
      <c r="AK473" s="215"/>
      <c r="AL473" s="215"/>
      <c r="AM473" s="215"/>
      <c r="AN473" s="215"/>
      <c r="AO473" s="215"/>
      <c r="AP473" s="191"/>
      <c r="AQ473" s="215"/>
      <c r="AR473" s="191"/>
      <c r="AS473" s="215"/>
      <c r="AT473" s="215"/>
      <c r="AU473" s="215"/>
      <c r="AV473" s="215"/>
      <c r="AW473" s="191"/>
      <c r="AX473" s="191"/>
      <c r="AY473" s="191"/>
      <c r="AZ473" s="191"/>
      <c r="BA473" s="191"/>
      <c r="BB473" s="191"/>
      <c r="BC473" s="215"/>
      <c r="BD473" s="215"/>
      <c r="BE473" s="215"/>
      <c r="BF473" s="215"/>
      <c r="BG473" s="215"/>
      <c r="BH473" s="215"/>
      <c r="BI473" s="215"/>
      <c r="BJ473" s="215"/>
      <c r="BK473" s="215"/>
      <c r="BL473" s="215"/>
      <c r="BM473" s="215"/>
      <c r="BN473" s="215"/>
      <c r="BO473" s="215"/>
      <c r="BP473" s="215"/>
      <c r="BQ473" s="215"/>
      <c r="BR473" s="215"/>
      <c r="BS473" s="191"/>
      <c r="BT473" s="191"/>
      <c r="BU473" s="191"/>
      <c r="BV473" s="191"/>
      <c r="BW473" s="191"/>
      <c r="BX473" s="191"/>
      <c r="BY473" s="191"/>
      <c r="BZ473" s="191"/>
      <c r="CA473" s="191"/>
      <c r="CB473" s="191"/>
      <c r="CC473" s="191"/>
      <c r="CD473" s="215"/>
      <c r="CE473" s="215"/>
      <c r="CF473" s="191"/>
      <c r="CG473" s="215"/>
      <c r="CH473" s="191"/>
      <c r="CI473" s="215"/>
      <c r="CJ473" s="215"/>
      <c r="CK473" s="215"/>
      <c r="CL473" s="215"/>
      <c r="CM473" s="215"/>
      <c r="CN473" s="215"/>
      <c r="CO473" s="215"/>
      <c r="CP473" s="215"/>
      <c r="CQ473" s="215"/>
      <c r="CR473" s="215"/>
      <c r="CS473" s="215"/>
      <c r="CT473" s="215"/>
    </row>
    <row r="474" ht="24.0" customHeight="1">
      <c r="A474" s="184" t="s">
        <v>557</v>
      </c>
      <c r="B474" s="184" t="s">
        <v>2055</v>
      </c>
      <c r="C474" s="184" t="s">
        <v>683</v>
      </c>
      <c r="D474" s="184" t="s">
        <v>2431</v>
      </c>
      <c r="E474" s="236" t="s">
        <v>946</v>
      </c>
      <c r="F474" s="186" t="s">
        <v>2432</v>
      </c>
      <c r="G474" s="185">
        <v>42.0</v>
      </c>
      <c r="H474" s="189" t="s">
        <v>4306</v>
      </c>
      <c r="I474" s="189" t="s">
        <v>4307</v>
      </c>
      <c r="J474" s="189" t="s">
        <v>4308</v>
      </c>
      <c r="K474" s="189" t="s">
        <v>4309</v>
      </c>
      <c r="L474" s="189" t="s">
        <v>4310</v>
      </c>
      <c r="M474" s="190" t="s">
        <v>4311</v>
      </c>
      <c r="N474" s="189" t="s">
        <v>850</v>
      </c>
      <c r="O474" s="189" t="s">
        <v>764</v>
      </c>
      <c r="P474" s="190"/>
      <c r="Q474" s="190"/>
      <c r="R474" s="190"/>
      <c r="S474" s="190"/>
      <c r="T474" s="190"/>
      <c r="U474" s="190"/>
      <c r="V474" s="189" t="s">
        <v>972</v>
      </c>
      <c r="W474" s="230" t="s">
        <v>4312</v>
      </c>
      <c r="X474" s="245" t="s">
        <v>974</v>
      </c>
      <c r="Y474" s="189" t="s">
        <v>764</v>
      </c>
      <c r="Z474" s="189" t="s">
        <v>946</v>
      </c>
      <c r="AA474" s="189" t="s">
        <v>797</v>
      </c>
      <c r="AB474" s="191"/>
      <c r="AC474" s="191"/>
      <c r="AD474" s="191"/>
      <c r="AE474" s="191"/>
      <c r="AF474" s="191"/>
      <c r="AG474" s="191"/>
      <c r="AH474" s="191"/>
      <c r="AJ474" s="215"/>
      <c r="AK474" s="215"/>
      <c r="AL474" s="215"/>
      <c r="AM474" s="215"/>
      <c r="AN474" s="215"/>
      <c r="AO474" s="215"/>
      <c r="AP474" s="191"/>
      <c r="AQ474" s="215"/>
      <c r="AR474" s="191"/>
      <c r="AS474" s="215"/>
      <c r="AT474" s="215"/>
      <c r="AU474" s="215"/>
      <c r="AV474" s="215"/>
      <c r="AW474" s="191"/>
      <c r="AX474" s="191"/>
      <c r="AY474" s="191"/>
      <c r="AZ474" s="191"/>
      <c r="BA474" s="191"/>
      <c r="BB474" s="191"/>
      <c r="BC474" s="215"/>
      <c r="BD474" s="215"/>
      <c r="BE474" s="215"/>
      <c r="BF474" s="215"/>
      <c r="BG474" s="191"/>
      <c r="BH474" s="215"/>
      <c r="BI474" s="215"/>
      <c r="BJ474" s="215"/>
      <c r="BK474" s="215"/>
      <c r="BL474" s="215"/>
      <c r="BM474" s="215"/>
      <c r="BN474" s="215"/>
      <c r="BO474" s="215"/>
      <c r="BP474" s="215"/>
      <c r="BQ474" s="215"/>
      <c r="BR474" s="215"/>
      <c r="BS474" s="191"/>
      <c r="BT474" s="191"/>
      <c r="BU474" s="191"/>
      <c r="BV474" s="191"/>
      <c r="BW474" s="191"/>
      <c r="BX474" s="191"/>
      <c r="BY474" s="215"/>
      <c r="BZ474" s="215"/>
      <c r="CA474" s="191"/>
      <c r="CB474" s="191"/>
      <c r="CC474" s="191"/>
      <c r="CD474" s="215"/>
      <c r="CE474" s="215"/>
      <c r="CF474" s="191"/>
      <c r="CG474" s="215"/>
      <c r="CH474" s="191"/>
      <c r="CI474" s="215"/>
      <c r="CJ474" s="215"/>
      <c r="CK474" s="215"/>
      <c r="CL474" s="215"/>
      <c r="CM474" s="215"/>
      <c r="CN474" s="215"/>
      <c r="CO474" s="215"/>
      <c r="CP474" s="215"/>
      <c r="CQ474" s="215"/>
      <c r="CR474" s="215"/>
      <c r="CS474" s="215"/>
      <c r="CT474" s="215"/>
    </row>
    <row r="475" ht="24.0" customHeight="1">
      <c r="A475" s="184" t="s">
        <v>560</v>
      </c>
      <c r="B475" s="184" t="s">
        <v>2055</v>
      </c>
      <c r="C475" s="184" t="s">
        <v>683</v>
      </c>
      <c r="D475" s="184" t="s">
        <v>2431</v>
      </c>
      <c r="E475" s="236" t="s">
        <v>946</v>
      </c>
      <c r="F475" s="186" t="s">
        <v>2432</v>
      </c>
      <c r="G475" s="185">
        <v>43.0</v>
      </c>
      <c r="H475" s="189" t="s">
        <v>869</v>
      </c>
      <c r="I475" s="189" t="s">
        <v>1711</v>
      </c>
      <c r="J475" s="189" t="s">
        <v>4313</v>
      </c>
      <c r="K475" s="189" t="s">
        <v>4314</v>
      </c>
      <c r="L475" s="189" t="s">
        <v>4315</v>
      </c>
      <c r="M475" s="190" t="s">
        <v>4316</v>
      </c>
      <c r="N475" s="189" t="s">
        <v>850</v>
      </c>
      <c r="O475" s="189" t="s">
        <v>764</v>
      </c>
      <c r="P475" s="190"/>
      <c r="Q475" s="190"/>
      <c r="R475" s="190"/>
      <c r="S475" s="190"/>
      <c r="T475" s="190"/>
      <c r="U475" s="190"/>
      <c r="V475" s="189" t="s">
        <v>4317</v>
      </c>
      <c r="W475" s="230" t="s">
        <v>2157</v>
      </c>
      <c r="X475" s="245" t="s">
        <v>4318</v>
      </c>
      <c r="Y475" s="189" t="s">
        <v>1376</v>
      </c>
      <c r="Z475" s="189" t="s">
        <v>946</v>
      </c>
      <c r="AA475" s="189" t="s">
        <v>757</v>
      </c>
      <c r="AB475" s="191"/>
      <c r="AC475" s="191"/>
      <c r="AD475" s="191"/>
      <c r="AE475" s="191"/>
      <c r="AF475" s="191"/>
      <c r="AG475" s="191"/>
      <c r="AH475" s="191"/>
      <c r="AJ475" s="215"/>
      <c r="AK475" s="215"/>
      <c r="AL475" s="215"/>
      <c r="AM475" s="215"/>
      <c r="AN475" s="215"/>
      <c r="AO475" s="215"/>
      <c r="AP475" s="191"/>
      <c r="AQ475" s="215"/>
      <c r="AR475" s="191"/>
      <c r="AS475" s="215"/>
      <c r="AT475" s="215"/>
      <c r="AU475" s="215"/>
      <c r="AV475" s="215"/>
      <c r="AW475" s="191"/>
      <c r="AX475" s="191"/>
      <c r="AY475" s="191"/>
      <c r="AZ475" s="191"/>
      <c r="BA475" s="191"/>
      <c r="BB475" s="191"/>
      <c r="BC475" s="215"/>
      <c r="BD475" s="215"/>
      <c r="BE475" s="215"/>
      <c r="BF475" s="215"/>
      <c r="BG475" s="215"/>
      <c r="BH475" s="215"/>
      <c r="BI475" s="215"/>
      <c r="BJ475" s="215"/>
      <c r="BK475" s="215"/>
      <c r="BL475" s="215"/>
      <c r="BM475" s="215"/>
      <c r="BN475" s="215"/>
      <c r="BO475" s="215"/>
      <c r="BP475" s="215"/>
      <c r="BQ475" s="215"/>
      <c r="BR475" s="215"/>
      <c r="BS475" s="191"/>
      <c r="BT475" s="191"/>
      <c r="BU475" s="191"/>
      <c r="BV475" s="191"/>
      <c r="BW475" s="191"/>
      <c r="BX475" s="191"/>
      <c r="BY475" s="191"/>
      <c r="BZ475" s="191"/>
      <c r="CA475" s="191"/>
      <c r="CB475" s="191"/>
      <c r="CC475" s="191"/>
      <c r="CD475" s="215"/>
      <c r="CE475" s="215"/>
      <c r="CF475" s="191"/>
      <c r="CG475" s="215"/>
      <c r="CH475" s="191"/>
      <c r="CI475" s="215"/>
      <c r="CJ475" s="215"/>
      <c r="CK475" s="215"/>
      <c r="CL475" s="215"/>
      <c r="CM475" s="215"/>
      <c r="CN475" s="215"/>
      <c r="CO475" s="215"/>
      <c r="CP475" s="215"/>
      <c r="CQ475" s="215"/>
      <c r="CR475" s="215"/>
      <c r="CS475" s="215"/>
      <c r="CT475" s="215"/>
    </row>
    <row r="476" ht="26.25" customHeight="1">
      <c r="A476" s="184" t="s">
        <v>563</v>
      </c>
      <c r="B476" s="184" t="s">
        <v>2055</v>
      </c>
      <c r="C476" s="184" t="s">
        <v>683</v>
      </c>
      <c r="D476" s="184" t="s">
        <v>2431</v>
      </c>
      <c r="E476" s="236" t="s">
        <v>946</v>
      </c>
      <c r="F476" s="186" t="s">
        <v>2432</v>
      </c>
      <c r="G476" s="185">
        <v>44.0</v>
      </c>
      <c r="H476" s="189" t="s">
        <v>4319</v>
      </c>
      <c r="I476" s="189" t="s">
        <v>1504</v>
      </c>
      <c r="J476" s="189" t="s">
        <v>4320</v>
      </c>
      <c r="K476" s="189" t="s">
        <v>4321</v>
      </c>
      <c r="L476" s="189" t="s">
        <v>4322</v>
      </c>
      <c r="M476" s="190" t="s">
        <v>4323</v>
      </c>
      <c r="N476" s="189" t="s">
        <v>850</v>
      </c>
      <c r="O476" s="189" t="s">
        <v>764</v>
      </c>
      <c r="P476" s="190"/>
      <c r="Q476" s="190"/>
      <c r="R476" s="190"/>
      <c r="S476" s="190"/>
      <c r="T476" s="190"/>
      <c r="U476" s="190"/>
      <c r="V476" s="189" t="s">
        <v>4324</v>
      </c>
      <c r="W476" s="230" t="s">
        <v>4325</v>
      </c>
      <c r="X476" s="245" t="s">
        <v>4326</v>
      </c>
      <c r="Y476" s="189" t="s">
        <v>764</v>
      </c>
      <c r="Z476" s="189" t="s">
        <v>946</v>
      </c>
      <c r="AA476" s="189" t="s">
        <v>757</v>
      </c>
      <c r="AB476" s="191"/>
      <c r="AC476" s="191"/>
      <c r="AD476" s="191"/>
      <c r="AE476" s="191"/>
      <c r="AF476" s="191"/>
      <c r="AG476" s="191"/>
      <c r="AH476" s="191"/>
      <c r="AJ476" s="215"/>
      <c r="AK476" s="215"/>
      <c r="AL476" s="215"/>
      <c r="AM476" s="215"/>
      <c r="AN476" s="215"/>
      <c r="AO476" s="215"/>
      <c r="AP476" s="191"/>
      <c r="AQ476" s="215"/>
      <c r="AR476" s="191"/>
      <c r="AS476" s="215"/>
      <c r="AT476" s="215"/>
      <c r="AU476" s="215"/>
      <c r="AV476" s="215"/>
      <c r="AW476" s="191"/>
      <c r="AX476" s="191"/>
      <c r="AY476" s="191"/>
      <c r="AZ476" s="191"/>
      <c r="BA476" s="191"/>
      <c r="BB476" s="191"/>
      <c r="BC476" s="215"/>
      <c r="BD476" s="215"/>
      <c r="BE476" s="215"/>
      <c r="BF476" s="215"/>
      <c r="BG476" s="215"/>
      <c r="BH476" s="215"/>
      <c r="BI476" s="215"/>
      <c r="BJ476" s="215"/>
      <c r="BK476" s="215"/>
      <c r="BL476" s="215"/>
      <c r="BM476" s="215"/>
      <c r="BN476" s="215"/>
      <c r="BO476" s="215"/>
      <c r="BP476" s="215"/>
      <c r="BQ476" s="215"/>
      <c r="BR476" s="215"/>
      <c r="BS476" s="191"/>
      <c r="BT476" s="191"/>
      <c r="BU476" s="191"/>
      <c r="BV476" s="191"/>
      <c r="BW476" s="191"/>
      <c r="BX476" s="191"/>
      <c r="BY476" s="191"/>
      <c r="BZ476" s="215"/>
      <c r="CA476" s="191"/>
      <c r="CB476" s="191"/>
      <c r="CC476" s="191"/>
      <c r="CD476" s="215"/>
      <c r="CE476" s="215"/>
      <c r="CF476" s="191"/>
      <c r="CG476" s="215"/>
      <c r="CH476" s="191"/>
      <c r="CI476" s="215"/>
      <c r="CJ476" s="191"/>
      <c r="CK476" s="215"/>
      <c r="CL476" s="191"/>
      <c r="CM476" s="215"/>
      <c r="CN476" s="215"/>
      <c r="CO476" s="215"/>
      <c r="CP476" s="215"/>
      <c r="CQ476" s="215"/>
      <c r="CR476" s="215"/>
      <c r="CS476" s="215"/>
      <c r="CT476" s="215"/>
    </row>
    <row r="477" ht="26.25" customHeight="1">
      <c r="A477" s="184" t="s">
        <v>571</v>
      </c>
      <c r="B477" s="184" t="s">
        <v>2055</v>
      </c>
      <c r="C477" s="184" t="s">
        <v>684</v>
      </c>
      <c r="D477" s="184" t="s">
        <v>2431</v>
      </c>
      <c r="E477" s="236" t="s">
        <v>1105</v>
      </c>
      <c r="F477" s="186" t="s">
        <v>2432</v>
      </c>
      <c r="G477" s="185">
        <v>45.0</v>
      </c>
      <c r="H477" s="189" t="s">
        <v>4327</v>
      </c>
      <c r="I477" s="255" t="s">
        <v>4328</v>
      </c>
      <c r="J477" s="189" t="s">
        <v>4329</v>
      </c>
      <c r="K477" s="189" t="s">
        <v>4330</v>
      </c>
      <c r="L477" s="189" t="s">
        <v>4331</v>
      </c>
      <c r="M477" s="189" t="s">
        <v>4332</v>
      </c>
      <c r="N477" s="189" t="s">
        <v>908</v>
      </c>
      <c r="O477" s="189" t="s">
        <v>893</v>
      </c>
      <c r="P477" s="190"/>
      <c r="Q477" s="190"/>
      <c r="R477" s="190"/>
      <c r="S477" s="190"/>
      <c r="T477" s="190"/>
      <c r="U477" s="190"/>
      <c r="V477" s="189" t="s">
        <v>4333</v>
      </c>
      <c r="W477" s="230" t="s">
        <v>1062</v>
      </c>
      <c r="X477" s="245" t="s">
        <v>4334</v>
      </c>
      <c r="Y477" s="189" t="s">
        <v>893</v>
      </c>
      <c r="Z477" s="189" t="s">
        <v>1105</v>
      </c>
      <c r="AA477" s="189" t="s">
        <v>1654</v>
      </c>
      <c r="AB477" s="191"/>
      <c r="AC477" s="191"/>
      <c r="AD477" s="191"/>
      <c r="AE477" s="191"/>
      <c r="AF477" s="191"/>
      <c r="AG477" s="191"/>
      <c r="AH477" s="191"/>
      <c r="AJ477" s="215"/>
      <c r="AK477" s="215"/>
      <c r="AL477" s="215"/>
      <c r="AM477" s="215"/>
      <c r="AN477" s="215"/>
      <c r="AO477" s="215"/>
      <c r="AP477" s="191"/>
      <c r="AQ477" s="215"/>
      <c r="AR477" s="215"/>
      <c r="AS477" s="215"/>
      <c r="AT477" s="215"/>
      <c r="AU477" s="215"/>
      <c r="AV477" s="215"/>
      <c r="AW477" s="191"/>
      <c r="AX477" s="191"/>
      <c r="AY477" s="191"/>
      <c r="AZ477" s="191"/>
      <c r="BA477" s="191"/>
      <c r="BB477" s="191"/>
      <c r="BC477" s="191"/>
      <c r="BD477" s="191"/>
      <c r="BE477" s="191"/>
      <c r="BF477" s="191"/>
      <c r="BG477" s="215"/>
      <c r="BH477" s="215"/>
      <c r="BI477" s="215"/>
      <c r="BJ477" s="215"/>
      <c r="BK477" s="215"/>
      <c r="BL477" s="215"/>
      <c r="BM477" s="215"/>
      <c r="BN477" s="215"/>
      <c r="BO477" s="215"/>
      <c r="BP477" s="215"/>
      <c r="BQ477" s="215"/>
      <c r="BR477" s="215"/>
      <c r="BS477" s="191"/>
      <c r="BT477" s="191"/>
      <c r="BU477" s="191"/>
      <c r="BV477" s="191"/>
      <c r="BW477" s="191"/>
      <c r="BX477" s="191"/>
      <c r="BY477" s="215"/>
      <c r="BZ477" s="191"/>
      <c r="CA477" s="191"/>
      <c r="CB477" s="191"/>
      <c r="CC477" s="191"/>
      <c r="CD477" s="215"/>
      <c r="CE477" s="215"/>
      <c r="CF477" s="191"/>
      <c r="CG477" s="215"/>
      <c r="CH477" s="191"/>
      <c r="CI477" s="215"/>
      <c r="CJ477" s="215"/>
      <c r="CK477" s="215"/>
      <c r="CL477" s="215"/>
      <c r="CM477" s="215"/>
      <c r="CN477" s="215"/>
      <c r="CO477" s="215"/>
      <c r="CP477" s="215"/>
      <c r="CQ477" s="215"/>
      <c r="CR477" s="215"/>
      <c r="CS477" s="215"/>
      <c r="CT477" s="215"/>
    </row>
    <row r="478" ht="26.25" customHeight="1">
      <c r="A478" s="184" t="s">
        <v>569</v>
      </c>
      <c r="B478" s="184" t="s">
        <v>2055</v>
      </c>
      <c r="C478" s="184" t="s">
        <v>684</v>
      </c>
      <c r="D478" s="184" t="s">
        <v>2431</v>
      </c>
      <c r="E478" s="186" t="s">
        <v>1105</v>
      </c>
      <c r="F478" s="186" t="s">
        <v>2432</v>
      </c>
      <c r="G478" s="185">
        <v>46.0</v>
      </c>
      <c r="H478" s="185" t="s">
        <v>2408</v>
      </c>
      <c r="I478" s="185" t="s">
        <v>1116</v>
      </c>
      <c r="J478" s="185" t="s">
        <v>4335</v>
      </c>
      <c r="K478" s="185" t="s">
        <v>4336</v>
      </c>
      <c r="L478" s="185" t="s">
        <v>4337</v>
      </c>
      <c r="M478" s="185" t="s">
        <v>4338</v>
      </c>
      <c r="N478" s="185" t="s">
        <v>908</v>
      </c>
      <c r="O478" s="185" t="s">
        <v>893</v>
      </c>
      <c r="P478" s="190"/>
      <c r="Q478" s="190"/>
      <c r="R478" s="190"/>
      <c r="S478" s="190"/>
      <c r="T478" s="190"/>
      <c r="U478" s="210"/>
      <c r="V478" s="185" t="s">
        <v>1386</v>
      </c>
      <c r="W478" s="230" t="s">
        <v>1823</v>
      </c>
      <c r="X478" s="245" t="s">
        <v>1824</v>
      </c>
      <c r="Y478" s="185" t="s">
        <v>893</v>
      </c>
      <c r="Z478" s="185" t="s">
        <v>1105</v>
      </c>
      <c r="AA478" s="189" t="s">
        <v>757</v>
      </c>
      <c r="AB478" s="231"/>
      <c r="AC478" s="231"/>
      <c r="AD478" s="231"/>
      <c r="AE478" s="231"/>
      <c r="AF478" s="231"/>
      <c r="AG478" s="231"/>
      <c r="AH478" s="231"/>
      <c r="AJ478" s="231"/>
      <c r="AK478" s="232"/>
      <c r="AL478" s="231"/>
      <c r="AM478" s="232"/>
      <c r="AN478" s="231"/>
      <c r="AO478" s="232"/>
      <c r="AP478" s="232"/>
      <c r="AQ478" s="232"/>
      <c r="AR478" s="232"/>
      <c r="AS478" s="232"/>
      <c r="AT478" s="232"/>
      <c r="AU478" s="232"/>
      <c r="AV478" s="232"/>
      <c r="AW478" s="231"/>
      <c r="AX478" s="231"/>
      <c r="AY478" s="231"/>
      <c r="AZ478" s="231"/>
      <c r="BA478" s="231"/>
      <c r="BB478" s="231"/>
      <c r="BC478" s="232"/>
      <c r="BD478" s="232"/>
      <c r="BE478" s="232"/>
      <c r="BF478" s="232"/>
      <c r="BG478" s="231"/>
      <c r="BH478" s="231"/>
      <c r="BI478" s="231"/>
      <c r="BJ478" s="231"/>
      <c r="BK478" s="231"/>
      <c r="BL478" s="231"/>
      <c r="BM478" s="232"/>
      <c r="BN478" s="232"/>
      <c r="BO478" s="232"/>
      <c r="BP478" s="232"/>
      <c r="BQ478" s="232"/>
      <c r="BR478" s="232"/>
      <c r="BS478" s="231"/>
      <c r="BT478" s="231"/>
      <c r="BU478" s="231"/>
      <c r="BV478" s="231"/>
      <c r="BW478" s="231"/>
      <c r="BX478" s="231"/>
      <c r="BY478" s="231"/>
      <c r="BZ478" s="231"/>
      <c r="CA478" s="231"/>
      <c r="CB478" s="231"/>
      <c r="CC478" s="231"/>
      <c r="CD478" s="231"/>
      <c r="CE478" s="232"/>
      <c r="CF478" s="232"/>
      <c r="CG478" s="232"/>
      <c r="CH478" s="231"/>
      <c r="CI478" s="232"/>
      <c r="CJ478" s="232"/>
      <c r="CK478" s="231"/>
      <c r="CL478" s="235"/>
      <c r="CM478" s="232"/>
      <c r="CN478" s="232"/>
      <c r="CO478" s="232"/>
      <c r="CP478" s="232"/>
      <c r="CQ478" s="232"/>
      <c r="CR478" s="232"/>
      <c r="CS478" s="232"/>
      <c r="CT478" s="232"/>
    </row>
    <row r="479" ht="26.25" customHeight="1">
      <c r="A479" s="184" t="s">
        <v>565</v>
      </c>
      <c r="B479" s="184" t="s">
        <v>2055</v>
      </c>
      <c r="C479" s="184" t="s">
        <v>684</v>
      </c>
      <c r="D479" s="184" t="s">
        <v>2431</v>
      </c>
      <c r="E479" s="186" t="s">
        <v>1105</v>
      </c>
      <c r="F479" s="186" t="s">
        <v>2432</v>
      </c>
      <c r="G479" s="185">
        <v>47.0</v>
      </c>
      <c r="H479" s="185" t="s">
        <v>3167</v>
      </c>
      <c r="I479" s="185" t="s">
        <v>4339</v>
      </c>
      <c r="J479" s="185" t="s">
        <v>4340</v>
      </c>
      <c r="K479" s="185" t="s">
        <v>4341</v>
      </c>
      <c r="L479" s="185" t="s">
        <v>4342</v>
      </c>
      <c r="M479" s="185" t="s">
        <v>4343</v>
      </c>
      <c r="N479" s="185" t="s">
        <v>908</v>
      </c>
      <c r="O479" s="185" t="s">
        <v>764</v>
      </c>
      <c r="P479" s="190"/>
      <c r="Q479" s="190"/>
      <c r="R479" s="190"/>
      <c r="S479" s="190"/>
      <c r="T479" s="190"/>
      <c r="U479" s="210"/>
      <c r="V479" s="185" t="s">
        <v>1483</v>
      </c>
      <c r="W479" s="230" t="s">
        <v>1484</v>
      </c>
      <c r="X479" s="245" t="s">
        <v>4344</v>
      </c>
      <c r="Y479" s="185" t="s">
        <v>764</v>
      </c>
      <c r="Z479" s="185" t="s">
        <v>1105</v>
      </c>
      <c r="AA479" s="189" t="s">
        <v>797</v>
      </c>
      <c r="AB479" s="231"/>
      <c r="AC479" s="231"/>
      <c r="AD479" s="231"/>
      <c r="AE479" s="231"/>
      <c r="AF479" s="231"/>
      <c r="AG479" s="231"/>
      <c r="AH479" s="231"/>
      <c r="AJ479" s="231"/>
      <c r="AK479" s="232"/>
      <c r="AL479" s="231"/>
      <c r="AM479" s="232"/>
      <c r="AN479" s="231"/>
      <c r="AO479" s="232"/>
      <c r="AP479" s="232"/>
      <c r="AQ479" s="232"/>
      <c r="AR479" s="232"/>
      <c r="AS479" s="232"/>
      <c r="AT479" s="232"/>
      <c r="AU479" s="232"/>
      <c r="AV479" s="232"/>
      <c r="AW479" s="231"/>
      <c r="AX479" s="231"/>
      <c r="AY479" s="231"/>
      <c r="AZ479" s="231"/>
      <c r="BA479" s="231"/>
      <c r="BB479" s="231"/>
      <c r="BC479" s="232"/>
      <c r="BD479" s="232"/>
      <c r="BE479" s="232"/>
      <c r="BF479" s="232"/>
      <c r="BG479" s="232"/>
      <c r="BH479" s="232"/>
      <c r="BI479" s="232"/>
      <c r="BJ479" s="232"/>
      <c r="BK479" s="232"/>
      <c r="BL479" s="232"/>
      <c r="BM479" s="232"/>
      <c r="BN479" s="232"/>
      <c r="BO479" s="232"/>
      <c r="BP479" s="232"/>
      <c r="BQ479" s="232"/>
      <c r="BR479" s="232"/>
      <c r="BS479" s="231"/>
      <c r="BT479" s="231"/>
      <c r="BU479" s="231"/>
      <c r="BV479" s="231"/>
      <c r="BW479" s="231"/>
      <c r="BX479" s="231"/>
      <c r="BY479" s="231"/>
      <c r="BZ479" s="231"/>
      <c r="CA479" s="231"/>
      <c r="CB479" s="231"/>
      <c r="CC479" s="231"/>
      <c r="CD479" s="231"/>
      <c r="CE479" s="232"/>
      <c r="CF479" s="232"/>
      <c r="CG479" s="232"/>
      <c r="CH479" s="231"/>
      <c r="CI479" s="232"/>
      <c r="CJ479" s="232"/>
      <c r="CK479" s="231"/>
      <c r="CL479" s="233"/>
      <c r="CM479" s="232"/>
      <c r="CN479" s="232"/>
      <c r="CO479" s="232"/>
      <c r="CP479" s="232"/>
      <c r="CQ479" s="232"/>
      <c r="CR479" s="232"/>
      <c r="CS479" s="232"/>
      <c r="CT479" s="232"/>
    </row>
    <row r="480" ht="26.25" customHeight="1">
      <c r="A480" s="184" t="s">
        <v>570</v>
      </c>
      <c r="B480" s="184" t="s">
        <v>2055</v>
      </c>
      <c r="C480" s="184" t="s">
        <v>684</v>
      </c>
      <c r="D480" s="184" t="s">
        <v>2431</v>
      </c>
      <c r="E480" s="186" t="s">
        <v>1105</v>
      </c>
      <c r="F480" s="186" t="s">
        <v>2432</v>
      </c>
      <c r="G480" s="185">
        <v>48.0</v>
      </c>
      <c r="H480" s="185" t="s">
        <v>3481</v>
      </c>
      <c r="I480" s="185" t="s">
        <v>4345</v>
      </c>
      <c r="J480" s="185" t="s">
        <v>4346</v>
      </c>
      <c r="K480" s="185" t="s">
        <v>4347</v>
      </c>
      <c r="L480" s="185" t="s">
        <v>4348</v>
      </c>
      <c r="M480" s="185" t="s">
        <v>4349</v>
      </c>
      <c r="N480" s="185" t="s">
        <v>850</v>
      </c>
      <c r="O480" s="185" t="s">
        <v>893</v>
      </c>
      <c r="P480" s="190"/>
      <c r="Q480" s="190"/>
      <c r="R480" s="190"/>
      <c r="S480" s="190"/>
      <c r="T480" s="190"/>
      <c r="U480" s="210"/>
      <c r="V480" s="185" t="s">
        <v>1150</v>
      </c>
      <c r="W480" s="230" t="s">
        <v>1151</v>
      </c>
      <c r="X480" s="245" t="s">
        <v>1152</v>
      </c>
      <c r="Y480" s="185" t="s">
        <v>893</v>
      </c>
      <c r="Z480" s="185" t="s">
        <v>1105</v>
      </c>
      <c r="AA480" s="189" t="s">
        <v>2377</v>
      </c>
      <c r="AB480" s="231"/>
      <c r="AC480" s="231"/>
      <c r="AD480" s="231"/>
      <c r="AE480" s="231"/>
      <c r="AF480" s="231"/>
      <c r="AG480" s="231"/>
      <c r="AH480" s="231"/>
      <c r="AJ480" s="231"/>
      <c r="AK480" s="232"/>
      <c r="AL480" s="231"/>
      <c r="AM480" s="232"/>
      <c r="AN480" s="231"/>
      <c r="AO480" s="232"/>
      <c r="AP480" s="232"/>
      <c r="AQ480" s="232"/>
      <c r="AR480" s="232"/>
      <c r="AS480" s="232"/>
      <c r="AT480" s="232"/>
      <c r="AU480" s="232"/>
      <c r="AV480" s="232"/>
      <c r="AW480" s="231"/>
      <c r="AX480" s="231"/>
      <c r="AY480" s="231"/>
      <c r="AZ480" s="231"/>
      <c r="BA480" s="231"/>
      <c r="BB480" s="231"/>
      <c r="BC480" s="232"/>
      <c r="BD480" s="232"/>
      <c r="BE480" s="232"/>
      <c r="BF480" s="232"/>
      <c r="BG480" s="232"/>
      <c r="BH480" s="232"/>
      <c r="BI480" s="232"/>
      <c r="BJ480" s="232"/>
      <c r="BK480" s="232"/>
      <c r="BL480" s="232"/>
      <c r="BM480" s="232"/>
      <c r="BN480" s="232"/>
      <c r="BO480" s="232"/>
      <c r="BP480" s="232"/>
      <c r="BQ480" s="232"/>
      <c r="BR480" s="232"/>
      <c r="BS480" s="231"/>
      <c r="BT480" s="231"/>
      <c r="BU480" s="231"/>
      <c r="BV480" s="231"/>
      <c r="BW480" s="231"/>
      <c r="BX480" s="231"/>
      <c r="BY480" s="231"/>
      <c r="BZ480" s="232"/>
      <c r="CA480" s="231"/>
      <c r="CB480" s="231"/>
      <c r="CC480" s="231"/>
      <c r="CD480" s="231"/>
      <c r="CE480" s="232"/>
      <c r="CF480" s="232"/>
      <c r="CG480" s="232"/>
      <c r="CH480" s="231"/>
      <c r="CI480" s="232"/>
      <c r="CJ480" s="232"/>
      <c r="CK480" s="232"/>
      <c r="CL480" s="235"/>
      <c r="CM480" s="232"/>
      <c r="CN480" s="232"/>
      <c r="CO480" s="232"/>
      <c r="CP480" s="232"/>
      <c r="CQ480" s="232"/>
      <c r="CR480" s="232"/>
      <c r="CS480" s="232"/>
      <c r="CT480" s="232"/>
    </row>
    <row r="481" ht="26.25" customHeight="1">
      <c r="A481" s="184" t="s">
        <v>566</v>
      </c>
      <c r="B481" s="184" t="s">
        <v>2055</v>
      </c>
      <c r="C481" s="184" t="s">
        <v>684</v>
      </c>
      <c r="D481" s="184" t="s">
        <v>2431</v>
      </c>
      <c r="E481" s="186" t="s">
        <v>1105</v>
      </c>
      <c r="F481" s="186" t="s">
        <v>2432</v>
      </c>
      <c r="G481" s="185">
        <v>49.0</v>
      </c>
      <c r="H481" s="185" t="s">
        <v>4350</v>
      </c>
      <c r="I481" s="185" t="s">
        <v>3573</v>
      </c>
      <c r="J481" s="185" t="s">
        <v>4351</v>
      </c>
      <c r="K481" s="185" t="s">
        <v>4352</v>
      </c>
      <c r="L481" s="185" t="s">
        <v>4353</v>
      </c>
      <c r="M481" s="185" t="s">
        <v>4354</v>
      </c>
      <c r="N481" s="185" t="s">
        <v>850</v>
      </c>
      <c r="O481" s="185" t="s">
        <v>893</v>
      </c>
      <c r="P481" s="189" t="s">
        <v>1723</v>
      </c>
      <c r="Q481" s="189" t="s">
        <v>4355</v>
      </c>
      <c r="R481" s="190"/>
      <c r="S481" s="190"/>
      <c r="T481" s="190"/>
      <c r="U481" s="210"/>
      <c r="V481" s="185" t="s">
        <v>3238</v>
      </c>
      <c r="W481" s="230" t="s">
        <v>3239</v>
      </c>
      <c r="X481" s="245" t="s">
        <v>3240</v>
      </c>
      <c r="Y481" s="185" t="s">
        <v>893</v>
      </c>
      <c r="Z481" s="185" t="s">
        <v>1105</v>
      </c>
      <c r="AA481" s="189" t="s">
        <v>757</v>
      </c>
      <c r="AB481" s="231"/>
      <c r="AC481" s="231"/>
      <c r="AD481" s="231"/>
      <c r="AE481" s="231"/>
      <c r="AF481" s="231"/>
      <c r="AG481" s="231"/>
      <c r="AH481" s="231"/>
      <c r="AJ481" s="231"/>
      <c r="AK481" s="232"/>
      <c r="AL481" s="231"/>
      <c r="AM481" s="232"/>
      <c r="AN481" s="232"/>
      <c r="AO481" s="232"/>
      <c r="AP481" s="232"/>
      <c r="AQ481" s="232"/>
      <c r="AR481" s="232"/>
      <c r="AS481" s="232"/>
      <c r="AT481" s="232"/>
      <c r="AU481" s="232"/>
      <c r="AV481" s="232"/>
      <c r="AW481" s="231"/>
      <c r="AX481" s="231"/>
      <c r="AY481" s="231"/>
      <c r="AZ481" s="231"/>
      <c r="BA481" s="231"/>
      <c r="BB481" s="231"/>
      <c r="BC481" s="232"/>
      <c r="BD481" s="232"/>
      <c r="BE481" s="232"/>
      <c r="BF481" s="232"/>
      <c r="BG481" s="232"/>
      <c r="BH481" s="232"/>
      <c r="BI481" s="232"/>
      <c r="BJ481" s="232"/>
      <c r="BK481" s="232"/>
      <c r="BL481" s="232"/>
      <c r="BM481" s="232"/>
      <c r="BN481" s="232"/>
      <c r="BO481" s="232"/>
      <c r="BP481" s="232"/>
      <c r="BQ481" s="232"/>
      <c r="BR481" s="232"/>
      <c r="BS481" s="231"/>
      <c r="BT481" s="231"/>
      <c r="BU481" s="231"/>
      <c r="BV481" s="231"/>
      <c r="BW481" s="231"/>
      <c r="BX481" s="231"/>
      <c r="BY481" s="231"/>
      <c r="BZ481" s="232"/>
      <c r="CA481" s="231"/>
      <c r="CB481" s="231"/>
      <c r="CC481" s="231"/>
      <c r="CD481" s="231"/>
      <c r="CE481" s="232"/>
      <c r="CF481" s="232"/>
      <c r="CG481" s="232"/>
      <c r="CH481" s="231"/>
      <c r="CI481" s="232"/>
      <c r="CJ481" s="232"/>
      <c r="CK481" s="232"/>
      <c r="CL481" s="235"/>
      <c r="CM481" s="232"/>
      <c r="CN481" s="232"/>
      <c r="CO481" s="232"/>
      <c r="CP481" s="232"/>
      <c r="CQ481" s="232"/>
      <c r="CR481" s="232"/>
      <c r="CS481" s="232"/>
      <c r="CT481" s="232"/>
    </row>
    <row r="482" ht="26.25" customHeight="1">
      <c r="A482" s="184" t="s">
        <v>568</v>
      </c>
      <c r="B482" s="184" t="s">
        <v>2055</v>
      </c>
      <c r="C482" s="184" t="s">
        <v>684</v>
      </c>
      <c r="D482" s="184" t="s">
        <v>2431</v>
      </c>
      <c r="E482" s="186" t="s">
        <v>1105</v>
      </c>
      <c r="F482" s="186" t="s">
        <v>2432</v>
      </c>
      <c r="G482" s="185">
        <v>50.0</v>
      </c>
      <c r="H482" s="185" t="s">
        <v>4356</v>
      </c>
      <c r="I482" s="185" t="s">
        <v>4357</v>
      </c>
      <c r="J482" s="185" t="s">
        <v>4358</v>
      </c>
      <c r="K482" s="185" t="s">
        <v>4352</v>
      </c>
      <c r="L482" s="185" t="s">
        <v>4359</v>
      </c>
      <c r="M482" s="185" t="s">
        <v>4360</v>
      </c>
      <c r="N482" s="185" t="s">
        <v>850</v>
      </c>
      <c r="O482" s="185" t="s">
        <v>764</v>
      </c>
      <c r="P482" s="210"/>
      <c r="Q482" s="210"/>
      <c r="R482" s="210"/>
      <c r="S482" s="210"/>
      <c r="T482" s="210"/>
      <c r="U482" s="210"/>
      <c r="V482" s="185" t="s">
        <v>4361</v>
      </c>
      <c r="W482" s="230" t="s">
        <v>4362</v>
      </c>
      <c r="X482" s="245" t="s">
        <v>4363</v>
      </c>
      <c r="Y482" s="185" t="s">
        <v>764</v>
      </c>
      <c r="Z482" s="185" t="s">
        <v>1105</v>
      </c>
      <c r="AA482" s="189" t="s">
        <v>757</v>
      </c>
      <c r="AB482" s="231"/>
      <c r="AC482" s="231"/>
      <c r="AD482" s="231"/>
      <c r="AE482" s="231"/>
      <c r="AF482" s="231"/>
      <c r="AG482" s="231"/>
      <c r="AH482" s="231"/>
      <c r="AJ482" s="231"/>
      <c r="AK482" s="232"/>
      <c r="AL482" s="231"/>
      <c r="AM482" s="232"/>
      <c r="AN482" s="231"/>
      <c r="AO482" s="232"/>
      <c r="AP482" s="232"/>
      <c r="AQ482" s="232"/>
      <c r="AR482" s="232"/>
      <c r="AS482" s="232"/>
      <c r="AT482" s="232"/>
      <c r="AU482" s="232"/>
      <c r="AV482" s="232"/>
      <c r="AW482" s="231"/>
      <c r="AX482" s="231"/>
      <c r="AY482" s="231"/>
      <c r="AZ482" s="231"/>
      <c r="BA482" s="231"/>
      <c r="BB482" s="231"/>
      <c r="BC482" s="232"/>
      <c r="BD482" s="232"/>
      <c r="BE482" s="232"/>
      <c r="BF482" s="232"/>
      <c r="BG482" s="231"/>
      <c r="BH482" s="231"/>
      <c r="BI482" s="231"/>
      <c r="BJ482" s="231"/>
      <c r="BK482" s="231"/>
      <c r="BL482" s="231"/>
      <c r="BM482" s="231"/>
      <c r="BN482" s="231"/>
      <c r="BO482" s="231"/>
      <c r="BP482" s="231"/>
      <c r="BQ482" s="232"/>
      <c r="BR482" s="232"/>
      <c r="BS482" s="231"/>
      <c r="BT482" s="231"/>
      <c r="BU482" s="231"/>
      <c r="BV482" s="231"/>
      <c r="BW482" s="231"/>
      <c r="BX482" s="231"/>
      <c r="BY482" s="231"/>
      <c r="BZ482" s="231"/>
      <c r="CA482" s="231"/>
      <c r="CB482" s="231"/>
      <c r="CC482" s="231"/>
      <c r="CD482" s="231"/>
      <c r="CE482" s="232"/>
      <c r="CF482" s="232"/>
      <c r="CG482" s="232"/>
      <c r="CH482" s="231"/>
      <c r="CI482" s="232"/>
      <c r="CJ482" s="232"/>
      <c r="CK482" s="231"/>
      <c r="CL482" s="233"/>
      <c r="CM482" s="232"/>
      <c r="CN482" s="232"/>
      <c r="CO482" s="232"/>
      <c r="CP482" s="232"/>
      <c r="CQ482" s="232"/>
      <c r="CR482" s="232"/>
      <c r="CS482" s="232"/>
      <c r="CT482" s="232"/>
    </row>
    <row r="483" ht="26.25" customHeight="1">
      <c r="A483" s="184" t="s">
        <v>564</v>
      </c>
      <c r="B483" s="184" t="s">
        <v>2055</v>
      </c>
      <c r="C483" s="184" t="s">
        <v>684</v>
      </c>
      <c r="D483" s="184" t="s">
        <v>2431</v>
      </c>
      <c r="E483" s="186" t="s">
        <v>1105</v>
      </c>
      <c r="F483" s="186" t="s">
        <v>2432</v>
      </c>
      <c r="G483" s="185">
        <v>51.0</v>
      </c>
      <c r="H483" s="185" t="s">
        <v>4364</v>
      </c>
      <c r="I483" s="185" t="s">
        <v>4365</v>
      </c>
      <c r="J483" s="185" t="s">
        <v>4366</v>
      </c>
      <c r="K483" s="185" t="s">
        <v>4367</v>
      </c>
      <c r="L483" s="185" t="s">
        <v>4368</v>
      </c>
      <c r="M483" s="185" t="s">
        <v>4369</v>
      </c>
      <c r="N483" s="185" t="s">
        <v>850</v>
      </c>
      <c r="O483" s="185" t="s">
        <v>784</v>
      </c>
      <c r="P483" s="210"/>
      <c r="Q483" s="190"/>
      <c r="R483" s="190"/>
      <c r="S483" s="190"/>
      <c r="T483" s="190"/>
      <c r="U483" s="210"/>
      <c r="V483" s="185" t="s">
        <v>3581</v>
      </c>
      <c r="W483" s="230" t="s">
        <v>2423</v>
      </c>
      <c r="X483" s="245" t="s">
        <v>3582</v>
      </c>
      <c r="Y483" s="185" t="s">
        <v>784</v>
      </c>
      <c r="Z483" s="185" t="s">
        <v>1105</v>
      </c>
      <c r="AA483" s="189" t="s">
        <v>757</v>
      </c>
      <c r="AB483" s="231"/>
      <c r="AC483" s="231"/>
      <c r="AD483" s="231"/>
      <c r="AE483" s="231"/>
      <c r="AF483" s="231"/>
      <c r="AG483" s="231"/>
      <c r="AH483" s="231"/>
      <c r="AJ483" s="232"/>
      <c r="AK483" s="232"/>
      <c r="AL483" s="232"/>
      <c r="AM483" s="232"/>
      <c r="AN483" s="232"/>
      <c r="AO483" s="232"/>
      <c r="AP483" s="231"/>
      <c r="AQ483" s="232"/>
      <c r="AR483" s="231"/>
      <c r="AS483" s="232"/>
      <c r="AT483" s="232"/>
      <c r="AU483" s="232"/>
      <c r="AV483" s="232"/>
      <c r="AW483" s="231"/>
      <c r="AX483" s="231"/>
      <c r="AY483" s="231"/>
      <c r="AZ483" s="231"/>
      <c r="BA483" s="231"/>
      <c r="BB483" s="231"/>
      <c r="BC483" s="231"/>
      <c r="BD483" s="231"/>
      <c r="BE483" s="231"/>
      <c r="BF483" s="231"/>
      <c r="BG483" s="231"/>
      <c r="BH483" s="231"/>
      <c r="BI483" s="232"/>
      <c r="BJ483" s="232"/>
      <c r="BK483" s="232"/>
      <c r="BL483" s="232"/>
      <c r="BM483" s="232"/>
      <c r="BN483" s="232"/>
      <c r="BO483" s="232"/>
      <c r="BP483" s="232"/>
      <c r="BQ483" s="232"/>
      <c r="BR483" s="232"/>
      <c r="BS483" s="231"/>
      <c r="BT483" s="231"/>
      <c r="BU483" s="231"/>
      <c r="BV483" s="231"/>
      <c r="BW483" s="231"/>
      <c r="BX483" s="231"/>
      <c r="BY483" s="231"/>
      <c r="BZ483" s="231"/>
      <c r="CA483" s="231"/>
      <c r="CB483" s="231"/>
      <c r="CC483" s="231"/>
      <c r="CD483" s="232"/>
      <c r="CE483" s="232"/>
      <c r="CF483" s="231"/>
      <c r="CG483" s="232"/>
      <c r="CH483" s="231"/>
      <c r="CI483" s="232"/>
      <c r="CJ483" s="232"/>
      <c r="CK483" s="231"/>
      <c r="CL483" s="235"/>
      <c r="CM483" s="232"/>
      <c r="CN483" s="232"/>
      <c r="CO483" s="232"/>
      <c r="CP483" s="232"/>
      <c r="CQ483" s="232"/>
      <c r="CR483" s="232"/>
      <c r="CS483" s="232"/>
      <c r="CT483" s="232"/>
    </row>
    <row r="484" ht="26.25" customHeight="1">
      <c r="A484" s="184" t="s">
        <v>567</v>
      </c>
      <c r="B484" s="184" t="s">
        <v>2055</v>
      </c>
      <c r="C484" s="184" t="s">
        <v>684</v>
      </c>
      <c r="D484" s="184" t="s">
        <v>2431</v>
      </c>
      <c r="E484" s="186" t="s">
        <v>1105</v>
      </c>
      <c r="F484" s="186" t="s">
        <v>2432</v>
      </c>
      <c r="G484" s="188">
        <v>52.0</v>
      </c>
      <c r="H484" s="189" t="s">
        <v>1297</v>
      </c>
      <c r="I484" s="189" t="s">
        <v>4370</v>
      </c>
      <c r="J484" s="189" t="s">
        <v>4371</v>
      </c>
      <c r="K484" s="189" t="s">
        <v>4372</v>
      </c>
      <c r="L484" s="189" t="s">
        <v>4373</v>
      </c>
      <c r="M484" s="190" t="s">
        <v>4374</v>
      </c>
      <c r="N484" s="189" t="s">
        <v>850</v>
      </c>
      <c r="O484" s="189" t="s">
        <v>893</v>
      </c>
      <c r="P484" s="189" t="s">
        <v>4375</v>
      </c>
      <c r="Q484" s="189" t="s">
        <v>4376</v>
      </c>
      <c r="R484" s="190"/>
      <c r="S484" s="190"/>
      <c r="T484" s="190"/>
      <c r="U484" s="190"/>
      <c r="V484" s="189" t="s">
        <v>4377</v>
      </c>
      <c r="W484" s="189" t="s">
        <v>4378</v>
      </c>
      <c r="X484" s="245" t="s">
        <v>4379</v>
      </c>
      <c r="Y484" s="189" t="s">
        <v>893</v>
      </c>
      <c r="Z484" s="189" t="s">
        <v>1105</v>
      </c>
      <c r="AA484" s="189" t="s">
        <v>757</v>
      </c>
      <c r="AB484" s="191"/>
      <c r="AC484" s="191"/>
      <c r="AD484" s="191"/>
      <c r="AE484" s="191"/>
      <c r="AF484" s="191"/>
      <c r="AG484" s="191"/>
      <c r="AH484" s="191"/>
      <c r="AI484" s="191"/>
      <c r="AJ484" s="191"/>
      <c r="AK484" s="191"/>
      <c r="AL484" s="191"/>
      <c r="AM484" s="191"/>
      <c r="AN484" s="191"/>
      <c r="AO484" s="191"/>
      <c r="AP484" s="191"/>
      <c r="AQ484" s="191"/>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N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2"/>
      <c r="CK484" s="191"/>
      <c r="CL484" s="191"/>
      <c r="CM484" s="191"/>
      <c r="CN484" s="215"/>
      <c r="CO484" s="215"/>
      <c r="CP484" s="215"/>
      <c r="CQ484" s="215"/>
      <c r="CR484" s="215"/>
      <c r="CS484" s="215"/>
      <c r="CT484" s="215"/>
    </row>
    <row r="485" ht="26.25" customHeight="1">
      <c r="A485" s="184" t="s">
        <v>575</v>
      </c>
      <c r="B485" s="184" t="s">
        <v>2055</v>
      </c>
      <c r="C485" s="184" t="s">
        <v>685</v>
      </c>
      <c r="D485" s="184" t="s">
        <v>2431</v>
      </c>
      <c r="E485" s="186" t="s">
        <v>1457</v>
      </c>
      <c r="F485" s="186" t="s">
        <v>2432</v>
      </c>
      <c r="G485" s="188">
        <v>53.0</v>
      </c>
      <c r="H485" s="189" t="s">
        <v>4380</v>
      </c>
      <c r="I485" s="189" t="s">
        <v>4381</v>
      </c>
      <c r="J485" s="189" t="s">
        <v>4382</v>
      </c>
      <c r="K485" s="189" t="s">
        <v>4383</v>
      </c>
      <c r="L485" s="189" t="s">
        <v>4384</v>
      </c>
      <c r="M485" s="189" t="s">
        <v>4385</v>
      </c>
      <c r="N485" s="189" t="s">
        <v>908</v>
      </c>
      <c r="O485" s="189" t="s">
        <v>764</v>
      </c>
      <c r="P485" s="190"/>
      <c r="Q485" s="190"/>
      <c r="R485" s="190"/>
      <c r="S485" s="190"/>
      <c r="T485" s="190"/>
      <c r="U485" s="190"/>
      <c r="V485" s="189" t="s">
        <v>3318</v>
      </c>
      <c r="W485" s="189" t="s">
        <v>3319</v>
      </c>
      <c r="X485" s="245" t="s">
        <v>3320</v>
      </c>
      <c r="Y485" s="189" t="s">
        <v>764</v>
      </c>
      <c r="Z485" s="189" t="s">
        <v>1457</v>
      </c>
      <c r="AA485" s="189" t="s">
        <v>757</v>
      </c>
      <c r="AB485" s="191"/>
      <c r="AC485" s="191"/>
      <c r="AD485" s="191"/>
      <c r="AE485" s="191"/>
      <c r="AF485" s="191"/>
      <c r="AG485" s="191"/>
      <c r="AH485" s="191"/>
      <c r="AI485" s="191"/>
      <c r="AJ485" s="191"/>
      <c r="AK485" s="191"/>
      <c r="AL485" s="191"/>
      <c r="AM485" s="191"/>
      <c r="AN485" s="191"/>
      <c r="AO485" s="191"/>
      <c r="AP485" s="191"/>
      <c r="AQ485" s="191"/>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N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2"/>
      <c r="CK485" s="191"/>
      <c r="CL485" s="191"/>
      <c r="CM485" s="191"/>
      <c r="CN485" s="215"/>
      <c r="CO485" s="215"/>
      <c r="CP485" s="215"/>
      <c r="CQ485" s="215"/>
      <c r="CR485" s="215"/>
      <c r="CS485" s="215"/>
      <c r="CT485" s="215"/>
    </row>
    <row r="486" ht="26.25" customHeight="1">
      <c r="A486" s="184" t="s">
        <v>573</v>
      </c>
      <c r="B486" s="184" t="s">
        <v>2055</v>
      </c>
      <c r="C486" s="184" t="s">
        <v>685</v>
      </c>
      <c r="D486" s="184" t="s">
        <v>2431</v>
      </c>
      <c r="E486" s="186" t="s">
        <v>1457</v>
      </c>
      <c r="F486" s="186" t="s">
        <v>2432</v>
      </c>
      <c r="G486" s="188">
        <v>55.0</v>
      </c>
      <c r="H486" s="189" t="s">
        <v>4386</v>
      </c>
      <c r="I486" s="189" t="s">
        <v>4387</v>
      </c>
      <c r="J486" s="189" t="s">
        <v>4388</v>
      </c>
      <c r="K486" s="189" t="s">
        <v>4389</v>
      </c>
      <c r="L486" s="189" t="s">
        <v>4390</v>
      </c>
      <c r="M486" s="189" t="s">
        <v>4391</v>
      </c>
      <c r="N486" s="189" t="s">
        <v>850</v>
      </c>
      <c r="O486" s="189" t="s">
        <v>1457</v>
      </c>
      <c r="P486" s="190"/>
      <c r="Q486" s="190"/>
      <c r="R486" s="190"/>
      <c r="S486" s="190"/>
      <c r="T486" s="190"/>
      <c r="U486" s="190"/>
      <c r="V486" s="189" t="s">
        <v>4392</v>
      </c>
      <c r="W486" s="189" t="s">
        <v>4178</v>
      </c>
      <c r="X486" s="245" t="s">
        <v>4393</v>
      </c>
      <c r="Y486" s="189" t="s">
        <v>1789</v>
      </c>
      <c r="Z486" s="189" t="s">
        <v>1457</v>
      </c>
      <c r="AA486" s="189" t="s">
        <v>757</v>
      </c>
      <c r="AB486" s="191"/>
      <c r="AC486" s="191"/>
      <c r="AD486" s="191"/>
      <c r="AE486" s="191"/>
      <c r="AF486" s="191"/>
      <c r="AG486" s="191"/>
      <c r="AH486" s="191"/>
      <c r="AI486" s="191"/>
      <c r="AJ486" s="191"/>
      <c r="AK486" s="191"/>
      <c r="AL486" s="191"/>
      <c r="AM486" s="191"/>
      <c r="AN486" s="191"/>
      <c r="AO486" s="191"/>
      <c r="AP486" s="191"/>
      <c r="AQ486" s="191"/>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N486" s="191"/>
      <c r="BO486" s="191"/>
      <c r="BP486" s="191"/>
      <c r="BQ486" s="191"/>
      <c r="BR486" s="191"/>
      <c r="BS486" s="191"/>
      <c r="BT486" s="191"/>
      <c r="BU486" s="191"/>
      <c r="BV486" s="191"/>
      <c r="BW486" s="191"/>
      <c r="BX486" s="191"/>
      <c r="BY486" s="191"/>
      <c r="BZ486" s="191"/>
      <c r="CA486" s="191"/>
      <c r="CB486" s="191"/>
      <c r="CC486" s="191"/>
      <c r="CD486" s="191"/>
      <c r="CE486" s="191"/>
      <c r="CF486" s="256"/>
      <c r="CG486" s="191"/>
      <c r="CH486" s="191"/>
      <c r="CI486" s="191"/>
      <c r="CJ486" s="192"/>
      <c r="CK486" s="191"/>
      <c r="CL486" s="191"/>
      <c r="CM486" s="191"/>
      <c r="CN486" s="215"/>
      <c r="CO486" s="215"/>
      <c r="CP486" s="215"/>
      <c r="CQ486" s="215"/>
      <c r="CR486" s="215"/>
      <c r="CS486" s="215"/>
      <c r="CT486" s="215"/>
    </row>
    <row r="487" ht="26.25" customHeight="1">
      <c r="A487" s="184" t="s">
        <v>574</v>
      </c>
      <c r="B487" s="184" t="s">
        <v>2055</v>
      </c>
      <c r="C487" s="184" t="s">
        <v>685</v>
      </c>
      <c r="D487" s="184" t="s">
        <v>2431</v>
      </c>
      <c r="E487" s="186" t="s">
        <v>1457</v>
      </c>
      <c r="F487" s="186" t="s">
        <v>2432</v>
      </c>
      <c r="G487" s="188">
        <v>56.0</v>
      </c>
      <c r="H487" s="189" t="s">
        <v>2746</v>
      </c>
      <c r="I487" s="189" t="s">
        <v>4394</v>
      </c>
      <c r="J487" s="189" t="s">
        <v>4395</v>
      </c>
      <c r="K487" s="189" t="s">
        <v>4396</v>
      </c>
      <c r="L487" s="185" t="s">
        <v>4397</v>
      </c>
      <c r="M487" s="189" t="s">
        <v>4398</v>
      </c>
      <c r="N487" s="189" t="s">
        <v>850</v>
      </c>
      <c r="O487" s="189" t="s">
        <v>1789</v>
      </c>
      <c r="P487" s="190"/>
      <c r="Q487" s="190"/>
      <c r="R487" s="190"/>
      <c r="S487" s="190"/>
      <c r="T487" s="190"/>
      <c r="U487" s="190"/>
      <c r="V487" s="189" t="s">
        <v>4177</v>
      </c>
      <c r="W487" s="189" t="s">
        <v>4178</v>
      </c>
      <c r="X487" s="245" t="s">
        <v>4393</v>
      </c>
      <c r="Y487" s="189" t="s">
        <v>1457</v>
      </c>
      <c r="Z487" s="189" t="s">
        <v>1457</v>
      </c>
      <c r="AA487" s="189" t="s">
        <v>757</v>
      </c>
      <c r="AB487" s="191"/>
      <c r="AC487" s="191"/>
      <c r="AD487" s="191"/>
      <c r="AE487" s="191"/>
      <c r="AF487" s="191"/>
      <c r="AG487" s="191"/>
      <c r="AH487" s="191"/>
      <c r="AI487" s="191"/>
      <c r="AJ487" s="191"/>
      <c r="AK487" s="191"/>
      <c r="AL487" s="191"/>
      <c r="AM487" s="191"/>
      <c r="AN487" s="191"/>
      <c r="AO487" s="191"/>
      <c r="AP487" s="191"/>
      <c r="AQ487" s="191"/>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N487" s="191"/>
      <c r="BO487" s="191"/>
      <c r="BP487" s="191"/>
      <c r="BQ487" s="191"/>
      <c r="BR487" s="191"/>
      <c r="BS487" s="191"/>
      <c r="BT487" s="191"/>
      <c r="BU487" s="191"/>
      <c r="BV487" s="191"/>
      <c r="BW487" s="191"/>
      <c r="BX487" s="191"/>
      <c r="BY487" s="191"/>
      <c r="BZ487" s="191"/>
      <c r="CA487" s="191"/>
      <c r="CB487" s="191"/>
      <c r="CC487" s="191"/>
      <c r="CD487" s="191"/>
      <c r="CE487" s="191"/>
      <c r="CF487" s="256"/>
      <c r="CG487" s="191"/>
      <c r="CH487" s="191"/>
      <c r="CI487" s="191"/>
      <c r="CJ487" s="192"/>
      <c r="CK487" s="191"/>
      <c r="CL487" s="191"/>
      <c r="CM487" s="191"/>
      <c r="CN487" s="215"/>
      <c r="CO487" s="215"/>
      <c r="CP487" s="215"/>
      <c r="CQ487" s="215"/>
      <c r="CR487" s="215"/>
      <c r="CS487" s="215"/>
      <c r="CT487" s="215"/>
    </row>
    <row r="488" ht="26.25" customHeight="1">
      <c r="A488" s="184" t="s">
        <v>572</v>
      </c>
      <c r="B488" s="184" t="s">
        <v>2055</v>
      </c>
      <c r="C488" s="184" t="s">
        <v>685</v>
      </c>
      <c r="D488" s="184" t="s">
        <v>2431</v>
      </c>
      <c r="E488" s="186" t="s">
        <v>1457</v>
      </c>
      <c r="F488" s="186" t="s">
        <v>2432</v>
      </c>
      <c r="G488" s="188">
        <v>57.0</v>
      </c>
      <c r="H488" s="189" t="s">
        <v>4399</v>
      </c>
      <c r="I488" s="189" t="s">
        <v>4400</v>
      </c>
      <c r="J488" s="189" t="s">
        <v>4401</v>
      </c>
      <c r="K488" s="189" t="s">
        <v>1642</v>
      </c>
      <c r="L488" s="189" t="s">
        <v>4402</v>
      </c>
      <c r="M488" s="189" t="s">
        <v>4403</v>
      </c>
      <c r="N488" s="189" t="s">
        <v>850</v>
      </c>
      <c r="O488" s="189" t="s">
        <v>784</v>
      </c>
      <c r="P488" s="190"/>
      <c r="Q488" s="190"/>
      <c r="R488" s="190"/>
      <c r="S488" s="190"/>
      <c r="T488" s="190"/>
      <c r="U488" s="190"/>
      <c r="V488" s="189" t="s">
        <v>2251</v>
      </c>
      <c r="W488" s="189" t="s">
        <v>2423</v>
      </c>
      <c r="X488" s="245" t="s">
        <v>3582</v>
      </c>
      <c r="Y488" s="189" t="s">
        <v>784</v>
      </c>
      <c r="Z488" s="189" t="s">
        <v>1457</v>
      </c>
      <c r="AA488" s="189" t="s">
        <v>757</v>
      </c>
      <c r="AB488" s="191"/>
      <c r="AC488" s="191"/>
      <c r="AD488" s="191"/>
      <c r="AE488" s="191"/>
      <c r="AF488" s="191"/>
      <c r="AG488" s="191"/>
      <c r="AH488" s="191"/>
      <c r="AI488" s="191"/>
      <c r="AJ488" s="191"/>
      <c r="AK488" s="191"/>
      <c r="AL488" s="191"/>
      <c r="AM488" s="191"/>
      <c r="AN488" s="191"/>
      <c r="AO488" s="191"/>
      <c r="AP488" s="191"/>
      <c r="AQ488" s="191"/>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N488" s="191"/>
      <c r="BO488" s="191"/>
      <c r="BP488" s="191"/>
      <c r="BQ488" s="191"/>
      <c r="BR488" s="191"/>
      <c r="BS488" s="191"/>
      <c r="BT488" s="191"/>
      <c r="BU488" s="191"/>
      <c r="BV488" s="191"/>
      <c r="BW488" s="191"/>
      <c r="BX488" s="191"/>
      <c r="BY488" s="191"/>
      <c r="BZ488" s="191"/>
      <c r="CA488" s="191"/>
      <c r="CB488" s="191"/>
      <c r="CC488" s="191"/>
      <c r="CD488" s="191"/>
      <c r="CE488" s="191"/>
      <c r="CF488" s="256"/>
      <c r="CG488" s="191"/>
      <c r="CH488" s="191"/>
      <c r="CI488" s="191"/>
      <c r="CJ488" s="192"/>
      <c r="CK488" s="191"/>
      <c r="CL488" s="191"/>
      <c r="CM488" s="191"/>
      <c r="CN488" s="215"/>
      <c r="CO488" s="215"/>
      <c r="CP488" s="215"/>
      <c r="CQ488" s="215"/>
      <c r="CR488" s="215"/>
      <c r="CS488" s="215"/>
      <c r="CT488" s="215"/>
    </row>
    <row r="489" ht="26.25" customHeight="1">
      <c r="A489" s="184" t="s">
        <v>577</v>
      </c>
      <c r="B489" s="184" t="s">
        <v>2055</v>
      </c>
      <c r="C489" s="184" t="s">
        <v>686</v>
      </c>
      <c r="D489" s="184" t="s">
        <v>2431</v>
      </c>
      <c r="E489" s="186" t="s">
        <v>1611</v>
      </c>
      <c r="F489" s="186" t="s">
        <v>2432</v>
      </c>
      <c r="G489" s="188">
        <v>58.0</v>
      </c>
      <c r="H489" s="237" t="s">
        <v>4404</v>
      </c>
      <c r="I489" s="237" t="s">
        <v>4405</v>
      </c>
      <c r="J489" s="237" t="s">
        <v>4406</v>
      </c>
      <c r="K489" s="237" t="s">
        <v>4407</v>
      </c>
      <c r="L489" s="237" t="s">
        <v>4408</v>
      </c>
      <c r="M489" s="237" t="s">
        <v>4409</v>
      </c>
      <c r="N489" s="237" t="s">
        <v>752</v>
      </c>
      <c r="O489" s="237" t="s">
        <v>784</v>
      </c>
      <c r="P489" s="190"/>
      <c r="Q489" s="190"/>
      <c r="R489" s="190"/>
      <c r="S489" s="190"/>
      <c r="T489" s="190"/>
      <c r="U489" s="190"/>
      <c r="V489" s="237" t="s">
        <v>774</v>
      </c>
      <c r="W489" s="237" t="s">
        <v>775</v>
      </c>
      <c r="X489" s="239" t="s">
        <v>776</v>
      </c>
      <c r="Y489" s="237" t="s">
        <v>777</v>
      </c>
      <c r="Z489" s="237" t="s">
        <v>744</v>
      </c>
      <c r="AA489" s="237" t="s">
        <v>1941</v>
      </c>
      <c r="AB489" s="191"/>
      <c r="AC489" s="191"/>
      <c r="AD489" s="191"/>
      <c r="AE489" s="191"/>
      <c r="AF489" s="191"/>
      <c r="AG489" s="191"/>
      <c r="AH489" s="191"/>
      <c r="AI489" s="257"/>
      <c r="AJ489" s="191"/>
      <c r="AK489" s="258"/>
      <c r="AL489" s="191"/>
      <c r="AM489" s="191"/>
      <c r="AN489" s="191"/>
      <c r="AO489" s="191"/>
      <c r="AP489" s="191"/>
      <c r="AQ489" s="191"/>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N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232"/>
      <c r="CK489" s="232"/>
      <c r="CL489" s="232"/>
      <c r="CM489" s="232"/>
      <c r="CN489" s="215"/>
      <c r="CO489" s="215"/>
      <c r="CP489" s="215"/>
      <c r="CQ489" s="215"/>
      <c r="CR489" s="215"/>
      <c r="CS489" s="215"/>
      <c r="CT489" s="215"/>
    </row>
    <row r="490" ht="26.25" customHeight="1">
      <c r="A490" s="184" t="s">
        <v>580</v>
      </c>
      <c r="B490" s="184" t="s">
        <v>2055</v>
      </c>
      <c r="C490" s="184" t="s">
        <v>686</v>
      </c>
      <c r="D490" s="184" t="s">
        <v>2431</v>
      </c>
      <c r="E490" s="186" t="s">
        <v>1611</v>
      </c>
      <c r="F490" s="186" t="s">
        <v>2432</v>
      </c>
      <c r="G490" s="188">
        <v>59.0</v>
      </c>
      <c r="H490" s="237" t="s">
        <v>4410</v>
      </c>
      <c r="I490" s="237" t="s">
        <v>4411</v>
      </c>
      <c r="J490" s="237" t="s">
        <v>4412</v>
      </c>
      <c r="K490" s="237" t="s">
        <v>4413</v>
      </c>
      <c r="L490" s="237" t="s">
        <v>4414</v>
      </c>
      <c r="M490" s="237" t="s">
        <v>4415</v>
      </c>
      <c r="N490" s="237" t="s">
        <v>752</v>
      </c>
      <c r="O490" s="237" t="s">
        <v>1661</v>
      </c>
      <c r="P490" s="190"/>
      <c r="Q490" s="190"/>
      <c r="R490" s="190"/>
      <c r="S490" s="190"/>
      <c r="T490" s="190"/>
      <c r="U490" s="190"/>
      <c r="V490" s="237" t="s">
        <v>4416</v>
      </c>
      <c r="W490" s="237" t="s">
        <v>4417</v>
      </c>
      <c r="X490" s="239" t="s">
        <v>4418</v>
      </c>
      <c r="Y490" s="237" t="s">
        <v>1661</v>
      </c>
      <c r="Z490" s="237" t="s">
        <v>1621</v>
      </c>
      <c r="AA490" s="237" t="s">
        <v>797</v>
      </c>
      <c r="AB490" s="191"/>
      <c r="AC490" s="191"/>
      <c r="AD490" s="191"/>
      <c r="AE490" s="191"/>
      <c r="AF490" s="191"/>
      <c r="AG490" s="191"/>
      <c r="AH490" s="191"/>
      <c r="AI490" s="257"/>
      <c r="AJ490" s="191"/>
      <c r="AK490" s="258"/>
      <c r="AL490" s="191"/>
      <c r="AM490" s="191"/>
      <c r="AN490" s="191"/>
      <c r="AO490" s="191"/>
      <c r="AP490" s="191"/>
      <c r="AQ490" s="191"/>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N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232"/>
      <c r="CK490" s="232"/>
      <c r="CL490" s="232"/>
      <c r="CM490" s="232"/>
      <c r="CN490" s="215"/>
      <c r="CO490" s="215"/>
      <c r="CP490" s="215"/>
      <c r="CQ490" s="215"/>
      <c r="CR490" s="215"/>
      <c r="CS490" s="215"/>
      <c r="CT490" s="215"/>
    </row>
    <row r="491" ht="26.25" customHeight="1">
      <c r="A491" s="184" t="s">
        <v>579</v>
      </c>
      <c r="B491" s="184" t="s">
        <v>2055</v>
      </c>
      <c r="C491" s="184" t="s">
        <v>686</v>
      </c>
      <c r="D491" s="184" t="s">
        <v>2431</v>
      </c>
      <c r="E491" s="186" t="s">
        <v>1611</v>
      </c>
      <c r="F491" s="186" t="s">
        <v>2432</v>
      </c>
      <c r="G491" s="188">
        <v>60.0</v>
      </c>
      <c r="H491" s="237" t="s">
        <v>3283</v>
      </c>
      <c r="I491" s="237" t="s">
        <v>4419</v>
      </c>
      <c r="J491" s="237" t="s">
        <v>3285</v>
      </c>
      <c r="K491" s="237" t="s">
        <v>4420</v>
      </c>
      <c r="L491" s="237" t="s">
        <v>4421</v>
      </c>
      <c r="M491" s="237" t="s">
        <v>4422</v>
      </c>
      <c r="N491" s="237" t="s">
        <v>752</v>
      </c>
      <c r="O491" s="237" t="s">
        <v>764</v>
      </c>
      <c r="P491" s="190"/>
      <c r="Q491" s="190"/>
      <c r="R491" s="190"/>
      <c r="S491" s="190"/>
      <c r="T491" s="190"/>
      <c r="U491" s="190"/>
      <c r="V491" s="237" t="s">
        <v>774</v>
      </c>
      <c r="W491" s="237" t="s">
        <v>775</v>
      </c>
      <c r="X491" s="239" t="s">
        <v>776</v>
      </c>
      <c r="Y491" s="237" t="s">
        <v>777</v>
      </c>
      <c r="Z491" s="237" t="s">
        <v>1621</v>
      </c>
      <c r="AA491" s="237" t="s">
        <v>757</v>
      </c>
      <c r="AB491" s="191"/>
      <c r="AC491" s="191"/>
      <c r="AD491" s="191"/>
      <c r="AE491" s="191"/>
      <c r="AF491" s="191"/>
      <c r="AG491" s="191"/>
      <c r="AH491" s="191"/>
      <c r="AI491" s="257"/>
      <c r="AJ491" s="191"/>
      <c r="AK491" s="258"/>
      <c r="AL491" s="191"/>
      <c r="AM491" s="191"/>
      <c r="AN491" s="191"/>
      <c r="AO491" s="191"/>
      <c r="AP491" s="191"/>
      <c r="AQ491" s="191"/>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N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232"/>
      <c r="CK491" s="232"/>
      <c r="CL491" s="232"/>
      <c r="CM491" s="232"/>
      <c r="CN491" s="215"/>
      <c r="CO491" s="215"/>
      <c r="CP491" s="215"/>
      <c r="CQ491" s="215"/>
      <c r="CR491" s="215"/>
      <c r="CS491" s="215"/>
      <c r="CT491" s="215"/>
    </row>
    <row r="492" ht="26.25" customHeight="1">
      <c r="A492" s="184" t="s">
        <v>578</v>
      </c>
      <c r="B492" s="184" t="s">
        <v>2055</v>
      </c>
      <c r="C492" s="184" t="s">
        <v>686</v>
      </c>
      <c r="D492" s="184" t="s">
        <v>2431</v>
      </c>
      <c r="E492" s="186" t="s">
        <v>1611</v>
      </c>
      <c r="F492" s="186" t="s">
        <v>2432</v>
      </c>
      <c r="G492" s="188">
        <v>61.0</v>
      </c>
      <c r="H492" s="237" t="s">
        <v>4423</v>
      </c>
      <c r="I492" s="237" t="s">
        <v>4203</v>
      </c>
      <c r="J492" s="237" t="s">
        <v>4424</v>
      </c>
      <c r="K492" s="237" t="s">
        <v>4425</v>
      </c>
      <c r="L492" s="237" t="s">
        <v>4426</v>
      </c>
      <c r="M492" s="237" t="s">
        <v>4427</v>
      </c>
      <c r="N492" s="237" t="s">
        <v>752</v>
      </c>
      <c r="O492" s="237" t="s">
        <v>753</v>
      </c>
      <c r="P492" s="190"/>
      <c r="Q492" s="190"/>
      <c r="R492" s="190"/>
      <c r="S492" s="190"/>
      <c r="T492" s="190"/>
      <c r="U492" s="190"/>
      <c r="V492" s="237" t="s">
        <v>774</v>
      </c>
      <c r="W492" s="237" t="s">
        <v>775</v>
      </c>
      <c r="X492" s="239" t="s">
        <v>776</v>
      </c>
      <c r="Y492" s="237" t="s">
        <v>753</v>
      </c>
      <c r="Z492" s="237" t="s">
        <v>1621</v>
      </c>
      <c r="AA492" s="237" t="s">
        <v>1654</v>
      </c>
      <c r="AB492" s="191"/>
      <c r="AC492" s="191"/>
      <c r="AD492" s="191"/>
      <c r="AE492" s="191"/>
      <c r="AF492" s="191"/>
      <c r="AG492" s="191"/>
      <c r="AH492" s="191"/>
      <c r="AI492" s="257"/>
      <c r="AJ492" s="191"/>
      <c r="AK492" s="258"/>
      <c r="AL492" s="191"/>
      <c r="AM492" s="191"/>
      <c r="AN492" s="191"/>
      <c r="AO492" s="191"/>
      <c r="AP492" s="191"/>
      <c r="AQ492" s="191"/>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N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232"/>
      <c r="CK492" s="232"/>
      <c r="CL492" s="232"/>
      <c r="CM492" s="232"/>
      <c r="CN492" s="215"/>
      <c r="CO492" s="215"/>
      <c r="CP492" s="215"/>
      <c r="CQ492" s="215"/>
      <c r="CR492" s="215"/>
      <c r="CS492" s="215"/>
      <c r="CT492" s="215"/>
    </row>
    <row r="493" ht="26.25" customHeight="1">
      <c r="A493" s="184" t="s">
        <v>581</v>
      </c>
      <c r="B493" s="184" t="s">
        <v>2055</v>
      </c>
      <c r="C493" s="184" t="s">
        <v>686</v>
      </c>
      <c r="D493" s="184" t="s">
        <v>2431</v>
      </c>
      <c r="E493" s="186" t="s">
        <v>1611</v>
      </c>
      <c r="F493" s="186" t="s">
        <v>2432</v>
      </c>
      <c r="G493" s="188">
        <v>62.0</v>
      </c>
      <c r="H493" s="237" t="s">
        <v>4057</v>
      </c>
      <c r="I493" s="237" t="s">
        <v>4428</v>
      </c>
      <c r="J493" s="237" t="s">
        <v>4429</v>
      </c>
      <c r="K493" s="237" t="s">
        <v>4430</v>
      </c>
      <c r="L493" s="237" t="s">
        <v>4431</v>
      </c>
      <c r="M493" s="237" t="s">
        <v>4432</v>
      </c>
      <c r="N493" s="237" t="s">
        <v>752</v>
      </c>
      <c r="O493" s="237" t="s">
        <v>764</v>
      </c>
      <c r="P493" s="237" t="s">
        <v>2370</v>
      </c>
      <c r="Q493" s="237" t="s">
        <v>2370</v>
      </c>
      <c r="R493" s="237" t="s">
        <v>2370</v>
      </c>
      <c r="S493" s="237" t="s">
        <v>2370</v>
      </c>
      <c r="T493" s="237" t="s">
        <v>2370</v>
      </c>
      <c r="U493" s="237" t="s">
        <v>2370</v>
      </c>
      <c r="V493" s="237" t="s">
        <v>3509</v>
      </c>
      <c r="W493" s="237" t="s">
        <v>4433</v>
      </c>
      <c r="X493" s="239" t="s">
        <v>4434</v>
      </c>
      <c r="Y493" s="237" t="s">
        <v>1661</v>
      </c>
      <c r="Z493" s="237" t="s">
        <v>806</v>
      </c>
      <c r="AA493" s="237" t="s">
        <v>757</v>
      </c>
      <c r="AB493" s="191"/>
      <c r="AC493" s="191"/>
      <c r="AD493" s="191"/>
      <c r="AE493" s="191"/>
      <c r="AF493" s="191"/>
      <c r="AG493" s="191"/>
      <c r="AH493" s="191"/>
      <c r="AI493" s="257"/>
      <c r="AJ493" s="192"/>
      <c r="AK493" s="259"/>
      <c r="AL493" s="191"/>
      <c r="AM493" s="191"/>
      <c r="AN493" s="191"/>
      <c r="AO493" s="191"/>
      <c r="AP493" s="191"/>
      <c r="AQ493" s="191"/>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91"/>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232"/>
      <c r="CK493" s="232"/>
      <c r="CL493" s="232"/>
      <c r="CM493" s="232"/>
      <c r="CN493" s="215"/>
      <c r="CO493" s="215"/>
      <c r="CP493" s="215"/>
      <c r="CQ493" s="215"/>
      <c r="CR493" s="215"/>
      <c r="CS493" s="215"/>
      <c r="CT493" s="215"/>
    </row>
    <row r="494" ht="26.25" customHeight="1">
      <c r="A494" s="184" t="s">
        <v>576</v>
      </c>
      <c r="B494" s="184" t="s">
        <v>2055</v>
      </c>
      <c r="C494" s="184" t="s">
        <v>686</v>
      </c>
      <c r="D494" s="184" t="s">
        <v>2431</v>
      </c>
      <c r="E494" s="186" t="s">
        <v>1611</v>
      </c>
      <c r="F494" s="186" t="s">
        <v>2432</v>
      </c>
      <c r="G494" s="188">
        <v>63.0</v>
      </c>
      <c r="H494" s="237" t="s">
        <v>4435</v>
      </c>
      <c r="I494" s="237" t="s">
        <v>4436</v>
      </c>
      <c r="J494" s="237" t="s">
        <v>4437</v>
      </c>
      <c r="K494" s="237" t="s">
        <v>3452</v>
      </c>
      <c r="L494" s="237" t="s">
        <v>4438</v>
      </c>
      <c r="M494" s="237" t="s">
        <v>4439</v>
      </c>
      <c r="N494" s="237" t="s">
        <v>850</v>
      </c>
      <c r="O494" s="237" t="s">
        <v>1661</v>
      </c>
      <c r="P494" s="237" t="s">
        <v>1655</v>
      </c>
      <c r="Q494" s="237" t="s">
        <v>1656</v>
      </c>
      <c r="R494" s="190"/>
      <c r="S494" s="190"/>
      <c r="T494" s="190"/>
      <c r="U494" s="190"/>
      <c r="V494" s="237" t="s">
        <v>2986</v>
      </c>
      <c r="W494" s="237" t="s">
        <v>3183</v>
      </c>
      <c r="X494" s="239" t="s">
        <v>4440</v>
      </c>
      <c r="Y494" s="237" t="s">
        <v>777</v>
      </c>
      <c r="Z494" s="237" t="s">
        <v>1621</v>
      </c>
      <c r="AA494" s="237" t="s">
        <v>797</v>
      </c>
      <c r="AB494" s="191"/>
      <c r="AC494" s="191"/>
      <c r="AD494" s="191"/>
      <c r="AE494" s="191"/>
      <c r="AF494" s="191"/>
      <c r="AG494" s="191"/>
      <c r="AH494" s="191"/>
      <c r="AI494" s="257"/>
      <c r="AJ494" s="192"/>
      <c r="AK494" s="259"/>
      <c r="AL494" s="191"/>
      <c r="AM494" s="191"/>
      <c r="AN494" s="191"/>
      <c r="AO494" s="191"/>
      <c r="AP494" s="191"/>
      <c r="AQ494" s="191"/>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91"/>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232"/>
      <c r="CK494" s="232"/>
      <c r="CL494" s="232"/>
      <c r="CM494" s="232"/>
      <c r="CN494" s="215"/>
      <c r="CO494" s="215"/>
      <c r="CP494" s="215"/>
      <c r="CQ494" s="215"/>
      <c r="CR494" s="215"/>
      <c r="CS494" s="215"/>
      <c r="CT494" s="215"/>
    </row>
    <row r="495" ht="26.25" customHeight="1">
      <c r="A495" s="184" t="s">
        <v>519</v>
      </c>
      <c r="B495" s="184" t="s">
        <v>2055</v>
      </c>
      <c r="C495" s="184" t="s">
        <v>687</v>
      </c>
      <c r="D495" s="184" t="s">
        <v>2431</v>
      </c>
      <c r="E495" s="186" t="s">
        <v>4441</v>
      </c>
      <c r="F495" s="186" t="s">
        <v>2432</v>
      </c>
      <c r="G495" s="188">
        <v>64.0</v>
      </c>
      <c r="H495" s="209" t="s">
        <v>4442</v>
      </c>
      <c r="I495" s="237" t="s">
        <v>4443</v>
      </c>
      <c r="J495" s="237" t="s">
        <v>4444</v>
      </c>
      <c r="K495" s="237" t="s">
        <v>4445</v>
      </c>
      <c r="L495" s="237" t="s">
        <v>4446</v>
      </c>
      <c r="M495" s="237" t="s">
        <v>4447</v>
      </c>
      <c r="N495" s="237" t="s">
        <v>850</v>
      </c>
      <c r="O495" s="237" t="s">
        <v>784</v>
      </c>
      <c r="P495" s="190"/>
      <c r="Q495" s="190"/>
      <c r="R495" s="190"/>
      <c r="S495" s="190"/>
      <c r="T495" s="190"/>
      <c r="U495" s="190"/>
      <c r="V495" s="237" t="s">
        <v>4448</v>
      </c>
      <c r="W495" s="237" t="s">
        <v>1313</v>
      </c>
      <c r="X495" s="239" t="s">
        <v>1314</v>
      </c>
      <c r="Y495" s="237" t="s">
        <v>784</v>
      </c>
      <c r="Z495" s="237" t="s">
        <v>1060</v>
      </c>
      <c r="AA495" s="237" t="s">
        <v>4449</v>
      </c>
      <c r="AB495" s="191"/>
      <c r="AC495" s="191"/>
      <c r="AD495" s="191"/>
      <c r="AE495" s="191"/>
      <c r="AF495" s="191"/>
      <c r="AG495" s="191"/>
      <c r="AH495" s="191"/>
      <c r="AI495" s="257"/>
      <c r="AJ495" s="192"/>
      <c r="AK495" s="259"/>
      <c r="AL495" s="191"/>
      <c r="AM495" s="191"/>
      <c r="AN495" s="191"/>
      <c r="AO495" s="191"/>
      <c r="AP495" s="191"/>
      <c r="AQ495" s="191"/>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91"/>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232"/>
      <c r="CK495" s="232"/>
      <c r="CL495" s="232"/>
      <c r="CM495" s="232"/>
      <c r="CN495" s="215"/>
      <c r="CO495" s="215"/>
      <c r="CP495" s="215"/>
      <c r="CQ495" s="215"/>
      <c r="CR495" s="215"/>
      <c r="CS495" s="215"/>
      <c r="CT495" s="215"/>
    </row>
    <row r="496" ht="35.25" customHeight="1">
      <c r="A496" s="220" t="s">
        <v>518</v>
      </c>
      <c r="B496" s="220" t="s">
        <v>2055</v>
      </c>
      <c r="C496" s="220" t="s">
        <v>687</v>
      </c>
      <c r="D496" s="184" t="s">
        <v>2431</v>
      </c>
      <c r="E496" s="221" t="s">
        <v>4441</v>
      </c>
      <c r="F496" s="186" t="s">
        <v>2432</v>
      </c>
      <c r="G496" s="223">
        <v>65.0</v>
      </c>
      <c r="H496" s="244" t="s">
        <v>4450</v>
      </c>
      <c r="I496" s="244" t="s">
        <v>4451</v>
      </c>
      <c r="J496" s="244" t="s">
        <v>4452</v>
      </c>
      <c r="K496" s="244" t="s">
        <v>1835</v>
      </c>
      <c r="L496" s="244" t="s">
        <v>4453</v>
      </c>
      <c r="M496" s="244" t="s">
        <v>4454</v>
      </c>
      <c r="N496" s="244" t="s">
        <v>850</v>
      </c>
      <c r="O496" s="244" t="s">
        <v>784</v>
      </c>
      <c r="P496" s="190"/>
      <c r="Q496" s="190"/>
      <c r="R496" s="190"/>
      <c r="S496" s="190"/>
      <c r="T496" s="190"/>
      <c r="U496" s="190"/>
      <c r="V496" s="244" t="s">
        <v>1416</v>
      </c>
      <c r="W496" s="244" t="s">
        <v>4455</v>
      </c>
      <c r="X496" s="243" t="s">
        <v>4456</v>
      </c>
      <c r="Y496" s="244" t="s">
        <v>784</v>
      </c>
      <c r="Z496" s="244" t="s">
        <v>1060</v>
      </c>
      <c r="AA496" s="244" t="s">
        <v>757</v>
      </c>
      <c r="AB496" s="191"/>
      <c r="AC496" s="191"/>
      <c r="AD496" s="191"/>
      <c r="AE496" s="191"/>
      <c r="AF496" s="191"/>
      <c r="AG496" s="191"/>
      <c r="AH496" s="191"/>
      <c r="AI496" s="257"/>
      <c r="AJ496" s="192"/>
      <c r="AK496" s="259"/>
      <c r="AL496" s="191"/>
      <c r="AM496" s="191"/>
      <c r="AN496" s="191"/>
      <c r="AO496" s="191"/>
      <c r="AP496" s="191"/>
      <c r="AQ496" s="191"/>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91"/>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232"/>
      <c r="CK496" s="232"/>
      <c r="CL496" s="232"/>
      <c r="CM496" s="232"/>
      <c r="CN496" s="215"/>
      <c r="CO496" s="215"/>
      <c r="CP496" s="215"/>
      <c r="CQ496" s="215"/>
      <c r="CR496" s="215"/>
      <c r="CS496" s="215"/>
      <c r="CT496" s="215"/>
    </row>
    <row r="497" ht="26.25" customHeight="1">
      <c r="A497" s="184" t="s">
        <v>520</v>
      </c>
      <c r="B497" s="184" t="s">
        <v>2055</v>
      </c>
      <c r="C497" s="184" t="s">
        <v>687</v>
      </c>
      <c r="D497" s="184" t="s">
        <v>2431</v>
      </c>
      <c r="E497" s="236" t="s">
        <v>4441</v>
      </c>
      <c r="F497" s="236" t="s">
        <v>2432</v>
      </c>
      <c r="G497" s="188">
        <v>66.0</v>
      </c>
      <c r="H497" s="237" t="s">
        <v>4457</v>
      </c>
      <c r="I497" s="237" t="s">
        <v>998</v>
      </c>
      <c r="J497" s="237" t="s">
        <v>4458</v>
      </c>
      <c r="K497" s="237" t="s">
        <v>3026</v>
      </c>
      <c r="L497" s="237" t="s">
        <v>4459</v>
      </c>
      <c r="M497" s="237" t="s">
        <v>4460</v>
      </c>
      <c r="N497" s="237" t="s">
        <v>752</v>
      </c>
      <c r="O497" s="237" t="s">
        <v>764</v>
      </c>
      <c r="P497" s="190"/>
      <c r="Q497" s="190"/>
      <c r="R497" s="190"/>
      <c r="S497" s="190"/>
      <c r="T497" s="190"/>
      <c r="U497" s="190"/>
      <c r="V497" s="237" t="s">
        <v>2257</v>
      </c>
      <c r="W497" s="237" t="s">
        <v>3282</v>
      </c>
      <c r="X497" s="239" t="s">
        <v>3016</v>
      </c>
      <c r="Y497" s="260" t="s">
        <v>1457</v>
      </c>
      <c r="Z497" s="237" t="s">
        <v>744</v>
      </c>
      <c r="AA497" s="237" t="s">
        <v>757</v>
      </c>
      <c r="AB497" s="261"/>
      <c r="AC497" s="261"/>
      <c r="AD497" s="261"/>
      <c r="AE497" s="261"/>
      <c r="AF497" s="261"/>
      <c r="AG497" s="261"/>
      <c r="AH497" s="261"/>
      <c r="AI497" s="262"/>
      <c r="AJ497" s="262"/>
      <c r="AK497" s="262"/>
      <c r="AL497" s="262"/>
      <c r="AM497" s="262"/>
      <c r="AN497" s="262"/>
      <c r="AO497" s="261"/>
      <c r="AP497" s="261"/>
      <c r="AQ497" s="262"/>
      <c r="AR497" s="262"/>
      <c r="AS497" s="261"/>
      <c r="AT497" s="261"/>
      <c r="AU497" s="261"/>
      <c r="AV497" s="261"/>
      <c r="AW497" s="261"/>
      <c r="AX497" s="261"/>
      <c r="AY497" s="262"/>
      <c r="AZ497" s="262"/>
      <c r="BA497" s="262"/>
      <c r="BB497" s="262"/>
      <c r="BC497" s="262"/>
      <c r="BD497" s="262"/>
      <c r="BE497" s="262"/>
      <c r="BF497" s="262"/>
      <c r="BG497" s="262"/>
      <c r="BH497" s="262"/>
      <c r="BI497" s="262"/>
      <c r="BJ497" s="262"/>
      <c r="BK497" s="262"/>
      <c r="BL497" s="262"/>
      <c r="BM497" s="262"/>
      <c r="BN497" s="262"/>
      <c r="BO497" s="261"/>
      <c r="BP497" s="261"/>
      <c r="BQ497" s="261"/>
      <c r="BR497" s="261"/>
      <c r="BS497" s="261"/>
      <c r="BT497" s="261"/>
      <c r="BU497" s="261"/>
      <c r="BV497" s="262"/>
      <c r="BW497" s="261"/>
      <c r="BX497" s="261"/>
      <c r="BY497" s="261"/>
      <c r="BZ497" s="262"/>
      <c r="CA497" s="261"/>
      <c r="CB497" s="262"/>
      <c r="CC497" s="262"/>
      <c r="CD497" s="261"/>
      <c r="CE497" s="262"/>
      <c r="CF497" s="262"/>
      <c r="CG497" s="262"/>
      <c r="CH497" s="261"/>
      <c r="CI497" s="232"/>
      <c r="CJ497" s="232"/>
      <c r="CK497" s="232"/>
      <c r="CL497" s="232"/>
      <c r="CM497" s="232"/>
      <c r="CN497" s="215"/>
      <c r="CO497" s="215"/>
      <c r="CP497" s="215"/>
      <c r="CQ497" s="215"/>
      <c r="CR497" s="215"/>
      <c r="CS497" s="215"/>
      <c r="CT497" s="215"/>
    </row>
    <row r="498" ht="26.25" customHeight="1">
      <c r="A498" s="184" t="s">
        <v>522</v>
      </c>
      <c r="B498" s="184" t="s">
        <v>2055</v>
      </c>
      <c r="C498" s="184" t="s">
        <v>687</v>
      </c>
      <c r="D498" s="184" t="s">
        <v>2431</v>
      </c>
      <c r="E498" s="236" t="s">
        <v>4441</v>
      </c>
      <c r="F498" s="236" t="s">
        <v>2432</v>
      </c>
      <c r="G498" s="188">
        <v>67.0</v>
      </c>
      <c r="H498" s="237" t="s">
        <v>4057</v>
      </c>
      <c r="I498" s="237" t="s">
        <v>4023</v>
      </c>
      <c r="J498" s="237" t="s">
        <v>4461</v>
      </c>
      <c r="K498" s="237" t="s">
        <v>4462</v>
      </c>
      <c r="L498" s="237" t="s">
        <v>4463</v>
      </c>
      <c r="M498" s="237" t="s">
        <v>4464</v>
      </c>
      <c r="N498" s="237" t="s">
        <v>752</v>
      </c>
      <c r="O498" s="237" t="s">
        <v>1457</v>
      </c>
      <c r="P498" s="190"/>
      <c r="Q498" s="190"/>
      <c r="R498" s="190"/>
      <c r="S498" s="190"/>
      <c r="T498" s="190"/>
      <c r="U498" s="190"/>
      <c r="V498" s="237" t="s">
        <v>4465</v>
      </c>
      <c r="W498" s="237" t="s">
        <v>2102</v>
      </c>
      <c r="X498" s="239" t="s">
        <v>1792</v>
      </c>
      <c r="Y498" s="237" t="s">
        <v>1789</v>
      </c>
      <c r="Z498" s="237" t="s">
        <v>1060</v>
      </c>
      <c r="AA498" s="237" t="s">
        <v>757</v>
      </c>
      <c r="AB498" s="261"/>
      <c r="AC498" s="261"/>
      <c r="AD498" s="261"/>
      <c r="AE498" s="261"/>
      <c r="AF498" s="261"/>
      <c r="AG498" s="261"/>
      <c r="AH498" s="261"/>
      <c r="AI498" s="261"/>
      <c r="AJ498" s="262"/>
      <c r="AK498" s="261"/>
      <c r="AL498" s="261"/>
      <c r="AM498" s="262"/>
      <c r="AN498" s="262"/>
      <c r="AO498" s="262"/>
      <c r="AP498" s="262"/>
      <c r="AQ498" s="262"/>
      <c r="AR498" s="262"/>
      <c r="AS498" s="261"/>
      <c r="AT498" s="261"/>
      <c r="AU498" s="261"/>
      <c r="AV498" s="261"/>
      <c r="AW498" s="261"/>
      <c r="AX498" s="261"/>
      <c r="AY498" s="262"/>
      <c r="AZ498" s="262"/>
      <c r="BA498" s="262"/>
      <c r="BB498" s="262"/>
      <c r="BC498" s="262"/>
      <c r="BD498" s="262"/>
      <c r="BE498" s="262"/>
      <c r="BF498" s="262"/>
      <c r="BG498" s="262"/>
      <c r="BH498" s="262"/>
      <c r="BI498" s="262"/>
      <c r="BJ498" s="262"/>
      <c r="BK498" s="262"/>
      <c r="BL498" s="262"/>
      <c r="BM498" s="261"/>
      <c r="BN498" s="262"/>
      <c r="BO498" s="261"/>
      <c r="BP498" s="261"/>
      <c r="BQ498" s="261"/>
      <c r="BR498" s="261"/>
      <c r="BS498" s="261"/>
      <c r="BT498" s="261"/>
      <c r="BU498" s="261"/>
      <c r="BV498" s="262"/>
      <c r="BW498" s="261"/>
      <c r="BX498" s="261"/>
      <c r="BY498" s="261"/>
      <c r="BZ498" s="262"/>
      <c r="CA498" s="262"/>
      <c r="CB498" s="262"/>
      <c r="CC498" s="262"/>
      <c r="CD498" s="261"/>
      <c r="CE498" s="262"/>
      <c r="CF498" s="262"/>
      <c r="CG498" s="261"/>
      <c r="CH498" s="261"/>
      <c r="CI498" s="232"/>
      <c r="CJ498" s="232"/>
      <c r="CK498" s="232"/>
      <c r="CL498" s="232"/>
      <c r="CM498" s="232"/>
      <c r="CN498" s="215"/>
      <c r="CO498" s="215"/>
      <c r="CP498" s="215"/>
      <c r="CQ498" s="215"/>
      <c r="CR498" s="215"/>
      <c r="CS498" s="215"/>
      <c r="CT498" s="215"/>
    </row>
    <row r="499" ht="26.25" customHeight="1">
      <c r="A499" s="184" t="s">
        <v>521</v>
      </c>
      <c r="B499" s="184" t="s">
        <v>2055</v>
      </c>
      <c r="C499" s="184" t="s">
        <v>687</v>
      </c>
      <c r="D499" s="184" t="s">
        <v>2431</v>
      </c>
      <c r="E499" s="236" t="s">
        <v>4441</v>
      </c>
      <c r="F499" s="236" t="s">
        <v>2432</v>
      </c>
      <c r="G499" s="188">
        <v>68.0</v>
      </c>
      <c r="H499" s="237" t="s">
        <v>2414</v>
      </c>
      <c r="I499" s="237" t="s">
        <v>4466</v>
      </c>
      <c r="J499" s="237" t="s">
        <v>4467</v>
      </c>
      <c r="K499" s="237" t="s">
        <v>4468</v>
      </c>
      <c r="L499" s="237" t="s">
        <v>4469</v>
      </c>
      <c r="M499" s="237" t="s">
        <v>4470</v>
      </c>
      <c r="N499" s="209" t="s">
        <v>752</v>
      </c>
      <c r="O499" s="237" t="s">
        <v>753</v>
      </c>
      <c r="P499" s="237" t="s">
        <v>1817</v>
      </c>
      <c r="Q499" s="237" t="s">
        <v>4471</v>
      </c>
      <c r="R499" s="190"/>
      <c r="S499" s="190"/>
      <c r="T499" s="190"/>
      <c r="U499" s="190"/>
      <c r="V499" s="237" t="s">
        <v>4472</v>
      </c>
      <c r="W499" s="237" t="s">
        <v>4473</v>
      </c>
      <c r="X499" s="239" t="s">
        <v>4474</v>
      </c>
      <c r="Y499" s="260" t="s">
        <v>1376</v>
      </c>
      <c r="Z499" s="237" t="s">
        <v>1060</v>
      </c>
      <c r="AA499" s="237" t="s">
        <v>797</v>
      </c>
      <c r="AB499" s="261"/>
      <c r="AC499" s="261"/>
      <c r="AD499" s="261"/>
      <c r="AE499" s="261"/>
      <c r="AF499" s="261"/>
      <c r="AG499" s="261"/>
      <c r="AH499" s="261"/>
      <c r="AI499" s="262"/>
      <c r="AJ499" s="262"/>
      <c r="AK499" s="262"/>
      <c r="AL499" s="262"/>
      <c r="AM499" s="262"/>
      <c r="AN499" s="262"/>
      <c r="AO499" s="261"/>
      <c r="AP499" s="261"/>
      <c r="AQ499" s="262"/>
      <c r="AR499" s="262"/>
      <c r="AS499" s="261"/>
      <c r="AT499" s="261"/>
      <c r="AU499" s="261"/>
      <c r="AV499" s="261"/>
      <c r="AW499" s="261"/>
      <c r="AX499" s="261"/>
      <c r="AY499" s="262"/>
      <c r="AZ499" s="262"/>
      <c r="BA499" s="262"/>
      <c r="BB499" s="262"/>
      <c r="BC499" s="261"/>
      <c r="BD499" s="261"/>
      <c r="BE499" s="261"/>
      <c r="BF499" s="261"/>
      <c r="BG499" s="262"/>
      <c r="BH499" s="262"/>
      <c r="BI499" s="262"/>
      <c r="BJ499" s="262"/>
      <c r="BK499" s="262"/>
      <c r="BL499" s="262"/>
      <c r="BM499" s="262"/>
      <c r="BN499" s="262"/>
      <c r="BO499" s="261"/>
      <c r="BP499" s="261"/>
      <c r="BQ499" s="261"/>
      <c r="BR499" s="261"/>
      <c r="BS499" s="261"/>
      <c r="BT499" s="261"/>
      <c r="BU499" s="262"/>
      <c r="BV499" s="262"/>
      <c r="BW499" s="261"/>
      <c r="BX499" s="261"/>
      <c r="BY499" s="261"/>
      <c r="BZ499" s="262"/>
      <c r="CA499" s="261"/>
      <c r="CB499" s="262"/>
      <c r="CC499" s="262"/>
      <c r="CD499" s="261"/>
      <c r="CE499" s="262"/>
      <c r="CF499" s="262"/>
      <c r="CG499" s="262"/>
      <c r="CH499" s="261"/>
      <c r="CI499" s="232"/>
      <c r="CJ499" s="232"/>
      <c r="CK499" s="232"/>
      <c r="CL499" s="232"/>
      <c r="CM499" s="232"/>
      <c r="CN499" s="215"/>
      <c r="CO499" s="215"/>
      <c r="CP499" s="215"/>
      <c r="CQ499" s="215"/>
      <c r="CR499" s="215"/>
      <c r="CS499" s="215"/>
      <c r="CT499" s="215"/>
    </row>
    <row r="500" ht="26.25" customHeight="1">
      <c r="A500" s="184" t="s">
        <v>525</v>
      </c>
      <c r="B500" s="184" t="s">
        <v>2055</v>
      </c>
      <c r="C500" s="184" t="s">
        <v>688</v>
      </c>
      <c r="D500" s="184" t="s">
        <v>2431</v>
      </c>
      <c r="E500" s="236" t="s">
        <v>2196</v>
      </c>
      <c r="F500" s="236" t="s">
        <v>2432</v>
      </c>
      <c r="G500" s="188">
        <v>69.0</v>
      </c>
      <c r="H500" s="237" t="s">
        <v>4475</v>
      </c>
      <c r="I500" s="237" t="s">
        <v>2252</v>
      </c>
      <c r="J500" s="237" t="s">
        <v>4476</v>
      </c>
      <c r="K500" s="237" t="s">
        <v>4477</v>
      </c>
      <c r="L500" s="237" t="s">
        <v>4478</v>
      </c>
      <c r="M500" s="237" t="s">
        <v>4479</v>
      </c>
      <c r="N500" s="209" t="s">
        <v>752</v>
      </c>
      <c r="O500" s="237" t="s">
        <v>1457</v>
      </c>
      <c r="P500" s="190"/>
      <c r="Q500" s="190"/>
      <c r="R500" s="190"/>
      <c r="S500" s="190"/>
      <c r="T500" s="190"/>
      <c r="U500" s="190"/>
      <c r="V500" s="237" t="s">
        <v>4350</v>
      </c>
      <c r="W500" s="237" t="s">
        <v>2447</v>
      </c>
      <c r="X500" s="239" t="s">
        <v>4480</v>
      </c>
      <c r="Y500" s="260" t="s">
        <v>753</v>
      </c>
      <c r="Z500" s="237" t="s">
        <v>2203</v>
      </c>
      <c r="AA500" s="237" t="s">
        <v>757</v>
      </c>
      <c r="AB500" s="261"/>
      <c r="AC500" s="261"/>
      <c r="AD500" s="261"/>
      <c r="AE500" s="261"/>
      <c r="AF500" s="261"/>
      <c r="AG500" s="261"/>
      <c r="AH500" s="261"/>
      <c r="AI500" s="262"/>
      <c r="AJ500" s="262"/>
      <c r="AK500" s="262"/>
      <c r="AL500" s="262"/>
      <c r="AM500" s="262"/>
      <c r="AN500" s="262"/>
      <c r="AO500" s="261"/>
      <c r="AP500" s="261"/>
      <c r="AQ500" s="262"/>
      <c r="AR500" s="262"/>
      <c r="AS500" s="261"/>
      <c r="AT500" s="261"/>
      <c r="AU500" s="261"/>
      <c r="AV500" s="261"/>
      <c r="AW500" s="261"/>
      <c r="AX500" s="261"/>
      <c r="AY500" s="262"/>
      <c r="AZ500" s="262"/>
      <c r="BA500" s="262"/>
      <c r="BB500" s="262"/>
      <c r="BC500" s="261"/>
      <c r="BD500" s="261"/>
      <c r="BE500" s="261"/>
      <c r="BF500" s="261"/>
      <c r="BG500" s="261"/>
      <c r="BH500" s="261"/>
      <c r="BI500" s="262"/>
      <c r="BJ500" s="262"/>
      <c r="BK500" s="262"/>
      <c r="BL500" s="262"/>
      <c r="BM500" s="262"/>
      <c r="BN500" s="262"/>
      <c r="BO500" s="261"/>
      <c r="BP500" s="261"/>
      <c r="BQ500" s="261"/>
      <c r="BR500" s="261"/>
      <c r="BS500" s="261"/>
      <c r="BT500" s="261"/>
      <c r="BU500" s="261"/>
      <c r="BV500" s="261"/>
      <c r="BW500" s="261"/>
      <c r="BX500" s="261"/>
      <c r="BY500" s="261"/>
      <c r="BZ500" s="262"/>
      <c r="CA500" s="261"/>
      <c r="CB500" s="262"/>
      <c r="CC500" s="262"/>
      <c r="CD500" s="261"/>
      <c r="CE500" s="262"/>
      <c r="CF500" s="262"/>
      <c r="CG500" s="261"/>
      <c r="CH500" s="261"/>
      <c r="CI500" s="232"/>
      <c r="CJ500" s="232"/>
      <c r="CK500" s="232"/>
      <c r="CL500" s="232"/>
      <c r="CM500" s="232"/>
      <c r="CN500" s="215"/>
      <c r="CO500" s="215"/>
      <c r="CP500" s="215"/>
      <c r="CQ500" s="215"/>
      <c r="CR500" s="215"/>
      <c r="CS500" s="215"/>
      <c r="CT500" s="215"/>
    </row>
    <row r="501" ht="26.25" customHeight="1">
      <c r="A501" s="184" t="s">
        <v>523</v>
      </c>
      <c r="B501" s="184" t="s">
        <v>2055</v>
      </c>
      <c r="C501" s="184" t="s">
        <v>688</v>
      </c>
      <c r="D501" s="184" t="s">
        <v>2431</v>
      </c>
      <c r="E501" s="236" t="s">
        <v>2196</v>
      </c>
      <c r="F501" s="236" t="s">
        <v>2432</v>
      </c>
      <c r="G501" s="188">
        <v>70.0</v>
      </c>
      <c r="H501" s="237" t="s">
        <v>4481</v>
      </c>
      <c r="I501" s="237" t="s">
        <v>4482</v>
      </c>
      <c r="J501" s="237" t="s">
        <v>4483</v>
      </c>
      <c r="K501" s="237" t="s">
        <v>4484</v>
      </c>
      <c r="L501" s="237" t="s">
        <v>4485</v>
      </c>
      <c r="M501" s="237" t="s">
        <v>4486</v>
      </c>
      <c r="N501" s="209" t="s">
        <v>850</v>
      </c>
      <c r="O501" s="237" t="s">
        <v>753</v>
      </c>
      <c r="P501" s="190"/>
      <c r="Q501" s="190"/>
      <c r="R501" s="190"/>
      <c r="S501" s="190"/>
      <c r="T501" s="190"/>
      <c r="U501" s="190"/>
      <c r="V501" s="237" t="s">
        <v>4487</v>
      </c>
      <c r="W501" s="237" t="s">
        <v>4488</v>
      </c>
      <c r="X501" s="239" t="s">
        <v>4489</v>
      </c>
      <c r="Y501" s="237" t="s">
        <v>753</v>
      </c>
      <c r="Z501" s="237" t="s">
        <v>2203</v>
      </c>
      <c r="AA501" s="237" t="s">
        <v>757</v>
      </c>
      <c r="AB501" s="261"/>
      <c r="AC501" s="261"/>
      <c r="AD501" s="261"/>
      <c r="AE501" s="261"/>
      <c r="AF501" s="261"/>
      <c r="AG501" s="261"/>
      <c r="AH501" s="261"/>
      <c r="AI501" s="262"/>
      <c r="AJ501" s="262"/>
      <c r="AK501" s="262"/>
      <c r="AL501" s="262"/>
      <c r="AM501" s="262"/>
      <c r="AN501" s="262"/>
      <c r="AO501" s="261"/>
      <c r="AP501" s="261"/>
      <c r="AQ501" s="262"/>
      <c r="AR501" s="262"/>
      <c r="AS501" s="261"/>
      <c r="AT501" s="261"/>
      <c r="AU501" s="261"/>
      <c r="AV501" s="261"/>
      <c r="AW501" s="261"/>
      <c r="AX501" s="261"/>
      <c r="AY501" s="262"/>
      <c r="AZ501" s="262"/>
      <c r="BA501" s="262"/>
      <c r="BB501" s="262"/>
      <c r="BC501" s="262"/>
      <c r="BD501" s="262"/>
      <c r="BE501" s="262"/>
      <c r="BF501" s="262"/>
      <c r="BG501" s="262"/>
      <c r="BH501" s="262"/>
      <c r="BI501" s="262"/>
      <c r="BJ501" s="262"/>
      <c r="BK501" s="262"/>
      <c r="BL501" s="262"/>
      <c r="BM501" s="262"/>
      <c r="BN501" s="262"/>
      <c r="BO501" s="261"/>
      <c r="BP501" s="261"/>
      <c r="BQ501" s="261"/>
      <c r="BR501" s="261"/>
      <c r="BS501" s="261"/>
      <c r="BT501" s="261"/>
      <c r="BU501" s="261"/>
      <c r="BV501" s="261"/>
      <c r="BW501" s="261"/>
      <c r="BX501" s="261"/>
      <c r="BY501" s="261"/>
      <c r="BZ501" s="262"/>
      <c r="CA501" s="261"/>
      <c r="CB501" s="262"/>
      <c r="CC501" s="262"/>
      <c r="CD501" s="261"/>
      <c r="CE501" s="262"/>
      <c r="CF501" s="261"/>
      <c r="CG501" s="261"/>
      <c r="CH501" s="263"/>
      <c r="CI501" s="232"/>
      <c r="CJ501" s="232"/>
      <c r="CK501" s="232"/>
      <c r="CL501" s="232"/>
      <c r="CM501" s="232"/>
      <c r="CN501" s="215"/>
      <c r="CO501" s="215"/>
      <c r="CP501" s="215"/>
      <c r="CQ501" s="215"/>
      <c r="CR501" s="215"/>
      <c r="CS501" s="215"/>
      <c r="CT501" s="215"/>
    </row>
    <row r="502" ht="26.25" customHeight="1">
      <c r="A502" s="220" t="s">
        <v>524</v>
      </c>
      <c r="B502" s="220" t="s">
        <v>2055</v>
      </c>
      <c r="C502" s="220" t="s">
        <v>688</v>
      </c>
      <c r="D502" s="184" t="s">
        <v>2431</v>
      </c>
      <c r="E502" s="246" t="s">
        <v>2196</v>
      </c>
      <c r="F502" s="236" t="s">
        <v>2432</v>
      </c>
      <c r="G502" s="223">
        <v>71.0</v>
      </c>
      <c r="H502" s="244" t="s">
        <v>95</v>
      </c>
      <c r="I502" s="244" t="s">
        <v>4490</v>
      </c>
      <c r="J502" s="244" t="s">
        <v>4491</v>
      </c>
      <c r="K502" s="244" t="s">
        <v>1935</v>
      </c>
      <c r="L502" s="244" t="s">
        <v>4492</v>
      </c>
      <c r="M502" s="244" t="s">
        <v>4493</v>
      </c>
      <c r="N502" s="244" t="s">
        <v>850</v>
      </c>
      <c r="O502" s="244" t="s">
        <v>753</v>
      </c>
      <c r="P502" s="190"/>
      <c r="Q502" s="190"/>
      <c r="R502" s="190"/>
      <c r="S502" s="190"/>
      <c r="T502" s="190"/>
      <c r="U502" s="190"/>
      <c r="V502" s="244" t="s">
        <v>1938</v>
      </c>
      <c r="W502" s="244" t="s">
        <v>1939</v>
      </c>
      <c r="X502" s="243" t="s">
        <v>1940</v>
      </c>
      <c r="Y502" s="244" t="s">
        <v>753</v>
      </c>
      <c r="Z502" s="244" t="s">
        <v>2203</v>
      </c>
      <c r="AA502" s="244" t="s">
        <v>797</v>
      </c>
      <c r="AB502" s="264"/>
      <c r="AC502" s="264"/>
      <c r="AD502" s="264"/>
      <c r="AE502" s="264"/>
      <c r="AF502" s="264"/>
      <c r="AG502" s="264"/>
      <c r="AH502" s="264"/>
      <c r="AI502" s="264"/>
      <c r="AJ502" s="262"/>
      <c r="AK502" s="264"/>
      <c r="AL502" s="264"/>
      <c r="AM502" s="262"/>
      <c r="AN502" s="262"/>
      <c r="AO502" s="262"/>
      <c r="AP502" s="262"/>
      <c r="AQ502" s="262"/>
      <c r="AR502" s="262"/>
      <c r="AS502" s="264"/>
      <c r="AT502" s="264"/>
      <c r="AU502" s="264"/>
      <c r="AV502" s="264"/>
      <c r="AW502" s="264"/>
      <c r="AX502" s="264"/>
      <c r="AY502" s="262"/>
      <c r="AZ502" s="262"/>
      <c r="BA502" s="262"/>
      <c r="BB502" s="262"/>
      <c r="BC502" s="262"/>
      <c r="BD502" s="262"/>
      <c r="BE502" s="262"/>
      <c r="BF502" s="262"/>
      <c r="BG502" s="262"/>
      <c r="BH502" s="262"/>
      <c r="BI502" s="262"/>
      <c r="BJ502" s="262"/>
      <c r="BK502" s="262"/>
      <c r="BL502" s="262"/>
      <c r="BM502" s="264"/>
      <c r="BN502" s="262"/>
      <c r="BO502" s="264"/>
      <c r="BP502" s="264"/>
      <c r="BQ502" s="264"/>
      <c r="BR502" s="264"/>
      <c r="BS502" s="264"/>
      <c r="BT502" s="264"/>
      <c r="BU502" s="264"/>
      <c r="BV502" s="264"/>
      <c r="BW502" s="264"/>
      <c r="BX502" s="264"/>
      <c r="BY502" s="264"/>
      <c r="BZ502" s="262"/>
      <c r="CA502" s="262"/>
      <c r="CB502" s="262"/>
      <c r="CC502" s="262"/>
      <c r="CD502" s="264"/>
      <c r="CE502" s="262"/>
      <c r="CF502" s="264"/>
      <c r="CG502" s="264"/>
      <c r="CH502" s="261"/>
      <c r="CI502" s="232"/>
      <c r="CJ502" s="232"/>
      <c r="CK502" s="232"/>
      <c r="CL502" s="232"/>
      <c r="CM502" s="232"/>
      <c r="CN502" s="215"/>
      <c r="CO502" s="215"/>
      <c r="CP502" s="215"/>
      <c r="CQ502" s="215"/>
      <c r="CR502" s="215"/>
      <c r="CS502" s="215"/>
      <c r="CT502" s="215"/>
    </row>
    <row r="503" ht="24.0" customHeight="1">
      <c r="A503" s="184" t="s">
        <v>276</v>
      </c>
      <c r="B503" s="184" t="s">
        <v>1665</v>
      </c>
      <c r="C503" s="184" t="s">
        <v>643</v>
      </c>
      <c r="D503" s="184" t="s">
        <v>4494</v>
      </c>
      <c r="E503" s="265" t="s">
        <v>4495</v>
      </c>
      <c r="F503" s="185" t="s">
        <v>4496</v>
      </c>
      <c r="G503" s="184" t="s">
        <v>1665</v>
      </c>
      <c r="H503" s="185" t="s">
        <v>4497</v>
      </c>
      <c r="I503" s="185" t="s">
        <v>4498</v>
      </c>
      <c r="J503" s="185" t="s">
        <v>4499</v>
      </c>
      <c r="K503" s="185" t="s">
        <v>4265</v>
      </c>
      <c r="L503" s="185" t="s">
        <v>4500</v>
      </c>
      <c r="M503" s="185" t="s">
        <v>4501</v>
      </c>
      <c r="N503" s="185" t="s">
        <v>752</v>
      </c>
      <c r="O503" s="185" t="s">
        <v>1457</v>
      </c>
      <c r="P503" s="189" t="s">
        <v>4502</v>
      </c>
      <c r="Q503" s="189" t="s">
        <v>4503</v>
      </c>
      <c r="R503" s="189" t="s">
        <v>4504</v>
      </c>
      <c r="S503" s="189" t="s">
        <v>4505</v>
      </c>
      <c r="T503" s="189" t="s">
        <v>4506</v>
      </c>
      <c r="U503" s="185" t="s">
        <v>4507</v>
      </c>
      <c r="V503" s="185" t="s">
        <v>2456</v>
      </c>
      <c r="W503" s="230" t="s">
        <v>4508</v>
      </c>
      <c r="X503" s="245" t="s">
        <v>4509</v>
      </c>
      <c r="Y503" s="185" t="s">
        <v>1457</v>
      </c>
      <c r="Z503" s="185" t="s">
        <v>744</v>
      </c>
      <c r="AA503" s="189" t="s">
        <v>757</v>
      </c>
      <c r="AB503" s="266"/>
      <c r="AC503" s="266"/>
      <c r="AD503" s="266"/>
      <c r="AE503" s="266"/>
      <c r="AF503" s="266"/>
      <c r="AG503" s="266"/>
      <c r="AH503" s="266"/>
      <c r="AI503" s="266"/>
      <c r="AJ503" s="266"/>
      <c r="AK503" s="267"/>
      <c r="AL503" s="266"/>
      <c r="AM503" s="267"/>
      <c r="AN503" s="266"/>
      <c r="AO503" s="267"/>
      <c r="AP503" s="267"/>
      <c r="AQ503" s="267"/>
      <c r="AR503" s="267"/>
      <c r="AS503" s="267"/>
      <c r="AT503" s="267"/>
      <c r="AU503" s="267"/>
      <c r="AV503" s="267"/>
      <c r="AW503" s="266"/>
      <c r="AX503" s="266"/>
      <c r="AY503" s="266"/>
      <c r="BA503" s="266"/>
      <c r="BB503" s="266"/>
      <c r="BC503" s="266"/>
      <c r="BD503" s="266"/>
      <c r="BE503" s="266"/>
      <c r="BF503" s="266"/>
      <c r="BG503" s="267"/>
      <c r="BH503" s="267"/>
      <c r="BI503" s="267"/>
      <c r="BJ503" s="267"/>
      <c r="BK503" s="267"/>
      <c r="BL503" s="267"/>
      <c r="BM503" s="267"/>
      <c r="BN503" s="267"/>
      <c r="BO503" s="267"/>
      <c r="BP503" s="267"/>
      <c r="BQ503" s="267"/>
      <c r="BR503" s="267"/>
      <c r="BS503" s="266"/>
      <c r="BT503" s="266"/>
      <c r="BU503" s="266"/>
      <c r="BV503" s="266"/>
      <c r="BW503" s="266"/>
      <c r="BX503" s="266"/>
      <c r="BY503" s="266"/>
      <c r="BZ503" s="266"/>
      <c r="CA503" s="266"/>
      <c r="CB503" s="266"/>
      <c r="CC503" s="266"/>
      <c r="CD503" s="266"/>
      <c r="CE503" s="267"/>
      <c r="CF503" s="267"/>
      <c r="CG503" s="267"/>
      <c r="CH503" s="266"/>
      <c r="CI503" s="267"/>
      <c r="CJ503" s="267"/>
      <c r="CK503" s="267"/>
      <c r="CL503" s="267"/>
      <c r="CM503" s="267"/>
      <c r="CN503" s="267"/>
      <c r="CO503" s="267"/>
      <c r="CP503" s="266"/>
      <c r="CQ503" s="267"/>
      <c r="CR503" s="267"/>
      <c r="CS503" s="267"/>
      <c r="CT503" s="267"/>
    </row>
    <row r="504" ht="24.0" customHeight="1">
      <c r="A504" s="184" t="s">
        <v>279</v>
      </c>
      <c r="B504" s="184" t="s">
        <v>1665</v>
      </c>
      <c r="C504" s="184" t="s">
        <v>643</v>
      </c>
      <c r="D504" s="184" t="s">
        <v>4494</v>
      </c>
      <c r="E504" s="265" t="s">
        <v>4495</v>
      </c>
      <c r="F504" s="185" t="s">
        <v>4496</v>
      </c>
      <c r="G504" s="184" t="s">
        <v>1665</v>
      </c>
      <c r="H504" s="185" t="s">
        <v>3424</v>
      </c>
      <c r="I504" s="185" t="s">
        <v>4510</v>
      </c>
      <c r="J504" s="185" t="s">
        <v>4511</v>
      </c>
      <c r="K504" s="185" t="s">
        <v>4512</v>
      </c>
      <c r="L504" s="185" t="s">
        <v>4513</v>
      </c>
      <c r="M504" s="185" t="s">
        <v>4514</v>
      </c>
      <c r="N504" s="185" t="s">
        <v>752</v>
      </c>
      <c r="O504" s="185" t="s">
        <v>1661</v>
      </c>
      <c r="P504" s="189" t="s">
        <v>4515</v>
      </c>
      <c r="Q504" s="189" t="s">
        <v>861</v>
      </c>
      <c r="R504" s="189" t="s">
        <v>4516</v>
      </c>
      <c r="S504" s="189" t="s">
        <v>2663</v>
      </c>
      <c r="T504" s="189" t="s">
        <v>4517</v>
      </c>
      <c r="U504" s="185" t="s">
        <v>4518</v>
      </c>
      <c r="V504" s="185" t="s">
        <v>3523</v>
      </c>
      <c r="W504" s="230" t="s">
        <v>4519</v>
      </c>
      <c r="X504" s="245" t="s">
        <v>4520</v>
      </c>
      <c r="Y504" s="185" t="s">
        <v>777</v>
      </c>
      <c r="Z504" s="185" t="s">
        <v>744</v>
      </c>
      <c r="AA504" s="189" t="s">
        <v>757</v>
      </c>
      <c r="AB504" s="266"/>
      <c r="AC504" s="266"/>
      <c r="AD504" s="266"/>
      <c r="AE504" s="266"/>
      <c r="AF504" s="266"/>
      <c r="AG504" s="266"/>
      <c r="AH504" s="266"/>
      <c r="AI504" s="266"/>
      <c r="AJ504" s="266"/>
      <c r="AK504" s="267"/>
      <c r="AL504" s="266"/>
      <c r="AM504" s="267"/>
      <c r="AN504" s="266"/>
      <c r="AO504" s="267"/>
      <c r="AP504" s="267"/>
      <c r="AQ504" s="267"/>
      <c r="AR504" s="267"/>
      <c r="AS504" s="267"/>
      <c r="AT504" s="267"/>
      <c r="AU504" s="267"/>
      <c r="AV504" s="267"/>
      <c r="AW504" s="266"/>
      <c r="AX504" s="266"/>
      <c r="AY504" s="266"/>
      <c r="BA504" s="266"/>
      <c r="BB504" s="266"/>
      <c r="BC504" s="266"/>
      <c r="BD504" s="266"/>
      <c r="BE504" s="266"/>
      <c r="BF504" s="266"/>
      <c r="BG504" s="267"/>
      <c r="BH504" s="267"/>
      <c r="BI504" s="267"/>
      <c r="BJ504" s="267"/>
      <c r="BK504" s="267"/>
      <c r="BL504" s="267"/>
      <c r="BM504" s="267"/>
      <c r="BN504" s="267"/>
      <c r="BO504" s="267"/>
      <c r="BP504" s="267"/>
      <c r="BQ504" s="267"/>
      <c r="BR504" s="267"/>
      <c r="BS504" s="266"/>
      <c r="BT504" s="266"/>
      <c r="BU504" s="266"/>
      <c r="BV504" s="266"/>
      <c r="BW504" s="266"/>
      <c r="BX504" s="266"/>
      <c r="BY504" s="266"/>
      <c r="BZ504" s="266"/>
      <c r="CA504" s="266"/>
      <c r="CB504" s="266"/>
      <c r="CC504" s="266"/>
      <c r="CD504" s="266"/>
      <c r="CE504" s="267"/>
      <c r="CF504" s="267"/>
      <c r="CG504" s="267"/>
      <c r="CH504" s="266"/>
      <c r="CI504" s="267"/>
      <c r="CJ504" s="267"/>
      <c r="CK504" s="267"/>
      <c r="CL504" s="267"/>
      <c r="CM504" s="267"/>
      <c r="CN504" s="267"/>
      <c r="CO504" s="267"/>
      <c r="CP504" s="266"/>
      <c r="CQ504" s="267"/>
      <c r="CR504" s="267"/>
      <c r="CS504" s="267"/>
      <c r="CT504" s="267"/>
    </row>
    <row r="505" ht="24.0" customHeight="1">
      <c r="A505" s="184" t="s">
        <v>277</v>
      </c>
      <c r="B505" s="184" t="s">
        <v>1665</v>
      </c>
      <c r="C505" s="184" t="s">
        <v>643</v>
      </c>
      <c r="D505" s="184" t="s">
        <v>4494</v>
      </c>
      <c r="E505" s="265" t="s">
        <v>4495</v>
      </c>
      <c r="F505" s="185" t="s">
        <v>4496</v>
      </c>
      <c r="G505" s="184" t="s">
        <v>1665</v>
      </c>
      <c r="H505" s="189" t="s">
        <v>4521</v>
      </c>
      <c r="I505" s="189" t="s">
        <v>4522</v>
      </c>
      <c r="J505" s="189" t="s">
        <v>4523</v>
      </c>
      <c r="K505" s="189" t="s">
        <v>4524</v>
      </c>
      <c r="L505" s="189" t="s">
        <v>4525</v>
      </c>
      <c r="M505" s="189" t="s">
        <v>4526</v>
      </c>
      <c r="N505" s="189" t="s">
        <v>752</v>
      </c>
      <c r="O505" s="189" t="s">
        <v>893</v>
      </c>
      <c r="P505" s="189" t="s">
        <v>4527</v>
      </c>
      <c r="Q505" s="189" t="s">
        <v>4528</v>
      </c>
      <c r="R505" s="189" t="s">
        <v>4529</v>
      </c>
      <c r="S505" s="189" t="s">
        <v>4530</v>
      </c>
      <c r="T505" s="189" t="s">
        <v>4531</v>
      </c>
      <c r="U505" s="189" t="s">
        <v>4508</v>
      </c>
      <c r="V505" s="189" t="s">
        <v>4532</v>
      </c>
      <c r="W505" s="230" t="s">
        <v>861</v>
      </c>
      <c r="X505" s="245" t="s">
        <v>4533</v>
      </c>
      <c r="Y505" s="189" t="s">
        <v>1457</v>
      </c>
      <c r="Z505" s="189" t="s">
        <v>1457</v>
      </c>
      <c r="AA505" s="189" t="s">
        <v>797</v>
      </c>
      <c r="AB505" s="268"/>
      <c r="AC505" s="268"/>
      <c r="AD505" s="268"/>
      <c r="AE505" s="268"/>
      <c r="AF505" s="268"/>
      <c r="AG505" s="268"/>
      <c r="AH505" s="268"/>
      <c r="AI505" s="268"/>
      <c r="AJ505" s="269"/>
      <c r="AK505" s="269"/>
      <c r="AL505" s="269"/>
      <c r="AM505" s="269"/>
      <c r="AN505" s="269"/>
      <c r="AO505" s="269"/>
      <c r="AP505" s="268"/>
      <c r="AQ505" s="269"/>
      <c r="AR505" s="268"/>
      <c r="AS505" s="269"/>
      <c r="AT505" s="269"/>
      <c r="AU505" s="269"/>
      <c r="AV505" s="269"/>
      <c r="AW505" s="268"/>
      <c r="AX505" s="268"/>
      <c r="AY505" s="268"/>
      <c r="BA505" s="268"/>
      <c r="BB505" s="268"/>
      <c r="BC505" s="269"/>
      <c r="BD505" s="269"/>
      <c r="BE505" s="269"/>
      <c r="BF505" s="269"/>
      <c r="BG505" s="268"/>
      <c r="BH505" s="268"/>
      <c r="BI505" s="269"/>
      <c r="BJ505" s="269"/>
      <c r="BK505" s="269"/>
      <c r="BL505" s="269"/>
      <c r="BM505" s="269"/>
      <c r="BN505" s="269"/>
      <c r="BO505" s="269"/>
      <c r="BP505" s="269"/>
      <c r="BQ505" s="269"/>
      <c r="BR505" s="269"/>
      <c r="BS505" s="268"/>
      <c r="BT505" s="268"/>
      <c r="BU505" s="268"/>
      <c r="BV505" s="268"/>
      <c r="BW505" s="268"/>
      <c r="BX505" s="268"/>
      <c r="BY505" s="269"/>
      <c r="BZ505" s="268"/>
      <c r="CA505" s="268"/>
      <c r="CB505" s="268"/>
      <c r="CC505" s="268"/>
      <c r="CD505" s="269"/>
      <c r="CE505" s="269"/>
      <c r="CF505" s="268"/>
      <c r="CG505" s="269"/>
      <c r="CH505" s="268"/>
      <c r="CI505" s="269"/>
      <c r="CJ505" s="269"/>
      <c r="CK505" s="268"/>
      <c r="CL505" s="269"/>
      <c r="CM505" s="269"/>
      <c r="CN505" s="269"/>
      <c r="CO505" s="269"/>
      <c r="CP505" s="270"/>
      <c r="CQ505" s="269"/>
      <c r="CR505" s="269"/>
      <c r="CS505" s="269"/>
      <c r="CT505" s="269"/>
    </row>
    <row r="506" ht="24.0" customHeight="1">
      <c r="A506" s="184" t="s">
        <v>278</v>
      </c>
      <c r="B506" s="184" t="s">
        <v>1665</v>
      </c>
      <c r="C506" s="184" t="s">
        <v>643</v>
      </c>
      <c r="D506" s="184" t="s">
        <v>4494</v>
      </c>
      <c r="E506" s="265" t="s">
        <v>4495</v>
      </c>
      <c r="F506" s="185" t="s">
        <v>4496</v>
      </c>
      <c r="G506" s="184" t="s">
        <v>1665</v>
      </c>
      <c r="H506" s="189" t="s">
        <v>4534</v>
      </c>
      <c r="I506" s="189" t="s">
        <v>4535</v>
      </c>
      <c r="J506" s="189" t="s">
        <v>4536</v>
      </c>
      <c r="K506" s="189" t="s">
        <v>2569</v>
      </c>
      <c r="L506" s="189" t="s">
        <v>4537</v>
      </c>
      <c r="M506" s="189" t="s">
        <v>4538</v>
      </c>
      <c r="N506" s="189" t="s">
        <v>752</v>
      </c>
      <c r="O506" s="189" t="s">
        <v>764</v>
      </c>
      <c r="P506" s="189" t="s">
        <v>4539</v>
      </c>
      <c r="Q506" s="189" t="s">
        <v>4540</v>
      </c>
      <c r="R506" s="189" t="s">
        <v>860</v>
      </c>
      <c r="S506" s="189" t="s">
        <v>4541</v>
      </c>
      <c r="T506" s="189" t="s">
        <v>4542</v>
      </c>
      <c r="U506" s="189" t="s">
        <v>4543</v>
      </c>
      <c r="V506" s="189" t="s">
        <v>2456</v>
      </c>
      <c r="W506" s="230" t="s">
        <v>4519</v>
      </c>
      <c r="X506" s="245" t="s">
        <v>4509</v>
      </c>
      <c r="Y506" s="189" t="s">
        <v>777</v>
      </c>
      <c r="Z506" s="189" t="s">
        <v>1457</v>
      </c>
      <c r="AA506" s="189" t="s">
        <v>757</v>
      </c>
      <c r="AB506" s="271"/>
      <c r="AC506" s="271"/>
      <c r="AD506" s="271"/>
      <c r="AE506" s="271"/>
      <c r="AF506" s="271"/>
      <c r="AG506" s="271"/>
      <c r="AH506" s="271"/>
      <c r="AI506" s="271"/>
      <c r="AJ506" s="269"/>
      <c r="AK506" s="269"/>
      <c r="AL506" s="269"/>
      <c r="AM506" s="269"/>
      <c r="AN506" s="269"/>
      <c r="AO506" s="269"/>
      <c r="AP506" s="271"/>
      <c r="AQ506" s="269"/>
      <c r="AR506" s="271"/>
      <c r="AS506" s="269"/>
      <c r="AT506" s="269"/>
      <c r="AU506" s="269"/>
      <c r="AV506" s="269"/>
      <c r="AW506" s="271"/>
      <c r="AX506" s="271"/>
      <c r="AY506" s="271"/>
      <c r="BA506" s="271"/>
      <c r="BB506" s="271"/>
      <c r="BC506" s="269"/>
      <c r="BD506" s="269"/>
      <c r="BE506" s="269"/>
      <c r="BF506" s="269"/>
      <c r="BG506" s="269"/>
      <c r="BH506" s="269"/>
      <c r="BI506" s="269"/>
      <c r="BJ506" s="269"/>
      <c r="BK506" s="269"/>
      <c r="BL506" s="269"/>
      <c r="BM506" s="269"/>
      <c r="BN506" s="269"/>
      <c r="BO506" s="269"/>
      <c r="BP506" s="269"/>
      <c r="BQ506" s="269"/>
      <c r="BR506" s="269"/>
      <c r="BS506" s="271"/>
      <c r="BT506" s="271"/>
      <c r="BU506" s="271"/>
      <c r="BV506" s="271"/>
      <c r="BW506" s="271"/>
      <c r="BX506" s="271"/>
      <c r="BY506" s="271"/>
      <c r="BZ506" s="269"/>
      <c r="CA506" s="271"/>
      <c r="CB506" s="271"/>
      <c r="CC506" s="271"/>
      <c r="CD506" s="269"/>
      <c r="CE506" s="269"/>
      <c r="CF506" s="271"/>
      <c r="CG506" s="269"/>
      <c r="CH506" s="271"/>
      <c r="CI506" s="269"/>
      <c r="CJ506" s="269"/>
      <c r="CK506" s="271"/>
      <c r="CL506" s="272"/>
      <c r="CM506" s="269"/>
      <c r="CN506" s="269"/>
      <c r="CO506" s="269"/>
      <c r="CP506" s="269"/>
      <c r="CQ506" s="269"/>
      <c r="CR506" s="269"/>
      <c r="CS506" s="269"/>
      <c r="CT506" s="269"/>
    </row>
    <row r="507" ht="24.0" customHeight="1">
      <c r="A507" s="184" t="s">
        <v>282</v>
      </c>
      <c r="B507" s="184" t="s">
        <v>2055</v>
      </c>
      <c r="C507" s="184" t="s">
        <v>644</v>
      </c>
      <c r="D507" s="184" t="s">
        <v>4494</v>
      </c>
      <c r="E507" s="265" t="s">
        <v>4495</v>
      </c>
      <c r="F507" s="185" t="s">
        <v>4496</v>
      </c>
      <c r="G507" s="184" t="s">
        <v>2055</v>
      </c>
      <c r="H507" s="185" t="s">
        <v>4544</v>
      </c>
      <c r="I507" s="185" t="s">
        <v>4545</v>
      </c>
      <c r="J507" s="185" t="s">
        <v>4546</v>
      </c>
      <c r="K507" s="185" t="s">
        <v>2556</v>
      </c>
      <c r="L507" s="185" t="s">
        <v>4547</v>
      </c>
      <c r="M507" s="185" t="s">
        <v>4548</v>
      </c>
      <c r="N507" s="185" t="s">
        <v>752</v>
      </c>
      <c r="O507" s="185" t="s">
        <v>764</v>
      </c>
      <c r="P507" s="185" t="s">
        <v>4549</v>
      </c>
      <c r="Q507" s="185" t="s">
        <v>4550</v>
      </c>
      <c r="R507" s="185" t="s">
        <v>4551</v>
      </c>
      <c r="S507" s="185" t="s">
        <v>4552</v>
      </c>
      <c r="T507" s="185" t="s">
        <v>4553</v>
      </c>
      <c r="U507" s="185" t="s">
        <v>4554</v>
      </c>
      <c r="V507" s="185" t="s">
        <v>4555</v>
      </c>
      <c r="W507" s="230" t="s">
        <v>4556</v>
      </c>
      <c r="X507" s="245" t="s">
        <v>4557</v>
      </c>
      <c r="Y507" s="185" t="s">
        <v>764</v>
      </c>
      <c r="Z507" s="185" t="s">
        <v>1457</v>
      </c>
      <c r="AA507" s="189" t="s">
        <v>757</v>
      </c>
      <c r="AB507" s="266"/>
      <c r="AC507" s="266"/>
      <c r="AD507" s="266"/>
      <c r="AE507" s="266"/>
      <c r="AF507" s="266"/>
      <c r="AG507" s="266"/>
      <c r="AH507" s="266"/>
      <c r="AI507" s="266"/>
      <c r="AJ507" s="266"/>
      <c r="AK507" s="267"/>
      <c r="AL507" s="266"/>
      <c r="AM507" s="267"/>
      <c r="AN507" s="266"/>
      <c r="AO507" s="267"/>
      <c r="AP507" s="267"/>
      <c r="AQ507" s="267"/>
      <c r="AR507" s="267"/>
      <c r="AS507" s="267"/>
      <c r="AT507" s="267"/>
      <c r="AU507" s="267"/>
      <c r="AV507" s="267"/>
      <c r="AW507" s="266"/>
      <c r="AX507" s="266"/>
      <c r="AY507" s="266"/>
      <c r="BA507" s="266"/>
      <c r="BB507" s="266"/>
      <c r="BC507" s="266"/>
      <c r="BD507" s="266"/>
      <c r="BE507" s="266"/>
      <c r="BF507" s="266"/>
      <c r="BG507" s="267"/>
      <c r="BH507" s="267"/>
      <c r="BI507" s="267"/>
      <c r="BJ507" s="267"/>
      <c r="BK507" s="267"/>
      <c r="BL507" s="267"/>
      <c r="BM507" s="267"/>
      <c r="BN507" s="267"/>
      <c r="BO507" s="267"/>
      <c r="BP507" s="267"/>
      <c r="BQ507" s="267"/>
      <c r="BR507" s="267"/>
      <c r="BS507" s="266"/>
      <c r="BT507" s="266"/>
      <c r="BU507" s="266"/>
      <c r="BV507" s="266"/>
      <c r="BW507" s="266"/>
      <c r="BX507" s="266"/>
      <c r="BY507" s="266"/>
      <c r="BZ507" s="266"/>
      <c r="CA507" s="266"/>
      <c r="CB507" s="266"/>
      <c r="CC507" s="266"/>
      <c r="CD507" s="266"/>
      <c r="CE507" s="267"/>
      <c r="CF507" s="267"/>
      <c r="CG507" s="267"/>
      <c r="CH507" s="266"/>
      <c r="CI507" s="267"/>
      <c r="CJ507" s="267"/>
      <c r="CK507" s="266"/>
      <c r="CL507" s="273"/>
      <c r="CM507" s="267"/>
      <c r="CN507" s="267"/>
      <c r="CO507" s="267"/>
      <c r="CP507" s="267"/>
      <c r="CQ507" s="267"/>
      <c r="CR507" s="267"/>
      <c r="CS507" s="267"/>
      <c r="CT507" s="267"/>
    </row>
    <row r="508" ht="24.0" customHeight="1">
      <c r="A508" s="184" t="s">
        <v>281</v>
      </c>
      <c r="B508" s="184" t="s">
        <v>2055</v>
      </c>
      <c r="C508" s="184" t="s">
        <v>644</v>
      </c>
      <c r="D508" s="184" t="s">
        <v>4494</v>
      </c>
      <c r="E508" s="265" t="s">
        <v>4495</v>
      </c>
      <c r="F508" s="189" t="s">
        <v>4496</v>
      </c>
      <c r="G508" s="184" t="s">
        <v>2055</v>
      </c>
      <c r="H508" s="189" t="s">
        <v>4558</v>
      </c>
      <c r="I508" s="189" t="s">
        <v>4559</v>
      </c>
      <c r="J508" s="189" t="s">
        <v>4560</v>
      </c>
      <c r="K508" s="189" t="s">
        <v>4561</v>
      </c>
      <c r="L508" s="189" t="s">
        <v>4562</v>
      </c>
      <c r="M508" s="189" t="s">
        <v>4563</v>
      </c>
      <c r="N508" s="189" t="s">
        <v>752</v>
      </c>
      <c r="O508" s="189" t="s">
        <v>893</v>
      </c>
      <c r="P508" s="189" t="s">
        <v>4564</v>
      </c>
      <c r="Q508" s="189" t="s">
        <v>2429</v>
      </c>
      <c r="R508" s="189" t="s">
        <v>4565</v>
      </c>
      <c r="S508" s="189" t="s">
        <v>4566</v>
      </c>
      <c r="T508" s="189" t="s">
        <v>4567</v>
      </c>
      <c r="U508" s="189" t="s">
        <v>4246</v>
      </c>
      <c r="V508" s="189" t="s">
        <v>2456</v>
      </c>
      <c r="W508" s="230" t="s">
        <v>4519</v>
      </c>
      <c r="X508" s="245" t="s">
        <v>4509</v>
      </c>
      <c r="Y508" s="189" t="s">
        <v>777</v>
      </c>
      <c r="Z508" s="189" t="s">
        <v>1457</v>
      </c>
      <c r="AA508" s="189" t="s">
        <v>757</v>
      </c>
      <c r="AB508" s="274"/>
      <c r="AC508" s="274"/>
      <c r="AD508" s="274"/>
      <c r="AE508" s="274"/>
      <c r="AF508" s="274"/>
      <c r="AG508" s="274"/>
      <c r="AH508" s="274"/>
      <c r="AI508" s="274"/>
      <c r="AJ508" s="274"/>
      <c r="AK508" s="262"/>
      <c r="AL508" s="274"/>
      <c r="AM508" s="262"/>
      <c r="AN508" s="274"/>
      <c r="AO508" s="262"/>
      <c r="AP508" s="262"/>
      <c r="AQ508" s="262"/>
      <c r="AR508" s="262"/>
      <c r="AS508" s="262"/>
      <c r="AT508" s="262"/>
      <c r="AU508" s="262"/>
      <c r="AV508" s="262"/>
      <c r="AW508" s="274"/>
      <c r="AX508" s="274"/>
      <c r="AY508" s="274"/>
      <c r="BA508" s="274"/>
      <c r="BB508" s="274"/>
      <c r="BC508" s="262"/>
      <c r="BD508" s="262"/>
      <c r="BE508" s="262"/>
      <c r="BF508" s="262"/>
      <c r="BG508" s="262"/>
      <c r="BH508" s="262"/>
      <c r="BI508" s="262"/>
      <c r="BJ508" s="262"/>
      <c r="BK508" s="262"/>
      <c r="BL508" s="262"/>
      <c r="BM508" s="262"/>
      <c r="BN508" s="262"/>
      <c r="BO508" s="262"/>
      <c r="BP508" s="262"/>
      <c r="BQ508" s="262"/>
      <c r="BR508" s="262"/>
      <c r="BS508" s="274"/>
      <c r="BT508" s="274"/>
      <c r="BU508" s="274"/>
      <c r="BV508" s="274"/>
      <c r="BW508" s="274"/>
      <c r="BX508" s="274"/>
      <c r="BY508" s="274"/>
      <c r="BZ508" s="262"/>
      <c r="CA508" s="274"/>
      <c r="CB508" s="274"/>
      <c r="CC508" s="274"/>
      <c r="CD508" s="274"/>
      <c r="CE508" s="262"/>
      <c r="CF508" s="262"/>
      <c r="CG508" s="262"/>
      <c r="CH508" s="274"/>
      <c r="CI508" s="262"/>
      <c r="CJ508" s="262"/>
      <c r="CK508" s="262"/>
      <c r="CL508" s="262"/>
      <c r="CM508" s="262"/>
      <c r="CN508" s="262"/>
      <c r="CO508" s="262"/>
      <c r="CP508" s="262"/>
      <c r="CQ508" s="262"/>
      <c r="CR508" s="262"/>
      <c r="CS508" s="262"/>
      <c r="CT508" s="262"/>
    </row>
    <row r="509" ht="24.0" customHeight="1">
      <c r="A509" s="184" t="s">
        <v>283</v>
      </c>
      <c r="B509" s="184" t="s">
        <v>2055</v>
      </c>
      <c r="C509" s="184" t="s">
        <v>644</v>
      </c>
      <c r="D509" s="184" t="s">
        <v>4494</v>
      </c>
      <c r="E509" s="265" t="s">
        <v>4495</v>
      </c>
      <c r="F509" s="189" t="s">
        <v>4496</v>
      </c>
      <c r="G509" s="184" t="s">
        <v>2055</v>
      </c>
      <c r="H509" s="189" t="s">
        <v>4568</v>
      </c>
      <c r="I509" s="189" t="s">
        <v>4569</v>
      </c>
      <c r="J509" s="189" t="s">
        <v>4570</v>
      </c>
      <c r="K509" s="189" t="s">
        <v>3229</v>
      </c>
      <c r="L509" s="189" t="s">
        <v>4571</v>
      </c>
      <c r="M509" s="189" t="s">
        <v>4572</v>
      </c>
      <c r="N509" s="189" t="s">
        <v>752</v>
      </c>
      <c r="O509" s="189" t="s">
        <v>764</v>
      </c>
      <c r="P509" s="189" t="s">
        <v>2772</v>
      </c>
      <c r="Q509" s="189" t="s">
        <v>4573</v>
      </c>
      <c r="R509" s="189" t="s">
        <v>4574</v>
      </c>
      <c r="S509" s="189" t="s">
        <v>4575</v>
      </c>
      <c r="T509" s="189" t="s">
        <v>4576</v>
      </c>
      <c r="U509" s="189" t="s">
        <v>4577</v>
      </c>
      <c r="V509" s="189" t="s">
        <v>4578</v>
      </c>
      <c r="W509" s="230" t="s">
        <v>4579</v>
      </c>
      <c r="X509" s="245" t="s">
        <v>4580</v>
      </c>
      <c r="Y509" s="189" t="s">
        <v>1457</v>
      </c>
      <c r="Z509" s="189" t="s">
        <v>1105</v>
      </c>
      <c r="AA509" s="189" t="s">
        <v>797</v>
      </c>
      <c r="AB509" s="274"/>
      <c r="AC509" s="274"/>
      <c r="AD509" s="274"/>
      <c r="AE509" s="274"/>
      <c r="AF509" s="274"/>
      <c r="AG509" s="274"/>
      <c r="AH509" s="274"/>
      <c r="AI509" s="274"/>
      <c r="AJ509" s="274"/>
      <c r="AK509" s="262"/>
      <c r="AL509" s="274"/>
      <c r="AM509" s="262"/>
      <c r="AN509" s="274"/>
      <c r="AO509" s="262"/>
      <c r="AP509" s="262"/>
      <c r="AQ509" s="262"/>
      <c r="AR509" s="262"/>
      <c r="AS509" s="262"/>
      <c r="AT509" s="262"/>
      <c r="AU509" s="262"/>
      <c r="AV509" s="262"/>
      <c r="AW509" s="274"/>
      <c r="AX509" s="274"/>
      <c r="AY509" s="274"/>
      <c r="BA509" s="274"/>
      <c r="BB509" s="274"/>
      <c r="BC509" s="262"/>
      <c r="BD509" s="262"/>
      <c r="BE509" s="262"/>
      <c r="BF509" s="262"/>
      <c r="BG509" s="274"/>
      <c r="BH509" s="274"/>
      <c r="BI509" s="262"/>
      <c r="BJ509" s="262"/>
      <c r="BK509" s="262"/>
      <c r="BL509" s="262"/>
      <c r="BM509" s="262"/>
      <c r="BN509" s="262"/>
      <c r="BO509" s="262"/>
      <c r="BP509" s="262"/>
      <c r="BQ509" s="262"/>
      <c r="BR509" s="262"/>
      <c r="BS509" s="274"/>
      <c r="BT509" s="274"/>
      <c r="BU509" s="274"/>
      <c r="BV509" s="274"/>
      <c r="BW509" s="274"/>
      <c r="BX509" s="274"/>
      <c r="BY509" s="274"/>
      <c r="BZ509" s="274"/>
      <c r="CA509" s="274"/>
      <c r="CB509" s="274"/>
      <c r="CC509" s="274"/>
      <c r="CD509" s="274"/>
      <c r="CE509" s="262"/>
      <c r="CF509" s="262"/>
      <c r="CG509" s="262"/>
      <c r="CH509" s="274"/>
      <c r="CI509" s="262"/>
      <c r="CJ509" s="262"/>
      <c r="CK509" s="262"/>
      <c r="CL509" s="262"/>
      <c r="CM509" s="262"/>
      <c r="CN509" s="262"/>
      <c r="CO509" s="262"/>
      <c r="CP509" s="274"/>
      <c r="CQ509" s="262"/>
      <c r="CR509" s="262"/>
      <c r="CS509" s="262"/>
      <c r="CT509" s="262"/>
    </row>
    <row r="510" ht="24.0" customHeight="1">
      <c r="A510" s="184" t="s">
        <v>280</v>
      </c>
      <c r="B510" s="184" t="s">
        <v>2055</v>
      </c>
      <c r="C510" s="184" t="s">
        <v>644</v>
      </c>
      <c r="D510" s="184" t="s">
        <v>4494</v>
      </c>
      <c r="E510" s="265" t="s">
        <v>4495</v>
      </c>
      <c r="F510" s="189" t="s">
        <v>4496</v>
      </c>
      <c r="G510" s="184" t="s">
        <v>2055</v>
      </c>
      <c r="H510" s="189" t="s">
        <v>4581</v>
      </c>
      <c r="I510" s="189" t="s">
        <v>4566</v>
      </c>
      <c r="J510" s="189" t="s">
        <v>4509</v>
      </c>
      <c r="K510" s="189" t="s">
        <v>4582</v>
      </c>
      <c r="L510" s="189" t="s">
        <v>4583</v>
      </c>
      <c r="M510" s="189" t="s">
        <v>4584</v>
      </c>
      <c r="N510" s="189" t="s">
        <v>752</v>
      </c>
      <c r="O510" s="189" t="s">
        <v>764</v>
      </c>
      <c r="P510" s="189" t="s">
        <v>2396</v>
      </c>
      <c r="Q510" s="189" t="s">
        <v>4585</v>
      </c>
      <c r="R510" s="189" t="s">
        <v>4586</v>
      </c>
      <c r="S510" s="189" t="s">
        <v>4587</v>
      </c>
      <c r="T510" s="189" t="s">
        <v>4588</v>
      </c>
      <c r="U510" s="189" t="s">
        <v>4589</v>
      </c>
      <c r="V510" s="189" t="s">
        <v>4590</v>
      </c>
      <c r="W510" s="230" t="s">
        <v>4519</v>
      </c>
      <c r="X510" s="245" t="s">
        <v>4509</v>
      </c>
      <c r="Y510" s="189" t="s">
        <v>1457</v>
      </c>
      <c r="Z510" s="189" t="s">
        <v>1060</v>
      </c>
      <c r="AA510" s="189" t="s">
        <v>757</v>
      </c>
      <c r="AB510" s="274"/>
      <c r="AC510" s="274"/>
      <c r="AD510" s="274"/>
      <c r="AE510" s="274"/>
      <c r="AF510" s="274"/>
      <c r="AG510" s="274"/>
      <c r="AH510" s="274"/>
      <c r="AI510" s="274"/>
      <c r="AJ510" s="274"/>
      <c r="AK510" s="262"/>
      <c r="AL510" s="274"/>
      <c r="AM510" s="262"/>
      <c r="AN510" s="274"/>
      <c r="AO510" s="262"/>
      <c r="AP510" s="262"/>
      <c r="AQ510" s="262"/>
      <c r="AR510" s="262"/>
      <c r="AS510" s="262"/>
      <c r="AT510" s="262"/>
      <c r="AU510" s="262"/>
      <c r="AV510" s="262"/>
      <c r="AW510" s="274"/>
      <c r="AX510" s="274"/>
      <c r="AY510" s="274"/>
      <c r="BA510" s="274"/>
      <c r="BB510" s="274"/>
      <c r="BC510" s="262"/>
      <c r="BD510" s="262"/>
      <c r="BE510" s="262"/>
      <c r="BF510" s="262"/>
      <c r="BG510" s="274"/>
      <c r="BH510" s="274"/>
      <c r="BI510" s="274"/>
      <c r="BJ510" s="274"/>
      <c r="BK510" s="274"/>
      <c r="BL510" s="274"/>
      <c r="BM510" s="274"/>
      <c r="BN510" s="274"/>
      <c r="BO510" s="262"/>
      <c r="BP510" s="262"/>
      <c r="BQ510" s="262"/>
      <c r="BR510" s="262"/>
      <c r="BS510" s="274"/>
      <c r="BT510" s="274"/>
      <c r="BU510" s="274"/>
      <c r="BV510" s="274"/>
      <c r="BW510" s="274"/>
      <c r="BX510" s="274"/>
      <c r="BY510" s="274"/>
      <c r="BZ510" s="262"/>
      <c r="CA510" s="274"/>
      <c r="CB510" s="274"/>
      <c r="CC510" s="274"/>
      <c r="CD510" s="274"/>
      <c r="CE510" s="262"/>
      <c r="CF510" s="262"/>
      <c r="CG510" s="262"/>
      <c r="CH510" s="274"/>
      <c r="CI510" s="262"/>
      <c r="CJ510" s="262"/>
      <c r="CK510" s="262"/>
      <c r="CL510" s="262"/>
      <c r="CM510" s="262"/>
      <c r="CN510" s="262"/>
      <c r="CO510" s="262"/>
      <c r="CP510" s="274"/>
      <c r="CQ510" s="262"/>
      <c r="CR510" s="262"/>
      <c r="CS510" s="262"/>
      <c r="CT510" s="262"/>
    </row>
    <row r="511" ht="24.0" customHeight="1">
      <c r="A511" s="184" t="s">
        <v>584</v>
      </c>
      <c r="B511" s="184" t="s">
        <v>1260</v>
      </c>
      <c r="C511" s="275" t="s">
        <v>689</v>
      </c>
      <c r="D511" s="184" t="s">
        <v>4591</v>
      </c>
      <c r="E511" s="189" t="s">
        <v>4592</v>
      </c>
      <c r="F511" s="189" t="s">
        <v>2432</v>
      </c>
      <c r="G511" s="188">
        <v>0.4583333333333333</v>
      </c>
      <c r="H511" s="189" t="s">
        <v>1403</v>
      </c>
      <c r="I511" s="189" t="s">
        <v>1833</v>
      </c>
      <c r="J511" s="189" t="s">
        <v>4593</v>
      </c>
      <c r="K511" s="189" t="s">
        <v>4594</v>
      </c>
      <c r="L511" s="189" t="s">
        <v>4595</v>
      </c>
      <c r="M511" s="189" t="s">
        <v>4596</v>
      </c>
      <c r="N511" s="189" t="s">
        <v>752</v>
      </c>
      <c r="O511" s="189" t="s">
        <v>753</v>
      </c>
      <c r="P511" s="190"/>
      <c r="Q511" s="190"/>
      <c r="R511" s="190"/>
      <c r="S511" s="190"/>
      <c r="T511" s="190"/>
      <c r="U511" s="190"/>
      <c r="V511" s="189" t="s">
        <v>4597</v>
      </c>
      <c r="W511" s="230" t="s">
        <v>4598</v>
      </c>
      <c r="X511" s="245" t="s">
        <v>4599</v>
      </c>
      <c r="Y511" s="189" t="s">
        <v>753</v>
      </c>
      <c r="Z511" s="190"/>
      <c r="AA511" s="189" t="s">
        <v>757</v>
      </c>
      <c r="AB511" s="274"/>
      <c r="AC511" s="274"/>
      <c r="AD511" s="274"/>
      <c r="AE511" s="274"/>
      <c r="AF511" s="274"/>
      <c r="AG511" s="274"/>
      <c r="AH511" s="274"/>
      <c r="AI511" s="274"/>
      <c r="AJ511" s="274"/>
      <c r="AK511" s="262"/>
      <c r="AL511" s="274"/>
      <c r="AM511" s="262"/>
      <c r="AN511" s="274"/>
      <c r="AO511" s="262"/>
      <c r="AP511" s="262"/>
      <c r="AQ511" s="262"/>
      <c r="AR511" s="262"/>
      <c r="AS511" s="262"/>
      <c r="AT511" s="262"/>
      <c r="AU511" s="262"/>
      <c r="AV511" s="262"/>
      <c r="AW511" s="274"/>
      <c r="AX511" s="274"/>
      <c r="AY511" s="274"/>
      <c r="BA511" s="274"/>
      <c r="BB511" s="274"/>
      <c r="BC511" s="274"/>
      <c r="BD511" s="274"/>
      <c r="BE511" s="274"/>
      <c r="BF511" s="274"/>
      <c r="BG511" s="274"/>
      <c r="BH511" s="274"/>
      <c r="BI511" s="274"/>
      <c r="BJ511" s="274"/>
      <c r="BK511" s="274"/>
      <c r="BL511" s="274"/>
      <c r="BM511" s="274"/>
      <c r="BN511" s="274"/>
      <c r="BO511" s="274"/>
      <c r="BP511" s="274"/>
      <c r="BQ511" s="262"/>
      <c r="BR511" s="262"/>
      <c r="BS511" s="274"/>
      <c r="BT511" s="274"/>
      <c r="BU511" s="274"/>
      <c r="BV511" s="274"/>
      <c r="BW511" s="274"/>
      <c r="BX511" s="274"/>
      <c r="BY511" s="274"/>
      <c r="BZ511" s="274"/>
      <c r="CA511" s="274"/>
      <c r="CB511" s="274"/>
      <c r="CC511" s="274"/>
      <c r="CD511" s="274"/>
      <c r="CE511" s="262"/>
      <c r="CF511" s="262"/>
      <c r="CG511" s="262"/>
      <c r="CH511" s="274"/>
      <c r="CI511" s="262"/>
      <c r="CJ511" s="262"/>
      <c r="CK511" s="274"/>
      <c r="CL511" s="262"/>
      <c r="CM511" s="262"/>
      <c r="CN511" s="262"/>
      <c r="CO511" s="262"/>
      <c r="CP511" s="274"/>
      <c r="CQ511" s="262"/>
      <c r="CR511" s="262"/>
      <c r="CS511" s="262"/>
      <c r="CT511" s="262"/>
    </row>
    <row r="512" ht="24.0" customHeight="1">
      <c r="A512" s="184" t="s">
        <v>585</v>
      </c>
      <c r="B512" s="184" t="s">
        <v>1260</v>
      </c>
      <c r="C512" s="275" t="s">
        <v>689</v>
      </c>
      <c r="D512" s="184" t="s">
        <v>4591</v>
      </c>
      <c r="E512" s="189" t="s">
        <v>4600</v>
      </c>
      <c r="F512" s="189" t="s">
        <v>2432</v>
      </c>
      <c r="G512" s="188">
        <v>0.4583333333333333</v>
      </c>
      <c r="H512" s="189" t="s">
        <v>4601</v>
      </c>
      <c r="I512" s="189" t="s">
        <v>4602</v>
      </c>
      <c r="J512" s="189" t="s">
        <v>4603</v>
      </c>
      <c r="K512" s="189" t="s">
        <v>4172</v>
      </c>
      <c r="L512" s="189" t="s">
        <v>4604</v>
      </c>
      <c r="M512" s="189" t="s">
        <v>4605</v>
      </c>
      <c r="N512" s="189" t="s">
        <v>752</v>
      </c>
      <c r="O512" s="189" t="s">
        <v>784</v>
      </c>
      <c r="P512" s="190"/>
      <c r="Q512" s="190"/>
      <c r="R512" s="190"/>
      <c r="S512" s="190"/>
      <c r="T512" s="190"/>
      <c r="U512" s="190"/>
      <c r="V512" s="189" t="s">
        <v>4606</v>
      </c>
      <c r="W512" s="230" t="s">
        <v>4607</v>
      </c>
      <c r="X512" s="245" t="s">
        <v>4608</v>
      </c>
      <c r="Y512" s="189" t="s">
        <v>784</v>
      </c>
      <c r="Z512" s="190"/>
      <c r="AA512" s="189" t="s">
        <v>757</v>
      </c>
      <c r="AB512" s="261"/>
      <c r="AC512" s="261"/>
      <c r="AD512" s="261"/>
      <c r="AE512" s="261"/>
      <c r="AF512" s="261"/>
      <c r="AG512" s="261"/>
      <c r="AH512" s="261"/>
      <c r="AI512" s="261"/>
      <c r="AJ512" s="262"/>
      <c r="AK512" s="262"/>
      <c r="AL512" s="262"/>
      <c r="AM512" s="262"/>
      <c r="AN512" s="262"/>
      <c r="AO512" s="262"/>
      <c r="AP512" s="261"/>
      <c r="AQ512" s="262"/>
      <c r="AR512" s="261"/>
      <c r="AS512" s="262"/>
      <c r="AT512" s="262"/>
      <c r="AU512" s="262"/>
      <c r="AV512" s="262"/>
      <c r="AW512" s="261"/>
      <c r="AX512" s="261"/>
      <c r="AY512" s="261"/>
      <c r="BA512" s="261"/>
      <c r="BB512" s="261"/>
      <c r="BC512" s="262"/>
      <c r="BD512" s="262"/>
      <c r="BE512" s="262"/>
      <c r="BF512" s="262"/>
      <c r="BG512" s="261"/>
      <c r="BH512" s="261"/>
      <c r="BI512" s="262"/>
      <c r="BJ512" s="262"/>
      <c r="BK512" s="262"/>
      <c r="BL512" s="262"/>
      <c r="BM512" s="262"/>
      <c r="BN512" s="262"/>
      <c r="BO512" s="262"/>
      <c r="BP512" s="262"/>
      <c r="BQ512" s="262"/>
      <c r="BR512" s="262"/>
      <c r="BS512" s="261"/>
      <c r="BT512" s="261"/>
      <c r="BU512" s="261"/>
      <c r="BV512" s="261"/>
      <c r="BW512" s="261"/>
      <c r="BX512" s="261"/>
      <c r="BY512" s="261"/>
      <c r="BZ512" s="261"/>
      <c r="CA512" s="261"/>
      <c r="CB512" s="261"/>
      <c r="CC512" s="261"/>
      <c r="CD512" s="262"/>
      <c r="CE512" s="262"/>
      <c r="CF512" s="261"/>
      <c r="CG512" s="262"/>
      <c r="CH512" s="261"/>
      <c r="CI512" s="262"/>
      <c r="CJ512" s="262"/>
      <c r="CK512" s="262"/>
      <c r="CL512" s="276"/>
      <c r="CM512" s="262"/>
      <c r="CN512" s="262"/>
      <c r="CO512" s="262"/>
      <c r="CP512" s="277"/>
      <c r="CQ512" s="262"/>
      <c r="CR512" s="262"/>
      <c r="CS512" s="262"/>
      <c r="CT512" s="262"/>
    </row>
    <row r="513" ht="24.0" customHeight="1">
      <c r="A513" s="184" t="s">
        <v>582</v>
      </c>
      <c r="B513" s="184" t="s">
        <v>1260</v>
      </c>
      <c r="C513" s="275" t="s">
        <v>689</v>
      </c>
      <c r="D513" s="184" t="s">
        <v>4591</v>
      </c>
      <c r="E513" s="189" t="s">
        <v>4609</v>
      </c>
      <c r="F513" s="189" t="s">
        <v>2432</v>
      </c>
      <c r="G513" s="188">
        <v>0.4583333333333333</v>
      </c>
      <c r="H513" s="189" t="s">
        <v>4610</v>
      </c>
      <c r="I513" s="189" t="s">
        <v>4611</v>
      </c>
      <c r="J513" s="189" t="s">
        <v>4612</v>
      </c>
      <c r="K513" s="189" t="s">
        <v>4613</v>
      </c>
      <c r="L513" s="189" t="s">
        <v>4614</v>
      </c>
      <c r="M513" s="189" t="s">
        <v>4615</v>
      </c>
      <c r="N513" s="189" t="s">
        <v>752</v>
      </c>
      <c r="O513" s="189" t="s">
        <v>753</v>
      </c>
      <c r="P513" s="190"/>
      <c r="Q513" s="190"/>
      <c r="R513" s="190"/>
      <c r="S513" s="190"/>
      <c r="T513" s="190"/>
      <c r="U513" s="190"/>
      <c r="V513" s="189" t="s">
        <v>4616</v>
      </c>
      <c r="W513" s="230" t="s">
        <v>4617</v>
      </c>
      <c r="X513" s="245" t="s">
        <v>4618</v>
      </c>
      <c r="Y513" s="189" t="s">
        <v>753</v>
      </c>
      <c r="Z513" s="190"/>
      <c r="AA513" s="189" t="s">
        <v>4619</v>
      </c>
      <c r="AB513" s="274"/>
      <c r="AC513" s="274"/>
      <c r="AD513" s="274"/>
      <c r="AE513" s="274"/>
      <c r="AF513" s="274"/>
      <c r="AG513" s="274"/>
      <c r="AH513" s="274"/>
      <c r="AI513" s="274"/>
      <c r="AJ513" s="262"/>
      <c r="AK513" s="262"/>
      <c r="AL513" s="262"/>
      <c r="AM513" s="262"/>
      <c r="AN513" s="262"/>
      <c r="AO513" s="262"/>
      <c r="AP513" s="274"/>
      <c r="AQ513" s="262"/>
      <c r="AR513" s="274"/>
      <c r="AS513" s="262"/>
      <c r="AT513" s="262"/>
      <c r="AU513" s="262"/>
      <c r="AV513" s="262"/>
      <c r="AW513" s="274"/>
      <c r="AX513" s="274"/>
      <c r="AY513" s="274"/>
      <c r="BA513" s="274"/>
      <c r="BB513" s="274"/>
      <c r="BC513" s="274"/>
      <c r="BD513" s="274"/>
      <c r="BE513" s="274"/>
      <c r="BF513" s="274"/>
      <c r="BG513" s="262"/>
      <c r="BH513" s="262"/>
      <c r="BI513" s="262"/>
      <c r="BJ513" s="262"/>
      <c r="BK513" s="262"/>
      <c r="BL513" s="262"/>
      <c r="BM513" s="262"/>
      <c r="BN513" s="262"/>
      <c r="BO513" s="262"/>
      <c r="BP513" s="262"/>
      <c r="BQ513" s="262"/>
      <c r="BR513" s="262"/>
      <c r="BS513" s="274"/>
      <c r="BT513" s="274"/>
      <c r="BU513" s="274"/>
      <c r="BV513" s="274"/>
      <c r="BW513" s="274"/>
      <c r="BX513" s="274"/>
      <c r="BY513" s="274"/>
      <c r="BZ513" s="274"/>
      <c r="CA513" s="274"/>
      <c r="CB513" s="274"/>
      <c r="CC513" s="274"/>
      <c r="CD513" s="262"/>
      <c r="CE513" s="262"/>
      <c r="CF513" s="274"/>
      <c r="CG513" s="262"/>
      <c r="CH513" s="274"/>
      <c r="CI513" s="262"/>
      <c r="CJ513" s="262"/>
      <c r="CK513" s="274"/>
      <c r="CL513" s="262"/>
      <c r="CM513" s="262"/>
      <c r="CN513" s="262"/>
      <c r="CO513" s="262"/>
      <c r="CP513" s="274"/>
      <c r="CQ513" s="262"/>
      <c r="CR513" s="262"/>
      <c r="CS513" s="262"/>
      <c r="CT513" s="262"/>
    </row>
    <row r="514" ht="24.0" customHeight="1">
      <c r="A514" s="184" t="s">
        <v>588</v>
      </c>
      <c r="B514" s="184" t="s">
        <v>2055</v>
      </c>
      <c r="C514" s="275" t="s">
        <v>690</v>
      </c>
      <c r="D514" s="184" t="s">
        <v>4591</v>
      </c>
      <c r="E514" s="189" t="s">
        <v>4592</v>
      </c>
      <c r="F514" s="189" t="s">
        <v>2432</v>
      </c>
      <c r="G514" s="188">
        <v>0.625</v>
      </c>
      <c r="H514" s="189" t="s">
        <v>4006</v>
      </c>
      <c r="I514" s="189" t="s">
        <v>4620</v>
      </c>
      <c r="J514" s="189" t="s">
        <v>4621</v>
      </c>
      <c r="K514" s="189" t="s">
        <v>4622</v>
      </c>
      <c r="L514" s="189" t="s">
        <v>4623</v>
      </c>
      <c r="M514" s="237" t="s">
        <v>4624</v>
      </c>
      <c r="N514" s="189" t="s">
        <v>752</v>
      </c>
      <c r="O514" s="189" t="s">
        <v>753</v>
      </c>
      <c r="P514" s="190"/>
      <c r="Q514" s="190"/>
      <c r="R514" s="190"/>
      <c r="S514" s="190"/>
      <c r="T514" s="190"/>
      <c r="U514" s="190"/>
      <c r="V514" s="189" t="s">
        <v>4625</v>
      </c>
      <c r="W514" s="230" t="s">
        <v>4626</v>
      </c>
      <c r="X514" s="245" t="s">
        <v>4627</v>
      </c>
      <c r="Y514" s="189" t="s">
        <v>753</v>
      </c>
      <c r="Z514" s="190"/>
      <c r="AA514" s="189" t="s">
        <v>757</v>
      </c>
      <c r="AB514" s="274"/>
      <c r="AC514" s="274"/>
      <c r="AD514" s="274"/>
      <c r="AE514" s="274"/>
      <c r="AF514" s="274"/>
      <c r="AG514" s="274"/>
      <c r="AH514" s="274"/>
      <c r="AI514" s="274"/>
      <c r="AJ514" s="262"/>
      <c r="AK514" s="262"/>
      <c r="AL514" s="262"/>
      <c r="AM514" s="262"/>
      <c r="AN514" s="262"/>
      <c r="AO514" s="262"/>
      <c r="AP514" s="274"/>
      <c r="AQ514" s="262"/>
      <c r="AR514" s="274"/>
      <c r="AS514" s="262"/>
      <c r="AT514" s="262"/>
      <c r="AU514" s="262"/>
      <c r="AV514" s="262"/>
      <c r="AW514" s="274"/>
      <c r="AX514" s="274"/>
      <c r="AY514" s="274"/>
      <c r="BA514" s="274"/>
      <c r="BB514" s="274"/>
      <c r="BC514" s="262"/>
      <c r="BD514" s="262"/>
      <c r="BE514" s="262"/>
      <c r="BF514" s="262"/>
      <c r="BG514" s="262"/>
      <c r="BH514" s="262"/>
      <c r="BI514" s="262"/>
      <c r="BJ514" s="262"/>
      <c r="BK514" s="262"/>
      <c r="BL514" s="262"/>
      <c r="BM514" s="262"/>
      <c r="BN514" s="262"/>
      <c r="BO514" s="262"/>
      <c r="BP514" s="262"/>
      <c r="BQ514" s="262"/>
      <c r="BR514" s="262"/>
      <c r="BS514" s="274"/>
      <c r="BT514" s="274"/>
      <c r="BU514" s="274"/>
      <c r="BV514" s="274"/>
      <c r="BW514" s="274"/>
      <c r="BX514" s="274"/>
      <c r="BY514" s="274"/>
      <c r="BZ514" s="274"/>
      <c r="CA514" s="274"/>
      <c r="CB514" s="274"/>
      <c r="CC514" s="274"/>
      <c r="CD514" s="262"/>
      <c r="CE514" s="262"/>
      <c r="CF514" s="274"/>
      <c r="CG514" s="262"/>
      <c r="CH514" s="274"/>
      <c r="CI514" s="262"/>
      <c r="CJ514" s="262"/>
      <c r="CK514" s="274"/>
      <c r="CL514" s="276"/>
      <c r="CM514" s="262"/>
      <c r="CN514" s="262"/>
      <c r="CO514" s="262"/>
      <c r="CP514" s="274"/>
      <c r="CQ514" s="262"/>
      <c r="CR514" s="262"/>
      <c r="CS514" s="262"/>
      <c r="CT514" s="262"/>
    </row>
    <row r="515" ht="26.25" customHeight="1">
      <c r="A515" s="220" t="s">
        <v>587</v>
      </c>
      <c r="B515" s="220" t="s">
        <v>2055</v>
      </c>
      <c r="C515" s="278" t="s">
        <v>690</v>
      </c>
      <c r="D515" s="189" t="s">
        <v>4591</v>
      </c>
      <c r="E515" s="225" t="s">
        <v>4600</v>
      </c>
      <c r="F515" s="225" t="s">
        <v>2432</v>
      </c>
      <c r="G515" s="223">
        <v>0.625</v>
      </c>
      <c r="H515" s="224" t="s">
        <v>1284</v>
      </c>
      <c r="I515" s="224" t="s">
        <v>4628</v>
      </c>
      <c r="J515" s="224" t="s">
        <v>4629</v>
      </c>
      <c r="K515" s="224" t="s">
        <v>4630</v>
      </c>
      <c r="L515" s="224" t="s">
        <v>4631</v>
      </c>
      <c r="M515" s="224" t="s">
        <v>4632</v>
      </c>
      <c r="N515" s="224" t="s">
        <v>850</v>
      </c>
      <c r="O515" s="224" t="s">
        <v>784</v>
      </c>
      <c r="P515" s="190"/>
      <c r="Q515" s="190"/>
      <c r="R515" s="190"/>
      <c r="S515" s="190"/>
      <c r="T515" s="190"/>
      <c r="U515" s="190"/>
      <c r="V515" s="224" t="s">
        <v>1630</v>
      </c>
      <c r="W515" s="224" t="s">
        <v>4633</v>
      </c>
      <c r="X515" s="247" t="s">
        <v>4634</v>
      </c>
      <c r="Y515" s="224" t="s">
        <v>753</v>
      </c>
      <c r="Z515" s="190"/>
      <c r="AA515" s="224" t="s">
        <v>797</v>
      </c>
      <c r="AB515" s="268"/>
      <c r="AC515" s="268"/>
      <c r="AD515" s="268"/>
      <c r="AE515" s="268"/>
      <c r="AF515" s="268"/>
      <c r="AG515" s="268"/>
      <c r="AH515" s="268"/>
      <c r="AI515" s="268"/>
      <c r="AJ515" s="268"/>
      <c r="AK515" s="268"/>
      <c r="AL515" s="268"/>
      <c r="AM515" s="268"/>
      <c r="AN515" s="268"/>
      <c r="AO515" s="268"/>
      <c r="AP515" s="268"/>
      <c r="AQ515" s="268"/>
      <c r="AR515" s="268"/>
      <c r="AS515" s="268"/>
      <c r="AT515" s="268"/>
      <c r="AU515" s="268"/>
      <c r="AV515" s="268"/>
      <c r="AW515" s="268"/>
      <c r="AX515" s="268"/>
      <c r="AY515" s="268"/>
      <c r="AZ515" s="268"/>
      <c r="BA515" s="268"/>
      <c r="BB515" s="268"/>
      <c r="BC515" s="268"/>
      <c r="BD515" s="268"/>
      <c r="BE515" s="268"/>
      <c r="BF515" s="268"/>
      <c r="BG515" s="268"/>
      <c r="BH515" s="268"/>
      <c r="BI515" s="268"/>
      <c r="BJ515" s="268"/>
      <c r="BK515" s="268"/>
      <c r="BL515" s="268"/>
      <c r="BM515" s="268"/>
      <c r="BN515" s="268"/>
      <c r="BO515" s="268"/>
      <c r="BP515" s="268"/>
      <c r="BQ515" s="268"/>
      <c r="BR515" s="268"/>
      <c r="BS515" s="268"/>
      <c r="BT515" s="268"/>
      <c r="BU515" s="268"/>
      <c r="BV515" s="268"/>
      <c r="BW515" s="268"/>
      <c r="BX515" s="268"/>
      <c r="BY515" s="268"/>
      <c r="BZ515" s="268"/>
      <c r="CA515" s="268"/>
      <c r="CB515" s="268"/>
      <c r="CC515" s="268"/>
      <c r="CD515" s="268"/>
      <c r="CE515" s="268"/>
      <c r="CF515" s="268"/>
      <c r="CG515" s="268"/>
      <c r="CH515" s="268"/>
      <c r="CI515" s="268"/>
      <c r="CJ515" s="279"/>
      <c r="CK515" s="279"/>
      <c r="CL515" s="268"/>
      <c r="CM515" s="268"/>
      <c r="CN515" s="215"/>
      <c r="CO515" s="215"/>
      <c r="CP515" s="215"/>
      <c r="CQ515" s="215"/>
      <c r="CR515" s="215"/>
      <c r="CS515" s="215"/>
      <c r="CT515" s="215"/>
    </row>
    <row r="516" ht="24.0" customHeight="1">
      <c r="A516" s="184" t="s">
        <v>586</v>
      </c>
      <c r="B516" s="184" t="s">
        <v>2055</v>
      </c>
      <c r="C516" s="275" t="s">
        <v>690</v>
      </c>
      <c r="D516" s="185" t="s">
        <v>4591</v>
      </c>
      <c r="E516" s="189" t="s">
        <v>4609</v>
      </c>
      <c r="F516" s="185" t="s">
        <v>2432</v>
      </c>
      <c r="G516" s="188">
        <v>0.625</v>
      </c>
      <c r="H516" s="189" t="s">
        <v>4635</v>
      </c>
      <c r="I516" s="189" t="s">
        <v>4636</v>
      </c>
      <c r="J516" s="189" t="s">
        <v>4637</v>
      </c>
      <c r="K516" s="189" t="s">
        <v>4638</v>
      </c>
      <c r="L516" s="185" t="s">
        <v>4639</v>
      </c>
      <c r="M516" s="189" t="s">
        <v>4640</v>
      </c>
      <c r="N516" s="189" t="s">
        <v>850</v>
      </c>
      <c r="O516" s="189" t="s">
        <v>753</v>
      </c>
      <c r="P516" s="190"/>
      <c r="Q516" s="190"/>
      <c r="R516" s="190"/>
      <c r="S516" s="190"/>
      <c r="T516" s="280"/>
      <c r="U516" s="190"/>
      <c r="V516" s="189" t="s">
        <v>4641</v>
      </c>
      <c r="W516" s="208" t="s">
        <v>4642</v>
      </c>
      <c r="X516" s="245" t="s">
        <v>4643</v>
      </c>
      <c r="Y516" s="189" t="s">
        <v>753</v>
      </c>
      <c r="Z516" s="190"/>
      <c r="AA516" s="189" t="s">
        <v>757</v>
      </c>
      <c r="AB516" s="281"/>
      <c r="AC516" s="281"/>
      <c r="AD516" s="281"/>
      <c r="AE516" s="281"/>
      <c r="AF516" s="281"/>
      <c r="AH516" s="281"/>
      <c r="AI516" s="282"/>
      <c r="AJ516" s="283"/>
      <c r="AK516" s="281"/>
      <c r="AL516" s="282"/>
      <c r="AM516" s="282"/>
      <c r="AN516" s="282"/>
      <c r="AO516" s="282"/>
      <c r="AP516" s="282"/>
      <c r="AQ516" s="282"/>
      <c r="AR516" s="282"/>
      <c r="AS516" s="282"/>
      <c r="AT516" s="282"/>
      <c r="AU516" s="281"/>
      <c r="AV516" s="281"/>
      <c r="AW516" s="281"/>
      <c r="AX516" s="281"/>
      <c r="AY516" s="281"/>
      <c r="AZ516" s="281"/>
      <c r="BA516" s="282"/>
      <c r="BB516" s="282"/>
      <c r="BC516" s="282"/>
      <c r="BD516" s="282"/>
      <c r="BE516" s="281"/>
      <c r="BF516" s="281"/>
      <c r="BG516" s="282"/>
      <c r="BH516" s="282"/>
      <c r="BI516" s="282"/>
      <c r="BJ516" s="282"/>
      <c r="BK516" s="282"/>
      <c r="BL516" s="282"/>
      <c r="BM516" s="282"/>
      <c r="BN516" s="282"/>
      <c r="BO516" s="281"/>
      <c r="BP516" s="282"/>
      <c r="BQ516" s="281"/>
      <c r="BR516" s="281"/>
      <c r="BS516" s="281"/>
      <c r="BT516" s="281"/>
      <c r="BU516" s="281"/>
      <c r="BV516" s="281"/>
      <c r="BW516" s="281"/>
      <c r="BX516" s="282"/>
      <c r="BY516" s="281"/>
      <c r="BZ516" s="281"/>
      <c r="CA516" s="283"/>
      <c r="CB516" s="282"/>
      <c r="CC516" s="282"/>
      <c r="CD516" s="282"/>
      <c r="CE516" s="282"/>
      <c r="CF516" s="281"/>
      <c r="CG516" s="282"/>
      <c r="CH516" s="282"/>
      <c r="CI516" s="281"/>
      <c r="CJ516" s="281"/>
      <c r="CK516" s="284"/>
      <c r="CL516" s="232"/>
      <c r="CM516" s="232"/>
      <c r="CN516" s="215"/>
      <c r="CO516" s="215"/>
      <c r="CP516" s="215"/>
      <c r="CQ516" s="215"/>
      <c r="CR516" s="215"/>
      <c r="CS516" s="215"/>
      <c r="CT516" s="215"/>
    </row>
    <row r="517" ht="24.0" customHeight="1">
      <c r="A517" s="184" t="s">
        <v>591</v>
      </c>
      <c r="B517" s="184" t="s">
        <v>742</v>
      </c>
      <c r="C517" s="184" t="s">
        <v>691</v>
      </c>
      <c r="D517" s="185" t="s">
        <v>4644</v>
      </c>
      <c r="E517" s="265" t="s">
        <v>4645</v>
      </c>
      <c r="F517" s="185" t="s">
        <v>4646</v>
      </c>
      <c r="G517" s="188">
        <v>0.3784722222222222</v>
      </c>
      <c r="H517" s="189" t="s">
        <v>869</v>
      </c>
      <c r="I517" s="189" t="s">
        <v>4647</v>
      </c>
      <c r="J517" s="189" t="s">
        <v>4648</v>
      </c>
      <c r="K517" s="189" t="s">
        <v>4649</v>
      </c>
      <c r="L517" s="189" t="s">
        <v>4650</v>
      </c>
      <c r="M517" s="185" t="s">
        <v>4651</v>
      </c>
      <c r="N517" s="189" t="s">
        <v>752</v>
      </c>
      <c r="O517" s="189" t="s">
        <v>753</v>
      </c>
      <c r="P517" s="189" t="s">
        <v>991</v>
      </c>
      <c r="Q517" s="189" t="s">
        <v>4652</v>
      </c>
      <c r="R517" s="190"/>
      <c r="S517" s="190"/>
      <c r="T517" s="190"/>
      <c r="U517" s="190"/>
      <c r="V517" s="189" t="s">
        <v>869</v>
      </c>
      <c r="W517" s="185" t="s">
        <v>4653</v>
      </c>
      <c r="X517" s="285" t="s">
        <v>4654</v>
      </c>
      <c r="Y517" s="189" t="s">
        <v>753</v>
      </c>
      <c r="Z517" s="189" t="s">
        <v>2196</v>
      </c>
      <c r="AA517" s="189" t="s">
        <v>757</v>
      </c>
      <c r="AB517" s="191"/>
      <c r="AC517" s="191"/>
      <c r="AD517" s="191"/>
      <c r="AE517" s="191"/>
      <c r="AF517" s="191"/>
      <c r="AG517" s="191"/>
      <c r="AH517" s="191"/>
      <c r="AI517" s="191"/>
      <c r="AJ517" s="191"/>
      <c r="AK517" s="191"/>
      <c r="AL517" s="191"/>
      <c r="AM517" s="191"/>
      <c r="AN517" s="191"/>
      <c r="AO517" s="192"/>
      <c r="AP517" s="191"/>
      <c r="AQ517" s="191"/>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91"/>
      <c r="BO517" s="191"/>
      <c r="BP517" s="191"/>
      <c r="BQ517" s="191"/>
      <c r="BR517" s="191"/>
      <c r="BS517" s="191"/>
      <c r="BT517" s="191"/>
      <c r="BU517" s="191"/>
      <c r="BV517" s="191"/>
      <c r="BW517" s="191"/>
      <c r="BX517" s="191"/>
      <c r="BY517" s="191"/>
      <c r="BZ517" s="192"/>
      <c r="CA517" s="191"/>
      <c r="CB517" s="191"/>
      <c r="CC517" s="215"/>
      <c r="CD517" s="215"/>
      <c r="CE517" s="215"/>
      <c r="CF517" s="215"/>
      <c r="CG517" s="215"/>
      <c r="CH517" s="215"/>
      <c r="CI517" s="215"/>
      <c r="CJ517" s="215"/>
      <c r="CK517" s="215"/>
      <c r="CL517" s="215"/>
      <c r="CM517" s="215"/>
      <c r="CN517" s="215"/>
      <c r="CO517" s="215"/>
      <c r="CP517" s="215"/>
      <c r="CQ517" s="215"/>
      <c r="CR517" s="215"/>
      <c r="CS517" s="215"/>
      <c r="CT517" s="215"/>
    </row>
    <row r="518" ht="24.0" customHeight="1">
      <c r="A518" s="184" t="s">
        <v>590</v>
      </c>
      <c r="B518" s="184" t="s">
        <v>742</v>
      </c>
      <c r="C518" s="184" t="s">
        <v>691</v>
      </c>
      <c r="D518" s="185" t="s">
        <v>4644</v>
      </c>
      <c r="E518" s="265" t="s">
        <v>4645</v>
      </c>
      <c r="F518" s="185" t="s">
        <v>4646</v>
      </c>
      <c r="G518" s="188">
        <v>0.3993055555555556</v>
      </c>
      <c r="H518" s="189" t="s">
        <v>4149</v>
      </c>
      <c r="I518" s="189" t="s">
        <v>4655</v>
      </c>
      <c r="J518" s="189" t="s">
        <v>4656</v>
      </c>
      <c r="K518" s="189" t="s">
        <v>4657</v>
      </c>
      <c r="L518" s="189" t="s">
        <v>4658</v>
      </c>
      <c r="M518" s="185" t="s">
        <v>4659</v>
      </c>
      <c r="N518" s="189" t="s">
        <v>752</v>
      </c>
      <c r="O518" s="189" t="s">
        <v>1661</v>
      </c>
      <c r="P518" s="190"/>
      <c r="Q518" s="190"/>
      <c r="R518" s="190"/>
      <c r="S518" s="190"/>
      <c r="T518" s="190"/>
      <c r="U518" s="190"/>
      <c r="V518" s="189" t="s">
        <v>4660</v>
      </c>
      <c r="W518" s="185" t="s">
        <v>4661</v>
      </c>
      <c r="X518" s="285" t="s">
        <v>4656</v>
      </c>
      <c r="Y518" s="189" t="s">
        <v>777</v>
      </c>
      <c r="Z518" s="189" t="s">
        <v>2196</v>
      </c>
      <c r="AA518" s="189" t="s">
        <v>797</v>
      </c>
      <c r="AB518" s="191"/>
      <c r="AC518" s="191"/>
      <c r="AD518" s="191"/>
      <c r="AE518" s="191"/>
      <c r="AF518" s="191"/>
      <c r="AG518" s="191"/>
      <c r="AH518" s="191"/>
      <c r="AI518" s="191"/>
      <c r="AJ518" s="191"/>
      <c r="AK518" s="191"/>
      <c r="AL518" s="191"/>
      <c r="AM518" s="191"/>
      <c r="AN518" s="191"/>
      <c r="AO518" s="192"/>
      <c r="AP518" s="191"/>
      <c r="AQ518" s="191"/>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91"/>
      <c r="BO518" s="191"/>
      <c r="BP518" s="191"/>
      <c r="BQ518" s="191"/>
      <c r="BR518" s="191"/>
      <c r="BS518" s="191"/>
      <c r="BT518" s="191"/>
      <c r="BU518" s="191"/>
      <c r="BV518" s="191"/>
      <c r="BW518" s="191"/>
      <c r="BX518" s="191"/>
      <c r="BY518" s="191"/>
      <c r="BZ518" s="192"/>
      <c r="CA518" s="191"/>
      <c r="CB518" s="191"/>
      <c r="CC518" s="215"/>
      <c r="CD518" s="215"/>
      <c r="CE518" s="215"/>
      <c r="CF518" s="215"/>
      <c r="CG518" s="215"/>
      <c r="CH518" s="215"/>
      <c r="CI518" s="215"/>
      <c r="CJ518" s="215"/>
      <c r="CK518" s="215"/>
      <c r="CL518" s="215"/>
      <c r="CM518" s="215"/>
      <c r="CN518" s="215"/>
      <c r="CO518" s="215"/>
      <c r="CP518" s="215"/>
      <c r="CQ518" s="215"/>
      <c r="CR518" s="215"/>
      <c r="CS518" s="215"/>
      <c r="CT518" s="215"/>
    </row>
    <row r="519" ht="24.0" customHeight="1">
      <c r="A519" s="184" t="s">
        <v>589</v>
      </c>
      <c r="B519" s="184" t="s">
        <v>742</v>
      </c>
      <c r="C519" s="184" t="s">
        <v>691</v>
      </c>
      <c r="D519" s="185" t="s">
        <v>4644</v>
      </c>
      <c r="E519" s="265" t="s">
        <v>4645</v>
      </c>
      <c r="F519" s="185" t="s">
        <v>4646</v>
      </c>
      <c r="G519" s="188">
        <v>0.4201388888888889</v>
      </c>
      <c r="H519" s="189" t="s">
        <v>4662</v>
      </c>
      <c r="I519" s="189" t="s">
        <v>4663</v>
      </c>
      <c r="J519" s="189" t="s">
        <v>4664</v>
      </c>
      <c r="K519" s="189" t="s">
        <v>4665</v>
      </c>
      <c r="L519" s="189" t="s">
        <v>4666</v>
      </c>
      <c r="M519" s="185" t="s">
        <v>4667</v>
      </c>
      <c r="N519" s="189" t="s">
        <v>850</v>
      </c>
      <c r="O519" s="189" t="s">
        <v>753</v>
      </c>
      <c r="P519" s="190"/>
      <c r="Q519" s="190"/>
      <c r="R519" s="190"/>
      <c r="S519" s="190"/>
      <c r="T519" s="190"/>
      <c r="U519" s="190"/>
      <c r="V519" s="189" t="s">
        <v>1579</v>
      </c>
      <c r="W519" s="185" t="s">
        <v>4668</v>
      </c>
      <c r="X519" s="285" t="s">
        <v>4669</v>
      </c>
      <c r="Y519" s="189" t="s">
        <v>753</v>
      </c>
      <c r="Z519" s="189" t="s">
        <v>2196</v>
      </c>
      <c r="AA519" s="189" t="s">
        <v>797</v>
      </c>
      <c r="AB519" s="191"/>
      <c r="AC519" s="191"/>
      <c r="AD519" s="191"/>
      <c r="AE519" s="191"/>
      <c r="AF519" s="191"/>
      <c r="AG519" s="191"/>
      <c r="AH519" s="191"/>
      <c r="AI519" s="191"/>
      <c r="AJ519" s="191"/>
      <c r="AK519" s="191"/>
      <c r="AL519" s="191"/>
      <c r="AM519" s="191"/>
      <c r="AN519" s="191"/>
      <c r="AO519" s="192"/>
      <c r="AP519" s="191"/>
      <c r="AQ519" s="191"/>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91"/>
      <c r="BO519" s="191"/>
      <c r="BP519" s="191"/>
      <c r="BQ519" s="191"/>
      <c r="BR519" s="191"/>
      <c r="BS519" s="191"/>
      <c r="BT519" s="191"/>
      <c r="BU519" s="191"/>
      <c r="BV519" s="191"/>
      <c r="BW519" s="191"/>
      <c r="BX519" s="191"/>
      <c r="BY519" s="191"/>
      <c r="BZ519" s="192"/>
      <c r="CA519" s="191"/>
      <c r="CB519" s="191"/>
      <c r="CC519" s="215"/>
      <c r="CD519" s="215"/>
      <c r="CE519" s="215"/>
      <c r="CF519" s="215"/>
      <c r="CG519" s="215"/>
      <c r="CH519" s="215"/>
      <c r="CI519" s="215"/>
      <c r="CJ519" s="215"/>
      <c r="CK519" s="215"/>
      <c r="CL519" s="215"/>
      <c r="CM519" s="215"/>
      <c r="CN519" s="215"/>
      <c r="CO519" s="215"/>
      <c r="CP519" s="215"/>
      <c r="CQ519" s="215"/>
      <c r="CR519" s="215"/>
      <c r="CS519" s="215"/>
      <c r="CT519" s="215"/>
    </row>
    <row r="520" ht="24.0" customHeight="1">
      <c r="A520" s="184" t="s">
        <v>592</v>
      </c>
      <c r="B520" s="184" t="s">
        <v>742</v>
      </c>
      <c r="C520" s="184" t="s">
        <v>691</v>
      </c>
      <c r="D520" s="185" t="s">
        <v>4644</v>
      </c>
      <c r="E520" s="265" t="s">
        <v>4645</v>
      </c>
      <c r="F520" s="185" t="s">
        <v>4646</v>
      </c>
      <c r="G520" s="188">
        <v>0.4409722222222222</v>
      </c>
      <c r="H520" s="189" t="s">
        <v>1549</v>
      </c>
      <c r="I520" s="189" t="s">
        <v>1841</v>
      </c>
      <c r="J520" s="189" t="s">
        <v>4670</v>
      </c>
      <c r="K520" s="189" t="s">
        <v>4671</v>
      </c>
      <c r="L520" s="189" t="s">
        <v>4672</v>
      </c>
      <c r="M520" s="185" t="s">
        <v>4673</v>
      </c>
      <c r="N520" s="189" t="s">
        <v>850</v>
      </c>
      <c r="O520" s="189" t="s">
        <v>784</v>
      </c>
      <c r="P520" s="189" t="s">
        <v>4674</v>
      </c>
      <c r="Q520" s="190"/>
      <c r="R520" s="189" t="s">
        <v>4674</v>
      </c>
      <c r="S520" s="190"/>
      <c r="T520" s="189" t="s">
        <v>4674</v>
      </c>
      <c r="U520" s="190"/>
      <c r="V520" s="189" t="s">
        <v>1067</v>
      </c>
      <c r="W520" s="185" t="s">
        <v>1068</v>
      </c>
      <c r="X520" s="285" t="s">
        <v>1069</v>
      </c>
      <c r="Y520" s="189" t="s">
        <v>784</v>
      </c>
      <c r="Z520" s="189" t="s">
        <v>4675</v>
      </c>
      <c r="AA520" s="189" t="s">
        <v>4676</v>
      </c>
      <c r="AB520" s="191"/>
      <c r="AC520" s="191"/>
      <c r="AD520" s="191"/>
      <c r="AE520" s="191"/>
      <c r="AF520" s="191"/>
      <c r="AG520" s="191"/>
      <c r="AH520" s="191"/>
      <c r="AI520" s="191"/>
      <c r="AJ520" s="191"/>
      <c r="AK520" s="191"/>
      <c r="AL520" s="191"/>
      <c r="AM520" s="191"/>
      <c r="AN520" s="191"/>
      <c r="AO520" s="192"/>
      <c r="AP520" s="191"/>
      <c r="AQ520" s="191"/>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91"/>
      <c r="BO520" s="191"/>
      <c r="BP520" s="191"/>
      <c r="BQ520" s="191"/>
      <c r="BR520" s="191"/>
      <c r="BS520" s="191"/>
      <c r="BT520" s="191"/>
      <c r="BU520" s="191"/>
      <c r="BV520" s="191"/>
      <c r="BW520" s="191"/>
      <c r="BX520" s="191"/>
      <c r="BY520" s="191"/>
      <c r="BZ520" s="192"/>
      <c r="CA520" s="191"/>
      <c r="CB520" s="191"/>
      <c r="CC520" s="215"/>
      <c r="CD520" s="215"/>
      <c r="CE520" s="215"/>
      <c r="CF520" s="215"/>
      <c r="CG520" s="215"/>
      <c r="CH520" s="215"/>
      <c r="CI520" s="215"/>
      <c r="CJ520" s="215"/>
      <c r="CK520" s="215"/>
      <c r="CL520" s="215"/>
      <c r="CM520" s="215"/>
      <c r="CN520" s="215"/>
      <c r="CO520" s="215"/>
      <c r="CP520" s="215"/>
      <c r="CQ520" s="215"/>
      <c r="CR520" s="215"/>
      <c r="CS520" s="215"/>
      <c r="CT520" s="215"/>
    </row>
    <row r="521" ht="24.0" customHeight="1">
      <c r="A521" s="184" t="s">
        <v>597</v>
      </c>
      <c r="B521" s="184" t="s">
        <v>1665</v>
      </c>
      <c r="C521" s="184" t="s">
        <v>692</v>
      </c>
      <c r="D521" s="185" t="s">
        <v>4644</v>
      </c>
      <c r="E521" s="265" t="s">
        <v>4645</v>
      </c>
      <c r="F521" s="185" t="s">
        <v>4646</v>
      </c>
      <c r="G521" s="188">
        <v>0.5451388888888888</v>
      </c>
      <c r="H521" s="189" t="s">
        <v>746</v>
      </c>
      <c r="I521" s="189" t="s">
        <v>4677</v>
      </c>
      <c r="J521" s="189" t="s">
        <v>4678</v>
      </c>
      <c r="K521" s="189" t="s">
        <v>4679</v>
      </c>
      <c r="L521" s="189" t="s">
        <v>4680</v>
      </c>
      <c r="M521" s="185" t="s">
        <v>4681</v>
      </c>
      <c r="N521" s="189" t="s">
        <v>752</v>
      </c>
      <c r="O521" s="189" t="s">
        <v>753</v>
      </c>
      <c r="P521" s="189" t="s">
        <v>4682</v>
      </c>
      <c r="Q521" s="189" t="s">
        <v>4683</v>
      </c>
      <c r="R521" s="190"/>
      <c r="S521" s="190"/>
      <c r="T521" s="190"/>
      <c r="U521" s="190"/>
      <c r="V521" s="189" t="s">
        <v>3345</v>
      </c>
      <c r="W521" s="185" t="s">
        <v>4684</v>
      </c>
      <c r="X521" s="285" t="s">
        <v>4685</v>
      </c>
      <c r="Y521" s="189" t="s">
        <v>753</v>
      </c>
      <c r="Z521" s="189" t="s">
        <v>4675</v>
      </c>
      <c r="AA521" s="189" t="s">
        <v>757</v>
      </c>
      <c r="AB521" s="191"/>
      <c r="AC521" s="191"/>
      <c r="AD521" s="191"/>
      <c r="AE521" s="191"/>
      <c r="AF521" s="191"/>
      <c r="AG521" s="191"/>
      <c r="AH521" s="191"/>
      <c r="AI521" s="191"/>
      <c r="AJ521" s="191"/>
      <c r="AK521" s="191"/>
      <c r="AL521" s="191"/>
      <c r="AM521" s="191"/>
      <c r="AN521" s="191"/>
      <c r="AO521" s="192"/>
      <c r="AP521" s="191"/>
      <c r="AQ521" s="191"/>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91"/>
      <c r="BO521" s="191"/>
      <c r="BP521" s="191"/>
      <c r="BQ521" s="191"/>
      <c r="BR521" s="191"/>
      <c r="BS521" s="191"/>
      <c r="BT521" s="191"/>
      <c r="BU521" s="191"/>
      <c r="BV521" s="191"/>
      <c r="BW521" s="191"/>
      <c r="BX521" s="191"/>
      <c r="BY521" s="191"/>
      <c r="BZ521" s="192"/>
      <c r="CA521" s="191"/>
      <c r="CB521" s="191"/>
      <c r="CC521" s="215"/>
      <c r="CD521" s="215"/>
      <c r="CE521" s="215"/>
      <c r="CF521" s="215"/>
      <c r="CG521" s="215"/>
      <c r="CH521" s="215"/>
      <c r="CI521" s="215"/>
      <c r="CJ521" s="215"/>
      <c r="CK521" s="215"/>
      <c r="CL521" s="215"/>
      <c r="CM521" s="215"/>
      <c r="CN521" s="215"/>
      <c r="CO521" s="215"/>
      <c r="CP521" s="215"/>
      <c r="CQ521" s="215"/>
      <c r="CR521" s="215"/>
      <c r="CS521" s="215"/>
      <c r="CT521" s="215"/>
    </row>
    <row r="522" ht="24.0" customHeight="1">
      <c r="A522" s="184" t="s">
        <v>599</v>
      </c>
      <c r="B522" s="184" t="s">
        <v>1665</v>
      </c>
      <c r="C522" s="184" t="s">
        <v>692</v>
      </c>
      <c r="D522" s="185" t="s">
        <v>4644</v>
      </c>
      <c r="E522" s="265" t="s">
        <v>4645</v>
      </c>
      <c r="F522" s="185" t="s">
        <v>4646</v>
      </c>
      <c r="G522" s="188">
        <v>0.5659722222222222</v>
      </c>
      <c r="H522" s="189" t="s">
        <v>4686</v>
      </c>
      <c r="I522" s="189" t="s">
        <v>4687</v>
      </c>
      <c r="J522" s="189" t="s">
        <v>4688</v>
      </c>
      <c r="K522" s="189" t="s">
        <v>4675</v>
      </c>
      <c r="L522" s="189" t="s">
        <v>4689</v>
      </c>
      <c r="M522" s="185" t="s">
        <v>4690</v>
      </c>
      <c r="N522" s="189" t="s">
        <v>752</v>
      </c>
      <c r="O522" s="189" t="s">
        <v>753</v>
      </c>
      <c r="P522" s="189" t="s">
        <v>4691</v>
      </c>
      <c r="Q522" s="189" t="s">
        <v>4692</v>
      </c>
      <c r="R522" s="190"/>
      <c r="S522" s="190"/>
      <c r="T522" s="190"/>
      <c r="U522" s="190"/>
      <c r="V522" s="189" t="s">
        <v>869</v>
      </c>
      <c r="W522" s="185" t="s">
        <v>4693</v>
      </c>
      <c r="X522" s="285" t="s">
        <v>4694</v>
      </c>
      <c r="Y522" s="189" t="s">
        <v>753</v>
      </c>
      <c r="Z522" s="189" t="s">
        <v>4675</v>
      </c>
      <c r="AA522" s="189" t="s">
        <v>1654</v>
      </c>
      <c r="AB522" s="191"/>
      <c r="AC522" s="191"/>
      <c r="AD522" s="191"/>
      <c r="AE522" s="191"/>
      <c r="AF522" s="191"/>
      <c r="AG522" s="191"/>
      <c r="AH522" s="191"/>
      <c r="AI522" s="191"/>
      <c r="AJ522" s="191"/>
      <c r="AK522" s="191"/>
      <c r="AL522" s="191"/>
      <c r="AM522" s="191"/>
      <c r="AN522" s="191"/>
      <c r="AO522" s="192"/>
      <c r="AP522" s="191"/>
      <c r="AQ522" s="191"/>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91"/>
      <c r="BO522" s="191"/>
      <c r="BP522" s="191"/>
      <c r="BQ522" s="191"/>
      <c r="BR522" s="191"/>
      <c r="BS522" s="191"/>
      <c r="BT522" s="191"/>
      <c r="BU522" s="191"/>
      <c r="BV522" s="191"/>
      <c r="BW522" s="191"/>
      <c r="BX522" s="191"/>
      <c r="BY522" s="191"/>
      <c r="BZ522" s="192"/>
      <c r="CA522" s="191"/>
      <c r="CB522" s="191"/>
      <c r="CC522" s="215"/>
      <c r="CD522" s="215"/>
      <c r="CE522" s="215"/>
      <c r="CF522" s="215"/>
      <c r="CG522" s="215"/>
      <c r="CH522" s="215"/>
      <c r="CI522" s="215"/>
      <c r="CJ522" s="215"/>
      <c r="CK522" s="215"/>
      <c r="CL522" s="215"/>
      <c r="CM522" s="215"/>
      <c r="CN522" s="215"/>
      <c r="CO522" s="215"/>
      <c r="CP522" s="215"/>
      <c r="CQ522" s="215"/>
      <c r="CR522" s="215"/>
      <c r="CS522" s="215"/>
      <c r="CT522" s="215"/>
    </row>
    <row r="523" ht="24.0" customHeight="1">
      <c r="A523" s="184" t="s">
        <v>593</v>
      </c>
      <c r="B523" s="184" t="s">
        <v>1665</v>
      </c>
      <c r="C523" s="184" t="s">
        <v>692</v>
      </c>
      <c r="D523" s="185" t="s">
        <v>4644</v>
      </c>
      <c r="E523" s="265" t="s">
        <v>4645</v>
      </c>
      <c r="F523" s="185" t="s">
        <v>4646</v>
      </c>
      <c r="G523" s="188">
        <v>0.5868055555555556</v>
      </c>
      <c r="H523" s="189" t="s">
        <v>4695</v>
      </c>
      <c r="I523" s="189" t="s">
        <v>4696</v>
      </c>
      <c r="J523" s="189" t="s">
        <v>4697</v>
      </c>
      <c r="K523" s="189" t="s">
        <v>4698</v>
      </c>
      <c r="L523" s="189" t="s">
        <v>4699</v>
      </c>
      <c r="M523" s="185" t="s">
        <v>4700</v>
      </c>
      <c r="N523" s="189" t="s">
        <v>752</v>
      </c>
      <c r="O523" s="189" t="s">
        <v>753</v>
      </c>
      <c r="P523" s="190"/>
      <c r="Q523" s="190"/>
      <c r="R523" s="190"/>
      <c r="S523" s="190"/>
      <c r="T523" s="190"/>
      <c r="U523" s="190"/>
      <c r="V523" s="189" t="s">
        <v>4701</v>
      </c>
      <c r="W523" s="185" t="s">
        <v>4702</v>
      </c>
      <c r="X523" s="285" t="s">
        <v>4694</v>
      </c>
      <c r="Y523" s="189" t="s">
        <v>753</v>
      </c>
      <c r="Z523" s="189" t="s">
        <v>4675</v>
      </c>
      <c r="AA523" s="189" t="s">
        <v>757</v>
      </c>
      <c r="AB523" s="191"/>
      <c r="AC523" s="191"/>
      <c r="AD523" s="191"/>
      <c r="AE523" s="191"/>
      <c r="AF523" s="191"/>
      <c r="AG523" s="191"/>
      <c r="AH523" s="191"/>
      <c r="AI523" s="191"/>
      <c r="AJ523" s="191"/>
      <c r="AK523" s="191"/>
      <c r="AL523" s="191"/>
      <c r="AM523" s="191"/>
      <c r="AN523" s="191"/>
      <c r="AO523" s="192"/>
      <c r="AP523" s="191"/>
      <c r="AQ523" s="191"/>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91"/>
      <c r="BO523" s="191"/>
      <c r="BP523" s="191"/>
      <c r="BQ523" s="191"/>
      <c r="BR523" s="191"/>
      <c r="BS523" s="191"/>
      <c r="BT523" s="191"/>
      <c r="BU523" s="191"/>
      <c r="BV523" s="191"/>
      <c r="BW523" s="191"/>
      <c r="BX523" s="191"/>
      <c r="BY523" s="191"/>
      <c r="BZ523" s="192"/>
      <c r="CA523" s="191"/>
      <c r="CB523" s="191"/>
      <c r="CC523" s="215"/>
      <c r="CD523" s="215"/>
      <c r="CE523" s="215"/>
      <c r="CF523" s="215"/>
      <c r="CG523" s="215"/>
      <c r="CH523" s="215"/>
      <c r="CI523" s="215"/>
      <c r="CJ523" s="215"/>
      <c r="CK523" s="215"/>
      <c r="CL523" s="215"/>
      <c r="CM523" s="215"/>
      <c r="CN523" s="215"/>
      <c r="CO523" s="215"/>
      <c r="CP523" s="215"/>
      <c r="CQ523" s="215"/>
      <c r="CR523" s="215"/>
      <c r="CS523" s="215"/>
      <c r="CT523" s="215"/>
    </row>
    <row r="524" ht="24.0" customHeight="1">
      <c r="A524" s="184" t="s">
        <v>595</v>
      </c>
      <c r="B524" s="184" t="s">
        <v>1665</v>
      </c>
      <c r="C524" s="184" t="s">
        <v>692</v>
      </c>
      <c r="D524" s="185" t="s">
        <v>4644</v>
      </c>
      <c r="E524" s="265" t="s">
        <v>4645</v>
      </c>
      <c r="F524" s="185" t="s">
        <v>4646</v>
      </c>
      <c r="G524" s="188">
        <v>0.6076388888888888</v>
      </c>
      <c r="H524" s="189" t="s">
        <v>2636</v>
      </c>
      <c r="I524" s="189" t="s">
        <v>4703</v>
      </c>
      <c r="J524" s="189" t="s">
        <v>4704</v>
      </c>
      <c r="K524" s="189" t="s">
        <v>4679</v>
      </c>
      <c r="L524" s="189" t="s">
        <v>4705</v>
      </c>
      <c r="M524" s="185" t="s">
        <v>4706</v>
      </c>
      <c r="N524" s="189" t="s">
        <v>752</v>
      </c>
      <c r="O524" s="189" t="s">
        <v>753</v>
      </c>
      <c r="P524" s="190"/>
      <c r="Q524" s="190"/>
      <c r="R524" s="190"/>
      <c r="S524" s="190"/>
      <c r="T524" s="190"/>
      <c r="U524" s="190"/>
      <c r="V524" s="189" t="s">
        <v>869</v>
      </c>
      <c r="W524" s="185" t="s">
        <v>4693</v>
      </c>
      <c r="X524" s="285" t="s">
        <v>4694</v>
      </c>
      <c r="Y524" s="189" t="s">
        <v>753</v>
      </c>
      <c r="Z524" s="189" t="s">
        <v>4675</v>
      </c>
      <c r="AA524" s="189" t="s">
        <v>757</v>
      </c>
      <c r="AB524" s="191"/>
      <c r="AC524" s="191"/>
      <c r="AD524" s="191"/>
      <c r="AE524" s="191"/>
      <c r="AF524" s="191"/>
      <c r="AG524" s="191"/>
      <c r="AH524" s="191"/>
      <c r="AI524" s="191"/>
      <c r="AJ524" s="191"/>
      <c r="AK524" s="191"/>
      <c r="AL524" s="191"/>
      <c r="AM524" s="191"/>
      <c r="AN524" s="191"/>
      <c r="AO524" s="192"/>
      <c r="AP524" s="191"/>
      <c r="AQ524" s="191"/>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91"/>
      <c r="BO524" s="191"/>
      <c r="BP524" s="191"/>
      <c r="BQ524" s="191"/>
      <c r="BR524" s="191"/>
      <c r="BS524" s="191"/>
      <c r="BT524" s="191"/>
      <c r="BU524" s="191"/>
      <c r="BV524" s="191"/>
      <c r="BW524" s="191"/>
      <c r="BX524" s="191"/>
      <c r="BY524" s="191"/>
      <c r="BZ524" s="286"/>
      <c r="CA524" s="191"/>
      <c r="CB524" s="191"/>
      <c r="CC524" s="215"/>
      <c r="CD524" s="215"/>
      <c r="CE524" s="215"/>
      <c r="CF524" s="215"/>
      <c r="CG524" s="215"/>
      <c r="CH524" s="215"/>
      <c r="CI524" s="215"/>
      <c r="CJ524" s="215"/>
      <c r="CK524" s="215"/>
      <c r="CL524" s="215"/>
      <c r="CM524" s="215"/>
      <c r="CN524" s="215"/>
      <c r="CO524" s="215"/>
      <c r="CP524" s="215"/>
      <c r="CQ524" s="215"/>
      <c r="CR524" s="215"/>
      <c r="CS524" s="215"/>
      <c r="CT524" s="215"/>
    </row>
    <row r="525" ht="24.0" customHeight="1">
      <c r="A525" s="287"/>
      <c r="B525" s="288"/>
      <c r="C525" s="288"/>
      <c r="E525" s="232"/>
      <c r="G525" s="232"/>
      <c r="H525" s="232"/>
      <c r="I525" s="232"/>
      <c r="J525" s="232"/>
      <c r="K525" s="232"/>
      <c r="L525" s="232"/>
      <c r="N525" s="289"/>
      <c r="O525" s="290"/>
      <c r="P525" s="232"/>
      <c r="Q525" s="232"/>
      <c r="R525" s="232"/>
      <c r="S525" s="232"/>
      <c r="T525" s="232"/>
      <c r="U525" s="232"/>
      <c r="V525" s="232"/>
      <c r="W525" s="232"/>
      <c r="X525" s="232"/>
      <c r="Y525" s="232"/>
      <c r="Z525" s="232"/>
      <c r="AA525" s="232"/>
      <c r="AB525" s="232"/>
      <c r="AC525" s="232"/>
      <c r="AD525" s="232"/>
      <c r="AE525" s="232"/>
      <c r="AF525" s="232"/>
      <c r="AG525" s="232"/>
      <c r="AH525" s="232"/>
      <c r="AI525" s="232"/>
      <c r="AJ525" s="232"/>
      <c r="AK525" s="232"/>
      <c r="AL525" s="232"/>
      <c r="AM525" s="232"/>
      <c r="AN525" s="232"/>
      <c r="AO525" s="232"/>
      <c r="AP525" s="232"/>
      <c r="AQ525" s="232"/>
      <c r="AR525" s="232"/>
      <c r="AS525" s="232"/>
      <c r="AT525" s="232"/>
      <c r="AU525" s="232"/>
      <c r="AV525" s="232"/>
      <c r="AW525" s="232"/>
      <c r="AX525" s="232"/>
      <c r="AY525" s="232"/>
      <c r="AZ525" s="232"/>
      <c r="BA525" s="232"/>
      <c r="BB525" s="232"/>
      <c r="BC525" s="232"/>
      <c r="BD525" s="232"/>
      <c r="BE525" s="232"/>
      <c r="BF525" s="232"/>
      <c r="BG525" s="232"/>
      <c r="BH525" s="232"/>
      <c r="BI525" s="232"/>
      <c r="BJ525" s="232"/>
      <c r="BK525" s="232"/>
      <c r="BL525" s="232"/>
      <c r="BM525" s="232"/>
      <c r="BN525" s="232"/>
      <c r="BO525" s="232"/>
      <c r="BP525" s="232"/>
      <c r="BQ525" s="232"/>
      <c r="BR525" s="232"/>
      <c r="BS525" s="232"/>
      <c r="BT525" s="232"/>
      <c r="BU525" s="232"/>
      <c r="BV525" s="232"/>
      <c r="BW525" s="232"/>
      <c r="BX525" s="232"/>
      <c r="BY525" s="232"/>
      <c r="BZ525" s="232"/>
      <c r="CA525" s="232"/>
      <c r="CB525" s="232"/>
      <c r="CC525" s="232"/>
      <c r="CD525" s="232"/>
      <c r="CE525" s="232"/>
      <c r="CF525" s="232"/>
      <c r="CG525" s="232"/>
      <c r="CH525" s="232"/>
      <c r="CI525" s="232"/>
      <c r="CJ525" s="232"/>
      <c r="CK525" s="232"/>
      <c r="CL525" s="232"/>
      <c r="CM525" s="232"/>
      <c r="CN525" s="215"/>
      <c r="CO525" s="215"/>
      <c r="CP525" s="215"/>
      <c r="CQ525" s="215"/>
      <c r="CR525" s="215"/>
      <c r="CS525" s="215"/>
      <c r="CT525" s="215"/>
    </row>
    <row r="526" ht="24.0" customHeight="1">
      <c r="A526" s="287"/>
      <c r="B526" s="287"/>
      <c r="C526" s="287"/>
      <c r="D526" s="232"/>
      <c r="E526" s="232"/>
      <c r="F526" s="232"/>
      <c r="G526" s="232"/>
      <c r="H526" s="232"/>
      <c r="I526" s="232"/>
      <c r="J526" s="232"/>
      <c r="K526" s="232"/>
      <c r="L526" s="232"/>
      <c r="M526" s="232"/>
      <c r="N526" s="289"/>
      <c r="O526" s="232"/>
      <c r="P526" s="232"/>
      <c r="Q526" s="232"/>
      <c r="R526" s="232"/>
      <c r="S526" s="232"/>
      <c r="T526" s="232"/>
      <c r="U526" s="232"/>
      <c r="V526" s="232"/>
      <c r="W526" s="232"/>
      <c r="X526" s="232"/>
      <c r="Y526" s="232"/>
      <c r="Z526" s="232"/>
      <c r="AA526" s="232"/>
      <c r="AB526" s="232"/>
      <c r="AC526" s="232"/>
      <c r="AD526" s="232"/>
      <c r="AE526" s="232"/>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c r="BL526" s="232"/>
      <c r="BM526" s="232"/>
      <c r="BN526" s="232"/>
      <c r="BO526" s="232"/>
      <c r="BP526" s="232"/>
      <c r="BQ526" s="232"/>
      <c r="BR526" s="232"/>
      <c r="BS526" s="232"/>
      <c r="BT526" s="232"/>
      <c r="BU526" s="232"/>
      <c r="BV526" s="232"/>
      <c r="BW526" s="232"/>
      <c r="BX526" s="232"/>
      <c r="BY526" s="232"/>
      <c r="BZ526" s="232"/>
      <c r="CA526" s="232"/>
      <c r="CB526" s="232"/>
      <c r="CC526" s="232"/>
      <c r="CD526" s="232"/>
      <c r="CE526" s="232"/>
      <c r="CF526" s="232"/>
      <c r="CG526" s="232"/>
      <c r="CH526" s="232"/>
      <c r="CI526" s="232"/>
      <c r="CJ526" s="232"/>
      <c r="CK526" s="232"/>
      <c r="CL526" s="232"/>
      <c r="CM526" s="232"/>
      <c r="CN526" s="215"/>
      <c r="CO526" s="215"/>
      <c r="CP526" s="215"/>
      <c r="CQ526" s="215"/>
      <c r="CR526" s="215"/>
      <c r="CS526" s="215"/>
      <c r="CT526" s="215"/>
    </row>
    <row r="527" ht="24.0" customHeight="1">
      <c r="A527" s="287"/>
      <c r="B527" s="287"/>
      <c r="C527" s="287"/>
      <c r="D527" s="232"/>
      <c r="E527" s="232"/>
      <c r="F527" s="232"/>
      <c r="G527" s="232"/>
      <c r="H527" s="232"/>
      <c r="I527" s="232"/>
      <c r="J527" s="232"/>
      <c r="K527" s="232"/>
      <c r="L527" s="232"/>
      <c r="M527" s="232"/>
      <c r="N527" s="289"/>
      <c r="O527" s="232"/>
      <c r="P527" s="232"/>
      <c r="Q527" s="232"/>
      <c r="R527" s="232"/>
      <c r="S527" s="232"/>
      <c r="T527" s="232"/>
      <c r="U527" s="232"/>
      <c r="V527" s="232"/>
      <c r="W527" s="232"/>
      <c r="X527" s="232"/>
      <c r="Y527" s="232"/>
      <c r="Z527" s="232"/>
      <c r="AA527" s="232"/>
      <c r="AB527" s="232"/>
      <c r="AC527" s="232"/>
      <c r="AD527" s="232"/>
      <c r="AE527" s="232"/>
      <c r="AF527" s="232"/>
      <c r="AG527" s="232"/>
      <c r="AH527" s="232"/>
      <c r="AI527" s="232"/>
      <c r="AJ527" s="232"/>
      <c r="AK527" s="232"/>
      <c r="AL527" s="232"/>
      <c r="AM527" s="232"/>
      <c r="AN527" s="232"/>
      <c r="AO527" s="232"/>
      <c r="AP527" s="232"/>
      <c r="AQ527" s="232"/>
      <c r="AR527" s="232"/>
      <c r="AS527" s="232"/>
      <c r="AT527" s="232"/>
      <c r="AU527" s="232"/>
      <c r="AV527" s="232"/>
      <c r="AW527" s="232"/>
      <c r="AX527" s="232"/>
      <c r="AY527" s="232"/>
      <c r="AZ527" s="232"/>
      <c r="BA527" s="232"/>
      <c r="BB527" s="232"/>
      <c r="BC527" s="232"/>
      <c r="BD527" s="232"/>
      <c r="BE527" s="232"/>
      <c r="BF527" s="232"/>
      <c r="BG527" s="232"/>
      <c r="BH527" s="232"/>
      <c r="BI527" s="232"/>
      <c r="BJ527" s="232"/>
      <c r="BK527" s="232"/>
      <c r="BL527" s="232"/>
      <c r="BM527" s="232"/>
      <c r="BN527" s="232"/>
      <c r="BO527" s="232"/>
      <c r="BP527" s="232"/>
      <c r="BQ527" s="232"/>
      <c r="BR527" s="232"/>
      <c r="BS527" s="232"/>
      <c r="BT527" s="232"/>
      <c r="BU527" s="232"/>
      <c r="BV527" s="232"/>
      <c r="BW527" s="232"/>
      <c r="BX527" s="232"/>
      <c r="BY527" s="232"/>
      <c r="BZ527" s="232"/>
      <c r="CA527" s="232"/>
      <c r="CB527" s="232"/>
      <c r="CC527" s="232"/>
      <c r="CD527" s="232"/>
      <c r="CE527" s="232"/>
      <c r="CF527" s="232"/>
      <c r="CG527" s="232"/>
      <c r="CH527" s="232"/>
      <c r="CI527" s="232"/>
      <c r="CJ527" s="232"/>
      <c r="CK527" s="232"/>
      <c r="CL527" s="232"/>
      <c r="CM527" s="232"/>
      <c r="CN527" s="215"/>
      <c r="CO527" s="215"/>
      <c r="CP527" s="215"/>
      <c r="CQ527" s="215"/>
      <c r="CR527" s="215"/>
      <c r="CS527" s="215"/>
      <c r="CT527" s="215"/>
    </row>
    <row r="528" ht="24.0" customHeight="1">
      <c r="A528" s="287"/>
      <c r="B528" s="287"/>
      <c r="C528" s="287"/>
      <c r="D528" s="232"/>
      <c r="E528" s="232"/>
      <c r="F528" s="232"/>
      <c r="G528" s="232"/>
      <c r="H528" s="232"/>
      <c r="I528" s="232"/>
      <c r="J528" s="232"/>
      <c r="K528" s="232"/>
      <c r="L528" s="232"/>
      <c r="M528" s="232"/>
      <c r="N528" s="289"/>
      <c r="O528" s="232"/>
      <c r="P528" s="232"/>
      <c r="Q528" s="232"/>
      <c r="R528" s="232"/>
      <c r="S528" s="232"/>
      <c r="T528" s="232"/>
      <c r="U528" s="232"/>
      <c r="V528" s="232"/>
      <c r="W528" s="232"/>
      <c r="X528" s="232"/>
      <c r="Y528" s="232"/>
      <c r="Z528" s="232"/>
      <c r="AA528" s="232"/>
      <c r="AB528" s="232"/>
      <c r="AC528" s="232"/>
      <c r="AD528" s="232"/>
      <c r="AE528" s="232"/>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c r="BL528" s="232"/>
      <c r="BM528" s="232"/>
      <c r="BN528" s="232"/>
      <c r="BO528" s="232"/>
      <c r="BP528" s="232"/>
      <c r="BQ528" s="232"/>
      <c r="BR528" s="232"/>
      <c r="BS528" s="232"/>
      <c r="BT528" s="232"/>
      <c r="BU528" s="232"/>
      <c r="BV528" s="232"/>
      <c r="BW528" s="232"/>
      <c r="BX528" s="232"/>
      <c r="BY528" s="232"/>
      <c r="BZ528" s="232"/>
      <c r="CA528" s="232"/>
      <c r="CB528" s="232"/>
      <c r="CC528" s="232"/>
      <c r="CD528" s="232"/>
      <c r="CE528" s="232"/>
      <c r="CF528" s="232"/>
      <c r="CG528" s="232"/>
      <c r="CH528" s="232"/>
      <c r="CI528" s="232"/>
      <c r="CJ528" s="232"/>
      <c r="CK528" s="232"/>
      <c r="CL528" s="232"/>
      <c r="CM528" s="232"/>
      <c r="CN528" s="215"/>
      <c r="CO528" s="215"/>
      <c r="CP528" s="215"/>
      <c r="CQ528" s="215"/>
      <c r="CR528" s="215"/>
      <c r="CS528" s="215"/>
      <c r="CT528" s="215"/>
    </row>
    <row r="529" ht="24.0" customHeight="1">
      <c r="A529" s="287"/>
      <c r="B529" s="287"/>
      <c r="C529" s="287"/>
      <c r="D529" s="232"/>
      <c r="E529" s="232"/>
      <c r="F529" s="232"/>
      <c r="G529" s="232"/>
      <c r="H529" s="232"/>
      <c r="I529" s="232"/>
      <c r="J529" s="232"/>
      <c r="K529" s="232"/>
      <c r="L529" s="232"/>
      <c r="M529" s="232"/>
      <c r="N529" s="289"/>
      <c r="O529" s="232"/>
      <c r="P529" s="232"/>
      <c r="Q529" s="232"/>
      <c r="R529" s="232"/>
      <c r="S529" s="232"/>
      <c r="T529" s="232"/>
      <c r="U529" s="232"/>
      <c r="V529" s="232"/>
      <c r="W529" s="232"/>
      <c r="X529" s="232"/>
      <c r="Y529" s="232"/>
      <c r="Z529" s="232"/>
      <c r="AA529" s="232"/>
      <c r="AB529" s="232"/>
      <c r="AC529" s="232"/>
      <c r="AD529" s="232"/>
      <c r="AE529" s="232"/>
      <c r="AF529" s="232"/>
      <c r="AG529" s="232"/>
      <c r="AH529" s="232"/>
      <c r="AI529" s="232"/>
      <c r="AJ529" s="232"/>
      <c r="AK529" s="232"/>
      <c r="AL529" s="232"/>
      <c r="AM529" s="232"/>
      <c r="AN529" s="232"/>
      <c r="AO529" s="232"/>
      <c r="AP529" s="232"/>
      <c r="AQ529" s="232"/>
      <c r="AR529" s="232"/>
      <c r="AS529" s="232"/>
      <c r="AT529" s="232"/>
      <c r="AU529" s="232"/>
      <c r="AV529" s="232"/>
      <c r="AW529" s="232"/>
      <c r="AX529" s="232"/>
      <c r="AY529" s="232"/>
      <c r="AZ529" s="232"/>
      <c r="BA529" s="232"/>
      <c r="BB529" s="232"/>
      <c r="BC529" s="232"/>
      <c r="BD529" s="232"/>
      <c r="BE529" s="232"/>
      <c r="BF529" s="232"/>
      <c r="BG529" s="232"/>
      <c r="BH529" s="232"/>
      <c r="BI529" s="232"/>
      <c r="BJ529" s="232"/>
      <c r="BK529" s="232"/>
      <c r="BL529" s="232"/>
      <c r="BM529" s="232"/>
      <c r="BN529" s="232"/>
      <c r="BO529" s="232"/>
      <c r="BP529" s="232"/>
      <c r="BQ529" s="232"/>
      <c r="BR529" s="232"/>
      <c r="BS529" s="232"/>
      <c r="BT529" s="232"/>
      <c r="BU529" s="232"/>
      <c r="BV529" s="232"/>
      <c r="BW529" s="232"/>
      <c r="BX529" s="232"/>
      <c r="BY529" s="232"/>
      <c r="BZ529" s="232"/>
      <c r="CA529" s="232"/>
      <c r="CB529" s="232"/>
      <c r="CC529" s="232"/>
      <c r="CD529" s="232"/>
      <c r="CE529" s="232"/>
      <c r="CF529" s="232"/>
      <c r="CG529" s="232"/>
      <c r="CH529" s="232"/>
      <c r="CI529" s="232"/>
      <c r="CJ529" s="232"/>
      <c r="CK529" s="232"/>
      <c r="CL529" s="232"/>
      <c r="CM529" s="232"/>
      <c r="CN529" s="215"/>
      <c r="CO529" s="215"/>
      <c r="CP529" s="215"/>
      <c r="CQ529" s="215"/>
      <c r="CR529" s="215"/>
      <c r="CS529" s="215"/>
      <c r="CT529" s="215"/>
    </row>
    <row r="530" ht="24.0" customHeight="1">
      <c r="A530" s="287"/>
      <c r="B530" s="287"/>
      <c r="C530" s="287"/>
      <c r="D530" s="232"/>
      <c r="E530" s="232"/>
      <c r="F530" s="232"/>
      <c r="G530" s="232"/>
      <c r="H530" s="232"/>
      <c r="I530" s="232"/>
      <c r="J530" s="232"/>
      <c r="K530" s="232"/>
      <c r="L530" s="232"/>
      <c r="M530" s="232"/>
      <c r="N530" s="289"/>
      <c r="O530" s="232"/>
      <c r="P530" s="232"/>
      <c r="Q530" s="232"/>
      <c r="R530" s="232"/>
      <c r="S530" s="232"/>
      <c r="T530" s="232"/>
      <c r="U530" s="232"/>
      <c r="V530" s="232"/>
      <c r="W530" s="232"/>
      <c r="X530" s="232"/>
      <c r="Y530" s="232"/>
      <c r="Z530" s="232"/>
      <c r="AA530" s="232"/>
      <c r="AB530" s="232"/>
      <c r="AC530" s="232"/>
      <c r="AD530" s="232"/>
      <c r="AE530" s="232"/>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c r="BL530" s="232"/>
      <c r="BM530" s="232"/>
      <c r="BN530" s="232"/>
      <c r="BO530" s="232"/>
      <c r="BP530" s="232"/>
      <c r="BQ530" s="232"/>
      <c r="BR530" s="232"/>
      <c r="BS530" s="232"/>
      <c r="BT530" s="232"/>
      <c r="BU530" s="232"/>
      <c r="BV530" s="232"/>
      <c r="BW530" s="232"/>
      <c r="BX530" s="232"/>
      <c r="BY530" s="232"/>
      <c r="BZ530" s="232"/>
      <c r="CA530" s="232"/>
      <c r="CB530" s="232"/>
      <c r="CC530" s="232"/>
      <c r="CD530" s="232"/>
      <c r="CE530" s="232"/>
      <c r="CF530" s="232"/>
      <c r="CG530" s="232"/>
      <c r="CH530" s="232"/>
      <c r="CI530" s="232"/>
      <c r="CJ530" s="232"/>
      <c r="CK530" s="232"/>
      <c r="CL530" s="232"/>
      <c r="CM530" s="232"/>
      <c r="CN530" s="215"/>
      <c r="CO530" s="215"/>
      <c r="CP530" s="215"/>
      <c r="CQ530" s="215"/>
      <c r="CR530" s="215"/>
      <c r="CS530" s="215"/>
      <c r="CT530" s="215"/>
    </row>
    <row r="531" ht="24.0" customHeight="1">
      <c r="A531" s="287"/>
      <c r="B531" s="287"/>
      <c r="C531" s="287"/>
      <c r="D531" s="232"/>
      <c r="E531" s="232"/>
      <c r="F531" s="232"/>
      <c r="G531" s="232"/>
      <c r="H531" s="232"/>
      <c r="I531" s="232"/>
      <c r="J531" s="232"/>
      <c r="K531" s="232"/>
      <c r="L531" s="232"/>
      <c r="M531" s="232"/>
      <c r="N531" s="289"/>
      <c r="O531" s="232"/>
      <c r="P531" s="232"/>
      <c r="Q531" s="232"/>
      <c r="R531" s="232"/>
      <c r="S531" s="232"/>
      <c r="T531" s="232"/>
      <c r="U531" s="232"/>
      <c r="V531" s="232"/>
      <c r="W531" s="232"/>
      <c r="X531" s="232"/>
      <c r="Y531" s="232"/>
      <c r="Z531" s="232"/>
      <c r="AA531" s="232"/>
      <c r="AB531" s="232"/>
      <c r="AC531" s="232"/>
      <c r="AD531" s="232"/>
      <c r="AE531" s="232"/>
      <c r="AF531" s="232"/>
      <c r="AG531" s="232"/>
      <c r="AH531" s="232"/>
      <c r="AI531" s="232"/>
      <c r="AJ531" s="232"/>
      <c r="AK531" s="232"/>
      <c r="AL531" s="232"/>
      <c r="AM531" s="232"/>
      <c r="AN531" s="232"/>
      <c r="AO531" s="232"/>
      <c r="AP531" s="232"/>
      <c r="AQ531" s="232"/>
      <c r="AR531" s="232"/>
      <c r="AS531" s="232"/>
      <c r="AT531" s="232"/>
      <c r="AU531" s="232"/>
      <c r="AV531" s="232"/>
      <c r="AW531" s="232"/>
      <c r="AX531" s="232"/>
      <c r="AY531" s="232"/>
      <c r="AZ531" s="232"/>
      <c r="BA531" s="232"/>
      <c r="BB531" s="232"/>
      <c r="BC531" s="232"/>
      <c r="BD531" s="232"/>
      <c r="BE531" s="232"/>
      <c r="BF531" s="232"/>
      <c r="BG531" s="232"/>
      <c r="BH531" s="232"/>
      <c r="BI531" s="232"/>
      <c r="BJ531" s="232"/>
      <c r="BK531" s="232"/>
      <c r="BL531" s="232"/>
      <c r="BM531" s="232"/>
      <c r="BN531" s="232"/>
      <c r="BO531" s="232"/>
      <c r="BP531" s="232"/>
      <c r="BQ531" s="232"/>
      <c r="BR531" s="232"/>
      <c r="BS531" s="232"/>
      <c r="BT531" s="232"/>
      <c r="BU531" s="232"/>
      <c r="BV531" s="232"/>
      <c r="BW531" s="232"/>
      <c r="BX531" s="232"/>
      <c r="BY531" s="232"/>
      <c r="BZ531" s="232"/>
      <c r="CA531" s="232"/>
      <c r="CB531" s="232"/>
      <c r="CC531" s="232"/>
      <c r="CD531" s="232"/>
      <c r="CE531" s="232"/>
      <c r="CF531" s="232"/>
      <c r="CG531" s="232"/>
      <c r="CH531" s="232"/>
      <c r="CI531" s="232"/>
      <c r="CJ531" s="232"/>
      <c r="CK531" s="232"/>
      <c r="CL531" s="232"/>
      <c r="CM531" s="232"/>
      <c r="CN531" s="215"/>
      <c r="CO531" s="215"/>
      <c r="CP531" s="215"/>
      <c r="CQ531" s="215"/>
      <c r="CR531" s="215"/>
      <c r="CS531" s="215"/>
      <c r="CT531" s="215"/>
    </row>
    <row r="532" ht="24.0" customHeight="1">
      <c r="A532" s="287"/>
      <c r="B532" s="287"/>
      <c r="C532" s="287"/>
      <c r="D532" s="232"/>
      <c r="E532" s="232"/>
      <c r="F532" s="232"/>
      <c r="G532" s="232"/>
      <c r="H532" s="232"/>
      <c r="I532" s="232"/>
      <c r="J532" s="232"/>
      <c r="K532" s="232"/>
      <c r="L532" s="232"/>
      <c r="M532" s="232"/>
      <c r="N532" s="289"/>
      <c r="O532" s="232"/>
      <c r="P532" s="232"/>
      <c r="Q532" s="232"/>
      <c r="R532" s="232"/>
      <c r="S532" s="232"/>
      <c r="T532" s="232"/>
      <c r="U532" s="232"/>
      <c r="V532" s="232"/>
      <c r="W532" s="232"/>
      <c r="X532" s="232"/>
      <c r="Y532" s="232"/>
      <c r="Z532" s="232"/>
      <c r="AA532" s="232"/>
      <c r="AB532" s="232"/>
      <c r="AC532" s="232"/>
      <c r="AD532" s="232"/>
      <c r="AE532" s="232"/>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c r="BL532" s="232"/>
      <c r="BM532" s="232"/>
      <c r="BN532" s="232"/>
      <c r="BO532" s="232"/>
      <c r="BP532" s="232"/>
      <c r="BQ532" s="232"/>
      <c r="BR532" s="232"/>
      <c r="BS532" s="232"/>
      <c r="BT532" s="232"/>
      <c r="BU532" s="232"/>
      <c r="BV532" s="232"/>
      <c r="BW532" s="232"/>
      <c r="BX532" s="232"/>
      <c r="BY532" s="232"/>
      <c r="BZ532" s="232"/>
      <c r="CA532" s="232"/>
      <c r="CB532" s="232"/>
      <c r="CC532" s="232"/>
      <c r="CD532" s="232"/>
      <c r="CE532" s="232"/>
      <c r="CF532" s="232"/>
      <c r="CG532" s="232"/>
      <c r="CH532" s="232"/>
      <c r="CI532" s="232"/>
      <c r="CJ532" s="232"/>
      <c r="CK532" s="232"/>
      <c r="CL532" s="232"/>
      <c r="CM532" s="232"/>
      <c r="CN532" s="215"/>
      <c r="CO532" s="215"/>
      <c r="CP532" s="215"/>
      <c r="CQ532" s="215"/>
      <c r="CR532" s="215"/>
      <c r="CS532" s="215"/>
      <c r="CT532" s="215"/>
    </row>
    <row r="533" ht="24.0" customHeight="1">
      <c r="A533" s="287"/>
      <c r="B533" s="287"/>
      <c r="C533" s="287"/>
      <c r="D533" s="232"/>
      <c r="E533" s="232"/>
      <c r="F533" s="232"/>
      <c r="G533" s="232"/>
      <c r="H533" s="232"/>
      <c r="I533" s="232"/>
      <c r="J533" s="232"/>
      <c r="K533" s="232"/>
      <c r="L533" s="232"/>
      <c r="M533" s="232"/>
      <c r="N533" s="289"/>
      <c r="O533" s="232"/>
      <c r="P533" s="232"/>
      <c r="Q533" s="232"/>
      <c r="R533" s="232"/>
      <c r="S533" s="232"/>
      <c r="T533" s="232"/>
      <c r="U533" s="232"/>
      <c r="V533" s="232"/>
      <c r="W533" s="232"/>
      <c r="X533" s="232"/>
      <c r="Y533" s="232"/>
      <c r="Z533" s="232"/>
      <c r="AA533" s="232"/>
      <c r="AB533" s="232"/>
      <c r="AC533" s="232"/>
      <c r="AD533" s="232"/>
      <c r="AE533" s="232"/>
      <c r="AF533" s="232"/>
      <c r="AG533" s="232"/>
      <c r="AH533" s="232"/>
      <c r="AI533" s="232"/>
      <c r="AJ533" s="232"/>
      <c r="AK533" s="232"/>
      <c r="AL533" s="232"/>
      <c r="AM533" s="232"/>
      <c r="AN533" s="232"/>
      <c r="AO533" s="232"/>
      <c r="AP533" s="232"/>
      <c r="AQ533" s="232"/>
      <c r="AR533" s="232"/>
      <c r="AS533" s="232"/>
      <c r="AT533" s="232"/>
      <c r="AU533" s="232"/>
      <c r="AV533" s="232"/>
      <c r="AW533" s="232"/>
      <c r="AX533" s="232"/>
      <c r="AY533" s="232"/>
      <c r="AZ533" s="232"/>
      <c r="BA533" s="232"/>
      <c r="BB533" s="232"/>
      <c r="BC533" s="232"/>
      <c r="BD533" s="232"/>
      <c r="BE533" s="232"/>
      <c r="BF533" s="232"/>
      <c r="BG533" s="232"/>
      <c r="BH533" s="232"/>
      <c r="BI533" s="232"/>
      <c r="BJ533" s="232"/>
      <c r="BK533" s="232"/>
      <c r="BL533" s="232"/>
      <c r="BM533" s="232"/>
      <c r="BN533" s="232"/>
      <c r="BO533" s="232"/>
      <c r="BP533" s="232"/>
      <c r="BQ533" s="232"/>
      <c r="BR533" s="232"/>
      <c r="BS533" s="232"/>
      <c r="BT533" s="232"/>
      <c r="BU533" s="232"/>
      <c r="BV533" s="232"/>
      <c r="BW533" s="232"/>
      <c r="BX533" s="232"/>
      <c r="BY533" s="232"/>
      <c r="BZ533" s="232"/>
      <c r="CA533" s="232"/>
      <c r="CB533" s="232"/>
      <c r="CC533" s="232"/>
      <c r="CD533" s="232"/>
      <c r="CE533" s="232"/>
      <c r="CF533" s="232"/>
      <c r="CG533" s="232"/>
      <c r="CH533" s="232"/>
      <c r="CI533" s="232"/>
      <c r="CJ533" s="232"/>
      <c r="CK533" s="232"/>
      <c r="CL533" s="232"/>
      <c r="CM533" s="232"/>
      <c r="CN533" s="215"/>
      <c r="CO533" s="215"/>
      <c r="CP533" s="215"/>
      <c r="CQ533" s="215"/>
      <c r="CR533" s="215"/>
      <c r="CS533" s="215"/>
      <c r="CT533" s="215"/>
    </row>
    <row r="534" ht="24.0" customHeight="1">
      <c r="A534" s="287"/>
      <c r="B534" s="287"/>
      <c r="C534" s="287"/>
      <c r="D534" s="232"/>
      <c r="E534" s="232"/>
      <c r="F534" s="232"/>
      <c r="G534" s="232"/>
      <c r="H534" s="232"/>
      <c r="I534" s="232"/>
      <c r="J534" s="232"/>
      <c r="K534" s="232"/>
      <c r="L534" s="232"/>
      <c r="M534" s="232"/>
      <c r="N534" s="289"/>
      <c r="O534" s="232"/>
      <c r="P534" s="232"/>
      <c r="Q534" s="232"/>
      <c r="R534" s="232"/>
      <c r="S534" s="232"/>
      <c r="T534" s="232"/>
      <c r="U534" s="232"/>
      <c r="V534" s="232"/>
      <c r="W534" s="232"/>
      <c r="X534" s="232"/>
      <c r="Y534" s="232"/>
      <c r="Z534" s="232"/>
      <c r="AA534" s="232"/>
      <c r="AB534" s="232"/>
      <c r="AC534" s="232"/>
      <c r="AD534" s="232"/>
      <c r="AE534" s="232"/>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c r="BL534" s="232"/>
      <c r="BM534" s="232"/>
      <c r="BN534" s="232"/>
      <c r="BO534" s="232"/>
      <c r="BP534" s="232"/>
      <c r="BQ534" s="232"/>
      <c r="BR534" s="232"/>
      <c r="BS534" s="232"/>
      <c r="BT534" s="232"/>
      <c r="BU534" s="232"/>
      <c r="BV534" s="232"/>
      <c r="BW534" s="232"/>
      <c r="BX534" s="232"/>
      <c r="BY534" s="232"/>
      <c r="BZ534" s="232"/>
      <c r="CA534" s="232"/>
      <c r="CB534" s="232"/>
      <c r="CC534" s="232"/>
      <c r="CD534" s="232"/>
      <c r="CE534" s="232"/>
      <c r="CF534" s="232"/>
      <c r="CG534" s="232"/>
      <c r="CH534" s="232"/>
      <c r="CI534" s="232"/>
      <c r="CJ534" s="232"/>
      <c r="CK534" s="232"/>
      <c r="CL534" s="232"/>
      <c r="CM534" s="232"/>
      <c r="CN534" s="215"/>
      <c r="CO534" s="215"/>
      <c r="CP534" s="215"/>
      <c r="CQ534" s="215"/>
      <c r="CR534" s="215"/>
      <c r="CS534" s="215"/>
      <c r="CT534" s="215"/>
    </row>
    <row r="535" ht="24.0" customHeight="1">
      <c r="A535" s="287"/>
      <c r="B535" s="287"/>
      <c r="C535" s="287"/>
      <c r="D535" s="232"/>
      <c r="E535" s="232"/>
      <c r="F535" s="232"/>
      <c r="G535" s="232"/>
      <c r="H535" s="232"/>
      <c r="I535" s="232"/>
      <c r="J535" s="232"/>
      <c r="K535" s="232"/>
      <c r="L535" s="232"/>
      <c r="M535" s="232"/>
      <c r="N535" s="289"/>
      <c r="O535" s="232"/>
      <c r="P535" s="232"/>
      <c r="Q535" s="232"/>
      <c r="R535" s="232"/>
      <c r="S535" s="232"/>
      <c r="T535" s="232"/>
      <c r="U535" s="232"/>
      <c r="V535" s="232"/>
      <c r="W535" s="232"/>
      <c r="X535" s="232"/>
      <c r="Y535" s="232"/>
      <c r="Z535" s="232"/>
      <c r="AA535" s="232"/>
      <c r="AB535" s="232"/>
      <c r="AC535" s="232"/>
      <c r="AD535" s="232"/>
      <c r="AE535" s="232"/>
      <c r="AF535" s="232"/>
      <c r="AG535" s="232"/>
      <c r="AH535" s="232"/>
      <c r="AI535" s="232"/>
      <c r="AJ535" s="232"/>
      <c r="AK535" s="232"/>
      <c r="AL535" s="232"/>
      <c r="AM535" s="232"/>
      <c r="AN535" s="232"/>
      <c r="AO535" s="232"/>
      <c r="AP535" s="232"/>
      <c r="AQ535" s="232"/>
      <c r="AR535" s="232"/>
      <c r="AS535" s="232"/>
      <c r="AT535" s="232"/>
      <c r="AU535" s="232"/>
      <c r="AV535" s="232"/>
      <c r="AW535" s="232"/>
      <c r="AX535" s="232"/>
      <c r="AY535" s="232"/>
      <c r="AZ535" s="232"/>
      <c r="BA535" s="232"/>
      <c r="BB535" s="232"/>
      <c r="BC535" s="232"/>
      <c r="BD535" s="232"/>
      <c r="BE535" s="232"/>
      <c r="BF535" s="232"/>
      <c r="BG535" s="232"/>
      <c r="BH535" s="232"/>
      <c r="BI535" s="232"/>
      <c r="BJ535" s="232"/>
      <c r="BK535" s="232"/>
      <c r="BL535" s="232"/>
      <c r="BM535" s="232"/>
      <c r="BN535" s="232"/>
      <c r="BO535" s="232"/>
      <c r="BP535" s="232"/>
      <c r="BQ535" s="232"/>
      <c r="BR535" s="232"/>
      <c r="BS535" s="232"/>
      <c r="BT535" s="232"/>
      <c r="BU535" s="232"/>
      <c r="BV535" s="232"/>
      <c r="BW535" s="232"/>
      <c r="BX535" s="232"/>
      <c r="BY535" s="232"/>
      <c r="BZ535" s="232"/>
      <c r="CA535" s="232"/>
      <c r="CB535" s="232"/>
      <c r="CC535" s="232"/>
      <c r="CD535" s="232"/>
      <c r="CE535" s="232"/>
      <c r="CF535" s="232"/>
      <c r="CG535" s="232"/>
      <c r="CH535" s="232"/>
      <c r="CI535" s="232"/>
      <c r="CJ535" s="232"/>
      <c r="CK535" s="232"/>
      <c r="CL535" s="232"/>
      <c r="CM535" s="232"/>
      <c r="CN535" s="215"/>
      <c r="CO535" s="215"/>
      <c r="CP535" s="215"/>
      <c r="CQ535" s="215"/>
      <c r="CR535" s="215"/>
      <c r="CS535" s="215"/>
      <c r="CT535" s="215"/>
    </row>
    <row r="536" ht="24.0" customHeight="1">
      <c r="A536" s="287"/>
      <c r="B536" s="287"/>
      <c r="C536" s="287"/>
      <c r="D536" s="232"/>
      <c r="E536" s="232"/>
      <c r="F536" s="232"/>
      <c r="G536" s="232"/>
      <c r="H536" s="232"/>
      <c r="I536" s="232"/>
      <c r="J536" s="232"/>
      <c r="K536" s="232"/>
      <c r="L536" s="232"/>
      <c r="M536" s="232"/>
      <c r="N536" s="289"/>
      <c r="O536" s="232"/>
      <c r="P536" s="232"/>
      <c r="Q536" s="232"/>
      <c r="R536" s="232"/>
      <c r="S536" s="232"/>
      <c r="T536" s="232"/>
      <c r="U536" s="232"/>
      <c r="V536" s="232"/>
      <c r="W536" s="232"/>
      <c r="X536" s="232"/>
      <c r="Y536" s="232"/>
      <c r="Z536" s="232"/>
      <c r="AA536" s="232"/>
      <c r="AB536" s="232"/>
      <c r="AC536" s="232"/>
      <c r="AD536" s="232"/>
      <c r="AE536" s="232"/>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c r="BL536" s="232"/>
      <c r="BM536" s="232"/>
      <c r="BN536" s="232"/>
      <c r="BO536" s="232"/>
      <c r="BP536" s="232"/>
      <c r="BQ536" s="232"/>
      <c r="BR536" s="232"/>
      <c r="BS536" s="232"/>
      <c r="BT536" s="232"/>
      <c r="BU536" s="232"/>
      <c r="BV536" s="232"/>
      <c r="BW536" s="232"/>
      <c r="BX536" s="232"/>
      <c r="BY536" s="232"/>
      <c r="BZ536" s="232"/>
      <c r="CA536" s="232"/>
      <c r="CB536" s="232"/>
      <c r="CC536" s="232"/>
      <c r="CD536" s="232"/>
      <c r="CE536" s="232"/>
      <c r="CF536" s="232"/>
      <c r="CG536" s="232"/>
      <c r="CH536" s="232"/>
      <c r="CI536" s="232"/>
      <c r="CJ536" s="232"/>
      <c r="CK536" s="232"/>
      <c r="CL536" s="232"/>
      <c r="CM536" s="232"/>
      <c r="CN536" s="215"/>
      <c r="CO536" s="215"/>
      <c r="CP536" s="215"/>
      <c r="CQ536" s="215"/>
      <c r="CR536" s="215"/>
      <c r="CS536" s="215"/>
      <c r="CT536" s="215"/>
    </row>
    <row r="537" ht="24.0" customHeight="1">
      <c r="A537" s="287"/>
      <c r="B537" s="287"/>
      <c r="C537" s="287"/>
      <c r="D537" s="232"/>
      <c r="E537" s="232"/>
      <c r="F537" s="232"/>
      <c r="G537" s="232"/>
      <c r="H537" s="232"/>
      <c r="I537" s="232"/>
      <c r="J537" s="232"/>
      <c r="K537" s="232"/>
      <c r="L537" s="232"/>
      <c r="M537" s="232"/>
      <c r="N537" s="289"/>
      <c r="O537" s="232"/>
      <c r="P537" s="232"/>
      <c r="Q537" s="232"/>
      <c r="R537" s="232"/>
      <c r="S537" s="232"/>
      <c r="T537" s="232"/>
      <c r="U537" s="232"/>
      <c r="V537" s="232"/>
      <c r="W537" s="232"/>
      <c r="X537" s="232"/>
      <c r="Y537" s="232"/>
      <c r="Z537" s="232"/>
      <c r="AA537" s="232"/>
      <c r="AB537" s="232"/>
      <c r="AC537" s="232"/>
      <c r="AD537" s="232"/>
      <c r="AE537" s="232"/>
      <c r="AF537" s="232"/>
      <c r="AG537" s="232"/>
      <c r="AH537" s="232"/>
      <c r="AI537" s="232"/>
      <c r="AJ537" s="232"/>
      <c r="AK537" s="232"/>
      <c r="AL537" s="232"/>
      <c r="AM537" s="232"/>
      <c r="AN537" s="232"/>
      <c r="AO537" s="232"/>
      <c r="AP537" s="232"/>
      <c r="AQ537" s="232"/>
      <c r="AR537" s="232"/>
      <c r="AS537" s="232"/>
      <c r="AT537" s="232"/>
      <c r="AU537" s="232"/>
      <c r="AV537" s="232"/>
      <c r="AW537" s="232"/>
      <c r="AX537" s="232"/>
      <c r="AY537" s="232"/>
      <c r="AZ537" s="232"/>
      <c r="BA537" s="232"/>
      <c r="BB537" s="232"/>
      <c r="BC537" s="232"/>
      <c r="BD537" s="232"/>
      <c r="BE537" s="232"/>
      <c r="BF537" s="232"/>
      <c r="BG537" s="232"/>
      <c r="BH537" s="232"/>
      <c r="BI537" s="232"/>
      <c r="BJ537" s="232"/>
      <c r="BK537" s="232"/>
      <c r="BL537" s="232"/>
      <c r="BM537" s="232"/>
      <c r="BN537" s="232"/>
      <c r="BO537" s="232"/>
      <c r="BP537" s="232"/>
      <c r="BQ537" s="232"/>
      <c r="BR537" s="232"/>
      <c r="BS537" s="232"/>
      <c r="BT537" s="232"/>
      <c r="BU537" s="232"/>
      <c r="BV537" s="232"/>
      <c r="BW537" s="232"/>
      <c r="BX537" s="232"/>
      <c r="BY537" s="232"/>
      <c r="BZ537" s="232"/>
      <c r="CA537" s="232"/>
      <c r="CB537" s="232"/>
      <c r="CC537" s="232"/>
      <c r="CD537" s="232"/>
      <c r="CE537" s="232"/>
      <c r="CF537" s="232"/>
      <c r="CG537" s="232"/>
      <c r="CH537" s="232"/>
      <c r="CI537" s="232"/>
      <c r="CJ537" s="232"/>
      <c r="CK537" s="232"/>
      <c r="CL537" s="232"/>
      <c r="CM537" s="232"/>
      <c r="CN537" s="215"/>
      <c r="CO537" s="215"/>
      <c r="CP537" s="215"/>
      <c r="CQ537" s="215"/>
      <c r="CR537" s="215"/>
      <c r="CS537" s="215"/>
      <c r="CT537" s="215"/>
    </row>
    <row r="538" ht="24.0" customHeight="1">
      <c r="A538" s="287"/>
      <c r="B538" s="287"/>
      <c r="C538" s="287"/>
      <c r="D538" s="232"/>
      <c r="E538" s="232"/>
      <c r="F538" s="232"/>
      <c r="G538" s="232"/>
      <c r="H538" s="232"/>
      <c r="I538" s="232"/>
      <c r="J538" s="232"/>
      <c r="K538" s="232"/>
      <c r="L538" s="232"/>
      <c r="M538" s="232"/>
      <c r="N538" s="289"/>
      <c r="O538" s="232"/>
      <c r="P538" s="232"/>
      <c r="Q538" s="232"/>
      <c r="R538" s="232"/>
      <c r="S538" s="232"/>
      <c r="T538" s="232"/>
      <c r="U538" s="232"/>
      <c r="V538" s="232"/>
      <c r="W538" s="232"/>
      <c r="X538" s="232"/>
      <c r="Y538" s="232"/>
      <c r="Z538" s="232"/>
      <c r="AA538" s="232"/>
      <c r="AB538" s="232"/>
      <c r="AC538" s="232"/>
      <c r="AD538" s="232"/>
      <c r="AE538" s="232"/>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c r="BL538" s="232"/>
      <c r="BM538" s="232"/>
      <c r="BN538" s="232"/>
      <c r="BO538" s="232"/>
      <c r="BP538" s="232"/>
      <c r="BQ538" s="232"/>
      <c r="BR538" s="232"/>
      <c r="BS538" s="232"/>
      <c r="BT538" s="232"/>
      <c r="BU538" s="232"/>
      <c r="BV538" s="232"/>
      <c r="BW538" s="232"/>
      <c r="BX538" s="232"/>
      <c r="BY538" s="232"/>
      <c r="BZ538" s="232"/>
      <c r="CA538" s="232"/>
      <c r="CB538" s="232"/>
      <c r="CC538" s="232"/>
      <c r="CD538" s="232"/>
      <c r="CE538" s="232"/>
      <c r="CF538" s="232"/>
      <c r="CG538" s="232"/>
      <c r="CH538" s="232"/>
      <c r="CI538" s="232"/>
      <c r="CJ538" s="232"/>
      <c r="CK538" s="232"/>
      <c r="CL538" s="232"/>
      <c r="CM538" s="232"/>
      <c r="CN538" s="215"/>
      <c r="CO538" s="215"/>
      <c r="CP538" s="215"/>
      <c r="CQ538" s="215"/>
      <c r="CR538" s="215"/>
      <c r="CS538" s="215"/>
      <c r="CT538" s="215"/>
    </row>
    <row r="539" ht="24.0" customHeight="1">
      <c r="A539" s="287"/>
      <c r="B539" s="287"/>
      <c r="C539" s="287"/>
      <c r="D539" s="232"/>
      <c r="E539" s="232"/>
      <c r="F539" s="232"/>
      <c r="G539" s="232"/>
      <c r="H539" s="232"/>
      <c r="I539" s="232"/>
      <c r="J539" s="232"/>
      <c r="K539" s="232"/>
      <c r="L539" s="232"/>
      <c r="M539" s="232"/>
      <c r="N539" s="289"/>
      <c r="O539" s="232"/>
      <c r="P539" s="232"/>
      <c r="Q539" s="232"/>
      <c r="R539" s="232"/>
      <c r="S539" s="232"/>
      <c r="T539" s="232"/>
      <c r="U539" s="232"/>
      <c r="V539" s="232"/>
      <c r="W539" s="232"/>
      <c r="X539" s="232"/>
      <c r="Y539" s="232"/>
      <c r="Z539" s="232"/>
      <c r="AA539" s="232"/>
      <c r="AB539" s="232"/>
      <c r="AC539" s="232"/>
      <c r="AD539" s="232"/>
      <c r="AE539" s="232"/>
      <c r="AF539" s="232"/>
      <c r="AG539" s="232"/>
      <c r="AH539" s="232"/>
      <c r="AI539" s="232"/>
      <c r="AJ539" s="232"/>
      <c r="AK539" s="232"/>
      <c r="AL539" s="232"/>
      <c r="AM539" s="232"/>
      <c r="AN539" s="232"/>
      <c r="AO539" s="232"/>
      <c r="AP539" s="232"/>
      <c r="AQ539" s="232"/>
      <c r="AR539" s="232"/>
      <c r="AS539" s="232"/>
      <c r="AT539" s="232"/>
      <c r="AU539" s="232"/>
      <c r="AV539" s="232"/>
      <c r="AW539" s="232"/>
      <c r="AX539" s="232"/>
      <c r="AY539" s="232"/>
      <c r="AZ539" s="232"/>
      <c r="BA539" s="232"/>
      <c r="BB539" s="232"/>
      <c r="BC539" s="232"/>
      <c r="BD539" s="232"/>
      <c r="BE539" s="232"/>
      <c r="BF539" s="232"/>
      <c r="BG539" s="232"/>
      <c r="BH539" s="232"/>
      <c r="BI539" s="232"/>
      <c r="BJ539" s="232"/>
      <c r="BK539" s="232"/>
      <c r="BL539" s="232"/>
      <c r="BM539" s="232"/>
      <c r="BN539" s="232"/>
      <c r="BO539" s="232"/>
      <c r="BP539" s="232"/>
      <c r="BQ539" s="232"/>
      <c r="BR539" s="232"/>
      <c r="BS539" s="232"/>
      <c r="BT539" s="232"/>
      <c r="BU539" s="232"/>
      <c r="BV539" s="232"/>
      <c r="BW539" s="232"/>
      <c r="BX539" s="232"/>
      <c r="BY539" s="232"/>
      <c r="BZ539" s="232"/>
      <c r="CA539" s="232"/>
      <c r="CB539" s="232"/>
      <c r="CC539" s="232"/>
      <c r="CD539" s="232"/>
      <c r="CE539" s="232"/>
      <c r="CF539" s="232"/>
      <c r="CG539" s="232"/>
      <c r="CH539" s="232"/>
      <c r="CI539" s="232"/>
      <c r="CJ539" s="232"/>
      <c r="CK539" s="232"/>
      <c r="CL539" s="232"/>
      <c r="CM539" s="232"/>
      <c r="CN539" s="215"/>
      <c r="CO539" s="215"/>
      <c r="CP539" s="215"/>
      <c r="CQ539" s="215"/>
      <c r="CR539" s="215"/>
      <c r="CS539" s="215"/>
      <c r="CT539" s="215"/>
    </row>
    <row r="540" ht="24.0" customHeight="1">
      <c r="A540" s="287"/>
      <c r="B540" s="287"/>
      <c r="C540" s="287"/>
      <c r="D540" s="232"/>
      <c r="E540" s="232"/>
      <c r="F540" s="232"/>
      <c r="G540" s="232"/>
      <c r="H540" s="232"/>
      <c r="I540" s="232"/>
      <c r="J540" s="232"/>
      <c r="K540" s="232"/>
      <c r="L540" s="232"/>
      <c r="M540" s="232"/>
      <c r="N540" s="289"/>
      <c r="O540" s="232"/>
      <c r="P540" s="232"/>
      <c r="Q540" s="232"/>
      <c r="R540" s="232"/>
      <c r="S540" s="232"/>
      <c r="T540" s="232"/>
      <c r="U540" s="232"/>
      <c r="V540" s="232"/>
      <c r="W540" s="232"/>
      <c r="X540" s="232"/>
      <c r="Y540" s="232"/>
      <c r="Z540" s="232"/>
      <c r="AA540" s="232"/>
      <c r="AB540" s="232"/>
      <c r="AC540" s="232"/>
      <c r="AD540" s="232"/>
      <c r="AE540" s="232"/>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c r="BL540" s="232"/>
      <c r="BM540" s="232"/>
      <c r="BN540" s="232"/>
      <c r="BO540" s="232"/>
      <c r="BP540" s="232"/>
      <c r="BQ540" s="232"/>
      <c r="BR540" s="232"/>
      <c r="BS540" s="232"/>
      <c r="BT540" s="232"/>
      <c r="BU540" s="232"/>
      <c r="BV540" s="232"/>
      <c r="BW540" s="232"/>
      <c r="BX540" s="232"/>
      <c r="BY540" s="232"/>
      <c r="BZ540" s="232"/>
      <c r="CA540" s="232"/>
      <c r="CB540" s="232"/>
      <c r="CC540" s="232"/>
      <c r="CD540" s="232"/>
      <c r="CE540" s="232"/>
      <c r="CF540" s="232"/>
      <c r="CG540" s="232"/>
      <c r="CH540" s="232"/>
      <c r="CI540" s="232"/>
      <c r="CJ540" s="232"/>
      <c r="CK540" s="232"/>
      <c r="CL540" s="232"/>
      <c r="CM540" s="232"/>
      <c r="CN540" s="215"/>
      <c r="CO540" s="215"/>
      <c r="CP540" s="215"/>
      <c r="CQ540" s="215"/>
      <c r="CR540" s="215"/>
      <c r="CS540" s="215"/>
      <c r="CT540" s="215"/>
    </row>
    <row r="541" ht="24.0" customHeight="1">
      <c r="A541" s="287"/>
      <c r="B541" s="287"/>
      <c r="C541" s="287"/>
      <c r="D541" s="232"/>
      <c r="E541" s="232"/>
      <c r="F541" s="232"/>
      <c r="G541" s="232"/>
      <c r="H541" s="232"/>
      <c r="I541" s="232"/>
      <c r="J541" s="232"/>
      <c r="K541" s="232"/>
      <c r="L541" s="232"/>
      <c r="M541" s="232"/>
      <c r="N541" s="289"/>
      <c r="O541" s="232"/>
      <c r="P541" s="232"/>
      <c r="Q541" s="232"/>
      <c r="R541" s="232"/>
      <c r="S541" s="232"/>
      <c r="T541" s="232"/>
      <c r="U541" s="232"/>
      <c r="V541" s="232"/>
      <c r="W541" s="232"/>
      <c r="X541" s="232"/>
      <c r="Y541" s="232"/>
      <c r="Z541" s="232"/>
      <c r="AA541" s="232"/>
      <c r="AB541" s="232"/>
      <c r="AC541" s="232"/>
      <c r="AD541" s="232"/>
      <c r="AE541" s="232"/>
      <c r="AF541" s="232"/>
      <c r="AG541" s="232"/>
      <c r="AH541" s="232"/>
      <c r="AI541" s="232"/>
      <c r="AJ541" s="232"/>
      <c r="AK541" s="232"/>
      <c r="AL541" s="232"/>
      <c r="AM541" s="232"/>
      <c r="AN541" s="232"/>
      <c r="AO541" s="232"/>
      <c r="AP541" s="232"/>
      <c r="AQ541" s="232"/>
      <c r="AR541" s="232"/>
      <c r="AS541" s="232"/>
      <c r="AT541" s="232"/>
      <c r="AU541" s="232"/>
      <c r="AV541" s="232"/>
      <c r="AW541" s="232"/>
      <c r="AX541" s="232"/>
      <c r="AY541" s="232"/>
      <c r="AZ541" s="232"/>
      <c r="BA541" s="232"/>
      <c r="BB541" s="232"/>
      <c r="BC541" s="232"/>
      <c r="BD541" s="232"/>
      <c r="BE541" s="232"/>
      <c r="BF541" s="232"/>
      <c r="BG541" s="232"/>
      <c r="BH541" s="232"/>
      <c r="BI541" s="232"/>
      <c r="BJ541" s="232"/>
      <c r="BK541" s="232"/>
      <c r="BL541" s="232"/>
      <c r="BM541" s="232"/>
      <c r="BN541" s="232"/>
      <c r="BO541" s="232"/>
      <c r="BP541" s="232"/>
      <c r="BQ541" s="232"/>
      <c r="BR541" s="232"/>
      <c r="BS541" s="232"/>
      <c r="BT541" s="232"/>
      <c r="BU541" s="232"/>
      <c r="BV541" s="232"/>
      <c r="BW541" s="232"/>
      <c r="BX541" s="232"/>
      <c r="BY541" s="232"/>
      <c r="BZ541" s="232"/>
      <c r="CA541" s="232"/>
      <c r="CB541" s="232"/>
      <c r="CC541" s="232"/>
      <c r="CD541" s="232"/>
      <c r="CE541" s="232"/>
      <c r="CF541" s="232"/>
      <c r="CG541" s="232"/>
      <c r="CH541" s="232"/>
      <c r="CI541" s="232"/>
      <c r="CJ541" s="232"/>
      <c r="CK541" s="232"/>
      <c r="CL541" s="232"/>
      <c r="CM541" s="232"/>
      <c r="CN541" s="215"/>
      <c r="CO541" s="215"/>
      <c r="CP541" s="215"/>
      <c r="CQ541" s="215"/>
      <c r="CR541" s="215"/>
      <c r="CS541" s="215"/>
      <c r="CT541" s="215"/>
    </row>
    <row r="542" ht="24.0" customHeight="1">
      <c r="A542" s="287"/>
      <c r="B542" s="287"/>
      <c r="C542" s="287"/>
      <c r="D542" s="232"/>
      <c r="E542" s="232"/>
      <c r="F542" s="232"/>
      <c r="G542" s="232"/>
      <c r="H542" s="232"/>
      <c r="I542" s="232"/>
      <c r="J542" s="232"/>
      <c r="K542" s="232"/>
      <c r="L542" s="232"/>
      <c r="M542" s="232"/>
      <c r="N542" s="289"/>
      <c r="O542" s="232"/>
      <c r="P542" s="232"/>
      <c r="Q542" s="232"/>
      <c r="R542" s="232"/>
      <c r="S542" s="232"/>
      <c r="T542" s="232"/>
      <c r="U542" s="232"/>
      <c r="V542" s="232"/>
      <c r="W542" s="232"/>
      <c r="X542" s="232"/>
      <c r="Y542" s="232"/>
      <c r="Z542" s="232"/>
      <c r="AA542" s="232"/>
      <c r="AB542" s="232"/>
      <c r="AC542" s="232"/>
      <c r="AD542" s="232"/>
      <c r="AE542" s="232"/>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c r="BL542" s="232"/>
      <c r="BM542" s="232"/>
      <c r="BN542" s="232"/>
      <c r="BO542" s="232"/>
      <c r="BP542" s="232"/>
      <c r="BQ542" s="232"/>
      <c r="BR542" s="232"/>
      <c r="BS542" s="232"/>
      <c r="BT542" s="232"/>
      <c r="BU542" s="232"/>
      <c r="BV542" s="232"/>
      <c r="BW542" s="232"/>
      <c r="BX542" s="232"/>
      <c r="BY542" s="232"/>
      <c r="BZ542" s="232"/>
      <c r="CA542" s="232"/>
      <c r="CB542" s="232"/>
      <c r="CC542" s="232"/>
      <c r="CD542" s="232"/>
      <c r="CE542" s="232"/>
      <c r="CF542" s="232"/>
      <c r="CG542" s="232"/>
      <c r="CH542" s="232"/>
      <c r="CI542" s="232"/>
      <c r="CJ542" s="232"/>
      <c r="CK542" s="232"/>
      <c r="CL542" s="232"/>
      <c r="CM542" s="232"/>
      <c r="CN542" s="215"/>
      <c r="CO542" s="215"/>
      <c r="CP542" s="215"/>
      <c r="CQ542" s="215"/>
      <c r="CR542" s="215"/>
      <c r="CS542" s="215"/>
      <c r="CT542" s="215"/>
    </row>
    <row r="543" ht="24.0" customHeight="1">
      <c r="A543" s="287"/>
      <c r="B543" s="287"/>
      <c r="C543" s="287"/>
      <c r="D543" s="232"/>
      <c r="E543" s="232"/>
      <c r="F543" s="232"/>
      <c r="G543" s="232"/>
      <c r="H543" s="232"/>
      <c r="I543" s="232"/>
      <c r="J543" s="232"/>
      <c r="K543" s="232"/>
      <c r="L543" s="232"/>
      <c r="M543" s="232"/>
      <c r="N543" s="289"/>
      <c r="O543" s="232"/>
      <c r="P543" s="232"/>
      <c r="Q543" s="232"/>
      <c r="R543" s="232"/>
      <c r="S543" s="232"/>
      <c r="T543" s="232"/>
      <c r="U543" s="232"/>
      <c r="V543" s="232"/>
      <c r="W543" s="232"/>
      <c r="X543" s="232"/>
      <c r="Y543" s="232"/>
      <c r="Z543" s="232"/>
      <c r="AA543" s="232"/>
      <c r="AB543" s="232"/>
      <c r="AC543" s="232"/>
      <c r="AD543" s="232"/>
      <c r="AE543" s="232"/>
      <c r="AF543" s="232"/>
      <c r="AG543" s="232"/>
      <c r="AH543" s="232"/>
      <c r="AI543" s="232"/>
      <c r="AJ543" s="232"/>
      <c r="AK543" s="232"/>
      <c r="AL543" s="232"/>
      <c r="AM543" s="232"/>
      <c r="AN543" s="232"/>
      <c r="AO543" s="232"/>
      <c r="AP543" s="232"/>
      <c r="AQ543" s="232"/>
      <c r="AR543" s="232"/>
      <c r="AS543" s="232"/>
      <c r="AT543" s="232"/>
      <c r="AU543" s="232"/>
      <c r="AV543" s="232"/>
      <c r="AW543" s="232"/>
      <c r="AX543" s="232"/>
      <c r="AY543" s="232"/>
      <c r="AZ543" s="232"/>
      <c r="BA543" s="232"/>
      <c r="BB543" s="232"/>
      <c r="BC543" s="232"/>
      <c r="BD543" s="232"/>
      <c r="BE543" s="232"/>
      <c r="BF543" s="232"/>
      <c r="BG543" s="232"/>
      <c r="BH543" s="232"/>
      <c r="BI543" s="232"/>
      <c r="BJ543" s="232"/>
      <c r="BK543" s="232"/>
      <c r="BL543" s="232"/>
      <c r="BM543" s="232"/>
      <c r="BN543" s="232"/>
      <c r="BO543" s="232"/>
      <c r="BP543" s="232"/>
      <c r="BQ543" s="232"/>
      <c r="BR543" s="232"/>
      <c r="BS543" s="232"/>
      <c r="BT543" s="232"/>
      <c r="BU543" s="232"/>
      <c r="BV543" s="232"/>
      <c r="BW543" s="232"/>
      <c r="BX543" s="232"/>
      <c r="BY543" s="232"/>
      <c r="BZ543" s="232"/>
      <c r="CA543" s="232"/>
      <c r="CB543" s="232"/>
      <c r="CC543" s="232"/>
      <c r="CD543" s="232"/>
      <c r="CE543" s="232"/>
      <c r="CF543" s="232"/>
      <c r="CG543" s="232"/>
      <c r="CH543" s="232"/>
      <c r="CI543" s="232"/>
      <c r="CJ543" s="232"/>
      <c r="CK543" s="232"/>
      <c r="CL543" s="232"/>
      <c r="CM543" s="232"/>
      <c r="CN543" s="215"/>
      <c r="CO543" s="215"/>
      <c r="CP543" s="215"/>
      <c r="CQ543" s="215"/>
      <c r="CR543" s="215"/>
      <c r="CS543" s="215"/>
      <c r="CT543" s="215"/>
    </row>
    <row r="544" ht="24.0" customHeight="1">
      <c r="A544" s="287"/>
      <c r="B544" s="287"/>
      <c r="C544" s="287"/>
      <c r="D544" s="232"/>
      <c r="E544" s="232"/>
      <c r="F544" s="232"/>
      <c r="G544" s="232"/>
      <c r="H544" s="232"/>
      <c r="I544" s="232"/>
      <c r="J544" s="232"/>
      <c r="K544" s="232"/>
      <c r="L544" s="232"/>
      <c r="M544" s="232"/>
      <c r="N544" s="289"/>
      <c r="O544" s="232"/>
      <c r="P544" s="232"/>
      <c r="Q544" s="232"/>
      <c r="R544" s="232"/>
      <c r="S544" s="232"/>
      <c r="T544" s="232"/>
      <c r="U544" s="232"/>
      <c r="V544" s="232"/>
      <c r="W544" s="232"/>
      <c r="X544" s="232"/>
      <c r="Y544" s="232"/>
      <c r="Z544" s="232"/>
      <c r="AA544" s="232"/>
      <c r="AB544" s="232"/>
      <c r="AC544" s="232"/>
      <c r="AD544" s="232"/>
      <c r="AE544" s="232"/>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c r="BL544" s="232"/>
      <c r="BM544" s="232"/>
      <c r="BN544" s="232"/>
      <c r="BO544" s="232"/>
      <c r="BP544" s="232"/>
      <c r="BQ544" s="232"/>
      <c r="BR544" s="232"/>
      <c r="BS544" s="232"/>
      <c r="BT544" s="232"/>
      <c r="BU544" s="232"/>
      <c r="BV544" s="232"/>
      <c r="BW544" s="232"/>
      <c r="BX544" s="232"/>
      <c r="BY544" s="232"/>
      <c r="BZ544" s="232"/>
      <c r="CA544" s="232"/>
      <c r="CB544" s="232"/>
      <c r="CC544" s="232"/>
      <c r="CD544" s="232"/>
      <c r="CE544" s="232"/>
      <c r="CF544" s="232"/>
      <c r="CG544" s="232"/>
      <c r="CH544" s="232"/>
      <c r="CI544" s="232"/>
      <c r="CJ544" s="232"/>
      <c r="CK544" s="232"/>
      <c r="CL544" s="232"/>
      <c r="CM544" s="232"/>
      <c r="CN544" s="215"/>
      <c r="CO544" s="215"/>
      <c r="CP544" s="215"/>
      <c r="CQ544" s="215"/>
      <c r="CR544" s="215"/>
      <c r="CS544" s="215"/>
      <c r="CT544" s="215"/>
    </row>
    <row r="545" ht="24.0" customHeight="1">
      <c r="A545" s="287"/>
      <c r="B545" s="287"/>
      <c r="C545" s="287"/>
      <c r="D545" s="232"/>
      <c r="E545" s="232"/>
      <c r="F545" s="232"/>
      <c r="G545" s="232"/>
      <c r="H545" s="232"/>
      <c r="I545" s="232"/>
      <c r="J545" s="232"/>
      <c r="K545" s="232"/>
      <c r="L545" s="232"/>
      <c r="M545" s="232"/>
      <c r="N545" s="289"/>
      <c r="O545" s="232"/>
      <c r="P545" s="232"/>
      <c r="Q545" s="232"/>
      <c r="R545" s="232"/>
      <c r="S545" s="232"/>
      <c r="T545" s="232"/>
      <c r="U545" s="232"/>
      <c r="V545" s="232"/>
      <c r="W545" s="232"/>
      <c r="X545" s="232"/>
      <c r="Y545" s="232"/>
      <c r="Z545" s="232"/>
      <c r="AA545" s="232"/>
      <c r="AB545" s="232"/>
      <c r="AC545" s="232"/>
      <c r="AD545" s="232"/>
      <c r="AE545" s="232"/>
      <c r="AF545" s="232"/>
      <c r="AG545" s="232"/>
      <c r="AH545" s="232"/>
      <c r="AI545" s="232"/>
      <c r="AJ545" s="232"/>
      <c r="AK545" s="232"/>
      <c r="AL545" s="232"/>
      <c r="AM545" s="232"/>
      <c r="AN545" s="232"/>
      <c r="AO545" s="232"/>
      <c r="AP545" s="232"/>
      <c r="AQ545" s="232"/>
      <c r="AR545" s="232"/>
      <c r="AS545" s="232"/>
      <c r="AT545" s="232"/>
      <c r="AU545" s="232"/>
      <c r="AV545" s="232"/>
      <c r="AW545" s="232"/>
      <c r="AX545" s="232"/>
      <c r="AY545" s="232"/>
      <c r="AZ545" s="232"/>
      <c r="BA545" s="232"/>
      <c r="BB545" s="232"/>
      <c r="BC545" s="232"/>
      <c r="BD545" s="232"/>
      <c r="BE545" s="232"/>
      <c r="BF545" s="232"/>
      <c r="BG545" s="232"/>
      <c r="BH545" s="232"/>
      <c r="BI545" s="232"/>
      <c r="BJ545" s="232"/>
      <c r="BK545" s="232"/>
      <c r="BL545" s="232"/>
      <c r="BM545" s="232"/>
      <c r="BN545" s="232"/>
      <c r="BO545" s="232"/>
      <c r="BP545" s="232"/>
      <c r="BQ545" s="232"/>
      <c r="BR545" s="232"/>
      <c r="BS545" s="232"/>
      <c r="BT545" s="232"/>
      <c r="BU545" s="232"/>
      <c r="BV545" s="232"/>
      <c r="BW545" s="232"/>
      <c r="BX545" s="232"/>
      <c r="BY545" s="232"/>
      <c r="BZ545" s="232"/>
      <c r="CA545" s="232"/>
      <c r="CB545" s="232"/>
      <c r="CC545" s="232"/>
      <c r="CD545" s="232"/>
      <c r="CE545" s="232"/>
      <c r="CF545" s="232"/>
      <c r="CG545" s="232"/>
      <c r="CH545" s="232"/>
      <c r="CI545" s="232"/>
      <c r="CJ545" s="232"/>
      <c r="CK545" s="232"/>
      <c r="CL545" s="232"/>
      <c r="CM545" s="232"/>
      <c r="CN545" s="215"/>
      <c r="CO545" s="215"/>
      <c r="CP545" s="215"/>
      <c r="CQ545" s="215"/>
      <c r="CR545" s="215"/>
      <c r="CS545" s="215"/>
      <c r="CT545" s="215"/>
    </row>
    <row r="546" ht="24.0" customHeight="1">
      <c r="A546" s="287"/>
      <c r="B546" s="287"/>
      <c r="C546" s="287"/>
      <c r="D546" s="232"/>
      <c r="E546" s="232"/>
      <c r="F546" s="232"/>
      <c r="G546" s="232"/>
      <c r="H546" s="232"/>
      <c r="I546" s="232"/>
      <c r="J546" s="232"/>
      <c r="K546" s="232"/>
      <c r="L546" s="232"/>
      <c r="M546" s="232"/>
      <c r="N546" s="289"/>
      <c r="O546" s="232"/>
      <c r="P546" s="232"/>
      <c r="Q546" s="232"/>
      <c r="R546" s="232"/>
      <c r="S546" s="232"/>
      <c r="T546" s="232"/>
      <c r="U546" s="232"/>
      <c r="V546" s="232"/>
      <c r="W546" s="232"/>
      <c r="X546" s="232"/>
      <c r="Y546" s="232"/>
      <c r="Z546" s="232"/>
      <c r="AA546" s="232"/>
      <c r="AB546" s="232"/>
      <c r="AC546" s="232"/>
      <c r="AD546" s="232"/>
      <c r="AE546" s="232"/>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c r="BL546" s="232"/>
      <c r="BM546" s="232"/>
      <c r="BN546" s="232"/>
      <c r="BO546" s="232"/>
      <c r="BP546" s="232"/>
      <c r="BQ546" s="232"/>
      <c r="BR546" s="232"/>
      <c r="BS546" s="232"/>
      <c r="BT546" s="232"/>
      <c r="BU546" s="232"/>
      <c r="BV546" s="232"/>
      <c r="BW546" s="232"/>
      <c r="BX546" s="232"/>
      <c r="BY546" s="232"/>
      <c r="BZ546" s="232"/>
      <c r="CA546" s="232"/>
      <c r="CB546" s="232"/>
      <c r="CC546" s="232"/>
      <c r="CD546" s="232"/>
      <c r="CE546" s="232"/>
      <c r="CF546" s="232"/>
      <c r="CG546" s="232"/>
      <c r="CH546" s="232"/>
      <c r="CI546" s="232"/>
      <c r="CJ546" s="232"/>
      <c r="CK546" s="232"/>
      <c r="CL546" s="232"/>
      <c r="CM546" s="232"/>
      <c r="CN546" s="215"/>
      <c r="CO546" s="215"/>
      <c r="CP546" s="215"/>
      <c r="CQ546" s="215"/>
      <c r="CR546" s="215"/>
      <c r="CS546" s="215"/>
      <c r="CT546" s="215"/>
    </row>
    <row r="547" ht="24.0" customHeight="1">
      <c r="A547" s="287"/>
      <c r="B547" s="287"/>
      <c r="C547" s="287"/>
      <c r="D547" s="232"/>
      <c r="E547" s="232"/>
      <c r="F547" s="232"/>
      <c r="G547" s="232"/>
      <c r="H547" s="232"/>
      <c r="I547" s="232"/>
      <c r="J547" s="232"/>
      <c r="K547" s="232"/>
      <c r="L547" s="232"/>
      <c r="M547" s="232"/>
      <c r="N547" s="289"/>
      <c r="O547" s="232"/>
      <c r="P547" s="232"/>
      <c r="Q547" s="232"/>
      <c r="R547" s="232"/>
      <c r="S547" s="232"/>
      <c r="T547" s="232"/>
      <c r="U547" s="232"/>
      <c r="V547" s="232"/>
      <c r="W547" s="232"/>
      <c r="X547" s="232"/>
      <c r="Y547" s="232"/>
      <c r="Z547" s="232"/>
      <c r="AA547" s="232"/>
      <c r="AB547" s="232"/>
      <c r="AC547" s="232"/>
      <c r="AD547" s="232"/>
      <c r="AE547" s="232"/>
      <c r="AF547" s="232"/>
      <c r="AG547" s="232"/>
      <c r="AH547" s="232"/>
      <c r="AI547" s="232"/>
      <c r="AJ547" s="232"/>
      <c r="AK547" s="232"/>
      <c r="AL547" s="232"/>
      <c r="AM547" s="232"/>
      <c r="AN547" s="232"/>
      <c r="AO547" s="232"/>
      <c r="AP547" s="232"/>
      <c r="AQ547" s="232"/>
      <c r="AR547" s="232"/>
      <c r="AS547" s="232"/>
      <c r="AT547" s="232"/>
      <c r="AU547" s="232"/>
      <c r="AV547" s="232"/>
      <c r="AW547" s="232"/>
      <c r="AX547" s="232"/>
      <c r="AY547" s="232"/>
      <c r="AZ547" s="232"/>
      <c r="BA547" s="232"/>
      <c r="BB547" s="232"/>
      <c r="BC547" s="232"/>
      <c r="BD547" s="232"/>
      <c r="BE547" s="232"/>
      <c r="BF547" s="232"/>
      <c r="BG547" s="232"/>
      <c r="BH547" s="232"/>
      <c r="BI547" s="232"/>
      <c r="BJ547" s="232"/>
      <c r="BK547" s="232"/>
      <c r="BL547" s="232"/>
      <c r="BM547" s="232"/>
      <c r="BN547" s="232"/>
      <c r="BO547" s="232"/>
      <c r="BP547" s="232"/>
      <c r="BQ547" s="232"/>
      <c r="BR547" s="232"/>
      <c r="BS547" s="232"/>
      <c r="BT547" s="232"/>
      <c r="BU547" s="232"/>
      <c r="BV547" s="232"/>
      <c r="BW547" s="232"/>
      <c r="BX547" s="232"/>
      <c r="BY547" s="232"/>
      <c r="BZ547" s="232"/>
      <c r="CA547" s="232"/>
      <c r="CB547" s="232"/>
      <c r="CC547" s="232"/>
      <c r="CD547" s="232"/>
      <c r="CE547" s="232"/>
      <c r="CF547" s="232"/>
      <c r="CG547" s="232"/>
      <c r="CH547" s="232"/>
      <c r="CI547" s="232"/>
      <c r="CJ547" s="232"/>
      <c r="CK547" s="232"/>
      <c r="CL547" s="232"/>
      <c r="CM547" s="232"/>
      <c r="CN547" s="215"/>
      <c r="CO547" s="215"/>
      <c r="CP547" s="215"/>
      <c r="CQ547" s="215"/>
      <c r="CR547" s="215"/>
      <c r="CS547" s="215"/>
      <c r="CT547" s="215"/>
    </row>
    <row r="548" ht="24.0" customHeight="1">
      <c r="A548" s="287"/>
      <c r="B548" s="287"/>
      <c r="C548" s="287"/>
      <c r="D548" s="232"/>
      <c r="E548" s="232"/>
      <c r="F548" s="232"/>
      <c r="G548" s="232"/>
      <c r="H548" s="232"/>
      <c r="I548" s="232"/>
      <c r="J548" s="232"/>
      <c r="K548" s="232"/>
      <c r="L548" s="232"/>
      <c r="M548" s="232"/>
      <c r="N548" s="289"/>
      <c r="O548" s="232"/>
      <c r="P548" s="232"/>
      <c r="Q548" s="232"/>
      <c r="R548" s="232"/>
      <c r="S548" s="232"/>
      <c r="T548" s="232"/>
      <c r="U548" s="232"/>
      <c r="V548" s="232"/>
      <c r="W548" s="232"/>
      <c r="X548" s="232"/>
      <c r="Y548" s="232"/>
      <c r="Z548" s="232"/>
      <c r="AA548" s="232"/>
      <c r="AB548" s="232"/>
      <c r="AC548" s="232"/>
      <c r="AD548" s="232"/>
      <c r="AE548" s="232"/>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c r="BL548" s="232"/>
      <c r="BM548" s="232"/>
      <c r="BN548" s="232"/>
      <c r="BO548" s="232"/>
      <c r="BP548" s="232"/>
      <c r="BQ548" s="232"/>
      <c r="BR548" s="232"/>
      <c r="BS548" s="232"/>
      <c r="BT548" s="232"/>
      <c r="BU548" s="232"/>
      <c r="BV548" s="232"/>
      <c r="BW548" s="232"/>
      <c r="BX548" s="232"/>
      <c r="BY548" s="232"/>
      <c r="BZ548" s="232"/>
      <c r="CA548" s="232"/>
      <c r="CB548" s="232"/>
      <c r="CC548" s="232"/>
      <c r="CD548" s="232"/>
      <c r="CE548" s="232"/>
      <c r="CF548" s="232"/>
      <c r="CG548" s="232"/>
      <c r="CH548" s="232"/>
      <c r="CI548" s="232"/>
      <c r="CJ548" s="232"/>
      <c r="CK548" s="232"/>
      <c r="CL548" s="232"/>
      <c r="CM548" s="232"/>
      <c r="CN548" s="215"/>
      <c r="CO548" s="215"/>
      <c r="CP548" s="215"/>
      <c r="CQ548" s="215"/>
      <c r="CR548" s="215"/>
      <c r="CS548" s="215"/>
      <c r="CT548" s="215"/>
    </row>
    <row r="549" ht="24.0" customHeight="1">
      <c r="A549" s="287"/>
      <c r="B549" s="287"/>
      <c r="C549" s="287"/>
      <c r="D549" s="232"/>
      <c r="E549" s="232"/>
      <c r="F549" s="232"/>
      <c r="G549" s="232"/>
      <c r="H549" s="232"/>
      <c r="I549" s="232"/>
      <c r="J549" s="232"/>
      <c r="K549" s="232"/>
      <c r="L549" s="232"/>
      <c r="M549" s="232"/>
      <c r="N549" s="289"/>
      <c r="O549" s="232"/>
      <c r="P549" s="232"/>
      <c r="Q549" s="232"/>
      <c r="R549" s="232"/>
      <c r="S549" s="232"/>
      <c r="T549" s="232"/>
      <c r="U549" s="232"/>
      <c r="V549" s="232"/>
      <c r="W549" s="232"/>
      <c r="X549" s="232"/>
      <c r="Y549" s="232"/>
      <c r="Z549" s="232"/>
      <c r="AA549" s="232"/>
      <c r="AB549" s="232"/>
      <c r="AC549" s="232"/>
      <c r="AD549" s="232"/>
      <c r="AE549" s="232"/>
      <c r="AF549" s="232"/>
      <c r="AG549" s="232"/>
      <c r="AH549" s="232"/>
      <c r="AI549" s="232"/>
      <c r="AJ549" s="232"/>
      <c r="AK549" s="232"/>
      <c r="AL549" s="232"/>
      <c r="AM549" s="232"/>
      <c r="AN549" s="232"/>
      <c r="AO549" s="232"/>
      <c r="AP549" s="232"/>
      <c r="AQ549" s="232"/>
      <c r="AR549" s="232"/>
      <c r="AS549" s="232"/>
      <c r="AT549" s="232"/>
      <c r="AU549" s="232"/>
      <c r="AV549" s="232"/>
      <c r="AW549" s="232"/>
      <c r="AX549" s="232"/>
      <c r="AY549" s="232"/>
      <c r="AZ549" s="232"/>
      <c r="BA549" s="232"/>
      <c r="BB549" s="232"/>
      <c r="BC549" s="232"/>
      <c r="BD549" s="232"/>
      <c r="BE549" s="232"/>
      <c r="BF549" s="232"/>
      <c r="BG549" s="232"/>
      <c r="BH549" s="232"/>
      <c r="BI549" s="232"/>
      <c r="BJ549" s="232"/>
      <c r="BK549" s="232"/>
      <c r="BL549" s="232"/>
      <c r="BM549" s="232"/>
      <c r="BN549" s="232"/>
      <c r="BO549" s="232"/>
      <c r="BP549" s="232"/>
      <c r="BQ549" s="232"/>
      <c r="BR549" s="232"/>
      <c r="BS549" s="232"/>
      <c r="BT549" s="232"/>
      <c r="BU549" s="232"/>
      <c r="BV549" s="232"/>
      <c r="BW549" s="232"/>
      <c r="BX549" s="232"/>
      <c r="BY549" s="232"/>
      <c r="BZ549" s="232"/>
      <c r="CA549" s="232"/>
      <c r="CB549" s="232"/>
      <c r="CC549" s="232"/>
      <c r="CD549" s="232"/>
      <c r="CE549" s="232"/>
      <c r="CF549" s="232"/>
      <c r="CG549" s="232"/>
      <c r="CH549" s="232"/>
      <c r="CI549" s="232"/>
      <c r="CJ549" s="232"/>
      <c r="CK549" s="232"/>
      <c r="CL549" s="232"/>
      <c r="CM549" s="232"/>
      <c r="CN549" s="215"/>
      <c r="CO549" s="215"/>
      <c r="CP549" s="215"/>
      <c r="CQ549" s="215"/>
      <c r="CR549" s="215"/>
      <c r="CS549" s="215"/>
      <c r="CT549" s="215"/>
    </row>
    <row r="550" ht="24.0" customHeight="1">
      <c r="A550" s="287"/>
      <c r="B550" s="287"/>
      <c r="C550" s="287"/>
      <c r="D550" s="232"/>
      <c r="E550" s="232"/>
      <c r="F550" s="232"/>
      <c r="G550" s="232"/>
      <c r="H550" s="232"/>
      <c r="I550" s="232"/>
      <c r="J550" s="232"/>
      <c r="K550" s="232"/>
      <c r="L550" s="232"/>
      <c r="M550" s="232"/>
      <c r="N550" s="289"/>
      <c r="O550" s="232"/>
      <c r="P550" s="232"/>
      <c r="Q550" s="232"/>
      <c r="R550" s="232"/>
      <c r="S550" s="232"/>
      <c r="T550" s="232"/>
      <c r="U550" s="232"/>
      <c r="V550" s="232"/>
      <c r="W550" s="232"/>
      <c r="X550" s="232"/>
      <c r="Y550" s="232"/>
      <c r="Z550" s="232"/>
      <c r="AA550" s="232"/>
      <c r="AB550" s="232"/>
      <c r="AC550" s="232"/>
      <c r="AD550" s="232"/>
      <c r="AE550" s="232"/>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c r="BL550" s="232"/>
      <c r="BM550" s="232"/>
      <c r="BN550" s="232"/>
      <c r="BO550" s="232"/>
      <c r="BP550" s="232"/>
      <c r="BQ550" s="232"/>
      <c r="BR550" s="232"/>
      <c r="BS550" s="232"/>
      <c r="BT550" s="232"/>
      <c r="BU550" s="232"/>
      <c r="BV550" s="232"/>
      <c r="BW550" s="232"/>
      <c r="BX550" s="232"/>
      <c r="BY550" s="232"/>
      <c r="BZ550" s="232"/>
      <c r="CA550" s="232"/>
      <c r="CB550" s="232"/>
      <c r="CC550" s="232"/>
      <c r="CD550" s="232"/>
      <c r="CE550" s="232"/>
      <c r="CF550" s="232"/>
      <c r="CG550" s="232"/>
      <c r="CH550" s="232"/>
      <c r="CI550" s="232"/>
      <c r="CJ550" s="232"/>
      <c r="CK550" s="232"/>
      <c r="CL550" s="232"/>
      <c r="CM550" s="232"/>
      <c r="CN550" s="215"/>
      <c r="CO550" s="215"/>
      <c r="CP550" s="215"/>
      <c r="CQ550" s="215"/>
      <c r="CR550" s="215"/>
      <c r="CS550" s="215"/>
      <c r="CT550" s="215"/>
    </row>
    <row r="551" ht="24.0" customHeight="1">
      <c r="A551" s="287"/>
      <c r="B551" s="287"/>
      <c r="C551" s="287"/>
      <c r="D551" s="232"/>
      <c r="E551" s="232"/>
      <c r="F551" s="232"/>
      <c r="G551" s="232"/>
      <c r="H551" s="232"/>
      <c r="I551" s="232"/>
      <c r="J551" s="232"/>
      <c r="K551" s="232"/>
      <c r="L551" s="232"/>
      <c r="M551" s="232"/>
      <c r="N551" s="289"/>
      <c r="O551" s="232"/>
      <c r="P551" s="232"/>
      <c r="Q551" s="232"/>
      <c r="R551" s="232"/>
      <c r="S551" s="232"/>
      <c r="T551" s="232"/>
      <c r="U551" s="232"/>
      <c r="V551" s="232"/>
      <c r="W551" s="232"/>
      <c r="X551" s="232"/>
      <c r="Y551" s="232"/>
      <c r="Z551" s="232"/>
      <c r="AA551" s="232"/>
      <c r="AB551" s="232"/>
      <c r="AC551" s="232"/>
      <c r="AD551" s="232"/>
      <c r="AE551" s="232"/>
      <c r="AF551" s="232"/>
      <c r="AG551" s="232"/>
      <c r="AH551" s="232"/>
      <c r="AI551" s="232"/>
      <c r="AJ551" s="232"/>
      <c r="AK551" s="232"/>
      <c r="AL551" s="232"/>
      <c r="AM551" s="232"/>
      <c r="AN551" s="232"/>
      <c r="AO551" s="232"/>
      <c r="AP551" s="232"/>
      <c r="AQ551" s="232"/>
      <c r="AR551" s="232"/>
      <c r="AS551" s="232"/>
      <c r="AT551" s="232"/>
      <c r="AU551" s="232"/>
      <c r="AV551" s="232"/>
      <c r="AW551" s="232"/>
      <c r="AX551" s="232"/>
      <c r="AY551" s="232"/>
      <c r="AZ551" s="232"/>
      <c r="BA551" s="232"/>
      <c r="BB551" s="232"/>
      <c r="BC551" s="232"/>
      <c r="BD551" s="232"/>
      <c r="BE551" s="232"/>
      <c r="BF551" s="232"/>
      <c r="BG551" s="232"/>
      <c r="BH551" s="232"/>
      <c r="BI551" s="232"/>
      <c r="BJ551" s="232"/>
      <c r="BK551" s="232"/>
      <c r="BL551" s="232"/>
      <c r="BM551" s="232"/>
      <c r="BN551" s="232"/>
      <c r="BO551" s="232"/>
      <c r="BP551" s="232"/>
      <c r="BQ551" s="232"/>
      <c r="BR551" s="232"/>
      <c r="BS551" s="232"/>
      <c r="BT551" s="232"/>
      <c r="BU551" s="232"/>
      <c r="BV551" s="232"/>
      <c r="BW551" s="232"/>
      <c r="BX551" s="232"/>
      <c r="BY551" s="232"/>
      <c r="BZ551" s="232"/>
      <c r="CA551" s="232"/>
      <c r="CB551" s="232"/>
      <c r="CC551" s="232"/>
      <c r="CD551" s="232"/>
      <c r="CE551" s="232"/>
      <c r="CF551" s="232"/>
      <c r="CG551" s="232"/>
      <c r="CH551" s="232"/>
      <c r="CI551" s="232"/>
      <c r="CJ551" s="232"/>
      <c r="CK551" s="232"/>
      <c r="CL551" s="232"/>
      <c r="CM551" s="232"/>
      <c r="CN551" s="215"/>
      <c r="CO551" s="215"/>
      <c r="CP551" s="215"/>
      <c r="CQ551" s="215"/>
      <c r="CR551" s="215"/>
      <c r="CS551" s="215"/>
      <c r="CT551" s="215"/>
    </row>
    <row r="552" ht="24.0" customHeight="1">
      <c r="A552" s="287"/>
      <c r="B552" s="287"/>
      <c r="C552" s="287"/>
      <c r="D552" s="232"/>
      <c r="E552" s="232"/>
      <c r="F552" s="232"/>
      <c r="G552" s="232"/>
      <c r="H552" s="232"/>
      <c r="I552" s="232"/>
      <c r="J552" s="232"/>
      <c r="K552" s="232"/>
      <c r="L552" s="232"/>
      <c r="M552" s="232"/>
      <c r="N552" s="289"/>
      <c r="O552" s="232"/>
      <c r="P552" s="232"/>
      <c r="Q552" s="232"/>
      <c r="R552" s="232"/>
      <c r="S552" s="232"/>
      <c r="T552" s="232"/>
      <c r="U552" s="232"/>
      <c r="V552" s="232"/>
      <c r="W552" s="232"/>
      <c r="X552" s="232"/>
      <c r="Y552" s="232"/>
      <c r="Z552" s="232"/>
      <c r="AA552" s="232"/>
      <c r="AB552" s="232"/>
      <c r="AC552" s="232"/>
      <c r="AD552" s="232"/>
      <c r="AE552" s="232"/>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c r="BL552" s="232"/>
      <c r="BM552" s="232"/>
      <c r="BN552" s="232"/>
      <c r="BO552" s="232"/>
      <c r="BP552" s="232"/>
      <c r="BQ552" s="232"/>
      <c r="BR552" s="232"/>
      <c r="BS552" s="232"/>
      <c r="BT552" s="232"/>
      <c r="BU552" s="232"/>
      <c r="BV552" s="232"/>
      <c r="BW552" s="232"/>
      <c r="BX552" s="232"/>
      <c r="BY552" s="232"/>
      <c r="BZ552" s="232"/>
      <c r="CA552" s="232"/>
      <c r="CB552" s="232"/>
      <c r="CC552" s="232"/>
      <c r="CD552" s="232"/>
      <c r="CE552" s="232"/>
      <c r="CF552" s="232"/>
      <c r="CG552" s="232"/>
      <c r="CH552" s="232"/>
      <c r="CI552" s="232"/>
      <c r="CJ552" s="232"/>
      <c r="CK552" s="232"/>
      <c r="CL552" s="232"/>
      <c r="CM552" s="232"/>
      <c r="CN552" s="215"/>
      <c r="CO552" s="215"/>
      <c r="CP552" s="215"/>
      <c r="CQ552" s="215"/>
      <c r="CR552" s="215"/>
      <c r="CS552" s="215"/>
      <c r="CT552" s="215"/>
    </row>
    <row r="553" ht="24.0" customHeight="1">
      <c r="A553" s="287"/>
      <c r="B553" s="287"/>
      <c r="C553" s="287"/>
      <c r="D553" s="232"/>
      <c r="E553" s="232"/>
      <c r="F553" s="232"/>
      <c r="G553" s="232"/>
      <c r="H553" s="232"/>
      <c r="I553" s="232"/>
      <c r="J553" s="232"/>
      <c r="K553" s="232"/>
      <c r="L553" s="232"/>
      <c r="M553" s="232"/>
      <c r="N553" s="289"/>
      <c r="O553" s="232"/>
      <c r="P553" s="232"/>
      <c r="Q553" s="232"/>
      <c r="R553" s="232"/>
      <c r="S553" s="232"/>
      <c r="T553" s="232"/>
      <c r="U553" s="232"/>
      <c r="V553" s="232"/>
      <c r="W553" s="232"/>
      <c r="X553" s="232"/>
      <c r="Y553" s="232"/>
      <c r="Z553" s="232"/>
      <c r="AA553" s="232"/>
      <c r="AB553" s="232"/>
      <c r="AC553" s="232"/>
      <c r="AD553" s="232"/>
      <c r="AE553" s="232"/>
      <c r="AF553" s="232"/>
      <c r="AG553" s="232"/>
      <c r="AH553" s="232"/>
      <c r="AI553" s="232"/>
      <c r="AJ553" s="232"/>
      <c r="AK553" s="232"/>
      <c r="AL553" s="232"/>
      <c r="AM553" s="232"/>
      <c r="AN553" s="232"/>
      <c r="AO553" s="232"/>
      <c r="AP553" s="232"/>
      <c r="AQ553" s="232"/>
      <c r="AR553" s="232"/>
      <c r="AS553" s="232"/>
      <c r="AT553" s="232"/>
      <c r="AU553" s="232"/>
      <c r="AV553" s="232"/>
      <c r="AW553" s="232"/>
      <c r="AX553" s="232"/>
      <c r="AY553" s="232"/>
      <c r="AZ553" s="232"/>
      <c r="BA553" s="232"/>
      <c r="BB553" s="232"/>
      <c r="BC553" s="232"/>
      <c r="BD553" s="232"/>
      <c r="BE553" s="232"/>
      <c r="BF553" s="232"/>
      <c r="BG553" s="232"/>
      <c r="BH553" s="232"/>
      <c r="BI553" s="232"/>
      <c r="BJ553" s="232"/>
      <c r="BK553" s="232"/>
      <c r="BL553" s="232"/>
      <c r="BM553" s="232"/>
      <c r="BN553" s="232"/>
      <c r="BO553" s="232"/>
      <c r="BP553" s="232"/>
      <c r="BQ553" s="232"/>
      <c r="BR553" s="232"/>
      <c r="BS553" s="232"/>
      <c r="BT553" s="232"/>
      <c r="BU553" s="232"/>
      <c r="BV553" s="232"/>
      <c r="BW553" s="232"/>
      <c r="BX553" s="232"/>
      <c r="BY553" s="232"/>
      <c r="BZ553" s="232"/>
      <c r="CA553" s="232"/>
      <c r="CB553" s="232"/>
      <c r="CC553" s="232"/>
      <c r="CD553" s="232"/>
      <c r="CE553" s="232"/>
      <c r="CF553" s="232"/>
      <c r="CG553" s="232"/>
      <c r="CH553" s="232"/>
      <c r="CI553" s="232"/>
      <c r="CJ553" s="232"/>
      <c r="CK553" s="232"/>
      <c r="CL553" s="232"/>
      <c r="CM553" s="232"/>
      <c r="CN553" s="215"/>
      <c r="CO553" s="215"/>
      <c r="CP553" s="215"/>
      <c r="CQ553" s="215"/>
      <c r="CR553" s="215"/>
      <c r="CS553" s="215"/>
      <c r="CT553" s="215"/>
    </row>
    <row r="554" ht="24.0" customHeight="1">
      <c r="A554" s="287"/>
      <c r="B554" s="287"/>
      <c r="C554" s="287"/>
      <c r="D554" s="232"/>
      <c r="E554" s="232"/>
      <c r="F554" s="232"/>
      <c r="G554" s="232"/>
      <c r="H554" s="232"/>
      <c r="I554" s="232"/>
      <c r="J554" s="232"/>
      <c r="K554" s="232"/>
      <c r="L554" s="232"/>
      <c r="M554" s="232"/>
      <c r="N554" s="289"/>
      <c r="O554" s="232"/>
      <c r="P554" s="232"/>
      <c r="Q554" s="232"/>
      <c r="R554" s="232"/>
      <c r="S554" s="232"/>
      <c r="T554" s="232"/>
      <c r="U554" s="232"/>
      <c r="V554" s="232"/>
      <c r="W554" s="232"/>
      <c r="X554" s="232"/>
      <c r="Y554" s="232"/>
      <c r="Z554" s="232"/>
      <c r="AA554" s="232"/>
      <c r="AB554" s="232"/>
      <c r="AC554" s="232"/>
      <c r="AD554" s="232"/>
      <c r="AE554" s="232"/>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c r="BL554" s="232"/>
      <c r="BM554" s="232"/>
      <c r="BN554" s="232"/>
      <c r="BO554" s="232"/>
      <c r="BP554" s="232"/>
      <c r="BQ554" s="232"/>
      <c r="BR554" s="232"/>
      <c r="BS554" s="232"/>
      <c r="BT554" s="232"/>
      <c r="BU554" s="232"/>
      <c r="BV554" s="232"/>
      <c r="BW554" s="232"/>
      <c r="BX554" s="232"/>
      <c r="BY554" s="232"/>
      <c r="BZ554" s="232"/>
      <c r="CA554" s="232"/>
      <c r="CB554" s="232"/>
      <c r="CC554" s="232"/>
      <c r="CD554" s="232"/>
      <c r="CE554" s="232"/>
      <c r="CF554" s="232"/>
      <c r="CG554" s="232"/>
      <c r="CH554" s="232"/>
      <c r="CI554" s="232"/>
      <c r="CJ554" s="232"/>
      <c r="CK554" s="232"/>
      <c r="CL554" s="232"/>
      <c r="CM554" s="232"/>
      <c r="CN554" s="215"/>
      <c r="CO554" s="215"/>
      <c r="CP554" s="215"/>
      <c r="CQ554" s="215"/>
      <c r="CR554" s="215"/>
      <c r="CS554" s="215"/>
      <c r="CT554" s="215"/>
    </row>
    <row r="555" ht="24.0" customHeight="1">
      <c r="A555" s="287"/>
      <c r="B555" s="287"/>
      <c r="C555" s="287"/>
      <c r="D555" s="232"/>
      <c r="E555" s="232"/>
      <c r="F555" s="232"/>
      <c r="G555" s="232"/>
      <c r="H555" s="232"/>
      <c r="I555" s="232"/>
      <c r="J555" s="232"/>
      <c r="K555" s="232"/>
      <c r="L555" s="232"/>
      <c r="M555" s="232"/>
      <c r="N555" s="289"/>
      <c r="O555" s="232"/>
      <c r="P555" s="232"/>
      <c r="Q555" s="232"/>
      <c r="R555" s="232"/>
      <c r="S555" s="232"/>
      <c r="T555" s="232"/>
      <c r="U555" s="232"/>
      <c r="V555" s="232"/>
      <c r="W555" s="232"/>
      <c r="X555" s="232"/>
      <c r="Y555" s="232"/>
      <c r="Z555" s="232"/>
      <c r="AA555" s="232"/>
      <c r="AB555" s="232"/>
      <c r="AC555" s="232"/>
      <c r="AD555" s="232"/>
      <c r="AE555" s="232"/>
      <c r="AF555" s="232"/>
      <c r="AG555" s="232"/>
      <c r="AH555" s="232"/>
      <c r="AI555" s="232"/>
      <c r="AJ555" s="232"/>
      <c r="AK555" s="232"/>
      <c r="AL555" s="232"/>
      <c r="AM555" s="232"/>
      <c r="AN555" s="232"/>
      <c r="AO555" s="232"/>
      <c r="AP555" s="232"/>
      <c r="AQ555" s="232"/>
      <c r="AR555" s="232"/>
      <c r="AS555" s="232"/>
      <c r="AT555" s="232"/>
      <c r="AU555" s="232"/>
      <c r="AV555" s="232"/>
      <c r="AW555" s="232"/>
      <c r="AX555" s="232"/>
      <c r="AY555" s="232"/>
      <c r="AZ555" s="232"/>
      <c r="BA555" s="232"/>
      <c r="BB555" s="232"/>
      <c r="BC555" s="232"/>
      <c r="BD555" s="232"/>
      <c r="BE555" s="232"/>
      <c r="BF555" s="232"/>
      <c r="BG555" s="232"/>
      <c r="BH555" s="232"/>
      <c r="BI555" s="232"/>
      <c r="BJ555" s="232"/>
      <c r="BK555" s="232"/>
      <c r="BL555" s="232"/>
      <c r="BM555" s="232"/>
      <c r="BN555" s="232"/>
      <c r="BO555" s="232"/>
      <c r="BP555" s="232"/>
      <c r="BQ555" s="232"/>
      <c r="BR555" s="232"/>
      <c r="BS555" s="232"/>
      <c r="BT555" s="232"/>
      <c r="BU555" s="232"/>
      <c r="BV555" s="232"/>
      <c r="BW555" s="232"/>
      <c r="BX555" s="232"/>
      <c r="BY555" s="232"/>
      <c r="BZ555" s="232"/>
      <c r="CA555" s="232"/>
      <c r="CB555" s="232"/>
      <c r="CC555" s="232"/>
      <c r="CD555" s="232"/>
      <c r="CE555" s="232"/>
      <c r="CF555" s="232"/>
      <c r="CG555" s="232"/>
      <c r="CH555" s="232"/>
      <c r="CI555" s="232"/>
      <c r="CJ555" s="232"/>
      <c r="CK555" s="232"/>
      <c r="CL555" s="232"/>
      <c r="CM555" s="232"/>
      <c r="CN555" s="215"/>
      <c r="CO555" s="215"/>
      <c r="CP555" s="215"/>
      <c r="CQ555" s="215"/>
      <c r="CR555" s="215"/>
      <c r="CS555" s="215"/>
      <c r="CT555" s="215"/>
    </row>
    <row r="556" ht="24.0" customHeight="1">
      <c r="A556" s="287"/>
      <c r="B556" s="287"/>
      <c r="C556" s="287"/>
      <c r="D556" s="232"/>
      <c r="E556" s="232"/>
      <c r="F556" s="232"/>
      <c r="G556" s="232"/>
      <c r="H556" s="232"/>
      <c r="I556" s="232"/>
      <c r="J556" s="232"/>
      <c r="K556" s="232"/>
      <c r="L556" s="232"/>
      <c r="M556" s="232"/>
      <c r="N556" s="289"/>
      <c r="O556" s="232"/>
      <c r="P556" s="232"/>
      <c r="Q556" s="232"/>
      <c r="R556" s="232"/>
      <c r="S556" s="232"/>
      <c r="T556" s="232"/>
      <c r="U556" s="232"/>
      <c r="V556" s="232"/>
      <c r="W556" s="232"/>
      <c r="X556" s="232"/>
      <c r="Y556" s="232"/>
      <c r="Z556" s="232"/>
      <c r="AA556" s="232"/>
      <c r="AB556" s="232"/>
      <c r="AC556" s="232"/>
      <c r="AD556" s="232"/>
      <c r="AE556" s="232"/>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c r="BL556" s="232"/>
      <c r="BM556" s="232"/>
      <c r="BN556" s="232"/>
      <c r="BO556" s="232"/>
      <c r="BP556" s="232"/>
      <c r="BQ556" s="232"/>
      <c r="BR556" s="232"/>
      <c r="BS556" s="232"/>
      <c r="BT556" s="232"/>
      <c r="BU556" s="232"/>
      <c r="BV556" s="232"/>
      <c r="BW556" s="232"/>
      <c r="BX556" s="232"/>
      <c r="BY556" s="232"/>
      <c r="BZ556" s="232"/>
      <c r="CA556" s="232"/>
      <c r="CB556" s="232"/>
      <c r="CC556" s="232"/>
      <c r="CD556" s="232"/>
      <c r="CE556" s="232"/>
      <c r="CF556" s="232"/>
      <c r="CG556" s="232"/>
      <c r="CH556" s="232"/>
      <c r="CI556" s="232"/>
      <c r="CJ556" s="232"/>
      <c r="CK556" s="232"/>
      <c r="CL556" s="232"/>
      <c r="CM556" s="232"/>
      <c r="CN556" s="215"/>
      <c r="CO556" s="215"/>
      <c r="CP556" s="215"/>
      <c r="CQ556" s="215"/>
      <c r="CR556" s="215"/>
      <c r="CS556" s="215"/>
      <c r="CT556" s="215"/>
    </row>
    <row r="557" ht="24.0" customHeight="1">
      <c r="A557" s="287"/>
      <c r="B557" s="287"/>
      <c r="C557" s="287"/>
      <c r="D557" s="232"/>
      <c r="E557" s="232"/>
      <c r="F557" s="232"/>
      <c r="G557" s="232"/>
      <c r="H557" s="232"/>
      <c r="I557" s="232"/>
      <c r="J557" s="232"/>
      <c r="K557" s="232"/>
      <c r="L557" s="232"/>
      <c r="M557" s="232"/>
      <c r="N557" s="289"/>
      <c r="O557" s="232"/>
      <c r="P557" s="232"/>
      <c r="Q557" s="232"/>
      <c r="R557" s="232"/>
      <c r="S557" s="232"/>
      <c r="T557" s="232"/>
      <c r="U557" s="232"/>
      <c r="V557" s="232"/>
      <c r="W557" s="232"/>
      <c r="X557" s="232"/>
      <c r="Y557" s="232"/>
      <c r="Z557" s="232"/>
      <c r="AA557" s="232"/>
      <c r="AB557" s="232"/>
      <c r="AC557" s="232"/>
      <c r="AD557" s="232"/>
      <c r="AE557" s="232"/>
      <c r="AF557" s="232"/>
      <c r="AG557" s="232"/>
      <c r="AH557" s="232"/>
      <c r="AI557" s="232"/>
      <c r="AJ557" s="232"/>
      <c r="AK557" s="232"/>
      <c r="AL557" s="232"/>
      <c r="AM557" s="232"/>
      <c r="AN557" s="232"/>
      <c r="AO557" s="232"/>
      <c r="AP557" s="232"/>
      <c r="AQ557" s="232"/>
      <c r="AR557" s="232"/>
      <c r="AS557" s="232"/>
      <c r="AT557" s="232"/>
      <c r="AU557" s="232"/>
      <c r="AV557" s="232"/>
      <c r="AW557" s="232"/>
      <c r="AX557" s="232"/>
      <c r="AY557" s="232"/>
      <c r="AZ557" s="232"/>
      <c r="BA557" s="232"/>
      <c r="BB557" s="232"/>
      <c r="BC557" s="232"/>
      <c r="BD557" s="232"/>
      <c r="BE557" s="232"/>
      <c r="BF557" s="232"/>
      <c r="BG557" s="232"/>
      <c r="BH557" s="232"/>
      <c r="BI557" s="232"/>
      <c r="BJ557" s="232"/>
      <c r="BK557" s="232"/>
      <c r="BL557" s="232"/>
      <c r="BM557" s="232"/>
      <c r="BN557" s="232"/>
      <c r="BO557" s="232"/>
      <c r="BP557" s="232"/>
      <c r="BQ557" s="232"/>
      <c r="BR557" s="232"/>
      <c r="BS557" s="232"/>
      <c r="BT557" s="232"/>
      <c r="BU557" s="232"/>
      <c r="BV557" s="232"/>
      <c r="BW557" s="232"/>
      <c r="BX557" s="232"/>
      <c r="BY557" s="232"/>
      <c r="BZ557" s="232"/>
      <c r="CA557" s="232"/>
      <c r="CB557" s="232"/>
      <c r="CC557" s="232"/>
      <c r="CD557" s="232"/>
      <c r="CE557" s="232"/>
      <c r="CF557" s="232"/>
      <c r="CG557" s="232"/>
      <c r="CH557" s="232"/>
      <c r="CI557" s="232"/>
      <c r="CJ557" s="232"/>
      <c r="CK557" s="232"/>
      <c r="CL557" s="232"/>
      <c r="CM557" s="232"/>
      <c r="CN557" s="215"/>
      <c r="CO557" s="215"/>
      <c r="CP557" s="215"/>
      <c r="CQ557" s="215"/>
      <c r="CR557" s="215"/>
      <c r="CS557" s="215"/>
      <c r="CT557" s="215"/>
    </row>
    <row r="558" ht="24.0" customHeight="1">
      <c r="A558" s="287"/>
      <c r="B558" s="287"/>
      <c r="C558" s="287"/>
      <c r="D558" s="232"/>
      <c r="E558" s="232"/>
      <c r="F558" s="232"/>
      <c r="G558" s="232"/>
      <c r="H558" s="232"/>
      <c r="I558" s="232"/>
      <c r="J558" s="232"/>
      <c r="K558" s="232"/>
      <c r="L558" s="232"/>
      <c r="M558" s="232"/>
      <c r="N558" s="289"/>
      <c r="O558" s="232"/>
      <c r="P558" s="232"/>
      <c r="Q558" s="232"/>
      <c r="R558" s="232"/>
      <c r="S558" s="232"/>
      <c r="T558" s="232"/>
      <c r="U558" s="232"/>
      <c r="V558" s="232"/>
      <c r="W558" s="232"/>
      <c r="X558" s="232"/>
      <c r="Y558" s="232"/>
      <c r="Z558" s="232"/>
      <c r="AA558" s="232"/>
      <c r="AB558" s="232"/>
      <c r="AC558" s="232"/>
      <c r="AD558" s="232"/>
      <c r="AE558" s="232"/>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c r="BL558" s="232"/>
      <c r="BM558" s="232"/>
      <c r="BN558" s="232"/>
      <c r="BO558" s="232"/>
      <c r="BP558" s="232"/>
      <c r="BQ558" s="232"/>
      <c r="BR558" s="232"/>
      <c r="BS558" s="232"/>
      <c r="BT558" s="232"/>
      <c r="BU558" s="232"/>
      <c r="BV558" s="232"/>
      <c r="BW558" s="232"/>
      <c r="BX558" s="232"/>
      <c r="BY558" s="232"/>
      <c r="BZ558" s="232"/>
      <c r="CA558" s="232"/>
      <c r="CB558" s="232"/>
      <c r="CC558" s="232"/>
      <c r="CD558" s="232"/>
      <c r="CE558" s="232"/>
      <c r="CF558" s="232"/>
      <c r="CG558" s="232"/>
      <c r="CH558" s="232"/>
      <c r="CI558" s="232"/>
      <c r="CJ558" s="232"/>
      <c r="CK558" s="232"/>
      <c r="CL558" s="232"/>
      <c r="CM558" s="232"/>
      <c r="CN558" s="215"/>
      <c r="CO558" s="215"/>
      <c r="CP558" s="215"/>
      <c r="CQ558" s="215"/>
      <c r="CR558" s="215"/>
      <c r="CS558" s="215"/>
      <c r="CT558" s="215"/>
    </row>
    <row r="559" ht="24.0" customHeight="1">
      <c r="A559" s="287"/>
      <c r="B559" s="287"/>
      <c r="C559" s="287"/>
      <c r="D559" s="232"/>
      <c r="E559" s="232"/>
      <c r="F559" s="232"/>
      <c r="G559" s="232"/>
      <c r="H559" s="232"/>
      <c r="I559" s="232"/>
      <c r="J559" s="232"/>
      <c r="K559" s="232"/>
      <c r="L559" s="232"/>
      <c r="M559" s="232"/>
      <c r="N559" s="289"/>
      <c r="O559" s="232"/>
      <c r="P559" s="232"/>
      <c r="Q559" s="232"/>
      <c r="R559" s="232"/>
      <c r="S559" s="232"/>
      <c r="T559" s="232"/>
      <c r="U559" s="232"/>
      <c r="V559" s="232"/>
      <c r="W559" s="232"/>
      <c r="X559" s="232"/>
      <c r="Y559" s="232"/>
      <c r="Z559" s="232"/>
      <c r="AA559" s="232"/>
      <c r="AB559" s="232"/>
      <c r="AC559" s="232"/>
      <c r="AD559" s="232"/>
      <c r="AE559" s="232"/>
      <c r="AF559" s="232"/>
      <c r="AG559" s="232"/>
      <c r="AH559" s="232"/>
      <c r="AI559" s="232"/>
      <c r="AJ559" s="232"/>
      <c r="AK559" s="232"/>
      <c r="AL559" s="232"/>
      <c r="AM559" s="232"/>
      <c r="AN559" s="232"/>
      <c r="AO559" s="232"/>
      <c r="AP559" s="232"/>
      <c r="AQ559" s="232"/>
      <c r="AR559" s="232"/>
      <c r="AS559" s="232"/>
      <c r="AT559" s="232"/>
      <c r="AU559" s="232"/>
      <c r="AV559" s="232"/>
      <c r="AW559" s="232"/>
      <c r="AX559" s="232"/>
      <c r="AY559" s="232"/>
      <c r="AZ559" s="232"/>
      <c r="BA559" s="232"/>
      <c r="BB559" s="232"/>
      <c r="BC559" s="232"/>
      <c r="BD559" s="232"/>
      <c r="BE559" s="232"/>
      <c r="BF559" s="232"/>
      <c r="BG559" s="232"/>
      <c r="BH559" s="232"/>
      <c r="BI559" s="232"/>
      <c r="BJ559" s="232"/>
      <c r="BK559" s="232"/>
      <c r="BL559" s="232"/>
      <c r="BM559" s="232"/>
      <c r="BN559" s="232"/>
      <c r="BO559" s="232"/>
      <c r="BP559" s="232"/>
      <c r="BQ559" s="232"/>
      <c r="BR559" s="232"/>
      <c r="BS559" s="232"/>
      <c r="BT559" s="232"/>
      <c r="BU559" s="232"/>
      <c r="BV559" s="232"/>
      <c r="BW559" s="232"/>
      <c r="BX559" s="232"/>
      <c r="BY559" s="232"/>
      <c r="BZ559" s="232"/>
      <c r="CA559" s="232"/>
      <c r="CB559" s="232"/>
      <c r="CC559" s="232"/>
      <c r="CD559" s="232"/>
      <c r="CE559" s="232"/>
      <c r="CF559" s="232"/>
      <c r="CG559" s="232"/>
      <c r="CH559" s="232"/>
      <c r="CI559" s="232"/>
      <c r="CJ559" s="232"/>
      <c r="CK559" s="232"/>
      <c r="CL559" s="232"/>
      <c r="CM559" s="232"/>
      <c r="CN559" s="215"/>
      <c r="CO559" s="215"/>
      <c r="CP559" s="215"/>
      <c r="CQ559" s="215"/>
      <c r="CR559" s="215"/>
      <c r="CS559" s="215"/>
      <c r="CT559" s="215"/>
    </row>
    <row r="560" ht="24.0" customHeight="1">
      <c r="A560" s="287"/>
      <c r="B560" s="287"/>
      <c r="C560" s="287"/>
      <c r="D560" s="232"/>
      <c r="E560" s="232"/>
      <c r="F560" s="232"/>
      <c r="G560" s="232"/>
      <c r="H560" s="232"/>
      <c r="I560" s="232"/>
      <c r="J560" s="232"/>
      <c r="K560" s="232"/>
      <c r="L560" s="232"/>
      <c r="M560" s="232"/>
      <c r="N560" s="289"/>
      <c r="O560" s="232"/>
      <c r="P560" s="232"/>
      <c r="Q560" s="232"/>
      <c r="R560" s="232"/>
      <c r="S560" s="232"/>
      <c r="T560" s="232"/>
      <c r="U560" s="232"/>
      <c r="V560" s="232"/>
      <c r="W560" s="232"/>
      <c r="X560" s="232"/>
      <c r="Y560" s="232"/>
      <c r="Z560" s="232"/>
      <c r="AA560" s="232"/>
      <c r="AB560" s="232"/>
      <c r="AC560" s="232"/>
      <c r="AD560" s="232"/>
      <c r="AE560" s="232"/>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c r="BL560" s="232"/>
      <c r="BM560" s="232"/>
      <c r="BN560" s="232"/>
      <c r="BO560" s="232"/>
      <c r="BP560" s="232"/>
      <c r="BQ560" s="232"/>
      <c r="BR560" s="232"/>
      <c r="BS560" s="232"/>
      <c r="BT560" s="232"/>
      <c r="BU560" s="232"/>
      <c r="BV560" s="232"/>
      <c r="BW560" s="232"/>
      <c r="BX560" s="232"/>
      <c r="BY560" s="232"/>
      <c r="BZ560" s="232"/>
      <c r="CA560" s="232"/>
      <c r="CB560" s="232"/>
      <c r="CC560" s="232"/>
      <c r="CD560" s="232"/>
      <c r="CE560" s="232"/>
      <c r="CF560" s="232"/>
      <c r="CG560" s="232"/>
      <c r="CH560" s="232"/>
      <c r="CI560" s="232"/>
      <c r="CJ560" s="232"/>
      <c r="CK560" s="232"/>
      <c r="CL560" s="232"/>
      <c r="CM560" s="232"/>
      <c r="CN560" s="215"/>
      <c r="CO560" s="215"/>
      <c r="CP560" s="215"/>
      <c r="CQ560" s="215"/>
      <c r="CR560" s="215"/>
      <c r="CS560" s="215"/>
      <c r="CT560" s="215"/>
    </row>
    <row r="561" ht="24.0" customHeight="1">
      <c r="A561" s="287"/>
      <c r="B561" s="287"/>
      <c r="C561" s="287"/>
      <c r="D561" s="232"/>
      <c r="E561" s="232"/>
      <c r="F561" s="232"/>
      <c r="G561" s="232"/>
      <c r="H561" s="232"/>
      <c r="I561" s="232"/>
      <c r="J561" s="232"/>
      <c r="K561" s="232"/>
      <c r="L561" s="232"/>
      <c r="M561" s="232"/>
      <c r="N561" s="289"/>
      <c r="O561" s="232"/>
      <c r="P561" s="232"/>
      <c r="Q561" s="232"/>
      <c r="R561" s="232"/>
      <c r="S561" s="232"/>
      <c r="T561" s="232"/>
      <c r="U561" s="232"/>
      <c r="V561" s="232"/>
      <c r="W561" s="232"/>
      <c r="X561" s="232"/>
      <c r="Y561" s="232"/>
      <c r="Z561" s="232"/>
      <c r="AA561" s="232"/>
      <c r="AB561" s="232"/>
      <c r="AC561" s="232"/>
      <c r="AD561" s="232"/>
      <c r="AE561" s="232"/>
      <c r="AF561" s="232"/>
      <c r="AG561" s="232"/>
      <c r="AH561" s="232"/>
      <c r="AI561" s="232"/>
      <c r="AJ561" s="232"/>
      <c r="AK561" s="232"/>
      <c r="AL561" s="232"/>
      <c r="AM561" s="232"/>
      <c r="AN561" s="232"/>
      <c r="AO561" s="232"/>
      <c r="AP561" s="232"/>
      <c r="AQ561" s="232"/>
      <c r="AR561" s="232"/>
      <c r="AS561" s="232"/>
      <c r="AT561" s="232"/>
      <c r="AU561" s="232"/>
      <c r="AV561" s="232"/>
      <c r="AW561" s="232"/>
      <c r="AX561" s="232"/>
      <c r="AY561" s="232"/>
      <c r="AZ561" s="232"/>
      <c r="BA561" s="232"/>
      <c r="BB561" s="232"/>
      <c r="BC561" s="232"/>
      <c r="BD561" s="232"/>
      <c r="BE561" s="232"/>
      <c r="BF561" s="232"/>
      <c r="BG561" s="232"/>
      <c r="BH561" s="232"/>
      <c r="BI561" s="232"/>
      <c r="BJ561" s="232"/>
      <c r="BK561" s="232"/>
      <c r="BL561" s="232"/>
      <c r="BM561" s="232"/>
      <c r="BN561" s="232"/>
      <c r="BO561" s="232"/>
      <c r="BP561" s="232"/>
      <c r="BQ561" s="232"/>
      <c r="BR561" s="232"/>
      <c r="BS561" s="232"/>
      <c r="BT561" s="232"/>
      <c r="BU561" s="232"/>
      <c r="BV561" s="232"/>
      <c r="BW561" s="232"/>
      <c r="BX561" s="232"/>
      <c r="BY561" s="232"/>
      <c r="BZ561" s="232"/>
      <c r="CA561" s="232"/>
      <c r="CB561" s="232"/>
      <c r="CC561" s="232"/>
      <c r="CD561" s="232"/>
      <c r="CE561" s="232"/>
      <c r="CF561" s="232"/>
      <c r="CG561" s="232"/>
      <c r="CH561" s="232"/>
      <c r="CI561" s="232"/>
      <c r="CJ561" s="232"/>
      <c r="CK561" s="232"/>
      <c r="CL561" s="232"/>
      <c r="CM561" s="232"/>
      <c r="CN561" s="215"/>
      <c r="CO561" s="215"/>
      <c r="CP561" s="215"/>
      <c r="CQ561" s="215"/>
      <c r="CR561" s="215"/>
      <c r="CS561" s="215"/>
      <c r="CT561" s="215"/>
    </row>
    <row r="562" ht="24.0" customHeight="1">
      <c r="A562" s="287"/>
      <c r="B562" s="287"/>
      <c r="C562" s="287"/>
      <c r="D562" s="232"/>
      <c r="E562" s="232"/>
      <c r="F562" s="232"/>
      <c r="G562" s="232"/>
      <c r="H562" s="232"/>
      <c r="I562" s="232"/>
      <c r="J562" s="232"/>
      <c r="K562" s="232"/>
      <c r="L562" s="232"/>
      <c r="M562" s="232"/>
      <c r="N562" s="289"/>
      <c r="O562" s="232"/>
      <c r="P562" s="232"/>
      <c r="Q562" s="232"/>
      <c r="R562" s="232"/>
      <c r="S562" s="232"/>
      <c r="T562" s="232"/>
      <c r="U562" s="232"/>
      <c r="V562" s="232"/>
      <c r="W562" s="232"/>
      <c r="X562" s="232"/>
      <c r="Y562" s="232"/>
      <c r="Z562" s="232"/>
      <c r="AA562" s="232"/>
      <c r="AB562" s="232"/>
      <c r="AC562" s="232"/>
      <c r="AD562" s="232"/>
      <c r="AE562" s="232"/>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c r="BL562" s="232"/>
      <c r="BM562" s="232"/>
      <c r="BN562" s="232"/>
      <c r="BO562" s="232"/>
      <c r="BP562" s="232"/>
      <c r="BQ562" s="232"/>
      <c r="BR562" s="232"/>
      <c r="BS562" s="232"/>
      <c r="BT562" s="232"/>
      <c r="BU562" s="232"/>
      <c r="BV562" s="232"/>
      <c r="BW562" s="232"/>
      <c r="BX562" s="232"/>
      <c r="BY562" s="232"/>
      <c r="BZ562" s="232"/>
      <c r="CA562" s="232"/>
      <c r="CB562" s="232"/>
      <c r="CC562" s="232"/>
      <c r="CD562" s="232"/>
      <c r="CE562" s="232"/>
      <c r="CF562" s="232"/>
      <c r="CG562" s="232"/>
      <c r="CH562" s="232"/>
      <c r="CI562" s="232"/>
      <c r="CJ562" s="232"/>
      <c r="CK562" s="232"/>
      <c r="CL562" s="232"/>
      <c r="CM562" s="232"/>
      <c r="CN562" s="215"/>
      <c r="CO562" s="215"/>
      <c r="CP562" s="215"/>
      <c r="CQ562" s="215"/>
      <c r="CR562" s="215"/>
      <c r="CS562" s="215"/>
      <c r="CT562" s="215"/>
    </row>
    <row r="563" ht="24.0" customHeight="1">
      <c r="A563" s="287"/>
      <c r="B563" s="287"/>
      <c r="C563" s="287"/>
      <c r="D563" s="232"/>
      <c r="E563" s="232"/>
      <c r="F563" s="232"/>
      <c r="G563" s="232"/>
      <c r="H563" s="232"/>
      <c r="I563" s="232"/>
      <c r="J563" s="232"/>
      <c r="K563" s="232"/>
      <c r="L563" s="232"/>
      <c r="M563" s="232"/>
      <c r="N563" s="289"/>
      <c r="O563" s="232"/>
      <c r="P563" s="232"/>
      <c r="Q563" s="232"/>
      <c r="R563" s="232"/>
      <c r="S563" s="232"/>
      <c r="T563" s="232"/>
      <c r="U563" s="232"/>
      <c r="V563" s="232"/>
      <c r="W563" s="232"/>
      <c r="X563" s="232"/>
      <c r="Y563" s="232"/>
      <c r="Z563" s="232"/>
      <c r="AA563" s="232"/>
      <c r="AB563" s="232"/>
      <c r="AC563" s="232"/>
      <c r="AD563" s="232"/>
      <c r="AE563" s="232"/>
      <c r="AF563" s="232"/>
      <c r="AG563" s="232"/>
      <c r="AH563" s="232"/>
      <c r="AI563" s="232"/>
      <c r="AJ563" s="232"/>
      <c r="AK563" s="232"/>
      <c r="AL563" s="232"/>
      <c r="AM563" s="232"/>
      <c r="AN563" s="232"/>
      <c r="AO563" s="232"/>
      <c r="AP563" s="232"/>
      <c r="AQ563" s="232"/>
      <c r="AR563" s="232"/>
      <c r="AS563" s="232"/>
      <c r="AT563" s="232"/>
      <c r="AU563" s="232"/>
      <c r="AV563" s="232"/>
      <c r="AW563" s="232"/>
      <c r="AX563" s="232"/>
      <c r="AY563" s="232"/>
      <c r="AZ563" s="232"/>
      <c r="BA563" s="232"/>
      <c r="BB563" s="232"/>
      <c r="BC563" s="232"/>
      <c r="BD563" s="232"/>
      <c r="BE563" s="232"/>
      <c r="BF563" s="232"/>
      <c r="BG563" s="232"/>
      <c r="BH563" s="232"/>
      <c r="BI563" s="232"/>
      <c r="BJ563" s="232"/>
      <c r="BK563" s="232"/>
      <c r="BL563" s="232"/>
      <c r="BM563" s="232"/>
      <c r="BN563" s="232"/>
      <c r="BO563" s="232"/>
      <c r="BP563" s="232"/>
      <c r="BQ563" s="232"/>
      <c r="BR563" s="232"/>
      <c r="BS563" s="232"/>
      <c r="BT563" s="232"/>
      <c r="BU563" s="232"/>
      <c r="BV563" s="232"/>
      <c r="BW563" s="232"/>
      <c r="BX563" s="232"/>
      <c r="BY563" s="232"/>
      <c r="BZ563" s="232"/>
      <c r="CA563" s="232"/>
      <c r="CB563" s="232"/>
      <c r="CC563" s="232"/>
      <c r="CD563" s="232"/>
      <c r="CE563" s="232"/>
      <c r="CF563" s="232"/>
      <c r="CG563" s="232"/>
      <c r="CH563" s="232"/>
      <c r="CI563" s="232"/>
      <c r="CJ563" s="232"/>
      <c r="CK563" s="232"/>
      <c r="CL563" s="232"/>
      <c r="CM563" s="232"/>
      <c r="CN563" s="215"/>
      <c r="CO563" s="215"/>
      <c r="CP563" s="215"/>
      <c r="CQ563" s="215"/>
      <c r="CR563" s="215"/>
      <c r="CS563" s="215"/>
      <c r="CT563" s="215"/>
    </row>
    <row r="564" ht="24.0" customHeight="1">
      <c r="A564" s="287"/>
      <c r="B564" s="287"/>
      <c r="C564" s="287"/>
      <c r="D564" s="232"/>
      <c r="E564" s="232"/>
      <c r="F564" s="232"/>
      <c r="G564" s="232"/>
      <c r="H564" s="232"/>
      <c r="I564" s="232"/>
      <c r="J564" s="232"/>
      <c r="K564" s="232"/>
      <c r="L564" s="232"/>
      <c r="M564" s="232"/>
      <c r="N564" s="289"/>
      <c r="O564" s="232"/>
      <c r="P564" s="232"/>
      <c r="Q564" s="232"/>
      <c r="R564" s="232"/>
      <c r="S564" s="232"/>
      <c r="T564" s="232"/>
      <c r="U564" s="232"/>
      <c r="V564" s="232"/>
      <c r="W564" s="232"/>
      <c r="X564" s="232"/>
      <c r="Y564" s="232"/>
      <c r="Z564" s="232"/>
      <c r="AA564" s="232"/>
      <c r="AB564" s="232"/>
      <c r="AC564" s="232"/>
      <c r="AD564" s="232"/>
      <c r="AE564" s="232"/>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c r="BL564" s="232"/>
      <c r="BM564" s="232"/>
      <c r="BN564" s="232"/>
      <c r="BO564" s="232"/>
      <c r="BP564" s="232"/>
      <c r="BQ564" s="232"/>
      <c r="BR564" s="232"/>
      <c r="BS564" s="232"/>
      <c r="BT564" s="232"/>
      <c r="BU564" s="232"/>
      <c r="BV564" s="232"/>
      <c r="BW564" s="232"/>
      <c r="BX564" s="232"/>
      <c r="BY564" s="232"/>
      <c r="BZ564" s="232"/>
      <c r="CA564" s="232"/>
      <c r="CB564" s="232"/>
      <c r="CC564" s="232"/>
      <c r="CD564" s="232"/>
      <c r="CE564" s="232"/>
      <c r="CF564" s="232"/>
      <c r="CG564" s="232"/>
      <c r="CH564" s="232"/>
      <c r="CI564" s="232"/>
      <c r="CJ564" s="232"/>
      <c r="CK564" s="232"/>
      <c r="CL564" s="232"/>
      <c r="CM564" s="232"/>
      <c r="CN564" s="215"/>
      <c r="CO564" s="215"/>
      <c r="CP564" s="215"/>
      <c r="CQ564" s="215"/>
      <c r="CR564" s="215"/>
      <c r="CS564" s="215"/>
      <c r="CT564" s="215"/>
    </row>
    <row r="565" ht="24.0" customHeight="1">
      <c r="A565" s="287"/>
      <c r="B565" s="287"/>
      <c r="C565" s="287"/>
      <c r="D565" s="232"/>
      <c r="E565" s="232"/>
      <c r="F565" s="232"/>
      <c r="G565" s="232"/>
      <c r="H565" s="232"/>
      <c r="I565" s="232"/>
      <c r="J565" s="232"/>
      <c r="K565" s="232"/>
      <c r="L565" s="232"/>
      <c r="M565" s="232"/>
      <c r="N565" s="289"/>
      <c r="O565" s="232"/>
      <c r="P565" s="232"/>
      <c r="Q565" s="232"/>
      <c r="R565" s="232"/>
      <c r="S565" s="232"/>
      <c r="T565" s="232"/>
      <c r="U565" s="232"/>
      <c r="V565" s="232"/>
      <c r="W565" s="232"/>
      <c r="X565" s="232"/>
      <c r="Y565" s="232"/>
      <c r="Z565" s="232"/>
      <c r="AA565" s="232"/>
      <c r="AB565" s="232"/>
      <c r="AC565" s="232"/>
      <c r="AD565" s="232"/>
      <c r="AE565" s="232"/>
      <c r="AF565" s="232"/>
      <c r="AG565" s="232"/>
      <c r="AH565" s="232"/>
      <c r="AI565" s="232"/>
      <c r="AJ565" s="232"/>
      <c r="AK565" s="232"/>
      <c r="AL565" s="232"/>
      <c r="AM565" s="232"/>
      <c r="AN565" s="232"/>
      <c r="AO565" s="232"/>
      <c r="AP565" s="232"/>
      <c r="AQ565" s="232"/>
      <c r="AR565" s="232"/>
      <c r="AS565" s="232"/>
      <c r="AT565" s="232"/>
      <c r="AU565" s="232"/>
      <c r="AV565" s="232"/>
      <c r="AW565" s="232"/>
      <c r="AX565" s="232"/>
      <c r="AY565" s="232"/>
      <c r="AZ565" s="232"/>
      <c r="BA565" s="232"/>
      <c r="BB565" s="232"/>
      <c r="BC565" s="232"/>
      <c r="BD565" s="232"/>
      <c r="BE565" s="232"/>
      <c r="BF565" s="232"/>
      <c r="BG565" s="232"/>
      <c r="BH565" s="232"/>
      <c r="BI565" s="232"/>
      <c r="BJ565" s="232"/>
      <c r="BK565" s="232"/>
      <c r="BL565" s="232"/>
      <c r="BM565" s="232"/>
      <c r="BN565" s="232"/>
      <c r="BO565" s="232"/>
      <c r="BP565" s="232"/>
      <c r="BQ565" s="232"/>
      <c r="BR565" s="232"/>
      <c r="BS565" s="232"/>
      <c r="BT565" s="232"/>
      <c r="BU565" s="232"/>
      <c r="BV565" s="232"/>
      <c r="BW565" s="232"/>
      <c r="BX565" s="232"/>
      <c r="BY565" s="232"/>
      <c r="BZ565" s="232"/>
      <c r="CA565" s="232"/>
      <c r="CB565" s="232"/>
      <c r="CC565" s="232"/>
      <c r="CD565" s="232"/>
      <c r="CE565" s="232"/>
      <c r="CF565" s="232"/>
      <c r="CG565" s="232"/>
      <c r="CH565" s="232"/>
      <c r="CI565" s="232"/>
      <c r="CJ565" s="232"/>
      <c r="CK565" s="232"/>
      <c r="CL565" s="232"/>
      <c r="CM565" s="232"/>
      <c r="CN565" s="215"/>
      <c r="CO565" s="215"/>
      <c r="CP565" s="215"/>
      <c r="CQ565" s="215"/>
      <c r="CR565" s="215"/>
      <c r="CS565" s="215"/>
      <c r="CT565" s="215"/>
    </row>
    <row r="566" ht="24.0" customHeight="1">
      <c r="A566" s="287"/>
      <c r="B566" s="287"/>
      <c r="C566" s="287"/>
      <c r="D566" s="232"/>
      <c r="E566" s="232"/>
      <c r="F566" s="232"/>
      <c r="G566" s="232"/>
      <c r="H566" s="232"/>
      <c r="I566" s="232"/>
      <c r="J566" s="232"/>
      <c r="K566" s="232"/>
      <c r="L566" s="232"/>
      <c r="M566" s="232"/>
      <c r="N566" s="289"/>
      <c r="O566" s="232"/>
      <c r="P566" s="232"/>
      <c r="Q566" s="232"/>
      <c r="R566" s="232"/>
      <c r="S566" s="232"/>
      <c r="T566" s="232"/>
      <c r="U566" s="232"/>
      <c r="V566" s="232"/>
      <c r="W566" s="232"/>
      <c r="X566" s="232"/>
      <c r="Y566" s="232"/>
      <c r="Z566" s="232"/>
      <c r="AA566" s="232"/>
      <c r="AB566" s="232"/>
      <c r="AC566" s="232"/>
      <c r="AD566" s="232"/>
      <c r="AE566" s="232"/>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c r="BL566" s="232"/>
      <c r="BM566" s="232"/>
      <c r="BN566" s="232"/>
      <c r="BO566" s="232"/>
      <c r="BP566" s="232"/>
      <c r="BQ566" s="232"/>
      <c r="BR566" s="232"/>
      <c r="BS566" s="232"/>
      <c r="BT566" s="232"/>
      <c r="BU566" s="232"/>
      <c r="BV566" s="232"/>
      <c r="BW566" s="232"/>
      <c r="BX566" s="232"/>
      <c r="BY566" s="232"/>
      <c r="BZ566" s="232"/>
      <c r="CA566" s="232"/>
      <c r="CB566" s="232"/>
      <c r="CC566" s="232"/>
      <c r="CD566" s="232"/>
      <c r="CE566" s="232"/>
      <c r="CF566" s="232"/>
      <c r="CG566" s="232"/>
      <c r="CH566" s="232"/>
      <c r="CI566" s="232"/>
      <c r="CJ566" s="232"/>
      <c r="CK566" s="232"/>
      <c r="CL566" s="232"/>
      <c r="CM566" s="232"/>
      <c r="CN566" s="215"/>
      <c r="CO566" s="215"/>
      <c r="CP566" s="215"/>
      <c r="CQ566" s="215"/>
      <c r="CR566" s="215"/>
      <c r="CS566" s="215"/>
      <c r="CT566" s="215"/>
    </row>
    <row r="567" ht="24.0" customHeight="1">
      <c r="A567" s="287"/>
      <c r="B567" s="287"/>
      <c r="C567" s="287"/>
      <c r="D567" s="232"/>
      <c r="E567" s="232"/>
      <c r="F567" s="232"/>
      <c r="G567" s="232"/>
      <c r="H567" s="232"/>
      <c r="I567" s="232"/>
      <c r="J567" s="232"/>
      <c r="K567" s="232"/>
      <c r="L567" s="232"/>
      <c r="M567" s="232"/>
      <c r="N567" s="289"/>
      <c r="O567" s="232"/>
      <c r="P567" s="232"/>
      <c r="Q567" s="232"/>
      <c r="R567" s="232"/>
      <c r="S567" s="232"/>
      <c r="T567" s="232"/>
      <c r="U567" s="232"/>
      <c r="V567" s="232"/>
      <c r="W567" s="232"/>
      <c r="X567" s="232"/>
      <c r="Y567" s="232"/>
      <c r="Z567" s="232"/>
      <c r="AA567" s="232"/>
      <c r="AB567" s="232"/>
      <c r="AC567" s="232"/>
      <c r="AD567" s="232"/>
      <c r="AE567" s="232"/>
      <c r="AF567" s="232"/>
      <c r="AG567" s="232"/>
      <c r="AH567" s="232"/>
      <c r="AI567" s="232"/>
      <c r="AJ567" s="232"/>
      <c r="AK567" s="232"/>
      <c r="AL567" s="232"/>
      <c r="AM567" s="232"/>
      <c r="AN567" s="232"/>
      <c r="AO567" s="232"/>
      <c r="AP567" s="232"/>
      <c r="AQ567" s="232"/>
      <c r="AR567" s="232"/>
      <c r="AS567" s="232"/>
      <c r="AT567" s="232"/>
      <c r="AU567" s="232"/>
      <c r="AV567" s="232"/>
      <c r="AW567" s="232"/>
      <c r="AX567" s="232"/>
      <c r="AY567" s="232"/>
      <c r="AZ567" s="232"/>
      <c r="BA567" s="232"/>
      <c r="BB567" s="232"/>
      <c r="BC567" s="232"/>
      <c r="BD567" s="232"/>
      <c r="BE567" s="232"/>
      <c r="BF567" s="232"/>
      <c r="BG567" s="232"/>
      <c r="BH567" s="232"/>
      <c r="BI567" s="232"/>
      <c r="BJ567" s="232"/>
      <c r="BK567" s="232"/>
      <c r="BL567" s="232"/>
      <c r="BM567" s="232"/>
      <c r="BN567" s="232"/>
      <c r="BO567" s="232"/>
      <c r="BP567" s="232"/>
      <c r="BQ567" s="232"/>
      <c r="BR567" s="232"/>
      <c r="BS567" s="232"/>
      <c r="BT567" s="232"/>
      <c r="BU567" s="232"/>
      <c r="BV567" s="232"/>
      <c r="BW567" s="232"/>
      <c r="BX567" s="232"/>
      <c r="BY567" s="232"/>
      <c r="BZ567" s="232"/>
      <c r="CA567" s="232"/>
      <c r="CB567" s="232"/>
      <c r="CC567" s="232"/>
      <c r="CD567" s="232"/>
      <c r="CE567" s="232"/>
      <c r="CF567" s="232"/>
      <c r="CG567" s="232"/>
      <c r="CH567" s="232"/>
      <c r="CI567" s="232"/>
      <c r="CJ567" s="232"/>
      <c r="CK567" s="232"/>
      <c r="CL567" s="232"/>
      <c r="CM567" s="232"/>
      <c r="CN567" s="215"/>
      <c r="CO567" s="215"/>
      <c r="CP567" s="215"/>
      <c r="CQ567" s="215"/>
      <c r="CR567" s="215"/>
      <c r="CS567" s="215"/>
      <c r="CT567" s="215"/>
    </row>
    <row r="568" ht="24.0" customHeight="1">
      <c r="A568" s="287"/>
      <c r="B568" s="287"/>
      <c r="C568" s="287"/>
      <c r="D568" s="232"/>
      <c r="E568" s="232"/>
      <c r="F568" s="232"/>
      <c r="G568" s="232"/>
      <c r="H568" s="232"/>
      <c r="I568" s="232"/>
      <c r="J568" s="232"/>
      <c r="K568" s="232"/>
      <c r="L568" s="232"/>
      <c r="M568" s="232"/>
      <c r="N568" s="289"/>
      <c r="O568" s="232"/>
      <c r="P568" s="232"/>
      <c r="Q568" s="232"/>
      <c r="R568" s="232"/>
      <c r="S568" s="232"/>
      <c r="T568" s="232"/>
      <c r="U568" s="232"/>
      <c r="V568" s="232"/>
      <c r="W568" s="232"/>
      <c r="X568" s="232"/>
      <c r="Y568" s="232"/>
      <c r="Z568" s="232"/>
      <c r="AA568" s="232"/>
      <c r="AB568" s="232"/>
      <c r="AC568" s="232"/>
      <c r="AD568" s="232"/>
      <c r="AE568" s="232"/>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c r="BL568" s="232"/>
      <c r="BM568" s="232"/>
      <c r="BN568" s="232"/>
      <c r="BO568" s="232"/>
      <c r="BP568" s="232"/>
      <c r="BQ568" s="232"/>
      <c r="BR568" s="232"/>
      <c r="BS568" s="232"/>
      <c r="BT568" s="232"/>
      <c r="BU568" s="232"/>
      <c r="BV568" s="232"/>
      <c r="BW568" s="232"/>
      <c r="BX568" s="232"/>
      <c r="BY568" s="232"/>
      <c r="BZ568" s="232"/>
      <c r="CA568" s="232"/>
      <c r="CB568" s="232"/>
      <c r="CC568" s="232"/>
      <c r="CD568" s="232"/>
      <c r="CE568" s="232"/>
      <c r="CF568" s="232"/>
      <c r="CG568" s="232"/>
      <c r="CH568" s="232"/>
      <c r="CI568" s="232"/>
      <c r="CJ568" s="232"/>
      <c r="CK568" s="232"/>
      <c r="CL568" s="232"/>
      <c r="CM568" s="232"/>
      <c r="CN568" s="215"/>
      <c r="CO568" s="215"/>
      <c r="CP568" s="215"/>
      <c r="CQ568" s="215"/>
      <c r="CR568" s="215"/>
      <c r="CS568" s="215"/>
      <c r="CT568" s="215"/>
    </row>
    <row r="569" ht="24.0" customHeight="1">
      <c r="A569" s="287"/>
      <c r="B569" s="287"/>
      <c r="C569" s="287"/>
      <c r="D569" s="232"/>
      <c r="E569" s="232"/>
      <c r="F569" s="232"/>
      <c r="G569" s="232"/>
      <c r="H569" s="232"/>
      <c r="I569" s="232"/>
      <c r="J569" s="232"/>
      <c r="K569" s="232"/>
      <c r="L569" s="232"/>
      <c r="M569" s="232"/>
      <c r="N569" s="289"/>
      <c r="O569" s="232"/>
      <c r="P569" s="232"/>
      <c r="Q569" s="232"/>
      <c r="R569" s="232"/>
      <c r="S569" s="232"/>
      <c r="T569" s="232"/>
      <c r="U569" s="232"/>
      <c r="V569" s="232"/>
      <c r="W569" s="232"/>
      <c r="X569" s="232"/>
      <c r="Y569" s="232"/>
      <c r="Z569" s="232"/>
      <c r="AA569" s="232"/>
      <c r="AB569" s="232"/>
      <c r="AC569" s="232"/>
      <c r="AD569" s="232"/>
      <c r="AE569" s="232"/>
      <c r="AF569" s="232"/>
      <c r="AG569" s="232"/>
      <c r="AH569" s="232"/>
      <c r="AI569" s="232"/>
      <c r="AJ569" s="232"/>
      <c r="AK569" s="232"/>
      <c r="AL569" s="232"/>
      <c r="AM569" s="232"/>
      <c r="AN569" s="232"/>
      <c r="AO569" s="232"/>
      <c r="AP569" s="232"/>
      <c r="AQ569" s="232"/>
      <c r="AR569" s="232"/>
      <c r="AS569" s="232"/>
      <c r="AT569" s="232"/>
      <c r="AU569" s="232"/>
      <c r="AV569" s="232"/>
      <c r="AW569" s="232"/>
      <c r="AX569" s="232"/>
      <c r="AY569" s="232"/>
      <c r="AZ569" s="232"/>
      <c r="BA569" s="232"/>
      <c r="BB569" s="232"/>
      <c r="BC569" s="232"/>
      <c r="BD569" s="232"/>
      <c r="BE569" s="232"/>
      <c r="BF569" s="232"/>
      <c r="BG569" s="232"/>
      <c r="BH569" s="232"/>
      <c r="BI569" s="232"/>
      <c r="BJ569" s="232"/>
      <c r="BK569" s="232"/>
      <c r="BL569" s="232"/>
      <c r="BM569" s="232"/>
      <c r="BN569" s="232"/>
      <c r="BO569" s="232"/>
      <c r="BP569" s="232"/>
      <c r="BQ569" s="232"/>
      <c r="BR569" s="232"/>
      <c r="BS569" s="232"/>
      <c r="BT569" s="232"/>
      <c r="BU569" s="232"/>
      <c r="BV569" s="232"/>
      <c r="BW569" s="232"/>
      <c r="BX569" s="232"/>
      <c r="BY569" s="232"/>
      <c r="BZ569" s="232"/>
      <c r="CA569" s="232"/>
      <c r="CB569" s="232"/>
      <c r="CC569" s="232"/>
      <c r="CD569" s="232"/>
      <c r="CE569" s="232"/>
      <c r="CF569" s="232"/>
      <c r="CG569" s="232"/>
      <c r="CH569" s="232"/>
      <c r="CI569" s="232"/>
      <c r="CJ569" s="232"/>
      <c r="CK569" s="232"/>
      <c r="CL569" s="232"/>
      <c r="CM569" s="232"/>
      <c r="CN569" s="215"/>
      <c r="CO569" s="215"/>
      <c r="CP569" s="215"/>
      <c r="CQ569" s="215"/>
      <c r="CR569" s="215"/>
      <c r="CS569" s="215"/>
      <c r="CT569" s="215"/>
    </row>
    <row r="570" ht="24.0" customHeight="1">
      <c r="A570" s="287"/>
      <c r="B570" s="287"/>
      <c r="C570" s="287"/>
      <c r="D570" s="232"/>
      <c r="E570" s="232"/>
      <c r="F570" s="232"/>
      <c r="G570" s="232"/>
      <c r="H570" s="232"/>
      <c r="I570" s="232"/>
      <c r="J570" s="232"/>
      <c r="K570" s="232"/>
      <c r="L570" s="232"/>
      <c r="M570" s="232"/>
      <c r="N570" s="289"/>
      <c r="O570" s="232"/>
      <c r="P570" s="232"/>
      <c r="Q570" s="232"/>
      <c r="R570" s="232"/>
      <c r="S570" s="232"/>
      <c r="T570" s="232"/>
      <c r="U570" s="232"/>
      <c r="V570" s="232"/>
      <c r="W570" s="232"/>
      <c r="X570" s="232"/>
      <c r="Y570" s="232"/>
      <c r="Z570" s="232"/>
      <c r="AA570" s="232"/>
      <c r="AB570" s="232"/>
      <c r="AC570" s="232"/>
      <c r="AD570" s="232"/>
      <c r="AE570" s="232"/>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c r="BL570" s="232"/>
      <c r="BM570" s="232"/>
      <c r="BN570" s="232"/>
      <c r="BO570" s="232"/>
      <c r="BP570" s="232"/>
      <c r="BQ570" s="232"/>
      <c r="BR570" s="232"/>
      <c r="BS570" s="232"/>
      <c r="BT570" s="232"/>
      <c r="BU570" s="232"/>
      <c r="BV570" s="232"/>
      <c r="BW570" s="232"/>
      <c r="BX570" s="232"/>
      <c r="BY570" s="232"/>
      <c r="BZ570" s="232"/>
      <c r="CA570" s="232"/>
      <c r="CB570" s="232"/>
      <c r="CC570" s="232"/>
      <c r="CD570" s="232"/>
      <c r="CE570" s="232"/>
      <c r="CF570" s="232"/>
      <c r="CG570" s="232"/>
      <c r="CH570" s="232"/>
      <c r="CI570" s="232"/>
      <c r="CJ570" s="232"/>
      <c r="CK570" s="232"/>
      <c r="CL570" s="232"/>
      <c r="CM570" s="232"/>
      <c r="CN570" s="215"/>
      <c r="CO570" s="215"/>
      <c r="CP570" s="215"/>
      <c r="CQ570" s="215"/>
      <c r="CR570" s="215"/>
      <c r="CS570" s="215"/>
      <c r="CT570" s="215"/>
    </row>
    <row r="571" ht="24.0" customHeight="1">
      <c r="A571" s="287"/>
      <c r="B571" s="287"/>
      <c r="C571" s="287"/>
      <c r="D571" s="232"/>
      <c r="E571" s="232"/>
      <c r="F571" s="232"/>
      <c r="G571" s="232"/>
      <c r="H571" s="232"/>
      <c r="I571" s="232"/>
      <c r="J571" s="232"/>
      <c r="K571" s="232"/>
      <c r="L571" s="232"/>
      <c r="M571" s="232"/>
      <c r="N571" s="289"/>
      <c r="O571" s="232"/>
      <c r="P571" s="232"/>
      <c r="Q571" s="232"/>
      <c r="R571" s="232"/>
      <c r="S571" s="232"/>
      <c r="T571" s="232"/>
      <c r="U571" s="232"/>
      <c r="V571" s="232"/>
      <c r="W571" s="232"/>
      <c r="X571" s="232"/>
      <c r="Y571" s="232"/>
      <c r="Z571" s="232"/>
      <c r="AA571" s="232"/>
      <c r="AB571" s="232"/>
      <c r="AC571" s="232"/>
      <c r="AD571" s="232"/>
      <c r="AE571" s="232"/>
      <c r="AF571" s="232"/>
      <c r="AG571" s="232"/>
      <c r="AH571" s="232"/>
      <c r="AI571" s="232"/>
      <c r="AJ571" s="232"/>
      <c r="AK571" s="232"/>
      <c r="AL571" s="232"/>
      <c r="AM571" s="232"/>
      <c r="AN571" s="232"/>
      <c r="AO571" s="232"/>
      <c r="AP571" s="232"/>
      <c r="AQ571" s="232"/>
      <c r="AR571" s="232"/>
      <c r="AS571" s="232"/>
      <c r="AT571" s="232"/>
      <c r="AU571" s="232"/>
      <c r="AV571" s="232"/>
      <c r="AW571" s="232"/>
      <c r="AX571" s="232"/>
      <c r="AY571" s="232"/>
      <c r="AZ571" s="232"/>
      <c r="BA571" s="232"/>
      <c r="BB571" s="232"/>
      <c r="BC571" s="232"/>
      <c r="BD571" s="232"/>
      <c r="BE571" s="232"/>
      <c r="BF571" s="232"/>
      <c r="BG571" s="232"/>
      <c r="BH571" s="232"/>
      <c r="BI571" s="232"/>
      <c r="BJ571" s="232"/>
      <c r="BK571" s="232"/>
      <c r="BL571" s="232"/>
      <c r="BM571" s="232"/>
      <c r="BN571" s="232"/>
      <c r="BO571" s="232"/>
      <c r="BP571" s="232"/>
      <c r="BQ571" s="232"/>
      <c r="BR571" s="232"/>
      <c r="BS571" s="232"/>
      <c r="BT571" s="232"/>
      <c r="BU571" s="232"/>
      <c r="BV571" s="232"/>
      <c r="BW571" s="232"/>
      <c r="BX571" s="232"/>
      <c r="BY571" s="232"/>
      <c r="BZ571" s="232"/>
      <c r="CA571" s="232"/>
      <c r="CB571" s="232"/>
      <c r="CC571" s="232"/>
      <c r="CD571" s="232"/>
      <c r="CE571" s="232"/>
      <c r="CF571" s="232"/>
      <c r="CG571" s="232"/>
      <c r="CH571" s="232"/>
      <c r="CI571" s="232"/>
      <c r="CJ571" s="232"/>
      <c r="CK571" s="232"/>
      <c r="CL571" s="232"/>
      <c r="CM571" s="232"/>
      <c r="CN571" s="215"/>
      <c r="CO571" s="215"/>
      <c r="CP571" s="215"/>
      <c r="CQ571" s="215"/>
      <c r="CR571" s="215"/>
      <c r="CS571" s="215"/>
      <c r="CT571" s="215"/>
    </row>
    <row r="572" ht="24.0" customHeight="1">
      <c r="A572" s="287"/>
      <c r="B572" s="287"/>
      <c r="C572" s="287"/>
      <c r="D572" s="232"/>
      <c r="E572" s="232"/>
      <c r="F572" s="232"/>
      <c r="G572" s="232"/>
      <c r="H572" s="232"/>
      <c r="I572" s="232"/>
      <c r="J572" s="232"/>
      <c r="K572" s="232"/>
      <c r="L572" s="232"/>
      <c r="M572" s="232"/>
      <c r="N572" s="289"/>
      <c r="O572" s="232"/>
      <c r="P572" s="232"/>
      <c r="Q572" s="232"/>
      <c r="R572" s="232"/>
      <c r="S572" s="232"/>
      <c r="T572" s="232"/>
      <c r="U572" s="232"/>
      <c r="V572" s="232"/>
      <c r="W572" s="232"/>
      <c r="X572" s="232"/>
      <c r="Y572" s="232"/>
      <c r="Z572" s="232"/>
      <c r="AA572" s="232"/>
      <c r="AB572" s="232"/>
      <c r="AC572" s="232"/>
      <c r="AD572" s="232"/>
      <c r="AE572" s="232"/>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c r="BL572" s="232"/>
      <c r="BM572" s="232"/>
      <c r="BN572" s="232"/>
      <c r="BO572" s="232"/>
      <c r="BP572" s="232"/>
      <c r="BQ572" s="232"/>
      <c r="BR572" s="232"/>
      <c r="BS572" s="232"/>
      <c r="BT572" s="232"/>
      <c r="BU572" s="232"/>
      <c r="BV572" s="232"/>
      <c r="BW572" s="232"/>
      <c r="BX572" s="232"/>
      <c r="BY572" s="232"/>
      <c r="BZ572" s="232"/>
      <c r="CA572" s="232"/>
      <c r="CB572" s="232"/>
      <c r="CC572" s="232"/>
      <c r="CD572" s="232"/>
      <c r="CE572" s="232"/>
      <c r="CF572" s="232"/>
      <c r="CG572" s="232"/>
      <c r="CH572" s="232"/>
      <c r="CI572" s="232"/>
      <c r="CJ572" s="232"/>
      <c r="CK572" s="232"/>
      <c r="CL572" s="232"/>
      <c r="CM572" s="232"/>
      <c r="CN572" s="215"/>
      <c r="CO572" s="215"/>
      <c r="CP572" s="215"/>
      <c r="CQ572" s="215"/>
      <c r="CR572" s="215"/>
      <c r="CS572" s="215"/>
      <c r="CT572" s="215"/>
    </row>
    <row r="573" ht="24.0" customHeight="1">
      <c r="A573" s="287"/>
      <c r="B573" s="287"/>
      <c r="C573" s="287"/>
      <c r="D573" s="232"/>
      <c r="E573" s="232"/>
      <c r="F573" s="232"/>
      <c r="G573" s="232"/>
      <c r="H573" s="232"/>
      <c r="I573" s="232"/>
      <c r="J573" s="232"/>
      <c r="K573" s="232"/>
      <c r="L573" s="232"/>
      <c r="M573" s="232"/>
      <c r="N573" s="289"/>
      <c r="O573" s="232"/>
      <c r="P573" s="232"/>
      <c r="Q573" s="232"/>
      <c r="R573" s="232"/>
      <c r="S573" s="232"/>
      <c r="T573" s="232"/>
      <c r="U573" s="232"/>
      <c r="V573" s="232"/>
      <c r="W573" s="232"/>
      <c r="X573" s="232"/>
      <c r="Y573" s="232"/>
      <c r="Z573" s="232"/>
      <c r="AA573" s="232"/>
      <c r="AB573" s="232"/>
      <c r="AC573" s="232"/>
      <c r="AD573" s="232"/>
      <c r="AE573" s="232"/>
      <c r="AF573" s="232"/>
      <c r="AG573" s="232"/>
      <c r="AH573" s="232"/>
      <c r="AI573" s="232"/>
      <c r="AJ573" s="232"/>
      <c r="AK573" s="232"/>
      <c r="AL573" s="232"/>
      <c r="AM573" s="232"/>
      <c r="AN573" s="232"/>
      <c r="AO573" s="232"/>
      <c r="AP573" s="232"/>
      <c r="AQ573" s="232"/>
      <c r="AR573" s="232"/>
      <c r="AS573" s="232"/>
      <c r="AT573" s="232"/>
      <c r="AU573" s="232"/>
      <c r="AV573" s="232"/>
      <c r="AW573" s="232"/>
      <c r="AX573" s="232"/>
      <c r="AY573" s="232"/>
      <c r="AZ573" s="232"/>
      <c r="BA573" s="232"/>
      <c r="BB573" s="232"/>
      <c r="BC573" s="232"/>
      <c r="BD573" s="232"/>
      <c r="BE573" s="232"/>
      <c r="BF573" s="232"/>
      <c r="BG573" s="232"/>
      <c r="BH573" s="232"/>
      <c r="BI573" s="232"/>
      <c r="BJ573" s="232"/>
      <c r="BK573" s="232"/>
      <c r="BL573" s="232"/>
      <c r="BM573" s="232"/>
      <c r="BN573" s="232"/>
      <c r="BO573" s="232"/>
      <c r="BP573" s="232"/>
      <c r="BQ573" s="232"/>
      <c r="BR573" s="232"/>
      <c r="BS573" s="232"/>
      <c r="BT573" s="232"/>
      <c r="BU573" s="232"/>
      <c r="BV573" s="232"/>
      <c r="BW573" s="232"/>
      <c r="BX573" s="232"/>
      <c r="BY573" s="232"/>
      <c r="BZ573" s="232"/>
      <c r="CA573" s="232"/>
      <c r="CB573" s="232"/>
      <c r="CC573" s="232"/>
      <c r="CD573" s="232"/>
      <c r="CE573" s="232"/>
      <c r="CF573" s="232"/>
      <c r="CG573" s="232"/>
      <c r="CH573" s="232"/>
      <c r="CI573" s="232"/>
      <c r="CJ573" s="232"/>
      <c r="CK573" s="232"/>
      <c r="CL573" s="232"/>
      <c r="CM573" s="232"/>
      <c r="CN573" s="215"/>
      <c r="CO573" s="215"/>
      <c r="CP573" s="215"/>
      <c r="CQ573" s="215"/>
      <c r="CR573" s="215"/>
      <c r="CS573" s="215"/>
      <c r="CT573" s="215"/>
    </row>
    <row r="574" ht="24.0" customHeight="1">
      <c r="A574" s="287"/>
      <c r="B574" s="287"/>
      <c r="C574" s="287"/>
      <c r="D574" s="232"/>
      <c r="E574" s="232"/>
      <c r="F574" s="232"/>
      <c r="G574" s="232"/>
      <c r="H574" s="232"/>
      <c r="I574" s="232"/>
      <c r="J574" s="232"/>
      <c r="K574" s="232"/>
      <c r="L574" s="232"/>
      <c r="M574" s="232"/>
      <c r="N574" s="289"/>
      <c r="O574" s="232"/>
      <c r="P574" s="232"/>
      <c r="Q574" s="232"/>
      <c r="R574" s="232"/>
      <c r="S574" s="232"/>
      <c r="T574" s="232"/>
      <c r="U574" s="232"/>
      <c r="V574" s="232"/>
      <c r="W574" s="232"/>
      <c r="X574" s="232"/>
      <c r="Y574" s="232"/>
      <c r="Z574" s="232"/>
      <c r="AA574" s="232"/>
      <c r="AB574" s="232"/>
      <c r="AC574" s="232"/>
      <c r="AD574" s="232"/>
      <c r="AE574" s="232"/>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c r="BL574" s="232"/>
      <c r="BM574" s="232"/>
      <c r="BN574" s="232"/>
      <c r="BO574" s="232"/>
      <c r="BP574" s="232"/>
      <c r="BQ574" s="232"/>
      <c r="BR574" s="232"/>
      <c r="BS574" s="232"/>
      <c r="BT574" s="232"/>
      <c r="BU574" s="232"/>
      <c r="BV574" s="232"/>
      <c r="BW574" s="232"/>
      <c r="BX574" s="232"/>
      <c r="BY574" s="232"/>
      <c r="BZ574" s="232"/>
      <c r="CA574" s="232"/>
      <c r="CB574" s="232"/>
      <c r="CC574" s="232"/>
      <c r="CD574" s="232"/>
      <c r="CE574" s="232"/>
      <c r="CF574" s="232"/>
      <c r="CG574" s="232"/>
      <c r="CH574" s="232"/>
      <c r="CI574" s="232"/>
      <c r="CJ574" s="232"/>
      <c r="CK574" s="232"/>
      <c r="CL574" s="232"/>
      <c r="CM574" s="232"/>
      <c r="CN574" s="215"/>
      <c r="CO574" s="215"/>
      <c r="CP574" s="215"/>
      <c r="CQ574" s="215"/>
      <c r="CR574" s="215"/>
      <c r="CS574" s="215"/>
      <c r="CT574" s="215"/>
    </row>
    <row r="575" ht="24.0" customHeight="1">
      <c r="A575" s="287"/>
      <c r="B575" s="287"/>
      <c r="C575" s="287"/>
      <c r="D575" s="232"/>
      <c r="E575" s="232"/>
      <c r="F575" s="232"/>
      <c r="G575" s="232"/>
      <c r="H575" s="232"/>
      <c r="I575" s="232"/>
      <c r="J575" s="232"/>
      <c r="K575" s="232"/>
      <c r="L575" s="232"/>
      <c r="M575" s="232"/>
      <c r="N575" s="289"/>
      <c r="O575" s="232"/>
      <c r="P575" s="232"/>
      <c r="Q575" s="232"/>
      <c r="R575" s="232"/>
      <c r="S575" s="232"/>
      <c r="T575" s="232"/>
      <c r="U575" s="232"/>
      <c r="V575" s="232"/>
      <c r="W575" s="232"/>
      <c r="X575" s="232"/>
      <c r="Y575" s="232"/>
      <c r="Z575" s="232"/>
      <c r="AA575" s="232"/>
      <c r="AB575" s="232"/>
      <c r="AC575" s="232"/>
      <c r="AD575" s="232"/>
      <c r="AE575" s="232"/>
      <c r="AF575" s="232"/>
      <c r="AG575" s="232"/>
      <c r="AH575" s="232"/>
      <c r="AI575" s="232"/>
      <c r="AJ575" s="232"/>
      <c r="AK575" s="232"/>
      <c r="AL575" s="232"/>
      <c r="AM575" s="232"/>
      <c r="AN575" s="232"/>
      <c r="AO575" s="232"/>
      <c r="AP575" s="232"/>
      <c r="AQ575" s="232"/>
      <c r="AR575" s="232"/>
      <c r="AS575" s="232"/>
      <c r="AT575" s="232"/>
      <c r="AU575" s="232"/>
      <c r="AV575" s="232"/>
      <c r="AW575" s="232"/>
      <c r="AX575" s="232"/>
      <c r="AY575" s="232"/>
      <c r="AZ575" s="232"/>
      <c r="BA575" s="232"/>
      <c r="BB575" s="232"/>
      <c r="BC575" s="232"/>
      <c r="BD575" s="232"/>
      <c r="BE575" s="232"/>
      <c r="BF575" s="232"/>
      <c r="BG575" s="232"/>
      <c r="BH575" s="232"/>
      <c r="BI575" s="232"/>
      <c r="BJ575" s="232"/>
      <c r="BK575" s="232"/>
      <c r="BL575" s="232"/>
      <c r="BM575" s="232"/>
      <c r="BN575" s="232"/>
      <c r="BO575" s="232"/>
      <c r="BP575" s="232"/>
      <c r="BQ575" s="232"/>
      <c r="BR575" s="232"/>
      <c r="BS575" s="232"/>
      <c r="BT575" s="232"/>
      <c r="BU575" s="232"/>
      <c r="BV575" s="232"/>
      <c r="BW575" s="232"/>
      <c r="BX575" s="232"/>
      <c r="BY575" s="232"/>
      <c r="BZ575" s="232"/>
      <c r="CA575" s="232"/>
      <c r="CB575" s="232"/>
      <c r="CC575" s="232"/>
      <c r="CD575" s="232"/>
      <c r="CE575" s="232"/>
      <c r="CF575" s="232"/>
      <c r="CG575" s="232"/>
      <c r="CH575" s="232"/>
      <c r="CI575" s="232"/>
      <c r="CJ575" s="232"/>
      <c r="CK575" s="232"/>
      <c r="CL575" s="232"/>
      <c r="CM575" s="232"/>
      <c r="CN575" s="215"/>
      <c r="CO575" s="215"/>
      <c r="CP575" s="215"/>
      <c r="CQ575" s="215"/>
      <c r="CR575" s="215"/>
      <c r="CS575" s="215"/>
      <c r="CT575" s="215"/>
    </row>
    <row r="576" ht="24.0" customHeight="1">
      <c r="A576" s="287"/>
      <c r="B576" s="287"/>
      <c r="C576" s="287"/>
      <c r="D576" s="232"/>
      <c r="E576" s="232"/>
      <c r="F576" s="232"/>
      <c r="G576" s="232"/>
      <c r="H576" s="232"/>
      <c r="I576" s="232"/>
      <c r="J576" s="232"/>
      <c r="K576" s="232"/>
      <c r="L576" s="232"/>
      <c r="M576" s="232"/>
      <c r="N576" s="289"/>
      <c r="O576" s="232"/>
      <c r="P576" s="232"/>
      <c r="Q576" s="232"/>
      <c r="R576" s="232"/>
      <c r="S576" s="232"/>
      <c r="T576" s="232"/>
      <c r="U576" s="232"/>
      <c r="V576" s="232"/>
      <c r="W576" s="232"/>
      <c r="X576" s="232"/>
      <c r="Y576" s="232"/>
      <c r="Z576" s="232"/>
      <c r="AA576" s="232"/>
      <c r="AB576" s="232"/>
      <c r="AC576" s="232"/>
      <c r="AD576" s="232"/>
      <c r="AE576" s="232"/>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c r="BL576" s="232"/>
      <c r="BM576" s="232"/>
      <c r="BN576" s="232"/>
      <c r="BO576" s="232"/>
      <c r="BP576" s="232"/>
      <c r="BQ576" s="232"/>
      <c r="BR576" s="232"/>
      <c r="BS576" s="232"/>
      <c r="BT576" s="232"/>
      <c r="BU576" s="232"/>
      <c r="BV576" s="232"/>
      <c r="BW576" s="232"/>
      <c r="BX576" s="232"/>
      <c r="BY576" s="232"/>
      <c r="BZ576" s="232"/>
      <c r="CA576" s="232"/>
      <c r="CB576" s="232"/>
      <c r="CC576" s="232"/>
      <c r="CD576" s="232"/>
      <c r="CE576" s="232"/>
      <c r="CF576" s="232"/>
      <c r="CG576" s="232"/>
      <c r="CH576" s="232"/>
      <c r="CI576" s="232"/>
      <c r="CJ576" s="232"/>
      <c r="CK576" s="232"/>
      <c r="CL576" s="232"/>
      <c r="CM576" s="232"/>
      <c r="CN576" s="215"/>
      <c r="CO576" s="215"/>
      <c r="CP576" s="215"/>
      <c r="CQ576" s="215"/>
      <c r="CR576" s="215"/>
      <c r="CS576" s="215"/>
      <c r="CT576" s="215"/>
    </row>
    <row r="577" ht="24.0" customHeight="1">
      <c r="A577" s="287"/>
      <c r="B577" s="287"/>
      <c r="C577" s="287"/>
      <c r="D577" s="232"/>
      <c r="E577" s="232"/>
      <c r="F577" s="232"/>
      <c r="G577" s="232"/>
      <c r="H577" s="232"/>
      <c r="I577" s="232"/>
      <c r="J577" s="232"/>
      <c r="K577" s="232"/>
      <c r="L577" s="232"/>
      <c r="M577" s="232"/>
      <c r="N577" s="289"/>
      <c r="O577" s="232"/>
      <c r="P577" s="232"/>
      <c r="Q577" s="232"/>
      <c r="R577" s="232"/>
      <c r="S577" s="232"/>
      <c r="T577" s="232"/>
      <c r="U577" s="232"/>
      <c r="V577" s="232"/>
      <c r="W577" s="232"/>
      <c r="X577" s="232"/>
      <c r="Y577" s="232"/>
      <c r="Z577" s="232"/>
      <c r="AA577" s="232"/>
      <c r="AB577" s="232"/>
      <c r="AC577" s="232"/>
      <c r="AD577" s="232"/>
      <c r="AE577" s="232"/>
      <c r="AF577" s="232"/>
      <c r="AG577" s="232"/>
      <c r="AH577" s="232"/>
      <c r="AI577" s="232"/>
      <c r="AJ577" s="232"/>
      <c r="AK577" s="232"/>
      <c r="AL577" s="232"/>
      <c r="AM577" s="232"/>
      <c r="AN577" s="232"/>
      <c r="AO577" s="232"/>
      <c r="AP577" s="232"/>
      <c r="AQ577" s="232"/>
      <c r="AR577" s="232"/>
      <c r="AS577" s="232"/>
      <c r="AT577" s="232"/>
      <c r="AU577" s="232"/>
      <c r="AV577" s="232"/>
      <c r="AW577" s="232"/>
      <c r="AX577" s="232"/>
      <c r="AY577" s="232"/>
      <c r="AZ577" s="232"/>
      <c r="BA577" s="232"/>
      <c r="BB577" s="232"/>
      <c r="BC577" s="232"/>
      <c r="BD577" s="232"/>
      <c r="BE577" s="232"/>
      <c r="BF577" s="232"/>
      <c r="BG577" s="232"/>
      <c r="BH577" s="232"/>
      <c r="BI577" s="232"/>
      <c r="BJ577" s="232"/>
      <c r="BK577" s="232"/>
      <c r="BL577" s="232"/>
      <c r="BM577" s="232"/>
      <c r="BN577" s="232"/>
      <c r="BO577" s="232"/>
      <c r="BP577" s="232"/>
      <c r="BQ577" s="232"/>
      <c r="BR577" s="232"/>
      <c r="BS577" s="232"/>
      <c r="BT577" s="232"/>
      <c r="BU577" s="232"/>
      <c r="BV577" s="232"/>
      <c r="BW577" s="232"/>
      <c r="BX577" s="232"/>
      <c r="BY577" s="232"/>
      <c r="BZ577" s="232"/>
      <c r="CA577" s="232"/>
      <c r="CB577" s="232"/>
      <c r="CC577" s="232"/>
      <c r="CD577" s="232"/>
      <c r="CE577" s="232"/>
      <c r="CF577" s="232"/>
      <c r="CG577" s="232"/>
      <c r="CH577" s="232"/>
      <c r="CI577" s="232"/>
      <c r="CJ577" s="232"/>
      <c r="CK577" s="232"/>
      <c r="CL577" s="232"/>
      <c r="CM577" s="232"/>
      <c r="CN577" s="215"/>
      <c r="CO577" s="215"/>
      <c r="CP577" s="215"/>
      <c r="CQ577" s="215"/>
      <c r="CR577" s="215"/>
      <c r="CS577" s="215"/>
      <c r="CT577" s="215"/>
    </row>
    <row r="578" ht="24.0" customHeight="1">
      <c r="A578" s="287"/>
      <c r="B578" s="287"/>
      <c r="C578" s="287"/>
      <c r="D578" s="232"/>
      <c r="E578" s="232"/>
      <c r="F578" s="232"/>
      <c r="G578" s="232"/>
      <c r="H578" s="232"/>
      <c r="I578" s="232"/>
      <c r="J578" s="232"/>
      <c r="K578" s="232"/>
      <c r="L578" s="232"/>
      <c r="M578" s="232"/>
      <c r="N578" s="289"/>
      <c r="O578" s="232"/>
      <c r="P578" s="232"/>
      <c r="Q578" s="232"/>
      <c r="R578" s="232"/>
      <c r="S578" s="232"/>
      <c r="T578" s="232"/>
      <c r="U578" s="232"/>
      <c r="V578" s="232"/>
      <c r="W578" s="232"/>
      <c r="X578" s="232"/>
      <c r="Y578" s="232"/>
      <c r="Z578" s="232"/>
      <c r="AA578" s="232"/>
      <c r="AB578" s="232"/>
      <c r="AC578" s="232"/>
      <c r="AD578" s="232"/>
      <c r="AE578" s="232"/>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c r="BL578" s="232"/>
      <c r="BM578" s="232"/>
      <c r="BN578" s="232"/>
      <c r="BO578" s="232"/>
      <c r="BP578" s="232"/>
      <c r="BQ578" s="232"/>
      <c r="BR578" s="232"/>
      <c r="BS578" s="232"/>
      <c r="BT578" s="232"/>
      <c r="BU578" s="232"/>
      <c r="BV578" s="232"/>
      <c r="BW578" s="232"/>
      <c r="BX578" s="232"/>
      <c r="BY578" s="232"/>
      <c r="BZ578" s="232"/>
      <c r="CA578" s="232"/>
      <c r="CB578" s="232"/>
      <c r="CC578" s="232"/>
      <c r="CD578" s="232"/>
      <c r="CE578" s="232"/>
      <c r="CF578" s="232"/>
      <c r="CG578" s="232"/>
      <c r="CH578" s="232"/>
      <c r="CI578" s="232"/>
      <c r="CJ578" s="232"/>
      <c r="CK578" s="232"/>
      <c r="CL578" s="232"/>
      <c r="CM578" s="232"/>
      <c r="CN578" s="215"/>
      <c r="CO578" s="215"/>
      <c r="CP578" s="215"/>
      <c r="CQ578" s="215"/>
      <c r="CR578" s="215"/>
      <c r="CS578" s="215"/>
      <c r="CT578" s="215"/>
    </row>
    <row r="579" ht="24.0" customHeight="1">
      <c r="A579" s="287"/>
      <c r="B579" s="287"/>
      <c r="C579" s="287"/>
      <c r="D579" s="232"/>
      <c r="E579" s="232"/>
      <c r="F579" s="232"/>
      <c r="G579" s="232"/>
      <c r="H579" s="232"/>
      <c r="I579" s="232"/>
      <c r="J579" s="232"/>
      <c r="K579" s="232"/>
      <c r="L579" s="232"/>
      <c r="M579" s="232"/>
      <c r="N579" s="289"/>
      <c r="O579" s="232"/>
      <c r="P579" s="232"/>
      <c r="Q579" s="232"/>
      <c r="R579" s="232"/>
      <c r="S579" s="232"/>
      <c r="T579" s="232"/>
      <c r="U579" s="232"/>
      <c r="V579" s="232"/>
      <c r="W579" s="232"/>
      <c r="X579" s="232"/>
      <c r="Y579" s="232"/>
      <c r="Z579" s="232"/>
      <c r="AA579" s="232"/>
      <c r="AB579" s="232"/>
      <c r="AC579" s="232"/>
      <c r="AD579" s="232"/>
      <c r="AE579" s="232"/>
      <c r="AF579" s="232"/>
      <c r="AG579" s="232"/>
      <c r="AH579" s="232"/>
      <c r="AI579" s="232"/>
      <c r="AJ579" s="232"/>
      <c r="AK579" s="232"/>
      <c r="AL579" s="232"/>
      <c r="AM579" s="232"/>
      <c r="AN579" s="232"/>
      <c r="AO579" s="232"/>
      <c r="AP579" s="232"/>
      <c r="AQ579" s="232"/>
      <c r="AR579" s="232"/>
      <c r="AS579" s="232"/>
      <c r="AT579" s="232"/>
      <c r="AU579" s="232"/>
      <c r="AV579" s="232"/>
      <c r="AW579" s="232"/>
      <c r="AX579" s="232"/>
      <c r="AY579" s="232"/>
      <c r="AZ579" s="232"/>
      <c r="BA579" s="232"/>
      <c r="BB579" s="232"/>
      <c r="BC579" s="232"/>
      <c r="BD579" s="232"/>
      <c r="BE579" s="232"/>
      <c r="BF579" s="232"/>
      <c r="BG579" s="232"/>
      <c r="BH579" s="232"/>
      <c r="BI579" s="232"/>
      <c r="BJ579" s="232"/>
      <c r="BK579" s="232"/>
      <c r="BL579" s="232"/>
      <c r="BM579" s="232"/>
      <c r="BN579" s="232"/>
      <c r="BO579" s="232"/>
      <c r="BP579" s="232"/>
      <c r="BQ579" s="232"/>
      <c r="BR579" s="232"/>
      <c r="BS579" s="232"/>
      <c r="BT579" s="232"/>
      <c r="BU579" s="232"/>
      <c r="BV579" s="232"/>
      <c r="BW579" s="232"/>
      <c r="BX579" s="232"/>
      <c r="BY579" s="232"/>
      <c r="BZ579" s="232"/>
      <c r="CA579" s="232"/>
      <c r="CB579" s="232"/>
      <c r="CC579" s="232"/>
      <c r="CD579" s="232"/>
      <c r="CE579" s="232"/>
      <c r="CF579" s="232"/>
      <c r="CG579" s="232"/>
      <c r="CH579" s="232"/>
      <c r="CI579" s="232"/>
      <c r="CJ579" s="232"/>
      <c r="CK579" s="232"/>
      <c r="CL579" s="232"/>
      <c r="CM579" s="232"/>
      <c r="CN579" s="215"/>
      <c r="CO579" s="215"/>
      <c r="CP579" s="215"/>
      <c r="CQ579" s="215"/>
      <c r="CR579" s="215"/>
      <c r="CS579" s="215"/>
      <c r="CT579" s="215"/>
    </row>
    <row r="580" ht="24.0" customHeight="1">
      <c r="A580" s="287"/>
      <c r="B580" s="287"/>
      <c r="C580" s="287"/>
      <c r="D580" s="232"/>
      <c r="E580" s="232"/>
      <c r="F580" s="232"/>
      <c r="G580" s="232"/>
      <c r="H580" s="232"/>
      <c r="I580" s="232"/>
      <c r="J580" s="232"/>
      <c r="K580" s="232"/>
      <c r="L580" s="232"/>
      <c r="M580" s="232"/>
      <c r="N580" s="289"/>
      <c r="O580" s="232"/>
      <c r="P580" s="232"/>
      <c r="Q580" s="232"/>
      <c r="R580" s="232"/>
      <c r="S580" s="232"/>
      <c r="T580" s="232"/>
      <c r="U580" s="232"/>
      <c r="V580" s="232"/>
      <c r="W580" s="232"/>
      <c r="X580" s="232"/>
      <c r="Y580" s="232"/>
      <c r="Z580" s="232"/>
      <c r="AA580" s="232"/>
      <c r="AB580" s="232"/>
      <c r="AC580" s="232"/>
      <c r="AD580" s="232"/>
      <c r="AE580" s="232"/>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c r="BL580" s="232"/>
      <c r="BM580" s="232"/>
      <c r="BN580" s="232"/>
      <c r="BO580" s="232"/>
      <c r="BP580" s="232"/>
      <c r="BQ580" s="232"/>
      <c r="BR580" s="232"/>
      <c r="BS580" s="232"/>
      <c r="BT580" s="232"/>
      <c r="BU580" s="232"/>
      <c r="BV580" s="232"/>
      <c r="BW580" s="232"/>
      <c r="BX580" s="232"/>
      <c r="BY580" s="232"/>
      <c r="BZ580" s="232"/>
      <c r="CA580" s="232"/>
      <c r="CB580" s="232"/>
      <c r="CC580" s="232"/>
      <c r="CD580" s="232"/>
      <c r="CE580" s="232"/>
      <c r="CF580" s="232"/>
      <c r="CG580" s="232"/>
      <c r="CH580" s="232"/>
      <c r="CI580" s="232"/>
      <c r="CJ580" s="232"/>
      <c r="CK580" s="232"/>
      <c r="CL580" s="232"/>
      <c r="CM580" s="232"/>
      <c r="CN580" s="215"/>
      <c r="CO580" s="215"/>
      <c r="CP580" s="215"/>
      <c r="CQ580" s="215"/>
      <c r="CR580" s="215"/>
      <c r="CS580" s="215"/>
      <c r="CT580" s="215"/>
    </row>
    <row r="581" ht="24.0" customHeight="1">
      <c r="A581" s="287"/>
      <c r="B581" s="287"/>
      <c r="C581" s="287"/>
      <c r="D581" s="232"/>
      <c r="E581" s="232"/>
      <c r="F581" s="232"/>
      <c r="G581" s="232"/>
      <c r="H581" s="232"/>
      <c r="I581" s="232"/>
      <c r="J581" s="232"/>
      <c r="K581" s="232"/>
      <c r="L581" s="232"/>
      <c r="M581" s="232"/>
      <c r="N581" s="289"/>
      <c r="O581" s="232"/>
      <c r="P581" s="232"/>
      <c r="Q581" s="232"/>
      <c r="R581" s="232"/>
      <c r="S581" s="232"/>
      <c r="T581" s="232"/>
      <c r="U581" s="232"/>
      <c r="V581" s="232"/>
      <c r="W581" s="232"/>
      <c r="X581" s="232"/>
      <c r="Y581" s="232"/>
      <c r="Z581" s="232"/>
      <c r="AA581" s="232"/>
      <c r="AB581" s="232"/>
      <c r="AC581" s="232"/>
      <c r="AD581" s="232"/>
      <c r="AE581" s="232"/>
      <c r="AF581" s="232"/>
      <c r="AG581" s="232"/>
      <c r="AH581" s="232"/>
      <c r="AI581" s="232"/>
      <c r="AJ581" s="232"/>
      <c r="AK581" s="232"/>
      <c r="AL581" s="232"/>
      <c r="AM581" s="232"/>
      <c r="AN581" s="232"/>
      <c r="AO581" s="232"/>
      <c r="AP581" s="232"/>
      <c r="AQ581" s="232"/>
      <c r="AR581" s="232"/>
      <c r="AS581" s="232"/>
      <c r="AT581" s="232"/>
      <c r="AU581" s="232"/>
      <c r="AV581" s="232"/>
      <c r="AW581" s="232"/>
      <c r="AX581" s="232"/>
      <c r="AY581" s="232"/>
      <c r="AZ581" s="232"/>
      <c r="BA581" s="232"/>
      <c r="BB581" s="232"/>
      <c r="BC581" s="232"/>
      <c r="BD581" s="232"/>
      <c r="BE581" s="232"/>
      <c r="BF581" s="232"/>
      <c r="BG581" s="232"/>
      <c r="BH581" s="232"/>
      <c r="BI581" s="232"/>
      <c r="BJ581" s="232"/>
      <c r="BK581" s="232"/>
      <c r="BL581" s="232"/>
      <c r="BM581" s="232"/>
      <c r="BN581" s="232"/>
      <c r="BO581" s="232"/>
      <c r="BP581" s="232"/>
      <c r="BQ581" s="232"/>
      <c r="BR581" s="232"/>
      <c r="BS581" s="232"/>
      <c r="BT581" s="232"/>
      <c r="BU581" s="232"/>
      <c r="BV581" s="232"/>
      <c r="BW581" s="232"/>
      <c r="BX581" s="232"/>
      <c r="BY581" s="232"/>
      <c r="BZ581" s="232"/>
      <c r="CA581" s="232"/>
      <c r="CB581" s="232"/>
      <c r="CC581" s="232"/>
      <c r="CD581" s="232"/>
      <c r="CE581" s="232"/>
      <c r="CF581" s="232"/>
      <c r="CG581" s="232"/>
      <c r="CH581" s="232"/>
      <c r="CI581" s="232"/>
      <c r="CJ581" s="232"/>
      <c r="CK581" s="232"/>
      <c r="CL581" s="232"/>
      <c r="CM581" s="232"/>
      <c r="CN581" s="215"/>
      <c r="CO581" s="215"/>
      <c r="CP581" s="215"/>
      <c r="CQ581" s="215"/>
      <c r="CR581" s="215"/>
      <c r="CS581" s="215"/>
      <c r="CT581" s="215"/>
    </row>
    <row r="582" ht="24.0" customHeight="1">
      <c r="A582" s="287"/>
      <c r="B582" s="287"/>
      <c r="C582" s="287"/>
      <c r="D582" s="232"/>
      <c r="E582" s="232"/>
      <c r="F582" s="232"/>
      <c r="G582" s="232"/>
      <c r="H582" s="232"/>
      <c r="I582" s="232"/>
      <c r="J582" s="232"/>
      <c r="K582" s="232"/>
      <c r="L582" s="232"/>
      <c r="M582" s="232"/>
      <c r="N582" s="289"/>
      <c r="O582" s="232"/>
      <c r="P582" s="232"/>
      <c r="Q582" s="232"/>
      <c r="R582" s="232"/>
      <c r="S582" s="232"/>
      <c r="T582" s="232"/>
      <c r="U582" s="232"/>
      <c r="V582" s="232"/>
      <c r="W582" s="232"/>
      <c r="X582" s="232"/>
      <c r="Y582" s="232"/>
      <c r="Z582" s="232"/>
      <c r="AA582" s="232"/>
      <c r="AB582" s="232"/>
      <c r="AC582" s="232"/>
      <c r="AD582" s="232"/>
      <c r="AE582" s="232"/>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c r="BL582" s="232"/>
      <c r="BM582" s="232"/>
      <c r="BN582" s="232"/>
      <c r="BO582" s="232"/>
      <c r="BP582" s="232"/>
      <c r="BQ582" s="232"/>
      <c r="BR582" s="232"/>
      <c r="BS582" s="232"/>
      <c r="BT582" s="232"/>
      <c r="BU582" s="232"/>
      <c r="BV582" s="232"/>
      <c r="BW582" s="232"/>
      <c r="BX582" s="232"/>
      <c r="BY582" s="232"/>
      <c r="BZ582" s="232"/>
      <c r="CA582" s="232"/>
      <c r="CB582" s="232"/>
      <c r="CC582" s="232"/>
      <c r="CD582" s="232"/>
      <c r="CE582" s="232"/>
      <c r="CF582" s="232"/>
      <c r="CG582" s="232"/>
      <c r="CH582" s="232"/>
      <c r="CI582" s="232"/>
      <c r="CJ582" s="232"/>
      <c r="CK582" s="232"/>
      <c r="CL582" s="232"/>
      <c r="CM582" s="232"/>
      <c r="CN582" s="215"/>
      <c r="CO582" s="215"/>
      <c r="CP582" s="215"/>
      <c r="CQ582" s="215"/>
      <c r="CR582" s="215"/>
      <c r="CS582" s="215"/>
      <c r="CT582" s="215"/>
    </row>
    <row r="583" ht="24.0" customHeight="1">
      <c r="A583" s="287"/>
      <c r="B583" s="287"/>
      <c r="C583" s="287"/>
      <c r="D583" s="232"/>
      <c r="E583" s="232"/>
      <c r="F583" s="232"/>
      <c r="G583" s="232"/>
      <c r="H583" s="232"/>
      <c r="I583" s="232"/>
      <c r="J583" s="232"/>
      <c r="K583" s="232"/>
      <c r="L583" s="232"/>
      <c r="M583" s="232"/>
      <c r="N583" s="289"/>
      <c r="O583" s="232"/>
      <c r="P583" s="232"/>
      <c r="Q583" s="232"/>
      <c r="R583" s="232"/>
      <c r="S583" s="232"/>
      <c r="T583" s="232"/>
      <c r="U583" s="232"/>
      <c r="V583" s="232"/>
      <c r="W583" s="232"/>
      <c r="X583" s="232"/>
      <c r="Y583" s="232"/>
      <c r="Z583" s="232"/>
      <c r="AA583" s="232"/>
      <c r="AB583" s="232"/>
      <c r="AC583" s="232"/>
      <c r="AD583" s="232"/>
      <c r="AE583" s="232"/>
      <c r="AF583" s="232"/>
      <c r="AG583" s="232"/>
      <c r="AH583" s="232"/>
      <c r="AI583" s="232"/>
      <c r="AJ583" s="232"/>
      <c r="AK583" s="232"/>
      <c r="AL583" s="232"/>
      <c r="AM583" s="232"/>
      <c r="AN583" s="232"/>
      <c r="AO583" s="232"/>
      <c r="AP583" s="232"/>
      <c r="AQ583" s="232"/>
      <c r="AR583" s="232"/>
      <c r="AS583" s="232"/>
      <c r="AT583" s="232"/>
      <c r="AU583" s="232"/>
      <c r="AV583" s="232"/>
      <c r="AW583" s="232"/>
      <c r="AX583" s="232"/>
      <c r="AY583" s="232"/>
      <c r="AZ583" s="232"/>
      <c r="BA583" s="232"/>
      <c r="BB583" s="232"/>
      <c r="BC583" s="232"/>
      <c r="BD583" s="232"/>
      <c r="BE583" s="232"/>
      <c r="BF583" s="232"/>
      <c r="BG583" s="232"/>
      <c r="BH583" s="232"/>
      <c r="BI583" s="232"/>
      <c r="BJ583" s="232"/>
      <c r="BK583" s="232"/>
      <c r="BL583" s="232"/>
      <c r="BM583" s="232"/>
      <c r="BN583" s="232"/>
      <c r="BO583" s="232"/>
      <c r="BP583" s="232"/>
      <c r="BQ583" s="232"/>
      <c r="BR583" s="232"/>
      <c r="BS583" s="232"/>
      <c r="BT583" s="232"/>
      <c r="BU583" s="232"/>
      <c r="BV583" s="232"/>
      <c r="BW583" s="232"/>
      <c r="BX583" s="232"/>
      <c r="BY583" s="232"/>
      <c r="BZ583" s="232"/>
      <c r="CA583" s="232"/>
      <c r="CB583" s="232"/>
      <c r="CC583" s="232"/>
      <c r="CD583" s="232"/>
      <c r="CE583" s="232"/>
      <c r="CF583" s="232"/>
      <c r="CG583" s="232"/>
      <c r="CH583" s="232"/>
      <c r="CI583" s="232"/>
      <c r="CJ583" s="232"/>
      <c r="CK583" s="232"/>
      <c r="CL583" s="232"/>
      <c r="CM583" s="232"/>
      <c r="CN583" s="215"/>
      <c r="CO583" s="215"/>
      <c r="CP583" s="215"/>
      <c r="CQ583" s="215"/>
      <c r="CR583" s="215"/>
      <c r="CS583" s="215"/>
      <c r="CT583" s="215"/>
    </row>
    <row r="584" ht="24.0" customHeight="1">
      <c r="A584" s="287"/>
      <c r="B584" s="287"/>
      <c r="C584" s="287"/>
      <c r="D584" s="232"/>
      <c r="E584" s="232"/>
      <c r="F584" s="232"/>
      <c r="G584" s="232"/>
      <c r="H584" s="232"/>
      <c r="I584" s="232"/>
      <c r="J584" s="232"/>
      <c r="K584" s="232"/>
      <c r="L584" s="232"/>
      <c r="M584" s="232"/>
      <c r="N584" s="289"/>
      <c r="O584" s="232"/>
      <c r="P584" s="232"/>
      <c r="Q584" s="232"/>
      <c r="R584" s="232"/>
      <c r="S584" s="232"/>
      <c r="T584" s="232"/>
      <c r="U584" s="232"/>
      <c r="V584" s="232"/>
      <c r="W584" s="232"/>
      <c r="X584" s="232"/>
      <c r="Y584" s="232"/>
      <c r="Z584" s="232"/>
      <c r="AA584" s="232"/>
      <c r="AB584" s="232"/>
      <c r="AC584" s="232"/>
      <c r="AD584" s="232"/>
      <c r="AE584" s="232"/>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c r="BL584" s="232"/>
      <c r="BM584" s="232"/>
      <c r="BN584" s="232"/>
      <c r="BO584" s="232"/>
      <c r="BP584" s="232"/>
      <c r="BQ584" s="232"/>
      <c r="BR584" s="232"/>
      <c r="BS584" s="232"/>
      <c r="BT584" s="232"/>
      <c r="BU584" s="232"/>
      <c r="BV584" s="232"/>
      <c r="BW584" s="232"/>
      <c r="BX584" s="232"/>
      <c r="BY584" s="232"/>
      <c r="BZ584" s="232"/>
      <c r="CA584" s="232"/>
      <c r="CB584" s="232"/>
      <c r="CC584" s="232"/>
      <c r="CD584" s="232"/>
      <c r="CE584" s="232"/>
      <c r="CF584" s="232"/>
      <c r="CG584" s="232"/>
      <c r="CH584" s="232"/>
      <c r="CI584" s="232"/>
      <c r="CJ584" s="232"/>
      <c r="CK584" s="232"/>
      <c r="CL584" s="232"/>
      <c r="CM584" s="232"/>
      <c r="CN584" s="215"/>
      <c r="CO584" s="215"/>
      <c r="CP584" s="215"/>
      <c r="CQ584" s="215"/>
      <c r="CR584" s="215"/>
      <c r="CS584" s="215"/>
      <c r="CT584" s="215"/>
    </row>
    <row r="585" ht="24.0" customHeight="1">
      <c r="A585" s="287"/>
      <c r="B585" s="287"/>
      <c r="C585" s="287"/>
      <c r="D585" s="232"/>
      <c r="E585" s="232"/>
      <c r="F585" s="232"/>
      <c r="G585" s="232"/>
      <c r="H585" s="232"/>
      <c r="I585" s="232"/>
      <c r="J585" s="232"/>
      <c r="K585" s="232"/>
      <c r="L585" s="232"/>
      <c r="M585" s="232"/>
      <c r="N585" s="289"/>
      <c r="O585" s="232"/>
      <c r="P585" s="232"/>
      <c r="Q585" s="232"/>
      <c r="R585" s="232"/>
      <c r="S585" s="232"/>
      <c r="T585" s="232"/>
      <c r="U585" s="232"/>
      <c r="V585" s="232"/>
      <c r="W585" s="232"/>
      <c r="X585" s="232"/>
      <c r="Y585" s="232"/>
      <c r="Z585" s="232"/>
      <c r="AA585" s="232"/>
      <c r="AB585" s="232"/>
      <c r="AC585" s="232"/>
      <c r="AD585" s="232"/>
      <c r="AE585" s="232"/>
      <c r="AF585" s="232"/>
      <c r="AG585" s="232"/>
      <c r="AH585" s="232"/>
      <c r="AI585" s="232"/>
      <c r="AJ585" s="232"/>
      <c r="AK585" s="232"/>
      <c r="AL585" s="232"/>
      <c r="AM585" s="232"/>
      <c r="AN585" s="232"/>
      <c r="AO585" s="232"/>
      <c r="AP585" s="232"/>
      <c r="AQ585" s="232"/>
      <c r="AR585" s="232"/>
      <c r="AS585" s="232"/>
      <c r="AT585" s="232"/>
      <c r="AU585" s="232"/>
      <c r="AV585" s="232"/>
      <c r="AW585" s="232"/>
      <c r="AX585" s="232"/>
      <c r="AY585" s="232"/>
      <c r="AZ585" s="232"/>
      <c r="BA585" s="232"/>
      <c r="BB585" s="232"/>
      <c r="BC585" s="232"/>
      <c r="BD585" s="232"/>
      <c r="BE585" s="232"/>
      <c r="BF585" s="232"/>
      <c r="BG585" s="232"/>
      <c r="BH585" s="232"/>
      <c r="BI585" s="232"/>
      <c r="BJ585" s="232"/>
      <c r="BK585" s="232"/>
      <c r="BL585" s="232"/>
      <c r="BM585" s="232"/>
      <c r="BN585" s="232"/>
      <c r="BO585" s="232"/>
      <c r="BP585" s="232"/>
      <c r="BQ585" s="232"/>
      <c r="BR585" s="232"/>
      <c r="BS585" s="232"/>
      <c r="BT585" s="232"/>
      <c r="BU585" s="232"/>
      <c r="BV585" s="232"/>
      <c r="BW585" s="232"/>
      <c r="BX585" s="232"/>
      <c r="BY585" s="232"/>
      <c r="BZ585" s="232"/>
      <c r="CA585" s="232"/>
      <c r="CB585" s="232"/>
      <c r="CC585" s="232"/>
      <c r="CD585" s="232"/>
      <c r="CE585" s="232"/>
      <c r="CF585" s="232"/>
      <c r="CG585" s="232"/>
      <c r="CH585" s="232"/>
      <c r="CI585" s="232"/>
      <c r="CJ585" s="232"/>
      <c r="CK585" s="232"/>
      <c r="CL585" s="232"/>
      <c r="CM585" s="232"/>
      <c r="CN585" s="215"/>
      <c r="CO585" s="215"/>
      <c r="CP585" s="215"/>
      <c r="CQ585" s="215"/>
      <c r="CR585" s="215"/>
      <c r="CS585" s="215"/>
      <c r="CT585" s="215"/>
    </row>
    <row r="586" ht="24.0" customHeight="1">
      <c r="A586" s="287"/>
      <c r="B586" s="287"/>
      <c r="C586" s="287"/>
      <c r="D586" s="232"/>
      <c r="E586" s="232"/>
      <c r="F586" s="232"/>
      <c r="G586" s="232"/>
      <c r="H586" s="232"/>
      <c r="I586" s="232"/>
      <c r="J586" s="232"/>
      <c r="K586" s="232"/>
      <c r="L586" s="232"/>
      <c r="M586" s="232"/>
      <c r="N586" s="289"/>
      <c r="O586" s="232"/>
      <c r="P586" s="232"/>
      <c r="Q586" s="232"/>
      <c r="R586" s="232"/>
      <c r="S586" s="232"/>
      <c r="T586" s="232"/>
      <c r="U586" s="232"/>
      <c r="V586" s="232"/>
      <c r="W586" s="232"/>
      <c r="X586" s="232"/>
      <c r="Y586" s="232"/>
      <c r="Z586" s="232"/>
      <c r="AA586" s="232"/>
      <c r="AB586" s="232"/>
      <c r="AC586" s="232"/>
      <c r="AD586" s="232"/>
      <c r="AE586" s="232"/>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c r="BL586" s="232"/>
      <c r="BM586" s="232"/>
      <c r="BN586" s="232"/>
      <c r="BO586" s="232"/>
      <c r="BP586" s="232"/>
      <c r="BQ586" s="232"/>
      <c r="BR586" s="232"/>
      <c r="BS586" s="232"/>
      <c r="BT586" s="232"/>
      <c r="BU586" s="232"/>
      <c r="BV586" s="232"/>
      <c r="BW586" s="232"/>
      <c r="BX586" s="232"/>
      <c r="BY586" s="232"/>
      <c r="BZ586" s="232"/>
      <c r="CA586" s="232"/>
      <c r="CB586" s="232"/>
      <c r="CC586" s="232"/>
      <c r="CD586" s="232"/>
      <c r="CE586" s="232"/>
      <c r="CF586" s="232"/>
      <c r="CG586" s="232"/>
      <c r="CH586" s="232"/>
      <c r="CI586" s="232"/>
      <c r="CJ586" s="232"/>
      <c r="CK586" s="232"/>
      <c r="CL586" s="232"/>
      <c r="CM586" s="232"/>
      <c r="CN586" s="215"/>
      <c r="CO586" s="215"/>
      <c r="CP586" s="215"/>
      <c r="CQ586" s="215"/>
      <c r="CR586" s="215"/>
      <c r="CS586" s="215"/>
      <c r="CT586" s="215"/>
    </row>
    <row r="587" ht="24.0" customHeight="1">
      <c r="A587" s="287"/>
      <c r="B587" s="287"/>
      <c r="C587" s="287"/>
      <c r="D587" s="232"/>
      <c r="E587" s="232"/>
      <c r="F587" s="232"/>
      <c r="G587" s="232"/>
      <c r="H587" s="232"/>
      <c r="I587" s="232"/>
      <c r="J587" s="232"/>
      <c r="K587" s="232"/>
      <c r="L587" s="232"/>
      <c r="M587" s="232"/>
      <c r="N587" s="289"/>
      <c r="O587" s="232"/>
      <c r="P587" s="232"/>
      <c r="Q587" s="232"/>
      <c r="R587" s="232"/>
      <c r="S587" s="232"/>
      <c r="T587" s="232"/>
      <c r="U587" s="232"/>
      <c r="V587" s="232"/>
      <c r="W587" s="232"/>
      <c r="X587" s="232"/>
      <c r="Y587" s="232"/>
      <c r="Z587" s="232"/>
      <c r="AA587" s="232"/>
      <c r="AB587" s="232"/>
      <c r="AC587" s="232"/>
      <c r="AD587" s="232"/>
      <c r="AE587" s="232"/>
      <c r="AF587" s="232"/>
      <c r="AG587" s="232"/>
      <c r="AH587" s="232"/>
      <c r="AI587" s="232"/>
      <c r="AJ587" s="232"/>
      <c r="AK587" s="232"/>
      <c r="AL587" s="232"/>
      <c r="AM587" s="232"/>
      <c r="AN587" s="232"/>
      <c r="AO587" s="232"/>
      <c r="AP587" s="232"/>
      <c r="AQ587" s="232"/>
      <c r="AR587" s="232"/>
      <c r="AS587" s="232"/>
      <c r="AT587" s="232"/>
      <c r="AU587" s="232"/>
      <c r="AV587" s="232"/>
      <c r="AW587" s="232"/>
      <c r="AX587" s="232"/>
      <c r="AY587" s="232"/>
      <c r="AZ587" s="232"/>
      <c r="BA587" s="232"/>
      <c r="BB587" s="232"/>
      <c r="BC587" s="232"/>
      <c r="BD587" s="232"/>
      <c r="BE587" s="232"/>
      <c r="BF587" s="232"/>
      <c r="BG587" s="232"/>
      <c r="BH587" s="232"/>
      <c r="BI587" s="232"/>
      <c r="BJ587" s="232"/>
      <c r="BK587" s="232"/>
      <c r="BL587" s="232"/>
      <c r="BM587" s="232"/>
      <c r="BN587" s="232"/>
      <c r="BO587" s="232"/>
      <c r="BP587" s="232"/>
      <c r="BQ587" s="232"/>
      <c r="BR587" s="232"/>
      <c r="BS587" s="232"/>
      <c r="BT587" s="232"/>
      <c r="BU587" s="232"/>
      <c r="BV587" s="232"/>
      <c r="BW587" s="232"/>
      <c r="BX587" s="232"/>
      <c r="BY587" s="232"/>
      <c r="BZ587" s="232"/>
      <c r="CA587" s="232"/>
      <c r="CB587" s="232"/>
      <c r="CC587" s="232"/>
      <c r="CD587" s="232"/>
      <c r="CE587" s="232"/>
      <c r="CF587" s="232"/>
      <c r="CG587" s="232"/>
      <c r="CH587" s="232"/>
      <c r="CI587" s="232"/>
      <c r="CJ587" s="232"/>
      <c r="CK587" s="232"/>
      <c r="CL587" s="232"/>
      <c r="CM587" s="232"/>
      <c r="CN587" s="215"/>
      <c r="CO587" s="215"/>
      <c r="CP587" s="215"/>
      <c r="CQ587" s="215"/>
      <c r="CR587" s="215"/>
      <c r="CS587" s="215"/>
      <c r="CT587" s="215"/>
    </row>
    <row r="588" ht="24.0" customHeight="1">
      <c r="A588" s="287"/>
      <c r="B588" s="287"/>
      <c r="C588" s="287"/>
      <c r="D588" s="232"/>
      <c r="E588" s="232"/>
      <c r="F588" s="232"/>
      <c r="G588" s="232"/>
      <c r="H588" s="232"/>
      <c r="I588" s="232"/>
      <c r="J588" s="232"/>
      <c r="K588" s="232"/>
      <c r="L588" s="232"/>
      <c r="M588" s="232"/>
      <c r="N588" s="289"/>
      <c r="O588" s="232"/>
      <c r="P588" s="232"/>
      <c r="Q588" s="232"/>
      <c r="R588" s="232"/>
      <c r="S588" s="232"/>
      <c r="T588" s="232"/>
      <c r="U588" s="232"/>
      <c r="V588" s="232"/>
      <c r="W588" s="232"/>
      <c r="X588" s="232"/>
      <c r="Y588" s="232"/>
      <c r="Z588" s="232"/>
      <c r="AA588" s="232"/>
      <c r="AB588" s="232"/>
      <c r="AC588" s="232"/>
      <c r="AD588" s="232"/>
      <c r="AE588" s="232"/>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c r="BL588" s="232"/>
      <c r="BM588" s="232"/>
      <c r="BN588" s="232"/>
      <c r="BO588" s="232"/>
      <c r="BP588" s="232"/>
      <c r="BQ588" s="232"/>
      <c r="BR588" s="232"/>
      <c r="BS588" s="232"/>
      <c r="BT588" s="232"/>
      <c r="BU588" s="232"/>
      <c r="BV588" s="232"/>
      <c r="BW588" s="232"/>
      <c r="BX588" s="232"/>
      <c r="BY588" s="232"/>
      <c r="BZ588" s="232"/>
      <c r="CA588" s="232"/>
      <c r="CB588" s="232"/>
      <c r="CC588" s="232"/>
      <c r="CD588" s="232"/>
      <c r="CE588" s="232"/>
      <c r="CF588" s="232"/>
      <c r="CG588" s="232"/>
      <c r="CH588" s="232"/>
      <c r="CI588" s="232"/>
      <c r="CJ588" s="232"/>
      <c r="CK588" s="232"/>
      <c r="CL588" s="232"/>
      <c r="CM588" s="232"/>
      <c r="CN588" s="215"/>
      <c r="CO588" s="215"/>
      <c r="CP588" s="215"/>
      <c r="CQ588" s="215"/>
      <c r="CR588" s="215"/>
      <c r="CS588" s="215"/>
      <c r="CT588" s="215"/>
    </row>
    <row r="589" ht="24.0" customHeight="1">
      <c r="A589" s="287"/>
      <c r="B589" s="287"/>
      <c r="C589" s="287"/>
      <c r="D589" s="232"/>
      <c r="E589" s="232"/>
      <c r="F589" s="232"/>
      <c r="G589" s="232"/>
      <c r="H589" s="232"/>
      <c r="I589" s="232"/>
      <c r="J589" s="232"/>
      <c r="K589" s="232"/>
      <c r="L589" s="232"/>
      <c r="M589" s="232"/>
      <c r="N589" s="289"/>
      <c r="O589" s="232"/>
      <c r="P589" s="232"/>
      <c r="Q589" s="232"/>
      <c r="R589" s="232"/>
      <c r="S589" s="232"/>
      <c r="T589" s="232"/>
      <c r="U589" s="232"/>
      <c r="V589" s="232"/>
      <c r="W589" s="232"/>
      <c r="X589" s="232"/>
      <c r="Y589" s="232"/>
      <c r="Z589" s="232"/>
      <c r="AA589" s="232"/>
      <c r="AB589" s="232"/>
      <c r="AC589" s="232"/>
      <c r="AD589" s="232"/>
      <c r="AE589" s="232"/>
      <c r="AF589" s="232"/>
      <c r="AG589" s="232"/>
      <c r="AH589" s="232"/>
      <c r="AI589" s="232"/>
      <c r="AJ589" s="232"/>
      <c r="AK589" s="232"/>
      <c r="AL589" s="232"/>
      <c r="AM589" s="232"/>
      <c r="AN589" s="232"/>
      <c r="AO589" s="232"/>
      <c r="AP589" s="232"/>
      <c r="AQ589" s="232"/>
      <c r="AR589" s="232"/>
      <c r="AS589" s="232"/>
      <c r="AT589" s="232"/>
      <c r="AU589" s="232"/>
      <c r="AV589" s="232"/>
      <c r="AW589" s="232"/>
      <c r="AX589" s="232"/>
      <c r="AY589" s="232"/>
      <c r="AZ589" s="232"/>
      <c r="BA589" s="232"/>
      <c r="BB589" s="232"/>
      <c r="BC589" s="232"/>
      <c r="BD589" s="232"/>
      <c r="BE589" s="232"/>
      <c r="BF589" s="232"/>
      <c r="BG589" s="232"/>
      <c r="BH589" s="232"/>
      <c r="BI589" s="232"/>
      <c r="BJ589" s="232"/>
      <c r="BK589" s="232"/>
      <c r="BL589" s="232"/>
      <c r="BM589" s="232"/>
      <c r="BN589" s="232"/>
      <c r="BO589" s="232"/>
      <c r="BP589" s="232"/>
      <c r="BQ589" s="232"/>
      <c r="BR589" s="232"/>
      <c r="BS589" s="232"/>
      <c r="BT589" s="232"/>
      <c r="BU589" s="232"/>
      <c r="BV589" s="232"/>
      <c r="BW589" s="232"/>
      <c r="BX589" s="232"/>
      <c r="BY589" s="232"/>
      <c r="BZ589" s="232"/>
      <c r="CA589" s="232"/>
      <c r="CB589" s="232"/>
      <c r="CC589" s="232"/>
      <c r="CD589" s="232"/>
      <c r="CE589" s="232"/>
      <c r="CF589" s="232"/>
      <c r="CG589" s="232"/>
      <c r="CH589" s="232"/>
      <c r="CI589" s="232"/>
      <c r="CJ589" s="232"/>
      <c r="CK589" s="232"/>
      <c r="CL589" s="232"/>
      <c r="CM589" s="232"/>
      <c r="CN589" s="215"/>
      <c r="CO589" s="215"/>
      <c r="CP589" s="215"/>
      <c r="CQ589" s="215"/>
      <c r="CR589" s="215"/>
      <c r="CS589" s="215"/>
      <c r="CT589" s="215"/>
    </row>
    <row r="590" ht="24.0" customHeight="1">
      <c r="A590" s="287"/>
      <c r="B590" s="287"/>
      <c r="C590" s="287"/>
      <c r="D590" s="232"/>
      <c r="E590" s="232"/>
      <c r="F590" s="232"/>
      <c r="G590" s="232"/>
      <c r="H590" s="232"/>
      <c r="I590" s="232"/>
      <c r="J590" s="232"/>
      <c r="K590" s="232"/>
      <c r="L590" s="232"/>
      <c r="M590" s="232"/>
      <c r="N590" s="289"/>
      <c r="O590" s="232"/>
      <c r="P590" s="232"/>
      <c r="Q590" s="232"/>
      <c r="R590" s="232"/>
      <c r="S590" s="232"/>
      <c r="T590" s="232"/>
      <c r="U590" s="232"/>
      <c r="V590" s="232"/>
      <c r="W590" s="232"/>
      <c r="X590" s="232"/>
      <c r="Y590" s="232"/>
      <c r="Z590" s="232"/>
      <c r="AA590" s="232"/>
      <c r="AB590" s="232"/>
      <c r="AC590" s="232"/>
      <c r="AD590" s="232"/>
      <c r="AE590" s="232"/>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c r="BL590" s="232"/>
      <c r="BM590" s="232"/>
      <c r="BN590" s="232"/>
      <c r="BO590" s="232"/>
      <c r="BP590" s="232"/>
      <c r="BQ590" s="232"/>
      <c r="BR590" s="232"/>
      <c r="BS590" s="232"/>
      <c r="BT590" s="232"/>
      <c r="BU590" s="232"/>
      <c r="BV590" s="232"/>
      <c r="BW590" s="232"/>
      <c r="BX590" s="232"/>
      <c r="BY590" s="232"/>
      <c r="BZ590" s="232"/>
      <c r="CA590" s="232"/>
      <c r="CB590" s="232"/>
      <c r="CC590" s="232"/>
      <c r="CD590" s="232"/>
      <c r="CE590" s="232"/>
      <c r="CF590" s="232"/>
      <c r="CG590" s="232"/>
      <c r="CH590" s="232"/>
      <c r="CI590" s="232"/>
      <c r="CJ590" s="232"/>
      <c r="CK590" s="232"/>
      <c r="CL590" s="232"/>
      <c r="CM590" s="232"/>
      <c r="CN590" s="215"/>
      <c r="CO590" s="215"/>
      <c r="CP590" s="215"/>
      <c r="CQ590" s="215"/>
      <c r="CR590" s="215"/>
      <c r="CS590" s="215"/>
      <c r="CT590" s="215"/>
    </row>
    <row r="591" ht="24.0" customHeight="1">
      <c r="A591" s="287"/>
      <c r="B591" s="287"/>
      <c r="C591" s="287"/>
      <c r="D591" s="232"/>
      <c r="E591" s="232"/>
      <c r="F591" s="232"/>
      <c r="G591" s="232"/>
      <c r="H591" s="232"/>
      <c r="I591" s="232"/>
      <c r="J591" s="232"/>
      <c r="K591" s="232"/>
      <c r="L591" s="232"/>
      <c r="M591" s="232"/>
      <c r="N591" s="289"/>
      <c r="O591" s="232"/>
      <c r="P591" s="232"/>
      <c r="Q591" s="232"/>
      <c r="R591" s="232"/>
      <c r="S591" s="232"/>
      <c r="T591" s="232"/>
      <c r="U591" s="232"/>
      <c r="V591" s="232"/>
      <c r="W591" s="232"/>
      <c r="X591" s="232"/>
      <c r="Y591" s="232"/>
      <c r="Z591" s="232"/>
      <c r="AA591" s="232"/>
      <c r="AB591" s="232"/>
      <c r="AC591" s="232"/>
      <c r="AD591" s="232"/>
      <c r="AE591" s="232"/>
      <c r="AF591" s="232"/>
      <c r="AG591" s="232"/>
      <c r="AH591" s="232"/>
      <c r="AI591" s="232"/>
      <c r="AJ591" s="232"/>
      <c r="AK591" s="232"/>
      <c r="AL591" s="232"/>
      <c r="AM591" s="232"/>
      <c r="AN591" s="232"/>
      <c r="AO591" s="232"/>
      <c r="AP591" s="232"/>
      <c r="AQ591" s="232"/>
      <c r="AR591" s="232"/>
      <c r="AS591" s="232"/>
      <c r="AT591" s="232"/>
      <c r="AU591" s="232"/>
      <c r="AV591" s="232"/>
      <c r="AW591" s="232"/>
      <c r="AX591" s="232"/>
      <c r="AY591" s="232"/>
      <c r="AZ591" s="232"/>
      <c r="BA591" s="232"/>
      <c r="BB591" s="232"/>
      <c r="BC591" s="232"/>
      <c r="BD591" s="232"/>
      <c r="BE591" s="232"/>
      <c r="BF591" s="232"/>
      <c r="BG591" s="232"/>
      <c r="BH591" s="232"/>
      <c r="BI591" s="232"/>
      <c r="BJ591" s="232"/>
      <c r="BK591" s="232"/>
      <c r="BL591" s="232"/>
      <c r="BM591" s="232"/>
      <c r="BN591" s="232"/>
      <c r="BO591" s="232"/>
      <c r="BP591" s="232"/>
      <c r="BQ591" s="232"/>
      <c r="BR591" s="232"/>
      <c r="BS591" s="232"/>
      <c r="BT591" s="232"/>
      <c r="BU591" s="232"/>
      <c r="BV591" s="232"/>
      <c r="BW591" s="232"/>
      <c r="BX591" s="232"/>
      <c r="BY591" s="232"/>
      <c r="BZ591" s="232"/>
      <c r="CA591" s="232"/>
      <c r="CB591" s="232"/>
      <c r="CC591" s="232"/>
      <c r="CD591" s="232"/>
      <c r="CE591" s="232"/>
      <c r="CF591" s="232"/>
      <c r="CG591" s="232"/>
      <c r="CH591" s="232"/>
      <c r="CI591" s="232"/>
      <c r="CJ591" s="232"/>
      <c r="CK591" s="232"/>
      <c r="CL591" s="232"/>
      <c r="CM591" s="232"/>
      <c r="CN591" s="215"/>
      <c r="CO591" s="215"/>
      <c r="CP591" s="215"/>
      <c r="CQ591" s="215"/>
      <c r="CR591" s="215"/>
      <c r="CS591" s="215"/>
      <c r="CT591" s="215"/>
    </row>
    <row r="592" ht="24.0" customHeight="1">
      <c r="A592" s="287"/>
      <c r="B592" s="287"/>
      <c r="C592" s="287"/>
      <c r="D592" s="232"/>
      <c r="E592" s="232"/>
      <c r="F592" s="232"/>
      <c r="G592" s="232"/>
      <c r="H592" s="232"/>
      <c r="I592" s="232"/>
      <c r="J592" s="232"/>
      <c r="K592" s="232"/>
      <c r="L592" s="232"/>
      <c r="M592" s="232"/>
      <c r="N592" s="289"/>
      <c r="O592" s="232"/>
      <c r="P592" s="232"/>
      <c r="Q592" s="232"/>
      <c r="R592" s="232"/>
      <c r="S592" s="232"/>
      <c r="T592" s="232"/>
      <c r="U592" s="232"/>
      <c r="V592" s="232"/>
      <c r="W592" s="232"/>
      <c r="X592" s="232"/>
      <c r="Y592" s="232"/>
      <c r="Z592" s="232"/>
      <c r="AA592" s="232"/>
      <c r="AB592" s="232"/>
      <c r="AC592" s="232"/>
      <c r="AD592" s="232"/>
      <c r="AE592" s="232"/>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c r="BL592" s="232"/>
      <c r="BM592" s="232"/>
      <c r="BN592" s="232"/>
      <c r="BO592" s="232"/>
      <c r="BP592" s="232"/>
      <c r="BQ592" s="232"/>
      <c r="BR592" s="232"/>
      <c r="BS592" s="232"/>
      <c r="BT592" s="232"/>
      <c r="BU592" s="232"/>
      <c r="BV592" s="232"/>
      <c r="BW592" s="232"/>
      <c r="BX592" s="232"/>
      <c r="BY592" s="232"/>
      <c r="BZ592" s="232"/>
      <c r="CA592" s="232"/>
      <c r="CB592" s="232"/>
      <c r="CC592" s="232"/>
      <c r="CD592" s="232"/>
      <c r="CE592" s="232"/>
      <c r="CF592" s="232"/>
      <c r="CG592" s="232"/>
      <c r="CH592" s="232"/>
      <c r="CI592" s="232"/>
      <c r="CJ592" s="232"/>
      <c r="CK592" s="232"/>
      <c r="CL592" s="232"/>
      <c r="CM592" s="232"/>
      <c r="CN592" s="215"/>
      <c r="CO592" s="215"/>
      <c r="CP592" s="215"/>
      <c r="CQ592" s="215"/>
      <c r="CR592" s="215"/>
      <c r="CS592" s="215"/>
      <c r="CT592" s="215"/>
    </row>
    <row r="593" ht="24.0" customHeight="1">
      <c r="A593" s="287"/>
      <c r="B593" s="287"/>
      <c r="C593" s="287"/>
      <c r="D593" s="232"/>
      <c r="E593" s="232"/>
      <c r="F593" s="232"/>
      <c r="G593" s="232"/>
      <c r="H593" s="232"/>
      <c r="I593" s="232"/>
      <c r="J593" s="232"/>
      <c r="K593" s="232"/>
      <c r="L593" s="232"/>
      <c r="M593" s="232"/>
      <c r="N593" s="289"/>
      <c r="O593" s="232"/>
      <c r="P593" s="232"/>
      <c r="Q593" s="232"/>
      <c r="R593" s="232"/>
      <c r="S593" s="232"/>
      <c r="T593" s="232"/>
      <c r="U593" s="232"/>
      <c r="V593" s="232"/>
      <c r="W593" s="232"/>
      <c r="X593" s="232"/>
      <c r="Y593" s="232"/>
      <c r="Z593" s="232"/>
      <c r="AA593" s="232"/>
      <c r="AB593" s="232"/>
      <c r="AC593" s="232"/>
      <c r="AD593" s="232"/>
      <c r="AE593" s="232"/>
      <c r="AF593" s="232"/>
      <c r="AG593" s="232"/>
      <c r="AH593" s="232"/>
      <c r="AI593" s="232"/>
      <c r="AJ593" s="232"/>
      <c r="AK593" s="232"/>
      <c r="AL593" s="232"/>
      <c r="AM593" s="232"/>
      <c r="AN593" s="232"/>
      <c r="AO593" s="232"/>
      <c r="AP593" s="232"/>
      <c r="AQ593" s="232"/>
      <c r="AR593" s="232"/>
      <c r="AS593" s="232"/>
      <c r="AT593" s="232"/>
      <c r="AU593" s="232"/>
      <c r="AV593" s="232"/>
      <c r="AW593" s="232"/>
      <c r="AX593" s="232"/>
      <c r="AY593" s="232"/>
      <c r="AZ593" s="232"/>
      <c r="BA593" s="232"/>
      <c r="BB593" s="232"/>
      <c r="BC593" s="232"/>
      <c r="BD593" s="232"/>
      <c r="BE593" s="232"/>
      <c r="BF593" s="232"/>
      <c r="BG593" s="232"/>
      <c r="BH593" s="232"/>
      <c r="BI593" s="232"/>
      <c r="BJ593" s="232"/>
      <c r="BK593" s="232"/>
      <c r="BL593" s="232"/>
      <c r="BM593" s="232"/>
      <c r="BN593" s="232"/>
      <c r="BO593" s="232"/>
      <c r="BP593" s="232"/>
      <c r="BQ593" s="232"/>
      <c r="BR593" s="232"/>
      <c r="BS593" s="232"/>
      <c r="BT593" s="232"/>
      <c r="BU593" s="232"/>
      <c r="BV593" s="232"/>
      <c r="BW593" s="232"/>
      <c r="BX593" s="232"/>
      <c r="BY593" s="232"/>
      <c r="BZ593" s="232"/>
      <c r="CA593" s="232"/>
      <c r="CB593" s="232"/>
      <c r="CC593" s="232"/>
      <c r="CD593" s="232"/>
      <c r="CE593" s="232"/>
      <c r="CF593" s="232"/>
      <c r="CG593" s="232"/>
      <c r="CH593" s="232"/>
      <c r="CI593" s="232"/>
      <c r="CJ593" s="232"/>
      <c r="CK593" s="232"/>
      <c r="CL593" s="232"/>
      <c r="CM593" s="232"/>
      <c r="CN593" s="215"/>
      <c r="CO593" s="215"/>
      <c r="CP593" s="215"/>
      <c r="CQ593" s="215"/>
      <c r="CR593" s="215"/>
      <c r="CS593" s="215"/>
      <c r="CT593" s="215"/>
    </row>
    <row r="594" ht="24.0" customHeight="1">
      <c r="A594" s="287"/>
      <c r="B594" s="287"/>
      <c r="C594" s="287"/>
      <c r="D594" s="232"/>
      <c r="E594" s="232"/>
      <c r="F594" s="232"/>
      <c r="G594" s="232"/>
      <c r="H594" s="232"/>
      <c r="I594" s="232"/>
      <c r="J594" s="232"/>
      <c r="K594" s="232"/>
      <c r="L594" s="232"/>
      <c r="M594" s="232"/>
      <c r="N594" s="289"/>
      <c r="O594" s="232"/>
      <c r="P594" s="232"/>
      <c r="Q594" s="232"/>
      <c r="R594" s="232"/>
      <c r="S594" s="232"/>
      <c r="T594" s="232"/>
      <c r="U594" s="232"/>
      <c r="V594" s="232"/>
      <c r="W594" s="232"/>
      <c r="X594" s="232"/>
      <c r="Y594" s="232"/>
      <c r="Z594" s="232"/>
      <c r="AA594" s="232"/>
      <c r="AB594" s="232"/>
      <c r="AC594" s="232"/>
      <c r="AD594" s="232"/>
      <c r="AE594" s="232"/>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c r="BL594" s="232"/>
      <c r="BM594" s="232"/>
      <c r="BN594" s="232"/>
      <c r="BO594" s="232"/>
      <c r="BP594" s="232"/>
      <c r="BQ594" s="232"/>
      <c r="BR594" s="232"/>
      <c r="BS594" s="232"/>
      <c r="BT594" s="232"/>
      <c r="BU594" s="232"/>
      <c r="BV594" s="232"/>
      <c r="BW594" s="232"/>
      <c r="BX594" s="232"/>
      <c r="BY594" s="232"/>
      <c r="BZ594" s="232"/>
      <c r="CA594" s="232"/>
      <c r="CB594" s="232"/>
      <c r="CC594" s="232"/>
      <c r="CD594" s="232"/>
      <c r="CE594" s="232"/>
      <c r="CF594" s="232"/>
      <c r="CG594" s="232"/>
      <c r="CH594" s="232"/>
      <c r="CI594" s="232"/>
      <c r="CJ594" s="232"/>
      <c r="CK594" s="232"/>
      <c r="CL594" s="232"/>
      <c r="CM594" s="232"/>
      <c r="CN594" s="215"/>
      <c r="CO594" s="215"/>
      <c r="CP594" s="215"/>
      <c r="CQ594" s="215"/>
      <c r="CR594" s="215"/>
      <c r="CS594" s="215"/>
      <c r="CT594" s="215"/>
    </row>
    <row r="595" ht="24.0" customHeight="1">
      <c r="A595" s="287"/>
      <c r="B595" s="287"/>
      <c r="C595" s="287"/>
      <c r="D595" s="232"/>
      <c r="E595" s="232"/>
      <c r="F595" s="232"/>
      <c r="G595" s="232"/>
      <c r="H595" s="232"/>
      <c r="I595" s="232"/>
      <c r="J595" s="232"/>
      <c r="K595" s="232"/>
      <c r="L595" s="232"/>
      <c r="M595" s="232"/>
      <c r="N595" s="289"/>
      <c r="O595" s="232"/>
      <c r="P595" s="232"/>
      <c r="Q595" s="232"/>
      <c r="R595" s="232"/>
      <c r="S595" s="232"/>
      <c r="T595" s="232"/>
      <c r="U595" s="232"/>
      <c r="V595" s="232"/>
      <c r="W595" s="232"/>
      <c r="X595" s="232"/>
      <c r="Y595" s="232"/>
      <c r="Z595" s="232"/>
      <c r="AA595" s="232"/>
      <c r="AB595" s="232"/>
      <c r="AC595" s="232"/>
      <c r="AD595" s="232"/>
      <c r="AE595" s="232"/>
      <c r="AF595" s="232"/>
      <c r="AG595" s="232"/>
      <c r="AH595" s="232"/>
      <c r="AI595" s="232"/>
      <c r="AJ595" s="232"/>
      <c r="AK595" s="232"/>
      <c r="AL595" s="232"/>
      <c r="AM595" s="232"/>
      <c r="AN595" s="232"/>
      <c r="AO595" s="232"/>
      <c r="AP595" s="232"/>
      <c r="AQ595" s="232"/>
      <c r="AR595" s="232"/>
      <c r="AS595" s="232"/>
      <c r="AT595" s="232"/>
      <c r="AU595" s="232"/>
      <c r="AV595" s="232"/>
      <c r="AW595" s="232"/>
      <c r="AX595" s="232"/>
      <c r="AY595" s="232"/>
      <c r="AZ595" s="232"/>
      <c r="BA595" s="232"/>
      <c r="BB595" s="232"/>
      <c r="BC595" s="232"/>
      <c r="BD595" s="232"/>
      <c r="BE595" s="232"/>
      <c r="BF595" s="232"/>
      <c r="BG595" s="232"/>
      <c r="BH595" s="232"/>
      <c r="BI595" s="232"/>
      <c r="BJ595" s="232"/>
      <c r="BK595" s="232"/>
      <c r="BL595" s="232"/>
      <c r="BM595" s="232"/>
      <c r="BN595" s="232"/>
      <c r="BO595" s="232"/>
      <c r="BP595" s="232"/>
      <c r="BQ595" s="232"/>
      <c r="BR595" s="232"/>
      <c r="BS595" s="232"/>
      <c r="BT595" s="232"/>
      <c r="BU595" s="232"/>
      <c r="BV595" s="232"/>
      <c r="BW595" s="232"/>
      <c r="BX595" s="232"/>
      <c r="BY595" s="232"/>
      <c r="BZ595" s="232"/>
      <c r="CA595" s="232"/>
      <c r="CB595" s="232"/>
      <c r="CC595" s="232"/>
      <c r="CD595" s="232"/>
      <c r="CE595" s="232"/>
      <c r="CF595" s="232"/>
      <c r="CG595" s="232"/>
      <c r="CH595" s="232"/>
      <c r="CI595" s="232"/>
      <c r="CJ595" s="232"/>
      <c r="CK595" s="232"/>
      <c r="CL595" s="232"/>
      <c r="CM595" s="232"/>
      <c r="CN595" s="215"/>
      <c r="CO595" s="215"/>
      <c r="CP595" s="215"/>
      <c r="CQ595" s="215"/>
      <c r="CR595" s="215"/>
      <c r="CS595" s="215"/>
      <c r="CT595" s="215"/>
    </row>
    <row r="596" ht="24.0" customHeight="1">
      <c r="A596" s="287"/>
      <c r="B596" s="287"/>
      <c r="C596" s="287"/>
      <c r="D596" s="232"/>
      <c r="E596" s="232"/>
      <c r="F596" s="232"/>
      <c r="G596" s="232"/>
      <c r="H596" s="232"/>
      <c r="I596" s="232"/>
      <c r="J596" s="232"/>
      <c r="K596" s="232"/>
      <c r="L596" s="232"/>
      <c r="M596" s="232"/>
      <c r="N596" s="289"/>
      <c r="O596" s="232"/>
      <c r="P596" s="232"/>
      <c r="Q596" s="232"/>
      <c r="R596" s="232"/>
      <c r="S596" s="232"/>
      <c r="T596" s="232"/>
      <c r="U596" s="232"/>
      <c r="V596" s="232"/>
      <c r="W596" s="232"/>
      <c r="X596" s="232"/>
      <c r="Y596" s="232"/>
      <c r="Z596" s="232"/>
      <c r="AA596" s="232"/>
      <c r="AB596" s="232"/>
      <c r="AC596" s="232"/>
      <c r="AD596" s="232"/>
      <c r="AE596" s="232"/>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c r="BL596" s="232"/>
      <c r="BM596" s="232"/>
      <c r="BN596" s="232"/>
      <c r="BO596" s="232"/>
      <c r="BP596" s="232"/>
      <c r="BQ596" s="232"/>
      <c r="BR596" s="232"/>
      <c r="BS596" s="232"/>
      <c r="BT596" s="232"/>
      <c r="BU596" s="232"/>
      <c r="BV596" s="232"/>
      <c r="BW596" s="232"/>
      <c r="BX596" s="232"/>
      <c r="BY596" s="232"/>
      <c r="BZ596" s="232"/>
      <c r="CA596" s="232"/>
      <c r="CB596" s="232"/>
      <c r="CC596" s="232"/>
      <c r="CD596" s="232"/>
      <c r="CE596" s="232"/>
      <c r="CF596" s="232"/>
      <c r="CG596" s="232"/>
      <c r="CH596" s="232"/>
      <c r="CI596" s="232"/>
      <c r="CJ596" s="232"/>
      <c r="CK596" s="232"/>
      <c r="CL596" s="232"/>
      <c r="CM596" s="232"/>
      <c r="CN596" s="215"/>
      <c r="CO596" s="215"/>
      <c r="CP596" s="215"/>
      <c r="CQ596" s="215"/>
      <c r="CR596" s="215"/>
      <c r="CS596" s="215"/>
      <c r="CT596" s="215"/>
    </row>
    <row r="597" ht="24.0" customHeight="1">
      <c r="A597" s="287"/>
      <c r="B597" s="287"/>
      <c r="C597" s="287"/>
      <c r="D597" s="232"/>
      <c r="E597" s="232"/>
      <c r="F597" s="232"/>
      <c r="G597" s="232"/>
      <c r="H597" s="232"/>
      <c r="I597" s="232"/>
      <c r="J597" s="232"/>
      <c r="K597" s="232"/>
      <c r="L597" s="232"/>
      <c r="M597" s="232"/>
      <c r="N597" s="289"/>
      <c r="O597" s="232"/>
      <c r="P597" s="232"/>
      <c r="Q597" s="232"/>
      <c r="R597" s="232"/>
      <c r="S597" s="232"/>
      <c r="T597" s="232"/>
      <c r="U597" s="232"/>
      <c r="V597" s="232"/>
      <c r="W597" s="232"/>
      <c r="X597" s="232"/>
      <c r="Y597" s="232"/>
      <c r="Z597" s="232"/>
      <c r="AA597" s="232"/>
      <c r="AB597" s="232"/>
      <c r="AC597" s="232"/>
      <c r="AD597" s="232"/>
      <c r="AE597" s="232"/>
      <c r="AF597" s="232"/>
      <c r="AG597" s="232"/>
      <c r="AH597" s="232"/>
      <c r="AI597" s="232"/>
      <c r="AJ597" s="232"/>
      <c r="AK597" s="232"/>
      <c r="AL597" s="232"/>
      <c r="AM597" s="232"/>
      <c r="AN597" s="232"/>
      <c r="AO597" s="232"/>
      <c r="AP597" s="232"/>
      <c r="AQ597" s="232"/>
      <c r="AR597" s="232"/>
      <c r="AS597" s="232"/>
      <c r="AT597" s="232"/>
      <c r="AU597" s="232"/>
      <c r="AV597" s="232"/>
      <c r="AW597" s="232"/>
      <c r="AX597" s="232"/>
      <c r="AY597" s="232"/>
      <c r="AZ597" s="232"/>
      <c r="BA597" s="232"/>
      <c r="BB597" s="232"/>
      <c r="BC597" s="232"/>
      <c r="BD597" s="232"/>
      <c r="BE597" s="232"/>
      <c r="BF597" s="232"/>
      <c r="BG597" s="232"/>
      <c r="BH597" s="232"/>
      <c r="BI597" s="232"/>
      <c r="BJ597" s="232"/>
      <c r="BK597" s="232"/>
      <c r="BL597" s="232"/>
      <c r="BM597" s="232"/>
      <c r="BN597" s="232"/>
      <c r="BO597" s="232"/>
      <c r="BP597" s="232"/>
      <c r="BQ597" s="232"/>
      <c r="BR597" s="232"/>
      <c r="BS597" s="232"/>
      <c r="BT597" s="232"/>
      <c r="BU597" s="232"/>
      <c r="BV597" s="232"/>
      <c r="BW597" s="232"/>
      <c r="BX597" s="232"/>
      <c r="BY597" s="232"/>
      <c r="BZ597" s="232"/>
      <c r="CA597" s="232"/>
      <c r="CB597" s="232"/>
      <c r="CC597" s="232"/>
      <c r="CD597" s="232"/>
      <c r="CE597" s="232"/>
      <c r="CF597" s="232"/>
      <c r="CG597" s="232"/>
      <c r="CH597" s="232"/>
      <c r="CI597" s="232"/>
      <c r="CJ597" s="232"/>
      <c r="CK597" s="232"/>
      <c r="CL597" s="232"/>
      <c r="CM597" s="232"/>
      <c r="CN597" s="215"/>
      <c r="CO597" s="215"/>
      <c r="CP597" s="215"/>
      <c r="CQ597" s="215"/>
      <c r="CR597" s="215"/>
      <c r="CS597" s="215"/>
      <c r="CT597" s="215"/>
    </row>
    <row r="598" ht="24.0" customHeight="1">
      <c r="A598" s="287"/>
      <c r="B598" s="287"/>
      <c r="C598" s="287"/>
      <c r="D598" s="232"/>
      <c r="E598" s="232"/>
      <c r="F598" s="232"/>
      <c r="G598" s="232"/>
      <c r="H598" s="232"/>
      <c r="I598" s="232"/>
      <c r="J598" s="232"/>
      <c r="K598" s="232"/>
      <c r="L598" s="232"/>
      <c r="M598" s="232"/>
      <c r="N598" s="289"/>
      <c r="O598" s="232"/>
      <c r="P598" s="232"/>
      <c r="Q598" s="232"/>
      <c r="R598" s="232"/>
      <c r="S598" s="232"/>
      <c r="T598" s="232"/>
      <c r="U598" s="232"/>
      <c r="V598" s="232"/>
      <c r="W598" s="232"/>
      <c r="X598" s="232"/>
      <c r="Y598" s="232"/>
      <c r="Z598" s="232"/>
      <c r="AA598" s="232"/>
      <c r="AB598" s="232"/>
      <c r="AC598" s="232"/>
      <c r="AD598" s="232"/>
      <c r="AE598" s="232"/>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c r="BL598" s="232"/>
      <c r="BM598" s="232"/>
      <c r="BN598" s="232"/>
      <c r="BO598" s="232"/>
      <c r="BP598" s="232"/>
      <c r="BQ598" s="232"/>
      <c r="BR598" s="232"/>
      <c r="BS598" s="232"/>
      <c r="BT598" s="232"/>
      <c r="BU598" s="232"/>
      <c r="BV598" s="232"/>
      <c r="BW598" s="232"/>
      <c r="BX598" s="232"/>
      <c r="BY598" s="232"/>
      <c r="BZ598" s="232"/>
      <c r="CA598" s="232"/>
      <c r="CB598" s="232"/>
      <c r="CC598" s="232"/>
      <c r="CD598" s="232"/>
      <c r="CE598" s="232"/>
      <c r="CF598" s="232"/>
      <c r="CG598" s="232"/>
      <c r="CH598" s="232"/>
      <c r="CI598" s="232"/>
      <c r="CJ598" s="232"/>
      <c r="CK598" s="232"/>
      <c r="CL598" s="232"/>
      <c r="CM598" s="232"/>
      <c r="CN598" s="215"/>
      <c r="CO598" s="215"/>
      <c r="CP598" s="215"/>
      <c r="CQ598" s="215"/>
      <c r="CR598" s="215"/>
      <c r="CS598" s="215"/>
      <c r="CT598" s="215"/>
    </row>
    <row r="599" ht="24.0" customHeight="1">
      <c r="A599" s="287"/>
      <c r="B599" s="287"/>
      <c r="C599" s="287"/>
      <c r="D599" s="232"/>
      <c r="E599" s="232"/>
      <c r="F599" s="232"/>
      <c r="G599" s="232"/>
      <c r="H599" s="232"/>
      <c r="I599" s="232"/>
      <c r="J599" s="232"/>
      <c r="K599" s="232"/>
      <c r="L599" s="232"/>
      <c r="M599" s="232"/>
      <c r="N599" s="289"/>
      <c r="O599" s="232"/>
      <c r="P599" s="232"/>
      <c r="Q599" s="232"/>
      <c r="R599" s="232"/>
      <c r="S599" s="232"/>
      <c r="T599" s="232"/>
      <c r="U599" s="232"/>
      <c r="V599" s="232"/>
      <c r="W599" s="232"/>
      <c r="X599" s="232"/>
      <c r="Y599" s="232"/>
      <c r="Z599" s="232"/>
      <c r="AA599" s="232"/>
      <c r="AB599" s="232"/>
      <c r="AC599" s="232"/>
      <c r="AD599" s="232"/>
      <c r="AE599" s="232"/>
      <c r="AF599" s="232"/>
      <c r="AG599" s="232"/>
      <c r="AH599" s="232"/>
      <c r="AI599" s="232"/>
      <c r="AJ599" s="232"/>
      <c r="AK599" s="232"/>
      <c r="AL599" s="232"/>
      <c r="AM599" s="232"/>
      <c r="AN599" s="232"/>
      <c r="AO599" s="232"/>
      <c r="AP599" s="232"/>
      <c r="AQ599" s="232"/>
      <c r="AR599" s="232"/>
      <c r="AS599" s="232"/>
      <c r="AT599" s="232"/>
      <c r="AU599" s="232"/>
      <c r="AV599" s="232"/>
      <c r="AW599" s="232"/>
      <c r="AX599" s="232"/>
      <c r="AY599" s="232"/>
      <c r="AZ599" s="232"/>
      <c r="BA599" s="232"/>
      <c r="BB599" s="232"/>
      <c r="BC599" s="232"/>
      <c r="BD599" s="232"/>
      <c r="BE599" s="232"/>
      <c r="BF599" s="232"/>
      <c r="BG599" s="232"/>
      <c r="BH599" s="232"/>
      <c r="BI599" s="232"/>
      <c r="BJ599" s="232"/>
      <c r="BK599" s="232"/>
      <c r="BL599" s="232"/>
      <c r="BM599" s="232"/>
      <c r="BN599" s="232"/>
      <c r="BO599" s="232"/>
      <c r="BP599" s="232"/>
      <c r="BQ599" s="232"/>
      <c r="BR599" s="232"/>
      <c r="BS599" s="232"/>
      <c r="BT599" s="232"/>
      <c r="BU599" s="232"/>
      <c r="BV599" s="232"/>
      <c r="BW599" s="232"/>
      <c r="BX599" s="232"/>
      <c r="BY599" s="232"/>
      <c r="BZ599" s="232"/>
      <c r="CA599" s="232"/>
      <c r="CB599" s="232"/>
      <c r="CC599" s="232"/>
      <c r="CD599" s="232"/>
      <c r="CE599" s="232"/>
      <c r="CF599" s="232"/>
      <c r="CG599" s="232"/>
      <c r="CH599" s="232"/>
      <c r="CI599" s="232"/>
      <c r="CJ599" s="232"/>
      <c r="CK599" s="232"/>
      <c r="CL599" s="232"/>
      <c r="CM599" s="232"/>
      <c r="CN599" s="215"/>
      <c r="CO599" s="215"/>
      <c r="CP599" s="215"/>
      <c r="CQ599" s="215"/>
      <c r="CR599" s="215"/>
      <c r="CS599" s="215"/>
      <c r="CT599" s="215"/>
    </row>
    <row r="600" ht="24.0" customHeight="1">
      <c r="A600" s="287"/>
      <c r="B600" s="287"/>
      <c r="C600" s="287"/>
      <c r="D600" s="232"/>
      <c r="E600" s="232"/>
      <c r="F600" s="232"/>
      <c r="G600" s="232"/>
      <c r="H600" s="232"/>
      <c r="I600" s="232"/>
      <c r="J600" s="232"/>
      <c r="K600" s="232"/>
      <c r="L600" s="232"/>
      <c r="M600" s="232"/>
      <c r="N600" s="289"/>
      <c r="O600" s="232"/>
      <c r="P600" s="232"/>
      <c r="Q600" s="232"/>
      <c r="R600" s="232"/>
      <c r="S600" s="232"/>
      <c r="T600" s="232"/>
      <c r="U600" s="232"/>
      <c r="V600" s="232"/>
      <c r="W600" s="232"/>
      <c r="X600" s="232"/>
      <c r="Y600" s="232"/>
      <c r="Z600" s="232"/>
      <c r="AA600" s="232"/>
      <c r="AB600" s="232"/>
      <c r="AC600" s="232"/>
      <c r="AD600" s="232"/>
      <c r="AE600" s="232"/>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c r="BL600" s="232"/>
      <c r="BM600" s="232"/>
      <c r="BN600" s="232"/>
      <c r="BO600" s="232"/>
      <c r="BP600" s="232"/>
      <c r="BQ600" s="232"/>
      <c r="BR600" s="232"/>
      <c r="BS600" s="232"/>
      <c r="BT600" s="232"/>
      <c r="BU600" s="232"/>
      <c r="BV600" s="232"/>
      <c r="BW600" s="232"/>
      <c r="BX600" s="232"/>
      <c r="BY600" s="232"/>
      <c r="BZ600" s="232"/>
      <c r="CA600" s="232"/>
      <c r="CB600" s="232"/>
      <c r="CC600" s="232"/>
      <c r="CD600" s="232"/>
      <c r="CE600" s="232"/>
      <c r="CF600" s="232"/>
      <c r="CG600" s="232"/>
      <c r="CH600" s="232"/>
      <c r="CI600" s="232"/>
      <c r="CJ600" s="232"/>
      <c r="CK600" s="232"/>
      <c r="CL600" s="232"/>
      <c r="CM600" s="232"/>
      <c r="CN600" s="215"/>
      <c r="CO600" s="215"/>
      <c r="CP600" s="215"/>
      <c r="CQ600" s="215"/>
      <c r="CR600" s="215"/>
      <c r="CS600" s="215"/>
      <c r="CT600" s="215"/>
    </row>
    <row r="601" ht="24.0" customHeight="1">
      <c r="A601" s="287"/>
      <c r="B601" s="287"/>
      <c r="C601" s="287"/>
      <c r="D601" s="232"/>
      <c r="E601" s="232"/>
      <c r="F601" s="232"/>
      <c r="G601" s="232"/>
      <c r="H601" s="232"/>
      <c r="I601" s="232"/>
      <c r="J601" s="232"/>
      <c r="K601" s="232"/>
      <c r="L601" s="232"/>
      <c r="M601" s="232"/>
      <c r="N601" s="289"/>
      <c r="O601" s="232"/>
      <c r="P601" s="232"/>
      <c r="Q601" s="232"/>
      <c r="R601" s="232"/>
      <c r="S601" s="232"/>
      <c r="T601" s="232"/>
      <c r="U601" s="232"/>
      <c r="V601" s="232"/>
      <c r="W601" s="232"/>
      <c r="X601" s="232"/>
      <c r="Y601" s="232"/>
      <c r="Z601" s="232"/>
      <c r="AA601" s="232"/>
      <c r="AB601" s="232"/>
      <c r="AC601" s="232"/>
      <c r="AD601" s="232"/>
      <c r="AE601" s="232"/>
      <c r="AF601" s="232"/>
      <c r="AG601" s="232"/>
      <c r="AH601" s="232"/>
      <c r="AI601" s="232"/>
      <c r="AJ601" s="232"/>
      <c r="AK601" s="232"/>
      <c r="AL601" s="232"/>
      <c r="AM601" s="232"/>
      <c r="AN601" s="232"/>
      <c r="AO601" s="232"/>
      <c r="AP601" s="232"/>
      <c r="AQ601" s="232"/>
      <c r="AR601" s="232"/>
      <c r="AS601" s="232"/>
      <c r="AT601" s="232"/>
      <c r="AU601" s="232"/>
      <c r="AV601" s="232"/>
      <c r="AW601" s="232"/>
      <c r="AX601" s="232"/>
      <c r="AY601" s="232"/>
      <c r="AZ601" s="232"/>
      <c r="BA601" s="232"/>
      <c r="BB601" s="232"/>
      <c r="BC601" s="232"/>
      <c r="BD601" s="232"/>
      <c r="BE601" s="232"/>
      <c r="BF601" s="232"/>
      <c r="BG601" s="232"/>
      <c r="BH601" s="232"/>
      <c r="BI601" s="232"/>
      <c r="BJ601" s="232"/>
      <c r="BK601" s="232"/>
      <c r="BL601" s="232"/>
      <c r="BM601" s="232"/>
      <c r="BN601" s="232"/>
      <c r="BO601" s="232"/>
      <c r="BP601" s="232"/>
      <c r="BQ601" s="232"/>
      <c r="BR601" s="232"/>
      <c r="BS601" s="232"/>
      <c r="BT601" s="232"/>
      <c r="BU601" s="232"/>
      <c r="BV601" s="232"/>
      <c r="BW601" s="232"/>
      <c r="BX601" s="232"/>
      <c r="BY601" s="232"/>
      <c r="BZ601" s="232"/>
      <c r="CA601" s="232"/>
      <c r="CB601" s="232"/>
      <c r="CC601" s="232"/>
      <c r="CD601" s="232"/>
      <c r="CE601" s="232"/>
      <c r="CF601" s="232"/>
      <c r="CG601" s="232"/>
      <c r="CH601" s="232"/>
      <c r="CI601" s="232"/>
      <c r="CJ601" s="232"/>
      <c r="CK601" s="232"/>
      <c r="CL601" s="232"/>
      <c r="CM601" s="232"/>
      <c r="CN601" s="215"/>
      <c r="CO601" s="215"/>
      <c r="CP601" s="215"/>
      <c r="CQ601" s="215"/>
      <c r="CR601" s="215"/>
      <c r="CS601" s="215"/>
      <c r="CT601" s="215"/>
    </row>
    <row r="602" ht="24.0" customHeight="1">
      <c r="A602" s="287"/>
      <c r="B602" s="287"/>
      <c r="C602" s="287"/>
      <c r="D602" s="232"/>
      <c r="E602" s="232"/>
      <c r="F602" s="232"/>
      <c r="G602" s="232"/>
      <c r="H602" s="232"/>
      <c r="I602" s="232"/>
      <c r="J602" s="232"/>
      <c r="K602" s="232"/>
      <c r="L602" s="232"/>
      <c r="M602" s="232"/>
      <c r="N602" s="289"/>
      <c r="O602" s="232"/>
      <c r="P602" s="232"/>
      <c r="Q602" s="232"/>
      <c r="R602" s="232"/>
      <c r="S602" s="232"/>
      <c r="T602" s="232"/>
      <c r="U602" s="232"/>
      <c r="V602" s="232"/>
      <c r="W602" s="232"/>
      <c r="X602" s="232"/>
      <c r="Y602" s="232"/>
      <c r="Z602" s="232"/>
      <c r="AA602" s="232"/>
      <c r="AB602" s="232"/>
      <c r="AC602" s="232"/>
      <c r="AD602" s="232"/>
      <c r="AE602" s="232"/>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c r="BL602" s="232"/>
      <c r="BM602" s="232"/>
      <c r="BN602" s="232"/>
      <c r="BO602" s="232"/>
      <c r="BP602" s="232"/>
      <c r="BQ602" s="232"/>
      <c r="BR602" s="232"/>
      <c r="BS602" s="232"/>
      <c r="BT602" s="232"/>
      <c r="BU602" s="232"/>
      <c r="BV602" s="232"/>
      <c r="BW602" s="232"/>
      <c r="BX602" s="232"/>
      <c r="BY602" s="232"/>
      <c r="BZ602" s="232"/>
      <c r="CA602" s="232"/>
      <c r="CB602" s="232"/>
      <c r="CC602" s="232"/>
      <c r="CD602" s="232"/>
      <c r="CE602" s="232"/>
      <c r="CF602" s="232"/>
      <c r="CG602" s="232"/>
      <c r="CH602" s="232"/>
      <c r="CI602" s="232"/>
      <c r="CJ602" s="232"/>
      <c r="CK602" s="232"/>
      <c r="CL602" s="232"/>
      <c r="CM602" s="232"/>
      <c r="CN602" s="215"/>
      <c r="CO602" s="215"/>
      <c r="CP602" s="215"/>
      <c r="CQ602" s="215"/>
      <c r="CR602" s="215"/>
      <c r="CS602" s="215"/>
      <c r="CT602" s="215"/>
    </row>
    <row r="603" ht="24.0" customHeight="1">
      <c r="A603" s="287"/>
      <c r="B603" s="287"/>
      <c r="C603" s="287"/>
      <c r="D603" s="232"/>
      <c r="E603" s="232"/>
      <c r="F603" s="232"/>
      <c r="G603" s="232"/>
      <c r="H603" s="232"/>
      <c r="I603" s="232"/>
      <c r="J603" s="232"/>
      <c r="K603" s="232"/>
      <c r="L603" s="232"/>
      <c r="M603" s="232"/>
      <c r="N603" s="289"/>
      <c r="O603" s="232"/>
      <c r="P603" s="232"/>
      <c r="Q603" s="232"/>
      <c r="R603" s="232"/>
      <c r="S603" s="232"/>
      <c r="T603" s="232"/>
      <c r="U603" s="232"/>
      <c r="V603" s="232"/>
      <c r="W603" s="232"/>
      <c r="X603" s="232"/>
      <c r="Y603" s="232"/>
      <c r="Z603" s="232"/>
      <c r="AA603" s="232"/>
      <c r="AB603" s="232"/>
      <c r="AC603" s="232"/>
      <c r="AD603" s="232"/>
      <c r="AE603" s="232"/>
      <c r="AF603" s="232"/>
      <c r="AG603" s="232"/>
      <c r="AH603" s="232"/>
      <c r="AI603" s="232"/>
      <c r="AJ603" s="232"/>
      <c r="AK603" s="232"/>
      <c r="AL603" s="232"/>
      <c r="AM603" s="232"/>
      <c r="AN603" s="232"/>
      <c r="AO603" s="232"/>
      <c r="AP603" s="232"/>
      <c r="AQ603" s="232"/>
      <c r="AR603" s="232"/>
      <c r="AS603" s="232"/>
      <c r="AT603" s="232"/>
      <c r="AU603" s="232"/>
      <c r="AV603" s="232"/>
      <c r="AW603" s="232"/>
      <c r="AX603" s="232"/>
      <c r="AY603" s="232"/>
      <c r="AZ603" s="232"/>
      <c r="BA603" s="232"/>
      <c r="BB603" s="232"/>
      <c r="BC603" s="232"/>
      <c r="BD603" s="232"/>
      <c r="BE603" s="232"/>
      <c r="BF603" s="232"/>
      <c r="BG603" s="232"/>
      <c r="BH603" s="232"/>
      <c r="BI603" s="232"/>
      <c r="BJ603" s="232"/>
      <c r="BK603" s="232"/>
      <c r="BL603" s="232"/>
      <c r="BM603" s="232"/>
      <c r="BN603" s="232"/>
      <c r="BO603" s="232"/>
      <c r="BP603" s="232"/>
      <c r="BQ603" s="232"/>
      <c r="BR603" s="232"/>
      <c r="BS603" s="232"/>
      <c r="BT603" s="232"/>
      <c r="BU603" s="232"/>
      <c r="BV603" s="232"/>
      <c r="BW603" s="232"/>
      <c r="BX603" s="232"/>
      <c r="BY603" s="232"/>
      <c r="BZ603" s="232"/>
      <c r="CA603" s="232"/>
      <c r="CB603" s="232"/>
      <c r="CC603" s="232"/>
      <c r="CD603" s="232"/>
      <c r="CE603" s="232"/>
      <c r="CF603" s="232"/>
      <c r="CG603" s="232"/>
      <c r="CH603" s="232"/>
      <c r="CI603" s="232"/>
      <c r="CJ603" s="232"/>
      <c r="CK603" s="232"/>
      <c r="CL603" s="232"/>
      <c r="CM603" s="232"/>
      <c r="CN603" s="215"/>
      <c r="CO603" s="215"/>
      <c r="CP603" s="215"/>
      <c r="CQ603" s="215"/>
      <c r="CR603" s="215"/>
      <c r="CS603" s="215"/>
      <c r="CT603" s="215"/>
    </row>
    <row r="604" ht="24.0" customHeight="1">
      <c r="A604" s="287"/>
      <c r="B604" s="287"/>
      <c r="C604" s="287"/>
      <c r="D604" s="232"/>
      <c r="E604" s="232"/>
      <c r="F604" s="232"/>
      <c r="G604" s="232"/>
      <c r="H604" s="232"/>
      <c r="I604" s="232"/>
      <c r="J604" s="232"/>
      <c r="K604" s="232"/>
      <c r="L604" s="232"/>
      <c r="M604" s="232"/>
      <c r="N604" s="289"/>
      <c r="O604" s="232"/>
      <c r="P604" s="232"/>
      <c r="Q604" s="232"/>
      <c r="R604" s="232"/>
      <c r="S604" s="232"/>
      <c r="T604" s="232"/>
      <c r="U604" s="232"/>
      <c r="V604" s="232"/>
      <c r="W604" s="232"/>
      <c r="X604" s="232"/>
      <c r="Y604" s="232"/>
      <c r="Z604" s="232"/>
      <c r="AA604" s="232"/>
      <c r="AB604" s="232"/>
      <c r="AC604" s="232"/>
      <c r="AD604" s="232"/>
      <c r="AE604" s="232"/>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c r="BL604" s="232"/>
      <c r="BM604" s="232"/>
      <c r="BN604" s="232"/>
      <c r="BO604" s="232"/>
      <c r="BP604" s="232"/>
      <c r="BQ604" s="232"/>
      <c r="BR604" s="232"/>
      <c r="BS604" s="232"/>
      <c r="BT604" s="232"/>
      <c r="BU604" s="232"/>
      <c r="BV604" s="232"/>
      <c r="BW604" s="232"/>
      <c r="BX604" s="232"/>
      <c r="BY604" s="232"/>
      <c r="BZ604" s="232"/>
      <c r="CA604" s="232"/>
      <c r="CB604" s="232"/>
      <c r="CC604" s="232"/>
      <c r="CD604" s="232"/>
      <c r="CE604" s="232"/>
      <c r="CF604" s="232"/>
      <c r="CG604" s="232"/>
      <c r="CH604" s="232"/>
      <c r="CI604" s="232"/>
      <c r="CJ604" s="232"/>
      <c r="CK604" s="232"/>
      <c r="CL604" s="232"/>
      <c r="CM604" s="232"/>
      <c r="CN604" s="215"/>
      <c r="CO604" s="215"/>
      <c r="CP604" s="215"/>
      <c r="CQ604" s="215"/>
      <c r="CR604" s="215"/>
      <c r="CS604" s="215"/>
      <c r="CT604" s="215"/>
    </row>
    <row r="605" ht="24.0" customHeight="1">
      <c r="A605" s="287"/>
      <c r="B605" s="287"/>
      <c r="C605" s="287"/>
      <c r="D605" s="232"/>
      <c r="E605" s="232"/>
      <c r="F605" s="232"/>
      <c r="G605" s="232"/>
      <c r="H605" s="232"/>
      <c r="I605" s="232"/>
      <c r="J605" s="232"/>
      <c r="K605" s="232"/>
      <c r="L605" s="232"/>
      <c r="M605" s="232"/>
      <c r="N605" s="289"/>
      <c r="O605" s="232"/>
      <c r="P605" s="232"/>
      <c r="Q605" s="232"/>
      <c r="R605" s="232"/>
      <c r="S605" s="232"/>
      <c r="T605" s="232"/>
      <c r="U605" s="232"/>
      <c r="V605" s="232"/>
      <c r="W605" s="232"/>
      <c r="X605" s="232"/>
      <c r="Y605" s="232"/>
      <c r="Z605" s="232"/>
      <c r="AA605" s="232"/>
      <c r="AB605" s="232"/>
      <c r="AC605" s="232"/>
      <c r="AD605" s="232"/>
      <c r="AE605" s="232"/>
      <c r="AF605" s="232"/>
      <c r="AG605" s="232"/>
      <c r="AH605" s="232"/>
      <c r="AI605" s="232"/>
      <c r="AJ605" s="232"/>
      <c r="AK605" s="232"/>
      <c r="AL605" s="232"/>
      <c r="AM605" s="232"/>
      <c r="AN605" s="232"/>
      <c r="AO605" s="232"/>
      <c r="AP605" s="232"/>
      <c r="AQ605" s="232"/>
      <c r="AR605" s="232"/>
      <c r="AS605" s="232"/>
      <c r="AT605" s="232"/>
      <c r="AU605" s="232"/>
      <c r="AV605" s="232"/>
      <c r="AW605" s="232"/>
      <c r="AX605" s="232"/>
      <c r="AY605" s="232"/>
      <c r="AZ605" s="232"/>
      <c r="BA605" s="232"/>
      <c r="BB605" s="232"/>
      <c r="BC605" s="232"/>
      <c r="BD605" s="232"/>
      <c r="BE605" s="232"/>
      <c r="BF605" s="232"/>
      <c r="BG605" s="232"/>
      <c r="BH605" s="232"/>
      <c r="BI605" s="232"/>
      <c r="BJ605" s="232"/>
      <c r="BK605" s="232"/>
      <c r="BL605" s="232"/>
      <c r="BM605" s="232"/>
      <c r="BN605" s="232"/>
      <c r="BO605" s="232"/>
      <c r="BP605" s="232"/>
      <c r="BQ605" s="232"/>
      <c r="BR605" s="232"/>
      <c r="BS605" s="232"/>
      <c r="BT605" s="232"/>
      <c r="BU605" s="232"/>
      <c r="BV605" s="232"/>
      <c r="BW605" s="232"/>
      <c r="BX605" s="232"/>
      <c r="BY605" s="232"/>
      <c r="BZ605" s="232"/>
      <c r="CA605" s="232"/>
      <c r="CB605" s="232"/>
      <c r="CC605" s="232"/>
      <c r="CD605" s="232"/>
      <c r="CE605" s="232"/>
      <c r="CF605" s="232"/>
      <c r="CG605" s="232"/>
      <c r="CH605" s="232"/>
      <c r="CI605" s="232"/>
      <c r="CJ605" s="232"/>
      <c r="CK605" s="232"/>
      <c r="CL605" s="232"/>
      <c r="CM605" s="232"/>
      <c r="CN605" s="215"/>
      <c r="CO605" s="215"/>
      <c r="CP605" s="215"/>
      <c r="CQ605" s="215"/>
      <c r="CR605" s="215"/>
      <c r="CS605" s="215"/>
      <c r="CT605" s="215"/>
    </row>
    <row r="606" ht="24.0" customHeight="1">
      <c r="A606" s="287"/>
      <c r="B606" s="287"/>
      <c r="C606" s="287"/>
      <c r="D606" s="232"/>
      <c r="E606" s="232"/>
      <c r="F606" s="232"/>
      <c r="G606" s="232"/>
      <c r="H606" s="232"/>
      <c r="I606" s="232"/>
      <c r="J606" s="232"/>
      <c r="K606" s="232"/>
      <c r="L606" s="232"/>
      <c r="M606" s="232"/>
      <c r="N606" s="289"/>
      <c r="O606" s="232"/>
      <c r="P606" s="232"/>
      <c r="Q606" s="232"/>
      <c r="R606" s="232"/>
      <c r="S606" s="232"/>
      <c r="T606" s="232"/>
      <c r="U606" s="232"/>
      <c r="V606" s="232"/>
      <c r="W606" s="232"/>
      <c r="X606" s="232"/>
      <c r="Y606" s="232"/>
      <c r="Z606" s="232"/>
      <c r="AA606" s="232"/>
      <c r="AB606" s="232"/>
      <c r="AC606" s="232"/>
      <c r="AD606" s="232"/>
      <c r="AE606" s="232"/>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c r="BL606" s="232"/>
      <c r="BM606" s="232"/>
      <c r="BN606" s="232"/>
      <c r="BO606" s="232"/>
      <c r="BP606" s="232"/>
      <c r="BQ606" s="232"/>
      <c r="BR606" s="232"/>
      <c r="BS606" s="232"/>
      <c r="BT606" s="232"/>
      <c r="BU606" s="232"/>
      <c r="BV606" s="232"/>
      <c r="BW606" s="232"/>
      <c r="BX606" s="232"/>
      <c r="BY606" s="232"/>
      <c r="BZ606" s="232"/>
      <c r="CA606" s="232"/>
      <c r="CB606" s="232"/>
      <c r="CC606" s="232"/>
      <c r="CD606" s="232"/>
      <c r="CE606" s="232"/>
      <c r="CF606" s="232"/>
      <c r="CG606" s="232"/>
      <c r="CH606" s="232"/>
      <c r="CI606" s="232"/>
      <c r="CJ606" s="232"/>
      <c r="CK606" s="232"/>
      <c r="CL606" s="232"/>
      <c r="CM606" s="232"/>
      <c r="CN606" s="215"/>
      <c r="CO606" s="215"/>
      <c r="CP606" s="215"/>
      <c r="CQ606" s="215"/>
      <c r="CR606" s="215"/>
      <c r="CS606" s="215"/>
      <c r="CT606" s="215"/>
    </row>
    <row r="607" ht="24.0" customHeight="1">
      <c r="A607" s="287"/>
      <c r="B607" s="287"/>
      <c r="C607" s="287"/>
      <c r="D607" s="232"/>
      <c r="E607" s="232"/>
      <c r="F607" s="232"/>
      <c r="G607" s="232"/>
      <c r="H607" s="232"/>
      <c r="I607" s="232"/>
      <c r="J607" s="232"/>
      <c r="K607" s="232"/>
      <c r="L607" s="232"/>
      <c r="M607" s="232"/>
      <c r="N607" s="289"/>
      <c r="O607" s="232"/>
      <c r="P607" s="232"/>
      <c r="Q607" s="232"/>
      <c r="R607" s="232"/>
      <c r="S607" s="232"/>
      <c r="T607" s="232"/>
      <c r="U607" s="232"/>
      <c r="V607" s="232"/>
      <c r="W607" s="232"/>
      <c r="X607" s="232"/>
      <c r="Y607" s="232"/>
      <c r="Z607" s="232"/>
      <c r="AA607" s="232"/>
      <c r="AB607" s="232"/>
      <c r="AC607" s="232"/>
      <c r="AD607" s="232"/>
      <c r="AE607" s="232"/>
      <c r="AF607" s="232"/>
      <c r="AG607" s="232"/>
      <c r="AH607" s="232"/>
      <c r="AI607" s="232"/>
      <c r="AJ607" s="232"/>
      <c r="AK607" s="232"/>
      <c r="AL607" s="232"/>
      <c r="AM607" s="232"/>
      <c r="AN607" s="232"/>
      <c r="AO607" s="232"/>
      <c r="AP607" s="232"/>
      <c r="AQ607" s="232"/>
      <c r="AR607" s="232"/>
      <c r="AS607" s="232"/>
      <c r="AT607" s="232"/>
      <c r="AU607" s="232"/>
      <c r="AV607" s="232"/>
      <c r="AW607" s="232"/>
      <c r="AX607" s="232"/>
      <c r="AY607" s="232"/>
      <c r="AZ607" s="232"/>
      <c r="BA607" s="232"/>
      <c r="BB607" s="232"/>
      <c r="BC607" s="232"/>
      <c r="BD607" s="232"/>
      <c r="BE607" s="232"/>
      <c r="BF607" s="232"/>
      <c r="BG607" s="232"/>
      <c r="BH607" s="232"/>
      <c r="BI607" s="232"/>
      <c r="BJ607" s="232"/>
      <c r="BK607" s="232"/>
      <c r="BL607" s="232"/>
      <c r="BM607" s="232"/>
      <c r="BN607" s="232"/>
      <c r="BO607" s="232"/>
      <c r="BP607" s="232"/>
      <c r="BQ607" s="232"/>
      <c r="BR607" s="232"/>
      <c r="BS607" s="232"/>
      <c r="BT607" s="232"/>
      <c r="BU607" s="232"/>
      <c r="BV607" s="232"/>
      <c r="BW607" s="232"/>
      <c r="BX607" s="232"/>
      <c r="BY607" s="232"/>
      <c r="BZ607" s="232"/>
      <c r="CA607" s="232"/>
      <c r="CB607" s="232"/>
      <c r="CC607" s="232"/>
      <c r="CD607" s="232"/>
      <c r="CE607" s="232"/>
      <c r="CF607" s="232"/>
      <c r="CG607" s="232"/>
      <c r="CH607" s="232"/>
      <c r="CI607" s="232"/>
      <c r="CJ607" s="232"/>
      <c r="CK607" s="232"/>
      <c r="CL607" s="232"/>
      <c r="CM607" s="232"/>
      <c r="CN607" s="215"/>
      <c r="CO607" s="215"/>
      <c r="CP607" s="215"/>
      <c r="CQ607" s="215"/>
      <c r="CR607" s="215"/>
      <c r="CS607" s="215"/>
      <c r="CT607" s="215"/>
    </row>
    <row r="608" ht="24.0" customHeight="1">
      <c r="A608" s="287"/>
      <c r="B608" s="287"/>
      <c r="C608" s="287"/>
      <c r="D608" s="232"/>
      <c r="E608" s="232"/>
      <c r="F608" s="232"/>
      <c r="G608" s="232"/>
      <c r="H608" s="232"/>
      <c r="I608" s="232"/>
      <c r="J608" s="232"/>
      <c r="K608" s="232"/>
      <c r="L608" s="232"/>
      <c r="M608" s="232"/>
      <c r="N608" s="289"/>
      <c r="O608" s="232"/>
      <c r="P608" s="232"/>
      <c r="Q608" s="232"/>
      <c r="R608" s="232"/>
      <c r="S608" s="232"/>
      <c r="T608" s="232"/>
      <c r="U608" s="232"/>
      <c r="V608" s="232"/>
      <c r="W608" s="232"/>
      <c r="X608" s="232"/>
      <c r="Y608" s="232"/>
      <c r="Z608" s="232"/>
      <c r="AA608" s="232"/>
      <c r="AB608" s="232"/>
      <c r="AC608" s="232"/>
      <c r="AD608" s="232"/>
      <c r="AE608" s="232"/>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c r="BL608" s="232"/>
      <c r="BM608" s="232"/>
      <c r="BN608" s="232"/>
      <c r="BO608" s="232"/>
      <c r="BP608" s="232"/>
      <c r="BQ608" s="232"/>
      <c r="BR608" s="232"/>
      <c r="BS608" s="232"/>
      <c r="BT608" s="232"/>
      <c r="BU608" s="232"/>
      <c r="BV608" s="232"/>
      <c r="BW608" s="232"/>
      <c r="BX608" s="232"/>
      <c r="BY608" s="232"/>
      <c r="BZ608" s="232"/>
      <c r="CA608" s="232"/>
      <c r="CB608" s="232"/>
      <c r="CC608" s="232"/>
      <c r="CD608" s="232"/>
      <c r="CE608" s="232"/>
      <c r="CF608" s="232"/>
      <c r="CG608" s="232"/>
      <c r="CH608" s="232"/>
      <c r="CI608" s="232"/>
      <c r="CJ608" s="232"/>
      <c r="CK608" s="232"/>
      <c r="CL608" s="232"/>
      <c r="CM608" s="232"/>
      <c r="CN608" s="215"/>
      <c r="CO608" s="215"/>
      <c r="CP608" s="215"/>
      <c r="CQ608" s="215"/>
      <c r="CR608" s="215"/>
      <c r="CS608" s="215"/>
      <c r="CT608" s="215"/>
    </row>
    <row r="609" ht="24.0" customHeight="1">
      <c r="A609" s="287"/>
      <c r="B609" s="287"/>
      <c r="C609" s="287"/>
      <c r="D609" s="232"/>
      <c r="E609" s="232"/>
      <c r="F609" s="232"/>
      <c r="G609" s="232"/>
      <c r="H609" s="232"/>
      <c r="I609" s="232"/>
      <c r="J609" s="232"/>
      <c r="K609" s="232"/>
      <c r="L609" s="232"/>
      <c r="M609" s="232"/>
      <c r="N609" s="289"/>
      <c r="O609" s="232"/>
      <c r="P609" s="232"/>
      <c r="Q609" s="232"/>
      <c r="R609" s="232"/>
      <c r="S609" s="232"/>
      <c r="T609" s="232"/>
      <c r="U609" s="232"/>
      <c r="V609" s="232"/>
      <c r="W609" s="232"/>
      <c r="X609" s="232"/>
      <c r="Y609" s="232"/>
      <c r="Z609" s="232"/>
      <c r="AA609" s="232"/>
      <c r="AB609" s="232"/>
      <c r="AC609" s="232"/>
      <c r="AD609" s="232"/>
      <c r="AE609" s="232"/>
      <c r="AF609" s="232"/>
      <c r="AG609" s="232"/>
      <c r="AH609" s="232"/>
      <c r="AI609" s="232"/>
      <c r="AJ609" s="232"/>
      <c r="AK609" s="232"/>
      <c r="AL609" s="232"/>
      <c r="AM609" s="232"/>
      <c r="AN609" s="232"/>
      <c r="AO609" s="232"/>
      <c r="AP609" s="232"/>
      <c r="AQ609" s="232"/>
      <c r="AR609" s="232"/>
      <c r="AS609" s="232"/>
      <c r="AT609" s="232"/>
      <c r="AU609" s="232"/>
      <c r="AV609" s="232"/>
      <c r="AW609" s="232"/>
      <c r="AX609" s="232"/>
      <c r="AY609" s="232"/>
      <c r="AZ609" s="232"/>
      <c r="BA609" s="232"/>
      <c r="BB609" s="232"/>
      <c r="BC609" s="232"/>
      <c r="BD609" s="232"/>
      <c r="BE609" s="232"/>
      <c r="BF609" s="232"/>
      <c r="BG609" s="232"/>
      <c r="BH609" s="232"/>
      <c r="BI609" s="232"/>
      <c r="BJ609" s="232"/>
      <c r="BK609" s="232"/>
      <c r="BL609" s="232"/>
      <c r="BM609" s="232"/>
      <c r="BN609" s="232"/>
      <c r="BO609" s="232"/>
      <c r="BP609" s="232"/>
      <c r="BQ609" s="232"/>
      <c r="BR609" s="232"/>
      <c r="BS609" s="232"/>
      <c r="BT609" s="232"/>
      <c r="BU609" s="232"/>
      <c r="BV609" s="232"/>
      <c r="BW609" s="232"/>
      <c r="BX609" s="232"/>
      <c r="BY609" s="232"/>
      <c r="BZ609" s="232"/>
      <c r="CA609" s="232"/>
      <c r="CB609" s="232"/>
      <c r="CC609" s="232"/>
      <c r="CD609" s="232"/>
      <c r="CE609" s="232"/>
      <c r="CF609" s="232"/>
      <c r="CG609" s="232"/>
      <c r="CH609" s="232"/>
      <c r="CI609" s="232"/>
      <c r="CJ609" s="232"/>
      <c r="CK609" s="232"/>
      <c r="CL609" s="232"/>
      <c r="CM609" s="232"/>
      <c r="CN609" s="215"/>
      <c r="CO609" s="215"/>
      <c r="CP609" s="215"/>
      <c r="CQ609" s="215"/>
      <c r="CR609" s="215"/>
      <c r="CS609" s="215"/>
      <c r="CT609" s="215"/>
    </row>
    <row r="610" ht="24.0" customHeight="1">
      <c r="A610" s="287"/>
      <c r="B610" s="287"/>
      <c r="C610" s="287"/>
      <c r="D610" s="232"/>
      <c r="E610" s="232"/>
      <c r="F610" s="232"/>
      <c r="G610" s="232"/>
      <c r="H610" s="232"/>
      <c r="I610" s="232"/>
      <c r="J610" s="232"/>
      <c r="K610" s="232"/>
      <c r="L610" s="232"/>
      <c r="M610" s="232"/>
      <c r="N610" s="289"/>
      <c r="O610" s="232"/>
      <c r="P610" s="232"/>
      <c r="Q610" s="232"/>
      <c r="R610" s="232"/>
      <c r="S610" s="232"/>
      <c r="T610" s="232"/>
      <c r="U610" s="232"/>
      <c r="V610" s="232"/>
      <c r="W610" s="232"/>
      <c r="X610" s="232"/>
      <c r="Y610" s="232"/>
      <c r="Z610" s="232"/>
      <c r="AA610" s="232"/>
      <c r="AB610" s="232"/>
      <c r="AC610" s="232"/>
      <c r="AD610" s="232"/>
      <c r="AE610" s="232"/>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c r="BL610" s="232"/>
      <c r="BM610" s="232"/>
      <c r="BN610" s="232"/>
      <c r="BO610" s="232"/>
      <c r="BP610" s="232"/>
      <c r="BQ610" s="232"/>
      <c r="BR610" s="232"/>
      <c r="BS610" s="232"/>
      <c r="BT610" s="232"/>
      <c r="BU610" s="232"/>
      <c r="BV610" s="232"/>
      <c r="BW610" s="232"/>
      <c r="BX610" s="232"/>
      <c r="BY610" s="232"/>
      <c r="BZ610" s="232"/>
      <c r="CA610" s="232"/>
      <c r="CB610" s="232"/>
      <c r="CC610" s="232"/>
      <c r="CD610" s="232"/>
      <c r="CE610" s="232"/>
      <c r="CF610" s="232"/>
      <c r="CG610" s="232"/>
      <c r="CH610" s="232"/>
      <c r="CI610" s="232"/>
      <c r="CJ610" s="232"/>
      <c r="CK610" s="232"/>
      <c r="CL610" s="232"/>
      <c r="CM610" s="232"/>
      <c r="CN610" s="215"/>
      <c r="CO610" s="215"/>
      <c r="CP610" s="215"/>
      <c r="CQ610" s="215"/>
      <c r="CR610" s="215"/>
      <c r="CS610" s="215"/>
      <c r="CT610" s="215"/>
    </row>
    <row r="611" ht="24.0" customHeight="1">
      <c r="A611" s="287"/>
      <c r="B611" s="287"/>
      <c r="C611" s="287"/>
      <c r="D611" s="232"/>
      <c r="E611" s="232"/>
      <c r="F611" s="232"/>
      <c r="G611" s="232"/>
      <c r="H611" s="232"/>
      <c r="I611" s="232"/>
      <c r="J611" s="232"/>
      <c r="K611" s="232"/>
      <c r="L611" s="232"/>
      <c r="M611" s="232"/>
      <c r="N611" s="289"/>
      <c r="O611" s="232"/>
      <c r="P611" s="232"/>
      <c r="Q611" s="232"/>
      <c r="R611" s="232"/>
      <c r="S611" s="232"/>
      <c r="T611" s="232"/>
      <c r="U611" s="232"/>
      <c r="V611" s="232"/>
      <c r="W611" s="232"/>
      <c r="X611" s="232"/>
      <c r="Y611" s="232"/>
      <c r="Z611" s="232"/>
      <c r="AA611" s="232"/>
      <c r="AB611" s="232"/>
      <c r="AC611" s="232"/>
      <c r="AD611" s="232"/>
      <c r="AE611" s="232"/>
      <c r="AF611" s="232"/>
      <c r="AG611" s="232"/>
      <c r="AH611" s="232"/>
      <c r="AI611" s="232"/>
      <c r="AJ611" s="232"/>
      <c r="AK611" s="232"/>
      <c r="AL611" s="232"/>
      <c r="AM611" s="232"/>
      <c r="AN611" s="232"/>
      <c r="AO611" s="232"/>
      <c r="AP611" s="232"/>
      <c r="AQ611" s="232"/>
      <c r="AR611" s="232"/>
      <c r="AS611" s="232"/>
      <c r="AT611" s="232"/>
      <c r="AU611" s="232"/>
      <c r="AV611" s="232"/>
      <c r="AW611" s="232"/>
      <c r="AX611" s="232"/>
      <c r="AY611" s="232"/>
      <c r="AZ611" s="232"/>
      <c r="BA611" s="232"/>
      <c r="BB611" s="232"/>
      <c r="BC611" s="232"/>
      <c r="BD611" s="232"/>
      <c r="BE611" s="232"/>
      <c r="BF611" s="232"/>
      <c r="BG611" s="232"/>
      <c r="BH611" s="232"/>
      <c r="BI611" s="232"/>
      <c r="BJ611" s="232"/>
      <c r="BK611" s="232"/>
      <c r="BL611" s="232"/>
      <c r="BM611" s="232"/>
      <c r="BN611" s="232"/>
      <c r="BO611" s="232"/>
      <c r="BP611" s="232"/>
      <c r="BQ611" s="232"/>
      <c r="BR611" s="232"/>
      <c r="BS611" s="232"/>
      <c r="BT611" s="232"/>
      <c r="BU611" s="232"/>
      <c r="BV611" s="232"/>
      <c r="BW611" s="232"/>
      <c r="BX611" s="232"/>
      <c r="BY611" s="232"/>
      <c r="BZ611" s="232"/>
      <c r="CA611" s="232"/>
      <c r="CB611" s="232"/>
      <c r="CC611" s="232"/>
      <c r="CD611" s="232"/>
      <c r="CE611" s="232"/>
      <c r="CF611" s="232"/>
      <c r="CG611" s="232"/>
      <c r="CH611" s="232"/>
      <c r="CI611" s="232"/>
      <c r="CJ611" s="232"/>
      <c r="CK611" s="232"/>
      <c r="CL611" s="232"/>
      <c r="CM611" s="232"/>
      <c r="CN611" s="215"/>
      <c r="CO611" s="215"/>
      <c r="CP611" s="215"/>
      <c r="CQ611" s="215"/>
      <c r="CR611" s="215"/>
      <c r="CS611" s="215"/>
      <c r="CT611" s="215"/>
    </row>
    <row r="612" ht="24.0" customHeight="1">
      <c r="A612" s="287"/>
      <c r="B612" s="287"/>
      <c r="C612" s="287"/>
      <c r="D612" s="232"/>
      <c r="E612" s="232"/>
      <c r="F612" s="232"/>
      <c r="G612" s="232"/>
      <c r="H612" s="232"/>
      <c r="I612" s="232"/>
      <c r="J612" s="232"/>
      <c r="K612" s="232"/>
      <c r="L612" s="232"/>
      <c r="M612" s="232"/>
      <c r="N612" s="289"/>
      <c r="O612" s="232"/>
      <c r="P612" s="232"/>
      <c r="Q612" s="232"/>
      <c r="R612" s="232"/>
      <c r="S612" s="232"/>
      <c r="T612" s="232"/>
      <c r="U612" s="232"/>
      <c r="V612" s="232"/>
      <c r="W612" s="232"/>
      <c r="X612" s="232"/>
      <c r="Y612" s="232"/>
      <c r="Z612" s="232"/>
      <c r="AA612" s="232"/>
      <c r="AB612" s="232"/>
      <c r="AC612" s="232"/>
      <c r="AD612" s="232"/>
      <c r="AE612" s="232"/>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c r="BL612" s="232"/>
      <c r="BM612" s="232"/>
      <c r="BN612" s="232"/>
      <c r="BO612" s="232"/>
      <c r="BP612" s="232"/>
      <c r="BQ612" s="232"/>
      <c r="BR612" s="232"/>
      <c r="BS612" s="232"/>
      <c r="BT612" s="232"/>
      <c r="BU612" s="232"/>
      <c r="BV612" s="232"/>
      <c r="BW612" s="232"/>
      <c r="BX612" s="232"/>
      <c r="BY612" s="232"/>
      <c r="BZ612" s="232"/>
      <c r="CA612" s="232"/>
      <c r="CB612" s="232"/>
      <c r="CC612" s="232"/>
      <c r="CD612" s="232"/>
      <c r="CE612" s="232"/>
      <c r="CF612" s="232"/>
      <c r="CG612" s="232"/>
      <c r="CH612" s="232"/>
      <c r="CI612" s="232"/>
      <c r="CJ612" s="232"/>
      <c r="CK612" s="232"/>
      <c r="CL612" s="232"/>
      <c r="CM612" s="232"/>
      <c r="CN612" s="215"/>
      <c r="CO612" s="215"/>
      <c r="CP612" s="215"/>
      <c r="CQ612" s="215"/>
      <c r="CR612" s="215"/>
      <c r="CS612" s="215"/>
      <c r="CT612" s="215"/>
    </row>
    <row r="613" ht="24.0" customHeight="1">
      <c r="A613" s="287"/>
      <c r="B613" s="287"/>
      <c r="C613" s="287"/>
      <c r="D613" s="232"/>
      <c r="E613" s="232"/>
      <c r="F613" s="232"/>
      <c r="G613" s="232"/>
      <c r="H613" s="232"/>
      <c r="I613" s="232"/>
      <c r="J613" s="232"/>
      <c r="K613" s="232"/>
      <c r="L613" s="232"/>
      <c r="M613" s="232"/>
      <c r="N613" s="289"/>
      <c r="O613" s="232"/>
      <c r="P613" s="232"/>
      <c r="Q613" s="232"/>
      <c r="R613" s="232"/>
      <c r="S613" s="232"/>
      <c r="T613" s="232"/>
      <c r="U613" s="232"/>
      <c r="V613" s="232"/>
      <c r="W613" s="232"/>
      <c r="X613" s="232"/>
      <c r="Y613" s="232"/>
      <c r="Z613" s="232"/>
      <c r="AA613" s="232"/>
      <c r="AB613" s="232"/>
      <c r="AC613" s="232"/>
      <c r="AD613" s="232"/>
      <c r="AE613" s="232"/>
      <c r="AF613" s="232"/>
      <c r="AG613" s="232"/>
      <c r="AH613" s="232"/>
      <c r="AI613" s="232"/>
      <c r="AJ613" s="232"/>
      <c r="AK613" s="232"/>
      <c r="AL613" s="232"/>
      <c r="AM613" s="232"/>
      <c r="AN613" s="232"/>
      <c r="AO613" s="232"/>
      <c r="AP613" s="232"/>
      <c r="AQ613" s="232"/>
      <c r="AR613" s="232"/>
      <c r="AS613" s="232"/>
      <c r="AT613" s="232"/>
      <c r="AU613" s="232"/>
      <c r="AV613" s="232"/>
      <c r="AW613" s="232"/>
      <c r="AX613" s="232"/>
      <c r="AY613" s="232"/>
      <c r="AZ613" s="232"/>
      <c r="BA613" s="232"/>
      <c r="BB613" s="232"/>
      <c r="BC613" s="232"/>
      <c r="BD613" s="232"/>
      <c r="BE613" s="232"/>
      <c r="BF613" s="232"/>
      <c r="BG613" s="232"/>
      <c r="BH613" s="232"/>
      <c r="BI613" s="232"/>
      <c r="BJ613" s="232"/>
      <c r="BK613" s="232"/>
      <c r="BL613" s="232"/>
      <c r="BM613" s="232"/>
      <c r="BN613" s="232"/>
      <c r="BO613" s="232"/>
      <c r="BP613" s="232"/>
      <c r="BQ613" s="232"/>
      <c r="BR613" s="232"/>
      <c r="BS613" s="232"/>
      <c r="BT613" s="232"/>
      <c r="BU613" s="232"/>
      <c r="BV613" s="232"/>
      <c r="BW613" s="232"/>
      <c r="BX613" s="232"/>
      <c r="BY613" s="232"/>
      <c r="BZ613" s="232"/>
      <c r="CA613" s="232"/>
      <c r="CB613" s="232"/>
      <c r="CC613" s="232"/>
      <c r="CD613" s="232"/>
      <c r="CE613" s="232"/>
      <c r="CF613" s="232"/>
      <c r="CG613" s="232"/>
      <c r="CH613" s="232"/>
      <c r="CI613" s="232"/>
      <c r="CJ613" s="232"/>
      <c r="CK613" s="232"/>
      <c r="CL613" s="232"/>
      <c r="CM613" s="232"/>
      <c r="CN613" s="215"/>
      <c r="CO613" s="215"/>
      <c r="CP613" s="215"/>
      <c r="CQ613" s="215"/>
      <c r="CR613" s="215"/>
      <c r="CS613" s="215"/>
      <c r="CT613" s="215"/>
    </row>
    <row r="614" ht="24.0" customHeight="1">
      <c r="A614" s="287"/>
      <c r="B614" s="287"/>
      <c r="C614" s="287"/>
      <c r="D614" s="232"/>
      <c r="E614" s="232"/>
      <c r="F614" s="232"/>
      <c r="G614" s="232"/>
      <c r="H614" s="232"/>
      <c r="I614" s="232"/>
      <c r="J614" s="232"/>
      <c r="K614" s="232"/>
      <c r="L614" s="232"/>
      <c r="M614" s="232"/>
      <c r="N614" s="289"/>
      <c r="O614" s="232"/>
      <c r="P614" s="232"/>
      <c r="Q614" s="232"/>
      <c r="R614" s="232"/>
      <c r="S614" s="232"/>
      <c r="T614" s="232"/>
      <c r="U614" s="232"/>
      <c r="V614" s="232"/>
      <c r="W614" s="232"/>
      <c r="X614" s="232"/>
      <c r="Y614" s="232"/>
      <c r="Z614" s="232"/>
      <c r="AA614" s="232"/>
      <c r="AB614" s="232"/>
      <c r="AC614" s="232"/>
      <c r="AD614" s="232"/>
      <c r="AE614" s="232"/>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c r="BL614" s="232"/>
      <c r="BM614" s="232"/>
      <c r="BN614" s="232"/>
      <c r="BO614" s="232"/>
      <c r="BP614" s="232"/>
      <c r="BQ614" s="232"/>
      <c r="BR614" s="232"/>
      <c r="BS614" s="232"/>
      <c r="BT614" s="232"/>
      <c r="BU614" s="232"/>
      <c r="BV614" s="232"/>
      <c r="BW614" s="232"/>
      <c r="BX614" s="232"/>
      <c r="BY614" s="232"/>
      <c r="BZ614" s="232"/>
      <c r="CA614" s="232"/>
      <c r="CB614" s="232"/>
      <c r="CC614" s="232"/>
      <c r="CD614" s="232"/>
      <c r="CE614" s="232"/>
      <c r="CF614" s="232"/>
      <c r="CG614" s="232"/>
      <c r="CH614" s="232"/>
      <c r="CI614" s="232"/>
      <c r="CJ614" s="232"/>
      <c r="CK614" s="232"/>
      <c r="CL614" s="232"/>
      <c r="CM614" s="232"/>
      <c r="CN614" s="215"/>
      <c r="CO614" s="215"/>
      <c r="CP614" s="215"/>
      <c r="CQ614" s="215"/>
      <c r="CR614" s="215"/>
      <c r="CS614" s="215"/>
      <c r="CT614" s="215"/>
    </row>
    <row r="615" ht="24.0" customHeight="1">
      <c r="A615" s="287"/>
      <c r="B615" s="287"/>
      <c r="C615" s="287"/>
      <c r="D615" s="232"/>
      <c r="E615" s="232"/>
      <c r="F615" s="232"/>
      <c r="G615" s="232"/>
      <c r="H615" s="232"/>
      <c r="I615" s="232"/>
      <c r="J615" s="232"/>
      <c r="K615" s="232"/>
      <c r="L615" s="232"/>
      <c r="M615" s="232"/>
      <c r="N615" s="289"/>
      <c r="O615" s="232"/>
      <c r="P615" s="232"/>
      <c r="Q615" s="232"/>
      <c r="R615" s="232"/>
      <c r="S615" s="232"/>
      <c r="T615" s="232"/>
      <c r="U615" s="232"/>
      <c r="V615" s="232"/>
      <c r="W615" s="232"/>
      <c r="X615" s="232"/>
      <c r="Y615" s="232"/>
      <c r="Z615" s="232"/>
      <c r="AA615" s="232"/>
      <c r="AB615" s="232"/>
      <c r="AC615" s="232"/>
      <c r="AD615" s="232"/>
      <c r="AE615" s="232"/>
      <c r="AF615" s="232"/>
      <c r="AG615" s="232"/>
      <c r="AH615" s="232"/>
      <c r="AI615" s="232"/>
      <c r="AJ615" s="232"/>
      <c r="AK615" s="232"/>
      <c r="AL615" s="232"/>
      <c r="AM615" s="232"/>
      <c r="AN615" s="232"/>
      <c r="AO615" s="232"/>
      <c r="AP615" s="232"/>
      <c r="AQ615" s="232"/>
      <c r="AR615" s="232"/>
      <c r="AS615" s="232"/>
      <c r="AT615" s="232"/>
      <c r="AU615" s="232"/>
      <c r="AV615" s="232"/>
      <c r="AW615" s="232"/>
      <c r="AX615" s="232"/>
      <c r="AY615" s="232"/>
      <c r="AZ615" s="232"/>
      <c r="BA615" s="232"/>
      <c r="BB615" s="232"/>
      <c r="BC615" s="232"/>
      <c r="BD615" s="232"/>
      <c r="BE615" s="232"/>
      <c r="BF615" s="232"/>
      <c r="BG615" s="232"/>
      <c r="BH615" s="232"/>
      <c r="BI615" s="232"/>
      <c r="BJ615" s="232"/>
      <c r="BK615" s="232"/>
      <c r="BL615" s="232"/>
      <c r="BM615" s="232"/>
      <c r="BN615" s="232"/>
      <c r="BO615" s="232"/>
      <c r="BP615" s="232"/>
      <c r="BQ615" s="232"/>
      <c r="BR615" s="232"/>
      <c r="BS615" s="232"/>
      <c r="BT615" s="232"/>
      <c r="BU615" s="232"/>
      <c r="BV615" s="232"/>
      <c r="BW615" s="232"/>
      <c r="BX615" s="232"/>
      <c r="BY615" s="232"/>
      <c r="BZ615" s="232"/>
      <c r="CA615" s="232"/>
      <c r="CB615" s="232"/>
      <c r="CC615" s="232"/>
      <c r="CD615" s="232"/>
      <c r="CE615" s="232"/>
      <c r="CF615" s="232"/>
      <c r="CG615" s="232"/>
      <c r="CH615" s="232"/>
      <c r="CI615" s="232"/>
      <c r="CJ615" s="232"/>
      <c r="CK615" s="232"/>
      <c r="CL615" s="232"/>
      <c r="CM615" s="232"/>
      <c r="CN615" s="215"/>
      <c r="CO615" s="215"/>
      <c r="CP615" s="215"/>
      <c r="CQ615" s="215"/>
      <c r="CR615" s="215"/>
      <c r="CS615" s="215"/>
      <c r="CT615" s="215"/>
    </row>
    <row r="616" ht="24.0" customHeight="1">
      <c r="A616" s="287"/>
      <c r="B616" s="287"/>
      <c r="C616" s="287"/>
      <c r="D616" s="232"/>
      <c r="E616" s="232"/>
      <c r="F616" s="232"/>
      <c r="G616" s="232"/>
      <c r="H616" s="232"/>
      <c r="I616" s="232"/>
      <c r="J616" s="232"/>
      <c r="K616" s="232"/>
      <c r="L616" s="232"/>
      <c r="M616" s="232"/>
      <c r="N616" s="289"/>
      <c r="O616" s="232"/>
      <c r="P616" s="232"/>
      <c r="Q616" s="232"/>
      <c r="R616" s="232"/>
      <c r="S616" s="232"/>
      <c r="T616" s="232"/>
      <c r="U616" s="232"/>
      <c r="V616" s="232"/>
      <c r="W616" s="232"/>
      <c r="X616" s="232"/>
      <c r="Y616" s="232"/>
      <c r="Z616" s="232"/>
      <c r="AA616" s="232"/>
      <c r="AB616" s="232"/>
      <c r="AC616" s="232"/>
      <c r="AD616" s="232"/>
      <c r="AE616" s="232"/>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c r="BL616" s="232"/>
      <c r="BM616" s="232"/>
      <c r="BN616" s="232"/>
      <c r="BO616" s="232"/>
      <c r="BP616" s="232"/>
      <c r="BQ616" s="232"/>
      <c r="BR616" s="232"/>
      <c r="BS616" s="232"/>
      <c r="BT616" s="232"/>
      <c r="BU616" s="232"/>
      <c r="BV616" s="232"/>
      <c r="BW616" s="232"/>
      <c r="BX616" s="232"/>
      <c r="BY616" s="232"/>
      <c r="BZ616" s="232"/>
      <c r="CA616" s="232"/>
      <c r="CB616" s="232"/>
      <c r="CC616" s="232"/>
      <c r="CD616" s="232"/>
      <c r="CE616" s="232"/>
      <c r="CF616" s="232"/>
      <c r="CG616" s="232"/>
      <c r="CH616" s="232"/>
      <c r="CI616" s="232"/>
      <c r="CJ616" s="232"/>
      <c r="CK616" s="232"/>
      <c r="CL616" s="232"/>
      <c r="CM616" s="232"/>
      <c r="CN616" s="215"/>
      <c r="CO616" s="215"/>
      <c r="CP616" s="215"/>
      <c r="CQ616" s="215"/>
      <c r="CR616" s="215"/>
      <c r="CS616" s="215"/>
      <c r="CT616" s="215"/>
    </row>
    <row r="617" ht="24.0" customHeight="1">
      <c r="A617" s="287"/>
      <c r="B617" s="287"/>
      <c r="C617" s="287"/>
      <c r="D617" s="232"/>
      <c r="E617" s="232"/>
      <c r="F617" s="232"/>
      <c r="G617" s="232"/>
      <c r="H617" s="232"/>
      <c r="I617" s="232"/>
      <c r="J617" s="232"/>
      <c r="K617" s="232"/>
      <c r="L617" s="232"/>
      <c r="M617" s="232"/>
      <c r="N617" s="289"/>
      <c r="O617" s="232"/>
      <c r="P617" s="232"/>
      <c r="Q617" s="232"/>
      <c r="R617" s="232"/>
      <c r="S617" s="232"/>
      <c r="T617" s="232"/>
      <c r="U617" s="232"/>
      <c r="V617" s="232"/>
      <c r="W617" s="232"/>
      <c r="X617" s="232"/>
      <c r="Y617" s="232"/>
      <c r="Z617" s="232"/>
      <c r="AA617" s="232"/>
      <c r="AB617" s="232"/>
      <c r="AC617" s="232"/>
      <c r="AD617" s="232"/>
      <c r="AE617" s="232"/>
      <c r="AF617" s="232"/>
      <c r="AG617" s="232"/>
      <c r="AH617" s="232"/>
      <c r="AI617" s="232"/>
      <c r="AJ617" s="232"/>
      <c r="AK617" s="232"/>
      <c r="AL617" s="232"/>
      <c r="AM617" s="232"/>
      <c r="AN617" s="232"/>
      <c r="AO617" s="232"/>
      <c r="AP617" s="232"/>
      <c r="AQ617" s="232"/>
      <c r="AR617" s="232"/>
      <c r="AS617" s="232"/>
      <c r="AT617" s="232"/>
      <c r="AU617" s="232"/>
      <c r="AV617" s="232"/>
      <c r="AW617" s="232"/>
      <c r="AX617" s="232"/>
      <c r="AY617" s="232"/>
      <c r="AZ617" s="232"/>
      <c r="BA617" s="232"/>
      <c r="BB617" s="232"/>
      <c r="BC617" s="232"/>
      <c r="BD617" s="232"/>
      <c r="BE617" s="232"/>
      <c r="BF617" s="232"/>
      <c r="BG617" s="232"/>
      <c r="BH617" s="232"/>
      <c r="BI617" s="232"/>
      <c r="BJ617" s="232"/>
      <c r="BK617" s="232"/>
      <c r="BL617" s="232"/>
      <c r="BM617" s="232"/>
      <c r="BN617" s="232"/>
      <c r="BO617" s="232"/>
      <c r="BP617" s="232"/>
      <c r="BQ617" s="232"/>
      <c r="BR617" s="232"/>
      <c r="BS617" s="232"/>
      <c r="BT617" s="232"/>
      <c r="BU617" s="232"/>
      <c r="BV617" s="232"/>
      <c r="BW617" s="232"/>
      <c r="BX617" s="232"/>
      <c r="BY617" s="232"/>
      <c r="BZ617" s="232"/>
      <c r="CA617" s="232"/>
      <c r="CB617" s="232"/>
      <c r="CC617" s="232"/>
      <c r="CD617" s="232"/>
      <c r="CE617" s="232"/>
      <c r="CF617" s="232"/>
      <c r="CG617" s="232"/>
      <c r="CH617" s="232"/>
      <c r="CI617" s="232"/>
      <c r="CJ617" s="232"/>
      <c r="CK617" s="232"/>
      <c r="CL617" s="232"/>
      <c r="CM617" s="232"/>
      <c r="CN617" s="215"/>
      <c r="CO617" s="215"/>
      <c r="CP617" s="215"/>
      <c r="CQ617" s="215"/>
      <c r="CR617" s="215"/>
      <c r="CS617" s="215"/>
      <c r="CT617" s="215"/>
    </row>
    <row r="618" ht="24.0" customHeight="1">
      <c r="A618" s="287"/>
      <c r="B618" s="287"/>
      <c r="C618" s="287"/>
      <c r="D618" s="232"/>
      <c r="E618" s="232"/>
      <c r="F618" s="232"/>
      <c r="G618" s="232"/>
      <c r="H618" s="232"/>
      <c r="I618" s="232"/>
      <c r="J618" s="232"/>
      <c r="K618" s="232"/>
      <c r="L618" s="232"/>
      <c r="M618" s="232"/>
      <c r="N618" s="289"/>
      <c r="O618" s="232"/>
      <c r="P618" s="232"/>
      <c r="Q618" s="232"/>
      <c r="R618" s="232"/>
      <c r="S618" s="232"/>
      <c r="T618" s="232"/>
      <c r="U618" s="232"/>
      <c r="V618" s="232"/>
      <c r="W618" s="232"/>
      <c r="X618" s="232"/>
      <c r="Y618" s="232"/>
      <c r="Z618" s="232"/>
      <c r="AA618" s="232"/>
      <c r="AB618" s="232"/>
      <c r="AC618" s="232"/>
      <c r="AD618" s="232"/>
      <c r="AE618" s="232"/>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c r="BL618" s="232"/>
      <c r="BM618" s="232"/>
      <c r="BN618" s="232"/>
      <c r="BO618" s="232"/>
      <c r="BP618" s="232"/>
      <c r="BQ618" s="232"/>
      <c r="BR618" s="232"/>
      <c r="BS618" s="232"/>
      <c r="BT618" s="232"/>
      <c r="BU618" s="232"/>
      <c r="BV618" s="232"/>
      <c r="BW618" s="232"/>
      <c r="BX618" s="232"/>
      <c r="BY618" s="232"/>
      <c r="BZ618" s="232"/>
      <c r="CA618" s="232"/>
      <c r="CB618" s="232"/>
      <c r="CC618" s="232"/>
      <c r="CD618" s="232"/>
      <c r="CE618" s="232"/>
      <c r="CF618" s="232"/>
      <c r="CG618" s="232"/>
      <c r="CH618" s="232"/>
      <c r="CI618" s="232"/>
      <c r="CJ618" s="232"/>
      <c r="CK618" s="232"/>
      <c r="CL618" s="232"/>
      <c r="CM618" s="232"/>
      <c r="CN618" s="215"/>
      <c r="CO618" s="215"/>
      <c r="CP618" s="215"/>
      <c r="CQ618" s="215"/>
      <c r="CR618" s="215"/>
      <c r="CS618" s="215"/>
      <c r="CT618" s="215"/>
    </row>
    <row r="619" ht="24.0" customHeight="1">
      <c r="A619" s="287"/>
      <c r="B619" s="287"/>
      <c r="C619" s="287"/>
      <c r="D619" s="232"/>
      <c r="E619" s="232"/>
      <c r="F619" s="232"/>
      <c r="G619" s="232"/>
      <c r="H619" s="232"/>
      <c r="I619" s="232"/>
      <c r="J619" s="232"/>
      <c r="K619" s="232"/>
      <c r="L619" s="232"/>
      <c r="M619" s="232"/>
      <c r="N619" s="289"/>
      <c r="O619" s="232"/>
      <c r="P619" s="232"/>
      <c r="Q619" s="232"/>
      <c r="R619" s="232"/>
      <c r="S619" s="232"/>
      <c r="T619" s="232"/>
      <c r="U619" s="232"/>
      <c r="V619" s="232"/>
      <c r="W619" s="232"/>
      <c r="X619" s="232"/>
      <c r="Y619" s="232"/>
      <c r="Z619" s="232"/>
      <c r="AA619" s="232"/>
      <c r="AB619" s="232"/>
      <c r="AC619" s="232"/>
      <c r="AD619" s="232"/>
      <c r="AE619" s="232"/>
      <c r="AF619" s="232"/>
      <c r="AG619" s="232"/>
      <c r="AH619" s="232"/>
      <c r="AI619" s="232"/>
      <c r="AJ619" s="232"/>
      <c r="AK619" s="232"/>
      <c r="AL619" s="232"/>
      <c r="AM619" s="232"/>
      <c r="AN619" s="232"/>
      <c r="AO619" s="232"/>
      <c r="AP619" s="232"/>
      <c r="AQ619" s="232"/>
      <c r="AR619" s="232"/>
      <c r="AS619" s="232"/>
      <c r="AT619" s="232"/>
      <c r="AU619" s="232"/>
      <c r="AV619" s="232"/>
      <c r="AW619" s="232"/>
      <c r="AX619" s="232"/>
      <c r="AY619" s="232"/>
      <c r="AZ619" s="232"/>
      <c r="BA619" s="232"/>
      <c r="BB619" s="232"/>
      <c r="BC619" s="232"/>
      <c r="BD619" s="232"/>
      <c r="BE619" s="232"/>
      <c r="BF619" s="232"/>
      <c r="BG619" s="232"/>
      <c r="BH619" s="232"/>
      <c r="BI619" s="232"/>
      <c r="BJ619" s="232"/>
      <c r="BK619" s="232"/>
      <c r="BL619" s="232"/>
      <c r="BM619" s="232"/>
      <c r="BN619" s="232"/>
      <c r="BO619" s="232"/>
      <c r="BP619" s="232"/>
      <c r="BQ619" s="232"/>
      <c r="BR619" s="232"/>
      <c r="BS619" s="232"/>
      <c r="BT619" s="232"/>
      <c r="BU619" s="232"/>
      <c r="BV619" s="232"/>
      <c r="BW619" s="232"/>
      <c r="BX619" s="232"/>
      <c r="BY619" s="232"/>
      <c r="BZ619" s="232"/>
      <c r="CA619" s="232"/>
      <c r="CB619" s="232"/>
      <c r="CC619" s="232"/>
      <c r="CD619" s="232"/>
      <c r="CE619" s="232"/>
      <c r="CF619" s="232"/>
      <c r="CG619" s="232"/>
      <c r="CH619" s="232"/>
      <c r="CI619" s="232"/>
      <c r="CJ619" s="232"/>
      <c r="CK619" s="232"/>
      <c r="CL619" s="232"/>
      <c r="CM619" s="232"/>
      <c r="CN619" s="215"/>
      <c r="CO619" s="215"/>
      <c r="CP619" s="215"/>
      <c r="CQ619" s="215"/>
      <c r="CR619" s="215"/>
      <c r="CS619" s="215"/>
      <c r="CT619" s="215"/>
    </row>
    <row r="620" ht="24.0" customHeight="1">
      <c r="A620" s="287"/>
      <c r="B620" s="287"/>
      <c r="C620" s="287"/>
      <c r="D620" s="232"/>
      <c r="E620" s="232"/>
      <c r="F620" s="232"/>
      <c r="G620" s="232"/>
      <c r="H620" s="232"/>
      <c r="I620" s="232"/>
      <c r="J620" s="232"/>
      <c r="K620" s="232"/>
      <c r="L620" s="232"/>
      <c r="M620" s="232"/>
      <c r="N620" s="289"/>
      <c r="O620" s="232"/>
      <c r="P620" s="232"/>
      <c r="Q620" s="232"/>
      <c r="R620" s="232"/>
      <c r="S620" s="232"/>
      <c r="T620" s="232"/>
      <c r="U620" s="232"/>
      <c r="V620" s="232"/>
      <c r="W620" s="232"/>
      <c r="X620" s="232"/>
      <c r="Y620" s="232"/>
      <c r="Z620" s="232"/>
      <c r="AA620" s="232"/>
      <c r="AB620" s="232"/>
      <c r="AC620" s="232"/>
      <c r="AD620" s="232"/>
      <c r="AE620" s="232"/>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c r="BL620" s="232"/>
      <c r="BM620" s="232"/>
      <c r="BN620" s="232"/>
      <c r="BO620" s="232"/>
      <c r="BP620" s="232"/>
      <c r="BQ620" s="232"/>
      <c r="BR620" s="232"/>
      <c r="BS620" s="232"/>
      <c r="BT620" s="232"/>
      <c r="BU620" s="232"/>
      <c r="BV620" s="232"/>
      <c r="BW620" s="232"/>
      <c r="BX620" s="232"/>
      <c r="BY620" s="232"/>
      <c r="BZ620" s="232"/>
      <c r="CA620" s="232"/>
      <c r="CB620" s="232"/>
      <c r="CC620" s="232"/>
      <c r="CD620" s="232"/>
      <c r="CE620" s="232"/>
      <c r="CF620" s="232"/>
      <c r="CG620" s="232"/>
      <c r="CH620" s="232"/>
      <c r="CI620" s="232"/>
      <c r="CJ620" s="232"/>
      <c r="CK620" s="232"/>
      <c r="CL620" s="232"/>
      <c r="CM620" s="232"/>
      <c r="CN620" s="215"/>
      <c r="CO620" s="215"/>
      <c r="CP620" s="215"/>
      <c r="CQ620" s="215"/>
      <c r="CR620" s="215"/>
      <c r="CS620" s="215"/>
      <c r="CT620" s="215"/>
    </row>
    <row r="621" ht="24.0" customHeight="1">
      <c r="A621" s="287"/>
      <c r="B621" s="287"/>
      <c r="C621" s="287"/>
      <c r="D621" s="232"/>
      <c r="E621" s="232"/>
      <c r="F621" s="232"/>
      <c r="G621" s="232"/>
      <c r="H621" s="232"/>
      <c r="I621" s="232"/>
      <c r="J621" s="232"/>
      <c r="K621" s="232"/>
      <c r="L621" s="232"/>
      <c r="M621" s="232"/>
      <c r="N621" s="289"/>
      <c r="O621" s="232"/>
      <c r="P621" s="232"/>
      <c r="Q621" s="232"/>
      <c r="R621" s="232"/>
      <c r="S621" s="232"/>
      <c r="T621" s="232"/>
      <c r="U621" s="232"/>
      <c r="V621" s="232"/>
      <c r="W621" s="232"/>
      <c r="X621" s="232"/>
      <c r="Y621" s="232"/>
      <c r="Z621" s="232"/>
      <c r="AA621" s="232"/>
      <c r="AB621" s="232"/>
      <c r="AC621" s="232"/>
      <c r="AD621" s="232"/>
      <c r="AE621" s="232"/>
      <c r="AF621" s="232"/>
      <c r="AG621" s="232"/>
      <c r="AH621" s="232"/>
      <c r="AI621" s="232"/>
      <c r="AJ621" s="232"/>
      <c r="AK621" s="232"/>
      <c r="AL621" s="232"/>
      <c r="AM621" s="232"/>
      <c r="AN621" s="232"/>
      <c r="AO621" s="232"/>
      <c r="AP621" s="232"/>
      <c r="AQ621" s="232"/>
      <c r="AR621" s="232"/>
      <c r="AS621" s="232"/>
      <c r="AT621" s="232"/>
      <c r="AU621" s="232"/>
      <c r="AV621" s="232"/>
      <c r="AW621" s="232"/>
      <c r="AX621" s="232"/>
      <c r="AY621" s="232"/>
      <c r="AZ621" s="232"/>
      <c r="BA621" s="232"/>
      <c r="BB621" s="232"/>
      <c r="BC621" s="232"/>
      <c r="BD621" s="232"/>
      <c r="BE621" s="232"/>
      <c r="BF621" s="232"/>
      <c r="BG621" s="232"/>
      <c r="BH621" s="232"/>
      <c r="BI621" s="232"/>
      <c r="BJ621" s="232"/>
      <c r="BK621" s="232"/>
      <c r="BL621" s="232"/>
      <c r="BM621" s="232"/>
      <c r="BN621" s="232"/>
      <c r="BO621" s="232"/>
      <c r="BP621" s="232"/>
      <c r="BQ621" s="232"/>
      <c r="BR621" s="232"/>
      <c r="BS621" s="232"/>
      <c r="BT621" s="232"/>
      <c r="BU621" s="232"/>
      <c r="BV621" s="232"/>
      <c r="BW621" s="232"/>
      <c r="BX621" s="232"/>
      <c r="BY621" s="232"/>
      <c r="BZ621" s="232"/>
      <c r="CA621" s="232"/>
      <c r="CB621" s="232"/>
      <c r="CC621" s="232"/>
      <c r="CD621" s="232"/>
      <c r="CE621" s="232"/>
      <c r="CF621" s="232"/>
      <c r="CG621" s="232"/>
      <c r="CH621" s="232"/>
      <c r="CI621" s="232"/>
      <c r="CJ621" s="232"/>
      <c r="CK621" s="232"/>
      <c r="CL621" s="232"/>
      <c r="CM621" s="232"/>
      <c r="CN621" s="215"/>
      <c r="CO621" s="215"/>
      <c r="CP621" s="215"/>
      <c r="CQ621" s="215"/>
      <c r="CR621" s="215"/>
      <c r="CS621" s="215"/>
      <c r="CT621" s="215"/>
    </row>
    <row r="622" ht="24.0" customHeight="1">
      <c r="A622" s="287"/>
      <c r="B622" s="287"/>
      <c r="C622" s="287"/>
      <c r="D622" s="232"/>
      <c r="E622" s="232"/>
      <c r="F622" s="232"/>
      <c r="G622" s="232"/>
      <c r="H622" s="232"/>
      <c r="I622" s="232"/>
      <c r="J622" s="232"/>
      <c r="K622" s="232"/>
      <c r="L622" s="232"/>
      <c r="M622" s="232"/>
      <c r="N622" s="289"/>
      <c r="O622" s="232"/>
      <c r="P622" s="232"/>
      <c r="Q622" s="232"/>
      <c r="R622" s="232"/>
      <c r="S622" s="232"/>
      <c r="T622" s="232"/>
      <c r="U622" s="232"/>
      <c r="V622" s="232"/>
      <c r="W622" s="232"/>
      <c r="X622" s="232"/>
      <c r="Y622" s="232"/>
      <c r="Z622" s="232"/>
      <c r="AA622" s="232"/>
      <c r="AB622" s="232"/>
      <c r="AC622" s="232"/>
      <c r="AD622" s="232"/>
      <c r="AE622" s="232"/>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c r="BL622" s="232"/>
      <c r="BM622" s="232"/>
      <c r="BN622" s="232"/>
      <c r="BO622" s="232"/>
      <c r="BP622" s="232"/>
      <c r="BQ622" s="232"/>
      <c r="BR622" s="232"/>
      <c r="BS622" s="232"/>
      <c r="BT622" s="232"/>
      <c r="BU622" s="232"/>
      <c r="BV622" s="232"/>
      <c r="BW622" s="232"/>
      <c r="BX622" s="232"/>
      <c r="BY622" s="232"/>
      <c r="BZ622" s="232"/>
      <c r="CA622" s="232"/>
      <c r="CB622" s="232"/>
      <c r="CC622" s="232"/>
      <c r="CD622" s="232"/>
      <c r="CE622" s="232"/>
      <c r="CF622" s="232"/>
      <c r="CG622" s="232"/>
      <c r="CH622" s="232"/>
      <c r="CI622" s="232"/>
      <c r="CJ622" s="232"/>
      <c r="CK622" s="232"/>
      <c r="CL622" s="232"/>
      <c r="CM622" s="232"/>
      <c r="CN622" s="215"/>
      <c r="CO622" s="215"/>
      <c r="CP622" s="215"/>
      <c r="CQ622" s="215"/>
      <c r="CR622" s="215"/>
      <c r="CS622" s="215"/>
      <c r="CT622" s="215"/>
    </row>
    <row r="623" ht="24.0" customHeight="1">
      <c r="A623" s="287"/>
      <c r="B623" s="287"/>
      <c r="C623" s="287"/>
      <c r="D623" s="232"/>
      <c r="E623" s="232"/>
      <c r="F623" s="232"/>
      <c r="G623" s="232"/>
      <c r="H623" s="232"/>
      <c r="I623" s="232"/>
      <c r="J623" s="232"/>
      <c r="K623" s="232"/>
      <c r="L623" s="232"/>
      <c r="M623" s="232"/>
      <c r="N623" s="289"/>
      <c r="O623" s="232"/>
      <c r="P623" s="232"/>
      <c r="Q623" s="232"/>
      <c r="R623" s="232"/>
      <c r="S623" s="232"/>
      <c r="T623" s="232"/>
      <c r="U623" s="232"/>
      <c r="V623" s="232"/>
      <c r="W623" s="232"/>
      <c r="X623" s="232"/>
      <c r="Y623" s="232"/>
      <c r="Z623" s="232"/>
      <c r="AA623" s="232"/>
      <c r="AB623" s="232"/>
      <c r="AC623" s="232"/>
      <c r="AD623" s="232"/>
      <c r="AE623" s="232"/>
      <c r="AF623" s="232"/>
      <c r="AG623" s="232"/>
      <c r="AH623" s="232"/>
      <c r="AI623" s="232"/>
      <c r="AJ623" s="232"/>
      <c r="AK623" s="232"/>
      <c r="AL623" s="232"/>
      <c r="AM623" s="232"/>
      <c r="AN623" s="232"/>
      <c r="AO623" s="232"/>
      <c r="AP623" s="232"/>
      <c r="AQ623" s="232"/>
      <c r="AR623" s="232"/>
      <c r="AS623" s="232"/>
      <c r="AT623" s="232"/>
      <c r="AU623" s="232"/>
      <c r="AV623" s="232"/>
      <c r="AW623" s="232"/>
      <c r="AX623" s="232"/>
      <c r="AY623" s="232"/>
      <c r="AZ623" s="232"/>
      <c r="BA623" s="232"/>
      <c r="BB623" s="232"/>
      <c r="BC623" s="232"/>
      <c r="BD623" s="232"/>
      <c r="BE623" s="232"/>
      <c r="BF623" s="232"/>
      <c r="BG623" s="232"/>
      <c r="BH623" s="232"/>
      <c r="BI623" s="232"/>
      <c r="BJ623" s="232"/>
      <c r="BK623" s="232"/>
      <c r="BL623" s="232"/>
      <c r="BM623" s="232"/>
      <c r="BN623" s="232"/>
      <c r="BO623" s="232"/>
      <c r="BP623" s="232"/>
      <c r="BQ623" s="232"/>
      <c r="BR623" s="232"/>
      <c r="BS623" s="232"/>
      <c r="BT623" s="232"/>
      <c r="BU623" s="232"/>
      <c r="BV623" s="232"/>
      <c r="BW623" s="232"/>
      <c r="BX623" s="232"/>
      <c r="BY623" s="232"/>
      <c r="BZ623" s="232"/>
      <c r="CA623" s="232"/>
      <c r="CB623" s="232"/>
      <c r="CC623" s="232"/>
      <c r="CD623" s="232"/>
      <c r="CE623" s="232"/>
      <c r="CF623" s="232"/>
      <c r="CG623" s="232"/>
      <c r="CH623" s="232"/>
      <c r="CI623" s="232"/>
      <c r="CJ623" s="232"/>
      <c r="CK623" s="232"/>
      <c r="CL623" s="232"/>
      <c r="CM623" s="232"/>
      <c r="CN623" s="215"/>
      <c r="CO623" s="215"/>
      <c r="CP623" s="215"/>
      <c r="CQ623" s="215"/>
      <c r="CR623" s="215"/>
      <c r="CS623" s="215"/>
      <c r="CT623" s="215"/>
    </row>
    <row r="624" ht="24.0" customHeight="1">
      <c r="A624" s="287"/>
      <c r="B624" s="287"/>
      <c r="C624" s="287"/>
      <c r="D624" s="232"/>
      <c r="E624" s="232"/>
      <c r="F624" s="232"/>
      <c r="G624" s="232"/>
      <c r="H624" s="232"/>
      <c r="I624" s="232"/>
      <c r="J624" s="232"/>
      <c r="K624" s="232"/>
      <c r="L624" s="232"/>
      <c r="M624" s="232"/>
      <c r="N624" s="289"/>
      <c r="O624" s="232"/>
      <c r="P624" s="232"/>
      <c r="Q624" s="232"/>
      <c r="R624" s="232"/>
      <c r="S624" s="232"/>
      <c r="T624" s="232"/>
      <c r="U624" s="232"/>
      <c r="V624" s="232"/>
      <c r="W624" s="232"/>
      <c r="X624" s="232"/>
      <c r="Y624" s="232"/>
      <c r="Z624" s="232"/>
      <c r="AA624" s="232"/>
      <c r="AB624" s="232"/>
      <c r="AC624" s="232"/>
      <c r="AD624" s="232"/>
      <c r="AE624" s="232"/>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c r="BL624" s="232"/>
      <c r="BM624" s="232"/>
      <c r="BN624" s="232"/>
      <c r="BO624" s="232"/>
      <c r="BP624" s="232"/>
      <c r="BQ624" s="232"/>
      <c r="BR624" s="232"/>
      <c r="BS624" s="232"/>
      <c r="BT624" s="232"/>
      <c r="BU624" s="232"/>
      <c r="BV624" s="232"/>
      <c r="BW624" s="232"/>
      <c r="BX624" s="232"/>
      <c r="BY624" s="232"/>
      <c r="BZ624" s="232"/>
      <c r="CA624" s="232"/>
      <c r="CB624" s="232"/>
      <c r="CC624" s="232"/>
      <c r="CD624" s="232"/>
      <c r="CE624" s="232"/>
      <c r="CF624" s="232"/>
      <c r="CG624" s="232"/>
      <c r="CH624" s="232"/>
      <c r="CI624" s="232"/>
      <c r="CJ624" s="232"/>
      <c r="CK624" s="232"/>
      <c r="CL624" s="232"/>
      <c r="CM624" s="232"/>
      <c r="CN624" s="215"/>
      <c r="CO624" s="215"/>
      <c r="CP624" s="215"/>
      <c r="CQ624" s="215"/>
      <c r="CR624" s="215"/>
      <c r="CS624" s="215"/>
      <c r="CT624" s="215"/>
    </row>
    <row r="625" ht="24.0" customHeight="1">
      <c r="A625" s="287"/>
      <c r="B625" s="287"/>
      <c r="C625" s="287"/>
      <c r="D625" s="232"/>
      <c r="E625" s="232"/>
      <c r="F625" s="232"/>
      <c r="G625" s="232"/>
      <c r="H625" s="232"/>
      <c r="I625" s="232"/>
      <c r="J625" s="232"/>
      <c r="K625" s="232"/>
      <c r="L625" s="232"/>
      <c r="M625" s="232"/>
      <c r="N625" s="289"/>
      <c r="O625" s="232"/>
      <c r="P625" s="232"/>
      <c r="Q625" s="232"/>
      <c r="R625" s="232"/>
      <c r="S625" s="232"/>
      <c r="T625" s="232"/>
      <c r="U625" s="232"/>
      <c r="V625" s="232"/>
      <c r="W625" s="232"/>
      <c r="X625" s="232"/>
      <c r="Y625" s="232"/>
      <c r="Z625" s="232"/>
      <c r="AA625" s="232"/>
      <c r="AB625" s="232"/>
      <c r="AC625" s="232"/>
      <c r="AD625" s="232"/>
      <c r="AE625" s="232"/>
      <c r="AF625" s="232"/>
      <c r="AG625" s="232"/>
      <c r="AH625" s="232"/>
      <c r="AI625" s="232"/>
      <c r="AJ625" s="232"/>
      <c r="AK625" s="232"/>
      <c r="AL625" s="232"/>
      <c r="AM625" s="232"/>
      <c r="AN625" s="232"/>
      <c r="AO625" s="232"/>
      <c r="AP625" s="232"/>
      <c r="AQ625" s="232"/>
      <c r="AR625" s="232"/>
      <c r="AS625" s="232"/>
      <c r="AT625" s="232"/>
      <c r="AU625" s="232"/>
      <c r="AV625" s="232"/>
      <c r="AW625" s="232"/>
      <c r="AX625" s="232"/>
      <c r="AY625" s="232"/>
      <c r="AZ625" s="232"/>
      <c r="BA625" s="232"/>
      <c r="BB625" s="232"/>
      <c r="BC625" s="232"/>
      <c r="BD625" s="232"/>
      <c r="BE625" s="232"/>
      <c r="BF625" s="232"/>
      <c r="BG625" s="232"/>
      <c r="BH625" s="232"/>
      <c r="BI625" s="232"/>
      <c r="BJ625" s="232"/>
      <c r="BK625" s="232"/>
      <c r="BL625" s="232"/>
      <c r="BM625" s="232"/>
      <c r="BN625" s="232"/>
      <c r="BO625" s="232"/>
      <c r="BP625" s="232"/>
      <c r="BQ625" s="232"/>
      <c r="BR625" s="232"/>
      <c r="BS625" s="232"/>
      <c r="BT625" s="232"/>
      <c r="BU625" s="232"/>
      <c r="BV625" s="232"/>
      <c r="BW625" s="232"/>
      <c r="BX625" s="232"/>
      <c r="BY625" s="232"/>
      <c r="BZ625" s="232"/>
      <c r="CA625" s="232"/>
      <c r="CB625" s="232"/>
      <c r="CC625" s="232"/>
      <c r="CD625" s="232"/>
      <c r="CE625" s="232"/>
      <c r="CF625" s="232"/>
      <c r="CG625" s="232"/>
      <c r="CH625" s="232"/>
      <c r="CI625" s="232"/>
      <c r="CJ625" s="232"/>
      <c r="CK625" s="232"/>
      <c r="CL625" s="232"/>
      <c r="CM625" s="232"/>
      <c r="CN625" s="215"/>
      <c r="CO625" s="215"/>
      <c r="CP625" s="215"/>
      <c r="CQ625" s="215"/>
      <c r="CR625" s="215"/>
      <c r="CS625" s="215"/>
      <c r="CT625" s="215"/>
    </row>
    <row r="626" ht="24.0" customHeight="1">
      <c r="A626" s="287"/>
      <c r="B626" s="287"/>
      <c r="C626" s="287"/>
      <c r="D626" s="232"/>
      <c r="E626" s="232"/>
      <c r="F626" s="232"/>
      <c r="G626" s="232"/>
      <c r="H626" s="232"/>
      <c r="I626" s="232"/>
      <c r="J626" s="232"/>
      <c r="K626" s="232"/>
      <c r="L626" s="232"/>
      <c r="M626" s="232"/>
      <c r="N626" s="289"/>
      <c r="O626" s="232"/>
      <c r="P626" s="232"/>
      <c r="Q626" s="232"/>
      <c r="R626" s="232"/>
      <c r="S626" s="232"/>
      <c r="T626" s="232"/>
      <c r="U626" s="232"/>
      <c r="V626" s="232"/>
      <c r="W626" s="232"/>
      <c r="X626" s="232"/>
      <c r="Y626" s="232"/>
      <c r="Z626" s="232"/>
      <c r="AA626" s="232"/>
      <c r="AB626" s="232"/>
      <c r="AC626" s="232"/>
      <c r="AD626" s="232"/>
      <c r="AE626" s="232"/>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c r="BL626" s="232"/>
      <c r="BM626" s="232"/>
      <c r="BN626" s="232"/>
      <c r="BO626" s="232"/>
      <c r="BP626" s="232"/>
      <c r="BQ626" s="232"/>
      <c r="BR626" s="232"/>
      <c r="BS626" s="232"/>
      <c r="BT626" s="232"/>
      <c r="BU626" s="232"/>
      <c r="BV626" s="232"/>
      <c r="BW626" s="232"/>
      <c r="BX626" s="232"/>
      <c r="BY626" s="232"/>
      <c r="BZ626" s="232"/>
      <c r="CA626" s="232"/>
      <c r="CB626" s="232"/>
      <c r="CC626" s="232"/>
      <c r="CD626" s="232"/>
      <c r="CE626" s="232"/>
      <c r="CF626" s="232"/>
      <c r="CG626" s="232"/>
      <c r="CH626" s="232"/>
      <c r="CI626" s="232"/>
      <c r="CJ626" s="232"/>
      <c r="CK626" s="232"/>
      <c r="CL626" s="232"/>
      <c r="CM626" s="232"/>
      <c r="CN626" s="215"/>
      <c r="CO626" s="215"/>
      <c r="CP626" s="215"/>
      <c r="CQ626" s="215"/>
      <c r="CR626" s="215"/>
      <c r="CS626" s="215"/>
      <c r="CT626" s="215"/>
    </row>
    <row r="627" ht="24.0" customHeight="1">
      <c r="A627" s="287"/>
      <c r="B627" s="287"/>
      <c r="C627" s="287"/>
      <c r="D627" s="232"/>
      <c r="E627" s="232"/>
      <c r="F627" s="232"/>
      <c r="G627" s="232"/>
      <c r="H627" s="232"/>
      <c r="I627" s="232"/>
      <c r="J627" s="232"/>
      <c r="K627" s="232"/>
      <c r="L627" s="232"/>
      <c r="M627" s="232"/>
      <c r="N627" s="289"/>
      <c r="O627" s="232"/>
      <c r="P627" s="232"/>
      <c r="Q627" s="232"/>
      <c r="R627" s="232"/>
      <c r="S627" s="232"/>
      <c r="T627" s="232"/>
      <c r="U627" s="232"/>
      <c r="V627" s="232"/>
      <c r="W627" s="232"/>
      <c r="X627" s="232"/>
      <c r="Y627" s="232"/>
      <c r="Z627" s="232"/>
      <c r="AA627" s="232"/>
      <c r="AB627" s="232"/>
      <c r="AC627" s="232"/>
      <c r="AD627" s="232"/>
      <c r="AE627" s="232"/>
      <c r="AF627" s="232"/>
      <c r="AG627" s="232"/>
      <c r="AH627" s="232"/>
      <c r="AI627" s="232"/>
      <c r="AJ627" s="232"/>
      <c r="AK627" s="232"/>
      <c r="AL627" s="232"/>
      <c r="AM627" s="232"/>
      <c r="AN627" s="232"/>
      <c r="AO627" s="232"/>
      <c r="AP627" s="232"/>
      <c r="AQ627" s="232"/>
      <c r="AR627" s="232"/>
      <c r="AS627" s="232"/>
      <c r="AT627" s="232"/>
      <c r="AU627" s="232"/>
      <c r="AV627" s="232"/>
      <c r="AW627" s="232"/>
      <c r="AX627" s="232"/>
      <c r="AY627" s="232"/>
      <c r="AZ627" s="232"/>
      <c r="BA627" s="232"/>
      <c r="BB627" s="232"/>
      <c r="BC627" s="232"/>
      <c r="BD627" s="232"/>
      <c r="BE627" s="232"/>
      <c r="BF627" s="232"/>
      <c r="BG627" s="232"/>
      <c r="BH627" s="232"/>
      <c r="BI627" s="232"/>
      <c r="BJ627" s="232"/>
      <c r="BK627" s="232"/>
      <c r="BL627" s="232"/>
      <c r="BM627" s="232"/>
      <c r="BN627" s="232"/>
      <c r="BO627" s="232"/>
      <c r="BP627" s="232"/>
      <c r="BQ627" s="232"/>
      <c r="BR627" s="232"/>
      <c r="BS627" s="232"/>
      <c r="BT627" s="232"/>
      <c r="BU627" s="232"/>
      <c r="BV627" s="232"/>
      <c r="BW627" s="232"/>
      <c r="BX627" s="232"/>
      <c r="BY627" s="232"/>
      <c r="BZ627" s="232"/>
      <c r="CA627" s="232"/>
      <c r="CB627" s="232"/>
      <c r="CC627" s="232"/>
      <c r="CD627" s="232"/>
      <c r="CE627" s="232"/>
      <c r="CF627" s="232"/>
      <c r="CG627" s="232"/>
      <c r="CH627" s="232"/>
      <c r="CI627" s="232"/>
      <c r="CJ627" s="232"/>
      <c r="CK627" s="232"/>
      <c r="CL627" s="232"/>
      <c r="CM627" s="232"/>
      <c r="CN627" s="215"/>
      <c r="CO627" s="215"/>
      <c r="CP627" s="215"/>
      <c r="CQ627" s="215"/>
      <c r="CR627" s="215"/>
      <c r="CS627" s="215"/>
      <c r="CT627" s="215"/>
    </row>
    <row r="628" ht="24.0" customHeight="1">
      <c r="A628" s="287"/>
      <c r="B628" s="287"/>
      <c r="C628" s="287"/>
      <c r="D628" s="232"/>
      <c r="E628" s="232"/>
      <c r="F628" s="232"/>
      <c r="G628" s="232"/>
      <c r="H628" s="232"/>
      <c r="I628" s="232"/>
      <c r="J628" s="232"/>
      <c r="K628" s="232"/>
      <c r="L628" s="232"/>
      <c r="M628" s="232"/>
      <c r="N628" s="289"/>
      <c r="O628" s="232"/>
      <c r="P628" s="232"/>
      <c r="Q628" s="232"/>
      <c r="R628" s="232"/>
      <c r="S628" s="232"/>
      <c r="T628" s="232"/>
      <c r="U628" s="232"/>
      <c r="V628" s="232"/>
      <c r="W628" s="232"/>
      <c r="X628" s="232"/>
      <c r="Y628" s="232"/>
      <c r="Z628" s="232"/>
      <c r="AA628" s="232"/>
      <c r="AB628" s="232"/>
      <c r="AC628" s="232"/>
      <c r="AD628" s="232"/>
      <c r="AE628" s="232"/>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c r="BL628" s="232"/>
      <c r="BM628" s="232"/>
      <c r="BN628" s="232"/>
      <c r="BO628" s="232"/>
      <c r="BP628" s="232"/>
      <c r="BQ628" s="232"/>
      <c r="BR628" s="232"/>
      <c r="BS628" s="232"/>
      <c r="BT628" s="232"/>
      <c r="BU628" s="232"/>
      <c r="BV628" s="232"/>
      <c r="BW628" s="232"/>
      <c r="BX628" s="232"/>
      <c r="BY628" s="232"/>
      <c r="BZ628" s="232"/>
      <c r="CA628" s="232"/>
      <c r="CB628" s="232"/>
      <c r="CC628" s="232"/>
      <c r="CD628" s="232"/>
      <c r="CE628" s="232"/>
      <c r="CF628" s="232"/>
      <c r="CG628" s="232"/>
      <c r="CH628" s="232"/>
      <c r="CI628" s="232"/>
      <c r="CJ628" s="232"/>
      <c r="CK628" s="232"/>
      <c r="CL628" s="232"/>
      <c r="CM628" s="232"/>
      <c r="CN628" s="215"/>
      <c r="CO628" s="215"/>
      <c r="CP628" s="215"/>
      <c r="CQ628" s="215"/>
      <c r="CR628" s="215"/>
      <c r="CS628" s="215"/>
      <c r="CT628" s="215"/>
    </row>
    <row r="629" ht="24.0" customHeight="1">
      <c r="A629" s="287"/>
      <c r="B629" s="287"/>
      <c r="C629" s="287"/>
      <c r="D629" s="232"/>
      <c r="E629" s="232"/>
      <c r="F629" s="232"/>
      <c r="G629" s="232"/>
      <c r="H629" s="232"/>
      <c r="I629" s="232"/>
      <c r="J629" s="232"/>
      <c r="K629" s="232"/>
      <c r="L629" s="232"/>
      <c r="M629" s="232"/>
      <c r="N629" s="289"/>
      <c r="O629" s="232"/>
      <c r="P629" s="232"/>
      <c r="Q629" s="232"/>
      <c r="R629" s="232"/>
      <c r="S629" s="232"/>
      <c r="T629" s="232"/>
      <c r="U629" s="232"/>
      <c r="V629" s="232"/>
      <c r="W629" s="232"/>
      <c r="X629" s="232"/>
      <c r="Y629" s="232"/>
      <c r="Z629" s="232"/>
      <c r="AA629" s="232"/>
      <c r="AB629" s="232"/>
      <c r="AC629" s="232"/>
      <c r="AD629" s="232"/>
      <c r="AE629" s="232"/>
      <c r="AF629" s="232"/>
      <c r="AG629" s="232"/>
      <c r="AH629" s="232"/>
      <c r="AI629" s="232"/>
      <c r="AJ629" s="232"/>
      <c r="AK629" s="232"/>
      <c r="AL629" s="232"/>
      <c r="AM629" s="232"/>
      <c r="AN629" s="232"/>
      <c r="AO629" s="232"/>
      <c r="AP629" s="232"/>
      <c r="AQ629" s="232"/>
      <c r="AR629" s="232"/>
      <c r="AS629" s="232"/>
      <c r="AT629" s="232"/>
      <c r="AU629" s="232"/>
      <c r="AV629" s="232"/>
      <c r="AW629" s="232"/>
      <c r="AX629" s="232"/>
      <c r="AY629" s="232"/>
      <c r="AZ629" s="232"/>
      <c r="BA629" s="232"/>
      <c r="BB629" s="232"/>
      <c r="BC629" s="232"/>
      <c r="BD629" s="232"/>
      <c r="BE629" s="232"/>
      <c r="BF629" s="232"/>
      <c r="BG629" s="232"/>
      <c r="BH629" s="232"/>
      <c r="BI629" s="232"/>
      <c r="BJ629" s="232"/>
      <c r="BK629" s="232"/>
      <c r="BL629" s="232"/>
      <c r="BM629" s="232"/>
      <c r="BN629" s="232"/>
      <c r="BO629" s="232"/>
      <c r="BP629" s="232"/>
      <c r="BQ629" s="232"/>
      <c r="BR629" s="232"/>
      <c r="BS629" s="232"/>
      <c r="BT629" s="232"/>
      <c r="BU629" s="232"/>
      <c r="BV629" s="232"/>
      <c r="BW629" s="232"/>
      <c r="BX629" s="232"/>
      <c r="BY629" s="232"/>
      <c r="BZ629" s="232"/>
      <c r="CA629" s="232"/>
      <c r="CB629" s="232"/>
      <c r="CC629" s="232"/>
      <c r="CD629" s="232"/>
      <c r="CE629" s="232"/>
      <c r="CF629" s="232"/>
      <c r="CG629" s="232"/>
      <c r="CH629" s="232"/>
      <c r="CI629" s="232"/>
      <c r="CJ629" s="232"/>
      <c r="CK629" s="232"/>
      <c r="CL629" s="232"/>
      <c r="CM629" s="232"/>
      <c r="CN629" s="215"/>
      <c r="CO629" s="215"/>
      <c r="CP629" s="215"/>
      <c r="CQ629" s="215"/>
      <c r="CR629" s="215"/>
      <c r="CS629" s="215"/>
      <c r="CT629" s="215"/>
    </row>
    <row r="630" ht="24.0" customHeight="1">
      <c r="A630" s="287"/>
      <c r="B630" s="287"/>
      <c r="C630" s="287"/>
      <c r="D630" s="232"/>
      <c r="E630" s="232"/>
      <c r="F630" s="232"/>
      <c r="G630" s="232"/>
      <c r="H630" s="232"/>
      <c r="I630" s="232"/>
      <c r="J630" s="232"/>
      <c r="K630" s="232"/>
      <c r="L630" s="232"/>
      <c r="M630" s="232"/>
      <c r="N630" s="289"/>
      <c r="O630" s="232"/>
      <c r="P630" s="232"/>
      <c r="Q630" s="232"/>
      <c r="R630" s="232"/>
      <c r="S630" s="232"/>
      <c r="T630" s="232"/>
      <c r="U630" s="232"/>
      <c r="V630" s="232"/>
      <c r="W630" s="232"/>
      <c r="X630" s="232"/>
      <c r="Y630" s="232"/>
      <c r="Z630" s="232"/>
      <c r="AA630" s="232"/>
      <c r="AB630" s="232"/>
      <c r="AC630" s="232"/>
      <c r="AD630" s="232"/>
      <c r="AE630" s="232"/>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c r="BL630" s="232"/>
      <c r="BM630" s="232"/>
      <c r="BN630" s="232"/>
      <c r="BO630" s="232"/>
      <c r="BP630" s="232"/>
      <c r="BQ630" s="232"/>
      <c r="BR630" s="232"/>
      <c r="BS630" s="232"/>
      <c r="BT630" s="232"/>
      <c r="BU630" s="232"/>
      <c r="BV630" s="232"/>
      <c r="BW630" s="232"/>
      <c r="BX630" s="232"/>
      <c r="BY630" s="232"/>
      <c r="BZ630" s="232"/>
      <c r="CA630" s="232"/>
      <c r="CB630" s="232"/>
      <c r="CC630" s="232"/>
      <c r="CD630" s="232"/>
      <c r="CE630" s="232"/>
      <c r="CF630" s="232"/>
      <c r="CG630" s="232"/>
      <c r="CH630" s="232"/>
      <c r="CI630" s="232"/>
      <c r="CJ630" s="232"/>
      <c r="CK630" s="232"/>
      <c r="CL630" s="232"/>
      <c r="CM630" s="232"/>
      <c r="CN630" s="215"/>
      <c r="CO630" s="215"/>
      <c r="CP630" s="215"/>
      <c r="CQ630" s="215"/>
      <c r="CR630" s="215"/>
      <c r="CS630" s="215"/>
      <c r="CT630" s="215"/>
    </row>
    <row r="631" ht="24.0" customHeight="1">
      <c r="A631" s="287"/>
      <c r="B631" s="287"/>
      <c r="C631" s="287"/>
      <c r="D631" s="232"/>
      <c r="E631" s="232"/>
      <c r="F631" s="232"/>
      <c r="G631" s="232"/>
      <c r="H631" s="232"/>
      <c r="I631" s="232"/>
      <c r="J631" s="232"/>
      <c r="K631" s="232"/>
      <c r="L631" s="232"/>
      <c r="M631" s="232"/>
      <c r="N631" s="289"/>
      <c r="O631" s="232"/>
      <c r="P631" s="232"/>
      <c r="Q631" s="232"/>
      <c r="R631" s="232"/>
      <c r="S631" s="232"/>
      <c r="T631" s="232"/>
      <c r="U631" s="232"/>
      <c r="V631" s="232"/>
      <c r="W631" s="232"/>
      <c r="X631" s="232"/>
      <c r="Y631" s="232"/>
      <c r="Z631" s="232"/>
      <c r="AA631" s="232"/>
      <c r="AB631" s="232"/>
      <c r="AC631" s="232"/>
      <c r="AD631" s="232"/>
      <c r="AE631" s="232"/>
      <c r="AF631" s="232"/>
      <c r="AG631" s="232"/>
      <c r="AH631" s="232"/>
      <c r="AI631" s="232"/>
      <c r="AJ631" s="232"/>
      <c r="AK631" s="232"/>
      <c r="AL631" s="232"/>
      <c r="AM631" s="232"/>
      <c r="AN631" s="232"/>
      <c r="AO631" s="232"/>
      <c r="AP631" s="232"/>
      <c r="AQ631" s="232"/>
      <c r="AR631" s="232"/>
      <c r="AS631" s="232"/>
      <c r="AT631" s="232"/>
      <c r="AU631" s="232"/>
      <c r="AV631" s="232"/>
      <c r="AW631" s="232"/>
      <c r="AX631" s="232"/>
      <c r="AY631" s="232"/>
      <c r="AZ631" s="232"/>
      <c r="BA631" s="232"/>
      <c r="BB631" s="232"/>
      <c r="BC631" s="232"/>
      <c r="BD631" s="232"/>
      <c r="BE631" s="232"/>
      <c r="BF631" s="232"/>
      <c r="BG631" s="232"/>
      <c r="BH631" s="232"/>
      <c r="BI631" s="232"/>
      <c r="BJ631" s="232"/>
      <c r="BK631" s="232"/>
      <c r="BL631" s="232"/>
      <c r="BM631" s="232"/>
      <c r="BN631" s="232"/>
      <c r="BO631" s="232"/>
      <c r="BP631" s="232"/>
      <c r="BQ631" s="232"/>
      <c r="BR631" s="232"/>
      <c r="BS631" s="232"/>
      <c r="BT631" s="232"/>
      <c r="BU631" s="232"/>
      <c r="BV631" s="232"/>
      <c r="BW631" s="232"/>
      <c r="BX631" s="232"/>
      <c r="BY631" s="232"/>
      <c r="BZ631" s="232"/>
      <c r="CA631" s="232"/>
      <c r="CB631" s="232"/>
      <c r="CC631" s="232"/>
      <c r="CD631" s="232"/>
      <c r="CE631" s="232"/>
      <c r="CF631" s="232"/>
      <c r="CG631" s="232"/>
      <c r="CH631" s="232"/>
      <c r="CI631" s="232"/>
      <c r="CJ631" s="232"/>
      <c r="CK631" s="232"/>
      <c r="CL631" s="232"/>
      <c r="CM631" s="232"/>
      <c r="CN631" s="215"/>
      <c r="CO631" s="215"/>
      <c r="CP631" s="215"/>
      <c r="CQ631" s="215"/>
      <c r="CR631" s="215"/>
      <c r="CS631" s="215"/>
      <c r="CT631" s="215"/>
    </row>
    <row r="632" ht="24.0" customHeight="1">
      <c r="A632" s="287"/>
      <c r="B632" s="287"/>
      <c r="C632" s="287"/>
      <c r="D632" s="232"/>
      <c r="E632" s="232"/>
      <c r="F632" s="232"/>
      <c r="G632" s="232"/>
      <c r="H632" s="232"/>
      <c r="I632" s="232"/>
      <c r="J632" s="232"/>
      <c r="K632" s="232"/>
      <c r="L632" s="232"/>
      <c r="M632" s="232"/>
      <c r="N632" s="289"/>
      <c r="O632" s="232"/>
      <c r="P632" s="232"/>
      <c r="Q632" s="232"/>
      <c r="R632" s="232"/>
      <c r="S632" s="232"/>
      <c r="T632" s="232"/>
      <c r="U632" s="232"/>
      <c r="V632" s="232"/>
      <c r="W632" s="232"/>
      <c r="X632" s="232"/>
      <c r="Y632" s="232"/>
      <c r="Z632" s="232"/>
      <c r="AA632" s="232"/>
      <c r="AB632" s="232"/>
      <c r="AC632" s="232"/>
      <c r="AD632" s="232"/>
      <c r="AE632" s="232"/>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c r="BL632" s="232"/>
      <c r="BM632" s="232"/>
      <c r="BN632" s="232"/>
      <c r="BO632" s="232"/>
      <c r="BP632" s="232"/>
      <c r="BQ632" s="232"/>
      <c r="BR632" s="232"/>
      <c r="BS632" s="232"/>
      <c r="BT632" s="232"/>
      <c r="BU632" s="232"/>
      <c r="BV632" s="232"/>
      <c r="BW632" s="232"/>
      <c r="BX632" s="232"/>
      <c r="BY632" s="232"/>
      <c r="BZ632" s="232"/>
      <c r="CA632" s="232"/>
      <c r="CB632" s="232"/>
      <c r="CC632" s="232"/>
      <c r="CD632" s="232"/>
      <c r="CE632" s="232"/>
      <c r="CF632" s="232"/>
      <c r="CG632" s="232"/>
      <c r="CH632" s="232"/>
      <c r="CI632" s="232"/>
      <c r="CJ632" s="232"/>
      <c r="CK632" s="232"/>
      <c r="CL632" s="232"/>
      <c r="CM632" s="232"/>
      <c r="CN632" s="215"/>
      <c r="CO632" s="215"/>
      <c r="CP632" s="215"/>
      <c r="CQ632" s="215"/>
      <c r="CR632" s="215"/>
      <c r="CS632" s="215"/>
      <c r="CT632" s="215"/>
    </row>
    <row r="633" ht="24.0" customHeight="1">
      <c r="A633" s="287"/>
      <c r="B633" s="287"/>
      <c r="C633" s="287"/>
      <c r="D633" s="232"/>
      <c r="E633" s="232"/>
      <c r="F633" s="232"/>
      <c r="G633" s="232"/>
      <c r="H633" s="232"/>
      <c r="I633" s="232"/>
      <c r="J633" s="232"/>
      <c r="K633" s="232"/>
      <c r="L633" s="232"/>
      <c r="M633" s="232"/>
      <c r="N633" s="289"/>
      <c r="O633" s="232"/>
      <c r="P633" s="232"/>
      <c r="Q633" s="232"/>
      <c r="R633" s="232"/>
      <c r="S633" s="232"/>
      <c r="T633" s="232"/>
      <c r="U633" s="232"/>
      <c r="V633" s="232"/>
      <c r="W633" s="232"/>
      <c r="X633" s="232"/>
      <c r="Y633" s="232"/>
      <c r="Z633" s="232"/>
      <c r="AA633" s="232"/>
      <c r="AB633" s="232"/>
      <c r="AC633" s="232"/>
      <c r="AD633" s="232"/>
      <c r="AE633" s="232"/>
      <c r="AF633" s="232"/>
      <c r="AG633" s="232"/>
      <c r="AH633" s="232"/>
      <c r="AI633" s="232"/>
      <c r="AJ633" s="232"/>
      <c r="AK633" s="232"/>
      <c r="AL633" s="232"/>
      <c r="AM633" s="232"/>
      <c r="AN633" s="232"/>
      <c r="AO633" s="232"/>
      <c r="AP633" s="232"/>
      <c r="AQ633" s="232"/>
      <c r="AR633" s="232"/>
      <c r="AS633" s="232"/>
      <c r="AT633" s="232"/>
      <c r="AU633" s="232"/>
      <c r="AV633" s="232"/>
      <c r="AW633" s="232"/>
      <c r="AX633" s="232"/>
      <c r="AY633" s="232"/>
      <c r="AZ633" s="232"/>
      <c r="BA633" s="232"/>
      <c r="BB633" s="232"/>
      <c r="BC633" s="232"/>
      <c r="BD633" s="232"/>
      <c r="BE633" s="232"/>
      <c r="BF633" s="232"/>
      <c r="BG633" s="232"/>
      <c r="BH633" s="232"/>
      <c r="BI633" s="232"/>
      <c r="BJ633" s="232"/>
      <c r="BK633" s="232"/>
      <c r="BL633" s="232"/>
      <c r="BM633" s="232"/>
      <c r="BN633" s="232"/>
      <c r="BO633" s="232"/>
      <c r="BP633" s="232"/>
      <c r="BQ633" s="232"/>
      <c r="BR633" s="232"/>
      <c r="BS633" s="232"/>
      <c r="BT633" s="232"/>
      <c r="BU633" s="232"/>
      <c r="BV633" s="232"/>
      <c r="BW633" s="232"/>
      <c r="BX633" s="232"/>
      <c r="BY633" s="232"/>
      <c r="BZ633" s="232"/>
      <c r="CA633" s="232"/>
      <c r="CB633" s="232"/>
      <c r="CC633" s="232"/>
      <c r="CD633" s="232"/>
      <c r="CE633" s="232"/>
      <c r="CF633" s="232"/>
      <c r="CG633" s="232"/>
      <c r="CH633" s="232"/>
      <c r="CI633" s="232"/>
      <c r="CJ633" s="232"/>
      <c r="CK633" s="232"/>
      <c r="CL633" s="232"/>
      <c r="CM633" s="232"/>
      <c r="CN633" s="215"/>
      <c r="CO633" s="215"/>
      <c r="CP633" s="215"/>
      <c r="CQ633" s="215"/>
      <c r="CR633" s="215"/>
      <c r="CS633" s="215"/>
      <c r="CT633" s="215"/>
    </row>
    <row r="634" ht="24.0" customHeight="1">
      <c r="A634" s="287"/>
      <c r="B634" s="287"/>
      <c r="C634" s="287"/>
      <c r="D634" s="232"/>
      <c r="E634" s="232"/>
      <c r="F634" s="232"/>
      <c r="G634" s="232"/>
      <c r="H634" s="232"/>
      <c r="I634" s="232"/>
      <c r="J634" s="232"/>
      <c r="K634" s="232"/>
      <c r="L634" s="232"/>
      <c r="M634" s="232"/>
      <c r="N634" s="289"/>
      <c r="O634" s="232"/>
      <c r="P634" s="232"/>
      <c r="Q634" s="232"/>
      <c r="R634" s="232"/>
      <c r="S634" s="232"/>
      <c r="T634" s="232"/>
      <c r="U634" s="232"/>
      <c r="V634" s="232"/>
      <c r="W634" s="232"/>
      <c r="X634" s="232"/>
      <c r="Y634" s="232"/>
      <c r="Z634" s="232"/>
      <c r="AA634" s="232"/>
      <c r="AB634" s="232"/>
      <c r="AC634" s="232"/>
      <c r="AD634" s="232"/>
      <c r="AE634" s="232"/>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c r="BL634" s="232"/>
      <c r="BM634" s="232"/>
      <c r="BN634" s="232"/>
      <c r="BO634" s="232"/>
      <c r="BP634" s="232"/>
      <c r="BQ634" s="232"/>
      <c r="BR634" s="232"/>
      <c r="BS634" s="232"/>
      <c r="BT634" s="232"/>
      <c r="BU634" s="232"/>
      <c r="BV634" s="232"/>
      <c r="BW634" s="232"/>
      <c r="BX634" s="232"/>
      <c r="BY634" s="232"/>
      <c r="BZ634" s="232"/>
      <c r="CA634" s="232"/>
      <c r="CB634" s="232"/>
      <c r="CC634" s="232"/>
      <c r="CD634" s="232"/>
      <c r="CE634" s="232"/>
      <c r="CF634" s="232"/>
      <c r="CG634" s="232"/>
      <c r="CH634" s="232"/>
      <c r="CI634" s="232"/>
      <c r="CJ634" s="232"/>
      <c r="CK634" s="232"/>
      <c r="CL634" s="232"/>
      <c r="CM634" s="232"/>
      <c r="CN634" s="215"/>
      <c r="CO634" s="215"/>
      <c r="CP634" s="215"/>
      <c r="CQ634" s="215"/>
      <c r="CR634" s="215"/>
      <c r="CS634" s="215"/>
      <c r="CT634" s="215"/>
    </row>
    <row r="635" ht="24.0" customHeight="1">
      <c r="A635" s="287"/>
      <c r="B635" s="287"/>
      <c r="C635" s="287"/>
      <c r="D635" s="232"/>
      <c r="E635" s="232"/>
      <c r="F635" s="232"/>
      <c r="G635" s="232"/>
      <c r="H635" s="232"/>
      <c r="I635" s="232"/>
      <c r="J635" s="232"/>
      <c r="K635" s="232"/>
      <c r="L635" s="232"/>
      <c r="M635" s="232"/>
      <c r="N635" s="289"/>
      <c r="O635" s="232"/>
      <c r="P635" s="232"/>
      <c r="Q635" s="232"/>
      <c r="R635" s="232"/>
      <c r="S635" s="232"/>
      <c r="T635" s="232"/>
      <c r="U635" s="232"/>
      <c r="V635" s="232"/>
      <c r="W635" s="232"/>
      <c r="X635" s="232"/>
      <c r="Y635" s="232"/>
      <c r="Z635" s="232"/>
      <c r="AA635" s="232"/>
      <c r="AB635" s="232"/>
      <c r="AC635" s="232"/>
      <c r="AD635" s="232"/>
      <c r="AE635" s="232"/>
      <c r="AF635" s="232"/>
      <c r="AG635" s="232"/>
      <c r="AH635" s="232"/>
      <c r="AI635" s="232"/>
      <c r="AJ635" s="232"/>
      <c r="AK635" s="232"/>
      <c r="AL635" s="232"/>
      <c r="AM635" s="232"/>
      <c r="AN635" s="232"/>
      <c r="AO635" s="232"/>
      <c r="AP635" s="232"/>
      <c r="AQ635" s="232"/>
      <c r="AR635" s="232"/>
      <c r="AS635" s="232"/>
      <c r="AT635" s="232"/>
      <c r="AU635" s="232"/>
      <c r="AV635" s="232"/>
      <c r="AW635" s="232"/>
      <c r="AX635" s="232"/>
      <c r="AY635" s="232"/>
      <c r="AZ635" s="232"/>
      <c r="BA635" s="232"/>
      <c r="BB635" s="232"/>
      <c r="BC635" s="232"/>
      <c r="BD635" s="232"/>
      <c r="BE635" s="232"/>
      <c r="BF635" s="232"/>
      <c r="BG635" s="232"/>
      <c r="BH635" s="232"/>
      <c r="BI635" s="232"/>
      <c r="BJ635" s="232"/>
      <c r="BK635" s="232"/>
      <c r="BL635" s="232"/>
      <c r="BM635" s="232"/>
      <c r="BN635" s="232"/>
      <c r="BO635" s="232"/>
      <c r="BP635" s="232"/>
      <c r="BQ635" s="232"/>
      <c r="BR635" s="232"/>
      <c r="BS635" s="232"/>
      <c r="BT635" s="232"/>
      <c r="BU635" s="232"/>
      <c r="BV635" s="232"/>
      <c r="BW635" s="232"/>
      <c r="BX635" s="232"/>
      <c r="BY635" s="232"/>
      <c r="BZ635" s="232"/>
      <c r="CA635" s="232"/>
      <c r="CB635" s="232"/>
      <c r="CC635" s="232"/>
      <c r="CD635" s="232"/>
      <c r="CE635" s="232"/>
      <c r="CF635" s="232"/>
      <c r="CG635" s="232"/>
      <c r="CH635" s="232"/>
      <c r="CI635" s="232"/>
      <c r="CJ635" s="232"/>
      <c r="CK635" s="232"/>
      <c r="CL635" s="232"/>
      <c r="CM635" s="232"/>
      <c r="CN635" s="215"/>
      <c r="CO635" s="215"/>
      <c r="CP635" s="215"/>
      <c r="CQ635" s="215"/>
      <c r="CR635" s="215"/>
      <c r="CS635" s="215"/>
      <c r="CT635" s="215"/>
    </row>
    <row r="636" ht="24.0" customHeight="1">
      <c r="A636" s="287"/>
      <c r="B636" s="287"/>
      <c r="C636" s="287"/>
      <c r="D636" s="232"/>
      <c r="E636" s="232"/>
      <c r="F636" s="232"/>
      <c r="G636" s="232"/>
      <c r="H636" s="232"/>
      <c r="I636" s="232"/>
      <c r="J636" s="232"/>
      <c r="K636" s="232"/>
      <c r="L636" s="232"/>
      <c r="M636" s="232"/>
      <c r="N636" s="289"/>
      <c r="O636" s="232"/>
      <c r="P636" s="232"/>
      <c r="Q636" s="232"/>
      <c r="R636" s="232"/>
      <c r="S636" s="232"/>
      <c r="T636" s="232"/>
      <c r="U636" s="232"/>
      <c r="V636" s="232"/>
      <c r="W636" s="232"/>
      <c r="X636" s="232"/>
      <c r="Y636" s="232"/>
      <c r="Z636" s="232"/>
      <c r="AA636" s="232"/>
      <c r="AB636" s="232"/>
      <c r="AC636" s="232"/>
      <c r="AD636" s="232"/>
      <c r="AE636" s="232"/>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c r="BL636" s="232"/>
      <c r="BM636" s="232"/>
      <c r="BN636" s="232"/>
      <c r="BO636" s="232"/>
      <c r="BP636" s="232"/>
      <c r="BQ636" s="232"/>
      <c r="BR636" s="232"/>
      <c r="BS636" s="232"/>
      <c r="BT636" s="232"/>
      <c r="BU636" s="232"/>
      <c r="BV636" s="232"/>
      <c r="BW636" s="232"/>
      <c r="BX636" s="232"/>
      <c r="BY636" s="232"/>
      <c r="BZ636" s="232"/>
      <c r="CA636" s="232"/>
      <c r="CB636" s="232"/>
      <c r="CC636" s="232"/>
      <c r="CD636" s="232"/>
      <c r="CE636" s="232"/>
      <c r="CF636" s="232"/>
      <c r="CG636" s="232"/>
      <c r="CH636" s="232"/>
      <c r="CI636" s="232"/>
      <c r="CJ636" s="232"/>
      <c r="CK636" s="232"/>
      <c r="CL636" s="232"/>
      <c r="CM636" s="232"/>
      <c r="CN636" s="215"/>
      <c r="CO636" s="215"/>
      <c r="CP636" s="215"/>
      <c r="CQ636" s="215"/>
      <c r="CR636" s="215"/>
      <c r="CS636" s="215"/>
      <c r="CT636" s="215"/>
    </row>
    <row r="637" ht="24.0" customHeight="1">
      <c r="A637" s="287"/>
      <c r="B637" s="287"/>
      <c r="C637" s="287"/>
      <c r="D637" s="232"/>
      <c r="E637" s="232"/>
      <c r="F637" s="232"/>
      <c r="G637" s="232"/>
      <c r="H637" s="232"/>
      <c r="I637" s="232"/>
      <c r="J637" s="232"/>
      <c r="K637" s="232"/>
      <c r="L637" s="232"/>
      <c r="M637" s="232"/>
      <c r="N637" s="289"/>
      <c r="O637" s="232"/>
      <c r="P637" s="232"/>
      <c r="Q637" s="232"/>
      <c r="R637" s="232"/>
      <c r="S637" s="232"/>
      <c r="T637" s="232"/>
      <c r="U637" s="232"/>
      <c r="V637" s="232"/>
      <c r="W637" s="232"/>
      <c r="X637" s="232"/>
      <c r="Y637" s="232"/>
      <c r="Z637" s="232"/>
      <c r="AA637" s="232"/>
      <c r="AB637" s="232"/>
      <c r="AC637" s="232"/>
      <c r="AD637" s="232"/>
      <c r="AE637" s="232"/>
      <c r="AF637" s="232"/>
      <c r="AG637" s="232"/>
      <c r="AH637" s="232"/>
      <c r="AI637" s="232"/>
      <c r="AJ637" s="232"/>
      <c r="AK637" s="232"/>
      <c r="AL637" s="232"/>
      <c r="AM637" s="232"/>
      <c r="AN637" s="232"/>
      <c r="AO637" s="232"/>
      <c r="AP637" s="232"/>
      <c r="AQ637" s="232"/>
      <c r="AR637" s="232"/>
      <c r="AS637" s="232"/>
      <c r="AT637" s="232"/>
      <c r="AU637" s="232"/>
      <c r="AV637" s="232"/>
      <c r="AW637" s="232"/>
      <c r="AX637" s="232"/>
      <c r="AY637" s="232"/>
      <c r="AZ637" s="232"/>
      <c r="BA637" s="232"/>
      <c r="BB637" s="232"/>
      <c r="BC637" s="232"/>
      <c r="BD637" s="232"/>
      <c r="BE637" s="232"/>
      <c r="BF637" s="232"/>
      <c r="BG637" s="232"/>
      <c r="BH637" s="232"/>
      <c r="BI637" s="232"/>
      <c r="BJ637" s="232"/>
      <c r="BK637" s="232"/>
      <c r="BL637" s="232"/>
      <c r="BM637" s="232"/>
      <c r="BN637" s="232"/>
      <c r="BO637" s="232"/>
      <c r="BP637" s="232"/>
      <c r="BQ637" s="232"/>
      <c r="BR637" s="232"/>
      <c r="BS637" s="232"/>
      <c r="BT637" s="232"/>
      <c r="BU637" s="232"/>
      <c r="BV637" s="232"/>
      <c r="BW637" s="232"/>
      <c r="BX637" s="232"/>
      <c r="BY637" s="232"/>
      <c r="BZ637" s="232"/>
      <c r="CA637" s="232"/>
      <c r="CB637" s="232"/>
      <c r="CC637" s="232"/>
      <c r="CD637" s="232"/>
      <c r="CE637" s="232"/>
      <c r="CF637" s="232"/>
      <c r="CG637" s="232"/>
      <c r="CH637" s="232"/>
      <c r="CI637" s="232"/>
      <c r="CJ637" s="232"/>
      <c r="CK637" s="232"/>
      <c r="CL637" s="232"/>
      <c r="CM637" s="232"/>
      <c r="CN637" s="215"/>
      <c r="CO637" s="215"/>
      <c r="CP637" s="215"/>
      <c r="CQ637" s="215"/>
      <c r="CR637" s="215"/>
      <c r="CS637" s="215"/>
      <c r="CT637" s="215"/>
    </row>
    <row r="638" ht="24.0" customHeight="1">
      <c r="A638" s="287"/>
      <c r="B638" s="287"/>
      <c r="C638" s="287"/>
      <c r="D638" s="232"/>
      <c r="E638" s="232"/>
      <c r="F638" s="232"/>
      <c r="G638" s="232"/>
      <c r="H638" s="232"/>
      <c r="I638" s="232"/>
      <c r="J638" s="232"/>
      <c r="K638" s="232"/>
      <c r="L638" s="232"/>
      <c r="M638" s="232"/>
      <c r="N638" s="289"/>
      <c r="O638" s="232"/>
      <c r="P638" s="232"/>
      <c r="Q638" s="232"/>
      <c r="R638" s="232"/>
      <c r="S638" s="232"/>
      <c r="T638" s="232"/>
      <c r="U638" s="232"/>
      <c r="V638" s="232"/>
      <c r="W638" s="232"/>
      <c r="X638" s="232"/>
      <c r="Y638" s="232"/>
      <c r="Z638" s="232"/>
      <c r="AA638" s="232"/>
      <c r="AB638" s="232"/>
      <c r="AC638" s="232"/>
      <c r="AD638" s="232"/>
      <c r="AE638" s="232"/>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c r="BL638" s="232"/>
      <c r="BM638" s="232"/>
      <c r="BN638" s="232"/>
      <c r="BO638" s="232"/>
      <c r="BP638" s="232"/>
      <c r="BQ638" s="232"/>
      <c r="BR638" s="232"/>
      <c r="BS638" s="232"/>
      <c r="BT638" s="232"/>
      <c r="BU638" s="232"/>
      <c r="BV638" s="232"/>
      <c r="BW638" s="232"/>
      <c r="BX638" s="232"/>
      <c r="BY638" s="232"/>
      <c r="BZ638" s="232"/>
      <c r="CA638" s="232"/>
      <c r="CB638" s="232"/>
      <c r="CC638" s="232"/>
      <c r="CD638" s="232"/>
      <c r="CE638" s="232"/>
      <c r="CF638" s="232"/>
      <c r="CG638" s="232"/>
      <c r="CH638" s="232"/>
      <c r="CI638" s="232"/>
      <c r="CJ638" s="232"/>
      <c r="CK638" s="232"/>
      <c r="CL638" s="232"/>
      <c r="CM638" s="232"/>
      <c r="CN638" s="215"/>
      <c r="CO638" s="215"/>
      <c r="CP638" s="215"/>
      <c r="CQ638" s="215"/>
      <c r="CR638" s="215"/>
      <c r="CS638" s="215"/>
      <c r="CT638" s="215"/>
    </row>
    <row r="639" ht="24.0" customHeight="1">
      <c r="A639" s="287"/>
      <c r="B639" s="287"/>
      <c r="C639" s="287"/>
      <c r="D639" s="232"/>
      <c r="E639" s="232"/>
      <c r="F639" s="232"/>
      <c r="G639" s="232"/>
      <c r="H639" s="232"/>
      <c r="I639" s="232"/>
      <c r="J639" s="232"/>
      <c r="K639" s="232"/>
      <c r="L639" s="232"/>
      <c r="M639" s="232"/>
      <c r="N639" s="289"/>
      <c r="O639" s="232"/>
      <c r="P639" s="232"/>
      <c r="Q639" s="232"/>
      <c r="R639" s="232"/>
      <c r="S639" s="232"/>
      <c r="T639" s="232"/>
      <c r="U639" s="232"/>
      <c r="V639" s="232"/>
      <c r="W639" s="232"/>
      <c r="X639" s="232"/>
      <c r="Y639" s="232"/>
      <c r="Z639" s="232"/>
      <c r="AA639" s="232"/>
      <c r="AB639" s="232"/>
      <c r="AC639" s="232"/>
      <c r="AD639" s="232"/>
      <c r="AE639" s="232"/>
      <c r="AF639" s="232"/>
      <c r="AG639" s="232"/>
      <c r="AH639" s="232"/>
      <c r="AI639" s="232"/>
      <c r="AJ639" s="232"/>
      <c r="AK639" s="232"/>
      <c r="AL639" s="232"/>
      <c r="AM639" s="232"/>
      <c r="AN639" s="232"/>
      <c r="AO639" s="232"/>
      <c r="AP639" s="232"/>
      <c r="AQ639" s="232"/>
      <c r="AR639" s="232"/>
      <c r="AS639" s="232"/>
      <c r="AT639" s="232"/>
      <c r="AU639" s="232"/>
      <c r="AV639" s="232"/>
      <c r="AW639" s="232"/>
      <c r="AX639" s="232"/>
      <c r="AY639" s="232"/>
      <c r="AZ639" s="232"/>
      <c r="BA639" s="232"/>
      <c r="BB639" s="232"/>
      <c r="BC639" s="232"/>
      <c r="BD639" s="232"/>
      <c r="BE639" s="232"/>
      <c r="BF639" s="232"/>
      <c r="BG639" s="232"/>
      <c r="BH639" s="232"/>
      <c r="BI639" s="232"/>
      <c r="BJ639" s="232"/>
      <c r="BK639" s="232"/>
      <c r="BL639" s="232"/>
      <c r="BM639" s="232"/>
      <c r="BN639" s="232"/>
      <c r="BO639" s="232"/>
      <c r="BP639" s="232"/>
      <c r="BQ639" s="232"/>
      <c r="BR639" s="232"/>
      <c r="BS639" s="232"/>
      <c r="BT639" s="232"/>
      <c r="BU639" s="232"/>
      <c r="BV639" s="232"/>
      <c r="BW639" s="232"/>
      <c r="BX639" s="232"/>
      <c r="BY639" s="232"/>
      <c r="BZ639" s="232"/>
      <c r="CA639" s="232"/>
      <c r="CB639" s="232"/>
      <c r="CC639" s="232"/>
      <c r="CD639" s="232"/>
      <c r="CE639" s="232"/>
      <c r="CF639" s="232"/>
      <c r="CG639" s="232"/>
      <c r="CH639" s="232"/>
      <c r="CI639" s="232"/>
      <c r="CJ639" s="232"/>
      <c r="CK639" s="232"/>
      <c r="CL639" s="232"/>
      <c r="CM639" s="232"/>
      <c r="CN639" s="215"/>
      <c r="CO639" s="215"/>
      <c r="CP639" s="215"/>
      <c r="CQ639" s="215"/>
      <c r="CR639" s="215"/>
      <c r="CS639" s="215"/>
      <c r="CT639" s="215"/>
    </row>
    <row r="640" ht="24.0" customHeight="1">
      <c r="A640" s="287"/>
      <c r="B640" s="287"/>
      <c r="C640" s="287"/>
      <c r="D640" s="232"/>
      <c r="E640" s="232"/>
      <c r="F640" s="232"/>
      <c r="G640" s="232"/>
      <c r="H640" s="232"/>
      <c r="I640" s="232"/>
      <c r="J640" s="232"/>
      <c r="K640" s="232"/>
      <c r="L640" s="232"/>
      <c r="M640" s="232"/>
      <c r="N640" s="289"/>
      <c r="O640" s="232"/>
      <c r="P640" s="232"/>
      <c r="Q640" s="232"/>
      <c r="R640" s="232"/>
      <c r="S640" s="232"/>
      <c r="T640" s="232"/>
      <c r="U640" s="232"/>
      <c r="V640" s="232"/>
      <c r="W640" s="232"/>
      <c r="X640" s="232"/>
      <c r="Y640" s="232"/>
      <c r="Z640" s="232"/>
      <c r="AA640" s="232"/>
      <c r="AB640" s="232"/>
      <c r="AC640" s="232"/>
      <c r="AD640" s="232"/>
      <c r="AE640" s="232"/>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c r="BL640" s="232"/>
      <c r="BM640" s="232"/>
      <c r="BN640" s="232"/>
      <c r="BO640" s="232"/>
      <c r="BP640" s="232"/>
      <c r="BQ640" s="232"/>
      <c r="BR640" s="232"/>
      <c r="BS640" s="232"/>
      <c r="BT640" s="232"/>
      <c r="BU640" s="232"/>
      <c r="BV640" s="232"/>
      <c r="BW640" s="232"/>
      <c r="BX640" s="232"/>
      <c r="BY640" s="232"/>
      <c r="BZ640" s="232"/>
      <c r="CA640" s="232"/>
      <c r="CB640" s="232"/>
      <c r="CC640" s="232"/>
      <c r="CD640" s="232"/>
      <c r="CE640" s="232"/>
      <c r="CF640" s="232"/>
      <c r="CG640" s="232"/>
      <c r="CH640" s="232"/>
      <c r="CI640" s="232"/>
      <c r="CJ640" s="232"/>
      <c r="CK640" s="232"/>
      <c r="CL640" s="232"/>
      <c r="CM640" s="232"/>
      <c r="CN640" s="215"/>
      <c r="CO640" s="215"/>
      <c r="CP640" s="215"/>
      <c r="CQ640" s="215"/>
      <c r="CR640" s="215"/>
      <c r="CS640" s="215"/>
      <c r="CT640" s="215"/>
    </row>
    <row r="641" ht="24.0" customHeight="1">
      <c r="A641" s="287"/>
      <c r="B641" s="287"/>
      <c r="C641" s="287"/>
      <c r="D641" s="232"/>
      <c r="E641" s="232"/>
      <c r="F641" s="232"/>
      <c r="G641" s="232"/>
      <c r="H641" s="232"/>
      <c r="I641" s="232"/>
      <c r="J641" s="232"/>
      <c r="K641" s="232"/>
      <c r="L641" s="232"/>
      <c r="M641" s="232"/>
      <c r="N641" s="289"/>
      <c r="O641" s="232"/>
      <c r="P641" s="232"/>
      <c r="Q641" s="232"/>
      <c r="R641" s="232"/>
      <c r="S641" s="232"/>
      <c r="T641" s="232"/>
      <c r="U641" s="232"/>
      <c r="V641" s="232"/>
      <c r="W641" s="232"/>
      <c r="X641" s="232"/>
      <c r="Y641" s="232"/>
      <c r="Z641" s="232"/>
      <c r="AA641" s="232"/>
      <c r="AB641" s="232"/>
      <c r="AC641" s="232"/>
      <c r="AD641" s="232"/>
      <c r="AE641" s="232"/>
      <c r="AF641" s="232"/>
      <c r="AG641" s="232"/>
      <c r="AH641" s="232"/>
      <c r="AI641" s="232"/>
      <c r="AJ641" s="232"/>
      <c r="AK641" s="232"/>
      <c r="AL641" s="232"/>
      <c r="AM641" s="232"/>
      <c r="AN641" s="232"/>
      <c r="AO641" s="232"/>
      <c r="AP641" s="232"/>
      <c r="AQ641" s="232"/>
      <c r="AR641" s="232"/>
      <c r="AS641" s="232"/>
      <c r="AT641" s="232"/>
      <c r="AU641" s="232"/>
      <c r="AV641" s="232"/>
      <c r="AW641" s="232"/>
      <c r="AX641" s="232"/>
      <c r="AY641" s="232"/>
      <c r="AZ641" s="232"/>
      <c r="BA641" s="232"/>
      <c r="BB641" s="232"/>
      <c r="BC641" s="232"/>
      <c r="BD641" s="232"/>
      <c r="BE641" s="232"/>
      <c r="BF641" s="232"/>
      <c r="BG641" s="232"/>
      <c r="BH641" s="232"/>
      <c r="BI641" s="232"/>
      <c r="BJ641" s="232"/>
      <c r="BK641" s="232"/>
      <c r="BL641" s="232"/>
      <c r="BM641" s="232"/>
      <c r="BN641" s="232"/>
      <c r="BO641" s="232"/>
      <c r="BP641" s="232"/>
      <c r="BQ641" s="232"/>
      <c r="BR641" s="232"/>
      <c r="BS641" s="232"/>
      <c r="BT641" s="232"/>
      <c r="BU641" s="232"/>
      <c r="BV641" s="232"/>
      <c r="BW641" s="232"/>
      <c r="BX641" s="232"/>
      <c r="BY641" s="232"/>
      <c r="BZ641" s="232"/>
      <c r="CA641" s="232"/>
      <c r="CB641" s="232"/>
      <c r="CC641" s="232"/>
      <c r="CD641" s="232"/>
      <c r="CE641" s="232"/>
      <c r="CF641" s="232"/>
      <c r="CG641" s="232"/>
      <c r="CH641" s="232"/>
      <c r="CI641" s="232"/>
      <c r="CJ641" s="232"/>
      <c r="CK641" s="232"/>
      <c r="CL641" s="232"/>
      <c r="CM641" s="232"/>
      <c r="CN641" s="215"/>
      <c r="CO641" s="215"/>
      <c r="CP641" s="215"/>
      <c r="CQ641" s="215"/>
      <c r="CR641" s="215"/>
      <c r="CS641" s="215"/>
      <c r="CT641" s="215"/>
    </row>
    <row r="642" ht="24.0" customHeight="1">
      <c r="A642" s="287"/>
      <c r="B642" s="287"/>
      <c r="C642" s="287"/>
      <c r="D642" s="232"/>
      <c r="E642" s="232"/>
      <c r="F642" s="232"/>
      <c r="G642" s="232"/>
      <c r="H642" s="232"/>
      <c r="I642" s="232"/>
      <c r="J642" s="232"/>
      <c r="K642" s="232"/>
      <c r="L642" s="232"/>
      <c r="M642" s="232"/>
      <c r="N642" s="289"/>
      <c r="O642" s="232"/>
      <c r="P642" s="232"/>
      <c r="Q642" s="232"/>
      <c r="R642" s="232"/>
      <c r="S642" s="232"/>
      <c r="T642" s="232"/>
      <c r="U642" s="232"/>
      <c r="V642" s="232"/>
      <c r="W642" s="232"/>
      <c r="X642" s="232"/>
      <c r="Y642" s="232"/>
      <c r="Z642" s="232"/>
      <c r="AA642" s="232"/>
      <c r="AB642" s="232"/>
      <c r="AC642" s="232"/>
      <c r="AD642" s="232"/>
      <c r="AE642" s="232"/>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c r="BL642" s="232"/>
      <c r="BM642" s="232"/>
      <c r="BN642" s="232"/>
      <c r="BO642" s="232"/>
      <c r="BP642" s="232"/>
      <c r="BQ642" s="232"/>
      <c r="BR642" s="232"/>
      <c r="BS642" s="232"/>
      <c r="BT642" s="232"/>
      <c r="BU642" s="232"/>
      <c r="BV642" s="232"/>
      <c r="BW642" s="232"/>
      <c r="BX642" s="232"/>
      <c r="BY642" s="232"/>
      <c r="BZ642" s="232"/>
      <c r="CA642" s="232"/>
      <c r="CB642" s="232"/>
      <c r="CC642" s="232"/>
      <c r="CD642" s="232"/>
      <c r="CE642" s="232"/>
      <c r="CF642" s="232"/>
      <c r="CG642" s="232"/>
      <c r="CH642" s="232"/>
      <c r="CI642" s="232"/>
      <c r="CJ642" s="232"/>
      <c r="CK642" s="232"/>
      <c r="CL642" s="232"/>
      <c r="CM642" s="232"/>
      <c r="CN642" s="215"/>
      <c r="CO642" s="215"/>
      <c r="CP642" s="215"/>
      <c r="CQ642" s="215"/>
      <c r="CR642" s="215"/>
      <c r="CS642" s="215"/>
      <c r="CT642" s="215"/>
    </row>
    <row r="643" ht="24.0" customHeight="1">
      <c r="A643" s="287"/>
      <c r="B643" s="287"/>
      <c r="C643" s="287"/>
      <c r="D643" s="232"/>
      <c r="E643" s="232"/>
      <c r="F643" s="232"/>
      <c r="G643" s="232"/>
      <c r="H643" s="232"/>
      <c r="I643" s="232"/>
      <c r="J643" s="232"/>
      <c r="K643" s="232"/>
      <c r="L643" s="232"/>
      <c r="M643" s="232"/>
      <c r="N643" s="289"/>
      <c r="O643" s="232"/>
      <c r="P643" s="232"/>
      <c r="Q643" s="232"/>
      <c r="R643" s="232"/>
      <c r="S643" s="232"/>
      <c r="T643" s="232"/>
      <c r="U643" s="232"/>
      <c r="V643" s="232"/>
      <c r="W643" s="232"/>
      <c r="X643" s="232"/>
      <c r="Y643" s="232"/>
      <c r="Z643" s="232"/>
      <c r="AA643" s="232"/>
      <c r="AB643" s="232"/>
      <c r="AC643" s="232"/>
      <c r="AD643" s="232"/>
      <c r="AE643" s="232"/>
      <c r="AF643" s="232"/>
      <c r="AG643" s="232"/>
      <c r="AH643" s="232"/>
      <c r="AI643" s="232"/>
      <c r="AJ643" s="232"/>
      <c r="AK643" s="232"/>
      <c r="AL643" s="232"/>
      <c r="AM643" s="232"/>
      <c r="AN643" s="232"/>
      <c r="AO643" s="232"/>
      <c r="AP643" s="232"/>
      <c r="AQ643" s="232"/>
      <c r="AR643" s="232"/>
      <c r="AS643" s="232"/>
      <c r="AT643" s="232"/>
      <c r="AU643" s="232"/>
      <c r="AV643" s="232"/>
      <c r="AW643" s="232"/>
      <c r="AX643" s="232"/>
      <c r="AY643" s="232"/>
      <c r="AZ643" s="232"/>
      <c r="BA643" s="232"/>
      <c r="BB643" s="232"/>
      <c r="BC643" s="232"/>
      <c r="BD643" s="232"/>
      <c r="BE643" s="232"/>
      <c r="BF643" s="232"/>
      <c r="BG643" s="232"/>
      <c r="BH643" s="232"/>
      <c r="BI643" s="232"/>
      <c r="BJ643" s="232"/>
      <c r="BK643" s="232"/>
      <c r="BL643" s="232"/>
      <c r="BM643" s="232"/>
      <c r="BN643" s="232"/>
      <c r="BO643" s="232"/>
      <c r="BP643" s="232"/>
      <c r="BQ643" s="232"/>
      <c r="BR643" s="232"/>
      <c r="BS643" s="232"/>
      <c r="BT643" s="232"/>
      <c r="BU643" s="232"/>
      <c r="BV643" s="232"/>
      <c r="BW643" s="232"/>
      <c r="BX643" s="232"/>
      <c r="BY643" s="232"/>
      <c r="BZ643" s="232"/>
      <c r="CA643" s="232"/>
      <c r="CB643" s="232"/>
      <c r="CC643" s="232"/>
      <c r="CD643" s="232"/>
      <c r="CE643" s="232"/>
      <c r="CF643" s="232"/>
      <c r="CG643" s="232"/>
      <c r="CH643" s="232"/>
      <c r="CI643" s="232"/>
      <c r="CJ643" s="232"/>
      <c r="CK643" s="232"/>
      <c r="CL643" s="232"/>
      <c r="CM643" s="232"/>
      <c r="CN643" s="215"/>
      <c r="CO643" s="215"/>
      <c r="CP643" s="215"/>
      <c r="CQ643" s="215"/>
      <c r="CR643" s="215"/>
      <c r="CS643" s="215"/>
      <c r="CT643" s="215"/>
    </row>
    <row r="644" ht="24.0" customHeight="1">
      <c r="A644" s="287"/>
      <c r="B644" s="287"/>
      <c r="C644" s="287"/>
      <c r="D644" s="232"/>
      <c r="E644" s="232"/>
      <c r="F644" s="232"/>
      <c r="G644" s="232"/>
      <c r="H644" s="232"/>
      <c r="I644" s="232"/>
      <c r="J644" s="232"/>
      <c r="K644" s="232"/>
      <c r="L644" s="232"/>
      <c r="M644" s="232"/>
      <c r="N644" s="289"/>
      <c r="O644" s="232"/>
      <c r="P644" s="232"/>
      <c r="Q644" s="232"/>
      <c r="R644" s="232"/>
      <c r="S644" s="232"/>
      <c r="T644" s="232"/>
      <c r="U644" s="232"/>
      <c r="V644" s="232"/>
      <c r="W644" s="232"/>
      <c r="X644" s="232"/>
      <c r="Y644" s="232"/>
      <c r="Z644" s="232"/>
      <c r="AA644" s="232"/>
      <c r="AB644" s="232"/>
      <c r="AC644" s="232"/>
      <c r="AD644" s="232"/>
      <c r="AE644" s="232"/>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c r="BL644" s="232"/>
      <c r="BM644" s="232"/>
      <c r="BN644" s="232"/>
      <c r="BO644" s="232"/>
      <c r="BP644" s="232"/>
      <c r="BQ644" s="232"/>
      <c r="BR644" s="232"/>
      <c r="BS644" s="232"/>
      <c r="BT644" s="232"/>
      <c r="BU644" s="232"/>
      <c r="BV644" s="232"/>
      <c r="BW644" s="232"/>
      <c r="BX644" s="232"/>
      <c r="BY644" s="232"/>
      <c r="BZ644" s="232"/>
      <c r="CA644" s="232"/>
      <c r="CB644" s="232"/>
      <c r="CC644" s="232"/>
      <c r="CD644" s="232"/>
      <c r="CE644" s="232"/>
      <c r="CF644" s="232"/>
      <c r="CG644" s="232"/>
      <c r="CH644" s="232"/>
      <c r="CI644" s="232"/>
      <c r="CJ644" s="232"/>
      <c r="CK644" s="232"/>
      <c r="CL644" s="232"/>
      <c r="CM644" s="232"/>
      <c r="CN644" s="215"/>
      <c r="CO644" s="215"/>
      <c r="CP644" s="215"/>
      <c r="CQ644" s="215"/>
      <c r="CR644" s="215"/>
      <c r="CS644" s="215"/>
      <c r="CT644" s="215"/>
    </row>
    <row r="645" ht="24.0" customHeight="1">
      <c r="A645" s="287"/>
      <c r="B645" s="287"/>
      <c r="C645" s="287"/>
      <c r="D645" s="232"/>
      <c r="E645" s="232"/>
      <c r="F645" s="232"/>
      <c r="G645" s="232"/>
      <c r="H645" s="232"/>
      <c r="I645" s="232"/>
      <c r="J645" s="232"/>
      <c r="K645" s="232"/>
      <c r="L645" s="232"/>
      <c r="M645" s="232"/>
      <c r="N645" s="289"/>
      <c r="O645" s="232"/>
      <c r="P645" s="232"/>
      <c r="Q645" s="232"/>
      <c r="R645" s="232"/>
      <c r="S645" s="232"/>
      <c r="T645" s="232"/>
      <c r="U645" s="232"/>
      <c r="V645" s="232"/>
      <c r="W645" s="232"/>
      <c r="X645" s="232"/>
      <c r="Y645" s="232"/>
      <c r="Z645" s="232"/>
      <c r="AA645" s="232"/>
      <c r="AB645" s="232"/>
      <c r="AC645" s="232"/>
      <c r="AD645" s="232"/>
      <c r="AE645" s="232"/>
      <c r="AF645" s="232"/>
      <c r="AG645" s="232"/>
      <c r="AH645" s="232"/>
      <c r="AI645" s="232"/>
      <c r="AJ645" s="232"/>
      <c r="AK645" s="232"/>
      <c r="AL645" s="232"/>
      <c r="AM645" s="232"/>
      <c r="AN645" s="232"/>
      <c r="AO645" s="232"/>
      <c r="AP645" s="232"/>
      <c r="AQ645" s="232"/>
      <c r="AR645" s="232"/>
      <c r="AS645" s="232"/>
      <c r="AT645" s="232"/>
      <c r="AU645" s="232"/>
      <c r="AV645" s="232"/>
      <c r="AW645" s="232"/>
      <c r="AX645" s="232"/>
      <c r="AY645" s="232"/>
      <c r="AZ645" s="232"/>
      <c r="BA645" s="232"/>
      <c r="BB645" s="232"/>
      <c r="BC645" s="232"/>
      <c r="BD645" s="232"/>
      <c r="BE645" s="232"/>
      <c r="BF645" s="232"/>
      <c r="BG645" s="232"/>
      <c r="BH645" s="232"/>
      <c r="BI645" s="232"/>
      <c r="BJ645" s="232"/>
      <c r="BK645" s="232"/>
      <c r="BL645" s="232"/>
      <c r="BM645" s="232"/>
      <c r="BN645" s="232"/>
      <c r="BO645" s="232"/>
      <c r="BP645" s="232"/>
      <c r="BQ645" s="232"/>
      <c r="BR645" s="232"/>
      <c r="BS645" s="232"/>
      <c r="BT645" s="232"/>
      <c r="BU645" s="232"/>
      <c r="BV645" s="232"/>
      <c r="BW645" s="232"/>
      <c r="BX645" s="232"/>
      <c r="BY645" s="232"/>
      <c r="BZ645" s="232"/>
      <c r="CA645" s="232"/>
      <c r="CB645" s="232"/>
      <c r="CC645" s="232"/>
      <c r="CD645" s="232"/>
      <c r="CE645" s="232"/>
      <c r="CF645" s="232"/>
      <c r="CG645" s="232"/>
      <c r="CH645" s="232"/>
      <c r="CI645" s="232"/>
      <c r="CJ645" s="232"/>
      <c r="CK645" s="232"/>
      <c r="CL645" s="232"/>
      <c r="CM645" s="232"/>
      <c r="CN645" s="215"/>
      <c r="CO645" s="215"/>
      <c r="CP645" s="215"/>
      <c r="CQ645" s="215"/>
      <c r="CR645" s="215"/>
      <c r="CS645" s="215"/>
      <c r="CT645" s="215"/>
    </row>
    <row r="646" ht="24.0" customHeight="1">
      <c r="A646" s="287"/>
      <c r="B646" s="287"/>
      <c r="C646" s="287"/>
      <c r="D646" s="232"/>
      <c r="E646" s="232"/>
      <c r="F646" s="232"/>
      <c r="G646" s="232"/>
      <c r="H646" s="232"/>
      <c r="I646" s="232"/>
      <c r="J646" s="232"/>
      <c r="K646" s="232"/>
      <c r="L646" s="232"/>
      <c r="M646" s="232"/>
      <c r="N646" s="289"/>
      <c r="O646" s="232"/>
      <c r="P646" s="232"/>
      <c r="Q646" s="232"/>
      <c r="R646" s="232"/>
      <c r="S646" s="232"/>
      <c r="T646" s="232"/>
      <c r="U646" s="232"/>
      <c r="V646" s="232"/>
      <c r="W646" s="232"/>
      <c r="X646" s="232"/>
      <c r="Y646" s="232"/>
      <c r="Z646" s="232"/>
      <c r="AA646" s="232"/>
      <c r="AB646" s="232"/>
      <c r="AC646" s="232"/>
      <c r="AD646" s="232"/>
      <c r="AE646" s="232"/>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c r="BL646" s="232"/>
      <c r="BM646" s="232"/>
      <c r="BN646" s="232"/>
      <c r="BO646" s="232"/>
      <c r="BP646" s="232"/>
      <c r="BQ646" s="232"/>
      <c r="BR646" s="232"/>
      <c r="BS646" s="232"/>
      <c r="BT646" s="232"/>
      <c r="BU646" s="232"/>
      <c r="BV646" s="232"/>
      <c r="BW646" s="232"/>
      <c r="BX646" s="232"/>
      <c r="BY646" s="232"/>
      <c r="BZ646" s="232"/>
      <c r="CA646" s="232"/>
      <c r="CB646" s="232"/>
      <c r="CC646" s="232"/>
      <c r="CD646" s="232"/>
      <c r="CE646" s="232"/>
      <c r="CF646" s="232"/>
      <c r="CG646" s="232"/>
      <c r="CH646" s="232"/>
      <c r="CI646" s="232"/>
      <c r="CJ646" s="232"/>
      <c r="CK646" s="232"/>
      <c r="CL646" s="232"/>
      <c r="CM646" s="232"/>
      <c r="CN646" s="215"/>
      <c r="CO646" s="215"/>
      <c r="CP646" s="215"/>
      <c r="CQ646" s="215"/>
      <c r="CR646" s="215"/>
      <c r="CS646" s="215"/>
      <c r="CT646" s="215"/>
    </row>
    <row r="647" ht="24.0" customHeight="1">
      <c r="A647" s="287"/>
      <c r="B647" s="287"/>
      <c r="C647" s="287"/>
      <c r="D647" s="232"/>
      <c r="E647" s="232"/>
      <c r="F647" s="232"/>
      <c r="G647" s="232"/>
      <c r="H647" s="232"/>
      <c r="I647" s="232"/>
      <c r="J647" s="232"/>
      <c r="K647" s="232"/>
      <c r="L647" s="232"/>
      <c r="M647" s="232"/>
      <c r="N647" s="289"/>
      <c r="O647" s="232"/>
      <c r="P647" s="232"/>
      <c r="Q647" s="232"/>
      <c r="R647" s="232"/>
      <c r="S647" s="232"/>
      <c r="T647" s="232"/>
      <c r="U647" s="232"/>
      <c r="V647" s="232"/>
      <c r="W647" s="232"/>
      <c r="X647" s="232"/>
      <c r="Y647" s="232"/>
      <c r="Z647" s="232"/>
      <c r="AA647" s="232"/>
      <c r="AB647" s="232"/>
      <c r="AC647" s="232"/>
      <c r="AD647" s="232"/>
      <c r="AE647" s="232"/>
      <c r="AF647" s="232"/>
      <c r="AG647" s="232"/>
      <c r="AH647" s="232"/>
      <c r="AI647" s="232"/>
      <c r="AJ647" s="232"/>
      <c r="AK647" s="232"/>
      <c r="AL647" s="232"/>
      <c r="AM647" s="232"/>
      <c r="AN647" s="232"/>
      <c r="AO647" s="232"/>
      <c r="AP647" s="232"/>
      <c r="AQ647" s="232"/>
      <c r="AR647" s="232"/>
      <c r="AS647" s="232"/>
      <c r="AT647" s="232"/>
      <c r="AU647" s="232"/>
      <c r="AV647" s="232"/>
      <c r="AW647" s="232"/>
      <c r="AX647" s="232"/>
      <c r="AY647" s="232"/>
      <c r="AZ647" s="232"/>
      <c r="BA647" s="232"/>
      <c r="BB647" s="232"/>
      <c r="BC647" s="232"/>
      <c r="BD647" s="232"/>
      <c r="BE647" s="232"/>
      <c r="BF647" s="232"/>
      <c r="BG647" s="232"/>
      <c r="BH647" s="232"/>
      <c r="BI647" s="232"/>
      <c r="BJ647" s="232"/>
      <c r="BK647" s="232"/>
      <c r="BL647" s="232"/>
      <c r="BM647" s="232"/>
      <c r="BN647" s="232"/>
      <c r="BO647" s="232"/>
      <c r="BP647" s="232"/>
      <c r="BQ647" s="232"/>
      <c r="BR647" s="232"/>
      <c r="BS647" s="232"/>
      <c r="BT647" s="232"/>
      <c r="BU647" s="232"/>
      <c r="BV647" s="232"/>
      <c r="BW647" s="232"/>
      <c r="BX647" s="232"/>
      <c r="BY647" s="232"/>
      <c r="BZ647" s="232"/>
      <c r="CA647" s="232"/>
      <c r="CB647" s="232"/>
      <c r="CC647" s="232"/>
      <c r="CD647" s="232"/>
      <c r="CE647" s="232"/>
      <c r="CF647" s="232"/>
      <c r="CG647" s="232"/>
      <c r="CH647" s="232"/>
      <c r="CI647" s="232"/>
      <c r="CJ647" s="232"/>
      <c r="CK647" s="232"/>
      <c r="CL647" s="232"/>
      <c r="CM647" s="232"/>
      <c r="CN647" s="215"/>
      <c r="CO647" s="215"/>
      <c r="CP647" s="215"/>
      <c r="CQ647" s="215"/>
      <c r="CR647" s="215"/>
      <c r="CS647" s="215"/>
      <c r="CT647" s="215"/>
    </row>
    <row r="648" ht="24.0" customHeight="1">
      <c r="A648" s="287"/>
      <c r="B648" s="287"/>
      <c r="C648" s="287"/>
      <c r="D648" s="232"/>
      <c r="E648" s="232"/>
      <c r="F648" s="232"/>
      <c r="G648" s="232"/>
      <c r="H648" s="232"/>
      <c r="I648" s="232"/>
      <c r="J648" s="232"/>
      <c r="K648" s="232"/>
      <c r="L648" s="232"/>
      <c r="M648" s="232"/>
      <c r="N648" s="289"/>
      <c r="O648" s="232"/>
      <c r="P648" s="232"/>
      <c r="Q648" s="232"/>
      <c r="R648" s="232"/>
      <c r="S648" s="232"/>
      <c r="T648" s="232"/>
      <c r="U648" s="232"/>
      <c r="V648" s="232"/>
      <c r="W648" s="232"/>
      <c r="X648" s="232"/>
      <c r="Y648" s="232"/>
      <c r="Z648" s="232"/>
      <c r="AA648" s="232"/>
      <c r="AB648" s="232"/>
      <c r="AC648" s="232"/>
      <c r="AD648" s="232"/>
      <c r="AE648" s="232"/>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c r="BL648" s="232"/>
      <c r="BM648" s="232"/>
      <c r="BN648" s="232"/>
      <c r="BO648" s="232"/>
      <c r="BP648" s="232"/>
      <c r="BQ648" s="232"/>
      <c r="BR648" s="232"/>
      <c r="BS648" s="232"/>
      <c r="BT648" s="232"/>
      <c r="BU648" s="232"/>
      <c r="BV648" s="232"/>
      <c r="BW648" s="232"/>
      <c r="BX648" s="232"/>
      <c r="BY648" s="232"/>
      <c r="BZ648" s="232"/>
      <c r="CA648" s="232"/>
      <c r="CB648" s="232"/>
      <c r="CC648" s="232"/>
      <c r="CD648" s="232"/>
      <c r="CE648" s="232"/>
      <c r="CF648" s="232"/>
      <c r="CG648" s="232"/>
      <c r="CH648" s="232"/>
      <c r="CI648" s="232"/>
      <c r="CJ648" s="232"/>
      <c r="CK648" s="232"/>
      <c r="CL648" s="232"/>
      <c r="CM648" s="232"/>
      <c r="CN648" s="215"/>
      <c r="CO648" s="215"/>
      <c r="CP648" s="215"/>
      <c r="CQ648" s="215"/>
      <c r="CR648" s="215"/>
      <c r="CS648" s="215"/>
      <c r="CT648" s="215"/>
    </row>
    <row r="649" ht="24.0" customHeight="1">
      <c r="A649" s="287"/>
      <c r="B649" s="287"/>
      <c r="C649" s="287"/>
      <c r="D649" s="232"/>
      <c r="E649" s="232"/>
      <c r="F649" s="232"/>
      <c r="G649" s="232"/>
      <c r="H649" s="232"/>
      <c r="I649" s="232"/>
      <c r="J649" s="232"/>
      <c r="K649" s="232"/>
      <c r="L649" s="232"/>
      <c r="M649" s="232"/>
      <c r="N649" s="289"/>
      <c r="O649" s="232"/>
      <c r="P649" s="232"/>
      <c r="Q649" s="232"/>
      <c r="R649" s="232"/>
      <c r="S649" s="232"/>
      <c r="T649" s="232"/>
      <c r="U649" s="232"/>
      <c r="V649" s="232"/>
      <c r="W649" s="232"/>
      <c r="X649" s="232"/>
      <c r="Y649" s="232"/>
      <c r="Z649" s="232"/>
      <c r="AA649" s="232"/>
      <c r="AB649" s="232"/>
      <c r="AC649" s="232"/>
      <c r="AD649" s="232"/>
      <c r="AE649" s="232"/>
      <c r="AF649" s="232"/>
      <c r="AG649" s="232"/>
      <c r="AH649" s="232"/>
      <c r="AI649" s="232"/>
      <c r="AJ649" s="232"/>
      <c r="AK649" s="232"/>
      <c r="AL649" s="232"/>
      <c r="AM649" s="232"/>
      <c r="AN649" s="232"/>
      <c r="AO649" s="232"/>
      <c r="AP649" s="232"/>
      <c r="AQ649" s="232"/>
      <c r="AR649" s="232"/>
      <c r="AS649" s="232"/>
      <c r="AT649" s="232"/>
      <c r="AU649" s="232"/>
      <c r="AV649" s="232"/>
      <c r="AW649" s="232"/>
      <c r="AX649" s="232"/>
      <c r="AY649" s="232"/>
      <c r="AZ649" s="232"/>
      <c r="BA649" s="232"/>
      <c r="BB649" s="232"/>
      <c r="BC649" s="232"/>
      <c r="BD649" s="232"/>
      <c r="BE649" s="232"/>
      <c r="BF649" s="232"/>
      <c r="BG649" s="232"/>
      <c r="BH649" s="232"/>
      <c r="BI649" s="232"/>
      <c r="BJ649" s="232"/>
      <c r="BK649" s="232"/>
      <c r="BL649" s="232"/>
      <c r="BM649" s="232"/>
      <c r="BN649" s="232"/>
      <c r="BO649" s="232"/>
      <c r="BP649" s="232"/>
      <c r="BQ649" s="232"/>
      <c r="BR649" s="232"/>
      <c r="BS649" s="232"/>
      <c r="BT649" s="232"/>
      <c r="BU649" s="232"/>
      <c r="BV649" s="232"/>
      <c r="BW649" s="232"/>
      <c r="BX649" s="232"/>
      <c r="BY649" s="232"/>
      <c r="BZ649" s="232"/>
      <c r="CA649" s="232"/>
      <c r="CB649" s="232"/>
      <c r="CC649" s="232"/>
      <c r="CD649" s="232"/>
      <c r="CE649" s="232"/>
      <c r="CF649" s="232"/>
      <c r="CG649" s="232"/>
      <c r="CH649" s="232"/>
      <c r="CI649" s="232"/>
      <c r="CJ649" s="232"/>
      <c r="CK649" s="232"/>
      <c r="CL649" s="232"/>
      <c r="CM649" s="232"/>
      <c r="CN649" s="215"/>
      <c r="CO649" s="215"/>
      <c r="CP649" s="215"/>
      <c r="CQ649" s="215"/>
      <c r="CR649" s="215"/>
      <c r="CS649" s="215"/>
      <c r="CT649" s="215"/>
    </row>
    <row r="650" ht="24.0" customHeight="1">
      <c r="A650" s="287"/>
      <c r="B650" s="287"/>
      <c r="C650" s="287"/>
      <c r="D650" s="232"/>
      <c r="E650" s="232"/>
      <c r="F650" s="232"/>
      <c r="G650" s="232"/>
      <c r="H650" s="232"/>
      <c r="I650" s="232"/>
      <c r="J650" s="232"/>
      <c r="K650" s="232"/>
      <c r="L650" s="232"/>
      <c r="M650" s="232"/>
      <c r="N650" s="289"/>
      <c r="O650" s="232"/>
      <c r="P650" s="232"/>
      <c r="Q650" s="232"/>
      <c r="R650" s="232"/>
      <c r="S650" s="232"/>
      <c r="T650" s="232"/>
      <c r="U650" s="232"/>
      <c r="V650" s="232"/>
      <c r="W650" s="232"/>
      <c r="X650" s="232"/>
      <c r="Y650" s="232"/>
      <c r="Z650" s="232"/>
      <c r="AA650" s="232"/>
      <c r="AB650" s="232"/>
      <c r="AC650" s="232"/>
      <c r="AD650" s="232"/>
      <c r="AE650" s="232"/>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c r="BL650" s="232"/>
      <c r="BM650" s="232"/>
      <c r="BN650" s="232"/>
      <c r="BO650" s="232"/>
      <c r="BP650" s="232"/>
      <c r="BQ650" s="232"/>
      <c r="BR650" s="232"/>
      <c r="BS650" s="232"/>
      <c r="BT650" s="232"/>
      <c r="BU650" s="232"/>
      <c r="BV650" s="232"/>
      <c r="BW650" s="232"/>
      <c r="BX650" s="232"/>
      <c r="BY650" s="232"/>
      <c r="BZ650" s="232"/>
      <c r="CA650" s="232"/>
      <c r="CB650" s="232"/>
      <c r="CC650" s="232"/>
      <c r="CD650" s="232"/>
      <c r="CE650" s="232"/>
      <c r="CF650" s="232"/>
      <c r="CG650" s="232"/>
      <c r="CH650" s="232"/>
      <c r="CI650" s="232"/>
      <c r="CJ650" s="232"/>
      <c r="CK650" s="232"/>
      <c r="CL650" s="232"/>
      <c r="CM650" s="232"/>
      <c r="CN650" s="215"/>
      <c r="CO650" s="215"/>
      <c r="CP650" s="215"/>
      <c r="CQ650" s="215"/>
      <c r="CR650" s="215"/>
      <c r="CS650" s="215"/>
      <c r="CT650" s="215"/>
    </row>
    <row r="651" ht="24.0" customHeight="1">
      <c r="A651" s="287"/>
      <c r="B651" s="287"/>
      <c r="C651" s="287"/>
      <c r="D651" s="232"/>
      <c r="E651" s="232"/>
      <c r="F651" s="232"/>
      <c r="G651" s="232"/>
      <c r="H651" s="232"/>
      <c r="I651" s="232"/>
      <c r="J651" s="232"/>
      <c r="K651" s="232"/>
      <c r="L651" s="232"/>
      <c r="M651" s="232"/>
      <c r="N651" s="289"/>
      <c r="O651" s="232"/>
      <c r="P651" s="232"/>
      <c r="Q651" s="232"/>
      <c r="R651" s="232"/>
      <c r="S651" s="232"/>
      <c r="T651" s="232"/>
      <c r="U651" s="232"/>
      <c r="V651" s="232"/>
      <c r="W651" s="232"/>
      <c r="X651" s="232"/>
      <c r="Y651" s="232"/>
      <c r="Z651" s="232"/>
      <c r="AA651" s="232"/>
      <c r="AB651" s="232"/>
      <c r="AC651" s="232"/>
      <c r="AD651" s="232"/>
      <c r="AE651" s="232"/>
      <c r="AF651" s="232"/>
      <c r="AG651" s="232"/>
      <c r="AH651" s="232"/>
      <c r="AI651" s="232"/>
      <c r="AJ651" s="232"/>
      <c r="AK651" s="232"/>
      <c r="AL651" s="232"/>
      <c r="AM651" s="232"/>
      <c r="AN651" s="232"/>
      <c r="AO651" s="232"/>
      <c r="AP651" s="232"/>
      <c r="AQ651" s="232"/>
      <c r="AR651" s="232"/>
      <c r="AS651" s="232"/>
      <c r="AT651" s="232"/>
      <c r="AU651" s="232"/>
      <c r="AV651" s="232"/>
      <c r="AW651" s="232"/>
      <c r="AX651" s="232"/>
      <c r="AY651" s="232"/>
      <c r="AZ651" s="232"/>
      <c r="BA651" s="232"/>
      <c r="BB651" s="232"/>
      <c r="BC651" s="232"/>
      <c r="BD651" s="232"/>
      <c r="BE651" s="232"/>
      <c r="BF651" s="232"/>
      <c r="BG651" s="232"/>
      <c r="BH651" s="232"/>
      <c r="BI651" s="232"/>
      <c r="BJ651" s="232"/>
      <c r="BK651" s="232"/>
      <c r="BL651" s="232"/>
      <c r="BM651" s="232"/>
      <c r="BN651" s="232"/>
      <c r="BO651" s="232"/>
      <c r="BP651" s="232"/>
      <c r="BQ651" s="232"/>
      <c r="BR651" s="232"/>
      <c r="BS651" s="232"/>
      <c r="BT651" s="232"/>
      <c r="BU651" s="232"/>
      <c r="BV651" s="232"/>
      <c r="BW651" s="232"/>
      <c r="BX651" s="232"/>
      <c r="BY651" s="232"/>
      <c r="BZ651" s="232"/>
      <c r="CA651" s="232"/>
      <c r="CB651" s="232"/>
      <c r="CC651" s="232"/>
      <c r="CD651" s="232"/>
      <c r="CE651" s="232"/>
      <c r="CF651" s="232"/>
      <c r="CG651" s="232"/>
      <c r="CH651" s="232"/>
      <c r="CI651" s="232"/>
      <c r="CJ651" s="232"/>
      <c r="CK651" s="232"/>
      <c r="CL651" s="232"/>
      <c r="CM651" s="232"/>
      <c r="CN651" s="215"/>
      <c r="CO651" s="215"/>
      <c r="CP651" s="215"/>
      <c r="CQ651" s="215"/>
      <c r="CR651" s="215"/>
      <c r="CS651" s="215"/>
      <c r="CT651" s="215"/>
    </row>
    <row r="652" ht="24.0" customHeight="1">
      <c r="A652" s="287"/>
      <c r="B652" s="287"/>
      <c r="C652" s="287"/>
      <c r="D652" s="232"/>
      <c r="E652" s="232"/>
      <c r="F652" s="232"/>
      <c r="G652" s="232"/>
      <c r="H652" s="232"/>
      <c r="I652" s="232"/>
      <c r="J652" s="232"/>
      <c r="K652" s="232"/>
      <c r="L652" s="232"/>
      <c r="M652" s="232"/>
      <c r="N652" s="289"/>
      <c r="O652" s="232"/>
      <c r="P652" s="232"/>
      <c r="Q652" s="232"/>
      <c r="R652" s="232"/>
      <c r="S652" s="232"/>
      <c r="T652" s="232"/>
      <c r="U652" s="232"/>
      <c r="V652" s="232"/>
      <c r="W652" s="232"/>
      <c r="X652" s="232"/>
      <c r="Y652" s="232"/>
      <c r="Z652" s="232"/>
      <c r="AA652" s="232"/>
      <c r="AB652" s="232"/>
      <c r="AC652" s="232"/>
      <c r="AD652" s="232"/>
      <c r="AE652" s="232"/>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c r="BL652" s="232"/>
      <c r="BM652" s="232"/>
      <c r="BN652" s="232"/>
      <c r="BO652" s="232"/>
      <c r="BP652" s="232"/>
      <c r="BQ652" s="232"/>
      <c r="BR652" s="232"/>
      <c r="BS652" s="232"/>
      <c r="BT652" s="232"/>
      <c r="BU652" s="232"/>
      <c r="BV652" s="232"/>
      <c r="BW652" s="232"/>
      <c r="BX652" s="232"/>
      <c r="BY652" s="232"/>
      <c r="BZ652" s="232"/>
      <c r="CA652" s="232"/>
      <c r="CB652" s="232"/>
      <c r="CC652" s="232"/>
      <c r="CD652" s="232"/>
      <c r="CE652" s="232"/>
      <c r="CF652" s="232"/>
      <c r="CG652" s="232"/>
      <c r="CH652" s="232"/>
      <c r="CI652" s="232"/>
      <c r="CJ652" s="232"/>
      <c r="CK652" s="232"/>
      <c r="CL652" s="232"/>
      <c r="CM652" s="232"/>
      <c r="CN652" s="215"/>
      <c r="CO652" s="215"/>
      <c r="CP652" s="215"/>
      <c r="CQ652" s="215"/>
      <c r="CR652" s="215"/>
      <c r="CS652" s="215"/>
      <c r="CT652" s="215"/>
    </row>
    <row r="653" ht="24.0" customHeight="1">
      <c r="A653" s="287"/>
      <c r="B653" s="287"/>
      <c r="C653" s="287"/>
      <c r="D653" s="232"/>
      <c r="E653" s="232"/>
      <c r="F653" s="232"/>
      <c r="G653" s="232"/>
      <c r="H653" s="232"/>
      <c r="I653" s="232"/>
      <c r="J653" s="232"/>
      <c r="K653" s="232"/>
      <c r="L653" s="232"/>
      <c r="M653" s="232"/>
      <c r="N653" s="289"/>
      <c r="O653" s="232"/>
      <c r="P653" s="232"/>
      <c r="Q653" s="232"/>
      <c r="R653" s="232"/>
      <c r="S653" s="232"/>
      <c r="T653" s="232"/>
      <c r="U653" s="232"/>
      <c r="V653" s="232"/>
      <c r="W653" s="232"/>
      <c r="X653" s="232"/>
      <c r="Y653" s="232"/>
      <c r="Z653" s="232"/>
      <c r="AA653" s="232"/>
      <c r="AB653" s="232"/>
      <c r="AC653" s="232"/>
      <c r="AD653" s="232"/>
      <c r="AE653" s="232"/>
      <c r="AF653" s="232"/>
      <c r="AG653" s="232"/>
      <c r="AH653" s="232"/>
      <c r="AI653" s="232"/>
      <c r="AJ653" s="232"/>
      <c r="AK653" s="232"/>
      <c r="AL653" s="232"/>
      <c r="AM653" s="232"/>
      <c r="AN653" s="232"/>
      <c r="AO653" s="232"/>
      <c r="AP653" s="232"/>
      <c r="AQ653" s="232"/>
      <c r="AR653" s="232"/>
      <c r="AS653" s="232"/>
      <c r="AT653" s="232"/>
      <c r="AU653" s="232"/>
      <c r="AV653" s="232"/>
      <c r="AW653" s="232"/>
      <c r="AX653" s="232"/>
      <c r="AY653" s="232"/>
      <c r="AZ653" s="232"/>
      <c r="BA653" s="232"/>
      <c r="BB653" s="232"/>
      <c r="BC653" s="232"/>
      <c r="BD653" s="232"/>
      <c r="BE653" s="232"/>
      <c r="BF653" s="232"/>
      <c r="BG653" s="232"/>
      <c r="BH653" s="232"/>
      <c r="BI653" s="232"/>
      <c r="BJ653" s="232"/>
      <c r="BK653" s="232"/>
      <c r="BL653" s="232"/>
      <c r="BM653" s="232"/>
      <c r="BN653" s="232"/>
      <c r="BO653" s="232"/>
      <c r="BP653" s="232"/>
      <c r="BQ653" s="232"/>
      <c r="BR653" s="232"/>
      <c r="BS653" s="232"/>
      <c r="BT653" s="232"/>
      <c r="BU653" s="232"/>
      <c r="BV653" s="232"/>
      <c r="BW653" s="232"/>
      <c r="BX653" s="232"/>
      <c r="BY653" s="232"/>
      <c r="BZ653" s="232"/>
      <c r="CA653" s="232"/>
      <c r="CB653" s="232"/>
      <c r="CC653" s="232"/>
      <c r="CD653" s="232"/>
      <c r="CE653" s="232"/>
      <c r="CF653" s="232"/>
      <c r="CG653" s="232"/>
      <c r="CH653" s="232"/>
      <c r="CI653" s="232"/>
      <c r="CJ653" s="232"/>
      <c r="CK653" s="232"/>
      <c r="CL653" s="232"/>
      <c r="CM653" s="232"/>
      <c r="CN653" s="215"/>
      <c r="CO653" s="215"/>
      <c r="CP653" s="215"/>
      <c r="CQ653" s="215"/>
      <c r="CR653" s="215"/>
      <c r="CS653" s="215"/>
      <c r="CT653" s="215"/>
    </row>
    <row r="654" ht="24.0" customHeight="1">
      <c r="A654" s="287"/>
      <c r="B654" s="287"/>
      <c r="C654" s="287"/>
      <c r="D654" s="232"/>
      <c r="E654" s="232"/>
      <c r="F654" s="232"/>
      <c r="G654" s="232"/>
      <c r="H654" s="232"/>
      <c r="I654" s="232"/>
      <c r="J654" s="232"/>
      <c r="K654" s="232"/>
      <c r="L654" s="232"/>
      <c r="M654" s="232"/>
      <c r="N654" s="289"/>
      <c r="O654" s="232"/>
      <c r="P654" s="232"/>
      <c r="Q654" s="232"/>
      <c r="R654" s="232"/>
      <c r="S654" s="232"/>
      <c r="T654" s="232"/>
      <c r="U654" s="232"/>
      <c r="V654" s="232"/>
      <c r="W654" s="232"/>
      <c r="X654" s="232"/>
      <c r="Y654" s="232"/>
      <c r="Z654" s="232"/>
      <c r="AA654" s="232"/>
      <c r="AB654" s="232"/>
      <c r="AC654" s="232"/>
      <c r="AD654" s="232"/>
      <c r="AE654" s="232"/>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c r="BL654" s="232"/>
      <c r="BM654" s="232"/>
      <c r="BN654" s="232"/>
      <c r="BO654" s="232"/>
      <c r="BP654" s="232"/>
      <c r="BQ654" s="232"/>
      <c r="BR654" s="232"/>
      <c r="BS654" s="232"/>
      <c r="BT654" s="232"/>
      <c r="BU654" s="232"/>
      <c r="BV654" s="232"/>
      <c r="BW654" s="232"/>
      <c r="BX654" s="232"/>
      <c r="BY654" s="232"/>
      <c r="BZ654" s="232"/>
      <c r="CA654" s="232"/>
      <c r="CB654" s="232"/>
      <c r="CC654" s="232"/>
      <c r="CD654" s="232"/>
      <c r="CE654" s="232"/>
      <c r="CF654" s="232"/>
      <c r="CG654" s="232"/>
      <c r="CH654" s="232"/>
      <c r="CI654" s="232"/>
      <c r="CJ654" s="232"/>
      <c r="CK654" s="232"/>
      <c r="CL654" s="232"/>
      <c r="CM654" s="232"/>
      <c r="CN654" s="215"/>
      <c r="CO654" s="215"/>
      <c r="CP654" s="215"/>
      <c r="CQ654" s="215"/>
      <c r="CR654" s="215"/>
      <c r="CS654" s="215"/>
      <c r="CT654" s="215"/>
    </row>
    <row r="655" ht="24.0" customHeight="1">
      <c r="A655" s="287"/>
      <c r="B655" s="287"/>
      <c r="C655" s="287"/>
      <c r="D655" s="232"/>
      <c r="E655" s="232"/>
      <c r="F655" s="232"/>
      <c r="G655" s="232"/>
      <c r="H655" s="232"/>
      <c r="I655" s="232"/>
      <c r="J655" s="232"/>
      <c r="K655" s="232"/>
      <c r="L655" s="232"/>
      <c r="M655" s="232"/>
      <c r="N655" s="289"/>
      <c r="O655" s="232"/>
      <c r="P655" s="232"/>
      <c r="Q655" s="232"/>
      <c r="R655" s="232"/>
      <c r="S655" s="232"/>
      <c r="T655" s="232"/>
      <c r="U655" s="232"/>
      <c r="V655" s="232"/>
      <c r="W655" s="232"/>
      <c r="X655" s="232"/>
      <c r="Y655" s="232"/>
      <c r="Z655" s="232"/>
      <c r="AA655" s="232"/>
      <c r="AB655" s="232"/>
      <c r="AC655" s="232"/>
      <c r="AD655" s="232"/>
      <c r="AE655" s="232"/>
      <c r="AF655" s="232"/>
      <c r="AG655" s="232"/>
      <c r="AH655" s="232"/>
      <c r="AI655" s="232"/>
      <c r="AJ655" s="232"/>
      <c r="AK655" s="232"/>
      <c r="AL655" s="232"/>
      <c r="AM655" s="232"/>
      <c r="AN655" s="232"/>
      <c r="AO655" s="232"/>
      <c r="AP655" s="232"/>
      <c r="AQ655" s="232"/>
      <c r="AR655" s="232"/>
      <c r="AS655" s="232"/>
      <c r="AT655" s="232"/>
      <c r="AU655" s="232"/>
      <c r="AV655" s="232"/>
      <c r="AW655" s="232"/>
      <c r="AX655" s="232"/>
      <c r="AY655" s="232"/>
      <c r="AZ655" s="232"/>
      <c r="BA655" s="232"/>
      <c r="BB655" s="232"/>
      <c r="BC655" s="232"/>
      <c r="BD655" s="232"/>
      <c r="BE655" s="232"/>
      <c r="BF655" s="232"/>
      <c r="BG655" s="232"/>
      <c r="BH655" s="232"/>
      <c r="BI655" s="232"/>
      <c r="BJ655" s="232"/>
      <c r="BK655" s="232"/>
      <c r="BL655" s="232"/>
      <c r="BM655" s="232"/>
      <c r="BN655" s="232"/>
      <c r="BO655" s="232"/>
      <c r="BP655" s="232"/>
      <c r="BQ655" s="232"/>
      <c r="BR655" s="232"/>
      <c r="BS655" s="232"/>
      <c r="BT655" s="232"/>
      <c r="BU655" s="232"/>
      <c r="BV655" s="232"/>
      <c r="BW655" s="232"/>
      <c r="BX655" s="232"/>
      <c r="BY655" s="232"/>
      <c r="BZ655" s="232"/>
      <c r="CA655" s="232"/>
      <c r="CB655" s="232"/>
      <c r="CC655" s="232"/>
      <c r="CD655" s="232"/>
      <c r="CE655" s="232"/>
      <c r="CF655" s="232"/>
      <c r="CG655" s="232"/>
      <c r="CH655" s="232"/>
      <c r="CI655" s="232"/>
      <c r="CJ655" s="232"/>
      <c r="CK655" s="232"/>
      <c r="CL655" s="232"/>
      <c r="CM655" s="232"/>
      <c r="CN655" s="215"/>
      <c r="CO655" s="215"/>
      <c r="CP655" s="215"/>
      <c r="CQ655" s="215"/>
      <c r="CR655" s="215"/>
      <c r="CS655" s="215"/>
      <c r="CT655" s="215"/>
    </row>
    <row r="656" ht="24.0" customHeight="1">
      <c r="A656" s="287"/>
      <c r="B656" s="287"/>
      <c r="C656" s="287"/>
      <c r="D656" s="232"/>
      <c r="E656" s="232"/>
      <c r="F656" s="232"/>
      <c r="G656" s="232"/>
      <c r="H656" s="232"/>
      <c r="I656" s="232"/>
      <c r="J656" s="232"/>
      <c r="K656" s="232"/>
      <c r="L656" s="232"/>
      <c r="M656" s="232"/>
      <c r="N656" s="289"/>
      <c r="O656" s="232"/>
      <c r="P656" s="232"/>
      <c r="Q656" s="232"/>
      <c r="R656" s="232"/>
      <c r="S656" s="232"/>
      <c r="T656" s="232"/>
      <c r="U656" s="232"/>
      <c r="V656" s="232"/>
      <c r="W656" s="232"/>
      <c r="X656" s="232"/>
      <c r="Y656" s="232"/>
      <c r="Z656" s="232"/>
      <c r="AA656" s="232"/>
      <c r="AB656" s="232"/>
      <c r="AC656" s="232"/>
      <c r="AD656" s="232"/>
      <c r="AE656" s="232"/>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c r="BL656" s="232"/>
      <c r="BM656" s="232"/>
      <c r="BN656" s="232"/>
      <c r="BO656" s="232"/>
      <c r="BP656" s="232"/>
      <c r="BQ656" s="232"/>
      <c r="BR656" s="232"/>
      <c r="BS656" s="232"/>
      <c r="BT656" s="232"/>
      <c r="BU656" s="232"/>
      <c r="BV656" s="232"/>
      <c r="BW656" s="232"/>
      <c r="BX656" s="232"/>
      <c r="BY656" s="232"/>
      <c r="BZ656" s="232"/>
      <c r="CA656" s="232"/>
      <c r="CB656" s="232"/>
      <c r="CC656" s="232"/>
      <c r="CD656" s="232"/>
      <c r="CE656" s="232"/>
      <c r="CF656" s="232"/>
      <c r="CG656" s="232"/>
      <c r="CH656" s="232"/>
      <c r="CI656" s="232"/>
      <c r="CJ656" s="232"/>
      <c r="CK656" s="232"/>
      <c r="CL656" s="232"/>
      <c r="CM656" s="232"/>
      <c r="CN656" s="215"/>
      <c r="CO656" s="215"/>
      <c r="CP656" s="215"/>
      <c r="CQ656" s="215"/>
      <c r="CR656" s="215"/>
      <c r="CS656" s="215"/>
      <c r="CT656" s="215"/>
    </row>
    <row r="657" ht="24.0" customHeight="1">
      <c r="A657" s="287"/>
      <c r="B657" s="287"/>
      <c r="C657" s="287"/>
      <c r="D657" s="232"/>
      <c r="E657" s="232"/>
      <c r="F657" s="232"/>
      <c r="G657" s="232"/>
      <c r="H657" s="232"/>
      <c r="I657" s="232"/>
      <c r="J657" s="232"/>
      <c r="K657" s="232"/>
      <c r="L657" s="232"/>
      <c r="M657" s="232"/>
      <c r="N657" s="289"/>
      <c r="O657" s="232"/>
      <c r="P657" s="232"/>
      <c r="Q657" s="232"/>
      <c r="R657" s="232"/>
      <c r="S657" s="232"/>
      <c r="T657" s="232"/>
      <c r="U657" s="232"/>
      <c r="V657" s="232"/>
      <c r="W657" s="232"/>
      <c r="X657" s="232"/>
      <c r="Y657" s="232"/>
      <c r="Z657" s="232"/>
      <c r="AA657" s="232"/>
      <c r="AB657" s="232"/>
      <c r="AC657" s="232"/>
      <c r="AD657" s="232"/>
      <c r="AE657" s="232"/>
      <c r="AF657" s="232"/>
      <c r="AG657" s="232"/>
      <c r="AH657" s="232"/>
      <c r="AI657" s="232"/>
      <c r="AJ657" s="232"/>
      <c r="AK657" s="232"/>
      <c r="AL657" s="232"/>
      <c r="AM657" s="232"/>
      <c r="AN657" s="232"/>
      <c r="AO657" s="232"/>
      <c r="AP657" s="232"/>
      <c r="AQ657" s="232"/>
      <c r="AR657" s="232"/>
      <c r="AS657" s="232"/>
      <c r="AT657" s="232"/>
      <c r="AU657" s="232"/>
      <c r="AV657" s="232"/>
      <c r="AW657" s="232"/>
      <c r="AX657" s="232"/>
      <c r="AY657" s="232"/>
      <c r="AZ657" s="232"/>
      <c r="BA657" s="232"/>
      <c r="BB657" s="232"/>
      <c r="BC657" s="232"/>
      <c r="BD657" s="232"/>
      <c r="BE657" s="232"/>
      <c r="BF657" s="232"/>
      <c r="BG657" s="232"/>
      <c r="BH657" s="232"/>
      <c r="BI657" s="232"/>
      <c r="BJ657" s="232"/>
      <c r="BK657" s="232"/>
      <c r="BL657" s="232"/>
      <c r="BM657" s="232"/>
      <c r="BN657" s="232"/>
      <c r="BO657" s="232"/>
      <c r="BP657" s="232"/>
      <c r="BQ657" s="232"/>
      <c r="BR657" s="232"/>
      <c r="BS657" s="232"/>
      <c r="BT657" s="232"/>
      <c r="BU657" s="232"/>
      <c r="BV657" s="232"/>
      <c r="BW657" s="232"/>
      <c r="BX657" s="232"/>
      <c r="BY657" s="232"/>
      <c r="BZ657" s="232"/>
      <c r="CA657" s="232"/>
      <c r="CB657" s="232"/>
      <c r="CC657" s="232"/>
      <c r="CD657" s="232"/>
      <c r="CE657" s="232"/>
      <c r="CF657" s="232"/>
      <c r="CG657" s="232"/>
      <c r="CH657" s="232"/>
      <c r="CI657" s="232"/>
      <c r="CJ657" s="232"/>
      <c r="CK657" s="232"/>
      <c r="CL657" s="232"/>
      <c r="CM657" s="232"/>
      <c r="CN657" s="215"/>
      <c r="CO657" s="215"/>
      <c r="CP657" s="215"/>
      <c r="CQ657" s="215"/>
      <c r="CR657" s="215"/>
      <c r="CS657" s="215"/>
      <c r="CT657" s="215"/>
    </row>
    <row r="658" ht="24.0" customHeight="1">
      <c r="A658" s="287"/>
      <c r="B658" s="287"/>
      <c r="C658" s="287"/>
      <c r="D658" s="232"/>
      <c r="E658" s="232"/>
      <c r="F658" s="232"/>
      <c r="G658" s="232"/>
      <c r="H658" s="232"/>
      <c r="I658" s="232"/>
      <c r="J658" s="232"/>
      <c r="K658" s="232"/>
      <c r="L658" s="232"/>
      <c r="M658" s="232"/>
      <c r="N658" s="289"/>
      <c r="O658" s="232"/>
      <c r="P658" s="232"/>
      <c r="Q658" s="232"/>
      <c r="R658" s="232"/>
      <c r="S658" s="232"/>
      <c r="T658" s="232"/>
      <c r="U658" s="232"/>
      <c r="V658" s="232"/>
      <c r="W658" s="232"/>
      <c r="X658" s="232"/>
      <c r="Y658" s="232"/>
      <c r="Z658" s="232"/>
      <c r="AA658" s="232"/>
      <c r="AB658" s="232"/>
      <c r="AC658" s="232"/>
      <c r="AD658" s="232"/>
      <c r="AE658" s="232"/>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c r="BL658" s="232"/>
      <c r="BM658" s="232"/>
      <c r="BN658" s="232"/>
      <c r="BO658" s="232"/>
      <c r="BP658" s="232"/>
      <c r="BQ658" s="232"/>
      <c r="BR658" s="232"/>
      <c r="BS658" s="232"/>
      <c r="BT658" s="232"/>
      <c r="BU658" s="232"/>
      <c r="BV658" s="232"/>
      <c r="BW658" s="232"/>
      <c r="BX658" s="232"/>
      <c r="BY658" s="232"/>
      <c r="BZ658" s="232"/>
      <c r="CA658" s="232"/>
      <c r="CB658" s="232"/>
      <c r="CC658" s="232"/>
      <c r="CD658" s="232"/>
      <c r="CE658" s="232"/>
      <c r="CF658" s="232"/>
      <c r="CG658" s="232"/>
      <c r="CH658" s="232"/>
      <c r="CI658" s="232"/>
      <c r="CJ658" s="232"/>
      <c r="CK658" s="232"/>
      <c r="CL658" s="232"/>
      <c r="CM658" s="232"/>
      <c r="CN658" s="215"/>
      <c r="CO658" s="215"/>
      <c r="CP658" s="215"/>
      <c r="CQ658" s="215"/>
      <c r="CR658" s="215"/>
      <c r="CS658" s="215"/>
      <c r="CT658" s="215"/>
    </row>
    <row r="659" ht="24.0" customHeight="1">
      <c r="A659" s="287"/>
      <c r="B659" s="287"/>
      <c r="C659" s="287"/>
      <c r="D659" s="232"/>
      <c r="E659" s="232"/>
      <c r="F659" s="232"/>
      <c r="G659" s="232"/>
      <c r="H659" s="232"/>
      <c r="I659" s="232"/>
      <c r="J659" s="232"/>
      <c r="K659" s="232"/>
      <c r="L659" s="232"/>
      <c r="M659" s="232"/>
      <c r="N659" s="289"/>
      <c r="O659" s="232"/>
      <c r="P659" s="232"/>
      <c r="Q659" s="232"/>
      <c r="R659" s="232"/>
      <c r="S659" s="232"/>
      <c r="T659" s="232"/>
      <c r="U659" s="232"/>
      <c r="V659" s="232"/>
      <c r="W659" s="232"/>
      <c r="X659" s="232"/>
      <c r="Y659" s="232"/>
      <c r="Z659" s="232"/>
      <c r="AA659" s="232"/>
      <c r="AB659" s="232"/>
      <c r="AC659" s="232"/>
      <c r="AD659" s="232"/>
      <c r="AE659" s="232"/>
      <c r="AF659" s="232"/>
      <c r="AG659" s="232"/>
      <c r="AH659" s="232"/>
      <c r="AI659" s="232"/>
      <c r="AJ659" s="232"/>
      <c r="AK659" s="232"/>
      <c r="AL659" s="232"/>
      <c r="AM659" s="232"/>
      <c r="AN659" s="232"/>
      <c r="AO659" s="232"/>
      <c r="AP659" s="232"/>
      <c r="AQ659" s="232"/>
      <c r="AR659" s="232"/>
      <c r="AS659" s="232"/>
      <c r="AT659" s="232"/>
      <c r="AU659" s="232"/>
      <c r="AV659" s="232"/>
      <c r="AW659" s="232"/>
      <c r="AX659" s="232"/>
      <c r="AY659" s="232"/>
      <c r="AZ659" s="232"/>
      <c r="BA659" s="232"/>
      <c r="BB659" s="232"/>
      <c r="BC659" s="232"/>
      <c r="BD659" s="232"/>
      <c r="BE659" s="232"/>
      <c r="BF659" s="232"/>
      <c r="BG659" s="232"/>
      <c r="BH659" s="232"/>
      <c r="BI659" s="232"/>
      <c r="BJ659" s="232"/>
      <c r="BK659" s="232"/>
      <c r="BL659" s="232"/>
      <c r="BM659" s="232"/>
      <c r="BN659" s="232"/>
      <c r="BO659" s="232"/>
      <c r="BP659" s="232"/>
      <c r="BQ659" s="232"/>
      <c r="BR659" s="232"/>
      <c r="BS659" s="232"/>
      <c r="BT659" s="232"/>
      <c r="BU659" s="232"/>
      <c r="BV659" s="232"/>
      <c r="BW659" s="232"/>
      <c r="BX659" s="232"/>
      <c r="BY659" s="232"/>
      <c r="BZ659" s="232"/>
      <c r="CA659" s="232"/>
      <c r="CB659" s="232"/>
      <c r="CC659" s="232"/>
      <c r="CD659" s="232"/>
      <c r="CE659" s="232"/>
      <c r="CF659" s="232"/>
      <c r="CG659" s="232"/>
      <c r="CH659" s="232"/>
      <c r="CI659" s="232"/>
      <c r="CJ659" s="232"/>
      <c r="CK659" s="232"/>
      <c r="CL659" s="232"/>
      <c r="CM659" s="232"/>
      <c r="CN659" s="215"/>
      <c r="CO659" s="215"/>
      <c r="CP659" s="215"/>
      <c r="CQ659" s="215"/>
      <c r="CR659" s="215"/>
      <c r="CS659" s="215"/>
      <c r="CT659" s="215"/>
    </row>
    <row r="660" ht="24.0" customHeight="1">
      <c r="A660" s="287"/>
      <c r="B660" s="287"/>
      <c r="C660" s="287"/>
      <c r="D660" s="232"/>
      <c r="E660" s="232"/>
      <c r="F660" s="232"/>
      <c r="G660" s="232"/>
      <c r="H660" s="232"/>
      <c r="I660" s="232"/>
      <c r="J660" s="232"/>
      <c r="K660" s="232"/>
      <c r="L660" s="232"/>
      <c r="M660" s="232"/>
      <c r="N660" s="289"/>
      <c r="O660" s="232"/>
      <c r="P660" s="232"/>
      <c r="Q660" s="232"/>
      <c r="R660" s="232"/>
      <c r="S660" s="232"/>
      <c r="T660" s="232"/>
      <c r="U660" s="232"/>
      <c r="V660" s="232"/>
      <c r="W660" s="232"/>
      <c r="X660" s="232"/>
      <c r="Y660" s="232"/>
      <c r="Z660" s="232"/>
      <c r="AA660" s="232"/>
      <c r="AB660" s="232"/>
      <c r="AC660" s="232"/>
      <c r="AD660" s="232"/>
      <c r="AE660" s="232"/>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c r="BL660" s="232"/>
      <c r="BM660" s="232"/>
      <c r="BN660" s="232"/>
      <c r="BO660" s="232"/>
      <c r="BP660" s="232"/>
      <c r="BQ660" s="232"/>
      <c r="BR660" s="232"/>
      <c r="BS660" s="232"/>
      <c r="BT660" s="232"/>
      <c r="BU660" s="232"/>
      <c r="BV660" s="232"/>
      <c r="BW660" s="232"/>
      <c r="BX660" s="232"/>
      <c r="BY660" s="232"/>
      <c r="BZ660" s="232"/>
      <c r="CA660" s="232"/>
      <c r="CB660" s="232"/>
      <c r="CC660" s="232"/>
      <c r="CD660" s="232"/>
      <c r="CE660" s="232"/>
      <c r="CF660" s="232"/>
      <c r="CG660" s="232"/>
      <c r="CH660" s="232"/>
      <c r="CI660" s="232"/>
      <c r="CJ660" s="232"/>
      <c r="CK660" s="232"/>
      <c r="CL660" s="232"/>
      <c r="CM660" s="232"/>
      <c r="CN660" s="215"/>
      <c r="CO660" s="215"/>
      <c r="CP660" s="215"/>
      <c r="CQ660" s="215"/>
      <c r="CR660" s="215"/>
      <c r="CS660" s="215"/>
      <c r="CT660" s="215"/>
    </row>
    <row r="661" ht="24.0" customHeight="1">
      <c r="A661" s="287"/>
      <c r="B661" s="287"/>
      <c r="C661" s="287"/>
      <c r="D661" s="232"/>
      <c r="E661" s="232"/>
      <c r="F661" s="232"/>
      <c r="G661" s="232"/>
      <c r="H661" s="232"/>
      <c r="I661" s="232"/>
      <c r="J661" s="232"/>
      <c r="K661" s="232"/>
      <c r="L661" s="232"/>
      <c r="M661" s="232"/>
      <c r="N661" s="289"/>
      <c r="O661" s="232"/>
      <c r="P661" s="232"/>
      <c r="Q661" s="232"/>
      <c r="R661" s="232"/>
      <c r="S661" s="232"/>
      <c r="T661" s="232"/>
      <c r="U661" s="232"/>
      <c r="V661" s="232"/>
      <c r="W661" s="232"/>
      <c r="X661" s="232"/>
      <c r="Y661" s="232"/>
      <c r="Z661" s="232"/>
      <c r="AA661" s="232"/>
      <c r="AB661" s="232"/>
      <c r="AC661" s="232"/>
      <c r="AD661" s="232"/>
      <c r="AE661" s="232"/>
      <c r="AF661" s="232"/>
      <c r="AG661" s="232"/>
      <c r="AH661" s="232"/>
      <c r="AI661" s="232"/>
      <c r="AJ661" s="232"/>
      <c r="AK661" s="232"/>
      <c r="AL661" s="232"/>
      <c r="AM661" s="232"/>
      <c r="AN661" s="232"/>
      <c r="AO661" s="232"/>
      <c r="AP661" s="232"/>
      <c r="AQ661" s="232"/>
      <c r="AR661" s="232"/>
      <c r="AS661" s="232"/>
      <c r="AT661" s="232"/>
      <c r="AU661" s="232"/>
      <c r="AV661" s="232"/>
      <c r="AW661" s="232"/>
      <c r="AX661" s="232"/>
      <c r="AY661" s="232"/>
      <c r="AZ661" s="232"/>
      <c r="BA661" s="232"/>
      <c r="BB661" s="232"/>
      <c r="BC661" s="232"/>
      <c r="BD661" s="232"/>
      <c r="BE661" s="232"/>
      <c r="BF661" s="232"/>
      <c r="BG661" s="232"/>
      <c r="BH661" s="232"/>
      <c r="BI661" s="232"/>
      <c r="BJ661" s="232"/>
      <c r="BK661" s="232"/>
      <c r="BL661" s="232"/>
      <c r="BM661" s="232"/>
      <c r="BN661" s="232"/>
      <c r="BO661" s="232"/>
      <c r="BP661" s="232"/>
      <c r="BQ661" s="232"/>
      <c r="BR661" s="232"/>
      <c r="BS661" s="232"/>
      <c r="BT661" s="232"/>
      <c r="BU661" s="232"/>
      <c r="BV661" s="232"/>
      <c r="BW661" s="232"/>
      <c r="BX661" s="232"/>
      <c r="BY661" s="232"/>
      <c r="BZ661" s="232"/>
      <c r="CA661" s="232"/>
      <c r="CB661" s="232"/>
      <c r="CC661" s="232"/>
      <c r="CD661" s="232"/>
      <c r="CE661" s="232"/>
      <c r="CF661" s="232"/>
      <c r="CG661" s="232"/>
      <c r="CH661" s="232"/>
      <c r="CI661" s="232"/>
      <c r="CJ661" s="232"/>
      <c r="CK661" s="232"/>
      <c r="CL661" s="232"/>
      <c r="CM661" s="232"/>
      <c r="CN661" s="215"/>
      <c r="CO661" s="215"/>
      <c r="CP661" s="215"/>
      <c r="CQ661" s="215"/>
      <c r="CR661" s="215"/>
      <c r="CS661" s="215"/>
      <c r="CT661" s="215"/>
    </row>
    <row r="662" ht="24.0" customHeight="1">
      <c r="A662" s="287"/>
      <c r="B662" s="287"/>
      <c r="C662" s="287"/>
      <c r="D662" s="232"/>
      <c r="E662" s="232"/>
      <c r="F662" s="232"/>
      <c r="G662" s="232"/>
      <c r="H662" s="232"/>
      <c r="I662" s="232"/>
      <c r="J662" s="232"/>
      <c r="K662" s="232"/>
      <c r="L662" s="232"/>
      <c r="M662" s="232"/>
      <c r="N662" s="289"/>
      <c r="O662" s="232"/>
      <c r="P662" s="232"/>
      <c r="Q662" s="232"/>
      <c r="R662" s="232"/>
      <c r="S662" s="232"/>
      <c r="T662" s="232"/>
      <c r="U662" s="232"/>
      <c r="V662" s="232"/>
      <c r="W662" s="232"/>
      <c r="X662" s="232"/>
      <c r="Y662" s="232"/>
      <c r="Z662" s="232"/>
      <c r="AA662" s="232"/>
      <c r="AB662" s="232"/>
      <c r="AC662" s="232"/>
      <c r="AD662" s="232"/>
      <c r="AE662" s="232"/>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c r="BL662" s="232"/>
      <c r="BM662" s="232"/>
      <c r="BN662" s="232"/>
      <c r="BO662" s="232"/>
      <c r="BP662" s="232"/>
      <c r="BQ662" s="232"/>
      <c r="BR662" s="232"/>
      <c r="BS662" s="232"/>
      <c r="BT662" s="232"/>
      <c r="BU662" s="232"/>
      <c r="BV662" s="232"/>
      <c r="BW662" s="232"/>
      <c r="BX662" s="232"/>
      <c r="BY662" s="232"/>
      <c r="BZ662" s="232"/>
      <c r="CA662" s="232"/>
      <c r="CB662" s="232"/>
      <c r="CC662" s="232"/>
      <c r="CD662" s="232"/>
      <c r="CE662" s="232"/>
      <c r="CF662" s="232"/>
      <c r="CG662" s="232"/>
      <c r="CH662" s="232"/>
      <c r="CI662" s="232"/>
      <c r="CJ662" s="232"/>
      <c r="CK662" s="232"/>
      <c r="CL662" s="232"/>
      <c r="CM662" s="232"/>
      <c r="CN662" s="215"/>
      <c r="CO662" s="215"/>
      <c r="CP662" s="215"/>
      <c r="CQ662" s="215"/>
      <c r="CR662" s="215"/>
      <c r="CS662" s="215"/>
      <c r="CT662" s="215"/>
    </row>
    <row r="663" ht="24.0" customHeight="1">
      <c r="A663" s="287"/>
      <c r="B663" s="287"/>
      <c r="C663" s="287"/>
      <c r="D663" s="232"/>
      <c r="E663" s="232"/>
      <c r="F663" s="232"/>
      <c r="G663" s="232"/>
      <c r="H663" s="232"/>
      <c r="I663" s="232"/>
      <c r="J663" s="232"/>
      <c r="K663" s="232"/>
      <c r="L663" s="232"/>
      <c r="M663" s="232"/>
      <c r="N663" s="289"/>
      <c r="O663" s="232"/>
      <c r="P663" s="232"/>
      <c r="Q663" s="232"/>
      <c r="R663" s="232"/>
      <c r="S663" s="232"/>
      <c r="T663" s="232"/>
      <c r="U663" s="232"/>
      <c r="V663" s="232"/>
      <c r="W663" s="232"/>
      <c r="X663" s="232"/>
      <c r="Y663" s="232"/>
      <c r="Z663" s="232"/>
      <c r="AA663" s="232"/>
      <c r="AB663" s="232"/>
      <c r="AC663" s="232"/>
      <c r="AD663" s="232"/>
      <c r="AE663" s="232"/>
      <c r="AF663" s="232"/>
      <c r="AG663" s="232"/>
      <c r="AH663" s="232"/>
      <c r="AI663" s="232"/>
      <c r="AJ663" s="232"/>
      <c r="AK663" s="232"/>
      <c r="AL663" s="232"/>
      <c r="AM663" s="232"/>
      <c r="AN663" s="232"/>
      <c r="AO663" s="232"/>
      <c r="AP663" s="232"/>
      <c r="AQ663" s="232"/>
      <c r="AR663" s="232"/>
      <c r="AS663" s="232"/>
      <c r="AT663" s="232"/>
      <c r="AU663" s="232"/>
      <c r="AV663" s="232"/>
      <c r="AW663" s="232"/>
      <c r="AX663" s="232"/>
      <c r="AY663" s="232"/>
      <c r="AZ663" s="232"/>
      <c r="BA663" s="232"/>
      <c r="BB663" s="232"/>
      <c r="BC663" s="232"/>
      <c r="BD663" s="232"/>
      <c r="BE663" s="232"/>
      <c r="BF663" s="232"/>
      <c r="BG663" s="232"/>
      <c r="BH663" s="232"/>
      <c r="BI663" s="232"/>
      <c r="BJ663" s="232"/>
      <c r="BK663" s="232"/>
      <c r="BL663" s="232"/>
      <c r="BM663" s="232"/>
      <c r="BN663" s="232"/>
      <c r="BO663" s="232"/>
      <c r="BP663" s="232"/>
      <c r="BQ663" s="232"/>
      <c r="BR663" s="232"/>
      <c r="BS663" s="232"/>
      <c r="BT663" s="232"/>
      <c r="BU663" s="232"/>
      <c r="BV663" s="232"/>
      <c r="BW663" s="232"/>
      <c r="BX663" s="232"/>
      <c r="BY663" s="232"/>
      <c r="BZ663" s="232"/>
      <c r="CA663" s="232"/>
      <c r="CB663" s="232"/>
      <c r="CC663" s="232"/>
      <c r="CD663" s="232"/>
      <c r="CE663" s="232"/>
      <c r="CF663" s="232"/>
      <c r="CG663" s="232"/>
      <c r="CH663" s="232"/>
      <c r="CI663" s="232"/>
      <c r="CJ663" s="232"/>
      <c r="CK663" s="232"/>
      <c r="CL663" s="232"/>
      <c r="CM663" s="232"/>
      <c r="CN663" s="215"/>
      <c r="CO663" s="215"/>
      <c r="CP663" s="215"/>
      <c r="CQ663" s="215"/>
      <c r="CR663" s="215"/>
      <c r="CS663" s="215"/>
      <c r="CT663" s="215"/>
    </row>
    <row r="664" ht="24.0" customHeight="1">
      <c r="A664" s="287"/>
      <c r="B664" s="287"/>
      <c r="C664" s="287"/>
      <c r="D664" s="232"/>
      <c r="E664" s="232"/>
      <c r="F664" s="232"/>
      <c r="G664" s="232"/>
      <c r="H664" s="232"/>
      <c r="I664" s="232"/>
      <c r="J664" s="232"/>
      <c r="K664" s="232"/>
      <c r="L664" s="232"/>
      <c r="M664" s="232"/>
      <c r="N664" s="289"/>
      <c r="O664" s="232"/>
      <c r="P664" s="232"/>
      <c r="Q664" s="232"/>
      <c r="R664" s="232"/>
      <c r="S664" s="232"/>
      <c r="T664" s="232"/>
      <c r="U664" s="232"/>
      <c r="V664" s="232"/>
      <c r="W664" s="232"/>
      <c r="X664" s="232"/>
      <c r="Y664" s="232"/>
      <c r="Z664" s="232"/>
      <c r="AA664" s="232"/>
      <c r="AB664" s="232"/>
      <c r="AC664" s="232"/>
      <c r="AD664" s="232"/>
      <c r="AE664" s="232"/>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c r="BL664" s="232"/>
      <c r="BM664" s="232"/>
      <c r="BN664" s="232"/>
      <c r="BO664" s="232"/>
      <c r="BP664" s="232"/>
      <c r="BQ664" s="232"/>
      <c r="BR664" s="232"/>
      <c r="BS664" s="232"/>
      <c r="BT664" s="232"/>
      <c r="BU664" s="232"/>
      <c r="BV664" s="232"/>
      <c r="BW664" s="232"/>
      <c r="BX664" s="232"/>
      <c r="BY664" s="232"/>
      <c r="BZ664" s="232"/>
      <c r="CA664" s="232"/>
      <c r="CB664" s="232"/>
      <c r="CC664" s="232"/>
      <c r="CD664" s="232"/>
      <c r="CE664" s="232"/>
      <c r="CF664" s="232"/>
      <c r="CG664" s="232"/>
      <c r="CH664" s="232"/>
      <c r="CI664" s="232"/>
      <c r="CJ664" s="232"/>
      <c r="CK664" s="232"/>
      <c r="CL664" s="232"/>
      <c r="CM664" s="232"/>
      <c r="CN664" s="215"/>
      <c r="CO664" s="215"/>
      <c r="CP664" s="215"/>
      <c r="CQ664" s="215"/>
      <c r="CR664" s="215"/>
      <c r="CS664" s="215"/>
      <c r="CT664" s="215"/>
    </row>
    <row r="665" ht="24.0" customHeight="1">
      <c r="A665" s="287"/>
      <c r="B665" s="287"/>
      <c r="C665" s="287"/>
      <c r="D665" s="232"/>
      <c r="E665" s="232"/>
      <c r="F665" s="232"/>
      <c r="G665" s="232"/>
      <c r="H665" s="232"/>
      <c r="I665" s="232"/>
      <c r="J665" s="232"/>
      <c r="K665" s="232"/>
      <c r="L665" s="232"/>
      <c r="M665" s="232"/>
      <c r="N665" s="289"/>
      <c r="O665" s="232"/>
      <c r="P665" s="232"/>
      <c r="Q665" s="232"/>
      <c r="R665" s="232"/>
      <c r="S665" s="232"/>
      <c r="T665" s="232"/>
      <c r="U665" s="232"/>
      <c r="V665" s="232"/>
      <c r="W665" s="232"/>
      <c r="X665" s="232"/>
      <c r="Y665" s="232"/>
      <c r="Z665" s="232"/>
      <c r="AA665" s="232"/>
      <c r="AB665" s="232"/>
      <c r="AC665" s="232"/>
      <c r="AD665" s="232"/>
      <c r="AE665" s="232"/>
      <c r="AF665" s="232"/>
      <c r="AG665" s="232"/>
      <c r="AH665" s="232"/>
      <c r="AI665" s="232"/>
      <c r="AJ665" s="232"/>
      <c r="AK665" s="232"/>
      <c r="AL665" s="232"/>
      <c r="AM665" s="232"/>
      <c r="AN665" s="232"/>
      <c r="AO665" s="232"/>
      <c r="AP665" s="232"/>
      <c r="AQ665" s="232"/>
      <c r="AR665" s="232"/>
      <c r="AS665" s="232"/>
      <c r="AT665" s="232"/>
      <c r="AU665" s="232"/>
      <c r="AV665" s="232"/>
      <c r="AW665" s="232"/>
      <c r="AX665" s="232"/>
      <c r="AY665" s="232"/>
      <c r="AZ665" s="232"/>
      <c r="BA665" s="232"/>
      <c r="BB665" s="232"/>
      <c r="BC665" s="232"/>
      <c r="BD665" s="232"/>
      <c r="BE665" s="232"/>
      <c r="BF665" s="232"/>
      <c r="BG665" s="232"/>
      <c r="BH665" s="232"/>
      <c r="BI665" s="232"/>
      <c r="BJ665" s="232"/>
      <c r="BK665" s="232"/>
      <c r="BL665" s="232"/>
      <c r="BM665" s="232"/>
      <c r="BN665" s="232"/>
      <c r="BO665" s="232"/>
      <c r="BP665" s="232"/>
      <c r="BQ665" s="232"/>
      <c r="BR665" s="232"/>
      <c r="BS665" s="232"/>
      <c r="BT665" s="232"/>
      <c r="BU665" s="232"/>
      <c r="BV665" s="232"/>
      <c r="BW665" s="232"/>
      <c r="BX665" s="232"/>
      <c r="BY665" s="232"/>
      <c r="BZ665" s="232"/>
      <c r="CA665" s="232"/>
      <c r="CB665" s="232"/>
      <c r="CC665" s="232"/>
      <c r="CD665" s="232"/>
      <c r="CE665" s="232"/>
      <c r="CF665" s="232"/>
      <c r="CG665" s="232"/>
      <c r="CH665" s="232"/>
      <c r="CI665" s="232"/>
      <c r="CJ665" s="232"/>
      <c r="CK665" s="232"/>
      <c r="CL665" s="232"/>
      <c r="CM665" s="232"/>
      <c r="CN665" s="215"/>
      <c r="CO665" s="215"/>
      <c r="CP665" s="215"/>
      <c r="CQ665" s="215"/>
      <c r="CR665" s="215"/>
      <c r="CS665" s="215"/>
      <c r="CT665" s="215"/>
    </row>
    <row r="666" ht="24.0" customHeight="1">
      <c r="A666" s="287"/>
      <c r="B666" s="287"/>
      <c r="C666" s="287"/>
      <c r="D666" s="232"/>
      <c r="E666" s="232"/>
      <c r="F666" s="232"/>
      <c r="G666" s="232"/>
      <c r="H666" s="232"/>
      <c r="I666" s="232"/>
      <c r="J666" s="232"/>
      <c r="K666" s="232"/>
      <c r="L666" s="232"/>
      <c r="M666" s="232"/>
      <c r="N666" s="289"/>
      <c r="O666" s="232"/>
      <c r="P666" s="232"/>
      <c r="Q666" s="232"/>
      <c r="R666" s="232"/>
      <c r="S666" s="232"/>
      <c r="T666" s="232"/>
      <c r="U666" s="232"/>
      <c r="V666" s="232"/>
      <c r="W666" s="232"/>
      <c r="X666" s="232"/>
      <c r="Y666" s="232"/>
      <c r="Z666" s="232"/>
      <c r="AA666" s="232"/>
      <c r="AB666" s="232"/>
      <c r="AC666" s="232"/>
      <c r="AD666" s="232"/>
      <c r="AE666" s="232"/>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c r="BL666" s="232"/>
      <c r="BM666" s="232"/>
      <c r="BN666" s="232"/>
      <c r="BO666" s="232"/>
      <c r="BP666" s="232"/>
      <c r="BQ666" s="232"/>
      <c r="BR666" s="232"/>
      <c r="BS666" s="232"/>
      <c r="BT666" s="232"/>
      <c r="BU666" s="232"/>
      <c r="BV666" s="232"/>
      <c r="BW666" s="232"/>
      <c r="BX666" s="232"/>
      <c r="BY666" s="232"/>
      <c r="BZ666" s="232"/>
      <c r="CA666" s="232"/>
      <c r="CB666" s="232"/>
      <c r="CC666" s="232"/>
      <c r="CD666" s="232"/>
      <c r="CE666" s="232"/>
      <c r="CF666" s="232"/>
      <c r="CG666" s="232"/>
      <c r="CH666" s="232"/>
      <c r="CI666" s="232"/>
      <c r="CJ666" s="232"/>
      <c r="CK666" s="232"/>
      <c r="CL666" s="232"/>
      <c r="CM666" s="232"/>
      <c r="CN666" s="215"/>
      <c r="CO666" s="215"/>
      <c r="CP666" s="215"/>
      <c r="CQ666" s="215"/>
      <c r="CR666" s="215"/>
      <c r="CS666" s="215"/>
      <c r="CT666" s="215"/>
    </row>
    <row r="667" ht="24.0" customHeight="1">
      <c r="A667" s="287"/>
      <c r="B667" s="287"/>
      <c r="C667" s="287"/>
      <c r="D667" s="232"/>
      <c r="E667" s="232"/>
      <c r="F667" s="232"/>
      <c r="G667" s="232"/>
      <c r="H667" s="232"/>
      <c r="I667" s="232"/>
      <c r="J667" s="232"/>
      <c r="K667" s="232"/>
      <c r="L667" s="232"/>
      <c r="M667" s="232"/>
      <c r="N667" s="289"/>
      <c r="O667" s="232"/>
      <c r="P667" s="232"/>
      <c r="Q667" s="232"/>
      <c r="R667" s="232"/>
      <c r="S667" s="232"/>
      <c r="T667" s="232"/>
      <c r="U667" s="232"/>
      <c r="V667" s="232"/>
      <c r="W667" s="232"/>
      <c r="X667" s="232"/>
      <c r="Y667" s="232"/>
      <c r="Z667" s="232"/>
      <c r="AA667" s="232"/>
      <c r="AB667" s="232"/>
      <c r="AC667" s="232"/>
      <c r="AD667" s="232"/>
      <c r="AE667" s="232"/>
      <c r="AF667" s="232"/>
      <c r="AG667" s="232"/>
      <c r="AH667" s="232"/>
      <c r="AI667" s="232"/>
      <c r="AJ667" s="232"/>
      <c r="AK667" s="232"/>
      <c r="AL667" s="232"/>
      <c r="AM667" s="232"/>
      <c r="AN667" s="232"/>
      <c r="AO667" s="232"/>
      <c r="AP667" s="232"/>
      <c r="AQ667" s="232"/>
      <c r="AR667" s="232"/>
      <c r="AS667" s="232"/>
      <c r="AT667" s="232"/>
      <c r="AU667" s="232"/>
      <c r="AV667" s="232"/>
      <c r="AW667" s="232"/>
      <c r="AX667" s="232"/>
      <c r="AY667" s="232"/>
      <c r="AZ667" s="232"/>
      <c r="BA667" s="232"/>
      <c r="BB667" s="232"/>
      <c r="BC667" s="232"/>
      <c r="BD667" s="232"/>
      <c r="BE667" s="232"/>
      <c r="BF667" s="232"/>
      <c r="BG667" s="232"/>
      <c r="BH667" s="232"/>
      <c r="BI667" s="232"/>
      <c r="BJ667" s="232"/>
      <c r="BK667" s="232"/>
      <c r="BL667" s="232"/>
      <c r="BM667" s="232"/>
      <c r="BN667" s="232"/>
      <c r="BO667" s="232"/>
      <c r="BP667" s="232"/>
      <c r="BQ667" s="232"/>
      <c r="BR667" s="232"/>
      <c r="BS667" s="232"/>
      <c r="BT667" s="232"/>
      <c r="BU667" s="232"/>
      <c r="BV667" s="232"/>
      <c r="BW667" s="232"/>
      <c r="BX667" s="232"/>
      <c r="BY667" s="232"/>
      <c r="BZ667" s="232"/>
      <c r="CA667" s="232"/>
      <c r="CB667" s="232"/>
      <c r="CC667" s="232"/>
      <c r="CD667" s="232"/>
      <c r="CE667" s="232"/>
      <c r="CF667" s="232"/>
      <c r="CG667" s="232"/>
      <c r="CH667" s="232"/>
      <c r="CI667" s="232"/>
      <c r="CJ667" s="232"/>
      <c r="CK667" s="232"/>
      <c r="CL667" s="232"/>
      <c r="CM667" s="232"/>
      <c r="CN667" s="215"/>
      <c r="CO667" s="215"/>
      <c r="CP667" s="215"/>
      <c r="CQ667" s="215"/>
      <c r="CR667" s="215"/>
      <c r="CS667" s="215"/>
      <c r="CT667" s="215"/>
    </row>
    <row r="668" ht="24.0" customHeight="1">
      <c r="A668" s="287"/>
      <c r="B668" s="287"/>
      <c r="C668" s="287"/>
      <c r="D668" s="232"/>
      <c r="E668" s="232"/>
      <c r="F668" s="232"/>
      <c r="G668" s="232"/>
      <c r="H668" s="232"/>
      <c r="I668" s="232"/>
      <c r="J668" s="232"/>
      <c r="K668" s="232"/>
      <c r="L668" s="232"/>
      <c r="M668" s="232"/>
      <c r="N668" s="289"/>
      <c r="O668" s="232"/>
      <c r="P668" s="232"/>
      <c r="Q668" s="232"/>
      <c r="R668" s="232"/>
      <c r="S668" s="232"/>
      <c r="T668" s="232"/>
      <c r="U668" s="232"/>
      <c r="V668" s="232"/>
      <c r="W668" s="232"/>
      <c r="X668" s="232"/>
      <c r="Y668" s="232"/>
      <c r="Z668" s="232"/>
      <c r="AA668" s="232"/>
      <c r="AB668" s="232"/>
      <c r="AC668" s="232"/>
      <c r="AD668" s="232"/>
      <c r="AE668" s="232"/>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c r="BL668" s="232"/>
      <c r="BM668" s="232"/>
      <c r="BN668" s="232"/>
      <c r="BO668" s="232"/>
      <c r="BP668" s="232"/>
      <c r="BQ668" s="232"/>
      <c r="BR668" s="232"/>
      <c r="BS668" s="232"/>
      <c r="BT668" s="232"/>
      <c r="BU668" s="232"/>
      <c r="BV668" s="232"/>
      <c r="BW668" s="232"/>
      <c r="BX668" s="232"/>
      <c r="BY668" s="232"/>
      <c r="BZ668" s="232"/>
      <c r="CA668" s="232"/>
      <c r="CB668" s="232"/>
      <c r="CC668" s="232"/>
      <c r="CD668" s="232"/>
      <c r="CE668" s="232"/>
      <c r="CF668" s="232"/>
      <c r="CG668" s="232"/>
      <c r="CH668" s="232"/>
      <c r="CI668" s="232"/>
      <c r="CJ668" s="232"/>
      <c r="CK668" s="232"/>
      <c r="CL668" s="232"/>
      <c r="CM668" s="232"/>
      <c r="CN668" s="215"/>
      <c r="CO668" s="215"/>
      <c r="CP668" s="215"/>
      <c r="CQ668" s="215"/>
      <c r="CR668" s="215"/>
      <c r="CS668" s="215"/>
      <c r="CT668" s="215"/>
    </row>
    <row r="669" ht="24.0" customHeight="1">
      <c r="A669" s="287"/>
      <c r="B669" s="287"/>
      <c r="C669" s="287"/>
      <c r="D669" s="232"/>
      <c r="E669" s="232"/>
      <c r="F669" s="232"/>
      <c r="G669" s="232"/>
      <c r="H669" s="232"/>
      <c r="I669" s="232"/>
      <c r="J669" s="232"/>
      <c r="K669" s="232"/>
      <c r="L669" s="232"/>
      <c r="M669" s="232"/>
      <c r="N669" s="289"/>
      <c r="O669" s="232"/>
      <c r="P669" s="232"/>
      <c r="Q669" s="232"/>
      <c r="R669" s="232"/>
      <c r="S669" s="232"/>
      <c r="T669" s="232"/>
      <c r="U669" s="232"/>
      <c r="V669" s="232"/>
      <c r="W669" s="232"/>
      <c r="X669" s="232"/>
      <c r="Y669" s="232"/>
      <c r="Z669" s="232"/>
      <c r="AA669" s="232"/>
      <c r="AB669" s="232"/>
      <c r="AC669" s="232"/>
      <c r="AD669" s="232"/>
      <c r="AE669" s="232"/>
      <c r="AF669" s="232"/>
      <c r="AG669" s="232"/>
      <c r="AH669" s="232"/>
      <c r="AI669" s="232"/>
      <c r="AJ669" s="232"/>
      <c r="AK669" s="232"/>
      <c r="AL669" s="232"/>
      <c r="AM669" s="232"/>
      <c r="AN669" s="232"/>
      <c r="AO669" s="232"/>
      <c r="AP669" s="232"/>
      <c r="AQ669" s="232"/>
      <c r="AR669" s="232"/>
      <c r="AS669" s="232"/>
      <c r="AT669" s="232"/>
      <c r="AU669" s="232"/>
      <c r="AV669" s="232"/>
      <c r="AW669" s="232"/>
      <c r="AX669" s="232"/>
      <c r="AY669" s="232"/>
      <c r="AZ669" s="232"/>
      <c r="BA669" s="232"/>
      <c r="BB669" s="232"/>
      <c r="BC669" s="232"/>
      <c r="BD669" s="232"/>
      <c r="BE669" s="232"/>
      <c r="BF669" s="232"/>
      <c r="BG669" s="232"/>
      <c r="BH669" s="232"/>
      <c r="BI669" s="232"/>
      <c r="BJ669" s="232"/>
      <c r="BK669" s="232"/>
      <c r="BL669" s="232"/>
      <c r="BM669" s="232"/>
      <c r="BN669" s="232"/>
      <c r="BO669" s="232"/>
      <c r="BP669" s="232"/>
      <c r="BQ669" s="232"/>
      <c r="BR669" s="232"/>
      <c r="BS669" s="232"/>
      <c r="BT669" s="232"/>
      <c r="BU669" s="232"/>
      <c r="BV669" s="232"/>
      <c r="BW669" s="232"/>
      <c r="BX669" s="232"/>
      <c r="BY669" s="232"/>
      <c r="BZ669" s="232"/>
      <c r="CA669" s="232"/>
      <c r="CB669" s="232"/>
      <c r="CC669" s="232"/>
      <c r="CD669" s="232"/>
      <c r="CE669" s="232"/>
      <c r="CF669" s="232"/>
      <c r="CG669" s="232"/>
      <c r="CH669" s="232"/>
      <c r="CI669" s="232"/>
      <c r="CJ669" s="232"/>
      <c r="CK669" s="232"/>
      <c r="CL669" s="232"/>
      <c r="CM669" s="232"/>
      <c r="CN669" s="215"/>
      <c r="CO669" s="215"/>
      <c r="CP669" s="215"/>
      <c r="CQ669" s="215"/>
      <c r="CR669" s="215"/>
      <c r="CS669" s="215"/>
      <c r="CT669" s="215"/>
    </row>
    <row r="670" ht="24.0" customHeight="1">
      <c r="A670" s="287"/>
      <c r="B670" s="287"/>
      <c r="C670" s="287"/>
      <c r="D670" s="232"/>
      <c r="E670" s="232"/>
      <c r="F670" s="232"/>
      <c r="G670" s="232"/>
      <c r="H670" s="232"/>
      <c r="I670" s="232"/>
      <c r="J670" s="232"/>
      <c r="K670" s="232"/>
      <c r="L670" s="232"/>
      <c r="M670" s="232"/>
      <c r="N670" s="289"/>
      <c r="O670" s="232"/>
      <c r="P670" s="232"/>
      <c r="Q670" s="232"/>
      <c r="R670" s="232"/>
      <c r="S670" s="232"/>
      <c r="T670" s="232"/>
      <c r="U670" s="232"/>
      <c r="V670" s="232"/>
      <c r="W670" s="232"/>
      <c r="X670" s="232"/>
      <c r="Y670" s="232"/>
      <c r="Z670" s="232"/>
      <c r="AA670" s="232"/>
      <c r="AB670" s="232"/>
      <c r="AC670" s="232"/>
      <c r="AD670" s="232"/>
      <c r="AE670" s="232"/>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c r="BL670" s="232"/>
      <c r="BM670" s="232"/>
      <c r="BN670" s="232"/>
      <c r="BO670" s="232"/>
      <c r="BP670" s="232"/>
      <c r="BQ670" s="232"/>
      <c r="BR670" s="232"/>
      <c r="BS670" s="232"/>
      <c r="BT670" s="232"/>
      <c r="BU670" s="232"/>
      <c r="BV670" s="232"/>
      <c r="BW670" s="232"/>
      <c r="BX670" s="232"/>
      <c r="BY670" s="232"/>
      <c r="BZ670" s="232"/>
      <c r="CA670" s="232"/>
      <c r="CB670" s="232"/>
      <c r="CC670" s="232"/>
      <c r="CD670" s="232"/>
      <c r="CE670" s="232"/>
      <c r="CF670" s="232"/>
      <c r="CG670" s="232"/>
      <c r="CH670" s="232"/>
      <c r="CI670" s="232"/>
      <c r="CJ670" s="232"/>
      <c r="CK670" s="232"/>
      <c r="CL670" s="232"/>
      <c r="CM670" s="232"/>
      <c r="CN670" s="215"/>
      <c r="CO670" s="215"/>
      <c r="CP670" s="215"/>
      <c r="CQ670" s="215"/>
      <c r="CR670" s="215"/>
      <c r="CS670" s="215"/>
      <c r="CT670" s="215"/>
    </row>
    <row r="671" ht="24.0" customHeight="1">
      <c r="A671" s="287"/>
      <c r="B671" s="287"/>
      <c r="C671" s="287"/>
      <c r="D671" s="232"/>
      <c r="E671" s="232"/>
      <c r="F671" s="232"/>
      <c r="G671" s="232"/>
      <c r="H671" s="232"/>
      <c r="I671" s="232"/>
      <c r="J671" s="232"/>
      <c r="K671" s="232"/>
      <c r="L671" s="232"/>
      <c r="M671" s="232"/>
      <c r="N671" s="289"/>
      <c r="O671" s="232"/>
      <c r="P671" s="232"/>
      <c r="Q671" s="232"/>
      <c r="R671" s="232"/>
      <c r="S671" s="232"/>
      <c r="T671" s="232"/>
      <c r="U671" s="232"/>
      <c r="V671" s="232"/>
      <c r="W671" s="232"/>
      <c r="X671" s="232"/>
      <c r="Y671" s="232"/>
      <c r="Z671" s="232"/>
      <c r="AA671" s="232"/>
      <c r="AB671" s="232"/>
      <c r="AC671" s="232"/>
      <c r="AD671" s="232"/>
      <c r="AE671" s="232"/>
      <c r="AF671" s="232"/>
      <c r="AG671" s="232"/>
      <c r="AH671" s="232"/>
      <c r="AI671" s="232"/>
      <c r="AJ671" s="232"/>
      <c r="AK671" s="232"/>
      <c r="AL671" s="232"/>
      <c r="AM671" s="232"/>
      <c r="AN671" s="232"/>
      <c r="AO671" s="232"/>
      <c r="AP671" s="232"/>
      <c r="AQ671" s="232"/>
      <c r="AR671" s="232"/>
      <c r="AS671" s="232"/>
      <c r="AT671" s="232"/>
      <c r="AU671" s="232"/>
      <c r="AV671" s="232"/>
      <c r="AW671" s="232"/>
      <c r="AX671" s="232"/>
      <c r="AY671" s="232"/>
      <c r="AZ671" s="232"/>
      <c r="BA671" s="232"/>
      <c r="BB671" s="232"/>
      <c r="BC671" s="232"/>
      <c r="BD671" s="232"/>
      <c r="BE671" s="232"/>
      <c r="BF671" s="232"/>
      <c r="BG671" s="232"/>
      <c r="BH671" s="232"/>
      <c r="BI671" s="232"/>
      <c r="BJ671" s="232"/>
      <c r="BK671" s="232"/>
      <c r="BL671" s="232"/>
      <c r="BM671" s="232"/>
      <c r="BN671" s="232"/>
      <c r="BO671" s="232"/>
      <c r="BP671" s="232"/>
      <c r="BQ671" s="232"/>
      <c r="BR671" s="232"/>
      <c r="BS671" s="232"/>
      <c r="BT671" s="232"/>
      <c r="BU671" s="232"/>
      <c r="BV671" s="232"/>
      <c r="BW671" s="232"/>
      <c r="BX671" s="232"/>
      <c r="BY671" s="232"/>
      <c r="BZ671" s="232"/>
      <c r="CA671" s="232"/>
      <c r="CB671" s="232"/>
      <c r="CC671" s="232"/>
      <c r="CD671" s="232"/>
      <c r="CE671" s="232"/>
      <c r="CF671" s="232"/>
      <c r="CG671" s="232"/>
      <c r="CH671" s="232"/>
      <c r="CI671" s="232"/>
      <c r="CJ671" s="232"/>
      <c r="CK671" s="232"/>
      <c r="CL671" s="232"/>
      <c r="CM671" s="232"/>
      <c r="CN671" s="215"/>
      <c r="CO671" s="215"/>
      <c r="CP671" s="215"/>
      <c r="CQ671" s="215"/>
      <c r="CR671" s="215"/>
      <c r="CS671" s="215"/>
      <c r="CT671" s="215"/>
    </row>
    <row r="672" ht="24.0" customHeight="1">
      <c r="A672" s="287"/>
      <c r="B672" s="287"/>
      <c r="C672" s="287"/>
      <c r="D672" s="232"/>
      <c r="E672" s="232"/>
      <c r="F672" s="232"/>
      <c r="G672" s="232"/>
      <c r="H672" s="232"/>
      <c r="I672" s="232"/>
      <c r="J672" s="232"/>
      <c r="K672" s="232"/>
      <c r="L672" s="232"/>
      <c r="M672" s="232"/>
      <c r="N672" s="289"/>
      <c r="O672" s="232"/>
      <c r="P672" s="232"/>
      <c r="Q672" s="232"/>
      <c r="R672" s="232"/>
      <c r="S672" s="232"/>
      <c r="T672" s="232"/>
      <c r="U672" s="232"/>
      <c r="V672" s="232"/>
      <c r="W672" s="232"/>
      <c r="X672" s="232"/>
      <c r="Y672" s="232"/>
      <c r="Z672" s="232"/>
      <c r="AA672" s="232"/>
      <c r="AB672" s="232"/>
      <c r="AC672" s="232"/>
      <c r="AD672" s="232"/>
      <c r="AE672" s="232"/>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c r="BL672" s="232"/>
      <c r="BM672" s="232"/>
      <c r="BN672" s="232"/>
      <c r="BO672" s="232"/>
      <c r="BP672" s="232"/>
      <c r="BQ672" s="232"/>
      <c r="BR672" s="232"/>
      <c r="BS672" s="232"/>
      <c r="BT672" s="232"/>
      <c r="BU672" s="232"/>
      <c r="BV672" s="232"/>
      <c r="BW672" s="232"/>
      <c r="BX672" s="232"/>
      <c r="BY672" s="232"/>
      <c r="BZ672" s="232"/>
      <c r="CA672" s="232"/>
      <c r="CB672" s="232"/>
      <c r="CC672" s="232"/>
      <c r="CD672" s="232"/>
      <c r="CE672" s="232"/>
      <c r="CF672" s="232"/>
      <c r="CG672" s="232"/>
      <c r="CH672" s="232"/>
      <c r="CI672" s="232"/>
      <c r="CJ672" s="232"/>
      <c r="CK672" s="232"/>
      <c r="CL672" s="232"/>
      <c r="CM672" s="232"/>
      <c r="CN672" s="215"/>
      <c r="CO672" s="215"/>
      <c r="CP672" s="215"/>
      <c r="CQ672" s="215"/>
      <c r="CR672" s="215"/>
      <c r="CS672" s="215"/>
      <c r="CT672" s="215"/>
    </row>
    <row r="673" ht="24.0" customHeight="1">
      <c r="A673" s="287"/>
      <c r="B673" s="287"/>
      <c r="C673" s="287"/>
      <c r="D673" s="232"/>
      <c r="E673" s="232"/>
      <c r="F673" s="232"/>
      <c r="G673" s="232"/>
      <c r="H673" s="232"/>
      <c r="I673" s="232"/>
      <c r="J673" s="232"/>
      <c r="K673" s="232"/>
      <c r="L673" s="232"/>
      <c r="M673" s="232"/>
      <c r="N673" s="289"/>
      <c r="O673" s="232"/>
      <c r="P673" s="232"/>
      <c r="Q673" s="232"/>
      <c r="R673" s="232"/>
      <c r="S673" s="232"/>
      <c r="T673" s="232"/>
      <c r="U673" s="232"/>
      <c r="V673" s="232"/>
      <c r="W673" s="232"/>
      <c r="X673" s="232"/>
      <c r="Y673" s="232"/>
      <c r="Z673" s="232"/>
      <c r="AA673" s="232"/>
      <c r="AB673" s="232"/>
      <c r="AC673" s="232"/>
      <c r="AD673" s="232"/>
      <c r="AE673" s="232"/>
      <c r="AF673" s="232"/>
      <c r="AG673" s="232"/>
      <c r="AH673" s="232"/>
      <c r="AI673" s="232"/>
      <c r="AJ673" s="232"/>
      <c r="AK673" s="232"/>
      <c r="AL673" s="232"/>
      <c r="AM673" s="232"/>
      <c r="AN673" s="232"/>
      <c r="AO673" s="232"/>
      <c r="AP673" s="232"/>
      <c r="AQ673" s="232"/>
      <c r="AR673" s="232"/>
      <c r="AS673" s="232"/>
      <c r="AT673" s="232"/>
      <c r="AU673" s="232"/>
      <c r="AV673" s="232"/>
      <c r="AW673" s="232"/>
      <c r="AX673" s="232"/>
      <c r="AY673" s="232"/>
      <c r="AZ673" s="232"/>
      <c r="BA673" s="232"/>
      <c r="BB673" s="232"/>
      <c r="BC673" s="232"/>
      <c r="BD673" s="232"/>
      <c r="BE673" s="232"/>
      <c r="BF673" s="232"/>
      <c r="BG673" s="232"/>
      <c r="BH673" s="232"/>
      <c r="BI673" s="232"/>
      <c r="BJ673" s="232"/>
      <c r="BK673" s="232"/>
      <c r="BL673" s="232"/>
      <c r="BM673" s="232"/>
      <c r="BN673" s="232"/>
      <c r="BO673" s="232"/>
      <c r="BP673" s="232"/>
      <c r="BQ673" s="232"/>
      <c r="BR673" s="232"/>
      <c r="BS673" s="232"/>
      <c r="BT673" s="232"/>
      <c r="BU673" s="232"/>
      <c r="BV673" s="232"/>
      <c r="BW673" s="232"/>
      <c r="BX673" s="232"/>
      <c r="BY673" s="232"/>
      <c r="BZ673" s="232"/>
      <c r="CA673" s="232"/>
      <c r="CB673" s="232"/>
      <c r="CC673" s="232"/>
      <c r="CD673" s="232"/>
      <c r="CE673" s="232"/>
      <c r="CF673" s="232"/>
      <c r="CG673" s="232"/>
      <c r="CH673" s="232"/>
      <c r="CI673" s="232"/>
      <c r="CJ673" s="232"/>
      <c r="CK673" s="232"/>
      <c r="CL673" s="232"/>
      <c r="CM673" s="232"/>
      <c r="CN673" s="215"/>
      <c r="CO673" s="215"/>
      <c r="CP673" s="215"/>
      <c r="CQ673" s="215"/>
      <c r="CR673" s="215"/>
      <c r="CS673" s="215"/>
      <c r="CT673" s="215"/>
    </row>
    <row r="674" ht="24.0" customHeight="1">
      <c r="A674" s="287"/>
      <c r="B674" s="287"/>
      <c r="C674" s="287"/>
      <c r="D674" s="232"/>
      <c r="E674" s="232"/>
      <c r="F674" s="232"/>
      <c r="G674" s="232"/>
      <c r="H674" s="232"/>
      <c r="I674" s="232"/>
      <c r="J674" s="232"/>
      <c r="K674" s="232"/>
      <c r="L674" s="232"/>
      <c r="M674" s="232"/>
      <c r="N674" s="289"/>
      <c r="O674" s="232"/>
      <c r="P674" s="232"/>
      <c r="Q674" s="232"/>
      <c r="R674" s="232"/>
      <c r="S674" s="232"/>
      <c r="T674" s="232"/>
      <c r="U674" s="232"/>
      <c r="V674" s="232"/>
      <c r="W674" s="232"/>
      <c r="X674" s="232"/>
      <c r="Y674" s="232"/>
      <c r="Z674" s="232"/>
      <c r="AA674" s="232"/>
      <c r="AB674" s="232"/>
      <c r="AC674" s="232"/>
      <c r="AD674" s="232"/>
      <c r="AE674" s="232"/>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c r="BL674" s="232"/>
      <c r="BM674" s="232"/>
      <c r="BN674" s="232"/>
      <c r="BO674" s="232"/>
      <c r="BP674" s="232"/>
      <c r="BQ674" s="232"/>
      <c r="BR674" s="232"/>
      <c r="BS674" s="232"/>
      <c r="BT674" s="232"/>
      <c r="BU674" s="232"/>
      <c r="BV674" s="232"/>
      <c r="BW674" s="232"/>
      <c r="BX674" s="232"/>
      <c r="BY674" s="232"/>
      <c r="BZ674" s="232"/>
      <c r="CA674" s="232"/>
      <c r="CB674" s="232"/>
      <c r="CC674" s="232"/>
      <c r="CD674" s="232"/>
      <c r="CE674" s="232"/>
      <c r="CF674" s="232"/>
      <c r="CG674" s="232"/>
      <c r="CH674" s="232"/>
      <c r="CI674" s="232"/>
      <c r="CJ674" s="232"/>
      <c r="CK674" s="232"/>
      <c r="CL674" s="232"/>
      <c r="CM674" s="232"/>
      <c r="CN674" s="215"/>
      <c r="CO674" s="215"/>
      <c r="CP674" s="215"/>
      <c r="CQ674" s="215"/>
      <c r="CR674" s="215"/>
      <c r="CS674" s="215"/>
      <c r="CT674" s="215"/>
    </row>
    <row r="675" ht="24.0" customHeight="1">
      <c r="A675" s="287"/>
      <c r="B675" s="287"/>
      <c r="C675" s="287"/>
      <c r="D675" s="232"/>
      <c r="E675" s="232"/>
      <c r="F675" s="232"/>
      <c r="G675" s="232"/>
      <c r="H675" s="232"/>
      <c r="I675" s="232"/>
      <c r="J675" s="232"/>
      <c r="K675" s="232"/>
      <c r="L675" s="232"/>
      <c r="M675" s="232"/>
      <c r="N675" s="289"/>
      <c r="O675" s="232"/>
      <c r="P675" s="232"/>
      <c r="Q675" s="232"/>
      <c r="R675" s="232"/>
      <c r="S675" s="232"/>
      <c r="T675" s="232"/>
      <c r="U675" s="232"/>
      <c r="V675" s="232"/>
      <c r="W675" s="232"/>
      <c r="X675" s="232"/>
      <c r="Y675" s="232"/>
      <c r="Z675" s="232"/>
      <c r="AA675" s="232"/>
      <c r="AB675" s="232"/>
      <c r="AC675" s="232"/>
      <c r="AD675" s="232"/>
      <c r="AE675" s="232"/>
      <c r="AF675" s="232"/>
      <c r="AG675" s="232"/>
      <c r="AH675" s="232"/>
      <c r="AI675" s="232"/>
      <c r="AJ675" s="232"/>
      <c r="AK675" s="232"/>
      <c r="AL675" s="232"/>
      <c r="AM675" s="232"/>
      <c r="AN675" s="232"/>
      <c r="AO675" s="232"/>
      <c r="AP675" s="232"/>
      <c r="AQ675" s="232"/>
      <c r="AR675" s="232"/>
      <c r="AS675" s="232"/>
      <c r="AT675" s="232"/>
      <c r="AU675" s="232"/>
      <c r="AV675" s="232"/>
      <c r="AW675" s="232"/>
      <c r="AX675" s="232"/>
      <c r="AY675" s="232"/>
      <c r="AZ675" s="232"/>
      <c r="BA675" s="232"/>
      <c r="BB675" s="232"/>
      <c r="BC675" s="232"/>
      <c r="BD675" s="232"/>
      <c r="BE675" s="232"/>
      <c r="BF675" s="232"/>
      <c r="BG675" s="232"/>
      <c r="BH675" s="232"/>
      <c r="BI675" s="232"/>
      <c r="BJ675" s="232"/>
      <c r="BK675" s="232"/>
      <c r="BL675" s="232"/>
      <c r="BM675" s="232"/>
      <c r="BN675" s="232"/>
      <c r="BO675" s="232"/>
      <c r="BP675" s="232"/>
      <c r="BQ675" s="232"/>
      <c r="BR675" s="232"/>
      <c r="BS675" s="232"/>
      <c r="BT675" s="232"/>
      <c r="BU675" s="232"/>
      <c r="BV675" s="232"/>
      <c r="BW675" s="232"/>
      <c r="BX675" s="232"/>
      <c r="BY675" s="232"/>
      <c r="BZ675" s="232"/>
      <c r="CA675" s="232"/>
      <c r="CB675" s="232"/>
      <c r="CC675" s="232"/>
      <c r="CD675" s="232"/>
      <c r="CE675" s="232"/>
      <c r="CF675" s="232"/>
      <c r="CG675" s="232"/>
      <c r="CH675" s="232"/>
      <c r="CI675" s="232"/>
      <c r="CJ675" s="232"/>
      <c r="CK675" s="232"/>
      <c r="CL675" s="232"/>
      <c r="CM675" s="232"/>
      <c r="CN675" s="215"/>
      <c r="CO675" s="215"/>
      <c r="CP675" s="215"/>
      <c r="CQ675" s="215"/>
      <c r="CR675" s="215"/>
      <c r="CS675" s="215"/>
      <c r="CT675" s="215"/>
    </row>
    <row r="676" ht="24.0" customHeight="1">
      <c r="A676" s="287"/>
      <c r="B676" s="287"/>
      <c r="C676" s="287"/>
      <c r="D676" s="232"/>
      <c r="E676" s="232"/>
      <c r="F676" s="232"/>
      <c r="G676" s="232"/>
      <c r="H676" s="232"/>
      <c r="I676" s="232"/>
      <c r="J676" s="232"/>
      <c r="K676" s="232"/>
      <c r="L676" s="232"/>
      <c r="M676" s="232"/>
      <c r="N676" s="289"/>
      <c r="O676" s="232"/>
      <c r="P676" s="232"/>
      <c r="Q676" s="232"/>
      <c r="R676" s="232"/>
      <c r="S676" s="232"/>
      <c r="T676" s="232"/>
      <c r="U676" s="232"/>
      <c r="V676" s="232"/>
      <c r="W676" s="232"/>
      <c r="X676" s="232"/>
      <c r="Y676" s="232"/>
      <c r="Z676" s="232"/>
      <c r="AA676" s="232"/>
      <c r="AB676" s="232"/>
      <c r="AC676" s="232"/>
      <c r="AD676" s="232"/>
      <c r="AE676" s="232"/>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c r="BL676" s="232"/>
      <c r="BM676" s="232"/>
      <c r="BN676" s="232"/>
      <c r="BO676" s="232"/>
      <c r="BP676" s="232"/>
      <c r="BQ676" s="232"/>
      <c r="BR676" s="232"/>
      <c r="BS676" s="232"/>
      <c r="BT676" s="232"/>
      <c r="BU676" s="232"/>
      <c r="BV676" s="232"/>
      <c r="BW676" s="232"/>
      <c r="BX676" s="232"/>
      <c r="BY676" s="232"/>
      <c r="BZ676" s="232"/>
      <c r="CA676" s="232"/>
      <c r="CB676" s="232"/>
      <c r="CC676" s="232"/>
      <c r="CD676" s="232"/>
      <c r="CE676" s="232"/>
      <c r="CF676" s="232"/>
      <c r="CG676" s="232"/>
      <c r="CH676" s="232"/>
      <c r="CI676" s="232"/>
      <c r="CJ676" s="232"/>
      <c r="CK676" s="232"/>
      <c r="CL676" s="232"/>
      <c r="CM676" s="232"/>
      <c r="CN676" s="215"/>
      <c r="CO676" s="215"/>
      <c r="CP676" s="215"/>
      <c r="CQ676" s="215"/>
      <c r="CR676" s="215"/>
      <c r="CS676" s="215"/>
      <c r="CT676" s="215"/>
    </row>
    <row r="677" ht="24.0" customHeight="1">
      <c r="A677" s="287"/>
      <c r="B677" s="287"/>
      <c r="C677" s="287"/>
      <c r="D677" s="232"/>
      <c r="E677" s="232"/>
      <c r="F677" s="232"/>
      <c r="G677" s="232"/>
      <c r="H677" s="232"/>
      <c r="I677" s="232"/>
      <c r="J677" s="232"/>
      <c r="K677" s="232"/>
      <c r="L677" s="232"/>
      <c r="M677" s="232"/>
      <c r="N677" s="289"/>
      <c r="O677" s="232"/>
      <c r="P677" s="232"/>
      <c r="Q677" s="232"/>
      <c r="R677" s="232"/>
      <c r="S677" s="232"/>
      <c r="T677" s="232"/>
      <c r="U677" s="232"/>
      <c r="V677" s="232"/>
      <c r="W677" s="232"/>
      <c r="X677" s="232"/>
      <c r="Y677" s="232"/>
      <c r="Z677" s="232"/>
      <c r="AA677" s="232"/>
      <c r="AB677" s="232"/>
      <c r="AC677" s="232"/>
      <c r="AD677" s="232"/>
      <c r="AE677" s="232"/>
      <c r="AF677" s="232"/>
      <c r="AG677" s="232"/>
      <c r="AH677" s="232"/>
      <c r="AI677" s="232"/>
      <c r="AJ677" s="232"/>
      <c r="AK677" s="232"/>
      <c r="AL677" s="232"/>
      <c r="AM677" s="232"/>
      <c r="AN677" s="232"/>
      <c r="AO677" s="232"/>
      <c r="AP677" s="232"/>
      <c r="AQ677" s="232"/>
      <c r="AR677" s="232"/>
      <c r="AS677" s="232"/>
      <c r="AT677" s="232"/>
      <c r="AU677" s="232"/>
      <c r="AV677" s="232"/>
      <c r="AW677" s="232"/>
      <c r="AX677" s="232"/>
      <c r="AY677" s="232"/>
      <c r="AZ677" s="232"/>
      <c r="BA677" s="232"/>
      <c r="BB677" s="232"/>
      <c r="BC677" s="232"/>
      <c r="BD677" s="232"/>
      <c r="BE677" s="232"/>
      <c r="BF677" s="232"/>
      <c r="BG677" s="232"/>
      <c r="BH677" s="232"/>
      <c r="BI677" s="232"/>
      <c r="BJ677" s="232"/>
      <c r="BK677" s="232"/>
      <c r="BL677" s="232"/>
      <c r="BM677" s="232"/>
      <c r="BN677" s="232"/>
      <c r="BO677" s="232"/>
      <c r="BP677" s="232"/>
      <c r="BQ677" s="232"/>
      <c r="BR677" s="232"/>
      <c r="BS677" s="232"/>
      <c r="BT677" s="232"/>
      <c r="BU677" s="232"/>
      <c r="BV677" s="232"/>
      <c r="BW677" s="232"/>
      <c r="BX677" s="232"/>
      <c r="BY677" s="232"/>
      <c r="BZ677" s="232"/>
      <c r="CA677" s="232"/>
      <c r="CB677" s="232"/>
      <c r="CC677" s="232"/>
      <c r="CD677" s="232"/>
      <c r="CE677" s="232"/>
      <c r="CF677" s="232"/>
      <c r="CG677" s="232"/>
      <c r="CH677" s="232"/>
      <c r="CI677" s="232"/>
      <c r="CJ677" s="232"/>
      <c r="CK677" s="232"/>
      <c r="CL677" s="232"/>
      <c r="CM677" s="232"/>
      <c r="CN677" s="215"/>
      <c r="CO677" s="215"/>
      <c r="CP677" s="215"/>
      <c r="CQ677" s="215"/>
      <c r="CR677" s="215"/>
      <c r="CS677" s="215"/>
      <c r="CT677" s="215"/>
    </row>
    <row r="678" ht="24.0" customHeight="1">
      <c r="A678" s="287"/>
      <c r="B678" s="287"/>
      <c r="C678" s="287"/>
      <c r="D678" s="232"/>
      <c r="E678" s="232"/>
      <c r="F678" s="232"/>
      <c r="G678" s="232"/>
      <c r="H678" s="232"/>
      <c r="I678" s="232"/>
      <c r="J678" s="232"/>
      <c r="K678" s="232"/>
      <c r="L678" s="232"/>
      <c r="M678" s="232"/>
      <c r="N678" s="289"/>
      <c r="O678" s="232"/>
      <c r="P678" s="232"/>
      <c r="Q678" s="232"/>
      <c r="R678" s="232"/>
      <c r="S678" s="232"/>
      <c r="T678" s="232"/>
      <c r="U678" s="232"/>
      <c r="V678" s="232"/>
      <c r="W678" s="232"/>
      <c r="X678" s="232"/>
      <c r="Y678" s="232"/>
      <c r="Z678" s="232"/>
      <c r="AA678" s="232"/>
      <c r="AB678" s="232"/>
      <c r="AC678" s="232"/>
      <c r="AD678" s="232"/>
      <c r="AE678" s="232"/>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c r="BL678" s="232"/>
      <c r="BM678" s="232"/>
      <c r="BN678" s="232"/>
      <c r="BO678" s="232"/>
      <c r="BP678" s="232"/>
      <c r="BQ678" s="232"/>
      <c r="BR678" s="232"/>
      <c r="BS678" s="232"/>
      <c r="BT678" s="232"/>
      <c r="BU678" s="232"/>
      <c r="BV678" s="232"/>
      <c r="BW678" s="232"/>
      <c r="BX678" s="232"/>
      <c r="BY678" s="232"/>
      <c r="BZ678" s="232"/>
      <c r="CA678" s="232"/>
      <c r="CB678" s="232"/>
      <c r="CC678" s="232"/>
      <c r="CD678" s="232"/>
      <c r="CE678" s="232"/>
      <c r="CF678" s="232"/>
      <c r="CG678" s="232"/>
      <c r="CH678" s="232"/>
      <c r="CI678" s="232"/>
      <c r="CJ678" s="232"/>
      <c r="CK678" s="232"/>
      <c r="CL678" s="232"/>
      <c r="CM678" s="232"/>
      <c r="CN678" s="215"/>
      <c r="CO678" s="215"/>
      <c r="CP678" s="215"/>
      <c r="CQ678" s="215"/>
      <c r="CR678" s="215"/>
      <c r="CS678" s="215"/>
      <c r="CT678" s="215"/>
    </row>
    <row r="679" ht="24.0" customHeight="1">
      <c r="A679" s="287"/>
      <c r="B679" s="287"/>
      <c r="C679" s="287"/>
      <c r="D679" s="232"/>
      <c r="E679" s="232"/>
      <c r="F679" s="232"/>
      <c r="G679" s="232"/>
      <c r="H679" s="232"/>
      <c r="I679" s="232"/>
      <c r="J679" s="232"/>
      <c r="K679" s="232"/>
      <c r="L679" s="232"/>
      <c r="M679" s="232"/>
      <c r="N679" s="289"/>
      <c r="O679" s="232"/>
      <c r="P679" s="232"/>
      <c r="Q679" s="232"/>
      <c r="R679" s="232"/>
      <c r="S679" s="232"/>
      <c r="T679" s="232"/>
      <c r="U679" s="232"/>
      <c r="V679" s="232"/>
      <c r="W679" s="232"/>
      <c r="X679" s="232"/>
      <c r="Y679" s="232"/>
      <c r="Z679" s="232"/>
      <c r="AA679" s="232"/>
      <c r="AB679" s="232"/>
      <c r="AC679" s="232"/>
      <c r="AD679" s="232"/>
      <c r="AE679" s="232"/>
      <c r="AF679" s="232"/>
      <c r="AG679" s="232"/>
      <c r="AH679" s="232"/>
      <c r="AI679" s="232"/>
      <c r="AJ679" s="232"/>
      <c r="AK679" s="232"/>
      <c r="AL679" s="232"/>
      <c r="AM679" s="232"/>
      <c r="AN679" s="232"/>
      <c r="AO679" s="232"/>
      <c r="AP679" s="232"/>
      <c r="AQ679" s="232"/>
      <c r="AR679" s="232"/>
      <c r="AS679" s="232"/>
      <c r="AT679" s="232"/>
      <c r="AU679" s="232"/>
      <c r="AV679" s="232"/>
      <c r="AW679" s="232"/>
      <c r="AX679" s="232"/>
      <c r="AY679" s="232"/>
      <c r="AZ679" s="232"/>
      <c r="BA679" s="232"/>
      <c r="BB679" s="232"/>
      <c r="BC679" s="232"/>
      <c r="BD679" s="232"/>
      <c r="BE679" s="232"/>
      <c r="BF679" s="232"/>
      <c r="BG679" s="232"/>
      <c r="BH679" s="232"/>
      <c r="BI679" s="232"/>
      <c r="BJ679" s="232"/>
      <c r="BK679" s="232"/>
      <c r="BL679" s="232"/>
      <c r="BM679" s="232"/>
      <c r="BN679" s="232"/>
      <c r="BO679" s="232"/>
      <c r="BP679" s="232"/>
      <c r="BQ679" s="232"/>
      <c r="BR679" s="232"/>
      <c r="BS679" s="232"/>
      <c r="BT679" s="232"/>
      <c r="BU679" s="232"/>
      <c r="BV679" s="232"/>
      <c r="BW679" s="232"/>
      <c r="BX679" s="232"/>
      <c r="BY679" s="232"/>
      <c r="BZ679" s="232"/>
      <c r="CA679" s="232"/>
      <c r="CB679" s="232"/>
      <c r="CC679" s="232"/>
      <c r="CD679" s="232"/>
      <c r="CE679" s="232"/>
      <c r="CF679" s="232"/>
      <c r="CG679" s="232"/>
      <c r="CH679" s="232"/>
      <c r="CI679" s="232"/>
      <c r="CJ679" s="232"/>
      <c r="CK679" s="232"/>
      <c r="CL679" s="232"/>
      <c r="CM679" s="232"/>
      <c r="CN679" s="215"/>
      <c r="CO679" s="215"/>
      <c r="CP679" s="215"/>
      <c r="CQ679" s="215"/>
      <c r="CR679" s="215"/>
      <c r="CS679" s="215"/>
      <c r="CT679" s="215"/>
    </row>
    <row r="680" ht="24.0" customHeight="1">
      <c r="A680" s="287"/>
      <c r="B680" s="287"/>
      <c r="C680" s="287"/>
      <c r="D680" s="232"/>
      <c r="E680" s="232"/>
      <c r="F680" s="232"/>
      <c r="G680" s="232"/>
      <c r="H680" s="232"/>
      <c r="I680" s="232"/>
      <c r="J680" s="232"/>
      <c r="K680" s="232"/>
      <c r="L680" s="232"/>
      <c r="M680" s="232"/>
      <c r="N680" s="289"/>
      <c r="O680" s="232"/>
      <c r="P680" s="232"/>
      <c r="Q680" s="232"/>
      <c r="R680" s="232"/>
      <c r="S680" s="232"/>
      <c r="T680" s="232"/>
      <c r="U680" s="232"/>
      <c r="V680" s="232"/>
      <c r="W680" s="232"/>
      <c r="X680" s="232"/>
      <c r="Y680" s="232"/>
      <c r="Z680" s="232"/>
      <c r="AA680" s="232"/>
      <c r="AB680" s="232"/>
      <c r="AC680" s="232"/>
      <c r="AD680" s="232"/>
      <c r="AE680" s="232"/>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c r="BL680" s="232"/>
      <c r="BM680" s="232"/>
      <c r="BN680" s="232"/>
      <c r="BO680" s="232"/>
      <c r="BP680" s="232"/>
      <c r="BQ680" s="232"/>
      <c r="BR680" s="232"/>
      <c r="BS680" s="232"/>
      <c r="BT680" s="232"/>
      <c r="BU680" s="232"/>
      <c r="BV680" s="232"/>
      <c r="BW680" s="232"/>
      <c r="BX680" s="232"/>
      <c r="BY680" s="232"/>
      <c r="BZ680" s="232"/>
      <c r="CA680" s="232"/>
      <c r="CB680" s="232"/>
      <c r="CC680" s="232"/>
      <c r="CD680" s="232"/>
      <c r="CE680" s="232"/>
      <c r="CF680" s="232"/>
      <c r="CG680" s="232"/>
      <c r="CH680" s="232"/>
      <c r="CI680" s="232"/>
      <c r="CJ680" s="232"/>
      <c r="CK680" s="232"/>
      <c r="CL680" s="232"/>
      <c r="CM680" s="232"/>
      <c r="CN680" s="215"/>
      <c r="CO680" s="215"/>
      <c r="CP680" s="215"/>
      <c r="CQ680" s="215"/>
      <c r="CR680" s="215"/>
      <c r="CS680" s="215"/>
      <c r="CT680" s="215"/>
    </row>
    <row r="681" ht="24.0" customHeight="1">
      <c r="A681" s="287"/>
      <c r="B681" s="287"/>
      <c r="C681" s="287"/>
      <c r="D681" s="232"/>
      <c r="E681" s="232"/>
      <c r="F681" s="232"/>
      <c r="G681" s="232"/>
      <c r="H681" s="232"/>
      <c r="I681" s="232"/>
      <c r="J681" s="232"/>
      <c r="K681" s="232"/>
      <c r="L681" s="232"/>
      <c r="M681" s="232"/>
      <c r="N681" s="289"/>
      <c r="O681" s="232"/>
      <c r="P681" s="232"/>
      <c r="Q681" s="232"/>
      <c r="R681" s="232"/>
      <c r="S681" s="232"/>
      <c r="T681" s="232"/>
      <c r="U681" s="232"/>
      <c r="V681" s="232"/>
      <c r="W681" s="232"/>
      <c r="X681" s="232"/>
      <c r="Y681" s="232"/>
      <c r="Z681" s="232"/>
      <c r="AA681" s="232"/>
      <c r="AB681" s="232"/>
      <c r="AC681" s="232"/>
      <c r="AD681" s="232"/>
      <c r="AE681" s="232"/>
      <c r="AF681" s="232"/>
      <c r="AG681" s="232"/>
      <c r="AH681" s="232"/>
      <c r="AI681" s="232"/>
      <c r="AJ681" s="232"/>
      <c r="AK681" s="232"/>
      <c r="AL681" s="232"/>
      <c r="AM681" s="232"/>
      <c r="AN681" s="232"/>
      <c r="AO681" s="232"/>
      <c r="AP681" s="232"/>
      <c r="AQ681" s="232"/>
      <c r="AR681" s="232"/>
      <c r="AS681" s="232"/>
      <c r="AT681" s="232"/>
      <c r="AU681" s="232"/>
      <c r="AV681" s="232"/>
      <c r="AW681" s="232"/>
      <c r="AX681" s="232"/>
      <c r="AY681" s="232"/>
      <c r="AZ681" s="232"/>
      <c r="BA681" s="232"/>
      <c r="BB681" s="232"/>
      <c r="BC681" s="232"/>
      <c r="BD681" s="232"/>
      <c r="BE681" s="232"/>
      <c r="BF681" s="232"/>
      <c r="BG681" s="232"/>
      <c r="BH681" s="232"/>
      <c r="BI681" s="232"/>
      <c r="BJ681" s="232"/>
      <c r="BK681" s="232"/>
      <c r="BL681" s="232"/>
      <c r="BM681" s="232"/>
      <c r="BN681" s="232"/>
      <c r="BO681" s="232"/>
      <c r="BP681" s="232"/>
      <c r="BQ681" s="232"/>
      <c r="BR681" s="232"/>
      <c r="BS681" s="232"/>
      <c r="BT681" s="232"/>
      <c r="BU681" s="232"/>
      <c r="BV681" s="232"/>
      <c r="BW681" s="232"/>
      <c r="BX681" s="232"/>
      <c r="BY681" s="232"/>
      <c r="BZ681" s="232"/>
      <c r="CA681" s="232"/>
      <c r="CB681" s="232"/>
      <c r="CC681" s="232"/>
      <c r="CD681" s="232"/>
      <c r="CE681" s="232"/>
      <c r="CF681" s="232"/>
      <c r="CG681" s="232"/>
      <c r="CH681" s="232"/>
      <c r="CI681" s="232"/>
      <c r="CJ681" s="232"/>
      <c r="CK681" s="232"/>
      <c r="CL681" s="232"/>
      <c r="CM681" s="232"/>
      <c r="CN681" s="215"/>
      <c r="CO681" s="215"/>
      <c r="CP681" s="215"/>
      <c r="CQ681" s="215"/>
      <c r="CR681" s="215"/>
      <c r="CS681" s="215"/>
      <c r="CT681" s="215"/>
    </row>
    <row r="682" ht="24.0" customHeight="1">
      <c r="A682" s="287"/>
      <c r="B682" s="287"/>
      <c r="C682" s="287"/>
      <c r="D682" s="232"/>
      <c r="E682" s="232"/>
      <c r="F682" s="232"/>
      <c r="G682" s="232"/>
      <c r="H682" s="232"/>
      <c r="I682" s="232"/>
      <c r="J682" s="232"/>
      <c r="K682" s="232"/>
      <c r="L682" s="232"/>
      <c r="M682" s="232"/>
      <c r="N682" s="289"/>
      <c r="O682" s="232"/>
      <c r="P682" s="232"/>
      <c r="Q682" s="232"/>
      <c r="R682" s="232"/>
      <c r="S682" s="232"/>
      <c r="T682" s="232"/>
      <c r="U682" s="232"/>
      <c r="V682" s="232"/>
      <c r="W682" s="232"/>
      <c r="X682" s="232"/>
      <c r="Y682" s="232"/>
      <c r="Z682" s="232"/>
      <c r="AA682" s="232"/>
      <c r="AB682" s="232"/>
      <c r="AC682" s="232"/>
      <c r="AD682" s="232"/>
      <c r="AE682" s="232"/>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c r="BL682" s="232"/>
      <c r="BM682" s="232"/>
      <c r="BN682" s="232"/>
      <c r="BO682" s="232"/>
      <c r="BP682" s="232"/>
      <c r="BQ682" s="232"/>
      <c r="BR682" s="232"/>
      <c r="BS682" s="232"/>
      <c r="BT682" s="232"/>
      <c r="BU682" s="232"/>
      <c r="BV682" s="232"/>
      <c r="BW682" s="232"/>
      <c r="BX682" s="232"/>
      <c r="BY682" s="232"/>
      <c r="BZ682" s="232"/>
      <c r="CA682" s="232"/>
      <c r="CB682" s="232"/>
      <c r="CC682" s="232"/>
      <c r="CD682" s="232"/>
      <c r="CE682" s="232"/>
      <c r="CF682" s="232"/>
      <c r="CG682" s="232"/>
      <c r="CH682" s="232"/>
      <c r="CI682" s="232"/>
      <c r="CJ682" s="232"/>
      <c r="CK682" s="232"/>
      <c r="CL682" s="232"/>
      <c r="CM682" s="232"/>
      <c r="CN682" s="215"/>
      <c r="CO682" s="215"/>
      <c r="CP682" s="215"/>
      <c r="CQ682" s="215"/>
      <c r="CR682" s="215"/>
      <c r="CS682" s="215"/>
      <c r="CT682" s="215"/>
    </row>
    <row r="683" ht="24.0" customHeight="1">
      <c r="A683" s="287"/>
      <c r="B683" s="287"/>
      <c r="C683" s="287"/>
      <c r="D683" s="232"/>
      <c r="E683" s="232"/>
      <c r="F683" s="232"/>
      <c r="G683" s="232"/>
      <c r="H683" s="232"/>
      <c r="I683" s="232"/>
      <c r="J683" s="232"/>
      <c r="K683" s="232"/>
      <c r="L683" s="232"/>
      <c r="M683" s="232"/>
      <c r="N683" s="289"/>
      <c r="O683" s="232"/>
      <c r="P683" s="232"/>
      <c r="Q683" s="232"/>
      <c r="R683" s="232"/>
      <c r="S683" s="232"/>
      <c r="T683" s="232"/>
      <c r="U683" s="232"/>
      <c r="V683" s="232"/>
      <c r="W683" s="232"/>
      <c r="X683" s="232"/>
      <c r="Y683" s="232"/>
      <c r="Z683" s="232"/>
      <c r="AA683" s="232"/>
      <c r="AB683" s="232"/>
      <c r="AC683" s="232"/>
      <c r="AD683" s="232"/>
      <c r="AE683" s="232"/>
      <c r="AF683" s="232"/>
      <c r="AG683" s="232"/>
      <c r="AH683" s="232"/>
      <c r="AI683" s="232"/>
      <c r="AJ683" s="232"/>
      <c r="AK683" s="232"/>
      <c r="AL683" s="232"/>
      <c r="AM683" s="232"/>
      <c r="AN683" s="232"/>
      <c r="AO683" s="232"/>
      <c r="AP683" s="232"/>
      <c r="AQ683" s="232"/>
      <c r="AR683" s="232"/>
      <c r="AS683" s="232"/>
      <c r="AT683" s="232"/>
      <c r="AU683" s="232"/>
      <c r="AV683" s="232"/>
      <c r="AW683" s="232"/>
      <c r="AX683" s="232"/>
      <c r="AY683" s="232"/>
      <c r="AZ683" s="232"/>
      <c r="BA683" s="232"/>
      <c r="BB683" s="232"/>
      <c r="BC683" s="232"/>
      <c r="BD683" s="232"/>
      <c r="BE683" s="232"/>
      <c r="BF683" s="232"/>
      <c r="BG683" s="232"/>
      <c r="BH683" s="232"/>
      <c r="BI683" s="232"/>
      <c r="BJ683" s="232"/>
      <c r="BK683" s="232"/>
      <c r="BL683" s="232"/>
      <c r="BM683" s="232"/>
      <c r="BN683" s="232"/>
      <c r="BO683" s="232"/>
      <c r="BP683" s="232"/>
      <c r="BQ683" s="232"/>
      <c r="BR683" s="232"/>
      <c r="BS683" s="232"/>
      <c r="BT683" s="232"/>
      <c r="BU683" s="232"/>
      <c r="BV683" s="232"/>
      <c r="BW683" s="232"/>
      <c r="BX683" s="232"/>
      <c r="BY683" s="232"/>
      <c r="BZ683" s="232"/>
      <c r="CA683" s="232"/>
      <c r="CB683" s="232"/>
      <c r="CC683" s="232"/>
      <c r="CD683" s="232"/>
      <c r="CE683" s="232"/>
      <c r="CF683" s="232"/>
      <c r="CG683" s="232"/>
      <c r="CH683" s="232"/>
      <c r="CI683" s="232"/>
      <c r="CJ683" s="232"/>
      <c r="CK683" s="232"/>
      <c r="CL683" s="232"/>
      <c r="CM683" s="232"/>
      <c r="CN683" s="215"/>
      <c r="CO683" s="215"/>
      <c r="CP683" s="215"/>
      <c r="CQ683" s="215"/>
      <c r="CR683" s="215"/>
      <c r="CS683" s="215"/>
      <c r="CT683" s="215"/>
    </row>
    <row r="684" ht="24.0" customHeight="1">
      <c r="A684" s="287"/>
      <c r="B684" s="287"/>
      <c r="C684" s="287"/>
      <c r="D684" s="232"/>
      <c r="E684" s="232"/>
      <c r="F684" s="232"/>
      <c r="G684" s="232"/>
      <c r="H684" s="232"/>
      <c r="I684" s="232"/>
      <c r="J684" s="232"/>
      <c r="K684" s="232"/>
      <c r="L684" s="232"/>
      <c r="M684" s="232"/>
      <c r="N684" s="289"/>
      <c r="O684" s="232"/>
      <c r="P684" s="232"/>
      <c r="Q684" s="232"/>
      <c r="R684" s="232"/>
      <c r="S684" s="232"/>
      <c r="T684" s="232"/>
      <c r="U684" s="232"/>
      <c r="V684" s="232"/>
      <c r="W684" s="232"/>
      <c r="X684" s="232"/>
      <c r="Y684" s="232"/>
      <c r="Z684" s="232"/>
      <c r="AA684" s="232"/>
      <c r="AB684" s="232"/>
      <c r="AC684" s="232"/>
      <c r="AD684" s="232"/>
      <c r="AE684" s="232"/>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c r="BL684" s="232"/>
      <c r="BM684" s="232"/>
      <c r="BN684" s="232"/>
      <c r="BO684" s="232"/>
      <c r="BP684" s="232"/>
      <c r="BQ684" s="232"/>
      <c r="BR684" s="232"/>
      <c r="BS684" s="232"/>
      <c r="BT684" s="232"/>
      <c r="BU684" s="232"/>
      <c r="BV684" s="232"/>
      <c r="BW684" s="232"/>
      <c r="BX684" s="232"/>
      <c r="BY684" s="232"/>
      <c r="BZ684" s="232"/>
      <c r="CA684" s="232"/>
      <c r="CB684" s="232"/>
      <c r="CC684" s="232"/>
      <c r="CD684" s="232"/>
      <c r="CE684" s="232"/>
      <c r="CF684" s="232"/>
      <c r="CG684" s="232"/>
      <c r="CH684" s="232"/>
      <c r="CI684" s="232"/>
      <c r="CJ684" s="232"/>
      <c r="CK684" s="232"/>
      <c r="CL684" s="232"/>
      <c r="CM684" s="232"/>
      <c r="CN684" s="215"/>
      <c r="CO684" s="215"/>
      <c r="CP684" s="215"/>
      <c r="CQ684" s="215"/>
      <c r="CR684" s="215"/>
      <c r="CS684" s="215"/>
      <c r="CT684" s="215"/>
    </row>
    <row r="685" ht="24.0" customHeight="1">
      <c r="A685" s="287"/>
      <c r="B685" s="287"/>
      <c r="C685" s="287"/>
      <c r="D685" s="232"/>
      <c r="E685" s="232"/>
      <c r="F685" s="232"/>
      <c r="G685" s="232"/>
      <c r="H685" s="232"/>
      <c r="I685" s="232"/>
      <c r="J685" s="232"/>
      <c r="K685" s="232"/>
      <c r="L685" s="232"/>
      <c r="M685" s="232"/>
      <c r="N685" s="289"/>
      <c r="O685" s="232"/>
      <c r="P685" s="232"/>
      <c r="Q685" s="232"/>
      <c r="R685" s="232"/>
      <c r="S685" s="232"/>
      <c r="T685" s="232"/>
      <c r="U685" s="232"/>
      <c r="V685" s="232"/>
      <c r="W685" s="232"/>
      <c r="X685" s="232"/>
      <c r="Y685" s="232"/>
      <c r="Z685" s="232"/>
      <c r="AA685" s="232"/>
      <c r="AB685" s="232"/>
      <c r="AC685" s="232"/>
      <c r="AD685" s="232"/>
      <c r="AE685" s="232"/>
      <c r="AF685" s="232"/>
      <c r="AG685" s="232"/>
      <c r="AH685" s="232"/>
      <c r="AI685" s="232"/>
      <c r="AJ685" s="232"/>
      <c r="AK685" s="232"/>
      <c r="AL685" s="232"/>
      <c r="AM685" s="232"/>
      <c r="AN685" s="232"/>
      <c r="AO685" s="232"/>
      <c r="AP685" s="232"/>
      <c r="AQ685" s="232"/>
      <c r="AR685" s="232"/>
      <c r="AS685" s="232"/>
      <c r="AT685" s="232"/>
      <c r="AU685" s="232"/>
      <c r="AV685" s="232"/>
      <c r="AW685" s="232"/>
      <c r="AX685" s="232"/>
      <c r="AY685" s="232"/>
      <c r="AZ685" s="232"/>
      <c r="BA685" s="232"/>
      <c r="BB685" s="232"/>
      <c r="BC685" s="232"/>
      <c r="BD685" s="232"/>
      <c r="BE685" s="232"/>
      <c r="BF685" s="232"/>
      <c r="BG685" s="232"/>
      <c r="BH685" s="232"/>
      <c r="BI685" s="232"/>
      <c r="BJ685" s="232"/>
      <c r="BK685" s="232"/>
      <c r="BL685" s="232"/>
      <c r="BM685" s="232"/>
      <c r="BN685" s="232"/>
      <c r="BO685" s="232"/>
      <c r="BP685" s="232"/>
      <c r="BQ685" s="232"/>
      <c r="BR685" s="232"/>
      <c r="BS685" s="232"/>
      <c r="BT685" s="232"/>
      <c r="BU685" s="232"/>
      <c r="BV685" s="232"/>
      <c r="BW685" s="232"/>
      <c r="BX685" s="232"/>
      <c r="BY685" s="232"/>
      <c r="BZ685" s="232"/>
      <c r="CA685" s="232"/>
      <c r="CB685" s="232"/>
      <c r="CC685" s="232"/>
      <c r="CD685" s="232"/>
      <c r="CE685" s="232"/>
      <c r="CF685" s="232"/>
      <c r="CG685" s="232"/>
      <c r="CH685" s="232"/>
      <c r="CI685" s="232"/>
      <c r="CJ685" s="232"/>
      <c r="CK685" s="232"/>
      <c r="CL685" s="232"/>
      <c r="CM685" s="232"/>
      <c r="CN685" s="215"/>
      <c r="CO685" s="215"/>
      <c r="CP685" s="215"/>
      <c r="CQ685" s="215"/>
      <c r="CR685" s="215"/>
      <c r="CS685" s="215"/>
      <c r="CT685" s="215"/>
    </row>
    <row r="686" ht="24.0" customHeight="1">
      <c r="A686" s="287"/>
      <c r="B686" s="287"/>
      <c r="C686" s="287"/>
      <c r="D686" s="232"/>
      <c r="E686" s="232"/>
      <c r="F686" s="232"/>
      <c r="G686" s="232"/>
      <c r="H686" s="232"/>
      <c r="I686" s="232"/>
      <c r="J686" s="232"/>
      <c r="K686" s="232"/>
      <c r="L686" s="232"/>
      <c r="M686" s="232"/>
      <c r="N686" s="289"/>
      <c r="O686" s="232"/>
      <c r="P686" s="232"/>
      <c r="Q686" s="232"/>
      <c r="R686" s="232"/>
      <c r="S686" s="232"/>
      <c r="T686" s="232"/>
      <c r="U686" s="232"/>
      <c r="V686" s="232"/>
      <c r="W686" s="232"/>
      <c r="X686" s="232"/>
      <c r="Y686" s="232"/>
      <c r="Z686" s="232"/>
      <c r="AA686" s="232"/>
      <c r="AB686" s="232"/>
      <c r="AC686" s="232"/>
      <c r="AD686" s="232"/>
      <c r="AE686" s="232"/>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c r="BL686" s="232"/>
      <c r="BM686" s="232"/>
      <c r="BN686" s="232"/>
      <c r="BO686" s="232"/>
      <c r="BP686" s="232"/>
      <c r="BQ686" s="232"/>
      <c r="BR686" s="232"/>
      <c r="BS686" s="232"/>
      <c r="BT686" s="232"/>
      <c r="BU686" s="232"/>
      <c r="BV686" s="232"/>
      <c r="BW686" s="232"/>
      <c r="BX686" s="232"/>
      <c r="BY686" s="232"/>
      <c r="BZ686" s="232"/>
      <c r="CA686" s="232"/>
      <c r="CB686" s="232"/>
      <c r="CC686" s="232"/>
      <c r="CD686" s="232"/>
      <c r="CE686" s="232"/>
      <c r="CF686" s="232"/>
      <c r="CG686" s="232"/>
      <c r="CH686" s="232"/>
      <c r="CI686" s="232"/>
      <c r="CJ686" s="232"/>
      <c r="CK686" s="232"/>
      <c r="CL686" s="232"/>
      <c r="CM686" s="232"/>
      <c r="CN686" s="215"/>
      <c r="CO686" s="215"/>
      <c r="CP686" s="215"/>
      <c r="CQ686" s="215"/>
      <c r="CR686" s="215"/>
      <c r="CS686" s="215"/>
      <c r="CT686" s="215"/>
    </row>
    <row r="687" ht="24.0" customHeight="1">
      <c r="A687" s="287"/>
      <c r="B687" s="287"/>
      <c r="C687" s="287"/>
      <c r="D687" s="232"/>
      <c r="E687" s="232"/>
      <c r="F687" s="232"/>
      <c r="G687" s="232"/>
      <c r="H687" s="232"/>
      <c r="I687" s="232"/>
      <c r="J687" s="232"/>
      <c r="K687" s="232"/>
      <c r="L687" s="232"/>
      <c r="M687" s="232"/>
      <c r="N687" s="289"/>
      <c r="O687" s="232"/>
      <c r="P687" s="232"/>
      <c r="Q687" s="232"/>
      <c r="R687" s="232"/>
      <c r="S687" s="232"/>
      <c r="T687" s="232"/>
      <c r="U687" s="232"/>
      <c r="V687" s="232"/>
      <c r="W687" s="232"/>
      <c r="X687" s="232"/>
      <c r="Y687" s="232"/>
      <c r="Z687" s="232"/>
      <c r="AA687" s="232"/>
      <c r="AB687" s="232"/>
      <c r="AC687" s="232"/>
      <c r="AD687" s="232"/>
      <c r="AE687" s="232"/>
      <c r="AF687" s="232"/>
      <c r="AG687" s="232"/>
      <c r="AH687" s="232"/>
      <c r="AI687" s="232"/>
      <c r="AJ687" s="232"/>
      <c r="AK687" s="232"/>
      <c r="AL687" s="232"/>
      <c r="AM687" s="232"/>
      <c r="AN687" s="232"/>
      <c r="AO687" s="232"/>
      <c r="AP687" s="232"/>
      <c r="AQ687" s="232"/>
      <c r="AR687" s="232"/>
      <c r="AS687" s="232"/>
      <c r="AT687" s="232"/>
      <c r="AU687" s="232"/>
      <c r="AV687" s="232"/>
      <c r="AW687" s="232"/>
      <c r="AX687" s="232"/>
      <c r="AY687" s="232"/>
      <c r="AZ687" s="232"/>
      <c r="BA687" s="232"/>
      <c r="BB687" s="232"/>
      <c r="BC687" s="232"/>
      <c r="BD687" s="232"/>
      <c r="BE687" s="232"/>
      <c r="BF687" s="232"/>
      <c r="BG687" s="232"/>
      <c r="BH687" s="232"/>
      <c r="BI687" s="232"/>
      <c r="BJ687" s="232"/>
      <c r="BK687" s="232"/>
      <c r="BL687" s="232"/>
      <c r="BM687" s="232"/>
      <c r="BN687" s="232"/>
      <c r="BO687" s="232"/>
      <c r="BP687" s="232"/>
      <c r="BQ687" s="232"/>
      <c r="BR687" s="232"/>
      <c r="BS687" s="232"/>
      <c r="BT687" s="232"/>
      <c r="BU687" s="232"/>
      <c r="BV687" s="232"/>
      <c r="BW687" s="232"/>
      <c r="BX687" s="232"/>
      <c r="BY687" s="232"/>
      <c r="BZ687" s="232"/>
      <c r="CA687" s="232"/>
      <c r="CB687" s="232"/>
      <c r="CC687" s="232"/>
      <c r="CD687" s="232"/>
      <c r="CE687" s="232"/>
      <c r="CF687" s="232"/>
      <c r="CG687" s="232"/>
      <c r="CH687" s="232"/>
      <c r="CI687" s="232"/>
      <c r="CJ687" s="232"/>
      <c r="CK687" s="232"/>
      <c r="CL687" s="232"/>
      <c r="CM687" s="232"/>
      <c r="CN687" s="215"/>
      <c r="CO687" s="215"/>
      <c r="CP687" s="215"/>
      <c r="CQ687" s="215"/>
      <c r="CR687" s="215"/>
      <c r="CS687" s="215"/>
      <c r="CT687" s="215"/>
    </row>
    <row r="688" ht="24.0" customHeight="1">
      <c r="A688" s="287"/>
      <c r="B688" s="287"/>
      <c r="C688" s="287"/>
      <c r="D688" s="232"/>
      <c r="E688" s="232"/>
      <c r="F688" s="232"/>
      <c r="G688" s="232"/>
      <c r="H688" s="232"/>
      <c r="I688" s="232"/>
      <c r="J688" s="232"/>
      <c r="K688" s="232"/>
      <c r="L688" s="232"/>
      <c r="M688" s="232"/>
      <c r="N688" s="289"/>
      <c r="O688" s="232"/>
      <c r="P688" s="232"/>
      <c r="Q688" s="232"/>
      <c r="R688" s="232"/>
      <c r="S688" s="232"/>
      <c r="T688" s="232"/>
      <c r="U688" s="232"/>
      <c r="V688" s="232"/>
      <c r="W688" s="232"/>
      <c r="X688" s="232"/>
      <c r="Y688" s="232"/>
      <c r="Z688" s="232"/>
      <c r="AA688" s="232"/>
      <c r="AB688" s="232"/>
      <c r="AC688" s="232"/>
      <c r="AD688" s="232"/>
      <c r="AE688" s="232"/>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c r="BL688" s="232"/>
      <c r="BM688" s="232"/>
      <c r="BN688" s="232"/>
      <c r="BO688" s="232"/>
      <c r="BP688" s="232"/>
      <c r="BQ688" s="232"/>
      <c r="BR688" s="232"/>
      <c r="BS688" s="232"/>
      <c r="BT688" s="232"/>
      <c r="BU688" s="232"/>
      <c r="BV688" s="232"/>
      <c r="BW688" s="232"/>
      <c r="BX688" s="232"/>
      <c r="BY688" s="232"/>
      <c r="BZ688" s="232"/>
      <c r="CA688" s="232"/>
      <c r="CB688" s="232"/>
      <c r="CC688" s="232"/>
      <c r="CD688" s="232"/>
      <c r="CE688" s="232"/>
      <c r="CF688" s="232"/>
      <c r="CG688" s="232"/>
      <c r="CH688" s="232"/>
      <c r="CI688" s="232"/>
      <c r="CJ688" s="232"/>
      <c r="CK688" s="232"/>
      <c r="CL688" s="232"/>
      <c r="CM688" s="232"/>
      <c r="CN688" s="215"/>
      <c r="CO688" s="215"/>
      <c r="CP688" s="215"/>
      <c r="CQ688" s="215"/>
      <c r="CR688" s="215"/>
      <c r="CS688" s="215"/>
      <c r="CT688" s="215"/>
    </row>
    <row r="689" ht="24.0" customHeight="1">
      <c r="A689" s="287"/>
      <c r="B689" s="287"/>
      <c r="C689" s="287"/>
      <c r="D689" s="232"/>
      <c r="E689" s="232"/>
      <c r="F689" s="232"/>
      <c r="G689" s="232"/>
      <c r="H689" s="232"/>
      <c r="I689" s="232"/>
      <c r="J689" s="232"/>
      <c r="K689" s="232"/>
      <c r="L689" s="232"/>
      <c r="M689" s="232"/>
      <c r="N689" s="289"/>
      <c r="O689" s="232"/>
      <c r="P689" s="232"/>
      <c r="Q689" s="232"/>
      <c r="R689" s="232"/>
      <c r="S689" s="232"/>
      <c r="T689" s="232"/>
      <c r="U689" s="232"/>
      <c r="V689" s="232"/>
      <c r="W689" s="232"/>
      <c r="X689" s="232"/>
      <c r="Y689" s="232"/>
      <c r="Z689" s="232"/>
      <c r="AA689" s="232"/>
      <c r="AB689" s="232"/>
      <c r="AC689" s="232"/>
      <c r="AD689" s="232"/>
      <c r="AE689" s="232"/>
      <c r="AF689" s="232"/>
      <c r="AG689" s="232"/>
      <c r="AH689" s="232"/>
      <c r="AI689" s="232"/>
      <c r="AJ689" s="232"/>
      <c r="AK689" s="232"/>
      <c r="AL689" s="232"/>
      <c r="AM689" s="232"/>
      <c r="AN689" s="232"/>
      <c r="AO689" s="232"/>
      <c r="AP689" s="232"/>
      <c r="AQ689" s="232"/>
      <c r="AR689" s="232"/>
      <c r="AS689" s="232"/>
      <c r="AT689" s="232"/>
      <c r="AU689" s="232"/>
      <c r="AV689" s="232"/>
      <c r="AW689" s="232"/>
      <c r="AX689" s="232"/>
      <c r="AY689" s="232"/>
      <c r="AZ689" s="232"/>
      <c r="BA689" s="232"/>
      <c r="BB689" s="232"/>
      <c r="BC689" s="232"/>
      <c r="BD689" s="232"/>
      <c r="BE689" s="232"/>
      <c r="BF689" s="232"/>
      <c r="BG689" s="232"/>
      <c r="BH689" s="232"/>
      <c r="BI689" s="232"/>
      <c r="BJ689" s="232"/>
      <c r="BK689" s="232"/>
      <c r="BL689" s="232"/>
      <c r="BM689" s="232"/>
      <c r="BN689" s="232"/>
      <c r="BO689" s="232"/>
      <c r="BP689" s="232"/>
      <c r="BQ689" s="232"/>
      <c r="BR689" s="232"/>
      <c r="BS689" s="232"/>
      <c r="BT689" s="232"/>
      <c r="BU689" s="232"/>
      <c r="BV689" s="232"/>
      <c r="BW689" s="232"/>
      <c r="BX689" s="232"/>
      <c r="BY689" s="232"/>
      <c r="BZ689" s="232"/>
      <c r="CA689" s="232"/>
      <c r="CB689" s="232"/>
      <c r="CC689" s="232"/>
      <c r="CD689" s="232"/>
      <c r="CE689" s="232"/>
      <c r="CF689" s="232"/>
      <c r="CG689" s="232"/>
      <c r="CH689" s="232"/>
      <c r="CI689" s="232"/>
      <c r="CJ689" s="232"/>
      <c r="CK689" s="232"/>
      <c r="CL689" s="232"/>
      <c r="CM689" s="232"/>
      <c r="CN689" s="215"/>
      <c r="CO689" s="215"/>
      <c r="CP689" s="215"/>
      <c r="CQ689" s="215"/>
      <c r="CR689" s="215"/>
      <c r="CS689" s="215"/>
      <c r="CT689" s="215"/>
    </row>
    <row r="690" ht="24.0" customHeight="1">
      <c r="A690" s="287"/>
      <c r="B690" s="287"/>
      <c r="C690" s="287"/>
      <c r="D690" s="232"/>
      <c r="E690" s="232"/>
      <c r="F690" s="232"/>
      <c r="G690" s="232"/>
      <c r="H690" s="232"/>
      <c r="I690" s="232"/>
      <c r="J690" s="232"/>
      <c r="K690" s="232"/>
      <c r="L690" s="232"/>
      <c r="M690" s="232"/>
      <c r="N690" s="289"/>
      <c r="O690" s="232"/>
      <c r="P690" s="232"/>
      <c r="Q690" s="232"/>
      <c r="R690" s="232"/>
      <c r="S690" s="232"/>
      <c r="T690" s="232"/>
      <c r="U690" s="232"/>
      <c r="V690" s="232"/>
      <c r="W690" s="232"/>
      <c r="X690" s="232"/>
      <c r="Y690" s="232"/>
      <c r="Z690" s="232"/>
      <c r="AA690" s="232"/>
      <c r="AB690" s="232"/>
      <c r="AC690" s="232"/>
      <c r="AD690" s="232"/>
      <c r="AE690" s="232"/>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c r="BL690" s="232"/>
      <c r="BM690" s="232"/>
      <c r="BN690" s="232"/>
      <c r="BO690" s="232"/>
      <c r="BP690" s="232"/>
      <c r="BQ690" s="232"/>
      <c r="BR690" s="232"/>
      <c r="BS690" s="232"/>
      <c r="BT690" s="232"/>
      <c r="BU690" s="232"/>
      <c r="BV690" s="232"/>
      <c r="BW690" s="232"/>
      <c r="BX690" s="232"/>
      <c r="BY690" s="232"/>
      <c r="BZ690" s="232"/>
      <c r="CA690" s="232"/>
      <c r="CB690" s="232"/>
      <c r="CC690" s="232"/>
      <c r="CD690" s="232"/>
      <c r="CE690" s="232"/>
      <c r="CF690" s="232"/>
      <c r="CG690" s="232"/>
      <c r="CH690" s="232"/>
      <c r="CI690" s="232"/>
      <c r="CJ690" s="232"/>
      <c r="CK690" s="232"/>
      <c r="CL690" s="232"/>
      <c r="CM690" s="232"/>
      <c r="CN690" s="215"/>
      <c r="CO690" s="215"/>
      <c r="CP690" s="215"/>
      <c r="CQ690" s="215"/>
      <c r="CR690" s="215"/>
      <c r="CS690" s="215"/>
      <c r="CT690" s="215"/>
    </row>
    <row r="691" ht="24.0" customHeight="1">
      <c r="A691" s="287"/>
      <c r="B691" s="287"/>
      <c r="C691" s="287"/>
      <c r="D691" s="232"/>
      <c r="E691" s="232"/>
      <c r="F691" s="232"/>
      <c r="G691" s="232"/>
      <c r="H691" s="232"/>
      <c r="I691" s="232"/>
      <c r="J691" s="232"/>
      <c r="K691" s="232"/>
      <c r="L691" s="232"/>
      <c r="M691" s="232"/>
      <c r="N691" s="289"/>
      <c r="O691" s="232"/>
      <c r="P691" s="232"/>
      <c r="Q691" s="232"/>
      <c r="R691" s="232"/>
      <c r="S691" s="232"/>
      <c r="T691" s="232"/>
      <c r="U691" s="232"/>
      <c r="V691" s="232"/>
      <c r="W691" s="232"/>
      <c r="X691" s="232"/>
      <c r="Y691" s="232"/>
      <c r="Z691" s="232"/>
      <c r="AA691" s="232"/>
      <c r="AB691" s="232"/>
      <c r="AC691" s="232"/>
      <c r="AD691" s="232"/>
      <c r="AE691" s="232"/>
      <c r="AF691" s="232"/>
      <c r="AG691" s="232"/>
      <c r="AH691" s="232"/>
      <c r="AI691" s="232"/>
      <c r="AJ691" s="232"/>
      <c r="AK691" s="232"/>
      <c r="AL691" s="232"/>
      <c r="AM691" s="232"/>
      <c r="AN691" s="232"/>
      <c r="AO691" s="232"/>
      <c r="AP691" s="232"/>
      <c r="AQ691" s="232"/>
      <c r="AR691" s="232"/>
      <c r="AS691" s="232"/>
      <c r="AT691" s="232"/>
      <c r="AU691" s="232"/>
      <c r="AV691" s="232"/>
      <c r="AW691" s="232"/>
      <c r="AX691" s="232"/>
      <c r="AY691" s="232"/>
      <c r="AZ691" s="232"/>
      <c r="BA691" s="232"/>
      <c r="BB691" s="232"/>
      <c r="BC691" s="232"/>
      <c r="BD691" s="232"/>
      <c r="BE691" s="232"/>
      <c r="BF691" s="232"/>
      <c r="BG691" s="232"/>
      <c r="BH691" s="232"/>
      <c r="BI691" s="232"/>
      <c r="BJ691" s="232"/>
      <c r="BK691" s="232"/>
      <c r="BL691" s="232"/>
      <c r="BM691" s="232"/>
      <c r="BN691" s="232"/>
      <c r="BO691" s="232"/>
      <c r="BP691" s="232"/>
      <c r="BQ691" s="232"/>
      <c r="BR691" s="232"/>
      <c r="BS691" s="232"/>
      <c r="BT691" s="232"/>
      <c r="BU691" s="232"/>
      <c r="BV691" s="232"/>
      <c r="BW691" s="232"/>
      <c r="BX691" s="232"/>
      <c r="BY691" s="232"/>
      <c r="BZ691" s="232"/>
      <c r="CA691" s="232"/>
      <c r="CB691" s="232"/>
      <c r="CC691" s="232"/>
      <c r="CD691" s="232"/>
      <c r="CE691" s="232"/>
      <c r="CF691" s="232"/>
      <c r="CG691" s="232"/>
      <c r="CH691" s="232"/>
      <c r="CI691" s="232"/>
      <c r="CJ691" s="232"/>
      <c r="CK691" s="232"/>
      <c r="CL691" s="232"/>
      <c r="CM691" s="232"/>
      <c r="CN691" s="215"/>
      <c r="CO691" s="215"/>
      <c r="CP691" s="215"/>
      <c r="CQ691" s="215"/>
      <c r="CR691" s="215"/>
      <c r="CS691" s="215"/>
      <c r="CT691" s="215"/>
    </row>
    <row r="692" ht="24.0" customHeight="1">
      <c r="A692" s="287"/>
      <c r="B692" s="287"/>
      <c r="C692" s="287"/>
      <c r="D692" s="232"/>
      <c r="E692" s="232"/>
      <c r="F692" s="232"/>
      <c r="G692" s="232"/>
      <c r="H692" s="232"/>
      <c r="I692" s="232"/>
      <c r="J692" s="232"/>
      <c r="K692" s="232"/>
      <c r="L692" s="232"/>
      <c r="M692" s="232"/>
      <c r="N692" s="289"/>
      <c r="O692" s="232"/>
      <c r="P692" s="232"/>
      <c r="Q692" s="232"/>
      <c r="R692" s="232"/>
      <c r="S692" s="232"/>
      <c r="T692" s="232"/>
      <c r="U692" s="232"/>
      <c r="V692" s="232"/>
      <c r="W692" s="232"/>
      <c r="X692" s="232"/>
      <c r="Y692" s="232"/>
      <c r="Z692" s="232"/>
      <c r="AA692" s="232"/>
      <c r="AB692" s="232"/>
      <c r="AC692" s="232"/>
      <c r="AD692" s="232"/>
      <c r="AE692" s="232"/>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c r="BL692" s="232"/>
      <c r="BM692" s="232"/>
      <c r="BN692" s="232"/>
      <c r="BO692" s="232"/>
      <c r="BP692" s="232"/>
      <c r="BQ692" s="232"/>
      <c r="BR692" s="232"/>
      <c r="BS692" s="232"/>
      <c r="BT692" s="232"/>
      <c r="BU692" s="232"/>
      <c r="BV692" s="232"/>
      <c r="BW692" s="232"/>
      <c r="BX692" s="232"/>
      <c r="BY692" s="232"/>
      <c r="BZ692" s="232"/>
      <c r="CA692" s="232"/>
      <c r="CB692" s="232"/>
      <c r="CC692" s="232"/>
      <c r="CD692" s="232"/>
      <c r="CE692" s="232"/>
      <c r="CF692" s="232"/>
      <c r="CG692" s="232"/>
      <c r="CH692" s="232"/>
      <c r="CI692" s="232"/>
      <c r="CJ692" s="232"/>
      <c r="CK692" s="232"/>
      <c r="CL692" s="232"/>
      <c r="CM692" s="232"/>
      <c r="CN692" s="215"/>
      <c r="CO692" s="215"/>
      <c r="CP692" s="215"/>
      <c r="CQ692" s="215"/>
      <c r="CR692" s="215"/>
      <c r="CS692" s="215"/>
      <c r="CT692" s="215"/>
    </row>
    <row r="693" ht="24.0" customHeight="1">
      <c r="A693" s="287"/>
      <c r="B693" s="287"/>
      <c r="C693" s="287"/>
      <c r="D693" s="232"/>
      <c r="E693" s="232"/>
      <c r="F693" s="232"/>
      <c r="G693" s="232"/>
      <c r="H693" s="232"/>
      <c r="I693" s="232"/>
      <c r="J693" s="232"/>
      <c r="K693" s="232"/>
      <c r="L693" s="232"/>
      <c r="M693" s="232"/>
      <c r="N693" s="289"/>
      <c r="O693" s="232"/>
      <c r="P693" s="232"/>
      <c r="Q693" s="232"/>
      <c r="R693" s="232"/>
      <c r="S693" s="232"/>
      <c r="T693" s="232"/>
      <c r="U693" s="232"/>
      <c r="V693" s="232"/>
      <c r="W693" s="232"/>
      <c r="X693" s="232"/>
      <c r="Y693" s="232"/>
      <c r="Z693" s="232"/>
      <c r="AA693" s="232"/>
      <c r="AB693" s="232"/>
      <c r="AC693" s="232"/>
      <c r="AD693" s="232"/>
      <c r="AE693" s="232"/>
      <c r="AF693" s="232"/>
      <c r="AG693" s="232"/>
      <c r="AH693" s="232"/>
      <c r="AI693" s="232"/>
      <c r="AJ693" s="232"/>
      <c r="AK693" s="232"/>
      <c r="AL693" s="232"/>
      <c r="AM693" s="232"/>
      <c r="AN693" s="232"/>
      <c r="AO693" s="232"/>
      <c r="AP693" s="232"/>
      <c r="AQ693" s="232"/>
      <c r="AR693" s="232"/>
      <c r="AS693" s="232"/>
      <c r="AT693" s="232"/>
      <c r="AU693" s="232"/>
      <c r="AV693" s="232"/>
      <c r="AW693" s="232"/>
      <c r="AX693" s="232"/>
      <c r="AY693" s="232"/>
      <c r="AZ693" s="232"/>
      <c r="BA693" s="232"/>
      <c r="BB693" s="232"/>
      <c r="BC693" s="232"/>
      <c r="BD693" s="232"/>
      <c r="BE693" s="232"/>
      <c r="BF693" s="232"/>
      <c r="BG693" s="232"/>
      <c r="BH693" s="232"/>
      <c r="BI693" s="232"/>
      <c r="BJ693" s="232"/>
      <c r="BK693" s="232"/>
      <c r="BL693" s="232"/>
      <c r="BM693" s="232"/>
      <c r="BN693" s="232"/>
      <c r="BO693" s="232"/>
      <c r="BP693" s="232"/>
      <c r="BQ693" s="232"/>
      <c r="BR693" s="232"/>
      <c r="BS693" s="232"/>
      <c r="BT693" s="232"/>
      <c r="BU693" s="232"/>
      <c r="BV693" s="232"/>
      <c r="BW693" s="232"/>
      <c r="BX693" s="232"/>
      <c r="BY693" s="232"/>
      <c r="BZ693" s="232"/>
      <c r="CA693" s="232"/>
      <c r="CB693" s="232"/>
      <c r="CC693" s="232"/>
      <c r="CD693" s="232"/>
      <c r="CE693" s="232"/>
      <c r="CF693" s="232"/>
      <c r="CG693" s="232"/>
      <c r="CH693" s="232"/>
      <c r="CI693" s="232"/>
      <c r="CJ693" s="232"/>
      <c r="CK693" s="232"/>
      <c r="CL693" s="232"/>
      <c r="CM693" s="232"/>
      <c r="CN693" s="215"/>
      <c r="CO693" s="215"/>
      <c r="CP693" s="215"/>
      <c r="CQ693" s="215"/>
      <c r="CR693" s="215"/>
      <c r="CS693" s="215"/>
      <c r="CT693" s="215"/>
    </row>
    <row r="694" ht="24.0" customHeight="1">
      <c r="A694" s="287"/>
      <c r="B694" s="287"/>
      <c r="C694" s="287"/>
      <c r="D694" s="232"/>
      <c r="E694" s="232"/>
      <c r="F694" s="232"/>
      <c r="G694" s="232"/>
      <c r="H694" s="232"/>
      <c r="I694" s="232"/>
      <c r="J694" s="232"/>
      <c r="K694" s="232"/>
      <c r="L694" s="232"/>
      <c r="M694" s="232"/>
      <c r="N694" s="289"/>
      <c r="O694" s="232"/>
      <c r="P694" s="232"/>
      <c r="Q694" s="232"/>
      <c r="R694" s="232"/>
      <c r="S694" s="232"/>
      <c r="T694" s="232"/>
      <c r="U694" s="232"/>
      <c r="V694" s="232"/>
      <c r="W694" s="232"/>
      <c r="X694" s="232"/>
      <c r="Y694" s="232"/>
      <c r="Z694" s="232"/>
      <c r="AA694" s="232"/>
      <c r="AB694" s="232"/>
      <c r="AC694" s="232"/>
      <c r="AD694" s="232"/>
      <c r="AE694" s="232"/>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c r="BL694" s="232"/>
      <c r="BM694" s="232"/>
      <c r="BN694" s="232"/>
      <c r="BO694" s="232"/>
      <c r="BP694" s="232"/>
      <c r="BQ694" s="232"/>
      <c r="BR694" s="232"/>
      <c r="BS694" s="232"/>
      <c r="BT694" s="232"/>
      <c r="BU694" s="232"/>
      <c r="BV694" s="232"/>
      <c r="BW694" s="232"/>
      <c r="BX694" s="232"/>
      <c r="BY694" s="232"/>
      <c r="BZ694" s="232"/>
      <c r="CA694" s="232"/>
      <c r="CB694" s="232"/>
      <c r="CC694" s="232"/>
      <c r="CD694" s="232"/>
      <c r="CE694" s="232"/>
      <c r="CF694" s="232"/>
      <c r="CG694" s="232"/>
      <c r="CH694" s="232"/>
      <c r="CI694" s="232"/>
      <c r="CJ694" s="232"/>
      <c r="CK694" s="232"/>
      <c r="CL694" s="232"/>
      <c r="CM694" s="232"/>
      <c r="CN694" s="215"/>
      <c r="CO694" s="215"/>
      <c r="CP694" s="215"/>
      <c r="CQ694" s="215"/>
      <c r="CR694" s="215"/>
      <c r="CS694" s="215"/>
      <c r="CT694" s="215"/>
    </row>
    <row r="695" ht="24.0" customHeight="1">
      <c r="A695" s="287"/>
      <c r="B695" s="287"/>
      <c r="C695" s="287"/>
      <c r="D695" s="232"/>
      <c r="E695" s="232"/>
      <c r="F695" s="232"/>
      <c r="G695" s="232"/>
      <c r="H695" s="232"/>
      <c r="I695" s="232"/>
      <c r="J695" s="232"/>
      <c r="K695" s="232"/>
      <c r="L695" s="232"/>
      <c r="M695" s="232"/>
      <c r="N695" s="289"/>
      <c r="O695" s="232"/>
      <c r="P695" s="232"/>
      <c r="Q695" s="232"/>
      <c r="R695" s="232"/>
      <c r="S695" s="232"/>
      <c r="T695" s="232"/>
      <c r="U695" s="232"/>
      <c r="V695" s="232"/>
      <c r="W695" s="232"/>
      <c r="X695" s="232"/>
      <c r="Y695" s="232"/>
      <c r="Z695" s="232"/>
      <c r="AA695" s="232"/>
      <c r="AB695" s="232"/>
      <c r="AC695" s="232"/>
      <c r="AD695" s="232"/>
      <c r="AE695" s="232"/>
      <c r="AF695" s="232"/>
      <c r="AG695" s="232"/>
      <c r="AH695" s="232"/>
      <c r="AI695" s="232"/>
      <c r="AJ695" s="232"/>
      <c r="AK695" s="232"/>
      <c r="AL695" s="232"/>
      <c r="AM695" s="232"/>
      <c r="AN695" s="232"/>
      <c r="AO695" s="232"/>
      <c r="AP695" s="232"/>
      <c r="AQ695" s="232"/>
      <c r="AR695" s="232"/>
      <c r="AS695" s="232"/>
      <c r="AT695" s="232"/>
      <c r="AU695" s="232"/>
      <c r="AV695" s="232"/>
      <c r="AW695" s="232"/>
      <c r="AX695" s="232"/>
      <c r="AY695" s="232"/>
      <c r="AZ695" s="232"/>
      <c r="BA695" s="232"/>
      <c r="BB695" s="232"/>
      <c r="BC695" s="232"/>
      <c r="BD695" s="232"/>
      <c r="BE695" s="232"/>
      <c r="BF695" s="232"/>
      <c r="BG695" s="232"/>
      <c r="BH695" s="232"/>
      <c r="BI695" s="232"/>
      <c r="BJ695" s="232"/>
      <c r="BK695" s="232"/>
      <c r="BL695" s="232"/>
      <c r="BM695" s="232"/>
      <c r="BN695" s="232"/>
      <c r="BO695" s="232"/>
      <c r="BP695" s="232"/>
      <c r="BQ695" s="232"/>
      <c r="BR695" s="232"/>
      <c r="BS695" s="232"/>
      <c r="BT695" s="232"/>
      <c r="BU695" s="232"/>
      <c r="BV695" s="232"/>
      <c r="BW695" s="232"/>
      <c r="BX695" s="232"/>
      <c r="BY695" s="232"/>
      <c r="BZ695" s="232"/>
      <c r="CA695" s="232"/>
      <c r="CB695" s="232"/>
      <c r="CC695" s="232"/>
      <c r="CD695" s="232"/>
      <c r="CE695" s="232"/>
      <c r="CF695" s="232"/>
      <c r="CG695" s="232"/>
      <c r="CH695" s="232"/>
      <c r="CI695" s="232"/>
      <c r="CJ695" s="232"/>
      <c r="CK695" s="232"/>
      <c r="CL695" s="232"/>
      <c r="CM695" s="232"/>
      <c r="CN695" s="215"/>
      <c r="CO695" s="215"/>
      <c r="CP695" s="215"/>
      <c r="CQ695" s="215"/>
      <c r="CR695" s="215"/>
      <c r="CS695" s="215"/>
      <c r="CT695" s="215"/>
    </row>
    <row r="696" ht="24.0" customHeight="1">
      <c r="A696" s="287"/>
      <c r="B696" s="287"/>
      <c r="C696" s="287"/>
      <c r="D696" s="232"/>
      <c r="E696" s="232"/>
      <c r="F696" s="232"/>
      <c r="G696" s="232"/>
      <c r="H696" s="232"/>
      <c r="I696" s="232"/>
      <c r="J696" s="232"/>
      <c r="K696" s="232"/>
      <c r="L696" s="232"/>
      <c r="M696" s="232"/>
      <c r="N696" s="289"/>
      <c r="O696" s="232"/>
      <c r="P696" s="232"/>
      <c r="Q696" s="232"/>
      <c r="R696" s="232"/>
      <c r="S696" s="232"/>
      <c r="T696" s="232"/>
      <c r="U696" s="232"/>
      <c r="V696" s="232"/>
      <c r="W696" s="232"/>
      <c r="X696" s="232"/>
      <c r="Y696" s="232"/>
      <c r="Z696" s="232"/>
      <c r="AA696" s="232"/>
      <c r="AB696" s="232"/>
      <c r="AC696" s="232"/>
      <c r="AD696" s="232"/>
      <c r="AE696" s="232"/>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c r="BL696" s="232"/>
      <c r="BM696" s="232"/>
      <c r="BN696" s="232"/>
      <c r="BO696" s="232"/>
      <c r="BP696" s="232"/>
      <c r="BQ696" s="232"/>
      <c r="BR696" s="232"/>
      <c r="BS696" s="232"/>
      <c r="BT696" s="232"/>
      <c r="BU696" s="232"/>
      <c r="BV696" s="232"/>
      <c r="BW696" s="232"/>
      <c r="BX696" s="232"/>
      <c r="BY696" s="232"/>
      <c r="BZ696" s="232"/>
      <c r="CA696" s="232"/>
      <c r="CB696" s="232"/>
      <c r="CC696" s="232"/>
      <c r="CD696" s="232"/>
      <c r="CE696" s="232"/>
      <c r="CF696" s="232"/>
      <c r="CG696" s="232"/>
      <c r="CH696" s="232"/>
      <c r="CI696" s="232"/>
      <c r="CJ696" s="232"/>
      <c r="CK696" s="232"/>
      <c r="CL696" s="232"/>
      <c r="CM696" s="232"/>
      <c r="CN696" s="215"/>
      <c r="CO696" s="215"/>
      <c r="CP696" s="215"/>
      <c r="CQ696" s="215"/>
      <c r="CR696" s="215"/>
      <c r="CS696" s="215"/>
      <c r="CT696" s="215"/>
    </row>
    <row r="697" ht="24.0" customHeight="1">
      <c r="A697" s="287"/>
      <c r="B697" s="287"/>
      <c r="C697" s="287"/>
      <c r="D697" s="232"/>
      <c r="E697" s="232"/>
      <c r="F697" s="232"/>
      <c r="G697" s="232"/>
      <c r="H697" s="232"/>
      <c r="I697" s="232"/>
      <c r="J697" s="232"/>
      <c r="K697" s="232"/>
      <c r="L697" s="232"/>
      <c r="M697" s="232"/>
      <c r="N697" s="289"/>
      <c r="O697" s="232"/>
      <c r="P697" s="232"/>
      <c r="Q697" s="232"/>
      <c r="R697" s="232"/>
      <c r="S697" s="232"/>
      <c r="T697" s="232"/>
      <c r="U697" s="232"/>
      <c r="V697" s="232"/>
      <c r="W697" s="232"/>
      <c r="X697" s="232"/>
      <c r="Y697" s="232"/>
      <c r="Z697" s="232"/>
      <c r="AA697" s="232"/>
      <c r="AB697" s="232"/>
      <c r="AC697" s="232"/>
      <c r="AD697" s="232"/>
      <c r="AE697" s="232"/>
      <c r="AF697" s="232"/>
      <c r="AG697" s="232"/>
      <c r="AH697" s="232"/>
      <c r="AI697" s="232"/>
      <c r="AJ697" s="232"/>
      <c r="AK697" s="232"/>
      <c r="AL697" s="232"/>
      <c r="AM697" s="232"/>
      <c r="AN697" s="232"/>
      <c r="AO697" s="232"/>
      <c r="AP697" s="232"/>
      <c r="AQ697" s="232"/>
      <c r="AR697" s="232"/>
      <c r="AS697" s="232"/>
      <c r="AT697" s="232"/>
      <c r="AU697" s="232"/>
      <c r="AV697" s="232"/>
      <c r="AW697" s="232"/>
      <c r="AX697" s="232"/>
      <c r="AY697" s="232"/>
      <c r="AZ697" s="232"/>
      <c r="BA697" s="232"/>
      <c r="BB697" s="232"/>
      <c r="BC697" s="232"/>
      <c r="BD697" s="232"/>
      <c r="BE697" s="232"/>
      <c r="BF697" s="232"/>
      <c r="BG697" s="232"/>
      <c r="BH697" s="232"/>
      <c r="BI697" s="232"/>
      <c r="BJ697" s="232"/>
      <c r="BK697" s="232"/>
      <c r="BL697" s="232"/>
      <c r="BM697" s="232"/>
      <c r="BN697" s="232"/>
      <c r="BO697" s="232"/>
      <c r="BP697" s="232"/>
      <c r="BQ697" s="232"/>
      <c r="BR697" s="232"/>
      <c r="BS697" s="232"/>
      <c r="BT697" s="232"/>
      <c r="BU697" s="232"/>
      <c r="BV697" s="232"/>
      <c r="BW697" s="232"/>
      <c r="BX697" s="232"/>
      <c r="BY697" s="232"/>
      <c r="BZ697" s="232"/>
      <c r="CA697" s="232"/>
      <c r="CB697" s="232"/>
      <c r="CC697" s="232"/>
      <c r="CD697" s="232"/>
      <c r="CE697" s="232"/>
      <c r="CF697" s="232"/>
      <c r="CG697" s="232"/>
      <c r="CH697" s="232"/>
      <c r="CI697" s="232"/>
      <c r="CJ697" s="232"/>
      <c r="CK697" s="232"/>
      <c r="CL697" s="232"/>
      <c r="CM697" s="232"/>
      <c r="CN697" s="215"/>
      <c r="CO697" s="215"/>
      <c r="CP697" s="215"/>
      <c r="CQ697" s="215"/>
      <c r="CR697" s="215"/>
      <c r="CS697" s="215"/>
      <c r="CT697" s="215"/>
    </row>
    <row r="698" ht="24.0" customHeight="1">
      <c r="A698" s="287"/>
      <c r="B698" s="287"/>
      <c r="C698" s="287"/>
      <c r="D698" s="232"/>
      <c r="E698" s="232"/>
      <c r="F698" s="232"/>
      <c r="G698" s="232"/>
      <c r="H698" s="232"/>
      <c r="I698" s="232"/>
      <c r="J698" s="232"/>
      <c r="K698" s="232"/>
      <c r="L698" s="232"/>
      <c r="M698" s="232"/>
      <c r="N698" s="289"/>
      <c r="O698" s="232"/>
      <c r="P698" s="232"/>
      <c r="Q698" s="232"/>
      <c r="R698" s="232"/>
      <c r="S698" s="232"/>
      <c r="T698" s="232"/>
      <c r="U698" s="232"/>
      <c r="V698" s="232"/>
      <c r="W698" s="232"/>
      <c r="X698" s="232"/>
      <c r="Y698" s="232"/>
      <c r="Z698" s="232"/>
      <c r="AA698" s="232"/>
      <c r="AB698" s="232"/>
      <c r="AC698" s="232"/>
      <c r="AD698" s="232"/>
      <c r="AE698" s="232"/>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c r="BL698" s="232"/>
      <c r="BM698" s="232"/>
      <c r="BN698" s="232"/>
      <c r="BO698" s="232"/>
      <c r="BP698" s="232"/>
      <c r="BQ698" s="232"/>
      <c r="BR698" s="232"/>
      <c r="BS698" s="232"/>
      <c r="BT698" s="232"/>
      <c r="BU698" s="232"/>
      <c r="BV698" s="232"/>
      <c r="BW698" s="232"/>
      <c r="BX698" s="232"/>
      <c r="BY698" s="232"/>
      <c r="BZ698" s="232"/>
      <c r="CA698" s="232"/>
      <c r="CB698" s="232"/>
      <c r="CC698" s="232"/>
      <c r="CD698" s="232"/>
      <c r="CE698" s="232"/>
      <c r="CF698" s="232"/>
      <c r="CG698" s="232"/>
      <c r="CH698" s="232"/>
      <c r="CI698" s="232"/>
      <c r="CJ698" s="232"/>
      <c r="CK698" s="232"/>
      <c r="CL698" s="232"/>
      <c r="CM698" s="232"/>
      <c r="CN698" s="215"/>
      <c r="CO698" s="215"/>
      <c r="CP698" s="215"/>
      <c r="CQ698" s="215"/>
      <c r="CR698" s="215"/>
      <c r="CS698" s="215"/>
      <c r="CT698" s="215"/>
    </row>
    <row r="699" ht="24.0" customHeight="1">
      <c r="A699" s="287"/>
      <c r="B699" s="287"/>
      <c r="C699" s="287"/>
      <c r="D699" s="232"/>
      <c r="E699" s="232"/>
      <c r="F699" s="232"/>
      <c r="G699" s="232"/>
      <c r="H699" s="232"/>
      <c r="I699" s="232"/>
      <c r="J699" s="232"/>
      <c r="K699" s="232"/>
      <c r="L699" s="232"/>
      <c r="M699" s="232"/>
      <c r="N699" s="289"/>
      <c r="O699" s="232"/>
      <c r="P699" s="232"/>
      <c r="Q699" s="232"/>
      <c r="R699" s="232"/>
      <c r="S699" s="232"/>
      <c r="T699" s="232"/>
      <c r="U699" s="232"/>
      <c r="V699" s="232"/>
      <c r="W699" s="232"/>
      <c r="X699" s="232"/>
      <c r="Y699" s="232"/>
      <c r="Z699" s="232"/>
      <c r="AA699" s="232"/>
      <c r="AB699" s="232"/>
      <c r="AC699" s="232"/>
      <c r="AD699" s="232"/>
      <c r="AE699" s="232"/>
      <c r="AF699" s="232"/>
      <c r="AG699" s="232"/>
      <c r="AH699" s="232"/>
      <c r="AI699" s="232"/>
      <c r="AJ699" s="232"/>
      <c r="AK699" s="232"/>
      <c r="AL699" s="232"/>
      <c r="AM699" s="232"/>
      <c r="AN699" s="232"/>
      <c r="AO699" s="232"/>
      <c r="AP699" s="232"/>
      <c r="AQ699" s="232"/>
      <c r="AR699" s="232"/>
      <c r="AS699" s="232"/>
      <c r="AT699" s="232"/>
      <c r="AU699" s="232"/>
      <c r="AV699" s="232"/>
      <c r="AW699" s="232"/>
      <c r="AX699" s="232"/>
      <c r="AY699" s="232"/>
      <c r="AZ699" s="232"/>
      <c r="BA699" s="232"/>
      <c r="BB699" s="232"/>
      <c r="BC699" s="232"/>
      <c r="BD699" s="232"/>
      <c r="BE699" s="232"/>
      <c r="BF699" s="232"/>
      <c r="BG699" s="232"/>
      <c r="BH699" s="232"/>
      <c r="BI699" s="232"/>
      <c r="BJ699" s="232"/>
      <c r="BK699" s="232"/>
      <c r="BL699" s="232"/>
      <c r="BM699" s="232"/>
      <c r="BN699" s="232"/>
      <c r="BO699" s="232"/>
      <c r="BP699" s="232"/>
      <c r="BQ699" s="232"/>
      <c r="BR699" s="232"/>
      <c r="BS699" s="232"/>
      <c r="BT699" s="232"/>
      <c r="BU699" s="232"/>
      <c r="BV699" s="232"/>
      <c r="BW699" s="232"/>
      <c r="BX699" s="232"/>
      <c r="BY699" s="232"/>
      <c r="BZ699" s="232"/>
      <c r="CA699" s="232"/>
      <c r="CB699" s="232"/>
      <c r="CC699" s="232"/>
      <c r="CD699" s="232"/>
      <c r="CE699" s="232"/>
      <c r="CF699" s="232"/>
      <c r="CG699" s="232"/>
      <c r="CH699" s="232"/>
      <c r="CI699" s="232"/>
      <c r="CJ699" s="232"/>
      <c r="CK699" s="232"/>
      <c r="CL699" s="232"/>
      <c r="CM699" s="232"/>
      <c r="CN699" s="215"/>
      <c r="CO699" s="215"/>
      <c r="CP699" s="215"/>
      <c r="CQ699" s="215"/>
      <c r="CR699" s="215"/>
      <c r="CS699" s="215"/>
      <c r="CT699" s="215"/>
    </row>
    <row r="700" ht="24.0" customHeight="1">
      <c r="A700" s="287"/>
      <c r="B700" s="287"/>
      <c r="C700" s="287"/>
      <c r="D700" s="232"/>
      <c r="E700" s="232"/>
      <c r="F700" s="232"/>
      <c r="G700" s="232"/>
      <c r="H700" s="232"/>
      <c r="I700" s="232"/>
      <c r="J700" s="232"/>
      <c r="K700" s="232"/>
      <c r="L700" s="232"/>
      <c r="M700" s="232"/>
      <c r="N700" s="289"/>
      <c r="O700" s="232"/>
      <c r="P700" s="232"/>
      <c r="Q700" s="232"/>
      <c r="R700" s="232"/>
      <c r="S700" s="232"/>
      <c r="T700" s="232"/>
      <c r="U700" s="232"/>
      <c r="V700" s="232"/>
      <c r="W700" s="232"/>
      <c r="X700" s="232"/>
      <c r="Y700" s="232"/>
      <c r="Z700" s="232"/>
      <c r="AA700" s="232"/>
      <c r="AB700" s="232"/>
      <c r="AC700" s="232"/>
      <c r="AD700" s="232"/>
      <c r="AE700" s="232"/>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c r="BL700" s="232"/>
      <c r="BM700" s="232"/>
      <c r="BN700" s="232"/>
      <c r="BO700" s="232"/>
      <c r="BP700" s="232"/>
      <c r="BQ700" s="232"/>
      <c r="BR700" s="232"/>
      <c r="BS700" s="232"/>
      <c r="BT700" s="232"/>
      <c r="BU700" s="232"/>
      <c r="BV700" s="232"/>
      <c r="BW700" s="232"/>
      <c r="BX700" s="232"/>
      <c r="BY700" s="232"/>
      <c r="BZ700" s="232"/>
      <c r="CA700" s="232"/>
      <c r="CB700" s="232"/>
      <c r="CC700" s="232"/>
      <c r="CD700" s="232"/>
      <c r="CE700" s="232"/>
      <c r="CF700" s="232"/>
      <c r="CG700" s="232"/>
      <c r="CH700" s="232"/>
      <c r="CI700" s="232"/>
      <c r="CJ700" s="232"/>
      <c r="CK700" s="232"/>
      <c r="CL700" s="232"/>
      <c r="CM700" s="232"/>
      <c r="CN700" s="215"/>
      <c r="CO700" s="215"/>
      <c r="CP700" s="215"/>
      <c r="CQ700" s="215"/>
      <c r="CR700" s="215"/>
      <c r="CS700" s="215"/>
      <c r="CT700" s="215"/>
    </row>
    <row r="701" ht="24.0" customHeight="1">
      <c r="A701" s="287"/>
      <c r="B701" s="287"/>
      <c r="C701" s="287"/>
      <c r="D701" s="232"/>
      <c r="E701" s="232"/>
      <c r="F701" s="232"/>
      <c r="G701" s="232"/>
      <c r="H701" s="232"/>
      <c r="I701" s="232"/>
      <c r="J701" s="232"/>
      <c r="K701" s="232"/>
      <c r="L701" s="232"/>
      <c r="M701" s="232"/>
      <c r="N701" s="289"/>
      <c r="O701" s="232"/>
      <c r="P701" s="232"/>
      <c r="Q701" s="232"/>
      <c r="R701" s="232"/>
      <c r="S701" s="232"/>
      <c r="T701" s="232"/>
      <c r="U701" s="232"/>
      <c r="V701" s="232"/>
      <c r="W701" s="232"/>
      <c r="X701" s="232"/>
      <c r="Y701" s="232"/>
      <c r="Z701" s="232"/>
      <c r="AA701" s="232"/>
      <c r="AB701" s="232"/>
      <c r="AC701" s="232"/>
      <c r="AD701" s="232"/>
      <c r="AE701" s="232"/>
      <c r="AF701" s="232"/>
      <c r="AG701" s="232"/>
      <c r="AH701" s="232"/>
      <c r="AI701" s="232"/>
      <c r="AJ701" s="232"/>
      <c r="AK701" s="232"/>
      <c r="AL701" s="232"/>
      <c r="AM701" s="232"/>
      <c r="AN701" s="232"/>
      <c r="AO701" s="232"/>
      <c r="AP701" s="232"/>
      <c r="AQ701" s="232"/>
      <c r="AR701" s="232"/>
      <c r="AS701" s="232"/>
      <c r="AT701" s="232"/>
      <c r="AU701" s="232"/>
      <c r="AV701" s="232"/>
      <c r="AW701" s="232"/>
      <c r="AX701" s="232"/>
      <c r="AY701" s="232"/>
      <c r="AZ701" s="232"/>
      <c r="BA701" s="232"/>
      <c r="BB701" s="232"/>
      <c r="BC701" s="232"/>
      <c r="BD701" s="232"/>
      <c r="BE701" s="232"/>
      <c r="BF701" s="232"/>
      <c r="BG701" s="232"/>
      <c r="BH701" s="232"/>
      <c r="BI701" s="232"/>
      <c r="BJ701" s="232"/>
      <c r="BK701" s="232"/>
      <c r="BL701" s="232"/>
      <c r="BM701" s="232"/>
      <c r="BN701" s="232"/>
      <c r="BO701" s="232"/>
      <c r="BP701" s="232"/>
      <c r="BQ701" s="232"/>
      <c r="BR701" s="232"/>
      <c r="BS701" s="232"/>
      <c r="BT701" s="232"/>
      <c r="BU701" s="232"/>
      <c r="BV701" s="232"/>
      <c r="BW701" s="232"/>
      <c r="BX701" s="232"/>
      <c r="BY701" s="232"/>
      <c r="BZ701" s="232"/>
      <c r="CA701" s="232"/>
      <c r="CB701" s="232"/>
      <c r="CC701" s="232"/>
      <c r="CD701" s="232"/>
      <c r="CE701" s="232"/>
      <c r="CF701" s="232"/>
      <c r="CG701" s="232"/>
      <c r="CH701" s="232"/>
      <c r="CI701" s="232"/>
      <c r="CJ701" s="232"/>
      <c r="CK701" s="232"/>
      <c r="CL701" s="232"/>
      <c r="CM701" s="232"/>
      <c r="CN701" s="215"/>
      <c r="CO701" s="215"/>
      <c r="CP701" s="215"/>
      <c r="CQ701" s="215"/>
      <c r="CR701" s="215"/>
      <c r="CS701" s="215"/>
      <c r="CT701" s="215"/>
    </row>
    <row r="702" ht="24.0" customHeight="1">
      <c r="A702" s="287"/>
      <c r="B702" s="287"/>
      <c r="C702" s="287"/>
      <c r="D702" s="232"/>
      <c r="E702" s="232"/>
      <c r="F702" s="232"/>
      <c r="G702" s="232"/>
      <c r="H702" s="232"/>
      <c r="I702" s="232"/>
      <c r="J702" s="232"/>
      <c r="K702" s="232"/>
      <c r="L702" s="232"/>
      <c r="M702" s="232"/>
      <c r="N702" s="289"/>
      <c r="O702" s="232"/>
      <c r="P702" s="232"/>
      <c r="Q702" s="232"/>
      <c r="R702" s="232"/>
      <c r="S702" s="232"/>
      <c r="T702" s="232"/>
      <c r="U702" s="232"/>
      <c r="V702" s="232"/>
      <c r="W702" s="232"/>
      <c r="X702" s="232"/>
      <c r="Y702" s="232"/>
      <c r="Z702" s="232"/>
      <c r="AA702" s="232"/>
      <c r="AB702" s="232"/>
      <c r="AC702" s="232"/>
      <c r="AD702" s="232"/>
      <c r="AE702" s="232"/>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c r="BL702" s="232"/>
      <c r="BM702" s="232"/>
      <c r="BN702" s="232"/>
      <c r="BO702" s="232"/>
      <c r="BP702" s="232"/>
      <c r="BQ702" s="232"/>
      <c r="BR702" s="232"/>
      <c r="BS702" s="232"/>
      <c r="BT702" s="232"/>
      <c r="BU702" s="232"/>
      <c r="BV702" s="232"/>
      <c r="BW702" s="232"/>
      <c r="BX702" s="232"/>
      <c r="BY702" s="232"/>
      <c r="BZ702" s="232"/>
      <c r="CA702" s="232"/>
      <c r="CB702" s="232"/>
      <c r="CC702" s="232"/>
      <c r="CD702" s="232"/>
      <c r="CE702" s="232"/>
      <c r="CF702" s="232"/>
      <c r="CG702" s="232"/>
      <c r="CH702" s="232"/>
      <c r="CI702" s="232"/>
      <c r="CJ702" s="232"/>
      <c r="CK702" s="232"/>
      <c r="CL702" s="232"/>
      <c r="CM702" s="232"/>
      <c r="CN702" s="215"/>
      <c r="CO702" s="215"/>
      <c r="CP702" s="215"/>
      <c r="CQ702" s="215"/>
      <c r="CR702" s="215"/>
      <c r="CS702" s="215"/>
      <c r="CT702" s="215"/>
    </row>
    <row r="703" ht="24.0" customHeight="1">
      <c r="A703" s="287"/>
      <c r="B703" s="287"/>
      <c r="C703" s="287"/>
      <c r="D703" s="232"/>
      <c r="E703" s="232"/>
      <c r="F703" s="232"/>
      <c r="G703" s="232"/>
      <c r="H703" s="232"/>
      <c r="I703" s="232"/>
      <c r="J703" s="232"/>
      <c r="K703" s="232"/>
      <c r="L703" s="232"/>
      <c r="M703" s="232"/>
      <c r="N703" s="289"/>
      <c r="O703" s="232"/>
      <c r="P703" s="232"/>
      <c r="Q703" s="232"/>
      <c r="R703" s="232"/>
      <c r="S703" s="232"/>
      <c r="T703" s="232"/>
      <c r="U703" s="232"/>
      <c r="V703" s="232"/>
      <c r="W703" s="232"/>
      <c r="X703" s="232"/>
      <c r="Y703" s="232"/>
      <c r="Z703" s="232"/>
      <c r="AA703" s="232"/>
      <c r="AB703" s="232"/>
      <c r="AC703" s="232"/>
      <c r="AD703" s="232"/>
      <c r="AE703" s="232"/>
      <c r="AF703" s="232"/>
      <c r="AG703" s="232"/>
      <c r="AH703" s="232"/>
      <c r="AI703" s="232"/>
      <c r="AJ703" s="232"/>
      <c r="AK703" s="232"/>
      <c r="AL703" s="232"/>
      <c r="AM703" s="232"/>
      <c r="AN703" s="232"/>
      <c r="AO703" s="232"/>
      <c r="AP703" s="232"/>
      <c r="AQ703" s="232"/>
      <c r="AR703" s="232"/>
      <c r="AS703" s="232"/>
      <c r="AT703" s="232"/>
      <c r="AU703" s="232"/>
      <c r="AV703" s="232"/>
      <c r="AW703" s="232"/>
      <c r="AX703" s="232"/>
      <c r="AY703" s="232"/>
      <c r="AZ703" s="232"/>
      <c r="BA703" s="232"/>
      <c r="BB703" s="232"/>
      <c r="BC703" s="232"/>
      <c r="BD703" s="232"/>
      <c r="BE703" s="232"/>
      <c r="BF703" s="232"/>
      <c r="BG703" s="232"/>
      <c r="BH703" s="232"/>
      <c r="BI703" s="232"/>
      <c r="BJ703" s="232"/>
      <c r="BK703" s="232"/>
      <c r="BL703" s="232"/>
      <c r="BM703" s="232"/>
      <c r="BN703" s="232"/>
      <c r="BO703" s="232"/>
      <c r="BP703" s="232"/>
      <c r="BQ703" s="232"/>
      <c r="BR703" s="232"/>
      <c r="BS703" s="232"/>
      <c r="BT703" s="232"/>
      <c r="BU703" s="232"/>
      <c r="BV703" s="232"/>
      <c r="BW703" s="232"/>
      <c r="BX703" s="232"/>
      <c r="BY703" s="232"/>
      <c r="BZ703" s="232"/>
      <c r="CA703" s="232"/>
      <c r="CB703" s="232"/>
      <c r="CC703" s="232"/>
      <c r="CD703" s="232"/>
      <c r="CE703" s="232"/>
      <c r="CF703" s="232"/>
      <c r="CG703" s="232"/>
      <c r="CH703" s="232"/>
      <c r="CI703" s="232"/>
      <c r="CJ703" s="232"/>
      <c r="CK703" s="232"/>
      <c r="CL703" s="232"/>
      <c r="CM703" s="232"/>
      <c r="CN703" s="215"/>
      <c r="CO703" s="215"/>
      <c r="CP703" s="215"/>
      <c r="CQ703" s="215"/>
      <c r="CR703" s="215"/>
      <c r="CS703" s="215"/>
      <c r="CT703" s="215"/>
    </row>
    <row r="704" ht="24.0" customHeight="1">
      <c r="A704" s="287"/>
      <c r="B704" s="287"/>
      <c r="C704" s="287"/>
      <c r="D704" s="232"/>
      <c r="E704" s="232"/>
      <c r="F704" s="232"/>
      <c r="G704" s="232"/>
      <c r="H704" s="232"/>
      <c r="I704" s="232"/>
      <c r="J704" s="232"/>
      <c r="K704" s="232"/>
      <c r="L704" s="232"/>
      <c r="M704" s="232"/>
      <c r="N704" s="289"/>
      <c r="O704" s="232"/>
      <c r="P704" s="232"/>
      <c r="Q704" s="232"/>
      <c r="R704" s="232"/>
      <c r="S704" s="232"/>
      <c r="T704" s="232"/>
      <c r="U704" s="232"/>
      <c r="V704" s="232"/>
      <c r="W704" s="232"/>
      <c r="X704" s="232"/>
      <c r="Y704" s="232"/>
      <c r="Z704" s="232"/>
      <c r="AA704" s="232"/>
      <c r="AB704" s="232"/>
      <c r="AC704" s="232"/>
      <c r="AD704" s="232"/>
      <c r="AE704" s="232"/>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c r="BL704" s="232"/>
      <c r="BM704" s="232"/>
      <c r="BN704" s="232"/>
      <c r="BO704" s="232"/>
      <c r="BP704" s="232"/>
      <c r="BQ704" s="232"/>
      <c r="BR704" s="232"/>
      <c r="BS704" s="232"/>
      <c r="BT704" s="232"/>
      <c r="BU704" s="232"/>
      <c r="BV704" s="232"/>
      <c r="BW704" s="232"/>
      <c r="BX704" s="232"/>
      <c r="BY704" s="232"/>
      <c r="BZ704" s="232"/>
      <c r="CA704" s="232"/>
      <c r="CB704" s="232"/>
      <c r="CC704" s="232"/>
      <c r="CD704" s="232"/>
      <c r="CE704" s="232"/>
      <c r="CF704" s="232"/>
      <c r="CG704" s="232"/>
      <c r="CH704" s="232"/>
      <c r="CI704" s="232"/>
      <c r="CJ704" s="232"/>
      <c r="CK704" s="232"/>
      <c r="CL704" s="232"/>
      <c r="CM704" s="232"/>
      <c r="CN704" s="215"/>
      <c r="CO704" s="215"/>
      <c r="CP704" s="215"/>
      <c r="CQ704" s="215"/>
      <c r="CR704" s="215"/>
      <c r="CS704" s="215"/>
      <c r="CT704" s="215"/>
    </row>
    <row r="705" ht="24.0" customHeight="1">
      <c r="A705" s="287"/>
      <c r="B705" s="287"/>
      <c r="C705" s="287"/>
      <c r="D705" s="232"/>
      <c r="E705" s="232"/>
      <c r="F705" s="232"/>
      <c r="G705" s="232"/>
      <c r="H705" s="232"/>
      <c r="I705" s="232"/>
      <c r="J705" s="232"/>
      <c r="K705" s="232"/>
      <c r="L705" s="232"/>
      <c r="M705" s="232"/>
      <c r="N705" s="289"/>
      <c r="O705" s="232"/>
      <c r="P705" s="232"/>
      <c r="Q705" s="232"/>
      <c r="R705" s="232"/>
      <c r="S705" s="232"/>
      <c r="T705" s="232"/>
      <c r="U705" s="232"/>
      <c r="V705" s="232"/>
      <c r="W705" s="232"/>
      <c r="X705" s="232"/>
      <c r="Y705" s="232"/>
      <c r="Z705" s="232"/>
      <c r="AA705" s="232"/>
      <c r="AB705" s="232"/>
      <c r="AC705" s="232"/>
      <c r="AD705" s="232"/>
      <c r="AE705" s="232"/>
      <c r="AF705" s="232"/>
      <c r="AG705" s="232"/>
      <c r="AH705" s="232"/>
      <c r="AI705" s="232"/>
      <c r="AJ705" s="232"/>
      <c r="AK705" s="232"/>
      <c r="AL705" s="232"/>
      <c r="AM705" s="232"/>
      <c r="AN705" s="232"/>
      <c r="AO705" s="232"/>
      <c r="AP705" s="232"/>
      <c r="AQ705" s="232"/>
      <c r="AR705" s="232"/>
      <c r="AS705" s="232"/>
      <c r="AT705" s="232"/>
      <c r="AU705" s="232"/>
      <c r="AV705" s="232"/>
      <c r="AW705" s="232"/>
      <c r="AX705" s="232"/>
      <c r="AY705" s="232"/>
      <c r="AZ705" s="232"/>
      <c r="BA705" s="232"/>
      <c r="BB705" s="232"/>
      <c r="BC705" s="232"/>
      <c r="BD705" s="232"/>
      <c r="BE705" s="232"/>
      <c r="BF705" s="232"/>
      <c r="BG705" s="232"/>
      <c r="BH705" s="232"/>
      <c r="BI705" s="232"/>
      <c r="BJ705" s="232"/>
      <c r="BK705" s="232"/>
      <c r="BL705" s="232"/>
      <c r="BM705" s="232"/>
      <c r="BN705" s="232"/>
      <c r="BO705" s="232"/>
      <c r="BP705" s="232"/>
      <c r="BQ705" s="232"/>
      <c r="BR705" s="232"/>
      <c r="BS705" s="232"/>
      <c r="BT705" s="232"/>
      <c r="BU705" s="232"/>
      <c r="BV705" s="232"/>
      <c r="BW705" s="232"/>
      <c r="BX705" s="232"/>
      <c r="BY705" s="232"/>
      <c r="BZ705" s="232"/>
      <c r="CA705" s="232"/>
      <c r="CB705" s="232"/>
      <c r="CC705" s="232"/>
      <c r="CD705" s="232"/>
      <c r="CE705" s="232"/>
      <c r="CF705" s="232"/>
      <c r="CG705" s="232"/>
      <c r="CH705" s="232"/>
      <c r="CI705" s="232"/>
      <c r="CJ705" s="232"/>
      <c r="CK705" s="232"/>
      <c r="CL705" s="232"/>
      <c r="CM705" s="232"/>
      <c r="CN705" s="215"/>
      <c r="CO705" s="215"/>
      <c r="CP705" s="215"/>
      <c r="CQ705" s="215"/>
      <c r="CR705" s="215"/>
      <c r="CS705" s="215"/>
      <c r="CT705" s="215"/>
    </row>
    <row r="706" ht="24.0" customHeight="1">
      <c r="A706" s="287"/>
      <c r="B706" s="287"/>
      <c r="C706" s="287"/>
      <c r="D706" s="232"/>
      <c r="E706" s="232"/>
      <c r="F706" s="232"/>
      <c r="G706" s="232"/>
      <c r="H706" s="232"/>
      <c r="I706" s="232"/>
      <c r="J706" s="232"/>
      <c r="K706" s="232"/>
      <c r="L706" s="232"/>
      <c r="M706" s="232"/>
      <c r="N706" s="289"/>
      <c r="O706" s="232"/>
      <c r="P706" s="232"/>
      <c r="Q706" s="232"/>
      <c r="R706" s="232"/>
      <c r="S706" s="232"/>
      <c r="T706" s="232"/>
      <c r="U706" s="232"/>
      <c r="V706" s="232"/>
      <c r="W706" s="232"/>
      <c r="X706" s="232"/>
      <c r="Y706" s="232"/>
      <c r="Z706" s="232"/>
      <c r="AA706" s="232"/>
      <c r="AB706" s="232"/>
      <c r="AC706" s="232"/>
      <c r="AD706" s="232"/>
      <c r="AE706" s="232"/>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c r="BL706" s="232"/>
      <c r="BM706" s="232"/>
      <c r="BN706" s="232"/>
      <c r="BO706" s="232"/>
      <c r="BP706" s="232"/>
      <c r="BQ706" s="232"/>
      <c r="BR706" s="232"/>
      <c r="BS706" s="232"/>
      <c r="BT706" s="232"/>
      <c r="BU706" s="232"/>
      <c r="BV706" s="232"/>
      <c r="BW706" s="232"/>
      <c r="BX706" s="232"/>
      <c r="BY706" s="232"/>
      <c r="BZ706" s="232"/>
      <c r="CA706" s="232"/>
      <c r="CB706" s="232"/>
      <c r="CC706" s="232"/>
      <c r="CD706" s="232"/>
      <c r="CE706" s="232"/>
      <c r="CF706" s="232"/>
      <c r="CG706" s="232"/>
      <c r="CH706" s="232"/>
      <c r="CI706" s="232"/>
      <c r="CJ706" s="232"/>
      <c r="CK706" s="232"/>
      <c r="CL706" s="232"/>
      <c r="CM706" s="232"/>
      <c r="CN706" s="215"/>
      <c r="CO706" s="215"/>
      <c r="CP706" s="215"/>
      <c r="CQ706" s="215"/>
      <c r="CR706" s="215"/>
      <c r="CS706" s="215"/>
      <c r="CT706" s="215"/>
    </row>
    <row r="707" ht="24.0" customHeight="1">
      <c r="A707" s="287"/>
      <c r="B707" s="287"/>
      <c r="C707" s="287"/>
      <c r="D707" s="232"/>
      <c r="E707" s="232"/>
      <c r="F707" s="232"/>
      <c r="G707" s="232"/>
      <c r="H707" s="232"/>
      <c r="I707" s="232"/>
      <c r="J707" s="232"/>
      <c r="K707" s="232"/>
      <c r="L707" s="232"/>
      <c r="M707" s="232"/>
      <c r="N707" s="289"/>
      <c r="O707" s="232"/>
      <c r="P707" s="232"/>
      <c r="Q707" s="232"/>
      <c r="R707" s="232"/>
      <c r="S707" s="232"/>
      <c r="T707" s="232"/>
      <c r="U707" s="232"/>
      <c r="V707" s="232"/>
      <c r="W707" s="232"/>
      <c r="X707" s="232"/>
      <c r="Y707" s="232"/>
      <c r="Z707" s="232"/>
      <c r="AA707" s="232"/>
      <c r="AB707" s="232"/>
      <c r="AC707" s="232"/>
      <c r="AD707" s="232"/>
      <c r="AE707" s="232"/>
      <c r="AF707" s="232"/>
      <c r="AG707" s="232"/>
      <c r="AH707" s="232"/>
      <c r="AI707" s="232"/>
      <c r="AJ707" s="232"/>
      <c r="AK707" s="232"/>
      <c r="AL707" s="232"/>
      <c r="AM707" s="232"/>
      <c r="AN707" s="232"/>
      <c r="AO707" s="232"/>
      <c r="AP707" s="232"/>
      <c r="AQ707" s="232"/>
      <c r="AR707" s="232"/>
      <c r="AS707" s="232"/>
      <c r="AT707" s="232"/>
      <c r="AU707" s="232"/>
      <c r="AV707" s="232"/>
      <c r="AW707" s="232"/>
      <c r="AX707" s="232"/>
      <c r="AY707" s="232"/>
      <c r="AZ707" s="232"/>
      <c r="BA707" s="232"/>
      <c r="BB707" s="232"/>
      <c r="BC707" s="232"/>
      <c r="BD707" s="232"/>
      <c r="BE707" s="232"/>
      <c r="BF707" s="232"/>
      <c r="BG707" s="232"/>
      <c r="BH707" s="232"/>
      <c r="BI707" s="232"/>
      <c r="BJ707" s="232"/>
      <c r="BK707" s="232"/>
      <c r="BL707" s="232"/>
      <c r="BM707" s="232"/>
      <c r="BN707" s="232"/>
      <c r="BO707" s="232"/>
      <c r="BP707" s="232"/>
      <c r="BQ707" s="232"/>
      <c r="BR707" s="232"/>
      <c r="BS707" s="232"/>
      <c r="BT707" s="232"/>
      <c r="BU707" s="232"/>
      <c r="BV707" s="232"/>
      <c r="BW707" s="232"/>
      <c r="BX707" s="232"/>
      <c r="BY707" s="232"/>
      <c r="BZ707" s="232"/>
      <c r="CA707" s="232"/>
      <c r="CB707" s="232"/>
      <c r="CC707" s="232"/>
      <c r="CD707" s="232"/>
      <c r="CE707" s="232"/>
      <c r="CF707" s="232"/>
      <c r="CG707" s="232"/>
      <c r="CH707" s="232"/>
      <c r="CI707" s="232"/>
      <c r="CJ707" s="232"/>
      <c r="CK707" s="232"/>
      <c r="CL707" s="232"/>
      <c r="CM707" s="232"/>
      <c r="CN707" s="215"/>
      <c r="CO707" s="215"/>
      <c r="CP707" s="215"/>
      <c r="CQ707" s="215"/>
      <c r="CR707" s="215"/>
      <c r="CS707" s="215"/>
      <c r="CT707" s="215"/>
    </row>
    <row r="708" ht="24.0" customHeight="1">
      <c r="A708" s="287"/>
      <c r="B708" s="287"/>
      <c r="C708" s="287"/>
      <c r="D708" s="232"/>
      <c r="E708" s="232"/>
      <c r="F708" s="232"/>
      <c r="G708" s="232"/>
      <c r="H708" s="232"/>
      <c r="I708" s="232"/>
      <c r="J708" s="232"/>
      <c r="K708" s="232"/>
      <c r="L708" s="232"/>
      <c r="M708" s="232"/>
      <c r="N708" s="289"/>
      <c r="O708" s="232"/>
      <c r="P708" s="232"/>
      <c r="Q708" s="232"/>
      <c r="R708" s="232"/>
      <c r="S708" s="232"/>
      <c r="T708" s="232"/>
      <c r="U708" s="232"/>
      <c r="V708" s="232"/>
      <c r="W708" s="232"/>
      <c r="X708" s="232"/>
      <c r="Y708" s="232"/>
      <c r="Z708" s="232"/>
      <c r="AA708" s="232"/>
      <c r="AB708" s="232"/>
      <c r="AC708" s="232"/>
      <c r="AD708" s="232"/>
      <c r="AE708" s="232"/>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c r="BL708" s="232"/>
      <c r="BM708" s="232"/>
      <c r="BN708" s="232"/>
      <c r="BO708" s="232"/>
      <c r="BP708" s="232"/>
      <c r="BQ708" s="232"/>
      <c r="BR708" s="232"/>
      <c r="BS708" s="232"/>
      <c r="BT708" s="232"/>
      <c r="BU708" s="232"/>
      <c r="BV708" s="232"/>
      <c r="BW708" s="232"/>
      <c r="BX708" s="232"/>
      <c r="BY708" s="232"/>
      <c r="BZ708" s="232"/>
      <c r="CA708" s="232"/>
      <c r="CB708" s="232"/>
      <c r="CC708" s="232"/>
      <c r="CD708" s="232"/>
      <c r="CE708" s="232"/>
      <c r="CF708" s="232"/>
      <c r="CG708" s="232"/>
      <c r="CH708" s="232"/>
      <c r="CI708" s="232"/>
      <c r="CJ708" s="232"/>
      <c r="CK708" s="232"/>
      <c r="CL708" s="232"/>
      <c r="CM708" s="232"/>
      <c r="CN708" s="215"/>
      <c r="CO708" s="215"/>
      <c r="CP708" s="215"/>
      <c r="CQ708" s="215"/>
      <c r="CR708" s="215"/>
      <c r="CS708" s="215"/>
      <c r="CT708" s="215"/>
    </row>
    <row r="709" ht="24.0" customHeight="1">
      <c r="A709" s="287"/>
      <c r="B709" s="287"/>
      <c r="C709" s="287"/>
      <c r="D709" s="232"/>
      <c r="E709" s="232"/>
      <c r="F709" s="232"/>
      <c r="G709" s="232"/>
      <c r="H709" s="232"/>
      <c r="I709" s="232"/>
      <c r="J709" s="232"/>
      <c r="K709" s="232"/>
      <c r="L709" s="232"/>
      <c r="M709" s="232"/>
      <c r="N709" s="289"/>
      <c r="O709" s="232"/>
      <c r="P709" s="232"/>
      <c r="Q709" s="232"/>
      <c r="R709" s="232"/>
      <c r="S709" s="232"/>
      <c r="T709" s="232"/>
      <c r="U709" s="232"/>
      <c r="V709" s="232"/>
      <c r="W709" s="232"/>
      <c r="X709" s="232"/>
      <c r="Y709" s="232"/>
      <c r="Z709" s="232"/>
      <c r="AA709" s="232"/>
      <c r="AB709" s="232"/>
      <c r="AC709" s="232"/>
      <c r="AD709" s="232"/>
      <c r="AE709" s="232"/>
      <c r="AF709" s="232"/>
      <c r="AG709" s="232"/>
      <c r="AH709" s="232"/>
      <c r="AI709" s="232"/>
      <c r="AJ709" s="232"/>
      <c r="AK709" s="232"/>
      <c r="AL709" s="232"/>
      <c r="AM709" s="232"/>
      <c r="AN709" s="232"/>
      <c r="AO709" s="232"/>
      <c r="AP709" s="232"/>
      <c r="AQ709" s="232"/>
      <c r="AR709" s="232"/>
      <c r="AS709" s="232"/>
      <c r="AT709" s="232"/>
      <c r="AU709" s="232"/>
      <c r="AV709" s="232"/>
      <c r="AW709" s="232"/>
      <c r="AX709" s="232"/>
      <c r="AY709" s="232"/>
      <c r="AZ709" s="232"/>
      <c r="BA709" s="232"/>
      <c r="BB709" s="232"/>
      <c r="BC709" s="232"/>
      <c r="BD709" s="232"/>
      <c r="BE709" s="232"/>
      <c r="BF709" s="232"/>
      <c r="BG709" s="232"/>
      <c r="BH709" s="232"/>
      <c r="BI709" s="232"/>
      <c r="BJ709" s="232"/>
      <c r="BK709" s="232"/>
      <c r="BL709" s="232"/>
      <c r="BM709" s="232"/>
      <c r="BN709" s="232"/>
      <c r="BO709" s="232"/>
      <c r="BP709" s="232"/>
      <c r="BQ709" s="232"/>
      <c r="BR709" s="232"/>
      <c r="BS709" s="232"/>
      <c r="BT709" s="232"/>
      <c r="BU709" s="232"/>
      <c r="BV709" s="232"/>
      <c r="BW709" s="232"/>
      <c r="BX709" s="232"/>
      <c r="BY709" s="232"/>
      <c r="BZ709" s="232"/>
      <c r="CA709" s="232"/>
      <c r="CB709" s="232"/>
      <c r="CC709" s="232"/>
      <c r="CD709" s="232"/>
      <c r="CE709" s="232"/>
      <c r="CF709" s="232"/>
      <c r="CG709" s="232"/>
      <c r="CH709" s="232"/>
      <c r="CI709" s="232"/>
      <c r="CJ709" s="232"/>
      <c r="CK709" s="232"/>
      <c r="CL709" s="232"/>
      <c r="CM709" s="232"/>
      <c r="CN709" s="215"/>
      <c r="CO709" s="215"/>
      <c r="CP709" s="215"/>
      <c r="CQ709" s="215"/>
      <c r="CR709" s="215"/>
      <c r="CS709" s="215"/>
      <c r="CT709" s="215"/>
    </row>
    <row r="710" ht="24.0" customHeight="1">
      <c r="A710" s="287"/>
      <c r="B710" s="287"/>
      <c r="C710" s="287"/>
      <c r="D710" s="232"/>
      <c r="E710" s="232"/>
      <c r="F710" s="232"/>
      <c r="G710" s="232"/>
      <c r="H710" s="232"/>
      <c r="I710" s="232"/>
      <c r="J710" s="232"/>
      <c r="K710" s="232"/>
      <c r="L710" s="232"/>
      <c r="M710" s="232"/>
      <c r="N710" s="289"/>
      <c r="O710" s="232"/>
      <c r="P710" s="232"/>
      <c r="Q710" s="232"/>
      <c r="R710" s="232"/>
      <c r="S710" s="232"/>
      <c r="T710" s="232"/>
      <c r="U710" s="232"/>
      <c r="V710" s="232"/>
      <c r="W710" s="232"/>
      <c r="X710" s="232"/>
      <c r="Y710" s="232"/>
      <c r="Z710" s="232"/>
      <c r="AA710" s="232"/>
      <c r="AB710" s="232"/>
      <c r="AC710" s="232"/>
      <c r="AD710" s="232"/>
      <c r="AE710" s="232"/>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c r="BL710" s="232"/>
      <c r="BM710" s="232"/>
      <c r="BN710" s="232"/>
      <c r="BO710" s="232"/>
      <c r="BP710" s="232"/>
      <c r="BQ710" s="232"/>
      <c r="BR710" s="232"/>
      <c r="BS710" s="232"/>
      <c r="BT710" s="232"/>
      <c r="BU710" s="232"/>
      <c r="BV710" s="232"/>
      <c r="BW710" s="232"/>
      <c r="BX710" s="232"/>
      <c r="BY710" s="232"/>
      <c r="BZ710" s="232"/>
      <c r="CA710" s="232"/>
      <c r="CB710" s="232"/>
      <c r="CC710" s="232"/>
      <c r="CD710" s="232"/>
      <c r="CE710" s="232"/>
      <c r="CF710" s="232"/>
      <c r="CG710" s="232"/>
      <c r="CH710" s="232"/>
      <c r="CI710" s="232"/>
      <c r="CJ710" s="232"/>
      <c r="CK710" s="232"/>
      <c r="CL710" s="232"/>
      <c r="CM710" s="232"/>
      <c r="CN710" s="215"/>
      <c r="CO710" s="215"/>
      <c r="CP710" s="215"/>
      <c r="CQ710" s="215"/>
      <c r="CR710" s="215"/>
      <c r="CS710" s="215"/>
      <c r="CT710" s="215"/>
    </row>
    <row r="711" ht="24.0" customHeight="1">
      <c r="A711" s="287"/>
      <c r="B711" s="287"/>
      <c r="C711" s="287"/>
      <c r="D711" s="232"/>
      <c r="E711" s="232"/>
      <c r="F711" s="232"/>
      <c r="G711" s="232"/>
      <c r="H711" s="232"/>
      <c r="I711" s="232"/>
      <c r="J711" s="232"/>
      <c r="K711" s="232"/>
      <c r="L711" s="232"/>
      <c r="M711" s="232"/>
      <c r="N711" s="289"/>
      <c r="O711" s="232"/>
      <c r="P711" s="232"/>
      <c r="Q711" s="232"/>
      <c r="R711" s="232"/>
      <c r="S711" s="232"/>
      <c r="T711" s="232"/>
      <c r="U711" s="232"/>
      <c r="V711" s="232"/>
      <c r="W711" s="232"/>
      <c r="X711" s="232"/>
      <c r="Y711" s="232"/>
      <c r="Z711" s="232"/>
      <c r="AA711" s="232"/>
      <c r="AB711" s="232"/>
      <c r="AC711" s="232"/>
      <c r="AD711" s="232"/>
      <c r="AE711" s="232"/>
      <c r="AF711" s="232"/>
      <c r="AG711" s="232"/>
      <c r="AH711" s="232"/>
      <c r="AI711" s="232"/>
      <c r="AJ711" s="232"/>
      <c r="AK711" s="232"/>
      <c r="AL711" s="232"/>
      <c r="AM711" s="232"/>
      <c r="AN711" s="232"/>
      <c r="AO711" s="232"/>
      <c r="AP711" s="232"/>
      <c r="AQ711" s="232"/>
      <c r="AR711" s="232"/>
      <c r="AS711" s="232"/>
      <c r="AT711" s="232"/>
      <c r="AU711" s="232"/>
      <c r="AV711" s="232"/>
      <c r="AW711" s="232"/>
      <c r="AX711" s="232"/>
      <c r="AY711" s="232"/>
      <c r="AZ711" s="232"/>
      <c r="BA711" s="232"/>
      <c r="BB711" s="232"/>
      <c r="BC711" s="232"/>
      <c r="BD711" s="232"/>
      <c r="BE711" s="232"/>
      <c r="BF711" s="232"/>
      <c r="BG711" s="232"/>
      <c r="BH711" s="232"/>
      <c r="BI711" s="232"/>
      <c r="BJ711" s="232"/>
      <c r="BK711" s="232"/>
      <c r="BL711" s="232"/>
      <c r="BM711" s="232"/>
      <c r="BN711" s="232"/>
      <c r="BO711" s="232"/>
      <c r="BP711" s="232"/>
      <c r="BQ711" s="232"/>
      <c r="BR711" s="232"/>
      <c r="BS711" s="232"/>
      <c r="BT711" s="232"/>
      <c r="BU711" s="232"/>
      <c r="BV711" s="232"/>
      <c r="BW711" s="232"/>
      <c r="BX711" s="232"/>
      <c r="BY711" s="232"/>
      <c r="BZ711" s="232"/>
      <c r="CA711" s="232"/>
      <c r="CB711" s="232"/>
      <c r="CC711" s="232"/>
      <c r="CD711" s="232"/>
      <c r="CE711" s="232"/>
      <c r="CF711" s="232"/>
      <c r="CG711" s="232"/>
      <c r="CH711" s="232"/>
      <c r="CI711" s="232"/>
      <c r="CJ711" s="232"/>
      <c r="CK711" s="232"/>
      <c r="CL711" s="232"/>
      <c r="CM711" s="232"/>
      <c r="CN711" s="215"/>
      <c r="CO711" s="215"/>
      <c r="CP711" s="215"/>
      <c r="CQ711" s="215"/>
      <c r="CR711" s="215"/>
      <c r="CS711" s="215"/>
      <c r="CT711" s="215"/>
    </row>
    <row r="712" ht="24.0" customHeight="1">
      <c r="A712" s="287"/>
      <c r="B712" s="287"/>
      <c r="C712" s="287"/>
      <c r="D712" s="232"/>
      <c r="E712" s="232"/>
      <c r="F712" s="232"/>
      <c r="G712" s="232"/>
      <c r="H712" s="232"/>
      <c r="I712" s="232"/>
      <c r="J712" s="232"/>
      <c r="K712" s="232"/>
      <c r="L712" s="232"/>
      <c r="M712" s="232"/>
      <c r="N712" s="289"/>
      <c r="O712" s="232"/>
      <c r="P712" s="232"/>
      <c r="Q712" s="232"/>
      <c r="R712" s="232"/>
      <c r="S712" s="232"/>
      <c r="T712" s="232"/>
      <c r="U712" s="232"/>
      <c r="V712" s="232"/>
      <c r="W712" s="232"/>
      <c r="X712" s="232"/>
      <c r="Y712" s="232"/>
      <c r="Z712" s="232"/>
      <c r="AA712" s="232"/>
      <c r="AB712" s="232"/>
      <c r="AC712" s="232"/>
      <c r="AD712" s="232"/>
      <c r="AE712" s="232"/>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c r="BL712" s="232"/>
      <c r="BM712" s="232"/>
      <c r="BN712" s="232"/>
      <c r="BO712" s="232"/>
      <c r="BP712" s="232"/>
      <c r="BQ712" s="232"/>
      <c r="BR712" s="232"/>
      <c r="BS712" s="232"/>
      <c r="BT712" s="232"/>
      <c r="BU712" s="232"/>
      <c r="BV712" s="232"/>
      <c r="BW712" s="232"/>
      <c r="BX712" s="232"/>
      <c r="BY712" s="232"/>
      <c r="BZ712" s="232"/>
      <c r="CA712" s="232"/>
      <c r="CB712" s="232"/>
      <c r="CC712" s="232"/>
      <c r="CD712" s="232"/>
      <c r="CE712" s="232"/>
      <c r="CF712" s="232"/>
      <c r="CG712" s="232"/>
      <c r="CH712" s="232"/>
      <c r="CI712" s="232"/>
      <c r="CJ712" s="232"/>
      <c r="CK712" s="232"/>
      <c r="CL712" s="232"/>
      <c r="CM712" s="232"/>
      <c r="CN712" s="215"/>
      <c r="CO712" s="215"/>
      <c r="CP712" s="215"/>
      <c r="CQ712" s="215"/>
      <c r="CR712" s="215"/>
      <c r="CS712" s="215"/>
      <c r="CT712" s="215"/>
    </row>
    <row r="713" ht="24.0" customHeight="1">
      <c r="A713" s="287"/>
      <c r="B713" s="287"/>
      <c r="C713" s="287"/>
      <c r="D713" s="232"/>
      <c r="E713" s="232"/>
      <c r="F713" s="232"/>
      <c r="G713" s="232"/>
      <c r="H713" s="232"/>
      <c r="I713" s="232"/>
      <c r="J713" s="232"/>
      <c r="K713" s="232"/>
      <c r="L713" s="232"/>
      <c r="M713" s="232"/>
      <c r="N713" s="289"/>
      <c r="O713" s="232"/>
      <c r="P713" s="232"/>
      <c r="Q713" s="232"/>
      <c r="R713" s="232"/>
      <c r="S713" s="232"/>
      <c r="T713" s="232"/>
      <c r="U713" s="232"/>
      <c r="V713" s="232"/>
      <c r="W713" s="232"/>
      <c r="X713" s="232"/>
      <c r="Y713" s="232"/>
      <c r="Z713" s="232"/>
      <c r="AA713" s="232"/>
      <c r="AB713" s="232"/>
      <c r="AC713" s="232"/>
      <c r="AD713" s="232"/>
      <c r="AE713" s="232"/>
      <c r="AF713" s="232"/>
      <c r="AG713" s="232"/>
      <c r="AH713" s="232"/>
      <c r="AI713" s="232"/>
      <c r="AJ713" s="232"/>
      <c r="AK713" s="232"/>
      <c r="AL713" s="232"/>
      <c r="AM713" s="232"/>
      <c r="AN713" s="232"/>
      <c r="AO713" s="232"/>
      <c r="AP713" s="232"/>
      <c r="AQ713" s="232"/>
      <c r="AR713" s="232"/>
      <c r="AS713" s="232"/>
      <c r="AT713" s="232"/>
      <c r="AU713" s="232"/>
      <c r="AV713" s="232"/>
      <c r="AW713" s="232"/>
      <c r="AX713" s="232"/>
      <c r="AY713" s="232"/>
      <c r="AZ713" s="232"/>
      <c r="BA713" s="232"/>
      <c r="BB713" s="232"/>
      <c r="BC713" s="232"/>
      <c r="BD713" s="232"/>
      <c r="BE713" s="232"/>
      <c r="BF713" s="232"/>
      <c r="BG713" s="232"/>
      <c r="BH713" s="232"/>
      <c r="BI713" s="232"/>
      <c r="BJ713" s="232"/>
      <c r="BK713" s="232"/>
      <c r="BL713" s="232"/>
      <c r="BM713" s="232"/>
      <c r="BN713" s="232"/>
      <c r="BO713" s="232"/>
      <c r="BP713" s="232"/>
      <c r="BQ713" s="232"/>
      <c r="BR713" s="232"/>
      <c r="BS713" s="232"/>
      <c r="BT713" s="232"/>
      <c r="BU713" s="232"/>
      <c r="BV713" s="232"/>
      <c r="BW713" s="232"/>
      <c r="BX713" s="232"/>
      <c r="BY713" s="232"/>
      <c r="BZ713" s="232"/>
      <c r="CA713" s="232"/>
      <c r="CB713" s="232"/>
      <c r="CC713" s="232"/>
      <c r="CD713" s="232"/>
      <c r="CE713" s="232"/>
      <c r="CF713" s="232"/>
      <c r="CG713" s="232"/>
      <c r="CH713" s="232"/>
      <c r="CI713" s="232"/>
      <c r="CJ713" s="232"/>
      <c r="CK713" s="232"/>
      <c r="CL713" s="232"/>
      <c r="CM713" s="232"/>
      <c r="CN713" s="215"/>
      <c r="CO713" s="215"/>
      <c r="CP713" s="215"/>
      <c r="CQ713" s="215"/>
      <c r="CR713" s="215"/>
      <c r="CS713" s="215"/>
      <c r="CT713" s="215"/>
    </row>
    <row r="714" ht="24.0" customHeight="1">
      <c r="A714" s="287"/>
      <c r="B714" s="287"/>
      <c r="C714" s="287"/>
      <c r="D714" s="232"/>
      <c r="E714" s="232"/>
      <c r="F714" s="232"/>
      <c r="G714" s="232"/>
      <c r="H714" s="232"/>
      <c r="I714" s="232"/>
      <c r="J714" s="232"/>
      <c r="K714" s="232"/>
      <c r="L714" s="232"/>
      <c r="M714" s="232"/>
      <c r="N714" s="289"/>
      <c r="O714" s="232"/>
      <c r="P714" s="232"/>
      <c r="Q714" s="232"/>
      <c r="R714" s="232"/>
      <c r="S714" s="232"/>
      <c r="T714" s="232"/>
      <c r="U714" s="232"/>
      <c r="V714" s="232"/>
      <c r="W714" s="232"/>
      <c r="X714" s="232"/>
      <c r="Y714" s="232"/>
      <c r="Z714" s="232"/>
      <c r="AA714" s="232"/>
      <c r="AB714" s="232"/>
      <c r="AC714" s="232"/>
      <c r="AD714" s="232"/>
      <c r="AE714" s="232"/>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c r="BL714" s="232"/>
      <c r="BM714" s="232"/>
      <c r="BN714" s="232"/>
      <c r="BO714" s="232"/>
      <c r="BP714" s="232"/>
      <c r="BQ714" s="232"/>
      <c r="BR714" s="232"/>
      <c r="BS714" s="232"/>
      <c r="BT714" s="232"/>
      <c r="BU714" s="232"/>
      <c r="BV714" s="232"/>
      <c r="BW714" s="232"/>
      <c r="BX714" s="232"/>
      <c r="BY714" s="232"/>
      <c r="BZ714" s="232"/>
      <c r="CA714" s="232"/>
      <c r="CB714" s="232"/>
      <c r="CC714" s="232"/>
      <c r="CD714" s="232"/>
      <c r="CE714" s="232"/>
      <c r="CF714" s="232"/>
      <c r="CG714" s="232"/>
      <c r="CH714" s="232"/>
      <c r="CI714" s="232"/>
      <c r="CJ714" s="232"/>
      <c r="CK714" s="232"/>
      <c r="CL714" s="232"/>
      <c r="CM714" s="232"/>
      <c r="CN714" s="215"/>
      <c r="CO714" s="215"/>
      <c r="CP714" s="215"/>
      <c r="CQ714" s="215"/>
      <c r="CR714" s="215"/>
      <c r="CS714" s="215"/>
      <c r="CT714" s="215"/>
    </row>
    <row r="715" ht="24.0" customHeight="1">
      <c r="A715" s="287"/>
      <c r="B715" s="287"/>
      <c r="C715" s="287"/>
      <c r="D715" s="232"/>
      <c r="E715" s="232"/>
      <c r="F715" s="232"/>
      <c r="G715" s="232"/>
      <c r="H715" s="232"/>
      <c r="I715" s="232"/>
      <c r="J715" s="232"/>
      <c r="K715" s="232"/>
      <c r="L715" s="232"/>
      <c r="M715" s="232"/>
      <c r="N715" s="289"/>
      <c r="O715" s="232"/>
      <c r="P715" s="232"/>
      <c r="Q715" s="232"/>
      <c r="R715" s="232"/>
      <c r="S715" s="232"/>
      <c r="T715" s="232"/>
      <c r="U715" s="232"/>
      <c r="V715" s="232"/>
      <c r="W715" s="232"/>
      <c r="X715" s="232"/>
      <c r="Y715" s="232"/>
      <c r="Z715" s="232"/>
      <c r="AA715" s="232"/>
      <c r="AB715" s="232"/>
      <c r="AC715" s="232"/>
      <c r="AD715" s="232"/>
      <c r="AE715" s="232"/>
      <c r="AF715" s="232"/>
      <c r="AG715" s="232"/>
      <c r="AH715" s="232"/>
      <c r="AI715" s="232"/>
      <c r="AJ715" s="232"/>
      <c r="AK715" s="232"/>
      <c r="AL715" s="232"/>
      <c r="AM715" s="232"/>
      <c r="AN715" s="232"/>
      <c r="AO715" s="232"/>
      <c r="AP715" s="232"/>
      <c r="AQ715" s="232"/>
      <c r="AR715" s="232"/>
      <c r="AS715" s="232"/>
      <c r="AT715" s="232"/>
      <c r="AU715" s="232"/>
      <c r="AV715" s="232"/>
      <c r="AW715" s="232"/>
      <c r="AX715" s="232"/>
      <c r="AY715" s="232"/>
      <c r="AZ715" s="232"/>
      <c r="BA715" s="232"/>
      <c r="BB715" s="232"/>
      <c r="BC715" s="232"/>
      <c r="BD715" s="232"/>
      <c r="BE715" s="232"/>
      <c r="BF715" s="232"/>
      <c r="BG715" s="232"/>
      <c r="BH715" s="232"/>
      <c r="BI715" s="232"/>
      <c r="BJ715" s="232"/>
      <c r="BK715" s="232"/>
      <c r="BL715" s="232"/>
      <c r="BM715" s="232"/>
      <c r="BN715" s="232"/>
      <c r="BO715" s="232"/>
      <c r="BP715" s="232"/>
      <c r="BQ715" s="232"/>
      <c r="BR715" s="232"/>
      <c r="BS715" s="232"/>
      <c r="BT715" s="232"/>
      <c r="BU715" s="232"/>
      <c r="BV715" s="232"/>
      <c r="BW715" s="232"/>
      <c r="BX715" s="232"/>
      <c r="BY715" s="232"/>
      <c r="BZ715" s="232"/>
      <c r="CA715" s="232"/>
      <c r="CB715" s="232"/>
      <c r="CC715" s="232"/>
      <c r="CD715" s="232"/>
      <c r="CE715" s="232"/>
      <c r="CF715" s="232"/>
      <c r="CG715" s="232"/>
      <c r="CH715" s="232"/>
      <c r="CI715" s="232"/>
      <c r="CJ715" s="232"/>
      <c r="CK715" s="232"/>
      <c r="CL715" s="232"/>
      <c r="CM715" s="232"/>
      <c r="CN715" s="215"/>
      <c r="CO715" s="215"/>
      <c r="CP715" s="215"/>
      <c r="CQ715" s="215"/>
      <c r="CR715" s="215"/>
      <c r="CS715" s="215"/>
      <c r="CT715" s="215"/>
    </row>
    <row r="716" ht="24.0" customHeight="1">
      <c r="A716" s="287"/>
      <c r="B716" s="287"/>
      <c r="C716" s="287"/>
      <c r="D716" s="232"/>
      <c r="E716" s="232"/>
      <c r="F716" s="232"/>
      <c r="G716" s="232"/>
      <c r="H716" s="232"/>
      <c r="I716" s="232"/>
      <c r="J716" s="232"/>
      <c r="K716" s="232"/>
      <c r="L716" s="232"/>
      <c r="M716" s="232"/>
      <c r="N716" s="289"/>
      <c r="O716" s="232"/>
      <c r="P716" s="232"/>
      <c r="Q716" s="232"/>
      <c r="R716" s="232"/>
      <c r="S716" s="232"/>
      <c r="T716" s="232"/>
      <c r="U716" s="232"/>
      <c r="V716" s="232"/>
      <c r="W716" s="232"/>
      <c r="X716" s="232"/>
      <c r="Y716" s="232"/>
      <c r="Z716" s="232"/>
      <c r="AA716" s="232"/>
      <c r="AB716" s="232"/>
      <c r="AC716" s="232"/>
      <c r="AD716" s="232"/>
      <c r="AE716" s="232"/>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c r="BL716" s="232"/>
      <c r="BM716" s="232"/>
      <c r="BN716" s="232"/>
      <c r="BO716" s="232"/>
      <c r="BP716" s="232"/>
      <c r="BQ716" s="232"/>
      <c r="BR716" s="232"/>
      <c r="BS716" s="232"/>
      <c r="BT716" s="232"/>
      <c r="BU716" s="232"/>
      <c r="BV716" s="232"/>
      <c r="BW716" s="232"/>
      <c r="BX716" s="232"/>
      <c r="BY716" s="232"/>
      <c r="BZ716" s="232"/>
      <c r="CA716" s="232"/>
      <c r="CB716" s="232"/>
      <c r="CC716" s="232"/>
      <c r="CD716" s="232"/>
      <c r="CE716" s="232"/>
      <c r="CF716" s="232"/>
      <c r="CG716" s="232"/>
      <c r="CH716" s="232"/>
      <c r="CI716" s="232"/>
      <c r="CJ716" s="232"/>
      <c r="CK716" s="232"/>
      <c r="CL716" s="232"/>
      <c r="CM716" s="232"/>
      <c r="CN716" s="215"/>
      <c r="CO716" s="215"/>
      <c r="CP716" s="215"/>
      <c r="CQ716" s="215"/>
      <c r="CR716" s="215"/>
      <c r="CS716" s="215"/>
      <c r="CT716" s="215"/>
    </row>
    <row r="717" ht="24.0" customHeight="1">
      <c r="A717" s="287"/>
      <c r="B717" s="287"/>
      <c r="C717" s="287"/>
      <c r="D717" s="232"/>
      <c r="E717" s="232"/>
      <c r="F717" s="232"/>
      <c r="G717" s="232"/>
      <c r="H717" s="232"/>
      <c r="I717" s="232"/>
      <c r="J717" s="232"/>
      <c r="K717" s="232"/>
      <c r="L717" s="232"/>
      <c r="M717" s="232"/>
      <c r="N717" s="289"/>
      <c r="O717" s="232"/>
      <c r="P717" s="232"/>
      <c r="Q717" s="232"/>
      <c r="R717" s="232"/>
      <c r="S717" s="232"/>
      <c r="T717" s="232"/>
      <c r="U717" s="232"/>
      <c r="V717" s="232"/>
      <c r="W717" s="232"/>
      <c r="X717" s="232"/>
      <c r="Y717" s="232"/>
      <c r="Z717" s="232"/>
      <c r="AA717" s="232"/>
      <c r="AB717" s="232"/>
      <c r="AC717" s="232"/>
      <c r="AD717" s="232"/>
      <c r="AE717" s="232"/>
      <c r="AF717" s="232"/>
      <c r="AG717" s="232"/>
      <c r="AH717" s="232"/>
      <c r="AI717" s="232"/>
      <c r="AJ717" s="232"/>
      <c r="AK717" s="232"/>
      <c r="AL717" s="232"/>
      <c r="AM717" s="232"/>
      <c r="AN717" s="232"/>
      <c r="AO717" s="232"/>
      <c r="AP717" s="232"/>
      <c r="AQ717" s="232"/>
      <c r="AR717" s="232"/>
      <c r="AS717" s="232"/>
      <c r="AT717" s="232"/>
      <c r="AU717" s="232"/>
      <c r="AV717" s="232"/>
      <c r="AW717" s="232"/>
      <c r="AX717" s="232"/>
      <c r="AY717" s="232"/>
      <c r="AZ717" s="232"/>
      <c r="BA717" s="232"/>
      <c r="BB717" s="232"/>
      <c r="BC717" s="232"/>
      <c r="BD717" s="232"/>
      <c r="BE717" s="232"/>
      <c r="BF717" s="232"/>
      <c r="BG717" s="232"/>
      <c r="BH717" s="232"/>
      <c r="BI717" s="232"/>
      <c r="BJ717" s="232"/>
      <c r="BK717" s="232"/>
      <c r="BL717" s="232"/>
      <c r="BM717" s="232"/>
      <c r="BN717" s="232"/>
      <c r="BO717" s="232"/>
      <c r="BP717" s="232"/>
      <c r="BQ717" s="232"/>
      <c r="BR717" s="232"/>
      <c r="BS717" s="232"/>
      <c r="BT717" s="232"/>
      <c r="BU717" s="232"/>
      <c r="BV717" s="232"/>
      <c r="BW717" s="232"/>
      <c r="BX717" s="232"/>
      <c r="BY717" s="232"/>
      <c r="BZ717" s="232"/>
      <c r="CA717" s="232"/>
      <c r="CB717" s="232"/>
      <c r="CC717" s="232"/>
      <c r="CD717" s="232"/>
      <c r="CE717" s="232"/>
      <c r="CF717" s="232"/>
      <c r="CG717" s="232"/>
      <c r="CH717" s="232"/>
      <c r="CI717" s="232"/>
      <c r="CJ717" s="232"/>
      <c r="CK717" s="232"/>
      <c r="CL717" s="232"/>
      <c r="CM717" s="232"/>
      <c r="CN717" s="215"/>
      <c r="CO717" s="215"/>
      <c r="CP717" s="215"/>
      <c r="CQ717" s="215"/>
      <c r="CR717" s="215"/>
      <c r="CS717" s="215"/>
      <c r="CT717" s="215"/>
    </row>
    <row r="718" ht="24.0" customHeight="1">
      <c r="A718" s="287"/>
      <c r="B718" s="287"/>
      <c r="C718" s="287"/>
      <c r="D718" s="232"/>
      <c r="E718" s="232"/>
      <c r="F718" s="232"/>
      <c r="G718" s="232"/>
      <c r="H718" s="232"/>
      <c r="I718" s="232"/>
      <c r="J718" s="232"/>
      <c r="K718" s="232"/>
      <c r="L718" s="232"/>
      <c r="M718" s="232"/>
      <c r="N718" s="289"/>
      <c r="O718" s="232"/>
      <c r="P718" s="232"/>
      <c r="Q718" s="232"/>
      <c r="R718" s="232"/>
      <c r="S718" s="232"/>
      <c r="T718" s="232"/>
      <c r="U718" s="232"/>
      <c r="V718" s="232"/>
      <c r="W718" s="232"/>
      <c r="X718" s="232"/>
      <c r="Y718" s="232"/>
      <c r="Z718" s="232"/>
      <c r="AA718" s="232"/>
      <c r="AB718" s="232"/>
      <c r="AC718" s="232"/>
      <c r="AD718" s="232"/>
      <c r="AE718" s="232"/>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c r="BL718" s="232"/>
      <c r="BM718" s="232"/>
      <c r="BN718" s="232"/>
      <c r="BO718" s="232"/>
      <c r="BP718" s="232"/>
      <c r="BQ718" s="232"/>
      <c r="BR718" s="232"/>
      <c r="BS718" s="232"/>
      <c r="BT718" s="232"/>
      <c r="BU718" s="232"/>
      <c r="BV718" s="232"/>
      <c r="BW718" s="232"/>
      <c r="BX718" s="232"/>
      <c r="BY718" s="232"/>
      <c r="BZ718" s="232"/>
      <c r="CA718" s="232"/>
      <c r="CB718" s="232"/>
      <c r="CC718" s="232"/>
      <c r="CD718" s="232"/>
      <c r="CE718" s="232"/>
      <c r="CF718" s="232"/>
      <c r="CG718" s="232"/>
      <c r="CH718" s="232"/>
      <c r="CI718" s="232"/>
      <c r="CJ718" s="232"/>
      <c r="CK718" s="232"/>
      <c r="CL718" s="232"/>
      <c r="CM718" s="232"/>
      <c r="CN718" s="215"/>
      <c r="CO718" s="215"/>
      <c r="CP718" s="215"/>
      <c r="CQ718" s="215"/>
      <c r="CR718" s="215"/>
      <c r="CS718" s="215"/>
      <c r="CT718" s="215"/>
    </row>
    <row r="719" ht="24.0" customHeight="1">
      <c r="A719" s="287"/>
      <c r="B719" s="287"/>
      <c r="C719" s="287"/>
      <c r="D719" s="232"/>
      <c r="E719" s="232"/>
      <c r="F719" s="232"/>
      <c r="G719" s="232"/>
      <c r="H719" s="232"/>
      <c r="I719" s="232"/>
      <c r="J719" s="232"/>
      <c r="K719" s="232"/>
      <c r="L719" s="232"/>
      <c r="M719" s="232"/>
      <c r="N719" s="289"/>
      <c r="O719" s="232"/>
      <c r="P719" s="232"/>
      <c r="Q719" s="232"/>
      <c r="R719" s="232"/>
      <c r="S719" s="232"/>
      <c r="T719" s="232"/>
      <c r="U719" s="232"/>
      <c r="V719" s="232"/>
      <c r="W719" s="232"/>
      <c r="X719" s="232"/>
      <c r="Y719" s="232"/>
      <c r="Z719" s="232"/>
      <c r="AA719" s="232"/>
      <c r="AB719" s="232"/>
      <c r="AC719" s="232"/>
      <c r="AD719" s="232"/>
      <c r="AE719" s="232"/>
      <c r="AF719" s="232"/>
      <c r="AG719" s="232"/>
      <c r="AH719" s="232"/>
      <c r="AI719" s="232"/>
      <c r="AJ719" s="232"/>
      <c r="AK719" s="232"/>
      <c r="AL719" s="232"/>
      <c r="AM719" s="232"/>
      <c r="AN719" s="232"/>
      <c r="AO719" s="232"/>
      <c r="AP719" s="232"/>
      <c r="AQ719" s="232"/>
      <c r="AR719" s="232"/>
      <c r="AS719" s="232"/>
      <c r="AT719" s="232"/>
      <c r="AU719" s="232"/>
      <c r="AV719" s="232"/>
      <c r="AW719" s="232"/>
      <c r="AX719" s="232"/>
      <c r="AY719" s="232"/>
      <c r="AZ719" s="232"/>
      <c r="BA719" s="232"/>
      <c r="BB719" s="232"/>
      <c r="BC719" s="232"/>
      <c r="BD719" s="232"/>
      <c r="BE719" s="232"/>
      <c r="BF719" s="232"/>
      <c r="BG719" s="232"/>
      <c r="BH719" s="232"/>
      <c r="BI719" s="232"/>
      <c r="BJ719" s="232"/>
      <c r="BK719" s="232"/>
      <c r="BL719" s="232"/>
      <c r="BM719" s="232"/>
      <c r="BN719" s="232"/>
      <c r="BO719" s="232"/>
      <c r="BP719" s="232"/>
      <c r="BQ719" s="232"/>
      <c r="BR719" s="232"/>
      <c r="BS719" s="232"/>
      <c r="BT719" s="232"/>
      <c r="BU719" s="232"/>
      <c r="BV719" s="232"/>
      <c r="BW719" s="232"/>
      <c r="BX719" s="232"/>
      <c r="BY719" s="232"/>
      <c r="BZ719" s="232"/>
      <c r="CA719" s="232"/>
      <c r="CB719" s="232"/>
      <c r="CC719" s="232"/>
      <c r="CD719" s="232"/>
      <c r="CE719" s="232"/>
      <c r="CF719" s="232"/>
      <c r="CG719" s="232"/>
      <c r="CH719" s="232"/>
      <c r="CI719" s="232"/>
      <c r="CJ719" s="232"/>
      <c r="CK719" s="232"/>
      <c r="CL719" s="232"/>
      <c r="CM719" s="232"/>
      <c r="CN719" s="215"/>
      <c r="CO719" s="215"/>
      <c r="CP719" s="215"/>
      <c r="CQ719" s="215"/>
      <c r="CR719" s="215"/>
      <c r="CS719" s="215"/>
      <c r="CT719" s="215"/>
    </row>
    <row r="720" ht="24.0" customHeight="1">
      <c r="A720" s="287"/>
      <c r="B720" s="287"/>
      <c r="C720" s="287"/>
      <c r="D720" s="232"/>
      <c r="E720" s="232"/>
      <c r="F720" s="232"/>
      <c r="G720" s="232"/>
      <c r="H720" s="232"/>
      <c r="I720" s="232"/>
      <c r="J720" s="232"/>
      <c r="K720" s="232"/>
      <c r="L720" s="232"/>
      <c r="M720" s="232"/>
      <c r="N720" s="289"/>
      <c r="O720" s="232"/>
      <c r="P720" s="232"/>
      <c r="Q720" s="232"/>
      <c r="R720" s="232"/>
      <c r="S720" s="232"/>
      <c r="T720" s="232"/>
      <c r="U720" s="232"/>
      <c r="V720" s="232"/>
      <c r="W720" s="232"/>
      <c r="X720" s="232"/>
      <c r="Y720" s="232"/>
      <c r="Z720" s="232"/>
      <c r="AA720" s="232"/>
      <c r="AB720" s="232"/>
      <c r="AC720" s="232"/>
      <c r="AD720" s="232"/>
      <c r="AE720" s="232"/>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c r="BL720" s="232"/>
      <c r="BM720" s="232"/>
      <c r="BN720" s="232"/>
      <c r="BO720" s="232"/>
      <c r="BP720" s="232"/>
      <c r="BQ720" s="232"/>
      <c r="BR720" s="232"/>
      <c r="BS720" s="232"/>
      <c r="BT720" s="232"/>
      <c r="BU720" s="232"/>
      <c r="BV720" s="232"/>
      <c r="BW720" s="232"/>
      <c r="BX720" s="232"/>
      <c r="BY720" s="232"/>
      <c r="BZ720" s="232"/>
      <c r="CA720" s="232"/>
      <c r="CB720" s="232"/>
      <c r="CC720" s="232"/>
      <c r="CD720" s="232"/>
      <c r="CE720" s="232"/>
      <c r="CF720" s="232"/>
      <c r="CG720" s="232"/>
      <c r="CH720" s="232"/>
      <c r="CI720" s="232"/>
      <c r="CJ720" s="232"/>
      <c r="CK720" s="232"/>
      <c r="CL720" s="232"/>
      <c r="CM720" s="232"/>
      <c r="CN720" s="215"/>
      <c r="CO720" s="215"/>
      <c r="CP720" s="215"/>
      <c r="CQ720" s="215"/>
      <c r="CR720" s="215"/>
      <c r="CS720" s="215"/>
      <c r="CT720" s="215"/>
    </row>
    <row r="721" ht="24.0" customHeight="1">
      <c r="A721" s="287"/>
      <c r="B721" s="287"/>
      <c r="C721" s="287"/>
      <c r="D721" s="232"/>
      <c r="E721" s="232"/>
      <c r="F721" s="232"/>
      <c r="G721" s="232"/>
      <c r="H721" s="232"/>
      <c r="I721" s="232"/>
      <c r="J721" s="232"/>
      <c r="K721" s="232"/>
      <c r="L721" s="232"/>
      <c r="M721" s="232"/>
      <c r="N721" s="289"/>
      <c r="O721" s="232"/>
      <c r="P721" s="232"/>
      <c r="Q721" s="232"/>
      <c r="R721" s="232"/>
      <c r="S721" s="232"/>
      <c r="T721" s="232"/>
      <c r="U721" s="232"/>
      <c r="V721" s="232"/>
      <c r="W721" s="232"/>
      <c r="X721" s="232"/>
      <c r="Y721" s="232"/>
      <c r="Z721" s="232"/>
      <c r="AA721" s="232"/>
      <c r="AB721" s="232"/>
      <c r="AC721" s="232"/>
      <c r="AD721" s="232"/>
      <c r="AE721" s="232"/>
      <c r="AF721" s="232"/>
      <c r="AG721" s="232"/>
      <c r="AH721" s="232"/>
      <c r="AI721" s="232"/>
      <c r="AJ721" s="232"/>
      <c r="AK721" s="232"/>
      <c r="AL721" s="232"/>
      <c r="AM721" s="232"/>
      <c r="AN721" s="232"/>
      <c r="AO721" s="232"/>
      <c r="AP721" s="232"/>
      <c r="AQ721" s="232"/>
      <c r="AR721" s="232"/>
      <c r="AS721" s="232"/>
      <c r="AT721" s="232"/>
      <c r="AU721" s="232"/>
      <c r="AV721" s="232"/>
      <c r="AW721" s="232"/>
      <c r="AX721" s="232"/>
      <c r="AY721" s="232"/>
      <c r="AZ721" s="232"/>
      <c r="BA721" s="232"/>
      <c r="BB721" s="232"/>
      <c r="BC721" s="232"/>
      <c r="BD721" s="232"/>
      <c r="BE721" s="232"/>
      <c r="BF721" s="232"/>
      <c r="BG721" s="232"/>
      <c r="BH721" s="232"/>
      <c r="BI721" s="232"/>
      <c r="BJ721" s="232"/>
      <c r="BK721" s="232"/>
      <c r="BL721" s="232"/>
      <c r="BM721" s="232"/>
      <c r="BN721" s="232"/>
      <c r="BO721" s="232"/>
      <c r="BP721" s="232"/>
      <c r="BQ721" s="232"/>
      <c r="BR721" s="232"/>
      <c r="BS721" s="232"/>
      <c r="BT721" s="232"/>
      <c r="BU721" s="232"/>
      <c r="BV721" s="232"/>
      <c r="BW721" s="232"/>
      <c r="BX721" s="232"/>
      <c r="BY721" s="232"/>
      <c r="BZ721" s="232"/>
      <c r="CA721" s="232"/>
      <c r="CB721" s="232"/>
      <c r="CC721" s="232"/>
      <c r="CD721" s="232"/>
      <c r="CE721" s="232"/>
      <c r="CF721" s="232"/>
      <c r="CG721" s="232"/>
      <c r="CH721" s="232"/>
      <c r="CI721" s="232"/>
      <c r="CJ721" s="232"/>
      <c r="CK721" s="232"/>
      <c r="CL721" s="232"/>
      <c r="CM721" s="232"/>
      <c r="CN721" s="215"/>
      <c r="CO721" s="215"/>
      <c r="CP721" s="215"/>
      <c r="CQ721" s="215"/>
      <c r="CR721" s="215"/>
      <c r="CS721" s="215"/>
      <c r="CT721" s="215"/>
    </row>
    <row r="722" ht="24.0" customHeight="1">
      <c r="A722" s="287"/>
      <c r="B722" s="287"/>
      <c r="C722" s="287"/>
      <c r="D722" s="232"/>
      <c r="E722" s="232"/>
      <c r="F722" s="232"/>
      <c r="G722" s="232"/>
      <c r="H722" s="232"/>
      <c r="I722" s="232"/>
      <c r="J722" s="232"/>
      <c r="K722" s="232"/>
      <c r="L722" s="232"/>
      <c r="M722" s="232"/>
      <c r="N722" s="289"/>
      <c r="O722" s="232"/>
      <c r="P722" s="232"/>
      <c r="Q722" s="232"/>
      <c r="R722" s="232"/>
      <c r="S722" s="232"/>
      <c r="T722" s="232"/>
      <c r="U722" s="232"/>
      <c r="V722" s="232"/>
      <c r="W722" s="232"/>
      <c r="X722" s="232"/>
      <c r="Y722" s="232"/>
      <c r="Z722" s="232"/>
      <c r="AA722" s="232"/>
      <c r="AB722" s="232"/>
      <c r="AC722" s="232"/>
      <c r="AD722" s="232"/>
      <c r="AE722" s="232"/>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c r="BL722" s="232"/>
      <c r="BM722" s="232"/>
      <c r="BN722" s="232"/>
      <c r="BO722" s="232"/>
      <c r="BP722" s="232"/>
      <c r="BQ722" s="232"/>
      <c r="BR722" s="232"/>
      <c r="BS722" s="232"/>
      <c r="BT722" s="232"/>
      <c r="BU722" s="232"/>
      <c r="BV722" s="232"/>
      <c r="BW722" s="232"/>
      <c r="BX722" s="232"/>
      <c r="BY722" s="232"/>
      <c r="BZ722" s="232"/>
      <c r="CA722" s="232"/>
      <c r="CB722" s="232"/>
      <c r="CC722" s="232"/>
      <c r="CD722" s="232"/>
      <c r="CE722" s="232"/>
      <c r="CF722" s="232"/>
      <c r="CG722" s="232"/>
      <c r="CH722" s="232"/>
      <c r="CI722" s="232"/>
      <c r="CJ722" s="232"/>
      <c r="CK722" s="232"/>
      <c r="CL722" s="232"/>
      <c r="CM722" s="232"/>
      <c r="CN722" s="215"/>
      <c r="CO722" s="215"/>
      <c r="CP722" s="215"/>
      <c r="CQ722" s="215"/>
      <c r="CR722" s="215"/>
      <c r="CS722" s="215"/>
      <c r="CT722" s="215"/>
    </row>
    <row r="723" ht="24.0" customHeight="1">
      <c r="A723" s="287"/>
      <c r="B723" s="287"/>
      <c r="C723" s="287"/>
      <c r="D723" s="232"/>
      <c r="E723" s="232"/>
      <c r="F723" s="232"/>
      <c r="G723" s="232"/>
      <c r="H723" s="232"/>
      <c r="I723" s="232"/>
      <c r="J723" s="232"/>
      <c r="K723" s="232"/>
      <c r="L723" s="232"/>
      <c r="M723" s="232"/>
      <c r="N723" s="289"/>
      <c r="O723" s="232"/>
      <c r="P723" s="232"/>
      <c r="Q723" s="232"/>
      <c r="R723" s="232"/>
      <c r="S723" s="232"/>
      <c r="T723" s="232"/>
      <c r="U723" s="232"/>
      <c r="V723" s="232"/>
      <c r="W723" s="232"/>
      <c r="X723" s="232"/>
      <c r="Y723" s="232"/>
      <c r="Z723" s="232"/>
      <c r="AA723" s="232"/>
      <c r="AB723" s="232"/>
      <c r="AC723" s="232"/>
      <c r="AD723" s="232"/>
      <c r="AE723" s="232"/>
      <c r="AF723" s="232"/>
      <c r="AG723" s="232"/>
      <c r="AH723" s="232"/>
      <c r="AI723" s="232"/>
      <c r="AJ723" s="232"/>
      <c r="AK723" s="232"/>
      <c r="AL723" s="232"/>
      <c r="AM723" s="232"/>
      <c r="AN723" s="232"/>
      <c r="AO723" s="232"/>
      <c r="AP723" s="232"/>
      <c r="AQ723" s="232"/>
      <c r="AR723" s="232"/>
      <c r="AS723" s="232"/>
      <c r="AT723" s="232"/>
      <c r="AU723" s="232"/>
      <c r="AV723" s="232"/>
      <c r="AW723" s="232"/>
      <c r="AX723" s="232"/>
      <c r="AY723" s="232"/>
      <c r="AZ723" s="232"/>
      <c r="BA723" s="232"/>
      <c r="BB723" s="232"/>
      <c r="BC723" s="232"/>
      <c r="BD723" s="232"/>
      <c r="BE723" s="232"/>
      <c r="BF723" s="232"/>
      <c r="BG723" s="232"/>
      <c r="BH723" s="232"/>
      <c r="BI723" s="232"/>
      <c r="BJ723" s="232"/>
      <c r="BK723" s="232"/>
      <c r="BL723" s="232"/>
      <c r="BM723" s="232"/>
      <c r="BN723" s="232"/>
      <c r="BO723" s="232"/>
      <c r="BP723" s="232"/>
      <c r="BQ723" s="232"/>
      <c r="BR723" s="232"/>
      <c r="BS723" s="232"/>
      <c r="BT723" s="232"/>
      <c r="BU723" s="232"/>
      <c r="BV723" s="232"/>
      <c r="BW723" s="232"/>
      <c r="BX723" s="232"/>
      <c r="BY723" s="232"/>
      <c r="BZ723" s="232"/>
      <c r="CA723" s="232"/>
      <c r="CB723" s="232"/>
      <c r="CC723" s="232"/>
      <c r="CD723" s="232"/>
      <c r="CE723" s="232"/>
      <c r="CF723" s="232"/>
      <c r="CG723" s="232"/>
      <c r="CH723" s="232"/>
      <c r="CI723" s="232"/>
      <c r="CJ723" s="232"/>
      <c r="CK723" s="232"/>
      <c r="CL723" s="232"/>
      <c r="CM723" s="232"/>
      <c r="CN723" s="215"/>
      <c r="CO723" s="215"/>
      <c r="CP723" s="215"/>
      <c r="CQ723" s="215"/>
      <c r="CR723" s="215"/>
      <c r="CS723" s="215"/>
      <c r="CT723" s="215"/>
    </row>
    <row r="724" ht="24.0" customHeight="1">
      <c r="A724" s="287"/>
      <c r="B724" s="287"/>
      <c r="C724" s="287"/>
      <c r="D724" s="232"/>
      <c r="E724" s="232"/>
      <c r="F724" s="232"/>
      <c r="G724" s="232"/>
      <c r="H724" s="232"/>
      <c r="I724" s="232"/>
      <c r="J724" s="232"/>
      <c r="K724" s="232"/>
      <c r="L724" s="232"/>
      <c r="M724" s="232"/>
      <c r="N724" s="289"/>
      <c r="O724" s="232"/>
      <c r="P724" s="232"/>
      <c r="Q724" s="232"/>
      <c r="R724" s="232"/>
      <c r="S724" s="232"/>
      <c r="T724" s="232"/>
      <c r="U724" s="232"/>
      <c r="V724" s="232"/>
      <c r="W724" s="232"/>
      <c r="X724" s="232"/>
      <c r="Y724" s="232"/>
      <c r="Z724" s="232"/>
      <c r="AA724" s="232"/>
      <c r="AB724" s="232"/>
      <c r="AC724" s="232"/>
      <c r="AD724" s="232"/>
      <c r="AE724" s="232"/>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c r="BL724" s="232"/>
      <c r="BM724" s="232"/>
      <c r="BN724" s="232"/>
      <c r="BO724" s="232"/>
      <c r="BP724" s="232"/>
      <c r="BQ724" s="232"/>
      <c r="BR724" s="232"/>
      <c r="BS724" s="232"/>
      <c r="BT724" s="232"/>
      <c r="BU724" s="232"/>
      <c r="BV724" s="232"/>
      <c r="BW724" s="232"/>
      <c r="BX724" s="232"/>
      <c r="BY724" s="232"/>
      <c r="BZ724" s="232"/>
      <c r="CA724" s="232"/>
      <c r="CB724" s="232"/>
      <c r="CC724" s="232"/>
      <c r="CD724" s="232"/>
      <c r="CE724" s="232"/>
      <c r="CF724" s="232"/>
      <c r="CG724" s="232"/>
      <c r="CH724" s="232"/>
      <c r="CI724" s="232"/>
      <c r="CJ724" s="232"/>
      <c r="CK724" s="232"/>
      <c r="CL724" s="232"/>
      <c r="CM724" s="232"/>
      <c r="CN724" s="215"/>
      <c r="CO724" s="215"/>
      <c r="CP724" s="215"/>
      <c r="CQ724" s="215"/>
      <c r="CR724" s="215"/>
      <c r="CS724" s="215"/>
      <c r="CT724" s="215"/>
    </row>
    <row r="725" ht="24.0" customHeight="1">
      <c r="A725" s="287"/>
      <c r="B725" s="287"/>
      <c r="C725" s="287"/>
      <c r="D725" s="232"/>
      <c r="E725" s="232"/>
      <c r="F725" s="232"/>
      <c r="G725" s="232"/>
      <c r="H725" s="232"/>
      <c r="I725" s="232"/>
      <c r="J725" s="232"/>
      <c r="K725" s="232"/>
      <c r="L725" s="232"/>
      <c r="M725" s="232"/>
      <c r="N725" s="289"/>
      <c r="O725" s="232"/>
      <c r="P725" s="232"/>
      <c r="Q725" s="232"/>
      <c r="R725" s="232"/>
      <c r="S725" s="232"/>
      <c r="T725" s="232"/>
      <c r="U725" s="232"/>
      <c r="V725" s="232"/>
      <c r="W725" s="232"/>
      <c r="X725" s="232"/>
      <c r="Y725" s="232"/>
      <c r="Z725" s="232"/>
      <c r="AA725" s="232"/>
      <c r="AB725" s="232"/>
      <c r="AC725" s="232"/>
      <c r="AD725" s="232"/>
      <c r="AE725" s="232"/>
      <c r="AF725" s="232"/>
      <c r="AG725" s="232"/>
      <c r="AH725" s="232"/>
      <c r="AI725" s="232"/>
      <c r="AJ725" s="232"/>
      <c r="AK725" s="232"/>
      <c r="AL725" s="232"/>
      <c r="AM725" s="232"/>
      <c r="AN725" s="232"/>
      <c r="AO725" s="232"/>
      <c r="AP725" s="232"/>
      <c r="AQ725" s="232"/>
      <c r="AR725" s="232"/>
      <c r="AS725" s="232"/>
      <c r="AT725" s="232"/>
      <c r="AU725" s="232"/>
      <c r="AV725" s="232"/>
      <c r="AW725" s="232"/>
      <c r="AX725" s="232"/>
      <c r="AY725" s="232"/>
      <c r="AZ725" s="232"/>
      <c r="BA725" s="232"/>
      <c r="BB725" s="232"/>
      <c r="BC725" s="232"/>
      <c r="BD725" s="232"/>
      <c r="BE725" s="232"/>
      <c r="BF725" s="232"/>
      <c r="BG725" s="232"/>
      <c r="BH725" s="232"/>
      <c r="BI725" s="232"/>
      <c r="BJ725" s="232"/>
      <c r="BK725" s="232"/>
      <c r="BL725" s="232"/>
      <c r="BM725" s="232"/>
      <c r="BN725" s="232"/>
      <c r="BO725" s="232"/>
      <c r="BP725" s="232"/>
      <c r="BQ725" s="232"/>
      <c r="BR725" s="232"/>
      <c r="BS725" s="232"/>
      <c r="BT725" s="232"/>
      <c r="BU725" s="232"/>
      <c r="BV725" s="232"/>
      <c r="BW725" s="232"/>
      <c r="BX725" s="232"/>
      <c r="BY725" s="232"/>
      <c r="BZ725" s="232"/>
      <c r="CA725" s="232"/>
      <c r="CB725" s="232"/>
      <c r="CC725" s="232"/>
      <c r="CD725" s="232"/>
      <c r="CE725" s="232"/>
      <c r="CF725" s="232"/>
      <c r="CG725" s="232"/>
      <c r="CH725" s="232"/>
      <c r="CI725" s="232"/>
      <c r="CJ725" s="232"/>
      <c r="CK725" s="232"/>
      <c r="CL725" s="232"/>
      <c r="CM725" s="232"/>
      <c r="CN725" s="215"/>
      <c r="CO725" s="215"/>
      <c r="CP725" s="215"/>
      <c r="CQ725" s="215"/>
      <c r="CR725" s="215"/>
      <c r="CS725" s="215"/>
      <c r="CT725" s="215"/>
    </row>
    <row r="726" ht="24.0" customHeight="1">
      <c r="A726" s="287"/>
      <c r="B726" s="287"/>
      <c r="C726" s="287"/>
      <c r="D726" s="232"/>
      <c r="E726" s="232"/>
      <c r="F726" s="232"/>
      <c r="G726" s="232"/>
      <c r="H726" s="232"/>
      <c r="I726" s="232"/>
      <c r="J726" s="232"/>
      <c r="K726" s="232"/>
      <c r="L726" s="232"/>
      <c r="M726" s="232"/>
      <c r="N726" s="289"/>
      <c r="O726" s="232"/>
      <c r="P726" s="232"/>
      <c r="Q726" s="232"/>
      <c r="R726" s="232"/>
      <c r="S726" s="232"/>
      <c r="T726" s="232"/>
      <c r="U726" s="232"/>
      <c r="V726" s="232"/>
      <c r="W726" s="232"/>
      <c r="X726" s="232"/>
      <c r="Y726" s="232"/>
      <c r="Z726" s="232"/>
      <c r="AA726" s="232"/>
      <c r="AB726" s="232"/>
      <c r="AC726" s="232"/>
      <c r="AD726" s="232"/>
      <c r="AE726" s="232"/>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c r="BL726" s="232"/>
      <c r="BM726" s="232"/>
      <c r="BN726" s="232"/>
      <c r="BO726" s="232"/>
      <c r="BP726" s="232"/>
      <c r="BQ726" s="232"/>
      <c r="BR726" s="232"/>
      <c r="BS726" s="232"/>
      <c r="BT726" s="232"/>
      <c r="BU726" s="232"/>
      <c r="BV726" s="232"/>
      <c r="BW726" s="232"/>
      <c r="BX726" s="232"/>
      <c r="BY726" s="232"/>
      <c r="BZ726" s="232"/>
      <c r="CA726" s="232"/>
      <c r="CB726" s="232"/>
      <c r="CC726" s="232"/>
      <c r="CD726" s="232"/>
      <c r="CE726" s="232"/>
      <c r="CF726" s="232"/>
      <c r="CG726" s="232"/>
      <c r="CH726" s="232"/>
      <c r="CI726" s="232"/>
      <c r="CJ726" s="232"/>
      <c r="CK726" s="232"/>
      <c r="CL726" s="232"/>
      <c r="CM726" s="232"/>
      <c r="CN726" s="215"/>
      <c r="CO726" s="215"/>
      <c r="CP726" s="215"/>
      <c r="CQ726" s="215"/>
      <c r="CR726" s="215"/>
      <c r="CS726" s="215"/>
      <c r="CT726" s="215"/>
    </row>
    <row r="727" ht="24.0" customHeight="1">
      <c r="A727" s="287"/>
      <c r="B727" s="287"/>
      <c r="C727" s="287"/>
      <c r="D727" s="232"/>
      <c r="E727" s="232"/>
      <c r="F727" s="232"/>
      <c r="G727" s="232"/>
      <c r="H727" s="232"/>
      <c r="I727" s="232"/>
      <c r="J727" s="232"/>
      <c r="K727" s="232"/>
      <c r="L727" s="232"/>
      <c r="M727" s="232"/>
      <c r="N727" s="289"/>
      <c r="O727" s="232"/>
      <c r="P727" s="232"/>
      <c r="Q727" s="232"/>
      <c r="R727" s="232"/>
      <c r="S727" s="232"/>
      <c r="T727" s="232"/>
      <c r="U727" s="232"/>
      <c r="V727" s="232"/>
      <c r="W727" s="232"/>
      <c r="X727" s="232"/>
      <c r="Y727" s="232"/>
      <c r="Z727" s="232"/>
      <c r="AA727" s="232"/>
      <c r="AB727" s="232"/>
      <c r="AC727" s="232"/>
      <c r="AD727" s="232"/>
      <c r="AE727" s="232"/>
      <c r="AF727" s="232"/>
      <c r="AG727" s="232"/>
      <c r="AH727" s="232"/>
      <c r="AI727" s="232"/>
      <c r="AJ727" s="232"/>
      <c r="AK727" s="232"/>
      <c r="AL727" s="232"/>
      <c r="AM727" s="232"/>
      <c r="AN727" s="232"/>
      <c r="AO727" s="232"/>
      <c r="AP727" s="232"/>
      <c r="AQ727" s="232"/>
      <c r="AR727" s="232"/>
      <c r="AS727" s="232"/>
      <c r="AT727" s="232"/>
      <c r="AU727" s="232"/>
      <c r="AV727" s="232"/>
      <c r="AW727" s="232"/>
      <c r="AX727" s="232"/>
      <c r="AY727" s="232"/>
      <c r="AZ727" s="232"/>
      <c r="BA727" s="232"/>
      <c r="BB727" s="232"/>
      <c r="BC727" s="232"/>
      <c r="BD727" s="232"/>
      <c r="BE727" s="232"/>
      <c r="BF727" s="232"/>
      <c r="BG727" s="232"/>
      <c r="BH727" s="232"/>
      <c r="BI727" s="232"/>
      <c r="BJ727" s="232"/>
      <c r="BK727" s="232"/>
      <c r="BL727" s="232"/>
      <c r="BM727" s="232"/>
      <c r="BN727" s="232"/>
      <c r="BO727" s="232"/>
      <c r="BP727" s="232"/>
      <c r="BQ727" s="232"/>
      <c r="BR727" s="232"/>
      <c r="BS727" s="232"/>
      <c r="BT727" s="232"/>
      <c r="BU727" s="232"/>
      <c r="BV727" s="232"/>
      <c r="BW727" s="232"/>
      <c r="BX727" s="232"/>
      <c r="BY727" s="232"/>
      <c r="BZ727" s="232"/>
      <c r="CA727" s="232"/>
      <c r="CB727" s="232"/>
      <c r="CC727" s="232"/>
      <c r="CD727" s="232"/>
      <c r="CE727" s="232"/>
      <c r="CF727" s="232"/>
      <c r="CG727" s="232"/>
      <c r="CH727" s="232"/>
      <c r="CI727" s="232"/>
      <c r="CJ727" s="232"/>
      <c r="CK727" s="232"/>
      <c r="CL727" s="232"/>
      <c r="CM727" s="232"/>
      <c r="CN727" s="215"/>
      <c r="CO727" s="215"/>
      <c r="CP727" s="215"/>
      <c r="CQ727" s="215"/>
      <c r="CR727" s="215"/>
      <c r="CS727" s="215"/>
      <c r="CT727" s="215"/>
    </row>
    <row r="728" ht="24.0" customHeight="1">
      <c r="A728" s="287"/>
      <c r="B728" s="287"/>
      <c r="C728" s="287"/>
      <c r="D728" s="232"/>
      <c r="E728" s="232"/>
      <c r="F728" s="232"/>
      <c r="G728" s="232"/>
      <c r="H728" s="232"/>
      <c r="I728" s="232"/>
      <c r="J728" s="232"/>
      <c r="K728" s="232"/>
      <c r="L728" s="232"/>
      <c r="M728" s="232"/>
      <c r="N728" s="289"/>
      <c r="O728" s="232"/>
      <c r="P728" s="232"/>
      <c r="Q728" s="232"/>
      <c r="R728" s="232"/>
      <c r="S728" s="232"/>
      <c r="T728" s="232"/>
      <c r="U728" s="232"/>
      <c r="V728" s="232"/>
      <c r="W728" s="232"/>
      <c r="X728" s="232"/>
      <c r="Y728" s="232"/>
      <c r="Z728" s="232"/>
      <c r="AA728" s="232"/>
      <c r="AB728" s="232"/>
      <c r="AC728" s="232"/>
      <c r="AD728" s="232"/>
      <c r="AE728" s="232"/>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c r="BL728" s="232"/>
      <c r="BM728" s="232"/>
      <c r="BN728" s="232"/>
      <c r="BO728" s="232"/>
      <c r="BP728" s="232"/>
      <c r="BQ728" s="232"/>
      <c r="BR728" s="232"/>
      <c r="BS728" s="232"/>
      <c r="BT728" s="232"/>
      <c r="BU728" s="232"/>
      <c r="BV728" s="232"/>
      <c r="BW728" s="232"/>
      <c r="BX728" s="232"/>
      <c r="BY728" s="232"/>
      <c r="BZ728" s="232"/>
      <c r="CA728" s="232"/>
      <c r="CB728" s="232"/>
      <c r="CC728" s="232"/>
      <c r="CD728" s="232"/>
      <c r="CE728" s="232"/>
      <c r="CF728" s="232"/>
      <c r="CG728" s="232"/>
      <c r="CH728" s="232"/>
      <c r="CI728" s="232"/>
      <c r="CJ728" s="232"/>
      <c r="CK728" s="232"/>
      <c r="CL728" s="232"/>
      <c r="CM728" s="232"/>
      <c r="CN728" s="215"/>
      <c r="CO728" s="215"/>
      <c r="CP728" s="215"/>
      <c r="CQ728" s="215"/>
      <c r="CR728" s="215"/>
      <c r="CS728" s="215"/>
      <c r="CT728" s="215"/>
    </row>
    <row r="729" ht="24.0" customHeight="1">
      <c r="A729" s="287"/>
      <c r="B729" s="287"/>
      <c r="C729" s="287"/>
      <c r="D729" s="232"/>
      <c r="E729" s="232"/>
      <c r="F729" s="232"/>
      <c r="G729" s="232"/>
      <c r="H729" s="232"/>
      <c r="I729" s="232"/>
      <c r="J729" s="232"/>
      <c r="K729" s="232"/>
      <c r="L729" s="232"/>
      <c r="M729" s="232"/>
      <c r="N729" s="289"/>
      <c r="O729" s="232"/>
      <c r="P729" s="232"/>
      <c r="Q729" s="232"/>
      <c r="R729" s="232"/>
      <c r="S729" s="232"/>
      <c r="T729" s="232"/>
      <c r="U729" s="232"/>
      <c r="V729" s="232"/>
      <c r="W729" s="232"/>
      <c r="X729" s="232"/>
      <c r="Y729" s="232"/>
      <c r="Z729" s="232"/>
      <c r="AA729" s="232"/>
      <c r="AB729" s="232"/>
      <c r="AC729" s="232"/>
      <c r="AD729" s="232"/>
      <c r="AE729" s="232"/>
      <c r="AF729" s="232"/>
      <c r="AG729" s="232"/>
      <c r="AH729" s="232"/>
      <c r="AI729" s="232"/>
      <c r="AJ729" s="232"/>
      <c r="AK729" s="232"/>
      <c r="AL729" s="232"/>
      <c r="AM729" s="232"/>
      <c r="AN729" s="232"/>
      <c r="AO729" s="232"/>
      <c r="AP729" s="232"/>
      <c r="AQ729" s="232"/>
      <c r="AR729" s="232"/>
      <c r="AS729" s="232"/>
      <c r="AT729" s="232"/>
      <c r="AU729" s="232"/>
      <c r="AV729" s="232"/>
      <c r="AW729" s="232"/>
      <c r="AX729" s="232"/>
      <c r="AY729" s="232"/>
      <c r="AZ729" s="232"/>
      <c r="BA729" s="232"/>
      <c r="BB729" s="232"/>
      <c r="BC729" s="232"/>
      <c r="BD729" s="232"/>
      <c r="BE729" s="232"/>
      <c r="BF729" s="232"/>
      <c r="BG729" s="232"/>
      <c r="BH729" s="232"/>
      <c r="BI729" s="232"/>
      <c r="BJ729" s="232"/>
      <c r="BK729" s="232"/>
      <c r="BL729" s="232"/>
      <c r="BM729" s="232"/>
      <c r="BN729" s="232"/>
      <c r="BO729" s="232"/>
      <c r="BP729" s="232"/>
      <c r="BQ729" s="232"/>
      <c r="BR729" s="232"/>
      <c r="BS729" s="232"/>
      <c r="BT729" s="232"/>
      <c r="BU729" s="232"/>
      <c r="BV729" s="232"/>
      <c r="BW729" s="232"/>
      <c r="BX729" s="232"/>
      <c r="BY729" s="232"/>
      <c r="BZ729" s="232"/>
      <c r="CA729" s="232"/>
      <c r="CB729" s="232"/>
      <c r="CC729" s="232"/>
      <c r="CD729" s="232"/>
      <c r="CE729" s="232"/>
      <c r="CF729" s="232"/>
      <c r="CG729" s="232"/>
      <c r="CH729" s="232"/>
      <c r="CI729" s="232"/>
      <c r="CJ729" s="232"/>
      <c r="CK729" s="232"/>
      <c r="CL729" s="232"/>
      <c r="CM729" s="232"/>
      <c r="CN729" s="215"/>
      <c r="CO729" s="215"/>
      <c r="CP729" s="215"/>
      <c r="CQ729" s="215"/>
      <c r="CR729" s="215"/>
      <c r="CS729" s="215"/>
      <c r="CT729" s="215"/>
    </row>
    <row r="730" ht="24.0" customHeight="1">
      <c r="A730" s="287"/>
      <c r="B730" s="287"/>
      <c r="C730" s="287"/>
      <c r="D730" s="232"/>
      <c r="E730" s="232"/>
      <c r="F730" s="232"/>
      <c r="G730" s="232"/>
      <c r="H730" s="232"/>
      <c r="I730" s="232"/>
      <c r="J730" s="232"/>
      <c r="K730" s="232"/>
      <c r="L730" s="232"/>
      <c r="M730" s="232"/>
      <c r="N730" s="289"/>
      <c r="O730" s="232"/>
      <c r="P730" s="232"/>
      <c r="Q730" s="232"/>
      <c r="R730" s="232"/>
      <c r="S730" s="232"/>
      <c r="T730" s="232"/>
      <c r="U730" s="232"/>
      <c r="V730" s="232"/>
      <c r="W730" s="232"/>
      <c r="X730" s="232"/>
      <c r="Y730" s="232"/>
      <c r="Z730" s="232"/>
      <c r="AA730" s="232"/>
      <c r="AB730" s="232"/>
      <c r="AC730" s="232"/>
      <c r="AD730" s="232"/>
      <c r="AE730" s="232"/>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c r="BL730" s="232"/>
      <c r="BM730" s="232"/>
      <c r="BN730" s="232"/>
      <c r="BO730" s="232"/>
      <c r="BP730" s="232"/>
      <c r="BQ730" s="232"/>
      <c r="BR730" s="232"/>
      <c r="BS730" s="232"/>
      <c r="BT730" s="232"/>
      <c r="BU730" s="232"/>
      <c r="BV730" s="232"/>
      <c r="BW730" s="232"/>
      <c r="BX730" s="232"/>
      <c r="BY730" s="232"/>
      <c r="BZ730" s="232"/>
      <c r="CA730" s="232"/>
      <c r="CB730" s="232"/>
      <c r="CC730" s="232"/>
      <c r="CD730" s="232"/>
      <c r="CE730" s="232"/>
      <c r="CF730" s="232"/>
      <c r="CG730" s="232"/>
      <c r="CH730" s="232"/>
      <c r="CI730" s="232"/>
      <c r="CJ730" s="232"/>
      <c r="CK730" s="232"/>
      <c r="CL730" s="232"/>
      <c r="CM730" s="232"/>
      <c r="CN730" s="215"/>
      <c r="CO730" s="215"/>
      <c r="CP730" s="215"/>
      <c r="CQ730" s="215"/>
      <c r="CR730" s="215"/>
      <c r="CS730" s="215"/>
      <c r="CT730" s="215"/>
    </row>
    <row r="731" ht="24.0" customHeight="1">
      <c r="A731" s="287"/>
      <c r="B731" s="287"/>
      <c r="C731" s="287"/>
      <c r="D731" s="232"/>
      <c r="E731" s="232"/>
      <c r="F731" s="232"/>
      <c r="G731" s="232"/>
      <c r="H731" s="232"/>
      <c r="I731" s="232"/>
      <c r="J731" s="232"/>
      <c r="K731" s="232"/>
      <c r="L731" s="232"/>
      <c r="M731" s="232"/>
      <c r="N731" s="289"/>
      <c r="O731" s="232"/>
      <c r="P731" s="232"/>
      <c r="Q731" s="232"/>
      <c r="R731" s="232"/>
      <c r="S731" s="232"/>
      <c r="T731" s="232"/>
      <c r="U731" s="232"/>
      <c r="V731" s="232"/>
      <c r="W731" s="232"/>
      <c r="X731" s="232"/>
      <c r="Y731" s="232"/>
      <c r="Z731" s="232"/>
      <c r="AA731" s="232"/>
      <c r="AB731" s="232"/>
      <c r="AC731" s="232"/>
      <c r="AD731" s="232"/>
      <c r="AE731" s="232"/>
      <c r="AF731" s="232"/>
      <c r="AG731" s="232"/>
      <c r="AH731" s="232"/>
      <c r="AI731" s="232"/>
      <c r="AJ731" s="232"/>
      <c r="AK731" s="232"/>
      <c r="AL731" s="232"/>
      <c r="AM731" s="232"/>
      <c r="AN731" s="232"/>
      <c r="AO731" s="232"/>
      <c r="AP731" s="232"/>
      <c r="AQ731" s="232"/>
      <c r="AR731" s="232"/>
      <c r="AS731" s="232"/>
      <c r="AT731" s="232"/>
      <c r="AU731" s="232"/>
      <c r="AV731" s="232"/>
      <c r="AW731" s="232"/>
      <c r="AX731" s="232"/>
      <c r="AY731" s="232"/>
      <c r="AZ731" s="232"/>
      <c r="BA731" s="232"/>
      <c r="BB731" s="232"/>
      <c r="BC731" s="232"/>
      <c r="BD731" s="232"/>
      <c r="BE731" s="232"/>
      <c r="BF731" s="232"/>
      <c r="BG731" s="232"/>
      <c r="BH731" s="232"/>
      <c r="BI731" s="232"/>
      <c r="BJ731" s="232"/>
      <c r="BK731" s="232"/>
      <c r="BL731" s="232"/>
      <c r="BM731" s="232"/>
      <c r="BN731" s="232"/>
      <c r="BO731" s="232"/>
      <c r="BP731" s="232"/>
      <c r="BQ731" s="232"/>
      <c r="BR731" s="232"/>
      <c r="BS731" s="232"/>
      <c r="BT731" s="232"/>
      <c r="BU731" s="232"/>
      <c r="BV731" s="232"/>
      <c r="BW731" s="232"/>
      <c r="BX731" s="232"/>
      <c r="BY731" s="232"/>
      <c r="BZ731" s="232"/>
      <c r="CA731" s="232"/>
      <c r="CB731" s="232"/>
      <c r="CC731" s="232"/>
      <c r="CD731" s="232"/>
      <c r="CE731" s="232"/>
      <c r="CF731" s="232"/>
      <c r="CG731" s="232"/>
      <c r="CH731" s="232"/>
      <c r="CI731" s="232"/>
      <c r="CJ731" s="232"/>
      <c r="CK731" s="232"/>
      <c r="CL731" s="232"/>
      <c r="CM731" s="232"/>
      <c r="CN731" s="215"/>
      <c r="CO731" s="215"/>
      <c r="CP731" s="215"/>
      <c r="CQ731" s="215"/>
      <c r="CR731" s="215"/>
      <c r="CS731" s="215"/>
      <c r="CT731" s="215"/>
    </row>
    <row r="732" ht="24.0" customHeight="1">
      <c r="A732" s="287"/>
      <c r="B732" s="287"/>
      <c r="C732" s="287"/>
      <c r="D732" s="232"/>
      <c r="E732" s="232"/>
      <c r="F732" s="232"/>
      <c r="G732" s="232"/>
      <c r="H732" s="232"/>
      <c r="I732" s="232"/>
      <c r="J732" s="232"/>
      <c r="K732" s="232"/>
      <c r="L732" s="232"/>
      <c r="M732" s="232"/>
      <c r="N732" s="289"/>
      <c r="O732" s="232"/>
      <c r="P732" s="232"/>
      <c r="Q732" s="232"/>
      <c r="R732" s="232"/>
      <c r="S732" s="232"/>
      <c r="T732" s="232"/>
      <c r="U732" s="232"/>
      <c r="V732" s="232"/>
      <c r="W732" s="232"/>
      <c r="X732" s="232"/>
      <c r="Y732" s="232"/>
      <c r="Z732" s="232"/>
      <c r="AA732" s="232"/>
      <c r="AB732" s="232"/>
      <c r="AC732" s="232"/>
      <c r="AD732" s="232"/>
      <c r="AE732" s="232"/>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c r="BL732" s="232"/>
      <c r="BM732" s="232"/>
      <c r="BN732" s="232"/>
      <c r="BO732" s="232"/>
      <c r="BP732" s="232"/>
      <c r="BQ732" s="232"/>
      <c r="BR732" s="232"/>
      <c r="BS732" s="232"/>
      <c r="BT732" s="232"/>
      <c r="BU732" s="232"/>
      <c r="BV732" s="232"/>
      <c r="BW732" s="232"/>
      <c r="BX732" s="232"/>
      <c r="BY732" s="232"/>
      <c r="BZ732" s="232"/>
      <c r="CA732" s="232"/>
      <c r="CB732" s="232"/>
      <c r="CC732" s="232"/>
      <c r="CD732" s="232"/>
      <c r="CE732" s="232"/>
      <c r="CF732" s="232"/>
      <c r="CG732" s="232"/>
      <c r="CH732" s="232"/>
      <c r="CI732" s="232"/>
      <c r="CJ732" s="232"/>
      <c r="CK732" s="232"/>
      <c r="CL732" s="232"/>
      <c r="CM732" s="232"/>
      <c r="CN732" s="215"/>
      <c r="CO732" s="215"/>
      <c r="CP732" s="215"/>
      <c r="CQ732" s="215"/>
      <c r="CR732" s="215"/>
      <c r="CS732" s="215"/>
      <c r="CT732" s="215"/>
    </row>
    <row r="733" ht="24.0" customHeight="1">
      <c r="A733" s="287"/>
      <c r="B733" s="287"/>
      <c r="C733" s="287"/>
      <c r="D733" s="232"/>
      <c r="E733" s="232"/>
      <c r="F733" s="232"/>
      <c r="G733" s="232"/>
      <c r="H733" s="232"/>
      <c r="I733" s="232"/>
      <c r="J733" s="232"/>
      <c r="K733" s="232"/>
      <c r="L733" s="232"/>
      <c r="M733" s="232"/>
      <c r="N733" s="289"/>
      <c r="O733" s="232"/>
      <c r="P733" s="232"/>
      <c r="Q733" s="232"/>
      <c r="R733" s="232"/>
      <c r="S733" s="232"/>
      <c r="T733" s="232"/>
      <c r="U733" s="232"/>
      <c r="V733" s="232"/>
      <c r="W733" s="232"/>
      <c r="X733" s="232"/>
      <c r="Y733" s="232"/>
      <c r="Z733" s="232"/>
      <c r="AA733" s="232"/>
      <c r="AB733" s="232"/>
      <c r="AC733" s="232"/>
      <c r="AD733" s="232"/>
      <c r="AE733" s="232"/>
      <c r="AF733" s="232"/>
      <c r="AG733" s="232"/>
      <c r="AH733" s="232"/>
      <c r="AI733" s="232"/>
      <c r="AJ733" s="232"/>
      <c r="AK733" s="232"/>
      <c r="AL733" s="232"/>
      <c r="AM733" s="232"/>
      <c r="AN733" s="232"/>
      <c r="AO733" s="232"/>
      <c r="AP733" s="232"/>
      <c r="AQ733" s="232"/>
      <c r="AR733" s="232"/>
      <c r="AS733" s="232"/>
      <c r="AT733" s="232"/>
      <c r="AU733" s="232"/>
      <c r="AV733" s="232"/>
      <c r="AW733" s="232"/>
      <c r="AX733" s="232"/>
      <c r="AY733" s="232"/>
      <c r="AZ733" s="232"/>
      <c r="BA733" s="232"/>
      <c r="BB733" s="232"/>
      <c r="BC733" s="232"/>
      <c r="BD733" s="232"/>
      <c r="BE733" s="232"/>
      <c r="BF733" s="232"/>
      <c r="BG733" s="232"/>
      <c r="BH733" s="232"/>
      <c r="BI733" s="232"/>
      <c r="BJ733" s="232"/>
      <c r="BK733" s="232"/>
      <c r="BL733" s="232"/>
      <c r="BM733" s="232"/>
      <c r="BN733" s="232"/>
      <c r="BO733" s="232"/>
      <c r="BP733" s="232"/>
      <c r="BQ733" s="232"/>
      <c r="BR733" s="232"/>
      <c r="BS733" s="232"/>
      <c r="BT733" s="232"/>
      <c r="BU733" s="232"/>
      <c r="BV733" s="232"/>
      <c r="BW733" s="232"/>
      <c r="BX733" s="232"/>
      <c r="BY733" s="232"/>
      <c r="BZ733" s="232"/>
      <c r="CA733" s="232"/>
      <c r="CB733" s="232"/>
      <c r="CC733" s="232"/>
      <c r="CD733" s="232"/>
      <c r="CE733" s="232"/>
      <c r="CF733" s="232"/>
      <c r="CG733" s="232"/>
      <c r="CH733" s="232"/>
      <c r="CI733" s="232"/>
      <c r="CJ733" s="232"/>
      <c r="CK733" s="232"/>
      <c r="CL733" s="232"/>
      <c r="CM733" s="232"/>
      <c r="CN733" s="215"/>
      <c r="CO733" s="215"/>
      <c r="CP733" s="215"/>
      <c r="CQ733" s="215"/>
      <c r="CR733" s="215"/>
      <c r="CS733" s="215"/>
      <c r="CT733" s="215"/>
    </row>
    <row r="734" ht="24.0" customHeight="1">
      <c r="A734" s="287"/>
      <c r="B734" s="287"/>
      <c r="C734" s="287"/>
      <c r="D734" s="232"/>
      <c r="E734" s="232"/>
      <c r="F734" s="232"/>
      <c r="G734" s="232"/>
      <c r="H734" s="232"/>
      <c r="I734" s="232"/>
      <c r="J734" s="232"/>
      <c r="K734" s="232"/>
      <c r="L734" s="232"/>
      <c r="M734" s="232"/>
      <c r="N734" s="289"/>
      <c r="O734" s="232"/>
      <c r="P734" s="232"/>
      <c r="Q734" s="232"/>
      <c r="R734" s="232"/>
      <c r="S734" s="232"/>
      <c r="T734" s="232"/>
      <c r="U734" s="232"/>
      <c r="V734" s="232"/>
      <c r="W734" s="232"/>
      <c r="X734" s="232"/>
      <c r="Y734" s="232"/>
      <c r="Z734" s="232"/>
      <c r="AA734" s="232"/>
      <c r="AB734" s="232"/>
      <c r="AC734" s="232"/>
      <c r="AD734" s="232"/>
      <c r="AE734" s="232"/>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c r="BL734" s="232"/>
      <c r="BM734" s="232"/>
      <c r="BN734" s="232"/>
      <c r="BO734" s="232"/>
      <c r="BP734" s="232"/>
      <c r="BQ734" s="232"/>
      <c r="BR734" s="232"/>
      <c r="BS734" s="232"/>
      <c r="BT734" s="232"/>
      <c r="BU734" s="232"/>
      <c r="BV734" s="232"/>
      <c r="BW734" s="232"/>
      <c r="BX734" s="232"/>
      <c r="BY734" s="232"/>
      <c r="BZ734" s="232"/>
      <c r="CA734" s="232"/>
      <c r="CB734" s="232"/>
      <c r="CC734" s="232"/>
      <c r="CD734" s="232"/>
      <c r="CE734" s="232"/>
      <c r="CF734" s="232"/>
      <c r="CG734" s="232"/>
      <c r="CH734" s="232"/>
      <c r="CI734" s="232"/>
      <c r="CJ734" s="232"/>
      <c r="CK734" s="232"/>
      <c r="CL734" s="232"/>
      <c r="CM734" s="232"/>
      <c r="CN734" s="215"/>
      <c r="CO734" s="215"/>
      <c r="CP734" s="215"/>
      <c r="CQ734" s="215"/>
      <c r="CR734" s="215"/>
      <c r="CS734" s="215"/>
      <c r="CT734" s="215"/>
    </row>
    <row r="735" ht="24.0" customHeight="1">
      <c r="A735" s="287"/>
      <c r="B735" s="287"/>
      <c r="C735" s="287"/>
      <c r="D735" s="232"/>
      <c r="E735" s="232"/>
      <c r="F735" s="232"/>
      <c r="G735" s="232"/>
      <c r="H735" s="232"/>
      <c r="I735" s="232"/>
      <c r="J735" s="232"/>
      <c r="K735" s="232"/>
      <c r="L735" s="232"/>
      <c r="M735" s="232"/>
      <c r="N735" s="289"/>
      <c r="O735" s="232"/>
      <c r="P735" s="232"/>
      <c r="Q735" s="232"/>
      <c r="R735" s="232"/>
      <c r="S735" s="232"/>
      <c r="T735" s="232"/>
      <c r="U735" s="232"/>
      <c r="V735" s="232"/>
      <c r="W735" s="232"/>
      <c r="X735" s="232"/>
      <c r="Y735" s="232"/>
      <c r="Z735" s="232"/>
      <c r="AA735" s="232"/>
      <c r="AB735" s="232"/>
      <c r="AC735" s="232"/>
      <c r="AD735" s="232"/>
      <c r="AE735" s="232"/>
      <c r="AF735" s="232"/>
      <c r="AG735" s="232"/>
      <c r="AH735" s="232"/>
      <c r="AI735" s="232"/>
      <c r="AJ735" s="232"/>
      <c r="AK735" s="232"/>
      <c r="AL735" s="232"/>
      <c r="AM735" s="232"/>
      <c r="AN735" s="232"/>
      <c r="AO735" s="232"/>
      <c r="AP735" s="232"/>
      <c r="AQ735" s="232"/>
      <c r="AR735" s="232"/>
      <c r="AS735" s="232"/>
      <c r="AT735" s="232"/>
      <c r="AU735" s="232"/>
      <c r="AV735" s="232"/>
      <c r="AW735" s="232"/>
      <c r="AX735" s="232"/>
      <c r="AY735" s="232"/>
      <c r="AZ735" s="232"/>
      <c r="BA735" s="232"/>
      <c r="BB735" s="232"/>
      <c r="BC735" s="232"/>
      <c r="BD735" s="232"/>
      <c r="BE735" s="232"/>
      <c r="BF735" s="232"/>
      <c r="BG735" s="232"/>
      <c r="BH735" s="232"/>
      <c r="BI735" s="232"/>
      <c r="BJ735" s="232"/>
      <c r="BK735" s="232"/>
      <c r="BL735" s="232"/>
      <c r="BM735" s="232"/>
      <c r="BN735" s="232"/>
      <c r="BO735" s="232"/>
      <c r="BP735" s="232"/>
      <c r="BQ735" s="232"/>
      <c r="BR735" s="232"/>
      <c r="BS735" s="232"/>
      <c r="BT735" s="232"/>
      <c r="BU735" s="232"/>
      <c r="BV735" s="232"/>
      <c r="BW735" s="232"/>
      <c r="BX735" s="232"/>
      <c r="BY735" s="232"/>
      <c r="BZ735" s="232"/>
      <c r="CA735" s="232"/>
      <c r="CB735" s="232"/>
      <c r="CC735" s="232"/>
      <c r="CD735" s="232"/>
      <c r="CE735" s="232"/>
      <c r="CF735" s="232"/>
      <c r="CG735" s="232"/>
      <c r="CH735" s="232"/>
      <c r="CI735" s="232"/>
      <c r="CJ735" s="232"/>
      <c r="CK735" s="232"/>
      <c r="CL735" s="232"/>
      <c r="CM735" s="232"/>
      <c r="CN735" s="215"/>
      <c r="CO735" s="215"/>
      <c r="CP735" s="215"/>
      <c r="CQ735" s="215"/>
      <c r="CR735" s="215"/>
      <c r="CS735" s="215"/>
      <c r="CT735" s="215"/>
    </row>
    <row r="736" ht="24.0" customHeight="1">
      <c r="A736" s="287"/>
      <c r="B736" s="287"/>
      <c r="C736" s="287"/>
      <c r="D736" s="232"/>
      <c r="E736" s="232"/>
      <c r="F736" s="232"/>
      <c r="G736" s="232"/>
      <c r="H736" s="232"/>
      <c r="I736" s="232"/>
      <c r="J736" s="232"/>
      <c r="K736" s="232"/>
      <c r="L736" s="232"/>
      <c r="M736" s="232"/>
      <c r="N736" s="289"/>
      <c r="O736" s="232"/>
      <c r="P736" s="232"/>
      <c r="Q736" s="232"/>
      <c r="R736" s="232"/>
      <c r="S736" s="232"/>
      <c r="T736" s="232"/>
      <c r="U736" s="232"/>
      <c r="V736" s="232"/>
      <c r="W736" s="232"/>
      <c r="X736" s="232"/>
      <c r="Y736" s="232"/>
      <c r="Z736" s="232"/>
      <c r="AA736" s="232"/>
      <c r="AB736" s="232"/>
      <c r="AC736" s="232"/>
      <c r="AD736" s="232"/>
      <c r="AE736" s="232"/>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c r="BL736" s="232"/>
      <c r="BM736" s="232"/>
      <c r="BN736" s="232"/>
      <c r="BO736" s="232"/>
      <c r="BP736" s="232"/>
      <c r="BQ736" s="232"/>
      <c r="BR736" s="232"/>
      <c r="BS736" s="232"/>
      <c r="BT736" s="232"/>
      <c r="BU736" s="232"/>
      <c r="BV736" s="232"/>
      <c r="BW736" s="232"/>
      <c r="BX736" s="232"/>
      <c r="BY736" s="232"/>
      <c r="BZ736" s="232"/>
      <c r="CA736" s="232"/>
      <c r="CB736" s="232"/>
      <c r="CC736" s="232"/>
      <c r="CD736" s="232"/>
      <c r="CE736" s="232"/>
      <c r="CF736" s="232"/>
      <c r="CG736" s="232"/>
      <c r="CH736" s="232"/>
      <c r="CI736" s="232"/>
      <c r="CJ736" s="232"/>
      <c r="CK736" s="232"/>
      <c r="CL736" s="232"/>
      <c r="CM736" s="232"/>
      <c r="CN736" s="215"/>
      <c r="CO736" s="215"/>
      <c r="CP736" s="215"/>
      <c r="CQ736" s="215"/>
      <c r="CR736" s="215"/>
      <c r="CS736" s="215"/>
      <c r="CT736" s="215"/>
    </row>
    <row r="737" ht="24.0" customHeight="1">
      <c r="A737" s="287"/>
      <c r="B737" s="287"/>
      <c r="C737" s="287"/>
      <c r="D737" s="232"/>
      <c r="E737" s="232"/>
      <c r="F737" s="232"/>
      <c r="G737" s="232"/>
      <c r="H737" s="232"/>
      <c r="I737" s="232"/>
      <c r="J737" s="232"/>
      <c r="K737" s="232"/>
      <c r="L737" s="232"/>
      <c r="M737" s="232"/>
      <c r="N737" s="289"/>
      <c r="O737" s="232"/>
      <c r="P737" s="232"/>
      <c r="Q737" s="232"/>
      <c r="R737" s="232"/>
      <c r="S737" s="232"/>
      <c r="T737" s="232"/>
      <c r="U737" s="232"/>
      <c r="V737" s="232"/>
      <c r="W737" s="232"/>
      <c r="X737" s="232"/>
      <c r="Y737" s="232"/>
      <c r="Z737" s="232"/>
      <c r="AA737" s="232"/>
      <c r="AB737" s="232"/>
      <c r="AC737" s="232"/>
      <c r="AD737" s="232"/>
      <c r="AE737" s="232"/>
      <c r="AF737" s="232"/>
      <c r="AG737" s="232"/>
      <c r="AH737" s="232"/>
      <c r="AI737" s="232"/>
      <c r="AJ737" s="232"/>
      <c r="AK737" s="232"/>
      <c r="AL737" s="232"/>
      <c r="AM737" s="232"/>
      <c r="AN737" s="232"/>
      <c r="AO737" s="232"/>
      <c r="AP737" s="232"/>
      <c r="AQ737" s="232"/>
      <c r="AR737" s="232"/>
      <c r="AS737" s="232"/>
      <c r="AT737" s="232"/>
      <c r="AU737" s="232"/>
      <c r="AV737" s="232"/>
      <c r="AW737" s="232"/>
      <c r="AX737" s="232"/>
      <c r="AY737" s="232"/>
      <c r="AZ737" s="232"/>
      <c r="BA737" s="232"/>
      <c r="BB737" s="232"/>
      <c r="BC737" s="232"/>
      <c r="BD737" s="232"/>
      <c r="BE737" s="232"/>
      <c r="BF737" s="232"/>
      <c r="BG737" s="232"/>
      <c r="BH737" s="232"/>
      <c r="BI737" s="232"/>
      <c r="BJ737" s="232"/>
      <c r="BK737" s="232"/>
      <c r="BL737" s="232"/>
      <c r="BM737" s="232"/>
      <c r="BN737" s="232"/>
      <c r="BO737" s="232"/>
      <c r="BP737" s="232"/>
      <c r="BQ737" s="232"/>
      <c r="BR737" s="232"/>
      <c r="BS737" s="232"/>
      <c r="BT737" s="232"/>
      <c r="BU737" s="232"/>
      <c r="BV737" s="232"/>
      <c r="BW737" s="232"/>
      <c r="BX737" s="232"/>
      <c r="BY737" s="232"/>
      <c r="BZ737" s="232"/>
      <c r="CA737" s="232"/>
      <c r="CB737" s="232"/>
      <c r="CC737" s="232"/>
      <c r="CD737" s="232"/>
      <c r="CE737" s="232"/>
      <c r="CF737" s="232"/>
      <c r="CG737" s="232"/>
      <c r="CH737" s="232"/>
      <c r="CI737" s="232"/>
      <c r="CJ737" s="232"/>
      <c r="CK737" s="232"/>
      <c r="CL737" s="232"/>
      <c r="CM737" s="232"/>
      <c r="CN737" s="215"/>
      <c r="CO737" s="215"/>
      <c r="CP737" s="215"/>
      <c r="CQ737" s="215"/>
      <c r="CR737" s="215"/>
      <c r="CS737" s="215"/>
      <c r="CT737" s="215"/>
    </row>
    <row r="738" ht="24.0" customHeight="1">
      <c r="A738" s="287"/>
      <c r="B738" s="287"/>
      <c r="C738" s="287"/>
      <c r="D738" s="232"/>
      <c r="E738" s="232"/>
      <c r="F738" s="232"/>
      <c r="G738" s="232"/>
      <c r="H738" s="232"/>
      <c r="I738" s="232"/>
      <c r="J738" s="232"/>
      <c r="K738" s="232"/>
      <c r="L738" s="232"/>
      <c r="M738" s="232"/>
      <c r="N738" s="289"/>
      <c r="O738" s="232"/>
      <c r="P738" s="232"/>
      <c r="Q738" s="232"/>
      <c r="R738" s="232"/>
      <c r="S738" s="232"/>
      <c r="T738" s="232"/>
      <c r="U738" s="232"/>
      <c r="V738" s="232"/>
      <c r="W738" s="232"/>
      <c r="X738" s="232"/>
      <c r="Y738" s="232"/>
      <c r="Z738" s="232"/>
      <c r="AA738" s="232"/>
      <c r="AB738" s="232"/>
      <c r="AC738" s="232"/>
      <c r="AD738" s="232"/>
      <c r="AE738" s="232"/>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c r="BL738" s="232"/>
      <c r="BM738" s="232"/>
      <c r="BN738" s="232"/>
      <c r="BO738" s="232"/>
      <c r="BP738" s="232"/>
      <c r="BQ738" s="232"/>
      <c r="BR738" s="232"/>
      <c r="BS738" s="232"/>
      <c r="BT738" s="232"/>
      <c r="BU738" s="232"/>
      <c r="BV738" s="232"/>
      <c r="BW738" s="232"/>
      <c r="BX738" s="232"/>
      <c r="BY738" s="232"/>
      <c r="BZ738" s="232"/>
      <c r="CA738" s="232"/>
      <c r="CB738" s="232"/>
      <c r="CC738" s="232"/>
      <c r="CD738" s="232"/>
      <c r="CE738" s="232"/>
      <c r="CF738" s="232"/>
      <c r="CG738" s="232"/>
      <c r="CH738" s="232"/>
      <c r="CI738" s="232"/>
      <c r="CJ738" s="232"/>
      <c r="CK738" s="232"/>
      <c r="CL738" s="232"/>
      <c r="CM738" s="232"/>
      <c r="CN738" s="215"/>
      <c r="CO738" s="215"/>
      <c r="CP738" s="215"/>
      <c r="CQ738" s="215"/>
      <c r="CR738" s="215"/>
      <c r="CS738" s="215"/>
      <c r="CT738" s="215"/>
    </row>
    <row r="739" ht="24.0" customHeight="1">
      <c r="A739" s="287"/>
      <c r="B739" s="287"/>
      <c r="C739" s="287"/>
      <c r="D739" s="232"/>
      <c r="E739" s="232"/>
      <c r="F739" s="232"/>
      <c r="G739" s="232"/>
      <c r="H739" s="232"/>
      <c r="I739" s="232"/>
      <c r="J739" s="232"/>
      <c r="K739" s="232"/>
      <c r="L739" s="232"/>
      <c r="M739" s="232"/>
      <c r="N739" s="289"/>
      <c r="O739" s="232"/>
      <c r="P739" s="232"/>
      <c r="Q739" s="232"/>
      <c r="R739" s="232"/>
      <c r="S739" s="232"/>
      <c r="T739" s="232"/>
      <c r="U739" s="232"/>
      <c r="V739" s="232"/>
      <c r="W739" s="232"/>
      <c r="X739" s="232"/>
      <c r="Y739" s="232"/>
      <c r="Z739" s="232"/>
      <c r="AA739" s="232"/>
      <c r="AB739" s="232"/>
      <c r="AC739" s="232"/>
      <c r="AD739" s="232"/>
      <c r="AE739" s="232"/>
      <c r="AF739" s="232"/>
      <c r="AG739" s="232"/>
      <c r="AH739" s="232"/>
      <c r="AI739" s="232"/>
      <c r="AJ739" s="232"/>
      <c r="AK739" s="232"/>
      <c r="AL739" s="232"/>
      <c r="AM739" s="232"/>
      <c r="AN739" s="232"/>
      <c r="AO739" s="232"/>
      <c r="AP739" s="232"/>
      <c r="AQ739" s="232"/>
      <c r="AR739" s="232"/>
      <c r="AS739" s="232"/>
      <c r="AT739" s="232"/>
      <c r="AU739" s="232"/>
      <c r="AV739" s="232"/>
      <c r="AW739" s="232"/>
      <c r="AX739" s="232"/>
      <c r="AY739" s="232"/>
      <c r="AZ739" s="232"/>
      <c r="BA739" s="232"/>
      <c r="BB739" s="232"/>
      <c r="BC739" s="232"/>
      <c r="BD739" s="232"/>
      <c r="BE739" s="232"/>
      <c r="BF739" s="232"/>
      <c r="BG739" s="232"/>
      <c r="BH739" s="232"/>
      <c r="BI739" s="232"/>
      <c r="BJ739" s="232"/>
      <c r="BK739" s="232"/>
      <c r="BL739" s="232"/>
      <c r="BM739" s="232"/>
      <c r="BN739" s="232"/>
      <c r="BO739" s="232"/>
      <c r="BP739" s="232"/>
      <c r="BQ739" s="232"/>
      <c r="BR739" s="232"/>
      <c r="BS739" s="232"/>
      <c r="BT739" s="232"/>
      <c r="BU739" s="232"/>
      <c r="BV739" s="232"/>
      <c r="BW739" s="232"/>
      <c r="BX739" s="232"/>
      <c r="BY739" s="232"/>
      <c r="BZ739" s="232"/>
      <c r="CA739" s="232"/>
      <c r="CB739" s="232"/>
      <c r="CC739" s="232"/>
      <c r="CD739" s="232"/>
      <c r="CE739" s="232"/>
      <c r="CF739" s="232"/>
      <c r="CG739" s="232"/>
      <c r="CH739" s="232"/>
      <c r="CI739" s="232"/>
      <c r="CJ739" s="232"/>
      <c r="CK739" s="232"/>
      <c r="CL739" s="232"/>
      <c r="CM739" s="232"/>
      <c r="CN739" s="215"/>
      <c r="CO739" s="215"/>
      <c r="CP739" s="215"/>
      <c r="CQ739" s="215"/>
      <c r="CR739" s="215"/>
      <c r="CS739" s="215"/>
      <c r="CT739" s="215"/>
    </row>
    <row r="740" ht="24.0" customHeight="1">
      <c r="A740" s="287"/>
      <c r="B740" s="287"/>
      <c r="C740" s="287"/>
      <c r="D740" s="232"/>
      <c r="E740" s="232"/>
      <c r="F740" s="232"/>
      <c r="G740" s="232"/>
      <c r="H740" s="232"/>
      <c r="I740" s="232"/>
      <c r="J740" s="232"/>
      <c r="K740" s="232"/>
      <c r="L740" s="232"/>
      <c r="M740" s="232"/>
      <c r="N740" s="289"/>
      <c r="O740" s="232"/>
      <c r="P740" s="232"/>
      <c r="Q740" s="232"/>
      <c r="R740" s="232"/>
      <c r="S740" s="232"/>
      <c r="T740" s="232"/>
      <c r="U740" s="232"/>
      <c r="V740" s="232"/>
      <c r="W740" s="232"/>
      <c r="X740" s="232"/>
      <c r="Y740" s="232"/>
      <c r="Z740" s="232"/>
      <c r="AA740" s="232"/>
      <c r="AB740" s="232"/>
      <c r="AC740" s="232"/>
      <c r="AD740" s="232"/>
      <c r="AE740" s="232"/>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c r="BL740" s="232"/>
      <c r="BM740" s="232"/>
      <c r="BN740" s="232"/>
      <c r="BO740" s="232"/>
      <c r="BP740" s="232"/>
      <c r="BQ740" s="232"/>
      <c r="BR740" s="232"/>
      <c r="BS740" s="232"/>
      <c r="BT740" s="232"/>
      <c r="BU740" s="232"/>
      <c r="BV740" s="232"/>
      <c r="BW740" s="232"/>
      <c r="BX740" s="232"/>
      <c r="BY740" s="232"/>
      <c r="BZ740" s="232"/>
      <c r="CA740" s="232"/>
      <c r="CB740" s="232"/>
      <c r="CC740" s="232"/>
      <c r="CD740" s="232"/>
      <c r="CE740" s="232"/>
      <c r="CF740" s="232"/>
      <c r="CG740" s="232"/>
      <c r="CH740" s="232"/>
      <c r="CI740" s="232"/>
      <c r="CJ740" s="232"/>
      <c r="CK740" s="232"/>
      <c r="CL740" s="232"/>
      <c r="CM740" s="232"/>
      <c r="CN740" s="215"/>
      <c r="CO740" s="215"/>
      <c r="CP740" s="215"/>
      <c r="CQ740" s="215"/>
      <c r="CR740" s="215"/>
      <c r="CS740" s="215"/>
      <c r="CT740" s="215"/>
    </row>
    <row r="741" ht="24.0" customHeight="1">
      <c r="A741" s="287"/>
      <c r="B741" s="287"/>
      <c r="C741" s="287"/>
      <c r="D741" s="232"/>
      <c r="E741" s="232"/>
      <c r="F741" s="232"/>
      <c r="G741" s="232"/>
      <c r="H741" s="232"/>
      <c r="I741" s="232"/>
      <c r="J741" s="232"/>
      <c r="K741" s="232"/>
      <c r="L741" s="232"/>
      <c r="M741" s="232"/>
      <c r="N741" s="289"/>
      <c r="O741" s="232"/>
      <c r="P741" s="232"/>
      <c r="Q741" s="232"/>
      <c r="R741" s="232"/>
      <c r="S741" s="232"/>
      <c r="T741" s="232"/>
      <c r="U741" s="232"/>
      <c r="V741" s="232"/>
      <c r="W741" s="232"/>
      <c r="X741" s="232"/>
      <c r="Y741" s="232"/>
      <c r="Z741" s="232"/>
      <c r="AA741" s="232"/>
      <c r="AB741" s="232"/>
      <c r="AC741" s="232"/>
      <c r="AD741" s="232"/>
      <c r="AE741" s="232"/>
      <c r="AF741" s="232"/>
      <c r="AG741" s="232"/>
      <c r="AH741" s="232"/>
      <c r="AI741" s="232"/>
      <c r="AJ741" s="232"/>
      <c r="AK741" s="232"/>
      <c r="AL741" s="232"/>
      <c r="AM741" s="232"/>
      <c r="AN741" s="232"/>
      <c r="AO741" s="232"/>
      <c r="AP741" s="232"/>
      <c r="AQ741" s="232"/>
      <c r="AR741" s="232"/>
      <c r="AS741" s="232"/>
      <c r="AT741" s="232"/>
      <c r="AU741" s="232"/>
      <c r="AV741" s="232"/>
      <c r="AW741" s="232"/>
      <c r="AX741" s="232"/>
      <c r="AY741" s="232"/>
      <c r="AZ741" s="232"/>
      <c r="BA741" s="232"/>
      <c r="BB741" s="232"/>
      <c r="BC741" s="232"/>
      <c r="BD741" s="232"/>
      <c r="BE741" s="232"/>
      <c r="BF741" s="232"/>
      <c r="BG741" s="232"/>
      <c r="BH741" s="232"/>
      <c r="BI741" s="232"/>
      <c r="BJ741" s="232"/>
      <c r="BK741" s="232"/>
      <c r="BL741" s="232"/>
      <c r="BM741" s="232"/>
      <c r="BN741" s="232"/>
      <c r="BO741" s="232"/>
      <c r="BP741" s="232"/>
      <c r="BQ741" s="232"/>
      <c r="BR741" s="232"/>
      <c r="BS741" s="232"/>
      <c r="BT741" s="232"/>
      <c r="BU741" s="232"/>
      <c r="BV741" s="232"/>
      <c r="BW741" s="232"/>
      <c r="BX741" s="232"/>
      <c r="BY741" s="232"/>
      <c r="BZ741" s="232"/>
      <c r="CA741" s="232"/>
      <c r="CB741" s="232"/>
      <c r="CC741" s="232"/>
      <c r="CD741" s="232"/>
      <c r="CE741" s="232"/>
      <c r="CF741" s="232"/>
      <c r="CG741" s="232"/>
      <c r="CH741" s="232"/>
      <c r="CI741" s="232"/>
      <c r="CJ741" s="232"/>
      <c r="CK741" s="232"/>
      <c r="CL741" s="232"/>
      <c r="CM741" s="232"/>
      <c r="CN741" s="215"/>
      <c r="CO741" s="215"/>
      <c r="CP741" s="215"/>
      <c r="CQ741" s="215"/>
      <c r="CR741" s="215"/>
      <c r="CS741" s="215"/>
      <c r="CT741" s="215"/>
    </row>
    <row r="742" ht="24.0" customHeight="1">
      <c r="A742" s="287"/>
      <c r="B742" s="287"/>
      <c r="C742" s="287"/>
      <c r="D742" s="232"/>
      <c r="E742" s="232"/>
      <c r="F742" s="232"/>
      <c r="G742" s="232"/>
      <c r="H742" s="232"/>
      <c r="I742" s="232"/>
      <c r="J742" s="232"/>
      <c r="K742" s="232"/>
      <c r="L742" s="232"/>
      <c r="M742" s="232"/>
      <c r="N742" s="289"/>
      <c r="O742" s="232"/>
      <c r="P742" s="232"/>
      <c r="Q742" s="232"/>
      <c r="R742" s="232"/>
      <c r="S742" s="232"/>
      <c r="T742" s="232"/>
      <c r="U742" s="232"/>
      <c r="V742" s="232"/>
      <c r="W742" s="232"/>
      <c r="X742" s="232"/>
      <c r="Y742" s="232"/>
      <c r="Z742" s="232"/>
      <c r="AA742" s="232"/>
      <c r="AB742" s="232"/>
      <c r="AC742" s="232"/>
      <c r="AD742" s="232"/>
      <c r="AE742" s="232"/>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c r="BL742" s="232"/>
      <c r="BM742" s="232"/>
      <c r="BN742" s="232"/>
      <c r="BO742" s="232"/>
      <c r="BP742" s="232"/>
      <c r="BQ742" s="232"/>
      <c r="BR742" s="232"/>
      <c r="BS742" s="232"/>
      <c r="BT742" s="232"/>
      <c r="BU742" s="232"/>
      <c r="BV742" s="232"/>
      <c r="BW742" s="232"/>
      <c r="BX742" s="232"/>
      <c r="BY742" s="232"/>
      <c r="BZ742" s="232"/>
      <c r="CA742" s="232"/>
      <c r="CB742" s="232"/>
      <c r="CC742" s="232"/>
      <c r="CD742" s="232"/>
      <c r="CE742" s="232"/>
      <c r="CF742" s="232"/>
      <c r="CG742" s="232"/>
      <c r="CH742" s="232"/>
      <c r="CI742" s="232"/>
      <c r="CJ742" s="232"/>
      <c r="CK742" s="232"/>
      <c r="CL742" s="232"/>
      <c r="CM742" s="232"/>
      <c r="CN742" s="215"/>
      <c r="CO742" s="215"/>
      <c r="CP742" s="215"/>
      <c r="CQ742" s="215"/>
      <c r="CR742" s="215"/>
      <c r="CS742" s="215"/>
      <c r="CT742" s="215"/>
    </row>
    <row r="743" ht="24.0" customHeight="1">
      <c r="A743" s="287"/>
      <c r="B743" s="287"/>
      <c r="C743" s="287"/>
      <c r="D743" s="232"/>
      <c r="E743" s="232"/>
      <c r="F743" s="232"/>
      <c r="G743" s="232"/>
      <c r="H743" s="232"/>
      <c r="I743" s="232"/>
      <c r="J743" s="232"/>
      <c r="K743" s="232"/>
      <c r="L743" s="232"/>
      <c r="M743" s="232"/>
      <c r="N743" s="289"/>
      <c r="O743" s="232"/>
      <c r="P743" s="232"/>
      <c r="Q743" s="232"/>
      <c r="R743" s="232"/>
      <c r="S743" s="232"/>
      <c r="T743" s="232"/>
      <c r="U743" s="232"/>
      <c r="V743" s="232"/>
      <c r="W743" s="232"/>
      <c r="X743" s="232"/>
      <c r="Y743" s="232"/>
      <c r="Z743" s="232"/>
      <c r="AA743" s="232"/>
      <c r="AB743" s="232"/>
      <c r="AC743" s="232"/>
      <c r="AD743" s="232"/>
      <c r="AE743" s="232"/>
      <c r="AF743" s="232"/>
      <c r="AG743" s="232"/>
      <c r="AH743" s="232"/>
      <c r="AI743" s="232"/>
      <c r="AJ743" s="232"/>
      <c r="AK743" s="232"/>
      <c r="AL743" s="232"/>
      <c r="AM743" s="232"/>
      <c r="AN743" s="232"/>
      <c r="AO743" s="232"/>
      <c r="AP743" s="232"/>
      <c r="AQ743" s="232"/>
      <c r="AR743" s="232"/>
      <c r="AS743" s="232"/>
      <c r="AT743" s="232"/>
      <c r="AU743" s="232"/>
      <c r="AV743" s="232"/>
      <c r="AW743" s="232"/>
      <c r="AX743" s="232"/>
      <c r="AY743" s="232"/>
      <c r="AZ743" s="232"/>
      <c r="BA743" s="232"/>
      <c r="BB743" s="232"/>
      <c r="BC743" s="232"/>
      <c r="BD743" s="232"/>
      <c r="BE743" s="232"/>
      <c r="BF743" s="232"/>
      <c r="BG743" s="232"/>
      <c r="BH743" s="232"/>
      <c r="BI743" s="232"/>
      <c r="BJ743" s="232"/>
      <c r="BK743" s="232"/>
      <c r="BL743" s="232"/>
      <c r="BM743" s="232"/>
      <c r="BN743" s="232"/>
      <c r="BO743" s="232"/>
      <c r="BP743" s="232"/>
      <c r="BQ743" s="232"/>
      <c r="BR743" s="232"/>
      <c r="BS743" s="232"/>
      <c r="BT743" s="232"/>
      <c r="BU743" s="232"/>
      <c r="BV743" s="232"/>
      <c r="BW743" s="232"/>
      <c r="BX743" s="232"/>
      <c r="BY743" s="232"/>
      <c r="BZ743" s="232"/>
      <c r="CA743" s="232"/>
      <c r="CB743" s="232"/>
      <c r="CC743" s="232"/>
      <c r="CD743" s="232"/>
      <c r="CE743" s="232"/>
      <c r="CF743" s="232"/>
      <c r="CG743" s="232"/>
      <c r="CH743" s="232"/>
      <c r="CI743" s="232"/>
      <c r="CJ743" s="232"/>
      <c r="CK743" s="232"/>
      <c r="CL743" s="232"/>
      <c r="CM743" s="232"/>
      <c r="CN743" s="215"/>
      <c r="CO743" s="215"/>
      <c r="CP743" s="215"/>
      <c r="CQ743" s="215"/>
      <c r="CR743" s="215"/>
      <c r="CS743" s="215"/>
      <c r="CT743" s="215"/>
    </row>
    <row r="744" ht="24.0" customHeight="1">
      <c r="A744" s="287"/>
      <c r="B744" s="287"/>
      <c r="C744" s="287"/>
      <c r="D744" s="232"/>
      <c r="E744" s="232"/>
      <c r="F744" s="232"/>
      <c r="G744" s="232"/>
      <c r="H744" s="232"/>
      <c r="I744" s="232"/>
      <c r="J744" s="232"/>
      <c r="K744" s="232"/>
      <c r="L744" s="232"/>
      <c r="M744" s="232"/>
      <c r="N744" s="289"/>
      <c r="O744" s="232"/>
      <c r="P744" s="232"/>
      <c r="Q744" s="232"/>
      <c r="R744" s="232"/>
      <c r="S744" s="232"/>
      <c r="T744" s="232"/>
      <c r="U744" s="232"/>
      <c r="V744" s="232"/>
      <c r="W744" s="232"/>
      <c r="X744" s="232"/>
      <c r="Y744" s="232"/>
      <c r="Z744" s="232"/>
      <c r="AA744" s="232"/>
      <c r="AB744" s="232"/>
      <c r="AC744" s="232"/>
      <c r="AD744" s="232"/>
      <c r="AE744" s="232"/>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c r="BL744" s="232"/>
      <c r="BM744" s="232"/>
      <c r="BN744" s="232"/>
      <c r="BO744" s="232"/>
      <c r="BP744" s="232"/>
      <c r="BQ744" s="232"/>
      <c r="BR744" s="232"/>
      <c r="BS744" s="232"/>
      <c r="BT744" s="232"/>
      <c r="BU744" s="232"/>
      <c r="BV744" s="232"/>
      <c r="BW744" s="232"/>
      <c r="BX744" s="232"/>
      <c r="BY744" s="232"/>
      <c r="BZ744" s="232"/>
      <c r="CA744" s="232"/>
      <c r="CB744" s="232"/>
      <c r="CC744" s="232"/>
      <c r="CD744" s="232"/>
      <c r="CE744" s="232"/>
      <c r="CF744" s="232"/>
      <c r="CG744" s="232"/>
      <c r="CH744" s="232"/>
      <c r="CI744" s="232"/>
      <c r="CJ744" s="232"/>
      <c r="CK744" s="232"/>
      <c r="CL744" s="232"/>
      <c r="CM744" s="232"/>
      <c r="CN744" s="215"/>
      <c r="CO744" s="215"/>
      <c r="CP744" s="215"/>
      <c r="CQ744" s="215"/>
      <c r="CR744" s="215"/>
      <c r="CS744" s="215"/>
      <c r="CT744" s="215"/>
    </row>
    <row r="745" ht="24.0" customHeight="1">
      <c r="A745" s="287"/>
      <c r="B745" s="287"/>
      <c r="C745" s="287"/>
      <c r="D745" s="232"/>
      <c r="E745" s="232"/>
      <c r="F745" s="232"/>
      <c r="G745" s="232"/>
      <c r="H745" s="232"/>
      <c r="I745" s="232"/>
      <c r="J745" s="232"/>
      <c r="K745" s="232"/>
      <c r="L745" s="232"/>
      <c r="M745" s="232"/>
      <c r="N745" s="289"/>
      <c r="O745" s="232"/>
      <c r="P745" s="232"/>
      <c r="Q745" s="232"/>
      <c r="R745" s="232"/>
      <c r="S745" s="232"/>
      <c r="T745" s="232"/>
      <c r="U745" s="232"/>
      <c r="V745" s="232"/>
      <c r="W745" s="232"/>
      <c r="X745" s="232"/>
      <c r="Y745" s="232"/>
      <c r="Z745" s="232"/>
      <c r="AA745" s="232"/>
      <c r="AB745" s="232"/>
      <c r="AC745" s="232"/>
      <c r="AD745" s="232"/>
      <c r="AE745" s="232"/>
      <c r="AF745" s="232"/>
      <c r="AG745" s="232"/>
      <c r="AH745" s="232"/>
      <c r="AI745" s="232"/>
      <c r="AJ745" s="232"/>
      <c r="AK745" s="232"/>
      <c r="AL745" s="232"/>
      <c r="AM745" s="232"/>
      <c r="AN745" s="232"/>
      <c r="AO745" s="232"/>
      <c r="AP745" s="232"/>
      <c r="AQ745" s="232"/>
      <c r="AR745" s="232"/>
      <c r="AS745" s="232"/>
      <c r="AT745" s="232"/>
      <c r="AU745" s="232"/>
      <c r="AV745" s="232"/>
      <c r="AW745" s="232"/>
      <c r="AX745" s="232"/>
      <c r="AY745" s="232"/>
      <c r="AZ745" s="232"/>
      <c r="BA745" s="232"/>
      <c r="BB745" s="232"/>
      <c r="BC745" s="232"/>
      <c r="BD745" s="232"/>
      <c r="BE745" s="232"/>
      <c r="BF745" s="232"/>
      <c r="BG745" s="232"/>
      <c r="BH745" s="232"/>
      <c r="BI745" s="232"/>
      <c r="BJ745" s="232"/>
      <c r="BK745" s="232"/>
      <c r="BL745" s="232"/>
      <c r="BM745" s="232"/>
      <c r="BN745" s="232"/>
      <c r="BO745" s="232"/>
      <c r="BP745" s="232"/>
      <c r="BQ745" s="232"/>
      <c r="BR745" s="232"/>
      <c r="BS745" s="232"/>
      <c r="BT745" s="232"/>
      <c r="BU745" s="232"/>
      <c r="BV745" s="232"/>
      <c r="BW745" s="232"/>
      <c r="BX745" s="232"/>
      <c r="BY745" s="232"/>
      <c r="BZ745" s="232"/>
      <c r="CA745" s="232"/>
      <c r="CB745" s="232"/>
      <c r="CC745" s="232"/>
      <c r="CD745" s="232"/>
      <c r="CE745" s="232"/>
      <c r="CF745" s="232"/>
      <c r="CG745" s="232"/>
      <c r="CH745" s="232"/>
      <c r="CI745" s="232"/>
      <c r="CJ745" s="232"/>
      <c r="CK745" s="232"/>
      <c r="CL745" s="232"/>
      <c r="CM745" s="232"/>
      <c r="CN745" s="215"/>
      <c r="CO745" s="215"/>
      <c r="CP745" s="215"/>
      <c r="CQ745" s="215"/>
      <c r="CR745" s="215"/>
      <c r="CS745" s="215"/>
      <c r="CT745" s="215"/>
    </row>
    <row r="746" ht="24.0" customHeight="1">
      <c r="A746" s="287"/>
      <c r="B746" s="287"/>
      <c r="C746" s="287"/>
      <c r="D746" s="232"/>
      <c r="E746" s="232"/>
      <c r="F746" s="232"/>
      <c r="G746" s="232"/>
      <c r="H746" s="232"/>
      <c r="I746" s="232"/>
      <c r="J746" s="232"/>
      <c r="K746" s="232"/>
      <c r="L746" s="232"/>
      <c r="M746" s="232"/>
      <c r="N746" s="289"/>
      <c r="O746" s="232"/>
      <c r="P746" s="232"/>
      <c r="Q746" s="232"/>
      <c r="R746" s="232"/>
      <c r="S746" s="232"/>
      <c r="T746" s="232"/>
      <c r="U746" s="232"/>
      <c r="V746" s="232"/>
      <c r="W746" s="232"/>
      <c r="X746" s="232"/>
      <c r="Y746" s="232"/>
      <c r="Z746" s="232"/>
      <c r="AA746" s="232"/>
      <c r="AB746" s="232"/>
      <c r="AC746" s="232"/>
      <c r="AD746" s="232"/>
      <c r="AE746" s="232"/>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c r="BL746" s="232"/>
      <c r="BM746" s="232"/>
      <c r="BN746" s="232"/>
      <c r="BO746" s="232"/>
      <c r="BP746" s="232"/>
      <c r="BQ746" s="232"/>
      <c r="BR746" s="232"/>
      <c r="BS746" s="232"/>
      <c r="BT746" s="232"/>
      <c r="BU746" s="232"/>
      <c r="BV746" s="232"/>
      <c r="BW746" s="232"/>
      <c r="BX746" s="232"/>
      <c r="BY746" s="232"/>
      <c r="BZ746" s="232"/>
      <c r="CA746" s="232"/>
      <c r="CB746" s="232"/>
      <c r="CC746" s="232"/>
      <c r="CD746" s="232"/>
      <c r="CE746" s="232"/>
      <c r="CF746" s="232"/>
      <c r="CG746" s="232"/>
      <c r="CH746" s="232"/>
      <c r="CI746" s="232"/>
      <c r="CJ746" s="232"/>
      <c r="CK746" s="232"/>
      <c r="CL746" s="232"/>
      <c r="CM746" s="232"/>
      <c r="CN746" s="215"/>
      <c r="CO746" s="215"/>
      <c r="CP746" s="215"/>
      <c r="CQ746" s="215"/>
      <c r="CR746" s="215"/>
      <c r="CS746" s="215"/>
      <c r="CT746" s="215"/>
    </row>
    <row r="747" ht="24.0" customHeight="1">
      <c r="A747" s="287"/>
      <c r="B747" s="287"/>
      <c r="C747" s="287"/>
      <c r="D747" s="232"/>
      <c r="E747" s="232"/>
      <c r="F747" s="232"/>
      <c r="G747" s="232"/>
      <c r="H747" s="232"/>
      <c r="I747" s="232"/>
      <c r="J747" s="232"/>
      <c r="K747" s="232"/>
      <c r="L747" s="232"/>
      <c r="M747" s="232"/>
      <c r="N747" s="289"/>
      <c r="O747" s="232"/>
      <c r="P747" s="232"/>
      <c r="Q747" s="232"/>
      <c r="R747" s="232"/>
      <c r="S747" s="232"/>
      <c r="T747" s="232"/>
      <c r="U747" s="232"/>
      <c r="V747" s="232"/>
      <c r="W747" s="232"/>
      <c r="X747" s="232"/>
      <c r="Y747" s="232"/>
      <c r="Z747" s="232"/>
      <c r="AA747" s="232"/>
      <c r="AB747" s="232"/>
      <c r="AC747" s="232"/>
      <c r="AD747" s="232"/>
      <c r="AE747" s="232"/>
      <c r="AF747" s="232"/>
      <c r="AG747" s="232"/>
      <c r="AH747" s="232"/>
      <c r="AI747" s="232"/>
      <c r="AJ747" s="232"/>
      <c r="AK747" s="232"/>
      <c r="AL747" s="232"/>
      <c r="AM747" s="232"/>
      <c r="AN747" s="232"/>
      <c r="AO747" s="232"/>
      <c r="AP747" s="232"/>
      <c r="AQ747" s="232"/>
      <c r="AR747" s="232"/>
      <c r="AS747" s="232"/>
      <c r="AT747" s="232"/>
      <c r="AU747" s="232"/>
      <c r="AV747" s="232"/>
      <c r="AW747" s="232"/>
      <c r="AX747" s="232"/>
      <c r="AY747" s="232"/>
      <c r="AZ747" s="232"/>
      <c r="BA747" s="232"/>
      <c r="BB747" s="232"/>
      <c r="BC747" s="232"/>
      <c r="BD747" s="232"/>
      <c r="BE747" s="232"/>
      <c r="BF747" s="232"/>
      <c r="BG747" s="232"/>
      <c r="BH747" s="232"/>
      <c r="BI747" s="232"/>
      <c r="BJ747" s="232"/>
      <c r="BK747" s="232"/>
      <c r="BL747" s="232"/>
      <c r="BM747" s="232"/>
      <c r="BN747" s="232"/>
      <c r="BO747" s="232"/>
      <c r="BP747" s="232"/>
      <c r="BQ747" s="232"/>
      <c r="BR747" s="232"/>
      <c r="BS747" s="232"/>
      <c r="BT747" s="232"/>
      <c r="BU747" s="232"/>
      <c r="BV747" s="232"/>
      <c r="BW747" s="232"/>
      <c r="BX747" s="232"/>
      <c r="BY747" s="232"/>
      <c r="BZ747" s="232"/>
      <c r="CA747" s="232"/>
      <c r="CB747" s="232"/>
      <c r="CC747" s="232"/>
      <c r="CD747" s="232"/>
      <c r="CE747" s="232"/>
      <c r="CF747" s="232"/>
      <c r="CG747" s="232"/>
      <c r="CH747" s="232"/>
      <c r="CI747" s="232"/>
      <c r="CJ747" s="232"/>
      <c r="CK747" s="232"/>
      <c r="CL747" s="232"/>
      <c r="CM747" s="232"/>
      <c r="CN747" s="215"/>
      <c r="CO747" s="215"/>
      <c r="CP747" s="215"/>
      <c r="CQ747" s="215"/>
      <c r="CR747" s="215"/>
      <c r="CS747" s="215"/>
      <c r="CT747" s="215"/>
    </row>
    <row r="748" ht="24.0" customHeight="1">
      <c r="A748" s="287"/>
      <c r="B748" s="287"/>
      <c r="C748" s="287"/>
      <c r="D748" s="232"/>
      <c r="E748" s="232"/>
      <c r="F748" s="232"/>
      <c r="G748" s="232"/>
      <c r="H748" s="232"/>
      <c r="I748" s="232"/>
      <c r="J748" s="232"/>
      <c r="K748" s="232"/>
      <c r="L748" s="232"/>
      <c r="M748" s="232"/>
      <c r="N748" s="289"/>
      <c r="O748" s="232"/>
      <c r="P748" s="232"/>
      <c r="Q748" s="232"/>
      <c r="R748" s="232"/>
      <c r="S748" s="232"/>
      <c r="T748" s="232"/>
      <c r="U748" s="232"/>
      <c r="V748" s="232"/>
      <c r="W748" s="232"/>
      <c r="X748" s="232"/>
      <c r="Y748" s="232"/>
      <c r="Z748" s="232"/>
      <c r="AA748" s="232"/>
      <c r="AB748" s="232"/>
      <c r="AC748" s="232"/>
      <c r="AD748" s="232"/>
      <c r="AE748" s="232"/>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c r="BL748" s="232"/>
      <c r="BM748" s="232"/>
      <c r="BN748" s="232"/>
      <c r="BO748" s="232"/>
      <c r="BP748" s="232"/>
      <c r="BQ748" s="232"/>
      <c r="BR748" s="232"/>
      <c r="BS748" s="232"/>
      <c r="BT748" s="232"/>
      <c r="BU748" s="232"/>
      <c r="BV748" s="232"/>
      <c r="BW748" s="232"/>
      <c r="BX748" s="232"/>
      <c r="BY748" s="232"/>
      <c r="BZ748" s="232"/>
      <c r="CA748" s="232"/>
      <c r="CB748" s="232"/>
      <c r="CC748" s="232"/>
      <c r="CD748" s="232"/>
      <c r="CE748" s="232"/>
      <c r="CF748" s="232"/>
      <c r="CG748" s="232"/>
      <c r="CH748" s="232"/>
      <c r="CI748" s="232"/>
      <c r="CJ748" s="232"/>
      <c r="CK748" s="232"/>
      <c r="CL748" s="232"/>
      <c r="CM748" s="232"/>
      <c r="CN748" s="215"/>
      <c r="CO748" s="215"/>
      <c r="CP748" s="215"/>
      <c r="CQ748" s="215"/>
      <c r="CR748" s="215"/>
      <c r="CS748" s="215"/>
      <c r="CT748" s="215"/>
    </row>
    <row r="749" ht="24.0" customHeight="1">
      <c r="A749" s="287"/>
      <c r="B749" s="287"/>
      <c r="C749" s="287"/>
      <c r="D749" s="232"/>
      <c r="E749" s="232"/>
      <c r="F749" s="232"/>
      <c r="G749" s="232"/>
      <c r="H749" s="232"/>
      <c r="I749" s="232"/>
      <c r="J749" s="232"/>
      <c r="K749" s="232"/>
      <c r="L749" s="232"/>
      <c r="M749" s="232"/>
      <c r="N749" s="289"/>
      <c r="O749" s="232"/>
      <c r="P749" s="232"/>
      <c r="Q749" s="232"/>
      <c r="R749" s="232"/>
      <c r="S749" s="232"/>
      <c r="T749" s="232"/>
      <c r="U749" s="232"/>
      <c r="V749" s="232"/>
      <c r="W749" s="232"/>
      <c r="X749" s="232"/>
      <c r="Y749" s="232"/>
      <c r="Z749" s="232"/>
      <c r="AA749" s="232"/>
      <c r="AB749" s="232"/>
      <c r="AC749" s="232"/>
      <c r="AD749" s="232"/>
      <c r="AE749" s="232"/>
      <c r="AF749" s="232"/>
      <c r="AG749" s="232"/>
      <c r="AH749" s="232"/>
      <c r="AI749" s="232"/>
      <c r="AJ749" s="232"/>
      <c r="AK749" s="232"/>
      <c r="AL749" s="232"/>
      <c r="AM749" s="232"/>
      <c r="AN749" s="232"/>
      <c r="AO749" s="232"/>
      <c r="AP749" s="232"/>
      <c r="AQ749" s="232"/>
      <c r="AR749" s="232"/>
      <c r="AS749" s="232"/>
      <c r="AT749" s="232"/>
      <c r="AU749" s="232"/>
      <c r="AV749" s="232"/>
      <c r="AW749" s="232"/>
      <c r="AX749" s="232"/>
      <c r="AY749" s="232"/>
      <c r="AZ749" s="232"/>
      <c r="BA749" s="232"/>
      <c r="BB749" s="232"/>
      <c r="BC749" s="232"/>
      <c r="BD749" s="232"/>
      <c r="BE749" s="232"/>
      <c r="BF749" s="232"/>
      <c r="BG749" s="232"/>
      <c r="BH749" s="232"/>
      <c r="BI749" s="232"/>
      <c r="BJ749" s="232"/>
      <c r="BK749" s="232"/>
      <c r="BL749" s="232"/>
      <c r="BM749" s="232"/>
      <c r="BN749" s="232"/>
      <c r="BO749" s="232"/>
      <c r="BP749" s="232"/>
      <c r="BQ749" s="232"/>
      <c r="BR749" s="232"/>
      <c r="BS749" s="232"/>
      <c r="BT749" s="232"/>
      <c r="BU749" s="232"/>
      <c r="BV749" s="232"/>
      <c r="BW749" s="232"/>
      <c r="BX749" s="232"/>
      <c r="BY749" s="232"/>
      <c r="BZ749" s="232"/>
      <c r="CA749" s="232"/>
      <c r="CB749" s="232"/>
      <c r="CC749" s="232"/>
      <c r="CD749" s="232"/>
      <c r="CE749" s="232"/>
      <c r="CF749" s="232"/>
      <c r="CG749" s="232"/>
      <c r="CH749" s="232"/>
      <c r="CI749" s="232"/>
      <c r="CJ749" s="232"/>
      <c r="CK749" s="232"/>
      <c r="CL749" s="232"/>
      <c r="CM749" s="232"/>
      <c r="CN749" s="215"/>
      <c r="CO749" s="215"/>
      <c r="CP749" s="215"/>
      <c r="CQ749" s="215"/>
      <c r="CR749" s="215"/>
      <c r="CS749" s="215"/>
      <c r="CT749" s="215"/>
    </row>
    <row r="750" ht="24.0" customHeight="1">
      <c r="A750" s="287"/>
      <c r="B750" s="287"/>
      <c r="C750" s="287"/>
      <c r="D750" s="232"/>
      <c r="E750" s="232"/>
      <c r="F750" s="232"/>
      <c r="G750" s="232"/>
      <c r="H750" s="232"/>
      <c r="I750" s="232"/>
      <c r="J750" s="232"/>
      <c r="K750" s="232"/>
      <c r="L750" s="232"/>
      <c r="M750" s="232"/>
      <c r="N750" s="289"/>
      <c r="O750" s="232"/>
      <c r="P750" s="232"/>
      <c r="Q750" s="232"/>
      <c r="R750" s="232"/>
      <c r="S750" s="232"/>
      <c r="T750" s="232"/>
      <c r="U750" s="232"/>
      <c r="V750" s="232"/>
      <c r="W750" s="232"/>
      <c r="X750" s="232"/>
      <c r="Y750" s="232"/>
      <c r="Z750" s="232"/>
      <c r="AA750" s="232"/>
      <c r="AB750" s="232"/>
      <c r="AC750" s="232"/>
      <c r="AD750" s="232"/>
      <c r="AE750" s="232"/>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c r="BL750" s="232"/>
      <c r="BM750" s="232"/>
      <c r="BN750" s="232"/>
      <c r="BO750" s="232"/>
      <c r="BP750" s="232"/>
      <c r="BQ750" s="232"/>
      <c r="BR750" s="232"/>
      <c r="BS750" s="232"/>
      <c r="BT750" s="232"/>
      <c r="BU750" s="232"/>
      <c r="BV750" s="232"/>
      <c r="BW750" s="232"/>
      <c r="BX750" s="232"/>
      <c r="BY750" s="232"/>
      <c r="BZ750" s="232"/>
      <c r="CA750" s="232"/>
      <c r="CB750" s="232"/>
      <c r="CC750" s="232"/>
      <c r="CD750" s="232"/>
      <c r="CE750" s="232"/>
      <c r="CF750" s="232"/>
      <c r="CG750" s="232"/>
      <c r="CH750" s="232"/>
      <c r="CI750" s="232"/>
      <c r="CJ750" s="232"/>
      <c r="CK750" s="232"/>
      <c r="CL750" s="232"/>
      <c r="CM750" s="232"/>
      <c r="CN750" s="215"/>
      <c r="CO750" s="215"/>
      <c r="CP750" s="215"/>
      <c r="CQ750" s="215"/>
      <c r="CR750" s="215"/>
      <c r="CS750" s="215"/>
      <c r="CT750" s="215"/>
    </row>
    <row r="751" ht="24.0" customHeight="1">
      <c r="A751" s="287"/>
      <c r="B751" s="287"/>
      <c r="C751" s="287"/>
      <c r="D751" s="232"/>
      <c r="E751" s="232"/>
      <c r="F751" s="232"/>
      <c r="G751" s="232"/>
      <c r="H751" s="232"/>
      <c r="I751" s="232"/>
      <c r="J751" s="232"/>
      <c r="K751" s="232"/>
      <c r="L751" s="232"/>
      <c r="M751" s="232"/>
      <c r="N751" s="289"/>
      <c r="O751" s="232"/>
      <c r="P751" s="232"/>
      <c r="Q751" s="232"/>
      <c r="R751" s="232"/>
      <c r="S751" s="232"/>
      <c r="T751" s="232"/>
      <c r="U751" s="232"/>
      <c r="V751" s="232"/>
      <c r="W751" s="232"/>
      <c r="X751" s="232"/>
      <c r="Y751" s="232"/>
      <c r="Z751" s="232"/>
      <c r="AA751" s="232"/>
      <c r="AB751" s="232"/>
      <c r="AC751" s="232"/>
      <c r="AD751" s="232"/>
      <c r="AE751" s="232"/>
      <c r="AF751" s="232"/>
      <c r="AG751" s="232"/>
      <c r="AH751" s="232"/>
      <c r="AI751" s="232"/>
      <c r="AJ751" s="232"/>
      <c r="AK751" s="232"/>
      <c r="AL751" s="232"/>
      <c r="AM751" s="232"/>
      <c r="AN751" s="232"/>
      <c r="AO751" s="232"/>
      <c r="AP751" s="232"/>
      <c r="AQ751" s="232"/>
      <c r="AR751" s="232"/>
      <c r="AS751" s="232"/>
      <c r="AT751" s="232"/>
      <c r="AU751" s="232"/>
      <c r="AV751" s="232"/>
      <c r="AW751" s="232"/>
      <c r="AX751" s="232"/>
      <c r="AY751" s="232"/>
      <c r="AZ751" s="232"/>
      <c r="BA751" s="232"/>
      <c r="BB751" s="232"/>
      <c r="BC751" s="232"/>
      <c r="BD751" s="232"/>
      <c r="BE751" s="232"/>
      <c r="BF751" s="232"/>
      <c r="BG751" s="232"/>
      <c r="BH751" s="232"/>
      <c r="BI751" s="232"/>
      <c r="BJ751" s="232"/>
      <c r="BK751" s="232"/>
      <c r="BL751" s="232"/>
      <c r="BM751" s="232"/>
      <c r="BN751" s="232"/>
      <c r="BO751" s="232"/>
      <c r="BP751" s="232"/>
      <c r="BQ751" s="232"/>
      <c r="BR751" s="232"/>
      <c r="BS751" s="232"/>
      <c r="BT751" s="232"/>
      <c r="BU751" s="232"/>
      <c r="BV751" s="232"/>
      <c r="BW751" s="232"/>
      <c r="BX751" s="232"/>
      <c r="BY751" s="232"/>
      <c r="BZ751" s="232"/>
      <c r="CA751" s="232"/>
      <c r="CB751" s="232"/>
      <c r="CC751" s="232"/>
      <c r="CD751" s="232"/>
      <c r="CE751" s="232"/>
      <c r="CF751" s="232"/>
      <c r="CG751" s="232"/>
      <c r="CH751" s="232"/>
      <c r="CI751" s="232"/>
      <c r="CJ751" s="232"/>
      <c r="CK751" s="232"/>
      <c r="CL751" s="232"/>
      <c r="CM751" s="232"/>
      <c r="CN751" s="215"/>
      <c r="CO751" s="215"/>
      <c r="CP751" s="215"/>
      <c r="CQ751" s="215"/>
      <c r="CR751" s="215"/>
      <c r="CS751" s="215"/>
      <c r="CT751" s="215"/>
    </row>
    <row r="752" ht="24.0" customHeight="1">
      <c r="A752" s="287"/>
      <c r="B752" s="287"/>
      <c r="C752" s="287"/>
      <c r="D752" s="232"/>
      <c r="E752" s="232"/>
      <c r="F752" s="232"/>
      <c r="G752" s="232"/>
      <c r="H752" s="232"/>
      <c r="I752" s="232"/>
      <c r="J752" s="232"/>
      <c r="K752" s="232"/>
      <c r="L752" s="232"/>
      <c r="M752" s="232"/>
      <c r="N752" s="289"/>
      <c r="O752" s="232"/>
      <c r="P752" s="232"/>
      <c r="Q752" s="232"/>
      <c r="R752" s="232"/>
      <c r="S752" s="232"/>
      <c r="T752" s="232"/>
      <c r="U752" s="232"/>
      <c r="V752" s="232"/>
      <c r="W752" s="232"/>
      <c r="X752" s="232"/>
      <c r="Y752" s="232"/>
      <c r="Z752" s="232"/>
      <c r="AA752" s="232"/>
      <c r="AB752" s="232"/>
      <c r="AC752" s="232"/>
      <c r="AD752" s="232"/>
      <c r="AE752" s="232"/>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c r="BL752" s="232"/>
      <c r="BM752" s="232"/>
      <c r="BN752" s="232"/>
      <c r="BO752" s="232"/>
      <c r="BP752" s="232"/>
      <c r="BQ752" s="232"/>
      <c r="BR752" s="232"/>
      <c r="BS752" s="232"/>
      <c r="BT752" s="232"/>
      <c r="BU752" s="232"/>
      <c r="BV752" s="232"/>
      <c r="BW752" s="232"/>
      <c r="BX752" s="232"/>
      <c r="BY752" s="232"/>
      <c r="BZ752" s="232"/>
      <c r="CA752" s="232"/>
      <c r="CB752" s="232"/>
      <c r="CC752" s="232"/>
      <c r="CD752" s="232"/>
      <c r="CE752" s="232"/>
      <c r="CF752" s="232"/>
      <c r="CG752" s="232"/>
      <c r="CH752" s="232"/>
      <c r="CI752" s="232"/>
      <c r="CJ752" s="232"/>
      <c r="CK752" s="232"/>
      <c r="CL752" s="232"/>
      <c r="CM752" s="232"/>
      <c r="CN752" s="215"/>
      <c r="CO752" s="215"/>
      <c r="CP752" s="215"/>
      <c r="CQ752" s="215"/>
      <c r="CR752" s="215"/>
      <c r="CS752" s="215"/>
      <c r="CT752" s="215"/>
    </row>
    <row r="753" ht="24.0" customHeight="1">
      <c r="A753" s="287"/>
      <c r="B753" s="287"/>
      <c r="C753" s="287"/>
      <c r="D753" s="232"/>
      <c r="E753" s="232"/>
      <c r="F753" s="232"/>
      <c r="G753" s="232"/>
      <c r="H753" s="232"/>
      <c r="I753" s="232"/>
      <c r="J753" s="232"/>
      <c r="K753" s="232"/>
      <c r="L753" s="232"/>
      <c r="M753" s="232"/>
      <c r="N753" s="289"/>
      <c r="O753" s="232"/>
      <c r="P753" s="232"/>
      <c r="Q753" s="232"/>
      <c r="R753" s="232"/>
      <c r="S753" s="232"/>
      <c r="T753" s="232"/>
      <c r="U753" s="232"/>
      <c r="V753" s="232"/>
      <c r="W753" s="232"/>
      <c r="X753" s="232"/>
      <c r="Y753" s="232"/>
      <c r="Z753" s="232"/>
      <c r="AA753" s="232"/>
      <c r="AB753" s="232"/>
      <c r="AC753" s="232"/>
      <c r="AD753" s="232"/>
      <c r="AE753" s="232"/>
      <c r="AF753" s="232"/>
      <c r="AG753" s="232"/>
      <c r="AH753" s="232"/>
      <c r="AI753" s="232"/>
      <c r="AJ753" s="232"/>
      <c r="AK753" s="232"/>
      <c r="AL753" s="232"/>
      <c r="AM753" s="232"/>
      <c r="AN753" s="232"/>
      <c r="AO753" s="232"/>
      <c r="AP753" s="232"/>
      <c r="AQ753" s="232"/>
      <c r="AR753" s="232"/>
      <c r="AS753" s="232"/>
      <c r="AT753" s="232"/>
      <c r="AU753" s="232"/>
      <c r="AV753" s="232"/>
      <c r="AW753" s="232"/>
      <c r="AX753" s="232"/>
      <c r="AY753" s="232"/>
      <c r="AZ753" s="232"/>
      <c r="BA753" s="232"/>
      <c r="BB753" s="232"/>
      <c r="BC753" s="232"/>
      <c r="BD753" s="232"/>
      <c r="BE753" s="232"/>
      <c r="BF753" s="232"/>
      <c r="BG753" s="232"/>
      <c r="BH753" s="232"/>
      <c r="BI753" s="232"/>
      <c r="BJ753" s="232"/>
      <c r="BK753" s="232"/>
      <c r="BL753" s="232"/>
      <c r="BM753" s="232"/>
      <c r="BN753" s="232"/>
      <c r="BO753" s="232"/>
      <c r="BP753" s="232"/>
      <c r="BQ753" s="232"/>
      <c r="BR753" s="232"/>
      <c r="BS753" s="232"/>
      <c r="BT753" s="232"/>
      <c r="BU753" s="232"/>
      <c r="BV753" s="232"/>
      <c r="BW753" s="232"/>
      <c r="BX753" s="232"/>
      <c r="BY753" s="232"/>
      <c r="BZ753" s="232"/>
      <c r="CA753" s="232"/>
      <c r="CB753" s="232"/>
      <c r="CC753" s="232"/>
      <c r="CD753" s="232"/>
      <c r="CE753" s="232"/>
      <c r="CF753" s="232"/>
      <c r="CG753" s="232"/>
      <c r="CH753" s="232"/>
      <c r="CI753" s="232"/>
      <c r="CJ753" s="232"/>
      <c r="CK753" s="232"/>
      <c r="CL753" s="232"/>
      <c r="CM753" s="232"/>
      <c r="CN753" s="215"/>
      <c r="CO753" s="215"/>
      <c r="CP753" s="215"/>
      <c r="CQ753" s="215"/>
      <c r="CR753" s="215"/>
      <c r="CS753" s="215"/>
      <c r="CT753" s="215"/>
    </row>
    <row r="754" ht="24.0" customHeight="1">
      <c r="A754" s="287"/>
      <c r="B754" s="287"/>
      <c r="C754" s="287"/>
      <c r="D754" s="232"/>
      <c r="E754" s="232"/>
      <c r="F754" s="232"/>
      <c r="G754" s="232"/>
      <c r="H754" s="232"/>
      <c r="I754" s="232"/>
      <c r="J754" s="232"/>
      <c r="K754" s="232"/>
      <c r="L754" s="232"/>
      <c r="M754" s="232"/>
      <c r="N754" s="289"/>
      <c r="O754" s="232"/>
      <c r="P754" s="232"/>
      <c r="Q754" s="232"/>
      <c r="R754" s="232"/>
      <c r="S754" s="232"/>
      <c r="T754" s="232"/>
      <c r="U754" s="232"/>
      <c r="V754" s="232"/>
      <c r="W754" s="232"/>
      <c r="X754" s="232"/>
      <c r="Y754" s="232"/>
      <c r="Z754" s="232"/>
      <c r="AA754" s="232"/>
      <c r="AB754" s="232"/>
      <c r="AC754" s="232"/>
      <c r="AD754" s="232"/>
      <c r="AE754" s="232"/>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c r="BL754" s="232"/>
      <c r="BM754" s="232"/>
      <c r="BN754" s="232"/>
      <c r="BO754" s="232"/>
      <c r="BP754" s="232"/>
      <c r="BQ754" s="232"/>
      <c r="BR754" s="232"/>
      <c r="BS754" s="232"/>
      <c r="BT754" s="232"/>
      <c r="BU754" s="232"/>
      <c r="BV754" s="232"/>
      <c r="BW754" s="232"/>
      <c r="BX754" s="232"/>
      <c r="BY754" s="232"/>
      <c r="BZ754" s="232"/>
      <c r="CA754" s="232"/>
      <c r="CB754" s="232"/>
      <c r="CC754" s="232"/>
      <c r="CD754" s="232"/>
      <c r="CE754" s="232"/>
      <c r="CF754" s="232"/>
      <c r="CG754" s="232"/>
      <c r="CH754" s="232"/>
      <c r="CI754" s="232"/>
      <c r="CJ754" s="232"/>
      <c r="CK754" s="232"/>
      <c r="CL754" s="232"/>
      <c r="CM754" s="232"/>
      <c r="CN754" s="215"/>
      <c r="CO754" s="215"/>
      <c r="CP754" s="215"/>
      <c r="CQ754" s="215"/>
      <c r="CR754" s="215"/>
      <c r="CS754" s="215"/>
      <c r="CT754" s="215"/>
    </row>
    <row r="755" ht="24.0" customHeight="1">
      <c r="A755" s="287"/>
      <c r="B755" s="287"/>
      <c r="C755" s="287"/>
      <c r="D755" s="232"/>
      <c r="E755" s="232"/>
      <c r="F755" s="232"/>
      <c r="G755" s="232"/>
      <c r="H755" s="232"/>
      <c r="I755" s="232"/>
      <c r="J755" s="232"/>
      <c r="K755" s="232"/>
      <c r="L755" s="232"/>
      <c r="M755" s="232"/>
      <c r="N755" s="289"/>
      <c r="O755" s="232"/>
      <c r="P755" s="232"/>
      <c r="Q755" s="232"/>
      <c r="R755" s="232"/>
      <c r="S755" s="232"/>
      <c r="T755" s="232"/>
      <c r="U755" s="232"/>
      <c r="V755" s="232"/>
      <c r="W755" s="232"/>
      <c r="X755" s="232"/>
      <c r="Y755" s="232"/>
      <c r="Z755" s="232"/>
      <c r="AA755" s="232"/>
      <c r="AB755" s="232"/>
      <c r="AC755" s="232"/>
      <c r="AD755" s="232"/>
      <c r="AE755" s="232"/>
      <c r="AF755" s="232"/>
      <c r="AG755" s="232"/>
      <c r="AH755" s="232"/>
      <c r="AI755" s="232"/>
      <c r="AJ755" s="232"/>
      <c r="AK755" s="232"/>
      <c r="AL755" s="232"/>
      <c r="AM755" s="232"/>
      <c r="AN755" s="232"/>
      <c r="AO755" s="232"/>
      <c r="AP755" s="232"/>
      <c r="AQ755" s="232"/>
      <c r="AR755" s="232"/>
      <c r="AS755" s="232"/>
      <c r="AT755" s="232"/>
      <c r="AU755" s="232"/>
      <c r="AV755" s="232"/>
      <c r="AW755" s="232"/>
      <c r="AX755" s="232"/>
      <c r="AY755" s="232"/>
      <c r="AZ755" s="232"/>
      <c r="BA755" s="232"/>
      <c r="BB755" s="232"/>
      <c r="BC755" s="232"/>
      <c r="BD755" s="232"/>
      <c r="BE755" s="232"/>
      <c r="BF755" s="232"/>
      <c r="BG755" s="232"/>
      <c r="BH755" s="232"/>
      <c r="BI755" s="232"/>
      <c r="BJ755" s="232"/>
      <c r="BK755" s="232"/>
      <c r="BL755" s="232"/>
      <c r="BM755" s="232"/>
      <c r="BN755" s="232"/>
      <c r="BO755" s="232"/>
      <c r="BP755" s="232"/>
      <c r="BQ755" s="232"/>
      <c r="BR755" s="232"/>
      <c r="BS755" s="232"/>
      <c r="BT755" s="232"/>
      <c r="BU755" s="232"/>
      <c r="BV755" s="232"/>
      <c r="BW755" s="232"/>
      <c r="BX755" s="232"/>
      <c r="BY755" s="232"/>
      <c r="BZ755" s="232"/>
      <c r="CA755" s="232"/>
      <c r="CB755" s="232"/>
      <c r="CC755" s="232"/>
      <c r="CD755" s="232"/>
      <c r="CE755" s="232"/>
      <c r="CF755" s="232"/>
      <c r="CG755" s="232"/>
      <c r="CH755" s="232"/>
      <c r="CI755" s="232"/>
      <c r="CJ755" s="232"/>
      <c r="CK755" s="232"/>
      <c r="CL755" s="232"/>
      <c r="CM755" s="232"/>
      <c r="CN755" s="215"/>
      <c r="CO755" s="215"/>
      <c r="CP755" s="215"/>
      <c r="CQ755" s="215"/>
      <c r="CR755" s="215"/>
      <c r="CS755" s="215"/>
      <c r="CT755" s="215"/>
    </row>
    <row r="756" ht="24.0" customHeight="1">
      <c r="A756" s="287"/>
      <c r="B756" s="287"/>
      <c r="C756" s="287"/>
      <c r="D756" s="232"/>
      <c r="E756" s="232"/>
      <c r="F756" s="232"/>
      <c r="G756" s="232"/>
      <c r="H756" s="232"/>
      <c r="I756" s="232"/>
      <c r="J756" s="232"/>
      <c r="K756" s="232"/>
      <c r="L756" s="232"/>
      <c r="M756" s="232"/>
      <c r="N756" s="289"/>
      <c r="O756" s="232"/>
      <c r="P756" s="232"/>
      <c r="Q756" s="232"/>
      <c r="R756" s="232"/>
      <c r="S756" s="232"/>
      <c r="T756" s="232"/>
      <c r="U756" s="232"/>
      <c r="V756" s="232"/>
      <c r="W756" s="232"/>
      <c r="X756" s="232"/>
      <c r="Y756" s="232"/>
      <c r="Z756" s="232"/>
      <c r="AA756" s="232"/>
      <c r="AB756" s="232"/>
      <c r="AC756" s="232"/>
      <c r="AD756" s="232"/>
      <c r="AE756" s="232"/>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c r="BL756" s="232"/>
      <c r="BM756" s="232"/>
      <c r="BN756" s="232"/>
      <c r="BO756" s="232"/>
      <c r="BP756" s="232"/>
      <c r="BQ756" s="232"/>
      <c r="BR756" s="232"/>
      <c r="BS756" s="232"/>
      <c r="BT756" s="232"/>
      <c r="BU756" s="232"/>
      <c r="BV756" s="232"/>
      <c r="BW756" s="232"/>
      <c r="BX756" s="232"/>
      <c r="BY756" s="232"/>
      <c r="BZ756" s="232"/>
      <c r="CA756" s="232"/>
      <c r="CB756" s="232"/>
      <c r="CC756" s="232"/>
      <c r="CD756" s="232"/>
      <c r="CE756" s="232"/>
      <c r="CF756" s="232"/>
      <c r="CG756" s="232"/>
      <c r="CH756" s="232"/>
      <c r="CI756" s="232"/>
      <c r="CJ756" s="232"/>
      <c r="CK756" s="232"/>
      <c r="CL756" s="232"/>
      <c r="CM756" s="232"/>
      <c r="CN756" s="215"/>
      <c r="CO756" s="215"/>
      <c r="CP756" s="215"/>
      <c r="CQ756" s="215"/>
      <c r="CR756" s="215"/>
      <c r="CS756" s="215"/>
      <c r="CT756" s="215"/>
    </row>
    <row r="757" ht="24.0" customHeight="1">
      <c r="A757" s="287"/>
      <c r="B757" s="287"/>
      <c r="C757" s="287"/>
      <c r="D757" s="232"/>
      <c r="E757" s="232"/>
      <c r="F757" s="232"/>
      <c r="G757" s="232"/>
      <c r="H757" s="232"/>
      <c r="I757" s="232"/>
      <c r="J757" s="232"/>
      <c r="K757" s="232"/>
      <c r="L757" s="232"/>
      <c r="M757" s="232"/>
      <c r="N757" s="289"/>
      <c r="O757" s="232"/>
      <c r="P757" s="232"/>
      <c r="Q757" s="232"/>
      <c r="R757" s="232"/>
      <c r="S757" s="232"/>
      <c r="T757" s="232"/>
      <c r="U757" s="232"/>
      <c r="V757" s="232"/>
      <c r="W757" s="232"/>
      <c r="X757" s="232"/>
      <c r="Y757" s="232"/>
      <c r="Z757" s="232"/>
      <c r="AA757" s="232"/>
      <c r="AB757" s="232"/>
      <c r="AC757" s="232"/>
      <c r="AD757" s="232"/>
      <c r="AE757" s="232"/>
      <c r="AF757" s="232"/>
      <c r="AG757" s="232"/>
      <c r="AH757" s="232"/>
      <c r="AI757" s="232"/>
      <c r="AJ757" s="232"/>
      <c r="AK757" s="232"/>
      <c r="AL757" s="232"/>
      <c r="AM757" s="232"/>
      <c r="AN757" s="232"/>
      <c r="AO757" s="232"/>
      <c r="AP757" s="232"/>
      <c r="AQ757" s="232"/>
      <c r="AR757" s="232"/>
      <c r="AS757" s="232"/>
      <c r="AT757" s="232"/>
      <c r="AU757" s="232"/>
      <c r="AV757" s="232"/>
      <c r="AW757" s="232"/>
      <c r="AX757" s="232"/>
      <c r="AY757" s="232"/>
      <c r="AZ757" s="232"/>
      <c r="BA757" s="232"/>
      <c r="BB757" s="232"/>
      <c r="BC757" s="232"/>
      <c r="BD757" s="232"/>
      <c r="BE757" s="232"/>
      <c r="BF757" s="232"/>
      <c r="BG757" s="232"/>
      <c r="BH757" s="232"/>
      <c r="BI757" s="232"/>
      <c r="BJ757" s="232"/>
      <c r="BK757" s="232"/>
      <c r="BL757" s="232"/>
      <c r="BM757" s="232"/>
      <c r="BN757" s="232"/>
      <c r="BO757" s="232"/>
      <c r="BP757" s="232"/>
      <c r="BQ757" s="232"/>
      <c r="BR757" s="232"/>
      <c r="BS757" s="232"/>
      <c r="BT757" s="232"/>
      <c r="BU757" s="232"/>
      <c r="BV757" s="232"/>
      <c r="BW757" s="232"/>
      <c r="BX757" s="232"/>
      <c r="BY757" s="232"/>
      <c r="BZ757" s="232"/>
      <c r="CA757" s="232"/>
      <c r="CB757" s="232"/>
      <c r="CC757" s="232"/>
      <c r="CD757" s="232"/>
      <c r="CE757" s="232"/>
      <c r="CF757" s="232"/>
      <c r="CG757" s="232"/>
      <c r="CH757" s="232"/>
      <c r="CI757" s="232"/>
      <c r="CJ757" s="232"/>
      <c r="CK757" s="232"/>
      <c r="CL757" s="232"/>
      <c r="CM757" s="232"/>
      <c r="CN757" s="215"/>
      <c r="CO757" s="215"/>
      <c r="CP757" s="215"/>
      <c r="CQ757" s="215"/>
      <c r="CR757" s="215"/>
      <c r="CS757" s="215"/>
      <c r="CT757" s="215"/>
    </row>
    <row r="758" ht="24.0" customHeight="1">
      <c r="A758" s="287"/>
      <c r="B758" s="287"/>
      <c r="C758" s="287"/>
      <c r="D758" s="232"/>
      <c r="E758" s="232"/>
      <c r="F758" s="232"/>
      <c r="G758" s="232"/>
      <c r="H758" s="232"/>
      <c r="I758" s="232"/>
      <c r="J758" s="232"/>
      <c r="K758" s="232"/>
      <c r="L758" s="232"/>
      <c r="M758" s="232"/>
      <c r="N758" s="289"/>
      <c r="O758" s="232"/>
      <c r="P758" s="232"/>
      <c r="Q758" s="232"/>
      <c r="R758" s="232"/>
      <c r="S758" s="232"/>
      <c r="T758" s="232"/>
      <c r="U758" s="232"/>
      <c r="V758" s="232"/>
      <c r="W758" s="232"/>
      <c r="X758" s="232"/>
      <c r="Y758" s="232"/>
      <c r="Z758" s="232"/>
      <c r="AA758" s="232"/>
      <c r="AB758" s="232"/>
      <c r="AC758" s="232"/>
      <c r="AD758" s="232"/>
      <c r="AE758" s="232"/>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c r="BL758" s="232"/>
      <c r="BM758" s="232"/>
      <c r="BN758" s="232"/>
      <c r="BO758" s="232"/>
      <c r="BP758" s="232"/>
      <c r="BQ758" s="232"/>
      <c r="BR758" s="232"/>
      <c r="BS758" s="232"/>
      <c r="BT758" s="232"/>
      <c r="BU758" s="232"/>
      <c r="BV758" s="232"/>
      <c r="BW758" s="232"/>
      <c r="BX758" s="232"/>
      <c r="BY758" s="232"/>
      <c r="BZ758" s="232"/>
      <c r="CA758" s="232"/>
      <c r="CB758" s="232"/>
      <c r="CC758" s="232"/>
      <c r="CD758" s="232"/>
      <c r="CE758" s="232"/>
      <c r="CF758" s="232"/>
      <c r="CG758" s="232"/>
      <c r="CH758" s="232"/>
      <c r="CI758" s="232"/>
      <c r="CJ758" s="232"/>
      <c r="CK758" s="232"/>
      <c r="CL758" s="232"/>
      <c r="CM758" s="232"/>
      <c r="CN758" s="215"/>
      <c r="CO758" s="215"/>
      <c r="CP758" s="215"/>
      <c r="CQ758" s="215"/>
      <c r="CR758" s="215"/>
      <c r="CS758" s="215"/>
      <c r="CT758" s="215"/>
    </row>
    <row r="759" ht="24.0" customHeight="1">
      <c r="A759" s="287"/>
      <c r="B759" s="287"/>
      <c r="C759" s="287"/>
      <c r="D759" s="232"/>
      <c r="E759" s="232"/>
      <c r="F759" s="232"/>
      <c r="G759" s="232"/>
      <c r="H759" s="232"/>
      <c r="I759" s="232"/>
      <c r="J759" s="232"/>
      <c r="K759" s="232"/>
      <c r="L759" s="232"/>
      <c r="M759" s="232"/>
      <c r="N759" s="289"/>
      <c r="O759" s="232"/>
      <c r="P759" s="232"/>
      <c r="Q759" s="232"/>
      <c r="R759" s="232"/>
      <c r="S759" s="232"/>
      <c r="T759" s="232"/>
      <c r="U759" s="232"/>
      <c r="V759" s="232"/>
      <c r="W759" s="232"/>
      <c r="X759" s="232"/>
      <c r="Y759" s="232"/>
      <c r="Z759" s="232"/>
      <c r="AA759" s="232"/>
      <c r="AB759" s="232"/>
      <c r="AC759" s="232"/>
      <c r="AD759" s="232"/>
      <c r="AE759" s="232"/>
      <c r="AF759" s="232"/>
      <c r="AG759" s="232"/>
      <c r="AH759" s="232"/>
      <c r="AI759" s="232"/>
      <c r="AJ759" s="232"/>
      <c r="AK759" s="232"/>
      <c r="AL759" s="232"/>
      <c r="AM759" s="232"/>
      <c r="AN759" s="232"/>
      <c r="AO759" s="232"/>
      <c r="AP759" s="232"/>
      <c r="AQ759" s="232"/>
      <c r="AR759" s="232"/>
      <c r="AS759" s="232"/>
      <c r="AT759" s="232"/>
      <c r="AU759" s="232"/>
      <c r="AV759" s="232"/>
      <c r="AW759" s="232"/>
      <c r="AX759" s="232"/>
      <c r="AY759" s="232"/>
      <c r="AZ759" s="232"/>
      <c r="BA759" s="232"/>
      <c r="BB759" s="232"/>
      <c r="BC759" s="232"/>
      <c r="BD759" s="232"/>
      <c r="BE759" s="232"/>
      <c r="BF759" s="232"/>
      <c r="BG759" s="232"/>
      <c r="BH759" s="232"/>
      <c r="BI759" s="232"/>
      <c r="BJ759" s="232"/>
      <c r="BK759" s="232"/>
      <c r="BL759" s="232"/>
      <c r="BM759" s="232"/>
      <c r="BN759" s="232"/>
      <c r="BO759" s="232"/>
      <c r="BP759" s="232"/>
      <c r="BQ759" s="232"/>
      <c r="BR759" s="232"/>
      <c r="BS759" s="232"/>
      <c r="BT759" s="232"/>
      <c r="BU759" s="232"/>
      <c r="BV759" s="232"/>
      <c r="BW759" s="232"/>
      <c r="BX759" s="232"/>
      <c r="BY759" s="232"/>
      <c r="BZ759" s="232"/>
      <c r="CA759" s="232"/>
      <c r="CB759" s="232"/>
      <c r="CC759" s="232"/>
      <c r="CD759" s="232"/>
      <c r="CE759" s="232"/>
      <c r="CF759" s="232"/>
      <c r="CG759" s="232"/>
      <c r="CH759" s="232"/>
      <c r="CI759" s="232"/>
      <c r="CJ759" s="232"/>
      <c r="CK759" s="232"/>
      <c r="CL759" s="232"/>
      <c r="CM759" s="232"/>
      <c r="CN759" s="215"/>
      <c r="CO759" s="215"/>
      <c r="CP759" s="215"/>
      <c r="CQ759" s="215"/>
      <c r="CR759" s="215"/>
      <c r="CS759" s="215"/>
      <c r="CT759" s="215"/>
    </row>
    <row r="760" ht="24.0" customHeight="1">
      <c r="A760" s="287"/>
      <c r="B760" s="287"/>
      <c r="C760" s="287"/>
      <c r="D760" s="232"/>
      <c r="E760" s="232"/>
      <c r="F760" s="232"/>
      <c r="G760" s="232"/>
      <c r="H760" s="232"/>
      <c r="I760" s="232"/>
      <c r="J760" s="232"/>
      <c r="K760" s="232"/>
      <c r="L760" s="232"/>
      <c r="M760" s="232"/>
      <c r="N760" s="289"/>
      <c r="O760" s="232"/>
      <c r="P760" s="232"/>
      <c r="Q760" s="232"/>
      <c r="R760" s="232"/>
      <c r="S760" s="232"/>
      <c r="T760" s="232"/>
      <c r="U760" s="232"/>
      <c r="V760" s="232"/>
      <c r="W760" s="232"/>
      <c r="X760" s="232"/>
      <c r="Y760" s="232"/>
      <c r="Z760" s="232"/>
      <c r="AA760" s="232"/>
      <c r="AB760" s="232"/>
      <c r="AC760" s="232"/>
      <c r="AD760" s="232"/>
      <c r="AE760" s="232"/>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c r="BL760" s="232"/>
      <c r="BM760" s="232"/>
      <c r="BN760" s="232"/>
      <c r="BO760" s="232"/>
      <c r="BP760" s="232"/>
      <c r="BQ760" s="232"/>
      <c r="BR760" s="232"/>
      <c r="BS760" s="232"/>
      <c r="BT760" s="232"/>
      <c r="BU760" s="232"/>
      <c r="BV760" s="232"/>
      <c r="BW760" s="232"/>
      <c r="BX760" s="232"/>
      <c r="BY760" s="232"/>
      <c r="BZ760" s="232"/>
      <c r="CA760" s="232"/>
      <c r="CB760" s="232"/>
      <c r="CC760" s="232"/>
      <c r="CD760" s="232"/>
      <c r="CE760" s="232"/>
      <c r="CF760" s="232"/>
      <c r="CG760" s="232"/>
      <c r="CH760" s="232"/>
      <c r="CI760" s="232"/>
      <c r="CJ760" s="232"/>
      <c r="CK760" s="232"/>
      <c r="CL760" s="232"/>
      <c r="CM760" s="232"/>
      <c r="CN760" s="215"/>
      <c r="CO760" s="215"/>
      <c r="CP760" s="215"/>
      <c r="CQ760" s="215"/>
      <c r="CR760" s="215"/>
      <c r="CS760" s="215"/>
      <c r="CT760" s="215"/>
    </row>
    <row r="761" ht="24.0" customHeight="1">
      <c r="A761" s="287"/>
      <c r="B761" s="287"/>
      <c r="C761" s="287"/>
      <c r="D761" s="232"/>
      <c r="E761" s="232"/>
      <c r="F761" s="232"/>
      <c r="G761" s="232"/>
      <c r="H761" s="232"/>
      <c r="I761" s="232"/>
      <c r="J761" s="232"/>
      <c r="K761" s="232"/>
      <c r="L761" s="232"/>
      <c r="M761" s="232"/>
      <c r="N761" s="289"/>
      <c r="O761" s="232"/>
      <c r="P761" s="232"/>
      <c r="Q761" s="232"/>
      <c r="R761" s="232"/>
      <c r="S761" s="232"/>
      <c r="T761" s="232"/>
      <c r="U761" s="232"/>
      <c r="V761" s="232"/>
      <c r="W761" s="232"/>
      <c r="X761" s="232"/>
      <c r="Y761" s="232"/>
      <c r="Z761" s="232"/>
      <c r="AA761" s="232"/>
      <c r="AB761" s="232"/>
      <c r="AC761" s="232"/>
      <c r="AD761" s="232"/>
      <c r="AE761" s="232"/>
      <c r="AF761" s="232"/>
      <c r="AG761" s="232"/>
      <c r="AH761" s="232"/>
      <c r="AI761" s="232"/>
      <c r="AJ761" s="232"/>
      <c r="AK761" s="232"/>
      <c r="AL761" s="232"/>
      <c r="AM761" s="232"/>
      <c r="AN761" s="232"/>
      <c r="AO761" s="232"/>
      <c r="AP761" s="232"/>
      <c r="AQ761" s="232"/>
      <c r="AR761" s="232"/>
      <c r="AS761" s="232"/>
      <c r="AT761" s="232"/>
      <c r="AU761" s="232"/>
      <c r="AV761" s="232"/>
      <c r="AW761" s="232"/>
      <c r="AX761" s="232"/>
      <c r="AY761" s="232"/>
      <c r="AZ761" s="232"/>
      <c r="BA761" s="232"/>
      <c r="BB761" s="232"/>
      <c r="BC761" s="232"/>
      <c r="BD761" s="232"/>
      <c r="BE761" s="232"/>
      <c r="BF761" s="232"/>
      <c r="BG761" s="232"/>
      <c r="BH761" s="232"/>
      <c r="BI761" s="232"/>
      <c r="BJ761" s="232"/>
      <c r="BK761" s="232"/>
      <c r="BL761" s="232"/>
      <c r="BM761" s="232"/>
      <c r="BN761" s="232"/>
      <c r="BO761" s="232"/>
      <c r="BP761" s="232"/>
      <c r="BQ761" s="232"/>
      <c r="BR761" s="232"/>
      <c r="BS761" s="232"/>
      <c r="BT761" s="232"/>
      <c r="BU761" s="232"/>
      <c r="BV761" s="232"/>
      <c r="BW761" s="232"/>
      <c r="BX761" s="232"/>
      <c r="BY761" s="232"/>
      <c r="BZ761" s="232"/>
      <c r="CA761" s="232"/>
      <c r="CB761" s="232"/>
      <c r="CC761" s="232"/>
      <c r="CD761" s="232"/>
      <c r="CE761" s="232"/>
      <c r="CF761" s="232"/>
      <c r="CG761" s="232"/>
      <c r="CH761" s="232"/>
      <c r="CI761" s="232"/>
      <c r="CJ761" s="232"/>
      <c r="CK761" s="232"/>
      <c r="CL761" s="232"/>
      <c r="CM761" s="232"/>
      <c r="CN761" s="215"/>
      <c r="CO761" s="215"/>
      <c r="CP761" s="215"/>
      <c r="CQ761" s="215"/>
      <c r="CR761" s="215"/>
      <c r="CS761" s="215"/>
      <c r="CT761" s="215"/>
    </row>
    <row r="762" ht="24.0" customHeight="1">
      <c r="A762" s="287"/>
      <c r="B762" s="287"/>
      <c r="C762" s="287"/>
      <c r="D762" s="232"/>
      <c r="E762" s="232"/>
      <c r="F762" s="232"/>
      <c r="G762" s="232"/>
      <c r="H762" s="232"/>
      <c r="I762" s="232"/>
      <c r="J762" s="232"/>
      <c r="K762" s="232"/>
      <c r="L762" s="232"/>
      <c r="M762" s="232"/>
      <c r="N762" s="289"/>
      <c r="O762" s="232"/>
      <c r="P762" s="232"/>
      <c r="Q762" s="232"/>
      <c r="R762" s="232"/>
      <c r="S762" s="232"/>
      <c r="T762" s="232"/>
      <c r="U762" s="232"/>
      <c r="V762" s="232"/>
      <c r="W762" s="232"/>
      <c r="X762" s="232"/>
      <c r="Y762" s="232"/>
      <c r="Z762" s="232"/>
      <c r="AA762" s="232"/>
      <c r="AB762" s="232"/>
      <c r="AC762" s="232"/>
      <c r="AD762" s="232"/>
      <c r="AE762" s="232"/>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c r="BL762" s="232"/>
      <c r="BM762" s="232"/>
      <c r="BN762" s="232"/>
      <c r="BO762" s="232"/>
      <c r="BP762" s="232"/>
      <c r="BQ762" s="232"/>
      <c r="BR762" s="232"/>
      <c r="BS762" s="232"/>
      <c r="BT762" s="232"/>
      <c r="BU762" s="232"/>
      <c r="BV762" s="232"/>
      <c r="BW762" s="232"/>
      <c r="BX762" s="232"/>
      <c r="BY762" s="232"/>
      <c r="BZ762" s="232"/>
      <c r="CA762" s="232"/>
      <c r="CB762" s="232"/>
      <c r="CC762" s="232"/>
      <c r="CD762" s="232"/>
      <c r="CE762" s="232"/>
      <c r="CF762" s="232"/>
      <c r="CG762" s="232"/>
      <c r="CH762" s="232"/>
      <c r="CI762" s="232"/>
      <c r="CJ762" s="232"/>
      <c r="CK762" s="232"/>
      <c r="CL762" s="232"/>
      <c r="CM762" s="232"/>
      <c r="CN762" s="215"/>
      <c r="CO762" s="215"/>
      <c r="CP762" s="215"/>
      <c r="CQ762" s="215"/>
      <c r="CR762" s="215"/>
      <c r="CS762" s="215"/>
      <c r="CT762" s="215"/>
    </row>
    <row r="763" ht="24.0" customHeight="1">
      <c r="A763" s="287"/>
      <c r="B763" s="287"/>
      <c r="C763" s="287"/>
      <c r="D763" s="232"/>
      <c r="E763" s="232"/>
      <c r="F763" s="232"/>
      <c r="G763" s="232"/>
      <c r="H763" s="232"/>
      <c r="I763" s="232"/>
      <c r="J763" s="232"/>
      <c r="K763" s="232"/>
      <c r="L763" s="232"/>
      <c r="M763" s="232"/>
      <c r="N763" s="289"/>
      <c r="O763" s="232"/>
      <c r="P763" s="232"/>
      <c r="Q763" s="232"/>
      <c r="R763" s="232"/>
      <c r="S763" s="232"/>
      <c r="T763" s="232"/>
      <c r="U763" s="232"/>
      <c r="V763" s="232"/>
      <c r="W763" s="232"/>
      <c r="X763" s="232"/>
      <c r="Y763" s="232"/>
      <c r="Z763" s="232"/>
      <c r="AA763" s="232"/>
      <c r="AB763" s="232"/>
      <c r="AC763" s="232"/>
      <c r="AD763" s="232"/>
      <c r="AE763" s="232"/>
      <c r="AF763" s="232"/>
      <c r="AG763" s="232"/>
      <c r="AH763" s="232"/>
      <c r="AI763" s="232"/>
      <c r="AJ763" s="232"/>
      <c r="AK763" s="232"/>
      <c r="AL763" s="232"/>
      <c r="AM763" s="232"/>
      <c r="AN763" s="232"/>
      <c r="AO763" s="232"/>
      <c r="AP763" s="232"/>
      <c r="AQ763" s="232"/>
      <c r="AR763" s="232"/>
      <c r="AS763" s="232"/>
      <c r="AT763" s="232"/>
      <c r="AU763" s="232"/>
      <c r="AV763" s="232"/>
      <c r="AW763" s="232"/>
      <c r="AX763" s="232"/>
      <c r="AY763" s="232"/>
      <c r="AZ763" s="232"/>
      <c r="BA763" s="232"/>
      <c r="BB763" s="232"/>
      <c r="BC763" s="232"/>
      <c r="BD763" s="232"/>
      <c r="BE763" s="232"/>
      <c r="BF763" s="232"/>
      <c r="BG763" s="232"/>
      <c r="BH763" s="232"/>
      <c r="BI763" s="232"/>
      <c r="BJ763" s="232"/>
      <c r="BK763" s="232"/>
      <c r="BL763" s="232"/>
      <c r="BM763" s="232"/>
      <c r="BN763" s="232"/>
      <c r="BO763" s="232"/>
      <c r="BP763" s="232"/>
      <c r="BQ763" s="232"/>
      <c r="BR763" s="232"/>
      <c r="BS763" s="232"/>
      <c r="BT763" s="232"/>
      <c r="BU763" s="232"/>
      <c r="BV763" s="232"/>
      <c r="BW763" s="232"/>
      <c r="BX763" s="232"/>
      <c r="BY763" s="232"/>
      <c r="BZ763" s="232"/>
      <c r="CA763" s="232"/>
      <c r="CB763" s="232"/>
      <c r="CC763" s="232"/>
      <c r="CD763" s="232"/>
      <c r="CE763" s="232"/>
      <c r="CF763" s="232"/>
      <c r="CG763" s="232"/>
      <c r="CH763" s="232"/>
      <c r="CI763" s="232"/>
      <c r="CJ763" s="232"/>
      <c r="CK763" s="232"/>
      <c r="CL763" s="232"/>
      <c r="CM763" s="232"/>
      <c r="CN763" s="215"/>
      <c r="CO763" s="215"/>
      <c r="CP763" s="215"/>
      <c r="CQ763" s="215"/>
      <c r="CR763" s="215"/>
      <c r="CS763" s="215"/>
      <c r="CT763" s="215"/>
    </row>
    <row r="764" ht="24.0" customHeight="1">
      <c r="A764" s="287"/>
      <c r="B764" s="287"/>
      <c r="C764" s="287"/>
      <c r="D764" s="232"/>
      <c r="E764" s="232"/>
      <c r="F764" s="232"/>
      <c r="G764" s="232"/>
      <c r="H764" s="232"/>
      <c r="I764" s="232"/>
      <c r="J764" s="232"/>
      <c r="K764" s="232"/>
      <c r="L764" s="232"/>
      <c r="M764" s="232"/>
      <c r="N764" s="289"/>
      <c r="O764" s="232"/>
      <c r="P764" s="232"/>
      <c r="Q764" s="232"/>
      <c r="R764" s="232"/>
      <c r="S764" s="232"/>
      <c r="T764" s="232"/>
      <c r="U764" s="232"/>
      <c r="V764" s="232"/>
      <c r="W764" s="232"/>
      <c r="X764" s="232"/>
      <c r="Y764" s="232"/>
      <c r="Z764" s="232"/>
      <c r="AA764" s="232"/>
      <c r="AB764" s="232"/>
      <c r="AC764" s="232"/>
      <c r="AD764" s="232"/>
      <c r="AE764" s="232"/>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c r="BL764" s="232"/>
      <c r="BM764" s="232"/>
      <c r="BN764" s="232"/>
      <c r="BO764" s="232"/>
      <c r="BP764" s="232"/>
      <c r="BQ764" s="232"/>
      <c r="BR764" s="232"/>
      <c r="BS764" s="232"/>
      <c r="BT764" s="232"/>
      <c r="BU764" s="232"/>
      <c r="BV764" s="232"/>
      <c r="BW764" s="232"/>
      <c r="BX764" s="232"/>
      <c r="BY764" s="232"/>
      <c r="BZ764" s="232"/>
      <c r="CA764" s="232"/>
      <c r="CB764" s="232"/>
      <c r="CC764" s="232"/>
      <c r="CD764" s="232"/>
      <c r="CE764" s="232"/>
      <c r="CF764" s="232"/>
      <c r="CG764" s="232"/>
      <c r="CH764" s="232"/>
      <c r="CI764" s="232"/>
      <c r="CJ764" s="232"/>
      <c r="CK764" s="232"/>
      <c r="CL764" s="232"/>
      <c r="CM764" s="232"/>
      <c r="CN764" s="215"/>
      <c r="CO764" s="215"/>
      <c r="CP764" s="215"/>
      <c r="CQ764" s="215"/>
      <c r="CR764" s="215"/>
      <c r="CS764" s="215"/>
      <c r="CT764" s="215"/>
    </row>
    <row r="765" ht="24.0" customHeight="1">
      <c r="A765" s="287"/>
      <c r="B765" s="287"/>
      <c r="C765" s="287"/>
      <c r="D765" s="232"/>
      <c r="E765" s="232"/>
      <c r="F765" s="232"/>
      <c r="G765" s="232"/>
      <c r="H765" s="232"/>
      <c r="I765" s="232"/>
      <c r="J765" s="232"/>
      <c r="K765" s="232"/>
      <c r="L765" s="232"/>
      <c r="M765" s="232"/>
      <c r="N765" s="289"/>
      <c r="O765" s="232"/>
      <c r="P765" s="232"/>
      <c r="Q765" s="232"/>
      <c r="R765" s="232"/>
      <c r="S765" s="232"/>
      <c r="T765" s="232"/>
      <c r="U765" s="232"/>
      <c r="V765" s="232"/>
      <c r="W765" s="232"/>
      <c r="X765" s="232"/>
      <c r="Y765" s="232"/>
      <c r="Z765" s="232"/>
      <c r="AA765" s="232"/>
      <c r="AB765" s="232"/>
      <c r="AC765" s="232"/>
      <c r="AD765" s="232"/>
      <c r="AE765" s="232"/>
      <c r="AF765" s="232"/>
      <c r="AG765" s="232"/>
      <c r="AH765" s="232"/>
      <c r="AI765" s="232"/>
      <c r="AJ765" s="232"/>
      <c r="AK765" s="232"/>
      <c r="AL765" s="232"/>
      <c r="AM765" s="232"/>
      <c r="AN765" s="232"/>
      <c r="AO765" s="232"/>
      <c r="AP765" s="232"/>
      <c r="AQ765" s="232"/>
      <c r="AR765" s="232"/>
      <c r="AS765" s="232"/>
      <c r="AT765" s="232"/>
      <c r="AU765" s="232"/>
      <c r="AV765" s="232"/>
      <c r="AW765" s="232"/>
      <c r="AX765" s="232"/>
      <c r="AY765" s="232"/>
      <c r="AZ765" s="232"/>
      <c r="BA765" s="232"/>
      <c r="BB765" s="232"/>
      <c r="BC765" s="232"/>
      <c r="BD765" s="232"/>
      <c r="BE765" s="232"/>
      <c r="BF765" s="232"/>
      <c r="BG765" s="232"/>
      <c r="BH765" s="232"/>
      <c r="BI765" s="232"/>
      <c r="BJ765" s="232"/>
      <c r="BK765" s="232"/>
      <c r="BL765" s="232"/>
      <c r="BM765" s="232"/>
      <c r="BN765" s="232"/>
      <c r="BO765" s="232"/>
      <c r="BP765" s="232"/>
      <c r="BQ765" s="232"/>
      <c r="BR765" s="232"/>
      <c r="BS765" s="232"/>
      <c r="BT765" s="232"/>
      <c r="BU765" s="232"/>
      <c r="BV765" s="232"/>
      <c r="BW765" s="232"/>
      <c r="BX765" s="232"/>
      <c r="BY765" s="232"/>
      <c r="BZ765" s="232"/>
      <c r="CA765" s="232"/>
      <c r="CB765" s="232"/>
      <c r="CC765" s="232"/>
      <c r="CD765" s="232"/>
      <c r="CE765" s="232"/>
      <c r="CF765" s="232"/>
      <c r="CG765" s="232"/>
      <c r="CH765" s="232"/>
      <c r="CI765" s="232"/>
      <c r="CJ765" s="232"/>
      <c r="CK765" s="232"/>
      <c r="CL765" s="232"/>
      <c r="CM765" s="232"/>
      <c r="CN765" s="215"/>
      <c r="CO765" s="215"/>
      <c r="CP765" s="215"/>
      <c r="CQ765" s="215"/>
      <c r="CR765" s="215"/>
      <c r="CS765" s="215"/>
      <c r="CT765" s="215"/>
    </row>
    <row r="766" ht="24.0" customHeight="1">
      <c r="A766" s="287"/>
      <c r="B766" s="287"/>
      <c r="C766" s="287"/>
      <c r="D766" s="232"/>
      <c r="E766" s="232"/>
      <c r="F766" s="232"/>
      <c r="G766" s="232"/>
      <c r="H766" s="232"/>
      <c r="I766" s="232"/>
      <c r="J766" s="232"/>
      <c r="K766" s="232"/>
      <c r="L766" s="232"/>
      <c r="M766" s="232"/>
      <c r="N766" s="289"/>
      <c r="O766" s="232"/>
      <c r="P766" s="232"/>
      <c r="Q766" s="232"/>
      <c r="R766" s="232"/>
      <c r="S766" s="232"/>
      <c r="T766" s="232"/>
      <c r="U766" s="232"/>
      <c r="V766" s="232"/>
      <c r="W766" s="232"/>
      <c r="X766" s="232"/>
      <c r="Y766" s="232"/>
      <c r="Z766" s="232"/>
      <c r="AA766" s="232"/>
      <c r="AB766" s="232"/>
      <c r="AC766" s="232"/>
      <c r="AD766" s="232"/>
      <c r="AE766" s="232"/>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c r="BL766" s="232"/>
      <c r="BM766" s="232"/>
      <c r="BN766" s="232"/>
      <c r="BO766" s="232"/>
      <c r="BP766" s="232"/>
      <c r="BQ766" s="232"/>
      <c r="BR766" s="232"/>
      <c r="BS766" s="232"/>
      <c r="BT766" s="232"/>
      <c r="BU766" s="232"/>
      <c r="BV766" s="232"/>
      <c r="BW766" s="232"/>
      <c r="BX766" s="232"/>
      <c r="BY766" s="232"/>
      <c r="BZ766" s="232"/>
      <c r="CA766" s="232"/>
      <c r="CB766" s="232"/>
      <c r="CC766" s="232"/>
      <c r="CD766" s="232"/>
      <c r="CE766" s="232"/>
      <c r="CF766" s="232"/>
      <c r="CG766" s="232"/>
      <c r="CH766" s="232"/>
      <c r="CI766" s="232"/>
      <c r="CJ766" s="232"/>
      <c r="CK766" s="232"/>
      <c r="CL766" s="232"/>
      <c r="CM766" s="232"/>
      <c r="CN766" s="215"/>
      <c r="CO766" s="215"/>
      <c r="CP766" s="215"/>
      <c r="CQ766" s="215"/>
      <c r="CR766" s="215"/>
      <c r="CS766" s="215"/>
      <c r="CT766" s="215"/>
    </row>
    <row r="767" ht="24.0" customHeight="1">
      <c r="A767" s="287"/>
      <c r="B767" s="287"/>
      <c r="C767" s="287"/>
      <c r="D767" s="232"/>
      <c r="E767" s="232"/>
      <c r="F767" s="232"/>
      <c r="G767" s="232"/>
      <c r="H767" s="232"/>
      <c r="I767" s="232"/>
      <c r="J767" s="232"/>
      <c r="K767" s="232"/>
      <c r="L767" s="232"/>
      <c r="M767" s="232"/>
      <c r="N767" s="289"/>
      <c r="O767" s="232"/>
      <c r="P767" s="232"/>
      <c r="Q767" s="232"/>
      <c r="R767" s="232"/>
      <c r="S767" s="232"/>
      <c r="T767" s="232"/>
      <c r="U767" s="232"/>
      <c r="V767" s="232"/>
      <c r="W767" s="232"/>
      <c r="X767" s="232"/>
      <c r="Y767" s="232"/>
      <c r="Z767" s="232"/>
      <c r="AA767" s="232"/>
      <c r="AB767" s="232"/>
      <c r="AC767" s="232"/>
      <c r="AD767" s="232"/>
      <c r="AE767" s="232"/>
      <c r="AF767" s="232"/>
      <c r="AG767" s="232"/>
      <c r="AH767" s="232"/>
      <c r="AI767" s="232"/>
      <c r="AJ767" s="232"/>
      <c r="AK767" s="232"/>
      <c r="AL767" s="232"/>
      <c r="AM767" s="232"/>
      <c r="AN767" s="232"/>
      <c r="AO767" s="232"/>
      <c r="AP767" s="232"/>
      <c r="AQ767" s="232"/>
      <c r="AR767" s="232"/>
      <c r="AS767" s="232"/>
      <c r="AT767" s="232"/>
      <c r="AU767" s="232"/>
      <c r="AV767" s="232"/>
      <c r="AW767" s="232"/>
      <c r="AX767" s="232"/>
      <c r="AY767" s="232"/>
      <c r="AZ767" s="232"/>
      <c r="BA767" s="232"/>
      <c r="BB767" s="232"/>
      <c r="BC767" s="232"/>
      <c r="BD767" s="232"/>
      <c r="BE767" s="232"/>
      <c r="BF767" s="232"/>
      <c r="BG767" s="232"/>
      <c r="BH767" s="232"/>
      <c r="BI767" s="232"/>
      <c r="BJ767" s="232"/>
      <c r="BK767" s="232"/>
      <c r="BL767" s="232"/>
      <c r="BM767" s="232"/>
      <c r="BN767" s="232"/>
      <c r="BO767" s="232"/>
      <c r="BP767" s="232"/>
      <c r="BQ767" s="232"/>
      <c r="BR767" s="232"/>
      <c r="BS767" s="232"/>
      <c r="BT767" s="232"/>
      <c r="BU767" s="232"/>
      <c r="BV767" s="232"/>
      <c r="BW767" s="232"/>
      <c r="BX767" s="232"/>
      <c r="BY767" s="232"/>
      <c r="BZ767" s="232"/>
      <c r="CA767" s="232"/>
      <c r="CB767" s="232"/>
      <c r="CC767" s="232"/>
      <c r="CD767" s="232"/>
      <c r="CE767" s="232"/>
      <c r="CF767" s="232"/>
      <c r="CG767" s="232"/>
      <c r="CH767" s="232"/>
      <c r="CI767" s="232"/>
      <c r="CJ767" s="232"/>
      <c r="CK767" s="232"/>
      <c r="CL767" s="232"/>
      <c r="CM767" s="232"/>
      <c r="CN767" s="215"/>
      <c r="CO767" s="215"/>
      <c r="CP767" s="215"/>
      <c r="CQ767" s="215"/>
      <c r="CR767" s="215"/>
      <c r="CS767" s="215"/>
      <c r="CT767" s="215"/>
    </row>
    <row r="768" ht="24.0" customHeight="1">
      <c r="A768" s="287"/>
      <c r="B768" s="287"/>
      <c r="C768" s="287"/>
      <c r="D768" s="232"/>
      <c r="E768" s="232"/>
      <c r="F768" s="232"/>
      <c r="G768" s="232"/>
      <c r="H768" s="232"/>
      <c r="I768" s="232"/>
      <c r="J768" s="232"/>
      <c r="K768" s="232"/>
      <c r="L768" s="232"/>
      <c r="M768" s="232"/>
      <c r="N768" s="289"/>
      <c r="O768" s="232"/>
      <c r="P768" s="232"/>
      <c r="Q768" s="232"/>
      <c r="R768" s="232"/>
      <c r="S768" s="232"/>
      <c r="T768" s="232"/>
      <c r="U768" s="232"/>
      <c r="V768" s="232"/>
      <c r="W768" s="232"/>
      <c r="X768" s="232"/>
      <c r="Y768" s="232"/>
      <c r="Z768" s="232"/>
      <c r="AA768" s="232"/>
      <c r="AB768" s="232"/>
      <c r="AC768" s="232"/>
      <c r="AD768" s="232"/>
      <c r="AE768" s="232"/>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c r="BL768" s="232"/>
      <c r="BM768" s="232"/>
      <c r="BN768" s="232"/>
      <c r="BO768" s="232"/>
      <c r="BP768" s="232"/>
      <c r="BQ768" s="232"/>
      <c r="BR768" s="232"/>
      <c r="BS768" s="232"/>
      <c r="BT768" s="232"/>
      <c r="BU768" s="232"/>
      <c r="BV768" s="232"/>
      <c r="BW768" s="232"/>
      <c r="BX768" s="232"/>
      <c r="BY768" s="232"/>
      <c r="BZ768" s="232"/>
      <c r="CA768" s="232"/>
      <c r="CB768" s="232"/>
      <c r="CC768" s="232"/>
      <c r="CD768" s="232"/>
      <c r="CE768" s="232"/>
      <c r="CF768" s="232"/>
      <c r="CG768" s="232"/>
      <c r="CH768" s="232"/>
      <c r="CI768" s="232"/>
      <c r="CJ768" s="232"/>
      <c r="CK768" s="232"/>
      <c r="CL768" s="232"/>
      <c r="CM768" s="232"/>
      <c r="CN768" s="215"/>
      <c r="CO768" s="215"/>
      <c r="CP768" s="215"/>
      <c r="CQ768" s="215"/>
      <c r="CR768" s="215"/>
      <c r="CS768" s="215"/>
      <c r="CT768" s="215"/>
    </row>
    <row r="769" ht="24.0" customHeight="1">
      <c r="A769" s="287"/>
      <c r="B769" s="287"/>
      <c r="C769" s="287"/>
      <c r="D769" s="232"/>
      <c r="E769" s="232"/>
      <c r="F769" s="232"/>
      <c r="G769" s="232"/>
      <c r="H769" s="232"/>
      <c r="I769" s="232"/>
      <c r="J769" s="232"/>
      <c r="K769" s="232"/>
      <c r="L769" s="232"/>
      <c r="M769" s="232"/>
      <c r="N769" s="289"/>
      <c r="O769" s="232"/>
      <c r="P769" s="232"/>
      <c r="Q769" s="232"/>
      <c r="R769" s="232"/>
      <c r="S769" s="232"/>
      <c r="T769" s="232"/>
      <c r="U769" s="232"/>
      <c r="V769" s="232"/>
      <c r="W769" s="232"/>
      <c r="X769" s="232"/>
      <c r="Y769" s="232"/>
      <c r="Z769" s="232"/>
      <c r="AA769" s="232"/>
      <c r="AB769" s="232"/>
      <c r="AC769" s="232"/>
      <c r="AD769" s="232"/>
      <c r="AE769" s="232"/>
      <c r="AF769" s="232"/>
      <c r="AG769" s="232"/>
      <c r="AH769" s="232"/>
      <c r="AI769" s="232"/>
      <c r="AJ769" s="232"/>
      <c r="AK769" s="232"/>
      <c r="AL769" s="232"/>
      <c r="AM769" s="232"/>
      <c r="AN769" s="232"/>
      <c r="AO769" s="232"/>
      <c r="AP769" s="232"/>
      <c r="AQ769" s="232"/>
      <c r="AR769" s="232"/>
      <c r="AS769" s="232"/>
      <c r="AT769" s="232"/>
      <c r="AU769" s="232"/>
      <c r="AV769" s="232"/>
      <c r="AW769" s="232"/>
      <c r="AX769" s="232"/>
      <c r="AY769" s="232"/>
      <c r="AZ769" s="232"/>
      <c r="BA769" s="232"/>
      <c r="BB769" s="232"/>
      <c r="BC769" s="232"/>
      <c r="BD769" s="232"/>
      <c r="BE769" s="232"/>
      <c r="BF769" s="232"/>
      <c r="BG769" s="232"/>
      <c r="BH769" s="232"/>
      <c r="BI769" s="232"/>
      <c r="BJ769" s="232"/>
      <c r="BK769" s="232"/>
      <c r="BL769" s="232"/>
      <c r="BM769" s="232"/>
      <c r="BN769" s="232"/>
      <c r="BO769" s="232"/>
      <c r="BP769" s="232"/>
      <c r="BQ769" s="232"/>
      <c r="BR769" s="232"/>
      <c r="BS769" s="232"/>
      <c r="BT769" s="232"/>
      <c r="BU769" s="232"/>
      <c r="BV769" s="232"/>
      <c r="BW769" s="232"/>
      <c r="BX769" s="232"/>
      <c r="BY769" s="232"/>
      <c r="BZ769" s="232"/>
      <c r="CA769" s="232"/>
      <c r="CB769" s="232"/>
      <c r="CC769" s="232"/>
      <c r="CD769" s="232"/>
      <c r="CE769" s="232"/>
      <c r="CF769" s="232"/>
      <c r="CG769" s="232"/>
      <c r="CH769" s="232"/>
      <c r="CI769" s="232"/>
      <c r="CJ769" s="232"/>
      <c r="CK769" s="232"/>
      <c r="CL769" s="232"/>
      <c r="CM769" s="232"/>
      <c r="CN769" s="215"/>
      <c r="CO769" s="215"/>
      <c r="CP769" s="215"/>
      <c r="CQ769" s="215"/>
      <c r="CR769" s="215"/>
      <c r="CS769" s="215"/>
      <c r="CT769" s="215"/>
    </row>
    <row r="770" ht="24.0" customHeight="1">
      <c r="A770" s="287"/>
      <c r="B770" s="287"/>
      <c r="C770" s="287"/>
      <c r="D770" s="232"/>
      <c r="E770" s="232"/>
      <c r="F770" s="232"/>
      <c r="G770" s="232"/>
      <c r="H770" s="232"/>
      <c r="I770" s="232"/>
      <c r="J770" s="232"/>
      <c r="K770" s="232"/>
      <c r="L770" s="232"/>
      <c r="M770" s="232"/>
      <c r="N770" s="289"/>
      <c r="O770" s="232"/>
      <c r="P770" s="232"/>
      <c r="Q770" s="232"/>
      <c r="R770" s="232"/>
      <c r="S770" s="232"/>
      <c r="T770" s="232"/>
      <c r="U770" s="232"/>
      <c r="V770" s="232"/>
      <c r="W770" s="232"/>
      <c r="X770" s="232"/>
      <c r="Y770" s="232"/>
      <c r="Z770" s="232"/>
      <c r="AA770" s="232"/>
      <c r="AB770" s="232"/>
      <c r="AC770" s="232"/>
      <c r="AD770" s="232"/>
      <c r="AE770" s="232"/>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c r="BL770" s="232"/>
      <c r="BM770" s="232"/>
      <c r="BN770" s="232"/>
      <c r="BO770" s="232"/>
      <c r="BP770" s="232"/>
      <c r="BQ770" s="232"/>
      <c r="BR770" s="232"/>
      <c r="BS770" s="232"/>
      <c r="BT770" s="232"/>
      <c r="BU770" s="232"/>
      <c r="BV770" s="232"/>
      <c r="BW770" s="232"/>
      <c r="BX770" s="232"/>
      <c r="BY770" s="232"/>
      <c r="BZ770" s="232"/>
      <c r="CA770" s="232"/>
      <c r="CB770" s="232"/>
      <c r="CC770" s="232"/>
      <c r="CD770" s="232"/>
      <c r="CE770" s="232"/>
      <c r="CF770" s="232"/>
      <c r="CG770" s="232"/>
      <c r="CH770" s="232"/>
      <c r="CI770" s="232"/>
      <c r="CJ770" s="232"/>
      <c r="CK770" s="232"/>
      <c r="CL770" s="232"/>
      <c r="CM770" s="232"/>
      <c r="CN770" s="215"/>
      <c r="CO770" s="215"/>
      <c r="CP770" s="215"/>
      <c r="CQ770" s="215"/>
      <c r="CR770" s="215"/>
      <c r="CS770" s="215"/>
      <c r="CT770" s="215"/>
    </row>
    <row r="771" ht="24.0" customHeight="1">
      <c r="A771" s="287"/>
      <c r="B771" s="287"/>
      <c r="C771" s="287"/>
      <c r="D771" s="232"/>
      <c r="E771" s="232"/>
      <c r="F771" s="232"/>
      <c r="G771" s="232"/>
      <c r="H771" s="232"/>
      <c r="I771" s="232"/>
      <c r="J771" s="232"/>
      <c r="K771" s="232"/>
      <c r="L771" s="232"/>
      <c r="M771" s="232"/>
      <c r="N771" s="289"/>
      <c r="O771" s="232"/>
      <c r="P771" s="232"/>
      <c r="Q771" s="232"/>
      <c r="R771" s="232"/>
      <c r="S771" s="232"/>
      <c r="T771" s="232"/>
      <c r="U771" s="232"/>
      <c r="V771" s="232"/>
      <c r="W771" s="232"/>
      <c r="X771" s="232"/>
      <c r="Y771" s="232"/>
      <c r="Z771" s="232"/>
      <c r="AA771" s="232"/>
      <c r="AB771" s="232"/>
      <c r="AC771" s="232"/>
      <c r="AD771" s="232"/>
      <c r="AE771" s="232"/>
      <c r="AF771" s="232"/>
      <c r="AG771" s="232"/>
      <c r="AH771" s="232"/>
      <c r="AI771" s="232"/>
      <c r="AJ771" s="232"/>
      <c r="AK771" s="232"/>
      <c r="AL771" s="232"/>
      <c r="AM771" s="232"/>
      <c r="AN771" s="232"/>
      <c r="AO771" s="232"/>
      <c r="AP771" s="232"/>
      <c r="AQ771" s="232"/>
      <c r="AR771" s="232"/>
      <c r="AS771" s="232"/>
      <c r="AT771" s="232"/>
      <c r="AU771" s="232"/>
      <c r="AV771" s="232"/>
      <c r="AW771" s="232"/>
      <c r="AX771" s="232"/>
      <c r="AY771" s="232"/>
      <c r="AZ771" s="232"/>
      <c r="BA771" s="232"/>
      <c r="BB771" s="232"/>
      <c r="BC771" s="232"/>
      <c r="BD771" s="232"/>
      <c r="BE771" s="232"/>
      <c r="BF771" s="232"/>
      <c r="BG771" s="232"/>
      <c r="BH771" s="232"/>
      <c r="BI771" s="232"/>
      <c r="BJ771" s="232"/>
      <c r="BK771" s="232"/>
      <c r="BL771" s="232"/>
      <c r="BM771" s="232"/>
      <c r="BN771" s="232"/>
      <c r="BO771" s="232"/>
      <c r="BP771" s="232"/>
      <c r="BQ771" s="232"/>
      <c r="BR771" s="232"/>
      <c r="BS771" s="232"/>
      <c r="BT771" s="232"/>
      <c r="BU771" s="232"/>
      <c r="BV771" s="232"/>
      <c r="BW771" s="232"/>
      <c r="BX771" s="232"/>
      <c r="BY771" s="232"/>
      <c r="BZ771" s="232"/>
      <c r="CA771" s="232"/>
      <c r="CB771" s="232"/>
      <c r="CC771" s="232"/>
      <c r="CD771" s="232"/>
      <c r="CE771" s="232"/>
      <c r="CF771" s="232"/>
      <c r="CG771" s="232"/>
      <c r="CH771" s="232"/>
      <c r="CI771" s="232"/>
      <c r="CJ771" s="232"/>
      <c r="CK771" s="232"/>
      <c r="CL771" s="232"/>
      <c r="CM771" s="232"/>
      <c r="CN771" s="215"/>
      <c r="CO771" s="215"/>
      <c r="CP771" s="215"/>
      <c r="CQ771" s="215"/>
      <c r="CR771" s="215"/>
      <c r="CS771" s="215"/>
      <c r="CT771" s="215"/>
    </row>
    <row r="772" ht="24.0" customHeight="1">
      <c r="A772" s="287"/>
      <c r="B772" s="287"/>
      <c r="C772" s="287"/>
      <c r="D772" s="232"/>
      <c r="E772" s="232"/>
      <c r="F772" s="232"/>
      <c r="G772" s="232"/>
      <c r="H772" s="232"/>
      <c r="I772" s="232"/>
      <c r="J772" s="232"/>
      <c r="K772" s="232"/>
      <c r="L772" s="232"/>
      <c r="M772" s="232"/>
      <c r="N772" s="289"/>
      <c r="O772" s="232"/>
      <c r="P772" s="232"/>
      <c r="Q772" s="232"/>
      <c r="R772" s="232"/>
      <c r="S772" s="232"/>
      <c r="T772" s="232"/>
      <c r="U772" s="232"/>
      <c r="V772" s="232"/>
      <c r="W772" s="232"/>
      <c r="X772" s="232"/>
      <c r="Y772" s="232"/>
      <c r="Z772" s="232"/>
      <c r="AA772" s="232"/>
      <c r="AB772" s="232"/>
      <c r="AC772" s="232"/>
      <c r="AD772" s="232"/>
      <c r="AE772" s="232"/>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c r="BL772" s="232"/>
      <c r="BM772" s="232"/>
      <c r="BN772" s="232"/>
      <c r="BO772" s="232"/>
      <c r="BP772" s="232"/>
      <c r="BQ772" s="232"/>
      <c r="BR772" s="232"/>
      <c r="BS772" s="232"/>
      <c r="BT772" s="232"/>
      <c r="BU772" s="232"/>
      <c r="BV772" s="232"/>
      <c r="BW772" s="232"/>
      <c r="BX772" s="232"/>
      <c r="BY772" s="232"/>
      <c r="BZ772" s="232"/>
      <c r="CA772" s="232"/>
      <c r="CB772" s="232"/>
      <c r="CC772" s="232"/>
      <c r="CD772" s="232"/>
      <c r="CE772" s="232"/>
      <c r="CF772" s="232"/>
      <c r="CG772" s="232"/>
      <c r="CH772" s="232"/>
      <c r="CI772" s="232"/>
      <c r="CJ772" s="232"/>
      <c r="CK772" s="232"/>
      <c r="CL772" s="232"/>
      <c r="CM772" s="232"/>
      <c r="CN772" s="215"/>
      <c r="CO772" s="215"/>
      <c r="CP772" s="215"/>
      <c r="CQ772" s="215"/>
      <c r="CR772" s="215"/>
      <c r="CS772" s="215"/>
      <c r="CT772" s="215"/>
    </row>
    <row r="773" ht="24.0" customHeight="1">
      <c r="A773" s="287"/>
      <c r="B773" s="287"/>
      <c r="C773" s="287"/>
      <c r="D773" s="232"/>
      <c r="E773" s="232"/>
      <c r="F773" s="232"/>
      <c r="G773" s="232"/>
      <c r="H773" s="232"/>
      <c r="I773" s="232"/>
      <c r="J773" s="232"/>
      <c r="K773" s="232"/>
      <c r="L773" s="232"/>
      <c r="M773" s="232"/>
      <c r="N773" s="289"/>
      <c r="O773" s="232"/>
      <c r="P773" s="232"/>
      <c r="Q773" s="232"/>
      <c r="R773" s="232"/>
      <c r="S773" s="232"/>
      <c r="T773" s="232"/>
      <c r="U773" s="232"/>
      <c r="V773" s="232"/>
      <c r="W773" s="232"/>
      <c r="X773" s="232"/>
      <c r="Y773" s="232"/>
      <c r="Z773" s="232"/>
      <c r="AA773" s="232"/>
      <c r="AB773" s="232"/>
      <c r="AC773" s="232"/>
      <c r="AD773" s="232"/>
      <c r="AE773" s="232"/>
      <c r="AF773" s="232"/>
      <c r="AG773" s="232"/>
      <c r="AH773" s="232"/>
      <c r="AI773" s="232"/>
      <c r="AJ773" s="232"/>
      <c r="AK773" s="232"/>
      <c r="AL773" s="232"/>
      <c r="AM773" s="232"/>
      <c r="AN773" s="232"/>
      <c r="AO773" s="232"/>
      <c r="AP773" s="232"/>
      <c r="AQ773" s="232"/>
      <c r="AR773" s="232"/>
      <c r="AS773" s="232"/>
      <c r="AT773" s="232"/>
      <c r="AU773" s="232"/>
      <c r="AV773" s="232"/>
      <c r="AW773" s="232"/>
      <c r="AX773" s="232"/>
      <c r="AY773" s="232"/>
      <c r="AZ773" s="232"/>
      <c r="BA773" s="232"/>
      <c r="BB773" s="232"/>
      <c r="BC773" s="232"/>
      <c r="BD773" s="232"/>
      <c r="BE773" s="232"/>
      <c r="BF773" s="232"/>
      <c r="BG773" s="232"/>
      <c r="BH773" s="232"/>
      <c r="BI773" s="232"/>
      <c r="BJ773" s="232"/>
      <c r="BK773" s="232"/>
      <c r="BL773" s="232"/>
      <c r="BM773" s="232"/>
      <c r="BN773" s="232"/>
      <c r="BO773" s="232"/>
      <c r="BP773" s="232"/>
      <c r="BQ773" s="232"/>
      <c r="BR773" s="232"/>
      <c r="BS773" s="232"/>
      <c r="BT773" s="232"/>
      <c r="BU773" s="232"/>
      <c r="BV773" s="232"/>
      <c r="BW773" s="232"/>
      <c r="BX773" s="232"/>
      <c r="BY773" s="232"/>
      <c r="BZ773" s="232"/>
      <c r="CA773" s="232"/>
      <c r="CB773" s="232"/>
      <c r="CC773" s="232"/>
      <c r="CD773" s="232"/>
      <c r="CE773" s="232"/>
      <c r="CF773" s="232"/>
      <c r="CG773" s="232"/>
      <c r="CH773" s="232"/>
      <c r="CI773" s="232"/>
      <c r="CJ773" s="232"/>
      <c r="CK773" s="232"/>
      <c r="CL773" s="232"/>
      <c r="CM773" s="232"/>
      <c r="CN773" s="215"/>
      <c r="CO773" s="215"/>
      <c r="CP773" s="215"/>
      <c r="CQ773" s="215"/>
      <c r="CR773" s="215"/>
      <c r="CS773" s="215"/>
      <c r="CT773" s="215"/>
    </row>
    <row r="774" ht="24.0" customHeight="1">
      <c r="A774" s="287"/>
      <c r="B774" s="287"/>
      <c r="C774" s="287"/>
      <c r="D774" s="232"/>
      <c r="E774" s="232"/>
      <c r="F774" s="232"/>
      <c r="G774" s="232"/>
      <c r="H774" s="232"/>
      <c r="I774" s="232"/>
      <c r="J774" s="232"/>
      <c r="K774" s="232"/>
      <c r="L774" s="232"/>
      <c r="M774" s="232"/>
      <c r="N774" s="289"/>
      <c r="O774" s="232"/>
      <c r="P774" s="232"/>
      <c r="Q774" s="232"/>
      <c r="R774" s="232"/>
      <c r="S774" s="232"/>
      <c r="T774" s="232"/>
      <c r="U774" s="232"/>
      <c r="V774" s="232"/>
      <c r="W774" s="232"/>
      <c r="X774" s="232"/>
      <c r="Y774" s="232"/>
      <c r="Z774" s="232"/>
      <c r="AA774" s="232"/>
      <c r="AB774" s="232"/>
      <c r="AC774" s="232"/>
      <c r="AD774" s="232"/>
      <c r="AE774" s="232"/>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c r="BL774" s="232"/>
      <c r="BM774" s="232"/>
      <c r="BN774" s="232"/>
      <c r="BO774" s="232"/>
      <c r="BP774" s="232"/>
      <c r="BQ774" s="232"/>
      <c r="BR774" s="232"/>
      <c r="BS774" s="232"/>
      <c r="BT774" s="232"/>
      <c r="BU774" s="232"/>
      <c r="BV774" s="232"/>
      <c r="BW774" s="232"/>
      <c r="BX774" s="232"/>
      <c r="BY774" s="232"/>
      <c r="BZ774" s="232"/>
      <c r="CA774" s="232"/>
      <c r="CB774" s="232"/>
      <c r="CC774" s="232"/>
      <c r="CD774" s="232"/>
      <c r="CE774" s="232"/>
      <c r="CF774" s="232"/>
      <c r="CG774" s="232"/>
      <c r="CH774" s="232"/>
      <c r="CI774" s="232"/>
      <c r="CJ774" s="232"/>
      <c r="CK774" s="232"/>
      <c r="CL774" s="232"/>
      <c r="CM774" s="232"/>
      <c r="CN774" s="215"/>
      <c r="CO774" s="215"/>
      <c r="CP774" s="215"/>
      <c r="CQ774" s="215"/>
      <c r="CR774" s="215"/>
      <c r="CS774" s="215"/>
      <c r="CT774" s="215"/>
    </row>
    <row r="775" ht="24.0" customHeight="1">
      <c r="A775" s="287"/>
      <c r="B775" s="287"/>
      <c r="C775" s="287"/>
      <c r="D775" s="232"/>
      <c r="E775" s="232"/>
      <c r="F775" s="232"/>
      <c r="G775" s="232"/>
      <c r="H775" s="232"/>
      <c r="I775" s="232"/>
      <c r="J775" s="232"/>
      <c r="K775" s="232"/>
      <c r="L775" s="232"/>
      <c r="M775" s="232"/>
      <c r="N775" s="289"/>
      <c r="O775" s="232"/>
      <c r="P775" s="232"/>
      <c r="Q775" s="232"/>
      <c r="R775" s="232"/>
      <c r="S775" s="232"/>
      <c r="T775" s="232"/>
      <c r="U775" s="232"/>
      <c r="V775" s="232"/>
      <c r="W775" s="232"/>
      <c r="X775" s="232"/>
      <c r="Y775" s="232"/>
      <c r="Z775" s="232"/>
      <c r="AA775" s="232"/>
      <c r="AB775" s="232"/>
      <c r="AC775" s="232"/>
      <c r="AD775" s="232"/>
      <c r="AE775" s="232"/>
      <c r="AF775" s="232"/>
      <c r="AG775" s="232"/>
      <c r="AH775" s="232"/>
      <c r="AI775" s="232"/>
      <c r="AJ775" s="232"/>
      <c r="AK775" s="232"/>
      <c r="AL775" s="232"/>
      <c r="AM775" s="232"/>
      <c r="AN775" s="232"/>
      <c r="AO775" s="232"/>
      <c r="AP775" s="232"/>
      <c r="AQ775" s="232"/>
      <c r="AR775" s="232"/>
      <c r="AS775" s="232"/>
      <c r="AT775" s="232"/>
      <c r="AU775" s="232"/>
      <c r="AV775" s="232"/>
      <c r="AW775" s="232"/>
      <c r="AX775" s="232"/>
      <c r="AY775" s="232"/>
      <c r="AZ775" s="232"/>
      <c r="BA775" s="232"/>
      <c r="BB775" s="232"/>
      <c r="BC775" s="232"/>
      <c r="BD775" s="232"/>
      <c r="BE775" s="232"/>
      <c r="BF775" s="232"/>
      <c r="BG775" s="232"/>
      <c r="BH775" s="232"/>
      <c r="BI775" s="232"/>
      <c r="BJ775" s="232"/>
      <c r="BK775" s="232"/>
      <c r="BL775" s="232"/>
      <c r="BM775" s="232"/>
      <c r="BN775" s="232"/>
      <c r="BO775" s="232"/>
      <c r="BP775" s="232"/>
      <c r="BQ775" s="232"/>
      <c r="BR775" s="232"/>
      <c r="BS775" s="232"/>
      <c r="BT775" s="232"/>
      <c r="BU775" s="232"/>
      <c r="BV775" s="232"/>
      <c r="BW775" s="232"/>
      <c r="BX775" s="232"/>
      <c r="BY775" s="232"/>
      <c r="BZ775" s="232"/>
      <c r="CA775" s="232"/>
      <c r="CB775" s="232"/>
      <c r="CC775" s="232"/>
      <c r="CD775" s="232"/>
      <c r="CE775" s="232"/>
      <c r="CF775" s="232"/>
      <c r="CG775" s="232"/>
      <c r="CH775" s="232"/>
      <c r="CI775" s="232"/>
      <c r="CJ775" s="232"/>
      <c r="CK775" s="232"/>
      <c r="CL775" s="232"/>
      <c r="CM775" s="232"/>
      <c r="CN775" s="215"/>
      <c r="CO775" s="215"/>
      <c r="CP775" s="215"/>
      <c r="CQ775" s="215"/>
      <c r="CR775" s="215"/>
      <c r="CS775" s="215"/>
      <c r="CT775" s="215"/>
    </row>
    <row r="776" ht="24.0" customHeight="1">
      <c r="A776" s="287"/>
      <c r="B776" s="287"/>
      <c r="C776" s="287"/>
      <c r="D776" s="232"/>
      <c r="E776" s="232"/>
      <c r="F776" s="232"/>
      <c r="G776" s="232"/>
      <c r="H776" s="232"/>
      <c r="I776" s="232"/>
      <c r="J776" s="232"/>
      <c r="K776" s="232"/>
      <c r="L776" s="232"/>
      <c r="M776" s="232"/>
      <c r="N776" s="289"/>
      <c r="O776" s="232"/>
      <c r="P776" s="232"/>
      <c r="Q776" s="232"/>
      <c r="R776" s="232"/>
      <c r="S776" s="232"/>
      <c r="T776" s="232"/>
      <c r="U776" s="232"/>
      <c r="V776" s="232"/>
      <c r="W776" s="232"/>
      <c r="X776" s="232"/>
      <c r="Y776" s="232"/>
      <c r="Z776" s="232"/>
      <c r="AA776" s="232"/>
      <c r="AB776" s="232"/>
      <c r="AC776" s="232"/>
      <c r="AD776" s="232"/>
      <c r="AE776" s="232"/>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c r="BL776" s="232"/>
      <c r="BM776" s="232"/>
      <c r="BN776" s="232"/>
      <c r="BO776" s="232"/>
      <c r="BP776" s="232"/>
      <c r="BQ776" s="232"/>
      <c r="BR776" s="232"/>
      <c r="BS776" s="232"/>
      <c r="BT776" s="232"/>
      <c r="BU776" s="232"/>
      <c r="BV776" s="232"/>
      <c r="BW776" s="232"/>
      <c r="BX776" s="232"/>
      <c r="BY776" s="232"/>
      <c r="BZ776" s="232"/>
      <c r="CA776" s="232"/>
      <c r="CB776" s="232"/>
      <c r="CC776" s="232"/>
      <c r="CD776" s="232"/>
      <c r="CE776" s="232"/>
      <c r="CF776" s="232"/>
      <c r="CG776" s="232"/>
      <c r="CH776" s="232"/>
      <c r="CI776" s="232"/>
      <c r="CJ776" s="232"/>
      <c r="CK776" s="232"/>
      <c r="CL776" s="232"/>
      <c r="CM776" s="232"/>
      <c r="CN776" s="215"/>
      <c r="CO776" s="215"/>
      <c r="CP776" s="215"/>
      <c r="CQ776" s="215"/>
      <c r="CR776" s="215"/>
      <c r="CS776" s="215"/>
      <c r="CT776" s="215"/>
    </row>
    <row r="777" ht="24.0" customHeight="1">
      <c r="A777" s="287"/>
      <c r="B777" s="287"/>
      <c r="C777" s="287"/>
      <c r="D777" s="232"/>
      <c r="E777" s="232"/>
      <c r="F777" s="232"/>
      <c r="G777" s="232"/>
      <c r="H777" s="232"/>
      <c r="I777" s="232"/>
      <c r="J777" s="232"/>
      <c r="K777" s="232"/>
      <c r="L777" s="232"/>
      <c r="M777" s="232"/>
      <c r="N777" s="289"/>
      <c r="O777" s="232"/>
      <c r="P777" s="232"/>
      <c r="Q777" s="232"/>
      <c r="R777" s="232"/>
      <c r="S777" s="232"/>
      <c r="T777" s="232"/>
      <c r="U777" s="232"/>
      <c r="V777" s="232"/>
      <c r="W777" s="232"/>
      <c r="X777" s="232"/>
      <c r="Y777" s="232"/>
      <c r="Z777" s="232"/>
      <c r="AA777" s="232"/>
      <c r="AB777" s="232"/>
      <c r="AC777" s="232"/>
      <c r="AD777" s="232"/>
      <c r="AE777" s="232"/>
      <c r="AF777" s="232"/>
      <c r="AG777" s="232"/>
      <c r="AH777" s="232"/>
      <c r="AI777" s="232"/>
      <c r="AJ777" s="232"/>
      <c r="AK777" s="232"/>
      <c r="AL777" s="232"/>
      <c r="AM777" s="232"/>
      <c r="AN777" s="232"/>
      <c r="AO777" s="232"/>
      <c r="AP777" s="232"/>
      <c r="AQ777" s="232"/>
      <c r="AR777" s="232"/>
      <c r="AS777" s="232"/>
      <c r="AT777" s="232"/>
      <c r="AU777" s="232"/>
      <c r="AV777" s="232"/>
      <c r="AW777" s="232"/>
      <c r="AX777" s="232"/>
      <c r="AY777" s="232"/>
      <c r="AZ777" s="232"/>
      <c r="BA777" s="232"/>
      <c r="BB777" s="232"/>
      <c r="BC777" s="232"/>
      <c r="BD777" s="232"/>
      <c r="BE777" s="232"/>
      <c r="BF777" s="232"/>
      <c r="BG777" s="232"/>
      <c r="BH777" s="232"/>
      <c r="BI777" s="232"/>
      <c r="BJ777" s="232"/>
      <c r="BK777" s="232"/>
      <c r="BL777" s="232"/>
      <c r="BM777" s="232"/>
      <c r="BN777" s="232"/>
      <c r="BO777" s="232"/>
      <c r="BP777" s="232"/>
      <c r="BQ777" s="232"/>
      <c r="BR777" s="232"/>
      <c r="BS777" s="232"/>
      <c r="BT777" s="232"/>
      <c r="BU777" s="232"/>
      <c r="BV777" s="232"/>
      <c r="BW777" s="232"/>
      <c r="BX777" s="232"/>
      <c r="BY777" s="232"/>
      <c r="BZ777" s="232"/>
      <c r="CA777" s="232"/>
      <c r="CB777" s="232"/>
      <c r="CC777" s="232"/>
      <c r="CD777" s="232"/>
      <c r="CE777" s="232"/>
      <c r="CF777" s="232"/>
      <c r="CG777" s="232"/>
      <c r="CH777" s="232"/>
      <c r="CI777" s="232"/>
      <c r="CJ777" s="232"/>
      <c r="CK777" s="232"/>
      <c r="CL777" s="232"/>
      <c r="CM777" s="232"/>
      <c r="CN777" s="215"/>
      <c r="CO777" s="215"/>
      <c r="CP777" s="215"/>
      <c r="CQ777" s="215"/>
      <c r="CR777" s="215"/>
      <c r="CS777" s="215"/>
      <c r="CT777" s="215"/>
    </row>
    <row r="778" ht="24.0" customHeight="1">
      <c r="A778" s="287"/>
      <c r="B778" s="287"/>
      <c r="C778" s="287"/>
      <c r="D778" s="232"/>
      <c r="E778" s="232"/>
      <c r="F778" s="232"/>
      <c r="G778" s="232"/>
      <c r="H778" s="232"/>
      <c r="I778" s="232"/>
      <c r="J778" s="232"/>
      <c r="K778" s="232"/>
      <c r="L778" s="232"/>
      <c r="M778" s="232"/>
      <c r="N778" s="289"/>
      <c r="O778" s="232"/>
      <c r="P778" s="232"/>
      <c r="Q778" s="232"/>
      <c r="R778" s="232"/>
      <c r="S778" s="232"/>
      <c r="T778" s="232"/>
      <c r="U778" s="232"/>
      <c r="V778" s="232"/>
      <c r="W778" s="232"/>
      <c r="X778" s="232"/>
      <c r="Y778" s="232"/>
      <c r="Z778" s="232"/>
      <c r="AA778" s="232"/>
      <c r="AB778" s="232"/>
      <c r="AC778" s="232"/>
      <c r="AD778" s="232"/>
      <c r="AE778" s="232"/>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c r="BL778" s="232"/>
      <c r="BM778" s="232"/>
      <c r="BN778" s="232"/>
      <c r="BO778" s="232"/>
      <c r="BP778" s="232"/>
      <c r="BQ778" s="232"/>
      <c r="BR778" s="232"/>
      <c r="BS778" s="232"/>
      <c r="BT778" s="232"/>
      <c r="BU778" s="232"/>
      <c r="BV778" s="232"/>
      <c r="BW778" s="232"/>
      <c r="BX778" s="232"/>
      <c r="BY778" s="232"/>
      <c r="BZ778" s="232"/>
      <c r="CA778" s="232"/>
      <c r="CB778" s="232"/>
      <c r="CC778" s="232"/>
      <c r="CD778" s="232"/>
      <c r="CE778" s="232"/>
      <c r="CF778" s="232"/>
      <c r="CG778" s="232"/>
      <c r="CH778" s="232"/>
      <c r="CI778" s="232"/>
      <c r="CJ778" s="232"/>
      <c r="CK778" s="232"/>
      <c r="CL778" s="232"/>
      <c r="CM778" s="232"/>
      <c r="CN778" s="215"/>
      <c r="CO778" s="215"/>
      <c r="CP778" s="215"/>
      <c r="CQ778" s="215"/>
      <c r="CR778" s="215"/>
      <c r="CS778" s="215"/>
      <c r="CT778" s="215"/>
    </row>
    <row r="779" ht="24.0" customHeight="1">
      <c r="A779" s="287"/>
      <c r="B779" s="287"/>
      <c r="C779" s="287"/>
      <c r="D779" s="232"/>
      <c r="E779" s="232"/>
      <c r="F779" s="232"/>
      <c r="G779" s="232"/>
      <c r="H779" s="232"/>
      <c r="I779" s="232"/>
      <c r="J779" s="232"/>
      <c r="K779" s="232"/>
      <c r="L779" s="232"/>
      <c r="M779" s="232"/>
      <c r="N779" s="289"/>
      <c r="O779" s="232"/>
      <c r="P779" s="232"/>
      <c r="Q779" s="232"/>
      <c r="R779" s="232"/>
      <c r="S779" s="232"/>
      <c r="T779" s="232"/>
      <c r="U779" s="232"/>
      <c r="V779" s="232"/>
      <c r="W779" s="232"/>
      <c r="X779" s="232"/>
      <c r="Y779" s="232"/>
      <c r="Z779" s="232"/>
      <c r="AA779" s="232"/>
      <c r="AB779" s="232"/>
      <c r="AC779" s="232"/>
      <c r="AD779" s="232"/>
      <c r="AE779" s="232"/>
      <c r="AF779" s="232"/>
      <c r="AG779" s="232"/>
      <c r="AH779" s="232"/>
      <c r="AI779" s="232"/>
      <c r="AJ779" s="232"/>
      <c r="AK779" s="232"/>
      <c r="AL779" s="232"/>
      <c r="AM779" s="232"/>
      <c r="AN779" s="232"/>
      <c r="AO779" s="232"/>
      <c r="AP779" s="232"/>
      <c r="AQ779" s="232"/>
      <c r="AR779" s="232"/>
      <c r="AS779" s="232"/>
      <c r="AT779" s="232"/>
      <c r="AU779" s="232"/>
      <c r="AV779" s="232"/>
      <c r="AW779" s="232"/>
      <c r="AX779" s="232"/>
      <c r="AY779" s="232"/>
      <c r="AZ779" s="232"/>
      <c r="BA779" s="232"/>
      <c r="BB779" s="232"/>
      <c r="BC779" s="232"/>
      <c r="BD779" s="232"/>
      <c r="BE779" s="232"/>
      <c r="BF779" s="232"/>
      <c r="BG779" s="232"/>
      <c r="BH779" s="232"/>
      <c r="BI779" s="232"/>
      <c r="BJ779" s="232"/>
      <c r="BK779" s="232"/>
      <c r="BL779" s="232"/>
      <c r="BM779" s="232"/>
      <c r="BN779" s="232"/>
      <c r="BO779" s="232"/>
      <c r="BP779" s="232"/>
      <c r="BQ779" s="232"/>
      <c r="BR779" s="232"/>
      <c r="BS779" s="232"/>
      <c r="BT779" s="232"/>
      <c r="BU779" s="232"/>
      <c r="BV779" s="232"/>
      <c r="BW779" s="232"/>
      <c r="BX779" s="232"/>
      <c r="BY779" s="232"/>
      <c r="BZ779" s="232"/>
      <c r="CA779" s="232"/>
      <c r="CB779" s="232"/>
      <c r="CC779" s="232"/>
      <c r="CD779" s="232"/>
      <c r="CE779" s="232"/>
      <c r="CF779" s="232"/>
      <c r="CG779" s="232"/>
      <c r="CH779" s="232"/>
      <c r="CI779" s="232"/>
      <c r="CJ779" s="232"/>
      <c r="CK779" s="232"/>
      <c r="CL779" s="232"/>
      <c r="CM779" s="232"/>
      <c r="CN779" s="215"/>
      <c r="CO779" s="215"/>
      <c r="CP779" s="215"/>
      <c r="CQ779" s="215"/>
      <c r="CR779" s="215"/>
      <c r="CS779" s="215"/>
      <c r="CT779" s="215"/>
    </row>
    <row r="780" ht="24.0" customHeight="1">
      <c r="A780" s="287"/>
      <c r="B780" s="287"/>
      <c r="C780" s="287"/>
      <c r="D780" s="232"/>
      <c r="E780" s="232"/>
      <c r="F780" s="232"/>
      <c r="G780" s="232"/>
      <c r="H780" s="232"/>
      <c r="I780" s="232"/>
      <c r="J780" s="232"/>
      <c r="K780" s="232"/>
      <c r="L780" s="232"/>
      <c r="M780" s="232"/>
      <c r="N780" s="289"/>
      <c r="O780" s="232"/>
      <c r="P780" s="232"/>
      <c r="Q780" s="232"/>
      <c r="R780" s="232"/>
      <c r="S780" s="232"/>
      <c r="T780" s="232"/>
      <c r="U780" s="232"/>
      <c r="V780" s="232"/>
      <c r="W780" s="232"/>
      <c r="X780" s="232"/>
      <c r="Y780" s="232"/>
      <c r="Z780" s="232"/>
      <c r="AA780" s="232"/>
      <c r="AB780" s="232"/>
      <c r="AC780" s="232"/>
      <c r="AD780" s="232"/>
      <c r="AE780" s="232"/>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c r="BL780" s="232"/>
      <c r="BM780" s="232"/>
      <c r="BN780" s="232"/>
      <c r="BO780" s="232"/>
      <c r="BP780" s="232"/>
      <c r="BQ780" s="232"/>
      <c r="BR780" s="232"/>
      <c r="BS780" s="232"/>
      <c r="BT780" s="232"/>
      <c r="BU780" s="232"/>
      <c r="BV780" s="232"/>
      <c r="BW780" s="232"/>
      <c r="BX780" s="232"/>
      <c r="BY780" s="232"/>
      <c r="BZ780" s="232"/>
      <c r="CA780" s="232"/>
      <c r="CB780" s="232"/>
      <c r="CC780" s="232"/>
      <c r="CD780" s="232"/>
      <c r="CE780" s="232"/>
      <c r="CF780" s="232"/>
      <c r="CG780" s="232"/>
      <c r="CH780" s="232"/>
      <c r="CI780" s="232"/>
      <c r="CJ780" s="232"/>
      <c r="CK780" s="232"/>
      <c r="CL780" s="232"/>
      <c r="CM780" s="232"/>
      <c r="CN780" s="215"/>
      <c r="CO780" s="215"/>
      <c r="CP780" s="215"/>
      <c r="CQ780" s="215"/>
      <c r="CR780" s="215"/>
      <c r="CS780" s="215"/>
      <c r="CT780" s="215"/>
    </row>
    <row r="781" ht="24.0" customHeight="1">
      <c r="A781" s="287"/>
      <c r="B781" s="287"/>
      <c r="C781" s="287"/>
      <c r="D781" s="232"/>
      <c r="E781" s="232"/>
      <c r="F781" s="232"/>
      <c r="G781" s="232"/>
      <c r="H781" s="232"/>
      <c r="I781" s="232"/>
      <c r="J781" s="232"/>
      <c r="K781" s="232"/>
      <c r="L781" s="232"/>
      <c r="M781" s="232"/>
      <c r="N781" s="289"/>
      <c r="O781" s="232"/>
      <c r="P781" s="232"/>
      <c r="Q781" s="232"/>
      <c r="R781" s="232"/>
      <c r="S781" s="232"/>
      <c r="T781" s="232"/>
      <c r="U781" s="232"/>
      <c r="V781" s="232"/>
      <c r="W781" s="232"/>
      <c r="X781" s="232"/>
      <c r="Y781" s="232"/>
      <c r="Z781" s="232"/>
      <c r="AA781" s="232"/>
      <c r="AB781" s="232"/>
      <c r="AC781" s="232"/>
      <c r="AD781" s="232"/>
      <c r="AE781" s="232"/>
      <c r="AF781" s="232"/>
      <c r="AG781" s="232"/>
      <c r="AH781" s="232"/>
      <c r="AI781" s="232"/>
      <c r="AJ781" s="232"/>
      <c r="AK781" s="232"/>
      <c r="AL781" s="232"/>
      <c r="AM781" s="232"/>
      <c r="AN781" s="232"/>
      <c r="AO781" s="232"/>
      <c r="AP781" s="232"/>
      <c r="AQ781" s="232"/>
      <c r="AR781" s="232"/>
      <c r="AS781" s="232"/>
      <c r="AT781" s="232"/>
      <c r="AU781" s="232"/>
      <c r="AV781" s="232"/>
      <c r="AW781" s="232"/>
      <c r="AX781" s="232"/>
      <c r="AY781" s="232"/>
      <c r="AZ781" s="232"/>
      <c r="BA781" s="232"/>
      <c r="BB781" s="232"/>
      <c r="BC781" s="232"/>
      <c r="BD781" s="232"/>
      <c r="BE781" s="232"/>
      <c r="BF781" s="232"/>
      <c r="BG781" s="232"/>
      <c r="BH781" s="232"/>
      <c r="BI781" s="232"/>
      <c r="BJ781" s="232"/>
      <c r="BK781" s="232"/>
      <c r="BL781" s="232"/>
      <c r="BM781" s="232"/>
      <c r="BN781" s="232"/>
      <c r="BO781" s="232"/>
      <c r="BP781" s="232"/>
      <c r="BQ781" s="232"/>
      <c r="BR781" s="232"/>
      <c r="BS781" s="232"/>
      <c r="BT781" s="232"/>
      <c r="BU781" s="232"/>
      <c r="BV781" s="232"/>
      <c r="BW781" s="232"/>
      <c r="BX781" s="232"/>
      <c r="BY781" s="232"/>
      <c r="BZ781" s="232"/>
      <c r="CA781" s="232"/>
      <c r="CB781" s="232"/>
      <c r="CC781" s="232"/>
      <c r="CD781" s="232"/>
      <c r="CE781" s="232"/>
      <c r="CF781" s="232"/>
      <c r="CG781" s="232"/>
      <c r="CH781" s="232"/>
      <c r="CI781" s="232"/>
      <c r="CJ781" s="232"/>
      <c r="CK781" s="232"/>
      <c r="CL781" s="232"/>
      <c r="CM781" s="232"/>
      <c r="CN781" s="215"/>
      <c r="CO781" s="215"/>
      <c r="CP781" s="215"/>
      <c r="CQ781" s="215"/>
      <c r="CR781" s="215"/>
      <c r="CS781" s="215"/>
      <c r="CT781" s="215"/>
    </row>
    <row r="782" ht="24.0" customHeight="1">
      <c r="A782" s="287"/>
      <c r="B782" s="287"/>
      <c r="C782" s="287"/>
      <c r="D782" s="232"/>
      <c r="E782" s="232"/>
      <c r="F782" s="232"/>
      <c r="G782" s="232"/>
      <c r="H782" s="232"/>
      <c r="I782" s="232"/>
      <c r="J782" s="232"/>
      <c r="K782" s="232"/>
      <c r="L782" s="232"/>
      <c r="M782" s="232"/>
      <c r="N782" s="289"/>
      <c r="O782" s="232"/>
      <c r="P782" s="232"/>
      <c r="Q782" s="232"/>
      <c r="R782" s="232"/>
      <c r="S782" s="232"/>
      <c r="T782" s="232"/>
      <c r="U782" s="232"/>
      <c r="V782" s="232"/>
      <c r="W782" s="232"/>
      <c r="X782" s="232"/>
      <c r="Y782" s="232"/>
      <c r="Z782" s="232"/>
      <c r="AA782" s="232"/>
      <c r="AB782" s="232"/>
      <c r="AC782" s="232"/>
      <c r="AD782" s="232"/>
      <c r="AE782" s="232"/>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c r="BL782" s="232"/>
      <c r="BM782" s="232"/>
      <c r="BN782" s="232"/>
      <c r="BO782" s="232"/>
      <c r="BP782" s="232"/>
      <c r="BQ782" s="232"/>
      <c r="BR782" s="232"/>
      <c r="BS782" s="232"/>
      <c r="BT782" s="232"/>
      <c r="BU782" s="232"/>
      <c r="BV782" s="232"/>
      <c r="BW782" s="232"/>
      <c r="BX782" s="232"/>
      <c r="BY782" s="232"/>
      <c r="BZ782" s="232"/>
      <c r="CA782" s="232"/>
      <c r="CB782" s="232"/>
      <c r="CC782" s="232"/>
      <c r="CD782" s="232"/>
      <c r="CE782" s="232"/>
      <c r="CF782" s="232"/>
      <c r="CG782" s="232"/>
      <c r="CH782" s="232"/>
      <c r="CI782" s="232"/>
      <c r="CJ782" s="232"/>
      <c r="CK782" s="232"/>
      <c r="CL782" s="232"/>
      <c r="CM782" s="232"/>
      <c r="CN782" s="215"/>
      <c r="CO782" s="215"/>
      <c r="CP782" s="215"/>
      <c r="CQ782" s="215"/>
      <c r="CR782" s="215"/>
      <c r="CS782" s="215"/>
      <c r="CT782" s="215"/>
    </row>
    <row r="783" ht="24.0" customHeight="1">
      <c r="A783" s="287"/>
      <c r="B783" s="287"/>
      <c r="C783" s="287"/>
      <c r="D783" s="232"/>
      <c r="E783" s="232"/>
      <c r="F783" s="232"/>
      <c r="G783" s="232"/>
      <c r="H783" s="232"/>
      <c r="I783" s="232"/>
      <c r="J783" s="232"/>
      <c r="K783" s="232"/>
      <c r="L783" s="232"/>
      <c r="M783" s="232"/>
      <c r="N783" s="289"/>
      <c r="O783" s="232"/>
      <c r="P783" s="232"/>
      <c r="Q783" s="232"/>
      <c r="R783" s="232"/>
      <c r="S783" s="232"/>
      <c r="T783" s="232"/>
      <c r="U783" s="232"/>
      <c r="V783" s="232"/>
      <c r="W783" s="232"/>
      <c r="X783" s="232"/>
      <c r="Y783" s="232"/>
      <c r="Z783" s="232"/>
      <c r="AA783" s="232"/>
      <c r="AB783" s="232"/>
      <c r="AC783" s="232"/>
      <c r="AD783" s="232"/>
      <c r="AE783" s="232"/>
      <c r="AF783" s="232"/>
      <c r="AG783" s="232"/>
      <c r="AH783" s="232"/>
      <c r="AI783" s="232"/>
      <c r="AJ783" s="232"/>
      <c r="AK783" s="232"/>
      <c r="AL783" s="232"/>
      <c r="AM783" s="232"/>
      <c r="AN783" s="232"/>
      <c r="AO783" s="232"/>
      <c r="AP783" s="232"/>
      <c r="AQ783" s="232"/>
      <c r="AR783" s="232"/>
      <c r="AS783" s="232"/>
      <c r="AT783" s="232"/>
      <c r="AU783" s="232"/>
      <c r="AV783" s="232"/>
      <c r="AW783" s="232"/>
      <c r="AX783" s="232"/>
      <c r="AY783" s="232"/>
      <c r="AZ783" s="232"/>
      <c r="BA783" s="232"/>
      <c r="BB783" s="232"/>
      <c r="BC783" s="232"/>
      <c r="BD783" s="232"/>
      <c r="BE783" s="232"/>
      <c r="BF783" s="232"/>
      <c r="BG783" s="232"/>
      <c r="BH783" s="232"/>
      <c r="BI783" s="232"/>
      <c r="BJ783" s="232"/>
      <c r="BK783" s="232"/>
      <c r="BL783" s="232"/>
      <c r="BM783" s="232"/>
      <c r="BN783" s="232"/>
      <c r="BO783" s="232"/>
      <c r="BP783" s="232"/>
      <c r="BQ783" s="232"/>
      <c r="BR783" s="232"/>
      <c r="BS783" s="232"/>
      <c r="BT783" s="232"/>
      <c r="BU783" s="232"/>
      <c r="BV783" s="232"/>
      <c r="BW783" s="232"/>
      <c r="BX783" s="232"/>
      <c r="BY783" s="232"/>
      <c r="BZ783" s="232"/>
      <c r="CA783" s="232"/>
      <c r="CB783" s="232"/>
      <c r="CC783" s="232"/>
      <c r="CD783" s="232"/>
      <c r="CE783" s="232"/>
      <c r="CF783" s="232"/>
      <c r="CG783" s="232"/>
      <c r="CH783" s="232"/>
      <c r="CI783" s="232"/>
      <c r="CJ783" s="232"/>
      <c r="CK783" s="232"/>
      <c r="CL783" s="232"/>
      <c r="CM783" s="232"/>
      <c r="CN783" s="215"/>
      <c r="CO783" s="215"/>
      <c r="CP783" s="215"/>
      <c r="CQ783" s="215"/>
      <c r="CR783" s="215"/>
      <c r="CS783" s="215"/>
      <c r="CT783" s="215"/>
    </row>
    <row r="784" ht="24.0" customHeight="1">
      <c r="A784" s="287"/>
      <c r="B784" s="287"/>
      <c r="C784" s="287"/>
      <c r="D784" s="232"/>
      <c r="E784" s="232"/>
      <c r="F784" s="232"/>
      <c r="G784" s="232"/>
      <c r="H784" s="232"/>
      <c r="I784" s="232"/>
      <c r="J784" s="232"/>
      <c r="K784" s="232"/>
      <c r="L784" s="232"/>
      <c r="M784" s="232"/>
      <c r="N784" s="289"/>
      <c r="O784" s="232"/>
      <c r="P784" s="232"/>
      <c r="Q784" s="232"/>
      <c r="R784" s="232"/>
      <c r="S784" s="232"/>
      <c r="T784" s="232"/>
      <c r="U784" s="232"/>
      <c r="V784" s="232"/>
      <c r="W784" s="232"/>
      <c r="X784" s="232"/>
      <c r="Y784" s="232"/>
      <c r="Z784" s="232"/>
      <c r="AA784" s="232"/>
      <c r="AB784" s="232"/>
      <c r="AC784" s="232"/>
      <c r="AD784" s="232"/>
      <c r="AE784" s="232"/>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c r="BL784" s="232"/>
      <c r="BM784" s="232"/>
      <c r="BN784" s="232"/>
      <c r="BO784" s="232"/>
      <c r="BP784" s="232"/>
      <c r="BQ784" s="232"/>
      <c r="BR784" s="232"/>
      <c r="BS784" s="232"/>
      <c r="BT784" s="232"/>
      <c r="BU784" s="232"/>
      <c r="BV784" s="232"/>
      <c r="BW784" s="232"/>
      <c r="BX784" s="232"/>
      <c r="BY784" s="232"/>
      <c r="BZ784" s="232"/>
      <c r="CA784" s="232"/>
      <c r="CB784" s="232"/>
      <c r="CC784" s="232"/>
      <c r="CD784" s="232"/>
      <c r="CE784" s="232"/>
      <c r="CF784" s="232"/>
      <c r="CG784" s="232"/>
      <c r="CH784" s="232"/>
      <c r="CI784" s="232"/>
      <c r="CJ784" s="232"/>
      <c r="CK784" s="232"/>
      <c r="CL784" s="232"/>
      <c r="CM784" s="232"/>
      <c r="CN784" s="215"/>
      <c r="CO784" s="215"/>
      <c r="CP784" s="215"/>
      <c r="CQ784" s="215"/>
      <c r="CR784" s="215"/>
      <c r="CS784" s="215"/>
      <c r="CT784" s="215"/>
    </row>
    <row r="785" ht="24.0" customHeight="1">
      <c r="A785" s="287"/>
      <c r="B785" s="287"/>
      <c r="C785" s="287"/>
      <c r="D785" s="232"/>
      <c r="E785" s="232"/>
      <c r="F785" s="232"/>
      <c r="G785" s="232"/>
      <c r="H785" s="232"/>
      <c r="I785" s="232"/>
      <c r="J785" s="232"/>
      <c r="K785" s="232"/>
      <c r="L785" s="232"/>
      <c r="M785" s="232"/>
      <c r="N785" s="289"/>
      <c r="O785" s="232"/>
      <c r="P785" s="232"/>
      <c r="Q785" s="232"/>
      <c r="R785" s="232"/>
      <c r="S785" s="232"/>
      <c r="T785" s="232"/>
      <c r="U785" s="232"/>
      <c r="V785" s="232"/>
      <c r="W785" s="232"/>
      <c r="X785" s="232"/>
      <c r="Y785" s="232"/>
      <c r="Z785" s="232"/>
      <c r="AA785" s="232"/>
      <c r="AB785" s="232"/>
      <c r="AC785" s="232"/>
      <c r="AD785" s="232"/>
      <c r="AE785" s="232"/>
      <c r="AF785" s="232"/>
      <c r="AG785" s="232"/>
      <c r="AH785" s="232"/>
      <c r="AI785" s="232"/>
      <c r="AJ785" s="232"/>
      <c r="AK785" s="232"/>
      <c r="AL785" s="232"/>
      <c r="AM785" s="232"/>
      <c r="AN785" s="232"/>
      <c r="AO785" s="232"/>
      <c r="AP785" s="232"/>
      <c r="AQ785" s="232"/>
      <c r="AR785" s="232"/>
      <c r="AS785" s="232"/>
      <c r="AT785" s="232"/>
      <c r="AU785" s="232"/>
      <c r="AV785" s="232"/>
      <c r="AW785" s="232"/>
      <c r="AX785" s="232"/>
      <c r="AY785" s="232"/>
      <c r="AZ785" s="232"/>
      <c r="BA785" s="232"/>
      <c r="BB785" s="232"/>
      <c r="BC785" s="232"/>
      <c r="BD785" s="232"/>
      <c r="BE785" s="232"/>
      <c r="BF785" s="232"/>
      <c r="BG785" s="232"/>
      <c r="BH785" s="232"/>
      <c r="BI785" s="232"/>
      <c r="BJ785" s="232"/>
      <c r="BK785" s="232"/>
      <c r="BL785" s="232"/>
      <c r="BM785" s="232"/>
      <c r="BN785" s="232"/>
      <c r="BO785" s="232"/>
      <c r="BP785" s="232"/>
      <c r="BQ785" s="232"/>
      <c r="BR785" s="232"/>
      <c r="BS785" s="232"/>
      <c r="BT785" s="232"/>
      <c r="BU785" s="232"/>
      <c r="BV785" s="232"/>
      <c r="BW785" s="232"/>
      <c r="BX785" s="232"/>
      <c r="BY785" s="232"/>
      <c r="BZ785" s="232"/>
      <c r="CA785" s="232"/>
      <c r="CB785" s="232"/>
      <c r="CC785" s="232"/>
      <c r="CD785" s="232"/>
      <c r="CE785" s="232"/>
      <c r="CF785" s="232"/>
      <c r="CG785" s="232"/>
      <c r="CH785" s="232"/>
      <c r="CI785" s="232"/>
      <c r="CJ785" s="232"/>
      <c r="CK785" s="232"/>
      <c r="CL785" s="232"/>
      <c r="CM785" s="232"/>
      <c r="CN785" s="215"/>
      <c r="CO785" s="215"/>
      <c r="CP785" s="215"/>
      <c r="CQ785" s="215"/>
      <c r="CR785" s="215"/>
      <c r="CS785" s="215"/>
      <c r="CT785" s="215"/>
    </row>
    <row r="786" ht="24.0" customHeight="1">
      <c r="A786" s="287"/>
      <c r="B786" s="287"/>
      <c r="C786" s="287"/>
      <c r="D786" s="232"/>
      <c r="E786" s="232"/>
      <c r="F786" s="232"/>
      <c r="G786" s="232"/>
      <c r="H786" s="232"/>
      <c r="I786" s="232"/>
      <c r="J786" s="232"/>
      <c r="K786" s="232"/>
      <c r="L786" s="232"/>
      <c r="M786" s="232"/>
      <c r="N786" s="289"/>
      <c r="O786" s="232"/>
      <c r="P786" s="232"/>
      <c r="Q786" s="232"/>
      <c r="R786" s="232"/>
      <c r="S786" s="232"/>
      <c r="T786" s="232"/>
      <c r="U786" s="232"/>
      <c r="V786" s="232"/>
      <c r="W786" s="232"/>
      <c r="X786" s="232"/>
      <c r="Y786" s="232"/>
      <c r="Z786" s="232"/>
      <c r="AA786" s="232"/>
      <c r="AB786" s="232"/>
      <c r="AC786" s="232"/>
      <c r="AD786" s="232"/>
      <c r="AE786" s="232"/>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c r="BL786" s="232"/>
      <c r="BM786" s="232"/>
      <c r="BN786" s="232"/>
      <c r="BO786" s="232"/>
      <c r="BP786" s="232"/>
      <c r="BQ786" s="232"/>
      <c r="BR786" s="232"/>
      <c r="BS786" s="232"/>
      <c r="BT786" s="232"/>
      <c r="BU786" s="232"/>
      <c r="BV786" s="232"/>
      <c r="BW786" s="232"/>
      <c r="BX786" s="232"/>
      <c r="BY786" s="232"/>
      <c r="BZ786" s="232"/>
      <c r="CA786" s="232"/>
      <c r="CB786" s="232"/>
      <c r="CC786" s="232"/>
      <c r="CD786" s="232"/>
      <c r="CE786" s="232"/>
      <c r="CF786" s="232"/>
      <c r="CG786" s="232"/>
      <c r="CH786" s="232"/>
      <c r="CI786" s="232"/>
      <c r="CJ786" s="232"/>
      <c r="CK786" s="232"/>
      <c r="CL786" s="232"/>
      <c r="CM786" s="232"/>
      <c r="CN786" s="215"/>
      <c r="CO786" s="215"/>
      <c r="CP786" s="215"/>
      <c r="CQ786" s="215"/>
      <c r="CR786" s="215"/>
      <c r="CS786" s="215"/>
      <c r="CT786" s="215"/>
    </row>
    <row r="787" ht="24.0" customHeight="1">
      <c r="A787" s="287"/>
      <c r="B787" s="287"/>
      <c r="C787" s="287"/>
      <c r="D787" s="232"/>
      <c r="E787" s="232"/>
      <c r="F787" s="232"/>
      <c r="G787" s="232"/>
      <c r="H787" s="232"/>
      <c r="I787" s="232"/>
      <c r="J787" s="232"/>
      <c r="K787" s="232"/>
      <c r="L787" s="232"/>
      <c r="M787" s="232"/>
      <c r="N787" s="289"/>
      <c r="O787" s="232"/>
      <c r="P787" s="232"/>
      <c r="Q787" s="232"/>
      <c r="R787" s="232"/>
      <c r="S787" s="232"/>
      <c r="T787" s="232"/>
      <c r="U787" s="232"/>
      <c r="V787" s="232"/>
      <c r="W787" s="232"/>
      <c r="X787" s="232"/>
      <c r="Y787" s="232"/>
      <c r="Z787" s="232"/>
      <c r="AA787" s="232"/>
      <c r="AB787" s="232"/>
      <c r="AC787" s="232"/>
      <c r="AD787" s="232"/>
      <c r="AE787" s="232"/>
      <c r="AF787" s="232"/>
      <c r="AG787" s="232"/>
      <c r="AH787" s="232"/>
      <c r="AI787" s="232"/>
      <c r="AJ787" s="232"/>
      <c r="AK787" s="232"/>
      <c r="AL787" s="232"/>
      <c r="AM787" s="232"/>
      <c r="AN787" s="232"/>
      <c r="AO787" s="232"/>
      <c r="AP787" s="232"/>
      <c r="AQ787" s="232"/>
      <c r="AR787" s="232"/>
      <c r="AS787" s="232"/>
      <c r="AT787" s="232"/>
      <c r="AU787" s="232"/>
      <c r="AV787" s="232"/>
      <c r="AW787" s="232"/>
      <c r="AX787" s="232"/>
      <c r="AY787" s="232"/>
      <c r="AZ787" s="232"/>
      <c r="BA787" s="232"/>
      <c r="BB787" s="232"/>
      <c r="BC787" s="232"/>
      <c r="BD787" s="232"/>
      <c r="BE787" s="232"/>
      <c r="BF787" s="232"/>
      <c r="BG787" s="232"/>
      <c r="BH787" s="232"/>
      <c r="BI787" s="232"/>
      <c r="BJ787" s="232"/>
      <c r="BK787" s="232"/>
      <c r="BL787" s="232"/>
      <c r="BM787" s="232"/>
      <c r="BN787" s="232"/>
      <c r="BO787" s="232"/>
      <c r="BP787" s="232"/>
      <c r="BQ787" s="232"/>
      <c r="BR787" s="232"/>
      <c r="BS787" s="232"/>
      <c r="BT787" s="232"/>
      <c r="BU787" s="232"/>
      <c r="BV787" s="232"/>
      <c r="BW787" s="232"/>
      <c r="BX787" s="232"/>
      <c r="BY787" s="232"/>
      <c r="BZ787" s="232"/>
      <c r="CA787" s="232"/>
      <c r="CB787" s="232"/>
      <c r="CC787" s="232"/>
      <c r="CD787" s="232"/>
      <c r="CE787" s="232"/>
      <c r="CF787" s="232"/>
      <c r="CG787" s="232"/>
      <c r="CH787" s="232"/>
      <c r="CI787" s="232"/>
      <c r="CJ787" s="232"/>
      <c r="CK787" s="232"/>
      <c r="CL787" s="232"/>
      <c r="CM787" s="232"/>
      <c r="CN787" s="215"/>
      <c r="CO787" s="215"/>
      <c r="CP787" s="215"/>
      <c r="CQ787" s="215"/>
      <c r="CR787" s="215"/>
      <c r="CS787" s="215"/>
      <c r="CT787" s="215"/>
    </row>
    <row r="788" ht="24.0" customHeight="1">
      <c r="A788" s="287"/>
      <c r="B788" s="287"/>
      <c r="C788" s="287"/>
      <c r="D788" s="232"/>
      <c r="E788" s="232"/>
      <c r="F788" s="232"/>
      <c r="G788" s="232"/>
      <c r="H788" s="232"/>
      <c r="I788" s="232"/>
      <c r="J788" s="232"/>
      <c r="K788" s="232"/>
      <c r="L788" s="232"/>
      <c r="M788" s="232"/>
      <c r="N788" s="289"/>
      <c r="O788" s="232"/>
      <c r="P788" s="232"/>
      <c r="Q788" s="232"/>
      <c r="R788" s="232"/>
      <c r="S788" s="232"/>
      <c r="T788" s="232"/>
      <c r="U788" s="232"/>
      <c r="V788" s="232"/>
      <c r="W788" s="232"/>
      <c r="X788" s="232"/>
      <c r="Y788" s="232"/>
      <c r="Z788" s="232"/>
      <c r="AA788" s="232"/>
      <c r="AB788" s="232"/>
      <c r="AC788" s="232"/>
      <c r="AD788" s="232"/>
      <c r="AE788" s="232"/>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c r="BL788" s="232"/>
      <c r="BM788" s="232"/>
      <c r="BN788" s="232"/>
      <c r="BO788" s="232"/>
      <c r="BP788" s="232"/>
      <c r="BQ788" s="232"/>
      <c r="BR788" s="232"/>
      <c r="BS788" s="232"/>
      <c r="BT788" s="232"/>
      <c r="BU788" s="232"/>
      <c r="BV788" s="232"/>
      <c r="BW788" s="232"/>
      <c r="BX788" s="232"/>
      <c r="BY788" s="232"/>
      <c r="BZ788" s="232"/>
      <c r="CA788" s="232"/>
      <c r="CB788" s="232"/>
      <c r="CC788" s="232"/>
      <c r="CD788" s="232"/>
      <c r="CE788" s="232"/>
      <c r="CF788" s="232"/>
      <c r="CG788" s="232"/>
      <c r="CH788" s="232"/>
      <c r="CI788" s="232"/>
      <c r="CJ788" s="232"/>
      <c r="CK788" s="232"/>
      <c r="CL788" s="232"/>
      <c r="CM788" s="232"/>
      <c r="CN788" s="215"/>
      <c r="CO788" s="215"/>
      <c r="CP788" s="215"/>
      <c r="CQ788" s="215"/>
      <c r="CR788" s="215"/>
      <c r="CS788" s="215"/>
      <c r="CT788" s="215"/>
    </row>
    <row r="789" ht="24.0" customHeight="1">
      <c r="A789" s="287"/>
      <c r="B789" s="287"/>
      <c r="C789" s="287"/>
      <c r="D789" s="232"/>
      <c r="E789" s="232"/>
      <c r="F789" s="232"/>
      <c r="G789" s="232"/>
      <c r="H789" s="232"/>
      <c r="I789" s="232"/>
      <c r="J789" s="232"/>
      <c r="K789" s="232"/>
      <c r="L789" s="232"/>
      <c r="M789" s="232"/>
      <c r="N789" s="289"/>
      <c r="O789" s="232"/>
      <c r="P789" s="232"/>
      <c r="Q789" s="232"/>
      <c r="R789" s="232"/>
      <c r="S789" s="232"/>
      <c r="T789" s="232"/>
      <c r="U789" s="232"/>
      <c r="V789" s="232"/>
      <c r="W789" s="232"/>
      <c r="X789" s="232"/>
      <c r="Y789" s="232"/>
      <c r="Z789" s="232"/>
      <c r="AA789" s="232"/>
      <c r="AB789" s="232"/>
      <c r="AC789" s="232"/>
      <c r="AD789" s="232"/>
      <c r="AE789" s="232"/>
      <c r="AF789" s="232"/>
      <c r="AG789" s="232"/>
      <c r="AH789" s="232"/>
      <c r="AI789" s="232"/>
      <c r="AJ789" s="232"/>
      <c r="AK789" s="232"/>
      <c r="AL789" s="232"/>
      <c r="AM789" s="232"/>
      <c r="AN789" s="232"/>
      <c r="AO789" s="232"/>
      <c r="AP789" s="232"/>
      <c r="AQ789" s="232"/>
      <c r="AR789" s="232"/>
      <c r="AS789" s="232"/>
      <c r="AT789" s="232"/>
      <c r="AU789" s="232"/>
      <c r="AV789" s="232"/>
      <c r="AW789" s="232"/>
      <c r="AX789" s="232"/>
      <c r="AY789" s="232"/>
      <c r="AZ789" s="232"/>
      <c r="BA789" s="232"/>
      <c r="BB789" s="232"/>
      <c r="BC789" s="232"/>
      <c r="BD789" s="232"/>
      <c r="BE789" s="232"/>
      <c r="BF789" s="232"/>
      <c r="BG789" s="232"/>
      <c r="BH789" s="232"/>
      <c r="BI789" s="232"/>
      <c r="BJ789" s="232"/>
      <c r="BK789" s="232"/>
      <c r="BL789" s="232"/>
      <c r="BM789" s="232"/>
      <c r="BN789" s="232"/>
      <c r="BO789" s="232"/>
      <c r="BP789" s="232"/>
      <c r="BQ789" s="232"/>
      <c r="BR789" s="232"/>
      <c r="BS789" s="232"/>
      <c r="BT789" s="232"/>
      <c r="BU789" s="232"/>
      <c r="BV789" s="232"/>
      <c r="BW789" s="232"/>
      <c r="BX789" s="232"/>
      <c r="BY789" s="232"/>
      <c r="BZ789" s="232"/>
      <c r="CA789" s="232"/>
      <c r="CB789" s="232"/>
      <c r="CC789" s="232"/>
      <c r="CD789" s="232"/>
      <c r="CE789" s="232"/>
      <c r="CF789" s="232"/>
      <c r="CG789" s="232"/>
      <c r="CH789" s="232"/>
      <c r="CI789" s="232"/>
      <c r="CJ789" s="232"/>
      <c r="CK789" s="232"/>
      <c r="CL789" s="232"/>
      <c r="CM789" s="232"/>
      <c r="CN789" s="215"/>
      <c r="CO789" s="215"/>
      <c r="CP789" s="215"/>
      <c r="CQ789" s="215"/>
      <c r="CR789" s="215"/>
      <c r="CS789" s="215"/>
      <c r="CT789" s="215"/>
    </row>
    <row r="790" ht="24.0" customHeight="1">
      <c r="A790" s="287"/>
      <c r="B790" s="287"/>
      <c r="C790" s="287"/>
      <c r="D790" s="232"/>
      <c r="E790" s="232"/>
      <c r="F790" s="232"/>
      <c r="G790" s="232"/>
      <c r="H790" s="232"/>
      <c r="I790" s="232"/>
      <c r="J790" s="232"/>
      <c r="K790" s="232"/>
      <c r="L790" s="232"/>
      <c r="M790" s="232"/>
      <c r="N790" s="289"/>
      <c r="O790" s="232"/>
      <c r="P790" s="232"/>
      <c r="Q790" s="232"/>
      <c r="R790" s="232"/>
      <c r="S790" s="232"/>
      <c r="T790" s="232"/>
      <c r="U790" s="232"/>
      <c r="V790" s="232"/>
      <c r="W790" s="232"/>
      <c r="X790" s="232"/>
      <c r="Y790" s="232"/>
      <c r="Z790" s="232"/>
      <c r="AA790" s="232"/>
      <c r="AB790" s="232"/>
      <c r="AC790" s="232"/>
      <c r="AD790" s="232"/>
      <c r="AE790" s="232"/>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c r="BL790" s="232"/>
      <c r="BM790" s="232"/>
      <c r="BN790" s="232"/>
      <c r="BO790" s="232"/>
      <c r="BP790" s="232"/>
      <c r="BQ790" s="232"/>
      <c r="BR790" s="232"/>
      <c r="BS790" s="232"/>
      <c r="BT790" s="232"/>
      <c r="BU790" s="232"/>
      <c r="BV790" s="232"/>
      <c r="BW790" s="232"/>
      <c r="BX790" s="232"/>
      <c r="BY790" s="232"/>
      <c r="BZ790" s="232"/>
      <c r="CA790" s="232"/>
      <c r="CB790" s="232"/>
      <c r="CC790" s="232"/>
      <c r="CD790" s="232"/>
      <c r="CE790" s="232"/>
      <c r="CF790" s="232"/>
      <c r="CG790" s="232"/>
      <c r="CH790" s="232"/>
      <c r="CI790" s="232"/>
      <c r="CJ790" s="232"/>
      <c r="CK790" s="232"/>
      <c r="CL790" s="232"/>
      <c r="CM790" s="232"/>
      <c r="CN790" s="215"/>
      <c r="CO790" s="215"/>
      <c r="CP790" s="215"/>
      <c r="CQ790" s="215"/>
      <c r="CR790" s="215"/>
      <c r="CS790" s="215"/>
      <c r="CT790" s="215"/>
    </row>
    <row r="791" ht="24.0" customHeight="1">
      <c r="A791" s="287"/>
      <c r="B791" s="287"/>
      <c r="C791" s="287"/>
      <c r="D791" s="232"/>
      <c r="E791" s="232"/>
      <c r="F791" s="232"/>
      <c r="G791" s="232"/>
      <c r="H791" s="232"/>
      <c r="I791" s="232"/>
      <c r="J791" s="232"/>
      <c r="K791" s="232"/>
      <c r="L791" s="232"/>
      <c r="M791" s="232"/>
      <c r="N791" s="289"/>
      <c r="O791" s="232"/>
      <c r="P791" s="232"/>
      <c r="Q791" s="232"/>
      <c r="R791" s="232"/>
      <c r="S791" s="232"/>
      <c r="T791" s="232"/>
      <c r="U791" s="232"/>
      <c r="V791" s="232"/>
      <c r="W791" s="232"/>
      <c r="X791" s="232"/>
      <c r="Y791" s="232"/>
      <c r="Z791" s="232"/>
      <c r="AA791" s="232"/>
      <c r="AB791" s="232"/>
      <c r="AC791" s="232"/>
      <c r="AD791" s="232"/>
      <c r="AE791" s="232"/>
      <c r="AF791" s="232"/>
      <c r="AG791" s="232"/>
      <c r="AH791" s="232"/>
      <c r="AI791" s="232"/>
      <c r="AJ791" s="232"/>
      <c r="AK791" s="232"/>
      <c r="AL791" s="232"/>
      <c r="AM791" s="232"/>
      <c r="AN791" s="232"/>
      <c r="AO791" s="232"/>
      <c r="AP791" s="232"/>
      <c r="AQ791" s="232"/>
      <c r="AR791" s="232"/>
      <c r="AS791" s="232"/>
      <c r="AT791" s="232"/>
      <c r="AU791" s="232"/>
      <c r="AV791" s="232"/>
      <c r="AW791" s="232"/>
      <c r="AX791" s="232"/>
      <c r="AY791" s="232"/>
      <c r="AZ791" s="232"/>
      <c r="BA791" s="232"/>
      <c r="BB791" s="232"/>
      <c r="BC791" s="232"/>
      <c r="BD791" s="232"/>
      <c r="BE791" s="232"/>
      <c r="BF791" s="232"/>
      <c r="BG791" s="232"/>
      <c r="BH791" s="232"/>
      <c r="BI791" s="232"/>
      <c r="BJ791" s="232"/>
      <c r="BK791" s="232"/>
      <c r="BL791" s="232"/>
      <c r="BM791" s="232"/>
      <c r="BN791" s="232"/>
      <c r="BO791" s="232"/>
      <c r="BP791" s="232"/>
      <c r="BQ791" s="232"/>
      <c r="BR791" s="232"/>
      <c r="BS791" s="232"/>
      <c r="BT791" s="232"/>
      <c r="BU791" s="232"/>
      <c r="BV791" s="232"/>
      <c r="BW791" s="232"/>
      <c r="BX791" s="232"/>
      <c r="BY791" s="232"/>
      <c r="BZ791" s="232"/>
      <c r="CA791" s="232"/>
      <c r="CB791" s="232"/>
      <c r="CC791" s="232"/>
      <c r="CD791" s="232"/>
      <c r="CE791" s="232"/>
      <c r="CF791" s="232"/>
      <c r="CG791" s="232"/>
      <c r="CH791" s="232"/>
      <c r="CI791" s="232"/>
      <c r="CJ791" s="232"/>
      <c r="CK791" s="232"/>
      <c r="CL791" s="232"/>
      <c r="CM791" s="232"/>
      <c r="CN791" s="215"/>
      <c r="CO791" s="215"/>
      <c r="CP791" s="215"/>
      <c r="CQ791" s="215"/>
      <c r="CR791" s="215"/>
      <c r="CS791" s="215"/>
      <c r="CT791" s="215"/>
    </row>
    <row r="792" ht="24.0" customHeight="1">
      <c r="A792" s="287"/>
      <c r="B792" s="287"/>
      <c r="C792" s="287"/>
      <c r="D792" s="232"/>
      <c r="E792" s="232"/>
      <c r="F792" s="232"/>
      <c r="G792" s="232"/>
      <c r="H792" s="232"/>
      <c r="I792" s="232"/>
      <c r="J792" s="232"/>
      <c r="K792" s="232"/>
      <c r="L792" s="232"/>
      <c r="M792" s="232"/>
      <c r="N792" s="289"/>
      <c r="O792" s="232"/>
      <c r="P792" s="232"/>
      <c r="Q792" s="232"/>
      <c r="R792" s="232"/>
      <c r="S792" s="232"/>
      <c r="T792" s="232"/>
      <c r="U792" s="232"/>
      <c r="V792" s="232"/>
      <c r="W792" s="232"/>
      <c r="X792" s="232"/>
      <c r="Y792" s="232"/>
      <c r="Z792" s="232"/>
      <c r="AA792" s="232"/>
      <c r="AB792" s="232"/>
      <c r="AC792" s="232"/>
      <c r="AD792" s="232"/>
      <c r="AE792" s="232"/>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c r="BL792" s="232"/>
      <c r="BM792" s="232"/>
      <c r="BN792" s="232"/>
      <c r="BO792" s="232"/>
      <c r="BP792" s="232"/>
      <c r="BQ792" s="232"/>
      <c r="BR792" s="232"/>
      <c r="BS792" s="232"/>
      <c r="BT792" s="232"/>
      <c r="BU792" s="232"/>
      <c r="BV792" s="232"/>
      <c r="BW792" s="232"/>
      <c r="BX792" s="232"/>
      <c r="BY792" s="232"/>
      <c r="BZ792" s="232"/>
      <c r="CA792" s="232"/>
      <c r="CB792" s="232"/>
      <c r="CC792" s="232"/>
      <c r="CD792" s="232"/>
      <c r="CE792" s="232"/>
      <c r="CF792" s="232"/>
      <c r="CG792" s="232"/>
      <c r="CH792" s="232"/>
      <c r="CI792" s="232"/>
      <c r="CJ792" s="232"/>
      <c r="CK792" s="232"/>
      <c r="CL792" s="232"/>
      <c r="CM792" s="232"/>
      <c r="CN792" s="215"/>
      <c r="CO792" s="215"/>
      <c r="CP792" s="215"/>
      <c r="CQ792" s="215"/>
      <c r="CR792" s="215"/>
      <c r="CS792" s="215"/>
      <c r="CT792" s="215"/>
    </row>
    <row r="793" ht="24.0" customHeight="1">
      <c r="A793" s="287"/>
      <c r="B793" s="287"/>
      <c r="C793" s="287"/>
      <c r="D793" s="232"/>
      <c r="E793" s="232"/>
      <c r="F793" s="232"/>
      <c r="G793" s="232"/>
      <c r="H793" s="232"/>
      <c r="I793" s="232"/>
      <c r="J793" s="232"/>
      <c r="K793" s="232"/>
      <c r="L793" s="232"/>
      <c r="M793" s="232"/>
      <c r="N793" s="289"/>
      <c r="O793" s="232"/>
      <c r="P793" s="232"/>
      <c r="Q793" s="232"/>
      <c r="R793" s="232"/>
      <c r="S793" s="232"/>
      <c r="T793" s="232"/>
      <c r="U793" s="232"/>
      <c r="V793" s="232"/>
      <c r="W793" s="232"/>
      <c r="X793" s="232"/>
      <c r="Y793" s="232"/>
      <c r="Z793" s="232"/>
      <c r="AA793" s="232"/>
      <c r="AB793" s="232"/>
      <c r="AC793" s="232"/>
      <c r="AD793" s="232"/>
      <c r="AE793" s="232"/>
      <c r="AF793" s="232"/>
      <c r="AG793" s="232"/>
      <c r="AH793" s="232"/>
      <c r="AI793" s="232"/>
      <c r="AJ793" s="232"/>
      <c r="AK793" s="232"/>
      <c r="AL793" s="232"/>
      <c r="AM793" s="232"/>
      <c r="AN793" s="232"/>
      <c r="AO793" s="232"/>
      <c r="AP793" s="232"/>
      <c r="AQ793" s="232"/>
      <c r="AR793" s="232"/>
      <c r="AS793" s="232"/>
      <c r="AT793" s="232"/>
      <c r="AU793" s="232"/>
      <c r="AV793" s="232"/>
      <c r="AW793" s="232"/>
      <c r="AX793" s="232"/>
      <c r="AY793" s="232"/>
      <c r="AZ793" s="232"/>
      <c r="BA793" s="232"/>
      <c r="BB793" s="232"/>
      <c r="BC793" s="232"/>
      <c r="BD793" s="232"/>
      <c r="BE793" s="232"/>
      <c r="BF793" s="232"/>
      <c r="BG793" s="232"/>
      <c r="BH793" s="232"/>
      <c r="BI793" s="232"/>
      <c r="BJ793" s="232"/>
      <c r="BK793" s="232"/>
      <c r="BL793" s="232"/>
      <c r="BM793" s="232"/>
      <c r="BN793" s="232"/>
      <c r="BO793" s="232"/>
      <c r="BP793" s="232"/>
      <c r="BQ793" s="232"/>
      <c r="BR793" s="232"/>
      <c r="BS793" s="232"/>
      <c r="BT793" s="232"/>
      <c r="BU793" s="232"/>
      <c r="BV793" s="232"/>
      <c r="BW793" s="232"/>
      <c r="BX793" s="232"/>
      <c r="BY793" s="232"/>
      <c r="BZ793" s="232"/>
      <c r="CA793" s="232"/>
      <c r="CB793" s="232"/>
      <c r="CC793" s="232"/>
      <c r="CD793" s="232"/>
      <c r="CE793" s="232"/>
      <c r="CF793" s="232"/>
      <c r="CG793" s="232"/>
      <c r="CH793" s="232"/>
      <c r="CI793" s="232"/>
      <c r="CJ793" s="232"/>
      <c r="CK793" s="232"/>
      <c r="CL793" s="232"/>
      <c r="CM793" s="232"/>
      <c r="CN793" s="215"/>
      <c r="CO793" s="215"/>
      <c r="CP793" s="215"/>
      <c r="CQ793" s="215"/>
      <c r="CR793" s="215"/>
      <c r="CS793" s="215"/>
      <c r="CT793" s="215"/>
    </row>
    <row r="794" ht="24.0" customHeight="1">
      <c r="A794" s="287"/>
      <c r="B794" s="287"/>
      <c r="C794" s="287"/>
      <c r="D794" s="232"/>
      <c r="E794" s="232"/>
      <c r="F794" s="232"/>
      <c r="G794" s="232"/>
      <c r="H794" s="232"/>
      <c r="I794" s="232"/>
      <c r="J794" s="232"/>
      <c r="K794" s="232"/>
      <c r="L794" s="232"/>
      <c r="M794" s="232"/>
      <c r="N794" s="289"/>
      <c r="O794" s="232"/>
      <c r="P794" s="232"/>
      <c r="Q794" s="232"/>
      <c r="R794" s="232"/>
      <c r="S794" s="232"/>
      <c r="T794" s="232"/>
      <c r="U794" s="232"/>
      <c r="V794" s="232"/>
      <c r="W794" s="232"/>
      <c r="X794" s="232"/>
      <c r="Y794" s="232"/>
      <c r="Z794" s="232"/>
      <c r="AA794" s="232"/>
      <c r="AB794" s="232"/>
      <c r="AC794" s="232"/>
      <c r="AD794" s="232"/>
      <c r="AE794" s="232"/>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c r="BL794" s="232"/>
      <c r="BM794" s="232"/>
      <c r="BN794" s="232"/>
      <c r="BO794" s="232"/>
      <c r="BP794" s="232"/>
      <c r="BQ794" s="232"/>
      <c r="BR794" s="232"/>
      <c r="BS794" s="232"/>
      <c r="BT794" s="232"/>
      <c r="BU794" s="232"/>
      <c r="BV794" s="232"/>
      <c r="BW794" s="232"/>
      <c r="BX794" s="232"/>
      <c r="BY794" s="232"/>
      <c r="BZ794" s="232"/>
      <c r="CA794" s="232"/>
      <c r="CB794" s="232"/>
      <c r="CC794" s="232"/>
      <c r="CD794" s="232"/>
      <c r="CE794" s="232"/>
      <c r="CF794" s="232"/>
      <c r="CG794" s="232"/>
      <c r="CH794" s="232"/>
      <c r="CI794" s="232"/>
      <c r="CJ794" s="232"/>
      <c r="CK794" s="232"/>
      <c r="CL794" s="232"/>
      <c r="CM794" s="232"/>
      <c r="CN794" s="215"/>
      <c r="CO794" s="215"/>
      <c r="CP794" s="215"/>
      <c r="CQ794" s="215"/>
      <c r="CR794" s="215"/>
      <c r="CS794" s="215"/>
      <c r="CT794" s="215"/>
    </row>
    <row r="795" ht="24.0" customHeight="1">
      <c r="A795" s="287"/>
      <c r="B795" s="287"/>
      <c r="C795" s="287"/>
      <c r="D795" s="232"/>
      <c r="E795" s="232"/>
      <c r="F795" s="232"/>
      <c r="G795" s="232"/>
      <c r="H795" s="232"/>
      <c r="I795" s="232"/>
      <c r="J795" s="232"/>
      <c r="K795" s="232"/>
      <c r="L795" s="232"/>
      <c r="M795" s="232"/>
      <c r="N795" s="289"/>
      <c r="O795" s="232"/>
      <c r="P795" s="232"/>
      <c r="Q795" s="232"/>
      <c r="R795" s="232"/>
      <c r="S795" s="232"/>
      <c r="T795" s="232"/>
      <c r="U795" s="232"/>
      <c r="V795" s="232"/>
      <c r="W795" s="232"/>
      <c r="X795" s="232"/>
      <c r="Y795" s="232"/>
      <c r="Z795" s="232"/>
      <c r="AA795" s="232"/>
      <c r="AB795" s="232"/>
      <c r="AC795" s="232"/>
      <c r="AD795" s="232"/>
      <c r="AE795" s="232"/>
      <c r="AF795" s="232"/>
      <c r="AG795" s="232"/>
      <c r="AH795" s="232"/>
      <c r="AI795" s="232"/>
      <c r="AJ795" s="232"/>
      <c r="AK795" s="232"/>
      <c r="AL795" s="232"/>
      <c r="AM795" s="232"/>
      <c r="AN795" s="232"/>
      <c r="AO795" s="232"/>
      <c r="AP795" s="232"/>
      <c r="AQ795" s="232"/>
      <c r="AR795" s="232"/>
      <c r="AS795" s="232"/>
      <c r="AT795" s="232"/>
      <c r="AU795" s="232"/>
      <c r="AV795" s="232"/>
      <c r="AW795" s="232"/>
      <c r="AX795" s="232"/>
      <c r="AY795" s="232"/>
      <c r="AZ795" s="232"/>
      <c r="BA795" s="232"/>
      <c r="BB795" s="232"/>
      <c r="BC795" s="232"/>
      <c r="BD795" s="232"/>
      <c r="BE795" s="232"/>
      <c r="BF795" s="232"/>
      <c r="BG795" s="232"/>
      <c r="BH795" s="232"/>
      <c r="BI795" s="232"/>
      <c r="BJ795" s="232"/>
      <c r="BK795" s="232"/>
      <c r="BL795" s="232"/>
      <c r="BM795" s="232"/>
      <c r="BN795" s="232"/>
      <c r="BO795" s="232"/>
      <c r="BP795" s="232"/>
      <c r="BQ795" s="232"/>
      <c r="BR795" s="232"/>
      <c r="BS795" s="232"/>
      <c r="BT795" s="232"/>
      <c r="BU795" s="232"/>
      <c r="BV795" s="232"/>
      <c r="BW795" s="232"/>
      <c r="BX795" s="232"/>
      <c r="BY795" s="232"/>
      <c r="BZ795" s="232"/>
      <c r="CA795" s="232"/>
      <c r="CB795" s="232"/>
      <c r="CC795" s="232"/>
      <c r="CD795" s="232"/>
      <c r="CE795" s="232"/>
      <c r="CF795" s="232"/>
      <c r="CG795" s="232"/>
      <c r="CH795" s="232"/>
      <c r="CI795" s="232"/>
      <c r="CJ795" s="232"/>
      <c r="CK795" s="232"/>
      <c r="CL795" s="232"/>
      <c r="CM795" s="232"/>
      <c r="CN795" s="215"/>
      <c r="CO795" s="215"/>
      <c r="CP795" s="215"/>
      <c r="CQ795" s="215"/>
      <c r="CR795" s="215"/>
      <c r="CS795" s="215"/>
      <c r="CT795" s="215"/>
    </row>
    <row r="796" ht="24.0" customHeight="1">
      <c r="A796" s="287"/>
      <c r="B796" s="287"/>
      <c r="C796" s="287"/>
      <c r="D796" s="232"/>
      <c r="E796" s="232"/>
      <c r="F796" s="232"/>
      <c r="G796" s="232"/>
      <c r="H796" s="232"/>
      <c r="I796" s="232"/>
      <c r="J796" s="232"/>
      <c r="K796" s="232"/>
      <c r="L796" s="232"/>
      <c r="M796" s="232"/>
      <c r="N796" s="289"/>
      <c r="O796" s="232"/>
      <c r="P796" s="232"/>
      <c r="Q796" s="232"/>
      <c r="R796" s="232"/>
      <c r="S796" s="232"/>
      <c r="T796" s="232"/>
      <c r="U796" s="232"/>
      <c r="V796" s="232"/>
      <c r="W796" s="232"/>
      <c r="X796" s="232"/>
      <c r="Y796" s="232"/>
      <c r="Z796" s="232"/>
      <c r="AA796" s="232"/>
      <c r="AB796" s="232"/>
      <c r="AC796" s="232"/>
      <c r="AD796" s="232"/>
      <c r="AE796" s="232"/>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c r="BL796" s="232"/>
      <c r="BM796" s="232"/>
      <c r="BN796" s="232"/>
      <c r="BO796" s="232"/>
      <c r="BP796" s="232"/>
      <c r="BQ796" s="232"/>
      <c r="BR796" s="232"/>
      <c r="BS796" s="232"/>
      <c r="BT796" s="232"/>
      <c r="BU796" s="232"/>
      <c r="BV796" s="232"/>
      <c r="BW796" s="232"/>
      <c r="BX796" s="232"/>
      <c r="BY796" s="232"/>
      <c r="BZ796" s="232"/>
      <c r="CA796" s="232"/>
      <c r="CB796" s="232"/>
      <c r="CC796" s="232"/>
      <c r="CD796" s="232"/>
      <c r="CE796" s="232"/>
      <c r="CF796" s="232"/>
      <c r="CG796" s="232"/>
      <c r="CH796" s="232"/>
      <c r="CI796" s="232"/>
      <c r="CJ796" s="232"/>
      <c r="CK796" s="232"/>
      <c r="CL796" s="232"/>
      <c r="CM796" s="232"/>
      <c r="CN796" s="215"/>
      <c r="CO796" s="215"/>
      <c r="CP796" s="215"/>
      <c r="CQ796" s="215"/>
      <c r="CR796" s="215"/>
      <c r="CS796" s="215"/>
      <c r="CT796" s="215"/>
    </row>
    <row r="797" ht="24.0" customHeight="1">
      <c r="A797" s="287"/>
      <c r="B797" s="287"/>
      <c r="C797" s="287"/>
      <c r="D797" s="232"/>
      <c r="E797" s="232"/>
      <c r="F797" s="232"/>
      <c r="G797" s="232"/>
      <c r="H797" s="232"/>
      <c r="I797" s="232"/>
      <c r="J797" s="232"/>
      <c r="K797" s="232"/>
      <c r="L797" s="232"/>
      <c r="M797" s="232"/>
      <c r="N797" s="289"/>
      <c r="O797" s="232"/>
      <c r="P797" s="232"/>
      <c r="Q797" s="232"/>
      <c r="R797" s="232"/>
      <c r="S797" s="232"/>
      <c r="T797" s="232"/>
      <c r="U797" s="232"/>
      <c r="V797" s="232"/>
      <c r="W797" s="232"/>
      <c r="X797" s="232"/>
      <c r="Y797" s="232"/>
      <c r="Z797" s="232"/>
      <c r="AA797" s="232"/>
      <c r="AB797" s="232"/>
      <c r="AC797" s="232"/>
      <c r="AD797" s="232"/>
      <c r="AE797" s="232"/>
      <c r="AF797" s="232"/>
      <c r="AG797" s="232"/>
      <c r="AH797" s="232"/>
      <c r="AI797" s="232"/>
      <c r="AJ797" s="232"/>
      <c r="AK797" s="232"/>
      <c r="AL797" s="232"/>
      <c r="AM797" s="232"/>
      <c r="AN797" s="232"/>
      <c r="AO797" s="232"/>
      <c r="AP797" s="232"/>
      <c r="AQ797" s="232"/>
      <c r="AR797" s="232"/>
      <c r="AS797" s="232"/>
      <c r="AT797" s="232"/>
      <c r="AU797" s="232"/>
      <c r="AV797" s="232"/>
      <c r="AW797" s="232"/>
      <c r="AX797" s="232"/>
      <c r="AY797" s="232"/>
      <c r="AZ797" s="232"/>
      <c r="BA797" s="232"/>
      <c r="BB797" s="232"/>
      <c r="BC797" s="232"/>
      <c r="BD797" s="232"/>
      <c r="BE797" s="232"/>
      <c r="BF797" s="232"/>
      <c r="BG797" s="232"/>
      <c r="BH797" s="232"/>
      <c r="BI797" s="232"/>
      <c r="BJ797" s="232"/>
      <c r="BK797" s="232"/>
      <c r="BL797" s="232"/>
      <c r="BM797" s="232"/>
      <c r="BN797" s="232"/>
      <c r="BO797" s="232"/>
      <c r="BP797" s="232"/>
      <c r="BQ797" s="232"/>
      <c r="BR797" s="232"/>
      <c r="BS797" s="232"/>
      <c r="BT797" s="232"/>
      <c r="BU797" s="232"/>
      <c r="BV797" s="232"/>
      <c r="BW797" s="232"/>
      <c r="BX797" s="232"/>
      <c r="BY797" s="232"/>
      <c r="BZ797" s="232"/>
      <c r="CA797" s="232"/>
      <c r="CB797" s="232"/>
      <c r="CC797" s="232"/>
      <c r="CD797" s="232"/>
      <c r="CE797" s="232"/>
      <c r="CF797" s="232"/>
      <c r="CG797" s="232"/>
      <c r="CH797" s="232"/>
      <c r="CI797" s="232"/>
      <c r="CJ797" s="232"/>
      <c r="CK797" s="232"/>
      <c r="CL797" s="232"/>
      <c r="CM797" s="232"/>
      <c r="CN797" s="215"/>
      <c r="CO797" s="215"/>
      <c r="CP797" s="215"/>
      <c r="CQ797" s="215"/>
      <c r="CR797" s="215"/>
      <c r="CS797" s="215"/>
      <c r="CT797" s="215"/>
    </row>
    <row r="798" ht="24.0" customHeight="1">
      <c r="A798" s="287"/>
      <c r="B798" s="287"/>
      <c r="C798" s="287"/>
      <c r="D798" s="232"/>
      <c r="E798" s="232"/>
      <c r="F798" s="232"/>
      <c r="G798" s="232"/>
      <c r="H798" s="232"/>
      <c r="I798" s="232"/>
      <c r="J798" s="232"/>
      <c r="K798" s="232"/>
      <c r="L798" s="232"/>
      <c r="M798" s="232"/>
      <c r="N798" s="289"/>
      <c r="O798" s="232"/>
      <c r="P798" s="232"/>
      <c r="Q798" s="232"/>
      <c r="R798" s="232"/>
      <c r="S798" s="232"/>
      <c r="T798" s="232"/>
      <c r="U798" s="232"/>
      <c r="V798" s="232"/>
      <c r="W798" s="232"/>
      <c r="X798" s="232"/>
      <c r="Y798" s="232"/>
      <c r="Z798" s="232"/>
      <c r="AA798" s="232"/>
      <c r="AB798" s="232"/>
      <c r="AC798" s="232"/>
      <c r="AD798" s="232"/>
      <c r="AE798" s="232"/>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c r="BL798" s="232"/>
      <c r="BM798" s="232"/>
      <c r="BN798" s="232"/>
      <c r="BO798" s="232"/>
      <c r="BP798" s="232"/>
      <c r="BQ798" s="232"/>
      <c r="BR798" s="232"/>
      <c r="BS798" s="232"/>
      <c r="BT798" s="232"/>
      <c r="BU798" s="232"/>
      <c r="BV798" s="232"/>
      <c r="BW798" s="232"/>
      <c r="BX798" s="232"/>
      <c r="BY798" s="232"/>
      <c r="BZ798" s="232"/>
      <c r="CA798" s="232"/>
      <c r="CB798" s="232"/>
      <c r="CC798" s="232"/>
      <c r="CD798" s="232"/>
      <c r="CE798" s="232"/>
      <c r="CF798" s="232"/>
      <c r="CG798" s="232"/>
      <c r="CH798" s="232"/>
      <c r="CI798" s="232"/>
      <c r="CJ798" s="232"/>
      <c r="CK798" s="232"/>
      <c r="CL798" s="232"/>
      <c r="CM798" s="232"/>
      <c r="CN798" s="215"/>
      <c r="CO798" s="215"/>
      <c r="CP798" s="215"/>
      <c r="CQ798" s="215"/>
      <c r="CR798" s="215"/>
      <c r="CS798" s="215"/>
      <c r="CT798" s="215"/>
    </row>
    <row r="799" ht="24.0" customHeight="1">
      <c r="A799" s="287"/>
      <c r="B799" s="287"/>
      <c r="C799" s="287"/>
      <c r="D799" s="232"/>
      <c r="E799" s="232"/>
      <c r="F799" s="232"/>
      <c r="G799" s="232"/>
      <c r="H799" s="232"/>
      <c r="I799" s="232"/>
      <c r="J799" s="232"/>
      <c r="K799" s="232"/>
      <c r="L799" s="232"/>
      <c r="M799" s="232"/>
      <c r="N799" s="289"/>
      <c r="O799" s="232"/>
      <c r="P799" s="232"/>
      <c r="Q799" s="232"/>
      <c r="R799" s="232"/>
      <c r="S799" s="232"/>
      <c r="T799" s="232"/>
      <c r="U799" s="232"/>
      <c r="V799" s="232"/>
      <c r="W799" s="232"/>
      <c r="X799" s="232"/>
      <c r="Y799" s="232"/>
      <c r="Z799" s="232"/>
      <c r="AA799" s="232"/>
      <c r="AB799" s="232"/>
      <c r="AC799" s="232"/>
      <c r="AD799" s="232"/>
      <c r="AE799" s="232"/>
      <c r="AF799" s="232"/>
      <c r="AG799" s="232"/>
      <c r="AH799" s="232"/>
      <c r="AI799" s="232"/>
      <c r="AJ799" s="232"/>
      <c r="AK799" s="232"/>
      <c r="AL799" s="232"/>
      <c r="AM799" s="232"/>
      <c r="AN799" s="232"/>
      <c r="AO799" s="232"/>
      <c r="AP799" s="232"/>
      <c r="AQ799" s="232"/>
      <c r="AR799" s="232"/>
      <c r="AS799" s="232"/>
      <c r="AT799" s="232"/>
      <c r="AU799" s="232"/>
      <c r="AV799" s="232"/>
      <c r="AW799" s="232"/>
      <c r="AX799" s="232"/>
      <c r="AY799" s="232"/>
      <c r="AZ799" s="232"/>
      <c r="BA799" s="232"/>
      <c r="BB799" s="232"/>
      <c r="BC799" s="232"/>
      <c r="BD799" s="232"/>
      <c r="BE799" s="232"/>
      <c r="BF799" s="232"/>
      <c r="BG799" s="232"/>
      <c r="BH799" s="232"/>
      <c r="BI799" s="232"/>
      <c r="BJ799" s="232"/>
      <c r="BK799" s="232"/>
      <c r="BL799" s="232"/>
      <c r="BM799" s="232"/>
      <c r="BN799" s="232"/>
      <c r="BO799" s="232"/>
      <c r="BP799" s="232"/>
      <c r="BQ799" s="232"/>
      <c r="BR799" s="232"/>
      <c r="BS799" s="232"/>
      <c r="BT799" s="232"/>
      <c r="BU799" s="232"/>
      <c r="BV799" s="232"/>
      <c r="BW799" s="232"/>
      <c r="BX799" s="232"/>
      <c r="BY799" s="232"/>
      <c r="BZ799" s="232"/>
      <c r="CA799" s="232"/>
      <c r="CB799" s="232"/>
      <c r="CC799" s="232"/>
      <c r="CD799" s="232"/>
      <c r="CE799" s="232"/>
      <c r="CF799" s="232"/>
      <c r="CG799" s="232"/>
      <c r="CH799" s="232"/>
      <c r="CI799" s="232"/>
      <c r="CJ799" s="232"/>
      <c r="CK799" s="232"/>
      <c r="CL799" s="232"/>
      <c r="CM799" s="232"/>
      <c r="CN799" s="215"/>
      <c r="CO799" s="215"/>
      <c r="CP799" s="215"/>
      <c r="CQ799" s="215"/>
      <c r="CR799" s="215"/>
      <c r="CS799" s="215"/>
      <c r="CT799" s="215"/>
    </row>
    <row r="800" ht="24.0" customHeight="1">
      <c r="A800" s="287"/>
      <c r="B800" s="287"/>
      <c r="C800" s="287"/>
      <c r="D800" s="232"/>
      <c r="E800" s="232"/>
      <c r="F800" s="232"/>
      <c r="G800" s="232"/>
      <c r="H800" s="232"/>
      <c r="I800" s="232"/>
      <c r="J800" s="232"/>
      <c r="K800" s="232"/>
      <c r="L800" s="232"/>
      <c r="M800" s="232"/>
      <c r="N800" s="289"/>
      <c r="O800" s="232"/>
      <c r="P800" s="232"/>
      <c r="Q800" s="232"/>
      <c r="R800" s="232"/>
      <c r="S800" s="232"/>
      <c r="T800" s="232"/>
      <c r="U800" s="232"/>
      <c r="V800" s="232"/>
      <c r="W800" s="232"/>
      <c r="X800" s="232"/>
      <c r="Y800" s="232"/>
      <c r="Z800" s="232"/>
      <c r="AA800" s="232"/>
      <c r="AB800" s="232"/>
      <c r="AC800" s="232"/>
      <c r="AD800" s="232"/>
      <c r="AE800" s="232"/>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c r="BL800" s="232"/>
      <c r="BM800" s="232"/>
      <c r="BN800" s="232"/>
      <c r="BO800" s="232"/>
      <c r="BP800" s="232"/>
      <c r="BQ800" s="232"/>
      <c r="BR800" s="232"/>
      <c r="BS800" s="232"/>
      <c r="BT800" s="232"/>
      <c r="BU800" s="232"/>
      <c r="BV800" s="232"/>
      <c r="BW800" s="232"/>
      <c r="BX800" s="232"/>
      <c r="BY800" s="232"/>
      <c r="BZ800" s="232"/>
      <c r="CA800" s="232"/>
      <c r="CB800" s="232"/>
      <c r="CC800" s="232"/>
      <c r="CD800" s="232"/>
      <c r="CE800" s="232"/>
      <c r="CF800" s="232"/>
      <c r="CG800" s="232"/>
      <c r="CH800" s="232"/>
      <c r="CI800" s="232"/>
      <c r="CJ800" s="232"/>
      <c r="CK800" s="232"/>
      <c r="CL800" s="232"/>
      <c r="CM800" s="232"/>
      <c r="CN800" s="215"/>
      <c r="CO800" s="215"/>
      <c r="CP800" s="215"/>
      <c r="CQ800" s="215"/>
      <c r="CR800" s="215"/>
      <c r="CS800" s="215"/>
      <c r="CT800" s="215"/>
    </row>
    <row r="801" ht="24.0" customHeight="1">
      <c r="A801" s="287"/>
      <c r="B801" s="287"/>
      <c r="C801" s="287"/>
      <c r="D801" s="232"/>
      <c r="E801" s="232"/>
      <c r="F801" s="232"/>
      <c r="G801" s="232"/>
      <c r="H801" s="232"/>
      <c r="I801" s="232"/>
      <c r="J801" s="232"/>
      <c r="K801" s="232"/>
      <c r="L801" s="232"/>
      <c r="M801" s="232"/>
      <c r="N801" s="289"/>
      <c r="O801" s="232"/>
      <c r="P801" s="232"/>
      <c r="Q801" s="232"/>
      <c r="R801" s="232"/>
      <c r="S801" s="232"/>
      <c r="T801" s="232"/>
      <c r="U801" s="232"/>
      <c r="V801" s="232"/>
      <c r="W801" s="232"/>
      <c r="X801" s="232"/>
      <c r="Y801" s="232"/>
      <c r="Z801" s="232"/>
      <c r="AA801" s="232"/>
      <c r="AB801" s="232"/>
      <c r="AC801" s="232"/>
      <c r="AD801" s="232"/>
      <c r="AE801" s="232"/>
      <c r="AF801" s="232"/>
      <c r="AG801" s="232"/>
      <c r="AH801" s="232"/>
      <c r="AI801" s="232"/>
      <c r="AJ801" s="232"/>
      <c r="AK801" s="232"/>
      <c r="AL801" s="232"/>
      <c r="AM801" s="232"/>
      <c r="AN801" s="232"/>
      <c r="AO801" s="232"/>
      <c r="AP801" s="232"/>
      <c r="AQ801" s="232"/>
      <c r="AR801" s="232"/>
      <c r="AS801" s="232"/>
      <c r="AT801" s="232"/>
      <c r="AU801" s="232"/>
      <c r="AV801" s="232"/>
      <c r="AW801" s="232"/>
      <c r="AX801" s="232"/>
      <c r="AY801" s="232"/>
      <c r="AZ801" s="232"/>
      <c r="BA801" s="232"/>
      <c r="BB801" s="232"/>
      <c r="BC801" s="232"/>
      <c r="BD801" s="232"/>
      <c r="BE801" s="232"/>
      <c r="BF801" s="232"/>
      <c r="BG801" s="232"/>
      <c r="BH801" s="232"/>
      <c r="BI801" s="232"/>
      <c r="BJ801" s="232"/>
      <c r="BK801" s="232"/>
      <c r="BL801" s="232"/>
      <c r="BM801" s="232"/>
      <c r="BN801" s="232"/>
      <c r="BO801" s="232"/>
      <c r="BP801" s="232"/>
      <c r="BQ801" s="232"/>
      <c r="BR801" s="232"/>
      <c r="BS801" s="232"/>
      <c r="BT801" s="232"/>
      <c r="BU801" s="232"/>
      <c r="BV801" s="232"/>
      <c r="BW801" s="232"/>
      <c r="BX801" s="232"/>
      <c r="BY801" s="232"/>
      <c r="BZ801" s="232"/>
      <c r="CA801" s="232"/>
      <c r="CB801" s="232"/>
      <c r="CC801" s="232"/>
      <c r="CD801" s="232"/>
      <c r="CE801" s="232"/>
      <c r="CF801" s="232"/>
      <c r="CG801" s="232"/>
      <c r="CH801" s="232"/>
      <c r="CI801" s="232"/>
      <c r="CJ801" s="232"/>
      <c r="CK801" s="232"/>
      <c r="CL801" s="232"/>
      <c r="CM801" s="232"/>
      <c r="CN801" s="215"/>
      <c r="CO801" s="215"/>
      <c r="CP801" s="215"/>
      <c r="CQ801" s="215"/>
      <c r="CR801" s="215"/>
      <c r="CS801" s="215"/>
      <c r="CT801" s="215"/>
    </row>
    <row r="802" ht="24.0" customHeight="1">
      <c r="A802" s="287"/>
      <c r="B802" s="287"/>
      <c r="C802" s="287"/>
      <c r="D802" s="232"/>
      <c r="E802" s="232"/>
      <c r="F802" s="232"/>
      <c r="G802" s="232"/>
      <c r="H802" s="232"/>
      <c r="I802" s="232"/>
      <c r="J802" s="232"/>
      <c r="K802" s="232"/>
      <c r="L802" s="232"/>
      <c r="M802" s="232"/>
      <c r="N802" s="289"/>
      <c r="O802" s="232"/>
      <c r="P802" s="232"/>
      <c r="Q802" s="232"/>
      <c r="R802" s="232"/>
      <c r="S802" s="232"/>
      <c r="T802" s="232"/>
      <c r="U802" s="232"/>
      <c r="V802" s="232"/>
      <c r="W802" s="232"/>
      <c r="X802" s="232"/>
      <c r="Y802" s="232"/>
      <c r="Z802" s="232"/>
      <c r="AA802" s="232"/>
      <c r="AB802" s="232"/>
      <c r="AC802" s="232"/>
      <c r="AD802" s="232"/>
      <c r="AE802" s="232"/>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c r="BL802" s="232"/>
      <c r="BM802" s="232"/>
      <c r="BN802" s="232"/>
      <c r="BO802" s="232"/>
      <c r="BP802" s="232"/>
      <c r="BQ802" s="232"/>
      <c r="BR802" s="232"/>
      <c r="BS802" s="232"/>
      <c r="BT802" s="232"/>
      <c r="BU802" s="232"/>
      <c r="BV802" s="232"/>
      <c r="BW802" s="232"/>
      <c r="BX802" s="232"/>
      <c r="BY802" s="232"/>
      <c r="BZ802" s="232"/>
      <c r="CA802" s="232"/>
      <c r="CB802" s="232"/>
      <c r="CC802" s="232"/>
      <c r="CD802" s="232"/>
      <c r="CE802" s="232"/>
      <c r="CF802" s="232"/>
      <c r="CG802" s="232"/>
      <c r="CH802" s="232"/>
      <c r="CI802" s="232"/>
      <c r="CJ802" s="232"/>
      <c r="CK802" s="232"/>
      <c r="CL802" s="232"/>
      <c r="CM802" s="232"/>
      <c r="CN802" s="215"/>
      <c r="CO802" s="215"/>
      <c r="CP802" s="215"/>
      <c r="CQ802" s="215"/>
      <c r="CR802" s="215"/>
      <c r="CS802" s="215"/>
      <c r="CT802" s="215"/>
    </row>
    <row r="803" ht="24.0" customHeight="1">
      <c r="A803" s="287"/>
      <c r="B803" s="287"/>
      <c r="C803" s="287"/>
      <c r="D803" s="232"/>
      <c r="E803" s="232"/>
      <c r="F803" s="232"/>
      <c r="G803" s="232"/>
      <c r="H803" s="232"/>
      <c r="I803" s="232"/>
      <c r="J803" s="232"/>
      <c r="K803" s="232"/>
      <c r="L803" s="232"/>
      <c r="M803" s="232"/>
      <c r="N803" s="289"/>
      <c r="O803" s="232"/>
      <c r="P803" s="232"/>
      <c r="Q803" s="232"/>
      <c r="R803" s="232"/>
      <c r="S803" s="232"/>
      <c r="T803" s="232"/>
      <c r="U803" s="232"/>
      <c r="V803" s="232"/>
      <c r="W803" s="232"/>
      <c r="X803" s="232"/>
      <c r="Y803" s="232"/>
      <c r="Z803" s="232"/>
      <c r="AA803" s="232"/>
      <c r="AB803" s="232"/>
      <c r="AC803" s="232"/>
      <c r="AD803" s="232"/>
      <c r="AE803" s="232"/>
      <c r="AF803" s="232"/>
      <c r="AG803" s="232"/>
      <c r="AH803" s="232"/>
      <c r="AI803" s="232"/>
      <c r="AJ803" s="232"/>
      <c r="AK803" s="232"/>
      <c r="AL803" s="232"/>
      <c r="AM803" s="232"/>
      <c r="AN803" s="232"/>
      <c r="AO803" s="232"/>
      <c r="AP803" s="232"/>
      <c r="AQ803" s="232"/>
      <c r="AR803" s="232"/>
      <c r="AS803" s="232"/>
      <c r="AT803" s="232"/>
      <c r="AU803" s="232"/>
      <c r="AV803" s="232"/>
      <c r="AW803" s="232"/>
      <c r="AX803" s="232"/>
      <c r="AY803" s="232"/>
      <c r="AZ803" s="232"/>
      <c r="BA803" s="232"/>
      <c r="BB803" s="232"/>
      <c r="BC803" s="232"/>
      <c r="BD803" s="232"/>
      <c r="BE803" s="232"/>
      <c r="BF803" s="232"/>
      <c r="BG803" s="232"/>
      <c r="BH803" s="232"/>
      <c r="BI803" s="232"/>
      <c r="BJ803" s="232"/>
      <c r="BK803" s="232"/>
      <c r="BL803" s="232"/>
      <c r="BM803" s="232"/>
      <c r="BN803" s="232"/>
      <c r="BO803" s="232"/>
      <c r="BP803" s="232"/>
      <c r="BQ803" s="232"/>
      <c r="BR803" s="232"/>
      <c r="BS803" s="232"/>
      <c r="BT803" s="232"/>
      <c r="BU803" s="232"/>
      <c r="BV803" s="232"/>
      <c r="BW803" s="232"/>
      <c r="BX803" s="232"/>
      <c r="BY803" s="232"/>
      <c r="BZ803" s="232"/>
      <c r="CA803" s="232"/>
      <c r="CB803" s="232"/>
      <c r="CC803" s="232"/>
      <c r="CD803" s="232"/>
      <c r="CE803" s="232"/>
      <c r="CF803" s="232"/>
      <c r="CG803" s="232"/>
      <c r="CH803" s="232"/>
      <c r="CI803" s="232"/>
      <c r="CJ803" s="232"/>
      <c r="CK803" s="232"/>
      <c r="CL803" s="232"/>
      <c r="CM803" s="232"/>
      <c r="CN803" s="215"/>
      <c r="CO803" s="215"/>
      <c r="CP803" s="215"/>
      <c r="CQ803" s="215"/>
      <c r="CR803" s="215"/>
      <c r="CS803" s="215"/>
      <c r="CT803" s="215"/>
    </row>
    <row r="804" ht="24.0" customHeight="1">
      <c r="A804" s="287"/>
      <c r="B804" s="287"/>
      <c r="C804" s="287"/>
      <c r="D804" s="232"/>
      <c r="E804" s="232"/>
      <c r="F804" s="232"/>
      <c r="G804" s="232"/>
      <c r="H804" s="232"/>
      <c r="I804" s="232"/>
      <c r="J804" s="232"/>
      <c r="K804" s="232"/>
      <c r="L804" s="232"/>
      <c r="M804" s="232"/>
      <c r="N804" s="289"/>
      <c r="O804" s="232"/>
      <c r="P804" s="232"/>
      <c r="Q804" s="232"/>
      <c r="R804" s="232"/>
      <c r="S804" s="232"/>
      <c r="T804" s="232"/>
      <c r="U804" s="232"/>
      <c r="V804" s="232"/>
      <c r="W804" s="232"/>
      <c r="X804" s="232"/>
      <c r="Y804" s="232"/>
      <c r="Z804" s="232"/>
      <c r="AA804" s="232"/>
      <c r="AB804" s="232"/>
      <c r="AC804" s="232"/>
      <c r="AD804" s="232"/>
      <c r="AE804" s="232"/>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c r="BL804" s="232"/>
      <c r="BM804" s="232"/>
      <c r="BN804" s="232"/>
      <c r="BO804" s="232"/>
      <c r="BP804" s="232"/>
      <c r="BQ804" s="232"/>
      <c r="BR804" s="232"/>
      <c r="BS804" s="232"/>
      <c r="BT804" s="232"/>
      <c r="BU804" s="232"/>
      <c r="BV804" s="232"/>
      <c r="BW804" s="232"/>
      <c r="BX804" s="232"/>
      <c r="BY804" s="232"/>
      <c r="BZ804" s="232"/>
      <c r="CA804" s="232"/>
      <c r="CB804" s="232"/>
      <c r="CC804" s="232"/>
      <c r="CD804" s="232"/>
      <c r="CE804" s="232"/>
      <c r="CF804" s="232"/>
      <c r="CG804" s="232"/>
      <c r="CH804" s="232"/>
      <c r="CI804" s="232"/>
      <c r="CJ804" s="232"/>
      <c r="CK804" s="232"/>
      <c r="CL804" s="232"/>
      <c r="CM804" s="232"/>
      <c r="CN804" s="215"/>
      <c r="CO804" s="215"/>
      <c r="CP804" s="215"/>
      <c r="CQ804" s="215"/>
      <c r="CR804" s="215"/>
      <c r="CS804" s="215"/>
      <c r="CT804" s="215"/>
    </row>
    <row r="805" ht="24.0" customHeight="1">
      <c r="A805" s="287"/>
      <c r="B805" s="287"/>
      <c r="C805" s="287"/>
      <c r="D805" s="232"/>
      <c r="E805" s="232"/>
      <c r="F805" s="232"/>
      <c r="G805" s="232"/>
      <c r="H805" s="232"/>
      <c r="I805" s="232"/>
      <c r="J805" s="232"/>
      <c r="K805" s="232"/>
      <c r="L805" s="232"/>
      <c r="M805" s="232"/>
      <c r="N805" s="289"/>
      <c r="O805" s="232"/>
      <c r="P805" s="232"/>
      <c r="Q805" s="232"/>
      <c r="R805" s="232"/>
      <c r="S805" s="232"/>
      <c r="T805" s="232"/>
      <c r="U805" s="232"/>
      <c r="V805" s="232"/>
      <c r="W805" s="232"/>
      <c r="X805" s="232"/>
      <c r="Y805" s="232"/>
      <c r="Z805" s="232"/>
      <c r="AA805" s="232"/>
      <c r="AB805" s="232"/>
      <c r="AC805" s="232"/>
      <c r="AD805" s="232"/>
      <c r="AE805" s="232"/>
      <c r="AF805" s="232"/>
      <c r="AG805" s="232"/>
      <c r="AH805" s="232"/>
      <c r="AI805" s="232"/>
      <c r="AJ805" s="232"/>
      <c r="AK805" s="232"/>
      <c r="AL805" s="232"/>
      <c r="AM805" s="232"/>
      <c r="AN805" s="232"/>
      <c r="AO805" s="232"/>
      <c r="AP805" s="232"/>
      <c r="AQ805" s="232"/>
      <c r="AR805" s="232"/>
      <c r="AS805" s="232"/>
      <c r="AT805" s="232"/>
      <c r="AU805" s="232"/>
      <c r="AV805" s="232"/>
      <c r="AW805" s="232"/>
      <c r="AX805" s="232"/>
      <c r="AY805" s="232"/>
      <c r="AZ805" s="232"/>
      <c r="BA805" s="232"/>
      <c r="BB805" s="232"/>
      <c r="BC805" s="232"/>
      <c r="BD805" s="232"/>
      <c r="BE805" s="232"/>
      <c r="BF805" s="232"/>
      <c r="BG805" s="232"/>
      <c r="BH805" s="232"/>
      <c r="BI805" s="232"/>
      <c r="BJ805" s="232"/>
      <c r="BK805" s="232"/>
      <c r="BL805" s="232"/>
      <c r="BM805" s="232"/>
      <c r="BN805" s="232"/>
      <c r="BO805" s="232"/>
      <c r="BP805" s="232"/>
      <c r="BQ805" s="232"/>
      <c r="BR805" s="232"/>
      <c r="BS805" s="232"/>
      <c r="BT805" s="232"/>
      <c r="BU805" s="232"/>
      <c r="BV805" s="232"/>
      <c r="BW805" s="232"/>
      <c r="BX805" s="232"/>
      <c r="BY805" s="232"/>
      <c r="BZ805" s="232"/>
      <c r="CA805" s="232"/>
      <c r="CB805" s="232"/>
      <c r="CC805" s="232"/>
      <c r="CD805" s="232"/>
      <c r="CE805" s="232"/>
      <c r="CF805" s="232"/>
      <c r="CG805" s="232"/>
      <c r="CH805" s="232"/>
      <c r="CI805" s="232"/>
      <c r="CJ805" s="232"/>
      <c r="CK805" s="232"/>
      <c r="CL805" s="232"/>
      <c r="CM805" s="232"/>
      <c r="CN805" s="215"/>
      <c r="CO805" s="215"/>
      <c r="CP805" s="215"/>
      <c r="CQ805" s="215"/>
      <c r="CR805" s="215"/>
      <c r="CS805" s="215"/>
      <c r="CT805" s="215"/>
    </row>
    <row r="806" ht="24.0" customHeight="1">
      <c r="A806" s="287"/>
      <c r="B806" s="287"/>
      <c r="C806" s="287"/>
      <c r="D806" s="232"/>
      <c r="E806" s="232"/>
      <c r="F806" s="232"/>
      <c r="G806" s="232"/>
      <c r="H806" s="232"/>
      <c r="I806" s="232"/>
      <c r="J806" s="232"/>
      <c r="K806" s="232"/>
      <c r="L806" s="232"/>
      <c r="M806" s="232"/>
      <c r="N806" s="289"/>
      <c r="O806" s="232"/>
      <c r="P806" s="232"/>
      <c r="Q806" s="232"/>
      <c r="R806" s="232"/>
      <c r="S806" s="232"/>
      <c r="T806" s="232"/>
      <c r="U806" s="232"/>
      <c r="V806" s="232"/>
      <c r="W806" s="232"/>
      <c r="X806" s="232"/>
      <c r="Y806" s="232"/>
      <c r="Z806" s="232"/>
      <c r="AA806" s="232"/>
      <c r="AB806" s="232"/>
      <c r="AC806" s="232"/>
      <c r="AD806" s="232"/>
      <c r="AE806" s="232"/>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c r="BL806" s="232"/>
      <c r="BM806" s="232"/>
      <c r="BN806" s="232"/>
      <c r="BO806" s="232"/>
      <c r="BP806" s="232"/>
      <c r="BQ806" s="232"/>
      <c r="BR806" s="232"/>
      <c r="BS806" s="232"/>
      <c r="BT806" s="232"/>
      <c r="BU806" s="232"/>
      <c r="BV806" s="232"/>
      <c r="BW806" s="232"/>
      <c r="BX806" s="232"/>
      <c r="BY806" s="232"/>
      <c r="BZ806" s="232"/>
      <c r="CA806" s="232"/>
      <c r="CB806" s="232"/>
      <c r="CC806" s="232"/>
      <c r="CD806" s="232"/>
      <c r="CE806" s="232"/>
      <c r="CF806" s="232"/>
      <c r="CG806" s="232"/>
      <c r="CH806" s="232"/>
      <c r="CI806" s="232"/>
      <c r="CJ806" s="232"/>
      <c r="CK806" s="232"/>
      <c r="CL806" s="232"/>
      <c r="CM806" s="232"/>
      <c r="CN806" s="215"/>
      <c r="CO806" s="215"/>
      <c r="CP806" s="215"/>
      <c r="CQ806" s="215"/>
      <c r="CR806" s="215"/>
      <c r="CS806" s="215"/>
      <c r="CT806" s="215"/>
    </row>
    <row r="807" ht="24.0" customHeight="1">
      <c r="A807" s="287"/>
      <c r="B807" s="287"/>
      <c r="C807" s="287"/>
      <c r="D807" s="232"/>
      <c r="E807" s="232"/>
      <c r="F807" s="232"/>
      <c r="G807" s="232"/>
      <c r="H807" s="232"/>
      <c r="I807" s="232"/>
      <c r="J807" s="232"/>
      <c r="K807" s="232"/>
      <c r="L807" s="232"/>
      <c r="M807" s="232"/>
      <c r="N807" s="289"/>
      <c r="O807" s="232"/>
      <c r="P807" s="232"/>
      <c r="Q807" s="232"/>
      <c r="R807" s="232"/>
      <c r="S807" s="232"/>
      <c r="T807" s="232"/>
      <c r="U807" s="232"/>
      <c r="V807" s="232"/>
      <c r="W807" s="232"/>
      <c r="X807" s="232"/>
      <c r="Y807" s="232"/>
      <c r="Z807" s="232"/>
      <c r="AA807" s="232"/>
      <c r="AB807" s="232"/>
      <c r="AC807" s="232"/>
      <c r="AD807" s="232"/>
      <c r="AE807" s="232"/>
      <c r="AF807" s="232"/>
      <c r="AG807" s="232"/>
      <c r="AH807" s="232"/>
      <c r="AI807" s="232"/>
      <c r="AJ807" s="232"/>
      <c r="AK807" s="232"/>
      <c r="AL807" s="232"/>
      <c r="AM807" s="232"/>
      <c r="AN807" s="232"/>
      <c r="AO807" s="232"/>
      <c r="AP807" s="232"/>
      <c r="AQ807" s="232"/>
      <c r="AR807" s="232"/>
      <c r="AS807" s="232"/>
      <c r="AT807" s="232"/>
      <c r="AU807" s="232"/>
      <c r="AV807" s="232"/>
      <c r="AW807" s="232"/>
      <c r="AX807" s="232"/>
      <c r="AY807" s="232"/>
      <c r="AZ807" s="232"/>
      <c r="BA807" s="232"/>
      <c r="BB807" s="232"/>
      <c r="BC807" s="232"/>
      <c r="BD807" s="232"/>
      <c r="BE807" s="232"/>
      <c r="BF807" s="232"/>
      <c r="BG807" s="232"/>
      <c r="BH807" s="232"/>
      <c r="BI807" s="232"/>
      <c r="BJ807" s="232"/>
      <c r="BK807" s="232"/>
      <c r="BL807" s="232"/>
      <c r="BM807" s="232"/>
      <c r="BN807" s="232"/>
      <c r="BO807" s="232"/>
      <c r="BP807" s="232"/>
      <c r="BQ807" s="232"/>
      <c r="BR807" s="232"/>
      <c r="BS807" s="232"/>
      <c r="BT807" s="232"/>
      <c r="BU807" s="232"/>
      <c r="BV807" s="232"/>
      <c r="BW807" s="232"/>
      <c r="BX807" s="232"/>
      <c r="BY807" s="232"/>
      <c r="BZ807" s="232"/>
      <c r="CA807" s="232"/>
      <c r="CB807" s="232"/>
      <c r="CC807" s="232"/>
      <c r="CD807" s="232"/>
      <c r="CE807" s="232"/>
      <c r="CF807" s="232"/>
      <c r="CG807" s="232"/>
      <c r="CH807" s="232"/>
      <c r="CI807" s="232"/>
      <c r="CJ807" s="232"/>
      <c r="CK807" s="232"/>
      <c r="CL807" s="232"/>
      <c r="CM807" s="232"/>
      <c r="CN807" s="215"/>
      <c r="CO807" s="215"/>
      <c r="CP807" s="215"/>
      <c r="CQ807" s="215"/>
      <c r="CR807" s="215"/>
      <c r="CS807" s="215"/>
      <c r="CT807" s="215"/>
    </row>
    <row r="808" ht="24.0" customHeight="1">
      <c r="A808" s="287"/>
      <c r="B808" s="287"/>
      <c r="C808" s="287"/>
      <c r="D808" s="232"/>
      <c r="E808" s="232"/>
      <c r="F808" s="232"/>
      <c r="G808" s="232"/>
      <c r="H808" s="232"/>
      <c r="I808" s="232"/>
      <c r="J808" s="232"/>
      <c r="K808" s="232"/>
      <c r="L808" s="232"/>
      <c r="M808" s="232"/>
      <c r="N808" s="289"/>
      <c r="O808" s="232"/>
      <c r="P808" s="232"/>
      <c r="Q808" s="232"/>
      <c r="R808" s="232"/>
      <c r="S808" s="232"/>
      <c r="T808" s="232"/>
      <c r="U808" s="232"/>
      <c r="V808" s="232"/>
      <c r="W808" s="232"/>
      <c r="X808" s="232"/>
      <c r="Y808" s="232"/>
      <c r="Z808" s="232"/>
      <c r="AA808" s="232"/>
      <c r="AB808" s="232"/>
      <c r="AC808" s="232"/>
      <c r="AD808" s="232"/>
      <c r="AE808" s="232"/>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c r="BL808" s="232"/>
      <c r="BM808" s="232"/>
      <c r="BN808" s="232"/>
      <c r="BO808" s="232"/>
      <c r="BP808" s="232"/>
      <c r="BQ808" s="232"/>
      <c r="BR808" s="232"/>
      <c r="BS808" s="232"/>
      <c r="BT808" s="232"/>
      <c r="BU808" s="232"/>
      <c r="BV808" s="232"/>
      <c r="BW808" s="232"/>
      <c r="BX808" s="232"/>
      <c r="BY808" s="232"/>
      <c r="BZ808" s="232"/>
      <c r="CA808" s="232"/>
      <c r="CB808" s="232"/>
      <c r="CC808" s="232"/>
      <c r="CD808" s="232"/>
      <c r="CE808" s="232"/>
      <c r="CF808" s="232"/>
      <c r="CG808" s="232"/>
      <c r="CH808" s="232"/>
      <c r="CI808" s="232"/>
      <c r="CJ808" s="232"/>
      <c r="CK808" s="232"/>
      <c r="CL808" s="232"/>
      <c r="CM808" s="232"/>
      <c r="CN808" s="215"/>
      <c r="CO808" s="215"/>
      <c r="CP808" s="215"/>
      <c r="CQ808" s="215"/>
      <c r="CR808" s="215"/>
      <c r="CS808" s="215"/>
      <c r="CT808" s="215"/>
    </row>
    <row r="809" ht="24.0" customHeight="1">
      <c r="A809" s="287"/>
      <c r="B809" s="287"/>
      <c r="C809" s="287"/>
      <c r="D809" s="232"/>
      <c r="E809" s="232"/>
      <c r="F809" s="232"/>
      <c r="G809" s="232"/>
      <c r="H809" s="232"/>
      <c r="I809" s="232"/>
      <c r="J809" s="232"/>
      <c r="K809" s="232"/>
      <c r="L809" s="232"/>
      <c r="M809" s="232"/>
      <c r="N809" s="289"/>
      <c r="O809" s="232"/>
      <c r="P809" s="232"/>
      <c r="Q809" s="232"/>
      <c r="R809" s="232"/>
      <c r="S809" s="232"/>
      <c r="T809" s="232"/>
      <c r="U809" s="232"/>
      <c r="V809" s="232"/>
      <c r="W809" s="232"/>
      <c r="X809" s="232"/>
      <c r="Y809" s="232"/>
      <c r="Z809" s="232"/>
      <c r="AA809" s="232"/>
      <c r="AB809" s="232"/>
      <c r="AC809" s="232"/>
      <c r="AD809" s="232"/>
      <c r="AE809" s="232"/>
      <c r="AF809" s="232"/>
      <c r="AG809" s="232"/>
      <c r="AH809" s="232"/>
      <c r="AI809" s="232"/>
      <c r="AJ809" s="232"/>
      <c r="AK809" s="232"/>
      <c r="AL809" s="232"/>
      <c r="AM809" s="232"/>
      <c r="AN809" s="232"/>
      <c r="AO809" s="232"/>
      <c r="AP809" s="232"/>
      <c r="AQ809" s="232"/>
      <c r="AR809" s="232"/>
      <c r="AS809" s="232"/>
      <c r="AT809" s="232"/>
      <c r="AU809" s="232"/>
      <c r="AV809" s="232"/>
      <c r="AW809" s="232"/>
      <c r="AX809" s="232"/>
      <c r="AY809" s="232"/>
      <c r="AZ809" s="232"/>
      <c r="BA809" s="232"/>
      <c r="BB809" s="232"/>
      <c r="BC809" s="232"/>
      <c r="BD809" s="232"/>
      <c r="BE809" s="232"/>
      <c r="BF809" s="232"/>
      <c r="BG809" s="232"/>
      <c r="BH809" s="232"/>
      <c r="BI809" s="232"/>
      <c r="BJ809" s="232"/>
      <c r="BK809" s="232"/>
      <c r="BL809" s="232"/>
      <c r="BM809" s="232"/>
      <c r="BN809" s="232"/>
      <c r="BO809" s="232"/>
      <c r="BP809" s="232"/>
      <c r="BQ809" s="232"/>
      <c r="BR809" s="232"/>
      <c r="BS809" s="232"/>
      <c r="BT809" s="232"/>
      <c r="BU809" s="232"/>
      <c r="BV809" s="232"/>
      <c r="BW809" s="232"/>
      <c r="BX809" s="232"/>
      <c r="BY809" s="232"/>
      <c r="BZ809" s="232"/>
      <c r="CA809" s="232"/>
      <c r="CB809" s="232"/>
      <c r="CC809" s="232"/>
      <c r="CD809" s="232"/>
      <c r="CE809" s="232"/>
      <c r="CF809" s="232"/>
      <c r="CG809" s="232"/>
      <c r="CH809" s="232"/>
      <c r="CI809" s="232"/>
      <c r="CJ809" s="232"/>
      <c r="CK809" s="232"/>
      <c r="CL809" s="232"/>
      <c r="CM809" s="232"/>
      <c r="CN809" s="215"/>
      <c r="CO809" s="215"/>
      <c r="CP809" s="215"/>
      <c r="CQ809" s="215"/>
      <c r="CR809" s="215"/>
      <c r="CS809" s="215"/>
      <c r="CT809" s="215"/>
    </row>
    <row r="810" ht="24.0" customHeight="1">
      <c r="A810" s="287"/>
      <c r="B810" s="287"/>
      <c r="C810" s="287"/>
      <c r="D810" s="232"/>
      <c r="E810" s="232"/>
      <c r="F810" s="232"/>
      <c r="G810" s="232"/>
      <c r="H810" s="232"/>
      <c r="I810" s="232"/>
      <c r="J810" s="232"/>
      <c r="K810" s="232"/>
      <c r="L810" s="232"/>
      <c r="M810" s="232"/>
      <c r="N810" s="289"/>
      <c r="O810" s="232"/>
      <c r="P810" s="232"/>
      <c r="Q810" s="232"/>
      <c r="R810" s="232"/>
      <c r="S810" s="232"/>
      <c r="T810" s="232"/>
      <c r="U810" s="232"/>
      <c r="V810" s="232"/>
      <c r="W810" s="232"/>
      <c r="X810" s="232"/>
      <c r="Y810" s="232"/>
      <c r="Z810" s="232"/>
      <c r="AA810" s="232"/>
      <c r="AB810" s="232"/>
      <c r="AC810" s="232"/>
      <c r="AD810" s="232"/>
      <c r="AE810" s="232"/>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c r="BL810" s="232"/>
      <c r="BM810" s="232"/>
      <c r="BN810" s="232"/>
      <c r="BO810" s="232"/>
      <c r="BP810" s="232"/>
      <c r="BQ810" s="232"/>
      <c r="BR810" s="232"/>
      <c r="BS810" s="232"/>
      <c r="BT810" s="232"/>
      <c r="BU810" s="232"/>
      <c r="BV810" s="232"/>
      <c r="BW810" s="232"/>
      <c r="BX810" s="232"/>
      <c r="BY810" s="232"/>
      <c r="BZ810" s="232"/>
      <c r="CA810" s="232"/>
      <c r="CB810" s="232"/>
      <c r="CC810" s="232"/>
      <c r="CD810" s="232"/>
      <c r="CE810" s="232"/>
      <c r="CF810" s="232"/>
      <c r="CG810" s="232"/>
      <c r="CH810" s="232"/>
      <c r="CI810" s="232"/>
      <c r="CJ810" s="232"/>
      <c r="CK810" s="232"/>
      <c r="CL810" s="232"/>
      <c r="CM810" s="232"/>
      <c r="CN810" s="215"/>
      <c r="CO810" s="215"/>
      <c r="CP810" s="215"/>
      <c r="CQ810" s="215"/>
      <c r="CR810" s="215"/>
      <c r="CS810" s="215"/>
      <c r="CT810" s="215"/>
    </row>
    <row r="811" ht="24.0" customHeight="1">
      <c r="A811" s="287"/>
      <c r="B811" s="287"/>
      <c r="C811" s="287"/>
      <c r="D811" s="232"/>
      <c r="E811" s="232"/>
      <c r="F811" s="232"/>
      <c r="G811" s="232"/>
      <c r="H811" s="232"/>
      <c r="I811" s="232"/>
      <c r="J811" s="232"/>
      <c r="K811" s="232"/>
      <c r="L811" s="232"/>
      <c r="M811" s="232"/>
      <c r="N811" s="289"/>
      <c r="O811" s="232"/>
      <c r="P811" s="232"/>
      <c r="Q811" s="232"/>
      <c r="R811" s="232"/>
      <c r="S811" s="232"/>
      <c r="T811" s="232"/>
      <c r="U811" s="232"/>
      <c r="V811" s="232"/>
      <c r="W811" s="232"/>
      <c r="X811" s="232"/>
      <c r="Y811" s="232"/>
      <c r="Z811" s="232"/>
      <c r="AA811" s="232"/>
      <c r="AB811" s="232"/>
      <c r="AC811" s="232"/>
      <c r="AD811" s="232"/>
      <c r="AE811" s="232"/>
      <c r="AF811" s="232"/>
      <c r="AG811" s="232"/>
      <c r="AH811" s="232"/>
      <c r="AI811" s="232"/>
      <c r="AJ811" s="232"/>
      <c r="AK811" s="232"/>
      <c r="AL811" s="232"/>
      <c r="AM811" s="232"/>
      <c r="AN811" s="232"/>
      <c r="AO811" s="232"/>
      <c r="AP811" s="232"/>
      <c r="AQ811" s="232"/>
      <c r="AR811" s="232"/>
      <c r="AS811" s="232"/>
      <c r="AT811" s="232"/>
      <c r="AU811" s="232"/>
      <c r="AV811" s="232"/>
      <c r="AW811" s="232"/>
      <c r="AX811" s="232"/>
      <c r="AY811" s="232"/>
      <c r="AZ811" s="232"/>
      <c r="BA811" s="232"/>
      <c r="BB811" s="232"/>
      <c r="BC811" s="232"/>
      <c r="BD811" s="232"/>
      <c r="BE811" s="232"/>
      <c r="BF811" s="232"/>
      <c r="BG811" s="232"/>
      <c r="BH811" s="232"/>
      <c r="BI811" s="232"/>
      <c r="BJ811" s="232"/>
      <c r="BK811" s="232"/>
      <c r="BL811" s="232"/>
      <c r="BM811" s="232"/>
      <c r="BN811" s="232"/>
      <c r="BO811" s="232"/>
      <c r="BP811" s="232"/>
      <c r="BQ811" s="232"/>
      <c r="BR811" s="232"/>
      <c r="BS811" s="232"/>
      <c r="BT811" s="232"/>
      <c r="BU811" s="232"/>
      <c r="BV811" s="232"/>
      <c r="BW811" s="232"/>
      <c r="BX811" s="232"/>
      <c r="BY811" s="232"/>
      <c r="BZ811" s="232"/>
      <c r="CA811" s="232"/>
      <c r="CB811" s="232"/>
      <c r="CC811" s="232"/>
      <c r="CD811" s="232"/>
      <c r="CE811" s="232"/>
      <c r="CF811" s="232"/>
      <c r="CG811" s="232"/>
      <c r="CH811" s="232"/>
      <c r="CI811" s="232"/>
      <c r="CJ811" s="232"/>
      <c r="CK811" s="232"/>
      <c r="CL811" s="232"/>
      <c r="CM811" s="232"/>
      <c r="CN811" s="215"/>
      <c r="CO811" s="215"/>
      <c r="CP811" s="215"/>
      <c r="CQ811" s="215"/>
      <c r="CR811" s="215"/>
      <c r="CS811" s="215"/>
      <c r="CT811" s="215"/>
    </row>
    <row r="812" ht="24.0" customHeight="1">
      <c r="A812" s="287"/>
      <c r="B812" s="287"/>
      <c r="C812" s="287"/>
      <c r="D812" s="232"/>
      <c r="E812" s="232"/>
      <c r="F812" s="232"/>
      <c r="G812" s="232"/>
      <c r="H812" s="232"/>
      <c r="I812" s="232"/>
      <c r="J812" s="232"/>
      <c r="K812" s="232"/>
      <c r="L812" s="232"/>
      <c r="M812" s="232"/>
      <c r="N812" s="289"/>
      <c r="O812" s="232"/>
      <c r="P812" s="232"/>
      <c r="Q812" s="232"/>
      <c r="R812" s="232"/>
      <c r="S812" s="232"/>
      <c r="T812" s="232"/>
      <c r="U812" s="232"/>
      <c r="V812" s="232"/>
      <c r="W812" s="232"/>
      <c r="X812" s="232"/>
      <c r="Y812" s="232"/>
      <c r="Z812" s="232"/>
      <c r="AA812" s="232"/>
      <c r="AB812" s="232"/>
      <c r="AC812" s="232"/>
      <c r="AD812" s="232"/>
      <c r="AE812" s="232"/>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c r="BL812" s="232"/>
      <c r="BM812" s="232"/>
      <c r="BN812" s="232"/>
      <c r="BO812" s="232"/>
      <c r="BP812" s="232"/>
      <c r="BQ812" s="232"/>
      <c r="BR812" s="232"/>
      <c r="BS812" s="232"/>
      <c r="BT812" s="232"/>
      <c r="BU812" s="232"/>
      <c r="BV812" s="232"/>
      <c r="BW812" s="232"/>
      <c r="BX812" s="232"/>
      <c r="BY812" s="232"/>
      <c r="BZ812" s="232"/>
      <c r="CA812" s="232"/>
      <c r="CB812" s="232"/>
      <c r="CC812" s="232"/>
      <c r="CD812" s="232"/>
      <c r="CE812" s="232"/>
      <c r="CF812" s="232"/>
      <c r="CG812" s="232"/>
      <c r="CH812" s="232"/>
      <c r="CI812" s="232"/>
      <c r="CJ812" s="232"/>
      <c r="CK812" s="232"/>
      <c r="CL812" s="232"/>
      <c r="CM812" s="232"/>
      <c r="CN812" s="215"/>
      <c r="CO812" s="215"/>
      <c r="CP812" s="215"/>
      <c r="CQ812" s="215"/>
      <c r="CR812" s="215"/>
      <c r="CS812" s="215"/>
      <c r="CT812" s="215"/>
    </row>
    <row r="813" ht="24.0" customHeight="1">
      <c r="A813" s="287"/>
      <c r="B813" s="287"/>
      <c r="C813" s="287"/>
      <c r="D813" s="232"/>
      <c r="E813" s="232"/>
      <c r="F813" s="232"/>
      <c r="G813" s="232"/>
      <c r="H813" s="232"/>
      <c r="I813" s="232"/>
      <c r="J813" s="232"/>
      <c r="K813" s="232"/>
      <c r="L813" s="232"/>
      <c r="M813" s="232"/>
      <c r="N813" s="289"/>
      <c r="O813" s="232"/>
      <c r="P813" s="232"/>
      <c r="Q813" s="232"/>
      <c r="R813" s="232"/>
      <c r="S813" s="232"/>
      <c r="T813" s="232"/>
      <c r="U813" s="232"/>
      <c r="V813" s="232"/>
      <c r="W813" s="232"/>
      <c r="X813" s="232"/>
      <c r="Y813" s="232"/>
      <c r="Z813" s="232"/>
      <c r="AA813" s="232"/>
      <c r="AB813" s="232"/>
      <c r="AC813" s="232"/>
      <c r="AD813" s="232"/>
      <c r="AE813" s="232"/>
      <c r="AF813" s="232"/>
      <c r="AG813" s="232"/>
      <c r="AH813" s="232"/>
      <c r="AI813" s="232"/>
      <c r="AJ813" s="232"/>
      <c r="AK813" s="232"/>
      <c r="AL813" s="232"/>
      <c r="AM813" s="232"/>
      <c r="AN813" s="232"/>
      <c r="AO813" s="232"/>
      <c r="AP813" s="232"/>
      <c r="AQ813" s="232"/>
      <c r="AR813" s="232"/>
      <c r="AS813" s="232"/>
      <c r="AT813" s="232"/>
      <c r="AU813" s="232"/>
      <c r="AV813" s="232"/>
      <c r="AW813" s="232"/>
      <c r="AX813" s="232"/>
      <c r="AY813" s="232"/>
      <c r="AZ813" s="232"/>
      <c r="BA813" s="232"/>
      <c r="BB813" s="232"/>
      <c r="BC813" s="232"/>
      <c r="BD813" s="232"/>
      <c r="BE813" s="232"/>
      <c r="BF813" s="232"/>
      <c r="BG813" s="232"/>
      <c r="BH813" s="232"/>
      <c r="BI813" s="232"/>
      <c r="BJ813" s="232"/>
      <c r="BK813" s="232"/>
      <c r="BL813" s="232"/>
      <c r="BM813" s="232"/>
      <c r="BN813" s="232"/>
      <c r="BO813" s="232"/>
      <c r="BP813" s="232"/>
      <c r="BQ813" s="232"/>
      <c r="BR813" s="232"/>
      <c r="BS813" s="232"/>
      <c r="BT813" s="232"/>
      <c r="BU813" s="232"/>
      <c r="BV813" s="232"/>
      <c r="BW813" s="232"/>
      <c r="BX813" s="232"/>
      <c r="BY813" s="232"/>
      <c r="BZ813" s="232"/>
      <c r="CA813" s="232"/>
      <c r="CB813" s="232"/>
      <c r="CC813" s="232"/>
      <c r="CD813" s="232"/>
      <c r="CE813" s="232"/>
      <c r="CF813" s="232"/>
      <c r="CG813" s="232"/>
      <c r="CH813" s="232"/>
      <c r="CI813" s="232"/>
      <c r="CJ813" s="232"/>
      <c r="CK813" s="232"/>
      <c r="CL813" s="232"/>
      <c r="CM813" s="232"/>
      <c r="CN813" s="215"/>
      <c r="CO813" s="215"/>
      <c r="CP813" s="215"/>
      <c r="CQ813" s="215"/>
      <c r="CR813" s="215"/>
      <c r="CS813" s="215"/>
      <c r="CT813" s="215"/>
    </row>
    <row r="814" ht="24.0" customHeight="1">
      <c r="A814" s="287"/>
      <c r="B814" s="287"/>
      <c r="C814" s="287"/>
      <c r="D814" s="232"/>
      <c r="E814" s="232"/>
      <c r="F814" s="232"/>
      <c r="G814" s="232"/>
      <c r="H814" s="232"/>
      <c r="I814" s="232"/>
      <c r="J814" s="232"/>
      <c r="K814" s="232"/>
      <c r="L814" s="232"/>
      <c r="M814" s="232"/>
      <c r="N814" s="289"/>
      <c r="O814" s="232"/>
      <c r="P814" s="232"/>
      <c r="Q814" s="232"/>
      <c r="R814" s="232"/>
      <c r="S814" s="232"/>
      <c r="T814" s="232"/>
      <c r="U814" s="232"/>
      <c r="V814" s="232"/>
      <c r="W814" s="232"/>
      <c r="X814" s="232"/>
      <c r="Y814" s="232"/>
      <c r="Z814" s="232"/>
      <c r="AA814" s="232"/>
      <c r="AB814" s="232"/>
      <c r="AC814" s="232"/>
      <c r="AD814" s="232"/>
      <c r="AE814" s="232"/>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c r="BL814" s="232"/>
      <c r="BM814" s="232"/>
      <c r="BN814" s="232"/>
      <c r="BO814" s="232"/>
      <c r="BP814" s="232"/>
      <c r="BQ814" s="232"/>
      <c r="BR814" s="232"/>
      <c r="BS814" s="232"/>
      <c r="BT814" s="232"/>
      <c r="BU814" s="232"/>
      <c r="BV814" s="232"/>
      <c r="BW814" s="232"/>
      <c r="BX814" s="232"/>
      <c r="BY814" s="232"/>
      <c r="BZ814" s="232"/>
      <c r="CA814" s="232"/>
      <c r="CB814" s="232"/>
      <c r="CC814" s="232"/>
      <c r="CD814" s="232"/>
      <c r="CE814" s="232"/>
      <c r="CF814" s="232"/>
      <c r="CG814" s="232"/>
      <c r="CH814" s="232"/>
      <c r="CI814" s="232"/>
      <c r="CJ814" s="232"/>
      <c r="CK814" s="232"/>
      <c r="CL814" s="232"/>
      <c r="CM814" s="232"/>
      <c r="CN814" s="215"/>
      <c r="CO814" s="215"/>
      <c r="CP814" s="215"/>
      <c r="CQ814" s="215"/>
      <c r="CR814" s="215"/>
      <c r="CS814" s="215"/>
      <c r="CT814" s="215"/>
    </row>
    <row r="815" ht="24.0" customHeight="1">
      <c r="A815" s="287"/>
      <c r="B815" s="287"/>
      <c r="C815" s="287"/>
      <c r="D815" s="232"/>
      <c r="E815" s="232"/>
      <c r="F815" s="232"/>
      <c r="G815" s="232"/>
      <c r="H815" s="232"/>
      <c r="I815" s="232"/>
      <c r="J815" s="232"/>
      <c r="K815" s="232"/>
      <c r="L815" s="232"/>
      <c r="M815" s="232"/>
      <c r="N815" s="289"/>
      <c r="O815" s="232"/>
      <c r="P815" s="232"/>
      <c r="Q815" s="232"/>
      <c r="R815" s="232"/>
      <c r="S815" s="232"/>
      <c r="T815" s="232"/>
      <c r="U815" s="232"/>
      <c r="V815" s="232"/>
      <c r="W815" s="232"/>
      <c r="X815" s="232"/>
      <c r="Y815" s="232"/>
      <c r="Z815" s="232"/>
      <c r="AA815" s="232"/>
      <c r="AB815" s="232"/>
      <c r="AC815" s="232"/>
      <c r="AD815" s="232"/>
      <c r="AE815" s="232"/>
      <c r="AF815" s="232"/>
      <c r="AG815" s="232"/>
      <c r="AH815" s="232"/>
      <c r="AI815" s="232"/>
      <c r="AJ815" s="232"/>
      <c r="AK815" s="232"/>
      <c r="AL815" s="232"/>
      <c r="AM815" s="232"/>
      <c r="AN815" s="232"/>
      <c r="AO815" s="232"/>
      <c r="AP815" s="232"/>
      <c r="AQ815" s="232"/>
      <c r="AR815" s="232"/>
      <c r="AS815" s="232"/>
      <c r="AT815" s="232"/>
      <c r="AU815" s="232"/>
      <c r="AV815" s="232"/>
      <c r="AW815" s="232"/>
      <c r="AX815" s="232"/>
      <c r="AY815" s="232"/>
      <c r="AZ815" s="232"/>
      <c r="BA815" s="232"/>
      <c r="BB815" s="232"/>
      <c r="BC815" s="232"/>
      <c r="BD815" s="232"/>
      <c r="BE815" s="232"/>
      <c r="BF815" s="232"/>
      <c r="BG815" s="232"/>
      <c r="BH815" s="232"/>
      <c r="BI815" s="232"/>
      <c r="BJ815" s="232"/>
      <c r="BK815" s="232"/>
      <c r="BL815" s="232"/>
      <c r="BM815" s="232"/>
      <c r="BN815" s="232"/>
      <c r="BO815" s="232"/>
      <c r="BP815" s="232"/>
      <c r="BQ815" s="232"/>
      <c r="BR815" s="232"/>
      <c r="BS815" s="232"/>
      <c r="BT815" s="232"/>
      <c r="BU815" s="232"/>
      <c r="BV815" s="232"/>
      <c r="BW815" s="232"/>
      <c r="BX815" s="232"/>
      <c r="BY815" s="232"/>
      <c r="BZ815" s="232"/>
      <c r="CA815" s="232"/>
      <c r="CB815" s="232"/>
      <c r="CC815" s="232"/>
      <c r="CD815" s="232"/>
      <c r="CE815" s="232"/>
      <c r="CF815" s="232"/>
      <c r="CG815" s="232"/>
      <c r="CH815" s="232"/>
      <c r="CI815" s="232"/>
      <c r="CJ815" s="232"/>
      <c r="CK815" s="232"/>
      <c r="CL815" s="232"/>
      <c r="CM815" s="232"/>
      <c r="CN815" s="215"/>
      <c r="CO815" s="215"/>
      <c r="CP815" s="215"/>
      <c r="CQ815" s="215"/>
      <c r="CR815" s="215"/>
      <c r="CS815" s="215"/>
      <c r="CT815" s="215"/>
    </row>
    <row r="816" ht="24.0" customHeight="1">
      <c r="A816" s="287"/>
      <c r="B816" s="287"/>
      <c r="C816" s="287"/>
      <c r="D816" s="232"/>
      <c r="E816" s="232"/>
      <c r="F816" s="232"/>
      <c r="G816" s="232"/>
      <c r="H816" s="232"/>
      <c r="I816" s="232"/>
      <c r="J816" s="232"/>
      <c r="K816" s="232"/>
      <c r="L816" s="232"/>
      <c r="M816" s="232"/>
      <c r="N816" s="289"/>
      <c r="O816" s="232"/>
      <c r="P816" s="232"/>
      <c r="Q816" s="232"/>
      <c r="R816" s="232"/>
      <c r="S816" s="232"/>
      <c r="T816" s="232"/>
      <c r="U816" s="232"/>
      <c r="V816" s="232"/>
      <c r="W816" s="232"/>
      <c r="X816" s="232"/>
      <c r="Y816" s="232"/>
      <c r="Z816" s="232"/>
      <c r="AA816" s="232"/>
      <c r="AB816" s="232"/>
      <c r="AC816" s="232"/>
      <c r="AD816" s="232"/>
      <c r="AE816" s="232"/>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c r="BL816" s="232"/>
      <c r="BM816" s="232"/>
      <c r="BN816" s="232"/>
      <c r="BO816" s="232"/>
      <c r="BP816" s="232"/>
      <c r="BQ816" s="232"/>
      <c r="BR816" s="232"/>
      <c r="BS816" s="232"/>
      <c r="BT816" s="232"/>
      <c r="BU816" s="232"/>
      <c r="BV816" s="232"/>
      <c r="BW816" s="232"/>
      <c r="BX816" s="232"/>
      <c r="BY816" s="232"/>
      <c r="BZ816" s="232"/>
      <c r="CA816" s="232"/>
      <c r="CB816" s="232"/>
      <c r="CC816" s="232"/>
      <c r="CD816" s="232"/>
      <c r="CE816" s="232"/>
      <c r="CF816" s="232"/>
      <c r="CG816" s="232"/>
      <c r="CH816" s="232"/>
      <c r="CI816" s="232"/>
      <c r="CJ816" s="232"/>
      <c r="CK816" s="232"/>
      <c r="CL816" s="232"/>
      <c r="CM816" s="232"/>
      <c r="CN816" s="215"/>
      <c r="CO816" s="215"/>
      <c r="CP816" s="215"/>
      <c r="CQ816" s="215"/>
      <c r="CR816" s="215"/>
      <c r="CS816" s="215"/>
      <c r="CT816" s="215"/>
    </row>
    <row r="817" ht="24.0" customHeight="1">
      <c r="A817" s="287"/>
      <c r="B817" s="287"/>
      <c r="C817" s="287"/>
      <c r="D817" s="232"/>
      <c r="E817" s="232"/>
      <c r="F817" s="232"/>
      <c r="G817" s="232"/>
      <c r="H817" s="232"/>
      <c r="I817" s="232"/>
      <c r="J817" s="232"/>
      <c r="K817" s="232"/>
      <c r="L817" s="232"/>
      <c r="M817" s="232"/>
      <c r="N817" s="289"/>
      <c r="O817" s="232"/>
      <c r="P817" s="232"/>
      <c r="Q817" s="232"/>
      <c r="R817" s="232"/>
      <c r="S817" s="232"/>
      <c r="T817" s="232"/>
      <c r="U817" s="232"/>
      <c r="V817" s="232"/>
      <c r="W817" s="232"/>
      <c r="X817" s="232"/>
      <c r="Y817" s="232"/>
      <c r="Z817" s="232"/>
      <c r="AA817" s="232"/>
      <c r="AB817" s="232"/>
      <c r="AC817" s="232"/>
      <c r="AD817" s="232"/>
      <c r="AE817" s="232"/>
      <c r="AF817" s="232"/>
      <c r="AG817" s="232"/>
      <c r="AH817" s="232"/>
      <c r="AI817" s="232"/>
      <c r="AJ817" s="232"/>
      <c r="AK817" s="232"/>
      <c r="AL817" s="232"/>
      <c r="AM817" s="232"/>
      <c r="AN817" s="232"/>
      <c r="AO817" s="232"/>
      <c r="AP817" s="232"/>
      <c r="AQ817" s="232"/>
      <c r="AR817" s="232"/>
      <c r="AS817" s="232"/>
      <c r="AT817" s="232"/>
      <c r="AU817" s="232"/>
      <c r="AV817" s="232"/>
      <c r="AW817" s="232"/>
      <c r="AX817" s="232"/>
      <c r="AY817" s="232"/>
      <c r="AZ817" s="232"/>
      <c r="BA817" s="232"/>
      <c r="BB817" s="232"/>
      <c r="BC817" s="232"/>
      <c r="BD817" s="232"/>
      <c r="BE817" s="232"/>
      <c r="BF817" s="232"/>
      <c r="BG817" s="232"/>
      <c r="BH817" s="232"/>
      <c r="BI817" s="232"/>
      <c r="BJ817" s="232"/>
      <c r="BK817" s="232"/>
      <c r="BL817" s="232"/>
      <c r="BM817" s="232"/>
      <c r="BN817" s="232"/>
      <c r="BO817" s="232"/>
      <c r="BP817" s="232"/>
      <c r="BQ817" s="232"/>
      <c r="BR817" s="232"/>
      <c r="BS817" s="232"/>
      <c r="BT817" s="232"/>
      <c r="BU817" s="232"/>
      <c r="BV817" s="232"/>
      <c r="BW817" s="232"/>
      <c r="BX817" s="232"/>
      <c r="BY817" s="232"/>
      <c r="BZ817" s="232"/>
      <c r="CA817" s="232"/>
      <c r="CB817" s="232"/>
      <c r="CC817" s="232"/>
      <c r="CD817" s="232"/>
      <c r="CE817" s="232"/>
      <c r="CF817" s="232"/>
      <c r="CG817" s="232"/>
      <c r="CH817" s="232"/>
      <c r="CI817" s="232"/>
      <c r="CJ817" s="232"/>
      <c r="CK817" s="232"/>
      <c r="CL817" s="232"/>
      <c r="CM817" s="232"/>
      <c r="CN817" s="215"/>
      <c r="CO817" s="215"/>
      <c r="CP817" s="215"/>
      <c r="CQ817" s="215"/>
      <c r="CR817" s="215"/>
      <c r="CS817" s="215"/>
      <c r="CT817" s="215"/>
    </row>
    <row r="818" ht="24.0" customHeight="1">
      <c r="A818" s="287"/>
      <c r="B818" s="287"/>
      <c r="C818" s="287"/>
      <c r="D818" s="232"/>
      <c r="E818" s="232"/>
      <c r="F818" s="232"/>
      <c r="G818" s="232"/>
      <c r="H818" s="232"/>
      <c r="I818" s="232"/>
      <c r="J818" s="232"/>
      <c r="K818" s="232"/>
      <c r="L818" s="232"/>
      <c r="M818" s="232"/>
      <c r="N818" s="289"/>
      <c r="O818" s="232"/>
      <c r="P818" s="232"/>
      <c r="Q818" s="232"/>
      <c r="R818" s="232"/>
      <c r="S818" s="232"/>
      <c r="T818" s="232"/>
      <c r="U818" s="232"/>
      <c r="V818" s="232"/>
      <c r="W818" s="232"/>
      <c r="X818" s="232"/>
      <c r="Y818" s="232"/>
      <c r="Z818" s="232"/>
      <c r="AA818" s="232"/>
      <c r="AB818" s="232"/>
      <c r="AC818" s="232"/>
      <c r="AD818" s="232"/>
      <c r="AE818" s="232"/>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c r="BL818" s="232"/>
      <c r="BM818" s="232"/>
      <c r="BN818" s="232"/>
      <c r="BO818" s="232"/>
      <c r="BP818" s="232"/>
      <c r="BQ818" s="232"/>
      <c r="BR818" s="232"/>
      <c r="BS818" s="232"/>
      <c r="BT818" s="232"/>
      <c r="BU818" s="232"/>
      <c r="BV818" s="232"/>
      <c r="BW818" s="232"/>
      <c r="BX818" s="232"/>
      <c r="BY818" s="232"/>
      <c r="BZ818" s="232"/>
      <c r="CA818" s="232"/>
      <c r="CB818" s="232"/>
      <c r="CC818" s="232"/>
      <c r="CD818" s="232"/>
      <c r="CE818" s="232"/>
      <c r="CF818" s="232"/>
      <c r="CG818" s="232"/>
      <c r="CH818" s="232"/>
      <c r="CI818" s="232"/>
      <c r="CJ818" s="232"/>
      <c r="CK818" s="232"/>
      <c r="CL818" s="232"/>
      <c r="CM818" s="232"/>
      <c r="CN818" s="215"/>
      <c r="CO818" s="215"/>
      <c r="CP818" s="215"/>
      <c r="CQ818" s="215"/>
      <c r="CR818" s="215"/>
      <c r="CS818" s="215"/>
      <c r="CT818" s="215"/>
    </row>
    <row r="819" ht="24.0" customHeight="1">
      <c r="A819" s="287"/>
      <c r="B819" s="287"/>
      <c r="C819" s="287"/>
      <c r="D819" s="232"/>
      <c r="E819" s="232"/>
      <c r="F819" s="232"/>
      <c r="G819" s="232"/>
      <c r="H819" s="232"/>
      <c r="I819" s="232"/>
      <c r="J819" s="232"/>
      <c r="K819" s="232"/>
      <c r="L819" s="232"/>
      <c r="M819" s="232"/>
      <c r="N819" s="289"/>
      <c r="O819" s="232"/>
      <c r="P819" s="232"/>
      <c r="Q819" s="232"/>
      <c r="R819" s="232"/>
      <c r="S819" s="232"/>
      <c r="T819" s="232"/>
      <c r="U819" s="232"/>
      <c r="V819" s="232"/>
      <c r="W819" s="232"/>
      <c r="X819" s="232"/>
      <c r="Y819" s="232"/>
      <c r="Z819" s="232"/>
      <c r="AA819" s="232"/>
      <c r="AB819" s="232"/>
      <c r="AC819" s="232"/>
      <c r="AD819" s="232"/>
      <c r="AE819" s="232"/>
      <c r="AF819" s="232"/>
      <c r="AG819" s="232"/>
      <c r="AH819" s="232"/>
      <c r="AI819" s="232"/>
      <c r="AJ819" s="232"/>
      <c r="AK819" s="232"/>
      <c r="AL819" s="232"/>
      <c r="AM819" s="232"/>
      <c r="AN819" s="232"/>
      <c r="AO819" s="232"/>
      <c r="AP819" s="232"/>
      <c r="AQ819" s="232"/>
      <c r="AR819" s="232"/>
      <c r="AS819" s="232"/>
      <c r="AT819" s="232"/>
      <c r="AU819" s="232"/>
      <c r="AV819" s="232"/>
      <c r="AW819" s="232"/>
      <c r="AX819" s="232"/>
      <c r="AY819" s="232"/>
      <c r="AZ819" s="232"/>
      <c r="BA819" s="232"/>
      <c r="BB819" s="232"/>
      <c r="BC819" s="232"/>
      <c r="BD819" s="232"/>
      <c r="BE819" s="232"/>
      <c r="BF819" s="232"/>
      <c r="BG819" s="232"/>
      <c r="BH819" s="232"/>
      <c r="BI819" s="232"/>
      <c r="BJ819" s="232"/>
      <c r="BK819" s="232"/>
      <c r="BL819" s="232"/>
      <c r="BM819" s="232"/>
      <c r="BN819" s="232"/>
      <c r="BO819" s="232"/>
      <c r="BP819" s="232"/>
      <c r="BQ819" s="232"/>
      <c r="BR819" s="232"/>
      <c r="BS819" s="232"/>
      <c r="BT819" s="232"/>
      <c r="BU819" s="232"/>
      <c r="BV819" s="232"/>
      <c r="BW819" s="232"/>
      <c r="BX819" s="232"/>
      <c r="BY819" s="232"/>
      <c r="BZ819" s="232"/>
      <c r="CA819" s="232"/>
      <c r="CB819" s="232"/>
      <c r="CC819" s="232"/>
      <c r="CD819" s="232"/>
      <c r="CE819" s="232"/>
      <c r="CF819" s="232"/>
      <c r="CG819" s="232"/>
      <c r="CH819" s="232"/>
      <c r="CI819" s="232"/>
      <c r="CJ819" s="232"/>
      <c r="CK819" s="232"/>
      <c r="CL819" s="232"/>
      <c r="CM819" s="232"/>
      <c r="CN819" s="215"/>
      <c r="CO819" s="215"/>
      <c r="CP819" s="215"/>
      <c r="CQ819" s="215"/>
      <c r="CR819" s="215"/>
      <c r="CS819" s="215"/>
      <c r="CT819" s="215"/>
    </row>
    <row r="820" ht="24.0" customHeight="1">
      <c r="A820" s="287"/>
      <c r="B820" s="287"/>
      <c r="C820" s="287"/>
      <c r="D820" s="232"/>
      <c r="E820" s="232"/>
      <c r="F820" s="232"/>
      <c r="G820" s="232"/>
      <c r="H820" s="232"/>
      <c r="I820" s="232"/>
      <c r="J820" s="232"/>
      <c r="K820" s="232"/>
      <c r="L820" s="232"/>
      <c r="M820" s="232"/>
      <c r="N820" s="289"/>
      <c r="O820" s="232"/>
      <c r="P820" s="232"/>
      <c r="Q820" s="232"/>
      <c r="R820" s="232"/>
      <c r="S820" s="232"/>
      <c r="T820" s="232"/>
      <c r="U820" s="232"/>
      <c r="V820" s="232"/>
      <c r="W820" s="232"/>
      <c r="X820" s="232"/>
      <c r="Y820" s="232"/>
      <c r="Z820" s="232"/>
      <c r="AA820" s="232"/>
      <c r="AB820" s="232"/>
      <c r="AC820" s="232"/>
      <c r="AD820" s="232"/>
      <c r="AE820" s="232"/>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c r="BL820" s="232"/>
      <c r="BM820" s="232"/>
      <c r="BN820" s="232"/>
      <c r="BO820" s="232"/>
      <c r="BP820" s="232"/>
      <c r="BQ820" s="232"/>
      <c r="BR820" s="232"/>
      <c r="BS820" s="232"/>
      <c r="BT820" s="232"/>
      <c r="BU820" s="232"/>
      <c r="BV820" s="232"/>
      <c r="BW820" s="232"/>
      <c r="BX820" s="232"/>
      <c r="BY820" s="232"/>
      <c r="BZ820" s="232"/>
      <c r="CA820" s="232"/>
      <c r="CB820" s="232"/>
      <c r="CC820" s="232"/>
      <c r="CD820" s="232"/>
      <c r="CE820" s="232"/>
      <c r="CF820" s="232"/>
      <c r="CG820" s="232"/>
      <c r="CH820" s="232"/>
      <c r="CI820" s="232"/>
      <c r="CJ820" s="232"/>
      <c r="CK820" s="232"/>
      <c r="CL820" s="232"/>
      <c r="CM820" s="232"/>
      <c r="CN820" s="215"/>
      <c r="CO820" s="215"/>
      <c r="CP820" s="215"/>
      <c r="CQ820" s="215"/>
      <c r="CR820" s="215"/>
      <c r="CS820" s="215"/>
      <c r="CT820" s="215"/>
    </row>
    <row r="821" ht="24.0" customHeight="1">
      <c r="A821" s="287"/>
      <c r="B821" s="287"/>
      <c r="C821" s="287"/>
      <c r="D821" s="232"/>
      <c r="E821" s="232"/>
      <c r="F821" s="232"/>
      <c r="G821" s="232"/>
      <c r="H821" s="232"/>
      <c r="I821" s="232"/>
      <c r="J821" s="232"/>
      <c r="K821" s="232"/>
      <c r="L821" s="232"/>
      <c r="M821" s="232"/>
      <c r="N821" s="289"/>
      <c r="O821" s="232"/>
      <c r="P821" s="232"/>
      <c r="Q821" s="232"/>
      <c r="R821" s="232"/>
      <c r="S821" s="232"/>
      <c r="T821" s="232"/>
      <c r="U821" s="232"/>
      <c r="V821" s="232"/>
      <c r="W821" s="232"/>
      <c r="X821" s="232"/>
      <c r="Y821" s="232"/>
      <c r="Z821" s="232"/>
      <c r="AA821" s="232"/>
      <c r="AB821" s="232"/>
      <c r="AC821" s="232"/>
      <c r="AD821" s="232"/>
      <c r="AE821" s="232"/>
      <c r="AF821" s="232"/>
      <c r="AG821" s="232"/>
      <c r="AH821" s="232"/>
      <c r="AI821" s="232"/>
      <c r="AJ821" s="232"/>
      <c r="AK821" s="232"/>
      <c r="AL821" s="232"/>
      <c r="AM821" s="232"/>
      <c r="AN821" s="232"/>
      <c r="AO821" s="232"/>
      <c r="AP821" s="232"/>
      <c r="AQ821" s="232"/>
      <c r="AR821" s="232"/>
      <c r="AS821" s="232"/>
      <c r="AT821" s="232"/>
      <c r="AU821" s="232"/>
      <c r="AV821" s="232"/>
      <c r="AW821" s="232"/>
      <c r="AX821" s="232"/>
      <c r="AY821" s="232"/>
      <c r="AZ821" s="232"/>
      <c r="BA821" s="232"/>
      <c r="BB821" s="232"/>
      <c r="BC821" s="232"/>
      <c r="BD821" s="232"/>
      <c r="BE821" s="232"/>
      <c r="BF821" s="232"/>
      <c r="BG821" s="232"/>
      <c r="BH821" s="232"/>
      <c r="BI821" s="232"/>
      <c r="BJ821" s="232"/>
      <c r="BK821" s="232"/>
      <c r="BL821" s="232"/>
      <c r="BM821" s="232"/>
      <c r="BN821" s="232"/>
      <c r="BO821" s="232"/>
      <c r="BP821" s="232"/>
      <c r="BQ821" s="232"/>
      <c r="BR821" s="232"/>
      <c r="BS821" s="232"/>
      <c r="BT821" s="232"/>
      <c r="BU821" s="232"/>
      <c r="BV821" s="232"/>
      <c r="BW821" s="232"/>
      <c r="BX821" s="232"/>
      <c r="BY821" s="232"/>
      <c r="BZ821" s="232"/>
      <c r="CA821" s="232"/>
      <c r="CB821" s="232"/>
      <c r="CC821" s="232"/>
      <c r="CD821" s="232"/>
      <c r="CE821" s="232"/>
      <c r="CF821" s="232"/>
      <c r="CG821" s="232"/>
      <c r="CH821" s="232"/>
      <c r="CI821" s="232"/>
      <c r="CJ821" s="232"/>
      <c r="CK821" s="232"/>
      <c r="CL821" s="232"/>
      <c r="CM821" s="232"/>
      <c r="CN821" s="215"/>
      <c r="CO821" s="215"/>
      <c r="CP821" s="215"/>
      <c r="CQ821" s="215"/>
      <c r="CR821" s="215"/>
      <c r="CS821" s="215"/>
      <c r="CT821" s="215"/>
    </row>
    <row r="822" ht="24.0" customHeight="1">
      <c r="A822" s="287"/>
      <c r="B822" s="287"/>
      <c r="C822" s="287"/>
      <c r="D822" s="232"/>
      <c r="E822" s="232"/>
      <c r="F822" s="232"/>
      <c r="G822" s="232"/>
      <c r="H822" s="232"/>
      <c r="I822" s="232"/>
      <c r="J822" s="232"/>
      <c r="K822" s="232"/>
      <c r="L822" s="232"/>
      <c r="M822" s="232"/>
      <c r="N822" s="289"/>
      <c r="O822" s="232"/>
      <c r="P822" s="232"/>
      <c r="Q822" s="232"/>
      <c r="R822" s="232"/>
      <c r="S822" s="232"/>
      <c r="T822" s="232"/>
      <c r="U822" s="232"/>
      <c r="V822" s="232"/>
      <c r="W822" s="232"/>
      <c r="X822" s="232"/>
      <c r="Y822" s="232"/>
      <c r="Z822" s="232"/>
      <c r="AA822" s="232"/>
      <c r="AB822" s="232"/>
      <c r="AC822" s="232"/>
      <c r="AD822" s="232"/>
      <c r="AE822" s="232"/>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c r="BL822" s="232"/>
      <c r="BM822" s="232"/>
      <c r="BN822" s="232"/>
      <c r="BO822" s="232"/>
      <c r="BP822" s="232"/>
      <c r="BQ822" s="232"/>
      <c r="BR822" s="232"/>
      <c r="BS822" s="232"/>
      <c r="BT822" s="232"/>
      <c r="BU822" s="232"/>
      <c r="BV822" s="232"/>
      <c r="BW822" s="232"/>
      <c r="BX822" s="232"/>
      <c r="BY822" s="232"/>
      <c r="BZ822" s="232"/>
      <c r="CA822" s="232"/>
      <c r="CB822" s="232"/>
      <c r="CC822" s="232"/>
      <c r="CD822" s="232"/>
      <c r="CE822" s="232"/>
      <c r="CF822" s="232"/>
      <c r="CG822" s="232"/>
      <c r="CH822" s="232"/>
      <c r="CI822" s="232"/>
      <c r="CJ822" s="232"/>
      <c r="CK822" s="232"/>
      <c r="CL822" s="232"/>
      <c r="CM822" s="232"/>
      <c r="CN822" s="215"/>
      <c r="CO822" s="215"/>
      <c r="CP822" s="215"/>
      <c r="CQ822" s="215"/>
      <c r="CR822" s="215"/>
      <c r="CS822" s="215"/>
      <c r="CT822" s="215"/>
    </row>
    <row r="823" ht="24.0" customHeight="1">
      <c r="A823" s="287"/>
      <c r="B823" s="287"/>
      <c r="C823" s="287"/>
      <c r="D823" s="232"/>
      <c r="E823" s="232"/>
      <c r="F823" s="232"/>
      <c r="G823" s="232"/>
      <c r="H823" s="232"/>
      <c r="I823" s="232"/>
      <c r="J823" s="232"/>
      <c r="K823" s="232"/>
      <c r="L823" s="232"/>
      <c r="M823" s="232"/>
      <c r="N823" s="289"/>
      <c r="O823" s="232"/>
      <c r="P823" s="232"/>
      <c r="Q823" s="232"/>
      <c r="R823" s="232"/>
      <c r="S823" s="232"/>
      <c r="T823" s="232"/>
      <c r="U823" s="232"/>
      <c r="V823" s="232"/>
      <c r="W823" s="232"/>
      <c r="X823" s="232"/>
      <c r="Y823" s="232"/>
      <c r="Z823" s="232"/>
      <c r="AA823" s="232"/>
      <c r="AB823" s="232"/>
      <c r="AC823" s="232"/>
      <c r="AD823" s="232"/>
      <c r="AE823" s="232"/>
      <c r="AF823" s="232"/>
      <c r="AG823" s="232"/>
      <c r="AH823" s="232"/>
      <c r="AI823" s="232"/>
      <c r="AJ823" s="232"/>
      <c r="AK823" s="232"/>
      <c r="AL823" s="232"/>
      <c r="AM823" s="232"/>
      <c r="AN823" s="232"/>
      <c r="AO823" s="232"/>
      <c r="AP823" s="232"/>
      <c r="AQ823" s="232"/>
      <c r="AR823" s="232"/>
      <c r="AS823" s="232"/>
      <c r="AT823" s="232"/>
      <c r="AU823" s="232"/>
      <c r="AV823" s="232"/>
      <c r="AW823" s="232"/>
      <c r="AX823" s="232"/>
      <c r="AY823" s="232"/>
      <c r="AZ823" s="232"/>
      <c r="BA823" s="232"/>
      <c r="BB823" s="232"/>
      <c r="BC823" s="232"/>
      <c r="BD823" s="232"/>
      <c r="BE823" s="232"/>
      <c r="BF823" s="232"/>
      <c r="BG823" s="232"/>
      <c r="BH823" s="232"/>
      <c r="BI823" s="232"/>
      <c r="BJ823" s="232"/>
      <c r="BK823" s="232"/>
      <c r="BL823" s="232"/>
      <c r="BM823" s="232"/>
      <c r="BN823" s="232"/>
      <c r="BO823" s="232"/>
      <c r="BP823" s="232"/>
      <c r="BQ823" s="232"/>
      <c r="BR823" s="232"/>
      <c r="BS823" s="232"/>
      <c r="BT823" s="232"/>
      <c r="BU823" s="232"/>
      <c r="BV823" s="232"/>
      <c r="BW823" s="232"/>
      <c r="BX823" s="232"/>
      <c r="BY823" s="232"/>
      <c r="BZ823" s="232"/>
      <c r="CA823" s="232"/>
      <c r="CB823" s="232"/>
      <c r="CC823" s="232"/>
      <c r="CD823" s="232"/>
      <c r="CE823" s="232"/>
      <c r="CF823" s="232"/>
      <c r="CG823" s="232"/>
      <c r="CH823" s="232"/>
      <c r="CI823" s="232"/>
      <c r="CJ823" s="232"/>
      <c r="CK823" s="232"/>
      <c r="CL823" s="232"/>
      <c r="CM823" s="232"/>
      <c r="CN823" s="215"/>
      <c r="CO823" s="215"/>
      <c r="CP823" s="215"/>
      <c r="CQ823" s="215"/>
      <c r="CR823" s="215"/>
      <c r="CS823" s="215"/>
      <c r="CT823" s="215"/>
    </row>
    <row r="824" ht="24.0" customHeight="1">
      <c r="A824" s="287"/>
      <c r="B824" s="287"/>
      <c r="C824" s="287"/>
      <c r="D824" s="232"/>
      <c r="E824" s="232"/>
      <c r="F824" s="232"/>
      <c r="G824" s="232"/>
      <c r="H824" s="232"/>
      <c r="I824" s="232"/>
      <c r="J824" s="232"/>
      <c r="K824" s="232"/>
      <c r="L824" s="232"/>
      <c r="M824" s="232"/>
      <c r="N824" s="289"/>
      <c r="O824" s="232"/>
      <c r="P824" s="232"/>
      <c r="Q824" s="232"/>
      <c r="R824" s="232"/>
      <c r="S824" s="232"/>
      <c r="T824" s="232"/>
      <c r="U824" s="232"/>
      <c r="V824" s="232"/>
      <c r="W824" s="232"/>
      <c r="X824" s="232"/>
      <c r="Y824" s="232"/>
      <c r="Z824" s="232"/>
      <c r="AA824" s="232"/>
      <c r="AB824" s="232"/>
      <c r="AC824" s="232"/>
      <c r="AD824" s="232"/>
      <c r="AE824" s="232"/>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c r="BL824" s="232"/>
      <c r="BM824" s="232"/>
      <c r="BN824" s="232"/>
      <c r="BO824" s="232"/>
      <c r="BP824" s="232"/>
      <c r="BQ824" s="232"/>
      <c r="BR824" s="232"/>
      <c r="BS824" s="232"/>
      <c r="BT824" s="232"/>
      <c r="BU824" s="232"/>
      <c r="BV824" s="232"/>
      <c r="BW824" s="232"/>
      <c r="BX824" s="232"/>
      <c r="BY824" s="232"/>
      <c r="BZ824" s="232"/>
      <c r="CA824" s="232"/>
      <c r="CB824" s="232"/>
      <c r="CC824" s="232"/>
      <c r="CD824" s="232"/>
      <c r="CE824" s="232"/>
      <c r="CF824" s="232"/>
      <c r="CG824" s="232"/>
      <c r="CH824" s="232"/>
      <c r="CI824" s="232"/>
      <c r="CJ824" s="232"/>
      <c r="CK824" s="232"/>
      <c r="CL824" s="232"/>
      <c r="CM824" s="232"/>
      <c r="CN824" s="215"/>
      <c r="CO824" s="215"/>
      <c r="CP824" s="215"/>
      <c r="CQ824" s="215"/>
      <c r="CR824" s="215"/>
      <c r="CS824" s="215"/>
      <c r="CT824" s="215"/>
    </row>
    <row r="825" ht="24.0" customHeight="1">
      <c r="A825" s="287"/>
      <c r="B825" s="287"/>
      <c r="C825" s="287"/>
      <c r="D825" s="232"/>
      <c r="E825" s="232"/>
      <c r="F825" s="232"/>
      <c r="G825" s="232"/>
      <c r="H825" s="232"/>
      <c r="I825" s="232"/>
      <c r="J825" s="232"/>
      <c r="K825" s="232"/>
      <c r="L825" s="232"/>
      <c r="M825" s="232"/>
      <c r="N825" s="289"/>
      <c r="O825" s="232"/>
      <c r="P825" s="232"/>
      <c r="Q825" s="232"/>
      <c r="R825" s="232"/>
      <c r="S825" s="232"/>
      <c r="T825" s="232"/>
      <c r="U825" s="232"/>
      <c r="V825" s="232"/>
      <c r="W825" s="232"/>
      <c r="X825" s="232"/>
      <c r="Y825" s="232"/>
      <c r="Z825" s="232"/>
      <c r="AA825" s="232"/>
      <c r="AB825" s="232"/>
      <c r="AC825" s="232"/>
      <c r="AD825" s="232"/>
      <c r="AE825" s="232"/>
      <c r="AF825" s="232"/>
      <c r="AG825" s="232"/>
      <c r="AH825" s="232"/>
      <c r="AI825" s="232"/>
      <c r="AJ825" s="232"/>
      <c r="AK825" s="232"/>
      <c r="AL825" s="232"/>
      <c r="AM825" s="232"/>
      <c r="AN825" s="232"/>
      <c r="AO825" s="232"/>
      <c r="AP825" s="232"/>
      <c r="AQ825" s="232"/>
      <c r="AR825" s="232"/>
      <c r="AS825" s="232"/>
      <c r="AT825" s="232"/>
      <c r="AU825" s="232"/>
      <c r="AV825" s="232"/>
      <c r="AW825" s="232"/>
      <c r="AX825" s="232"/>
      <c r="AY825" s="232"/>
      <c r="AZ825" s="232"/>
      <c r="BA825" s="232"/>
      <c r="BB825" s="232"/>
      <c r="BC825" s="232"/>
      <c r="BD825" s="232"/>
      <c r="BE825" s="232"/>
      <c r="BF825" s="232"/>
      <c r="BG825" s="232"/>
      <c r="BH825" s="232"/>
      <c r="BI825" s="232"/>
      <c r="BJ825" s="232"/>
      <c r="BK825" s="232"/>
      <c r="BL825" s="232"/>
      <c r="BM825" s="232"/>
      <c r="BN825" s="232"/>
      <c r="BO825" s="232"/>
      <c r="BP825" s="232"/>
      <c r="BQ825" s="232"/>
      <c r="BR825" s="232"/>
      <c r="BS825" s="232"/>
      <c r="BT825" s="232"/>
      <c r="BU825" s="232"/>
      <c r="BV825" s="232"/>
      <c r="BW825" s="232"/>
      <c r="BX825" s="232"/>
      <c r="BY825" s="232"/>
      <c r="BZ825" s="232"/>
      <c r="CA825" s="232"/>
      <c r="CB825" s="232"/>
      <c r="CC825" s="232"/>
      <c r="CD825" s="232"/>
      <c r="CE825" s="232"/>
      <c r="CF825" s="232"/>
      <c r="CG825" s="232"/>
      <c r="CH825" s="232"/>
      <c r="CI825" s="232"/>
      <c r="CJ825" s="232"/>
      <c r="CK825" s="232"/>
      <c r="CL825" s="232"/>
      <c r="CM825" s="232"/>
      <c r="CN825" s="215"/>
      <c r="CO825" s="215"/>
      <c r="CP825" s="215"/>
      <c r="CQ825" s="215"/>
      <c r="CR825" s="215"/>
      <c r="CS825" s="215"/>
      <c r="CT825" s="215"/>
    </row>
    <row r="826" ht="24.0" customHeight="1">
      <c r="A826" s="287"/>
      <c r="B826" s="287"/>
      <c r="C826" s="287"/>
      <c r="D826" s="232"/>
      <c r="E826" s="232"/>
      <c r="F826" s="232"/>
      <c r="G826" s="232"/>
      <c r="H826" s="232"/>
      <c r="I826" s="232"/>
      <c r="J826" s="232"/>
      <c r="K826" s="232"/>
      <c r="L826" s="232"/>
      <c r="M826" s="232"/>
      <c r="N826" s="289"/>
      <c r="O826" s="232"/>
      <c r="P826" s="232"/>
      <c r="Q826" s="232"/>
      <c r="R826" s="232"/>
      <c r="S826" s="232"/>
      <c r="T826" s="232"/>
      <c r="U826" s="232"/>
      <c r="V826" s="232"/>
      <c r="W826" s="232"/>
      <c r="X826" s="232"/>
      <c r="Y826" s="232"/>
      <c r="Z826" s="232"/>
      <c r="AA826" s="232"/>
      <c r="AB826" s="232"/>
      <c r="AC826" s="232"/>
      <c r="AD826" s="232"/>
      <c r="AE826" s="232"/>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c r="BL826" s="232"/>
      <c r="BM826" s="232"/>
      <c r="BN826" s="232"/>
      <c r="BO826" s="232"/>
      <c r="BP826" s="232"/>
      <c r="BQ826" s="232"/>
      <c r="BR826" s="232"/>
      <c r="BS826" s="232"/>
      <c r="BT826" s="232"/>
      <c r="BU826" s="232"/>
      <c r="BV826" s="232"/>
      <c r="BW826" s="232"/>
      <c r="BX826" s="232"/>
      <c r="BY826" s="232"/>
      <c r="BZ826" s="232"/>
      <c r="CA826" s="232"/>
      <c r="CB826" s="232"/>
      <c r="CC826" s="232"/>
      <c r="CD826" s="232"/>
      <c r="CE826" s="232"/>
      <c r="CF826" s="232"/>
      <c r="CG826" s="232"/>
      <c r="CH826" s="232"/>
      <c r="CI826" s="232"/>
      <c r="CJ826" s="232"/>
      <c r="CK826" s="232"/>
      <c r="CL826" s="232"/>
      <c r="CM826" s="232"/>
      <c r="CN826" s="215"/>
      <c r="CO826" s="215"/>
      <c r="CP826" s="215"/>
      <c r="CQ826" s="215"/>
      <c r="CR826" s="215"/>
      <c r="CS826" s="215"/>
      <c r="CT826" s="215"/>
    </row>
    <row r="827" ht="24.0" customHeight="1">
      <c r="A827" s="287"/>
      <c r="B827" s="287"/>
      <c r="C827" s="287"/>
      <c r="D827" s="232"/>
      <c r="E827" s="232"/>
      <c r="F827" s="232"/>
      <c r="G827" s="232"/>
      <c r="H827" s="232"/>
      <c r="I827" s="232"/>
      <c r="J827" s="232"/>
      <c r="K827" s="232"/>
      <c r="L827" s="232"/>
      <c r="M827" s="232"/>
      <c r="N827" s="289"/>
      <c r="O827" s="232"/>
      <c r="P827" s="232"/>
      <c r="Q827" s="232"/>
      <c r="R827" s="232"/>
      <c r="S827" s="232"/>
      <c r="T827" s="232"/>
      <c r="U827" s="232"/>
      <c r="V827" s="232"/>
      <c r="W827" s="232"/>
      <c r="X827" s="232"/>
      <c r="Y827" s="232"/>
      <c r="Z827" s="232"/>
      <c r="AA827" s="232"/>
      <c r="AB827" s="232"/>
      <c r="AC827" s="232"/>
      <c r="AD827" s="232"/>
      <c r="AE827" s="232"/>
      <c r="AF827" s="232"/>
      <c r="AG827" s="232"/>
      <c r="AH827" s="232"/>
      <c r="AI827" s="232"/>
      <c r="AJ827" s="232"/>
      <c r="AK827" s="232"/>
      <c r="AL827" s="232"/>
      <c r="AM827" s="232"/>
      <c r="AN827" s="232"/>
      <c r="AO827" s="232"/>
      <c r="AP827" s="232"/>
      <c r="AQ827" s="232"/>
      <c r="AR827" s="232"/>
      <c r="AS827" s="232"/>
      <c r="AT827" s="232"/>
      <c r="AU827" s="232"/>
      <c r="AV827" s="232"/>
      <c r="AW827" s="232"/>
      <c r="AX827" s="232"/>
      <c r="AY827" s="232"/>
      <c r="AZ827" s="232"/>
      <c r="BA827" s="232"/>
      <c r="BB827" s="232"/>
      <c r="BC827" s="232"/>
      <c r="BD827" s="232"/>
      <c r="BE827" s="232"/>
      <c r="BF827" s="232"/>
      <c r="BG827" s="232"/>
      <c r="BH827" s="232"/>
      <c r="BI827" s="232"/>
      <c r="BJ827" s="232"/>
      <c r="BK827" s="232"/>
      <c r="BL827" s="232"/>
      <c r="BM827" s="232"/>
      <c r="BN827" s="232"/>
      <c r="BO827" s="232"/>
      <c r="BP827" s="232"/>
      <c r="BQ827" s="232"/>
      <c r="BR827" s="232"/>
      <c r="BS827" s="232"/>
      <c r="BT827" s="232"/>
      <c r="BU827" s="232"/>
      <c r="BV827" s="232"/>
      <c r="BW827" s="232"/>
      <c r="BX827" s="232"/>
      <c r="BY827" s="232"/>
      <c r="BZ827" s="232"/>
      <c r="CA827" s="232"/>
      <c r="CB827" s="232"/>
      <c r="CC827" s="232"/>
      <c r="CD827" s="232"/>
      <c r="CE827" s="232"/>
      <c r="CF827" s="232"/>
      <c r="CG827" s="232"/>
      <c r="CH827" s="232"/>
      <c r="CI827" s="232"/>
      <c r="CJ827" s="232"/>
      <c r="CK827" s="232"/>
      <c r="CL827" s="232"/>
      <c r="CM827" s="232"/>
      <c r="CN827" s="215"/>
      <c r="CO827" s="215"/>
      <c r="CP827" s="215"/>
      <c r="CQ827" s="215"/>
      <c r="CR827" s="215"/>
      <c r="CS827" s="215"/>
      <c r="CT827" s="215"/>
    </row>
    <row r="828" ht="24.0" customHeight="1">
      <c r="A828" s="287"/>
      <c r="B828" s="287"/>
      <c r="C828" s="287"/>
      <c r="D828" s="232"/>
      <c r="E828" s="232"/>
      <c r="F828" s="232"/>
      <c r="G828" s="232"/>
      <c r="H828" s="232"/>
      <c r="I828" s="232"/>
      <c r="J828" s="232"/>
      <c r="K828" s="232"/>
      <c r="L828" s="232"/>
      <c r="M828" s="232"/>
      <c r="N828" s="289"/>
      <c r="O828" s="232"/>
      <c r="P828" s="232"/>
      <c r="Q828" s="232"/>
      <c r="R828" s="232"/>
      <c r="S828" s="232"/>
      <c r="T828" s="232"/>
      <c r="U828" s="232"/>
      <c r="V828" s="232"/>
      <c r="W828" s="232"/>
      <c r="X828" s="232"/>
      <c r="Y828" s="232"/>
      <c r="Z828" s="232"/>
      <c r="AA828" s="232"/>
      <c r="AB828" s="232"/>
      <c r="AC828" s="232"/>
      <c r="AD828" s="232"/>
      <c r="AE828" s="232"/>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c r="BL828" s="232"/>
      <c r="BM828" s="232"/>
      <c r="BN828" s="232"/>
      <c r="BO828" s="232"/>
      <c r="BP828" s="232"/>
      <c r="BQ828" s="232"/>
      <c r="BR828" s="232"/>
      <c r="BS828" s="232"/>
      <c r="BT828" s="232"/>
      <c r="BU828" s="232"/>
      <c r="BV828" s="232"/>
      <c r="BW828" s="232"/>
      <c r="BX828" s="232"/>
      <c r="BY828" s="232"/>
      <c r="BZ828" s="232"/>
      <c r="CA828" s="232"/>
      <c r="CB828" s="232"/>
      <c r="CC828" s="232"/>
      <c r="CD828" s="232"/>
      <c r="CE828" s="232"/>
      <c r="CF828" s="232"/>
      <c r="CG828" s="232"/>
      <c r="CH828" s="232"/>
      <c r="CI828" s="232"/>
      <c r="CJ828" s="232"/>
      <c r="CK828" s="232"/>
      <c r="CL828" s="232"/>
      <c r="CM828" s="232"/>
      <c r="CN828" s="215"/>
      <c r="CO828" s="215"/>
      <c r="CP828" s="215"/>
      <c r="CQ828" s="215"/>
      <c r="CR828" s="215"/>
      <c r="CS828" s="215"/>
      <c r="CT828" s="215"/>
    </row>
    <row r="829" ht="24.0" customHeight="1">
      <c r="A829" s="287"/>
      <c r="B829" s="287"/>
      <c r="C829" s="287"/>
      <c r="D829" s="232"/>
      <c r="E829" s="232"/>
      <c r="F829" s="232"/>
      <c r="G829" s="232"/>
      <c r="H829" s="232"/>
      <c r="I829" s="232"/>
      <c r="J829" s="232"/>
      <c r="K829" s="232"/>
      <c r="L829" s="232"/>
      <c r="M829" s="232"/>
      <c r="N829" s="289"/>
      <c r="O829" s="232"/>
      <c r="P829" s="232"/>
      <c r="Q829" s="232"/>
      <c r="R829" s="232"/>
      <c r="S829" s="232"/>
      <c r="T829" s="232"/>
      <c r="U829" s="232"/>
      <c r="V829" s="232"/>
      <c r="W829" s="232"/>
      <c r="X829" s="232"/>
      <c r="Y829" s="232"/>
      <c r="Z829" s="232"/>
      <c r="AA829" s="232"/>
      <c r="AB829" s="232"/>
      <c r="AC829" s="232"/>
      <c r="AD829" s="232"/>
      <c r="AE829" s="232"/>
      <c r="AF829" s="232"/>
      <c r="AG829" s="232"/>
      <c r="AH829" s="232"/>
      <c r="AI829" s="232"/>
      <c r="AJ829" s="232"/>
      <c r="AK829" s="232"/>
      <c r="AL829" s="232"/>
      <c r="AM829" s="232"/>
      <c r="AN829" s="232"/>
      <c r="AO829" s="232"/>
      <c r="AP829" s="232"/>
      <c r="AQ829" s="232"/>
      <c r="AR829" s="232"/>
      <c r="AS829" s="232"/>
      <c r="AT829" s="232"/>
      <c r="AU829" s="232"/>
      <c r="AV829" s="232"/>
      <c r="AW829" s="232"/>
      <c r="AX829" s="232"/>
      <c r="AY829" s="232"/>
      <c r="AZ829" s="232"/>
      <c r="BA829" s="232"/>
      <c r="BB829" s="232"/>
      <c r="BC829" s="232"/>
      <c r="BD829" s="232"/>
      <c r="BE829" s="232"/>
      <c r="BF829" s="232"/>
      <c r="BG829" s="232"/>
      <c r="BH829" s="232"/>
      <c r="BI829" s="232"/>
      <c r="BJ829" s="232"/>
      <c r="BK829" s="232"/>
      <c r="BL829" s="232"/>
      <c r="BM829" s="232"/>
      <c r="BN829" s="232"/>
      <c r="BO829" s="232"/>
      <c r="BP829" s="232"/>
      <c r="BQ829" s="232"/>
      <c r="BR829" s="232"/>
      <c r="BS829" s="232"/>
      <c r="BT829" s="232"/>
      <c r="BU829" s="232"/>
      <c r="BV829" s="232"/>
      <c r="BW829" s="232"/>
      <c r="BX829" s="232"/>
      <c r="BY829" s="232"/>
      <c r="BZ829" s="232"/>
      <c r="CA829" s="232"/>
      <c r="CB829" s="232"/>
      <c r="CC829" s="232"/>
      <c r="CD829" s="232"/>
      <c r="CE829" s="232"/>
      <c r="CF829" s="232"/>
      <c r="CG829" s="232"/>
      <c r="CH829" s="232"/>
      <c r="CI829" s="232"/>
      <c r="CJ829" s="232"/>
      <c r="CK829" s="232"/>
      <c r="CL829" s="232"/>
      <c r="CM829" s="232"/>
      <c r="CN829" s="215"/>
      <c r="CO829" s="215"/>
      <c r="CP829" s="215"/>
      <c r="CQ829" s="215"/>
      <c r="CR829" s="215"/>
      <c r="CS829" s="215"/>
      <c r="CT829" s="215"/>
    </row>
    <row r="830" ht="24.0" customHeight="1">
      <c r="A830" s="287"/>
      <c r="B830" s="287"/>
      <c r="C830" s="287"/>
      <c r="D830" s="232"/>
      <c r="E830" s="232"/>
      <c r="F830" s="232"/>
      <c r="G830" s="232"/>
      <c r="H830" s="232"/>
      <c r="I830" s="232"/>
      <c r="J830" s="232"/>
      <c r="K830" s="232"/>
      <c r="L830" s="232"/>
      <c r="M830" s="232"/>
      <c r="N830" s="289"/>
      <c r="O830" s="232"/>
      <c r="P830" s="232"/>
      <c r="Q830" s="232"/>
      <c r="R830" s="232"/>
      <c r="S830" s="232"/>
      <c r="T830" s="232"/>
      <c r="U830" s="232"/>
      <c r="V830" s="232"/>
      <c r="W830" s="232"/>
      <c r="X830" s="232"/>
      <c r="Y830" s="232"/>
      <c r="Z830" s="232"/>
      <c r="AA830" s="232"/>
      <c r="AB830" s="232"/>
      <c r="AC830" s="232"/>
      <c r="AD830" s="232"/>
      <c r="AE830" s="232"/>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c r="BL830" s="232"/>
      <c r="BM830" s="232"/>
      <c r="BN830" s="232"/>
      <c r="BO830" s="232"/>
      <c r="BP830" s="232"/>
      <c r="BQ830" s="232"/>
      <c r="BR830" s="232"/>
      <c r="BS830" s="232"/>
      <c r="BT830" s="232"/>
      <c r="BU830" s="232"/>
      <c r="BV830" s="232"/>
      <c r="BW830" s="232"/>
      <c r="BX830" s="232"/>
      <c r="BY830" s="232"/>
      <c r="BZ830" s="232"/>
      <c r="CA830" s="232"/>
      <c r="CB830" s="232"/>
      <c r="CC830" s="232"/>
      <c r="CD830" s="232"/>
      <c r="CE830" s="232"/>
      <c r="CF830" s="232"/>
      <c r="CG830" s="232"/>
      <c r="CH830" s="232"/>
      <c r="CI830" s="232"/>
      <c r="CJ830" s="232"/>
      <c r="CK830" s="232"/>
      <c r="CL830" s="232"/>
      <c r="CM830" s="232"/>
      <c r="CN830" s="215"/>
      <c r="CO830" s="215"/>
      <c r="CP830" s="215"/>
      <c r="CQ830" s="215"/>
      <c r="CR830" s="215"/>
      <c r="CS830" s="215"/>
      <c r="CT830" s="215"/>
    </row>
    <row r="831" ht="24.0" customHeight="1">
      <c r="A831" s="287"/>
      <c r="B831" s="287"/>
      <c r="C831" s="287"/>
      <c r="D831" s="232"/>
      <c r="E831" s="232"/>
      <c r="F831" s="232"/>
      <c r="G831" s="232"/>
      <c r="H831" s="232"/>
      <c r="I831" s="232"/>
      <c r="J831" s="232"/>
      <c r="K831" s="232"/>
      <c r="L831" s="232"/>
      <c r="M831" s="232"/>
      <c r="N831" s="289"/>
      <c r="O831" s="232"/>
      <c r="P831" s="232"/>
      <c r="Q831" s="232"/>
      <c r="R831" s="232"/>
      <c r="S831" s="232"/>
      <c r="T831" s="232"/>
      <c r="U831" s="232"/>
      <c r="V831" s="232"/>
      <c r="W831" s="232"/>
      <c r="X831" s="232"/>
      <c r="Y831" s="232"/>
      <c r="Z831" s="232"/>
      <c r="AA831" s="232"/>
      <c r="AB831" s="232"/>
      <c r="AC831" s="232"/>
      <c r="AD831" s="232"/>
      <c r="AE831" s="232"/>
      <c r="AF831" s="232"/>
      <c r="AG831" s="232"/>
      <c r="AH831" s="232"/>
      <c r="AI831" s="232"/>
      <c r="AJ831" s="232"/>
      <c r="AK831" s="232"/>
      <c r="AL831" s="232"/>
      <c r="AM831" s="232"/>
      <c r="AN831" s="232"/>
      <c r="AO831" s="232"/>
      <c r="AP831" s="232"/>
      <c r="AQ831" s="232"/>
      <c r="AR831" s="232"/>
      <c r="AS831" s="232"/>
      <c r="AT831" s="232"/>
      <c r="AU831" s="232"/>
      <c r="AV831" s="232"/>
      <c r="AW831" s="232"/>
      <c r="AX831" s="232"/>
      <c r="AY831" s="232"/>
      <c r="AZ831" s="232"/>
      <c r="BA831" s="232"/>
      <c r="BB831" s="232"/>
      <c r="BC831" s="232"/>
      <c r="BD831" s="232"/>
      <c r="BE831" s="232"/>
      <c r="BF831" s="232"/>
      <c r="BG831" s="232"/>
      <c r="BH831" s="232"/>
      <c r="BI831" s="232"/>
      <c r="BJ831" s="232"/>
      <c r="BK831" s="232"/>
      <c r="BL831" s="232"/>
      <c r="BM831" s="232"/>
      <c r="BN831" s="232"/>
      <c r="BO831" s="232"/>
      <c r="BP831" s="232"/>
      <c r="BQ831" s="232"/>
      <c r="BR831" s="232"/>
      <c r="BS831" s="232"/>
      <c r="BT831" s="232"/>
      <c r="BU831" s="232"/>
      <c r="BV831" s="232"/>
      <c r="BW831" s="232"/>
      <c r="BX831" s="232"/>
      <c r="BY831" s="232"/>
      <c r="BZ831" s="232"/>
      <c r="CA831" s="232"/>
      <c r="CB831" s="232"/>
      <c r="CC831" s="232"/>
      <c r="CD831" s="232"/>
      <c r="CE831" s="232"/>
      <c r="CF831" s="232"/>
      <c r="CG831" s="232"/>
      <c r="CH831" s="232"/>
      <c r="CI831" s="232"/>
      <c r="CJ831" s="232"/>
      <c r="CK831" s="232"/>
      <c r="CL831" s="232"/>
      <c r="CM831" s="232"/>
      <c r="CN831" s="215"/>
      <c r="CO831" s="215"/>
      <c r="CP831" s="215"/>
      <c r="CQ831" s="215"/>
      <c r="CR831" s="215"/>
      <c r="CS831" s="215"/>
      <c r="CT831" s="215"/>
    </row>
    <row r="832" ht="24.0" customHeight="1">
      <c r="A832" s="287"/>
      <c r="B832" s="287"/>
      <c r="C832" s="287"/>
      <c r="D832" s="232"/>
      <c r="E832" s="232"/>
      <c r="F832" s="232"/>
      <c r="G832" s="232"/>
      <c r="H832" s="232"/>
      <c r="I832" s="232"/>
      <c r="J832" s="232"/>
      <c r="K832" s="232"/>
      <c r="L832" s="232"/>
      <c r="M832" s="232"/>
      <c r="N832" s="289"/>
      <c r="O832" s="232"/>
      <c r="P832" s="232"/>
      <c r="Q832" s="232"/>
      <c r="R832" s="232"/>
      <c r="S832" s="232"/>
      <c r="T832" s="232"/>
      <c r="U832" s="232"/>
      <c r="V832" s="232"/>
      <c r="W832" s="232"/>
      <c r="X832" s="232"/>
      <c r="Y832" s="232"/>
      <c r="Z832" s="232"/>
      <c r="AA832" s="232"/>
      <c r="AB832" s="232"/>
      <c r="AC832" s="232"/>
      <c r="AD832" s="232"/>
      <c r="AE832" s="232"/>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c r="BL832" s="232"/>
      <c r="BM832" s="232"/>
      <c r="BN832" s="232"/>
      <c r="BO832" s="232"/>
      <c r="BP832" s="232"/>
      <c r="BQ832" s="232"/>
      <c r="BR832" s="232"/>
      <c r="BS832" s="232"/>
      <c r="BT832" s="232"/>
      <c r="BU832" s="232"/>
      <c r="BV832" s="232"/>
      <c r="BW832" s="232"/>
      <c r="BX832" s="232"/>
      <c r="BY832" s="232"/>
      <c r="BZ832" s="232"/>
      <c r="CA832" s="232"/>
      <c r="CB832" s="232"/>
      <c r="CC832" s="232"/>
      <c r="CD832" s="232"/>
      <c r="CE832" s="232"/>
      <c r="CF832" s="232"/>
      <c r="CG832" s="232"/>
      <c r="CH832" s="232"/>
      <c r="CI832" s="232"/>
      <c r="CJ832" s="232"/>
      <c r="CK832" s="232"/>
      <c r="CL832" s="232"/>
      <c r="CM832" s="232"/>
      <c r="CN832" s="215"/>
      <c r="CO832" s="215"/>
      <c r="CP832" s="215"/>
      <c r="CQ832" s="215"/>
      <c r="CR832" s="215"/>
      <c r="CS832" s="215"/>
      <c r="CT832" s="215"/>
    </row>
    <row r="833" ht="24.0" customHeight="1">
      <c r="A833" s="287"/>
      <c r="B833" s="287"/>
      <c r="C833" s="287"/>
      <c r="D833" s="232"/>
      <c r="E833" s="232"/>
      <c r="F833" s="232"/>
      <c r="G833" s="232"/>
      <c r="H833" s="232"/>
      <c r="I833" s="232"/>
      <c r="J833" s="232"/>
      <c r="K833" s="232"/>
      <c r="L833" s="232"/>
      <c r="M833" s="232"/>
      <c r="N833" s="289"/>
      <c r="O833" s="232"/>
      <c r="P833" s="232"/>
      <c r="Q833" s="232"/>
      <c r="R833" s="232"/>
      <c r="S833" s="232"/>
      <c r="T833" s="232"/>
      <c r="U833" s="232"/>
      <c r="V833" s="232"/>
      <c r="W833" s="232"/>
      <c r="X833" s="232"/>
      <c r="Y833" s="232"/>
      <c r="Z833" s="232"/>
      <c r="AA833" s="232"/>
      <c r="AB833" s="232"/>
      <c r="AC833" s="232"/>
      <c r="AD833" s="232"/>
      <c r="AE833" s="232"/>
      <c r="AF833" s="232"/>
      <c r="AG833" s="232"/>
      <c r="AH833" s="232"/>
      <c r="AI833" s="232"/>
      <c r="AJ833" s="232"/>
      <c r="AK833" s="232"/>
      <c r="AL833" s="232"/>
      <c r="AM833" s="232"/>
      <c r="AN833" s="232"/>
      <c r="AO833" s="232"/>
      <c r="AP833" s="232"/>
      <c r="AQ833" s="232"/>
      <c r="AR833" s="232"/>
      <c r="AS833" s="232"/>
      <c r="AT833" s="232"/>
      <c r="AU833" s="232"/>
      <c r="AV833" s="232"/>
      <c r="AW833" s="232"/>
      <c r="AX833" s="232"/>
      <c r="AY833" s="232"/>
      <c r="AZ833" s="232"/>
      <c r="BA833" s="232"/>
      <c r="BB833" s="232"/>
      <c r="BC833" s="232"/>
      <c r="BD833" s="232"/>
      <c r="BE833" s="232"/>
      <c r="BF833" s="232"/>
      <c r="BG833" s="232"/>
      <c r="BH833" s="232"/>
      <c r="BI833" s="232"/>
      <c r="BJ833" s="232"/>
      <c r="BK833" s="232"/>
      <c r="BL833" s="232"/>
      <c r="BM833" s="232"/>
      <c r="BN833" s="232"/>
      <c r="BO833" s="232"/>
      <c r="BP833" s="232"/>
      <c r="BQ833" s="232"/>
      <c r="BR833" s="232"/>
      <c r="BS833" s="232"/>
      <c r="BT833" s="232"/>
      <c r="BU833" s="232"/>
      <c r="BV833" s="232"/>
      <c r="BW833" s="232"/>
      <c r="BX833" s="232"/>
      <c r="BY833" s="232"/>
      <c r="BZ833" s="232"/>
      <c r="CA833" s="232"/>
      <c r="CB833" s="232"/>
      <c r="CC833" s="232"/>
      <c r="CD833" s="232"/>
      <c r="CE833" s="232"/>
      <c r="CF833" s="232"/>
      <c r="CG833" s="232"/>
      <c r="CH833" s="232"/>
      <c r="CI833" s="232"/>
      <c r="CJ833" s="232"/>
      <c r="CK833" s="232"/>
      <c r="CL833" s="232"/>
      <c r="CM833" s="232"/>
      <c r="CN833" s="215"/>
      <c r="CO833" s="215"/>
      <c r="CP833" s="215"/>
      <c r="CQ833" s="215"/>
      <c r="CR833" s="215"/>
      <c r="CS833" s="215"/>
      <c r="CT833" s="215"/>
    </row>
    <row r="834" ht="24.0" customHeight="1">
      <c r="A834" s="287"/>
      <c r="B834" s="287"/>
      <c r="C834" s="287"/>
      <c r="D834" s="232"/>
      <c r="E834" s="232"/>
      <c r="F834" s="232"/>
      <c r="G834" s="232"/>
      <c r="H834" s="232"/>
      <c r="I834" s="232"/>
      <c r="J834" s="232"/>
      <c r="K834" s="232"/>
      <c r="L834" s="232"/>
      <c r="M834" s="232"/>
      <c r="N834" s="289"/>
      <c r="O834" s="232"/>
      <c r="P834" s="232"/>
      <c r="Q834" s="232"/>
      <c r="R834" s="232"/>
      <c r="S834" s="232"/>
      <c r="T834" s="232"/>
      <c r="U834" s="232"/>
      <c r="V834" s="232"/>
      <c r="W834" s="232"/>
      <c r="X834" s="232"/>
      <c r="Y834" s="232"/>
      <c r="Z834" s="232"/>
      <c r="AA834" s="232"/>
      <c r="AB834" s="232"/>
      <c r="AC834" s="232"/>
      <c r="AD834" s="232"/>
      <c r="AE834" s="232"/>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c r="BL834" s="232"/>
      <c r="BM834" s="232"/>
      <c r="BN834" s="232"/>
      <c r="BO834" s="232"/>
      <c r="BP834" s="232"/>
      <c r="BQ834" s="232"/>
      <c r="BR834" s="232"/>
      <c r="BS834" s="232"/>
      <c r="BT834" s="232"/>
      <c r="BU834" s="232"/>
      <c r="BV834" s="232"/>
      <c r="BW834" s="232"/>
      <c r="BX834" s="232"/>
      <c r="BY834" s="232"/>
      <c r="BZ834" s="232"/>
      <c r="CA834" s="232"/>
      <c r="CB834" s="232"/>
      <c r="CC834" s="232"/>
      <c r="CD834" s="232"/>
      <c r="CE834" s="232"/>
      <c r="CF834" s="232"/>
      <c r="CG834" s="232"/>
      <c r="CH834" s="232"/>
      <c r="CI834" s="232"/>
      <c r="CJ834" s="232"/>
      <c r="CK834" s="232"/>
      <c r="CL834" s="232"/>
      <c r="CM834" s="232"/>
      <c r="CN834" s="215"/>
      <c r="CO834" s="215"/>
      <c r="CP834" s="215"/>
      <c r="CQ834" s="215"/>
      <c r="CR834" s="215"/>
      <c r="CS834" s="215"/>
      <c r="CT834" s="215"/>
    </row>
    <row r="835" ht="24.0" customHeight="1">
      <c r="A835" s="287"/>
      <c r="B835" s="287"/>
      <c r="C835" s="287"/>
      <c r="D835" s="232"/>
      <c r="E835" s="232"/>
      <c r="F835" s="232"/>
      <c r="G835" s="232"/>
      <c r="H835" s="232"/>
      <c r="I835" s="232"/>
      <c r="J835" s="232"/>
      <c r="K835" s="232"/>
      <c r="L835" s="232"/>
      <c r="M835" s="232"/>
      <c r="N835" s="289"/>
      <c r="O835" s="232"/>
      <c r="P835" s="232"/>
      <c r="Q835" s="232"/>
      <c r="R835" s="232"/>
      <c r="S835" s="232"/>
      <c r="T835" s="232"/>
      <c r="U835" s="232"/>
      <c r="V835" s="232"/>
      <c r="W835" s="232"/>
      <c r="X835" s="232"/>
      <c r="Y835" s="232"/>
      <c r="Z835" s="232"/>
      <c r="AA835" s="232"/>
      <c r="AB835" s="232"/>
      <c r="AC835" s="232"/>
      <c r="AD835" s="232"/>
      <c r="AE835" s="232"/>
      <c r="AF835" s="232"/>
      <c r="AG835" s="232"/>
      <c r="AH835" s="232"/>
      <c r="AI835" s="232"/>
      <c r="AJ835" s="232"/>
      <c r="AK835" s="232"/>
      <c r="AL835" s="232"/>
      <c r="AM835" s="232"/>
      <c r="AN835" s="232"/>
      <c r="AO835" s="232"/>
      <c r="AP835" s="232"/>
      <c r="AQ835" s="232"/>
      <c r="AR835" s="232"/>
      <c r="AS835" s="232"/>
      <c r="AT835" s="232"/>
      <c r="AU835" s="232"/>
      <c r="AV835" s="232"/>
      <c r="AW835" s="232"/>
      <c r="AX835" s="232"/>
      <c r="AY835" s="232"/>
      <c r="AZ835" s="232"/>
      <c r="BA835" s="232"/>
      <c r="BB835" s="232"/>
      <c r="BC835" s="232"/>
      <c r="BD835" s="232"/>
      <c r="BE835" s="232"/>
      <c r="BF835" s="232"/>
      <c r="BG835" s="232"/>
      <c r="BH835" s="232"/>
      <c r="BI835" s="232"/>
      <c r="BJ835" s="232"/>
      <c r="BK835" s="232"/>
      <c r="BL835" s="232"/>
      <c r="BM835" s="232"/>
      <c r="BN835" s="232"/>
      <c r="BO835" s="232"/>
      <c r="BP835" s="232"/>
      <c r="BQ835" s="232"/>
      <c r="BR835" s="232"/>
      <c r="BS835" s="232"/>
      <c r="BT835" s="232"/>
      <c r="BU835" s="232"/>
      <c r="BV835" s="232"/>
      <c r="BW835" s="232"/>
      <c r="BX835" s="232"/>
      <c r="BY835" s="232"/>
      <c r="BZ835" s="232"/>
      <c r="CA835" s="232"/>
      <c r="CB835" s="232"/>
      <c r="CC835" s="232"/>
      <c r="CD835" s="232"/>
      <c r="CE835" s="232"/>
      <c r="CF835" s="232"/>
      <c r="CG835" s="232"/>
      <c r="CH835" s="232"/>
      <c r="CI835" s="232"/>
      <c r="CJ835" s="232"/>
      <c r="CK835" s="232"/>
      <c r="CL835" s="232"/>
      <c r="CM835" s="232"/>
      <c r="CN835" s="215"/>
      <c r="CO835" s="215"/>
      <c r="CP835" s="215"/>
      <c r="CQ835" s="215"/>
      <c r="CR835" s="215"/>
      <c r="CS835" s="215"/>
      <c r="CT835" s="215"/>
    </row>
    <row r="836" ht="24.0" customHeight="1">
      <c r="A836" s="287"/>
      <c r="B836" s="287"/>
      <c r="C836" s="287"/>
      <c r="D836" s="232"/>
      <c r="E836" s="232"/>
      <c r="F836" s="232"/>
      <c r="G836" s="232"/>
      <c r="H836" s="232"/>
      <c r="I836" s="232"/>
      <c r="J836" s="232"/>
      <c r="K836" s="232"/>
      <c r="L836" s="232"/>
      <c r="M836" s="232"/>
      <c r="N836" s="289"/>
      <c r="O836" s="232"/>
      <c r="P836" s="232"/>
      <c r="Q836" s="232"/>
      <c r="R836" s="232"/>
      <c r="S836" s="232"/>
      <c r="T836" s="232"/>
      <c r="U836" s="232"/>
      <c r="V836" s="232"/>
      <c r="W836" s="232"/>
      <c r="X836" s="232"/>
      <c r="Y836" s="232"/>
      <c r="Z836" s="232"/>
      <c r="AA836" s="232"/>
      <c r="AB836" s="232"/>
      <c r="AC836" s="232"/>
      <c r="AD836" s="232"/>
      <c r="AE836" s="232"/>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c r="BL836" s="232"/>
      <c r="BM836" s="232"/>
      <c r="BN836" s="232"/>
      <c r="BO836" s="232"/>
      <c r="BP836" s="232"/>
      <c r="BQ836" s="232"/>
      <c r="BR836" s="232"/>
      <c r="BS836" s="232"/>
      <c r="BT836" s="232"/>
      <c r="BU836" s="232"/>
      <c r="BV836" s="232"/>
      <c r="BW836" s="232"/>
      <c r="BX836" s="232"/>
      <c r="BY836" s="232"/>
      <c r="BZ836" s="232"/>
      <c r="CA836" s="232"/>
      <c r="CB836" s="232"/>
      <c r="CC836" s="232"/>
      <c r="CD836" s="232"/>
      <c r="CE836" s="232"/>
      <c r="CF836" s="232"/>
      <c r="CG836" s="232"/>
      <c r="CH836" s="232"/>
      <c r="CI836" s="232"/>
      <c r="CJ836" s="232"/>
      <c r="CK836" s="232"/>
      <c r="CL836" s="232"/>
      <c r="CM836" s="232"/>
      <c r="CN836" s="215"/>
      <c r="CO836" s="215"/>
      <c r="CP836" s="215"/>
      <c r="CQ836" s="215"/>
      <c r="CR836" s="215"/>
      <c r="CS836" s="215"/>
      <c r="CT836" s="215"/>
    </row>
    <row r="837" ht="24.0" customHeight="1">
      <c r="A837" s="287"/>
      <c r="B837" s="287"/>
      <c r="C837" s="287"/>
      <c r="D837" s="232"/>
      <c r="E837" s="232"/>
      <c r="F837" s="232"/>
      <c r="G837" s="232"/>
      <c r="H837" s="232"/>
      <c r="I837" s="232"/>
      <c r="J837" s="232"/>
      <c r="K837" s="232"/>
      <c r="L837" s="232"/>
      <c r="M837" s="232"/>
      <c r="N837" s="289"/>
      <c r="O837" s="232"/>
      <c r="P837" s="232"/>
      <c r="Q837" s="232"/>
      <c r="R837" s="232"/>
      <c r="S837" s="232"/>
      <c r="T837" s="232"/>
      <c r="U837" s="232"/>
      <c r="V837" s="232"/>
      <c r="W837" s="232"/>
      <c r="X837" s="232"/>
      <c r="Y837" s="232"/>
      <c r="Z837" s="232"/>
      <c r="AA837" s="232"/>
      <c r="AB837" s="232"/>
      <c r="AC837" s="232"/>
      <c r="AD837" s="232"/>
      <c r="AE837" s="232"/>
      <c r="AF837" s="232"/>
      <c r="AG837" s="232"/>
      <c r="AH837" s="232"/>
      <c r="AI837" s="232"/>
      <c r="AJ837" s="232"/>
      <c r="AK837" s="232"/>
      <c r="AL837" s="232"/>
      <c r="AM837" s="232"/>
      <c r="AN837" s="232"/>
      <c r="AO837" s="232"/>
      <c r="AP837" s="232"/>
      <c r="AQ837" s="232"/>
      <c r="AR837" s="232"/>
      <c r="AS837" s="232"/>
      <c r="AT837" s="232"/>
      <c r="AU837" s="232"/>
      <c r="AV837" s="232"/>
      <c r="AW837" s="232"/>
      <c r="AX837" s="232"/>
      <c r="AY837" s="232"/>
      <c r="AZ837" s="232"/>
      <c r="BA837" s="232"/>
      <c r="BB837" s="232"/>
      <c r="BC837" s="232"/>
      <c r="BD837" s="232"/>
      <c r="BE837" s="232"/>
      <c r="BF837" s="232"/>
      <c r="BG837" s="232"/>
      <c r="BH837" s="232"/>
      <c r="BI837" s="232"/>
      <c r="BJ837" s="232"/>
      <c r="BK837" s="232"/>
      <c r="BL837" s="232"/>
      <c r="BM837" s="232"/>
      <c r="BN837" s="232"/>
      <c r="BO837" s="232"/>
      <c r="BP837" s="232"/>
      <c r="BQ837" s="232"/>
      <c r="BR837" s="232"/>
      <c r="BS837" s="232"/>
      <c r="BT837" s="232"/>
      <c r="BU837" s="232"/>
      <c r="BV837" s="232"/>
      <c r="BW837" s="232"/>
      <c r="BX837" s="232"/>
      <c r="BY837" s="232"/>
      <c r="BZ837" s="232"/>
      <c r="CA837" s="232"/>
      <c r="CB837" s="232"/>
      <c r="CC837" s="232"/>
      <c r="CD837" s="232"/>
      <c r="CE837" s="232"/>
      <c r="CF837" s="232"/>
      <c r="CG837" s="232"/>
      <c r="CH837" s="232"/>
      <c r="CI837" s="232"/>
      <c r="CJ837" s="232"/>
      <c r="CK837" s="232"/>
      <c r="CL837" s="232"/>
      <c r="CM837" s="232"/>
      <c r="CN837" s="215"/>
      <c r="CO837" s="215"/>
      <c r="CP837" s="215"/>
      <c r="CQ837" s="215"/>
      <c r="CR837" s="215"/>
      <c r="CS837" s="215"/>
      <c r="CT837" s="215"/>
    </row>
    <row r="838" ht="24.0" customHeight="1">
      <c r="A838" s="287"/>
      <c r="B838" s="287"/>
      <c r="C838" s="287"/>
      <c r="D838" s="232"/>
      <c r="E838" s="232"/>
      <c r="F838" s="232"/>
      <c r="G838" s="232"/>
      <c r="H838" s="232"/>
      <c r="I838" s="232"/>
      <c r="J838" s="232"/>
      <c r="K838" s="232"/>
      <c r="L838" s="232"/>
      <c r="M838" s="232"/>
      <c r="N838" s="289"/>
      <c r="O838" s="232"/>
      <c r="P838" s="232"/>
      <c r="Q838" s="232"/>
      <c r="R838" s="232"/>
      <c r="S838" s="232"/>
      <c r="T838" s="232"/>
      <c r="U838" s="232"/>
      <c r="V838" s="232"/>
      <c r="W838" s="232"/>
      <c r="X838" s="232"/>
      <c r="Y838" s="232"/>
      <c r="Z838" s="232"/>
      <c r="AA838" s="232"/>
      <c r="AB838" s="232"/>
      <c r="AC838" s="232"/>
      <c r="AD838" s="232"/>
      <c r="AE838" s="232"/>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c r="BL838" s="232"/>
      <c r="BM838" s="232"/>
      <c r="BN838" s="232"/>
      <c r="BO838" s="232"/>
      <c r="BP838" s="232"/>
      <c r="BQ838" s="232"/>
      <c r="BR838" s="232"/>
      <c r="BS838" s="232"/>
      <c r="BT838" s="232"/>
      <c r="BU838" s="232"/>
      <c r="BV838" s="232"/>
      <c r="BW838" s="232"/>
      <c r="BX838" s="232"/>
      <c r="BY838" s="232"/>
      <c r="BZ838" s="232"/>
      <c r="CA838" s="232"/>
      <c r="CB838" s="232"/>
      <c r="CC838" s="232"/>
      <c r="CD838" s="232"/>
      <c r="CE838" s="232"/>
      <c r="CF838" s="232"/>
      <c r="CG838" s="232"/>
      <c r="CH838" s="232"/>
      <c r="CI838" s="232"/>
      <c r="CJ838" s="232"/>
      <c r="CK838" s="232"/>
      <c r="CL838" s="232"/>
      <c r="CM838" s="232"/>
      <c r="CN838" s="215"/>
      <c r="CO838" s="215"/>
      <c r="CP838" s="215"/>
      <c r="CQ838" s="215"/>
      <c r="CR838" s="215"/>
      <c r="CS838" s="215"/>
      <c r="CT838" s="215"/>
    </row>
    <row r="839" ht="24.0" customHeight="1">
      <c r="A839" s="287"/>
      <c r="B839" s="287"/>
      <c r="C839" s="287"/>
      <c r="D839" s="232"/>
      <c r="E839" s="232"/>
      <c r="F839" s="232"/>
      <c r="G839" s="232"/>
      <c r="H839" s="232"/>
      <c r="I839" s="232"/>
      <c r="J839" s="232"/>
      <c r="K839" s="232"/>
      <c r="L839" s="232"/>
      <c r="M839" s="232"/>
      <c r="N839" s="289"/>
      <c r="O839" s="232"/>
      <c r="P839" s="232"/>
      <c r="Q839" s="232"/>
      <c r="R839" s="232"/>
      <c r="S839" s="232"/>
      <c r="T839" s="232"/>
      <c r="U839" s="232"/>
      <c r="V839" s="232"/>
      <c r="W839" s="232"/>
      <c r="X839" s="232"/>
      <c r="Y839" s="232"/>
      <c r="Z839" s="232"/>
      <c r="AA839" s="232"/>
      <c r="AB839" s="232"/>
      <c r="AC839" s="232"/>
      <c r="AD839" s="232"/>
      <c r="AE839" s="232"/>
      <c r="AF839" s="232"/>
      <c r="AG839" s="232"/>
      <c r="AH839" s="232"/>
      <c r="AI839" s="232"/>
      <c r="AJ839" s="232"/>
      <c r="AK839" s="232"/>
      <c r="AL839" s="232"/>
      <c r="AM839" s="232"/>
      <c r="AN839" s="232"/>
      <c r="AO839" s="232"/>
      <c r="AP839" s="232"/>
      <c r="AQ839" s="232"/>
      <c r="AR839" s="232"/>
      <c r="AS839" s="232"/>
      <c r="AT839" s="232"/>
      <c r="AU839" s="232"/>
      <c r="AV839" s="232"/>
      <c r="AW839" s="232"/>
      <c r="AX839" s="232"/>
      <c r="AY839" s="232"/>
      <c r="AZ839" s="232"/>
      <c r="BA839" s="232"/>
      <c r="BB839" s="232"/>
      <c r="BC839" s="232"/>
      <c r="BD839" s="232"/>
      <c r="BE839" s="232"/>
      <c r="BF839" s="232"/>
      <c r="BG839" s="232"/>
      <c r="BH839" s="232"/>
      <c r="BI839" s="232"/>
      <c r="BJ839" s="232"/>
      <c r="BK839" s="232"/>
      <c r="BL839" s="232"/>
      <c r="BM839" s="232"/>
      <c r="BN839" s="232"/>
      <c r="BO839" s="232"/>
      <c r="BP839" s="232"/>
      <c r="BQ839" s="232"/>
      <c r="BR839" s="232"/>
      <c r="BS839" s="232"/>
      <c r="BT839" s="232"/>
      <c r="BU839" s="232"/>
      <c r="BV839" s="232"/>
      <c r="BW839" s="232"/>
      <c r="BX839" s="232"/>
      <c r="BY839" s="232"/>
      <c r="BZ839" s="232"/>
      <c r="CA839" s="232"/>
      <c r="CB839" s="232"/>
      <c r="CC839" s="232"/>
      <c r="CD839" s="232"/>
      <c r="CE839" s="232"/>
      <c r="CF839" s="232"/>
      <c r="CG839" s="232"/>
      <c r="CH839" s="232"/>
      <c r="CI839" s="232"/>
      <c r="CJ839" s="232"/>
      <c r="CK839" s="232"/>
      <c r="CL839" s="232"/>
      <c r="CM839" s="232"/>
      <c r="CN839" s="215"/>
      <c r="CO839" s="215"/>
      <c r="CP839" s="215"/>
      <c r="CQ839" s="215"/>
      <c r="CR839" s="215"/>
      <c r="CS839" s="215"/>
      <c r="CT839" s="215"/>
    </row>
    <row r="840" ht="24.0" customHeight="1">
      <c r="A840" s="287"/>
      <c r="B840" s="287"/>
      <c r="C840" s="287"/>
      <c r="D840" s="232"/>
      <c r="E840" s="232"/>
      <c r="F840" s="232"/>
      <c r="G840" s="232"/>
      <c r="H840" s="232"/>
      <c r="I840" s="232"/>
      <c r="J840" s="232"/>
      <c r="K840" s="232"/>
      <c r="L840" s="232"/>
      <c r="M840" s="232"/>
      <c r="N840" s="289"/>
      <c r="O840" s="232"/>
      <c r="P840" s="232"/>
      <c r="Q840" s="232"/>
      <c r="R840" s="232"/>
      <c r="S840" s="232"/>
      <c r="T840" s="232"/>
      <c r="U840" s="232"/>
      <c r="V840" s="232"/>
      <c r="W840" s="232"/>
      <c r="X840" s="232"/>
      <c r="Y840" s="232"/>
      <c r="Z840" s="232"/>
      <c r="AA840" s="232"/>
      <c r="AB840" s="232"/>
      <c r="AC840" s="232"/>
      <c r="AD840" s="232"/>
      <c r="AE840" s="232"/>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c r="BL840" s="232"/>
      <c r="BM840" s="232"/>
      <c r="BN840" s="232"/>
      <c r="BO840" s="232"/>
      <c r="BP840" s="232"/>
      <c r="BQ840" s="232"/>
      <c r="BR840" s="232"/>
      <c r="BS840" s="232"/>
      <c r="BT840" s="232"/>
      <c r="BU840" s="232"/>
      <c r="BV840" s="232"/>
      <c r="BW840" s="232"/>
      <c r="BX840" s="232"/>
      <c r="BY840" s="232"/>
      <c r="BZ840" s="232"/>
      <c r="CA840" s="232"/>
      <c r="CB840" s="232"/>
      <c r="CC840" s="232"/>
      <c r="CD840" s="232"/>
      <c r="CE840" s="232"/>
      <c r="CF840" s="232"/>
      <c r="CG840" s="232"/>
      <c r="CH840" s="232"/>
      <c r="CI840" s="232"/>
      <c r="CJ840" s="232"/>
      <c r="CK840" s="232"/>
      <c r="CL840" s="232"/>
      <c r="CM840" s="232"/>
      <c r="CN840" s="215"/>
      <c r="CO840" s="215"/>
      <c r="CP840" s="215"/>
      <c r="CQ840" s="215"/>
      <c r="CR840" s="215"/>
      <c r="CS840" s="215"/>
      <c r="CT840" s="215"/>
    </row>
    <row r="841" ht="24.0" customHeight="1">
      <c r="A841" s="287"/>
      <c r="B841" s="287"/>
      <c r="C841" s="287"/>
      <c r="D841" s="232"/>
      <c r="E841" s="232"/>
      <c r="F841" s="232"/>
      <c r="G841" s="232"/>
      <c r="H841" s="232"/>
      <c r="I841" s="232"/>
      <c r="J841" s="232"/>
      <c r="K841" s="232"/>
      <c r="L841" s="232"/>
      <c r="M841" s="232"/>
      <c r="N841" s="289"/>
      <c r="O841" s="232"/>
      <c r="P841" s="232"/>
      <c r="Q841" s="232"/>
      <c r="R841" s="232"/>
      <c r="S841" s="232"/>
      <c r="T841" s="232"/>
      <c r="U841" s="232"/>
      <c r="V841" s="232"/>
      <c r="W841" s="232"/>
      <c r="X841" s="232"/>
      <c r="Y841" s="232"/>
      <c r="Z841" s="232"/>
      <c r="AA841" s="232"/>
      <c r="AB841" s="232"/>
      <c r="AC841" s="232"/>
      <c r="AD841" s="232"/>
      <c r="AE841" s="232"/>
      <c r="AF841" s="232"/>
      <c r="AG841" s="232"/>
      <c r="AH841" s="232"/>
      <c r="AI841" s="232"/>
      <c r="AJ841" s="232"/>
      <c r="AK841" s="232"/>
      <c r="AL841" s="232"/>
      <c r="AM841" s="232"/>
      <c r="AN841" s="232"/>
      <c r="AO841" s="232"/>
      <c r="AP841" s="232"/>
      <c r="AQ841" s="232"/>
      <c r="AR841" s="232"/>
      <c r="AS841" s="232"/>
      <c r="AT841" s="232"/>
      <c r="AU841" s="232"/>
      <c r="AV841" s="232"/>
      <c r="AW841" s="232"/>
      <c r="AX841" s="232"/>
      <c r="AY841" s="232"/>
      <c r="AZ841" s="232"/>
      <c r="BA841" s="232"/>
      <c r="BB841" s="232"/>
      <c r="BC841" s="232"/>
      <c r="BD841" s="232"/>
      <c r="BE841" s="232"/>
      <c r="BF841" s="232"/>
      <c r="BG841" s="232"/>
      <c r="BH841" s="232"/>
      <c r="BI841" s="232"/>
      <c r="BJ841" s="232"/>
      <c r="BK841" s="232"/>
      <c r="BL841" s="232"/>
      <c r="BM841" s="232"/>
      <c r="BN841" s="232"/>
      <c r="BO841" s="232"/>
      <c r="BP841" s="232"/>
      <c r="BQ841" s="232"/>
      <c r="BR841" s="232"/>
      <c r="BS841" s="232"/>
      <c r="BT841" s="232"/>
      <c r="BU841" s="232"/>
      <c r="BV841" s="232"/>
      <c r="BW841" s="232"/>
      <c r="BX841" s="232"/>
      <c r="BY841" s="232"/>
      <c r="BZ841" s="232"/>
      <c r="CA841" s="232"/>
      <c r="CB841" s="232"/>
      <c r="CC841" s="232"/>
      <c r="CD841" s="232"/>
      <c r="CE841" s="232"/>
      <c r="CF841" s="232"/>
      <c r="CG841" s="232"/>
      <c r="CH841" s="232"/>
      <c r="CI841" s="232"/>
      <c r="CJ841" s="232"/>
      <c r="CK841" s="232"/>
      <c r="CL841" s="232"/>
      <c r="CM841" s="232"/>
      <c r="CN841" s="215"/>
      <c r="CO841" s="215"/>
      <c r="CP841" s="215"/>
      <c r="CQ841" s="215"/>
      <c r="CR841" s="215"/>
      <c r="CS841" s="215"/>
      <c r="CT841" s="215"/>
    </row>
    <row r="842" ht="24.0" customHeight="1">
      <c r="A842" s="287"/>
      <c r="B842" s="287"/>
      <c r="C842" s="287"/>
      <c r="D842" s="232"/>
      <c r="E842" s="232"/>
      <c r="F842" s="232"/>
      <c r="G842" s="232"/>
      <c r="H842" s="232"/>
      <c r="I842" s="232"/>
      <c r="J842" s="232"/>
      <c r="K842" s="232"/>
      <c r="L842" s="232"/>
      <c r="M842" s="232"/>
      <c r="N842" s="289"/>
      <c r="O842" s="232"/>
      <c r="P842" s="232"/>
      <c r="Q842" s="232"/>
      <c r="R842" s="232"/>
      <c r="S842" s="232"/>
      <c r="T842" s="232"/>
      <c r="U842" s="232"/>
      <c r="V842" s="232"/>
      <c r="W842" s="232"/>
      <c r="X842" s="232"/>
      <c r="Y842" s="232"/>
      <c r="Z842" s="232"/>
      <c r="AA842" s="232"/>
      <c r="AB842" s="232"/>
      <c r="AC842" s="232"/>
      <c r="AD842" s="232"/>
      <c r="AE842" s="232"/>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c r="BL842" s="232"/>
      <c r="BM842" s="232"/>
      <c r="BN842" s="232"/>
      <c r="BO842" s="232"/>
      <c r="BP842" s="232"/>
      <c r="BQ842" s="232"/>
      <c r="BR842" s="232"/>
      <c r="BS842" s="232"/>
      <c r="BT842" s="232"/>
      <c r="BU842" s="232"/>
      <c r="BV842" s="232"/>
      <c r="BW842" s="232"/>
      <c r="BX842" s="232"/>
      <c r="BY842" s="232"/>
      <c r="BZ842" s="232"/>
      <c r="CA842" s="232"/>
      <c r="CB842" s="232"/>
      <c r="CC842" s="232"/>
      <c r="CD842" s="232"/>
      <c r="CE842" s="232"/>
      <c r="CF842" s="232"/>
      <c r="CG842" s="232"/>
      <c r="CH842" s="232"/>
      <c r="CI842" s="232"/>
      <c r="CJ842" s="232"/>
      <c r="CK842" s="232"/>
      <c r="CL842" s="232"/>
      <c r="CM842" s="232"/>
      <c r="CN842" s="215"/>
      <c r="CO842" s="215"/>
      <c r="CP842" s="215"/>
      <c r="CQ842" s="215"/>
      <c r="CR842" s="215"/>
      <c r="CS842" s="215"/>
      <c r="CT842" s="215"/>
    </row>
    <row r="843" ht="24.0" customHeight="1">
      <c r="A843" s="287"/>
      <c r="B843" s="287"/>
      <c r="C843" s="287"/>
      <c r="D843" s="232"/>
      <c r="E843" s="232"/>
      <c r="F843" s="232"/>
      <c r="G843" s="232"/>
      <c r="H843" s="232"/>
      <c r="I843" s="232"/>
      <c r="J843" s="232"/>
      <c r="K843" s="232"/>
      <c r="L843" s="232"/>
      <c r="M843" s="232"/>
      <c r="N843" s="289"/>
      <c r="O843" s="232"/>
      <c r="P843" s="232"/>
      <c r="Q843" s="232"/>
      <c r="R843" s="232"/>
      <c r="S843" s="232"/>
      <c r="T843" s="232"/>
      <c r="U843" s="232"/>
      <c r="V843" s="232"/>
      <c r="W843" s="232"/>
      <c r="X843" s="232"/>
      <c r="Y843" s="232"/>
      <c r="Z843" s="232"/>
      <c r="AA843" s="232"/>
      <c r="AB843" s="232"/>
      <c r="AC843" s="232"/>
      <c r="AD843" s="232"/>
      <c r="AE843" s="232"/>
      <c r="AF843" s="232"/>
      <c r="AG843" s="232"/>
      <c r="AH843" s="232"/>
      <c r="AI843" s="232"/>
      <c r="AJ843" s="232"/>
      <c r="AK843" s="232"/>
      <c r="AL843" s="232"/>
      <c r="AM843" s="232"/>
      <c r="AN843" s="232"/>
      <c r="AO843" s="232"/>
      <c r="AP843" s="232"/>
      <c r="AQ843" s="232"/>
      <c r="AR843" s="232"/>
      <c r="AS843" s="232"/>
      <c r="AT843" s="232"/>
      <c r="AU843" s="232"/>
      <c r="AV843" s="232"/>
      <c r="AW843" s="232"/>
      <c r="AX843" s="232"/>
      <c r="AY843" s="232"/>
      <c r="AZ843" s="232"/>
      <c r="BA843" s="232"/>
      <c r="BB843" s="232"/>
      <c r="BC843" s="232"/>
      <c r="BD843" s="232"/>
      <c r="BE843" s="232"/>
      <c r="BF843" s="232"/>
      <c r="BG843" s="232"/>
      <c r="BH843" s="232"/>
      <c r="BI843" s="232"/>
      <c r="BJ843" s="232"/>
      <c r="BK843" s="232"/>
      <c r="BL843" s="232"/>
      <c r="BM843" s="232"/>
      <c r="BN843" s="232"/>
      <c r="BO843" s="232"/>
      <c r="BP843" s="232"/>
      <c r="BQ843" s="232"/>
      <c r="BR843" s="232"/>
      <c r="BS843" s="232"/>
      <c r="BT843" s="232"/>
      <c r="BU843" s="232"/>
      <c r="BV843" s="232"/>
      <c r="BW843" s="232"/>
      <c r="BX843" s="232"/>
      <c r="BY843" s="232"/>
      <c r="BZ843" s="232"/>
      <c r="CA843" s="232"/>
      <c r="CB843" s="232"/>
      <c r="CC843" s="232"/>
      <c r="CD843" s="232"/>
      <c r="CE843" s="232"/>
      <c r="CF843" s="232"/>
      <c r="CG843" s="232"/>
      <c r="CH843" s="232"/>
      <c r="CI843" s="232"/>
      <c r="CJ843" s="232"/>
      <c r="CK843" s="232"/>
      <c r="CL843" s="232"/>
      <c r="CM843" s="232"/>
      <c r="CN843" s="215"/>
      <c r="CO843" s="215"/>
      <c r="CP843" s="215"/>
      <c r="CQ843" s="215"/>
      <c r="CR843" s="215"/>
      <c r="CS843" s="215"/>
      <c r="CT843" s="215"/>
    </row>
    <row r="844" ht="24.0" customHeight="1">
      <c r="A844" s="287"/>
      <c r="B844" s="287"/>
      <c r="C844" s="287"/>
      <c r="D844" s="232"/>
      <c r="E844" s="232"/>
      <c r="F844" s="232"/>
      <c r="G844" s="232"/>
      <c r="H844" s="232"/>
      <c r="I844" s="232"/>
      <c r="J844" s="232"/>
      <c r="K844" s="232"/>
      <c r="L844" s="232"/>
      <c r="M844" s="232"/>
      <c r="N844" s="289"/>
      <c r="O844" s="232"/>
      <c r="P844" s="232"/>
      <c r="Q844" s="232"/>
      <c r="R844" s="232"/>
      <c r="S844" s="232"/>
      <c r="T844" s="232"/>
      <c r="U844" s="232"/>
      <c r="V844" s="232"/>
      <c r="W844" s="232"/>
      <c r="X844" s="232"/>
      <c r="Y844" s="232"/>
      <c r="Z844" s="232"/>
      <c r="AA844" s="232"/>
      <c r="AB844" s="232"/>
      <c r="AC844" s="232"/>
      <c r="AD844" s="232"/>
      <c r="AE844" s="232"/>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c r="BL844" s="232"/>
      <c r="BM844" s="232"/>
      <c r="BN844" s="232"/>
      <c r="BO844" s="232"/>
      <c r="BP844" s="232"/>
      <c r="BQ844" s="232"/>
      <c r="BR844" s="232"/>
      <c r="BS844" s="232"/>
      <c r="BT844" s="232"/>
      <c r="BU844" s="232"/>
      <c r="BV844" s="232"/>
      <c r="BW844" s="232"/>
      <c r="BX844" s="232"/>
      <c r="BY844" s="232"/>
      <c r="BZ844" s="232"/>
      <c r="CA844" s="232"/>
      <c r="CB844" s="232"/>
      <c r="CC844" s="232"/>
      <c r="CD844" s="232"/>
      <c r="CE844" s="232"/>
      <c r="CF844" s="232"/>
      <c r="CG844" s="232"/>
      <c r="CH844" s="232"/>
      <c r="CI844" s="232"/>
      <c r="CJ844" s="232"/>
      <c r="CK844" s="232"/>
      <c r="CL844" s="232"/>
      <c r="CM844" s="232"/>
      <c r="CN844" s="215"/>
      <c r="CO844" s="215"/>
      <c r="CP844" s="215"/>
      <c r="CQ844" s="215"/>
      <c r="CR844" s="215"/>
      <c r="CS844" s="215"/>
      <c r="CT844" s="215"/>
    </row>
    <row r="845" ht="24.0" customHeight="1">
      <c r="A845" s="287"/>
      <c r="B845" s="287"/>
      <c r="C845" s="287"/>
      <c r="D845" s="232"/>
      <c r="E845" s="232"/>
      <c r="F845" s="232"/>
      <c r="G845" s="232"/>
      <c r="H845" s="232"/>
      <c r="I845" s="232"/>
      <c r="J845" s="232"/>
      <c r="K845" s="232"/>
      <c r="L845" s="232"/>
      <c r="M845" s="232"/>
      <c r="N845" s="289"/>
      <c r="O845" s="232"/>
      <c r="P845" s="232"/>
      <c r="Q845" s="232"/>
      <c r="R845" s="232"/>
      <c r="S845" s="232"/>
      <c r="T845" s="232"/>
      <c r="U845" s="232"/>
      <c r="V845" s="232"/>
      <c r="W845" s="232"/>
      <c r="X845" s="232"/>
      <c r="Y845" s="232"/>
      <c r="Z845" s="232"/>
      <c r="AA845" s="232"/>
      <c r="AB845" s="232"/>
      <c r="AC845" s="232"/>
      <c r="AD845" s="232"/>
      <c r="AE845" s="232"/>
      <c r="AF845" s="232"/>
      <c r="AG845" s="232"/>
      <c r="AH845" s="232"/>
      <c r="AI845" s="232"/>
      <c r="AJ845" s="232"/>
      <c r="AK845" s="232"/>
      <c r="AL845" s="232"/>
      <c r="AM845" s="232"/>
      <c r="AN845" s="232"/>
      <c r="AO845" s="232"/>
      <c r="AP845" s="232"/>
      <c r="AQ845" s="232"/>
      <c r="AR845" s="232"/>
      <c r="AS845" s="232"/>
      <c r="AT845" s="232"/>
      <c r="AU845" s="232"/>
      <c r="AV845" s="232"/>
      <c r="AW845" s="232"/>
      <c r="AX845" s="232"/>
      <c r="AY845" s="232"/>
      <c r="AZ845" s="232"/>
      <c r="BA845" s="232"/>
      <c r="BB845" s="232"/>
      <c r="BC845" s="232"/>
      <c r="BD845" s="232"/>
      <c r="BE845" s="232"/>
      <c r="BF845" s="232"/>
      <c r="BG845" s="232"/>
      <c r="BH845" s="232"/>
      <c r="BI845" s="232"/>
      <c r="BJ845" s="232"/>
      <c r="BK845" s="232"/>
      <c r="BL845" s="232"/>
      <c r="BM845" s="232"/>
      <c r="BN845" s="232"/>
      <c r="BO845" s="232"/>
      <c r="BP845" s="232"/>
      <c r="BQ845" s="232"/>
      <c r="BR845" s="232"/>
      <c r="BS845" s="232"/>
      <c r="BT845" s="232"/>
      <c r="BU845" s="232"/>
      <c r="BV845" s="232"/>
      <c r="BW845" s="232"/>
      <c r="BX845" s="232"/>
      <c r="BY845" s="232"/>
      <c r="BZ845" s="232"/>
      <c r="CA845" s="232"/>
      <c r="CB845" s="232"/>
      <c r="CC845" s="232"/>
      <c r="CD845" s="232"/>
      <c r="CE845" s="232"/>
      <c r="CF845" s="232"/>
      <c r="CG845" s="232"/>
      <c r="CH845" s="232"/>
      <c r="CI845" s="232"/>
      <c r="CJ845" s="232"/>
      <c r="CK845" s="232"/>
      <c r="CL845" s="232"/>
      <c r="CM845" s="232"/>
      <c r="CN845" s="215"/>
      <c r="CO845" s="215"/>
      <c r="CP845" s="215"/>
      <c r="CQ845" s="215"/>
      <c r="CR845" s="215"/>
      <c r="CS845" s="215"/>
      <c r="CT845" s="215"/>
    </row>
    <row r="846" ht="24.0" customHeight="1">
      <c r="A846" s="287"/>
      <c r="B846" s="287"/>
      <c r="C846" s="287"/>
      <c r="D846" s="232"/>
      <c r="E846" s="232"/>
      <c r="F846" s="232"/>
      <c r="G846" s="232"/>
      <c r="H846" s="232"/>
      <c r="I846" s="232"/>
      <c r="J846" s="232"/>
      <c r="K846" s="232"/>
      <c r="L846" s="232"/>
      <c r="M846" s="232"/>
      <c r="N846" s="289"/>
      <c r="O846" s="232"/>
      <c r="P846" s="232"/>
      <c r="Q846" s="232"/>
      <c r="R846" s="232"/>
      <c r="S846" s="232"/>
      <c r="T846" s="232"/>
      <c r="U846" s="232"/>
      <c r="V846" s="232"/>
      <c r="W846" s="232"/>
      <c r="X846" s="232"/>
      <c r="Y846" s="232"/>
      <c r="Z846" s="232"/>
      <c r="AA846" s="232"/>
      <c r="AB846" s="232"/>
      <c r="AC846" s="232"/>
      <c r="AD846" s="232"/>
      <c r="AE846" s="232"/>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c r="BL846" s="232"/>
      <c r="BM846" s="232"/>
      <c r="BN846" s="232"/>
      <c r="BO846" s="232"/>
      <c r="BP846" s="232"/>
      <c r="BQ846" s="232"/>
      <c r="BR846" s="232"/>
      <c r="BS846" s="232"/>
      <c r="BT846" s="232"/>
      <c r="BU846" s="232"/>
      <c r="BV846" s="232"/>
      <c r="BW846" s="232"/>
      <c r="BX846" s="232"/>
      <c r="BY846" s="232"/>
      <c r="BZ846" s="232"/>
      <c r="CA846" s="232"/>
      <c r="CB846" s="232"/>
      <c r="CC846" s="232"/>
      <c r="CD846" s="232"/>
      <c r="CE846" s="232"/>
      <c r="CF846" s="232"/>
      <c r="CG846" s="232"/>
      <c r="CH846" s="232"/>
      <c r="CI846" s="232"/>
      <c r="CJ846" s="232"/>
      <c r="CK846" s="232"/>
      <c r="CL846" s="232"/>
      <c r="CM846" s="232"/>
      <c r="CN846" s="215"/>
      <c r="CO846" s="215"/>
      <c r="CP846" s="215"/>
      <c r="CQ846" s="215"/>
      <c r="CR846" s="215"/>
      <c r="CS846" s="215"/>
      <c r="CT846" s="215"/>
    </row>
    <row r="847" ht="24.0" customHeight="1">
      <c r="A847" s="287"/>
      <c r="B847" s="287"/>
      <c r="C847" s="287"/>
      <c r="D847" s="232"/>
      <c r="E847" s="232"/>
      <c r="F847" s="232"/>
      <c r="G847" s="232"/>
      <c r="H847" s="232"/>
      <c r="I847" s="232"/>
      <c r="J847" s="232"/>
      <c r="K847" s="232"/>
      <c r="L847" s="232"/>
      <c r="M847" s="232"/>
      <c r="N847" s="289"/>
      <c r="O847" s="232"/>
      <c r="P847" s="232"/>
      <c r="Q847" s="232"/>
      <c r="R847" s="232"/>
      <c r="S847" s="232"/>
      <c r="T847" s="232"/>
      <c r="U847" s="232"/>
      <c r="V847" s="232"/>
      <c r="W847" s="232"/>
      <c r="X847" s="232"/>
      <c r="Y847" s="232"/>
      <c r="Z847" s="232"/>
      <c r="AA847" s="232"/>
      <c r="AB847" s="232"/>
      <c r="AC847" s="232"/>
      <c r="AD847" s="232"/>
      <c r="AE847" s="232"/>
      <c r="AF847" s="232"/>
      <c r="AG847" s="232"/>
      <c r="AH847" s="232"/>
      <c r="AI847" s="232"/>
      <c r="AJ847" s="232"/>
      <c r="AK847" s="232"/>
      <c r="AL847" s="232"/>
      <c r="AM847" s="232"/>
      <c r="AN847" s="232"/>
      <c r="AO847" s="232"/>
      <c r="AP847" s="232"/>
      <c r="AQ847" s="232"/>
      <c r="AR847" s="232"/>
      <c r="AS847" s="232"/>
      <c r="AT847" s="232"/>
      <c r="AU847" s="232"/>
      <c r="AV847" s="232"/>
      <c r="AW847" s="232"/>
      <c r="AX847" s="232"/>
      <c r="AY847" s="232"/>
      <c r="AZ847" s="232"/>
      <c r="BA847" s="232"/>
      <c r="BB847" s="232"/>
      <c r="BC847" s="232"/>
      <c r="BD847" s="232"/>
      <c r="BE847" s="232"/>
      <c r="BF847" s="232"/>
      <c r="BG847" s="232"/>
      <c r="BH847" s="232"/>
      <c r="BI847" s="232"/>
      <c r="BJ847" s="232"/>
      <c r="BK847" s="232"/>
      <c r="BL847" s="232"/>
      <c r="BM847" s="232"/>
      <c r="BN847" s="232"/>
      <c r="BO847" s="232"/>
      <c r="BP847" s="232"/>
      <c r="BQ847" s="232"/>
      <c r="BR847" s="232"/>
      <c r="BS847" s="232"/>
      <c r="BT847" s="232"/>
      <c r="BU847" s="232"/>
      <c r="BV847" s="232"/>
      <c r="BW847" s="232"/>
      <c r="BX847" s="232"/>
      <c r="BY847" s="232"/>
      <c r="BZ847" s="232"/>
      <c r="CA847" s="232"/>
      <c r="CB847" s="232"/>
      <c r="CC847" s="232"/>
      <c r="CD847" s="232"/>
      <c r="CE847" s="232"/>
      <c r="CF847" s="232"/>
      <c r="CG847" s="232"/>
      <c r="CH847" s="232"/>
      <c r="CI847" s="232"/>
      <c r="CJ847" s="232"/>
      <c r="CK847" s="232"/>
      <c r="CL847" s="232"/>
      <c r="CM847" s="232"/>
      <c r="CN847" s="215"/>
      <c r="CO847" s="215"/>
      <c r="CP847" s="215"/>
      <c r="CQ847" s="215"/>
      <c r="CR847" s="215"/>
      <c r="CS847" s="215"/>
      <c r="CT847" s="215"/>
    </row>
    <row r="848" ht="24.0" customHeight="1">
      <c r="A848" s="287"/>
      <c r="B848" s="287"/>
      <c r="C848" s="287"/>
      <c r="D848" s="232"/>
      <c r="E848" s="232"/>
      <c r="F848" s="232"/>
      <c r="G848" s="232"/>
      <c r="H848" s="232"/>
      <c r="I848" s="232"/>
      <c r="J848" s="232"/>
      <c r="K848" s="232"/>
      <c r="L848" s="232"/>
      <c r="M848" s="232"/>
      <c r="N848" s="289"/>
      <c r="O848" s="232"/>
      <c r="P848" s="232"/>
      <c r="Q848" s="232"/>
      <c r="R848" s="232"/>
      <c r="S848" s="232"/>
      <c r="T848" s="232"/>
      <c r="U848" s="232"/>
      <c r="V848" s="232"/>
      <c r="W848" s="232"/>
      <c r="X848" s="232"/>
      <c r="Y848" s="232"/>
      <c r="Z848" s="232"/>
      <c r="AA848" s="232"/>
      <c r="AB848" s="232"/>
      <c r="AC848" s="232"/>
      <c r="AD848" s="232"/>
      <c r="AE848" s="232"/>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c r="BL848" s="232"/>
      <c r="BM848" s="232"/>
      <c r="BN848" s="232"/>
      <c r="BO848" s="232"/>
      <c r="BP848" s="232"/>
      <c r="BQ848" s="232"/>
      <c r="BR848" s="232"/>
      <c r="BS848" s="232"/>
      <c r="BT848" s="232"/>
      <c r="BU848" s="232"/>
      <c r="BV848" s="232"/>
      <c r="BW848" s="232"/>
      <c r="BX848" s="232"/>
      <c r="BY848" s="232"/>
      <c r="BZ848" s="232"/>
      <c r="CA848" s="232"/>
      <c r="CB848" s="232"/>
      <c r="CC848" s="232"/>
      <c r="CD848" s="232"/>
      <c r="CE848" s="232"/>
      <c r="CF848" s="232"/>
      <c r="CG848" s="232"/>
      <c r="CH848" s="232"/>
      <c r="CI848" s="232"/>
      <c r="CJ848" s="232"/>
      <c r="CK848" s="232"/>
      <c r="CL848" s="232"/>
      <c r="CM848" s="232"/>
      <c r="CN848" s="215"/>
      <c r="CO848" s="215"/>
      <c r="CP848" s="215"/>
      <c r="CQ848" s="215"/>
      <c r="CR848" s="215"/>
      <c r="CS848" s="215"/>
      <c r="CT848" s="215"/>
    </row>
    <row r="849" ht="24.0" customHeight="1">
      <c r="A849" s="287"/>
      <c r="B849" s="287"/>
      <c r="C849" s="287"/>
      <c r="D849" s="232"/>
      <c r="E849" s="232"/>
      <c r="F849" s="232"/>
      <c r="G849" s="232"/>
      <c r="H849" s="232"/>
      <c r="I849" s="232"/>
      <c r="J849" s="232"/>
      <c r="K849" s="232"/>
      <c r="L849" s="232"/>
      <c r="M849" s="232"/>
      <c r="N849" s="289"/>
      <c r="O849" s="232"/>
      <c r="P849" s="232"/>
      <c r="Q849" s="232"/>
      <c r="R849" s="232"/>
      <c r="S849" s="232"/>
      <c r="T849" s="232"/>
      <c r="U849" s="232"/>
      <c r="V849" s="232"/>
      <c r="W849" s="232"/>
      <c r="X849" s="232"/>
      <c r="Y849" s="232"/>
      <c r="Z849" s="232"/>
      <c r="AA849" s="232"/>
      <c r="AB849" s="232"/>
      <c r="AC849" s="232"/>
      <c r="AD849" s="232"/>
      <c r="AE849" s="232"/>
      <c r="AF849" s="232"/>
      <c r="AG849" s="232"/>
      <c r="AH849" s="232"/>
      <c r="AI849" s="232"/>
      <c r="AJ849" s="232"/>
      <c r="AK849" s="232"/>
      <c r="AL849" s="232"/>
      <c r="AM849" s="232"/>
      <c r="AN849" s="232"/>
      <c r="AO849" s="232"/>
      <c r="AP849" s="232"/>
      <c r="AQ849" s="232"/>
      <c r="AR849" s="232"/>
      <c r="AS849" s="232"/>
      <c r="AT849" s="232"/>
      <c r="AU849" s="232"/>
      <c r="AV849" s="232"/>
      <c r="AW849" s="232"/>
      <c r="AX849" s="232"/>
      <c r="AY849" s="232"/>
      <c r="AZ849" s="232"/>
      <c r="BA849" s="232"/>
      <c r="BB849" s="232"/>
      <c r="BC849" s="232"/>
      <c r="BD849" s="232"/>
      <c r="BE849" s="232"/>
      <c r="BF849" s="232"/>
      <c r="BG849" s="232"/>
      <c r="BH849" s="232"/>
      <c r="BI849" s="232"/>
      <c r="BJ849" s="232"/>
      <c r="BK849" s="232"/>
      <c r="BL849" s="232"/>
      <c r="BM849" s="232"/>
      <c r="BN849" s="232"/>
      <c r="BO849" s="232"/>
      <c r="BP849" s="232"/>
      <c r="BQ849" s="232"/>
      <c r="BR849" s="232"/>
      <c r="BS849" s="232"/>
      <c r="BT849" s="232"/>
      <c r="BU849" s="232"/>
      <c r="BV849" s="232"/>
      <c r="BW849" s="232"/>
      <c r="BX849" s="232"/>
      <c r="BY849" s="232"/>
      <c r="BZ849" s="232"/>
      <c r="CA849" s="232"/>
      <c r="CB849" s="232"/>
      <c r="CC849" s="232"/>
      <c r="CD849" s="232"/>
      <c r="CE849" s="232"/>
      <c r="CF849" s="232"/>
      <c r="CG849" s="232"/>
      <c r="CH849" s="232"/>
      <c r="CI849" s="232"/>
      <c r="CJ849" s="232"/>
      <c r="CK849" s="232"/>
      <c r="CL849" s="232"/>
      <c r="CM849" s="232"/>
      <c r="CN849" s="215"/>
      <c r="CO849" s="215"/>
      <c r="CP849" s="215"/>
      <c r="CQ849" s="215"/>
      <c r="CR849" s="215"/>
      <c r="CS849" s="215"/>
      <c r="CT849" s="215"/>
    </row>
    <row r="850" ht="24.0" customHeight="1">
      <c r="A850" s="287"/>
      <c r="B850" s="287"/>
      <c r="C850" s="287"/>
      <c r="D850" s="232"/>
      <c r="E850" s="232"/>
      <c r="F850" s="232"/>
      <c r="G850" s="232"/>
      <c r="H850" s="232"/>
      <c r="I850" s="232"/>
      <c r="J850" s="232"/>
      <c r="K850" s="232"/>
      <c r="L850" s="232"/>
      <c r="M850" s="232"/>
      <c r="N850" s="289"/>
      <c r="O850" s="232"/>
      <c r="P850" s="232"/>
      <c r="Q850" s="232"/>
      <c r="R850" s="232"/>
      <c r="S850" s="232"/>
      <c r="T850" s="232"/>
      <c r="U850" s="232"/>
      <c r="V850" s="232"/>
      <c r="W850" s="232"/>
      <c r="X850" s="232"/>
      <c r="Y850" s="232"/>
      <c r="Z850" s="232"/>
      <c r="AA850" s="232"/>
      <c r="AB850" s="232"/>
      <c r="AC850" s="232"/>
      <c r="AD850" s="232"/>
      <c r="AE850" s="232"/>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c r="BL850" s="232"/>
      <c r="BM850" s="232"/>
      <c r="BN850" s="232"/>
      <c r="BO850" s="232"/>
      <c r="BP850" s="232"/>
      <c r="BQ850" s="232"/>
      <c r="BR850" s="232"/>
      <c r="BS850" s="232"/>
      <c r="BT850" s="232"/>
      <c r="BU850" s="232"/>
      <c r="BV850" s="232"/>
      <c r="BW850" s="232"/>
      <c r="BX850" s="232"/>
      <c r="BY850" s="232"/>
      <c r="BZ850" s="232"/>
      <c r="CA850" s="232"/>
      <c r="CB850" s="232"/>
      <c r="CC850" s="232"/>
      <c r="CD850" s="232"/>
      <c r="CE850" s="232"/>
      <c r="CF850" s="232"/>
      <c r="CG850" s="232"/>
      <c r="CH850" s="232"/>
      <c r="CI850" s="232"/>
      <c r="CJ850" s="232"/>
      <c r="CK850" s="232"/>
      <c r="CL850" s="232"/>
      <c r="CM850" s="232"/>
      <c r="CN850" s="215"/>
      <c r="CO850" s="215"/>
      <c r="CP850" s="215"/>
      <c r="CQ850" s="215"/>
      <c r="CR850" s="215"/>
      <c r="CS850" s="215"/>
      <c r="CT850" s="215"/>
    </row>
    <row r="851" ht="24.0" customHeight="1">
      <c r="A851" s="287"/>
      <c r="B851" s="287"/>
      <c r="C851" s="287"/>
      <c r="D851" s="232"/>
      <c r="E851" s="232"/>
      <c r="F851" s="232"/>
      <c r="G851" s="232"/>
      <c r="H851" s="232"/>
      <c r="I851" s="232"/>
      <c r="J851" s="232"/>
      <c r="K851" s="232"/>
      <c r="L851" s="232"/>
      <c r="M851" s="232"/>
      <c r="N851" s="289"/>
      <c r="O851" s="232"/>
      <c r="P851" s="232"/>
      <c r="Q851" s="232"/>
      <c r="R851" s="232"/>
      <c r="S851" s="232"/>
      <c r="T851" s="232"/>
      <c r="U851" s="232"/>
      <c r="V851" s="232"/>
      <c r="W851" s="232"/>
      <c r="X851" s="232"/>
      <c r="Y851" s="232"/>
      <c r="Z851" s="232"/>
      <c r="AA851" s="232"/>
      <c r="AB851" s="232"/>
      <c r="AC851" s="232"/>
      <c r="AD851" s="232"/>
      <c r="AE851" s="232"/>
      <c r="AF851" s="232"/>
      <c r="AG851" s="232"/>
      <c r="AH851" s="232"/>
      <c r="AI851" s="232"/>
      <c r="AJ851" s="232"/>
      <c r="AK851" s="232"/>
      <c r="AL851" s="232"/>
      <c r="AM851" s="232"/>
      <c r="AN851" s="232"/>
      <c r="AO851" s="232"/>
      <c r="AP851" s="232"/>
      <c r="AQ851" s="232"/>
      <c r="AR851" s="232"/>
      <c r="AS851" s="232"/>
      <c r="AT851" s="232"/>
      <c r="AU851" s="232"/>
      <c r="AV851" s="232"/>
      <c r="AW851" s="232"/>
      <c r="AX851" s="232"/>
      <c r="AY851" s="232"/>
      <c r="AZ851" s="232"/>
      <c r="BA851" s="232"/>
      <c r="BB851" s="232"/>
      <c r="BC851" s="232"/>
      <c r="BD851" s="232"/>
      <c r="BE851" s="232"/>
      <c r="BF851" s="232"/>
      <c r="BG851" s="232"/>
      <c r="BH851" s="232"/>
      <c r="BI851" s="232"/>
      <c r="BJ851" s="232"/>
      <c r="BK851" s="232"/>
      <c r="BL851" s="232"/>
      <c r="BM851" s="232"/>
      <c r="BN851" s="232"/>
      <c r="BO851" s="232"/>
      <c r="BP851" s="232"/>
      <c r="BQ851" s="232"/>
      <c r="BR851" s="232"/>
      <c r="BS851" s="232"/>
      <c r="BT851" s="232"/>
      <c r="BU851" s="232"/>
      <c r="BV851" s="232"/>
      <c r="BW851" s="232"/>
      <c r="BX851" s="232"/>
      <c r="BY851" s="232"/>
      <c r="BZ851" s="232"/>
      <c r="CA851" s="232"/>
      <c r="CB851" s="232"/>
      <c r="CC851" s="232"/>
      <c r="CD851" s="232"/>
      <c r="CE851" s="232"/>
      <c r="CF851" s="232"/>
      <c r="CG851" s="232"/>
      <c r="CH851" s="232"/>
      <c r="CI851" s="232"/>
      <c r="CJ851" s="232"/>
      <c r="CK851" s="232"/>
      <c r="CL851" s="232"/>
      <c r="CM851" s="232"/>
      <c r="CN851" s="215"/>
      <c r="CO851" s="215"/>
      <c r="CP851" s="215"/>
      <c r="CQ851" s="215"/>
      <c r="CR851" s="215"/>
      <c r="CS851" s="215"/>
      <c r="CT851" s="215"/>
    </row>
    <row r="852" ht="24.0" customHeight="1">
      <c r="A852" s="287"/>
      <c r="B852" s="287"/>
      <c r="C852" s="287"/>
      <c r="D852" s="232"/>
      <c r="E852" s="232"/>
      <c r="F852" s="232"/>
      <c r="G852" s="232"/>
      <c r="H852" s="232"/>
      <c r="I852" s="232"/>
      <c r="J852" s="232"/>
      <c r="K852" s="232"/>
      <c r="L852" s="232"/>
      <c r="M852" s="232"/>
      <c r="N852" s="289"/>
      <c r="O852" s="232"/>
      <c r="P852" s="232"/>
      <c r="Q852" s="232"/>
      <c r="R852" s="232"/>
      <c r="S852" s="232"/>
      <c r="T852" s="232"/>
      <c r="U852" s="232"/>
      <c r="V852" s="232"/>
      <c r="W852" s="232"/>
      <c r="X852" s="232"/>
      <c r="Y852" s="232"/>
      <c r="Z852" s="232"/>
      <c r="AA852" s="232"/>
      <c r="AB852" s="232"/>
      <c r="AC852" s="232"/>
      <c r="AD852" s="232"/>
      <c r="AE852" s="232"/>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c r="BL852" s="232"/>
      <c r="BM852" s="232"/>
      <c r="BN852" s="232"/>
      <c r="BO852" s="232"/>
      <c r="BP852" s="232"/>
      <c r="BQ852" s="232"/>
      <c r="BR852" s="232"/>
      <c r="BS852" s="232"/>
      <c r="BT852" s="232"/>
      <c r="BU852" s="232"/>
      <c r="BV852" s="232"/>
      <c r="BW852" s="232"/>
      <c r="BX852" s="232"/>
      <c r="BY852" s="232"/>
      <c r="BZ852" s="232"/>
      <c r="CA852" s="232"/>
      <c r="CB852" s="232"/>
      <c r="CC852" s="232"/>
      <c r="CD852" s="232"/>
      <c r="CE852" s="232"/>
      <c r="CF852" s="232"/>
      <c r="CG852" s="232"/>
      <c r="CH852" s="232"/>
      <c r="CI852" s="232"/>
      <c r="CJ852" s="232"/>
      <c r="CK852" s="232"/>
      <c r="CL852" s="232"/>
      <c r="CM852" s="232"/>
      <c r="CN852" s="215"/>
      <c r="CO852" s="215"/>
      <c r="CP852" s="215"/>
      <c r="CQ852" s="215"/>
      <c r="CR852" s="215"/>
      <c r="CS852" s="215"/>
      <c r="CT852" s="215"/>
    </row>
    <row r="853" ht="24.0" customHeight="1">
      <c r="A853" s="287"/>
      <c r="B853" s="287"/>
      <c r="C853" s="287"/>
      <c r="D853" s="232"/>
      <c r="E853" s="232"/>
      <c r="F853" s="232"/>
      <c r="G853" s="232"/>
      <c r="H853" s="232"/>
      <c r="I853" s="232"/>
      <c r="J853" s="232"/>
      <c r="K853" s="232"/>
      <c r="L853" s="232"/>
      <c r="M853" s="232"/>
      <c r="N853" s="289"/>
      <c r="O853" s="232"/>
      <c r="P853" s="232"/>
      <c r="Q853" s="232"/>
      <c r="R853" s="232"/>
      <c r="S853" s="232"/>
      <c r="T853" s="232"/>
      <c r="U853" s="232"/>
      <c r="V853" s="232"/>
      <c r="W853" s="232"/>
      <c r="X853" s="232"/>
      <c r="Y853" s="232"/>
      <c r="Z853" s="232"/>
      <c r="AA853" s="232"/>
      <c r="AB853" s="232"/>
      <c r="AC853" s="232"/>
      <c r="AD853" s="232"/>
      <c r="AE853" s="232"/>
      <c r="AF853" s="232"/>
      <c r="AG853" s="232"/>
      <c r="AH853" s="232"/>
      <c r="AI853" s="232"/>
      <c r="AJ853" s="232"/>
      <c r="AK853" s="232"/>
      <c r="AL853" s="232"/>
      <c r="AM853" s="232"/>
      <c r="AN853" s="232"/>
      <c r="AO853" s="232"/>
      <c r="AP853" s="232"/>
      <c r="AQ853" s="232"/>
      <c r="AR853" s="232"/>
      <c r="AS853" s="232"/>
      <c r="AT853" s="232"/>
      <c r="AU853" s="232"/>
      <c r="AV853" s="232"/>
      <c r="AW853" s="232"/>
      <c r="AX853" s="232"/>
      <c r="AY853" s="232"/>
      <c r="AZ853" s="232"/>
      <c r="BA853" s="232"/>
      <c r="BB853" s="232"/>
      <c r="BC853" s="232"/>
      <c r="BD853" s="232"/>
      <c r="BE853" s="232"/>
      <c r="BF853" s="232"/>
      <c r="BG853" s="232"/>
      <c r="BH853" s="232"/>
      <c r="BI853" s="232"/>
      <c r="BJ853" s="232"/>
      <c r="BK853" s="232"/>
      <c r="BL853" s="232"/>
      <c r="BM853" s="232"/>
      <c r="BN853" s="232"/>
      <c r="BO853" s="232"/>
      <c r="BP853" s="232"/>
      <c r="BQ853" s="232"/>
      <c r="BR853" s="232"/>
      <c r="BS853" s="232"/>
      <c r="BT853" s="232"/>
      <c r="BU853" s="232"/>
      <c r="BV853" s="232"/>
      <c r="BW853" s="232"/>
      <c r="BX853" s="232"/>
      <c r="BY853" s="232"/>
      <c r="BZ853" s="232"/>
      <c r="CA853" s="232"/>
      <c r="CB853" s="232"/>
      <c r="CC853" s="232"/>
      <c r="CD853" s="232"/>
      <c r="CE853" s="232"/>
      <c r="CF853" s="232"/>
      <c r="CG853" s="232"/>
      <c r="CH853" s="232"/>
      <c r="CI853" s="232"/>
      <c r="CJ853" s="232"/>
      <c r="CK853" s="232"/>
      <c r="CL853" s="232"/>
      <c r="CM853" s="232"/>
      <c r="CN853" s="215"/>
      <c r="CO853" s="215"/>
      <c r="CP853" s="215"/>
      <c r="CQ853" s="215"/>
      <c r="CR853" s="215"/>
      <c r="CS853" s="215"/>
      <c r="CT853" s="215"/>
    </row>
    <row r="854" ht="24.0" customHeight="1">
      <c r="A854" s="287"/>
      <c r="B854" s="287"/>
      <c r="C854" s="287"/>
      <c r="D854" s="232"/>
      <c r="E854" s="232"/>
      <c r="F854" s="232"/>
      <c r="G854" s="232"/>
      <c r="H854" s="232"/>
      <c r="I854" s="232"/>
      <c r="J854" s="232"/>
      <c r="K854" s="232"/>
      <c r="L854" s="232"/>
      <c r="M854" s="232"/>
      <c r="N854" s="289"/>
      <c r="O854" s="232"/>
      <c r="P854" s="232"/>
      <c r="Q854" s="232"/>
      <c r="R854" s="232"/>
      <c r="S854" s="232"/>
      <c r="T854" s="232"/>
      <c r="U854" s="232"/>
      <c r="V854" s="232"/>
      <c r="W854" s="232"/>
      <c r="X854" s="232"/>
      <c r="Y854" s="232"/>
      <c r="Z854" s="232"/>
      <c r="AA854" s="232"/>
      <c r="AB854" s="232"/>
      <c r="AC854" s="232"/>
      <c r="AD854" s="232"/>
      <c r="AE854" s="232"/>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c r="BL854" s="232"/>
      <c r="BM854" s="232"/>
      <c r="BN854" s="232"/>
      <c r="BO854" s="232"/>
      <c r="BP854" s="232"/>
      <c r="BQ854" s="232"/>
      <c r="BR854" s="232"/>
      <c r="BS854" s="232"/>
      <c r="BT854" s="232"/>
      <c r="BU854" s="232"/>
      <c r="BV854" s="232"/>
      <c r="BW854" s="232"/>
      <c r="BX854" s="232"/>
      <c r="BY854" s="232"/>
      <c r="BZ854" s="232"/>
      <c r="CA854" s="232"/>
      <c r="CB854" s="232"/>
      <c r="CC854" s="232"/>
      <c r="CD854" s="232"/>
      <c r="CE854" s="232"/>
      <c r="CF854" s="232"/>
      <c r="CG854" s="232"/>
      <c r="CH854" s="232"/>
      <c r="CI854" s="232"/>
      <c r="CJ854" s="232"/>
      <c r="CK854" s="232"/>
      <c r="CL854" s="232"/>
      <c r="CM854" s="232"/>
      <c r="CN854" s="215"/>
      <c r="CO854" s="215"/>
      <c r="CP854" s="215"/>
      <c r="CQ854" s="215"/>
      <c r="CR854" s="215"/>
      <c r="CS854" s="215"/>
      <c r="CT854" s="215"/>
    </row>
    <row r="855" ht="24.0" customHeight="1">
      <c r="A855" s="287"/>
      <c r="B855" s="287"/>
      <c r="C855" s="287"/>
      <c r="D855" s="232"/>
      <c r="E855" s="232"/>
      <c r="F855" s="232"/>
      <c r="G855" s="232"/>
      <c r="H855" s="232"/>
      <c r="I855" s="232"/>
      <c r="J855" s="232"/>
      <c r="K855" s="232"/>
      <c r="L855" s="232"/>
      <c r="M855" s="232"/>
      <c r="N855" s="289"/>
      <c r="O855" s="232"/>
      <c r="P855" s="232"/>
      <c r="Q855" s="232"/>
      <c r="R855" s="232"/>
      <c r="S855" s="232"/>
      <c r="T855" s="232"/>
      <c r="U855" s="232"/>
      <c r="V855" s="232"/>
      <c r="W855" s="232"/>
      <c r="X855" s="232"/>
      <c r="Y855" s="232"/>
      <c r="Z855" s="232"/>
      <c r="AA855" s="232"/>
      <c r="AB855" s="232"/>
      <c r="AC855" s="232"/>
      <c r="AD855" s="232"/>
      <c r="AE855" s="232"/>
      <c r="AF855" s="232"/>
      <c r="AG855" s="232"/>
      <c r="AH855" s="232"/>
      <c r="AI855" s="232"/>
      <c r="AJ855" s="232"/>
      <c r="AK855" s="232"/>
      <c r="AL855" s="232"/>
      <c r="AM855" s="232"/>
      <c r="AN855" s="232"/>
      <c r="AO855" s="232"/>
      <c r="AP855" s="232"/>
      <c r="AQ855" s="232"/>
      <c r="AR855" s="232"/>
      <c r="AS855" s="232"/>
      <c r="AT855" s="232"/>
      <c r="AU855" s="232"/>
      <c r="AV855" s="232"/>
      <c r="AW855" s="232"/>
      <c r="AX855" s="232"/>
      <c r="AY855" s="232"/>
      <c r="AZ855" s="232"/>
      <c r="BA855" s="232"/>
      <c r="BB855" s="232"/>
      <c r="BC855" s="232"/>
      <c r="BD855" s="232"/>
      <c r="BE855" s="232"/>
      <c r="BF855" s="232"/>
      <c r="BG855" s="232"/>
      <c r="BH855" s="232"/>
      <c r="BI855" s="232"/>
      <c r="BJ855" s="232"/>
      <c r="BK855" s="232"/>
      <c r="BL855" s="232"/>
      <c r="BM855" s="232"/>
      <c r="BN855" s="232"/>
      <c r="BO855" s="232"/>
      <c r="BP855" s="232"/>
      <c r="BQ855" s="232"/>
      <c r="BR855" s="232"/>
      <c r="BS855" s="232"/>
      <c r="BT855" s="232"/>
      <c r="BU855" s="232"/>
      <c r="BV855" s="232"/>
      <c r="BW855" s="232"/>
      <c r="BX855" s="232"/>
      <c r="BY855" s="232"/>
      <c r="BZ855" s="232"/>
      <c r="CA855" s="232"/>
      <c r="CB855" s="232"/>
      <c r="CC855" s="232"/>
      <c r="CD855" s="232"/>
      <c r="CE855" s="232"/>
      <c r="CF855" s="232"/>
      <c r="CG855" s="232"/>
      <c r="CH855" s="232"/>
      <c r="CI855" s="232"/>
      <c r="CJ855" s="232"/>
      <c r="CK855" s="232"/>
      <c r="CL855" s="232"/>
      <c r="CM855" s="232"/>
      <c r="CN855" s="215"/>
      <c r="CO855" s="215"/>
      <c r="CP855" s="215"/>
      <c r="CQ855" s="215"/>
      <c r="CR855" s="215"/>
      <c r="CS855" s="215"/>
      <c r="CT855" s="215"/>
    </row>
    <row r="856" ht="24.0" customHeight="1">
      <c r="A856" s="287"/>
      <c r="B856" s="287"/>
      <c r="C856" s="287"/>
      <c r="D856" s="232"/>
      <c r="E856" s="232"/>
      <c r="F856" s="232"/>
      <c r="G856" s="232"/>
      <c r="H856" s="232"/>
      <c r="I856" s="232"/>
      <c r="J856" s="232"/>
      <c r="K856" s="232"/>
      <c r="L856" s="232"/>
      <c r="M856" s="232"/>
      <c r="N856" s="289"/>
      <c r="O856" s="232"/>
      <c r="P856" s="232"/>
      <c r="Q856" s="232"/>
      <c r="R856" s="232"/>
      <c r="S856" s="232"/>
      <c r="T856" s="232"/>
      <c r="U856" s="232"/>
      <c r="V856" s="232"/>
      <c r="W856" s="232"/>
      <c r="X856" s="232"/>
      <c r="Y856" s="232"/>
      <c r="Z856" s="232"/>
      <c r="AA856" s="232"/>
      <c r="AB856" s="232"/>
      <c r="AC856" s="232"/>
      <c r="AD856" s="232"/>
      <c r="AE856" s="232"/>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c r="BL856" s="232"/>
      <c r="BM856" s="232"/>
      <c r="BN856" s="232"/>
      <c r="BO856" s="232"/>
      <c r="BP856" s="232"/>
      <c r="BQ856" s="232"/>
      <c r="BR856" s="232"/>
      <c r="BS856" s="232"/>
      <c r="BT856" s="232"/>
      <c r="BU856" s="232"/>
      <c r="BV856" s="232"/>
      <c r="BW856" s="232"/>
      <c r="BX856" s="232"/>
      <c r="BY856" s="232"/>
      <c r="BZ856" s="232"/>
      <c r="CA856" s="232"/>
      <c r="CB856" s="232"/>
      <c r="CC856" s="232"/>
      <c r="CD856" s="232"/>
      <c r="CE856" s="232"/>
      <c r="CF856" s="232"/>
      <c r="CG856" s="232"/>
      <c r="CH856" s="232"/>
      <c r="CI856" s="232"/>
      <c r="CJ856" s="232"/>
      <c r="CK856" s="232"/>
      <c r="CL856" s="232"/>
      <c r="CM856" s="232"/>
      <c r="CN856" s="215"/>
      <c r="CO856" s="215"/>
      <c r="CP856" s="215"/>
      <c r="CQ856" s="215"/>
      <c r="CR856" s="215"/>
      <c r="CS856" s="215"/>
      <c r="CT856" s="215"/>
    </row>
    <row r="857" ht="24.0" customHeight="1">
      <c r="A857" s="287"/>
      <c r="B857" s="287"/>
      <c r="C857" s="287"/>
      <c r="D857" s="232"/>
      <c r="E857" s="232"/>
      <c r="F857" s="232"/>
      <c r="G857" s="232"/>
      <c r="H857" s="232"/>
      <c r="I857" s="232"/>
      <c r="J857" s="232"/>
      <c r="K857" s="232"/>
      <c r="L857" s="232"/>
      <c r="M857" s="232"/>
      <c r="N857" s="289"/>
      <c r="O857" s="232"/>
      <c r="P857" s="232"/>
      <c r="Q857" s="232"/>
      <c r="R857" s="232"/>
      <c r="S857" s="232"/>
      <c r="T857" s="232"/>
      <c r="U857" s="232"/>
      <c r="V857" s="232"/>
      <c r="W857" s="232"/>
      <c r="X857" s="232"/>
      <c r="Y857" s="232"/>
      <c r="Z857" s="232"/>
      <c r="AA857" s="232"/>
      <c r="AB857" s="232"/>
      <c r="AC857" s="232"/>
      <c r="AD857" s="232"/>
      <c r="AE857" s="232"/>
      <c r="AF857" s="232"/>
      <c r="AG857" s="232"/>
      <c r="AH857" s="232"/>
      <c r="AI857" s="232"/>
      <c r="AJ857" s="232"/>
      <c r="AK857" s="232"/>
      <c r="AL857" s="232"/>
      <c r="AM857" s="232"/>
      <c r="AN857" s="232"/>
      <c r="AO857" s="232"/>
      <c r="AP857" s="232"/>
      <c r="AQ857" s="232"/>
      <c r="AR857" s="232"/>
      <c r="AS857" s="232"/>
      <c r="AT857" s="232"/>
      <c r="AU857" s="232"/>
      <c r="AV857" s="232"/>
      <c r="AW857" s="232"/>
      <c r="AX857" s="232"/>
      <c r="AY857" s="232"/>
      <c r="AZ857" s="232"/>
      <c r="BA857" s="232"/>
      <c r="BB857" s="232"/>
      <c r="BC857" s="232"/>
      <c r="BD857" s="232"/>
      <c r="BE857" s="232"/>
      <c r="BF857" s="232"/>
      <c r="BG857" s="232"/>
      <c r="BH857" s="232"/>
      <c r="BI857" s="232"/>
      <c r="BJ857" s="232"/>
      <c r="BK857" s="232"/>
      <c r="BL857" s="232"/>
      <c r="BM857" s="232"/>
      <c r="BN857" s="232"/>
      <c r="BO857" s="232"/>
      <c r="BP857" s="232"/>
      <c r="BQ857" s="232"/>
      <c r="BR857" s="232"/>
      <c r="BS857" s="232"/>
      <c r="BT857" s="232"/>
      <c r="BU857" s="232"/>
      <c r="BV857" s="232"/>
      <c r="BW857" s="232"/>
      <c r="BX857" s="232"/>
      <c r="BY857" s="232"/>
      <c r="BZ857" s="232"/>
      <c r="CA857" s="232"/>
      <c r="CB857" s="232"/>
      <c r="CC857" s="232"/>
      <c r="CD857" s="232"/>
      <c r="CE857" s="232"/>
      <c r="CF857" s="232"/>
      <c r="CG857" s="232"/>
      <c r="CH857" s="232"/>
      <c r="CI857" s="232"/>
      <c r="CJ857" s="232"/>
      <c r="CK857" s="232"/>
      <c r="CL857" s="232"/>
      <c r="CM857" s="232"/>
      <c r="CN857" s="215"/>
      <c r="CO857" s="215"/>
      <c r="CP857" s="215"/>
      <c r="CQ857" s="215"/>
      <c r="CR857" s="215"/>
      <c r="CS857" s="215"/>
      <c r="CT857" s="215"/>
    </row>
    <row r="858" ht="24.0" customHeight="1">
      <c r="A858" s="287"/>
      <c r="B858" s="287"/>
      <c r="C858" s="287"/>
      <c r="D858" s="232"/>
      <c r="E858" s="232"/>
      <c r="F858" s="232"/>
      <c r="G858" s="232"/>
      <c r="H858" s="232"/>
      <c r="I858" s="232"/>
      <c r="J858" s="232"/>
      <c r="K858" s="232"/>
      <c r="L858" s="232"/>
      <c r="M858" s="232"/>
      <c r="N858" s="289"/>
      <c r="O858" s="232"/>
      <c r="P858" s="232"/>
      <c r="Q858" s="232"/>
      <c r="R858" s="232"/>
      <c r="S858" s="232"/>
      <c r="T858" s="232"/>
      <c r="U858" s="232"/>
      <c r="V858" s="232"/>
      <c r="W858" s="232"/>
      <c r="X858" s="232"/>
      <c r="Y858" s="232"/>
      <c r="Z858" s="232"/>
      <c r="AA858" s="232"/>
      <c r="AB858" s="232"/>
      <c r="AC858" s="232"/>
      <c r="AD858" s="232"/>
      <c r="AE858" s="232"/>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c r="BL858" s="232"/>
      <c r="BM858" s="232"/>
      <c r="BN858" s="232"/>
      <c r="BO858" s="232"/>
      <c r="BP858" s="232"/>
      <c r="BQ858" s="232"/>
      <c r="BR858" s="232"/>
      <c r="BS858" s="232"/>
      <c r="BT858" s="232"/>
      <c r="BU858" s="232"/>
      <c r="BV858" s="232"/>
      <c r="BW858" s="232"/>
      <c r="BX858" s="232"/>
      <c r="BY858" s="232"/>
      <c r="BZ858" s="232"/>
      <c r="CA858" s="232"/>
      <c r="CB858" s="232"/>
      <c r="CC858" s="232"/>
      <c r="CD858" s="232"/>
      <c r="CE858" s="232"/>
      <c r="CF858" s="232"/>
      <c r="CG858" s="232"/>
      <c r="CH858" s="232"/>
      <c r="CI858" s="232"/>
      <c r="CJ858" s="232"/>
      <c r="CK858" s="232"/>
      <c r="CL858" s="232"/>
      <c r="CM858" s="232"/>
      <c r="CN858" s="215"/>
      <c r="CO858" s="215"/>
      <c r="CP858" s="215"/>
      <c r="CQ858" s="215"/>
      <c r="CR858" s="215"/>
      <c r="CS858" s="215"/>
      <c r="CT858" s="215"/>
    </row>
    <row r="859" ht="24.0" customHeight="1">
      <c r="A859" s="287"/>
      <c r="B859" s="287"/>
      <c r="C859" s="287"/>
      <c r="D859" s="232"/>
      <c r="E859" s="232"/>
      <c r="F859" s="232"/>
      <c r="G859" s="232"/>
      <c r="H859" s="232"/>
      <c r="I859" s="232"/>
      <c r="J859" s="232"/>
      <c r="K859" s="232"/>
      <c r="L859" s="232"/>
      <c r="M859" s="232"/>
      <c r="N859" s="289"/>
      <c r="O859" s="232"/>
      <c r="P859" s="232"/>
      <c r="Q859" s="232"/>
      <c r="R859" s="232"/>
      <c r="S859" s="232"/>
      <c r="T859" s="232"/>
      <c r="U859" s="232"/>
      <c r="V859" s="232"/>
      <c r="W859" s="232"/>
      <c r="X859" s="232"/>
      <c r="Y859" s="232"/>
      <c r="Z859" s="232"/>
      <c r="AA859" s="232"/>
      <c r="AB859" s="232"/>
      <c r="AC859" s="232"/>
      <c r="AD859" s="232"/>
      <c r="AE859" s="232"/>
      <c r="AF859" s="232"/>
      <c r="AG859" s="232"/>
      <c r="AH859" s="232"/>
      <c r="AI859" s="232"/>
      <c r="AJ859" s="232"/>
      <c r="AK859" s="232"/>
      <c r="AL859" s="232"/>
      <c r="AM859" s="232"/>
      <c r="AN859" s="232"/>
      <c r="AO859" s="232"/>
      <c r="AP859" s="232"/>
      <c r="AQ859" s="232"/>
      <c r="AR859" s="232"/>
      <c r="AS859" s="232"/>
      <c r="AT859" s="232"/>
      <c r="AU859" s="232"/>
      <c r="AV859" s="232"/>
      <c r="AW859" s="232"/>
      <c r="AX859" s="232"/>
      <c r="AY859" s="232"/>
      <c r="AZ859" s="232"/>
      <c r="BA859" s="232"/>
      <c r="BB859" s="232"/>
      <c r="BC859" s="232"/>
      <c r="BD859" s="232"/>
      <c r="BE859" s="232"/>
      <c r="BF859" s="232"/>
      <c r="BG859" s="232"/>
      <c r="BH859" s="232"/>
      <c r="BI859" s="232"/>
      <c r="BJ859" s="232"/>
      <c r="BK859" s="232"/>
      <c r="BL859" s="232"/>
      <c r="BM859" s="232"/>
      <c r="BN859" s="232"/>
      <c r="BO859" s="232"/>
      <c r="BP859" s="232"/>
      <c r="BQ859" s="232"/>
      <c r="BR859" s="232"/>
      <c r="BS859" s="232"/>
      <c r="BT859" s="232"/>
      <c r="BU859" s="232"/>
      <c r="BV859" s="232"/>
      <c r="BW859" s="232"/>
      <c r="BX859" s="232"/>
      <c r="BY859" s="232"/>
      <c r="BZ859" s="232"/>
      <c r="CA859" s="232"/>
      <c r="CB859" s="232"/>
      <c r="CC859" s="232"/>
      <c r="CD859" s="232"/>
      <c r="CE859" s="232"/>
      <c r="CF859" s="232"/>
      <c r="CG859" s="232"/>
      <c r="CH859" s="232"/>
      <c r="CI859" s="232"/>
      <c r="CJ859" s="232"/>
      <c r="CK859" s="232"/>
      <c r="CL859" s="232"/>
      <c r="CM859" s="232"/>
      <c r="CN859" s="215"/>
      <c r="CO859" s="215"/>
      <c r="CP859" s="215"/>
      <c r="CQ859" s="215"/>
      <c r="CR859" s="215"/>
      <c r="CS859" s="215"/>
      <c r="CT859" s="215"/>
    </row>
    <row r="860" ht="24.0" customHeight="1">
      <c r="A860" s="287"/>
      <c r="B860" s="287"/>
      <c r="C860" s="287"/>
      <c r="D860" s="232"/>
      <c r="E860" s="232"/>
      <c r="F860" s="232"/>
      <c r="G860" s="232"/>
      <c r="H860" s="232"/>
      <c r="I860" s="232"/>
      <c r="J860" s="232"/>
      <c r="K860" s="232"/>
      <c r="L860" s="232"/>
      <c r="M860" s="232"/>
      <c r="N860" s="289"/>
      <c r="O860" s="232"/>
      <c r="P860" s="232"/>
      <c r="Q860" s="232"/>
      <c r="R860" s="232"/>
      <c r="S860" s="232"/>
      <c r="T860" s="232"/>
      <c r="U860" s="232"/>
      <c r="V860" s="232"/>
      <c r="W860" s="232"/>
      <c r="X860" s="232"/>
      <c r="Y860" s="232"/>
      <c r="Z860" s="232"/>
      <c r="AA860" s="232"/>
      <c r="AB860" s="232"/>
      <c r="AC860" s="232"/>
      <c r="AD860" s="232"/>
      <c r="AE860" s="232"/>
      <c r="AF860" s="232"/>
      <c r="AG860" s="232"/>
      <c r="AH860" s="232"/>
      <c r="AI860" s="232"/>
      <c r="AJ860" s="232"/>
      <c r="AK860" s="232"/>
      <c r="AL860" s="232"/>
      <c r="AM860" s="232"/>
      <c r="AN860" s="232"/>
      <c r="AO860" s="232"/>
      <c r="AP860" s="232"/>
      <c r="AQ860" s="232"/>
      <c r="AR860" s="232"/>
      <c r="AS860" s="232"/>
      <c r="AT860" s="232"/>
      <c r="AU860" s="232"/>
      <c r="AV860" s="232"/>
      <c r="AW860" s="232"/>
      <c r="AX860" s="232"/>
      <c r="AY860" s="232"/>
      <c r="AZ860" s="232"/>
      <c r="BA860" s="232"/>
      <c r="BB860" s="232"/>
      <c r="BC860" s="232"/>
      <c r="BD860" s="232"/>
      <c r="BE860" s="232"/>
      <c r="BF860" s="232"/>
      <c r="BG860" s="232"/>
      <c r="BH860" s="232"/>
      <c r="BI860" s="232"/>
      <c r="BJ860" s="232"/>
      <c r="BK860" s="232"/>
      <c r="BL860" s="232"/>
      <c r="BM860" s="232"/>
      <c r="BN860" s="232"/>
      <c r="BO860" s="232"/>
      <c r="BP860" s="232"/>
      <c r="BQ860" s="232"/>
      <c r="BR860" s="232"/>
      <c r="BS860" s="232"/>
      <c r="BT860" s="232"/>
      <c r="BU860" s="232"/>
      <c r="BV860" s="232"/>
      <c r="BW860" s="232"/>
      <c r="BX860" s="232"/>
      <c r="BY860" s="232"/>
      <c r="BZ860" s="232"/>
      <c r="CA860" s="232"/>
      <c r="CB860" s="232"/>
      <c r="CC860" s="232"/>
      <c r="CD860" s="232"/>
      <c r="CE860" s="232"/>
      <c r="CF860" s="232"/>
      <c r="CG860" s="232"/>
      <c r="CH860" s="232"/>
      <c r="CI860" s="232"/>
      <c r="CJ860" s="232"/>
      <c r="CK860" s="232"/>
      <c r="CL860" s="232"/>
      <c r="CM860" s="232"/>
      <c r="CN860" s="215"/>
      <c r="CO860" s="215"/>
      <c r="CP860" s="215"/>
      <c r="CQ860" s="215"/>
      <c r="CR860" s="215"/>
      <c r="CS860" s="215"/>
      <c r="CT860" s="215"/>
    </row>
    <row r="861" ht="24.0" customHeight="1">
      <c r="A861" s="287"/>
      <c r="B861" s="287"/>
      <c r="C861" s="287"/>
      <c r="D861" s="232"/>
      <c r="E861" s="232"/>
      <c r="F861" s="232"/>
      <c r="G861" s="232"/>
      <c r="H861" s="232"/>
      <c r="I861" s="232"/>
      <c r="J861" s="232"/>
      <c r="K861" s="232"/>
      <c r="L861" s="232"/>
      <c r="M861" s="232"/>
      <c r="N861" s="289"/>
      <c r="O861" s="232"/>
      <c r="P861" s="232"/>
      <c r="Q861" s="232"/>
      <c r="R861" s="232"/>
      <c r="S861" s="232"/>
      <c r="T861" s="232"/>
      <c r="U861" s="232"/>
      <c r="V861" s="232"/>
      <c r="W861" s="232"/>
      <c r="X861" s="232"/>
      <c r="Y861" s="232"/>
      <c r="Z861" s="232"/>
      <c r="AA861" s="232"/>
      <c r="AB861" s="232"/>
      <c r="AC861" s="232"/>
      <c r="AD861" s="232"/>
      <c r="AE861" s="232"/>
      <c r="AF861" s="232"/>
      <c r="AG861" s="232"/>
      <c r="AH861" s="232"/>
      <c r="AI861" s="232"/>
      <c r="AJ861" s="232"/>
      <c r="AK861" s="232"/>
      <c r="AL861" s="232"/>
      <c r="AM861" s="232"/>
      <c r="AN861" s="232"/>
      <c r="AO861" s="232"/>
      <c r="AP861" s="232"/>
      <c r="AQ861" s="232"/>
      <c r="AR861" s="232"/>
      <c r="AS861" s="232"/>
      <c r="AT861" s="232"/>
      <c r="AU861" s="232"/>
      <c r="AV861" s="232"/>
      <c r="AW861" s="232"/>
      <c r="AX861" s="232"/>
      <c r="AY861" s="232"/>
      <c r="AZ861" s="232"/>
      <c r="BA861" s="232"/>
      <c r="BB861" s="232"/>
      <c r="BC861" s="232"/>
      <c r="BD861" s="232"/>
      <c r="BE861" s="232"/>
      <c r="BF861" s="232"/>
      <c r="BG861" s="232"/>
      <c r="BH861" s="232"/>
      <c r="BI861" s="232"/>
      <c r="BJ861" s="232"/>
      <c r="BK861" s="232"/>
      <c r="BL861" s="232"/>
      <c r="BM861" s="232"/>
      <c r="BN861" s="232"/>
      <c r="BO861" s="232"/>
      <c r="BP861" s="232"/>
      <c r="BQ861" s="232"/>
      <c r="BR861" s="232"/>
      <c r="BS861" s="232"/>
      <c r="BT861" s="232"/>
      <c r="BU861" s="232"/>
      <c r="BV861" s="232"/>
      <c r="BW861" s="232"/>
      <c r="BX861" s="232"/>
      <c r="BY861" s="232"/>
      <c r="BZ861" s="232"/>
      <c r="CA861" s="232"/>
      <c r="CB861" s="232"/>
      <c r="CC861" s="232"/>
      <c r="CD861" s="232"/>
      <c r="CE861" s="232"/>
      <c r="CF861" s="232"/>
      <c r="CG861" s="232"/>
      <c r="CH861" s="232"/>
      <c r="CI861" s="232"/>
      <c r="CJ861" s="232"/>
      <c r="CK861" s="232"/>
      <c r="CL861" s="232"/>
      <c r="CM861" s="232"/>
      <c r="CN861" s="215"/>
      <c r="CO861" s="215"/>
      <c r="CP861" s="215"/>
      <c r="CQ861" s="215"/>
      <c r="CR861" s="215"/>
      <c r="CS861" s="215"/>
      <c r="CT861" s="215"/>
    </row>
    <row r="862" ht="24.0" customHeight="1">
      <c r="A862" s="287"/>
      <c r="B862" s="287"/>
      <c r="C862" s="287"/>
      <c r="D862" s="232"/>
      <c r="E862" s="232"/>
      <c r="F862" s="232"/>
      <c r="G862" s="232"/>
      <c r="H862" s="232"/>
      <c r="I862" s="232"/>
      <c r="J862" s="232"/>
      <c r="K862" s="232"/>
      <c r="L862" s="232"/>
      <c r="M862" s="232"/>
      <c r="N862" s="289"/>
      <c r="O862" s="232"/>
      <c r="P862" s="232"/>
      <c r="Q862" s="232"/>
      <c r="R862" s="232"/>
      <c r="S862" s="232"/>
      <c r="T862" s="232"/>
      <c r="U862" s="232"/>
      <c r="V862" s="232"/>
      <c r="W862" s="232"/>
      <c r="X862" s="232"/>
      <c r="Y862" s="232"/>
      <c r="Z862" s="232"/>
      <c r="AA862" s="232"/>
      <c r="AB862" s="232"/>
      <c r="AC862" s="232"/>
      <c r="AD862" s="232"/>
      <c r="AE862" s="232"/>
      <c r="AF862" s="232"/>
      <c r="AG862" s="232"/>
      <c r="AH862" s="232"/>
      <c r="AI862" s="232"/>
      <c r="AJ862" s="232"/>
      <c r="AK862" s="232"/>
      <c r="AL862" s="232"/>
      <c r="AM862" s="232"/>
      <c r="AN862" s="232"/>
      <c r="AO862" s="232"/>
      <c r="AP862" s="232"/>
      <c r="AQ862" s="232"/>
      <c r="AR862" s="232"/>
      <c r="AS862" s="232"/>
      <c r="AT862" s="232"/>
      <c r="AU862" s="232"/>
      <c r="AV862" s="232"/>
      <c r="AW862" s="232"/>
      <c r="AX862" s="232"/>
      <c r="AY862" s="232"/>
      <c r="AZ862" s="232"/>
      <c r="BA862" s="232"/>
      <c r="BB862" s="232"/>
      <c r="BC862" s="232"/>
      <c r="BD862" s="232"/>
      <c r="BE862" s="232"/>
      <c r="BF862" s="232"/>
      <c r="BG862" s="232"/>
      <c r="BH862" s="232"/>
      <c r="BI862" s="232"/>
      <c r="BJ862" s="232"/>
      <c r="BK862" s="232"/>
      <c r="BL862" s="232"/>
      <c r="BM862" s="232"/>
      <c r="BN862" s="232"/>
      <c r="BO862" s="232"/>
      <c r="BP862" s="232"/>
      <c r="BQ862" s="232"/>
      <c r="BR862" s="232"/>
      <c r="BS862" s="232"/>
      <c r="BT862" s="232"/>
      <c r="BU862" s="232"/>
      <c r="BV862" s="232"/>
      <c r="BW862" s="232"/>
      <c r="BX862" s="232"/>
      <c r="BY862" s="232"/>
      <c r="BZ862" s="232"/>
      <c r="CA862" s="232"/>
      <c r="CB862" s="232"/>
      <c r="CC862" s="232"/>
      <c r="CD862" s="232"/>
      <c r="CE862" s="232"/>
      <c r="CF862" s="232"/>
      <c r="CG862" s="232"/>
      <c r="CH862" s="232"/>
      <c r="CI862" s="232"/>
      <c r="CJ862" s="232"/>
      <c r="CK862" s="232"/>
      <c r="CL862" s="232"/>
      <c r="CM862" s="232"/>
      <c r="CN862" s="215"/>
      <c r="CO862" s="215"/>
      <c r="CP862" s="215"/>
      <c r="CQ862" s="215"/>
      <c r="CR862" s="215"/>
      <c r="CS862" s="215"/>
      <c r="CT862" s="215"/>
    </row>
    <row r="863" ht="24.0" customHeight="1">
      <c r="A863" s="287"/>
      <c r="B863" s="287"/>
      <c r="C863" s="287"/>
      <c r="D863" s="232"/>
      <c r="E863" s="232"/>
      <c r="F863" s="232"/>
      <c r="G863" s="232"/>
      <c r="H863" s="232"/>
      <c r="I863" s="232"/>
      <c r="J863" s="232"/>
      <c r="K863" s="232"/>
      <c r="L863" s="232"/>
      <c r="M863" s="232"/>
      <c r="N863" s="289"/>
      <c r="O863" s="232"/>
      <c r="P863" s="232"/>
      <c r="Q863" s="232"/>
      <c r="R863" s="232"/>
      <c r="S863" s="232"/>
      <c r="T863" s="232"/>
      <c r="U863" s="232"/>
      <c r="V863" s="232"/>
      <c r="W863" s="232"/>
      <c r="X863" s="232"/>
      <c r="Y863" s="232"/>
      <c r="Z863" s="232"/>
      <c r="AA863" s="232"/>
      <c r="AB863" s="232"/>
      <c r="AC863" s="232"/>
      <c r="AD863" s="232"/>
      <c r="AE863" s="232"/>
      <c r="AF863" s="232"/>
      <c r="AG863" s="232"/>
      <c r="AH863" s="232"/>
      <c r="AI863" s="232"/>
      <c r="AJ863" s="232"/>
      <c r="AK863" s="232"/>
      <c r="AL863" s="232"/>
      <c r="AM863" s="232"/>
      <c r="AN863" s="232"/>
      <c r="AO863" s="232"/>
      <c r="AP863" s="232"/>
      <c r="AQ863" s="232"/>
      <c r="AR863" s="232"/>
      <c r="AS863" s="232"/>
      <c r="AT863" s="232"/>
      <c r="AU863" s="232"/>
      <c r="AV863" s="232"/>
      <c r="AW863" s="232"/>
      <c r="AX863" s="232"/>
      <c r="AY863" s="232"/>
      <c r="AZ863" s="232"/>
      <c r="BA863" s="232"/>
      <c r="BB863" s="232"/>
      <c r="BC863" s="232"/>
      <c r="BD863" s="232"/>
      <c r="BE863" s="232"/>
      <c r="BF863" s="232"/>
      <c r="BG863" s="232"/>
      <c r="BH863" s="232"/>
      <c r="BI863" s="232"/>
      <c r="BJ863" s="232"/>
      <c r="BK863" s="232"/>
      <c r="BL863" s="232"/>
      <c r="BM863" s="232"/>
      <c r="BN863" s="232"/>
      <c r="BO863" s="232"/>
      <c r="BP863" s="232"/>
      <c r="BQ863" s="232"/>
      <c r="BR863" s="232"/>
      <c r="BS863" s="232"/>
      <c r="BT863" s="232"/>
      <c r="BU863" s="232"/>
      <c r="BV863" s="232"/>
      <c r="BW863" s="232"/>
      <c r="BX863" s="232"/>
      <c r="BY863" s="232"/>
      <c r="BZ863" s="232"/>
      <c r="CA863" s="232"/>
      <c r="CB863" s="232"/>
      <c r="CC863" s="232"/>
      <c r="CD863" s="232"/>
      <c r="CE863" s="232"/>
      <c r="CF863" s="232"/>
      <c r="CG863" s="232"/>
      <c r="CH863" s="232"/>
      <c r="CI863" s="232"/>
      <c r="CJ863" s="232"/>
      <c r="CK863" s="232"/>
      <c r="CL863" s="232"/>
      <c r="CM863" s="232"/>
      <c r="CN863" s="215"/>
      <c r="CO863" s="215"/>
      <c r="CP863" s="215"/>
      <c r="CQ863" s="215"/>
      <c r="CR863" s="215"/>
      <c r="CS863" s="215"/>
      <c r="CT863" s="215"/>
    </row>
    <row r="864" ht="24.0" customHeight="1">
      <c r="A864" s="287"/>
      <c r="B864" s="287"/>
      <c r="C864" s="287"/>
      <c r="D864" s="232"/>
      <c r="E864" s="232"/>
      <c r="F864" s="232"/>
      <c r="G864" s="232"/>
      <c r="H864" s="232"/>
      <c r="I864" s="232"/>
      <c r="J864" s="232"/>
      <c r="K864" s="232"/>
      <c r="L864" s="232"/>
      <c r="M864" s="232"/>
      <c r="N864" s="289"/>
      <c r="O864" s="232"/>
      <c r="P864" s="232"/>
      <c r="Q864" s="232"/>
      <c r="R864" s="232"/>
      <c r="S864" s="232"/>
      <c r="T864" s="232"/>
      <c r="U864" s="232"/>
      <c r="V864" s="232"/>
      <c r="W864" s="232"/>
      <c r="X864" s="232"/>
      <c r="Y864" s="232"/>
      <c r="Z864" s="232"/>
      <c r="AA864" s="232"/>
      <c r="AB864" s="232"/>
      <c r="AC864" s="232"/>
      <c r="AD864" s="232"/>
      <c r="AE864" s="232"/>
      <c r="AF864" s="232"/>
      <c r="AG864" s="232"/>
      <c r="AH864" s="232"/>
      <c r="AI864" s="232"/>
      <c r="AJ864" s="232"/>
      <c r="AK864" s="232"/>
      <c r="AL864" s="232"/>
      <c r="AM864" s="232"/>
      <c r="AN864" s="232"/>
      <c r="AO864" s="232"/>
      <c r="AP864" s="232"/>
      <c r="AQ864" s="232"/>
      <c r="AR864" s="232"/>
      <c r="AS864" s="232"/>
      <c r="AT864" s="232"/>
      <c r="AU864" s="232"/>
      <c r="AV864" s="232"/>
      <c r="AW864" s="232"/>
      <c r="AX864" s="232"/>
      <c r="AY864" s="232"/>
      <c r="AZ864" s="232"/>
      <c r="BA864" s="232"/>
      <c r="BB864" s="232"/>
      <c r="BC864" s="232"/>
      <c r="BD864" s="232"/>
      <c r="BE864" s="232"/>
      <c r="BF864" s="232"/>
      <c r="BG864" s="232"/>
      <c r="BH864" s="232"/>
      <c r="BI864" s="232"/>
      <c r="BJ864" s="232"/>
      <c r="BK864" s="232"/>
      <c r="BL864" s="232"/>
      <c r="BM864" s="232"/>
      <c r="BN864" s="232"/>
      <c r="BO864" s="232"/>
      <c r="BP864" s="232"/>
      <c r="BQ864" s="232"/>
      <c r="BR864" s="232"/>
      <c r="BS864" s="232"/>
      <c r="BT864" s="232"/>
      <c r="BU864" s="232"/>
      <c r="BV864" s="232"/>
      <c r="BW864" s="232"/>
      <c r="BX864" s="232"/>
      <c r="BY864" s="232"/>
      <c r="BZ864" s="232"/>
      <c r="CA864" s="232"/>
      <c r="CB864" s="232"/>
      <c r="CC864" s="232"/>
      <c r="CD864" s="232"/>
      <c r="CE864" s="232"/>
      <c r="CF864" s="232"/>
      <c r="CG864" s="232"/>
      <c r="CH864" s="232"/>
      <c r="CI864" s="232"/>
      <c r="CJ864" s="232"/>
      <c r="CK864" s="232"/>
      <c r="CL864" s="232"/>
      <c r="CM864" s="232"/>
      <c r="CN864" s="215"/>
      <c r="CO864" s="215"/>
      <c r="CP864" s="215"/>
      <c r="CQ864" s="215"/>
      <c r="CR864" s="215"/>
      <c r="CS864" s="215"/>
      <c r="CT864" s="215"/>
    </row>
    <row r="865" ht="24.0" customHeight="1">
      <c r="A865" s="287"/>
      <c r="B865" s="287"/>
      <c r="C865" s="287"/>
      <c r="D865" s="232"/>
      <c r="E865" s="232"/>
      <c r="F865" s="232"/>
      <c r="G865" s="232"/>
      <c r="H865" s="232"/>
      <c r="I865" s="232"/>
      <c r="J865" s="232"/>
      <c r="K865" s="232"/>
      <c r="L865" s="232"/>
      <c r="M865" s="232"/>
      <c r="N865" s="289"/>
      <c r="O865" s="232"/>
      <c r="P865" s="232"/>
      <c r="Q865" s="232"/>
      <c r="R865" s="232"/>
      <c r="S865" s="232"/>
      <c r="T865" s="232"/>
      <c r="U865" s="232"/>
      <c r="V865" s="232"/>
      <c r="W865" s="232"/>
      <c r="X865" s="232"/>
      <c r="Y865" s="232"/>
      <c r="Z865" s="232"/>
      <c r="AA865" s="232"/>
      <c r="AB865" s="232"/>
      <c r="AC865" s="232"/>
      <c r="AD865" s="232"/>
      <c r="AE865" s="232"/>
      <c r="AF865" s="232"/>
      <c r="AG865" s="232"/>
      <c r="AH865" s="232"/>
      <c r="AI865" s="232"/>
      <c r="AJ865" s="232"/>
      <c r="AK865" s="232"/>
      <c r="AL865" s="232"/>
      <c r="AM865" s="232"/>
      <c r="AN865" s="232"/>
      <c r="AO865" s="232"/>
      <c r="AP865" s="232"/>
      <c r="AQ865" s="232"/>
      <c r="AR865" s="232"/>
      <c r="AS865" s="232"/>
      <c r="AT865" s="232"/>
      <c r="AU865" s="232"/>
      <c r="AV865" s="232"/>
      <c r="AW865" s="232"/>
      <c r="AX865" s="232"/>
      <c r="AY865" s="232"/>
      <c r="AZ865" s="232"/>
      <c r="BA865" s="232"/>
      <c r="BB865" s="232"/>
      <c r="BC865" s="232"/>
      <c r="BD865" s="232"/>
      <c r="BE865" s="232"/>
      <c r="BF865" s="232"/>
      <c r="BG865" s="232"/>
      <c r="BH865" s="232"/>
      <c r="BI865" s="232"/>
      <c r="BJ865" s="232"/>
      <c r="BK865" s="232"/>
      <c r="BL865" s="232"/>
      <c r="BM865" s="232"/>
      <c r="BN865" s="232"/>
      <c r="BO865" s="232"/>
      <c r="BP865" s="232"/>
      <c r="BQ865" s="232"/>
      <c r="BR865" s="232"/>
      <c r="BS865" s="232"/>
      <c r="BT865" s="232"/>
      <c r="BU865" s="232"/>
      <c r="BV865" s="232"/>
      <c r="BW865" s="232"/>
      <c r="BX865" s="232"/>
      <c r="BY865" s="232"/>
      <c r="BZ865" s="232"/>
      <c r="CA865" s="232"/>
      <c r="CB865" s="232"/>
      <c r="CC865" s="232"/>
      <c r="CD865" s="232"/>
      <c r="CE865" s="232"/>
      <c r="CF865" s="232"/>
      <c r="CG865" s="232"/>
      <c r="CH865" s="232"/>
      <c r="CI865" s="232"/>
      <c r="CJ865" s="232"/>
      <c r="CK865" s="232"/>
      <c r="CL865" s="232"/>
      <c r="CM865" s="232"/>
      <c r="CN865" s="215"/>
      <c r="CO865" s="215"/>
      <c r="CP865" s="215"/>
      <c r="CQ865" s="215"/>
      <c r="CR865" s="215"/>
      <c r="CS865" s="215"/>
      <c r="CT865" s="215"/>
    </row>
    <row r="866" ht="24.0" customHeight="1">
      <c r="A866" s="287"/>
      <c r="B866" s="287"/>
      <c r="C866" s="287"/>
      <c r="D866" s="232"/>
      <c r="E866" s="232"/>
      <c r="F866" s="232"/>
      <c r="G866" s="232"/>
      <c r="H866" s="232"/>
      <c r="I866" s="232"/>
      <c r="J866" s="232"/>
      <c r="K866" s="232"/>
      <c r="L866" s="232"/>
      <c r="M866" s="232"/>
      <c r="N866" s="289"/>
      <c r="O866" s="232"/>
      <c r="P866" s="232"/>
      <c r="Q866" s="232"/>
      <c r="R866" s="232"/>
      <c r="S866" s="232"/>
      <c r="T866" s="232"/>
      <c r="U866" s="232"/>
      <c r="V866" s="232"/>
      <c r="W866" s="232"/>
      <c r="X866" s="232"/>
      <c r="Y866" s="232"/>
      <c r="Z866" s="232"/>
      <c r="AA866" s="232"/>
      <c r="AB866" s="232"/>
      <c r="AC866" s="232"/>
      <c r="AD866" s="232"/>
      <c r="AE866" s="232"/>
      <c r="AF866" s="232"/>
      <c r="AG866" s="232"/>
      <c r="AH866" s="232"/>
      <c r="AI866" s="232"/>
      <c r="AJ866" s="232"/>
      <c r="AK866" s="232"/>
      <c r="AL866" s="232"/>
      <c r="AM866" s="232"/>
      <c r="AN866" s="232"/>
      <c r="AO866" s="232"/>
      <c r="AP866" s="232"/>
      <c r="AQ866" s="232"/>
      <c r="AR866" s="232"/>
      <c r="AS866" s="232"/>
      <c r="AT866" s="232"/>
      <c r="AU866" s="232"/>
      <c r="AV866" s="232"/>
      <c r="AW866" s="232"/>
      <c r="AX866" s="232"/>
      <c r="AY866" s="232"/>
      <c r="AZ866" s="232"/>
      <c r="BA866" s="232"/>
      <c r="BB866" s="232"/>
      <c r="BC866" s="232"/>
      <c r="BD866" s="232"/>
      <c r="BE866" s="232"/>
      <c r="BF866" s="232"/>
      <c r="BG866" s="232"/>
      <c r="BH866" s="232"/>
      <c r="BI866" s="232"/>
      <c r="BJ866" s="232"/>
      <c r="BK866" s="232"/>
      <c r="BL866" s="232"/>
      <c r="BM866" s="232"/>
      <c r="BN866" s="232"/>
      <c r="BO866" s="232"/>
      <c r="BP866" s="232"/>
      <c r="BQ866" s="232"/>
      <c r="BR866" s="232"/>
      <c r="BS866" s="232"/>
      <c r="BT866" s="232"/>
      <c r="BU866" s="232"/>
      <c r="BV866" s="232"/>
      <c r="BW866" s="232"/>
      <c r="BX866" s="232"/>
      <c r="BY866" s="232"/>
      <c r="BZ866" s="232"/>
      <c r="CA866" s="232"/>
      <c r="CB866" s="232"/>
      <c r="CC866" s="232"/>
      <c r="CD866" s="232"/>
      <c r="CE866" s="232"/>
      <c r="CF866" s="232"/>
      <c r="CG866" s="232"/>
      <c r="CH866" s="232"/>
      <c r="CI866" s="232"/>
      <c r="CJ866" s="232"/>
      <c r="CK866" s="232"/>
      <c r="CL866" s="232"/>
      <c r="CM866" s="232"/>
      <c r="CN866" s="215"/>
      <c r="CO866" s="215"/>
      <c r="CP866" s="215"/>
      <c r="CQ866" s="215"/>
      <c r="CR866" s="215"/>
      <c r="CS866" s="215"/>
      <c r="CT866" s="215"/>
    </row>
    <row r="867" ht="24.0" customHeight="1">
      <c r="A867" s="287"/>
      <c r="B867" s="287"/>
      <c r="C867" s="287"/>
      <c r="D867" s="232"/>
      <c r="E867" s="232"/>
      <c r="F867" s="232"/>
      <c r="G867" s="232"/>
      <c r="H867" s="232"/>
      <c r="I867" s="232"/>
      <c r="J867" s="232"/>
      <c r="K867" s="232"/>
      <c r="L867" s="232"/>
      <c r="M867" s="232"/>
      <c r="N867" s="289"/>
      <c r="O867" s="232"/>
      <c r="P867" s="232"/>
      <c r="Q867" s="232"/>
      <c r="R867" s="232"/>
      <c r="S867" s="232"/>
      <c r="T867" s="232"/>
      <c r="U867" s="232"/>
      <c r="V867" s="232"/>
      <c r="W867" s="232"/>
      <c r="X867" s="232"/>
      <c r="Y867" s="232"/>
      <c r="Z867" s="232"/>
      <c r="AA867" s="232"/>
      <c r="AB867" s="232"/>
      <c r="AC867" s="232"/>
      <c r="AD867" s="232"/>
      <c r="AE867" s="232"/>
      <c r="AF867" s="232"/>
      <c r="AG867" s="232"/>
      <c r="AH867" s="232"/>
      <c r="AI867" s="232"/>
      <c r="AJ867" s="232"/>
      <c r="AK867" s="232"/>
      <c r="AL867" s="232"/>
      <c r="AM867" s="232"/>
      <c r="AN867" s="232"/>
      <c r="AO867" s="232"/>
      <c r="AP867" s="232"/>
      <c r="AQ867" s="232"/>
      <c r="AR867" s="232"/>
      <c r="AS867" s="232"/>
      <c r="AT867" s="232"/>
      <c r="AU867" s="232"/>
      <c r="AV867" s="232"/>
      <c r="AW867" s="232"/>
      <c r="AX867" s="232"/>
      <c r="AY867" s="232"/>
      <c r="AZ867" s="232"/>
      <c r="BA867" s="232"/>
      <c r="BB867" s="232"/>
      <c r="BC867" s="232"/>
      <c r="BD867" s="232"/>
      <c r="BE867" s="232"/>
      <c r="BF867" s="232"/>
      <c r="BG867" s="232"/>
      <c r="BH867" s="232"/>
      <c r="BI867" s="232"/>
      <c r="BJ867" s="232"/>
      <c r="BK867" s="232"/>
      <c r="BL867" s="232"/>
      <c r="BM867" s="232"/>
      <c r="BN867" s="232"/>
      <c r="BO867" s="232"/>
      <c r="BP867" s="232"/>
      <c r="BQ867" s="232"/>
      <c r="BR867" s="232"/>
      <c r="BS867" s="232"/>
      <c r="BT867" s="232"/>
      <c r="BU867" s="232"/>
      <c r="BV867" s="232"/>
      <c r="BW867" s="232"/>
      <c r="BX867" s="232"/>
      <c r="BY867" s="232"/>
      <c r="BZ867" s="232"/>
      <c r="CA867" s="232"/>
      <c r="CB867" s="232"/>
      <c r="CC867" s="232"/>
      <c r="CD867" s="232"/>
      <c r="CE867" s="232"/>
      <c r="CF867" s="232"/>
      <c r="CG867" s="232"/>
      <c r="CH867" s="232"/>
      <c r="CI867" s="232"/>
      <c r="CJ867" s="232"/>
      <c r="CK867" s="232"/>
      <c r="CL867" s="232"/>
      <c r="CM867" s="232"/>
      <c r="CN867" s="215"/>
      <c r="CO867" s="215"/>
      <c r="CP867" s="215"/>
      <c r="CQ867" s="215"/>
      <c r="CR867" s="215"/>
      <c r="CS867" s="215"/>
      <c r="CT867" s="215"/>
    </row>
    <row r="868" ht="24.0" customHeight="1">
      <c r="A868" s="287"/>
      <c r="B868" s="287"/>
      <c r="C868" s="287"/>
      <c r="D868" s="232"/>
      <c r="E868" s="232"/>
      <c r="F868" s="232"/>
      <c r="G868" s="232"/>
      <c r="H868" s="232"/>
      <c r="I868" s="232"/>
      <c r="J868" s="232"/>
      <c r="K868" s="232"/>
      <c r="L868" s="232"/>
      <c r="M868" s="232"/>
      <c r="N868" s="289"/>
      <c r="O868" s="232"/>
      <c r="P868" s="232"/>
      <c r="Q868" s="232"/>
      <c r="R868" s="232"/>
      <c r="S868" s="232"/>
      <c r="T868" s="232"/>
      <c r="U868" s="232"/>
      <c r="V868" s="232"/>
      <c r="W868" s="232"/>
      <c r="X868" s="232"/>
      <c r="Y868" s="232"/>
      <c r="Z868" s="232"/>
      <c r="AA868" s="232"/>
      <c r="AB868" s="232"/>
      <c r="AC868" s="232"/>
      <c r="AD868" s="232"/>
      <c r="AE868" s="232"/>
      <c r="AF868" s="232"/>
      <c r="AG868" s="232"/>
      <c r="AH868" s="232"/>
      <c r="AI868" s="232"/>
      <c r="AJ868" s="232"/>
      <c r="AK868" s="232"/>
      <c r="AL868" s="232"/>
      <c r="AM868" s="232"/>
      <c r="AN868" s="232"/>
      <c r="AO868" s="232"/>
      <c r="AP868" s="232"/>
      <c r="AQ868" s="232"/>
      <c r="AR868" s="232"/>
      <c r="AS868" s="232"/>
      <c r="AT868" s="232"/>
      <c r="AU868" s="232"/>
      <c r="AV868" s="232"/>
      <c r="AW868" s="232"/>
      <c r="AX868" s="232"/>
      <c r="AY868" s="232"/>
      <c r="AZ868" s="232"/>
      <c r="BA868" s="232"/>
      <c r="BB868" s="232"/>
      <c r="BC868" s="232"/>
      <c r="BD868" s="232"/>
      <c r="BE868" s="232"/>
      <c r="BF868" s="232"/>
      <c r="BG868" s="232"/>
      <c r="BH868" s="232"/>
      <c r="BI868" s="232"/>
      <c r="BJ868" s="232"/>
      <c r="BK868" s="232"/>
      <c r="BL868" s="232"/>
      <c r="BM868" s="232"/>
      <c r="BN868" s="232"/>
      <c r="BO868" s="232"/>
      <c r="BP868" s="232"/>
      <c r="BQ868" s="232"/>
      <c r="BR868" s="232"/>
      <c r="BS868" s="232"/>
      <c r="BT868" s="232"/>
      <c r="BU868" s="232"/>
      <c r="BV868" s="232"/>
      <c r="BW868" s="232"/>
      <c r="BX868" s="232"/>
      <c r="BY868" s="232"/>
      <c r="BZ868" s="232"/>
      <c r="CA868" s="232"/>
      <c r="CB868" s="232"/>
      <c r="CC868" s="232"/>
      <c r="CD868" s="232"/>
      <c r="CE868" s="232"/>
      <c r="CF868" s="232"/>
      <c r="CG868" s="232"/>
      <c r="CH868" s="232"/>
      <c r="CI868" s="232"/>
      <c r="CJ868" s="232"/>
      <c r="CK868" s="232"/>
      <c r="CL868" s="232"/>
      <c r="CM868" s="232"/>
      <c r="CN868" s="215"/>
      <c r="CO868" s="215"/>
      <c r="CP868" s="215"/>
      <c r="CQ868" s="215"/>
      <c r="CR868" s="215"/>
      <c r="CS868" s="215"/>
      <c r="CT868" s="215"/>
    </row>
    <row r="869" ht="24.0" customHeight="1">
      <c r="A869" s="287"/>
      <c r="B869" s="287"/>
      <c r="C869" s="287"/>
      <c r="D869" s="232"/>
      <c r="E869" s="232"/>
      <c r="F869" s="232"/>
      <c r="G869" s="232"/>
      <c r="H869" s="232"/>
      <c r="I869" s="232"/>
      <c r="J869" s="232"/>
      <c r="K869" s="232"/>
      <c r="L869" s="232"/>
      <c r="M869" s="232"/>
      <c r="N869" s="289"/>
      <c r="O869" s="232"/>
      <c r="P869" s="232"/>
      <c r="Q869" s="232"/>
      <c r="R869" s="232"/>
      <c r="S869" s="232"/>
      <c r="T869" s="232"/>
      <c r="U869" s="232"/>
      <c r="V869" s="232"/>
      <c r="W869" s="232"/>
      <c r="X869" s="232"/>
      <c r="Y869" s="232"/>
      <c r="Z869" s="232"/>
      <c r="AA869" s="232"/>
      <c r="AB869" s="232"/>
      <c r="AC869" s="232"/>
      <c r="AD869" s="232"/>
      <c r="AE869" s="232"/>
      <c r="AF869" s="232"/>
      <c r="AG869" s="232"/>
      <c r="AH869" s="232"/>
      <c r="AI869" s="232"/>
      <c r="AJ869" s="232"/>
      <c r="AK869" s="232"/>
      <c r="AL869" s="232"/>
      <c r="AM869" s="232"/>
      <c r="AN869" s="232"/>
      <c r="AO869" s="232"/>
      <c r="AP869" s="232"/>
      <c r="AQ869" s="232"/>
      <c r="AR869" s="232"/>
      <c r="AS869" s="232"/>
      <c r="AT869" s="232"/>
      <c r="AU869" s="232"/>
      <c r="AV869" s="232"/>
      <c r="AW869" s="232"/>
      <c r="AX869" s="232"/>
      <c r="AY869" s="232"/>
      <c r="AZ869" s="232"/>
      <c r="BA869" s="232"/>
      <c r="BB869" s="232"/>
      <c r="BC869" s="232"/>
      <c r="BD869" s="232"/>
      <c r="BE869" s="232"/>
      <c r="BF869" s="232"/>
      <c r="BG869" s="232"/>
      <c r="BH869" s="232"/>
      <c r="BI869" s="232"/>
      <c r="BJ869" s="232"/>
      <c r="BK869" s="232"/>
      <c r="BL869" s="232"/>
      <c r="BM869" s="232"/>
      <c r="BN869" s="232"/>
      <c r="BO869" s="232"/>
      <c r="BP869" s="232"/>
      <c r="BQ869" s="232"/>
      <c r="BR869" s="232"/>
      <c r="BS869" s="232"/>
      <c r="BT869" s="232"/>
      <c r="BU869" s="232"/>
      <c r="BV869" s="232"/>
      <c r="BW869" s="232"/>
      <c r="BX869" s="232"/>
      <c r="BY869" s="232"/>
      <c r="BZ869" s="232"/>
      <c r="CA869" s="232"/>
      <c r="CB869" s="232"/>
      <c r="CC869" s="232"/>
      <c r="CD869" s="232"/>
      <c r="CE869" s="232"/>
      <c r="CF869" s="232"/>
      <c r="CG869" s="232"/>
      <c r="CH869" s="232"/>
      <c r="CI869" s="232"/>
      <c r="CJ869" s="232"/>
      <c r="CK869" s="232"/>
      <c r="CL869" s="232"/>
      <c r="CM869" s="232"/>
      <c r="CN869" s="215"/>
      <c r="CO869" s="215"/>
      <c r="CP869" s="215"/>
      <c r="CQ869" s="215"/>
      <c r="CR869" s="215"/>
      <c r="CS869" s="215"/>
      <c r="CT869" s="215"/>
    </row>
    <row r="870" ht="24.0" customHeight="1">
      <c r="A870" s="287"/>
      <c r="B870" s="287"/>
      <c r="C870" s="287"/>
      <c r="D870" s="232"/>
      <c r="E870" s="232"/>
      <c r="F870" s="232"/>
      <c r="G870" s="232"/>
      <c r="H870" s="232"/>
      <c r="I870" s="232"/>
      <c r="J870" s="232"/>
      <c r="K870" s="232"/>
      <c r="L870" s="232"/>
      <c r="M870" s="232"/>
      <c r="N870" s="289"/>
      <c r="O870" s="232"/>
      <c r="P870" s="232"/>
      <c r="Q870" s="232"/>
      <c r="R870" s="232"/>
      <c r="S870" s="232"/>
      <c r="T870" s="232"/>
      <c r="U870" s="232"/>
      <c r="V870" s="232"/>
      <c r="W870" s="232"/>
      <c r="X870" s="232"/>
      <c r="Y870" s="232"/>
      <c r="Z870" s="232"/>
      <c r="AA870" s="232"/>
      <c r="AB870" s="232"/>
      <c r="AC870" s="232"/>
      <c r="AD870" s="232"/>
      <c r="AE870" s="232"/>
      <c r="AF870" s="232"/>
      <c r="AG870" s="232"/>
      <c r="AH870" s="232"/>
      <c r="AI870" s="232"/>
      <c r="AJ870" s="232"/>
      <c r="AK870" s="232"/>
      <c r="AL870" s="232"/>
      <c r="AM870" s="232"/>
      <c r="AN870" s="232"/>
      <c r="AO870" s="232"/>
      <c r="AP870" s="232"/>
      <c r="AQ870" s="232"/>
      <c r="AR870" s="232"/>
      <c r="AS870" s="232"/>
      <c r="AT870" s="232"/>
      <c r="AU870" s="232"/>
      <c r="AV870" s="232"/>
      <c r="AW870" s="232"/>
      <c r="AX870" s="232"/>
      <c r="AY870" s="232"/>
      <c r="AZ870" s="232"/>
      <c r="BA870" s="232"/>
      <c r="BB870" s="232"/>
      <c r="BC870" s="232"/>
      <c r="BD870" s="232"/>
      <c r="BE870" s="232"/>
      <c r="BF870" s="232"/>
      <c r="BG870" s="232"/>
      <c r="BH870" s="232"/>
      <c r="BI870" s="232"/>
      <c r="BJ870" s="232"/>
      <c r="BK870" s="232"/>
      <c r="BL870" s="232"/>
      <c r="BM870" s="232"/>
      <c r="BN870" s="232"/>
      <c r="BO870" s="232"/>
      <c r="BP870" s="232"/>
      <c r="BQ870" s="232"/>
      <c r="BR870" s="232"/>
      <c r="BS870" s="232"/>
      <c r="BT870" s="232"/>
      <c r="BU870" s="232"/>
      <c r="BV870" s="232"/>
      <c r="BW870" s="232"/>
      <c r="BX870" s="232"/>
      <c r="BY870" s="232"/>
      <c r="BZ870" s="232"/>
      <c r="CA870" s="232"/>
      <c r="CB870" s="232"/>
      <c r="CC870" s="232"/>
      <c r="CD870" s="232"/>
      <c r="CE870" s="232"/>
      <c r="CF870" s="232"/>
      <c r="CG870" s="232"/>
      <c r="CH870" s="232"/>
      <c r="CI870" s="232"/>
      <c r="CJ870" s="232"/>
      <c r="CK870" s="232"/>
      <c r="CL870" s="232"/>
      <c r="CM870" s="232"/>
      <c r="CN870" s="215"/>
      <c r="CO870" s="215"/>
      <c r="CP870" s="215"/>
      <c r="CQ870" s="215"/>
      <c r="CR870" s="215"/>
      <c r="CS870" s="215"/>
      <c r="CT870" s="215"/>
    </row>
    <row r="871" ht="24.0" customHeight="1">
      <c r="A871" s="287"/>
      <c r="B871" s="287"/>
      <c r="C871" s="287"/>
      <c r="D871" s="232"/>
      <c r="E871" s="232"/>
      <c r="F871" s="232"/>
      <c r="G871" s="232"/>
      <c r="H871" s="232"/>
      <c r="I871" s="232"/>
      <c r="J871" s="232"/>
      <c r="K871" s="232"/>
      <c r="L871" s="232"/>
      <c r="M871" s="232"/>
      <c r="N871" s="289"/>
      <c r="O871" s="232"/>
      <c r="P871" s="232"/>
      <c r="Q871" s="232"/>
      <c r="R871" s="232"/>
      <c r="S871" s="232"/>
      <c r="T871" s="232"/>
      <c r="U871" s="232"/>
      <c r="V871" s="232"/>
      <c r="W871" s="232"/>
      <c r="X871" s="232"/>
      <c r="Y871" s="232"/>
      <c r="Z871" s="232"/>
      <c r="AA871" s="232"/>
      <c r="AB871" s="232"/>
      <c r="AC871" s="232"/>
      <c r="AD871" s="232"/>
      <c r="AE871" s="232"/>
      <c r="AF871" s="232"/>
      <c r="AG871" s="232"/>
      <c r="AH871" s="232"/>
      <c r="AI871" s="232"/>
      <c r="AJ871" s="232"/>
      <c r="AK871" s="232"/>
      <c r="AL871" s="232"/>
      <c r="AM871" s="232"/>
      <c r="AN871" s="232"/>
      <c r="AO871" s="232"/>
      <c r="AP871" s="232"/>
      <c r="AQ871" s="232"/>
      <c r="AR871" s="232"/>
      <c r="AS871" s="232"/>
      <c r="AT871" s="232"/>
      <c r="AU871" s="232"/>
      <c r="AV871" s="232"/>
      <c r="AW871" s="232"/>
      <c r="AX871" s="232"/>
      <c r="AY871" s="232"/>
      <c r="AZ871" s="232"/>
      <c r="BA871" s="232"/>
      <c r="BB871" s="232"/>
      <c r="BC871" s="232"/>
      <c r="BD871" s="232"/>
      <c r="BE871" s="232"/>
      <c r="BF871" s="232"/>
      <c r="BG871" s="232"/>
      <c r="BH871" s="232"/>
      <c r="BI871" s="232"/>
      <c r="BJ871" s="232"/>
      <c r="BK871" s="232"/>
      <c r="BL871" s="232"/>
      <c r="BM871" s="232"/>
      <c r="BN871" s="232"/>
      <c r="BO871" s="232"/>
      <c r="BP871" s="232"/>
      <c r="BQ871" s="232"/>
      <c r="BR871" s="232"/>
      <c r="BS871" s="232"/>
      <c r="BT871" s="232"/>
      <c r="BU871" s="232"/>
      <c r="BV871" s="232"/>
      <c r="BW871" s="232"/>
      <c r="BX871" s="232"/>
      <c r="BY871" s="232"/>
      <c r="BZ871" s="232"/>
      <c r="CA871" s="232"/>
      <c r="CB871" s="232"/>
      <c r="CC871" s="232"/>
      <c r="CD871" s="232"/>
      <c r="CE871" s="232"/>
      <c r="CF871" s="232"/>
      <c r="CG871" s="232"/>
      <c r="CH871" s="232"/>
      <c r="CI871" s="232"/>
      <c r="CJ871" s="232"/>
      <c r="CK871" s="232"/>
      <c r="CL871" s="232"/>
      <c r="CM871" s="232"/>
      <c r="CN871" s="215"/>
      <c r="CO871" s="215"/>
      <c r="CP871" s="215"/>
      <c r="CQ871" s="215"/>
      <c r="CR871" s="215"/>
      <c r="CS871" s="215"/>
      <c r="CT871" s="215"/>
    </row>
    <row r="872" ht="24.0" customHeight="1">
      <c r="A872" s="287"/>
      <c r="B872" s="287"/>
      <c r="C872" s="287"/>
      <c r="D872" s="232"/>
      <c r="E872" s="232"/>
      <c r="F872" s="232"/>
      <c r="G872" s="232"/>
      <c r="H872" s="232"/>
      <c r="I872" s="232"/>
      <c r="J872" s="232"/>
      <c r="K872" s="232"/>
      <c r="L872" s="232"/>
      <c r="M872" s="232"/>
      <c r="N872" s="289"/>
      <c r="O872" s="232"/>
      <c r="P872" s="232"/>
      <c r="Q872" s="232"/>
      <c r="R872" s="232"/>
      <c r="S872" s="232"/>
      <c r="T872" s="232"/>
      <c r="U872" s="232"/>
      <c r="V872" s="232"/>
      <c r="W872" s="232"/>
      <c r="X872" s="232"/>
      <c r="Y872" s="232"/>
      <c r="Z872" s="232"/>
      <c r="AA872" s="232"/>
      <c r="AB872" s="232"/>
      <c r="AC872" s="232"/>
      <c r="AD872" s="232"/>
      <c r="AE872" s="232"/>
      <c r="AF872" s="232"/>
      <c r="AG872" s="232"/>
      <c r="AH872" s="232"/>
      <c r="AI872" s="232"/>
      <c r="AJ872" s="232"/>
      <c r="AK872" s="232"/>
      <c r="AL872" s="232"/>
      <c r="AM872" s="232"/>
      <c r="AN872" s="232"/>
      <c r="AO872" s="232"/>
      <c r="AP872" s="232"/>
      <c r="AQ872" s="232"/>
      <c r="AR872" s="232"/>
      <c r="AS872" s="232"/>
      <c r="AT872" s="232"/>
      <c r="AU872" s="232"/>
      <c r="AV872" s="232"/>
      <c r="AW872" s="232"/>
      <c r="AX872" s="232"/>
      <c r="AY872" s="232"/>
      <c r="AZ872" s="232"/>
      <c r="BA872" s="232"/>
      <c r="BB872" s="232"/>
      <c r="BC872" s="232"/>
      <c r="BD872" s="232"/>
      <c r="BE872" s="232"/>
      <c r="BF872" s="232"/>
      <c r="BG872" s="232"/>
      <c r="BH872" s="232"/>
      <c r="BI872" s="232"/>
      <c r="BJ872" s="232"/>
      <c r="BK872" s="232"/>
      <c r="BL872" s="232"/>
      <c r="BM872" s="232"/>
      <c r="BN872" s="232"/>
      <c r="BO872" s="232"/>
      <c r="BP872" s="232"/>
      <c r="BQ872" s="232"/>
      <c r="BR872" s="232"/>
      <c r="BS872" s="232"/>
      <c r="BT872" s="232"/>
      <c r="BU872" s="232"/>
      <c r="BV872" s="232"/>
      <c r="BW872" s="232"/>
      <c r="BX872" s="232"/>
      <c r="BY872" s="232"/>
      <c r="BZ872" s="232"/>
      <c r="CA872" s="232"/>
      <c r="CB872" s="232"/>
      <c r="CC872" s="232"/>
      <c r="CD872" s="232"/>
      <c r="CE872" s="232"/>
      <c r="CF872" s="232"/>
      <c r="CG872" s="232"/>
      <c r="CH872" s="232"/>
      <c r="CI872" s="232"/>
      <c r="CJ872" s="232"/>
      <c r="CK872" s="232"/>
      <c r="CL872" s="232"/>
      <c r="CM872" s="232"/>
      <c r="CN872" s="215"/>
      <c r="CO872" s="215"/>
      <c r="CP872" s="215"/>
      <c r="CQ872" s="215"/>
      <c r="CR872" s="215"/>
      <c r="CS872" s="215"/>
      <c r="CT872" s="215"/>
    </row>
    <row r="873" ht="24.0" customHeight="1">
      <c r="A873" s="287"/>
      <c r="B873" s="287"/>
      <c r="C873" s="287"/>
      <c r="D873" s="232"/>
      <c r="E873" s="232"/>
      <c r="F873" s="232"/>
      <c r="G873" s="232"/>
      <c r="H873" s="232"/>
      <c r="I873" s="232"/>
      <c r="J873" s="232"/>
      <c r="K873" s="232"/>
      <c r="L873" s="232"/>
      <c r="M873" s="232"/>
      <c r="N873" s="289"/>
      <c r="O873" s="232"/>
      <c r="P873" s="232"/>
      <c r="Q873" s="232"/>
      <c r="R873" s="232"/>
      <c r="S873" s="232"/>
      <c r="T873" s="232"/>
      <c r="U873" s="232"/>
      <c r="V873" s="232"/>
      <c r="W873" s="232"/>
      <c r="X873" s="232"/>
      <c r="Y873" s="232"/>
      <c r="Z873" s="232"/>
      <c r="AA873" s="232"/>
      <c r="AB873" s="232"/>
      <c r="AC873" s="232"/>
      <c r="AD873" s="232"/>
      <c r="AE873" s="232"/>
      <c r="AF873" s="232"/>
      <c r="AG873" s="232"/>
      <c r="AH873" s="232"/>
      <c r="AI873" s="232"/>
      <c r="AJ873" s="232"/>
      <c r="AK873" s="232"/>
      <c r="AL873" s="232"/>
      <c r="AM873" s="232"/>
      <c r="AN873" s="232"/>
      <c r="AO873" s="232"/>
      <c r="AP873" s="232"/>
      <c r="AQ873" s="232"/>
      <c r="AR873" s="232"/>
      <c r="AS873" s="232"/>
      <c r="AT873" s="232"/>
      <c r="AU873" s="232"/>
      <c r="AV873" s="232"/>
      <c r="AW873" s="232"/>
      <c r="AX873" s="232"/>
      <c r="AY873" s="232"/>
      <c r="AZ873" s="232"/>
      <c r="BA873" s="232"/>
      <c r="BB873" s="232"/>
      <c r="BC873" s="232"/>
      <c r="BD873" s="232"/>
      <c r="BE873" s="232"/>
      <c r="BF873" s="232"/>
      <c r="BG873" s="232"/>
      <c r="BH873" s="232"/>
      <c r="BI873" s="232"/>
      <c r="BJ873" s="232"/>
      <c r="BK873" s="232"/>
      <c r="BL873" s="232"/>
      <c r="BM873" s="232"/>
      <c r="BN873" s="232"/>
      <c r="BO873" s="232"/>
      <c r="BP873" s="232"/>
      <c r="BQ873" s="232"/>
      <c r="BR873" s="232"/>
      <c r="BS873" s="232"/>
      <c r="BT873" s="232"/>
      <c r="BU873" s="232"/>
      <c r="BV873" s="232"/>
      <c r="BW873" s="232"/>
      <c r="BX873" s="232"/>
      <c r="BY873" s="232"/>
      <c r="BZ873" s="232"/>
      <c r="CA873" s="232"/>
      <c r="CB873" s="232"/>
      <c r="CC873" s="232"/>
      <c r="CD873" s="232"/>
      <c r="CE873" s="232"/>
      <c r="CF873" s="232"/>
      <c r="CG873" s="232"/>
      <c r="CH873" s="232"/>
      <c r="CI873" s="232"/>
      <c r="CJ873" s="232"/>
      <c r="CK873" s="232"/>
      <c r="CL873" s="232"/>
      <c r="CM873" s="232"/>
      <c r="CN873" s="215"/>
      <c r="CO873" s="215"/>
      <c r="CP873" s="215"/>
      <c r="CQ873" s="215"/>
      <c r="CR873" s="215"/>
      <c r="CS873" s="215"/>
      <c r="CT873" s="215"/>
    </row>
    <row r="874" ht="24.0" customHeight="1">
      <c r="A874" s="287"/>
      <c r="B874" s="287"/>
      <c r="C874" s="287"/>
      <c r="D874" s="232"/>
      <c r="E874" s="232"/>
      <c r="F874" s="232"/>
      <c r="G874" s="232"/>
      <c r="H874" s="232"/>
      <c r="I874" s="232"/>
      <c r="J874" s="232"/>
      <c r="K874" s="232"/>
      <c r="L874" s="232"/>
      <c r="M874" s="232"/>
      <c r="N874" s="289"/>
      <c r="O874" s="232"/>
      <c r="P874" s="232"/>
      <c r="Q874" s="232"/>
      <c r="R874" s="232"/>
      <c r="S874" s="232"/>
      <c r="T874" s="232"/>
      <c r="U874" s="232"/>
      <c r="V874" s="232"/>
      <c r="W874" s="232"/>
      <c r="X874" s="232"/>
      <c r="Y874" s="232"/>
      <c r="Z874" s="232"/>
      <c r="AA874" s="232"/>
      <c r="AB874" s="232"/>
      <c r="AC874" s="232"/>
      <c r="AD874" s="232"/>
      <c r="AE874" s="232"/>
      <c r="AF874" s="232"/>
      <c r="AG874" s="232"/>
      <c r="AH874" s="232"/>
      <c r="AI874" s="232"/>
      <c r="AJ874" s="232"/>
      <c r="AK874" s="232"/>
      <c r="AL874" s="232"/>
      <c r="AM874" s="232"/>
      <c r="AN874" s="232"/>
      <c r="AO874" s="232"/>
      <c r="AP874" s="232"/>
      <c r="AQ874" s="232"/>
      <c r="AR874" s="232"/>
      <c r="AS874" s="232"/>
      <c r="AT874" s="232"/>
      <c r="AU874" s="232"/>
      <c r="AV874" s="232"/>
      <c r="AW874" s="232"/>
      <c r="AX874" s="232"/>
      <c r="AY874" s="232"/>
      <c r="AZ874" s="232"/>
      <c r="BA874" s="232"/>
      <c r="BB874" s="232"/>
      <c r="BC874" s="232"/>
      <c r="BD874" s="232"/>
      <c r="BE874" s="232"/>
      <c r="BF874" s="232"/>
      <c r="BG874" s="232"/>
      <c r="BH874" s="232"/>
      <c r="BI874" s="232"/>
      <c r="BJ874" s="232"/>
      <c r="BK874" s="232"/>
      <c r="BL874" s="232"/>
      <c r="BM874" s="232"/>
      <c r="BN874" s="232"/>
      <c r="BO874" s="232"/>
      <c r="BP874" s="232"/>
      <c r="BQ874" s="232"/>
      <c r="BR874" s="232"/>
      <c r="BS874" s="232"/>
      <c r="BT874" s="232"/>
      <c r="BU874" s="232"/>
      <c r="BV874" s="232"/>
      <c r="BW874" s="232"/>
      <c r="BX874" s="232"/>
      <c r="BY874" s="232"/>
      <c r="BZ874" s="232"/>
      <c r="CA874" s="232"/>
      <c r="CB874" s="232"/>
      <c r="CC874" s="232"/>
      <c r="CD874" s="232"/>
      <c r="CE874" s="232"/>
      <c r="CF874" s="232"/>
      <c r="CG874" s="232"/>
      <c r="CH874" s="232"/>
      <c r="CI874" s="232"/>
      <c r="CJ874" s="232"/>
      <c r="CK874" s="232"/>
      <c r="CL874" s="232"/>
      <c r="CM874" s="232"/>
      <c r="CN874" s="215"/>
      <c r="CO874" s="215"/>
      <c r="CP874" s="215"/>
      <c r="CQ874" s="215"/>
      <c r="CR874" s="215"/>
      <c r="CS874" s="215"/>
      <c r="CT874" s="215"/>
    </row>
    <row r="875" ht="24.0" customHeight="1">
      <c r="A875" s="287"/>
      <c r="B875" s="287"/>
      <c r="C875" s="287"/>
      <c r="D875" s="232"/>
      <c r="E875" s="232"/>
      <c r="F875" s="232"/>
      <c r="G875" s="232"/>
      <c r="H875" s="232"/>
      <c r="I875" s="232"/>
      <c r="J875" s="232"/>
      <c r="K875" s="232"/>
      <c r="L875" s="232"/>
      <c r="M875" s="232"/>
      <c r="N875" s="289"/>
      <c r="O875" s="232"/>
      <c r="P875" s="232"/>
      <c r="Q875" s="232"/>
      <c r="R875" s="232"/>
      <c r="S875" s="232"/>
      <c r="T875" s="232"/>
      <c r="U875" s="232"/>
      <c r="V875" s="232"/>
      <c r="W875" s="232"/>
      <c r="X875" s="232"/>
      <c r="Y875" s="232"/>
      <c r="Z875" s="232"/>
      <c r="AA875" s="232"/>
      <c r="AB875" s="232"/>
      <c r="AC875" s="232"/>
      <c r="AD875" s="232"/>
      <c r="AE875" s="232"/>
      <c r="AF875" s="232"/>
      <c r="AG875" s="232"/>
      <c r="AH875" s="232"/>
      <c r="AI875" s="232"/>
      <c r="AJ875" s="232"/>
      <c r="AK875" s="232"/>
      <c r="AL875" s="232"/>
      <c r="AM875" s="232"/>
      <c r="AN875" s="232"/>
      <c r="AO875" s="232"/>
      <c r="AP875" s="232"/>
      <c r="AQ875" s="232"/>
      <c r="AR875" s="232"/>
      <c r="AS875" s="232"/>
      <c r="AT875" s="232"/>
      <c r="AU875" s="232"/>
      <c r="AV875" s="232"/>
      <c r="AW875" s="232"/>
      <c r="AX875" s="232"/>
      <c r="AY875" s="232"/>
      <c r="AZ875" s="232"/>
      <c r="BA875" s="232"/>
      <c r="BB875" s="232"/>
      <c r="BC875" s="232"/>
      <c r="BD875" s="232"/>
      <c r="BE875" s="232"/>
      <c r="BF875" s="232"/>
      <c r="BG875" s="232"/>
      <c r="BH875" s="232"/>
      <c r="BI875" s="232"/>
      <c r="BJ875" s="232"/>
      <c r="BK875" s="232"/>
      <c r="BL875" s="232"/>
      <c r="BM875" s="232"/>
      <c r="BN875" s="232"/>
      <c r="BO875" s="232"/>
      <c r="BP875" s="232"/>
      <c r="BQ875" s="232"/>
      <c r="BR875" s="232"/>
      <c r="BS875" s="232"/>
      <c r="BT875" s="232"/>
      <c r="BU875" s="232"/>
      <c r="BV875" s="232"/>
      <c r="BW875" s="232"/>
      <c r="BX875" s="232"/>
      <c r="BY875" s="232"/>
      <c r="BZ875" s="232"/>
      <c r="CA875" s="232"/>
      <c r="CB875" s="232"/>
      <c r="CC875" s="232"/>
      <c r="CD875" s="232"/>
      <c r="CE875" s="232"/>
      <c r="CF875" s="232"/>
      <c r="CG875" s="232"/>
      <c r="CH875" s="232"/>
      <c r="CI875" s="232"/>
      <c r="CJ875" s="232"/>
      <c r="CK875" s="232"/>
      <c r="CL875" s="232"/>
      <c r="CM875" s="232"/>
      <c r="CN875" s="215"/>
      <c r="CO875" s="215"/>
      <c r="CP875" s="215"/>
      <c r="CQ875" s="215"/>
      <c r="CR875" s="215"/>
      <c r="CS875" s="215"/>
      <c r="CT875" s="215"/>
    </row>
    <row r="876" ht="24.0" customHeight="1">
      <c r="A876" s="287"/>
      <c r="B876" s="287"/>
      <c r="C876" s="287"/>
      <c r="D876" s="232"/>
      <c r="E876" s="232"/>
      <c r="F876" s="232"/>
      <c r="G876" s="232"/>
      <c r="H876" s="232"/>
      <c r="I876" s="232"/>
      <c r="J876" s="232"/>
      <c r="K876" s="232"/>
      <c r="L876" s="232"/>
      <c r="M876" s="232"/>
      <c r="N876" s="289"/>
      <c r="O876" s="232"/>
      <c r="P876" s="232"/>
      <c r="Q876" s="232"/>
      <c r="R876" s="232"/>
      <c r="S876" s="232"/>
      <c r="T876" s="232"/>
      <c r="U876" s="232"/>
      <c r="V876" s="232"/>
      <c r="W876" s="232"/>
      <c r="X876" s="232"/>
      <c r="Y876" s="232"/>
      <c r="Z876" s="232"/>
      <c r="AA876" s="232"/>
      <c r="AB876" s="232"/>
      <c r="AC876" s="232"/>
      <c r="AD876" s="232"/>
      <c r="AE876" s="232"/>
      <c r="AF876" s="232"/>
      <c r="AG876" s="232"/>
      <c r="AH876" s="232"/>
      <c r="AI876" s="232"/>
      <c r="AJ876" s="232"/>
      <c r="AK876" s="232"/>
      <c r="AL876" s="232"/>
      <c r="AM876" s="232"/>
      <c r="AN876" s="232"/>
      <c r="AO876" s="232"/>
      <c r="AP876" s="232"/>
      <c r="AQ876" s="232"/>
      <c r="AR876" s="232"/>
      <c r="AS876" s="232"/>
      <c r="AT876" s="232"/>
      <c r="AU876" s="232"/>
      <c r="AV876" s="232"/>
      <c r="AW876" s="232"/>
      <c r="AX876" s="232"/>
      <c r="AY876" s="232"/>
      <c r="AZ876" s="232"/>
      <c r="BA876" s="232"/>
      <c r="BB876" s="232"/>
      <c r="BC876" s="232"/>
      <c r="BD876" s="232"/>
      <c r="BE876" s="232"/>
      <c r="BF876" s="232"/>
      <c r="BG876" s="232"/>
      <c r="BH876" s="232"/>
      <c r="BI876" s="232"/>
      <c r="BJ876" s="232"/>
      <c r="BK876" s="232"/>
      <c r="BL876" s="232"/>
      <c r="BM876" s="232"/>
      <c r="BN876" s="232"/>
      <c r="BO876" s="232"/>
      <c r="BP876" s="232"/>
      <c r="BQ876" s="232"/>
      <c r="BR876" s="232"/>
      <c r="BS876" s="232"/>
      <c r="BT876" s="232"/>
      <c r="BU876" s="232"/>
      <c r="BV876" s="232"/>
      <c r="BW876" s="232"/>
      <c r="BX876" s="232"/>
      <c r="BY876" s="232"/>
      <c r="BZ876" s="232"/>
      <c r="CA876" s="232"/>
      <c r="CB876" s="232"/>
      <c r="CC876" s="232"/>
      <c r="CD876" s="232"/>
      <c r="CE876" s="232"/>
      <c r="CF876" s="232"/>
      <c r="CG876" s="232"/>
      <c r="CH876" s="232"/>
      <c r="CI876" s="232"/>
      <c r="CJ876" s="232"/>
      <c r="CK876" s="232"/>
      <c r="CL876" s="232"/>
      <c r="CM876" s="232"/>
      <c r="CN876" s="215"/>
      <c r="CO876" s="215"/>
      <c r="CP876" s="215"/>
      <c r="CQ876" s="215"/>
      <c r="CR876" s="215"/>
      <c r="CS876" s="215"/>
      <c r="CT876" s="215"/>
    </row>
    <row r="877" ht="24.0" customHeight="1">
      <c r="A877" s="287"/>
      <c r="B877" s="287"/>
      <c r="C877" s="287"/>
      <c r="D877" s="232"/>
      <c r="E877" s="232"/>
      <c r="F877" s="232"/>
      <c r="G877" s="232"/>
      <c r="H877" s="232"/>
      <c r="I877" s="232"/>
      <c r="J877" s="232"/>
      <c r="K877" s="232"/>
      <c r="L877" s="232"/>
      <c r="M877" s="232"/>
      <c r="N877" s="289"/>
      <c r="O877" s="232"/>
      <c r="P877" s="232"/>
      <c r="Q877" s="232"/>
      <c r="R877" s="232"/>
      <c r="S877" s="232"/>
      <c r="T877" s="232"/>
      <c r="U877" s="232"/>
      <c r="V877" s="232"/>
      <c r="W877" s="232"/>
      <c r="X877" s="232"/>
      <c r="Y877" s="232"/>
      <c r="Z877" s="232"/>
      <c r="AA877" s="232"/>
      <c r="AB877" s="232"/>
      <c r="AC877" s="232"/>
      <c r="AD877" s="232"/>
      <c r="AE877" s="232"/>
      <c r="AF877" s="232"/>
      <c r="AG877" s="232"/>
      <c r="AH877" s="232"/>
      <c r="AI877" s="232"/>
      <c r="AJ877" s="232"/>
      <c r="AK877" s="232"/>
      <c r="AL877" s="232"/>
      <c r="AM877" s="232"/>
      <c r="AN877" s="232"/>
      <c r="AO877" s="232"/>
      <c r="AP877" s="232"/>
      <c r="AQ877" s="232"/>
      <c r="AR877" s="232"/>
      <c r="AS877" s="232"/>
      <c r="AT877" s="232"/>
      <c r="AU877" s="232"/>
      <c r="AV877" s="232"/>
      <c r="AW877" s="232"/>
      <c r="AX877" s="232"/>
      <c r="AY877" s="232"/>
      <c r="AZ877" s="232"/>
      <c r="BA877" s="232"/>
      <c r="BB877" s="232"/>
      <c r="BC877" s="232"/>
      <c r="BD877" s="232"/>
      <c r="BE877" s="232"/>
      <c r="BF877" s="232"/>
      <c r="BG877" s="232"/>
      <c r="BH877" s="232"/>
      <c r="BI877" s="232"/>
      <c r="BJ877" s="232"/>
      <c r="BK877" s="232"/>
      <c r="BL877" s="232"/>
      <c r="BM877" s="232"/>
      <c r="BN877" s="232"/>
      <c r="BO877" s="232"/>
      <c r="BP877" s="232"/>
      <c r="BQ877" s="232"/>
      <c r="BR877" s="232"/>
      <c r="BS877" s="232"/>
      <c r="BT877" s="232"/>
      <c r="BU877" s="232"/>
      <c r="BV877" s="232"/>
      <c r="BW877" s="232"/>
      <c r="BX877" s="232"/>
      <c r="BY877" s="232"/>
      <c r="BZ877" s="232"/>
      <c r="CA877" s="232"/>
      <c r="CB877" s="232"/>
      <c r="CC877" s="232"/>
      <c r="CD877" s="232"/>
      <c r="CE877" s="232"/>
      <c r="CF877" s="232"/>
      <c r="CG877" s="232"/>
      <c r="CH877" s="232"/>
      <c r="CI877" s="232"/>
      <c r="CJ877" s="232"/>
      <c r="CK877" s="232"/>
      <c r="CL877" s="232"/>
      <c r="CM877" s="232"/>
      <c r="CN877" s="215"/>
      <c r="CO877" s="215"/>
      <c r="CP877" s="215"/>
      <c r="CQ877" s="215"/>
      <c r="CR877" s="215"/>
      <c r="CS877" s="215"/>
      <c r="CT877" s="215"/>
    </row>
    <row r="878" ht="24.0" customHeight="1">
      <c r="A878" s="287"/>
      <c r="B878" s="287"/>
      <c r="C878" s="287"/>
      <c r="D878" s="232"/>
      <c r="E878" s="232"/>
      <c r="F878" s="232"/>
      <c r="G878" s="232"/>
      <c r="H878" s="232"/>
      <c r="I878" s="232"/>
      <c r="J878" s="232"/>
      <c r="K878" s="232"/>
      <c r="L878" s="232"/>
      <c r="M878" s="232"/>
      <c r="N878" s="289"/>
      <c r="O878" s="232"/>
      <c r="P878" s="232"/>
      <c r="Q878" s="232"/>
      <c r="R878" s="232"/>
      <c r="S878" s="232"/>
      <c r="T878" s="232"/>
      <c r="U878" s="232"/>
      <c r="V878" s="232"/>
      <c r="W878" s="232"/>
      <c r="X878" s="232"/>
      <c r="Y878" s="232"/>
      <c r="Z878" s="232"/>
      <c r="AA878" s="232"/>
      <c r="AB878" s="232"/>
      <c r="AC878" s="232"/>
      <c r="AD878" s="232"/>
      <c r="AE878" s="232"/>
      <c r="AF878" s="232"/>
      <c r="AG878" s="232"/>
      <c r="AH878" s="232"/>
      <c r="AI878" s="232"/>
      <c r="AJ878" s="232"/>
      <c r="AK878" s="232"/>
      <c r="AL878" s="232"/>
      <c r="AM878" s="232"/>
      <c r="AN878" s="232"/>
      <c r="AO878" s="232"/>
      <c r="AP878" s="232"/>
      <c r="AQ878" s="232"/>
      <c r="AR878" s="232"/>
      <c r="AS878" s="232"/>
      <c r="AT878" s="232"/>
      <c r="AU878" s="232"/>
      <c r="AV878" s="232"/>
      <c r="AW878" s="232"/>
      <c r="AX878" s="232"/>
      <c r="AY878" s="232"/>
      <c r="AZ878" s="232"/>
      <c r="BA878" s="232"/>
      <c r="BB878" s="232"/>
      <c r="BC878" s="232"/>
      <c r="BD878" s="232"/>
      <c r="BE878" s="232"/>
      <c r="BF878" s="232"/>
      <c r="BG878" s="232"/>
      <c r="BH878" s="232"/>
      <c r="BI878" s="232"/>
      <c r="BJ878" s="232"/>
      <c r="BK878" s="232"/>
      <c r="BL878" s="232"/>
      <c r="BM878" s="232"/>
      <c r="BN878" s="232"/>
      <c r="BO878" s="232"/>
      <c r="BP878" s="232"/>
      <c r="BQ878" s="232"/>
      <c r="BR878" s="232"/>
      <c r="BS878" s="232"/>
      <c r="BT878" s="232"/>
      <c r="BU878" s="232"/>
      <c r="BV878" s="232"/>
      <c r="BW878" s="232"/>
      <c r="BX878" s="232"/>
      <c r="BY878" s="232"/>
      <c r="BZ878" s="232"/>
      <c r="CA878" s="232"/>
      <c r="CB878" s="232"/>
      <c r="CC878" s="232"/>
      <c r="CD878" s="232"/>
      <c r="CE878" s="232"/>
      <c r="CF878" s="232"/>
      <c r="CG878" s="232"/>
      <c r="CH878" s="232"/>
      <c r="CI878" s="232"/>
      <c r="CJ878" s="232"/>
      <c r="CK878" s="232"/>
      <c r="CL878" s="232"/>
      <c r="CM878" s="232"/>
      <c r="CN878" s="215"/>
      <c r="CO878" s="215"/>
      <c r="CP878" s="215"/>
      <c r="CQ878" s="215"/>
      <c r="CR878" s="215"/>
      <c r="CS878" s="215"/>
      <c r="CT878" s="215"/>
    </row>
    <row r="879" ht="24.0" customHeight="1">
      <c r="A879" s="287"/>
      <c r="B879" s="287"/>
      <c r="C879" s="287"/>
      <c r="D879" s="232"/>
      <c r="E879" s="232"/>
      <c r="F879" s="232"/>
      <c r="G879" s="232"/>
      <c r="H879" s="232"/>
      <c r="I879" s="232"/>
      <c r="J879" s="232"/>
      <c r="K879" s="232"/>
      <c r="L879" s="232"/>
      <c r="M879" s="232"/>
      <c r="N879" s="289"/>
      <c r="O879" s="232"/>
      <c r="P879" s="232"/>
      <c r="Q879" s="232"/>
      <c r="R879" s="232"/>
      <c r="S879" s="232"/>
      <c r="T879" s="232"/>
      <c r="U879" s="232"/>
      <c r="V879" s="232"/>
      <c r="W879" s="232"/>
      <c r="X879" s="232"/>
      <c r="Y879" s="232"/>
      <c r="Z879" s="232"/>
      <c r="AA879" s="232"/>
      <c r="AB879" s="232"/>
      <c r="AC879" s="232"/>
      <c r="AD879" s="232"/>
      <c r="AE879" s="232"/>
      <c r="AF879" s="232"/>
      <c r="AG879" s="232"/>
      <c r="AH879" s="232"/>
      <c r="AI879" s="232"/>
      <c r="AJ879" s="232"/>
      <c r="AK879" s="232"/>
      <c r="AL879" s="232"/>
      <c r="AM879" s="232"/>
      <c r="AN879" s="232"/>
      <c r="AO879" s="232"/>
      <c r="AP879" s="232"/>
      <c r="AQ879" s="232"/>
      <c r="AR879" s="232"/>
      <c r="AS879" s="232"/>
      <c r="AT879" s="232"/>
      <c r="AU879" s="232"/>
      <c r="AV879" s="232"/>
      <c r="AW879" s="232"/>
      <c r="AX879" s="232"/>
      <c r="AY879" s="232"/>
      <c r="AZ879" s="232"/>
      <c r="BA879" s="232"/>
      <c r="BB879" s="232"/>
      <c r="BC879" s="232"/>
      <c r="BD879" s="232"/>
      <c r="BE879" s="232"/>
      <c r="BF879" s="232"/>
      <c r="BG879" s="232"/>
      <c r="BH879" s="232"/>
      <c r="BI879" s="232"/>
      <c r="BJ879" s="232"/>
      <c r="BK879" s="232"/>
      <c r="BL879" s="232"/>
      <c r="BM879" s="232"/>
      <c r="BN879" s="232"/>
      <c r="BO879" s="232"/>
      <c r="BP879" s="232"/>
      <c r="BQ879" s="232"/>
      <c r="BR879" s="232"/>
      <c r="BS879" s="232"/>
      <c r="BT879" s="232"/>
      <c r="BU879" s="232"/>
      <c r="BV879" s="232"/>
      <c r="BW879" s="232"/>
      <c r="BX879" s="232"/>
      <c r="BY879" s="232"/>
      <c r="BZ879" s="232"/>
      <c r="CA879" s="232"/>
      <c r="CB879" s="232"/>
      <c r="CC879" s="232"/>
      <c r="CD879" s="232"/>
      <c r="CE879" s="232"/>
      <c r="CF879" s="232"/>
      <c r="CG879" s="232"/>
      <c r="CH879" s="232"/>
      <c r="CI879" s="232"/>
      <c r="CJ879" s="232"/>
      <c r="CK879" s="232"/>
      <c r="CL879" s="232"/>
      <c r="CM879" s="232"/>
      <c r="CN879" s="215"/>
      <c r="CO879" s="215"/>
      <c r="CP879" s="215"/>
      <c r="CQ879" s="215"/>
      <c r="CR879" s="215"/>
      <c r="CS879" s="215"/>
      <c r="CT879" s="215"/>
    </row>
    <row r="880" ht="24.0" customHeight="1">
      <c r="A880" s="287"/>
      <c r="B880" s="287"/>
      <c r="C880" s="287"/>
      <c r="D880" s="232"/>
      <c r="E880" s="232"/>
      <c r="F880" s="232"/>
      <c r="G880" s="232"/>
      <c r="H880" s="232"/>
      <c r="I880" s="232"/>
      <c r="J880" s="232"/>
      <c r="K880" s="232"/>
      <c r="L880" s="232"/>
      <c r="M880" s="232"/>
      <c r="N880" s="289"/>
      <c r="O880" s="232"/>
      <c r="P880" s="232"/>
      <c r="Q880" s="232"/>
      <c r="R880" s="232"/>
      <c r="S880" s="232"/>
      <c r="T880" s="232"/>
      <c r="U880" s="232"/>
      <c r="V880" s="232"/>
      <c r="W880" s="232"/>
      <c r="X880" s="232"/>
      <c r="Y880" s="232"/>
      <c r="Z880" s="232"/>
      <c r="AA880" s="232"/>
      <c r="AB880" s="232"/>
      <c r="AC880" s="232"/>
      <c r="AD880" s="232"/>
      <c r="AE880" s="232"/>
      <c r="AF880" s="232"/>
      <c r="AG880" s="232"/>
      <c r="AH880" s="232"/>
      <c r="AI880" s="232"/>
      <c r="AJ880" s="232"/>
      <c r="AK880" s="232"/>
      <c r="AL880" s="232"/>
      <c r="AM880" s="232"/>
      <c r="AN880" s="232"/>
      <c r="AO880" s="232"/>
      <c r="AP880" s="232"/>
      <c r="AQ880" s="232"/>
      <c r="AR880" s="232"/>
      <c r="AS880" s="232"/>
      <c r="AT880" s="232"/>
      <c r="AU880" s="232"/>
      <c r="AV880" s="232"/>
      <c r="AW880" s="232"/>
      <c r="AX880" s="232"/>
      <c r="AY880" s="232"/>
      <c r="AZ880" s="232"/>
      <c r="BA880" s="232"/>
      <c r="BB880" s="232"/>
      <c r="BC880" s="232"/>
      <c r="BD880" s="232"/>
      <c r="BE880" s="232"/>
      <c r="BF880" s="232"/>
      <c r="BG880" s="232"/>
      <c r="BH880" s="232"/>
      <c r="BI880" s="232"/>
      <c r="BJ880" s="232"/>
      <c r="BK880" s="232"/>
      <c r="BL880" s="232"/>
      <c r="BM880" s="232"/>
      <c r="BN880" s="232"/>
      <c r="BO880" s="232"/>
      <c r="BP880" s="232"/>
      <c r="BQ880" s="232"/>
      <c r="BR880" s="232"/>
      <c r="BS880" s="232"/>
      <c r="BT880" s="232"/>
      <c r="BU880" s="232"/>
      <c r="BV880" s="232"/>
      <c r="BW880" s="232"/>
      <c r="BX880" s="232"/>
      <c r="BY880" s="232"/>
      <c r="BZ880" s="232"/>
      <c r="CA880" s="232"/>
      <c r="CB880" s="232"/>
      <c r="CC880" s="232"/>
      <c r="CD880" s="232"/>
      <c r="CE880" s="232"/>
      <c r="CF880" s="232"/>
      <c r="CG880" s="232"/>
      <c r="CH880" s="232"/>
      <c r="CI880" s="232"/>
      <c r="CJ880" s="232"/>
      <c r="CK880" s="232"/>
      <c r="CL880" s="232"/>
      <c r="CM880" s="232"/>
      <c r="CN880" s="215"/>
      <c r="CO880" s="215"/>
      <c r="CP880" s="215"/>
      <c r="CQ880" s="215"/>
      <c r="CR880" s="215"/>
      <c r="CS880" s="215"/>
      <c r="CT880" s="215"/>
    </row>
    <row r="881" ht="24.0" customHeight="1">
      <c r="A881" s="287"/>
      <c r="B881" s="287"/>
      <c r="C881" s="287"/>
      <c r="D881" s="232"/>
      <c r="E881" s="232"/>
      <c r="F881" s="232"/>
      <c r="G881" s="232"/>
      <c r="H881" s="232"/>
      <c r="I881" s="232"/>
      <c r="J881" s="232"/>
      <c r="K881" s="232"/>
      <c r="L881" s="232"/>
      <c r="M881" s="232"/>
      <c r="N881" s="289"/>
      <c r="O881" s="232"/>
      <c r="P881" s="232"/>
      <c r="Q881" s="232"/>
      <c r="R881" s="232"/>
      <c r="S881" s="232"/>
      <c r="T881" s="232"/>
      <c r="U881" s="232"/>
      <c r="V881" s="232"/>
      <c r="W881" s="232"/>
      <c r="X881" s="232"/>
      <c r="Y881" s="232"/>
      <c r="Z881" s="232"/>
      <c r="AA881" s="232"/>
      <c r="AB881" s="232"/>
      <c r="AC881" s="232"/>
      <c r="AD881" s="232"/>
      <c r="AE881" s="232"/>
      <c r="AF881" s="232"/>
      <c r="AG881" s="232"/>
      <c r="AH881" s="232"/>
      <c r="AI881" s="232"/>
      <c r="AJ881" s="232"/>
      <c r="AK881" s="232"/>
      <c r="AL881" s="232"/>
      <c r="AM881" s="232"/>
      <c r="AN881" s="232"/>
      <c r="AO881" s="232"/>
      <c r="AP881" s="232"/>
      <c r="AQ881" s="232"/>
      <c r="AR881" s="232"/>
      <c r="AS881" s="232"/>
      <c r="AT881" s="232"/>
      <c r="AU881" s="232"/>
      <c r="AV881" s="232"/>
      <c r="AW881" s="232"/>
      <c r="AX881" s="232"/>
      <c r="AY881" s="232"/>
      <c r="AZ881" s="232"/>
      <c r="BA881" s="232"/>
      <c r="BB881" s="232"/>
      <c r="BC881" s="232"/>
      <c r="BD881" s="232"/>
      <c r="BE881" s="232"/>
      <c r="BF881" s="232"/>
      <c r="BG881" s="232"/>
      <c r="BH881" s="232"/>
      <c r="BI881" s="232"/>
      <c r="BJ881" s="232"/>
      <c r="BK881" s="232"/>
      <c r="BL881" s="232"/>
      <c r="BM881" s="232"/>
      <c r="BN881" s="232"/>
      <c r="BO881" s="232"/>
      <c r="BP881" s="232"/>
      <c r="BQ881" s="232"/>
      <c r="BR881" s="232"/>
      <c r="BS881" s="232"/>
      <c r="BT881" s="232"/>
      <c r="BU881" s="232"/>
      <c r="BV881" s="232"/>
      <c r="BW881" s="232"/>
      <c r="BX881" s="232"/>
      <c r="BY881" s="232"/>
      <c r="BZ881" s="232"/>
      <c r="CA881" s="232"/>
      <c r="CB881" s="232"/>
      <c r="CC881" s="232"/>
      <c r="CD881" s="232"/>
      <c r="CE881" s="232"/>
      <c r="CF881" s="232"/>
      <c r="CG881" s="232"/>
      <c r="CH881" s="232"/>
      <c r="CI881" s="232"/>
      <c r="CJ881" s="232"/>
      <c r="CK881" s="232"/>
      <c r="CL881" s="232"/>
      <c r="CM881" s="232"/>
      <c r="CN881" s="215"/>
      <c r="CO881" s="215"/>
      <c r="CP881" s="215"/>
      <c r="CQ881" s="215"/>
      <c r="CR881" s="215"/>
      <c r="CS881" s="215"/>
      <c r="CT881" s="215"/>
    </row>
    <row r="882" ht="24.0" customHeight="1">
      <c r="A882" s="287"/>
      <c r="B882" s="287"/>
      <c r="C882" s="287"/>
      <c r="D882" s="232"/>
      <c r="E882" s="232"/>
      <c r="F882" s="232"/>
      <c r="G882" s="232"/>
      <c r="H882" s="232"/>
      <c r="I882" s="232"/>
      <c r="J882" s="232"/>
      <c r="K882" s="232"/>
      <c r="L882" s="232"/>
      <c r="M882" s="232"/>
      <c r="N882" s="289"/>
      <c r="O882" s="232"/>
      <c r="P882" s="232"/>
      <c r="Q882" s="232"/>
      <c r="R882" s="232"/>
      <c r="S882" s="232"/>
      <c r="T882" s="232"/>
      <c r="U882" s="232"/>
      <c r="V882" s="232"/>
      <c r="W882" s="232"/>
      <c r="X882" s="232"/>
      <c r="Y882" s="232"/>
      <c r="Z882" s="232"/>
      <c r="AA882" s="232"/>
      <c r="AB882" s="232"/>
      <c r="AC882" s="232"/>
      <c r="AD882" s="232"/>
      <c r="AE882" s="232"/>
      <c r="AF882" s="232"/>
      <c r="AG882" s="232"/>
      <c r="AH882" s="232"/>
      <c r="AI882" s="232"/>
      <c r="AJ882" s="232"/>
      <c r="AK882" s="232"/>
      <c r="AL882" s="232"/>
      <c r="AM882" s="232"/>
      <c r="AN882" s="232"/>
      <c r="AO882" s="232"/>
      <c r="AP882" s="232"/>
      <c r="AQ882" s="232"/>
      <c r="AR882" s="232"/>
      <c r="AS882" s="232"/>
      <c r="AT882" s="232"/>
      <c r="AU882" s="232"/>
      <c r="AV882" s="232"/>
      <c r="AW882" s="232"/>
      <c r="AX882" s="232"/>
      <c r="AY882" s="232"/>
      <c r="AZ882" s="232"/>
      <c r="BA882" s="232"/>
      <c r="BB882" s="232"/>
      <c r="BC882" s="232"/>
      <c r="BD882" s="232"/>
      <c r="BE882" s="232"/>
      <c r="BF882" s="232"/>
      <c r="BG882" s="232"/>
      <c r="BH882" s="232"/>
      <c r="BI882" s="232"/>
      <c r="BJ882" s="232"/>
      <c r="BK882" s="232"/>
      <c r="BL882" s="232"/>
      <c r="BM882" s="232"/>
      <c r="BN882" s="232"/>
      <c r="BO882" s="232"/>
      <c r="BP882" s="232"/>
      <c r="BQ882" s="232"/>
      <c r="BR882" s="232"/>
      <c r="BS882" s="232"/>
      <c r="BT882" s="232"/>
      <c r="BU882" s="232"/>
      <c r="BV882" s="232"/>
      <c r="BW882" s="232"/>
      <c r="BX882" s="232"/>
      <c r="BY882" s="232"/>
      <c r="BZ882" s="232"/>
      <c r="CA882" s="232"/>
      <c r="CB882" s="232"/>
      <c r="CC882" s="232"/>
      <c r="CD882" s="232"/>
      <c r="CE882" s="232"/>
      <c r="CF882" s="232"/>
      <c r="CG882" s="232"/>
      <c r="CH882" s="232"/>
      <c r="CI882" s="232"/>
      <c r="CJ882" s="232"/>
      <c r="CK882" s="232"/>
      <c r="CL882" s="232"/>
      <c r="CM882" s="232"/>
      <c r="CN882" s="215"/>
      <c r="CO882" s="215"/>
      <c r="CP882" s="215"/>
      <c r="CQ882" s="215"/>
      <c r="CR882" s="215"/>
      <c r="CS882" s="215"/>
      <c r="CT882" s="215"/>
    </row>
    <row r="883" ht="24.0" customHeight="1">
      <c r="A883" s="287"/>
      <c r="B883" s="287"/>
      <c r="C883" s="287"/>
      <c r="D883" s="232"/>
      <c r="E883" s="232"/>
      <c r="F883" s="232"/>
      <c r="G883" s="232"/>
      <c r="H883" s="232"/>
      <c r="I883" s="232"/>
      <c r="J883" s="232"/>
      <c r="K883" s="232"/>
      <c r="L883" s="232"/>
      <c r="M883" s="232"/>
      <c r="N883" s="289"/>
      <c r="O883" s="232"/>
      <c r="P883" s="232"/>
      <c r="Q883" s="232"/>
      <c r="R883" s="232"/>
      <c r="S883" s="232"/>
      <c r="T883" s="232"/>
      <c r="U883" s="232"/>
      <c r="V883" s="232"/>
      <c r="W883" s="232"/>
      <c r="X883" s="232"/>
      <c r="Y883" s="232"/>
      <c r="Z883" s="232"/>
      <c r="AA883" s="232"/>
      <c r="AB883" s="232"/>
      <c r="AC883" s="232"/>
      <c r="AD883" s="232"/>
      <c r="AE883" s="232"/>
      <c r="AF883" s="232"/>
      <c r="AG883" s="232"/>
      <c r="AH883" s="232"/>
      <c r="AI883" s="232"/>
      <c r="AJ883" s="232"/>
      <c r="AK883" s="232"/>
      <c r="AL883" s="232"/>
      <c r="AM883" s="232"/>
      <c r="AN883" s="232"/>
      <c r="AO883" s="232"/>
      <c r="AP883" s="232"/>
      <c r="AQ883" s="232"/>
      <c r="AR883" s="232"/>
      <c r="AS883" s="232"/>
      <c r="AT883" s="232"/>
      <c r="AU883" s="232"/>
      <c r="AV883" s="232"/>
      <c r="AW883" s="232"/>
      <c r="AX883" s="232"/>
      <c r="AY883" s="232"/>
      <c r="AZ883" s="232"/>
      <c r="BA883" s="232"/>
      <c r="BB883" s="232"/>
      <c r="BC883" s="232"/>
      <c r="BD883" s="232"/>
      <c r="BE883" s="232"/>
      <c r="BF883" s="232"/>
      <c r="BG883" s="232"/>
      <c r="BH883" s="232"/>
      <c r="BI883" s="232"/>
      <c r="BJ883" s="232"/>
      <c r="BK883" s="232"/>
      <c r="BL883" s="232"/>
      <c r="BM883" s="232"/>
      <c r="BN883" s="232"/>
      <c r="BO883" s="232"/>
      <c r="BP883" s="232"/>
      <c r="BQ883" s="232"/>
      <c r="BR883" s="232"/>
      <c r="BS883" s="232"/>
      <c r="BT883" s="232"/>
      <c r="BU883" s="232"/>
      <c r="BV883" s="232"/>
      <c r="BW883" s="232"/>
      <c r="BX883" s="232"/>
      <c r="BY883" s="232"/>
      <c r="BZ883" s="232"/>
      <c r="CA883" s="232"/>
      <c r="CB883" s="232"/>
      <c r="CC883" s="232"/>
      <c r="CD883" s="232"/>
      <c r="CE883" s="232"/>
      <c r="CF883" s="232"/>
      <c r="CG883" s="232"/>
      <c r="CH883" s="232"/>
      <c r="CI883" s="232"/>
      <c r="CJ883" s="232"/>
      <c r="CK883" s="232"/>
      <c r="CL883" s="232"/>
      <c r="CM883" s="232"/>
      <c r="CN883" s="215"/>
      <c r="CO883" s="215"/>
      <c r="CP883" s="215"/>
      <c r="CQ883" s="215"/>
      <c r="CR883" s="215"/>
      <c r="CS883" s="215"/>
      <c r="CT883" s="215"/>
    </row>
    <row r="884" ht="24.0" customHeight="1">
      <c r="A884" s="287"/>
      <c r="B884" s="287"/>
      <c r="C884" s="287"/>
      <c r="D884" s="232"/>
      <c r="E884" s="232"/>
      <c r="F884" s="232"/>
      <c r="G884" s="232"/>
      <c r="H884" s="232"/>
      <c r="I884" s="232"/>
      <c r="J884" s="232"/>
      <c r="K884" s="232"/>
      <c r="L884" s="232"/>
      <c r="M884" s="232"/>
      <c r="N884" s="289"/>
      <c r="O884" s="232"/>
      <c r="P884" s="232"/>
      <c r="Q884" s="232"/>
      <c r="R884" s="232"/>
      <c r="S884" s="232"/>
      <c r="T884" s="232"/>
      <c r="U884" s="232"/>
      <c r="V884" s="232"/>
      <c r="W884" s="232"/>
      <c r="X884" s="232"/>
      <c r="Y884" s="232"/>
      <c r="Z884" s="232"/>
      <c r="AA884" s="232"/>
      <c r="AB884" s="232"/>
      <c r="AC884" s="232"/>
      <c r="AD884" s="232"/>
      <c r="AE884" s="232"/>
      <c r="AF884" s="232"/>
      <c r="AG884" s="232"/>
      <c r="AH884" s="232"/>
      <c r="AI884" s="232"/>
      <c r="AJ884" s="232"/>
      <c r="AK884" s="232"/>
      <c r="AL884" s="232"/>
      <c r="AM884" s="232"/>
      <c r="AN884" s="232"/>
      <c r="AO884" s="232"/>
      <c r="AP884" s="232"/>
      <c r="AQ884" s="232"/>
      <c r="AR884" s="232"/>
      <c r="AS884" s="232"/>
      <c r="AT884" s="232"/>
      <c r="AU884" s="232"/>
      <c r="AV884" s="232"/>
      <c r="AW884" s="232"/>
      <c r="AX884" s="232"/>
      <c r="AY884" s="232"/>
      <c r="AZ884" s="232"/>
      <c r="BA884" s="232"/>
      <c r="BB884" s="232"/>
      <c r="BC884" s="232"/>
      <c r="BD884" s="232"/>
      <c r="BE884" s="232"/>
      <c r="BF884" s="232"/>
      <c r="BG884" s="232"/>
      <c r="BH884" s="232"/>
      <c r="BI884" s="232"/>
      <c r="BJ884" s="232"/>
      <c r="BK884" s="232"/>
      <c r="BL884" s="232"/>
      <c r="BM884" s="232"/>
      <c r="BN884" s="232"/>
      <c r="BO884" s="232"/>
      <c r="BP884" s="232"/>
      <c r="BQ884" s="232"/>
      <c r="BR884" s="232"/>
      <c r="BS884" s="232"/>
      <c r="BT884" s="232"/>
      <c r="BU884" s="232"/>
      <c r="BV884" s="232"/>
      <c r="BW884" s="232"/>
      <c r="BX884" s="232"/>
      <c r="BY884" s="232"/>
      <c r="BZ884" s="232"/>
      <c r="CA884" s="232"/>
      <c r="CB884" s="232"/>
      <c r="CC884" s="232"/>
      <c r="CD884" s="232"/>
      <c r="CE884" s="232"/>
      <c r="CF884" s="232"/>
      <c r="CG884" s="232"/>
      <c r="CH884" s="232"/>
      <c r="CI884" s="232"/>
      <c r="CJ884" s="232"/>
      <c r="CK884" s="232"/>
      <c r="CL884" s="232"/>
      <c r="CM884" s="232"/>
      <c r="CN884" s="215"/>
      <c r="CO884" s="215"/>
      <c r="CP884" s="215"/>
      <c r="CQ884" s="215"/>
      <c r="CR884" s="215"/>
      <c r="CS884" s="215"/>
      <c r="CT884" s="215"/>
    </row>
    <row r="885" ht="24.0" customHeight="1">
      <c r="A885" s="287"/>
      <c r="B885" s="287"/>
      <c r="C885" s="287"/>
      <c r="D885" s="232"/>
      <c r="E885" s="232"/>
      <c r="F885" s="232"/>
      <c r="G885" s="232"/>
      <c r="H885" s="232"/>
      <c r="I885" s="232"/>
      <c r="J885" s="232"/>
      <c r="K885" s="232"/>
      <c r="L885" s="232"/>
      <c r="M885" s="232"/>
      <c r="N885" s="289"/>
      <c r="O885" s="232"/>
      <c r="P885" s="232"/>
      <c r="Q885" s="232"/>
      <c r="R885" s="232"/>
      <c r="S885" s="232"/>
      <c r="T885" s="232"/>
      <c r="U885" s="232"/>
      <c r="V885" s="232"/>
      <c r="W885" s="232"/>
      <c r="X885" s="232"/>
      <c r="Y885" s="232"/>
      <c r="Z885" s="232"/>
      <c r="AA885" s="232"/>
      <c r="AB885" s="232"/>
      <c r="AC885" s="232"/>
      <c r="AD885" s="232"/>
      <c r="AE885" s="232"/>
      <c r="AF885" s="232"/>
      <c r="AG885" s="232"/>
      <c r="AH885" s="232"/>
      <c r="AI885" s="232"/>
      <c r="AJ885" s="232"/>
      <c r="AK885" s="232"/>
      <c r="AL885" s="232"/>
      <c r="AM885" s="232"/>
      <c r="AN885" s="232"/>
      <c r="AO885" s="232"/>
      <c r="AP885" s="232"/>
      <c r="AQ885" s="232"/>
      <c r="AR885" s="232"/>
      <c r="AS885" s="232"/>
      <c r="AT885" s="232"/>
      <c r="AU885" s="232"/>
      <c r="AV885" s="232"/>
      <c r="AW885" s="232"/>
      <c r="AX885" s="232"/>
      <c r="AY885" s="232"/>
      <c r="AZ885" s="232"/>
      <c r="BA885" s="232"/>
      <c r="BB885" s="232"/>
      <c r="BC885" s="232"/>
      <c r="BD885" s="232"/>
      <c r="BE885" s="232"/>
      <c r="BF885" s="232"/>
      <c r="BG885" s="232"/>
      <c r="BH885" s="232"/>
      <c r="BI885" s="232"/>
      <c r="BJ885" s="232"/>
      <c r="BK885" s="232"/>
      <c r="BL885" s="232"/>
      <c r="BM885" s="232"/>
      <c r="BN885" s="232"/>
      <c r="BO885" s="232"/>
      <c r="BP885" s="232"/>
      <c r="BQ885" s="232"/>
      <c r="BR885" s="232"/>
      <c r="BS885" s="232"/>
      <c r="BT885" s="232"/>
      <c r="BU885" s="232"/>
      <c r="BV885" s="232"/>
      <c r="BW885" s="232"/>
      <c r="BX885" s="232"/>
      <c r="BY885" s="232"/>
      <c r="BZ885" s="232"/>
      <c r="CA885" s="232"/>
      <c r="CB885" s="232"/>
      <c r="CC885" s="232"/>
      <c r="CD885" s="232"/>
      <c r="CE885" s="232"/>
      <c r="CF885" s="232"/>
      <c r="CG885" s="232"/>
      <c r="CH885" s="232"/>
      <c r="CI885" s="232"/>
      <c r="CJ885" s="232"/>
      <c r="CK885" s="232"/>
      <c r="CL885" s="232"/>
      <c r="CM885" s="232"/>
      <c r="CN885" s="215"/>
      <c r="CO885" s="215"/>
      <c r="CP885" s="215"/>
      <c r="CQ885" s="215"/>
      <c r="CR885" s="215"/>
      <c r="CS885" s="215"/>
      <c r="CT885" s="215"/>
    </row>
    <row r="886" ht="24.0" customHeight="1">
      <c r="A886" s="287"/>
      <c r="B886" s="287"/>
      <c r="C886" s="287"/>
      <c r="D886" s="232"/>
      <c r="E886" s="232"/>
      <c r="F886" s="232"/>
      <c r="G886" s="232"/>
      <c r="H886" s="232"/>
      <c r="I886" s="232"/>
      <c r="J886" s="232"/>
      <c r="K886" s="232"/>
      <c r="L886" s="232"/>
      <c r="M886" s="232"/>
      <c r="N886" s="289"/>
      <c r="O886" s="232"/>
      <c r="P886" s="232"/>
      <c r="Q886" s="232"/>
      <c r="R886" s="232"/>
      <c r="S886" s="232"/>
      <c r="T886" s="232"/>
      <c r="U886" s="232"/>
      <c r="V886" s="232"/>
      <c r="W886" s="232"/>
      <c r="X886" s="232"/>
      <c r="Y886" s="232"/>
      <c r="Z886" s="232"/>
      <c r="AA886" s="232"/>
      <c r="AB886" s="232"/>
      <c r="AC886" s="232"/>
      <c r="AD886" s="232"/>
      <c r="AE886" s="232"/>
      <c r="AF886" s="232"/>
      <c r="AG886" s="232"/>
      <c r="AH886" s="232"/>
      <c r="AI886" s="232"/>
      <c r="AJ886" s="232"/>
      <c r="AK886" s="232"/>
      <c r="AL886" s="232"/>
      <c r="AM886" s="232"/>
      <c r="AN886" s="232"/>
      <c r="AO886" s="232"/>
      <c r="AP886" s="232"/>
      <c r="AQ886" s="232"/>
      <c r="AR886" s="232"/>
      <c r="AS886" s="232"/>
      <c r="AT886" s="232"/>
      <c r="AU886" s="232"/>
      <c r="AV886" s="232"/>
      <c r="AW886" s="232"/>
      <c r="AX886" s="232"/>
      <c r="AY886" s="232"/>
      <c r="AZ886" s="232"/>
      <c r="BA886" s="232"/>
      <c r="BB886" s="232"/>
      <c r="BC886" s="232"/>
      <c r="BD886" s="232"/>
      <c r="BE886" s="232"/>
      <c r="BF886" s="232"/>
      <c r="BG886" s="232"/>
      <c r="BH886" s="232"/>
      <c r="BI886" s="232"/>
      <c r="BJ886" s="232"/>
      <c r="BK886" s="232"/>
      <c r="BL886" s="232"/>
      <c r="BM886" s="232"/>
      <c r="BN886" s="232"/>
      <c r="BO886" s="232"/>
      <c r="BP886" s="232"/>
      <c r="BQ886" s="232"/>
      <c r="BR886" s="232"/>
      <c r="BS886" s="232"/>
      <c r="BT886" s="232"/>
      <c r="BU886" s="232"/>
      <c r="BV886" s="232"/>
      <c r="BW886" s="232"/>
      <c r="BX886" s="232"/>
      <c r="BY886" s="232"/>
      <c r="BZ886" s="232"/>
      <c r="CA886" s="232"/>
      <c r="CB886" s="232"/>
      <c r="CC886" s="232"/>
      <c r="CD886" s="232"/>
      <c r="CE886" s="232"/>
      <c r="CF886" s="232"/>
      <c r="CG886" s="232"/>
      <c r="CH886" s="232"/>
      <c r="CI886" s="232"/>
      <c r="CJ886" s="232"/>
      <c r="CK886" s="232"/>
      <c r="CL886" s="232"/>
      <c r="CM886" s="232"/>
      <c r="CN886" s="215"/>
      <c r="CO886" s="215"/>
      <c r="CP886" s="215"/>
      <c r="CQ886" s="215"/>
      <c r="CR886" s="215"/>
      <c r="CS886" s="215"/>
      <c r="CT886" s="215"/>
    </row>
    <row r="887" ht="24.0" customHeight="1">
      <c r="A887" s="287"/>
      <c r="B887" s="287"/>
      <c r="C887" s="287"/>
      <c r="D887" s="232"/>
      <c r="E887" s="232"/>
      <c r="F887" s="232"/>
      <c r="G887" s="232"/>
      <c r="H887" s="232"/>
      <c r="I887" s="232"/>
      <c r="J887" s="232"/>
      <c r="K887" s="232"/>
      <c r="L887" s="232"/>
      <c r="M887" s="232"/>
      <c r="N887" s="289"/>
      <c r="O887" s="232"/>
      <c r="P887" s="232"/>
      <c r="Q887" s="232"/>
      <c r="R887" s="232"/>
      <c r="S887" s="232"/>
      <c r="T887" s="232"/>
      <c r="U887" s="232"/>
      <c r="V887" s="232"/>
      <c r="W887" s="232"/>
      <c r="X887" s="232"/>
      <c r="Y887" s="232"/>
      <c r="Z887" s="232"/>
      <c r="AA887" s="232"/>
      <c r="AB887" s="232"/>
      <c r="AC887" s="232"/>
      <c r="AD887" s="232"/>
      <c r="AE887" s="232"/>
      <c r="AF887" s="232"/>
      <c r="AG887" s="232"/>
      <c r="AH887" s="232"/>
      <c r="AI887" s="232"/>
      <c r="AJ887" s="232"/>
      <c r="AK887" s="232"/>
      <c r="AL887" s="232"/>
      <c r="AM887" s="232"/>
      <c r="AN887" s="232"/>
      <c r="AO887" s="232"/>
      <c r="AP887" s="232"/>
      <c r="AQ887" s="232"/>
      <c r="AR887" s="232"/>
      <c r="AS887" s="232"/>
      <c r="AT887" s="232"/>
      <c r="AU887" s="232"/>
      <c r="AV887" s="232"/>
      <c r="AW887" s="232"/>
      <c r="AX887" s="232"/>
      <c r="AY887" s="232"/>
      <c r="AZ887" s="232"/>
      <c r="BA887" s="232"/>
      <c r="BB887" s="232"/>
      <c r="BC887" s="232"/>
      <c r="BD887" s="232"/>
      <c r="BE887" s="232"/>
      <c r="BF887" s="232"/>
      <c r="BG887" s="232"/>
      <c r="BH887" s="232"/>
      <c r="BI887" s="232"/>
      <c r="BJ887" s="232"/>
      <c r="BK887" s="232"/>
      <c r="BL887" s="232"/>
      <c r="BM887" s="232"/>
      <c r="BN887" s="232"/>
      <c r="BO887" s="232"/>
      <c r="BP887" s="232"/>
      <c r="BQ887" s="232"/>
      <c r="BR887" s="232"/>
      <c r="BS887" s="232"/>
      <c r="BT887" s="232"/>
      <c r="BU887" s="232"/>
      <c r="BV887" s="232"/>
      <c r="BW887" s="232"/>
      <c r="BX887" s="232"/>
      <c r="BY887" s="232"/>
      <c r="BZ887" s="232"/>
      <c r="CA887" s="232"/>
      <c r="CB887" s="232"/>
      <c r="CC887" s="232"/>
      <c r="CD887" s="232"/>
      <c r="CE887" s="232"/>
      <c r="CF887" s="232"/>
      <c r="CG887" s="232"/>
      <c r="CH887" s="232"/>
      <c r="CI887" s="232"/>
      <c r="CJ887" s="232"/>
      <c r="CK887" s="232"/>
      <c r="CL887" s="232"/>
      <c r="CM887" s="232"/>
      <c r="CN887" s="215"/>
      <c r="CO887" s="215"/>
      <c r="CP887" s="215"/>
      <c r="CQ887" s="215"/>
      <c r="CR887" s="215"/>
      <c r="CS887" s="215"/>
      <c r="CT887" s="215"/>
    </row>
    <row r="888" ht="24.0" customHeight="1">
      <c r="A888" s="287"/>
      <c r="B888" s="287"/>
      <c r="C888" s="287"/>
      <c r="D888" s="232"/>
      <c r="E888" s="232"/>
      <c r="F888" s="232"/>
      <c r="G888" s="232"/>
      <c r="H888" s="232"/>
      <c r="I888" s="232"/>
      <c r="J888" s="232"/>
      <c r="K888" s="232"/>
      <c r="L888" s="232"/>
      <c r="M888" s="232"/>
      <c r="N888" s="289"/>
      <c r="O888" s="232"/>
      <c r="P888" s="232"/>
      <c r="Q888" s="232"/>
      <c r="R888" s="232"/>
      <c r="S888" s="232"/>
      <c r="T888" s="232"/>
      <c r="U888" s="232"/>
      <c r="V888" s="232"/>
      <c r="W888" s="232"/>
      <c r="X888" s="232"/>
      <c r="Y888" s="232"/>
      <c r="Z888" s="232"/>
      <c r="AA888" s="232"/>
      <c r="AB888" s="232"/>
      <c r="AC888" s="232"/>
      <c r="AD888" s="232"/>
      <c r="AE888" s="232"/>
      <c r="AF888" s="232"/>
      <c r="AG888" s="232"/>
      <c r="AH888" s="232"/>
      <c r="AI888" s="232"/>
      <c r="AJ888" s="232"/>
      <c r="AK888" s="232"/>
      <c r="AL888" s="232"/>
      <c r="AM888" s="232"/>
      <c r="AN888" s="232"/>
      <c r="AO888" s="232"/>
      <c r="AP888" s="232"/>
      <c r="AQ888" s="232"/>
      <c r="AR888" s="232"/>
      <c r="AS888" s="232"/>
      <c r="AT888" s="232"/>
      <c r="AU888" s="232"/>
      <c r="AV888" s="232"/>
      <c r="AW888" s="232"/>
      <c r="AX888" s="232"/>
      <c r="AY888" s="232"/>
      <c r="AZ888" s="232"/>
      <c r="BA888" s="232"/>
      <c r="BB888" s="232"/>
      <c r="BC888" s="232"/>
      <c r="BD888" s="232"/>
      <c r="BE888" s="232"/>
      <c r="BF888" s="232"/>
      <c r="BG888" s="232"/>
      <c r="BH888" s="232"/>
      <c r="BI888" s="232"/>
      <c r="BJ888" s="232"/>
      <c r="BK888" s="232"/>
      <c r="BL888" s="232"/>
      <c r="BM888" s="232"/>
      <c r="BN888" s="232"/>
      <c r="BO888" s="232"/>
      <c r="BP888" s="232"/>
      <c r="BQ888" s="232"/>
      <c r="BR888" s="232"/>
      <c r="BS888" s="232"/>
      <c r="BT888" s="232"/>
      <c r="BU888" s="232"/>
      <c r="BV888" s="232"/>
      <c r="BW888" s="232"/>
      <c r="BX888" s="232"/>
      <c r="BY888" s="232"/>
      <c r="BZ888" s="232"/>
      <c r="CA888" s="232"/>
      <c r="CB888" s="232"/>
      <c r="CC888" s="232"/>
      <c r="CD888" s="232"/>
      <c r="CE888" s="232"/>
      <c r="CF888" s="232"/>
      <c r="CG888" s="232"/>
      <c r="CH888" s="232"/>
      <c r="CI888" s="232"/>
      <c r="CJ888" s="232"/>
      <c r="CK888" s="232"/>
      <c r="CL888" s="232"/>
      <c r="CM888" s="232"/>
      <c r="CN888" s="215"/>
      <c r="CO888" s="215"/>
      <c r="CP888" s="215"/>
      <c r="CQ888" s="215"/>
      <c r="CR888" s="215"/>
      <c r="CS888" s="215"/>
      <c r="CT888" s="215"/>
    </row>
    <row r="889" ht="24.0" customHeight="1">
      <c r="A889" s="287"/>
      <c r="B889" s="287"/>
      <c r="C889" s="287"/>
      <c r="D889" s="232"/>
      <c r="E889" s="232"/>
      <c r="F889" s="232"/>
      <c r="G889" s="232"/>
      <c r="H889" s="232"/>
      <c r="I889" s="232"/>
      <c r="J889" s="232"/>
      <c r="K889" s="232"/>
      <c r="L889" s="232"/>
      <c r="M889" s="232"/>
      <c r="N889" s="289"/>
      <c r="O889" s="232"/>
      <c r="P889" s="232"/>
      <c r="Q889" s="232"/>
      <c r="R889" s="232"/>
      <c r="S889" s="232"/>
      <c r="T889" s="232"/>
      <c r="U889" s="232"/>
      <c r="V889" s="232"/>
      <c r="W889" s="232"/>
      <c r="X889" s="232"/>
      <c r="Y889" s="232"/>
      <c r="Z889" s="232"/>
      <c r="AA889" s="232"/>
      <c r="AB889" s="232"/>
      <c r="AC889" s="232"/>
      <c r="AD889" s="232"/>
      <c r="AE889" s="232"/>
      <c r="AF889" s="232"/>
      <c r="AG889" s="232"/>
      <c r="AH889" s="232"/>
      <c r="AI889" s="232"/>
      <c r="AJ889" s="232"/>
      <c r="AK889" s="232"/>
      <c r="AL889" s="232"/>
      <c r="AM889" s="232"/>
      <c r="AN889" s="232"/>
      <c r="AO889" s="232"/>
      <c r="AP889" s="232"/>
      <c r="AQ889" s="232"/>
      <c r="AR889" s="232"/>
      <c r="AS889" s="232"/>
      <c r="AT889" s="232"/>
      <c r="AU889" s="232"/>
      <c r="AV889" s="232"/>
      <c r="AW889" s="232"/>
      <c r="AX889" s="232"/>
      <c r="AY889" s="232"/>
      <c r="AZ889" s="232"/>
      <c r="BA889" s="232"/>
      <c r="BB889" s="232"/>
      <c r="BC889" s="232"/>
      <c r="BD889" s="232"/>
      <c r="BE889" s="232"/>
      <c r="BF889" s="232"/>
      <c r="BG889" s="232"/>
      <c r="BH889" s="232"/>
      <c r="BI889" s="232"/>
      <c r="BJ889" s="232"/>
      <c r="BK889" s="232"/>
      <c r="BL889" s="232"/>
      <c r="BM889" s="232"/>
      <c r="BN889" s="232"/>
      <c r="BO889" s="232"/>
      <c r="BP889" s="232"/>
      <c r="BQ889" s="232"/>
      <c r="BR889" s="232"/>
      <c r="BS889" s="232"/>
      <c r="BT889" s="232"/>
      <c r="BU889" s="232"/>
      <c r="BV889" s="232"/>
      <c r="BW889" s="232"/>
      <c r="BX889" s="232"/>
      <c r="BY889" s="232"/>
      <c r="BZ889" s="232"/>
      <c r="CA889" s="232"/>
      <c r="CB889" s="232"/>
      <c r="CC889" s="232"/>
      <c r="CD889" s="232"/>
      <c r="CE889" s="232"/>
      <c r="CF889" s="232"/>
      <c r="CG889" s="232"/>
      <c r="CH889" s="232"/>
      <c r="CI889" s="232"/>
      <c r="CJ889" s="232"/>
      <c r="CK889" s="232"/>
      <c r="CL889" s="232"/>
      <c r="CM889" s="232"/>
      <c r="CN889" s="215"/>
      <c r="CO889" s="215"/>
      <c r="CP889" s="215"/>
      <c r="CQ889" s="215"/>
      <c r="CR889" s="215"/>
      <c r="CS889" s="215"/>
      <c r="CT889" s="215"/>
    </row>
    <row r="890" ht="24.0" customHeight="1">
      <c r="A890" s="287"/>
      <c r="B890" s="287"/>
      <c r="C890" s="287"/>
      <c r="D890" s="232"/>
      <c r="E890" s="232"/>
      <c r="F890" s="232"/>
      <c r="G890" s="232"/>
      <c r="H890" s="232"/>
      <c r="I890" s="232"/>
      <c r="J890" s="232"/>
      <c r="K890" s="232"/>
      <c r="L890" s="232"/>
      <c r="M890" s="232"/>
      <c r="N890" s="289"/>
      <c r="O890" s="232"/>
      <c r="P890" s="232"/>
      <c r="Q890" s="232"/>
      <c r="R890" s="232"/>
      <c r="S890" s="232"/>
      <c r="T890" s="232"/>
      <c r="U890" s="232"/>
      <c r="V890" s="232"/>
      <c r="W890" s="232"/>
      <c r="X890" s="232"/>
      <c r="Y890" s="232"/>
      <c r="Z890" s="232"/>
      <c r="AA890" s="232"/>
      <c r="AB890" s="232"/>
      <c r="AC890" s="232"/>
      <c r="AD890" s="232"/>
      <c r="AE890" s="232"/>
      <c r="AF890" s="232"/>
      <c r="AG890" s="232"/>
      <c r="AH890" s="232"/>
      <c r="AI890" s="232"/>
      <c r="AJ890" s="232"/>
      <c r="AK890" s="232"/>
      <c r="AL890" s="232"/>
      <c r="AM890" s="232"/>
      <c r="AN890" s="232"/>
      <c r="AO890" s="232"/>
      <c r="AP890" s="232"/>
      <c r="AQ890" s="232"/>
      <c r="AR890" s="232"/>
      <c r="AS890" s="232"/>
      <c r="AT890" s="232"/>
      <c r="AU890" s="232"/>
      <c r="AV890" s="232"/>
      <c r="AW890" s="232"/>
      <c r="AX890" s="232"/>
      <c r="AY890" s="232"/>
      <c r="AZ890" s="232"/>
      <c r="BA890" s="232"/>
      <c r="BB890" s="232"/>
      <c r="BC890" s="232"/>
      <c r="BD890" s="232"/>
      <c r="BE890" s="232"/>
      <c r="BF890" s="232"/>
      <c r="BG890" s="232"/>
      <c r="BH890" s="232"/>
      <c r="BI890" s="232"/>
      <c r="BJ890" s="232"/>
      <c r="BK890" s="232"/>
      <c r="BL890" s="232"/>
      <c r="BM890" s="232"/>
      <c r="BN890" s="232"/>
      <c r="BO890" s="232"/>
      <c r="BP890" s="232"/>
      <c r="BQ890" s="232"/>
      <c r="BR890" s="232"/>
      <c r="BS890" s="232"/>
      <c r="BT890" s="232"/>
      <c r="BU890" s="232"/>
      <c r="BV890" s="232"/>
      <c r="BW890" s="232"/>
      <c r="BX890" s="232"/>
      <c r="BY890" s="232"/>
      <c r="BZ890" s="232"/>
      <c r="CA890" s="232"/>
      <c r="CB890" s="232"/>
      <c r="CC890" s="232"/>
      <c r="CD890" s="232"/>
      <c r="CE890" s="232"/>
      <c r="CF890" s="232"/>
      <c r="CG890" s="232"/>
      <c r="CH890" s="232"/>
      <c r="CI890" s="232"/>
      <c r="CJ890" s="232"/>
      <c r="CK890" s="232"/>
      <c r="CL890" s="232"/>
      <c r="CM890" s="232"/>
      <c r="CN890" s="215"/>
      <c r="CO890" s="215"/>
      <c r="CP890" s="215"/>
      <c r="CQ890" s="215"/>
      <c r="CR890" s="215"/>
      <c r="CS890" s="215"/>
      <c r="CT890" s="215"/>
    </row>
    <row r="891" ht="24.0" customHeight="1">
      <c r="A891" s="287"/>
      <c r="B891" s="287"/>
      <c r="C891" s="287"/>
      <c r="D891" s="232"/>
      <c r="E891" s="232"/>
      <c r="F891" s="232"/>
      <c r="G891" s="232"/>
      <c r="H891" s="232"/>
      <c r="I891" s="232"/>
      <c r="J891" s="232"/>
      <c r="K891" s="232"/>
      <c r="L891" s="232"/>
      <c r="M891" s="232"/>
      <c r="N891" s="289"/>
      <c r="O891" s="232"/>
      <c r="P891" s="232"/>
      <c r="Q891" s="232"/>
      <c r="R891" s="232"/>
      <c r="S891" s="232"/>
      <c r="T891" s="232"/>
      <c r="U891" s="232"/>
      <c r="V891" s="232"/>
      <c r="W891" s="232"/>
      <c r="X891" s="232"/>
      <c r="Y891" s="232"/>
      <c r="Z891" s="232"/>
      <c r="AA891" s="232"/>
      <c r="AB891" s="232"/>
      <c r="AC891" s="232"/>
      <c r="AD891" s="232"/>
      <c r="AE891" s="232"/>
      <c r="AF891" s="232"/>
      <c r="AG891" s="232"/>
      <c r="AH891" s="232"/>
      <c r="AI891" s="232"/>
      <c r="AJ891" s="232"/>
      <c r="AK891" s="232"/>
      <c r="AL891" s="232"/>
      <c r="AM891" s="232"/>
      <c r="AN891" s="232"/>
      <c r="AO891" s="232"/>
      <c r="AP891" s="232"/>
      <c r="AQ891" s="232"/>
      <c r="AR891" s="232"/>
      <c r="AS891" s="232"/>
      <c r="AT891" s="232"/>
      <c r="AU891" s="232"/>
      <c r="AV891" s="232"/>
      <c r="AW891" s="232"/>
      <c r="AX891" s="232"/>
      <c r="AY891" s="232"/>
      <c r="AZ891" s="232"/>
      <c r="BA891" s="232"/>
      <c r="BB891" s="232"/>
      <c r="BC891" s="232"/>
      <c r="BD891" s="232"/>
      <c r="BE891" s="232"/>
      <c r="BF891" s="232"/>
      <c r="BG891" s="232"/>
      <c r="BH891" s="232"/>
      <c r="BI891" s="232"/>
      <c r="BJ891" s="232"/>
      <c r="BK891" s="232"/>
      <c r="BL891" s="232"/>
      <c r="BM891" s="232"/>
      <c r="BN891" s="232"/>
      <c r="BO891" s="232"/>
      <c r="BP891" s="232"/>
      <c r="BQ891" s="232"/>
      <c r="BR891" s="232"/>
      <c r="BS891" s="232"/>
      <c r="BT891" s="232"/>
      <c r="BU891" s="232"/>
      <c r="BV891" s="232"/>
      <c r="BW891" s="232"/>
      <c r="BX891" s="232"/>
      <c r="BY891" s="232"/>
      <c r="BZ891" s="232"/>
      <c r="CA891" s="232"/>
      <c r="CB891" s="232"/>
      <c r="CC891" s="232"/>
      <c r="CD891" s="232"/>
      <c r="CE891" s="232"/>
      <c r="CF891" s="232"/>
      <c r="CG891" s="232"/>
      <c r="CH891" s="232"/>
      <c r="CI891" s="232"/>
      <c r="CJ891" s="232"/>
      <c r="CK891" s="232"/>
      <c r="CL891" s="232"/>
      <c r="CM891" s="232"/>
      <c r="CN891" s="215"/>
      <c r="CO891" s="215"/>
      <c r="CP891" s="215"/>
      <c r="CQ891" s="215"/>
      <c r="CR891" s="215"/>
      <c r="CS891" s="215"/>
      <c r="CT891" s="215"/>
    </row>
    <row r="892" ht="24.0" customHeight="1">
      <c r="A892" s="287"/>
      <c r="B892" s="287"/>
      <c r="C892" s="287"/>
      <c r="D892" s="232"/>
      <c r="E892" s="232"/>
      <c r="F892" s="232"/>
      <c r="G892" s="232"/>
      <c r="H892" s="232"/>
      <c r="I892" s="232"/>
      <c r="J892" s="232"/>
      <c r="K892" s="232"/>
      <c r="L892" s="232"/>
      <c r="M892" s="232"/>
      <c r="N892" s="289"/>
      <c r="O892" s="232"/>
      <c r="P892" s="232"/>
      <c r="Q892" s="232"/>
      <c r="R892" s="232"/>
      <c r="S892" s="232"/>
      <c r="T892" s="232"/>
      <c r="U892" s="232"/>
      <c r="V892" s="232"/>
      <c r="W892" s="232"/>
      <c r="X892" s="232"/>
      <c r="Y892" s="232"/>
      <c r="Z892" s="232"/>
      <c r="AA892" s="232"/>
      <c r="AB892" s="232"/>
      <c r="AC892" s="232"/>
      <c r="AD892" s="232"/>
      <c r="AE892" s="232"/>
      <c r="AF892" s="232"/>
      <c r="AG892" s="232"/>
      <c r="AH892" s="232"/>
      <c r="AI892" s="232"/>
      <c r="AJ892" s="232"/>
      <c r="AK892" s="232"/>
      <c r="AL892" s="232"/>
      <c r="AM892" s="232"/>
      <c r="AN892" s="232"/>
      <c r="AO892" s="232"/>
      <c r="AP892" s="232"/>
      <c r="AQ892" s="232"/>
      <c r="AR892" s="232"/>
      <c r="AS892" s="232"/>
      <c r="AT892" s="232"/>
      <c r="AU892" s="232"/>
      <c r="AV892" s="232"/>
      <c r="AW892" s="232"/>
      <c r="AX892" s="232"/>
      <c r="AY892" s="232"/>
      <c r="AZ892" s="232"/>
      <c r="BA892" s="232"/>
      <c r="BB892" s="232"/>
      <c r="BC892" s="232"/>
      <c r="BD892" s="232"/>
      <c r="BE892" s="232"/>
      <c r="BF892" s="232"/>
      <c r="BG892" s="232"/>
      <c r="BH892" s="232"/>
      <c r="BI892" s="232"/>
      <c r="BJ892" s="232"/>
      <c r="BK892" s="232"/>
      <c r="BL892" s="232"/>
      <c r="BM892" s="232"/>
      <c r="BN892" s="232"/>
      <c r="BO892" s="232"/>
      <c r="BP892" s="232"/>
      <c r="BQ892" s="232"/>
      <c r="BR892" s="232"/>
      <c r="BS892" s="232"/>
      <c r="BT892" s="232"/>
      <c r="BU892" s="232"/>
      <c r="BV892" s="232"/>
      <c r="BW892" s="232"/>
      <c r="BX892" s="232"/>
      <c r="BY892" s="232"/>
      <c r="BZ892" s="232"/>
      <c r="CA892" s="232"/>
      <c r="CB892" s="232"/>
      <c r="CC892" s="232"/>
      <c r="CD892" s="232"/>
      <c r="CE892" s="232"/>
      <c r="CF892" s="232"/>
      <c r="CG892" s="232"/>
      <c r="CH892" s="232"/>
      <c r="CI892" s="232"/>
      <c r="CJ892" s="232"/>
      <c r="CK892" s="232"/>
      <c r="CL892" s="232"/>
      <c r="CM892" s="232"/>
      <c r="CN892" s="215"/>
      <c r="CO892" s="215"/>
      <c r="CP892" s="215"/>
      <c r="CQ892" s="215"/>
      <c r="CR892" s="215"/>
      <c r="CS892" s="215"/>
      <c r="CT892" s="215"/>
    </row>
    <row r="893" ht="24.0" customHeight="1">
      <c r="A893" s="287"/>
      <c r="B893" s="287"/>
      <c r="C893" s="287"/>
      <c r="D893" s="232"/>
      <c r="E893" s="232"/>
      <c r="F893" s="232"/>
      <c r="G893" s="232"/>
      <c r="H893" s="232"/>
      <c r="I893" s="232"/>
      <c r="J893" s="232"/>
      <c r="K893" s="232"/>
      <c r="L893" s="232"/>
      <c r="M893" s="232"/>
      <c r="N893" s="289"/>
      <c r="O893" s="232"/>
      <c r="P893" s="232"/>
      <c r="Q893" s="232"/>
      <c r="R893" s="232"/>
      <c r="S893" s="232"/>
      <c r="T893" s="232"/>
      <c r="U893" s="232"/>
      <c r="V893" s="232"/>
      <c r="W893" s="232"/>
      <c r="X893" s="232"/>
      <c r="Y893" s="232"/>
      <c r="Z893" s="232"/>
      <c r="AA893" s="232"/>
      <c r="AB893" s="232"/>
      <c r="AC893" s="232"/>
      <c r="AD893" s="232"/>
      <c r="AE893" s="232"/>
      <c r="AF893" s="232"/>
      <c r="AG893" s="232"/>
      <c r="AH893" s="232"/>
      <c r="AI893" s="232"/>
      <c r="AJ893" s="232"/>
      <c r="AK893" s="232"/>
      <c r="AL893" s="232"/>
      <c r="AM893" s="232"/>
      <c r="AN893" s="232"/>
      <c r="AO893" s="232"/>
      <c r="AP893" s="232"/>
      <c r="AQ893" s="232"/>
      <c r="AR893" s="232"/>
      <c r="AS893" s="232"/>
      <c r="AT893" s="232"/>
      <c r="AU893" s="232"/>
      <c r="AV893" s="232"/>
      <c r="AW893" s="232"/>
      <c r="AX893" s="232"/>
      <c r="AY893" s="232"/>
      <c r="AZ893" s="232"/>
      <c r="BA893" s="232"/>
      <c r="BB893" s="232"/>
      <c r="BC893" s="232"/>
      <c r="BD893" s="232"/>
      <c r="BE893" s="232"/>
      <c r="BF893" s="232"/>
      <c r="BG893" s="232"/>
      <c r="BH893" s="232"/>
      <c r="BI893" s="232"/>
      <c r="BJ893" s="232"/>
      <c r="BK893" s="232"/>
      <c r="BL893" s="232"/>
      <c r="BM893" s="232"/>
      <c r="BN893" s="232"/>
      <c r="BO893" s="232"/>
      <c r="BP893" s="232"/>
      <c r="BQ893" s="232"/>
      <c r="BR893" s="232"/>
      <c r="BS893" s="232"/>
      <c r="BT893" s="232"/>
      <c r="BU893" s="232"/>
      <c r="BV893" s="232"/>
      <c r="BW893" s="232"/>
      <c r="BX893" s="232"/>
      <c r="BY893" s="232"/>
      <c r="BZ893" s="232"/>
      <c r="CA893" s="232"/>
      <c r="CB893" s="232"/>
      <c r="CC893" s="232"/>
      <c r="CD893" s="232"/>
      <c r="CE893" s="232"/>
      <c r="CF893" s="232"/>
      <c r="CG893" s="232"/>
      <c r="CH893" s="232"/>
      <c r="CI893" s="232"/>
      <c r="CJ893" s="232"/>
      <c r="CK893" s="232"/>
      <c r="CL893" s="232"/>
      <c r="CM893" s="232"/>
      <c r="CN893" s="215"/>
      <c r="CO893" s="215"/>
      <c r="CP893" s="215"/>
      <c r="CQ893" s="215"/>
      <c r="CR893" s="215"/>
      <c r="CS893" s="215"/>
      <c r="CT893" s="215"/>
    </row>
    <row r="894" ht="24.0" customHeight="1">
      <c r="A894" s="287"/>
      <c r="B894" s="287"/>
      <c r="C894" s="287"/>
      <c r="D894" s="232"/>
      <c r="E894" s="232"/>
      <c r="F894" s="232"/>
      <c r="G894" s="232"/>
      <c r="H894" s="232"/>
      <c r="I894" s="232"/>
      <c r="J894" s="232"/>
      <c r="K894" s="232"/>
      <c r="L894" s="232"/>
      <c r="M894" s="232"/>
      <c r="N894" s="289"/>
      <c r="O894" s="232"/>
      <c r="P894" s="232"/>
      <c r="Q894" s="232"/>
      <c r="R894" s="232"/>
      <c r="S894" s="232"/>
      <c r="T894" s="232"/>
      <c r="U894" s="232"/>
      <c r="V894" s="232"/>
      <c r="W894" s="232"/>
      <c r="X894" s="232"/>
      <c r="Y894" s="232"/>
      <c r="Z894" s="232"/>
      <c r="AA894" s="232"/>
      <c r="AB894" s="232"/>
      <c r="AC894" s="232"/>
      <c r="AD894" s="232"/>
      <c r="AE894" s="232"/>
      <c r="AF894" s="232"/>
      <c r="AG894" s="232"/>
      <c r="AH894" s="232"/>
      <c r="AI894" s="232"/>
      <c r="AJ894" s="232"/>
      <c r="AK894" s="232"/>
      <c r="AL894" s="232"/>
      <c r="AM894" s="232"/>
      <c r="AN894" s="232"/>
      <c r="AO894" s="232"/>
      <c r="AP894" s="232"/>
      <c r="AQ894" s="232"/>
      <c r="AR894" s="232"/>
      <c r="AS894" s="232"/>
      <c r="AT894" s="232"/>
      <c r="AU894" s="232"/>
      <c r="AV894" s="232"/>
      <c r="AW894" s="232"/>
      <c r="AX894" s="232"/>
      <c r="AY894" s="232"/>
      <c r="AZ894" s="232"/>
      <c r="BA894" s="232"/>
      <c r="BB894" s="232"/>
      <c r="BC894" s="232"/>
      <c r="BD894" s="232"/>
      <c r="BE894" s="232"/>
      <c r="BF894" s="232"/>
      <c r="BG894" s="232"/>
      <c r="BH894" s="232"/>
      <c r="BI894" s="232"/>
      <c r="BJ894" s="232"/>
      <c r="BK894" s="232"/>
      <c r="BL894" s="232"/>
      <c r="BM894" s="232"/>
      <c r="BN894" s="232"/>
      <c r="BO894" s="232"/>
      <c r="BP894" s="232"/>
      <c r="BQ894" s="232"/>
      <c r="BR894" s="232"/>
      <c r="BS894" s="232"/>
      <c r="BT894" s="232"/>
      <c r="BU894" s="232"/>
      <c r="BV894" s="232"/>
      <c r="BW894" s="232"/>
      <c r="BX894" s="232"/>
      <c r="BY894" s="232"/>
      <c r="BZ894" s="232"/>
      <c r="CA894" s="232"/>
      <c r="CB894" s="232"/>
      <c r="CC894" s="232"/>
      <c r="CD894" s="232"/>
      <c r="CE894" s="232"/>
      <c r="CF894" s="232"/>
      <c r="CG894" s="232"/>
      <c r="CH894" s="232"/>
      <c r="CI894" s="232"/>
      <c r="CJ894" s="232"/>
      <c r="CK894" s="232"/>
      <c r="CL894" s="232"/>
      <c r="CM894" s="232"/>
      <c r="CN894" s="215"/>
      <c r="CO894" s="215"/>
      <c r="CP894" s="215"/>
      <c r="CQ894" s="215"/>
      <c r="CR894" s="215"/>
      <c r="CS894" s="215"/>
      <c r="CT894" s="215"/>
    </row>
    <row r="895" ht="24.0" customHeight="1">
      <c r="A895" s="287"/>
      <c r="B895" s="287"/>
      <c r="C895" s="287"/>
      <c r="D895" s="232"/>
      <c r="E895" s="232"/>
      <c r="F895" s="232"/>
      <c r="G895" s="232"/>
      <c r="H895" s="232"/>
      <c r="I895" s="232"/>
      <c r="J895" s="232"/>
      <c r="K895" s="232"/>
      <c r="L895" s="232"/>
      <c r="M895" s="232"/>
      <c r="N895" s="289"/>
      <c r="O895" s="232"/>
      <c r="P895" s="232"/>
      <c r="Q895" s="232"/>
      <c r="R895" s="232"/>
      <c r="S895" s="232"/>
      <c r="T895" s="232"/>
      <c r="U895" s="232"/>
      <c r="V895" s="232"/>
      <c r="W895" s="232"/>
      <c r="X895" s="232"/>
      <c r="Y895" s="232"/>
      <c r="Z895" s="232"/>
      <c r="AA895" s="232"/>
      <c r="AB895" s="232"/>
      <c r="AC895" s="232"/>
      <c r="AD895" s="232"/>
      <c r="AE895" s="232"/>
      <c r="AF895" s="232"/>
      <c r="AG895" s="232"/>
      <c r="AH895" s="232"/>
      <c r="AI895" s="232"/>
      <c r="AJ895" s="232"/>
      <c r="AK895" s="232"/>
      <c r="AL895" s="232"/>
      <c r="AM895" s="232"/>
      <c r="AN895" s="232"/>
      <c r="AO895" s="232"/>
      <c r="AP895" s="232"/>
      <c r="AQ895" s="232"/>
      <c r="AR895" s="232"/>
      <c r="AS895" s="232"/>
      <c r="AT895" s="232"/>
      <c r="AU895" s="232"/>
      <c r="AV895" s="232"/>
      <c r="AW895" s="232"/>
      <c r="AX895" s="232"/>
      <c r="AY895" s="232"/>
      <c r="AZ895" s="232"/>
      <c r="BA895" s="232"/>
      <c r="BB895" s="232"/>
      <c r="BC895" s="232"/>
      <c r="BD895" s="232"/>
      <c r="BE895" s="232"/>
      <c r="BF895" s="232"/>
      <c r="BG895" s="232"/>
      <c r="BH895" s="232"/>
      <c r="BI895" s="232"/>
      <c r="BJ895" s="232"/>
      <c r="BK895" s="232"/>
      <c r="BL895" s="232"/>
      <c r="BM895" s="232"/>
      <c r="BN895" s="232"/>
      <c r="BO895" s="232"/>
      <c r="BP895" s="232"/>
      <c r="BQ895" s="232"/>
      <c r="BR895" s="232"/>
      <c r="BS895" s="232"/>
      <c r="BT895" s="232"/>
      <c r="BU895" s="232"/>
      <c r="BV895" s="232"/>
      <c r="BW895" s="232"/>
      <c r="BX895" s="232"/>
      <c r="BY895" s="232"/>
      <c r="BZ895" s="232"/>
      <c r="CA895" s="232"/>
      <c r="CB895" s="232"/>
      <c r="CC895" s="232"/>
      <c r="CD895" s="232"/>
      <c r="CE895" s="232"/>
      <c r="CF895" s="232"/>
      <c r="CG895" s="232"/>
      <c r="CH895" s="232"/>
      <c r="CI895" s="232"/>
      <c r="CJ895" s="232"/>
      <c r="CK895" s="232"/>
      <c r="CL895" s="232"/>
      <c r="CM895" s="232"/>
      <c r="CN895" s="215"/>
      <c r="CO895" s="215"/>
      <c r="CP895" s="215"/>
      <c r="CQ895" s="215"/>
      <c r="CR895" s="215"/>
      <c r="CS895" s="215"/>
      <c r="CT895" s="215"/>
    </row>
    <row r="896" ht="24.0" customHeight="1">
      <c r="A896" s="287"/>
      <c r="B896" s="287"/>
      <c r="C896" s="287"/>
      <c r="D896" s="232"/>
      <c r="E896" s="232"/>
      <c r="F896" s="232"/>
      <c r="G896" s="232"/>
      <c r="H896" s="232"/>
      <c r="I896" s="232"/>
      <c r="J896" s="232"/>
      <c r="K896" s="232"/>
      <c r="L896" s="232"/>
      <c r="M896" s="232"/>
      <c r="N896" s="289"/>
      <c r="O896" s="232"/>
      <c r="P896" s="232"/>
      <c r="Q896" s="232"/>
      <c r="R896" s="232"/>
      <c r="S896" s="232"/>
      <c r="T896" s="232"/>
      <c r="U896" s="232"/>
      <c r="V896" s="232"/>
      <c r="W896" s="232"/>
      <c r="X896" s="232"/>
      <c r="Y896" s="232"/>
      <c r="Z896" s="232"/>
      <c r="AA896" s="232"/>
      <c r="AB896" s="232"/>
      <c r="AC896" s="232"/>
      <c r="AD896" s="232"/>
      <c r="AE896" s="232"/>
      <c r="AF896" s="232"/>
      <c r="AG896" s="232"/>
      <c r="AH896" s="232"/>
      <c r="AI896" s="232"/>
      <c r="AJ896" s="232"/>
      <c r="AK896" s="232"/>
      <c r="AL896" s="232"/>
      <c r="AM896" s="232"/>
      <c r="AN896" s="232"/>
      <c r="AO896" s="232"/>
      <c r="AP896" s="232"/>
      <c r="AQ896" s="232"/>
      <c r="AR896" s="232"/>
      <c r="AS896" s="232"/>
      <c r="AT896" s="232"/>
      <c r="AU896" s="232"/>
      <c r="AV896" s="232"/>
      <c r="AW896" s="232"/>
      <c r="AX896" s="232"/>
      <c r="AY896" s="232"/>
      <c r="AZ896" s="232"/>
      <c r="BA896" s="232"/>
      <c r="BB896" s="232"/>
      <c r="BC896" s="232"/>
      <c r="BD896" s="232"/>
      <c r="BE896" s="232"/>
      <c r="BF896" s="232"/>
      <c r="BG896" s="232"/>
      <c r="BH896" s="232"/>
      <c r="BI896" s="232"/>
      <c r="BJ896" s="232"/>
      <c r="BK896" s="232"/>
      <c r="BL896" s="232"/>
      <c r="BM896" s="232"/>
      <c r="BN896" s="232"/>
      <c r="BO896" s="232"/>
      <c r="BP896" s="232"/>
      <c r="BQ896" s="232"/>
      <c r="BR896" s="232"/>
      <c r="BS896" s="232"/>
      <c r="BT896" s="232"/>
      <c r="BU896" s="232"/>
      <c r="BV896" s="232"/>
      <c r="BW896" s="232"/>
      <c r="BX896" s="232"/>
      <c r="BY896" s="232"/>
      <c r="BZ896" s="232"/>
      <c r="CA896" s="232"/>
      <c r="CB896" s="232"/>
      <c r="CC896" s="232"/>
      <c r="CD896" s="232"/>
      <c r="CE896" s="232"/>
      <c r="CF896" s="232"/>
      <c r="CG896" s="232"/>
      <c r="CH896" s="232"/>
      <c r="CI896" s="232"/>
      <c r="CJ896" s="232"/>
      <c r="CK896" s="232"/>
      <c r="CL896" s="232"/>
      <c r="CM896" s="232"/>
      <c r="CN896" s="215"/>
      <c r="CO896" s="215"/>
      <c r="CP896" s="215"/>
      <c r="CQ896" s="215"/>
      <c r="CR896" s="215"/>
      <c r="CS896" s="215"/>
      <c r="CT896" s="215"/>
    </row>
    <row r="897" ht="24.0" customHeight="1">
      <c r="A897" s="287"/>
      <c r="B897" s="287"/>
      <c r="C897" s="287"/>
      <c r="D897" s="232"/>
      <c r="E897" s="232"/>
      <c r="F897" s="232"/>
      <c r="G897" s="232"/>
      <c r="H897" s="232"/>
      <c r="I897" s="232"/>
      <c r="J897" s="232"/>
      <c r="K897" s="232"/>
      <c r="L897" s="232"/>
      <c r="M897" s="232"/>
      <c r="N897" s="289"/>
      <c r="O897" s="232"/>
      <c r="P897" s="232"/>
      <c r="Q897" s="232"/>
      <c r="R897" s="232"/>
      <c r="S897" s="232"/>
      <c r="T897" s="232"/>
      <c r="U897" s="232"/>
      <c r="V897" s="232"/>
      <c r="W897" s="232"/>
      <c r="X897" s="232"/>
      <c r="Y897" s="232"/>
      <c r="Z897" s="232"/>
      <c r="AA897" s="232"/>
      <c r="AB897" s="232"/>
      <c r="AC897" s="232"/>
      <c r="AD897" s="232"/>
      <c r="AE897" s="232"/>
      <c r="AF897" s="232"/>
      <c r="AG897" s="232"/>
      <c r="AH897" s="232"/>
      <c r="AI897" s="232"/>
      <c r="AJ897" s="232"/>
      <c r="AK897" s="232"/>
      <c r="AL897" s="232"/>
      <c r="AM897" s="232"/>
      <c r="AN897" s="232"/>
      <c r="AO897" s="232"/>
      <c r="AP897" s="232"/>
      <c r="AQ897" s="232"/>
      <c r="AR897" s="232"/>
      <c r="AS897" s="232"/>
      <c r="AT897" s="232"/>
      <c r="AU897" s="232"/>
      <c r="AV897" s="232"/>
      <c r="AW897" s="232"/>
      <c r="AX897" s="232"/>
      <c r="AY897" s="232"/>
      <c r="AZ897" s="232"/>
      <c r="BA897" s="232"/>
      <c r="BB897" s="232"/>
      <c r="BC897" s="232"/>
      <c r="BD897" s="232"/>
      <c r="BE897" s="232"/>
      <c r="BF897" s="232"/>
      <c r="BG897" s="232"/>
      <c r="BH897" s="232"/>
      <c r="BI897" s="232"/>
      <c r="BJ897" s="232"/>
      <c r="BK897" s="232"/>
      <c r="BL897" s="232"/>
      <c r="BM897" s="232"/>
      <c r="BN897" s="232"/>
      <c r="BO897" s="232"/>
      <c r="BP897" s="232"/>
      <c r="BQ897" s="232"/>
      <c r="BR897" s="232"/>
      <c r="BS897" s="232"/>
      <c r="BT897" s="232"/>
      <c r="BU897" s="232"/>
      <c r="BV897" s="232"/>
      <c r="BW897" s="232"/>
      <c r="BX897" s="232"/>
      <c r="BY897" s="232"/>
      <c r="BZ897" s="232"/>
      <c r="CA897" s="232"/>
      <c r="CB897" s="232"/>
      <c r="CC897" s="232"/>
      <c r="CD897" s="232"/>
      <c r="CE897" s="232"/>
      <c r="CF897" s="232"/>
      <c r="CG897" s="232"/>
      <c r="CH897" s="232"/>
      <c r="CI897" s="232"/>
      <c r="CJ897" s="232"/>
      <c r="CK897" s="232"/>
      <c r="CL897" s="232"/>
      <c r="CM897" s="232"/>
      <c r="CN897" s="215"/>
      <c r="CO897" s="215"/>
      <c r="CP897" s="215"/>
      <c r="CQ897" s="215"/>
      <c r="CR897" s="215"/>
      <c r="CS897" s="215"/>
      <c r="CT897" s="215"/>
    </row>
    <row r="898" ht="24.0" customHeight="1">
      <c r="A898" s="287"/>
      <c r="B898" s="287"/>
      <c r="C898" s="287"/>
      <c r="D898" s="232"/>
      <c r="E898" s="232"/>
      <c r="F898" s="232"/>
      <c r="G898" s="232"/>
      <c r="H898" s="232"/>
      <c r="I898" s="232"/>
      <c r="J898" s="232"/>
      <c r="K898" s="232"/>
      <c r="L898" s="232"/>
      <c r="M898" s="232"/>
      <c r="N898" s="289"/>
      <c r="O898" s="232"/>
      <c r="P898" s="232"/>
      <c r="Q898" s="232"/>
      <c r="R898" s="232"/>
      <c r="S898" s="232"/>
      <c r="T898" s="232"/>
      <c r="U898" s="232"/>
      <c r="V898" s="232"/>
      <c r="W898" s="232"/>
      <c r="X898" s="232"/>
      <c r="Y898" s="232"/>
      <c r="Z898" s="232"/>
      <c r="AA898" s="232"/>
      <c r="AB898" s="232"/>
      <c r="AC898" s="232"/>
      <c r="AD898" s="232"/>
      <c r="AE898" s="232"/>
      <c r="AF898" s="232"/>
      <c r="AG898" s="232"/>
      <c r="AH898" s="232"/>
      <c r="AI898" s="232"/>
      <c r="AJ898" s="232"/>
      <c r="AK898" s="232"/>
      <c r="AL898" s="232"/>
      <c r="AM898" s="232"/>
      <c r="AN898" s="232"/>
      <c r="AO898" s="232"/>
      <c r="AP898" s="232"/>
      <c r="AQ898" s="232"/>
      <c r="AR898" s="232"/>
      <c r="AS898" s="232"/>
      <c r="AT898" s="232"/>
      <c r="AU898" s="232"/>
      <c r="AV898" s="232"/>
      <c r="AW898" s="232"/>
      <c r="AX898" s="232"/>
      <c r="AY898" s="232"/>
      <c r="AZ898" s="232"/>
      <c r="BA898" s="232"/>
      <c r="BB898" s="232"/>
      <c r="BC898" s="232"/>
      <c r="BD898" s="232"/>
      <c r="BE898" s="232"/>
      <c r="BF898" s="232"/>
      <c r="BG898" s="232"/>
      <c r="BH898" s="232"/>
      <c r="BI898" s="232"/>
      <c r="BJ898" s="232"/>
      <c r="BK898" s="232"/>
      <c r="BL898" s="232"/>
      <c r="BM898" s="232"/>
      <c r="BN898" s="232"/>
      <c r="BO898" s="232"/>
      <c r="BP898" s="232"/>
      <c r="BQ898" s="232"/>
      <c r="BR898" s="232"/>
      <c r="BS898" s="232"/>
      <c r="BT898" s="232"/>
      <c r="BU898" s="232"/>
      <c r="BV898" s="232"/>
      <c r="BW898" s="232"/>
      <c r="BX898" s="232"/>
      <c r="BY898" s="232"/>
      <c r="BZ898" s="232"/>
      <c r="CA898" s="232"/>
      <c r="CB898" s="232"/>
      <c r="CC898" s="232"/>
      <c r="CD898" s="232"/>
      <c r="CE898" s="232"/>
      <c r="CF898" s="232"/>
      <c r="CG898" s="232"/>
      <c r="CH898" s="232"/>
      <c r="CI898" s="232"/>
      <c r="CJ898" s="232"/>
      <c r="CK898" s="232"/>
      <c r="CL898" s="232"/>
      <c r="CM898" s="232"/>
      <c r="CN898" s="215"/>
      <c r="CO898" s="215"/>
      <c r="CP898" s="215"/>
      <c r="CQ898" s="215"/>
      <c r="CR898" s="215"/>
      <c r="CS898" s="215"/>
      <c r="CT898" s="215"/>
    </row>
    <row r="899" ht="24.0" customHeight="1">
      <c r="A899" s="287"/>
      <c r="B899" s="287"/>
      <c r="C899" s="287"/>
      <c r="D899" s="232"/>
      <c r="E899" s="232"/>
      <c r="F899" s="232"/>
      <c r="G899" s="232"/>
      <c r="H899" s="232"/>
      <c r="I899" s="232"/>
      <c r="J899" s="232"/>
      <c r="K899" s="232"/>
      <c r="L899" s="232"/>
      <c r="M899" s="232"/>
      <c r="N899" s="289"/>
      <c r="O899" s="232"/>
      <c r="P899" s="232"/>
      <c r="Q899" s="232"/>
      <c r="R899" s="232"/>
      <c r="S899" s="232"/>
      <c r="T899" s="232"/>
      <c r="U899" s="232"/>
      <c r="V899" s="232"/>
      <c r="W899" s="232"/>
      <c r="X899" s="232"/>
      <c r="Y899" s="232"/>
      <c r="Z899" s="232"/>
      <c r="AA899" s="232"/>
      <c r="AB899" s="232"/>
      <c r="AC899" s="232"/>
      <c r="AD899" s="232"/>
      <c r="AE899" s="232"/>
      <c r="AF899" s="232"/>
      <c r="AG899" s="232"/>
      <c r="AH899" s="232"/>
      <c r="AI899" s="232"/>
      <c r="AJ899" s="232"/>
      <c r="AK899" s="232"/>
      <c r="AL899" s="232"/>
      <c r="AM899" s="232"/>
      <c r="AN899" s="232"/>
      <c r="AO899" s="232"/>
      <c r="AP899" s="232"/>
      <c r="AQ899" s="232"/>
      <c r="AR899" s="232"/>
      <c r="AS899" s="232"/>
      <c r="AT899" s="232"/>
      <c r="AU899" s="232"/>
      <c r="AV899" s="232"/>
      <c r="AW899" s="232"/>
      <c r="AX899" s="232"/>
      <c r="AY899" s="232"/>
      <c r="AZ899" s="232"/>
      <c r="BA899" s="232"/>
      <c r="BB899" s="232"/>
      <c r="BC899" s="232"/>
      <c r="BD899" s="232"/>
      <c r="BE899" s="232"/>
      <c r="BF899" s="232"/>
      <c r="BG899" s="232"/>
      <c r="BH899" s="232"/>
      <c r="BI899" s="232"/>
      <c r="BJ899" s="232"/>
      <c r="BK899" s="232"/>
      <c r="BL899" s="232"/>
      <c r="BM899" s="232"/>
      <c r="BN899" s="232"/>
      <c r="BO899" s="232"/>
      <c r="BP899" s="232"/>
      <c r="BQ899" s="232"/>
      <c r="BR899" s="232"/>
      <c r="BS899" s="232"/>
      <c r="BT899" s="232"/>
      <c r="BU899" s="232"/>
      <c r="BV899" s="232"/>
      <c r="BW899" s="232"/>
      <c r="BX899" s="232"/>
      <c r="BY899" s="232"/>
      <c r="BZ899" s="232"/>
      <c r="CA899" s="232"/>
      <c r="CB899" s="232"/>
      <c r="CC899" s="232"/>
      <c r="CD899" s="232"/>
      <c r="CE899" s="232"/>
      <c r="CF899" s="232"/>
      <c r="CG899" s="232"/>
      <c r="CH899" s="232"/>
      <c r="CI899" s="232"/>
      <c r="CJ899" s="232"/>
      <c r="CK899" s="232"/>
      <c r="CL899" s="232"/>
      <c r="CM899" s="232"/>
      <c r="CN899" s="215"/>
      <c r="CO899" s="215"/>
      <c r="CP899" s="215"/>
      <c r="CQ899" s="215"/>
      <c r="CR899" s="215"/>
      <c r="CS899" s="215"/>
      <c r="CT899" s="215"/>
    </row>
    <row r="900" ht="24.0" customHeight="1">
      <c r="A900" s="287"/>
      <c r="B900" s="287"/>
      <c r="C900" s="287"/>
      <c r="D900" s="232"/>
      <c r="E900" s="232"/>
      <c r="F900" s="232"/>
      <c r="G900" s="232"/>
      <c r="H900" s="232"/>
      <c r="I900" s="232"/>
      <c r="J900" s="232"/>
      <c r="K900" s="232"/>
      <c r="L900" s="232"/>
      <c r="M900" s="232"/>
      <c r="N900" s="289"/>
      <c r="O900" s="232"/>
      <c r="P900" s="232"/>
      <c r="Q900" s="232"/>
      <c r="R900" s="232"/>
      <c r="S900" s="232"/>
      <c r="T900" s="232"/>
      <c r="U900" s="232"/>
      <c r="V900" s="232"/>
      <c r="W900" s="232"/>
      <c r="X900" s="232"/>
      <c r="Y900" s="232"/>
      <c r="Z900" s="232"/>
      <c r="AA900" s="232"/>
      <c r="AB900" s="232"/>
      <c r="AC900" s="232"/>
      <c r="AD900" s="232"/>
      <c r="AE900" s="232"/>
      <c r="AF900" s="232"/>
      <c r="AG900" s="232"/>
      <c r="AH900" s="232"/>
      <c r="AI900" s="232"/>
      <c r="AJ900" s="232"/>
      <c r="AK900" s="232"/>
      <c r="AL900" s="232"/>
      <c r="AM900" s="232"/>
      <c r="AN900" s="232"/>
      <c r="AO900" s="232"/>
      <c r="AP900" s="232"/>
      <c r="AQ900" s="232"/>
      <c r="AR900" s="232"/>
      <c r="AS900" s="232"/>
      <c r="AT900" s="232"/>
      <c r="AU900" s="232"/>
      <c r="AV900" s="232"/>
      <c r="AW900" s="232"/>
      <c r="AX900" s="232"/>
      <c r="AY900" s="232"/>
      <c r="AZ900" s="232"/>
      <c r="BA900" s="232"/>
      <c r="BB900" s="232"/>
      <c r="BC900" s="232"/>
      <c r="BD900" s="232"/>
      <c r="BE900" s="232"/>
      <c r="BF900" s="232"/>
      <c r="BG900" s="232"/>
      <c r="BH900" s="232"/>
      <c r="BI900" s="232"/>
      <c r="BJ900" s="232"/>
      <c r="BK900" s="232"/>
      <c r="BL900" s="232"/>
      <c r="BM900" s="232"/>
      <c r="BN900" s="232"/>
      <c r="BO900" s="232"/>
      <c r="BP900" s="232"/>
      <c r="BQ900" s="232"/>
      <c r="BR900" s="232"/>
      <c r="BS900" s="232"/>
      <c r="BT900" s="232"/>
      <c r="BU900" s="232"/>
      <c r="BV900" s="232"/>
      <c r="BW900" s="232"/>
      <c r="BX900" s="232"/>
      <c r="BY900" s="232"/>
      <c r="BZ900" s="232"/>
      <c r="CA900" s="232"/>
      <c r="CB900" s="232"/>
      <c r="CC900" s="232"/>
      <c r="CD900" s="232"/>
      <c r="CE900" s="232"/>
      <c r="CF900" s="232"/>
      <c r="CG900" s="232"/>
      <c r="CH900" s="232"/>
      <c r="CI900" s="232"/>
      <c r="CJ900" s="232"/>
      <c r="CK900" s="232"/>
      <c r="CL900" s="232"/>
      <c r="CM900" s="232"/>
      <c r="CN900" s="215"/>
      <c r="CO900" s="215"/>
      <c r="CP900" s="215"/>
      <c r="CQ900" s="215"/>
      <c r="CR900" s="215"/>
      <c r="CS900" s="215"/>
      <c r="CT900" s="215"/>
    </row>
    <row r="901" ht="24.0" customHeight="1">
      <c r="A901" s="287"/>
      <c r="B901" s="287"/>
      <c r="C901" s="287"/>
      <c r="D901" s="232"/>
      <c r="E901" s="232"/>
      <c r="F901" s="232"/>
      <c r="G901" s="232"/>
      <c r="H901" s="232"/>
      <c r="I901" s="232"/>
      <c r="J901" s="232"/>
      <c r="K901" s="232"/>
      <c r="L901" s="232"/>
      <c r="M901" s="232"/>
      <c r="N901" s="289"/>
      <c r="O901" s="232"/>
      <c r="P901" s="232"/>
      <c r="Q901" s="232"/>
      <c r="R901" s="232"/>
      <c r="S901" s="232"/>
      <c r="T901" s="232"/>
      <c r="U901" s="232"/>
      <c r="V901" s="232"/>
      <c r="W901" s="232"/>
      <c r="X901" s="232"/>
      <c r="Y901" s="232"/>
      <c r="Z901" s="232"/>
      <c r="AA901" s="232"/>
      <c r="AB901" s="232"/>
      <c r="AC901" s="232"/>
      <c r="AD901" s="232"/>
      <c r="AE901" s="232"/>
      <c r="AF901" s="232"/>
      <c r="AG901" s="232"/>
      <c r="AH901" s="232"/>
      <c r="AI901" s="232"/>
      <c r="AJ901" s="232"/>
      <c r="AK901" s="232"/>
      <c r="AL901" s="232"/>
      <c r="AM901" s="232"/>
      <c r="AN901" s="232"/>
      <c r="AO901" s="232"/>
      <c r="AP901" s="232"/>
      <c r="AQ901" s="232"/>
      <c r="AR901" s="232"/>
      <c r="AS901" s="232"/>
      <c r="AT901" s="232"/>
      <c r="AU901" s="232"/>
      <c r="AV901" s="232"/>
      <c r="AW901" s="232"/>
      <c r="AX901" s="232"/>
      <c r="AY901" s="232"/>
      <c r="AZ901" s="232"/>
      <c r="BA901" s="232"/>
      <c r="BB901" s="232"/>
      <c r="BC901" s="232"/>
      <c r="BD901" s="232"/>
      <c r="BE901" s="232"/>
      <c r="BF901" s="232"/>
      <c r="BG901" s="232"/>
      <c r="BH901" s="232"/>
      <c r="BI901" s="232"/>
      <c r="BJ901" s="232"/>
      <c r="BK901" s="232"/>
      <c r="BL901" s="232"/>
      <c r="BM901" s="232"/>
      <c r="BN901" s="232"/>
      <c r="BO901" s="232"/>
      <c r="BP901" s="232"/>
      <c r="BQ901" s="232"/>
      <c r="BR901" s="232"/>
      <c r="BS901" s="232"/>
      <c r="BT901" s="232"/>
      <c r="BU901" s="232"/>
      <c r="BV901" s="232"/>
      <c r="BW901" s="232"/>
      <c r="BX901" s="232"/>
      <c r="BY901" s="232"/>
      <c r="BZ901" s="232"/>
      <c r="CA901" s="232"/>
      <c r="CB901" s="232"/>
      <c r="CC901" s="232"/>
      <c r="CD901" s="232"/>
      <c r="CE901" s="232"/>
      <c r="CF901" s="232"/>
      <c r="CG901" s="232"/>
      <c r="CH901" s="232"/>
      <c r="CI901" s="232"/>
      <c r="CJ901" s="232"/>
      <c r="CK901" s="232"/>
      <c r="CL901" s="232"/>
      <c r="CM901" s="232"/>
      <c r="CN901" s="215"/>
      <c r="CO901" s="215"/>
      <c r="CP901" s="215"/>
      <c r="CQ901" s="215"/>
      <c r="CR901" s="215"/>
      <c r="CS901" s="215"/>
      <c r="CT901" s="215"/>
    </row>
    <row r="902" ht="24.0" customHeight="1">
      <c r="A902" s="287"/>
      <c r="B902" s="287"/>
      <c r="C902" s="287"/>
      <c r="D902" s="232"/>
      <c r="E902" s="232"/>
      <c r="F902" s="232"/>
      <c r="G902" s="232"/>
      <c r="H902" s="232"/>
      <c r="I902" s="232"/>
      <c r="J902" s="232"/>
      <c r="K902" s="232"/>
      <c r="L902" s="232"/>
      <c r="M902" s="232"/>
      <c r="N902" s="289"/>
      <c r="O902" s="232"/>
      <c r="P902" s="232"/>
      <c r="Q902" s="232"/>
      <c r="R902" s="232"/>
      <c r="S902" s="232"/>
      <c r="T902" s="232"/>
      <c r="U902" s="232"/>
      <c r="V902" s="232"/>
      <c r="W902" s="232"/>
      <c r="X902" s="232"/>
      <c r="Y902" s="232"/>
      <c r="Z902" s="232"/>
      <c r="AA902" s="232"/>
      <c r="AB902" s="232"/>
      <c r="AC902" s="232"/>
      <c r="AD902" s="232"/>
      <c r="AE902" s="232"/>
      <c r="AF902" s="232"/>
      <c r="AG902" s="232"/>
      <c r="AH902" s="232"/>
      <c r="AI902" s="232"/>
      <c r="AJ902" s="232"/>
      <c r="AK902" s="232"/>
      <c r="AL902" s="232"/>
      <c r="AM902" s="232"/>
      <c r="AN902" s="232"/>
      <c r="AO902" s="232"/>
      <c r="AP902" s="232"/>
      <c r="AQ902" s="232"/>
      <c r="AR902" s="232"/>
      <c r="AS902" s="232"/>
      <c r="AT902" s="232"/>
      <c r="AU902" s="232"/>
      <c r="AV902" s="232"/>
      <c r="AW902" s="232"/>
      <c r="AX902" s="232"/>
      <c r="AY902" s="232"/>
      <c r="AZ902" s="232"/>
      <c r="BA902" s="232"/>
      <c r="BB902" s="232"/>
      <c r="BC902" s="232"/>
      <c r="BD902" s="232"/>
      <c r="BE902" s="232"/>
      <c r="BF902" s="232"/>
      <c r="BG902" s="232"/>
      <c r="BH902" s="232"/>
      <c r="BI902" s="232"/>
      <c r="BJ902" s="232"/>
      <c r="BK902" s="232"/>
      <c r="BL902" s="232"/>
      <c r="BM902" s="232"/>
      <c r="BN902" s="232"/>
      <c r="BO902" s="232"/>
      <c r="BP902" s="232"/>
      <c r="BQ902" s="232"/>
      <c r="BR902" s="232"/>
      <c r="BS902" s="232"/>
      <c r="BT902" s="232"/>
      <c r="BU902" s="232"/>
      <c r="BV902" s="232"/>
      <c r="BW902" s="232"/>
      <c r="BX902" s="232"/>
      <c r="BY902" s="232"/>
      <c r="BZ902" s="232"/>
      <c r="CA902" s="232"/>
      <c r="CB902" s="232"/>
      <c r="CC902" s="232"/>
      <c r="CD902" s="232"/>
      <c r="CE902" s="232"/>
      <c r="CF902" s="232"/>
      <c r="CG902" s="232"/>
      <c r="CH902" s="232"/>
      <c r="CI902" s="232"/>
      <c r="CJ902" s="232"/>
      <c r="CK902" s="232"/>
      <c r="CL902" s="232"/>
      <c r="CM902" s="232"/>
      <c r="CN902" s="215"/>
      <c r="CO902" s="215"/>
      <c r="CP902" s="215"/>
      <c r="CQ902" s="215"/>
      <c r="CR902" s="215"/>
      <c r="CS902" s="215"/>
      <c r="CT902" s="215"/>
    </row>
    <row r="903" ht="24.0" customHeight="1">
      <c r="A903" s="287"/>
      <c r="B903" s="287"/>
      <c r="C903" s="287"/>
      <c r="D903" s="232"/>
      <c r="E903" s="232"/>
      <c r="F903" s="232"/>
      <c r="G903" s="232"/>
      <c r="H903" s="232"/>
      <c r="I903" s="232"/>
      <c r="J903" s="232"/>
      <c r="K903" s="232"/>
      <c r="L903" s="232"/>
      <c r="M903" s="232"/>
      <c r="N903" s="289"/>
      <c r="O903" s="232"/>
      <c r="P903" s="232"/>
      <c r="Q903" s="232"/>
      <c r="R903" s="232"/>
      <c r="S903" s="232"/>
      <c r="T903" s="232"/>
      <c r="U903" s="232"/>
      <c r="V903" s="232"/>
      <c r="W903" s="232"/>
      <c r="X903" s="232"/>
      <c r="Y903" s="232"/>
      <c r="Z903" s="232"/>
      <c r="AA903" s="232"/>
      <c r="AB903" s="232"/>
      <c r="AC903" s="232"/>
      <c r="AD903" s="232"/>
      <c r="AE903" s="232"/>
      <c r="AF903" s="232"/>
      <c r="AG903" s="232"/>
      <c r="AH903" s="232"/>
      <c r="AI903" s="232"/>
      <c r="AJ903" s="232"/>
      <c r="AK903" s="232"/>
      <c r="AL903" s="232"/>
      <c r="AM903" s="232"/>
      <c r="AN903" s="232"/>
      <c r="AO903" s="232"/>
      <c r="AP903" s="232"/>
      <c r="AQ903" s="232"/>
      <c r="AR903" s="232"/>
      <c r="AS903" s="232"/>
      <c r="AT903" s="232"/>
      <c r="AU903" s="232"/>
      <c r="AV903" s="232"/>
      <c r="AW903" s="232"/>
      <c r="AX903" s="232"/>
      <c r="AY903" s="232"/>
      <c r="AZ903" s="232"/>
      <c r="BA903" s="232"/>
      <c r="BB903" s="232"/>
      <c r="BC903" s="232"/>
      <c r="BD903" s="232"/>
      <c r="BE903" s="232"/>
      <c r="BF903" s="232"/>
      <c r="BG903" s="232"/>
      <c r="BH903" s="232"/>
      <c r="BI903" s="232"/>
      <c r="BJ903" s="232"/>
      <c r="BK903" s="232"/>
      <c r="BL903" s="232"/>
      <c r="BM903" s="232"/>
      <c r="BN903" s="232"/>
      <c r="BO903" s="232"/>
      <c r="BP903" s="232"/>
      <c r="BQ903" s="232"/>
      <c r="BR903" s="232"/>
      <c r="BS903" s="232"/>
      <c r="BT903" s="232"/>
      <c r="BU903" s="232"/>
      <c r="BV903" s="232"/>
      <c r="BW903" s="232"/>
      <c r="BX903" s="232"/>
      <c r="BY903" s="232"/>
      <c r="BZ903" s="232"/>
      <c r="CA903" s="232"/>
      <c r="CB903" s="232"/>
      <c r="CC903" s="232"/>
      <c r="CD903" s="232"/>
      <c r="CE903" s="232"/>
      <c r="CF903" s="232"/>
      <c r="CG903" s="232"/>
      <c r="CH903" s="232"/>
      <c r="CI903" s="232"/>
      <c r="CJ903" s="232"/>
      <c r="CK903" s="232"/>
      <c r="CL903" s="232"/>
      <c r="CM903" s="232"/>
      <c r="CN903" s="215"/>
      <c r="CO903" s="215"/>
      <c r="CP903" s="215"/>
      <c r="CQ903" s="215"/>
      <c r="CR903" s="215"/>
      <c r="CS903" s="215"/>
      <c r="CT903" s="215"/>
    </row>
    <row r="904" ht="24.0" customHeight="1">
      <c r="A904" s="287"/>
      <c r="B904" s="287"/>
      <c r="C904" s="287"/>
      <c r="D904" s="232"/>
      <c r="E904" s="232"/>
      <c r="F904" s="232"/>
      <c r="G904" s="232"/>
      <c r="H904" s="232"/>
      <c r="I904" s="232"/>
      <c r="J904" s="232"/>
      <c r="K904" s="232"/>
      <c r="L904" s="232"/>
      <c r="M904" s="232"/>
      <c r="N904" s="289"/>
      <c r="O904" s="232"/>
      <c r="P904" s="232"/>
      <c r="Q904" s="232"/>
      <c r="R904" s="232"/>
      <c r="S904" s="232"/>
      <c r="T904" s="232"/>
      <c r="U904" s="232"/>
      <c r="V904" s="232"/>
      <c r="W904" s="232"/>
      <c r="X904" s="232"/>
      <c r="Y904" s="232"/>
      <c r="Z904" s="232"/>
      <c r="AA904" s="232"/>
      <c r="AB904" s="232"/>
      <c r="AC904" s="232"/>
      <c r="AD904" s="232"/>
      <c r="AE904" s="232"/>
      <c r="AF904" s="232"/>
      <c r="AG904" s="232"/>
      <c r="AH904" s="232"/>
      <c r="AI904" s="232"/>
      <c r="AJ904" s="232"/>
      <c r="AK904" s="232"/>
      <c r="AL904" s="232"/>
      <c r="AM904" s="232"/>
      <c r="AN904" s="232"/>
      <c r="AO904" s="232"/>
      <c r="AP904" s="232"/>
      <c r="AQ904" s="232"/>
      <c r="AR904" s="232"/>
      <c r="AS904" s="232"/>
      <c r="AT904" s="232"/>
      <c r="AU904" s="232"/>
      <c r="AV904" s="232"/>
      <c r="AW904" s="232"/>
      <c r="AX904" s="232"/>
      <c r="AY904" s="232"/>
      <c r="AZ904" s="232"/>
      <c r="BA904" s="232"/>
      <c r="BB904" s="232"/>
      <c r="BC904" s="232"/>
      <c r="BD904" s="232"/>
      <c r="BE904" s="232"/>
      <c r="BF904" s="232"/>
      <c r="BG904" s="232"/>
      <c r="BH904" s="232"/>
      <c r="BI904" s="232"/>
      <c r="BJ904" s="232"/>
      <c r="BK904" s="232"/>
      <c r="BL904" s="232"/>
      <c r="BM904" s="232"/>
      <c r="BN904" s="232"/>
      <c r="BO904" s="232"/>
      <c r="BP904" s="232"/>
      <c r="BQ904" s="232"/>
      <c r="BR904" s="232"/>
      <c r="BS904" s="232"/>
      <c r="BT904" s="232"/>
      <c r="BU904" s="232"/>
      <c r="BV904" s="232"/>
      <c r="BW904" s="232"/>
      <c r="BX904" s="232"/>
      <c r="BY904" s="232"/>
      <c r="BZ904" s="232"/>
      <c r="CA904" s="232"/>
      <c r="CB904" s="232"/>
      <c r="CC904" s="232"/>
      <c r="CD904" s="232"/>
      <c r="CE904" s="232"/>
      <c r="CF904" s="232"/>
      <c r="CG904" s="232"/>
      <c r="CH904" s="232"/>
      <c r="CI904" s="232"/>
      <c r="CJ904" s="232"/>
      <c r="CK904" s="232"/>
      <c r="CL904" s="232"/>
      <c r="CM904" s="232"/>
      <c r="CN904" s="215"/>
      <c r="CO904" s="215"/>
      <c r="CP904" s="215"/>
      <c r="CQ904" s="215"/>
      <c r="CR904" s="215"/>
      <c r="CS904" s="215"/>
      <c r="CT904" s="215"/>
    </row>
    <row r="905" ht="24.0" customHeight="1">
      <c r="A905" s="287"/>
      <c r="B905" s="287"/>
      <c r="C905" s="287"/>
      <c r="D905" s="232"/>
      <c r="E905" s="232"/>
      <c r="F905" s="232"/>
      <c r="G905" s="232"/>
      <c r="H905" s="232"/>
      <c r="I905" s="232"/>
      <c r="J905" s="232"/>
      <c r="K905" s="232"/>
      <c r="L905" s="232"/>
      <c r="M905" s="232"/>
      <c r="N905" s="289"/>
      <c r="O905" s="232"/>
      <c r="P905" s="232"/>
      <c r="Q905" s="232"/>
      <c r="R905" s="232"/>
      <c r="S905" s="232"/>
      <c r="T905" s="232"/>
      <c r="U905" s="232"/>
      <c r="V905" s="232"/>
      <c r="W905" s="232"/>
      <c r="X905" s="232"/>
      <c r="Y905" s="232"/>
      <c r="Z905" s="232"/>
      <c r="AA905" s="232"/>
      <c r="AB905" s="232"/>
      <c r="AC905" s="232"/>
      <c r="AD905" s="232"/>
      <c r="AE905" s="232"/>
      <c r="AF905" s="232"/>
      <c r="AG905" s="232"/>
      <c r="AH905" s="232"/>
      <c r="AI905" s="232"/>
      <c r="AJ905" s="232"/>
      <c r="AK905" s="232"/>
      <c r="AL905" s="232"/>
      <c r="AM905" s="232"/>
      <c r="AN905" s="232"/>
      <c r="AO905" s="232"/>
      <c r="AP905" s="232"/>
      <c r="AQ905" s="232"/>
      <c r="AR905" s="232"/>
      <c r="AS905" s="232"/>
      <c r="AT905" s="232"/>
      <c r="AU905" s="232"/>
      <c r="AV905" s="232"/>
      <c r="AW905" s="232"/>
      <c r="AX905" s="232"/>
      <c r="AY905" s="232"/>
      <c r="AZ905" s="232"/>
      <c r="BA905" s="232"/>
      <c r="BB905" s="232"/>
      <c r="BC905" s="232"/>
      <c r="BD905" s="232"/>
      <c r="BE905" s="232"/>
      <c r="BF905" s="232"/>
      <c r="BG905" s="232"/>
      <c r="BH905" s="232"/>
      <c r="BI905" s="232"/>
      <c r="BJ905" s="232"/>
      <c r="BK905" s="232"/>
      <c r="BL905" s="232"/>
      <c r="BM905" s="232"/>
      <c r="BN905" s="232"/>
      <c r="BO905" s="232"/>
      <c r="BP905" s="232"/>
      <c r="BQ905" s="232"/>
      <c r="BR905" s="232"/>
      <c r="BS905" s="232"/>
      <c r="BT905" s="232"/>
      <c r="BU905" s="232"/>
      <c r="BV905" s="232"/>
      <c r="BW905" s="232"/>
      <c r="BX905" s="232"/>
      <c r="BY905" s="232"/>
      <c r="BZ905" s="232"/>
      <c r="CA905" s="232"/>
      <c r="CB905" s="232"/>
      <c r="CC905" s="232"/>
      <c r="CD905" s="232"/>
      <c r="CE905" s="232"/>
      <c r="CF905" s="232"/>
      <c r="CG905" s="232"/>
      <c r="CH905" s="232"/>
      <c r="CI905" s="232"/>
      <c r="CJ905" s="232"/>
      <c r="CK905" s="232"/>
      <c r="CL905" s="232"/>
      <c r="CM905" s="232"/>
      <c r="CN905" s="215"/>
      <c r="CO905" s="215"/>
      <c r="CP905" s="215"/>
      <c r="CQ905" s="215"/>
      <c r="CR905" s="215"/>
      <c r="CS905" s="215"/>
      <c r="CT905" s="215"/>
    </row>
    <row r="906" ht="24.0" customHeight="1">
      <c r="A906" s="287"/>
      <c r="B906" s="287"/>
      <c r="C906" s="287"/>
      <c r="D906" s="232"/>
      <c r="E906" s="232"/>
      <c r="F906" s="232"/>
      <c r="G906" s="232"/>
      <c r="H906" s="232"/>
      <c r="I906" s="232"/>
      <c r="J906" s="232"/>
      <c r="K906" s="232"/>
      <c r="L906" s="232"/>
      <c r="M906" s="232"/>
      <c r="N906" s="289"/>
      <c r="O906" s="232"/>
      <c r="P906" s="232"/>
      <c r="Q906" s="232"/>
      <c r="R906" s="232"/>
      <c r="S906" s="232"/>
      <c r="T906" s="232"/>
      <c r="U906" s="232"/>
      <c r="V906" s="232"/>
      <c r="W906" s="232"/>
      <c r="X906" s="232"/>
      <c r="Y906" s="232"/>
      <c r="Z906" s="232"/>
      <c r="AA906" s="232"/>
      <c r="AB906" s="232"/>
      <c r="AC906" s="232"/>
      <c r="AD906" s="232"/>
      <c r="AE906" s="232"/>
      <c r="AF906" s="232"/>
      <c r="AG906" s="232"/>
      <c r="AH906" s="232"/>
      <c r="AI906" s="232"/>
      <c r="AJ906" s="232"/>
      <c r="AK906" s="232"/>
      <c r="AL906" s="232"/>
      <c r="AM906" s="232"/>
      <c r="AN906" s="232"/>
      <c r="AO906" s="232"/>
      <c r="AP906" s="232"/>
      <c r="AQ906" s="232"/>
      <c r="AR906" s="232"/>
      <c r="AS906" s="232"/>
      <c r="AT906" s="232"/>
      <c r="AU906" s="232"/>
      <c r="AV906" s="232"/>
      <c r="AW906" s="232"/>
      <c r="AX906" s="232"/>
      <c r="AY906" s="232"/>
      <c r="AZ906" s="232"/>
      <c r="BA906" s="232"/>
      <c r="BB906" s="232"/>
      <c r="BC906" s="232"/>
      <c r="BD906" s="232"/>
      <c r="BE906" s="232"/>
      <c r="BF906" s="232"/>
      <c r="BG906" s="232"/>
      <c r="BH906" s="232"/>
      <c r="BI906" s="232"/>
      <c r="BJ906" s="232"/>
      <c r="BK906" s="232"/>
      <c r="BL906" s="232"/>
      <c r="BM906" s="232"/>
      <c r="BN906" s="232"/>
      <c r="BO906" s="232"/>
      <c r="BP906" s="232"/>
      <c r="BQ906" s="232"/>
      <c r="BR906" s="232"/>
      <c r="BS906" s="232"/>
      <c r="BT906" s="232"/>
      <c r="BU906" s="232"/>
      <c r="BV906" s="232"/>
      <c r="BW906" s="232"/>
      <c r="BX906" s="232"/>
      <c r="BY906" s="232"/>
      <c r="BZ906" s="232"/>
      <c r="CA906" s="232"/>
      <c r="CB906" s="232"/>
      <c r="CC906" s="232"/>
      <c r="CD906" s="232"/>
      <c r="CE906" s="232"/>
      <c r="CF906" s="232"/>
      <c r="CG906" s="232"/>
      <c r="CH906" s="232"/>
      <c r="CI906" s="232"/>
      <c r="CJ906" s="232"/>
      <c r="CK906" s="232"/>
      <c r="CL906" s="232"/>
      <c r="CM906" s="232"/>
      <c r="CN906" s="215"/>
      <c r="CO906" s="215"/>
      <c r="CP906" s="215"/>
      <c r="CQ906" s="215"/>
      <c r="CR906" s="215"/>
      <c r="CS906" s="215"/>
      <c r="CT906" s="215"/>
    </row>
    <row r="907" ht="24.0" customHeight="1">
      <c r="A907" s="287"/>
      <c r="B907" s="287"/>
      <c r="C907" s="287"/>
      <c r="D907" s="232"/>
      <c r="E907" s="232"/>
      <c r="F907" s="232"/>
      <c r="G907" s="232"/>
      <c r="H907" s="232"/>
      <c r="I907" s="232"/>
      <c r="J907" s="232"/>
      <c r="K907" s="232"/>
      <c r="L907" s="232"/>
      <c r="M907" s="232"/>
      <c r="N907" s="289"/>
      <c r="O907" s="232"/>
      <c r="P907" s="232"/>
      <c r="Q907" s="232"/>
      <c r="R907" s="232"/>
      <c r="S907" s="232"/>
      <c r="T907" s="232"/>
      <c r="U907" s="232"/>
      <c r="V907" s="232"/>
      <c r="W907" s="232"/>
      <c r="X907" s="232"/>
      <c r="Y907" s="232"/>
      <c r="Z907" s="232"/>
      <c r="AA907" s="232"/>
      <c r="AB907" s="232"/>
      <c r="AC907" s="232"/>
      <c r="AD907" s="232"/>
      <c r="AE907" s="232"/>
      <c r="AF907" s="232"/>
      <c r="AG907" s="232"/>
      <c r="AH907" s="232"/>
      <c r="AI907" s="232"/>
      <c r="AJ907" s="232"/>
      <c r="AK907" s="232"/>
      <c r="AL907" s="232"/>
      <c r="AM907" s="232"/>
      <c r="AN907" s="232"/>
      <c r="AO907" s="232"/>
      <c r="AP907" s="232"/>
      <c r="AQ907" s="232"/>
      <c r="AR907" s="232"/>
      <c r="AS907" s="232"/>
      <c r="AT907" s="232"/>
      <c r="AU907" s="232"/>
      <c r="AV907" s="232"/>
      <c r="AW907" s="232"/>
      <c r="AX907" s="232"/>
      <c r="AY907" s="232"/>
      <c r="AZ907" s="232"/>
      <c r="BA907" s="232"/>
      <c r="BB907" s="232"/>
      <c r="BC907" s="232"/>
      <c r="BD907" s="232"/>
      <c r="BE907" s="232"/>
      <c r="BF907" s="232"/>
      <c r="BG907" s="232"/>
      <c r="BH907" s="232"/>
      <c r="BI907" s="232"/>
      <c r="BJ907" s="232"/>
      <c r="BK907" s="232"/>
      <c r="BL907" s="232"/>
      <c r="BM907" s="232"/>
      <c r="BN907" s="232"/>
      <c r="BO907" s="232"/>
      <c r="BP907" s="232"/>
      <c r="BQ907" s="232"/>
      <c r="BR907" s="232"/>
      <c r="BS907" s="232"/>
      <c r="BT907" s="232"/>
      <c r="BU907" s="232"/>
      <c r="BV907" s="232"/>
      <c r="BW907" s="232"/>
      <c r="BX907" s="232"/>
      <c r="BY907" s="232"/>
      <c r="BZ907" s="232"/>
      <c r="CA907" s="232"/>
      <c r="CB907" s="232"/>
      <c r="CC907" s="232"/>
      <c r="CD907" s="232"/>
      <c r="CE907" s="232"/>
      <c r="CF907" s="232"/>
      <c r="CG907" s="232"/>
      <c r="CH907" s="232"/>
      <c r="CI907" s="232"/>
      <c r="CJ907" s="232"/>
      <c r="CK907" s="232"/>
      <c r="CL907" s="232"/>
      <c r="CM907" s="232"/>
      <c r="CN907" s="215"/>
      <c r="CO907" s="215"/>
      <c r="CP907" s="215"/>
      <c r="CQ907" s="215"/>
      <c r="CR907" s="215"/>
      <c r="CS907" s="215"/>
      <c r="CT907" s="215"/>
    </row>
    <row r="908" ht="24.0" customHeight="1">
      <c r="A908" s="287"/>
      <c r="B908" s="287"/>
      <c r="C908" s="287"/>
      <c r="D908" s="232"/>
      <c r="E908" s="232"/>
      <c r="F908" s="232"/>
      <c r="G908" s="232"/>
      <c r="H908" s="232"/>
      <c r="I908" s="232"/>
      <c r="J908" s="232"/>
      <c r="K908" s="232"/>
      <c r="L908" s="232"/>
      <c r="M908" s="232"/>
      <c r="N908" s="289"/>
      <c r="O908" s="232"/>
      <c r="P908" s="232"/>
      <c r="Q908" s="232"/>
      <c r="R908" s="232"/>
      <c r="S908" s="232"/>
      <c r="T908" s="232"/>
      <c r="U908" s="232"/>
      <c r="V908" s="232"/>
      <c r="W908" s="232"/>
      <c r="X908" s="232"/>
      <c r="Y908" s="232"/>
      <c r="Z908" s="232"/>
      <c r="AA908" s="232"/>
      <c r="AB908" s="232"/>
      <c r="AC908" s="232"/>
      <c r="AD908" s="232"/>
      <c r="AE908" s="232"/>
      <c r="AF908" s="232"/>
      <c r="AG908" s="232"/>
      <c r="AH908" s="232"/>
      <c r="AI908" s="232"/>
      <c r="AJ908" s="232"/>
      <c r="AK908" s="232"/>
      <c r="AL908" s="232"/>
      <c r="AM908" s="232"/>
      <c r="AN908" s="232"/>
      <c r="AO908" s="232"/>
      <c r="AP908" s="232"/>
      <c r="AQ908" s="232"/>
      <c r="AR908" s="232"/>
      <c r="AS908" s="232"/>
      <c r="AT908" s="232"/>
      <c r="AU908" s="232"/>
      <c r="AV908" s="232"/>
      <c r="AW908" s="232"/>
      <c r="AX908" s="232"/>
      <c r="AY908" s="232"/>
      <c r="AZ908" s="232"/>
      <c r="BA908" s="232"/>
      <c r="BB908" s="232"/>
      <c r="BC908" s="232"/>
      <c r="BD908" s="232"/>
      <c r="BE908" s="232"/>
      <c r="BF908" s="232"/>
      <c r="BG908" s="232"/>
      <c r="BH908" s="232"/>
      <c r="BI908" s="232"/>
      <c r="BJ908" s="232"/>
      <c r="BK908" s="232"/>
      <c r="BL908" s="232"/>
      <c r="BM908" s="232"/>
      <c r="BN908" s="232"/>
      <c r="BO908" s="232"/>
      <c r="BP908" s="232"/>
      <c r="BQ908" s="232"/>
      <c r="BR908" s="232"/>
      <c r="BS908" s="232"/>
      <c r="BT908" s="232"/>
      <c r="BU908" s="232"/>
      <c r="BV908" s="232"/>
      <c r="BW908" s="232"/>
      <c r="BX908" s="232"/>
      <c r="BY908" s="232"/>
      <c r="BZ908" s="232"/>
      <c r="CA908" s="232"/>
      <c r="CB908" s="232"/>
      <c r="CC908" s="232"/>
      <c r="CD908" s="232"/>
      <c r="CE908" s="232"/>
      <c r="CF908" s="232"/>
      <c r="CG908" s="232"/>
      <c r="CH908" s="232"/>
      <c r="CI908" s="232"/>
      <c r="CJ908" s="232"/>
      <c r="CK908" s="232"/>
      <c r="CL908" s="232"/>
      <c r="CM908" s="232"/>
      <c r="CN908" s="215"/>
      <c r="CO908" s="215"/>
      <c r="CP908" s="215"/>
      <c r="CQ908" s="215"/>
      <c r="CR908" s="215"/>
      <c r="CS908" s="215"/>
      <c r="CT908" s="215"/>
    </row>
    <row r="909" ht="24.0" customHeight="1">
      <c r="A909" s="287"/>
      <c r="B909" s="287"/>
      <c r="C909" s="287"/>
      <c r="D909" s="232"/>
      <c r="E909" s="232"/>
      <c r="F909" s="232"/>
      <c r="G909" s="232"/>
      <c r="H909" s="232"/>
      <c r="I909" s="232"/>
      <c r="J909" s="232"/>
      <c r="K909" s="232"/>
      <c r="L909" s="232"/>
      <c r="M909" s="232"/>
      <c r="N909" s="289"/>
      <c r="O909" s="232"/>
      <c r="P909" s="232"/>
      <c r="Q909" s="232"/>
      <c r="R909" s="232"/>
      <c r="S909" s="232"/>
      <c r="T909" s="232"/>
      <c r="U909" s="232"/>
      <c r="V909" s="232"/>
      <c r="W909" s="232"/>
      <c r="X909" s="232"/>
      <c r="Y909" s="232"/>
      <c r="Z909" s="232"/>
      <c r="AA909" s="232"/>
      <c r="AB909" s="232"/>
      <c r="AC909" s="232"/>
      <c r="AD909" s="232"/>
      <c r="AE909" s="232"/>
      <c r="AF909" s="232"/>
      <c r="AG909" s="232"/>
      <c r="AH909" s="232"/>
      <c r="AI909" s="232"/>
      <c r="AJ909" s="232"/>
      <c r="AK909" s="232"/>
      <c r="AL909" s="232"/>
      <c r="AM909" s="232"/>
      <c r="AN909" s="232"/>
      <c r="AO909" s="232"/>
      <c r="AP909" s="232"/>
      <c r="AQ909" s="232"/>
      <c r="AR909" s="232"/>
      <c r="AS909" s="232"/>
      <c r="AT909" s="232"/>
      <c r="AU909" s="232"/>
      <c r="AV909" s="232"/>
      <c r="AW909" s="232"/>
      <c r="AX909" s="232"/>
      <c r="AY909" s="232"/>
      <c r="AZ909" s="232"/>
      <c r="BA909" s="232"/>
      <c r="BB909" s="232"/>
      <c r="BC909" s="232"/>
      <c r="BD909" s="232"/>
      <c r="BE909" s="232"/>
      <c r="BF909" s="232"/>
      <c r="BG909" s="232"/>
      <c r="BH909" s="232"/>
      <c r="BI909" s="232"/>
      <c r="BJ909" s="232"/>
      <c r="BK909" s="232"/>
      <c r="BL909" s="232"/>
      <c r="BM909" s="232"/>
      <c r="BN909" s="232"/>
      <c r="BO909" s="232"/>
      <c r="BP909" s="232"/>
      <c r="BQ909" s="232"/>
      <c r="BR909" s="232"/>
      <c r="BS909" s="232"/>
      <c r="BT909" s="232"/>
      <c r="BU909" s="232"/>
      <c r="BV909" s="232"/>
      <c r="BW909" s="232"/>
      <c r="BX909" s="232"/>
      <c r="BY909" s="232"/>
      <c r="BZ909" s="232"/>
      <c r="CA909" s="232"/>
      <c r="CB909" s="232"/>
      <c r="CC909" s="232"/>
      <c r="CD909" s="232"/>
      <c r="CE909" s="232"/>
      <c r="CF909" s="232"/>
      <c r="CG909" s="232"/>
      <c r="CH909" s="232"/>
      <c r="CI909" s="232"/>
      <c r="CJ909" s="232"/>
      <c r="CK909" s="232"/>
      <c r="CL909" s="232"/>
      <c r="CM909" s="232"/>
      <c r="CN909" s="215"/>
      <c r="CO909" s="215"/>
      <c r="CP909" s="215"/>
      <c r="CQ909" s="215"/>
      <c r="CR909" s="215"/>
      <c r="CS909" s="215"/>
      <c r="CT909" s="215"/>
    </row>
    <row r="910" ht="24.0" customHeight="1">
      <c r="A910" s="287"/>
      <c r="B910" s="287"/>
      <c r="C910" s="287"/>
      <c r="D910" s="232"/>
      <c r="E910" s="232"/>
      <c r="F910" s="232"/>
      <c r="G910" s="232"/>
      <c r="H910" s="232"/>
      <c r="I910" s="232"/>
      <c r="J910" s="232"/>
      <c r="K910" s="232"/>
      <c r="L910" s="232"/>
      <c r="M910" s="232"/>
      <c r="N910" s="289"/>
      <c r="O910" s="232"/>
      <c r="P910" s="232"/>
      <c r="Q910" s="232"/>
      <c r="R910" s="232"/>
      <c r="S910" s="232"/>
      <c r="T910" s="232"/>
      <c r="U910" s="232"/>
      <c r="V910" s="232"/>
      <c r="W910" s="232"/>
      <c r="X910" s="232"/>
      <c r="Y910" s="232"/>
      <c r="Z910" s="232"/>
      <c r="AA910" s="232"/>
      <c r="AB910" s="232"/>
      <c r="AC910" s="232"/>
      <c r="AD910" s="232"/>
      <c r="AE910" s="232"/>
      <c r="AF910" s="232"/>
      <c r="AG910" s="232"/>
      <c r="AH910" s="232"/>
      <c r="AI910" s="232"/>
      <c r="AJ910" s="232"/>
      <c r="AK910" s="232"/>
      <c r="AL910" s="232"/>
      <c r="AM910" s="232"/>
      <c r="AN910" s="232"/>
      <c r="AO910" s="232"/>
      <c r="AP910" s="232"/>
      <c r="AQ910" s="232"/>
      <c r="AR910" s="232"/>
      <c r="AS910" s="232"/>
      <c r="AT910" s="232"/>
      <c r="AU910" s="232"/>
      <c r="AV910" s="232"/>
      <c r="AW910" s="232"/>
      <c r="AX910" s="232"/>
      <c r="AY910" s="232"/>
      <c r="AZ910" s="232"/>
      <c r="BA910" s="232"/>
      <c r="BB910" s="232"/>
      <c r="BC910" s="232"/>
      <c r="BD910" s="232"/>
      <c r="BE910" s="232"/>
      <c r="BF910" s="232"/>
      <c r="BG910" s="232"/>
      <c r="BH910" s="232"/>
      <c r="BI910" s="232"/>
      <c r="BJ910" s="232"/>
      <c r="BK910" s="232"/>
      <c r="BL910" s="232"/>
      <c r="BM910" s="232"/>
      <c r="BN910" s="232"/>
      <c r="BO910" s="232"/>
      <c r="BP910" s="232"/>
      <c r="BQ910" s="232"/>
      <c r="BR910" s="232"/>
      <c r="BS910" s="232"/>
      <c r="BT910" s="232"/>
      <c r="BU910" s="232"/>
      <c r="BV910" s="232"/>
      <c r="BW910" s="232"/>
      <c r="BX910" s="232"/>
      <c r="BY910" s="232"/>
      <c r="BZ910" s="232"/>
      <c r="CA910" s="232"/>
      <c r="CB910" s="232"/>
      <c r="CC910" s="232"/>
      <c r="CD910" s="232"/>
      <c r="CE910" s="232"/>
      <c r="CF910" s="232"/>
      <c r="CG910" s="232"/>
      <c r="CH910" s="232"/>
      <c r="CI910" s="232"/>
      <c r="CJ910" s="232"/>
      <c r="CK910" s="232"/>
      <c r="CL910" s="232"/>
      <c r="CM910" s="232"/>
      <c r="CN910" s="215"/>
      <c r="CO910" s="215"/>
      <c r="CP910" s="215"/>
      <c r="CQ910" s="215"/>
      <c r="CR910" s="215"/>
      <c r="CS910" s="215"/>
      <c r="CT910" s="215"/>
    </row>
    <row r="911" ht="24.0" customHeight="1">
      <c r="A911" s="287"/>
      <c r="B911" s="287"/>
      <c r="C911" s="287"/>
      <c r="D911" s="232"/>
      <c r="E911" s="232"/>
      <c r="F911" s="232"/>
      <c r="G911" s="232"/>
      <c r="H911" s="232"/>
      <c r="I911" s="232"/>
      <c r="J911" s="232"/>
      <c r="K911" s="232"/>
      <c r="L911" s="232"/>
      <c r="M911" s="232"/>
      <c r="N911" s="289"/>
      <c r="O911" s="232"/>
      <c r="P911" s="232"/>
      <c r="Q911" s="232"/>
      <c r="R911" s="232"/>
      <c r="S911" s="232"/>
      <c r="T911" s="232"/>
      <c r="U911" s="232"/>
      <c r="V911" s="232"/>
      <c r="W911" s="232"/>
      <c r="X911" s="232"/>
      <c r="Y911" s="232"/>
      <c r="Z911" s="232"/>
      <c r="AA911" s="232"/>
      <c r="AB911" s="232"/>
      <c r="AC911" s="232"/>
      <c r="AD911" s="232"/>
      <c r="AE911" s="232"/>
      <c r="AF911" s="232"/>
      <c r="AG911" s="232"/>
      <c r="AH911" s="232"/>
      <c r="AI911" s="232"/>
      <c r="AJ911" s="232"/>
      <c r="AK911" s="232"/>
      <c r="AL911" s="232"/>
      <c r="AM911" s="232"/>
      <c r="AN911" s="232"/>
      <c r="AO911" s="232"/>
      <c r="AP911" s="232"/>
      <c r="AQ911" s="232"/>
      <c r="AR911" s="232"/>
      <c r="AS911" s="232"/>
      <c r="AT911" s="232"/>
      <c r="AU911" s="232"/>
      <c r="AV911" s="232"/>
      <c r="AW911" s="232"/>
      <c r="AX911" s="232"/>
      <c r="AY911" s="232"/>
      <c r="AZ911" s="232"/>
      <c r="BA911" s="232"/>
      <c r="BB911" s="232"/>
      <c r="BC911" s="232"/>
      <c r="BD911" s="232"/>
      <c r="BE911" s="232"/>
      <c r="BF911" s="232"/>
      <c r="BG911" s="232"/>
      <c r="BH911" s="232"/>
      <c r="BI911" s="232"/>
      <c r="BJ911" s="232"/>
      <c r="BK911" s="232"/>
      <c r="BL911" s="232"/>
      <c r="BM911" s="232"/>
      <c r="BN911" s="232"/>
      <c r="BO911" s="232"/>
      <c r="BP911" s="232"/>
      <c r="BQ911" s="232"/>
      <c r="BR911" s="232"/>
      <c r="BS911" s="232"/>
      <c r="BT911" s="232"/>
      <c r="BU911" s="232"/>
      <c r="BV911" s="232"/>
      <c r="BW911" s="232"/>
      <c r="BX911" s="232"/>
      <c r="BY911" s="232"/>
      <c r="BZ911" s="232"/>
      <c r="CA911" s="232"/>
      <c r="CB911" s="232"/>
      <c r="CC911" s="232"/>
      <c r="CD911" s="232"/>
      <c r="CE911" s="232"/>
      <c r="CF911" s="232"/>
      <c r="CG911" s="232"/>
      <c r="CH911" s="232"/>
      <c r="CI911" s="232"/>
      <c r="CJ911" s="232"/>
      <c r="CK911" s="232"/>
      <c r="CL911" s="232"/>
      <c r="CM911" s="232"/>
      <c r="CN911" s="215"/>
      <c r="CO911" s="215"/>
      <c r="CP911" s="215"/>
      <c r="CQ911" s="215"/>
      <c r="CR911" s="215"/>
      <c r="CS911" s="215"/>
      <c r="CT911" s="215"/>
    </row>
    <row r="912" ht="24.0" customHeight="1">
      <c r="A912" s="287"/>
      <c r="B912" s="287"/>
      <c r="C912" s="287"/>
      <c r="D912" s="232"/>
      <c r="E912" s="232"/>
      <c r="F912" s="232"/>
      <c r="G912" s="232"/>
      <c r="H912" s="232"/>
      <c r="I912" s="232"/>
      <c r="J912" s="232"/>
      <c r="K912" s="232"/>
      <c r="L912" s="232"/>
      <c r="M912" s="232"/>
      <c r="N912" s="289"/>
      <c r="O912" s="232"/>
      <c r="P912" s="232"/>
      <c r="Q912" s="232"/>
      <c r="R912" s="232"/>
      <c r="S912" s="232"/>
      <c r="T912" s="232"/>
      <c r="U912" s="232"/>
      <c r="V912" s="232"/>
      <c r="W912" s="232"/>
      <c r="X912" s="232"/>
      <c r="Y912" s="232"/>
      <c r="Z912" s="232"/>
      <c r="AA912" s="232"/>
      <c r="AB912" s="232"/>
      <c r="AC912" s="232"/>
      <c r="AD912" s="232"/>
      <c r="AE912" s="232"/>
      <c r="AF912" s="232"/>
      <c r="AG912" s="232"/>
      <c r="AH912" s="232"/>
      <c r="AI912" s="232"/>
      <c r="AJ912" s="232"/>
      <c r="AK912" s="232"/>
      <c r="AL912" s="232"/>
      <c r="AM912" s="232"/>
      <c r="AN912" s="232"/>
      <c r="AO912" s="232"/>
      <c r="AP912" s="232"/>
      <c r="AQ912" s="232"/>
      <c r="AR912" s="232"/>
      <c r="AS912" s="232"/>
      <c r="AT912" s="232"/>
      <c r="AU912" s="232"/>
      <c r="AV912" s="232"/>
      <c r="AW912" s="232"/>
      <c r="AX912" s="232"/>
      <c r="AY912" s="232"/>
      <c r="AZ912" s="232"/>
      <c r="BA912" s="232"/>
      <c r="BB912" s="232"/>
      <c r="BC912" s="232"/>
      <c r="BD912" s="232"/>
      <c r="BE912" s="232"/>
      <c r="BF912" s="232"/>
      <c r="BG912" s="232"/>
      <c r="BH912" s="232"/>
      <c r="BI912" s="232"/>
      <c r="BJ912" s="232"/>
      <c r="BK912" s="232"/>
      <c r="BL912" s="232"/>
      <c r="BM912" s="232"/>
      <c r="BN912" s="232"/>
      <c r="BO912" s="232"/>
      <c r="BP912" s="232"/>
      <c r="BQ912" s="232"/>
      <c r="BR912" s="232"/>
      <c r="BS912" s="232"/>
      <c r="BT912" s="232"/>
      <c r="BU912" s="232"/>
      <c r="BV912" s="232"/>
      <c r="BW912" s="232"/>
      <c r="BX912" s="232"/>
      <c r="BY912" s="232"/>
      <c r="BZ912" s="232"/>
      <c r="CA912" s="232"/>
      <c r="CB912" s="232"/>
      <c r="CC912" s="232"/>
      <c r="CD912" s="232"/>
      <c r="CE912" s="232"/>
      <c r="CF912" s="232"/>
      <c r="CG912" s="232"/>
      <c r="CH912" s="232"/>
      <c r="CI912" s="232"/>
      <c r="CJ912" s="232"/>
      <c r="CK912" s="232"/>
      <c r="CL912" s="232"/>
      <c r="CM912" s="232"/>
      <c r="CN912" s="215"/>
      <c r="CO912" s="215"/>
      <c r="CP912" s="215"/>
      <c r="CQ912" s="215"/>
      <c r="CR912" s="215"/>
      <c r="CS912" s="215"/>
      <c r="CT912" s="215"/>
    </row>
    <row r="913" ht="24.0" customHeight="1">
      <c r="A913" s="287"/>
      <c r="B913" s="287"/>
      <c r="C913" s="287"/>
      <c r="D913" s="232"/>
      <c r="E913" s="232"/>
      <c r="F913" s="232"/>
      <c r="G913" s="232"/>
      <c r="H913" s="232"/>
      <c r="I913" s="232"/>
      <c r="J913" s="232"/>
      <c r="K913" s="232"/>
      <c r="L913" s="232"/>
      <c r="M913" s="232"/>
      <c r="N913" s="289"/>
      <c r="O913" s="232"/>
      <c r="P913" s="232"/>
      <c r="Q913" s="232"/>
      <c r="R913" s="232"/>
      <c r="S913" s="232"/>
      <c r="T913" s="232"/>
      <c r="U913" s="232"/>
      <c r="V913" s="232"/>
      <c r="W913" s="232"/>
      <c r="X913" s="232"/>
      <c r="Y913" s="232"/>
      <c r="Z913" s="232"/>
      <c r="AA913" s="232"/>
      <c r="AB913" s="232"/>
      <c r="AC913" s="232"/>
      <c r="AD913" s="232"/>
      <c r="AE913" s="232"/>
      <c r="AF913" s="232"/>
      <c r="AG913" s="232"/>
      <c r="AH913" s="232"/>
      <c r="AI913" s="232"/>
      <c r="AJ913" s="232"/>
      <c r="AK913" s="232"/>
      <c r="AL913" s="232"/>
      <c r="AM913" s="232"/>
      <c r="AN913" s="232"/>
      <c r="AO913" s="232"/>
      <c r="AP913" s="232"/>
      <c r="AQ913" s="232"/>
      <c r="AR913" s="232"/>
      <c r="AS913" s="232"/>
      <c r="AT913" s="232"/>
      <c r="AU913" s="232"/>
      <c r="AV913" s="232"/>
      <c r="AW913" s="232"/>
      <c r="AX913" s="232"/>
      <c r="AY913" s="232"/>
      <c r="AZ913" s="232"/>
      <c r="BA913" s="232"/>
      <c r="BB913" s="232"/>
      <c r="BC913" s="232"/>
      <c r="BD913" s="232"/>
      <c r="BE913" s="232"/>
      <c r="BF913" s="232"/>
      <c r="BG913" s="232"/>
      <c r="BH913" s="232"/>
      <c r="BI913" s="232"/>
      <c r="BJ913" s="232"/>
      <c r="BK913" s="232"/>
      <c r="BL913" s="232"/>
      <c r="BM913" s="232"/>
      <c r="BN913" s="232"/>
      <c r="BO913" s="232"/>
      <c r="BP913" s="232"/>
      <c r="BQ913" s="232"/>
      <c r="BR913" s="232"/>
      <c r="BS913" s="232"/>
      <c r="BT913" s="232"/>
      <c r="BU913" s="232"/>
      <c r="BV913" s="232"/>
      <c r="BW913" s="232"/>
      <c r="BX913" s="232"/>
      <c r="BY913" s="232"/>
      <c r="BZ913" s="232"/>
      <c r="CA913" s="232"/>
      <c r="CB913" s="232"/>
      <c r="CC913" s="232"/>
      <c r="CD913" s="232"/>
      <c r="CE913" s="232"/>
      <c r="CF913" s="232"/>
      <c r="CG913" s="232"/>
      <c r="CH913" s="232"/>
      <c r="CI913" s="232"/>
      <c r="CJ913" s="232"/>
      <c r="CK913" s="232"/>
      <c r="CL913" s="232"/>
      <c r="CM913" s="232"/>
      <c r="CN913" s="215"/>
      <c r="CO913" s="215"/>
      <c r="CP913" s="215"/>
      <c r="CQ913" s="215"/>
      <c r="CR913" s="215"/>
      <c r="CS913" s="215"/>
      <c r="CT913" s="215"/>
    </row>
    <row r="914" ht="24.0" customHeight="1">
      <c r="A914" s="287"/>
      <c r="B914" s="287"/>
      <c r="C914" s="287"/>
      <c r="D914" s="232"/>
      <c r="E914" s="232"/>
      <c r="F914" s="232"/>
      <c r="G914" s="232"/>
      <c r="H914" s="232"/>
      <c r="I914" s="232"/>
      <c r="J914" s="232"/>
      <c r="K914" s="232"/>
      <c r="L914" s="232"/>
      <c r="M914" s="232"/>
      <c r="N914" s="289"/>
      <c r="O914" s="232"/>
      <c r="P914" s="232"/>
      <c r="Q914" s="232"/>
      <c r="R914" s="232"/>
      <c r="S914" s="232"/>
      <c r="T914" s="232"/>
      <c r="U914" s="232"/>
      <c r="V914" s="232"/>
      <c r="W914" s="232"/>
      <c r="X914" s="232"/>
      <c r="Y914" s="232"/>
      <c r="Z914" s="232"/>
      <c r="AA914" s="232"/>
      <c r="AB914" s="232"/>
      <c r="AC914" s="232"/>
      <c r="AD914" s="232"/>
      <c r="AE914" s="232"/>
      <c r="AF914" s="232"/>
      <c r="AG914" s="232"/>
      <c r="AH914" s="232"/>
      <c r="AI914" s="232"/>
      <c r="AJ914" s="232"/>
      <c r="AK914" s="232"/>
      <c r="AL914" s="232"/>
      <c r="AM914" s="232"/>
      <c r="AN914" s="232"/>
      <c r="AO914" s="232"/>
      <c r="AP914" s="232"/>
      <c r="AQ914" s="232"/>
      <c r="AR914" s="232"/>
      <c r="AS914" s="232"/>
      <c r="AT914" s="232"/>
      <c r="AU914" s="232"/>
      <c r="AV914" s="232"/>
      <c r="AW914" s="232"/>
      <c r="AX914" s="232"/>
      <c r="AY914" s="232"/>
      <c r="AZ914" s="232"/>
      <c r="BA914" s="232"/>
      <c r="BB914" s="232"/>
      <c r="BC914" s="232"/>
      <c r="BD914" s="232"/>
      <c r="BE914" s="232"/>
      <c r="BF914" s="232"/>
      <c r="BG914" s="232"/>
      <c r="BH914" s="232"/>
      <c r="BI914" s="232"/>
      <c r="BJ914" s="232"/>
      <c r="BK914" s="232"/>
      <c r="BL914" s="232"/>
      <c r="BM914" s="232"/>
      <c r="BN914" s="232"/>
      <c r="BO914" s="232"/>
      <c r="BP914" s="232"/>
      <c r="BQ914" s="232"/>
      <c r="BR914" s="232"/>
      <c r="BS914" s="232"/>
      <c r="BT914" s="232"/>
      <c r="BU914" s="232"/>
      <c r="BV914" s="232"/>
      <c r="BW914" s="232"/>
      <c r="BX914" s="232"/>
      <c r="BY914" s="232"/>
      <c r="BZ914" s="232"/>
      <c r="CA914" s="232"/>
      <c r="CB914" s="232"/>
      <c r="CC914" s="232"/>
      <c r="CD914" s="232"/>
      <c r="CE914" s="232"/>
      <c r="CF914" s="232"/>
      <c r="CG914" s="232"/>
      <c r="CH914" s="232"/>
      <c r="CI914" s="232"/>
      <c r="CJ914" s="232"/>
      <c r="CK914" s="232"/>
      <c r="CL914" s="232"/>
      <c r="CM914" s="232"/>
      <c r="CN914" s="215"/>
      <c r="CO914" s="215"/>
      <c r="CP914" s="215"/>
      <c r="CQ914" s="215"/>
      <c r="CR914" s="215"/>
      <c r="CS914" s="215"/>
      <c r="CT914" s="215"/>
    </row>
    <row r="915" ht="24.0" customHeight="1">
      <c r="A915" s="287"/>
      <c r="B915" s="287"/>
      <c r="C915" s="287"/>
      <c r="D915" s="232"/>
      <c r="E915" s="232"/>
      <c r="F915" s="232"/>
      <c r="G915" s="232"/>
      <c r="H915" s="232"/>
      <c r="I915" s="232"/>
      <c r="J915" s="232"/>
      <c r="K915" s="232"/>
      <c r="L915" s="232"/>
      <c r="M915" s="232"/>
      <c r="N915" s="289"/>
      <c r="O915" s="232"/>
      <c r="P915" s="232"/>
      <c r="Q915" s="232"/>
      <c r="R915" s="232"/>
      <c r="S915" s="232"/>
      <c r="T915" s="232"/>
      <c r="U915" s="232"/>
      <c r="V915" s="232"/>
      <c r="W915" s="232"/>
      <c r="X915" s="232"/>
      <c r="Y915" s="232"/>
      <c r="Z915" s="232"/>
      <c r="AA915" s="232"/>
      <c r="AB915" s="232"/>
      <c r="AC915" s="232"/>
      <c r="AD915" s="232"/>
      <c r="AE915" s="232"/>
      <c r="AF915" s="232"/>
      <c r="AG915" s="232"/>
      <c r="AH915" s="232"/>
      <c r="AI915" s="232"/>
      <c r="AJ915" s="232"/>
      <c r="AK915" s="232"/>
      <c r="AL915" s="232"/>
      <c r="AM915" s="232"/>
      <c r="AN915" s="232"/>
      <c r="AO915" s="232"/>
      <c r="AP915" s="232"/>
      <c r="AQ915" s="232"/>
      <c r="AR915" s="232"/>
      <c r="AS915" s="232"/>
      <c r="AT915" s="232"/>
      <c r="AU915" s="232"/>
      <c r="AV915" s="232"/>
      <c r="AW915" s="232"/>
      <c r="AX915" s="232"/>
      <c r="AY915" s="232"/>
      <c r="AZ915" s="232"/>
      <c r="BA915" s="232"/>
      <c r="BB915" s="232"/>
      <c r="BC915" s="232"/>
      <c r="BD915" s="232"/>
      <c r="BE915" s="232"/>
      <c r="BF915" s="232"/>
      <c r="BG915" s="232"/>
      <c r="BH915" s="232"/>
      <c r="BI915" s="232"/>
      <c r="BJ915" s="232"/>
      <c r="BK915" s="232"/>
      <c r="BL915" s="232"/>
      <c r="BM915" s="232"/>
      <c r="BN915" s="232"/>
      <c r="BO915" s="232"/>
      <c r="BP915" s="232"/>
      <c r="BQ915" s="232"/>
      <c r="BR915" s="232"/>
      <c r="BS915" s="232"/>
      <c r="BT915" s="232"/>
      <c r="BU915" s="232"/>
      <c r="BV915" s="232"/>
      <c r="BW915" s="232"/>
      <c r="BX915" s="232"/>
      <c r="BY915" s="232"/>
      <c r="BZ915" s="232"/>
      <c r="CA915" s="232"/>
      <c r="CB915" s="232"/>
      <c r="CC915" s="232"/>
      <c r="CD915" s="232"/>
      <c r="CE915" s="232"/>
      <c r="CF915" s="232"/>
      <c r="CG915" s="232"/>
      <c r="CH915" s="232"/>
      <c r="CI915" s="232"/>
      <c r="CJ915" s="232"/>
      <c r="CK915" s="232"/>
      <c r="CL915" s="232"/>
      <c r="CM915" s="232"/>
      <c r="CN915" s="215"/>
      <c r="CO915" s="215"/>
      <c r="CP915" s="215"/>
      <c r="CQ915" s="215"/>
      <c r="CR915" s="215"/>
      <c r="CS915" s="215"/>
      <c r="CT915" s="215"/>
    </row>
    <row r="916" ht="24.0" customHeight="1">
      <c r="A916" s="287"/>
      <c r="B916" s="287"/>
      <c r="C916" s="287"/>
      <c r="D916" s="232"/>
      <c r="E916" s="232"/>
      <c r="F916" s="232"/>
      <c r="G916" s="232"/>
      <c r="H916" s="232"/>
      <c r="I916" s="232"/>
      <c r="J916" s="232"/>
      <c r="K916" s="232"/>
      <c r="L916" s="232"/>
      <c r="M916" s="232"/>
      <c r="N916" s="289"/>
      <c r="O916" s="232"/>
      <c r="P916" s="232"/>
      <c r="Q916" s="232"/>
      <c r="R916" s="232"/>
      <c r="S916" s="232"/>
      <c r="T916" s="232"/>
      <c r="U916" s="232"/>
      <c r="V916" s="232"/>
      <c r="W916" s="232"/>
      <c r="X916" s="232"/>
      <c r="Y916" s="232"/>
      <c r="Z916" s="232"/>
      <c r="AA916" s="232"/>
      <c r="AB916" s="232"/>
      <c r="AC916" s="232"/>
      <c r="AD916" s="232"/>
      <c r="AE916" s="232"/>
      <c r="AF916" s="232"/>
      <c r="AG916" s="232"/>
      <c r="AH916" s="232"/>
      <c r="AI916" s="232"/>
      <c r="AJ916" s="232"/>
      <c r="AK916" s="232"/>
      <c r="AL916" s="232"/>
      <c r="AM916" s="232"/>
      <c r="AN916" s="232"/>
      <c r="AO916" s="232"/>
      <c r="AP916" s="232"/>
      <c r="AQ916" s="232"/>
      <c r="AR916" s="232"/>
      <c r="AS916" s="232"/>
      <c r="AT916" s="232"/>
      <c r="AU916" s="232"/>
      <c r="AV916" s="232"/>
      <c r="AW916" s="232"/>
      <c r="AX916" s="232"/>
      <c r="AY916" s="232"/>
      <c r="AZ916" s="232"/>
      <c r="BA916" s="232"/>
      <c r="BB916" s="232"/>
      <c r="BC916" s="232"/>
      <c r="BD916" s="232"/>
      <c r="BE916" s="232"/>
      <c r="BF916" s="232"/>
      <c r="BG916" s="232"/>
      <c r="BH916" s="232"/>
      <c r="BI916" s="232"/>
      <c r="BJ916" s="232"/>
      <c r="BK916" s="232"/>
      <c r="BL916" s="232"/>
      <c r="BM916" s="232"/>
      <c r="BN916" s="232"/>
      <c r="BO916" s="232"/>
      <c r="BP916" s="232"/>
      <c r="BQ916" s="232"/>
      <c r="BR916" s="232"/>
      <c r="BS916" s="232"/>
      <c r="BT916" s="232"/>
      <c r="BU916" s="232"/>
      <c r="BV916" s="232"/>
      <c r="BW916" s="232"/>
      <c r="BX916" s="232"/>
      <c r="BY916" s="232"/>
      <c r="BZ916" s="232"/>
      <c r="CA916" s="232"/>
      <c r="CB916" s="232"/>
      <c r="CC916" s="232"/>
      <c r="CD916" s="232"/>
      <c r="CE916" s="232"/>
      <c r="CF916" s="232"/>
      <c r="CG916" s="232"/>
      <c r="CH916" s="232"/>
      <c r="CI916" s="232"/>
      <c r="CJ916" s="232"/>
      <c r="CK916" s="232"/>
      <c r="CL916" s="232"/>
      <c r="CM916" s="232"/>
      <c r="CN916" s="215"/>
      <c r="CO916" s="215"/>
      <c r="CP916" s="215"/>
      <c r="CQ916" s="215"/>
      <c r="CR916" s="215"/>
      <c r="CS916" s="215"/>
      <c r="CT916" s="215"/>
    </row>
    <row r="917" ht="24.0" customHeight="1">
      <c r="A917" s="287"/>
      <c r="B917" s="287"/>
      <c r="C917" s="287"/>
      <c r="D917" s="232"/>
      <c r="E917" s="232"/>
      <c r="F917" s="232"/>
      <c r="G917" s="232"/>
      <c r="H917" s="232"/>
      <c r="I917" s="232"/>
      <c r="J917" s="232"/>
      <c r="K917" s="232"/>
      <c r="L917" s="232"/>
      <c r="M917" s="232"/>
      <c r="N917" s="289"/>
      <c r="O917" s="232"/>
      <c r="P917" s="232"/>
      <c r="Q917" s="232"/>
      <c r="R917" s="232"/>
      <c r="S917" s="232"/>
      <c r="T917" s="232"/>
      <c r="U917" s="232"/>
      <c r="V917" s="232"/>
      <c r="W917" s="232"/>
      <c r="X917" s="232"/>
      <c r="Y917" s="232"/>
      <c r="Z917" s="232"/>
      <c r="AA917" s="232"/>
      <c r="AB917" s="232"/>
      <c r="AC917" s="232"/>
      <c r="AD917" s="232"/>
      <c r="AE917" s="232"/>
      <c r="AF917" s="232"/>
      <c r="AG917" s="232"/>
      <c r="AH917" s="232"/>
      <c r="AI917" s="232"/>
      <c r="AJ917" s="232"/>
      <c r="AK917" s="232"/>
      <c r="AL917" s="232"/>
      <c r="AM917" s="232"/>
      <c r="AN917" s="232"/>
      <c r="AO917" s="232"/>
      <c r="AP917" s="232"/>
      <c r="AQ917" s="232"/>
      <c r="AR917" s="232"/>
      <c r="AS917" s="232"/>
      <c r="AT917" s="232"/>
      <c r="AU917" s="232"/>
      <c r="AV917" s="232"/>
      <c r="AW917" s="232"/>
      <c r="AX917" s="232"/>
      <c r="AY917" s="232"/>
      <c r="AZ917" s="232"/>
      <c r="BA917" s="232"/>
      <c r="BB917" s="232"/>
      <c r="BC917" s="232"/>
      <c r="BD917" s="232"/>
      <c r="BE917" s="232"/>
      <c r="BF917" s="232"/>
      <c r="BG917" s="232"/>
      <c r="BH917" s="232"/>
      <c r="BI917" s="232"/>
      <c r="BJ917" s="232"/>
      <c r="BK917" s="232"/>
      <c r="BL917" s="232"/>
      <c r="BM917" s="232"/>
      <c r="BN917" s="232"/>
      <c r="BO917" s="232"/>
      <c r="BP917" s="232"/>
      <c r="BQ917" s="232"/>
      <c r="BR917" s="232"/>
      <c r="BS917" s="232"/>
      <c r="BT917" s="232"/>
      <c r="BU917" s="232"/>
      <c r="BV917" s="232"/>
      <c r="BW917" s="232"/>
      <c r="BX917" s="232"/>
      <c r="BY917" s="232"/>
      <c r="BZ917" s="232"/>
      <c r="CA917" s="232"/>
      <c r="CB917" s="232"/>
      <c r="CC917" s="232"/>
      <c r="CD917" s="232"/>
      <c r="CE917" s="232"/>
      <c r="CF917" s="232"/>
      <c r="CG917" s="232"/>
      <c r="CH917" s="232"/>
      <c r="CI917" s="232"/>
      <c r="CJ917" s="232"/>
      <c r="CK917" s="232"/>
      <c r="CL917" s="232"/>
      <c r="CM917" s="232"/>
      <c r="CN917" s="215"/>
      <c r="CO917" s="215"/>
      <c r="CP917" s="215"/>
      <c r="CQ917" s="215"/>
      <c r="CR917" s="215"/>
      <c r="CS917" s="215"/>
      <c r="CT917" s="215"/>
    </row>
    <row r="918" ht="24.0" customHeight="1">
      <c r="A918" s="287"/>
      <c r="B918" s="287"/>
      <c r="C918" s="287"/>
      <c r="D918" s="232"/>
      <c r="E918" s="232"/>
      <c r="F918" s="232"/>
      <c r="G918" s="232"/>
      <c r="H918" s="232"/>
      <c r="I918" s="232"/>
      <c r="J918" s="232"/>
      <c r="K918" s="232"/>
      <c r="L918" s="232"/>
      <c r="M918" s="232"/>
      <c r="N918" s="289"/>
      <c r="O918" s="232"/>
      <c r="P918" s="232"/>
      <c r="Q918" s="232"/>
      <c r="R918" s="232"/>
      <c r="S918" s="232"/>
      <c r="T918" s="232"/>
      <c r="U918" s="232"/>
      <c r="V918" s="232"/>
      <c r="W918" s="232"/>
      <c r="X918" s="232"/>
      <c r="Y918" s="232"/>
      <c r="Z918" s="232"/>
      <c r="AA918" s="232"/>
      <c r="AB918" s="232"/>
      <c r="AC918" s="232"/>
      <c r="AD918" s="232"/>
      <c r="AE918" s="232"/>
      <c r="AF918" s="232"/>
      <c r="AG918" s="232"/>
      <c r="AH918" s="232"/>
      <c r="AI918" s="232"/>
      <c r="AJ918" s="232"/>
      <c r="AK918" s="232"/>
      <c r="AL918" s="232"/>
      <c r="AM918" s="232"/>
      <c r="AN918" s="232"/>
      <c r="AO918" s="232"/>
      <c r="AP918" s="232"/>
      <c r="AQ918" s="232"/>
      <c r="AR918" s="232"/>
      <c r="AS918" s="232"/>
      <c r="AT918" s="232"/>
      <c r="AU918" s="232"/>
      <c r="AV918" s="232"/>
      <c r="AW918" s="232"/>
      <c r="AX918" s="232"/>
      <c r="AY918" s="232"/>
      <c r="AZ918" s="232"/>
      <c r="BA918" s="232"/>
      <c r="BB918" s="232"/>
      <c r="BC918" s="232"/>
      <c r="BD918" s="232"/>
      <c r="BE918" s="232"/>
      <c r="BF918" s="232"/>
      <c r="BG918" s="232"/>
      <c r="BH918" s="232"/>
      <c r="BI918" s="232"/>
      <c r="BJ918" s="232"/>
      <c r="BK918" s="232"/>
      <c r="BL918" s="232"/>
      <c r="BM918" s="232"/>
      <c r="BN918" s="232"/>
      <c r="BO918" s="232"/>
      <c r="BP918" s="232"/>
      <c r="BQ918" s="232"/>
      <c r="BR918" s="232"/>
      <c r="BS918" s="232"/>
      <c r="BT918" s="232"/>
      <c r="BU918" s="232"/>
      <c r="BV918" s="232"/>
      <c r="BW918" s="232"/>
      <c r="BX918" s="232"/>
      <c r="BY918" s="232"/>
      <c r="BZ918" s="232"/>
      <c r="CA918" s="232"/>
      <c r="CB918" s="232"/>
      <c r="CC918" s="232"/>
      <c r="CD918" s="232"/>
      <c r="CE918" s="232"/>
      <c r="CF918" s="232"/>
      <c r="CG918" s="232"/>
      <c r="CH918" s="232"/>
      <c r="CI918" s="232"/>
      <c r="CJ918" s="232"/>
      <c r="CK918" s="232"/>
      <c r="CL918" s="232"/>
      <c r="CM918" s="232"/>
      <c r="CN918" s="215"/>
      <c r="CO918" s="215"/>
      <c r="CP918" s="215"/>
      <c r="CQ918" s="215"/>
      <c r="CR918" s="215"/>
      <c r="CS918" s="215"/>
      <c r="CT918" s="215"/>
    </row>
    <row r="919" ht="24.0" customHeight="1">
      <c r="A919" s="287"/>
      <c r="B919" s="287"/>
      <c r="C919" s="287"/>
      <c r="D919" s="232"/>
      <c r="E919" s="232"/>
      <c r="F919" s="232"/>
      <c r="G919" s="232"/>
      <c r="H919" s="232"/>
      <c r="I919" s="232"/>
      <c r="J919" s="232"/>
      <c r="K919" s="232"/>
      <c r="L919" s="232"/>
      <c r="M919" s="232"/>
      <c r="N919" s="289"/>
      <c r="O919" s="232"/>
      <c r="P919" s="232"/>
      <c r="Q919" s="232"/>
      <c r="R919" s="232"/>
      <c r="S919" s="232"/>
      <c r="T919" s="232"/>
      <c r="U919" s="232"/>
      <c r="V919" s="232"/>
      <c r="W919" s="232"/>
      <c r="X919" s="232"/>
      <c r="Y919" s="232"/>
      <c r="Z919" s="232"/>
      <c r="AA919" s="232"/>
      <c r="AB919" s="232"/>
      <c r="AC919" s="232"/>
      <c r="AD919" s="232"/>
      <c r="AE919" s="232"/>
      <c r="AF919" s="232"/>
      <c r="AG919" s="232"/>
      <c r="AH919" s="232"/>
      <c r="AI919" s="232"/>
      <c r="AJ919" s="232"/>
      <c r="AK919" s="232"/>
      <c r="AL919" s="232"/>
      <c r="AM919" s="232"/>
      <c r="AN919" s="232"/>
      <c r="AO919" s="232"/>
      <c r="AP919" s="232"/>
      <c r="AQ919" s="232"/>
      <c r="AR919" s="232"/>
      <c r="AS919" s="232"/>
      <c r="AT919" s="232"/>
      <c r="AU919" s="232"/>
      <c r="AV919" s="232"/>
      <c r="AW919" s="232"/>
      <c r="AX919" s="232"/>
      <c r="AY919" s="232"/>
      <c r="AZ919" s="232"/>
      <c r="BA919" s="232"/>
      <c r="BB919" s="232"/>
      <c r="BC919" s="232"/>
      <c r="BD919" s="232"/>
      <c r="BE919" s="232"/>
      <c r="BF919" s="232"/>
      <c r="BG919" s="232"/>
      <c r="BH919" s="232"/>
      <c r="BI919" s="232"/>
      <c r="BJ919" s="232"/>
      <c r="BK919" s="232"/>
      <c r="BL919" s="232"/>
      <c r="BM919" s="232"/>
      <c r="BN919" s="232"/>
      <c r="BO919" s="232"/>
      <c r="BP919" s="232"/>
      <c r="BQ919" s="232"/>
      <c r="BR919" s="232"/>
      <c r="BS919" s="232"/>
      <c r="BT919" s="232"/>
      <c r="BU919" s="232"/>
      <c r="BV919" s="232"/>
      <c r="BW919" s="232"/>
      <c r="BX919" s="232"/>
      <c r="BY919" s="232"/>
      <c r="BZ919" s="232"/>
      <c r="CA919" s="232"/>
      <c r="CB919" s="232"/>
      <c r="CC919" s="232"/>
      <c r="CD919" s="232"/>
      <c r="CE919" s="232"/>
      <c r="CF919" s="232"/>
      <c r="CG919" s="232"/>
      <c r="CH919" s="232"/>
      <c r="CI919" s="232"/>
      <c r="CJ919" s="232"/>
      <c r="CK919" s="232"/>
      <c r="CL919" s="232"/>
      <c r="CM919" s="232"/>
      <c r="CN919" s="215"/>
      <c r="CO919" s="215"/>
      <c r="CP919" s="215"/>
      <c r="CQ919" s="215"/>
      <c r="CR919" s="215"/>
      <c r="CS919" s="215"/>
      <c r="CT919" s="215"/>
    </row>
    <row r="920" ht="24.0" customHeight="1">
      <c r="A920" s="287"/>
      <c r="B920" s="287"/>
      <c r="C920" s="287"/>
      <c r="D920" s="232"/>
      <c r="E920" s="232"/>
      <c r="F920" s="232"/>
      <c r="G920" s="232"/>
      <c r="H920" s="232"/>
      <c r="I920" s="232"/>
      <c r="J920" s="232"/>
      <c r="K920" s="232"/>
      <c r="L920" s="232"/>
      <c r="M920" s="232"/>
      <c r="N920" s="289"/>
      <c r="O920" s="232"/>
      <c r="P920" s="232"/>
      <c r="Q920" s="232"/>
      <c r="R920" s="232"/>
      <c r="S920" s="232"/>
      <c r="T920" s="232"/>
      <c r="U920" s="232"/>
      <c r="V920" s="232"/>
      <c r="W920" s="232"/>
      <c r="X920" s="232"/>
      <c r="Y920" s="232"/>
      <c r="Z920" s="232"/>
      <c r="AA920" s="232"/>
      <c r="AB920" s="232"/>
      <c r="AC920" s="232"/>
      <c r="AD920" s="232"/>
      <c r="AE920" s="232"/>
      <c r="AF920" s="232"/>
      <c r="AG920" s="232"/>
      <c r="AH920" s="232"/>
      <c r="AI920" s="232"/>
      <c r="AJ920" s="232"/>
      <c r="AK920" s="232"/>
      <c r="AL920" s="232"/>
      <c r="AM920" s="232"/>
      <c r="AN920" s="232"/>
      <c r="AO920" s="232"/>
      <c r="AP920" s="232"/>
      <c r="AQ920" s="232"/>
      <c r="AR920" s="232"/>
      <c r="AS920" s="232"/>
      <c r="AT920" s="232"/>
      <c r="AU920" s="232"/>
      <c r="AV920" s="232"/>
      <c r="AW920" s="232"/>
      <c r="AX920" s="232"/>
      <c r="AY920" s="232"/>
      <c r="AZ920" s="232"/>
      <c r="BA920" s="232"/>
      <c r="BB920" s="232"/>
      <c r="BC920" s="232"/>
      <c r="BD920" s="232"/>
      <c r="BE920" s="232"/>
      <c r="BF920" s="232"/>
      <c r="BG920" s="232"/>
      <c r="BH920" s="232"/>
      <c r="BI920" s="232"/>
      <c r="BJ920" s="232"/>
      <c r="BK920" s="232"/>
      <c r="BL920" s="232"/>
      <c r="BM920" s="232"/>
      <c r="BN920" s="232"/>
      <c r="BO920" s="232"/>
      <c r="BP920" s="232"/>
      <c r="BQ920" s="232"/>
      <c r="BR920" s="232"/>
      <c r="BS920" s="232"/>
      <c r="BT920" s="232"/>
      <c r="BU920" s="232"/>
      <c r="BV920" s="232"/>
      <c r="BW920" s="232"/>
      <c r="BX920" s="232"/>
      <c r="BY920" s="232"/>
      <c r="BZ920" s="232"/>
      <c r="CA920" s="232"/>
      <c r="CB920" s="232"/>
      <c r="CC920" s="232"/>
      <c r="CD920" s="232"/>
      <c r="CE920" s="232"/>
      <c r="CF920" s="232"/>
      <c r="CG920" s="232"/>
      <c r="CH920" s="232"/>
      <c r="CI920" s="232"/>
      <c r="CJ920" s="232"/>
      <c r="CK920" s="232"/>
      <c r="CL920" s="232"/>
      <c r="CM920" s="232"/>
      <c r="CN920" s="215"/>
      <c r="CO920" s="215"/>
      <c r="CP920" s="215"/>
      <c r="CQ920" s="215"/>
      <c r="CR920" s="215"/>
      <c r="CS920" s="215"/>
      <c r="CT920" s="215"/>
    </row>
    <row r="921" ht="24.0" customHeight="1">
      <c r="A921" s="287"/>
      <c r="B921" s="287"/>
      <c r="C921" s="287"/>
      <c r="D921" s="232"/>
      <c r="E921" s="232"/>
      <c r="F921" s="232"/>
      <c r="G921" s="232"/>
      <c r="H921" s="232"/>
      <c r="I921" s="232"/>
      <c r="J921" s="232"/>
      <c r="K921" s="232"/>
      <c r="L921" s="232"/>
      <c r="M921" s="232"/>
      <c r="N921" s="289"/>
      <c r="O921" s="232"/>
      <c r="P921" s="232"/>
      <c r="Q921" s="232"/>
      <c r="R921" s="232"/>
      <c r="S921" s="232"/>
      <c r="T921" s="232"/>
      <c r="U921" s="232"/>
      <c r="V921" s="232"/>
      <c r="W921" s="232"/>
      <c r="X921" s="232"/>
      <c r="Y921" s="232"/>
      <c r="Z921" s="232"/>
      <c r="AA921" s="232"/>
      <c r="AB921" s="232"/>
      <c r="AC921" s="232"/>
      <c r="AD921" s="232"/>
      <c r="AE921" s="232"/>
      <c r="AF921" s="232"/>
      <c r="AG921" s="232"/>
      <c r="AH921" s="232"/>
      <c r="AI921" s="232"/>
      <c r="AJ921" s="232"/>
      <c r="AK921" s="232"/>
      <c r="AL921" s="232"/>
      <c r="AM921" s="232"/>
      <c r="AN921" s="232"/>
      <c r="AO921" s="232"/>
      <c r="AP921" s="232"/>
      <c r="AQ921" s="232"/>
      <c r="AR921" s="232"/>
      <c r="AS921" s="232"/>
      <c r="AT921" s="232"/>
      <c r="AU921" s="232"/>
      <c r="AV921" s="232"/>
      <c r="AW921" s="232"/>
      <c r="AX921" s="232"/>
      <c r="AY921" s="232"/>
      <c r="AZ921" s="232"/>
      <c r="BA921" s="232"/>
      <c r="BB921" s="232"/>
      <c r="BC921" s="232"/>
      <c r="BD921" s="232"/>
      <c r="BE921" s="232"/>
      <c r="BF921" s="232"/>
      <c r="BG921" s="232"/>
      <c r="BH921" s="232"/>
      <c r="BI921" s="232"/>
      <c r="BJ921" s="232"/>
      <c r="BK921" s="232"/>
      <c r="BL921" s="232"/>
      <c r="BM921" s="232"/>
      <c r="BN921" s="232"/>
      <c r="BO921" s="232"/>
      <c r="BP921" s="232"/>
      <c r="BQ921" s="232"/>
      <c r="BR921" s="232"/>
      <c r="BS921" s="232"/>
      <c r="BT921" s="232"/>
      <c r="BU921" s="232"/>
      <c r="BV921" s="232"/>
      <c r="BW921" s="232"/>
      <c r="BX921" s="232"/>
      <c r="BY921" s="232"/>
      <c r="BZ921" s="232"/>
      <c r="CA921" s="232"/>
      <c r="CB921" s="232"/>
      <c r="CC921" s="232"/>
      <c r="CD921" s="232"/>
      <c r="CE921" s="232"/>
      <c r="CF921" s="232"/>
      <c r="CG921" s="232"/>
      <c r="CH921" s="232"/>
      <c r="CI921" s="232"/>
      <c r="CJ921" s="232"/>
      <c r="CK921" s="232"/>
      <c r="CL921" s="232"/>
      <c r="CM921" s="232"/>
      <c r="CN921" s="215"/>
      <c r="CO921" s="215"/>
      <c r="CP921" s="215"/>
      <c r="CQ921" s="215"/>
      <c r="CR921" s="215"/>
      <c r="CS921" s="215"/>
      <c r="CT921" s="215"/>
    </row>
    <row r="922" ht="24.0" customHeight="1">
      <c r="A922" s="287"/>
      <c r="B922" s="287"/>
      <c r="C922" s="287"/>
      <c r="D922" s="232"/>
      <c r="E922" s="232"/>
      <c r="F922" s="232"/>
      <c r="G922" s="232"/>
      <c r="H922" s="232"/>
      <c r="I922" s="232"/>
      <c r="J922" s="232"/>
      <c r="K922" s="232"/>
      <c r="L922" s="232"/>
      <c r="M922" s="232"/>
      <c r="N922" s="289"/>
      <c r="O922" s="232"/>
      <c r="P922" s="232"/>
      <c r="Q922" s="232"/>
      <c r="R922" s="232"/>
      <c r="S922" s="232"/>
      <c r="T922" s="232"/>
      <c r="U922" s="232"/>
      <c r="V922" s="232"/>
      <c r="W922" s="232"/>
      <c r="X922" s="232"/>
      <c r="Y922" s="232"/>
      <c r="Z922" s="232"/>
      <c r="AA922" s="232"/>
      <c r="AB922" s="232"/>
      <c r="AC922" s="232"/>
      <c r="AD922" s="232"/>
      <c r="AE922" s="232"/>
      <c r="AF922" s="232"/>
      <c r="AG922" s="232"/>
      <c r="AH922" s="232"/>
      <c r="AI922" s="232"/>
      <c r="AJ922" s="232"/>
      <c r="AK922" s="232"/>
      <c r="AL922" s="232"/>
      <c r="AM922" s="232"/>
      <c r="AN922" s="232"/>
      <c r="AO922" s="232"/>
      <c r="AP922" s="232"/>
      <c r="AQ922" s="232"/>
      <c r="AR922" s="232"/>
      <c r="AS922" s="232"/>
      <c r="AT922" s="232"/>
      <c r="AU922" s="232"/>
      <c r="AV922" s="232"/>
      <c r="AW922" s="232"/>
      <c r="AX922" s="232"/>
      <c r="AY922" s="232"/>
      <c r="AZ922" s="232"/>
      <c r="BA922" s="232"/>
      <c r="BB922" s="232"/>
      <c r="BC922" s="232"/>
      <c r="BD922" s="232"/>
      <c r="BE922" s="232"/>
      <c r="BF922" s="232"/>
      <c r="BG922" s="232"/>
      <c r="BH922" s="232"/>
      <c r="BI922" s="232"/>
      <c r="BJ922" s="232"/>
      <c r="BK922" s="232"/>
      <c r="BL922" s="232"/>
      <c r="BM922" s="232"/>
      <c r="BN922" s="232"/>
      <c r="BO922" s="232"/>
      <c r="BP922" s="232"/>
      <c r="BQ922" s="232"/>
      <c r="BR922" s="232"/>
      <c r="BS922" s="232"/>
      <c r="BT922" s="232"/>
      <c r="BU922" s="232"/>
      <c r="BV922" s="232"/>
      <c r="BW922" s="232"/>
      <c r="BX922" s="232"/>
      <c r="BY922" s="232"/>
      <c r="BZ922" s="232"/>
      <c r="CA922" s="232"/>
      <c r="CB922" s="232"/>
      <c r="CC922" s="232"/>
      <c r="CD922" s="232"/>
      <c r="CE922" s="232"/>
      <c r="CF922" s="232"/>
      <c r="CG922" s="232"/>
      <c r="CH922" s="232"/>
      <c r="CI922" s="232"/>
      <c r="CJ922" s="232"/>
      <c r="CK922" s="232"/>
      <c r="CL922" s="232"/>
      <c r="CM922" s="232"/>
      <c r="CN922" s="215"/>
      <c r="CO922" s="215"/>
      <c r="CP922" s="215"/>
      <c r="CQ922" s="215"/>
      <c r="CR922" s="215"/>
      <c r="CS922" s="215"/>
      <c r="CT922" s="215"/>
    </row>
    <row r="923" ht="24.0" customHeight="1">
      <c r="A923" s="287"/>
      <c r="B923" s="287"/>
      <c r="C923" s="287"/>
      <c r="D923" s="232"/>
      <c r="E923" s="232"/>
      <c r="F923" s="232"/>
      <c r="G923" s="232"/>
      <c r="H923" s="232"/>
      <c r="I923" s="232"/>
      <c r="J923" s="232"/>
      <c r="K923" s="232"/>
      <c r="L923" s="232"/>
      <c r="M923" s="232"/>
      <c r="N923" s="289"/>
      <c r="O923" s="232"/>
      <c r="P923" s="232"/>
      <c r="Q923" s="232"/>
      <c r="R923" s="232"/>
      <c r="S923" s="232"/>
      <c r="T923" s="232"/>
      <c r="U923" s="232"/>
      <c r="V923" s="232"/>
      <c r="W923" s="232"/>
      <c r="X923" s="232"/>
      <c r="Y923" s="232"/>
      <c r="Z923" s="232"/>
      <c r="AA923" s="232"/>
      <c r="AB923" s="232"/>
      <c r="AC923" s="232"/>
      <c r="AD923" s="232"/>
      <c r="AE923" s="232"/>
      <c r="AF923" s="232"/>
      <c r="AG923" s="232"/>
      <c r="AH923" s="232"/>
      <c r="AI923" s="232"/>
      <c r="AJ923" s="232"/>
      <c r="AK923" s="232"/>
      <c r="AL923" s="232"/>
      <c r="AM923" s="232"/>
      <c r="AN923" s="232"/>
      <c r="AO923" s="232"/>
      <c r="AP923" s="232"/>
      <c r="AQ923" s="232"/>
      <c r="AR923" s="232"/>
      <c r="AS923" s="232"/>
      <c r="AT923" s="232"/>
      <c r="AU923" s="232"/>
      <c r="AV923" s="232"/>
      <c r="AW923" s="232"/>
      <c r="AX923" s="232"/>
      <c r="AY923" s="232"/>
      <c r="AZ923" s="232"/>
      <c r="BA923" s="232"/>
      <c r="BB923" s="232"/>
      <c r="BC923" s="232"/>
      <c r="BD923" s="232"/>
      <c r="BE923" s="232"/>
      <c r="BF923" s="232"/>
      <c r="BG923" s="232"/>
      <c r="BH923" s="232"/>
      <c r="BI923" s="232"/>
      <c r="BJ923" s="232"/>
      <c r="BK923" s="232"/>
      <c r="BL923" s="232"/>
      <c r="BM923" s="232"/>
      <c r="BN923" s="232"/>
      <c r="BO923" s="232"/>
      <c r="BP923" s="232"/>
      <c r="BQ923" s="232"/>
      <c r="BR923" s="232"/>
      <c r="BS923" s="232"/>
      <c r="BT923" s="232"/>
      <c r="BU923" s="232"/>
      <c r="BV923" s="232"/>
      <c r="BW923" s="232"/>
      <c r="BX923" s="232"/>
      <c r="BY923" s="232"/>
      <c r="BZ923" s="232"/>
      <c r="CA923" s="232"/>
      <c r="CB923" s="232"/>
      <c r="CC923" s="232"/>
      <c r="CD923" s="232"/>
      <c r="CE923" s="232"/>
      <c r="CF923" s="232"/>
      <c r="CG923" s="232"/>
      <c r="CH923" s="232"/>
      <c r="CI923" s="232"/>
      <c r="CJ923" s="232"/>
      <c r="CK923" s="232"/>
      <c r="CL923" s="232"/>
      <c r="CM923" s="232"/>
      <c r="CN923" s="215"/>
      <c r="CO923" s="215"/>
      <c r="CP923" s="215"/>
      <c r="CQ923" s="215"/>
      <c r="CR923" s="215"/>
      <c r="CS923" s="215"/>
      <c r="CT923" s="215"/>
    </row>
    <row r="924" ht="24.0" customHeight="1">
      <c r="A924" s="287"/>
      <c r="B924" s="287"/>
      <c r="C924" s="287"/>
      <c r="D924" s="232"/>
      <c r="E924" s="232"/>
      <c r="F924" s="232"/>
      <c r="G924" s="232"/>
      <c r="H924" s="232"/>
      <c r="I924" s="232"/>
      <c r="J924" s="232"/>
      <c r="K924" s="232"/>
      <c r="L924" s="232"/>
      <c r="M924" s="232"/>
      <c r="N924" s="289"/>
      <c r="O924" s="232"/>
      <c r="P924" s="232"/>
      <c r="Q924" s="232"/>
      <c r="R924" s="232"/>
      <c r="S924" s="232"/>
      <c r="T924" s="232"/>
      <c r="U924" s="232"/>
      <c r="V924" s="232"/>
      <c r="W924" s="232"/>
      <c r="X924" s="232"/>
      <c r="Y924" s="232"/>
      <c r="Z924" s="232"/>
      <c r="AA924" s="232"/>
      <c r="AB924" s="232"/>
      <c r="AC924" s="232"/>
      <c r="AD924" s="232"/>
      <c r="AE924" s="232"/>
      <c r="AF924" s="232"/>
      <c r="AG924" s="232"/>
      <c r="AH924" s="232"/>
      <c r="AI924" s="232"/>
      <c r="AJ924" s="232"/>
      <c r="AK924" s="232"/>
      <c r="AL924" s="232"/>
      <c r="AM924" s="232"/>
      <c r="AN924" s="232"/>
      <c r="AO924" s="232"/>
      <c r="AP924" s="232"/>
      <c r="AQ924" s="232"/>
      <c r="AR924" s="232"/>
      <c r="AS924" s="232"/>
      <c r="AT924" s="232"/>
      <c r="AU924" s="232"/>
      <c r="AV924" s="232"/>
      <c r="AW924" s="232"/>
      <c r="AX924" s="232"/>
      <c r="AY924" s="232"/>
      <c r="AZ924" s="232"/>
      <c r="BA924" s="232"/>
      <c r="BB924" s="232"/>
      <c r="BC924" s="232"/>
      <c r="BD924" s="232"/>
      <c r="BE924" s="232"/>
      <c r="BF924" s="232"/>
      <c r="BG924" s="232"/>
      <c r="BH924" s="232"/>
      <c r="BI924" s="232"/>
      <c r="BJ924" s="232"/>
      <c r="BK924" s="232"/>
      <c r="BL924" s="232"/>
      <c r="BM924" s="232"/>
      <c r="BN924" s="232"/>
      <c r="BO924" s="232"/>
      <c r="BP924" s="232"/>
      <c r="BQ924" s="232"/>
      <c r="BR924" s="232"/>
      <c r="BS924" s="232"/>
      <c r="BT924" s="232"/>
      <c r="BU924" s="232"/>
      <c r="BV924" s="232"/>
      <c r="BW924" s="232"/>
      <c r="BX924" s="232"/>
      <c r="BY924" s="232"/>
      <c r="BZ924" s="232"/>
      <c r="CA924" s="232"/>
      <c r="CB924" s="232"/>
      <c r="CC924" s="232"/>
      <c r="CD924" s="232"/>
      <c r="CE924" s="232"/>
      <c r="CF924" s="232"/>
      <c r="CG924" s="232"/>
      <c r="CH924" s="232"/>
      <c r="CI924" s="232"/>
      <c r="CJ924" s="232"/>
      <c r="CK924" s="232"/>
      <c r="CL924" s="232"/>
      <c r="CM924" s="232"/>
      <c r="CN924" s="215"/>
      <c r="CO924" s="215"/>
      <c r="CP924" s="215"/>
      <c r="CQ924" s="215"/>
      <c r="CR924" s="215"/>
      <c r="CS924" s="215"/>
      <c r="CT924" s="215"/>
    </row>
    <row r="925" ht="24.0" customHeight="1">
      <c r="A925" s="287"/>
      <c r="B925" s="287"/>
      <c r="C925" s="287"/>
      <c r="D925" s="232"/>
      <c r="E925" s="232"/>
      <c r="F925" s="232"/>
      <c r="G925" s="232"/>
      <c r="H925" s="232"/>
      <c r="I925" s="232"/>
      <c r="J925" s="232"/>
      <c r="K925" s="232"/>
      <c r="L925" s="232"/>
      <c r="M925" s="232"/>
      <c r="N925" s="289"/>
      <c r="O925" s="232"/>
      <c r="P925" s="232"/>
      <c r="Q925" s="232"/>
      <c r="R925" s="232"/>
      <c r="S925" s="232"/>
      <c r="T925" s="232"/>
      <c r="U925" s="232"/>
      <c r="V925" s="232"/>
      <c r="W925" s="232"/>
      <c r="X925" s="232"/>
      <c r="Y925" s="232"/>
      <c r="Z925" s="232"/>
      <c r="AA925" s="232"/>
      <c r="AB925" s="232"/>
      <c r="AC925" s="232"/>
      <c r="AD925" s="232"/>
      <c r="AE925" s="232"/>
      <c r="AF925" s="232"/>
      <c r="AG925" s="232"/>
      <c r="AH925" s="232"/>
      <c r="AI925" s="232"/>
      <c r="AJ925" s="232"/>
      <c r="AK925" s="232"/>
      <c r="AL925" s="232"/>
      <c r="AM925" s="232"/>
      <c r="AN925" s="232"/>
      <c r="AO925" s="232"/>
      <c r="AP925" s="232"/>
      <c r="AQ925" s="232"/>
      <c r="AR925" s="232"/>
      <c r="AS925" s="232"/>
      <c r="AT925" s="232"/>
      <c r="AU925" s="232"/>
      <c r="AV925" s="232"/>
      <c r="AW925" s="232"/>
      <c r="AX925" s="232"/>
      <c r="AY925" s="232"/>
      <c r="AZ925" s="232"/>
      <c r="BA925" s="232"/>
      <c r="BB925" s="232"/>
      <c r="BC925" s="232"/>
      <c r="BD925" s="232"/>
      <c r="BE925" s="232"/>
      <c r="BF925" s="232"/>
      <c r="BG925" s="232"/>
      <c r="BH925" s="232"/>
      <c r="BI925" s="232"/>
      <c r="BJ925" s="232"/>
      <c r="BK925" s="232"/>
      <c r="BL925" s="232"/>
      <c r="BM925" s="232"/>
      <c r="BN925" s="232"/>
      <c r="BO925" s="232"/>
      <c r="BP925" s="232"/>
      <c r="BQ925" s="232"/>
      <c r="BR925" s="232"/>
      <c r="BS925" s="232"/>
      <c r="BT925" s="232"/>
      <c r="BU925" s="232"/>
      <c r="BV925" s="232"/>
      <c r="BW925" s="232"/>
      <c r="BX925" s="232"/>
      <c r="BY925" s="232"/>
      <c r="BZ925" s="232"/>
      <c r="CA925" s="232"/>
      <c r="CB925" s="232"/>
      <c r="CC925" s="232"/>
      <c r="CD925" s="232"/>
      <c r="CE925" s="232"/>
      <c r="CF925" s="232"/>
      <c r="CG925" s="232"/>
      <c r="CH925" s="232"/>
      <c r="CI925" s="232"/>
      <c r="CJ925" s="232"/>
      <c r="CK925" s="232"/>
      <c r="CL925" s="232"/>
      <c r="CM925" s="232"/>
      <c r="CN925" s="215"/>
      <c r="CO925" s="215"/>
      <c r="CP925" s="215"/>
      <c r="CQ925" s="215"/>
      <c r="CR925" s="215"/>
      <c r="CS925" s="215"/>
      <c r="CT925" s="215"/>
    </row>
    <row r="926" ht="24.0" customHeight="1">
      <c r="A926" s="287"/>
      <c r="B926" s="287"/>
      <c r="C926" s="287"/>
      <c r="D926" s="232"/>
      <c r="E926" s="232"/>
      <c r="F926" s="232"/>
      <c r="G926" s="232"/>
      <c r="H926" s="232"/>
      <c r="I926" s="232"/>
      <c r="J926" s="232"/>
      <c r="K926" s="232"/>
      <c r="L926" s="232"/>
      <c r="M926" s="232"/>
      <c r="N926" s="289"/>
      <c r="O926" s="232"/>
      <c r="P926" s="232"/>
      <c r="Q926" s="232"/>
      <c r="R926" s="232"/>
      <c r="S926" s="232"/>
      <c r="T926" s="232"/>
      <c r="U926" s="232"/>
      <c r="V926" s="232"/>
      <c r="W926" s="232"/>
      <c r="X926" s="232"/>
      <c r="Y926" s="232"/>
      <c r="Z926" s="232"/>
      <c r="AA926" s="232"/>
      <c r="AB926" s="232"/>
      <c r="AC926" s="232"/>
      <c r="AD926" s="232"/>
      <c r="AE926" s="232"/>
      <c r="AF926" s="232"/>
      <c r="AG926" s="232"/>
      <c r="AH926" s="232"/>
      <c r="AI926" s="232"/>
      <c r="AJ926" s="232"/>
      <c r="AK926" s="232"/>
      <c r="AL926" s="232"/>
      <c r="AM926" s="232"/>
      <c r="AN926" s="232"/>
      <c r="AO926" s="232"/>
      <c r="AP926" s="232"/>
      <c r="AQ926" s="232"/>
      <c r="AR926" s="232"/>
      <c r="AS926" s="232"/>
      <c r="AT926" s="232"/>
      <c r="AU926" s="232"/>
      <c r="AV926" s="232"/>
      <c r="AW926" s="232"/>
      <c r="AX926" s="232"/>
      <c r="AY926" s="232"/>
      <c r="AZ926" s="232"/>
      <c r="BA926" s="232"/>
      <c r="BB926" s="232"/>
      <c r="BC926" s="232"/>
      <c r="BD926" s="232"/>
      <c r="BE926" s="232"/>
      <c r="BF926" s="232"/>
      <c r="BG926" s="232"/>
      <c r="BH926" s="232"/>
      <c r="BI926" s="232"/>
      <c r="BJ926" s="232"/>
      <c r="BK926" s="232"/>
      <c r="BL926" s="232"/>
      <c r="BM926" s="232"/>
      <c r="BN926" s="232"/>
      <c r="BO926" s="232"/>
      <c r="BP926" s="232"/>
      <c r="BQ926" s="232"/>
      <c r="BR926" s="232"/>
      <c r="BS926" s="232"/>
      <c r="BT926" s="232"/>
      <c r="BU926" s="232"/>
      <c r="BV926" s="232"/>
      <c r="BW926" s="232"/>
      <c r="BX926" s="232"/>
      <c r="BY926" s="232"/>
      <c r="BZ926" s="232"/>
      <c r="CA926" s="232"/>
      <c r="CB926" s="232"/>
      <c r="CC926" s="232"/>
      <c r="CD926" s="232"/>
      <c r="CE926" s="232"/>
      <c r="CF926" s="232"/>
      <c r="CG926" s="232"/>
      <c r="CH926" s="232"/>
      <c r="CI926" s="232"/>
      <c r="CJ926" s="232"/>
      <c r="CK926" s="232"/>
      <c r="CL926" s="232"/>
      <c r="CM926" s="232"/>
      <c r="CN926" s="215"/>
      <c r="CO926" s="215"/>
      <c r="CP926" s="215"/>
      <c r="CQ926" s="215"/>
      <c r="CR926" s="215"/>
      <c r="CS926" s="215"/>
      <c r="CT926" s="215"/>
    </row>
    <row r="927" ht="24.0" customHeight="1">
      <c r="A927" s="287"/>
      <c r="B927" s="287"/>
      <c r="C927" s="287"/>
      <c r="D927" s="232"/>
      <c r="E927" s="232"/>
      <c r="F927" s="232"/>
      <c r="G927" s="232"/>
      <c r="H927" s="232"/>
      <c r="I927" s="232"/>
      <c r="J927" s="232"/>
      <c r="K927" s="232"/>
      <c r="L927" s="232"/>
      <c r="M927" s="232"/>
      <c r="N927" s="289"/>
      <c r="O927" s="232"/>
      <c r="P927" s="232"/>
      <c r="Q927" s="232"/>
      <c r="R927" s="232"/>
      <c r="S927" s="232"/>
      <c r="T927" s="232"/>
      <c r="U927" s="232"/>
      <c r="V927" s="232"/>
      <c r="W927" s="232"/>
      <c r="X927" s="232"/>
      <c r="Y927" s="232"/>
      <c r="Z927" s="232"/>
      <c r="AA927" s="232"/>
      <c r="AB927" s="232"/>
      <c r="AC927" s="232"/>
      <c r="AD927" s="232"/>
      <c r="AE927" s="232"/>
      <c r="AF927" s="232"/>
      <c r="AG927" s="232"/>
      <c r="AH927" s="232"/>
      <c r="AI927" s="232"/>
      <c r="AJ927" s="232"/>
      <c r="AK927" s="232"/>
      <c r="AL927" s="232"/>
      <c r="AM927" s="232"/>
      <c r="AN927" s="232"/>
      <c r="AO927" s="232"/>
      <c r="AP927" s="232"/>
      <c r="AQ927" s="232"/>
      <c r="AR927" s="232"/>
      <c r="AS927" s="232"/>
      <c r="AT927" s="232"/>
      <c r="AU927" s="232"/>
      <c r="AV927" s="232"/>
      <c r="AW927" s="232"/>
      <c r="AX927" s="232"/>
      <c r="AY927" s="232"/>
      <c r="AZ927" s="232"/>
      <c r="BA927" s="232"/>
      <c r="BB927" s="232"/>
      <c r="BC927" s="232"/>
      <c r="BD927" s="232"/>
      <c r="BE927" s="232"/>
      <c r="BF927" s="232"/>
      <c r="BG927" s="232"/>
      <c r="BH927" s="232"/>
      <c r="BI927" s="232"/>
      <c r="BJ927" s="232"/>
      <c r="BK927" s="232"/>
      <c r="BL927" s="232"/>
      <c r="BM927" s="232"/>
      <c r="BN927" s="232"/>
      <c r="BO927" s="232"/>
      <c r="BP927" s="232"/>
      <c r="BQ927" s="232"/>
      <c r="BR927" s="232"/>
      <c r="BS927" s="232"/>
      <c r="BT927" s="232"/>
      <c r="BU927" s="232"/>
      <c r="BV927" s="232"/>
      <c r="BW927" s="232"/>
      <c r="BX927" s="232"/>
      <c r="BY927" s="232"/>
      <c r="BZ927" s="232"/>
      <c r="CA927" s="232"/>
      <c r="CB927" s="232"/>
      <c r="CC927" s="232"/>
      <c r="CD927" s="232"/>
      <c r="CE927" s="232"/>
      <c r="CF927" s="232"/>
      <c r="CG927" s="232"/>
      <c r="CH927" s="232"/>
      <c r="CI927" s="232"/>
      <c r="CJ927" s="232"/>
      <c r="CK927" s="232"/>
      <c r="CL927" s="232"/>
      <c r="CM927" s="232"/>
      <c r="CN927" s="215"/>
      <c r="CO927" s="215"/>
      <c r="CP927" s="215"/>
      <c r="CQ927" s="215"/>
      <c r="CR927" s="215"/>
      <c r="CS927" s="215"/>
      <c r="CT927" s="215"/>
    </row>
    <row r="928" ht="24.0" customHeight="1">
      <c r="A928" s="287"/>
      <c r="B928" s="287"/>
      <c r="C928" s="287"/>
      <c r="D928" s="232"/>
      <c r="E928" s="232"/>
      <c r="F928" s="232"/>
      <c r="G928" s="232"/>
      <c r="H928" s="232"/>
      <c r="I928" s="232"/>
      <c r="J928" s="232"/>
      <c r="K928" s="232"/>
      <c r="L928" s="232"/>
      <c r="M928" s="232"/>
      <c r="N928" s="289"/>
      <c r="O928" s="232"/>
      <c r="P928" s="232"/>
      <c r="Q928" s="232"/>
      <c r="R928" s="232"/>
      <c r="S928" s="232"/>
      <c r="T928" s="232"/>
      <c r="U928" s="232"/>
      <c r="V928" s="232"/>
      <c r="W928" s="232"/>
      <c r="X928" s="232"/>
      <c r="Y928" s="232"/>
      <c r="Z928" s="232"/>
      <c r="AA928" s="232"/>
      <c r="AB928" s="232"/>
      <c r="AC928" s="232"/>
      <c r="AD928" s="232"/>
      <c r="AE928" s="232"/>
      <c r="AF928" s="232"/>
      <c r="AG928" s="232"/>
      <c r="AH928" s="232"/>
      <c r="AI928" s="232"/>
      <c r="AJ928" s="232"/>
      <c r="AK928" s="232"/>
      <c r="AL928" s="232"/>
      <c r="AM928" s="232"/>
      <c r="AN928" s="232"/>
      <c r="AO928" s="232"/>
      <c r="AP928" s="232"/>
      <c r="AQ928" s="232"/>
      <c r="AR928" s="232"/>
      <c r="AS928" s="232"/>
      <c r="AT928" s="232"/>
      <c r="AU928" s="232"/>
      <c r="AV928" s="232"/>
      <c r="AW928" s="232"/>
      <c r="AX928" s="232"/>
      <c r="AY928" s="232"/>
      <c r="AZ928" s="232"/>
      <c r="BA928" s="232"/>
      <c r="BB928" s="232"/>
      <c r="BC928" s="232"/>
      <c r="BD928" s="232"/>
      <c r="BE928" s="232"/>
      <c r="BF928" s="232"/>
      <c r="BG928" s="232"/>
      <c r="BH928" s="232"/>
      <c r="BI928" s="232"/>
      <c r="BJ928" s="232"/>
      <c r="BK928" s="232"/>
      <c r="BL928" s="232"/>
      <c r="BM928" s="232"/>
      <c r="BN928" s="232"/>
      <c r="BO928" s="232"/>
      <c r="BP928" s="232"/>
      <c r="BQ928" s="232"/>
      <c r="BR928" s="232"/>
      <c r="BS928" s="232"/>
      <c r="BT928" s="232"/>
      <c r="BU928" s="232"/>
      <c r="BV928" s="232"/>
      <c r="BW928" s="232"/>
      <c r="BX928" s="232"/>
      <c r="BY928" s="232"/>
      <c r="BZ928" s="232"/>
      <c r="CA928" s="232"/>
      <c r="CB928" s="232"/>
      <c r="CC928" s="232"/>
      <c r="CD928" s="232"/>
      <c r="CE928" s="232"/>
      <c r="CF928" s="232"/>
      <c r="CG928" s="232"/>
      <c r="CH928" s="232"/>
      <c r="CI928" s="232"/>
      <c r="CJ928" s="232"/>
      <c r="CK928" s="232"/>
      <c r="CL928" s="232"/>
      <c r="CM928" s="232"/>
      <c r="CN928" s="215"/>
      <c r="CO928" s="215"/>
      <c r="CP928" s="215"/>
      <c r="CQ928" s="215"/>
      <c r="CR928" s="215"/>
      <c r="CS928" s="215"/>
      <c r="CT928" s="215"/>
    </row>
    <row r="929" ht="24.0" customHeight="1">
      <c r="A929" s="287"/>
      <c r="B929" s="287"/>
      <c r="C929" s="287"/>
      <c r="D929" s="232"/>
      <c r="E929" s="232"/>
      <c r="F929" s="232"/>
      <c r="G929" s="232"/>
      <c r="H929" s="232"/>
      <c r="I929" s="232"/>
      <c r="J929" s="232"/>
      <c r="K929" s="232"/>
      <c r="L929" s="232"/>
      <c r="M929" s="232"/>
      <c r="N929" s="289"/>
      <c r="O929" s="232"/>
      <c r="P929" s="232"/>
      <c r="Q929" s="232"/>
      <c r="R929" s="232"/>
      <c r="S929" s="232"/>
      <c r="T929" s="232"/>
      <c r="U929" s="232"/>
      <c r="V929" s="232"/>
      <c r="W929" s="232"/>
      <c r="X929" s="232"/>
      <c r="Y929" s="232"/>
      <c r="Z929" s="232"/>
      <c r="AA929" s="232"/>
      <c r="AB929" s="232"/>
      <c r="AC929" s="232"/>
      <c r="AD929" s="232"/>
      <c r="AE929" s="232"/>
      <c r="AF929" s="232"/>
      <c r="AG929" s="232"/>
      <c r="AH929" s="232"/>
      <c r="AI929" s="232"/>
      <c r="AJ929" s="232"/>
      <c r="AK929" s="232"/>
      <c r="AL929" s="232"/>
      <c r="AM929" s="232"/>
      <c r="AN929" s="232"/>
      <c r="AO929" s="232"/>
      <c r="AP929" s="232"/>
      <c r="AQ929" s="232"/>
      <c r="AR929" s="232"/>
      <c r="AS929" s="232"/>
      <c r="AT929" s="232"/>
      <c r="AU929" s="232"/>
      <c r="AV929" s="232"/>
      <c r="AW929" s="232"/>
      <c r="AX929" s="232"/>
      <c r="AY929" s="232"/>
      <c r="AZ929" s="232"/>
      <c r="BA929" s="232"/>
      <c r="BB929" s="232"/>
      <c r="BC929" s="232"/>
      <c r="BD929" s="232"/>
      <c r="BE929" s="232"/>
      <c r="BF929" s="232"/>
      <c r="BG929" s="232"/>
      <c r="BH929" s="232"/>
      <c r="BI929" s="232"/>
      <c r="BJ929" s="232"/>
      <c r="BK929" s="232"/>
      <c r="BL929" s="232"/>
      <c r="BM929" s="232"/>
      <c r="BN929" s="232"/>
      <c r="BO929" s="232"/>
      <c r="BP929" s="232"/>
      <c r="BQ929" s="232"/>
      <c r="BR929" s="232"/>
      <c r="BS929" s="232"/>
      <c r="BT929" s="232"/>
      <c r="BU929" s="232"/>
      <c r="BV929" s="232"/>
      <c r="BW929" s="232"/>
      <c r="BX929" s="232"/>
      <c r="BY929" s="232"/>
      <c r="BZ929" s="232"/>
      <c r="CA929" s="232"/>
      <c r="CB929" s="232"/>
      <c r="CC929" s="232"/>
      <c r="CD929" s="232"/>
      <c r="CE929" s="232"/>
      <c r="CF929" s="232"/>
      <c r="CG929" s="232"/>
      <c r="CH929" s="232"/>
      <c r="CI929" s="232"/>
      <c r="CJ929" s="232"/>
      <c r="CK929" s="232"/>
      <c r="CL929" s="232"/>
      <c r="CM929" s="232"/>
      <c r="CN929" s="215"/>
      <c r="CO929" s="215"/>
      <c r="CP929" s="215"/>
      <c r="CQ929" s="215"/>
      <c r="CR929" s="215"/>
      <c r="CS929" s="215"/>
      <c r="CT929" s="215"/>
    </row>
    <row r="930" ht="24.0" customHeight="1">
      <c r="A930" s="287"/>
      <c r="B930" s="287"/>
      <c r="C930" s="287"/>
      <c r="D930" s="232"/>
      <c r="E930" s="232"/>
      <c r="F930" s="232"/>
      <c r="G930" s="232"/>
      <c r="H930" s="232"/>
      <c r="I930" s="232"/>
      <c r="J930" s="232"/>
      <c r="K930" s="232"/>
      <c r="L930" s="232"/>
      <c r="M930" s="232"/>
      <c r="N930" s="289"/>
      <c r="O930" s="232"/>
      <c r="P930" s="232"/>
      <c r="Q930" s="232"/>
      <c r="R930" s="232"/>
      <c r="S930" s="232"/>
      <c r="T930" s="232"/>
      <c r="U930" s="232"/>
      <c r="V930" s="232"/>
      <c r="W930" s="232"/>
      <c r="X930" s="232"/>
      <c r="Y930" s="232"/>
      <c r="Z930" s="232"/>
      <c r="AA930" s="232"/>
      <c r="AB930" s="232"/>
      <c r="AC930" s="232"/>
      <c r="AD930" s="232"/>
      <c r="AE930" s="232"/>
      <c r="AF930" s="232"/>
      <c r="AG930" s="232"/>
      <c r="AH930" s="232"/>
      <c r="AI930" s="232"/>
      <c r="AJ930" s="232"/>
      <c r="AK930" s="232"/>
      <c r="AL930" s="232"/>
      <c r="AM930" s="232"/>
      <c r="AN930" s="232"/>
      <c r="AO930" s="232"/>
      <c r="AP930" s="232"/>
      <c r="AQ930" s="232"/>
      <c r="AR930" s="232"/>
      <c r="AS930" s="232"/>
      <c r="AT930" s="232"/>
      <c r="AU930" s="232"/>
      <c r="AV930" s="232"/>
      <c r="AW930" s="232"/>
      <c r="AX930" s="232"/>
      <c r="AY930" s="232"/>
      <c r="AZ930" s="232"/>
      <c r="BA930" s="232"/>
      <c r="BB930" s="232"/>
      <c r="BC930" s="232"/>
      <c r="BD930" s="232"/>
      <c r="BE930" s="232"/>
      <c r="BF930" s="232"/>
      <c r="BG930" s="232"/>
      <c r="BH930" s="232"/>
      <c r="BI930" s="232"/>
      <c r="BJ930" s="232"/>
      <c r="BK930" s="232"/>
      <c r="BL930" s="232"/>
      <c r="BM930" s="232"/>
      <c r="BN930" s="232"/>
      <c r="BO930" s="232"/>
      <c r="BP930" s="232"/>
      <c r="BQ930" s="232"/>
      <c r="BR930" s="232"/>
      <c r="BS930" s="232"/>
      <c r="BT930" s="232"/>
      <c r="BU930" s="232"/>
      <c r="BV930" s="232"/>
      <c r="BW930" s="232"/>
      <c r="BX930" s="232"/>
      <c r="BY930" s="232"/>
      <c r="BZ930" s="232"/>
      <c r="CA930" s="232"/>
      <c r="CB930" s="232"/>
      <c r="CC930" s="232"/>
      <c r="CD930" s="232"/>
      <c r="CE930" s="232"/>
      <c r="CF930" s="232"/>
      <c r="CG930" s="232"/>
      <c r="CH930" s="232"/>
      <c r="CI930" s="232"/>
      <c r="CJ930" s="232"/>
      <c r="CK930" s="232"/>
      <c r="CL930" s="232"/>
      <c r="CM930" s="232"/>
      <c r="CN930" s="215"/>
      <c r="CO930" s="215"/>
      <c r="CP930" s="215"/>
      <c r="CQ930" s="215"/>
      <c r="CR930" s="215"/>
      <c r="CS930" s="215"/>
      <c r="CT930" s="215"/>
    </row>
    <row r="931" ht="24.0" customHeight="1">
      <c r="A931" s="287"/>
      <c r="B931" s="287"/>
      <c r="C931" s="287"/>
      <c r="D931" s="232"/>
      <c r="E931" s="232"/>
      <c r="F931" s="232"/>
      <c r="G931" s="232"/>
      <c r="H931" s="232"/>
      <c r="I931" s="232"/>
      <c r="J931" s="232"/>
      <c r="K931" s="232"/>
      <c r="L931" s="232"/>
      <c r="M931" s="232"/>
      <c r="N931" s="289"/>
      <c r="O931" s="232"/>
      <c r="P931" s="232"/>
      <c r="Q931" s="232"/>
      <c r="R931" s="232"/>
      <c r="S931" s="232"/>
      <c r="T931" s="232"/>
      <c r="U931" s="232"/>
      <c r="V931" s="232"/>
      <c r="W931" s="232"/>
      <c r="X931" s="232"/>
      <c r="Y931" s="232"/>
      <c r="Z931" s="232"/>
      <c r="AA931" s="232"/>
      <c r="AB931" s="232"/>
      <c r="AC931" s="232"/>
      <c r="AD931" s="232"/>
      <c r="AE931" s="232"/>
      <c r="AF931" s="232"/>
      <c r="AG931" s="232"/>
      <c r="AH931" s="232"/>
      <c r="AI931" s="232"/>
      <c r="AJ931" s="232"/>
      <c r="AK931" s="232"/>
      <c r="AL931" s="232"/>
      <c r="AM931" s="232"/>
      <c r="AN931" s="232"/>
      <c r="AO931" s="232"/>
      <c r="AP931" s="232"/>
      <c r="AQ931" s="232"/>
      <c r="AR931" s="232"/>
      <c r="AS931" s="232"/>
      <c r="AT931" s="232"/>
      <c r="AU931" s="232"/>
      <c r="AV931" s="232"/>
      <c r="AW931" s="232"/>
      <c r="AX931" s="232"/>
      <c r="AY931" s="232"/>
      <c r="AZ931" s="232"/>
      <c r="BA931" s="232"/>
      <c r="BB931" s="232"/>
      <c r="BC931" s="232"/>
      <c r="BD931" s="232"/>
      <c r="BE931" s="232"/>
      <c r="BF931" s="232"/>
      <c r="BG931" s="232"/>
      <c r="BH931" s="232"/>
      <c r="BI931" s="232"/>
      <c r="BJ931" s="232"/>
      <c r="BK931" s="232"/>
      <c r="BL931" s="232"/>
      <c r="BM931" s="232"/>
      <c r="BN931" s="232"/>
      <c r="BO931" s="232"/>
      <c r="BP931" s="232"/>
      <c r="BQ931" s="232"/>
      <c r="BR931" s="232"/>
      <c r="BS931" s="232"/>
      <c r="BT931" s="232"/>
      <c r="BU931" s="232"/>
      <c r="BV931" s="232"/>
      <c r="BW931" s="232"/>
      <c r="BX931" s="232"/>
      <c r="BY931" s="232"/>
      <c r="BZ931" s="232"/>
      <c r="CA931" s="232"/>
      <c r="CB931" s="232"/>
      <c r="CC931" s="232"/>
      <c r="CD931" s="232"/>
      <c r="CE931" s="232"/>
      <c r="CF931" s="232"/>
      <c r="CG931" s="232"/>
      <c r="CH931" s="232"/>
      <c r="CI931" s="232"/>
      <c r="CJ931" s="232"/>
      <c r="CK931" s="232"/>
      <c r="CL931" s="232"/>
      <c r="CM931" s="232"/>
      <c r="CN931" s="215"/>
      <c r="CO931" s="215"/>
      <c r="CP931" s="215"/>
      <c r="CQ931" s="215"/>
      <c r="CR931" s="215"/>
      <c r="CS931" s="215"/>
      <c r="CT931" s="215"/>
    </row>
    <row r="932" ht="24.0" customHeight="1">
      <c r="A932" s="287"/>
      <c r="B932" s="287"/>
      <c r="C932" s="287"/>
      <c r="D932" s="232"/>
      <c r="E932" s="232"/>
      <c r="F932" s="232"/>
      <c r="G932" s="232"/>
      <c r="H932" s="232"/>
      <c r="I932" s="232"/>
      <c r="J932" s="232"/>
      <c r="K932" s="232"/>
      <c r="L932" s="232"/>
      <c r="M932" s="232"/>
      <c r="N932" s="289"/>
      <c r="O932" s="232"/>
      <c r="P932" s="232"/>
      <c r="Q932" s="232"/>
      <c r="R932" s="232"/>
      <c r="S932" s="232"/>
      <c r="T932" s="232"/>
      <c r="U932" s="232"/>
      <c r="V932" s="232"/>
      <c r="W932" s="232"/>
      <c r="X932" s="232"/>
      <c r="Y932" s="232"/>
      <c r="Z932" s="232"/>
      <c r="AA932" s="232"/>
      <c r="AB932" s="232"/>
      <c r="AC932" s="232"/>
      <c r="AD932" s="232"/>
      <c r="AE932" s="232"/>
      <c r="AF932" s="232"/>
      <c r="AG932" s="232"/>
      <c r="AH932" s="232"/>
      <c r="AI932" s="232"/>
      <c r="AJ932" s="232"/>
      <c r="AK932" s="232"/>
      <c r="AL932" s="232"/>
      <c r="AM932" s="232"/>
      <c r="AN932" s="232"/>
      <c r="AO932" s="232"/>
      <c r="AP932" s="232"/>
      <c r="AQ932" s="232"/>
      <c r="AR932" s="232"/>
      <c r="AS932" s="232"/>
      <c r="AT932" s="232"/>
      <c r="AU932" s="232"/>
      <c r="AV932" s="232"/>
      <c r="AW932" s="232"/>
      <c r="AX932" s="232"/>
      <c r="AY932" s="232"/>
      <c r="AZ932" s="232"/>
      <c r="BA932" s="232"/>
      <c r="BB932" s="232"/>
      <c r="BC932" s="232"/>
      <c r="BD932" s="232"/>
      <c r="BE932" s="232"/>
      <c r="BF932" s="232"/>
      <c r="BG932" s="232"/>
      <c r="BH932" s="232"/>
      <c r="BI932" s="232"/>
      <c r="BJ932" s="232"/>
      <c r="BK932" s="232"/>
      <c r="BL932" s="232"/>
      <c r="BM932" s="232"/>
      <c r="BN932" s="232"/>
      <c r="BO932" s="232"/>
      <c r="BP932" s="232"/>
      <c r="BQ932" s="232"/>
      <c r="BR932" s="232"/>
      <c r="BS932" s="232"/>
      <c r="BT932" s="232"/>
      <c r="BU932" s="232"/>
      <c r="BV932" s="232"/>
      <c r="BW932" s="232"/>
      <c r="BX932" s="232"/>
      <c r="BY932" s="232"/>
      <c r="BZ932" s="232"/>
      <c r="CA932" s="232"/>
      <c r="CB932" s="232"/>
      <c r="CC932" s="232"/>
      <c r="CD932" s="232"/>
      <c r="CE932" s="232"/>
      <c r="CF932" s="232"/>
      <c r="CG932" s="232"/>
      <c r="CH932" s="232"/>
      <c r="CI932" s="232"/>
      <c r="CJ932" s="232"/>
      <c r="CK932" s="232"/>
      <c r="CL932" s="232"/>
      <c r="CM932" s="232"/>
      <c r="CN932" s="215"/>
      <c r="CO932" s="215"/>
      <c r="CP932" s="215"/>
      <c r="CQ932" s="215"/>
      <c r="CR932" s="215"/>
      <c r="CS932" s="215"/>
      <c r="CT932" s="215"/>
    </row>
    <row r="933" ht="24.0" customHeight="1">
      <c r="A933" s="287"/>
      <c r="B933" s="287"/>
      <c r="C933" s="287"/>
      <c r="D933" s="232"/>
      <c r="E933" s="232"/>
      <c r="F933" s="232"/>
      <c r="G933" s="232"/>
      <c r="H933" s="232"/>
      <c r="I933" s="232"/>
      <c r="J933" s="232"/>
      <c r="K933" s="232"/>
      <c r="L933" s="232"/>
      <c r="M933" s="232"/>
      <c r="N933" s="289"/>
      <c r="O933" s="232"/>
      <c r="P933" s="232"/>
      <c r="Q933" s="232"/>
      <c r="R933" s="232"/>
      <c r="S933" s="232"/>
      <c r="T933" s="232"/>
      <c r="U933" s="232"/>
      <c r="V933" s="232"/>
      <c r="W933" s="232"/>
      <c r="X933" s="232"/>
      <c r="Y933" s="232"/>
      <c r="Z933" s="232"/>
      <c r="AA933" s="232"/>
      <c r="AB933" s="232"/>
      <c r="AC933" s="232"/>
      <c r="AD933" s="232"/>
      <c r="AE933" s="232"/>
      <c r="AF933" s="232"/>
      <c r="AG933" s="232"/>
      <c r="AH933" s="232"/>
      <c r="AI933" s="232"/>
      <c r="AJ933" s="232"/>
      <c r="AK933" s="232"/>
      <c r="AL933" s="232"/>
      <c r="AM933" s="232"/>
      <c r="AN933" s="232"/>
      <c r="AO933" s="232"/>
      <c r="AP933" s="232"/>
      <c r="AQ933" s="232"/>
      <c r="AR933" s="232"/>
      <c r="AS933" s="232"/>
      <c r="AT933" s="232"/>
      <c r="AU933" s="232"/>
      <c r="AV933" s="232"/>
      <c r="AW933" s="232"/>
      <c r="AX933" s="232"/>
      <c r="AY933" s="232"/>
      <c r="AZ933" s="232"/>
      <c r="BA933" s="232"/>
      <c r="BB933" s="232"/>
      <c r="BC933" s="232"/>
      <c r="BD933" s="232"/>
      <c r="BE933" s="232"/>
      <c r="BF933" s="232"/>
      <c r="BG933" s="232"/>
      <c r="BH933" s="232"/>
      <c r="BI933" s="232"/>
      <c r="BJ933" s="232"/>
      <c r="BK933" s="232"/>
      <c r="BL933" s="232"/>
      <c r="BM933" s="232"/>
      <c r="BN933" s="232"/>
      <c r="BO933" s="232"/>
      <c r="BP933" s="232"/>
      <c r="BQ933" s="232"/>
      <c r="BR933" s="232"/>
      <c r="BS933" s="232"/>
      <c r="BT933" s="232"/>
      <c r="BU933" s="232"/>
      <c r="BV933" s="232"/>
      <c r="BW933" s="232"/>
      <c r="BX933" s="232"/>
      <c r="BY933" s="232"/>
      <c r="BZ933" s="232"/>
      <c r="CA933" s="232"/>
      <c r="CB933" s="232"/>
      <c r="CC933" s="232"/>
      <c r="CD933" s="232"/>
      <c r="CE933" s="232"/>
      <c r="CF933" s="232"/>
      <c r="CG933" s="232"/>
      <c r="CH933" s="232"/>
      <c r="CI933" s="232"/>
      <c r="CJ933" s="232"/>
      <c r="CK933" s="232"/>
      <c r="CL933" s="232"/>
      <c r="CM933" s="232"/>
      <c r="CN933" s="215"/>
      <c r="CO933" s="215"/>
      <c r="CP933" s="215"/>
      <c r="CQ933" s="215"/>
      <c r="CR933" s="215"/>
      <c r="CS933" s="215"/>
      <c r="CT933" s="215"/>
    </row>
    <row r="934" ht="24.0" customHeight="1">
      <c r="A934" s="287"/>
      <c r="B934" s="287"/>
      <c r="C934" s="287"/>
      <c r="D934" s="232"/>
      <c r="E934" s="232"/>
      <c r="F934" s="232"/>
      <c r="G934" s="232"/>
      <c r="H934" s="232"/>
      <c r="I934" s="232"/>
      <c r="J934" s="232"/>
      <c r="K934" s="232"/>
      <c r="L934" s="232"/>
      <c r="M934" s="232"/>
      <c r="N934" s="289"/>
      <c r="O934" s="232"/>
      <c r="P934" s="232"/>
      <c r="Q934" s="232"/>
      <c r="R934" s="232"/>
      <c r="S934" s="232"/>
      <c r="T934" s="232"/>
      <c r="U934" s="232"/>
      <c r="V934" s="232"/>
      <c r="W934" s="232"/>
      <c r="X934" s="232"/>
      <c r="Y934" s="232"/>
      <c r="Z934" s="232"/>
      <c r="AA934" s="232"/>
      <c r="AB934" s="232"/>
      <c r="AC934" s="232"/>
      <c r="AD934" s="232"/>
      <c r="AE934" s="232"/>
      <c r="AF934" s="232"/>
      <c r="AG934" s="232"/>
      <c r="AH934" s="232"/>
      <c r="AI934" s="232"/>
      <c r="AJ934" s="232"/>
      <c r="AK934" s="232"/>
      <c r="AL934" s="232"/>
      <c r="AM934" s="232"/>
      <c r="AN934" s="232"/>
      <c r="AO934" s="232"/>
      <c r="AP934" s="232"/>
      <c r="AQ934" s="232"/>
      <c r="AR934" s="232"/>
      <c r="AS934" s="232"/>
      <c r="AT934" s="232"/>
      <c r="AU934" s="232"/>
      <c r="AV934" s="232"/>
      <c r="AW934" s="232"/>
      <c r="AX934" s="232"/>
      <c r="AY934" s="232"/>
      <c r="AZ934" s="232"/>
      <c r="BA934" s="232"/>
      <c r="BB934" s="232"/>
      <c r="BC934" s="232"/>
      <c r="BD934" s="232"/>
      <c r="BE934" s="232"/>
      <c r="BF934" s="232"/>
      <c r="BG934" s="232"/>
      <c r="BH934" s="232"/>
      <c r="BI934" s="232"/>
      <c r="BJ934" s="232"/>
      <c r="BK934" s="232"/>
      <c r="BL934" s="232"/>
      <c r="BM934" s="232"/>
      <c r="BN934" s="232"/>
      <c r="BO934" s="232"/>
      <c r="BP934" s="232"/>
      <c r="BQ934" s="232"/>
      <c r="BR934" s="232"/>
      <c r="BS934" s="232"/>
      <c r="BT934" s="232"/>
      <c r="BU934" s="232"/>
      <c r="BV934" s="232"/>
      <c r="BW934" s="232"/>
      <c r="BX934" s="232"/>
      <c r="BY934" s="232"/>
      <c r="BZ934" s="232"/>
      <c r="CA934" s="232"/>
      <c r="CB934" s="232"/>
      <c r="CC934" s="232"/>
      <c r="CD934" s="232"/>
      <c r="CE934" s="232"/>
      <c r="CF934" s="232"/>
      <c r="CG934" s="232"/>
      <c r="CH934" s="232"/>
      <c r="CI934" s="232"/>
      <c r="CJ934" s="232"/>
      <c r="CK934" s="232"/>
      <c r="CL934" s="232"/>
      <c r="CM934" s="232"/>
      <c r="CN934" s="215"/>
      <c r="CO934" s="215"/>
      <c r="CP934" s="215"/>
      <c r="CQ934" s="215"/>
      <c r="CR934" s="215"/>
      <c r="CS934" s="215"/>
      <c r="CT934" s="215"/>
    </row>
    <row r="935" ht="24.0" customHeight="1">
      <c r="A935" s="287"/>
      <c r="B935" s="287"/>
      <c r="C935" s="287"/>
      <c r="D935" s="232"/>
      <c r="E935" s="232"/>
      <c r="F935" s="232"/>
      <c r="G935" s="232"/>
      <c r="H935" s="232"/>
      <c r="I935" s="232"/>
      <c r="J935" s="232"/>
      <c r="K935" s="232"/>
      <c r="L935" s="232"/>
      <c r="M935" s="232"/>
      <c r="N935" s="289"/>
      <c r="O935" s="232"/>
      <c r="P935" s="232"/>
      <c r="Q935" s="232"/>
      <c r="R935" s="232"/>
      <c r="S935" s="232"/>
      <c r="T935" s="232"/>
      <c r="U935" s="232"/>
      <c r="V935" s="232"/>
      <c r="W935" s="232"/>
      <c r="X935" s="232"/>
      <c r="Y935" s="232"/>
      <c r="Z935" s="232"/>
      <c r="AA935" s="232"/>
      <c r="AB935" s="232"/>
      <c r="AC935" s="232"/>
      <c r="AD935" s="232"/>
      <c r="AE935" s="232"/>
      <c r="AF935" s="232"/>
      <c r="AG935" s="232"/>
      <c r="AH935" s="232"/>
      <c r="AI935" s="232"/>
      <c r="AJ935" s="232"/>
      <c r="AK935" s="232"/>
      <c r="AL935" s="232"/>
      <c r="AM935" s="232"/>
      <c r="AN935" s="232"/>
      <c r="AO935" s="232"/>
      <c r="AP935" s="232"/>
      <c r="AQ935" s="232"/>
      <c r="AR935" s="232"/>
      <c r="AS935" s="232"/>
      <c r="AT935" s="232"/>
      <c r="AU935" s="232"/>
      <c r="AV935" s="232"/>
      <c r="AW935" s="232"/>
      <c r="AX935" s="232"/>
      <c r="AY935" s="232"/>
      <c r="AZ935" s="232"/>
      <c r="BA935" s="232"/>
      <c r="BB935" s="232"/>
      <c r="BC935" s="232"/>
      <c r="BD935" s="232"/>
      <c r="BE935" s="232"/>
      <c r="BF935" s="232"/>
      <c r="BG935" s="232"/>
      <c r="BH935" s="232"/>
      <c r="BI935" s="232"/>
      <c r="BJ935" s="232"/>
      <c r="BK935" s="232"/>
      <c r="BL935" s="232"/>
      <c r="BM935" s="232"/>
      <c r="BN935" s="232"/>
      <c r="BO935" s="232"/>
      <c r="BP935" s="232"/>
      <c r="BQ935" s="232"/>
      <c r="BR935" s="232"/>
      <c r="BS935" s="232"/>
      <c r="BT935" s="232"/>
      <c r="BU935" s="232"/>
      <c r="BV935" s="232"/>
      <c r="BW935" s="232"/>
      <c r="BX935" s="232"/>
      <c r="BY935" s="232"/>
      <c r="BZ935" s="232"/>
      <c r="CA935" s="232"/>
      <c r="CB935" s="232"/>
      <c r="CC935" s="232"/>
      <c r="CD935" s="232"/>
      <c r="CE935" s="232"/>
      <c r="CF935" s="232"/>
      <c r="CG935" s="232"/>
      <c r="CH935" s="232"/>
      <c r="CI935" s="232"/>
      <c r="CJ935" s="232"/>
      <c r="CK935" s="232"/>
      <c r="CL935" s="232"/>
      <c r="CM935" s="232"/>
      <c r="CN935" s="215"/>
      <c r="CO935" s="215"/>
      <c r="CP935" s="215"/>
      <c r="CQ935" s="215"/>
      <c r="CR935" s="215"/>
      <c r="CS935" s="215"/>
      <c r="CT935" s="215"/>
    </row>
    <row r="936" ht="24.0" customHeight="1">
      <c r="A936" s="287"/>
      <c r="B936" s="287"/>
      <c r="C936" s="287"/>
      <c r="D936" s="232"/>
      <c r="E936" s="232"/>
      <c r="F936" s="232"/>
      <c r="G936" s="232"/>
      <c r="H936" s="232"/>
      <c r="I936" s="232"/>
      <c r="J936" s="232"/>
      <c r="K936" s="232"/>
      <c r="L936" s="232"/>
      <c r="M936" s="232"/>
      <c r="N936" s="289"/>
      <c r="O936" s="232"/>
      <c r="P936" s="232"/>
      <c r="Q936" s="232"/>
      <c r="R936" s="232"/>
      <c r="S936" s="232"/>
      <c r="T936" s="232"/>
      <c r="U936" s="232"/>
      <c r="V936" s="232"/>
      <c r="W936" s="232"/>
      <c r="X936" s="232"/>
      <c r="Y936" s="232"/>
      <c r="Z936" s="232"/>
      <c r="AA936" s="232"/>
      <c r="AB936" s="232"/>
      <c r="AC936" s="232"/>
      <c r="AD936" s="232"/>
      <c r="AE936" s="232"/>
      <c r="AF936" s="232"/>
      <c r="AG936" s="232"/>
      <c r="AH936" s="232"/>
      <c r="AI936" s="232"/>
      <c r="AJ936" s="232"/>
      <c r="AK936" s="232"/>
      <c r="AL936" s="232"/>
      <c r="AM936" s="232"/>
      <c r="AN936" s="232"/>
      <c r="AO936" s="232"/>
      <c r="AP936" s="232"/>
      <c r="AQ936" s="232"/>
      <c r="AR936" s="232"/>
      <c r="AS936" s="232"/>
      <c r="AT936" s="232"/>
      <c r="AU936" s="232"/>
      <c r="AV936" s="232"/>
      <c r="AW936" s="232"/>
      <c r="AX936" s="232"/>
      <c r="AY936" s="232"/>
      <c r="AZ936" s="232"/>
      <c r="BA936" s="232"/>
      <c r="BB936" s="232"/>
      <c r="BC936" s="232"/>
      <c r="BD936" s="232"/>
      <c r="BE936" s="232"/>
      <c r="BF936" s="232"/>
      <c r="BG936" s="232"/>
      <c r="BH936" s="232"/>
      <c r="BI936" s="232"/>
      <c r="BJ936" s="232"/>
      <c r="BK936" s="232"/>
      <c r="BL936" s="232"/>
      <c r="BM936" s="232"/>
      <c r="BN936" s="232"/>
      <c r="BO936" s="232"/>
      <c r="BP936" s="232"/>
      <c r="BQ936" s="232"/>
      <c r="BR936" s="232"/>
      <c r="BS936" s="232"/>
      <c r="BT936" s="232"/>
      <c r="BU936" s="232"/>
      <c r="BV936" s="232"/>
      <c r="BW936" s="232"/>
      <c r="BX936" s="232"/>
      <c r="BY936" s="232"/>
      <c r="BZ936" s="232"/>
      <c r="CA936" s="232"/>
      <c r="CB936" s="232"/>
      <c r="CC936" s="232"/>
      <c r="CD936" s="232"/>
      <c r="CE936" s="232"/>
      <c r="CF936" s="232"/>
      <c r="CG936" s="232"/>
      <c r="CH936" s="232"/>
      <c r="CI936" s="232"/>
      <c r="CJ936" s="232"/>
      <c r="CK936" s="232"/>
      <c r="CL936" s="232"/>
      <c r="CM936" s="232"/>
      <c r="CN936" s="215"/>
      <c r="CO936" s="215"/>
      <c r="CP936" s="215"/>
      <c r="CQ936" s="215"/>
      <c r="CR936" s="215"/>
      <c r="CS936" s="215"/>
      <c r="CT936" s="215"/>
    </row>
    <row r="937" ht="24.0" customHeight="1">
      <c r="A937" s="287"/>
      <c r="B937" s="287"/>
      <c r="C937" s="287"/>
      <c r="D937" s="232"/>
      <c r="E937" s="232"/>
      <c r="F937" s="232"/>
      <c r="G937" s="232"/>
      <c r="H937" s="232"/>
      <c r="I937" s="232"/>
      <c r="J937" s="232"/>
      <c r="K937" s="232"/>
      <c r="L937" s="232"/>
      <c r="M937" s="232"/>
      <c r="N937" s="289"/>
      <c r="O937" s="232"/>
      <c r="P937" s="232"/>
      <c r="Q937" s="232"/>
      <c r="R937" s="232"/>
      <c r="S937" s="232"/>
      <c r="T937" s="232"/>
      <c r="U937" s="232"/>
      <c r="V937" s="232"/>
      <c r="W937" s="232"/>
      <c r="X937" s="232"/>
      <c r="Y937" s="232"/>
      <c r="Z937" s="232"/>
      <c r="AA937" s="232"/>
      <c r="AB937" s="232"/>
      <c r="AC937" s="232"/>
      <c r="AD937" s="232"/>
      <c r="AE937" s="232"/>
      <c r="AF937" s="232"/>
      <c r="AG937" s="232"/>
      <c r="AH937" s="232"/>
      <c r="AI937" s="232"/>
      <c r="AJ937" s="232"/>
      <c r="AK937" s="232"/>
      <c r="AL937" s="232"/>
      <c r="AM937" s="232"/>
      <c r="AN937" s="232"/>
      <c r="AO937" s="232"/>
      <c r="AP937" s="232"/>
      <c r="AQ937" s="232"/>
      <c r="AR937" s="232"/>
      <c r="AS937" s="232"/>
      <c r="AT937" s="232"/>
      <c r="AU937" s="232"/>
      <c r="AV937" s="232"/>
      <c r="AW937" s="232"/>
      <c r="AX937" s="232"/>
      <c r="AY937" s="232"/>
      <c r="AZ937" s="232"/>
      <c r="BA937" s="232"/>
      <c r="BB937" s="232"/>
      <c r="BC937" s="232"/>
      <c r="BD937" s="232"/>
      <c r="BE937" s="232"/>
      <c r="BF937" s="232"/>
      <c r="BG937" s="232"/>
      <c r="BH937" s="232"/>
      <c r="BI937" s="232"/>
      <c r="BJ937" s="232"/>
      <c r="BK937" s="232"/>
      <c r="BL937" s="232"/>
      <c r="BM937" s="232"/>
      <c r="BN937" s="232"/>
      <c r="BO937" s="232"/>
      <c r="BP937" s="232"/>
      <c r="BQ937" s="232"/>
      <c r="BR937" s="232"/>
      <c r="BS937" s="232"/>
      <c r="BT937" s="232"/>
      <c r="BU937" s="232"/>
      <c r="BV937" s="232"/>
      <c r="BW937" s="232"/>
      <c r="BX937" s="232"/>
      <c r="BY937" s="232"/>
      <c r="BZ937" s="232"/>
      <c r="CA937" s="232"/>
      <c r="CB937" s="232"/>
      <c r="CC937" s="232"/>
      <c r="CD937" s="232"/>
      <c r="CE937" s="232"/>
      <c r="CF937" s="232"/>
      <c r="CG937" s="232"/>
      <c r="CH937" s="232"/>
      <c r="CI937" s="232"/>
      <c r="CJ937" s="232"/>
      <c r="CK937" s="232"/>
      <c r="CL937" s="232"/>
      <c r="CM937" s="232"/>
      <c r="CN937" s="215"/>
      <c r="CO937" s="215"/>
      <c r="CP937" s="215"/>
      <c r="CQ937" s="215"/>
      <c r="CR937" s="215"/>
      <c r="CS937" s="215"/>
      <c r="CT937" s="215"/>
    </row>
    <row r="938" ht="24.0" customHeight="1">
      <c r="A938" s="287"/>
      <c r="B938" s="287"/>
      <c r="C938" s="287"/>
      <c r="D938" s="232"/>
      <c r="E938" s="232"/>
      <c r="F938" s="232"/>
      <c r="G938" s="232"/>
      <c r="H938" s="232"/>
      <c r="I938" s="232"/>
      <c r="J938" s="232"/>
      <c r="K938" s="232"/>
      <c r="L938" s="232"/>
      <c r="M938" s="232"/>
      <c r="N938" s="289"/>
      <c r="O938" s="232"/>
      <c r="P938" s="232"/>
      <c r="Q938" s="232"/>
      <c r="R938" s="232"/>
      <c r="S938" s="232"/>
      <c r="T938" s="232"/>
      <c r="U938" s="232"/>
      <c r="V938" s="232"/>
      <c r="W938" s="232"/>
      <c r="X938" s="232"/>
      <c r="Y938" s="232"/>
      <c r="Z938" s="232"/>
      <c r="AA938" s="232"/>
      <c r="AB938" s="232"/>
      <c r="AC938" s="232"/>
      <c r="AD938" s="232"/>
      <c r="AE938" s="232"/>
      <c r="AF938" s="232"/>
      <c r="AG938" s="232"/>
      <c r="AH938" s="232"/>
      <c r="AI938" s="232"/>
      <c r="AJ938" s="232"/>
      <c r="AK938" s="232"/>
      <c r="AL938" s="232"/>
      <c r="AM938" s="232"/>
      <c r="AN938" s="232"/>
      <c r="AO938" s="232"/>
      <c r="AP938" s="232"/>
      <c r="AQ938" s="232"/>
      <c r="AR938" s="232"/>
      <c r="AS938" s="232"/>
      <c r="AT938" s="232"/>
      <c r="AU938" s="232"/>
      <c r="AV938" s="232"/>
      <c r="AW938" s="232"/>
      <c r="AX938" s="232"/>
      <c r="AY938" s="232"/>
      <c r="AZ938" s="232"/>
      <c r="BA938" s="232"/>
      <c r="BB938" s="232"/>
      <c r="BC938" s="232"/>
      <c r="BD938" s="232"/>
      <c r="BE938" s="232"/>
      <c r="BF938" s="232"/>
      <c r="BG938" s="232"/>
      <c r="BH938" s="232"/>
      <c r="BI938" s="232"/>
      <c r="BJ938" s="232"/>
      <c r="BK938" s="232"/>
      <c r="BL938" s="232"/>
      <c r="BM938" s="232"/>
      <c r="BN938" s="232"/>
      <c r="BO938" s="232"/>
      <c r="BP938" s="232"/>
      <c r="BQ938" s="232"/>
      <c r="BR938" s="232"/>
      <c r="BS938" s="232"/>
      <c r="BT938" s="232"/>
      <c r="BU938" s="232"/>
      <c r="BV938" s="232"/>
      <c r="BW938" s="232"/>
      <c r="BX938" s="232"/>
      <c r="BY938" s="232"/>
      <c r="BZ938" s="232"/>
      <c r="CA938" s="232"/>
      <c r="CB938" s="232"/>
      <c r="CC938" s="232"/>
      <c r="CD938" s="232"/>
      <c r="CE938" s="232"/>
      <c r="CF938" s="232"/>
      <c r="CG938" s="232"/>
      <c r="CH938" s="232"/>
      <c r="CI938" s="232"/>
      <c r="CJ938" s="232"/>
      <c r="CK938" s="232"/>
      <c r="CL938" s="232"/>
      <c r="CM938" s="232"/>
      <c r="CN938" s="215"/>
      <c r="CO938" s="215"/>
      <c r="CP938" s="215"/>
      <c r="CQ938" s="215"/>
      <c r="CR938" s="215"/>
      <c r="CS938" s="215"/>
      <c r="CT938" s="215"/>
    </row>
    <row r="939" ht="24.0" customHeight="1">
      <c r="A939" s="287"/>
      <c r="B939" s="287"/>
      <c r="C939" s="287"/>
      <c r="D939" s="232"/>
      <c r="E939" s="232"/>
      <c r="F939" s="232"/>
      <c r="G939" s="232"/>
      <c r="H939" s="232"/>
      <c r="I939" s="232"/>
      <c r="J939" s="232"/>
      <c r="K939" s="232"/>
      <c r="L939" s="232"/>
      <c r="M939" s="232"/>
      <c r="N939" s="289"/>
      <c r="O939" s="232"/>
      <c r="P939" s="232"/>
      <c r="Q939" s="232"/>
      <c r="R939" s="232"/>
      <c r="S939" s="232"/>
      <c r="T939" s="232"/>
      <c r="U939" s="232"/>
      <c r="V939" s="232"/>
      <c r="W939" s="232"/>
      <c r="X939" s="232"/>
      <c r="Y939" s="232"/>
      <c r="Z939" s="232"/>
      <c r="AA939" s="232"/>
      <c r="AB939" s="232"/>
      <c r="AC939" s="232"/>
      <c r="AD939" s="232"/>
      <c r="AE939" s="232"/>
      <c r="AF939" s="232"/>
      <c r="AG939" s="232"/>
      <c r="AH939" s="232"/>
      <c r="AI939" s="232"/>
      <c r="AJ939" s="232"/>
      <c r="AK939" s="232"/>
      <c r="AL939" s="232"/>
      <c r="AM939" s="232"/>
      <c r="AN939" s="232"/>
      <c r="AO939" s="232"/>
      <c r="AP939" s="232"/>
      <c r="AQ939" s="232"/>
      <c r="AR939" s="232"/>
      <c r="AS939" s="232"/>
      <c r="AT939" s="232"/>
      <c r="AU939" s="232"/>
      <c r="AV939" s="232"/>
      <c r="AW939" s="232"/>
      <c r="AX939" s="232"/>
      <c r="AY939" s="232"/>
      <c r="AZ939" s="232"/>
      <c r="BA939" s="232"/>
      <c r="BB939" s="232"/>
      <c r="BC939" s="232"/>
      <c r="BD939" s="232"/>
      <c r="BE939" s="232"/>
      <c r="BF939" s="232"/>
      <c r="BG939" s="232"/>
      <c r="BH939" s="232"/>
      <c r="BI939" s="232"/>
      <c r="BJ939" s="232"/>
      <c r="BK939" s="232"/>
      <c r="BL939" s="232"/>
      <c r="BM939" s="232"/>
      <c r="BN939" s="232"/>
      <c r="BO939" s="232"/>
      <c r="BP939" s="232"/>
      <c r="BQ939" s="232"/>
      <c r="BR939" s="232"/>
      <c r="BS939" s="232"/>
      <c r="BT939" s="232"/>
      <c r="BU939" s="232"/>
      <c r="BV939" s="232"/>
      <c r="BW939" s="232"/>
      <c r="BX939" s="232"/>
      <c r="BY939" s="232"/>
      <c r="BZ939" s="232"/>
      <c r="CA939" s="232"/>
      <c r="CB939" s="232"/>
      <c r="CC939" s="232"/>
      <c r="CD939" s="232"/>
      <c r="CE939" s="232"/>
      <c r="CF939" s="232"/>
      <c r="CG939" s="232"/>
      <c r="CH939" s="232"/>
      <c r="CI939" s="232"/>
      <c r="CJ939" s="232"/>
      <c r="CK939" s="232"/>
      <c r="CL939" s="232"/>
      <c r="CM939" s="232"/>
      <c r="CN939" s="215"/>
      <c r="CO939" s="215"/>
      <c r="CP939" s="215"/>
      <c r="CQ939" s="215"/>
      <c r="CR939" s="215"/>
      <c r="CS939" s="215"/>
      <c r="CT939" s="215"/>
    </row>
    <row r="940" ht="24.0" customHeight="1">
      <c r="A940" s="287"/>
      <c r="B940" s="287"/>
      <c r="C940" s="287"/>
      <c r="D940" s="232"/>
      <c r="E940" s="232"/>
      <c r="F940" s="232"/>
      <c r="G940" s="232"/>
      <c r="H940" s="232"/>
      <c r="I940" s="232"/>
      <c r="J940" s="232"/>
      <c r="K940" s="232"/>
      <c r="L940" s="232"/>
      <c r="M940" s="232"/>
      <c r="N940" s="289"/>
      <c r="O940" s="232"/>
      <c r="P940" s="232"/>
      <c r="Q940" s="232"/>
      <c r="R940" s="232"/>
      <c r="S940" s="232"/>
      <c r="T940" s="232"/>
      <c r="U940" s="232"/>
      <c r="V940" s="232"/>
      <c r="W940" s="232"/>
      <c r="X940" s="232"/>
      <c r="Y940" s="232"/>
      <c r="Z940" s="232"/>
      <c r="AA940" s="232"/>
      <c r="AB940" s="232"/>
      <c r="AC940" s="232"/>
      <c r="AD940" s="232"/>
      <c r="AE940" s="232"/>
      <c r="AF940" s="232"/>
      <c r="AG940" s="232"/>
      <c r="AH940" s="232"/>
      <c r="AI940" s="232"/>
      <c r="AJ940" s="232"/>
      <c r="AK940" s="232"/>
      <c r="AL940" s="232"/>
      <c r="AM940" s="232"/>
      <c r="AN940" s="232"/>
      <c r="AO940" s="232"/>
      <c r="AP940" s="232"/>
      <c r="AQ940" s="232"/>
      <c r="AR940" s="232"/>
      <c r="AS940" s="232"/>
      <c r="AT940" s="232"/>
      <c r="AU940" s="232"/>
      <c r="AV940" s="232"/>
      <c r="AW940" s="232"/>
      <c r="AX940" s="232"/>
      <c r="AY940" s="232"/>
      <c r="AZ940" s="232"/>
      <c r="BA940" s="232"/>
      <c r="BB940" s="232"/>
      <c r="BC940" s="232"/>
      <c r="BD940" s="232"/>
      <c r="BE940" s="232"/>
      <c r="BF940" s="232"/>
      <c r="BG940" s="232"/>
      <c r="BH940" s="232"/>
      <c r="BI940" s="232"/>
      <c r="BJ940" s="232"/>
      <c r="BK940" s="232"/>
      <c r="BL940" s="232"/>
      <c r="BM940" s="232"/>
      <c r="BN940" s="232"/>
      <c r="BO940" s="232"/>
      <c r="BP940" s="232"/>
      <c r="BQ940" s="232"/>
      <c r="BR940" s="232"/>
      <c r="BS940" s="232"/>
      <c r="BT940" s="232"/>
      <c r="BU940" s="232"/>
      <c r="BV940" s="232"/>
      <c r="BW940" s="232"/>
      <c r="BX940" s="232"/>
      <c r="BY940" s="232"/>
      <c r="BZ940" s="232"/>
      <c r="CA940" s="232"/>
      <c r="CB940" s="232"/>
      <c r="CC940" s="232"/>
      <c r="CD940" s="232"/>
      <c r="CE940" s="232"/>
      <c r="CF940" s="232"/>
      <c r="CG940" s="232"/>
      <c r="CH940" s="232"/>
      <c r="CI940" s="232"/>
      <c r="CJ940" s="232"/>
      <c r="CK940" s="232"/>
      <c r="CL940" s="232"/>
      <c r="CM940" s="232"/>
      <c r="CN940" s="215"/>
      <c r="CO940" s="215"/>
      <c r="CP940" s="215"/>
      <c r="CQ940" s="215"/>
      <c r="CR940" s="215"/>
      <c r="CS940" s="215"/>
      <c r="CT940" s="215"/>
    </row>
    <row r="941" ht="24.0" customHeight="1">
      <c r="A941" s="287"/>
      <c r="B941" s="287"/>
      <c r="C941" s="287"/>
      <c r="D941" s="232"/>
      <c r="E941" s="232"/>
      <c r="F941" s="232"/>
      <c r="G941" s="232"/>
      <c r="H941" s="232"/>
      <c r="I941" s="232"/>
      <c r="J941" s="232"/>
      <c r="K941" s="232"/>
      <c r="L941" s="232"/>
      <c r="M941" s="232"/>
      <c r="N941" s="289"/>
      <c r="O941" s="232"/>
      <c r="P941" s="232"/>
      <c r="Q941" s="232"/>
      <c r="R941" s="232"/>
      <c r="S941" s="232"/>
      <c r="T941" s="232"/>
      <c r="U941" s="232"/>
      <c r="V941" s="232"/>
      <c r="W941" s="232"/>
      <c r="X941" s="232"/>
      <c r="Y941" s="232"/>
      <c r="Z941" s="232"/>
      <c r="AA941" s="232"/>
      <c r="AB941" s="232"/>
      <c r="AC941" s="232"/>
      <c r="AD941" s="232"/>
      <c r="AE941" s="232"/>
      <c r="AF941" s="232"/>
      <c r="AG941" s="232"/>
      <c r="AH941" s="232"/>
      <c r="AI941" s="232"/>
      <c r="AJ941" s="232"/>
      <c r="AK941" s="232"/>
      <c r="AL941" s="232"/>
      <c r="AM941" s="232"/>
      <c r="AN941" s="232"/>
      <c r="AO941" s="232"/>
      <c r="AP941" s="232"/>
      <c r="AQ941" s="232"/>
      <c r="AR941" s="232"/>
      <c r="AS941" s="232"/>
      <c r="AT941" s="232"/>
      <c r="AU941" s="232"/>
      <c r="AV941" s="232"/>
      <c r="AW941" s="232"/>
      <c r="AX941" s="232"/>
      <c r="AY941" s="232"/>
      <c r="AZ941" s="232"/>
      <c r="BA941" s="232"/>
      <c r="BB941" s="232"/>
      <c r="BC941" s="232"/>
      <c r="BD941" s="232"/>
      <c r="BE941" s="232"/>
      <c r="BF941" s="232"/>
      <c r="BG941" s="232"/>
      <c r="BH941" s="232"/>
      <c r="BI941" s="232"/>
      <c r="BJ941" s="232"/>
      <c r="BK941" s="232"/>
      <c r="BL941" s="232"/>
      <c r="BM941" s="232"/>
      <c r="BN941" s="232"/>
      <c r="BO941" s="232"/>
      <c r="BP941" s="232"/>
      <c r="BQ941" s="232"/>
      <c r="BR941" s="232"/>
      <c r="BS941" s="232"/>
      <c r="BT941" s="232"/>
      <c r="BU941" s="232"/>
      <c r="BV941" s="232"/>
      <c r="BW941" s="232"/>
      <c r="BX941" s="232"/>
      <c r="BY941" s="232"/>
      <c r="BZ941" s="232"/>
      <c r="CA941" s="232"/>
      <c r="CB941" s="232"/>
      <c r="CC941" s="232"/>
      <c r="CD941" s="232"/>
      <c r="CE941" s="232"/>
      <c r="CF941" s="232"/>
      <c r="CG941" s="232"/>
      <c r="CH941" s="232"/>
      <c r="CI941" s="232"/>
      <c r="CJ941" s="232"/>
      <c r="CK941" s="232"/>
      <c r="CL941" s="232"/>
      <c r="CM941" s="232"/>
      <c r="CN941" s="215"/>
      <c r="CO941" s="215"/>
      <c r="CP941" s="215"/>
      <c r="CQ941" s="215"/>
      <c r="CR941" s="215"/>
      <c r="CS941" s="215"/>
      <c r="CT941" s="215"/>
    </row>
    <row r="942" ht="24.0" customHeight="1">
      <c r="A942" s="287"/>
      <c r="B942" s="287"/>
      <c r="C942" s="287"/>
      <c r="D942" s="232"/>
      <c r="E942" s="232"/>
      <c r="F942" s="232"/>
      <c r="G942" s="232"/>
      <c r="H942" s="232"/>
      <c r="I942" s="232"/>
      <c r="J942" s="232"/>
      <c r="K942" s="232"/>
      <c r="L942" s="232"/>
      <c r="M942" s="232"/>
      <c r="N942" s="289"/>
      <c r="O942" s="232"/>
      <c r="P942" s="232"/>
      <c r="Q942" s="232"/>
      <c r="R942" s="232"/>
      <c r="S942" s="232"/>
      <c r="T942" s="232"/>
      <c r="U942" s="232"/>
      <c r="V942" s="232"/>
      <c r="W942" s="232"/>
      <c r="X942" s="232"/>
      <c r="Y942" s="232"/>
      <c r="Z942" s="232"/>
      <c r="AA942" s="232"/>
      <c r="AB942" s="232"/>
      <c r="AC942" s="232"/>
      <c r="AD942" s="232"/>
      <c r="AE942" s="232"/>
      <c r="AF942" s="232"/>
      <c r="AG942" s="232"/>
      <c r="AH942" s="232"/>
      <c r="AI942" s="232"/>
      <c r="AJ942" s="232"/>
      <c r="AK942" s="232"/>
      <c r="AL942" s="232"/>
      <c r="AM942" s="232"/>
      <c r="AN942" s="232"/>
      <c r="AO942" s="232"/>
      <c r="AP942" s="232"/>
      <c r="AQ942" s="232"/>
      <c r="AR942" s="232"/>
      <c r="AS942" s="232"/>
      <c r="AT942" s="232"/>
      <c r="AU942" s="232"/>
      <c r="AV942" s="232"/>
      <c r="AW942" s="232"/>
      <c r="AX942" s="232"/>
      <c r="AY942" s="232"/>
      <c r="AZ942" s="232"/>
      <c r="BA942" s="232"/>
      <c r="BB942" s="232"/>
      <c r="BC942" s="232"/>
      <c r="BD942" s="232"/>
      <c r="BE942" s="232"/>
      <c r="BF942" s="232"/>
      <c r="BG942" s="232"/>
      <c r="BH942" s="232"/>
      <c r="BI942" s="232"/>
      <c r="BJ942" s="232"/>
      <c r="BK942" s="232"/>
      <c r="BL942" s="232"/>
      <c r="BM942" s="232"/>
      <c r="BN942" s="232"/>
      <c r="BO942" s="232"/>
      <c r="BP942" s="232"/>
      <c r="BQ942" s="232"/>
      <c r="BR942" s="232"/>
      <c r="BS942" s="232"/>
      <c r="BT942" s="232"/>
      <c r="BU942" s="232"/>
      <c r="BV942" s="232"/>
      <c r="BW942" s="232"/>
      <c r="BX942" s="232"/>
      <c r="BY942" s="232"/>
      <c r="BZ942" s="232"/>
      <c r="CA942" s="232"/>
      <c r="CB942" s="232"/>
      <c r="CC942" s="232"/>
      <c r="CD942" s="232"/>
      <c r="CE942" s="232"/>
      <c r="CF942" s="232"/>
      <c r="CG942" s="232"/>
      <c r="CH942" s="232"/>
      <c r="CI942" s="232"/>
      <c r="CJ942" s="232"/>
      <c r="CK942" s="232"/>
      <c r="CL942" s="232"/>
      <c r="CM942" s="232"/>
      <c r="CN942" s="215"/>
      <c r="CO942" s="215"/>
      <c r="CP942" s="215"/>
      <c r="CQ942" s="215"/>
      <c r="CR942" s="215"/>
      <c r="CS942" s="215"/>
      <c r="CT942" s="215"/>
    </row>
    <row r="943" ht="24.0" customHeight="1">
      <c r="A943" s="287"/>
      <c r="B943" s="287"/>
      <c r="C943" s="287"/>
      <c r="D943" s="232"/>
      <c r="E943" s="232"/>
      <c r="F943" s="232"/>
      <c r="G943" s="232"/>
      <c r="H943" s="232"/>
      <c r="I943" s="232"/>
      <c r="J943" s="232"/>
      <c r="K943" s="232"/>
      <c r="L943" s="232"/>
      <c r="M943" s="232"/>
      <c r="N943" s="289"/>
      <c r="O943" s="232"/>
      <c r="P943" s="232"/>
      <c r="Q943" s="232"/>
      <c r="R943" s="232"/>
      <c r="S943" s="232"/>
      <c r="T943" s="232"/>
      <c r="U943" s="232"/>
      <c r="V943" s="232"/>
      <c r="W943" s="232"/>
      <c r="X943" s="232"/>
      <c r="Y943" s="232"/>
      <c r="Z943" s="232"/>
      <c r="AA943" s="232"/>
      <c r="AB943" s="232"/>
      <c r="AC943" s="232"/>
      <c r="AD943" s="232"/>
      <c r="AE943" s="232"/>
      <c r="AF943" s="232"/>
      <c r="AG943" s="232"/>
      <c r="AH943" s="232"/>
      <c r="AI943" s="232"/>
      <c r="AJ943" s="232"/>
      <c r="AK943" s="232"/>
      <c r="AL943" s="232"/>
      <c r="AM943" s="232"/>
      <c r="AN943" s="232"/>
      <c r="AO943" s="232"/>
      <c r="AP943" s="232"/>
      <c r="AQ943" s="232"/>
      <c r="AR943" s="232"/>
      <c r="AS943" s="232"/>
      <c r="AT943" s="232"/>
      <c r="AU943" s="232"/>
      <c r="AV943" s="232"/>
      <c r="AW943" s="232"/>
      <c r="AX943" s="232"/>
      <c r="AY943" s="232"/>
      <c r="AZ943" s="232"/>
      <c r="BA943" s="232"/>
      <c r="BB943" s="232"/>
      <c r="BC943" s="232"/>
      <c r="BD943" s="232"/>
      <c r="BE943" s="232"/>
      <c r="BF943" s="232"/>
      <c r="BG943" s="232"/>
      <c r="BH943" s="232"/>
      <c r="BI943" s="232"/>
      <c r="BJ943" s="232"/>
      <c r="BK943" s="232"/>
      <c r="BL943" s="232"/>
      <c r="BM943" s="232"/>
      <c r="BN943" s="232"/>
      <c r="BO943" s="232"/>
      <c r="BP943" s="232"/>
      <c r="BQ943" s="232"/>
      <c r="BR943" s="232"/>
      <c r="BS943" s="232"/>
      <c r="BT943" s="232"/>
      <c r="BU943" s="232"/>
      <c r="BV943" s="232"/>
      <c r="BW943" s="232"/>
      <c r="BX943" s="232"/>
      <c r="BY943" s="232"/>
      <c r="BZ943" s="232"/>
      <c r="CA943" s="232"/>
      <c r="CB943" s="232"/>
      <c r="CC943" s="232"/>
      <c r="CD943" s="232"/>
      <c r="CE943" s="232"/>
      <c r="CF943" s="232"/>
      <c r="CG943" s="232"/>
      <c r="CH943" s="232"/>
      <c r="CI943" s="232"/>
      <c r="CJ943" s="232"/>
      <c r="CK943" s="232"/>
      <c r="CL943" s="232"/>
      <c r="CM943" s="232"/>
      <c r="CN943" s="215"/>
      <c r="CO943" s="215"/>
      <c r="CP943" s="215"/>
      <c r="CQ943" s="215"/>
      <c r="CR943" s="215"/>
      <c r="CS943" s="215"/>
      <c r="CT943" s="215"/>
    </row>
    <row r="944" ht="24.0" customHeight="1">
      <c r="A944" s="287"/>
      <c r="B944" s="287"/>
      <c r="C944" s="287"/>
      <c r="D944" s="232"/>
      <c r="E944" s="232"/>
      <c r="F944" s="232"/>
      <c r="G944" s="232"/>
      <c r="H944" s="232"/>
      <c r="I944" s="232"/>
      <c r="J944" s="232"/>
      <c r="K944" s="232"/>
      <c r="L944" s="232"/>
      <c r="M944" s="232"/>
      <c r="N944" s="289"/>
      <c r="O944" s="232"/>
      <c r="P944" s="232"/>
      <c r="Q944" s="232"/>
      <c r="R944" s="232"/>
      <c r="S944" s="232"/>
      <c r="T944" s="232"/>
      <c r="U944" s="232"/>
      <c r="V944" s="232"/>
      <c r="W944" s="232"/>
      <c r="X944" s="232"/>
      <c r="Y944" s="232"/>
      <c r="Z944" s="232"/>
      <c r="AA944" s="232"/>
      <c r="AB944" s="232"/>
      <c r="AC944" s="232"/>
      <c r="AD944" s="232"/>
      <c r="AE944" s="232"/>
      <c r="AF944" s="232"/>
      <c r="AG944" s="232"/>
      <c r="AH944" s="232"/>
      <c r="AI944" s="232"/>
      <c r="AJ944" s="232"/>
      <c r="AK944" s="232"/>
      <c r="AL944" s="232"/>
      <c r="AM944" s="232"/>
      <c r="AN944" s="232"/>
      <c r="AO944" s="232"/>
      <c r="AP944" s="232"/>
      <c r="AQ944" s="232"/>
      <c r="AR944" s="232"/>
      <c r="AS944" s="232"/>
      <c r="AT944" s="232"/>
      <c r="AU944" s="232"/>
      <c r="AV944" s="232"/>
      <c r="AW944" s="232"/>
      <c r="AX944" s="232"/>
      <c r="AY944" s="232"/>
      <c r="AZ944" s="232"/>
      <c r="BA944" s="232"/>
      <c r="BB944" s="232"/>
      <c r="BC944" s="232"/>
      <c r="BD944" s="232"/>
      <c r="BE944" s="232"/>
      <c r="BF944" s="232"/>
      <c r="BG944" s="232"/>
      <c r="BH944" s="232"/>
      <c r="BI944" s="232"/>
      <c r="BJ944" s="232"/>
      <c r="BK944" s="232"/>
      <c r="BL944" s="232"/>
      <c r="BM944" s="232"/>
      <c r="BN944" s="232"/>
      <c r="BO944" s="232"/>
      <c r="BP944" s="232"/>
      <c r="BQ944" s="232"/>
      <c r="BR944" s="232"/>
      <c r="BS944" s="232"/>
      <c r="BT944" s="232"/>
      <c r="BU944" s="232"/>
      <c r="BV944" s="232"/>
      <c r="BW944" s="232"/>
      <c r="BX944" s="232"/>
      <c r="BY944" s="232"/>
      <c r="BZ944" s="232"/>
      <c r="CA944" s="232"/>
      <c r="CB944" s="232"/>
      <c r="CC944" s="232"/>
      <c r="CD944" s="232"/>
      <c r="CE944" s="232"/>
      <c r="CF944" s="232"/>
      <c r="CG944" s="232"/>
      <c r="CH944" s="232"/>
      <c r="CI944" s="232"/>
      <c r="CJ944" s="232"/>
      <c r="CK944" s="232"/>
      <c r="CL944" s="232"/>
      <c r="CM944" s="232"/>
      <c r="CN944" s="215"/>
      <c r="CO944" s="215"/>
      <c r="CP944" s="215"/>
      <c r="CQ944" s="215"/>
      <c r="CR944" s="215"/>
      <c r="CS944" s="215"/>
      <c r="CT944" s="215"/>
    </row>
    <row r="945" ht="24.0" customHeight="1">
      <c r="A945" s="287"/>
      <c r="B945" s="287"/>
      <c r="C945" s="287"/>
      <c r="D945" s="232"/>
      <c r="E945" s="232"/>
      <c r="F945" s="232"/>
      <c r="G945" s="232"/>
      <c r="H945" s="232"/>
      <c r="I945" s="232"/>
      <c r="J945" s="232"/>
      <c r="K945" s="232"/>
      <c r="L945" s="232"/>
      <c r="M945" s="232"/>
      <c r="N945" s="289"/>
      <c r="O945" s="232"/>
      <c r="P945" s="232"/>
      <c r="Q945" s="232"/>
      <c r="R945" s="232"/>
      <c r="S945" s="232"/>
      <c r="T945" s="232"/>
      <c r="U945" s="232"/>
      <c r="V945" s="232"/>
      <c r="W945" s="232"/>
      <c r="X945" s="232"/>
      <c r="Y945" s="232"/>
      <c r="Z945" s="232"/>
      <c r="AA945" s="232"/>
      <c r="AB945" s="232"/>
      <c r="AC945" s="232"/>
      <c r="AD945" s="232"/>
      <c r="AE945" s="232"/>
      <c r="AF945" s="232"/>
      <c r="AG945" s="232"/>
      <c r="AH945" s="232"/>
      <c r="AI945" s="232"/>
      <c r="AJ945" s="232"/>
      <c r="AK945" s="232"/>
      <c r="AL945" s="232"/>
      <c r="AM945" s="232"/>
      <c r="AN945" s="232"/>
      <c r="AO945" s="232"/>
      <c r="AP945" s="232"/>
      <c r="AQ945" s="232"/>
      <c r="AR945" s="232"/>
      <c r="AS945" s="232"/>
      <c r="AT945" s="232"/>
      <c r="AU945" s="232"/>
      <c r="AV945" s="232"/>
      <c r="AW945" s="232"/>
      <c r="AX945" s="232"/>
      <c r="AY945" s="232"/>
      <c r="AZ945" s="232"/>
      <c r="BA945" s="232"/>
      <c r="BB945" s="232"/>
      <c r="BC945" s="232"/>
      <c r="BD945" s="232"/>
      <c r="BE945" s="232"/>
      <c r="BF945" s="232"/>
      <c r="BG945" s="232"/>
      <c r="BH945" s="232"/>
      <c r="BI945" s="232"/>
      <c r="BJ945" s="232"/>
      <c r="BK945" s="232"/>
      <c r="BL945" s="232"/>
      <c r="BM945" s="232"/>
      <c r="BN945" s="232"/>
      <c r="BO945" s="232"/>
      <c r="BP945" s="232"/>
      <c r="BQ945" s="232"/>
      <c r="BR945" s="232"/>
      <c r="BS945" s="232"/>
      <c r="BT945" s="232"/>
      <c r="BU945" s="232"/>
      <c r="BV945" s="232"/>
      <c r="BW945" s="232"/>
      <c r="BX945" s="232"/>
      <c r="BY945" s="232"/>
      <c r="BZ945" s="232"/>
      <c r="CA945" s="232"/>
      <c r="CB945" s="232"/>
      <c r="CC945" s="232"/>
      <c r="CD945" s="232"/>
      <c r="CE945" s="232"/>
      <c r="CF945" s="232"/>
      <c r="CG945" s="232"/>
      <c r="CH945" s="232"/>
      <c r="CI945" s="232"/>
      <c r="CJ945" s="232"/>
      <c r="CK945" s="232"/>
      <c r="CL945" s="232"/>
      <c r="CM945" s="232"/>
      <c r="CN945" s="215"/>
      <c r="CO945" s="215"/>
      <c r="CP945" s="215"/>
      <c r="CQ945" s="215"/>
      <c r="CR945" s="215"/>
      <c r="CS945" s="215"/>
      <c r="CT945" s="215"/>
    </row>
    <row r="946" ht="24.0" customHeight="1">
      <c r="A946" s="287"/>
      <c r="B946" s="287"/>
      <c r="C946" s="287"/>
      <c r="D946" s="232"/>
      <c r="E946" s="232"/>
      <c r="F946" s="232"/>
      <c r="G946" s="232"/>
      <c r="H946" s="232"/>
      <c r="I946" s="232"/>
      <c r="J946" s="232"/>
      <c r="K946" s="232"/>
      <c r="L946" s="232"/>
      <c r="M946" s="232"/>
      <c r="N946" s="289"/>
      <c r="O946" s="232"/>
      <c r="P946" s="232"/>
      <c r="Q946" s="232"/>
      <c r="R946" s="232"/>
      <c r="S946" s="232"/>
      <c r="T946" s="232"/>
      <c r="U946" s="232"/>
      <c r="V946" s="232"/>
      <c r="W946" s="232"/>
      <c r="X946" s="232"/>
      <c r="Y946" s="232"/>
      <c r="Z946" s="232"/>
      <c r="AA946" s="232"/>
      <c r="AB946" s="232"/>
      <c r="AC946" s="232"/>
      <c r="AD946" s="232"/>
      <c r="AE946" s="232"/>
      <c r="AF946" s="232"/>
      <c r="AG946" s="232"/>
      <c r="AH946" s="232"/>
      <c r="AI946" s="232"/>
      <c r="AJ946" s="232"/>
      <c r="AK946" s="232"/>
      <c r="AL946" s="232"/>
      <c r="AM946" s="232"/>
      <c r="AN946" s="232"/>
      <c r="AO946" s="232"/>
      <c r="AP946" s="232"/>
      <c r="AQ946" s="232"/>
      <c r="AR946" s="232"/>
      <c r="AS946" s="232"/>
      <c r="AT946" s="232"/>
      <c r="AU946" s="232"/>
      <c r="AV946" s="232"/>
      <c r="AW946" s="232"/>
      <c r="AX946" s="232"/>
      <c r="AY946" s="232"/>
      <c r="AZ946" s="232"/>
      <c r="BA946" s="232"/>
      <c r="BB946" s="232"/>
      <c r="BC946" s="232"/>
      <c r="BD946" s="232"/>
      <c r="BE946" s="232"/>
      <c r="BF946" s="232"/>
      <c r="BG946" s="232"/>
      <c r="BH946" s="232"/>
      <c r="BI946" s="232"/>
      <c r="BJ946" s="232"/>
      <c r="BK946" s="232"/>
      <c r="BL946" s="232"/>
      <c r="BM946" s="232"/>
      <c r="BN946" s="232"/>
      <c r="BO946" s="232"/>
      <c r="BP946" s="232"/>
      <c r="BQ946" s="232"/>
      <c r="BR946" s="232"/>
      <c r="BS946" s="232"/>
      <c r="BT946" s="232"/>
      <c r="BU946" s="232"/>
      <c r="BV946" s="232"/>
      <c r="BW946" s="232"/>
      <c r="BX946" s="232"/>
      <c r="BY946" s="232"/>
      <c r="BZ946" s="232"/>
      <c r="CA946" s="232"/>
      <c r="CB946" s="232"/>
      <c r="CC946" s="232"/>
      <c r="CD946" s="232"/>
      <c r="CE946" s="232"/>
      <c r="CF946" s="232"/>
      <c r="CG946" s="232"/>
      <c r="CH946" s="232"/>
      <c r="CI946" s="232"/>
      <c r="CJ946" s="232"/>
      <c r="CK946" s="232"/>
      <c r="CL946" s="232"/>
      <c r="CM946" s="232"/>
      <c r="CN946" s="215"/>
      <c r="CO946" s="215"/>
      <c r="CP946" s="215"/>
      <c r="CQ946" s="215"/>
      <c r="CR946" s="215"/>
      <c r="CS946" s="215"/>
      <c r="CT946" s="215"/>
    </row>
    <row r="947" ht="24.0" customHeight="1">
      <c r="A947" s="287"/>
      <c r="B947" s="287"/>
      <c r="C947" s="287"/>
      <c r="D947" s="232"/>
      <c r="E947" s="232"/>
      <c r="F947" s="232"/>
      <c r="G947" s="232"/>
      <c r="H947" s="232"/>
      <c r="I947" s="232"/>
      <c r="J947" s="232"/>
      <c r="K947" s="232"/>
      <c r="L947" s="232"/>
      <c r="M947" s="232"/>
      <c r="N947" s="289"/>
      <c r="O947" s="232"/>
      <c r="P947" s="232"/>
      <c r="Q947" s="232"/>
      <c r="R947" s="232"/>
      <c r="S947" s="232"/>
      <c r="T947" s="232"/>
      <c r="U947" s="232"/>
      <c r="V947" s="232"/>
      <c r="W947" s="232"/>
      <c r="X947" s="232"/>
      <c r="Y947" s="232"/>
      <c r="Z947" s="232"/>
      <c r="AA947" s="232"/>
      <c r="AB947" s="232"/>
      <c r="AC947" s="232"/>
      <c r="AD947" s="232"/>
      <c r="AE947" s="232"/>
      <c r="AF947" s="232"/>
      <c r="AG947" s="232"/>
      <c r="AH947" s="232"/>
      <c r="AI947" s="232"/>
      <c r="AJ947" s="232"/>
      <c r="AK947" s="232"/>
      <c r="AL947" s="232"/>
      <c r="AM947" s="232"/>
      <c r="AN947" s="232"/>
      <c r="AO947" s="232"/>
      <c r="AP947" s="232"/>
      <c r="AQ947" s="232"/>
      <c r="AR947" s="232"/>
      <c r="AS947" s="232"/>
      <c r="AT947" s="232"/>
      <c r="AU947" s="232"/>
      <c r="AV947" s="232"/>
      <c r="AW947" s="232"/>
      <c r="AX947" s="232"/>
      <c r="AY947" s="232"/>
      <c r="AZ947" s="232"/>
      <c r="BA947" s="232"/>
      <c r="BB947" s="232"/>
      <c r="BC947" s="232"/>
      <c r="BD947" s="232"/>
      <c r="BE947" s="232"/>
      <c r="BF947" s="232"/>
      <c r="BG947" s="232"/>
      <c r="BH947" s="232"/>
      <c r="BI947" s="232"/>
      <c r="BJ947" s="232"/>
      <c r="BK947" s="232"/>
      <c r="BL947" s="232"/>
      <c r="BM947" s="232"/>
      <c r="BN947" s="232"/>
      <c r="BO947" s="232"/>
      <c r="BP947" s="232"/>
      <c r="BQ947" s="232"/>
      <c r="BR947" s="232"/>
      <c r="BS947" s="232"/>
      <c r="BT947" s="232"/>
      <c r="BU947" s="232"/>
      <c r="BV947" s="232"/>
      <c r="BW947" s="232"/>
      <c r="BX947" s="232"/>
      <c r="BY947" s="232"/>
      <c r="BZ947" s="232"/>
      <c r="CA947" s="232"/>
      <c r="CB947" s="232"/>
      <c r="CC947" s="232"/>
      <c r="CD947" s="232"/>
      <c r="CE947" s="232"/>
      <c r="CF947" s="232"/>
      <c r="CG947" s="232"/>
      <c r="CH947" s="232"/>
      <c r="CI947" s="232"/>
      <c r="CJ947" s="232"/>
      <c r="CK947" s="232"/>
      <c r="CL947" s="232"/>
      <c r="CM947" s="232"/>
      <c r="CN947" s="215"/>
      <c r="CO947" s="215"/>
      <c r="CP947" s="215"/>
      <c r="CQ947" s="215"/>
      <c r="CR947" s="215"/>
      <c r="CS947" s="215"/>
      <c r="CT947" s="215"/>
    </row>
    <row r="948" ht="24.0" customHeight="1">
      <c r="A948" s="287"/>
      <c r="B948" s="287"/>
      <c r="C948" s="287"/>
      <c r="D948" s="232"/>
      <c r="E948" s="232"/>
      <c r="F948" s="232"/>
      <c r="G948" s="232"/>
      <c r="H948" s="232"/>
      <c r="I948" s="232"/>
      <c r="J948" s="232"/>
      <c r="K948" s="232"/>
      <c r="L948" s="232"/>
      <c r="M948" s="232"/>
      <c r="N948" s="289"/>
      <c r="O948" s="232"/>
      <c r="P948" s="232"/>
      <c r="Q948" s="232"/>
      <c r="R948" s="232"/>
      <c r="S948" s="232"/>
      <c r="T948" s="232"/>
      <c r="U948" s="232"/>
      <c r="V948" s="232"/>
      <c r="W948" s="232"/>
      <c r="X948" s="232"/>
      <c r="Y948" s="232"/>
      <c r="Z948" s="232"/>
      <c r="AA948" s="232"/>
      <c r="AB948" s="232"/>
      <c r="AC948" s="232"/>
      <c r="AD948" s="232"/>
      <c r="AE948" s="232"/>
      <c r="AF948" s="232"/>
      <c r="AG948" s="232"/>
      <c r="AH948" s="232"/>
      <c r="AI948" s="232"/>
      <c r="AJ948" s="232"/>
      <c r="AK948" s="232"/>
      <c r="AL948" s="232"/>
      <c r="AM948" s="232"/>
      <c r="AN948" s="232"/>
      <c r="AO948" s="232"/>
      <c r="AP948" s="232"/>
      <c r="AQ948" s="232"/>
      <c r="AR948" s="232"/>
      <c r="AS948" s="232"/>
      <c r="AT948" s="232"/>
      <c r="AU948" s="232"/>
      <c r="AV948" s="232"/>
      <c r="AW948" s="232"/>
      <c r="AX948" s="232"/>
      <c r="AY948" s="232"/>
      <c r="AZ948" s="232"/>
      <c r="BA948" s="232"/>
      <c r="BB948" s="232"/>
      <c r="BC948" s="232"/>
      <c r="BD948" s="232"/>
      <c r="BE948" s="232"/>
      <c r="BF948" s="232"/>
      <c r="BG948" s="232"/>
      <c r="BH948" s="232"/>
      <c r="BI948" s="232"/>
      <c r="BJ948" s="232"/>
      <c r="BK948" s="232"/>
      <c r="BL948" s="232"/>
      <c r="BM948" s="232"/>
      <c r="BN948" s="232"/>
      <c r="BO948" s="232"/>
      <c r="BP948" s="232"/>
      <c r="BQ948" s="232"/>
      <c r="BR948" s="232"/>
      <c r="BS948" s="232"/>
      <c r="BT948" s="232"/>
      <c r="BU948" s="232"/>
      <c r="BV948" s="232"/>
      <c r="BW948" s="232"/>
      <c r="BX948" s="232"/>
      <c r="BY948" s="232"/>
      <c r="BZ948" s="232"/>
      <c r="CA948" s="232"/>
      <c r="CB948" s="232"/>
      <c r="CC948" s="232"/>
      <c r="CD948" s="232"/>
      <c r="CE948" s="232"/>
      <c r="CF948" s="232"/>
      <c r="CG948" s="232"/>
      <c r="CH948" s="232"/>
      <c r="CI948" s="232"/>
      <c r="CJ948" s="232"/>
      <c r="CK948" s="232"/>
      <c r="CL948" s="232"/>
      <c r="CM948" s="232"/>
      <c r="CN948" s="215"/>
      <c r="CO948" s="215"/>
      <c r="CP948" s="215"/>
      <c r="CQ948" s="215"/>
      <c r="CR948" s="215"/>
      <c r="CS948" s="215"/>
      <c r="CT948" s="215"/>
    </row>
    <row r="949" ht="24.0" customHeight="1">
      <c r="A949" s="287"/>
      <c r="B949" s="287"/>
      <c r="C949" s="287"/>
      <c r="D949" s="232"/>
      <c r="E949" s="232"/>
      <c r="F949" s="232"/>
      <c r="G949" s="232"/>
      <c r="H949" s="232"/>
      <c r="I949" s="232"/>
      <c r="J949" s="232"/>
      <c r="K949" s="232"/>
      <c r="L949" s="232"/>
      <c r="M949" s="232"/>
      <c r="N949" s="289"/>
      <c r="O949" s="232"/>
      <c r="P949" s="232"/>
      <c r="Q949" s="232"/>
      <c r="R949" s="232"/>
      <c r="S949" s="232"/>
      <c r="T949" s="232"/>
      <c r="U949" s="232"/>
      <c r="V949" s="232"/>
      <c r="W949" s="232"/>
      <c r="X949" s="232"/>
      <c r="Y949" s="232"/>
      <c r="Z949" s="232"/>
      <c r="AA949" s="232"/>
      <c r="AB949" s="232"/>
      <c r="AC949" s="232"/>
      <c r="AD949" s="232"/>
      <c r="AE949" s="232"/>
      <c r="AF949" s="232"/>
      <c r="AG949" s="232"/>
      <c r="AH949" s="232"/>
      <c r="AI949" s="232"/>
      <c r="AJ949" s="232"/>
      <c r="AK949" s="232"/>
      <c r="AL949" s="232"/>
      <c r="AM949" s="232"/>
      <c r="AN949" s="232"/>
      <c r="AO949" s="232"/>
      <c r="AP949" s="232"/>
      <c r="AQ949" s="232"/>
      <c r="AR949" s="232"/>
      <c r="AS949" s="232"/>
      <c r="AT949" s="232"/>
      <c r="AU949" s="232"/>
      <c r="AV949" s="232"/>
      <c r="AW949" s="232"/>
      <c r="AX949" s="232"/>
      <c r="AY949" s="232"/>
      <c r="AZ949" s="232"/>
      <c r="BA949" s="232"/>
      <c r="BB949" s="232"/>
      <c r="BC949" s="232"/>
      <c r="BD949" s="232"/>
      <c r="BE949" s="232"/>
      <c r="BF949" s="232"/>
      <c r="BG949" s="232"/>
      <c r="BH949" s="232"/>
      <c r="BI949" s="232"/>
      <c r="BJ949" s="232"/>
      <c r="BK949" s="232"/>
      <c r="BL949" s="232"/>
      <c r="BM949" s="232"/>
      <c r="BN949" s="232"/>
      <c r="BO949" s="232"/>
      <c r="BP949" s="232"/>
      <c r="BQ949" s="232"/>
      <c r="BR949" s="232"/>
      <c r="BS949" s="232"/>
      <c r="BT949" s="232"/>
      <c r="BU949" s="232"/>
      <c r="BV949" s="232"/>
      <c r="BW949" s="232"/>
      <c r="BX949" s="232"/>
      <c r="BY949" s="232"/>
      <c r="BZ949" s="232"/>
      <c r="CA949" s="232"/>
      <c r="CB949" s="232"/>
      <c r="CC949" s="232"/>
      <c r="CD949" s="232"/>
      <c r="CE949" s="232"/>
      <c r="CF949" s="232"/>
      <c r="CG949" s="232"/>
      <c r="CH949" s="232"/>
      <c r="CI949" s="232"/>
      <c r="CJ949" s="232"/>
      <c r="CK949" s="232"/>
      <c r="CL949" s="232"/>
      <c r="CM949" s="232"/>
      <c r="CN949" s="215"/>
      <c r="CO949" s="215"/>
      <c r="CP949" s="215"/>
      <c r="CQ949" s="215"/>
      <c r="CR949" s="215"/>
      <c r="CS949" s="215"/>
      <c r="CT949" s="215"/>
    </row>
    <row r="950" ht="24.0" customHeight="1">
      <c r="A950" s="287"/>
      <c r="B950" s="287"/>
      <c r="C950" s="287"/>
      <c r="D950" s="232"/>
      <c r="E950" s="232"/>
      <c r="F950" s="232"/>
      <c r="G950" s="232"/>
      <c r="H950" s="232"/>
      <c r="I950" s="232"/>
      <c r="J950" s="232"/>
      <c r="K950" s="232"/>
      <c r="L950" s="232"/>
      <c r="M950" s="232"/>
      <c r="N950" s="289"/>
      <c r="O950" s="232"/>
      <c r="P950" s="232"/>
      <c r="Q950" s="232"/>
      <c r="R950" s="232"/>
      <c r="S950" s="232"/>
      <c r="T950" s="232"/>
      <c r="U950" s="232"/>
      <c r="V950" s="232"/>
      <c r="W950" s="232"/>
      <c r="X950" s="232"/>
      <c r="Y950" s="232"/>
      <c r="Z950" s="232"/>
      <c r="AA950" s="232"/>
      <c r="AB950" s="232"/>
      <c r="AC950" s="232"/>
      <c r="AD950" s="232"/>
      <c r="AE950" s="232"/>
      <c r="AF950" s="232"/>
      <c r="AG950" s="232"/>
      <c r="AH950" s="232"/>
      <c r="AI950" s="232"/>
      <c r="AJ950" s="232"/>
      <c r="AK950" s="232"/>
      <c r="AL950" s="232"/>
      <c r="AM950" s="232"/>
      <c r="AN950" s="232"/>
      <c r="AO950" s="232"/>
      <c r="AP950" s="232"/>
      <c r="AQ950" s="232"/>
      <c r="AR950" s="232"/>
      <c r="AS950" s="232"/>
      <c r="AT950" s="232"/>
      <c r="AU950" s="232"/>
      <c r="AV950" s="232"/>
      <c r="AW950" s="232"/>
      <c r="AX950" s="232"/>
      <c r="AY950" s="232"/>
      <c r="AZ950" s="232"/>
      <c r="BA950" s="232"/>
      <c r="BB950" s="232"/>
      <c r="BC950" s="232"/>
      <c r="BD950" s="232"/>
      <c r="BE950" s="232"/>
      <c r="BF950" s="232"/>
      <c r="BG950" s="232"/>
      <c r="BH950" s="232"/>
      <c r="BI950" s="232"/>
      <c r="BJ950" s="232"/>
      <c r="BK950" s="232"/>
      <c r="BL950" s="232"/>
      <c r="BM950" s="232"/>
      <c r="BN950" s="232"/>
      <c r="BO950" s="232"/>
      <c r="BP950" s="232"/>
      <c r="BQ950" s="232"/>
      <c r="BR950" s="232"/>
      <c r="BS950" s="232"/>
      <c r="BT950" s="232"/>
      <c r="BU950" s="232"/>
      <c r="BV950" s="232"/>
      <c r="BW950" s="232"/>
      <c r="BX950" s="232"/>
      <c r="BY950" s="232"/>
      <c r="BZ950" s="232"/>
      <c r="CA950" s="232"/>
      <c r="CB950" s="232"/>
      <c r="CC950" s="232"/>
      <c r="CD950" s="232"/>
      <c r="CE950" s="232"/>
      <c r="CF950" s="232"/>
      <c r="CG950" s="232"/>
      <c r="CH950" s="232"/>
      <c r="CI950" s="232"/>
      <c r="CJ950" s="232"/>
      <c r="CK950" s="232"/>
      <c r="CL950" s="232"/>
      <c r="CM950" s="232"/>
      <c r="CN950" s="215"/>
      <c r="CO950" s="215"/>
      <c r="CP950" s="215"/>
      <c r="CQ950" s="215"/>
      <c r="CR950" s="215"/>
      <c r="CS950" s="215"/>
      <c r="CT950" s="215"/>
    </row>
    <row r="951" ht="24.0" customHeight="1">
      <c r="A951" s="287"/>
      <c r="B951" s="287"/>
      <c r="C951" s="287"/>
      <c r="D951" s="232"/>
      <c r="E951" s="232"/>
      <c r="F951" s="232"/>
      <c r="G951" s="232"/>
      <c r="H951" s="232"/>
      <c r="I951" s="232"/>
      <c r="J951" s="232"/>
      <c r="K951" s="232"/>
      <c r="L951" s="232"/>
      <c r="M951" s="232"/>
      <c r="N951" s="289"/>
      <c r="O951" s="232"/>
      <c r="P951" s="232"/>
      <c r="Q951" s="232"/>
      <c r="R951" s="232"/>
      <c r="S951" s="232"/>
      <c r="T951" s="232"/>
      <c r="U951" s="232"/>
      <c r="V951" s="232"/>
      <c r="W951" s="232"/>
      <c r="X951" s="232"/>
      <c r="Y951" s="232"/>
      <c r="Z951" s="232"/>
      <c r="AA951" s="232"/>
      <c r="AB951" s="232"/>
      <c r="AC951" s="232"/>
      <c r="AD951" s="232"/>
      <c r="AE951" s="232"/>
      <c r="AF951" s="232"/>
      <c r="AG951" s="232"/>
      <c r="AH951" s="232"/>
      <c r="AI951" s="232"/>
      <c r="AJ951" s="232"/>
      <c r="AK951" s="232"/>
      <c r="AL951" s="232"/>
      <c r="AM951" s="232"/>
      <c r="AN951" s="232"/>
      <c r="AO951" s="232"/>
      <c r="AP951" s="232"/>
      <c r="AQ951" s="232"/>
      <c r="AR951" s="232"/>
      <c r="AS951" s="232"/>
      <c r="AT951" s="232"/>
      <c r="AU951" s="232"/>
      <c r="AV951" s="232"/>
      <c r="AW951" s="232"/>
      <c r="AX951" s="232"/>
      <c r="AY951" s="232"/>
      <c r="AZ951" s="232"/>
      <c r="BA951" s="232"/>
      <c r="BB951" s="232"/>
      <c r="BC951" s="232"/>
      <c r="BD951" s="232"/>
      <c r="BE951" s="232"/>
      <c r="BF951" s="232"/>
      <c r="BG951" s="232"/>
      <c r="BH951" s="232"/>
      <c r="BI951" s="232"/>
      <c r="BJ951" s="232"/>
      <c r="BK951" s="232"/>
      <c r="BL951" s="232"/>
      <c r="BM951" s="232"/>
      <c r="BN951" s="232"/>
      <c r="BO951" s="232"/>
      <c r="BP951" s="232"/>
      <c r="BQ951" s="232"/>
      <c r="BR951" s="232"/>
      <c r="BS951" s="232"/>
      <c r="BT951" s="232"/>
      <c r="BU951" s="232"/>
      <c r="BV951" s="232"/>
      <c r="BW951" s="232"/>
      <c r="BX951" s="232"/>
      <c r="BY951" s="232"/>
      <c r="BZ951" s="232"/>
      <c r="CA951" s="232"/>
      <c r="CB951" s="232"/>
      <c r="CC951" s="232"/>
      <c r="CD951" s="232"/>
      <c r="CE951" s="232"/>
      <c r="CF951" s="232"/>
      <c r="CG951" s="232"/>
      <c r="CH951" s="232"/>
      <c r="CI951" s="232"/>
      <c r="CJ951" s="232"/>
      <c r="CK951" s="232"/>
      <c r="CL951" s="232"/>
      <c r="CM951" s="232"/>
      <c r="CN951" s="215"/>
      <c r="CO951" s="215"/>
      <c r="CP951" s="215"/>
      <c r="CQ951" s="215"/>
      <c r="CR951" s="215"/>
      <c r="CS951" s="215"/>
      <c r="CT951" s="215"/>
    </row>
    <row r="952" ht="24.0" customHeight="1">
      <c r="A952" s="287"/>
      <c r="B952" s="287"/>
      <c r="C952" s="287"/>
      <c r="D952" s="232"/>
      <c r="E952" s="232"/>
      <c r="F952" s="232"/>
      <c r="G952" s="232"/>
      <c r="H952" s="232"/>
      <c r="I952" s="232"/>
      <c r="J952" s="232"/>
      <c r="K952" s="232"/>
      <c r="L952" s="232"/>
      <c r="M952" s="232"/>
      <c r="N952" s="289"/>
      <c r="O952" s="232"/>
      <c r="P952" s="232"/>
      <c r="Q952" s="232"/>
      <c r="R952" s="232"/>
      <c r="S952" s="232"/>
      <c r="T952" s="232"/>
      <c r="U952" s="232"/>
      <c r="V952" s="232"/>
      <c r="W952" s="232"/>
      <c r="X952" s="232"/>
      <c r="Y952" s="232"/>
      <c r="Z952" s="232"/>
      <c r="AA952" s="232"/>
      <c r="AB952" s="232"/>
      <c r="AC952" s="232"/>
      <c r="AD952" s="232"/>
      <c r="AE952" s="232"/>
      <c r="AF952" s="232"/>
      <c r="AG952" s="232"/>
      <c r="AH952" s="232"/>
      <c r="AI952" s="232"/>
      <c r="AJ952" s="232"/>
      <c r="AK952" s="232"/>
      <c r="AL952" s="232"/>
      <c r="AM952" s="232"/>
      <c r="AN952" s="232"/>
      <c r="AO952" s="232"/>
      <c r="AP952" s="232"/>
      <c r="AQ952" s="232"/>
      <c r="AR952" s="232"/>
      <c r="AS952" s="232"/>
      <c r="AT952" s="232"/>
      <c r="AU952" s="232"/>
      <c r="AV952" s="232"/>
      <c r="AW952" s="232"/>
      <c r="AX952" s="232"/>
      <c r="AY952" s="232"/>
      <c r="AZ952" s="232"/>
      <c r="BA952" s="232"/>
      <c r="BB952" s="232"/>
      <c r="BC952" s="232"/>
      <c r="BD952" s="232"/>
      <c r="BE952" s="232"/>
      <c r="BF952" s="232"/>
      <c r="BG952" s="232"/>
      <c r="BH952" s="232"/>
      <c r="BI952" s="232"/>
      <c r="BJ952" s="232"/>
      <c r="BK952" s="232"/>
      <c r="BL952" s="232"/>
      <c r="BM952" s="232"/>
      <c r="BN952" s="232"/>
      <c r="BO952" s="232"/>
      <c r="BP952" s="232"/>
      <c r="BQ952" s="232"/>
      <c r="BR952" s="232"/>
      <c r="BS952" s="232"/>
      <c r="BT952" s="232"/>
      <c r="BU952" s="232"/>
      <c r="BV952" s="232"/>
      <c r="BW952" s="232"/>
      <c r="BX952" s="232"/>
      <c r="BY952" s="232"/>
      <c r="BZ952" s="232"/>
      <c r="CA952" s="232"/>
      <c r="CB952" s="232"/>
      <c r="CC952" s="232"/>
      <c r="CD952" s="232"/>
      <c r="CE952" s="232"/>
      <c r="CF952" s="232"/>
      <c r="CG952" s="232"/>
      <c r="CH952" s="232"/>
      <c r="CI952" s="232"/>
      <c r="CJ952" s="232"/>
      <c r="CK952" s="232"/>
      <c r="CL952" s="232"/>
      <c r="CM952" s="232"/>
      <c r="CN952" s="215"/>
      <c r="CO952" s="215"/>
      <c r="CP952" s="215"/>
      <c r="CQ952" s="215"/>
      <c r="CR952" s="215"/>
      <c r="CS952" s="215"/>
      <c r="CT952" s="215"/>
    </row>
    <row r="953" ht="24.0" customHeight="1">
      <c r="A953" s="287"/>
      <c r="B953" s="287"/>
      <c r="C953" s="287"/>
      <c r="D953" s="232"/>
      <c r="E953" s="232"/>
      <c r="F953" s="232"/>
      <c r="G953" s="232"/>
      <c r="H953" s="232"/>
      <c r="I953" s="232"/>
      <c r="J953" s="232"/>
      <c r="K953" s="232"/>
      <c r="L953" s="232"/>
      <c r="M953" s="232"/>
      <c r="N953" s="289"/>
      <c r="O953" s="232"/>
      <c r="P953" s="232"/>
      <c r="Q953" s="232"/>
      <c r="R953" s="232"/>
      <c r="S953" s="232"/>
      <c r="T953" s="232"/>
      <c r="U953" s="232"/>
      <c r="V953" s="232"/>
      <c r="W953" s="232"/>
      <c r="X953" s="232"/>
      <c r="Y953" s="232"/>
      <c r="Z953" s="232"/>
      <c r="AA953" s="232"/>
      <c r="AB953" s="232"/>
      <c r="AC953" s="232"/>
      <c r="AD953" s="232"/>
      <c r="AE953" s="232"/>
      <c r="AF953" s="232"/>
      <c r="AG953" s="232"/>
      <c r="AH953" s="232"/>
      <c r="AI953" s="232"/>
      <c r="AJ953" s="232"/>
      <c r="AK953" s="232"/>
      <c r="AL953" s="232"/>
      <c r="AM953" s="232"/>
      <c r="AN953" s="232"/>
      <c r="AO953" s="232"/>
      <c r="AP953" s="232"/>
      <c r="AQ953" s="232"/>
      <c r="AR953" s="232"/>
      <c r="AS953" s="232"/>
      <c r="AT953" s="232"/>
      <c r="AU953" s="232"/>
      <c r="AV953" s="232"/>
      <c r="AW953" s="232"/>
      <c r="AX953" s="232"/>
      <c r="AY953" s="232"/>
      <c r="AZ953" s="232"/>
      <c r="BA953" s="232"/>
      <c r="BB953" s="232"/>
      <c r="BC953" s="232"/>
      <c r="BD953" s="232"/>
      <c r="BE953" s="232"/>
      <c r="BF953" s="232"/>
      <c r="BG953" s="232"/>
      <c r="BH953" s="232"/>
      <c r="BI953" s="232"/>
      <c r="BJ953" s="232"/>
      <c r="BK953" s="232"/>
      <c r="BL953" s="232"/>
      <c r="BM953" s="232"/>
      <c r="BN953" s="232"/>
      <c r="BO953" s="232"/>
      <c r="BP953" s="232"/>
      <c r="BQ953" s="232"/>
      <c r="BR953" s="232"/>
      <c r="BS953" s="232"/>
      <c r="BT953" s="232"/>
      <c r="BU953" s="232"/>
      <c r="BV953" s="232"/>
      <c r="BW953" s="232"/>
      <c r="BX953" s="232"/>
      <c r="BY953" s="232"/>
      <c r="BZ953" s="232"/>
      <c r="CA953" s="232"/>
      <c r="CB953" s="232"/>
      <c r="CC953" s="232"/>
      <c r="CD953" s="232"/>
      <c r="CE953" s="232"/>
      <c r="CF953" s="232"/>
      <c r="CG953" s="232"/>
      <c r="CH953" s="232"/>
      <c r="CI953" s="232"/>
      <c r="CJ953" s="232"/>
      <c r="CK953" s="232"/>
      <c r="CL953" s="232"/>
      <c r="CM953" s="232"/>
      <c r="CN953" s="215"/>
      <c r="CO953" s="215"/>
      <c r="CP953" s="215"/>
      <c r="CQ953" s="215"/>
      <c r="CR953" s="215"/>
      <c r="CS953" s="215"/>
      <c r="CT953" s="215"/>
    </row>
    <row r="954" ht="24.0" customHeight="1">
      <c r="A954" s="287"/>
      <c r="B954" s="287"/>
      <c r="C954" s="287"/>
      <c r="D954" s="232"/>
      <c r="E954" s="232"/>
      <c r="F954" s="232"/>
      <c r="G954" s="232"/>
      <c r="H954" s="232"/>
      <c r="I954" s="232"/>
      <c r="J954" s="232"/>
      <c r="K954" s="232"/>
      <c r="L954" s="232"/>
      <c r="M954" s="232"/>
      <c r="N954" s="289"/>
      <c r="O954" s="232"/>
      <c r="P954" s="232"/>
      <c r="Q954" s="232"/>
      <c r="R954" s="232"/>
      <c r="S954" s="232"/>
      <c r="T954" s="232"/>
      <c r="U954" s="232"/>
      <c r="V954" s="232"/>
      <c r="W954" s="232"/>
      <c r="X954" s="232"/>
      <c r="Y954" s="232"/>
      <c r="Z954" s="232"/>
      <c r="AA954" s="232"/>
      <c r="AB954" s="232"/>
      <c r="AC954" s="232"/>
      <c r="AD954" s="232"/>
      <c r="AE954" s="232"/>
      <c r="AF954" s="232"/>
      <c r="AG954" s="232"/>
      <c r="AH954" s="232"/>
      <c r="AI954" s="232"/>
      <c r="AJ954" s="232"/>
      <c r="AK954" s="232"/>
      <c r="AL954" s="232"/>
      <c r="AM954" s="232"/>
      <c r="AN954" s="232"/>
      <c r="AO954" s="232"/>
      <c r="AP954" s="232"/>
      <c r="AQ954" s="232"/>
      <c r="AR954" s="232"/>
      <c r="AS954" s="232"/>
      <c r="AT954" s="232"/>
      <c r="AU954" s="232"/>
      <c r="AV954" s="232"/>
      <c r="AW954" s="232"/>
      <c r="AX954" s="232"/>
      <c r="AY954" s="232"/>
      <c r="AZ954" s="232"/>
      <c r="BA954" s="232"/>
      <c r="BB954" s="232"/>
      <c r="BC954" s="232"/>
      <c r="BD954" s="232"/>
      <c r="BE954" s="232"/>
      <c r="BF954" s="232"/>
      <c r="BG954" s="232"/>
      <c r="BH954" s="232"/>
      <c r="BI954" s="232"/>
      <c r="BJ954" s="232"/>
      <c r="BK954" s="232"/>
      <c r="BL954" s="232"/>
      <c r="BM954" s="232"/>
      <c r="BN954" s="232"/>
      <c r="BO954" s="232"/>
      <c r="BP954" s="232"/>
      <c r="BQ954" s="232"/>
      <c r="BR954" s="232"/>
      <c r="BS954" s="232"/>
      <c r="BT954" s="232"/>
      <c r="BU954" s="232"/>
      <c r="BV954" s="232"/>
      <c r="BW954" s="232"/>
      <c r="BX954" s="232"/>
      <c r="BY954" s="232"/>
      <c r="BZ954" s="232"/>
      <c r="CA954" s="232"/>
      <c r="CB954" s="232"/>
      <c r="CC954" s="232"/>
      <c r="CD954" s="232"/>
      <c r="CE954" s="232"/>
      <c r="CF954" s="232"/>
      <c r="CG954" s="232"/>
      <c r="CH954" s="232"/>
      <c r="CI954" s="232"/>
      <c r="CJ954" s="232"/>
      <c r="CK954" s="232"/>
      <c r="CL954" s="232"/>
      <c r="CM954" s="232"/>
      <c r="CN954" s="215"/>
      <c r="CO954" s="215"/>
      <c r="CP954" s="215"/>
      <c r="CQ954" s="215"/>
      <c r="CR954" s="215"/>
      <c r="CS954" s="215"/>
      <c r="CT954" s="215"/>
    </row>
    <row r="955" ht="24.0" customHeight="1">
      <c r="A955" s="287"/>
      <c r="B955" s="287"/>
      <c r="C955" s="287"/>
      <c r="D955" s="232"/>
      <c r="E955" s="232"/>
      <c r="F955" s="232"/>
      <c r="G955" s="232"/>
      <c r="H955" s="232"/>
      <c r="I955" s="232"/>
      <c r="J955" s="232"/>
      <c r="K955" s="232"/>
      <c r="L955" s="232"/>
      <c r="M955" s="232"/>
      <c r="N955" s="289"/>
      <c r="O955" s="232"/>
      <c r="P955" s="232"/>
      <c r="Q955" s="232"/>
      <c r="R955" s="232"/>
      <c r="S955" s="232"/>
      <c r="T955" s="232"/>
      <c r="U955" s="232"/>
      <c r="V955" s="232"/>
      <c r="W955" s="232"/>
      <c r="X955" s="232"/>
      <c r="Y955" s="232"/>
      <c r="Z955" s="232"/>
      <c r="AA955" s="232"/>
      <c r="AB955" s="232"/>
      <c r="AC955" s="232"/>
      <c r="AD955" s="232"/>
      <c r="AE955" s="232"/>
      <c r="AF955" s="232"/>
      <c r="AG955" s="232"/>
      <c r="AH955" s="232"/>
      <c r="AI955" s="232"/>
      <c r="AJ955" s="232"/>
      <c r="AK955" s="232"/>
      <c r="AL955" s="232"/>
      <c r="AM955" s="232"/>
      <c r="AN955" s="232"/>
      <c r="AO955" s="232"/>
      <c r="AP955" s="232"/>
      <c r="AQ955" s="232"/>
      <c r="AR955" s="232"/>
      <c r="AS955" s="232"/>
      <c r="AT955" s="232"/>
      <c r="AU955" s="232"/>
      <c r="AV955" s="232"/>
      <c r="AW955" s="232"/>
      <c r="AX955" s="232"/>
      <c r="AY955" s="232"/>
      <c r="AZ955" s="232"/>
      <c r="BA955" s="232"/>
      <c r="BB955" s="232"/>
      <c r="BC955" s="232"/>
      <c r="BD955" s="232"/>
      <c r="BE955" s="232"/>
      <c r="BF955" s="232"/>
      <c r="BG955" s="232"/>
      <c r="BH955" s="232"/>
      <c r="BI955" s="232"/>
      <c r="BJ955" s="232"/>
      <c r="BK955" s="232"/>
      <c r="BL955" s="232"/>
      <c r="BM955" s="232"/>
      <c r="BN955" s="232"/>
      <c r="BO955" s="232"/>
      <c r="BP955" s="232"/>
      <c r="BQ955" s="232"/>
      <c r="BR955" s="232"/>
      <c r="BS955" s="232"/>
      <c r="BT955" s="232"/>
      <c r="BU955" s="232"/>
      <c r="BV955" s="232"/>
      <c r="BW955" s="232"/>
      <c r="BX955" s="232"/>
      <c r="BY955" s="232"/>
      <c r="BZ955" s="232"/>
      <c r="CA955" s="232"/>
      <c r="CB955" s="232"/>
      <c r="CC955" s="232"/>
      <c r="CD955" s="232"/>
      <c r="CE955" s="232"/>
      <c r="CF955" s="232"/>
      <c r="CG955" s="232"/>
      <c r="CH955" s="232"/>
      <c r="CI955" s="232"/>
      <c r="CJ955" s="232"/>
      <c r="CK955" s="232"/>
      <c r="CL955" s="232"/>
      <c r="CM955" s="232"/>
      <c r="CN955" s="215"/>
      <c r="CO955" s="215"/>
      <c r="CP955" s="215"/>
      <c r="CQ955" s="215"/>
      <c r="CR955" s="215"/>
      <c r="CS955" s="215"/>
      <c r="CT955" s="215"/>
    </row>
    <row r="956" ht="24.0" customHeight="1">
      <c r="A956" s="287"/>
      <c r="B956" s="287"/>
      <c r="C956" s="287"/>
      <c r="D956" s="232"/>
      <c r="E956" s="232"/>
      <c r="F956" s="232"/>
      <c r="G956" s="232"/>
      <c r="H956" s="232"/>
      <c r="I956" s="232"/>
      <c r="J956" s="232"/>
      <c r="K956" s="232"/>
      <c r="L956" s="232"/>
      <c r="M956" s="232"/>
      <c r="N956" s="289"/>
      <c r="O956" s="232"/>
      <c r="P956" s="232"/>
      <c r="Q956" s="232"/>
      <c r="R956" s="232"/>
      <c r="S956" s="232"/>
      <c r="T956" s="232"/>
      <c r="U956" s="232"/>
      <c r="V956" s="232"/>
      <c r="W956" s="232"/>
      <c r="X956" s="232"/>
      <c r="Y956" s="232"/>
      <c r="Z956" s="232"/>
      <c r="AA956" s="232"/>
      <c r="AB956" s="232"/>
      <c r="AC956" s="232"/>
      <c r="AD956" s="232"/>
      <c r="AE956" s="232"/>
      <c r="AF956" s="232"/>
      <c r="AG956" s="232"/>
      <c r="AH956" s="232"/>
      <c r="AI956" s="232"/>
      <c r="AJ956" s="232"/>
      <c r="AK956" s="232"/>
      <c r="AL956" s="232"/>
      <c r="AM956" s="232"/>
      <c r="AN956" s="232"/>
      <c r="AO956" s="232"/>
      <c r="AP956" s="232"/>
      <c r="AQ956" s="232"/>
      <c r="AR956" s="232"/>
      <c r="AS956" s="232"/>
      <c r="AT956" s="232"/>
      <c r="AU956" s="232"/>
      <c r="AV956" s="232"/>
      <c r="AW956" s="232"/>
      <c r="AX956" s="232"/>
      <c r="AY956" s="232"/>
      <c r="AZ956" s="232"/>
      <c r="BA956" s="232"/>
      <c r="BB956" s="232"/>
      <c r="BC956" s="232"/>
      <c r="BD956" s="232"/>
      <c r="BE956" s="232"/>
      <c r="BF956" s="232"/>
      <c r="BG956" s="232"/>
      <c r="BH956" s="232"/>
      <c r="BI956" s="232"/>
      <c r="BJ956" s="232"/>
      <c r="BK956" s="232"/>
      <c r="BL956" s="232"/>
      <c r="BM956" s="232"/>
      <c r="BN956" s="232"/>
      <c r="BO956" s="232"/>
      <c r="BP956" s="232"/>
      <c r="BQ956" s="232"/>
      <c r="BR956" s="232"/>
      <c r="BS956" s="232"/>
      <c r="BT956" s="232"/>
      <c r="BU956" s="232"/>
      <c r="BV956" s="232"/>
      <c r="BW956" s="232"/>
      <c r="BX956" s="232"/>
      <c r="BY956" s="232"/>
      <c r="BZ956" s="232"/>
      <c r="CA956" s="232"/>
      <c r="CB956" s="232"/>
      <c r="CC956" s="232"/>
      <c r="CD956" s="232"/>
      <c r="CE956" s="232"/>
      <c r="CF956" s="232"/>
      <c r="CG956" s="232"/>
      <c r="CH956" s="232"/>
      <c r="CI956" s="232"/>
      <c r="CJ956" s="232"/>
      <c r="CK956" s="232"/>
      <c r="CL956" s="232"/>
      <c r="CM956" s="232"/>
      <c r="CN956" s="215"/>
      <c r="CO956" s="215"/>
      <c r="CP956" s="215"/>
      <c r="CQ956" s="215"/>
      <c r="CR956" s="215"/>
      <c r="CS956" s="215"/>
      <c r="CT956" s="215"/>
    </row>
    <row r="957" ht="24.0" customHeight="1">
      <c r="A957" s="287"/>
      <c r="B957" s="287"/>
      <c r="C957" s="287"/>
      <c r="D957" s="232"/>
      <c r="E957" s="232"/>
      <c r="F957" s="232"/>
      <c r="G957" s="232"/>
      <c r="H957" s="232"/>
      <c r="I957" s="232"/>
      <c r="J957" s="232"/>
      <c r="K957" s="232"/>
      <c r="L957" s="232"/>
      <c r="M957" s="232"/>
      <c r="N957" s="289"/>
      <c r="O957" s="232"/>
      <c r="P957" s="232"/>
      <c r="Q957" s="232"/>
      <c r="R957" s="232"/>
      <c r="S957" s="232"/>
      <c r="T957" s="232"/>
      <c r="U957" s="232"/>
      <c r="V957" s="232"/>
      <c r="W957" s="232"/>
      <c r="X957" s="232"/>
      <c r="Y957" s="232"/>
      <c r="Z957" s="232"/>
      <c r="AA957" s="232"/>
      <c r="AB957" s="232"/>
      <c r="AC957" s="232"/>
      <c r="AD957" s="232"/>
      <c r="AE957" s="232"/>
      <c r="AF957" s="232"/>
      <c r="AG957" s="232"/>
      <c r="AH957" s="232"/>
      <c r="AI957" s="232"/>
      <c r="AJ957" s="232"/>
      <c r="AK957" s="232"/>
      <c r="AL957" s="232"/>
      <c r="AM957" s="232"/>
      <c r="AN957" s="232"/>
      <c r="AO957" s="232"/>
      <c r="AP957" s="232"/>
      <c r="AQ957" s="232"/>
      <c r="AR957" s="232"/>
      <c r="AS957" s="232"/>
      <c r="AT957" s="232"/>
      <c r="AU957" s="232"/>
      <c r="AV957" s="232"/>
      <c r="AW957" s="232"/>
      <c r="AX957" s="232"/>
      <c r="AY957" s="232"/>
      <c r="AZ957" s="232"/>
      <c r="BA957" s="232"/>
      <c r="BB957" s="232"/>
      <c r="BC957" s="232"/>
      <c r="BD957" s="232"/>
      <c r="BE957" s="232"/>
      <c r="BF957" s="232"/>
      <c r="BG957" s="232"/>
      <c r="BH957" s="232"/>
      <c r="BI957" s="232"/>
      <c r="BJ957" s="232"/>
      <c r="BK957" s="232"/>
      <c r="BL957" s="232"/>
      <c r="BM957" s="232"/>
      <c r="BN957" s="232"/>
      <c r="BO957" s="232"/>
      <c r="BP957" s="232"/>
      <c r="BQ957" s="232"/>
      <c r="BR957" s="232"/>
      <c r="BS957" s="232"/>
      <c r="BT957" s="232"/>
      <c r="BU957" s="232"/>
      <c r="BV957" s="232"/>
      <c r="BW957" s="232"/>
      <c r="BX957" s="232"/>
      <c r="BY957" s="232"/>
      <c r="BZ957" s="232"/>
      <c r="CA957" s="232"/>
      <c r="CB957" s="232"/>
      <c r="CC957" s="232"/>
      <c r="CD957" s="232"/>
      <c r="CE957" s="232"/>
      <c r="CF957" s="232"/>
      <c r="CG957" s="232"/>
      <c r="CH957" s="232"/>
      <c r="CI957" s="232"/>
      <c r="CJ957" s="232"/>
      <c r="CK957" s="232"/>
      <c r="CL957" s="232"/>
      <c r="CM957" s="232"/>
      <c r="CN957" s="215"/>
      <c r="CO957" s="215"/>
      <c r="CP957" s="215"/>
      <c r="CQ957" s="215"/>
      <c r="CR957" s="215"/>
      <c r="CS957" s="215"/>
      <c r="CT957" s="215"/>
    </row>
    <row r="958" ht="24.0" customHeight="1">
      <c r="A958" s="287"/>
      <c r="B958" s="287"/>
      <c r="C958" s="287"/>
      <c r="D958" s="232"/>
      <c r="E958" s="232"/>
      <c r="F958" s="232"/>
      <c r="G958" s="232"/>
      <c r="H958" s="232"/>
      <c r="I958" s="232"/>
      <c r="J958" s="232"/>
      <c r="K958" s="232"/>
      <c r="L958" s="232"/>
      <c r="M958" s="232"/>
      <c r="N958" s="289"/>
      <c r="O958" s="232"/>
      <c r="P958" s="232"/>
      <c r="Q958" s="232"/>
      <c r="R958" s="232"/>
      <c r="S958" s="232"/>
      <c r="T958" s="232"/>
      <c r="U958" s="232"/>
      <c r="V958" s="232"/>
      <c r="W958" s="232"/>
      <c r="X958" s="232"/>
      <c r="Y958" s="232"/>
      <c r="Z958" s="232"/>
      <c r="AA958" s="232"/>
      <c r="AB958" s="232"/>
      <c r="AC958" s="232"/>
      <c r="AD958" s="232"/>
      <c r="AE958" s="232"/>
      <c r="AF958" s="232"/>
      <c r="AG958" s="232"/>
      <c r="AH958" s="232"/>
      <c r="AI958" s="232"/>
      <c r="AJ958" s="232"/>
      <c r="AK958" s="232"/>
      <c r="AL958" s="232"/>
      <c r="AM958" s="232"/>
      <c r="AN958" s="232"/>
      <c r="AO958" s="232"/>
      <c r="AP958" s="232"/>
      <c r="AQ958" s="232"/>
      <c r="AR958" s="232"/>
      <c r="AS958" s="232"/>
      <c r="AT958" s="232"/>
      <c r="AU958" s="232"/>
      <c r="AV958" s="232"/>
      <c r="AW958" s="232"/>
      <c r="AX958" s="232"/>
      <c r="AY958" s="232"/>
      <c r="AZ958" s="232"/>
      <c r="BA958" s="232"/>
      <c r="BB958" s="232"/>
      <c r="BC958" s="232"/>
      <c r="BD958" s="232"/>
      <c r="BE958" s="232"/>
      <c r="BF958" s="232"/>
      <c r="BG958" s="232"/>
      <c r="BH958" s="232"/>
      <c r="BI958" s="232"/>
      <c r="BJ958" s="232"/>
      <c r="BK958" s="232"/>
      <c r="BL958" s="232"/>
      <c r="BM958" s="232"/>
      <c r="BN958" s="232"/>
      <c r="BO958" s="232"/>
      <c r="BP958" s="232"/>
      <c r="BQ958" s="232"/>
      <c r="BR958" s="232"/>
      <c r="BS958" s="232"/>
      <c r="BT958" s="232"/>
      <c r="BU958" s="232"/>
      <c r="BV958" s="232"/>
      <c r="BW958" s="232"/>
      <c r="BX958" s="232"/>
      <c r="BY958" s="232"/>
      <c r="BZ958" s="232"/>
      <c r="CA958" s="232"/>
      <c r="CB958" s="232"/>
      <c r="CC958" s="232"/>
      <c r="CD958" s="232"/>
      <c r="CE958" s="232"/>
      <c r="CF958" s="232"/>
      <c r="CG958" s="232"/>
      <c r="CH958" s="232"/>
      <c r="CI958" s="232"/>
      <c r="CJ958" s="232"/>
      <c r="CK958" s="232"/>
      <c r="CL958" s="232"/>
      <c r="CM958" s="232"/>
      <c r="CN958" s="215"/>
      <c r="CO958" s="215"/>
      <c r="CP958" s="215"/>
      <c r="CQ958" s="215"/>
      <c r="CR958" s="215"/>
      <c r="CS958" s="215"/>
      <c r="CT958" s="215"/>
    </row>
    <row r="959" ht="24.0" customHeight="1">
      <c r="A959" s="287"/>
      <c r="B959" s="287"/>
      <c r="C959" s="287"/>
      <c r="D959" s="232"/>
      <c r="E959" s="232"/>
      <c r="F959" s="232"/>
      <c r="G959" s="232"/>
      <c r="H959" s="232"/>
      <c r="I959" s="232"/>
      <c r="J959" s="232"/>
      <c r="K959" s="232"/>
      <c r="L959" s="232"/>
      <c r="M959" s="232"/>
      <c r="N959" s="289"/>
      <c r="O959" s="232"/>
      <c r="P959" s="232"/>
      <c r="Q959" s="232"/>
      <c r="R959" s="232"/>
      <c r="S959" s="232"/>
      <c r="T959" s="232"/>
      <c r="U959" s="232"/>
      <c r="V959" s="232"/>
      <c r="W959" s="232"/>
      <c r="X959" s="232"/>
      <c r="Y959" s="232"/>
      <c r="Z959" s="232"/>
      <c r="AA959" s="232"/>
      <c r="AB959" s="232"/>
      <c r="AC959" s="232"/>
      <c r="AD959" s="232"/>
      <c r="AE959" s="232"/>
      <c r="AF959" s="232"/>
      <c r="AG959" s="232"/>
      <c r="AH959" s="232"/>
      <c r="AI959" s="232"/>
      <c r="AJ959" s="232"/>
      <c r="AK959" s="232"/>
      <c r="AL959" s="232"/>
      <c r="AM959" s="232"/>
      <c r="AN959" s="232"/>
      <c r="AO959" s="232"/>
      <c r="AP959" s="232"/>
      <c r="AQ959" s="232"/>
      <c r="AR959" s="232"/>
      <c r="AS959" s="232"/>
      <c r="AT959" s="232"/>
      <c r="AU959" s="232"/>
      <c r="AV959" s="232"/>
      <c r="AW959" s="232"/>
      <c r="AX959" s="232"/>
      <c r="AY959" s="232"/>
      <c r="AZ959" s="232"/>
      <c r="BA959" s="232"/>
      <c r="BB959" s="232"/>
      <c r="BC959" s="232"/>
      <c r="BD959" s="232"/>
      <c r="BE959" s="232"/>
      <c r="BF959" s="232"/>
      <c r="BG959" s="232"/>
      <c r="BH959" s="232"/>
      <c r="BI959" s="232"/>
      <c r="BJ959" s="232"/>
      <c r="BK959" s="232"/>
      <c r="BL959" s="232"/>
      <c r="BM959" s="232"/>
      <c r="BN959" s="232"/>
      <c r="BO959" s="232"/>
      <c r="BP959" s="232"/>
      <c r="BQ959" s="232"/>
      <c r="BR959" s="232"/>
      <c r="BS959" s="232"/>
      <c r="BT959" s="232"/>
      <c r="BU959" s="232"/>
      <c r="BV959" s="232"/>
      <c r="BW959" s="232"/>
      <c r="BX959" s="232"/>
      <c r="BY959" s="232"/>
      <c r="BZ959" s="232"/>
      <c r="CA959" s="232"/>
      <c r="CB959" s="232"/>
      <c r="CC959" s="232"/>
      <c r="CD959" s="232"/>
      <c r="CE959" s="232"/>
      <c r="CF959" s="232"/>
      <c r="CG959" s="232"/>
      <c r="CH959" s="232"/>
      <c r="CI959" s="232"/>
      <c r="CJ959" s="232"/>
      <c r="CK959" s="232"/>
      <c r="CL959" s="232"/>
      <c r="CM959" s="232"/>
      <c r="CN959" s="215"/>
      <c r="CO959" s="215"/>
      <c r="CP959" s="215"/>
      <c r="CQ959" s="215"/>
      <c r="CR959" s="215"/>
      <c r="CS959" s="215"/>
      <c r="CT959" s="215"/>
    </row>
    <row r="960" ht="24.0" customHeight="1">
      <c r="A960" s="287"/>
      <c r="B960" s="287"/>
      <c r="C960" s="287"/>
      <c r="D960" s="232"/>
      <c r="E960" s="232"/>
      <c r="F960" s="232"/>
      <c r="G960" s="232"/>
      <c r="H960" s="232"/>
      <c r="I960" s="232"/>
      <c r="J960" s="232"/>
      <c r="K960" s="232"/>
      <c r="L960" s="232"/>
      <c r="M960" s="232"/>
      <c r="N960" s="289"/>
      <c r="O960" s="232"/>
      <c r="P960" s="232"/>
      <c r="Q960" s="232"/>
      <c r="R960" s="232"/>
      <c r="S960" s="232"/>
      <c r="T960" s="232"/>
      <c r="U960" s="232"/>
      <c r="V960" s="232"/>
      <c r="W960" s="232"/>
      <c r="X960" s="232"/>
      <c r="Y960" s="232"/>
      <c r="Z960" s="232"/>
      <c r="AA960" s="232"/>
      <c r="AB960" s="232"/>
      <c r="AC960" s="232"/>
      <c r="AD960" s="232"/>
      <c r="AE960" s="232"/>
      <c r="AF960" s="232"/>
      <c r="AG960" s="232"/>
      <c r="AH960" s="232"/>
      <c r="AI960" s="232"/>
      <c r="AJ960" s="232"/>
      <c r="AK960" s="232"/>
      <c r="AL960" s="232"/>
      <c r="AM960" s="232"/>
      <c r="AN960" s="232"/>
      <c r="AO960" s="232"/>
      <c r="AP960" s="232"/>
      <c r="AQ960" s="232"/>
      <c r="AR960" s="232"/>
      <c r="AS960" s="232"/>
      <c r="AT960" s="232"/>
      <c r="AU960" s="232"/>
      <c r="AV960" s="232"/>
      <c r="AW960" s="232"/>
      <c r="AX960" s="232"/>
      <c r="AY960" s="232"/>
      <c r="AZ960" s="232"/>
      <c r="BA960" s="232"/>
      <c r="BB960" s="232"/>
      <c r="BC960" s="232"/>
      <c r="BD960" s="232"/>
      <c r="BE960" s="232"/>
      <c r="BF960" s="232"/>
      <c r="BG960" s="232"/>
      <c r="BH960" s="232"/>
      <c r="BI960" s="232"/>
      <c r="BJ960" s="232"/>
      <c r="BK960" s="232"/>
      <c r="BL960" s="232"/>
      <c r="BM960" s="232"/>
      <c r="BN960" s="232"/>
      <c r="BO960" s="232"/>
      <c r="BP960" s="232"/>
      <c r="BQ960" s="232"/>
      <c r="BR960" s="232"/>
      <c r="BS960" s="232"/>
      <c r="BT960" s="232"/>
      <c r="BU960" s="232"/>
      <c r="BV960" s="232"/>
      <c r="BW960" s="232"/>
      <c r="BX960" s="232"/>
      <c r="BY960" s="232"/>
      <c r="BZ960" s="232"/>
      <c r="CA960" s="232"/>
      <c r="CB960" s="232"/>
      <c r="CC960" s="232"/>
      <c r="CD960" s="232"/>
      <c r="CE960" s="232"/>
      <c r="CF960" s="232"/>
      <c r="CG960" s="232"/>
      <c r="CH960" s="232"/>
      <c r="CI960" s="232"/>
      <c r="CJ960" s="232"/>
      <c r="CK960" s="232"/>
      <c r="CL960" s="232"/>
      <c r="CM960" s="232"/>
      <c r="CN960" s="215"/>
      <c r="CO960" s="215"/>
      <c r="CP960" s="215"/>
      <c r="CQ960" s="215"/>
      <c r="CR960" s="215"/>
      <c r="CS960" s="215"/>
      <c r="CT960" s="215"/>
    </row>
    <row r="961" ht="24.0" customHeight="1">
      <c r="A961" s="287"/>
      <c r="B961" s="287"/>
      <c r="C961" s="287"/>
      <c r="D961" s="232"/>
      <c r="E961" s="232"/>
      <c r="F961" s="232"/>
      <c r="G961" s="232"/>
      <c r="H961" s="232"/>
      <c r="I961" s="232"/>
      <c r="J961" s="232"/>
      <c r="K961" s="232"/>
      <c r="L961" s="232"/>
      <c r="M961" s="232"/>
      <c r="N961" s="289"/>
      <c r="O961" s="232"/>
      <c r="P961" s="232"/>
      <c r="Q961" s="232"/>
      <c r="R961" s="232"/>
      <c r="S961" s="232"/>
      <c r="T961" s="232"/>
      <c r="U961" s="232"/>
      <c r="V961" s="232"/>
      <c r="W961" s="232"/>
      <c r="X961" s="232"/>
      <c r="Y961" s="232"/>
      <c r="Z961" s="232"/>
      <c r="AA961" s="232"/>
      <c r="AB961" s="232"/>
      <c r="AC961" s="232"/>
      <c r="AD961" s="232"/>
      <c r="AE961" s="232"/>
      <c r="AF961" s="232"/>
      <c r="AG961" s="232"/>
      <c r="AH961" s="232"/>
      <c r="AI961" s="232"/>
      <c r="AJ961" s="232"/>
      <c r="AK961" s="232"/>
      <c r="AL961" s="232"/>
      <c r="AM961" s="232"/>
      <c r="AN961" s="232"/>
      <c r="AO961" s="232"/>
      <c r="AP961" s="232"/>
      <c r="AQ961" s="232"/>
      <c r="AR961" s="232"/>
      <c r="AS961" s="232"/>
      <c r="AT961" s="232"/>
      <c r="AU961" s="232"/>
      <c r="AV961" s="232"/>
      <c r="AW961" s="232"/>
      <c r="AX961" s="232"/>
      <c r="AY961" s="232"/>
      <c r="AZ961" s="232"/>
      <c r="BA961" s="232"/>
      <c r="BB961" s="232"/>
      <c r="BC961" s="232"/>
      <c r="BD961" s="232"/>
      <c r="BE961" s="232"/>
      <c r="BF961" s="232"/>
      <c r="BG961" s="232"/>
      <c r="BH961" s="232"/>
      <c r="BI961" s="232"/>
      <c r="BJ961" s="232"/>
      <c r="BK961" s="232"/>
      <c r="BL961" s="232"/>
      <c r="BM961" s="232"/>
      <c r="BN961" s="232"/>
      <c r="BO961" s="232"/>
      <c r="BP961" s="232"/>
      <c r="BQ961" s="232"/>
      <c r="BR961" s="232"/>
      <c r="BS961" s="232"/>
      <c r="BT961" s="232"/>
      <c r="BU961" s="232"/>
      <c r="BV961" s="232"/>
      <c r="BW961" s="232"/>
      <c r="BX961" s="232"/>
      <c r="BY961" s="232"/>
      <c r="BZ961" s="232"/>
      <c r="CA961" s="232"/>
      <c r="CB961" s="232"/>
      <c r="CC961" s="232"/>
      <c r="CD961" s="232"/>
      <c r="CE961" s="232"/>
      <c r="CF961" s="232"/>
      <c r="CG961" s="232"/>
      <c r="CH961" s="232"/>
      <c r="CI961" s="232"/>
      <c r="CJ961" s="232"/>
      <c r="CK961" s="232"/>
      <c r="CL961" s="232"/>
      <c r="CM961" s="232"/>
      <c r="CN961" s="215"/>
      <c r="CO961" s="215"/>
      <c r="CP961" s="215"/>
      <c r="CQ961" s="215"/>
      <c r="CR961" s="215"/>
      <c r="CS961" s="215"/>
      <c r="CT961" s="215"/>
    </row>
    <row r="962" ht="24.0" customHeight="1">
      <c r="A962" s="287"/>
      <c r="B962" s="287"/>
      <c r="C962" s="287"/>
      <c r="D962" s="232"/>
      <c r="E962" s="232"/>
      <c r="F962" s="232"/>
      <c r="G962" s="232"/>
      <c r="H962" s="232"/>
      <c r="I962" s="232"/>
      <c r="J962" s="232"/>
      <c r="K962" s="232"/>
      <c r="L962" s="232"/>
      <c r="M962" s="232"/>
      <c r="N962" s="289"/>
      <c r="O962" s="232"/>
      <c r="P962" s="232"/>
      <c r="Q962" s="232"/>
      <c r="R962" s="232"/>
      <c r="S962" s="232"/>
      <c r="T962" s="232"/>
      <c r="U962" s="232"/>
      <c r="V962" s="232"/>
      <c r="W962" s="232"/>
      <c r="X962" s="232"/>
      <c r="Y962" s="232"/>
      <c r="Z962" s="232"/>
      <c r="AA962" s="232"/>
      <c r="AB962" s="232"/>
      <c r="AC962" s="232"/>
      <c r="AD962" s="232"/>
      <c r="AE962" s="232"/>
      <c r="AF962" s="232"/>
      <c r="AG962" s="232"/>
      <c r="AH962" s="232"/>
      <c r="AI962" s="232"/>
      <c r="AJ962" s="232"/>
      <c r="AK962" s="232"/>
      <c r="AL962" s="232"/>
      <c r="AM962" s="232"/>
      <c r="AN962" s="232"/>
      <c r="AO962" s="232"/>
      <c r="AP962" s="232"/>
      <c r="AQ962" s="232"/>
      <c r="AR962" s="232"/>
      <c r="AS962" s="232"/>
      <c r="AT962" s="232"/>
      <c r="AU962" s="232"/>
      <c r="AV962" s="232"/>
      <c r="AW962" s="232"/>
      <c r="AX962" s="232"/>
      <c r="AY962" s="232"/>
      <c r="AZ962" s="232"/>
      <c r="BA962" s="232"/>
      <c r="BB962" s="232"/>
      <c r="BC962" s="232"/>
      <c r="BD962" s="232"/>
      <c r="BE962" s="232"/>
      <c r="BF962" s="232"/>
      <c r="BG962" s="232"/>
      <c r="BH962" s="232"/>
      <c r="BI962" s="232"/>
      <c r="BJ962" s="232"/>
      <c r="BK962" s="232"/>
      <c r="BL962" s="232"/>
      <c r="BM962" s="232"/>
      <c r="BN962" s="232"/>
      <c r="BO962" s="232"/>
      <c r="BP962" s="232"/>
      <c r="BQ962" s="232"/>
      <c r="BR962" s="232"/>
      <c r="BS962" s="232"/>
      <c r="BT962" s="232"/>
      <c r="BU962" s="232"/>
      <c r="BV962" s="232"/>
      <c r="BW962" s="232"/>
      <c r="BX962" s="232"/>
      <c r="BY962" s="232"/>
      <c r="BZ962" s="232"/>
      <c r="CA962" s="232"/>
      <c r="CB962" s="232"/>
      <c r="CC962" s="232"/>
      <c r="CD962" s="232"/>
      <c r="CE962" s="232"/>
      <c r="CF962" s="232"/>
      <c r="CG962" s="232"/>
      <c r="CH962" s="232"/>
      <c r="CI962" s="232"/>
      <c r="CJ962" s="232"/>
      <c r="CK962" s="232"/>
      <c r="CL962" s="232"/>
      <c r="CM962" s="232"/>
      <c r="CN962" s="215"/>
      <c r="CO962" s="215"/>
      <c r="CP962" s="215"/>
      <c r="CQ962" s="215"/>
      <c r="CR962" s="215"/>
      <c r="CS962" s="215"/>
      <c r="CT962" s="215"/>
    </row>
    <row r="963" ht="24.0" customHeight="1">
      <c r="A963" s="287"/>
      <c r="B963" s="287"/>
      <c r="C963" s="287"/>
      <c r="D963" s="232"/>
      <c r="E963" s="232"/>
      <c r="F963" s="232"/>
      <c r="G963" s="232"/>
      <c r="H963" s="232"/>
      <c r="I963" s="232"/>
      <c r="J963" s="232"/>
      <c r="K963" s="232"/>
      <c r="L963" s="232"/>
      <c r="M963" s="232"/>
      <c r="N963" s="289"/>
      <c r="O963" s="232"/>
      <c r="P963" s="232"/>
      <c r="Q963" s="232"/>
      <c r="R963" s="232"/>
      <c r="S963" s="232"/>
      <c r="T963" s="232"/>
      <c r="U963" s="232"/>
      <c r="V963" s="232"/>
      <c r="W963" s="232"/>
      <c r="X963" s="232"/>
      <c r="Y963" s="232"/>
      <c r="Z963" s="232"/>
      <c r="AA963" s="232"/>
      <c r="AB963" s="232"/>
      <c r="AC963" s="232"/>
      <c r="AD963" s="232"/>
      <c r="AE963" s="232"/>
      <c r="AF963" s="232"/>
      <c r="AG963" s="232"/>
      <c r="AH963" s="232"/>
      <c r="AI963" s="232"/>
      <c r="AJ963" s="232"/>
      <c r="AK963" s="232"/>
      <c r="AL963" s="232"/>
      <c r="AM963" s="232"/>
      <c r="AN963" s="232"/>
      <c r="AO963" s="232"/>
      <c r="AP963" s="232"/>
      <c r="AQ963" s="232"/>
      <c r="AR963" s="232"/>
      <c r="AS963" s="232"/>
      <c r="AT963" s="232"/>
      <c r="AU963" s="232"/>
      <c r="AV963" s="232"/>
      <c r="AW963" s="232"/>
      <c r="AX963" s="232"/>
      <c r="AY963" s="232"/>
      <c r="AZ963" s="232"/>
      <c r="BA963" s="232"/>
      <c r="BB963" s="232"/>
      <c r="BC963" s="232"/>
      <c r="BD963" s="232"/>
      <c r="BE963" s="232"/>
      <c r="BF963" s="232"/>
      <c r="BG963" s="232"/>
      <c r="BH963" s="232"/>
      <c r="BI963" s="232"/>
      <c r="BJ963" s="232"/>
      <c r="BK963" s="232"/>
      <c r="BL963" s="232"/>
      <c r="BM963" s="232"/>
      <c r="BN963" s="232"/>
      <c r="BO963" s="232"/>
      <c r="BP963" s="232"/>
      <c r="BQ963" s="232"/>
      <c r="BR963" s="232"/>
      <c r="BS963" s="232"/>
      <c r="BT963" s="232"/>
      <c r="BU963" s="232"/>
      <c r="BV963" s="232"/>
      <c r="BW963" s="232"/>
      <c r="BX963" s="232"/>
      <c r="BY963" s="232"/>
      <c r="BZ963" s="232"/>
      <c r="CA963" s="232"/>
      <c r="CB963" s="232"/>
      <c r="CC963" s="232"/>
      <c r="CD963" s="232"/>
      <c r="CE963" s="232"/>
      <c r="CF963" s="232"/>
      <c r="CG963" s="232"/>
      <c r="CH963" s="232"/>
      <c r="CI963" s="232"/>
      <c r="CJ963" s="232"/>
      <c r="CK963" s="232"/>
      <c r="CL963" s="232"/>
      <c r="CM963" s="232"/>
      <c r="CN963" s="215"/>
      <c r="CO963" s="215"/>
      <c r="CP963" s="215"/>
      <c r="CQ963" s="215"/>
      <c r="CR963" s="215"/>
      <c r="CS963" s="215"/>
      <c r="CT963" s="215"/>
    </row>
    <row r="964" ht="24.0" customHeight="1">
      <c r="A964" s="287"/>
      <c r="B964" s="287"/>
      <c r="C964" s="287"/>
      <c r="D964" s="232"/>
      <c r="E964" s="232"/>
      <c r="F964" s="232"/>
      <c r="G964" s="232"/>
      <c r="H964" s="232"/>
      <c r="I964" s="232"/>
      <c r="J964" s="232"/>
      <c r="K964" s="232"/>
      <c r="L964" s="232"/>
      <c r="M964" s="232"/>
      <c r="N964" s="289"/>
      <c r="O964" s="232"/>
      <c r="P964" s="232"/>
      <c r="Q964" s="232"/>
      <c r="R964" s="232"/>
      <c r="S964" s="232"/>
      <c r="T964" s="232"/>
      <c r="U964" s="232"/>
      <c r="V964" s="232"/>
      <c r="W964" s="232"/>
      <c r="X964" s="232"/>
      <c r="Y964" s="232"/>
      <c r="Z964" s="232"/>
      <c r="AA964" s="232"/>
      <c r="AB964" s="232"/>
      <c r="AC964" s="232"/>
      <c r="AD964" s="232"/>
      <c r="AE964" s="232"/>
      <c r="AF964" s="232"/>
      <c r="AG964" s="232"/>
      <c r="AH964" s="232"/>
      <c r="AI964" s="232"/>
      <c r="AJ964" s="232"/>
      <c r="AK964" s="232"/>
      <c r="AL964" s="232"/>
      <c r="AM964" s="232"/>
      <c r="AN964" s="232"/>
      <c r="AO964" s="232"/>
      <c r="AP964" s="232"/>
      <c r="AQ964" s="232"/>
      <c r="AR964" s="232"/>
      <c r="AS964" s="232"/>
      <c r="AT964" s="232"/>
      <c r="AU964" s="232"/>
      <c r="AV964" s="232"/>
      <c r="AW964" s="232"/>
      <c r="AX964" s="232"/>
      <c r="AY964" s="232"/>
      <c r="AZ964" s="232"/>
      <c r="BA964" s="232"/>
      <c r="BB964" s="232"/>
      <c r="BC964" s="232"/>
      <c r="BD964" s="232"/>
      <c r="BE964" s="232"/>
      <c r="BF964" s="232"/>
      <c r="BG964" s="232"/>
      <c r="BH964" s="232"/>
      <c r="BI964" s="232"/>
      <c r="BJ964" s="232"/>
      <c r="BK964" s="232"/>
      <c r="BL964" s="232"/>
      <c r="BM964" s="232"/>
      <c r="BN964" s="232"/>
      <c r="BO964" s="232"/>
      <c r="BP964" s="232"/>
      <c r="BQ964" s="232"/>
      <c r="BR964" s="232"/>
      <c r="BS964" s="232"/>
      <c r="BT964" s="232"/>
      <c r="BU964" s="232"/>
      <c r="BV964" s="232"/>
      <c r="BW964" s="232"/>
      <c r="BX964" s="232"/>
      <c r="BY964" s="232"/>
      <c r="BZ964" s="232"/>
      <c r="CA964" s="232"/>
      <c r="CB964" s="232"/>
      <c r="CC964" s="232"/>
      <c r="CD964" s="232"/>
      <c r="CE964" s="232"/>
      <c r="CF964" s="232"/>
      <c r="CG964" s="232"/>
      <c r="CH964" s="232"/>
      <c r="CI964" s="232"/>
      <c r="CJ964" s="232"/>
      <c r="CK964" s="232"/>
      <c r="CL964" s="232"/>
      <c r="CM964" s="232"/>
      <c r="CN964" s="215"/>
      <c r="CO964" s="215"/>
      <c r="CP964" s="215"/>
      <c r="CQ964" s="215"/>
      <c r="CR964" s="215"/>
      <c r="CS964" s="215"/>
      <c r="CT964" s="215"/>
    </row>
    <row r="965" ht="24.0" customHeight="1">
      <c r="A965" s="287"/>
      <c r="B965" s="287"/>
      <c r="C965" s="287"/>
      <c r="D965" s="232"/>
      <c r="E965" s="232"/>
      <c r="F965" s="232"/>
      <c r="G965" s="232"/>
      <c r="H965" s="232"/>
      <c r="I965" s="232"/>
      <c r="J965" s="232"/>
      <c r="K965" s="232"/>
      <c r="L965" s="232"/>
      <c r="M965" s="232"/>
      <c r="N965" s="289"/>
      <c r="O965" s="232"/>
      <c r="P965" s="232"/>
      <c r="Q965" s="232"/>
      <c r="R965" s="232"/>
      <c r="S965" s="232"/>
      <c r="T965" s="232"/>
      <c r="U965" s="232"/>
      <c r="V965" s="232"/>
      <c r="W965" s="232"/>
      <c r="X965" s="232"/>
      <c r="Y965" s="232"/>
      <c r="Z965" s="232"/>
      <c r="AA965" s="232"/>
      <c r="AB965" s="232"/>
      <c r="AC965" s="232"/>
      <c r="AD965" s="232"/>
      <c r="AE965" s="232"/>
      <c r="AF965" s="232"/>
      <c r="AG965" s="232"/>
      <c r="AH965" s="232"/>
      <c r="AI965" s="232"/>
      <c r="AJ965" s="232"/>
      <c r="AK965" s="232"/>
      <c r="AL965" s="232"/>
      <c r="AM965" s="232"/>
      <c r="AN965" s="232"/>
      <c r="AO965" s="232"/>
      <c r="AP965" s="232"/>
      <c r="AQ965" s="232"/>
      <c r="AR965" s="232"/>
      <c r="AS965" s="232"/>
      <c r="AT965" s="232"/>
      <c r="AU965" s="232"/>
      <c r="AV965" s="232"/>
      <c r="AW965" s="232"/>
      <c r="AX965" s="232"/>
      <c r="AY965" s="232"/>
      <c r="AZ965" s="232"/>
      <c r="BA965" s="232"/>
      <c r="BB965" s="232"/>
      <c r="BC965" s="232"/>
      <c r="BD965" s="232"/>
      <c r="BE965" s="232"/>
      <c r="BF965" s="232"/>
      <c r="BG965" s="232"/>
      <c r="BH965" s="232"/>
      <c r="BI965" s="232"/>
      <c r="BJ965" s="232"/>
      <c r="BK965" s="232"/>
      <c r="BL965" s="232"/>
      <c r="BM965" s="232"/>
      <c r="BN965" s="232"/>
      <c r="BO965" s="232"/>
      <c r="BP965" s="232"/>
      <c r="BQ965" s="232"/>
      <c r="BR965" s="232"/>
      <c r="BS965" s="232"/>
      <c r="BT965" s="232"/>
      <c r="BU965" s="232"/>
      <c r="BV965" s="232"/>
      <c r="BW965" s="232"/>
      <c r="BX965" s="232"/>
      <c r="BY965" s="232"/>
      <c r="BZ965" s="232"/>
      <c r="CA965" s="232"/>
      <c r="CB965" s="232"/>
      <c r="CC965" s="232"/>
      <c r="CD965" s="232"/>
      <c r="CE965" s="232"/>
      <c r="CF965" s="232"/>
      <c r="CG965" s="232"/>
      <c r="CH965" s="232"/>
      <c r="CI965" s="232"/>
      <c r="CJ965" s="232"/>
      <c r="CK965" s="232"/>
      <c r="CL965" s="232"/>
      <c r="CM965" s="232"/>
      <c r="CN965" s="215"/>
      <c r="CO965" s="215"/>
      <c r="CP965" s="215"/>
      <c r="CQ965" s="215"/>
      <c r="CR965" s="215"/>
      <c r="CS965" s="215"/>
      <c r="CT965" s="215"/>
    </row>
    <row r="966" ht="24.0" customHeight="1">
      <c r="A966" s="287"/>
      <c r="B966" s="287"/>
      <c r="C966" s="287"/>
      <c r="D966" s="232"/>
      <c r="E966" s="232"/>
      <c r="F966" s="232"/>
      <c r="G966" s="232"/>
      <c r="H966" s="232"/>
      <c r="I966" s="232"/>
      <c r="J966" s="232"/>
      <c r="K966" s="232"/>
      <c r="L966" s="232"/>
      <c r="M966" s="232"/>
      <c r="N966" s="289"/>
      <c r="O966" s="232"/>
      <c r="P966" s="232"/>
      <c r="Q966" s="232"/>
      <c r="R966" s="232"/>
      <c r="S966" s="232"/>
      <c r="T966" s="232"/>
      <c r="U966" s="232"/>
      <c r="V966" s="232"/>
      <c r="W966" s="232"/>
      <c r="X966" s="232"/>
      <c r="Y966" s="232"/>
      <c r="Z966" s="232"/>
      <c r="AA966" s="232"/>
      <c r="AB966" s="232"/>
      <c r="AC966" s="232"/>
      <c r="AD966" s="232"/>
      <c r="AE966" s="232"/>
      <c r="AF966" s="232"/>
      <c r="AG966" s="232"/>
      <c r="AH966" s="232"/>
      <c r="AI966" s="232"/>
      <c r="AJ966" s="232"/>
      <c r="AK966" s="232"/>
      <c r="AL966" s="232"/>
      <c r="AM966" s="232"/>
      <c r="AN966" s="232"/>
      <c r="AO966" s="232"/>
      <c r="AP966" s="232"/>
      <c r="AQ966" s="232"/>
      <c r="AR966" s="232"/>
      <c r="AS966" s="232"/>
      <c r="AT966" s="232"/>
      <c r="AU966" s="232"/>
      <c r="AV966" s="232"/>
      <c r="AW966" s="232"/>
      <c r="AX966" s="232"/>
      <c r="AY966" s="232"/>
      <c r="AZ966" s="232"/>
      <c r="BA966" s="232"/>
      <c r="BB966" s="232"/>
      <c r="BC966" s="232"/>
      <c r="BD966" s="232"/>
      <c r="BE966" s="232"/>
      <c r="BF966" s="232"/>
      <c r="BG966" s="232"/>
      <c r="BH966" s="232"/>
      <c r="BI966" s="232"/>
      <c r="BJ966" s="232"/>
      <c r="BK966" s="232"/>
      <c r="BL966" s="232"/>
      <c r="BM966" s="232"/>
      <c r="BN966" s="232"/>
      <c r="BO966" s="232"/>
      <c r="BP966" s="232"/>
      <c r="BQ966" s="232"/>
      <c r="BR966" s="232"/>
      <c r="BS966" s="232"/>
      <c r="BT966" s="232"/>
      <c r="BU966" s="232"/>
      <c r="BV966" s="232"/>
      <c r="BW966" s="232"/>
      <c r="BX966" s="232"/>
      <c r="BY966" s="232"/>
      <c r="BZ966" s="232"/>
      <c r="CA966" s="232"/>
      <c r="CB966" s="232"/>
      <c r="CC966" s="232"/>
      <c r="CD966" s="232"/>
      <c r="CE966" s="232"/>
      <c r="CF966" s="232"/>
      <c r="CG966" s="232"/>
      <c r="CH966" s="232"/>
      <c r="CI966" s="232"/>
      <c r="CJ966" s="232"/>
      <c r="CK966" s="232"/>
      <c r="CL966" s="232"/>
      <c r="CM966" s="232"/>
      <c r="CN966" s="215"/>
      <c r="CO966" s="215"/>
      <c r="CP966" s="215"/>
      <c r="CQ966" s="215"/>
      <c r="CR966" s="215"/>
      <c r="CS966" s="215"/>
      <c r="CT966" s="215"/>
    </row>
    <row r="967" ht="24.0" customHeight="1">
      <c r="A967" s="287"/>
      <c r="B967" s="287"/>
      <c r="C967" s="287"/>
      <c r="D967" s="232"/>
      <c r="E967" s="232"/>
      <c r="F967" s="232"/>
      <c r="G967" s="232"/>
      <c r="H967" s="232"/>
      <c r="I967" s="232"/>
      <c r="J967" s="232"/>
      <c r="K967" s="232"/>
      <c r="L967" s="232"/>
      <c r="M967" s="232"/>
      <c r="N967" s="289"/>
      <c r="O967" s="232"/>
      <c r="P967" s="232"/>
      <c r="Q967" s="232"/>
      <c r="R967" s="232"/>
      <c r="S967" s="232"/>
      <c r="T967" s="232"/>
      <c r="U967" s="232"/>
      <c r="V967" s="232"/>
      <c r="W967" s="232"/>
      <c r="X967" s="232"/>
      <c r="Y967" s="232"/>
      <c r="Z967" s="232"/>
      <c r="AA967" s="232"/>
      <c r="AB967" s="232"/>
      <c r="AC967" s="232"/>
      <c r="AD967" s="232"/>
      <c r="AE967" s="232"/>
      <c r="AF967" s="232"/>
      <c r="AG967" s="232"/>
      <c r="AH967" s="232"/>
      <c r="AI967" s="232"/>
      <c r="AJ967" s="232"/>
      <c r="AK967" s="232"/>
      <c r="AL967" s="232"/>
      <c r="AM967" s="232"/>
      <c r="AN967" s="232"/>
      <c r="AO967" s="232"/>
      <c r="AP967" s="232"/>
      <c r="AQ967" s="232"/>
      <c r="AR967" s="232"/>
      <c r="AS967" s="232"/>
      <c r="AT967" s="232"/>
      <c r="AU967" s="232"/>
      <c r="AV967" s="232"/>
      <c r="AW967" s="232"/>
      <c r="AX967" s="232"/>
      <c r="AY967" s="232"/>
      <c r="AZ967" s="232"/>
      <c r="BA967" s="232"/>
      <c r="BB967" s="232"/>
      <c r="BC967" s="232"/>
      <c r="BD967" s="232"/>
      <c r="BE967" s="232"/>
      <c r="BF967" s="232"/>
      <c r="BG967" s="232"/>
      <c r="BH967" s="232"/>
      <c r="BI967" s="232"/>
      <c r="BJ967" s="232"/>
      <c r="BK967" s="232"/>
      <c r="BL967" s="232"/>
      <c r="BM967" s="232"/>
      <c r="BN967" s="232"/>
      <c r="BO967" s="232"/>
      <c r="BP967" s="232"/>
      <c r="BQ967" s="232"/>
      <c r="BR967" s="232"/>
      <c r="BS967" s="232"/>
      <c r="BT967" s="232"/>
      <c r="BU967" s="232"/>
      <c r="BV967" s="232"/>
      <c r="BW967" s="232"/>
      <c r="BX967" s="232"/>
      <c r="BY967" s="232"/>
      <c r="BZ967" s="232"/>
      <c r="CA967" s="232"/>
      <c r="CB967" s="232"/>
      <c r="CC967" s="232"/>
      <c r="CD967" s="232"/>
      <c r="CE967" s="232"/>
      <c r="CF967" s="232"/>
      <c r="CG967" s="232"/>
      <c r="CH967" s="232"/>
      <c r="CI967" s="232"/>
      <c r="CJ967" s="232"/>
      <c r="CK967" s="232"/>
      <c r="CL967" s="232"/>
      <c r="CM967" s="232"/>
      <c r="CN967" s="215"/>
      <c r="CO967" s="215"/>
      <c r="CP967" s="215"/>
      <c r="CQ967" s="215"/>
      <c r="CR967" s="215"/>
      <c r="CS967" s="215"/>
      <c r="CT967" s="215"/>
    </row>
    <row r="968" ht="24.0" customHeight="1">
      <c r="A968" s="287"/>
      <c r="B968" s="287"/>
      <c r="C968" s="287"/>
      <c r="D968" s="232"/>
      <c r="E968" s="232"/>
      <c r="F968" s="232"/>
      <c r="G968" s="232"/>
      <c r="H968" s="232"/>
      <c r="I968" s="232"/>
      <c r="J968" s="232"/>
      <c r="K968" s="232"/>
      <c r="L968" s="232"/>
      <c r="M968" s="232"/>
      <c r="N968" s="289"/>
      <c r="O968" s="232"/>
      <c r="P968" s="232"/>
      <c r="Q968" s="232"/>
      <c r="R968" s="232"/>
      <c r="S968" s="232"/>
      <c r="T968" s="232"/>
      <c r="U968" s="232"/>
      <c r="V968" s="232"/>
      <c r="W968" s="232"/>
      <c r="X968" s="232"/>
      <c r="Y968" s="232"/>
      <c r="Z968" s="232"/>
      <c r="AA968" s="232"/>
      <c r="AB968" s="232"/>
      <c r="AC968" s="232"/>
      <c r="AD968" s="232"/>
      <c r="AE968" s="232"/>
      <c r="AF968" s="232"/>
      <c r="AG968" s="232"/>
      <c r="AH968" s="232"/>
      <c r="AI968" s="232"/>
      <c r="AJ968" s="232"/>
      <c r="AK968" s="232"/>
      <c r="AL968" s="232"/>
      <c r="AM968" s="232"/>
      <c r="AN968" s="232"/>
      <c r="AO968" s="232"/>
      <c r="AP968" s="232"/>
      <c r="AQ968" s="232"/>
      <c r="AR968" s="232"/>
      <c r="AS968" s="232"/>
      <c r="AT968" s="232"/>
      <c r="AU968" s="232"/>
      <c r="AV968" s="232"/>
      <c r="AW968" s="232"/>
      <c r="AX968" s="232"/>
      <c r="AY968" s="232"/>
      <c r="AZ968" s="232"/>
      <c r="BA968" s="232"/>
      <c r="BB968" s="232"/>
      <c r="BC968" s="232"/>
      <c r="BD968" s="232"/>
      <c r="BE968" s="232"/>
      <c r="BF968" s="232"/>
      <c r="BG968" s="232"/>
      <c r="BH968" s="232"/>
      <c r="BI968" s="232"/>
      <c r="BJ968" s="232"/>
      <c r="BK968" s="232"/>
      <c r="BL968" s="232"/>
      <c r="BM968" s="232"/>
      <c r="BN968" s="232"/>
      <c r="BO968" s="232"/>
      <c r="BP968" s="232"/>
      <c r="BQ968" s="232"/>
      <c r="BR968" s="232"/>
      <c r="BS968" s="232"/>
      <c r="BT968" s="232"/>
      <c r="BU968" s="232"/>
      <c r="BV968" s="232"/>
      <c r="BW968" s="232"/>
      <c r="BX968" s="232"/>
      <c r="BY968" s="232"/>
      <c r="BZ968" s="232"/>
      <c r="CA968" s="232"/>
      <c r="CB968" s="232"/>
      <c r="CC968" s="232"/>
      <c r="CD968" s="232"/>
      <c r="CE968" s="232"/>
      <c r="CF968" s="232"/>
      <c r="CG968" s="232"/>
      <c r="CH968" s="232"/>
      <c r="CI968" s="232"/>
      <c r="CJ968" s="232"/>
      <c r="CK968" s="232"/>
      <c r="CL968" s="232"/>
      <c r="CM968" s="232"/>
      <c r="CN968" s="215"/>
      <c r="CO968" s="215"/>
      <c r="CP968" s="215"/>
      <c r="CQ968" s="215"/>
      <c r="CR968" s="215"/>
      <c r="CS968" s="215"/>
      <c r="CT968" s="215"/>
    </row>
    <row r="969" ht="24.0" customHeight="1">
      <c r="A969" s="287"/>
      <c r="B969" s="287"/>
      <c r="C969" s="287"/>
      <c r="D969" s="232"/>
      <c r="E969" s="232"/>
      <c r="F969" s="232"/>
      <c r="G969" s="232"/>
      <c r="H969" s="232"/>
      <c r="I969" s="232"/>
      <c r="J969" s="232"/>
      <c r="K969" s="232"/>
      <c r="L969" s="232"/>
      <c r="M969" s="232"/>
      <c r="N969" s="289"/>
      <c r="O969" s="232"/>
      <c r="P969" s="232"/>
      <c r="Q969" s="232"/>
      <c r="R969" s="232"/>
      <c r="S969" s="232"/>
      <c r="T969" s="232"/>
      <c r="U969" s="232"/>
      <c r="V969" s="232"/>
      <c r="W969" s="232"/>
      <c r="X969" s="232"/>
      <c r="Y969" s="232"/>
      <c r="Z969" s="232"/>
      <c r="AA969" s="232"/>
      <c r="AB969" s="232"/>
      <c r="AC969" s="232"/>
      <c r="AD969" s="232"/>
      <c r="AE969" s="232"/>
      <c r="AF969" s="232"/>
      <c r="AG969" s="232"/>
      <c r="AH969" s="232"/>
      <c r="AI969" s="232"/>
      <c r="AJ969" s="232"/>
      <c r="AK969" s="232"/>
      <c r="AL969" s="232"/>
      <c r="AM969" s="232"/>
      <c r="AN969" s="232"/>
      <c r="AO969" s="232"/>
      <c r="AP969" s="232"/>
      <c r="AQ969" s="232"/>
      <c r="AR969" s="232"/>
      <c r="AS969" s="232"/>
      <c r="AT969" s="232"/>
      <c r="AU969" s="232"/>
      <c r="AV969" s="232"/>
      <c r="AW969" s="232"/>
      <c r="AX969" s="232"/>
      <c r="AY969" s="232"/>
      <c r="AZ969" s="232"/>
      <c r="BA969" s="232"/>
      <c r="BB969" s="232"/>
      <c r="BC969" s="232"/>
      <c r="BD969" s="232"/>
      <c r="BE969" s="232"/>
      <c r="BF969" s="232"/>
      <c r="BG969" s="232"/>
      <c r="BH969" s="232"/>
      <c r="BI969" s="232"/>
      <c r="BJ969" s="232"/>
      <c r="BK969" s="232"/>
      <c r="BL969" s="232"/>
      <c r="BM969" s="232"/>
      <c r="BN969" s="232"/>
      <c r="BO969" s="232"/>
      <c r="BP969" s="232"/>
      <c r="BQ969" s="232"/>
      <c r="BR969" s="232"/>
      <c r="BS969" s="232"/>
      <c r="BT969" s="232"/>
      <c r="BU969" s="232"/>
      <c r="BV969" s="232"/>
      <c r="BW969" s="232"/>
      <c r="BX969" s="232"/>
      <c r="BY969" s="232"/>
      <c r="BZ969" s="232"/>
      <c r="CA969" s="232"/>
      <c r="CB969" s="232"/>
      <c r="CC969" s="232"/>
      <c r="CD969" s="232"/>
      <c r="CE969" s="232"/>
      <c r="CF969" s="232"/>
      <c r="CG969" s="232"/>
      <c r="CH969" s="232"/>
      <c r="CI969" s="232"/>
      <c r="CJ969" s="232"/>
      <c r="CK969" s="232"/>
      <c r="CL969" s="232"/>
      <c r="CM969" s="232"/>
      <c r="CN969" s="215"/>
      <c r="CO969" s="215"/>
      <c r="CP969" s="215"/>
      <c r="CQ969" s="215"/>
      <c r="CR969" s="215"/>
      <c r="CS969" s="215"/>
      <c r="CT969" s="215"/>
    </row>
    <row r="970" ht="24.0" customHeight="1">
      <c r="A970" s="287"/>
      <c r="B970" s="287"/>
      <c r="C970" s="287"/>
      <c r="D970" s="232"/>
      <c r="E970" s="232"/>
      <c r="F970" s="232"/>
      <c r="G970" s="232"/>
      <c r="H970" s="232"/>
      <c r="I970" s="232"/>
      <c r="J970" s="232"/>
      <c r="K970" s="232"/>
      <c r="L970" s="232"/>
      <c r="M970" s="232"/>
      <c r="N970" s="289"/>
      <c r="O970" s="232"/>
      <c r="P970" s="232"/>
      <c r="Q970" s="232"/>
      <c r="R970" s="232"/>
      <c r="S970" s="232"/>
      <c r="T970" s="232"/>
      <c r="U970" s="232"/>
      <c r="V970" s="232"/>
      <c r="W970" s="232"/>
      <c r="X970" s="232"/>
      <c r="Y970" s="232"/>
      <c r="Z970" s="232"/>
      <c r="AA970" s="232"/>
      <c r="AB970" s="232"/>
      <c r="AC970" s="232"/>
      <c r="AD970" s="232"/>
      <c r="AE970" s="232"/>
      <c r="AF970" s="232"/>
      <c r="AG970" s="232"/>
      <c r="AH970" s="232"/>
      <c r="AI970" s="232"/>
      <c r="AJ970" s="232"/>
      <c r="AK970" s="232"/>
      <c r="AL970" s="232"/>
      <c r="AM970" s="232"/>
      <c r="AN970" s="232"/>
      <c r="AO970" s="232"/>
      <c r="AP970" s="232"/>
      <c r="AQ970" s="232"/>
      <c r="AR970" s="232"/>
      <c r="AS970" s="232"/>
      <c r="AT970" s="232"/>
      <c r="AU970" s="232"/>
      <c r="AV970" s="232"/>
      <c r="AW970" s="232"/>
      <c r="AX970" s="232"/>
      <c r="AY970" s="232"/>
      <c r="AZ970" s="232"/>
      <c r="BA970" s="232"/>
      <c r="BB970" s="232"/>
      <c r="BC970" s="232"/>
      <c r="BD970" s="232"/>
      <c r="BE970" s="232"/>
      <c r="BF970" s="232"/>
      <c r="BG970" s="232"/>
      <c r="BH970" s="232"/>
      <c r="BI970" s="232"/>
      <c r="BJ970" s="232"/>
      <c r="BK970" s="232"/>
      <c r="BL970" s="232"/>
      <c r="BM970" s="232"/>
      <c r="BN970" s="232"/>
      <c r="BO970" s="232"/>
      <c r="BP970" s="232"/>
      <c r="BQ970" s="232"/>
      <c r="BR970" s="232"/>
      <c r="BS970" s="232"/>
      <c r="BT970" s="232"/>
      <c r="BU970" s="232"/>
      <c r="BV970" s="232"/>
      <c r="BW970" s="232"/>
      <c r="BX970" s="232"/>
      <c r="BY970" s="232"/>
      <c r="BZ970" s="232"/>
      <c r="CA970" s="232"/>
      <c r="CB970" s="232"/>
      <c r="CC970" s="232"/>
      <c r="CD970" s="232"/>
      <c r="CE970" s="232"/>
      <c r="CF970" s="232"/>
      <c r="CG970" s="232"/>
      <c r="CH970" s="232"/>
      <c r="CI970" s="232"/>
      <c r="CJ970" s="232"/>
      <c r="CK970" s="232"/>
      <c r="CL970" s="232"/>
      <c r="CM970" s="232"/>
      <c r="CN970" s="215"/>
      <c r="CO970" s="215"/>
      <c r="CP970" s="215"/>
      <c r="CQ970" s="215"/>
      <c r="CR970" s="215"/>
      <c r="CS970" s="215"/>
      <c r="CT970" s="215"/>
    </row>
    <row r="971" ht="24.0" customHeight="1">
      <c r="A971" s="287"/>
      <c r="B971" s="287"/>
      <c r="C971" s="287"/>
      <c r="D971" s="232"/>
      <c r="E971" s="232"/>
      <c r="F971" s="232"/>
      <c r="G971" s="232"/>
      <c r="H971" s="232"/>
      <c r="I971" s="232"/>
      <c r="J971" s="232"/>
      <c r="K971" s="232"/>
      <c r="L971" s="232"/>
      <c r="M971" s="232"/>
      <c r="N971" s="289"/>
      <c r="O971" s="232"/>
      <c r="P971" s="232"/>
      <c r="Q971" s="232"/>
      <c r="R971" s="232"/>
      <c r="S971" s="232"/>
      <c r="T971" s="232"/>
      <c r="U971" s="232"/>
      <c r="V971" s="232"/>
      <c r="W971" s="232"/>
      <c r="X971" s="232"/>
      <c r="Y971" s="232"/>
      <c r="Z971" s="232"/>
      <c r="AA971" s="232"/>
      <c r="AB971" s="232"/>
      <c r="AC971" s="232"/>
      <c r="AD971" s="232"/>
      <c r="AE971" s="232"/>
      <c r="AF971" s="232"/>
      <c r="AG971" s="232"/>
      <c r="AH971" s="232"/>
      <c r="AI971" s="232"/>
      <c r="AJ971" s="232"/>
      <c r="AK971" s="232"/>
      <c r="AL971" s="232"/>
      <c r="AM971" s="232"/>
      <c r="AN971" s="232"/>
      <c r="AO971" s="232"/>
      <c r="AP971" s="232"/>
      <c r="AQ971" s="232"/>
      <c r="AR971" s="232"/>
      <c r="AS971" s="232"/>
      <c r="AT971" s="232"/>
      <c r="AU971" s="232"/>
      <c r="AV971" s="232"/>
      <c r="AW971" s="232"/>
      <c r="AX971" s="232"/>
      <c r="AY971" s="232"/>
      <c r="AZ971" s="232"/>
      <c r="BA971" s="232"/>
      <c r="BB971" s="232"/>
      <c r="BC971" s="232"/>
      <c r="BD971" s="232"/>
      <c r="BE971" s="232"/>
      <c r="BF971" s="232"/>
      <c r="BG971" s="232"/>
      <c r="BH971" s="232"/>
      <c r="BI971" s="232"/>
      <c r="BJ971" s="232"/>
      <c r="BK971" s="232"/>
      <c r="BL971" s="232"/>
      <c r="BM971" s="232"/>
      <c r="BN971" s="232"/>
      <c r="BO971" s="232"/>
      <c r="BP971" s="232"/>
      <c r="BQ971" s="232"/>
      <c r="BR971" s="232"/>
      <c r="BS971" s="232"/>
      <c r="BT971" s="232"/>
      <c r="BU971" s="232"/>
      <c r="BV971" s="232"/>
      <c r="BW971" s="232"/>
      <c r="BX971" s="232"/>
      <c r="BY971" s="232"/>
      <c r="BZ971" s="232"/>
      <c r="CA971" s="232"/>
      <c r="CB971" s="232"/>
      <c r="CC971" s="232"/>
      <c r="CD971" s="232"/>
      <c r="CE971" s="232"/>
      <c r="CF971" s="232"/>
      <c r="CG971" s="232"/>
      <c r="CH971" s="232"/>
      <c r="CI971" s="232"/>
      <c r="CJ971" s="232"/>
      <c r="CK971" s="232"/>
      <c r="CL971" s="232"/>
      <c r="CM971" s="232"/>
      <c r="CN971" s="215"/>
      <c r="CO971" s="215"/>
      <c r="CP971" s="215"/>
      <c r="CQ971" s="215"/>
      <c r="CR971" s="215"/>
      <c r="CS971" s="215"/>
      <c r="CT971" s="215"/>
    </row>
    <row r="972" ht="24.0" customHeight="1">
      <c r="A972" s="287"/>
      <c r="B972" s="287"/>
      <c r="C972" s="287"/>
      <c r="D972" s="232"/>
      <c r="E972" s="232"/>
      <c r="F972" s="232"/>
      <c r="G972" s="232"/>
      <c r="H972" s="232"/>
      <c r="I972" s="232"/>
      <c r="J972" s="232"/>
      <c r="K972" s="232"/>
      <c r="L972" s="232"/>
      <c r="M972" s="232"/>
      <c r="N972" s="289"/>
      <c r="O972" s="232"/>
      <c r="P972" s="232"/>
      <c r="Q972" s="232"/>
      <c r="R972" s="232"/>
      <c r="S972" s="232"/>
      <c r="T972" s="232"/>
      <c r="U972" s="232"/>
      <c r="V972" s="232"/>
      <c r="W972" s="232"/>
      <c r="X972" s="232"/>
      <c r="Y972" s="232"/>
      <c r="Z972" s="232"/>
      <c r="AA972" s="232"/>
      <c r="AB972" s="232"/>
      <c r="AC972" s="232"/>
      <c r="AD972" s="232"/>
      <c r="AE972" s="232"/>
      <c r="AF972" s="232"/>
      <c r="AG972" s="232"/>
      <c r="AH972" s="232"/>
      <c r="AI972" s="232"/>
      <c r="AJ972" s="232"/>
      <c r="AK972" s="232"/>
      <c r="AL972" s="232"/>
      <c r="AM972" s="232"/>
      <c r="AN972" s="232"/>
      <c r="AO972" s="232"/>
      <c r="AP972" s="232"/>
      <c r="AQ972" s="232"/>
      <c r="AR972" s="232"/>
      <c r="AS972" s="232"/>
      <c r="AT972" s="232"/>
      <c r="AU972" s="232"/>
      <c r="AV972" s="232"/>
      <c r="AW972" s="232"/>
      <c r="AX972" s="232"/>
      <c r="AY972" s="232"/>
      <c r="AZ972" s="232"/>
      <c r="BA972" s="232"/>
      <c r="BB972" s="232"/>
      <c r="BC972" s="232"/>
      <c r="BD972" s="232"/>
      <c r="BE972" s="232"/>
      <c r="BF972" s="232"/>
      <c r="BG972" s="232"/>
      <c r="BH972" s="232"/>
      <c r="BI972" s="232"/>
      <c r="BJ972" s="232"/>
      <c r="BK972" s="232"/>
      <c r="BL972" s="232"/>
      <c r="BM972" s="232"/>
      <c r="BN972" s="232"/>
      <c r="BO972" s="232"/>
      <c r="BP972" s="232"/>
      <c r="BQ972" s="232"/>
      <c r="BR972" s="232"/>
      <c r="BS972" s="232"/>
      <c r="BT972" s="232"/>
      <c r="BU972" s="232"/>
      <c r="BV972" s="232"/>
      <c r="BW972" s="232"/>
      <c r="BX972" s="232"/>
      <c r="BY972" s="232"/>
      <c r="BZ972" s="232"/>
      <c r="CA972" s="232"/>
      <c r="CB972" s="232"/>
      <c r="CC972" s="232"/>
      <c r="CD972" s="232"/>
      <c r="CE972" s="232"/>
      <c r="CF972" s="232"/>
      <c r="CG972" s="232"/>
      <c r="CH972" s="232"/>
      <c r="CI972" s="232"/>
      <c r="CJ972" s="232"/>
      <c r="CK972" s="232"/>
      <c r="CL972" s="232"/>
      <c r="CM972" s="232"/>
      <c r="CN972" s="215"/>
      <c r="CO972" s="215"/>
      <c r="CP972" s="215"/>
      <c r="CQ972" s="215"/>
      <c r="CR972" s="215"/>
      <c r="CS972" s="215"/>
      <c r="CT972" s="215"/>
    </row>
    <row r="973" ht="24.0" customHeight="1">
      <c r="A973" s="287"/>
      <c r="B973" s="287"/>
      <c r="C973" s="287"/>
      <c r="D973" s="232"/>
      <c r="E973" s="232"/>
      <c r="F973" s="232"/>
      <c r="G973" s="232"/>
      <c r="H973" s="232"/>
      <c r="I973" s="232"/>
      <c r="J973" s="232"/>
      <c r="K973" s="232"/>
      <c r="L973" s="232"/>
      <c r="M973" s="232"/>
      <c r="N973" s="289"/>
      <c r="O973" s="232"/>
      <c r="P973" s="232"/>
      <c r="Q973" s="232"/>
      <c r="R973" s="232"/>
      <c r="S973" s="232"/>
      <c r="T973" s="232"/>
      <c r="U973" s="232"/>
      <c r="V973" s="232"/>
      <c r="W973" s="232"/>
      <c r="X973" s="232"/>
      <c r="Y973" s="232"/>
      <c r="Z973" s="232"/>
      <c r="AA973" s="232"/>
      <c r="AB973" s="232"/>
      <c r="AC973" s="232"/>
      <c r="AD973" s="232"/>
      <c r="AE973" s="232"/>
      <c r="AF973" s="232"/>
      <c r="AG973" s="232"/>
      <c r="AH973" s="232"/>
      <c r="AI973" s="232"/>
      <c r="AJ973" s="232"/>
      <c r="AK973" s="232"/>
      <c r="AL973" s="232"/>
      <c r="AM973" s="232"/>
      <c r="AN973" s="232"/>
      <c r="AO973" s="232"/>
      <c r="AP973" s="232"/>
      <c r="AQ973" s="232"/>
      <c r="AR973" s="232"/>
      <c r="AS973" s="232"/>
      <c r="AT973" s="232"/>
      <c r="AU973" s="232"/>
      <c r="AV973" s="232"/>
      <c r="AW973" s="232"/>
      <c r="AX973" s="232"/>
      <c r="AY973" s="232"/>
      <c r="AZ973" s="232"/>
      <c r="BA973" s="232"/>
      <c r="BB973" s="232"/>
      <c r="BC973" s="232"/>
      <c r="BD973" s="232"/>
      <c r="BE973" s="232"/>
      <c r="BF973" s="232"/>
      <c r="BG973" s="232"/>
      <c r="BH973" s="232"/>
      <c r="BI973" s="232"/>
      <c r="BJ973" s="232"/>
      <c r="BK973" s="232"/>
      <c r="BL973" s="232"/>
      <c r="BM973" s="232"/>
      <c r="BN973" s="232"/>
      <c r="BO973" s="232"/>
      <c r="BP973" s="232"/>
      <c r="BQ973" s="232"/>
      <c r="BR973" s="232"/>
      <c r="BS973" s="232"/>
      <c r="BT973" s="232"/>
      <c r="BU973" s="232"/>
      <c r="BV973" s="232"/>
      <c r="BW973" s="232"/>
      <c r="BX973" s="232"/>
      <c r="BY973" s="232"/>
      <c r="BZ973" s="232"/>
      <c r="CA973" s="232"/>
      <c r="CB973" s="232"/>
      <c r="CC973" s="232"/>
      <c r="CD973" s="232"/>
      <c r="CE973" s="232"/>
      <c r="CF973" s="232"/>
      <c r="CG973" s="232"/>
      <c r="CH973" s="232"/>
      <c r="CI973" s="232"/>
      <c r="CJ973" s="232"/>
      <c r="CK973" s="232"/>
      <c r="CL973" s="232"/>
      <c r="CM973" s="232"/>
      <c r="CN973" s="215"/>
      <c r="CO973" s="215"/>
      <c r="CP973" s="215"/>
      <c r="CQ973" s="215"/>
      <c r="CR973" s="215"/>
      <c r="CS973" s="215"/>
      <c r="CT973" s="215"/>
    </row>
    <row r="974" ht="24.0" customHeight="1">
      <c r="A974" s="287"/>
      <c r="B974" s="287"/>
      <c r="C974" s="287"/>
      <c r="D974" s="232"/>
      <c r="E974" s="232"/>
      <c r="F974" s="232"/>
      <c r="G974" s="232"/>
      <c r="H974" s="232"/>
      <c r="I974" s="232"/>
      <c r="J974" s="232"/>
      <c r="K974" s="232"/>
      <c r="L974" s="232"/>
      <c r="M974" s="232"/>
      <c r="N974" s="289"/>
      <c r="O974" s="232"/>
      <c r="P974" s="232"/>
      <c r="Q974" s="232"/>
      <c r="R974" s="232"/>
      <c r="S974" s="232"/>
      <c r="T974" s="232"/>
      <c r="U974" s="232"/>
      <c r="V974" s="232"/>
      <c r="W974" s="232"/>
      <c r="X974" s="232"/>
      <c r="Y974" s="232"/>
      <c r="Z974" s="232"/>
      <c r="AA974" s="232"/>
      <c r="AB974" s="232"/>
      <c r="AC974" s="232"/>
      <c r="AD974" s="232"/>
      <c r="AE974" s="232"/>
      <c r="AF974" s="232"/>
      <c r="AG974" s="232"/>
      <c r="AH974" s="232"/>
      <c r="AI974" s="232"/>
      <c r="AJ974" s="232"/>
      <c r="AK974" s="232"/>
      <c r="AL974" s="232"/>
      <c r="AM974" s="232"/>
      <c r="AN974" s="232"/>
      <c r="AO974" s="232"/>
      <c r="AP974" s="232"/>
      <c r="AQ974" s="232"/>
      <c r="AR974" s="232"/>
      <c r="AS974" s="232"/>
      <c r="AT974" s="232"/>
      <c r="AU974" s="232"/>
      <c r="AV974" s="232"/>
      <c r="AW974" s="232"/>
      <c r="AX974" s="232"/>
      <c r="AY974" s="232"/>
      <c r="AZ974" s="232"/>
      <c r="BA974" s="232"/>
      <c r="BB974" s="232"/>
      <c r="BC974" s="232"/>
      <c r="BD974" s="232"/>
      <c r="BE974" s="232"/>
      <c r="BF974" s="232"/>
      <c r="BG974" s="232"/>
      <c r="BH974" s="232"/>
      <c r="BI974" s="232"/>
      <c r="BJ974" s="232"/>
      <c r="BK974" s="232"/>
      <c r="BL974" s="232"/>
      <c r="BM974" s="232"/>
      <c r="BN974" s="232"/>
      <c r="BO974" s="232"/>
      <c r="BP974" s="232"/>
      <c r="BQ974" s="232"/>
      <c r="BR974" s="232"/>
      <c r="BS974" s="232"/>
      <c r="BT974" s="232"/>
      <c r="BU974" s="232"/>
      <c r="BV974" s="232"/>
      <c r="BW974" s="232"/>
      <c r="BX974" s="232"/>
      <c r="BY974" s="232"/>
      <c r="BZ974" s="232"/>
      <c r="CA974" s="232"/>
      <c r="CB974" s="232"/>
      <c r="CC974" s="232"/>
      <c r="CD974" s="232"/>
      <c r="CE974" s="232"/>
      <c r="CF974" s="232"/>
      <c r="CG974" s="232"/>
      <c r="CH974" s="232"/>
      <c r="CI974" s="232"/>
      <c r="CJ974" s="232"/>
      <c r="CK974" s="232"/>
      <c r="CL974" s="232"/>
      <c r="CM974" s="232"/>
      <c r="CN974" s="215"/>
      <c r="CO974" s="215"/>
      <c r="CP974" s="215"/>
      <c r="CQ974" s="215"/>
      <c r="CR974" s="215"/>
      <c r="CS974" s="215"/>
      <c r="CT974" s="215"/>
    </row>
    <row r="975" ht="24.0" customHeight="1">
      <c r="A975" s="287"/>
      <c r="B975" s="287"/>
      <c r="C975" s="287"/>
      <c r="D975" s="232"/>
      <c r="E975" s="232"/>
      <c r="F975" s="232"/>
      <c r="G975" s="232"/>
      <c r="H975" s="232"/>
      <c r="I975" s="232"/>
      <c r="J975" s="232"/>
      <c r="K975" s="232"/>
      <c r="L975" s="232"/>
      <c r="M975" s="232"/>
      <c r="N975" s="289"/>
      <c r="O975" s="232"/>
      <c r="P975" s="232"/>
      <c r="Q975" s="232"/>
      <c r="R975" s="232"/>
      <c r="S975" s="232"/>
      <c r="T975" s="232"/>
      <c r="U975" s="232"/>
      <c r="V975" s="232"/>
      <c r="W975" s="232"/>
      <c r="X975" s="232"/>
      <c r="Y975" s="232"/>
      <c r="Z975" s="232"/>
      <c r="AA975" s="232"/>
      <c r="AB975" s="232"/>
      <c r="AC975" s="232"/>
      <c r="AD975" s="232"/>
      <c r="AE975" s="232"/>
      <c r="AF975" s="232"/>
      <c r="AG975" s="232"/>
      <c r="AH975" s="232"/>
      <c r="AI975" s="232"/>
      <c r="AJ975" s="232"/>
      <c r="AK975" s="232"/>
      <c r="AL975" s="232"/>
      <c r="AM975" s="232"/>
      <c r="AN975" s="232"/>
      <c r="AO975" s="232"/>
      <c r="AP975" s="232"/>
      <c r="AQ975" s="232"/>
      <c r="AR975" s="232"/>
      <c r="AS975" s="232"/>
      <c r="AT975" s="232"/>
      <c r="AU975" s="232"/>
      <c r="AV975" s="232"/>
      <c r="AW975" s="232"/>
      <c r="AX975" s="232"/>
      <c r="AY975" s="232"/>
      <c r="AZ975" s="232"/>
      <c r="BA975" s="232"/>
      <c r="BB975" s="232"/>
      <c r="BC975" s="232"/>
      <c r="BD975" s="232"/>
      <c r="BE975" s="232"/>
      <c r="BF975" s="232"/>
      <c r="BG975" s="232"/>
      <c r="BH975" s="232"/>
      <c r="BI975" s="232"/>
      <c r="BJ975" s="232"/>
      <c r="BK975" s="232"/>
      <c r="BL975" s="232"/>
      <c r="BM975" s="232"/>
      <c r="BN975" s="232"/>
      <c r="BO975" s="232"/>
      <c r="BP975" s="232"/>
      <c r="BQ975" s="232"/>
      <c r="BR975" s="232"/>
      <c r="BS975" s="232"/>
      <c r="BT975" s="232"/>
      <c r="BU975" s="232"/>
      <c r="BV975" s="232"/>
      <c r="BW975" s="232"/>
      <c r="BX975" s="232"/>
      <c r="BY975" s="232"/>
      <c r="BZ975" s="232"/>
      <c r="CA975" s="232"/>
      <c r="CB975" s="232"/>
      <c r="CC975" s="232"/>
      <c r="CD975" s="232"/>
      <c r="CE975" s="232"/>
      <c r="CF975" s="232"/>
      <c r="CG975" s="232"/>
      <c r="CH975" s="232"/>
      <c r="CI975" s="232"/>
      <c r="CJ975" s="232"/>
      <c r="CK975" s="232"/>
      <c r="CL975" s="232"/>
      <c r="CM975" s="232"/>
      <c r="CN975" s="215"/>
      <c r="CO975" s="215"/>
      <c r="CP975" s="215"/>
      <c r="CQ975" s="215"/>
      <c r="CR975" s="215"/>
      <c r="CS975" s="215"/>
      <c r="CT975" s="215"/>
    </row>
    <row r="976" ht="24.0" customHeight="1">
      <c r="A976" s="287"/>
      <c r="B976" s="287"/>
      <c r="C976" s="287"/>
      <c r="D976" s="232"/>
      <c r="E976" s="232"/>
      <c r="F976" s="232"/>
      <c r="G976" s="232"/>
      <c r="H976" s="232"/>
      <c r="I976" s="232"/>
      <c r="J976" s="232"/>
      <c r="K976" s="232"/>
      <c r="L976" s="232"/>
      <c r="M976" s="232"/>
      <c r="N976" s="289"/>
      <c r="O976" s="232"/>
      <c r="P976" s="232"/>
      <c r="Q976" s="232"/>
      <c r="R976" s="232"/>
      <c r="S976" s="232"/>
      <c r="T976" s="232"/>
      <c r="U976" s="232"/>
      <c r="V976" s="232"/>
      <c r="W976" s="232"/>
      <c r="X976" s="232"/>
      <c r="Y976" s="232"/>
      <c r="Z976" s="232"/>
      <c r="AA976" s="232"/>
      <c r="AB976" s="232"/>
      <c r="AC976" s="232"/>
      <c r="AD976" s="232"/>
      <c r="AE976" s="232"/>
      <c r="AF976" s="232"/>
      <c r="AG976" s="232"/>
      <c r="AH976" s="232"/>
      <c r="AI976" s="232"/>
      <c r="AJ976" s="232"/>
      <c r="AK976" s="232"/>
      <c r="AL976" s="232"/>
      <c r="AM976" s="232"/>
      <c r="AN976" s="232"/>
      <c r="AO976" s="232"/>
      <c r="AP976" s="232"/>
      <c r="AQ976" s="232"/>
      <c r="AR976" s="232"/>
      <c r="AS976" s="232"/>
      <c r="AT976" s="232"/>
      <c r="AU976" s="232"/>
      <c r="AV976" s="232"/>
      <c r="AW976" s="232"/>
      <c r="AX976" s="232"/>
      <c r="AY976" s="232"/>
      <c r="AZ976" s="232"/>
      <c r="BA976" s="232"/>
      <c r="BB976" s="232"/>
      <c r="BC976" s="232"/>
      <c r="BD976" s="232"/>
      <c r="BE976" s="232"/>
      <c r="BF976" s="232"/>
      <c r="BG976" s="232"/>
      <c r="BH976" s="232"/>
      <c r="BI976" s="232"/>
      <c r="BJ976" s="232"/>
      <c r="BK976" s="232"/>
      <c r="BL976" s="232"/>
      <c r="BM976" s="232"/>
      <c r="BN976" s="232"/>
      <c r="BO976" s="232"/>
      <c r="BP976" s="232"/>
      <c r="BQ976" s="232"/>
      <c r="BR976" s="232"/>
      <c r="BS976" s="232"/>
      <c r="BT976" s="232"/>
      <c r="BU976" s="232"/>
      <c r="BV976" s="232"/>
      <c r="BW976" s="232"/>
      <c r="BX976" s="232"/>
      <c r="BY976" s="232"/>
      <c r="BZ976" s="232"/>
      <c r="CA976" s="232"/>
      <c r="CB976" s="232"/>
      <c r="CC976" s="232"/>
      <c r="CD976" s="232"/>
      <c r="CE976" s="232"/>
      <c r="CF976" s="232"/>
      <c r="CG976" s="232"/>
      <c r="CH976" s="232"/>
      <c r="CI976" s="232"/>
      <c r="CJ976" s="232"/>
      <c r="CK976" s="232"/>
      <c r="CL976" s="232"/>
      <c r="CM976" s="232"/>
      <c r="CN976" s="215"/>
      <c r="CO976" s="215"/>
      <c r="CP976" s="215"/>
      <c r="CQ976" s="215"/>
      <c r="CR976" s="215"/>
      <c r="CS976" s="215"/>
      <c r="CT976" s="215"/>
    </row>
    <row r="977" ht="24.0" customHeight="1">
      <c r="A977" s="287"/>
      <c r="B977" s="287"/>
      <c r="C977" s="287"/>
      <c r="D977" s="232"/>
      <c r="E977" s="232"/>
      <c r="F977" s="232"/>
      <c r="G977" s="232"/>
      <c r="H977" s="232"/>
      <c r="I977" s="232"/>
      <c r="J977" s="232"/>
      <c r="K977" s="232"/>
      <c r="L977" s="232"/>
      <c r="M977" s="232"/>
      <c r="N977" s="289"/>
      <c r="O977" s="232"/>
      <c r="P977" s="232"/>
      <c r="Q977" s="232"/>
      <c r="R977" s="232"/>
      <c r="S977" s="232"/>
      <c r="T977" s="232"/>
      <c r="U977" s="232"/>
      <c r="V977" s="232"/>
      <c r="W977" s="232"/>
      <c r="X977" s="232"/>
      <c r="Y977" s="232"/>
      <c r="Z977" s="232"/>
      <c r="AA977" s="232"/>
      <c r="AB977" s="232"/>
      <c r="AC977" s="232"/>
      <c r="AD977" s="232"/>
      <c r="AE977" s="232"/>
      <c r="AF977" s="232"/>
      <c r="AG977" s="232"/>
      <c r="AH977" s="232"/>
      <c r="AI977" s="232"/>
      <c r="AJ977" s="232"/>
      <c r="AK977" s="232"/>
      <c r="AL977" s="232"/>
      <c r="AM977" s="232"/>
      <c r="AN977" s="232"/>
      <c r="AO977" s="232"/>
      <c r="AP977" s="232"/>
      <c r="AQ977" s="232"/>
      <c r="AR977" s="232"/>
      <c r="AS977" s="232"/>
      <c r="AT977" s="232"/>
      <c r="AU977" s="232"/>
      <c r="AV977" s="232"/>
      <c r="AW977" s="232"/>
      <c r="AX977" s="232"/>
      <c r="AY977" s="232"/>
      <c r="AZ977" s="232"/>
      <c r="BA977" s="232"/>
      <c r="BB977" s="232"/>
      <c r="BC977" s="232"/>
      <c r="BD977" s="232"/>
      <c r="BE977" s="232"/>
      <c r="BF977" s="232"/>
      <c r="BG977" s="232"/>
      <c r="BH977" s="232"/>
      <c r="BI977" s="232"/>
      <c r="BJ977" s="232"/>
      <c r="BK977" s="232"/>
      <c r="BL977" s="232"/>
      <c r="BM977" s="232"/>
      <c r="BN977" s="232"/>
      <c r="BO977" s="232"/>
      <c r="BP977" s="232"/>
      <c r="BQ977" s="232"/>
      <c r="BR977" s="232"/>
      <c r="BS977" s="232"/>
      <c r="BT977" s="232"/>
      <c r="BU977" s="232"/>
      <c r="BV977" s="232"/>
      <c r="BW977" s="232"/>
      <c r="BX977" s="232"/>
      <c r="BY977" s="232"/>
      <c r="BZ977" s="232"/>
      <c r="CA977" s="232"/>
      <c r="CB977" s="232"/>
      <c r="CC977" s="232"/>
      <c r="CD977" s="232"/>
      <c r="CE977" s="232"/>
      <c r="CF977" s="232"/>
      <c r="CG977" s="232"/>
      <c r="CH977" s="232"/>
      <c r="CI977" s="232"/>
      <c r="CJ977" s="232"/>
      <c r="CK977" s="232"/>
      <c r="CL977" s="232"/>
      <c r="CM977" s="232"/>
      <c r="CN977" s="215"/>
      <c r="CO977" s="215"/>
      <c r="CP977" s="215"/>
      <c r="CQ977" s="215"/>
      <c r="CR977" s="215"/>
      <c r="CS977" s="215"/>
      <c r="CT977" s="215"/>
    </row>
    <row r="978" ht="24.0" customHeight="1">
      <c r="A978" s="287"/>
      <c r="B978" s="287"/>
      <c r="C978" s="287"/>
      <c r="D978" s="232"/>
      <c r="E978" s="232"/>
      <c r="F978" s="232"/>
      <c r="G978" s="232"/>
      <c r="H978" s="232"/>
      <c r="I978" s="232"/>
      <c r="J978" s="232"/>
      <c r="K978" s="232"/>
      <c r="L978" s="232"/>
      <c r="M978" s="232"/>
      <c r="N978" s="289"/>
      <c r="O978" s="232"/>
      <c r="P978" s="232"/>
      <c r="Q978" s="232"/>
      <c r="R978" s="232"/>
      <c r="S978" s="232"/>
      <c r="T978" s="232"/>
      <c r="U978" s="232"/>
      <c r="V978" s="232"/>
      <c r="W978" s="232"/>
      <c r="X978" s="232"/>
      <c r="Y978" s="232"/>
      <c r="Z978" s="232"/>
      <c r="AA978" s="232"/>
      <c r="AB978" s="232"/>
      <c r="AC978" s="232"/>
      <c r="AD978" s="232"/>
      <c r="AE978" s="232"/>
      <c r="AF978" s="232"/>
      <c r="AG978" s="232"/>
      <c r="AH978" s="232"/>
      <c r="AI978" s="232"/>
      <c r="AJ978" s="232"/>
      <c r="AK978" s="232"/>
      <c r="AL978" s="232"/>
      <c r="AM978" s="232"/>
      <c r="AN978" s="232"/>
      <c r="AO978" s="232"/>
      <c r="AP978" s="232"/>
      <c r="AQ978" s="232"/>
      <c r="AR978" s="232"/>
      <c r="AS978" s="232"/>
      <c r="AT978" s="232"/>
      <c r="AU978" s="232"/>
      <c r="AV978" s="232"/>
      <c r="AW978" s="232"/>
      <c r="AX978" s="232"/>
      <c r="AY978" s="232"/>
      <c r="AZ978" s="232"/>
      <c r="BA978" s="232"/>
      <c r="BB978" s="232"/>
      <c r="BC978" s="232"/>
      <c r="BD978" s="232"/>
      <c r="BE978" s="232"/>
      <c r="BF978" s="232"/>
      <c r="BG978" s="232"/>
      <c r="BH978" s="232"/>
      <c r="BI978" s="232"/>
      <c r="BJ978" s="232"/>
      <c r="BK978" s="232"/>
      <c r="BL978" s="232"/>
      <c r="BM978" s="232"/>
      <c r="BN978" s="232"/>
      <c r="BO978" s="232"/>
      <c r="BP978" s="232"/>
      <c r="BQ978" s="232"/>
      <c r="BR978" s="232"/>
      <c r="BS978" s="232"/>
      <c r="BT978" s="232"/>
      <c r="BU978" s="232"/>
      <c r="BV978" s="232"/>
      <c r="BW978" s="232"/>
      <c r="BX978" s="232"/>
      <c r="BY978" s="232"/>
      <c r="BZ978" s="232"/>
      <c r="CA978" s="232"/>
      <c r="CB978" s="232"/>
      <c r="CC978" s="232"/>
      <c r="CD978" s="232"/>
      <c r="CE978" s="232"/>
      <c r="CF978" s="232"/>
      <c r="CG978" s="232"/>
      <c r="CH978" s="232"/>
      <c r="CI978" s="232"/>
      <c r="CJ978" s="232"/>
      <c r="CK978" s="232"/>
      <c r="CL978" s="232"/>
      <c r="CM978" s="232"/>
      <c r="CN978" s="215"/>
      <c r="CO978" s="215"/>
      <c r="CP978" s="215"/>
      <c r="CQ978" s="215"/>
      <c r="CR978" s="215"/>
      <c r="CS978" s="215"/>
      <c r="CT978" s="215"/>
    </row>
    <row r="979" ht="24.0" customHeight="1">
      <c r="A979" s="287"/>
      <c r="B979" s="287"/>
      <c r="C979" s="287"/>
      <c r="D979" s="232"/>
      <c r="E979" s="232"/>
      <c r="F979" s="232"/>
      <c r="G979" s="232"/>
      <c r="H979" s="232"/>
      <c r="I979" s="232"/>
      <c r="J979" s="232"/>
      <c r="K979" s="232"/>
      <c r="L979" s="232"/>
      <c r="M979" s="232"/>
      <c r="N979" s="289"/>
      <c r="O979" s="232"/>
      <c r="P979" s="232"/>
      <c r="Q979" s="232"/>
      <c r="R979" s="232"/>
      <c r="S979" s="232"/>
      <c r="T979" s="232"/>
      <c r="U979" s="232"/>
      <c r="V979" s="232"/>
      <c r="W979" s="232"/>
      <c r="X979" s="232"/>
      <c r="Y979" s="232"/>
      <c r="Z979" s="232"/>
      <c r="AA979" s="232"/>
      <c r="AB979" s="232"/>
      <c r="AC979" s="232"/>
      <c r="AD979" s="232"/>
      <c r="AE979" s="232"/>
      <c r="AF979" s="232"/>
      <c r="AG979" s="232"/>
      <c r="AH979" s="232"/>
      <c r="AI979" s="232"/>
      <c r="AJ979" s="232"/>
      <c r="AK979" s="232"/>
      <c r="AL979" s="232"/>
      <c r="AM979" s="232"/>
      <c r="AN979" s="232"/>
      <c r="AO979" s="232"/>
      <c r="AP979" s="232"/>
      <c r="AQ979" s="232"/>
      <c r="AR979" s="232"/>
      <c r="AS979" s="232"/>
      <c r="AT979" s="232"/>
      <c r="AU979" s="232"/>
      <c r="AV979" s="232"/>
      <c r="AW979" s="232"/>
      <c r="AX979" s="232"/>
      <c r="AY979" s="232"/>
      <c r="AZ979" s="232"/>
      <c r="BA979" s="232"/>
      <c r="BB979" s="232"/>
      <c r="BC979" s="232"/>
      <c r="BD979" s="232"/>
      <c r="BE979" s="232"/>
      <c r="BF979" s="232"/>
      <c r="BG979" s="232"/>
      <c r="BH979" s="232"/>
      <c r="BI979" s="232"/>
      <c r="BJ979" s="232"/>
      <c r="BK979" s="232"/>
      <c r="BL979" s="232"/>
      <c r="BM979" s="232"/>
      <c r="BN979" s="232"/>
      <c r="BO979" s="232"/>
      <c r="BP979" s="232"/>
      <c r="BQ979" s="232"/>
      <c r="BR979" s="232"/>
      <c r="BS979" s="232"/>
      <c r="BT979" s="232"/>
      <c r="BU979" s="232"/>
      <c r="BV979" s="232"/>
      <c r="BW979" s="232"/>
      <c r="BX979" s="232"/>
      <c r="BY979" s="232"/>
      <c r="BZ979" s="232"/>
      <c r="CA979" s="232"/>
      <c r="CB979" s="232"/>
      <c r="CC979" s="232"/>
      <c r="CD979" s="232"/>
      <c r="CE979" s="232"/>
      <c r="CF979" s="232"/>
      <c r="CG979" s="232"/>
      <c r="CH979" s="232"/>
      <c r="CI979" s="232"/>
      <c r="CJ979" s="232"/>
      <c r="CK979" s="232"/>
      <c r="CL979" s="232"/>
      <c r="CM979" s="232"/>
      <c r="CN979" s="215"/>
      <c r="CO979" s="215"/>
      <c r="CP979" s="215"/>
      <c r="CQ979" s="215"/>
      <c r="CR979" s="215"/>
      <c r="CS979" s="215"/>
      <c r="CT979" s="215"/>
    </row>
    <row r="980" ht="24.0" customHeight="1">
      <c r="A980" s="287"/>
      <c r="B980" s="287"/>
      <c r="C980" s="287"/>
      <c r="D980" s="232"/>
      <c r="E980" s="232"/>
      <c r="F980" s="232"/>
      <c r="G980" s="232"/>
      <c r="H980" s="232"/>
      <c r="I980" s="232"/>
      <c r="J980" s="232"/>
      <c r="K980" s="232"/>
      <c r="L980" s="232"/>
      <c r="M980" s="232"/>
      <c r="N980" s="289"/>
      <c r="O980" s="232"/>
      <c r="P980" s="232"/>
      <c r="Q980" s="232"/>
      <c r="R980" s="232"/>
      <c r="S980" s="232"/>
      <c r="T980" s="232"/>
      <c r="U980" s="232"/>
      <c r="V980" s="232"/>
      <c r="W980" s="232"/>
      <c r="X980" s="232"/>
      <c r="Y980" s="232"/>
      <c r="Z980" s="232"/>
      <c r="AA980" s="232"/>
      <c r="AB980" s="232"/>
      <c r="AC980" s="232"/>
      <c r="AD980" s="232"/>
      <c r="AE980" s="232"/>
      <c r="AF980" s="232"/>
      <c r="AG980" s="232"/>
      <c r="AH980" s="232"/>
      <c r="AI980" s="232"/>
      <c r="AJ980" s="232"/>
      <c r="AK980" s="232"/>
      <c r="AL980" s="232"/>
      <c r="AM980" s="232"/>
      <c r="AN980" s="232"/>
      <c r="AO980" s="232"/>
      <c r="AP980" s="232"/>
      <c r="AQ980" s="232"/>
      <c r="AR980" s="232"/>
      <c r="AS980" s="232"/>
      <c r="AT980" s="232"/>
      <c r="AU980" s="232"/>
      <c r="AV980" s="232"/>
      <c r="AW980" s="232"/>
      <c r="AX980" s="232"/>
      <c r="AY980" s="232"/>
      <c r="AZ980" s="232"/>
      <c r="BA980" s="232"/>
      <c r="BB980" s="232"/>
      <c r="BC980" s="232"/>
      <c r="BD980" s="232"/>
      <c r="BE980" s="232"/>
      <c r="BF980" s="232"/>
      <c r="BG980" s="232"/>
      <c r="BH980" s="232"/>
      <c r="BI980" s="232"/>
      <c r="BJ980" s="232"/>
      <c r="BK980" s="232"/>
      <c r="BL980" s="232"/>
      <c r="BM980" s="232"/>
      <c r="BN980" s="232"/>
      <c r="BO980" s="232"/>
      <c r="BP980" s="232"/>
      <c r="BQ980" s="232"/>
      <c r="BR980" s="232"/>
      <c r="BS980" s="232"/>
      <c r="BT980" s="232"/>
      <c r="BU980" s="232"/>
      <c r="BV980" s="232"/>
      <c r="BW980" s="232"/>
      <c r="BX980" s="232"/>
      <c r="BY980" s="232"/>
      <c r="BZ980" s="232"/>
      <c r="CA980" s="232"/>
      <c r="CB980" s="232"/>
      <c r="CC980" s="232"/>
      <c r="CD980" s="232"/>
      <c r="CE980" s="232"/>
      <c r="CF980" s="232"/>
      <c r="CG980" s="232"/>
      <c r="CH980" s="232"/>
      <c r="CI980" s="232"/>
      <c r="CJ980" s="232"/>
      <c r="CK980" s="232"/>
      <c r="CL980" s="232"/>
      <c r="CM980" s="232"/>
      <c r="CN980" s="215"/>
      <c r="CO980" s="215"/>
      <c r="CP980" s="215"/>
      <c r="CQ980" s="215"/>
      <c r="CR980" s="215"/>
      <c r="CS980" s="215"/>
      <c r="CT980" s="215"/>
    </row>
    <row r="981" ht="24.0" customHeight="1">
      <c r="A981" s="287"/>
      <c r="B981" s="287"/>
      <c r="C981" s="287"/>
      <c r="D981" s="232"/>
      <c r="E981" s="232"/>
      <c r="F981" s="232"/>
      <c r="G981" s="232"/>
      <c r="H981" s="232"/>
      <c r="I981" s="232"/>
      <c r="J981" s="232"/>
      <c r="K981" s="232"/>
      <c r="L981" s="232"/>
      <c r="M981" s="232"/>
      <c r="N981" s="289"/>
      <c r="O981" s="232"/>
      <c r="P981" s="232"/>
      <c r="Q981" s="232"/>
      <c r="R981" s="232"/>
      <c r="S981" s="232"/>
      <c r="T981" s="232"/>
      <c r="U981" s="232"/>
      <c r="V981" s="232"/>
      <c r="W981" s="232"/>
      <c r="X981" s="232"/>
      <c r="Y981" s="232"/>
      <c r="Z981" s="232"/>
      <c r="AA981" s="232"/>
      <c r="AB981" s="232"/>
      <c r="AC981" s="232"/>
      <c r="AD981" s="232"/>
      <c r="AE981" s="232"/>
      <c r="AF981" s="232"/>
      <c r="AG981" s="232"/>
      <c r="AH981" s="232"/>
      <c r="AI981" s="232"/>
      <c r="AJ981" s="232"/>
      <c r="AK981" s="232"/>
      <c r="AL981" s="232"/>
      <c r="AM981" s="232"/>
      <c r="AN981" s="232"/>
      <c r="AO981" s="232"/>
      <c r="AP981" s="232"/>
      <c r="AQ981" s="232"/>
      <c r="AR981" s="232"/>
      <c r="AS981" s="232"/>
      <c r="AT981" s="232"/>
      <c r="AU981" s="232"/>
      <c r="AV981" s="232"/>
      <c r="AW981" s="232"/>
      <c r="AX981" s="232"/>
      <c r="AY981" s="232"/>
      <c r="AZ981" s="232"/>
      <c r="BA981" s="232"/>
      <c r="BB981" s="232"/>
      <c r="BC981" s="232"/>
      <c r="BD981" s="232"/>
      <c r="BE981" s="232"/>
      <c r="BF981" s="232"/>
      <c r="BG981" s="232"/>
      <c r="BH981" s="232"/>
      <c r="BI981" s="232"/>
      <c r="BJ981" s="232"/>
      <c r="BK981" s="232"/>
      <c r="BL981" s="232"/>
      <c r="BM981" s="232"/>
      <c r="BN981" s="232"/>
      <c r="BO981" s="232"/>
      <c r="BP981" s="232"/>
      <c r="BQ981" s="232"/>
      <c r="BR981" s="232"/>
      <c r="BS981" s="232"/>
      <c r="BT981" s="232"/>
      <c r="BU981" s="232"/>
      <c r="BV981" s="232"/>
      <c r="BW981" s="232"/>
      <c r="BX981" s="232"/>
      <c r="BY981" s="232"/>
      <c r="BZ981" s="232"/>
      <c r="CA981" s="232"/>
      <c r="CB981" s="232"/>
      <c r="CC981" s="232"/>
      <c r="CD981" s="232"/>
      <c r="CE981" s="232"/>
      <c r="CF981" s="232"/>
      <c r="CG981" s="232"/>
      <c r="CH981" s="232"/>
      <c r="CI981" s="232"/>
      <c r="CJ981" s="232"/>
      <c r="CK981" s="232"/>
      <c r="CL981" s="232"/>
      <c r="CM981" s="232"/>
      <c r="CN981" s="215"/>
      <c r="CO981" s="215"/>
      <c r="CP981" s="215"/>
      <c r="CQ981" s="215"/>
      <c r="CR981" s="215"/>
      <c r="CS981" s="215"/>
      <c r="CT981" s="215"/>
    </row>
    <row r="982" ht="24.0" customHeight="1">
      <c r="A982" s="287"/>
      <c r="B982" s="287"/>
      <c r="C982" s="287"/>
      <c r="D982" s="232"/>
      <c r="E982" s="232"/>
      <c r="F982" s="232"/>
      <c r="G982" s="232"/>
      <c r="H982" s="232"/>
      <c r="I982" s="232"/>
      <c r="J982" s="232"/>
      <c r="K982" s="232"/>
      <c r="L982" s="232"/>
      <c r="M982" s="232"/>
      <c r="N982" s="289"/>
      <c r="O982" s="232"/>
      <c r="P982" s="232"/>
      <c r="Q982" s="232"/>
      <c r="R982" s="232"/>
      <c r="S982" s="232"/>
      <c r="T982" s="232"/>
      <c r="U982" s="232"/>
      <c r="V982" s="232"/>
      <c r="W982" s="232"/>
      <c r="X982" s="232"/>
      <c r="Y982" s="232"/>
      <c r="Z982" s="232"/>
      <c r="AA982" s="232"/>
      <c r="AB982" s="232"/>
      <c r="AC982" s="232"/>
      <c r="AD982" s="232"/>
      <c r="AE982" s="232"/>
      <c r="AF982" s="232"/>
      <c r="AG982" s="232"/>
      <c r="AH982" s="232"/>
      <c r="AI982" s="232"/>
      <c r="AJ982" s="232"/>
      <c r="AK982" s="232"/>
      <c r="AL982" s="232"/>
      <c r="AM982" s="232"/>
      <c r="AN982" s="232"/>
      <c r="AO982" s="232"/>
      <c r="AP982" s="232"/>
      <c r="AQ982" s="232"/>
      <c r="AR982" s="232"/>
      <c r="AS982" s="232"/>
      <c r="AT982" s="232"/>
      <c r="AU982" s="232"/>
      <c r="AV982" s="232"/>
      <c r="AW982" s="232"/>
      <c r="AX982" s="232"/>
      <c r="AY982" s="232"/>
      <c r="AZ982" s="232"/>
      <c r="BA982" s="232"/>
      <c r="BB982" s="232"/>
      <c r="BC982" s="232"/>
      <c r="BD982" s="232"/>
      <c r="BE982" s="232"/>
      <c r="BF982" s="232"/>
      <c r="BG982" s="232"/>
      <c r="BH982" s="232"/>
      <c r="BI982" s="232"/>
      <c r="BJ982" s="232"/>
      <c r="BK982" s="232"/>
      <c r="BL982" s="232"/>
      <c r="BM982" s="232"/>
      <c r="BN982" s="232"/>
      <c r="BO982" s="232"/>
      <c r="BP982" s="232"/>
      <c r="BQ982" s="232"/>
      <c r="BR982" s="232"/>
      <c r="BS982" s="232"/>
      <c r="BT982" s="232"/>
      <c r="BU982" s="232"/>
      <c r="BV982" s="232"/>
      <c r="BW982" s="232"/>
      <c r="BX982" s="232"/>
      <c r="BY982" s="232"/>
      <c r="BZ982" s="232"/>
      <c r="CA982" s="232"/>
      <c r="CB982" s="232"/>
      <c r="CC982" s="232"/>
      <c r="CD982" s="232"/>
      <c r="CE982" s="232"/>
      <c r="CF982" s="232"/>
      <c r="CG982" s="232"/>
      <c r="CH982" s="232"/>
      <c r="CI982" s="232"/>
      <c r="CJ982" s="232"/>
      <c r="CK982" s="232"/>
      <c r="CL982" s="232"/>
      <c r="CM982" s="232"/>
      <c r="CN982" s="215"/>
      <c r="CO982" s="215"/>
      <c r="CP982" s="215"/>
      <c r="CQ982" s="215"/>
      <c r="CR982" s="215"/>
      <c r="CS982" s="215"/>
      <c r="CT982" s="215"/>
    </row>
    <row r="983" ht="24.0" customHeight="1">
      <c r="A983" s="287"/>
      <c r="B983" s="287"/>
      <c r="C983" s="287"/>
      <c r="D983" s="232"/>
      <c r="E983" s="232"/>
      <c r="F983" s="232"/>
      <c r="G983" s="232"/>
      <c r="H983" s="232"/>
      <c r="I983" s="232"/>
      <c r="J983" s="232"/>
      <c r="K983" s="232"/>
      <c r="L983" s="232"/>
      <c r="M983" s="232"/>
      <c r="N983" s="289"/>
      <c r="O983" s="232"/>
      <c r="P983" s="232"/>
      <c r="Q983" s="232"/>
      <c r="R983" s="232"/>
      <c r="S983" s="232"/>
      <c r="T983" s="232"/>
      <c r="U983" s="232"/>
      <c r="V983" s="232"/>
      <c r="W983" s="232"/>
      <c r="X983" s="232"/>
      <c r="Y983" s="232"/>
      <c r="Z983" s="232"/>
      <c r="AA983" s="232"/>
      <c r="AB983" s="232"/>
      <c r="AC983" s="232"/>
      <c r="AD983" s="232"/>
      <c r="AE983" s="232"/>
      <c r="AF983" s="232"/>
      <c r="AG983" s="232"/>
      <c r="AH983" s="232"/>
      <c r="AI983" s="232"/>
      <c r="AJ983" s="232"/>
      <c r="AK983" s="232"/>
      <c r="AL983" s="232"/>
      <c r="AM983" s="232"/>
      <c r="AN983" s="232"/>
      <c r="AO983" s="232"/>
      <c r="AP983" s="232"/>
      <c r="AQ983" s="232"/>
      <c r="AR983" s="232"/>
      <c r="AS983" s="232"/>
      <c r="AT983" s="232"/>
      <c r="AU983" s="232"/>
      <c r="AV983" s="232"/>
      <c r="AW983" s="232"/>
      <c r="AX983" s="232"/>
      <c r="AY983" s="232"/>
      <c r="AZ983" s="232"/>
      <c r="BA983" s="232"/>
      <c r="BB983" s="232"/>
      <c r="BC983" s="232"/>
      <c r="BD983" s="232"/>
      <c r="BE983" s="232"/>
      <c r="BF983" s="232"/>
      <c r="BG983" s="232"/>
      <c r="BH983" s="232"/>
      <c r="BI983" s="232"/>
      <c r="BJ983" s="232"/>
      <c r="BK983" s="232"/>
      <c r="BL983" s="232"/>
      <c r="BM983" s="232"/>
      <c r="BN983" s="232"/>
      <c r="BO983" s="232"/>
      <c r="BP983" s="232"/>
      <c r="BQ983" s="232"/>
      <c r="BR983" s="232"/>
      <c r="BS983" s="232"/>
      <c r="BT983" s="232"/>
      <c r="BU983" s="232"/>
      <c r="BV983" s="232"/>
      <c r="BW983" s="232"/>
      <c r="BX983" s="232"/>
      <c r="BY983" s="232"/>
      <c r="BZ983" s="232"/>
      <c r="CA983" s="232"/>
      <c r="CB983" s="232"/>
      <c r="CC983" s="232"/>
      <c r="CD983" s="232"/>
      <c r="CE983" s="232"/>
      <c r="CF983" s="232"/>
      <c r="CG983" s="232"/>
      <c r="CH983" s="232"/>
      <c r="CI983" s="232"/>
      <c r="CJ983" s="232"/>
      <c r="CK983" s="232"/>
      <c r="CL983" s="232"/>
      <c r="CM983" s="232"/>
      <c r="CN983" s="215"/>
      <c r="CO983" s="215"/>
      <c r="CP983" s="215"/>
      <c r="CQ983" s="215"/>
      <c r="CR983" s="215"/>
      <c r="CS983" s="215"/>
      <c r="CT983" s="215"/>
    </row>
    <row r="984" ht="24.0" customHeight="1">
      <c r="A984" s="287"/>
      <c r="B984" s="287"/>
      <c r="C984" s="287"/>
      <c r="D984" s="232"/>
      <c r="E984" s="232"/>
      <c r="F984" s="232"/>
      <c r="G984" s="232"/>
      <c r="H984" s="232"/>
      <c r="I984" s="232"/>
      <c r="J984" s="232"/>
      <c r="K984" s="232"/>
      <c r="L984" s="232"/>
      <c r="M984" s="232"/>
      <c r="N984" s="289"/>
      <c r="O984" s="232"/>
      <c r="P984" s="232"/>
      <c r="Q984" s="232"/>
      <c r="R984" s="232"/>
      <c r="S984" s="232"/>
      <c r="T984" s="232"/>
      <c r="U984" s="232"/>
      <c r="V984" s="232"/>
      <c r="W984" s="232"/>
      <c r="X984" s="232"/>
      <c r="Y984" s="232"/>
      <c r="Z984" s="232"/>
      <c r="AA984" s="232"/>
      <c r="AB984" s="232"/>
      <c r="AC984" s="232"/>
      <c r="AD984" s="232"/>
      <c r="AE984" s="232"/>
      <c r="AF984" s="232"/>
      <c r="AG984" s="232"/>
      <c r="AH984" s="232"/>
      <c r="AI984" s="232"/>
      <c r="AJ984" s="232"/>
      <c r="AK984" s="232"/>
      <c r="AL984" s="232"/>
      <c r="AM984" s="232"/>
      <c r="AN984" s="232"/>
      <c r="AO984" s="232"/>
      <c r="AP984" s="232"/>
      <c r="AQ984" s="232"/>
      <c r="AR984" s="232"/>
      <c r="AS984" s="232"/>
      <c r="AT984" s="232"/>
      <c r="AU984" s="232"/>
      <c r="AV984" s="232"/>
      <c r="AW984" s="232"/>
      <c r="AX984" s="232"/>
      <c r="AY984" s="232"/>
      <c r="AZ984" s="232"/>
      <c r="BA984" s="232"/>
      <c r="BB984" s="232"/>
      <c r="BC984" s="232"/>
      <c r="BD984" s="232"/>
      <c r="BE984" s="232"/>
      <c r="BF984" s="232"/>
      <c r="BG984" s="232"/>
      <c r="BH984" s="232"/>
      <c r="BI984" s="232"/>
      <c r="BJ984" s="232"/>
      <c r="BK984" s="232"/>
      <c r="BL984" s="232"/>
      <c r="BM984" s="232"/>
      <c r="BN984" s="232"/>
      <c r="BO984" s="232"/>
      <c r="BP984" s="232"/>
      <c r="BQ984" s="232"/>
      <c r="BR984" s="232"/>
      <c r="BS984" s="232"/>
      <c r="BT984" s="232"/>
      <c r="BU984" s="232"/>
      <c r="BV984" s="232"/>
      <c r="BW984" s="232"/>
      <c r="BX984" s="232"/>
      <c r="BY984" s="232"/>
      <c r="BZ984" s="232"/>
      <c r="CA984" s="232"/>
      <c r="CB984" s="232"/>
      <c r="CC984" s="232"/>
      <c r="CD984" s="232"/>
      <c r="CE984" s="232"/>
      <c r="CF984" s="232"/>
      <c r="CG984" s="232"/>
      <c r="CH984" s="232"/>
      <c r="CI984" s="232"/>
      <c r="CJ984" s="232"/>
      <c r="CK984" s="232"/>
      <c r="CL984" s="232"/>
      <c r="CM984" s="232"/>
      <c r="CN984" s="215"/>
      <c r="CO984" s="215"/>
      <c r="CP984" s="215"/>
      <c r="CQ984" s="215"/>
      <c r="CR984" s="215"/>
      <c r="CS984" s="215"/>
      <c r="CT984" s="215"/>
    </row>
    <row r="985" ht="24.0" customHeight="1">
      <c r="A985" s="287"/>
      <c r="B985" s="287"/>
      <c r="C985" s="287"/>
      <c r="D985" s="232"/>
      <c r="E985" s="232"/>
      <c r="F985" s="232"/>
      <c r="G985" s="232"/>
      <c r="H985" s="232"/>
      <c r="I985" s="232"/>
      <c r="J985" s="232"/>
      <c r="K985" s="232"/>
      <c r="L985" s="232"/>
      <c r="M985" s="232"/>
      <c r="N985" s="289"/>
      <c r="O985" s="232"/>
      <c r="P985" s="232"/>
      <c r="Q985" s="232"/>
      <c r="R985" s="232"/>
      <c r="S985" s="232"/>
      <c r="T985" s="232"/>
      <c r="U985" s="232"/>
      <c r="V985" s="232"/>
      <c r="W985" s="232"/>
      <c r="X985" s="232"/>
      <c r="Y985" s="232"/>
      <c r="Z985" s="232"/>
      <c r="AA985" s="232"/>
      <c r="AB985" s="232"/>
      <c r="AC985" s="232"/>
      <c r="AD985" s="232"/>
      <c r="AE985" s="232"/>
      <c r="AF985" s="232"/>
      <c r="AG985" s="232"/>
      <c r="AH985" s="232"/>
      <c r="AI985" s="232"/>
      <c r="AJ985" s="232"/>
      <c r="AK985" s="232"/>
      <c r="AL985" s="232"/>
      <c r="AM985" s="232"/>
      <c r="AN985" s="232"/>
      <c r="AO985" s="232"/>
      <c r="AP985" s="232"/>
      <c r="AQ985" s="232"/>
      <c r="AR985" s="232"/>
      <c r="AS985" s="232"/>
      <c r="AT985" s="232"/>
      <c r="AU985" s="232"/>
      <c r="AV985" s="232"/>
      <c r="AW985" s="232"/>
      <c r="AX985" s="232"/>
      <c r="AY985" s="232"/>
      <c r="AZ985" s="232"/>
      <c r="BA985" s="232"/>
      <c r="BB985" s="232"/>
      <c r="BC985" s="232"/>
      <c r="BD985" s="232"/>
      <c r="BE985" s="232"/>
      <c r="BF985" s="232"/>
      <c r="BG985" s="232"/>
      <c r="BH985" s="232"/>
      <c r="BI985" s="232"/>
      <c r="BJ985" s="232"/>
      <c r="BK985" s="232"/>
      <c r="BL985" s="232"/>
      <c r="BM985" s="232"/>
      <c r="BN985" s="232"/>
      <c r="BO985" s="232"/>
      <c r="BP985" s="232"/>
      <c r="BQ985" s="232"/>
      <c r="BR985" s="232"/>
      <c r="BS985" s="232"/>
      <c r="BT985" s="232"/>
      <c r="BU985" s="232"/>
      <c r="BV985" s="232"/>
      <c r="BW985" s="232"/>
      <c r="BX985" s="232"/>
      <c r="BY985" s="232"/>
      <c r="BZ985" s="232"/>
      <c r="CA985" s="232"/>
      <c r="CB985" s="232"/>
      <c r="CC985" s="232"/>
      <c r="CD985" s="232"/>
      <c r="CE985" s="232"/>
      <c r="CF985" s="232"/>
      <c r="CG985" s="232"/>
      <c r="CH985" s="232"/>
      <c r="CI985" s="232"/>
      <c r="CJ985" s="232"/>
      <c r="CK985" s="232"/>
      <c r="CL985" s="232"/>
      <c r="CM985" s="232"/>
      <c r="CN985" s="215"/>
      <c r="CO985" s="215"/>
      <c r="CP985" s="215"/>
      <c r="CQ985" s="215"/>
      <c r="CR985" s="215"/>
      <c r="CS985" s="215"/>
      <c r="CT985" s="215"/>
    </row>
    <row r="986" ht="24.0" customHeight="1">
      <c r="A986" s="287"/>
      <c r="B986" s="287"/>
      <c r="C986" s="287"/>
      <c r="D986" s="232"/>
      <c r="E986" s="232"/>
      <c r="F986" s="232"/>
      <c r="G986" s="232"/>
      <c r="H986" s="232"/>
      <c r="I986" s="232"/>
      <c r="J986" s="232"/>
      <c r="K986" s="232"/>
      <c r="L986" s="232"/>
      <c r="M986" s="232"/>
      <c r="N986" s="289"/>
      <c r="O986" s="232"/>
      <c r="P986" s="232"/>
      <c r="Q986" s="232"/>
      <c r="R986" s="232"/>
      <c r="S986" s="232"/>
      <c r="T986" s="232"/>
      <c r="U986" s="232"/>
      <c r="V986" s="232"/>
      <c r="W986" s="232"/>
      <c r="X986" s="232"/>
      <c r="Y986" s="232"/>
      <c r="Z986" s="232"/>
      <c r="AA986" s="232"/>
      <c r="AB986" s="232"/>
      <c r="AC986" s="232"/>
      <c r="AD986" s="232"/>
      <c r="AE986" s="232"/>
      <c r="AF986" s="232"/>
      <c r="AG986" s="232"/>
      <c r="AH986" s="232"/>
      <c r="AI986" s="232"/>
      <c r="AJ986" s="232"/>
      <c r="AK986" s="232"/>
      <c r="AL986" s="232"/>
      <c r="AM986" s="232"/>
      <c r="AN986" s="232"/>
      <c r="AO986" s="232"/>
      <c r="AP986" s="232"/>
      <c r="AQ986" s="232"/>
      <c r="AR986" s="232"/>
      <c r="AS986" s="232"/>
      <c r="AT986" s="232"/>
      <c r="AU986" s="232"/>
      <c r="AV986" s="232"/>
      <c r="AW986" s="232"/>
      <c r="AX986" s="232"/>
      <c r="AY986" s="232"/>
      <c r="AZ986" s="232"/>
      <c r="BA986" s="232"/>
      <c r="BB986" s="232"/>
      <c r="BC986" s="232"/>
      <c r="BD986" s="232"/>
      <c r="BE986" s="232"/>
      <c r="BF986" s="232"/>
      <c r="BG986" s="232"/>
      <c r="BH986" s="232"/>
      <c r="BI986" s="232"/>
      <c r="BJ986" s="232"/>
      <c r="BK986" s="232"/>
      <c r="BL986" s="232"/>
      <c r="BM986" s="232"/>
      <c r="BN986" s="232"/>
      <c r="BO986" s="232"/>
      <c r="BP986" s="232"/>
      <c r="BQ986" s="232"/>
      <c r="BR986" s="232"/>
      <c r="BS986" s="232"/>
      <c r="BT986" s="232"/>
      <c r="BU986" s="232"/>
      <c r="BV986" s="232"/>
      <c r="BW986" s="232"/>
      <c r="BX986" s="232"/>
      <c r="BY986" s="232"/>
      <c r="BZ986" s="232"/>
      <c r="CA986" s="232"/>
      <c r="CB986" s="232"/>
      <c r="CC986" s="232"/>
      <c r="CD986" s="232"/>
      <c r="CE986" s="232"/>
      <c r="CF986" s="232"/>
      <c r="CG986" s="232"/>
      <c r="CH986" s="232"/>
      <c r="CI986" s="232"/>
      <c r="CJ986" s="232"/>
      <c r="CK986" s="232"/>
      <c r="CL986" s="232"/>
      <c r="CM986" s="232"/>
      <c r="CN986" s="215"/>
      <c r="CO986" s="215"/>
      <c r="CP986" s="215"/>
      <c r="CQ986" s="215"/>
      <c r="CR986" s="215"/>
      <c r="CS986" s="215"/>
      <c r="CT986" s="215"/>
    </row>
    <row r="987" ht="24.0" customHeight="1">
      <c r="A987" s="287"/>
      <c r="B987" s="287"/>
      <c r="C987" s="287"/>
      <c r="D987" s="232"/>
      <c r="E987" s="232"/>
      <c r="F987" s="232"/>
      <c r="G987" s="232"/>
      <c r="H987" s="232"/>
      <c r="I987" s="232"/>
      <c r="J987" s="232"/>
      <c r="K987" s="232"/>
      <c r="L987" s="232"/>
      <c r="M987" s="232"/>
      <c r="N987" s="289"/>
      <c r="O987" s="232"/>
      <c r="P987" s="232"/>
      <c r="Q987" s="232"/>
      <c r="R987" s="232"/>
      <c r="S987" s="232"/>
      <c r="T987" s="232"/>
      <c r="U987" s="232"/>
      <c r="V987" s="232"/>
      <c r="W987" s="232"/>
      <c r="X987" s="232"/>
      <c r="Y987" s="232"/>
      <c r="Z987" s="232"/>
      <c r="AA987" s="232"/>
      <c r="AB987" s="232"/>
      <c r="AC987" s="232"/>
      <c r="AD987" s="232"/>
      <c r="AE987" s="232"/>
      <c r="AF987" s="232"/>
      <c r="AG987" s="232"/>
      <c r="AH987" s="232"/>
      <c r="AI987" s="232"/>
      <c r="AJ987" s="232"/>
      <c r="AK987" s="232"/>
      <c r="AL987" s="232"/>
      <c r="AM987" s="232"/>
      <c r="AN987" s="232"/>
      <c r="AO987" s="232"/>
      <c r="AP987" s="232"/>
      <c r="AQ987" s="232"/>
      <c r="AR987" s="232"/>
      <c r="AS987" s="232"/>
      <c r="AT987" s="232"/>
      <c r="AU987" s="232"/>
      <c r="AV987" s="232"/>
      <c r="AW987" s="232"/>
      <c r="AX987" s="232"/>
      <c r="AY987" s="232"/>
      <c r="AZ987" s="232"/>
      <c r="BA987" s="232"/>
      <c r="BB987" s="232"/>
      <c r="BC987" s="232"/>
      <c r="BD987" s="232"/>
      <c r="BE987" s="232"/>
      <c r="BF987" s="232"/>
      <c r="BG987" s="232"/>
      <c r="BH987" s="232"/>
      <c r="BI987" s="232"/>
      <c r="BJ987" s="232"/>
      <c r="BK987" s="232"/>
      <c r="BL987" s="232"/>
      <c r="BM987" s="232"/>
      <c r="BN987" s="232"/>
      <c r="BO987" s="232"/>
      <c r="BP987" s="232"/>
      <c r="BQ987" s="232"/>
      <c r="BR987" s="232"/>
      <c r="BS987" s="232"/>
      <c r="BT987" s="232"/>
      <c r="BU987" s="232"/>
      <c r="BV987" s="232"/>
      <c r="BW987" s="232"/>
      <c r="BX987" s="232"/>
      <c r="BY987" s="232"/>
      <c r="BZ987" s="232"/>
      <c r="CA987" s="232"/>
      <c r="CB987" s="232"/>
      <c r="CC987" s="232"/>
      <c r="CD987" s="232"/>
      <c r="CE987" s="232"/>
      <c r="CF987" s="232"/>
      <c r="CG987" s="232"/>
      <c r="CH987" s="232"/>
      <c r="CI987" s="232"/>
      <c r="CJ987" s="232"/>
      <c r="CK987" s="232"/>
      <c r="CL987" s="232"/>
      <c r="CM987" s="232"/>
      <c r="CN987" s="215"/>
      <c r="CO987" s="215"/>
      <c r="CP987" s="215"/>
      <c r="CQ987" s="215"/>
      <c r="CR987" s="215"/>
      <c r="CS987" s="215"/>
      <c r="CT987" s="215"/>
    </row>
    <row r="988" ht="24.0" customHeight="1">
      <c r="A988" s="287"/>
      <c r="B988" s="287"/>
      <c r="C988" s="287"/>
      <c r="D988" s="232"/>
      <c r="E988" s="232"/>
      <c r="F988" s="232"/>
      <c r="G988" s="232"/>
      <c r="H988" s="232"/>
      <c r="I988" s="232"/>
      <c r="J988" s="232"/>
      <c r="K988" s="232"/>
      <c r="L988" s="232"/>
      <c r="M988" s="232"/>
      <c r="N988" s="289"/>
      <c r="O988" s="232"/>
      <c r="P988" s="232"/>
      <c r="Q988" s="232"/>
      <c r="R988" s="232"/>
      <c r="S988" s="232"/>
      <c r="T988" s="232"/>
      <c r="U988" s="232"/>
      <c r="V988" s="232"/>
      <c r="W988" s="232"/>
      <c r="X988" s="232"/>
      <c r="Y988" s="232"/>
      <c r="Z988" s="232"/>
      <c r="AA988" s="232"/>
      <c r="AB988" s="232"/>
      <c r="AC988" s="232"/>
      <c r="AD988" s="232"/>
      <c r="AE988" s="232"/>
      <c r="AF988" s="232"/>
      <c r="AG988" s="232"/>
      <c r="AH988" s="232"/>
      <c r="AI988" s="232"/>
      <c r="AJ988" s="232"/>
      <c r="AK988" s="232"/>
      <c r="AL988" s="232"/>
      <c r="AM988" s="232"/>
      <c r="AN988" s="232"/>
      <c r="AO988" s="232"/>
      <c r="AP988" s="232"/>
      <c r="AQ988" s="232"/>
      <c r="AR988" s="232"/>
      <c r="AS988" s="232"/>
      <c r="AT988" s="232"/>
      <c r="AU988" s="232"/>
      <c r="AV988" s="232"/>
      <c r="AW988" s="232"/>
      <c r="AX988" s="232"/>
      <c r="AY988" s="232"/>
      <c r="AZ988" s="232"/>
      <c r="BA988" s="232"/>
      <c r="BB988" s="232"/>
      <c r="BC988" s="232"/>
      <c r="BD988" s="232"/>
      <c r="BE988" s="232"/>
      <c r="BF988" s="232"/>
      <c r="BG988" s="232"/>
      <c r="BH988" s="232"/>
      <c r="BI988" s="232"/>
      <c r="BJ988" s="232"/>
      <c r="BK988" s="232"/>
      <c r="BL988" s="232"/>
      <c r="BM988" s="232"/>
      <c r="BN988" s="232"/>
      <c r="BO988" s="232"/>
      <c r="BP988" s="232"/>
      <c r="BQ988" s="232"/>
      <c r="BR988" s="232"/>
      <c r="BS988" s="232"/>
      <c r="BT988" s="232"/>
      <c r="BU988" s="232"/>
      <c r="BV988" s="232"/>
      <c r="BW988" s="232"/>
      <c r="BX988" s="232"/>
      <c r="BY988" s="232"/>
      <c r="BZ988" s="232"/>
      <c r="CA988" s="232"/>
      <c r="CB988" s="232"/>
      <c r="CC988" s="232"/>
      <c r="CD988" s="232"/>
      <c r="CE988" s="232"/>
      <c r="CF988" s="232"/>
      <c r="CG988" s="232"/>
      <c r="CH988" s="232"/>
      <c r="CI988" s="232"/>
      <c r="CJ988" s="232"/>
      <c r="CK988" s="232"/>
      <c r="CL988" s="232"/>
      <c r="CM988" s="232"/>
      <c r="CN988" s="215"/>
      <c r="CO988" s="215"/>
      <c r="CP988" s="215"/>
      <c r="CQ988" s="215"/>
      <c r="CR988" s="215"/>
      <c r="CS988" s="215"/>
      <c r="CT988" s="215"/>
    </row>
    <row r="989" ht="24.0" customHeight="1">
      <c r="A989" s="287"/>
      <c r="B989" s="287"/>
      <c r="C989" s="287"/>
      <c r="D989" s="232"/>
      <c r="E989" s="232"/>
      <c r="F989" s="232"/>
      <c r="G989" s="232"/>
      <c r="H989" s="232"/>
      <c r="I989" s="232"/>
      <c r="J989" s="232"/>
      <c r="K989" s="232"/>
      <c r="L989" s="232"/>
      <c r="M989" s="232"/>
      <c r="N989" s="289"/>
      <c r="O989" s="232"/>
      <c r="P989" s="232"/>
      <c r="Q989" s="232"/>
      <c r="R989" s="232"/>
      <c r="S989" s="232"/>
      <c r="T989" s="232"/>
      <c r="U989" s="232"/>
      <c r="V989" s="232"/>
      <c r="W989" s="232"/>
      <c r="X989" s="232"/>
      <c r="Y989" s="232"/>
      <c r="Z989" s="232"/>
      <c r="AA989" s="232"/>
      <c r="AB989" s="232"/>
      <c r="AC989" s="232"/>
      <c r="AD989" s="232"/>
      <c r="AE989" s="232"/>
      <c r="AF989" s="232"/>
      <c r="AG989" s="232"/>
      <c r="AH989" s="232"/>
      <c r="AI989" s="232"/>
      <c r="AJ989" s="232"/>
      <c r="AK989" s="232"/>
      <c r="AL989" s="232"/>
      <c r="AM989" s="232"/>
      <c r="AN989" s="232"/>
      <c r="AO989" s="232"/>
      <c r="AP989" s="232"/>
      <c r="AQ989" s="232"/>
      <c r="AR989" s="232"/>
      <c r="AS989" s="232"/>
      <c r="AT989" s="232"/>
      <c r="AU989" s="232"/>
      <c r="AV989" s="232"/>
      <c r="AW989" s="232"/>
      <c r="AX989" s="232"/>
      <c r="AY989" s="232"/>
      <c r="AZ989" s="232"/>
      <c r="BA989" s="232"/>
      <c r="BB989" s="232"/>
      <c r="BC989" s="232"/>
      <c r="BD989" s="232"/>
      <c r="BE989" s="232"/>
      <c r="BF989" s="232"/>
      <c r="BG989" s="232"/>
      <c r="BH989" s="232"/>
      <c r="BI989" s="232"/>
      <c r="BJ989" s="232"/>
      <c r="BK989" s="232"/>
      <c r="BL989" s="232"/>
      <c r="BM989" s="232"/>
      <c r="BN989" s="232"/>
      <c r="BO989" s="232"/>
      <c r="BP989" s="232"/>
      <c r="BQ989" s="232"/>
      <c r="BR989" s="232"/>
      <c r="BS989" s="232"/>
      <c r="BT989" s="232"/>
      <c r="BU989" s="232"/>
      <c r="BV989" s="232"/>
      <c r="BW989" s="232"/>
      <c r="BX989" s="232"/>
      <c r="BY989" s="232"/>
      <c r="BZ989" s="232"/>
      <c r="CA989" s="232"/>
      <c r="CB989" s="232"/>
      <c r="CC989" s="232"/>
      <c r="CD989" s="232"/>
      <c r="CE989" s="232"/>
      <c r="CF989" s="232"/>
      <c r="CG989" s="232"/>
      <c r="CH989" s="232"/>
      <c r="CI989" s="232"/>
      <c r="CJ989" s="232"/>
      <c r="CK989" s="232"/>
      <c r="CL989" s="232"/>
      <c r="CM989" s="232"/>
      <c r="CN989" s="215"/>
      <c r="CO989" s="215"/>
      <c r="CP989" s="215"/>
      <c r="CQ989" s="215"/>
      <c r="CR989" s="215"/>
      <c r="CS989" s="215"/>
      <c r="CT989" s="215"/>
    </row>
    <row r="990" ht="24.0" customHeight="1">
      <c r="A990" s="287"/>
      <c r="B990" s="287"/>
      <c r="C990" s="287"/>
      <c r="D990" s="232"/>
      <c r="E990" s="232"/>
      <c r="F990" s="232"/>
      <c r="G990" s="232"/>
      <c r="H990" s="232"/>
      <c r="I990" s="232"/>
      <c r="J990" s="232"/>
      <c r="K990" s="232"/>
      <c r="L990" s="232"/>
      <c r="M990" s="232"/>
      <c r="N990" s="289"/>
      <c r="O990" s="232"/>
      <c r="P990" s="232"/>
      <c r="Q990" s="232"/>
      <c r="R990" s="232"/>
      <c r="S990" s="232"/>
      <c r="T990" s="232"/>
      <c r="U990" s="232"/>
      <c r="V990" s="232"/>
      <c r="W990" s="232"/>
      <c r="X990" s="232"/>
      <c r="Y990" s="232"/>
      <c r="Z990" s="232"/>
      <c r="AA990" s="232"/>
      <c r="AB990" s="232"/>
      <c r="AC990" s="232"/>
      <c r="AD990" s="232"/>
      <c r="AE990" s="232"/>
      <c r="AF990" s="232"/>
      <c r="AG990" s="232"/>
      <c r="AH990" s="232"/>
      <c r="AI990" s="232"/>
      <c r="AJ990" s="232"/>
      <c r="AK990" s="232"/>
      <c r="AL990" s="232"/>
      <c r="AM990" s="232"/>
      <c r="AN990" s="232"/>
      <c r="AO990" s="232"/>
      <c r="AP990" s="232"/>
      <c r="AQ990" s="232"/>
      <c r="AR990" s="232"/>
      <c r="AS990" s="232"/>
      <c r="AT990" s="232"/>
      <c r="AU990" s="232"/>
      <c r="AV990" s="232"/>
      <c r="AW990" s="232"/>
      <c r="AX990" s="232"/>
      <c r="AY990" s="232"/>
      <c r="AZ990" s="232"/>
      <c r="BA990" s="232"/>
      <c r="BB990" s="232"/>
      <c r="BC990" s="232"/>
      <c r="BD990" s="232"/>
      <c r="BE990" s="232"/>
      <c r="BF990" s="232"/>
      <c r="BG990" s="232"/>
      <c r="BH990" s="232"/>
      <c r="BI990" s="232"/>
      <c r="BJ990" s="232"/>
      <c r="BK990" s="232"/>
      <c r="BL990" s="232"/>
      <c r="BM990" s="232"/>
      <c r="BN990" s="232"/>
      <c r="BO990" s="232"/>
      <c r="BP990" s="232"/>
      <c r="BQ990" s="232"/>
      <c r="BR990" s="232"/>
      <c r="BS990" s="232"/>
      <c r="BT990" s="232"/>
      <c r="BU990" s="232"/>
      <c r="BV990" s="232"/>
      <c r="BW990" s="232"/>
      <c r="BX990" s="232"/>
      <c r="BY990" s="232"/>
      <c r="BZ990" s="232"/>
      <c r="CA990" s="232"/>
      <c r="CB990" s="232"/>
      <c r="CC990" s="232"/>
      <c r="CD990" s="232"/>
      <c r="CE990" s="232"/>
      <c r="CF990" s="232"/>
      <c r="CG990" s="232"/>
      <c r="CH990" s="232"/>
      <c r="CI990" s="232"/>
      <c r="CJ990" s="232"/>
      <c r="CK990" s="232"/>
      <c r="CL990" s="232"/>
      <c r="CM990" s="232"/>
      <c r="CN990" s="215"/>
      <c r="CO990" s="215"/>
      <c r="CP990" s="215"/>
      <c r="CQ990" s="215"/>
      <c r="CR990" s="215"/>
      <c r="CS990" s="215"/>
      <c r="CT990" s="215"/>
    </row>
    <row r="991" ht="24.0" customHeight="1">
      <c r="A991" s="287"/>
      <c r="B991" s="287"/>
      <c r="C991" s="287"/>
      <c r="D991" s="232"/>
      <c r="E991" s="232"/>
      <c r="F991" s="232"/>
      <c r="G991" s="232"/>
      <c r="H991" s="232"/>
      <c r="I991" s="232"/>
      <c r="J991" s="232"/>
      <c r="K991" s="232"/>
      <c r="L991" s="232"/>
      <c r="M991" s="232"/>
      <c r="N991" s="289"/>
      <c r="O991" s="232"/>
      <c r="P991" s="232"/>
      <c r="Q991" s="232"/>
      <c r="R991" s="232"/>
      <c r="S991" s="232"/>
      <c r="T991" s="232"/>
      <c r="U991" s="232"/>
      <c r="V991" s="232"/>
      <c r="W991" s="232"/>
      <c r="X991" s="232"/>
      <c r="Y991" s="232"/>
      <c r="Z991" s="232"/>
      <c r="AA991" s="232"/>
      <c r="AB991" s="232"/>
      <c r="AC991" s="232"/>
      <c r="AD991" s="232"/>
      <c r="AE991" s="232"/>
      <c r="AF991" s="232"/>
      <c r="AG991" s="232"/>
      <c r="AH991" s="232"/>
      <c r="AI991" s="232"/>
      <c r="AJ991" s="232"/>
      <c r="AK991" s="232"/>
      <c r="AL991" s="232"/>
      <c r="AM991" s="232"/>
      <c r="AN991" s="232"/>
      <c r="AO991" s="232"/>
      <c r="AP991" s="232"/>
      <c r="AQ991" s="232"/>
      <c r="AR991" s="232"/>
      <c r="AS991" s="232"/>
      <c r="AT991" s="232"/>
      <c r="AU991" s="232"/>
      <c r="AV991" s="232"/>
      <c r="AW991" s="232"/>
      <c r="AX991" s="232"/>
      <c r="AY991" s="232"/>
      <c r="AZ991" s="232"/>
      <c r="BA991" s="232"/>
      <c r="BB991" s="232"/>
      <c r="BC991" s="232"/>
      <c r="BD991" s="232"/>
      <c r="BE991" s="232"/>
      <c r="BF991" s="232"/>
      <c r="BG991" s="232"/>
      <c r="BH991" s="232"/>
      <c r="BI991" s="232"/>
      <c r="BJ991" s="232"/>
      <c r="BK991" s="232"/>
      <c r="BL991" s="232"/>
      <c r="BM991" s="232"/>
      <c r="BN991" s="232"/>
      <c r="BO991" s="232"/>
      <c r="BP991" s="232"/>
      <c r="BQ991" s="232"/>
      <c r="BR991" s="232"/>
      <c r="BS991" s="232"/>
      <c r="BT991" s="232"/>
      <c r="BU991" s="232"/>
      <c r="BV991" s="232"/>
      <c r="BW991" s="232"/>
      <c r="BX991" s="232"/>
      <c r="BY991" s="232"/>
      <c r="BZ991" s="232"/>
      <c r="CA991" s="232"/>
      <c r="CB991" s="232"/>
      <c r="CC991" s="232"/>
      <c r="CD991" s="232"/>
      <c r="CE991" s="232"/>
      <c r="CF991" s="232"/>
      <c r="CG991" s="232"/>
      <c r="CH991" s="232"/>
      <c r="CI991" s="232"/>
      <c r="CJ991" s="232"/>
      <c r="CK991" s="232"/>
      <c r="CL991" s="232"/>
      <c r="CM991" s="232"/>
      <c r="CN991" s="215"/>
      <c r="CO991" s="215"/>
      <c r="CP991" s="215"/>
      <c r="CQ991" s="215"/>
      <c r="CR991" s="215"/>
      <c r="CS991" s="215"/>
      <c r="CT991" s="215"/>
    </row>
    <row r="992" ht="24.0" customHeight="1">
      <c r="A992" s="287"/>
      <c r="B992" s="287"/>
      <c r="C992" s="287"/>
      <c r="D992" s="232"/>
      <c r="E992" s="232"/>
      <c r="F992" s="232"/>
      <c r="G992" s="232"/>
      <c r="H992" s="232"/>
      <c r="I992" s="232"/>
      <c r="J992" s="232"/>
      <c r="K992" s="232"/>
      <c r="L992" s="232"/>
      <c r="M992" s="232"/>
      <c r="N992" s="289"/>
      <c r="O992" s="232"/>
      <c r="P992" s="232"/>
      <c r="Q992" s="232"/>
      <c r="R992" s="232"/>
      <c r="S992" s="232"/>
      <c r="T992" s="232"/>
      <c r="U992" s="232"/>
      <c r="V992" s="232"/>
      <c r="W992" s="232"/>
      <c r="X992" s="232"/>
      <c r="Y992" s="232"/>
      <c r="Z992" s="232"/>
      <c r="AA992" s="232"/>
      <c r="AB992" s="232"/>
      <c r="AC992" s="232"/>
      <c r="AD992" s="232"/>
      <c r="AE992" s="232"/>
      <c r="AF992" s="232"/>
      <c r="AG992" s="232"/>
      <c r="AH992" s="232"/>
      <c r="AI992" s="232"/>
      <c r="AJ992" s="232"/>
      <c r="AK992" s="232"/>
      <c r="AL992" s="232"/>
      <c r="AM992" s="232"/>
      <c r="AN992" s="232"/>
      <c r="AO992" s="232"/>
      <c r="AP992" s="232"/>
      <c r="AQ992" s="232"/>
      <c r="AR992" s="232"/>
      <c r="AS992" s="232"/>
      <c r="AT992" s="232"/>
      <c r="AU992" s="232"/>
      <c r="AV992" s="232"/>
      <c r="AW992" s="232"/>
      <c r="AX992" s="232"/>
      <c r="AY992" s="232"/>
      <c r="AZ992" s="232"/>
      <c r="BA992" s="232"/>
      <c r="BB992" s="232"/>
      <c r="BC992" s="232"/>
      <c r="BD992" s="232"/>
      <c r="BE992" s="232"/>
      <c r="BF992" s="232"/>
      <c r="BG992" s="232"/>
      <c r="BH992" s="232"/>
      <c r="BI992" s="232"/>
      <c r="BJ992" s="232"/>
      <c r="BK992" s="232"/>
      <c r="BL992" s="232"/>
      <c r="BM992" s="232"/>
      <c r="BN992" s="232"/>
      <c r="BO992" s="232"/>
      <c r="BP992" s="232"/>
      <c r="BQ992" s="232"/>
      <c r="BR992" s="232"/>
      <c r="BS992" s="232"/>
      <c r="BT992" s="232"/>
      <c r="BU992" s="232"/>
      <c r="BV992" s="232"/>
      <c r="BW992" s="232"/>
      <c r="BX992" s="232"/>
      <c r="BY992" s="232"/>
      <c r="BZ992" s="232"/>
      <c r="CA992" s="232"/>
      <c r="CB992" s="232"/>
      <c r="CC992" s="232"/>
      <c r="CD992" s="232"/>
      <c r="CE992" s="232"/>
      <c r="CF992" s="232"/>
      <c r="CG992" s="232"/>
      <c r="CH992" s="232"/>
      <c r="CI992" s="232"/>
      <c r="CJ992" s="232"/>
      <c r="CK992" s="232"/>
      <c r="CL992" s="232"/>
      <c r="CM992" s="232"/>
      <c r="CN992" s="215"/>
      <c r="CO992" s="215"/>
      <c r="CP992" s="215"/>
      <c r="CQ992" s="215"/>
      <c r="CR992" s="215"/>
      <c r="CS992" s="215"/>
      <c r="CT992" s="215"/>
    </row>
    <row r="993" ht="24.0" customHeight="1">
      <c r="A993" s="287"/>
      <c r="B993" s="287"/>
      <c r="C993" s="287"/>
      <c r="D993" s="232"/>
      <c r="E993" s="232"/>
      <c r="F993" s="232"/>
      <c r="G993" s="232"/>
      <c r="H993" s="232"/>
      <c r="I993" s="232"/>
      <c r="J993" s="232"/>
      <c r="K993" s="232"/>
      <c r="L993" s="232"/>
      <c r="M993" s="232"/>
      <c r="N993" s="289"/>
      <c r="O993" s="232"/>
      <c r="P993" s="232"/>
      <c r="Q993" s="232"/>
      <c r="R993" s="232"/>
      <c r="S993" s="232"/>
      <c r="T993" s="232"/>
      <c r="U993" s="232"/>
      <c r="V993" s="232"/>
      <c r="W993" s="232"/>
      <c r="X993" s="232"/>
      <c r="Y993" s="232"/>
      <c r="Z993" s="232"/>
      <c r="AA993" s="232"/>
      <c r="AB993" s="232"/>
      <c r="AC993" s="232"/>
      <c r="AD993" s="232"/>
      <c r="AE993" s="232"/>
      <c r="AF993" s="232"/>
      <c r="AG993" s="232"/>
      <c r="AH993" s="232"/>
      <c r="AI993" s="232"/>
      <c r="AJ993" s="232"/>
      <c r="AK993" s="232"/>
      <c r="AL993" s="232"/>
      <c r="AM993" s="232"/>
      <c r="AN993" s="232"/>
      <c r="AO993" s="232"/>
      <c r="AP993" s="232"/>
      <c r="AQ993" s="232"/>
      <c r="AR993" s="232"/>
      <c r="AS993" s="232"/>
      <c r="AT993" s="232"/>
      <c r="AU993" s="232"/>
      <c r="AV993" s="232"/>
      <c r="AW993" s="232"/>
      <c r="AX993" s="232"/>
      <c r="AY993" s="232"/>
      <c r="AZ993" s="232"/>
      <c r="BA993" s="232"/>
      <c r="BB993" s="232"/>
      <c r="BC993" s="232"/>
      <c r="BD993" s="232"/>
      <c r="BE993" s="232"/>
      <c r="BF993" s="232"/>
      <c r="BG993" s="232"/>
      <c r="BH993" s="232"/>
      <c r="BI993" s="232"/>
      <c r="BJ993" s="232"/>
      <c r="BK993" s="232"/>
      <c r="BL993" s="232"/>
      <c r="BM993" s="232"/>
      <c r="BN993" s="232"/>
      <c r="BO993" s="232"/>
      <c r="BP993" s="232"/>
      <c r="BQ993" s="232"/>
      <c r="BR993" s="232"/>
      <c r="BS993" s="232"/>
      <c r="BT993" s="232"/>
      <c r="BU993" s="232"/>
      <c r="BV993" s="232"/>
      <c r="BW993" s="232"/>
      <c r="BX993" s="232"/>
      <c r="BY993" s="232"/>
      <c r="BZ993" s="232"/>
      <c r="CA993" s="232"/>
      <c r="CB993" s="232"/>
      <c r="CC993" s="232"/>
      <c r="CD993" s="232"/>
      <c r="CE993" s="232"/>
      <c r="CF993" s="232"/>
      <c r="CG993" s="232"/>
      <c r="CH993" s="232"/>
      <c r="CI993" s="232"/>
      <c r="CJ993" s="232"/>
      <c r="CK993" s="232"/>
      <c r="CL993" s="232"/>
      <c r="CM993" s="232"/>
      <c r="CN993" s="215"/>
      <c r="CO993" s="215"/>
      <c r="CP993" s="215"/>
      <c r="CQ993" s="215"/>
      <c r="CR993" s="215"/>
      <c r="CS993" s="215"/>
      <c r="CT993" s="215"/>
    </row>
    <row r="994" ht="24.0" customHeight="1">
      <c r="A994" s="287"/>
      <c r="B994" s="287"/>
      <c r="C994" s="287"/>
      <c r="D994" s="232"/>
      <c r="E994" s="232"/>
      <c r="F994" s="232"/>
      <c r="G994" s="232"/>
      <c r="H994" s="232"/>
      <c r="I994" s="232"/>
      <c r="J994" s="232"/>
      <c r="K994" s="232"/>
      <c r="L994" s="232"/>
      <c r="M994" s="232"/>
      <c r="N994" s="289"/>
      <c r="O994" s="232"/>
      <c r="P994" s="232"/>
      <c r="Q994" s="232"/>
      <c r="R994" s="232"/>
      <c r="S994" s="232"/>
      <c r="T994" s="232"/>
      <c r="U994" s="232"/>
      <c r="V994" s="232"/>
      <c r="W994" s="232"/>
      <c r="X994" s="232"/>
      <c r="Y994" s="232"/>
      <c r="Z994" s="232"/>
      <c r="AA994" s="232"/>
      <c r="AB994" s="232"/>
      <c r="AC994" s="232"/>
      <c r="AD994" s="232"/>
      <c r="AE994" s="232"/>
      <c r="AF994" s="232"/>
      <c r="AG994" s="232"/>
      <c r="AH994" s="232"/>
      <c r="AI994" s="232"/>
      <c r="AJ994" s="232"/>
      <c r="AK994" s="232"/>
      <c r="AL994" s="232"/>
      <c r="AM994" s="232"/>
      <c r="AN994" s="232"/>
      <c r="AO994" s="232"/>
      <c r="AP994" s="232"/>
      <c r="AQ994" s="232"/>
      <c r="AR994" s="232"/>
      <c r="AS994" s="232"/>
      <c r="AT994" s="232"/>
      <c r="AU994" s="232"/>
      <c r="AV994" s="232"/>
      <c r="AW994" s="232"/>
      <c r="AX994" s="232"/>
      <c r="AY994" s="232"/>
      <c r="AZ994" s="232"/>
      <c r="BA994" s="232"/>
      <c r="BB994" s="232"/>
      <c r="BC994" s="232"/>
      <c r="BD994" s="232"/>
      <c r="BE994" s="232"/>
      <c r="BF994" s="232"/>
      <c r="BG994" s="232"/>
      <c r="BH994" s="232"/>
      <c r="BI994" s="232"/>
      <c r="BJ994" s="232"/>
      <c r="BK994" s="232"/>
      <c r="BL994" s="232"/>
      <c r="BM994" s="232"/>
      <c r="BN994" s="232"/>
      <c r="BO994" s="232"/>
      <c r="BP994" s="232"/>
      <c r="BQ994" s="232"/>
      <c r="BR994" s="232"/>
      <c r="BS994" s="232"/>
      <c r="BT994" s="232"/>
      <c r="BU994" s="232"/>
      <c r="BV994" s="232"/>
      <c r="BW994" s="232"/>
      <c r="BX994" s="232"/>
      <c r="BY994" s="232"/>
      <c r="BZ994" s="232"/>
      <c r="CA994" s="232"/>
      <c r="CB994" s="232"/>
      <c r="CC994" s="232"/>
      <c r="CD994" s="232"/>
      <c r="CE994" s="232"/>
      <c r="CF994" s="232"/>
      <c r="CG994" s="232"/>
      <c r="CH994" s="232"/>
      <c r="CI994" s="232"/>
      <c r="CJ994" s="232"/>
      <c r="CK994" s="232"/>
      <c r="CL994" s="232"/>
      <c r="CM994" s="232"/>
      <c r="CN994" s="215"/>
      <c r="CO994" s="215"/>
      <c r="CP994" s="215"/>
      <c r="CQ994" s="215"/>
      <c r="CR994" s="215"/>
      <c r="CS994" s="215"/>
      <c r="CT994" s="215"/>
    </row>
    <row r="995" ht="24.0" customHeight="1">
      <c r="A995" s="287"/>
      <c r="B995" s="287"/>
      <c r="C995" s="287"/>
      <c r="D995" s="232"/>
      <c r="E995" s="232"/>
      <c r="F995" s="232"/>
      <c r="G995" s="232"/>
      <c r="H995" s="232"/>
      <c r="I995" s="232"/>
      <c r="J995" s="232"/>
      <c r="K995" s="232"/>
      <c r="L995" s="232"/>
      <c r="M995" s="232"/>
      <c r="N995" s="289"/>
      <c r="O995" s="232"/>
      <c r="P995" s="232"/>
      <c r="Q995" s="232"/>
      <c r="R995" s="232"/>
      <c r="S995" s="232"/>
      <c r="T995" s="232"/>
      <c r="U995" s="232"/>
      <c r="V995" s="232"/>
      <c r="W995" s="232"/>
      <c r="X995" s="232"/>
      <c r="Y995" s="232"/>
      <c r="Z995" s="232"/>
      <c r="AA995" s="232"/>
      <c r="AB995" s="232"/>
      <c r="AC995" s="232"/>
      <c r="AD995" s="232"/>
      <c r="AE995" s="232"/>
      <c r="AF995" s="232"/>
      <c r="AG995" s="232"/>
      <c r="AH995" s="232"/>
      <c r="AI995" s="232"/>
      <c r="AJ995" s="232"/>
      <c r="AK995" s="232"/>
      <c r="AL995" s="232"/>
      <c r="AM995" s="232"/>
      <c r="AN995" s="232"/>
      <c r="AO995" s="232"/>
      <c r="AP995" s="232"/>
      <c r="AQ995" s="232"/>
      <c r="AR995" s="232"/>
      <c r="AS995" s="232"/>
      <c r="AT995" s="232"/>
      <c r="AU995" s="232"/>
      <c r="AV995" s="232"/>
      <c r="AW995" s="232"/>
      <c r="AX995" s="232"/>
      <c r="AY995" s="232"/>
      <c r="AZ995" s="232"/>
      <c r="BA995" s="232"/>
      <c r="BB995" s="232"/>
      <c r="BC995" s="232"/>
      <c r="BD995" s="232"/>
      <c r="BE995" s="232"/>
      <c r="BF995" s="232"/>
      <c r="BG995" s="232"/>
      <c r="BH995" s="232"/>
      <c r="BI995" s="232"/>
      <c r="BJ995" s="232"/>
      <c r="BK995" s="232"/>
      <c r="BL995" s="232"/>
      <c r="BM995" s="232"/>
      <c r="BN995" s="232"/>
      <c r="BO995" s="232"/>
      <c r="BP995" s="232"/>
      <c r="BQ995" s="232"/>
      <c r="BR995" s="232"/>
      <c r="BS995" s="232"/>
      <c r="BT995" s="232"/>
      <c r="BU995" s="232"/>
      <c r="BV995" s="232"/>
      <c r="BW995" s="232"/>
      <c r="BX995" s="232"/>
      <c r="BY995" s="232"/>
      <c r="BZ995" s="232"/>
      <c r="CA995" s="232"/>
      <c r="CB995" s="232"/>
      <c r="CC995" s="232"/>
      <c r="CD995" s="232"/>
      <c r="CE995" s="232"/>
      <c r="CF995" s="232"/>
      <c r="CG995" s="232"/>
      <c r="CH995" s="232"/>
      <c r="CI995" s="232"/>
      <c r="CJ995" s="232"/>
      <c r="CK995" s="232"/>
      <c r="CL995" s="232"/>
      <c r="CM995" s="232"/>
      <c r="CN995" s="215"/>
      <c r="CO995" s="215"/>
      <c r="CP995" s="215"/>
      <c r="CQ995" s="215"/>
      <c r="CR995" s="215"/>
      <c r="CS995" s="215"/>
      <c r="CT995" s="215"/>
    </row>
    <row r="996" ht="24.0" customHeight="1">
      <c r="A996" s="287"/>
      <c r="B996" s="287"/>
      <c r="C996" s="287"/>
      <c r="D996" s="232"/>
      <c r="E996" s="232"/>
      <c r="F996" s="232"/>
      <c r="G996" s="232"/>
      <c r="H996" s="232"/>
      <c r="I996" s="232"/>
      <c r="J996" s="232"/>
      <c r="K996" s="232"/>
      <c r="L996" s="232"/>
      <c r="M996" s="232"/>
      <c r="N996" s="289"/>
      <c r="O996" s="232"/>
      <c r="P996" s="232"/>
      <c r="Q996" s="232"/>
      <c r="R996" s="232"/>
      <c r="S996" s="232"/>
      <c r="T996" s="232"/>
      <c r="U996" s="232"/>
      <c r="V996" s="232"/>
      <c r="W996" s="232"/>
      <c r="X996" s="232"/>
      <c r="Y996" s="232"/>
      <c r="Z996" s="232"/>
      <c r="AA996" s="232"/>
      <c r="AB996" s="232"/>
      <c r="AC996" s="232"/>
      <c r="AD996" s="232"/>
      <c r="AE996" s="232"/>
      <c r="AF996" s="232"/>
      <c r="AG996" s="232"/>
      <c r="AH996" s="232"/>
      <c r="AI996" s="232"/>
      <c r="AJ996" s="232"/>
      <c r="AK996" s="232"/>
      <c r="AL996" s="232"/>
      <c r="AM996" s="232"/>
      <c r="AN996" s="232"/>
      <c r="AO996" s="232"/>
      <c r="AP996" s="232"/>
      <c r="AQ996" s="232"/>
      <c r="AR996" s="232"/>
      <c r="AS996" s="232"/>
      <c r="AT996" s="232"/>
      <c r="AU996" s="232"/>
      <c r="AV996" s="232"/>
      <c r="AW996" s="232"/>
      <c r="AX996" s="232"/>
      <c r="AY996" s="232"/>
      <c r="AZ996" s="232"/>
      <c r="BA996" s="232"/>
      <c r="BB996" s="232"/>
      <c r="BC996" s="232"/>
      <c r="BD996" s="232"/>
      <c r="BE996" s="232"/>
      <c r="BF996" s="232"/>
      <c r="BG996" s="232"/>
      <c r="BH996" s="232"/>
      <c r="BI996" s="232"/>
      <c r="BJ996" s="232"/>
      <c r="BK996" s="232"/>
      <c r="BL996" s="232"/>
      <c r="BM996" s="232"/>
      <c r="BN996" s="232"/>
      <c r="BO996" s="232"/>
      <c r="BP996" s="232"/>
      <c r="BQ996" s="232"/>
      <c r="BR996" s="232"/>
      <c r="BS996" s="232"/>
      <c r="BT996" s="232"/>
      <c r="BU996" s="232"/>
      <c r="BV996" s="232"/>
      <c r="BW996" s="232"/>
      <c r="BX996" s="232"/>
      <c r="BY996" s="232"/>
      <c r="BZ996" s="232"/>
      <c r="CA996" s="232"/>
      <c r="CB996" s="232"/>
      <c r="CC996" s="232"/>
      <c r="CD996" s="232"/>
      <c r="CE996" s="232"/>
      <c r="CF996" s="232"/>
      <c r="CG996" s="232"/>
      <c r="CH996" s="232"/>
      <c r="CI996" s="232"/>
      <c r="CJ996" s="232"/>
      <c r="CK996" s="232"/>
      <c r="CL996" s="232"/>
      <c r="CM996" s="232"/>
      <c r="CN996" s="215"/>
      <c r="CO996" s="215"/>
      <c r="CP996" s="215"/>
      <c r="CQ996" s="215"/>
      <c r="CR996" s="215"/>
      <c r="CS996" s="215"/>
      <c r="CT996" s="215"/>
    </row>
    <row r="997" ht="24.0" customHeight="1">
      <c r="A997" s="287"/>
      <c r="B997" s="287"/>
      <c r="C997" s="287"/>
      <c r="D997" s="232"/>
      <c r="E997" s="232"/>
      <c r="F997" s="232"/>
      <c r="G997" s="232"/>
      <c r="H997" s="232"/>
      <c r="I997" s="232"/>
      <c r="J997" s="232"/>
      <c r="K997" s="232"/>
      <c r="L997" s="232"/>
      <c r="M997" s="232"/>
      <c r="N997" s="289"/>
      <c r="O997" s="232"/>
      <c r="P997" s="232"/>
      <c r="Q997" s="232"/>
      <c r="R997" s="232"/>
      <c r="S997" s="232"/>
      <c r="T997" s="232"/>
      <c r="U997" s="232"/>
      <c r="V997" s="232"/>
      <c r="W997" s="232"/>
      <c r="X997" s="232"/>
      <c r="Y997" s="232"/>
      <c r="Z997" s="232"/>
      <c r="AA997" s="232"/>
      <c r="AB997" s="232"/>
      <c r="AC997" s="232"/>
      <c r="AD997" s="232"/>
      <c r="AE997" s="232"/>
      <c r="AF997" s="232"/>
      <c r="AG997" s="232"/>
      <c r="AH997" s="232"/>
      <c r="AI997" s="232"/>
      <c r="AJ997" s="232"/>
      <c r="AK997" s="232"/>
      <c r="AL997" s="232"/>
      <c r="AM997" s="232"/>
      <c r="AN997" s="232"/>
      <c r="AO997" s="232"/>
      <c r="AP997" s="232"/>
      <c r="AQ997" s="232"/>
      <c r="AR997" s="232"/>
      <c r="AS997" s="232"/>
      <c r="AT997" s="232"/>
      <c r="AU997" s="232"/>
      <c r="AV997" s="232"/>
      <c r="AW997" s="232"/>
      <c r="AX997" s="232"/>
      <c r="AY997" s="232"/>
      <c r="AZ997" s="232"/>
      <c r="BA997" s="232"/>
      <c r="BB997" s="232"/>
      <c r="BC997" s="232"/>
      <c r="BD997" s="232"/>
      <c r="BE997" s="232"/>
      <c r="BF997" s="232"/>
      <c r="BG997" s="232"/>
      <c r="BH997" s="232"/>
      <c r="BI997" s="232"/>
      <c r="BJ997" s="232"/>
      <c r="BK997" s="232"/>
      <c r="BL997" s="232"/>
      <c r="BM997" s="232"/>
      <c r="BN997" s="232"/>
      <c r="BO997" s="232"/>
      <c r="BP997" s="232"/>
      <c r="BQ997" s="232"/>
      <c r="BR997" s="232"/>
      <c r="BS997" s="232"/>
      <c r="BT997" s="232"/>
      <c r="BU997" s="232"/>
      <c r="BV997" s="232"/>
      <c r="BW997" s="232"/>
      <c r="BX997" s="232"/>
      <c r="BY997" s="232"/>
      <c r="BZ997" s="232"/>
      <c r="CA997" s="232"/>
      <c r="CB997" s="232"/>
      <c r="CC997" s="232"/>
      <c r="CD997" s="232"/>
      <c r="CE997" s="232"/>
      <c r="CF997" s="232"/>
      <c r="CG997" s="232"/>
      <c r="CH997" s="232"/>
      <c r="CI997" s="232"/>
      <c r="CJ997" s="232"/>
      <c r="CK997" s="232"/>
      <c r="CL997" s="232"/>
      <c r="CM997" s="232"/>
      <c r="CN997" s="215"/>
      <c r="CO997" s="215"/>
      <c r="CP997" s="215"/>
      <c r="CQ997" s="215"/>
      <c r="CR997" s="215"/>
      <c r="CS997" s="215"/>
      <c r="CT997" s="215"/>
    </row>
    <row r="998" ht="24.0" customHeight="1">
      <c r="A998" s="287"/>
      <c r="B998" s="287"/>
      <c r="C998" s="287"/>
      <c r="D998" s="232"/>
      <c r="E998" s="232"/>
      <c r="F998" s="232"/>
      <c r="G998" s="232"/>
      <c r="H998" s="232"/>
      <c r="I998" s="232"/>
      <c r="J998" s="232"/>
      <c r="K998" s="232"/>
      <c r="L998" s="232"/>
      <c r="M998" s="232"/>
      <c r="N998" s="289"/>
      <c r="O998" s="232"/>
      <c r="P998" s="232"/>
      <c r="Q998" s="232"/>
      <c r="R998" s="232"/>
      <c r="S998" s="232"/>
      <c r="T998" s="232"/>
      <c r="U998" s="232"/>
      <c r="V998" s="232"/>
      <c r="W998" s="232"/>
      <c r="X998" s="232"/>
      <c r="Y998" s="232"/>
      <c r="Z998" s="232"/>
      <c r="AA998" s="232"/>
      <c r="AB998" s="232"/>
      <c r="AC998" s="232"/>
      <c r="AD998" s="232"/>
      <c r="AE998" s="232"/>
      <c r="AF998" s="232"/>
      <c r="AG998" s="232"/>
      <c r="AH998" s="232"/>
      <c r="AI998" s="232"/>
      <c r="AJ998" s="232"/>
      <c r="AK998" s="232"/>
      <c r="AL998" s="232"/>
      <c r="AM998" s="232"/>
      <c r="AN998" s="232"/>
      <c r="AO998" s="232"/>
      <c r="AP998" s="232"/>
      <c r="AQ998" s="232"/>
      <c r="AR998" s="232"/>
      <c r="AS998" s="232"/>
      <c r="AT998" s="232"/>
      <c r="AU998" s="232"/>
      <c r="AV998" s="232"/>
      <c r="AW998" s="232"/>
      <c r="AX998" s="232"/>
      <c r="AY998" s="232"/>
      <c r="AZ998" s="232"/>
      <c r="BA998" s="232"/>
      <c r="BB998" s="232"/>
      <c r="BC998" s="232"/>
      <c r="BD998" s="232"/>
      <c r="BE998" s="232"/>
      <c r="BF998" s="232"/>
      <c r="BG998" s="232"/>
      <c r="BH998" s="232"/>
      <c r="BI998" s="232"/>
      <c r="BJ998" s="232"/>
      <c r="BK998" s="232"/>
      <c r="BL998" s="232"/>
      <c r="BM998" s="232"/>
      <c r="BN998" s="232"/>
      <c r="BO998" s="232"/>
      <c r="BP998" s="232"/>
      <c r="BQ998" s="232"/>
      <c r="BR998" s="232"/>
      <c r="BS998" s="232"/>
      <c r="BT998" s="232"/>
      <c r="BU998" s="232"/>
      <c r="BV998" s="232"/>
      <c r="BW998" s="232"/>
      <c r="BX998" s="232"/>
      <c r="BY998" s="232"/>
      <c r="BZ998" s="232"/>
      <c r="CA998" s="232"/>
      <c r="CB998" s="232"/>
      <c r="CC998" s="232"/>
      <c r="CD998" s="232"/>
      <c r="CE998" s="232"/>
      <c r="CF998" s="232"/>
      <c r="CG998" s="232"/>
      <c r="CH998" s="232"/>
      <c r="CI998" s="232"/>
      <c r="CJ998" s="232"/>
      <c r="CK998" s="232"/>
      <c r="CL998" s="232"/>
      <c r="CM998" s="232"/>
      <c r="CN998" s="215"/>
      <c r="CO998" s="215"/>
      <c r="CP998" s="215"/>
      <c r="CQ998" s="215"/>
      <c r="CR998" s="215"/>
      <c r="CS998" s="215"/>
      <c r="CT998" s="215"/>
    </row>
    <row r="999" ht="24.0" customHeight="1">
      <c r="A999" s="287"/>
      <c r="B999" s="287"/>
      <c r="C999" s="287"/>
      <c r="D999" s="232"/>
      <c r="E999" s="232"/>
      <c r="F999" s="232"/>
      <c r="G999" s="232"/>
      <c r="H999" s="232"/>
      <c r="I999" s="232"/>
      <c r="J999" s="232"/>
      <c r="K999" s="232"/>
      <c r="L999" s="232"/>
      <c r="M999" s="232"/>
      <c r="N999" s="289"/>
      <c r="O999" s="232"/>
      <c r="P999" s="232"/>
      <c r="Q999" s="232"/>
      <c r="R999" s="232"/>
      <c r="S999" s="232"/>
      <c r="T999" s="232"/>
      <c r="U999" s="232"/>
      <c r="V999" s="232"/>
      <c r="W999" s="232"/>
      <c r="X999" s="232"/>
      <c r="Y999" s="232"/>
      <c r="Z999" s="232"/>
      <c r="AA999" s="232"/>
      <c r="AB999" s="232"/>
      <c r="AC999" s="232"/>
      <c r="AD999" s="232"/>
      <c r="AE999" s="232"/>
      <c r="AF999" s="232"/>
      <c r="AG999" s="232"/>
      <c r="AH999" s="232"/>
      <c r="AI999" s="232"/>
      <c r="AJ999" s="232"/>
      <c r="AK999" s="232"/>
      <c r="AL999" s="232"/>
      <c r="AM999" s="232"/>
      <c r="AN999" s="232"/>
      <c r="AO999" s="232"/>
      <c r="AP999" s="232"/>
      <c r="AQ999" s="232"/>
      <c r="AR999" s="232"/>
      <c r="AS999" s="232"/>
      <c r="AT999" s="232"/>
      <c r="AU999" s="232"/>
      <c r="AV999" s="232"/>
      <c r="AW999" s="232"/>
      <c r="AX999" s="232"/>
      <c r="AY999" s="232"/>
      <c r="AZ999" s="232"/>
      <c r="BA999" s="232"/>
      <c r="BB999" s="232"/>
      <c r="BC999" s="232"/>
      <c r="BD999" s="232"/>
      <c r="BE999" s="232"/>
      <c r="BF999" s="232"/>
      <c r="BG999" s="232"/>
      <c r="BH999" s="232"/>
      <c r="BI999" s="232"/>
      <c r="BJ999" s="232"/>
      <c r="BK999" s="232"/>
      <c r="BL999" s="232"/>
      <c r="BM999" s="232"/>
      <c r="BN999" s="232"/>
      <c r="BO999" s="232"/>
      <c r="BP999" s="232"/>
      <c r="BQ999" s="232"/>
      <c r="BR999" s="232"/>
      <c r="BS999" s="232"/>
      <c r="BT999" s="232"/>
      <c r="BU999" s="232"/>
      <c r="BV999" s="232"/>
      <c r="BW999" s="232"/>
      <c r="BX999" s="232"/>
      <c r="BY999" s="232"/>
      <c r="BZ999" s="232"/>
      <c r="CA999" s="232"/>
      <c r="CB999" s="232"/>
      <c r="CC999" s="232"/>
      <c r="CD999" s="232"/>
      <c r="CE999" s="232"/>
      <c r="CF999" s="232"/>
      <c r="CG999" s="232"/>
      <c r="CH999" s="232"/>
      <c r="CI999" s="232"/>
      <c r="CJ999" s="232"/>
      <c r="CK999" s="232"/>
      <c r="CL999" s="232"/>
      <c r="CM999" s="232"/>
      <c r="CN999" s="215"/>
      <c r="CO999" s="215"/>
      <c r="CP999" s="215"/>
      <c r="CQ999" s="215"/>
      <c r="CR999" s="215"/>
      <c r="CS999" s="215"/>
      <c r="CT999" s="215"/>
    </row>
    <row r="1000" ht="24.0" customHeight="1">
      <c r="A1000" s="287"/>
      <c r="B1000" s="287"/>
      <c r="C1000" s="287"/>
      <c r="D1000" s="232"/>
      <c r="E1000" s="232"/>
      <c r="F1000" s="232"/>
      <c r="G1000" s="232"/>
      <c r="H1000" s="232"/>
      <c r="I1000" s="232"/>
      <c r="J1000" s="232"/>
      <c r="K1000" s="232"/>
      <c r="L1000" s="232"/>
      <c r="M1000" s="232"/>
      <c r="N1000" s="289"/>
      <c r="O1000" s="232"/>
      <c r="P1000" s="232"/>
      <c r="Q1000" s="232"/>
      <c r="R1000" s="232"/>
      <c r="S1000" s="232"/>
      <c r="T1000" s="232"/>
      <c r="U1000" s="232"/>
      <c r="V1000" s="232"/>
      <c r="W1000" s="232"/>
      <c r="X1000" s="232"/>
      <c r="Y1000" s="232"/>
      <c r="Z1000" s="232"/>
      <c r="AA1000" s="232"/>
      <c r="AB1000" s="232"/>
      <c r="AC1000" s="232"/>
      <c r="AD1000" s="232"/>
      <c r="AE1000" s="232"/>
      <c r="AF1000" s="232"/>
      <c r="AG1000" s="232"/>
      <c r="AH1000" s="232"/>
      <c r="AI1000" s="232"/>
      <c r="AJ1000" s="232"/>
      <c r="AK1000" s="232"/>
      <c r="AL1000" s="232"/>
      <c r="AM1000" s="232"/>
      <c r="AN1000" s="232"/>
      <c r="AO1000" s="232"/>
      <c r="AP1000" s="232"/>
      <c r="AQ1000" s="232"/>
      <c r="AR1000" s="232"/>
      <c r="AS1000" s="232"/>
      <c r="AT1000" s="232"/>
      <c r="AU1000" s="232"/>
      <c r="AV1000" s="232"/>
      <c r="AW1000" s="232"/>
      <c r="AX1000" s="232"/>
      <c r="AY1000" s="232"/>
      <c r="AZ1000" s="232"/>
      <c r="BA1000" s="232"/>
      <c r="BB1000" s="232"/>
      <c r="BC1000" s="232"/>
      <c r="BD1000" s="232"/>
      <c r="BE1000" s="232"/>
      <c r="BF1000" s="232"/>
      <c r="BG1000" s="232"/>
      <c r="BH1000" s="232"/>
      <c r="BI1000" s="232"/>
      <c r="BJ1000" s="232"/>
      <c r="BK1000" s="232"/>
      <c r="BL1000" s="232"/>
      <c r="BM1000" s="232"/>
      <c r="BN1000" s="232"/>
      <c r="BO1000" s="232"/>
      <c r="BP1000" s="232"/>
      <c r="BQ1000" s="232"/>
      <c r="BR1000" s="232"/>
      <c r="BS1000" s="232"/>
      <c r="BT1000" s="232"/>
      <c r="BU1000" s="232"/>
      <c r="BV1000" s="232"/>
      <c r="BW1000" s="232"/>
      <c r="BX1000" s="232"/>
      <c r="BY1000" s="232"/>
      <c r="BZ1000" s="232"/>
      <c r="CA1000" s="232"/>
      <c r="CB1000" s="232"/>
      <c r="CC1000" s="232"/>
      <c r="CD1000" s="232"/>
      <c r="CE1000" s="232"/>
      <c r="CF1000" s="232"/>
      <c r="CG1000" s="232"/>
      <c r="CH1000" s="232"/>
      <c r="CI1000" s="232"/>
      <c r="CJ1000" s="232"/>
      <c r="CK1000" s="232"/>
      <c r="CL1000" s="232"/>
      <c r="CM1000" s="232"/>
      <c r="CN1000" s="215"/>
      <c r="CO1000" s="215"/>
      <c r="CP1000" s="215"/>
      <c r="CQ1000" s="215"/>
      <c r="CR1000" s="215"/>
      <c r="CS1000" s="215"/>
      <c r="CT1000" s="215"/>
    </row>
    <row r="1001" ht="24.0" customHeight="1">
      <c r="A1001" s="287"/>
      <c r="B1001" s="287"/>
      <c r="C1001" s="287"/>
      <c r="D1001" s="232"/>
      <c r="E1001" s="232"/>
      <c r="F1001" s="232"/>
      <c r="G1001" s="232"/>
      <c r="H1001" s="232"/>
      <c r="I1001" s="232"/>
      <c r="J1001" s="232"/>
      <c r="K1001" s="232"/>
      <c r="L1001" s="232"/>
      <c r="M1001" s="232"/>
      <c r="N1001" s="289"/>
      <c r="O1001" s="232"/>
      <c r="P1001" s="232"/>
      <c r="Q1001" s="232"/>
      <c r="R1001" s="232"/>
      <c r="S1001" s="232"/>
      <c r="T1001" s="232"/>
      <c r="U1001" s="232"/>
      <c r="V1001" s="232"/>
      <c r="W1001" s="232"/>
      <c r="X1001" s="232"/>
      <c r="Y1001" s="232"/>
      <c r="Z1001" s="232"/>
      <c r="AA1001" s="232"/>
      <c r="AB1001" s="232"/>
      <c r="AC1001" s="232"/>
      <c r="AD1001" s="232"/>
      <c r="AE1001" s="232"/>
      <c r="AF1001" s="232"/>
      <c r="AG1001" s="232"/>
      <c r="AH1001" s="232"/>
      <c r="AI1001" s="232"/>
      <c r="AJ1001" s="232"/>
      <c r="AK1001" s="232"/>
      <c r="AL1001" s="232"/>
      <c r="AM1001" s="232"/>
      <c r="AN1001" s="232"/>
      <c r="AO1001" s="232"/>
      <c r="AP1001" s="232"/>
      <c r="AQ1001" s="232"/>
      <c r="AR1001" s="232"/>
      <c r="AS1001" s="232"/>
      <c r="AT1001" s="232"/>
      <c r="AU1001" s="232"/>
      <c r="AV1001" s="232"/>
      <c r="AW1001" s="232"/>
      <c r="AX1001" s="232"/>
      <c r="AY1001" s="232"/>
      <c r="AZ1001" s="232"/>
      <c r="BA1001" s="232"/>
      <c r="BB1001" s="232"/>
      <c r="BC1001" s="232"/>
      <c r="BD1001" s="232"/>
      <c r="BE1001" s="232"/>
      <c r="BF1001" s="232"/>
      <c r="BG1001" s="232"/>
      <c r="BH1001" s="232"/>
      <c r="BI1001" s="232"/>
      <c r="BJ1001" s="232"/>
      <c r="BK1001" s="232"/>
      <c r="BL1001" s="232"/>
      <c r="BM1001" s="232"/>
      <c r="BN1001" s="232"/>
      <c r="BO1001" s="232"/>
      <c r="BP1001" s="232"/>
      <c r="BQ1001" s="232"/>
      <c r="BR1001" s="232"/>
      <c r="BS1001" s="232"/>
      <c r="BT1001" s="232"/>
      <c r="BU1001" s="232"/>
      <c r="BV1001" s="232"/>
      <c r="BW1001" s="232"/>
      <c r="BX1001" s="232"/>
      <c r="BY1001" s="232"/>
      <c r="BZ1001" s="232"/>
      <c r="CA1001" s="232"/>
      <c r="CB1001" s="232"/>
      <c r="CC1001" s="232"/>
      <c r="CD1001" s="232"/>
      <c r="CE1001" s="232"/>
      <c r="CF1001" s="232"/>
      <c r="CG1001" s="232"/>
      <c r="CH1001" s="232"/>
      <c r="CI1001" s="232"/>
      <c r="CJ1001" s="232"/>
      <c r="CK1001" s="232"/>
      <c r="CL1001" s="232"/>
      <c r="CM1001" s="232"/>
      <c r="CN1001" s="215"/>
      <c r="CO1001" s="215"/>
      <c r="CP1001" s="215"/>
      <c r="CQ1001" s="215"/>
      <c r="CR1001" s="215"/>
      <c r="CS1001" s="215"/>
      <c r="CT1001" s="215"/>
    </row>
    <row r="1002" ht="24.0" customHeight="1">
      <c r="A1002" s="287"/>
      <c r="B1002" s="287"/>
      <c r="C1002" s="287"/>
      <c r="D1002" s="232"/>
      <c r="E1002" s="232"/>
      <c r="F1002" s="232"/>
      <c r="G1002" s="232"/>
      <c r="H1002" s="232"/>
      <c r="I1002" s="232"/>
      <c r="J1002" s="232"/>
      <c r="K1002" s="232"/>
      <c r="L1002" s="232"/>
      <c r="M1002" s="232"/>
      <c r="N1002" s="289"/>
      <c r="O1002" s="232"/>
      <c r="P1002" s="232"/>
      <c r="Q1002" s="232"/>
      <c r="R1002" s="232"/>
      <c r="S1002" s="232"/>
      <c r="T1002" s="232"/>
      <c r="U1002" s="232"/>
      <c r="V1002" s="232"/>
      <c r="W1002" s="232"/>
      <c r="X1002" s="232"/>
      <c r="Y1002" s="232"/>
      <c r="Z1002" s="232"/>
      <c r="AA1002" s="232"/>
      <c r="AB1002" s="232"/>
      <c r="AC1002" s="232"/>
      <c r="AD1002" s="232"/>
      <c r="AE1002" s="232"/>
      <c r="AF1002" s="232"/>
      <c r="AG1002" s="232"/>
      <c r="AH1002" s="232"/>
      <c r="AI1002" s="232"/>
      <c r="AJ1002" s="232"/>
      <c r="AK1002" s="232"/>
      <c r="AL1002" s="232"/>
      <c r="AM1002" s="232"/>
      <c r="AN1002" s="232"/>
      <c r="AO1002" s="232"/>
      <c r="AP1002" s="232"/>
      <c r="AQ1002" s="232"/>
      <c r="AR1002" s="232"/>
      <c r="AS1002" s="232"/>
      <c r="AT1002" s="232"/>
      <c r="AU1002" s="232"/>
      <c r="AV1002" s="232"/>
      <c r="AW1002" s="232"/>
      <c r="AX1002" s="232"/>
      <c r="AY1002" s="232"/>
      <c r="AZ1002" s="232"/>
      <c r="BA1002" s="232"/>
      <c r="BB1002" s="232"/>
      <c r="BC1002" s="232"/>
      <c r="BD1002" s="232"/>
      <c r="BE1002" s="232"/>
      <c r="BF1002" s="232"/>
      <c r="BG1002" s="232"/>
      <c r="BH1002" s="232"/>
      <c r="BI1002" s="232"/>
      <c r="BJ1002" s="232"/>
      <c r="BK1002" s="232"/>
      <c r="BL1002" s="232"/>
      <c r="BM1002" s="232"/>
      <c r="BN1002" s="232"/>
      <c r="BO1002" s="232"/>
      <c r="BP1002" s="232"/>
      <c r="BQ1002" s="232"/>
      <c r="BR1002" s="232"/>
      <c r="BS1002" s="232"/>
      <c r="BT1002" s="232"/>
      <c r="BU1002" s="232"/>
      <c r="BV1002" s="232"/>
      <c r="BW1002" s="232"/>
      <c r="BX1002" s="232"/>
      <c r="BY1002" s="232"/>
      <c r="BZ1002" s="232"/>
      <c r="CA1002" s="232"/>
      <c r="CB1002" s="232"/>
      <c r="CC1002" s="232"/>
      <c r="CD1002" s="232"/>
      <c r="CE1002" s="232"/>
      <c r="CF1002" s="232"/>
      <c r="CG1002" s="232"/>
      <c r="CH1002" s="232"/>
      <c r="CI1002" s="232"/>
      <c r="CJ1002" s="232"/>
      <c r="CK1002" s="232"/>
      <c r="CL1002" s="232"/>
      <c r="CM1002" s="232"/>
      <c r="CN1002" s="215"/>
      <c r="CO1002" s="215"/>
      <c r="CP1002" s="215"/>
      <c r="CQ1002" s="215"/>
      <c r="CR1002" s="215"/>
      <c r="CS1002" s="215"/>
      <c r="CT1002" s="215"/>
    </row>
    <row r="1003" ht="24.0" customHeight="1">
      <c r="A1003" s="287"/>
      <c r="B1003" s="287"/>
      <c r="C1003" s="287"/>
      <c r="D1003" s="232"/>
      <c r="E1003" s="232"/>
      <c r="F1003" s="232"/>
      <c r="G1003" s="232"/>
      <c r="H1003" s="232"/>
      <c r="I1003" s="232"/>
      <c r="J1003" s="232"/>
      <c r="K1003" s="232"/>
      <c r="L1003" s="232"/>
      <c r="M1003" s="232"/>
      <c r="N1003" s="289"/>
      <c r="O1003" s="232"/>
      <c r="P1003" s="232"/>
      <c r="Q1003" s="232"/>
      <c r="R1003" s="232"/>
      <c r="S1003" s="232"/>
      <c r="T1003" s="232"/>
      <c r="U1003" s="232"/>
      <c r="V1003" s="232"/>
      <c r="W1003" s="232"/>
      <c r="X1003" s="232"/>
      <c r="Y1003" s="232"/>
      <c r="Z1003" s="232"/>
      <c r="AA1003" s="232"/>
      <c r="AB1003" s="232"/>
      <c r="AC1003" s="232"/>
      <c r="AD1003" s="232"/>
      <c r="AE1003" s="232"/>
      <c r="AF1003" s="232"/>
      <c r="AG1003" s="232"/>
      <c r="AH1003" s="232"/>
      <c r="AI1003" s="232"/>
      <c r="AJ1003" s="232"/>
      <c r="AK1003" s="232"/>
      <c r="AL1003" s="232"/>
      <c r="AM1003" s="232"/>
      <c r="AN1003" s="232"/>
      <c r="AO1003" s="232"/>
      <c r="AP1003" s="232"/>
      <c r="AQ1003" s="232"/>
      <c r="AR1003" s="232"/>
      <c r="AS1003" s="232"/>
      <c r="AT1003" s="232"/>
      <c r="AU1003" s="232"/>
      <c r="AV1003" s="232"/>
      <c r="AW1003" s="232"/>
      <c r="AX1003" s="232"/>
      <c r="AY1003" s="232"/>
      <c r="AZ1003" s="232"/>
      <c r="BA1003" s="232"/>
      <c r="BB1003" s="232"/>
      <c r="BC1003" s="232"/>
      <c r="BD1003" s="232"/>
      <c r="BE1003" s="232"/>
      <c r="BF1003" s="232"/>
      <c r="BG1003" s="232"/>
      <c r="BH1003" s="232"/>
      <c r="BI1003" s="232"/>
      <c r="BJ1003" s="232"/>
      <c r="BK1003" s="232"/>
      <c r="BL1003" s="232"/>
      <c r="BM1003" s="232"/>
      <c r="BN1003" s="232"/>
      <c r="BO1003" s="232"/>
      <c r="BP1003" s="232"/>
      <c r="BQ1003" s="232"/>
      <c r="BR1003" s="232"/>
      <c r="BS1003" s="232"/>
      <c r="BT1003" s="232"/>
      <c r="BU1003" s="232"/>
      <c r="BV1003" s="232"/>
      <c r="BW1003" s="232"/>
      <c r="BX1003" s="232"/>
      <c r="BY1003" s="232"/>
      <c r="BZ1003" s="232"/>
      <c r="CA1003" s="232"/>
      <c r="CB1003" s="232"/>
      <c r="CC1003" s="232"/>
      <c r="CD1003" s="232"/>
      <c r="CE1003" s="232"/>
      <c r="CF1003" s="232"/>
      <c r="CG1003" s="232"/>
      <c r="CH1003" s="232"/>
      <c r="CI1003" s="232"/>
      <c r="CJ1003" s="232"/>
      <c r="CK1003" s="232"/>
      <c r="CL1003" s="232"/>
      <c r="CM1003" s="232"/>
      <c r="CN1003" s="215"/>
      <c r="CO1003" s="215"/>
      <c r="CP1003" s="215"/>
      <c r="CQ1003" s="215"/>
      <c r="CR1003" s="215"/>
      <c r="CS1003" s="215"/>
      <c r="CT1003" s="215"/>
    </row>
    <row r="1004" ht="24.0" customHeight="1">
      <c r="A1004" s="287"/>
      <c r="B1004" s="287"/>
      <c r="C1004" s="287"/>
      <c r="D1004" s="232"/>
      <c r="E1004" s="232"/>
      <c r="F1004" s="232"/>
      <c r="G1004" s="232"/>
      <c r="H1004" s="232"/>
      <c r="I1004" s="232"/>
      <c r="J1004" s="232"/>
      <c r="K1004" s="232"/>
      <c r="L1004" s="232"/>
      <c r="M1004" s="232"/>
      <c r="N1004" s="289"/>
      <c r="O1004" s="232"/>
      <c r="P1004" s="232"/>
      <c r="Q1004" s="232"/>
      <c r="R1004" s="232"/>
      <c r="S1004" s="232"/>
      <c r="T1004" s="232"/>
      <c r="U1004" s="232"/>
      <c r="V1004" s="232"/>
      <c r="W1004" s="232"/>
      <c r="X1004" s="232"/>
      <c r="Y1004" s="232"/>
      <c r="Z1004" s="232"/>
      <c r="AA1004" s="232"/>
      <c r="AB1004" s="232"/>
      <c r="AC1004" s="232"/>
      <c r="AD1004" s="232"/>
      <c r="AE1004" s="232"/>
      <c r="AF1004" s="232"/>
      <c r="AG1004" s="232"/>
      <c r="AH1004" s="232"/>
      <c r="AI1004" s="232"/>
      <c r="AJ1004" s="232"/>
      <c r="AK1004" s="232"/>
      <c r="AL1004" s="232"/>
      <c r="AM1004" s="232"/>
      <c r="AN1004" s="232"/>
      <c r="AO1004" s="232"/>
      <c r="AP1004" s="232"/>
      <c r="AQ1004" s="232"/>
      <c r="AR1004" s="232"/>
      <c r="AS1004" s="232"/>
      <c r="AT1004" s="232"/>
      <c r="AU1004" s="232"/>
      <c r="AV1004" s="232"/>
      <c r="AW1004" s="232"/>
      <c r="AX1004" s="232"/>
      <c r="AY1004" s="232"/>
      <c r="AZ1004" s="232"/>
      <c r="BA1004" s="232"/>
      <c r="BB1004" s="232"/>
      <c r="BC1004" s="232"/>
      <c r="BD1004" s="232"/>
      <c r="BE1004" s="232"/>
      <c r="BF1004" s="232"/>
      <c r="BG1004" s="232"/>
      <c r="BH1004" s="232"/>
      <c r="BI1004" s="232"/>
      <c r="BJ1004" s="232"/>
      <c r="BK1004" s="232"/>
      <c r="BL1004" s="232"/>
      <c r="BM1004" s="232"/>
      <c r="BN1004" s="232"/>
      <c r="BO1004" s="232"/>
      <c r="BP1004" s="232"/>
      <c r="BQ1004" s="232"/>
      <c r="BR1004" s="232"/>
      <c r="BS1004" s="232"/>
      <c r="BT1004" s="232"/>
      <c r="BU1004" s="232"/>
      <c r="BV1004" s="232"/>
      <c r="BW1004" s="232"/>
      <c r="BX1004" s="232"/>
      <c r="BY1004" s="232"/>
      <c r="BZ1004" s="232"/>
      <c r="CA1004" s="232"/>
      <c r="CB1004" s="232"/>
      <c r="CC1004" s="232"/>
      <c r="CD1004" s="232"/>
      <c r="CE1004" s="232"/>
      <c r="CF1004" s="232"/>
      <c r="CG1004" s="232"/>
      <c r="CH1004" s="232"/>
      <c r="CI1004" s="232"/>
      <c r="CJ1004" s="232"/>
      <c r="CK1004" s="232"/>
      <c r="CL1004" s="232"/>
      <c r="CM1004" s="232"/>
      <c r="CN1004" s="215"/>
      <c r="CO1004" s="215"/>
      <c r="CP1004" s="215"/>
      <c r="CQ1004" s="215"/>
      <c r="CR1004" s="215"/>
      <c r="CS1004" s="215"/>
      <c r="CT1004" s="215"/>
    </row>
    <row r="1005" ht="24.0" customHeight="1">
      <c r="A1005" s="287"/>
      <c r="B1005" s="287"/>
      <c r="C1005" s="287"/>
      <c r="D1005" s="232"/>
      <c r="E1005" s="232"/>
      <c r="F1005" s="232"/>
      <c r="G1005" s="232"/>
      <c r="H1005" s="232"/>
      <c r="I1005" s="232"/>
      <c r="J1005" s="232"/>
      <c r="K1005" s="232"/>
      <c r="L1005" s="232"/>
      <c r="M1005" s="232"/>
      <c r="N1005" s="289"/>
      <c r="O1005" s="232"/>
      <c r="P1005" s="232"/>
      <c r="Q1005" s="232"/>
      <c r="R1005" s="232"/>
      <c r="S1005" s="232"/>
      <c r="T1005" s="232"/>
      <c r="U1005" s="232"/>
      <c r="V1005" s="232"/>
      <c r="W1005" s="232"/>
      <c r="X1005" s="232"/>
      <c r="Y1005" s="232"/>
      <c r="Z1005" s="232"/>
      <c r="AA1005" s="232"/>
      <c r="AB1005" s="232"/>
      <c r="AC1005" s="232"/>
      <c r="AD1005" s="232"/>
      <c r="AE1005" s="232"/>
      <c r="AF1005" s="232"/>
      <c r="AG1005" s="232"/>
      <c r="AH1005" s="232"/>
      <c r="AI1005" s="232"/>
      <c r="AJ1005" s="232"/>
      <c r="AK1005" s="232"/>
      <c r="AL1005" s="232"/>
      <c r="AM1005" s="232"/>
      <c r="AN1005" s="232"/>
      <c r="AO1005" s="232"/>
      <c r="AP1005" s="232"/>
      <c r="AQ1005" s="232"/>
      <c r="AR1005" s="232"/>
      <c r="AS1005" s="232"/>
      <c r="AT1005" s="232"/>
      <c r="AU1005" s="232"/>
      <c r="AV1005" s="232"/>
      <c r="AW1005" s="232"/>
      <c r="AX1005" s="232"/>
      <c r="AY1005" s="232"/>
      <c r="AZ1005" s="232"/>
      <c r="BA1005" s="232"/>
      <c r="BB1005" s="232"/>
      <c r="BC1005" s="232"/>
      <c r="BD1005" s="232"/>
      <c r="BE1005" s="232"/>
      <c r="BF1005" s="232"/>
      <c r="BG1005" s="232"/>
      <c r="BH1005" s="232"/>
      <c r="BI1005" s="232"/>
      <c r="BJ1005" s="232"/>
      <c r="BK1005" s="232"/>
      <c r="BL1005" s="232"/>
      <c r="BM1005" s="232"/>
      <c r="BN1005" s="232"/>
      <c r="BO1005" s="232"/>
      <c r="BP1005" s="232"/>
      <c r="BQ1005" s="232"/>
      <c r="BR1005" s="232"/>
      <c r="BS1005" s="232"/>
      <c r="BT1005" s="232"/>
      <c r="BU1005" s="232"/>
      <c r="BV1005" s="232"/>
      <c r="BW1005" s="232"/>
      <c r="BX1005" s="232"/>
      <c r="BY1005" s="232"/>
      <c r="BZ1005" s="232"/>
      <c r="CA1005" s="232"/>
      <c r="CB1005" s="232"/>
      <c r="CC1005" s="232"/>
      <c r="CD1005" s="232"/>
      <c r="CE1005" s="232"/>
      <c r="CF1005" s="232"/>
      <c r="CG1005" s="232"/>
      <c r="CH1005" s="232"/>
      <c r="CI1005" s="232"/>
      <c r="CJ1005" s="232"/>
      <c r="CK1005" s="232"/>
      <c r="CL1005" s="232"/>
      <c r="CM1005" s="232"/>
      <c r="CN1005" s="215"/>
      <c r="CO1005" s="215"/>
      <c r="CP1005" s="215"/>
      <c r="CQ1005" s="215"/>
      <c r="CR1005" s="215"/>
      <c r="CS1005" s="215"/>
      <c r="CT1005" s="215"/>
    </row>
    <row r="1006" ht="24.0" customHeight="1">
      <c r="A1006" s="287"/>
      <c r="B1006" s="287"/>
      <c r="C1006" s="287"/>
      <c r="D1006" s="232"/>
      <c r="E1006" s="232"/>
      <c r="F1006" s="232"/>
      <c r="G1006" s="232"/>
      <c r="H1006" s="232"/>
      <c r="I1006" s="232"/>
      <c r="J1006" s="232"/>
      <c r="K1006" s="232"/>
      <c r="L1006" s="232"/>
      <c r="M1006" s="232"/>
      <c r="N1006" s="289"/>
      <c r="O1006" s="232"/>
      <c r="P1006" s="232"/>
      <c r="Q1006" s="232"/>
      <c r="R1006" s="232"/>
      <c r="S1006" s="232"/>
      <c r="T1006" s="232"/>
      <c r="U1006" s="232"/>
      <c r="V1006" s="232"/>
      <c r="W1006" s="232"/>
      <c r="X1006" s="232"/>
      <c r="Y1006" s="232"/>
      <c r="Z1006" s="232"/>
      <c r="AA1006" s="232"/>
      <c r="AB1006" s="232"/>
      <c r="AC1006" s="232"/>
      <c r="AD1006" s="232"/>
      <c r="AE1006" s="232"/>
      <c r="AF1006" s="232"/>
      <c r="AG1006" s="232"/>
      <c r="AH1006" s="232"/>
      <c r="AI1006" s="232"/>
      <c r="AJ1006" s="232"/>
      <c r="AK1006" s="232"/>
      <c r="AL1006" s="232"/>
      <c r="AM1006" s="232"/>
      <c r="AN1006" s="232"/>
      <c r="AO1006" s="232"/>
      <c r="AP1006" s="232"/>
      <c r="AQ1006" s="232"/>
      <c r="AR1006" s="232"/>
      <c r="AS1006" s="232"/>
      <c r="AT1006" s="232"/>
      <c r="AU1006" s="232"/>
      <c r="AV1006" s="232"/>
      <c r="AW1006" s="232"/>
      <c r="AX1006" s="232"/>
      <c r="AY1006" s="232"/>
      <c r="AZ1006" s="232"/>
      <c r="BA1006" s="232"/>
      <c r="BB1006" s="232"/>
      <c r="BC1006" s="232"/>
      <c r="BD1006" s="232"/>
      <c r="BE1006" s="232"/>
      <c r="BF1006" s="232"/>
      <c r="BG1006" s="232"/>
      <c r="BH1006" s="232"/>
      <c r="BI1006" s="232"/>
      <c r="BJ1006" s="232"/>
      <c r="BK1006" s="232"/>
      <c r="BL1006" s="232"/>
      <c r="BM1006" s="232"/>
      <c r="BN1006" s="232"/>
      <c r="BO1006" s="232"/>
      <c r="BP1006" s="232"/>
      <c r="BQ1006" s="232"/>
      <c r="BR1006" s="232"/>
      <c r="BS1006" s="232"/>
      <c r="BT1006" s="232"/>
      <c r="BU1006" s="232"/>
      <c r="BV1006" s="232"/>
      <c r="BW1006" s="232"/>
      <c r="BX1006" s="232"/>
      <c r="BY1006" s="232"/>
      <c r="BZ1006" s="232"/>
      <c r="CA1006" s="232"/>
      <c r="CB1006" s="232"/>
      <c r="CC1006" s="232"/>
      <c r="CD1006" s="232"/>
      <c r="CE1006" s="232"/>
      <c r="CF1006" s="232"/>
      <c r="CG1006" s="232"/>
      <c r="CH1006" s="232"/>
      <c r="CI1006" s="232"/>
      <c r="CJ1006" s="232"/>
      <c r="CK1006" s="232"/>
      <c r="CL1006" s="232"/>
      <c r="CM1006" s="232"/>
      <c r="CN1006" s="215"/>
      <c r="CO1006" s="215"/>
      <c r="CP1006" s="215"/>
      <c r="CQ1006" s="215"/>
      <c r="CR1006" s="215"/>
      <c r="CS1006" s="215"/>
      <c r="CT1006" s="215"/>
    </row>
    <row r="1007" ht="24.0" customHeight="1">
      <c r="A1007" s="287"/>
      <c r="B1007" s="287"/>
      <c r="C1007" s="287"/>
      <c r="D1007" s="232"/>
      <c r="E1007" s="232"/>
      <c r="F1007" s="232"/>
      <c r="G1007" s="232"/>
      <c r="H1007" s="232"/>
      <c r="I1007" s="232"/>
      <c r="J1007" s="232"/>
      <c r="K1007" s="232"/>
      <c r="L1007" s="232"/>
      <c r="M1007" s="232"/>
      <c r="N1007" s="289"/>
      <c r="O1007" s="232"/>
      <c r="P1007" s="232"/>
      <c r="Q1007" s="232"/>
      <c r="R1007" s="232"/>
      <c r="S1007" s="232"/>
      <c r="T1007" s="232"/>
      <c r="U1007" s="232"/>
      <c r="V1007" s="232"/>
      <c r="W1007" s="232"/>
      <c r="X1007" s="232"/>
      <c r="Y1007" s="232"/>
      <c r="Z1007" s="232"/>
      <c r="AA1007" s="232"/>
      <c r="AB1007" s="232"/>
      <c r="AC1007" s="232"/>
      <c r="AD1007" s="232"/>
      <c r="AE1007" s="232"/>
      <c r="AF1007" s="232"/>
      <c r="AG1007" s="232"/>
      <c r="AH1007" s="232"/>
      <c r="AI1007" s="232"/>
      <c r="AJ1007" s="232"/>
      <c r="AK1007" s="232"/>
      <c r="AL1007" s="232"/>
      <c r="AM1007" s="232"/>
      <c r="AN1007" s="232"/>
      <c r="AO1007" s="232"/>
      <c r="AP1007" s="232"/>
      <c r="AQ1007" s="232"/>
      <c r="AR1007" s="232"/>
      <c r="AS1007" s="232"/>
      <c r="AT1007" s="232"/>
      <c r="AU1007" s="232"/>
      <c r="AV1007" s="232"/>
      <c r="AW1007" s="232"/>
      <c r="AX1007" s="232"/>
      <c r="AY1007" s="232"/>
      <c r="AZ1007" s="232"/>
      <c r="BA1007" s="232"/>
      <c r="BB1007" s="232"/>
      <c r="BC1007" s="232"/>
      <c r="BD1007" s="232"/>
      <c r="BE1007" s="232"/>
      <c r="BF1007" s="232"/>
      <c r="BG1007" s="232"/>
      <c r="BH1007" s="232"/>
      <c r="BI1007" s="232"/>
      <c r="BJ1007" s="232"/>
      <c r="BK1007" s="232"/>
      <c r="BL1007" s="232"/>
      <c r="BM1007" s="232"/>
      <c r="BN1007" s="232"/>
      <c r="BO1007" s="232"/>
      <c r="BP1007" s="232"/>
      <c r="BQ1007" s="232"/>
      <c r="BR1007" s="232"/>
      <c r="BS1007" s="232"/>
      <c r="BT1007" s="232"/>
      <c r="BU1007" s="232"/>
      <c r="BV1007" s="232"/>
      <c r="BW1007" s="232"/>
      <c r="BX1007" s="232"/>
      <c r="BY1007" s="232"/>
      <c r="BZ1007" s="232"/>
      <c r="CA1007" s="232"/>
      <c r="CB1007" s="232"/>
      <c r="CC1007" s="232"/>
      <c r="CD1007" s="232"/>
      <c r="CE1007" s="232"/>
      <c r="CF1007" s="232"/>
      <c r="CG1007" s="232"/>
      <c r="CH1007" s="232"/>
      <c r="CI1007" s="232"/>
      <c r="CJ1007" s="232"/>
      <c r="CK1007" s="232"/>
      <c r="CL1007" s="232"/>
      <c r="CM1007" s="232"/>
      <c r="CN1007" s="215"/>
      <c r="CO1007" s="215"/>
      <c r="CP1007" s="215"/>
      <c r="CQ1007" s="215"/>
      <c r="CR1007" s="215"/>
      <c r="CS1007" s="215"/>
      <c r="CT1007" s="215"/>
    </row>
    <row r="1008" ht="24.0" customHeight="1">
      <c r="A1008" s="287"/>
      <c r="B1008" s="287"/>
      <c r="C1008" s="287"/>
      <c r="D1008" s="232"/>
      <c r="E1008" s="232"/>
      <c r="F1008" s="232"/>
      <c r="G1008" s="232"/>
      <c r="H1008" s="232"/>
      <c r="I1008" s="232"/>
      <c r="J1008" s="232"/>
      <c r="K1008" s="232"/>
      <c r="L1008" s="232"/>
      <c r="M1008" s="232"/>
      <c r="N1008" s="289"/>
      <c r="O1008" s="232"/>
      <c r="P1008" s="232"/>
      <c r="Q1008" s="232"/>
      <c r="R1008" s="232"/>
      <c r="S1008" s="232"/>
      <c r="T1008" s="232"/>
      <c r="U1008" s="232"/>
      <c r="V1008" s="232"/>
      <c r="W1008" s="232"/>
      <c r="X1008" s="232"/>
      <c r="Y1008" s="232"/>
      <c r="Z1008" s="232"/>
      <c r="AA1008" s="232"/>
      <c r="AB1008" s="232"/>
      <c r="AC1008" s="232"/>
      <c r="AD1008" s="232"/>
      <c r="AE1008" s="232"/>
      <c r="AF1008" s="232"/>
      <c r="AG1008" s="232"/>
      <c r="AH1008" s="232"/>
      <c r="AI1008" s="232"/>
      <c r="AJ1008" s="232"/>
      <c r="AK1008" s="232"/>
      <c r="AL1008" s="232"/>
      <c r="AM1008" s="232"/>
      <c r="AN1008" s="232"/>
      <c r="AO1008" s="232"/>
      <c r="AP1008" s="232"/>
      <c r="AQ1008" s="232"/>
      <c r="AR1008" s="232"/>
      <c r="AS1008" s="232"/>
      <c r="AT1008" s="232"/>
      <c r="AU1008" s="232"/>
      <c r="AV1008" s="232"/>
      <c r="AW1008" s="232"/>
      <c r="AX1008" s="232"/>
      <c r="AY1008" s="232"/>
      <c r="AZ1008" s="232"/>
      <c r="BA1008" s="232"/>
      <c r="BB1008" s="232"/>
      <c r="BC1008" s="232"/>
      <c r="BD1008" s="232"/>
      <c r="BE1008" s="232"/>
      <c r="BF1008" s="232"/>
      <c r="BG1008" s="232"/>
      <c r="BH1008" s="232"/>
      <c r="BI1008" s="232"/>
      <c r="BJ1008" s="232"/>
      <c r="BK1008" s="232"/>
      <c r="BL1008" s="232"/>
      <c r="BM1008" s="232"/>
      <c r="BN1008" s="232"/>
      <c r="BO1008" s="232"/>
      <c r="BP1008" s="232"/>
      <c r="BQ1008" s="232"/>
      <c r="BR1008" s="232"/>
      <c r="BS1008" s="232"/>
      <c r="BT1008" s="232"/>
      <c r="BU1008" s="232"/>
      <c r="BV1008" s="232"/>
      <c r="BW1008" s="232"/>
      <c r="BX1008" s="232"/>
      <c r="BY1008" s="232"/>
      <c r="BZ1008" s="232"/>
      <c r="CA1008" s="232"/>
      <c r="CB1008" s="232"/>
      <c r="CC1008" s="232"/>
      <c r="CD1008" s="232"/>
      <c r="CE1008" s="232"/>
      <c r="CF1008" s="232"/>
      <c r="CG1008" s="232"/>
      <c r="CH1008" s="232"/>
      <c r="CI1008" s="232"/>
      <c r="CJ1008" s="232"/>
      <c r="CK1008" s="232"/>
      <c r="CL1008" s="232"/>
      <c r="CM1008" s="232"/>
      <c r="CN1008" s="215"/>
      <c r="CO1008" s="215"/>
      <c r="CP1008" s="215"/>
      <c r="CQ1008" s="215"/>
      <c r="CR1008" s="215"/>
      <c r="CS1008" s="215"/>
      <c r="CT1008" s="215"/>
    </row>
    <row r="1009" ht="24.0" customHeight="1">
      <c r="A1009" s="287"/>
      <c r="B1009" s="287"/>
      <c r="C1009" s="287"/>
      <c r="D1009" s="232"/>
      <c r="E1009" s="232"/>
      <c r="F1009" s="232"/>
      <c r="G1009" s="232"/>
      <c r="H1009" s="232"/>
      <c r="I1009" s="232"/>
      <c r="J1009" s="232"/>
      <c r="K1009" s="232"/>
      <c r="L1009" s="232"/>
      <c r="M1009" s="232"/>
      <c r="N1009" s="289"/>
      <c r="O1009" s="232"/>
      <c r="P1009" s="232"/>
      <c r="Q1009" s="232"/>
      <c r="R1009" s="232"/>
      <c r="S1009" s="232"/>
      <c r="T1009" s="232"/>
      <c r="U1009" s="232"/>
      <c r="V1009" s="232"/>
      <c r="W1009" s="232"/>
      <c r="X1009" s="232"/>
      <c r="Y1009" s="232"/>
      <c r="Z1009" s="232"/>
      <c r="AA1009" s="232"/>
      <c r="AB1009" s="232"/>
      <c r="AC1009" s="232"/>
      <c r="AD1009" s="232"/>
      <c r="AE1009" s="232"/>
      <c r="AF1009" s="232"/>
      <c r="AG1009" s="232"/>
      <c r="AH1009" s="232"/>
      <c r="AI1009" s="232"/>
      <c r="AJ1009" s="232"/>
      <c r="AK1009" s="232"/>
      <c r="AL1009" s="232"/>
      <c r="AM1009" s="232"/>
      <c r="AN1009" s="232"/>
      <c r="AO1009" s="232"/>
      <c r="AP1009" s="232"/>
      <c r="AQ1009" s="232"/>
      <c r="AR1009" s="232"/>
      <c r="AS1009" s="232"/>
      <c r="AT1009" s="232"/>
      <c r="AU1009" s="232"/>
      <c r="AV1009" s="232"/>
      <c r="AW1009" s="232"/>
      <c r="AX1009" s="232"/>
      <c r="AY1009" s="232"/>
      <c r="AZ1009" s="232"/>
      <c r="BA1009" s="232"/>
      <c r="BB1009" s="232"/>
      <c r="BC1009" s="232"/>
      <c r="BD1009" s="232"/>
      <c r="BE1009" s="232"/>
      <c r="BF1009" s="232"/>
      <c r="BG1009" s="232"/>
      <c r="BH1009" s="232"/>
      <c r="BI1009" s="232"/>
      <c r="BJ1009" s="232"/>
      <c r="BK1009" s="232"/>
      <c r="BL1009" s="232"/>
      <c r="BM1009" s="232"/>
      <c r="BN1009" s="232"/>
      <c r="BO1009" s="232"/>
      <c r="BP1009" s="232"/>
      <c r="BQ1009" s="232"/>
      <c r="BR1009" s="232"/>
      <c r="BS1009" s="232"/>
      <c r="BT1009" s="232"/>
      <c r="BU1009" s="232"/>
      <c r="BV1009" s="232"/>
      <c r="BW1009" s="232"/>
      <c r="BX1009" s="232"/>
      <c r="BY1009" s="232"/>
      <c r="BZ1009" s="232"/>
      <c r="CA1009" s="232"/>
      <c r="CB1009" s="232"/>
      <c r="CC1009" s="232"/>
      <c r="CD1009" s="232"/>
      <c r="CE1009" s="232"/>
      <c r="CF1009" s="232"/>
      <c r="CG1009" s="232"/>
      <c r="CH1009" s="232"/>
      <c r="CI1009" s="232"/>
      <c r="CJ1009" s="232"/>
      <c r="CK1009" s="232"/>
      <c r="CL1009" s="232"/>
      <c r="CM1009" s="232"/>
      <c r="CN1009" s="215"/>
      <c r="CO1009" s="215"/>
      <c r="CP1009" s="215"/>
      <c r="CQ1009" s="215"/>
      <c r="CR1009" s="215"/>
      <c r="CS1009" s="215"/>
      <c r="CT1009" s="215"/>
    </row>
    <row r="1010" ht="24.0" customHeight="1">
      <c r="A1010" s="287"/>
      <c r="B1010" s="287"/>
      <c r="C1010" s="287"/>
      <c r="D1010" s="232"/>
      <c r="E1010" s="232"/>
      <c r="F1010" s="232"/>
      <c r="G1010" s="232"/>
      <c r="H1010" s="232"/>
      <c r="I1010" s="232"/>
      <c r="J1010" s="232"/>
      <c r="K1010" s="232"/>
      <c r="L1010" s="232"/>
      <c r="M1010" s="232"/>
      <c r="N1010" s="289"/>
      <c r="O1010" s="232"/>
      <c r="P1010" s="232"/>
      <c r="Q1010" s="232"/>
      <c r="R1010" s="232"/>
      <c r="S1010" s="232"/>
      <c r="T1010" s="232"/>
      <c r="U1010" s="232"/>
      <c r="V1010" s="232"/>
      <c r="W1010" s="232"/>
      <c r="X1010" s="232"/>
      <c r="Y1010" s="232"/>
      <c r="Z1010" s="232"/>
      <c r="AA1010" s="232"/>
      <c r="AB1010" s="232"/>
      <c r="AC1010" s="232"/>
      <c r="AD1010" s="232"/>
      <c r="AE1010" s="232"/>
      <c r="AF1010" s="232"/>
      <c r="AG1010" s="232"/>
      <c r="AH1010" s="232"/>
      <c r="AI1010" s="232"/>
      <c r="AJ1010" s="232"/>
      <c r="AK1010" s="232"/>
      <c r="AL1010" s="232"/>
      <c r="AM1010" s="232"/>
      <c r="AN1010" s="232"/>
      <c r="AO1010" s="232"/>
      <c r="AP1010" s="232"/>
      <c r="AQ1010" s="232"/>
      <c r="AR1010" s="232"/>
      <c r="AS1010" s="232"/>
      <c r="AT1010" s="232"/>
      <c r="AU1010" s="232"/>
      <c r="AV1010" s="232"/>
      <c r="AW1010" s="232"/>
      <c r="AX1010" s="232"/>
      <c r="AY1010" s="232"/>
      <c r="AZ1010" s="232"/>
      <c r="BA1010" s="232"/>
      <c r="BB1010" s="232"/>
      <c r="BC1010" s="232"/>
      <c r="BD1010" s="232"/>
      <c r="BE1010" s="232"/>
      <c r="BF1010" s="232"/>
      <c r="BG1010" s="232"/>
      <c r="BH1010" s="232"/>
      <c r="BI1010" s="232"/>
      <c r="BJ1010" s="232"/>
      <c r="BK1010" s="232"/>
      <c r="BL1010" s="232"/>
      <c r="BM1010" s="232"/>
      <c r="BN1010" s="232"/>
      <c r="BO1010" s="232"/>
      <c r="BP1010" s="232"/>
      <c r="BQ1010" s="232"/>
      <c r="BR1010" s="232"/>
      <c r="BS1010" s="232"/>
      <c r="BT1010" s="232"/>
      <c r="BU1010" s="232"/>
      <c r="BV1010" s="232"/>
      <c r="BW1010" s="232"/>
      <c r="BX1010" s="232"/>
      <c r="BY1010" s="232"/>
      <c r="BZ1010" s="232"/>
      <c r="CA1010" s="232"/>
      <c r="CB1010" s="232"/>
      <c r="CC1010" s="232"/>
      <c r="CD1010" s="232"/>
      <c r="CE1010" s="232"/>
      <c r="CF1010" s="232"/>
      <c r="CG1010" s="232"/>
      <c r="CH1010" s="232"/>
      <c r="CI1010" s="232"/>
      <c r="CJ1010" s="232"/>
      <c r="CK1010" s="232"/>
      <c r="CL1010" s="232"/>
      <c r="CM1010" s="232"/>
      <c r="CN1010" s="215"/>
      <c r="CO1010" s="215"/>
      <c r="CP1010" s="215"/>
      <c r="CQ1010" s="215"/>
      <c r="CR1010" s="215"/>
      <c r="CS1010" s="215"/>
      <c r="CT1010" s="215"/>
    </row>
    <row r="1011" ht="24.0" customHeight="1">
      <c r="A1011" s="287"/>
      <c r="B1011" s="287"/>
      <c r="C1011" s="287"/>
      <c r="D1011" s="232"/>
      <c r="E1011" s="232"/>
      <c r="F1011" s="232"/>
      <c r="G1011" s="232"/>
      <c r="H1011" s="232"/>
      <c r="I1011" s="232"/>
      <c r="J1011" s="232"/>
      <c r="K1011" s="232"/>
      <c r="L1011" s="232"/>
      <c r="M1011" s="232"/>
      <c r="N1011" s="289"/>
      <c r="O1011" s="232"/>
      <c r="P1011" s="232"/>
      <c r="Q1011" s="232"/>
      <c r="R1011" s="232"/>
      <c r="S1011" s="232"/>
      <c r="T1011" s="232"/>
      <c r="U1011" s="232"/>
      <c r="V1011" s="232"/>
      <c r="W1011" s="232"/>
      <c r="X1011" s="232"/>
      <c r="Y1011" s="232"/>
      <c r="Z1011" s="232"/>
      <c r="AA1011" s="232"/>
      <c r="AB1011" s="232"/>
      <c r="AC1011" s="232"/>
      <c r="AD1011" s="232"/>
      <c r="AE1011" s="232"/>
      <c r="AF1011" s="232"/>
      <c r="AG1011" s="232"/>
      <c r="AH1011" s="232"/>
      <c r="AI1011" s="232"/>
      <c r="AJ1011" s="232"/>
      <c r="AK1011" s="232"/>
      <c r="AL1011" s="232"/>
      <c r="AM1011" s="232"/>
      <c r="AN1011" s="232"/>
      <c r="AO1011" s="232"/>
      <c r="AP1011" s="232"/>
      <c r="AQ1011" s="232"/>
      <c r="AR1011" s="232"/>
      <c r="AS1011" s="232"/>
      <c r="AT1011" s="232"/>
      <c r="AU1011" s="232"/>
      <c r="AV1011" s="232"/>
      <c r="AW1011" s="232"/>
      <c r="AX1011" s="232"/>
      <c r="AY1011" s="232"/>
      <c r="AZ1011" s="232"/>
      <c r="BA1011" s="232"/>
      <c r="BB1011" s="232"/>
      <c r="BC1011" s="232"/>
      <c r="BD1011" s="232"/>
      <c r="BE1011" s="232"/>
      <c r="BF1011" s="232"/>
      <c r="BG1011" s="232"/>
      <c r="BH1011" s="232"/>
      <c r="BI1011" s="232"/>
      <c r="BJ1011" s="232"/>
      <c r="BK1011" s="232"/>
      <c r="BL1011" s="232"/>
      <c r="BM1011" s="232"/>
      <c r="BN1011" s="232"/>
      <c r="BO1011" s="232"/>
      <c r="BP1011" s="232"/>
      <c r="BQ1011" s="232"/>
      <c r="BR1011" s="232"/>
      <c r="BS1011" s="232"/>
      <c r="BT1011" s="232"/>
      <c r="BU1011" s="232"/>
      <c r="BV1011" s="232"/>
      <c r="BW1011" s="232"/>
      <c r="BX1011" s="232"/>
      <c r="BY1011" s="232"/>
      <c r="BZ1011" s="232"/>
      <c r="CA1011" s="232"/>
      <c r="CB1011" s="232"/>
      <c r="CC1011" s="232"/>
      <c r="CD1011" s="232"/>
      <c r="CE1011" s="232"/>
      <c r="CF1011" s="232"/>
      <c r="CG1011" s="232"/>
      <c r="CH1011" s="232"/>
      <c r="CI1011" s="232"/>
      <c r="CJ1011" s="232"/>
      <c r="CK1011" s="232"/>
      <c r="CL1011" s="232"/>
      <c r="CM1011" s="232"/>
      <c r="CN1011" s="215"/>
      <c r="CO1011" s="215"/>
      <c r="CP1011" s="215"/>
      <c r="CQ1011" s="215"/>
      <c r="CR1011" s="215"/>
      <c r="CS1011" s="215"/>
      <c r="CT1011" s="215"/>
    </row>
    <row r="1012" ht="24.0" customHeight="1">
      <c r="A1012" s="287"/>
      <c r="B1012" s="287"/>
      <c r="C1012" s="287"/>
      <c r="D1012" s="232"/>
      <c r="E1012" s="232"/>
      <c r="F1012" s="232"/>
      <c r="G1012" s="232"/>
      <c r="H1012" s="232"/>
      <c r="I1012" s="232"/>
      <c r="J1012" s="232"/>
      <c r="K1012" s="232"/>
      <c r="L1012" s="232"/>
      <c r="M1012" s="232"/>
      <c r="N1012" s="289"/>
      <c r="O1012" s="232"/>
      <c r="P1012" s="232"/>
      <c r="Q1012" s="232"/>
      <c r="R1012" s="232"/>
      <c r="S1012" s="232"/>
      <c r="T1012" s="232"/>
      <c r="U1012" s="232"/>
      <c r="V1012" s="232"/>
      <c r="W1012" s="232"/>
      <c r="X1012" s="232"/>
      <c r="Y1012" s="232"/>
      <c r="Z1012" s="232"/>
      <c r="AA1012" s="232"/>
      <c r="AB1012" s="232"/>
      <c r="AC1012" s="232"/>
      <c r="AD1012" s="232"/>
      <c r="AE1012" s="232"/>
      <c r="AF1012" s="232"/>
      <c r="AG1012" s="232"/>
      <c r="AH1012" s="232"/>
      <c r="AI1012" s="232"/>
      <c r="AJ1012" s="232"/>
      <c r="AK1012" s="232"/>
      <c r="AL1012" s="232"/>
      <c r="AM1012" s="232"/>
      <c r="AN1012" s="232"/>
      <c r="AO1012" s="232"/>
      <c r="AP1012" s="232"/>
      <c r="AQ1012" s="232"/>
      <c r="AR1012" s="232"/>
      <c r="AS1012" s="232"/>
      <c r="AT1012" s="232"/>
      <c r="AU1012" s="232"/>
      <c r="AV1012" s="232"/>
      <c r="AW1012" s="232"/>
      <c r="AX1012" s="232"/>
      <c r="AY1012" s="232"/>
      <c r="AZ1012" s="232"/>
      <c r="BA1012" s="232"/>
      <c r="BB1012" s="232"/>
      <c r="BC1012" s="232"/>
      <c r="BD1012" s="232"/>
      <c r="BE1012" s="232"/>
      <c r="BF1012" s="232"/>
      <c r="BG1012" s="232"/>
      <c r="BH1012" s="232"/>
      <c r="BI1012" s="232"/>
      <c r="BJ1012" s="232"/>
      <c r="BK1012" s="232"/>
      <c r="BL1012" s="232"/>
      <c r="BM1012" s="232"/>
      <c r="BN1012" s="232"/>
      <c r="BO1012" s="232"/>
      <c r="BP1012" s="232"/>
      <c r="BQ1012" s="232"/>
      <c r="BR1012" s="232"/>
      <c r="BS1012" s="232"/>
      <c r="BT1012" s="232"/>
      <c r="BU1012" s="232"/>
      <c r="BV1012" s="232"/>
      <c r="BW1012" s="232"/>
      <c r="BX1012" s="232"/>
      <c r="BY1012" s="232"/>
      <c r="BZ1012" s="232"/>
      <c r="CA1012" s="232"/>
      <c r="CB1012" s="232"/>
      <c r="CC1012" s="232"/>
      <c r="CD1012" s="232"/>
      <c r="CE1012" s="232"/>
      <c r="CF1012" s="232"/>
      <c r="CG1012" s="232"/>
      <c r="CH1012" s="232"/>
      <c r="CI1012" s="232"/>
      <c r="CJ1012" s="232"/>
      <c r="CK1012" s="232"/>
      <c r="CL1012" s="232"/>
      <c r="CM1012" s="232"/>
      <c r="CN1012" s="215"/>
      <c r="CO1012" s="215"/>
      <c r="CP1012" s="215"/>
      <c r="CQ1012" s="215"/>
      <c r="CR1012" s="215"/>
      <c r="CS1012" s="215"/>
      <c r="CT1012" s="215"/>
    </row>
    <row r="1013" ht="24.0" customHeight="1">
      <c r="A1013" s="287"/>
      <c r="B1013" s="287"/>
      <c r="C1013" s="287"/>
      <c r="D1013" s="232"/>
      <c r="E1013" s="232"/>
      <c r="F1013" s="232"/>
      <c r="G1013" s="232"/>
      <c r="H1013" s="232"/>
      <c r="I1013" s="232"/>
      <c r="J1013" s="232"/>
      <c r="K1013" s="232"/>
      <c r="L1013" s="232"/>
      <c r="M1013" s="232"/>
      <c r="N1013" s="289"/>
      <c r="O1013" s="232"/>
      <c r="P1013" s="232"/>
      <c r="Q1013" s="232"/>
      <c r="R1013" s="232"/>
      <c r="S1013" s="232"/>
      <c r="T1013" s="232"/>
      <c r="U1013" s="232"/>
      <c r="V1013" s="232"/>
      <c r="W1013" s="232"/>
      <c r="X1013" s="232"/>
      <c r="Y1013" s="232"/>
      <c r="Z1013" s="232"/>
      <c r="AA1013" s="232"/>
      <c r="AB1013" s="232"/>
      <c r="AC1013" s="232"/>
      <c r="AD1013" s="232"/>
      <c r="AE1013" s="232"/>
      <c r="AF1013" s="232"/>
      <c r="AG1013" s="232"/>
      <c r="AH1013" s="232"/>
      <c r="AI1013" s="232"/>
      <c r="AJ1013" s="232"/>
      <c r="AK1013" s="232"/>
      <c r="AL1013" s="232"/>
      <c r="AM1013" s="232"/>
      <c r="AN1013" s="232"/>
      <c r="AO1013" s="232"/>
      <c r="AP1013" s="232"/>
      <c r="AQ1013" s="232"/>
      <c r="AR1013" s="232"/>
      <c r="AS1013" s="232"/>
      <c r="AT1013" s="232"/>
      <c r="AU1013" s="232"/>
      <c r="AV1013" s="232"/>
      <c r="AW1013" s="232"/>
      <c r="AX1013" s="232"/>
      <c r="AY1013" s="232"/>
      <c r="AZ1013" s="232"/>
      <c r="BA1013" s="232"/>
      <c r="BB1013" s="232"/>
      <c r="BC1013" s="232"/>
      <c r="BD1013" s="232"/>
      <c r="BE1013" s="232"/>
      <c r="BF1013" s="232"/>
      <c r="BG1013" s="232"/>
      <c r="BH1013" s="232"/>
      <c r="BI1013" s="232"/>
      <c r="BJ1013" s="232"/>
      <c r="BK1013" s="232"/>
      <c r="BL1013" s="232"/>
      <c r="BM1013" s="232"/>
      <c r="BN1013" s="232"/>
      <c r="BO1013" s="232"/>
      <c r="BP1013" s="232"/>
      <c r="BQ1013" s="232"/>
      <c r="BR1013" s="232"/>
      <c r="BS1013" s="232"/>
      <c r="BT1013" s="232"/>
      <c r="BU1013" s="232"/>
      <c r="BV1013" s="232"/>
      <c r="BW1013" s="232"/>
      <c r="BX1013" s="232"/>
      <c r="BY1013" s="232"/>
      <c r="BZ1013" s="232"/>
      <c r="CA1013" s="232"/>
      <c r="CB1013" s="232"/>
      <c r="CC1013" s="232"/>
      <c r="CD1013" s="232"/>
      <c r="CE1013" s="232"/>
      <c r="CF1013" s="232"/>
      <c r="CG1013" s="232"/>
      <c r="CH1013" s="232"/>
      <c r="CI1013" s="232"/>
      <c r="CJ1013" s="232"/>
      <c r="CK1013" s="232"/>
      <c r="CL1013" s="232"/>
      <c r="CM1013" s="232"/>
      <c r="CN1013" s="215"/>
      <c r="CO1013" s="215"/>
      <c r="CP1013" s="215"/>
      <c r="CQ1013" s="215"/>
      <c r="CR1013" s="215"/>
      <c r="CS1013" s="215"/>
      <c r="CT1013" s="215"/>
    </row>
    <row r="1014" ht="24.0" customHeight="1">
      <c r="A1014" s="287"/>
      <c r="B1014" s="287"/>
      <c r="C1014" s="287"/>
      <c r="D1014" s="232"/>
      <c r="E1014" s="232"/>
      <c r="F1014" s="232"/>
      <c r="G1014" s="232"/>
      <c r="H1014" s="232"/>
      <c r="I1014" s="232"/>
      <c r="J1014" s="232"/>
      <c r="K1014" s="232"/>
      <c r="L1014" s="232"/>
      <c r="M1014" s="232"/>
      <c r="N1014" s="289"/>
      <c r="O1014" s="232"/>
      <c r="P1014" s="232"/>
      <c r="Q1014" s="232"/>
      <c r="R1014" s="232"/>
      <c r="S1014" s="232"/>
      <c r="T1014" s="232"/>
      <c r="U1014" s="232"/>
      <c r="V1014" s="232"/>
      <c r="W1014" s="232"/>
      <c r="X1014" s="232"/>
      <c r="Y1014" s="232"/>
      <c r="Z1014" s="232"/>
      <c r="AA1014" s="232"/>
      <c r="AB1014" s="232"/>
      <c r="AC1014" s="232"/>
      <c r="AD1014" s="232"/>
      <c r="AE1014" s="232"/>
      <c r="AF1014" s="232"/>
      <c r="AG1014" s="232"/>
      <c r="AH1014" s="232"/>
      <c r="AI1014" s="232"/>
      <c r="AJ1014" s="232"/>
      <c r="AK1014" s="232"/>
      <c r="AL1014" s="232"/>
      <c r="AM1014" s="232"/>
      <c r="AN1014" s="232"/>
      <c r="AO1014" s="232"/>
      <c r="AP1014" s="232"/>
      <c r="AQ1014" s="232"/>
      <c r="AR1014" s="232"/>
      <c r="AS1014" s="232"/>
      <c r="AT1014" s="232"/>
      <c r="AU1014" s="232"/>
      <c r="AV1014" s="232"/>
      <c r="AW1014" s="232"/>
      <c r="AX1014" s="232"/>
      <c r="AY1014" s="232"/>
      <c r="AZ1014" s="232"/>
      <c r="BA1014" s="232"/>
      <c r="BB1014" s="232"/>
      <c r="BC1014" s="232"/>
      <c r="BD1014" s="232"/>
      <c r="BE1014" s="232"/>
      <c r="BF1014" s="232"/>
      <c r="BG1014" s="232"/>
      <c r="BH1014" s="232"/>
      <c r="BI1014" s="232"/>
      <c r="BJ1014" s="232"/>
      <c r="BK1014" s="232"/>
      <c r="BL1014" s="232"/>
      <c r="BM1014" s="232"/>
      <c r="BN1014" s="232"/>
      <c r="BO1014" s="232"/>
      <c r="BP1014" s="232"/>
      <c r="BQ1014" s="232"/>
      <c r="BR1014" s="232"/>
      <c r="BS1014" s="232"/>
      <c r="BT1014" s="232"/>
      <c r="BU1014" s="232"/>
      <c r="BV1014" s="232"/>
      <c r="BW1014" s="232"/>
      <c r="BX1014" s="232"/>
      <c r="BY1014" s="232"/>
      <c r="BZ1014" s="232"/>
      <c r="CA1014" s="232"/>
      <c r="CB1014" s="232"/>
      <c r="CC1014" s="232"/>
      <c r="CD1014" s="232"/>
      <c r="CE1014" s="232"/>
      <c r="CF1014" s="232"/>
      <c r="CG1014" s="232"/>
      <c r="CH1014" s="232"/>
      <c r="CI1014" s="232"/>
      <c r="CJ1014" s="232"/>
      <c r="CK1014" s="232"/>
      <c r="CL1014" s="232"/>
      <c r="CM1014" s="232"/>
      <c r="CN1014" s="215"/>
      <c r="CO1014" s="215"/>
      <c r="CP1014" s="215"/>
      <c r="CQ1014" s="215"/>
      <c r="CR1014" s="215"/>
      <c r="CS1014" s="215"/>
      <c r="CT1014" s="215"/>
    </row>
    <row r="1015" ht="24.0" customHeight="1">
      <c r="A1015" s="287"/>
      <c r="B1015" s="287"/>
      <c r="C1015" s="287"/>
      <c r="D1015" s="232"/>
      <c r="E1015" s="232"/>
      <c r="F1015" s="232"/>
      <c r="G1015" s="232"/>
      <c r="H1015" s="232"/>
      <c r="I1015" s="232"/>
      <c r="J1015" s="232"/>
      <c r="K1015" s="232"/>
      <c r="L1015" s="232"/>
      <c r="M1015" s="232"/>
      <c r="N1015" s="289"/>
      <c r="O1015" s="232"/>
      <c r="P1015" s="232"/>
      <c r="Q1015" s="232"/>
      <c r="R1015" s="232"/>
      <c r="S1015" s="232"/>
      <c r="T1015" s="232"/>
      <c r="U1015" s="232"/>
      <c r="V1015" s="232"/>
      <c r="W1015" s="232"/>
      <c r="X1015" s="232"/>
      <c r="Y1015" s="232"/>
      <c r="Z1015" s="232"/>
      <c r="AA1015" s="232"/>
      <c r="AB1015" s="232"/>
      <c r="AC1015" s="232"/>
      <c r="AD1015" s="232"/>
      <c r="AE1015" s="232"/>
      <c r="AF1015" s="232"/>
      <c r="AG1015" s="232"/>
      <c r="AH1015" s="232"/>
      <c r="AI1015" s="232"/>
      <c r="AJ1015" s="232"/>
      <c r="AK1015" s="232"/>
      <c r="AL1015" s="232"/>
      <c r="AM1015" s="232"/>
      <c r="AN1015" s="232"/>
      <c r="AO1015" s="232"/>
      <c r="AP1015" s="232"/>
      <c r="AQ1015" s="232"/>
      <c r="AR1015" s="232"/>
      <c r="AS1015" s="232"/>
      <c r="AT1015" s="232"/>
      <c r="AU1015" s="232"/>
      <c r="AV1015" s="232"/>
      <c r="AW1015" s="232"/>
      <c r="AX1015" s="232"/>
      <c r="AY1015" s="232"/>
      <c r="AZ1015" s="232"/>
      <c r="BA1015" s="232"/>
      <c r="BB1015" s="232"/>
      <c r="BC1015" s="232"/>
      <c r="BD1015" s="232"/>
      <c r="BE1015" s="232"/>
      <c r="BF1015" s="232"/>
      <c r="BG1015" s="232"/>
      <c r="BH1015" s="232"/>
      <c r="BI1015" s="232"/>
      <c r="BJ1015" s="232"/>
      <c r="BK1015" s="232"/>
      <c r="BL1015" s="232"/>
      <c r="BM1015" s="232"/>
      <c r="BN1015" s="232"/>
      <c r="BO1015" s="232"/>
      <c r="BP1015" s="232"/>
      <c r="BQ1015" s="232"/>
      <c r="BR1015" s="232"/>
      <c r="BS1015" s="232"/>
      <c r="BT1015" s="232"/>
      <c r="BU1015" s="232"/>
      <c r="BV1015" s="232"/>
      <c r="BW1015" s="232"/>
      <c r="BX1015" s="232"/>
      <c r="BY1015" s="232"/>
      <c r="BZ1015" s="232"/>
      <c r="CA1015" s="232"/>
      <c r="CB1015" s="232"/>
      <c r="CC1015" s="232"/>
      <c r="CD1015" s="232"/>
      <c r="CE1015" s="232"/>
      <c r="CF1015" s="232"/>
      <c r="CG1015" s="232"/>
      <c r="CH1015" s="232"/>
      <c r="CI1015" s="232"/>
      <c r="CJ1015" s="232"/>
      <c r="CK1015" s="232"/>
      <c r="CL1015" s="232"/>
      <c r="CM1015" s="232"/>
      <c r="CN1015" s="215"/>
      <c r="CO1015" s="215"/>
      <c r="CP1015" s="215"/>
      <c r="CQ1015" s="215"/>
      <c r="CR1015" s="215"/>
      <c r="CS1015" s="215"/>
      <c r="CT1015" s="215"/>
    </row>
    <row r="1016" ht="24.0" customHeight="1">
      <c r="A1016" s="287"/>
      <c r="B1016" s="287"/>
      <c r="C1016" s="287"/>
      <c r="D1016" s="232"/>
      <c r="E1016" s="232"/>
      <c r="F1016" s="232"/>
      <c r="G1016" s="232"/>
      <c r="H1016" s="232"/>
      <c r="I1016" s="232"/>
      <c r="J1016" s="232"/>
      <c r="K1016" s="232"/>
      <c r="L1016" s="232"/>
      <c r="M1016" s="232"/>
      <c r="N1016" s="289"/>
      <c r="O1016" s="232"/>
      <c r="P1016" s="232"/>
      <c r="Q1016" s="232"/>
      <c r="R1016" s="232"/>
      <c r="S1016" s="232"/>
      <c r="T1016" s="232"/>
      <c r="U1016" s="232"/>
      <c r="V1016" s="232"/>
      <c r="W1016" s="232"/>
      <c r="X1016" s="232"/>
      <c r="Y1016" s="232"/>
      <c r="Z1016" s="232"/>
      <c r="AA1016" s="232"/>
      <c r="AB1016" s="232"/>
      <c r="AC1016" s="232"/>
      <c r="AD1016" s="232"/>
      <c r="AE1016" s="232"/>
      <c r="AF1016" s="232"/>
      <c r="AG1016" s="232"/>
      <c r="AH1016" s="232"/>
      <c r="AI1016" s="232"/>
      <c r="AJ1016" s="232"/>
      <c r="AK1016" s="232"/>
      <c r="AL1016" s="232"/>
      <c r="AM1016" s="232"/>
      <c r="AN1016" s="232"/>
      <c r="AO1016" s="232"/>
      <c r="AP1016" s="232"/>
      <c r="AQ1016" s="232"/>
      <c r="AR1016" s="232"/>
      <c r="AS1016" s="232"/>
      <c r="AT1016" s="232"/>
      <c r="AU1016" s="232"/>
      <c r="AV1016" s="232"/>
      <c r="AW1016" s="232"/>
      <c r="AX1016" s="232"/>
      <c r="AY1016" s="232"/>
      <c r="AZ1016" s="232"/>
      <c r="BA1016" s="232"/>
      <c r="BB1016" s="232"/>
      <c r="BC1016" s="232"/>
      <c r="BD1016" s="232"/>
      <c r="BE1016" s="232"/>
      <c r="BF1016" s="232"/>
      <c r="BG1016" s="232"/>
      <c r="BH1016" s="232"/>
      <c r="BI1016" s="232"/>
      <c r="BJ1016" s="232"/>
      <c r="BK1016" s="232"/>
      <c r="BL1016" s="232"/>
      <c r="BM1016" s="232"/>
      <c r="BN1016" s="232"/>
      <c r="BO1016" s="232"/>
      <c r="BP1016" s="232"/>
      <c r="BQ1016" s="232"/>
      <c r="BR1016" s="232"/>
      <c r="BS1016" s="232"/>
      <c r="BT1016" s="232"/>
      <c r="BU1016" s="232"/>
      <c r="BV1016" s="232"/>
      <c r="BW1016" s="232"/>
      <c r="BX1016" s="232"/>
      <c r="BY1016" s="232"/>
      <c r="BZ1016" s="232"/>
      <c r="CA1016" s="232"/>
      <c r="CB1016" s="232"/>
      <c r="CC1016" s="232"/>
      <c r="CD1016" s="232"/>
      <c r="CE1016" s="232"/>
      <c r="CF1016" s="232"/>
      <c r="CG1016" s="232"/>
      <c r="CH1016" s="232"/>
      <c r="CI1016" s="232"/>
      <c r="CJ1016" s="232"/>
      <c r="CK1016" s="232"/>
      <c r="CL1016" s="232"/>
      <c r="CM1016" s="232"/>
      <c r="CN1016" s="215"/>
      <c r="CO1016" s="215"/>
      <c r="CP1016" s="215"/>
      <c r="CQ1016" s="215"/>
      <c r="CR1016" s="215"/>
      <c r="CS1016" s="215"/>
      <c r="CT1016" s="215"/>
    </row>
    <row r="1017" ht="24.0" customHeight="1">
      <c r="A1017" s="287"/>
      <c r="B1017" s="287"/>
      <c r="C1017" s="287"/>
      <c r="D1017" s="232"/>
      <c r="E1017" s="232"/>
      <c r="F1017" s="232"/>
      <c r="G1017" s="232"/>
      <c r="H1017" s="232"/>
      <c r="I1017" s="232"/>
      <c r="J1017" s="232"/>
      <c r="K1017" s="232"/>
      <c r="L1017" s="232"/>
      <c r="M1017" s="232"/>
      <c r="N1017" s="289"/>
      <c r="O1017" s="232"/>
      <c r="P1017" s="232"/>
      <c r="Q1017" s="232"/>
      <c r="R1017" s="232"/>
      <c r="S1017" s="232"/>
      <c r="T1017" s="232"/>
      <c r="U1017" s="232"/>
      <c r="V1017" s="232"/>
      <c r="W1017" s="232"/>
      <c r="X1017" s="232"/>
      <c r="Y1017" s="232"/>
      <c r="Z1017" s="232"/>
      <c r="AA1017" s="232"/>
      <c r="AB1017" s="232"/>
      <c r="AC1017" s="232"/>
      <c r="AD1017" s="232"/>
      <c r="AE1017" s="232"/>
      <c r="AF1017" s="232"/>
      <c r="AG1017" s="232"/>
      <c r="AH1017" s="232"/>
      <c r="AI1017" s="232"/>
      <c r="AJ1017" s="232"/>
      <c r="AK1017" s="232"/>
      <c r="AL1017" s="232"/>
      <c r="AM1017" s="232"/>
      <c r="AN1017" s="232"/>
      <c r="AO1017" s="232"/>
      <c r="AP1017" s="232"/>
      <c r="AQ1017" s="232"/>
      <c r="AR1017" s="232"/>
      <c r="AS1017" s="232"/>
      <c r="AT1017" s="232"/>
      <c r="AU1017" s="232"/>
      <c r="AV1017" s="232"/>
      <c r="AW1017" s="232"/>
      <c r="AX1017" s="232"/>
      <c r="AY1017" s="232"/>
      <c r="AZ1017" s="232"/>
      <c r="BA1017" s="232"/>
      <c r="BB1017" s="232"/>
      <c r="BC1017" s="232"/>
      <c r="BD1017" s="232"/>
      <c r="BE1017" s="232"/>
      <c r="BF1017" s="232"/>
      <c r="BG1017" s="232"/>
      <c r="BH1017" s="232"/>
      <c r="BI1017" s="232"/>
      <c r="BJ1017" s="232"/>
      <c r="BK1017" s="232"/>
      <c r="BL1017" s="232"/>
      <c r="BM1017" s="232"/>
      <c r="BN1017" s="232"/>
      <c r="BO1017" s="232"/>
      <c r="BP1017" s="232"/>
      <c r="BQ1017" s="232"/>
      <c r="BR1017" s="232"/>
      <c r="BS1017" s="232"/>
      <c r="BT1017" s="232"/>
      <c r="BU1017" s="232"/>
      <c r="BV1017" s="232"/>
      <c r="BW1017" s="232"/>
      <c r="BX1017" s="232"/>
      <c r="BY1017" s="232"/>
      <c r="BZ1017" s="232"/>
      <c r="CA1017" s="232"/>
      <c r="CB1017" s="232"/>
      <c r="CC1017" s="232"/>
      <c r="CD1017" s="232"/>
      <c r="CE1017" s="232"/>
      <c r="CF1017" s="232"/>
      <c r="CG1017" s="232"/>
      <c r="CH1017" s="232"/>
      <c r="CI1017" s="232"/>
      <c r="CJ1017" s="232"/>
      <c r="CK1017" s="232"/>
      <c r="CL1017" s="232"/>
      <c r="CM1017" s="232"/>
      <c r="CN1017" s="215"/>
      <c r="CO1017" s="215"/>
      <c r="CP1017" s="215"/>
      <c r="CQ1017" s="215"/>
      <c r="CR1017" s="215"/>
      <c r="CS1017" s="215"/>
      <c r="CT1017" s="215"/>
    </row>
    <row r="1018" ht="24.0" customHeight="1">
      <c r="A1018" s="287"/>
      <c r="B1018" s="287"/>
      <c r="C1018" s="287"/>
      <c r="D1018" s="232"/>
      <c r="E1018" s="232"/>
      <c r="F1018" s="232"/>
      <c r="G1018" s="232"/>
      <c r="H1018" s="232"/>
      <c r="I1018" s="232"/>
      <c r="J1018" s="232"/>
      <c r="K1018" s="232"/>
      <c r="L1018" s="232"/>
      <c r="M1018" s="232"/>
      <c r="N1018" s="289"/>
      <c r="O1018" s="232"/>
      <c r="P1018" s="232"/>
      <c r="Q1018" s="232"/>
      <c r="R1018" s="232"/>
      <c r="S1018" s="232"/>
      <c r="T1018" s="232"/>
      <c r="U1018" s="232"/>
      <c r="V1018" s="232"/>
      <c r="W1018" s="232"/>
      <c r="X1018" s="232"/>
      <c r="Y1018" s="232"/>
      <c r="Z1018" s="232"/>
      <c r="AA1018" s="232"/>
      <c r="AB1018" s="232"/>
      <c r="AC1018" s="232"/>
      <c r="AD1018" s="232"/>
      <c r="AE1018" s="232"/>
      <c r="AF1018" s="232"/>
      <c r="AG1018" s="232"/>
      <c r="AH1018" s="232"/>
      <c r="AI1018" s="232"/>
      <c r="AJ1018" s="232"/>
      <c r="AK1018" s="232"/>
      <c r="AL1018" s="232"/>
      <c r="AM1018" s="232"/>
      <c r="AN1018" s="232"/>
      <c r="AO1018" s="232"/>
      <c r="AP1018" s="232"/>
      <c r="AQ1018" s="232"/>
      <c r="AR1018" s="232"/>
      <c r="AS1018" s="232"/>
      <c r="AT1018" s="232"/>
      <c r="AU1018" s="232"/>
      <c r="AV1018" s="232"/>
      <c r="AW1018" s="232"/>
      <c r="AX1018" s="232"/>
      <c r="AY1018" s="232"/>
      <c r="AZ1018" s="232"/>
      <c r="BA1018" s="232"/>
      <c r="BB1018" s="232"/>
      <c r="BC1018" s="232"/>
      <c r="BD1018" s="232"/>
      <c r="BE1018" s="232"/>
      <c r="BF1018" s="232"/>
      <c r="BG1018" s="232"/>
      <c r="BH1018" s="232"/>
      <c r="BI1018" s="232"/>
      <c r="BJ1018" s="232"/>
      <c r="BK1018" s="232"/>
      <c r="BL1018" s="232"/>
      <c r="BM1018" s="232"/>
      <c r="BN1018" s="232"/>
      <c r="BO1018" s="232"/>
      <c r="BP1018" s="232"/>
      <c r="BQ1018" s="232"/>
      <c r="BR1018" s="232"/>
      <c r="BS1018" s="232"/>
      <c r="BT1018" s="232"/>
      <c r="BU1018" s="232"/>
      <c r="BV1018" s="232"/>
      <c r="BW1018" s="232"/>
      <c r="BX1018" s="232"/>
      <c r="BY1018" s="232"/>
      <c r="BZ1018" s="232"/>
      <c r="CA1018" s="232"/>
      <c r="CB1018" s="232"/>
      <c r="CC1018" s="232"/>
      <c r="CD1018" s="232"/>
      <c r="CE1018" s="232"/>
      <c r="CF1018" s="232"/>
      <c r="CG1018" s="232"/>
      <c r="CH1018" s="232"/>
      <c r="CI1018" s="232"/>
      <c r="CJ1018" s="232"/>
      <c r="CK1018" s="232"/>
      <c r="CL1018" s="232"/>
      <c r="CM1018" s="232"/>
      <c r="CN1018" s="215"/>
      <c r="CO1018" s="215"/>
      <c r="CP1018" s="215"/>
      <c r="CQ1018" s="215"/>
      <c r="CR1018" s="215"/>
      <c r="CS1018" s="215"/>
      <c r="CT1018" s="215"/>
    </row>
    <row r="1019" ht="24.0" customHeight="1">
      <c r="A1019" s="287"/>
      <c r="B1019" s="287"/>
      <c r="C1019" s="287"/>
      <c r="D1019" s="232"/>
      <c r="E1019" s="232"/>
      <c r="F1019" s="232"/>
      <c r="G1019" s="232"/>
      <c r="H1019" s="232"/>
      <c r="I1019" s="232"/>
      <c r="J1019" s="232"/>
      <c r="K1019" s="232"/>
      <c r="L1019" s="232"/>
      <c r="M1019" s="232"/>
      <c r="N1019" s="289"/>
      <c r="O1019" s="232"/>
      <c r="P1019" s="232"/>
      <c r="Q1019" s="232"/>
      <c r="R1019" s="232"/>
      <c r="S1019" s="232"/>
      <c r="T1019" s="232"/>
      <c r="U1019" s="232"/>
      <c r="V1019" s="232"/>
      <c r="W1019" s="232"/>
      <c r="X1019" s="232"/>
      <c r="Y1019" s="232"/>
      <c r="Z1019" s="232"/>
      <c r="AA1019" s="232"/>
      <c r="AB1019" s="232"/>
      <c r="AC1019" s="232"/>
      <c r="AD1019" s="232"/>
      <c r="AE1019" s="232"/>
      <c r="AF1019" s="232"/>
      <c r="AG1019" s="232"/>
      <c r="AH1019" s="232"/>
      <c r="AI1019" s="232"/>
      <c r="AJ1019" s="232"/>
      <c r="AK1019" s="232"/>
      <c r="AL1019" s="232"/>
      <c r="AM1019" s="232"/>
      <c r="AN1019" s="232"/>
      <c r="AO1019" s="232"/>
      <c r="AP1019" s="232"/>
      <c r="AQ1019" s="232"/>
      <c r="AR1019" s="232"/>
      <c r="AS1019" s="232"/>
      <c r="AT1019" s="232"/>
      <c r="AU1019" s="232"/>
      <c r="AV1019" s="232"/>
      <c r="AW1019" s="232"/>
      <c r="AX1019" s="232"/>
      <c r="AY1019" s="232"/>
      <c r="AZ1019" s="232"/>
      <c r="BA1019" s="232"/>
      <c r="BB1019" s="232"/>
      <c r="BC1019" s="232"/>
      <c r="BD1019" s="232"/>
      <c r="BE1019" s="232"/>
      <c r="BF1019" s="232"/>
      <c r="BG1019" s="232"/>
      <c r="BH1019" s="232"/>
      <c r="BI1019" s="232"/>
      <c r="BJ1019" s="232"/>
      <c r="BK1019" s="232"/>
      <c r="BL1019" s="232"/>
      <c r="BM1019" s="232"/>
      <c r="BN1019" s="232"/>
      <c r="BO1019" s="232"/>
      <c r="BP1019" s="232"/>
      <c r="BQ1019" s="232"/>
      <c r="BR1019" s="232"/>
      <c r="BS1019" s="232"/>
      <c r="BT1019" s="232"/>
      <c r="BU1019" s="232"/>
      <c r="BV1019" s="232"/>
      <c r="BW1019" s="232"/>
      <c r="BX1019" s="232"/>
      <c r="BY1019" s="232"/>
      <c r="BZ1019" s="232"/>
      <c r="CA1019" s="232"/>
      <c r="CB1019" s="232"/>
      <c r="CC1019" s="232"/>
      <c r="CD1019" s="232"/>
      <c r="CE1019" s="232"/>
      <c r="CF1019" s="232"/>
      <c r="CG1019" s="232"/>
      <c r="CH1019" s="232"/>
      <c r="CI1019" s="232"/>
      <c r="CJ1019" s="232"/>
      <c r="CK1019" s="232"/>
      <c r="CL1019" s="232"/>
      <c r="CM1019" s="232"/>
      <c r="CN1019" s="215"/>
      <c r="CO1019" s="215"/>
      <c r="CP1019" s="215"/>
      <c r="CQ1019" s="215"/>
      <c r="CR1019" s="215"/>
      <c r="CS1019" s="215"/>
      <c r="CT1019" s="215"/>
    </row>
    <row r="1020" ht="24.0" customHeight="1">
      <c r="A1020" s="287"/>
      <c r="B1020" s="287"/>
      <c r="C1020" s="287"/>
      <c r="D1020" s="232"/>
      <c r="E1020" s="232"/>
      <c r="F1020" s="232"/>
      <c r="G1020" s="232"/>
      <c r="H1020" s="232"/>
      <c r="I1020" s="232"/>
      <c r="J1020" s="232"/>
      <c r="K1020" s="232"/>
      <c r="L1020" s="232"/>
      <c r="M1020" s="232"/>
      <c r="N1020" s="289"/>
      <c r="O1020" s="232"/>
      <c r="P1020" s="232"/>
      <c r="Q1020" s="232"/>
      <c r="R1020" s="232"/>
      <c r="S1020" s="232"/>
      <c r="T1020" s="232"/>
      <c r="U1020" s="232"/>
      <c r="V1020" s="232"/>
      <c r="W1020" s="232"/>
      <c r="X1020" s="232"/>
      <c r="Y1020" s="232"/>
      <c r="Z1020" s="232"/>
      <c r="AA1020" s="232"/>
      <c r="AB1020" s="232"/>
      <c r="AC1020" s="232"/>
      <c r="AD1020" s="232"/>
      <c r="AE1020" s="232"/>
      <c r="AF1020" s="232"/>
      <c r="AG1020" s="232"/>
      <c r="AH1020" s="232"/>
      <c r="AI1020" s="232"/>
      <c r="AJ1020" s="232"/>
      <c r="AK1020" s="232"/>
      <c r="AL1020" s="232"/>
      <c r="AM1020" s="232"/>
      <c r="AN1020" s="232"/>
      <c r="AO1020" s="232"/>
      <c r="AP1020" s="232"/>
      <c r="AQ1020" s="232"/>
      <c r="AR1020" s="232"/>
      <c r="AS1020" s="232"/>
      <c r="AT1020" s="232"/>
      <c r="AU1020" s="232"/>
      <c r="AV1020" s="232"/>
      <c r="AW1020" s="232"/>
      <c r="AX1020" s="232"/>
      <c r="AY1020" s="232"/>
      <c r="AZ1020" s="232"/>
      <c r="BA1020" s="232"/>
      <c r="BB1020" s="232"/>
      <c r="BC1020" s="232"/>
      <c r="BD1020" s="232"/>
      <c r="BE1020" s="232"/>
      <c r="BF1020" s="232"/>
      <c r="BG1020" s="232"/>
      <c r="BH1020" s="232"/>
      <c r="BI1020" s="232"/>
      <c r="BJ1020" s="232"/>
      <c r="BK1020" s="232"/>
      <c r="BL1020" s="232"/>
      <c r="BM1020" s="232"/>
      <c r="BN1020" s="232"/>
      <c r="BO1020" s="232"/>
      <c r="BP1020" s="232"/>
      <c r="BQ1020" s="232"/>
      <c r="BR1020" s="232"/>
      <c r="BS1020" s="232"/>
      <c r="BT1020" s="232"/>
      <c r="BU1020" s="232"/>
      <c r="BV1020" s="232"/>
      <c r="BW1020" s="232"/>
      <c r="BX1020" s="232"/>
      <c r="BY1020" s="232"/>
      <c r="BZ1020" s="232"/>
      <c r="CA1020" s="232"/>
      <c r="CB1020" s="232"/>
      <c r="CC1020" s="232"/>
      <c r="CD1020" s="232"/>
      <c r="CE1020" s="232"/>
      <c r="CF1020" s="232"/>
      <c r="CG1020" s="232"/>
      <c r="CH1020" s="232"/>
      <c r="CI1020" s="232"/>
      <c r="CJ1020" s="232"/>
      <c r="CK1020" s="232"/>
      <c r="CL1020" s="232"/>
      <c r="CM1020" s="232"/>
      <c r="CN1020" s="215"/>
      <c r="CO1020" s="215"/>
      <c r="CP1020" s="215"/>
      <c r="CQ1020" s="215"/>
      <c r="CR1020" s="215"/>
      <c r="CS1020" s="215"/>
      <c r="CT1020" s="215"/>
    </row>
    <row r="1021" ht="24.0" customHeight="1">
      <c r="A1021" s="287"/>
      <c r="B1021" s="287"/>
      <c r="C1021" s="287"/>
      <c r="D1021" s="232"/>
      <c r="E1021" s="232"/>
      <c r="F1021" s="232"/>
      <c r="G1021" s="232"/>
      <c r="H1021" s="232"/>
      <c r="I1021" s="232"/>
      <c r="J1021" s="232"/>
      <c r="K1021" s="232"/>
      <c r="L1021" s="232"/>
      <c r="M1021" s="232"/>
      <c r="N1021" s="289"/>
      <c r="O1021" s="232"/>
      <c r="P1021" s="232"/>
      <c r="Q1021" s="232"/>
      <c r="R1021" s="232"/>
      <c r="S1021" s="232"/>
      <c r="T1021" s="232"/>
      <c r="U1021" s="232"/>
      <c r="V1021" s="232"/>
      <c r="W1021" s="232"/>
      <c r="X1021" s="232"/>
      <c r="Y1021" s="232"/>
      <c r="Z1021" s="232"/>
      <c r="AA1021" s="232"/>
      <c r="AB1021" s="232"/>
      <c r="AC1021" s="232"/>
      <c r="AD1021" s="232"/>
      <c r="AE1021" s="232"/>
      <c r="AF1021" s="232"/>
      <c r="AG1021" s="232"/>
      <c r="AH1021" s="232"/>
      <c r="AI1021" s="232"/>
      <c r="AJ1021" s="232"/>
      <c r="AK1021" s="232"/>
      <c r="AL1021" s="232"/>
      <c r="AM1021" s="232"/>
      <c r="AN1021" s="232"/>
      <c r="AO1021" s="232"/>
      <c r="AP1021" s="232"/>
      <c r="AQ1021" s="232"/>
      <c r="AR1021" s="232"/>
      <c r="AS1021" s="232"/>
      <c r="AT1021" s="232"/>
      <c r="AU1021" s="232"/>
      <c r="AV1021" s="232"/>
      <c r="AW1021" s="232"/>
      <c r="AX1021" s="232"/>
      <c r="AY1021" s="232"/>
      <c r="AZ1021" s="232"/>
      <c r="BA1021" s="232"/>
      <c r="BB1021" s="232"/>
      <c r="BC1021" s="232"/>
      <c r="BD1021" s="232"/>
      <c r="BE1021" s="232"/>
      <c r="BF1021" s="232"/>
      <c r="BG1021" s="232"/>
      <c r="BH1021" s="232"/>
      <c r="BI1021" s="232"/>
      <c r="BJ1021" s="232"/>
      <c r="BK1021" s="232"/>
      <c r="BL1021" s="232"/>
      <c r="BM1021" s="232"/>
      <c r="BN1021" s="232"/>
      <c r="BO1021" s="232"/>
      <c r="BP1021" s="232"/>
      <c r="BQ1021" s="232"/>
      <c r="BR1021" s="232"/>
      <c r="BS1021" s="232"/>
      <c r="BT1021" s="232"/>
      <c r="BU1021" s="232"/>
      <c r="BV1021" s="232"/>
      <c r="BW1021" s="232"/>
      <c r="BX1021" s="232"/>
      <c r="BY1021" s="232"/>
      <c r="BZ1021" s="232"/>
      <c r="CA1021" s="232"/>
      <c r="CB1021" s="232"/>
      <c r="CC1021" s="232"/>
      <c r="CD1021" s="232"/>
      <c r="CE1021" s="232"/>
      <c r="CF1021" s="232"/>
      <c r="CG1021" s="232"/>
      <c r="CH1021" s="232"/>
      <c r="CI1021" s="232"/>
      <c r="CJ1021" s="232"/>
      <c r="CK1021" s="232"/>
      <c r="CL1021" s="232"/>
      <c r="CM1021" s="232"/>
      <c r="CN1021" s="215"/>
      <c r="CO1021" s="215"/>
      <c r="CP1021" s="215"/>
      <c r="CQ1021" s="215"/>
      <c r="CR1021" s="215"/>
      <c r="CS1021" s="215"/>
      <c r="CT1021" s="215"/>
    </row>
    <row r="1022" ht="24.0" customHeight="1">
      <c r="A1022" s="287"/>
      <c r="B1022" s="287"/>
      <c r="C1022" s="287"/>
      <c r="D1022" s="232"/>
      <c r="E1022" s="232"/>
      <c r="F1022" s="232"/>
      <c r="G1022" s="232"/>
      <c r="H1022" s="232"/>
      <c r="I1022" s="232"/>
      <c r="J1022" s="232"/>
      <c r="K1022" s="232"/>
      <c r="L1022" s="232"/>
      <c r="M1022" s="232"/>
      <c r="N1022" s="289"/>
      <c r="O1022" s="232"/>
      <c r="P1022" s="232"/>
      <c r="Q1022" s="232"/>
      <c r="R1022" s="232"/>
      <c r="S1022" s="232"/>
      <c r="T1022" s="232"/>
      <c r="U1022" s="232"/>
      <c r="V1022" s="232"/>
      <c r="W1022" s="232"/>
      <c r="X1022" s="232"/>
      <c r="Y1022" s="232"/>
      <c r="Z1022" s="232"/>
      <c r="AA1022" s="232"/>
      <c r="AB1022" s="232"/>
      <c r="AC1022" s="232"/>
      <c r="AD1022" s="232"/>
      <c r="AE1022" s="232"/>
      <c r="AF1022" s="232"/>
      <c r="AG1022" s="232"/>
      <c r="AH1022" s="232"/>
      <c r="AI1022" s="232"/>
      <c r="AJ1022" s="232"/>
      <c r="AK1022" s="232"/>
      <c r="AL1022" s="232"/>
      <c r="AM1022" s="232"/>
      <c r="AN1022" s="232"/>
      <c r="AO1022" s="232"/>
      <c r="AP1022" s="232"/>
      <c r="AQ1022" s="232"/>
      <c r="AR1022" s="232"/>
      <c r="AS1022" s="232"/>
      <c r="AT1022" s="232"/>
      <c r="AU1022" s="232"/>
      <c r="AV1022" s="232"/>
      <c r="AW1022" s="232"/>
      <c r="AX1022" s="232"/>
      <c r="AY1022" s="232"/>
      <c r="AZ1022" s="232"/>
      <c r="BA1022" s="232"/>
      <c r="BB1022" s="232"/>
      <c r="BC1022" s="232"/>
      <c r="BD1022" s="232"/>
      <c r="BE1022" s="232"/>
      <c r="BF1022" s="232"/>
      <c r="BG1022" s="232"/>
      <c r="BH1022" s="232"/>
      <c r="BI1022" s="232"/>
      <c r="BJ1022" s="232"/>
      <c r="BK1022" s="232"/>
      <c r="BL1022" s="232"/>
      <c r="BM1022" s="232"/>
      <c r="BN1022" s="232"/>
      <c r="BO1022" s="232"/>
      <c r="BP1022" s="232"/>
      <c r="BQ1022" s="232"/>
      <c r="BR1022" s="232"/>
      <c r="BS1022" s="232"/>
      <c r="BT1022" s="232"/>
      <c r="BU1022" s="232"/>
      <c r="BV1022" s="232"/>
      <c r="BW1022" s="232"/>
      <c r="BX1022" s="232"/>
      <c r="BY1022" s="232"/>
      <c r="BZ1022" s="232"/>
      <c r="CA1022" s="232"/>
      <c r="CB1022" s="232"/>
      <c r="CC1022" s="232"/>
      <c r="CD1022" s="232"/>
      <c r="CE1022" s="232"/>
      <c r="CF1022" s="232"/>
      <c r="CG1022" s="232"/>
      <c r="CH1022" s="232"/>
      <c r="CI1022" s="232"/>
      <c r="CJ1022" s="232"/>
      <c r="CK1022" s="232"/>
      <c r="CL1022" s="232"/>
      <c r="CM1022" s="232"/>
      <c r="CN1022" s="215"/>
      <c r="CO1022" s="215"/>
      <c r="CP1022" s="215"/>
      <c r="CQ1022" s="215"/>
      <c r="CR1022" s="215"/>
      <c r="CS1022" s="215"/>
      <c r="CT1022" s="215"/>
    </row>
    <row r="1023" ht="24.0" customHeight="1">
      <c r="A1023" s="287"/>
      <c r="B1023" s="287"/>
      <c r="C1023" s="287"/>
      <c r="D1023" s="232"/>
      <c r="E1023" s="232"/>
      <c r="F1023" s="232"/>
      <c r="G1023" s="232"/>
      <c r="H1023" s="232"/>
      <c r="I1023" s="232"/>
      <c r="J1023" s="232"/>
      <c r="K1023" s="232"/>
      <c r="L1023" s="232"/>
      <c r="M1023" s="232"/>
      <c r="N1023" s="289"/>
      <c r="O1023" s="232"/>
      <c r="P1023" s="232"/>
      <c r="Q1023" s="232"/>
      <c r="R1023" s="232"/>
      <c r="S1023" s="232"/>
      <c r="T1023" s="232"/>
      <c r="U1023" s="232"/>
      <c r="V1023" s="232"/>
      <c r="W1023" s="232"/>
      <c r="X1023" s="232"/>
      <c r="Y1023" s="232"/>
      <c r="Z1023" s="232"/>
      <c r="AA1023" s="232"/>
      <c r="AB1023" s="232"/>
      <c r="AC1023" s="232"/>
      <c r="AD1023" s="232"/>
      <c r="AE1023" s="232"/>
      <c r="AF1023" s="232"/>
      <c r="AG1023" s="232"/>
      <c r="AH1023" s="232"/>
      <c r="AI1023" s="232"/>
      <c r="AJ1023" s="232"/>
      <c r="AK1023" s="232"/>
      <c r="AL1023" s="232"/>
      <c r="AM1023" s="232"/>
      <c r="AN1023" s="232"/>
      <c r="AO1023" s="232"/>
      <c r="AP1023" s="232"/>
      <c r="AQ1023" s="232"/>
      <c r="AR1023" s="232"/>
      <c r="AS1023" s="232"/>
      <c r="AT1023" s="232"/>
      <c r="AU1023" s="232"/>
      <c r="AV1023" s="232"/>
      <c r="AW1023" s="232"/>
      <c r="AX1023" s="232"/>
      <c r="AY1023" s="232"/>
      <c r="AZ1023" s="232"/>
      <c r="BA1023" s="232"/>
      <c r="BB1023" s="232"/>
      <c r="BC1023" s="232"/>
      <c r="BD1023" s="232"/>
      <c r="BE1023" s="232"/>
      <c r="BF1023" s="232"/>
      <c r="BG1023" s="232"/>
      <c r="BH1023" s="232"/>
      <c r="BI1023" s="232"/>
      <c r="BJ1023" s="232"/>
      <c r="BK1023" s="232"/>
      <c r="BL1023" s="232"/>
      <c r="BM1023" s="232"/>
      <c r="BN1023" s="232"/>
      <c r="BO1023" s="232"/>
      <c r="BP1023" s="232"/>
      <c r="BQ1023" s="232"/>
      <c r="BR1023" s="232"/>
      <c r="BS1023" s="232"/>
      <c r="BT1023" s="232"/>
      <c r="BU1023" s="232"/>
      <c r="BV1023" s="232"/>
      <c r="BW1023" s="232"/>
      <c r="BX1023" s="232"/>
      <c r="BY1023" s="232"/>
      <c r="BZ1023" s="232"/>
      <c r="CA1023" s="232"/>
      <c r="CB1023" s="232"/>
      <c r="CC1023" s="232"/>
      <c r="CD1023" s="232"/>
      <c r="CE1023" s="232"/>
      <c r="CF1023" s="232"/>
      <c r="CG1023" s="232"/>
      <c r="CH1023" s="232"/>
      <c r="CI1023" s="232"/>
      <c r="CJ1023" s="232"/>
      <c r="CK1023" s="232"/>
      <c r="CL1023" s="232"/>
      <c r="CM1023" s="232"/>
      <c r="CN1023" s="215"/>
      <c r="CO1023" s="215"/>
      <c r="CP1023" s="215"/>
      <c r="CQ1023" s="215"/>
      <c r="CR1023" s="215"/>
      <c r="CS1023" s="215"/>
      <c r="CT1023" s="215"/>
    </row>
    <row r="1024" ht="24.0" customHeight="1">
      <c r="A1024" s="287"/>
      <c r="B1024" s="287"/>
      <c r="C1024" s="287"/>
      <c r="D1024" s="232"/>
      <c r="E1024" s="232"/>
      <c r="F1024" s="232"/>
      <c r="G1024" s="232"/>
      <c r="H1024" s="232"/>
      <c r="I1024" s="232"/>
      <c r="J1024" s="232"/>
      <c r="K1024" s="232"/>
      <c r="L1024" s="232"/>
      <c r="M1024" s="232"/>
      <c r="N1024" s="289"/>
      <c r="O1024" s="232"/>
      <c r="P1024" s="232"/>
      <c r="Q1024" s="232"/>
      <c r="R1024" s="232"/>
      <c r="S1024" s="232"/>
      <c r="T1024" s="232"/>
      <c r="U1024" s="232"/>
      <c r="V1024" s="232"/>
      <c r="W1024" s="232"/>
      <c r="X1024" s="232"/>
      <c r="Y1024" s="232"/>
      <c r="Z1024" s="232"/>
      <c r="AA1024" s="232"/>
      <c r="AB1024" s="232"/>
      <c r="AC1024" s="232"/>
      <c r="AD1024" s="232"/>
      <c r="AE1024" s="232"/>
      <c r="AF1024" s="232"/>
      <c r="AG1024" s="232"/>
      <c r="AH1024" s="232"/>
      <c r="AI1024" s="232"/>
      <c r="AJ1024" s="232"/>
      <c r="AK1024" s="232"/>
      <c r="AL1024" s="232"/>
      <c r="AM1024" s="232"/>
      <c r="AN1024" s="232"/>
      <c r="AO1024" s="232"/>
      <c r="AP1024" s="232"/>
      <c r="AQ1024" s="232"/>
      <c r="AR1024" s="232"/>
      <c r="AS1024" s="232"/>
      <c r="AT1024" s="232"/>
      <c r="AU1024" s="232"/>
      <c r="AV1024" s="232"/>
      <c r="AW1024" s="232"/>
      <c r="AX1024" s="232"/>
      <c r="AY1024" s="232"/>
      <c r="AZ1024" s="232"/>
      <c r="BA1024" s="232"/>
      <c r="BB1024" s="232"/>
      <c r="BC1024" s="232"/>
      <c r="BD1024" s="232"/>
      <c r="BE1024" s="232"/>
      <c r="BF1024" s="232"/>
      <c r="BG1024" s="232"/>
      <c r="BH1024" s="232"/>
      <c r="BI1024" s="232"/>
      <c r="BJ1024" s="232"/>
      <c r="BK1024" s="232"/>
      <c r="BL1024" s="232"/>
      <c r="BM1024" s="232"/>
      <c r="BN1024" s="232"/>
      <c r="BO1024" s="232"/>
      <c r="BP1024" s="232"/>
      <c r="BQ1024" s="232"/>
      <c r="BR1024" s="232"/>
      <c r="BS1024" s="232"/>
      <c r="BT1024" s="232"/>
      <c r="BU1024" s="232"/>
      <c r="BV1024" s="232"/>
      <c r="BW1024" s="232"/>
      <c r="BX1024" s="232"/>
      <c r="BY1024" s="232"/>
      <c r="BZ1024" s="232"/>
      <c r="CA1024" s="232"/>
      <c r="CB1024" s="232"/>
      <c r="CC1024" s="232"/>
      <c r="CD1024" s="232"/>
      <c r="CE1024" s="232"/>
      <c r="CF1024" s="232"/>
      <c r="CG1024" s="232"/>
      <c r="CH1024" s="232"/>
      <c r="CI1024" s="232"/>
      <c r="CJ1024" s="232"/>
      <c r="CK1024" s="232"/>
      <c r="CL1024" s="232"/>
      <c r="CM1024" s="232"/>
      <c r="CN1024" s="215"/>
      <c r="CO1024" s="215"/>
      <c r="CP1024" s="215"/>
      <c r="CQ1024" s="215"/>
      <c r="CR1024" s="215"/>
      <c r="CS1024" s="215"/>
      <c r="CT1024" s="215"/>
    </row>
    <row r="1025" ht="24.0" customHeight="1">
      <c r="A1025" s="287"/>
      <c r="B1025" s="287"/>
      <c r="C1025" s="287"/>
      <c r="D1025" s="232"/>
      <c r="E1025" s="232"/>
      <c r="F1025" s="232"/>
      <c r="G1025" s="232"/>
      <c r="H1025" s="232"/>
      <c r="I1025" s="232"/>
      <c r="J1025" s="232"/>
      <c r="K1025" s="232"/>
      <c r="L1025" s="232"/>
      <c r="M1025" s="232"/>
      <c r="N1025" s="289"/>
      <c r="O1025" s="232"/>
      <c r="P1025" s="232"/>
      <c r="Q1025" s="232"/>
      <c r="R1025" s="232"/>
      <c r="S1025" s="232"/>
      <c r="T1025" s="232"/>
      <c r="U1025" s="232"/>
      <c r="V1025" s="232"/>
      <c r="W1025" s="232"/>
      <c r="X1025" s="232"/>
      <c r="Y1025" s="232"/>
      <c r="Z1025" s="232"/>
      <c r="AA1025" s="232"/>
      <c r="AB1025" s="232"/>
      <c r="AC1025" s="232"/>
      <c r="AD1025" s="232"/>
      <c r="AE1025" s="232"/>
      <c r="AF1025" s="232"/>
      <c r="AG1025" s="232"/>
      <c r="AH1025" s="232"/>
      <c r="AI1025" s="232"/>
      <c r="AJ1025" s="232"/>
      <c r="AK1025" s="232"/>
      <c r="AL1025" s="232"/>
      <c r="AM1025" s="232"/>
      <c r="AN1025" s="232"/>
      <c r="AO1025" s="232"/>
      <c r="AP1025" s="232"/>
      <c r="AQ1025" s="232"/>
      <c r="AR1025" s="232"/>
      <c r="AS1025" s="232"/>
      <c r="AT1025" s="232"/>
      <c r="AU1025" s="232"/>
      <c r="AV1025" s="232"/>
      <c r="AW1025" s="232"/>
      <c r="AX1025" s="232"/>
      <c r="AY1025" s="232"/>
      <c r="AZ1025" s="232"/>
      <c r="BA1025" s="232"/>
      <c r="BB1025" s="232"/>
      <c r="BC1025" s="232"/>
      <c r="BD1025" s="232"/>
      <c r="BE1025" s="232"/>
      <c r="BF1025" s="232"/>
      <c r="BG1025" s="232"/>
      <c r="BH1025" s="232"/>
      <c r="BI1025" s="232"/>
      <c r="BJ1025" s="232"/>
      <c r="BK1025" s="232"/>
      <c r="BL1025" s="232"/>
      <c r="BM1025" s="232"/>
      <c r="BN1025" s="232"/>
      <c r="BO1025" s="232"/>
      <c r="BP1025" s="232"/>
      <c r="BQ1025" s="232"/>
      <c r="BR1025" s="232"/>
      <c r="BS1025" s="232"/>
      <c r="BT1025" s="232"/>
      <c r="BU1025" s="232"/>
      <c r="BV1025" s="232"/>
      <c r="BW1025" s="232"/>
      <c r="BX1025" s="232"/>
      <c r="BY1025" s="232"/>
      <c r="BZ1025" s="232"/>
      <c r="CA1025" s="232"/>
      <c r="CB1025" s="232"/>
      <c r="CC1025" s="232"/>
      <c r="CD1025" s="232"/>
      <c r="CE1025" s="232"/>
      <c r="CF1025" s="232"/>
      <c r="CG1025" s="232"/>
      <c r="CH1025" s="232"/>
      <c r="CI1025" s="232"/>
      <c r="CJ1025" s="232"/>
      <c r="CK1025" s="232"/>
      <c r="CL1025" s="232"/>
      <c r="CM1025" s="232"/>
      <c r="CN1025" s="215"/>
      <c r="CO1025" s="215"/>
      <c r="CP1025" s="215"/>
      <c r="CQ1025" s="215"/>
      <c r="CR1025" s="215"/>
      <c r="CS1025" s="215"/>
      <c r="CT1025" s="215"/>
    </row>
    <row r="1026" ht="24.0" customHeight="1">
      <c r="A1026" s="287"/>
      <c r="B1026" s="287"/>
      <c r="C1026" s="287"/>
      <c r="D1026" s="232"/>
      <c r="E1026" s="232"/>
      <c r="F1026" s="232"/>
      <c r="G1026" s="232"/>
      <c r="H1026" s="232"/>
      <c r="I1026" s="232"/>
      <c r="J1026" s="232"/>
      <c r="K1026" s="232"/>
      <c r="L1026" s="232"/>
      <c r="M1026" s="232"/>
      <c r="N1026" s="289"/>
      <c r="O1026" s="232"/>
      <c r="P1026" s="232"/>
      <c r="Q1026" s="232"/>
      <c r="R1026" s="232"/>
      <c r="S1026" s="232"/>
      <c r="T1026" s="232"/>
      <c r="U1026" s="232"/>
      <c r="V1026" s="232"/>
      <c r="W1026" s="232"/>
      <c r="X1026" s="232"/>
      <c r="Y1026" s="232"/>
      <c r="Z1026" s="232"/>
      <c r="AA1026" s="232"/>
      <c r="AB1026" s="232"/>
      <c r="AC1026" s="232"/>
      <c r="AD1026" s="232"/>
      <c r="AE1026" s="232"/>
      <c r="AF1026" s="232"/>
      <c r="AG1026" s="232"/>
      <c r="AH1026" s="232"/>
      <c r="AI1026" s="232"/>
      <c r="AJ1026" s="232"/>
      <c r="AK1026" s="232"/>
      <c r="AL1026" s="232"/>
      <c r="AM1026" s="232"/>
      <c r="AN1026" s="232"/>
      <c r="AO1026" s="232"/>
      <c r="AP1026" s="232"/>
      <c r="AQ1026" s="232"/>
      <c r="AR1026" s="232"/>
      <c r="AS1026" s="232"/>
      <c r="AT1026" s="232"/>
      <c r="AU1026" s="232"/>
      <c r="AV1026" s="232"/>
      <c r="AW1026" s="232"/>
      <c r="AX1026" s="232"/>
      <c r="AY1026" s="232"/>
      <c r="AZ1026" s="232"/>
      <c r="BA1026" s="232"/>
      <c r="BB1026" s="232"/>
      <c r="BC1026" s="232"/>
      <c r="BD1026" s="232"/>
      <c r="BE1026" s="232"/>
      <c r="BF1026" s="232"/>
      <c r="BG1026" s="232"/>
      <c r="BH1026" s="232"/>
      <c r="BI1026" s="232"/>
      <c r="BJ1026" s="232"/>
      <c r="BK1026" s="232"/>
      <c r="BL1026" s="232"/>
      <c r="BM1026" s="232"/>
      <c r="BN1026" s="232"/>
      <c r="BO1026" s="232"/>
      <c r="BP1026" s="232"/>
      <c r="BQ1026" s="232"/>
      <c r="BR1026" s="232"/>
      <c r="BS1026" s="232"/>
      <c r="BT1026" s="232"/>
      <c r="BU1026" s="232"/>
      <c r="BV1026" s="232"/>
      <c r="BW1026" s="232"/>
      <c r="BX1026" s="232"/>
      <c r="BY1026" s="232"/>
      <c r="BZ1026" s="232"/>
      <c r="CA1026" s="232"/>
      <c r="CB1026" s="232"/>
      <c r="CC1026" s="232"/>
      <c r="CD1026" s="232"/>
      <c r="CE1026" s="232"/>
      <c r="CF1026" s="232"/>
      <c r="CG1026" s="232"/>
      <c r="CH1026" s="232"/>
      <c r="CI1026" s="232"/>
      <c r="CJ1026" s="232"/>
      <c r="CK1026" s="232"/>
      <c r="CL1026" s="232"/>
      <c r="CM1026" s="232"/>
      <c r="CN1026" s="215"/>
      <c r="CO1026" s="215"/>
      <c r="CP1026" s="215"/>
      <c r="CQ1026" s="215"/>
      <c r="CR1026" s="215"/>
      <c r="CS1026" s="215"/>
      <c r="CT1026" s="215"/>
    </row>
    <row r="1027" ht="24.0" customHeight="1">
      <c r="A1027" s="287"/>
      <c r="B1027" s="287"/>
      <c r="C1027" s="287"/>
      <c r="D1027" s="232"/>
      <c r="E1027" s="232"/>
      <c r="F1027" s="232"/>
      <c r="G1027" s="232"/>
      <c r="H1027" s="232"/>
      <c r="I1027" s="232"/>
      <c r="J1027" s="232"/>
      <c r="K1027" s="232"/>
      <c r="L1027" s="232"/>
      <c r="M1027" s="232"/>
      <c r="N1027" s="289"/>
      <c r="O1027" s="232"/>
      <c r="P1027" s="232"/>
      <c r="Q1027" s="232"/>
      <c r="R1027" s="232"/>
      <c r="S1027" s="232"/>
      <c r="T1027" s="232"/>
      <c r="U1027" s="232"/>
      <c r="V1027" s="232"/>
      <c r="W1027" s="232"/>
      <c r="X1027" s="232"/>
      <c r="Y1027" s="232"/>
      <c r="Z1027" s="232"/>
      <c r="AA1027" s="232"/>
      <c r="AB1027" s="232"/>
      <c r="AC1027" s="232"/>
      <c r="AD1027" s="232"/>
      <c r="AE1027" s="232"/>
      <c r="AF1027" s="232"/>
      <c r="AG1027" s="232"/>
      <c r="AH1027" s="232"/>
      <c r="AI1027" s="232"/>
      <c r="AJ1027" s="232"/>
      <c r="AK1027" s="232"/>
      <c r="AL1027" s="232"/>
      <c r="AM1027" s="232"/>
      <c r="AN1027" s="232"/>
      <c r="AO1027" s="232"/>
      <c r="AP1027" s="232"/>
      <c r="AQ1027" s="232"/>
      <c r="AR1027" s="232"/>
      <c r="AS1027" s="232"/>
      <c r="AT1027" s="232"/>
      <c r="AU1027" s="232"/>
      <c r="AV1027" s="232"/>
      <c r="AW1027" s="232"/>
      <c r="AX1027" s="232"/>
      <c r="AY1027" s="232"/>
      <c r="AZ1027" s="232"/>
      <c r="BA1027" s="232"/>
      <c r="BB1027" s="232"/>
      <c r="BC1027" s="232"/>
      <c r="BD1027" s="232"/>
      <c r="BE1027" s="232"/>
      <c r="BF1027" s="232"/>
      <c r="BG1027" s="232"/>
      <c r="BH1027" s="232"/>
      <c r="BI1027" s="232"/>
      <c r="BJ1027" s="232"/>
      <c r="BK1027" s="232"/>
      <c r="BL1027" s="232"/>
      <c r="BM1027" s="232"/>
      <c r="BN1027" s="232"/>
      <c r="BO1027" s="232"/>
      <c r="BP1027" s="232"/>
      <c r="BQ1027" s="232"/>
      <c r="BR1027" s="232"/>
      <c r="BS1027" s="232"/>
      <c r="BT1027" s="232"/>
      <c r="BU1027" s="232"/>
      <c r="BV1027" s="232"/>
      <c r="BW1027" s="232"/>
      <c r="BX1027" s="232"/>
      <c r="BY1027" s="232"/>
      <c r="BZ1027" s="232"/>
      <c r="CA1027" s="232"/>
      <c r="CB1027" s="232"/>
      <c r="CC1027" s="232"/>
      <c r="CD1027" s="232"/>
      <c r="CE1027" s="232"/>
      <c r="CF1027" s="232"/>
      <c r="CG1027" s="232"/>
      <c r="CH1027" s="232"/>
      <c r="CI1027" s="232"/>
      <c r="CJ1027" s="232"/>
      <c r="CK1027" s="232"/>
      <c r="CL1027" s="232"/>
      <c r="CM1027" s="232"/>
      <c r="CN1027" s="215"/>
      <c r="CO1027" s="215"/>
      <c r="CP1027" s="215"/>
      <c r="CQ1027" s="215"/>
      <c r="CR1027" s="215"/>
      <c r="CS1027" s="215"/>
      <c r="CT1027" s="215"/>
    </row>
    <row r="1028" ht="24.0" customHeight="1">
      <c r="A1028" s="287"/>
      <c r="B1028" s="287"/>
      <c r="C1028" s="287"/>
      <c r="D1028" s="232"/>
      <c r="E1028" s="232"/>
      <c r="F1028" s="232"/>
      <c r="G1028" s="232"/>
      <c r="H1028" s="232"/>
      <c r="I1028" s="232"/>
      <c r="J1028" s="232"/>
      <c r="K1028" s="232"/>
      <c r="L1028" s="232"/>
      <c r="M1028" s="232"/>
      <c r="N1028" s="289"/>
      <c r="O1028" s="232"/>
      <c r="P1028" s="232"/>
      <c r="Q1028" s="232"/>
      <c r="R1028" s="232"/>
      <c r="S1028" s="232"/>
      <c r="T1028" s="232"/>
      <c r="U1028" s="232"/>
      <c r="V1028" s="232"/>
      <c r="W1028" s="232"/>
      <c r="X1028" s="232"/>
      <c r="Y1028" s="232"/>
      <c r="Z1028" s="232"/>
      <c r="AA1028" s="232"/>
      <c r="AB1028" s="232"/>
      <c r="AC1028" s="232"/>
      <c r="AD1028" s="232"/>
      <c r="AE1028" s="232"/>
      <c r="AF1028" s="232"/>
      <c r="AG1028" s="232"/>
      <c r="AH1028" s="232"/>
      <c r="AI1028" s="232"/>
      <c r="AJ1028" s="232"/>
      <c r="AK1028" s="232"/>
      <c r="AL1028" s="232"/>
      <c r="AM1028" s="232"/>
      <c r="AN1028" s="232"/>
      <c r="AO1028" s="232"/>
      <c r="AP1028" s="232"/>
      <c r="AQ1028" s="232"/>
      <c r="AR1028" s="232"/>
      <c r="AS1028" s="232"/>
      <c r="AT1028" s="232"/>
      <c r="AU1028" s="232"/>
      <c r="AV1028" s="232"/>
      <c r="AW1028" s="232"/>
      <c r="AX1028" s="232"/>
      <c r="AY1028" s="232"/>
      <c r="AZ1028" s="232"/>
      <c r="BA1028" s="232"/>
      <c r="BB1028" s="232"/>
      <c r="BC1028" s="232"/>
      <c r="BD1028" s="232"/>
      <c r="BE1028" s="232"/>
      <c r="BF1028" s="232"/>
      <c r="BG1028" s="232"/>
      <c r="BH1028" s="232"/>
      <c r="BI1028" s="232"/>
      <c r="BJ1028" s="232"/>
      <c r="BK1028" s="232"/>
      <c r="BL1028" s="232"/>
      <c r="BM1028" s="232"/>
      <c r="BN1028" s="232"/>
      <c r="BO1028" s="232"/>
      <c r="BP1028" s="232"/>
      <c r="BQ1028" s="232"/>
      <c r="BR1028" s="232"/>
      <c r="BS1028" s="232"/>
      <c r="BT1028" s="232"/>
      <c r="BU1028" s="232"/>
      <c r="BV1028" s="232"/>
      <c r="BW1028" s="232"/>
      <c r="BX1028" s="232"/>
      <c r="BY1028" s="232"/>
      <c r="BZ1028" s="232"/>
      <c r="CA1028" s="232"/>
      <c r="CB1028" s="232"/>
      <c r="CC1028" s="232"/>
      <c r="CD1028" s="232"/>
      <c r="CE1028" s="232"/>
      <c r="CF1028" s="232"/>
      <c r="CG1028" s="232"/>
      <c r="CH1028" s="232"/>
      <c r="CI1028" s="232"/>
      <c r="CJ1028" s="232"/>
      <c r="CK1028" s="232"/>
      <c r="CL1028" s="232"/>
      <c r="CM1028" s="232"/>
      <c r="CN1028" s="215"/>
      <c r="CO1028" s="215"/>
      <c r="CP1028" s="215"/>
      <c r="CQ1028" s="215"/>
      <c r="CR1028" s="215"/>
      <c r="CS1028" s="215"/>
      <c r="CT1028" s="215"/>
    </row>
    <row r="1029" ht="24.0" customHeight="1">
      <c r="A1029" s="287"/>
      <c r="B1029" s="287"/>
      <c r="C1029" s="287"/>
      <c r="D1029" s="232"/>
      <c r="E1029" s="232"/>
      <c r="F1029" s="232"/>
      <c r="G1029" s="232"/>
      <c r="H1029" s="232"/>
      <c r="I1029" s="232"/>
      <c r="J1029" s="232"/>
      <c r="K1029" s="232"/>
      <c r="L1029" s="232"/>
      <c r="M1029" s="232"/>
      <c r="N1029" s="289"/>
      <c r="O1029" s="232"/>
      <c r="P1029" s="232"/>
      <c r="Q1029" s="232"/>
      <c r="R1029" s="232"/>
      <c r="S1029" s="232"/>
      <c r="T1029" s="232"/>
      <c r="U1029" s="232"/>
      <c r="V1029" s="232"/>
      <c r="W1029" s="232"/>
      <c r="X1029" s="232"/>
      <c r="Y1029" s="232"/>
      <c r="Z1029" s="232"/>
      <c r="AA1029" s="232"/>
      <c r="AB1029" s="232"/>
      <c r="AC1029" s="232"/>
      <c r="AD1029" s="232"/>
      <c r="AE1029" s="232"/>
      <c r="AF1029" s="232"/>
      <c r="AG1029" s="232"/>
      <c r="AH1029" s="232"/>
      <c r="AI1029" s="232"/>
      <c r="AJ1029" s="232"/>
      <c r="AK1029" s="232"/>
      <c r="AL1029" s="232"/>
      <c r="AM1029" s="232"/>
      <c r="AN1029" s="232"/>
      <c r="AO1029" s="232"/>
      <c r="AP1029" s="232"/>
      <c r="AQ1029" s="232"/>
      <c r="AR1029" s="232"/>
      <c r="AS1029" s="232"/>
      <c r="AT1029" s="232"/>
      <c r="AU1029" s="232"/>
      <c r="AV1029" s="232"/>
      <c r="AW1029" s="232"/>
      <c r="AX1029" s="232"/>
      <c r="AY1029" s="232"/>
      <c r="AZ1029" s="232"/>
      <c r="BA1029" s="232"/>
      <c r="BB1029" s="232"/>
      <c r="BC1029" s="232"/>
      <c r="BD1029" s="232"/>
      <c r="BE1029" s="232"/>
      <c r="BF1029" s="232"/>
      <c r="BG1029" s="232"/>
      <c r="BH1029" s="232"/>
      <c r="BI1029" s="232"/>
      <c r="BJ1029" s="232"/>
      <c r="BK1029" s="232"/>
      <c r="BL1029" s="232"/>
      <c r="BM1029" s="232"/>
      <c r="BN1029" s="232"/>
      <c r="BO1029" s="232"/>
      <c r="BP1029" s="232"/>
      <c r="BQ1029" s="232"/>
      <c r="BR1029" s="232"/>
      <c r="BS1029" s="232"/>
      <c r="BT1029" s="232"/>
      <c r="BU1029" s="232"/>
      <c r="BV1029" s="232"/>
      <c r="BW1029" s="232"/>
      <c r="BX1029" s="232"/>
      <c r="BY1029" s="232"/>
      <c r="BZ1029" s="232"/>
      <c r="CA1029" s="232"/>
      <c r="CB1029" s="232"/>
      <c r="CC1029" s="232"/>
      <c r="CD1029" s="232"/>
      <c r="CE1029" s="232"/>
      <c r="CF1029" s="232"/>
      <c r="CG1029" s="232"/>
      <c r="CH1029" s="232"/>
      <c r="CI1029" s="232"/>
      <c r="CJ1029" s="232"/>
      <c r="CK1029" s="232"/>
      <c r="CL1029" s="232"/>
      <c r="CM1029" s="232"/>
      <c r="CN1029" s="215"/>
      <c r="CO1029" s="215"/>
      <c r="CP1029" s="215"/>
      <c r="CQ1029" s="215"/>
      <c r="CR1029" s="215"/>
      <c r="CS1029" s="215"/>
      <c r="CT1029" s="215"/>
    </row>
    <row r="1030" ht="24.0" customHeight="1">
      <c r="A1030" s="287"/>
      <c r="B1030" s="287"/>
      <c r="C1030" s="287"/>
      <c r="D1030" s="232"/>
      <c r="E1030" s="232"/>
      <c r="F1030" s="232"/>
      <c r="G1030" s="232"/>
      <c r="H1030" s="232"/>
      <c r="I1030" s="232"/>
      <c r="J1030" s="232"/>
      <c r="K1030" s="232"/>
      <c r="L1030" s="232"/>
      <c r="M1030" s="232"/>
      <c r="N1030" s="289"/>
      <c r="O1030" s="232"/>
      <c r="P1030" s="232"/>
      <c r="Q1030" s="232"/>
      <c r="R1030" s="232"/>
      <c r="S1030" s="232"/>
      <c r="T1030" s="232"/>
      <c r="U1030" s="232"/>
      <c r="V1030" s="232"/>
      <c r="W1030" s="232"/>
      <c r="X1030" s="232"/>
      <c r="Y1030" s="232"/>
      <c r="Z1030" s="232"/>
      <c r="AA1030" s="232"/>
      <c r="AB1030" s="232"/>
      <c r="AC1030" s="232"/>
      <c r="AD1030" s="232"/>
      <c r="AE1030" s="232"/>
      <c r="AF1030" s="232"/>
      <c r="AG1030" s="232"/>
      <c r="AH1030" s="232"/>
      <c r="AI1030" s="232"/>
      <c r="AJ1030" s="232"/>
      <c r="AK1030" s="232"/>
      <c r="AL1030" s="232"/>
      <c r="AM1030" s="232"/>
      <c r="AN1030" s="232"/>
      <c r="AO1030" s="232"/>
      <c r="AP1030" s="232"/>
      <c r="AQ1030" s="232"/>
      <c r="AR1030" s="232"/>
      <c r="AS1030" s="232"/>
      <c r="AT1030" s="232"/>
      <c r="AU1030" s="232"/>
      <c r="AV1030" s="232"/>
      <c r="AW1030" s="232"/>
      <c r="AX1030" s="232"/>
      <c r="AY1030" s="232"/>
      <c r="AZ1030" s="232"/>
      <c r="BA1030" s="232"/>
      <c r="BB1030" s="232"/>
      <c r="BC1030" s="232"/>
      <c r="BD1030" s="232"/>
      <c r="BE1030" s="232"/>
      <c r="BF1030" s="232"/>
      <c r="BG1030" s="232"/>
      <c r="BH1030" s="232"/>
      <c r="BI1030" s="232"/>
      <c r="BJ1030" s="232"/>
      <c r="BK1030" s="232"/>
      <c r="BL1030" s="232"/>
      <c r="BM1030" s="232"/>
      <c r="BN1030" s="232"/>
      <c r="BO1030" s="232"/>
      <c r="BP1030" s="232"/>
      <c r="BQ1030" s="232"/>
      <c r="BR1030" s="232"/>
      <c r="BS1030" s="232"/>
      <c r="BT1030" s="232"/>
      <c r="BU1030" s="232"/>
      <c r="BV1030" s="232"/>
      <c r="BW1030" s="232"/>
      <c r="BX1030" s="232"/>
      <c r="BY1030" s="232"/>
      <c r="BZ1030" s="232"/>
      <c r="CA1030" s="232"/>
      <c r="CB1030" s="232"/>
      <c r="CC1030" s="232"/>
      <c r="CD1030" s="232"/>
      <c r="CE1030" s="232"/>
      <c r="CF1030" s="232"/>
      <c r="CG1030" s="232"/>
      <c r="CH1030" s="232"/>
      <c r="CI1030" s="232"/>
      <c r="CJ1030" s="232"/>
      <c r="CK1030" s="232"/>
      <c r="CL1030" s="232"/>
      <c r="CM1030" s="232"/>
      <c r="CN1030" s="215"/>
      <c r="CO1030" s="215"/>
      <c r="CP1030" s="215"/>
      <c r="CQ1030" s="215"/>
      <c r="CR1030" s="215"/>
      <c r="CS1030" s="215"/>
      <c r="CT1030" s="215"/>
    </row>
    <row r="1031" ht="24.0" customHeight="1">
      <c r="A1031" s="287"/>
      <c r="B1031" s="287"/>
      <c r="C1031" s="287"/>
      <c r="D1031" s="232"/>
      <c r="E1031" s="232"/>
      <c r="F1031" s="232"/>
      <c r="G1031" s="232"/>
      <c r="H1031" s="232"/>
      <c r="I1031" s="232"/>
      <c r="J1031" s="232"/>
      <c r="K1031" s="232"/>
      <c r="L1031" s="232"/>
      <c r="M1031" s="232"/>
      <c r="N1031" s="289"/>
      <c r="O1031" s="232"/>
      <c r="P1031" s="232"/>
      <c r="Q1031" s="232"/>
      <c r="R1031" s="232"/>
      <c r="S1031" s="232"/>
      <c r="T1031" s="232"/>
      <c r="U1031" s="232"/>
      <c r="V1031" s="232"/>
      <c r="W1031" s="232"/>
      <c r="X1031" s="232"/>
      <c r="Y1031" s="232"/>
      <c r="Z1031" s="232"/>
      <c r="AA1031" s="232"/>
      <c r="AB1031" s="232"/>
      <c r="AC1031" s="232"/>
      <c r="AD1031" s="232"/>
      <c r="AE1031" s="232"/>
      <c r="AF1031" s="232"/>
      <c r="AG1031" s="232"/>
      <c r="AH1031" s="232"/>
      <c r="AI1031" s="232"/>
      <c r="AJ1031" s="232"/>
      <c r="AK1031" s="232"/>
      <c r="AL1031" s="232"/>
      <c r="AM1031" s="232"/>
      <c r="AN1031" s="232"/>
      <c r="AO1031" s="232"/>
      <c r="AP1031" s="232"/>
      <c r="AQ1031" s="232"/>
      <c r="AR1031" s="232"/>
      <c r="AS1031" s="232"/>
      <c r="AT1031" s="232"/>
      <c r="AU1031" s="232"/>
      <c r="AV1031" s="232"/>
      <c r="AW1031" s="232"/>
      <c r="AX1031" s="232"/>
      <c r="AY1031" s="232"/>
      <c r="AZ1031" s="232"/>
      <c r="BA1031" s="232"/>
      <c r="BB1031" s="232"/>
      <c r="BC1031" s="232"/>
      <c r="BD1031" s="232"/>
      <c r="BE1031" s="232"/>
      <c r="BF1031" s="232"/>
      <c r="BG1031" s="232"/>
      <c r="BH1031" s="232"/>
      <c r="BI1031" s="232"/>
      <c r="BJ1031" s="232"/>
      <c r="BK1031" s="232"/>
      <c r="BL1031" s="232"/>
      <c r="BM1031" s="232"/>
      <c r="BN1031" s="232"/>
      <c r="BO1031" s="232"/>
      <c r="BP1031" s="232"/>
      <c r="BQ1031" s="232"/>
      <c r="BR1031" s="232"/>
      <c r="BS1031" s="232"/>
      <c r="BT1031" s="232"/>
      <c r="BU1031" s="232"/>
      <c r="BV1031" s="232"/>
      <c r="BW1031" s="232"/>
      <c r="BX1031" s="232"/>
      <c r="BY1031" s="232"/>
      <c r="BZ1031" s="232"/>
      <c r="CA1031" s="232"/>
      <c r="CB1031" s="232"/>
      <c r="CC1031" s="232"/>
      <c r="CD1031" s="232"/>
      <c r="CE1031" s="232"/>
      <c r="CF1031" s="232"/>
      <c r="CG1031" s="232"/>
      <c r="CH1031" s="232"/>
      <c r="CI1031" s="232"/>
      <c r="CJ1031" s="232"/>
      <c r="CK1031" s="232"/>
      <c r="CL1031" s="232"/>
      <c r="CM1031" s="232"/>
      <c r="CN1031" s="215"/>
      <c r="CO1031" s="215"/>
      <c r="CP1031" s="215"/>
      <c r="CQ1031" s="215"/>
      <c r="CR1031" s="215"/>
      <c r="CS1031" s="215"/>
      <c r="CT1031" s="215"/>
    </row>
    <row r="1032" ht="24.0" customHeight="1">
      <c r="A1032" s="287"/>
      <c r="B1032" s="287"/>
      <c r="C1032" s="287"/>
      <c r="D1032" s="232"/>
      <c r="E1032" s="232"/>
      <c r="F1032" s="232"/>
      <c r="G1032" s="232"/>
      <c r="H1032" s="232"/>
      <c r="I1032" s="232"/>
      <c r="J1032" s="232"/>
      <c r="K1032" s="232"/>
      <c r="L1032" s="232"/>
      <c r="M1032" s="232"/>
      <c r="N1032" s="289"/>
      <c r="O1032" s="232"/>
      <c r="P1032" s="232"/>
      <c r="Q1032" s="232"/>
      <c r="R1032" s="232"/>
      <c r="S1032" s="232"/>
      <c r="T1032" s="232"/>
      <c r="U1032" s="232"/>
      <c r="V1032" s="232"/>
      <c r="W1032" s="232"/>
      <c r="X1032" s="232"/>
      <c r="Y1032" s="232"/>
      <c r="Z1032" s="232"/>
      <c r="AA1032" s="232"/>
      <c r="AB1032" s="232"/>
      <c r="AC1032" s="232"/>
      <c r="AD1032" s="232"/>
      <c r="AE1032" s="232"/>
      <c r="AF1032" s="232"/>
      <c r="AG1032" s="232"/>
      <c r="AH1032" s="232"/>
      <c r="AI1032" s="232"/>
      <c r="AJ1032" s="232"/>
      <c r="AK1032" s="232"/>
      <c r="AL1032" s="232"/>
      <c r="AM1032" s="232"/>
      <c r="AN1032" s="232"/>
      <c r="AO1032" s="232"/>
      <c r="AP1032" s="232"/>
      <c r="AQ1032" s="232"/>
      <c r="AR1032" s="232"/>
      <c r="AS1032" s="232"/>
      <c r="AT1032" s="232"/>
      <c r="AU1032" s="232"/>
      <c r="AV1032" s="232"/>
      <c r="AW1032" s="232"/>
      <c r="AX1032" s="232"/>
      <c r="AY1032" s="232"/>
      <c r="AZ1032" s="232"/>
      <c r="BA1032" s="232"/>
      <c r="BB1032" s="232"/>
      <c r="BC1032" s="232"/>
      <c r="BD1032" s="232"/>
      <c r="BE1032" s="232"/>
      <c r="BF1032" s="232"/>
      <c r="BG1032" s="232"/>
      <c r="BH1032" s="232"/>
      <c r="BI1032" s="232"/>
      <c r="BJ1032" s="232"/>
      <c r="BK1032" s="232"/>
      <c r="BL1032" s="232"/>
      <c r="BM1032" s="232"/>
      <c r="BN1032" s="232"/>
      <c r="BO1032" s="232"/>
      <c r="BP1032" s="232"/>
      <c r="BQ1032" s="232"/>
      <c r="BR1032" s="232"/>
      <c r="BS1032" s="232"/>
      <c r="BT1032" s="232"/>
      <c r="BU1032" s="232"/>
      <c r="BV1032" s="232"/>
      <c r="BW1032" s="232"/>
      <c r="BX1032" s="232"/>
      <c r="BY1032" s="232"/>
      <c r="BZ1032" s="232"/>
      <c r="CA1032" s="232"/>
      <c r="CB1032" s="232"/>
      <c r="CC1032" s="232"/>
      <c r="CD1032" s="232"/>
      <c r="CE1032" s="232"/>
      <c r="CF1032" s="232"/>
      <c r="CG1032" s="232"/>
      <c r="CH1032" s="232"/>
      <c r="CI1032" s="232"/>
      <c r="CJ1032" s="232"/>
      <c r="CK1032" s="232"/>
      <c r="CL1032" s="232"/>
      <c r="CM1032" s="232"/>
      <c r="CN1032" s="215"/>
      <c r="CO1032" s="215"/>
      <c r="CP1032" s="215"/>
      <c r="CQ1032" s="215"/>
      <c r="CR1032" s="215"/>
      <c r="CS1032" s="215"/>
      <c r="CT1032" s="215"/>
    </row>
    <row r="1033" ht="24.0" customHeight="1">
      <c r="A1033" s="287"/>
      <c r="B1033" s="287"/>
      <c r="C1033" s="287"/>
      <c r="D1033" s="232"/>
      <c r="E1033" s="232"/>
      <c r="F1033" s="232"/>
      <c r="G1033" s="232"/>
      <c r="H1033" s="232"/>
      <c r="I1033" s="232"/>
      <c r="J1033" s="232"/>
      <c r="K1033" s="232"/>
      <c r="L1033" s="232"/>
      <c r="M1033" s="232"/>
      <c r="N1033" s="289"/>
      <c r="O1033" s="232"/>
      <c r="P1033" s="232"/>
      <c r="Q1033" s="232"/>
      <c r="R1033" s="232"/>
      <c r="S1033" s="232"/>
      <c r="T1033" s="232"/>
      <c r="U1033" s="232"/>
      <c r="V1033" s="232"/>
      <c r="W1033" s="232"/>
      <c r="X1033" s="232"/>
      <c r="Y1033" s="232"/>
      <c r="Z1033" s="232"/>
      <c r="AA1033" s="232"/>
      <c r="AB1033" s="232"/>
      <c r="AC1033" s="232"/>
      <c r="AD1033" s="232"/>
      <c r="AE1033" s="232"/>
      <c r="AF1033" s="232"/>
      <c r="AG1033" s="232"/>
      <c r="AH1033" s="232"/>
      <c r="AI1033" s="232"/>
      <c r="AJ1033" s="232"/>
      <c r="AK1033" s="232"/>
      <c r="AL1033" s="232"/>
      <c r="AM1033" s="232"/>
      <c r="AN1033" s="232"/>
      <c r="AO1033" s="232"/>
      <c r="AP1033" s="232"/>
      <c r="AQ1033" s="232"/>
      <c r="AR1033" s="232"/>
      <c r="AS1033" s="232"/>
      <c r="AT1033" s="232"/>
      <c r="AU1033" s="232"/>
      <c r="AV1033" s="232"/>
      <c r="AW1033" s="232"/>
      <c r="AX1033" s="232"/>
      <c r="AY1033" s="232"/>
      <c r="AZ1033" s="232"/>
      <c r="BA1033" s="232"/>
      <c r="BB1033" s="232"/>
      <c r="BC1033" s="232"/>
      <c r="BD1033" s="232"/>
      <c r="BE1033" s="232"/>
      <c r="BF1033" s="232"/>
      <c r="BG1033" s="232"/>
      <c r="BH1033" s="232"/>
      <c r="BI1033" s="232"/>
      <c r="BJ1033" s="232"/>
      <c r="BK1033" s="232"/>
      <c r="BL1033" s="232"/>
      <c r="BM1033" s="232"/>
      <c r="BN1033" s="232"/>
      <c r="BO1033" s="232"/>
      <c r="BP1033" s="232"/>
      <c r="BQ1033" s="232"/>
      <c r="BR1033" s="232"/>
      <c r="BS1033" s="232"/>
      <c r="BT1033" s="232"/>
      <c r="BU1033" s="232"/>
      <c r="BV1033" s="232"/>
      <c r="BW1033" s="232"/>
      <c r="BX1033" s="232"/>
      <c r="BY1033" s="232"/>
      <c r="BZ1033" s="232"/>
      <c r="CA1033" s="232"/>
      <c r="CB1033" s="232"/>
      <c r="CC1033" s="232"/>
      <c r="CD1033" s="232"/>
      <c r="CE1033" s="232"/>
      <c r="CF1033" s="232"/>
      <c r="CG1033" s="232"/>
      <c r="CH1033" s="232"/>
      <c r="CI1033" s="232"/>
      <c r="CJ1033" s="232"/>
      <c r="CK1033" s="232"/>
      <c r="CL1033" s="232"/>
      <c r="CM1033" s="232"/>
      <c r="CN1033" s="215"/>
      <c r="CO1033" s="215"/>
      <c r="CP1033" s="215"/>
      <c r="CQ1033" s="215"/>
      <c r="CR1033" s="215"/>
      <c r="CS1033" s="215"/>
      <c r="CT1033" s="215"/>
    </row>
    <row r="1034" ht="24.0" customHeight="1">
      <c r="A1034" s="287"/>
      <c r="B1034" s="287"/>
      <c r="C1034" s="287"/>
      <c r="D1034" s="232"/>
      <c r="E1034" s="232"/>
      <c r="F1034" s="232"/>
      <c r="G1034" s="232"/>
      <c r="H1034" s="232"/>
      <c r="I1034" s="232"/>
      <c r="J1034" s="232"/>
      <c r="K1034" s="232"/>
      <c r="L1034" s="232"/>
      <c r="M1034" s="232"/>
      <c r="N1034" s="289"/>
      <c r="O1034" s="232"/>
      <c r="P1034" s="232"/>
      <c r="Q1034" s="232"/>
      <c r="R1034" s="232"/>
      <c r="S1034" s="232"/>
      <c r="T1034" s="232"/>
      <c r="U1034" s="232"/>
      <c r="V1034" s="232"/>
      <c r="W1034" s="232"/>
      <c r="X1034" s="232"/>
      <c r="Y1034" s="232"/>
      <c r="Z1034" s="232"/>
      <c r="AA1034" s="232"/>
      <c r="AB1034" s="232"/>
      <c r="AC1034" s="232"/>
      <c r="AD1034" s="232"/>
      <c r="AE1034" s="232"/>
      <c r="AF1034" s="232"/>
      <c r="AG1034" s="232"/>
      <c r="AH1034" s="232"/>
      <c r="AI1034" s="232"/>
      <c r="AJ1034" s="232"/>
      <c r="AK1034" s="232"/>
      <c r="AL1034" s="232"/>
      <c r="AM1034" s="232"/>
      <c r="AN1034" s="232"/>
      <c r="AO1034" s="232"/>
      <c r="AP1034" s="232"/>
      <c r="AQ1034" s="232"/>
      <c r="AR1034" s="232"/>
      <c r="AS1034" s="232"/>
      <c r="AT1034" s="232"/>
      <c r="AU1034" s="232"/>
      <c r="AV1034" s="232"/>
      <c r="AW1034" s="232"/>
      <c r="AX1034" s="232"/>
      <c r="AY1034" s="232"/>
      <c r="AZ1034" s="232"/>
      <c r="BA1034" s="232"/>
      <c r="BB1034" s="232"/>
      <c r="BC1034" s="232"/>
      <c r="BD1034" s="232"/>
      <c r="BE1034" s="232"/>
      <c r="BF1034" s="232"/>
      <c r="BG1034" s="232"/>
      <c r="BH1034" s="232"/>
      <c r="BI1034" s="232"/>
      <c r="BJ1034" s="232"/>
      <c r="BK1034" s="232"/>
      <c r="BL1034" s="232"/>
      <c r="BM1034" s="232"/>
      <c r="BN1034" s="232"/>
      <c r="BO1034" s="232"/>
      <c r="BP1034" s="232"/>
      <c r="BQ1034" s="232"/>
      <c r="BR1034" s="232"/>
      <c r="BS1034" s="232"/>
      <c r="BT1034" s="232"/>
      <c r="BU1034" s="232"/>
      <c r="BV1034" s="232"/>
      <c r="BW1034" s="232"/>
      <c r="BX1034" s="232"/>
      <c r="BY1034" s="232"/>
      <c r="BZ1034" s="232"/>
      <c r="CA1034" s="232"/>
      <c r="CB1034" s="232"/>
      <c r="CC1034" s="232"/>
      <c r="CD1034" s="232"/>
      <c r="CE1034" s="232"/>
      <c r="CF1034" s="232"/>
      <c r="CG1034" s="232"/>
      <c r="CH1034" s="232"/>
      <c r="CI1034" s="232"/>
      <c r="CJ1034" s="232"/>
      <c r="CK1034" s="232"/>
      <c r="CL1034" s="232"/>
      <c r="CM1034" s="232"/>
      <c r="CN1034" s="215"/>
      <c r="CO1034" s="215"/>
      <c r="CP1034" s="215"/>
      <c r="CQ1034" s="215"/>
      <c r="CR1034" s="215"/>
      <c r="CS1034" s="215"/>
      <c r="CT1034" s="215"/>
    </row>
    <row r="1035" ht="24.0" customHeight="1">
      <c r="A1035" s="287"/>
      <c r="B1035" s="287"/>
      <c r="C1035" s="287"/>
      <c r="D1035" s="232"/>
      <c r="E1035" s="232"/>
      <c r="F1035" s="232"/>
      <c r="G1035" s="232"/>
      <c r="H1035" s="232"/>
      <c r="I1035" s="232"/>
      <c r="J1035" s="232"/>
      <c r="K1035" s="232"/>
      <c r="L1035" s="232"/>
      <c r="M1035" s="232"/>
      <c r="N1035" s="289"/>
      <c r="O1035" s="232"/>
      <c r="P1035" s="232"/>
      <c r="Q1035" s="232"/>
      <c r="R1035" s="232"/>
      <c r="S1035" s="232"/>
      <c r="T1035" s="232"/>
      <c r="U1035" s="232"/>
      <c r="V1035" s="232"/>
      <c r="W1035" s="232"/>
      <c r="X1035" s="232"/>
      <c r="Y1035" s="232"/>
      <c r="Z1035" s="232"/>
      <c r="AA1035" s="232"/>
      <c r="AB1035" s="232"/>
      <c r="AC1035" s="232"/>
      <c r="AD1035" s="232"/>
      <c r="AE1035" s="232"/>
      <c r="AF1035" s="232"/>
      <c r="AG1035" s="232"/>
      <c r="AH1035" s="232"/>
      <c r="AI1035" s="232"/>
      <c r="AJ1035" s="232"/>
      <c r="AK1035" s="232"/>
      <c r="AL1035" s="232"/>
      <c r="AM1035" s="232"/>
      <c r="AN1035" s="232"/>
      <c r="AO1035" s="232"/>
      <c r="AP1035" s="232"/>
      <c r="AQ1035" s="232"/>
      <c r="AR1035" s="232"/>
      <c r="AS1035" s="232"/>
      <c r="AT1035" s="232"/>
      <c r="AU1035" s="232"/>
      <c r="AV1035" s="232"/>
      <c r="AW1035" s="232"/>
      <c r="AX1035" s="232"/>
      <c r="AY1035" s="232"/>
      <c r="AZ1035" s="232"/>
      <c r="BA1035" s="232"/>
      <c r="BB1035" s="232"/>
      <c r="BC1035" s="232"/>
      <c r="BD1035" s="232"/>
      <c r="BE1035" s="232"/>
      <c r="BF1035" s="232"/>
      <c r="BG1035" s="232"/>
      <c r="BH1035" s="232"/>
      <c r="BI1035" s="232"/>
      <c r="BJ1035" s="232"/>
      <c r="BK1035" s="232"/>
      <c r="BL1035" s="232"/>
      <c r="BM1035" s="232"/>
      <c r="BN1035" s="232"/>
      <c r="BO1035" s="232"/>
      <c r="BP1035" s="232"/>
      <c r="BQ1035" s="232"/>
      <c r="BR1035" s="232"/>
      <c r="BS1035" s="232"/>
      <c r="BT1035" s="232"/>
      <c r="BU1035" s="232"/>
      <c r="BV1035" s="232"/>
      <c r="BW1035" s="232"/>
      <c r="BX1035" s="232"/>
      <c r="BY1035" s="232"/>
      <c r="BZ1035" s="232"/>
      <c r="CA1035" s="232"/>
      <c r="CB1035" s="232"/>
      <c r="CC1035" s="232"/>
      <c r="CD1035" s="232"/>
      <c r="CE1035" s="232"/>
      <c r="CF1035" s="232"/>
      <c r="CG1035" s="232"/>
      <c r="CH1035" s="232"/>
      <c r="CI1035" s="232"/>
      <c r="CJ1035" s="232"/>
      <c r="CK1035" s="232"/>
      <c r="CL1035" s="232"/>
      <c r="CM1035" s="232"/>
      <c r="CN1035" s="215"/>
      <c r="CO1035" s="215"/>
      <c r="CP1035" s="215"/>
      <c r="CQ1035" s="215"/>
      <c r="CR1035" s="215"/>
      <c r="CS1035" s="215"/>
      <c r="CT1035" s="215"/>
    </row>
    <row r="1036" ht="24.0" customHeight="1">
      <c r="A1036" s="287"/>
      <c r="B1036" s="287"/>
      <c r="C1036" s="287"/>
      <c r="D1036" s="232"/>
      <c r="E1036" s="232"/>
      <c r="F1036" s="232"/>
      <c r="G1036" s="232"/>
      <c r="H1036" s="232"/>
      <c r="I1036" s="232"/>
      <c r="J1036" s="232"/>
      <c r="K1036" s="232"/>
      <c r="L1036" s="232"/>
      <c r="M1036" s="232"/>
      <c r="N1036" s="289"/>
      <c r="O1036" s="232"/>
      <c r="P1036" s="232"/>
      <c r="Q1036" s="232"/>
      <c r="R1036" s="232"/>
      <c r="S1036" s="232"/>
      <c r="T1036" s="232"/>
      <c r="U1036" s="232"/>
      <c r="V1036" s="232"/>
      <c r="W1036" s="232"/>
      <c r="X1036" s="232"/>
      <c r="Y1036" s="232"/>
      <c r="Z1036" s="232"/>
      <c r="AA1036" s="232"/>
      <c r="AB1036" s="232"/>
      <c r="AC1036" s="232"/>
      <c r="AD1036" s="232"/>
      <c r="AE1036" s="232"/>
      <c r="AF1036" s="232"/>
      <c r="AG1036" s="232"/>
      <c r="AH1036" s="232"/>
      <c r="AI1036" s="232"/>
      <c r="AJ1036" s="232"/>
      <c r="AK1036" s="232"/>
      <c r="AL1036" s="232"/>
      <c r="AM1036" s="232"/>
      <c r="AN1036" s="232"/>
      <c r="AO1036" s="232"/>
      <c r="AP1036" s="232"/>
      <c r="AQ1036" s="232"/>
      <c r="AR1036" s="232"/>
      <c r="AS1036" s="232"/>
      <c r="AT1036" s="232"/>
      <c r="AU1036" s="232"/>
      <c r="AV1036" s="232"/>
      <c r="AW1036" s="232"/>
      <c r="AX1036" s="232"/>
      <c r="AY1036" s="232"/>
      <c r="AZ1036" s="232"/>
      <c r="BA1036" s="232"/>
      <c r="BB1036" s="232"/>
      <c r="BC1036" s="232"/>
      <c r="BD1036" s="232"/>
      <c r="BE1036" s="232"/>
      <c r="BF1036" s="232"/>
      <c r="BG1036" s="232"/>
      <c r="BH1036" s="232"/>
      <c r="BI1036" s="232"/>
      <c r="BJ1036" s="232"/>
      <c r="BK1036" s="232"/>
      <c r="BL1036" s="232"/>
      <c r="BM1036" s="232"/>
      <c r="BN1036" s="232"/>
      <c r="BO1036" s="232"/>
      <c r="BP1036" s="232"/>
      <c r="BQ1036" s="232"/>
      <c r="BR1036" s="232"/>
      <c r="BS1036" s="232"/>
      <c r="BT1036" s="232"/>
      <c r="BU1036" s="232"/>
      <c r="BV1036" s="232"/>
      <c r="BW1036" s="232"/>
      <c r="BX1036" s="232"/>
      <c r="BY1036" s="232"/>
      <c r="BZ1036" s="232"/>
      <c r="CA1036" s="232"/>
      <c r="CB1036" s="232"/>
      <c r="CC1036" s="232"/>
      <c r="CD1036" s="232"/>
      <c r="CE1036" s="232"/>
      <c r="CF1036" s="232"/>
      <c r="CG1036" s="232"/>
      <c r="CH1036" s="232"/>
      <c r="CI1036" s="232"/>
      <c r="CJ1036" s="232"/>
      <c r="CK1036" s="232"/>
      <c r="CL1036" s="232"/>
      <c r="CM1036" s="232"/>
      <c r="CN1036" s="215"/>
      <c r="CO1036" s="215"/>
      <c r="CP1036" s="215"/>
      <c r="CQ1036" s="215"/>
      <c r="CR1036" s="215"/>
      <c r="CS1036" s="215"/>
      <c r="CT1036" s="215"/>
    </row>
    <row r="1037" ht="24.0" customHeight="1">
      <c r="A1037" s="287"/>
      <c r="B1037" s="287"/>
      <c r="C1037" s="287"/>
      <c r="D1037" s="232"/>
      <c r="E1037" s="232"/>
      <c r="F1037" s="232"/>
      <c r="G1037" s="232"/>
      <c r="H1037" s="232"/>
      <c r="I1037" s="232"/>
      <c r="J1037" s="232"/>
      <c r="K1037" s="232"/>
      <c r="L1037" s="232"/>
      <c r="M1037" s="232"/>
      <c r="N1037" s="289"/>
      <c r="O1037" s="232"/>
      <c r="P1037" s="232"/>
      <c r="Q1037" s="232"/>
      <c r="R1037" s="232"/>
      <c r="S1037" s="232"/>
      <c r="T1037" s="232"/>
      <c r="U1037" s="232"/>
      <c r="V1037" s="232"/>
      <c r="W1037" s="232"/>
      <c r="X1037" s="232"/>
      <c r="Y1037" s="232"/>
      <c r="Z1037" s="232"/>
      <c r="AA1037" s="232"/>
      <c r="AB1037" s="232"/>
      <c r="AC1037" s="232"/>
      <c r="AD1037" s="232"/>
      <c r="AE1037" s="232"/>
      <c r="AF1037" s="232"/>
      <c r="AG1037" s="232"/>
      <c r="AH1037" s="232"/>
      <c r="AI1037" s="232"/>
      <c r="AJ1037" s="232"/>
      <c r="AK1037" s="232"/>
      <c r="AL1037" s="232"/>
      <c r="AM1037" s="232"/>
      <c r="AN1037" s="232"/>
      <c r="AO1037" s="232"/>
      <c r="AP1037" s="232"/>
      <c r="AQ1037" s="232"/>
      <c r="AR1037" s="232"/>
      <c r="AS1037" s="232"/>
      <c r="AT1037" s="232"/>
      <c r="AU1037" s="232"/>
      <c r="AV1037" s="232"/>
      <c r="AW1037" s="232"/>
      <c r="AX1037" s="232"/>
      <c r="AY1037" s="232"/>
      <c r="AZ1037" s="232"/>
      <c r="BA1037" s="232"/>
      <c r="BB1037" s="232"/>
      <c r="BC1037" s="232"/>
      <c r="BD1037" s="232"/>
      <c r="BE1037" s="232"/>
      <c r="BF1037" s="232"/>
      <c r="BG1037" s="232"/>
      <c r="BH1037" s="232"/>
      <c r="BI1037" s="232"/>
      <c r="BJ1037" s="232"/>
      <c r="BK1037" s="232"/>
      <c r="BL1037" s="232"/>
      <c r="BM1037" s="232"/>
      <c r="BN1037" s="232"/>
      <c r="BO1037" s="232"/>
      <c r="BP1037" s="232"/>
      <c r="BQ1037" s="232"/>
      <c r="BR1037" s="232"/>
      <c r="BS1037" s="232"/>
      <c r="BT1037" s="232"/>
      <c r="BU1037" s="232"/>
      <c r="BV1037" s="232"/>
      <c r="BW1037" s="232"/>
      <c r="BX1037" s="232"/>
      <c r="BY1037" s="232"/>
      <c r="BZ1037" s="232"/>
      <c r="CA1037" s="232"/>
      <c r="CB1037" s="232"/>
      <c r="CC1037" s="232"/>
      <c r="CD1037" s="232"/>
      <c r="CE1037" s="232"/>
      <c r="CF1037" s="232"/>
      <c r="CG1037" s="232"/>
      <c r="CH1037" s="232"/>
      <c r="CI1037" s="232"/>
      <c r="CJ1037" s="232"/>
      <c r="CK1037" s="232"/>
      <c r="CL1037" s="232"/>
      <c r="CM1037" s="232"/>
      <c r="CN1037" s="215"/>
      <c r="CO1037" s="215"/>
      <c r="CP1037" s="215"/>
      <c r="CQ1037" s="215"/>
      <c r="CR1037" s="215"/>
      <c r="CS1037" s="215"/>
      <c r="CT1037" s="215"/>
    </row>
    <row r="1038" ht="24.0" customHeight="1">
      <c r="A1038" s="287"/>
      <c r="B1038" s="287"/>
      <c r="C1038" s="287"/>
      <c r="D1038" s="232"/>
      <c r="E1038" s="232"/>
      <c r="F1038" s="232"/>
      <c r="G1038" s="232"/>
      <c r="H1038" s="232"/>
      <c r="I1038" s="232"/>
      <c r="J1038" s="232"/>
      <c r="K1038" s="232"/>
      <c r="L1038" s="232"/>
      <c r="M1038" s="232"/>
      <c r="N1038" s="289"/>
      <c r="O1038" s="232"/>
      <c r="P1038" s="232"/>
      <c r="Q1038" s="232"/>
      <c r="R1038" s="232"/>
      <c r="S1038" s="232"/>
      <c r="T1038" s="232"/>
      <c r="U1038" s="232"/>
      <c r="V1038" s="232"/>
      <c r="W1038" s="232"/>
      <c r="X1038" s="232"/>
      <c r="Y1038" s="232"/>
      <c r="Z1038" s="232"/>
      <c r="AA1038" s="232"/>
      <c r="AB1038" s="232"/>
      <c r="AC1038" s="232"/>
      <c r="AD1038" s="232"/>
      <c r="AE1038" s="232"/>
      <c r="AF1038" s="232"/>
      <c r="AG1038" s="232"/>
      <c r="AH1038" s="232"/>
      <c r="AI1038" s="232"/>
      <c r="AJ1038" s="232"/>
      <c r="AK1038" s="232"/>
      <c r="AL1038" s="232"/>
      <c r="AM1038" s="232"/>
      <c r="AN1038" s="232"/>
      <c r="AO1038" s="232"/>
      <c r="AP1038" s="232"/>
      <c r="AQ1038" s="232"/>
      <c r="AR1038" s="232"/>
      <c r="AS1038" s="232"/>
      <c r="AT1038" s="232"/>
      <c r="AU1038" s="232"/>
      <c r="AV1038" s="232"/>
      <c r="AW1038" s="232"/>
      <c r="AX1038" s="232"/>
      <c r="AY1038" s="232"/>
      <c r="AZ1038" s="232"/>
      <c r="BA1038" s="232"/>
      <c r="BB1038" s="232"/>
      <c r="BC1038" s="232"/>
      <c r="BD1038" s="232"/>
      <c r="BE1038" s="232"/>
      <c r="BF1038" s="232"/>
      <c r="BG1038" s="232"/>
      <c r="BH1038" s="232"/>
      <c r="BI1038" s="232"/>
      <c r="BJ1038" s="232"/>
      <c r="BK1038" s="232"/>
      <c r="BL1038" s="232"/>
      <c r="BM1038" s="232"/>
      <c r="BN1038" s="232"/>
      <c r="BO1038" s="232"/>
      <c r="BP1038" s="232"/>
      <c r="BQ1038" s="232"/>
      <c r="BR1038" s="232"/>
      <c r="BS1038" s="232"/>
      <c r="BT1038" s="232"/>
      <c r="BU1038" s="232"/>
      <c r="BV1038" s="232"/>
      <c r="BW1038" s="232"/>
      <c r="BX1038" s="232"/>
      <c r="BY1038" s="232"/>
      <c r="BZ1038" s="232"/>
      <c r="CA1038" s="232"/>
      <c r="CB1038" s="232"/>
      <c r="CC1038" s="232"/>
      <c r="CD1038" s="232"/>
      <c r="CE1038" s="232"/>
      <c r="CF1038" s="232"/>
      <c r="CG1038" s="232"/>
      <c r="CH1038" s="232"/>
      <c r="CI1038" s="232"/>
      <c r="CJ1038" s="232"/>
      <c r="CK1038" s="232"/>
      <c r="CL1038" s="232"/>
      <c r="CM1038" s="232"/>
      <c r="CN1038" s="215"/>
      <c r="CO1038" s="215"/>
      <c r="CP1038" s="215"/>
      <c r="CQ1038" s="215"/>
      <c r="CR1038" s="215"/>
      <c r="CS1038" s="215"/>
      <c r="CT1038" s="215"/>
    </row>
    <row r="1039" ht="24.0" customHeight="1">
      <c r="A1039" s="287"/>
      <c r="B1039" s="287"/>
      <c r="C1039" s="287"/>
      <c r="D1039" s="232"/>
      <c r="E1039" s="232"/>
      <c r="F1039" s="232"/>
      <c r="G1039" s="232"/>
      <c r="H1039" s="232"/>
      <c r="I1039" s="232"/>
      <c r="J1039" s="232"/>
      <c r="K1039" s="232"/>
      <c r="L1039" s="232"/>
      <c r="M1039" s="232"/>
      <c r="N1039" s="289"/>
      <c r="O1039" s="232"/>
      <c r="P1039" s="232"/>
      <c r="Q1039" s="232"/>
      <c r="R1039" s="232"/>
      <c r="S1039" s="232"/>
      <c r="T1039" s="232"/>
      <c r="U1039" s="232"/>
      <c r="V1039" s="232"/>
      <c r="W1039" s="232"/>
      <c r="X1039" s="232"/>
      <c r="Y1039" s="232"/>
      <c r="Z1039" s="232"/>
      <c r="AA1039" s="232"/>
      <c r="AB1039" s="232"/>
      <c r="AC1039" s="232"/>
      <c r="AD1039" s="232"/>
      <c r="AE1039" s="232"/>
      <c r="AF1039" s="232"/>
      <c r="AG1039" s="232"/>
      <c r="AH1039" s="232"/>
      <c r="AI1039" s="232"/>
      <c r="AJ1039" s="232"/>
      <c r="AK1039" s="232"/>
      <c r="AL1039" s="232"/>
      <c r="AM1039" s="232"/>
      <c r="AN1039" s="232"/>
      <c r="AO1039" s="232"/>
      <c r="AP1039" s="232"/>
      <c r="AQ1039" s="232"/>
      <c r="AR1039" s="232"/>
      <c r="AS1039" s="232"/>
      <c r="AT1039" s="232"/>
      <c r="AU1039" s="232"/>
      <c r="AV1039" s="232"/>
      <c r="AW1039" s="232"/>
      <c r="AX1039" s="232"/>
      <c r="AY1039" s="232"/>
      <c r="AZ1039" s="232"/>
      <c r="BA1039" s="232"/>
      <c r="BB1039" s="232"/>
      <c r="BC1039" s="232"/>
      <c r="BD1039" s="232"/>
      <c r="BE1039" s="232"/>
      <c r="BF1039" s="232"/>
      <c r="BG1039" s="232"/>
      <c r="BH1039" s="232"/>
      <c r="BI1039" s="232"/>
      <c r="BJ1039" s="232"/>
      <c r="BK1039" s="232"/>
      <c r="BL1039" s="232"/>
      <c r="BM1039" s="232"/>
      <c r="BN1039" s="232"/>
      <c r="BO1039" s="232"/>
      <c r="BP1039" s="232"/>
      <c r="BQ1039" s="232"/>
      <c r="BR1039" s="232"/>
      <c r="BS1039" s="232"/>
      <c r="BT1039" s="232"/>
      <c r="BU1039" s="232"/>
      <c r="BV1039" s="232"/>
      <c r="BW1039" s="232"/>
      <c r="BX1039" s="232"/>
      <c r="BY1039" s="232"/>
      <c r="BZ1039" s="232"/>
      <c r="CA1039" s="232"/>
      <c r="CB1039" s="232"/>
      <c r="CC1039" s="232"/>
      <c r="CD1039" s="232"/>
      <c r="CE1039" s="232"/>
      <c r="CF1039" s="232"/>
      <c r="CG1039" s="232"/>
      <c r="CH1039" s="232"/>
      <c r="CI1039" s="232"/>
      <c r="CJ1039" s="232"/>
      <c r="CK1039" s="232"/>
      <c r="CL1039" s="232"/>
      <c r="CM1039" s="232"/>
      <c r="CN1039" s="215"/>
      <c r="CO1039" s="215"/>
      <c r="CP1039" s="215"/>
      <c r="CQ1039" s="215"/>
      <c r="CR1039" s="215"/>
      <c r="CS1039" s="215"/>
      <c r="CT1039" s="215"/>
    </row>
    <row r="1040" ht="24.0" customHeight="1">
      <c r="A1040" s="287"/>
      <c r="B1040" s="287"/>
      <c r="C1040" s="287"/>
      <c r="D1040" s="232"/>
      <c r="E1040" s="232"/>
      <c r="F1040" s="232"/>
      <c r="G1040" s="232"/>
      <c r="H1040" s="232"/>
      <c r="I1040" s="232"/>
      <c r="J1040" s="232"/>
      <c r="K1040" s="232"/>
      <c r="L1040" s="232"/>
      <c r="M1040" s="232"/>
      <c r="N1040" s="289"/>
      <c r="O1040" s="232"/>
      <c r="P1040" s="232"/>
      <c r="Q1040" s="232"/>
      <c r="R1040" s="232"/>
      <c r="S1040" s="232"/>
      <c r="T1040" s="232"/>
      <c r="U1040" s="232"/>
      <c r="V1040" s="232"/>
      <c r="W1040" s="232"/>
      <c r="X1040" s="232"/>
      <c r="Y1040" s="232"/>
      <c r="Z1040" s="232"/>
      <c r="AA1040" s="232"/>
      <c r="AB1040" s="232"/>
      <c r="AC1040" s="232"/>
      <c r="AD1040" s="232"/>
      <c r="AE1040" s="232"/>
      <c r="AF1040" s="232"/>
      <c r="AG1040" s="232"/>
      <c r="AH1040" s="232"/>
      <c r="AI1040" s="232"/>
      <c r="AJ1040" s="232"/>
      <c r="AK1040" s="232"/>
      <c r="AL1040" s="232"/>
      <c r="AM1040" s="232"/>
      <c r="AN1040" s="232"/>
      <c r="AO1040" s="232"/>
      <c r="AP1040" s="232"/>
      <c r="AQ1040" s="232"/>
      <c r="AR1040" s="232"/>
      <c r="AS1040" s="232"/>
      <c r="AT1040" s="232"/>
      <c r="AU1040" s="232"/>
      <c r="AV1040" s="232"/>
      <c r="AW1040" s="232"/>
      <c r="AX1040" s="232"/>
      <c r="AY1040" s="232"/>
      <c r="AZ1040" s="232"/>
      <c r="BA1040" s="232"/>
      <c r="BB1040" s="232"/>
      <c r="BC1040" s="232"/>
      <c r="BD1040" s="232"/>
      <c r="BE1040" s="232"/>
      <c r="BF1040" s="232"/>
      <c r="BG1040" s="232"/>
      <c r="BH1040" s="232"/>
      <c r="BI1040" s="232"/>
      <c r="BJ1040" s="232"/>
      <c r="BK1040" s="232"/>
      <c r="BL1040" s="232"/>
      <c r="BM1040" s="232"/>
      <c r="BN1040" s="232"/>
      <c r="BO1040" s="232"/>
      <c r="BP1040" s="232"/>
      <c r="BQ1040" s="232"/>
      <c r="BR1040" s="232"/>
      <c r="BS1040" s="232"/>
      <c r="BT1040" s="232"/>
      <c r="BU1040" s="232"/>
      <c r="BV1040" s="232"/>
      <c r="BW1040" s="232"/>
      <c r="BX1040" s="232"/>
      <c r="BY1040" s="232"/>
      <c r="BZ1040" s="232"/>
      <c r="CA1040" s="232"/>
      <c r="CB1040" s="232"/>
      <c r="CC1040" s="232"/>
      <c r="CD1040" s="232"/>
      <c r="CE1040" s="232"/>
      <c r="CF1040" s="232"/>
      <c r="CG1040" s="232"/>
      <c r="CH1040" s="232"/>
      <c r="CI1040" s="232"/>
      <c r="CJ1040" s="232"/>
      <c r="CK1040" s="232"/>
      <c r="CL1040" s="232"/>
      <c r="CM1040" s="232"/>
      <c r="CN1040" s="215"/>
      <c r="CO1040" s="215"/>
      <c r="CP1040" s="215"/>
      <c r="CQ1040" s="215"/>
      <c r="CR1040" s="215"/>
      <c r="CS1040" s="215"/>
      <c r="CT1040" s="215"/>
    </row>
    <row r="1041" ht="24.0" customHeight="1">
      <c r="A1041" s="287"/>
      <c r="B1041" s="287"/>
      <c r="C1041" s="287"/>
      <c r="D1041" s="232"/>
      <c r="E1041" s="232"/>
      <c r="F1041" s="232"/>
      <c r="G1041" s="232"/>
      <c r="H1041" s="232"/>
      <c r="I1041" s="232"/>
      <c r="J1041" s="232"/>
      <c r="K1041" s="232"/>
      <c r="L1041" s="232"/>
      <c r="M1041" s="232"/>
      <c r="N1041" s="289"/>
      <c r="O1041" s="232"/>
      <c r="P1041" s="232"/>
      <c r="Q1041" s="232"/>
      <c r="R1041" s="232"/>
      <c r="S1041" s="232"/>
      <c r="T1041" s="232"/>
      <c r="U1041" s="232"/>
      <c r="V1041" s="232"/>
      <c r="W1041" s="232"/>
      <c r="X1041" s="232"/>
      <c r="Y1041" s="232"/>
      <c r="Z1041" s="232"/>
      <c r="AA1041" s="232"/>
      <c r="AB1041" s="232"/>
      <c r="AC1041" s="232"/>
      <c r="AD1041" s="232"/>
      <c r="AE1041" s="232"/>
      <c r="AF1041" s="232"/>
      <c r="AG1041" s="232"/>
      <c r="AH1041" s="232"/>
      <c r="AI1041" s="232"/>
      <c r="AJ1041" s="232"/>
      <c r="AK1041" s="232"/>
      <c r="AL1041" s="232"/>
      <c r="AM1041" s="232"/>
      <c r="AN1041" s="232"/>
      <c r="AO1041" s="232"/>
      <c r="AP1041" s="232"/>
      <c r="AQ1041" s="232"/>
      <c r="AR1041" s="232"/>
      <c r="AS1041" s="232"/>
      <c r="AT1041" s="232"/>
      <c r="AU1041" s="232"/>
      <c r="AV1041" s="232"/>
      <c r="AW1041" s="232"/>
      <c r="AX1041" s="232"/>
      <c r="AY1041" s="232"/>
      <c r="AZ1041" s="232"/>
      <c r="BA1041" s="232"/>
      <c r="BB1041" s="232"/>
      <c r="BC1041" s="232"/>
      <c r="BD1041" s="232"/>
      <c r="BE1041" s="232"/>
      <c r="BF1041" s="232"/>
      <c r="BG1041" s="232"/>
      <c r="BH1041" s="232"/>
      <c r="BI1041" s="232"/>
      <c r="BJ1041" s="232"/>
      <c r="BK1041" s="232"/>
      <c r="BL1041" s="232"/>
      <c r="BM1041" s="232"/>
      <c r="BN1041" s="232"/>
      <c r="BO1041" s="232"/>
      <c r="BP1041" s="232"/>
      <c r="BQ1041" s="232"/>
      <c r="BR1041" s="232"/>
      <c r="BS1041" s="232"/>
      <c r="BT1041" s="232"/>
      <c r="BU1041" s="232"/>
      <c r="BV1041" s="232"/>
      <c r="BW1041" s="232"/>
      <c r="BX1041" s="232"/>
      <c r="BY1041" s="232"/>
      <c r="BZ1041" s="232"/>
      <c r="CA1041" s="232"/>
      <c r="CB1041" s="232"/>
      <c r="CC1041" s="232"/>
      <c r="CD1041" s="232"/>
      <c r="CE1041" s="232"/>
      <c r="CF1041" s="232"/>
      <c r="CG1041" s="232"/>
      <c r="CH1041" s="232"/>
      <c r="CI1041" s="232"/>
      <c r="CJ1041" s="232"/>
      <c r="CK1041" s="232"/>
      <c r="CL1041" s="232"/>
      <c r="CM1041" s="232"/>
      <c r="CN1041" s="215"/>
      <c r="CO1041" s="215"/>
      <c r="CP1041" s="215"/>
      <c r="CQ1041" s="215"/>
      <c r="CR1041" s="215"/>
      <c r="CS1041" s="215"/>
      <c r="CT1041" s="215"/>
    </row>
    <row r="1042" ht="24.0" customHeight="1">
      <c r="A1042" s="287"/>
      <c r="B1042" s="287"/>
      <c r="C1042" s="287"/>
      <c r="D1042" s="232"/>
      <c r="E1042" s="232"/>
      <c r="F1042" s="232"/>
      <c r="G1042" s="232"/>
      <c r="H1042" s="232"/>
      <c r="I1042" s="232"/>
      <c r="J1042" s="232"/>
      <c r="K1042" s="232"/>
      <c r="L1042" s="232"/>
      <c r="M1042" s="232"/>
      <c r="N1042" s="289"/>
      <c r="O1042" s="232"/>
      <c r="P1042" s="232"/>
      <c r="Q1042" s="232"/>
      <c r="R1042" s="232"/>
      <c r="S1042" s="232"/>
      <c r="T1042" s="232"/>
      <c r="U1042" s="232"/>
      <c r="V1042" s="232"/>
      <c r="W1042" s="232"/>
      <c r="X1042" s="232"/>
      <c r="Y1042" s="232"/>
      <c r="Z1042" s="232"/>
      <c r="AA1042" s="232"/>
      <c r="AB1042" s="232"/>
      <c r="AC1042" s="232"/>
      <c r="AD1042" s="232"/>
      <c r="AE1042" s="232"/>
      <c r="AF1042" s="232"/>
      <c r="AG1042" s="232"/>
      <c r="AH1042" s="232"/>
      <c r="AI1042" s="232"/>
      <c r="AJ1042" s="232"/>
      <c r="AK1042" s="232"/>
      <c r="AL1042" s="232"/>
      <c r="AM1042" s="232"/>
      <c r="AN1042" s="232"/>
      <c r="AO1042" s="232"/>
      <c r="AP1042" s="232"/>
      <c r="AQ1042" s="232"/>
      <c r="AR1042" s="232"/>
      <c r="AS1042" s="232"/>
      <c r="AT1042" s="232"/>
      <c r="AU1042" s="232"/>
      <c r="AV1042" s="232"/>
      <c r="AW1042" s="232"/>
      <c r="AX1042" s="232"/>
      <c r="AY1042" s="232"/>
      <c r="AZ1042" s="232"/>
      <c r="BA1042" s="232"/>
      <c r="BB1042" s="232"/>
      <c r="BC1042" s="232"/>
      <c r="BD1042" s="232"/>
      <c r="BE1042" s="232"/>
      <c r="BF1042" s="232"/>
      <c r="BG1042" s="232"/>
      <c r="BH1042" s="232"/>
      <c r="BI1042" s="232"/>
      <c r="BJ1042" s="232"/>
      <c r="BK1042" s="232"/>
      <c r="BL1042" s="232"/>
      <c r="BM1042" s="232"/>
      <c r="BN1042" s="232"/>
      <c r="BO1042" s="232"/>
      <c r="BP1042" s="232"/>
      <c r="BQ1042" s="232"/>
      <c r="BR1042" s="232"/>
      <c r="BS1042" s="232"/>
      <c r="BT1042" s="232"/>
      <c r="BU1042" s="232"/>
      <c r="BV1042" s="232"/>
      <c r="BW1042" s="232"/>
      <c r="BX1042" s="232"/>
      <c r="BY1042" s="232"/>
      <c r="BZ1042" s="232"/>
      <c r="CA1042" s="232"/>
      <c r="CB1042" s="232"/>
      <c r="CC1042" s="232"/>
      <c r="CD1042" s="232"/>
      <c r="CE1042" s="232"/>
      <c r="CF1042" s="232"/>
      <c r="CG1042" s="232"/>
      <c r="CH1042" s="232"/>
      <c r="CI1042" s="232"/>
      <c r="CJ1042" s="232"/>
      <c r="CK1042" s="232"/>
      <c r="CL1042" s="232"/>
      <c r="CM1042" s="232"/>
      <c r="CN1042" s="215"/>
      <c r="CO1042" s="215"/>
      <c r="CP1042" s="215"/>
      <c r="CQ1042" s="215"/>
      <c r="CR1042" s="215"/>
      <c r="CS1042" s="215"/>
      <c r="CT1042" s="215"/>
    </row>
    <row r="1043" ht="24.0" customHeight="1">
      <c r="A1043" s="287"/>
      <c r="B1043" s="287"/>
      <c r="C1043" s="287"/>
      <c r="D1043" s="232"/>
      <c r="E1043" s="232"/>
      <c r="F1043" s="232"/>
      <c r="G1043" s="232"/>
      <c r="H1043" s="232"/>
      <c r="I1043" s="232"/>
      <c r="J1043" s="232"/>
      <c r="K1043" s="232"/>
      <c r="L1043" s="232"/>
      <c r="M1043" s="232"/>
      <c r="N1043" s="289"/>
      <c r="O1043" s="232"/>
      <c r="P1043" s="232"/>
      <c r="Q1043" s="232"/>
      <c r="R1043" s="232"/>
      <c r="S1043" s="232"/>
      <c r="T1043" s="232"/>
      <c r="U1043" s="232"/>
      <c r="V1043" s="232"/>
      <c r="W1043" s="232"/>
      <c r="X1043" s="232"/>
      <c r="Y1043" s="232"/>
      <c r="Z1043" s="232"/>
      <c r="AA1043" s="232"/>
      <c r="AB1043" s="232"/>
      <c r="AC1043" s="232"/>
      <c r="AD1043" s="232"/>
      <c r="AE1043" s="232"/>
      <c r="AF1043" s="232"/>
      <c r="AG1043" s="232"/>
      <c r="AH1043" s="232"/>
      <c r="AI1043" s="232"/>
      <c r="AJ1043" s="232"/>
      <c r="AK1043" s="232"/>
      <c r="AL1043" s="232"/>
      <c r="AM1043" s="232"/>
      <c r="AN1043" s="232"/>
      <c r="AO1043" s="232"/>
      <c r="AP1043" s="232"/>
      <c r="AQ1043" s="232"/>
      <c r="AR1043" s="232"/>
      <c r="AS1043" s="232"/>
      <c r="AT1043" s="232"/>
      <c r="AU1043" s="232"/>
      <c r="AV1043" s="232"/>
      <c r="AW1043" s="232"/>
      <c r="AX1043" s="232"/>
      <c r="AY1043" s="232"/>
      <c r="AZ1043" s="232"/>
      <c r="BA1043" s="232"/>
      <c r="BB1043" s="232"/>
      <c r="BC1043" s="232"/>
      <c r="BD1043" s="232"/>
      <c r="BE1043" s="232"/>
      <c r="BF1043" s="232"/>
      <c r="BG1043" s="232"/>
      <c r="BH1043" s="232"/>
      <c r="BI1043" s="232"/>
      <c r="BJ1043" s="232"/>
      <c r="BK1043" s="232"/>
      <c r="BL1043" s="232"/>
      <c r="BM1043" s="232"/>
      <c r="BN1043" s="232"/>
      <c r="BO1043" s="232"/>
      <c r="BP1043" s="232"/>
      <c r="BQ1043" s="232"/>
      <c r="BR1043" s="232"/>
      <c r="BS1043" s="232"/>
      <c r="BT1043" s="232"/>
      <c r="BU1043" s="232"/>
      <c r="BV1043" s="232"/>
      <c r="BW1043" s="232"/>
      <c r="BX1043" s="232"/>
      <c r="BY1043" s="232"/>
      <c r="BZ1043" s="232"/>
      <c r="CA1043" s="232"/>
      <c r="CB1043" s="232"/>
      <c r="CC1043" s="232"/>
      <c r="CD1043" s="232"/>
      <c r="CE1043" s="232"/>
      <c r="CF1043" s="232"/>
      <c r="CG1043" s="232"/>
      <c r="CH1043" s="232"/>
      <c r="CI1043" s="232"/>
      <c r="CJ1043" s="232"/>
      <c r="CK1043" s="232"/>
      <c r="CL1043" s="232"/>
      <c r="CM1043" s="232"/>
      <c r="CN1043" s="215"/>
      <c r="CO1043" s="215"/>
      <c r="CP1043" s="215"/>
      <c r="CQ1043" s="215"/>
      <c r="CR1043" s="215"/>
      <c r="CS1043" s="215"/>
      <c r="CT1043" s="215"/>
    </row>
    <row r="1044" ht="24.0" customHeight="1">
      <c r="A1044" s="287"/>
      <c r="B1044" s="287"/>
      <c r="C1044" s="287"/>
      <c r="D1044" s="232"/>
      <c r="E1044" s="232"/>
      <c r="F1044" s="232"/>
      <c r="G1044" s="232"/>
      <c r="H1044" s="232"/>
      <c r="I1044" s="232"/>
      <c r="J1044" s="232"/>
      <c r="K1044" s="232"/>
      <c r="L1044" s="232"/>
      <c r="M1044" s="232"/>
      <c r="N1044" s="289"/>
      <c r="O1044" s="232"/>
      <c r="P1044" s="232"/>
      <c r="Q1044" s="232"/>
      <c r="R1044" s="232"/>
      <c r="S1044" s="232"/>
      <c r="T1044" s="232"/>
      <c r="U1044" s="232"/>
      <c r="V1044" s="232"/>
      <c r="W1044" s="232"/>
      <c r="X1044" s="232"/>
      <c r="Y1044" s="232"/>
      <c r="Z1044" s="232"/>
      <c r="AA1044" s="232"/>
      <c r="AB1044" s="232"/>
      <c r="AC1044" s="232"/>
      <c r="AD1044" s="232"/>
      <c r="AE1044" s="232"/>
      <c r="AF1044" s="232"/>
      <c r="AG1044" s="232"/>
      <c r="AH1044" s="232"/>
      <c r="AI1044" s="232"/>
      <c r="AJ1044" s="232"/>
      <c r="AK1044" s="232"/>
      <c r="AL1044" s="232"/>
      <c r="AM1044" s="232"/>
      <c r="AN1044" s="232"/>
      <c r="AO1044" s="232"/>
      <c r="AP1044" s="232"/>
      <c r="AQ1044" s="232"/>
      <c r="AR1044" s="232"/>
      <c r="AS1044" s="232"/>
      <c r="AT1044" s="232"/>
      <c r="AU1044" s="232"/>
      <c r="AV1044" s="232"/>
      <c r="AW1044" s="232"/>
      <c r="AX1044" s="232"/>
      <c r="AY1044" s="232"/>
      <c r="AZ1044" s="232"/>
      <c r="BA1044" s="232"/>
      <c r="BB1044" s="232"/>
      <c r="BC1044" s="232"/>
      <c r="BD1044" s="232"/>
      <c r="BE1044" s="232"/>
      <c r="BF1044" s="232"/>
      <c r="BG1044" s="232"/>
      <c r="BH1044" s="232"/>
      <c r="BI1044" s="232"/>
      <c r="BJ1044" s="232"/>
      <c r="BK1044" s="232"/>
      <c r="BL1044" s="232"/>
      <c r="BM1044" s="232"/>
      <c r="BN1044" s="232"/>
      <c r="BO1044" s="232"/>
      <c r="BP1044" s="232"/>
      <c r="BQ1044" s="232"/>
      <c r="BR1044" s="232"/>
      <c r="BS1044" s="232"/>
      <c r="BT1044" s="232"/>
      <c r="BU1044" s="232"/>
      <c r="BV1044" s="232"/>
      <c r="BW1044" s="232"/>
      <c r="BX1044" s="232"/>
      <c r="BY1044" s="232"/>
      <c r="BZ1044" s="232"/>
      <c r="CA1044" s="232"/>
      <c r="CB1044" s="232"/>
      <c r="CC1044" s="232"/>
      <c r="CD1044" s="232"/>
      <c r="CE1044" s="232"/>
      <c r="CF1044" s="232"/>
      <c r="CG1044" s="232"/>
      <c r="CH1044" s="232"/>
      <c r="CI1044" s="232"/>
      <c r="CJ1044" s="232"/>
      <c r="CK1044" s="232"/>
      <c r="CL1044" s="232"/>
      <c r="CM1044" s="232"/>
      <c r="CN1044" s="215"/>
      <c r="CO1044" s="215"/>
      <c r="CP1044" s="215"/>
      <c r="CQ1044" s="215"/>
      <c r="CR1044" s="215"/>
      <c r="CS1044" s="215"/>
      <c r="CT1044" s="215"/>
    </row>
    <row r="1045" ht="24.0" customHeight="1">
      <c r="A1045" s="287"/>
      <c r="B1045" s="287"/>
      <c r="C1045" s="287"/>
      <c r="D1045" s="232"/>
      <c r="E1045" s="232"/>
      <c r="F1045" s="232"/>
      <c r="G1045" s="232"/>
      <c r="H1045" s="232"/>
      <c r="I1045" s="232"/>
      <c r="J1045" s="232"/>
      <c r="K1045" s="232"/>
      <c r="L1045" s="232"/>
      <c r="M1045" s="232"/>
      <c r="N1045" s="289"/>
      <c r="O1045" s="232"/>
      <c r="P1045" s="232"/>
      <c r="Q1045" s="232"/>
      <c r="R1045" s="232"/>
      <c r="S1045" s="232"/>
      <c r="T1045" s="232"/>
      <c r="U1045" s="232"/>
      <c r="V1045" s="232"/>
      <c r="W1045" s="232"/>
      <c r="X1045" s="232"/>
      <c r="Y1045" s="232"/>
      <c r="Z1045" s="232"/>
      <c r="AA1045" s="232"/>
      <c r="AB1045" s="232"/>
      <c r="AC1045" s="232"/>
      <c r="AD1045" s="232"/>
      <c r="AE1045" s="232"/>
      <c r="AF1045" s="232"/>
      <c r="AG1045" s="232"/>
      <c r="AH1045" s="232"/>
      <c r="AI1045" s="232"/>
      <c r="AJ1045" s="232"/>
      <c r="AK1045" s="232"/>
      <c r="AL1045" s="232"/>
      <c r="AM1045" s="232"/>
      <c r="AN1045" s="232"/>
      <c r="AO1045" s="232"/>
      <c r="AP1045" s="232"/>
      <c r="AQ1045" s="232"/>
      <c r="AR1045" s="232"/>
      <c r="AS1045" s="232"/>
      <c r="AT1045" s="232"/>
      <c r="AU1045" s="232"/>
      <c r="AV1045" s="232"/>
      <c r="AW1045" s="232"/>
      <c r="AX1045" s="232"/>
      <c r="AY1045" s="232"/>
      <c r="AZ1045" s="232"/>
      <c r="BA1045" s="232"/>
      <c r="BB1045" s="232"/>
      <c r="BC1045" s="232"/>
      <c r="BD1045" s="232"/>
      <c r="BE1045" s="232"/>
      <c r="BF1045" s="232"/>
      <c r="BG1045" s="232"/>
      <c r="BH1045" s="232"/>
      <c r="BI1045" s="232"/>
      <c r="BJ1045" s="232"/>
      <c r="BK1045" s="232"/>
      <c r="BL1045" s="232"/>
      <c r="BM1045" s="232"/>
      <c r="BN1045" s="232"/>
      <c r="BO1045" s="232"/>
      <c r="BP1045" s="232"/>
      <c r="BQ1045" s="232"/>
      <c r="BR1045" s="232"/>
      <c r="BS1045" s="232"/>
      <c r="BT1045" s="232"/>
      <c r="BU1045" s="232"/>
      <c r="BV1045" s="232"/>
      <c r="BW1045" s="232"/>
      <c r="BX1045" s="232"/>
      <c r="BY1045" s="232"/>
      <c r="BZ1045" s="232"/>
      <c r="CA1045" s="232"/>
      <c r="CB1045" s="232"/>
      <c r="CC1045" s="232"/>
      <c r="CD1045" s="232"/>
      <c r="CE1045" s="232"/>
      <c r="CF1045" s="232"/>
      <c r="CG1045" s="232"/>
      <c r="CH1045" s="232"/>
      <c r="CI1045" s="232"/>
      <c r="CJ1045" s="232"/>
      <c r="CK1045" s="232"/>
      <c r="CL1045" s="232"/>
      <c r="CM1045" s="232"/>
      <c r="CN1045" s="215"/>
      <c r="CO1045" s="215"/>
      <c r="CP1045" s="215"/>
      <c r="CQ1045" s="215"/>
      <c r="CR1045" s="215"/>
      <c r="CS1045" s="215"/>
      <c r="CT1045" s="215"/>
    </row>
    <row r="1046" ht="24.0" customHeight="1">
      <c r="A1046" s="287"/>
      <c r="B1046" s="287"/>
      <c r="C1046" s="287"/>
      <c r="D1046" s="232"/>
      <c r="E1046" s="232"/>
      <c r="F1046" s="232"/>
      <c r="G1046" s="232"/>
      <c r="H1046" s="232"/>
      <c r="I1046" s="232"/>
      <c r="J1046" s="232"/>
      <c r="K1046" s="232"/>
      <c r="L1046" s="232"/>
      <c r="M1046" s="232"/>
      <c r="N1046" s="289"/>
      <c r="O1046" s="232"/>
      <c r="P1046" s="232"/>
      <c r="Q1046" s="232"/>
      <c r="R1046" s="232"/>
      <c r="S1046" s="232"/>
      <c r="T1046" s="232"/>
      <c r="U1046" s="232"/>
      <c r="V1046" s="232"/>
      <c r="W1046" s="232"/>
      <c r="X1046" s="232"/>
      <c r="Y1046" s="232"/>
      <c r="Z1046" s="232"/>
      <c r="AA1046" s="232"/>
      <c r="AB1046" s="232"/>
      <c r="AC1046" s="232"/>
      <c r="AD1046" s="232"/>
      <c r="AE1046" s="232"/>
      <c r="AF1046" s="232"/>
      <c r="AG1046" s="232"/>
      <c r="AH1046" s="232"/>
      <c r="AI1046" s="232"/>
      <c r="AJ1046" s="232"/>
      <c r="AK1046" s="232"/>
      <c r="AL1046" s="232"/>
      <c r="AM1046" s="232"/>
      <c r="AN1046" s="232"/>
      <c r="AO1046" s="232"/>
      <c r="AP1046" s="232"/>
      <c r="AQ1046" s="232"/>
      <c r="AR1046" s="232"/>
      <c r="AS1046" s="232"/>
      <c r="AT1046" s="232"/>
      <c r="AU1046" s="232"/>
      <c r="AV1046" s="232"/>
      <c r="AW1046" s="232"/>
      <c r="AX1046" s="232"/>
      <c r="AY1046" s="232"/>
      <c r="AZ1046" s="232"/>
      <c r="BA1046" s="232"/>
      <c r="BB1046" s="232"/>
      <c r="BC1046" s="232"/>
      <c r="BD1046" s="232"/>
      <c r="BE1046" s="232"/>
      <c r="BF1046" s="232"/>
      <c r="BG1046" s="232"/>
      <c r="BH1046" s="232"/>
      <c r="BI1046" s="232"/>
      <c r="BJ1046" s="232"/>
      <c r="BK1046" s="232"/>
      <c r="BL1046" s="232"/>
      <c r="BM1046" s="232"/>
      <c r="BN1046" s="232"/>
      <c r="BO1046" s="232"/>
      <c r="BP1046" s="232"/>
      <c r="BQ1046" s="232"/>
      <c r="BR1046" s="232"/>
      <c r="BS1046" s="232"/>
      <c r="BT1046" s="232"/>
      <c r="BU1046" s="232"/>
      <c r="BV1046" s="232"/>
      <c r="BW1046" s="232"/>
      <c r="BX1046" s="232"/>
      <c r="BY1046" s="232"/>
      <c r="BZ1046" s="232"/>
      <c r="CA1046" s="232"/>
      <c r="CB1046" s="232"/>
      <c r="CC1046" s="232"/>
      <c r="CD1046" s="232"/>
      <c r="CE1046" s="232"/>
      <c r="CF1046" s="232"/>
      <c r="CG1046" s="232"/>
      <c r="CH1046" s="232"/>
      <c r="CI1046" s="232"/>
      <c r="CJ1046" s="232"/>
      <c r="CK1046" s="232"/>
      <c r="CL1046" s="232"/>
      <c r="CM1046" s="232"/>
      <c r="CN1046" s="215"/>
      <c r="CO1046" s="215"/>
      <c r="CP1046" s="215"/>
      <c r="CQ1046" s="215"/>
      <c r="CR1046" s="215"/>
      <c r="CS1046" s="215"/>
      <c r="CT1046" s="215"/>
    </row>
    <row r="1047" ht="24.0" customHeight="1">
      <c r="A1047" s="287"/>
      <c r="B1047" s="287"/>
      <c r="C1047" s="287"/>
      <c r="D1047" s="232"/>
      <c r="E1047" s="232"/>
      <c r="F1047" s="232"/>
      <c r="G1047" s="232"/>
      <c r="H1047" s="232"/>
      <c r="I1047" s="232"/>
      <c r="J1047" s="232"/>
      <c r="K1047" s="232"/>
      <c r="L1047" s="232"/>
      <c r="M1047" s="232"/>
      <c r="N1047" s="289"/>
      <c r="O1047" s="232"/>
      <c r="P1047" s="232"/>
      <c r="Q1047" s="232"/>
      <c r="R1047" s="232"/>
      <c r="S1047" s="232"/>
      <c r="T1047" s="232"/>
      <c r="U1047" s="232"/>
      <c r="V1047" s="232"/>
      <c r="W1047" s="232"/>
      <c r="X1047" s="232"/>
      <c r="Y1047" s="232"/>
      <c r="Z1047" s="232"/>
      <c r="AA1047" s="232"/>
      <c r="AB1047" s="232"/>
      <c r="AC1047" s="232"/>
      <c r="AD1047" s="232"/>
      <c r="AE1047" s="232"/>
      <c r="AF1047" s="232"/>
      <c r="AG1047" s="232"/>
      <c r="AH1047" s="232"/>
      <c r="AI1047" s="232"/>
      <c r="AJ1047" s="232"/>
      <c r="AK1047" s="232"/>
      <c r="AL1047" s="232"/>
      <c r="AM1047" s="232"/>
      <c r="AN1047" s="232"/>
      <c r="AO1047" s="232"/>
      <c r="AP1047" s="232"/>
      <c r="AQ1047" s="232"/>
      <c r="AR1047" s="232"/>
      <c r="AS1047" s="232"/>
      <c r="AT1047" s="232"/>
      <c r="AU1047" s="232"/>
      <c r="AV1047" s="232"/>
      <c r="AW1047" s="232"/>
      <c r="AX1047" s="232"/>
      <c r="AY1047" s="232"/>
      <c r="AZ1047" s="232"/>
      <c r="BA1047" s="232"/>
      <c r="BB1047" s="232"/>
      <c r="BC1047" s="232"/>
      <c r="BD1047" s="232"/>
      <c r="BE1047" s="232"/>
      <c r="BF1047" s="232"/>
      <c r="BG1047" s="232"/>
      <c r="BH1047" s="232"/>
      <c r="BI1047" s="232"/>
      <c r="BJ1047" s="232"/>
      <c r="BK1047" s="232"/>
      <c r="BL1047" s="232"/>
      <c r="BM1047" s="232"/>
      <c r="BN1047" s="232"/>
      <c r="BO1047" s="232"/>
      <c r="BP1047" s="232"/>
      <c r="BQ1047" s="232"/>
      <c r="BR1047" s="232"/>
      <c r="BS1047" s="232"/>
      <c r="BT1047" s="232"/>
      <c r="BU1047" s="232"/>
      <c r="BV1047" s="232"/>
      <c r="BW1047" s="232"/>
      <c r="BX1047" s="232"/>
      <c r="BY1047" s="232"/>
      <c r="BZ1047" s="232"/>
      <c r="CA1047" s="232"/>
      <c r="CB1047" s="232"/>
      <c r="CC1047" s="232"/>
      <c r="CD1047" s="232"/>
      <c r="CE1047" s="232"/>
      <c r="CF1047" s="232"/>
      <c r="CG1047" s="232"/>
      <c r="CH1047" s="232"/>
      <c r="CI1047" s="232"/>
      <c r="CJ1047" s="232"/>
      <c r="CK1047" s="232"/>
      <c r="CL1047" s="232"/>
      <c r="CM1047" s="232"/>
      <c r="CN1047" s="215"/>
      <c r="CO1047" s="215"/>
      <c r="CP1047" s="215"/>
      <c r="CQ1047" s="215"/>
      <c r="CR1047" s="215"/>
      <c r="CS1047" s="215"/>
      <c r="CT1047" s="215"/>
    </row>
    <row r="1048" ht="24.0" customHeight="1">
      <c r="A1048" s="287"/>
      <c r="B1048" s="287"/>
      <c r="C1048" s="287"/>
      <c r="D1048" s="232"/>
      <c r="E1048" s="232"/>
      <c r="F1048" s="232"/>
      <c r="G1048" s="232"/>
      <c r="H1048" s="232"/>
      <c r="I1048" s="232"/>
      <c r="J1048" s="232"/>
      <c r="K1048" s="232"/>
      <c r="L1048" s="232"/>
      <c r="M1048" s="232"/>
      <c r="N1048" s="289"/>
      <c r="O1048" s="232"/>
      <c r="P1048" s="232"/>
      <c r="Q1048" s="232"/>
      <c r="R1048" s="232"/>
      <c r="S1048" s="232"/>
      <c r="T1048" s="232"/>
      <c r="U1048" s="232"/>
      <c r="V1048" s="232"/>
      <c r="W1048" s="232"/>
      <c r="X1048" s="232"/>
      <c r="Y1048" s="232"/>
      <c r="Z1048" s="232"/>
      <c r="AA1048" s="232"/>
      <c r="AB1048" s="232"/>
      <c r="AC1048" s="232"/>
      <c r="AD1048" s="232"/>
      <c r="AE1048" s="232"/>
      <c r="AF1048" s="232"/>
      <c r="AG1048" s="232"/>
      <c r="AH1048" s="232"/>
      <c r="AI1048" s="232"/>
      <c r="AJ1048" s="232"/>
      <c r="AK1048" s="232"/>
      <c r="AL1048" s="232"/>
      <c r="AM1048" s="232"/>
      <c r="AN1048" s="232"/>
      <c r="AO1048" s="232"/>
      <c r="AP1048" s="232"/>
      <c r="AQ1048" s="232"/>
      <c r="AR1048" s="232"/>
      <c r="AS1048" s="232"/>
      <c r="AT1048" s="232"/>
      <c r="AU1048" s="232"/>
      <c r="AV1048" s="232"/>
      <c r="AW1048" s="232"/>
      <c r="AX1048" s="232"/>
      <c r="AY1048" s="232"/>
      <c r="AZ1048" s="232"/>
      <c r="BA1048" s="232"/>
      <c r="BB1048" s="232"/>
      <c r="BC1048" s="232"/>
      <c r="BD1048" s="232"/>
      <c r="BE1048" s="232"/>
      <c r="BF1048" s="232"/>
      <c r="BG1048" s="232"/>
      <c r="BH1048" s="232"/>
      <c r="BI1048" s="232"/>
      <c r="BJ1048" s="232"/>
      <c r="BK1048" s="232"/>
      <c r="BL1048" s="232"/>
      <c r="BM1048" s="232"/>
      <c r="BN1048" s="232"/>
      <c r="BO1048" s="232"/>
      <c r="BP1048" s="232"/>
      <c r="BQ1048" s="232"/>
      <c r="BR1048" s="232"/>
      <c r="BS1048" s="232"/>
      <c r="BT1048" s="232"/>
      <c r="BU1048" s="232"/>
      <c r="BV1048" s="232"/>
      <c r="BW1048" s="232"/>
      <c r="BX1048" s="232"/>
      <c r="BY1048" s="232"/>
      <c r="BZ1048" s="232"/>
      <c r="CA1048" s="232"/>
      <c r="CB1048" s="232"/>
      <c r="CC1048" s="232"/>
      <c r="CD1048" s="232"/>
      <c r="CE1048" s="232"/>
      <c r="CF1048" s="232"/>
      <c r="CG1048" s="232"/>
      <c r="CH1048" s="232"/>
      <c r="CI1048" s="232"/>
      <c r="CJ1048" s="232"/>
      <c r="CK1048" s="232"/>
      <c r="CL1048" s="232"/>
      <c r="CM1048" s="232"/>
      <c r="CN1048" s="215"/>
      <c r="CO1048" s="215"/>
      <c r="CP1048" s="215"/>
      <c r="CQ1048" s="215"/>
      <c r="CR1048" s="215"/>
      <c r="CS1048" s="215"/>
      <c r="CT1048" s="215"/>
    </row>
    <row r="1049" ht="24.0" customHeight="1">
      <c r="A1049" s="287"/>
      <c r="B1049" s="287"/>
      <c r="C1049" s="287"/>
      <c r="D1049" s="232"/>
      <c r="E1049" s="232"/>
      <c r="F1049" s="232"/>
      <c r="G1049" s="232"/>
      <c r="H1049" s="232"/>
      <c r="I1049" s="232"/>
      <c r="J1049" s="232"/>
      <c r="K1049" s="232"/>
      <c r="L1049" s="232"/>
      <c r="M1049" s="232"/>
      <c r="N1049" s="289"/>
      <c r="O1049" s="232"/>
      <c r="P1049" s="232"/>
      <c r="Q1049" s="232"/>
      <c r="R1049" s="232"/>
      <c r="S1049" s="232"/>
      <c r="T1049" s="232"/>
      <c r="U1049" s="232"/>
      <c r="V1049" s="232"/>
      <c r="W1049" s="232"/>
      <c r="X1049" s="232"/>
      <c r="Y1049" s="232"/>
      <c r="Z1049" s="232"/>
      <c r="AA1049" s="232"/>
      <c r="AB1049" s="232"/>
      <c r="AC1049" s="232"/>
      <c r="AD1049" s="232"/>
      <c r="AE1049" s="232"/>
      <c r="AF1049" s="232"/>
      <c r="AG1049" s="232"/>
      <c r="AH1049" s="232"/>
      <c r="AI1049" s="232"/>
      <c r="AJ1049" s="232"/>
      <c r="AK1049" s="232"/>
      <c r="AL1049" s="232"/>
      <c r="AM1049" s="232"/>
      <c r="AN1049" s="232"/>
      <c r="AO1049" s="232"/>
      <c r="AP1049" s="232"/>
      <c r="AQ1049" s="232"/>
      <c r="AR1049" s="232"/>
      <c r="AS1049" s="232"/>
      <c r="AT1049" s="232"/>
      <c r="AU1049" s="232"/>
      <c r="AV1049" s="232"/>
      <c r="AW1049" s="232"/>
      <c r="AX1049" s="232"/>
      <c r="AY1049" s="232"/>
      <c r="AZ1049" s="232"/>
      <c r="BA1049" s="232"/>
      <c r="BB1049" s="232"/>
      <c r="BC1049" s="232"/>
      <c r="BD1049" s="232"/>
      <c r="BE1049" s="232"/>
      <c r="BF1049" s="232"/>
      <c r="BG1049" s="232"/>
      <c r="BH1049" s="232"/>
      <c r="BI1049" s="232"/>
      <c r="BJ1049" s="232"/>
      <c r="BK1049" s="232"/>
      <c r="BL1049" s="232"/>
      <c r="BM1049" s="232"/>
      <c r="BN1049" s="232"/>
      <c r="BO1049" s="232"/>
      <c r="BP1049" s="232"/>
      <c r="BQ1049" s="232"/>
      <c r="BR1049" s="232"/>
      <c r="BS1049" s="232"/>
      <c r="BT1049" s="232"/>
      <c r="BU1049" s="232"/>
      <c r="BV1049" s="232"/>
      <c r="BW1049" s="232"/>
      <c r="BX1049" s="232"/>
      <c r="BY1049" s="232"/>
      <c r="BZ1049" s="232"/>
      <c r="CA1049" s="232"/>
      <c r="CB1049" s="232"/>
      <c r="CC1049" s="232"/>
      <c r="CD1049" s="232"/>
      <c r="CE1049" s="232"/>
      <c r="CF1049" s="232"/>
      <c r="CG1049" s="232"/>
      <c r="CH1049" s="232"/>
      <c r="CI1049" s="232"/>
      <c r="CJ1049" s="232"/>
      <c r="CK1049" s="232"/>
      <c r="CL1049" s="232"/>
      <c r="CM1049" s="232"/>
      <c r="CN1049" s="215"/>
      <c r="CO1049" s="215"/>
      <c r="CP1049" s="215"/>
      <c r="CQ1049" s="215"/>
      <c r="CR1049" s="215"/>
      <c r="CS1049" s="215"/>
      <c r="CT1049" s="215"/>
    </row>
    <row r="1050" ht="24.0" customHeight="1">
      <c r="A1050" s="287"/>
      <c r="B1050" s="287"/>
      <c r="C1050" s="287"/>
      <c r="D1050" s="232"/>
      <c r="E1050" s="232"/>
      <c r="F1050" s="232"/>
      <c r="G1050" s="232"/>
      <c r="H1050" s="232"/>
      <c r="I1050" s="232"/>
      <c r="J1050" s="232"/>
      <c r="K1050" s="232"/>
      <c r="L1050" s="232"/>
      <c r="M1050" s="232"/>
      <c r="N1050" s="289"/>
      <c r="O1050" s="232"/>
      <c r="P1050" s="232"/>
      <c r="Q1050" s="232"/>
      <c r="R1050" s="232"/>
      <c r="S1050" s="232"/>
      <c r="T1050" s="232"/>
      <c r="U1050" s="232"/>
      <c r="V1050" s="232"/>
      <c r="W1050" s="232"/>
      <c r="X1050" s="232"/>
      <c r="Y1050" s="232"/>
      <c r="Z1050" s="232"/>
      <c r="AA1050" s="232"/>
      <c r="AB1050" s="232"/>
      <c r="AC1050" s="232"/>
      <c r="AD1050" s="232"/>
      <c r="AE1050" s="232"/>
      <c r="AF1050" s="232"/>
      <c r="AG1050" s="232"/>
      <c r="AH1050" s="232"/>
      <c r="AI1050" s="232"/>
      <c r="AJ1050" s="232"/>
      <c r="AK1050" s="232"/>
      <c r="AL1050" s="232"/>
      <c r="AM1050" s="232"/>
      <c r="AN1050" s="232"/>
      <c r="AO1050" s="232"/>
      <c r="AP1050" s="232"/>
      <c r="AQ1050" s="232"/>
      <c r="AR1050" s="232"/>
      <c r="AS1050" s="232"/>
      <c r="AT1050" s="232"/>
      <c r="AU1050" s="232"/>
      <c r="AV1050" s="232"/>
      <c r="AW1050" s="232"/>
      <c r="AX1050" s="232"/>
      <c r="AY1050" s="232"/>
      <c r="AZ1050" s="232"/>
      <c r="BA1050" s="232"/>
      <c r="BB1050" s="232"/>
      <c r="BC1050" s="232"/>
      <c r="BD1050" s="232"/>
      <c r="BE1050" s="232"/>
      <c r="BF1050" s="232"/>
      <c r="BG1050" s="232"/>
      <c r="BH1050" s="232"/>
      <c r="BI1050" s="232"/>
      <c r="BJ1050" s="232"/>
      <c r="BK1050" s="232"/>
      <c r="BL1050" s="232"/>
      <c r="BM1050" s="232"/>
      <c r="BN1050" s="232"/>
      <c r="BO1050" s="232"/>
      <c r="BP1050" s="232"/>
      <c r="BQ1050" s="232"/>
      <c r="BR1050" s="232"/>
      <c r="BS1050" s="232"/>
      <c r="BT1050" s="232"/>
      <c r="BU1050" s="232"/>
      <c r="BV1050" s="232"/>
      <c r="BW1050" s="232"/>
      <c r="BX1050" s="232"/>
      <c r="BY1050" s="232"/>
      <c r="BZ1050" s="232"/>
      <c r="CA1050" s="232"/>
      <c r="CB1050" s="232"/>
      <c r="CC1050" s="232"/>
      <c r="CD1050" s="232"/>
      <c r="CE1050" s="232"/>
      <c r="CF1050" s="232"/>
      <c r="CG1050" s="232"/>
      <c r="CH1050" s="232"/>
      <c r="CI1050" s="232"/>
      <c r="CJ1050" s="232"/>
      <c r="CK1050" s="232"/>
      <c r="CL1050" s="232"/>
      <c r="CM1050" s="232"/>
      <c r="CN1050" s="215"/>
      <c r="CO1050" s="215"/>
      <c r="CP1050" s="215"/>
      <c r="CQ1050" s="215"/>
      <c r="CR1050" s="215"/>
      <c r="CS1050" s="215"/>
      <c r="CT1050" s="215"/>
    </row>
    <row r="1051" ht="24.0" customHeight="1">
      <c r="A1051" s="287"/>
      <c r="B1051" s="287"/>
      <c r="C1051" s="287"/>
      <c r="D1051" s="232"/>
      <c r="E1051" s="232"/>
      <c r="F1051" s="232"/>
      <c r="G1051" s="232"/>
      <c r="H1051" s="232"/>
      <c r="I1051" s="232"/>
      <c r="J1051" s="232"/>
      <c r="K1051" s="232"/>
      <c r="L1051" s="232"/>
      <c r="M1051" s="232"/>
      <c r="N1051" s="289"/>
      <c r="O1051" s="232"/>
      <c r="P1051" s="232"/>
      <c r="Q1051" s="232"/>
      <c r="R1051" s="232"/>
      <c r="S1051" s="232"/>
      <c r="T1051" s="232"/>
      <c r="U1051" s="232"/>
      <c r="V1051" s="232"/>
      <c r="W1051" s="232"/>
      <c r="X1051" s="232"/>
      <c r="Y1051" s="232"/>
      <c r="Z1051" s="232"/>
      <c r="AA1051" s="232"/>
      <c r="AB1051" s="232"/>
      <c r="AC1051" s="232"/>
      <c r="AD1051" s="232"/>
      <c r="AE1051" s="232"/>
      <c r="AF1051" s="232"/>
      <c r="AG1051" s="232"/>
      <c r="AH1051" s="232"/>
      <c r="AI1051" s="232"/>
      <c r="AJ1051" s="232"/>
      <c r="AK1051" s="232"/>
      <c r="AL1051" s="232"/>
      <c r="AM1051" s="232"/>
      <c r="AN1051" s="232"/>
      <c r="AO1051" s="232"/>
      <c r="AP1051" s="232"/>
      <c r="AQ1051" s="232"/>
      <c r="AR1051" s="232"/>
      <c r="AS1051" s="232"/>
      <c r="AT1051" s="232"/>
      <c r="AU1051" s="232"/>
      <c r="AV1051" s="232"/>
      <c r="AW1051" s="232"/>
      <c r="AX1051" s="232"/>
      <c r="AY1051" s="232"/>
      <c r="AZ1051" s="232"/>
      <c r="BA1051" s="232"/>
      <c r="BB1051" s="232"/>
      <c r="BC1051" s="232"/>
      <c r="BD1051" s="232"/>
      <c r="BE1051" s="232"/>
      <c r="BF1051" s="232"/>
      <c r="BG1051" s="232"/>
      <c r="BH1051" s="232"/>
      <c r="BI1051" s="232"/>
      <c r="BJ1051" s="232"/>
      <c r="BK1051" s="232"/>
      <c r="BL1051" s="232"/>
      <c r="BM1051" s="232"/>
      <c r="BN1051" s="232"/>
      <c r="BO1051" s="232"/>
      <c r="BP1051" s="232"/>
      <c r="BQ1051" s="232"/>
      <c r="BR1051" s="232"/>
      <c r="BS1051" s="232"/>
      <c r="BT1051" s="232"/>
      <c r="BU1051" s="232"/>
      <c r="BV1051" s="232"/>
      <c r="BW1051" s="232"/>
      <c r="BX1051" s="232"/>
      <c r="BY1051" s="232"/>
      <c r="BZ1051" s="232"/>
      <c r="CA1051" s="232"/>
      <c r="CB1051" s="232"/>
      <c r="CC1051" s="232"/>
      <c r="CD1051" s="232"/>
      <c r="CE1051" s="232"/>
      <c r="CF1051" s="232"/>
      <c r="CG1051" s="232"/>
      <c r="CH1051" s="232"/>
      <c r="CI1051" s="232"/>
      <c r="CJ1051" s="232"/>
      <c r="CK1051" s="232"/>
      <c r="CL1051" s="232"/>
      <c r="CM1051" s="232"/>
      <c r="CN1051" s="215"/>
      <c r="CO1051" s="215"/>
      <c r="CP1051" s="215"/>
      <c r="CQ1051" s="215"/>
      <c r="CR1051" s="215"/>
      <c r="CS1051" s="215"/>
      <c r="CT1051" s="215"/>
    </row>
    <row r="1052" ht="24.0" customHeight="1">
      <c r="A1052" s="287"/>
      <c r="B1052" s="287"/>
      <c r="C1052" s="287"/>
      <c r="D1052" s="232"/>
      <c r="E1052" s="232"/>
      <c r="F1052" s="232"/>
      <c r="G1052" s="232"/>
      <c r="H1052" s="232"/>
      <c r="I1052" s="232"/>
      <c r="J1052" s="232"/>
      <c r="K1052" s="232"/>
      <c r="L1052" s="232"/>
      <c r="M1052" s="232"/>
      <c r="N1052" s="289"/>
      <c r="O1052" s="232"/>
      <c r="P1052" s="232"/>
      <c r="Q1052" s="232"/>
      <c r="R1052" s="232"/>
      <c r="S1052" s="232"/>
      <c r="T1052" s="232"/>
      <c r="U1052" s="232"/>
      <c r="V1052" s="232"/>
      <c r="W1052" s="232"/>
      <c r="X1052" s="232"/>
      <c r="Y1052" s="232"/>
      <c r="Z1052" s="232"/>
      <c r="AA1052" s="232"/>
      <c r="AB1052" s="232"/>
      <c r="AC1052" s="232"/>
      <c r="AD1052" s="232"/>
      <c r="AE1052" s="232"/>
      <c r="AF1052" s="232"/>
      <c r="AG1052" s="232"/>
      <c r="AH1052" s="232"/>
      <c r="AI1052" s="232"/>
      <c r="AJ1052" s="232"/>
      <c r="AK1052" s="232"/>
      <c r="AL1052" s="232"/>
      <c r="AM1052" s="232"/>
      <c r="AN1052" s="232"/>
      <c r="AO1052" s="232"/>
      <c r="AP1052" s="232"/>
      <c r="AQ1052" s="232"/>
      <c r="AR1052" s="232"/>
      <c r="AS1052" s="232"/>
      <c r="AT1052" s="232"/>
      <c r="AU1052" s="232"/>
      <c r="AV1052" s="232"/>
      <c r="AW1052" s="232"/>
      <c r="AX1052" s="232"/>
      <c r="AY1052" s="232"/>
      <c r="AZ1052" s="232"/>
      <c r="BA1052" s="232"/>
      <c r="BB1052" s="232"/>
      <c r="BC1052" s="232"/>
      <c r="BD1052" s="232"/>
      <c r="BE1052" s="232"/>
      <c r="BF1052" s="232"/>
      <c r="BG1052" s="232"/>
      <c r="BH1052" s="232"/>
      <c r="BI1052" s="232"/>
      <c r="BJ1052" s="232"/>
      <c r="BK1052" s="232"/>
      <c r="BL1052" s="232"/>
      <c r="BM1052" s="232"/>
      <c r="BN1052" s="232"/>
      <c r="BO1052" s="232"/>
      <c r="BP1052" s="232"/>
      <c r="BQ1052" s="232"/>
      <c r="BR1052" s="232"/>
      <c r="BS1052" s="232"/>
      <c r="BT1052" s="232"/>
      <c r="BU1052" s="232"/>
      <c r="BV1052" s="232"/>
      <c r="BW1052" s="232"/>
      <c r="BX1052" s="232"/>
      <c r="BY1052" s="232"/>
      <c r="BZ1052" s="232"/>
      <c r="CA1052" s="232"/>
      <c r="CB1052" s="232"/>
      <c r="CC1052" s="232"/>
      <c r="CD1052" s="232"/>
      <c r="CE1052" s="232"/>
      <c r="CF1052" s="232"/>
      <c r="CG1052" s="232"/>
      <c r="CH1052" s="232"/>
      <c r="CI1052" s="232"/>
      <c r="CJ1052" s="232"/>
      <c r="CK1052" s="232"/>
      <c r="CL1052" s="232"/>
      <c r="CM1052" s="232"/>
      <c r="CN1052" s="215"/>
      <c r="CO1052" s="215"/>
      <c r="CP1052" s="215"/>
      <c r="CQ1052" s="215"/>
      <c r="CR1052" s="215"/>
      <c r="CS1052" s="215"/>
      <c r="CT1052" s="215"/>
    </row>
    <row r="1053" ht="24.0" customHeight="1">
      <c r="A1053" s="287"/>
      <c r="B1053" s="287"/>
      <c r="C1053" s="287"/>
      <c r="D1053" s="232"/>
      <c r="E1053" s="232"/>
      <c r="F1053" s="232"/>
      <c r="G1053" s="232"/>
      <c r="H1053" s="232"/>
      <c r="I1053" s="232"/>
      <c r="J1053" s="232"/>
      <c r="K1053" s="232"/>
      <c r="L1053" s="232"/>
      <c r="M1053" s="232"/>
      <c r="N1053" s="289"/>
      <c r="O1053" s="232"/>
      <c r="P1053" s="232"/>
      <c r="Q1053" s="232"/>
      <c r="R1053" s="232"/>
      <c r="S1053" s="232"/>
      <c r="T1053" s="232"/>
      <c r="U1053" s="232"/>
      <c r="V1053" s="232"/>
      <c r="W1053" s="232"/>
      <c r="X1053" s="232"/>
      <c r="Y1053" s="232"/>
      <c r="Z1053" s="232"/>
      <c r="AA1053" s="232"/>
      <c r="AB1053" s="232"/>
      <c r="AC1053" s="232"/>
      <c r="AD1053" s="232"/>
      <c r="AE1053" s="232"/>
      <c r="AF1053" s="232"/>
      <c r="AG1053" s="232"/>
      <c r="AH1053" s="232"/>
      <c r="AI1053" s="232"/>
      <c r="AJ1053" s="232"/>
      <c r="AK1053" s="232"/>
      <c r="AL1053" s="232"/>
      <c r="AM1053" s="232"/>
      <c r="AN1053" s="232"/>
      <c r="AO1053" s="232"/>
      <c r="AP1053" s="232"/>
      <c r="AQ1053" s="232"/>
      <c r="AR1053" s="232"/>
      <c r="AS1053" s="232"/>
      <c r="AT1053" s="232"/>
      <c r="AU1053" s="232"/>
      <c r="AV1053" s="232"/>
      <c r="AW1053" s="232"/>
      <c r="AX1053" s="232"/>
      <c r="AY1053" s="232"/>
      <c r="AZ1053" s="232"/>
      <c r="BA1053" s="232"/>
      <c r="BB1053" s="232"/>
      <c r="BC1053" s="232"/>
      <c r="BD1053" s="232"/>
      <c r="BE1053" s="232"/>
      <c r="BF1053" s="232"/>
      <c r="BG1053" s="232"/>
      <c r="BH1053" s="232"/>
      <c r="BI1053" s="232"/>
      <c r="BJ1053" s="232"/>
      <c r="BK1053" s="232"/>
      <c r="BL1053" s="232"/>
      <c r="BM1053" s="232"/>
      <c r="BN1053" s="232"/>
      <c r="BO1053" s="232"/>
      <c r="BP1053" s="232"/>
      <c r="BQ1053" s="232"/>
      <c r="BR1053" s="232"/>
      <c r="BS1053" s="232"/>
      <c r="BT1053" s="232"/>
      <c r="BU1053" s="232"/>
      <c r="BV1053" s="232"/>
      <c r="BW1053" s="232"/>
      <c r="BX1053" s="232"/>
      <c r="BY1053" s="232"/>
      <c r="BZ1053" s="232"/>
      <c r="CA1053" s="232"/>
      <c r="CB1053" s="232"/>
      <c r="CC1053" s="232"/>
      <c r="CD1053" s="232"/>
      <c r="CE1053" s="232"/>
      <c r="CF1053" s="232"/>
      <c r="CG1053" s="232"/>
      <c r="CH1053" s="232"/>
      <c r="CI1053" s="232"/>
      <c r="CJ1053" s="232"/>
      <c r="CK1053" s="232"/>
      <c r="CL1053" s="232"/>
      <c r="CM1053" s="232"/>
      <c r="CN1053" s="215"/>
      <c r="CO1053" s="215"/>
      <c r="CP1053" s="215"/>
      <c r="CQ1053" s="215"/>
      <c r="CR1053" s="215"/>
      <c r="CS1053" s="215"/>
      <c r="CT1053" s="215"/>
    </row>
    <row r="1054" ht="24.0" customHeight="1">
      <c r="A1054" s="287"/>
      <c r="B1054" s="287"/>
      <c r="C1054" s="287"/>
      <c r="D1054" s="232"/>
      <c r="E1054" s="232"/>
      <c r="F1054" s="232"/>
      <c r="G1054" s="232"/>
      <c r="H1054" s="232"/>
      <c r="I1054" s="232"/>
      <c r="J1054" s="232"/>
      <c r="K1054" s="232"/>
      <c r="L1054" s="232"/>
      <c r="M1054" s="232"/>
      <c r="N1054" s="289"/>
      <c r="O1054" s="232"/>
      <c r="P1054" s="232"/>
      <c r="Q1054" s="232"/>
      <c r="R1054" s="232"/>
      <c r="S1054" s="232"/>
      <c r="T1054" s="232"/>
      <c r="U1054" s="232"/>
      <c r="V1054" s="232"/>
      <c r="W1054" s="232"/>
      <c r="X1054" s="232"/>
      <c r="Y1054" s="232"/>
      <c r="Z1054" s="232"/>
      <c r="AA1054" s="232"/>
      <c r="AB1054" s="232"/>
      <c r="AC1054" s="232"/>
      <c r="AD1054" s="232"/>
      <c r="AE1054" s="232"/>
      <c r="AF1054" s="232"/>
      <c r="AG1054" s="232"/>
      <c r="AH1054" s="232"/>
      <c r="AI1054" s="232"/>
      <c r="AJ1054" s="232"/>
      <c r="AK1054" s="232"/>
      <c r="AL1054" s="232"/>
      <c r="AM1054" s="232"/>
      <c r="AN1054" s="232"/>
      <c r="AO1054" s="232"/>
      <c r="AP1054" s="232"/>
      <c r="AQ1054" s="232"/>
      <c r="AR1054" s="232"/>
      <c r="AS1054" s="232"/>
      <c r="AT1054" s="232"/>
      <c r="AU1054" s="232"/>
      <c r="AV1054" s="232"/>
      <c r="AW1054" s="232"/>
      <c r="AX1054" s="232"/>
      <c r="AY1054" s="232"/>
      <c r="AZ1054" s="232"/>
      <c r="BA1054" s="232"/>
      <c r="BB1054" s="232"/>
      <c r="BC1054" s="232"/>
      <c r="BD1054" s="232"/>
      <c r="BE1054" s="232"/>
      <c r="BF1054" s="232"/>
      <c r="BG1054" s="232"/>
      <c r="BH1054" s="232"/>
      <c r="BI1054" s="232"/>
      <c r="BJ1054" s="232"/>
      <c r="BK1054" s="232"/>
      <c r="BL1054" s="232"/>
      <c r="BM1054" s="232"/>
      <c r="BN1054" s="232"/>
      <c r="BO1054" s="232"/>
      <c r="BP1054" s="232"/>
      <c r="BQ1054" s="232"/>
      <c r="BR1054" s="232"/>
      <c r="BS1054" s="232"/>
      <c r="BT1054" s="232"/>
      <c r="BU1054" s="232"/>
      <c r="BV1054" s="232"/>
      <c r="BW1054" s="232"/>
      <c r="BX1054" s="232"/>
      <c r="BY1054" s="232"/>
      <c r="BZ1054" s="232"/>
      <c r="CA1054" s="232"/>
      <c r="CB1054" s="232"/>
      <c r="CC1054" s="232"/>
      <c r="CD1054" s="232"/>
      <c r="CE1054" s="232"/>
      <c r="CF1054" s="232"/>
      <c r="CG1054" s="232"/>
      <c r="CH1054" s="232"/>
      <c r="CI1054" s="232"/>
      <c r="CJ1054" s="232"/>
      <c r="CK1054" s="232"/>
      <c r="CL1054" s="232"/>
      <c r="CM1054" s="232"/>
      <c r="CN1054" s="215"/>
      <c r="CO1054" s="215"/>
      <c r="CP1054" s="215"/>
      <c r="CQ1054" s="215"/>
      <c r="CR1054" s="215"/>
      <c r="CS1054" s="215"/>
      <c r="CT1054" s="215"/>
    </row>
    <row r="1055" ht="24.0" customHeight="1">
      <c r="A1055" s="287"/>
      <c r="B1055" s="287"/>
      <c r="C1055" s="287"/>
      <c r="D1055" s="232"/>
      <c r="E1055" s="232"/>
      <c r="F1055" s="232"/>
      <c r="G1055" s="232"/>
      <c r="H1055" s="232"/>
      <c r="I1055" s="232"/>
      <c r="J1055" s="232"/>
      <c r="K1055" s="232"/>
      <c r="L1055" s="232"/>
      <c r="M1055" s="232"/>
      <c r="N1055" s="289"/>
      <c r="O1055" s="232"/>
      <c r="P1055" s="232"/>
      <c r="Q1055" s="232"/>
      <c r="R1055" s="232"/>
      <c r="S1055" s="232"/>
      <c r="T1055" s="232"/>
      <c r="U1055" s="232"/>
      <c r="V1055" s="232"/>
      <c r="W1055" s="232"/>
      <c r="X1055" s="232"/>
      <c r="Y1055" s="232"/>
      <c r="Z1055" s="232"/>
      <c r="AA1055" s="232"/>
      <c r="AB1055" s="232"/>
      <c r="AC1055" s="232"/>
      <c r="AD1055" s="232"/>
      <c r="AE1055" s="232"/>
      <c r="AF1055" s="232"/>
      <c r="AG1055" s="232"/>
      <c r="AH1055" s="232"/>
      <c r="AI1055" s="232"/>
      <c r="AJ1055" s="232"/>
      <c r="AK1055" s="232"/>
      <c r="AL1055" s="232"/>
      <c r="AM1055" s="232"/>
      <c r="AN1055" s="232"/>
      <c r="AO1055" s="232"/>
      <c r="AP1055" s="232"/>
      <c r="AQ1055" s="232"/>
      <c r="AR1055" s="232"/>
      <c r="AS1055" s="232"/>
      <c r="AT1055" s="232"/>
      <c r="AU1055" s="232"/>
      <c r="AV1055" s="232"/>
      <c r="AW1055" s="232"/>
      <c r="AX1055" s="232"/>
      <c r="AY1055" s="232"/>
      <c r="AZ1055" s="232"/>
      <c r="BA1055" s="232"/>
      <c r="BB1055" s="232"/>
      <c r="BC1055" s="232"/>
      <c r="BD1055" s="232"/>
      <c r="BE1055" s="232"/>
      <c r="BF1055" s="232"/>
      <c r="BG1055" s="232"/>
      <c r="BH1055" s="232"/>
      <c r="BI1055" s="232"/>
      <c r="BJ1055" s="232"/>
      <c r="BK1055" s="232"/>
      <c r="BL1055" s="232"/>
      <c r="BM1055" s="232"/>
      <c r="BN1055" s="232"/>
      <c r="BO1055" s="232"/>
      <c r="BP1055" s="232"/>
      <c r="BQ1055" s="232"/>
      <c r="BR1055" s="232"/>
      <c r="BS1055" s="232"/>
      <c r="BT1055" s="232"/>
      <c r="BU1055" s="232"/>
      <c r="BV1055" s="232"/>
      <c r="BW1055" s="232"/>
      <c r="BX1055" s="232"/>
      <c r="BY1055" s="232"/>
      <c r="BZ1055" s="232"/>
      <c r="CA1055" s="232"/>
      <c r="CB1055" s="232"/>
      <c r="CC1055" s="232"/>
      <c r="CD1055" s="232"/>
      <c r="CE1055" s="232"/>
      <c r="CF1055" s="232"/>
      <c r="CG1055" s="232"/>
      <c r="CH1055" s="232"/>
      <c r="CI1055" s="232"/>
      <c r="CJ1055" s="232"/>
      <c r="CK1055" s="232"/>
      <c r="CL1055" s="232"/>
      <c r="CM1055" s="232"/>
      <c r="CN1055" s="215"/>
      <c r="CO1055" s="215"/>
      <c r="CP1055" s="215"/>
      <c r="CQ1055" s="215"/>
      <c r="CR1055" s="215"/>
      <c r="CS1055" s="215"/>
      <c r="CT1055" s="215"/>
    </row>
    <row r="1056" ht="24.0" customHeight="1">
      <c r="A1056" s="287"/>
      <c r="B1056" s="287"/>
      <c r="C1056" s="287"/>
      <c r="D1056" s="232"/>
      <c r="E1056" s="232"/>
      <c r="F1056" s="232"/>
      <c r="G1056" s="232"/>
      <c r="H1056" s="232"/>
      <c r="I1056" s="232"/>
      <c r="J1056" s="232"/>
      <c r="K1056" s="232"/>
      <c r="L1056" s="232"/>
      <c r="M1056" s="232"/>
      <c r="N1056" s="289"/>
      <c r="O1056" s="232"/>
      <c r="P1056" s="232"/>
      <c r="Q1056" s="232"/>
      <c r="R1056" s="232"/>
      <c r="S1056" s="232"/>
      <c r="T1056" s="232"/>
      <c r="U1056" s="232"/>
      <c r="V1056" s="232"/>
      <c r="W1056" s="232"/>
      <c r="X1056" s="232"/>
      <c r="Y1056" s="232"/>
      <c r="Z1056" s="232"/>
      <c r="AA1056" s="232"/>
      <c r="AB1056" s="232"/>
      <c r="AC1056" s="232"/>
      <c r="AD1056" s="232"/>
      <c r="AE1056" s="232"/>
      <c r="AF1056" s="232"/>
      <c r="AG1056" s="232"/>
      <c r="AH1056" s="232"/>
      <c r="AI1056" s="232"/>
      <c r="AJ1056" s="232"/>
      <c r="AK1056" s="232"/>
      <c r="AL1056" s="232"/>
      <c r="AM1056" s="232"/>
      <c r="AN1056" s="232"/>
      <c r="AO1056" s="232"/>
      <c r="AP1056" s="232"/>
      <c r="AQ1056" s="232"/>
      <c r="AR1056" s="232"/>
      <c r="AS1056" s="232"/>
      <c r="AT1056" s="232"/>
      <c r="AU1056" s="232"/>
      <c r="AV1056" s="232"/>
      <c r="AW1056" s="232"/>
      <c r="AX1056" s="232"/>
      <c r="AY1056" s="232"/>
      <c r="AZ1056" s="232"/>
      <c r="BA1056" s="232"/>
      <c r="BB1056" s="232"/>
      <c r="BC1056" s="232"/>
      <c r="BD1056" s="232"/>
      <c r="BE1056" s="232"/>
      <c r="BF1056" s="232"/>
      <c r="BG1056" s="232"/>
      <c r="BH1056" s="232"/>
      <c r="BI1056" s="232"/>
      <c r="BJ1056" s="232"/>
      <c r="BK1056" s="232"/>
      <c r="BL1056" s="232"/>
      <c r="BM1056" s="232"/>
      <c r="BN1056" s="232"/>
      <c r="BO1056" s="232"/>
      <c r="BP1056" s="232"/>
      <c r="BQ1056" s="232"/>
      <c r="BR1056" s="232"/>
      <c r="BS1056" s="232"/>
      <c r="BT1056" s="232"/>
      <c r="BU1056" s="232"/>
      <c r="BV1056" s="232"/>
      <c r="BW1056" s="232"/>
      <c r="BX1056" s="232"/>
      <c r="BY1056" s="232"/>
      <c r="BZ1056" s="232"/>
      <c r="CA1056" s="232"/>
      <c r="CB1056" s="232"/>
      <c r="CC1056" s="232"/>
      <c r="CD1056" s="232"/>
      <c r="CE1056" s="232"/>
      <c r="CF1056" s="232"/>
      <c r="CG1056" s="232"/>
      <c r="CH1056" s="232"/>
      <c r="CI1056" s="232"/>
      <c r="CJ1056" s="232"/>
      <c r="CK1056" s="232"/>
      <c r="CL1056" s="232"/>
      <c r="CM1056" s="232"/>
      <c r="CN1056" s="215"/>
      <c r="CO1056" s="215"/>
      <c r="CP1056" s="215"/>
      <c r="CQ1056" s="215"/>
      <c r="CR1056" s="215"/>
      <c r="CS1056" s="215"/>
      <c r="CT1056" s="215"/>
    </row>
    <row r="1057" ht="24.0" customHeight="1">
      <c r="A1057" s="287"/>
      <c r="B1057" s="287"/>
      <c r="C1057" s="287"/>
      <c r="D1057" s="232"/>
      <c r="E1057" s="232"/>
      <c r="F1057" s="232"/>
      <c r="G1057" s="232"/>
      <c r="H1057" s="232"/>
      <c r="I1057" s="232"/>
      <c r="J1057" s="232"/>
      <c r="K1057" s="232"/>
      <c r="L1057" s="232"/>
      <c r="M1057" s="232"/>
      <c r="N1057" s="289"/>
      <c r="O1057" s="232"/>
      <c r="P1057" s="232"/>
      <c r="Q1057" s="232"/>
      <c r="R1057" s="232"/>
      <c r="S1057" s="232"/>
      <c r="T1057" s="232"/>
      <c r="U1057" s="232"/>
      <c r="V1057" s="232"/>
      <c r="W1057" s="232"/>
      <c r="X1057" s="232"/>
      <c r="Y1057" s="232"/>
      <c r="Z1057" s="232"/>
      <c r="AA1057" s="232"/>
      <c r="AB1057" s="232"/>
      <c r="AC1057" s="232"/>
      <c r="AD1057" s="232"/>
      <c r="AE1057" s="232"/>
      <c r="AF1057" s="232"/>
      <c r="AG1057" s="232"/>
      <c r="AH1057" s="232"/>
      <c r="AI1057" s="232"/>
      <c r="AJ1057" s="232"/>
      <c r="AK1057" s="232"/>
      <c r="AL1057" s="232"/>
      <c r="AM1057" s="232"/>
      <c r="AN1057" s="232"/>
      <c r="AO1057" s="232"/>
      <c r="AP1057" s="232"/>
      <c r="AQ1057" s="232"/>
      <c r="AR1057" s="232"/>
      <c r="AS1057" s="232"/>
      <c r="AT1057" s="232"/>
      <c r="AU1057" s="232"/>
      <c r="AV1057" s="232"/>
      <c r="AW1057" s="232"/>
      <c r="AX1057" s="232"/>
      <c r="AY1057" s="232"/>
      <c r="AZ1057" s="232"/>
      <c r="BA1057" s="232"/>
      <c r="BB1057" s="232"/>
      <c r="BC1057" s="232"/>
      <c r="BD1057" s="232"/>
      <c r="BE1057" s="232"/>
      <c r="BF1057" s="232"/>
      <c r="BG1057" s="232"/>
      <c r="BH1057" s="232"/>
      <c r="BI1057" s="232"/>
      <c r="BJ1057" s="232"/>
      <c r="BK1057" s="232"/>
      <c r="BL1057" s="232"/>
      <c r="BM1057" s="232"/>
      <c r="BN1057" s="232"/>
      <c r="BO1057" s="232"/>
      <c r="BP1057" s="232"/>
      <c r="BQ1057" s="232"/>
      <c r="BR1057" s="232"/>
      <c r="BS1057" s="232"/>
      <c r="BT1057" s="232"/>
      <c r="BU1057" s="232"/>
      <c r="BV1057" s="232"/>
      <c r="BW1057" s="232"/>
      <c r="BX1057" s="232"/>
      <c r="BY1057" s="232"/>
      <c r="BZ1057" s="232"/>
      <c r="CA1057" s="232"/>
      <c r="CB1057" s="232"/>
      <c r="CC1057" s="232"/>
      <c r="CD1057" s="232"/>
      <c r="CE1057" s="232"/>
      <c r="CF1057" s="232"/>
      <c r="CG1057" s="232"/>
      <c r="CH1057" s="232"/>
      <c r="CI1057" s="232"/>
      <c r="CJ1057" s="232"/>
      <c r="CK1057" s="232"/>
      <c r="CL1057" s="232"/>
      <c r="CM1057" s="232"/>
      <c r="CN1057" s="215"/>
      <c r="CO1057" s="215"/>
      <c r="CP1057" s="215"/>
      <c r="CQ1057" s="215"/>
      <c r="CR1057" s="215"/>
      <c r="CS1057" s="215"/>
      <c r="CT1057" s="215"/>
    </row>
    <row r="1058" ht="24.0" customHeight="1">
      <c r="A1058" s="287"/>
      <c r="B1058" s="287"/>
      <c r="C1058" s="287"/>
      <c r="D1058" s="232"/>
      <c r="E1058" s="232"/>
      <c r="F1058" s="232"/>
      <c r="G1058" s="232"/>
      <c r="H1058" s="232"/>
      <c r="I1058" s="232"/>
      <c r="J1058" s="232"/>
      <c r="K1058" s="232"/>
      <c r="L1058" s="232"/>
      <c r="M1058" s="232"/>
      <c r="N1058" s="289"/>
      <c r="O1058" s="232"/>
      <c r="P1058" s="232"/>
      <c r="Q1058" s="232"/>
      <c r="R1058" s="232"/>
      <c r="S1058" s="232"/>
      <c r="T1058" s="232"/>
      <c r="U1058" s="232"/>
      <c r="V1058" s="232"/>
      <c r="W1058" s="232"/>
      <c r="X1058" s="232"/>
      <c r="Y1058" s="232"/>
      <c r="Z1058" s="232"/>
      <c r="AA1058" s="232"/>
      <c r="AB1058" s="232"/>
      <c r="AC1058" s="232"/>
      <c r="AD1058" s="232"/>
      <c r="AE1058" s="232"/>
      <c r="AF1058" s="232"/>
      <c r="AG1058" s="232"/>
      <c r="AH1058" s="232"/>
      <c r="AI1058" s="232"/>
      <c r="AJ1058" s="232"/>
      <c r="AK1058" s="232"/>
      <c r="AL1058" s="232"/>
      <c r="AM1058" s="232"/>
      <c r="AN1058" s="232"/>
      <c r="AO1058" s="232"/>
      <c r="AP1058" s="232"/>
      <c r="AQ1058" s="232"/>
      <c r="AR1058" s="232"/>
      <c r="AS1058" s="232"/>
      <c r="AT1058" s="232"/>
      <c r="AU1058" s="232"/>
      <c r="AV1058" s="232"/>
      <c r="AW1058" s="232"/>
      <c r="AX1058" s="232"/>
      <c r="AY1058" s="232"/>
      <c r="AZ1058" s="232"/>
      <c r="BA1058" s="232"/>
      <c r="BB1058" s="232"/>
      <c r="BC1058" s="232"/>
      <c r="BD1058" s="232"/>
      <c r="BE1058" s="232"/>
      <c r="BF1058" s="232"/>
      <c r="BG1058" s="232"/>
      <c r="BH1058" s="232"/>
      <c r="BI1058" s="232"/>
      <c r="BJ1058" s="232"/>
      <c r="BK1058" s="232"/>
      <c r="BL1058" s="232"/>
      <c r="BM1058" s="232"/>
      <c r="BN1058" s="232"/>
      <c r="BO1058" s="232"/>
      <c r="BP1058" s="232"/>
      <c r="BQ1058" s="232"/>
      <c r="BR1058" s="232"/>
      <c r="BS1058" s="232"/>
      <c r="BT1058" s="232"/>
      <c r="BU1058" s="232"/>
      <c r="BV1058" s="232"/>
      <c r="BW1058" s="232"/>
      <c r="BX1058" s="232"/>
      <c r="BY1058" s="232"/>
      <c r="BZ1058" s="232"/>
      <c r="CA1058" s="232"/>
      <c r="CB1058" s="232"/>
      <c r="CC1058" s="232"/>
      <c r="CD1058" s="232"/>
      <c r="CE1058" s="232"/>
      <c r="CF1058" s="232"/>
      <c r="CG1058" s="232"/>
      <c r="CH1058" s="232"/>
      <c r="CI1058" s="232"/>
      <c r="CJ1058" s="232"/>
      <c r="CK1058" s="232"/>
      <c r="CL1058" s="232"/>
      <c r="CM1058" s="232"/>
      <c r="CN1058" s="215"/>
      <c r="CO1058" s="215"/>
      <c r="CP1058" s="215"/>
      <c r="CQ1058" s="215"/>
      <c r="CR1058" s="215"/>
      <c r="CS1058" s="215"/>
      <c r="CT1058" s="215"/>
    </row>
    <row r="1059" ht="24.0" customHeight="1">
      <c r="A1059" s="287"/>
      <c r="B1059" s="287"/>
      <c r="C1059" s="287"/>
      <c r="D1059" s="232"/>
      <c r="E1059" s="232"/>
      <c r="F1059" s="232"/>
      <c r="G1059" s="232"/>
      <c r="H1059" s="232"/>
      <c r="I1059" s="232"/>
      <c r="J1059" s="232"/>
      <c r="K1059" s="232"/>
      <c r="L1059" s="232"/>
      <c r="M1059" s="232"/>
      <c r="N1059" s="289"/>
      <c r="O1059" s="232"/>
      <c r="P1059" s="232"/>
      <c r="Q1059" s="232"/>
      <c r="R1059" s="232"/>
      <c r="S1059" s="232"/>
      <c r="T1059" s="232"/>
      <c r="U1059" s="232"/>
      <c r="V1059" s="232"/>
      <c r="W1059" s="232"/>
      <c r="X1059" s="232"/>
      <c r="Y1059" s="232"/>
      <c r="Z1059" s="232"/>
      <c r="AA1059" s="232"/>
      <c r="AB1059" s="232"/>
      <c r="AC1059" s="232"/>
      <c r="AD1059" s="232"/>
      <c r="AE1059" s="232"/>
      <c r="AF1059" s="232"/>
      <c r="AG1059" s="232"/>
      <c r="AH1059" s="232"/>
      <c r="AI1059" s="232"/>
      <c r="AJ1059" s="232"/>
      <c r="AK1059" s="232"/>
      <c r="AL1059" s="232"/>
      <c r="AM1059" s="232"/>
      <c r="AN1059" s="232"/>
      <c r="AO1059" s="232"/>
      <c r="AP1059" s="232"/>
      <c r="AQ1059" s="232"/>
      <c r="AR1059" s="232"/>
      <c r="AS1059" s="232"/>
      <c r="AT1059" s="232"/>
      <c r="AU1059" s="232"/>
      <c r="AV1059" s="232"/>
      <c r="AW1059" s="232"/>
      <c r="AX1059" s="232"/>
      <c r="AY1059" s="232"/>
      <c r="AZ1059" s="232"/>
      <c r="BA1059" s="232"/>
      <c r="BB1059" s="232"/>
      <c r="BC1059" s="232"/>
      <c r="BD1059" s="232"/>
      <c r="BE1059" s="232"/>
      <c r="BF1059" s="232"/>
      <c r="BG1059" s="232"/>
      <c r="BH1059" s="232"/>
      <c r="BI1059" s="232"/>
      <c r="BJ1059" s="232"/>
      <c r="BK1059" s="232"/>
      <c r="BL1059" s="232"/>
      <c r="BM1059" s="232"/>
      <c r="BN1059" s="232"/>
      <c r="BO1059" s="232"/>
      <c r="BP1059" s="232"/>
      <c r="BQ1059" s="232"/>
      <c r="BR1059" s="232"/>
      <c r="BS1059" s="232"/>
      <c r="BT1059" s="232"/>
      <c r="BU1059" s="232"/>
      <c r="BV1059" s="232"/>
      <c r="BW1059" s="232"/>
      <c r="BX1059" s="232"/>
      <c r="BY1059" s="232"/>
      <c r="BZ1059" s="232"/>
      <c r="CA1059" s="232"/>
      <c r="CB1059" s="232"/>
      <c r="CC1059" s="232"/>
      <c r="CD1059" s="232"/>
      <c r="CE1059" s="232"/>
      <c r="CF1059" s="232"/>
      <c r="CG1059" s="232"/>
      <c r="CH1059" s="232"/>
      <c r="CI1059" s="232"/>
      <c r="CJ1059" s="232"/>
      <c r="CK1059" s="232"/>
      <c r="CL1059" s="232"/>
      <c r="CM1059" s="232"/>
      <c r="CN1059" s="215"/>
      <c r="CO1059" s="215"/>
      <c r="CP1059" s="215"/>
      <c r="CQ1059" s="215"/>
      <c r="CR1059" s="215"/>
      <c r="CS1059" s="215"/>
      <c r="CT1059" s="215"/>
    </row>
    <row r="1060" ht="24.0" customHeight="1">
      <c r="A1060" s="287"/>
      <c r="B1060" s="287"/>
      <c r="C1060" s="287"/>
      <c r="D1060" s="232"/>
      <c r="E1060" s="232"/>
      <c r="F1060" s="232"/>
      <c r="G1060" s="232"/>
      <c r="H1060" s="232"/>
      <c r="I1060" s="232"/>
      <c r="J1060" s="232"/>
      <c r="K1060" s="232"/>
      <c r="L1060" s="232"/>
      <c r="M1060" s="232"/>
      <c r="N1060" s="289"/>
      <c r="O1060" s="232"/>
      <c r="P1060" s="232"/>
      <c r="Q1060" s="232"/>
      <c r="R1060" s="232"/>
      <c r="S1060" s="232"/>
      <c r="T1060" s="232"/>
      <c r="U1060" s="232"/>
      <c r="V1060" s="232"/>
      <c r="W1060" s="232"/>
      <c r="X1060" s="232"/>
      <c r="Y1060" s="232"/>
      <c r="Z1060" s="232"/>
      <c r="AA1060" s="232"/>
      <c r="AB1060" s="232"/>
      <c r="AC1060" s="232"/>
      <c r="AD1060" s="232"/>
      <c r="AE1060" s="232"/>
      <c r="AF1060" s="232"/>
      <c r="AG1060" s="232"/>
      <c r="AH1060" s="232"/>
      <c r="AI1060" s="232"/>
      <c r="AJ1060" s="232"/>
      <c r="AK1060" s="232"/>
      <c r="AL1060" s="232"/>
      <c r="AM1060" s="232"/>
      <c r="AN1060" s="232"/>
      <c r="AO1060" s="232"/>
      <c r="AP1060" s="232"/>
      <c r="AQ1060" s="232"/>
      <c r="AR1060" s="232"/>
      <c r="AS1060" s="232"/>
      <c r="AT1060" s="232"/>
      <c r="AU1060" s="232"/>
      <c r="AV1060" s="232"/>
      <c r="AW1060" s="232"/>
      <c r="AX1060" s="232"/>
      <c r="AY1060" s="232"/>
      <c r="AZ1060" s="232"/>
      <c r="BA1060" s="232"/>
      <c r="BB1060" s="232"/>
      <c r="BC1060" s="232"/>
      <c r="BD1060" s="232"/>
      <c r="BE1060" s="232"/>
      <c r="BF1060" s="232"/>
      <c r="BG1060" s="232"/>
      <c r="BH1060" s="232"/>
      <c r="BI1060" s="232"/>
      <c r="BJ1060" s="232"/>
      <c r="BK1060" s="232"/>
      <c r="BL1060" s="232"/>
      <c r="BM1060" s="232"/>
      <c r="BN1060" s="232"/>
      <c r="BO1060" s="232"/>
      <c r="BP1060" s="232"/>
      <c r="BQ1060" s="232"/>
      <c r="BR1060" s="232"/>
      <c r="BS1060" s="232"/>
      <c r="BT1060" s="232"/>
      <c r="BU1060" s="232"/>
      <c r="BV1060" s="232"/>
      <c r="BW1060" s="232"/>
      <c r="BX1060" s="232"/>
      <c r="BY1060" s="232"/>
      <c r="BZ1060" s="232"/>
      <c r="CA1060" s="232"/>
      <c r="CB1060" s="232"/>
      <c r="CC1060" s="232"/>
      <c r="CD1060" s="232"/>
      <c r="CE1060" s="232"/>
      <c r="CF1060" s="232"/>
      <c r="CG1060" s="232"/>
      <c r="CH1060" s="232"/>
      <c r="CI1060" s="232"/>
      <c r="CJ1060" s="232"/>
      <c r="CK1060" s="232"/>
      <c r="CL1060" s="232"/>
      <c r="CM1060" s="232"/>
      <c r="CN1060" s="215"/>
      <c r="CO1060" s="215"/>
      <c r="CP1060" s="215"/>
      <c r="CQ1060" s="215"/>
      <c r="CR1060" s="215"/>
      <c r="CS1060" s="215"/>
      <c r="CT1060" s="215"/>
    </row>
    <row r="1061" ht="24.0" customHeight="1">
      <c r="A1061" s="287"/>
      <c r="B1061" s="287"/>
      <c r="C1061" s="287"/>
      <c r="D1061" s="232"/>
      <c r="E1061" s="232"/>
      <c r="F1061" s="232"/>
      <c r="G1061" s="232"/>
      <c r="H1061" s="232"/>
      <c r="I1061" s="232"/>
      <c r="J1061" s="232"/>
      <c r="K1061" s="232"/>
      <c r="L1061" s="232"/>
      <c r="M1061" s="232"/>
      <c r="N1061" s="289"/>
      <c r="O1061" s="232"/>
      <c r="P1061" s="232"/>
      <c r="Q1061" s="232"/>
      <c r="R1061" s="232"/>
      <c r="S1061" s="232"/>
      <c r="T1061" s="232"/>
      <c r="U1061" s="232"/>
      <c r="V1061" s="232"/>
      <c r="W1061" s="232"/>
      <c r="X1061" s="232"/>
      <c r="Y1061" s="232"/>
      <c r="Z1061" s="232"/>
      <c r="AA1061" s="232"/>
      <c r="AB1061" s="232"/>
      <c r="AC1061" s="232"/>
      <c r="AD1061" s="232"/>
      <c r="AE1061" s="232"/>
      <c r="AF1061" s="232"/>
      <c r="AG1061" s="232"/>
      <c r="AH1061" s="232"/>
      <c r="AI1061" s="232"/>
      <c r="AJ1061" s="232"/>
      <c r="AK1061" s="232"/>
      <c r="AL1061" s="232"/>
      <c r="AM1061" s="232"/>
      <c r="AN1061" s="232"/>
      <c r="AO1061" s="232"/>
      <c r="AP1061" s="232"/>
      <c r="AQ1061" s="232"/>
      <c r="AR1061" s="232"/>
      <c r="AS1061" s="232"/>
      <c r="AT1061" s="232"/>
      <c r="AU1061" s="232"/>
      <c r="AV1061" s="232"/>
      <c r="AW1061" s="232"/>
      <c r="AX1061" s="232"/>
      <c r="AY1061" s="232"/>
      <c r="AZ1061" s="232"/>
      <c r="BA1061" s="232"/>
      <c r="BB1061" s="232"/>
      <c r="BC1061" s="232"/>
      <c r="BD1061" s="232"/>
      <c r="BE1061" s="232"/>
      <c r="BF1061" s="232"/>
      <c r="BG1061" s="232"/>
      <c r="BH1061" s="232"/>
      <c r="BI1061" s="232"/>
      <c r="BJ1061" s="232"/>
      <c r="BK1061" s="232"/>
      <c r="BL1061" s="232"/>
      <c r="BM1061" s="232"/>
      <c r="BN1061" s="232"/>
      <c r="BO1061" s="232"/>
      <c r="BP1061" s="232"/>
      <c r="BQ1061" s="232"/>
      <c r="BR1061" s="232"/>
      <c r="BS1061" s="232"/>
      <c r="BT1061" s="232"/>
      <c r="BU1061" s="232"/>
      <c r="BV1061" s="232"/>
      <c r="BW1061" s="232"/>
      <c r="BX1061" s="232"/>
      <c r="BY1061" s="232"/>
      <c r="BZ1061" s="232"/>
      <c r="CA1061" s="232"/>
      <c r="CB1061" s="232"/>
      <c r="CC1061" s="232"/>
      <c r="CD1061" s="232"/>
      <c r="CE1061" s="232"/>
      <c r="CF1061" s="232"/>
      <c r="CG1061" s="232"/>
      <c r="CH1061" s="232"/>
      <c r="CI1061" s="232"/>
      <c r="CJ1061" s="232"/>
      <c r="CK1061" s="232"/>
      <c r="CL1061" s="232"/>
      <c r="CM1061" s="232"/>
      <c r="CN1061" s="215"/>
      <c r="CO1061" s="215"/>
      <c r="CP1061" s="215"/>
      <c r="CQ1061" s="215"/>
      <c r="CR1061" s="215"/>
      <c r="CS1061" s="215"/>
      <c r="CT1061" s="215"/>
    </row>
    <row r="1062" ht="24.0" customHeight="1">
      <c r="A1062" s="287"/>
      <c r="B1062" s="287"/>
      <c r="C1062" s="287"/>
      <c r="D1062" s="232"/>
      <c r="E1062" s="232"/>
      <c r="F1062" s="232"/>
      <c r="G1062" s="232"/>
      <c r="H1062" s="232"/>
      <c r="I1062" s="232"/>
      <c r="J1062" s="232"/>
      <c r="K1062" s="232"/>
      <c r="L1062" s="232"/>
      <c r="M1062" s="232"/>
      <c r="N1062" s="289"/>
      <c r="O1062" s="232"/>
      <c r="P1062" s="232"/>
      <c r="Q1062" s="232"/>
      <c r="R1062" s="232"/>
      <c r="S1062" s="232"/>
      <c r="T1062" s="232"/>
      <c r="U1062" s="232"/>
      <c r="V1062" s="232"/>
      <c r="W1062" s="232"/>
      <c r="X1062" s="232"/>
      <c r="Y1062" s="232"/>
      <c r="Z1062" s="232"/>
      <c r="AA1062" s="232"/>
      <c r="AB1062" s="232"/>
      <c r="AC1062" s="232"/>
      <c r="AD1062" s="232"/>
      <c r="AE1062" s="232"/>
      <c r="AF1062" s="232"/>
      <c r="AG1062" s="232"/>
      <c r="AH1062" s="232"/>
      <c r="AI1062" s="232"/>
      <c r="AJ1062" s="232"/>
      <c r="AK1062" s="232"/>
      <c r="AL1062" s="232"/>
      <c r="AM1062" s="232"/>
      <c r="AN1062" s="232"/>
      <c r="AO1062" s="232"/>
      <c r="AP1062" s="232"/>
      <c r="AQ1062" s="232"/>
      <c r="AR1062" s="232"/>
      <c r="AS1062" s="232"/>
      <c r="AT1062" s="232"/>
      <c r="AU1062" s="232"/>
      <c r="AV1062" s="232"/>
      <c r="AW1062" s="232"/>
      <c r="AX1062" s="232"/>
      <c r="AY1062" s="232"/>
      <c r="AZ1062" s="232"/>
      <c r="BA1062" s="232"/>
      <c r="BB1062" s="232"/>
      <c r="BC1062" s="232"/>
      <c r="BD1062" s="232"/>
      <c r="BE1062" s="232"/>
      <c r="BF1062" s="232"/>
      <c r="BG1062" s="232"/>
      <c r="BH1062" s="232"/>
      <c r="BI1062" s="232"/>
      <c r="BJ1062" s="232"/>
      <c r="BK1062" s="232"/>
      <c r="BL1062" s="232"/>
      <c r="BM1062" s="232"/>
      <c r="BN1062" s="232"/>
      <c r="BO1062" s="232"/>
      <c r="BP1062" s="232"/>
      <c r="BQ1062" s="232"/>
      <c r="BR1062" s="232"/>
      <c r="BS1062" s="232"/>
      <c r="BT1062" s="232"/>
      <c r="BU1062" s="232"/>
      <c r="BV1062" s="232"/>
      <c r="BW1062" s="232"/>
      <c r="BX1062" s="232"/>
      <c r="BY1062" s="232"/>
      <c r="BZ1062" s="232"/>
      <c r="CA1062" s="232"/>
      <c r="CB1062" s="232"/>
      <c r="CC1062" s="232"/>
      <c r="CD1062" s="232"/>
      <c r="CE1062" s="232"/>
      <c r="CF1062" s="232"/>
      <c r="CG1062" s="232"/>
      <c r="CH1062" s="232"/>
      <c r="CI1062" s="232"/>
      <c r="CJ1062" s="232"/>
      <c r="CK1062" s="232"/>
      <c r="CL1062" s="232"/>
      <c r="CM1062" s="232"/>
      <c r="CN1062" s="215"/>
      <c r="CO1062" s="215"/>
      <c r="CP1062" s="215"/>
      <c r="CQ1062" s="215"/>
      <c r="CR1062" s="215"/>
      <c r="CS1062" s="215"/>
      <c r="CT1062" s="215"/>
    </row>
    <row r="1063" ht="24.0" customHeight="1">
      <c r="A1063" s="287"/>
      <c r="B1063" s="287"/>
      <c r="C1063" s="287"/>
      <c r="D1063" s="232"/>
      <c r="E1063" s="232"/>
      <c r="F1063" s="232"/>
      <c r="G1063" s="232"/>
      <c r="H1063" s="232"/>
      <c r="I1063" s="232"/>
      <c r="J1063" s="232"/>
      <c r="K1063" s="232"/>
      <c r="L1063" s="232"/>
      <c r="M1063" s="232"/>
      <c r="N1063" s="289"/>
      <c r="O1063" s="232"/>
      <c r="P1063" s="232"/>
      <c r="Q1063" s="232"/>
      <c r="R1063" s="232"/>
      <c r="S1063" s="232"/>
      <c r="T1063" s="232"/>
      <c r="U1063" s="232"/>
      <c r="V1063" s="232"/>
      <c r="W1063" s="232"/>
      <c r="X1063" s="232"/>
      <c r="Y1063" s="232"/>
      <c r="Z1063" s="232"/>
      <c r="AA1063" s="232"/>
      <c r="AB1063" s="232"/>
      <c r="AC1063" s="232"/>
      <c r="AD1063" s="232"/>
      <c r="AE1063" s="232"/>
      <c r="AF1063" s="232"/>
      <c r="AG1063" s="232"/>
      <c r="AH1063" s="232"/>
      <c r="AI1063" s="232"/>
      <c r="AJ1063" s="232"/>
      <c r="AK1063" s="232"/>
      <c r="AL1063" s="232"/>
      <c r="AM1063" s="232"/>
      <c r="AN1063" s="232"/>
      <c r="AO1063" s="232"/>
      <c r="AP1063" s="232"/>
      <c r="AQ1063" s="232"/>
      <c r="AR1063" s="232"/>
      <c r="AS1063" s="232"/>
      <c r="AT1063" s="232"/>
      <c r="AU1063" s="232"/>
      <c r="AV1063" s="232"/>
      <c r="AW1063" s="232"/>
      <c r="AX1063" s="232"/>
      <c r="AY1063" s="232"/>
      <c r="AZ1063" s="232"/>
      <c r="BA1063" s="232"/>
      <c r="BB1063" s="232"/>
      <c r="BC1063" s="232"/>
      <c r="BD1063" s="232"/>
      <c r="BE1063" s="232"/>
      <c r="BF1063" s="232"/>
      <c r="BG1063" s="232"/>
      <c r="BH1063" s="232"/>
      <c r="BI1063" s="232"/>
      <c r="BJ1063" s="232"/>
      <c r="BK1063" s="232"/>
      <c r="BL1063" s="232"/>
      <c r="BM1063" s="232"/>
      <c r="BN1063" s="232"/>
      <c r="BO1063" s="232"/>
      <c r="BP1063" s="232"/>
      <c r="BQ1063" s="232"/>
      <c r="BR1063" s="232"/>
      <c r="BS1063" s="232"/>
      <c r="BT1063" s="232"/>
      <c r="BU1063" s="232"/>
      <c r="BV1063" s="232"/>
      <c r="BW1063" s="232"/>
      <c r="BX1063" s="232"/>
      <c r="BY1063" s="232"/>
      <c r="BZ1063" s="232"/>
      <c r="CA1063" s="232"/>
      <c r="CB1063" s="232"/>
      <c r="CC1063" s="232"/>
      <c r="CD1063" s="232"/>
      <c r="CE1063" s="232"/>
      <c r="CF1063" s="232"/>
      <c r="CG1063" s="232"/>
      <c r="CH1063" s="232"/>
      <c r="CI1063" s="232"/>
      <c r="CJ1063" s="232"/>
      <c r="CK1063" s="232"/>
      <c r="CL1063" s="232"/>
      <c r="CM1063" s="232"/>
      <c r="CN1063" s="215"/>
      <c r="CO1063" s="215"/>
      <c r="CP1063" s="215"/>
      <c r="CQ1063" s="215"/>
      <c r="CR1063" s="215"/>
      <c r="CS1063" s="215"/>
      <c r="CT1063" s="215"/>
    </row>
    <row r="1064" ht="24.0" customHeight="1">
      <c r="A1064" s="287"/>
      <c r="B1064" s="287"/>
      <c r="C1064" s="287"/>
      <c r="D1064" s="232"/>
      <c r="E1064" s="232"/>
      <c r="F1064" s="232"/>
      <c r="G1064" s="232"/>
      <c r="H1064" s="232"/>
      <c r="I1064" s="232"/>
      <c r="J1064" s="232"/>
      <c r="K1064" s="232"/>
      <c r="L1064" s="232"/>
      <c r="M1064" s="232"/>
      <c r="N1064" s="289"/>
      <c r="O1064" s="232"/>
      <c r="P1064" s="232"/>
      <c r="Q1064" s="232"/>
      <c r="R1064" s="232"/>
      <c r="S1064" s="232"/>
      <c r="T1064" s="232"/>
      <c r="U1064" s="232"/>
      <c r="V1064" s="232"/>
      <c r="W1064" s="232"/>
      <c r="X1064" s="232"/>
      <c r="Y1064" s="232"/>
      <c r="Z1064" s="232"/>
      <c r="AA1064" s="232"/>
      <c r="AB1064" s="232"/>
      <c r="AC1064" s="232"/>
      <c r="AD1064" s="232"/>
      <c r="AE1064" s="232"/>
      <c r="AF1064" s="232"/>
      <c r="AG1064" s="232"/>
      <c r="AH1064" s="232"/>
      <c r="AI1064" s="232"/>
      <c r="AJ1064" s="232"/>
      <c r="AK1064" s="232"/>
      <c r="AL1064" s="232"/>
      <c r="AM1064" s="232"/>
      <c r="AN1064" s="232"/>
      <c r="AO1064" s="232"/>
      <c r="AP1064" s="232"/>
      <c r="AQ1064" s="232"/>
      <c r="AR1064" s="232"/>
      <c r="AS1064" s="232"/>
      <c r="AT1064" s="232"/>
      <c r="AU1064" s="232"/>
      <c r="AV1064" s="232"/>
      <c r="AW1064" s="232"/>
      <c r="AX1064" s="232"/>
      <c r="AY1064" s="232"/>
      <c r="AZ1064" s="232"/>
      <c r="BA1064" s="232"/>
      <c r="BB1064" s="232"/>
      <c r="BC1064" s="232"/>
      <c r="BD1064" s="232"/>
      <c r="BE1064" s="232"/>
      <c r="BF1064" s="232"/>
      <c r="BG1064" s="232"/>
      <c r="BH1064" s="232"/>
      <c r="BI1064" s="232"/>
      <c r="BJ1064" s="232"/>
      <c r="BK1064" s="232"/>
      <c r="BL1064" s="232"/>
      <c r="BM1064" s="232"/>
      <c r="BN1064" s="232"/>
      <c r="BO1064" s="232"/>
      <c r="BP1064" s="232"/>
      <c r="BQ1064" s="232"/>
      <c r="BR1064" s="232"/>
      <c r="BS1064" s="232"/>
      <c r="BT1064" s="232"/>
      <c r="BU1064" s="232"/>
      <c r="BV1064" s="232"/>
      <c r="BW1064" s="232"/>
      <c r="BX1064" s="232"/>
      <c r="BY1064" s="232"/>
      <c r="BZ1064" s="232"/>
      <c r="CA1064" s="232"/>
      <c r="CB1064" s="232"/>
      <c r="CC1064" s="232"/>
      <c r="CD1064" s="232"/>
      <c r="CE1064" s="232"/>
      <c r="CF1064" s="232"/>
      <c r="CG1064" s="232"/>
      <c r="CH1064" s="232"/>
      <c r="CI1064" s="232"/>
      <c r="CJ1064" s="232"/>
      <c r="CK1064" s="232"/>
      <c r="CL1064" s="232"/>
      <c r="CM1064" s="232"/>
      <c r="CN1064" s="215"/>
      <c r="CO1064" s="215"/>
      <c r="CP1064" s="215"/>
      <c r="CQ1064" s="215"/>
      <c r="CR1064" s="215"/>
      <c r="CS1064" s="215"/>
      <c r="CT1064" s="215"/>
    </row>
    <row r="1065" ht="24.0" customHeight="1">
      <c r="A1065" s="287"/>
      <c r="B1065" s="287"/>
      <c r="C1065" s="287"/>
      <c r="D1065" s="232"/>
      <c r="E1065" s="232"/>
      <c r="F1065" s="232"/>
      <c r="G1065" s="232"/>
      <c r="H1065" s="232"/>
      <c r="I1065" s="232"/>
      <c r="J1065" s="232"/>
      <c r="K1065" s="232"/>
      <c r="L1065" s="232"/>
      <c r="M1065" s="232"/>
      <c r="N1065" s="289"/>
      <c r="O1065" s="232"/>
      <c r="P1065" s="232"/>
      <c r="Q1065" s="232"/>
      <c r="R1065" s="232"/>
      <c r="S1065" s="232"/>
      <c r="T1065" s="232"/>
      <c r="U1065" s="232"/>
      <c r="V1065" s="232"/>
      <c r="W1065" s="232"/>
      <c r="X1065" s="232"/>
      <c r="Y1065" s="232"/>
      <c r="Z1065" s="232"/>
      <c r="AA1065" s="232"/>
      <c r="AB1065" s="232"/>
      <c r="AC1065" s="232"/>
      <c r="AD1065" s="232"/>
      <c r="AE1065" s="232"/>
      <c r="AF1065" s="232"/>
      <c r="AG1065" s="232"/>
      <c r="AH1065" s="232"/>
      <c r="AI1065" s="232"/>
      <c r="AJ1065" s="232"/>
      <c r="AK1065" s="232"/>
      <c r="AL1065" s="232"/>
      <c r="AM1065" s="232"/>
      <c r="AN1065" s="232"/>
      <c r="AO1065" s="232"/>
      <c r="AP1065" s="232"/>
      <c r="AQ1065" s="232"/>
      <c r="AR1065" s="232"/>
      <c r="AS1065" s="232"/>
      <c r="AT1065" s="232"/>
      <c r="AU1065" s="232"/>
      <c r="AV1065" s="232"/>
      <c r="AW1065" s="232"/>
      <c r="AX1065" s="232"/>
      <c r="AY1065" s="232"/>
      <c r="AZ1065" s="232"/>
      <c r="BA1065" s="232"/>
      <c r="BB1065" s="232"/>
      <c r="BC1065" s="232"/>
      <c r="BD1065" s="232"/>
      <c r="BE1065" s="232"/>
      <c r="BF1065" s="232"/>
      <c r="BG1065" s="232"/>
      <c r="BH1065" s="232"/>
      <c r="BI1065" s="232"/>
      <c r="BJ1065" s="232"/>
      <c r="BK1065" s="232"/>
      <c r="BL1065" s="232"/>
      <c r="BM1065" s="232"/>
      <c r="BN1065" s="232"/>
      <c r="BO1065" s="232"/>
      <c r="BP1065" s="232"/>
      <c r="BQ1065" s="232"/>
      <c r="BR1065" s="232"/>
      <c r="BS1065" s="232"/>
      <c r="BT1065" s="232"/>
      <c r="BU1065" s="232"/>
      <c r="BV1065" s="232"/>
      <c r="BW1065" s="232"/>
      <c r="BX1065" s="232"/>
      <c r="BY1065" s="232"/>
      <c r="BZ1065" s="232"/>
      <c r="CA1065" s="232"/>
      <c r="CB1065" s="232"/>
      <c r="CC1065" s="232"/>
      <c r="CD1065" s="232"/>
      <c r="CE1065" s="232"/>
      <c r="CF1065" s="232"/>
      <c r="CG1065" s="232"/>
      <c r="CH1065" s="232"/>
      <c r="CI1065" s="232"/>
      <c r="CJ1065" s="232"/>
      <c r="CK1065" s="232"/>
      <c r="CL1065" s="232"/>
      <c r="CM1065" s="232"/>
      <c r="CN1065" s="215"/>
      <c r="CO1065" s="215"/>
      <c r="CP1065" s="215"/>
      <c r="CQ1065" s="215"/>
      <c r="CR1065" s="215"/>
      <c r="CS1065" s="215"/>
      <c r="CT1065" s="215"/>
    </row>
    <row r="1066" ht="24.0" customHeight="1">
      <c r="A1066" s="287"/>
      <c r="B1066" s="287"/>
      <c r="C1066" s="287"/>
      <c r="D1066" s="232"/>
      <c r="E1066" s="232"/>
      <c r="F1066" s="232"/>
      <c r="G1066" s="232"/>
      <c r="H1066" s="232"/>
      <c r="I1066" s="232"/>
      <c r="J1066" s="232"/>
      <c r="K1066" s="232"/>
      <c r="L1066" s="232"/>
      <c r="M1066" s="232"/>
      <c r="N1066" s="289"/>
      <c r="O1066" s="232"/>
      <c r="P1066" s="232"/>
      <c r="Q1066" s="232"/>
      <c r="R1066" s="232"/>
      <c r="S1066" s="232"/>
      <c r="T1066" s="232"/>
      <c r="U1066" s="232"/>
      <c r="V1066" s="232"/>
      <c r="W1066" s="232"/>
      <c r="X1066" s="232"/>
      <c r="Y1066" s="232"/>
      <c r="Z1066" s="232"/>
      <c r="AA1066" s="232"/>
      <c r="AB1066" s="232"/>
      <c r="AC1066" s="232"/>
      <c r="AD1066" s="232"/>
      <c r="AE1066" s="232"/>
      <c r="AF1066" s="232"/>
      <c r="AG1066" s="232"/>
      <c r="AH1066" s="232"/>
      <c r="AI1066" s="232"/>
      <c r="AJ1066" s="232"/>
      <c r="AK1066" s="232"/>
      <c r="AL1066" s="232"/>
      <c r="AM1066" s="232"/>
      <c r="AN1066" s="232"/>
      <c r="AO1066" s="232"/>
      <c r="AP1066" s="232"/>
      <c r="AQ1066" s="232"/>
      <c r="AR1066" s="232"/>
      <c r="AS1066" s="232"/>
      <c r="AT1066" s="232"/>
      <c r="AU1066" s="232"/>
      <c r="AV1066" s="232"/>
      <c r="AW1066" s="232"/>
      <c r="AX1066" s="232"/>
      <c r="AY1066" s="232"/>
      <c r="AZ1066" s="232"/>
      <c r="BA1066" s="232"/>
      <c r="BB1066" s="232"/>
      <c r="BC1066" s="232"/>
      <c r="BD1066" s="232"/>
      <c r="BE1066" s="232"/>
      <c r="BF1066" s="232"/>
      <c r="BG1066" s="232"/>
      <c r="BH1066" s="232"/>
      <c r="BI1066" s="232"/>
      <c r="BJ1066" s="232"/>
      <c r="BK1066" s="232"/>
      <c r="BL1066" s="232"/>
      <c r="BM1066" s="232"/>
      <c r="BN1066" s="232"/>
      <c r="BO1066" s="232"/>
      <c r="BP1066" s="232"/>
      <c r="BQ1066" s="232"/>
      <c r="BR1066" s="232"/>
      <c r="BS1066" s="232"/>
      <c r="BT1066" s="232"/>
      <c r="BU1066" s="232"/>
      <c r="BV1066" s="232"/>
      <c r="BW1066" s="232"/>
      <c r="BX1066" s="232"/>
      <c r="BY1066" s="232"/>
      <c r="BZ1066" s="232"/>
      <c r="CA1066" s="232"/>
      <c r="CB1066" s="232"/>
      <c r="CC1066" s="232"/>
      <c r="CD1066" s="232"/>
      <c r="CE1066" s="232"/>
      <c r="CF1066" s="232"/>
      <c r="CG1066" s="232"/>
      <c r="CH1066" s="232"/>
      <c r="CI1066" s="232"/>
      <c r="CJ1066" s="232"/>
      <c r="CK1066" s="232"/>
      <c r="CL1066" s="232"/>
      <c r="CM1066" s="232"/>
      <c r="CN1066" s="215"/>
      <c r="CO1066" s="215"/>
      <c r="CP1066" s="215"/>
      <c r="CQ1066" s="215"/>
      <c r="CR1066" s="215"/>
      <c r="CS1066" s="215"/>
      <c r="CT1066" s="215"/>
    </row>
    <row r="1067" ht="24.0" customHeight="1">
      <c r="A1067" s="287"/>
      <c r="B1067" s="287"/>
      <c r="C1067" s="287"/>
      <c r="D1067" s="232"/>
      <c r="E1067" s="232"/>
      <c r="F1067" s="232"/>
      <c r="G1067" s="232"/>
      <c r="H1067" s="232"/>
      <c r="I1067" s="232"/>
      <c r="J1067" s="232"/>
      <c r="K1067" s="232"/>
      <c r="L1067" s="232"/>
      <c r="M1067" s="232"/>
      <c r="N1067" s="289"/>
      <c r="O1067" s="232"/>
      <c r="P1067" s="232"/>
      <c r="Q1067" s="232"/>
      <c r="R1067" s="232"/>
      <c r="S1067" s="232"/>
      <c r="T1067" s="232"/>
      <c r="U1067" s="232"/>
      <c r="V1067" s="232"/>
      <c r="W1067" s="232"/>
      <c r="X1067" s="232"/>
      <c r="Y1067" s="232"/>
      <c r="Z1067" s="232"/>
      <c r="AA1067" s="232"/>
      <c r="AB1067" s="232"/>
      <c r="AC1067" s="232"/>
      <c r="AD1067" s="232"/>
      <c r="AE1067" s="232"/>
      <c r="AF1067" s="232"/>
      <c r="AG1067" s="232"/>
      <c r="AH1067" s="232"/>
      <c r="AI1067" s="232"/>
      <c r="AJ1067" s="232"/>
      <c r="AK1067" s="232"/>
      <c r="AL1067" s="232"/>
      <c r="AM1067" s="232"/>
      <c r="AN1067" s="232"/>
      <c r="AO1067" s="232"/>
      <c r="AP1067" s="232"/>
      <c r="AQ1067" s="232"/>
      <c r="AR1067" s="232"/>
      <c r="AS1067" s="232"/>
      <c r="AT1067" s="232"/>
      <c r="AU1067" s="232"/>
      <c r="AV1067" s="232"/>
      <c r="AW1067" s="232"/>
      <c r="AX1067" s="232"/>
      <c r="AY1067" s="232"/>
      <c r="AZ1067" s="232"/>
      <c r="BA1067" s="232"/>
      <c r="BB1067" s="232"/>
      <c r="BC1067" s="232"/>
      <c r="BD1067" s="232"/>
      <c r="BE1067" s="232"/>
      <c r="BF1067" s="232"/>
      <c r="BG1067" s="232"/>
      <c r="BH1067" s="232"/>
      <c r="BI1067" s="232"/>
      <c r="BJ1067" s="232"/>
      <c r="BK1067" s="232"/>
      <c r="BL1067" s="232"/>
      <c r="BM1067" s="232"/>
      <c r="BN1067" s="232"/>
      <c r="BO1067" s="232"/>
      <c r="BP1067" s="232"/>
      <c r="BQ1067" s="232"/>
      <c r="BR1067" s="232"/>
      <c r="BS1067" s="232"/>
      <c r="BT1067" s="232"/>
      <c r="BU1067" s="232"/>
      <c r="BV1067" s="232"/>
      <c r="BW1067" s="232"/>
      <c r="BX1067" s="232"/>
      <c r="BY1067" s="232"/>
      <c r="BZ1067" s="232"/>
      <c r="CA1067" s="232"/>
      <c r="CB1067" s="232"/>
      <c r="CC1067" s="232"/>
      <c r="CD1067" s="232"/>
      <c r="CE1067" s="232"/>
      <c r="CF1067" s="232"/>
      <c r="CG1067" s="232"/>
      <c r="CH1067" s="232"/>
      <c r="CI1067" s="232"/>
      <c r="CJ1067" s="232"/>
      <c r="CK1067" s="232"/>
      <c r="CL1067" s="232"/>
      <c r="CM1067" s="232"/>
      <c r="CN1067" s="215"/>
      <c r="CO1067" s="215"/>
      <c r="CP1067" s="215"/>
      <c r="CQ1067" s="215"/>
      <c r="CR1067" s="215"/>
      <c r="CS1067" s="215"/>
      <c r="CT1067" s="215"/>
    </row>
    <row r="1068" ht="24.0" customHeight="1">
      <c r="A1068" s="287"/>
      <c r="B1068" s="287"/>
      <c r="C1068" s="287"/>
      <c r="D1068" s="232"/>
      <c r="E1068" s="232"/>
      <c r="F1068" s="232"/>
      <c r="G1068" s="232"/>
      <c r="H1068" s="232"/>
      <c r="I1068" s="232"/>
      <c r="J1068" s="232"/>
      <c r="K1068" s="232"/>
      <c r="L1068" s="232"/>
      <c r="M1068" s="232"/>
      <c r="N1068" s="289"/>
      <c r="O1068" s="232"/>
      <c r="P1068" s="232"/>
      <c r="Q1068" s="232"/>
      <c r="R1068" s="232"/>
      <c r="S1068" s="232"/>
      <c r="T1068" s="232"/>
      <c r="U1068" s="232"/>
      <c r="V1068" s="232"/>
      <c r="W1068" s="232"/>
      <c r="X1068" s="232"/>
      <c r="Y1068" s="232"/>
      <c r="Z1068" s="232"/>
      <c r="AA1068" s="232"/>
      <c r="AB1068" s="232"/>
      <c r="AC1068" s="232"/>
      <c r="AD1068" s="232"/>
      <c r="AE1068" s="232"/>
      <c r="AF1068" s="232"/>
      <c r="AG1068" s="232"/>
      <c r="AH1068" s="232"/>
      <c r="AI1068" s="232"/>
      <c r="AJ1068" s="232"/>
      <c r="AK1068" s="232"/>
      <c r="AL1068" s="232"/>
      <c r="AM1068" s="232"/>
      <c r="AN1068" s="232"/>
      <c r="AO1068" s="232"/>
      <c r="AP1068" s="232"/>
      <c r="AQ1068" s="232"/>
      <c r="AR1068" s="232"/>
      <c r="AS1068" s="232"/>
      <c r="AT1068" s="232"/>
      <c r="AU1068" s="232"/>
      <c r="AV1068" s="232"/>
      <c r="AW1068" s="232"/>
      <c r="AX1068" s="232"/>
      <c r="AY1068" s="232"/>
      <c r="AZ1068" s="232"/>
      <c r="BA1068" s="232"/>
      <c r="BB1068" s="232"/>
      <c r="BC1068" s="232"/>
      <c r="BD1068" s="232"/>
      <c r="BE1068" s="232"/>
      <c r="BF1068" s="232"/>
      <c r="BG1068" s="232"/>
      <c r="BH1068" s="232"/>
      <c r="BI1068" s="232"/>
      <c r="BJ1068" s="232"/>
      <c r="BK1068" s="232"/>
      <c r="BL1068" s="232"/>
      <c r="BM1068" s="232"/>
      <c r="BN1068" s="232"/>
      <c r="BO1068" s="232"/>
      <c r="BP1068" s="232"/>
      <c r="BQ1068" s="232"/>
      <c r="BR1068" s="232"/>
      <c r="BS1068" s="232"/>
      <c r="BT1068" s="232"/>
      <c r="BU1068" s="232"/>
      <c r="BV1068" s="232"/>
      <c r="BW1068" s="232"/>
      <c r="BX1068" s="232"/>
      <c r="BY1068" s="232"/>
      <c r="BZ1068" s="232"/>
      <c r="CA1068" s="232"/>
      <c r="CB1068" s="232"/>
      <c r="CC1068" s="232"/>
      <c r="CD1068" s="232"/>
      <c r="CE1068" s="232"/>
      <c r="CF1068" s="232"/>
      <c r="CG1068" s="232"/>
      <c r="CH1068" s="232"/>
      <c r="CI1068" s="232"/>
      <c r="CJ1068" s="232"/>
      <c r="CK1068" s="232"/>
      <c r="CL1068" s="232"/>
      <c r="CM1068" s="232"/>
      <c r="CN1068" s="215"/>
      <c r="CO1068" s="215"/>
      <c r="CP1068" s="215"/>
      <c r="CQ1068" s="215"/>
      <c r="CR1068" s="215"/>
      <c r="CS1068" s="215"/>
      <c r="CT1068" s="215"/>
    </row>
    <row r="1069" ht="24.0" customHeight="1">
      <c r="A1069" s="287"/>
      <c r="B1069" s="287"/>
      <c r="C1069" s="287"/>
      <c r="D1069" s="232"/>
      <c r="E1069" s="232"/>
      <c r="F1069" s="232"/>
      <c r="G1069" s="232"/>
      <c r="H1069" s="232"/>
      <c r="I1069" s="232"/>
      <c r="J1069" s="232"/>
      <c r="K1069" s="232"/>
      <c r="L1069" s="232"/>
      <c r="M1069" s="232"/>
      <c r="N1069" s="289"/>
      <c r="O1069" s="232"/>
      <c r="P1069" s="232"/>
      <c r="Q1069" s="232"/>
      <c r="R1069" s="232"/>
      <c r="S1069" s="232"/>
      <c r="T1069" s="232"/>
      <c r="U1069" s="232"/>
      <c r="V1069" s="232"/>
      <c r="W1069" s="232"/>
      <c r="X1069" s="232"/>
      <c r="Y1069" s="232"/>
      <c r="Z1069" s="232"/>
      <c r="AA1069" s="232"/>
      <c r="AB1069" s="232"/>
      <c r="AC1069" s="232"/>
      <c r="AD1069" s="232"/>
      <c r="AE1069" s="232"/>
      <c r="AF1069" s="232"/>
      <c r="AG1069" s="232"/>
      <c r="AH1069" s="232"/>
      <c r="AI1069" s="232"/>
      <c r="AJ1069" s="232"/>
      <c r="AK1069" s="232"/>
      <c r="AL1069" s="232"/>
      <c r="AM1069" s="232"/>
      <c r="AN1069" s="232"/>
      <c r="AO1069" s="232"/>
      <c r="AP1069" s="232"/>
      <c r="AQ1069" s="232"/>
      <c r="AR1069" s="232"/>
      <c r="AS1069" s="232"/>
      <c r="AT1069" s="232"/>
      <c r="AU1069" s="232"/>
      <c r="AV1069" s="232"/>
      <c r="AW1069" s="232"/>
      <c r="AX1069" s="232"/>
      <c r="AY1069" s="232"/>
      <c r="AZ1069" s="232"/>
      <c r="BA1069" s="232"/>
      <c r="BB1069" s="232"/>
      <c r="BC1069" s="232"/>
      <c r="BD1069" s="232"/>
      <c r="BE1069" s="232"/>
      <c r="BF1069" s="232"/>
      <c r="BG1069" s="232"/>
      <c r="BH1069" s="232"/>
      <c r="BI1069" s="232"/>
      <c r="BJ1069" s="232"/>
      <c r="BK1069" s="232"/>
      <c r="BL1069" s="232"/>
      <c r="BM1069" s="232"/>
      <c r="BN1069" s="232"/>
      <c r="BO1069" s="232"/>
      <c r="BP1069" s="232"/>
      <c r="BQ1069" s="232"/>
      <c r="BR1069" s="232"/>
      <c r="BS1069" s="232"/>
      <c r="BT1069" s="232"/>
      <c r="BU1069" s="232"/>
      <c r="BV1069" s="232"/>
      <c r="BW1069" s="232"/>
      <c r="BX1069" s="232"/>
      <c r="BY1069" s="232"/>
      <c r="BZ1069" s="232"/>
      <c r="CA1069" s="232"/>
      <c r="CB1069" s="232"/>
      <c r="CC1069" s="232"/>
      <c r="CD1069" s="232"/>
      <c r="CE1069" s="232"/>
      <c r="CF1069" s="232"/>
      <c r="CG1069" s="232"/>
      <c r="CH1069" s="232"/>
      <c r="CI1069" s="232"/>
      <c r="CJ1069" s="232"/>
      <c r="CK1069" s="232"/>
      <c r="CL1069" s="232"/>
      <c r="CM1069" s="232"/>
      <c r="CN1069" s="215"/>
      <c r="CO1069" s="215"/>
      <c r="CP1069" s="215"/>
      <c r="CQ1069" s="215"/>
      <c r="CR1069" s="215"/>
      <c r="CS1069" s="215"/>
      <c r="CT1069" s="215"/>
    </row>
    <row r="1070" ht="24.0" customHeight="1">
      <c r="A1070" s="287"/>
      <c r="B1070" s="287"/>
      <c r="C1070" s="287"/>
      <c r="D1070" s="232"/>
      <c r="E1070" s="232"/>
      <c r="F1070" s="232"/>
      <c r="G1070" s="232"/>
      <c r="H1070" s="232"/>
      <c r="I1070" s="232"/>
      <c r="J1070" s="232"/>
      <c r="K1070" s="232"/>
      <c r="L1070" s="232"/>
      <c r="M1070" s="232"/>
      <c r="N1070" s="289"/>
      <c r="O1070" s="232"/>
      <c r="P1070" s="232"/>
      <c r="Q1070" s="232"/>
      <c r="R1070" s="232"/>
      <c r="S1070" s="232"/>
      <c r="T1070" s="232"/>
      <c r="U1070" s="232"/>
      <c r="V1070" s="232"/>
      <c r="W1070" s="232"/>
      <c r="X1070" s="232"/>
      <c r="Y1070" s="232"/>
      <c r="Z1070" s="232"/>
      <c r="AA1070" s="232"/>
      <c r="AB1070" s="232"/>
      <c r="AC1070" s="232"/>
      <c r="AD1070" s="232"/>
      <c r="AE1070" s="232"/>
      <c r="AF1070" s="232"/>
      <c r="AG1070" s="232"/>
      <c r="AH1070" s="232"/>
      <c r="AI1070" s="232"/>
      <c r="AJ1070" s="232"/>
      <c r="AK1070" s="232"/>
      <c r="AL1070" s="232"/>
      <c r="AM1070" s="232"/>
      <c r="AN1070" s="232"/>
      <c r="AO1070" s="232"/>
      <c r="AP1070" s="232"/>
      <c r="AQ1070" s="232"/>
      <c r="AR1070" s="232"/>
      <c r="AS1070" s="232"/>
      <c r="AT1070" s="232"/>
      <c r="AU1070" s="232"/>
      <c r="AV1070" s="232"/>
      <c r="AW1070" s="232"/>
      <c r="AX1070" s="232"/>
      <c r="AY1070" s="232"/>
      <c r="AZ1070" s="232"/>
      <c r="BA1070" s="232"/>
      <c r="BB1070" s="232"/>
      <c r="BC1070" s="232"/>
      <c r="BD1070" s="232"/>
      <c r="BE1070" s="232"/>
      <c r="BF1070" s="232"/>
      <c r="BG1070" s="232"/>
      <c r="BH1070" s="232"/>
      <c r="BI1070" s="232"/>
      <c r="BJ1070" s="232"/>
      <c r="BK1070" s="232"/>
      <c r="BL1070" s="232"/>
      <c r="BM1070" s="232"/>
      <c r="BN1070" s="232"/>
      <c r="BO1070" s="232"/>
      <c r="BP1070" s="232"/>
      <c r="BQ1070" s="232"/>
      <c r="BR1070" s="232"/>
      <c r="BS1070" s="232"/>
      <c r="BT1070" s="232"/>
      <c r="BU1070" s="232"/>
      <c r="BV1070" s="232"/>
      <c r="BW1070" s="232"/>
      <c r="BX1070" s="232"/>
      <c r="BY1070" s="232"/>
      <c r="BZ1070" s="232"/>
      <c r="CA1070" s="232"/>
      <c r="CB1070" s="232"/>
      <c r="CC1070" s="232"/>
      <c r="CD1070" s="232"/>
      <c r="CE1070" s="232"/>
      <c r="CF1070" s="232"/>
      <c r="CG1070" s="232"/>
      <c r="CH1070" s="232"/>
      <c r="CI1070" s="232"/>
      <c r="CJ1070" s="232"/>
      <c r="CK1070" s="232"/>
      <c r="CL1070" s="232"/>
      <c r="CM1070" s="232"/>
      <c r="CN1070" s="215"/>
      <c r="CO1070" s="215"/>
      <c r="CP1070" s="215"/>
      <c r="CQ1070" s="215"/>
      <c r="CR1070" s="215"/>
      <c r="CS1070" s="215"/>
      <c r="CT1070" s="215"/>
    </row>
    <row r="1071" ht="24.0" customHeight="1">
      <c r="A1071" s="287"/>
      <c r="B1071" s="287"/>
      <c r="C1071" s="287"/>
      <c r="D1071" s="232"/>
      <c r="E1071" s="232"/>
      <c r="F1071" s="232"/>
      <c r="G1071" s="232"/>
      <c r="H1071" s="232"/>
      <c r="I1071" s="232"/>
      <c r="J1071" s="232"/>
      <c r="K1071" s="232"/>
      <c r="L1071" s="232"/>
      <c r="M1071" s="232"/>
      <c r="N1071" s="289"/>
      <c r="O1071" s="232"/>
      <c r="P1071" s="232"/>
      <c r="Q1071" s="232"/>
      <c r="R1071" s="232"/>
      <c r="S1071" s="232"/>
      <c r="T1071" s="232"/>
      <c r="U1071" s="232"/>
      <c r="V1071" s="232"/>
      <c r="W1071" s="232"/>
      <c r="X1071" s="232"/>
      <c r="Y1071" s="232"/>
      <c r="Z1071" s="232"/>
      <c r="AA1071" s="232"/>
      <c r="AB1071" s="232"/>
      <c r="AC1071" s="232"/>
      <c r="AD1071" s="232"/>
      <c r="AE1071" s="232"/>
      <c r="AF1071" s="232"/>
      <c r="AG1071" s="232"/>
      <c r="AH1071" s="232"/>
      <c r="AI1071" s="232"/>
      <c r="AJ1071" s="232"/>
      <c r="AK1071" s="232"/>
      <c r="AL1071" s="232"/>
      <c r="AM1071" s="232"/>
      <c r="AN1071" s="232"/>
      <c r="AO1071" s="232"/>
      <c r="AP1071" s="232"/>
      <c r="AQ1071" s="232"/>
      <c r="AR1071" s="232"/>
      <c r="AS1071" s="232"/>
      <c r="AT1071" s="232"/>
      <c r="AU1071" s="232"/>
      <c r="AV1071" s="232"/>
      <c r="AW1071" s="232"/>
      <c r="AX1071" s="232"/>
      <c r="AY1071" s="232"/>
      <c r="AZ1071" s="232"/>
      <c r="BA1071" s="232"/>
      <c r="BB1071" s="232"/>
      <c r="BC1071" s="232"/>
      <c r="BD1071" s="232"/>
      <c r="BE1071" s="232"/>
      <c r="BF1071" s="232"/>
      <c r="BG1071" s="232"/>
      <c r="BH1071" s="232"/>
      <c r="BI1071" s="232"/>
      <c r="BJ1071" s="232"/>
      <c r="BK1071" s="232"/>
      <c r="BL1071" s="232"/>
      <c r="BM1071" s="232"/>
      <c r="BN1071" s="232"/>
      <c r="BO1071" s="232"/>
      <c r="BP1071" s="232"/>
      <c r="BQ1071" s="232"/>
      <c r="BR1071" s="232"/>
      <c r="BS1071" s="232"/>
      <c r="BT1071" s="232"/>
      <c r="BU1071" s="232"/>
      <c r="BV1071" s="232"/>
      <c r="BW1071" s="232"/>
      <c r="BX1071" s="232"/>
      <c r="BY1071" s="232"/>
      <c r="BZ1071" s="232"/>
      <c r="CA1071" s="232"/>
      <c r="CB1071" s="232"/>
      <c r="CC1071" s="232"/>
      <c r="CD1071" s="232"/>
      <c r="CE1071" s="232"/>
      <c r="CF1071" s="232"/>
      <c r="CG1071" s="232"/>
      <c r="CH1071" s="232"/>
      <c r="CI1071" s="232"/>
      <c r="CJ1071" s="232"/>
      <c r="CK1071" s="232"/>
      <c r="CL1071" s="232"/>
      <c r="CM1071" s="232"/>
      <c r="CN1071" s="215"/>
      <c r="CO1071" s="215"/>
      <c r="CP1071" s="215"/>
      <c r="CQ1071" s="215"/>
      <c r="CR1071" s="215"/>
      <c r="CS1071" s="215"/>
      <c r="CT1071" s="215"/>
    </row>
    <row r="1072" ht="24.0" customHeight="1">
      <c r="A1072" s="287"/>
      <c r="B1072" s="287"/>
      <c r="C1072" s="287"/>
      <c r="D1072" s="232"/>
      <c r="E1072" s="232"/>
      <c r="F1072" s="232"/>
      <c r="G1072" s="232"/>
      <c r="H1072" s="232"/>
      <c r="I1072" s="232"/>
      <c r="J1072" s="232"/>
      <c r="K1072" s="232"/>
      <c r="L1072" s="232"/>
      <c r="M1072" s="232"/>
      <c r="N1072" s="289"/>
      <c r="O1072" s="232"/>
      <c r="P1072" s="232"/>
      <c r="Q1072" s="232"/>
      <c r="R1072" s="232"/>
      <c r="S1072" s="232"/>
      <c r="T1072" s="232"/>
      <c r="U1072" s="232"/>
      <c r="V1072" s="232"/>
      <c r="W1072" s="232"/>
      <c r="X1072" s="232"/>
      <c r="Y1072" s="232"/>
      <c r="Z1072" s="232"/>
      <c r="AA1072" s="232"/>
      <c r="AB1072" s="232"/>
      <c r="AC1072" s="232"/>
      <c r="AD1072" s="232"/>
      <c r="AE1072" s="232"/>
      <c r="AF1072" s="232"/>
      <c r="AG1072" s="232"/>
      <c r="AH1072" s="232"/>
      <c r="AI1072" s="232"/>
      <c r="AJ1072" s="232"/>
      <c r="AK1072" s="232"/>
      <c r="AL1072" s="232"/>
      <c r="AM1072" s="232"/>
      <c r="AN1072" s="232"/>
      <c r="AO1072" s="232"/>
      <c r="AP1072" s="232"/>
      <c r="AQ1072" s="232"/>
      <c r="AR1072" s="232"/>
      <c r="AS1072" s="232"/>
      <c r="AT1072" s="232"/>
      <c r="AU1072" s="232"/>
      <c r="AV1072" s="232"/>
      <c r="AW1072" s="232"/>
      <c r="AX1072" s="232"/>
      <c r="AY1072" s="232"/>
      <c r="AZ1072" s="232"/>
      <c r="BA1072" s="232"/>
      <c r="BB1072" s="232"/>
      <c r="BC1072" s="232"/>
      <c r="BD1072" s="232"/>
      <c r="BE1072" s="232"/>
      <c r="BF1072" s="232"/>
      <c r="BG1072" s="232"/>
      <c r="BH1072" s="232"/>
      <c r="BI1072" s="232"/>
      <c r="BJ1072" s="232"/>
      <c r="BK1072" s="232"/>
      <c r="BL1072" s="232"/>
      <c r="BM1072" s="232"/>
      <c r="BN1072" s="232"/>
      <c r="BO1072" s="232"/>
      <c r="BP1072" s="232"/>
      <c r="BQ1072" s="232"/>
      <c r="BR1072" s="232"/>
      <c r="BS1072" s="232"/>
      <c r="BT1072" s="232"/>
      <c r="BU1072" s="232"/>
      <c r="BV1072" s="232"/>
      <c r="BW1072" s="232"/>
      <c r="BX1072" s="232"/>
      <c r="BY1072" s="232"/>
      <c r="BZ1072" s="232"/>
      <c r="CA1072" s="232"/>
      <c r="CB1072" s="232"/>
      <c r="CC1072" s="232"/>
      <c r="CD1072" s="232"/>
      <c r="CE1072" s="232"/>
      <c r="CF1072" s="232"/>
      <c r="CG1072" s="232"/>
      <c r="CH1072" s="232"/>
      <c r="CI1072" s="232"/>
      <c r="CJ1072" s="232"/>
      <c r="CK1072" s="232"/>
      <c r="CL1072" s="232"/>
      <c r="CM1072" s="232"/>
      <c r="CN1072" s="215"/>
      <c r="CO1072" s="215"/>
      <c r="CP1072" s="215"/>
      <c r="CQ1072" s="215"/>
      <c r="CR1072" s="215"/>
      <c r="CS1072" s="215"/>
      <c r="CT1072" s="215"/>
    </row>
    <row r="1073" ht="24.0" customHeight="1">
      <c r="A1073" s="287"/>
      <c r="B1073" s="287"/>
      <c r="C1073" s="287"/>
      <c r="D1073" s="232"/>
      <c r="E1073" s="232"/>
      <c r="F1073" s="232"/>
      <c r="G1073" s="232"/>
      <c r="H1073" s="232"/>
      <c r="I1073" s="232"/>
      <c r="J1073" s="232"/>
      <c r="K1073" s="232"/>
      <c r="L1073" s="232"/>
      <c r="M1073" s="232"/>
      <c r="N1073" s="289"/>
      <c r="O1073" s="232"/>
      <c r="P1073" s="232"/>
      <c r="Q1073" s="232"/>
      <c r="R1073" s="232"/>
      <c r="S1073" s="232"/>
      <c r="T1073" s="232"/>
      <c r="U1073" s="232"/>
      <c r="V1073" s="232"/>
      <c r="W1073" s="232"/>
      <c r="X1073" s="232"/>
      <c r="Y1073" s="232"/>
      <c r="Z1073" s="232"/>
      <c r="AA1073" s="232"/>
      <c r="AB1073" s="232"/>
      <c r="AC1073" s="232"/>
      <c r="AD1073" s="232"/>
      <c r="AE1073" s="232"/>
      <c r="AF1073" s="232"/>
      <c r="AG1073" s="232"/>
      <c r="AH1073" s="232"/>
      <c r="AI1073" s="232"/>
      <c r="AJ1073" s="232"/>
      <c r="AK1073" s="232"/>
      <c r="AL1073" s="232"/>
      <c r="AM1073" s="232"/>
      <c r="AN1073" s="232"/>
      <c r="AO1073" s="232"/>
      <c r="AP1073" s="232"/>
      <c r="AQ1073" s="232"/>
      <c r="AR1073" s="232"/>
      <c r="AS1073" s="232"/>
      <c r="AT1073" s="232"/>
      <c r="AU1073" s="232"/>
      <c r="AV1073" s="232"/>
      <c r="AW1073" s="232"/>
      <c r="AX1073" s="232"/>
      <c r="AY1073" s="232"/>
      <c r="AZ1073" s="232"/>
      <c r="BA1073" s="232"/>
      <c r="BB1073" s="232"/>
      <c r="BC1073" s="232"/>
      <c r="BD1073" s="232"/>
      <c r="BE1073" s="232"/>
      <c r="BF1073" s="232"/>
      <c r="BG1073" s="232"/>
      <c r="BH1073" s="232"/>
      <c r="BI1073" s="232"/>
      <c r="BJ1073" s="232"/>
      <c r="BK1073" s="232"/>
      <c r="BL1073" s="232"/>
      <c r="BM1073" s="232"/>
      <c r="BN1073" s="232"/>
      <c r="BO1073" s="232"/>
      <c r="BP1073" s="232"/>
      <c r="BQ1073" s="232"/>
      <c r="BR1073" s="232"/>
      <c r="BS1073" s="232"/>
      <c r="BT1073" s="232"/>
      <c r="BU1073" s="232"/>
      <c r="BV1073" s="232"/>
      <c r="BW1073" s="232"/>
      <c r="BX1073" s="232"/>
      <c r="BY1073" s="232"/>
      <c r="BZ1073" s="232"/>
      <c r="CA1073" s="232"/>
      <c r="CB1073" s="232"/>
      <c r="CC1073" s="232"/>
      <c r="CD1073" s="232"/>
      <c r="CE1073" s="232"/>
      <c r="CF1073" s="232"/>
      <c r="CG1073" s="232"/>
      <c r="CH1073" s="232"/>
      <c r="CI1073" s="232"/>
      <c r="CJ1073" s="232"/>
      <c r="CK1073" s="232"/>
      <c r="CL1073" s="232"/>
      <c r="CM1073" s="232"/>
      <c r="CN1073" s="215"/>
      <c r="CO1073" s="215"/>
      <c r="CP1073" s="215"/>
      <c r="CQ1073" s="215"/>
      <c r="CR1073" s="215"/>
      <c r="CS1073" s="215"/>
      <c r="CT1073" s="215"/>
    </row>
    <row r="1074" ht="24.0" customHeight="1">
      <c r="A1074" s="287"/>
      <c r="B1074" s="287"/>
      <c r="C1074" s="287"/>
      <c r="D1074" s="232"/>
      <c r="E1074" s="232"/>
      <c r="F1074" s="232"/>
      <c r="G1074" s="232"/>
      <c r="H1074" s="232"/>
      <c r="I1074" s="232"/>
      <c r="J1074" s="232"/>
      <c r="K1074" s="232"/>
      <c r="L1074" s="232"/>
      <c r="M1074" s="232"/>
      <c r="N1074" s="289"/>
      <c r="O1074" s="232"/>
      <c r="P1074" s="232"/>
      <c r="Q1074" s="232"/>
      <c r="R1074" s="232"/>
      <c r="S1074" s="232"/>
      <c r="T1074" s="232"/>
      <c r="U1074" s="232"/>
      <c r="V1074" s="232"/>
      <c r="W1074" s="232"/>
      <c r="X1074" s="232"/>
      <c r="Y1074" s="232"/>
      <c r="Z1074" s="232"/>
      <c r="AA1074" s="232"/>
      <c r="AB1074" s="232"/>
      <c r="AC1074" s="232"/>
      <c r="AD1074" s="232"/>
      <c r="AE1074" s="232"/>
      <c r="AF1074" s="232"/>
      <c r="AG1074" s="232"/>
      <c r="AH1074" s="232"/>
      <c r="AI1074" s="232"/>
      <c r="AJ1074" s="232"/>
      <c r="AK1074" s="232"/>
      <c r="AL1074" s="232"/>
      <c r="AM1074" s="232"/>
      <c r="AN1074" s="232"/>
      <c r="AO1074" s="232"/>
      <c r="AP1074" s="232"/>
      <c r="AQ1074" s="232"/>
      <c r="AR1074" s="232"/>
      <c r="AS1074" s="232"/>
      <c r="AT1074" s="232"/>
      <c r="AU1074" s="232"/>
      <c r="AV1074" s="232"/>
      <c r="AW1074" s="232"/>
      <c r="AX1074" s="232"/>
      <c r="AY1074" s="232"/>
      <c r="AZ1074" s="232"/>
      <c r="BA1074" s="232"/>
      <c r="BB1074" s="232"/>
      <c r="BC1074" s="232"/>
      <c r="BD1074" s="232"/>
      <c r="BE1074" s="232"/>
      <c r="BF1074" s="232"/>
      <c r="BG1074" s="232"/>
      <c r="BH1074" s="232"/>
      <c r="BI1074" s="232"/>
      <c r="BJ1074" s="232"/>
      <c r="BK1074" s="232"/>
      <c r="BL1074" s="232"/>
      <c r="BM1074" s="232"/>
      <c r="BN1074" s="232"/>
      <c r="BO1074" s="232"/>
      <c r="BP1074" s="232"/>
      <c r="BQ1074" s="232"/>
      <c r="BR1074" s="232"/>
      <c r="BS1074" s="232"/>
      <c r="BT1074" s="232"/>
      <c r="BU1074" s="232"/>
      <c r="BV1074" s="232"/>
      <c r="BW1074" s="232"/>
      <c r="BX1074" s="232"/>
      <c r="BY1074" s="232"/>
      <c r="BZ1074" s="232"/>
      <c r="CA1074" s="232"/>
      <c r="CB1074" s="232"/>
      <c r="CC1074" s="232"/>
      <c r="CD1074" s="232"/>
      <c r="CE1074" s="232"/>
      <c r="CF1074" s="232"/>
      <c r="CG1074" s="232"/>
      <c r="CH1074" s="232"/>
      <c r="CI1074" s="232"/>
      <c r="CJ1074" s="232"/>
      <c r="CK1074" s="232"/>
      <c r="CL1074" s="232"/>
      <c r="CM1074" s="232"/>
      <c r="CN1074" s="215"/>
      <c r="CO1074" s="215"/>
      <c r="CP1074" s="215"/>
      <c r="CQ1074" s="215"/>
      <c r="CR1074" s="215"/>
      <c r="CS1074" s="215"/>
      <c r="CT1074" s="215"/>
    </row>
    <row r="1075" ht="24.0" customHeight="1">
      <c r="A1075" s="287"/>
      <c r="B1075" s="287"/>
      <c r="C1075" s="287"/>
      <c r="D1075" s="232"/>
      <c r="E1075" s="232"/>
      <c r="F1075" s="232"/>
      <c r="G1075" s="232"/>
      <c r="H1075" s="232"/>
      <c r="I1075" s="232"/>
      <c r="J1075" s="232"/>
      <c r="K1075" s="232"/>
      <c r="L1075" s="232"/>
      <c r="M1075" s="232"/>
      <c r="N1075" s="289"/>
      <c r="O1075" s="232"/>
      <c r="P1075" s="232"/>
      <c r="Q1075" s="232"/>
      <c r="R1075" s="232"/>
      <c r="S1075" s="232"/>
      <c r="T1075" s="232"/>
      <c r="U1075" s="232"/>
      <c r="V1075" s="232"/>
      <c r="W1075" s="232"/>
      <c r="X1075" s="232"/>
      <c r="Y1075" s="232"/>
      <c r="Z1075" s="232"/>
      <c r="AA1075" s="232"/>
      <c r="AB1075" s="232"/>
      <c r="AC1075" s="232"/>
      <c r="AD1075" s="232"/>
      <c r="AE1075" s="232"/>
      <c r="AF1075" s="232"/>
      <c r="AG1075" s="232"/>
      <c r="AH1075" s="232"/>
      <c r="AI1075" s="232"/>
      <c r="AJ1075" s="232"/>
      <c r="AK1075" s="232"/>
      <c r="AL1075" s="232"/>
      <c r="AM1075" s="232"/>
      <c r="AN1075" s="232"/>
      <c r="AO1075" s="232"/>
      <c r="AP1075" s="232"/>
      <c r="AQ1075" s="232"/>
      <c r="AR1075" s="232"/>
      <c r="AS1075" s="232"/>
      <c r="AT1075" s="232"/>
      <c r="AU1075" s="232"/>
      <c r="AV1075" s="232"/>
      <c r="AW1075" s="232"/>
      <c r="AX1075" s="232"/>
      <c r="AY1075" s="232"/>
      <c r="AZ1075" s="232"/>
      <c r="BA1075" s="232"/>
      <c r="BB1075" s="232"/>
      <c r="BC1075" s="232"/>
      <c r="BD1075" s="232"/>
      <c r="BE1075" s="232"/>
      <c r="BF1075" s="232"/>
      <c r="BG1075" s="232"/>
      <c r="BH1075" s="232"/>
      <c r="BI1075" s="232"/>
      <c r="BJ1075" s="232"/>
      <c r="BK1075" s="232"/>
      <c r="BL1075" s="232"/>
      <c r="BM1075" s="232"/>
      <c r="BN1075" s="232"/>
      <c r="BO1075" s="232"/>
      <c r="BP1075" s="232"/>
      <c r="BQ1075" s="232"/>
      <c r="BR1075" s="232"/>
      <c r="BS1075" s="232"/>
      <c r="BT1075" s="232"/>
      <c r="BU1075" s="232"/>
      <c r="BV1075" s="232"/>
      <c r="BW1075" s="232"/>
      <c r="BX1075" s="232"/>
      <c r="BY1075" s="232"/>
      <c r="BZ1075" s="232"/>
      <c r="CA1075" s="232"/>
      <c r="CB1075" s="232"/>
      <c r="CC1075" s="232"/>
      <c r="CD1075" s="232"/>
      <c r="CE1075" s="232"/>
      <c r="CF1075" s="232"/>
      <c r="CG1075" s="232"/>
      <c r="CH1075" s="232"/>
      <c r="CI1075" s="232"/>
      <c r="CJ1075" s="232"/>
      <c r="CK1075" s="232"/>
      <c r="CL1075" s="232"/>
      <c r="CM1075" s="232"/>
      <c r="CN1075" s="215"/>
      <c r="CO1075" s="215"/>
      <c r="CP1075" s="215"/>
      <c r="CQ1075" s="215"/>
      <c r="CR1075" s="215"/>
      <c r="CS1075" s="215"/>
      <c r="CT1075" s="215"/>
    </row>
    <row r="1076" ht="24.0" customHeight="1">
      <c r="A1076" s="287"/>
      <c r="B1076" s="287"/>
      <c r="C1076" s="287"/>
      <c r="D1076" s="232"/>
      <c r="E1076" s="232"/>
      <c r="F1076" s="232"/>
      <c r="G1076" s="232"/>
      <c r="H1076" s="232"/>
      <c r="I1076" s="232"/>
      <c r="J1076" s="232"/>
      <c r="K1076" s="232"/>
      <c r="L1076" s="232"/>
      <c r="M1076" s="232"/>
      <c r="N1076" s="289"/>
      <c r="O1076" s="232"/>
      <c r="P1076" s="232"/>
      <c r="Q1076" s="232"/>
      <c r="R1076" s="232"/>
      <c r="S1076" s="232"/>
      <c r="T1076" s="232"/>
      <c r="U1076" s="232"/>
      <c r="V1076" s="232"/>
      <c r="W1076" s="232"/>
      <c r="X1076" s="232"/>
      <c r="Y1076" s="232"/>
      <c r="Z1076" s="232"/>
      <c r="AA1076" s="232"/>
      <c r="AB1076" s="232"/>
      <c r="AC1076" s="232"/>
      <c r="AD1076" s="232"/>
      <c r="AE1076" s="232"/>
      <c r="AF1076" s="232"/>
      <c r="AG1076" s="232"/>
      <c r="AH1076" s="232"/>
      <c r="AI1076" s="232"/>
      <c r="AJ1076" s="232"/>
      <c r="AK1076" s="232"/>
      <c r="AL1076" s="232"/>
      <c r="AM1076" s="232"/>
      <c r="AN1076" s="232"/>
      <c r="AO1076" s="232"/>
      <c r="AP1076" s="232"/>
      <c r="AQ1076" s="232"/>
      <c r="AR1076" s="232"/>
      <c r="AS1076" s="232"/>
      <c r="AT1076" s="232"/>
      <c r="AU1076" s="232"/>
      <c r="AV1076" s="232"/>
      <c r="AW1076" s="232"/>
      <c r="AX1076" s="232"/>
      <c r="AY1076" s="232"/>
      <c r="AZ1076" s="232"/>
      <c r="BA1076" s="232"/>
      <c r="BB1076" s="232"/>
      <c r="BC1076" s="232"/>
      <c r="BD1076" s="232"/>
      <c r="BE1076" s="232"/>
      <c r="BF1076" s="232"/>
      <c r="BG1076" s="232"/>
      <c r="BH1076" s="232"/>
      <c r="BI1076" s="232"/>
      <c r="BJ1076" s="232"/>
      <c r="BK1076" s="232"/>
      <c r="BL1076" s="232"/>
      <c r="BM1076" s="232"/>
      <c r="BN1076" s="232"/>
      <c r="BO1076" s="232"/>
      <c r="BP1076" s="232"/>
      <c r="BQ1076" s="232"/>
      <c r="BR1076" s="232"/>
      <c r="BS1076" s="232"/>
      <c r="BT1076" s="232"/>
      <c r="BU1076" s="232"/>
      <c r="BV1076" s="232"/>
      <c r="BW1076" s="232"/>
      <c r="BX1076" s="232"/>
      <c r="BY1076" s="232"/>
      <c r="BZ1076" s="232"/>
      <c r="CA1076" s="232"/>
      <c r="CB1076" s="232"/>
      <c r="CC1076" s="232"/>
      <c r="CD1076" s="232"/>
      <c r="CE1076" s="232"/>
      <c r="CF1076" s="232"/>
      <c r="CG1076" s="232"/>
      <c r="CH1076" s="232"/>
      <c r="CI1076" s="232"/>
      <c r="CJ1076" s="232"/>
      <c r="CK1076" s="232"/>
      <c r="CL1076" s="232"/>
      <c r="CM1076" s="232"/>
      <c r="CN1076" s="215"/>
      <c r="CO1076" s="215"/>
      <c r="CP1076" s="215"/>
      <c r="CQ1076" s="215"/>
      <c r="CR1076" s="215"/>
      <c r="CS1076" s="215"/>
      <c r="CT1076" s="215"/>
    </row>
    <row r="1077" ht="24.0" customHeight="1">
      <c r="A1077" s="287"/>
      <c r="B1077" s="287"/>
      <c r="C1077" s="287"/>
      <c r="D1077" s="232"/>
      <c r="E1077" s="232"/>
      <c r="F1077" s="232"/>
      <c r="G1077" s="232"/>
      <c r="H1077" s="232"/>
      <c r="I1077" s="232"/>
      <c r="J1077" s="232"/>
      <c r="K1077" s="232"/>
      <c r="L1077" s="232"/>
      <c r="M1077" s="232"/>
      <c r="N1077" s="289"/>
      <c r="O1077" s="232"/>
      <c r="P1077" s="232"/>
      <c r="Q1077" s="232"/>
      <c r="R1077" s="232"/>
      <c r="S1077" s="232"/>
      <c r="T1077" s="232"/>
      <c r="U1077" s="232"/>
      <c r="V1077" s="232"/>
      <c r="W1077" s="232"/>
      <c r="X1077" s="232"/>
      <c r="Y1077" s="232"/>
      <c r="Z1077" s="232"/>
      <c r="AA1077" s="232"/>
      <c r="AB1077" s="232"/>
      <c r="AC1077" s="232"/>
      <c r="AD1077" s="232"/>
      <c r="AE1077" s="232"/>
      <c r="AF1077" s="232"/>
      <c r="AG1077" s="232"/>
      <c r="AH1077" s="232"/>
      <c r="AI1077" s="232"/>
      <c r="AJ1077" s="232"/>
      <c r="AK1077" s="232"/>
      <c r="AL1077" s="232"/>
      <c r="AM1077" s="232"/>
      <c r="AN1077" s="232"/>
      <c r="AO1077" s="232"/>
      <c r="AP1077" s="232"/>
      <c r="AQ1077" s="232"/>
      <c r="AR1077" s="232"/>
      <c r="AS1077" s="232"/>
      <c r="AT1077" s="232"/>
      <c r="AU1077" s="232"/>
      <c r="AV1077" s="232"/>
      <c r="AW1077" s="232"/>
      <c r="AX1077" s="232"/>
      <c r="AY1077" s="232"/>
      <c r="AZ1077" s="232"/>
      <c r="BA1077" s="232"/>
      <c r="BB1077" s="232"/>
      <c r="BC1077" s="232"/>
      <c r="BD1077" s="232"/>
      <c r="BE1077" s="232"/>
      <c r="BF1077" s="232"/>
      <c r="BG1077" s="232"/>
      <c r="BH1077" s="232"/>
      <c r="BI1077" s="232"/>
      <c r="BJ1077" s="232"/>
      <c r="BK1077" s="232"/>
      <c r="BL1077" s="232"/>
      <c r="BM1077" s="232"/>
      <c r="BN1077" s="232"/>
      <c r="BO1077" s="232"/>
      <c r="BP1077" s="232"/>
      <c r="BQ1077" s="232"/>
      <c r="BR1077" s="232"/>
      <c r="BS1077" s="232"/>
      <c r="BT1077" s="232"/>
      <c r="BU1077" s="232"/>
      <c r="BV1077" s="232"/>
      <c r="BW1077" s="232"/>
      <c r="BX1077" s="232"/>
      <c r="BY1077" s="232"/>
      <c r="BZ1077" s="232"/>
      <c r="CA1077" s="232"/>
      <c r="CB1077" s="232"/>
      <c r="CC1077" s="232"/>
      <c r="CD1077" s="232"/>
      <c r="CE1077" s="232"/>
      <c r="CF1077" s="232"/>
      <c r="CG1077" s="232"/>
      <c r="CH1077" s="232"/>
      <c r="CI1077" s="232"/>
      <c r="CJ1077" s="232"/>
      <c r="CK1077" s="232"/>
      <c r="CL1077" s="232"/>
      <c r="CM1077" s="232"/>
      <c r="CN1077" s="215"/>
      <c r="CO1077" s="215"/>
      <c r="CP1077" s="215"/>
      <c r="CQ1077" s="215"/>
      <c r="CR1077" s="215"/>
      <c r="CS1077" s="215"/>
      <c r="CT1077" s="215"/>
    </row>
    <row r="1078" ht="24.0" customHeight="1">
      <c r="A1078" s="287"/>
      <c r="B1078" s="287"/>
      <c r="C1078" s="287"/>
      <c r="D1078" s="232"/>
      <c r="E1078" s="232"/>
      <c r="F1078" s="232"/>
      <c r="G1078" s="232"/>
      <c r="H1078" s="232"/>
      <c r="I1078" s="232"/>
      <c r="J1078" s="232"/>
      <c r="K1078" s="232"/>
      <c r="L1078" s="232"/>
      <c r="M1078" s="232"/>
      <c r="N1078" s="289"/>
      <c r="O1078" s="232"/>
      <c r="P1078" s="232"/>
      <c r="Q1078" s="232"/>
      <c r="R1078" s="232"/>
      <c r="S1078" s="232"/>
      <c r="T1078" s="232"/>
      <c r="U1078" s="232"/>
      <c r="V1078" s="232"/>
      <c r="W1078" s="232"/>
      <c r="X1078" s="232"/>
      <c r="Y1078" s="232"/>
      <c r="Z1078" s="232"/>
      <c r="AA1078" s="232"/>
      <c r="AB1078" s="232"/>
      <c r="AC1078" s="232"/>
      <c r="AD1078" s="232"/>
      <c r="AE1078" s="232"/>
      <c r="AF1078" s="232"/>
      <c r="AG1078" s="232"/>
      <c r="AH1078" s="232"/>
      <c r="AI1078" s="232"/>
      <c r="AJ1078" s="232"/>
      <c r="AK1078" s="232"/>
      <c r="AL1078" s="232"/>
      <c r="AM1078" s="232"/>
      <c r="AN1078" s="232"/>
      <c r="AO1078" s="232"/>
      <c r="AP1078" s="232"/>
      <c r="AQ1078" s="232"/>
      <c r="AR1078" s="232"/>
      <c r="AS1078" s="232"/>
      <c r="AT1078" s="232"/>
      <c r="AU1078" s="232"/>
      <c r="AV1078" s="232"/>
      <c r="AW1078" s="232"/>
      <c r="AX1078" s="232"/>
      <c r="AY1078" s="232"/>
      <c r="AZ1078" s="232"/>
      <c r="BA1078" s="232"/>
      <c r="BB1078" s="232"/>
      <c r="BC1078" s="232"/>
      <c r="BD1078" s="232"/>
      <c r="BE1078" s="232"/>
      <c r="BF1078" s="232"/>
      <c r="BG1078" s="232"/>
      <c r="BH1078" s="232"/>
      <c r="BI1078" s="232"/>
      <c r="BJ1078" s="232"/>
      <c r="BK1078" s="232"/>
      <c r="BL1078" s="232"/>
      <c r="BM1078" s="232"/>
      <c r="BN1078" s="232"/>
      <c r="BO1078" s="232"/>
      <c r="BP1078" s="232"/>
      <c r="BQ1078" s="232"/>
      <c r="BR1078" s="232"/>
      <c r="BS1078" s="232"/>
      <c r="BT1078" s="232"/>
      <c r="BU1078" s="232"/>
      <c r="BV1078" s="232"/>
      <c r="BW1078" s="232"/>
      <c r="BX1078" s="232"/>
      <c r="BY1078" s="232"/>
      <c r="BZ1078" s="232"/>
      <c r="CA1078" s="232"/>
      <c r="CB1078" s="232"/>
      <c r="CC1078" s="232"/>
      <c r="CD1078" s="232"/>
      <c r="CE1078" s="232"/>
      <c r="CF1078" s="232"/>
      <c r="CG1078" s="232"/>
      <c r="CH1078" s="232"/>
      <c r="CI1078" s="232"/>
      <c r="CJ1078" s="232"/>
      <c r="CK1078" s="232"/>
      <c r="CL1078" s="232"/>
      <c r="CM1078" s="232"/>
      <c r="CN1078" s="215"/>
      <c r="CO1078" s="215"/>
      <c r="CP1078" s="215"/>
      <c r="CQ1078" s="215"/>
      <c r="CR1078" s="215"/>
      <c r="CS1078" s="215"/>
      <c r="CT1078" s="215"/>
    </row>
    <row r="1079" ht="24.0" customHeight="1">
      <c r="A1079" s="287"/>
      <c r="B1079" s="287"/>
      <c r="C1079" s="287"/>
      <c r="D1079" s="232"/>
      <c r="E1079" s="232"/>
      <c r="F1079" s="232"/>
      <c r="G1079" s="232"/>
      <c r="H1079" s="232"/>
      <c r="I1079" s="232"/>
      <c r="J1079" s="232"/>
      <c r="K1079" s="232"/>
      <c r="L1079" s="232"/>
      <c r="M1079" s="232"/>
      <c r="N1079" s="289"/>
      <c r="O1079" s="232"/>
      <c r="P1079" s="232"/>
      <c r="Q1079" s="232"/>
      <c r="R1079" s="232"/>
      <c r="S1079" s="232"/>
      <c r="T1079" s="232"/>
      <c r="U1079" s="232"/>
      <c r="V1079" s="232"/>
      <c r="W1079" s="232"/>
      <c r="X1079" s="232"/>
      <c r="Y1079" s="232"/>
      <c r="Z1079" s="232"/>
      <c r="AA1079" s="232"/>
      <c r="AB1079" s="232"/>
      <c r="AC1079" s="232"/>
      <c r="AD1079" s="232"/>
      <c r="AE1079" s="232"/>
      <c r="AF1079" s="232"/>
      <c r="AG1079" s="232"/>
      <c r="AH1079" s="232"/>
      <c r="AI1079" s="232"/>
      <c r="AJ1079" s="232"/>
      <c r="AK1079" s="232"/>
      <c r="AL1079" s="232"/>
      <c r="AM1079" s="232"/>
      <c r="AN1079" s="232"/>
      <c r="AO1079" s="232"/>
      <c r="AP1079" s="232"/>
      <c r="AQ1079" s="232"/>
      <c r="AR1079" s="232"/>
      <c r="AS1079" s="232"/>
      <c r="AT1079" s="232"/>
      <c r="AU1079" s="232"/>
      <c r="AV1079" s="232"/>
      <c r="AW1079" s="232"/>
      <c r="AX1079" s="232"/>
      <c r="AY1079" s="232"/>
      <c r="AZ1079" s="232"/>
      <c r="BA1079" s="232"/>
      <c r="BB1079" s="232"/>
      <c r="BC1079" s="232"/>
      <c r="BD1079" s="232"/>
      <c r="BE1079" s="232"/>
      <c r="BF1079" s="232"/>
      <c r="BG1079" s="232"/>
      <c r="BH1079" s="232"/>
      <c r="BI1079" s="232"/>
      <c r="BJ1079" s="232"/>
      <c r="BK1079" s="232"/>
      <c r="BL1079" s="232"/>
      <c r="BM1079" s="232"/>
      <c r="BN1079" s="232"/>
      <c r="BO1079" s="232"/>
      <c r="BP1079" s="232"/>
      <c r="BQ1079" s="232"/>
      <c r="BR1079" s="232"/>
      <c r="BS1079" s="232"/>
      <c r="BT1079" s="232"/>
      <c r="BU1079" s="232"/>
      <c r="BV1079" s="232"/>
      <c r="BW1079" s="232"/>
      <c r="BX1079" s="232"/>
      <c r="BY1079" s="232"/>
      <c r="BZ1079" s="232"/>
      <c r="CA1079" s="232"/>
      <c r="CB1079" s="232"/>
      <c r="CC1079" s="232"/>
      <c r="CD1079" s="232"/>
      <c r="CE1079" s="232"/>
      <c r="CF1079" s="232"/>
      <c r="CG1079" s="232"/>
      <c r="CH1079" s="232"/>
      <c r="CI1079" s="232"/>
      <c r="CJ1079" s="232"/>
      <c r="CK1079" s="232"/>
      <c r="CL1079" s="232"/>
      <c r="CM1079" s="232"/>
      <c r="CN1079" s="215"/>
      <c r="CO1079" s="215"/>
      <c r="CP1079" s="215"/>
      <c r="CQ1079" s="215"/>
      <c r="CR1079" s="215"/>
      <c r="CS1079" s="215"/>
      <c r="CT1079" s="215"/>
    </row>
    <row r="1080" ht="24.0" customHeight="1">
      <c r="A1080" s="287"/>
      <c r="B1080" s="287"/>
      <c r="C1080" s="287"/>
      <c r="D1080" s="232"/>
      <c r="E1080" s="232"/>
      <c r="F1080" s="232"/>
      <c r="G1080" s="232"/>
      <c r="H1080" s="232"/>
      <c r="I1080" s="232"/>
      <c r="J1080" s="232"/>
      <c r="K1080" s="232"/>
      <c r="L1080" s="232"/>
      <c r="M1080" s="232"/>
      <c r="N1080" s="289"/>
      <c r="O1080" s="232"/>
      <c r="P1080" s="232"/>
      <c r="Q1080" s="232"/>
      <c r="R1080" s="232"/>
      <c r="S1080" s="232"/>
      <c r="T1080" s="232"/>
      <c r="U1080" s="232"/>
      <c r="V1080" s="232"/>
      <c r="W1080" s="232"/>
      <c r="X1080" s="232"/>
      <c r="Y1080" s="232"/>
      <c r="Z1080" s="232"/>
      <c r="AA1080" s="232"/>
      <c r="AB1080" s="232"/>
      <c r="AC1080" s="232"/>
      <c r="AD1080" s="232"/>
      <c r="AE1080" s="232"/>
      <c r="AF1080" s="232"/>
      <c r="AG1080" s="232"/>
      <c r="AH1080" s="232"/>
      <c r="AI1080" s="232"/>
      <c r="AJ1080" s="232"/>
      <c r="AK1080" s="232"/>
      <c r="AL1080" s="232"/>
      <c r="AM1080" s="232"/>
      <c r="AN1080" s="232"/>
      <c r="AO1080" s="232"/>
      <c r="AP1080" s="232"/>
      <c r="AQ1080" s="232"/>
      <c r="AR1080" s="232"/>
      <c r="AS1080" s="232"/>
      <c r="AT1080" s="232"/>
      <c r="AU1080" s="232"/>
      <c r="AV1080" s="232"/>
      <c r="AW1080" s="232"/>
      <c r="AX1080" s="232"/>
      <c r="AY1080" s="232"/>
      <c r="AZ1080" s="232"/>
      <c r="BA1080" s="232"/>
      <c r="BB1080" s="232"/>
      <c r="BC1080" s="232"/>
      <c r="BD1080" s="232"/>
      <c r="BE1080" s="232"/>
      <c r="BF1080" s="232"/>
      <c r="BG1080" s="232"/>
      <c r="BH1080" s="232"/>
      <c r="BI1080" s="232"/>
      <c r="BJ1080" s="232"/>
      <c r="BK1080" s="232"/>
      <c r="BL1080" s="232"/>
      <c r="BM1080" s="232"/>
      <c r="BN1080" s="232"/>
      <c r="BO1080" s="232"/>
      <c r="BP1080" s="232"/>
      <c r="BQ1080" s="232"/>
      <c r="BR1080" s="232"/>
      <c r="BS1080" s="232"/>
      <c r="BT1080" s="232"/>
      <c r="BU1080" s="232"/>
      <c r="BV1080" s="232"/>
      <c r="BW1080" s="232"/>
      <c r="BX1080" s="232"/>
      <c r="BY1080" s="232"/>
      <c r="BZ1080" s="232"/>
      <c r="CA1080" s="232"/>
      <c r="CB1080" s="232"/>
      <c r="CC1080" s="232"/>
      <c r="CD1080" s="232"/>
      <c r="CE1080" s="232"/>
      <c r="CF1080" s="232"/>
      <c r="CG1080" s="232"/>
      <c r="CH1080" s="232"/>
      <c r="CI1080" s="232"/>
      <c r="CJ1080" s="232"/>
      <c r="CK1080" s="232"/>
      <c r="CL1080" s="232"/>
      <c r="CM1080" s="232"/>
      <c r="CN1080" s="215"/>
      <c r="CO1080" s="215"/>
      <c r="CP1080" s="215"/>
      <c r="CQ1080" s="215"/>
      <c r="CR1080" s="215"/>
      <c r="CS1080" s="215"/>
      <c r="CT1080" s="215"/>
    </row>
    <row r="1081" ht="24.0" customHeight="1">
      <c r="A1081" s="287"/>
      <c r="B1081" s="287"/>
      <c r="C1081" s="287"/>
      <c r="D1081" s="232"/>
      <c r="E1081" s="232"/>
      <c r="F1081" s="232"/>
      <c r="G1081" s="232"/>
      <c r="H1081" s="232"/>
      <c r="I1081" s="232"/>
      <c r="J1081" s="232"/>
      <c r="K1081" s="232"/>
      <c r="L1081" s="232"/>
      <c r="M1081" s="232"/>
      <c r="N1081" s="289"/>
      <c r="O1081" s="232"/>
      <c r="P1081" s="232"/>
      <c r="Q1081" s="232"/>
      <c r="R1081" s="232"/>
      <c r="S1081" s="232"/>
      <c r="T1081" s="232"/>
      <c r="U1081" s="232"/>
      <c r="V1081" s="232"/>
      <c r="W1081" s="232"/>
      <c r="X1081" s="232"/>
      <c r="Y1081" s="232"/>
      <c r="Z1081" s="232"/>
      <c r="AA1081" s="232"/>
      <c r="AB1081" s="232"/>
      <c r="AC1081" s="232"/>
      <c r="AD1081" s="232"/>
      <c r="AE1081" s="232"/>
      <c r="AF1081" s="232"/>
      <c r="AG1081" s="232"/>
      <c r="AH1081" s="232"/>
      <c r="AI1081" s="232"/>
      <c r="AJ1081" s="232"/>
      <c r="AK1081" s="232"/>
      <c r="AL1081" s="232"/>
      <c r="AM1081" s="232"/>
      <c r="AN1081" s="232"/>
      <c r="AO1081" s="232"/>
      <c r="AP1081" s="232"/>
      <c r="AQ1081" s="232"/>
      <c r="AR1081" s="232"/>
      <c r="AS1081" s="232"/>
      <c r="AT1081" s="232"/>
      <c r="AU1081" s="232"/>
      <c r="AV1081" s="232"/>
      <c r="AW1081" s="232"/>
      <c r="AX1081" s="232"/>
      <c r="AY1081" s="232"/>
      <c r="AZ1081" s="232"/>
      <c r="BA1081" s="232"/>
      <c r="BB1081" s="232"/>
      <c r="BC1081" s="232"/>
      <c r="BD1081" s="232"/>
      <c r="BE1081" s="232"/>
      <c r="BF1081" s="232"/>
      <c r="BG1081" s="232"/>
      <c r="BH1081" s="232"/>
      <c r="BI1081" s="232"/>
      <c r="BJ1081" s="232"/>
      <c r="BK1081" s="232"/>
      <c r="BL1081" s="232"/>
      <c r="BM1081" s="232"/>
      <c r="BN1081" s="232"/>
      <c r="BO1081" s="232"/>
      <c r="BP1081" s="232"/>
      <c r="BQ1081" s="232"/>
      <c r="BR1081" s="232"/>
      <c r="BS1081" s="232"/>
      <c r="BT1081" s="232"/>
      <c r="BU1081" s="232"/>
      <c r="BV1081" s="232"/>
      <c r="BW1081" s="232"/>
      <c r="BX1081" s="232"/>
      <c r="BY1081" s="232"/>
      <c r="BZ1081" s="232"/>
      <c r="CA1081" s="232"/>
      <c r="CB1081" s="232"/>
      <c r="CC1081" s="232"/>
      <c r="CD1081" s="232"/>
      <c r="CE1081" s="232"/>
      <c r="CF1081" s="232"/>
      <c r="CG1081" s="232"/>
      <c r="CH1081" s="232"/>
      <c r="CI1081" s="232"/>
      <c r="CJ1081" s="232"/>
      <c r="CK1081" s="232"/>
      <c r="CL1081" s="232"/>
      <c r="CM1081" s="232"/>
      <c r="CN1081" s="215"/>
      <c r="CO1081" s="215"/>
      <c r="CP1081" s="215"/>
      <c r="CQ1081" s="215"/>
      <c r="CR1081" s="215"/>
      <c r="CS1081" s="215"/>
      <c r="CT1081" s="215"/>
    </row>
    <row r="1082" ht="24.0" customHeight="1">
      <c r="A1082" s="287"/>
      <c r="B1082" s="287"/>
      <c r="C1082" s="287"/>
      <c r="D1082" s="232"/>
      <c r="E1082" s="232"/>
      <c r="F1082" s="232"/>
      <c r="G1082" s="232"/>
      <c r="H1082" s="232"/>
      <c r="I1082" s="232"/>
      <c r="J1082" s="232"/>
      <c r="K1082" s="232"/>
      <c r="L1082" s="232"/>
      <c r="M1082" s="232"/>
      <c r="N1082" s="289"/>
      <c r="O1082" s="232"/>
      <c r="P1082" s="232"/>
      <c r="Q1082" s="232"/>
      <c r="R1082" s="232"/>
      <c r="S1082" s="232"/>
      <c r="T1082" s="232"/>
      <c r="U1082" s="232"/>
      <c r="V1082" s="232"/>
      <c r="W1082" s="232"/>
      <c r="X1082" s="232"/>
      <c r="Y1082" s="232"/>
      <c r="Z1082" s="232"/>
      <c r="AA1082" s="232"/>
      <c r="AB1082" s="232"/>
      <c r="AC1082" s="232"/>
      <c r="AD1082" s="232"/>
      <c r="AE1082" s="232"/>
      <c r="AF1082" s="232"/>
      <c r="AG1082" s="232"/>
      <c r="AH1082" s="232"/>
      <c r="AI1082" s="232"/>
      <c r="AJ1082" s="232"/>
      <c r="AK1082" s="232"/>
      <c r="AL1082" s="232"/>
      <c r="AM1082" s="232"/>
      <c r="AN1082" s="232"/>
      <c r="AO1082" s="232"/>
      <c r="AP1082" s="232"/>
      <c r="AQ1082" s="232"/>
      <c r="AR1082" s="232"/>
      <c r="AS1082" s="232"/>
      <c r="AT1082" s="232"/>
      <c r="AU1082" s="232"/>
      <c r="AV1082" s="232"/>
      <c r="AW1082" s="232"/>
      <c r="AX1082" s="232"/>
      <c r="AY1082" s="232"/>
      <c r="AZ1082" s="232"/>
      <c r="BA1082" s="232"/>
      <c r="BB1082" s="232"/>
      <c r="BC1082" s="232"/>
      <c r="BD1082" s="232"/>
      <c r="BE1082" s="232"/>
      <c r="BF1082" s="232"/>
      <c r="BG1082" s="232"/>
      <c r="BH1082" s="232"/>
      <c r="BI1082" s="232"/>
      <c r="BJ1082" s="232"/>
      <c r="BK1082" s="232"/>
      <c r="BL1082" s="232"/>
      <c r="BM1082" s="232"/>
      <c r="BN1082" s="232"/>
      <c r="BO1082" s="232"/>
      <c r="BP1082" s="232"/>
      <c r="BQ1082" s="232"/>
      <c r="BR1082" s="232"/>
      <c r="BS1082" s="232"/>
      <c r="BT1082" s="232"/>
      <c r="BU1082" s="232"/>
      <c r="BV1082" s="232"/>
      <c r="BW1082" s="232"/>
      <c r="BX1082" s="232"/>
      <c r="BY1082" s="232"/>
      <c r="BZ1082" s="232"/>
      <c r="CA1082" s="232"/>
      <c r="CB1082" s="232"/>
      <c r="CC1082" s="232"/>
      <c r="CD1082" s="232"/>
      <c r="CE1082" s="232"/>
      <c r="CF1082" s="232"/>
      <c r="CG1082" s="232"/>
      <c r="CH1082" s="232"/>
      <c r="CI1082" s="232"/>
      <c r="CJ1082" s="232"/>
      <c r="CK1082" s="232"/>
      <c r="CL1082" s="232"/>
      <c r="CM1082" s="232"/>
      <c r="CN1082" s="215"/>
      <c r="CO1082" s="215"/>
      <c r="CP1082" s="215"/>
      <c r="CQ1082" s="215"/>
      <c r="CR1082" s="215"/>
      <c r="CS1082" s="215"/>
      <c r="CT1082" s="215"/>
    </row>
    <row r="1083" ht="24.0" customHeight="1">
      <c r="A1083" s="287"/>
      <c r="B1083" s="287"/>
      <c r="C1083" s="287"/>
      <c r="D1083" s="232"/>
      <c r="E1083" s="232"/>
      <c r="F1083" s="232"/>
      <c r="G1083" s="232"/>
      <c r="H1083" s="232"/>
      <c r="I1083" s="232"/>
      <c r="J1083" s="232"/>
      <c r="K1083" s="232"/>
      <c r="L1083" s="232"/>
      <c r="M1083" s="232"/>
      <c r="N1083" s="289"/>
      <c r="O1083" s="232"/>
      <c r="P1083" s="232"/>
      <c r="Q1083" s="232"/>
      <c r="R1083" s="232"/>
      <c r="S1083" s="232"/>
      <c r="T1083" s="232"/>
      <c r="U1083" s="232"/>
      <c r="V1083" s="232"/>
      <c r="W1083" s="232"/>
      <c r="X1083" s="232"/>
      <c r="Y1083" s="232"/>
      <c r="Z1083" s="232"/>
      <c r="AA1083" s="232"/>
      <c r="AB1083" s="232"/>
      <c r="AC1083" s="232"/>
      <c r="AD1083" s="232"/>
      <c r="AE1083" s="232"/>
      <c r="AF1083" s="232"/>
      <c r="AG1083" s="232"/>
      <c r="AH1083" s="232"/>
      <c r="AI1083" s="232"/>
      <c r="AJ1083" s="232"/>
      <c r="AK1083" s="232"/>
      <c r="AL1083" s="232"/>
      <c r="AM1083" s="232"/>
      <c r="AN1083" s="232"/>
      <c r="AO1083" s="232"/>
      <c r="AP1083" s="232"/>
      <c r="AQ1083" s="232"/>
      <c r="AR1083" s="232"/>
      <c r="AS1083" s="232"/>
      <c r="AT1083" s="232"/>
      <c r="AU1083" s="232"/>
      <c r="AV1083" s="232"/>
      <c r="AW1083" s="232"/>
      <c r="AX1083" s="232"/>
      <c r="AY1083" s="232"/>
      <c r="AZ1083" s="232"/>
      <c r="BA1083" s="232"/>
      <c r="BB1083" s="232"/>
      <c r="BC1083" s="232"/>
      <c r="BD1083" s="232"/>
      <c r="BE1083" s="232"/>
      <c r="BF1083" s="232"/>
      <c r="BG1083" s="232"/>
      <c r="BH1083" s="232"/>
      <c r="BI1083" s="232"/>
      <c r="BJ1083" s="232"/>
      <c r="BK1083" s="232"/>
      <c r="BL1083" s="232"/>
      <c r="BM1083" s="232"/>
      <c r="BN1083" s="232"/>
      <c r="BO1083" s="232"/>
      <c r="BP1083" s="232"/>
      <c r="BQ1083" s="232"/>
      <c r="BR1083" s="232"/>
      <c r="BS1083" s="232"/>
      <c r="BT1083" s="232"/>
      <c r="BU1083" s="232"/>
      <c r="BV1083" s="232"/>
      <c r="BW1083" s="232"/>
      <c r="BX1083" s="232"/>
      <c r="BY1083" s="232"/>
      <c r="BZ1083" s="232"/>
      <c r="CA1083" s="232"/>
      <c r="CB1083" s="232"/>
      <c r="CC1083" s="232"/>
      <c r="CD1083" s="232"/>
      <c r="CE1083" s="232"/>
      <c r="CF1083" s="232"/>
      <c r="CG1083" s="232"/>
      <c r="CH1083" s="232"/>
      <c r="CI1083" s="232"/>
      <c r="CJ1083" s="232"/>
      <c r="CK1083" s="232"/>
      <c r="CL1083" s="232"/>
      <c r="CM1083" s="232"/>
      <c r="CN1083" s="215"/>
      <c r="CO1083" s="215"/>
      <c r="CP1083" s="215"/>
      <c r="CQ1083" s="215"/>
      <c r="CR1083" s="215"/>
      <c r="CS1083" s="215"/>
      <c r="CT1083" s="215"/>
    </row>
    <row r="1084" ht="24.0" customHeight="1">
      <c r="A1084" s="287"/>
      <c r="B1084" s="287"/>
      <c r="C1084" s="287"/>
      <c r="D1084" s="232"/>
      <c r="E1084" s="232"/>
      <c r="F1084" s="232"/>
      <c r="G1084" s="232"/>
      <c r="H1084" s="232"/>
      <c r="I1084" s="232"/>
      <c r="J1084" s="232"/>
      <c r="K1084" s="232"/>
      <c r="L1084" s="232"/>
      <c r="M1084" s="232"/>
      <c r="N1084" s="289"/>
      <c r="O1084" s="232"/>
      <c r="P1084" s="232"/>
      <c r="Q1084" s="232"/>
      <c r="R1084" s="232"/>
      <c r="S1084" s="232"/>
      <c r="T1084" s="232"/>
      <c r="U1084" s="232"/>
      <c r="V1084" s="232"/>
      <c r="W1084" s="232"/>
      <c r="X1084" s="232"/>
      <c r="Y1084" s="232"/>
      <c r="Z1084" s="232"/>
      <c r="AA1084" s="232"/>
      <c r="AB1084" s="232"/>
      <c r="AC1084" s="232"/>
      <c r="AD1084" s="232"/>
      <c r="AE1084" s="232"/>
      <c r="AF1084" s="232"/>
      <c r="AG1084" s="232"/>
      <c r="AH1084" s="232"/>
      <c r="AI1084" s="232"/>
      <c r="AJ1084" s="232"/>
      <c r="AK1084" s="232"/>
      <c r="AL1084" s="232"/>
      <c r="AM1084" s="232"/>
      <c r="AN1084" s="232"/>
      <c r="AO1084" s="232"/>
      <c r="AP1084" s="232"/>
      <c r="AQ1084" s="232"/>
      <c r="AR1084" s="232"/>
      <c r="AS1084" s="232"/>
      <c r="AT1084" s="232"/>
      <c r="AU1084" s="232"/>
      <c r="AV1084" s="232"/>
      <c r="AW1084" s="232"/>
      <c r="AX1084" s="232"/>
      <c r="AY1084" s="232"/>
      <c r="AZ1084" s="232"/>
      <c r="BA1084" s="232"/>
      <c r="BB1084" s="232"/>
      <c r="BC1084" s="232"/>
      <c r="BD1084" s="232"/>
      <c r="BE1084" s="232"/>
      <c r="BF1084" s="232"/>
      <c r="BG1084" s="232"/>
      <c r="BH1084" s="232"/>
      <c r="BI1084" s="232"/>
      <c r="BJ1084" s="232"/>
      <c r="BK1084" s="232"/>
      <c r="BL1084" s="232"/>
      <c r="BM1084" s="232"/>
      <c r="BN1084" s="232"/>
      <c r="BO1084" s="232"/>
      <c r="BP1084" s="232"/>
      <c r="BQ1084" s="232"/>
      <c r="BR1084" s="232"/>
      <c r="BS1084" s="232"/>
      <c r="BT1084" s="232"/>
      <c r="BU1084" s="232"/>
      <c r="BV1084" s="232"/>
      <c r="BW1084" s="232"/>
      <c r="BX1084" s="232"/>
      <c r="BY1084" s="232"/>
      <c r="BZ1084" s="232"/>
      <c r="CA1084" s="232"/>
      <c r="CB1084" s="232"/>
      <c r="CC1084" s="232"/>
      <c r="CD1084" s="232"/>
      <c r="CE1084" s="232"/>
      <c r="CF1084" s="232"/>
      <c r="CG1084" s="232"/>
      <c r="CH1084" s="232"/>
      <c r="CI1084" s="232"/>
      <c r="CJ1084" s="232"/>
      <c r="CK1084" s="232"/>
      <c r="CL1084" s="232"/>
      <c r="CM1084" s="232"/>
      <c r="CN1084" s="215"/>
      <c r="CO1084" s="215"/>
      <c r="CP1084" s="215"/>
      <c r="CQ1084" s="215"/>
      <c r="CR1084" s="215"/>
      <c r="CS1084" s="215"/>
      <c r="CT1084" s="215"/>
    </row>
    <row r="1085" ht="24.0" customHeight="1">
      <c r="A1085" s="287"/>
      <c r="B1085" s="287"/>
      <c r="C1085" s="287"/>
      <c r="D1085" s="232"/>
      <c r="E1085" s="232"/>
      <c r="F1085" s="232"/>
      <c r="G1085" s="232"/>
      <c r="H1085" s="232"/>
      <c r="I1085" s="232"/>
      <c r="J1085" s="232"/>
      <c r="K1085" s="232"/>
      <c r="L1085" s="232"/>
      <c r="M1085" s="232"/>
      <c r="N1085" s="289"/>
      <c r="O1085" s="232"/>
      <c r="P1085" s="232"/>
      <c r="Q1085" s="232"/>
      <c r="R1085" s="232"/>
      <c r="S1085" s="232"/>
      <c r="T1085" s="232"/>
      <c r="U1085" s="232"/>
      <c r="V1085" s="232"/>
      <c r="W1085" s="232"/>
      <c r="X1085" s="232"/>
      <c r="Y1085" s="232"/>
      <c r="Z1085" s="232"/>
      <c r="AA1085" s="232"/>
      <c r="AB1085" s="232"/>
      <c r="AC1085" s="232"/>
      <c r="AD1085" s="232"/>
      <c r="AE1085" s="232"/>
      <c r="AF1085" s="232"/>
      <c r="AG1085" s="232"/>
      <c r="AH1085" s="232"/>
      <c r="AI1085" s="232"/>
      <c r="AJ1085" s="232"/>
      <c r="AK1085" s="232"/>
      <c r="AL1085" s="232"/>
      <c r="AM1085" s="232"/>
      <c r="AN1085" s="232"/>
      <c r="AO1085" s="232"/>
      <c r="AP1085" s="232"/>
      <c r="AQ1085" s="232"/>
      <c r="AR1085" s="232"/>
      <c r="AS1085" s="232"/>
      <c r="AT1085" s="232"/>
      <c r="AU1085" s="232"/>
      <c r="AV1085" s="232"/>
      <c r="AW1085" s="232"/>
      <c r="AX1085" s="232"/>
      <c r="AY1085" s="232"/>
      <c r="AZ1085" s="232"/>
      <c r="BA1085" s="232"/>
      <c r="BB1085" s="232"/>
      <c r="BC1085" s="232"/>
      <c r="BD1085" s="232"/>
      <c r="BE1085" s="232"/>
      <c r="BF1085" s="232"/>
      <c r="BG1085" s="232"/>
      <c r="BH1085" s="232"/>
      <c r="BI1085" s="232"/>
      <c r="BJ1085" s="232"/>
      <c r="BK1085" s="232"/>
      <c r="BL1085" s="232"/>
      <c r="BM1085" s="232"/>
      <c r="BN1085" s="232"/>
      <c r="BO1085" s="232"/>
      <c r="BP1085" s="232"/>
      <c r="BQ1085" s="232"/>
      <c r="BR1085" s="232"/>
      <c r="BS1085" s="232"/>
      <c r="BT1085" s="232"/>
      <c r="BU1085" s="232"/>
      <c r="BV1085" s="232"/>
      <c r="BW1085" s="232"/>
      <c r="BX1085" s="232"/>
      <c r="BY1085" s="232"/>
      <c r="BZ1085" s="232"/>
      <c r="CA1085" s="232"/>
      <c r="CB1085" s="232"/>
      <c r="CC1085" s="232"/>
      <c r="CD1085" s="232"/>
      <c r="CE1085" s="232"/>
      <c r="CF1085" s="232"/>
      <c r="CG1085" s="232"/>
      <c r="CH1085" s="232"/>
      <c r="CI1085" s="232"/>
      <c r="CJ1085" s="232"/>
      <c r="CK1085" s="232"/>
      <c r="CL1085" s="232"/>
      <c r="CM1085" s="232"/>
      <c r="CN1085" s="215"/>
      <c r="CO1085" s="215"/>
      <c r="CP1085" s="215"/>
      <c r="CQ1085" s="215"/>
      <c r="CR1085" s="215"/>
      <c r="CS1085" s="215"/>
      <c r="CT1085" s="215"/>
    </row>
    <row r="1086" ht="24.0" customHeight="1">
      <c r="A1086" s="287"/>
      <c r="B1086" s="287"/>
      <c r="C1086" s="287"/>
      <c r="D1086" s="232"/>
      <c r="E1086" s="232"/>
      <c r="F1086" s="232"/>
      <c r="G1086" s="232"/>
      <c r="H1086" s="232"/>
      <c r="I1086" s="232"/>
      <c r="J1086" s="232"/>
      <c r="K1086" s="232"/>
      <c r="L1086" s="232"/>
      <c r="M1086" s="232"/>
      <c r="N1086" s="289"/>
      <c r="O1086" s="232"/>
      <c r="P1086" s="232"/>
      <c r="Q1086" s="232"/>
      <c r="R1086" s="232"/>
      <c r="S1086" s="232"/>
      <c r="T1086" s="232"/>
      <c r="U1086" s="232"/>
      <c r="V1086" s="232"/>
      <c r="W1086" s="232"/>
      <c r="X1086" s="232"/>
      <c r="Y1086" s="232"/>
      <c r="Z1086" s="232"/>
      <c r="AA1086" s="232"/>
      <c r="AB1086" s="232"/>
      <c r="AC1086" s="232"/>
      <c r="AD1086" s="232"/>
      <c r="AE1086" s="232"/>
      <c r="AF1086" s="232"/>
      <c r="AG1086" s="232"/>
      <c r="AH1086" s="232"/>
      <c r="AI1086" s="232"/>
      <c r="AJ1086" s="232"/>
      <c r="AK1086" s="232"/>
      <c r="AL1086" s="232"/>
      <c r="AM1086" s="232"/>
      <c r="AN1086" s="232"/>
      <c r="AO1086" s="232"/>
      <c r="AP1086" s="232"/>
      <c r="AQ1086" s="232"/>
      <c r="AR1086" s="232"/>
      <c r="AS1086" s="232"/>
      <c r="AT1086" s="232"/>
      <c r="AU1086" s="232"/>
      <c r="AV1086" s="232"/>
      <c r="AW1086" s="232"/>
      <c r="AX1086" s="232"/>
      <c r="AY1086" s="232"/>
      <c r="AZ1086" s="232"/>
      <c r="BA1086" s="232"/>
      <c r="BB1086" s="232"/>
      <c r="BC1086" s="232"/>
      <c r="BD1086" s="232"/>
      <c r="BE1086" s="232"/>
      <c r="BF1086" s="232"/>
      <c r="BG1086" s="232"/>
      <c r="BH1086" s="232"/>
      <c r="BI1086" s="232"/>
      <c r="BJ1086" s="232"/>
      <c r="BK1086" s="232"/>
      <c r="BL1086" s="232"/>
      <c r="BM1086" s="232"/>
      <c r="BN1086" s="232"/>
      <c r="BO1086" s="232"/>
      <c r="BP1086" s="232"/>
      <c r="BQ1086" s="232"/>
      <c r="BR1086" s="232"/>
      <c r="BS1086" s="232"/>
      <c r="BT1086" s="232"/>
      <c r="BU1086" s="232"/>
      <c r="BV1086" s="232"/>
      <c r="BW1086" s="232"/>
      <c r="BX1086" s="232"/>
      <c r="BY1086" s="232"/>
      <c r="BZ1086" s="232"/>
      <c r="CA1086" s="232"/>
      <c r="CB1086" s="232"/>
      <c r="CC1086" s="232"/>
      <c r="CD1086" s="232"/>
      <c r="CE1086" s="232"/>
      <c r="CF1086" s="232"/>
      <c r="CG1086" s="232"/>
      <c r="CH1086" s="232"/>
      <c r="CI1086" s="232"/>
      <c r="CJ1086" s="232"/>
      <c r="CK1086" s="232"/>
      <c r="CL1086" s="232"/>
      <c r="CM1086" s="232"/>
      <c r="CN1086" s="215"/>
      <c r="CO1086" s="215"/>
      <c r="CP1086" s="215"/>
      <c r="CQ1086" s="215"/>
      <c r="CR1086" s="215"/>
      <c r="CS1086" s="215"/>
      <c r="CT1086" s="215"/>
    </row>
    <row r="1087" ht="24.0" customHeight="1">
      <c r="A1087" s="287"/>
      <c r="B1087" s="287"/>
      <c r="C1087" s="287"/>
      <c r="D1087" s="232"/>
      <c r="E1087" s="232"/>
      <c r="F1087" s="232"/>
      <c r="G1087" s="232"/>
      <c r="H1087" s="232"/>
      <c r="I1087" s="232"/>
      <c r="J1087" s="232"/>
      <c r="K1087" s="232"/>
      <c r="L1087" s="232"/>
      <c r="M1087" s="232"/>
      <c r="N1087" s="289"/>
      <c r="O1087" s="232"/>
      <c r="P1087" s="232"/>
      <c r="Q1087" s="232"/>
      <c r="R1087" s="232"/>
      <c r="S1087" s="232"/>
      <c r="T1087" s="232"/>
      <c r="U1087" s="232"/>
      <c r="V1087" s="232"/>
      <c r="W1087" s="232"/>
      <c r="X1087" s="232"/>
      <c r="Y1087" s="232"/>
      <c r="Z1087" s="232"/>
      <c r="AA1087" s="232"/>
      <c r="AB1087" s="232"/>
      <c r="AC1087" s="232"/>
      <c r="AD1087" s="232"/>
      <c r="AE1087" s="232"/>
      <c r="AF1087" s="232"/>
      <c r="AG1087" s="232"/>
      <c r="AH1087" s="232"/>
      <c r="AI1087" s="232"/>
      <c r="AJ1087" s="232"/>
      <c r="AK1087" s="232"/>
      <c r="AL1087" s="232"/>
      <c r="AM1087" s="232"/>
      <c r="AN1087" s="232"/>
      <c r="AO1087" s="232"/>
      <c r="AP1087" s="232"/>
      <c r="AQ1087" s="232"/>
      <c r="AR1087" s="232"/>
      <c r="AS1087" s="232"/>
      <c r="AT1087" s="232"/>
      <c r="AU1087" s="232"/>
      <c r="AV1087" s="232"/>
      <c r="AW1087" s="232"/>
      <c r="AX1087" s="232"/>
      <c r="AY1087" s="232"/>
      <c r="AZ1087" s="232"/>
      <c r="BA1087" s="232"/>
      <c r="BB1087" s="232"/>
      <c r="BC1087" s="232"/>
      <c r="BD1087" s="232"/>
      <c r="BE1087" s="232"/>
      <c r="BF1087" s="232"/>
      <c r="BG1087" s="232"/>
      <c r="BH1087" s="232"/>
      <c r="BI1087" s="232"/>
      <c r="BJ1087" s="232"/>
      <c r="BK1087" s="232"/>
      <c r="BL1087" s="232"/>
      <c r="BM1087" s="232"/>
      <c r="BN1087" s="232"/>
      <c r="BO1087" s="232"/>
      <c r="BP1087" s="232"/>
      <c r="BQ1087" s="232"/>
      <c r="BR1087" s="232"/>
      <c r="BS1087" s="232"/>
      <c r="BT1087" s="232"/>
      <c r="BU1087" s="232"/>
      <c r="BV1087" s="232"/>
      <c r="BW1087" s="232"/>
      <c r="BX1087" s="232"/>
      <c r="BY1087" s="232"/>
      <c r="BZ1087" s="232"/>
      <c r="CA1087" s="232"/>
      <c r="CB1087" s="232"/>
      <c r="CC1087" s="232"/>
      <c r="CD1087" s="232"/>
      <c r="CE1087" s="232"/>
      <c r="CF1087" s="232"/>
      <c r="CG1087" s="232"/>
      <c r="CH1087" s="232"/>
      <c r="CI1087" s="232"/>
      <c r="CJ1087" s="232"/>
      <c r="CK1087" s="232"/>
      <c r="CL1087" s="232"/>
      <c r="CM1087" s="232"/>
      <c r="CN1087" s="215"/>
      <c r="CO1087" s="215"/>
      <c r="CP1087" s="215"/>
      <c r="CQ1087" s="215"/>
      <c r="CR1087" s="215"/>
      <c r="CS1087" s="215"/>
      <c r="CT1087" s="215"/>
    </row>
    <row r="1088" ht="24.0" customHeight="1">
      <c r="A1088" s="287"/>
      <c r="B1088" s="287"/>
      <c r="C1088" s="287"/>
      <c r="D1088" s="232"/>
      <c r="E1088" s="232"/>
      <c r="F1088" s="232"/>
      <c r="G1088" s="232"/>
      <c r="H1088" s="232"/>
      <c r="I1088" s="232"/>
      <c r="J1088" s="232"/>
      <c r="K1088" s="232"/>
      <c r="L1088" s="232"/>
      <c r="M1088" s="232"/>
      <c r="N1088" s="289"/>
      <c r="O1088" s="232"/>
      <c r="P1088" s="232"/>
      <c r="Q1088" s="232"/>
      <c r="R1088" s="232"/>
      <c r="S1088" s="232"/>
      <c r="T1088" s="232"/>
      <c r="U1088" s="232"/>
      <c r="V1088" s="232"/>
      <c r="W1088" s="232"/>
      <c r="X1088" s="232"/>
      <c r="Y1088" s="232"/>
      <c r="Z1088" s="232"/>
      <c r="AA1088" s="232"/>
      <c r="AB1088" s="232"/>
      <c r="AC1088" s="232"/>
      <c r="AD1088" s="232"/>
      <c r="AE1088" s="232"/>
      <c r="AF1088" s="232"/>
      <c r="AG1088" s="232"/>
      <c r="AH1088" s="232"/>
      <c r="AI1088" s="232"/>
      <c r="AJ1088" s="232"/>
      <c r="AK1088" s="232"/>
      <c r="AL1088" s="232"/>
      <c r="AM1088" s="232"/>
      <c r="AN1088" s="232"/>
      <c r="AO1088" s="232"/>
      <c r="AP1088" s="232"/>
      <c r="AQ1088" s="232"/>
      <c r="AR1088" s="232"/>
      <c r="AS1088" s="232"/>
      <c r="AT1088" s="232"/>
      <c r="AU1088" s="232"/>
      <c r="AV1088" s="232"/>
      <c r="AW1088" s="232"/>
      <c r="AX1088" s="232"/>
      <c r="AY1088" s="232"/>
      <c r="AZ1088" s="232"/>
      <c r="BA1088" s="232"/>
      <c r="BB1088" s="232"/>
      <c r="BC1088" s="232"/>
      <c r="BD1088" s="232"/>
      <c r="BE1088" s="232"/>
      <c r="BF1088" s="232"/>
      <c r="BG1088" s="232"/>
      <c r="BH1088" s="232"/>
      <c r="BI1088" s="232"/>
      <c r="BJ1088" s="232"/>
      <c r="BK1088" s="232"/>
      <c r="BL1088" s="232"/>
      <c r="BM1088" s="232"/>
      <c r="BN1088" s="232"/>
      <c r="BO1088" s="232"/>
      <c r="BP1088" s="232"/>
      <c r="BQ1088" s="232"/>
      <c r="BR1088" s="232"/>
      <c r="BS1088" s="232"/>
      <c r="BT1088" s="232"/>
      <c r="BU1088" s="232"/>
      <c r="BV1088" s="232"/>
      <c r="BW1088" s="232"/>
      <c r="BX1088" s="232"/>
      <c r="BY1088" s="232"/>
      <c r="BZ1088" s="232"/>
      <c r="CA1088" s="232"/>
      <c r="CB1088" s="232"/>
      <c r="CC1088" s="232"/>
      <c r="CD1088" s="232"/>
      <c r="CE1088" s="232"/>
      <c r="CF1088" s="232"/>
      <c r="CG1088" s="232"/>
      <c r="CH1088" s="232"/>
      <c r="CI1088" s="232"/>
      <c r="CJ1088" s="232"/>
      <c r="CK1088" s="232"/>
      <c r="CL1088" s="232"/>
      <c r="CM1088" s="232"/>
      <c r="CN1088" s="215"/>
      <c r="CO1088" s="215"/>
      <c r="CP1088" s="215"/>
      <c r="CQ1088" s="215"/>
      <c r="CR1088" s="215"/>
      <c r="CS1088" s="215"/>
      <c r="CT1088" s="215"/>
    </row>
    <row r="1089" ht="24.0" customHeight="1">
      <c r="A1089" s="287"/>
      <c r="B1089" s="287"/>
      <c r="C1089" s="287"/>
      <c r="D1089" s="232"/>
      <c r="E1089" s="232"/>
      <c r="F1089" s="232"/>
      <c r="G1089" s="232"/>
      <c r="H1089" s="232"/>
      <c r="I1089" s="232"/>
      <c r="J1089" s="232"/>
      <c r="K1089" s="232"/>
      <c r="L1089" s="232"/>
      <c r="M1089" s="232"/>
      <c r="N1089" s="289"/>
      <c r="O1089" s="232"/>
      <c r="P1089" s="232"/>
      <c r="Q1089" s="232"/>
      <c r="R1089" s="232"/>
      <c r="S1089" s="232"/>
      <c r="T1089" s="232"/>
      <c r="U1089" s="232"/>
      <c r="V1089" s="232"/>
      <c r="W1089" s="232"/>
      <c r="X1089" s="232"/>
      <c r="Y1089" s="232"/>
      <c r="Z1089" s="232"/>
      <c r="AA1089" s="232"/>
      <c r="AB1089" s="232"/>
      <c r="AC1089" s="232"/>
      <c r="AD1089" s="232"/>
      <c r="AE1089" s="232"/>
      <c r="AF1089" s="232"/>
      <c r="AG1089" s="232"/>
      <c r="AH1089" s="232"/>
      <c r="AI1089" s="232"/>
      <c r="AJ1089" s="232"/>
      <c r="AK1089" s="232"/>
      <c r="AL1089" s="232"/>
      <c r="AM1089" s="232"/>
      <c r="AN1089" s="232"/>
      <c r="AO1089" s="232"/>
      <c r="AP1089" s="232"/>
      <c r="AQ1089" s="232"/>
      <c r="AR1089" s="232"/>
      <c r="AS1089" s="232"/>
      <c r="AT1089" s="232"/>
      <c r="AU1089" s="232"/>
      <c r="AV1089" s="232"/>
      <c r="AW1089" s="232"/>
      <c r="AX1089" s="232"/>
      <c r="AY1089" s="232"/>
      <c r="AZ1089" s="232"/>
      <c r="BA1089" s="232"/>
      <c r="BB1089" s="232"/>
      <c r="BC1089" s="232"/>
      <c r="BD1089" s="232"/>
      <c r="BE1089" s="232"/>
      <c r="BF1089" s="232"/>
      <c r="BG1089" s="232"/>
      <c r="BH1089" s="232"/>
      <c r="BI1089" s="232"/>
      <c r="BJ1089" s="232"/>
      <c r="BK1089" s="232"/>
      <c r="BL1089" s="232"/>
      <c r="BM1089" s="232"/>
      <c r="BN1089" s="232"/>
      <c r="BO1089" s="232"/>
      <c r="BP1089" s="232"/>
      <c r="BQ1089" s="232"/>
      <c r="BR1089" s="232"/>
      <c r="BS1089" s="232"/>
      <c r="BT1089" s="232"/>
      <c r="BU1089" s="232"/>
      <c r="BV1089" s="232"/>
      <c r="BW1089" s="232"/>
      <c r="BX1089" s="232"/>
      <c r="BY1089" s="232"/>
      <c r="BZ1089" s="232"/>
      <c r="CA1089" s="232"/>
      <c r="CB1089" s="232"/>
      <c r="CC1089" s="232"/>
      <c r="CD1089" s="232"/>
      <c r="CE1089" s="232"/>
      <c r="CF1089" s="232"/>
      <c r="CG1089" s="232"/>
      <c r="CH1089" s="232"/>
      <c r="CI1089" s="232"/>
      <c r="CJ1089" s="232"/>
      <c r="CK1089" s="232"/>
      <c r="CL1089" s="232"/>
      <c r="CM1089" s="232"/>
      <c r="CN1089" s="215"/>
      <c r="CO1089" s="215"/>
      <c r="CP1089" s="215"/>
      <c r="CQ1089" s="215"/>
      <c r="CR1089" s="215"/>
      <c r="CS1089" s="215"/>
      <c r="CT1089" s="215"/>
    </row>
    <row r="1090" ht="24.0" customHeight="1">
      <c r="A1090" s="287"/>
      <c r="B1090" s="287"/>
      <c r="C1090" s="287"/>
      <c r="D1090" s="232"/>
      <c r="E1090" s="232"/>
      <c r="F1090" s="232"/>
      <c r="G1090" s="232"/>
      <c r="H1090" s="232"/>
      <c r="I1090" s="232"/>
      <c r="J1090" s="232"/>
      <c r="K1090" s="232"/>
      <c r="L1090" s="232"/>
      <c r="M1090" s="232"/>
      <c r="N1090" s="289"/>
      <c r="O1090" s="232"/>
      <c r="P1090" s="232"/>
      <c r="Q1090" s="232"/>
      <c r="R1090" s="232"/>
      <c r="S1090" s="232"/>
      <c r="T1090" s="232"/>
      <c r="U1090" s="232"/>
      <c r="V1090" s="232"/>
      <c r="W1090" s="232"/>
      <c r="X1090" s="232"/>
      <c r="Y1090" s="232"/>
      <c r="Z1090" s="232"/>
      <c r="AA1090" s="232"/>
      <c r="AB1090" s="232"/>
      <c r="AC1090" s="232"/>
      <c r="AD1090" s="232"/>
      <c r="AE1090" s="232"/>
      <c r="AF1090" s="232"/>
      <c r="AG1090" s="232"/>
      <c r="AH1090" s="232"/>
      <c r="AI1090" s="232"/>
      <c r="AJ1090" s="232"/>
      <c r="AK1090" s="232"/>
      <c r="AL1090" s="232"/>
      <c r="AM1090" s="232"/>
      <c r="AN1090" s="232"/>
      <c r="AO1090" s="232"/>
      <c r="AP1090" s="232"/>
      <c r="AQ1090" s="232"/>
      <c r="AR1090" s="232"/>
      <c r="AS1090" s="232"/>
      <c r="AT1090" s="232"/>
      <c r="AU1090" s="232"/>
      <c r="AV1090" s="232"/>
      <c r="AW1090" s="232"/>
      <c r="AX1090" s="232"/>
      <c r="AY1090" s="232"/>
      <c r="AZ1090" s="232"/>
      <c r="BA1090" s="232"/>
      <c r="BB1090" s="232"/>
      <c r="BC1090" s="232"/>
      <c r="BD1090" s="232"/>
      <c r="BE1090" s="232"/>
      <c r="BF1090" s="232"/>
      <c r="BG1090" s="232"/>
      <c r="BH1090" s="232"/>
      <c r="BI1090" s="232"/>
      <c r="BJ1090" s="232"/>
      <c r="BK1090" s="232"/>
      <c r="BL1090" s="232"/>
      <c r="BM1090" s="232"/>
      <c r="BN1090" s="232"/>
      <c r="BO1090" s="232"/>
      <c r="BP1090" s="232"/>
      <c r="BQ1090" s="232"/>
      <c r="BR1090" s="232"/>
      <c r="BS1090" s="232"/>
      <c r="BT1090" s="232"/>
      <c r="BU1090" s="232"/>
      <c r="BV1090" s="232"/>
      <c r="BW1090" s="232"/>
      <c r="BX1090" s="232"/>
      <c r="BY1090" s="232"/>
      <c r="BZ1090" s="232"/>
      <c r="CA1090" s="232"/>
      <c r="CB1090" s="232"/>
      <c r="CC1090" s="232"/>
      <c r="CD1090" s="232"/>
      <c r="CE1090" s="232"/>
      <c r="CF1090" s="232"/>
      <c r="CG1090" s="232"/>
      <c r="CH1090" s="232"/>
      <c r="CI1090" s="232"/>
      <c r="CJ1090" s="232"/>
      <c r="CK1090" s="232"/>
      <c r="CL1090" s="232"/>
      <c r="CM1090" s="232"/>
      <c r="CN1090" s="215"/>
      <c r="CO1090" s="215"/>
      <c r="CP1090" s="215"/>
      <c r="CQ1090" s="215"/>
      <c r="CR1090" s="215"/>
      <c r="CS1090" s="215"/>
      <c r="CT1090" s="215"/>
    </row>
    <row r="1091" ht="24.0" customHeight="1">
      <c r="A1091" s="287"/>
      <c r="B1091" s="287"/>
      <c r="C1091" s="287"/>
      <c r="D1091" s="232"/>
      <c r="E1091" s="232"/>
      <c r="F1091" s="232"/>
      <c r="G1091" s="232"/>
      <c r="H1091" s="232"/>
      <c r="I1091" s="232"/>
      <c r="J1091" s="232"/>
      <c r="K1091" s="232"/>
      <c r="L1091" s="232"/>
      <c r="M1091" s="232"/>
      <c r="N1091" s="289"/>
      <c r="O1091" s="232"/>
      <c r="P1091" s="232"/>
      <c r="Q1091" s="232"/>
      <c r="R1091" s="232"/>
      <c r="S1091" s="232"/>
      <c r="T1091" s="232"/>
      <c r="U1091" s="232"/>
      <c r="V1091" s="232"/>
      <c r="W1091" s="232"/>
      <c r="X1091" s="232"/>
      <c r="Y1091" s="232"/>
      <c r="Z1091" s="232"/>
      <c r="AA1091" s="232"/>
      <c r="AB1091" s="232"/>
      <c r="AC1091" s="232"/>
      <c r="AD1091" s="232"/>
      <c r="AE1091" s="232"/>
      <c r="AF1091" s="232"/>
      <c r="AG1091" s="232"/>
      <c r="AH1091" s="232"/>
      <c r="AI1091" s="232"/>
      <c r="AJ1091" s="232"/>
      <c r="AK1091" s="232"/>
      <c r="AL1091" s="232"/>
      <c r="AM1091" s="232"/>
      <c r="AN1091" s="232"/>
      <c r="AO1091" s="232"/>
      <c r="AP1091" s="232"/>
      <c r="AQ1091" s="232"/>
      <c r="AR1091" s="232"/>
      <c r="AS1091" s="232"/>
      <c r="AT1091" s="232"/>
      <c r="AU1091" s="232"/>
      <c r="AV1091" s="232"/>
      <c r="AW1091" s="232"/>
      <c r="AX1091" s="232"/>
      <c r="AY1091" s="232"/>
      <c r="AZ1091" s="232"/>
      <c r="BA1091" s="232"/>
      <c r="BB1091" s="232"/>
      <c r="BC1091" s="232"/>
      <c r="BD1091" s="232"/>
      <c r="BE1091" s="232"/>
      <c r="BF1091" s="232"/>
      <c r="BG1091" s="232"/>
      <c r="BH1091" s="232"/>
      <c r="BI1091" s="232"/>
      <c r="BJ1091" s="232"/>
      <c r="BK1091" s="232"/>
      <c r="BL1091" s="232"/>
      <c r="BM1091" s="232"/>
      <c r="BN1091" s="232"/>
      <c r="BO1091" s="232"/>
      <c r="BP1091" s="232"/>
      <c r="BQ1091" s="232"/>
      <c r="BR1091" s="232"/>
      <c r="BS1091" s="232"/>
      <c r="BT1091" s="232"/>
      <c r="BU1091" s="232"/>
      <c r="BV1091" s="232"/>
      <c r="BW1091" s="232"/>
      <c r="BX1091" s="232"/>
      <c r="BY1091" s="232"/>
      <c r="BZ1091" s="232"/>
      <c r="CA1091" s="232"/>
      <c r="CB1091" s="232"/>
      <c r="CC1091" s="232"/>
      <c r="CD1091" s="232"/>
      <c r="CE1091" s="232"/>
      <c r="CF1091" s="232"/>
      <c r="CG1091" s="232"/>
      <c r="CH1091" s="232"/>
      <c r="CI1091" s="232"/>
      <c r="CJ1091" s="232"/>
      <c r="CK1091" s="232"/>
      <c r="CL1091" s="232"/>
      <c r="CM1091" s="232"/>
      <c r="CN1091" s="215"/>
      <c r="CO1091" s="215"/>
      <c r="CP1091" s="215"/>
      <c r="CQ1091" s="215"/>
      <c r="CR1091" s="215"/>
      <c r="CS1091" s="215"/>
      <c r="CT1091" s="215"/>
    </row>
    <row r="1092" ht="24.0" customHeight="1">
      <c r="A1092" s="287"/>
      <c r="B1092" s="287"/>
      <c r="C1092" s="287"/>
      <c r="D1092" s="232"/>
      <c r="E1092" s="232"/>
      <c r="F1092" s="232"/>
      <c r="G1092" s="232"/>
      <c r="H1092" s="232"/>
      <c r="I1092" s="232"/>
      <c r="J1092" s="232"/>
      <c r="K1092" s="232"/>
      <c r="L1092" s="232"/>
      <c r="M1092" s="232"/>
      <c r="N1092" s="289"/>
      <c r="O1092" s="232"/>
      <c r="P1092" s="232"/>
      <c r="Q1092" s="232"/>
      <c r="R1092" s="232"/>
      <c r="S1092" s="232"/>
      <c r="T1092" s="232"/>
      <c r="U1092" s="232"/>
      <c r="V1092" s="232"/>
      <c r="W1092" s="232"/>
      <c r="X1092" s="232"/>
      <c r="Y1092" s="232"/>
      <c r="Z1092" s="232"/>
      <c r="AA1092" s="232"/>
      <c r="AB1092" s="232"/>
      <c r="AC1092" s="232"/>
      <c r="AD1092" s="232"/>
      <c r="AE1092" s="232"/>
      <c r="AF1092" s="232"/>
      <c r="AG1092" s="232"/>
      <c r="AH1092" s="232"/>
      <c r="AI1092" s="232"/>
      <c r="AJ1092" s="232"/>
      <c r="AK1092" s="232"/>
      <c r="AL1092" s="232"/>
      <c r="AM1092" s="232"/>
      <c r="AN1092" s="232"/>
      <c r="AO1092" s="232"/>
      <c r="AP1092" s="232"/>
      <c r="AQ1092" s="232"/>
      <c r="AR1092" s="232"/>
      <c r="AS1092" s="232"/>
      <c r="AT1092" s="232"/>
      <c r="AU1092" s="232"/>
      <c r="AV1092" s="232"/>
      <c r="AW1092" s="232"/>
      <c r="AX1092" s="232"/>
      <c r="AY1092" s="232"/>
      <c r="AZ1092" s="232"/>
      <c r="BA1092" s="232"/>
      <c r="BB1092" s="232"/>
      <c r="BC1092" s="232"/>
      <c r="BD1092" s="232"/>
      <c r="BE1092" s="232"/>
      <c r="BF1092" s="232"/>
      <c r="BG1092" s="232"/>
      <c r="BH1092" s="232"/>
      <c r="BI1092" s="232"/>
      <c r="BJ1092" s="232"/>
      <c r="BK1092" s="232"/>
      <c r="BL1092" s="232"/>
      <c r="BM1092" s="232"/>
      <c r="BN1092" s="232"/>
      <c r="BO1092" s="232"/>
      <c r="BP1092" s="232"/>
      <c r="BQ1092" s="232"/>
      <c r="BR1092" s="232"/>
      <c r="BS1092" s="232"/>
      <c r="BT1092" s="232"/>
      <c r="BU1092" s="232"/>
      <c r="BV1092" s="232"/>
      <c r="BW1092" s="232"/>
      <c r="BX1092" s="232"/>
      <c r="BY1092" s="232"/>
      <c r="BZ1092" s="232"/>
      <c r="CA1092" s="232"/>
      <c r="CB1092" s="232"/>
      <c r="CC1092" s="232"/>
      <c r="CD1092" s="232"/>
      <c r="CE1092" s="232"/>
      <c r="CF1092" s="232"/>
      <c r="CG1092" s="232"/>
      <c r="CH1092" s="232"/>
      <c r="CI1092" s="232"/>
      <c r="CJ1092" s="232"/>
      <c r="CK1092" s="232"/>
      <c r="CL1092" s="232"/>
      <c r="CM1092" s="232"/>
      <c r="CN1092" s="215"/>
      <c r="CO1092" s="215"/>
      <c r="CP1092" s="215"/>
      <c r="CQ1092" s="215"/>
      <c r="CR1092" s="215"/>
      <c r="CS1092" s="215"/>
      <c r="CT1092" s="215"/>
    </row>
    <row r="1093" ht="24.0" customHeight="1">
      <c r="A1093" s="287"/>
      <c r="B1093" s="287"/>
      <c r="C1093" s="287"/>
      <c r="D1093" s="232"/>
      <c r="E1093" s="232"/>
      <c r="F1093" s="232"/>
      <c r="G1093" s="232"/>
      <c r="H1093" s="232"/>
      <c r="I1093" s="232"/>
      <c r="J1093" s="232"/>
      <c r="K1093" s="232"/>
      <c r="L1093" s="232"/>
      <c r="M1093" s="232"/>
      <c r="N1093" s="289"/>
      <c r="O1093" s="232"/>
      <c r="P1093" s="232"/>
      <c r="Q1093" s="232"/>
      <c r="R1093" s="232"/>
      <c r="S1093" s="232"/>
      <c r="T1093" s="232"/>
      <c r="U1093" s="232"/>
      <c r="V1093" s="232"/>
      <c r="W1093" s="232"/>
      <c r="X1093" s="232"/>
      <c r="Y1093" s="232"/>
      <c r="Z1093" s="232"/>
      <c r="AA1093" s="232"/>
      <c r="AB1093" s="232"/>
      <c r="AC1093" s="232"/>
      <c r="AD1093" s="232"/>
      <c r="AE1093" s="232"/>
      <c r="AF1093" s="232"/>
      <c r="AG1093" s="232"/>
      <c r="AH1093" s="232"/>
      <c r="AI1093" s="232"/>
      <c r="AJ1093" s="232"/>
      <c r="AK1093" s="232"/>
      <c r="AL1093" s="232"/>
      <c r="AM1093" s="232"/>
      <c r="AN1093" s="232"/>
      <c r="AO1093" s="232"/>
      <c r="AP1093" s="232"/>
      <c r="AQ1093" s="232"/>
      <c r="AR1093" s="232"/>
      <c r="AS1093" s="232"/>
      <c r="AT1093" s="232"/>
      <c r="AU1093" s="232"/>
      <c r="AV1093" s="232"/>
      <c r="AW1093" s="232"/>
      <c r="AX1093" s="232"/>
      <c r="AY1093" s="232"/>
      <c r="AZ1093" s="232"/>
      <c r="BA1093" s="232"/>
      <c r="BB1093" s="232"/>
      <c r="BC1093" s="232"/>
      <c r="BD1093" s="232"/>
      <c r="BE1093" s="232"/>
      <c r="BF1093" s="232"/>
      <c r="BG1093" s="232"/>
      <c r="BH1093" s="232"/>
      <c r="BI1093" s="232"/>
      <c r="BJ1093" s="232"/>
      <c r="BK1093" s="232"/>
      <c r="BL1093" s="232"/>
      <c r="BM1093" s="232"/>
      <c r="BN1093" s="232"/>
      <c r="BO1093" s="232"/>
      <c r="BP1093" s="232"/>
      <c r="BQ1093" s="232"/>
      <c r="BR1093" s="232"/>
      <c r="BS1093" s="232"/>
      <c r="BT1093" s="232"/>
      <c r="BU1093" s="232"/>
      <c r="BV1093" s="232"/>
      <c r="BW1093" s="232"/>
      <c r="BX1093" s="232"/>
      <c r="BY1093" s="232"/>
      <c r="BZ1093" s="232"/>
      <c r="CA1093" s="232"/>
      <c r="CB1093" s="232"/>
      <c r="CC1093" s="232"/>
      <c r="CD1093" s="232"/>
      <c r="CE1093" s="232"/>
      <c r="CF1093" s="232"/>
      <c r="CG1093" s="232"/>
      <c r="CH1093" s="232"/>
      <c r="CI1093" s="232"/>
      <c r="CJ1093" s="232"/>
      <c r="CK1093" s="232"/>
      <c r="CL1093" s="232"/>
      <c r="CM1093" s="232"/>
      <c r="CN1093" s="215"/>
      <c r="CO1093" s="215"/>
      <c r="CP1093" s="215"/>
      <c r="CQ1093" s="215"/>
      <c r="CR1093" s="215"/>
      <c r="CS1093" s="215"/>
      <c r="CT1093" s="215"/>
    </row>
    <row r="1094" ht="24.0" customHeight="1">
      <c r="A1094" s="287"/>
      <c r="B1094" s="287"/>
      <c r="C1094" s="287"/>
      <c r="D1094" s="232"/>
      <c r="E1094" s="232"/>
      <c r="F1094" s="232"/>
      <c r="G1094" s="232"/>
      <c r="H1094" s="232"/>
      <c r="I1094" s="232"/>
      <c r="J1094" s="232"/>
      <c r="K1094" s="232"/>
      <c r="L1094" s="232"/>
      <c r="M1094" s="232"/>
      <c r="N1094" s="289"/>
      <c r="O1094" s="232"/>
      <c r="P1094" s="232"/>
      <c r="Q1094" s="232"/>
      <c r="R1094" s="232"/>
      <c r="S1094" s="232"/>
      <c r="T1094" s="232"/>
      <c r="U1094" s="232"/>
      <c r="V1094" s="232"/>
      <c r="W1094" s="232"/>
      <c r="X1094" s="232"/>
      <c r="Y1094" s="232"/>
      <c r="Z1094" s="232"/>
      <c r="AA1094" s="232"/>
      <c r="AB1094" s="232"/>
      <c r="AC1094" s="232"/>
      <c r="AD1094" s="232"/>
      <c r="AE1094" s="232"/>
      <c r="AF1094" s="232"/>
      <c r="AG1094" s="232"/>
      <c r="AH1094" s="232"/>
      <c r="AI1094" s="232"/>
      <c r="AJ1094" s="232"/>
      <c r="AK1094" s="232"/>
      <c r="AL1094" s="232"/>
      <c r="AM1094" s="232"/>
      <c r="AN1094" s="232"/>
      <c r="AO1094" s="232"/>
      <c r="AP1094" s="232"/>
      <c r="AQ1094" s="232"/>
      <c r="AR1094" s="232"/>
      <c r="AS1094" s="232"/>
      <c r="AT1094" s="232"/>
      <c r="AU1094" s="232"/>
      <c r="AV1094" s="232"/>
      <c r="AW1094" s="232"/>
      <c r="AX1094" s="232"/>
      <c r="AY1094" s="232"/>
      <c r="AZ1094" s="232"/>
      <c r="BA1094" s="232"/>
      <c r="BB1094" s="232"/>
      <c r="BC1094" s="232"/>
      <c r="BD1094" s="232"/>
      <c r="BE1094" s="232"/>
      <c r="BF1094" s="232"/>
      <c r="BG1094" s="232"/>
      <c r="BH1094" s="232"/>
      <c r="BI1094" s="232"/>
      <c r="BJ1094" s="232"/>
      <c r="BK1094" s="232"/>
      <c r="BL1094" s="232"/>
      <c r="BM1094" s="232"/>
      <c r="BN1094" s="232"/>
      <c r="BO1094" s="232"/>
      <c r="BP1094" s="232"/>
      <c r="BQ1094" s="232"/>
      <c r="BR1094" s="232"/>
      <c r="BS1094" s="232"/>
      <c r="BT1094" s="232"/>
      <c r="BU1094" s="232"/>
      <c r="BV1094" s="232"/>
      <c r="BW1094" s="232"/>
      <c r="BX1094" s="232"/>
      <c r="BY1094" s="232"/>
      <c r="BZ1094" s="232"/>
      <c r="CA1094" s="232"/>
      <c r="CB1094" s="232"/>
      <c r="CC1094" s="232"/>
      <c r="CD1094" s="232"/>
      <c r="CE1094" s="232"/>
      <c r="CF1094" s="232"/>
      <c r="CG1094" s="232"/>
      <c r="CH1094" s="232"/>
      <c r="CI1094" s="232"/>
      <c r="CJ1094" s="232"/>
      <c r="CK1094" s="232"/>
      <c r="CL1094" s="232"/>
      <c r="CM1094" s="232"/>
      <c r="CN1094" s="215"/>
      <c r="CO1094" s="215"/>
      <c r="CP1094" s="215"/>
      <c r="CQ1094" s="215"/>
      <c r="CR1094" s="215"/>
      <c r="CS1094" s="215"/>
      <c r="CT1094" s="215"/>
    </row>
    <row r="1095" ht="24.0" customHeight="1">
      <c r="A1095" s="287"/>
      <c r="B1095" s="287"/>
      <c r="C1095" s="287"/>
      <c r="D1095" s="232"/>
      <c r="E1095" s="232"/>
      <c r="F1095" s="232"/>
      <c r="G1095" s="232"/>
      <c r="H1095" s="232"/>
      <c r="I1095" s="232"/>
      <c r="J1095" s="232"/>
      <c r="K1095" s="232"/>
      <c r="L1095" s="232"/>
      <c r="M1095" s="232"/>
      <c r="N1095" s="289"/>
      <c r="O1095" s="232"/>
      <c r="P1095" s="232"/>
      <c r="Q1095" s="232"/>
      <c r="R1095" s="232"/>
      <c r="S1095" s="232"/>
      <c r="T1095" s="232"/>
      <c r="U1095" s="232"/>
      <c r="V1095" s="232"/>
      <c r="W1095" s="232"/>
      <c r="X1095" s="232"/>
      <c r="Y1095" s="232"/>
      <c r="Z1095" s="232"/>
      <c r="AA1095" s="232"/>
      <c r="AB1095" s="232"/>
      <c r="AC1095" s="232"/>
      <c r="AD1095" s="232"/>
      <c r="AE1095" s="232"/>
      <c r="AF1095" s="232"/>
      <c r="AG1095" s="232"/>
      <c r="AH1095" s="232"/>
      <c r="AI1095" s="232"/>
      <c r="AJ1095" s="232"/>
      <c r="AK1095" s="232"/>
      <c r="AL1095" s="232"/>
      <c r="AM1095" s="232"/>
      <c r="AN1095" s="232"/>
      <c r="AO1095" s="232"/>
      <c r="AP1095" s="232"/>
      <c r="AQ1095" s="232"/>
      <c r="AR1095" s="232"/>
      <c r="AS1095" s="232"/>
      <c r="AT1095" s="232"/>
      <c r="AU1095" s="232"/>
      <c r="AV1095" s="232"/>
      <c r="AW1095" s="232"/>
      <c r="AX1095" s="232"/>
      <c r="AY1095" s="232"/>
      <c r="AZ1095" s="232"/>
      <c r="BA1095" s="232"/>
      <c r="BB1095" s="232"/>
      <c r="BC1095" s="232"/>
      <c r="BD1095" s="232"/>
      <c r="BE1095" s="232"/>
      <c r="BF1095" s="232"/>
      <c r="BG1095" s="232"/>
      <c r="BH1095" s="232"/>
      <c r="BI1095" s="232"/>
      <c r="BJ1095" s="232"/>
      <c r="BK1095" s="232"/>
      <c r="BL1095" s="232"/>
      <c r="BM1095" s="232"/>
      <c r="BN1095" s="232"/>
      <c r="BO1095" s="232"/>
      <c r="BP1095" s="232"/>
      <c r="BQ1095" s="232"/>
      <c r="BR1095" s="232"/>
      <c r="BS1095" s="232"/>
      <c r="BT1095" s="232"/>
      <c r="BU1095" s="232"/>
      <c r="BV1095" s="232"/>
      <c r="BW1095" s="232"/>
      <c r="BX1095" s="232"/>
      <c r="BY1095" s="232"/>
      <c r="BZ1095" s="232"/>
      <c r="CA1095" s="232"/>
      <c r="CB1095" s="232"/>
      <c r="CC1095" s="232"/>
      <c r="CD1095" s="232"/>
      <c r="CE1095" s="232"/>
      <c r="CF1095" s="232"/>
      <c r="CG1095" s="232"/>
      <c r="CH1095" s="232"/>
      <c r="CI1095" s="232"/>
      <c r="CJ1095" s="232"/>
      <c r="CK1095" s="232"/>
      <c r="CL1095" s="232"/>
      <c r="CM1095" s="232"/>
      <c r="CN1095" s="215"/>
      <c r="CO1095" s="215"/>
      <c r="CP1095" s="215"/>
      <c r="CQ1095" s="215"/>
      <c r="CR1095" s="215"/>
      <c r="CS1095" s="215"/>
      <c r="CT1095" s="215"/>
    </row>
    <row r="1096" ht="24.0" customHeight="1">
      <c r="A1096" s="287"/>
      <c r="B1096" s="287"/>
      <c r="C1096" s="287"/>
      <c r="D1096" s="232"/>
      <c r="E1096" s="232"/>
      <c r="F1096" s="232"/>
      <c r="G1096" s="232"/>
      <c r="H1096" s="232"/>
      <c r="I1096" s="232"/>
      <c r="J1096" s="232"/>
      <c r="K1096" s="232"/>
      <c r="L1096" s="232"/>
      <c r="M1096" s="232"/>
      <c r="N1096" s="289"/>
      <c r="O1096" s="232"/>
      <c r="P1096" s="232"/>
      <c r="Q1096" s="232"/>
      <c r="R1096" s="232"/>
      <c r="S1096" s="232"/>
      <c r="T1096" s="232"/>
      <c r="U1096" s="232"/>
      <c r="V1096" s="232"/>
      <c r="W1096" s="232"/>
      <c r="X1096" s="232"/>
      <c r="Y1096" s="232"/>
      <c r="Z1096" s="232"/>
      <c r="AA1096" s="232"/>
      <c r="AB1096" s="232"/>
      <c r="AC1096" s="232"/>
      <c r="AD1096" s="232"/>
      <c r="AE1096" s="232"/>
      <c r="AF1096" s="232"/>
      <c r="AG1096" s="232"/>
      <c r="AH1096" s="232"/>
      <c r="AI1096" s="232"/>
      <c r="AJ1096" s="232"/>
      <c r="AK1096" s="232"/>
      <c r="AL1096" s="232"/>
      <c r="AM1096" s="232"/>
      <c r="AN1096" s="232"/>
      <c r="AO1096" s="232"/>
      <c r="AP1096" s="232"/>
      <c r="AQ1096" s="232"/>
      <c r="AR1096" s="232"/>
      <c r="AS1096" s="232"/>
      <c r="AT1096" s="232"/>
      <c r="AU1096" s="232"/>
      <c r="AV1096" s="232"/>
      <c r="AW1096" s="232"/>
      <c r="AX1096" s="232"/>
      <c r="AY1096" s="232"/>
      <c r="AZ1096" s="232"/>
      <c r="BA1096" s="232"/>
      <c r="BB1096" s="232"/>
      <c r="BC1096" s="232"/>
      <c r="BD1096" s="232"/>
      <c r="BE1096" s="232"/>
      <c r="BF1096" s="232"/>
      <c r="BG1096" s="232"/>
      <c r="BH1096" s="232"/>
      <c r="BI1096" s="232"/>
      <c r="BJ1096" s="232"/>
      <c r="BK1096" s="232"/>
      <c r="BL1096" s="232"/>
      <c r="BM1096" s="232"/>
      <c r="BN1096" s="232"/>
      <c r="BO1096" s="232"/>
      <c r="BP1096" s="232"/>
      <c r="BQ1096" s="232"/>
      <c r="BR1096" s="232"/>
      <c r="BS1096" s="232"/>
      <c r="BT1096" s="232"/>
      <c r="BU1096" s="232"/>
      <c r="BV1096" s="232"/>
      <c r="BW1096" s="232"/>
      <c r="BX1096" s="232"/>
      <c r="BY1096" s="232"/>
      <c r="BZ1096" s="232"/>
      <c r="CA1096" s="232"/>
      <c r="CB1096" s="232"/>
      <c r="CC1096" s="232"/>
      <c r="CD1096" s="232"/>
      <c r="CE1096" s="232"/>
      <c r="CF1096" s="232"/>
      <c r="CG1096" s="232"/>
      <c r="CH1096" s="232"/>
      <c r="CI1096" s="232"/>
      <c r="CJ1096" s="232"/>
      <c r="CK1096" s="232"/>
      <c r="CL1096" s="232"/>
      <c r="CM1096" s="232"/>
      <c r="CN1096" s="215"/>
      <c r="CO1096" s="215"/>
      <c r="CP1096" s="215"/>
      <c r="CQ1096" s="215"/>
      <c r="CR1096" s="215"/>
      <c r="CS1096" s="215"/>
      <c r="CT1096" s="215"/>
    </row>
    <row r="1097" ht="24.0" customHeight="1">
      <c r="A1097" s="287"/>
      <c r="B1097" s="287"/>
      <c r="C1097" s="287"/>
      <c r="D1097" s="232"/>
      <c r="E1097" s="232"/>
      <c r="F1097" s="232"/>
      <c r="G1097" s="232"/>
      <c r="H1097" s="232"/>
      <c r="I1097" s="232"/>
      <c r="J1097" s="232"/>
      <c r="K1097" s="232"/>
      <c r="L1097" s="232"/>
      <c r="M1097" s="232"/>
      <c r="N1097" s="289"/>
      <c r="O1097" s="232"/>
      <c r="P1097" s="232"/>
      <c r="Q1097" s="232"/>
      <c r="R1097" s="232"/>
      <c r="S1097" s="232"/>
      <c r="T1097" s="232"/>
      <c r="U1097" s="232"/>
      <c r="V1097" s="232"/>
      <c r="W1097" s="232"/>
      <c r="X1097" s="232"/>
      <c r="Y1097" s="232"/>
      <c r="Z1097" s="232"/>
      <c r="AA1097" s="232"/>
      <c r="AB1097" s="232"/>
      <c r="AC1097" s="232"/>
      <c r="AD1097" s="232"/>
      <c r="AE1097" s="232"/>
      <c r="AF1097" s="232"/>
      <c r="AG1097" s="232"/>
      <c r="AH1097" s="232"/>
      <c r="AI1097" s="232"/>
      <c r="AJ1097" s="232"/>
      <c r="AK1097" s="232"/>
      <c r="AL1097" s="232"/>
      <c r="AM1097" s="232"/>
      <c r="AN1097" s="232"/>
      <c r="AO1097" s="232"/>
      <c r="AP1097" s="232"/>
      <c r="AQ1097" s="232"/>
      <c r="AR1097" s="232"/>
      <c r="AS1097" s="232"/>
      <c r="AT1097" s="232"/>
      <c r="AU1097" s="232"/>
      <c r="AV1097" s="232"/>
      <c r="AW1097" s="232"/>
      <c r="AX1097" s="232"/>
      <c r="AY1097" s="232"/>
      <c r="AZ1097" s="232"/>
      <c r="BA1097" s="232"/>
      <c r="BB1097" s="232"/>
      <c r="BC1097" s="232"/>
      <c r="BD1097" s="232"/>
      <c r="BE1097" s="232"/>
      <c r="BF1097" s="232"/>
      <c r="BG1097" s="232"/>
      <c r="BH1097" s="232"/>
      <c r="BI1097" s="232"/>
      <c r="BJ1097" s="232"/>
      <c r="BK1097" s="232"/>
      <c r="BL1097" s="232"/>
      <c r="BM1097" s="232"/>
      <c r="BN1097" s="232"/>
      <c r="BO1097" s="232"/>
      <c r="BP1097" s="232"/>
      <c r="BQ1097" s="232"/>
      <c r="BR1097" s="232"/>
      <c r="BS1097" s="232"/>
      <c r="BT1097" s="232"/>
      <c r="BU1097" s="232"/>
      <c r="BV1097" s="232"/>
      <c r="BW1097" s="232"/>
      <c r="BX1097" s="232"/>
      <c r="BY1097" s="232"/>
      <c r="BZ1097" s="232"/>
      <c r="CA1097" s="232"/>
      <c r="CB1097" s="232"/>
      <c r="CC1097" s="232"/>
      <c r="CD1097" s="232"/>
      <c r="CE1097" s="232"/>
      <c r="CF1097" s="232"/>
      <c r="CG1097" s="232"/>
      <c r="CH1097" s="232"/>
      <c r="CI1097" s="232"/>
      <c r="CJ1097" s="232"/>
      <c r="CK1097" s="232"/>
      <c r="CL1097" s="232"/>
      <c r="CM1097" s="232"/>
      <c r="CN1097" s="215"/>
      <c r="CO1097" s="215"/>
      <c r="CP1097" s="215"/>
      <c r="CQ1097" s="215"/>
      <c r="CR1097" s="215"/>
      <c r="CS1097" s="215"/>
      <c r="CT1097" s="215"/>
    </row>
    <row r="1098" ht="24.0" customHeight="1">
      <c r="A1098" s="287"/>
      <c r="B1098" s="287"/>
      <c r="C1098" s="287"/>
      <c r="D1098" s="232"/>
      <c r="E1098" s="232"/>
      <c r="F1098" s="232"/>
      <c r="G1098" s="232"/>
      <c r="H1098" s="232"/>
      <c r="I1098" s="232"/>
      <c r="J1098" s="232"/>
      <c r="K1098" s="232"/>
      <c r="L1098" s="232"/>
      <c r="M1098" s="232"/>
      <c r="N1098" s="289"/>
      <c r="O1098" s="232"/>
      <c r="P1098" s="232"/>
      <c r="Q1098" s="232"/>
      <c r="R1098" s="232"/>
      <c r="S1098" s="232"/>
      <c r="T1098" s="232"/>
      <c r="U1098" s="232"/>
      <c r="V1098" s="232"/>
      <c r="W1098" s="232"/>
      <c r="X1098" s="232"/>
      <c r="Y1098" s="232"/>
      <c r="Z1098" s="232"/>
      <c r="AA1098" s="232"/>
      <c r="AB1098" s="232"/>
      <c r="AC1098" s="232"/>
      <c r="AD1098" s="232"/>
      <c r="AE1098" s="232"/>
      <c r="AF1098" s="232"/>
      <c r="AG1098" s="232"/>
      <c r="AH1098" s="232"/>
      <c r="AI1098" s="232"/>
      <c r="AJ1098" s="232"/>
      <c r="AK1098" s="232"/>
      <c r="AL1098" s="232"/>
      <c r="AM1098" s="232"/>
      <c r="AN1098" s="232"/>
      <c r="AO1098" s="232"/>
      <c r="AP1098" s="232"/>
      <c r="AQ1098" s="232"/>
      <c r="AR1098" s="232"/>
      <c r="AS1098" s="232"/>
      <c r="AT1098" s="232"/>
      <c r="AU1098" s="232"/>
      <c r="AV1098" s="232"/>
      <c r="AW1098" s="232"/>
      <c r="AX1098" s="232"/>
      <c r="AY1098" s="232"/>
      <c r="AZ1098" s="232"/>
      <c r="BA1098" s="232"/>
      <c r="BB1098" s="232"/>
      <c r="BC1098" s="232"/>
      <c r="BD1098" s="232"/>
      <c r="BE1098" s="232"/>
      <c r="BF1098" s="232"/>
      <c r="BG1098" s="232"/>
      <c r="BH1098" s="232"/>
      <c r="BI1098" s="232"/>
      <c r="BJ1098" s="232"/>
      <c r="BK1098" s="232"/>
      <c r="BL1098" s="232"/>
      <c r="BM1098" s="232"/>
      <c r="BN1098" s="232"/>
      <c r="BO1098" s="232"/>
      <c r="BP1098" s="232"/>
      <c r="BQ1098" s="232"/>
      <c r="BR1098" s="232"/>
      <c r="BS1098" s="232"/>
      <c r="BT1098" s="232"/>
      <c r="BU1098" s="232"/>
      <c r="BV1098" s="232"/>
      <c r="BW1098" s="232"/>
      <c r="BX1098" s="232"/>
      <c r="BY1098" s="232"/>
      <c r="BZ1098" s="232"/>
      <c r="CA1098" s="232"/>
      <c r="CB1098" s="232"/>
      <c r="CC1098" s="232"/>
      <c r="CD1098" s="232"/>
      <c r="CE1098" s="232"/>
      <c r="CF1098" s="232"/>
      <c r="CG1098" s="232"/>
      <c r="CH1098" s="232"/>
      <c r="CI1098" s="232"/>
      <c r="CJ1098" s="232"/>
      <c r="CK1098" s="232"/>
      <c r="CL1098" s="232"/>
      <c r="CM1098" s="232"/>
      <c r="CN1098" s="215"/>
      <c r="CO1098" s="215"/>
      <c r="CP1098" s="215"/>
      <c r="CQ1098" s="215"/>
      <c r="CR1098" s="215"/>
      <c r="CS1098" s="215"/>
      <c r="CT1098" s="215"/>
    </row>
    <row r="1099" ht="24.0" customHeight="1">
      <c r="A1099" s="287"/>
      <c r="B1099" s="287"/>
      <c r="C1099" s="287"/>
      <c r="D1099" s="232"/>
      <c r="E1099" s="232"/>
      <c r="F1099" s="232"/>
      <c r="G1099" s="232"/>
      <c r="H1099" s="232"/>
      <c r="I1099" s="232"/>
      <c r="J1099" s="232"/>
      <c r="K1099" s="232"/>
      <c r="L1099" s="232"/>
      <c r="M1099" s="232"/>
      <c r="N1099" s="289"/>
      <c r="O1099" s="232"/>
      <c r="P1099" s="232"/>
      <c r="Q1099" s="232"/>
      <c r="R1099" s="232"/>
      <c r="S1099" s="232"/>
      <c r="T1099" s="232"/>
      <c r="U1099" s="232"/>
      <c r="V1099" s="232"/>
      <c r="W1099" s="232"/>
      <c r="X1099" s="232"/>
      <c r="Y1099" s="232"/>
      <c r="Z1099" s="232"/>
      <c r="AA1099" s="232"/>
      <c r="AB1099" s="232"/>
      <c r="AC1099" s="232"/>
      <c r="AD1099" s="232"/>
      <c r="AE1099" s="232"/>
      <c r="AF1099" s="232"/>
      <c r="AG1099" s="232"/>
      <c r="AH1099" s="232"/>
      <c r="AI1099" s="232"/>
      <c r="AJ1099" s="232"/>
      <c r="AK1099" s="232"/>
      <c r="AL1099" s="232"/>
      <c r="AM1099" s="232"/>
      <c r="AN1099" s="232"/>
      <c r="AO1099" s="232"/>
      <c r="AP1099" s="232"/>
      <c r="AQ1099" s="232"/>
      <c r="AR1099" s="232"/>
      <c r="AS1099" s="232"/>
      <c r="AT1099" s="232"/>
      <c r="AU1099" s="232"/>
      <c r="AV1099" s="232"/>
      <c r="AW1099" s="232"/>
      <c r="AX1099" s="232"/>
      <c r="AY1099" s="232"/>
      <c r="AZ1099" s="232"/>
      <c r="BA1099" s="232"/>
      <c r="BB1099" s="232"/>
      <c r="BC1099" s="232"/>
      <c r="BD1099" s="232"/>
      <c r="BE1099" s="232"/>
      <c r="BF1099" s="232"/>
      <c r="BG1099" s="232"/>
      <c r="BH1099" s="232"/>
      <c r="BI1099" s="232"/>
      <c r="BJ1099" s="232"/>
      <c r="BK1099" s="232"/>
      <c r="BL1099" s="232"/>
      <c r="BM1099" s="232"/>
      <c r="BN1099" s="232"/>
      <c r="BO1099" s="232"/>
      <c r="BP1099" s="232"/>
      <c r="BQ1099" s="232"/>
      <c r="BR1099" s="232"/>
      <c r="BS1099" s="232"/>
      <c r="BT1099" s="232"/>
      <c r="BU1099" s="232"/>
      <c r="BV1099" s="232"/>
      <c r="BW1099" s="232"/>
      <c r="BX1099" s="232"/>
      <c r="BY1099" s="232"/>
      <c r="BZ1099" s="232"/>
      <c r="CA1099" s="232"/>
      <c r="CB1099" s="232"/>
      <c r="CC1099" s="232"/>
      <c r="CD1099" s="232"/>
      <c r="CE1099" s="232"/>
      <c r="CF1099" s="232"/>
      <c r="CG1099" s="232"/>
      <c r="CH1099" s="232"/>
      <c r="CI1099" s="232"/>
      <c r="CJ1099" s="232"/>
      <c r="CK1099" s="232"/>
      <c r="CL1099" s="232"/>
      <c r="CM1099" s="232"/>
      <c r="CN1099" s="215"/>
      <c r="CO1099" s="215"/>
      <c r="CP1099" s="215"/>
      <c r="CQ1099" s="215"/>
      <c r="CR1099" s="215"/>
      <c r="CS1099" s="215"/>
      <c r="CT1099" s="215"/>
    </row>
    <row r="1100" ht="24.0" customHeight="1">
      <c r="A1100" s="287"/>
      <c r="B1100" s="287"/>
      <c r="C1100" s="287"/>
      <c r="D1100" s="232"/>
      <c r="E1100" s="232"/>
      <c r="F1100" s="232"/>
      <c r="G1100" s="232"/>
      <c r="H1100" s="232"/>
      <c r="I1100" s="232"/>
      <c r="J1100" s="232"/>
      <c r="K1100" s="232"/>
      <c r="L1100" s="232"/>
      <c r="M1100" s="232"/>
      <c r="N1100" s="289"/>
      <c r="O1100" s="232"/>
      <c r="P1100" s="232"/>
      <c r="Q1100" s="232"/>
      <c r="R1100" s="232"/>
      <c r="S1100" s="232"/>
      <c r="T1100" s="232"/>
      <c r="U1100" s="232"/>
      <c r="V1100" s="232"/>
      <c r="W1100" s="232"/>
      <c r="X1100" s="232"/>
      <c r="Y1100" s="232"/>
      <c r="Z1100" s="232"/>
      <c r="AA1100" s="232"/>
      <c r="AB1100" s="232"/>
      <c r="AC1100" s="232"/>
      <c r="AD1100" s="232"/>
      <c r="AE1100" s="232"/>
      <c r="AF1100" s="232"/>
      <c r="AG1100" s="232"/>
      <c r="AH1100" s="232"/>
      <c r="AI1100" s="232"/>
      <c r="AJ1100" s="232"/>
      <c r="AK1100" s="232"/>
      <c r="AL1100" s="232"/>
      <c r="AM1100" s="232"/>
      <c r="AN1100" s="232"/>
      <c r="AO1100" s="232"/>
      <c r="AP1100" s="232"/>
      <c r="AQ1100" s="232"/>
      <c r="AR1100" s="232"/>
      <c r="AS1100" s="232"/>
      <c r="AT1100" s="232"/>
      <c r="AU1100" s="232"/>
      <c r="AV1100" s="232"/>
      <c r="AW1100" s="232"/>
      <c r="AX1100" s="232"/>
      <c r="AY1100" s="232"/>
      <c r="AZ1100" s="232"/>
      <c r="BA1100" s="232"/>
      <c r="BB1100" s="232"/>
      <c r="BC1100" s="232"/>
      <c r="BD1100" s="232"/>
      <c r="BE1100" s="232"/>
      <c r="BF1100" s="232"/>
      <c r="BG1100" s="232"/>
      <c r="BH1100" s="232"/>
      <c r="BI1100" s="232"/>
      <c r="BJ1100" s="232"/>
      <c r="BK1100" s="232"/>
      <c r="BL1100" s="232"/>
      <c r="BM1100" s="232"/>
      <c r="BN1100" s="232"/>
      <c r="BO1100" s="232"/>
      <c r="BP1100" s="232"/>
      <c r="BQ1100" s="232"/>
      <c r="BR1100" s="232"/>
      <c r="BS1100" s="232"/>
      <c r="BT1100" s="232"/>
      <c r="BU1100" s="232"/>
      <c r="BV1100" s="232"/>
      <c r="BW1100" s="232"/>
      <c r="BX1100" s="232"/>
      <c r="BY1100" s="232"/>
      <c r="BZ1100" s="232"/>
      <c r="CA1100" s="232"/>
      <c r="CB1100" s="232"/>
      <c r="CC1100" s="232"/>
      <c r="CD1100" s="232"/>
      <c r="CE1100" s="232"/>
      <c r="CF1100" s="232"/>
      <c r="CG1100" s="232"/>
      <c r="CH1100" s="232"/>
      <c r="CI1100" s="232"/>
      <c r="CJ1100" s="232"/>
      <c r="CK1100" s="232"/>
      <c r="CL1100" s="232"/>
      <c r="CM1100" s="232"/>
      <c r="CN1100" s="215"/>
      <c r="CO1100" s="215"/>
      <c r="CP1100" s="215"/>
      <c r="CQ1100" s="215"/>
      <c r="CR1100" s="215"/>
      <c r="CS1100" s="215"/>
      <c r="CT1100" s="215"/>
    </row>
    <row r="1101" ht="24.0" customHeight="1">
      <c r="A1101" s="287"/>
      <c r="B1101" s="287"/>
      <c r="C1101" s="287"/>
      <c r="D1101" s="232"/>
      <c r="E1101" s="232"/>
      <c r="F1101" s="232"/>
      <c r="G1101" s="232"/>
      <c r="H1101" s="232"/>
      <c r="I1101" s="232"/>
      <c r="J1101" s="232"/>
      <c r="K1101" s="232"/>
      <c r="L1101" s="232"/>
      <c r="M1101" s="232"/>
      <c r="N1101" s="289"/>
      <c r="O1101" s="232"/>
      <c r="P1101" s="232"/>
      <c r="Q1101" s="232"/>
      <c r="R1101" s="232"/>
      <c r="S1101" s="232"/>
      <c r="T1101" s="232"/>
      <c r="U1101" s="232"/>
      <c r="V1101" s="232"/>
      <c r="W1101" s="232"/>
      <c r="X1101" s="232"/>
      <c r="Y1101" s="232"/>
      <c r="Z1101" s="232"/>
      <c r="AA1101" s="232"/>
      <c r="AB1101" s="232"/>
      <c r="AC1101" s="232"/>
      <c r="AD1101" s="232"/>
      <c r="AE1101" s="232"/>
      <c r="AF1101" s="232"/>
      <c r="AG1101" s="232"/>
      <c r="AH1101" s="232"/>
      <c r="AI1101" s="232"/>
      <c r="AJ1101" s="232"/>
      <c r="AK1101" s="232"/>
      <c r="AL1101" s="232"/>
      <c r="AM1101" s="232"/>
      <c r="AN1101" s="232"/>
      <c r="AO1101" s="232"/>
      <c r="AP1101" s="232"/>
      <c r="AQ1101" s="232"/>
      <c r="AR1101" s="232"/>
      <c r="AS1101" s="232"/>
      <c r="AT1101" s="232"/>
      <c r="AU1101" s="232"/>
      <c r="AV1101" s="232"/>
      <c r="AW1101" s="232"/>
      <c r="AX1101" s="232"/>
      <c r="AY1101" s="232"/>
      <c r="AZ1101" s="232"/>
      <c r="BA1101" s="232"/>
      <c r="BB1101" s="232"/>
      <c r="BC1101" s="232"/>
      <c r="BD1101" s="232"/>
      <c r="BE1101" s="232"/>
      <c r="BF1101" s="232"/>
      <c r="BG1101" s="232"/>
      <c r="BH1101" s="232"/>
      <c r="BI1101" s="232"/>
      <c r="BJ1101" s="232"/>
      <c r="BK1101" s="232"/>
      <c r="BL1101" s="232"/>
      <c r="BM1101" s="232"/>
      <c r="BN1101" s="232"/>
      <c r="BO1101" s="232"/>
      <c r="BP1101" s="232"/>
      <c r="BQ1101" s="232"/>
      <c r="BR1101" s="232"/>
      <c r="BS1101" s="232"/>
      <c r="BT1101" s="232"/>
      <c r="BU1101" s="232"/>
      <c r="BV1101" s="232"/>
      <c r="BW1101" s="232"/>
      <c r="BX1101" s="232"/>
      <c r="BY1101" s="232"/>
      <c r="BZ1101" s="232"/>
      <c r="CA1101" s="232"/>
      <c r="CB1101" s="232"/>
      <c r="CC1101" s="232"/>
      <c r="CD1101" s="232"/>
      <c r="CE1101" s="232"/>
      <c r="CF1101" s="232"/>
      <c r="CG1101" s="232"/>
      <c r="CH1101" s="232"/>
      <c r="CI1101" s="232"/>
      <c r="CJ1101" s="232"/>
      <c r="CK1101" s="232"/>
      <c r="CL1101" s="232"/>
      <c r="CM1101" s="232"/>
      <c r="CN1101" s="215"/>
      <c r="CO1101" s="215"/>
      <c r="CP1101" s="215"/>
      <c r="CQ1101" s="215"/>
      <c r="CR1101" s="215"/>
      <c r="CS1101" s="215"/>
      <c r="CT1101" s="215"/>
    </row>
    <row r="1102" ht="24.0" customHeight="1">
      <c r="A1102" s="287"/>
      <c r="B1102" s="287"/>
      <c r="C1102" s="287"/>
      <c r="D1102" s="232"/>
      <c r="E1102" s="232"/>
      <c r="F1102" s="232"/>
      <c r="G1102" s="232"/>
      <c r="H1102" s="232"/>
      <c r="I1102" s="232"/>
      <c r="J1102" s="232"/>
      <c r="K1102" s="232"/>
      <c r="L1102" s="232"/>
      <c r="M1102" s="232"/>
      <c r="N1102" s="289"/>
      <c r="O1102" s="232"/>
      <c r="P1102" s="232"/>
      <c r="Q1102" s="232"/>
      <c r="R1102" s="232"/>
      <c r="S1102" s="232"/>
      <c r="T1102" s="232"/>
      <c r="U1102" s="232"/>
      <c r="V1102" s="232"/>
      <c r="W1102" s="232"/>
      <c r="X1102" s="232"/>
      <c r="Y1102" s="232"/>
      <c r="Z1102" s="232"/>
      <c r="AA1102" s="232"/>
      <c r="AB1102" s="232"/>
      <c r="AC1102" s="232"/>
      <c r="AD1102" s="232"/>
      <c r="AE1102" s="232"/>
      <c r="AF1102" s="232"/>
      <c r="AG1102" s="232"/>
      <c r="AH1102" s="232"/>
      <c r="AI1102" s="232"/>
      <c r="AJ1102" s="232"/>
      <c r="AK1102" s="232"/>
      <c r="AL1102" s="232"/>
      <c r="AM1102" s="232"/>
      <c r="AN1102" s="232"/>
      <c r="AO1102" s="232"/>
      <c r="AP1102" s="232"/>
      <c r="AQ1102" s="232"/>
      <c r="AR1102" s="232"/>
      <c r="AS1102" s="232"/>
      <c r="AT1102" s="232"/>
      <c r="AU1102" s="232"/>
      <c r="AV1102" s="232"/>
      <c r="AW1102" s="232"/>
      <c r="AX1102" s="232"/>
      <c r="AY1102" s="232"/>
      <c r="AZ1102" s="232"/>
      <c r="BA1102" s="232"/>
      <c r="BB1102" s="232"/>
      <c r="BC1102" s="232"/>
      <c r="BD1102" s="232"/>
      <c r="BE1102" s="232"/>
      <c r="BF1102" s="232"/>
      <c r="BG1102" s="232"/>
      <c r="BH1102" s="232"/>
      <c r="BI1102" s="232"/>
      <c r="BJ1102" s="232"/>
      <c r="BK1102" s="232"/>
      <c r="BL1102" s="232"/>
      <c r="BM1102" s="232"/>
      <c r="BN1102" s="232"/>
      <c r="BO1102" s="232"/>
      <c r="BP1102" s="232"/>
      <c r="BQ1102" s="232"/>
      <c r="BR1102" s="232"/>
      <c r="BS1102" s="232"/>
      <c r="BT1102" s="232"/>
      <c r="BU1102" s="232"/>
      <c r="BV1102" s="232"/>
      <c r="BW1102" s="232"/>
      <c r="BX1102" s="232"/>
      <c r="BY1102" s="232"/>
      <c r="BZ1102" s="232"/>
      <c r="CA1102" s="232"/>
      <c r="CB1102" s="232"/>
      <c r="CC1102" s="232"/>
      <c r="CD1102" s="232"/>
      <c r="CE1102" s="232"/>
      <c r="CF1102" s="232"/>
      <c r="CG1102" s="232"/>
      <c r="CH1102" s="232"/>
      <c r="CI1102" s="232"/>
      <c r="CJ1102" s="232"/>
      <c r="CK1102" s="232"/>
      <c r="CL1102" s="232"/>
      <c r="CM1102" s="232"/>
      <c r="CN1102" s="215"/>
      <c r="CO1102" s="215"/>
      <c r="CP1102" s="215"/>
      <c r="CQ1102" s="215"/>
      <c r="CR1102" s="215"/>
      <c r="CS1102" s="215"/>
      <c r="CT1102" s="215"/>
    </row>
    <row r="1103" ht="24.0" customHeight="1">
      <c r="A1103" s="287"/>
      <c r="B1103" s="287"/>
      <c r="C1103" s="287"/>
      <c r="D1103" s="232"/>
      <c r="E1103" s="232"/>
      <c r="F1103" s="232"/>
      <c r="G1103" s="232"/>
      <c r="H1103" s="232"/>
      <c r="I1103" s="232"/>
      <c r="J1103" s="232"/>
      <c r="K1103" s="232"/>
      <c r="L1103" s="232"/>
      <c r="M1103" s="232"/>
      <c r="N1103" s="289"/>
      <c r="O1103" s="232"/>
      <c r="P1103" s="232"/>
      <c r="Q1103" s="232"/>
      <c r="R1103" s="232"/>
      <c r="S1103" s="232"/>
      <c r="T1103" s="232"/>
      <c r="U1103" s="232"/>
      <c r="V1103" s="232"/>
      <c r="W1103" s="232"/>
      <c r="X1103" s="232"/>
      <c r="Y1103" s="232"/>
      <c r="Z1103" s="232"/>
      <c r="AA1103" s="232"/>
      <c r="AB1103" s="232"/>
      <c r="AC1103" s="232"/>
      <c r="AD1103" s="232"/>
      <c r="AE1103" s="232"/>
      <c r="AF1103" s="232"/>
      <c r="AG1103" s="232"/>
      <c r="AH1103" s="232"/>
      <c r="AI1103" s="232"/>
      <c r="AJ1103" s="232"/>
      <c r="AK1103" s="232"/>
      <c r="AL1103" s="232"/>
      <c r="AM1103" s="232"/>
      <c r="AN1103" s="232"/>
      <c r="AO1103" s="232"/>
      <c r="AP1103" s="232"/>
      <c r="AQ1103" s="232"/>
      <c r="AR1103" s="232"/>
      <c r="AS1103" s="232"/>
      <c r="AT1103" s="232"/>
      <c r="AU1103" s="232"/>
      <c r="AV1103" s="232"/>
      <c r="AW1103" s="232"/>
      <c r="AX1103" s="232"/>
      <c r="AY1103" s="232"/>
      <c r="AZ1103" s="232"/>
      <c r="BA1103" s="232"/>
      <c r="BB1103" s="232"/>
      <c r="BC1103" s="232"/>
      <c r="BD1103" s="232"/>
      <c r="BE1103" s="232"/>
      <c r="BF1103" s="232"/>
      <c r="BG1103" s="232"/>
      <c r="BH1103" s="232"/>
      <c r="BI1103" s="232"/>
      <c r="BJ1103" s="232"/>
      <c r="BK1103" s="232"/>
      <c r="BL1103" s="232"/>
      <c r="BM1103" s="232"/>
      <c r="BN1103" s="232"/>
      <c r="BO1103" s="232"/>
      <c r="BP1103" s="232"/>
      <c r="BQ1103" s="232"/>
      <c r="BR1103" s="232"/>
      <c r="BS1103" s="232"/>
      <c r="BT1103" s="232"/>
      <c r="BU1103" s="232"/>
      <c r="BV1103" s="232"/>
      <c r="BW1103" s="232"/>
      <c r="BX1103" s="232"/>
      <c r="BY1103" s="232"/>
      <c r="BZ1103" s="232"/>
      <c r="CA1103" s="232"/>
      <c r="CB1103" s="232"/>
      <c r="CC1103" s="232"/>
      <c r="CD1103" s="232"/>
      <c r="CE1103" s="232"/>
      <c r="CF1103" s="232"/>
      <c r="CG1103" s="232"/>
      <c r="CH1103" s="232"/>
      <c r="CI1103" s="232"/>
      <c r="CJ1103" s="232"/>
      <c r="CK1103" s="232"/>
      <c r="CL1103" s="232"/>
      <c r="CM1103" s="232"/>
      <c r="CN1103" s="215"/>
      <c r="CO1103" s="215"/>
      <c r="CP1103" s="215"/>
      <c r="CQ1103" s="215"/>
      <c r="CR1103" s="215"/>
      <c r="CS1103" s="215"/>
      <c r="CT1103" s="215"/>
    </row>
    <row r="1104" ht="24.0" customHeight="1">
      <c r="A1104" s="287"/>
      <c r="B1104" s="287"/>
      <c r="C1104" s="287"/>
      <c r="D1104" s="232"/>
      <c r="E1104" s="232"/>
      <c r="F1104" s="232"/>
      <c r="G1104" s="232"/>
      <c r="H1104" s="232"/>
      <c r="I1104" s="232"/>
      <c r="J1104" s="232"/>
      <c r="K1104" s="232"/>
      <c r="L1104" s="232"/>
      <c r="M1104" s="232"/>
      <c r="N1104" s="289"/>
      <c r="O1104" s="232"/>
      <c r="P1104" s="232"/>
      <c r="Q1104" s="232"/>
      <c r="R1104" s="232"/>
      <c r="S1104" s="232"/>
      <c r="T1104" s="232"/>
      <c r="U1104" s="232"/>
      <c r="V1104" s="232"/>
      <c r="W1104" s="232"/>
      <c r="X1104" s="232"/>
      <c r="Y1104" s="232"/>
      <c r="Z1104" s="232"/>
      <c r="AA1104" s="232"/>
      <c r="AB1104" s="232"/>
      <c r="AC1104" s="232"/>
      <c r="AD1104" s="232"/>
      <c r="AE1104" s="232"/>
      <c r="AF1104" s="232"/>
      <c r="AG1104" s="232"/>
      <c r="AH1104" s="232"/>
      <c r="AI1104" s="232"/>
      <c r="AJ1104" s="232"/>
      <c r="AK1104" s="232"/>
      <c r="AL1104" s="232"/>
      <c r="AM1104" s="232"/>
      <c r="AN1104" s="232"/>
      <c r="AO1104" s="232"/>
      <c r="AP1104" s="232"/>
      <c r="AQ1104" s="232"/>
      <c r="AR1104" s="232"/>
      <c r="AS1104" s="232"/>
      <c r="AT1104" s="232"/>
      <c r="AU1104" s="232"/>
      <c r="AV1104" s="232"/>
      <c r="AW1104" s="232"/>
      <c r="AX1104" s="232"/>
      <c r="AY1104" s="232"/>
      <c r="AZ1104" s="232"/>
      <c r="BA1104" s="232"/>
      <c r="BB1104" s="232"/>
      <c r="BC1104" s="232"/>
      <c r="BD1104" s="232"/>
      <c r="BE1104" s="232"/>
      <c r="BF1104" s="232"/>
      <c r="BG1104" s="232"/>
      <c r="BH1104" s="232"/>
      <c r="BI1104" s="232"/>
      <c r="BJ1104" s="232"/>
      <c r="BK1104" s="232"/>
      <c r="BL1104" s="232"/>
      <c r="BM1104" s="232"/>
      <c r="BN1104" s="232"/>
      <c r="BO1104" s="232"/>
      <c r="BP1104" s="232"/>
      <c r="BQ1104" s="232"/>
      <c r="BR1104" s="232"/>
      <c r="BS1104" s="232"/>
      <c r="BT1104" s="232"/>
      <c r="BU1104" s="232"/>
      <c r="BV1104" s="232"/>
      <c r="BW1104" s="232"/>
      <c r="BX1104" s="232"/>
      <c r="BY1104" s="232"/>
      <c r="BZ1104" s="232"/>
      <c r="CA1104" s="232"/>
      <c r="CB1104" s="232"/>
      <c r="CC1104" s="232"/>
      <c r="CD1104" s="232"/>
      <c r="CE1104" s="232"/>
      <c r="CF1104" s="232"/>
      <c r="CG1104" s="232"/>
      <c r="CH1104" s="232"/>
      <c r="CI1104" s="232"/>
      <c r="CJ1104" s="232"/>
      <c r="CK1104" s="232"/>
      <c r="CL1104" s="232"/>
      <c r="CM1104" s="232"/>
      <c r="CN1104" s="215"/>
      <c r="CO1104" s="215"/>
      <c r="CP1104" s="215"/>
      <c r="CQ1104" s="215"/>
      <c r="CR1104" s="215"/>
      <c r="CS1104" s="215"/>
      <c r="CT1104" s="215"/>
    </row>
    <row r="1105" ht="24.0" customHeight="1">
      <c r="A1105" s="287"/>
      <c r="B1105" s="287"/>
      <c r="C1105" s="287"/>
      <c r="D1105" s="232"/>
      <c r="E1105" s="232"/>
      <c r="F1105" s="232"/>
      <c r="G1105" s="232"/>
      <c r="H1105" s="232"/>
      <c r="I1105" s="232"/>
      <c r="J1105" s="232"/>
      <c r="K1105" s="232"/>
      <c r="L1105" s="232"/>
      <c r="M1105" s="232"/>
      <c r="N1105" s="289"/>
      <c r="O1105" s="232"/>
      <c r="P1105" s="232"/>
      <c r="Q1105" s="232"/>
      <c r="R1105" s="232"/>
      <c r="S1105" s="232"/>
      <c r="T1105" s="232"/>
      <c r="U1105" s="232"/>
      <c r="V1105" s="232"/>
      <c r="W1105" s="232"/>
      <c r="X1105" s="232"/>
      <c r="Y1105" s="232"/>
      <c r="Z1105" s="232"/>
      <c r="AA1105" s="232"/>
      <c r="AB1105" s="232"/>
      <c r="AC1105" s="232"/>
      <c r="AD1105" s="232"/>
      <c r="AE1105" s="232"/>
      <c r="AF1105" s="232"/>
      <c r="AG1105" s="232"/>
      <c r="AH1105" s="232"/>
      <c r="AI1105" s="232"/>
      <c r="AJ1105" s="232"/>
      <c r="AK1105" s="232"/>
      <c r="AL1105" s="232"/>
      <c r="AM1105" s="232"/>
      <c r="AN1105" s="232"/>
      <c r="AO1105" s="232"/>
      <c r="AP1105" s="232"/>
      <c r="AQ1105" s="232"/>
      <c r="AR1105" s="232"/>
      <c r="AS1105" s="232"/>
      <c r="AT1105" s="232"/>
      <c r="AU1105" s="232"/>
      <c r="AV1105" s="232"/>
      <c r="AW1105" s="232"/>
      <c r="AX1105" s="232"/>
      <c r="AY1105" s="232"/>
      <c r="AZ1105" s="232"/>
      <c r="BA1105" s="232"/>
      <c r="BB1105" s="232"/>
      <c r="BC1105" s="232"/>
      <c r="BD1105" s="232"/>
      <c r="BE1105" s="232"/>
      <c r="BF1105" s="232"/>
      <c r="BG1105" s="232"/>
      <c r="BH1105" s="232"/>
      <c r="BI1105" s="232"/>
      <c r="BJ1105" s="232"/>
      <c r="BK1105" s="232"/>
      <c r="BL1105" s="232"/>
      <c r="BM1105" s="232"/>
      <c r="BN1105" s="232"/>
      <c r="BO1105" s="232"/>
      <c r="BP1105" s="232"/>
      <c r="BQ1105" s="232"/>
      <c r="BR1105" s="232"/>
      <c r="BS1105" s="232"/>
      <c r="BT1105" s="232"/>
      <c r="BU1105" s="232"/>
      <c r="BV1105" s="232"/>
      <c r="BW1105" s="232"/>
      <c r="BX1105" s="232"/>
      <c r="BY1105" s="232"/>
      <c r="BZ1105" s="232"/>
      <c r="CA1105" s="232"/>
      <c r="CB1105" s="232"/>
      <c r="CC1105" s="232"/>
      <c r="CD1105" s="232"/>
      <c r="CE1105" s="232"/>
      <c r="CF1105" s="232"/>
      <c r="CG1105" s="232"/>
      <c r="CH1105" s="232"/>
      <c r="CI1105" s="232"/>
      <c r="CJ1105" s="232"/>
      <c r="CK1105" s="232"/>
      <c r="CL1105" s="232"/>
      <c r="CM1105" s="232"/>
      <c r="CN1105" s="215"/>
      <c r="CO1105" s="215"/>
      <c r="CP1105" s="215"/>
      <c r="CQ1105" s="215"/>
      <c r="CR1105" s="215"/>
      <c r="CS1105" s="215"/>
      <c r="CT1105" s="215"/>
    </row>
    <row r="1106" ht="24.0" customHeight="1">
      <c r="A1106" s="287"/>
      <c r="B1106" s="287"/>
      <c r="C1106" s="287"/>
      <c r="D1106" s="232"/>
      <c r="E1106" s="232"/>
      <c r="F1106" s="232"/>
      <c r="G1106" s="232"/>
      <c r="H1106" s="232"/>
      <c r="I1106" s="232"/>
      <c r="J1106" s="232"/>
      <c r="K1106" s="232"/>
      <c r="L1106" s="232"/>
      <c r="M1106" s="232"/>
      <c r="N1106" s="289"/>
      <c r="O1106" s="232"/>
      <c r="P1106" s="232"/>
      <c r="Q1106" s="232"/>
      <c r="R1106" s="232"/>
      <c r="S1106" s="232"/>
      <c r="T1106" s="232"/>
      <c r="U1106" s="232"/>
      <c r="V1106" s="232"/>
      <c r="W1106" s="232"/>
      <c r="X1106" s="232"/>
      <c r="Y1106" s="232"/>
      <c r="Z1106" s="232"/>
      <c r="AA1106" s="232"/>
      <c r="AB1106" s="232"/>
      <c r="AC1106" s="232"/>
      <c r="AD1106" s="232"/>
      <c r="AE1106" s="232"/>
      <c r="AF1106" s="232"/>
      <c r="AG1106" s="232"/>
      <c r="AH1106" s="232"/>
      <c r="AI1106" s="232"/>
      <c r="AJ1106" s="232"/>
      <c r="AK1106" s="232"/>
      <c r="AL1106" s="232"/>
      <c r="AM1106" s="232"/>
      <c r="AN1106" s="232"/>
      <c r="AO1106" s="232"/>
      <c r="AP1106" s="232"/>
      <c r="AQ1106" s="232"/>
      <c r="AR1106" s="232"/>
      <c r="AS1106" s="232"/>
      <c r="AT1106" s="232"/>
      <c r="AU1106" s="232"/>
      <c r="AV1106" s="232"/>
      <c r="AW1106" s="232"/>
      <c r="AX1106" s="232"/>
      <c r="AY1106" s="232"/>
      <c r="AZ1106" s="232"/>
      <c r="BA1106" s="232"/>
      <c r="BB1106" s="232"/>
      <c r="BC1106" s="232"/>
      <c r="BD1106" s="232"/>
      <c r="BE1106" s="232"/>
      <c r="BF1106" s="232"/>
      <c r="BG1106" s="232"/>
      <c r="BH1106" s="232"/>
      <c r="BI1106" s="232"/>
      <c r="BJ1106" s="232"/>
      <c r="BK1106" s="232"/>
      <c r="BL1106" s="232"/>
      <c r="BM1106" s="232"/>
      <c r="BN1106" s="232"/>
      <c r="BO1106" s="232"/>
      <c r="BP1106" s="232"/>
      <c r="BQ1106" s="232"/>
      <c r="BR1106" s="232"/>
      <c r="BS1106" s="232"/>
      <c r="BT1106" s="232"/>
      <c r="BU1106" s="232"/>
      <c r="BV1106" s="232"/>
      <c r="BW1106" s="232"/>
      <c r="BX1106" s="232"/>
      <c r="BY1106" s="232"/>
      <c r="BZ1106" s="232"/>
      <c r="CA1106" s="232"/>
      <c r="CB1106" s="232"/>
      <c r="CC1106" s="232"/>
      <c r="CD1106" s="232"/>
      <c r="CE1106" s="232"/>
      <c r="CF1106" s="232"/>
      <c r="CG1106" s="232"/>
      <c r="CH1106" s="232"/>
      <c r="CI1106" s="232"/>
      <c r="CJ1106" s="232"/>
      <c r="CK1106" s="232"/>
      <c r="CL1106" s="232"/>
      <c r="CM1106" s="232"/>
      <c r="CN1106" s="215"/>
      <c r="CO1106" s="215"/>
      <c r="CP1106" s="215"/>
      <c r="CQ1106" s="215"/>
      <c r="CR1106" s="215"/>
      <c r="CS1106" s="215"/>
      <c r="CT1106" s="215"/>
    </row>
    <row r="1107" ht="24.0" customHeight="1">
      <c r="A1107" s="287"/>
      <c r="B1107" s="287"/>
      <c r="C1107" s="287"/>
      <c r="D1107" s="232"/>
      <c r="E1107" s="232"/>
      <c r="F1107" s="232"/>
      <c r="G1107" s="232"/>
      <c r="H1107" s="232"/>
      <c r="I1107" s="232"/>
      <c r="J1107" s="232"/>
      <c r="K1107" s="232"/>
      <c r="L1107" s="232"/>
      <c r="M1107" s="232"/>
      <c r="N1107" s="289"/>
      <c r="O1107" s="232"/>
      <c r="P1107" s="232"/>
      <c r="Q1107" s="232"/>
      <c r="R1107" s="232"/>
      <c r="S1107" s="232"/>
      <c r="T1107" s="232"/>
      <c r="U1107" s="232"/>
      <c r="V1107" s="232"/>
      <c r="W1107" s="232"/>
      <c r="X1107" s="232"/>
      <c r="Y1107" s="232"/>
      <c r="Z1107" s="232"/>
      <c r="AA1107" s="232"/>
      <c r="AB1107" s="232"/>
      <c r="AC1107" s="232"/>
      <c r="AD1107" s="232"/>
      <c r="AE1107" s="232"/>
      <c r="AF1107" s="232"/>
      <c r="AG1107" s="232"/>
      <c r="AH1107" s="232"/>
      <c r="AI1107" s="232"/>
      <c r="AJ1107" s="232"/>
      <c r="AK1107" s="232"/>
      <c r="AL1107" s="232"/>
      <c r="AM1107" s="232"/>
      <c r="AN1107" s="232"/>
      <c r="AO1107" s="232"/>
      <c r="AP1107" s="232"/>
      <c r="AQ1107" s="232"/>
      <c r="AR1107" s="232"/>
      <c r="AS1107" s="232"/>
      <c r="AT1107" s="232"/>
      <c r="AU1107" s="232"/>
      <c r="AV1107" s="232"/>
      <c r="AW1107" s="232"/>
      <c r="AX1107" s="232"/>
      <c r="AY1107" s="232"/>
      <c r="AZ1107" s="232"/>
      <c r="BA1107" s="232"/>
      <c r="BB1107" s="232"/>
      <c r="BC1107" s="232"/>
      <c r="BD1107" s="232"/>
      <c r="BE1107" s="232"/>
      <c r="BF1107" s="232"/>
      <c r="BG1107" s="232"/>
      <c r="BH1107" s="232"/>
      <c r="BI1107" s="232"/>
      <c r="BJ1107" s="232"/>
      <c r="BK1107" s="232"/>
      <c r="BL1107" s="232"/>
      <c r="BM1107" s="232"/>
      <c r="BN1107" s="232"/>
      <c r="BO1107" s="232"/>
      <c r="BP1107" s="232"/>
      <c r="BQ1107" s="232"/>
      <c r="BR1107" s="232"/>
      <c r="BS1107" s="232"/>
      <c r="BT1107" s="232"/>
      <c r="BU1107" s="232"/>
      <c r="BV1107" s="232"/>
      <c r="BW1107" s="232"/>
      <c r="BX1107" s="232"/>
      <c r="BY1107" s="232"/>
      <c r="BZ1107" s="232"/>
      <c r="CA1107" s="232"/>
      <c r="CB1107" s="232"/>
      <c r="CC1107" s="232"/>
      <c r="CD1107" s="232"/>
      <c r="CE1107" s="232"/>
      <c r="CF1107" s="232"/>
      <c r="CG1107" s="232"/>
      <c r="CH1107" s="232"/>
      <c r="CI1107" s="232"/>
      <c r="CJ1107" s="232"/>
      <c r="CK1107" s="232"/>
      <c r="CL1107" s="232"/>
      <c r="CM1107" s="232"/>
      <c r="CN1107" s="215"/>
      <c r="CO1107" s="215"/>
      <c r="CP1107" s="215"/>
      <c r="CQ1107" s="215"/>
      <c r="CR1107" s="215"/>
      <c r="CS1107" s="215"/>
      <c r="CT1107" s="215"/>
    </row>
    <row r="1108" ht="24.0" customHeight="1">
      <c r="A1108" s="287"/>
      <c r="B1108" s="287"/>
      <c r="C1108" s="287"/>
      <c r="D1108" s="232"/>
      <c r="E1108" s="232"/>
      <c r="F1108" s="232"/>
      <c r="G1108" s="232"/>
      <c r="H1108" s="232"/>
      <c r="I1108" s="232"/>
      <c r="J1108" s="232"/>
      <c r="K1108" s="232"/>
      <c r="L1108" s="232"/>
      <c r="M1108" s="232"/>
      <c r="N1108" s="289"/>
      <c r="O1108" s="232"/>
      <c r="P1108" s="232"/>
      <c r="Q1108" s="232"/>
      <c r="R1108" s="232"/>
      <c r="S1108" s="232"/>
      <c r="T1108" s="232"/>
      <c r="U1108" s="232"/>
      <c r="V1108" s="232"/>
      <c r="W1108" s="232"/>
      <c r="X1108" s="232"/>
      <c r="Y1108" s="232"/>
      <c r="Z1108" s="232"/>
      <c r="AA1108" s="232"/>
      <c r="AB1108" s="232"/>
      <c r="AC1108" s="232"/>
      <c r="AD1108" s="232"/>
      <c r="AE1108" s="232"/>
      <c r="AF1108" s="232"/>
      <c r="AG1108" s="232"/>
      <c r="AH1108" s="232"/>
      <c r="AI1108" s="232"/>
      <c r="AJ1108" s="232"/>
      <c r="AK1108" s="232"/>
      <c r="AL1108" s="232"/>
      <c r="AM1108" s="232"/>
      <c r="AN1108" s="232"/>
      <c r="AO1108" s="232"/>
      <c r="AP1108" s="232"/>
      <c r="AQ1108" s="232"/>
      <c r="AR1108" s="232"/>
      <c r="AS1108" s="232"/>
      <c r="AT1108" s="232"/>
      <c r="AU1108" s="232"/>
      <c r="AV1108" s="232"/>
      <c r="AW1108" s="232"/>
      <c r="AX1108" s="232"/>
      <c r="AY1108" s="232"/>
      <c r="AZ1108" s="232"/>
      <c r="BA1108" s="232"/>
      <c r="BB1108" s="232"/>
      <c r="BC1108" s="232"/>
      <c r="BD1108" s="232"/>
      <c r="BE1108" s="232"/>
      <c r="BF1108" s="232"/>
      <c r="BG1108" s="232"/>
      <c r="BH1108" s="232"/>
      <c r="BI1108" s="232"/>
      <c r="BJ1108" s="232"/>
      <c r="BK1108" s="232"/>
      <c r="BL1108" s="232"/>
      <c r="BM1108" s="232"/>
      <c r="BN1108" s="232"/>
      <c r="BO1108" s="232"/>
      <c r="BP1108" s="232"/>
      <c r="BQ1108" s="232"/>
      <c r="BR1108" s="232"/>
      <c r="BS1108" s="232"/>
      <c r="BT1108" s="232"/>
      <c r="BU1108" s="232"/>
      <c r="BV1108" s="232"/>
      <c r="BW1108" s="232"/>
      <c r="BX1108" s="232"/>
      <c r="BY1108" s="232"/>
      <c r="BZ1108" s="232"/>
      <c r="CA1108" s="232"/>
      <c r="CB1108" s="232"/>
      <c r="CC1108" s="232"/>
      <c r="CD1108" s="232"/>
      <c r="CE1108" s="232"/>
      <c r="CF1108" s="232"/>
      <c r="CG1108" s="232"/>
      <c r="CH1108" s="232"/>
      <c r="CI1108" s="232"/>
      <c r="CJ1108" s="232"/>
      <c r="CK1108" s="232"/>
      <c r="CL1108" s="232"/>
      <c r="CM1108" s="232"/>
      <c r="CN1108" s="215"/>
      <c r="CO1108" s="215"/>
      <c r="CP1108" s="215"/>
      <c r="CQ1108" s="215"/>
      <c r="CR1108" s="215"/>
      <c r="CS1108" s="215"/>
      <c r="CT1108" s="215"/>
    </row>
    <row r="1109" ht="24.0" customHeight="1">
      <c r="A1109" s="287"/>
      <c r="B1109" s="287"/>
      <c r="C1109" s="287"/>
      <c r="D1109" s="232"/>
      <c r="E1109" s="232"/>
      <c r="F1109" s="232"/>
      <c r="G1109" s="232"/>
      <c r="H1109" s="232"/>
      <c r="I1109" s="232"/>
      <c r="J1109" s="232"/>
      <c r="K1109" s="232"/>
      <c r="L1109" s="232"/>
      <c r="M1109" s="232"/>
      <c r="N1109" s="289"/>
      <c r="O1109" s="232"/>
      <c r="P1109" s="232"/>
      <c r="Q1109" s="232"/>
      <c r="R1109" s="232"/>
      <c r="S1109" s="232"/>
      <c r="T1109" s="232"/>
      <c r="U1109" s="232"/>
      <c r="V1109" s="232"/>
      <c r="W1109" s="232"/>
      <c r="X1109" s="232"/>
      <c r="Y1109" s="232"/>
      <c r="Z1109" s="232"/>
      <c r="AA1109" s="232"/>
      <c r="AB1109" s="232"/>
      <c r="AC1109" s="232"/>
      <c r="AD1109" s="232"/>
      <c r="AE1109" s="232"/>
      <c r="AF1109" s="232"/>
      <c r="AG1109" s="232"/>
      <c r="AH1109" s="232"/>
      <c r="AI1109" s="232"/>
      <c r="AJ1109" s="232"/>
      <c r="AK1109" s="232"/>
      <c r="AL1109" s="232"/>
      <c r="AM1109" s="232"/>
      <c r="AN1109" s="232"/>
      <c r="AO1109" s="232"/>
      <c r="AP1109" s="232"/>
      <c r="AQ1109" s="232"/>
      <c r="AR1109" s="232"/>
      <c r="AS1109" s="232"/>
      <c r="AT1109" s="232"/>
      <c r="AU1109" s="232"/>
      <c r="AV1109" s="232"/>
      <c r="AW1109" s="232"/>
      <c r="AX1109" s="232"/>
      <c r="AY1109" s="232"/>
      <c r="AZ1109" s="232"/>
      <c r="BA1109" s="232"/>
      <c r="BB1109" s="232"/>
      <c r="BC1109" s="232"/>
      <c r="BD1109" s="232"/>
      <c r="BE1109" s="232"/>
      <c r="BF1109" s="232"/>
      <c r="BG1109" s="232"/>
      <c r="BH1109" s="232"/>
      <c r="BI1109" s="232"/>
      <c r="BJ1109" s="232"/>
      <c r="BK1109" s="232"/>
      <c r="BL1109" s="232"/>
      <c r="BM1109" s="232"/>
      <c r="BN1109" s="232"/>
      <c r="BO1109" s="232"/>
      <c r="BP1109" s="232"/>
      <c r="BQ1109" s="232"/>
      <c r="BR1109" s="232"/>
      <c r="BS1109" s="232"/>
      <c r="BT1109" s="232"/>
      <c r="BU1109" s="232"/>
      <c r="BV1109" s="232"/>
      <c r="BW1109" s="232"/>
      <c r="BX1109" s="232"/>
      <c r="BY1109" s="232"/>
      <c r="BZ1109" s="232"/>
      <c r="CA1109" s="232"/>
      <c r="CB1109" s="232"/>
      <c r="CC1109" s="232"/>
      <c r="CD1109" s="232"/>
      <c r="CE1109" s="232"/>
      <c r="CF1109" s="232"/>
      <c r="CG1109" s="232"/>
      <c r="CH1109" s="232"/>
      <c r="CI1109" s="232"/>
      <c r="CJ1109" s="232"/>
      <c r="CK1109" s="232"/>
      <c r="CL1109" s="232"/>
      <c r="CM1109" s="232"/>
      <c r="CN1109" s="215"/>
      <c r="CO1109" s="215"/>
      <c r="CP1109" s="215"/>
      <c r="CQ1109" s="215"/>
      <c r="CR1109" s="215"/>
      <c r="CS1109" s="215"/>
      <c r="CT1109" s="215"/>
    </row>
    <row r="1110" ht="24.0" customHeight="1">
      <c r="A1110" s="287"/>
      <c r="B1110" s="287"/>
      <c r="C1110" s="287"/>
      <c r="D1110" s="232"/>
      <c r="E1110" s="232"/>
      <c r="F1110" s="232"/>
      <c r="G1110" s="232"/>
      <c r="H1110" s="232"/>
      <c r="I1110" s="232"/>
      <c r="J1110" s="232"/>
      <c r="K1110" s="232"/>
      <c r="L1110" s="232"/>
      <c r="M1110" s="232"/>
      <c r="N1110" s="289"/>
      <c r="O1110" s="232"/>
      <c r="P1110" s="232"/>
      <c r="Q1110" s="232"/>
      <c r="R1110" s="232"/>
      <c r="S1110" s="232"/>
      <c r="T1110" s="232"/>
      <c r="U1110" s="232"/>
      <c r="V1110" s="232"/>
      <c r="W1110" s="232"/>
      <c r="X1110" s="232"/>
      <c r="Y1110" s="232"/>
      <c r="Z1110" s="232"/>
      <c r="AA1110" s="232"/>
      <c r="AB1110" s="232"/>
      <c r="AC1110" s="232"/>
      <c r="AD1110" s="232"/>
      <c r="AE1110" s="232"/>
      <c r="AF1110" s="232"/>
      <c r="AG1110" s="232"/>
      <c r="AH1110" s="232"/>
      <c r="AI1110" s="232"/>
      <c r="AJ1110" s="232"/>
      <c r="AK1110" s="232"/>
      <c r="AL1110" s="232"/>
      <c r="AM1110" s="232"/>
      <c r="AN1110" s="232"/>
      <c r="AO1110" s="232"/>
      <c r="AP1110" s="232"/>
      <c r="AQ1110" s="232"/>
      <c r="AR1110" s="232"/>
      <c r="AS1110" s="232"/>
      <c r="AT1110" s="232"/>
      <c r="AU1110" s="232"/>
      <c r="AV1110" s="232"/>
      <c r="AW1110" s="232"/>
      <c r="AX1110" s="232"/>
      <c r="AY1110" s="232"/>
      <c r="AZ1110" s="232"/>
      <c r="BA1110" s="232"/>
      <c r="BB1110" s="232"/>
      <c r="BC1110" s="232"/>
      <c r="BD1110" s="232"/>
      <c r="BE1110" s="232"/>
      <c r="BF1110" s="232"/>
      <c r="BG1110" s="232"/>
      <c r="BH1110" s="232"/>
      <c r="BI1110" s="232"/>
      <c r="BJ1110" s="232"/>
      <c r="BK1110" s="232"/>
      <c r="BL1110" s="232"/>
      <c r="BM1110" s="232"/>
      <c r="BN1110" s="232"/>
      <c r="BO1110" s="232"/>
      <c r="BP1110" s="232"/>
      <c r="BQ1110" s="232"/>
      <c r="BR1110" s="232"/>
      <c r="BS1110" s="232"/>
      <c r="BT1110" s="232"/>
      <c r="BU1110" s="232"/>
      <c r="BV1110" s="232"/>
      <c r="BW1110" s="232"/>
      <c r="BX1110" s="232"/>
      <c r="BY1110" s="232"/>
      <c r="BZ1110" s="232"/>
      <c r="CA1110" s="232"/>
      <c r="CB1110" s="232"/>
      <c r="CC1110" s="232"/>
      <c r="CD1110" s="232"/>
      <c r="CE1110" s="232"/>
      <c r="CF1110" s="232"/>
      <c r="CG1110" s="232"/>
      <c r="CH1110" s="232"/>
      <c r="CI1110" s="232"/>
      <c r="CJ1110" s="232"/>
      <c r="CK1110" s="232"/>
      <c r="CL1110" s="232"/>
      <c r="CM1110" s="232"/>
      <c r="CN1110" s="215"/>
      <c r="CO1110" s="215"/>
      <c r="CP1110" s="215"/>
      <c r="CQ1110" s="215"/>
      <c r="CR1110" s="215"/>
      <c r="CS1110" s="215"/>
      <c r="CT1110" s="215"/>
    </row>
    <row r="1111" ht="24.0" customHeight="1">
      <c r="A1111" s="287"/>
      <c r="B1111" s="287"/>
      <c r="C1111" s="287"/>
      <c r="D1111" s="232"/>
      <c r="E1111" s="232"/>
      <c r="F1111" s="232"/>
      <c r="G1111" s="232"/>
      <c r="H1111" s="232"/>
      <c r="I1111" s="232"/>
      <c r="J1111" s="232"/>
      <c r="K1111" s="232"/>
      <c r="L1111" s="232"/>
      <c r="M1111" s="232"/>
      <c r="N1111" s="289"/>
      <c r="O1111" s="232"/>
      <c r="P1111" s="232"/>
      <c r="Q1111" s="232"/>
      <c r="R1111" s="232"/>
      <c r="S1111" s="232"/>
      <c r="T1111" s="232"/>
      <c r="U1111" s="232"/>
      <c r="V1111" s="232"/>
      <c r="W1111" s="232"/>
      <c r="X1111" s="232"/>
      <c r="Y1111" s="232"/>
      <c r="Z1111" s="232"/>
      <c r="AA1111" s="232"/>
      <c r="AB1111" s="232"/>
      <c r="AC1111" s="232"/>
      <c r="AD1111" s="232"/>
      <c r="AE1111" s="232"/>
      <c r="AF1111" s="232"/>
      <c r="AG1111" s="232"/>
      <c r="AH1111" s="232"/>
      <c r="AI1111" s="232"/>
      <c r="AJ1111" s="232"/>
      <c r="AK1111" s="232"/>
      <c r="AL1111" s="232"/>
      <c r="AM1111" s="232"/>
      <c r="AN1111" s="232"/>
      <c r="AO1111" s="232"/>
      <c r="AP1111" s="232"/>
      <c r="AQ1111" s="232"/>
      <c r="AR1111" s="232"/>
      <c r="AS1111" s="232"/>
      <c r="AT1111" s="232"/>
      <c r="AU1111" s="232"/>
      <c r="AV1111" s="232"/>
      <c r="AW1111" s="232"/>
      <c r="AX1111" s="232"/>
      <c r="AY1111" s="232"/>
      <c r="AZ1111" s="232"/>
      <c r="BA1111" s="232"/>
      <c r="BB1111" s="232"/>
      <c r="BC1111" s="232"/>
      <c r="BD1111" s="232"/>
      <c r="BE1111" s="232"/>
      <c r="BF1111" s="232"/>
      <c r="BG1111" s="232"/>
      <c r="BH1111" s="232"/>
      <c r="BI1111" s="232"/>
      <c r="BJ1111" s="232"/>
      <c r="BK1111" s="232"/>
      <c r="BL1111" s="232"/>
      <c r="BM1111" s="232"/>
      <c r="BN1111" s="232"/>
      <c r="BO1111" s="232"/>
      <c r="BP1111" s="232"/>
      <c r="BQ1111" s="232"/>
      <c r="BR1111" s="232"/>
      <c r="BS1111" s="232"/>
      <c r="BT1111" s="232"/>
      <c r="BU1111" s="232"/>
      <c r="BV1111" s="232"/>
      <c r="BW1111" s="232"/>
      <c r="BX1111" s="232"/>
      <c r="BY1111" s="232"/>
      <c r="BZ1111" s="232"/>
      <c r="CA1111" s="232"/>
      <c r="CB1111" s="232"/>
      <c r="CC1111" s="232"/>
      <c r="CD1111" s="232"/>
      <c r="CE1111" s="232"/>
      <c r="CF1111" s="232"/>
      <c r="CG1111" s="232"/>
      <c r="CH1111" s="232"/>
      <c r="CI1111" s="232"/>
      <c r="CJ1111" s="232"/>
      <c r="CK1111" s="232"/>
      <c r="CL1111" s="232"/>
      <c r="CM1111" s="232"/>
      <c r="CN1111" s="215"/>
      <c r="CO1111" s="215"/>
      <c r="CP1111" s="215"/>
      <c r="CQ1111" s="215"/>
      <c r="CR1111" s="215"/>
      <c r="CS1111" s="215"/>
      <c r="CT1111" s="215"/>
    </row>
    <row r="1112" ht="24.0" customHeight="1">
      <c r="A1112" s="287"/>
      <c r="B1112" s="287"/>
      <c r="C1112" s="287"/>
      <c r="D1112" s="232"/>
      <c r="E1112" s="232"/>
      <c r="F1112" s="232"/>
      <c r="G1112" s="232"/>
      <c r="H1112" s="232"/>
      <c r="I1112" s="232"/>
      <c r="J1112" s="232"/>
      <c r="K1112" s="232"/>
      <c r="L1112" s="232"/>
      <c r="M1112" s="232"/>
      <c r="N1112" s="289"/>
      <c r="O1112" s="232"/>
      <c r="P1112" s="232"/>
      <c r="Q1112" s="232"/>
      <c r="R1112" s="232"/>
      <c r="S1112" s="232"/>
      <c r="T1112" s="232"/>
      <c r="U1112" s="232"/>
      <c r="V1112" s="232"/>
      <c r="W1112" s="232"/>
      <c r="X1112" s="232"/>
      <c r="Y1112" s="232"/>
      <c r="Z1112" s="232"/>
      <c r="AA1112" s="232"/>
      <c r="AB1112" s="232"/>
      <c r="AC1112" s="232"/>
      <c r="AD1112" s="232"/>
      <c r="AE1112" s="232"/>
      <c r="AF1112" s="232"/>
      <c r="AG1112" s="232"/>
      <c r="AH1112" s="232"/>
      <c r="AI1112" s="232"/>
      <c r="AJ1112" s="232"/>
      <c r="AK1112" s="232"/>
      <c r="AL1112" s="232"/>
      <c r="AM1112" s="232"/>
      <c r="AN1112" s="232"/>
      <c r="AO1112" s="232"/>
      <c r="AP1112" s="232"/>
      <c r="AQ1112" s="232"/>
      <c r="AR1112" s="232"/>
      <c r="AS1112" s="232"/>
      <c r="AT1112" s="232"/>
      <c r="AU1112" s="232"/>
      <c r="AV1112" s="232"/>
      <c r="AW1112" s="232"/>
      <c r="AX1112" s="232"/>
      <c r="AY1112" s="232"/>
      <c r="AZ1112" s="232"/>
      <c r="BA1112" s="232"/>
      <c r="BB1112" s="232"/>
      <c r="BC1112" s="232"/>
      <c r="BD1112" s="232"/>
      <c r="BE1112" s="232"/>
      <c r="BF1112" s="232"/>
      <c r="BG1112" s="232"/>
      <c r="BH1112" s="232"/>
      <c r="BI1112" s="232"/>
      <c r="BJ1112" s="232"/>
      <c r="BK1112" s="232"/>
      <c r="BL1112" s="232"/>
      <c r="BM1112" s="232"/>
      <c r="BN1112" s="232"/>
      <c r="BO1112" s="232"/>
      <c r="BP1112" s="232"/>
      <c r="BQ1112" s="232"/>
      <c r="BR1112" s="232"/>
      <c r="BS1112" s="232"/>
      <c r="BT1112" s="232"/>
      <c r="BU1112" s="232"/>
      <c r="BV1112" s="232"/>
      <c r="BW1112" s="232"/>
      <c r="BX1112" s="232"/>
      <c r="BY1112" s="232"/>
      <c r="BZ1112" s="232"/>
      <c r="CA1112" s="232"/>
      <c r="CB1112" s="232"/>
      <c r="CC1112" s="232"/>
      <c r="CD1112" s="232"/>
      <c r="CE1112" s="232"/>
      <c r="CF1112" s="232"/>
      <c r="CG1112" s="232"/>
      <c r="CH1112" s="232"/>
      <c r="CI1112" s="232"/>
      <c r="CJ1112" s="232"/>
      <c r="CK1112" s="232"/>
      <c r="CL1112" s="232"/>
      <c r="CM1112" s="232"/>
      <c r="CN1112" s="215"/>
      <c r="CO1112" s="215"/>
      <c r="CP1112" s="215"/>
      <c r="CQ1112" s="215"/>
      <c r="CR1112" s="215"/>
      <c r="CS1112" s="215"/>
      <c r="CT1112" s="215"/>
    </row>
    <row r="1113" ht="24.0" customHeight="1">
      <c r="A1113" s="287"/>
      <c r="B1113" s="287"/>
      <c r="C1113" s="287"/>
      <c r="D1113" s="232"/>
      <c r="E1113" s="232"/>
      <c r="F1113" s="232"/>
      <c r="G1113" s="232"/>
      <c r="H1113" s="232"/>
      <c r="I1113" s="232"/>
      <c r="J1113" s="232"/>
      <c r="K1113" s="232"/>
      <c r="L1113" s="232"/>
      <c r="M1113" s="232"/>
      <c r="N1113" s="289"/>
      <c r="O1113" s="232"/>
      <c r="P1113" s="232"/>
      <c r="Q1113" s="232"/>
      <c r="R1113" s="232"/>
      <c r="S1113" s="232"/>
      <c r="T1113" s="232"/>
      <c r="U1113" s="232"/>
      <c r="V1113" s="232"/>
      <c r="W1113" s="232"/>
      <c r="X1113" s="232"/>
      <c r="Y1113" s="232"/>
      <c r="Z1113" s="232"/>
      <c r="AA1113" s="232"/>
      <c r="AB1113" s="232"/>
      <c r="AC1113" s="232"/>
      <c r="AD1113" s="232"/>
      <c r="AE1113" s="232"/>
      <c r="AF1113" s="232"/>
      <c r="AG1113" s="232"/>
      <c r="AH1113" s="232"/>
      <c r="AI1113" s="232"/>
      <c r="AJ1113" s="232"/>
      <c r="AK1113" s="232"/>
      <c r="AL1113" s="232"/>
      <c r="AM1113" s="232"/>
      <c r="AN1113" s="232"/>
      <c r="AO1113" s="232"/>
      <c r="AP1113" s="232"/>
      <c r="AQ1113" s="232"/>
      <c r="AR1113" s="232"/>
      <c r="AS1113" s="232"/>
      <c r="AT1113" s="232"/>
      <c r="AU1113" s="232"/>
      <c r="AV1113" s="232"/>
      <c r="AW1113" s="232"/>
      <c r="AX1113" s="232"/>
      <c r="AY1113" s="232"/>
      <c r="AZ1113" s="232"/>
      <c r="BA1113" s="232"/>
      <c r="BB1113" s="232"/>
      <c r="BC1113" s="232"/>
      <c r="BD1113" s="232"/>
      <c r="BE1113" s="232"/>
      <c r="BF1113" s="232"/>
      <c r="BG1113" s="232"/>
      <c r="BH1113" s="232"/>
      <c r="BI1113" s="232"/>
      <c r="BJ1113" s="232"/>
      <c r="BK1113" s="232"/>
      <c r="BL1113" s="232"/>
      <c r="BM1113" s="232"/>
      <c r="BN1113" s="232"/>
      <c r="BO1113" s="232"/>
      <c r="BP1113" s="232"/>
      <c r="BQ1113" s="232"/>
      <c r="BR1113" s="232"/>
      <c r="BS1113" s="232"/>
      <c r="BT1113" s="232"/>
      <c r="BU1113" s="232"/>
      <c r="BV1113" s="232"/>
      <c r="BW1113" s="232"/>
      <c r="BX1113" s="232"/>
      <c r="BY1113" s="232"/>
      <c r="BZ1113" s="232"/>
      <c r="CA1113" s="232"/>
      <c r="CB1113" s="232"/>
      <c r="CC1113" s="232"/>
      <c r="CD1113" s="232"/>
      <c r="CE1113" s="232"/>
      <c r="CF1113" s="232"/>
      <c r="CG1113" s="232"/>
      <c r="CH1113" s="232"/>
      <c r="CI1113" s="232"/>
      <c r="CJ1113" s="232"/>
      <c r="CK1113" s="232"/>
      <c r="CL1113" s="232"/>
      <c r="CM1113" s="232"/>
      <c r="CN1113" s="215"/>
      <c r="CO1113" s="215"/>
      <c r="CP1113" s="215"/>
      <c r="CQ1113" s="215"/>
      <c r="CR1113" s="215"/>
      <c r="CS1113" s="215"/>
      <c r="CT1113" s="215"/>
    </row>
    <row r="1114" ht="24.0" customHeight="1">
      <c r="A1114" s="287"/>
      <c r="B1114" s="287"/>
      <c r="C1114" s="287"/>
      <c r="D1114" s="232"/>
      <c r="E1114" s="232"/>
      <c r="F1114" s="232"/>
      <c r="G1114" s="232"/>
      <c r="H1114" s="232"/>
      <c r="I1114" s="232"/>
      <c r="J1114" s="232"/>
      <c r="K1114" s="232"/>
      <c r="L1114" s="232"/>
      <c r="M1114" s="232"/>
      <c r="N1114" s="289"/>
      <c r="O1114" s="232"/>
      <c r="P1114" s="232"/>
      <c r="Q1114" s="232"/>
      <c r="R1114" s="232"/>
      <c r="S1114" s="232"/>
      <c r="T1114" s="232"/>
      <c r="U1114" s="232"/>
      <c r="V1114" s="232"/>
      <c r="W1114" s="232"/>
      <c r="X1114" s="232"/>
      <c r="Y1114" s="232"/>
      <c r="Z1114" s="232"/>
      <c r="AA1114" s="232"/>
      <c r="AB1114" s="232"/>
      <c r="AC1114" s="232"/>
      <c r="AD1114" s="232"/>
      <c r="AE1114" s="232"/>
      <c r="AF1114" s="232"/>
      <c r="AG1114" s="232"/>
      <c r="AH1114" s="232"/>
      <c r="AI1114" s="232"/>
      <c r="AJ1114" s="232"/>
      <c r="AK1114" s="232"/>
      <c r="AL1114" s="232"/>
      <c r="AM1114" s="232"/>
      <c r="AN1114" s="232"/>
      <c r="AO1114" s="232"/>
      <c r="AP1114" s="232"/>
      <c r="AQ1114" s="232"/>
      <c r="AR1114" s="232"/>
      <c r="AS1114" s="232"/>
      <c r="AT1114" s="232"/>
      <c r="AU1114" s="232"/>
      <c r="AV1114" s="232"/>
      <c r="AW1114" s="232"/>
      <c r="AX1114" s="232"/>
      <c r="AY1114" s="232"/>
      <c r="AZ1114" s="232"/>
      <c r="BA1114" s="232"/>
      <c r="BB1114" s="232"/>
      <c r="BC1114" s="232"/>
      <c r="BD1114" s="232"/>
      <c r="BE1114" s="232"/>
      <c r="BF1114" s="232"/>
      <c r="BG1114" s="232"/>
      <c r="BH1114" s="232"/>
      <c r="BI1114" s="232"/>
      <c r="BJ1114" s="232"/>
      <c r="BK1114" s="232"/>
      <c r="BL1114" s="232"/>
      <c r="BM1114" s="232"/>
      <c r="BN1114" s="232"/>
      <c r="BO1114" s="232"/>
      <c r="BP1114" s="232"/>
      <c r="BQ1114" s="232"/>
      <c r="BR1114" s="232"/>
      <c r="BS1114" s="232"/>
      <c r="BT1114" s="232"/>
      <c r="BU1114" s="232"/>
      <c r="BV1114" s="232"/>
      <c r="BW1114" s="232"/>
      <c r="BX1114" s="232"/>
      <c r="BY1114" s="232"/>
      <c r="BZ1114" s="232"/>
      <c r="CA1114" s="232"/>
      <c r="CB1114" s="232"/>
      <c r="CC1114" s="232"/>
      <c r="CD1114" s="232"/>
      <c r="CE1114" s="232"/>
      <c r="CF1114" s="232"/>
      <c r="CG1114" s="232"/>
      <c r="CH1114" s="232"/>
      <c r="CI1114" s="232"/>
      <c r="CJ1114" s="232"/>
      <c r="CK1114" s="232"/>
      <c r="CL1114" s="232"/>
      <c r="CM1114" s="232"/>
      <c r="CN1114" s="215"/>
      <c r="CO1114" s="215"/>
      <c r="CP1114" s="215"/>
      <c r="CQ1114" s="215"/>
      <c r="CR1114" s="215"/>
      <c r="CS1114" s="215"/>
      <c r="CT1114" s="215"/>
    </row>
    <row r="1115" ht="24.0" customHeight="1">
      <c r="A1115" s="287"/>
      <c r="B1115" s="287"/>
      <c r="C1115" s="287"/>
      <c r="D1115" s="232"/>
      <c r="E1115" s="232"/>
      <c r="F1115" s="232"/>
      <c r="G1115" s="232"/>
      <c r="H1115" s="232"/>
      <c r="I1115" s="232"/>
      <c r="J1115" s="232"/>
      <c r="K1115" s="232"/>
      <c r="L1115" s="232"/>
      <c r="M1115" s="232"/>
      <c r="N1115" s="289"/>
      <c r="O1115" s="232"/>
      <c r="P1115" s="232"/>
      <c r="Q1115" s="232"/>
      <c r="R1115" s="232"/>
      <c r="S1115" s="232"/>
      <c r="T1115" s="232"/>
      <c r="U1115" s="232"/>
      <c r="V1115" s="232"/>
      <c r="W1115" s="232"/>
      <c r="X1115" s="232"/>
      <c r="Y1115" s="232"/>
      <c r="Z1115" s="232"/>
      <c r="AA1115" s="232"/>
      <c r="AB1115" s="232"/>
      <c r="AC1115" s="232"/>
      <c r="AD1115" s="232"/>
      <c r="AE1115" s="232"/>
      <c r="AF1115" s="232"/>
      <c r="AG1115" s="232"/>
      <c r="AH1115" s="232"/>
      <c r="AI1115" s="232"/>
      <c r="AJ1115" s="232"/>
      <c r="AK1115" s="232"/>
      <c r="AL1115" s="232"/>
      <c r="AM1115" s="232"/>
      <c r="AN1115" s="232"/>
      <c r="AO1115" s="232"/>
      <c r="AP1115" s="232"/>
      <c r="AQ1115" s="232"/>
      <c r="AR1115" s="232"/>
      <c r="AS1115" s="232"/>
      <c r="AT1115" s="232"/>
      <c r="AU1115" s="232"/>
      <c r="AV1115" s="232"/>
      <c r="AW1115" s="232"/>
      <c r="AX1115" s="232"/>
      <c r="AY1115" s="232"/>
      <c r="AZ1115" s="232"/>
      <c r="BA1115" s="232"/>
      <c r="BB1115" s="232"/>
      <c r="BC1115" s="232"/>
      <c r="BD1115" s="232"/>
      <c r="BE1115" s="232"/>
      <c r="BF1115" s="232"/>
      <c r="BG1115" s="232"/>
      <c r="BH1115" s="232"/>
      <c r="BI1115" s="232"/>
      <c r="BJ1115" s="232"/>
      <c r="BK1115" s="232"/>
      <c r="BL1115" s="232"/>
      <c r="BM1115" s="232"/>
      <c r="BN1115" s="232"/>
      <c r="BO1115" s="232"/>
      <c r="BP1115" s="232"/>
      <c r="BQ1115" s="232"/>
      <c r="BR1115" s="232"/>
      <c r="BS1115" s="232"/>
      <c r="BT1115" s="232"/>
      <c r="BU1115" s="232"/>
      <c r="BV1115" s="232"/>
      <c r="BW1115" s="232"/>
      <c r="BX1115" s="232"/>
      <c r="BY1115" s="232"/>
      <c r="BZ1115" s="232"/>
      <c r="CA1115" s="232"/>
      <c r="CB1115" s="232"/>
      <c r="CC1115" s="232"/>
      <c r="CD1115" s="232"/>
      <c r="CE1115" s="232"/>
      <c r="CF1115" s="232"/>
      <c r="CG1115" s="232"/>
      <c r="CH1115" s="232"/>
      <c r="CI1115" s="232"/>
      <c r="CJ1115" s="232"/>
      <c r="CK1115" s="232"/>
      <c r="CL1115" s="232"/>
      <c r="CM1115" s="232"/>
      <c r="CN1115" s="215"/>
      <c r="CO1115" s="215"/>
      <c r="CP1115" s="215"/>
      <c r="CQ1115" s="215"/>
      <c r="CR1115" s="215"/>
      <c r="CS1115" s="215"/>
      <c r="CT1115" s="215"/>
    </row>
    <row r="1116" ht="24.0" customHeight="1">
      <c r="A1116" s="287"/>
      <c r="B1116" s="287"/>
      <c r="C1116" s="287"/>
      <c r="D1116" s="232"/>
      <c r="E1116" s="232"/>
      <c r="F1116" s="232"/>
      <c r="G1116" s="232"/>
      <c r="H1116" s="232"/>
      <c r="I1116" s="232"/>
      <c r="J1116" s="232"/>
      <c r="K1116" s="232"/>
      <c r="L1116" s="232"/>
      <c r="M1116" s="232"/>
      <c r="N1116" s="289"/>
      <c r="O1116" s="232"/>
      <c r="P1116" s="232"/>
      <c r="Q1116" s="232"/>
      <c r="R1116" s="232"/>
      <c r="S1116" s="232"/>
      <c r="T1116" s="232"/>
      <c r="U1116" s="232"/>
      <c r="V1116" s="232"/>
      <c r="W1116" s="232"/>
      <c r="X1116" s="232"/>
      <c r="Y1116" s="232"/>
      <c r="Z1116" s="232"/>
      <c r="AA1116" s="232"/>
      <c r="AB1116" s="232"/>
      <c r="AC1116" s="232"/>
      <c r="AD1116" s="232"/>
      <c r="AE1116" s="232"/>
      <c r="AF1116" s="232"/>
      <c r="AG1116" s="232"/>
      <c r="AH1116" s="232"/>
      <c r="AI1116" s="232"/>
      <c r="AJ1116" s="232"/>
      <c r="AK1116" s="232"/>
      <c r="AL1116" s="232"/>
      <c r="AM1116" s="232"/>
      <c r="AN1116" s="232"/>
      <c r="AO1116" s="232"/>
      <c r="AP1116" s="232"/>
      <c r="AQ1116" s="232"/>
      <c r="AR1116" s="232"/>
      <c r="AS1116" s="232"/>
      <c r="AT1116" s="232"/>
      <c r="AU1116" s="232"/>
      <c r="AV1116" s="232"/>
      <c r="AW1116" s="232"/>
      <c r="AX1116" s="232"/>
      <c r="AY1116" s="232"/>
      <c r="AZ1116" s="232"/>
      <c r="BA1116" s="232"/>
      <c r="BB1116" s="232"/>
      <c r="BC1116" s="232"/>
      <c r="BD1116" s="232"/>
      <c r="BE1116" s="232"/>
      <c r="BF1116" s="232"/>
      <c r="BG1116" s="232"/>
      <c r="BH1116" s="232"/>
      <c r="BI1116" s="232"/>
      <c r="BJ1116" s="232"/>
      <c r="BK1116" s="232"/>
      <c r="BL1116" s="232"/>
      <c r="BM1116" s="232"/>
      <c r="BN1116" s="232"/>
      <c r="BO1116" s="232"/>
      <c r="BP1116" s="232"/>
      <c r="BQ1116" s="232"/>
      <c r="BR1116" s="232"/>
      <c r="BS1116" s="232"/>
      <c r="BT1116" s="232"/>
      <c r="BU1116" s="232"/>
      <c r="BV1116" s="232"/>
      <c r="BW1116" s="232"/>
      <c r="BX1116" s="232"/>
      <c r="BY1116" s="232"/>
      <c r="BZ1116" s="232"/>
      <c r="CA1116" s="232"/>
      <c r="CB1116" s="232"/>
      <c r="CC1116" s="232"/>
      <c r="CD1116" s="232"/>
      <c r="CE1116" s="232"/>
      <c r="CF1116" s="232"/>
      <c r="CG1116" s="232"/>
      <c r="CH1116" s="232"/>
      <c r="CI1116" s="232"/>
      <c r="CJ1116" s="232"/>
      <c r="CK1116" s="232"/>
      <c r="CL1116" s="232"/>
      <c r="CM1116" s="232"/>
      <c r="CN1116" s="215"/>
      <c r="CO1116" s="215"/>
      <c r="CP1116" s="215"/>
      <c r="CQ1116" s="215"/>
      <c r="CR1116" s="215"/>
      <c r="CS1116" s="215"/>
      <c r="CT1116" s="215"/>
    </row>
    <row r="1117" ht="24.0" customHeight="1">
      <c r="A1117" s="287"/>
      <c r="B1117" s="287"/>
      <c r="C1117" s="287"/>
      <c r="D1117" s="232"/>
      <c r="E1117" s="232"/>
      <c r="F1117" s="232"/>
      <c r="G1117" s="232"/>
      <c r="H1117" s="232"/>
      <c r="I1117" s="232"/>
      <c r="J1117" s="232"/>
      <c r="K1117" s="232"/>
      <c r="L1117" s="232"/>
      <c r="M1117" s="232"/>
      <c r="N1117" s="289"/>
      <c r="O1117" s="232"/>
      <c r="P1117" s="232"/>
      <c r="Q1117" s="232"/>
      <c r="R1117" s="232"/>
      <c r="S1117" s="232"/>
      <c r="T1117" s="232"/>
      <c r="U1117" s="232"/>
      <c r="V1117" s="232"/>
      <c r="W1117" s="232"/>
      <c r="X1117" s="232"/>
      <c r="Y1117" s="232"/>
      <c r="Z1117" s="232"/>
      <c r="AA1117" s="232"/>
      <c r="AB1117" s="232"/>
      <c r="AC1117" s="232"/>
      <c r="AD1117" s="232"/>
      <c r="AE1117" s="232"/>
      <c r="AF1117" s="232"/>
      <c r="AG1117" s="232"/>
      <c r="AH1117" s="232"/>
      <c r="AI1117" s="232"/>
      <c r="AJ1117" s="232"/>
      <c r="AK1117" s="232"/>
      <c r="AL1117" s="232"/>
      <c r="AM1117" s="232"/>
      <c r="AN1117" s="232"/>
      <c r="AO1117" s="232"/>
      <c r="AP1117" s="232"/>
      <c r="AQ1117" s="232"/>
      <c r="AR1117" s="232"/>
      <c r="AS1117" s="232"/>
      <c r="AT1117" s="232"/>
      <c r="AU1117" s="232"/>
      <c r="AV1117" s="232"/>
      <c r="AW1117" s="232"/>
      <c r="AX1117" s="232"/>
      <c r="AY1117" s="232"/>
      <c r="AZ1117" s="232"/>
      <c r="BA1117" s="232"/>
      <c r="BB1117" s="232"/>
      <c r="BC1117" s="232"/>
      <c r="BD1117" s="232"/>
      <c r="BE1117" s="232"/>
      <c r="BF1117" s="232"/>
      <c r="BG1117" s="232"/>
      <c r="BH1117" s="232"/>
      <c r="BI1117" s="232"/>
      <c r="BJ1117" s="232"/>
      <c r="BK1117" s="232"/>
      <c r="BL1117" s="232"/>
      <c r="BM1117" s="232"/>
      <c r="BN1117" s="232"/>
      <c r="BO1117" s="232"/>
      <c r="BP1117" s="232"/>
      <c r="BQ1117" s="232"/>
      <c r="BR1117" s="232"/>
      <c r="BS1117" s="232"/>
      <c r="BT1117" s="232"/>
      <c r="BU1117" s="232"/>
      <c r="BV1117" s="232"/>
      <c r="BW1117" s="232"/>
      <c r="BX1117" s="232"/>
      <c r="BY1117" s="232"/>
      <c r="BZ1117" s="232"/>
      <c r="CA1117" s="232"/>
      <c r="CB1117" s="232"/>
      <c r="CC1117" s="232"/>
      <c r="CD1117" s="232"/>
      <c r="CE1117" s="232"/>
      <c r="CF1117" s="232"/>
      <c r="CG1117" s="232"/>
      <c r="CH1117" s="232"/>
      <c r="CI1117" s="232"/>
      <c r="CJ1117" s="232"/>
      <c r="CK1117" s="232"/>
      <c r="CL1117" s="232"/>
      <c r="CM1117" s="232"/>
      <c r="CN1117" s="215"/>
      <c r="CO1117" s="215"/>
      <c r="CP1117" s="215"/>
      <c r="CQ1117" s="215"/>
      <c r="CR1117" s="215"/>
      <c r="CS1117" s="215"/>
      <c r="CT1117" s="215"/>
    </row>
    <row r="1118" ht="24.0" customHeight="1">
      <c r="A1118" s="287"/>
      <c r="B1118" s="287"/>
      <c r="C1118" s="287"/>
      <c r="D1118" s="232"/>
      <c r="E1118" s="232"/>
      <c r="F1118" s="232"/>
      <c r="G1118" s="232"/>
      <c r="H1118" s="232"/>
      <c r="I1118" s="232"/>
      <c r="J1118" s="232"/>
      <c r="K1118" s="232"/>
      <c r="L1118" s="232"/>
      <c r="M1118" s="232"/>
      <c r="N1118" s="289"/>
      <c r="O1118" s="232"/>
      <c r="P1118" s="232"/>
      <c r="Q1118" s="232"/>
      <c r="R1118" s="232"/>
      <c r="S1118" s="232"/>
      <c r="T1118" s="232"/>
      <c r="U1118" s="232"/>
      <c r="V1118" s="232"/>
      <c r="W1118" s="232"/>
      <c r="X1118" s="232"/>
      <c r="Y1118" s="232"/>
      <c r="Z1118" s="232"/>
      <c r="AA1118" s="232"/>
      <c r="AB1118" s="232"/>
      <c r="AC1118" s="232"/>
      <c r="AD1118" s="232"/>
      <c r="AE1118" s="232"/>
      <c r="AF1118" s="232"/>
      <c r="AG1118" s="232"/>
      <c r="AH1118" s="232"/>
      <c r="AI1118" s="232"/>
      <c r="AJ1118" s="232"/>
      <c r="AK1118" s="232"/>
      <c r="AL1118" s="232"/>
      <c r="AM1118" s="232"/>
      <c r="AN1118" s="232"/>
      <c r="AO1118" s="232"/>
      <c r="AP1118" s="232"/>
      <c r="AQ1118" s="232"/>
      <c r="AR1118" s="232"/>
      <c r="AS1118" s="232"/>
      <c r="AT1118" s="232"/>
      <c r="AU1118" s="232"/>
      <c r="AV1118" s="232"/>
      <c r="AW1118" s="232"/>
      <c r="AX1118" s="232"/>
      <c r="AY1118" s="232"/>
      <c r="AZ1118" s="232"/>
      <c r="BA1118" s="232"/>
      <c r="BB1118" s="232"/>
      <c r="BC1118" s="232"/>
      <c r="BD1118" s="232"/>
      <c r="BE1118" s="232"/>
      <c r="BF1118" s="232"/>
      <c r="BG1118" s="232"/>
      <c r="BH1118" s="232"/>
      <c r="BI1118" s="232"/>
      <c r="BJ1118" s="232"/>
      <c r="BK1118" s="232"/>
      <c r="BL1118" s="232"/>
      <c r="BM1118" s="232"/>
      <c r="BN1118" s="232"/>
      <c r="BO1118" s="232"/>
      <c r="BP1118" s="232"/>
      <c r="BQ1118" s="232"/>
      <c r="BR1118" s="232"/>
      <c r="BS1118" s="232"/>
      <c r="BT1118" s="232"/>
      <c r="BU1118" s="232"/>
      <c r="BV1118" s="232"/>
      <c r="BW1118" s="232"/>
      <c r="BX1118" s="232"/>
      <c r="BY1118" s="232"/>
      <c r="BZ1118" s="232"/>
      <c r="CA1118" s="232"/>
      <c r="CB1118" s="232"/>
      <c r="CC1118" s="232"/>
      <c r="CD1118" s="232"/>
      <c r="CE1118" s="232"/>
      <c r="CF1118" s="232"/>
      <c r="CG1118" s="232"/>
      <c r="CH1118" s="232"/>
      <c r="CI1118" s="232"/>
      <c r="CJ1118" s="232"/>
      <c r="CK1118" s="232"/>
      <c r="CL1118" s="232"/>
      <c r="CM1118" s="232"/>
      <c r="CN1118" s="215"/>
      <c r="CO1118" s="215"/>
      <c r="CP1118" s="215"/>
      <c r="CQ1118" s="215"/>
      <c r="CR1118" s="215"/>
      <c r="CS1118" s="215"/>
      <c r="CT1118" s="215"/>
    </row>
    <row r="1119" ht="24.0" customHeight="1">
      <c r="A1119" s="287"/>
      <c r="B1119" s="287"/>
      <c r="C1119" s="287"/>
      <c r="D1119" s="232"/>
      <c r="E1119" s="232"/>
      <c r="F1119" s="232"/>
      <c r="G1119" s="232"/>
      <c r="H1119" s="232"/>
      <c r="I1119" s="232"/>
      <c r="J1119" s="232"/>
      <c r="K1119" s="232"/>
      <c r="L1119" s="232"/>
      <c r="M1119" s="232"/>
      <c r="N1119" s="289"/>
      <c r="O1119" s="232"/>
      <c r="P1119" s="232"/>
      <c r="Q1119" s="232"/>
      <c r="R1119" s="232"/>
      <c r="S1119" s="232"/>
      <c r="T1119" s="232"/>
      <c r="U1119" s="232"/>
      <c r="V1119" s="232"/>
      <c r="W1119" s="232"/>
      <c r="X1119" s="232"/>
      <c r="Y1119" s="232"/>
      <c r="Z1119" s="232"/>
      <c r="AA1119" s="232"/>
      <c r="AB1119" s="232"/>
      <c r="AC1119" s="232"/>
      <c r="AD1119" s="232"/>
      <c r="AE1119" s="232"/>
      <c r="AF1119" s="232"/>
      <c r="AG1119" s="232"/>
      <c r="AH1119" s="232"/>
      <c r="AI1119" s="232"/>
      <c r="AJ1119" s="232"/>
      <c r="AK1119" s="232"/>
      <c r="AL1119" s="232"/>
      <c r="AM1119" s="232"/>
      <c r="AN1119" s="232"/>
      <c r="AO1119" s="232"/>
      <c r="AP1119" s="232"/>
      <c r="AQ1119" s="232"/>
      <c r="AR1119" s="232"/>
      <c r="AS1119" s="232"/>
      <c r="AT1119" s="232"/>
      <c r="AU1119" s="232"/>
      <c r="AV1119" s="232"/>
      <c r="AW1119" s="232"/>
      <c r="AX1119" s="232"/>
      <c r="AY1119" s="232"/>
      <c r="AZ1119" s="232"/>
      <c r="BA1119" s="232"/>
      <c r="BB1119" s="232"/>
      <c r="BC1119" s="232"/>
      <c r="BD1119" s="232"/>
      <c r="BE1119" s="232"/>
      <c r="BF1119" s="232"/>
      <c r="BG1119" s="232"/>
      <c r="BH1119" s="232"/>
      <c r="BI1119" s="232"/>
      <c r="BJ1119" s="232"/>
      <c r="BK1119" s="232"/>
      <c r="BL1119" s="232"/>
      <c r="BM1119" s="232"/>
      <c r="BN1119" s="232"/>
      <c r="BO1119" s="232"/>
      <c r="BP1119" s="232"/>
      <c r="BQ1119" s="232"/>
      <c r="BR1119" s="232"/>
      <c r="BS1119" s="232"/>
      <c r="BT1119" s="232"/>
      <c r="BU1119" s="232"/>
      <c r="BV1119" s="232"/>
      <c r="BW1119" s="232"/>
      <c r="BX1119" s="232"/>
      <c r="BY1119" s="232"/>
      <c r="BZ1119" s="232"/>
      <c r="CA1119" s="232"/>
      <c r="CB1119" s="232"/>
      <c r="CC1119" s="232"/>
      <c r="CD1119" s="232"/>
      <c r="CE1119" s="232"/>
      <c r="CF1119" s="232"/>
      <c r="CG1119" s="232"/>
      <c r="CH1119" s="232"/>
      <c r="CI1119" s="232"/>
      <c r="CJ1119" s="232"/>
      <c r="CK1119" s="232"/>
      <c r="CL1119" s="232"/>
      <c r="CM1119" s="232"/>
      <c r="CN1119" s="215"/>
      <c r="CO1119" s="215"/>
      <c r="CP1119" s="215"/>
      <c r="CQ1119" s="215"/>
      <c r="CR1119" s="215"/>
      <c r="CS1119" s="215"/>
      <c r="CT1119" s="215"/>
    </row>
    <row r="1120" ht="24.0" customHeight="1">
      <c r="A1120" s="287"/>
      <c r="B1120" s="287"/>
      <c r="C1120" s="287"/>
      <c r="D1120" s="232"/>
      <c r="E1120" s="232"/>
      <c r="F1120" s="232"/>
      <c r="G1120" s="232"/>
      <c r="H1120" s="232"/>
      <c r="I1120" s="232"/>
      <c r="J1120" s="232"/>
      <c r="K1120" s="232"/>
      <c r="L1120" s="232"/>
      <c r="M1120" s="232"/>
      <c r="N1120" s="289"/>
      <c r="O1120" s="232"/>
      <c r="P1120" s="232"/>
      <c r="Q1120" s="232"/>
      <c r="R1120" s="232"/>
      <c r="S1120" s="232"/>
      <c r="T1120" s="232"/>
      <c r="U1120" s="232"/>
      <c r="V1120" s="232"/>
      <c r="W1120" s="232"/>
      <c r="X1120" s="232"/>
      <c r="Y1120" s="232"/>
      <c r="Z1120" s="232"/>
      <c r="AA1120" s="232"/>
      <c r="AB1120" s="232"/>
      <c r="AC1120" s="232"/>
      <c r="AD1120" s="232"/>
      <c r="AE1120" s="232"/>
      <c r="AF1120" s="232"/>
      <c r="AG1120" s="232"/>
      <c r="AH1120" s="232"/>
      <c r="AI1120" s="232"/>
      <c r="AJ1120" s="232"/>
      <c r="AK1120" s="232"/>
      <c r="AL1120" s="232"/>
      <c r="AM1120" s="232"/>
      <c r="AN1120" s="232"/>
      <c r="AO1120" s="232"/>
      <c r="AP1120" s="232"/>
      <c r="AQ1120" s="232"/>
      <c r="AR1120" s="232"/>
      <c r="AS1120" s="232"/>
      <c r="AT1120" s="232"/>
      <c r="AU1120" s="232"/>
      <c r="AV1120" s="232"/>
      <c r="AW1120" s="232"/>
      <c r="AX1120" s="232"/>
      <c r="AY1120" s="232"/>
      <c r="AZ1120" s="232"/>
      <c r="BA1120" s="232"/>
      <c r="BB1120" s="232"/>
      <c r="BC1120" s="232"/>
      <c r="BD1120" s="232"/>
      <c r="BE1120" s="232"/>
      <c r="BF1120" s="232"/>
      <c r="BG1120" s="232"/>
      <c r="BH1120" s="232"/>
      <c r="BI1120" s="232"/>
      <c r="BJ1120" s="232"/>
      <c r="BK1120" s="232"/>
      <c r="BL1120" s="232"/>
      <c r="BM1120" s="232"/>
      <c r="BN1120" s="232"/>
      <c r="BO1120" s="232"/>
      <c r="BP1120" s="232"/>
      <c r="BQ1120" s="232"/>
      <c r="BR1120" s="232"/>
      <c r="BS1120" s="232"/>
      <c r="BT1120" s="232"/>
      <c r="BU1120" s="232"/>
      <c r="BV1120" s="232"/>
      <c r="BW1120" s="232"/>
      <c r="BX1120" s="232"/>
      <c r="BY1120" s="232"/>
      <c r="BZ1120" s="232"/>
      <c r="CA1120" s="232"/>
      <c r="CB1120" s="232"/>
      <c r="CC1120" s="232"/>
      <c r="CD1120" s="232"/>
      <c r="CE1120" s="232"/>
      <c r="CF1120" s="232"/>
      <c r="CG1120" s="232"/>
      <c r="CH1120" s="232"/>
      <c r="CI1120" s="232"/>
      <c r="CJ1120" s="232"/>
      <c r="CK1120" s="232"/>
      <c r="CL1120" s="232"/>
      <c r="CM1120" s="232"/>
      <c r="CN1120" s="215"/>
      <c r="CO1120" s="215"/>
      <c r="CP1120" s="215"/>
      <c r="CQ1120" s="215"/>
      <c r="CR1120" s="215"/>
      <c r="CS1120" s="215"/>
      <c r="CT1120" s="215"/>
    </row>
    <row r="1121" ht="24.0" customHeight="1">
      <c r="A1121" s="287"/>
      <c r="B1121" s="287"/>
      <c r="C1121" s="287"/>
      <c r="D1121" s="232"/>
      <c r="E1121" s="232"/>
      <c r="F1121" s="232"/>
      <c r="G1121" s="232"/>
      <c r="H1121" s="232"/>
      <c r="I1121" s="232"/>
      <c r="J1121" s="232"/>
      <c r="K1121" s="232"/>
      <c r="L1121" s="232"/>
      <c r="M1121" s="232"/>
      <c r="N1121" s="289"/>
      <c r="O1121" s="232"/>
      <c r="P1121" s="232"/>
      <c r="Q1121" s="232"/>
      <c r="R1121" s="232"/>
      <c r="S1121" s="232"/>
      <c r="T1121" s="232"/>
      <c r="U1121" s="232"/>
      <c r="V1121" s="232"/>
      <c r="W1121" s="232"/>
      <c r="X1121" s="232"/>
      <c r="Y1121" s="232"/>
      <c r="Z1121" s="232"/>
      <c r="AA1121" s="232"/>
      <c r="AB1121" s="232"/>
      <c r="AC1121" s="232"/>
      <c r="AD1121" s="232"/>
      <c r="AE1121" s="232"/>
      <c r="AF1121" s="232"/>
      <c r="AG1121" s="232"/>
      <c r="AH1121" s="232"/>
      <c r="AI1121" s="232"/>
      <c r="AJ1121" s="232"/>
      <c r="AK1121" s="232"/>
      <c r="AL1121" s="232"/>
      <c r="AM1121" s="232"/>
      <c r="AN1121" s="232"/>
      <c r="AO1121" s="232"/>
      <c r="AP1121" s="232"/>
      <c r="AQ1121" s="232"/>
      <c r="AR1121" s="232"/>
      <c r="AS1121" s="232"/>
      <c r="AT1121" s="232"/>
      <c r="AU1121" s="232"/>
      <c r="AV1121" s="232"/>
      <c r="AW1121" s="232"/>
      <c r="AX1121" s="232"/>
      <c r="AY1121" s="232"/>
      <c r="AZ1121" s="232"/>
      <c r="BA1121" s="232"/>
      <c r="BB1121" s="232"/>
      <c r="BC1121" s="232"/>
      <c r="BD1121" s="232"/>
      <c r="BE1121" s="232"/>
      <c r="BF1121" s="232"/>
      <c r="BG1121" s="232"/>
      <c r="BH1121" s="232"/>
      <c r="BI1121" s="232"/>
      <c r="BJ1121" s="232"/>
      <c r="BK1121" s="232"/>
      <c r="BL1121" s="232"/>
      <c r="BM1121" s="232"/>
      <c r="BN1121" s="232"/>
      <c r="BO1121" s="232"/>
      <c r="BP1121" s="232"/>
      <c r="BQ1121" s="232"/>
      <c r="BR1121" s="232"/>
      <c r="BS1121" s="232"/>
      <c r="BT1121" s="232"/>
      <c r="BU1121" s="232"/>
      <c r="BV1121" s="232"/>
      <c r="BW1121" s="232"/>
      <c r="BX1121" s="232"/>
      <c r="BY1121" s="232"/>
      <c r="BZ1121" s="232"/>
      <c r="CA1121" s="232"/>
      <c r="CB1121" s="232"/>
      <c r="CC1121" s="232"/>
      <c r="CD1121" s="232"/>
      <c r="CE1121" s="232"/>
      <c r="CF1121" s="232"/>
      <c r="CG1121" s="232"/>
      <c r="CH1121" s="232"/>
      <c r="CI1121" s="232"/>
      <c r="CJ1121" s="232"/>
      <c r="CK1121" s="232"/>
      <c r="CL1121" s="232"/>
      <c r="CM1121" s="232"/>
      <c r="CN1121" s="215"/>
      <c r="CO1121" s="215"/>
      <c r="CP1121" s="215"/>
      <c r="CQ1121" s="215"/>
      <c r="CR1121" s="215"/>
      <c r="CS1121" s="215"/>
      <c r="CT1121" s="215"/>
    </row>
    <row r="1122" ht="24.0" customHeight="1">
      <c r="A1122" s="287"/>
      <c r="B1122" s="287"/>
      <c r="C1122" s="287"/>
      <c r="D1122" s="232"/>
      <c r="E1122" s="232"/>
      <c r="F1122" s="232"/>
      <c r="G1122" s="232"/>
      <c r="H1122" s="232"/>
      <c r="I1122" s="232"/>
      <c r="J1122" s="232"/>
      <c r="K1122" s="232"/>
      <c r="L1122" s="232"/>
      <c r="M1122" s="232"/>
      <c r="N1122" s="289"/>
      <c r="O1122" s="232"/>
      <c r="P1122" s="232"/>
      <c r="Q1122" s="232"/>
      <c r="R1122" s="232"/>
      <c r="S1122" s="232"/>
      <c r="T1122" s="232"/>
      <c r="U1122" s="232"/>
      <c r="V1122" s="232"/>
      <c r="W1122" s="232"/>
      <c r="X1122" s="232"/>
      <c r="Y1122" s="232"/>
      <c r="Z1122" s="232"/>
      <c r="AA1122" s="232"/>
      <c r="AB1122" s="232"/>
      <c r="AC1122" s="232"/>
      <c r="AD1122" s="232"/>
      <c r="AE1122" s="232"/>
      <c r="AF1122" s="232"/>
      <c r="AG1122" s="232"/>
      <c r="AH1122" s="232"/>
      <c r="AI1122" s="232"/>
      <c r="AJ1122" s="232"/>
      <c r="AK1122" s="232"/>
      <c r="AL1122" s="232"/>
      <c r="AM1122" s="232"/>
      <c r="AN1122" s="232"/>
      <c r="AO1122" s="232"/>
      <c r="AP1122" s="232"/>
      <c r="AQ1122" s="232"/>
      <c r="AR1122" s="232"/>
      <c r="AS1122" s="232"/>
      <c r="AT1122" s="232"/>
      <c r="AU1122" s="232"/>
      <c r="AV1122" s="232"/>
      <c r="AW1122" s="232"/>
      <c r="AX1122" s="232"/>
      <c r="AY1122" s="232"/>
      <c r="AZ1122" s="232"/>
      <c r="BA1122" s="232"/>
      <c r="BB1122" s="232"/>
      <c r="BC1122" s="232"/>
      <c r="BD1122" s="232"/>
      <c r="BE1122" s="232"/>
      <c r="BF1122" s="232"/>
      <c r="BG1122" s="232"/>
      <c r="BH1122" s="232"/>
      <c r="BI1122" s="232"/>
      <c r="BJ1122" s="232"/>
      <c r="BK1122" s="232"/>
      <c r="BL1122" s="232"/>
      <c r="BM1122" s="232"/>
      <c r="BN1122" s="232"/>
      <c r="BO1122" s="232"/>
      <c r="BP1122" s="232"/>
      <c r="BQ1122" s="232"/>
      <c r="BR1122" s="232"/>
      <c r="BS1122" s="232"/>
      <c r="BT1122" s="232"/>
      <c r="BU1122" s="232"/>
      <c r="BV1122" s="232"/>
      <c r="BW1122" s="232"/>
      <c r="BX1122" s="232"/>
      <c r="BY1122" s="232"/>
      <c r="BZ1122" s="232"/>
      <c r="CA1122" s="232"/>
      <c r="CB1122" s="232"/>
      <c r="CC1122" s="232"/>
      <c r="CD1122" s="232"/>
      <c r="CE1122" s="232"/>
      <c r="CF1122" s="232"/>
      <c r="CG1122" s="232"/>
      <c r="CH1122" s="232"/>
      <c r="CI1122" s="232"/>
      <c r="CJ1122" s="232"/>
      <c r="CK1122" s="232"/>
      <c r="CL1122" s="232"/>
      <c r="CM1122" s="232"/>
      <c r="CN1122" s="215"/>
      <c r="CO1122" s="215"/>
      <c r="CP1122" s="215"/>
      <c r="CQ1122" s="215"/>
      <c r="CR1122" s="215"/>
      <c r="CS1122" s="215"/>
      <c r="CT1122" s="215"/>
    </row>
    <row r="1123" ht="24.0" customHeight="1">
      <c r="A1123" s="287"/>
      <c r="B1123" s="287"/>
      <c r="C1123" s="287"/>
      <c r="D1123" s="232"/>
      <c r="E1123" s="232"/>
      <c r="F1123" s="232"/>
      <c r="G1123" s="232"/>
      <c r="H1123" s="232"/>
      <c r="I1123" s="232"/>
      <c r="J1123" s="232"/>
      <c r="K1123" s="232"/>
      <c r="L1123" s="232"/>
      <c r="M1123" s="232"/>
      <c r="N1123" s="289"/>
      <c r="O1123" s="232"/>
      <c r="P1123" s="232"/>
      <c r="Q1123" s="232"/>
      <c r="R1123" s="232"/>
      <c r="S1123" s="232"/>
      <c r="T1123" s="232"/>
      <c r="U1123" s="232"/>
      <c r="V1123" s="232"/>
      <c r="W1123" s="232"/>
      <c r="X1123" s="232"/>
      <c r="Y1123" s="232"/>
      <c r="Z1123" s="232"/>
      <c r="AA1123" s="232"/>
      <c r="AB1123" s="232"/>
      <c r="AC1123" s="232"/>
      <c r="AD1123" s="232"/>
      <c r="AE1123" s="232"/>
      <c r="AF1123" s="232"/>
      <c r="AG1123" s="232"/>
      <c r="AH1123" s="232"/>
      <c r="AI1123" s="232"/>
      <c r="AJ1123" s="232"/>
      <c r="AK1123" s="232"/>
      <c r="AL1123" s="232"/>
      <c r="AM1123" s="232"/>
      <c r="AN1123" s="232"/>
      <c r="AO1123" s="232"/>
      <c r="AP1123" s="232"/>
      <c r="AQ1123" s="232"/>
      <c r="AR1123" s="232"/>
      <c r="AS1123" s="232"/>
      <c r="AT1123" s="232"/>
      <c r="AU1123" s="232"/>
      <c r="AV1123" s="232"/>
      <c r="AW1123" s="232"/>
      <c r="AX1123" s="232"/>
      <c r="AY1123" s="232"/>
      <c r="AZ1123" s="232"/>
      <c r="BA1123" s="232"/>
      <c r="BB1123" s="232"/>
      <c r="BC1123" s="232"/>
      <c r="BD1123" s="232"/>
      <c r="BE1123" s="232"/>
      <c r="BF1123" s="232"/>
      <c r="BG1123" s="232"/>
      <c r="BH1123" s="232"/>
      <c r="BI1123" s="232"/>
      <c r="BJ1123" s="232"/>
      <c r="BK1123" s="232"/>
      <c r="BL1123" s="232"/>
      <c r="BM1123" s="232"/>
      <c r="BN1123" s="232"/>
      <c r="BO1123" s="232"/>
      <c r="BP1123" s="232"/>
      <c r="BQ1123" s="232"/>
      <c r="BR1123" s="232"/>
      <c r="BS1123" s="232"/>
      <c r="BT1123" s="232"/>
      <c r="BU1123" s="232"/>
      <c r="BV1123" s="232"/>
      <c r="BW1123" s="232"/>
      <c r="BX1123" s="232"/>
      <c r="BY1123" s="232"/>
      <c r="BZ1123" s="232"/>
      <c r="CA1123" s="232"/>
      <c r="CB1123" s="232"/>
      <c r="CC1123" s="232"/>
      <c r="CD1123" s="232"/>
      <c r="CE1123" s="232"/>
      <c r="CF1123" s="232"/>
      <c r="CG1123" s="232"/>
      <c r="CH1123" s="232"/>
      <c r="CI1123" s="232"/>
      <c r="CJ1123" s="232"/>
      <c r="CK1123" s="232"/>
      <c r="CL1123" s="232"/>
      <c r="CM1123" s="232"/>
      <c r="CN1123" s="215"/>
      <c r="CO1123" s="215"/>
      <c r="CP1123" s="215"/>
      <c r="CQ1123" s="215"/>
      <c r="CR1123" s="215"/>
      <c r="CS1123" s="215"/>
      <c r="CT1123" s="215"/>
    </row>
    <row r="1124" ht="24.0" customHeight="1">
      <c r="A1124" s="287"/>
      <c r="B1124" s="287"/>
      <c r="C1124" s="287"/>
      <c r="D1124" s="232"/>
      <c r="E1124" s="232"/>
      <c r="F1124" s="232"/>
      <c r="G1124" s="232"/>
      <c r="H1124" s="232"/>
      <c r="I1124" s="232"/>
      <c r="J1124" s="232"/>
      <c r="K1124" s="232"/>
      <c r="L1124" s="232"/>
      <c r="M1124" s="232"/>
      <c r="N1124" s="289"/>
      <c r="O1124" s="232"/>
      <c r="P1124" s="232"/>
      <c r="Q1124" s="232"/>
      <c r="R1124" s="232"/>
      <c r="S1124" s="232"/>
      <c r="T1124" s="232"/>
      <c r="U1124" s="232"/>
      <c r="V1124" s="232"/>
      <c r="W1124" s="232"/>
      <c r="X1124" s="232"/>
      <c r="Y1124" s="232"/>
      <c r="Z1124" s="232"/>
      <c r="AA1124" s="232"/>
      <c r="AB1124" s="232"/>
      <c r="AC1124" s="232"/>
      <c r="AD1124" s="232"/>
      <c r="AE1124" s="232"/>
      <c r="AF1124" s="232"/>
      <c r="AG1124" s="232"/>
      <c r="AH1124" s="232"/>
      <c r="AI1124" s="232"/>
      <c r="AJ1124" s="232"/>
      <c r="AK1124" s="232"/>
      <c r="AL1124" s="232"/>
      <c r="AM1124" s="232"/>
      <c r="AN1124" s="232"/>
      <c r="AO1124" s="232"/>
      <c r="AP1124" s="232"/>
      <c r="AQ1124" s="232"/>
      <c r="AR1124" s="232"/>
      <c r="AS1124" s="232"/>
      <c r="AT1124" s="232"/>
      <c r="AU1124" s="232"/>
      <c r="AV1124" s="232"/>
      <c r="AW1124" s="232"/>
      <c r="AX1124" s="232"/>
      <c r="AY1124" s="232"/>
      <c r="AZ1124" s="232"/>
      <c r="BA1124" s="232"/>
      <c r="BB1124" s="232"/>
      <c r="BC1124" s="232"/>
      <c r="BD1124" s="232"/>
      <c r="BE1124" s="232"/>
      <c r="BF1124" s="232"/>
      <c r="BG1124" s="232"/>
      <c r="BH1124" s="232"/>
      <c r="BI1124" s="232"/>
      <c r="BJ1124" s="232"/>
      <c r="BK1124" s="232"/>
      <c r="BL1124" s="232"/>
      <c r="BM1124" s="232"/>
      <c r="BN1124" s="232"/>
      <c r="BO1124" s="232"/>
      <c r="BP1124" s="232"/>
      <c r="BQ1124" s="232"/>
      <c r="BR1124" s="232"/>
      <c r="BS1124" s="232"/>
      <c r="BT1124" s="232"/>
      <c r="BU1124" s="232"/>
      <c r="BV1124" s="232"/>
      <c r="BW1124" s="232"/>
      <c r="BX1124" s="232"/>
      <c r="BY1124" s="232"/>
      <c r="BZ1124" s="232"/>
      <c r="CA1124" s="232"/>
      <c r="CB1124" s="232"/>
      <c r="CC1124" s="232"/>
      <c r="CD1124" s="232"/>
      <c r="CE1124" s="232"/>
      <c r="CF1124" s="232"/>
      <c r="CG1124" s="232"/>
      <c r="CH1124" s="232"/>
      <c r="CI1124" s="232"/>
      <c r="CJ1124" s="232"/>
      <c r="CK1124" s="232"/>
      <c r="CL1124" s="232"/>
      <c r="CM1124" s="232"/>
      <c r="CN1124" s="215"/>
      <c r="CO1124" s="215"/>
      <c r="CP1124" s="215"/>
      <c r="CQ1124" s="215"/>
      <c r="CR1124" s="215"/>
      <c r="CS1124" s="215"/>
      <c r="CT1124" s="215"/>
    </row>
    <row r="1125" ht="24.0" customHeight="1">
      <c r="A1125" s="287"/>
      <c r="B1125" s="287"/>
      <c r="C1125" s="287"/>
      <c r="D1125" s="232"/>
      <c r="E1125" s="232"/>
      <c r="F1125" s="232"/>
      <c r="G1125" s="232"/>
      <c r="H1125" s="232"/>
      <c r="I1125" s="232"/>
      <c r="J1125" s="232"/>
      <c r="K1125" s="232"/>
      <c r="L1125" s="232"/>
      <c r="M1125" s="232"/>
      <c r="N1125" s="289"/>
      <c r="O1125" s="232"/>
      <c r="P1125" s="232"/>
      <c r="Q1125" s="232"/>
      <c r="R1125" s="232"/>
      <c r="S1125" s="232"/>
      <c r="T1125" s="232"/>
      <c r="U1125" s="232"/>
      <c r="V1125" s="232"/>
      <c r="W1125" s="232"/>
      <c r="X1125" s="232"/>
      <c r="Y1125" s="232"/>
      <c r="Z1125" s="232"/>
      <c r="AA1125" s="232"/>
      <c r="AB1125" s="232"/>
      <c r="AC1125" s="232"/>
      <c r="AD1125" s="232"/>
      <c r="AE1125" s="232"/>
      <c r="AF1125" s="232"/>
      <c r="AG1125" s="232"/>
      <c r="AH1125" s="232"/>
      <c r="AI1125" s="232"/>
      <c r="AJ1125" s="232"/>
      <c r="AK1125" s="232"/>
      <c r="AL1125" s="232"/>
      <c r="AM1125" s="232"/>
      <c r="AN1125" s="232"/>
      <c r="AO1125" s="232"/>
      <c r="AP1125" s="232"/>
      <c r="AQ1125" s="232"/>
      <c r="AR1125" s="232"/>
      <c r="AS1125" s="232"/>
      <c r="AT1125" s="232"/>
      <c r="AU1125" s="232"/>
      <c r="AV1125" s="232"/>
      <c r="AW1125" s="232"/>
      <c r="AX1125" s="232"/>
      <c r="AY1125" s="232"/>
      <c r="AZ1125" s="232"/>
      <c r="BA1125" s="232"/>
      <c r="BB1125" s="232"/>
      <c r="BC1125" s="232"/>
      <c r="BD1125" s="232"/>
      <c r="BE1125" s="232"/>
      <c r="BF1125" s="232"/>
      <c r="BG1125" s="232"/>
      <c r="BH1125" s="232"/>
      <c r="BI1125" s="232"/>
      <c r="BJ1125" s="232"/>
      <c r="BK1125" s="232"/>
      <c r="BL1125" s="232"/>
      <c r="BM1125" s="232"/>
      <c r="BN1125" s="232"/>
      <c r="BO1125" s="232"/>
      <c r="BP1125" s="232"/>
      <c r="BQ1125" s="232"/>
      <c r="BR1125" s="232"/>
      <c r="BS1125" s="232"/>
      <c r="BT1125" s="232"/>
      <c r="BU1125" s="232"/>
      <c r="BV1125" s="232"/>
      <c r="BW1125" s="232"/>
      <c r="BX1125" s="232"/>
      <c r="BY1125" s="232"/>
      <c r="BZ1125" s="232"/>
      <c r="CA1125" s="232"/>
      <c r="CB1125" s="232"/>
      <c r="CC1125" s="232"/>
      <c r="CD1125" s="232"/>
      <c r="CE1125" s="232"/>
      <c r="CF1125" s="232"/>
      <c r="CG1125" s="232"/>
      <c r="CH1125" s="232"/>
      <c r="CI1125" s="232"/>
      <c r="CJ1125" s="232"/>
      <c r="CK1125" s="232"/>
      <c r="CL1125" s="232"/>
      <c r="CM1125" s="232"/>
      <c r="CN1125" s="215"/>
      <c r="CO1125" s="215"/>
      <c r="CP1125" s="215"/>
      <c r="CQ1125" s="215"/>
      <c r="CR1125" s="215"/>
      <c r="CS1125" s="215"/>
      <c r="CT1125" s="215"/>
    </row>
    <row r="1126" ht="24.0" customHeight="1">
      <c r="A1126" s="287"/>
      <c r="B1126" s="287"/>
      <c r="C1126" s="287"/>
      <c r="D1126" s="232"/>
      <c r="E1126" s="232"/>
      <c r="F1126" s="232"/>
      <c r="G1126" s="232"/>
      <c r="H1126" s="232"/>
      <c r="I1126" s="232"/>
      <c r="J1126" s="232"/>
      <c r="K1126" s="232"/>
      <c r="L1126" s="232"/>
      <c r="M1126" s="232"/>
      <c r="N1126" s="289"/>
      <c r="O1126" s="232"/>
      <c r="P1126" s="232"/>
      <c r="Q1126" s="232"/>
      <c r="R1126" s="232"/>
      <c r="S1126" s="232"/>
      <c r="T1126" s="232"/>
      <c r="U1126" s="232"/>
      <c r="V1126" s="232"/>
      <c r="W1126" s="232"/>
      <c r="X1126" s="232"/>
      <c r="Y1126" s="232"/>
      <c r="Z1126" s="232"/>
      <c r="AA1126" s="232"/>
      <c r="AB1126" s="232"/>
      <c r="AC1126" s="232"/>
      <c r="AD1126" s="232"/>
      <c r="AE1126" s="232"/>
      <c r="AF1126" s="232"/>
      <c r="AG1126" s="232"/>
      <c r="AH1126" s="232"/>
      <c r="AI1126" s="232"/>
      <c r="AJ1126" s="232"/>
      <c r="AK1126" s="232"/>
      <c r="AL1126" s="232"/>
      <c r="AM1126" s="232"/>
      <c r="AN1126" s="232"/>
      <c r="AO1126" s="232"/>
      <c r="AP1126" s="232"/>
      <c r="AQ1126" s="232"/>
      <c r="AR1126" s="232"/>
      <c r="AS1126" s="232"/>
      <c r="AT1126" s="232"/>
      <c r="AU1126" s="232"/>
      <c r="AV1126" s="232"/>
      <c r="AW1126" s="232"/>
      <c r="AX1126" s="232"/>
      <c r="AY1126" s="232"/>
      <c r="AZ1126" s="232"/>
      <c r="BA1126" s="232"/>
      <c r="BB1126" s="232"/>
      <c r="BC1126" s="232"/>
      <c r="BD1126" s="232"/>
      <c r="BE1126" s="232"/>
      <c r="BF1126" s="232"/>
      <c r="BG1126" s="232"/>
      <c r="BH1126" s="232"/>
      <c r="BI1126" s="232"/>
      <c r="BJ1126" s="232"/>
      <c r="BK1126" s="232"/>
      <c r="BL1126" s="232"/>
      <c r="BM1126" s="232"/>
      <c r="BN1126" s="232"/>
      <c r="BO1126" s="232"/>
      <c r="BP1126" s="232"/>
      <c r="BQ1126" s="232"/>
      <c r="BR1126" s="232"/>
      <c r="BS1126" s="232"/>
      <c r="BT1126" s="232"/>
      <c r="BU1126" s="232"/>
      <c r="BV1126" s="232"/>
      <c r="BW1126" s="232"/>
      <c r="BX1126" s="232"/>
      <c r="BY1126" s="232"/>
      <c r="BZ1126" s="232"/>
      <c r="CA1126" s="232"/>
      <c r="CB1126" s="232"/>
      <c r="CC1126" s="232"/>
      <c r="CD1126" s="232"/>
      <c r="CE1126" s="232"/>
      <c r="CF1126" s="232"/>
      <c r="CG1126" s="232"/>
      <c r="CH1126" s="232"/>
      <c r="CI1126" s="232"/>
      <c r="CJ1126" s="232"/>
      <c r="CK1126" s="232"/>
      <c r="CL1126" s="232"/>
      <c r="CM1126" s="232"/>
      <c r="CN1126" s="215"/>
      <c r="CO1126" s="215"/>
      <c r="CP1126" s="215"/>
      <c r="CQ1126" s="215"/>
      <c r="CR1126" s="215"/>
      <c r="CS1126" s="215"/>
      <c r="CT1126" s="215"/>
    </row>
    <row r="1127" ht="24.0" customHeight="1">
      <c r="A1127" s="287"/>
      <c r="B1127" s="287"/>
      <c r="C1127" s="287"/>
      <c r="D1127" s="232"/>
      <c r="E1127" s="232"/>
      <c r="F1127" s="232"/>
      <c r="G1127" s="232"/>
      <c r="H1127" s="232"/>
      <c r="I1127" s="232"/>
      <c r="J1127" s="232"/>
      <c r="K1127" s="232"/>
      <c r="L1127" s="232"/>
      <c r="M1127" s="232"/>
      <c r="N1127" s="289"/>
      <c r="O1127" s="232"/>
      <c r="P1127" s="232"/>
      <c r="Q1127" s="232"/>
      <c r="R1127" s="232"/>
      <c r="S1127" s="232"/>
      <c r="T1127" s="232"/>
      <c r="U1127" s="232"/>
      <c r="V1127" s="232"/>
      <c r="W1127" s="232"/>
      <c r="X1127" s="232"/>
      <c r="Y1127" s="232"/>
      <c r="Z1127" s="232"/>
      <c r="AA1127" s="232"/>
      <c r="AB1127" s="232"/>
      <c r="AC1127" s="232"/>
      <c r="AD1127" s="232"/>
      <c r="AE1127" s="232"/>
      <c r="AF1127" s="232"/>
      <c r="AG1127" s="232"/>
      <c r="AH1127" s="232"/>
      <c r="AI1127" s="232"/>
      <c r="AJ1127" s="232"/>
      <c r="AK1127" s="232"/>
      <c r="AL1127" s="232"/>
      <c r="AM1127" s="232"/>
      <c r="AN1127" s="232"/>
      <c r="AO1127" s="232"/>
      <c r="AP1127" s="232"/>
      <c r="AQ1127" s="232"/>
      <c r="AR1127" s="232"/>
      <c r="AS1127" s="232"/>
      <c r="AT1127" s="232"/>
      <c r="AU1127" s="232"/>
      <c r="AV1127" s="232"/>
      <c r="AW1127" s="232"/>
      <c r="AX1127" s="232"/>
      <c r="AY1127" s="232"/>
      <c r="AZ1127" s="232"/>
      <c r="BA1127" s="232"/>
      <c r="BB1127" s="232"/>
      <c r="BC1127" s="232"/>
      <c r="BD1127" s="232"/>
      <c r="BE1127" s="232"/>
      <c r="BF1127" s="232"/>
      <c r="BG1127" s="232"/>
      <c r="BH1127" s="232"/>
      <c r="BI1127" s="232"/>
      <c r="BJ1127" s="232"/>
      <c r="BK1127" s="232"/>
      <c r="BL1127" s="232"/>
      <c r="BM1127" s="232"/>
      <c r="BN1127" s="232"/>
      <c r="BO1127" s="232"/>
      <c r="BP1127" s="232"/>
      <c r="BQ1127" s="232"/>
      <c r="BR1127" s="232"/>
      <c r="BS1127" s="232"/>
      <c r="BT1127" s="232"/>
      <c r="BU1127" s="232"/>
      <c r="BV1127" s="232"/>
      <c r="BW1127" s="232"/>
      <c r="BX1127" s="232"/>
      <c r="BY1127" s="232"/>
      <c r="BZ1127" s="232"/>
      <c r="CA1127" s="232"/>
      <c r="CB1127" s="232"/>
      <c r="CC1127" s="232"/>
      <c r="CD1127" s="232"/>
      <c r="CE1127" s="232"/>
      <c r="CF1127" s="232"/>
      <c r="CG1127" s="232"/>
      <c r="CH1127" s="232"/>
      <c r="CI1127" s="232"/>
      <c r="CJ1127" s="232"/>
      <c r="CK1127" s="232"/>
      <c r="CL1127" s="232"/>
      <c r="CM1127" s="232"/>
      <c r="CN1127" s="215"/>
      <c r="CO1127" s="215"/>
      <c r="CP1127" s="215"/>
      <c r="CQ1127" s="215"/>
      <c r="CR1127" s="215"/>
      <c r="CS1127" s="215"/>
      <c r="CT1127" s="215"/>
    </row>
    <row r="1128" ht="24.0" customHeight="1">
      <c r="A1128" s="287"/>
      <c r="B1128" s="287"/>
      <c r="C1128" s="287"/>
      <c r="D1128" s="232"/>
      <c r="E1128" s="232"/>
      <c r="F1128" s="232"/>
      <c r="G1128" s="232"/>
      <c r="H1128" s="232"/>
      <c r="I1128" s="232"/>
      <c r="J1128" s="232"/>
      <c r="K1128" s="232"/>
      <c r="L1128" s="232"/>
      <c r="M1128" s="232"/>
      <c r="N1128" s="289"/>
      <c r="O1128" s="232"/>
      <c r="P1128" s="232"/>
      <c r="Q1128" s="232"/>
      <c r="R1128" s="232"/>
      <c r="S1128" s="232"/>
      <c r="T1128" s="232"/>
      <c r="U1128" s="232"/>
      <c r="V1128" s="232"/>
      <c r="W1128" s="232"/>
      <c r="X1128" s="232"/>
      <c r="Y1128" s="232"/>
      <c r="Z1128" s="232"/>
      <c r="AA1128" s="232"/>
      <c r="AB1128" s="232"/>
      <c r="AC1128" s="232"/>
      <c r="AD1128" s="232"/>
      <c r="AE1128" s="232"/>
      <c r="AF1128" s="232"/>
      <c r="AG1128" s="232"/>
      <c r="AH1128" s="232"/>
      <c r="AI1128" s="232"/>
      <c r="AJ1128" s="232"/>
      <c r="AK1128" s="232"/>
      <c r="AL1128" s="232"/>
      <c r="AM1128" s="232"/>
      <c r="AN1128" s="232"/>
      <c r="AO1128" s="232"/>
      <c r="AP1128" s="232"/>
      <c r="AQ1128" s="232"/>
      <c r="AR1128" s="232"/>
      <c r="AS1128" s="232"/>
      <c r="AT1128" s="232"/>
      <c r="AU1128" s="232"/>
      <c r="AV1128" s="232"/>
      <c r="AW1128" s="232"/>
      <c r="AX1128" s="232"/>
      <c r="AY1128" s="232"/>
      <c r="AZ1128" s="232"/>
      <c r="BA1128" s="232"/>
      <c r="BB1128" s="232"/>
      <c r="BC1128" s="232"/>
      <c r="BD1128" s="232"/>
      <c r="BE1128" s="232"/>
      <c r="BF1128" s="232"/>
      <c r="BG1128" s="232"/>
      <c r="BH1128" s="232"/>
      <c r="BI1128" s="232"/>
      <c r="BJ1128" s="232"/>
      <c r="BK1128" s="232"/>
      <c r="BL1128" s="232"/>
      <c r="BM1128" s="232"/>
      <c r="BN1128" s="232"/>
      <c r="BO1128" s="232"/>
      <c r="BP1128" s="232"/>
      <c r="BQ1128" s="232"/>
      <c r="BR1128" s="232"/>
      <c r="BS1128" s="232"/>
      <c r="BT1128" s="232"/>
      <c r="BU1128" s="232"/>
      <c r="BV1128" s="232"/>
      <c r="BW1128" s="232"/>
      <c r="BX1128" s="232"/>
      <c r="BY1128" s="232"/>
      <c r="BZ1128" s="232"/>
      <c r="CA1128" s="232"/>
      <c r="CB1128" s="232"/>
      <c r="CC1128" s="232"/>
      <c r="CD1128" s="232"/>
      <c r="CE1128" s="232"/>
      <c r="CF1128" s="232"/>
      <c r="CG1128" s="232"/>
      <c r="CH1128" s="232"/>
      <c r="CI1128" s="232"/>
      <c r="CJ1128" s="232"/>
      <c r="CK1128" s="232"/>
      <c r="CL1128" s="232"/>
      <c r="CM1128" s="232"/>
      <c r="CN1128" s="215"/>
      <c r="CO1128" s="215"/>
      <c r="CP1128" s="215"/>
      <c r="CQ1128" s="215"/>
      <c r="CR1128" s="215"/>
      <c r="CS1128" s="215"/>
      <c r="CT1128" s="215"/>
    </row>
    <row r="1129" ht="24.0" customHeight="1">
      <c r="A1129" s="287"/>
      <c r="B1129" s="287"/>
      <c r="C1129" s="287"/>
      <c r="D1129" s="232"/>
      <c r="E1129" s="232"/>
      <c r="F1129" s="232"/>
      <c r="G1129" s="232"/>
      <c r="H1129" s="232"/>
      <c r="I1129" s="232"/>
      <c r="J1129" s="232"/>
      <c r="K1129" s="232"/>
      <c r="L1129" s="232"/>
      <c r="M1129" s="232"/>
      <c r="N1129" s="289"/>
      <c r="O1129" s="232"/>
      <c r="P1129" s="232"/>
      <c r="Q1129" s="232"/>
      <c r="R1129" s="232"/>
      <c r="S1129" s="232"/>
      <c r="T1129" s="232"/>
      <c r="U1129" s="232"/>
      <c r="V1129" s="232"/>
      <c r="W1129" s="232"/>
      <c r="X1129" s="232"/>
      <c r="Y1129" s="232"/>
      <c r="Z1129" s="232"/>
      <c r="AA1129" s="232"/>
      <c r="AB1129" s="232"/>
      <c r="AC1129" s="232"/>
      <c r="AD1129" s="232"/>
      <c r="AE1129" s="232"/>
      <c r="AF1129" s="232"/>
      <c r="AG1129" s="232"/>
      <c r="AH1129" s="232"/>
      <c r="AI1129" s="232"/>
      <c r="AJ1129" s="232"/>
      <c r="AK1129" s="232"/>
      <c r="AL1129" s="232"/>
      <c r="AM1129" s="232"/>
      <c r="AN1129" s="232"/>
      <c r="AO1129" s="232"/>
      <c r="AP1129" s="232"/>
      <c r="AQ1129" s="232"/>
      <c r="AR1129" s="232"/>
      <c r="AS1129" s="232"/>
      <c r="AT1129" s="232"/>
      <c r="AU1129" s="232"/>
      <c r="AV1129" s="232"/>
      <c r="AW1129" s="232"/>
      <c r="AX1129" s="232"/>
      <c r="AY1129" s="232"/>
      <c r="AZ1129" s="232"/>
      <c r="BA1129" s="232"/>
      <c r="BB1129" s="232"/>
      <c r="BC1129" s="232"/>
      <c r="BD1129" s="232"/>
      <c r="BE1129" s="232"/>
      <c r="BF1129" s="232"/>
      <c r="BG1129" s="232"/>
      <c r="BH1129" s="232"/>
      <c r="BI1129" s="232"/>
      <c r="BJ1129" s="232"/>
      <c r="BK1129" s="232"/>
      <c r="BL1129" s="232"/>
      <c r="BM1129" s="232"/>
      <c r="BN1129" s="232"/>
      <c r="BO1129" s="232"/>
      <c r="BP1129" s="232"/>
      <c r="BQ1129" s="232"/>
      <c r="BR1129" s="232"/>
      <c r="BS1129" s="232"/>
      <c r="BT1129" s="232"/>
      <c r="BU1129" s="232"/>
      <c r="BV1129" s="232"/>
      <c r="BW1129" s="232"/>
      <c r="BX1129" s="232"/>
      <c r="BY1129" s="232"/>
      <c r="BZ1129" s="232"/>
      <c r="CA1129" s="232"/>
      <c r="CB1129" s="232"/>
      <c r="CC1129" s="232"/>
      <c r="CD1129" s="232"/>
      <c r="CE1129" s="232"/>
      <c r="CF1129" s="232"/>
      <c r="CG1129" s="232"/>
      <c r="CH1129" s="232"/>
      <c r="CI1129" s="232"/>
      <c r="CJ1129" s="232"/>
      <c r="CK1129" s="232"/>
      <c r="CL1129" s="232"/>
      <c r="CM1129" s="232"/>
      <c r="CN1129" s="215"/>
      <c r="CO1129" s="215"/>
      <c r="CP1129" s="215"/>
      <c r="CQ1129" s="215"/>
      <c r="CR1129" s="215"/>
      <c r="CS1129" s="215"/>
      <c r="CT1129" s="215"/>
    </row>
    <row r="1130" ht="24.0" customHeight="1">
      <c r="A1130" s="287"/>
      <c r="B1130" s="287"/>
      <c r="C1130" s="287"/>
      <c r="D1130" s="232"/>
      <c r="E1130" s="232"/>
      <c r="F1130" s="232"/>
      <c r="G1130" s="232"/>
      <c r="H1130" s="232"/>
      <c r="I1130" s="232"/>
      <c r="J1130" s="232"/>
      <c r="K1130" s="232"/>
      <c r="L1130" s="232"/>
      <c r="M1130" s="232"/>
      <c r="N1130" s="289"/>
      <c r="O1130" s="232"/>
      <c r="P1130" s="232"/>
      <c r="Q1130" s="232"/>
      <c r="R1130" s="232"/>
      <c r="S1130" s="232"/>
      <c r="T1130" s="232"/>
      <c r="U1130" s="232"/>
      <c r="V1130" s="232"/>
      <c r="W1130" s="232"/>
      <c r="X1130" s="232"/>
      <c r="Y1130" s="232"/>
      <c r="Z1130" s="232"/>
      <c r="AA1130" s="232"/>
      <c r="AB1130" s="232"/>
      <c r="AC1130" s="232"/>
      <c r="AD1130" s="232"/>
      <c r="AE1130" s="232"/>
      <c r="AF1130" s="232"/>
      <c r="AG1130" s="232"/>
      <c r="AH1130" s="232"/>
      <c r="AI1130" s="232"/>
      <c r="AJ1130" s="232"/>
      <c r="AK1130" s="232"/>
      <c r="AL1130" s="232"/>
      <c r="AM1130" s="232"/>
      <c r="AN1130" s="232"/>
      <c r="AO1130" s="232"/>
      <c r="AP1130" s="232"/>
      <c r="AQ1130" s="232"/>
      <c r="AR1130" s="232"/>
      <c r="AS1130" s="232"/>
      <c r="AT1130" s="232"/>
      <c r="AU1130" s="232"/>
      <c r="AV1130" s="232"/>
      <c r="AW1130" s="232"/>
      <c r="AX1130" s="232"/>
      <c r="AY1130" s="232"/>
      <c r="AZ1130" s="232"/>
      <c r="BA1130" s="232"/>
      <c r="BB1130" s="232"/>
      <c r="BC1130" s="232"/>
      <c r="BD1130" s="232"/>
      <c r="BE1130" s="232"/>
      <c r="BF1130" s="232"/>
      <c r="BG1130" s="232"/>
      <c r="BH1130" s="232"/>
      <c r="BI1130" s="232"/>
      <c r="BJ1130" s="232"/>
      <c r="BK1130" s="232"/>
      <c r="BL1130" s="232"/>
      <c r="BM1130" s="232"/>
      <c r="BN1130" s="232"/>
      <c r="BO1130" s="232"/>
      <c r="BP1130" s="232"/>
      <c r="BQ1130" s="232"/>
      <c r="BR1130" s="232"/>
      <c r="BS1130" s="232"/>
      <c r="BT1130" s="232"/>
      <c r="BU1130" s="232"/>
      <c r="BV1130" s="232"/>
      <c r="BW1130" s="232"/>
      <c r="BX1130" s="232"/>
      <c r="BY1130" s="232"/>
      <c r="BZ1130" s="232"/>
      <c r="CA1130" s="232"/>
      <c r="CB1130" s="232"/>
      <c r="CC1130" s="232"/>
      <c r="CD1130" s="232"/>
      <c r="CE1130" s="232"/>
      <c r="CF1130" s="232"/>
      <c r="CG1130" s="232"/>
      <c r="CH1130" s="232"/>
      <c r="CI1130" s="232"/>
      <c r="CJ1130" s="232"/>
      <c r="CK1130" s="232"/>
      <c r="CL1130" s="232"/>
      <c r="CM1130" s="232"/>
      <c r="CN1130" s="215"/>
      <c r="CO1130" s="215"/>
      <c r="CP1130" s="215"/>
      <c r="CQ1130" s="215"/>
      <c r="CR1130" s="215"/>
      <c r="CS1130" s="215"/>
      <c r="CT1130" s="215"/>
    </row>
    <row r="1131" ht="24.0" customHeight="1">
      <c r="A1131" s="287"/>
      <c r="B1131" s="287"/>
      <c r="C1131" s="287"/>
      <c r="D1131" s="232"/>
      <c r="E1131" s="232"/>
      <c r="F1131" s="232"/>
      <c r="G1131" s="232"/>
      <c r="H1131" s="232"/>
      <c r="I1131" s="232"/>
      <c r="J1131" s="232"/>
      <c r="K1131" s="232"/>
      <c r="L1131" s="232"/>
      <c r="M1131" s="232"/>
      <c r="N1131" s="289"/>
      <c r="O1131" s="232"/>
      <c r="P1131" s="232"/>
      <c r="Q1131" s="232"/>
      <c r="R1131" s="232"/>
      <c r="S1131" s="232"/>
      <c r="T1131" s="232"/>
      <c r="U1131" s="232"/>
      <c r="V1131" s="232"/>
      <c r="W1131" s="232"/>
      <c r="X1131" s="232"/>
      <c r="Y1131" s="232"/>
      <c r="Z1131" s="232"/>
      <c r="AA1131" s="232"/>
      <c r="AB1131" s="232"/>
      <c r="AC1131" s="232"/>
      <c r="AD1131" s="232"/>
      <c r="AE1131" s="232"/>
      <c r="AF1131" s="232"/>
      <c r="AG1131" s="232"/>
      <c r="AH1131" s="232"/>
      <c r="AI1131" s="232"/>
      <c r="AJ1131" s="232"/>
      <c r="AK1131" s="232"/>
      <c r="AL1131" s="232"/>
      <c r="AM1131" s="232"/>
      <c r="AN1131" s="232"/>
      <c r="AO1131" s="232"/>
      <c r="AP1131" s="232"/>
      <c r="AQ1131" s="232"/>
      <c r="AR1131" s="232"/>
      <c r="AS1131" s="232"/>
      <c r="AT1131" s="232"/>
      <c r="AU1131" s="232"/>
      <c r="AV1131" s="232"/>
      <c r="AW1131" s="232"/>
      <c r="AX1131" s="232"/>
      <c r="AY1131" s="232"/>
      <c r="AZ1131" s="232"/>
      <c r="BA1131" s="232"/>
      <c r="BB1131" s="232"/>
      <c r="BC1131" s="232"/>
      <c r="BD1131" s="232"/>
      <c r="BE1131" s="232"/>
      <c r="BF1131" s="232"/>
      <c r="BG1131" s="232"/>
      <c r="BH1131" s="232"/>
      <c r="BI1131" s="232"/>
      <c r="BJ1131" s="232"/>
      <c r="BK1131" s="232"/>
      <c r="BL1131" s="232"/>
      <c r="BM1131" s="232"/>
      <c r="BN1131" s="232"/>
      <c r="BO1131" s="232"/>
      <c r="BP1131" s="232"/>
      <c r="BQ1131" s="232"/>
      <c r="BR1131" s="232"/>
      <c r="BS1131" s="232"/>
      <c r="BT1131" s="232"/>
      <c r="BU1131" s="232"/>
      <c r="BV1131" s="232"/>
      <c r="BW1131" s="232"/>
      <c r="BX1131" s="232"/>
      <c r="BY1131" s="232"/>
      <c r="BZ1131" s="232"/>
      <c r="CA1131" s="232"/>
      <c r="CB1131" s="232"/>
      <c r="CC1131" s="232"/>
      <c r="CD1131" s="232"/>
      <c r="CE1131" s="232"/>
      <c r="CF1131" s="232"/>
      <c r="CG1131" s="232"/>
      <c r="CH1131" s="232"/>
      <c r="CI1131" s="232"/>
      <c r="CJ1131" s="232"/>
      <c r="CK1131" s="232"/>
      <c r="CL1131" s="232"/>
      <c r="CM1131" s="232"/>
      <c r="CN1131" s="215"/>
      <c r="CO1131" s="215"/>
      <c r="CP1131" s="215"/>
      <c r="CQ1131" s="215"/>
      <c r="CR1131" s="215"/>
      <c r="CS1131" s="215"/>
      <c r="CT1131" s="215"/>
    </row>
    <row r="1132" ht="24.0" customHeight="1">
      <c r="A1132" s="287"/>
      <c r="B1132" s="287"/>
      <c r="C1132" s="287"/>
      <c r="D1132" s="232"/>
      <c r="E1132" s="232"/>
      <c r="F1132" s="232"/>
      <c r="G1132" s="232"/>
      <c r="H1132" s="232"/>
      <c r="I1132" s="232"/>
      <c r="J1132" s="232"/>
      <c r="K1132" s="232"/>
      <c r="L1132" s="232"/>
      <c r="M1132" s="232"/>
      <c r="N1132" s="289"/>
      <c r="O1132" s="232"/>
      <c r="P1132" s="232"/>
      <c r="Q1132" s="232"/>
      <c r="R1132" s="232"/>
      <c r="S1132" s="232"/>
      <c r="T1132" s="232"/>
      <c r="U1132" s="232"/>
      <c r="V1132" s="232"/>
      <c r="W1132" s="232"/>
      <c r="X1132" s="232"/>
      <c r="Y1132" s="232"/>
      <c r="Z1132" s="232"/>
      <c r="AA1132" s="232"/>
      <c r="AB1132" s="232"/>
      <c r="AC1132" s="232"/>
      <c r="AD1132" s="232"/>
      <c r="AE1132" s="232"/>
      <c r="AF1132" s="232"/>
      <c r="AG1132" s="232"/>
      <c r="AH1132" s="232"/>
      <c r="AI1132" s="232"/>
      <c r="AJ1132" s="232"/>
      <c r="AK1132" s="232"/>
      <c r="AL1132" s="232"/>
      <c r="AM1132" s="232"/>
      <c r="AN1132" s="232"/>
      <c r="AO1132" s="232"/>
      <c r="AP1132" s="232"/>
      <c r="AQ1132" s="232"/>
      <c r="AR1132" s="232"/>
      <c r="AS1132" s="232"/>
      <c r="AT1132" s="232"/>
      <c r="AU1132" s="232"/>
      <c r="AV1132" s="232"/>
      <c r="AW1132" s="232"/>
      <c r="AX1132" s="232"/>
      <c r="AY1132" s="232"/>
      <c r="AZ1132" s="232"/>
      <c r="BA1132" s="232"/>
      <c r="BB1132" s="232"/>
      <c r="BC1132" s="232"/>
      <c r="BD1132" s="232"/>
      <c r="BE1132" s="232"/>
      <c r="BF1132" s="232"/>
      <c r="BG1132" s="232"/>
      <c r="BH1132" s="232"/>
      <c r="BI1132" s="232"/>
      <c r="BJ1132" s="232"/>
      <c r="BK1132" s="232"/>
      <c r="BL1132" s="232"/>
      <c r="BM1132" s="232"/>
      <c r="BN1132" s="232"/>
      <c r="BO1132" s="232"/>
      <c r="BP1132" s="232"/>
      <c r="BQ1132" s="232"/>
      <c r="BR1132" s="232"/>
      <c r="BS1132" s="232"/>
      <c r="BT1132" s="232"/>
      <c r="BU1132" s="232"/>
      <c r="BV1132" s="232"/>
      <c r="BW1132" s="232"/>
      <c r="BX1132" s="232"/>
      <c r="BY1132" s="232"/>
      <c r="BZ1132" s="232"/>
      <c r="CA1132" s="232"/>
      <c r="CB1132" s="232"/>
      <c r="CC1132" s="232"/>
      <c r="CD1132" s="232"/>
      <c r="CE1132" s="232"/>
      <c r="CF1132" s="232"/>
      <c r="CG1132" s="232"/>
      <c r="CH1132" s="232"/>
      <c r="CI1132" s="232"/>
      <c r="CJ1132" s="232"/>
      <c r="CK1132" s="232"/>
      <c r="CL1132" s="232"/>
      <c r="CM1132" s="232"/>
      <c r="CN1132" s="215"/>
      <c r="CO1132" s="215"/>
      <c r="CP1132" s="215"/>
      <c r="CQ1132" s="215"/>
      <c r="CR1132" s="215"/>
      <c r="CS1132" s="215"/>
      <c r="CT1132" s="215"/>
    </row>
    <row r="1133" ht="24.0" customHeight="1">
      <c r="A1133" s="287"/>
      <c r="B1133" s="287"/>
      <c r="C1133" s="287"/>
      <c r="D1133" s="232"/>
      <c r="E1133" s="232"/>
      <c r="F1133" s="232"/>
      <c r="G1133" s="232"/>
      <c r="H1133" s="232"/>
      <c r="I1133" s="232"/>
      <c r="J1133" s="232"/>
      <c r="K1133" s="232"/>
      <c r="L1133" s="232"/>
      <c r="M1133" s="232"/>
      <c r="N1133" s="289"/>
      <c r="O1133" s="232"/>
      <c r="P1133" s="232"/>
      <c r="Q1133" s="232"/>
      <c r="R1133" s="232"/>
      <c r="S1133" s="232"/>
      <c r="T1133" s="232"/>
      <c r="U1133" s="232"/>
      <c r="V1133" s="232"/>
      <c r="W1133" s="232"/>
      <c r="X1133" s="232"/>
      <c r="Y1133" s="232"/>
      <c r="Z1133" s="232"/>
      <c r="AA1133" s="232"/>
      <c r="AB1133" s="232"/>
      <c r="AC1133" s="232"/>
      <c r="AD1133" s="232"/>
      <c r="AE1133" s="232"/>
      <c r="AF1133" s="232"/>
      <c r="AG1133" s="232"/>
      <c r="AH1133" s="232"/>
      <c r="AI1133" s="232"/>
      <c r="AJ1133" s="232"/>
      <c r="AK1133" s="232"/>
      <c r="AL1133" s="232"/>
      <c r="AM1133" s="232"/>
      <c r="AN1133" s="232"/>
      <c r="AO1133" s="232"/>
      <c r="AP1133" s="232"/>
      <c r="AQ1133" s="232"/>
      <c r="AR1133" s="232"/>
      <c r="AS1133" s="232"/>
      <c r="AT1133" s="232"/>
      <c r="AU1133" s="232"/>
      <c r="AV1133" s="232"/>
      <c r="AW1133" s="232"/>
      <c r="AX1133" s="232"/>
      <c r="AY1133" s="232"/>
      <c r="AZ1133" s="232"/>
      <c r="BA1133" s="232"/>
      <c r="BB1133" s="232"/>
      <c r="BC1133" s="232"/>
      <c r="BD1133" s="232"/>
      <c r="BE1133" s="232"/>
      <c r="BF1133" s="232"/>
      <c r="BG1133" s="232"/>
      <c r="BH1133" s="232"/>
      <c r="BI1133" s="232"/>
      <c r="BJ1133" s="232"/>
      <c r="BK1133" s="232"/>
      <c r="BL1133" s="232"/>
      <c r="BM1133" s="232"/>
      <c r="BN1133" s="232"/>
      <c r="BO1133" s="232"/>
      <c r="BP1133" s="232"/>
      <c r="BQ1133" s="232"/>
      <c r="BR1133" s="232"/>
      <c r="BS1133" s="232"/>
      <c r="BT1133" s="232"/>
      <c r="BU1133" s="232"/>
      <c r="BV1133" s="232"/>
      <c r="BW1133" s="232"/>
      <c r="BX1133" s="232"/>
      <c r="BY1133" s="232"/>
      <c r="BZ1133" s="232"/>
      <c r="CA1133" s="232"/>
      <c r="CB1133" s="232"/>
      <c r="CC1133" s="232"/>
      <c r="CD1133" s="232"/>
      <c r="CE1133" s="232"/>
      <c r="CF1133" s="232"/>
      <c r="CG1133" s="232"/>
      <c r="CH1133" s="232"/>
      <c r="CI1133" s="232"/>
      <c r="CJ1133" s="232"/>
      <c r="CK1133" s="232"/>
      <c r="CL1133" s="232"/>
      <c r="CM1133" s="232"/>
      <c r="CN1133" s="215"/>
      <c r="CO1133" s="215"/>
      <c r="CP1133" s="215"/>
      <c r="CQ1133" s="215"/>
      <c r="CR1133" s="215"/>
      <c r="CS1133" s="215"/>
      <c r="CT1133" s="215"/>
    </row>
    <row r="1134" ht="24.0" customHeight="1">
      <c r="A1134" s="287"/>
      <c r="B1134" s="287"/>
      <c r="C1134" s="287"/>
      <c r="D1134" s="232"/>
      <c r="E1134" s="232"/>
      <c r="F1134" s="232"/>
      <c r="G1134" s="232"/>
      <c r="H1134" s="232"/>
      <c r="I1134" s="232"/>
      <c r="J1134" s="232"/>
      <c r="K1134" s="232"/>
      <c r="L1134" s="232"/>
      <c r="M1134" s="232"/>
      <c r="N1134" s="289"/>
      <c r="O1134" s="232"/>
      <c r="P1134" s="232"/>
      <c r="Q1134" s="232"/>
      <c r="R1134" s="232"/>
      <c r="S1134" s="232"/>
      <c r="T1134" s="232"/>
      <c r="U1134" s="232"/>
      <c r="V1134" s="232"/>
      <c r="W1134" s="232"/>
      <c r="X1134" s="232"/>
      <c r="Y1134" s="232"/>
      <c r="Z1134" s="232"/>
      <c r="AA1134" s="232"/>
      <c r="AB1134" s="232"/>
      <c r="AC1134" s="232"/>
      <c r="AD1134" s="232"/>
      <c r="AE1134" s="232"/>
      <c r="AF1134" s="232"/>
      <c r="AG1134" s="232"/>
      <c r="AH1134" s="232"/>
      <c r="AI1134" s="232"/>
      <c r="AJ1134" s="232"/>
      <c r="AK1134" s="232"/>
      <c r="AL1134" s="232"/>
      <c r="AM1134" s="232"/>
      <c r="AN1134" s="232"/>
      <c r="AO1134" s="232"/>
      <c r="AP1134" s="232"/>
      <c r="AQ1134" s="232"/>
      <c r="AR1134" s="232"/>
      <c r="AS1134" s="232"/>
      <c r="AT1134" s="232"/>
      <c r="AU1134" s="232"/>
      <c r="AV1134" s="232"/>
      <c r="AW1134" s="232"/>
      <c r="AX1134" s="232"/>
      <c r="AY1134" s="232"/>
      <c r="AZ1134" s="232"/>
      <c r="BA1134" s="232"/>
      <c r="BB1134" s="232"/>
      <c r="BC1134" s="232"/>
      <c r="BD1134" s="232"/>
      <c r="BE1134" s="232"/>
      <c r="BF1134" s="232"/>
      <c r="BG1134" s="232"/>
      <c r="BH1134" s="232"/>
      <c r="BI1134" s="232"/>
      <c r="BJ1134" s="232"/>
      <c r="BK1134" s="232"/>
      <c r="BL1134" s="232"/>
      <c r="BM1134" s="232"/>
      <c r="BN1134" s="232"/>
      <c r="BO1134" s="232"/>
      <c r="BP1134" s="232"/>
      <c r="BQ1134" s="232"/>
      <c r="BR1134" s="232"/>
      <c r="BS1134" s="232"/>
      <c r="BT1134" s="232"/>
      <c r="BU1134" s="232"/>
      <c r="BV1134" s="232"/>
      <c r="BW1134" s="232"/>
      <c r="BX1134" s="232"/>
      <c r="BY1134" s="232"/>
      <c r="BZ1134" s="232"/>
      <c r="CA1134" s="232"/>
      <c r="CB1134" s="232"/>
      <c r="CC1134" s="232"/>
      <c r="CD1134" s="232"/>
      <c r="CE1134" s="232"/>
      <c r="CF1134" s="232"/>
      <c r="CG1134" s="232"/>
      <c r="CH1134" s="232"/>
      <c r="CI1134" s="232"/>
      <c r="CJ1134" s="232"/>
      <c r="CK1134" s="232"/>
      <c r="CL1134" s="232"/>
      <c r="CM1134" s="232"/>
      <c r="CN1134" s="215"/>
      <c r="CO1134" s="215"/>
      <c r="CP1134" s="215"/>
      <c r="CQ1134" s="215"/>
      <c r="CR1134" s="215"/>
      <c r="CS1134" s="215"/>
      <c r="CT1134" s="215"/>
    </row>
    <row r="1135" ht="24.0" customHeight="1">
      <c r="A1135" s="287"/>
      <c r="B1135" s="287"/>
      <c r="C1135" s="287"/>
      <c r="D1135" s="232"/>
      <c r="E1135" s="232"/>
      <c r="F1135" s="232"/>
      <c r="G1135" s="232"/>
      <c r="H1135" s="232"/>
      <c r="I1135" s="232"/>
      <c r="J1135" s="232"/>
      <c r="K1135" s="232"/>
      <c r="L1135" s="232"/>
      <c r="M1135" s="232"/>
      <c r="N1135" s="289"/>
      <c r="O1135" s="232"/>
      <c r="P1135" s="232"/>
      <c r="Q1135" s="232"/>
      <c r="R1135" s="232"/>
      <c r="S1135" s="232"/>
      <c r="T1135" s="232"/>
      <c r="U1135" s="232"/>
      <c r="V1135" s="232"/>
      <c r="W1135" s="232"/>
      <c r="X1135" s="232"/>
      <c r="Y1135" s="232"/>
      <c r="Z1135" s="232"/>
      <c r="AA1135" s="232"/>
      <c r="AB1135" s="232"/>
      <c r="AC1135" s="232"/>
      <c r="AD1135" s="232"/>
      <c r="AE1135" s="232"/>
      <c r="AF1135" s="232"/>
      <c r="AG1135" s="232"/>
      <c r="AH1135" s="232"/>
      <c r="AI1135" s="232"/>
      <c r="AJ1135" s="232"/>
      <c r="AK1135" s="232"/>
      <c r="AL1135" s="232"/>
      <c r="AM1135" s="232"/>
      <c r="AN1135" s="232"/>
      <c r="AO1135" s="232"/>
      <c r="AP1135" s="232"/>
      <c r="AQ1135" s="232"/>
      <c r="AR1135" s="232"/>
      <c r="AS1135" s="232"/>
      <c r="AT1135" s="232"/>
      <c r="AU1135" s="232"/>
      <c r="AV1135" s="232"/>
      <c r="AW1135" s="232"/>
      <c r="AX1135" s="232"/>
      <c r="AY1135" s="232"/>
      <c r="AZ1135" s="232"/>
      <c r="BA1135" s="232"/>
      <c r="BB1135" s="232"/>
      <c r="BC1135" s="232"/>
      <c r="BD1135" s="232"/>
      <c r="BE1135" s="232"/>
      <c r="BF1135" s="232"/>
      <c r="BG1135" s="232"/>
      <c r="BH1135" s="232"/>
      <c r="BI1135" s="232"/>
      <c r="BJ1135" s="232"/>
      <c r="BK1135" s="232"/>
      <c r="BL1135" s="232"/>
      <c r="BM1135" s="232"/>
      <c r="BN1135" s="232"/>
      <c r="BO1135" s="232"/>
      <c r="BP1135" s="232"/>
      <c r="BQ1135" s="232"/>
      <c r="BR1135" s="232"/>
      <c r="BS1135" s="232"/>
      <c r="BT1135" s="232"/>
      <c r="BU1135" s="232"/>
      <c r="BV1135" s="232"/>
      <c r="BW1135" s="232"/>
      <c r="BX1135" s="232"/>
      <c r="BY1135" s="232"/>
      <c r="BZ1135" s="232"/>
      <c r="CA1135" s="232"/>
      <c r="CB1135" s="232"/>
      <c r="CC1135" s="232"/>
      <c r="CD1135" s="232"/>
      <c r="CE1135" s="232"/>
      <c r="CF1135" s="232"/>
      <c r="CG1135" s="232"/>
      <c r="CH1135" s="232"/>
      <c r="CI1135" s="232"/>
      <c r="CJ1135" s="232"/>
      <c r="CK1135" s="232"/>
      <c r="CL1135" s="232"/>
      <c r="CM1135" s="232"/>
      <c r="CN1135" s="215"/>
      <c r="CO1135" s="215"/>
      <c r="CP1135" s="215"/>
      <c r="CQ1135" s="215"/>
      <c r="CR1135" s="215"/>
      <c r="CS1135" s="215"/>
      <c r="CT1135" s="215"/>
    </row>
    <row r="1136" ht="24.0" customHeight="1">
      <c r="A1136" s="287"/>
      <c r="B1136" s="287"/>
      <c r="C1136" s="287"/>
      <c r="D1136" s="232"/>
      <c r="E1136" s="232"/>
      <c r="F1136" s="232"/>
      <c r="G1136" s="232"/>
      <c r="H1136" s="232"/>
      <c r="I1136" s="232"/>
      <c r="J1136" s="232"/>
      <c r="K1136" s="232"/>
      <c r="L1136" s="232"/>
      <c r="M1136" s="232"/>
      <c r="N1136" s="289"/>
      <c r="O1136" s="232"/>
      <c r="P1136" s="232"/>
      <c r="Q1136" s="232"/>
      <c r="R1136" s="232"/>
      <c r="S1136" s="232"/>
      <c r="T1136" s="232"/>
      <c r="U1136" s="232"/>
      <c r="V1136" s="232"/>
      <c r="W1136" s="232"/>
      <c r="X1136" s="232"/>
      <c r="Y1136" s="232"/>
      <c r="Z1136" s="232"/>
      <c r="AA1136" s="232"/>
      <c r="AB1136" s="232"/>
      <c r="AC1136" s="232"/>
      <c r="AD1136" s="232"/>
      <c r="AE1136" s="232"/>
      <c r="AF1136" s="232"/>
      <c r="AG1136" s="232"/>
      <c r="AH1136" s="232"/>
      <c r="AI1136" s="232"/>
      <c r="AJ1136" s="232"/>
      <c r="AK1136" s="232"/>
      <c r="AL1136" s="232"/>
      <c r="AM1136" s="232"/>
      <c r="AN1136" s="232"/>
      <c r="AO1136" s="232"/>
      <c r="AP1136" s="232"/>
      <c r="AQ1136" s="232"/>
      <c r="AR1136" s="232"/>
      <c r="AS1136" s="232"/>
      <c r="AT1136" s="232"/>
      <c r="AU1136" s="232"/>
      <c r="AV1136" s="232"/>
      <c r="AW1136" s="232"/>
      <c r="AX1136" s="232"/>
      <c r="AY1136" s="232"/>
      <c r="AZ1136" s="232"/>
      <c r="BA1136" s="232"/>
      <c r="BB1136" s="232"/>
      <c r="BC1136" s="232"/>
      <c r="BD1136" s="232"/>
      <c r="BE1136" s="232"/>
      <c r="BF1136" s="232"/>
      <c r="BG1136" s="232"/>
      <c r="BH1136" s="232"/>
      <c r="BI1136" s="232"/>
      <c r="BJ1136" s="232"/>
      <c r="BK1136" s="232"/>
      <c r="BL1136" s="232"/>
      <c r="BM1136" s="232"/>
      <c r="BN1136" s="232"/>
      <c r="BO1136" s="232"/>
      <c r="BP1136" s="232"/>
      <c r="BQ1136" s="232"/>
      <c r="BR1136" s="232"/>
      <c r="BS1136" s="232"/>
      <c r="BT1136" s="232"/>
      <c r="BU1136" s="232"/>
      <c r="BV1136" s="232"/>
      <c r="BW1136" s="232"/>
      <c r="BX1136" s="232"/>
      <c r="BY1136" s="232"/>
      <c r="BZ1136" s="232"/>
      <c r="CA1136" s="232"/>
      <c r="CB1136" s="232"/>
      <c r="CC1136" s="232"/>
      <c r="CD1136" s="232"/>
      <c r="CE1136" s="232"/>
      <c r="CF1136" s="232"/>
      <c r="CG1136" s="232"/>
      <c r="CH1136" s="232"/>
      <c r="CI1136" s="232"/>
      <c r="CJ1136" s="232"/>
      <c r="CK1136" s="232"/>
      <c r="CL1136" s="232"/>
      <c r="CM1136" s="232"/>
      <c r="CN1136" s="215"/>
      <c r="CO1136" s="215"/>
      <c r="CP1136" s="215"/>
      <c r="CQ1136" s="215"/>
      <c r="CR1136" s="215"/>
      <c r="CS1136" s="215"/>
      <c r="CT1136" s="215"/>
    </row>
    <row r="1137" ht="24.0" customHeight="1">
      <c r="A1137" s="287"/>
      <c r="B1137" s="287"/>
      <c r="C1137" s="287"/>
      <c r="D1137" s="232"/>
      <c r="E1137" s="232"/>
      <c r="F1137" s="232"/>
      <c r="G1137" s="232"/>
      <c r="H1137" s="232"/>
      <c r="I1137" s="232"/>
      <c r="J1137" s="232"/>
      <c r="K1137" s="232"/>
      <c r="L1137" s="232"/>
      <c r="M1137" s="232"/>
      <c r="N1137" s="289"/>
      <c r="O1137" s="232"/>
      <c r="P1137" s="232"/>
      <c r="Q1137" s="232"/>
      <c r="R1137" s="232"/>
      <c r="S1137" s="232"/>
      <c r="T1137" s="232"/>
      <c r="U1137" s="232"/>
      <c r="V1137" s="232"/>
      <c r="W1137" s="232"/>
      <c r="X1137" s="232"/>
      <c r="Y1137" s="232"/>
      <c r="Z1137" s="232"/>
      <c r="AA1137" s="232"/>
      <c r="AB1137" s="232"/>
      <c r="AC1137" s="232"/>
      <c r="AD1137" s="232"/>
      <c r="AE1137" s="232"/>
      <c r="AF1137" s="232"/>
      <c r="AG1137" s="232"/>
      <c r="AH1137" s="232"/>
      <c r="AI1137" s="232"/>
      <c r="AJ1137" s="232"/>
      <c r="AK1137" s="232"/>
      <c r="AL1137" s="232"/>
      <c r="AM1137" s="232"/>
      <c r="AN1137" s="232"/>
      <c r="AO1137" s="232"/>
      <c r="AP1137" s="232"/>
      <c r="AQ1137" s="232"/>
      <c r="AR1137" s="232"/>
      <c r="AS1137" s="232"/>
      <c r="AT1137" s="232"/>
      <c r="AU1137" s="232"/>
      <c r="AV1137" s="232"/>
      <c r="AW1137" s="232"/>
      <c r="AX1137" s="232"/>
      <c r="AY1137" s="232"/>
      <c r="AZ1137" s="232"/>
      <c r="BA1137" s="232"/>
      <c r="BB1137" s="232"/>
      <c r="BC1137" s="232"/>
      <c r="BD1137" s="232"/>
      <c r="BE1137" s="232"/>
      <c r="BF1137" s="232"/>
      <c r="BG1137" s="232"/>
      <c r="BH1137" s="232"/>
      <c r="BI1137" s="232"/>
      <c r="BJ1137" s="232"/>
      <c r="BK1137" s="232"/>
      <c r="BL1137" s="232"/>
      <c r="BM1137" s="232"/>
      <c r="BN1137" s="232"/>
      <c r="BO1137" s="232"/>
      <c r="BP1137" s="232"/>
      <c r="BQ1137" s="232"/>
      <c r="BR1137" s="232"/>
      <c r="BS1137" s="232"/>
      <c r="BT1137" s="232"/>
      <c r="BU1137" s="232"/>
      <c r="BV1137" s="232"/>
      <c r="BW1137" s="232"/>
      <c r="BX1137" s="232"/>
      <c r="BY1137" s="232"/>
      <c r="BZ1137" s="232"/>
      <c r="CA1137" s="232"/>
      <c r="CB1137" s="232"/>
      <c r="CC1137" s="232"/>
      <c r="CD1137" s="232"/>
      <c r="CE1137" s="232"/>
      <c r="CF1137" s="232"/>
      <c r="CG1137" s="232"/>
      <c r="CH1137" s="232"/>
      <c r="CI1137" s="232"/>
      <c r="CJ1137" s="232"/>
      <c r="CK1137" s="232"/>
      <c r="CL1137" s="232"/>
      <c r="CM1137" s="232"/>
      <c r="CN1137" s="215"/>
      <c r="CO1137" s="215"/>
      <c r="CP1137" s="215"/>
      <c r="CQ1137" s="215"/>
      <c r="CR1137" s="215"/>
      <c r="CS1137" s="215"/>
      <c r="CT1137" s="215"/>
    </row>
    <row r="1138" ht="24.0" customHeight="1">
      <c r="A1138" s="287"/>
      <c r="B1138" s="287"/>
      <c r="C1138" s="287"/>
      <c r="D1138" s="232"/>
      <c r="E1138" s="232"/>
      <c r="F1138" s="232"/>
      <c r="G1138" s="232"/>
      <c r="H1138" s="232"/>
      <c r="I1138" s="232"/>
      <c r="J1138" s="232"/>
      <c r="K1138" s="232"/>
      <c r="L1138" s="232"/>
      <c r="M1138" s="232"/>
      <c r="N1138" s="289"/>
      <c r="O1138" s="232"/>
      <c r="P1138" s="232"/>
      <c r="Q1138" s="232"/>
      <c r="R1138" s="232"/>
      <c r="S1138" s="232"/>
      <c r="T1138" s="232"/>
      <c r="U1138" s="232"/>
      <c r="V1138" s="232"/>
      <c r="W1138" s="232"/>
      <c r="X1138" s="232"/>
      <c r="Y1138" s="232"/>
      <c r="Z1138" s="232"/>
      <c r="AA1138" s="232"/>
      <c r="AB1138" s="232"/>
      <c r="AC1138" s="232"/>
      <c r="AD1138" s="232"/>
      <c r="AE1138" s="232"/>
      <c r="AF1138" s="232"/>
      <c r="AG1138" s="232"/>
      <c r="AH1138" s="232"/>
      <c r="AI1138" s="232"/>
      <c r="AJ1138" s="232"/>
      <c r="AK1138" s="232"/>
      <c r="AL1138" s="232"/>
      <c r="AM1138" s="232"/>
      <c r="AN1138" s="232"/>
      <c r="AO1138" s="232"/>
      <c r="AP1138" s="232"/>
      <c r="AQ1138" s="232"/>
      <c r="AR1138" s="232"/>
      <c r="AS1138" s="232"/>
      <c r="AT1138" s="232"/>
      <c r="AU1138" s="232"/>
      <c r="AV1138" s="232"/>
      <c r="AW1138" s="232"/>
      <c r="AX1138" s="232"/>
      <c r="AY1138" s="232"/>
      <c r="AZ1138" s="232"/>
      <c r="BA1138" s="232"/>
      <c r="BB1138" s="232"/>
      <c r="BC1138" s="232"/>
      <c r="BD1138" s="232"/>
      <c r="BE1138" s="232"/>
      <c r="BF1138" s="232"/>
      <c r="BG1138" s="232"/>
      <c r="BH1138" s="232"/>
      <c r="BI1138" s="232"/>
      <c r="BJ1138" s="232"/>
      <c r="BK1138" s="232"/>
      <c r="BL1138" s="232"/>
      <c r="BM1138" s="232"/>
      <c r="BN1138" s="232"/>
      <c r="BO1138" s="232"/>
      <c r="BP1138" s="232"/>
      <c r="BQ1138" s="232"/>
      <c r="BR1138" s="232"/>
      <c r="BS1138" s="232"/>
      <c r="BT1138" s="232"/>
      <c r="BU1138" s="232"/>
      <c r="BV1138" s="232"/>
      <c r="BW1138" s="232"/>
      <c r="BX1138" s="232"/>
      <c r="BY1138" s="232"/>
      <c r="BZ1138" s="232"/>
      <c r="CA1138" s="232"/>
      <c r="CB1138" s="232"/>
      <c r="CC1138" s="232"/>
      <c r="CD1138" s="232"/>
      <c r="CE1138" s="232"/>
      <c r="CF1138" s="232"/>
      <c r="CG1138" s="232"/>
      <c r="CH1138" s="232"/>
      <c r="CI1138" s="232"/>
      <c r="CJ1138" s="232"/>
      <c r="CK1138" s="232"/>
      <c r="CL1138" s="232"/>
      <c r="CM1138" s="232"/>
      <c r="CN1138" s="215"/>
      <c r="CO1138" s="215"/>
      <c r="CP1138" s="215"/>
      <c r="CQ1138" s="215"/>
      <c r="CR1138" s="215"/>
      <c r="CS1138" s="215"/>
      <c r="CT1138" s="215"/>
    </row>
    <row r="1139" ht="24.0" customHeight="1">
      <c r="A1139" s="287"/>
      <c r="B1139" s="287"/>
      <c r="C1139" s="287"/>
      <c r="D1139" s="232"/>
      <c r="E1139" s="232"/>
      <c r="F1139" s="232"/>
      <c r="G1139" s="232"/>
      <c r="H1139" s="232"/>
      <c r="I1139" s="232"/>
      <c r="J1139" s="232"/>
      <c r="K1139" s="232"/>
      <c r="L1139" s="232"/>
      <c r="M1139" s="232"/>
      <c r="N1139" s="289"/>
      <c r="O1139" s="232"/>
      <c r="P1139" s="232"/>
      <c r="Q1139" s="232"/>
      <c r="R1139" s="232"/>
      <c r="S1139" s="232"/>
      <c r="T1139" s="232"/>
      <c r="U1139" s="232"/>
      <c r="V1139" s="232"/>
      <c r="W1139" s="232"/>
      <c r="X1139" s="232"/>
      <c r="Y1139" s="232"/>
      <c r="Z1139" s="232"/>
      <c r="AA1139" s="232"/>
      <c r="AB1139" s="232"/>
      <c r="AC1139" s="232"/>
      <c r="AD1139" s="232"/>
      <c r="AE1139" s="232"/>
      <c r="AF1139" s="232"/>
      <c r="AG1139" s="232"/>
      <c r="AH1139" s="232"/>
      <c r="AI1139" s="232"/>
      <c r="AJ1139" s="232"/>
      <c r="AK1139" s="232"/>
      <c r="AL1139" s="232"/>
      <c r="AM1139" s="232"/>
      <c r="AN1139" s="232"/>
      <c r="AO1139" s="232"/>
      <c r="AP1139" s="232"/>
      <c r="AQ1139" s="232"/>
      <c r="AR1139" s="232"/>
      <c r="AS1139" s="232"/>
      <c r="AT1139" s="232"/>
      <c r="AU1139" s="232"/>
      <c r="AV1139" s="232"/>
      <c r="AW1139" s="232"/>
      <c r="AX1139" s="232"/>
      <c r="AY1139" s="232"/>
      <c r="AZ1139" s="232"/>
      <c r="BA1139" s="232"/>
      <c r="BB1139" s="232"/>
      <c r="BC1139" s="232"/>
      <c r="BD1139" s="232"/>
      <c r="BE1139" s="232"/>
      <c r="BF1139" s="232"/>
      <c r="BG1139" s="232"/>
      <c r="BH1139" s="232"/>
      <c r="BI1139" s="232"/>
      <c r="BJ1139" s="232"/>
      <c r="BK1139" s="232"/>
      <c r="BL1139" s="232"/>
      <c r="BM1139" s="232"/>
      <c r="BN1139" s="232"/>
      <c r="BO1139" s="232"/>
      <c r="BP1139" s="232"/>
      <c r="BQ1139" s="232"/>
      <c r="BR1139" s="232"/>
      <c r="BS1139" s="232"/>
      <c r="BT1139" s="232"/>
      <c r="BU1139" s="232"/>
      <c r="BV1139" s="232"/>
      <c r="BW1139" s="232"/>
      <c r="BX1139" s="232"/>
      <c r="BY1139" s="232"/>
      <c r="BZ1139" s="232"/>
      <c r="CA1139" s="232"/>
      <c r="CB1139" s="232"/>
      <c r="CC1139" s="232"/>
      <c r="CD1139" s="232"/>
      <c r="CE1139" s="232"/>
      <c r="CF1139" s="232"/>
      <c r="CG1139" s="232"/>
      <c r="CH1139" s="232"/>
      <c r="CI1139" s="232"/>
      <c r="CJ1139" s="232"/>
      <c r="CK1139" s="232"/>
      <c r="CL1139" s="232"/>
      <c r="CM1139" s="232"/>
      <c r="CN1139" s="215"/>
      <c r="CO1139" s="215"/>
      <c r="CP1139" s="215"/>
      <c r="CQ1139" s="215"/>
      <c r="CR1139" s="215"/>
      <c r="CS1139" s="215"/>
      <c r="CT1139" s="215"/>
    </row>
    <row r="1140" ht="24.0" customHeight="1">
      <c r="A1140" s="287"/>
      <c r="B1140" s="287"/>
      <c r="C1140" s="287"/>
      <c r="D1140" s="232"/>
      <c r="E1140" s="232"/>
      <c r="F1140" s="232"/>
      <c r="G1140" s="232"/>
      <c r="H1140" s="232"/>
      <c r="I1140" s="232"/>
      <c r="J1140" s="232"/>
      <c r="K1140" s="232"/>
      <c r="L1140" s="232"/>
      <c r="M1140" s="232"/>
      <c r="N1140" s="289"/>
      <c r="O1140" s="232"/>
      <c r="P1140" s="232"/>
      <c r="Q1140" s="232"/>
      <c r="R1140" s="232"/>
      <c r="S1140" s="232"/>
      <c r="T1140" s="232"/>
      <c r="U1140" s="232"/>
      <c r="V1140" s="232"/>
      <c r="W1140" s="232"/>
      <c r="X1140" s="232"/>
      <c r="Y1140" s="232"/>
      <c r="Z1140" s="232"/>
      <c r="AA1140" s="232"/>
      <c r="AB1140" s="232"/>
      <c r="AC1140" s="232"/>
      <c r="AD1140" s="232"/>
      <c r="AE1140" s="232"/>
      <c r="AF1140" s="232"/>
      <c r="AG1140" s="232"/>
      <c r="AH1140" s="232"/>
      <c r="AI1140" s="232"/>
      <c r="AJ1140" s="232"/>
      <c r="AK1140" s="232"/>
      <c r="AL1140" s="232"/>
      <c r="AM1140" s="232"/>
      <c r="AN1140" s="232"/>
      <c r="AO1140" s="232"/>
      <c r="AP1140" s="232"/>
      <c r="AQ1140" s="232"/>
      <c r="AR1140" s="232"/>
      <c r="AS1140" s="232"/>
      <c r="AT1140" s="232"/>
      <c r="AU1140" s="232"/>
      <c r="AV1140" s="232"/>
      <c r="AW1140" s="232"/>
      <c r="AX1140" s="232"/>
      <c r="AY1140" s="232"/>
      <c r="AZ1140" s="232"/>
      <c r="BA1140" s="232"/>
      <c r="BB1140" s="232"/>
      <c r="BC1140" s="232"/>
      <c r="BD1140" s="232"/>
      <c r="BE1140" s="232"/>
      <c r="BF1140" s="232"/>
      <c r="BG1140" s="232"/>
      <c r="BH1140" s="232"/>
      <c r="BI1140" s="232"/>
      <c r="BJ1140" s="232"/>
      <c r="BK1140" s="232"/>
      <c r="BL1140" s="232"/>
      <c r="BM1140" s="232"/>
      <c r="BN1140" s="232"/>
      <c r="BO1140" s="232"/>
      <c r="BP1140" s="232"/>
      <c r="BQ1140" s="232"/>
      <c r="BR1140" s="232"/>
      <c r="BS1140" s="232"/>
      <c r="BT1140" s="232"/>
      <c r="BU1140" s="232"/>
      <c r="BV1140" s="232"/>
      <c r="BW1140" s="232"/>
      <c r="BX1140" s="232"/>
      <c r="BY1140" s="232"/>
      <c r="BZ1140" s="232"/>
      <c r="CA1140" s="232"/>
      <c r="CB1140" s="232"/>
      <c r="CC1140" s="232"/>
      <c r="CD1140" s="232"/>
      <c r="CE1140" s="232"/>
      <c r="CF1140" s="232"/>
      <c r="CG1140" s="232"/>
      <c r="CH1140" s="232"/>
      <c r="CI1140" s="232"/>
      <c r="CJ1140" s="232"/>
      <c r="CK1140" s="232"/>
      <c r="CL1140" s="232"/>
      <c r="CM1140" s="232"/>
      <c r="CN1140" s="215"/>
      <c r="CO1140" s="215"/>
      <c r="CP1140" s="215"/>
      <c r="CQ1140" s="215"/>
      <c r="CR1140" s="215"/>
      <c r="CS1140" s="215"/>
      <c r="CT1140" s="215"/>
    </row>
    <row r="1141" ht="24.0" customHeight="1">
      <c r="A1141" s="287"/>
      <c r="B1141" s="287"/>
      <c r="C1141" s="287"/>
      <c r="D1141" s="232"/>
      <c r="E1141" s="232"/>
      <c r="F1141" s="232"/>
      <c r="G1141" s="232"/>
      <c r="H1141" s="232"/>
      <c r="I1141" s="232"/>
      <c r="J1141" s="232"/>
      <c r="K1141" s="232"/>
      <c r="L1141" s="232"/>
      <c r="M1141" s="232"/>
      <c r="N1141" s="289"/>
      <c r="O1141" s="232"/>
      <c r="P1141" s="232"/>
      <c r="Q1141" s="232"/>
      <c r="R1141" s="232"/>
      <c r="S1141" s="232"/>
      <c r="T1141" s="232"/>
      <c r="U1141" s="232"/>
      <c r="V1141" s="232"/>
      <c r="W1141" s="232"/>
      <c r="X1141" s="232"/>
      <c r="Y1141" s="232"/>
      <c r="Z1141" s="232"/>
      <c r="AA1141" s="232"/>
      <c r="AB1141" s="232"/>
      <c r="AC1141" s="232"/>
      <c r="AD1141" s="232"/>
      <c r="AE1141" s="232"/>
      <c r="AF1141" s="232"/>
      <c r="AG1141" s="232"/>
      <c r="AH1141" s="232"/>
      <c r="AI1141" s="232"/>
      <c r="AJ1141" s="232"/>
      <c r="AK1141" s="232"/>
      <c r="AL1141" s="232"/>
      <c r="AM1141" s="232"/>
      <c r="AN1141" s="232"/>
      <c r="AO1141" s="232"/>
      <c r="AP1141" s="232"/>
      <c r="AQ1141" s="232"/>
      <c r="AR1141" s="232"/>
      <c r="AS1141" s="232"/>
      <c r="AT1141" s="232"/>
      <c r="AU1141" s="232"/>
      <c r="AV1141" s="232"/>
      <c r="AW1141" s="232"/>
      <c r="AX1141" s="232"/>
      <c r="AY1141" s="232"/>
      <c r="AZ1141" s="232"/>
      <c r="BA1141" s="232"/>
      <c r="BB1141" s="232"/>
      <c r="BC1141" s="232"/>
      <c r="BD1141" s="232"/>
      <c r="BE1141" s="232"/>
      <c r="BF1141" s="232"/>
      <c r="BG1141" s="232"/>
      <c r="BH1141" s="232"/>
      <c r="BI1141" s="232"/>
      <c r="BJ1141" s="232"/>
      <c r="BK1141" s="232"/>
      <c r="BL1141" s="232"/>
      <c r="BM1141" s="232"/>
      <c r="BN1141" s="232"/>
      <c r="BO1141" s="232"/>
      <c r="BP1141" s="232"/>
      <c r="BQ1141" s="232"/>
      <c r="BR1141" s="232"/>
      <c r="BS1141" s="232"/>
      <c r="BT1141" s="232"/>
      <c r="BU1141" s="232"/>
      <c r="BV1141" s="232"/>
      <c r="BW1141" s="232"/>
      <c r="BX1141" s="232"/>
      <c r="BY1141" s="232"/>
      <c r="BZ1141" s="232"/>
      <c r="CA1141" s="232"/>
      <c r="CB1141" s="232"/>
      <c r="CC1141" s="232"/>
      <c r="CD1141" s="232"/>
      <c r="CE1141" s="232"/>
      <c r="CF1141" s="232"/>
      <c r="CG1141" s="232"/>
      <c r="CH1141" s="232"/>
      <c r="CI1141" s="232"/>
      <c r="CJ1141" s="232"/>
      <c r="CK1141" s="232"/>
      <c r="CL1141" s="232"/>
      <c r="CM1141" s="232"/>
      <c r="CN1141" s="215"/>
      <c r="CO1141" s="215"/>
      <c r="CP1141" s="215"/>
      <c r="CQ1141" s="215"/>
      <c r="CR1141" s="215"/>
      <c r="CS1141" s="215"/>
      <c r="CT1141" s="215"/>
    </row>
    <row r="1142" ht="24.0" customHeight="1">
      <c r="A1142" s="287"/>
      <c r="B1142" s="287"/>
      <c r="C1142" s="287"/>
      <c r="D1142" s="232"/>
      <c r="E1142" s="232"/>
      <c r="F1142" s="232"/>
      <c r="G1142" s="232"/>
      <c r="H1142" s="232"/>
      <c r="I1142" s="232"/>
      <c r="J1142" s="232"/>
      <c r="K1142" s="232"/>
      <c r="L1142" s="232"/>
      <c r="M1142" s="232"/>
      <c r="N1142" s="289"/>
      <c r="O1142" s="232"/>
      <c r="P1142" s="232"/>
      <c r="Q1142" s="232"/>
      <c r="R1142" s="232"/>
      <c r="S1142" s="232"/>
      <c r="T1142" s="232"/>
      <c r="U1142" s="232"/>
      <c r="V1142" s="232"/>
      <c r="W1142" s="232"/>
      <c r="X1142" s="232"/>
      <c r="Y1142" s="232"/>
      <c r="Z1142" s="232"/>
      <c r="AA1142" s="232"/>
      <c r="AB1142" s="232"/>
      <c r="AC1142" s="232"/>
      <c r="AD1142" s="232"/>
      <c r="AE1142" s="232"/>
      <c r="AF1142" s="232"/>
      <c r="AG1142" s="232"/>
      <c r="AH1142" s="232"/>
      <c r="AI1142" s="232"/>
      <c r="AJ1142" s="232"/>
      <c r="AK1142" s="232"/>
      <c r="AL1142" s="232"/>
      <c r="AM1142" s="232"/>
      <c r="AN1142" s="232"/>
      <c r="AO1142" s="232"/>
      <c r="AP1142" s="232"/>
      <c r="AQ1142" s="232"/>
      <c r="AR1142" s="232"/>
      <c r="AS1142" s="232"/>
      <c r="AT1142" s="232"/>
      <c r="AU1142" s="232"/>
      <c r="AV1142" s="232"/>
      <c r="AW1142" s="232"/>
      <c r="AX1142" s="232"/>
      <c r="AY1142" s="232"/>
      <c r="AZ1142" s="232"/>
      <c r="BA1142" s="232"/>
      <c r="BB1142" s="232"/>
      <c r="BC1142" s="232"/>
      <c r="BD1142" s="232"/>
      <c r="BE1142" s="232"/>
      <c r="BF1142" s="232"/>
      <c r="BG1142" s="232"/>
      <c r="BH1142" s="232"/>
      <c r="BI1142" s="232"/>
      <c r="BJ1142" s="232"/>
      <c r="BK1142" s="232"/>
      <c r="BL1142" s="232"/>
      <c r="BM1142" s="232"/>
      <c r="BN1142" s="232"/>
      <c r="BO1142" s="232"/>
      <c r="BP1142" s="232"/>
      <c r="BQ1142" s="232"/>
      <c r="BR1142" s="232"/>
      <c r="BS1142" s="232"/>
      <c r="BT1142" s="232"/>
      <c r="BU1142" s="232"/>
      <c r="BV1142" s="232"/>
      <c r="BW1142" s="232"/>
      <c r="BX1142" s="232"/>
      <c r="BY1142" s="232"/>
      <c r="BZ1142" s="232"/>
      <c r="CA1142" s="232"/>
      <c r="CB1142" s="232"/>
      <c r="CC1142" s="232"/>
      <c r="CD1142" s="232"/>
      <c r="CE1142" s="232"/>
      <c r="CF1142" s="232"/>
      <c r="CG1142" s="232"/>
      <c r="CH1142" s="232"/>
      <c r="CI1142" s="232"/>
      <c r="CJ1142" s="232"/>
      <c r="CK1142" s="232"/>
      <c r="CL1142" s="232"/>
      <c r="CM1142" s="232"/>
      <c r="CN1142" s="215"/>
      <c r="CO1142" s="215"/>
      <c r="CP1142" s="215"/>
      <c r="CQ1142" s="215"/>
      <c r="CR1142" s="215"/>
      <c r="CS1142" s="215"/>
      <c r="CT1142" s="215"/>
    </row>
    <row r="1143" ht="24.0" customHeight="1">
      <c r="A1143" s="287"/>
      <c r="B1143" s="287"/>
      <c r="C1143" s="287"/>
      <c r="D1143" s="232"/>
      <c r="E1143" s="232"/>
      <c r="F1143" s="232"/>
      <c r="G1143" s="232"/>
      <c r="H1143" s="232"/>
      <c r="I1143" s="232"/>
      <c r="J1143" s="232"/>
      <c r="K1143" s="232"/>
      <c r="L1143" s="232"/>
      <c r="M1143" s="232"/>
      <c r="N1143" s="289"/>
      <c r="O1143" s="232"/>
      <c r="P1143" s="232"/>
      <c r="Q1143" s="232"/>
      <c r="R1143" s="232"/>
      <c r="S1143" s="232"/>
      <c r="T1143" s="232"/>
      <c r="U1143" s="232"/>
      <c r="V1143" s="232"/>
      <c r="W1143" s="232"/>
      <c r="X1143" s="232"/>
      <c r="Y1143" s="232"/>
      <c r="Z1143" s="232"/>
      <c r="AA1143" s="232"/>
      <c r="AB1143" s="232"/>
      <c r="AC1143" s="232"/>
      <c r="AD1143" s="232"/>
      <c r="AE1143" s="232"/>
      <c r="AF1143" s="232"/>
      <c r="AG1143" s="232"/>
      <c r="AH1143" s="232"/>
      <c r="AI1143" s="232"/>
      <c r="AJ1143" s="232"/>
      <c r="AK1143" s="232"/>
      <c r="AL1143" s="232"/>
      <c r="AM1143" s="232"/>
      <c r="AN1143" s="232"/>
      <c r="AO1143" s="232"/>
      <c r="AP1143" s="232"/>
      <c r="AQ1143" s="232"/>
      <c r="AR1143" s="232"/>
      <c r="AS1143" s="232"/>
      <c r="AT1143" s="232"/>
      <c r="AU1143" s="232"/>
      <c r="AV1143" s="232"/>
      <c r="AW1143" s="232"/>
      <c r="AX1143" s="232"/>
      <c r="AY1143" s="232"/>
      <c r="AZ1143" s="232"/>
      <c r="BA1143" s="232"/>
      <c r="BB1143" s="232"/>
      <c r="BC1143" s="232"/>
      <c r="BD1143" s="232"/>
      <c r="BE1143" s="232"/>
      <c r="BF1143" s="232"/>
      <c r="BG1143" s="232"/>
      <c r="BH1143" s="232"/>
      <c r="BI1143" s="232"/>
      <c r="BJ1143" s="232"/>
      <c r="BK1143" s="232"/>
      <c r="BL1143" s="232"/>
      <c r="BM1143" s="232"/>
      <c r="BN1143" s="232"/>
      <c r="BO1143" s="232"/>
      <c r="BP1143" s="232"/>
      <c r="BQ1143" s="232"/>
      <c r="BR1143" s="232"/>
      <c r="BS1143" s="232"/>
      <c r="BT1143" s="232"/>
      <c r="BU1143" s="232"/>
      <c r="BV1143" s="232"/>
      <c r="BW1143" s="232"/>
      <c r="BX1143" s="232"/>
      <c r="BY1143" s="232"/>
      <c r="BZ1143" s="232"/>
      <c r="CA1143" s="232"/>
      <c r="CB1143" s="232"/>
      <c r="CC1143" s="232"/>
      <c r="CD1143" s="232"/>
      <c r="CE1143" s="232"/>
      <c r="CF1143" s="232"/>
      <c r="CG1143" s="232"/>
      <c r="CH1143" s="232"/>
      <c r="CI1143" s="232"/>
      <c r="CJ1143" s="232"/>
      <c r="CK1143" s="232"/>
      <c r="CL1143" s="232"/>
      <c r="CM1143" s="232"/>
      <c r="CN1143" s="215"/>
      <c r="CO1143" s="215"/>
      <c r="CP1143" s="215"/>
      <c r="CQ1143" s="215"/>
      <c r="CR1143" s="215"/>
      <c r="CS1143" s="215"/>
      <c r="CT1143" s="215"/>
    </row>
    <row r="1144" ht="24.0" customHeight="1">
      <c r="A1144" s="287"/>
      <c r="B1144" s="287"/>
      <c r="C1144" s="287"/>
      <c r="D1144" s="232"/>
      <c r="E1144" s="232"/>
      <c r="F1144" s="232"/>
      <c r="G1144" s="232"/>
      <c r="H1144" s="232"/>
      <c r="I1144" s="232"/>
      <c r="J1144" s="232"/>
      <c r="K1144" s="232"/>
      <c r="L1144" s="232"/>
      <c r="M1144" s="232"/>
      <c r="N1144" s="289"/>
      <c r="O1144" s="232"/>
      <c r="P1144" s="232"/>
      <c r="Q1144" s="232"/>
      <c r="R1144" s="232"/>
      <c r="S1144" s="232"/>
      <c r="T1144" s="232"/>
      <c r="U1144" s="232"/>
      <c r="V1144" s="232"/>
      <c r="W1144" s="232"/>
      <c r="X1144" s="232"/>
      <c r="Y1144" s="232"/>
      <c r="Z1144" s="232"/>
      <c r="AA1144" s="232"/>
      <c r="AB1144" s="232"/>
      <c r="AC1144" s="232"/>
      <c r="AD1144" s="232"/>
      <c r="AE1144" s="232"/>
      <c r="AF1144" s="232"/>
      <c r="AG1144" s="232"/>
      <c r="AH1144" s="232"/>
      <c r="AI1144" s="232"/>
      <c r="AJ1144" s="232"/>
      <c r="AK1144" s="232"/>
      <c r="AL1144" s="232"/>
      <c r="AM1144" s="232"/>
      <c r="AN1144" s="232"/>
      <c r="AO1144" s="232"/>
      <c r="AP1144" s="232"/>
      <c r="AQ1144" s="232"/>
      <c r="AR1144" s="232"/>
      <c r="AS1144" s="232"/>
      <c r="AT1144" s="232"/>
      <c r="AU1144" s="232"/>
      <c r="AV1144" s="232"/>
      <c r="AW1144" s="232"/>
      <c r="AX1144" s="232"/>
      <c r="AY1144" s="232"/>
      <c r="AZ1144" s="232"/>
      <c r="BA1144" s="232"/>
      <c r="BB1144" s="232"/>
      <c r="BC1144" s="232"/>
      <c r="BD1144" s="232"/>
      <c r="BE1144" s="232"/>
      <c r="BF1144" s="232"/>
      <c r="BG1144" s="232"/>
      <c r="BH1144" s="232"/>
      <c r="BI1144" s="232"/>
      <c r="BJ1144" s="232"/>
      <c r="BK1144" s="232"/>
      <c r="BL1144" s="232"/>
      <c r="BM1144" s="232"/>
      <c r="BN1144" s="232"/>
      <c r="BO1144" s="232"/>
      <c r="BP1144" s="232"/>
      <c r="BQ1144" s="232"/>
      <c r="BR1144" s="232"/>
      <c r="BS1144" s="232"/>
      <c r="BT1144" s="232"/>
      <c r="BU1144" s="232"/>
      <c r="BV1144" s="232"/>
      <c r="BW1144" s="232"/>
      <c r="BX1144" s="232"/>
      <c r="BY1144" s="232"/>
      <c r="BZ1144" s="232"/>
      <c r="CA1144" s="232"/>
      <c r="CB1144" s="232"/>
      <c r="CC1144" s="232"/>
      <c r="CD1144" s="232"/>
      <c r="CE1144" s="232"/>
      <c r="CF1144" s="232"/>
      <c r="CG1144" s="232"/>
      <c r="CH1144" s="232"/>
      <c r="CI1144" s="232"/>
      <c r="CJ1144" s="232"/>
      <c r="CK1144" s="232"/>
      <c r="CL1144" s="232"/>
      <c r="CM1144" s="232"/>
      <c r="CN1144" s="215"/>
      <c r="CO1144" s="215"/>
      <c r="CP1144" s="215"/>
      <c r="CQ1144" s="215"/>
      <c r="CR1144" s="215"/>
      <c r="CS1144" s="215"/>
      <c r="CT1144" s="215"/>
    </row>
    <row r="1145" ht="24.0" customHeight="1">
      <c r="A1145" s="287"/>
      <c r="B1145" s="287"/>
      <c r="C1145" s="287"/>
      <c r="D1145" s="232"/>
      <c r="E1145" s="232"/>
      <c r="F1145" s="232"/>
      <c r="G1145" s="232"/>
      <c r="H1145" s="232"/>
      <c r="I1145" s="232"/>
      <c r="J1145" s="232"/>
      <c r="K1145" s="232"/>
      <c r="L1145" s="232"/>
      <c r="M1145" s="232"/>
      <c r="N1145" s="289"/>
      <c r="O1145" s="232"/>
      <c r="P1145" s="232"/>
      <c r="Q1145" s="232"/>
      <c r="R1145" s="232"/>
      <c r="S1145" s="232"/>
      <c r="T1145" s="232"/>
      <c r="U1145" s="232"/>
      <c r="V1145" s="232"/>
      <c r="W1145" s="232"/>
      <c r="X1145" s="232"/>
      <c r="Y1145" s="232"/>
      <c r="Z1145" s="232"/>
      <c r="AA1145" s="232"/>
      <c r="AB1145" s="232"/>
      <c r="AC1145" s="232"/>
      <c r="AD1145" s="232"/>
      <c r="AE1145" s="232"/>
      <c r="AF1145" s="232"/>
      <c r="AG1145" s="232"/>
      <c r="AH1145" s="232"/>
      <c r="AI1145" s="232"/>
      <c r="AJ1145" s="232"/>
      <c r="AK1145" s="232"/>
      <c r="AL1145" s="232"/>
      <c r="AM1145" s="232"/>
      <c r="AN1145" s="232"/>
      <c r="AO1145" s="232"/>
      <c r="AP1145" s="232"/>
      <c r="AQ1145" s="232"/>
      <c r="AR1145" s="232"/>
      <c r="AS1145" s="232"/>
      <c r="AT1145" s="232"/>
      <c r="AU1145" s="232"/>
      <c r="AV1145" s="232"/>
      <c r="AW1145" s="232"/>
      <c r="AX1145" s="232"/>
      <c r="AY1145" s="232"/>
      <c r="AZ1145" s="232"/>
      <c r="BA1145" s="232"/>
      <c r="BB1145" s="232"/>
      <c r="BC1145" s="232"/>
      <c r="BD1145" s="232"/>
      <c r="BE1145" s="232"/>
      <c r="BF1145" s="232"/>
      <c r="BG1145" s="232"/>
      <c r="BH1145" s="232"/>
      <c r="BI1145" s="232"/>
      <c r="BJ1145" s="232"/>
      <c r="BK1145" s="232"/>
      <c r="BL1145" s="232"/>
      <c r="BM1145" s="232"/>
      <c r="BN1145" s="232"/>
      <c r="BO1145" s="232"/>
      <c r="BP1145" s="232"/>
      <c r="BQ1145" s="232"/>
      <c r="BR1145" s="232"/>
      <c r="BS1145" s="232"/>
      <c r="BT1145" s="232"/>
      <c r="BU1145" s="232"/>
      <c r="BV1145" s="232"/>
      <c r="BW1145" s="232"/>
      <c r="BX1145" s="232"/>
      <c r="BY1145" s="232"/>
      <c r="BZ1145" s="232"/>
      <c r="CA1145" s="232"/>
      <c r="CB1145" s="232"/>
      <c r="CC1145" s="232"/>
      <c r="CD1145" s="232"/>
      <c r="CE1145" s="232"/>
      <c r="CF1145" s="232"/>
      <c r="CG1145" s="232"/>
      <c r="CH1145" s="232"/>
      <c r="CI1145" s="232"/>
      <c r="CJ1145" s="232"/>
      <c r="CK1145" s="232"/>
      <c r="CL1145" s="232"/>
      <c r="CM1145" s="232"/>
      <c r="CN1145" s="215"/>
      <c r="CO1145" s="215"/>
      <c r="CP1145" s="215"/>
      <c r="CQ1145" s="215"/>
      <c r="CR1145" s="215"/>
      <c r="CS1145" s="215"/>
      <c r="CT1145" s="215"/>
    </row>
    <row r="1146" ht="24.0" customHeight="1">
      <c r="A1146" s="287"/>
      <c r="B1146" s="287"/>
      <c r="C1146" s="287"/>
      <c r="D1146" s="232"/>
      <c r="E1146" s="232"/>
      <c r="F1146" s="232"/>
      <c r="G1146" s="232"/>
      <c r="H1146" s="232"/>
      <c r="I1146" s="232"/>
      <c r="J1146" s="232"/>
      <c r="K1146" s="232"/>
      <c r="L1146" s="232"/>
      <c r="M1146" s="232"/>
      <c r="N1146" s="289"/>
      <c r="O1146" s="232"/>
      <c r="P1146" s="232"/>
      <c r="Q1146" s="232"/>
      <c r="R1146" s="232"/>
      <c r="S1146" s="232"/>
      <c r="T1146" s="232"/>
      <c r="U1146" s="232"/>
      <c r="V1146" s="232"/>
      <c r="W1146" s="232"/>
      <c r="X1146" s="232"/>
      <c r="Y1146" s="232"/>
      <c r="Z1146" s="232"/>
      <c r="AA1146" s="232"/>
      <c r="AB1146" s="232"/>
      <c r="AC1146" s="232"/>
      <c r="AD1146" s="232"/>
      <c r="AE1146" s="232"/>
      <c r="AF1146" s="232"/>
      <c r="AG1146" s="232"/>
      <c r="AH1146" s="232"/>
      <c r="AI1146" s="232"/>
      <c r="AJ1146" s="232"/>
      <c r="AK1146" s="232"/>
      <c r="AL1146" s="232"/>
      <c r="AM1146" s="232"/>
      <c r="AN1146" s="232"/>
      <c r="AO1146" s="232"/>
      <c r="AP1146" s="232"/>
      <c r="AQ1146" s="232"/>
      <c r="AR1146" s="232"/>
      <c r="AS1146" s="232"/>
      <c r="AT1146" s="232"/>
      <c r="AU1146" s="232"/>
      <c r="AV1146" s="232"/>
      <c r="AW1146" s="232"/>
      <c r="AX1146" s="232"/>
      <c r="AY1146" s="232"/>
      <c r="AZ1146" s="232"/>
      <c r="BA1146" s="232"/>
      <c r="BB1146" s="232"/>
      <c r="BC1146" s="232"/>
      <c r="BD1146" s="232"/>
      <c r="BE1146" s="232"/>
      <c r="BF1146" s="232"/>
      <c r="BG1146" s="232"/>
      <c r="BH1146" s="232"/>
      <c r="BI1146" s="232"/>
      <c r="BJ1146" s="232"/>
      <c r="BK1146" s="232"/>
      <c r="BL1146" s="232"/>
      <c r="BM1146" s="232"/>
      <c r="BN1146" s="232"/>
      <c r="BO1146" s="232"/>
      <c r="BP1146" s="232"/>
      <c r="BQ1146" s="232"/>
      <c r="BR1146" s="232"/>
      <c r="BS1146" s="232"/>
      <c r="BT1146" s="232"/>
      <c r="BU1146" s="232"/>
      <c r="BV1146" s="232"/>
      <c r="BW1146" s="232"/>
      <c r="BX1146" s="232"/>
      <c r="BY1146" s="232"/>
      <c r="BZ1146" s="232"/>
      <c r="CA1146" s="232"/>
      <c r="CB1146" s="232"/>
      <c r="CC1146" s="232"/>
      <c r="CD1146" s="232"/>
      <c r="CE1146" s="232"/>
      <c r="CF1146" s="232"/>
      <c r="CG1146" s="232"/>
      <c r="CH1146" s="232"/>
      <c r="CI1146" s="232"/>
      <c r="CJ1146" s="232"/>
      <c r="CK1146" s="232"/>
      <c r="CL1146" s="232"/>
      <c r="CM1146" s="232"/>
      <c r="CN1146" s="215"/>
      <c r="CO1146" s="215"/>
      <c r="CP1146" s="215"/>
      <c r="CQ1146" s="215"/>
      <c r="CR1146" s="215"/>
      <c r="CS1146" s="215"/>
      <c r="CT1146" s="215"/>
    </row>
    <row r="1147" ht="24.0" customHeight="1">
      <c r="A1147" s="287"/>
      <c r="B1147" s="287"/>
      <c r="C1147" s="287"/>
      <c r="D1147" s="232"/>
      <c r="E1147" s="232"/>
      <c r="F1147" s="232"/>
      <c r="G1147" s="232"/>
      <c r="H1147" s="232"/>
      <c r="I1147" s="232"/>
      <c r="J1147" s="232"/>
      <c r="K1147" s="232"/>
      <c r="L1147" s="232"/>
      <c r="M1147" s="232"/>
      <c r="N1147" s="289"/>
      <c r="O1147" s="232"/>
      <c r="P1147" s="232"/>
      <c r="Q1147" s="232"/>
      <c r="R1147" s="232"/>
      <c r="S1147" s="232"/>
      <c r="T1147" s="232"/>
      <c r="U1147" s="232"/>
      <c r="V1147" s="232"/>
      <c r="W1147" s="232"/>
      <c r="X1147" s="232"/>
      <c r="Y1147" s="232"/>
      <c r="Z1147" s="232"/>
      <c r="AA1147" s="232"/>
      <c r="AB1147" s="232"/>
      <c r="AC1147" s="232"/>
      <c r="AD1147" s="232"/>
      <c r="AE1147" s="232"/>
      <c r="AF1147" s="232"/>
      <c r="AG1147" s="232"/>
      <c r="AH1147" s="232"/>
      <c r="AI1147" s="232"/>
      <c r="AJ1147" s="232"/>
      <c r="AK1147" s="232"/>
      <c r="AL1147" s="232"/>
      <c r="AM1147" s="232"/>
      <c r="AN1147" s="232"/>
      <c r="AO1147" s="232"/>
      <c r="AP1147" s="232"/>
      <c r="AQ1147" s="232"/>
      <c r="AR1147" s="232"/>
      <c r="AS1147" s="232"/>
      <c r="AT1147" s="232"/>
      <c r="AU1147" s="232"/>
      <c r="AV1147" s="232"/>
      <c r="AW1147" s="232"/>
      <c r="AX1147" s="232"/>
      <c r="AY1147" s="232"/>
      <c r="AZ1147" s="232"/>
      <c r="BA1147" s="232"/>
      <c r="BB1147" s="232"/>
      <c r="BC1147" s="232"/>
      <c r="BD1147" s="232"/>
      <c r="BE1147" s="232"/>
      <c r="BF1147" s="232"/>
      <c r="BG1147" s="232"/>
      <c r="BH1147" s="232"/>
      <c r="BI1147" s="232"/>
      <c r="BJ1147" s="232"/>
      <c r="BK1147" s="232"/>
      <c r="BL1147" s="232"/>
      <c r="BM1147" s="232"/>
      <c r="BN1147" s="232"/>
      <c r="BO1147" s="232"/>
      <c r="BP1147" s="232"/>
      <c r="BQ1147" s="232"/>
      <c r="BR1147" s="232"/>
      <c r="BS1147" s="232"/>
      <c r="BT1147" s="232"/>
      <c r="BU1147" s="232"/>
      <c r="BV1147" s="232"/>
      <c r="BW1147" s="232"/>
      <c r="BX1147" s="232"/>
      <c r="BY1147" s="232"/>
      <c r="BZ1147" s="232"/>
      <c r="CA1147" s="232"/>
      <c r="CB1147" s="232"/>
      <c r="CC1147" s="232"/>
      <c r="CD1147" s="232"/>
      <c r="CE1147" s="232"/>
      <c r="CF1147" s="232"/>
      <c r="CG1147" s="232"/>
      <c r="CH1147" s="232"/>
      <c r="CI1147" s="232"/>
      <c r="CJ1147" s="232"/>
      <c r="CK1147" s="232"/>
      <c r="CL1147" s="232"/>
      <c r="CM1147" s="232"/>
      <c r="CN1147" s="215"/>
      <c r="CO1147" s="215"/>
      <c r="CP1147" s="215"/>
      <c r="CQ1147" s="215"/>
      <c r="CR1147" s="215"/>
      <c r="CS1147" s="215"/>
      <c r="CT1147" s="215"/>
    </row>
    <row r="1148" ht="24.0" customHeight="1">
      <c r="A1148" s="287"/>
      <c r="B1148" s="287"/>
      <c r="C1148" s="287"/>
      <c r="D1148" s="232"/>
      <c r="E1148" s="232"/>
      <c r="F1148" s="232"/>
      <c r="G1148" s="232"/>
      <c r="H1148" s="232"/>
      <c r="I1148" s="232"/>
      <c r="J1148" s="232"/>
      <c r="K1148" s="232"/>
      <c r="L1148" s="232"/>
      <c r="M1148" s="232"/>
      <c r="N1148" s="289"/>
      <c r="O1148" s="232"/>
      <c r="P1148" s="232"/>
      <c r="Q1148" s="232"/>
      <c r="R1148" s="232"/>
      <c r="S1148" s="232"/>
      <c r="T1148" s="232"/>
      <c r="U1148" s="232"/>
      <c r="V1148" s="232"/>
      <c r="W1148" s="232"/>
      <c r="X1148" s="232"/>
      <c r="Y1148" s="232"/>
      <c r="Z1148" s="232"/>
      <c r="AA1148" s="232"/>
      <c r="AB1148" s="232"/>
      <c r="AC1148" s="232"/>
      <c r="AD1148" s="232"/>
      <c r="AE1148" s="232"/>
      <c r="AF1148" s="232"/>
      <c r="AG1148" s="232"/>
      <c r="AH1148" s="232"/>
      <c r="AI1148" s="232"/>
      <c r="AJ1148" s="232"/>
      <c r="AK1148" s="232"/>
      <c r="AL1148" s="232"/>
      <c r="AM1148" s="232"/>
      <c r="AN1148" s="232"/>
      <c r="AO1148" s="232"/>
      <c r="AP1148" s="232"/>
      <c r="AQ1148" s="232"/>
      <c r="AR1148" s="232"/>
      <c r="AS1148" s="232"/>
      <c r="AT1148" s="232"/>
      <c r="AU1148" s="232"/>
      <c r="AV1148" s="232"/>
      <c r="AW1148" s="232"/>
      <c r="AX1148" s="232"/>
      <c r="AY1148" s="232"/>
      <c r="AZ1148" s="232"/>
      <c r="BA1148" s="232"/>
      <c r="BB1148" s="232"/>
      <c r="BC1148" s="232"/>
      <c r="BD1148" s="232"/>
      <c r="BE1148" s="232"/>
      <c r="BF1148" s="232"/>
      <c r="BG1148" s="232"/>
      <c r="BH1148" s="232"/>
      <c r="BI1148" s="232"/>
      <c r="BJ1148" s="232"/>
      <c r="BK1148" s="232"/>
      <c r="BL1148" s="232"/>
      <c r="BM1148" s="232"/>
      <c r="BN1148" s="232"/>
      <c r="BO1148" s="232"/>
      <c r="BP1148" s="232"/>
      <c r="BQ1148" s="232"/>
      <c r="BR1148" s="232"/>
      <c r="BS1148" s="232"/>
      <c r="BT1148" s="232"/>
      <c r="BU1148" s="232"/>
      <c r="BV1148" s="232"/>
      <c r="BW1148" s="232"/>
      <c r="BX1148" s="232"/>
      <c r="BY1148" s="232"/>
      <c r="BZ1148" s="232"/>
      <c r="CA1148" s="232"/>
      <c r="CB1148" s="232"/>
      <c r="CC1148" s="232"/>
      <c r="CD1148" s="232"/>
      <c r="CE1148" s="232"/>
      <c r="CF1148" s="232"/>
      <c r="CG1148" s="232"/>
      <c r="CH1148" s="232"/>
      <c r="CI1148" s="232"/>
      <c r="CJ1148" s="232"/>
      <c r="CK1148" s="232"/>
      <c r="CL1148" s="232"/>
      <c r="CM1148" s="232"/>
      <c r="CN1148" s="215"/>
      <c r="CO1148" s="215"/>
      <c r="CP1148" s="215"/>
      <c r="CQ1148" s="215"/>
      <c r="CR1148" s="215"/>
      <c r="CS1148" s="215"/>
      <c r="CT1148" s="215"/>
    </row>
    <row r="1149" ht="24.0" customHeight="1">
      <c r="A1149" s="287"/>
      <c r="B1149" s="287"/>
      <c r="C1149" s="287"/>
      <c r="D1149" s="232"/>
      <c r="E1149" s="232"/>
      <c r="F1149" s="232"/>
      <c r="G1149" s="232"/>
      <c r="H1149" s="232"/>
      <c r="I1149" s="232"/>
      <c r="J1149" s="232"/>
      <c r="K1149" s="232"/>
      <c r="L1149" s="232"/>
      <c r="M1149" s="232"/>
      <c r="N1149" s="289"/>
      <c r="O1149" s="232"/>
      <c r="P1149" s="232"/>
      <c r="Q1149" s="232"/>
      <c r="R1149" s="232"/>
      <c r="S1149" s="232"/>
      <c r="T1149" s="232"/>
      <c r="U1149" s="232"/>
      <c r="V1149" s="232"/>
      <c r="W1149" s="232"/>
      <c r="X1149" s="232"/>
      <c r="Y1149" s="232"/>
      <c r="Z1149" s="232"/>
      <c r="AA1149" s="232"/>
      <c r="AB1149" s="232"/>
      <c r="AC1149" s="232"/>
      <c r="AD1149" s="232"/>
      <c r="AE1149" s="232"/>
      <c r="AF1149" s="232"/>
      <c r="AG1149" s="232"/>
      <c r="AH1149" s="232"/>
      <c r="AI1149" s="232"/>
      <c r="AJ1149" s="232"/>
      <c r="AK1149" s="232"/>
      <c r="AL1149" s="232"/>
      <c r="AM1149" s="232"/>
      <c r="AN1149" s="232"/>
      <c r="AO1149" s="232"/>
      <c r="AP1149" s="232"/>
      <c r="AQ1149" s="232"/>
      <c r="AR1149" s="232"/>
      <c r="AS1149" s="232"/>
      <c r="AT1149" s="232"/>
      <c r="AU1149" s="232"/>
      <c r="AV1149" s="232"/>
      <c r="AW1149" s="232"/>
      <c r="AX1149" s="232"/>
      <c r="AY1149" s="232"/>
      <c r="AZ1149" s="232"/>
      <c r="BA1149" s="232"/>
      <c r="BB1149" s="232"/>
      <c r="BC1149" s="232"/>
      <c r="BD1149" s="232"/>
      <c r="BE1149" s="232"/>
      <c r="BF1149" s="232"/>
      <c r="BG1149" s="232"/>
      <c r="BH1149" s="232"/>
      <c r="BI1149" s="232"/>
      <c r="BJ1149" s="232"/>
      <c r="BK1149" s="232"/>
      <c r="BL1149" s="232"/>
      <c r="BM1149" s="232"/>
      <c r="BN1149" s="232"/>
      <c r="BO1149" s="232"/>
      <c r="BP1149" s="232"/>
      <c r="BQ1149" s="232"/>
      <c r="BR1149" s="232"/>
      <c r="BS1149" s="232"/>
      <c r="BT1149" s="232"/>
      <c r="BU1149" s="232"/>
      <c r="BV1149" s="232"/>
      <c r="BW1149" s="232"/>
      <c r="BX1149" s="232"/>
      <c r="BY1149" s="232"/>
      <c r="BZ1149" s="232"/>
      <c r="CA1149" s="232"/>
      <c r="CB1149" s="232"/>
      <c r="CC1149" s="232"/>
      <c r="CD1149" s="232"/>
      <c r="CE1149" s="232"/>
      <c r="CF1149" s="232"/>
      <c r="CG1149" s="232"/>
      <c r="CH1149" s="232"/>
      <c r="CI1149" s="232"/>
      <c r="CJ1149" s="232"/>
      <c r="CK1149" s="232"/>
      <c r="CL1149" s="232"/>
      <c r="CM1149" s="232"/>
      <c r="CN1149" s="215"/>
      <c r="CO1149" s="215"/>
      <c r="CP1149" s="215"/>
      <c r="CQ1149" s="215"/>
      <c r="CR1149" s="215"/>
      <c r="CS1149" s="215"/>
      <c r="CT1149" s="215"/>
    </row>
    <row r="1150" ht="24.0" customHeight="1">
      <c r="A1150" s="287"/>
      <c r="B1150" s="287"/>
      <c r="C1150" s="287"/>
      <c r="D1150" s="232"/>
      <c r="E1150" s="232"/>
      <c r="F1150" s="232"/>
      <c r="G1150" s="232"/>
      <c r="H1150" s="232"/>
      <c r="I1150" s="232"/>
      <c r="J1150" s="232"/>
      <c r="K1150" s="232"/>
      <c r="L1150" s="232"/>
      <c r="M1150" s="232"/>
      <c r="N1150" s="289"/>
      <c r="O1150" s="232"/>
      <c r="P1150" s="232"/>
      <c r="Q1150" s="232"/>
      <c r="R1150" s="232"/>
      <c r="S1150" s="232"/>
      <c r="T1150" s="232"/>
      <c r="U1150" s="232"/>
      <c r="V1150" s="232"/>
      <c r="W1150" s="232"/>
      <c r="X1150" s="232"/>
      <c r="Y1150" s="232"/>
      <c r="Z1150" s="232"/>
      <c r="AA1150" s="232"/>
      <c r="AB1150" s="232"/>
      <c r="AC1150" s="232"/>
      <c r="AD1150" s="232"/>
      <c r="AE1150" s="232"/>
      <c r="AF1150" s="232"/>
      <c r="AG1150" s="232"/>
      <c r="AH1150" s="232"/>
      <c r="AI1150" s="232"/>
      <c r="AJ1150" s="232"/>
      <c r="AK1150" s="232"/>
      <c r="AL1150" s="232"/>
      <c r="AM1150" s="232"/>
      <c r="AN1150" s="232"/>
      <c r="AO1150" s="232"/>
      <c r="AP1150" s="232"/>
      <c r="AQ1150" s="232"/>
      <c r="AR1150" s="232"/>
      <c r="AS1150" s="232"/>
      <c r="AT1150" s="232"/>
      <c r="AU1150" s="232"/>
      <c r="AV1150" s="232"/>
      <c r="AW1150" s="232"/>
      <c r="AX1150" s="232"/>
      <c r="AY1150" s="232"/>
      <c r="AZ1150" s="232"/>
      <c r="BA1150" s="232"/>
      <c r="BB1150" s="232"/>
      <c r="BC1150" s="232"/>
      <c r="BD1150" s="232"/>
      <c r="BE1150" s="232"/>
      <c r="BF1150" s="232"/>
      <c r="BG1150" s="232"/>
      <c r="BH1150" s="232"/>
      <c r="BI1150" s="232"/>
      <c r="BJ1150" s="232"/>
      <c r="BK1150" s="232"/>
      <c r="BL1150" s="232"/>
      <c r="BM1150" s="232"/>
      <c r="BN1150" s="232"/>
      <c r="BO1150" s="232"/>
      <c r="BP1150" s="232"/>
      <c r="BQ1150" s="232"/>
      <c r="BR1150" s="232"/>
      <c r="BS1150" s="232"/>
      <c r="BT1150" s="232"/>
      <c r="BU1150" s="232"/>
      <c r="BV1150" s="232"/>
      <c r="BW1150" s="232"/>
      <c r="BX1150" s="232"/>
      <c r="BY1150" s="232"/>
      <c r="BZ1150" s="232"/>
      <c r="CA1150" s="232"/>
      <c r="CB1150" s="232"/>
      <c r="CC1150" s="232"/>
      <c r="CD1150" s="232"/>
      <c r="CE1150" s="232"/>
      <c r="CF1150" s="232"/>
      <c r="CG1150" s="232"/>
      <c r="CH1150" s="232"/>
      <c r="CI1150" s="232"/>
      <c r="CJ1150" s="232"/>
      <c r="CK1150" s="232"/>
      <c r="CL1150" s="232"/>
      <c r="CM1150" s="232"/>
      <c r="CN1150" s="215"/>
      <c r="CO1150" s="215"/>
      <c r="CP1150" s="215"/>
      <c r="CQ1150" s="215"/>
      <c r="CR1150" s="215"/>
      <c r="CS1150" s="215"/>
      <c r="CT1150" s="215"/>
    </row>
    <row r="1151" ht="24.0" customHeight="1">
      <c r="A1151" s="287"/>
      <c r="B1151" s="287"/>
      <c r="C1151" s="287"/>
      <c r="D1151" s="232"/>
      <c r="E1151" s="232"/>
      <c r="F1151" s="232"/>
      <c r="G1151" s="232"/>
      <c r="H1151" s="232"/>
      <c r="I1151" s="232"/>
      <c r="J1151" s="232"/>
      <c r="K1151" s="232"/>
      <c r="L1151" s="232"/>
      <c r="M1151" s="232"/>
      <c r="N1151" s="289"/>
      <c r="O1151" s="232"/>
      <c r="P1151" s="232"/>
      <c r="Q1151" s="232"/>
      <c r="R1151" s="232"/>
      <c r="S1151" s="232"/>
      <c r="T1151" s="232"/>
      <c r="U1151" s="232"/>
      <c r="V1151" s="232"/>
      <c r="W1151" s="232"/>
      <c r="X1151" s="232"/>
      <c r="Y1151" s="232"/>
      <c r="Z1151" s="232"/>
      <c r="AA1151" s="232"/>
      <c r="AB1151" s="232"/>
      <c r="AC1151" s="232"/>
      <c r="AD1151" s="232"/>
      <c r="AE1151" s="232"/>
      <c r="AF1151" s="232"/>
      <c r="AG1151" s="232"/>
      <c r="AH1151" s="232"/>
      <c r="AI1151" s="232"/>
      <c r="AJ1151" s="232"/>
      <c r="AK1151" s="232"/>
      <c r="AL1151" s="232"/>
      <c r="AM1151" s="232"/>
      <c r="AN1151" s="232"/>
      <c r="AO1151" s="232"/>
      <c r="AP1151" s="232"/>
      <c r="AQ1151" s="232"/>
      <c r="AR1151" s="232"/>
      <c r="AS1151" s="232"/>
      <c r="AT1151" s="232"/>
      <c r="AU1151" s="232"/>
      <c r="AV1151" s="232"/>
      <c r="AW1151" s="232"/>
      <c r="AX1151" s="232"/>
      <c r="AY1151" s="232"/>
      <c r="AZ1151" s="232"/>
      <c r="BA1151" s="232"/>
      <c r="BB1151" s="232"/>
      <c r="BC1151" s="232"/>
      <c r="BD1151" s="232"/>
      <c r="BE1151" s="232"/>
      <c r="BF1151" s="232"/>
      <c r="BG1151" s="232"/>
      <c r="BH1151" s="232"/>
      <c r="BI1151" s="232"/>
      <c r="BJ1151" s="232"/>
      <c r="BK1151" s="232"/>
      <c r="BL1151" s="232"/>
      <c r="BM1151" s="232"/>
      <c r="BN1151" s="232"/>
      <c r="BO1151" s="232"/>
      <c r="BP1151" s="232"/>
      <c r="BQ1151" s="232"/>
      <c r="BR1151" s="232"/>
      <c r="BS1151" s="232"/>
      <c r="BT1151" s="232"/>
      <c r="BU1151" s="232"/>
      <c r="BV1151" s="232"/>
      <c r="BW1151" s="232"/>
      <c r="BX1151" s="232"/>
      <c r="BY1151" s="232"/>
      <c r="BZ1151" s="232"/>
      <c r="CA1151" s="232"/>
      <c r="CB1151" s="232"/>
      <c r="CC1151" s="232"/>
      <c r="CD1151" s="232"/>
      <c r="CE1151" s="232"/>
      <c r="CF1151" s="232"/>
      <c r="CG1151" s="232"/>
      <c r="CH1151" s="232"/>
      <c r="CI1151" s="232"/>
      <c r="CJ1151" s="232"/>
      <c r="CK1151" s="232"/>
      <c r="CL1151" s="232"/>
      <c r="CM1151" s="232"/>
      <c r="CN1151" s="215"/>
      <c r="CO1151" s="215"/>
      <c r="CP1151" s="215"/>
      <c r="CQ1151" s="215"/>
      <c r="CR1151" s="215"/>
      <c r="CS1151" s="215"/>
      <c r="CT1151" s="215"/>
    </row>
    <row r="1152" ht="24.0" customHeight="1">
      <c r="A1152" s="287"/>
      <c r="B1152" s="287"/>
      <c r="C1152" s="287"/>
      <c r="D1152" s="232"/>
      <c r="E1152" s="232"/>
      <c r="F1152" s="232"/>
      <c r="G1152" s="232"/>
      <c r="H1152" s="232"/>
      <c r="I1152" s="232"/>
      <c r="J1152" s="232"/>
      <c r="K1152" s="232"/>
      <c r="L1152" s="232"/>
      <c r="M1152" s="232"/>
      <c r="N1152" s="289"/>
      <c r="O1152" s="232"/>
      <c r="P1152" s="232"/>
      <c r="Q1152" s="232"/>
      <c r="R1152" s="232"/>
      <c r="S1152" s="232"/>
      <c r="T1152" s="232"/>
      <c r="U1152" s="232"/>
      <c r="V1152" s="232"/>
      <c r="W1152" s="232"/>
      <c r="X1152" s="232"/>
      <c r="Y1152" s="232"/>
      <c r="Z1152" s="232"/>
      <c r="AA1152" s="232"/>
      <c r="AB1152" s="232"/>
      <c r="AC1152" s="232"/>
      <c r="AD1152" s="232"/>
      <c r="AE1152" s="232"/>
      <c r="AF1152" s="232"/>
      <c r="AG1152" s="232"/>
      <c r="AH1152" s="232"/>
      <c r="AI1152" s="232"/>
      <c r="AJ1152" s="232"/>
      <c r="AK1152" s="232"/>
      <c r="AL1152" s="232"/>
      <c r="AM1152" s="232"/>
      <c r="AN1152" s="232"/>
      <c r="AO1152" s="232"/>
      <c r="AP1152" s="232"/>
      <c r="AQ1152" s="232"/>
      <c r="AR1152" s="232"/>
      <c r="AS1152" s="232"/>
      <c r="AT1152" s="232"/>
      <c r="AU1152" s="232"/>
      <c r="AV1152" s="232"/>
      <c r="AW1152" s="232"/>
      <c r="AX1152" s="232"/>
      <c r="AY1152" s="232"/>
      <c r="AZ1152" s="232"/>
      <c r="BA1152" s="232"/>
      <c r="BB1152" s="232"/>
      <c r="BC1152" s="232"/>
      <c r="BD1152" s="232"/>
      <c r="BE1152" s="232"/>
      <c r="BF1152" s="232"/>
      <c r="BG1152" s="232"/>
      <c r="BH1152" s="232"/>
      <c r="BI1152" s="232"/>
      <c r="BJ1152" s="232"/>
      <c r="BK1152" s="232"/>
      <c r="BL1152" s="232"/>
      <c r="BM1152" s="232"/>
      <c r="BN1152" s="232"/>
      <c r="BO1152" s="232"/>
      <c r="BP1152" s="232"/>
      <c r="BQ1152" s="232"/>
      <c r="BR1152" s="232"/>
      <c r="BS1152" s="232"/>
      <c r="BT1152" s="232"/>
      <c r="BU1152" s="232"/>
      <c r="BV1152" s="232"/>
      <c r="BW1152" s="232"/>
      <c r="BX1152" s="232"/>
      <c r="BY1152" s="232"/>
      <c r="BZ1152" s="232"/>
      <c r="CA1152" s="232"/>
      <c r="CB1152" s="232"/>
      <c r="CC1152" s="232"/>
      <c r="CD1152" s="232"/>
      <c r="CE1152" s="232"/>
      <c r="CF1152" s="232"/>
      <c r="CG1152" s="232"/>
      <c r="CH1152" s="232"/>
      <c r="CI1152" s="232"/>
      <c r="CJ1152" s="232"/>
      <c r="CK1152" s="232"/>
      <c r="CL1152" s="232"/>
      <c r="CM1152" s="232"/>
      <c r="CN1152" s="215"/>
      <c r="CO1152" s="215"/>
      <c r="CP1152" s="215"/>
      <c r="CQ1152" s="215"/>
      <c r="CR1152" s="215"/>
      <c r="CS1152" s="215"/>
      <c r="CT1152" s="215"/>
    </row>
    <row r="1153" ht="24.0" customHeight="1">
      <c r="A1153" s="287"/>
      <c r="B1153" s="287"/>
      <c r="C1153" s="287"/>
      <c r="D1153" s="232"/>
      <c r="E1153" s="232"/>
      <c r="F1153" s="232"/>
      <c r="G1153" s="232"/>
      <c r="H1153" s="232"/>
      <c r="I1153" s="232"/>
      <c r="J1153" s="232"/>
      <c r="K1153" s="232"/>
      <c r="L1153" s="232"/>
      <c r="M1153" s="232"/>
      <c r="N1153" s="289"/>
      <c r="O1153" s="232"/>
      <c r="P1153" s="232"/>
      <c r="Q1153" s="232"/>
      <c r="R1153" s="232"/>
      <c r="S1153" s="232"/>
      <c r="T1153" s="232"/>
      <c r="U1153" s="232"/>
      <c r="V1153" s="232"/>
      <c r="W1153" s="232"/>
      <c r="X1153" s="232"/>
      <c r="Y1153" s="232"/>
      <c r="Z1153" s="232"/>
      <c r="AA1153" s="232"/>
      <c r="AB1153" s="232"/>
      <c r="AC1153" s="232"/>
      <c r="AD1153" s="232"/>
      <c r="AE1153" s="232"/>
      <c r="AF1153" s="232"/>
      <c r="AG1153" s="232"/>
      <c r="AH1153" s="232"/>
      <c r="AI1153" s="232"/>
      <c r="AJ1153" s="232"/>
      <c r="AK1153" s="232"/>
      <c r="AL1153" s="232"/>
      <c r="AM1153" s="232"/>
      <c r="AN1153" s="232"/>
      <c r="AO1153" s="232"/>
      <c r="AP1153" s="232"/>
      <c r="AQ1153" s="232"/>
      <c r="AR1153" s="232"/>
      <c r="AS1153" s="232"/>
      <c r="AT1153" s="232"/>
      <c r="AU1153" s="232"/>
      <c r="AV1153" s="232"/>
      <c r="AW1153" s="232"/>
      <c r="AX1153" s="232"/>
      <c r="AY1153" s="232"/>
      <c r="AZ1153" s="232"/>
      <c r="BA1153" s="232"/>
      <c r="BB1153" s="232"/>
      <c r="BC1153" s="232"/>
      <c r="BD1153" s="232"/>
      <c r="BE1153" s="232"/>
      <c r="BF1153" s="232"/>
      <c r="BG1153" s="232"/>
      <c r="BH1153" s="232"/>
      <c r="BI1153" s="232"/>
      <c r="BJ1153" s="232"/>
      <c r="BK1153" s="232"/>
      <c r="BL1153" s="232"/>
      <c r="BM1153" s="232"/>
      <c r="BN1153" s="232"/>
      <c r="BO1153" s="232"/>
      <c r="BP1153" s="232"/>
      <c r="BQ1153" s="232"/>
      <c r="BR1153" s="232"/>
      <c r="BS1153" s="232"/>
      <c r="BT1153" s="232"/>
      <c r="BU1153" s="232"/>
      <c r="BV1153" s="232"/>
      <c r="BW1153" s="232"/>
      <c r="BX1153" s="232"/>
      <c r="BY1153" s="232"/>
      <c r="BZ1153" s="232"/>
      <c r="CA1153" s="232"/>
      <c r="CB1153" s="232"/>
      <c r="CC1153" s="232"/>
      <c r="CD1153" s="232"/>
      <c r="CE1153" s="232"/>
      <c r="CF1153" s="232"/>
      <c r="CG1153" s="232"/>
      <c r="CH1153" s="232"/>
      <c r="CI1153" s="232"/>
      <c r="CJ1153" s="232"/>
      <c r="CK1153" s="232"/>
      <c r="CL1153" s="232"/>
      <c r="CM1153" s="232"/>
      <c r="CN1153" s="215"/>
      <c r="CO1153" s="215"/>
      <c r="CP1153" s="215"/>
      <c r="CQ1153" s="215"/>
      <c r="CR1153" s="215"/>
      <c r="CS1153" s="215"/>
      <c r="CT1153" s="215"/>
    </row>
    <row r="1154" ht="24.0" customHeight="1">
      <c r="A1154" s="287"/>
      <c r="B1154" s="287"/>
      <c r="C1154" s="287"/>
      <c r="D1154" s="232"/>
      <c r="E1154" s="232"/>
      <c r="F1154" s="232"/>
      <c r="G1154" s="232"/>
      <c r="H1154" s="232"/>
      <c r="I1154" s="232"/>
      <c r="J1154" s="232"/>
      <c r="K1154" s="232"/>
      <c r="L1154" s="232"/>
      <c r="M1154" s="232"/>
      <c r="N1154" s="289"/>
      <c r="O1154" s="232"/>
      <c r="P1154" s="232"/>
      <c r="Q1154" s="232"/>
      <c r="R1154" s="232"/>
      <c r="S1154" s="232"/>
      <c r="T1154" s="232"/>
      <c r="U1154" s="232"/>
      <c r="V1154" s="232"/>
      <c r="W1154" s="232"/>
      <c r="X1154" s="232"/>
      <c r="Y1154" s="232"/>
      <c r="Z1154" s="232"/>
      <c r="AA1154" s="232"/>
      <c r="AB1154" s="232"/>
      <c r="AC1154" s="232"/>
      <c r="AD1154" s="232"/>
      <c r="AE1154" s="232"/>
      <c r="AF1154" s="232"/>
      <c r="AG1154" s="232"/>
      <c r="AH1154" s="232"/>
      <c r="AI1154" s="232"/>
      <c r="AJ1154" s="232"/>
      <c r="AK1154" s="232"/>
      <c r="AL1154" s="232"/>
      <c r="AM1154" s="232"/>
      <c r="AN1154" s="232"/>
      <c r="AO1154" s="232"/>
      <c r="AP1154" s="232"/>
      <c r="AQ1154" s="232"/>
      <c r="AR1154" s="232"/>
      <c r="AS1154" s="232"/>
      <c r="AT1154" s="232"/>
      <c r="AU1154" s="232"/>
      <c r="AV1154" s="232"/>
      <c r="AW1154" s="232"/>
      <c r="AX1154" s="232"/>
      <c r="AY1154" s="232"/>
      <c r="AZ1154" s="232"/>
      <c r="BA1154" s="232"/>
      <c r="BB1154" s="232"/>
      <c r="BC1154" s="232"/>
      <c r="BD1154" s="232"/>
      <c r="BE1154" s="232"/>
      <c r="BF1154" s="232"/>
      <c r="BG1154" s="232"/>
      <c r="BH1154" s="232"/>
      <c r="BI1154" s="232"/>
      <c r="BJ1154" s="232"/>
      <c r="BK1154" s="232"/>
      <c r="BL1154" s="232"/>
      <c r="BM1154" s="232"/>
      <c r="BN1154" s="232"/>
      <c r="BO1154" s="232"/>
      <c r="BP1154" s="232"/>
      <c r="BQ1154" s="232"/>
      <c r="BR1154" s="232"/>
      <c r="BS1154" s="232"/>
      <c r="BT1154" s="232"/>
      <c r="BU1154" s="232"/>
      <c r="BV1154" s="232"/>
      <c r="BW1154" s="232"/>
      <c r="BX1154" s="232"/>
      <c r="BY1154" s="232"/>
      <c r="BZ1154" s="232"/>
      <c r="CA1154" s="232"/>
      <c r="CB1154" s="232"/>
      <c r="CC1154" s="232"/>
      <c r="CD1154" s="232"/>
      <c r="CE1154" s="232"/>
      <c r="CF1154" s="232"/>
      <c r="CG1154" s="232"/>
      <c r="CH1154" s="232"/>
      <c r="CI1154" s="232"/>
      <c r="CJ1154" s="232"/>
      <c r="CK1154" s="232"/>
      <c r="CL1154" s="232"/>
      <c r="CM1154" s="232"/>
      <c r="CN1154" s="215"/>
      <c r="CO1154" s="215"/>
      <c r="CP1154" s="215"/>
      <c r="CQ1154" s="215"/>
      <c r="CR1154" s="215"/>
      <c r="CS1154" s="215"/>
      <c r="CT1154" s="215"/>
    </row>
    <row r="1155" ht="24.0" customHeight="1">
      <c r="A1155" s="287"/>
      <c r="B1155" s="287"/>
      <c r="C1155" s="287"/>
      <c r="D1155" s="232"/>
      <c r="E1155" s="232"/>
      <c r="F1155" s="232"/>
      <c r="G1155" s="232"/>
      <c r="H1155" s="232"/>
      <c r="I1155" s="232"/>
      <c r="J1155" s="232"/>
      <c r="K1155" s="232"/>
      <c r="L1155" s="232"/>
      <c r="M1155" s="232"/>
      <c r="N1155" s="289"/>
      <c r="O1155" s="232"/>
      <c r="P1155" s="232"/>
      <c r="Q1155" s="232"/>
      <c r="R1155" s="232"/>
      <c r="S1155" s="232"/>
      <c r="T1155" s="232"/>
      <c r="U1155" s="232"/>
      <c r="V1155" s="232"/>
      <c r="W1155" s="232"/>
      <c r="X1155" s="232"/>
      <c r="Y1155" s="232"/>
      <c r="Z1155" s="232"/>
      <c r="AA1155" s="232"/>
      <c r="AB1155" s="232"/>
      <c r="AC1155" s="232"/>
      <c r="AD1155" s="232"/>
      <c r="AE1155" s="232"/>
      <c r="AF1155" s="232"/>
      <c r="AG1155" s="232"/>
      <c r="AH1155" s="232"/>
      <c r="AI1155" s="232"/>
      <c r="AJ1155" s="232"/>
      <c r="AK1155" s="232"/>
      <c r="AL1155" s="232"/>
      <c r="AM1155" s="232"/>
      <c r="AN1155" s="232"/>
      <c r="AO1155" s="232"/>
      <c r="AP1155" s="232"/>
      <c r="AQ1155" s="232"/>
      <c r="AR1155" s="232"/>
      <c r="AS1155" s="232"/>
      <c r="AT1155" s="232"/>
      <c r="AU1155" s="232"/>
      <c r="AV1155" s="232"/>
      <c r="AW1155" s="232"/>
      <c r="AX1155" s="232"/>
      <c r="AY1155" s="232"/>
      <c r="AZ1155" s="232"/>
      <c r="BA1155" s="232"/>
      <c r="BB1155" s="232"/>
      <c r="BC1155" s="232"/>
      <c r="BD1155" s="232"/>
      <c r="BE1155" s="232"/>
      <c r="BF1155" s="232"/>
      <c r="BG1155" s="232"/>
      <c r="BH1155" s="232"/>
      <c r="BI1155" s="232"/>
      <c r="BJ1155" s="232"/>
      <c r="BK1155" s="232"/>
      <c r="BL1155" s="232"/>
      <c r="BM1155" s="232"/>
      <c r="BN1155" s="232"/>
      <c r="BO1155" s="232"/>
      <c r="BP1155" s="232"/>
      <c r="BQ1155" s="232"/>
      <c r="BR1155" s="232"/>
      <c r="BS1155" s="232"/>
      <c r="BT1155" s="232"/>
      <c r="BU1155" s="232"/>
      <c r="BV1155" s="232"/>
      <c r="BW1155" s="232"/>
      <c r="BX1155" s="232"/>
      <c r="BY1155" s="232"/>
      <c r="BZ1155" s="232"/>
      <c r="CA1155" s="232"/>
      <c r="CB1155" s="232"/>
      <c r="CC1155" s="232"/>
      <c r="CD1155" s="232"/>
      <c r="CE1155" s="232"/>
      <c r="CF1155" s="232"/>
      <c r="CG1155" s="232"/>
      <c r="CH1155" s="232"/>
      <c r="CI1155" s="232"/>
      <c r="CJ1155" s="232"/>
      <c r="CK1155" s="232"/>
      <c r="CL1155" s="232"/>
      <c r="CM1155" s="232"/>
      <c r="CN1155" s="215"/>
      <c r="CO1155" s="215"/>
      <c r="CP1155" s="215"/>
      <c r="CQ1155" s="215"/>
      <c r="CR1155" s="215"/>
      <c r="CS1155" s="215"/>
      <c r="CT1155" s="215"/>
    </row>
    <row r="1156" ht="24.0" customHeight="1">
      <c r="A1156" s="287"/>
      <c r="B1156" s="287"/>
      <c r="C1156" s="287"/>
      <c r="D1156" s="232"/>
      <c r="E1156" s="232"/>
      <c r="F1156" s="232"/>
      <c r="G1156" s="232"/>
      <c r="H1156" s="232"/>
      <c r="I1156" s="232"/>
      <c r="J1156" s="232"/>
      <c r="K1156" s="232"/>
      <c r="L1156" s="232"/>
      <c r="M1156" s="232"/>
      <c r="N1156" s="289"/>
      <c r="O1156" s="232"/>
      <c r="P1156" s="232"/>
      <c r="Q1156" s="232"/>
      <c r="R1156" s="232"/>
      <c r="S1156" s="232"/>
      <c r="T1156" s="232"/>
      <c r="U1156" s="232"/>
      <c r="V1156" s="232"/>
      <c r="W1156" s="232"/>
      <c r="X1156" s="232"/>
      <c r="Y1156" s="232"/>
      <c r="Z1156" s="232"/>
      <c r="AA1156" s="232"/>
      <c r="AB1156" s="232"/>
      <c r="AC1156" s="232"/>
      <c r="AD1156" s="232"/>
      <c r="AE1156" s="232"/>
      <c r="AF1156" s="232"/>
      <c r="AG1156" s="232"/>
      <c r="AH1156" s="232"/>
      <c r="AI1156" s="232"/>
      <c r="AJ1156" s="232"/>
      <c r="AK1156" s="232"/>
      <c r="AL1156" s="232"/>
      <c r="AM1156" s="232"/>
      <c r="AN1156" s="232"/>
      <c r="AO1156" s="232"/>
      <c r="AP1156" s="232"/>
      <c r="AQ1156" s="232"/>
      <c r="AR1156" s="232"/>
      <c r="AS1156" s="232"/>
      <c r="AT1156" s="232"/>
      <c r="AU1156" s="232"/>
      <c r="AV1156" s="232"/>
      <c r="AW1156" s="232"/>
      <c r="AX1156" s="232"/>
      <c r="AY1156" s="232"/>
      <c r="AZ1156" s="232"/>
      <c r="BA1156" s="232"/>
      <c r="BB1156" s="232"/>
      <c r="BC1156" s="232"/>
      <c r="BD1156" s="232"/>
      <c r="BE1156" s="232"/>
      <c r="BF1156" s="232"/>
      <c r="BG1156" s="232"/>
      <c r="BH1156" s="232"/>
      <c r="BI1156" s="232"/>
      <c r="BJ1156" s="232"/>
      <c r="BK1156" s="232"/>
      <c r="BL1156" s="232"/>
      <c r="BM1156" s="232"/>
      <c r="BN1156" s="232"/>
      <c r="BO1156" s="232"/>
      <c r="BP1156" s="232"/>
      <c r="BQ1156" s="232"/>
      <c r="BR1156" s="232"/>
      <c r="BS1156" s="232"/>
      <c r="BT1156" s="232"/>
      <c r="BU1156" s="232"/>
      <c r="BV1156" s="232"/>
      <c r="BW1156" s="232"/>
      <c r="BX1156" s="232"/>
      <c r="BY1156" s="232"/>
      <c r="BZ1156" s="232"/>
      <c r="CA1156" s="232"/>
      <c r="CB1156" s="232"/>
      <c r="CC1156" s="232"/>
      <c r="CD1156" s="232"/>
      <c r="CE1156" s="232"/>
      <c r="CF1156" s="232"/>
      <c r="CG1156" s="232"/>
      <c r="CH1156" s="232"/>
      <c r="CI1156" s="232"/>
      <c r="CJ1156" s="232"/>
      <c r="CK1156" s="232"/>
      <c r="CL1156" s="232"/>
      <c r="CM1156" s="232"/>
      <c r="CN1156" s="215"/>
      <c r="CO1156" s="215"/>
      <c r="CP1156" s="215"/>
      <c r="CQ1156" s="215"/>
      <c r="CR1156" s="215"/>
      <c r="CS1156" s="215"/>
      <c r="CT1156" s="215"/>
    </row>
    <row r="1157" ht="24.0" customHeight="1">
      <c r="A1157" s="287"/>
      <c r="B1157" s="287"/>
      <c r="C1157" s="287"/>
      <c r="D1157" s="232"/>
      <c r="E1157" s="232"/>
      <c r="F1157" s="232"/>
      <c r="G1157" s="232"/>
      <c r="H1157" s="232"/>
      <c r="I1157" s="232"/>
      <c r="J1157" s="232"/>
      <c r="K1157" s="232"/>
      <c r="L1157" s="232"/>
      <c r="M1157" s="232"/>
      <c r="N1157" s="289"/>
      <c r="O1157" s="232"/>
      <c r="P1157" s="232"/>
      <c r="Q1157" s="232"/>
      <c r="R1157" s="232"/>
      <c r="S1157" s="232"/>
      <c r="T1157" s="232"/>
      <c r="U1157" s="232"/>
      <c r="V1157" s="232"/>
      <c r="W1157" s="232"/>
      <c r="X1157" s="232"/>
      <c r="Y1157" s="232"/>
      <c r="Z1157" s="232"/>
      <c r="AA1157" s="232"/>
      <c r="AB1157" s="232"/>
      <c r="AC1157" s="232"/>
      <c r="AD1157" s="232"/>
      <c r="AE1157" s="232"/>
      <c r="AF1157" s="232"/>
      <c r="AG1157" s="232"/>
      <c r="AH1157" s="232"/>
      <c r="AI1157" s="232"/>
      <c r="AJ1157" s="232"/>
      <c r="AK1157" s="232"/>
      <c r="AL1157" s="232"/>
      <c r="AM1157" s="232"/>
      <c r="AN1157" s="232"/>
      <c r="AO1157" s="232"/>
      <c r="AP1157" s="232"/>
      <c r="AQ1157" s="232"/>
      <c r="AR1157" s="232"/>
      <c r="AS1157" s="232"/>
      <c r="AT1157" s="232"/>
      <c r="AU1157" s="232"/>
      <c r="AV1157" s="232"/>
      <c r="AW1157" s="232"/>
      <c r="AX1157" s="232"/>
      <c r="AY1157" s="232"/>
      <c r="AZ1157" s="232"/>
      <c r="BA1157" s="232"/>
      <c r="BB1157" s="232"/>
      <c r="BC1157" s="232"/>
      <c r="BD1157" s="232"/>
      <c r="BE1157" s="232"/>
      <c r="BF1157" s="232"/>
      <c r="BG1157" s="232"/>
      <c r="BH1157" s="232"/>
      <c r="BI1157" s="232"/>
      <c r="BJ1157" s="232"/>
      <c r="BK1157" s="232"/>
      <c r="BL1157" s="232"/>
      <c r="BM1157" s="232"/>
      <c r="BN1157" s="232"/>
      <c r="BO1157" s="232"/>
      <c r="BP1157" s="232"/>
      <c r="BQ1157" s="232"/>
      <c r="BR1157" s="232"/>
      <c r="BS1157" s="232"/>
      <c r="BT1157" s="232"/>
      <c r="BU1157" s="232"/>
      <c r="BV1157" s="232"/>
      <c r="BW1157" s="232"/>
      <c r="BX1157" s="232"/>
      <c r="BY1157" s="232"/>
      <c r="BZ1157" s="232"/>
      <c r="CA1157" s="232"/>
      <c r="CB1157" s="232"/>
      <c r="CC1157" s="232"/>
      <c r="CD1157" s="232"/>
      <c r="CE1157" s="232"/>
      <c r="CF1157" s="232"/>
      <c r="CG1157" s="232"/>
      <c r="CH1157" s="232"/>
      <c r="CI1157" s="232"/>
      <c r="CJ1157" s="232"/>
      <c r="CK1157" s="232"/>
      <c r="CL1157" s="232"/>
      <c r="CM1157" s="232"/>
      <c r="CN1157" s="215"/>
      <c r="CO1157" s="215"/>
      <c r="CP1157" s="215"/>
      <c r="CQ1157" s="215"/>
      <c r="CR1157" s="215"/>
      <c r="CS1157" s="215"/>
      <c r="CT1157" s="215"/>
    </row>
    <row r="1158" ht="24.0" customHeight="1">
      <c r="A1158" s="287"/>
      <c r="B1158" s="287"/>
      <c r="C1158" s="287"/>
      <c r="D1158" s="232"/>
      <c r="E1158" s="232"/>
      <c r="F1158" s="232"/>
      <c r="G1158" s="232"/>
      <c r="H1158" s="232"/>
      <c r="I1158" s="232"/>
      <c r="J1158" s="232"/>
      <c r="K1158" s="232"/>
      <c r="L1158" s="232"/>
      <c r="M1158" s="232"/>
      <c r="N1158" s="289"/>
      <c r="O1158" s="232"/>
      <c r="P1158" s="232"/>
      <c r="Q1158" s="232"/>
      <c r="R1158" s="232"/>
      <c r="S1158" s="232"/>
      <c r="T1158" s="232"/>
      <c r="U1158" s="232"/>
      <c r="V1158" s="232"/>
      <c r="W1158" s="232"/>
      <c r="X1158" s="232"/>
      <c r="Y1158" s="232"/>
      <c r="Z1158" s="232"/>
      <c r="AA1158" s="232"/>
      <c r="AB1158" s="232"/>
      <c r="AC1158" s="232"/>
      <c r="AD1158" s="232"/>
      <c r="AE1158" s="232"/>
      <c r="AF1158" s="232"/>
      <c r="AG1158" s="232"/>
      <c r="AH1158" s="232"/>
      <c r="AI1158" s="232"/>
      <c r="AJ1158" s="232"/>
      <c r="AK1158" s="232"/>
      <c r="AL1158" s="232"/>
      <c r="AM1158" s="232"/>
      <c r="AN1158" s="232"/>
      <c r="AO1158" s="232"/>
      <c r="AP1158" s="232"/>
      <c r="AQ1158" s="232"/>
      <c r="AR1158" s="232"/>
      <c r="AS1158" s="232"/>
      <c r="AT1158" s="232"/>
      <c r="AU1158" s="232"/>
      <c r="AV1158" s="232"/>
      <c r="AW1158" s="232"/>
      <c r="AX1158" s="232"/>
      <c r="AY1158" s="232"/>
      <c r="AZ1158" s="232"/>
      <c r="BA1158" s="232"/>
      <c r="BB1158" s="232"/>
      <c r="BC1158" s="232"/>
      <c r="BD1158" s="232"/>
      <c r="BE1158" s="232"/>
      <c r="BF1158" s="232"/>
      <c r="BG1158" s="232"/>
      <c r="BH1158" s="232"/>
      <c r="BI1158" s="232"/>
      <c r="BJ1158" s="232"/>
      <c r="BK1158" s="232"/>
      <c r="BL1158" s="232"/>
      <c r="BM1158" s="232"/>
      <c r="BN1158" s="232"/>
      <c r="BO1158" s="232"/>
      <c r="BP1158" s="232"/>
      <c r="BQ1158" s="232"/>
      <c r="BR1158" s="232"/>
      <c r="BS1158" s="232"/>
      <c r="BT1158" s="232"/>
      <c r="BU1158" s="232"/>
      <c r="BV1158" s="232"/>
      <c r="BW1158" s="232"/>
      <c r="BX1158" s="232"/>
      <c r="BY1158" s="232"/>
      <c r="BZ1158" s="232"/>
      <c r="CA1158" s="232"/>
      <c r="CB1158" s="232"/>
      <c r="CC1158" s="232"/>
      <c r="CD1158" s="232"/>
      <c r="CE1158" s="232"/>
      <c r="CF1158" s="232"/>
      <c r="CG1158" s="232"/>
      <c r="CH1158" s="232"/>
      <c r="CI1158" s="232"/>
      <c r="CJ1158" s="232"/>
      <c r="CK1158" s="232"/>
      <c r="CL1158" s="232"/>
      <c r="CM1158" s="232"/>
      <c r="CN1158" s="215"/>
      <c r="CO1158" s="215"/>
      <c r="CP1158" s="215"/>
      <c r="CQ1158" s="215"/>
      <c r="CR1158" s="215"/>
      <c r="CS1158" s="215"/>
      <c r="CT1158" s="215"/>
    </row>
    <row r="1159" ht="24.0" customHeight="1">
      <c r="A1159" s="287"/>
      <c r="B1159" s="287"/>
      <c r="C1159" s="287"/>
      <c r="D1159" s="232"/>
      <c r="E1159" s="232"/>
      <c r="F1159" s="232"/>
      <c r="G1159" s="232"/>
      <c r="H1159" s="232"/>
      <c r="I1159" s="232"/>
      <c r="J1159" s="232"/>
      <c r="K1159" s="232"/>
      <c r="L1159" s="232"/>
      <c r="M1159" s="232"/>
      <c r="N1159" s="289"/>
      <c r="O1159" s="232"/>
      <c r="P1159" s="232"/>
      <c r="Q1159" s="232"/>
      <c r="R1159" s="232"/>
      <c r="S1159" s="232"/>
      <c r="T1159" s="232"/>
      <c r="U1159" s="232"/>
      <c r="V1159" s="232"/>
      <c r="W1159" s="232"/>
      <c r="X1159" s="232"/>
      <c r="Y1159" s="232"/>
      <c r="Z1159" s="232"/>
      <c r="AA1159" s="232"/>
      <c r="AB1159" s="232"/>
      <c r="AC1159" s="232"/>
      <c r="AD1159" s="232"/>
      <c r="AE1159" s="232"/>
      <c r="AF1159" s="232"/>
      <c r="AG1159" s="232"/>
      <c r="AH1159" s="232"/>
      <c r="AI1159" s="232"/>
      <c r="AJ1159" s="232"/>
      <c r="AK1159" s="232"/>
      <c r="AL1159" s="232"/>
      <c r="AM1159" s="232"/>
      <c r="AN1159" s="232"/>
      <c r="AO1159" s="232"/>
      <c r="AP1159" s="232"/>
      <c r="AQ1159" s="232"/>
      <c r="AR1159" s="232"/>
      <c r="AS1159" s="232"/>
      <c r="AT1159" s="232"/>
      <c r="AU1159" s="232"/>
      <c r="AV1159" s="232"/>
      <c r="AW1159" s="232"/>
      <c r="AX1159" s="232"/>
      <c r="AY1159" s="232"/>
      <c r="AZ1159" s="232"/>
      <c r="BA1159" s="232"/>
      <c r="BB1159" s="232"/>
      <c r="BC1159" s="232"/>
      <c r="BD1159" s="232"/>
      <c r="BE1159" s="232"/>
      <c r="BF1159" s="232"/>
      <c r="BG1159" s="232"/>
      <c r="BH1159" s="232"/>
      <c r="BI1159" s="232"/>
      <c r="BJ1159" s="232"/>
      <c r="BK1159" s="232"/>
      <c r="BL1159" s="232"/>
      <c r="BM1159" s="232"/>
      <c r="BN1159" s="232"/>
      <c r="BO1159" s="232"/>
      <c r="BP1159" s="232"/>
      <c r="BQ1159" s="232"/>
      <c r="BR1159" s="232"/>
      <c r="BS1159" s="232"/>
      <c r="BT1159" s="232"/>
      <c r="BU1159" s="232"/>
      <c r="BV1159" s="232"/>
      <c r="BW1159" s="232"/>
      <c r="BX1159" s="232"/>
      <c r="BY1159" s="232"/>
      <c r="BZ1159" s="232"/>
      <c r="CA1159" s="232"/>
      <c r="CB1159" s="232"/>
      <c r="CC1159" s="232"/>
      <c r="CD1159" s="232"/>
      <c r="CE1159" s="232"/>
      <c r="CF1159" s="232"/>
      <c r="CG1159" s="232"/>
      <c r="CH1159" s="232"/>
      <c r="CI1159" s="232"/>
      <c r="CJ1159" s="232"/>
      <c r="CK1159" s="232"/>
      <c r="CL1159" s="232"/>
      <c r="CM1159" s="232"/>
      <c r="CN1159" s="215"/>
      <c r="CO1159" s="215"/>
      <c r="CP1159" s="215"/>
      <c r="CQ1159" s="215"/>
      <c r="CR1159" s="215"/>
      <c r="CS1159" s="215"/>
      <c r="CT1159" s="215"/>
    </row>
    <row r="1160" ht="24.0" customHeight="1">
      <c r="A1160" s="287"/>
      <c r="B1160" s="287"/>
      <c r="C1160" s="287"/>
      <c r="D1160" s="232"/>
      <c r="E1160" s="232"/>
      <c r="F1160" s="232"/>
      <c r="G1160" s="232"/>
      <c r="H1160" s="232"/>
      <c r="I1160" s="232"/>
      <c r="J1160" s="232"/>
      <c r="K1160" s="232"/>
      <c r="L1160" s="232"/>
      <c r="M1160" s="232"/>
      <c r="N1160" s="289"/>
      <c r="O1160" s="232"/>
      <c r="P1160" s="232"/>
      <c r="Q1160" s="232"/>
      <c r="R1160" s="232"/>
      <c r="S1160" s="232"/>
      <c r="T1160" s="232"/>
      <c r="U1160" s="232"/>
      <c r="V1160" s="232"/>
      <c r="W1160" s="232"/>
      <c r="X1160" s="232"/>
      <c r="Y1160" s="232"/>
      <c r="Z1160" s="232"/>
      <c r="AA1160" s="232"/>
      <c r="AB1160" s="232"/>
      <c r="AC1160" s="232"/>
      <c r="AD1160" s="232"/>
      <c r="AE1160" s="232"/>
      <c r="AF1160" s="232"/>
      <c r="AG1160" s="232"/>
      <c r="AH1160" s="232"/>
      <c r="AI1160" s="232"/>
      <c r="AJ1160" s="232"/>
      <c r="AK1160" s="232"/>
      <c r="AL1160" s="232"/>
      <c r="AM1160" s="232"/>
      <c r="AN1160" s="232"/>
      <c r="AO1160" s="232"/>
      <c r="AP1160" s="232"/>
      <c r="AQ1160" s="232"/>
      <c r="AR1160" s="232"/>
      <c r="AS1160" s="232"/>
      <c r="AT1160" s="232"/>
      <c r="AU1160" s="232"/>
      <c r="AV1160" s="232"/>
      <c r="AW1160" s="232"/>
      <c r="AX1160" s="232"/>
      <c r="AY1160" s="232"/>
      <c r="AZ1160" s="232"/>
      <c r="BA1160" s="232"/>
      <c r="BB1160" s="232"/>
      <c r="BC1160" s="232"/>
      <c r="BD1160" s="232"/>
      <c r="BE1160" s="232"/>
      <c r="BF1160" s="232"/>
      <c r="BG1160" s="232"/>
      <c r="BH1160" s="232"/>
      <c r="BI1160" s="232"/>
      <c r="BJ1160" s="232"/>
      <c r="BK1160" s="232"/>
      <c r="BL1160" s="232"/>
      <c r="BM1160" s="232"/>
      <c r="BN1160" s="232"/>
      <c r="BO1160" s="232"/>
      <c r="BP1160" s="232"/>
      <c r="BQ1160" s="232"/>
      <c r="BR1160" s="232"/>
      <c r="BS1160" s="232"/>
      <c r="BT1160" s="232"/>
      <c r="BU1160" s="232"/>
      <c r="BV1160" s="232"/>
      <c r="BW1160" s="232"/>
      <c r="BX1160" s="232"/>
      <c r="BY1160" s="232"/>
      <c r="BZ1160" s="232"/>
      <c r="CA1160" s="232"/>
      <c r="CB1160" s="232"/>
      <c r="CC1160" s="232"/>
      <c r="CD1160" s="232"/>
      <c r="CE1160" s="232"/>
      <c r="CF1160" s="232"/>
      <c r="CG1160" s="232"/>
      <c r="CH1160" s="232"/>
      <c r="CI1160" s="232"/>
      <c r="CJ1160" s="232"/>
      <c r="CK1160" s="232"/>
      <c r="CL1160" s="232"/>
      <c r="CM1160" s="232"/>
      <c r="CN1160" s="215"/>
      <c r="CO1160" s="215"/>
      <c r="CP1160" s="215"/>
      <c r="CQ1160" s="215"/>
      <c r="CR1160" s="215"/>
      <c r="CS1160" s="215"/>
      <c r="CT1160" s="215"/>
    </row>
    <row r="1161" ht="24.0" customHeight="1">
      <c r="A1161" s="287"/>
      <c r="B1161" s="287"/>
      <c r="C1161" s="287"/>
      <c r="D1161" s="232"/>
      <c r="E1161" s="232"/>
      <c r="F1161" s="232"/>
      <c r="G1161" s="232"/>
      <c r="H1161" s="232"/>
      <c r="I1161" s="232"/>
      <c r="J1161" s="232"/>
      <c r="K1161" s="232"/>
      <c r="L1161" s="232"/>
      <c r="M1161" s="232"/>
      <c r="N1161" s="289"/>
      <c r="O1161" s="232"/>
      <c r="P1161" s="232"/>
      <c r="Q1161" s="232"/>
      <c r="R1161" s="232"/>
      <c r="S1161" s="232"/>
      <c r="T1161" s="232"/>
      <c r="U1161" s="232"/>
      <c r="V1161" s="232"/>
      <c r="W1161" s="232"/>
      <c r="X1161" s="232"/>
      <c r="Y1161" s="232"/>
      <c r="Z1161" s="232"/>
      <c r="AA1161" s="232"/>
      <c r="AB1161" s="232"/>
      <c r="AC1161" s="232"/>
      <c r="AD1161" s="232"/>
      <c r="AE1161" s="232"/>
      <c r="AF1161" s="232"/>
      <c r="AG1161" s="232"/>
      <c r="AH1161" s="232"/>
      <c r="AI1161" s="232"/>
      <c r="AJ1161" s="232"/>
      <c r="AK1161" s="232"/>
      <c r="AL1161" s="232"/>
      <c r="AM1161" s="232"/>
      <c r="AN1161" s="232"/>
      <c r="AO1161" s="232"/>
      <c r="AP1161" s="232"/>
      <c r="AQ1161" s="232"/>
      <c r="AR1161" s="232"/>
      <c r="AS1161" s="232"/>
      <c r="AT1161" s="232"/>
      <c r="AU1161" s="232"/>
      <c r="AV1161" s="232"/>
      <c r="AW1161" s="232"/>
      <c r="AX1161" s="232"/>
      <c r="AY1161" s="232"/>
      <c r="AZ1161" s="232"/>
      <c r="BA1161" s="232"/>
      <c r="BB1161" s="232"/>
      <c r="BC1161" s="232"/>
      <c r="BD1161" s="232"/>
      <c r="BE1161" s="232"/>
      <c r="BF1161" s="232"/>
      <c r="BG1161" s="232"/>
      <c r="BH1161" s="232"/>
      <c r="BI1161" s="232"/>
      <c r="BJ1161" s="232"/>
      <c r="BK1161" s="232"/>
      <c r="BL1161" s="232"/>
      <c r="BM1161" s="232"/>
      <c r="BN1161" s="232"/>
      <c r="BO1161" s="232"/>
      <c r="BP1161" s="232"/>
      <c r="BQ1161" s="232"/>
      <c r="BR1161" s="232"/>
      <c r="BS1161" s="232"/>
      <c r="BT1161" s="232"/>
      <c r="BU1161" s="232"/>
      <c r="BV1161" s="232"/>
      <c r="BW1161" s="232"/>
      <c r="BX1161" s="232"/>
      <c r="BY1161" s="232"/>
      <c r="BZ1161" s="232"/>
      <c r="CA1161" s="232"/>
      <c r="CB1161" s="232"/>
      <c r="CC1161" s="232"/>
      <c r="CD1161" s="232"/>
      <c r="CE1161" s="232"/>
      <c r="CF1161" s="232"/>
      <c r="CG1161" s="232"/>
      <c r="CH1161" s="232"/>
      <c r="CI1161" s="232"/>
      <c r="CJ1161" s="232"/>
      <c r="CK1161" s="232"/>
      <c r="CL1161" s="232"/>
      <c r="CM1161" s="232"/>
      <c r="CN1161" s="215"/>
      <c r="CO1161" s="215"/>
      <c r="CP1161" s="215"/>
      <c r="CQ1161" s="215"/>
      <c r="CR1161" s="215"/>
      <c r="CS1161" s="215"/>
      <c r="CT1161" s="215"/>
    </row>
    <row r="1162" ht="24.0" customHeight="1">
      <c r="A1162" s="287"/>
      <c r="B1162" s="287"/>
      <c r="C1162" s="287"/>
      <c r="D1162" s="232"/>
      <c r="E1162" s="232"/>
      <c r="F1162" s="232"/>
      <c r="G1162" s="232"/>
      <c r="H1162" s="232"/>
      <c r="I1162" s="232"/>
      <c r="J1162" s="232"/>
      <c r="K1162" s="232"/>
      <c r="L1162" s="232"/>
      <c r="M1162" s="232"/>
      <c r="N1162" s="289"/>
      <c r="O1162" s="232"/>
      <c r="P1162" s="232"/>
      <c r="Q1162" s="232"/>
      <c r="R1162" s="232"/>
      <c r="S1162" s="232"/>
      <c r="T1162" s="232"/>
      <c r="U1162" s="232"/>
      <c r="V1162" s="232"/>
      <c r="W1162" s="232"/>
      <c r="X1162" s="232"/>
      <c r="Y1162" s="232"/>
      <c r="Z1162" s="232"/>
      <c r="AA1162" s="232"/>
      <c r="AB1162" s="232"/>
      <c r="AC1162" s="232"/>
      <c r="AD1162" s="232"/>
      <c r="AE1162" s="232"/>
      <c r="AF1162" s="232"/>
      <c r="AG1162" s="232"/>
      <c r="AH1162" s="232"/>
      <c r="AI1162" s="232"/>
      <c r="AJ1162" s="232"/>
      <c r="AK1162" s="232"/>
      <c r="AL1162" s="232"/>
      <c r="AM1162" s="232"/>
      <c r="AN1162" s="232"/>
      <c r="AO1162" s="232"/>
      <c r="AP1162" s="232"/>
      <c r="AQ1162" s="232"/>
      <c r="AR1162" s="232"/>
      <c r="AS1162" s="232"/>
      <c r="AT1162" s="232"/>
      <c r="AU1162" s="232"/>
      <c r="AV1162" s="232"/>
      <c r="AW1162" s="232"/>
      <c r="AX1162" s="232"/>
      <c r="AY1162" s="232"/>
      <c r="AZ1162" s="232"/>
      <c r="BA1162" s="232"/>
      <c r="BB1162" s="232"/>
      <c r="BC1162" s="232"/>
      <c r="BD1162" s="232"/>
      <c r="BE1162" s="232"/>
      <c r="BF1162" s="232"/>
      <c r="BG1162" s="232"/>
      <c r="BH1162" s="232"/>
      <c r="BI1162" s="232"/>
      <c r="BJ1162" s="232"/>
      <c r="BK1162" s="232"/>
      <c r="BL1162" s="232"/>
      <c r="BM1162" s="232"/>
      <c r="BN1162" s="232"/>
      <c r="BO1162" s="232"/>
      <c r="BP1162" s="232"/>
      <c r="BQ1162" s="232"/>
      <c r="BR1162" s="232"/>
      <c r="BS1162" s="232"/>
      <c r="BT1162" s="232"/>
      <c r="BU1162" s="232"/>
      <c r="BV1162" s="232"/>
      <c r="BW1162" s="232"/>
      <c r="BX1162" s="232"/>
      <c r="BY1162" s="232"/>
      <c r="BZ1162" s="232"/>
      <c r="CA1162" s="232"/>
      <c r="CB1162" s="232"/>
      <c r="CC1162" s="232"/>
      <c r="CD1162" s="232"/>
      <c r="CE1162" s="232"/>
      <c r="CF1162" s="232"/>
      <c r="CG1162" s="232"/>
      <c r="CH1162" s="232"/>
      <c r="CI1162" s="232"/>
      <c r="CJ1162" s="232"/>
      <c r="CK1162" s="232"/>
      <c r="CL1162" s="232"/>
      <c r="CM1162" s="232"/>
      <c r="CN1162" s="215"/>
      <c r="CO1162" s="215"/>
      <c r="CP1162" s="215"/>
      <c r="CQ1162" s="215"/>
      <c r="CR1162" s="215"/>
      <c r="CS1162" s="215"/>
      <c r="CT1162" s="215"/>
    </row>
    <row r="1163" ht="24.0" customHeight="1">
      <c r="A1163" s="287"/>
      <c r="B1163" s="287"/>
      <c r="C1163" s="287"/>
      <c r="D1163" s="232"/>
      <c r="E1163" s="232"/>
      <c r="F1163" s="232"/>
      <c r="G1163" s="232"/>
      <c r="H1163" s="232"/>
      <c r="I1163" s="232"/>
      <c r="J1163" s="232"/>
      <c r="K1163" s="232"/>
      <c r="L1163" s="232"/>
      <c r="M1163" s="232"/>
      <c r="N1163" s="289"/>
      <c r="O1163" s="232"/>
      <c r="P1163" s="232"/>
      <c r="Q1163" s="232"/>
      <c r="R1163" s="232"/>
      <c r="S1163" s="232"/>
      <c r="T1163" s="232"/>
      <c r="U1163" s="232"/>
      <c r="V1163" s="232"/>
      <c r="W1163" s="232"/>
      <c r="X1163" s="232"/>
      <c r="Y1163" s="232"/>
      <c r="Z1163" s="232"/>
      <c r="AA1163" s="232"/>
      <c r="AB1163" s="232"/>
      <c r="AC1163" s="232"/>
      <c r="AD1163" s="232"/>
      <c r="AE1163" s="232"/>
      <c r="AF1163" s="232"/>
      <c r="AG1163" s="232"/>
      <c r="AH1163" s="232"/>
      <c r="AI1163" s="232"/>
      <c r="AJ1163" s="232"/>
      <c r="AK1163" s="232"/>
      <c r="AL1163" s="232"/>
      <c r="AM1163" s="232"/>
      <c r="AN1163" s="232"/>
      <c r="AO1163" s="232"/>
      <c r="AP1163" s="232"/>
      <c r="AQ1163" s="232"/>
      <c r="AR1163" s="232"/>
      <c r="AS1163" s="232"/>
      <c r="AT1163" s="232"/>
      <c r="AU1163" s="232"/>
      <c r="AV1163" s="232"/>
      <c r="AW1163" s="232"/>
      <c r="AX1163" s="232"/>
      <c r="AY1163" s="232"/>
      <c r="AZ1163" s="232"/>
      <c r="BA1163" s="232"/>
      <c r="BB1163" s="232"/>
      <c r="BC1163" s="232"/>
      <c r="BD1163" s="232"/>
      <c r="BE1163" s="232"/>
      <c r="BF1163" s="232"/>
      <c r="BG1163" s="232"/>
      <c r="BH1163" s="232"/>
      <c r="BI1163" s="232"/>
      <c r="BJ1163" s="232"/>
      <c r="BK1163" s="232"/>
      <c r="BL1163" s="232"/>
      <c r="BM1163" s="232"/>
      <c r="BN1163" s="232"/>
      <c r="BO1163" s="232"/>
      <c r="BP1163" s="232"/>
      <c r="BQ1163" s="232"/>
      <c r="BR1163" s="232"/>
      <c r="BS1163" s="232"/>
      <c r="BT1163" s="232"/>
      <c r="BU1163" s="232"/>
      <c r="BV1163" s="232"/>
      <c r="BW1163" s="232"/>
      <c r="BX1163" s="232"/>
      <c r="BY1163" s="232"/>
      <c r="BZ1163" s="232"/>
      <c r="CA1163" s="232"/>
      <c r="CB1163" s="232"/>
      <c r="CC1163" s="232"/>
      <c r="CD1163" s="232"/>
      <c r="CE1163" s="232"/>
      <c r="CF1163" s="232"/>
      <c r="CG1163" s="232"/>
      <c r="CH1163" s="232"/>
      <c r="CI1163" s="232"/>
      <c r="CJ1163" s="232"/>
      <c r="CK1163" s="232"/>
      <c r="CL1163" s="232"/>
      <c r="CM1163" s="232"/>
      <c r="CN1163" s="215"/>
      <c r="CO1163" s="215"/>
      <c r="CP1163" s="215"/>
      <c r="CQ1163" s="215"/>
      <c r="CR1163" s="215"/>
      <c r="CS1163" s="215"/>
      <c r="CT1163" s="215"/>
    </row>
    <row r="1164" ht="24.0" customHeight="1">
      <c r="A1164" s="287"/>
      <c r="B1164" s="287"/>
      <c r="C1164" s="287"/>
      <c r="D1164" s="232"/>
      <c r="E1164" s="232"/>
      <c r="F1164" s="232"/>
      <c r="G1164" s="232"/>
      <c r="H1164" s="232"/>
      <c r="I1164" s="232"/>
      <c r="J1164" s="232"/>
      <c r="K1164" s="232"/>
      <c r="L1164" s="232"/>
      <c r="M1164" s="232"/>
      <c r="N1164" s="289"/>
      <c r="O1164" s="232"/>
      <c r="P1164" s="232"/>
      <c r="Q1164" s="232"/>
      <c r="R1164" s="232"/>
      <c r="S1164" s="232"/>
      <c r="T1164" s="232"/>
      <c r="U1164" s="232"/>
      <c r="V1164" s="232"/>
      <c r="W1164" s="232"/>
      <c r="X1164" s="232"/>
      <c r="Y1164" s="232"/>
      <c r="Z1164" s="232"/>
      <c r="AA1164" s="232"/>
      <c r="AB1164" s="232"/>
      <c r="AC1164" s="232"/>
      <c r="AD1164" s="232"/>
      <c r="AE1164" s="232"/>
      <c r="AF1164" s="232"/>
      <c r="AG1164" s="232"/>
      <c r="AH1164" s="232"/>
      <c r="AI1164" s="232"/>
      <c r="AJ1164" s="232"/>
      <c r="AK1164" s="232"/>
      <c r="AL1164" s="232"/>
      <c r="AM1164" s="232"/>
      <c r="AN1164" s="232"/>
      <c r="AO1164" s="232"/>
      <c r="AP1164" s="232"/>
      <c r="AQ1164" s="232"/>
      <c r="AR1164" s="232"/>
      <c r="AS1164" s="232"/>
      <c r="AT1164" s="232"/>
      <c r="AU1164" s="232"/>
      <c r="AV1164" s="232"/>
      <c r="AW1164" s="232"/>
      <c r="AX1164" s="232"/>
      <c r="AY1164" s="232"/>
      <c r="AZ1164" s="232"/>
      <c r="BA1164" s="232"/>
      <c r="BB1164" s="232"/>
      <c r="BC1164" s="232"/>
      <c r="BD1164" s="232"/>
      <c r="BE1164" s="232"/>
      <c r="BF1164" s="232"/>
      <c r="BG1164" s="232"/>
      <c r="BH1164" s="232"/>
      <c r="BI1164" s="232"/>
      <c r="BJ1164" s="232"/>
      <c r="BK1164" s="232"/>
      <c r="BL1164" s="232"/>
      <c r="BM1164" s="232"/>
      <c r="BN1164" s="232"/>
      <c r="BO1164" s="232"/>
      <c r="BP1164" s="232"/>
      <c r="BQ1164" s="232"/>
      <c r="BR1164" s="232"/>
      <c r="BS1164" s="232"/>
      <c r="BT1164" s="232"/>
      <c r="BU1164" s="232"/>
      <c r="BV1164" s="232"/>
      <c r="BW1164" s="232"/>
      <c r="BX1164" s="232"/>
      <c r="BY1164" s="232"/>
      <c r="BZ1164" s="232"/>
      <c r="CA1164" s="232"/>
      <c r="CB1164" s="232"/>
      <c r="CC1164" s="232"/>
      <c r="CD1164" s="232"/>
      <c r="CE1164" s="232"/>
      <c r="CF1164" s="232"/>
      <c r="CG1164" s="232"/>
      <c r="CH1164" s="232"/>
      <c r="CI1164" s="232"/>
      <c r="CJ1164" s="232"/>
      <c r="CK1164" s="232"/>
      <c r="CL1164" s="232"/>
      <c r="CM1164" s="232"/>
      <c r="CN1164" s="215"/>
      <c r="CO1164" s="215"/>
      <c r="CP1164" s="215"/>
      <c r="CQ1164" s="215"/>
      <c r="CR1164" s="215"/>
      <c r="CS1164" s="215"/>
      <c r="CT1164" s="215"/>
    </row>
    <row r="1165" ht="24.0" customHeight="1">
      <c r="A1165" s="287"/>
      <c r="B1165" s="287"/>
      <c r="C1165" s="287"/>
      <c r="D1165" s="232"/>
      <c r="E1165" s="232"/>
      <c r="F1165" s="232"/>
      <c r="G1165" s="232"/>
      <c r="H1165" s="232"/>
      <c r="I1165" s="232"/>
      <c r="J1165" s="232"/>
      <c r="K1165" s="232"/>
      <c r="L1165" s="232"/>
      <c r="M1165" s="232"/>
      <c r="N1165" s="289"/>
      <c r="O1165" s="232"/>
      <c r="P1165" s="232"/>
      <c r="Q1165" s="232"/>
      <c r="R1165" s="232"/>
      <c r="S1165" s="232"/>
      <c r="T1165" s="232"/>
      <c r="U1165" s="232"/>
      <c r="V1165" s="232"/>
      <c r="W1165" s="232"/>
      <c r="X1165" s="232"/>
      <c r="Y1165" s="232"/>
      <c r="Z1165" s="232"/>
      <c r="AA1165" s="232"/>
      <c r="AB1165" s="232"/>
      <c r="AC1165" s="232"/>
      <c r="AD1165" s="232"/>
      <c r="AE1165" s="232"/>
      <c r="AF1165" s="232"/>
      <c r="AG1165" s="232"/>
      <c r="AH1165" s="232"/>
      <c r="AI1165" s="232"/>
      <c r="AJ1165" s="232"/>
      <c r="AK1165" s="232"/>
      <c r="AL1165" s="232"/>
      <c r="AM1165" s="232"/>
      <c r="AN1165" s="232"/>
      <c r="AO1165" s="232"/>
      <c r="AP1165" s="232"/>
      <c r="AQ1165" s="232"/>
      <c r="AR1165" s="232"/>
      <c r="AS1165" s="232"/>
      <c r="AT1165" s="232"/>
      <c r="AU1165" s="232"/>
      <c r="AV1165" s="232"/>
      <c r="AW1165" s="232"/>
      <c r="AX1165" s="232"/>
      <c r="AY1165" s="232"/>
      <c r="AZ1165" s="232"/>
      <c r="BA1165" s="232"/>
      <c r="BB1165" s="232"/>
      <c r="BC1165" s="232"/>
      <c r="BD1165" s="232"/>
      <c r="BE1165" s="232"/>
      <c r="BF1165" s="232"/>
      <c r="BG1165" s="232"/>
      <c r="BH1165" s="232"/>
      <c r="BI1165" s="232"/>
      <c r="BJ1165" s="232"/>
      <c r="BK1165" s="232"/>
      <c r="BL1165" s="232"/>
      <c r="BM1165" s="232"/>
      <c r="BN1165" s="232"/>
      <c r="BO1165" s="232"/>
      <c r="BP1165" s="232"/>
      <c r="BQ1165" s="232"/>
      <c r="BR1165" s="232"/>
      <c r="BS1165" s="232"/>
      <c r="BT1165" s="232"/>
      <c r="BU1165" s="232"/>
      <c r="BV1165" s="232"/>
      <c r="BW1165" s="232"/>
      <c r="BX1165" s="232"/>
      <c r="BY1165" s="232"/>
      <c r="BZ1165" s="232"/>
      <c r="CA1165" s="232"/>
      <c r="CB1165" s="232"/>
      <c r="CC1165" s="232"/>
      <c r="CD1165" s="232"/>
      <c r="CE1165" s="232"/>
      <c r="CF1165" s="232"/>
      <c r="CG1165" s="232"/>
      <c r="CH1165" s="232"/>
      <c r="CI1165" s="232"/>
      <c r="CJ1165" s="232"/>
      <c r="CK1165" s="232"/>
      <c r="CL1165" s="232"/>
      <c r="CM1165" s="232"/>
      <c r="CN1165" s="215"/>
      <c r="CO1165" s="215"/>
      <c r="CP1165" s="215"/>
      <c r="CQ1165" s="215"/>
      <c r="CR1165" s="215"/>
      <c r="CS1165" s="215"/>
      <c r="CT1165" s="215"/>
    </row>
    <row r="1166" ht="24.0" customHeight="1">
      <c r="A1166" s="287"/>
      <c r="B1166" s="287"/>
      <c r="C1166" s="287"/>
      <c r="D1166" s="232"/>
      <c r="E1166" s="232"/>
      <c r="F1166" s="232"/>
      <c r="G1166" s="232"/>
      <c r="H1166" s="232"/>
      <c r="I1166" s="232"/>
      <c r="J1166" s="232"/>
      <c r="K1166" s="232"/>
      <c r="L1166" s="232"/>
      <c r="M1166" s="232"/>
      <c r="N1166" s="289"/>
      <c r="O1166" s="232"/>
      <c r="P1166" s="232"/>
      <c r="Q1166" s="232"/>
      <c r="R1166" s="232"/>
      <c r="S1166" s="232"/>
      <c r="T1166" s="232"/>
      <c r="U1166" s="232"/>
      <c r="V1166" s="232"/>
      <c r="W1166" s="232"/>
      <c r="X1166" s="232"/>
      <c r="Y1166" s="232"/>
      <c r="Z1166" s="232"/>
      <c r="AA1166" s="232"/>
      <c r="AB1166" s="232"/>
      <c r="AC1166" s="232"/>
      <c r="AD1166" s="232"/>
      <c r="AE1166" s="232"/>
      <c r="AF1166" s="232"/>
      <c r="AG1166" s="232"/>
      <c r="AH1166" s="232"/>
      <c r="AI1166" s="232"/>
      <c r="AJ1166" s="232"/>
      <c r="AK1166" s="232"/>
      <c r="AL1166" s="232"/>
      <c r="AM1166" s="232"/>
      <c r="AN1166" s="232"/>
      <c r="AO1166" s="232"/>
      <c r="AP1166" s="232"/>
      <c r="AQ1166" s="232"/>
      <c r="AR1166" s="232"/>
      <c r="AS1166" s="232"/>
      <c r="AT1166" s="232"/>
      <c r="AU1166" s="232"/>
      <c r="AV1166" s="232"/>
      <c r="AW1166" s="232"/>
      <c r="AX1166" s="232"/>
      <c r="AY1166" s="232"/>
      <c r="AZ1166" s="232"/>
      <c r="BA1166" s="232"/>
      <c r="BB1166" s="232"/>
      <c r="BC1166" s="232"/>
      <c r="BD1166" s="232"/>
      <c r="BE1166" s="232"/>
      <c r="BF1166" s="232"/>
      <c r="BG1166" s="232"/>
      <c r="BH1166" s="232"/>
      <c r="BI1166" s="232"/>
      <c r="BJ1166" s="232"/>
      <c r="BK1166" s="232"/>
      <c r="BL1166" s="232"/>
      <c r="BM1166" s="232"/>
      <c r="BN1166" s="232"/>
      <c r="BO1166" s="232"/>
      <c r="BP1166" s="232"/>
      <c r="BQ1166" s="232"/>
      <c r="BR1166" s="232"/>
      <c r="BS1166" s="232"/>
      <c r="BT1166" s="232"/>
      <c r="BU1166" s="232"/>
      <c r="BV1166" s="232"/>
      <c r="BW1166" s="232"/>
      <c r="BX1166" s="232"/>
      <c r="BY1166" s="232"/>
      <c r="BZ1166" s="232"/>
      <c r="CA1166" s="232"/>
      <c r="CB1166" s="232"/>
      <c r="CC1166" s="232"/>
      <c r="CD1166" s="232"/>
      <c r="CE1166" s="232"/>
      <c r="CF1166" s="232"/>
      <c r="CG1166" s="232"/>
      <c r="CH1166" s="232"/>
      <c r="CI1166" s="232"/>
      <c r="CJ1166" s="232"/>
      <c r="CK1166" s="232"/>
      <c r="CL1166" s="232"/>
      <c r="CM1166" s="232"/>
      <c r="CN1166" s="215"/>
      <c r="CO1166" s="215"/>
      <c r="CP1166" s="215"/>
      <c r="CQ1166" s="215"/>
      <c r="CR1166" s="215"/>
      <c r="CS1166" s="215"/>
      <c r="CT1166" s="215"/>
    </row>
    <row r="1167" ht="24.0" customHeight="1">
      <c r="A1167" s="287"/>
      <c r="B1167" s="287"/>
      <c r="C1167" s="287"/>
      <c r="D1167" s="232"/>
      <c r="E1167" s="232"/>
      <c r="F1167" s="232"/>
      <c r="G1167" s="232"/>
      <c r="H1167" s="232"/>
      <c r="I1167" s="232"/>
      <c r="J1167" s="232"/>
      <c r="K1167" s="232"/>
      <c r="L1167" s="232"/>
      <c r="M1167" s="232"/>
      <c r="N1167" s="289"/>
      <c r="O1167" s="232"/>
      <c r="P1167" s="232"/>
      <c r="Q1167" s="232"/>
      <c r="R1167" s="232"/>
      <c r="S1167" s="232"/>
      <c r="T1167" s="232"/>
      <c r="U1167" s="232"/>
      <c r="V1167" s="232"/>
      <c r="W1167" s="232"/>
      <c r="X1167" s="232"/>
      <c r="Y1167" s="232"/>
      <c r="Z1167" s="232"/>
      <c r="AA1167" s="232"/>
      <c r="AB1167" s="232"/>
      <c r="AC1167" s="232"/>
      <c r="AD1167" s="232"/>
      <c r="AE1167" s="232"/>
      <c r="AF1167" s="232"/>
      <c r="AG1167" s="232"/>
      <c r="AH1167" s="232"/>
      <c r="AI1167" s="232"/>
      <c r="AJ1167" s="232"/>
      <c r="AK1167" s="232"/>
      <c r="AL1167" s="232"/>
      <c r="AM1167" s="232"/>
      <c r="AN1167" s="232"/>
      <c r="AO1167" s="232"/>
      <c r="AP1167" s="232"/>
      <c r="AQ1167" s="232"/>
      <c r="AR1167" s="232"/>
      <c r="AS1167" s="232"/>
      <c r="AT1167" s="232"/>
      <c r="AU1167" s="232"/>
      <c r="AV1167" s="232"/>
      <c r="AW1167" s="232"/>
      <c r="AX1167" s="232"/>
      <c r="AY1167" s="232"/>
      <c r="AZ1167" s="232"/>
      <c r="BA1167" s="232"/>
      <c r="BB1167" s="232"/>
      <c r="BC1167" s="232"/>
      <c r="BD1167" s="232"/>
      <c r="BE1167" s="232"/>
      <c r="BF1167" s="232"/>
      <c r="BG1167" s="232"/>
      <c r="BH1167" s="232"/>
      <c r="BI1167" s="232"/>
      <c r="BJ1167" s="232"/>
      <c r="BK1167" s="232"/>
      <c r="BL1167" s="232"/>
      <c r="BM1167" s="232"/>
      <c r="BN1167" s="232"/>
      <c r="BO1167" s="232"/>
      <c r="BP1167" s="232"/>
      <c r="BQ1167" s="232"/>
      <c r="BR1167" s="232"/>
      <c r="BS1167" s="232"/>
      <c r="BT1167" s="232"/>
      <c r="BU1167" s="232"/>
      <c r="BV1167" s="232"/>
      <c r="BW1167" s="232"/>
      <c r="BX1167" s="232"/>
      <c r="BY1167" s="232"/>
      <c r="BZ1167" s="232"/>
      <c r="CA1167" s="232"/>
      <c r="CB1167" s="232"/>
      <c r="CC1167" s="232"/>
      <c r="CD1167" s="232"/>
      <c r="CE1167" s="232"/>
      <c r="CF1167" s="232"/>
      <c r="CG1167" s="232"/>
      <c r="CH1167" s="232"/>
      <c r="CI1167" s="232"/>
      <c r="CJ1167" s="232"/>
      <c r="CK1167" s="232"/>
      <c r="CL1167" s="232"/>
      <c r="CM1167" s="232"/>
      <c r="CN1167" s="215"/>
      <c r="CO1167" s="215"/>
      <c r="CP1167" s="215"/>
      <c r="CQ1167" s="215"/>
      <c r="CR1167" s="215"/>
      <c r="CS1167" s="215"/>
      <c r="CT1167" s="215"/>
    </row>
    <row r="1168" ht="24.0" customHeight="1">
      <c r="A1168" s="287"/>
      <c r="B1168" s="287"/>
      <c r="C1168" s="287"/>
      <c r="D1168" s="232"/>
      <c r="E1168" s="232"/>
      <c r="F1168" s="232"/>
      <c r="G1168" s="232"/>
      <c r="H1168" s="232"/>
      <c r="I1168" s="232"/>
      <c r="J1168" s="232"/>
      <c r="K1168" s="232"/>
      <c r="L1168" s="232"/>
      <c r="M1168" s="232"/>
      <c r="N1168" s="289"/>
      <c r="O1168" s="232"/>
      <c r="P1168" s="232"/>
      <c r="Q1168" s="232"/>
      <c r="R1168" s="232"/>
      <c r="S1168" s="232"/>
      <c r="T1168" s="232"/>
      <c r="U1168" s="232"/>
      <c r="V1168" s="232"/>
      <c r="W1168" s="232"/>
      <c r="X1168" s="232"/>
      <c r="Y1168" s="232"/>
      <c r="Z1168" s="232"/>
      <c r="AA1168" s="232"/>
      <c r="AB1168" s="232"/>
      <c r="AC1168" s="232"/>
      <c r="AD1168" s="232"/>
      <c r="AE1168" s="232"/>
      <c r="AF1168" s="232"/>
      <c r="AG1168" s="232"/>
      <c r="AH1168" s="232"/>
      <c r="AI1168" s="232"/>
      <c r="AJ1168" s="232"/>
      <c r="AK1168" s="232"/>
      <c r="AL1168" s="232"/>
      <c r="AM1168" s="232"/>
      <c r="AN1168" s="232"/>
      <c r="AO1168" s="232"/>
      <c r="AP1168" s="232"/>
      <c r="AQ1168" s="232"/>
      <c r="AR1168" s="232"/>
      <c r="AS1168" s="232"/>
      <c r="AT1168" s="232"/>
      <c r="AU1168" s="232"/>
      <c r="AV1168" s="232"/>
      <c r="AW1168" s="232"/>
      <c r="AX1168" s="232"/>
      <c r="AY1168" s="232"/>
      <c r="AZ1168" s="232"/>
      <c r="BA1168" s="232"/>
      <c r="BB1168" s="232"/>
      <c r="BC1168" s="232"/>
      <c r="BD1168" s="232"/>
      <c r="BE1168" s="232"/>
      <c r="BF1168" s="232"/>
      <c r="BG1168" s="232"/>
      <c r="BH1168" s="232"/>
      <c r="BI1168" s="232"/>
      <c r="BJ1168" s="232"/>
      <c r="BK1168" s="232"/>
      <c r="BL1168" s="232"/>
      <c r="BM1168" s="232"/>
      <c r="BN1168" s="232"/>
      <c r="BO1168" s="232"/>
      <c r="BP1168" s="232"/>
      <c r="BQ1168" s="232"/>
      <c r="BR1168" s="232"/>
      <c r="BS1168" s="232"/>
      <c r="BT1168" s="232"/>
      <c r="BU1168" s="232"/>
      <c r="BV1168" s="232"/>
      <c r="BW1168" s="232"/>
      <c r="BX1168" s="232"/>
      <c r="BY1168" s="232"/>
      <c r="BZ1168" s="232"/>
      <c r="CA1168" s="232"/>
      <c r="CB1168" s="232"/>
      <c r="CC1168" s="232"/>
      <c r="CD1168" s="232"/>
      <c r="CE1168" s="232"/>
      <c r="CF1168" s="232"/>
      <c r="CG1168" s="232"/>
      <c r="CH1168" s="232"/>
      <c r="CI1168" s="232"/>
      <c r="CJ1168" s="232"/>
      <c r="CK1168" s="232"/>
      <c r="CL1168" s="232"/>
      <c r="CM1168" s="232"/>
      <c r="CN1168" s="215"/>
      <c r="CO1168" s="215"/>
      <c r="CP1168" s="215"/>
      <c r="CQ1168" s="215"/>
      <c r="CR1168" s="215"/>
      <c r="CS1168" s="215"/>
      <c r="CT1168" s="215"/>
    </row>
    <row r="1169" ht="24.0" customHeight="1">
      <c r="A1169" s="287"/>
      <c r="B1169" s="287"/>
      <c r="C1169" s="287"/>
      <c r="D1169" s="232"/>
      <c r="E1169" s="232"/>
      <c r="F1169" s="232"/>
      <c r="G1169" s="232"/>
      <c r="H1169" s="232"/>
      <c r="I1169" s="232"/>
      <c r="J1169" s="232"/>
      <c r="K1169" s="232"/>
      <c r="L1169" s="232"/>
      <c r="M1169" s="232"/>
      <c r="N1169" s="289"/>
      <c r="O1169" s="232"/>
      <c r="P1169" s="232"/>
      <c r="Q1169" s="232"/>
      <c r="R1169" s="232"/>
      <c r="S1169" s="232"/>
      <c r="T1169" s="232"/>
      <c r="U1169" s="232"/>
      <c r="V1169" s="232"/>
      <c r="W1169" s="232"/>
      <c r="X1169" s="232"/>
      <c r="Y1169" s="232"/>
      <c r="Z1169" s="232"/>
      <c r="AA1169" s="232"/>
      <c r="AB1169" s="232"/>
      <c r="AC1169" s="232"/>
      <c r="AD1169" s="232"/>
      <c r="AE1169" s="232"/>
      <c r="AF1169" s="232"/>
      <c r="AG1169" s="232"/>
      <c r="AH1169" s="232"/>
      <c r="AI1169" s="232"/>
      <c r="AJ1169" s="232"/>
      <c r="AK1169" s="232"/>
      <c r="AL1169" s="232"/>
      <c r="AM1169" s="232"/>
      <c r="AN1169" s="232"/>
      <c r="AO1169" s="232"/>
      <c r="AP1169" s="232"/>
      <c r="AQ1169" s="232"/>
      <c r="AR1169" s="232"/>
      <c r="AS1169" s="232"/>
      <c r="AT1169" s="232"/>
      <c r="AU1169" s="232"/>
      <c r="AV1169" s="232"/>
      <c r="AW1169" s="232"/>
      <c r="AX1169" s="232"/>
      <c r="AY1169" s="232"/>
      <c r="AZ1169" s="232"/>
      <c r="BA1169" s="232"/>
      <c r="BB1169" s="232"/>
      <c r="BC1169" s="232"/>
      <c r="BD1169" s="232"/>
      <c r="BE1169" s="232"/>
      <c r="BF1169" s="232"/>
      <c r="BG1169" s="232"/>
      <c r="BH1169" s="232"/>
      <c r="BI1169" s="232"/>
      <c r="BJ1169" s="232"/>
      <c r="BK1169" s="232"/>
      <c r="BL1169" s="232"/>
      <c r="BM1169" s="232"/>
      <c r="BN1169" s="232"/>
      <c r="BO1169" s="232"/>
      <c r="BP1169" s="232"/>
      <c r="BQ1169" s="232"/>
      <c r="BR1169" s="232"/>
      <c r="BS1169" s="232"/>
      <c r="BT1169" s="232"/>
      <c r="BU1169" s="232"/>
      <c r="BV1169" s="232"/>
      <c r="BW1169" s="232"/>
      <c r="BX1169" s="232"/>
      <c r="BY1169" s="232"/>
      <c r="BZ1169" s="232"/>
      <c r="CA1169" s="232"/>
      <c r="CB1169" s="232"/>
      <c r="CC1169" s="232"/>
      <c r="CD1169" s="232"/>
      <c r="CE1169" s="232"/>
      <c r="CF1169" s="232"/>
      <c r="CG1169" s="232"/>
      <c r="CH1169" s="232"/>
      <c r="CI1169" s="232"/>
      <c r="CJ1169" s="232"/>
      <c r="CK1169" s="232"/>
      <c r="CL1169" s="232"/>
      <c r="CM1169" s="232"/>
      <c r="CN1169" s="215"/>
      <c r="CO1169" s="215"/>
      <c r="CP1169" s="215"/>
      <c r="CQ1169" s="215"/>
      <c r="CR1169" s="215"/>
      <c r="CS1169" s="215"/>
      <c r="CT1169" s="215"/>
    </row>
    <row r="1170" ht="24.0" customHeight="1">
      <c r="A1170" s="287"/>
      <c r="B1170" s="287"/>
      <c r="C1170" s="287"/>
      <c r="D1170" s="232"/>
      <c r="E1170" s="232"/>
      <c r="F1170" s="232"/>
      <c r="G1170" s="232"/>
      <c r="H1170" s="232"/>
      <c r="I1170" s="232"/>
      <c r="J1170" s="232"/>
      <c r="K1170" s="232"/>
      <c r="L1170" s="232"/>
      <c r="M1170" s="232"/>
      <c r="N1170" s="289"/>
      <c r="O1170" s="232"/>
      <c r="P1170" s="232"/>
      <c r="Q1170" s="232"/>
      <c r="R1170" s="232"/>
      <c r="S1170" s="232"/>
      <c r="T1170" s="232"/>
      <c r="U1170" s="232"/>
      <c r="V1170" s="232"/>
      <c r="W1170" s="232"/>
      <c r="X1170" s="232"/>
      <c r="Y1170" s="232"/>
      <c r="Z1170" s="232"/>
      <c r="AA1170" s="232"/>
      <c r="AB1170" s="232"/>
      <c r="AC1170" s="232"/>
      <c r="AD1170" s="232"/>
      <c r="AE1170" s="232"/>
      <c r="AF1170" s="232"/>
      <c r="AG1170" s="232"/>
      <c r="AH1170" s="232"/>
      <c r="AI1170" s="232"/>
      <c r="AJ1170" s="232"/>
      <c r="AK1170" s="232"/>
      <c r="AL1170" s="232"/>
      <c r="AM1170" s="232"/>
      <c r="AN1170" s="232"/>
      <c r="AO1170" s="232"/>
      <c r="AP1170" s="232"/>
      <c r="AQ1170" s="232"/>
      <c r="AR1170" s="232"/>
      <c r="AS1170" s="232"/>
      <c r="AT1170" s="232"/>
      <c r="AU1170" s="232"/>
      <c r="AV1170" s="232"/>
      <c r="AW1170" s="232"/>
      <c r="AX1170" s="232"/>
      <c r="AY1170" s="232"/>
      <c r="AZ1170" s="232"/>
      <c r="BA1170" s="232"/>
      <c r="BB1170" s="232"/>
      <c r="BC1170" s="232"/>
      <c r="BD1170" s="232"/>
      <c r="BE1170" s="232"/>
      <c r="BF1170" s="232"/>
      <c r="BG1170" s="232"/>
      <c r="BH1170" s="232"/>
      <c r="BI1170" s="232"/>
      <c r="BJ1170" s="232"/>
      <c r="BK1170" s="232"/>
      <c r="BL1170" s="232"/>
      <c r="BM1170" s="232"/>
      <c r="BN1170" s="232"/>
      <c r="BO1170" s="232"/>
      <c r="BP1170" s="232"/>
      <c r="BQ1170" s="232"/>
      <c r="BR1170" s="232"/>
      <c r="BS1170" s="232"/>
      <c r="BT1170" s="232"/>
      <c r="BU1170" s="232"/>
      <c r="BV1170" s="232"/>
      <c r="BW1170" s="232"/>
      <c r="BX1170" s="232"/>
      <c r="BY1170" s="232"/>
      <c r="BZ1170" s="232"/>
      <c r="CA1170" s="232"/>
      <c r="CB1170" s="232"/>
      <c r="CC1170" s="232"/>
      <c r="CD1170" s="232"/>
      <c r="CE1170" s="232"/>
      <c r="CF1170" s="232"/>
      <c r="CG1170" s="232"/>
      <c r="CH1170" s="232"/>
      <c r="CI1170" s="232"/>
      <c r="CJ1170" s="232"/>
      <c r="CK1170" s="232"/>
      <c r="CL1170" s="232"/>
      <c r="CM1170" s="232"/>
      <c r="CN1170" s="215"/>
      <c r="CO1170" s="215"/>
      <c r="CP1170" s="215"/>
      <c r="CQ1170" s="215"/>
      <c r="CR1170" s="215"/>
      <c r="CS1170" s="215"/>
      <c r="CT1170" s="215"/>
    </row>
    <row r="1171" ht="24.0" customHeight="1">
      <c r="A1171" s="287"/>
      <c r="B1171" s="287"/>
      <c r="C1171" s="287"/>
      <c r="D1171" s="232"/>
      <c r="E1171" s="232"/>
      <c r="F1171" s="232"/>
      <c r="G1171" s="232"/>
      <c r="H1171" s="232"/>
      <c r="I1171" s="232"/>
      <c r="J1171" s="232"/>
      <c r="K1171" s="232"/>
      <c r="L1171" s="232"/>
      <c r="M1171" s="232"/>
      <c r="N1171" s="289"/>
      <c r="O1171" s="232"/>
      <c r="P1171" s="232"/>
      <c r="Q1171" s="232"/>
      <c r="R1171" s="232"/>
      <c r="S1171" s="232"/>
      <c r="T1171" s="232"/>
      <c r="U1171" s="232"/>
      <c r="V1171" s="232"/>
      <c r="W1171" s="232"/>
      <c r="X1171" s="232"/>
      <c r="Y1171" s="232"/>
      <c r="Z1171" s="232"/>
      <c r="AA1171" s="232"/>
      <c r="AB1171" s="232"/>
      <c r="AC1171" s="232"/>
      <c r="AD1171" s="232"/>
      <c r="AE1171" s="232"/>
      <c r="AF1171" s="232"/>
      <c r="AG1171" s="232"/>
      <c r="AH1171" s="232"/>
      <c r="AI1171" s="232"/>
      <c r="AJ1171" s="232"/>
      <c r="AK1171" s="232"/>
      <c r="AL1171" s="232"/>
      <c r="AM1171" s="232"/>
      <c r="AN1171" s="232"/>
      <c r="AO1171" s="232"/>
      <c r="AP1171" s="232"/>
      <c r="AQ1171" s="232"/>
      <c r="AR1171" s="232"/>
      <c r="AS1171" s="232"/>
      <c r="AT1171" s="232"/>
      <c r="AU1171" s="232"/>
      <c r="AV1171" s="232"/>
      <c r="AW1171" s="232"/>
      <c r="AX1171" s="232"/>
      <c r="AY1171" s="232"/>
      <c r="AZ1171" s="232"/>
      <c r="BA1171" s="232"/>
      <c r="BB1171" s="232"/>
      <c r="BC1171" s="232"/>
      <c r="BD1171" s="232"/>
      <c r="BE1171" s="232"/>
      <c r="BF1171" s="232"/>
      <c r="BG1171" s="232"/>
      <c r="BH1171" s="232"/>
      <c r="BI1171" s="232"/>
      <c r="BJ1171" s="232"/>
      <c r="BK1171" s="232"/>
      <c r="BL1171" s="232"/>
      <c r="BM1171" s="232"/>
      <c r="BN1171" s="232"/>
      <c r="BO1171" s="232"/>
      <c r="BP1171" s="232"/>
      <c r="BQ1171" s="232"/>
      <c r="BR1171" s="232"/>
      <c r="BS1171" s="232"/>
      <c r="BT1171" s="232"/>
      <c r="BU1171" s="232"/>
      <c r="BV1171" s="232"/>
      <c r="BW1171" s="232"/>
      <c r="BX1171" s="232"/>
      <c r="BY1171" s="232"/>
      <c r="BZ1171" s="232"/>
      <c r="CA1171" s="232"/>
      <c r="CB1171" s="232"/>
      <c r="CC1171" s="232"/>
      <c r="CD1171" s="232"/>
      <c r="CE1171" s="232"/>
      <c r="CF1171" s="232"/>
      <c r="CG1171" s="232"/>
      <c r="CH1171" s="232"/>
      <c r="CI1171" s="232"/>
      <c r="CJ1171" s="232"/>
      <c r="CK1171" s="232"/>
      <c r="CL1171" s="232"/>
      <c r="CM1171" s="232"/>
      <c r="CN1171" s="215"/>
      <c r="CO1171" s="215"/>
      <c r="CP1171" s="215"/>
      <c r="CQ1171" s="215"/>
      <c r="CR1171" s="215"/>
      <c r="CS1171" s="215"/>
      <c r="CT1171" s="215"/>
    </row>
    <row r="1172" ht="24.0" customHeight="1">
      <c r="A1172" s="287"/>
      <c r="B1172" s="287"/>
      <c r="C1172" s="287"/>
      <c r="D1172" s="232"/>
      <c r="E1172" s="232"/>
      <c r="F1172" s="232"/>
      <c r="G1172" s="232"/>
      <c r="H1172" s="232"/>
      <c r="I1172" s="232"/>
      <c r="J1172" s="232"/>
      <c r="K1172" s="232"/>
      <c r="L1172" s="232"/>
      <c r="M1172" s="232"/>
      <c r="N1172" s="289"/>
      <c r="O1172" s="232"/>
      <c r="P1172" s="232"/>
      <c r="Q1172" s="232"/>
      <c r="R1172" s="232"/>
      <c r="S1172" s="232"/>
      <c r="T1172" s="232"/>
      <c r="U1172" s="232"/>
      <c r="V1172" s="232"/>
      <c r="W1172" s="232"/>
      <c r="X1172" s="232"/>
      <c r="Y1172" s="232"/>
      <c r="Z1172" s="232"/>
      <c r="AA1172" s="232"/>
      <c r="AB1172" s="232"/>
      <c r="AC1172" s="232"/>
      <c r="AD1172" s="232"/>
      <c r="AE1172" s="232"/>
      <c r="AF1172" s="232"/>
      <c r="AG1172" s="232"/>
      <c r="AH1172" s="232"/>
      <c r="AI1172" s="232"/>
      <c r="AJ1172" s="232"/>
      <c r="AK1172" s="232"/>
      <c r="AL1172" s="232"/>
      <c r="AM1172" s="232"/>
      <c r="AN1172" s="232"/>
      <c r="AO1172" s="232"/>
      <c r="AP1172" s="232"/>
      <c r="AQ1172" s="232"/>
      <c r="AR1172" s="232"/>
      <c r="AS1172" s="232"/>
      <c r="AT1172" s="232"/>
      <c r="AU1172" s="232"/>
      <c r="AV1172" s="232"/>
      <c r="AW1172" s="232"/>
      <c r="AX1172" s="232"/>
      <c r="AY1172" s="232"/>
      <c r="AZ1172" s="232"/>
      <c r="BA1172" s="232"/>
      <c r="BB1172" s="232"/>
      <c r="BC1172" s="232"/>
      <c r="BD1172" s="232"/>
      <c r="BE1172" s="232"/>
      <c r="BF1172" s="232"/>
      <c r="BG1172" s="232"/>
      <c r="BH1172" s="232"/>
      <c r="BI1172" s="232"/>
      <c r="BJ1172" s="232"/>
      <c r="BK1172" s="232"/>
      <c r="BL1172" s="232"/>
      <c r="BM1172" s="232"/>
      <c r="BN1172" s="232"/>
      <c r="BO1172" s="232"/>
      <c r="BP1172" s="232"/>
      <c r="BQ1172" s="232"/>
      <c r="BR1172" s="232"/>
      <c r="BS1172" s="232"/>
      <c r="BT1172" s="232"/>
      <c r="BU1172" s="232"/>
      <c r="BV1172" s="232"/>
      <c r="BW1172" s="232"/>
      <c r="BX1172" s="232"/>
      <c r="BY1172" s="232"/>
      <c r="BZ1172" s="232"/>
      <c r="CA1172" s="232"/>
      <c r="CB1172" s="232"/>
      <c r="CC1172" s="232"/>
      <c r="CD1172" s="232"/>
      <c r="CE1172" s="232"/>
      <c r="CF1172" s="232"/>
      <c r="CG1172" s="232"/>
      <c r="CH1172" s="232"/>
      <c r="CI1172" s="232"/>
      <c r="CJ1172" s="232"/>
      <c r="CK1172" s="232"/>
      <c r="CL1172" s="232"/>
      <c r="CM1172" s="232"/>
      <c r="CN1172" s="215"/>
      <c r="CO1172" s="215"/>
      <c r="CP1172" s="215"/>
      <c r="CQ1172" s="215"/>
      <c r="CR1172" s="215"/>
      <c r="CS1172" s="215"/>
      <c r="CT1172" s="215"/>
    </row>
    <row r="1173" ht="24.0" customHeight="1">
      <c r="A1173" s="287"/>
      <c r="B1173" s="287"/>
      <c r="C1173" s="287"/>
      <c r="D1173" s="232"/>
      <c r="E1173" s="232"/>
      <c r="F1173" s="232"/>
      <c r="G1173" s="232"/>
      <c r="H1173" s="232"/>
      <c r="I1173" s="232"/>
      <c r="J1173" s="232"/>
      <c r="K1173" s="232"/>
      <c r="L1173" s="232"/>
      <c r="M1173" s="232"/>
      <c r="N1173" s="289"/>
      <c r="O1173" s="232"/>
      <c r="P1173" s="232"/>
      <c r="Q1173" s="232"/>
      <c r="R1173" s="232"/>
      <c r="S1173" s="232"/>
      <c r="T1173" s="232"/>
      <c r="U1173" s="232"/>
      <c r="V1173" s="232"/>
      <c r="W1173" s="232"/>
      <c r="X1173" s="232"/>
      <c r="Y1173" s="232"/>
      <c r="Z1173" s="232"/>
      <c r="AA1173" s="232"/>
      <c r="AB1173" s="232"/>
      <c r="AC1173" s="232"/>
      <c r="AD1173" s="232"/>
      <c r="AE1173" s="232"/>
      <c r="AF1173" s="232"/>
      <c r="AG1173" s="232"/>
      <c r="AH1173" s="232"/>
      <c r="AI1173" s="232"/>
      <c r="AJ1173" s="232"/>
      <c r="AK1173" s="232"/>
      <c r="AL1173" s="232"/>
      <c r="AM1173" s="232"/>
      <c r="AN1173" s="232"/>
      <c r="AO1173" s="232"/>
      <c r="AP1173" s="232"/>
      <c r="AQ1173" s="232"/>
      <c r="AR1173" s="232"/>
      <c r="AS1173" s="232"/>
      <c r="AT1173" s="232"/>
      <c r="AU1173" s="232"/>
      <c r="AV1173" s="232"/>
      <c r="AW1173" s="232"/>
      <c r="AX1173" s="232"/>
      <c r="AY1173" s="232"/>
      <c r="AZ1173" s="232"/>
      <c r="BA1173" s="232"/>
      <c r="BB1173" s="232"/>
      <c r="BC1173" s="232"/>
      <c r="BD1173" s="232"/>
      <c r="BE1173" s="232"/>
      <c r="BF1173" s="232"/>
      <c r="BG1173" s="232"/>
      <c r="BH1173" s="232"/>
      <c r="BI1173" s="232"/>
      <c r="BJ1173" s="232"/>
      <c r="BK1173" s="232"/>
      <c r="BL1173" s="232"/>
      <c r="BM1173" s="232"/>
      <c r="BN1173" s="232"/>
      <c r="BO1173" s="232"/>
      <c r="BP1173" s="232"/>
      <c r="BQ1173" s="232"/>
      <c r="BR1173" s="232"/>
      <c r="BS1173" s="232"/>
      <c r="BT1173" s="232"/>
      <c r="BU1173" s="232"/>
      <c r="BV1173" s="232"/>
      <c r="BW1173" s="232"/>
      <c r="BX1173" s="232"/>
      <c r="BY1173" s="232"/>
      <c r="BZ1173" s="232"/>
      <c r="CA1173" s="232"/>
      <c r="CB1173" s="232"/>
      <c r="CC1173" s="232"/>
      <c r="CD1173" s="232"/>
      <c r="CE1173" s="232"/>
      <c r="CF1173" s="232"/>
      <c r="CG1173" s="232"/>
      <c r="CH1173" s="232"/>
      <c r="CI1173" s="232"/>
      <c r="CJ1173" s="232"/>
      <c r="CK1173" s="232"/>
      <c r="CL1173" s="232"/>
      <c r="CM1173" s="232"/>
      <c r="CN1173" s="215"/>
      <c r="CO1173" s="215"/>
      <c r="CP1173" s="215"/>
      <c r="CQ1173" s="215"/>
      <c r="CR1173" s="215"/>
      <c r="CS1173" s="215"/>
      <c r="CT1173" s="215"/>
    </row>
    <row r="1174" ht="24.0" customHeight="1">
      <c r="A1174" s="287"/>
      <c r="B1174" s="287"/>
      <c r="C1174" s="287"/>
      <c r="D1174" s="232"/>
      <c r="E1174" s="232"/>
      <c r="F1174" s="232"/>
      <c r="G1174" s="232"/>
      <c r="H1174" s="232"/>
      <c r="I1174" s="232"/>
      <c r="J1174" s="232"/>
      <c r="K1174" s="232"/>
      <c r="L1174" s="232"/>
      <c r="M1174" s="232"/>
      <c r="N1174" s="289"/>
      <c r="O1174" s="232"/>
      <c r="P1174" s="232"/>
      <c r="Q1174" s="232"/>
      <c r="R1174" s="232"/>
      <c r="S1174" s="232"/>
      <c r="T1174" s="232"/>
      <c r="U1174" s="232"/>
      <c r="V1174" s="232"/>
      <c r="W1174" s="232"/>
      <c r="X1174" s="232"/>
      <c r="Y1174" s="232"/>
      <c r="Z1174" s="232"/>
      <c r="AA1174" s="232"/>
      <c r="AB1174" s="232"/>
      <c r="AC1174" s="232"/>
      <c r="AD1174" s="232"/>
      <c r="AE1174" s="232"/>
      <c r="AF1174" s="232"/>
      <c r="AG1174" s="232"/>
      <c r="AH1174" s="232"/>
      <c r="AI1174" s="232"/>
      <c r="AJ1174" s="232"/>
      <c r="AK1174" s="232"/>
      <c r="AL1174" s="232"/>
      <c r="AM1174" s="232"/>
      <c r="AN1174" s="232"/>
      <c r="AO1174" s="232"/>
      <c r="AP1174" s="232"/>
      <c r="AQ1174" s="232"/>
      <c r="AR1174" s="232"/>
      <c r="AS1174" s="232"/>
      <c r="AT1174" s="232"/>
      <c r="AU1174" s="232"/>
      <c r="AV1174" s="232"/>
      <c r="AW1174" s="232"/>
      <c r="AX1174" s="232"/>
      <c r="AY1174" s="232"/>
      <c r="AZ1174" s="232"/>
      <c r="BA1174" s="232"/>
      <c r="BB1174" s="232"/>
      <c r="BC1174" s="232"/>
      <c r="BD1174" s="232"/>
      <c r="BE1174" s="232"/>
      <c r="BF1174" s="232"/>
      <c r="BG1174" s="232"/>
      <c r="BH1174" s="232"/>
      <c r="BI1174" s="232"/>
      <c r="BJ1174" s="232"/>
      <c r="BK1174" s="232"/>
      <c r="BL1174" s="232"/>
      <c r="BM1174" s="232"/>
      <c r="BN1174" s="232"/>
      <c r="BO1174" s="232"/>
      <c r="BP1174" s="232"/>
      <c r="BQ1174" s="232"/>
      <c r="BR1174" s="232"/>
      <c r="BS1174" s="232"/>
      <c r="BT1174" s="232"/>
      <c r="BU1174" s="232"/>
      <c r="BV1174" s="232"/>
      <c r="BW1174" s="232"/>
      <c r="BX1174" s="232"/>
      <c r="BY1174" s="232"/>
      <c r="BZ1174" s="232"/>
      <c r="CA1174" s="232"/>
      <c r="CB1174" s="232"/>
      <c r="CC1174" s="232"/>
      <c r="CD1174" s="232"/>
      <c r="CE1174" s="232"/>
      <c r="CF1174" s="232"/>
      <c r="CG1174" s="232"/>
      <c r="CH1174" s="232"/>
      <c r="CI1174" s="232"/>
      <c r="CJ1174" s="232"/>
      <c r="CK1174" s="232"/>
      <c r="CL1174" s="232"/>
      <c r="CM1174" s="232"/>
      <c r="CN1174" s="215"/>
      <c r="CO1174" s="215"/>
      <c r="CP1174" s="215"/>
      <c r="CQ1174" s="215"/>
      <c r="CR1174" s="215"/>
      <c r="CS1174" s="215"/>
      <c r="CT1174" s="215"/>
    </row>
    <row r="1175" ht="24.0" customHeight="1">
      <c r="A1175" s="287"/>
      <c r="B1175" s="287"/>
      <c r="C1175" s="287"/>
      <c r="D1175" s="232"/>
      <c r="E1175" s="232"/>
      <c r="F1175" s="232"/>
      <c r="G1175" s="232"/>
      <c r="H1175" s="232"/>
      <c r="I1175" s="232"/>
      <c r="J1175" s="232"/>
      <c r="K1175" s="232"/>
      <c r="L1175" s="232"/>
      <c r="M1175" s="232"/>
      <c r="N1175" s="289"/>
      <c r="O1175" s="232"/>
      <c r="P1175" s="232"/>
      <c r="Q1175" s="232"/>
      <c r="R1175" s="232"/>
      <c r="S1175" s="232"/>
      <c r="T1175" s="232"/>
      <c r="U1175" s="232"/>
      <c r="V1175" s="232"/>
      <c r="W1175" s="232"/>
      <c r="X1175" s="232"/>
      <c r="Y1175" s="232"/>
      <c r="Z1175" s="232"/>
      <c r="AA1175" s="232"/>
      <c r="AB1175" s="232"/>
      <c r="AC1175" s="232"/>
      <c r="AD1175" s="232"/>
      <c r="AE1175" s="232"/>
      <c r="AF1175" s="232"/>
      <c r="AG1175" s="232"/>
      <c r="AH1175" s="232"/>
      <c r="AI1175" s="232"/>
      <c r="AJ1175" s="232"/>
      <c r="AK1175" s="232"/>
      <c r="AL1175" s="232"/>
      <c r="AM1175" s="232"/>
      <c r="AN1175" s="232"/>
      <c r="AO1175" s="232"/>
      <c r="AP1175" s="232"/>
      <c r="AQ1175" s="232"/>
      <c r="AR1175" s="232"/>
      <c r="AS1175" s="232"/>
      <c r="AT1175" s="232"/>
      <c r="AU1175" s="232"/>
      <c r="AV1175" s="232"/>
      <c r="AW1175" s="232"/>
      <c r="AX1175" s="232"/>
      <c r="AY1175" s="232"/>
      <c r="AZ1175" s="232"/>
      <c r="BA1175" s="232"/>
      <c r="BB1175" s="232"/>
      <c r="BC1175" s="232"/>
      <c r="BD1175" s="232"/>
      <c r="BE1175" s="232"/>
      <c r="BF1175" s="232"/>
      <c r="BG1175" s="232"/>
      <c r="BH1175" s="232"/>
      <c r="BI1175" s="232"/>
      <c r="BJ1175" s="232"/>
      <c r="BK1175" s="232"/>
      <c r="BL1175" s="232"/>
      <c r="BM1175" s="232"/>
      <c r="BN1175" s="232"/>
      <c r="BO1175" s="232"/>
      <c r="BP1175" s="232"/>
      <c r="BQ1175" s="232"/>
      <c r="BR1175" s="232"/>
      <c r="BS1175" s="232"/>
      <c r="BT1175" s="232"/>
      <c r="BU1175" s="232"/>
      <c r="BV1175" s="232"/>
      <c r="BW1175" s="232"/>
      <c r="BX1175" s="232"/>
      <c r="BY1175" s="232"/>
      <c r="BZ1175" s="232"/>
      <c r="CA1175" s="232"/>
      <c r="CB1175" s="232"/>
      <c r="CC1175" s="232"/>
      <c r="CD1175" s="232"/>
      <c r="CE1175" s="232"/>
      <c r="CF1175" s="232"/>
      <c r="CG1175" s="232"/>
      <c r="CH1175" s="232"/>
      <c r="CI1175" s="232"/>
      <c r="CJ1175" s="232"/>
      <c r="CK1175" s="232"/>
      <c r="CL1175" s="232"/>
      <c r="CM1175" s="232"/>
      <c r="CN1175" s="215"/>
      <c r="CO1175" s="215"/>
      <c r="CP1175" s="215"/>
      <c r="CQ1175" s="215"/>
      <c r="CR1175" s="215"/>
      <c r="CS1175" s="215"/>
      <c r="CT1175" s="215"/>
    </row>
    <row r="1176" ht="24.0" customHeight="1">
      <c r="A1176" s="287"/>
      <c r="B1176" s="287"/>
      <c r="C1176" s="287"/>
      <c r="D1176" s="232"/>
      <c r="E1176" s="232"/>
      <c r="F1176" s="232"/>
      <c r="G1176" s="232"/>
      <c r="H1176" s="232"/>
      <c r="I1176" s="232"/>
      <c r="J1176" s="232"/>
      <c r="K1176" s="232"/>
      <c r="L1176" s="232"/>
      <c r="M1176" s="232"/>
      <c r="N1176" s="289"/>
      <c r="O1176" s="232"/>
      <c r="P1176" s="232"/>
      <c r="Q1176" s="232"/>
      <c r="R1176" s="232"/>
      <c r="S1176" s="232"/>
      <c r="T1176" s="232"/>
      <c r="U1176" s="232"/>
      <c r="V1176" s="232"/>
      <c r="W1176" s="232"/>
      <c r="X1176" s="232"/>
      <c r="Y1176" s="232"/>
      <c r="Z1176" s="232"/>
      <c r="AA1176" s="232"/>
      <c r="AB1176" s="232"/>
      <c r="AC1176" s="232"/>
      <c r="AD1176" s="232"/>
      <c r="AE1176" s="232"/>
      <c r="AF1176" s="232"/>
      <c r="AG1176" s="232"/>
      <c r="AH1176" s="232"/>
      <c r="AI1176" s="232"/>
      <c r="AJ1176" s="232"/>
      <c r="AK1176" s="232"/>
      <c r="AL1176" s="232"/>
      <c r="AM1176" s="232"/>
      <c r="AN1176" s="232"/>
      <c r="AO1176" s="232"/>
      <c r="AP1176" s="232"/>
      <c r="AQ1176" s="232"/>
      <c r="AR1176" s="232"/>
      <c r="AS1176" s="232"/>
      <c r="AT1176" s="232"/>
      <c r="AU1176" s="232"/>
      <c r="AV1176" s="232"/>
      <c r="AW1176" s="232"/>
      <c r="AX1176" s="232"/>
      <c r="AY1176" s="232"/>
      <c r="AZ1176" s="232"/>
      <c r="BA1176" s="232"/>
      <c r="BB1176" s="232"/>
      <c r="BC1176" s="232"/>
      <c r="BD1176" s="232"/>
      <c r="BE1176" s="232"/>
      <c r="BF1176" s="232"/>
      <c r="BG1176" s="232"/>
      <c r="BH1176" s="232"/>
      <c r="BI1176" s="232"/>
      <c r="BJ1176" s="232"/>
      <c r="BK1176" s="232"/>
      <c r="BL1176" s="232"/>
      <c r="BM1176" s="232"/>
      <c r="BN1176" s="232"/>
      <c r="BO1176" s="232"/>
      <c r="BP1176" s="232"/>
      <c r="BQ1176" s="232"/>
      <c r="BR1176" s="232"/>
      <c r="BS1176" s="232"/>
      <c r="BT1176" s="232"/>
      <c r="BU1176" s="232"/>
      <c r="BV1176" s="232"/>
      <c r="BW1176" s="232"/>
      <c r="BX1176" s="232"/>
      <c r="BY1176" s="232"/>
      <c r="BZ1176" s="232"/>
      <c r="CA1176" s="232"/>
      <c r="CB1176" s="232"/>
      <c r="CC1176" s="232"/>
      <c r="CD1176" s="232"/>
      <c r="CE1176" s="232"/>
      <c r="CF1176" s="232"/>
      <c r="CG1176" s="232"/>
      <c r="CH1176" s="232"/>
      <c r="CI1176" s="232"/>
      <c r="CJ1176" s="232"/>
      <c r="CK1176" s="232"/>
      <c r="CL1176" s="232"/>
      <c r="CM1176" s="232"/>
      <c r="CN1176" s="215"/>
      <c r="CO1176" s="215"/>
      <c r="CP1176" s="215"/>
      <c r="CQ1176" s="215"/>
      <c r="CR1176" s="215"/>
      <c r="CS1176" s="215"/>
      <c r="CT1176" s="215"/>
    </row>
    <row r="1177" ht="24.0" customHeight="1">
      <c r="A1177" s="287"/>
      <c r="B1177" s="287"/>
      <c r="C1177" s="287"/>
      <c r="D1177" s="232"/>
      <c r="E1177" s="232"/>
      <c r="F1177" s="232"/>
      <c r="G1177" s="232"/>
      <c r="H1177" s="232"/>
      <c r="I1177" s="232"/>
      <c r="J1177" s="232"/>
      <c r="K1177" s="232"/>
      <c r="L1177" s="232"/>
      <c r="M1177" s="232"/>
      <c r="N1177" s="289"/>
      <c r="O1177" s="232"/>
      <c r="P1177" s="232"/>
      <c r="Q1177" s="232"/>
      <c r="R1177" s="232"/>
      <c r="S1177" s="232"/>
      <c r="T1177" s="232"/>
      <c r="U1177" s="232"/>
      <c r="V1177" s="232"/>
      <c r="W1177" s="232"/>
      <c r="X1177" s="232"/>
      <c r="Y1177" s="232"/>
      <c r="Z1177" s="232"/>
      <c r="AA1177" s="232"/>
      <c r="AB1177" s="232"/>
      <c r="AC1177" s="232"/>
      <c r="AD1177" s="232"/>
      <c r="AE1177" s="232"/>
      <c r="AF1177" s="232"/>
      <c r="AG1177" s="232"/>
      <c r="AH1177" s="232"/>
      <c r="AI1177" s="232"/>
      <c r="AJ1177" s="232"/>
      <c r="AK1177" s="232"/>
      <c r="AL1177" s="232"/>
      <c r="AM1177" s="232"/>
      <c r="AN1177" s="232"/>
      <c r="AO1177" s="232"/>
      <c r="AP1177" s="232"/>
      <c r="AQ1177" s="232"/>
      <c r="AR1177" s="232"/>
      <c r="AS1177" s="232"/>
      <c r="AT1177" s="232"/>
      <c r="AU1177" s="232"/>
      <c r="AV1177" s="232"/>
      <c r="AW1177" s="232"/>
      <c r="AX1177" s="232"/>
      <c r="AY1177" s="232"/>
      <c r="AZ1177" s="232"/>
      <c r="BA1177" s="232"/>
      <c r="BB1177" s="232"/>
      <c r="BC1177" s="232"/>
      <c r="BD1177" s="232"/>
      <c r="BE1177" s="232"/>
      <c r="BF1177" s="232"/>
      <c r="BG1177" s="232"/>
      <c r="BH1177" s="232"/>
      <c r="BI1177" s="232"/>
      <c r="BJ1177" s="232"/>
      <c r="BK1177" s="232"/>
      <c r="BL1177" s="232"/>
      <c r="BM1177" s="232"/>
      <c r="BN1177" s="232"/>
      <c r="BO1177" s="232"/>
      <c r="BP1177" s="232"/>
      <c r="BQ1177" s="232"/>
      <c r="BR1177" s="232"/>
      <c r="BS1177" s="232"/>
      <c r="BT1177" s="232"/>
      <c r="BU1177" s="232"/>
      <c r="BV1177" s="232"/>
      <c r="BW1177" s="232"/>
      <c r="BX1177" s="232"/>
      <c r="BY1177" s="232"/>
      <c r="BZ1177" s="232"/>
      <c r="CA1177" s="232"/>
      <c r="CB1177" s="232"/>
      <c r="CC1177" s="232"/>
      <c r="CD1177" s="232"/>
      <c r="CE1177" s="232"/>
      <c r="CF1177" s="232"/>
      <c r="CG1177" s="232"/>
      <c r="CH1177" s="232"/>
      <c r="CI1177" s="232"/>
      <c r="CJ1177" s="232"/>
      <c r="CK1177" s="232"/>
      <c r="CL1177" s="232"/>
      <c r="CM1177" s="232"/>
      <c r="CN1177" s="215"/>
      <c r="CO1177" s="215"/>
      <c r="CP1177" s="215"/>
      <c r="CQ1177" s="215"/>
      <c r="CR1177" s="215"/>
      <c r="CS1177" s="215"/>
      <c r="CT1177" s="215"/>
    </row>
    <row r="1178" ht="24.0" customHeight="1">
      <c r="A1178" s="287"/>
      <c r="B1178" s="287"/>
      <c r="C1178" s="287"/>
      <c r="D1178" s="232"/>
      <c r="E1178" s="232"/>
      <c r="F1178" s="232"/>
      <c r="G1178" s="232"/>
      <c r="H1178" s="232"/>
      <c r="I1178" s="232"/>
      <c r="J1178" s="232"/>
      <c r="K1178" s="232"/>
      <c r="L1178" s="232"/>
      <c r="M1178" s="232"/>
      <c r="N1178" s="289"/>
      <c r="O1178" s="232"/>
      <c r="P1178" s="232"/>
      <c r="Q1178" s="232"/>
      <c r="R1178" s="232"/>
      <c r="S1178" s="232"/>
      <c r="T1178" s="232"/>
      <c r="U1178" s="232"/>
      <c r="V1178" s="232"/>
      <c r="W1178" s="232"/>
      <c r="X1178" s="232"/>
      <c r="Y1178" s="232"/>
      <c r="Z1178" s="232"/>
      <c r="AA1178" s="232"/>
      <c r="AB1178" s="232"/>
      <c r="AC1178" s="232"/>
      <c r="AD1178" s="232"/>
      <c r="AE1178" s="232"/>
      <c r="AF1178" s="232"/>
      <c r="AG1178" s="232"/>
      <c r="AH1178" s="232"/>
      <c r="AI1178" s="232"/>
      <c r="AJ1178" s="232"/>
      <c r="AK1178" s="232"/>
      <c r="AL1178" s="232"/>
      <c r="AM1178" s="232"/>
      <c r="AN1178" s="232"/>
      <c r="AO1178" s="232"/>
      <c r="AP1178" s="232"/>
      <c r="AQ1178" s="232"/>
      <c r="AR1178" s="232"/>
      <c r="AS1178" s="232"/>
      <c r="AT1178" s="232"/>
      <c r="AU1178" s="232"/>
      <c r="AV1178" s="232"/>
      <c r="AW1178" s="232"/>
      <c r="AX1178" s="232"/>
      <c r="AY1178" s="232"/>
      <c r="AZ1178" s="232"/>
      <c r="BA1178" s="232"/>
      <c r="BB1178" s="232"/>
      <c r="BC1178" s="232"/>
      <c r="BD1178" s="232"/>
      <c r="BE1178" s="232"/>
      <c r="BF1178" s="232"/>
      <c r="BG1178" s="232"/>
      <c r="BH1178" s="232"/>
      <c r="BI1178" s="232"/>
      <c r="BJ1178" s="232"/>
      <c r="BK1178" s="232"/>
      <c r="BL1178" s="232"/>
      <c r="BM1178" s="232"/>
      <c r="BN1178" s="232"/>
      <c r="BO1178" s="232"/>
      <c r="BP1178" s="232"/>
      <c r="BQ1178" s="232"/>
      <c r="BR1178" s="232"/>
      <c r="BS1178" s="232"/>
      <c r="BT1178" s="232"/>
      <c r="BU1178" s="232"/>
      <c r="BV1178" s="232"/>
      <c r="BW1178" s="232"/>
      <c r="BX1178" s="232"/>
      <c r="BY1178" s="232"/>
      <c r="BZ1178" s="232"/>
      <c r="CA1178" s="232"/>
      <c r="CB1178" s="232"/>
      <c r="CC1178" s="232"/>
      <c r="CD1178" s="232"/>
      <c r="CE1178" s="232"/>
      <c r="CF1178" s="232"/>
      <c r="CG1178" s="232"/>
      <c r="CH1178" s="232"/>
      <c r="CI1178" s="232"/>
      <c r="CJ1178" s="232"/>
      <c r="CK1178" s="232"/>
      <c r="CL1178" s="232"/>
      <c r="CM1178" s="232"/>
      <c r="CN1178" s="215"/>
      <c r="CO1178" s="215"/>
      <c r="CP1178" s="215"/>
      <c r="CQ1178" s="215"/>
      <c r="CR1178" s="215"/>
      <c r="CS1178" s="215"/>
      <c r="CT1178" s="215"/>
    </row>
    <row r="1179" ht="24.0" customHeight="1">
      <c r="A1179" s="287"/>
      <c r="B1179" s="287"/>
      <c r="C1179" s="287"/>
      <c r="D1179" s="232"/>
      <c r="E1179" s="232"/>
      <c r="F1179" s="232"/>
      <c r="G1179" s="232"/>
      <c r="H1179" s="232"/>
      <c r="I1179" s="232"/>
      <c r="J1179" s="232"/>
      <c r="K1179" s="232"/>
      <c r="L1179" s="232"/>
      <c r="M1179" s="232"/>
      <c r="N1179" s="289"/>
      <c r="O1179" s="232"/>
      <c r="P1179" s="232"/>
      <c r="Q1179" s="232"/>
      <c r="R1179" s="232"/>
      <c r="S1179" s="232"/>
      <c r="T1179" s="232"/>
      <c r="U1179" s="232"/>
      <c r="V1179" s="232"/>
      <c r="W1179" s="232"/>
      <c r="X1179" s="232"/>
      <c r="Y1179" s="232"/>
      <c r="Z1179" s="232"/>
      <c r="AA1179" s="232"/>
      <c r="AB1179" s="232"/>
      <c r="AC1179" s="232"/>
      <c r="AD1179" s="232"/>
      <c r="AE1179" s="232"/>
      <c r="AF1179" s="232"/>
      <c r="AG1179" s="232"/>
      <c r="AH1179" s="232"/>
      <c r="AI1179" s="232"/>
      <c r="AJ1179" s="232"/>
      <c r="AK1179" s="232"/>
      <c r="AL1179" s="232"/>
      <c r="AM1179" s="232"/>
      <c r="AN1179" s="232"/>
      <c r="AO1179" s="232"/>
      <c r="AP1179" s="232"/>
      <c r="AQ1179" s="232"/>
      <c r="AR1179" s="232"/>
      <c r="AS1179" s="232"/>
      <c r="AT1179" s="232"/>
      <c r="AU1179" s="232"/>
      <c r="AV1179" s="232"/>
      <c r="AW1179" s="232"/>
      <c r="AX1179" s="232"/>
      <c r="AY1179" s="232"/>
      <c r="AZ1179" s="232"/>
      <c r="BA1179" s="232"/>
      <c r="BB1179" s="232"/>
      <c r="BC1179" s="232"/>
      <c r="BD1179" s="232"/>
      <c r="BE1179" s="232"/>
      <c r="BF1179" s="232"/>
      <c r="BG1179" s="232"/>
      <c r="BH1179" s="232"/>
      <c r="BI1179" s="232"/>
      <c r="BJ1179" s="232"/>
      <c r="BK1179" s="232"/>
      <c r="BL1179" s="232"/>
      <c r="BM1179" s="232"/>
      <c r="BN1179" s="232"/>
      <c r="BO1179" s="232"/>
      <c r="BP1179" s="232"/>
      <c r="BQ1179" s="232"/>
      <c r="BR1179" s="232"/>
      <c r="BS1179" s="232"/>
      <c r="BT1179" s="232"/>
      <c r="BU1179" s="232"/>
      <c r="BV1179" s="232"/>
      <c r="BW1179" s="232"/>
      <c r="BX1179" s="232"/>
      <c r="BY1179" s="232"/>
      <c r="BZ1179" s="232"/>
      <c r="CA1179" s="232"/>
      <c r="CB1179" s="232"/>
      <c r="CC1179" s="232"/>
      <c r="CD1179" s="232"/>
      <c r="CE1179" s="232"/>
      <c r="CF1179" s="232"/>
      <c r="CG1179" s="232"/>
      <c r="CH1179" s="232"/>
      <c r="CI1179" s="232"/>
      <c r="CJ1179" s="232"/>
      <c r="CK1179" s="232"/>
      <c r="CL1179" s="232"/>
      <c r="CM1179" s="232"/>
      <c r="CN1179" s="215"/>
      <c r="CO1179" s="215"/>
      <c r="CP1179" s="215"/>
      <c r="CQ1179" s="215"/>
      <c r="CR1179" s="215"/>
      <c r="CS1179" s="215"/>
      <c r="CT1179" s="215"/>
    </row>
    <row r="1180" ht="24.0" customHeight="1">
      <c r="A1180" s="287"/>
      <c r="B1180" s="287"/>
      <c r="C1180" s="287"/>
      <c r="D1180" s="232"/>
      <c r="E1180" s="232"/>
      <c r="F1180" s="232"/>
      <c r="G1180" s="232"/>
      <c r="H1180" s="232"/>
      <c r="I1180" s="232"/>
      <c r="J1180" s="232"/>
      <c r="K1180" s="232"/>
      <c r="L1180" s="232"/>
      <c r="M1180" s="232"/>
      <c r="N1180" s="289"/>
      <c r="O1180" s="232"/>
      <c r="P1180" s="232"/>
      <c r="Q1180" s="232"/>
      <c r="R1180" s="232"/>
      <c r="S1180" s="232"/>
      <c r="T1180" s="232"/>
      <c r="U1180" s="232"/>
      <c r="V1180" s="232"/>
      <c r="W1180" s="232"/>
      <c r="X1180" s="232"/>
      <c r="Y1180" s="232"/>
      <c r="Z1180" s="232"/>
      <c r="AA1180" s="232"/>
      <c r="AB1180" s="232"/>
      <c r="AC1180" s="232"/>
      <c r="AD1180" s="232"/>
      <c r="AE1180" s="232"/>
      <c r="AF1180" s="232"/>
      <c r="AG1180" s="232"/>
      <c r="AH1180" s="232"/>
      <c r="AI1180" s="232"/>
      <c r="AJ1180" s="232"/>
      <c r="AK1180" s="232"/>
      <c r="AL1180" s="232"/>
      <c r="AM1180" s="232"/>
      <c r="AN1180" s="232"/>
      <c r="AO1180" s="232"/>
      <c r="AP1180" s="232"/>
      <c r="AQ1180" s="232"/>
      <c r="AR1180" s="232"/>
      <c r="AS1180" s="232"/>
      <c r="AT1180" s="232"/>
      <c r="AU1180" s="232"/>
      <c r="AV1180" s="232"/>
      <c r="AW1180" s="232"/>
      <c r="AX1180" s="232"/>
      <c r="AY1180" s="232"/>
      <c r="AZ1180" s="232"/>
      <c r="BA1180" s="232"/>
      <c r="BB1180" s="232"/>
      <c r="BC1180" s="232"/>
      <c r="BD1180" s="232"/>
      <c r="BE1180" s="232"/>
      <c r="BF1180" s="232"/>
      <c r="BG1180" s="232"/>
      <c r="BH1180" s="232"/>
      <c r="BI1180" s="232"/>
      <c r="BJ1180" s="232"/>
      <c r="BK1180" s="232"/>
      <c r="BL1180" s="232"/>
      <c r="BM1180" s="232"/>
      <c r="BN1180" s="232"/>
      <c r="BO1180" s="232"/>
      <c r="BP1180" s="232"/>
      <c r="BQ1180" s="232"/>
      <c r="BR1180" s="232"/>
      <c r="BS1180" s="232"/>
      <c r="BT1180" s="232"/>
      <c r="BU1180" s="232"/>
      <c r="BV1180" s="232"/>
      <c r="BW1180" s="232"/>
      <c r="BX1180" s="232"/>
      <c r="BY1180" s="232"/>
      <c r="BZ1180" s="232"/>
      <c r="CA1180" s="232"/>
      <c r="CB1180" s="232"/>
      <c r="CC1180" s="232"/>
      <c r="CD1180" s="232"/>
      <c r="CE1180" s="232"/>
      <c r="CF1180" s="232"/>
      <c r="CG1180" s="232"/>
      <c r="CH1180" s="232"/>
      <c r="CI1180" s="232"/>
      <c r="CJ1180" s="232"/>
      <c r="CK1180" s="232"/>
      <c r="CL1180" s="232"/>
      <c r="CM1180" s="232"/>
      <c r="CN1180" s="215"/>
      <c r="CO1180" s="215"/>
      <c r="CP1180" s="215"/>
      <c r="CQ1180" s="215"/>
      <c r="CR1180" s="215"/>
      <c r="CS1180" s="215"/>
      <c r="CT1180" s="215"/>
    </row>
    <row r="1181" ht="24.0" customHeight="1">
      <c r="A1181" s="287"/>
      <c r="B1181" s="287"/>
      <c r="C1181" s="287"/>
      <c r="D1181" s="232"/>
      <c r="E1181" s="232"/>
      <c r="F1181" s="232"/>
      <c r="G1181" s="232"/>
      <c r="H1181" s="232"/>
      <c r="I1181" s="232"/>
      <c r="J1181" s="232"/>
      <c r="K1181" s="232"/>
      <c r="L1181" s="232"/>
      <c r="M1181" s="232"/>
      <c r="N1181" s="289"/>
      <c r="O1181" s="232"/>
      <c r="P1181" s="232"/>
      <c r="Q1181" s="232"/>
      <c r="R1181" s="232"/>
      <c r="S1181" s="232"/>
      <c r="T1181" s="232"/>
      <c r="U1181" s="232"/>
      <c r="V1181" s="232"/>
      <c r="W1181" s="232"/>
      <c r="X1181" s="232"/>
      <c r="Y1181" s="232"/>
      <c r="Z1181" s="232"/>
      <c r="AA1181" s="232"/>
      <c r="AB1181" s="232"/>
      <c r="AC1181" s="232"/>
      <c r="AD1181" s="232"/>
      <c r="AE1181" s="232"/>
      <c r="AF1181" s="232"/>
      <c r="AG1181" s="232"/>
      <c r="AH1181" s="232"/>
      <c r="AI1181" s="232"/>
      <c r="AJ1181" s="232"/>
      <c r="AK1181" s="232"/>
      <c r="AL1181" s="232"/>
      <c r="AM1181" s="232"/>
      <c r="AN1181" s="232"/>
      <c r="AO1181" s="232"/>
      <c r="AP1181" s="232"/>
      <c r="AQ1181" s="232"/>
      <c r="AR1181" s="232"/>
      <c r="AS1181" s="232"/>
      <c r="AT1181" s="232"/>
      <c r="AU1181" s="232"/>
      <c r="AV1181" s="232"/>
      <c r="AW1181" s="232"/>
      <c r="AX1181" s="232"/>
      <c r="AY1181" s="232"/>
      <c r="AZ1181" s="232"/>
      <c r="BA1181" s="232"/>
      <c r="BB1181" s="232"/>
      <c r="BC1181" s="232"/>
      <c r="BD1181" s="232"/>
      <c r="BE1181" s="232"/>
      <c r="BF1181" s="232"/>
      <c r="BG1181" s="232"/>
      <c r="BH1181" s="232"/>
      <c r="BI1181" s="232"/>
      <c r="BJ1181" s="232"/>
      <c r="BK1181" s="232"/>
      <c r="BL1181" s="232"/>
      <c r="BM1181" s="232"/>
      <c r="BN1181" s="232"/>
      <c r="BO1181" s="232"/>
      <c r="BP1181" s="232"/>
      <c r="BQ1181" s="232"/>
      <c r="BR1181" s="232"/>
      <c r="BS1181" s="232"/>
      <c r="BT1181" s="232"/>
      <c r="BU1181" s="232"/>
      <c r="BV1181" s="232"/>
      <c r="BW1181" s="232"/>
      <c r="BX1181" s="232"/>
      <c r="BY1181" s="232"/>
      <c r="BZ1181" s="232"/>
      <c r="CA1181" s="232"/>
      <c r="CB1181" s="232"/>
      <c r="CC1181" s="232"/>
      <c r="CD1181" s="232"/>
      <c r="CE1181" s="232"/>
      <c r="CF1181" s="232"/>
      <c r="CG1181" s="232"/>
      <c r="CH1181" s="232"/>
      <c r="CI1181" s="232"/>
      <c r="CJ1181" s="232"/>
      <c r="CK1181" s="232"/>
      <c r="CL1181" s="232"/>
      <c r="CM1181" s="232"/>
      <c r="CN1181" s="215"/>
      <c r="CO1181" s="215"/>
      <c r="CP1181" s="215"/>
      <c r="CQ1181" s="215"/>
      <c r="CR1181" s="215"/>
      <c r="CS1181" s="215"/>
      <c r="CT1181" s="215"/>
    </row>
    <row r="1182" ht="24.0" customHeight="1">
      <c r="A1182" s="287"/>
      <c r="B1182" s="287"/>
      <c r="C1182" s="287"/>
      <c r="D1182" s="232"/>
      <c r="E1182" s="232"/>
      <c r="F1182" s="232"/>
      <c r="G1182" s="232"/>
      <c r="H1182" s="232"/>
      <c r="I1182" s="232"/>
      <c r="J1182" s="232"/>
      <c r="K1182" s="232"/>
      <c r="L1182" s="232"/>
      <c r="M1182" s="232"/>
      <c r="N1182" s="289"/>
      <c r="O1182" s="232"/>
      <c r="P1182" s="232"/>
      <c r="Q1182" s="232"/>
      <c r="R1182" s="232"/>
      <c r="S1182" s="232"/>
      <c r="T1182" s="232"/>
      <c r="U1182" s="232"/>
      <c r="V1182" s="232"/>
      <c r="W1182" s="232"/>
      <c r="X1182" s="232"/>
      <c r="Y1182" s="232"/>
      <c r="Z1182" s="232"/>
      <c r="AA1182" s="232"/>
      <c r="AB1182" s="232"/>
      <c r="AC1182" s="232"/>
      <c r="AD1182" s="232"/>
      <c r="AE1182" s="232"/>
      <c r="AF1182" s="232"/>
      <c r="AG1182" s="232"/>
      <c r="AH1182" s="232"/>
      <c r="AI1182" s="232"/>
      <c r="AJ1182" s="232"/>
      <c r="AK1182" s="232"/>
      <c r="AL1182" s="232"/>
      <c r="AM1182" s="232"/>
      <c r="AN1182" s="232"/>
      <c r="AO1182" s="232"/>
      <c r="AP1182" s="232"/>
      <c r="AQ1182" s="232"/>
      <c r="AR1182" s="232"/>
      <c r="AS1182" s="232"/>
      <c r="AT1182" s="232"/>
      <c r="AU1182" s="232"/>
      <c r="AV1182" s="232"/>
      <c r="AW1182" s="232"/>
      <c r="AX1182" s="232"/>
      <c r="AY1182" s="232"/>
      <c r="AZ1182" s="232"/>
      <c r="BA1182" s="232"/>
      <c r="BB1182" s="232"/>
      <c r="BC1182" s="232"/>
      <c r="BD1182" s="232"/>
      <c r="BE1182" s="232"/>
      <c r="BF1182" s="232"/>
      <c r="BG1182" s="232"/>
      <c r="BH1182" s="232"/>
      <c r="BI1182" s="232"/>
      <c r="BJ1182" s="232"/>
      <c r="BK1182" s="232"/>
      <c r="BL1182" s="232"/>
      <c r="BM1182" s="232"/>
      <c r="BN1182" s="232"/>
      <c r="BO1182" s="232"/>
      <c r="BP1182" s="232"/>
      <c r="BQ1182" s="232"/>
      <c r="BR1182" s="232"/>
      <c r="BS1182" s="232"/>
      <c r="BT1182" s="232"/>
      <c r="BU1182" s="232"/>
      <c r="BV1182" s="232"/>
      <c r="BW1182" s="232"/>
      <c r="BX1182" s="232"/>
      <c r="BY1182" s="232"/>
      <c r="BZ1182" s="232"/>
      <c r="CA1182" s="232"/>
      <c r="CB1182" s="232"/>
      <c r="CC1182" s="232"/>
      <c r="CD1182" s="232"/>
      <c r="CE1182" s="232"/>
      <c r="CF1182" s="232"/>
      <c r="CG1182" s="232"/>
      <c r="CH1182" s="232"/>
      <c r="CI1182" s="232"/>
      <c r="CJ1182" s="232"/>
      <c r="CK1182" s="232"/>
      <c r="CL1182" s="232"/>
      <c r="CM1182" s="232"/>
      <c r="CN1182" s="215"/>
      <c r="CO1182" s="215"/>
      <c r="CP1182" s="215"/>
      <c r="CQ1182" s="215"/>
      <c r="CR1182" s="215"/>
      <c r="CS1182" s="215"/>
      <c r="CT1182" s="215"/>
    </row>
    <row r="1183" ht="24.0" customHeight="1">
      <c r="A1183" s="287"/>
      <c r="B1183" s="287"/>
      <c r="C1183" s="287"/>
      <c r="D1183" s="232"/>
      <c r="E1183" s="232"/>
      <c r="F1183" s="232"/>
      <c r="G1183" s="232"/>
      <c r="H1183" s="232"/>
      <c r="I1183" s="232"/>
      <c r="J1183" s="232"/>
      <c r="K1183" s="232"/>
      <c r="L1183" s="232"/>
      <c r="M1183" s="232"/>
      <c r="N1183" s="289"/>
      <c r="O1183" s="232"/>
      <c r="P1183" s="232"/>
      <c r="Q1183" s="232"/>
      <c r="R1183" s="232"/>
      <c r="S1183" s="232"/>
      <c r="T1183" s="232"/>
      <c r="U1183" s="232"/>
      <c r="V1183" s="232"/>
      <c r="W1183" s="232"/>
      <c r="X1183" s="232"/>
      <c r="Y1183" s="232"/>
      <c r="Z1183" s="232"/>
      <c r="AA1183" s="232"/>
      <c r="AB1183" s="232"/>
      <c r="AC1183" s="232"/>
      <c r="AD1183" s="232"/>
      <c r="AE1183" s="232"/>
      <c r="AF1183" s="232"/>
      <c r="AG1183" s="232"/>
      <c r="AH1183" s="232"/>
      <c r="AI1183" s="232"/>
      <c r="AJ1183" s="232"/>
      <c r="AK1183" s="232"/>
      <c r="AL1183" s="232"/>
      <c r="AM1183" s="232"/>
      <c r="AN1183" s="232"/>
      <c r="AO1183" s="232"/>
      <c r="AP1183" s="232"/>
      <c r="AQ1183" s="232"/>
      <c r="AR1183" s="232"/>
      <c r="AS1183" s="232"/>
      <c r="AT1183" s="232"/>
      <c r="AU1183" s="232"/>
      <c r="AV1183" s="232"/>
      <c r="AW1183" s="232"/>
      <c r="AX1183" s="232"/>
      <c r="AY1183" s="232"/>
      <c r="AZ1183" s="232"/>
      <c r="BA1183" s="232"/>
      <c r="BB1183" s="232"/>
      <c r="BC1183" s="232"/>
      <c r="BD1183" s="232"/>
      <c r="BE1183" s="232"/>
      <c r="BF1183" s="232"/>
      <c r="BG1183" s="232"/>
      <c r="BH1183" s="232"/>
      <c r="BI1183" s="232"/>
      <c r="BJ1183" s="232"/>
      <c r="BK1183" s="232"/>
      <c r="BL1183" s="232"/>
      <c r="BM1183" s="232"/>
      <c r="BN1183" s="232"/>
      <c r="BO1183" s="232"/>
      <c r="BP1183" s="232"/>
      <c r="BQ1183" s="232"/>
      <c r="BR1183" s="232"/>
      <c r="BS1183" s="232"/>
      <c r="BT1183" s="232"/>
      <c r="BU1183" s="232"/>
      <c r="BV1183" s="232"/>
      <c r="BW1183" s="232"/>
      <c r="BX1183" s="232"/>
      <c r="BY1183" s="232"/>
      <c r="BZ1183" s="232"/>
      <c r="CA1183" s="232"/>
      <c r="CB1183" s="232"/>
      <c r="CC1183" s="232"/>
      <c r="CD1183" s="232"/>
      <c r="CE1183" s="232"/>
      <c r="CF1183" s="232"/>
      <c r="CG1183" s="232"/>
      <c r="CH1183" s="232"/>
      <c r="CI1183" s="232"/>
      <c r="CJ1183" s="232"/>
      <c r="CK1183" s="232"/>
      <c r="CL1183" s="232"/>
      <c r="CM1183" s="232"/>
      <c r="CN1183" s="215"/>
      <c r="CO1183" s="215"/>
      <c r="CP1183" s="215"/>
      <c r="CQ1183" s="215"/>
      <c r="CR1183" s="215"/>
      <c r="CS1183" s="215"/>
      <c r="CT1183" s="215"/>
    </row>
    <row r="1184" ht="24.0" customHeight="1">
      <c r="A1184" s="287"/>
      <c r="B1184" s="287"/>
      <c r="C1184" s="287"/>
      <c r="D1184" s="232"/>
      <c r="E1184" s="232"/>
      <c r="F1184" s="232"/>
      <c r="G1184" s="232"/>
      <c r="H1184" s="232"/>
      <c r="I1184" s="232"/>
      <c r="J1184" s="232"/>
      <c r="K1184" s="232"/>
      <c r="L1184" s="232"/>
      <c r="M1184" s="232"/>
      <c r="N1184" s="289"/>
      <c r="O1184" s="232"/>
      <c r="P1184" s="232"/>
      <c r="Q1184" s="232"/>
      <c r="R1184" s="232"/>
      <c r="S1184" s="232"/>
      <c r="T1184" s="232"/>
      <c r="U1184" s="232"/>
      <c r="V1184" s="232"/>
      <c r="W1184" s="232"/>
      <c r="X1184" s="232"/>
      <c r="Y1184" s="232"/>
      <c r="Z1184" s="232"/>
      <c r="AA1184" s="232"/>
      <c r="AB1184" s="232"/>
      <c r="AC1184" s="232"/>
      <c r="AD1184" s="232"/>
      <c r="AE1184" s="232"/>
      <c r="AF1184" s="232"/>
      <c r="AG1184" s="232"/>
      <c r="AH1184" s="232"/>
      <c r="AI1184" s="232"/>
      <c r="AJ1184" s="232"/>
      <c r="AK1184" s="232"/>
      <c r="AL1184" s="232"/>
      <c r="AM1184" s="232"/>
      <c r="AN1184" s="232"/>
      <c r="AO1184" s="232"/>
      <c r="AP1184" s="232"/>
      <c r="AQ1184" s="232"/>
      <c r="AR1184" s="232"/>
      <c r="AS1184" s="232"/>
      <c r="AT1184" s="232"/>
      <c r="AU1184" s="232"/>
      <c r="AV1184" s="232"/>
      <c r="AW1184" s="232"/>
      <c r="AX1184" s="232"/>
      <c r="AY1184" s="232"/>
      <c r="AZ1184" s="232"/>
      <c r="BA1184" s="232"/>
      <c r="BB1184" s="232"/>
      <c r="BC1184" s="232"/>
      <c r="BD1184" s="232"/>
      <c r="BE1184" s="232"/>
      <c r="BF1184" s="232"/>
      <c r="BG1184" s="232"/>
      <c r="BH1184" s="232"/>
      <c r="BI1184" s="232"/>
      <c r="BJ1184" s="232"/>
      <c r="BK1184" s="232"/>
      <c r="BL1184" s="232"/>
      <c r="BM1184" s="232"/>
      <c r="BN1184" s="232"/>
      <c r="BO1184" s="232"/>
      <c r="BP1184" s="232"/>
      <c r="BQ1184" s="232"/>
      <c r="BR1184" s="232"/>
      <c r="BS1184" s="232"/>
      <c r="BT1184" s="232"/>
      <c r="BU1184" s="232"/>
      <c r="BV1184" s="232"/>
      <c r="BW1184" s="232"/>
      <c r="BX1184" s="232"/>
      <c r="BY1184" s="232"/>
      <c r="BZ1184" s="232"/>
      <c r="CA1184" s="232"/>
      <c r="CB1184" s="232"/>
      <c r="CC1184" s="232"/>
      <c r="CD1184" s="232"/>
      <c r="CE1184" s="232"/>
      <c r="CF1184" s="232"/>
      <c r="CG1184" s="232"/>
      <c r="CH1184" s="232"/>
      <c r="CI1184" s="232"/>
      <c r="CJ1184" s="232"/>
      <c r="CK1184" s="232"/>
      <c r="CL1184" s="232"/>
      <c r="CM1184" s="232"/>
      <c r="CN1184" s="215"/>
      <c r="CO1184" s="215"/>
      <c r="CP1184" s="215"/>
      <c r="CQ1184" s="215"/>
      <c r="CR1184" s="215"/>
      <c r="CS1184" s="215"/>
      <c r="CT1184" s="215"/>
    </row>
    <row r="1185" ht="24.0" customHeight="1">
      <c r="A1185" s="287"/>
      <c r="B1185" s="287"/>
      <c r="C1185" s="287"/>
      <c r="D1185" s="232"/>
      <c r="E1185" s="232"/>
      <c r="F1185" s="232"/>
      <c r="G1185" s="232"/>
      <c r="H1185" s="232"/>
      <c r="I1185" s="232"/>
      <c r="J1185" s="232"/>
      <c r="K1185" s="232"/>
      <c r="L1185" s="232"/>
      <c r="M1185" s="232"/>
      <c r="N1185" s="289"/>
      <c r="O1185" s="232"/>
      <c r="P1185" s="232"/>
      <c r="Q1185" s="232"/>
      <c r="R1185" s="232"/>
      <c r="S1185" s="232"/>
      <c r="T1185" s="232"/>
      <c r="U1185" s="232"/>
      <c r="V1185" s="232"/>
      <c r="W1185" s="232"/>
      <c r="X1185" s="232"/>
      <c r="Y1185" s="232"/>
      <c r="Z1185" s="232"/>
      <c r="AA1185" s="232"/>
      <c r="AB1185" s="232"/>
      <c r="AC1185" s="232"/>
      <c r="AD1185" s="232"/>
      <c r="AE1185" s="232"/>
      <c r="AF1185" s="232"/>
      <c r="AG1185" s="232"/>
      <c r="AH1185" s="232"/>
      <c r="AI1185" s="232"/>
      <c r="AJ1185" s="232"/>
      <c r="AK1185" s="232"/>
      <c r="AL1185" s="232"/>
      <c r="AM1185" s="232"/>
      <c r="AN1185" s="232"/>
      <c r="AO1185" s="232"/>
      <c r="AP1185" s="232"/>
      <c r="AQ1185" s="232"/>
      <c r="AR1185" s="232"/>
      <c r="AS1185" s="232"/>
      <c r="AT1185" s="232"/>
      <c r="AU1185" s="232"/>
      <c r="AV1185" s="232"/>
      <c r="AW1185" s="232"/>
      <c r="AX1185" s="232"/>
      <c r="AY1185" s="232"/>
      <c r="AZ1185" s="232"/>
      <c r="BA1185" s="232"/>
      <c r="BB1185" s="232"/>
      <c r="BC1185" s="232"/>
      <c r="BD1185" s="232"/>
      <c r="BE1185" s="232"/>
      <c r="BF1185" s="232"/>
      <c r="BG1185" s="232"/>
      <c r="BH1185" s="232"/>
      <c r="BI1185" s="232"/>
      <c r="BJ1185" s="232"/>
      <c r="BK1185" s="232"/>
      <c r="BL1185" s="232"/>
      <c r="BM1185" s="232"/>
      <c r="BN1185" s="232"/>
      <c r="BO1185" s="232"/>
      <c r="BP1185" s="232"/>
      <c r="BQ1185" s="232"/>
      <c r="BR1185" s="232"/>
      <c r="BS1185" s="232"/>
      <c r="BT1185" s="232"/>
      <c r="BU1185" s="232"/>
      <c r="BV1185" s="232"/>
      <c r="BW1185" s="232"/>
      <c r="BX1185" s="232"/>
      <c r="BY1185" s="232"/>
      <c r="BZ1185" s="232"/>
      <c r="CA1185" s="232"/>
      <c r="CB1185" s="232"/>
      <c r="CC1185" s="232"/>
      <c r="CD1185" s="232"/>
      <c r="CE1185" s="232"/>
      <c r="CF1185" s="232"/>
      <c r="CG1185" s="232"/>
      <c r="CH1185" s="232"/>
      <c r="CI1185" s="232"/>
      <c r="CJ1185" s="232"/>
      <c r="CK1185" s="232"/>
      <c r="CL1185" s="232"/>
      <c r="CM1185" s="232"/>
      <c r="CN1185" s="215"/>
      <c r="CO1185" s="215"/>
      <c r="CP1185" s="215"/>
      <c r="CQ1185" s="215"/>
      <c r="CR1185" s="215"/>
      <c r="CS1185" s="215"/>
      <c r="CT1185" s="215"/>
    </row>
    <row r="1186" ht="24.0" customHeight="1">
      <c r="A1186" s="287"/>
      <c r="B1186" s="287"/>
      <c r="C1186" s="287"/>
      <c r="D1186" s="232"/>
      <c r="E1186" s="232"/>
      <c r="F1186" s="232"/>
      <c r="G1186" s="232"/>
      <c r="H1186" s="232"/>
      <c r="I1186" s="232"/>
      <c r="J1186" s="232"/>
      <c r="K1186" s="232"/>
      <c r="L1186" s="232"/>
      <c r="M1186" s="232"/>
      <c r="N1186" s="289"/>
      <c r="O1186" s="232"/>
      <c r="P1186" s="232"/>
      <c r="Q1186" s="232"/>
      <c r="R1186" s="232"/>
      <c r="S1186" s="232"/>
      <c r="T1186" s="232"/>
      <c r="U1186" s="232"/>
      <c r="V1186" s="232"/>
      <c r="W1186" s="232"/>
      <c r="X1186" s="232"/>
      <c r="Y1186" s="232"/>
      <c r="Z1186" s="232"/>
      <c r="AA1186" s="232"/>
      <c r="AB1186" s="232"/>
      <c r="AC1186" s="232"/>
      <c r="AD1186" s="232"/>
      <c r="AE1186" s="232"/>
      <c r="AF1186" s="232"/>
      <c r="AG1186" s="232"/>
      <c r="AH1186" s="232"/>
      <c r="AI1186" s="232"/>
      <c r="AJ1186" s="232"/>
      <c r="AK1186" s="232"/>
      <c r="AL1186" s="232"/>
      <c r="AM1186" s="232"/>
      <c r="AN1186" s="232"/>
      <c r="AO1186" s="232"/>
      <c r="AP1186" s="232"/>
      <c r="AQ1186" s="232"/>
      <c r="AR1186" s="232"/>
      <c r="AS1186" s="232"/>
      <c r="AT1186" s="232"/>
      <c r="AU1186" s="232"/>
      <c r="AV1186" s="232"/>
      <c r="AW1186" s="232"/>
      <c r="AX1186" s="232"/>
      <c r="AY1186" s="232"/>
      <c r="AZ1186" s="232"/>
      <c r="BA1186" s="232"/>
      <c r="BB1186" s="232"/>
      <c r="BC1186" s="232"/>
      <c r="BD1186" s="232"/>
      <c r="BE1186" s="232"/>
      <c r="BF1186" s="232"/>
      <c r="BG1186" s="232"/>
      <c r="BH1186" s="232"/>
      <c r="BI1186" s="232"/>
      <c r="BJ1186" s="232"/>
      <c r="BK1186" s="232"/>
      <c r="BL1186" s="232"/>
      <c r="BM1186" s="232"/>
      <c r="BN1186" s="232"/>
      <c r="BO1186" s="232"/>
      <c r="BP1186" s="232"/>
      <c r="BQ1186" s="232"/>
      <c r="BR1186" s="232"/>
      <c r="BS1186" s="232"/>
      <c r="BT1186" s="232"/>
      <c r="BU1186" s="232"/>
      <c r="BV1186" s="232"/>
      <c r="BW1186" s="232"/>
      <c r="BX1186" s="232"/>
      <c r="BY1186" s="232"/>
      <c r="BZ1186" s="232"/>
      <c r="CA1186" s="232"/>
      <c r="CB1186" s="232"/>
      <c r="CC1186" s="232"/>
      <c r="CD1186" s="232"/>
      <c r="CE1186" s="232"/>
      <c r="CF1186" s="232"/>
      <c r="CG1186" s="232"/>
      <c r="CH1186" s="232"/>
      <c r="CI1186" s="232"/>
      <c r="CJ1186" s="232"/>
      <c r="CK1186" s="232"/>
      <c r="CL1186" s="232"/>
      <c r="CM1186" s="232"/>
      <c r="CN1186" s="215"/>
      <c r="CO1186" s="215"/>
      <c r="CP1186" s="215"/>
      <c r="CQ1186" s="215"/>
      <c r="CR1186" s="215"/>
      <c r="CS1186" s="215"/>
      <c r="CT1186" s="215"/>
    </row>
    <row r="1187" ht="24.0" customHeight="1">
      <c r="A1187" s="287"/>
      <c r="B1187" s="287"/>
      <c r="C1187" s="287"/>
      <c r="D1187" s="232"/>
      <c r="E1187" s="232"/>
      <c r="F1187" s="232"/>
      <c r="G1187" s="232"/>
      <c r="H1187" s="232"/>
      <c r="I1187" s="232"/>
      <c r="J1187" s="232"/>
      <c r="K1187" s="232"/>
      <c r="L1187" s="232"/>
      <c r="M1187" s="232"/>
      <c r="N1187" s="289"/>
      <c r="O1187" s="232"/>
      <c r="P1187" s="232"/>
      <c r="Q1187" s="232"/>
      <c r="R1187" s="232"/>
      <c r="S1187" s="232"/>
      <c r="T1187" s="232"/>
      <c r="U1187" s="232"/>
      <c r="V1187" s="232"/>
      <c r="W1187" s="232"/>
      <c r="X1187" s="232"/>
      <c r="Y1187" s="232"/>
      <c r="Z1187" s="232"/>
      <c r="AA1187" s="232"/>
      <c r="AB1187" s="232"/>
      <c r="AC1187" s="232"/>
      <c r="AD1187" s="232"/>
      <c r="AE1187" s="232"/>
      <c r="AF1187" s="232"/>
      <c r="AG1187" s="232"/>
      <c r="AH1187" s="232"/>
      <c r="AI1187" s="232"/>
      <c r="AJ1187" s="232"/>
      <c r="AK1187" s="232"/>
      <c r="AL1187" s="232"/>
      <c r="AM1187" s="232"/>
      <c r="AN1187" s="232"/>
      <c r="AO1187" s="232"/>
      <c r="AP1187" s="232"/>
      <c r="AQ1187" s="232"/>
      <c r="AR1187" s="232"/>
      <c r="AS1187" s="232"/>
      <c r="AT1187" s="232"/>
      <c r="AU1187" s="232"/>
      <c r="AV1187" s="232"/>
      <c r="AW1187" s="232"/>
      <c r="AX1187" s="232"/>
      <c r="AY1187" s="232"/>
      <c r="AZ1187" s="232"/>
      <c r="BA1187" s="232"/>
      <c r="BB1187" s="232"/>
      <c r="BC1187" s="232"/>
      <c r="BD1187" s="232"/>
      <c r="BE1187" s="232"/>
      <c r="BF1187" s="232"/>
      <c r="BG1187" s="232"/>
      <c r="BH1187" s="232"/>
      <c r="BI1187" s="232"/>
      <c r="BJ1187" s="232"/>
      <c r="BK1187" s="232"/>
      <c r="BL1187" s="232"/>
      <c r="BM1187" s="232"/>
      <c r="BN1187" s="232"/>
      <c r="BO1187" s="232"/>
      <c r="BP1187" s="232"/>
      <c r="BQ1187" s="232"/>
      <c r="BR1187" s="232"/>
      <c r="BS1187" s="232"/>
      <c r="BT1187" s="232"/>
      <c r="BU1187" s="232"/>
      <c r="BV1187" s="232"/>
      <c r="BW1187" s="232"/>
      <c r="BX1187" s="232"/>
      <c r="BY1187" s="232"/>
      <c r="BZ1187" s="232"/>
      <c r="CA1187" s="232"/>
      <c r="CB1187" s="232"/>
      <c r="CC1187" s="232"/>
      <c r="CD1187" s="232"/>
      <c r="CE1187" s="232"/>
      <c r="CF1187" s="232"/>
      <c r="CG1187" s="232"/>
      <c r="CH1187" s="232"/>
      <c r="CI1187" s="232"/>
      <c r="CJ1187" s="232"/>
      <c r="CK1187" s="232"/>
      <c r="CL1187" s="232"/>
      <c r="CM1187" s="232"/>
      <c r="CN1187" s="215"/>
      <c r="CO1187" s="215"/>
      <c r="CP1187" s="215"/>
      <c r="CQ1187" s="215"/>
      <c r="CR1187" s="215"/>
      <c r="CS1187" s="215"/>
      <c r="CT1187" s="215"/>
    </row>
    <row r="1188" ht="24.0" customHeight="1">
      <c r="A1188" s="287"/>
      <c r="B1188" s="287"/>
      <c r="C1188" s="287"/>
      <c r="D1188" s="232"/>
      <c r="E1188" s="232"/>
      <c r="F1188" s="232"/>
      <c r="G1188" s="232"/>
      <c r="H1188" s="232"/>
      <c r="I1188" s="232"/>
      <c r="J1188" s="232"/>
      <c r="K1188" s="232"/>
      <c r="L1188" s="232"/>
      <c r="M1188" s="232"/>
      <c r="N1188" s="289"/>
      <c r="O1188" s="232"/>
      <c r="P1188" s="232"/>
      <c r="Q1188" s="232"/>
      <c r="R1188" s="232"/>
      <c r="S1188" s="232"/>
      <c r="T1188" s="232"/>
      <c r="U1188" s="232"/>
      <c r="V1188" s="232"/>
      <c r="W1188" s="232"/>
      <c r="X1188" s="232"/>
      <c r="Y1188" s="232"/>
      <c r="Z1188" s="232"/>
      <c r="AA1188" s="232"/>
      <c r="AB1188" s="232"/>
      <c r="AC1188" s="232"/>
      <c r="AD1188" s="232"/>
      <c r="AE1188" s="232"/>
      <c r="AF1188" s="232"/>
      <c r="AG1188" s="232"/>
      <c r="AH1188" s="232"/>
      <c r="AI1188" s="232"/>
      <c r="AJ1188" s="232"/>
      <c r="AK1188" s="232"/>
      <c r="AL1188" s="232"/>
      <c r="AM1188" s="232"/>
      <c r="AN1188" s="232"/>
      <c r="AO1188" s="232"/>
      <c r="AP1188" s="232"/>
      <c r="AQ1188" s="232"/>
      <c r="AR1188" s="232"/>
      <c r="AS1188" s="232"/>
      <c r="AT1188" s="232"/>
      <c r="AU1188" s="232"/>
      <c r="AV1188" s="232"/>
      <c r="AW1188" s="232"/>
      <c r="AX1188" s="232"/>
      <c r="AY1188" s="232"/>
      <c r="AZ1188" s="232"/>
      <c r="BA1188" s="232"/>
      <c r="BB1188" s="232"/>
      <c r="BC1188" s="232"/>
      <c r="BD1188" s="232"/>
      <c r="BE1188" s="232"/>
      <c r="BF1188" s="232"/>
      <c r="BG1188" s="232"/>
      <c r="BH1188" s="232"/>
      <c r="BI1188" s="232"/>
      <c r="BJ1188" s="232"/>
      <c r="BK1188" s="232"/>
      <c r="BL1188" s="232"/>
      <c r="BM1188" s="232"/>
      <c r="BN1188" s="232"/>
      <c r="BO1188" s="232"/>
      <c r="BP1188" s="232"/>
      <c r="BQ1188" s="232"/>
      <c r="BR1188" s="232"/>
      <c r="BS1188" s="232"/>
      <c r="BT1188" s="232"/>
      <c r="BU1188" s="232"/>
      <c r="BV1188" s="232"/>
      <c r="BW1188" s="232"/>
      <c r="BX1188" s="232"/>
      <c r="BY1188" s="232"/>
      <c r="BZ1188" s="232"/>
      <c r="CA1188" s="232"/>
      <c r="CB1188" s="232"/>
      <c r="CC1188" s="232"/>
      <c r="CD1188" s="232"/>
      <c r="CE1188" s="232"/>
      <c r="CF1188" s="232"/>
      <c r="CG1188" s="232"/>
      <c r="CH1188" s="232"/>
      <c r="CI1188" s="232"/>
      <c r="CJ1188" s="232"/>
      <c r="CK1188" s="232"/>
      <c r="CL1188" s="232"/>
      <c r="CM1188" s="232"/>
      <c r="CN1188" s="215"/>
      <c r="CO1188" s="215"/>
      <c r="CP1188" s="215"/>
      <c r="CQ1188" s="215"/>
      <c r="CR1188" s="215"/>
      <c r="CS1188" s="215"/>
      <c r="CT1188" s="215"/>
    </row>
    <row r="1189" ht="24.0" customHeight="1">
      <c r="A1189" s="287"/>
      <c r="B1189" s="287"/>
      <c r="C1189" s="287"/>
      <c r="D1189" s="232"/>
      <c r="E1189" s="232"/>
      <c r="F1189" s="232"/>
      <c r="G1189" s="232"/>
      <c r="H1189" s="232"/>
      <c r="I1189" s="232"/>
      <c r="J1189" s="232"/>
      <c r="K1189" s="232"/>
      <c r="L1189" s="232"/>
      <c r="M1189" s="232"/>
      <c r="N1189" s="289"/>
      <c r="O1189" s="232"/>
      <c r="P1189" s="232"/>
      <c r="Q1189" s="232"/>
      <c r="R1189" s="232"/>
      <c r="S1189" s="232"/>
      <c r="T1189" s="232"/>
      <c r="U1189" s="232"/>
      <c r="V1189" s="232"/>
      <c r="W1189" s="232"/>
      <c r="X1189" s="232"/>
      <c r="Y1189" s="232"/>
      <c r="Z1189" s="232"/>
      <c r="AA1189" s="232"/>
      <c r="AB1189" s="232"/>
      <c r="AC1189" s="232"/>
      <c r="AD1189" s="232"/>
      <c r="AE1189" s="232"/>
      <c r="AF1189" s="232"/>
      <c r="AG1189" s="232"/>
      <c r="AH1189" s="232"/>
      <c r="AI1189" s="232"/>
      <c r="AJ1189" s="232"/>
      <c r="AK1189" s="232"/>
      <c r="AL1189" s="232"/>
      <c r="AM1189" s="232"/>
      <c r="AN1189" s="232"/>
      <c r="AO1189" s="232"/>
      <c r="AP1189" s="232"/>
      <c r="AQ1189" s="232"/>
      <c r="AR1189" s="232"/>
      <c r="AS1189" s="232"/>
      <c r="AT1189" s="232"/>
      <c r="AU1189" s="232"/>
      <c r="AV1189" s="232"/>
      <c r="AW1189" s="232"/>
      <c r="AX1189" s="232"/>
      <c r="AY1189" s="232"/>
      <c r="AZ1189" s="232"/>
      <c r="BA1189" s="232"/>
      <c r="BB1189" s="232"/>
      <c r="BC1189" s="232"/>
      <c r="BD1189" s="232"/>
      <c r="BE1189" s="232"/>
      <c r="BF1189" s="232"/>
      <c r="BG1189" s="232"/>
      <c r="BH1189" s="232"/>
      <c r="BI1189" s="232"/>
      <c r="BJ1189" s="232"/>
      <c r="BK1189" s="232"/>
      <c r="BL1189" s="232"/>
      <c r="BM1189" s="232"/>
      <c r="BN1189" s="232"/>
      <c r="BO1189" s="232"/>
      <c r="BP1189" s="232"/>
      <c r="BQ1189" s="232"/>
      <c r="BR1189" s="232"/>
      <c r="BS1189" s="232"/>
      <c r="BT1189" s="232"/>
      <c r="BU1189" s="232"/>
      <c r="BV1189" s="232"/>
      <c r="BW1189" s="232"/>
      <c r="BX1189" s="232"/>
      <c r="BY1189" s="232"/>
      <c r="BZ1189" s="232"/>
      <c r="CA1189" s="232"/>
      <c r="CB1189" s="232"/>
      <c r="CC1189" s="232"/>
      <c r="CD1189" s="232"/>
      <c r="CE1189" s="232"/>
      <c r="CF1189" s="232"/>
      <c r="CG1189" s="232"/>
      <c r="CH1189" s="232"/>
      <c r="CI1189" s="232"/>
      <c r="CJ1189" s="232"/>
      <c r="CK1189" s="232"/>
      <c r="CL1189" s="232"/>
      <c r="CM1189" s="232"/>
      <c r="CN1189" s="215"/>
      <c r="CO1189" s="215"/>
      <c r="CP1189" s="215"/>
      <c r="CQ1189" s="215"/>
      <c r="CR1189" s="215"/>
      <c r="CS1189" s="215"/>
      <c r="CT1189" s="215"/>
    </row>
    <row r="1190" ht="24.0" customHeight="1">
      <c r="A1190" s="287"/>
      <c r="B1190" s="287"/>
      <c r="C1190" s="287"/>
      <c r="D1190" s="232"/>
      <c r="E1190" s="232"/>
      <c r="F1190" s="232"/>
      <c r="G1190" s="232"/>
      <c r="H1190" s="232"/>
      <c r="I1190" s="232"/>
      <c r="J1190" s="232"/>
      <c r="K1190" s="232"/>
      <c r="L1190" s="232"/>
      <c r="M1190" s="232"/>
      <c r="N1190" s="289"/>
      <c r="O1190" s="232"/>
      <c r="P1190" s="232"/>
      <c r="Q1190" s="232"/>
      <c r="R1190" s="232"/>
      <c r="S1190" s="232"/>
      <c r="T1190" s="232"/>
      <c r="U1190" s="232"/>
      <c r="V1190" s="232"/>
      <c r="W1190" s="232"/>
      <c r="X1190" s="232"/>
      <c r="Y1190" s="232"/>
      <c r="Z1190" s="232"/>
      <c r="AA1190" s="232"/>
      <c r="AB1190" s="232"/>
      <c r="AC1190" s="232"/>
      <c r="AD1190" s="232"/>
      <c r="AE1190" s="232"/>
      <c r="AF1190" s="232"/>
      <c r="AG1190" s="232"/>
      <c r="AH1190" s="232"/>
      <c r="AI1190" s="232"/>
      <c r="AJ1190" s="232"/>
      <c r="AK1190" s="232"/>
      <c r="AL1190" s="232"/>
      <c r="AM1190" s="232"/>
      <c r="AN1190" s="232"/>
      <c r="AO1190" s="232"/>
      <c r="AP1190" s="232"/>
      <c r="AQ1190" s="232"/>
      <c r="AR1190" s="232"/>
      <c r="AS1190" s="232"/>
      <c r="AT1190" s="232"/>
      <c r="AU1190" s="232"/>
      <c r="AV1190" s="232"/>
      <c r="AW1190" s="232"/>
      <c r="AX1190" s="232"/>
      <c r="AY1190" s="232"/>
      <c r="AZ1190" s="232"/>
      <c r="BA1190" s="232"/>
      <c r="BB1190" s="232"/>
      <c r="BC1190" s="232"/>
      <c r="BD1190" s="232"/>
      <c r="BE1190" s="232"/>
      <c r="BF1190" s="232"/>
      <c r="BG1190" s="232"/>
      <c r="BH1190" s="232"/>
      <c r="BI1190" s="232"/>
      <c r="BJ1190" s="232"/>
      <c r="BK1190" s="232"/>
      <c r="BL1190" s="232"/>
      <c r="BM1190" s="232"/>
      <c r="BN1190" s="232"/>
      <c r="BO1190" s="232"/>
      <c r="BP1190" s="232"/>
      <c r="BQ1190" s="232"/>
      <c r="BR1190" s="232"/>
      <c r="BS1190" s="232"/>
      <c r="BT1190" s="232"/>
      <c r="BU1190" s="232"/>
      <c r="BV1190" s="232"/>
      <c r="BW1190" s="232"/>
      <c r="BX1190" s="232"/>
      <c r="BY1190" s="232"/>
      <c r="BZ1190" s="232"/>
      <c r="CA1190" s="232"/>
      <c r="CB1190" s="232"/>
      <c r="CC1190" s="232"/>
      <c r="CD1190" s="232"/>
      <c r="CE1190" s="232"/>
      <c r="CF1190" s="232"/>
      <c r="CG1190" s="232"/>
      <c r="CH1190" s="232"/>
      <c r="CI1190" s="232"/>
      <c r="CJ1190" s="232"/>
      <c r="CK1190" s="232"/>
      <c r="CL1190" s="232"/>
      <c r="CM1190" s="232"/>
      <c r="CN1190" s="215"/>
      <c r="CO1190" s="215"/>
      <c r="CP1190" s="215"/>
      <c r="CQ1190" s="215"/>
      <c r="CR1190" s="215"/>
      <c r="CS1190" s="215"/>
      <c r="CT1190" s="215"/>
    </row>
    <row r="1191" ht="24.0" customHeight="1">
      <c r="A1191" s="287"/>
      <c r="B1191" s="287"/>
      <c r="C1191" s="287"/>
      <c r="D1191" s="232"/>
      <c r="E1191" s="232"/>
      <c r="F1191" s="232"/>
      <c r="G1191" s="232"/>
      <c r="H1191" s="232"/>
      <c r="I1191" s="232"/>
      <c r="J1191" s="232"/>
      <c r="K1191" s="232"/>
      <c r="L1191" s="232"/>
      <c r="M1191" s="232"/>
      <c r="N1191" s="289"/>
      <c r="O1191" s="232"/>
      <c r="P1191" s="232"/>
      <c r="Q1191" s="232"/>
      <c r="R1191" s="232"/>
      <c r="S1191" s="232"/>
      <c r="T1191" s="232"/>
      <c r="U1191" s="232"/>
      <c r="V1191" s="232"/>
      <c r="W1191" s="232"/>
      <c r="X1191" s="232"/>
      <c r="Y1191" s="232"/>
      <c r="Z1191" s="232"/>
      <c r="AA1191" s="232"/>
      <c r="AB1191" s="232"/>
      <c r="AC1191" s="232"/>
      <c r="AD1191" s="232"/>
      <c r="AE1191" s="232"/>
      <c r="AF1191" s="232"/>
      <c r="AG1191" s="232"/>
      <c r="AH1191" s="232"/>
      <c r="AI1191" s="232"/>
      <c r="AJ1191" s="232"/>
      <c r="AK1191" s="232"/>
      <c r="AL1191" s="232"/>
      <c r="AM1191" s="232"/>
      <c r="AN1191" s="232"/>
      <c r="AO1191" s="232"/>
      <c r="AP1191" s="232"/>
      <c r="AQ1191" s="232"/>
      <c r="AR1191" s="232"/>
      <c r="AS1191" s="232"/>
      <c r="AT1191" s="232"/>
      <c r="AU1191" s="232"/>
      <c r="AV1191" s="232"/>
      <c r="AW1191" s="232"/>
      <c r="AX1191" s="232"/>
      <c r="AY1191" s="232"/>
      <c r="AZ1191" s="232"/>
      <c r="BA1191" s="232"/>
      <c r="BB1191" s="232"/>
      <c r="BC1191" s="232"/>
      <c r="BD1191" s="232"/>
      <c r="BE1191" s="232"/>
      <c r="BF1191" s="232"/>
      <c r="BG1191" s="232"/>
      <c r="BH1191" s="232"/>
      <c r="BI1191" s="232"/>
      <c r="BJ1191" s="232"/>
      <c r="BK1191" s="232"/>
      <c r="BL1191" s="232"/>
      <c r="BM1191" s="232"/>
      <c r="BN1191" s="232"/>
      <c r="BO1191" s="232"/>
      <c r="BP1191" s="232"/>
      <c r="BQ1191" s="232"/>
      <c r="BR1191" s="232"/>
      <c r="BS1191" s="232"/>
      <c r="BT1191" s="232"/>
      <c r="BU1191" s="232"/>
      <c r="BV1191" s="232"/>
      <c r="BW1191" s="232"/>
      <c r="BX1191" s="232"/>
      <c r="BY1191" s="232"/>
      <c r="BZ1191" s="232"/>
      <c r="CA1191" s="232"/>
      <c r="CB1191" s="232"/>
      <c r="CC1191" s="232"/>
      <c r="CD1191" s="232"/>
      <c r="CE1191" s="232"/>
      <c r="CF1191" s="232"/>
      <c r="CG1191" s="232"/>
      <c r="CH1191" s="232"/>
      <c r="CI1191" s="232"/>
      <c r="CJ1191" s="232"/>
      <c r="CK1191" s="232"/>
      <c r="CL1191" s="232"/>
      <c r="CM1191" s="232"/>
      <c r="CN1191" s="215"/>
      <c r="CO1191" s="215"/>
      <c r="CP1191" s="215"/>
      <c r="CQ1191" s="215"/>
      <c r="CR1191" s="215"/>
      <c r="CS1191" s="215"/>
      <c r="CT1191" s="215"/>
    </row>
    <row r="1192" ht="24.0" customHeight="1">
      <c r="A1192" s="287"/>
      <c r="B1192" s="287"/>
      <c r="C1192" s="287"/>
      <c r="D1192" s="232"/>
      <c r="E1192" s="232"/>
      <c r="F1192" s="232"/>
      <c r="G1192" s="232"/>
      <c r="H1192" s="232"/>
      <c r="I1192" s="232"/>
      <c r="J1192" s="232"/>
      <c r="K1192" s="232"/>
      <c r="L1192" s="232"/>
      <c r="M1192" s="232"/>
      <c r="N1192" s="289"/>
      <c r="O1192" s="232"/>
      <c r="P1192" s="232"/>
      <c r="Q1192" s="232"/>
      <c r="R1192" s="232"/>
      <c r="S1192" s="232"/>
      <c r="T1192" s="232"/>
      <c r="U1192" s="232"/>
      <c r="V1192" s="232"/>
      <c r="W1192" s="232"/>
      <c r="X1192" s="232"/>
      <c r="Y1192" s="232"/>
      <c r="Z1192" s="232"/>
      <c r="AA1192" s="232"/>
      <c r="AB1192" s="232"/>
      <c r="AC1192" s="232"/>
      <c r="AD1192" s="232"/>
      <c r="AE1192" s="232"/>
      <c r="AF1192" s="232"/>
      <c r="AG1192" s="232"/>
      <c r="AH1192" s="232"/>
      <c r="AI1192" s="232"/>
      <c r="AJ1192" s="232"/>
      <c r="AK1192" s="232"/>
      <c r="AL1192" s="232"/>
      <c r="AM1192" s="232"/>
      <c r="AN1192" s="232"/>
      <c r="AO1192" s="232"/>
      <c r="AP1192" s="232"/>
      <c r="AQ1192" s="232"/>
      <c r="AR1192" s="232"/>
      <c r="AS1192" s="232"/>
      <c r="AT1192" s="232"/>
      <c r="AU1192" s="232"/>
      <c r="AV1192" s="232"/>
      <c r="AW1192" s="232"/>
      <c r="AX1192" s="232"/>
      <c r="AY1192" s="232"/>
      <c r="AZ1192" s="232"/>
      <c r="BA1192" s="232"/>
      <c r="BB1192" s="232"/>
      <c r="BC1192" s="232"/>
      <c r="BD1192" s="232"/>
      <c r="BE1192" s="232"/>
      <c r="BF1192" s="232"/>
      <c r="BG1192" s="232"/>
      <c r="BH1192" s="232"/>
      <c r="BI1192" s="232"/>
      <c r="BJ1192" s="232"/>
      <c r="BK1192" s="232"/>
      <c r="BL1192" s="232"/>
      <c r="BM1192" s="232"/>
      <c r="BN1192" s="232"/>
      <c r="BO1192" s="232"/>
      <c r="BP1192" s="232"/>
      <c r="BQ1192" s="232"/>
      <c r="BR1192" s="232"/>
      <c r="BS1192" s="232"/>
      <c r="BT1192" s="232"/>
      <c r="BU1192" s="232"/>
      <c r="BV1192" s="232"/>
      <c r="BW1192" s="232"/>
      <c r="BX1192" s="232"/>
      <c r="BY1192" s="232"/>
      <c r="BZ1192" s="232"/>
      <c r="CA1192" s="232"/>
      <c r="CB1192" s="232"/>
      <c r="CC1192" s="232"/>
      <c r="CD1192" s="232"/>
      <c r="CE1192" s="232"/>
      <c r="CF1192" s="232"/>
      <c r="CG1192" s="232"/>
      <c r="CH1192" s="232"/>
      <c r="CI1192" s="232"/>
      <c r="CJ1192" s="232"/>
      <c r="CK1192" s="232"/>
      <c r="CL1192" s="232"/>
      <c r="CM1192" s="232"/>
      <c r="CN1192" s="215"/>
      <c r="CO1192" s="215"/>
      <c r="CP1192" s="215"/>
      <c r="CQ1192" s="215"/>
      <c r="CR1192" s="215"/>
      <c r="CS1192" s="215"/>
      <c r="CT1192" s="215"/>
    </row>
    <row r="1193" ht="24.0" customHeight="1">
      <c r="A1193" s="287"/>
      <c r="B1193" s="287"/>
      <c r="C1193" s="287"/>
      <c r="D1193" s="232"/>
      <c r="E1193" s="232"/>
      <c r="F1193" s="232"/>
      <c r="G1193" s="232"/>
      <c r="H1193" s="232"/>
      <c r="I1193" s="232"/>
      <c r="J1193" s="232"/>
      <c r="K1193" s="232"/>
      <c r="L1193" s="232"/>
      <c r="M1193" s="232"/>
      <c r="N1193" s="289"/>
      <c r="O1193" s="232"/>
      <c r="P1193" s="232"/>
      <c r="Q1193" s="232"/>
      <c r="R1193" s="232"/>
      <c r="S1193" s="232"/>
      <c r="T1193" s="232"/>
      <c r="U1193" s="232"/>
      <c r="V1193" s="232"/>
      <c r="W1193" s="232"/>
      <c r="X1193" s="232"/>
      <c r="Y1193" s="232"/>
      <c r="Z1193" s="232"/>
      <c r="AA1193" s="232"/>
      <c r="AB1193" s="232"/>
      <c r="AC1193" s="232"/>
      <c r="AD1193" s="232"/>
      <c r="AE1193" s="232"/>
      <c r="AF1193" s="232"/>
      <c r="AG1193" s="232"/>
      <c r="AH1193" s="232"/>
      <c r="AI1193" s="232"/>
      <c r="AJ1193" s="232"/>
      <c r="AK1193" s="232"/>
      <c r="AL1193" s="232"/>
      <c r="AM1193" s="232"/>
      <c r="AN1193" s="232"/>
      <c r="AO1193" s="232"/>
      <c r="AP1193" s="232"/>
      <c r="AQ1193" s="232"/>
      <c r="AR1193" s="232"/>
      <c r="AS1193" s="232"/>
      <c r="AT1193" s="232"/>
      <c r="AU1193" s="232"/>
      <c r="AV1193" s="232"/>
      <c r="AW1193" s="232"/>
      <c r="AX1193" s="232"/>
      <c r="AY1193" s="232"/>
      <c r="AZ1193" s="232"/>
      <c r="BA1193" s="232"/>
      <c r="BB1193" s="232"/>
      <c r="BC1193" s="232"/>
      <c r="BD1193" s="232"/>
      <c r="BE1193" s="232"/>
      <c r="BF1193" s="232"/>
      <c r="BG1193" s="232"/>
      <c r="BH1193" s="232"/>
      <c r="BI1193" s="232"/>
      <c r="BJ1193" s="232"/>
      <c r="BK1193" s="232"/>
      <c r="BL1193" s="232"/>
      <c r="BM1193" s="232"/>
      <c r="BN1193" s="232"/>
      <c r="BO1193" s="232"/>
      <c r="BP1193" s="232"/>
      <c r="BQ1193" s="232"/>
      <c r="BR1193" s="232"/>
      <c r="BS1193" s="232"/>
      <c r="BT1193" s="232"/>
      <c r="BU1193" s="232"/>
      <c r="BV1193" s="232"/>
      <c r="BW1193" s="232"/>
      <c r="BX1193" s="232"/>
      <c r="BY1193" s="232"/>
      <c r="BZ1193" s="232"/>
      <c r="CA1193" s="232"/>
      <c r="CB1193" s="232"/>
      <c r="CC1193" s="232"/>
      <c r="CD1193" s="232"/>
      <c r="CE1193" s="232"/>
      <c r="CF1193" s="232"/>
      <c r="CG1193" s="232"/>
      <c r="CH1193" s="232"/>
      <c r="CI1193" s="232"/>
      <c r="CJ1193" s="232"/>
      <c r="CK1193" s="232"/>
      <c r="CL1193" s="232"/>
      <c r="CM1193" s="232"/>
      <c r="CN1193" s="215"/>
      <c r="CO1193" s="215"/>
      <c r="CP1193" s="215"/>
      <c r="CQ1193" s="215"/>
      <c r="CR1193" s="215"/>
      <c r="CS1193" s="215"/>
      <c r="CT1193" s="215"/>
    </row>
    <row r="1194" ht="24.0" customHeight="1">
      <c r="A1194" s="287"/>
      <c r="B1194" s="287"/>
      <c r="C1194" s="287"/>
      <c r="D1194" s="232"/>
      <c r="E1194" s="232"/>
      <c r="F1194" s="232"/>
      <c r="G1194" s="232"/>
      <c r="H1194" s="232"/>
      <c r="I1194" s="232"/>
      <c r="J1194" s="232"/>
      <c r="K1194" s="232"/>
      <c r="L1194" s="232"/>
      <c r="M1194" s="232"/>
      <c r="N1194" s="289"/>
      <c r="O1194" s="232"/>
      <c r="P1194" s="232"/>
      <c r="Q1194" s="232"/>
      <c r="R1194" s="232"/>
      <c r="S1194" s="232"/>
      <c r="T1194" s="232"/>
      <c r="U1194" s="232"/>
      <c r="V1194" s="232"/>
      <c r="W1194" s="232"/>
      <c r="X1194" s="232"/>
      <c r="Y1194" s="232"/>
      <c r="Z1194" s="232"/>
      <c r="AA1194" s="232"/>
      <c r="AB1194" s="232"/>
      <c r="AC1194" s="232"/>
      <c r="AD1194" s="232"/>
      <c r="AE1194" s="232"/>
      <c r="AF1194" s="232"/>
      <c r="AG1194" s="232"/>
      <c r="AH1194" s="232"/>
      <c r="AI1194" s="232"/>
      <c r="AJ1194" s="232"/>
      <c r="AK1194" s="232"/>
      <c r="AL1194" s="232"/>
      <c r="AM1194" s="232"/>
      <c r="AN1194" s="232"/>
      <c r="AO1194" s="232"/>
      <c r="AP1194" s="232"/>
      <c r="AQ1194" s="232"/>
      <c r="AR1194" s="232"/>
      <c r="AS1194" s="232"/>
      <c r="AT1194" s="232"/>
      <c r="AU1194" s="232"/>
      <c r="AV1194" s="232"/>
      <c r="AW1194" s="232"/>
      <c r="AX1194" s="232"/>
      <c r="AY1194" s="232"/>
      <c r="AZ1194" s="232"/>
      <c r="BA1194" s="232"/>
      <c r="BB1194" s="232"/>
      <c r="BC1194" s="232"/>
      <c r="BD1194" s="232"/>
      <c r="BE1194" s="232"/>
      <c r="BF1194" s="232"/>
      <c r="BG1194" s="232"/>
      <c r="BH1194" s="232"/>
      <c r="BI1194" s="232"/>
      <c r="BJ1194" s="232"/>
      <c r="BK1194" s="232"/>
      <c r="BL1194" s="232"/>
      <c r="BM1194" s="232"/>
      <c r="BN1194" s="232"/>
      <c r="BO1194" s="232"/>
      <c r="BP1194" s="232"/>
      <c r="BQ1194" s="232"/>
      <c r="BR1194" s="232"/>
      <c r="BS1194" s="232"/>
      <c r="BT1194" s="232"/>
      <c r="BU1194" s="232"/>
      <c r="BV1194" s="232"/>
      <c r="BW1194" s="232"/>
      <c r="BX1194" s="232"/>
      <c r="BY1194" s="232"/>
      <c r="BZ1194" s="232"/>
      <c r="CA1194" s="232"/>
      <c r="CB1194" s="232"/>
      <c r="CC1194" s="232"/>
      <c r="CD1194" s="232"/>
      <c r="CE1194" s="232"/>
      <c r="CF1194" s="232"/>
      <c r="CG1194" s="232"/>
      <c r="CH1194" s="232"/>
      <c r="CI1194" s="232"/>
      <c r="CJ1194" s="232"/>
      <c r="CK1194" s="232"/>
      <c r="CL1194" s="232"/>
      <c r="CM1194" s="232"/>
      <c r="CN1194" s="215"/>
      <c r="CO1194" s="215"/>
      <c r="CP1194" s="215"/>
      <c r="CQ1194" s="215"/>
      <c r="CR1194" s="215"/>
      <c r="CS1194" s="215"/>
      <c r="CT1194" s="215"/>
    </row>
    <row r="1195" ht="24.0" customHeight="1">
      <c r="A1195" s="287"/>
      <c r="B1195" s="287"/>
      <c r="C1195" s="287"/>
      <c r="D1195" s="232"/>
      <c r="E1195" s="232"/>
      <c r="F1195" s="232"/>
      <c r="G1195" s="232"/>
      <c r="H1195" s="232"/>
      <c r="I1195" s="232"/>
      <c r="J1195" s="232"/>
      <c r="K1195" s="232"/>
      <c r="L1195" s="232"/>
      <c r="M1195" s="232"/>
      <c r="N1195" s="289"/>
      <c r="O1195" s="232"/>
      <c r="P1195" s="232"/>
      <c r="Q1195" s="232"/>
      <c r="R1195" s="232"/>
      <c r="S1195" s="232"/>
      <c r="T1195" s="232"/>
      <c r="U1195" s="232"/>
      <c r="V1195" s="232"/>
      <c r="W1195" s="232"/>
      <c r="X1195" s="232"/>
      <c r="Y1195" s="232"/>
      <c r="Z1195" s="232"/>
      <c r="AA1195" s="232"/>
      <c r="AB1195" s="232"/>
      <c r="AC1195" s="232"/>
      <c r="AD1195" s="232"/>
      <c r="AE1195" s="232"/>
      <c r="AF1195" s="232"/>
      <c r="AG1195" s="232"/>
      <c r="AH1195" s="232"/>
      <c r="AI1195" s="232"/>
      <c r="AJ1195" s="232"/>
      <c r="AK1195" s="232"/>
      <c r="AL1195" s="232"/>
      <c r="AM1195" s="232"/>
      <c r="AN1195" s="232"/>
      <c r="AO1195" s="232"/>
      <c r="AP1195" s="232"/>
      <c r="AQ1195" s="232"/>
      <c r="AR1195" s="232"/>
      <c r="AS1195" s="232"/>
      <c r="AT1195" s="232"/>
      <c r="AU1195" s="232"/>
      <c r="AV1195" s="232"/>
      <c r="AW1195" s="232"/>
      <c r="AX1195" s="232"/>
      <c r="AY1195" s="232"/>
      <c r="AZ1195" s="232"/>
      <c r="BA1195" s="232"/>
      <c r="BB1195" s="232"/>
      <c r="BC1195" s="232"/>
      <c r="BD1195" s="232"/>
      <c r="BE1195" s="232"/>
      <c r="BF1195" s="232"/>
      <c r="BG1195" s="232"/>
      <c r="BH1195" s="232"/>
      <c r="BI1195" s="232"/>
      <c r="BJ1195" s="232"/>
      <c r="BK1195" s="232"/>
      <c r="BL1195" s="232"/>
      <c r="BM1195" s="232"/>
      <c r="BN1195" s="232"/>
      <c r="BO1195" s="232"/>
      <c r="BP1195" s="232"/>
      <c r="BQ1195" s="232"/>
      <c r="BR1195" s="232"/>
      <c r="BS1195" s="232"/>
      <c r="BT1195" s="232"/>
      <c r="BU1195" s="232"/>
      <c r="BV1195" s="232"/>
      <c r="BW1195" s="232"/>
      <c r="BX1195" s="232"/>
      <c r="BY1195" s="232"/>
      <c r="BZ1195" s="232"/>
      <c r="CA1195" s="232"/>
      <c r="CB1195" s="232"/>
      <c r="CC1195" s="232"/>
      <c r="CD1195" s="232"/>
      <c r="CE1195" s="232"/>
      <c r="CF1195" s="232"/>
      <c r="CG1195" s="232"/>
      <c r="CH1195" s="232"/>
      <c r="CI1195" s="232"/>
      <c r="CJ1195" s="232"/>
      <c r="CK1195" s="232"/>
      <c r="CL1195" s="232"/>
      <c r="CM1195" s="232"/>
      <c r="CN1195" s="215"/>
      <c r="CO1195" s="215"/>
      <c r="CP1195" s="215"/>
      <c r="CQ1195" s="215"/>
      <c r="CR1195" s="215"/>
      <c r="CS1195" s="215"/>
      <c r="CT1195" s="215"/>
    </row>
    <row r="1196" ht="24.0" customHeight="1">
      <c r="A1196" s="287"/>
      <c r="B1196" s="287"/>
      <c r="C1196" s="287"/>
      <c r="D1196" s="232"/>
      <c r="E1196" s="232"/>
      <c r="F1196" s="232"/>
      <c r="G1196" s="232"/>
      <c r="H1196" s="232"/>
      <c r="I1196" s="232"/>
      <c r="J1196" s="232"/>
      <c r="K1196" s="232"/>
      <c r="L1196" s="232"/>
      <c r="M1196" s="232"/>
      <c r="N1196" s="289"/>
      <c r="O1196" s="232"/>
      <c r="P1196" s="232"/>
      <c r="Q1196" s="232"/>
      <c r="R1196" s="232"/>
      <c r="S1196" s="232"/>
      <c r="T1196" s="232"/>
      <c r="U1196" s="232"/>
      <c r="V1196" s="232"/>
      <c r="W1196" s="232"/>
      <c r="X1196" s="232"/>
      <c r="Y1196" s="232"/>
      <c r="Z1196" s="232"/>
      <c r="AA1196" s="232"/>
      <c r="AB1196" s="232"/>
      <c r="AC1196" s="232"/>
      <c r="AD1196" s="232"/>
      <c r="AE1196" s="232"/>
      <c r="AF1196" s="232"/>
      <c r="AG1196" s="232"/>
      <c r="AH1196" s="232"/>
      <c r="AI1196" s="232"/>
      <c r="AJ1196" s="232"/>
      <c r="AK1196" s="232"/>
      <c r="AL1196" s="232"/>
      <c r="AM1196" s="232"/>
      <c r="AN1196" s="232"/>
      <c r="AO1196" s="232"/>
      <c r="AP1196" s="232"/>
      <c r="AQ1196" s="232"/>
      <c r="AR1196" s="232"/>
      <c r="AS1196" s="232"/>
      <c r="AT1196" s="232"/>
      <c r="AU1196" s="232"/>
      <c r="AV1196" s="232"/>
      <c r="AW1196" s="232"/>
      <c r="AX1196" s="232"/>
      <c r="AY1196" s="232"/>
      <c r="AZ1196" s="232"/>
      <c r="BA1196" s="232"/>
      <c r="BB1196" s="232"/>
      <c r="BC1196" s="232"/>
      <c r="BD1196" s="232"/>
      <c r="BE1196" s="232"/>
      <c r="BF1196" s="232"/>
      <c r="BG1196" s="232"/>
      <c r="BH1196" s="232"/>
      <c r="BI1196" s="232"/>
      <c r="BJ1196" s="232"/>
      <c r="BK1196" s="232"/>
      <c r="BL1196" s="232"/>
      <c r="BM1196" s="232"/>
      <c r="BN1196" s="232"/>
      <c r="BO1196" s="232"/>
      <c r="BP1196" s="232"/>
      <c r="BQ1196" s="232"/>
      <c r="BR1196" s="232"/>
      <c r="BS1196" s="232"/>
      <c r="BT1196" s="232"/>
      <c r="BU1196" s="232"/>
      <c r="BV1196" s="232"/>
      <c r="BW1196" s="232"/>
      <c r="BX1196" s="232"/>
      <c r="BY1196" s="232"/>
      <c r="BZ1196" s="232"/>
      <c r="CA1196" s="232"/>
      <c r="CB1196" s="232"/>
      <c r="CC1196" s="232"/>
      <c r="CD1196" s="232"/>
      <c r="CE1196" s="232"/>
      <c r="CF1196" s="232"/>
      <c r="CG1196" s="232"/>
      <c r="CH1196" s="232"/>
      <c r="CI1196" s="232"/>
      <c r="CJ1196" s="232"/>
      <c r="CK1196" s="232"/>
      <c r="CL1196" s="232"/>
      <c r="CM1196" s="232"/>
      <c r="CN1196" s="215"/>
      <c r="CO1196" s="215"/>
      <c r="CP1196" s="215"/>
      <c r="CQ1196" s="215"/>
      <c r="CR1196" s="215"/>
      <c r="CS1196" s="215"/>
      <c r="CT1196" s="215"/>
    </row>
    <row r="1197" ht="24.0" customHeight="1">
      <c r="A1197" s="287"/>
      <c r="B1197" s="287"/>
      <c r="C1197" s="287"/>
      <c r="D1197" s="232"/>
      <c r="E1197" s="232"/>
      <c r="F1197" s="232"/>
      <c r="G1197" s="232"/>
      <c r="H1197" s="232"/>
      <c r="I1197" s="232"/>
      <c r="J1197" s="232"/>
      <c r="K1197" s="232"/>
      <c r="L1197" s="232"/>
      <c r="M1197" s="232"/>
      <c r="N1197" s="289"/>
      <c r="O1197" s="232"/>
      <c r="P1197" s="232"/>
      <c r="Q1197" s="232"/>
      <c r="R1197" s="232"/>
      <c r="S1197" s="232"/>
      <c r="T1197" s="232"/>
      <c r="U1197" s="232"/>
      <c r="V1197" s="232"/>
      <c r="W1197" s="232"/>
      <c r="X1197" s="232"/>
      <c r="Y1197" s="232"/>
      <c r="Z1197" s="232"/>
      <c r="AA1197" s="232"/>
      <c r="AB1197" s="232"/>
      <c r="AC1197" s="232"/>
      <c r="AD1197" s="232"/>
      <c r="AE1197" s="232"/>
      <c r="AF1197" s="232"/>
      <c r="AG1197" s="232"/>
      <c r="AH1197" s="232"/>
      <c r="AI1197" s="232"/>
      <c r="AJ1197" s="232"/>
      <c r="AK1197" s="232"/>
      <c r="AL1197" s="232"/>
      <c r="AM1197" s="232"/>
      <c r="AN1197" s="232"/>
      <c r="AO1197" s="232"/>
      <c r="AP1197" s="232"/>
      <c r="AQ1197" s="232"/>
      <c r="AR1197" s="232"/>
      <c r="AS1197" s="232"/>
      <c r="AT1197" s="232"/>
      <c r="AU1197" s="232"/>
      <c r="AV1197" s="232"/>
      <c r="AW1197" s="232"/>
      <c r="AX1197" s="232"/>
      <c r="AY1197" s="232"/>
      <c r="AZ1197" s="232"/>
      <c r="BA1197" s="232"/>
      <c r="BB1197" s="232"/>
      <c r="BC1197" s="232"/>
      <c r="BD1197" s="232"/>
      <c r="BE1197" s="232"/>
      <c r="BF1197" s="232"/>
      <c r="BG1197" s="232"/>
      <c r="BH1197" s="232"/>
      <c r="BI1197" s="232"/>
      <c r="BJ1197" s="232"/>
      <c r="BK1197" s="232"/>
      <c r="BL1197" s="232"/>
      <c r="BM1197" s="232"/>
      <c r="BN1197" s="232"/>
      <c r="BO1197" s="232"/>
      <c r="BP1197" s="232"/>
      <c r="BQ1197" s="232"/>
      <c r="BR1197" s="232"/>
      <c r="BS1197" s="232"/>
      <c r="BT1197" s="232"/>
      <c r="BU1197" s="232"/>
      <c r="BV1197" s="232"/>
      <c r="BW1197" s="232"/>
      <c r="BX1197" s="232"/>
      <c r="BY1197" s="232"/>
      <c r="BZ1197" s="232"/>
      <c r="CA1197" s="232"/>
      <c r="CB1197" s="232"/>
      <c r="CC1197" s="232"/>
      <c r="CD1197" s="232"/>
      <c r="CE1197" s="232"/>
      <c r="CF1197" s="232"/>
      <c r="CG1197" s="232"/>
      <c r="CH1197" s="232"/>
      <c r="CI1197" s="232"/>
      <c r="CJ1197" s="232"/>
      <c r="CK1197" s="232"/>
      <c r="CL1197" s="232"/>
      <c r="CM1197" s="232"/>
      <c r="CN1197" s="215"/>
      <c r="CO1197" s="215"/>
      <c r="CP1197" s="215"/>
      <c r="CQ1197" s="215"/>
      <c r="CR1197" s="215"/>
      <c r="CS1197" s="215"/>
      <c r="CT1197" s="215"/>
    </row>
    <row r="1198" ht="24.0" customHeight="1">
      <c r="A1198" s="287"/>
      <c r="B1198" s="287"/>
      <c r="C1198" s="287"/>
      <c r="D1198" s="232"/>
      <c r="E1198" s="232"/>
      <c r="F1198" s="232"/>
      <c r="G1198" s="232"/>
      <c r="H1198" s="232"/>
      <c r="I1198" s="232"/>
      <c r="J1198" s="232"/>
      <c r="K1198" s="232"/>
      <c r="L1198" s="232"/>
      <c r="M1198" s="232"/>
      <c r="N1198" s="289"/>
      <c r="O1198" s="232"/>
      <c r="P1198" s="232"/>
      <c r="Q1198" s="232"/>
      <c r="R1198" s="232"/>
      <c r="S1198" s="232"/>
      <c r="T1198" s="232"/>
      <c r="U1198" s="232"/>
      <c r="V1198" s="232"/>
      <c r="W1198" s="232"/>
      <c r="X1198" s="232"/>
      <c r="Y1198" s="232"/>
      <c r="Z1198" s="232"/>
      <c r="AA1198" s="232"/>
      <c r="AB1198" s="232"/>
      <c r="AC1198" s="232"/>
      <c r="AD1198" s="232"/>
      <c r="AE1198" s="232"/>
      <c r="AF1198" s="232"/>
      <c r="AG1198" s="232"/>
      <c r="AH1198" s="232"/>
      <c r="AI1198" s="232"/>
      <c r="AJ1198" s="232"/>
      <c r="AK1198" s="232"/>
      <c r="AL1198" s="232"/>
      <c r="AM1198" s="232"/>
      <c r="AN1198" s="232"/>
      <c r="AO1198" s="232"/>
      <c r="AP1198" s="232"/>
      <c r="AQ1198" s="232"/>
      <c r="AR1198" s="232"/>
      <c r="AS1198" s="232"/>
      <c r="AT1198" s="232"/>
      <c r="AU1198" s="232"/>
      <c r="AV1198" s="232"/>
      <c r="AW1198" s="232"/>
      <c r="AX1198" s="232"/>
      <c r="AY1198" s="232"/>
      <c r="AZ1198" s="232"/>
      <c r="BA1198" s="232"/>
      <c r="BB1198" s="232"/>
      <c r="BC1198" s="232"/>
      <c r="BD1198" s="232"/>
      <c r="BE1198" s="232"/>
      <c r="BF1198" s="232"/>
      <c r="BG1198" s="232"/>
      <c r="BH1198" s="232"/>
      <c r="BI1198" s="232"/>
      <c r="BJ1198" s="232"/>
      <c r="BK1198" s="232"/>
      <c r="BL1198" s="232"/>
      <c r="BM1198" s="232"/>
      <c r="BN1198" s="232"/>
      <c r="BO1198" s="232"/>
      <c r="BP1198" s="232"/>
      <c r="BQ1198" s="232"/>
      <c r="BR1198" s="232"/>
      <c r="BS1198" s="232"/>
      <c r="BT1198" s="232"/>
      <c r="BU1198" s="232"/>
      <c r="BV1198" s="232"/>
      <c r="BW1198" s="232"/>
      <c r="BX1198" s="232"/>
      <c r="BY1198" s="232"/>
      <c r="BZ1198" s="232"/>
      <c r="CA1198" s="232"/>
      <c r="CB1198" s="232"/>
      <c r="CC1198" s="232"/>
      <c r="CD1198" s="232"/>
      <c r="CE1198" s="232"/>
      <c r="CF1198" s="232"/>
      <c r="CG1198" s="232"/>
      <c r="CH1198" s="232"/>
      <c r="CI1198" s="232"/>
      <c r="CJ1198" s="232"/>
      <c r="CK1198" s="232"/>
      <c r="CL1198" s="232"/>
      <c r="CM1198" s="232"/>
      <c r="CN1198" s="215"/>
      <c r="CO1198" s="215"/>
      <c r="CP1198" s="215"/>
      <c r="CQ1198" s="215"/>
      <c r="CR1198" s="215"/>
      <c r="CS1198" s="215"/>
      <c r="CT1198" s="215"/>
    </row>
    <row r="1199" ht="24.0" customHeight="1">
      <c r="A1199" s="287"/>
      <c r="B1199" s="287"/>
      <c r="C1199" s="287"/>
      <c r="D1199" s="232"/>
      <c r="E1199" s="232"/>
      <c r="F1199" s="232"/>
      <c r="G1199" s="232"/>
      <c r="H1199" s="232"/>
      <c r="I1199" s="232"/>
      <c r="J1199" s="232"/>
      <c r="K1199" s="232"/>
      <c r="L1199" s="232"/>
      <c r="M1199" s="232"/>
      <c r="N1199" s="289"/>
      <c r="O1199" s="232"/>
      <c r="P1199" s="232"/>
      <c r="Q1199" s="232"/>
      <c r="R1199" s="232"/>
      <c r="S1199" s="232"/>
      <c r="T1199" s="232"/>
      <c r="U1199" s="232"/>
      <c r="V1199" s="232"/>
      <c r="W1199" s="232"/>
      <c r="X1199" s="232"/>
      <c r="Y1199" s="232"/>
      <c r="Z1199" s="232"/>
      <c r="AA1199" s="232"/>
      <c r="AB1199" s="232"/>
      <c r="AC1199" s="232"/>
      <c r="AD1199" s="232"/>
      <c r="AE1199" s="232"/>
      <c r="AF1199" s="232"/>
      <c r="AG1199" s="232"/>
      <c r="AH1199" s="232"/>
      <c r="AI1199" s="232"/>
      <c r="AJ1199" s="232"/>
      <c r="AK1199" s="232"/>
      <c r="AL1199" s="232"/>
      <c r="AM1199" s="232"/>
      <c r="AN1199" s="232"/>
      <c r="AO1199" s="232"/>
      <c r="AP1199" s="232"/>
      <c r="AQ1199" s="232"/>
      <c r="AR1199" s="232"/>
      <c r="AS1199" s="232"/>
      <c r="AT1199" s="232"/>
      <c r="AU1199" s="232"/>
      <c r="AV1199" s="232"/>
      <c r="AW1199" s="232"/>
      <c r="AX1199" s="232"/>
      <c r="AY1199" s="232"/>
      <c r="AZ1199" s="232"/>
      <c r="BA1199" s="232"/>
      <c r="BB1199" s="232"/>
      <c r="BC1199" s="232"/>
      <c r="BD1199" s="232"/>
      <c r="BE1199" s="232"/>
      <c r="BF1199" s="232"/>
      <c r="BG1199" s="232"/>
      <c r="BH1199" s="232"/>
      <c r="BI1199" s="232"/>
      <c r="BJ1199" s="232"/>
      <c r="BK1199" s="232"/>
      <c r="BL1199" s="232"/>
      <c r="BM1199" s="232"/>
      <c r="BN1199" s="232"/>
      <c r="BO1199" s="232"/>
      <c r="BP1199" s="232"/>
      <c r="BQ1199" s="232"/>
      <c r="BR1199" s="232"/>
      <c r="BS1199" s="232"/>
      <c r="BT1199" s="232"/>
      <c r="BU1199" s="232"/>
      <c r="BV1199" s="232"/>
      <c r="BW1199" s="232"/>
      <c r="BX1199" s="232"/>
      <c r="BY1199" s="232"/>
      <c r="BZ1199" s="232"/>
      <c r="CA1199" s="232"/>
      <c r="CB1199" s="232"/>
      <c r="CC1199" s="232"/>
      <c r="CD1199" s="232"/>
      <c r="CE1199" s="232"/>
      <c r="CF1199" s="232"/>
      <c r="CG1199" s="232"/>
      <c r="CH1199" s="232"/>
      <c r="CI1199" s="232"/>
      <c r="CJ1199" s="232"/>
      <c r="CK1199" s="232"/>
      <c r="CL1199" s="232"/>
      <c r="CM1199" s="232"/>
      <c r="CN1199" s="215"/>
      <c r="CO1199" s="215"/>
      <c r="CP1199" s="215"/>
      <c r="CQ1199" s="215"/>
      <c r="CR1199" s="215"/>
      <c r="CS1199" s="215"/>
      <c r="CT1199" s="215"/>
    </row>
    <row r="1200" ht="24.0" customHeight="1">
      <c r="A1200" s="287"/>
      <c r="B1200" s="287"/>
      <c r="C1200" s="287"/>
      <c r="D1200" s="232"/>
      <c r="E1200" s="232"/>
      <c r="F1200" s="232"/>
      <c r="G1200" s="232"/>
      <c r="H1200" s="232"/>
      <c r="I1200" s="232"/>
      <c r="J1200" s="232"/>
      <c r="K1200" s="232"/>
      <c r="L1200" s="232"/>
      <c r="M1200" s="232"/>
      <c r="N1200" s="289"/>
      <c r="O1200" s="232"/>
      <c r="P1200" s="232"/>
      <c r="Q1200" s="232"/>
      <c r="R1200" s="232"/>
      <c r="S1200" s="232"/>
      <c r="T1200" s="232"/>
      <c r="U1200" s="232"/>
      <c r="V1200" s="232"/>
      <c r="W1200" s="232"/>
      <c r="X1200" s="232"/>
      <c r="Y1200" s="232"/>
      <c r="Z1200" s="232"/>
      <c r="AA1200" s="232"/>
      <c r="AB1200" s="232"/>
      <c r="AC1200" s="232"/>
      <c r="AD1200" s="232"/>
      <c r="AE1200" s="232"/>
      <c r="AF1200" s="232"/>
      <c r="AG1200" s="232"/>
      <c r="AH1200" s="232"/>
      <c r="AI1200" s="232"/>
      <c r="AJ1200" s="232"/>
      <c r="AK1200" s="232"/>
      <c r="AL1200" s="232"/>
      <c r="AM1200" s="232"/>
      <c r="AN1200" s="232"/>
      <c r="AO1200" s="232"/>
      <c r="AP1200" s="232"/>
      <c r="AQ1200" s="232"/>
      <c r="AR1200" s="232"/>
      <c r="AS1200" s="232"/>
      <c r="AT1200" s="232"/>
      <c r="AU1200" s="232"/>
      <c r="AV1200" s="232"/>
      <c r="AW1200" s="232"/>
      <c r="AX1200" s="232"/>
      <c r="AY1200" s="232"/>
      <c r="AZ1200" s="232"/>
      <c r="BA1200" s="232"/>
      <c r="BB1200" s="232"/>
      <c r="BC1200" s="232"/>
      <c r="BD1200" s="232"/>
      <c r="BE1200" s="232"/>
      <c r="BF1200" s="232"/>
      <c r="BG1200" s="232"/>
      <c r="BH1200" s="232"/>
      <c r="BI1200" s="232"/>
      <c r="BJ1200" s="232"/>
      <c r="BK1200" s="232"/>
      <c r="BL1200" s="232"/>
      <c r="BM1200" s="232"/>
      <c r="BN1200" s="232"/>
      <c r="BO1200" s="232"/>
      <c r="BP1200" s="232"/>
      <c r="BQ1200" s="232"/>
      <c r="BR1200" s="232"/>
      <c r="BS1200" s="232"/>
      <c r="BT1200" s="232"/>
      <c r="BU1200" s="232"/>
      <c r="BV1200" s="232"/>
      <c r="BW1200" s="232"/>
      <c r="BX1200" s="232"/>
      <c r="BY1200" s="232"/>
      <c r="BZ1200" s="232"/>
      <c r="CA1200" s="232"/>
      <c r="CB1200" s="232"/>
      <c r="CC1200" s="232"/>
      <c r="CD1200" s="232"/>
      <c r="CE1200" s="232"/>
      <c r="CF1200" s="232"/>
      <c r="CG1200" s="232"/>
      <c r="CH1200" s="232"/>
      <c r="CI1200" s="232"/>
      <c r="CJ1200" s="232"/>
      <c r="CK1200" s="232"/>
      <c r="CL1200" s="232"/>
      <c r="CM1200" s="232"/>
      <c r="CN1200" s="215"/>
      <c r="CO1200" s="215"/>
      <c r="CP1200" s="215"/>
      <c r="CQ1200" s="215"/>
      <c r="CR1200" s="215"/>
      <c r="CS1200" s="215"/>
      <c r="CT1200" s="215"/>
    </row>
    <row r="1201" ht="24.0" customHeight="1">
      <c r="A1201" s="287"/>
      <c r="B1201" s="287"/>
      <c r="C1201" s="287"/>
      <c r="D1201" s="232"/>
      <c r="E1201" s="232"/>
      <c r="F1201" s="232"/>
      <c r="G1201" s="232"/>
      <c r="H1201" s="232"/>
      <c r="I1201" s="232"/>
      <c r="J1201" s="232"/>
      <c r="K1201" s="232"/>
      <c r="L1201" s="232"/>
      <c r="M1201" s="232"/>
      <c r="N1201" s="289"/>
      <c r="O1201" s="232"/>
      <c r="P1201" s="232"/>
      <c r="Q1201" s="232"/>
      <c r="R1201" s="232"/>
      <c r="S1201" s="232"/>
      <c r="T1201" s="232"/>
      <c r="U1201" s="232"/>
      <c r="V1201" s="232"/>
      <c r="W1201" s="232"/>
      <c r="X1201" s="232"/>
      <c r="Y1201" s="232"/>
      <c r="Z1201" s="232"/>
      <c r="AA1201" s="232"/>
      <c r="AB1201" s="232"/>
      <c r="AC1201" s="232"/>
      <c r="AD1201" s="232"/>
      <c r="AE1201" s="232"/>
      <c r="AF1201" s="232"/>
      <c r="AG1201" s="232"/>
      <c r="AH1201" s="232"/>
      <c r="AI1201" s="232"/>
      <c r="AJ1201" s="232"/>
      <c r="AK1201" s="232"/>
      <c r="AL1201" s="232"/>
      <c r="AM1201" s="232"/>
      <c r="AN1201" s="232"/>
      <c r="AO1201" s="232"/>
      <c r="AP1201" s="232"/>
      <c r="AQ1201" s="232"/>
      <c r="AR1201" s="232"/>
      <c r="AS1201" s="232"/>
      <c r="AT1201" s="232"/>
      <c r="AU1201" s="232"/>
      <c r="AV1201" s="232"/>
      <c r="AW1201" s="232"/>
      <c r="AX1201" s="232"/>
      <c r="AY1201" s="232"/>
      <c r="AZ1201" s="232"/>
      <c r="BA1201" s="232"/>
      <c r="BB1201" s="232"/>
      <c r="BC1201" s="232"/>
      <c r="BD1201" s="232"/>
      <c r="BE1201" s="232"/>
      <c r="BF1201" s="232"/>
      <c r="BG1201" s="232"/>
      <c r="BH1201" s="232"/>
      <c r="BI1201" s="232"/>
      <c r="BJ1201" s="232"/>
      <c r="BK1201" s="232"/>
      <c r="BL1201" s="232"/>
      <c r="BM1201" s="232"/>
      <c r="BN1201" s="232"/>
      <c r="BO1201" s="232"/>
      <c r="BP1201" s="232"/>
      <c r="BQ1201" s="232"/>
      <c r="BR1201" s="232"/>
      <c r="BS1201" s="232"/>
      <c r="BT1201" s="232"/>
      <c r="BU1201" s="232"/>
      <c r="BV1201" s="232"/>
      <c r="BW1201" s="232"/>
      <c r="BX1201" s="232"/>
      <c r="BY1201" s="232"/>
      <c r="BZ1201" s="232"/>
      <c r="CA1201" s="232"/>
      <c r="CB1201" s="232"/>
      <c r="CC1201" s="232"/>
      <c r="CD1201" s="232"/>
      <c r="CE1201" s="232"/>
      <c r="CF1201" s="232"/>
      <c r="CG1201" s="232"/>
      <c r="CH1201" s="232"/>
      <c r="CI1201" s="232"/>
      <c r="CJ1201" s="232"/>
      <c r="CK1201" s="232"/>
      <c r="CL1201" s="232"/>
      <c r="CM1201" s="232"/>
      <c r="CN1201" s="215"/>
      <c r="CO1201" s="215"/>
      <c r="CP1201" s="215"/>
      <c r="CQ1201" s="215"/>
      <c r="CR1201" s="215"/>
      <c r="CS1201" s="215"/>
      <c r="CT1201" s="215"/>
    </row>
    <row r="1202" ht="24.0" customHeight="1">
      <c r="A1202" s="287"/>
      <c r="B1202" s="287"/>
      <c r="C1202" s="287"/>
      <c r="D1202" s="232"/>
      <c r="E1202" s="232"/>
      <c r="F1202" s="232"/>
      <c r="G1202" s="232"/>
      <c r="H1202" s="232"/>
      <c r="I1202" s="232"/>
      <c r="J1202" s="232"/>
      <c r="K1202" s="232"/>
      <c r="L1202" s="232"/>
      <c r="M1202" s="232"/>
      <c r="N1202" s="289"/>
      <c r="O1202" s="232"/>
      <c r="P1202" s="232"/>
      <c r="Q1202" s="232"/>
      <c r="R1202" s="232"/>
      <c r="S1202" s="232"/>
      <c r="T1202" s="232"/>
      <c r="U1202" s="232"/>
      <c r="V1202" s="232"/>
      <c r="W1202" s="232"/>
      <c r="X1202" s="232"/>
      <c r="Y1202" s="232"/>
      <c r="Z1202" s="232"/>
      <c r="AA1202" s="232"/>
      <c r="AB1202" s="232"/>
      <c r="AC1202" s="232"/>
      <c r="AD1202" s="232"/>
      <c r="AE1202" s="232"/>
      <c r="AF1202" s="232"/>
      <c r="AG1202" s="232"/>
      <c r="AH1202" s="232"/>
      <c r="AI1202" s="232"/>
      <c r="AJ1202" s="232"/>
      <c r="AK1202" s="232"/>
      <c r="AL1202" s="232"/>
      <c r="AM1202" s="232"/>
      <c r="AN1202" s="232"/>
      <c r="AO1202" s="232"/>
      <c r="AP1202" s="232"/>
      <c r="AQ1202" s="232"/>
      <c r="AR1202" s="232"/>
      <c r="AS1202" s="232"/>
      <c r="AT1202" s="232"/>
      <c r="AU1202" s="232"/>
      <c r="AV1202" s="232"/>
      <c r="AW1202" s="232"/>
      <c r="AX1202" s="232"/>
      <c r="AY1202" s="232"/>
      <c r="AZ1202" s="232"/>
      <c r="BA1202" s="232"/>
      <c r="BB1202" s="232"/>
      <c r="BC1202" s="232"/>
      <c r="BD1202" s="232"/>
      <c r="BE1202" s="232"/>
      <c r="BF1202" s="232"/>
      <c r="BG1202" s="232"/>
      <c r="BH1202" s="232"/>
      <c r="BI1202" s="232"/>
      <c r="BJ1202" s="232"/>
      <c r="BK1202" s="232"/>
      <c r="BL1202" s="232"/>
      <c r="BM1202" s="232"/>
      <c r="BN1202" s="232"/>
      <c r="BO1202" s="232"/>
      <c r="BP1202" s="232"/>
      <c r="BQ1202" s="232"/>
      <c r="BR1202" s="232"/>
      <c r="BS1202" s="232"/>
      <c r="BT1202" s="232"/>
      <c r="BU1202" s="232"/>
      <c r="BV1202" s="232"/>
      <c r="BW1202" s="232"/>
      <c r="BX1202" s="232"/>
      <c r="BY1202" s="232"/>
      <c r="BZ1202" s="232"/>
      <c r="CA1202" s="232"/>
      <c r="CB1202" s="232"/>
      <c r="CC1202" s="232"/>
      <c r="CD1202" s="232"/>
      <c r="CE1202" s="232"/>
      <c r="CF1202" s="232"/>
      <c r="CG1202" s="232"/>
      <c r="CH1202" s="232"/>
      <c r="CI1202" s="232"/>
      <c r="CJ1202" s="232"/>
      <c r="CK1202" s="232"/>
      <c r="CL1202" s="232"/>
      <c r="CM1202" s="232"/>
      <c r="CN1202" s="215"/>
      <c r="CO1202" s="215"/>
      <c r="CP1202" s="215"/>
      <c r="CQ1202" s="215"/>
      <c r="CR1202" s="215"/>
      <c r="CS1202" s="215"/>
      <c r="CT1202" s="215"/>
    </row>
    <row r="1203" ht="24.0" customHeight="1">
      <c r="A1203" s="287"/>
      <c r="B1203" s="287"/>
      <c r="C1203" s="287"/>
      <c r="D1203" s="232"/>
      <c r="E1203" s="232"/>
      <c r="F1203" s="232"/>
      <c r="G1203" s="232"/>
      <c r="H1203" s="232"/>
      <c r="I1203" s="232"/>
      <c r="J1203" s="232"/>
      <c r="K1203" s="232"/>
      <c r="L1203" s="232"/>
      <c r="M1203" s="232"/>
      <c r="N1203" s="289"/>
      <c r="O1203" s="232"/>
      <c r="P1203" s="232"/>
      <c r="Q1203" s="232"/>
      <c r="R1203" s="232"/>
      <c r="S1203" s="232"/>
      <c r="T1203" s="232"/>
      <c r="U1203" s="232"/>
      <c r="V1203" s="232"/>
      <c r="W1203" s="232"/>
      <c r="X1203" s="232"/>
      <c r="Y1203" s="232"/>
      <c r="Z1203" s="232"/>
      <c r="AA1203" s="232"/>
      <c r="AB1203" s="232"/>
      <c r="AC1203" s="232"/>
      <c r="AD1203" s="232"/>
      <c r="AE1203" s="232"/>
      <c r="AF1203" s="232"/>
      <c r="AG1203" s="232"/>
      <c r="AH1203" s="232"/>
      <c r="AI1203" s="232"/>
      <c r="AJ1203" s="232"/>
      <c r="AK1203" s="232"/>
      <c r="AL1203" s="232"/>
      <c r="AM1203" s="232"/>
      <c r="AN1203" s="232"/>
      <c r="AO1203" s="232"/>
      <c r="AP1203" s="232"/>
      <c r="AQ1203" s="232"/>
      <c r="AR1203" s="232"/>
      <c r="AS1203" s="232"/>
      <c r="AT1203" s="232"/>
      <c r="AU1203" s="232"/>
      <c r="AV1203" s="232"/>
      <c r="AW1203" s="232"/>
      <c r="AX1203" s="232"/>
      <c r="AY1203" s="232"/>
      <c r="AZ1203" s="232"/>
      <c r="BA1203" s="232"/>
      <c r="BB1203" s="232"/>
      <c r="BC1203" s="232"/>
      <c r="BD1203" s="232"/>
      <c r="BE1203" s="232"/>
      <c r="BF1203" s="232"/>
      <c r="BG1203" s="232"/>
      <c r="BH1203" s="232"/>
      <c r="BI1203" s="232"/>
      <c r="BJ1203" s="232"/>
      <c r="BK1203" s="232"/>
      <c r="BL1203" s="232"/>
      <c r="BM1203" s="232"/>
      <c r="BN1203" s="232"/>
      <c r="BO1203" s="232"/>
      <c r="BP1203" s="232"/>
      <c r="BQ1203" s="232"/>
      <c r="BR1203" s="232"/>
      <c r="BS1203" s="232"/>
      <c r="BT1203" s="232"/>
      <c r="BU1203" s="232"/>
      <c r="BV1203" s="232"/>
      <c r="BW1203" s="232"/>
      <c r="BX1203" s="232"/>
      <c r="BY1203" s="232"/>
      <c r="BZ1203" s="232"/>
      <c r="CA1203" s="232"/>
      <c r="CB1203" s="232"/>
      <c r="CC1203" s="232"/>
      <c r="CD1203" s="232"/>
      <c r="CE1203" s="232"/>
      <c r="CF1203" s="232"/>
      <c r="CG1203" s="232"/>
      <c r="CH1203" s="232"/>
      <c r="CI1203" s="232"/>
      <c r="CJ1203" s="232"/>
      <c r="CK1203" s="232"/>
      <c r="CL1203" s="232"/>
      <c r="CM1203" s="232"/>
      <c r="CN1203" s="215"/>
      <c r="CO1203" s="215"/>
      <c r="CP1203" s="215"/>
      <c r="CQ1203" s="215"/>
      <c r="CR1203" s="215"/>
      <c r="CS1203" s="215"/>
      <c r="CT1203" s="215"/>
    </row>
    <row r="1204" ht="24.0" customHeight="1">
      <c r="A1204" s="287"/>
      <c r="B1204" s="287"/>
      <c r="C1204" s="287"/>
      <c r="D1204" s="232"/>
      <c r="E1204" s="232"/>
      <c r="F1204" s="232"/>
      <c r="G1204" s="232"/>
      <c r="H1204" s="232"/>
      <c r="I1204" s="232"/>
      <c r="J1204" s="232"/>
      <c r="K1204" s="232"/>
      <c r="L1204" s="232"/>
      <c r="M1204" s="232"/>
      <c r="N1204" s="289"/>
      <c r="O1204" s="232"/>
      <c r="P1204" s="232"/>
      <c r="Q1204" s="232"/>
      <c r="R1204" s="232"/>
      <c r="S1204" s="232"/>
      <c r="T1204" s="232"/>
      <c r="U1204" s="232"/>
      <c r="V1204" s="232"/>
      <c r="W1204" s="232"/>
      <c r="X1204" s="232"/>
      <c r="Y1204" s="232"/>
      <c r="Z1204" s="232"/>
      <c r="AA1204" s="232"/>
      <c r="AB1204" s="232"/>
      <c r="AC1204" s="232"/>
      <c r="AD1204" s="232"/>
      <c r="AE1204" s="232"/>
      <c r="AF1204" s="232"/>
      <c r="AG1204" s="232"/>
      <c r="AH1204" s="232"/>
      <c r="AI1204" s="232"/>
      <c r="AJ1204" s="232"/>
      <c r="AK1204" s="232"/>
      <c r="AL1204" s="232"/>
      <c r="AM1204" s="232"/>
      <c r="AN1204" s="232"/>
      <c r="AO1204" s="232"/>
      <c r="AP1204" s="232"/>
      <c r="AQ1204" s="232"/>
      <c r="AR1204" s="232"/>
      <c r="AS1204" s="232"/>
      <c r="AT1204" s="232"/>
      <c r="AU1204" s="232"/>
      <c r="AV1204" s="232"/>
      <c r="AW1204" s="232"/>
      <c r="AX1204" s="232"/>
      <c r="AY1204" s="232"/>
      <c r="AZ1204" s="232"/>
      <c r="BA1204" s="232"/>
      <c r="BB1204" s="232"/>
      <c r="BC1204" s="232"/>
      <c r="BD1204" s="232"/>
      <c r="BE1204" s="232"/>
      <c r="BF1204" s="232"/>
      <c r="BG1204" s="232"/>
      <c r="BH1204" s="232"/>
      <c r="BI1204" s="232"/>
      <c r="BJ1204" s="232"/>
      <c r="BK1204" s="232"/>
      <c r="BL1204" s="232"/>
      <c r="BM1204" s="232"/>
      <c r="BN1204" s="232"/>
      <c r="BO1204" s="232"/>
      <c r="BP1204" s="232"/>
      <c r="BQ1204" s="232"/>
      <c r="BR1204" s="232"/>
      <c r="BS1204" s="232"/>
      <c r="BT1204" s="232"/>
      <c r="BU1204" s="232"/>
      <c r="BV1204" s="232"/>
      <c r="BW1204" s="232"/>
      <c r="BX1204" s="232"/>
      <c r="BY1204" s="232"/>
      <c r="BZ1204" s="232"/>
      <c r="CA1204" s="232"/>
      <c r="CB1204" s="232"/>
      <c r="CC1204" s="232"/>
      <c r="CD1204" s="232"/>
      <c r="CE1204" s="232"/>
      <c r="CF1204" s="232"/>
      <c r="CG1204" s="232"/>
      <c r="CH1204" s="232"/>
      <c r="CI1204" s="232"/>
      <c r="CJ1204" s="232"/>
      <c r="CK1204" s="232"/>
      <c r="CL1204" s="232"/>
      <c r="CM1204" s="232"/>
      <c r="CN1204" s="215"/>
      <c r="CO1204" s="215"/>
      <c r="CP1204" s="215"/>
      <c r="CQ1204" s="215"/>
      <c r="CR1204" s="215"/>
      <c r="CS1204" s="215"/>
      <c r="CT1204" s="215"/>
    </row>
    <row r="1205" ht="24.0" customHeight="1">
      <c r="A1205" s="287"/>
      <c r="B1205" s="287"/>
      <c r="C1205" s="287"/>
      <c r="D1205" s="232"/>
      <c r="E1205" s="232"/>
      <c r="F1205" s="232"/>
      <c r="G1205" s="232"/>
      <c r="H1205" s="232"/>
      <c r="I1205" s="232"/>
      <c r="J1205" s="232"/>
      <c r="K1205" s="232"/>
      <c r="L1205" s="232"/>
      <c r="M1205" s="232"/>
      <c r="N1205" s="289"/>
      <c r="O1205" s="232"/>
      <c r="P1205" s="232"/>
      <c r="Q1205" s="232"/>
      <c r="R1205" s="232"/>
      <c r="S1205" s="232"/>
      <c r="T1205" s="232"/>
      <c r="U1205" s="232"/>
      <c r="V1205" s="232"/>
      <c r="W1205" s="232"/>
      <c r="X1205" s="232"/>
      <c r="Y1205" s="232"/>
      <c r="Z1205" s="232"/>
      <c r="AA1205" s="232"/>
      <c r="AB1205" s="232"/>
      <c r="AC1205" s="232"/>
      <c r="AD1205" s="232"/>
      <c r="AE1205" s="232"/>
      <c r="AF1205" s="232"/>
      <c r="AG1205" s="232"/>
      <c r="AH1205" s="232"/>
      <c r="AI1205" s="232"/>
      <c r="AJ1205" s="232"/>
      <c r="AK1205" s="232"/>
      <c r="AL1205" s="232"/>
      <c r="AM1205" s="232"/>
      <c r="AN1205" s="232"/>
      <c r="AO1205" s="232"/>
      <c r="AP1205" s="232"/>
      <c r="AQ1205" s="232"/>
      <c r="AR1205" s="232"/>
      <c r="AS1205" s="232"/>
      <c r="AT1205" s="232"/>
      <c r="AU1205" s="232"/>
      <c r="AV1205" s="232"/>
      <c r="AW1205" s="232"/>
      <c r="AX1205" s="232"/>
      <c r="AY1205" s="232"/>
      <c r="AZ1205" s="232"/>
      <c r="BA1205" s="232"/>
      <c r="BB1205" s="232"/>
      <c r="BC1205" s="232"/>
      <c r="BD1205" s="232"/>
      <c r="BE1205" s="232"/>
      <c r="BF1205" s="232"/>
      <c r="BG1205" s="232"/>
      <c r="BH1205" s="232"/>
      <c r="BI1205" s="232"/>
      <c r="BJ1205" s="232"/>
      <c r="BK1205" s="232"/>
      <c r="BL1205" s="232"/>
      <c r="BM1205" s="232"/>
      <c r="BN1205" s="232"/>
      <c r="BO1205" s="232"/>
      <c r="BP1205" s="232"/>
      <c r="BQ1205" s="232"/>
      <c r="BR1205" s="232"/>
      <c r="BS1205" s="232"/>
      <c r="BT1205" s="232"/>
      <c r="BU1205" s="232"/>
      <c r="BV1205" s="232"/>
      <c r="BW1205" s="232"/>
      <c r="BX1205" s="232"/>
      <c r="BY1205" s="232"/>
      <c r="BZ1205" s="232"/>
      <c r="CA1205" s="232"/>
      <c r="CB1205" s="232"/>
      <c r="CC1205" s="232"/>
      <c r="CD1205" s="232"/>
      <c r="CE1205" s="232"/>
      <c r="CF1205" s="232"/>
      <c r="CG1205" s="232"/>
      <c r="CH1205" s="232"/>
      <c r="CI1205" s="232"/>
      <c r="CJ1205" s="232"/>
      <c r="CK1205" s="232"/>
      <c r="CL1205" s="232"/>
      <c r="CM1205" s="232"/>
      <c r="CN1205" s="215"/>
      <c r="CO1205" s="215"/>
      <c r="CP1205" s="215"/>
      <c r="CQ1205" s="215"/>
      <c r="CR1205" s="215"/>
      <c r="CS1205" s="215"/>
      <c r="CT1205" s="215"/>
    </row>
    <row r="1206" ht="24.0" customHeight="1">
      <c r="A1206" s="287"/>
      <c r="B1206" s="287"/>
      <c r="C1206" s="287"/>
      <c r="D1206" s="232"/>
      <c r="E1206" s="232"/>
      <c r="F1206" s="232"/>
      <c r="G1206" s="232"/>
      <c r="H1206" s="232"/>
      <c r="I1206" s="232"/>
      <c r="J1206" s="232"/>
      <c r="K1206" s="232"/>
      <c r="L1206" s="232"/>
      <c r="M1206" s="232"/>
      <c r="N1206" s="289"/>
      <c r="O1206" s="232"/>
      <c r="P1206" s="232"/>
      <c r="Q1206" s="232"/>
      <c r="R1206" s="232"/>
      <c r="S1206" s="232"/>
      <c r="T1206" s="232"/>
      <c r="U1206" s="232"/>
      <c r="V1206" s="232"/>
      <c r="W1206" s="232"/>
      <c r="X1206" s="232"/>
      <c r="Y1206" s="232"/>
      <c r="Z1206" s="232"/>
      <c r="AA1206" s="232"/>
      <c r="AB1206" s="232"/>
      <c r="AC1206" s="232"/>
      <c r="AD1206" s="232"/>
      <c r="AE1206" s="232"/>
      <c r="AF1206" s="232"/>
      <c r="AG1206" s="232"/>
      <c r="AH1206" s="232"/>
      <c r="AI1206" s="232"/>
      <c r="AJ1206" s="232"/>
      <c r="AK1206" s="232"/>
      <c r="AL1206" s="232"/>
      <c r="AM1206" s="232"/>
      <c r="AN1206" s="232"/>
      <c r="AO1206" s="232"/>
      <c r="AP1206" s="232"/>
      <c r="AQ1206" s="232"/>
      <c r="AR1206" s="232"/>
      <c r="AS1206" s="232"/>
      <c r="AT1206" s="232"/>
      <c r="AU1206" s="232"/>
      <c r="AV1206" s="232"/>
      <c r="AW1206" s="232"/>
      <c r="AX1206" s="232"/>
      <c r="AY1206" s="232"/>
      <c r="AZ1206" s="232"/>
      <c r="BA1206" s="232"/>
      <c r="BB1206" s="232"/>
      <c r="BC1206" s="232"/>
      <c r="BD1206" s="232"/>
      <c r="BE1206" s="232"/>
      <c r="BF1206" s="232"/>
      <c r="BG1206" s="232"/>
      <c r="BH1206" s="232"/>
      <c r="BI1206" s="232"/>
      <c r="BJ1206" s="232"/>
      <c r="BK1206" s="232"/>
      <c r="BL1206" s="232"/>
      <c r="BM1206" s="232"/>
      <c r="BN1206" s="232"/>
      <c r="BO1206" s="232"/>
      <c r="BP1206" s="232"/>
      <c r="BQ1206" s="232"/>
      <c r="BR1206" s="232"/>
      <c r="BS1206" s="232"/>
      <c r="BT1206" s="232"/>
      <c r="BU1206" s="232"/>
      <c r="BV1206" s="232"/>
      <c r="BW1206" s="232"/>
      <c r="BX1206" s="232"/>
      <c r="BY1206" s="232"/>
      <c r="BZ1206" s="232"/>
      <c r="CA1206" s="232"/>
      <c r="CB1206" s="232"/>
      <c r="CC1206" s="232"/>
      <c r="CD1206" s="232"/>
      <c r="CE1206" s="232"/>
      <c r="CF1206" s="232"/>
      <c r="CG1206" s="232"/>
      <c r="CH1206" s="232"/>
      <c r="CI1206" s="232"/>
      <c r="CJ1206" s="232"/>
      <c r="CK1206" s="232"/>
      <c r="CL1206" s="232"/>
      <c r="CM1206" s="232"/>
      <c r="CN1206" s="215"/>
      <c r="CO1206" s="215"/>
      <c r="CP1206" s="215"/>
      <c r="CQ1206" s="215"/>
      <c r="CR1206" s="215"/>
      <c r="CS1206" s="215"/>
      <c r="CT1206" s="215"/>
    </row>
    <row r="1207" ht="24.0" customHeight="1">
      <c r="A1207" s="287"/>
      <c r="B1207" s="287"/>
      <c r="C1207" s="287"/>
      <c r="D1207" s="232"/>
      <c r="E1207" s="232"/>
      <c r="F1207" s="232"/>
      <c r="G1207" s="232"/>
      <c r="H1207" s="232"/>
      <c r="I1207" s="232"/>
      <c r="J1207" s="232"/>
      <c r="K1207" s="232"/>
      <c r="L1207" s="232"/>
      <c r="M1207" s="232"/>
      <c r="N1207" s="289"/>
      <c r="O1207" s="232"/>
      <c r="P1207" s="232"/>
      <c r="Q1207" s="232"/>
      <c r="R1207" s="232"/>
      <c r="S1207" s="232"/>
      <c r="T1207" s="232"/>
      <c r="U1207" s="232"/>
      <c r="V1207" s="232"/>
      <c r="W1207" s="232"/>
      <c r="X1207" s="232"/>
      <c r="Y1207" s="232"/>
      <c r="Z1207" s="232"/>
      <c r="AA1207" s="232"/>
      <c r="AB1207" s="232"/>
      <c r="AC1207" s="232"/>
      <c r="AD1207" s="232"/>
      <c r="AE1207" s="232"/>
      <c r="AF1207" s="232"/>
      <c r="AG1207" s="232"/>
      <c r="AH1207" s="232"/>
      <c r="AI1207" s="232"/>
      <c r="AJ1207" s="232"/>
      <c r="AK1207" s="232"/>
      <c r="AL1207" s="232"/>
      <c r="AM1207" s="232"/>
      <c r="AN1207" s="232"/>
      <c r="AO1207" s="232"/>
      <c r="AP1207" s="232"/>
      <c r="AQ1207" s="232"/>
      <c r="AR1207" s="232"/>
      <c r="AS1207" s="232"/>
      <c r="AT1207" s="232"/>
      <c r="AU1207" s="232"/>
      <c r="AV1207" s="232"/>
      <c r="AW1207" s="232"/>
      <c r="AX1207" s="232"/>
      <c r="AY1207" s="232"/>
      <c r="AZ1207" s="232"/>
      <c r="BA1207" s="232"/>
      <c r="BB1207" s="232"/>
      <c r="BC1207" s="232"/>
      <c r="BD1207" s="232"/>
      <c r="BE1207" s="232"/>
      <c r="BF1207" s="232"/>
      <c r="BG1207" s="232"/>
      <c r="BH1207" s="232"/>
      <c r="BI1207" s="232"/>
      <c r="BJ1207" s="232"/>
      <c r="BK1207" s="232"/>
      <c r="BL1207" s="232"/>
      <c r="BM1207" s="232"/>
      <c r="BN1207" s="232"/>
      <c r="BO1207" s="232"/>
      <c r="BP1207" s="232"/>
      <c r="BQ1207" s="232"/>
      <c r="BR1207" s="232"/>
      <c r="BS1207" s="232"/>
      <c r="BT1207" s="232"/>
      <c r="BU1207" s="232"/>
      <c r="BV1207" s="232"/>
      <c r="BW1207" s="232"/>
      <c r="BX1207" s="232"/>
      <c r="BY1207" s="232"/>
      <c r="BZ1207" s="232"/>
      <c r="CA1207" s="232"/>
      <c r="CB1207" s="232"/>
      <c r="CC1207" s="232"/>
      <c r="CD1207" s="232"/>
      <c r="CE1207" s="232"/>
      <c r="CF1207" s="232"/>
      <c r="CG1207" s="232"/>
      <c r="CH1207" s="232"/>
      <c r="CI1207" s="232"/>
      <c r="CJ1207" s="232"/>
      <c r="CK1207" s="232"/>
      <c r="CL1207" s="232"/>
      <c r="CM1207" s="232"/>
      <c r="CN1207" s="215"/>
      <c r="CO1207" s="215"/>
      <c r="CP1207" s="215"/>
      <c r="CQ1207" s="215"/>
      <c r="CR1207" s="215"/>
      <c r="CS1207" s="215"/>
      <c r="CT1207" s="215"/>
    </row>
    <row r="1208" ht="24.0" customHeight="1">
      <c r="A1208" s="287"/>
      <c r="B1208" s="287"/>
      <c r="C1208" s="287"/>
      <c r="D1208" s="232"/>
      <c r="E1208" s="232"/>
      <c r="F1208" s="232"/>
      <c r="G1208" s="232"/>
      <c r="H1208" s="232"/>
      <c r="I1208" s="232"/>
      <c r="J1208" s="232"/>
      <c r="K1208" s="232"/>
      <c r="L1208" s="232"/>
      <c r="M1208" s="232"/>
      <c r="N1208" s="289"/>
      <c r="O1208" s="232"/>
      <c r="P1208" s="232"/>
      <c r="Q1208" s="232"/>
      <c r="R1208" s="232"/>
      <c r="S1208" s="232"/>
      <c r="T1208" s="232"/>
      <c r="U1208" s="232"/>
      <c r="V1208" s="232"/>
      <c r="W1208" s="232"/>
      <c r="X1208" s="232"/>
      <c r="Y1208" s="232"/>
      <c r="Z1208" s="232"/>
      <c r="AA1208" s="232"/>
      <c r="AB1208" s="232"/>
      <c r="AC1208" s="232"/>
      <c r="AD1208" s="232"/>
      <c r="AE1208" s="232"/>
      <c r="AF1208" s="232"/>
      <c r="AG1208" s="232"/>
      <c r="AH1208" s="232"/>
      <c r="AI1208" s="232"/>
      <c r="AJ1208" s="232"/>
      <c r="AK1208" s="232"/>
      <c r="AL1208" s="232"/>
      <c r="AM1208" s="232"/>
      <c r="AN1208" s="232"/>
      <c r="AO1208" s="232"/>
      <c r="AP1208" s="232"/>
      <c r="AQ1208" s="232"/>
      <c r="AR1208" s="232"/>
      <c r="AS1208" s="232"/>
      <c r="AT1208" s="232"/>
      <c r="AU1208" s="232"/>
      <c r="AV1208" s="232"/>
      <c r="AW1208" s="232"/>
      <c r="AX1208" s="232"/>
      <c r="AY1208" s="232"/>
      <c r="AZ1208" s="232"/>
      <c r="BA1208" s="232"/>
      <c r="BB1208" s="232"/>
      <c r="BC1208" s="232"/>
      <c r="BD1208" s="232"/>
      <c r="BE1208" s="232"/>
      <c r="BF1208" s="232"/>
      <c r="BG1208" s="232"/>
      <c r="BH1208" s="232"/>
      <c r="BI1208" s="232"/>
      <c r="BJ1208" s="232"/>
      <c r="BK1208" s="232"/>
      <c r="BL1208" s="232"/>
      <c r="BM1208" s="232"/>
      <c r="BN1208" s="232"/>
      <c r="BO1208" s="232"/>
      <c r="BP1208" s="232"/>
      <c r="BQ1208" s="232"/>
      <c r="BR1208" s="232"/>
      <c r="BS1208" s="232"/>
      <c r="BT1208" s="232"/>
      <c r="BU1208" s="232"/>
      <c r="BV1208" s="232"/>
      <c r="BW1208" s="232"/>
      <c r="BX1208" s="232"/>
      <c r="BY1208" s="232"/>
      <c r="BZ1208" s="232"/>
      <c r="CA1208" s="232"/>
      <c r="CB1208" s="232"/>
      <c r="CC1208" s="232"/>
      <c r="CD1208" s="232"/>
      <c r="CE1208" s="232"/>
      <c r="CF1208" s="232"/>
      <c r="CG1208" s="232"/>
      <c r="CH1208" s="232"/>
      <c r="CI1208" s="232"/>
      <c r="CJ1208" s="232"/>
      <c r="CK1208" s="232"/>
      <c r="CL1208" s="232"/>
      <c r="CM1208" s="232"/>
      <c r="CN1208" s="215"/>
      <c r="CO1208" s="215"/>
      <c r="CP1208" s="215"/>
      <c r="CQ1208" s="215"/>
      <c r="CR1208" s="215"/>
      <c r="CS1208" s="215"/>
      <c r="CT1208" s="215"/>
    </row>
    <row r="1209" ht="24.0" customHeight="1">
      <c r="A1209" s="287"/>
      <c r="B1209" s="287"/>
      <c r="C1209" s="287"/>
      <c r="D1209" s="232"/>
      <c r="E1209" s="232"/>
      <c r="F1209" s="232"/>
      <c r="G1209" s="232"/>
      <c r="H1209" s="232"/>
      <c r="I1209" s="232"/>
      <c r="J1209" s="232"/>
      <c r="K1209" s="232"/>
      <c r="L1209" s="232"/>
      <c r="M1209" s="232"/>
      <c r="N1209" s="289"/>
      <c r="O1209" s="232"/>
      <c r="P1209" s="232"/>
      <c r="Q1209" s="232"/>
      <c r="R1209" s="232"/>
      <c r="S1209" s="232"/>
      <c r="T1209" s="232"/>
      <c r="U1209" s="232"/>
      <c r="V1209" s="232"/>
      <c r="W1209" s="232"/>
      <c r="X1209" s="232"/>
      <c r="Y1209" s="232"/>
      <c r="Z1209" s="232"/>
      <c r="AA1209" s="232"/>
      <c r="AB1209" s="232"/>
      <c r="AC1209" s="232"/>
      <c r="AD1209" s="232"/>
      <c r="AE1209" s="232"/>
      <c r="AF1209" s="232"/>
      <c r="AG1209" s="232"/>
      <c r="AH1209" s="232"/>
      <c r="AI1209" s="232"/>
      <c r="AJ1209" s="232"/>
      <c r="AK1209" s="232"/>
      <c r="AL1209" s="232"/>
      <c r="AM1209" s="232"/>
      <c r="AN1209" s="232"/>
      <c r="AO1209" s="232"/>
      <c r="AP1209" s="232"/>
      <c r="AQ1209" s="232"/>
      <c r="AR1209" s="232"/>
      <c r="AS1209" s="232"/>
      <c r="AT1209" s="232"/>
      <c r="AU1209" s="232"/>
      <c r="AV1209" s="232"/>
      <c r="AW1209" s="232"/>
      <c r="AX1209" s="232"/>
      <c r="AY1209" s="232"/>
      <c r="AZ1209" s="232"/>
      <c r="BA1209" s="232"/>
      <c r="BB1209" s="232"/>
      <c r="BC1209" s="232"/>
      <c r="BD1209" s="232"/>
      <c r="BE1209" s="232"/>
      <c r="BF1209" s="232"/>
      <c r="BG1209" s="232"/>
      <c r="BH1209" s="232"/>
      <c r="BI1209" s="232"/>
      <c r="BJ1209" s="232"/>
      <c r="BK1209" s="232"/>
      <c r="BL1209" s="232"/>
      <c r="BM1209" s="232"/>
      <c r="BN1209" s="232"/>
      <c r="BO1209" s="232"/>
      <c r="BP1209" s="232"/>
      <c r="BQ1209" s="232"/>
      <c r="BR1209" s="232"/>
      <c r="BS1209" s="232"/>
      <c r="BT1209" s="232"/>
      <c r="BU1209" s="232"/>
      <c r="BV1209" s="232"/>
      <c r="BW1209" s="232"/>
      <c r="BX1209" s="232"/>
      <c r="BY1209" s="232"/>
      <c r="BZ1209" s="232"/>
      <c r="CA1209" s="232"/>
      <c r="CB1209" s="232"/>
      <c r="CC1209" s="232"/>
      <c r="CD1209" s="232"/>
      <c r="CE1209" s="232"/>
      <c r="CF1209" s="232"/>
      <c r="CG1209" s="232"/>
      <c r="CH1209" s="232"/>
      <c r="CI1209" s="232"/>
      <c r="CJ1209" s="232"/>
      <c r="CK1209" s="232"/>
      <c r="CL1209" s="232"/>
      <c r="CM1209" s="232"/>
      <c r="CN1209" s="215"/>
      <c r="CO1209" s="215"/>
      <c r="CP1209" s="215"/>
      <c r="CQ1209" s="215"/>
      <c r="CR1209" s="215"/>
      <c r="CS1209" s="215"/>
      <c r="CT1209" s="215"/>
    </row>
    <row r="1210" ht="24.0" customHeight="1">
      <c r="A1210" s="287"/>
      <c r="B1210" s="287"/>
      <c r="C1210" s="287"/>
      <c r="D1210" s="232"/>
      <c r="E1210" s="232"/>
      <c r="F1210" s="232"/>
      <c r="G1210" s="232"/>
      <c r="H1210" s="232"/>
      <c r="I1210" s="232"/>
      <c r="J1210" s="232"/>
      <c r="K1210" s="232"/>
      <c r="L1210" s="232"/>
      <c r="M1210" s="232"/>
      <c r="N1210" s="289"/>
      <c r="O1210" s="232"/>
      <c r="P1210" s="232"/>
      <c r="Q1210" s="232"/>
      <c r="R1210" s="232"/>
      <c r="S1210" s="232"/>
      <c r="T1210" s="232"/>
      <c r="U1210" s="232"/>
      <c r="V1210" s="232"/>
      <c r="W1210" s="232"/>
      <c r="X1210" s="232"/>
      <c r="Y1210" s="232"/>
      <c r="Z1210" s="232"/>
      <c r="AA1210" s="232"/>
      <c r="AB1210" s="232"/>
      <c r="AC1210" s="232"/>
      <c r="AD1210" s="232"/>
      <c r="AE1210" s="232"/>
      <c r="AF1210" s="232"/>
      <c r="AG1210" s="232"/>
      <c r="AH1210" s="232"/>
      <c r="AI1210" s="232"/>
      <c r="AJ1210" s="232"/>
      <c r="AK1210" s="232"/>
      <c r="AL1210" s="232"/>
      <c r="AM1210" s="232"/>
      <c r="AN1210" s="232"/>
      <c r="AO1210" s="232"/>
      <c r="AP1210" s="232"/>
      <c r="AQ1210" s="232"/>
      <c r="AR1210" s="232"/>
      <c r="AS1210" s="232"/>
      <c r="AT1210" s="232"/>
      <c r="AU1210" s="232"/>
      <c r="AV1210" s="232"/>
      <c r="AW1210" s="232"/>
      <c r="AX1210" s="232"/>
      <c r="AY1210" s="232"/>
      <c r="AZ1210" s="232"/>
      <c r="BA1210" s="232"/>
      <c r="BB1210" s="232"/>
      <c r="BC1210" s="232"/>
      <c r="BD1210" s="232"/>
      <c r="BE1210" s="232"/>
      <c r="BF1210" s="232"/>
      <c r="BG1210" s="232"/>
      <c r="BH1210" s="232"/>
      <c r="BI1210" s="232"/>
      <c r="BJ1210" s="232"/>
      <c r="BK1210" s="232"/>
      <c r="BL1210" s="232"/>
      <c r="BM1210" s="232"/>
      <c r="BN1210" s="232"/>
      <c r="BO1210" s="232"/>
      <c r="BP1210" s="232"/>
      <c r="BQ1210" s="232"/>
      <c r="BR1210" s="232"/>
      <c r="BS1210" s="232"/>
      <c r="BT1210" s="232"/>
      <c r="BU1210" s="232"/>
      <c r="BV1210" s="232"/>
      <c r="BW1210" s="232"/>
      <c r="BX1210" s="232"/>
      <c r="BY1210" s="232"/>
      <c r="BZ1210" s="232"/>
      <c r="CA1210" s="232"/>
      <c r="CB1210" s="232"/>
      <c r="CC1210" s="232"/>
      <c r="CD1210" s="232"/>
      <c r="CE1210" s="232"/>
      <c r="CF1210" s="232"/>
      <c r="CG1210" s="232"/>
      <c r="CH1210" s="232"/>
      <c r="CI1210" s="232"/>
      <c r="CJ1210" s="232"/>
      <c r="CK1210" s="232"/>
      <c r="CL1210" s="232"/>
      <c r="CM1210" s="232"/>
      <c r="CN1210" s="215"/>
      <c r="CO1210" s="215"/>
      <c r="CP1210" s="215"/>
      <c r="CQ1210" s="215"/>
      <c r="CR1210" s="215"/>
      <c r="CS1210" s="215"/>
      <c r="CT1210" s="215"/>
    </row>
    <row r="1211" ht="24.0" customHeight="1">
      <c r="A1211" s="287"/>
      <c r="B1211" s="287"/>
      <c r="C1211" s="287"/>
      <c r="D1211" s="232"/>
      <c r="E1211" s="232"/>
      <c r="F1211" s="232"/>
      <c r="G1211" s="232"/>
      <c r="H1211" s="232"/>
      <c r="I1211" s="232"/>
      <c r="J1211" s="232"/>
      <c r="K1211" s="232"/>
      <c r="L1211" s="232"/>
      <c r="M1211" s="232"/>
      <c r="N1211" s="289"/>
      <c r="O1211" s="232"/>
      <c r="P1211" s="232"/>
      <c r="Q1211" s="232"/>
      <c r="R1211" s="232"/>
      <c r="S1211" s="232"/>
      <c r="T1211" s="232"/>
      <c r="U1211" s="232"/>
      <c r="V1211" s="232"/>
      <c r="W1211" s="232"/>
      <c r="X1211" s="232"/>
      <c r="Y1211" s="232"/>
      <c r="Z1211" s="232"/>
      <c r="AA1211" s="232"/>
      <c r="AB1211" s="232"/>
      <c r="AC1211" s="232"/>
      <c r="AD1211" s="232"/>
      <c r="AE1211" s="232"/>
      <c r="AF1211" s="232"/>
      <c r="AG1211" s="232"/>
      <c r="AH1211" s="232"/>
      <c r="AI1211" s="232"/>
      <c r="AJ1211" s="232"/>
      <c r="AK1211" s="232"/>
      <c r="AL1211" s="232"/>
      <c r="AM1211" s="232"/>
      <c r="AN1211" s="232"/>
      <c r="AO1211" s="232"/>
      <c r="AP1211" s="232"/>
      <c r="AQ1211" s="232"/>
      <c r="AR1211" s="232"/>
      <c r="AS1211" s="232"/>
      <c r="AT1211" s="232"/>
      <c r="AU1211" s="232"/>
      <c r="AV1211" s="232"/>
      <c r="AW1211" s="232"/>
      <c r="AX1211" s="232"/>
      <c r="AY1211" s="232"/>
      <c r="AZ1211" s="232"/>
      <c r="BA1211" s="232"/>
      <c r="BB1211" s="232"/>
      <c r="BC1211" s="232"/>
      <c r="BD1211" s="232"/>
      <c r="BE1211" s="232"/>
      <c r="BF1211" s="232"/>
      <c r="BG1211" s="232"/>
      <c r="BH1211" s="232"/>
      <c r="BI1211" s="232"/>
      <c r="BJ1211" s="232"/>
      <c r="BK1211" s="232"/>
      <c r="BL1211" s="232"/>
      <c r="BM1211" s="232"/>
      <c r="BN1211" s="232"/>
      <c r="BO1211" s="232"/>
      <c r="BP1211" s="232"/>
      <c r="BQ1211" s="232"/>
      <c r="BR1211" s="232"/>
      <c r="BS1211" s="232"/>
      <c r="BT1211" s="232"/>
      <c r="BU1211" s="232"/>
      <c r="BV1211" s="232"/>
      <c r="BW1211" s="232"/>
      <c r="BX1211" s="232"/>
      <c r="BY1211" s="232"/>
      <c r="BZ1211" s="232"/>
      <c r="CA1211" s="232"/>
      <c r="CB1211" s="232"/>
      <c r="CC1211" s="232"/>
      <c r="CD1211" s="232"/>
      <c r="CE1211" s="232"/>
      <c r="CF1211" s="232"/>
      <c r="CG1211" s="232"/>
      <c r="CH1211" s="232"/>
      <c r="CI1211" s="232"/>
      <c r="CJ1211" s="232"/>
      <c r="CK1211" s="232"/>
      <c r="CL1211" s="232"/>
      <c r="CM1211" s="232"/>
      <c r="CN1211" s="215"/>
      <c r="CO1211" s="215"/>
      <c r="CP1211" s="215"/>
      <c r="CQ1211" s="215"/>
      <c r="CR1211" s="215"/>
      <c r="CS1211" s="215"/>
      <c r="CT1211" s="215"/>
    </row>
    <row r="1212" ht="24.0" customHeight="1">
      <c r="A1212" s="287"/>
      <c r="B1212" s="287"/>
      <c r="C1212" s="287"/>
      <c r="D1212" s="232"/>
      <c r="E1212" s="232"/>
      <c r="F1212" s="232"/>
      <c r="G1212" s="232"/>
      <c r="H1212" s="232"/>
      <c r="I1212" s="232"/>
      <c r="J1212" s="232"/>
      <c r="K1212" s="232"/>
      <c r="L1212" s="232"/>
      <c r="M1212" s="232"/>
      <c r="N1212" s="289"/>
      <c r="O1212" s="232"/>
      <c r="P1212" s="232"/>
      <c r="Q1212" s="232"/>
      <c r="R1212" s="232"/>
      <c r="S1212" s="232"/>
      <c r="T1212" s="232"/>
      <c r="U1212" s="232"/>
      <c r="V1212" s="232"/>
      <c r="W1212" s="232"/>
      <c r="X1212" s="232"/>
      <c r="Y1212" s="232"/>
      <c r="Z1212" s="232"/>
      <c r="AA1212" s="232"/>
      <c r="AB1212" s="232"/>
      <c r="AC1212" s="232"/>
      <c r="AD1212" s="232"/>
      <c r="AE1212" s="232"/>
      <c r="AF1212" s="232"/>
      <c r="AG1212" s="232"/>
      <c r="AH1212" s="232"/>
      <c r="AI1212" s="232"/>
      <c r="AJ1212" s="232"/>
      <c r="AK1212" s="232"/>
      <c r="AL1212" s="232"/>
      <c r="AM1212" s="232"/>
      <c r="AN1212" s="232"/>
      <c r="AO1212" s="232"/>
      <c r="AP1212" s="232"/>
      <c r="AQ1212" s="232"/>
      <c r="AR1212" s="232"/>
      <c r="AS1212" s="232"/>
      <c r="AT1212" s="232"/>
      <c r="AU1212" s="232"/>
      <c r="AV1212" s="232"/>
      <c r="AW1212" s="232"/>
      <c r="AX1212" s="232"/>
      <c r="AY1212" s="232"/>
      <c r="AZ1212" s="232"/>
      <c r="BA1212" s="232"/>
      <c r="BB1212" s="232"/>
      <c r="BC1212" s="232"/>
      <c r="BD1212" s="232"/>
      <c r="BE1212" s="232"/>
      <c r="BF1212" s="232"/>
      <c r="BG1212" s="232"/>
      <c r="BH1212" s="232"/>
      <c r="BI1212" s="232"/>
      <c r="BJ1212" s="232"/>
      <c r="BK1212" s="232"/>
      <c r="BL1212" s="232"/>
      <c r="BM1212" s="232"/>
      <c r="BN1212" s="232"/>
      <c r="BO1212" s="232"/>
      <c r="BP1212" s="232"/>
      <c r="BQ1212" s="232"/>
      <c r="BR1212" s="232"/>
      <c r="BS1212" s="232"/>
      <c r="BT1212" s="232"/>
      <c r="BU1212" s="232"/>
      <c r="BV1212" s="232"/>
      <c r="BW1212" s="232"/>
      <c r="BX1212" s="232"/>
      <c r="BY1212" s="232"/>
      <c r="BZ1212" s="232"/>
      <c r="CA1212" s="232"/>
      <c r="CB1212" s="232"/>
      <c r="CC1212" s="232"/>
      <c r="CD1212" s="232"/>
      <c r="CE1212" s="232"/>
      <c r="CF1212" s="232"/>
      <c r="CG1212" s="232"/>
      <c r="CH1212" s="232"/>
      <c r="CI1212" s="232"/>
      <c r="CJ1212" s="232"/>
      <c r="CK1212" s="232"/>
      <c r="CL1212" s="232"/>
      <c r="CM1212" s="232"/>
      <c r="CN1212" s="215"/>
      <c r="CO1212" s="215"/>
      <c r="CP1212" s="215"/>
      <c r="CQ1212" s="215"/>
      <c r="CR1212" s="215"/>
      <c r="CS1212" s="215"/>
      <c r="CT1212" s="215"/>
    </row>
    <row r="1213" ht="24.0" customHeight="1">
      <c r="A1213" s="287"/>
      <c r="B1213" s="287"/>
      <c r="C1213" s="287"/>
      <c r="D1213" s="232"/>
      <c r="E1213" s="232"/>
      <c r="F1213" s="232"/>
      <c r="G1213" s="232"/>
      <c r="H1213" s="232"/>
      <c r="I1213" s="232"/>
      <c r="J1213" s="232"/>
      <c r="K1213" s="232"/>
      <c r="L1213" s="232"/>
      <c r="M1213" s="232"/>
      <c r="N1213" s="289"/>
      <c r="O1213" s="232"/>
      <c r="P1213" s="232"/>
      <c r="Q1213" s="232"/>
      <c r="R1213" s="232"/>
      <c r="S1213" s="232"/>
      <c r="T1213" s="232"/>
      <c r="U1213" s="232"/>
      <c r="V1213" s="232"/>
      <c r="W1213" s="232"/>
      <c r="X1213" s="232"/>
      <c r="Y1213" s="232"/>
      <c r="Z1213" s="232"/>
      <c r="AA1213" s="232"/>
      <c r="AB1213" s="232"/>
      <c r="AC1213" s="232"/>
      <c r="AD1213" s="232"/>
      <c r="AE1213" s="232"/>
      <c r="AF1213" s="232"/>
      <c r="AG1213" s="232"/>
      <c r="AH1213" s="232"/>
      <c r="AI1213" s="232"/>
      <c r="AJ1213" s="232"/>
      <c r="AK1213" s="232"/>
      <c r="AL1213" s="232"/>
      <c r="AM1213" s="232"/>
      <c r="AN1213" s="232"/>
      <c r="AO1213" s="232"/>
      <c r="AP1213" s="232"/>
      <c r="AQ1213" s="232"/>
      <c r="AR1213" s="232"/>
      <c r="AS1213" s="232"/>
      <c r="AT1213" s="232"/>
      <c r="AU1213" s="232"/>
      <c r="AV1213" s="232"/>
      <c r="AW1213" s="232"/>
      <c r="AX1213" s="232"/>
      <c r="AY1213" s="232"/>
      <c r="AZ1213" s="232"/>
      <c r="BA1213" s="232"/>
      <c r="BB1213" s="232"/>
      <c r="BC1213" s="232"/>
      <c r="BD1213" s="232"/>
      <c r="BE1213" s="232"/>
      <c r="BF1213" s="232"/>
      <c r="BG1213" s="232"/>
      <c r="BH1213" s="232"/>
      <c r="BI1213" s="232"/>
      <c r="BJ1213" s="232"/>
      <c r="BK1213" s="232"/>
      <c r="BL1213" s="232"/>
      <c r="BM1213" s="232"/>
      <c r="BN1213" s="232"/>
      <c r="BO1213" s="232"/>
      <c r="BP1213" s="232"/>
      <c r="BQ1213" s="232"/>
      <c r="BR1213" s="232"/>
      <c r="BS1213" s="232"/>
      <c r="BT1213" s="232"/>
      <c r="BU1213" s="232"/>
      <c r="BV1213" s="232"/>
      <c r="BW1213" s="232"/>
      <c r="BX1213" s="232"/>
      <c r="BY1213" s="232"/>
      <c r="BZ1213" s="232"/>
      <c r="CA1213" s="232"/>
      <c r="CB1213" s="232"/>
      <c r="CC1213" s="232"/>
      <c r="CD1213" s="232"/>
      <c r="CE1213" s="232"/>
      <c r="CF1213" s="232"/>
      <c r="CG1213" s="232"/>
      <c r="CH1213" s="232"/>
      <c r="CI1213" s="232"/>
      <c r="CJ1213" s="232"/>
      <c r="CK1213" s="232"/>
      <c r="CL1213" s="232"/>
      <c r="CM1213" s="232"/>
      <c r="CN1213" s="215"/>
      <c r="CO1213" s="215"/>
      <c r="CP1213" s="215"/>
      <c r="CQ1213" s="215"/>
      <c r="CR1213" s="215"/>
      <c r="CS1213" s="215"/>
      <c r="CT1213" s="215"/>
    </row>
    <row r="1214" ht="24.0" customHeight="1">
      <c r="A1214" s="287"/>
      <c r="B1214" s="287"/>
      <c r="C1214" s="287"/>
      <c r="D1214" s="232"/>
      <c r="E1214" s="232"/>
      <c r="F1214" s="232"/>
      <c r="G1214" s="232"/>
      <c r="H1214" s="232"/>
      <c r="I1214" s="232"/>
      <c r="J1214" s="232"/>
      <c r="K1214" s="232"/>
      <c r="L1214" s="232"/>
      <c r="M1214" s="232"/>
      <c r="N1214" s="289"/>
      <c r="O1214" s="232"/>
      <c r="P1214" s="232"/>
      <c r="Q1214" s="232"/>
      <c r="R1214" s="232"/>
      <c r="S1214" s="232"/>
      <c r="T1214" s="232"/>
      <c r="U1214" s="232"/>
      <c r="V1214" s="232"/>
      <c r="W1214" s="232"/>
      <c r="X1214" s="232"/>
      <c r="Y1214" s="232"/>
      <c r="Z1214" s="232"/>
      <c r="AA1214" s="232"/>
      <c r="AB1214" s="232"/>
      <c r="AC1214" s="232"/>
      <c r="AD1214" s="232"/>
      <c r="AE1214" s="232"/>
      <c r="AF1214" s="232"/>
      <c r="AG1214" s="232"/>
      <c r="AH1214" s="232"/>
      <c r="AI1214" s="232"/>
      <c r="AJ1214" s="232"/>
      <c r="AK1214" s="232"/>
      <c r="AL1214" s="232"/>
      <c r="AM1214" s="232"/>
      <c r="AN1214" s="232"/>
      <c r="AO1214" s="232"/>
      <c r="AP1214" s="232"/>
      <c r="AQ1214" s="232"/>
      <c r="AR1214" s="232"/>
      <c r="AS1214" s="232"/>
      <c r="AT1214" s="232"/>
      <c r="AU1214" s="232"/>
      <c r="AV1214" s="232"/>
      <c r="AW1214" s="232"/>
      <c r="AX1214" s="232"/>
      <c r="AY1214" s="232"/>
      <c r="AZ1214" s="232"/>
      <c r="BA1214" s="232"/>
      <c r="BB1214" s="232"/>
      <c r="BC1214" s="232"/>
      <c r="BD1214" s="232"/>
      <c r="BE1214" s="232"/>
      <c r="BF1214" s="232"/>
      <c r="BG1214" s="232"/>
      <c r="BH1214" s="232"/>
      <c r="BI1214" s="232"/>
      <c r="BJ1214" s="232"/>
      <c r="BK1214" s="232"/>
      <c r="BL1214" s="232"/>
      <c r="BM1214" s="232"/>
      <c r="BN1214" s="232"/>
      <c r="BO1214" s="232"/>
      <c r="BP1214" s="232"/>
      <c r="BQ1214" s="232"/>
      <c r="BR1214" s="232"/>
      <c r="BS1214" s="232"/>
      <c r="BT1214" s="232"/>
      <c r="BU1214" s="232"/>
      <c r="BV1214" s="232"/>
      <c r="BW1214" s="232"/>
      <c r="BX1214" s="232"/>
      <c r="BY1214" s="232"/>
      <c r="BZ1214" s="232"/>
      <c r="CA1214" s="232"/>
      <c r="CB1214" s="232"/>
      <c r="CC1214" s="232"/>
      <c r="CD1214" s="232"/>
      <c r="CE1214" s="232"/>
      <c r="CF1214" s="232"/>
      <c r="CG1214" s="232"/>
      <c r="CH1214" s="232"/>
      <c r="CI1214" s="232"/>
      <c r="CJ1214" s="232"/>
      <c r="CK1214" s="232"/>
      <c r="CL1214" s="232"/>
      <c r="CM1214" s="232"/>
      <c r="CN1214" s="215"/>
      <c r="CO1214" s="215"/>
      <c r="CP1214" s="215"/>
      <c r="CQ1214" s="215"/>
      <c r="CR1214" s="215"/>
      <c r="CS1214" s="215"/>
      <c r="CT1214" s="215"/>
    </row>
    <row r="1215" ht="24.0" customHeight="1">
      <c r="A1215" s="287"/>
      <c r="B1215" s="287"/>
      <c r="C1215" s="287"/>
      <c r="D1215" s="232"/>
      <c r="E1215" s="232"/>
      <c r="F1215" s="232"/>
      <c r="G1215" s="232"/>
      <c r="H1215" s="232"/>
      <c r="I1215" s="232"/>
      <c r="J1215" s="232"/>
      <c r="K1215" s="232"/>
      <c r="L1215" s="232"/>
      <c r="M1215" s="232"/>
      <c r="N1215" s="289"/>
      <c r="O1215" s="232"/>
      <c r="P1215" s="232"/>
      <c r="Q1215" s="232"/>
      <c r="R1215" s="232"/>
      <c r="S1215" s="232"/>
      <c r="T1215" s="232"/>
      <c r="U1215" s="232"/>
      <c r="V1215" s="232"/>
      <c r="W1215" s="232"/>
      <c r="X1215" s="232"/>
      <c r="Y1215" s="232"/>
      <c r="Z1215" s="232"/>
      <c r="AA1215" s="232"/>
      <c r="AB1215" s="232"/>
      <c r="AC1215" s="232"/>
      <c r="AD1215" s="232"/>
      <c r="AE1215" s="232"/>
      <c r="AF1215" s="232"/>
      <c r="AG1215" s="232"/>
      <c r="AH1215" s="232"/>
      <c r="AI1215" s="232"/>
      <c r="AJ1215" s="232"/>
      <c r="AK1215" s="232"/>
      <c r="AL1215" s="232"/>
      <c r="AM1215" s="232"/>
      <c r="AN1215" s="232"/>
      <c r="AO1215" s="232"/>
      <c r="AP1215" s="232"/>
      <c r="AQ1215" s="232"/>
      <c r="AR1215" s="232"/>
      <c r="AS1215" s="232"/>
      <c r="AT1215" s="232"/>
      <c r="AU1215" s="232"/>
      <c r="AV1215" s="232"/>
      <c r="AW1215" s="232"/>
      <c r="AX1215" s="232"/>
      <c r="AY1215" s="232"/>
      <c r="AZ1215" s="232"/>
      <c r="BA1215" s="232"/>
      <c r="BB1215" s="232"/>
      <c r="BC1215" s="232"/>
      <c r="BD1215" s="232"/>
      <c r="BE1215" s="232"/>
      <c r="BF1215" s="232"/>
      <c r="BG1215" s="232"/>
      <c r="BH1215" s="232"/>
      <c r="BI1215" s="232"/>
      <c r="BJ1215" s="232"/>
      <c r="BK1215" s="232"/>
      <c r="BL1215" s="232"/>
      <c r="BM1215" s="232"/>
      <c r="BN1215" s="232"/>
      <c r="BO1215" s="232"/>
      <c r="BP1215" s="232"/>
      <c r="BQ1215" s="232"/>
      <c r="BR1215" s="232"/>
      <c r="BS1215" s="232"/>
      <c r="BT1215" s="232"/>
      <c r="BU1215" s="232"/>
      <c r="BV1215" s="232"/>
      <c r="BW1215" s="232"/>
      <c r="BX1215" s="232"/>
      <c r="BY1215" s="232"/>
      <c r="BZ1215" s="232"/>
      <c r="CA1215" s="232"/>
      <c r="CB1215" s="232"/>
      <c r="CC1215" s="232"/>
      <c r="CD1215" s="232"/>
      <c r="CE1215" s="232"/>
      <c r="CF1215" s="232"/>
      <c r="CG1215" s="232"/>
      <c r="CH1215" s="232"/>
      <c r="CI1215" s="232"/>
      <c r="CJ1215" s="232"/>
      <c r="CK1215" s="232"/>
      <c r="CL1215" s="232"/>
      <c r="CM1215" s="232"/>
      <c r="CN1215" s="215"/>
      <c r="CO1215" s="215"/>
      <c r="CP1215" s="215"/>
      <c r="CQ1215" s="215"/>
      <c r="CR1215" s="215"/>
      <c r="CS1215" s="215"/>
      <c r="CT1215" s="215"/>
    </row>
    <row r="1216" ht="24.0" customHeight="1">
      <c r="A1216" s="287"/>
      <c r="B1216" s="287"/>
      <c r="C1216" s="287"/>
      <c r="D1216" s="232"/>
      <c r="E1216" s="232"/>
      <c r="F1216" s="232"/>
      <c r="G1216" s="232"/>
      <c r="H1216" s="232"/>
      <c r="I1216" s="232"/>
      <c r="J1216" s="232"/>
      <c r="K1216" s="232"/>
      <c r="L1216" s="232"/>
      <c r="M1216" s="232"/>
      <c r="N1216" s="289"/>
      <c r="O1216" s="232"/>
      <c r="P1216" s="232"/>
      <c r="Q1216" s="232"/>
      <c r="R1216" s="232"/>
      <c r="S1216" s="232"/>
      <c r="T1216" s="232"/>
      <c r="U1216" s="232"/>
      <c r="V1216" s="232"/>
      <c r="W1216" s="232"/>
      <c r="X1216" s="232"/>
      <c r="Y1216" s="232"/>
      <c r="Z1216" s="232"/>
      <c r="AA1216" s="232"/>
      <c r="AB1216" s="232"/>
      <c r="AC1216" s="232"/>
      <c r="AD1216" s="232"/>
      <c r="AE1216" s="232"/>
      <c r="AF1216" s="232"/>
      <c r="AG1216" s="232"/>
      <c r="AH1216" s="232"/>
      <c r="AI1216" s="232"/>
      <c r="AJ1216" s="232"/>
      <c r="AK1216" s="232"/>
      <c r="AL1216" s="232"/>
      <c r="AM1216" s="232"/>
      <c r="AN1216" s="232"/>
      <c r="AO1216" s="232"/>
      <c r="AP1216" s="232"/>
      <c r="AQ1216" s="232"/>
      <c r="AR1216" s="232"/>
      <c r="AS1216" s="232"/>
      <c r="AT1216" s="232"/>
      <c r="AU1216" s="232"/>
      <c r="AV1216" s="232"/>
      <c r="AW1216" s="232"/>
      <c r="AX1216" s="232"/>
      <c r="AY1216" s="232"/>
      <c r="AZ1216" s="232"/>
      <c r="BA1216" s="232"/>
      <c r="BB1216" s="232"/>
      <c r="BC1216" s="232"/>
      <c r="BD1216" s="232"/>
      <c r="BE1216" s="232"/>
      <c r="BF1216" s="232"/>
      <c r="BG1216" s="232"/>
      <c r="BH1216" s="232"/>
      <c r="BI1216" s="232"/>
      <c r="BJ1216" s="232"/>
      <c r="BK1216" s="232"/>
      <c r="BL1216" s="232"/>
      <c r="BM1216" s="232"/>
      <c r="BN1216" s="232"/>
      <c r="BO1216" s="232"/>
      <c r="BP1216" s="232"/>
      <c r="BQ1216" s="232"/>
      <c r="BR1216" s="232"/>
      <c r="BS1216" s="232"/>
      <c r="BT1216" s="232"/>
      <c r="BU1216" s="232"/>
      <c r="BV1216" s="232"/>
      <c r="BW1216" s="232"/>
      <c r="BX1216" s="232"/>
      <c r="BY1216" s="232"/>
      <c r="BZ1216" s="232"/>
      <c r="CA1216" s="232"/>
      <c r="CB1216" s="232"/>
      <c r="CC1216" s="232"/>
      <c r="CD1216" s="232"/>
      <c r="CE1216" s="232"/>
      <c r="CF1216" s="232"/>
      <c r="CG1216" s="232"/>
      <c r="CH1216" s="232"/>
      <c r="CI1216" s="232"/>
      <c r="CJ1216" s="232"/>
      <c r="CK1216" s="232"/>
      <c r="CL1216" s="232"/>
      <c r="CM1216" s="232"/>
      <c r="CN1216" s="215"/>
      <c r="CO1216" s="215"/>
      <c r="CP1216" s="215"/>
      <c r="CQ1216" s="215"/>
      <c r="CR1216" s="215"/>
      <c r="CS1216" s="215"/>
      <c r="CT1216" s="215"/>
    </row>
    <row r="1217" ht="24.0" customHeight="1">
      <c r="A1217" s="287"/>
      <c r="B1217" s="287"/>
      <c r="C1217" s="287"/>
      <c r="D1217" s="232"/>
      <c r="E1217" s="232"/>
      <c r="F1217" s="232"/>
      <c r="G1217" s="232"/>
      <c r="H1217" s="232"/>
      <c r="I1217" s="232"/>
      <c r="J1217" s="232"/>
      <c r="K1217" s="232"/>
      <c r="L1217" s="232"/>
      <c r="M1217" s="232"/>
      <c r="N1217" s="289"/>
      <c r="O1217" s="232"/>
      <c r="P1217" s="232"/>
      <c r="Q1217" s="232"/>
      <c r="R1217" s="232"/>
      <c r="S1217" s="232"/>
      <c r="T1217" s="232"/>
      <c r="U1217" s="232"/>
      <c r="V1217" s="232"/>
      <c r="W1217" s="232"/>
      <c r="X1217" s="232"/>
      <c r="Y1217" s="232"/>
      <c r="Z1217" s="232"/>
      <c r="AA1217" s="232"/>
      <c r="AB1217" s="232"/>
      <c r="AC1217" s="232"/>
      <c r="AD1217" s="232"/>
      <c r="AE1217" s="232"/>
      <c r="AF1217" s="232"/>
      <c r="AG1217" s="232"/>
      <c r="AH1217" s="232"/>
      <c r="AI1217" s="232"/>
      <c r="AJ1217" s="232"/>
      <c r="AK1217" s="232"/>
      <c r="AL1217" s="232"/>
      <c r="AM1217" s="232"/>
      <c r="AN1217" s="232"/>
      <c r="AO1217" s="232"/>
      <c r="AP1217" s="232"/>
      <c r="AQ1217" s="232"/>
      <c r="AR1217" s="232"/>
      <c r="AS1217" s="232"/>
      <c r="AT1217" s="232"/>
      <c r="AU1217" s="232"/>
      <c r="AV1217" s="232"/>
      <c r="AW1217" s="232"/>
      <c r="AX1217" s="232"/>
      <c r="AY1217" s="232"/>
      <c r="AZ1217" s="232"/>
      <c r="BA1217" s="232"/>
      <c r="BB1217" s="232"/>
      <c r="BC1217" s="232"/>
      <c r="BD1217" s="232"/>
      <c r="BE1217" s="232"/>
      <c r="BF1217" s="232"/>
      <c r="BG1217" s="232"/>
      <c r="BH1217" s="232"/>
      <c r="BI1217" s="232"/>
      <c r="BJ1217" s="232"/>
      <c r="BK1217" s="232"/>
      <c r="BL1217" s="232"/>
      <c r="BM1217" s="232"/>
      <c r="BN1217" s="232"/>
      <c r="BO1217" s="232"/>
      <c r="BP1217" s="232"/>
      <c r="BQ1217" s="232"/>
      <c r="BR1217" s="232"/>
      <c r="BS1217" s="232"/>
      <c r="BT1217" s="232"/>
      <c r="BU1217" s="232"/>
      <c r="BV1217" s="232"/>
      <c r="BW1217" s="232"/>
      <c r="BX1217" s="232"/>
      <c r="BY1217" s="232"/>
      <c r="BZ1217" s="232"/>
      <c r="CA1217" s="232"/>
      <c r="CB1217" s="232"/>
      <c r="CC1217" s="232"/>
      <c r="CD1217" s="232"/>
      <c r="CE1217" s="232"/>
      <c r="CF1217" s="232"/>
      <c r="CG1217" s="232"/>
      <c r="CH1217" s="232"/>
      <c r="CI1217" s="232"/>
      <c r="CJ1217" s="232"/>
      <c r="CK1217" s="232"/>
      <c r="CL1217" s="232"/>
      <c r="CM1217" s="232"/>
      <c r="CN1217" s="215"/>
      <c r="CO1217" s="215"/>
      <c r="CP1217" s="215"/>
      <c r="CQ1217" s="215"/>
      <c r="CR1217" s="215"/>
      <c r="CS1217" s="215"/>
      <c r="CT1217" s="215"/>
    </row>
    <row r="1218" ht="24.0" customHeight="1">
      <c r="A1218" s="287"/>
      <c r="B1218" s="287"/>
      <c r="C1218" s="287"/>
      <c r="D1218" s="232"/>
      <c r="E1218" s="232"/>
      <c r="F1218" s="232"/>
      <c r="G1218" s="232"/>
      <c r="H1218" s="232"/>
      <c r="I1218" s="232"/>
      <c r="J1218" s="232"/>
      <c r="K1218" s="232"/>
      <c r="L1218" s="232"/>
      <c r="M1218" s="232"/>
      <c r="N1218" s="289"/>
      <c r="O1218" s="232"/>
      <c r="P1218" s="232"/>
      <c r="Q1218" s="232"/>
      <c r="R1218" s="232"/>
      <c r="S1218" s="232"/>
      <c r="T1218" s="232"/>
      <c r="U1218" s="232"/>
      <c r="V1218" s="232"/>
      <c r="W1218" s="232"/>
      <c r="X1218" s="232"/>
      <c r="Y1218" s="232"/>
      <c r="Z1218" s="232"/>
      <c r="AA1218" s="232"/>
      <c r="AB1218" s="232"/>
      <c r="AC1218" s="232"/>
      <c r="AD1218" s="232"/>
      <c r="AE1218" s="232"/>
      <c r="AF1218" s="232"/>
      <c r="AG1218" s="232"/>
      <c r="AH1218" s="232"/>
      <c r="AI1218" s="232"/>
      <c r="AJ1218" s="232"/>
      <c r="AK1218" s="232"/>
      <c r="AL1218" s="232"/>
      <c r="AM1218" s="232"/>
      <c r="AN1218" s="232"/>
      <c r="AO1218" s="232"/>
      <c r="AP1218" s="232"/>
      <c r="AQ1218" s="232"/>
      <c r="AR1218" s="232"/>
      <c r="AS1218" s="232"/>
      <c r="AT1218" s="232"/>
      <c r="AU1218" s="232"/>
      <c r="AV1218" s="232"/>
      <c r="AW1218" s="232"/>
      <c r="AX1218" s="232"/>
      <c r="AY1218" s="232"/>
      <c r="AZ1218" s="232"/>
      <c r="BA1218" s="232"/>
      <c r="BB1218" s="232"/>
      <c r="BC1218" s="232"/>
      <c r="BD1218" s="232"/>
      <c r="BE1218" s="232"/>
      <c r="BF1218" s="232"/>
      <c r="BG1218" s="232"/>
      <c r="BH1218" s="232"/>
      <c r="BI1218" s="232"/>
      <c r="BJ1218" s="232"/>
      <c r="BK1218" s="232"/>
      <c r="BL1218" s="232"/>
      <c r="BM1218" s="232"/>
      <c r="BN1218" s="232"/>
      <c r="BO1218" s="232"/>
      <c r="BP1218" s="232"/>
      <c r="BQ1218" s="232"/>
      <c r="BR1218" s="232"/>
      <c r="BS1218" s="232"/>
      <c r="BT1218" s="232"/>
      <c r="BU1218" s="232"/>
      <c r="BV1218" s="232"/>
      <c r="BW1218" s="232"/>
      <c r="BX1218" s="232"/>
      <c r="BY1218" s="232"/>
      <c r="BZ1218" s="232"/>
      <c r="CA1218" s="232"/>
      <c r="CB1218" s="232"/>
      <c r="CC1218" s="232"/>
      <c r="CD1218" s="232"/>
      <c r="CE1218" s="232"/>
      <c r="CF1218" s="232"/>
      <c r="CG1218" s="232"/>
      <c r="CH1218" s="232"/>
      <c r="CI1218" s="232"/>
      <c r="CJ1218" s="232"/>
      <c r="CK1218" s="232"/>
      <c r="CL1218" s="232"/>
      <c r="CM1218" s="232"/>
      <c r="CN1218" s="215"/>
      <c r="CO1218" s="215"/>
      <c r="CP1218" s="215"/>
      <c r="CQ1218" s="215"/>
      <c r="CR1218" s="215"/>
      <c r="CS1218" s="215"/>
      <c r="CT1218" s="215"/>
    </row>
    <row r="1219" ht="24.0" customHeight="1">
      <c r="A1219" s="287"/>
      <c r="B1219" s="287"/>
      <c r="C1219" s="287"/>
      <c r="D1219" s="232"/>
      <c r="E1219" s="232"/>
      <c r="F1219" s="232"/>
      <c r="G1219" s="232"/>
      <c r="H1219" s="232"/>
      <c r="I1219" s="232"/>
      <c r="J1219" s="232"/>
      <c r="K1219" s="232"/>
      <c r="L1219" s="232"/>
      <c r="M1219" s="232"/>
      <c r="N1219" s="289"/>
      <c r="O1219" s="232"/>
      <c r="P1219" s="232"/>
      <c r="Q1219" s="232"/>
      <c r="R1219" s="232"/>
      <c r="S1219" s="232"/>
      <c r="T1219" s="232"/>
      <c r="U1219" s="232"/>
      <c r="V1219" s="232"/>
      <c r="W1219" s="232"/>
      <c r="X1219" s="232"/>
      <c r="Y1219" s="232"/>
      <c r="Z1219" s="232"/>
      <c r="AA1219" s="232"/>
      <c r="AB1219" s="232"/>
      <c r="AC1219" s="232"/>
      <c r="AD1219" s="232"/>
      <c r="AE1219" s="232"/>
      <c r="AF1219" s="232"/>
      <c r="AG1219" s="232"/>
      <c r="AH1219" s="232"/>
      <c r="AI1219" s="232"/>
      <c r="AJ1219" s="232"/>
      <c r="AK1219" s="232"/>
      <c r="AL1219" s="232"/>
      <c r="AM1219" s="232"/>
      <c r="AN1219" s="232"/>
      <c r="AO1219" s="232"/>
      <c r="AP1219" s="232"/>
      <c r="AQ1219" s="232"/>
      <c r="AR1219" s="232"/>
      <c r="AS1219" s="232"/>
      <c r="AT1219" s="232"/>
      <c r="AU1219" s="232"/>
      <c r="AV1219" s="232"/>
      <c r="AW1219" s="232"/>
      <c r="AX1219" s="232"/>
      <c r="AY1219" s="232"/>
      <c r="AZ1219" s="232"/>
      <c r="BA1219" s="232"/>
      <c r="BB1219" s="232"/>
      <c r="BC1219" s="232"/>
      <c r="BD1219" s="232"/>
      <c r="BE1219" s="232"/>
      <c r="BF1219" s="232"/>
      <c r="BG1219" s="232"/>
      <c r="BH1219" s="232"/>
      <c r="BI1219" s="232"/>
      <c r="BJ1219" s="232"/>
      <c r="BK1219" s="232"/>
      <c r="BL1219" s="232"/>
      <c r="BM1219" s="232"/>
      <c r="BN1219" s="232"/>
      <c r="BO1219" s="232"/>
      <c r="BP1219" s="232"/>
      <c r="BQ1219" s="232"/>
      <c r="BR1219" s="232"/>
      <c r="BS1219" s="232"/>
      <c r="BT1219" s="232"/>
      <c r="BU1219" s="232"/>
      <c r="BV1219" s="232"/>
      <c r="BW1219" s="232"/>
      <c r="BX1219" s="232"/>
      <c r="BY1219" s="232"/>
      <c r="BZ1219" s="232"/>
      <c r="CA1219" s="232"/>
      <c r="CB1219" s="232"/>
      <c r="CC1219" s="232"/>
      <c r="CD1219" s="232"/>
      <c r="CE1219" s="232"/>
      <c r="CF1219" s="232"/>
      <c r="CG1219" s="232"/>
      <c r="CH1219" s="232"/>
      <c r="CI1219" s="232"/>
      <c r="CJ1219" s="232"/>
      <c r="CK1219" s="232"/>
      <c r="CL1219" s="232"/>
      <c r="CM1219" s="232"/>
      <c r="CN1219" s="215"/>
      <c r="CO1219" s="215"/>
      <c r="CP1219" s="215"/>
      <c r="CQ1219" s="215"/>
      <c r="CR1219" s="215"/>
      <c r="CS1219" s="215"/>
      <c r="CT1219" s="215"/>
    </row>
    <row r="1220" ht="24.0" customHeight="1">
      <c r="A1220" s="287"/>
      <c r="B1220" s="287"/>
      <c r="C1220" s="287"/>
      <c r="D1220" s="232"/>
      <c r="E1220" s="232"/>
      <c r="F1220" s="232"/>
      <c r="G1220" s="232"/>
      <c r="H1220" s="232"/>
      <c r="I1220" s="232"/>
      <c r="J1220" s="232"/>
      <c r="K1220" s="232"/>
      <c r="L1220" s="232"/>
      <c r="M1220" s="232"/>
      <c r="N1220" s="289"/>
      <c r="O1220" s="232"/>
      <c r="P1220" s="232"/>
      <c r="Q1220" s="232"/>
      <c r="R1220" s="232"/>
      <c r="S1220" s="232"/>
      <c r="T1220" s="232"/>
      <c r="U1220" s="232"/>
      <c r="V1220" s="232"/>
      <c r="W1220" s="232"/>
      <c r="X1220" s="232"/>
      <c r="Y1220" s="232"/>
      <c r="Z1220" s="232"/>
      <c r="AA1220" s="232"/>
      <c r="AB1220" s="232"/>
      <c r="AC1220" s="232"/>
      <c r="AD1220" s="232"/>
      <c r="AE1220" s="232"/>
      <c r="AF1220" s="232"/>
      <c r="AG1220" s="232"/>
      <c r="AH1220" s="232"/>
      <c r="AI1220" s="232"/>
      <c r="AJ1220" s="232"/>
      <c r="AK1220" s="232"/>
      <c r="AL1220" s="232"/>
      <c r="AM1220" s="232"/>
      <c r="AN1220" s="232"/>
      <c r="AO1220" s="232"/>
      <c r="AP1220" s="232"/>
      <c r="AQ1220" s="232"/>
      <c r="AR1220" s="232"/>
      <c r="AS1220" s="232"/>
      <c r="AT1220" s="232"/>
      <c r="AU1220" s="232"/>
      <c r="AV1220" s="232"/>
      <c r="AW1220" s="232"/>
      <c r="AX1220" s="232"/>
      <c r="AY1220" s="232"/>
      <c r="AZ1220" s="232"/>
      <c r="BA1220" s="232"/>
      <c r="BB1220" s="232"/>
      <c r="BC1220" s="232"/>
      <c r="BD1220" s="232"/>
      <c r="BE1220" s="232"/>
      <c r="BF1220" s="232"/>
      <c r="BG1220" s="232"/>
      <c r="BH1220" s="232"/>
      <c r="BI1220" s="232"/>
      <c r="BJ1220" s="232"/>
      <c r="BK1220" s="232"/>
      <c r="BL1220" s="232"/>
      <c r="BM1220" s="232"/>
      <c r="BN1220" s="232"/>
      <c r="BO1220" s="232"/>
      <c r="BP1220" s="232"/>
      <c r="BQ1220" s="232"/>
      <c r="BR1220" s="232"/>
      <c r="BS1220" s="232"/>
      <c r="BT1220" s="232"/>
      <c r="BU1220" s="232"/>
      <c r="BV1220" s="232"/>
      <c r="BW1220" s="232"/>
      <c r="BX1220" s="232"/>
      <c r="BY1220" s="232"/>
      <c r="BZ1220" s="232"/>
      <c r="CA1220" s="232"/>
      <c r="CB1220" s="232"/>
      <c r="CC1220" s="232"/>
      <c r="CD1220" s="232"/>
      <c r="CE1220" s="232"/>
      <c r="CF1220" s="232"/>
      <c r="CG1220" s="232"/>
      <c r="CH1220" s="232"/>
      <c r="CI1220" s="232"/>
      <c r="CJ1220" s="232"/>
      <c r="CK1220" s="232"/>
      <c r="CL1220" s="232"/>
      <c r="CM1220" s="232"/>
      <c r="CN1220" s="215"/>
      <c r="CO1220" s="215"/>
      <c r="CP1220" s="215"/>
      <c r="CQ1220" s="215"/>
      <c r="CR1220" s="215"/>
      <c r="CS1220" s="215"/>
      <c r="CT1220" s="215"/>
    </row>
    <row r="1221" ht="24.0" customHeight="1">
      <c r="A1221" s="287"/>
      <c r="B1221" s="287"/>
      <c r="C1221" s="287"/>
      <c r="D1221" s="232"/>
      <c r="E1221" s="232"/>
      <c r="F1221" s="232"/>
      <c r="G1221" s="232"/>
      <c r="H1221" s="232"/>
      <c r="I1221" s="232"/>
      <c r="J1221" s="232"/>
      <c r="K1221" s="232"/>
      <c r="L1221" s="232"/>
      <c r="M1221" s="232"/>
      <c r="N1221" s="289"/>
      <c r="O1221" s="232"/>
      <c r="P1221" s="232"/>
      <c r="Q1221" s="232"/>
      <c r="R1221" s="232"/>
      <c r="S1221" s="232"/>
      <c r="T1221" s="232"/>
      <c r="U1221" s="232"/>
      <c r="V1221" s="232"/>
      <c r="W1221" s="232"/>
      <c r="X1221" s="232"/>
      <c r="Y1221" s="232"/>
      <c r="Z1221" s="232"/>
      <c r="AA1221" s="232"/>
      <c r="AB1221" s="232"/>
      <c r="AC1221" s="232"/>
      <c r="AD1221" s="232"/>
      <c r="AE1221" s="232"/>
      <c r="AF1221" s="232"/>
      <c r="AG1221" s="232"/>
      <c r="AH1221" s="232"/>
      <c r="AI1221" s="232"/>
      <c r="AJ1221" s="232"/>
      <c r="AK1221" s="232"/>
      <c r="AL1221" s="232"/>
      <c r="AM1221" s="232"/>
      <c r="AN1221" s="232"/>
      <c r="AO1221" s="232"/>
      <c r="AP1221" s="232"/>
      <c r="AQ1221" s="232"/>
      <c r="AR1221" s="232"/>
      <c r="AS1221" s="232"/>
      <c r="AT1221" s="232"/>
      <c r="AU1221" s="232"/>
      <c r="AV1221" s="232"/>
      <c r="AW1221" s="232"/>
      <c r="AX1221" s="232"/>
      <c r="AY1221" s="232"/>
      <c r="AZ1221" s="232"/>
      <c r="BA1221" s="232"/>
      <c r="BB1221" s="232"/>
      <c r="BC1221" s="232"/>
      <c r="BD1221" s="232"/>
      <c r="BE1221" s="232"/>
      <c r="BF1221" s="232"/>
      <c r="BG1221" s="232"/>
      <c r="BH1221" s="232"/>
      <c r="BI1221" s="232"/>
      <c r="BJ1221" s="232"/>
      <c r="BK1221" s="232"/>
      <c r="BL1221" s="232"/>
      <c r="BM1221" s="232"/>
      <c r="BN1221" s="232"/>
      <c r="BO1221" s="232"/>
      <c r="BP1221" s="232"/>
      <c r="BQ1221" s="232"/>
      <c r="BR1221" s="232"/>
      <c r="BS1221" s="232"/>
      <c r="BT1221" s="232"/>
      <c r="BU1221" s="232"/>
      <c r="BV1221" s="232"/>
      <c r="BW1221" s="232"/>
      <c r="BX1221" s="232"/>
      <c r="BY1221" s="232"/>
      <c r="BZ1221" s="232"/>
      <c r="CA1221" s="232"/>
      <c r="CB1221" s="232"/>
      <c r="CC1221" s="232"/>
      <c r="CD1221" s="232"/>
      <c r="CE1221" s="232"/>
      <c r="CF1221" s="232"/>
      <c r="CG1221" s="232"/>
      <c r="CH1221" s="232"/>
      <c r="CI1221" s="232"/>
      <c r="CJ1221" s="232"/>
      <c r="CK1221" s="232"/>
      <c r="CL1221" s="232"/>
      <c r="CM1221" s="232"/>
      <c r="CN1221" s="215"/>
      <c r="CO1221" s="215"/>
      <c r="CP1221" s="215"/>
      <c r="CQ1221" s="215"/>
      <c r="CR1221" s="215"/>
      <c r="CS1221" s="215"/>
      <c r="CT1221" s="215"/>
    </row>
    <row r="1222" ht="24.0" customHeight="1">
      <c r="A1222" s="287"/>
      <c r="B1222" s="287"/>
      <c r="C1222" s="287"/>
      <c r="D1222" s="232"/>
      <c r="E1222" s="232"/>
      <c r="F1222" s="232"/>
      <c r="G1222" s="232"/>
      <c r="H1222" s="232"/>
      <c r="I1222" s="232"/>
      <c r="J1222" s="232"/>
      <c r="K1222" s="232"/>
      <c r="L1222" s="232"/>
      <c r="M1222" s="232"/>
      <c r="N1222" s="289"/>
      <c r="O1222" s="232"/>
      <c r="P1222" s="232"/>
      <c r="Q1222" s="232"/>
      <c r="R1222" s="232"/>
      <c r="S1222" s="232"/>
      <c r="T1222" s="232"/>
      <c r="U1222" s="232"/>
      <c r="V1222" s="232"/>
      <c r="W1222" s="232"/>
      <c r="X1222" s="232"/>
      <c r="Y1222" s="232"/>
      <c r="Z1222" s="232"/>
      <c r="AA1222" s="232"/>
      <c r="AB1222" s="232"/>
      <c r="AC1222" s="232"/>
      <c r="AD1222" s="232"/>
      <c r="AE1222" s="232"/>
      <c r="AF1222" s="232"/>
      <c r="AG1222" s="232"/>
      <c r="AH1222" s="232"/>
      <c r="AI1222" s="232"/>
      <c r="AJ1222" s="232"/>
      <c r="AK1222" s="232"/>
      <c r="AL1222" s="232"/>
      <c r="AM1222" s="232"/>
      <c r="AN1222" s="232"/>
      <c r="AO1222" s="232"/>
      <c r="AP1222" s="232"/>
      <c r="AQ1222" s="232"/>
      <c r="AR1222" s="232"/>
      <c r="AS1222" s="232"/>
      <c r="AT1222" s="232"/>
      <c r="AU1222" s="232"/>
      <c r="AV1222" s="232"/>
      <c r="AW1222" s="232"/>
      <c r="AX1222" s="232"/>
      <c r="AY1222" s="232"/>
      <c r="AZ1222" s="232"/>
      <c r="BA1222" s="232"/>
      <c r="BB1222" s="232"/>
      <c r="BC1222" s="232"/>
      <c r="BD1222" s="232"/>
      <c r="BE1222" s="232"/>
      <c r="BF1222" s="232"/>
      <c r="BG1222" s="232"/>
      <c r="BH1222" s="232"/>
      <c r="BI1222" s="232"/>
      <c r="BJ1222" s="232"/>
      <c r="BK1222" s="232"/>
      <c r="BL1222" s="232"/>
      <c r="BM1222" s="232"/>
      <c r="BN1222" s="232"/>
      <c r="BO1222" s="232"/>
      <c r="BP1222" s="232"/>
      <c r="BQ1222" s="232"/>
      <c r="BR1222" s="232"/>
      <c r="BS1222" s="232"/>
      <c r="BT1222" s="232"/>
      <c r="BU1222" s="232"/>
      <c r="BV1222" s="232"/>
      <c r="BW1222" s="232"/>
      <c r="BX1222" s="232"/>
      <c r="BY1222" s="232"/>
      <c r="BZ1222" s="232"/>
      <c r="CA1222" s="232"/>
      <c r="CB1222" s="232"/>
      <c r="CC1222" s="232"/>
      <c r="CD1222" s="232"/>
      <c r="CE1222" s="232"/>
      <c r="CF1222" s="232"/>
      <c r="CG1222" s="232"/>
      <c r="CH1222" s="232"/>
      <c r="CI1222" s="232"/>
      <c r="CJ1222" s="232"/>
      <c r="CK1222" s="232"/>
      <c r="CL1222" s="232"/>
      <c r="CM1222" s="232"/>
      <c r="CN1222" s="215"/>
      <c r="CO1222" s="215"/>
      <c r="CP1222" s="215"/>
      <c r="CQ1222" s="215"/>
      <c r="CR1222" s="215"/>
      <c r="CS1222" s="215"/>
      <c r="CT1222" s="215"/>
    </row>
    <row r="1223" ht="24.0" customHeight="1">
      <c r="A1223" s="287"/>
      <c r="B1223" s="287"/>
      <c r="C1223" s="287"/>
      <c r="D1223" s="232"/>
      <c r="E1223" s="232"/>
      <c r="F1223" s="232"/>
      <c r="G1223" s="232"/>
      <c r="H1223" s="232"/>
      <c r="I1223" s="232"/>
      <c r="J1223" s="232"/>
      <c r="K1223" s="232"/>
      <c r="L1223" s="232"/>
      <c r="M1223" s="232"/>
      <c r="N1223" s="289"/>
      <c r="O1223" s="232"/>
      <c r="P1223" s="232"/>
      <c r="Q1223" s="232"/>
      <c r="R1223" s="232"/>
      <c r="S1223" s="232"/>
      <c r="T1223" s="232"/>
      <c r="U1223" s="232"/>
      <c r="V1223" s="232"/>
      <c r="W1223" s="232"/>
      <c r="X1223" s="232"/>
      <c r="Y1223" s="232"/>
      <c r="Z1223" s="232"/>
      <c r="AA1223" s="232"/>
      <c r="AB1223" s="232"/>
      <c r="AC1223" s="232"/>
      <c r="AD1223" s="232"/>
      <c r="AE1223" s="232"/>
      <c r="AF1223" s="232"/>
      <c r="AG1223" s="232"/>
      <c r="AH1223" s="232"/>
      <c r="AI1223" s="232"/>
      <c r="AJ1223" s="232"/>
      <c r="AK1223" s="232"/>
      <c r="AL1223" s="232"/>
      <c r="AM1223" s="232"/>
      <c r="AN1223" s="232"/>
      <c r="AO1223" s="232"/>
      <c r="AP1223" s="232"/>
      <c r="AQ1223" s="232"/>
      <c r="AR1223" s="232"/>
      <c r="AS1223" s="232"/>
      <c r="AT1223" s="232"/>
      <c r="AU1223" s="232"/>
      <c r="AV1223" s="232"/>
      <c r="AW1223" s="232"/>
      <c r="AX1223" s="232"/>
      <c r="AY1223" s="232"/>
      <c r="AZ1223" s="232"/>
      <c r="BA1223" s="232"/>
      <c r="BB1223" s="232"/>
      <c r="BC1223" s="232"/>
      <c r="BD1223" s="232"/>
      <c r="BE1223" s="232"/>
      <c r="BF1223" s="232"/>
      <c r="BG1223" s="232"/>
      <c r="BH1223" s="232"/>
      <c r="BI1223" s="232"/>
      <c r="BJ1223" s="232"/>
      <c r="BK1223" s="232"/>
      <c r="BL1223" s="232"/>
      <c r="BM1223" s="232"/>
      <c r="BN1223" s="232"/>
      <c r="BO1223" s="232"/>
      <c r="BP1223" s="232"/>
      <c r="BQ1223" s="232"/>
      <c r="BR1223" s="232"/>
      <c r="BS1223" s="232"/>
      <c r="BT1223" s="232"/>
      <c r="BU1223" s="232"/>
      <c r="BV1223" s="232"/>
      <c r="BW1223" s="232"/>
      <c r="BX1223" s="232"/>
      <c r="BY1223" s="232"/>
      <c r="BZ1223" s="232"/>
      <c r="CA1223" s="232"/>
      <c r="CB1223" s="232"/>
      <c r="CC1223" s="232"/>
      <c r="CD1223" s="232"/>
      <c r="CE1223" s="232"/>
      <c r="CF1223" s="232"/>
      <c r="CG1223" s="232"/>
      <c r="CH1223" s="232"/>
      <c r="CI1223" s="232"/>
      <c r="CJ1223" s="232"/>
      <c r="CK1223" s="232"/>
      <c r="CL1223" s="232"/>
      <c r="CM1223" s="232"/>
      <c r="CN1223" s="215"/>
      <c r="CO1223" s="215"/>
      <c r="CP1223" s="215"/>
      <c r="CQ1223" s="215"/>
      <c r="CR1223" s="215"/>
      <c r="CS1223" s="215"/>
      <c r="CT1223" s="215"/>
    </row>
    <row r="1224" ht="24.0" customHeight="1">
      <c r="A1224" s="287"/>
      <c r="B1224" s="287"/>
      <c r="C1224" s="287"/>
      <c r="D1224" s="232"/>
      <c r="E1224" s="232"/>
      <c r="F1224" s="232"/>
      <c r="G1224" s="232"/>
      <c r="H1224" s="232"/>
      <c r="I1224" s="232"/>
      <c r="J1224" s="232"/>
      <c r="K1224" s="232"/>
      <c r="L1224" s="232"/>
      <c r="M1224" s="232"/>
      <c r="N1224" s="289"/>
      <c r="O1224" s="232"/>
      <c r="P1224" s="232"/>
      <c r="Q1224" s="232"/>
      <c r="R1224" s="232"/>
      <c r="S1224" s="232"/>
      <c r="T1224" s="232"/>
      <c r="U1224" s="232"/>
      <c r="V1224" s="232"/>
      <c r="W1224" s="232"/>
      <c r="X1224" s="232"/>
      <c r="Y1224" s="232"/>
      <c r="Z1224" s="232"/>
      <c r="AA1224" s="232"/>
      <c r="AB1224" s="232"/>
      <c r="AC1224" s="232"/>
      <c r="AD1224" s="232"/>
      <c r="AE1224" s="232"/>
      <c r="AF1224" s="232"/>
      <c r="AG1224" s="232"/>
      <c r="AH1224" s="232"/>
      <c r="AI1224" s="232"/>
      <c r="AJ1224" s="232"/>
      <c r="AK1224" s="232"/>
      <c r="AL1224" s="232"/>
      <c r="AM1224" s="232"/>
      <c r="AN1224" s="232"/>
      <c r="AO1224" s="232"/>
      <c r="AP1224" s="232"/>
      <c r="AQ1224" s="232"/>
      <c r="AR1224" s="232"/>
      <c r="AS1224" s="232"/>
      <c r="AT1224" s="232"/>
      <c r="AU1224" s="232"/>
      <c r="AV1224" s="232"/>
      <c r="AW1224" s="232"/>
      <c r="AX1224" s="232"/>
      <c r="AY1224" s="232"/>
      <c r="AZ1224" s="232"/>
      <c r="BA1224" s="232"/>
      <c r="BB1224" s="232"/>
      <c r="BC1224" s="232"/>
      <c r="BD1224" s="232"/>
      <c r="BE1224" s="232"/>
      <c r="BF1224" s="232"/>
      <c r="BG1224" s="232"/>
      <c r="BH1224" s="232"/>
      <c r="BI1224" s="232"/>
      <c r="BJ1224" s="232"/>
      <c r="BK1224" s="232"/>
      <c r="BL1224" s="232"/>
      <c r="BM1224" s="232"/>
      <c r="BN1224" s="232"/>
      <c r="BO1224" s="232"/>
      <c r="BP1224" s="232"/>
      <c r="BQ1224" s="232"/>
      <c r="BR1224" s="232"/>
      <c r="BS1224" s="232"/>
      <c r="BT1224" s="232"/>
      <c r="BU1224" s="232"/>
      <c r="BV1224" s="232"/>
      <c r="BW1224" s="232"/>
      <c r="BX1224" s="232"/>
      <c r="BY1224" s="232"/>
      <c r="BZ1224" s="232"/>
      <c r="CA1224" s="232"/>
      <c r="CB1224" s="232"/>
      <c r="CC1224" s="232"/>
      <c r="CD1224" s="232"/>
      <c r="CE1224" s="232"/>
      <c r="CF1224" s="232"/>
      <c r="CG1224" s="232"/>
      <c r="CH1224" s="232"/>
      <c r="CI1224" s="232"/>
      <c r="CJ1224" s="232"/>
      <c r="CK1224" s="232"/>
      <c r="CL1224" s="232"/>
      <c r="CM1224" s="232"/>
      <c r="CN1224" s="215"/>
      <c r="CO1224" s="215"/>
      <c r="CP1224" s="215"/>
      <c r="CQ1224" s="215"/>
      <c r="CR1224" s="215"/>
      <c r="CS1224" s="215"/>
      <c r="CT1224" s="215"/>
    </row>
    <row r="1225" ht="24.0" customHeight="1">
      <c r="A1225" s="287"/>
      <c r="B1225" s="287"/>
      <c r="C1225" s="287"/>
      <c r="D1225" s="232"/>
      <c r="E1225" s="232"/>
      <c r="F1225" s="232"/>
      <c r="G1225" s="232"/>
      <c r="H1225" s="232"/>
      <c r="I1225" s="232"/>
      <c r="J1225" s="232"/>
      <c r="K1225" s="232"/>
      <c r="L1225" s="232"/>
      <c r="M1225" s="232"/>
      <c r="N1225" s="289"/>
      <c r="O1225" s="232"/>
      <c r="P1225" s="232"/>
      <c r="Q1225" s="232"/>
      <c r="R1225" s="232"/>
      <c r="S1225" s="232"/>
      <c r="T1225" s="232"/>
      <c r="U1225" s="232"/>
      <c r="V1225" s="232"/>
      <c r="W1225" s="232"/>
      <c r="X1225" s="232"/>
      <c r="Y1225" s="232"/>
      <c r="Z1225" s="232"/>
      <c r="AA1225" s="232"/>
      <c r="AB1225" s="232"/>
      <c r="AC1225" s="232"/>
      <c r="AD1225" s="232"/>
      <c r="AE1225" s="232"/>
      <c r="AF1225" s="232"/>
      <c r="AG1225" s="232"/>
      <c r="AH1225" s="232"/>
      <c r="AI1225" s="232"/>
      <c r="AJ1225" s="232"/>
      <c r="AK1225" s="232"/>
      <c r="AL1225" s="232"/>
      <c r="AM1225" s="232"/>
      <c r="AN1225" s="232"/>
      <c r="AO1225" s="232"/>
      <c r="AP1225" s="232"/>
      <c r="AQ1225" s="232"/>
      <c r="AR1225" s="232"/>
      <c r="AS1225" s="232"/>
      <c r="AT1225" s="232"/>
      <c r="AU1225" s="232"/>
      <c r="AV1225" s="232"/>
      <c r="AW1225" s="232"/>
      <c r="AX1225" s="232"/>
      <c r="AY1225" s="232"/>
      <c r="AZ1225" s="232"/>
      <c r="BA1225" s="232"/>
      <c r="BB1225" s="232"/>
      <c r="BC1225" s="232"/>
      <c r="BD1225" s="232"/>
      <c r="BE1225" s="232"/>
      <c r="BF1225" s="232"/>
      <c r="BG1225" s="232"/>
      <c r="BH1225" s="232"/>
      <c r="BI1225" s="232"/>
      <c r="BJ1225" s="232"/>
      <c r="BK1225" s="232"/>
      <c r="BL1225" s="232"/>
      <c r="BM1225" s="232"/>
      <c r="BN1225" s="232"/>
      <c r="BO1225" s="232"/>
      <c r="BP1225" s="232"/>
      <c r="BQ1225" s="232"/>
      <c r="BR1225" s="232"/>
      <c r="BS1225" s="232"/>
      <c r="BT1225" s="232"/>
      <c r="BU1225" s="232"/>
      <c r="BV1225" s="232"/>
      <c r="BW1225" s="232"/>
      <c r="BX1225" s="232"/>
      <c r="BY1225" s="232"/>
      <c r="BZ1225" s="232"/>
      <c r="CA1225" s="232"/>
      <c r="CB1225" s="232"/>
      <c r="CC1225" s="232"/>
      <c r="CD1225" s="232"/>
      <c r="CE1225" s="232"/>
      <c r="CF1225" s="232"/>
      <c r="CG1225" s="232"/>
      <c r="CH1225" s="232"/>
      <c r="CI1225" s="232"/>
      <c r="CJ1225" s="232"/>
      <c r="CK1225" s="232"/>
      <c r="CL1225" s="232"/>
      <c r="CM1225" s="232"/>
      <c r="CN1225" s="215"/>
      <c r="CO1225" s="215"/>
      <c r="CP1225" s="215"/>
      <c r="CQ1225" s="215"/>
      <c r="CR1225" s="215"/>
      <c r="CS1225" s="215"/>
      <c r="CT1225" s="215"/>
    </row>
    <row r="1226" ht="24.0" customHeight="1">
      <c r="A1226" s="287"/>
      <c r="B1226" s="287"/>
      <c r="C1226" s="287"/>
      <c r="D1226" s="232"/>
      <c r="E1226" s="232"/>
      <c r="F1226" s="232"/>
      <c r="G1226" s="232"/>
      <c r="H1226" s="232"/>
      <c r="I1226" s="232"/>
      <c r="J1226" s="232"/>
      <c r="K1226" s="232"/>
      <c r="L1226" s="232"/>
      <c r="M1226" s="232"/>
      <c r="N1226" s="289"/>
      <c r="O1226" s="232"/>
      <c r="P1226" s="232"/>
      <c r="Q1226" s="232"/>
      <c r="R1226" s="232"/>
      <c r="S1226" s="232"/>
      <c r="T1226" s="232"/>
      <c r="U1226" s="232"/>
      <c r="V1226" s="232"/>
      <c r="W1226" s="232"/>
      <c r="X1226" s="232"/>
      <c r="Y1226" s="232"/>
      <c r="Z1226" s="232"/>
      <c r="AA1226" s="232"/>
      <c r="AB1226" s="232"/>
      <c r="AC1226" s="232"/>
      <c r="AD1226" s="232"/>
      <c r="AE1226" s="232"/>
      <c r="AF1226" s="232"/>
      <c r="AG1226" s="232"/>
      <c r="AH1226" s="232"/>
      <c r="AI1226" s="232"/>
      <c r="AJ1226" s="232"/>
      <c r="AK1226" s="232"/>
      <c r="AL1226" s="232"/>
      <c r="AM1226" s="232"/>
      <c r="AN1226" s="232"/>
      <c r="AO1226" s="232"/>
      <c r="AP1226" s="232"/>
      <c r="AQ1226" s="232"/>
      <c r="AR1226" s="232"/>
      <c r="AS1226" s="232"/>
      <c r="AT1226" s="232"/>
      <c r="AU1226" s="232"/>
      <c r="AV1226" s="232"/>
      <c r="AW1226" s="232"/>
      <c r="AX1226" s="232"/>
      <c r="AY1226" s="232"/>
      <c r="AZ1226" s="232"/>
      <c r="BA1226" s="232"/>
      <c r="BB1226" s="232"/>
      <c r="BC1226" s="232"/>
      <c r="BD1226" s="232"/>
      <c r="BE1226" s="232"/>
      <c r="BF1226" s="232"/>
      <c r="BG1226" s="232"/>
      <c r="BH1226" s="232"/>
      <c r="BI1226" s="232"/>
      <c r="BJ1226" s="232"/>
      <c r="BK1226" s="232"/>
      <c r="BL1226" s="232"/>
      <c r="BM1226" s="232"/>
      <c r="BN1226" s="232"/>
      <c r="BO1226" s="232"/>
      <c r="BP1226" s="232"/>
      <c r="BQ1226" s="232"/>
      <c r="BR1226" s="232"/>
      <c r="BS1226" s="232"/>
      <c r="BT1226" s="232"/>
      <c r="BU1226" s="232"/>
      <c r="BV1226" s="232"/>
      <c r="BW1226" s="232"/>
      <c r="BX1226" s="232"/>
      <c r="BY1226" s="232"/>
      <c r="BZ1226" s="232"/>
      <c r="CA1226" s="232"/>
      <c r="CB1226" s="232"/>
      <c r="CC1226" s="232"/>
      <c r="CD1226" s="232"/>
      <c r="CE1226" s="232"/>
      <c r="CF1226" s="232"/>
      <c r="CG1226" s="232"/>
      <c r="CH1226" s="232"/>
      <c r="CI1226" s="232"/>
      <c r="CJ1226" s="232"/>
      <c r="CK1226" s="232"/>
      <c r="CL1226" s="232"/>
      <c r="CM1226" s="232"/>
      <c r="CN1226" s="215"/>
      <c r="CO1226" s="215"/>
      <c r="CP1226" s="215"/>
      <c r="CQ1226" s="215"/>
      <c r="CR1226" s="215"/>
      <c r="CS1226" s="215"/>
      <c r="CT1226" s="215"/>
    </row>
    <row r="1227" ht="24.0" customHeight="1">
      <c r="A1227" s="287"/>
      <c r="B1227" s="287"/>
      <c r="C1227" s="287"/>
      <c r="D1227" s="232"/>
      <c r="E1227" s="232"/>
      <c r="F1227" s="232"/>
      <c r="G1227" s="232"/>
      <c r="H1227" s="232"/>
      <c r="I1227" s="232"/>
      <c r="J1227" s="232"/>
      <c r="K1227" s="232"/>
      <c r="L1227" s="232"/>
      <c r="M1227" s="232"/>
      <c r="N1227" s="289"/>
      <c r="O1227" s="232"/>
      <c r="P1227" s="232"/>
      <c r="Q1227" s="232"/>
      <c r="R1227" s="232"/>
      <c r="S1227" s="232"/>
      <c r="T1227" s="232"/>
      <c r="U1227" s="232"/>
      <c r="V1227" s="232"/>
      <c r="W1227" s="232"/>
      <c r="X1227" s="232"/>
      <c r="Y1227" s="232"/>
      <c r="Z1227" s="232"/>
      <c r="AA1227" s="232"/>
      <c r="AB1227" s="232"/>
      <c r="AC1227" s="232"/>
      <c r="AD1227" s="232"/>
      <c r="AE1227" s="232"/>
      <c r="AF1227" s="232"/>
      <c r="AG1227" s="232"/>
      <c r="AH1227" s="232"/>
      <c r="AI1227" s="232"/>
      <c r="AJ1227" s="232"/>
      <c r="AK1227" s="232"/>
      <c r="AL1227" s="232"/>
      <c r="AM1227" s="232"/>
      <c r="AN1227" s="232"/>
      <c r="AO1227" s="232"/>
      <c r="AP1227" s="232"/>
      <c r="AQ1227" s="232"/>
      <c r="AR1227" s="232"/>
      <c r="AS1227" s="232"/>
      <c r="AT1227" s="232"/>
      <c r="AU1227" s="232"/>
      <c r="AV1227" s="232"/>
      <c r="AW1227" s="232"/>
      <c r="AX1227" s="232"/>
      <c r="AY1227" s="232"/>
      <c r="AZ1227" s="232"/>
      <c r="BA1227" s="232"/>
      <c r="BB1227" s="232"/>
      <c r="BC1227" s="232"/>
      <c r="BD1227" s="232"/>
      <c r="BE1227" s="232"/>
      <c r="BF1227" s="232"/>
      <c r="BG1227" s="232"/>
      <c r="BH1227" s="232"/>
      <c r="BI1227" s="232"/>
      <c r="BJ1227" s="232"/>
      <c r="BK1227" s="232"/>
      <c r="BL1227" s="232"/>
      <c r="BM1227" s="232"/>
      <c r="BN1227" s="232"/>
      <c r="BO1227" s="232"/>
      <c r="BP1227" s="232"/>
      <c r="BQ1227" s="232"/>
      <c r="BR1227" s="232"/>
      <c r="BS1227" s="232"/>
      <c r="BT1227" s="232"/>
      <c r="BU1227" s="232"/>
      <c r="BV1227" s="232"/>
      <c r="BW1227" s="232"/>
      <c r="BX1227" s="232"/>
      <c r="BY1227" s="232"/>
      <c r="BZ1227" s="232"/>
      <c r="CA1227" s="232"/>
      <c r="CB1227" s="232"/>
      <c r="CC1227" s="232"/>
      <c r="CD1227" s="232"/>
      <c r="CE1227" s="232"/>
      <c r="CF1227" s="232"/>
      <c r="CG1227" s="232"/>
      <c r="CH1227" s="232"/>
      <c r="CI1227" s="232"/>
      <c r="CJ1227" s="232"/>
      <c r="CK1227" s="232"/>
      <c r="CL1227" s="232"/>
      <c r="CM1227" s="232"/>
      <c r="CN1227" s="215"/>
      <c r="CO1227" s="215"/>
      <c r="CP1227" s="215"/>
      <c r="CQ1227" s="215"/>
      <c r="CR1227" s="215"/>
      <c r="CS1227" s="215"/>
      <c r="CT1227" s="215"/>
    </row>
    <row r="1228" ht="24.0" customHeight="1">
      <c r="A1228" s="287"/>
      <c r="B1228" s="287"/>
      <c r="C1228" s="287"/>
      <c r="D1228" s="232"/>
      <c r="E1228" s="232"/>
      <c r="F1228" s="232"/>
      <c r="G1228" s="232"/>
      <c r="H1228" s="232"/>
      <c r="I1228" s="232"/>
      <c r="J1228" s="232"/>
      <c r="K1228" s="232"/>
      <c r="L1228" s="232"/>
      <c r="M1228" s="232"/>
      <c r="N1228" s="289"/>
      <c r="O1228" s="232"/>
      <c r="P1228" s="232"/>
      <c r="Q1228" s="232"/>
      <c r="R1228" s="232"/>
      <c r="S1228" s="232"/>
      <c r="T1228" s="232"/>
      <c r="U1228" s="232"/>
      <c r="V1228" s="232"/>
      <c r="W1228" s="232"/>
      <c r="X1228" s="232"/>
      <c r="Y1228" s="232"/>
      <c r="Z1228" s="232"/>
      <c r="AA1228" s="232"/>
      <c r="AB1228" s="232"/>
      <c r="AC1228" s="232"/>
      <c r="AD1228" s="232"/>
      <c r="AE1228" s="232"/>
      <c r="AF1228" s="232"/>
      <c r="AG1228" s="232"/>
      <c r="AH1228" s="232"/>
      <c r="AI1228" s="232"/>
      <c r="AJ1228" s="232"/>
      <c r="AK1228" s="232"/>
      <c r="AL1228" s="232"/>
      <c r="AM1228" s="232"/>
      <c r="AN1228" s="232"/>
      <c r="AO1228" s="232"/>
      <c r="AP1228" s="232"/>
      <c r="AQ1228" s="232"/>
      <c r="AR1228" s="232"/>
      <c r="AS1228" s="232"/>
      <c r="AT1228" s="232"/>
      <c r="AU1228" s="232"/>
      <c r="AV1228" s="232"/>
      <c r="AW1228" s="232"/>
      <c r="AX1228" s="232"/>
      <c r="AY1228" s="232"/>
      <c r="AZ1228" s="232"/>
      <c r="BA1228" s="232"/>
      <c r="BB1228" s="232"/>
      <c r="BC1228" s="232"/>
      <c r="BD1228" s="232"/>
      <c r="BE1228" s="232"/>
      <c r="BF1228" s="232"/>
      <c r="BG1228" s="232"/>
      <c r="BH1228" s="232"/>
      <c r="BI1228" s="232"/>
      <c r="BJ1228" s="232"/>
      <c r="BK1228" s="232"/>
      <c r="BL1228" s="232"/>
      <c r="BM1228" s="232"/>
      <c r="BN1228" s="232"/>
      <c r="BO1228" s="232"/>
      <c r="BP1228" s="232"/>
      <c r="BQ1228" s="232"/>
      <c r="BR1228" s="232"/>
      <c r="BS1228" s="232"/>
      <c r="BT1228" s="232"/>
      <c r="BU1228" s="232"/>
      <c r="BV1228" s="232"/>
      <c r="BW1228" s="232"/>
      <c r="BX1228" s="232"/>
      <c r="BY1228" s="232"/>
      <c r="BZ1228" s="232"/>
      <c r="CA1228" s="232"/>
      <c r="CB1228" s="232"/>
      <c r="CC1228" s="232"/>
      <c r="CD1228" s="232"/>
      <c r="CE1228" s="232"/>
      <c r="CF1228" s="232"/>
      <c r="CG1228" s="232"/>
      <c r="CH1228" s="232"/>
      <c r="CI1228" s="232"/>
      <c r="CJ1228" s="232"/>
      <c r="CK1228" s="232"/>
      <c r="CL1228" s="232"/>
      <c r="CM1228" s="232"/>
      <c r="CN1228" s="215"/>
      <c r="CO1228" s="215"/>
      <c r="CP1228" s="215"/>
      <c r="CQ1228" s="215"/>
      <c r="CR1228" s="215"/>
      <c r="CS1228" s="215"/>
      <c r="CT1228" s="215"/>
    </row>
    <row r="1229" ht="24.0" customHeight="1">
      <c r="A1229" s="287"/>
      <c r="B1229" s="287"/>
      <c r="C1229" s="287"/>
      <c r="D1229" s="232"/>
      <c r="E1229" s="232"/>
      <c r="F1229" s="232"/>
      <c r="G1229" s="232"/>
      <c r="H1229" s="232"/>
      <c r="I1229" s="232"/>
      <c r="J1229" s="232"/>
      <c r="K1229" s="232"/>
      <c r="L1229" s="232"/>
      <c r="M1229" s="232"/>
      <c r="N1229" s="289"/>
      <c r="O1229" s="232"/>
      <c r="P1229" s="232"/>
      <c r="Q1229" s="232"/>
      <c r="R1229" s="232"/>
      <c r="S1229" s="232"/>
      <c r="T1229" s="232"/>
      <c r="U1229" s="232"/>
      <c r="V1229" s="232"/>
      <c r="W1229" s="232"/>
      <c r="X1229" s="232"/>
      <c r="Y1229" s="232"/>
      <c r="Z1229" s="232"/>
      <c r="AA1229" s="232"/>
      <c r="AB1229" s="232"/>
      <c r="AC1229" s="232"/>
      <c r="AD1229" s="232"/>
      <c r="AE1229" s="232"/>
      <c r="AF1229" s="232"/>
      <c r="AG1229" s="232"/>
      <c r="AH1229" s="232"/>
      <c r="AI1229" s="232"/>
      <c r="AJ1229" s="232"/>
      <c r="AK1229" s="232"/>
      <c r="AL1229" s="232"/>
      <c r="AM1229" s="232"/>
      <c r="AN1229" s="232"/>
      <c r="AO1229" s="232"/>
      <c r="AP1229" s="232"/>
      <c r="AQ1229" s="232"/>
      <c r="AR1229" s="232"/>
      <c r="AS1229" s="232"/>
      <c r="AT1229" s="232"/>
      <c r="AU1229" s="232"/>
      <c r="AV1229" s="232"/>
      <c r="AW1229" s="232"/>
      <c r="AX1229" s="232"/>
      <c r="AY1229" s="232"/>
      <c r="AZ1229" s="232"/>
      <c r="BA1229" s="232"/>
      <c r="BB1229" s="232"/>
      <c r="BC1229" s="232"/>
      <c r="BD1229" s="232"/>
      <c r="BE1229" s="232"/>
      <c r="BF1229" s="232"/>
      <c r="BG1229" s="232"/>
      <c r="BH1229" s="232"/>
      <c r="BI1229" s="232"/>
      <c r="BJ1229" s="232"/>
      <c r="BK1229" s="232"/>
      <c r="BL1229" s="232"/>
      <c r="BM1229" s="232"/>
      <c r="BN1229" s="232"/>
      <c r="BO1229" s="232"/>
      <c r="BP1229" s="232"/>
      <c r="BQ1229" s="232"/>
      <c r="BR1229" s="232"/>
      <c r="BS1229" s="232"/>
      <c r="BT1229" s="232"/>
      <c r="BU1229" s="232"/>
      <c r="BV1229" s="232"/>
      <c r="BW1229" s="232"/>
      <c r="BX1229" s="232"/>
      <c r="BY1229" s="232"/>
      <c r="BZ1229" s="232"/>
      <c r="CA1229" s="232"/>
      <c r="CB1229" s="232"/>
      <c r="CC1229" s="232"/>
      <c r="CD1229" s="232"/>
      <c r="CE1229" s="232"/>
      <c r="CF1229" s="232"/>
      <c r="CG1229" s="232"/>
      <c r="CH1229" s="232"/>
      <c r="CI1229" s="232"/>
      <c r="CJ1229" s="232"/>
      <c r="CK1229" s="232"/>
      <c r="CL1229" s="232"/>
      <c r="CM1229" s="232"/>
      <c r="CN1229" s="215"/>
      <c r="CO1229" s="215"/>
      <c r="CP1229" s="215"/>
      <c r="CQ1229" s="215"/>
      <c r="CR1229" s="215"/>
      <c r="CS1229" s="215"/>
      <c r="CT1229" s="215"/>
    </row>
    <row r="1230" ht="24.0" customHeight="1">
      <c r="A1230" s="287"/>
      <c r="B1230" s="287"/>
      <c r="C1230" s="287"/>
      <c r="D1230" s="232"/>
      <c r="E1230" s="232"/>
      <c r="F1230" s="232"/>
      <c r="G1230" s="232"/>
      <c r="H1230" s="232"/>
      <c r="I1230" s="232"/>
      <c r="J1230" s="232"/>
      <c r="K1230" s="232"/>
      <c r="L1230" s="232"/>
      <c r="M1230" s="232"/>
      <c r="N1230" s="289"/>
      <c r="O1230" s="232"/>
      <c r="P1230" s="232"/>
      <c r="Q1230" s="232"/>
      <c r="R1230" s="232"/>
      <c r="S1230" s="232"/>
      <c r="T1230" s="232"/>
      <c r="U1230" s="232"/>
      <c r="V1230" s="232"/>
      <c r="W1230" s="232"/>
      <c r="X1230" s="232"/>
      <c r="Y1230" s="232"/>
      <c r="Z1230" s="232"/>
      <c r="AA1230" s="232"/>
      <c r="AB1230" s="232"/>
      <c r="AC1230" s="232"/>
      <c r="AD1230" s="232"/>
      <c r="AE1230" s="232"/>
      <c r="AF1230" s="232"/>
      <c r="AG1230" s="232"/>
      <c r="AH1230" s="232"/>
      <c r="AI1230" s="232"/>
      <c r="AJ1230" s="232"/>
      <c r="AK1230" s="232"/>
      <c r="AL1230" s="232"/>
      <c r="AM1230" s="232"/>
      <c r="AN1230" s="232"/>
      <c r="AO1230" s="232"/>
      <c r="AP1230" s="232"/>
      <c r="AQ1230" s="232"/>
      <c r="AR1230" s="232"/>
      <c r="AS1230" s="232"/>
      <c r="AT1230" s="232"/>
      <c r="AU1230" s="232"/>
      <c r="AV1230" s="232"/>
      <c r="AW1230" s="232"/>
      <c r="AX1230" s="232"/>
      <c r="AY1230" s="232"/>
      <c r="AZ1230" s="232"/>
      <c r="BA1230" s="232"/>
      <c r="BB1230" s="232"/>
      <c r="BC1230" s="232"/>
      <c r="BD1230" s="232"/>
      <c r="BE1230" s="232"/>
      <c r="BF1230" s="232"/>
      <c r="BG1230" s="232"/>
      <c r="BH1230" s="232"/>
      <c r="BI1230" s="232"/>
      <c r="BJ1230" s="232"/>
      <c r="BK1230" s="232"/>
      <c r="BL1230" s="232"/>
      <c r="BM1230" s="232"/>
      <c r="BN1230" s="232"/>
      <c r="BO1230" s="232"/>
      <c r="BP1230" s="232"/>
      <c r="BQ1230" s="232"/>
      <c r="BR1230" s="232"/>
      <c r="BS1230" s="232"/>
      <c r="BT1230" s="232"/>
      <c r="BU1230" s="232"/>
      <c r="BV1230" s="232"/>
      <c r="BW1230" s="232"/>
      <c r="BX1230" s="232"/>
      <c r="BY1230" s="232"/>
      <c r="BZ1230" s="232"/>
      <c r="CA1230" s="232"/>
      <c r="CB1230" s="232"/>
      <c r="CC1230" s="232"/>
      <c r="CD1230" s="232"/>
      <c r="CE1230" s="232"/>
      <c r="CF1230" s="232"/>
      <c r="CG1230" s="232"/>
      <c r="CH1230" s="232"/>
      <c r="CI1230" s="232"/>
      <c r="CJ1230" s="232"/>
      <c r="CK1230" s="232"/>
      <c r="CL1230" s="232"/>
      <c r="CM1230" s="232"/>
      <c r="CN1230" s="215"/>
      <c r="CO1230" s="215"/>
      <c r="CP1230" s="215"/>
      <c r="CQ1230" s="215"/>
      <c r="CR1230" s="215"/>
      <c r="CS1230" s="215"/>
      <c r="CT1230" s="215"/>
    </row>
    <row r="1231" ht="24.0" customHeight="1">
      <c r="A1231" s="287"/>
      <c r="B1231" s="287"/>
      <c r="C1231" s="287"/>
      <c r="D1231" s="232"/>
      <c r="E1231" s="232"/>
      <c r="F1231" s="232"/>
      <c r="G1231" s="232"/>
      <c r="H1231" s="232"/>
      <c r="I1231" s="232"/>
      <c r="J1231" s="232"/>
      <c r="K1231" s="232"/>
      <c r="L1231" s="232"/>
      <c r="M1231" s="232"/>
      <c r="N1231" s="289"/>
      <c r="O1231" s="232"/>
      <c r="P1231" s="232"/>
      <c r="Q1231" s="232"/>
      <c r="R1231" s="232"/>
      <c r="S1231" s="232"/>
      <c r="T1231" s="232"/>
      <c r="U1231" s="232"/>
      <c r="V1231" s="232"/>
      <c r="W1231" s="232"/>
      <c r="X1231" s="232"/>
      <c r="Y1231" s="232"/>
      <c r="Z1231" s="232"/>
      <c r="AA1231" s="232"/>
      <c r="AB1231" s="232"/>
      <c r="AC1231" s="232"/>
      <c r="AD1231" s="232"/>
      <c r="AE1231" s="232"/>
      <c r="AF1231" s="232"/>
      <c r="AG1231" s="232"/>
      <c r="AH1231" s="232"/>
      <c r="AI1231" s="232"/>
      <c r="AJ1231" s="232"/>
      <c r="AK1231" s="232"/>
      <c r="AL1231" s="232"/>
      <c r="AM1231" s="232"/>
      <c r="AN1231" s="232"/>
      <c r="AO1231" s="232"/>
      <c r="AP1231" s="232"/>
      <c r="AQ1231" s="232"/>
      <c r="AR1231" s="232"/>
      <c r="AS1231" s="232"/>
      <c r="AT1231" s="232"/>
      <c r="AU1231" s="232"/>
      <c r="AV1231" s="232"/>
      <c r="AW1231" s="232"/>
      <c r="AX1231" s="232"/>
      <c r="AY1231" s="232"/>
      <c r="AZ1231" s="232"/>
      <c r="BA1231" s="232"/>
      <c r="BB1231" s="232"/>
      <c r="BC1231" s="232"/>
      <c r="BD1231" s="232"/>
      <c r="BE1231" s="232"/>
      <c r="BF1231" s="232"/>
      <c r="BG1231" s="232"/>
      <c r="BH1231" s="232"/>
      <c r="BI1231" s="232"/>
      <c r="BJ1231" s="232"/>
      <c r="BK1231" s="232"/>
      <c r="BL1231" s="232"/>
      <c r="BM1231" s="232"/>
      <c r="BN1231" s="232"/>
      <c r="BO1231" s="232"/>
      <c r="BP1231" s="232"/>
      <c r="BQ1231" s="232"/>
      <c r="BR1231" s="232"/>
      <c r="BS1231" s="232"/>
      <c r="BT1231" s="232"/>
      <c r="BU1231" s="232"/>
      <c r="BV1231" s="232"/>
      <c r="BW1231" s="232"/>
      <c r="BX1231" s="232"/>
      <c r="BY1231" s="232"/>
      <c r="BZ1231" s="232"/>
      <c r="CA1231" s="232"/>
      <c r="CB1231" s="232"/>
      <c r="CC1231" s="232"/>
      <c r="CD1231" s="232"/>
      <c r="CE1231" s="232"/>
      <c r="CF1231" s="232"/>
      <c r="CG1231" s="232"/>
      <c r="CH1231" s="232"/>
      <c r="CI1231" s="232"/>
      <c r="CJ1231" s="232"/>
      <c r="CK1231" s="232"/>
      <c r="CL1231" s="232"/>
      <c r="CM1231" s="232"/>
      <c r="CN1231" s="215"/>
      <c r="CO1231" s="215"/>
      <c r="CP1231" s="215"/>
      <c r="CQ1231" s="215"/>
      <c r="CR1231" s="215"/>
      <c r="CS1231" s="215"/>
      <c r="CT1231" s="215"/>
    </row>
    <row r="1232" ht="24.0" customHeight="1">
      <c r="A1232" s="287"/>
      <c r="B1232" s="287"/>
      <c r="C1232" s="287"/>
      <c r="D1232" s="232"/>
      <c r="E1232" s="232"/>
      <c r="F1232" s="232"/>
      <c r="G1232" s="232"/>
      <c r="H1232" s="232"/>
      <c r="I1232" s="232"/>
      <c r="J1232" s="232"/>
      <c r="K1232" s="232"/>
      <c r="L1232" s="232"/>
      <c r="M1232" s="232"/>
      <c r="N1232" s="289"/>
      <c r="O1232" s="232"/>
      <c r="P1232" s="232"/>
      <c r="Q1232" s="232"/>
      <c r="R1232" s="232"/>
      <c r="S1232" s="232"/>
      <c r="T1232" s="232"/>
      <c r="U1232" s="232"/>
      <c r="V1232" s="232"/>
      <c r="W1232" s="232"/>
      <c r="X1232" s="232"/>
      <c r="Y1232" s="232"/>
      <c r="Z1232" s="232"/>
      <c r="AA1232" s="232"/>
      <c r="AB1232" s="232"/>
      <c r="AC1232" s="232"/>
      <c r="AD1232" s="232"/>
      <c r="AE1232" s="232"/>
      <c r="AF1232" s="232"/>
      <c r="AG1232" s="232"/>
      <c r="AH1232" s="232"/>
      <c r="AI1232" s="232"/>
      <c r="AJ1232" s="232"/>
      <c r="AK1232" s="232"/>
      <c r="AL1232" s="232"/>
      <c r="AM1232" s="232"/>
      <c r="AN1232" s="232"/>
      <c r="AO1232" s="232"/>
      <c r="AP1232" s="232"/>
      <c r="AQ1232" s="232"/>
      <c r="AR1232" s="232"/>
      <c r="AS1232" s="232"/>
      <c r="AT1232" s="232"/>
      <c r="AU1232" s="232"/>
      <c r="AV1232" s="232"/>
      <c r="AW1232" s="232"/>
      <c r="AX1232" s="232"/>
      <c r="AY1232" s="232"/>
      <c r="AZ1232" s="232"/>
      <c r="BA1232" s="232"/>
      <c r="BB1232" s="232"/>
      <c r="BC1232" s="232"/>
      <c r="BD1232" s="232"/>
      <c r="BE1232" s="232"/>
      <c r="BF1232" s="232"/>
      <c r="BG1232" s="232"/>
      <c r="BH1232" s="232"/>
      <c r="BI1232" s="232"/>
      <c r="BJ1232" s="232"/>
      <c r="BK1232" s="232"/>
      <c r="BL1232" s="232"/>
      <c r="BM1232" s="232"/>
      <c r="BN1232" s="232"/>
      <c r="BO1232" s="232"/>
      <c r="BP1232" s="232"/>
      <c r="BQ1232" s="232"/>
      <c r="BR1232" s="232"/>
      <c r="BS1232" s="232"/>
      <c r="BT1232" s="232"/>
      <c r="BU1232" s="232"/>
      <c r="BV1232" s="232"/>
      <c r="BW1232" s="232"/>
      <c r="BX1232" s="232"/>
      <c r="BY1232" s="232"/>
      <c r="BZ1232" s="232"/>
      <c r="CA1232" s="232"/>
      <c r="CB1232" s="232"/>
      <c r="CC1232" s="232"/>
      <c r="CD1232" s="232"/>
      <c r="CE1232" s="232"/>
      <c r="CF1232" s="232"/>
      <c r="CG1232" s="232"/>
      <c r="CH1232" s="232"/>
      <c r="CI1232" s="232"/>
      <c r="CJ1232" s="232"/>
      <c r="CK1232" s="232"/>
      <c r="CL1232" s="232"/>
      <c r="CM1232" s="232"/>
      <c r="CN1232" s="215"/>
      <c r="CO1232" s="215"/>
      <c r="CP1232" s="215"/>
      <c r="CQ1232" s="215"/>
      <c r="CR1232" s="215"/>
      <c r="CS1232" s="215"/>
      <c r="CT1232" s="215"/>
    </row>
    <row r="1233" ht="24.0" customHeight="1">
      <c r="A1233" s="287"/>
      <c r="B1233" s="287"/>
      <c r="C1233" s="287"/>
      <c r="D1233" s="232"/>
      <c r="E1233" s="232"/>
      <c r="F1233" s="232"/>
      <c r="G1233" s="232"/>
      <c r="H1233" s="232"/>
      <c r="I1233" s="232"/>
      <c r="J1233" s="232"/>
      <c r="K1233" s="232"/>
      <c r="L1233" s="232"/>
      <c r="M1233" s="232"/>
      <c r="N1233" s="289"/>
      <c r="O1233" s="232"/>
      <c r="P1233" s="232"/>
      <c r="Q1233" s="232"/>
      <c r="R1233" s="232"/>
      <c r="S1233" s="232"/>
      <c r="T1233" s="232"/>
      <c r="U1233" s="232"/>
      <c r="V1233" s="232"/>
      <c r="W1233" s="232"/>
      <c r="X1233" s="232"/>
      <c r="Y1233" s="232"/>
      <c r="Z1233" s="232"/>
      <c r="AA1233" s="232"/>
      <c r="AB1233" s="232"/>
      <c r="AC1233" s="232"/>
      <c r="AD1233" s="232"/>
      <c r="AE1233" s="232"/>
      <c r="AF1233" s="232"/>
      <c r="AG1233" s="232"/>
      <c r="AH1233" s="232"/>
      <c r="AI1233" s="232"/>
      <c r="AJ1233" s="232"/>
      <c r="AK1233" s="232"/>
      <c r="AL1233" s="232"/>
      <c r="AM1233" s="232"/>
      <c r="AN1233" s="232"/>
      <c r="AO1233" s="232"/>
      <c r="AP1233" s="232"/>
      <c r="AQ1233" s="232"/>
      <c r="AR1233" s="232"/>
      <c r="AS1233" s="232"/>
      <c r="AT1233" s="232"/>
      <c r="AU1233" s="232"/>
      <c r="AV1233" s="232"/>
      <c r="AW1233" s="232"/>
      <c r="AX1233" s="232"/>
      <c r="AY1233" s="232"/>
      <c r="AZ1233" s="232"/>
      <c r="BA1233" s="232"/>
      <c r="BB1233" s="232"/>
      <c r="BC1233" s="232"/>
      <c r="BD1233" s="232"/>
      <c r="BE1233" s="232"/>
      <c r="BF1233" s="232"/>
      <c r="BG1233" s="232"/>
      <c r="BH1233" s="232"/>
      <c r="BI1233" s="232"/>
      <c r="BJ1233" s="232"/>
      <c r="BK1233" s="232"/>
      <c r="BL1233" s="232"/>
      <c r="BM1233" s="232"/>
      <c r="BN1233" s="232"/>
      <c r="BO1233" s="232"/>
      <c r="BP1233" s="232"/>
      <c r="BQ1233" s="232"/>
      <c r="BR1233" s="232"/>
      <c r="BS1233" s="232"/>
      <c r="BT1233" s="232"/>
      <c r="BU1233" s="232"/>
      <c r="BV1233" s="232"/>
      <c r="BW1233" s="232"/>
      <c r="BX1233" s="232"/>
      <c r="BY1233" s="232"/>
      <c r="BZ1233" s="232"/>
      <c r="CA1233" s="232"/>
      <c r="CB1233" s="232"/>
      <c r="CC1233" s="232"/>
      <c r="CD1233" s="232"/>
      <c r="CE1233" s="232"/>
      <c r="CF1233" s="232"/>
      <c r="CG1233" s="232"/>
      <c r="CH1233" s="232"/>
      <c r="CI1233" s="232"/>
      <c r="CJ1233" s="232"/>
      <c r="CK1233" s="232"/>
      <c r="CL1233" s="232"/>
      <c r="CM1233" s="232"/>
      <c r="CN1233" s="215"/>
      <c r="CO1233" s="215"/>
      <c r="CP1233" s="215"/>
      <c r="CQ1233" s="215"/>
      <c r="CR1233" s="215"/>
      <c r="CS1233" s="215"/>
      <c r="CT1233" s="215"/>
    </row>
    <row r="1234" ht="24.0" customHeight="1">
      <c r="A1234" s="287"/>
      <c r="B1234" s="287"/>
      <c r="C1234" s="287"/>
      <c r="D1234" s="232"/>
      <c r="E1234" s="232"/>
      <c r="F1234" s="232"/>
      <c r="G1234" s="232"/>
      <c r="H1234" s="232"/>
      <c r="I1234" s="232"/>
      <c r="J1234" s="232"/>
      <c r="K1234" s="232"/>
      <c r="L1234" s="232"/>
      <c r="M1234" s="232"/>
      <c r="N1234" s="289"/>
      <c r="O1234" s="232"/>
      <c r="P1234" s="232"/>
      <c r="Q1234" s="232"/>
      <c r="R1234" s="232"/>
      <c r="S1234" s="232"/>
      <c r="T1234" s="232"/>
      <c r="U1234" s="232"/>
      <c r="V1234" s="232"/>
      <c r="W1234" s="232"/>
      <c r="X1234" s="232"/>
      <c r="Y1234" s="232"/>
      <c r="Z1234" s="232"/>
      <c r="AA1234" s="232"/>
      <c r="AB1234" s="232"/>
      <c r="AC1234" s="232"/>
      <c r="AD1234" s="232"/>
      <c r="AE1234" s="232"/>
      <c r="AF1234" s="232"/>
      <c r="AG1234" s="232"/>
      <c r="AH1234" s="232"/>
      <c r="AI1234" s="232"/>
      <c r="AJ1234" s="232"/>
      <c r="AK1234" s="232"/>
      <c r="AL1234" s="232"/>
      <c r="AM1234" s="232"/>
      <c r="AN1234" s="232"/>
      <c r="AO1234" s="232"/>
      <c r="AP1234" s="232"/>
      <c r="AQ1234" s="232"/>
      <c r="AR1234" s="232"/>
      <c r="AS1234" s="232"/>
      <c r="AT1234" s="232"/>
      <c r="AU1234" s="232"/>
      <c r="AV1234" s="232"/>
      <c r="AW1234" s="232"/>
      <c r="AX1234" s="232"/>
      <c r="AY1234" s="232"/>
      <c r="AZ1234" s="232"/>
      <c r="BA1234" s="232"/>
      <c r="BB1234" s="232"/>
      <c r="BC1234" s="232"/>
      <c r="BD1234" s="232"/>
      <c r="BE1234" s="232"/>
      <c r="BF1234" s="232"/>
      <c r="BG1234" s="232"/>
      <c r="BH1234" s="232"/>
      <c r="BI1234" s="232"/>
      <c r="BJ1234" s="232"/>
      <c r="BK1234" s="232"/>
      <c r="BL1234" s="232"/>
      <c r="BM1234" s="232"/>
      <c r="BN1234" s="232"/>
      <c r="BO1234" s="232"/>
      <c r="BP1234" s="232"/>
      <c r="BQ1234" s="232"/>
      <c r="BR1234" s="232"/>
      <c r="BS1234" s="232"/>
      <c r="BT1234" s="232"/>
      <c r="BU1234" s="232"/>
      <c r="BV1234" s="232"/>
      <c r="BW1234" s="232"/>
      <c r="BX1234" s="232"/>
      <c r="BY1234" s="232"/>
      <c r="BZ1234" s="232"/>
      <c r="CA1234" s="232"/>
      <c r="CB1234" s="232"/>
      <c r="CC1234" s="232"/>
      <c r="CD1234" s="232"/>
      <c r="CE1234" s="232"/>
      <c r="CF1234" s="232"/>
      <c r="CG1234" s="232"/>
      <c r="CH1234" s="232"/>
      <c r="CI1234" s="232"/>
      <c r="CJ1234" s="232"/>
      <c r="CK1234" s="232"/>
      <c r="CL1234" s="232"/>
      <c r="CM1234" s="232"/>
      <c r="CN1234" s="215"/>
      <c r="CO1234" s="215"/>
      <c r="CP1234" s="215"/>
      <c r="CQ1234" s="215"/>
      <c r="CR1234" s="215"/>
      <c r="CS1234" s="215"/>
      <c r="CT1234" s="215"/>
    </row>
    <row r="1235" ht="24.0" customHeight="1">
      <c r="A1235" s="287"/>
      <c r="B1235" s="287"/>
      <c r="C1235" s="287"/>
      <c r="D1235" s="232"/>
      <c r="E1235" s="232"/>
      <c r="F1235" s="232"/>
      <c r="G1235" s="232"/>
      <c r="H1235" s="232"/>
      <c r="I1235" s="232"/>
      <c r="J1235" s="232"/>
      <c r="K1235" s="232"/>
      <c r="L1235" s="232"/>
      <c r="M1235" s="232"/>
      <c r="N1235" s="289"/>
      <c r="O1235" s="232"/>
      <c r="P1235" s="232"/>
      <c r="Q1235" s="232"/>
      <c r="R1235" s="232"/>
      <c r="S1235" s="232"/>
      <c r="T1235" s="232"/>
      <c r="U1235" s="232"/>
      <c r="V1235" s="232"/>
      <c r="W1235" s="232"/>
      <c r="X1235" s="232"/>
      <c r="Y1235" s="232"/>
      <c r="Z1235" s="232"/>
      <c r="AA1235" s="232"/>
      <c r="AB1235" s="232"/>
      <c r="AC1235" s="232"/>
      <c r="AD1235" s="232"/>
      <c r="AE1235" s="232"/>
      <c r="AF1235" s="232"/>
      <c r="AG1235" s="232"/>
      <c r="AH1235" s="232"/>
      <c r="AI1235" s="232"/>
      <c r="AJ1235" s="232"/>
      <c r="AK1235" s="232"/>
      <c r="AL1235" s="232"/>
      <c r="AM1235" s="232"/>
      <c r="AN1235" s="232"/>
      <c r="AO1235" s="232"/>
      <c r="AP1235" s="232"/>
      <c r="AQ1235" s="232"/>
      <c r="AR1235" s="232"/>
      <c r="AS1235" s="232"/>
      <c r="AT1235" s="232"/>
      <c r="AU1235" s="232"/>
      <c r="AV1235" s="232"/>
      <c r="AW1235" s="232"/>
      <c r="AX1235" s="232"/>
      <c r="AY1235" s="232"/>
      <c r="AZ1235" s="232"/>
      <c r="BA1235" s="232"/>
      <c r="BB1235" s="232"/>
      <c r="BC1235" s="232"/>
      <c r="BD1235" s="232"/>
      <c r="BE1235" s="232"/>
      <c r="BF1235" s="232"/>
      <c r="BG1235" s="232"/>
      <c r="BH1235" s="232"/>
      <c r="BI1235" s="232"/>
      <c r="BJ1235" s="232"/>
      <c r="BK1235" s="232"/>
      <c r="BL1235" s="232"/>
      <c r="BM1235" s="232"/>
      <c r="BN1235" s="232"/>
      <c r="BO1235" s="232"/>
      <c r="BP1235" s="232"/>
      <c r="BQ1235" s="232"/>
      <c r="BR1235" s="232"/>
      <c r="BS1235" s="232"/>
      <c r="BT1235" s="232"/>
      <c r="BU1235" s="232"/>
      <c r="BV1235" s="232"/>
      <c r="BW1235" s="232"/>
      <c r="BX1235" s="232"/>
      <c r="BY1235" s="232"/>
      <c r="BZ1235" s="232"/>
      <c r="CA1235" s="232"/>
      <c r="CB1235" s="232"/>
      <c r="CC1235" s="232"/>
      <c r="CD1235" s="232"/>
      <c r="CE1235" s="232"/>
      <c r="CF1235" s="232"/>
      <c r="CG1235" s="232"/>
      <c r="CH1235" s="232"/>
      <c r="CI1235" s="232"/>
      <c r="CJ1235" s="232"/>
      <c r="CK1235" s="232"/>
      <c r="CL1235" s="232"/>
      <c r="CM1235" s="232"/>
      <c r="CN1235" s="215"/>
      <c r="CO1235" s="215"/>
      <c r="CP1235" s="215"/>
      <c r="CQ1235" s="215"/>
      <c r="CR1235" s="215"/>
      <c r="CS1235" s="215"/>
      <c r="CT1235" s="215"/>
    </row>
    <row r="1236" ht="24.0" customHeight="1">
      <c r="A1236" s="287"/>
      <c r="B1236" s="287"/>
      <c r="C1236" s="287"/>
      <c r="D1236" s="232"/>
      <c r="E1236" s="232"/>
      <c r="F1236" s="232"/>
      <c r="G1236" s="232"/>
      <c r="H1236" s="232"/>
      <c r="I1236" s="232"/>
      <c r="J1236" s="232"/>
      <c r="K1236" s="232"/>
      <c r="L1236" s="232"/>
      <c r="M1236" s="232"/>
      <c r="N1236" s="289"/>
      <c r="O1236" s="232"/>
      <c r="P1236" s="232"/>
      <c r="Q1236" s="232"/>
      <c r="R1236" s="232"/>
      <c r="S1236" s="232"/>
      <c r="T1236" s="232"/>
      <c r="U1236" s="232"/>
      <c r="V1236" s="232"/>
      <c r="W1236" s="232"/>
      <c r="X1236" s="232"/>
      <c r="Y1236" s="232"/>
      <c r="Z1236" s="232"/>
      <c r="AA1236" s="232"/>
      <c r="AB1236" s="232"/>
      <c r="AC1236" s="232"/>
      <c r="AD1236" s="232"/>
      <c r="AE1236" s="232"/>
      <c r="AF1236" s="232"/>
      <c r="AG1236" s="232"/>
      <c r="AH1236" s="232"/>
      <c r="AI1236" s="232"/>
      <c r="AJ1236" s="232"/>
      <c r="AK1236" s="232"/>
      <c r="AL1236" s="232"/>
      <c r="AM1236" s="232"/>
      <c r="AN1236" s="232"/>
      <c r="AO1236" s="232"/>
      <c r="AP1236" s="232"/>
      <c r="AQ1236" s="232"/>
      <c r="AR1236" s="232"/>
      <c r="AS1236" s="232"/>
      <c r="AT1236" s="232"/>
      <c r="AU1236" s="232"/>
      <c r="AV1236" s="232"/>
      <c r="AW1236" s="232"/>
      <c r="AX1236" s="232"/>
      <c r="AY1236" s="232"/>
      <c r="AZ1236" s="232"/>
      <c r="BA1236" s="232"/>
      <c r="BB1236" s="232"/>
      <c r="BC1236" s="232"/>
      <c r="BD1236" s="232"/>
      <c r="BE1236" s="232"/>
      <c r="BF1236" s="232"/>
      <c r="BG1236" s="232"/>
      <c r="BH1236" s="232"/>
      <c r="BI1236" s="232"/>
      <c r="BJ1236" s="232"/>
      <c r="BK1236" s="232"/>
      <c r="BL1236" s="232"/>
      <c r="BM1236" s="232"/>
      <c r="BN1236" s="232"/>
      <c r="BO1236" s="232"/>
      <c r="BP1236" s="232"/>
      <c r="BQ1236" s="232"/>
      <c r="BR1236" s="232"/>
      <c r="BS1236" s="232"/>
      <c r="BT1236" s="232"/>
      <c r="BU1236" s="232"/>
      <c r="BV1236" s="232"/>
      <c r="BW1236" s="232"/>
      <c r="BX1236" s="232"/>
      <c r="BY1236" s="232"/>
      <c r="BZ1236" s="232"/>
      <c r="CA1236" s="232"/>
      <c r="CB1236" s="232"/>
      <c r="CC1236" s="232"/>
      <c r="CD1236" s="232"/>
      <c r="CE1236" s="232"/>
      <c r="CF1236" s="232"/>
      <c r="CG1236" s="232"/>
      <c r="CH1236" s="232"/>
      <c r="CI1236" s="232"/>
      <c r="CJ1236" s="232"/>
      <c r="CK1236" s="232"/>
      <c r="CL1236" s="232"/>
      <c r="CM1236" s="232"/>
      <c r="CN1236" s="215"/>
      <c r="CO1236" s="215"/>
      <c r="CP1236" s="215"/>
      <c r="CQ1236" s="215"/>
      <c r="CR1236" s="215"/>
      <c r="CS1236" s="215"/>
      <c r="CT1236" s="215"/>
    </row>
    <row r="1237" ht="24.0" customHeight="1">
      <c r="A1237" s="287"/>
      <c r="B1237" s="287"/>
      <c r="C1237" s="287"/>
      <c r="D1237" s="232"/>
      <c r="E1237" s="232"/>
      <c r="F1237" s="232"/>
      <c r="G1237" s="232"/>
      <c r="H1237" s="232"/>
      <c r="I1237" s="232"/>
      <c r="J1237" s="232"/>
      <c r="K1237" s="232"/>
      <c r="L1237" s="232"/>
      <c r="M1237" s="232"/>
      <c r="N1237" s="289"/>
      <c r="O1237" s="232"/>
      <c r="P1237" s="232"/>
      <c r="Q1237" s="232"/>
      <c r="R1237" s="232"/>
      <c r="S1237" s="232"/>
      <c r="T1237" s="232"/>
      <c r="U1237" s="232"/>
      <c r="V1237" s="232"/>
      <c r="W1237" s="232"/>
      <c r="X1237" s="232"/>
      <c r="Y1237" s="232"/>
      <c r="Z1237" s="232"/>
      <c r="AA1237" s="232"/>
      <c r="AB1237" s="232"/>
      <c r="AC1237" s="232"/>
      <c r="AD1237" s="232"/>
      <c r="AE1237" s="232"/>
      <c r="AF1237" s="232"/>
      <c r="AG1237" s="232"/>
      <c r="AH1237" s="232"/>
      <c r="AI1237" s="232"/>
      <c r="AJ1237" s="232"/>
      <c r="AK1237" s="232"/>
      <c r="AL1237" s="232"/>
      <c r="AM1237" s="232"/>
      <c r="AN1237" s="232"/>
      <c r="AO1237" s="232"/>
      <c r="AP1237" s="232"/>
      <c r="AQ1237" s="232"/>
      <c r="AR1237" s="232"/>
      <c r="AS1237" s="232"/>
      <c r="AT1237" s="232"/>
      <c r="AU1237" s="232"/>
      <c r="AV1237" s="232"/>
      <c r="AW1237" s="232"/>
      <c r="AX1237" s="232"/>
      <c r="AY1237" s="232"/>
      <c r="AZ1237" s="232"/>
      <c r="BA1237" s="232"/>
      <c r="BB1237" s="232"/>
      <c r="BC1237" s="232"/>
      <c r="BD1237" s="232"/>
      <c r="BE1237" s="232"/>
      <c r="BF1237" s="232"/>
      <c r="BG1237" s="232"/>
      <c r="BH1237" s="232"/>
      <c r="BI1237" s="232"/>
      <c r="BJ1237" s="232"/>
      <c r="BK1237" s="232"/>
      <c r="BL1237" s="232"/>
      <c r="BM1237" s="232"/>
      <c r="BN1237" s="232"/>
      <c r="BO1237" s="232"/>
      <c r="BP1237" s="232"/>
      <c r="BQ1237" s="232"/>
      <c r="BR1237" s="232"/>
      <c r="BS1237" s="232"/>
      <c r="BT1237" s="232"/>
      <c r="BU1237" s="232"/>
      <c r="BV1237" s="232"/>
      <c r="BW1237" s="232"/>
      <c r="BX1237" s="232"/>
      <c r="BY1237" s="232"/>
      <c r="BZ1237" s="232"/>
      <c r="CA1237" s="232"/>
      <c r="CB1237" s="232"/>
      <c r="CC1237" s="232"/>
      <c r="CD1237" s="232"/>
      <c r="CE1237" s="232"/>
      <c r="CF1237" s="232"/>
      <c r="CG1237" s="232"/>
      <c r="CH1237" s="232"/>
      <c r="CI1237" s="232"/>
      <c r="CJ1237" s="232"/>
      <c r="CK1237" s="232"/>
      <c r="CL1237" s="232"/>
      <c r="CM1237" s="232"/>
      <c r="CN1237" s="215"/>
      <c r="CO1237" s="215"/>
      <c r="CP1237" s="215"/>
      <c r="CQ1237" s="215"/>
      <c r="CR1237" s="215"/>
      <c r="CS1237" s="215"/>
      <c r="CT1237" s="215"/>
    </row>
    <row r="1238" ht="24.0" customHeight="1">
      <c r="A1238" s="287"/>
      <c r="B1238" s="287"/>
      <c r="C1238" s="287"/>
      <c r="D1238" s="232"/>
      <c r="E1238" s="232"/>
      <c r="F1238" s="232"/>
      <c r="G1238" s="232"/>
      <c r="H1238" s="232"/>
      <c r="I1238" s="232"/>
      <c r="J1238" s="232"/>
      <c r="K1238" s="232"/>
      <c r="L1238" s="232"/>
      <c r="M1238" s="232"/>
      <c r="N1238" s="289"/>
      <c r="O1238" s="232"/>
      <c r="P1238" s="232"/>
      <c r="Q1238" s="232"/>
      <c r="R1238" s="232"/>
      <c r="S1238" s="232"/>
      <c r="T1238" s="232"/>
      <c r="U1238" s="232"/>
      <c r="V1238" s="232"/>
      <c r="W1238" s="232"/>
      <c r="X1238" s="232"/>
      <c r="Y1238" s="232"/>
      <c r="Z1238" s="232"/>
      <c r="AA1238" s="232"/>
      <c r="AB1238" s="232"/>
      <c r="AC1238" s="232"/>
      <c r="AD1238" s="232"/>
      <c r="AE1238" s="232"/>
      <c r="AF1238" s="232"/>
      <c r="AG1238" s="232"/>
      <c r="AH1238" s="232"/>
      <c r="AI1238" s="232"/>
      <c r="AJ1238" s="232"/>
      <c r="AK1238" s="232"/>
      <c r="AL1238" s="232"/>
      <c r="AM1238" s="232"/>
      <c r="AN1238" s="232"/>
      <c r="AO1238" s="232"/>
      <c r="AP1238" s="232"/>
      <c r="AQ1238" s="232"/>
      <c r="AR1238" s="232"/>
      <c r="AS1238" s="232"/>
      <c r="AT1238" s="232"/>
      <c r="AU1238" s="232"/>
      <c r="AV1238" s="232"/>
      <c r="AW1238" s="232"/>
      <c r="AX1238" s="232"/>
      <c r="AY1238" s="232"/>
      <c r="AZ1238" s="232"/>
      <c r="BA1238" s="232"/>
      <c r="BB1238" s="232"/>
      <c r="BC1238" s="232"/>
      <c r="BD1238" s="232"/>
      <c r="BE1238" s="232"/>
      <c r="BF1238" s="232"/>
      <c r="BG1238" s="232"/>
      <c r="BH1238" s="232"/>
      <c r="BI1238" s="232"/>
      <c r="BJ1238" s="232"/>
      <c r="BK1238" s="232"/>
      <c r="BL1238" s="232"/>
      <c r="BM1238" s="232"/>
      <c r="BN1238" s="232"/>
      <c r="BO1238" s="232"/>
      <c r="BP1238" s="232"/>
      <c r="BQ1238" s="232"/>
      <c r="BR1238" s="232"/>
      <c r="BS1238" s="232"/>
      <c r="BT1238" s="232"/>
      <c r="BU1238" s="232"/>
      <c r="BV1238" s="232"/>
      <c r="BW1238" s="232"/>
      <c r="BX1238" s="232"/>
      <c r="BY1238" s="232"/>
      <c r="BZ1238" s="232"/>
      <c r="CA1238" s="232"/>
      <c r="CB1238" s="232"/>
      <c r="CC1238" s="232"/>
      <c r="CD1238" s="232"/>
      <c r="CE1238" s="232"/>
      <c r="CF1238" s="232"/>
      <c r="CG1238" s="232"/>
      <c r="CH1238" s="232"/>
      <c r="CI1238" s="232"/>
      <c r="CJ1238" s="232"/>
      <c r="CK1238" s="232"/>
      <c r="CL1238" s="232"/>
      <c r="CM1238" s="232"/>
      <c r="CN1238" s="215"/>
      <c r="CO1238" s="215"/>
      <c r="CP1238" s="215"/>
      <c r="CQ1238" s="215"/>
      <c r="CR1238" s="215"/>
      <c r="CS1238" s="215"/>
      <c r="CT1238" s="215"/>
    </row>
    <row r="1239" ht="24.0" customHeight="1">
      <c r="A1239" s="287"/>
      <c r="B1239" s="287"/>
      <c r="C1239" s="287"/>
      <c r="D1239" s="232"/>
      <c r="E1239" s="232"/>
      <c r="F1239" s="232"/>
      <c r="G1239" s="232"/>
      <c r="H1239" s="232"/>
      <c r="I1239" s="232"/>
      <c r="J1239" s="232"/>
      <c r="K1239" s="232"/>
      <c r="L1239" s="232"/>
      <c r="M1239" s="232"/>
      <c r="N1239" s="289"/>
      <c r="O1239" s="232"/>
      <c r="P1239" s="232"/>
      <c r="Q1239" s="232"/>
      <c r="R1239" s="232"/>
      <c r="S1239" s="232"/>
      <c r="T1239" s="232"/>
      <c r="U1239" s="232"/>
      <c r="V1239" s="232"/>
      <c r="W1239" s="232"/>
      <c r="X1239" s="232"/>
      <c r="Y1239" s="232"/>
      <c r="Z1239" s="232"/>
      <c r="AA1239" s="232"/>
      <c r="AB1239" s="232"/>
      <c r="AC1239" s="232"/>
      <c r="AD1239" s="232"/>
      <c r="AE1239" s="232"/>
      <c r="AF1239" s="232"/>
      <c r="AG1239" s="232"/>
      <c r="AH1239" s="232"/>
      <c r="AI1239" s="232"/>
      <c r="AJ1239" s="232"/>
      <c r="AK1239" s="232"/>
      <c r="AL1239" s="232"/>
      <c r="AM1239" s="232"/>
      <c r="AN1239" s="232"/>
      <c r="AO1239" s="232"/>
      <c r="AP1239" s="232"/>
      <c r="AQ1239" s="232"/>
      <c r="AR1239" s="232"/>
      <c r="AS1239" s="232"/>
      <c r="AT1239" s="232"/>
      <c r="AU1239" s="232"/>
      <c r="AV1239" s="232"/>
      <c r="AW1239" s="232"/>
      <c r="AX1239" s="232"/>
      <c r="AY1239" s="232"/>
      <c r="AZ1239" s="232"/>
      <c r="BA1239" s="232"/>
      <c r="BB1239" s="232"/>
      <c r="BC1239" s="232"/>
      <c r="BD1239" s="232"/>
      <c r="BE1239" s="232"/>
      <c r="BF1239" s="232"/>
      <c r="BG1239" s="232"/>
      <c r="BH1239" s="232"/>
      <c r="BI1239" s="232"/>
      <c r="BJ1239" s="232"/>
      <c r="BK1239" s="232"/>
      <c r="BL1239" s="232"/>
      <c r="BM1239" s="232"/>
      <c r="BN1239" s="232"/>
      <c r="BO1239" s="232"/>
      <c r="BP1239" s="232"/>
      <c r="BQ1239" s="232"/>
      <c r="BR1239" s="232"/>
      <c r="BS1239" s="232"/>
      <c r="BT1239" s="232"/>
      <c r="BU1239" s="232"/>
      <c r="BV1239" s="232"/>
      <c r="BW1239" s="232"/>
      <c r="BX1239" s="232"/>
      <c r="BY1239" s="232"/>
      <c r="BZ1239" s="232"/>
      <c r="CA1239" s="232"/>
      <c r="CB1239" s="232"/>
      <c r="CC1239" s="232"/>
      <c r="CD1239" s="232"/>
      <c r="CE1239" s="232"/>
      <c r="CF1239" s="232"/>
      <c r="CG1239" s="232"/>
      <c r="CH1239" s="232"/>
      <c r="CI1239" s="232"/>
      <c r="CJ1239" s="232"/>
      <c r="CK1239" s="232"/>
      <c r="CL1239" s="232"/>
      <c r="CM1239" s="232"/>
      <c r="CN1239" s="215"/>
      <c r="CO1239" s="215"/>
      <c r="CP1239" s="215"/>
      <c r="CQ1239" s="215"/>
      <c r="CR1239" s="215"/>
      <c r="CS1239" s="215"/>
      <c r="CT1239" s="215"/>
    </row>
    <row r="1240" ht="24.0" customHeight="1">
      <c r="A1240" s="287"/>
      <c r="B1240" s="287"/>
      <c r="C1240" s="287"/>
      <c r="D1240" s="232"/>
      <c r="E1240" s="232"/>
      <c r="F1240" s="232"/>
      <c r="G1240" s="232"/>
      <c r="H1240" s="232"/>
      <c r="I1240" s="232"/>
      <c r="J1240" s="232"/>
      <c r="K1240" s="232"/>
      <c r="L1240" s="232"/>
      <c r="M1240" s="232"/>
      <c r="N1240" s="289"/>
      <c r="O1240" s="232"/>
      <c r="P1240" s="232"/>
      <c r="Q1240" s="232"/>
      <c r="R1240" s="232"/>
      <c r="S1240" s="232"/>
      <c r="T1240" s="232"/>
      <c r="U1240" s="232"/>
      <c r="V1240" s="232"/>
      <c r="W1240" s="232"/>
      <c r="X1240" s="232"/>
      <c r="Y1240" s="232"/>
      <c r="Z1240" s="232"/>
      <c r="AA1240" s="232"/>
      <c r="AB1240" s="232"/>
      <c r="AC1240" s="232"/>
      <c r="AD1240" s="232"/>
      <c r="AE1240" s="232"/>
      <c r="AF1240" s="232"/>
      <c r="AG1240" s="232"/>
      <c r="AH1240" s="232"/>
      <c r="AI1240" s="232"/>
      <c r="AJ1240" s="232"/>
      <c r="AK1240" s="232"/>
      <c r="AL1240" s="232"/>
      <c r="AM1240" s="232"/>
      <c r="AN1240" s="232"/>
      <c r="AO1240" s="232"/>
      <c r="AP1240" s="232"/>
      <c r="AQ1240" s="232"/>
      <c r="AR1240" s="232"/>
      <c r="AS1240" s="232"/>
      <c r="AT1240" s="232"/>
      <c r="AU1240" s="232"/>
      <c r="AV1240" s="232"/>
      <c r="AW1240" s="232"/>
      <c r="AX1240" s="232"/>
      <c r="AY1240" s="232"/>
      <c r="AZ1240" s="232"/>
      <c r="BA1240" s="232"/>
      <c r="BB1240" s="232"/>
      <c r="BC1240" s="232"/>
      <c r="BD1240" s="232"/>
      <c r="BE1240" s="232"/>
      <c r="BF1240" s="232"/>
      <c r="BG1240" s="232"/>
      <c r="BH1240" s="232"/>
      <c r="BI1240" s="232"/>
      <c r="BJ1240" s="232"/>
      <c r="BK1240" s="232"/>
      <c r="BL1240" s="232"/>
      <c r="BM1240" s="232"/>
      <c r="BN1240" s="232"/>
      <c r="BO1240" s="232"/>
      <c r="BP1240" s="232"/>
      <c r="BQ1240" s="232"/>
      <c r="BR1240" s="232"/>
      <c r="BS1240" s="232"/>
      <c r="BT1240" s="232"/>
      <c r="BU1240" s="232"/>
      <c r="BV1240" s="232"/>
      <c r="BW1240" s="232"/>
      <c r="BX1240" s="232"/>
      <c r="BY1240" s="232"/>
      <c r="BZ1240" s="232"/>
      <c r="CA1240" s="232"/>
      <c r="CB1240" s="232"/>
      <c r="CC1240" s="232"/>
      <c r="CD1240" s="232"/>
      <c r="CE1240" s="232"/>
      <c r="CF1240" s="232"/>
      <c r="CG1240" s="232"/>
      <c r="CH1240" s="232"/>
      <c r="CI1240" s="232"/>
      <c r="CJ1240" s="232"/>
      <c r="CK1240" s="232"/>
      <c r="CL1240" s="232"/>
      <c r="CM1240" s="232"/>
      <c r="CN1240" s="215"/>
      <c r="CO1240" s="215"/>
      <c r="CP1240" s="215"/>
      <c r="CQ1240" s="215"/>
      <c r="CR1240" s="215"/>
      <c r="CS1240" s="215"/>
      <c r="CT1240" s="215"/>
    </row>
    <row r="1241" ht="24.0" customHeight="1">
      <c r="A1241" s="287"/>
      <c r="B1241" s="287"/>
      <c r="C1241" s="287"/>
      <c r="D1241" s="232"/>
      <c r="E1241" s="232"/>
      <c r="F1241" s="232"/>
      <c r="G1241" s="232"/>
      <c r="H1241" s="232"/>
      <c r="I1241" s="232"/>
      <c r="J1241" s="232"/>
      <c r="K1241" s="232"/>
      <c r="L1241" s="232"/>
      <c r="M1241" s="232"/>
      <c r="N1241" s="289"/>
      <c r="O1241" s="232"/>
      <c r="P1241" s="232"/>
      <c r="Q1241" s="232"/>
      <c r="R1241" s="232"/>
      <c r="S1241" s="232"/>
      <c r="T1241" s="232"/>
      <c r="U1241" s="232"/>
      <c r="V1241" s="232"/>
      <c r="W1241" s="232"/>
      <c r="X1241" s="232"/>
      <c r="Y1241" s="232"/>
      <c r="Z1241" s="232"/>
      <c r="AA1241" s="232"/>
      <c r="AB1241" s="232"/>
      <c r="AC1241" s="232"/>
      <c r="AD1241" s="232"/>
      <c r="AE1241" s="232"/>
      <c r="AF1241" s="232"/>
      <c r="AG1241" s="232"/>
      <c r="AH1241" s="232"/>
      <c r="AI1241" s="232"/>
      <c r="AJ1241" s="232"/>
      <c r="AK1241" s="232"/>
      <c r="AL1241" s="232"/>
      <c r="AM1241" s="232"/>
      <c r="AN1241" s="232"/>
      <c r="AO1241" s="232"/>
      <c r="AP1241" s="232"/>
      <c r="AQ1241" s="232"/>
      <c r="AR1241" s="232"/>
      <c r="AS1241" s="232"/>
      <c r="AT1241" s="232"/>
      <c r="AU1241" s="232"/>
      <c r="AV1241" s="232"/>
      <c r="AW1241" s="232"/>
      <c r="AX1241" s="232"/>
      <c r="AY1241" s="232"/>
      <c r="AZ1241" s="232"/>
      <c r="BA1241" s="232"/>
      <c r="BB1241" s="232"/>
      <c r="BC1241" s="232"/>
      <c r="BD1241" s="232"/>
      <c r="BE1241" s="232"/>
      <c r="BF1241" s="232"/>
      <c r="BG1241" s="232"/>
      <c r="BH1241" s="232"/>
      <c r="BI1241" s="232"/>
      <c r="BJ1241" s="232"/>
      <c r="BK1241" s="232"/>
      <c r="BL1241" s="232"/>
      <c r="BM1241" s="232"/>
      <c r="BN1241" s="232"/>
      <c r="BO1241" s="232"/>
      <c r="BP1241" s="232"/>
      <c r="BQ1241" s="232"/>
      <c r="BR1241" s="232"/>
      <c r="BS1241" s="232"/>
      <c r="BT1241" s="232"/>
      <c r="BU1241" s="232"/>
      <c r="BV1241" s="232"/>
      <c r="BW1241" s="232"/>
      <c r="BX1241" s="232"/>
      <c r="BY1241" s="232"/>
      <c r="BZ1241" s="232"/>
      <c r="CA1241" s="232"/>
      <c r="CB1241" s="232"/>
      <c r="CC1241" s="232"/>
      <c r="CD1241" s="232"/>
      <c r="CE1241" s="232"/>
      <c r="CF1241" s="232"/>
      <c r="CG1241" s="232"/>
      <c r="CH1241" s="232"/>
      <c r="CI1241" s="232"/>
      <c r="CJ1241" s="232"/>
      <c r="CK1241" s="232"/>
      <c r="CL1241" s="232"/>
      <c r="CM1241" s="232"/>
      <c r="CN1241" s="215"/>
      <c r="CO1241" s="215"/>
      <c r="CP1241" s="215"/>
      <c r="CQ1241" s="215"/>
      <c r="CR1241" s="215"/>
      <c r="CS1241" s="215"/>
      <c r="CT1241" s="215"/>
    </row>
    <row r="1242" ht="24.0" customHeight="1">
      <c r="A1242" s="287"/>
      <c r="B1242" s="287"/>
      <c r="C1242" s="287"/>
      <c r="D1242" s="232"/>
      <c r="E1242" s="232"/>
      <c r="F1242" s="232"/>
      <c r="G1242" s="232"/>
      <c r="H1242" s="232"/>
      <c r="I1242" s="232"/>
      <c r="J1242" s="232"/>
      <c r="K1242" s="232"/>
      <c r="L1242" s="232"/>
      <c r="M1242" s="232"/>
      <c r="N1242" s="289"/>
      <c r="O1242" s="232"/>
      <c r="P1242" s="232"/>
      <c r="Q1242" s="232"/>
      <c r="R1242" s="232"/>
      <c r="S1242" s="232"/>
      <c r="T1242" s="232"/>
      <c r="U1242" s="232"/>
      <c r="V1242" s="232"/>
      <c r="W1242" s="232"/>
      <c r="X1242" s="232"/>
      <c r="Y1242" s="232"/>
      <c r="Z1242" s="232"/>
      <c r="AA1242" s="232"/>
      <c r="AB1242" s="232"/>
      <c r="AC1242" s="232"/>
      <c r="AD1242" s="232"/>
      <c r="AE1242" s="232"/>
      <c r="AF1242" s="232"/>
      <c r="AG1242" s="232"/>
      <c r="AH1242" s="232"/>
      <c r="AI1242" s="232"/>
      <c r="AJ1242" s="232"/>
      <c r="AK1242" s="232"/>
      <c r="AL1242" s="232"/>
      <c r="AM1242" s="232"/>
      <c r="AN1242" s="232"/>
      <c r="AO1242" s="232"/>
      <c r="AP1242" s="232"/>
      <c r="AQ1242" s="232"/>
      <c r="AR1242" s="232"/>
      <c r="AS1242" s="232"/>
      <c r="AT1242" s="232"/>
      <c r="AU1242" s="232"/>
      <c r="AV1242" s="232"/>
      <c r="AW1242" s="232"/>
      <c r="AX1242" s="232"/>
      <c r="AY1242" s="232"/>
      <c r="AZ1242" s="232"/>
      <c r="BA1242" s="232"/>
      <c r="BB1242" s="232"/>
      <c r="BC1242" s="232"/>
      <c r="BD1242" s="232"/>
      <c r="BE1242" s="232"/>
      <c r="BF1242" s="232"/>
      <c r="BG1242" s="232"/>
      <c r="BH1242" s="232"/>
      <c r="BI1242" s="232"/>
      <c r="BJ1242" s="232"/>
      <c r="BK1242" s="232"/>
      <c r="BL1242" s="232"/>
      <c r="BM1242" s="232"/>
      <c r="BN1242" s="232"/>
      <c r="BO1242" s="232"/>
      <c r="BP1242" s="232"/>
      <c r="BQ1242" s="232"/>
      <c r="BR1242" s="232"/>
      <c r="BS1242" s="232"/>
      <c r="BT1242" s="232"/>
      <c r="BU1242" s="232"/>
      <c r="BV1242" s="232"/>
      <c r="BW1242" s="232"/>
      <c r="BX1242" s="232"/>
      <c r="BY1242" s="232"/>
      <c r="BZ1242" s="232"/>
      <c r="CA1242" s="232"/>
      <c r="CB1242" s="232"/>
      <c r="CC1242" s="232"/>
      <c r="CD1242" s="232"/>
      <c r="CE1242" s="232"/>
      <c r="CF1242" s="232"/>
      <c r="CG1242" s="232"/>
      <c r="CH1242" s="232"/>
      <c r="CI1242" s="232"/>
      <c r="CJ1242" s="232"/>
      <c r="CK1242" s="232"/>
      <c r="CL1242" s="232"/>
      <c r="CM1242" s="232"/>
      <c r="CN1242" s="215"/>
      <c r="CO1242" s="215"/>
      <c r="CP1242" s="215"/>
      <c r="CQ1242" s="215"/>
      <c r="CR1242" s="215"/>
      <c r="CS1242" s="215"/>
      <c r="CT1242" s="215"/>
    </row>
    <row r="1243" ht="24.0" customHeight="1">
      <c r="A1243" s="287"/>
      <c r="B1243" s="287"/>
      <c r="C1243" s="287"/>
      <c r="D1243" s="232"/>
      <c r="E1243" s="232"/>
      <c r="F1243" s="232"/>
      <c r="G1243" s="232"/>
      <c r="H1243" s="232"/>
      <c r="I1243" s="232"/>
      <c r="J1243" s="232"/>
      <c r="K1243" s="232"/>
      <c r="L1243" s="232"/>
      <c r="M1243" s="232"/>
      <c r="N1243" s="289"/>
      <c r="O1243" s="232"/>
      <c r="P1243" s="232"/>
      <c r="Q1243" s="232"/>
      <c r="R1243" s="232"/>
      <c r="S1243" s="232"/>
      <c r="T1243" s="232"/>
      <c r="U1243" s="232"/>
      <c r="V1243" s="232"/>
      <c r="W1243" s="232"/>
      <c r="X1243" s="232"/>
      <c r="Y1243" s="232"/>
      <c r="Z1243" s="232"/>
      <c r="AA1243" s="232"/>
      <c r="AB1243" s="232"/>
      <c r="AC1243" s="232"/>
      <c r="AD1243" s="232"/>
      <c r="AE1243" s="232"/>
      <c r="AF1243" s="232"/>
      <c r="AG1243" s="232"/>
      <c r="AH1243" s="232"/>
      <c r="AI1243" s="232"/>
      <c r="AJ1243" s="232"/>
      <c r="AK1243" s="232"/>
      <c r="AL1243" s="232"/>
      <c r="AM1243" s="232"/>
      <c r="AN1243" s="232"/>
      <c r="AO1243" s="232"/>
      <c r="AP1243" s="232"/>
      <c r="AQ1243" s="232"/>
      <c r="AR1243" s="232"/>
      <c r="AS1243" s="232"/>
      <c r="AT1243" s="232"/>
      <c r="AU1243" s="232"/>
      <c r="AV1243" s="232"/>
      <c r="AW1243" s="232"/>
      <c r="AX1243" s="232"/>
      <c r="AY1243" s="232"/>
      <c r="AZ1243" s="232"/>
      <c r="BA1243" s="232"/>
      <c r="BB1243" s="232"/>
      <c r="BC1243" s="232"/>
      <c r="BD1243" s="232"/>
      <c r="BE1243" s="232"/>
      <c r="BF1243" s="232"/>
      <c r="BG1243" s="232"/>
      <c r="BH1243" s="232"/>
      <c r="BI1243" s="232"/>
      <c r="BJ1243" s="232"/>
      <c r="BK1243" s="232"/>
      <c r="BL1243" s="232"/>
      <c r="BM1243" s="232"/>
      <c r="BN1243" s="232"/>
      <c r="BO1243" s="232"/>
      <c r="BP1243" s="232"/>
      <c r="BQ1243" s="232"/>
      <c r="BR1243" s="232"/>
      <c r="BS1243" s="232"/>
      <c r="BT1243" s="232"/>
      <c r="BU1243" s="232"/>
      <c r="BV1243" s="232"/>
      <c r="BW1243" s="232"/>
      <c r="BX1243" s="232"/>
      <c r="BY1243" s="232"/>
      <c r="BZ1243" s="232"/>
      <c r="CA1243" s="232"/>
      <c r="CB1243" s="232"/>
      <c r="CC1243" s="232"/>
      <c r="CD1243" s="232"/>
      <c r="CE1243" s="232"/>
      <c r="CF1243" s="232"/>
      <c r="CG1243" s="232"/>
      <c r="CH1243" s="232"/>
      <c r="CI1243" s="232"/>
      <c r="CJ1243" s="232"/>
      <c r="CK1243" s="232"/>
      <c r="CL1243" s="232"/>
      <c r="CM1243" s="232"/>
      <c r="CN1243" s="215"/>
      <c r="CO1243" s="215"/>
      <c r="CP1243" s="215"/>
      <c r="CQ1243" s="215"/>
      <c r="CR1243" s="215"/>
      <c r="CS1243" s="215"/>
      <c r="CT1243" s="215"/>
    </row>
    <row r="1244" ht="24.0" customHeight="1">
      <c r="A1244" s="287"/>
      <c r="B1244" s="287"/>
      <c r="C1244" s="287"/>
      <c r="D1244" s="232"/>
      <c r="E1244" s="232"/>
      <c r="F1244" s="232"/>
      <c r="G1244" s="232"/>
      <c r="H1244" s="232"/>
      <c r="I1244" s="232"/>
      <c r="J1244" s="232"/>
      <c r="K1244" s="232"/>
      <c r="L1244" s="232"/>
      <c r="M1244" s="232"/>
      <c r="N1244" s="289"/>
      <c r="O1244" s="232"/>
      <c r="P1244" s="232"/>
      <c r="Q1244" s="232"/>
      <c r="R1244" s="232"/>
      <c r="S1244" s="232"/>
      <c r="T1244" s="232"/>
      <c r="U1244" s="232"/>
      <c r="V1244" s="232"/>
      <c r="W1244" s="232"/>
      <c r="X1244" s="232"/>
      <c r="Y1244" s="232"/>
      <c r="Z1244" s="232"/>
      <c r="AA1244" s="232"/>
      <c r="AB1244" s="232"/>
      <c r="AC1244" s="232"/>
      <c r="AD1244" s="232"/>
      <c r="AE1244" s="232"/>
      <c r="AF1244" s="232"/>
      <c r="AG1244" s="232"/>
      <c r="AH1244" s="232"/>
      <c r="AI1244" s="232"/>
      <c r="AJ1244" s="232"/>
      <c r="AK1244" s="232"/>
      <c r="AL1244" s="232"/>
      <c r="AM1244" s="232"/>
      <c r="AN1244" s="232"/>
      <c r="AO1244" s="232"/>
      <c r="AP1244" s="232"/>
      <c r="AQ1244" s="232"/>
      <c r="AR1244" s="232"/>
      <c r="AS1244" s="232"/>
      <c r="AT1244" s="232"/>
      <c r="AU1244" s="232"/>
      <c r="AV1244" s="232"/>
      <c r="AW1244" s="232"/>
      <c r="AX1244" s="232"/>
      <c r="AY1244" s="232"/>
      <c r="AZ1244" s="232"/>
      <c r="BA1244" s="232"/>
      <c r="BB1244" s="232"/>
      <c r="BC1244" s="232"/>
      <c r="BD1244" s="232"/>
      <c r="BE1244" s="232"/>
      <c r="BF1244" s="232"/>
      <c r="BG1244" s="232"/>
      <c r="BH1244" s="232"/>
      <c r="BI1244" s="232"/>
      <c r="BJ1244" s="232"/>
      <c r="BK1244" s="232"/>
      <c r="BL1244" s="232"/>
      <c r="BM1244" s="232"/>
      <c r="BN1244" s="232"/>
      <c r="BO1244" s="232"/>
      <c r="BP1244" s="232"/>
      <c r="BQ1244" s="232"/>
      <c r="BR1244" s="232"/>
      <c r="BS1244" s="232"/>
      <c r="BT1244" s="232"/>
      <c r="BU1244" s="232"/>
      <c r="BV1244" s="232"/>
      <c r="BW1244" s="232"/>
      <c r="BX1244" s="232"/>
      <c r="BY1244" s="232"/>
      <c r="BZ1244" s="232"/>
      <c r="CA1244" s="232"/>
      <c r="CB1244" s="232"/>
      <c r="CC1244" s="232"/>
      <c r="CD1244" s="232"/>
      <c r="CE1244" s="232"/>
      <c r="CF1244" s="232"/>
      <c r="CG1244" s="232"/>
      <c r="CH1244" s="232"/>
      <c r="CI1244" s="232"/>
      <c r="CJ1244" s="232"/>
      <c r="CK1244" s="232"/>
      <c r="CL1244" s="232"/>
      <c r="CM1244" s="232"/>
      <c r="CN1244" s="215"/>
      <c r="CO1244" s="215"/>
      <c r="CP1244" s="215"/>
      <c r="CQ1244" s="215"/>
      <c r="CR1244" s="215"/>
      <c r="CS1244" s="215"/>
      <c r="CT1244" s="215"/>
    </row>
    <row r="1245" ht="24.0" customHeight="1">
      <c r="A1245" s="287"/>
      <c r="B1245" s="287"/>
      <c r="C1245" s="287"/>
      <c r="D1245" s="232"/>
      <c r="E1245" s="232"/>
      <c r="F1245" s="232"/>
      <c r="G1245" s="232"/>
      <c r="H1245" s="232"/>
      <c r="I1245" s="232"/>
      <c r="J1245" s="232"/>
      <c r="K1245" s="232"/>
      <c r="L1245" s="232"/>
      <c r="M1245" s="232"/>
      <c r="N1245" s="289"/>
      <c r="O1245" s="232"/>
      <c r="P1245" s="232"/>
      <c r="Q1245" s="232"/>
      <c r="R1245" s="232"/>
      <c r="S1245" s="232"/>
      <c r="T1245" s="232"/>
      <c r="U1245" s="232"/>
      <c r="V1245" s="232"/>
      <c r="W1245" s="232"/>
      <c r="X1245" s="232"/>
      <c r="Y1245" s="232"/>
      <c r="Z1245" s="232"/>
      <c r="AA1245" s="232"/>
      <c r="AB1245" s="232"/>
      <c r="AC1245" s="232"/>
      <c r="AD1245" s="232"/>
      <c r="AE1245" s="232"/>
      <c r="AF1245" s="232"/>
      <c r="AG1245" s="232"/>
      <c r="AH1245" s="232"/>
      <c r="AI1245" s="232"/>
      <c r="AJ1245" s="232"/>
      <c r="AK1245" s="232"/>
      <c r="AL1245" s="232"/>
      <c r="AM1245" s="232"/>
      <c r="AN1245" s="232"/>
      <c r="AO1245" s="232"/>
      <c r="AP1245" s="232"/>
      <c r="AQ1245" s="232"/>
      <c r="AR1245" s="232"/>
      <c r="AS1245" s="232"/>
      <c r="AT1245" s="232"/>
      <c r="AU1245" s="232"/>
      <c r="AV1245" s="232"/>
      <c r="AW1245" s="232"/>
      <c r="AX1245" s="232"/>
      <c r="AY1245" s="232"/>
      <c r="AZ1245" s="232"/>
      <c r="BA1245" s="232"/>
      <c r="BB1245" s="232"/>
      <c r="BC1245" s="232"/>
      <c r="BD1245" s="232"/>
      <c r="BE1245" s="232"/>
      <c r="BF1245" s="232"/>
      <c r="BG1245" s="232"/>
      <c r="BH1245" s="232"/>
      <c r="BI1245" s="232"/>
      <c r="BJ1245" s="232"/>
      <c r="BK1245" s="232"/>
      <c r="BL1245" s="232"/>
      <c r="BM1245" s="232"/>
      <c r="BN1245" s="232"/>
      <c r="BO1245" s="232"/>
      <c r="BP1245" s="232"/>
      <c r="BQ1245" s="232"/>
      <c r="BR1245" s="232"/>
      <c r="BS1245" s="232"/>
      <c r="BT1245" s="232"/>
      <c r="BU1245" s="232"/>
      <c r="BV1245" s="232"/>
      <c r="BW1245" s="232"/>
      <c r="BX1245" s="232"/>
      <c r="BY1245" s="232"/>
      <c r="BZ1245" s="232"/>
      <c r="CA1245" s="232"/>
      <c r="CB1245" s="232"/>
      <c r="CC1245" s="232"/>
      <c r="CD1245" s="232"/>
      <c r="CE1245" s="232"/>
      <c r="CF1245" s="232"/>
      <c r="CG1245" s="232"/>
      <c r="CH1245" s="232"/>
      <c r="CI1245" s="232"/>
      <c r="CJ1245" s="232"/>
      <c r="CK1245" s="232"/>
      <c r="CL1245" s="232"/>
      <c r="CM1245" s="232"/>
      <c r="CN1245" s="215"/>
      <c r="CO1245" s="215"/>
      <c r="CP1245" s="215"/>
      <c r="CQ1245" s="215"/>
      <c r="CR1245" s="215"/>
      <c r="CS1245" s="215"/>
      <c r="CT1245" s="215"/>
    </row>
    <row r="1246" ht="24.0" customHeight="1">
      <c r="A1246" s="287"/>
      <c r="B1246" s="287"/>
      <c r="C1246" s="287"/>
      <c r="D1246" s="232"/>
      <c r="E1246" s="232"/>
      <c r="F1246" s="232"/>
      <c r="G1246" s="232"/>
      <c r="H1246" s="232"/>
      <c r="I1246" s="232"/>
      <c r="J1246" s="232"/>
      <c r="K1246" s="232"/>
      <c r="L1246" s="232"/>
      <c r="M1246" s="232"/>
      <c r="N1246" s="289"/>
      <c r="O1246" s="232"/>
      <c r="P1246" s="232"/>
      <c r="Q1246" s="232"/>
      <c r="R1246" s="232"/>
      <c r="S1246" s="232"/>
      <c r="T1246" s="232"/>
      <c r="U1246" s="232"/>
      <c r="V1246" s="232"/>
      <c r="W1246" s="232"/>
      <c r="X1246" s="232"/>
      <c r="Y1246" s="232"/>
      <c r="Z1246" s="232"/>
      <c r="AA1246" s="232"/>
      <c r="AB1246" s="232"/>
      <c r="AC1246" s="232"/>
      <c r="AD1246" s="232"/>
      <c r="AE1246" s="232"/>
      <c r="AF1246" s="232"/>
      <c r="AG1246" s="232"/>
      <c r="AH1246" s="232"/>
      <c r="AI1246" s="232"/>
      <c r="AJ1246" s="232"/>
      <c r="AK1246" s="232"/>
      <c r="AL1246" s="232"/>
      <c r="AM1246" s="232"/>
      <c r="AN1246" s="232"/>
      <c r="AO1246" s="232"/>
      <c r="AP1246" s="232"/>
      <c r="AQ1246" s="232"/>
      <c r="AR1246" s="232"/>
      <c r="AS1246" s="232"/>
      <c r="AT1246" s="232"/>
      <c r="AU1246" s="232"/>
      <c r="AV1246" s="232"/>
      <c r="AW1246" s="232"/>
      <c r="AX1246" s="232"/>
      <c r="AY1246" s="232"/>
      <c r="AZ1246" s="232"/>
      <c r="BA1246" s="232"/>
      <c r="BB1246" s="232"/>
      <c r="BC1246" s="232"/>
      <c r="BD1246" s="232"/>
      <c r="BE1246" s="232"/>
      <c r="BF1246" s="232"/>
      <c r="BG1246" s="232"/>
      <c r="BH1246" s="232"/>
      <c r="BI1246" s="232"/>
      <c r="BJ1246" s="232"/>
      <c r="BK1246" s="232"/>
      <c r="BL1246" s="232"/>
      <c r="BM1246" s="232"/>
      <c r="BN1246" s="232"/>
      <c r="BO1246" s="232"/>
      <c r="BP1246" s="232"/>
      <c r="BQ1246" s="232"/>
      <c r="BR1246" s="232"/>
      <c r="BS1246" s="232"/>
      <c r="BT1246" s="232"/>
      <c r="BU1246" s="232"/>
      <c r="BV1246" s="232"/>
      <c r="BW1246" s="232"/>
      <c r="BX1246" s="232"/>
      <c r="BY1246" s="232"/>
      <c r="BZ1246" s="232"/>
      <c r="CA1246" s="232"/>
      <c r="CB1246" s="232"/>
      <c r="CC1246" s="232"/>
      <c r="CD1246" s="232"/>
      <c r="CE1246" s="232"/>
      <c r="CF1246" s="232"/>
      <c r="CG1246" s="232"/>
      <c r="CH1246" s="232"/>
      <c r="CI1246" s="232"/>
      <c r="CJ1246" s="232"/>
      <c r="CK1246" s="232"/>
      <c r="CL1246" s="232"/>
      <c r="CM1246" s="232"/>
      <c r="CN1246" s="215"/>
      <c r="CO1246" s="215"/>
      <c r="CP1246" s="215"/>
      <c r="CQ1246" s="215"/>
      <c r="CR1246" s="215"/>
      <c r="CS1246" s="215"/>
      <c r="CT1246" s="215"/>
    </row>
    <row r="1247" ht="24.0" customHeight="1">
      <c r="A1247" s="287"/>
      <c r="B1247" s="287"/>
      <c r="C1247" s="287"/>
      <c r="D1247" s="232"/>
      <c r="E1247" s="232"/>
      <c r="F1247" s="232"/>
      <c r="G1247" s="232"/>
      <c r="H1247" s="232"/>
      <c r="I1247" s="232"/>
      <c r="J1247" s="232"/>
      <c r="K1247" s="232"/>
      <c r="L1247" s="232"/>
      <c r="M1247" s="232"/>
      <c r="N1247" s="289"/>
      <c r="O1247" s="232"/>
      <c r="P1247" s="232"/>
      <c r="Q1247" s="232"/>
      <c r="R1247" s="232"/>
      <c r="S1247" s="232"/>
      <c r="T1247" s="232"/>
      <c r="U1247" s="232"/>
      <c r="V1247" s="232"/>
      <c r="W1247" s="232"/>
      <c r="X1247" s="232"/>
      <c r="Y1247" s="232"/>
      <c r="Z1247" s="232"/>
      <c r="AA1247" s="232"/>
      <c r="AB1247" s="232"/>
      <c r="AC1247" s="232"/>
      <c r="AD1247" s="232"/>
      <c r="AE1247" s="232"/>
      <c r="AF1247" s="232"/>
      <c r="AG1247" s="232"/>
      <c r="AH1247" s="232"/>
      <c r="AI1247" s="232"/>
      <c r="AJ1247" s="232"/>
      <c r="AK1247" s="232"/>
      <c r="AL1247" s="232"/>
      <c r="AM1247" s="232"/>
      <c r="AN1247" s="232"/>
      <c r="AO1247" s="232"/>
      <c r="AP1247" s="232"/>
      <c r="AQ1247" s="232"/>
      <c r="AR1247" s="232"/>
      <c r="AS1247" s="232"/>
      <c r="AT1247" s="232"/>
      <c r="AU1247" s="232"/>
      <c r="AV1247" s="232"/>
      <c r="AW1247" s="232"/>
      <c r="AX1247" s="232"/>
      <c r="AY1247" s="232"/>
      <c r="AZ1247" s="232"/>
      <c r="BA1247" s="232"/>
      <c r="BB1247" s="232"/>
      <c r="BC1247" s="232"/>
      <c r="BD1247" s="232"/>
      <c r="BE1247" s="232"/>
      <c r="BF1247" s="232"/>
      <c r="BG1247" s="232"/>
      <c r="BH1247" s="232"/>
      <c r="BI1247" s="232"/>
      <c r="BJ1247" s="232"/>
      <c r="BK1247" s="232"/>
      <c r="BL1247" s="232"/>
      <c r="BM1247" s="232"/>
      <c r="BN1247" s="232"/>
      <c r="BO1247" s="232"/>
      <c r="BP1247" s="232"/>
      <c r="BQ1247" s="232"/>
      <c r="BR1247" s="232"/>
      <c r="BS1247" s="232"/>
      <c r="BT1247" s="232"/>
      <c r="BU1247" s="232"/>
      <c r="BV1247" s="232"/>
      <c r="BW1247" s="232"/>
      <c r="BX1247" s="232"/>
      <c r="BY1247" s="232"/>
      <c r="BZ1247" s="232"/>
      <c r="CA1247" s="232"/>
      <c r="CB1247" s="232"/>
      <c r="CC1247" s="232"/>
      <c r="CD1247" s="232"/>
      <c r="CE1247" s="232"/>
      <c r="CF1247" s="232"/>
      <c r="CG1247" s="232"/>
      <c r="CH1247" s="232"/>
      <c r="CI1247" s="232"/>
      <c r="CJ1247" s="232"/>
      <c r="CK1247" s="232"/>
      <c r="CL1247" s="232"/>
      <c r="CM1247" s="232"/>
      <c r="CN1247" s="215"/>
      <c r="CO1247" s="215"/>
      <c r="CP1247" s="215"/>
      <c r="CQ1247" s="215"/>
      <c r="CR1247" s="215"/>
      <c r="CS1247" s="215"/>
      <c r="CT1247" s="215"/>
    </row>
    <row r="1248" ht="24.0" customHeight="1">
      <c r="A1248" s="287"/>
      <c r="B1248" s="287"/>
      <c r="C1248" s="287"/>
      <c r="D1248" s="232"/>
      <c r="E1248" s="232"/>
      <c r="F1248" s="232"/>
      <c r="G1248" s="232"/>
      <c r="H1248" s="232"/>
      <c r="I1248" s="232"/>
      <c r="J1248" s="232"/>
      <c r="K1248" s="232"/>
      <c r="L1248" s="232"/>
      <c r="M1248" s="232"/>
      <c r="N1248" s="289"/>
      <c r="O1248" s="232"/>
      <c r="P1248" s="232"/>
      <c r="Q1248" s="232"/>
      <c r="R1248" s="232"/>
      <c r="S1248" s="232"/>
      <c r="T1248" s="232"/>
      <c r="U1248" s="232"/>
      <c r="V1248" s="232"/>
      <c r="W1248" s="232"/>
      <c r="X1248" s="232"/>
      <c r="Y1248" s="232"/>
      <c r="Z1248" s="232"/>
      <c r="AA1248" s="232"/>
      <c r="AB1248" s="232"/>
      <c r="AC1248" s="232"/>
      <c r="AD1248" s="232"/>
      <c r="AE1248" s="232"/>
      <c r="AF1248" s="232"/>
      <c r="AG1248" s="232"/>
      <c r="AH1248" s="232"/>
      <c r="AI1248" s="232"/>
      <c r="AJ1248" s="232"/>
      <c r="AK1248" s="232"/>
      <c r="AL1248" s="232"/>
      <c r="AM1248" s="232"/>
      <c r="AN1248" s="232"/>
      <c r="AO1248" s="232"/>
      <c r="AP1248" s="232"/>
      <c r="AQ1248" s="232"/>
      <c r="AR1248" s="232"/>
      <c r="AS1248" s="232"/>
      <c r="AT1248" s="232"/>
      <c r="AU1248" s="232"/>
      <c r="AV1248" s="232"/>
      <c r="AW1248" s="232"/>
      <c r="AX1248" s="232"/>
      <c r="AY1248" s="232"/>
      <c r="AZ1248" s="232"/>
      <c r="BA1248" s="232"/>
      <c r="BB1248" s="232"/>
      <c r="BC1248" s="232"/>
      <c r="BD1248" s="232"/>
      <c r="BE1248" s="232"/>
      <c r="BF1248" s="232"/>
      <c r="BG1248" s="232"/>
      <c r="BH1248" s="232"/>
      <c r="BI1248" s="232"/>
      <c r="BJ1248" s="232"/>
      <c r="BK1248" s="232"/>
      <c r="BL1248" s="232"/>
      <c r="BM1248" s="232"/>
      <c r="BN1248" s="232"/>
      <c r="BO1248" s="232"/>
      <c r="BP1248" s="232"/>
      <c r="BQ1248" s="232"/>
      <c r="BR1248" s="232"/>
      <c r="BS1248" s="232"/>
      <c r="BT1248" s="232"/>
      <c r="BU1248" s="232"/>
      <c r="BV1248" s="232"/>
      <c r="BW1248" s="232"/>
      <c r="BX1248" s="232"/>
      <c r="BY1248" s="232"/>
      <c r="BZ1248" s="232"/>
      <c r="CA1248" s="232"/>
      <c r="CB1248" s="232"/>
      <c r="CC1248" s="232"/>
      <c r="CD1248" s="232"/>
      <c r="CE1248" s="232"/>
      <c r="CF1248" s="232"/>
      <c r="CG1248" s="232"/>
      <c r="CH1248" s="232"/>
      <c r="CI1248" s="232"/>
      <c r="CJ1248" s="232"/>
      <c r="CK1248" s="232"/>
      <c r="CL1248" s="232"/>
      <c r="CM1248" s="232"/>
      <c r="CN1248" s="215"/>
      <c r="CO1248" s="215"/>
      <c r="CP1248" s="215"/>
      <c r="CQ1248" s="215"/>
      <c r="CR1248" s="215"/>
      <c r="CS1248" s="215"/>
      <c r="CT1248" s="215"/>
    </row>
    <row r="1249" ht="24.0" customHeight="1">
      <c r="A1249" s="287"/>
      <c r="B1249" s="287"/>
      <c r="C1249" s="287"/>
      <c r="D1249" s="232"/>
      <c r="E1249" s="232"/>
      <c r="F1249" s="232"/>
      <c r="G1249" s="232"/>
      <c r="H1249" s="232"/>
      <c r="I1249" s="232"/>
      <c r="J1249" s="232"/>
      <c r="K1249" s="232"/>
      <c r="L1249" s="232"/>
      <c r="M1249" s="232"/>
      <c r="N1249" s="289"/>
      <c r="O1249" s="232"/>
      <c r="P1249" s="232"/>
      <c r="Q1249" s="232"/>
      <c r="R1249" s="232"/>
      <c r="S1249" s="232"/>
      <c r="T1249" s="232"/>
      <c r="U1249" s="232"/>
      <c r="V1249" s="232"/>
      <c r="W1249" s="232"/>
      <c r="X1249" s="232"/>
      <c r="Y1249" s="232"/>
      <c r="Z1249" s="232"/>
      <c r="AA1249" s="232"/>
      <c r="AB1249" s="232"/>
      <c r="AC1249" s="232"/>
      <c r="AD1249" s="232"/>
      <c r="AE1249" s="232"/>
      <c r="AF1249" s="232"/>
      <c r="AG1249" s="232"/>
      <c r="AH1249" s="232"/>
      <c r="AI1249" s="232"/>
      <c r="AJ1249" s="232"/>
      <c r="AK1249" s="232"/>
      <c r="AL1249" s="232"/>
      <c r="AM1249" s="232"/>
      <c r="AN1249" s="232"/>
      <c r="AO1249" s="232"/>
      <c r="AP1249" s="232"/>
      <c r="AQ1249" s="232"/>
      <c r="AR1249" s="232"/>
      <c r="AS1249" s="232"/>
      <c r="AT1249" s="232"/>
      <c r="AU1249" s="232"/>
      <c r="AV1249" s="232"/>
      <c r="AW1249" s="232"/>
      <c r="AX1249" s="232"/>
      <c r="AY1249" s="232"/>
      <c r="AZ1249" s="232"/>
      <c r="BA1249" s="232"/>
      <c r="BB1249" s="232"/>
      <c r="BC1249" s="232"/>
      <c r="BD1249" s="232"/>
      <c r="BE1249" s="232"/>
      <c r="BF1249" s="232"/>
      <c r="BG1249" s="232"/>
      <c r="BH1249" s="232"/>
      <c r="BI1249" s="232"/>
      <c r="BJ1249" s="232"/>
      <c r="BK1249" s="232"/>
      <c r="BL1249" s="232"/>
      <c r="BM1249" s="232"/>
      <c r="BN1249" s="232"/>
      <c r="BO1249" s="232"/>
      <c r="BP1249" s="232"/>
      <c r="BQ1249" s="232"/>
      <c r="BR1249" s="232"/>
      <c r="BS1249" s="232"/>
      <c r="BT1249" s="232"/>
      <c r="BU1249" s="232"/>
      <c r="BV1249" s="232"/>
      <c r="BW1249" s="232"/>
      <c r="BX1249" s="232"/>
      <c r="BY1249" s="232"/>
      <c r="BZ1249" s="232"/>
      <c r="CA1249" s="232"/>
      <c r="CB1249" s="232"/>
      <c r="CC1249" s="232"/>
      <c r="CD1249" s="232"/>
      <c r="CE1249" s="232"/>
      <c r="CF1249" s="232"/>
      <c r="CG1249" s="232"/>
      <c r="CH1249" s="232"/>
      <c r="CI1249" s="232"/>
      <c r="CJ1249" s="232"/>
      <c r="CK1249" s="232"/>
      <c r="CL1249" s="232"/>
      <c r="CM1249" s="232"/>
      <c r="CN1249" s="215"/>
      <c r="CO1249" s="215"/>
      <c r="CP1249" s="215"/>
      <c r="CQ1249" s="215"/>
      <c r="CR1249" s="215"/>
      <c r="CS1249" s="215"/>
      <c r="CT1249" s="215"/>
    </row>
    <row r="1250" ht="24.0" customHeight="1">
      <c r="A1250" s="287"/>
      <c r="B1250" s="287"/>
      <c r="C1250" s="287"/>
      <c r="D1250" s="232"/>
      <c r="E1250" s="232"/>
      <c r="F1250" s="232"/>
      <c r="G1250" s="232"/>
      <c r="H1250" s="232"/>
      <c r="I1250" s="232"/>
      <c r="J1250" s="232"/>
      <c r="K1250" s="232"/>
      <c r="L1250" s="232"/>
      <c r="M1250" s="232"/>
      <c r="N1250" s="289"/>
      <c r="O1250" s="232"/>
      <c r="P1250" s="232"/>
      <c r="Q1250" s="232"/>
      <c r="R1250" s="232"/>
      <c r="S1250" s="232"/>
      <c r="T1250" s="232"/>
      <c r="U1250" s="232"/>
      <c r="V1250" s="232"/>
      <c r="W1250" s="232"/>
      <c r="X1250" s="232"/>
      <c r="Y1250" s="232"/>
      <c r="Z1250" s="232"/>
      <c r="AA1250" s="232"/>
      <c r="AB1250" s="232"/>
      <c r="AC1250" s="232"/>
      <c r="AD1250" s="232"/>
      <c r="AE1250" s="232"/>
      <c r="AF1250" s="232"/>
      <c r="AG1250" s="232"/>
      <c r="AH1250" s="232"/>
      <c r="AI1250" s="232"/>
      <c r="AJ1250" s="232"/>
      <c r="AK1250" s="232"/>
      <c r="AL1250" s="232"/>
      <c r="AM1250" s="232"/>
      <c r="AN1250" s="232"/>
      <c r="AO1250" s="232"/>
      <c r="AP1250" s="232"/>
      <c r="AQ1250" s="232"/>
      <c r="AR1250" s="232"/>
      <c r="AS1250" s="232"/>
      <c r="AT1250" s="232"/>
      <c r="AU1250" s="232"/>
      <c r="AV1250" s="232"/>
      <c r="AW1250" s="232"/>
      <c r="AX1250" s="232"/>
      <c r="AY1250" s="232"/>
      <c r="AZ1250" s="232"/>
      <c r="BA1250" s="232"/>
      <c r="BB1250" s="232"/>
      <c r="BC1250" s="232"/>
      <c r="BD1250" s="232"/>
      <c r="BE1250" s="232"/>
      <c r="BF1250" s="232"/>
      <c r="BG1250" s="232"/>
      <c r="BH1250" s="232"/>
      <c r="BI1250" s="232"/>
      <c r="BJ1250" s="232"/>
      <c r="BK1250" s="232"/>
      <c r="BL1250" s="232"/>
      <c r="BM1250" s="232"/>
      <c r="BN1250" s="232"/>
      <c r="BO1250" s="232"/>
      <c r="BP1250" s="232"/>
      <c r="BQ1250" s="232"/>
      <c r="BR1250" s="232"/>
      <c r="BS1250" s="232"/>
      <c r="BT1250" s="232"/>
      <c r="BU1250" s="232"/>
      <c r="BV1250" s="232"/>
      <c r="BW1250" s="232"/>
      <c r="BX1250" s="232"/>
      <c r="BY1250" s="232"/>
      <c r="BZ1250" s="232"/>
      <c r="CA1250" s="232"/>
      <c r="CB1250" s="232"/>
      <c r="CC1250" s="232"/>
      <c r="CD1250" s="232"/>
      <c r="CE1250" s="232"/>
      <c r="CF1250" s="232"/>
      <c r="CG1250" s="232"/>
      <c r="CH1250" s="232"/>
      <c r="CI1250" s="232"/>
      <c r="CJ1250" s="232"/>
      <c r="CK1250" s="232"/>
      <c r="CL1250" s="232"/>
      <c r="CM1250" s="232"/>
      <c r="CN1250" s="215"/>
      <c r="CO1250" s="215"/>
      <c r="CP1250" s="215"/>
      <c r="CQ1250" s="215"/>
      <c r="CR1250" s="215"/>
      <c r="CS1250" s="215"/>
      <c r="CT1250" s="215"/>
    </row>
    <row r="1251" ht="24.0" customHeight="1">
      <c r="A1251" s="287"/>
      <c r="B1251" s="287"/>
      <c r="C1251" s="287"/>
      <c r="D1251" s="232"/>
      <c r="E1251" s="232"/>
      <c r="F1251" s="232"/>
      <c r="G1251" s="232"/>
      <c r="H1251" s="232"/>
      <c r="I1251" s="232"/>
      <c r="J1251" s="232"/>
      <c r="K1251" s="232"/>
      <c r="L1251" s="232"/>
      <c r="M1251" s="232"/>
      <c r="N1251" s="289"/>
      <c r="O1251" s="232"/>
      <c r="P1251" s="232"/>
      <c r="Q1251" s="232"/>
      <c r="R1251" s="232"/>
      <c r="S1251" s="232"/>
      <c r="T1251" s="232"/>
      <c r="U1251" s="232"/>
      <c r="V1251" s="232"/>
      <c r="W1251" s="232"/>
      <c r="X1251" s="232"/>
      <c r="Y1251" s="232"/>
      <c r="Z1251" s="232"/>
      <c r="AA1251" s="232"/>
      <c r="AB1251" s="232"/>
      <c r="AC1251" s="232"/>
      <c r="AD1251" s="232"/>
      <c r="AE1251" s="232"/>
      <c r="AF1251" s="232"/>
      <c r="AG1251" s="232"/>
      <c r="AH1251" s="232"/>
      <c r="AI1251" s="232"/>
      <c r="AJ1251" s="232"/>
      <c r="AK1251" s="232"/>
      <c r="AL1251" s="232"/>
      <c r="AM1251" s="232"/>
      <c r="AN1251" s="232"/>
      <c r="AO1251" s="232"/>
      <c r="AP1251" s="232"/>
      <c r="AQ1251" s="232"/>
      <c r="AR1251" s="232"/>
      <c r="AS1251" s="232"/>
      <c r="AT1251" s="232"/>
      <c r="AU1251" s="232"/>
      <c r="AV1251" s="232"/>
      <c r="AW1251" s="232"/>
      <c r="AX1251" s="232"/>
      <c r="AY1251" s="232"/>
      <c r="AZ1251" s="232"/>
      <c r="BA1251" s="232"/>
      <c r="BB1251" s="232"/>
      <c r="BC1251" s="232"/>
      <c r="BD1251" s="232"/>
      <c r="BE1251" s="232"/>
      <c r="BF1251" s="232"/>
      <c r="BG1251" s="232"/>
      <c r="BH1251" s="232"/>
      <c r="BI1251" s="232"/>
      <c r="BJ1251" s="232"/>
      <c r="BK1251" s="232"/>
      <c r="BL1251" s="232"/>
      <c r="BM1251" s="232"/>
      <c r="BN1251" s="232"/>
      <c r="BO1251" s="232"/>
      <c r="BP1251" s="232"/>
      <c r="BQ1251" s="232"/>
      <c r="BR1251" s="232"/>
      <c r="BS1251" s="232"/>
      <c r="BT1251" s="232"/>
      <c r="BU1251" s="232"/>
      <c r="BV1251" s="232"/>
      <c r="BW1251" s="232"/>
      <c r="BX1251" s="232"/>
      <c r="BY1251" s="232"/>
      <c r="BZ1251" s="232"/>
      <c r="CA1251" s="232"/>
      <c r="CB1251" s="232"/>
      <c r="CC1251" s="232"/>
      <c r="CD1251" s="232"/>
      <c r="CE1251" s="232"/>
      <c r="CF1251" s="232"/>
      <c r="CG1251" s="232"/>
      <c r="CH1251" s="232"/>
      <c r="CI1251" s="232"/>
      <c r="CJ1251" s="232"/>
      <c r="CK1251" s="232"/>
      <c r="CL1251" s="232"/>
      <c r="CM1251" s="232"/>
      <c r="CN1251" s="215"/>
      <c r="CO1251" s="215"/>
      <c r="CP1251" s="215"/>
      <c r="CQ1251" s="215"/>
      <c r="CR1251" s="215"/>
      <c r="CS1251" s="215"/>
      <c r="CT1251" s="215"/>
    </row>
    <row r="1252" ht="24.0" customHeight="1">
      <c r="A1252" s="287"/>
      <c r="B1252" s="287"/>
      <c r="C1252" s="287"/>
      <c r="D1252" s="232"/>
      <c r="E1252" s="232"/>
      <c r="F1252" s="232"/>
      <c r="G1252" s="232"/>
      <c r="H1252" s="232"/>
      <c r="I1252" s="232"/>
      <c r="J1252" s="232"/>
      <c r="K1252" s="232"/>
      <c r="L1252" s="232"/>
      <c r="M1252" s="232"/>
      <c r="N1252" s="289"/>
      <c r="O1252" s="232"/>
      <c r="P1252" s="232"/>
      <c r="Q1252" s="232"/>
      <c r="R1252" s="232"/>
      <c r="S1252" s="232"/>
      <c r="T1252" s="232"/>
      <c r="U1252" s="232"/>
      <c r="V1252" s="232"/>
      <c r="W1252" s="232"/>
      <c r="X1252" s="232"/>
      <c r="Y1252" s="232"/>
      <c r="Z1252" s="232"/>
      <c r="AA1252" s="232"/>
      <c r="AB1252" s="232"/>
      <c r="AC1252" s="232"/>
      <c r="AD1252" s="232"/>
      <c r="AE1252" s="232"/>
      <c r="AF1252" s="232"/>
      <c r="AG1252" s="232"/>
      <c r="AH1252" s="232"/>
      <c r="AI1252" s="232"/>
      <c r="AJ1252" s="232"/>
      <c r="AK1252" s="232"/>
      <c r="AL1252" s="232"/>
      <c r="AM1252" s="232"/>
      <c r="AN1252" s="232"/>
      <c r="AO1252" s="232"/>
      <c r="AP1252" s="232"/>
      <c r="AQ1252" s="232"/>
      <c r="AR1252" s="232"/>
      <c r="AS1252" s="232"/>
      <c r="AT1252" s="232"/>
      <c r="AU1252" s="232"/>
      <c r="AV1252" s="232"/>
      <c r="AW1252" s="232"/>
      <c r="AX1252" s="232"/>
      <c r="AY1252" s="232"/>
      <c r="AZ1252" s="232"/>
      <c r="BA1252" s="232"/>
      <c r="BB1252" s="232"/>
      <c r="BC1252" s="232"/>
      <c r="BD1252" s="232"/>
      <c r="BE1252" s="232"/>
      <c r="BF1252" s="232"/>
      <c r="BG1252" s="232"/>
      <c r="BH1252" s="232"/>
      <c r="BI1252" s="232"/>
      <c r="BJ1252" s="232"/>
      <c r="BK1252" s="232"/>
      <c r="BL1252" s="232"/>
      <c r="BM1252" s="232"/>
      <c r="BN1252" s="232"/>
      <c r="BO1252" s="232"/>
      <c r="BP1252" s="232"/>
      <c r="BQ1252" s="232"/>
      <c r="BR1252" s="232"/>
      <c r="BS1252" s="232"/>
      <c r="BT1252" s="232"/>
      <c r="BU1252" s="232"/>
      <c r="BV1252" s="232"/>
      <c r="BW1252" s="232"/>
      <c r="BX1252" s="232"/>
      <c r="BY1252" s="232"/>
      <c r="BZ1252" s="232"/>
      <c r="CA1252" s="232"/>
      <c r="CB1252" s="232"/>
      <c r="CC1252" s="232"/>
      <c r="CD1252" s="232"/>
      <c r="CE1252" s="232"/>
      <c r="CF1252" s="232"/>
      <c r="CG1252" s="232"/>
      <c r="CH1252" s="232"/>
      <c r="CI1252" s="232"/>
      <c r="CJ1252" s="232"/>
      <c r="CK1252" s="232"/>
      <c r="CL1252" s="232"/>
      <c r="CM1252" s="232"/>
      <c r="CN1252" s="215"/>
      <c r="CO1252" s="215"/>
      <c r="CP1252" s="215"/>
      <c r="CQ1252" s="215"/>
      <c r="CR1252" s="215"/>
      <c r="CS1252" s="215"/>
      <c r="CT1252" s="215"/>
    </row>
    <row r="1253" ht="24.0" customHeight="1">
      <c r="A1253" s="287"/>
      <c r="B1253" s="287"/>
      <c r="C1253" s="287"/>
      <c r="D1253" s="232"/>
      <c r="E1253" s="232"/>
      <c r="F1253" s="232"/>
      <c r="G1253" s="232"/>
      <c r="H1253" s="232"/>
      <c r="I1253" s="232"/>
      <c r="J1253" s="232"/>
      <c r="K1253" s="232"/>
      <c r="L1253" s="232"/>
      <c r="M1253" s="232"/>
      <c r="N1253" s="289"/>
      <c r="O1253" s="232"/>
      <c r="P1253" s="232"/>
      <c r="Q1253" s="232"/>
      <c r="R1253" s="232"/>
      <c r="S1253" s="232"/>
      <c r="T1253" s="232"/>
      <c r="U1253" s="232"/>
      <c r="V1253" s="232"/>
      <c r="W1253" s="232"/>
      <c r="X1253" s="232"/>
      <c r="Y1253" s="232"/>
      <c r="Z1253" s="232"/>
      <c r="AA1253" s="232"/>
      <c r="AB1253" s="232"/>
      <c r="AC1253" s="232"/>
      <c r="AD1253" s="232"/>
      <c r="AE1253" s="232"/>
      <c r="AF1253" s="232"/>
      <c r="AG1253" s="232"/>
      <c r="AH1253" s="232"/>
      <c r="AI1253" s="232"/>
      <c r="AJ1253" s="232"/>
      <c r="AK1253" s="232"/>
      <c r="AL1253" s="232"/>
      <c r="AM1253" s="232"/>
      <c r="AN1253" s="232"/>
      <c r="AO1253" s="232"/>
      <c r="AP1253" s="232"/>
      <c r="AQ1253" s="232"/>
      <c r="AR1253" s="232"/>
      <c r="AS1253" s="232"/>
      <c r="AT1253" s="232"/>
      <c r="AU1253" s="232"/>
      <c r="AV1253" s="232"/>
      <c r="AW1253" s="232"/>
      <c r="AX1253" s="232"/>
      <c r="AY1253" s="232"/>
      <c r="AZ1253" s="232"/>
      <c r="BA1253" s="232"/>
      <c r="BB1253" s="232"/>
      <c r="BC1253" s="232"/>
      <c r="BD1253" s="232"/>
      <c r="BE1253" s="232"/>
      <c r="BF1253" s="232"/>
      <c r="BG1253" s="232"/>
      <c r="BH1253" s="232"/>
      <c r="BI1253" s="232"/>
      <c r="BJ1253" s="232"/>
      <c r="BK1253" s="232"/>
      <c r="BL1253" s="232"/>
      <c r="BM1253" s="232"/>
      <c r="BN1253" s="232"/>
      <c r="BO1253" s="232"/>
      <c r="BP1253" s="232"/>
      <c r="BQ1253" s="232"/>
      <c r="BR1253" s="232"/>
      <c r="BS1253" s="232"/>
      <c r="BT1253" s="232"/>
      <c r="BU1253" s="232"/>
      <c r="BV1253" s="232"/>
      <c r="BW1253" s="232"/>
      <c r="BX1253" s="232"/>
      <c r="BY1253" s="232"/>
      <c r="BZ1253" s="232"/>
      <c r="CA1253" s="232"/>
      <c r="CB1253" s="232"/>
      <c r="CC1253" s="232"/>
      <c r="CD1253" s="232"/>
      <c r="CE1253" s="232"/>
      <c r="CF1253" s="232"/>
      <c r="CG1253" s="232"/>
      <c r="CH1253" s="232"/>
      <c r="CI1253" s="232"/>
      <c r="CJ1253" s="232"/>
      <c r="CK1253" s="232"/>
      <c r="CL1253" s="232"/>
      <c r="CM1253" s="232"/>
      <c r="CN1253" s="215"/>
      <c r="CO1253" s="215"/>
      <c r="CP1253" s="215"/>
      <c r="CQ1253" s="215"/>
      <c r="CR1253" s="215"/>
      <c r="CS1253" s="215"/>
      <c r="CT1253" s="215"/>
    </row>
    <row r="1254" ht="24.0" customHeight="1">
      <c r="A1254" s="287"/>
      <c r="B1254" s="287"/>
      <c r="C1254" s="287"/>
      <c r="D1254" s="232"/>
      <c r="E1254" s="232"/>
      <c r="F1254" s="232"/>
      <c r="G1254" s="232"/>
      <c r="H1254" s="232"/>
      <c r="I1254" s="232"/>
      <c r="J1254" s="232"/>
      <c r="K1254" s="232"/>
      <c r="L1254" s="232"/>
      <c r="M1254" s="232"/>
      <c r="N1254" s="289"/>
      <c r="O1254" s="232"/>
      <c r="P1254" s="232"/>
      <c r="Q1254" s="232"/>
      <c r="R1254" s="232"/>
      <c r="S1254" s="232"/>
      <c r="T1254" s="232"/>
      <c r="U1254" s="232"/>
      <c r="V1254" s="232"/>
      <c r="W1254" s="232"/>
      <c r="X1254" s="232"/>
      <c r="Y1254" s="232"/>
      <c r="Z1254" s="232"/>
      <c r="AA1254" s="232"/>
      <c r="AB1254" s="232"/>
      <c r="AC1254" s="232"/>
      <c r="AD1254" s="232"/>
      <c r="AE1254" s="232"/>
      <c r="AF1254" s="232"/>
      <c r="AG1254" s="232"/>
      <c r="AH1254" s="232"/>
      <c r="AI1254" s="232"/>
      <c r="AJ1254" s="232"/>
      <c r="AK1254" s="232"/>
      <c r="AL1254" s="232"/>
      <c r="AM1254" s="232"/>
      <c r="AN1254" s="232"/>
      <c r="AO1254" s="232"/>
      <c r="AP1254" s="232"/>
      <c r="AQ1254" s="232"/>
      <c r="AR1254" s="232"/>
      <c r="AS1254" s="232"/>
      <c r="AT1254" s="232"/>
      <c r="AU1254" s="232"/>
      <c r="AV1254" s="232"/>
      <c r="AW1254" s="232"/>
      <c r="AX1254" s="232"/>
      <c r="AY1254" s="232"/>
      <c r="AZ1254" s="232"/>
      <c r="BA1254" s="232"/>
      <c r="BB1254" s="232"/>
      <c r="BC1254" s="232"/>
      <c r="BD1254" s="232"/>
      <c r="BE1254" s="232"/>
      <c r="BF1254" s="232"/>
      <c r="BG1254" s="232"/>
      <c r="BH1254" s="232"/>
      <c r="BI1254" s="232"/>
      <c r="BJ1254" s="232"/>
      <c r="BK1254" s="232"/>
      <c r="BL1254" s="232"/>
      <c r="BM1254" s="232"/>
      <c r="BN1254" s="232"/>
      <c r="BO1254" s="232"/>
      <c r="BP1254" s="232"/>
      <c r="BQ1254" s="232"/>
      <c r="BR1254" s="232"/>
      <c r="BS1254" s="232"/>
      <c r="BT1254" s="232"/>
      <c r="BU1254" s="232"/>
      <c r="BV1254" s="232"/>
      <c r="BW1254" s="232"/>
      <c r="BX1254" s="232"/>
      <c r="BY1254" s="232"/>
      <c r="BZ1254" s="232"/>
      <c r="CA1254" s="232"/>
      <c r="CB1254" s="232"/>
      <c r="CC1254" s="232"/>
      <c r="CD1254" s="232"/>
      <c r="CE1254" s="232"/>
      <c r="CF1254" s="232"/>
      <c r="CG1254" s="232"/>
      <c r="CH1254" s="232"/>
      <c r="CI1254" s="232"/>
      <c r="CJ1254" s="232"/>
      <c r="CK1254" s="232"/>
      <c r="CL1254" s="232"/>
      <c r="CM1254" s="232"/>
      <c r="CN1254" s="215"/>
      <c r="CO1254" s="215"/>
      <c r="CP1254" s="215"/>
      <c r="CQ1254" s="215"/>
      <c r="CR1254" s="215"/>
      <c r="CS1254" s="215"/>
      <c r="CT1254" s="215"/>
    </row>
    <row r="1255" ht="24.0" customHeight="1">
      <c r="A1255" s="287"/>
      <c r="B1255" s="287"/>
      <c r="C1255" s="287"/>
      <c r="D1255" s="232"/>
      <c r="E1255" s="232"/>
      <c r="F1255" s="232"/>
      <c r="G1255" s="232"/>
      <c r="H1255" s="232"/>
      <c r="I1255" s="232"/>
      <c r="J1255" s="232"/>
      <c r="K1255" s="232"/>
      <c r="L1255" s="232"/>
      <c r="M1255" s="232"/>
      <c r="N1255" s="289"/>
      <c r="O1255" s="232"/>
      <c r="P1255" s="232"/>
      <c r="Q1255" s="232"/>
      <c r="R1255" s="232"/>
      <c r="S1255" s="232"/>
      <c r="T1255" s="232"/>
      <c r="U1255" s="232"/>
      <c r="V1255" s="232"/>
      <c r="W1255" s="232"/>
      <c r="X1255" s="232"/>
      <c r="Y1255" s="232"/>
      <c r="Z1255" s="232"/>
      <c r="AA1255" s="232"/>
      <c r="AB1255" s="232"/>
      <c r="AC1255" s="232"/>
      <c r="AD1255" s="232"/>
      <c r="AE1255" s="232"/>
      <c r="AF1255" s="232"/>
      <c r="AG1255" s="232"/>
      <c r="AH1255" s="232"/>
      <c r="AI1255" s="232"/>
      <c r="AJ1255" s="232"/>
      <c r="AK1255" s="232"/>
      <c r="AL1255" s="232"/>
      <c r="AM1255" s="232"/>
      <c r="AN1255" s="232"/>
      <c r="AO1255" s="232"/>
      <c r="AP1255" s="232"/>
      <c r="AQ1255" s="232"/>
      <c r="AR1255" s="232"/>
      <c r="AS1255" s="232"/>
      <c r="AT1255" s="232"/>
      <c r="AU1255" s="232"/>
      <c r="AV1255" s="232"/>
      <c r="AW1255" s="232"/>
      <c r="AX1255" s="232"/>
      <c r="AY1255" s="232"/>
      <c r="AZ1255" s="232"/>
      <c r="BA1255" s="232"/>
      <c r="BB1255" s="232"/>
      <c r="BC1255" s="232"/>
      <c r="BD1255" s="232"/>
      <c r="BE1255" s="232"/>
      <c r="BF1255" s="232"/>
      <c r="BG1255" s="232"/>
      <c r="BH1255" s="232"/>
      <c r="BI1255" s="232"/>
      <c r="BJ1255" s="232"/>
      <c r="BK1255" s="232"/>
      <c r="BL1255" s="232"/>
      <c r="BM1255" s="232"/>
      <c r="BN1255" s="232"/>
      <c r="BO1255" s="232"/>
      <c r="BP1255" s="232"/>
      <c r="BQ1255" s="232"/>
      <c r="BR1255" s="232"/>
      <c r="BS1255" s="232"/>
      <c r="BT1255" s="232"/>
      <c r="BU1255" s="232"/>
      <c r="BV1255" s="232"/>
      <c r="BW1255" s="232"/>
      <c r="BX1255" s="232"/>
      <c r="BY1255" s="232"/>
      <c r="BZ1255" s="232"/>
      <c r="CA1255" s="232"/>
      <c r="CB1255" s="232"/>
      <c r="CC1255" s="232"/>
      <c r="CD1255" s="232"/>
      <c r="CE1255" s="232"/>
      <c r="CF1255" s="232"/>
      <c r="CG1255" s="232"/>
      <c r="CH1255" s="232"/>
      <c r="CI1255" s="232"/>
      <c r="CJ1255" s="232"/>
      <c r="CK1255" s="232"/>
      <c r="CL1255" s="232"/>
      <c r="CM1255" s="232"/>
      <c r="CN1255" s="215"/>
      <c r="CO1255" s="215"/>
      <c r="CP1255" s="215"/>
      <c r="CQ1255" s="215"/>
      <c r="CR1255" s="215"/>
      <c r="CS1255" s="215"/>
      <c r="CT1255" s="215"/>
    </row>
    <row r="1256" ht="24.0" customHeight="1">
      <c r="A1256" s="287"/>
      <c r="B1256" s="287"/>
      <c r="C1256" s="287"/>
      <c r="D1256" s="232"/>
      <c r="E1256" s="232"/>
      <c r="F1256" s="232"/>
      <c r="G1256" s="232"/>
      <c r="H1256" s="232"/>
      <c r="I1256" s="232"/>
      <c r="J1256" s="232"/>
      <c r="K1256" s="232"/>
      <c r="L1256" s="232"/>
      <c r="M1256" s="232"/>
      <c r="N1256" s="289"/>
      <c r="O1256" s="232"/>
      <c r="P1256" s="232"/>
      <c r="Q1256" s="232"/>
      <c r="R1256" s="232"/>
      <c r="S1256" s="232"/>
      <c r="T1256" s="232"/>
      <c r="U1256" s="232"/>
      <c r="V1256" s="232"/>
      <c r="W1256" s="232"/>
      <c r="X1256" s="232"/>
      <c r="Y1256" s="232"/>
      <c r="Z1256" s="232"/>
      <c r="AA1256" s="232"/>
      <c r="AB1256" s="232"/>
      <c r="AC1256" s="232"/>
      <c r="AD1256" s="232"/>
      <c r="AE1256" s="232"/>
      <c r="AF1256" s="232"/>
      <c r="AG1256" s="232"/>
      <c r="AH1256" s="232"/>
      <c r="AI1256" s="232"/>
      <c r="AJ1256" s="232"/>
      <c r="AK1256" s="232"/>
      <c r="AL1256" s="232"/>
      <c r="AM1256" s="232"/>
      <c r="AN1256" s="232"/>
      <c r="AO1256" s="232"/>
      <c r="AP1256" s="232"/>
      <c r="AQ1256" s="232"/>
      <c r="AR1256" s="232"/>
      <c r="AS1256" s="232"/>
      <c r="AT1256" s="232"/>
      <c r="AU1256" s="232"/>
      <c r="AV1256" s="232"/>
      <c r="AW1256" s="232"/>
      <c r="AX1256" s="232"/>
      <c r="AY1256" s="232"/>
      <c r="AZ1256" s="232"/>
      <c r="BA1256" s="232"/>
      <c r="BB1256" s="232"/>
      <c r="BC1256" s="232"/>
      <c r="BD1256" s="232"/>
      <c r="BE1256" s="232"/>
      <c r="BF1256" s="232"/>
      <c r="BG1256" s="232"/>
      <c r="BH1256" s="232"/>
      <c r="BI1256" s="232"/>
      <c r="BJ1256" s="232"/>
      <c r="BK1256" s="232"/>
      <c r="BL1256" s="232"/>
      <c r="BM1256" s="232"/>
      <c r="BN1256" s="232"/>
      <c r="BO1256" s="232"/>
      <c r="BP1256" s="232"/>
      <c r="BQ1256" s="232"/>
      <c r="BR1256" s="232"/>
      <c r="BS1256" s="232"/>
      <c r="BT1256" s="232"/>
      <c r="BU1256" s="232"/>
      <c r="BV1256" s="232"/>
      <c r="BW1256" s="232"/>
      <c r="BX1256" s="232"/>
      <c r="BY1256" s="232"/>
      <c r="BZ1256" s="232"/>
      <c r="CA1256" s="232"/>
      <c r="CB1256" s="232"/>
      <c r="CC1256" s="232"/>
      <c r="CD1256" s="232"/>
      <c r="CE1256" s="232"/>
      <c r="CF1256" s="232"/>
      <c r="CG1256" s="232"/>
      <c r="CH1256" s="232"/>
      <c r="CI1256" s="232"/>
      <c r="CJ1256" s="232"/>
      <c r="CK1256" s="232"/>
      <c r="CL1256" s="232"/>
      <c r="CM1256" s="232"/>
      <c r="CN1256" s="215"/>
      <c r="CO1256" s="215"/>
      <c r="CP1256" s="215"/>
      <c r="CQ1256" s="215"/>
      <c r="CR1256" s="215"/>
      <c r="CS1256" s="215"/>
      <c r="CT1256" s="215"/>
    </row>
    <row r="1257" ht="24.0" customHeight="1">
      <c r="A1257" s="287"/>
      <c r="B1257" s="287"/>
      <c r="C1257" s="287"/>
      <c r="D1257" s="232"/>
      <c r="E1257" s="232"/>
      <c r="F1257" s="232"/>
      <c r="G1257" s="232"/>
      <c r="H1257" s="232"/>
      <c r="I1257" s="232"/>
      <c r="J1257" s="232"/>
      <c r="K1257" s="232"/>
      <c r="L1257" s="232"/>
      <c r="M1257" s="232"/>
      <c r="N1257" s="289"/>
      <c r="O1257" s="232"/>
      <c r="P1257" s="232"/>
      <c r="Q1257" s="232"/>
      <c r="R1257" s="232"/>
      <c r="S1257" s="232"/>
      <c r="T1257" s="232"/>
      <c r="U1257" s="232"/>
      <c r="V1257" s="232"/>
      <c r="W1257" s="232"/>
      <c r="X1257" s="232"/>
      <c r="Y1257" s="232"/>
      <c r="Z1257" s="232"/>
      <c r="AA1257" s="232"/>
      <c r="AB1257" s="232"/>
      <c r="AC1257" s="232"/>
      <c r="AD1257" s="232"/>
      <c r="AE1257" s="232"/>
      <c r="AF1257" s="232"/>
      <c r="AG1257" s="232"/>
      <c r="AH1257" s="232"/>
      <c r="AI1257" s="232"/>
      <c r="AJ1257" s="232"/>
      <c r="AK1257" s="232"/>
      <c r="AL1257" s="232"/>
      <c r="AM1257" s="232"/>
      <c r="AN1257" s="232"/>
      <c r="AO1257" s="232"/>
      <c r="AP1257" s="232"/>
      <c r="AQ1257" s="232"/>
      <c r="AR1257" s="232"/>
      <c r="AS1257" s="232"/>
      <c r="AT1257" s="232"/>
      <c r="AU1257" s="232"/>
      <c r="AV1257" s="232"/>
      <c r="AW1257" s="232"/>
      <c r="AX1257" s="232"/>
      <c r="AY1257" s="232"/>
      <c r="AZ1257" s="232"/>
      <c r="BA1257" s="232"/>
      <c r="BB1257" s="232"/>
      <c r="BC1257" s="232"/>
      <c r="BD1257" s="232"/>
      <c r="BE1257" s="232"/>
      <c r="BF1257" s="232"/>
      <c r="BG1257" s="232"/>
      <c r="BH1257" s="232"/>
      <c r="BI1257" s="232"/>
      <c r="BJ1257" s="232"/>
      <c r="BK1257" s="232"/>
      <c r="BL1257" s="232"/>
      <c r="BM1257" s="232"/>
      <c r="BN1257" s="232"/>
      <c r="BO1257" s="232"/>
      <c r="BP1257" s="232"/>
      <c r="BQ1257" s="232"/>
      <c r="BR1257" s="232"/>
      <c r="BS1257" s="232"/>
      <c r="BT1257" s="232"/>
      <c r="BU1257" s="232"/>
      <c r="BV1257" s="232"/>
      <c r="BW1257" s="232"/>
      <c r="BX1257" s="232"/>
      <c r="BY1257" s="232"/>
      <c r="BZ1257" s="232"/>
      <c r="CA1257" s="232"/>
      <c r="CB1257" s="232"/>
      <c r="CC1257" s="232"/>
      <c r="CD1257" s="232"/>
      <c r="CE1257" s="232"/>
      <c r="CF1257" s="232"/>
      <c r="CG1257" s="232"/>
      <c r="CH1257" s="232"/>
      <c r="CI1257" s="232"/>
      <c r="CJ1257" s="232"/>
      <c r="CK1257" s="232"/>
      <c r="CL1257" s="232"/>
      <c r="CM1257" s="232"/>
      <c r="CN1257" s="215"/>
      <c r="CO1257" s="215"/>
      <c r="CP1257" s="215"/>
      <c r="CQ1257" s="215"/>
      <c r="CR1257" s="215"/>
      <c r="CS1257" s="215"/>
      <c r="CT1257" s="215"/>
    </row>
    <row r="1258" ht="24.0" customHeight="1">
      <c r="A1258" s="287"/>
      <c r="B1258" s="287"/>
      <c r="C1258" s="287"/>
      <c r="D1258" s="232"/>
      <c r="E1258" s="232"/>
      <c r="F1258" s="232"/>
      <c r="G1258" s="232"/>
      <c r="H1258" s="232"/>
      <c r="I1258" s="232"/>
      <c r="J1258" s="232"/>
      <c r="K1258" s="232"/>
      <c r="L1258" s="232"/>
      <c r="M1258" s="232"/>
      <c r="N1258" s="289"/>
      <c r="O1258" s="232"/>
      <c r="P1258" s="232"/>
      <c r="Q1258" s="232"/>
      <c r="R1258" s="232"/>
      <c r="S1258" s="232"/>
      <c r="T1258" s="232"/>
      <c r="U1258" s="232"/>
      <c r="V1258" s="232"/>
      <c r="W1258" s="232"/>
      <c r="X1258" s="232"/>
      <c r="Y1258" s="232"/>
      <c r="Z1258" s="232"/>
      <c r="AA1258" s="232"/>
      <c r="AB1258" s="232"/>
      <c r="AC1258" s="232"/>
      <c r="AD1258" s="232"/>
      <c r="AE1258" s="232"/>
      <c r="AF1258" s="232"/>
      <c r="AG1258" s="232"/>
      <c r="AH1258" s="232"/>
      <c r="AI1258" s="232"/>
      <c r="AJ1258" s="232"/>
      <c r="AK1258" s="232"/>
      <c r="AL1258" s="232"/>
      <c r="AM1258" s="232"/>
      <c r="AN1258" s="232"/>
      <c r="AO1258" s="232"/>
      <c r="AP1258" s="232"/>
      <c r="AQ1258" s="232"/>
      <c r="AR1258" s="232"/>
      <c r="AS1258" s="232"/>
      <c r="AT1258" s="232"/>
      <c r="AU1258" s="232"/>
      <c r="AV1258" s="232"/>
      <c r="AW1258" s="232"/>
      <c r="AX1258" s="232"/>
      <c r="AY1258" s="232"/>
      <c r="AZ1258" s="232"/>
      <c r="BA1258" s="232"/>
      <c r="BB1258" s="232"/>
      <c r="BC1258" s="232"/>
      <c r="BD1258" s="232"/>
      <c r="BE1258" s="232"/>
      <c r="BF1258" s="232"/>
      <c r="BG1258" s="232"/>
      <c r="BH1258" s="232"/>
      <c r="BI1258" s="232"/>
      <c r="BJ1258" s="232"/>
      <c r="BK1258" s="232"/>
      <c r="BL1258" s="232"/>
      <c r="BM1258" s="232"/>
      <c r="BN1258" s="232"/>
      <c r="BO1258" s="232"/>
      <c r="BP1258" s="232"/>
      <c r="BQ1258" s="232"/>
      <c r="BR1258" s="232"/>
      <c r="BS1258" s="232"/>
      <c r="BT1258" s="232"/>
      <c r="BU1258" s="232"/>
      <c r="BV1258" s="232"/>
      <c r="BW1258" s="232"/>
      <c r="BX1258" s="232"/>
      <c r="BY1258" s="232"/>
      <c r="BZ1258" s="232"/>
      <c r="CA1258" s="232"/>
      <c r="CB1258" s="232"/>
      <c r="CC1258" s="232"/>
      <c r="CD1258" s="232"/>
      <c r="CE1258" s="232"/>
      <c r="CF1258" s="232"/>
      <c r="CG1258" s="232"/>
      <c r="CH1258" s="232"/>
      <c r="CI1258" s="232"/>
      <c r="CJ1258" s="232"/>
      <c r="CK1258" s="232"/>
      <c r="CL1258" s="232"/>
      <c r="CM1258" s="232"/>
      <c r="CN1258" s="215"/>
      <c r="CO1258" s="215"/>
      <c r="CP1258" s="215"/>
      <c r="CQ1258" s="215"/>
      <c r="CR1258" s="215"/>
      <c r="CS1258" s="215"/>
      <c r="CT1258" s="215"/>
    </row>
    <row r="1259" ht="24.0" customHeight="1">
      <c r="A1259" s="287"/>
      <c r="B1259" s="287"/>
      <c r="C1259" s="287"/>
      <c r="D1259" s="232"/>
      <c r="E1259" s="232"/>
      <c r="F1259" s="232"/>
      <c r="G1259" s="232"/>
      <c r="H1259" s="232"/>
      <c r="I1259" s="232"/>
      <c r="J1259" s="232"/>
      <c r="K1259" s="232"/>
      <c r="L1259" s="232"/>
      <c r="M1259" s="232"/>
      <c r="N1259" s="289"/>
      <c r="O1259" s="232"/>
      <c r="P1259" s="232"/>
      <c r="Q1259" s="232"/>
      <c r="R1259" s="232"/>
      <c r="S1259" s="232"/>
      <c r="T1259" s="232"/>
      <c r="U1259" s="232"/>
      <c r="V1259" s="232"/>
      <c r="W1259" s="232"/>
      <c r="X1259" s="232"/>
      <c r="Y1259" s="232"/>
      <c r="Z1259" s="232"/>
      <c r="AA1259" s="232"/>
      <c r="AB1259" s="232"/>
      <c r="AC1259" s="232"/>
      <c r="AD1259" s="232"/>
      <c r="AE1259" s="232"/>
      <c r="AF1259" s="232"/>
      <c r="AG1259" s="232"/>
      <c r="AH1259" s="232"/>
      <c r="AI1259" s="232"/>
      <c r="AJ1259" s="232"/>
      <c r="AK1259" s="232"/>
      <c r="AL1259" s="232"/>
      <c r="AM1259" s="232"/>
      <c r="AN1259" s="232"/>
      <c r="AO1259" s="232"/>
      <c r="AP1259" s="232"/>
      <c r="AQ1259" s="232"/>
      <c r="AR1259" s="232"/>
      <c r="AS1259" s="232"/>
      <c r="AT1259" s="232"/>
      <c r="AU1259" s="232"/>
      <c r="AV1259" s="232"/>
      <c r="AW1259" s="232"/>
      <c r="AX1259" s="232"/>
      <c r="AY1259" s="232"/>
      <c r="AZ1259" s="232"/>
      <c r="BA1259" s="232"/>
      <c r="BB1259" s="232"/>
      <c r="BC1259" s="232"/>
      <c r="BD1259" s="232"/>
      <c r="BE1259" s="232"/>
      <c r="BF1259" s="232"/>
      <c r="BG1259" s="232"/>
      <c r="BH1259" s="232"/>
      <c r="BI1259" s="232"/>
      <c r="BJ1259" s="232"/>
      <c r="BK1259" s="232"/>
      <c r="BL1259" s="232"/>
      <c r="BM1259" s="232"/>
      <c r="BN1259" s="232"/>
      <c r="BO1259" s="232"/>
      <c r="BP1259" s="232"/>
      <c r="BQ1259" s="232"/>
      <c r="BR1259" s="232"/>
      <c r="BS1259" s="232"/>
      <c r="BT1259" s="232"/>
      <c r="BU1259" s="232"/>
      <c r="BV1259" s="232"/>
      <c r="BW1259" s="232"/>
      <c r="BX1259" s="232"/>
      <c r="BY1259" s="232"/>
      <c r="BZ1259" s="232"/>
      <c r="CA1259" s="232"/>
      <c r="CB1259" s="232"/>
      <c r="CC1259" s="232"/>
      <c r="CD1259" s="232"/>
      <c r="CE1259" s="232"/>
      <c r="CF1259" s="232"/>
      <c r="CG1259" s="232"/>
      <c r="CH1259" s="232"/>
      <c r="CI1259" s="232"/>
      <c r="CJ1259" s="232"/>
      <c r="CK1259" s="232"/>
      <c r="CL1259" s="232"/>
      <c r="CM1259" s="232"/>
      <c r="CN1259" s="215"/>
      <c r="CO1259" s="215"/>
      <c r="CP1259" s="215"/>
      <c r="CQ1259" s="215"/>
      <c r="CR1259" s="215"/>
      <c r="CS1259" s="215"/>
      <c r="CT1259" s="215"/>
    </row>
    <row r="1260" ht="24.0" customHeight="1">
      <c r="A1260" s="287"/>
      <c r="B1260" s="287"/>
      <c r="C1260" s="287"/>
      <c r="D1260" s="232"/>
      <c r="E1260" s="232"/>
      <c r="F1260" s="232"/>
      <c r="G1260" s="232"/>
      <c r="H1260" s="232"/>
      <c r="I1260" s="232"/>
      <c r="J1260" s="232"/>
      <c r="K1260" s="232"/>
      <c r="L1260" s="232"/>
      <c r="M1260" s="232"/>
      <c r="N1260" s="289"/>
      <c r="O1260" s="232"/>
      <c r="P1260" s="232"/>
      <c r="Q1260" s="232"/>
      <c r="R1260" s="232"/>
      <c r="S1260" s="232"/>
      <c r="T1260" s="232"/>
      <c r="U1260" s="232"/>
      <c r="V1260" s="232"/>
      <c r="W1260" s="232"/>
      <c r="X1260" s="232"/>
      <c r="Y1260" s="232"/>
      <c r="Z1260" s="232"/>
      <c r="AA1260" s="232"/>
      <c r="AB1260" s="232"/>
      <c r="AC1260" s="232"/>
      <c r="AD1260" s="232"/>
      <c r="AE1260" s="232"/>
      <c r="AF1260" s="232"/>
      <c r="AG1260" s="232"/>
      <c r="AH1260" s="232"/>
      <c r="AI1260" s="232"/>
      <c r="AJ1260" s="232"/>
      <c r="AK1260" s="232"/>
      <c r="AL1260" s="232"/>
      <c r="AM1260" s="232"/>
      <c r="AN1260" s="232"/>
      <c r="AO1260" s="232"/>
      <c r="AP1260" s="232"/>
      <c r="AQ1260" s="232"/>
      <c r="AR1260" s="232"/>
      <c r="AS1260" s="232"/>
      <c r="AT1260" s="232"/>
      <c r="AU1260" s="232"/>
      <c r="AV1260" s="232"/>
      <c r="AW1260" s="232"/>
      <c r="AX1260" s="232"/>
      <c r="AY1260" s="232"/>
      <c r="AZ1260" s="232"/>
      <c r="BA1260" s="232"/>
      <c r="BB1260" s="232"/>
      <c r="BC1260" s="232"/>
      <c r="BD1260" s="232"/>
      <c r="BE1260" s="232"/>
      <c r="BF1260" s="232"/>
      <c r="BG1260" s="232"/>
      <c r="BH1260" s="232"/>
      <c r="BI1260" s="232"/>
      <c r="BJ1260" s="232"/>
      <c r="BK1260" s="232"/>
      <c r="BL1260" s="232"/>
      <c r="BM1260" s="232"/>
      <c r="BN1260" s="232"/>
      <c r="BO1260" s="232"/>
      <c r="BP1260" s="232"/>
      <c r="BQ1260" s="232"/>
      <c r="BR1260" s="232"/>
      <c r="BS1260" s="232"/>
      <c r="BT1260" s="232"/>
      <c r="BU1260" s="232"/>
      <c r="BV1260" s="232"/>
      <c r="BW1260" s="232"/>
      <c r="BX1260" s="232"/>
      <c r="BY1260" s="232"/>
      <c r="BZ1260" s="232"/>
      <c r="CA1260" s="232"/>
      <c r="CB1260" s="232"/>
      <c r="CC1260" s="232"/>
      <c r="CD1260" s="232"/>
      <c r="CE1260" s="232"/>
      <c r="CF1260" s="232"/>
      <c r="CG1260" s="232"/>
      <c r="CH1260" s="232"/>
      <c r="CI1260" s="232"/>
      <c r="CJ1260" s="232"/>
      <c r="CK1260" s="232"/>
      <c r="CL1260" s="232"/>
      <c r="CM1260" s="232"/>
      <c r="CN1260" s="215"/>
      <c r="CO1260" s="215"/>
      <c r="CP1260" s="215"/>
      <c r="CQ1260" s="215"/>
      <c r="CR1260" s="215"/>
      <c r="CS1260" s="215"/>
      <c r="CT1260" s="215"/>
    </row>
    <row r="1261" ht="24.0" customHeight="1">
      <c r="A1261" s="287"/>
      <c r="B1261" s="287"/>
      <c r="C1261" s="287"/>
      <c r="D1261" s="232"/>
      <c r="E1261" s="232"/>
      <c r="F1261" s="232"/>
      <c r="G1261" s="232"/>
      <c r="H1261" s="232"/>
      <c r="I1261" s="232"/>
      <c r="J1261" s="232"/>
      <c r="K1261" s="232"/>
      <c r="L1261" s="232"/>
      <c r="M1261" s="232"/>
      <c r="N1261" s="289"/>
      <c r="O1261" s="232"/>
      <c r="P1261" s="232"/>
      <c r="Q1261" s="232"/>
      <c r="R1261" s="232"/>
      <c r="S1261" s="232"/>
      <c r="T1261" s="232"/>
      <c r="U1261" s="232"/>
      <c r="V1261" s="232"/>
      <c r="W1261" s="232"/>
      <c r="X1261" s="232"/>
      <c r="Y1261" s="232"/>
      <c r="Z1261" s="232"/>
      <c r="AA1261" s="232"/>
      <c r="AB1261" s="232"/>
      <c r="AC1261" s="232"/>
      <c r="AD1261" s="232"/>
      <c r="AE1261" s="232"/>
      <c r="AF1261" s="232"/>
      <c r="AG1261" s="232"/>
      <c r="AH1261" s="232"/>
      <c r="AI1261" s="232"/>
      <c r="AJ1261" s="232"/>
      <c r="AK1261" s="232"/>
      <c r="AL1261" s="232"/>
      <c r="AM1261" s="232"/>
      <c r="AN1261" s="232"/>
      <c r="AO1261" s="232"/>
      <c r="AP1261" s="232"/>
      <c r="AQ1261" s="232"/>
      <c r="AR1261" s="232"/>
      <c r="AS1261" s="232"/>
      <c r="AT1261" s="232"/>
      <c r="AU1261" s="232"/>
      <c r="AV1261" s="232"/>
      <c r="AW1261" s="232"/>
      <c r="AX1261" s="232"/>
      <c r="AY1261" s="232"/>
      <c r="AZ1261" s="232"/>
      <c r="BA1261" s="232"/>
      <c r="BB1261" s="232"/>
      <c r="BC1261" s="232"/>
      <c r="BD1261" s="232"/>
      <c r="BE1261" s="232"/>
      <c r="BF1261" s="232"/>
      <c r="BG1261" s="232"/>
      <c r="BH1261" s="232"/>
      <c r="BI1261" s="232"/>
      <c r="BJ1261" s="232"/>
      <c r="BK1261" s="232"/>
      <c r="BL1261" s="232"/>
      <c r="BM1261" s="232"/>
      <c r="BN1261" s="232"/>
      <c r="BO1261" s="232"/>
      <c r="BP1261" s="232"/>
      <c r="BQ1261" s="232"/>
      <c r="BR1261" s="232"/>
      <c r="BS1261" s="232"/>
      <c r="BT1261" s="232"/>
      <c r="BU1261" s="232"/>
      <c r="BV1261" s="232"/>
      <c r="BW1261" s="232"/>
      <c r="BX1261" s="232"/>
      <c r="BY1261" s="232"/>
      <c r="BZ1261" s="232"/>
      <c r="CA1261" s="232"/>
      <c r="CB1261" s="232"/>
      <c r="CC1261" s="232"/>
      <c r="CD1261" s="232"/>
      <c r="CE1261" s="232"/>
      <c r="CF1261" s="232"/>
      <c r="CG1261" s="232"/>
      <c r="CH1261" s="232"/>
      <c r="CI1261" s="232"/>
      <c r="CJ1261" s="232"/>
      <c r="CK1261" s="232"/>
      <c r="CL1261" s="232"/>
      <c r="CM1261" s="232"/>
      <c r="CN1261" s="215"/>
      <c r="CO1261" s="215"/>
      <c r="CP1261" s="215"/>
      <c r="CQ1261" s="215"/>
      <c r="CR1261" s="215"/>
      <c r="CS1261" s="215"/>
      <c r="CT1261" s="215"/>
    </row>
    <row r="1262" ht="24.0" customHeight="1">
      <c r="A1262" s="287"/>
      <c r="B1262" s="287"/>
      <c r="C1262" s="287"/>
      <c r="D1262" s="232"/>
      <c r="E1262" s="232"/>
      <c r="F1262" s="232"/>
      <c r="G1262" s="232"/>
      <c r="H1262" s="232"/>
      <c r="I1262" s="232"/>
      <c r="J1262" s="232"/>
      <c r="K1262" s="232"/>
      <c r="L1262" s="232"/>
      <c r="M1262" s="232"/>
      <c r="N1262" s="289"/>
      <c r="O1262" s="232"/>
      <c r="P1262" s="232"/>
      <c r="Q1262" s="232"/>
      <c r="R1262" s="232"/>
      <c r="S1262" s="232"/>
      <c r="T1262" s="232"/>
      <c r="U1262" s="232"/>
      <c r="V1262" s="232"/>
      <c r="W1262" s="232"/>
      <c r="X1262" s="232"/>
      <c r="Y1262" s="232"/>
      <c r="Z1262" s="232"/>
      <c r="AA1262" s="232"/>
      <c r="AB1262" s="232"/>
      <c r="AC1262" s="232"/>
      <c r="AD1262" s="232"/>
      <c r="AE1262" s="232"/>
      <c r="AF1262" s="232"/>
      <c r="AG1262" s="232"/>
      <c r="AH1262" s="232"/>
      <c r="AI1262" s="232"/>
      <c r="AJ1262" s="232"/>
      <c r="AK1262" s="232"/>
      <c r="AL1262" s="232"/>
      <c r="AM1262" s="232"/>
      <c r="AN1262" s="232"/>
      <c r="AO1262" s="232"/>
      <c r="AP1262" s="232"/>
      <c r="AQ1262" s="232"/>
      <c r="AR1262" s="232"/>
      <c r="AS1262" s="232"/>
      <c r="AT1262" s="232"/>
      <c r="AU1262" s="232"/>
      <c r="AV1262" s="232"/>
      <c r="AW1262" s="232"/>
      <c r="AX1262" s="232"/>
      <c r="AY1262" s="232"/>
      <c r="AZ1262" s="232"/>
      <c r="BA1262" s="232"/>
      <c r="BB1262" s="232"/>
      <c r="BC1262" s="232"/>
      <c r="BD1262" s="232"/>
      <c r="BE1262" s="232"/>
      <c r="BF1262" s="232"/>
      <c r="BG1262" s="232"/>
      <c r="BH1262" s="232"/>
      <c r="BI1262" s="232"/>
      <c r="BJ1262" s="232"/>
      <c r="BK1262" s="232"/>
      <c r="BL1262" s="232"/>
      <c r="BM1262" s="232"/>
      <c r="BN1262" s="232"/>
      <c r="BO1262" s="232"/>
      <c r="BP1262" s="232"/>
      <c r="BQ1262" s="232"/>
      <c r="BR1262" s="232"/>
      <c r="BS1262" s="232"/>
      <c r="BT1262" s="232"/>
      <c r="BU1262" s="232"/>
      <c r="BV1262" s="232"/>
      <c r="BW1262" s="232"/>
      <c r="BX1262" s="232"/>
      <c r="BY1262" s="232"/>
      <c r="BZ1262" s="232"/>
      <c r="CA1262" s="232"/>
      <c r="CB1262" s="232"/>
      <c r="CC1262" s="232"/>
      <c r="CD1262" s="232"/>
      <c r="CE1262" s="232"/>
      <c r="CF1262" s="232"/>
      <c r="CG1262" s="232"/>
      <c r="CH1262" s="232"/>
      <c r="CI1262" s="232"/>
      <c r="CJ1262" s="232"/>
      <c r="CK1262" s="232"/>
      <c r="CL1262" s="232"/>
      <c r="CM1262" s="232"/>
      <c r="CN1262" s="215"/>
      <c r="CO1262" s="215"/>
      <c r="CP1262" s="215"/>
      <c r="CQ1262" s="215"/>
      <c r="CR1262" s="215"/>
      <c r="CS1262" s="215"/>
      <c r="CT1262" s="215"/>
    </row>
    <row r="1263" ht="24.0" customHeight="1">
      <c r="A1263" s="287"/>
      <c r="B1263" s="287"/>
      <c r="C1263" s="287"/>
      <c r="D1263" s="232"/>
      <c r="E1263" s="232"/>
      <c r="F1263" s="232"/>
      <c r="G1263" s="232"/>
      <c r="H1263" s="232"/>
      <c r="I1263" s="232"/>
      <c r="J1263" s="232"/>
      <c r="K1263" s="232"/>
      <c r="L1263" s="232"/>
      <c r="M1263" s="232"/>
      <c r="N1263" s="289"/>
      <c r="O1263" s="232"/>
      <c r="P1263" s="232"/>
      <c r="Q1263" s="232"/>
      <c r="R1263" s="232"/>
      <c r="S1263" s="232"/>
      <c r="T1263" s="232"/>
      <c r="U1263" s="232"/>
      <c r="V1263" s="232"/>
      <c r="W1263" s="232"/>
      <c r="X1263" s="232"/>
      <c r="Y1263" s="232"/>
      <c r="Z1263" s="232"/>
      <c r="AA1263" s="232"/>
      <c r="AB1263" s="232"/>
      <c r="AC1263" s="232"/>
      <c r="AD1263" s="232"/>
      <c r="AE1263" s="232"/>
      <c r="AF1263" s="232"/>
      <c r="AG1263" s="232"/>
      <c r="AH1263" s="232"/>
      <c r="AI1263" s="232"/>
      <c r="AJ1263" s="232"/>
      <c r="AK1263" s="232"/>
      <c r="AL1263" s="232"/>
      <c r="AM1263" s="232"/>
      <c r="AN1263" s="232"/>
      <c r="AO1263" s="232"/>
      <c r="AP1263" s="232"/>
      <c r="AQ1263" s="232"/>
      <c r="AR1263" s="232"/>
      <c r="AS1263" s="232"/>
      <c r="AT1263" s="232"/>
      <c r="AU1263" s="232"/>
      <c r="AV1263" s="232"/>
      <c r="AW1263" s="232"/>
      <c r="AX1263" s="232"/>
      <c r="AY1263" s="232"/>
      <c r="AZ1263" s="232"/>
      <c r="BA1263" s="232"/>
      <c r="BB1263" s="232"/>
      <c r="BC1263" s="232"/>
      <c r="BD1263" s="232"/>
      <c r="BE1263" s="232"/>
      <c r="BF1263" s="232"/>
      <c r="BG1263" s="232"/>
      <c r="BH1263" s="232"/>
      <c r="BI1263" s="232"/>
      <c r="BJ1263" s="232"/>
      <c r="BK1263" s="232"/>
      <c r="BL1263" s="232"/>
      <c r="BM1263" s="232"/>
      <c r="BN1263" s="232"/>
      <c r="BO1263" s="232"/>
      <c r="BP1263" s="232"/>
      <c r="BQ1263" s="232"/>
      <c r="BR1263" s="232"/>
      <c r="BS1263" s="232"/>
      <c r="BT1263" s="232"/>
      <c r="BU1263" s="232"/>
      <c r="BV1263" s="232"/>
      <c r="BW1263" s="232"/>
      <c r="BX1263" s="232"/>
      <c r="BY1263" s="232"/>
      <c r="BZ1263" s="232"/>
      <c r="CA1263" s="232"/>
      <c r="CB1263" s="232"/>
      <c r="CC1263" s="232"/>
      <c r="CD1263" s="232"/>
      <c r="CE1263" s="232"/>
      <c r="CF1263" s="232"/>
      <c r="CG1263" s="232"/>
      <c r="CH1263" s="232"/>
      <c r="CI1263" s="232"/>
      <c r="CJ1263" s="232"/>
      <c r="CK1263" s="232"/>
      <c r="CL1263" s="232"/>
      <c r="CM1263" s="232"/>
      <c r="CN1263" s="215"/>
      <c r="CO1263" s="215"/>
      <c r="CP1263" s="215"/>
      <c r="CQ1263" s="215"/>
      <c r="CR1263" s="215"/>
      <c r="CS1263" s="215"/>
      <c r="CT1263" s="215"/>
    </row>
    <row r="1264" ht="24.0" customHeight="1">
      <c r="A1264" s="287"/>
      <c r="B1264" s="287"/>
      <c r="C1264" s="287"/>
      <c r="D1264" s="232"/>
      <c r="E1264" s="232"/>
      <c r="F1264" s="232"/>
      <c r="G1264" s="232"/>
      <c r="H1264" s="232"/>
      <c r="I1264" s="232"/>
      <c r="J1264" s="232"/>
      <c r="K1264" s="232"/>
      <c r="L1264" s="232"/>
      <c r="M1264" s="232"/>
      <c r="N1264" s="289"/>
      <c r="O1264" s="232"/>
      <c r="P1264" s="232"/>
      <c r="Q1264" s="232"/>
      <c r="R1264" s="232"/>
      <c r="S1264" s="232"/>
      <c r="T1264" s="232"/>
      <c r="U1264" s="232"/>
      <c r="V1264" s="232"/>
      <c r="W1264" s="232"/>
      <c r="X1264" s="232"/>
      <c r="Y1264" s="232"/>
      <c r="Z1264" s="232"/>
      <c r="AA1264" s="232"/>
      <c r="AB1264" s="232"/>
      <c r="AC1264" s="232"/>
      <c r="AD1264" s="232"/>
      <c r="AE1264" s="232"/>
      <c r="AF1264" s="232"/>
      <c r="AG1264" s="232"/>
      <c r="AH1264" s="232"/>
      <c r="AI1264" s="232"/>
      <c r="AJ1264" s="232"/>
      <c r="AK1264" s="232"/>
      <c r="AL1264" s="232"/>
      <c r="AM1264" s="232"/>
      <c r="AN1264" s="232"/>
      <c r="AO1264" s="232"/>
      <c r="AP1264" s="232"/>
      <c r="AQ1264" s="232"/>
      <c r="AR1264" s="232"/>
      <c r="AS1264" s="232"/>
      <c r="AT1264" s="232"/>
      <c r="AU1264" s="232"/>
      <c r="AV1264" s="232"/>
      <c r="AW1264" s="232"/>
      <c r="AX1264" s="232"/>
      <c r="AY1264" s="232"/>
      <c r="AZ1264" s="232"/>
      <c r="BA1264" s="232"/>
      <c r="BB1264" s="232"/>
      <c r="BC1264" s="232"/>
      <c r="BD1264" s="232"/>
      <c r="BE1264" s="232"/>
      <c r="BF1264" s="232"/>
      <c r="BG1264" s="232"/>
      <c r="BH1264" s="232"/>
      <c r="BI1264" s="232"/>
      <c r="BJ1264" s="232"/>
      <c r="BK1264" s="232"/>
      <c r="BL1264" s="232"/>
      <c r="BM1264" s="232"/>
      <c r="BN1264" s="232"/>
      <c r="BO1264" s="232"/>
      <c r="BP1264" s="232"/>
      <c r="BQ1264" s="232"/>
      <c r="BR1264" s="232"/>
      <c r="BS1264" s="232"/>
      <c r="BT1264" s="232"/>
      <c r="BU1264" s="232"/>
      <c r="BV1264" s="232"/>
      <c r="BW1264" s="232"/>
      <c r="BX1264" s="232"/>
      <c r="BY1264" s="232"/>
      <c r="BZ1264" s="232"/>
      <c r="CA1264" s="232"/>
      <c r="CB1264" s="232"/>
      <c r="CC1264" s="232"/>
      <c r="CD1264" s="232"/>
      <c r="CE1264" s="232"/>
      <c r="CF1264" s="232"/>
      <c r="CG1264" s="232"/>
      <c r="CH1264" s="232"/>
      <c r="CI1264" s="232"/>
      <c r="CJ1264" s="232"/>
      <c r="CK1264" s="232"/>
      <c r="CL1264" s="232"/>
      <c r="CM1264" s="232"/>
      <c r="CN1264" s="215"/>
      <c r="CO1264" s="215"/>
      <c r="CP1264" s="215"/>
      <c r="CQ1264" s="215"/>
      <c r="CR1264" s="215"/>
      <c r="CS1264" s="215"/>
      <c r="CT1264" s="215"/>
    </row>
    <row r="1265" ht="24.0" customHeight="1">
      <c r="A1265" s="287"/>
      <c r="B1265" s="287"/>
      <c r="C1265" s="287"/>
      <c r="D1265" s="232"/>
      <c r="E1265" s="232"/>
      <c r="F1265" s="232"/>
      <c r="G1265" s="232"/>
      <c r="H1265" s="232"/>
      <c r="I1265" s="232"/>
      <c r="J1265" s="232"/>
      <c r="K1265" s="232"/>
      <c r="L1265" s="232"/>
      <c r="M1265" s="232"/>
      <c r="N1265" s="289"/>
      <c r="O1265" s="232"/>
      <c r="P1265" s="232"/>
      <c r="Q1265" s="232"/>
      <c r="R1265" s="232"/>
      <c r="S1265" s="232"/>
      <c r="T1265" s="232"/>
      <c r="U1265" s="232"/>
      <c r="V1265" s="232"/>
      <c r="W1265" s="232"/>
      <c r="X1265" s="232"/>
      <c r="Y1265" s="232"/>
      <c r="Z1265" s="232"/>
      <c r="AA1265" s="232"/>
      <c r="AB1265" s="232"/>
      <c r="AC1265" s="232"/>
      <c r="AD1265" s="232"/>
      <c r="AE1265" s="232"/>
      <c r="AF1265" s="232"/>
      <c r="AG1265" s="232"/>
      <c r="AH1265" s="232"/>
      <c r="AI1265" s="232"/>
      <c r="AJ1265" s="232"/>
      <c r="AK1265" s="232"/>
      <c r="AL1265" s="232"/>
      <c r="AM1265" s="232"/>
      <c r="AN1265" s="232"/>
      <c r="AO1265" s="232"/>
      <c r="AP1265" s="232"/>
      <c r="AQ1265" s="232"/>
      <c r="AR1265" s="232"/>
      <c r="AS1265" s="232"/>
      <c r="AT1265" s="232"/>
      <c r="AU1265" s="232"/>
      <c r="AV1265" s="232"/>
      <c r="AW1265" s="232"/>
      <c r="AX1265" s="232"/>
      <c r="AY1265" s="232"/>
      <c r="AZ1265" s="232"/>
      <c r="BA1265" s="232"/>
      <c r="BB1265" s="232"/>
      <c r="BC1265" s="232"/>
      <c r="BD1265" s="232"/>
      <c r="BE1265" s="232"/>
      <c r="BF1265" s="232"/>
      <c r="BG1265" s="232"/>
      <c r="BH1265" s="232"/>
      <c r="BI1265" s="232"/>
      <c r="BJ1265" s="232"/>
      <c r="BK1265" s="232"/>
      <c r="BL1265" s="232"/>
      <c r="BM1265" s="232"/>
      <c r="BN1265" s="232"/>
      <c r="BO1265" s="232"/>
      <c r="BP1265" s="232"/>
      <c r="BQ1265" s="232"/>
      <c r="BR1265" s="232"/>
      <c r="BS1265" s="232"/>
      <c r="BT1265" s="232"/>
      <c r="BU1265" s="232"/>
      <c r="BV1265" s="232"/>
      <c r="BW1265" s="232"/>
      <c r="BX1265" s="232"/>
      <c r="BY1265" s="232"/>
      <c r="BZ1265" s="232"/>
      <c r="CA1265" s="232"/>
      <c r="CB1265" s="232"/>
      <c r="CC1265" s="232"/>
      <c r="CD1265" s="232"/>
      <c r="CE1265" s="232"/>
      <c r="CF1265" s="232"/>
      <c r="CG1265" s="232"/>
      <c r="CH1265" s="232"/>
      <c r="CI1265" s="232"/>
      <c r="CJ1265" s="232"/>
      <c r="CK1265" s="232"/>
      <c r="CL1265" s="232"/>
      <c r="CM1265" s="232"/>
      <c r="CN1265" s="215"/>
      <c r="CO1265" s="215"/>
      <c r="CP1265" s="215"/>
      <c r="CQ1265" s="215"/>
      <c r="CR1265" s="215"/>
      <c r="CS1265" s="215"/>
      <c r="CT1265" s="215"/>
    </row>
    <row r="1266" ht="24.0" customHeight="1">
      <c r="A1266" s="287"/>
      <c r="B1266" s="287"/>
      <c r="C1266" s="287"/>
      <c r="D1266" s="232"/>
      <c r="E1266" s="232"/>
      <c r="F1266" s="232"/>
      <c r="G1266" s="232"/>
      <c r="H1266" s="232"/>
      <c r="I1266" s="232"/>
      <c r="J1266" s="232"/>
      <c r="K1266" s="232"/>
      <c r="L1266" s="232"/>
      <c r="M1266" s="232"/>
      <c r="N1266" s="289"/>
      <c r="O1266" s="232"/>
      <c r="P1266" s="232"/>
      <c r="Q1266" s="232"/>
      <c r="R1266" s="232"/>
      <c r="S1266" s="232"/>
      <c r="T1266" s="232"/>
      <c r="U1266" s="232"/>
      <c r="V1266" s="232"/>
      <c r="W1266" s="232"/>
      <c r="X1266" s="232"/>
      <c r="Y1266" s="232"/>
      <c r="Z1266" s="232"/>
      <c r="AA1266" s="232"/>
      <c r="AB1266" s="232"/>
      <c r="AC1266" s="232"/>
      <c r="AD1266" s="232"/>
      <c r="AE1266" s="232"/>
      <c r="AF1266" s="232"/>
      <c r="AG1266" s="232"/>
      <c r="AH1266" s="232"/>
      <c r="AI1266" s="232"/>
      <c r="AJ1266" s="232"/>
      <c r="AK1266" s="232"/>
      <c r="AL1266" s="232"/>
      <c r="AM1266" s="232"/>
      <c r="AN1266" s="232"/>
      <c r="AO1266" s="232"/>
      <c r="AP1266" s="232"/>
      <c r="AQ1266" s="232"/>
      <c r="AR1266" s="232"/>
      <c r="AS1266" s="232"/>
      <c r="AT1266" s="232"/>
      <c r="AU1266" s="232"/>
      <c r="AV1266" s="232"/>
      <c r="AW1266" s="232"/>
      <c r="AX1266" s="232"/>
      <c r="AY1266" s="232"/>
      <c r="AZ1266" s="232"/>
      <c r="BA1266" s="232"/>
      <c r="BB1266" s="232"/>
      <c r="BC1266" s="232"/>
      <c r="BD1266" s="232"/>
      <c r="BE1266" s="232"/>
      <c r="BF1266" s="232"/>
      <c r="BG1266" s="232"/>
      <c r="BH1266" s="232"/>
      <c r="BI1266" s="232"/>
      <c r="BJ1266" s="232"/>
      <c r="BK1266" s="232"/>
      <c r="BL1266" s="232"/>
      <c r="BM1266" s="232"/>
      <c r="BN1266" s="232"/>
      <c r="BO1266" s="232"/>
      <c r="BP1266" s="232"/>
      <c r="BQ1266" s="232"/>
      <c r="BR1266" s="232"/>
      <c r="BS1266" s="232"/>
      <c r="BT1266" s="232"/>
      <c r="BU1266" s="232"/>
      <c r="BV1266" s="232"/>
      <c r="BW1266" s="232"/>
      <c r="BX1266" s="232"/>
      <c r="BY1266" s="232"/>
      <c r="BZ1266" s="232"/>
      <c r="CA1266" s="232"/>
      <c r="CB1266" s="232"/>
      <c r="CC1266" s="232"/>
      <c r="CD1266" s="232"/>
      <c r="CE1266" s="232"/>
      <c r="CF1266" s="232"/>
      <c r="CG1266" s="232"/>
      <c r="CH1266" s="232"/>
      <c r="CI1266" s="232"/>
      <c r="CJ1266" s="232"/>
      <c r="CK1266" s="232"/>
      <c r="CL1266" s="232"/>
      <c r="CM1266" s="232"/>
      <c r="CN1266" s="215"/>
      <c r="CO1266" s="215"/>
      <c r="CP1266" s="215"/>
      <c r="CQ1266" s="215"/>
      <c r="CR1266" s="215"/>
      <c r="CS1266" s="215"/>
      <c r="CT1266" s="215"/>
    </row>
    <row r="1267" ht="24.0" customHeight="1">
      <c r="A1267" s="287"/>
      <c r="B1267" s="287"/>
      <c r="C1267" s="287"/>
      <c r="D1267" s="232"/>
      <c r="E1267" s="232"/>
      <c r="F1267" s="232"/>
      <c r="G1267" s="232"/>
      <c r="H1267" s="232"/>
      <c r="I1267" s="232"/>
      <c r="J1267" s="232"/>
      <c r="K1267" s="232"/>
      <c r="L1267" s="232"/>
      <c r="M1267" s="232"/>
      <c r="N1267" s="289"/>
      <c r="O1267" s="232"/>
      <c r="P1267" s="232"/>
      <c r="Q1267" s="232"/>
      <c r="R1267" s="232"/>
      <c r="S1267" s="232"/>
      <c r="T1267" s="232"/>
      <c r="U1267" s="232"/>
      <c r="V1267" s="232"/>
      <c r="W1267" s="232"/>
      <c r="X1267" s="232"/>
      <c r="Y1267" s="232"/>
      <c r="Z1267" s="232"/>
      <c r="AA1267" s="232"/>
      <c r="AB1267" s="232"/>
      <c r="AC1267" s="232"/>
      <c r="AD1267" s="232"/>
      <c r="AE1267" s="232"/>
      <c r="AF1267" s="232"/>
      <c r="AG1267" s="232"/>
      <c r="AH1267" s="232"/>
      <c r="AI1267" s="232"/>
      <c r="AJ1267" s="232"/>
      <c r="AK1267" s="232"/>
      <c r="AL1267" s="232"/>
      <c r="AM1267" s="232"/>
      <c r="AN1267" s="232"/>
      <c r="AO1267" s="232"/>
      <c r="AP1267" s="232"/>
      <c r="AQ1267" s="232"/>
      <c r="AR1267" s="232"/>
      <c r="AS1267" s="232"/>
      <c r="AT1267" s="232"/>
      <c r="AU1267" s="232"/>
      <c r="AV1267" s="232"/>
      <c r="AW1267" s="232"/>
      <c r="AX1267" s="232"/>
      <c r="AY1267" s="232"/>
      <c r="AZ1267" s="232"/>
      <c r="BA1267" s="232"/>
      <c r="BB1267" s="232"/>
      <c r="BC1267" s="232"/>
      <c r="BD1267" s="232"/>
      <c r="BE1267" s="232"/>
      <c r="BF1267" s="232"/>
      <c r="BG1267" s="232"/>
      <c r="BH1267" s="232"/>
      <c r="BI1267" s="232"/>
      <c r="BJ1267" s="232"/>
      <c r="BK1267" s="232"/>
      <c r="BL1267" s="232"/>
      <c r="BM1267" s="232"/>
      <c r="BN1267" s="232"/>
      <c r="BO1267" s="232"/>
      <c r="BP1267" s="232"/>
      <c r="BQ1267" s="232"/>
      <c r="BR1267" s="232"/>
      <c r="BS1267" s="232"/>
      <c r="BT1267" s="232"/>
      <c r="BU1267" s="232"/>
      <c r="BV1267" s="232"/>
      <c r="BW1267" s="232"/>
      <c r="BX1267" s="232"/>
      <c r="BY1267" s="232"/>
      <c r="BZ1267" s="232"/>
      <c r="CA1267" s="232"/>
      <c r="CB1267" s="232"/>
      <c r="CC1267" s="232"/>
      <c r="CD1267" s="232"/>
      <c r="CE1267" s="232"/>
      <c r="CF1267" s="232"/>
      <c r="CG1267" s="232"/>
      <c r="CH1267" s="232"/>
      <c r="CI1267" s="232"/>
      <c r="CJ1267" s="232"/>
      <c r="CK1267" s="232"/>
      <c r="CL1267" s="232"/>
      <c r="CM1267" s="232"/>
      <c r="CN1267" s="215"/>
      <c r="CO1267" s="215"/>
      <c r="CP1267" s="215"/>
      <c r="CQ1267" s="215"/>
      <c r="CR1267" s="215"/>
      <c r="CS1267" s="215"/>
      <c r="CT1267" s="215"/>
    </row>
    <row r="1268" ht="24.0" customHeight="1">
      <c r="A1268" s="287"/>
      <c r="B1268" s="287"/>
      <c r="C1268" s="287"/>
      <c r="D1268" s="232"/>
      <c r="E1268" s="232"/>
      <c r="F1268" s="232"/>
      <c r="G1268" s="232"/>
      <c r="H1268" s="232"/>
      <c r="I1268" s="232"/>
      <c r="J1268" s="232"/>
      <c r="K1268" s="232"/>
      <c r="L1268" s="232"/>
      <c r="M1268" s="232"/>
      <c r="N1268" s="289"/>
      <c r="O1268" s="232"/>
      <c r="P1268" s="232"/>
      <c r="Q1268" s="232"/>
      <c r="R1268" s="232"/>
      <c r="S1268" s="232"/>
      <c r="T1268" s="232"/>
      <c r="U1268" s="232"/>
      <c r="V1268" s="232"/>
      <c r="W1268" s="232"/>
      <c r="X1268" s="232"/>
      <c r="Y1268" s="232"/>
      <c r="Z1268" s="232"/>
      <c r="AA1268" s="232"/>
      <c r="AB1268" s="232"/>
      <c r="AC1268" s="232"/>
      <c r="AD1268" s="232"/>
      <c r="AE1268" s="232"/>
      <c r="AF1268" s="232"/>
      <c r="AG1268" s="232"/>
      <c r="AH1268" s="232"/>
      <c r="AI1268" s="232"/>
      <c r="AJ1268" s="232"/>
      <c r="AK1268" s="232"/>
      <c r="AL1268" s="232"/>
      <c r="AM1268" s="232"/>
      <c r="AN1268" s="232"/>
      <c r="AO1268" s="232"/>
      <c r="AP1268" s="232"/>
      <c r="AQ1268" s="232"/>
      <c r="AR1268" s="232"/>
      <c r="AS1268" s="232"/>
      <c r="AT1268" s="232"/>
      <c r="AU1268" s="232"/>
      <c r="AV1268" s="232"/>
      <c r="AW1268" s="232"/>
      <c r="AX1268" s="232"/>
      <c r="AY1268" s="232"/>
      <c r="AZ1268" s="232"/>
      <c r="BA1268" s="232"/>
      <c r="BB1268" s="232"/>
      <c r="BC1268" s="232"/>
      <c r="BD1268" s="232"/>
      <c r="BE1268" s="232"/>
      <c r="BF1268" s="232"/>
      <c r="BG1268" s="232"/>
      <c r="BH1268" s="232"/>
      <c r="BI1268" s="232"/>
      <c r="BJ1268" s="232"/>
      <c r="BK1268" s="232"/>
      <c r="BL1268" s="232"/>
      <c r="BM1268" s="232"/>
      <c r="BN1268" s="232"/>
      <c r="BO1268" s="232"/>
      <c r="BP1268" s="232"/>
      <c r="BQ1268" s="232"/>
      <c r="BR1268" s="232"/>
      <c r="BS1268" s="232"/>
      <c r="BT1268" s="232"/>
      <c r="BU1268" s="232"/>
      <c r="BV1268" s="232"/>
      <c r="BW1268" s="232"/>
      <c r="BX1268" s="232"/>
      <c r="BY1268" s="232"/>
      <c r="BZ1268" s="232"/>
      <c r="CA1268" s="232"/>
      <c r="CB1268" s="232"/>
      <c r="CC1268" s="232"/>
      <c r="CD1268" s="232"/>
      <c r="CE1268" s="232"/>
      <c r="CF1268" s="232"/>
      <c r="CG1268" s="232"/>
      <c r="CH1268" s="232"/>
      <c r="CI1268" s="232"/>
      <c r="CJ1268" s="232"/>
      <c r="CK1268" s="232"/>
      <c r="CL1268" s="232"/>
      <c r="CM1268" s="232"/>
      <c r="CN1268" s="215"/>
      <c r="CO1268" s="215"/>
      <c r="CP1268" s="215"/>
      <c r="CQ1268" s="215"/>
      <c r="CR1268" s="215"/>
      <c r="CS1268" s="215"/>
      <c r="CT1268" s="215"/>
    </row>
    <row r="1269" ht="24.0" customHeight="1">
      <c r="A1269" s="287"/>
      <c r="B1269" s="287"/>
      <c r="C1269" s="287"/>
      <c r="D1269" s="232"/>
      <c r="E1269" s="232"/>
      <c r="F1269" s="232"/>
      <c r="G1269" s="232"/>
      <c r="H1269" s="232"/>
      <c r="I1269" s="232"/>
      <c r="J1269" s="232"/>
      <c r="K1269" s="232"/>
      <c r="L1269" s="232"/>
      <c r="M1269" s="232"/>
      <c r="N1269" s="289"/>
      <c r="O1269" s="232"/>
      <c r="P1269" s="232"/>
      <c r="Q1269" s="232"/>
      <c r="R1269" s="232"/>
      <c r="S1269" s="232"/>
      <c r="T1269" s="232"/>
      <c r="U1269" s="232"/>
      <c r="V1269" s="232"/>
      <c r="W1269" s="232"/>
      <c r="X1269" s="232"/>
      <c r="Y1269" s="232"/>
      <c r="Z1269" s="232"/>
      <c r="AA1269" s="232"/>
      <c r="AB1269" s="232"/>
      <c r="AC1269" s="232"/>
      <c r="AD1269" s="232"/>
      <c r="AE1269" s="232"/>
      <c r="AF1269" s="232"/>
      <c r="AG1269" s="232"/>
      <c r="AH1269" s="232"/>
      <c r="AI1269" s="232"/>
      <c r="AJ1269" s="232"/>
      <c r="AK1269" s="232"/>
      <c r="AL1269" s="232"/>
      <c r="AM1269" s="232"/>
      <c r="AN1269" s="232"/>
      <c r="AO1269" s="232"/>
      <c r="AP1269" s="232"/>
      <c r="AQ1269" s="232"/>
      <c r="AR1269" s="232"/>
      <c r="AS1269" s="232"/>
      <c r="AT1269" s="232"/>
      <c r="AU1269" s="232"/>
      <c r="AV1269" s="232"/>
      <c r="AW1269" s="232"/>
      <c r="AX1269" s="232"/>
      <c r="AY1269" s="232"/>
      <c r="AZ1269" s="232"/>
      <c r="BA1269" s="232"/>
      <c r="BB1269" s="232"/>
      <c r="BC1269" s="232"/>
      <c r="BD1269" s="232"/>
      <c r="BE1269" s="232"/>
      <c r="BF1269" s="232"/>
      <c r="BG1269" s="232"/>
      <c r="BH1269" s="232"/>
      <c r="BI1269" s="232"/>
      <c r="BJ1269" s="232"/>
      <c r="BK1269" s="232"/>
      <c r="BL1269" s="232"/>
      <c r="BM1269" s="232"/>
      <c r="BN1269" s="232"/>
      <c r="BO1269" s="232"/>
      <c r="BP1269" s="232"/>
      <c r="BQ1269" s="232"/>
      <c r="BR1269" s="232"/>
      <c r="BS1269" s="232"/>
      <c r="BT1269" s="232"/>
      <c r="BU1269" s="232"/>
      <c r="BV1269" s="232"/>
      <c r="BW1269" s="232"/>
      <c r="BX1269" s="232"/>
      <c r="BY1269" s="232"/>
      <c r="BZ1269" s="232"/>
      <c r="CA1269" s="232"/>
      <c r="CB1269" s="232"/>
      <c r="CC1269" s="232"/>
      <c r="CD1269" s="232"/>
      <c r="CE1269" s="232"/>
      <c r="CF1269" s="232"/>
      <c r="CG1269" s="232"/>
      <c r="CH1269" s="232"/>
      <c r="CI1269" s="232"/>
      <c r="CJ1269" s="232"/>
      <c r="CK1269" s="232"/>
      <c r="CL1269" s="232"/>
      <c r="CM1269" s="232"/>
      <c r="CN1269" s="215"/>
      <c r="CO1269" s="215"/>
      <c r="CP1269" s="215"/>
      <c r="CQ1269" s="215"/>
      <c r="CR1269" s="215"/>
      <c r="CS1269" s="215"/>
      <c r="CT1269" s="215"/>
    </row>
    <row r="1270" ht="24.0" customHeight="1">
      <c r="A1270" s="287"/>
      <c r="B1270" s="287"/>
      <c r="C1270" s="287"/>
      <c r="D1270" s="232"/>
      <c r="E1270" s="232"/>
      <c r="F1270" s="232"/>
      <c r="G1270" s="232"/>
      <c r="H1270" s="232"/>
      <c r="I1270" s="232"/>
      <c r="J1270" s="232"/>
      <c r="K1270" s="232"/>
      <c r="L1270" s="232"/>
      <c r="M1270" s="232"/>
      <c r="N1270" s="289"/>
      <c r="O1270" s="232"/>
      <c r="P1270" s="232"/>
      <c r="Q1270" s="232"/>
      <c r="R1270" s="232"/>
      <c r="S1270" s="232"/>
      <c r="T1270" s="232"/>
      <c r="U1270" s="232"/>
      <c r="V1270" s="232"/>
      <c r="W1270" s="232"/>
      <c r="X1270" s="232"/>
      <c r="Y1270" s="232"/>
      <c r="Z1270" s="232"/>
      <c r="AA1270" s="232"/>
      <c r="AB1270" s="232"/>
      <c r="AC1270" s="232"/>
      <c r="AD1270" s="232"/>
      <c r="AE1270" s="232"/>
      <c r="AF1270" s="232"/>
      <c r="AG1270" s="232"/>
      <c r="AH1270" s="232"/>
      <c r="AI1270" s="232"/>
      <c r="AJ1270" s="232"/>
      <c r="AK1270" s="232"/>
      <c r="AL1270" s="232"/>
      <c r="AM1270" s="232"/>
      <c r="AN1270" s="232"/>
      <c r="AO1270" s="232"/>
      <c r="AP1270" s="232"/>
      <c r="AQ1270" s="232"/>
      <c r="AR1270" s="232"/>
      <c r="AS1270" s="232"/>
      <c r="AT1270" s="232"/>
      <c r="AU1270" s="232"/>
      <c r="AV1270" s="232"/>
      <c r="AW1270" s="232"/>
      <c r="AX1270" s="232"/>
      <c r="AY1270" s="232"/>
      <c r="AZ1270" s="232"/>
      <c r="BA1270" s="232"/>
      <c r="BB1270" s="232"/>
      <c r="BC1270" s="232"/>
      <c r="BD1270" s="232"/>
      <c r="BE1270" s="232"/>
      <c r="BF1270" s="232"/>
      <c r="BG1270" s="232"/>
      <c r="BH1270" s="232"/>
      <c r="BI1270" s="232"/>
      <c r="BJ1270" s="232"/>
      <c r="BK1270" s="232"/>
      <c r="BL1270" s="232"/>
      <c r="BM1270" s="232"/>
      <c r="BN1270" s="232"/>
      <c r="BO1270" s="232"/>
      <c r="BP1270" s="232"/>
      <c r="BQ1270" s="232"/>
      <c r="BR1270" s="232"/>
      <c r="BS1270" s="232"/>
      <c r="BT1270" s="232"/>
      <c r="BU1270" s="232"/>
      <c r="BV1270" s="232"/>
      <c r="BW1270" s="232"/>
      <c r="BX1270" s="232"/>
      <c r="BY1270" s="232"/>
      <c r="BZ1270" s="232"/>
      <c r="CA1270" s="232"/>
      <c r="CB1270" s="232"/>
      <c r="CC1270" s="232"/>
      <c r="CD1270" s="232"/>
      <c r="CE1270" s="232"/>
      <c r="CF1270" s="232"/>
      <c r="CG1270" s="232"/>
      <c r="CH1270" s="232"/>
      <c r="CI1270" s="232"/>
      <c r="CJ1270" s="232"/>
      <c r="CK1270" s="232"/>
      <c r="CL1270" s="232"/>
      <c r="CM1270" s="232"/>
      <c r="CN1270" s="215"/>
      <c r="CO1270" s="215"/>
      <c r="CP1270" s="215"/>
      <c r="CQ1270" s="215"/>
      <c r="CR1270" s="215"/>
      <c r="CS1270" s="215"/>
      <c r="CT1270" s="215"/>
    </row>
    <row r="1271" ht="24.0" customHeight="1">
      <c r="A1271" s="287"/>
      <c r="B1271" s="287"/>
      <c r="C1271" s="287"/>
      <c r="D1271" s="232"/>
      <c r="E1271" s="232"/>
      <c r="F1271" s="232"/>
      <c r="G1271" s="232"/>
      <c r="H1271" s="232"/>
      <c r="I1271" s="232"/>
      <c r="J1271" s="232"/>
      <c r="K1271" s="232"/>
      <c r="L1271" s="232"/>
      <c r="M1271" s="232"/>
      <c r="N1271" s="289"/>
      <c r="O1271" s="232"/>
      <c r="P1271" s="232"/>
      <c r="Q1271" s="232"/>
      <c r="R1271" s="232"/>
      <c r="S1271" s="232"/>
      <c r="T1271" s="232"/>
      <c r="U1271" s="232"/>
      <c r="V1271" s="232"/>
      <c r="W1271" s="232"/>
      <c r="X1271" s="232"/>
      <c r="Y1271" s="232"/>
      <c r="Z1271" s="232"/>
      <c r="AA1271" s="232"/>
      <c r="AB1271" s="232"/>
      <c r="AC1271" s="232"/>
      <c r="AD1271" s="232"/>
      <c r="AE1271" s="232"/>
      <c r="AF1271" s="232"/>
      <c r="AG1271" s="232"/>
      <c r="AH1271" s="232"/>
      <c r="AI1271" s="232"/>
      <c r="AJ1271" s="232"/>
      <c r="AK1271" s="232"/>
      <c r="AL1271" s="232"/>
      <c r="AM1271" s="232"/>
      <c r="AN1271" s="232"/>
      <c r="AO1271" s="232"/>
      <c r="AP1271" s="232"/>
      <c r="AQ1271" s="232"/>
      <c r="AR1271" s="232"/>
      <c r="AS1271" s="232"/>
      <c r="AT1271" s="232"/>
      <c r="AU1271" s="232"/>
      <c r="AV1271" s="232"/>
      <c r="AW1271" s="232"/>
      <c r="AX1271" s="232"/>
      <c r="AY1271" s="232"/>
      <c r="AZ1271" s="232"/>
      <c r="BA1271" s="232"/>
      <c r="BB1271" s="232"/>
      <c r="BC1271" s="232"/>
      <c r="BD1271" s="232"/>
      <c r="BE1271" s="232"/>
      <c r="BF1271" s="232"/>
      <c r="BG1271" s="232"/>
      <c r="BH1271" s="232"/>
      <c r="BI1271" s="232"/>
      <c r="BJ1271" s="232"/>
      <c r="BK1271" s="232"/>
      <c r="BL1271" s="232"/>
      <c r="BM1271" s="232"/>
      <c r="BN1271" s="232"/>
      <c r="BO1271" s="232"/>
      <c r="BP1271" s="232"/>
      <c r="BQ1271" s="232"/>
      <c r="BR1271" s="232"/>
      <c r="BS1271" s="232"/>
      <c r="BT1271" s="232"/>
      <c r="BU1271" s="232"/>
      <c r="BV1271" s="232"/>
      <c r="BW1271" s="232"/>
      <c r="BX1271" s="232"/>
      <c r="BY1271" s="232"/>
      <c r="BZ1271" s="232"/>
      <c r="CA1271" s="232"/>
      <c r="CB1271" s="232"/>
      <c r="CC1271" s="232"/>
      <c r="CD1271" s="232"/>
      <c r="CE1271" s="232"/>
      <c r="CF1271" s="232"/>
      <c r="CG1271" s="232"/>
      <c r="CH1271" s="232"/>
      <c r="CI1271" s="232"/>
      <c r="CJ1271" s="232"/>
      <c r="CK1271" s="232"/>
      <c r="CL1271" s="232"/>
      <c r="CM1271" s="232"/>
      <c r="CN1271" s="215"/>
      <c r="CO1271" s="215"/>
      <c r="CP1271" s="215"/>
      <c r="CQ1271" s="215"/>
      <c r="CR1271" s="215"/>
      <c r="CS1271" s="215"/>
      <c r="CT1271" s="215"/>
    </row>
    <row r="1272" ht="24.0" customHeight="1">
      <c r="A1272" s="287"/>
      <c r="B1272" s="287"/>
      <c r="C1272" s="287"/>
      <c r="D1272" s="232"/>
      <c r="E1272" s="232"/>
      <c r="F1272" s="232"/>
      <c r="G1272" s="232"/>
      <c r="H1272" s="232"/>
      <c r="I1272" s="232"/>
      <c r="J1272" s="232"/>
      <c r="K1272" s="232"/>
      <c r="L1272" s="232"/>
      <c r="M1272" s="232"/>
      <c r="N1272" s="289"/>
      <c r="O1272" s="232"/>
      <c r="P1272" s="232"/>
      <c r="Q1272" s="232"/>
      <c r="R1272" s="232"/>
      <c r="S1272" s="232"/>
      <c r="T1272" s="232"/>
      <c r="U1272" s="232"/>
      <c r="V1272" s="232"/>
      <c r="W1272" s="232"/>
      <c r="X1272" s="232"/>
      <c r="Y1272" s="232"/>
      <c r="Z1272" s="232"/>
      <c r="AA1272" s="232"/>
      <c r="AB1272" s="232"/>
      <c r="AC1272" s="232"/>
      <c r="AD1272" s="232"/>
      <c r="AE1272" s="232"/>
      <c r="AF1272" s="232"/>
      <c r="AG1272" s="232"/>
      <c r="AH1272" s="232"/>
      <c r="AI1272" s="232"/>
      <c r="AJ1272" s="232"/>
      <c r="AK1272" s="232"/>
      <c r="AL1272" s="232"/>
      <c r="AM1272" s="232"/>
      <c r="AN1272" s="232"/>
      <c r="AO1272" s="232"/>
      <c r="AP1272" s="232"/>
      <c r="AQ1272" s="232"/>
      <c r="AR1272" s="232"/>
      <c r="AS1272" s="232"/>
      <c r="AT1272" s="232"/>
      <c r="AU1272" s="232"/>
      <c r="AV1272" s="232"/>
      <c r="AW1272" s="232"/>
      <c r="AX1272" s="232"/>
      <c r="AY1272" s="232"/>
      <c r="AZ1272" s="232"/>
      <c r="BA1272" s="232"/>
      <c r="BB1272" s="232"/>
      <c r="BC1272" s="232"/>
      <c r="BD1272" s="232"/>
      <c r="BE1272" s="232"/>
      <c r="BF1272" s="232"/>
      <c r="BG1272" s="232"/>
      <c r="BH1272" s="232"/>
      <c r="BI1272" s="232"/>
      <c r="BJ1272" s="232"/>
      <c r="BK1272" s="232"/>
      <c r="BL1272" s="232"/>
      <c r="BM1272" s="232"/>
      <c r="BN1272" s="232"/>
      <c r="BO1272" s="232"/>
      <c r="BP1272" s="232"/>
      <c r="BQ1272" s="232"/>
      <c r="BR1272" s="232"/>
      <c r="BS1272" s="232"/>
      <c r="BT1272" s="232"/>
      <c r="BU1272" s="232"/>
      <c r="BV1272" s="232"/>
      <c r="BW1272" s="232"/>
      <c r="BX1272" s="232"/>
      <c r="BY1272" s="232"/>
      <c r="BZ1272" s="232"/>
      <c r="CA1272" s="232"/>
      <c r="CB1272" s="232"/>
      <c r="CC1272" s="232"/>
      <c r="CD1272" s="232"/>
      <c r="CE1272" s="232"/>
      <c r="CF1272" s="232"/>
      <c r="CG1272" s="232"/>
      <c r="CH1272" s="232"/>
      <c r="CI1272" s="232"/>
      <c r="CJ1272" s="232"/>
      <c r="CK1272" s="232"/>
      <c r="CL1272" s="232"/>
      <c r="CM1272" s="232"/>
      <c r="CN1272" s="215"/>
      <c r="CO1272" s="215"/>
      <c r="CP1272" s="215"/>
      <c r="CQ1272" s="215"/>
      <c r="CR1272" s="215"/>
      <c r="CS1272" s="215"/>
      <c r="CT1272" s="215"/>
    </row>
    <row r="1273" ht="24.0" customHeight="1">
      <c r="A1273" s="287"/>
      <c r="B1273" s="287"/>
      <c r="C1273" s="287"/>
      <c r="D1273" s="232"/>
      <c r="E1273" s="232"/>
      <c r="F1273" s="232"/>
      <c r="G1273" s="232"/>
      <c r="H1273" s="232"/>
      <c r="I1273" s="232"/>
      <c r="J1273" s="232"/>
      <c r="K1273" s="232"/>
      <c r="L1273" s="232"/>
      <c r="M1273" s="232"/>
      <c r="N1273" s="289"/>
      <c r="O1273" s="232"/>
      <c r="P1273" s="232"/>
      <c r="Q1273" s="232"/>
      <c r="R1273" s="232"/>
      <c r="S1273" s="232"/>
      <c r="T1273" s="232"/>
      <c r="U1273" s="232"/>
      <c r="V1273" s="232"/>
      <c r="W1273" s="232"/>
      <c r="X1273" s="232"/>
      <c r="Y1273" s="232"/>
      <c r="Z1273" s="232"/>
      <c r="AA1273" s="232"/>
      <c r="AB1273" s="232"/>
      <c r="AC1273" s="232"/>
      <c r="AD1273" s="232"/>
      <c r="AE1273" s="232"/>
      <c r="AF1273" s="232"/>
      <c r="AG1273" s="232"/>
      <c r="AH1273" s="232"/>
      <c r="AI1273" s="232"/>
      <c r="AJ1273" s="232"/>
      <c r="AK1273" s="232"/>
      <c r="AL1273" s="232"/>
      <c r="AM1273" s="232"/>
      <c r="AN1273" s="232"/>
      <c r="AO1273" s="232"/>
      <c r="AP1273" s="232"/>
      <c r="AQ1273" s="232"/>
      <c r="AR1273" s="232"/>
      <c r="AS1273" s="232"/>
      <c r="AT1273" s="232"/>
      <c r="AU1273" s="232"/>
      <c r="AV1273" s="232"/>
      <c r="AW1273" s="232"/>
      <c r="AX1273" s="232"/>
      <c r="AY1273" s="232"/>
      <c r="AZ1273" s="232"/>
      <c r="BA1273" s="232"/>
      <c r="BB1273" s="232"/>
      <c r="BC1273" s="232"/>
      <c r="BD1273" s="232"/>
      <c r="BE1273" s="232"/>
      <c r="BF1273" s="232"/>
      <c r="BG1273" s="232"/>
      <c r="BH1273" s="232"/>
      <c r="BI1273" s="232"/>
      <c r="BJ1273" s="232"/>
      <c r="BK1273" s="232"/>
      <c r="BL1273" s="232"/>
      <c r="BM1273" s="232"/>
      <c r="BN1273" s="232"/>
      <c r="BO1273" s="232"/>
      <c r="BP1273" s="232"/>
      <c r="BQ1273" s="232"/>
      <c r="BR1273" s="232"/>
      <c r="BS1273" s="232"/>
      <c r="BT1273" s="232"/>
      <c r="BU1273" s="232"/>
      <c r="BV1273" s="232"/>
      <c r="BW1273" s="232"/>
      <c r="BX1273" s="232"/>
      <c r="BY1273" s="232"/>
      <c r="BZ1273" s="232"/>
      <c r="CA1273" s="232"/>
      <c r="CB1273" s="232"/>
      <c r="CC1273" s="232"/>
      <c r="CD1273" s="232"/>
      <c r="CE1273" s="232"/>
      <c r="CF1273" s="232"/>
      <c r="CG1273" s="232"/>
      <c r="CH1273" s="232"/>
      <c r="CI1273" s="232"/>
      <c r="CJ1273" s="232"/>
      <c r="CK1273" s="232"/>
      <c r="CL1273" s="232"/>
      <c r="CM1273" s="232"/>
      <c r="CN1273" s="215"/>
      <c r="CO1273" s="215"/>
      <c r="CP1273" s="215"/>
      <c r="CQ1273" s="215"/>
      <c r="CR1273" s="215"/>
      <c r="CS1273" s="215"/>
      <c r="CT1273" s="215"/>
    </row>
    <row r="1274" ht="24.0" customHeight="1">
      <c r="A1274" s="287"/>
      <c r="B1274" s="287"/>
      <c r="C1274" s="287"/>
      <c r="D1274" s="232"/>
      <c r="E1274" s="232"/>
      <c r="F1274" s="232"/>
      <c r="G1274" s="232"/>
      <c r="H1274" s="232"/>
      <c r="I1274" s="232"/>
      <c r="J1274" s="232"/>
      <c r="K1274" s="232"/>
      <c r="L1274" s="232"/>
      <c r="M1274" s="232"/>
      <c r="N1274" s="289"/>
      <c r="O1274" s="232"/>
      <c r="P1274" s="232"/>
      <c r="Q1274" s="232"/>
      <c r="R1274" s="232"/>
      <c r="S1274" s="232"/>
      <c r="T1274" s="232"/>
      <c r="U1274" s="232"/>
      <c r="V1274" s="232"/>
      <c r="W1274" s="232"/>
      <c r="X1274" s="232"/>
      <c r="Y1274" s="232"/>
      <c r="Z1274" s="232"/>
      <c r="AA1274" s="232"/>
      <c r="AB1274" s="232"/>
      <c r="AC1274" s="232"/>
      <c r="AD1274" s="232"/>
      <c r="AE1274" s="232"/>
      <c r="AF1274" s="232"/>
      <c r="AG1274" s="232"/>
      <c r="AH1274" s="232"/>
      <c r="AI1274" s="232"/>
      <c r="AJ1274" s="232"/>
      <c r="AK1274" s="232"/>
      <c r="AL1274" s="232"/>
      <c r="AM1274" s="232"/>
      <c r="AN1274" s="232"/>
      <c r="AO1274" s="232"/>
      <c r="AP1274" s="232"/>
      <c r="AQ1274" s="232"/>
      <c r="AR1274" s="232"/>
      <c r="AS1274" s="232"/>
      <c r="AT1274" s="232"/>
      <c r="AU1274" s="232"/>
      <c r="AV1274" s="232"/>
      <c r="AW1274" s="232"/>
      <c r="AX1274" s="232"/>
      <c r="AY1274" s="232"/>
      <c r="AZ1274" s="232"/>
      <c r="BA1274" s="232"/>
      <c r="BB1274" s="232"/>
      <c r="BC1274" s="232"/>
      <c r="BD1274" s="232"/>
      <c r="BE1274" s="232"/>
      <c r="BF1274" s="232"/>
      <c r="BG1274" s="232"/>
      <c r="BH1274" s="232"/>
      <c r="BI1274" s="232"/>
      <c r="BJ1274" s="232"/>
      <c r="BK1274" s="232"/>
      <c r="BL1274" s="232"/>
      <c r="BM1274" s="232"/>
      <c r="BN1274" s="232"/>
      <c r="BO1274" s="232"/>
      <c r="BP1274" s="232"/>
      <c r="BQ1274" s="232"/>
      <c r="BR1274" s="232"/>
      <c r="BS1274" s="232"/>
      <c r="BT1274" s="232"/>
      <c r="BU1274" s="232"/>
      <c r="BV1274" s="232"/>
      <c r="BW1274" s="232"/>
      <c r="BX1274" s="232"/>
      <c r="BY1274" s="232"/>
      <c r="BZ1274" s="232"/>
      <c r="CA1274" s="232"/>
      <c r="CB1274" s="232"/>
      <c r="CC1274" s="232"/>
      <c r="CD1274" s="232"/>
      <c r="CE1274" s="232"/>
      <c r="CF1274" s="232"/>
      <c r="CG1274" s="232"/>
      <c r="CH1274" s="232"/>
      <c r="CI1274" s="232"/>
      <c r="CJ1274" s="232"/>
      <c r="CK1274" s="232"/>
      <c r="CL1274" s="232"/>
      <c r="CM1274" s="232"/>
      <c r="CN1274" s="215"/>
      <c r="CO1274" s="215"/>
      <c r="CP1274" s="215"/>
      <c r="CQ1274" s="215"/>
      <c r="CR1274" s="215"/>
      <c r="CS1274" s="215"/>
      <c r="CT1274" s="215"/>
    </row>
    <row r="1275" ht="24.0" customHeight="1">
      <c r="A1275" s="287"/>
      <c r="B1275" s="287"/>
      <c r="C1275" s="287"/>
      <c r="D1275" s="232"/>
      <c r="E1275" s="232"/>
      <c r="F1275" s="232"/>
      <c r="G1275" s="232"/>
      <c r="H1275" s="232"/>
      <c r="I1275" s="232"/>
      <c r="J1275" s="232"/>
      <c r="K1275" s="232"/>
      <c r="L1275" s="232"/>
      <c r="M1275" s="232"/>
      <c r="N1275" s="289"/>
      <c r="O1275" s="232"/>
      <c r="P1275" s="232"/>
      <c r="Q1275" s="232"/>
      <c r="R1275" s="232"/>
      <c r="S1275" s="232"/>
      <c r="T1275" s="232"/>
      <c r="U1275" s="232"/>
      <c r="V1275" s="232"/>
      <c r="W1275" s="232"/>
      <c r="X1275" s="232"/>
      <c r="Y1275" s="232"/>
      <c r="Z1275" s="232"/>
      <c r="AA1275" s="232"/>
      <c r="AB1275" s="232"/>
      <c r="AC1275" s="232"/>
      <c r="AD1275" s="232"/>
      <c r="AE1275" s="232"/>
      <c r="AF1275" s="232"/>
      <c r="AG1275" s="232"/>
      <c r="AH1275" s="232"/>
      <c r="AI1275" s="232"/>
      <c r="AJ1275" s="232"/>
      <c r="AK1275" s="232"/>
      <c r="AL1275" s="232"/>
      <c r="AM1275" s="232"/>
      <c r="AN1275" s="232"/>
      <c r="AO1275" s="232"/>
      <c r="AP1275" s="232"/>
      <c r="AQ1275" s="232"/>
      <c r="AR1275" s="232"/>
      <c r="AS1275" s="232"/>
      <c r="AT1275" s="232"/>
      <c r="AU1275" s="232"/>
      <c r="AV1275" s="232"/>
      <c r="AW1275" s="232"/>
      <c r="AX1275" s="232"/>
      <c r="AY1275" s="232"/>
      <c r="AZ1275" s="232"/>
      <c r="BA1275" s="232"/>
      <c r="BB1275" s="232"/>
      <c r="BC1275" s="232"/>
      <c r="BD1275" s="232"/>
      <c r="BE1275" s="232"/>
      <c r="BF1275" s="232"/>
      <c r="BG1275" s="232"/>
      <c r="BH1275" s="232"/>
      <c r="BI1275" s="232"/>
      <c r="BJ1275" s="232"/>
      <c r="BK1275" s="232"/>
      <c r="BL1275" s="232"/>
      <c r="BM1275" s="232"/>
      <c r="BN1275" s="232"/>
      <c r="BO1275" s="232"/>
      <c r="BP1275" s="232"/>
      <c r="BQ1275" s="232"/>
      <c r="BR1275" s="232"/>
      <c r="BS1275" s="232"/>
      <c r="BT1275" s="232"/>
      <c r="BU1275" s="232"/>
      <c r="BV1275" s="232"/>
      <c r="BW1275" s="232"/>
      <c r="BX1275" s="232"/>
      <c r="BY1275" s="232"/>
      <c r="BZ1275" s="232"/>
      <c r="CA1275" s="232"/>
      <c r="CB1275" s="232"/>
      <c r="CC1275" s="232"/>
      <c r="CD1275" s="232"/>
      <c r="CE1275" s="232"/>
      <c r="CF1275" s="232"/>
      <c r="CG1275" s="232"/>
      <c r="CH1275" s="232"/>
      <c r="CI1275" s="232"/>
      <c r="CJ1275" s="232"/>
      <c r="CK1275" s="232"/>
      <c r="CL1275" s="232"/>
      <c r="CM1275" s="232"/>
      <c r="CN1275" s="215"/>
      <c r="CO1275" s="215"/>
      <c r="CP1275" s="215"/>
      <c r="CQ1275" s="215"/>
      <c r="CR1275" s="215"/>
      <c r="CS1275" s="215"/>
      <c r="CT1275" s="215"/>
    </row>
    <row r="1276" ht="24.0" customHeight="1">
      <c r="A1276" s="287"/>
      <c r="B1276" s="287"/>
      <c r="C1276" s="287"/>
      <c r="D1276" s="232"/>
      <c r="E1276" s="232"/>
      <c r="F1276" s="232"/>
      <c r="G1276" s="232"/>
      <c r="H1276" s="232"/>
      <c r="I1276" s="232"/>
      <c r="J1276" s="232"/>
      <c r="K1276" s="232"/>
      <c r="L1276" s="232"/>
      <c r="M1276" s="232"/>
      <c r="N1276" s="289"/>
      <c r="O1276" s="232"/>
      <c r="P1276" s="232"/>
      <c r="Q1276" s="232"/>
      <c r="R1276" s="232"/>
      <c r="S1276" s="232"/>
      <c r="T1276" s="232"/>
      <c r="U1276" s="232"/>
      <c r="V1276" s="232"/>
      <c r="W1276" s="232"/>
      <c r="X1276" s="232"/>
      <c r="Y1276" s="232"/>
      <c r="Z1276" s="232"/>
      <c r="AA1276" s="232"/>
      <c r="AB1276" s="232"/>
      <c r="AC1276" s="232"/>
      <c r="AD1276" s="232"/>
      <c r="AE1276" s="232"/>
      <c r="AF1276" s="232"/>
      <c r="AG1276" s="232"/>
      <c r="AH1276" s="232"/>
      <c r="AI1276" s="232"/>
      <c r="AJ1276" s="232"/>
      <c r="AK1276" s="232"/>
      <c r="AL1276" s="232"/>
      <c r="AM1276" s="232"/>
      <c r="AN1276" s="232"/>
      <c r="AO1276" s="232"/>
      <c r="AP1276" s="232"/>
      <c r="AQ1276" s="232"/>
      <c r="AR1276" s="232"/>
      <c r="AS1276" s="232"/>
      <c r="AT1276" s="232"/>
      <c r="AU1276" s="232"/>
      <c r="AV1276" s="232"/>
      <c r="AW1276" s="232"/>
      <c r="AX1276" s="232"/>
      <c r="AY1276" s="232"/>
      <c r="AZ1276" s="232"/>
      <c r="BA1276" s="232"/>
      <c r="BB1276" s="232"/>
      <c r="BC1276" s="232"/>
      <c r="BD1276" s="232"/>
      <c r="BE1276" s="232"/>
      <c r="BF1276" s="232"/>
      <c r="BG1276" s="232"/>
      <c r="BH1276" s="232"/>
      <c r="BI1276" s="232"/>
      <c r="BJ1276" s="232"/>
      <c r="BK1276" s="232"/>
      <c r="BL1276" s="232"/>
      <c r="BM1276" s="232"/>
      <c r="BN1276" s="232"/>
      <c r="BO1276" s="232"/>
      <c r="BP1276" s="232"/>
      <c r="BQ1276" s="232"/>
      <c r="BR1276" s="232"/>
      <c r="BS1276" s="232"/>
      <c r="BT1276" s="232"/>
      <c r="BU1276" s="232"/>
      <c r="BV1276" s="232"/>
      <c r="BW1276" s="232"/>
      <c r="BX1276" s="232"/>
      <c r="BY1276" s="232"/>
      <c r="BZ1276" s="232"/>
      <c r="CA1276" s="232"/>
      <c r="CB1276" s="232"/>
      <c r="CC1276" s="232"/>
      <c r="CD1276" s="232"/>
      <c r="CE1276" s="232"/>
      <c r="CF1276" s="232"/>
      <c r="CG1276" s="232"/>
      <c r="CH1276" s="232"/>
      <c r="CI1276" s="232"/>
      <c r="CJ1276" s="232"/>
      <c r="CK1276" s="232"/>
      <c r="CL1276" s="232"/>
      <c r="CM1276" s="232"/>
      <c r="CN1276" s="215"/>
      <c r="CO1276" s="215"/>
      <c r="CP1276" s="215"/>
      <c r="CQ1276" s="215"/>
      <c r="CR1276" s="215"/>
      <c r="CS1276" s="215"/>
      <c r="CT1276" s="215"/>
    </row>
    <row r="1277" ht="24.0" customHeight="1">
      <c r="A1277" s="287"/>
      <c r="B1277" s="287"/>
      <c r="C1277" s="287"/>
      <c r="D1277" s="232"/>
      <c r="E1277" s="232"/>
      <c r="F1277" s="232"/>
      <c r="G1277" s="232"/>
      <c r="H1277" s="232"/>
      <c r="I1277" s="232"/>
      <c r="J1277" s="232"/>
      <c r="K1277" s="232"/>
      <c r="L1277" s="232"/>
      <c r="M1277" s="232"/>
      <c r="N1277" s="289"/>
      <c r="O1277" s="232"/>
      <c r="P1277" s="232"/>
      <c r="Q1277" s="232"/>
      <c r="R1277" s="232"/>
      <c r="S1277" s="232"/>
      <c r="T1277" s="232"/>
      <c r="U1277" s="232"/>
      <c r="V1277" s="232"/>
      <c r="W1277" s="232"/>
      <c r="X1277" s="232"/>
      <c r="Y1277" s="232"/>
      <c r="Z1277" s="232"/>
      <c r="AA1277" s="232"/>
      <c r="AB1277" s="232"/>
      <c r="AC1277" s="232"/>
      <c r="AD1277" s="232"/>
      <c r="AE1277" s="232"/>
      <c r="AF1277" s="232"/>
      <c r="AG1277" s="232"/>
      <c r="AH1277" s="232"/>
      <c r="AI1277" s="232"/>
      <c r="AJ1277" s="232"/>
      <c r="AK1277" s="232"/>
      <c r="AL1277" s="232"/>
      <c r="AM1277" s="232"/>
      <c r="AN1277" s="232"/>
      <c r="AO1277" s="232"/>
      <c r="AP1277" s="232"/>
      <c r="AQ1277" s="232"/>
      <c r="AR1277" s="232"/>
      <c r="AS1277" s="232"/>
      <c r="AT1277" s="232"/>
      <c r="AU1277" s="232"/>
      <c r="AV1277" s="232"/>
      <c r="AW1277" s="232"/>
      <c r="AX1277" s="232"/>
      <c r="AY1277" s="232"/>
      <c r="AZ1277" s="232"/>
      <c r="BA1277" s="232"/>
      <c r="BB1277" s="232"/>
      <c r="BC1277" s="232"/>
      <c r="BD1277" s="232"/>
      <c r="BE1277" s="232"/>
      <c r="BF1277" s="232"/>
      <c r="BG1277" s="232"/>
      <c r="BH1277" s="232"/>
      <c r="BI1277" s="232"/>
      <c r="BJ1277" s="232"/>
      <c r="BK1277" s="232"/>
      <c r="BL1277" s="232"/>
      <c r="BM1277" s="232"/>
      <c r="BN1277" s="232"/>
      <c r="BO1277" s="232"/>
      <c r="BP1277" s="232"/>
      <c r="BQ1277" s="232"/>
      <c r="BR1277" s="232"/>
      <c r="BS1277" s="232"/>
      <c r="BT1277" s="232"/>
      <c r="BU1277" s="232"/>
      <c r="BV1277" s="232"/>
      <c r="BW1277" s="232"/>
      <c r="BX1277" s="232"/>
      <c r="BY1277" s="232"/>
      <c r="BZ1277" s="232"/>
      <c r="CA1277" s="232"/>
      <c r="CB1277" s="232"/>
      <c r="CC1277" s="232"/>
      <c r="CD1277" s="232"/>
      <c r="CE1277" s="232"/>
      <c r="CF1277" s="232"/>
      <c r="CG1277" s="232"/>
      <c r="CH1277" s="232"/>
      <c r="CI1277" s="232"/>
      <c r="CJ1277" s="232"/>
      <c r="CK1277" s="232"/>
      <c r="CL1277" s="232"/>
      <c r="CM1277" s="232"/>
      <c r="CN1277" s="215"/>
      <c r="CO1277" s="215"/>
      <c r="CP1277" s="215"/>
      <c r="CQ1277" s="215"/>
      <c r="CR1277" s="215"/>
      <c r="CS1277" s="215"/>
      <c r="CT1277" s="215"/>
    </row>
    <row r="1278" ht="24.0" customHeight="1">
      <c r="A1278" s="287"/>
      <c r="B1278" s="287"/>
      <c r="C1278" s="287"/>
      <c r="D1278" s="232"/>
      <c r="E1278" s="232"/>
      <c r="F1278" s="232"/>
      <c r="G1278" s="232"/>
      <c r="H1278" s="232"/>
      <c r="I1278" s="232"/>
      <c r="J1278" s="232"/>
      <c r="K1278" s="232"/>
      <c r="L1278" s="232"/>
      <c r="M1278" s="232"/>
      <c r="N1278" s="289"/>
      <c r="O1278" s="232"/>
      <c r="P1278" s="232"/>
      <c r="Q1278" s="232"/>
      <c r="R1278" s="232"/>
      <c r="S1278" s="232"/>
      <c r="T1278" s="232"/>
      <c r="U1278" s="232"/>
      <c r="V1278" s="232"/>
      <c r="W1278" s="232"/>
      <c r="X1278" s="232"/>
      <c r="Y1278" s="232"/>
      <c r="Z1278" s="232"/>
      <c r="AA1278" s="232"/>
      <c r="AB1278" s="232"/>
      <c r="AC1278" s="232"/>
      <c r="AD1278" s="232"/>
      <c r="AE1278" s="232"/>
      <c r="AF1278" s="232"/>
      <c r="AG1278" s="232"/>
      <c r="AH1278" s="232"/>
      <c r="AI1278" s="232"/>
      <c r="AJ1278" s="232"/>
      <c r="AK1278" s="232"/>
      <c r="AL1278" s="232"/>
      <c r="AM1278" s="232"/>
      <c r="AN1278" s="232"/>
      <c r="AO1278" s="232"/>
      <c r="AP1278" s="232"/>
      <c r="AQ1278" s="232"/>
      <c r="AR1278" s="232"/>
      <c r="AS1278" s="232"/>
      <c r="AT1278" s="232"/>
      <c r="AU1278" s="232"/>
      <c r="AV1278" s="232"/>
      <c r="AW1278" s="232"/>
      <c r="AX1278" s="232"/>
      <c r="AY1278" s="232"/>
      <c r="AZ1278" s="232"/>
      <c r="BA1278" s="232"/>
      <c r="BB1278" s="232"/>
      <c r="BC1278" s="232"/>
      <c r="BD1278" s="232"/>
      <c r="BE1278" s="232"/>
      <c r="BF1278" s="232"/>
      <c r="BG1278" s="232"/>
      <c r="BH1278" s="232"/>
      <c r="BI1278" s="232"/>
      <c r="BJ1278" s="232"/>
      <c r="BK1278" s="232"/>
      <c r="BL1278" s="232"/>
      <c r="BM1278" s="232"/>
      <c r="BN1278" s="232"/>
      <c r="BO1278" s="232"/>
      <c r="BP1278" s="232"/>
      <c r="BQ1278" s="232"/>
      <c r="BR1278" s="232"/>
      <c r="BS1278" s="232"/>
      <c r="BT1278" s="232"/>
      <c r="BU1278" s="232"/>
      <c r="BV1278" s="232"/>
      <c r="BW1278" s="232"/>
      <c r="BX1278" s="232"/>
      <c r="BY1278" s="232"/>
      <c r="BZ1278" s="232"/>
      <c r="CA1278" s="232"/>
      <c r="CB1278" s="232"/>
      <c r="CC1278" s="232"/>
      <c r="CD1278" s="232"/>
      <c r="CE1278" s="232"/>
      <c r="CF1278" s="232"/>
      <c r="CG1278" s="232"/>
      <c r="CH1278" s="232"/>
      <c r="CI1278" s="232"/>
      <c r="CJ1278" s="232"/>
      <c r="CK1278" s="232"/>
      <c r="CL1278" s="232"/>
      <c r="CM1278" s="232"/>
      <c r="CN1278" s="215"/>
      <c r="CO1278" s="215"/>
      <c r="CP1278" s="215"/>
      <c r="CQ1278" s="215"/>
      <c r="CR1278" s="215"/>
      <c r="CS1278" s="215"/>
      <c r="CT1278" s="215"/>
    </row>
    <row r="1279" ht="24.0" customHeight="1">
      <c r="A1279" s="287"/>
      <c r="B1279" s="287"/>
      <c r="C1279" s="287"/>
      <c r="D1279" s="232"/>
      <c r="E1279" s="232"/>
      <c r="F1279" s="232"/>
      <c r="G1279" s="232"/>
      <c r="H1279" s="232"/>
      <c r="I1279" s="232"/>
      <c r="J1279" s="232"/>
      <c r="K1279" s="232"/>
      <c r="L1279" s="232"/>
      <c r="M1279" s="232"/>
      <c r="N1279" s="289"/>
      <c r="O1279" s="232"/>
      <c r="P1279" s="232"/>
      <c r="Q1279" s="232"/>
      <c r="R1279" s="232"/>
      <c r="S1279" s="232"/>
      <c r="T1279" s="232"/>
      <c r="U1279" s="232"/>
      <c r="V1279" s="232"/>
      <c r="W1279" s="232"/>
      <c r="X1279" s="232"/>
      <c r="Y1279" s="232"/>
      <c r="Z1279" s="232"/>
      <c r="AA1279" s="232"/>
      <c r="AB1279" s="232"/>
      <c r="AC1279" s="232"/>
      <c r="AD1279" s="232"/>
      <c r="AE1279" s="232"/>
      <c r="AF1279" s="232"/>
      <c r="AG1279" s="232"/>
      <c r="AH1279" s="232"/>
      <c r="AI1279" s="232"/>
      <c r="AJ1279" s="232"/>
      <c r="AK1279" s="232"/>
      <c r="AL1279" s="232"/>
      <c r="AM1279" s="232"/>
      <c r="AN1279" s="232"/>
      <c r="AO1279" s="232"/>
      <c r="AP1279" s="232"/>
      <c r="AQ1279" s="232"/>
      <c r="AR1279" s="232"/>
      <c r="AS1279" s="232"/>
      <c r="AT1279" s="232"/>
      <c r="AU1279" s="232"/>
      <c r="AV1279" s="232"/>
      <c r="AW1279" s="232"/>
      <c r="AX1279" s="232"/>
      <c r="AY1279" s="232"/>
      <c r="AZ1279" s="232"/>
      <c r="BA1279" s="232"/>
      <c r="BB1279" s="232"/>
      <c r="BC1279" s="232"/>
      <c r="BD1279" s="232"/>
      <c r="BE1279" s="232"/>
      <c r="BF1279" s="232"/>
      <c r="BG1279" s="232"/>
      <c r="BH1279" s="232"/>
      <c r="BI1279" s="232"/>
      <c r="BJ1279" s="232"/>
      <c r="BK1279" s="232"/>
      <c r="BL1279" s="232"/>
      <c r="BM1279" s="232"/>
      <c r="BN1279" s="232"/>
      <c r="BO1279" s="232"/>
      <c r="BP1279" s="232"/>
      <c r="BQ1279" s="232"/>
      <c r="BR1279" s="232"/>
      <c r="BS1279" s="232"/>
      <c r="BT1279" s="232"/>
      <c r="BU1279" s="232"/>
      <c r="BV1279" s="232"/>
      <c r="BW1279" s="232"/>
      <c r="BX1279" s="232"/>
      <c r="BY1279" s="232"/>
      <c r="BZ1279" s="232"/>
      <c r="CA1279" s="232"/>
      <c r="CB1279" s="232"/>
      <c r="CC1279" s="232"/>
      <c r="CD1279" s="232"/>
      <c r="CE1279" s="232"/>
      <c r="CF1279" s="232"/>
      <c r="CG1279" s="232"/>
      <c r="CH1279" s="232"/>
      <c r="CI1279" s="232"/>
      <c r="CJ1279" s="232"/>
      <c r="CK1279" s="232"/>
      <c r="CL1279" s="232"/>
      <c r="CM1279" s="232"/>
      <c r="CN1279" s="215"/>
      <c r="CO1279" s="215"/>
      <c r="CP1279" s="215"/>
      <c r="CQ1279" s="215"/>
      <c r="CR1279" s="215"/>
      <c r="CS1279" s="215"/>
      <c r="CT1279" s="215"/>
    </row>
    <row r="1280" ht="24.0" customHeight="1">
      <c r="A1280" s="287"/>
      <c r="B1280" s="287"/>
      <c r="C1280" s="287"/>
      <c r="D1280" s="232"/>
      <c r="E1280" s="232"/>
      <c r="F1280" s="232"/>
      <c r="G1280" s="232"/>
      <c r="H1280" s="232"/>
      <c r="I1280" s="232"/>
      <c r="J1280" s="232"/>
      <c r="K1280" s="232"/>
      <c r="L1280" s="232"/>
      <c r="M1280" s="232"/>
      <c r="N1280" s="289"/>
      <c r="O1280" s="232"/>
      <c r="P1280" s="232"/>
      <c r="Q1280" s="232"/>
      <c r="R1280" s="232"/>
      <c r="S1280" s="232"/>
      <c r="T1280" s="232"/>
      <c r="U1280" s="232"/>
      <c r="V1280" s="232"/>
      <c r="W1280" s="232"/>
      <c r="X1280" s="232"/>
      <c r="Y1280" s="232"/>
      <c r="Z1280" s="232"/>
      <c r="AA1280" s="232"/>
      <c r="AB1280" s="232"/>
      <c r="AC1280" s="232"/>
      <c r="AD1280" s="232"/>
      <c r="AE1280" s="232"/>
      <c r="AF1280" s="232"/>
      <c r="AG1280" s="232"/>
      <c r="AH1280" s="232"/>
      <c r="AI1280" s="232"/>
      <c r="AJ1280" s="232"/>
      <c r="AK1280" s="232"/>
      <c r="AL1280" s="232"/>
      <c r="AM1280" s="232"/>
      <c r="AN1280" s="232"/>
      <c r="AO1280" s="232"/>
      <c r="AP1280" s="232"/>
      <c r="AQ1280" s="232"/>
      <c r="AR1280" s="232"/>
      <c r="AS1280" s="232"/>
      <c r="AT1280" s="232"/>
      <c r="AU1280" s="232"/>
      <c r="AV1280" s="232"/>
      <c r="AW1280" s="232"/>
      <c r="AX1280" s="232"/>
      <c r="AY1280" s="232"/>
      <c r="AZ1280" s="232"/>
      <c r="BA1280" s="232"/>
      <c r="BB1280" s="232"/>
      <c r="BC1280" s="232"/>
      <c r="BD1280" s="232"/>
      <c r="BE1280" s="232"/>
      <c r="BF1280" s="232"/>
      <c r="BG1280" s="232"/>
      <c r="BH1280" s="232"/>
      <c r="BI1280" s="232"/>
      <c r="BJ1280" s="232"/>
      <c r="BK1280" s="232"/>
      <c r="BL1280" s="232"/>
      <c r="BM1280" s="232"/>
      <c r="BN1280" s="232"/>
      <c r="BO1280" s="232"/>
      <c r="BP1280" s="232"/>
      <c r="BQ1280" s="232"/>
      <c r="BR1280" s="232"/>
      <c r="BS1280" s="232"/>
      <c r="BT1280" s="232"/>
      <c r="BU1280" s="232"/>
      <c r="BV1280" s="232"/>
      <c r="BW1280" s="232"/>
      <c r="BX1280" s="232"/>
      <c r="BY1280" s="232"/>
      <c r="BZ1280" s="232"/>
      <c r="CA1280" s="232"/>
      <c r="CB1280" s="232"/>
      <c r="CC1280" s="232"/>
      <c r="CD1280" s="232"/>
      <c r="CE1280" s="232"/>
      <c r="CF1280" s="232"/>
      <c r="CG1280" s="232"/>
      <c r="CH1280" s="232"/>
      <c r="CI1280" s="232"/>
      <c r="CJ1280" s="232"/>
      <c r="CK1280" s="232"/>
      <c r="CL1280" s="232"/>
      <c r="CM1280" s="232"/>
      <c r="CN1280" s="215"/>
      <c r="CO1280" s="215"/>
      <c r="CP1280" s="215"/>
      <c r="CQ1280" s="215"/>
      <c r="CR1280" s="215"/>
      <c r="CS1280" s="215"/>
      <c r="CT1280" s="215"/>
    </row>
    <row r="1281" ht="24.0" customHeight="1">
      <c r="A1281" s="287"/>
      <c r="B1281" s="287"/>
      <c r="C1281" s="287"/>
      <c r="D1281" s="232"/>
      <c r="E1281" s="232"/>
      <c r="F1281" s="232"/>
      <c r="G1281" s="232"/>
      <c r="H1281" s="232"/>
      <c r="I1281" s="232"/>
      <c r="J1281" s="232"/>
      <c r="K1281" s="232"/>
      <c r="L1281" s="232"/>
      <c r="M1281" s="232"/>
      <c r="N1281" s="289"/>
      <c r="O1281" s="232"/>
      <c r="P1281" s="232"/>
      <c r="Q1281" s="232"/>
      <c r="R1281" s="232"/>
      <c r="S1281" s="232"/>
      <c r="T1281" s="232"/>
      <c r="U1281" s="232"/>
      <c r="V1281" s="232"/>
      <c r="W1281" s="232"/>
      <c r="X1281" s="232"/>
      <c r="Y1281" s="232"/>
      <c r="Z1281" s="232"/>
      <c r="AA1281" s="232"/>
      <c r="AB1281" s="232"/>
      <c r="AC1281" s="232"/>
      <c r="AD1281" s="232"/>
      <c r="AE1281" s="232"/>
      <c r="AF1281" s="232"/>
      <c r="AG1281" s="232"/>
      <c r="AH1281" s="232"/>
      <c r="AI1281" s="232"/>
      <c r="AJ1281" s="232"/>
      <c r="AK1281" s="232"/>
      <c r="AL1281" s="232"/>
      <c r="AM1281" s="232"/>
      <c r="AN1281" s="232"/>
      <c r="AO1281" s="232"/>
      <c r="AP1281" s="232"/>
      <c r="AQ1281" s="232"/>
      <c r="AR1281" s="232"/>
      <c r="AS1281" s="232"/>
      <c r="AT1281" s="232"/>
      <c r="AU1281" s="232"/>
      <c r="AV1281" s="232"/>
      <c r="AW1281" s="232"/>
      <c r="AX1281" s="232"/>
      <c r="AY1281" s="232"/>
      <c r="AZ1281" s="232"/>
      <c r="BA1281" s="232"/>
      <c r="BB1281" s="232"/>
      <c r="BC1281" s="232"/>
      <c r="BD1281" s="232"/>
      <c r="BE1281" s="232"/>
      <c r="BF1281" s="232"/>
      <c r="BG1281" s="232"/>
      <c r="BH1281" s="232"/>
      <c r="BI1281" s="232"/>
      <c r="BJ1281" s="232"/>
      <c r="BK1281" s="232"/>
      <c r="BL1281" s="232"/>
      <c r="BM1281" s="232"/>
      <c r="BN1281" s="232"/>
      <c r="BO1281" s="232"/>
      <c r="BP1281" s="232"/>
      <c r="BQ1281" s="232"/>
      <c r="BR1281" s="232"/>
      <c r="BS1281" s="232"/>
      <c r="BT1281" s="232"/>
      <c r="BU1281" s="232"/>
      <c r="BV1281" s="232"/>
      <c r="BW1281" s="232"/>
      <c r="BX1281" s="232"/>
      <c r="BY1281" s="232"/>
      <c r="BZ1281" s="232"/>
      <c r="CA1281" s="232"/>
      <c r="CB1281" s="232"/>
      <c r="CC1281" s="232"/>
      <c r="CD1281" s="232"/>
      <c r="CE1281" s="232"/>
      <c r="CF1281" s="232"/>
      <c r="CG1281" s="232"/>
      <c r="CH1281" s="232"/>
      <c r="CI1281" s="232"/>
      <c r="CJ1281" s="232"/>
      <c r="CK1281" s="232"/>
      <c r="CL1281" s="232"/>
      <c r="CM1281" s="232"/>
      <c r="CN1281" s="215"/>
      <c r="CO1281" s="215"/>
      <c r="CP1281" s="215"/>
      <c r="CQ1281" s="215"/>
      <c r="CR1281" s="215"/>
      <c r="CS1281" s="215"/>
      <c r="CT1281" s="215"/>
    </row>
    <row r="1282" ht="24.0" customHeight="1">
      <c r="A1282" s="287"/>
      <c r="B1282" s="287"/>
      <c r="C1282" s="287"/>
      <c r="D1282" s="232"/>
      <c r="E1282" s="232"/>
      <c r="F1282" s="232"/>
      <c r="G1282" s="232"/>
      <c r="H1282" s="232"/>
      <c r="I1282" s="232"/>
      <c r="J1282" s="232"/>
      <c r="K1282" s="232"/>
      <c r="L1282" s="232"/>
      <c r="M1282" s="232"/>
      <c r="N1282" s="289"/>
      <c r="O1282" s="232"/>
      <c r="P1282" s="232"/>
      <c r="Q1282" s="232"/>
      <c r="R1282" s="232"/>
      <c r="S1282" s="232"/>
      <c r="T1282" s="232"/>
      <c r="U1282" s="232"/>
      <c r="V1282" s="232"/>
      <c r="W1282" s="232"/>
      <c r="X1282" s="232"/>
      <c r="Y1282" s="232"/>
      <c r="Z1282" s="232"/>
      <c r="AA1282" s="232"/>
      <c r="AB1282" s="232"/>
      <c r="AC1282" s="232"/>
      <c r="AD1282" s="232"/>
      <c r="AE1282" s="232"/>
      <c r="AF1282" s="232"/>
      <c r="AG1282" s="232"/>
      <c r="AH1282" s="232"/>
      <c r="AI1282" s="232"/>
      <c r="AJ1282" s="232"/>
      <c r="AK1282" s="232"/>
      <c r="AL1282" s="232"/>
      <c r="AM1282" s="232"/>
      <c r="AN1282" s="232"/>
      <c r="AO1282" s="232"/>
      <c r="AP1282" s="232"/>
      <c r="AQ1282" s="232"/>
      <c r="AR1282" s="232"/>
      <c r="AS1282" s="232"/>
      <c r="AT1282" s="232"/>
      <c r="AU1282" s="232"/>
      <c r="AV1282" s="232"/>
      <c r="AW1282" s="232"/>
      <c r="AX1282" s="232"/>
      <c r="AY1282" s="232"/>
      <c r="AZ1282" s="232"/>
      <c r="BA1282" s="232"/>
      <c r="BB1282" s="232"/>
      <c r="BC1282" s="232"/>
      <c r="BD1282" s="232"/>
      <c r="BE1282" s="232"/>
      <c r="BF1282" s="232"/>
      <c r="BG1282" s="232"/>
      <c r="BH1282" s="232"/>
      <c r="BI1282" s="232"/>
      <c r="BJ1282" s="232"/>
      <c r="BK1282" s="232"/>
      <c r="BL1282" s="232"/>
      <c r="BM1282" s="232"/>
      <c r="BN1282" s="232"/>
      <c r="BO1282" s="232"/>
      <c r="BP1282" s="232"/>
      <c r="BQ1282" s="232"/>
      <c r="BR1282" s="232"/>
      <c r="BS1282" s="232"/>
      <c r="BT1282" s="232"/>
      <c r="BU1282" s="232"/>
      <c r="BV1282" s="232"/>
      <c r="BW1282" s="232"/>
      <c r="BX1282" s="232"/>
      <c r="BY1282" s="232"/>
      <c r="BZ1282" s="232"/>
      <c r="CA1282" s="232"/>
      <c r="CB1282" s="232"/>
      <c r="CC1282" s="232"/>
      <c r="CD1282" s="232"/>
      <c r="CE1282" s="232"/>
      <c r="CF1282" s="232"/>
      <c r="CG1282" s="232"/>
      <c r="CH1282" s="232"/>
      <c r="CI1282" s="232"/>
      <c r="CJ1282" s="232"/>
      <c r="CK1282" s="232"/>
      <c r="CL1282" s="232"/>
      <c r="CM1282" s="232"/>
      <c r="CN1282" s="215"/>
      <c r="CO1282" s="215"/>
      <c r="CP1282" s="215"/>
      <c r="CQ1282" s="215"/>
      <c r="CR1282" s="215"/>
      <c r="CS1282" s="215"/>
      <c r="CT1282" s="215"/>
    </row>
    <row r="1283" ht="24.0" customHeight="1">
      <c r="A1283" s="287"/>
      <c r="B1283" s="287"/>
      <c r="C1283" s="287"/>
      <c r="D1283" s="232"/>
      <c r="E1283" s="232"/>
      <c r="F1283" s="232"/>
      <c r="G1283" s="232"/>
      <c r="H1283" s="232"/>
      <c r="I1283" s="232"/>
      <c r="J1283" s="232"/>
      <c r="K1283" s="232"/>
      <c r="L1283" s="232"/>
      <c r="M1283" s="232"/>
      <c r="N1283" s="289"/>
      <c r="O1283" s="232"/>
      <c r="P1283" s="232"/>
      <c r="Q1283" s="232"/>
      <c r="R1283" s="232"/>
      <c r="S1283" s="232"/>
      <c r="T1283" s="232"/>
      <c r="U1283" s="232"/>
      <c r="V1283" s="232"/>
      <c r="W1283" s="232"/>
      <c r="X1283" s="232"/>
      <c r="Y1283" s="232"/>
      <c r="Z1283" s="232"/>
      <c r="AA1283" s="232"/>
      <c r="AB1283" s="232"/>
      <c r="AC1283" s="232"/>
      <c r="AD1283" s="232"/>
      <c r="AE1283" s="232"/>
      <c r="AF1283" s="232"/>
      <c r="AG1283" s="232"/>
      <c r="AH1283" s="232"/>
      <c r="AI1283" s="232"/>
      <c r="AJ1283" s="232"/>
      <c r="AK1283" s="232"/>
      <c r="AL1283" s="232"/>
      <c r="AM1283" s="232"/>
      <c r="AN1283" s="232"/>
      <c r="AO1283" s="232"/>
      <c r="AP1283" s="232"/>
      <c r="AQ1283" s="232"/>
      <c r="AR1283" s="232"/>
      <c r="AS1283" s="232"/>
      <c r="AT1283" s="232"/>
      <c r="AU1283" s="232"/>
      <c r="AV1283" s="232"/>
      <c r="AW1283" s="232"/>
      <c r="AX1283" s="232"/>
      <c r="AY1283" s="232"/>
      <c r="AZ1283" s="232"/>
      <c r="BA1283" s="232"/>
      <c r="BB1283" s="232"/>
      <c r="BC1283" s="232"/>
      <c r="BD1283" s="232"/>
      <c r="BE1283" s="232"/>
      <c r="BF1283" s="232"/>
      <c r="BG1283" s="232"/>
      <c r="BH1283" s="232"/>
      <c r="BI1283" s="232"/>
      <c r="BJ1283" s="232"/>
      <c r="BK1283" s="232"/>
      <c r="BL1283" s="232"/>
      <c r="BM1283" s="232"/>
      <c r="BN1283" s="232"/>
      <c r="BO1283" s="232"/>
      <c r="BP1283" s="232"/>
      <c r="BQ1283" s="232"/>
      <c r="BR1283" s="232"/>
      <c r="BS1283" s="232"/>
      <c r="BT1283" s="232"/>
      <c r="BU1283" s="232"/>
      <c r="BV1283" s="232"/>
      <c r="BW1283" s="232"/>
      <c r="BX1283" s="232"/>
      <c r="BY1283" s="232"/>
      <c r="BZ1283" s="232"/>
      <c r="CA1283" s="232"/>
      <c r="CB1283" s="232"/>
      <c r="CC1283" s="232"/>
      <c r="CD1283" s="232"/>
      <c r="CE1283" s="232"/>
      <c r="CF1283" s="232"/>
      <c r="CG1283" s="232"/>
      <c r="CH1283" s="232"/>
      <c r="CI1283" s="232"/>
      <c r="CJ1283" s="232"/>
      <c r="CK1283" s="232"/>
      <c r="CL1283" s="232"/>
      <c r="CM1283" s="232"/>
      <c r="CN1283" s="215"/>
      <c r="CO1283" s="215"/>
      <c r="CP1283" s="215"/>
      <c r="CQ1283" s="215"/>
      <c r="CR1283" s="215"/>
      <c r="CS1283" s="215"/>
      <c r="CT1283" s="215"/>
    </row>
    <row r="1284" ht="24.0" customHeight="1">
      <c r="A1284" s="287"/>
      <c r="B1284" s="287"/>
      <c r="C1284" s="287"/>
      <c r="D1284" s="232"/>
      <c r="E1284" s="232"/>
      <c r="F1284" s="232"/>
      <c r="G1284" s="232"/>
      <c r="H1284" s="232"/>
      <c r="I1284" s="232"/>
      <c r="J1284" s="232"/>
      <c r="K1284" s="232"/>
      <c r="L1284" s="232"/>
      <c r="M1284" s="232"/>
      <c r="N1284" s="289"/>
      <c r="O1284" s="232"/>
      <c r="P1284" s="232"/>
      <c r="Q1284" s="232"/>
      <c r="R1284" s="232"/>
      <c r="S1284" s="232"/>
      <c r="T1284" s="232"/>
      <c r="U1284" s="232"/>
      <c r="V1284" s="232"/>
      <c r="W1284" s="232"/>
      <c r="X1284" s="232"/>
      <c r="Y1284" s="232"/>
      <c r="Z1284" s="232"/>
      <c r="AA1284" s="232"/>
      <c r="AB1284" s="232"/>
      <c r="AC1284" s="232"/>
      <c r="AD1284" s="232"/>
      <c r="AE1284" s="232"/>
      <c r="AF1284" s="232"/>
      <c r="AG1284" s="232"/>
      <c r="AH1284" s="232"/>
      <c r="AI1284" s="232"/>
      <c r="AJ1284" s="232"/>
      <c r="AK1284" s="232"/>
      <c r="AL1284" s="232"/>
      <c r="AM1284" s="232"/>
      <c r="AN1284" s="232"/>
      <c r="AO1284" s="232"/>
      <c r="AP1284" s="232"/>
      <c r="AQ1284" s="232"/>
      <c r="AR1284" s="232"/>
      <c r="AS1284" s="232"/>
      <c r="AT1284" s="232"/>
      <c r="AU1284" s="232"/>
      <c r="AV1284" s="232"/>
      <c r="AW1284" s="232"/>
      <c r="AX1284" s="232"/>
      <c r="AY1284" s="232"/>
      <c r="AZ1284" s="232"/>
      <c r="BA1284" s="232"/>
      <c r="BB1284" s="232"/>
      <c r="BC1284" s="232"/>
      <c r="BD1284" s="232"/>
      <c r="BE1284" s="232"/>
      <c r="BF1284" s="232"/>
      <c r="BG1284" s="232"/>
      <c r="BH1284" s="232"/>
      <c r="BI1284" s="232"/>
      <c r="BJ1284" s="232"/>
      <c r="BK1284" s="232"/>
      <c r="BL1284" s="232"/>
      <c r="BM1284" s="232"/>
      <c r="BN1284" s="232"/>
      <c r="BO1284" s="232"/>
      <c r="BP1284" s="232"/>
      <c r="BQ1284" s="232"/>
      <c r="BR1284" s="232"/>
      <c r="BS1284" s="232"/>
      <c r="BT1284" s="232"/>
      <c r="BU1284" s="232"/>
      <c r="BV1284" s="232"/>
      <c r="BW1284" s="232"/>
      <c r="BX1284" s="232"/>
      <c r="BY1284" s="232"/>
      <c r="BZ1284" s="232"/>
      <c r="CA1284" s="232"/>
      <c r="CB1284" s="232"/>
      <c r="CC1284" s="232"/>
      <c r="CD1284" s="232"/>
      <c r="CE1284" s="232"/>
      <c r="CF1284" s="232"/>
      <c r="CG1284" s="232"/>
      <c r="CH1284" s="232"/>
      <c r="CI1284" s="232"/>
      <c r="CJ1284" s="232"/>
      <c r="CK1284" s="232"/>
      <c r="CL1284" s="232"/>
      <c r="CM1284" s="232"/>
      <c r="CN1284" s="215"/>
      <c r="CO1284" s="215"/>
      <c r="CP1284" s="215"/>
      <c r="CQ1284" s="215"/>
      <c r="CR1284" s="215"/>
      <c r="CS1284" s="215"/>
      <c r="CT1284" s="215"/>
    </row>
    <row r="1285" ht="24.0" customHeight="1">
      <c r="A1285" s="287"/>
      <c r="B1285" s="287"/>
      <c r="C1285" s="287"/>
      <c r="D1285" s="232"/>
      <c r="E1285" s="232"/>
      <c r="F1285" s="232"/>
      <c r="G1285" s="232"/>
      <c r="H1285" s="232"/>
      <c r="I1285" s="232"/>
      <c r="J1285" s="232"/>
      <c r="K1285" s="232"/>
      <c r="L1285" s="232"/>
      <c r="M1285" s="232"/>
      <c r="N1285" s="289"/>
      <c r="O1285" s="232"/>
      <c r="P1285" s="232"/>
      <c r="Q1285" s="232"/>
      <c r="R1285" s="232"/>
      <c r="S1285" s="232"/>
      <c r="T1285" s="232"/>
      <c r="U1285" s="232"/>
      <c r="V1285" s="232"/>
      <c r="W1285" s="232"/>
      <c r="X1285" s="232"/>
      <c r="Y1285" s="232"/>
      <c r="Z1285" s="232"/>
      <c r="AA1285" s="232"/>
      <c r="AB1285" s="232"/>
      <c r="AC1285" s="232"/>
      <c r="AD1285" s="232"/>
      <c r="AE1285" s="232"/>
      <c r="AF1285" s="232"/>
      <c r="AG1285" s="232"/>
      <c r="AH1285" s="232"/>
      <c r="AI1285" s="232"/>
      <c r="AJ1285" s="232"/>
      <c r="AK1285" s="232"/>
      <c r="AL1285" s="232"/>
      <c r="AM1285" s="232"/>
      <c r="AN1285" s="232"/>
      <c r="AO1285" s="232"/>
      <c r="AP1285" s="232"/>
      <c r="AQ1285" s="232"/>
      <c r="AR1285" s="232"/>
      <c r="AS1285" s="232"/>
      <c r="AT1285" s="232"/>
      <c r="AU1285" s="232"/>
      <c r="AV1285" s="232"/>
      <c r="AW1285" s="232"/>
      <c r="AX1285" s="232"/>
      <c r="AY1285" s="232"/>
      <c r="AZ1285" s="232"/>
      <c r="BA1285" s="232"/>
      <c r="BB1285" s="232"/>
      <c r="BC1285" s="232"/>
      <c r="BD1285" s="232"/>
      <c r="BE1285" s="232"/>
      <c r="BF1285" s="232"/>
      <c r="BG1285" s="232"/>
      <c r="BH1285" s="232"/>
      <c r="BI1285" s="232"/>
      <c r="BJ1285" s="232"/>
      <c r="BK1285" s="232"/>
      <c r="BL1285" s="232"/>
      <c r="BM1285" s="232"/>
      <c r="BN1285" s="232"/>
      <c r="BO1285" s="232"/>
      <c r="BP1285" s="232"/>
      <c r="BQ1285" s="232"/>
      <c r="BR1285" s="232"/>
      <c r="BS1285" s="232"/>
      <c r="BT1285" s="232"/>
      <c r="BU1285" s="232"/>
      <c r="BV1285" s="232"/>
      <c r="BW1285" s="232"/>
      <c r="BX1285" s="232"/>
      <c r="BY1285" s="232"/>
      <c r="BZ1285" s="232"/>
      <c r="CA1285" s="232"/>
      <c r="CB1285" s="232"/>
      <c r="CC1285" s="232"/>
      <c r="CD1285" s="232"/>
      <c r="CE1285" s="232"/>
      <c r="CF1285" s="232"/>
      <c r="CG1285" s="232"/>
      <c r="CH1285" s="232"/>
      <c r="CI1285" s="232"/>
      <c r="CJ1285" s="232"/>
      <c r="CK1285" s="232"/>
      <c r="CL1285" s="232"/>
      <c r="CM1285" s="232"/>
      <c r="CN1285" s="215"/>
      <c r="CO1285" s="215"/>
      <c r="CP1285" s="215"/>
      <c r="CQ1285" s="215"/>
      <c r="CR1285" s="215"/>
      <c r="CS1285" s="215"/>
      <c r="CT1285" s="215"/>
    </row>
    <row r="1286" ht="24.0" customHeight="1">
      <c r="A1286" s="287"/>
      <c r="B1286" s="287"/>
      <c r="C1286" s="287"/>
      <c r="D1286" s="232"/>
      <c r="E1286" s="232"/>
      <c r="F1286" s="232"/>
      <c r="G1286" s="232"/>
      <c r="H1286" s="232"/>
      <c r="I1286" s="232"/>
      <c r="J1286" s="232"/>
      <c r="K1286" s="232"/>
      <c r="L1286" s="232"/>
      <c r="M1286" s="232"/>
      <c r="N1286" s="289"/>
      <c r="O1286" s="232"/>
      <c r="P1286" s="232"/>
      <c r="Q1286" s="232"/>
      <c r="R1286" s="232"/>
      <c r="S1286" s="232"/>
      <c r="T1286" s="232"/>
      <c r="U1286" s="232"/>
      <c r="V1286" s="232"/>
      <c r="W1286" s="232"/>
      <c r="X1286" s="232"/>
      <c r="Y1286" s="232"/>
      <c r="Z1286" s="232"/>
      <c r="AA1286" s="232"/>
      <c r="AB1286" s="232"/>
      <c r="AC1286" s="232"/>
      <c r="AD1286" s="232"/>
      <c r="AE1286" s="232"/>
      <c r="AF1286" s="232"/>
      <c r="AG1286" s="232"/>
      <c r="AH1286" s="232"/>
      <c r="AI1286" s="232"/>
      <c r="AJ1286" s="232"/>
      <c r="AK1286" s="232"/>
      <c r="AL1286" s="232"/>
      <c r="AM1286" s="232"/>
      <c r="AN1286" s="232"/>
      <c r="AO1286" s="232"/>
      <c r="AP1286" s="232"/>
      <c r="AQ1286" s="232"/>
      <c r="AR1286" s="232"/>
      <c r="AS1286" s="232"/>
      <c r="AT1286" s="232"/>
      <c r="AU1286" s="232"/>
      <c r="AV1286" s="232"/>
      <c r="AW1286" s="232"/>
      <c r="AX1286" s="232"/>
      <c r="AY1286" s="232"/>
      <c r="AZ1286" s="232"/>
      <c r="BA1286" s="232"/>
      <c r="BB1286" s="232"/>
      <c r="BC1286" s="232"/>
      <c r="BD1286" s="232"/>
      <c r="BE1286" s="232"/>
      <c r="BF1286" s="232"/>
      <c r="BG1286" s="232"/>
      <c r="BH1286" s="232"/>
      <c r="BI1286" s="232"/>
      <c r="BJ1286" s="232"/>
      <c r="BK1286" s="232"/>
      <c r="BL1286" s="232"/>
      <c r="BM1286" s="232"/>
      <c r="BN1286" s="232"/>
      <c r="BO1286" s="232"/>
      <c r="BP1286" s="232"/>
      <c r="BQ1286" s="232"/>
      <c r="BR1286" s="232"/>
      <c r="BS1286" s="232"/>
      <c r="BT1286" s="232"/>
      <c r="BU1286" s="232"/>
      <c r="BV1286" s="232"/>
      <c r="BW1286" s="232"/>
      <c r="BX1286" s="232"/>
      <c r="BY1286" s="232"/>
      <c r="BZ1286" s="232"/>
      <c r="CA1286" s="232"/>
      <c r="CB1286" s="232"/>
      <c r="CC1286" s="232"/>
      <c r="CD1286" s="232"/>
      <c r="CE1286" s="232"/>
      <c r="CF1286" s="232"/>
      <c r="CG1286" s="232"/>
      <c r="CH1286" s="232"/>
      <c r="CI1286" s="232"/>
      <c r="CJ1286" s="232"/>
      <c r="CK1286" s="232"/>
      <c r="CL1286" s="232"/>
      <c r="CM1286" s="232"/>
      <c r="CN1286" s="215"/>
      <c r="CO1286" s="215"/>
      <c r="CP1286" s="215"/>
      <c r="CQ1286" s="215"/>
      <c r="CR1286" s="215"/>
      <c r="CS1286" s="215"/>
      <c r="CT1286" s="215"/>
    </row>
    <row r="1287" ht="24.0" customHeight="1">
      <c r="A1287" s="287"/>
      <c r="B1287" s="287"/>
      <c r="C1287" s="287"/>
      <c r="D1287" s="232"/>
      <c r="E1287" s="232"/>
      <c r="F1287" s="232"/>
      <c r="G1287" s="232"/>
      <c r="H1287" s="232"/>
      <c r="I1287" s="232"/>
      <c r="J1287" s="232"/>
      <c r="K1287" s="232"/>
      <c r="L1287" s="232"/>
      <c r="M1287" s="232"/>
      <c r="N1287" s="289"/>
      <c r="O1287" s="232"/>
      <c r="P1287" s="232"/>
      <c r="Q1287" s="232"/>
      <c r="R1287" s="232"/>
      <c r="S1287" s="232"/>
      <c r="T1287" s="232"/>
      <c r="U1287" s="232"/>
      <c r="V1287" s="232"/>
      <c r="W1287" s="232"/>
      <c r="X1287" s="232"/>
      <c r="Y1287" s="232"/>
      <c r="Z1287" s="232"/>
      <c r="AA1287" s="232"/>
      <c r="AB1287" s="232"/>
      <c r="AC1287" s="232"/>
      <c r="AD1287" s="232"/>
      <c r="AE1287" s="232"/>
      <c r="AF1287" s="232"/>
      <c r="AG1287" s="232"/>
      <c r="AH1287" s="232"/>
      <c r="AI1287" s="232"/>
      <c r="AJ1287" s="232"/>
      <c r="AK1287" s="232"/>
      <c r="AL1287" s="232"/>
      <c r="AM1287" s="232"/>
      <c r="AN1287" s="232"/>
      <c r="AO1287" s="232"/>
      <c r="AP1287" s="232"/>
      <c r="AQ1287" s="232"/>
      <c r="AR1287" s="232"/>
      <c r="AS1287" s="232"/>
      <c r="AT1287" s="232"/>
      <c r="AU1287" s="232"/>
      <c r="AV1287" s="232"/>
      <c r="AW1287" s="232"/>
      <c r="AX1287" s="232"/>
      <c r="AY1287" s="232"/>
      <c r="AZ1287" s="232"/>
      <c r="BA1287" s="232"/>
      <c r="BB1287" s="232"/>
      <c r="BC1287" s="232"/>
      <c r="BD1287" s="232"/>
      <c r="BE1287" s="232"/>
      <c r="BF1287" s="232"/>
      <c r="BG1287" s="232"/>
      <c r="BH1287" s="232"/>
      <c r="BI1287" s="232"/>
      <c r="BJ1287" s="232"/>
      <c r="BK1287" s="232"/>
      <c r="BL1287" s="232"/>
      <c r="BM1287" s="232"/>
      <c r="BN1287" s="232"/>
      <c r="BO1287" s="232"/>
      <c r="BP1287" s="232"/>
      <c r="BQ1287" s="232"/>
      <c r="BR1287" s="232"/>
      <c r="BS1287" s="232"/>
      <c r="BT1287" s="232"/>
      <c r="BU1287" s="232"/>
      <c r="BV1287" s="232"/>
      <c r="BW1287" s="232"/>
      <c r="BX1287" s="232"/>
      <c r="BY1287" s="232"/>
      <c r="BZ1287" s="232"/>
      <c r="CA1287" s="232"/>
      <c r="CB1287" s="232"/>
      <c r="CC1287" s="232"/>
      <c r="CD1287" s="232"/>
      <c r="CE1287" s="232"/>
      <c r="CF1287" s="232"/>
      <c r="CG1287" s="232"/>
      <c r="CH1287" s="232"/>
      <c r="CI1287" s="232"/>
      <c r="CJ1287" s="232"/>
      <c r="CK1287" s="232"/>
      <c r="CL1287" s="232"/>
      <c r="CM1287" s="232"/>
      <c r="CN1287" s="215"/>
      <c r="CO1287" s="215"/>
      <c r="CP1287" s="215"/>
      <c r="CQ1287" s="215"/>
      <c r="CR1287" s="215"/>
      <c r="CS1287" s="215"/>
      <c r="CT1287" s="215"/>
    </row>
    <row r="1288" ht="24.0" customHeight="1">
      <c r="A1288" s="287"/>
      <c r="B1288" s="287"/>
      <c r="C1288" s="287"/>
      <c r="D1288" s="232"/>
      <c r="E1288" s="232"/>
      <c r="F1288" s="232"/>
      <c r="G1288" s="232"/>
      <c r="H1288" s="232"/>
      <c r="I1288" s="232"/>
      <c r="J1288" s="232"/>
      <c r="K1288" s="232"/>
      <c r="L1288" s="232"/>
      <c r="M1288" s="232"/>
      <c r="N1288" s="289"/>
      <c r="O1288" s="232"/>
      <c r="P1288" s="232"/>
      <c r="Q1288" s="232"/>
      <c r="R1288" s="232"/>
      <c r="S1288" s="232"/>
      <c r="T1288" s="232"/>
      <c r="U1288" s="232"/>
      <c r="V1288" s="232"/>
      <c r="W1288" s="232"/>
      <c r="X1288" s="232"/>
      <c r="Y1288" s="232"/>
      <c r="Z1288" s="232"/>
      <c r="AA1288" s="232"/>
      <c r="AB1288" s="232"/>
      <c r="AC1288" s="232"/>
      <c r="AD1288" s="232"/>
      <c r="AE1288" s="232"/>
      <c r="AF1288" s="232"/>
      <c r="AG1288" s="232"/>
      <c r="AH1288" s="232"/>
      <c r="AI1288" s="232"/>
      <c r="AJ1288" s="232"/>
      <c r="AK1288" s="232"/>
      <c r="AL1288" s="232"/>
      <c r="AM1288" s="232"/>
      <c r="AN1288" s="232"/>
      <c r="AO1288" s="232"/>
      <c r="AP1288" s="232"/>
      <c r="AQ1288" s="232"/>
      <c r="AR1288" s="232"/>
      <c r="AS1288" s="232"/>
      <c r="AT1288" s="232"/>
      <c r="AU1288" s="232"/>
      <c r="AV1288" s="232"/>
      <c r="AW1288" s="232"/>
      <c r="AX1288" s="232"/>
      <c r="AY1288" s="232"/>
      <c r="AZ1288" s="232"/>
      <c r="BA1288" s="232"/>
      <c r="BB1288" s="232"/>
      <c r="BC1288" s="232"/>
      <c r="BD1288" s="232"/>
      <c r="BE1288" s="232"/>
      <c r="BF1288" s="232"/>
      <c r="BG1288" s="232"/>
      <c r="BH1288" s="232"/>
      <c r="BI1288" s="232"/>
      <c r="BJ1288" s="232"/>
      <c r="BK1288" s="232"/>
      <c r="BL1288" s="232"/>
      <c r="BM1288" s="232"/>
      <c r="BN1288" s="232"/>
      <c r="BO1288" s="232"/>
      <c r="BP1288" s="232"/>
      <c r="BQ1288" s="232"/>
      <c r="BR1288" s="232"/>
      <c r="BS1288" s="232"/>
      <c r="BT1288" s="232"/>
      <c r="BU1288" s="232"/>
      <c r="BV1288" s="232"/>
      <c r="BW1288" s="232"/>
      <c r="BX1288" s="232"/>
      <c r="BY1288" s="232"/>
      <c r="BZ1288" s="232"/>
      <c r="CA1288" s="232"/>
      <c r="CB1288" s="232"/>
      <c r="CC1288" s="232"/>
      <c r="CD1288" s="232"/>
      <c r="CE1288" s="232"/>
      <c r="CF1288" s="232"/>
      <c r="CG1288" s="232"/>
      <c r="CH1288" s="232"/>
      <c r="CI1288" s="232"/>
      <c r="CJ1288" s="232"/>
      <c r="CK1288" s="232"/>
      <c r="CL1288" s="232"/>
      <c r="CM1288" s="232"/>
      <c r="CN1288" s="215"/>
      <c r="CO1288" s="215"/>
      <c r="CP1288" s="215"/>
      <c r="CQ1288" s="215"/>
      <c r="CR1288" s="215"/>
      <c r="CS1288" s="215"/>
      <c r="CT1288" s="215"/>
    </row>
    <row r="1289" ht="24.0" customHeight="1">
      <c r="A1289" s="287"/>
      <c r="B1289" s="287"/>
      <c r="C1289" s="287"/>
      <c r="D1289" s="232"/>
      <c r="E1289" s="232"/>
      <c r="F1289" s="232"/>
      <c r="G1289" s="232"/>
      <c r="H1289" s="232"/>
      <c r="I1289" s="232"/>
      <c r="J1289" s="232"/>
      <c r="K1289" s="232"/>
      <c r="L1289" s="232"/>
      <c r="M1289" s="232"/>
      <c r="N1289" s="289"/>
      <c r="O1289" s="232"/>
      <c r="P1289" s="232"/>
      <c r="Q1289" s="232"/>
      <c r="R1289" s="232"/>
      <c r="S1289" s="232"/>
      <c r="T1289" s="232"/>
      <c r="U1289" s="232"/>
      <c r="V1289" s="232"/>
      <c r="W1289" s="232"/>
      <c r="X1289" s="232"/>
      <c r="Y1289" s="232"/>
      <c r="Z1289" s="232"/>
      <c r="AA1289" s="232"/>
      <c r="AB1289" s="232"/>
      <c r="AC1289" s="232"/>
      <c r="AD1289" s="232"/>
      <c r="AE1289" s="232"/>
      <c r="AF1289" s="232"/>
      <c r="AG1289" s="232"/>
      <c r="AH1289" s="232"/>
      <c r="AI1289" s="232"/>
      <c r="AJ1289" s="232"/>
      <c r="AK1289" s="232"/>
      <c r="AL1289" s="232"/>
      <c r="AM1289" s="232"/>
      <c r="AN1289" s="232"/>
      <c r="AO1289" s="232"/>
      <c r="AP1289" s="232"/>
      <c r="AQ1289" s="232"/>
      <c r="AR1289" s="232"/>
      <c r="AS1289" s="232"/>
      <c r="AT1289" s="232"/>
      <c r="AU1289" s="232"/>
      <c r="AV1289" s="232"/>
      <c r="AW1289" s="232"/>
      <c r="AX1289" s="232"/>
      <c r="AY1289" s="232"/>
      <c r="AZ1289" s="232"/>
      <c r="BA1289" s="232"/>
      <c r="BB1289" s="232"/>
      <c r="BC1289" s="232"/>
      <c r="BD1289" s="232"/>
      <c r="BE1289" s="232"/>
      <c r="BF1289" s="232"/>
      <c r="BG1289" s="232"/>
      <c r="BH1289" s="232"/>
      <c r="BI1289" s="232"/>
      <c r="BJ1289" s="232"/>
      <c r="BK1289" s="232"/>
      <c r="BL1289" s="232"/>
      <c r="BM1289" s="232"/>
      <c r="BN1289" s="232"/>
      <c r="BO1289" s="232"/>
      <c r="BP1289" s="232"/>
      <c r="BQ1289" s="232"/>
      <c r="BR1289" s="232"/>
      <c r="BS1289" s="232"/>
      <c r="BT1289" s="232"/>
      <c r="BU1289" s="232"/>
      <c r="BV1289" s="232"/>
      <c r="BW1289" s="232"/>
      <c r="BX1289" s="232"/>
      <c r="BY1289" s="232"/>
      <c r="BZ1289" s="232"/>
      <c r="CA1289" s="232"/>
      <c r="CB1289" s="232"/>
      <c r="CC1289" s="232"/>
      <c r="CD1289" s="232"/>
      <c r="CE1289" s="232"/>
      <c r="CF1289" s="232"/>
      <c r="CG1289" s="232"/>
      <c r="CH1289" s="232"/>
      <c r="CI1289" s="232"/>
      <c r="CJ1289" s="232"/>
      <c r="CK1289" s="232"/>
      <c r="CL1289" s="232"/>
      <c r="CM1289" s="232"/>
      <c r="CN1289" s="215"/>
      <c r="CO1289" s="215"/>
      <c r="CP1289" s="215"/>
      <c r="CQ1289" s="215"/>
      <c r="CR1289" s="215"/>
      <c r="CS1289" s="215"/>
      <c r="CT1289" s="215"/>
    </row>
    <row r="1290" ht="24.0" customHeight="1">
      <c r="A1290" s="287"/>
      <c r="B1290" s="287"/>
      <c r="C1290" s="287"/>
      <c r="D1290" s="232"/>
      <c r="E1290" s="232"/>
      <c r="F1290" s="232"/>
      <c r="G1290" s="232"/>
      <c r="H1290" s="232"/>
      <c r="I1290" s="232"/>
      <c r="J1290" s="232"/>
      <c r="K1290" s="232"/>
      <c r="L1290" s="232"/>
      <c r="M1290" s="232"/>
      <c r="N1290" s="289"/>
      <c r="O1290" s="232"/>
      <c r="P1290" s="232"/>
      <c r="Q1290" s="232"/>
      <c r="R1290" s="232"/>
      <c r="S1290" s="232"/>
      <c r="T1290" s="232"/>
      <c r="U1290" s="232"/>
      <c r="V1290" s="232"/>
      <c r="W1290" s="232"/>
      <c r="X1290" s="232"/>
      <c r="Y1290" s="232"/>
      <c r="Z1290" s="232"/>
      <c r="AA1290" s="232"/>
      <c r="AB1290" s="232"/>
      <c r="AC1290" s="232"/>
      <c r="AD1290" s="232"/>
      <c r="AE1290" s="232"/>
      <c r="AF1290" s="232"/>
      <c r="AG1290" s="232"/>
      <c r="AH1290" s="232"/>
      <c r="AI1290" s="232"/>
      <c r="AJ1290" s="232"/>
      <c r="AK1290" s="232"/>
      <c r="AL1290" s="232"/>
      <c r="AM1290" s="232"/>
      <c r="AN1290" s="232"/>
      <c r="AO1290" s="232"/>
      <c r="AP1290" s="232"/>
      <c r="AQ1290" s="232"/>
      <c r="AR1290" s="232"/>
      <c r="AS1290" s="232"/>
      <c r="AT1290" s="232"/>
      <c r="AU1290" s="232"/>
      <c r="AV1290" s="232"/>
      <c r="AW1290" s="232"/>
      <c r="AX1290" s="232"/>
      <c r="AY1290" s="232"/>
      <c r="AZ1290" s="232"/>
      <c r="BA1290" s="232"/>
      <c r="BB1290" s="232"/>
      <c r="BC1290" s="232"/>
      <c r="BD1290" s="232"/>
      <c r="BE1290" s="232"/>
      <c r="BF1290" s="232"/>
      <c r="BG1290" s="232"/>
      <c r="BH1290" s="232"/>
      <c r="BI1290" s="232"/>
      <c r="BJ1290" s="232"/>
      <c r="BK1290" s="232"/>
      <c r="BL1290" s="232"/>
      <c r="BM1290" s="232"/>
      <c r="BN1290" s="232"/>
      <c r="BO1290" s="232"/>
      <c r="BP1290" s="232"/>
      <c r="BQ1290" s="232"/>
      <c r="BR1290" s="232"/>
      <c r="BS1290" s="232"/>
      <c r="BT1290" s="232"/>
      <c r="BU1290" s="232"/>
      <c r="BV1290" s="232"/>
      <c r="BW1290" s="232"/>
      <c r="BX1290" s="232"/>
      <c r="BY1290" s="232"/>
      <c r="BZ1290" s="232"/>
      <c r="CA1290" s="232"/>
      <c r="CB1290" s="232"/>
      <c r="CC1290" s="232"/>
      <c r="CD1290" s="232"/>
      <c r="CE1290" s="232"/>
      <c r="CF1290" s="232"/>
      <c r="CG1290" s="232"/>
      <c r="CH1290" s="232"/>
      <c r="CI1290" s="232"/>
      <c r="CJ1290" s="232"/>
      <c r="CK1290" s="232"/>
      <c r="CL1290" s="232"/>
      <c r="CM1290" s="232"/>
      <c r="CN1290" s="215"/>
      <c r="CO1290" s="215"/>
      <c r="CP1290" s="215"/>
      <c r="CQ1290" s="215"/>
      <c r="CR1290" s="215"/>
      <c r="CS1290" s="215"/>
      <c r="CT1290" s="215"/>
    </row>
    <row r="1291" ht="24.0" customHeight="1">
      <c r="A1291" s="287"/>
      <c r="B1291" s="287"/>
      <c r="C1291" s="287"/>
      <c r="D1291" s="232"/>
      <c r="E1291" s="232"/>
      <c r="F1291" s="232"/>
      <c r="G1291" s="232"/>
      <c r="H1291" s="232"/>
      <c r="I1291" s="232"/>
      <c r="J1291" s="232"/>
      <c r="K1291" s="232"/>
      <c r="L1291" s="232"/>
      <c r="M1291" s="232"/>
      <c r="N1291" s="289"/>
      <c r="O1291" s="232"/>
      <c r="P1291" s="232"/>
      <c r="Q1291" s="232"/>
      <c r="R1291" s="232"/>
      <c r="S1291" s="232"/>
      <c r="T1291" s="232"/>
      <c r="U1291" s="232"/>
      <c r="V1291" s="232"/>
      <c r="W1291" s="232"/>
      <c r="X1291" s="232"/>
      <c r="Y1291" s="232"/>
      <c r="Z1291" s="232"/>
      <c r="AA1291" s="232"/>
      <c r="AB1291" s="232"/>
      <c r="AC1291" s="232"/>
      <c r="AD1291" s="232"/>
      <c r="AE1291" s="232"/>
      <c r="AF1291" s="232"/>
      <c r="AG1291" s="232"/>
      <c r="AH1291" s="232"/>
      <c r="AI1291" s="232"/>
      <c r="AJ1291" s="232"/>
      <c r="AK1291" s="232"/>
      <c r="AL1291" s="232"/>
      <c r="AM1291" s="232"/>
      <c r="AN1291" s="232"/>
      <c r="AO1291" s="232"/>
      <c r="AP1291" s="232"/>
      <c r="AQ1291" s="232"/>
      <c r="AR1291" s="232"/>
      <c r="AS1291" s="232"/>
      <c r="AT1291" s="232"/>
      <c r="AU1291" s="232"/>
      <c r="AV1291" s="232"/>
      <c r="AW1291" s="232"/>
      <c r="AX1291" s="232"/>
      <c r="AY1291" s="232"/>
      <c r="AZ1291" s="232"/>
      <c r="BA1291" s="232"/>
      <c r="BB1291" s="232"/>
      <c r="BC1291" s="232"/>
      <c r="BD1291" s="232"/>
      <c r="BE1291" s="232"/>
      <c r="BF1291" s="232"/>
      <c r="BG1291" s="232"/>
      <c r="BH1291" s="232"/>
      <c r="BI1291" s="232"/>
      <c r="BJ1291" s="232"/>
      <c r="BK1291" s="232"/>
      <c r="BL1291" s="232"/>
      <c r="BM1291" s="232"/>
      <c r="BN1291" s="232"/>
      <c r="BO1291" s="232"/>
      <c r="BP1291" s="232"/>
      <c r="BQ1291" s="232"/>
      <c r="BR1291" s="232"/>
      <c r="BS1291" s="232"/>
      <c r="BT1291" s="232"/>
      <c r="BU1291" s="232"/>
      <c r="BV1291" s="232"/>
      <c r="BW1291" s="232"/>
      <c r="BX1291" s="232"/>
      <c r="BY1291" s="232"/>
      <c r="BZ1291" s="232"/>
      <c r="CA1291" s="232"/>
      <c r="CB1291" s="232"/>
      <c r="CC1291" s="232"/>
      <c r="CD1291" s="232"/>
      <c r="CE1291" s="232"/>
      <c r="CF1291" s="232"/>
      <c r="CG1291" s="232"/>
      <c r="CH1291" s="232"/>
      <c r="CI1291" s="232"/>
      <c r="CJ1291" s="232"/>
      <c r="CK1291" s="232"/>
      <c r="CL1291" s="232"/>
      <c r="CM1291" s="232"/>
      <c r="CN1291" s="215"/>
      <c r="CO1291" s="215"/>
      <c r="CP1291" s="215"/>
      <c r="CQ1291" s="215"/>
      <c r="CR1291" s="215"/>
      <c r="CS1291" s="215"/>
      <c r="CT1291" s="215"/>
    </row>
    <row r="1292" ht="24.0" customHeight="1">
      <c r="A1292" s="287"/>
      <c r="B1292" s="287"/>
      <c r="C1292" s="287"/>
      <c r="D1292" s="232"/>
      <c r="E1292" s="232"/>
      <c r="F1292" s="232"/>
      <c r="G1292" s="232"/>
      <c r="H1292" s="232"/>
      <c r="I1292" s="232"/>
      <c r="J1292" s="232"/>
      <c r="K1292" s="232"/>
      <c r="L1292" s="232"/>
      <c r="M1292" s="232"/>
      <c r="N1292" s="289"/>
      <c r="O1292" s="232"/>
      <c r="P1292" s="232"/>
      <c r="Q1292" s="232"/>
      <c r="R1292" s="232"/>
      <c r="S1292" s="232"/>
      <c r="T1292" s="232"/>
      <c r="U1292" s="232"/>
      <c r="V1292" s="232"/>
      <c r="W1292" s="232"/>
      <c r="X1292" s="232"/>
      <c r="Y1292" s="232"/>
      <c r="Z1292" s="232"/>
      <c r="AA1292" s="232"/>
      <c r="AB1292" s="232"/>
      <c r="AC1292" s="232"/>
      <c r="AD1292" s="232"/>
      <c r="AE1292" s="232"/>
      <c r="AF1292" s="232"/>
      <c r="AG1292" s="232"/>
      <c r="AH1292" s="232"/>
      <c r="AI1292" s="232"/>
      <c r="AJ1292" s="232"/>
      <c r="AK1292" s="232"/>
      <c r="AL1292" s="232"/>
      <c r="AM1292" s="232"/>
      <c r="AN1292" s="232"/>
      <c r="AO1292" s="232"/>
      <c r="AP1292" s="232"/>
      <c r="AQ1292" s="232"/>
      <c r="AR1292" s="232"/>
      <c r="AS1292" s="232"/>
      <c r="AT1292" s="232"/>
      <c r="AU1292" s="232"/>
      <c r="AV1292" s="232"/>
      <c r="AW1292" s="232"/>
      <c r="AX1292" s="232"/>
      <c r="AY1292" s="232"/>
      <c r="AZ1292" s="232"/>
      <c r="BA1292" s="232"/>
      <c r="BB1292" s="232"/>
      <c r="BC1292" s="232"/>
      <c r="BD1292" s="232"/>
      <c r="BE1292" s="232"/>
      <c r="BF1292" s="232"/>
      <c r="BG1292" s="232"/>
      <c r="BH1292" s="232"/>
      <c r="BI1292" s="232"/>
      <c r="BJ1292" s="232"/>
      <c r="BK1292" s="232"/>
      <c r="BL1292" s="232"/>
      <c r="BM1292" s="232"/>
      <c r="BN1292" s="232"/>
      <c r="BO1292" s="232"/>
      <c r="BP1292" s="232"/>
      <c r="BQ1292" s="232"/>
      <c r="BR1292" s="232"/>
      <c r="BS1292" s="232"/>
      <c r="BT1292" s="232"/>
      <c r="BU1292" s="232"/>
      <c r="BV1292" s="232"/>
      <c r="BW1292" s="232"/>
      <c r="BX1292" s="232"/>
      <c r="BY1292" s="232"/>
      <c r="BZ1292" s="232"/>
      <c r="CA1292" s="232"/>
      <c r="CB1292" s="232"/>
      <c r="CC1292" s="232"/>
      <c r="CD1292" s="232"/>
      <c r="CE1292" s="232"/>
      <c r="CF1292" s="232"/>
      <c r="CG1292" s="232"/>
      <c r="CH1292" s="232"/>
      <c r="CI1292" s="232"/>
      <c r="CJ1292" s="232"/>
      <c r="CK1292" s="232"/>
      <c r="CL1292" s="232"/>
      <c r="CM1292" s="232"/>
      <c r="CN1292" s="215"/>
      <c r="CO1292" s="215"/>
      <c r="CP1292" s="215"/>
      <c r="CQ1292" s="215"/>
      <c r="CR1292" s="215"/>
      <c r="CS1292" s="215"/>
      <c r="CT1292" s="215"/>
    </row>
    <row r="1293" ht="24.0" customHeight="1">
      <c r="A1293" s="287"/>
      <c r="B1293" s="287"/>
      <c r="C1293" s="287"/>
      <c r="D1293" s="232"/>
      <c r="E1293" s="232"/>
      <c r="F1293" s="232"/>
      <c r="G1293" s="232"/>
      <c r="H1293" s="232"/>
      <c r="I1293" s="232"/>
      <c r="J1293" s="232"/>
      <c r="K1293" s="232"/>
      <c r="L1293" s="232"/>
      <c r="M1293" s="232"/>
      <c r="N1293" s="289"/>
      <c r="O1293" s="232"/>
      <c r="P1293" s="232"/>
      <c r="Q1293" s="232"/>
      <c r="R1293" s="232"/>
      <c r="S1293" s="232"/>
      <c r="T1293" s="232"/>
      <c r="U1293" s="232"/>
      <c r="V1293" s="232"/>
      <c r="W1293" s="232"/>
      <c r="X1293" s="232"/>
      <c r="Y1293" s="232"/>
      <c r="Z1293" s="232"/>
      <c r="AA1293" s="232"/>
      <c r="AB1293" s="232"/>
      <c r="AC1293" s="232"/>
      <c r="AD1293" s="232"/>
      <c r="AE1293" s="232"/>
      <c r="AF1293" s="232"/>
      <c r="AG1293" s="232"/>
      <c r="AH1293" s="232"/>
      <c r="AI1293" s="232"/>
      <c r="AJ1293" s="232"/>
      <c r="AK1293" s="232"/>
      <c r="AL1293" s="232"/>
      <c r="AM1293" s="232"/>
      <c r="AN1293" s="232"/>
      <c r="AO1293" s="232"/>
      <c r="AP1293" s="232"/>
      <c r="AQ1293" s="232"/>
      <c r="AR1293" s="232"/>
      <c r="AS1293" s="232"/>
      <c r="AT1293" s="232"/>
      <c r="AU1293" s="232"/>
      <c r="AV1293" s="232"/>
      <c r="AW1293" s="232"/>
      <c r="AX1293" s="232"/>
      <c r="AY1293" s="232"/>
      <c r="AZ1293" s="232"/>
      <c r="BA1293" s="232"/>
      <c r="BB1293" s="232"/>
      <c r="BC1293" s="232"/>
      <c r="BD1293" s="232"/>
      <c r="BE1293" s="232"/>
      <c r="BF1293" s="232"/>
      <c r="BG1293" s="232"/>
      <c r="BH1293" s="232"/>
      <c r="BI1293" s="232"/>
      <c r="BJ1293" s="232"/>
      <c r="BK1293" s="232"/>
      <c r="BL1293" s="232"/>
      <c r="BM1293" s="232"/>
      <c r="BN1293" s="232"/>
      <c r="BO1293" s="232"/>
      <c r="BP1293" s="232"/>
      <c r="BQ1293" s="232"/>
      <c r="BR1293" s="232"/>
      <c r="BS1293" s="232"/>
      <c r="BT1293" s="232"/>
      <c r="BU1293" s="232"/>
      <c r="BV1293" s="232"/>
      <c r="BW1293" s="232"/>
      <c r="BX1293" s="232"/>
      <c r="BY1293" s="232"/>
      <c r="BZ1293" s="232"/>
      <c r="CA1293" s="232"/>
      <c r="CB1293" s="232"/>
      <c r="CC1293" s="232"/>
      <c r="CD1293" s="232"/>
      <c r="CE1293" s="232"/>
      <c r="CF1293" s="232"/>
      <c r="CG1293" s="232"/>
      <c r="CH1293" s="232"/>
      <c r="CI1293" s="232"/>
      <c r="CJ1293" s="232"/>
      <c r="CK1293" s="232"/>
      <c r="CL1293" s="232"/>
      <c r="CM1293" s="232"/>
      <c r="CN1293" s="215"/>
      <c r="CO1293" s="215"/>
      <c r="CP1293" s="215"/>
      <c r="CQ1293" s="215"/>
      <c r="CR1293" s="215"/>
      <c r="CS1293" s="215"/>
      <c r="CT1293" s="215"/>
    </row>
    <row r="1294" ht="24.0" customHeight="1">
      <c r="A1294" s="287"/>
      <c r="B1294" s="287"/>
      <c r="C1294" s="287"/>
      <c r="D1294" s="232"/>
      <c r="E1294" s="232"/>
      <c r="F1294" s="232"/>
      <c r="G1294" s="232"/>
      <c r="H1294" s="232"/>
      <c r="I1294" s="232"/>
      <c r="J1294" s="232"/>
      <c r="K1294" s="232"/>
      <c r="L1294" s="232"/>
      <c r="M1294" s="232"/>
      <c r="N1294" s="289"/>
      <c r="O1294" s="232"/>
      <c r="P1294" s="232"/>
      <c r="Q1294" s="232"/>
      <c r="R1294" s="232"/>
      <c r="S1294" s="232"/>
      <c r="T1294" s="232"/>
      <c r="U1294" s="232"/>
      <c r="V1294" s="232"/>
      <c r="W1294" s="232"/>
      <c r="X1294" s="232"/>
      <c r="Y1294" s="232"/>
      <c r="Z1294" s="232"/>
      <c r="AA1294" s="232"/>
      <c r="AB1294" s="232"/>
      <c r="AC1294" s="232"/>
      <c r="AD1294" s="232"/>
      <c r="AE1294" s="232"/>
      <c r="AF1294" s="232"/>
      <c r="AG1294" s="232"/>
      <c r="AH1294" s="232"/>
      <c r="AI1294" s="232"/>
      <c r="AJ1294" s="232"/>
      <c r="AK1294" s="232"/>
      <c r="AL1294" s="232"/>
      <c r="AM1294" s="232"/>
      <c r="AN1294" s="232"/>
      <c r="AO1294" s="232"/>
      <c r="AP1294" s="232"/>
      <c r="AQ1294" s="232"/>
      <c r="AR1294" s="232"/>
      <c r="AS1294" s="232"/>
      <c r="AT1294" s="232"/>
      <c r="AU1294" s="232"/>
      <c r="AV1294" s="232"/>
      <c r="AW1294" s="232"/>
      <c r="AX1294" s="232"/>
      <c r="AY1294" s="232"/>
      <c r="AZ1294" s="232"/>
      <c r="BA1294" s="232"/>
      <c r="BB1294" s="232"/>
      <c r="BC1294" s="232"/>
      <c r="BD1294" s="232"/>
      <c r="BE1294" s="232"/>
      <c r="BF1294" s="232"/>
      <c r="BG1294" s="232"/>
      <c r="BH1294" s="232"/>
      <c r="BI1294" s="232"/>
      <c r="BJ1294" s="232"/>
      <c r="BK1294" s="232"/>
      <c r="BL1294" s="232"/>
      <c r="BM1294" s="232"/>
      <c r="BN1294" s="232"/>
      <c r="BO1294" s="232"/>
      <c r="BP1294" s="232"/>
      <c r="BQ1294" s="232"/>
      <c r="BR1294" s="232"/>
      <c r="BS1294" s="232"/>
      <c r="BT1294" s="232"/>
      <c r="BU1294" s="232"/>
      <c r="BV1294" s="232"/>
      <c r="BW1294" s="232"/>
      <c r="BX1294" s="232"/>
      <c r="BY1294" s="232"/>
      <c r="BZ1294" s="232"/>
      <c r="CA1294" s="232"/>
      <c r="CB1294" s="232"/>
      <c r="CC1294" s="232"/>
      <c r="CD1294" s="232"/>
      <c r="CE1294" s="232"/>
      <c r="CF1294" s="232"/>
      <c r="CG1294" s="232"/>
      <c r="CH1294" s="232"/>
      <c r="CI1294" s="232"/>
      <c r="CJ1294" s="232"/>
      <c r="CK1294" s="232"/>
      <c r="CL1294" s="232"/>
      <c r="CM1294" s="232"/>
      <c r="CN1294" s="215"/>
      <c r="CO1294" s="215"/>
      <c r="CP1294" s="215"/>
      <c r="CQ1294" s="215"/>
      <c r="CR1294" s="215"/>
      <c r="CS1294" s="215"/>
      <c r="CT1294" s="215"/>
    </row>
    <row r="1295" ht="24.0" customHeight="1">
      <c r="A1295" s="287"/>
      <c r="B1295" s="287"/>
      <c r="C1295" s="287"/>
      <c r="D1295" s="232"/>
      <c r="E1295" s="232"/>
      <c r="F1295" s="232"/>
      <c r="G1295" s="232"/>
      <c r="H1295" s="232"/>
      <c r="I1295" s="232"/>
      <c r="J1295" s="232"/>
      <c r="K1295" s="232"/>
      <c r="L1295" s="232"/>
      <c r="M1295" s="232"/>
      <c r="N1295" s="289"/>
      <c r="O1295" s="232"/>
      <c r="P1295" s="232"/>
      <c r="Q1295" s="232"/>
      <c r="R1295" s="232"/>
      <c r="S1295" s="232"/>
      <c r="T1295" s="232"/>
      <c r="U1295" s="232"/>
      <c r="V1295" s="232"/>
      <c r="W1295" s="232"/>
      <c r="X1295" s="232"/>
      <c r="Y1295" s="232"/>
      <c r="Z1295" s="232"/>
      <c r="AA1295" s="232"/>
      <c r="AB1295" s="232"/>
      <c r="AC1295" s="232"/>
      <c r="AD1295" s="232"/>
      <c r="AE1295" s="232"/>
      <c r="AF1295" s="232"/>
      <c r="AG1295" s="232"/>
      <c r="AH1295" s="232"/>
      <c r="AI1295" s="232"/>
      <c r="AJ1295" s="232"/>
      <c r="AK1295" s="232"/>
      <c r="AL1295" s="232"/>
      <c r="AM1295" s="232"/>
      <c r="AN1295" s="232"/>
      <c r="AO1295" s="232"/>
      <c r="AP1295" s="232"/>
      <c r="AQ1295" s="232"/>
      <c r="AR1295" s="232"/>
      <c r="AS1295" s="232"/>
      <c r="AT1295" s="232"/>
      <c r="AU1295" s="232"/>
      <c r="AV1295" s="232"/>
      <c r="AW1295" s="232"/>
      <c r="AX1295" s="232"/>
      <c r="AY1295" s="232"/>
      <c r="AZ1295" s="232"/>
      <c r="BA1295" s="232"/>
      <c r="BB1295" s="232"/>
      <c r="BC1295" s="232"/>
      <c r="BD1295" s="232"/>
      <c r="BE1295" s="232"/>
      <c r="BF1295" s="232"/>
      <c r="BG1295" s="232"/>
      <c r="BH1295" s="232"/>
      <c r="BI1295" s="232"/>
      <c r="BJ1295" s="232"/>
      <c r="BK1295" s="232"/>
      <c r="BL1295" s="232"/>
      <c r="BM1295" s="232"/>
      <c r="BN1295" s="232"/>
      <c r="BO1295" s="232"/>
      <c r="BP1295" s="232"/>
      <c r="BQ1295" s="232"/>
      <c r="BR1295" s="232"/>
      <c r="BS1295" s="232"/>
      <c r="BT1295" s="232"/>
      <c r="BU1295" s="232"/>
      <c r="BV1295" s="232"/>
      <c r="BW1295" s="232"/>
      <c r="BX1295" s="232"/>
      <c r="BY1295" s="232"/>
      <c r="BZ1295" s="232"/>
      <c r="CA1295" s="232"/>
      <c r="CB1295" s="232"/>
      <c r="CC1295" s="232"/>
      <c r="CD1295" s="232"/>
      <c r="CE1295" s="232"/>
      <c r="CF1295" s="232"/>
      <c r="CG1295" s="232"/>
      <c r="CH1295" s="232"/>
      <c r="CI1295" s="232"/>
      <c r="CJ1295" s="232"/>
      <c r="CK1295" s="232"/>
      <c r="CL1295" s="232"/>
      <c r="CM1295" s="232"/>
      <c r="CN1295" s="215"/>
      <c r="CO1295" s="215"/>
      <c r="CP1295" s="215"/>
      <c r="CQ1295" s="215"/>
      <c r="CR1295" s="215"/>
      <c r="CS1295" s="215"/>
      <c r="CT1295" s="215"/>
    </row>
    <row r="1296" ht="24.0" customHeight="1">
      <c r="A1296" s="287"/>
      <c r="B1296" s="287"/>
      <c r="C1296" s="287"/>
      <c r="D1296" s="232"/>
      <c r="E1296" s="232"/>
      <c r="F1296" s="232"/>
      <c r="G1296" s="232"/>
      <c r="H1296" s="232"/>
      <c r="I1296" s="232"/>
      <c r="J1296" s="232"/>
      <c r="K1296" s="232"/>
      <c r="L1296" s="232"/>
      <c r="M1296" s="232"/>
      <c r="N1296" s="289"/>
      <c r="O1296" s="232"/>
      <c r="P1296" s="232"/>
      <c r="Q1296" s="232"/>
      <c r="R1296" s="232"/>
      <c r="S1296" s="232"/>
      <c r="T1296" s="232"/>
      <c r="U1296" s="232"/>
      <c r="V1296" s="232"/>
      <c r="W1296" s="232"/>
      <c r="X1296" s="232"/>
      <c r="Y1296" s="232"/>
      <c r="Z1296" s="232"/>
      <c r="AA1296" s="232"/>
      <c r="AB1296" s="232"/>
      <c r="AC1296" s="232"/>
      <c r="AD1296" s="232"/>
      <c r="AE1296" s="232"/>
      <c r="AF1296" s="232"/>
      <c r="AG1296" s="232"/>
      <c r="AH1296" s="232"/>
      <c r="AI1296" s="232"/>
      <c r="AJ1296" s="232"/>
      <c r="AK1296" s="232"/>
      <c r="AL1296" s="232"/>
      <c r="AM1296" s="232"/>
      <c r="AN1296" s="232"/>
      <c r="AO1296" s="232"/>
      <c r="AP1296" s="232"/>
      <c r="AQ1296" s="232"/>
      <c r="AR1296" s="232"/>
      <c r="AS1296" s="232"/>
      <c r="AT1296" s="232"/>
      <c r="AU1296" s="232"/>
      <c r="AV1296" s="232"/>
      <c r="AW1296" s="232"/>
      <c r="AX1296" s="232"/>
      <c r="AY1296" s="232"/>
      <c r="AZ1296" s="232"/>
      <c r="BA1296" s="232"/>
      <c r="BB1296" s="232"/>
      <c r="BC1296" s="232"/>
      <c r="BD1296" s="232"/>
      <c r="BE1296" s="232"/>
      <c r="BF1296" s="232"/>
      <c r="BG1296" s="232"/>
      <c r="BH1296" s="232"/>
      <c r="BI1296" s="232"/>
      <c r="BJ1296" s="232"/>
      <c r="BK1296" s="232"/>
      <c r="BL1296" s="232"/>
      <c r="BM1296" s="232"/>
      <c r="BN1296" s="232"/>
      <c r="BO1296" s="232"/>
      <c r="BP1296" s="232"/>
      <c r="BQ1296" s="232"/>
      <c r="BR1296" s="232"/>
      <c r="BS1296" s="232"/>
      <c r="BT1296" s="232"/>
      <c r="BU1296" s="232"/>
      <c r="BV1296" s="232"/>
      <c r="BW1296" s="232"/>
      <c r="BX1296" s="232"/>
      <c r="BY1296" s="232"/>
      <c r="BZ1296" s="232"/>
      <c r="CA1296" s="232"/>
      <c r="CB1296" s="232"/>
      <c r="CC1296" s="232"/>
      <c r="CD1296" s="232"/>
      <c r="CE1296" s="232"/>
      <c r="CF1296" s="232"/>
      <c r="CG1296" s="232"/>
      <c r="CH1296" s="232"/>
      <c r="CI1296" s="232"/>
      <c r="CJ1296" s="232"/>
      <c r="CK1296" s="232"/>
      <c r="CL1296" s="232"/>
      <c r="CM1296" s="232"/>
      <c r="CN1296" s="215"/>
      <c r="CO1296" s="215"/>
      <c r="CP1296" s="215"/>
      <c r="CQ1296" s="215"/>
      <c r="CR1296" s="215"/>
      <c r="CS1296" s="215"/>
      <c r="CT1296" s="215"/>
    </row>
    <row r="1297" ht="24.0" customHeight="1">
      <c r="A1297" s="287"/>
      <c r="B1297" s="287"/>
      <c r="C1297" s="287"/>
      <c r="D1297" s="232"/>
      <c r="E1297" s="232"/>
      <c r="F1297" s="232"/>
      <c r="G1297" s="232"/>
      <c r="H1297" s="232"/>
      <c r="I1297" s="232"/>
      <c r="J1297" s="232"/>
      <c r="K1297" s="232"/>
      <c r="L1297" s="232"/>
      <c r="M1297" s="232"/>
      <c r="N1297" s="289"/>
      <c r="O1297" s="232"/>
      <c r="P1297" s="232"/>
      <c r="Q1297" s="232"/>
      <c r="R1297" s="232"/>
      <c r="S1297" s="232"/>
      <c r="T1297" s="232"/>
      <c r="U1297" s="232"/>
      <c r="V1297" s="232"/>
      <c r="W1297" s="232"/>
      <c r="X1297" s="232"/>
      <c r="Y1297" s="232"/>
      <c r="Z1297" s="232"/>
      <c r="AA1297" s="232"/>
      <c r="AB1297" s="232"/>
      <c r="AC1297" s="232"/>
      <c r="AD1297" s="232"/>
      <c r="AE1297" s="232"/>
      <c r="AF1297" s="232"/>
      <c r="AG1297" s="232"/>
      <c r="AH1297" s="232"/>
      <c r="AI1297" s="232"/>
      <c r="AJ1297" s="232"/>
      <c r="AK1297" s="232"/>
      <c r="AL1297" s="232"/>
      <c r="AM1297" s="232"/>
      <c r="AN1297" s="232"/>
      <c r="AO1297" s="232"/>
      <c r="AP1297" s="232"/>
      <c r="AQ1297" s="232"/>
      <c r="AR1297" s="232"/>
      <c r="AS1297" s="232"/>
      <c r="AT1297" s="232"/>
      <c r="AU1297" s="232"/>
      <c r="AV1297" s="232"/>
      <c r="AW1297" s="232"/>
      <c r="AX1297" s="232"/>
      <c r="AY1297" s="232"/>
      <c r="AZ1297" s="232"/>
      <c r="BA1297" s="232"/>
      <c r="BB1297" s="232"/>
      <c r="BC1297" s="232"/>
      <c r="BD1297" s="232"/>
      <c r="BE1297" s="232"/>
      <c r="BF1297" s="232"/>
      <c r="BG1297" s="232"/>
      <c r="BH1297" s="232"/>
      <c r="BI1297" s="232"/>
      <c r="BJ1297" s="232"/>
      <c r="BK1297" s="232"/>
      <c r="BL1297" s="232"/>
      <c r="BM1297" s="232"/>
      <c r="BN1297" s="232"/>
      <c r="BO1297" s="232"/>
      <c r="BP1297" s="232"/>
      <c r="BQ1297" s="232"/>
      <c r="BR1297" s="232"/>
      <c r="BS1297" s="232"/>
      <c r="BT1297" s="232"/>
      <c r="BU1297" s="232"/>
      <c r="BV1297" s="232"/>
      <c r="BW1297" s="232"/>
      <c r="BX1297" s="232"/>
      <c r="BY1297" s="232"/>
      <c r="BZ1297" s="232"/>
      <c r="CA1297" s="232"/>
      <c r="CB1297" s="232"/>
      <c r="CC1297" s="232"/>
      <c r="CD1297" s="232"/>
      <c r="CE1297" s="232"/>
      <c r="CF1297" s="232"/>
      <c r="CG1297" s="232"/>
      <c r="CH1297" s="232"/>
      <c r="CI1297" s="232"/>
      <c r="CJ1297" s="232"/>
      <c r="CK1297" s="232"/>
      <c r="CL1297" s="232"/>
      <c r="CM1297" s="232"/>
      <c r="CN1297" s="215"/>
      <c r="CO1297" s="215"/>
      <c r="CP1297" s="215"/>
      <c r="CQ1297" s="215"/>
      <c r="CR1297" s="215"/>
      <c r="CS1297" s="215"/>
      <c r="CT1297" s="215"/>
    </row>
    <row r="1298" ht="24.0" customHeight="1">
      <c r="A1298" s="287"/>
      <c r="B1298" s="287"/>
      <c r="C1298" s="287"/>
      <c r="D1298" s="232"/>
      <c r="E1298" s="232"/>
      <c r="F1298" s="232"/>
      <c r="G1298" s="232"/>
      <c r="H1298" s="232"/>
      <c r="I1298" s="232"/>
      <c r="J1298" s="232"/>
      <c r="K1298" s="232"/>
      <c r="L1298" s="232"/>
      <c r="M1298" s="232"/>
      <c r="N1298" s="289"/>
      <c r="O1298" s="232"/>
      <c r="P1298" s="232"/>
      <c r="Q1298" s="232"/>
      <c r="R1298" s="232"/>
      <c r="S1298" s="232"/>
      <c r="T1298" s="232"/>
      <c r="U1298" s="232"/>
      <c r="V1298" s="232"/>
      <c r="W1298" s="232"/>
      <c r="X1298" s="232"/>
      <c r="Y1298" s="232"/>
      <c r="Z1298" s="232"/>
      <c r="AA1298" s="232"/>
      <c r="AB1298" s="232"/>
      <c r="AC1298" s="232"/>
      <c r="AD1298" s="232"/>
      <c r="AE1298" s="232"/>
      <c r="AF1298" s="232"/>
      <c r="AG1298" s="232"/>
      <c r="AH1298" s="232"/>
      <c r="AI1298" s="232"/>
      <c r="AJ1298" s="232"/>
      <c r="AK1298" s="232"/>
      <c r="AL1298" s="232"/>
      <c r="AM1298" s="232"/>
      <c r="AN1298" s="232"/>
      <c r="AO1298" s="232"/>
      <c r="AP1298" s="232"/>
      <c r="AQ1298" s="232"/>
      <c r="AR1298" s="232"/>
      <c r="AS1298" s="232"/>
      <c r="AT1298" s="232"/>
      <c r="AU1298" s="232"/>
      <c r="AV1298" s="232"/>
      <c r="AW1298" s="232"/>
      <c r="AX1298" s="232"/>
      <c r="AY1298" s="232"/>
      <c r="AZ1298" s="232"/>
      <c r="BA1298" s="232"/>
      <c r="BB1298" s="232"/>
      <c r="BC1298" s="232"/>
      <c r="BD1298" s="232"/>
      <c r="BE1298" s="232"/>
      <c r="BF1298" s="232"/>
      <c r="BG1298" s="232"/>
      <c r="BH1298" s="232"/>
      <c r="BI1298" s="232"/>
      <c r="BJ1298" s="232"/>
      <c r="BK1298" s="232"/>
      <c r="BL1298" s="232"/>
      <c r="BM1298" s="232"/>
      <c r="BN1298" s="232"/>
      <c r="BO1298" s="232"/>
      <c r="BP1298" s="232"/>
      <c r="BQ1298" s="232"/>
      <c r="BR1298" s="232"/>
      <c r="BS1298" s="232"/>
      <c r="BT1298" s="232"/>
      <c r="BU1298" s="232"/>
      <c r="BV1298" s="232"/>
      <c r="BW1298" s="232"/>
      <c r="BX1298" s="232"/>
      <c r="BY1298" s="232"/>
      <c r="BZ1298" s="232"/>
      <c r="CA1298" s="232"/>
      <c r="CB1298" s="232"/>
      <c r="CC1298" s="232"/>
      <c r="CD1298" s="232"/>
      <c r="CE1298" s="232"/>
      <c r="CF1298" s="232"/>
      <c r="CG1298" s="232"/>
      <c r="CH1298" s="232"/>
      <c r="CI1298" s="232"/>
      <c r="CJ1298" s="232"/>
      <c r="CK1298" s="232"/>
      <c r="CL1298" s="232"/>
      <c r="CM1298" s="232"/>
      <c r="CN1298" s="215"/>
      <c r="CO1298" s="215"/>
      <c r="CP1298" s="215"/>
      <c r="CQ1298" s="215"/>
      <c r="CR1298" s="215"/>
      <c r="CS1298" s="215"/>
      <c r="CT1298" s="215"/>
    </row>
    <row r="1299" ht="24.0" customHeight="1">
      <c r="A1299" s="287"/>
      <c r="B1299" s="287"/>
      <c r="C1299" s="287"/>
      <c r="D1299" s="232"/>
      <c r="E1299" s="232"/>
      <c r="F1299" s="232"/>
      <c r="G1299" s="232"/>
      <c r="H1299" s="232"/>
      <c r="I1299" s="232"/>
      <c r="J1299" s="232"/>
      <c r="K1299" s="232"/>
      <c r="L1299" s="232"/>
      <c r="M1299" s="232"/>
      <c r="N1299" s="289"/>
      <c r="O1299" s="232"/>
      <c r="P1299" s="232"/>
      <c r="Q1299" s="232"/>
      <c r="R1299" s="232"/>
      <c r="S1299" s="232"/>
      <c r="T1299" s="232"/>
      <c r="U1299" s="232"/>
      <c r="V1299" s="232"/>
      <c r="W1299" s="232"/>
      <c r="X1299" s="232"/>
      <c r="Y1299" s="232"/>
      <c r="Z1299" s="232"/>
      <c r="AA1299" s="232"/>
      <c r="AB1299" s="232"/>
      <c r="AC1299" s="232"/>
      <c r="AD1299" s="232"/>
      <c r="AE1299" s="232"/>
      <c r="AF1299" s="232"/>
      <c r="AG1299" s="232"/>
      <c r="AH1299" s="232"/>
      <c r="AI1299" s="232"/>
      <c r="AJ1299" s="232"/>
      <c r="AK1299" s="232"/>
      <c r="AL1299" s="232"/>
      <c r="AM1299" s="232"/>
      <c r="AN1299" s="232"/>
      <c r="AO1299" s="232"/>
      <c r="AP1299" s="232"/>
      <c r="AQ1299" s="232"/>
      <c r="AR1299" s="232"/>
      <c r="AS1299" s="232"/>
      <c r="AT1299" s="232"/>
      <c r="AU1299" s="232"/>
      <c r="AV1299" s="232"/>
      <c r="AW1299" s="232"/>
      <c r="AX1299" s="232"/>
      <c r="AY1299" s="232"/>
      <c r="AZ1299" s="232"/>
      <c r="BA1299" s="232"/>
      <c r="BB1299" s="232"/>
      <c r="BC1299" s="232"/>
      <c r="BD1299" s="232"/>
      <c r="BE1299" s="232"/>
      <c r="BF1299" s="232"/>
      <c r="BG1299" s="232"/>
      <c r="BH1299" s="232"/>
      <c r="BI1299" s="232"/>
      <c r="BJ1299" s="232"/>
      <c r="BK1299" s="232"/>
      <c r="BL1299" s="232"/>
      <c r="BM1299" s="232"/>
      <c r="BN1299" s="232"/>
      <c r="BO1299" s="232"/>
      <c r="BP1299" s="232"/>
      <c r="BQ1299" s="232"/>
      <c r="BR1299" s="232"/>
      <c r="BS1299" s="232"/>
      <c r="BT1299" s="232"/>
      <c r="BU1299" s="232"/>
      <c r="BV1299" s="232"/>
      <c r="BW1299" s="232"/>
      <c r="BX1299" s="232"/>
      <c r="BY1299" s="232"/>
      <c r="BZ1299" s="232"/>
      <c r="CA1299" s="232"/>
      <c r="CB1299" s="232"/>
      <c r="CC1299" s="232"/>
      <c r="CD1299" s="232"/>
      <c r="CE1299" s="232"/>
      <c r="CF1299" s="232"/>
      <c r="CG1299" s="232"/>
      <c r="CH1299" s="232"/>
      <c r="CI1299" s="232"/>
      <c r="CJ1299" s="232"/>
      <c r="CK1299" s="232"/>
      <c r="CL1299" s="232"/>
      <c r="CM1299" s="232"/>
      <c r="CN1299" s="215"/>
      <c r="CO1299" s="215"/>
      <c r="CP1299" s="215"/>
      <c r="CQ1299" s="215"/>
      <c r="CR1299" s="215"/>
      <c r="CS1299" s="215"/>
      <c r="CT1299" s="215"/>
    </row>
    <row r="1300" ht="24.0" customHeight="1">
      <c r="A1300" s="287"/>
      <c r="B1300" s="287"/>
      <c r="C1300" s="287"/>
      <c r="D1300" s="232"/>
      <c r="E1300" s="232"/>
      <c r="F1300" s="232"/>
      <c r="G1300" s="232"/>
      <c r="H1300" s="232"/>
      <c r="I1300" s="232"/>
      <c r="J1300" s="232"/>
      <c r="K1300" s="232"/>
      <c r="L1300" s="232"/>
      <c r="M1300" s="232"/>
      <c r="N1300" s="289"/>
      <c r="O1300" s="232"/>
      <c r="P1300" s="232"/>
      <c r="Q1300" s="232"/>
      <c r="R1300" s="232"/>
      <c r="S1300" s="232"/>
      <c r="T1300" s="232"/>
      <c r="U1300" s="232"/>
      <c r="V1300" s="232"/>
      <c r="W1300" s="232"/>
      <c r="X1300" s="232"/>
      <c r="Y1300" s="232"/>
      <c r="Z1300" s="232"/>
      <c r="AA1300" s="232"/>
      <c r="AB1300" s="232"/>
      <c r="AC1300" s="232"/>
      <c r="AD1300" s="232"/>
      <c r="AE1300" s="232"/>
      <c r="AF1300" s="232"/>
      <c r="AG1300" s="232"/>
      <c r="AH1300" s="232"/>
      <c r="AI1300" s="232"/>
      <c r="AJ1300" s="232"/>
      <c r="AK1300" s="232"/>
      <c r="AL1300" s="232"/>
      <c r="AM1300" s="232"/>
      <c r="AN1300" s="232"/>
      <c r="AO1300" s="232"/>
      <c r="AP1300" s="232"/>
      <c r="AQ1300" s="232"/>
      <c r="AR1300" s="232"/>
      <c r="AS1300" s="232"/>
      <c r="AT1300" s="232"/>
      <c r="AU1300" s="232"/>
      <c r="AV1300" s="232"/>
      <c r="AW1300" s="232"/>
      <c r="AX1300" s="232"/>
      <c r="AY1300" s="232"/>
      <c r="AZ1300" s="232"/>
      <c r="BA1300" s="232"/>
      <c r="BB1300" s="232"/>
      <c r="BC1300" s="232"/>
      <c r="BD1300" s="232"/>
      <c r="BE1300" s="232"/>
      <c r="BF1300" s="232"/>
      <c r="BG1300" s="232"/>
      <c r="BH1300" s="232"/>
      <c r="BI1300" s="232"/>
      <c r="BJ1300" s="232"/>
      <c r="BK1300" s="232"/>
      <c r="BL1300" s="232"/>
      <c r="BM1300" s="232"/>
      <c r="BN1300" s="232"/>
      <c r="BO1300" s="232"/>
      <c r="BP1300" s="232"/>
      <c r="BQ1300" s="232"/>
      <c r="BR1300" s="232"/>
      <c r="BS1300" s="232"/>
      <c r="BT1300" s="232"/>
      <c r="BU1300" s="232"/>
      <c r="BV1300" s="232"/>
      <c r="BW1300" s="232"/>
      <c r="BX1300" s="232"/>
      <c r="BY1300" s="232"/>
      <c r="BZ1300" s="232"/>
      <c r="CA1300" s="232"/>
      <c r="CB1300" s="232"/>
      <c r="CC1300" s="232"/>
      <c r="CD1300" s="232"/>
      <c r="CE1300" s="232"/>
      <c r="CF1300" s="232"/>
      <c r="CG1300" s="232"/>
      <c r="CH1300" s="232"/>
      <c r="CI1300" s="232"/>
      <c r="CJ1300" s="232"/>
      <c r="CK1300" s="232"/>
      <c r="CL1300" s="232"/>
      <c r="CM1300" s="232"/>
      <c r="CN1300" s="215"/>
      <c r="CO1300" s="215"/>
      <c r="CP1300" s="215"/>
      <c r="CQ1300" s="215"/>
      <c r="CR1300" s="215"/>
      <c r="CS1300" s="215"/>
      <c r="CT1300" s="215"/>
    </row>
    <row r="1301" ht="24.0" customHeight="1">
      <c r="A1301" s="287"/>
      <c r="B1301" s="287"/>
      <c r="C1301" s="287"/>
      <c r="D1301" s="232"/>
      <c r="E1301" s="232"/>
      <c r="F1301" s="232"/>
      <c r="G1301" s="232"/>
      <c r="H1301" s="232"/>
      <c r="I1301" s="232"/>
      <c r="J1301" s="232"/>
      <c r="K1301" s="232"/>
      <c r="L1301" s="232"/>
      <c r="M1301" s="232"/>
      <c r="N1301" s="289"/>
      <c r="O1301" s="232"/>
      <c r="P1301" s="232"/>
      <c r="Q1301" s="232"/>
      <c r="R1301" s="232"/>
      <c r="S1301" s="232"/>
      <c r="T1301" s="232"/>
      <c r="U1301" s="232"/>
      <c r="V1301" s="232"/>
      <c r="W1301" s="232"/>
      <c r="X1301" s="232"/>
      <c r="Y1301" s="232"/>
      <c r="Z1301" s="232"/>
      <c r="AA1301" s="232"/>
      <c r="AB1301" s="232"/>
      <c r="AC1301" s="232"/>
      <c r="AD1301" s="232"/>
      <c r="AE1301" s="232"/>
      <c r="AF1301" s="232"/>
      <c r="AG1301" s="232"/>
      <c r="AH1301" s="232"/>
      <c r="AI1301" s="232"/>
      <c r="AJ1301" s="232"/>
      <c r="AK1301" s="232"/>
      <c r="AL1301" s="232"/>
      <c r="AM1301" s="232"/>
      <c r="AN1301" s="232"/>
      <c r="AO1301" s="232"/>
      <c r="AP1301" s="232"/>
      <c r="AQ1301" s="232"/>
      <c r="AR1301" s="232"/>
      <c r="AS1301" s="232"/>
      <c r="AT1301" s="232"/>
      <c r="AU1301" s="232"/>
      <c r="AV1301" s="232"/>
      <c r="AW1301" s="232"/>
      <c r="AX1301" s="232"/>
      <c r="AY1301" s="232"/>
      <c r="AZ1301" s="232"/>
      <c r="BA1301" s="232"/>
      <c r="BB1301" s="232"/>
      <c r="BC1301" s="232"/>
      <c r="BD1301" s="232"/>
      <c r="BE1301" s="232"/>
      <c r="BF1301" s="232"/>
      <c r="BG1301" s="232"/>
      <c r="BH1301" s="232"/>
      <c r="BI1301" s="232"/>
      <c r="BJ1301" s="232"/>
      <c r="BK1301" s="232"/>
      <c r="BL1301" s="232"/>
      <c r="BM1301" s="232"/>
      <c r="BN1301" s="232"/>
      <c r="BO1301" s="232"/>
      <c r="BP1301" s="232"/>
      <c r="BQ1301" s="232"/>
      <c r="BR1301" s="232"/>
      <c r="BS1301" s="232"/>
      <c r="BT1301" s="232"/>
      <c r="BU1301" s="232"/>
      <c r="BV1301" s="232"/>
      <c r="BW1301" s="232"/>
      <c r="BX1301" s="232"/>
      <c r="BY1301" s="232"/>
      <c r="BZ1301" s="232"/>
      <c r="CA1301" s="232"/>
      <c r="CB1301" s="232"/>
      <c r="CC1301" s="232"/>
      <c r="CD1301" s="232"/>
      <c r="CE1301" s="232"/>
      <c r="CF1301" s="232"/>
      <c r="CG1301" s="232"/>
      <c r="CH1301" s="232"/>
      <c r="CI1301" s="232"/>
      <c r="CJ1301" s="232"/>
      <c r="CK1301" s="232"/>
      <c r="CL1301" s="232"/>
      <c r="CM1301" s="232"/>
      <c r="CN1301" s="215"/>
      <c r="CO1301" s="215"/>
      <c r="CP1301" s="215"/>
      <c r="CQ1301" s="215"/>
      <c r="CR1301" s="215"/>
      <c r="CS1301" s="215"/>
      <c r="CT1301" s="215"/>
    </row>
    <row r="1302" ht="24.0" customHeight="1">
      <c r="A1302" s="287"/>
      <c r="B1302" s="287"/>
      <c r="C1302" s="287"/>
      <c r="D1302" s="232"/>
      <c r="E1302" s="232"/>
      <c r="F1302" s="232"/>
      <c r="G1302" s="232"/>
      <c r="H1302" s="232"/>
      <c r="I1302" s="232"/>
      <c r="J1302" s="232"/>
      <c r="K1302" s="232"/>
      <c r="L1302" s="232"/>
      <c r="M1302" s="232"/>
      <c r="N1302" s="289"/>
      <c r="O1302" s="232"/>
      <c r="P1302" s="232"/>
      <c r="Q1302" s="232"/>
      <c r="R1302" s="232"/>
      <c r="S1302" s="232"/>
      <c r="T1302" s="232"/>
      <c r="U1302" s="232"/>
      <c r="V1302" s="232"/>
      <c r="W1302" s="232"/>
      <c r="X1302" s="232"/>
      <c r="Y1302" s="232"/>
      <c r="Z1302" s="232"/>
      <c r="AA1302" s="232"/>
      <c r="AB1302" s="232"/>
      <c r="AC1302" s="232"/>
      <c r="AD1302" s="232"/>
      <c r="AE1302" s="232"/>
      <c r="AF1302" s="232"/>
      <c r="AG1302" s="232"/>
      <c r="AH1302" s="232"/>
      <c r="AI1302" s="232"/>
      <c r="AJ1302" s="232"/>
      <c r="AK1302" s="232"/>
      <c r="AL1302" s="232"/>
      <c r="AM1302" s="232"/>
      <c r="AN1302" s="232"/>
      <c r="AO1302" s="232"/>
      <c r="AP1302" s="232"/>
      <c r="AQ1302" s="232"/>
      <c r="AR1302" s="232"/>
      <c r="AS1302" s="232"/>
      <c r="AT1302" s="232"/>
      <c r="AU1302" s="232"/>
      <c r="AV1302" s="232"/>
      <c r="AW1302" s="232"/>
      <c r="AX1302" s="232"/>
      <c r="AY1302" s="232"/>
      <c r="AZ1302" s="232"/>
      <c r="BA1302" s="232"/>
      <c r="BB1302" s="232"/>
      <c r="BC1302" s="232"/>
      <c r="BD1302" s="232"/>
      <c r="BE1302" s="232"/>
      <c r="BF1302" s="232"/>
      <c r="BG1302" s="232"/>
      <c r="BH1302" s="232"/>
      <c r="BI1302" s="232"/>
      <c r="BJ1302" s="232"/>
      <c r="BK1302" s="232"/>
      <c r="BL1302" s="232"/>
      <c r="BM1302" s="232"/>
      <c r="BN1302" s="232"/>
      <c r="BO1302" s="232"/>
      <c r="BP1302" s="232"/>
      <c r="BQ1302" s="232"/>
      <c r="BR1302" s="232"/>
      <c r="BS1302" s="232"/>
      <c r="BT1302" s="232"/>
      <c r="BU1302" s="232"/>
      <c r="BV1302" s="232"/>
      <c r="BW1302" s="232"/>
      <c r="BX1302" s="232"/>
      <c r="BY1302" s="232"/>
      <c r="BZ1302" s="232"/>
      <c r="CA1302" s="232"/>
      <c r="CB1302" s="232"/>
      <c r="CC1302" s="232"/>
      <c r="CD1302" s="232"/>
      <c r="CE1302" s="232"/>
      <c r="CF1302" s="232"/>
      <c r="CG1302" s="232"/>
      <c r="CH1302" s="232"/>
      <c r="CI1302" s="232"/>
      <c r="CJ1302" s="232"/>
      <c r="CK1302" s="232"/>
      <c r="CL1302" s="232"/>
      <c r="CM1302" s="232"/>
      <c r="CN1302" s="215"/>
      <c r="CO1302" s="215"/>
      <c r="CP1302" s="215"/>
      <c r="CQ1302" s="215"/>
      <c r="CR1302" s="215"/>
      <c r="CS1302" s="215"/>
      <c r="CT1302" s="215"/>
    </row>
    <row r="1303" ht="24.0" customHeight="1">
      <c r="A1303" s="287"/>
      <c r="B1303" s="287"/>
      <c r="C1303" s="287"/>
      <c r="D1303" s="232"/>
      <c r="E1303" s="232"/>
      <c r="F1303" s="232"/>
      <c r="G1303" s="232"/>
      <c r="H1303" s="232"/>
      <c r="I1303" s="232"/>
      <c r="J1303" s="232"/>
      <c r="K1303" s="232"/>
      <c r="L1303" s="232"/>
      <c r="M1303" s="232"/>
      <c r="N1303" s="289"/>
      <c r="O1303" s="232"/>
      <c r="P1303" s="232"/>
      <c r="Q1303" s="232"/>
      <c r="R1303" s="232"/>
      <c r="S1303" s="232"/>
      <c r="T1303" s="232"/>
      <c r="U1303" s="232"/>
      <c r="V1303" s="232"/>
      <c r="W1303" s="232"/>
      <c r="X1303" s="232"/>
      <c r="Y1303" s="232"/>
      <c r="Z1303" s="232"/>
      <c r="AA1303" s="232"/>
      <c r="AB1303" s="232"/>
      <c r="AC1303" s="232"/>
      <c r="AD1303" s="232"/>
      <c r="AE1303" s="232"/>
      <c r="AF1303" s="232"/>
      <c r="AG1303" s="232"/>
      <c r="AH1303" s="232"/>
      <c r="AI1303" s="232"/>
      <c r="AJ1303" s="232"/>
      <c r="AK1303" s="232"/>
      <c r="AL1303" s="232"/>
      <c r="AM1303" s="232"/>
      <c r="AN1303" s="232"/>
      <c r="AO1303" s="232"/>
      <c r="AP1303" s="232"/>
      <c r="AQ1303" s="232"/>
      <c r="AR1303" s="232"/>
      <c r="AS1303" s="232"/>
      <c r="AT1303" s="232"/>
      <c r="AU1303" s="232"/>
      <c r="AV1303" s="232"/>
      <c r="AW1303" s="232"/>
      <c r="AX1303" s="232"/>
      <c r="AY1303" s="232"/>
      <c r="AZ1303" s="232"/>
      <c r="BA1303" s="232"/>
      <c r="BB1303" s="232"/>
      <c r="BC1303" s="232"/>
      <c r="BD1303" s="232"/>
      <c r="BE1303" s="232"/>
      <c r="BF1303" s="232"/>
      <c r="BG1303" s="232"/>
      <c r="BH1303" s="232"/>
      <c r="BI1303" s="232"/>
      <c r="BJ1303" s="232"/>
      <c r="BK1303" s="232"/>
      <c r="BL1303" s="232"/>
      <c r="BM1303" s="232"/>
      <c r="BN1303" s="232"/>
      <c r="BO1303" s="232"/>
      <c r="BP1303" s="232"/>
      <c r="BQ1303" s="232"/>
      <c r="BR1303" s="232"/>
      <c r="BS1303" s="232"/>
      <c r="BT1303" s="232"/>
      <c r="BU1303" s="232"/>
      <c r="BV1303" s="232"/>
      <c r="BW1303" s="232"/>
      <c r="BX1303" s="232"/>
      <c r="BY1303" s="232"/>
      <c r="BZ1303" s="232"/>
      <c r="CA1303" s="232"/>
      <c r="CB1303" s="232"/>
      <c r="CC1303" s="232"/>
      <c r="CD1303" s="232"/>
      <c r="CE1303" s="232"/>
      <c r="CF1303" s="232"/>
      <c r="CG1303" s="232"/>
      <c r="CH1303" s="232"/>
      <c r="CI1303" s="232"/>
      <c r="CJ1303" s="232"/>
      <c r="CK1303" s="232"/>
      <c r="CL1303" s="232"/>
      <c r="CM1303" s="232"/>
      <c r="CN1303" s="215"/>
      <c r="CO1303" s="215"/>
      <c r="CP1303" s="215"/>
      <c r="CQ1303" s="215"/>
      <c r="CR1303" s="215"/>
      <c r="CS1303" s="215"/>
      <c r="CT1303" s="215"/>
    </row>
    <row r="1304" ht="24.0" customHeight="1">
      <c r="A1304" s="287"/>
      <c r="B1304" s="287"/>
      <c r="C1304" s="287"/>
      <c r="D1304" s="232"/>
      <c r="E1304" s="232"/>
      <c r="F1304" s="232"/>
      <c r="G1304" s="232"/>
      <c r="H1304" s="232"/>
      <c r="I1304" s="232"/>
      <c r="J1304" s="232"/>
      <c r="K1304" s="232"/>
      <c r="L1304" s="232"/>
      <c r="M1304" s="232"/>
      <c r="N1304" s="289"/>
      <c r="O1304" s="232"/>
      <c r="P1304" s="232"/>
      <c r="Q1304" s="232"/>
      <c r="R1304" s="232"/>
      <c r="S1304" s="232"/>
      <c r="T1304" s="232"/>
      <c r="U1304" s="232"/>
      <c r="V1304" s="232"/>
      <c r="W1304" s="232"/>
      <c r="X1304" s="232"/>
      <c r="Y1304" s="232"/>
      <c r="Z1304" s="232"/>
      <c r="AA1304" s="232"/>
      <c r="AB1304" s="232"/>
      <c r="AC1304" s="232"/>
      <c r="AD1304" s="232"/>
      <c r="AE1304" s="232"/>
      <c r="AF1304" s="232"/>
      <c r="AG1304" s="232"/>
      <c r="AH1304" s="232"/>
      <c r="AI1304" s="232"/>
      <c r="AJ1304" s="232"/>
      <c r="AK1304" s="232"/>
      <c r="AL1304" s="232"/>
      <c r="AM1304" s="232"/>
      <c r="AN1304" s="232"/>
      <c r="AO1304" s="232"/>
      <c r="AP1304" s="232"/>
      <c r="AQ1304" s="232"/>
      <c r="AR1304" s="232"/>
      <c r="AS1304" s="232"/>
      <c r="AT1304" s="232"/>
      <c r="AU1304" s="232"/>
      <c r="AV1304" s="232"/>
      <c r="AW1304" s="232"/>
      <c r="AX1304" s="232"/>
      <c r="AY1304" s="232"/>
      <c r="AZ1304" s="232"/>
      <c r="BA1304" s="232"/>
      <c r="BB1304" s="232"/>
      <c r="BC1304" s="232"/>
      <c r="BD1304" s="232"/>
      <c r="BE1304" s="232"/>
      <c r="BF1304" s="232"/>
      <c r="BG1304" s="232"/>
      <c r="BH1304" s="232"/>
      <c r="BI1304" s="232"/>
      <c r="BJ1304" s="232"/>
      <c r="BK1304" s="232"/>
      <c r="BL1304" s="232"/>
      <c r="BM1304" s="232"/>
      <c r="BN1304" s="232"/>
      <c r="BO1304" s="232"/>
      <c r="BP1304" s="232"/>
      <c r="BQ1304" s="232"/>
      <c r="BR1304" s="232"/>
      <c r="BS1304" s="232"/>
      <c r="BT1304" s="232"/>
      <c r="BU1304" s="232"/>
      <c r="BV1304" s="232"/>
      <c r="BW1304" s="232"/>
      <c r="BX1304" s="232"/>
      <c r="BY1304" s="232"/>
      <c r="BZ1304" s="232"/>
      <c r="CA1304" s="232"/>
      <c r="CB1304" s="232"/>
      <c r="CC1304" s="232"/>
      <c r="CD1304" s="232"/>
      <c r="CE1304" s="232"/>
      <c r="CF1304" s="232"/>
      <c r="CG1304" s="232"/>
      <c r="CH1304" s="232"/>
      <c r="CI1304" s="232"/>
      <c r="CJ1304" s="232"/>
      <c r="CK1304" s="232"/>
      <c r="CL1304" s="232"/>
      <c r="CM1304" s="232"/>
      <c r="CN1304" s="215"/>
      <c r="CO1304" s="215"/>
      <c r="CP1304" s="215"/>
      <c r="CQ1304" s="215"/>
      <c r="CR1304" s="215"/>
      <c r="CS1304" s="215"/>
      <c r="CT1304" s="215"/>
    </row>
    <row r="1305" ht="24.0" customHeight="1">
      <c r="A1305" s="287"/>
      <c r="B1305" s="287"/>
      <c r="C1305" s="287"/>
      <c r="D1305" s="232"/>
      <c r="E1305" s="232"/>
      <c r="F1305" s="232"/>
      <c r="G1305" s="232"/>
      <c r="H1305" s="232"/>
      <c r="I1305" s="232"/>
      <c r="J1305" s="232"/>
      <c r="K1305" s="232"/>
      <c r="L1305" s="232"/>
      <c r="M1305" s="232"/>
      <c r="N1305" s="289"/>
      <c r="O1305" s="232"/>
      <c r="P1305" s="232"/>
      <c r="Q1305" s="232"/>
      <c r="R1305" s="232"/>
      <c r="S1305" s="232"/>
      <c r="T1305" s="232"/>
      <c r="U1305" s="232"/>
      <c r="V1305" s="232"/>
      <c r="W1305" s="232"/>
      <c r="X1305" s="232"/>
      <c r="Y1305" s="232"/>
      <c r="Z1305" s="232"/>
      <c r="AA1305" s="232"/>
      <c r="AB1305" s="232"/>
      <c r="AC1305" s="232"/>
      <c r="AD1305" s="232"/>
      <c r="AE1305" s="232"/>
      <c r="AF1305" s="232"/>
      <c r="AG1305" s="232"/>
      <c r="AH1305" s="232"/>
      <c r="AI1305" s="232"/>
      <c r="AJ1305" s="232"/>
      <c r="AK1305" s="232"/>
      <c r="AL1305" s="232"/>
      <c r="AM1305" s="232"/>
      <c r="AN1305" s="232"/>
      <c r="AO1305" s="232"/>
      <c r="AP1305" s="232"/>
      <c r="AQ1305" s="232"/>
      <c r="AR1305" s="232"/>
      <c r="AS1305" s="232"/>
      <c r="AT1305" s="232"/>
      <c r="AU1305" s="232"/>
      <c r="AV1305" s="232"/>
      <c r="AW1305" s="232"/>
      <c r="AX1305" s="232"/>
      <c r="AY1305" s="232"/>
      <c r="AZ1305" s="232"/>
      <c r="BA1305" s="232"/>
      <c r="BB1305" s="232"/>
      <c r="BC1305" s="232"/>
      <c r="BD1305" s="232"/>
      <c r="BE1305" s="232"/>
      <c r="BF1305" s="232"/>
      <c r="BG1305" s="232"/>
      <c r="BH1305" s="232"/>
      <c r="BI1305" s="232"/>
      <c r="BJ1305" s="232"/>
      <c r="BK1305" s="232"/>
      <c r="BL1305" s="232"/>
      <c r="BM1305" s="232"/>
      <c r="BN1305" s="232"/>
      <c r="BO1305" s="232"/>
      <c r="BP1305" s="232"/>
      <c r="BQ1305" s="232"/>
      <c r="BR1305" s="232"/>
      <c r="BS1305" s="232"/>
      <c r="BT1305" s="232"/>
      <c r="BU1305" s="232"/>
      <c r="BV1305" s="232"/>
      <c r="BW1305" s="232"/>
      <c r="BX1305" s="232"/>
      <c r="BY1305" s="232"/>
      <c r="BZ1305" s="232"/>
      <c r="CA1305" s="232"/>
      <c r="CB1305" s="232"/>
      <c r="CC1305" s="232"/>
      <c r="CD1305" s="232"/>
      <c r="CE1305" s="232"/>
      <c r="CF1305" s="232"/>
      <c r="CG1305" s="232"/>
      <c r="CH1305" s="232"/>
      <c r="CI1305" s="232"/>
      <c r="CJ1305" s="232"/>
      <c r="CK1305" s="232"/>
      <c r="CL1305" s="232"/>
      <c r="CM1305" s="232"/>
      <c r="CN1305" s="215"/>
      <c r="CO1305" s="215"/>
      <c r="CP1305" s="215"/>
      <c r="CQ1305" s="215"/>
      <c r="CR1305" s="215"/>
      <c r="CS1305" s="215"/>
      <c r="CT1305" s="215"/>
    </row>
    <row r="1306" ht="24.0" customHeight="1">
      <c r="A1306" s="287"/>
      <c r="B1306" s="287"/>
      <c r="C1306" s="287"/>
      <c r="D1306" s="232"/>
      <c r="E1306" s="232"/>
      <c r="F1306" s="232"/>
      <c r="G1306" s="232"/>
      <c r="H1306" s="232"/>
      <c r="I1306" s="232"/>
      <c r="J1306" s="232"/>
      <c r="K1306" s="232"/>
      <c r="L1306" s="232"/>
      <c r="M1306" s="232"/>
      <c r="N1306" s="289"/>
      <c r="O1306" s="232"/>
      <c r="P1306" s="232"/>
      <c r="Q1306" s="232"/>
      <c r="R1306" s="232"/>
      <c r="S1306" s="232"/>
      <c r="T1306" s="232"/>
      <c r="U1306" s="232"/>
      <c r="V1306" s="232"/>
      <c r="W1306" s="232"/>
      <c r="X1306" s="232"/>
      <c r="Y1306" s="232"/>
      <c r="Z1306" s="232"/>
      <c r="AA1306" s="232"/>
      <c r="AB1306" s="232"/>
      <c r="AC1306" s="232"/>
      <c r="AD1306" s="232"/>
      <c r="AE1306" s="232"/>
      <c r="AF1306" s="232"/>
      <c r="AG1306" s="232"/>
      <c r="AH1306" s="232"/>
      <c r="AI1306" s="232"/>
      <c r="AJ1306" s="232"/>
      <c r="AK1306" s="232"/>
      <c r="AL1306" s="232"/>
      <c r="AM1306" s="232"/>
      <c r="AN1306" s="232"/>
      <c r="AO1306" s="232"/>
      <c r="AP1306" s="232"/>
      <c r="AQ1306" s="232"/>
      <c r="AR1306" s="232"/>
      <c r="AS1306" s="232"/>
      <c r="AT1306" s="232"/>
      <c r="AU1306" s="232"/>
      <c r="AV1306" s="232"/>
      <c r="AW1306" s="232"/>
      <c r="AX1306" s="232"/>
      <c r="AY1306" s="232"/>
      <c r="AZ1306" s="232"/>
      <c r="BA1306" s="232"/>
      <c r="BB1306" s="232"/>
      <c r="BC1306" s="232"/>
      <c r="BD1306" s="232"/>
      <c r="BE1306" s="232"/>
      <c r="BF1306" s="232"/>
      <c r="BG1306" s="232"/>
      <c r="BH1306" s="232"/>
      <c r="BI1306" s="232"/>
      <c r="BJ1306" s="232"/>
      <c r="BK1306" s="232"/>
      <c r="BL1306" s="232"/>
      <c r="BM1306" s="232"/>
      <c r="BN1306" s="232"/>
      <c r="BO1306" s="232"/>
      <c r="BP1306" s="232"/>
      <c r="BQ1306" s="232"/>
      <c r="BR1306" s="232"/>
      <c r="BS1306" s="232"/>
      <c r="BT1306" s="232"/>
      <c r="BU1306" s="232"/>
      <c r="BV1306" s="232"/>
      <c r="BW1306" s="232"/>
      <c r="BX1306" s="232"/>
      <c r="BY1306" s="232"/>
      <c r="BZ1306" s="232"/>
      <c r="CA1306" s="232"/>
      <c r="CB1306" s="232"/>
      <c r="CC1306" s="232"/>
      <c r="CD1306" s="232"/>
      <c r="CE1306" s="232"/>
      <c r="CF1306" s="232"/>
      <c r="CG1306" s="232"/>
      <c r="CH1306" s="232"/>
      <c r="CI1306" s="232"/>
      <c r="CJ1306" s="232"/>
      <c r="CK1306" s="232"/>
      <c r="CL1306" s="232"/>
      <c r="CM1306" s="232"/>
      <c r="CN1306" s="215"/>
      <c r="CO1306" s="215"/>
      <c r="CP1306" s="215"/>
      <c r="CQ1306" s="215"/>
      <c r="CR1306" s="215"/>
      <c r="CS1306" s="215"/>
      <c r="CT1306" s="215"/>
    </row>
    <row r="1307" ht="24.0" customHeight="1">
      <c r="A1307" s="287"/>
      <c r="B1307" s="287"/>
      <c r="C1307" s="287"/>
      <c r="D1307" s="232"/>
      <c r="E1307" s="232"/>
      <c r="F1307" s="232"/>
      <c r="G1307" s="232"/>
      <c r="H1307" s="232"/>
      <c r="I1307" s="232"/>
      <c r="J1307" s="232"/>
      <c r="K1307" s="232"/>
      <c r="L1307" s="232"/>
      <c r="M1307" s="232"/>
      <c r="N1307" s="289"/>
      <c r="O1307" s="232"/>
      <c r="P1307" s="232"/>
      <c r="Q1307" s="232"/>
      <c r="R1307" s="232"/>
      <c r="S1307" s="232"/>
      <c r="T1307" s="232"/>
      <c r="U1307" s="232"/>
      <c r="V1307" s="232"/>
      <c r="W1307" s="232"/>
      <c r="X1307" s="232"/>
      <c r="Y1307" s="232"/>
      <c r="Z1307" s="232"/>
      <c r="AA1307" s="232"/>
      <c r="AB1307" s="232"/>
      <c r="AC1307" s="232"/>
      <c r="AD1307" s="232"/>
      <c r="AE1307" s="232"/>
      <c r="AF1307" s="232"/>
      <c r="AG1307" s="232"/>
      <c r="AH1307" s="232"/>
      <c r="AI1307" s="232"/>
      <c r="AJ1307" s="232"/>
      <c r="AK1307" s="232"/>
      <c r="AL1307" s="232"/>
      <c r="AM1307" s="232"/>
      <c r="AN1307" s="232"/>
      <c r="AO1307" s="232"/>
      <c r="AP1307" s="232"/>
      <c r="AQ1307" s="232"/>
      <c r="AR1307" s="232"/>
      <c r="AS1307" s="232"/>
      <c r="AT1307" s="232"/>
      <c r="AU1307" s="232"/>
      <c r="AV1307" s="232"/>
      <c r="AW1307" s="232"/>
      <c r="AX1307" s="232"/>
      <c r="AY1307" s="232"/>
      <c r="AZ1307" s="232"/>
      <c r="BA1307" s="232"/>
      <c r="BB1307" s="232"/>
      <c r="BC1307" s="232"/>
      <c r="BD1307" s="232"/>
      <c r="BE1307" s="232"/>
      <c r="BF1307" s="232"/>
      <c r="BG1307" s="232"/>
      <c r="BH1307" s="232"/>
      <c r="BI1307" s="232"/>
      <c r="BJ1307" s="232"/>
      <c r="BK1307" s="232"/>
      <c r="BL1307" s="232"/>
      <c r="BM1307" s="232"/>
      <c r="BN1307" s="232"/>
      <c r="BO1307" s="232"/>
      <c r="BP1307" s="232"/>
      <c r="BQ1307" s="232"/>
      <c r="BR1307" s="232"/>
      <c r="BS1307" s="232"/>
      <c r="BT1307" s="232"/>
      <c r="BU1307" s="232"/>
      <c r="BV1307" s="232"/>
      <c r="BW1307" s="232"/>
      <c r="BX1307" s="232"/>
      <c r="BY1307" s="232"/>
      <c r="BZ1307" s="232"/>
      <c r="CA1307" s="232"/>
      <c r="CB1307" s="232"/>
      <c r="CC1307" s="232"/>
      <c r="CD1307" s="232"/>
      <c r="CE1307" s="232"/>
      <c r="CF1307" s="232"/>
      <c r="CG1307" s="232"/>
      <c r="CH1307" s="232"/>
      <c r="CI1307" s="232"/>
      <c r="CJ1307" s="232"/>
      <c r="CK1307" s="232"/>
      <c r="CL1307" s="232"/>
      <c r="CM1307" s="232"/>
      <c r="CN1307" s="215"/>
      <c r="CO1307" s="215"/>
      <c r="CP1307" s="215"/>
      <c r="CQ1307" s="215"/>
      <c r="CR1307" s="215"/>
      <c r="CS1307" s="215"/>
      <c r="CT1307" s="215"/>
    </row>
    <row r="1308" ht="24.0" customHeight="1">
      <c r="A1308" s="287"/>
      <c r="B1308" s="287"/>
      <c r="C1308" s="287"/>
      <c r="D1308" s="232"/>
      <c r="E1308" s="232"/>
      <c r="F1308" s="232"/>
      <c r="G1308" s="232"/>
      <c r="H1308" s="232"/>
      <c r="I1308" s="232"/>
      <c r="J1308" s="232"/>
      <c r="K1308" s="232"/>
      <c r="L1308" s="232"/>
      <c r="M1308" s="232"/>
      <c r="N1308" s="289"/>
      <c r="O1308" s="232"/>
      <c r="P1308" s="232"/>
      <c r="Q1308" s="232"/>
      <c r="R1308" s="232"/>
      <c r="S1308" s="232"/>
      <c r="T1308" s="232"/>
      <c r="U1308" s="232"/>
      <c r="V1308" s="232"/>
      <c r="W1308" s="232"/>
      <c r="X1308" s="232"/>
      <c r="Y1308" s="232"/>
      <c r="Z1308" s="232"/>
      <c r="AA1308" s="232"/>
      <c r="AB1308" s="232"/>
      <c r="AC1308" s="232"/>
      <c r="AD1308" s="232"/>
      <c r="AE1308" s="232"/>
      <c r="AF1308" s="232"/>
      <c r="AG1308" s="232"/>
      <c r="AH1308" s="232"/>
      <c r="AI1308" s="232"/>
      <c r="AJ1308" s="232"/>
      <c r="AK1308" s="232"/>
      <c r="AL1308" s="232"/>
      <c r="AM1308" s="232"/>
      <c r="AN1308" s="232"/>
      <c r="AO1308" s="232"/>
      <c r="AP1308" s="232"/>
      <c r="AQ1308" s="232"/>
      <c r="AR1308" s="232"/>
      <c r="AS1308" s="232"/>
      <c r="AT1308" s="232"/>
      <c r="AU1308" s="232"/>
      <c r="AV1308" s="232"/>
      <c r="AW1308" s="232"/>
      <c r="AX1308" s="232"/>
      <c r="AY1308" s="232"/>
      <c r="AZ1308" s="232"/>
      <c r="BA1308" s="232"/>
      <c r="BB1308" s="232"/>
      <c r="BC1308" s="232"/>
      <c r="BD1308" s="232"/>
      <c r="BE1308" s="232"/>
      <c r="BF1308" s="232"/>
      <c r="BG1308" s="232"/>
      <c r="BH1308" s="232"/>
      <c r="BI1308" s="232"/>
      <c r="BJ1308" s="232"/>
      <c r="BK1308" s="232"/>
      <c r="BL1308" s="232"/>
      <c r="BM1308" s="232"/>
      <c r="BN1308" s="232"/>
      <c r="BO1308" s="232"/>
      <c r="BP1308" s="232"/>
      <c r="BQ1308" s="232"/>
      <c r="BR1308" s="232"/>
      <c r="BS1308" s="232"/>
      <c r="BT1308" s="232"/>
      <c r="BU1308" s="232"/>
      <c r="BV1308" s="232"/>
      <c r="BW1308" s="232"/>
      <c r="BX1308" s="232"/>
      <c r="BY1308" s="232"/>
      <c r="BZ1308" s="232"/>
      <c r="CA1308" s="232"/>
      <c r="CB1308" s="232"/>
      <c r="CC1308" s="232"/>
      <c r="CD1308" s="232"/>
      <c r="CE1308" s="232"/>
      <c r="CF1308" s="232"/>
      <c r="CG1308" s="232"/>
      <c r="CH1308" s="232"/>
      <c r="CI1308" s="232"/>
      <c r="CJ1308" s="232"/>
      <c r="CK1308" s="232"/>
      <c r="CL1308" s="232"/>
      <c r="CM1308" s="232"/>
      <c r="CN1308" s="215"/>
      <c r="CO1308" s="215"/>
      <c r="CP1308" s="215"/>
      <c r="CQ1308" s="215"/>
      <c r="CR1308" s="215"/>
      <c r="CS1308" s="215"/>
      <c r="CT1308" s="215"/>
    </row>
    <row r="1309" ht="24.0" customHeight="1">
      <c r="A1309" s="287"/>
      <c r="B1309" s="287"/>
      <c r="C1309" s="287"/>
      <c r="D1309" s="232"/>
      <c r="E1309" s="232"/>
      <c r="F1309" s="232"/>
      <c r="G1309" s="232"/>
      <c r="H1309" s="232"/>
      <c r="I1309" s="232"/>
      <c r="J1309" s="232"/>
      <c r="K1309" s="232"/>
      <c r="L1309" s="232"/>
      <c r="M1309" s="232"/>
      <c r="N1309" s="289"/>
      <c r="O1309" s="232"/>
      <c r="P1309" s="232"/>
      <c r="Q1309" s="232"/>
      <c r="R1309" s="232"/>
      <c r="S1309" s="232"/>
      <c r="T1309" s="232"/>
      <c r="U1309" s="232"/>
      <c r="V1309" s="232"/>
      <c r="W1309" s="232"/>
      <c r="X1309" s="232"/>
      <c r="Y1309" s="232"/>
      <c r="Z1309" s="232"/>
      <c r="AA1309" s="232"/>
      <c r="AB1309" s="232"/>
      <c r="AC1309" s="232"/>
      <c r="AD1309" s="232"/>
      <c r="AE1309" s="232"/>
      <c r="AF1309" s="232"/>
      <c r="AG1309" s="232"/>
      <c r="AH1309" s="232"/>
      <c r="AI1309" s="232"/>
      <c r="AJ1309" s="232"/>
      <c r="AK1309" s="232"/>
      <c r="AL1309" s="232"/>
      <c r="AM1309" s="232"/>
      <c r="AN1309" s="232"/>
      <c r="AO1309" s="232"/>
      <c r="AP1309" s="232"/>
      <c r="AQ1309" s="232"/>
      <c r="AR1309" s="232"/>
      <c r="AS1309" s="232"/>
      <c r="AT1309" s="232"/>
      <c r="AU1309" s="232"/>
      <c r="AV1309" s="232"/>
      <c r="AW1309" s="232"/>
      <c r="AX1309" s="232"/>
      <c r="AY1309" s="232"/>
      <c r="AZ1309" s="232"/>
      <c r="BA1309" s="232"/>
      <c r="BB1309" s="232"/>
      <c r="BC1309" s="232"/>
      <c r="BD1309" s="232"/>
      <c r="BE1309" s="232"/>
      <c r="BF1309" s="232"/>
      <c r="BG1309" s="232"/>
      <c r="BH1309" s="232"/>
      <c r="BI1309" s="232"/>
      <c r="BJ1309" s="232"/>
      <c r="BK1309" s="232"/>
      <c r="BL1309" s="232"/>
      <c r="BM1309" s="232"/>
      <c r="BN1309" s="232"/>
      <c r="BO1309" s="232"/>
      <c r="BP1309" s="232"/>
      <c r="BQ1309" s="232"/>
      <c r="BR1309" s="232"/>
      <c r="BS1309" s="232"/>
      <c r="BT1309" s="232"/>
      <c r="BU1309" s="232"/>
      <c r="BV1309" s="232"/>
      <c r="BW1309" s="232"/>
      <c r="BX1309" s="232"/>
      <c r="BY1309" s="232"/>
      <c r="BZ1309" s="232"/>
      <c r="CA1309" s="232"/>
      <c r="CB1309" s="232"/>
      <c r="CC1309" s="232"/>
      <c r="CD1309" s="232"/>
      <c r="CE1309" s="232"/>
      <c r="CF1309" s="232"/>
      <c r="CG1309" s="232"/>
      <c r="CH1309" s="232"/>
      <c r="CI1309" s="232"/>
      <c r="CJ1309" s="232"/>
      <c r="CK1309" s="232"/>
      <c r="CL1309" s="232"/>
      <c r="CM1309" s="232"/>
      <c r="CN1309" s="215"/>
      <c r="CO1309" s="215"/>
      <c r="CP1309" s="215"/>
      <c r="CQ1309" s="215"/>
      <c r="CR1309" s="215"/>
      <c r="CS1309" s="215"/>
      <c r="CT1309" s="215"/>
    </row>
    <row r="1310" ht="24.0" customHeight="1">
      <c r="A1310" s="287"/>
      <c r="B1310" s="287"/>
      <c r="C1310" s="287"/>
      <c r="D1310" s="232"/>
      <c r="E1310" s="232"/>
      <c r="F1310" s="232"/>
      <c r="G1310" s="232"/>
      <c r="H1310" s="232"/>
      <c r="I1310" s="232"/>
      <c r="J1310" s="232"/>
      <c r="K1310" s="232"/>
      <c r="L1310" s="232"/>
      <c r="M1310" s="232"/>
      <c r="N1310" s="289"/>
      <c r="O1310" s="232"/>
      <c r="P1310" s="232"/>
      <c r="Q1310" s="232"/>
      <c r="R1310" s="232"/>
      <c r="S1310" s="232"/>
      <c r="T1310" s="232"/>
      <c r="U1310" s="232"/>
      <c r="V1310" s="232"/>
      <c r="W1310" s="232"/>
      <c r="X1310" s="232"/>
      <c r="Y1310" s="232"/>
      <c r="Z1310" s="232"/>
      <c r="AA1310" s="232"/>
      <c r="AB1310" s="232"/>
      <c r="AC1310" s="232"/>
      <c r="AD1310" s="232"/>
      <c r="AE1310" s="232"/>
      <c r="AF1310" s="232"/>
      <c r="AG1310" s="232"/>
      <c r="AH1310" s="232"/>
      <c r="AI1310" s="232"/>
      <c r="AJ1310" s="232"/>
      <c r="AK1310" s="232"/>
      <c r="AL1310" s="232"/>
      <c r="AM1310" s="232"/>
      <c r="AN1310" s="232"/>
      <c r="AO1310" s="232"/>
      <c r="AP1310" s="232"/>
      <c r="AQ1310" s="232"/>
      <c r="AR1310" s="232"/>
      <c r="AS1310" s="232"/>
      <c r="AT1310" s="232"/>
      <c r="AU1310" s="232"/>
      <c r="AV1310" s="232"/>
      <c r="AW1310" s="232"/>
      <c r="AX1310" s="232"/>
      <c r="AY1310" s="232"/>
      <c r="AZ1310" s="232"/>
      <c r="BA1310" s="232"/>
      <c r="BB1310" s="232"/>
      <c r="BC1310" s="232"/>
      <c r="BD1310" s="232"/>
      <c r="BE1310" s="232"/>
      <c r="BF1310" s="232"/>
      <c r="BG1310" s="232"/>
      <c r="BH1310" s="232"/>
      <c r="BI1310" s="232"/>
      <c r="BJ1310" s="232"/>
      <c r="BK1310" s="232"/>
      <c r="BL1310" s="232"/>
      <c r="BM1310" s="232"/>
      <c r="BN1310" s="232"/>
      <c r="BO1310" s="232"/>
      <c r="BP1310" s="232"/>
      <c r="BQ1310" s="232"/>
      <c r="BR1310" s="232"/>
      <c r="BS1310" s="232"/>
      <c r="BT1310" s="232"/>
      <c r="BU1310" s="232"/>
      <c r="BV1310" s="232"/>
      <c r="BW1310" s="232"/>
      <c r="BX1310" s="232"/>
      <c r="BY1310" s="232"/>
      <c r="BZ1310" s="232"/>
      <c r="CA1310" s="232"/>
      <c r="CB1310" s="232"/>
      <c r="CC1310" s="232"/>
      <c r="CD1310" s="232"/>
      <c r="CE1310" s="232"/>
      <c r="CF1310" s="232"/>
      <c r="CG1310" s="232"/>
      <c r="CH1310" s="232"/>
      <c r="CI1310" s="232"/>
      <c r="CJ1310" s="232"/>
      <c r="CK1310" s="232"/>
      <c r="CL1310" s="232"/>
      <c r="CM1310" s="232"/>
      <c r="CN1310" s="215"/>
      <c r="CO1310" s="215"/>
      <c r="CP1310" s="215"/>
      <c r="CQ1310" s="215"/>
      <c r="CR1310" s="215"/>
      <c r="CS1310" s="215"/>
      <c r="CT1310" s="215"/>
    </row>
    <row r="1311" ht="24.0" customHeight="1">
      <c r="A1311" s="287"/>
      <c r="B1311" s="287"/>
      <c r="C1311" s="287"/>
      <c r="D1311" s="232"/>
      <c r="E1311" s="232"/>
      <c r="F1311" s="232"/>
      <c r="G1311" s="232"/>
      <c r="H1311" s="232"/>
      <c r="I1311" s="232"/>
      <c r="J1311" s="232"/>
      <c r="K1311" s="232"/>
      <c r="L1311" s="232"/>
      <c r="M1311" s="232"/>
      <c r="N1311" s="289"/>
      <c r="O1311" s="232"/>
      <c r="P1311" s="232"/>
      <c r="Q1311" s="232"/>
      <c r="R1311" s="232"/>
      <c r="S1311" s="232"/>
      <c r="T1311" s="232"/>
      <c r="U1311" s="232"/>
      <c r="V1311" s="232"/>
      <c r="W1311" s="232"/>
      <c r="X1311" s="232"/>
      <c r="Y1311" s="232"/>
      <c r="Z1311" s="232"/>
      <c r="AA1311" s="232"/>
      <c r="AB1311" s="232"/>
      <c r="AC1311" s="232"/>
      <c r="AD1311" s="232"/>
      <c r="AE1311" s="232"/>
      <c r="AF1311" s="232"/>
      <c r="AG1311" s="232"/>
      <c r="AH1311" s="232"/>
      <c r="AI1311" s="232"/>
      <c r="AJ1311" s="232"/>
      <c r="AK1311" s="232"/>
      <c r="AL1311" s="232"/>
      <c r="AM1311" s="232"/>
      <c r="AN1311" s="232"/>
      <c r="AO1311" s="232"/>
      <c r="AP1311" s="232"/>
      <c r="AQ1311" s="232"/>
      <c r="AR1311" s="232"/>
      <c r="AS1311" s="232"/>
      <c r="AT1311" s="232"/>
      <c r="AU1311" s="232"/>
      <c r="AV1311" s="232"/>
      <c r="AW1311" s="232"/>
      <c r="AX1311" s="232"/>
      <c r="AY1311" s="232"/>
      <c r="AZ1311" s="232"/>
      <c r="BA1311" s="232"/>
      <c r="BB1311" s="232"/>
      <c r="BC1311" s="232"/>
      <c r="BD1311" s="232"/>
      <c r="BE1311" s="232"/>
      <c r="BF1311" s="232"/>
      <c r="BG1311" s="232"/>
      <c r="BH1311" s="232"/>
      <c r="BI1311" s="232"/>
      <c r="BJ1311" s="232"/>
      <c r="BK1311" s="232"/>
      <c r="BL1311" s="232"/>
      <c r="BM1311" s="232"/>
      <c r="BN1311" s="232"/>
      <c r="BO1311" s="232"/>
      <c r="BP1311" s="232"/>
      <c r="BQ1311" s="232"/>
      <c r="BR1311" s="232"/>
      <c r="BS1311" s="232"/>
      <c r="BT1311" s="232"/>
      <c r="BU1311" s="232"/>
      <c r="BV1311" s="232"/>
      <c r="BW1311" s="232"/>
      <c r="BX1311" s="232"/>
      <c r="BY1311" s="232"/>
      <c r="BZ1311" s="232"/>
      <c r="CA1311" s="232"/>
      <c r="CB1311" s="232"/>
      <c r="CC1311" s="232"/>
      <c r="CD1311" s="232"/>
      <c r="CE1311" s="232"/>
      <c r="CF1311" s="232"/>
      <c r="CG1311" s="232"/>
      <c r="CH1311" s="232"/>
      <c r="CI1311" s="232"/>
      <c r="CJ1311" s="232"/>
      <c r="CK1311" s="232"/>
      <c r="CL1311" s="232"/>
      <c r="CM1311" s="232"/>
      <c r="CN1311" s="215"/>
      <c r="CO1311" s="215"/>
      <c r="CP1311" s="215"/>
      <c r="CQ1311" s="215"/>
      <c r="CR1311" s="215"/>
      <c r="CS1311" s="215"/>
      <c r="CT1311" s="215"/>
    </row>
    <row r="1312" ht="24.0" customHeight="1">
      <c r="A1312" s="287"/>
      <c r="B1312" s="287"/>
      <c r="C1312" s="287"/>
      <c r="D1312" s="232"/>
      <c r="E1312" s="232"/>
      <c r="F1312" s="232"/>
      <c r="G1312" s="232"/>
      <c r="H1312" s="232"/>
      <c r="I1312" s="232"/>
      <c r="J1312" s="232"/>
      <c r="K1312" s="232"/>
      <c r="L1312" s="232"/>
      <c r="M1312" s="232"/>
      <c r="N1312" s="289"/>
      <c r="O1312" s="232"/>
      <c r="P1312" s="232"/>
      <c r="Q1312" s="232"/>
      <c r="R1312" s="232"/>
      <c r="S1312" s="232"/>
      <c r="T1312" s="232"/>
      <c r="U1312" s="232"/>
      <c r="V1312" s="232"/>
      <c r="W1312" s="232"/>
      <c r="X1312" s="232"/>
      <c r="Y1312" s="232"/>
      <c r="Z1312" s="232"/>
      <c r="AA1312" s="232"/>
      <c r="AB1312" s="232"/>
      <c r="AC1312" s="232"/>
      <c r="AD1312" s="232"/>
      <c r="AE1312" s="232"/>
      <c r="AF1312" s="232"/>
      <c r="AG1312" s="232"/>
      <c r="AH1312" s="232"/>
      <c r="AI1312" s="232"/>
      <c r="AJ1312" s="232"/>
      <c r="AK1312" s="232"/>
      <c r="AL1312" s="232"/>
      <c r="AM1312" s="232"/>
      <c r="AN1312" s="232"/>
      <c r="AO1312" s="232"/>
      <c r="AP1312" s="232"/>
      <c r="AQ1312" s="232"/>
      <c r="AR1312" s="232"/>
      <c r="AS1312" s="232"/>
      <c r="AT1312" s="232"/>
      <c r="AU1312" s="232"/>
      <c r="AV1312" s="232"/>
      <c r="AW1312" s="232"/>
      <c r="AX1312" s="232"/>
      <c r="AY1312" s="232"/>
      <c r="AZ1312" s="232"/>
      <c r="BA1312" s="232"/>
      <c r="BB1312" s="232"/>
      <c r="BC1312" s="232"/>
      <c r="BD1312" s="232"/>
      <c r="BE1312" s="232"/>
      <c r="BF1312" s="232"/>
      <c r="BG1312" s="232"/>
      <c r="BH1312" s="232"/>
      <c r="BI1312" s="232"/>
      <c r="BJ1312" s="232"/>
      <c r="BK1312" s="232"/>
      <c r="BL1312" s="232"/>
      <c r="BM1312" s="232"/>
      <c r="BN1312" s="232"/>
      <c r="BO1312" s="232"/>
      <c r="BP1312" s="232"/>
      <c r="BQ1312" s="232"/>
      <c r="BR1312" s="232"/>
      <c r="BS1312" s="232"/>
      <c r="BT1312" s="232"/>
      <c r="BU1312" s="232"/>
      <c r="BV1312" s="232"/>
      <c r="BW1312" s="232"/>
      <c r="BX1312" s="232"/>
      <c r="BY1312" s="232"/>
      <c r="BZ1312" s="232"/>
      <c r="CA1312" s="232"/>
      <c r="CB1312" s="232"/>
      <c r="CC1312" s="232"/>
      <c r="CD1312" s="232"/>
      <c r="CE1312" s="232"/>
      <c r="CF1312" s="232"/>
      <c r="CG1312" s="232"/>
      <c r="CH1312" s="232"/>
      <c r="CI1312" s="232"/>
      <c r="CJ1312" s="232"/>
      <c r="CK1312" s="232"/>
      <c r="CL1312" s="232"/>
      <c r="CM1312" s="232"/>
      <c r="CN1312" s="215"/>
      <c r="CO1312" s="215"/>
      <c r="CP1312" s="215"/>
      <c r="CQ1312" s="215"/>
      <c r="CR1312" s="215"/>
      <c r="CS1312" s="215"/>
      <c r="CT1312" s="215"/>
    </row>
    <row r="1313" ht="24.0" customHeight="1">
      <c r="A1313" s="287"/>
      <c r="B1313" s="287"/>
      <c r="C1313" s="287"/>
      <c r="D1313" s="232"/>
      <c r="E1313" s="232"/>
      <c r="F1313" s="232"/>
      <c r="G1313" s="232"/>
      <c r="H1313" s="232"/>
      <c r="I1313" s="232"/>
      <c r="J1313" s="232"/>
      <c r="K1313" s="232"/>
      <c r="L1313" s="232"/>
      <c r="M1313" s="232"/>
      <c r="N1313" s="289"/>
      <c r="O1313" s="232"/>
      <c r="P1313" s="232"/>
      <c r="Q1313" s="232"/>
      <c r="R1313" s="232"/>
      <c r="S1313" s="232"/>
      <c r="T1313" s="232"/>
      <c r="U1313" s="232"/>
      <c r="V1313" s="232"/>
      <c r="W1313" s="232"/>
      <c r="X1313" s="232"/>
      <c r="Y1313" s="232"/>
      <c r="Z1313" s="232"/>
      <c r="AA1313" s="232"/>
      <c r="AB1313" s="232"/>
      <c r="AC1313" s="232"/>
      <c r="AD1313" s="232"/>
      <c r="AE1313" s="232"/>
      <c r="AF1313" s="232"/>
      <c r="AG1313" s="232"/>
      <c r="AH1313" s="232"/>
      <c r="AI1313" s="232"/>
      <c r="AJ1313" s="232"/>
      <c r="AK1313" s="232"/>
      <c r="AL1313" s="232"/>
      <c r="AM1313" s="232"/>
      <c r="AN1313" s="232"/>
      <c r="AO1313" s="232"/>
      <c r="AP1313" s="232"/>
      <c r="AQ1313" s="232"/>
      <c r="AR1313" s="232"/>
      <c r="AS1313" s="232"/>
      <c r="AT1313" s="232"/>
      <c r="AU1313" s="232"/>
      <c r="AV1313" s="232"/>
      <c r="AW1313" s="232"/>
      <c r="AX1313" s="232"/>
      <c r="AY1313" s="232"/>
      <c r="AZ1313" s="232"/>
      <c r="BA1313" s="232"/>
      <c r="BB1313" s="232"/>
      <c r="BC1313" s="232"/>
      <c r="BD1313" s="232"/>
      <c r="BE1313" s="232"/>
      <c r="BF1313" s="232"/>
      <c r="BG1313" s="232"/>
      <c r="BH1313" s="232"/>
      <c r="BI1313" s="232"/>
      <c r="BJ1313" s="232"/>
      <c r="BK1313" s="232"/>
      <c r="BL1313" s="232"/>
      <c r="BM1313" s="232"/>
      <c r="BN1313" s="232"/>
      <c r="BO1313" s="232"/>
      <c r="BP1313" s="232"/>
      <c r="BQ1313" s="232"/>
      <c r="BR1313" s="232"/>
      <c r="BS1313" s="232"/>
      <c r="BT1313" s="232"/>
      <c r="BU1313" s="232"/>
      <c r="BV1313" s="232"/>
      <c r="BW1313" s="232"/>
      <c r="BX1313" s="232"/>
      <c r="BY1313" s="232"/>
      <c r="BZ1313" s="232"/>
      <c r="CA1313" s="232"/>
      <c r="CB1313" s="232"/>
      <c r="CC1313" s="232"/>
      <c r="CD1313" s="232"/>
      <c r="CE1313" s="232"/>
      <c r="CF1313" s="232"/>
      <c r="CG1313" s="232"/>
      <c r="CH1313" s="232"/>
      <c r="CI1313" s="232"/>
      <c r="CJ1313" s="232"/>
      <c r="CK1313" s="232"/>
      <c r="CL1313" s="232"/>
      <c r="CM1313" s="232"/>
      <c r="CN1313" s="215"/>
      <c r="CO1313" s="215"/>
      <c r="CP1313" s="215"/>
      <c r="CQ1313" s="215"/>
      <c r="CR1313" s="215"/>
      <c r="CS1313" s="215"/>
      <c r="CT1313" s="215"/>
    </row>
    <row r="1314" ht="24.0" customHeight="1">
      <c r="A1314" s="287"/>
      <c r="B1314" s="287"/>
      <c r="C1314" s="287"/>
      <c r="D1314" s="232"/>
      <c r="E1314" s="232"/>
      <c r="F1314" s="232"/>
      <c r="G1314" s="232"/>
      <c r="H1314" s="232"/>
      <c r="I1314" s="232"/>
      <c r="J1314" s="232"/>
      <c r="K1314" s="232"/>
      <c r="L1314" s="232"/>
      <c r="M1314" s="232"/>
      <c r="N1314" s="289"/>
      <c r="O1314" s="232"/>
      <c r="P1314" s="232"/>
      <c r="Q1314" s="232"/>
      <c r="R1314" s="232"/>
      <c r="S1314" s="232"/>
      <c r="T1314" s="232"/>
      <c r="U1314" s="232"/>
      <c r="V1314" s="232"/>
      <c r="W1314" s="232"/>
      <c r="X1314" s="232"/>
      <c r="Y1314" s="232"/>
      <c r="Z1314" s="232"/>
      <c r="AA1314" s="232"/>
      <c r="AB1314" s="232"/>
      <c r="AC1314" s="232"/>
      <c r="AD1314" s="232"/>
      <c r="AE1314" s="232"/>
      <c r="AF1314" s="232"/>
      <c r="AG1314" s="232"/>
      <c r="AH1314" s="232"/>
      <c r="AI1314" s="232"/>
      <c r="AJ1314" s="232"/>
      <c r="AK1314" s="232"/>
      <c r="AL1314" s="232"/>
      <c r="AM1314" s="232"/>
      <c r="AN1314" s="232"/>
      <c r="AO1314" s="232"/>
      <c r="AP1314" s="232"/>
      <c r="AQ1314" s="232"/>
      <c r="AR1314" s="232"/>
      <c r="AS1314" s="232"/>
      <c r="AT1314" s="232"/>
      <c r="AU1314" s="232"/>
      <c r="AV1314" s="232"/>
      <c r="AW1314" s="232"/>
      <c r="AX1314" s="232"/>
      <c r="AY1314" s="232"/>
      <c r="AZ1314" s="232"/>
      <c r="BA1314" s="232"/>
      <c r="BB1314" s="232"/>
      <c r="BC1314" s="232"/>
      <c r="BD1314" s="232"/>
      <c r="BE1314" s="232"/>
      <c r="BF1314" s="232"/>
      <c r="BG1314" s="232"/>
      <c r="BH1314" s="232"/>
      <c r="BI1314" s="232"/>
      <c r="BJ1314" s="232"/>
      <c r="BK1314" s="232"/>
      <c r="BL1314" s="232"/>
      <c r="BM1314" s="232"/>
      <c r="BN1314" s="232"/>
      <c r="BO1314" s="232"/>
      <c r="BP1314" s="232"/>
      <c r="BQ1314" s="232"/>
      <c r="BR1314" s="232"/>
      <c r="BS1314" s="232"/>
      <c r="BT1314" s="232"/>
      <c r="BU1314" s="232"/>
      <c r="BV1314" s="232"/>
      <c r="BW1314" s="232"/>
      <c r="BX1314" s="232"/>
      <c r="BY1314" s="232"/>
      <c r="BZ1314" s="232"/>
      <c r="CA1314" s="232"/>
      <c r="CB1314" s="232"/>
      <c r="CC1314" s="232"/>
      <c r="CD1314" s="232"/>
      <c r="CE1314" s="232"/>
      <c r="CF1314" s="232"/>
      <c r="CG1314" s="232"/>
      <c r="CH1314" s="232"/>
      <c r="CI1314" s="232"/>
      <c r="CJ1314" s="232"/>
      <c r="CK1314" s="232"/>
      <c r="CL1314" s="232"/>
      <c r="CM1314" s="232"/>
      <c r="CN1314" s="215"/>
      <c r="CO1314" s="215"/>
      <c r="CP1314" s="215"/>
      <c r="CQ1314" s="215"/>
      <c r="CR1314" s="215"/>
      <c r="CS1314" s="215"/>
      <c r="CT1314" s="215"/>
    </row>
    <row r="1315" ht="24.0" customHeight="1">
      <c r="A1315" s="287"/>
      <c r="B1315" s="287"/>
      <c r="C1315" s="287"/>
      <c r="D1315" s="232"/>
      <c r="E1315" s="232"/>
      <c r="F1315" s="232"/>
      <c r="G1315" s="232"/>
      <c r="H1315" s="232"/>
      <c r="I1315" s="232"/>
      <c r="J1315" s="232"/>
      <c r="K1315" s="232"/>
      <c r="L1315" s="232"/>
      <c r="M1315" s="232"/>
      <c r="N1315" s="289"/>
      <c r="O1315" s="232"/>
      <c r="P1315" s="232"/>
      <c r="Q1315" s="232"/>
      <c r="R1315" s="232"/>
      <c r="S1315" s="232"/>
      <c r="T1315" s="232"/>
      <c r="U1315" s="232"/>
      <c r="V1315" s="232"/>
      <c r="W1315" s="232"/>
      <c r="X1315" s="232"/>
      <c r="Y1315" s="232"/>
      <c r="Z1315" s="232"/>
      <c r="AA1315" s="232"/>
      <c r="AB1315" s="232"/>
      <c r="AC1315" s="232"/>
      <c r="AD1315" s="232"/>
      <c r="AE1315" s="232"/>
      <c r="AF1315" s="232"/>
      <c r="AG1315" s="232"/>
      <c r="AH1315" s="232"/>
      <c r="AI1315" s="232"/>
      <c r="AJ1315" s="232"/>
      <c r="AK1315" s="232"/>
      <c r="AL1315" s="232"/>
      <c r="AM1315" s="232"/>
      <c r="AN1315" s="232"/>
      <c r="AO1315" s="232"/>
      <c r="AP1315" s="232"/>
      <c r="AQ1315" s="232"/>
      <c r="AR1315" s="232"/>
      <c r="AS1315" s="232"/>
      <c r="AT1315" s="232"/>
      <c r="AU1315" s="232"/>
      <c r="AV1315" s="232"/>
      <c r="AW1315" s="232"/>
      <c r="AX1315" s="232"/>
      <c r="AY1315" s="232"/>
      <c r="AZ1315" s="232"/>
      <c r="BA1315" s="232"/>
      <c r="BB1315" s="232"/>
      <c r="BC1315" s="232"/>
      <c r="BD1315" s="232"/>
      <c r="BE1315" s="232"/>
      <c r="BF1315" s="232"/>
      <c r="BG1315" s="232"/>
      <c r="BH1315" s="232"/>
      <c r="BI1315" s="232"/>
      <c r="BJ1315" s="232"/>
      <c r="BK1315" s="232"/>
      <c r="BL1315" s="232"/>
      <c r="BM1315" s="232"/>
      <c r="BN1315" s="232"/>
      <c r="BO1315" s="232"/>
      <c r="BP1315" s="232"/>
      <c r="BQ1315" s="232"/>
      <c r="BR1315" s="232"/>
      <c r="BS1315" s="232"/>
      <c r="BT1315" s="232"/>
      <c r="BU1315" s="232"/>
      <c r="BV1315" s="232"/>
      <c r="BW1315" s="232"/>
      <c r="BX1315" s="232"/>
      <c r="BY1315" s="232"/>
      <c r="BZ1315" s="232"/>
      <c r="CA1315" s="232"/>
      <c r="CB1315" s="232"/>
      <c r="CC1315" s="232"/>
      <c r="CD1315" s="232"/>
      <c r="CE1315" s="232"/>
      <c r="CF1315" s="232"/>
      <c r="CG1315" s="232"/>
      <c r="CH1315" s="232"/>
      <c r="CI1315" s="232"/>
      <c r="CJ1315" s="232"/>
      <c r="CK1315" s="232"/>
      <c r="CL1315" s="232"/>
      <c r="CM1315" s="232"/>
      <c r="CN1315" s="215"/>
      <c r="CO1315" s="215"/>
      <c r="CP1315" s="215"/>
      <c r="CQ1315" s="215"/>
      <c r="CR1315" s="215"/>
      <c r="CS1315" s="215"/>
      <c r="CT1315" s="215"/>
    </row>
    <row r="1316" ht="24.0" customHeight="1">
      <c r="A1316" s="287"/>
      <c r="B1316" s="287"/>
      <c r="C1316" s="287"/>
      <c r="D1316" s="232"/>
      <c r="E1316" s="232"/>
      <c r="F1316" s="232"/>
      <c r="G1316" s="232"/>
      <c r="H1316" s="232"/>
      <c r="I1316" s="232"/>
      <c r="J1316" s="232"/>
      <c r="K1316" s="232"/>
      <c r="L1316" s="232"/>
      <c r="M1316" s="232"/>
      <c r="N1316" s="289"/>
      <c r="O1316" s="232"/>
      <c r="P1316" s="232"/>
      <c r="Q1316" s="232"/>
      <c r="R1316" s="232"/>
      <c r="S1316" s="232"/>
      <c r="T1316" s="232"/>
      <c r="U1316" s="232"/>
      <c r="V1316" s="232"/>
      <c r="W1316" s="232"/>
      <c r="X1316" s="232"/>
      <c r="Y1316" s="232"/>
      <c r="Z1316" s="232"/>
      <c r="AA1316" s="232"/>
      <c r="AB1316" s="232"/>
      <c r="AC1316" s="232"/>
      <c r="AD1316" s="232"/>
      <c r="AE1316" s="232"/>
      <c r="AF1316" s="232"/>
      <c r="AG1316" s="232"/>
      <c r="AH1316" s="232"/>
      <c r="AI1316" s="232"/>
      <c r="AJ1316" s="232"/>
      <c r="AK1316" s="232"/>
      <c r="AL1316" s="232"/>
      <c r="AM1316" s="232"/>
      <c r="AN1316" s="232"/>
      <c r="AO1316" s="232"/>
      <c r="AP1316" s="232"/>
      <c r="AQ1316" s="232"/>
      <c r="AR1316" s="232"/>
      <c r="AS1316" s="232"/>
      <c r="AT1316" s="232"/>
      <c r="AU1316" s="232"/>
      <c r="AV1316" s="232"/>
      <c r="AW1316" s="232"/>
      <c r="AX1316" s="232"/>
      <c r="AY1316" s="232"/>
      <c r="AZ1316" s="232"/>
      <c r="BA1316" s="232"/>
      <c r="BB1316" s="232"/>
      <c r="BC1316" s="232"/>
      <c r="BD1316" s="232"/>
      <c r="BE1316" s="232"/>
      <c r="BF1316" s="232"/>
      <c r="BG1316" s="232"/>
      <c r="BH1316" s="232"/>
      <c r="BI1316" s="232"/>
      <c r="BJ1316" s="232"/>
      <c r="BK1316" s="232"/>
      <c r="BL1316" s="232"/>
      <c r="BM1316" s="232"/>
      <c r="BN1316" s="232"/>
      <c r="BO1316" s="232"/>
      <c r="BP1316" s="232"/>
      <c r="BQ1316" s="232"/>
      <c r="BR1316" s="232"/>
      <c r="BS1316" s="232"/>
      <c r="BT1316" s="232"/>
      <c r="BU1316" s="232"/>
      <c r="BV1316" s="232"/>
      <c r="BW1316" s="232"/>
      <c r="BX1316" s="232"/>
      <c r="BY1316" s="232"/>
      <c r="BZ1316" s="232"/>
      <c r="CA1316" s="232"/>
      <c r="CB1316" s="232"/>
      <c r="CC1316" s="232"/>
      <c r="CD1316" s="232"/>
      <c r="CE1316" s="232"/>
      <c r="CF1316" s="232"/>
      <c r="CG1316" s="232"/>
      <c r="CH1316" s="232"/>
      <c r="CI1316" s="232"/>
      <c r="CJ1316" s="232"/>
      <c r="CK1316" s="232"/>
      <c r="CL1316" s="232"/>
      <c r="CM1316" s="232"/>
      <c r="CN1316" s="215"/>
      <c r="CO1316" s="215"/>
      <c r="CP1316" s="215"/>
      <c r="CQ1316" s="215"/>
      <c r="CR1316" s="215"/>
      <c r="CS1316" s="215"/>
      <c r="CT1316" s="215"/>
    </row>
    <row r="1317" ht="24.0" customHeight="1">
      <c r="A1317" s="287"/>
      <c r="B1317" s="287"/>
      <c r="C1317" s="287"/>
      <c r="D1317" s="232"/>
      <c r="E1317" s="232"/>
      <c r="F1317" s="232"/>
      <c r="G1317" s="232"/>
      <c r="H1317" s="232"/>
      <c r="I1317" s="232"/>
      <c r="J1317" s="232"/>
      <c r="K1317" s="232"/>
      <c r="L1317" s="232"/>
      <c r="M1317" s="232"/>
      <c r="N1317" s="289"/>
      <c r="O1317" s="232"/>
      <c r="P1317" s="232"/>
      <c r="Q1317" s="232"/>
      <c r="R1317" s="232"/>
      <c r="S1317" s="232"/>
      <c r="T1317" s="232"/>
      <c r="U1317" s="232"/>
      <c r="V1317" s="232"/>
      <c r="W1317" s="232"/>
      <c r="X1317" s="232"/>
      <c r="Y1317" s="232"/>
      <c r="Z1317" s="232"/>
      <c r="AA1317" s="232"/>
      <c r="AB1317" s="232"/>
      <c r="AC1317" s="232"/>
      <c r="AD1317" s="232"/>
      <c r="AE1317" s="232"/>
      <c r="AF1317" s="232"/>
      <c r="AG1317" s="232"/>
      <c r="AH1317" s="232"/>
      <c r="AI1317" s="232"/>
      <c r="AJ1317" s="232"/>
      <c r="AK1317" s="232"/>
      <c r="AL1317" s="232"/>
      <c r="AM1317" s="232"/>
      <c r="AN1317" s="232"/>
      <c r="AO1317" s="232"/>
      <c r="AP1317" s="232"/>
      <c r="AQ1317" s="232"/>
      <c r="AR1317" s="232"/>
      <c r="AS1317" s="232"/>
      <c r="AT1317" s="232"/>
      <c r="AU1317" s="232"/>
      <c r="AV1317" s="232"/>
      <c r="AW1317" s="232"/>
      <c r="AX1317" s="232"/>
      <c r="AY1317" s="232"/>
      <c r="AZ1317" s="232"/>
      <c r="BA1317" s="232"/>
      <c r="BB1317" s="232"/>
      <c r="BC1317" s="232"/>
      <c r="BD1317" s="232"/>
      <c r="BE1317" s="232"/>
      <c r="BF1317" s="232"/>
      <c r="BG1317" s="232"/>
      <c r="BH1317" s="232"/>
      <c r="BI1317" s="232"/>
      <c r="BJ1317" s="232"/>
      <c r="BK1317" s="232"/>
      <c r="BL1317" s="232"/>
      <c r="BM1317" s="232"/>
      <c r="BN1317" s="232"/>
      <c r="BO1317" s="232"/>
      <c r="BP1317" s="232"/>
      <c r="BQ1317" s="232"/>
      <c r="BR1317" s="232"/>
      <c r="BS1317" s="232"/>
      <c r="BT1317" s="232"/>
      <c r="BU1317" s="232"/>
      <c r="BV1317" s="232"/>
      <c r="BW1317" s="232"/>
      <c r="BX1317" s="232"/>
      <c r="BY1317" s="232"/>
      <c r="BZ1317" s="232"/>
      <c r="CA1317" s="232"/>
      <c r="CB1317" s="232"/>
      <c r="CC1317" s="232"/>
      <c r="CD1317" s="232"/>
      <c r="CE1317" s="232"/>
      <c r="CF1317" s="232"/>
      <c r="CG1317" s="232"/>
      <c r="CH1317" s="232"/>
      <c r="CI1317" s="232"/>
      <c r="CJ1317" s="232"/>
      <c r="CK1317" s="232"/>
      <c r="CL1317" s="232"/>
      <c r="CM1317" s="232"/>
      <c r="CN1317" s="215"/>
      <c r="CO1317" s="215"/>
      <c r="CP1317" s="215"/>
      <c r="CQ1317" s="215"/>
      <c r="CR1317" s="215"/>
      <c r="CS1317" s="215"/>
      <c r="CT1317" s="215"/>
    </row>
    <row r="1318" ht="24.0" customHeight="1">
      <c r="A1318" s="287"/>
      <c r="B1318" s="287"/>
      <c r="C1318" s="287"/>
      <c r="D1318" s="232"/>
      <c r="E1318" s="232"/>
      <c r="F1318" s="232"/>
      <c r="G1318" s="232"/>
      <c r="H1318" s="232"/>
      <c r="I1318" s="232"/>
      <c r="J1318" s="232"/>
      <c r="K1318" s="232"/>
      <c r="L1318" s="232"/>
      <c r="M1318" s="232"/>
      <c r="N1318" s="289"/>
      <c r="O1318" s="232"/>
      <c r="P1318" s="232"/>
      <c r="Q1318" s="232"/>
      <c r="R1318" s="232"/>
      <c r="S1318" s="232"/>
      <c r="T1318" s="232"/>
      <c r="U1318" s="232"/>
      <c r="V1318" s="232"/>
      <c r="W1318" s="232"/>
      <c r="X1318" s="232"/>
      <c r="Y1318" s="232"/>
      <c r="Z1318" s="232"/>
      <c r="AA1318" s="232"/>
      <c r="AB1318" s="232"/>
      <c r="AC1318" s="232"/>
      <c r="AD1318" s="232"/>
      <c r="AE1318" s="232"/>
      <c r="AF1318" s="232"/>
      <c r="AG1318" s="232"/>
      <c r="AH1318" s="232"/>
      <c r="AI1318" s="232"/>
      <c r="AJ1318" s="232"/>
      <c r="AK1318" s="232"/>
      <c r="AL1318" s="232"/>
      <c r="AM1318" s="232"/>
      <c r="AN1318" s="232"/>
      <c r="AO1318" s="232"/>
      <c r="AP1318" s="232"/>
      <c r="AQ1318" s="232"/>
      <c r="AR1318" s="232"/>
      <c r="AS1318" s="232"/>
      <c r="AT1318" s="232"/>
      <c r="AU1318" s="232"/>
      <c r="AV1318" s="232"/>
      <c r="AW1318" s="232"/>
      <c r="AX1318" s="232"/>
      <c r="AY1318" s="232"/>
      <c r="AZ1318" s="232"/>
      <c r="BA1318" s="232"/>
      <c r="BB1318" s="232"/>
      <c r="BC1318" s="232"/>
      <c r="BD1318" s="232"/>
      <c r="BE1318" s="232"/>
      <c r="BF1318" s="232"/>
      <c r="BG1318" s="232"/>
      <c r="BH1318" s="232"/>
      <c r="BI1318" s="232"/>
      <c r="BJ1318" s="232"/>
      <c r="BK1318" s="232"/>
      <c r="BL1318" s="232"/>
      <c r="BM1318" s="232"/>
      <c r="BN1318" s="232"/>
      <c r="BO1318" s="232"/>
      <c r="BP1318" s="232"/>
      <c r="BQ1318" s="232"/>
      <c r="BR1318" s="232"/>
      <c r="BS1318" s="232"/>
      <c r="BT1318" s="232"/>
      <c r="BU1318" s="232"/>
      <c r="BV1318" s="232"/>
      <c r="BW1318" s="232"/>
      <c r="BX1318" s="232"/>
      <c r="BY1318" s="232"/>
      <c r="BZ1318" s="232"/>
      <c r="CA1318" s="232"/>
      <c r="CB1318" s="232"/>
      <c r="CC1318" s="232"/>
      <c r="CD1318" s="232"/>
      <c r="CE1318" s="232"/>
      <c r="CF1318" s="232"/>
      <c r="CG1318" s="232"/>
      <c r="CH1318" s="232"/>
      <c r="CI1318" s="232"/>
      <c r="CJ1318" s="232"/>
      <c r="CK1318" s="232"/>
      <c r="CL1318" s="232"/>
      <c r="CM1318" s="232"/>
      <c r="CN1318" s="215"/>
      <c r="CO1318" s="215"/>
      <c r="CP1318" s="215"/>
      <c r="CQ1318" s="215"/>
      <c r="CR1318" s="215"/>
      <c r="CS1318" s="215"/>
      <c r="CT1318" s="215"/>
    </row>
    <row r="1319" ht="24.0" customHeight="1">
      <c r="A1319" s="287"/>
      <c r="B1319" s="287"/>
      <c r="C1319" s="287"/>
      <c r="D1319" s="232"/>
      <c r="E1319" s="232"/>
      <c r="F1319" s="232"/>
      <c r="G1319" s="232"/>
      <c r="H1319" s="232"/>
      <c r="I1319" s="232"/>
      <c r="J1319" s="232"/>
      <c r="K1319" s="232"/>
      <c r="L1319" s="232"/>
      <c r="M1319" s="232"/>
      <c r="N1319" s="289"/>
      <c r="O1319" s="232"/>
      <c r="P1319" s="232"/>
      <c r="Q1319" s="232"/>
      <c r="R1319" s="232"/>
      <c r="S1319" s="232"/>
      <c r="T1319" s="232"/>
      <c r="U1319" s="232"/>
      <c r="V1319" s="232"/>
      <c r="W1319" s="232"/>
      <c r="X1319" s="232"/>
      <c r="Y1319" s="232"/>
      <c r="Z1319" s="232"/>
      <c r="AA1319" s="232"/>
      <c r="AB1319" s="232"/>
      <c r="AC1319" s="232"/>
      <c r="AD1319" s="232"/>
      <c r="AE1319" s="232"/>
      <c r="AF1319" s="232"/>
      <c r="AG1319" s="232"/>
      <c r="AH1319" s="232"/>
      <c r="AI1319" s="232"/>
      <c r="AJ1319" s="232"/>
      <c r="AK1319" s="232"/>
      <c r="AL1319" s="232"/>
      <c r="AM1319" s="232"/>
      <c r="AN1319" s="232"/>
      <c r="AO1319" s="232"/>
      <c r="AP1319" s="232"/>
      <c r="AQ1319" s="232"/>
      <c r="AR1319" s="232"/>
      <c r="AS1319" s="232"/>
      <c r="AT1319" s="232"/>
      <c r="AU1319" s="232"/>
      <c r="AV1319" s="232"/>
      <c r="AW1319" s="232"/>
      <c r="AX1319" s="232"/>
      <c r="AY1319" s="232"/>
      <c r="AZ1319" s="232"/>
      <c r="BA1319" s="232"/>
      <c r="BB1319" s="232"/>
      <c r="BC1319" s="232"/>
      <c r="BD1319" s="232"/>
      <c r="BE1319" s="232"/>
      <c r="BF1319" s="232"/>
      <c r="BG1319" s="232"/>
      <c r="BH1319" s="232"/>
      <c r="BI1319" s="232"/>
      <c r="BJ1319" s="232"/>
      <c r="BK1319" s="232"/>
      <c r="BL1319" s="232"/>
      <c r="BM1319" s="232"/>
      <c r="BN1319" s="232"/>
      <c r="BO1319" s="232"/>
      <c r="BP1319" s="232"/>
      <c r="BQ1319" s="232"/>
      <c r="BR1319" s="232"/>
      <c r="BS1319" s="232"/>
      <c r="BT1319" s="232"/>
      <c r="BU1319" s="232"/>
      <c r="BV1319" s="232"/>
      <c r="BW1319" s="232"/>
      <c r="BX1319" s="232"/>
      <c r="BY1319" s="232"/>
      <c r="BZ1319" s="232"/>
      <c r="CA1319" s="232"/>
      <c r="CB1319" s="232"/>
      <c r="CC1319" s="232"/>
      <c r="CD1319" s="232"/>
      <c r="CE1319" s="232"/>
      <c r="CF1319" s="232"/>
      <c r="CG1319" s="232"/>
      <c r="CH1319" s="232"/>
      <c r="CI1319" s="232"/>
      <c r="CJ1319" s="232"/>
      <c r="CK1319" s="232"/>
      <c r="CL1319" s="232"/>
      <c r="CM1319" s="232"/>
      <c r="CN1319" s="215"/>
      <c r="CO1319" s="215"/>
      <c r="CP1319" s="215"/>
      <c r="CQ1319" s="215"/>
      <c r="CR1319" s="215"/>
      <c r="CS1319" s="215"/>
      <c r="CT1319" s="215"/>
    </row>
    <row r="1320" ht="24.0" customHeight="1">
      <c r="A1320" s="287"/>
      <c r="B1320" s="287"/>
      <c r="C1320" s="287"/>
      <c r="D1320" s="232"/>
      <c r="E1320" s="232"/>
      <c r="F1320" s="232"/>
      <c r="G1320" s="232"/>
      <c r="H1320" s="232"/>
      <c r="I1320" s="232"/>
      <c r="J1320" s="232"/>
      <c r="K1320" s="232"/>
      <c r="L1320" s="232"/>
      <c r="M1320" s="232"/>
      <c r="N1320" s="289"/>
      <c r="O1320" s="232"/>
      <c r="P1320" s="232"/>
      <c r="Q1320" s="232"/>
      <c r="R1320" s="232"/>
      <c r="S1320" s="232"/>
      <c r="T1320" s="232"/>
      <c r="U1320" s="232"/>
      <c r="V1320" s="232"/>
      <c r="W1320" s="232"/>
      <c r="X1320" s="232"/>
      <c r="Y1320" s="232"/>
      <c r="Z1320" s="232"/>
      <c r="AA1320" s="232"/>
      <c r="AB1320" s="232"/>
      <c r="AC1320" s="232"/>
      <c r="AD1320" s="232"/>
      <c r="AE1320" s="232"/>
      <c r="AF1320" s="232"/>
      <c r="AG1320" s="232"/>
      <c r="AH1320" s="232"/>
      <c r="AI1320" s="232"/>
      <c r="AJ1320" s="232"/>
      <c r="AK1320" s="232"/>
      <c r="AL1320" s="232"/>
      <c r="AM1320" s="232"/>
      <c r="AN1320" s="232"/>
      <c r="AO1320" s="232"/>
      <c r="AP1320" s="232"/>
      <c r="AQ1320" s="232"/>
      <c r="AR1320" s="232"/>
      <c r="AS1320" s="232"/>
      <c r="AT1320" s="232"/>
      <c r="AU1320" s="232"/>
      <c r="AV1320" s="232"/>
      <c r="AW1320" s="232"/>
      <c r="AX1320" s="232"/>
      <c r="AY1320" s="232"/>
      <c r="AZ1320" s="232"/>
      <c r="BA1320" s="232"/>
      <c r="BB1320" s="232"/>
      <c r="BC1320" s="232"/>
      <c r="BD1320" s="232"/>
      <c r="BE1320" s="232"/>
      <c r="BF1320" s="232"/>
      <c r="BG1320" s="232"/>
      <c r="BH1320" s="232"/>
      <c r="BI1320" s="232"/>
      <c r="BJ1320" s="232"/>
      <c r="BK1320" s="232"/>
      <c r="BL1320" s="232"/>
      <c r="BM1320" s="232"/>
      <c r="BN1320" s="232"/>
      <c r="BO1320" s="232"/>
      <c r="BP1320" s="232"/>
      <c r="BQ1320" s="232"/>
      <c r="BR1320" s="232"/>
      <c r="BS1320" s="232"/>
      <c r="BT1320" s="232"/>
      <c r="BU1320" s="232"/>
      <c r="BV1320" s="232"/>
      <c r="BW1320" s="232"/>
      <c r="BX1320" s="232"/>
      <c r="BY1320" s="232"/>
      <c r="BZ1320" s="232"/>
      <c r="CA1320" s="232"/>
      <c r="CB1320" s="232"/>
      <c r="CC1320" s="232"/>
      <c r="CD1320" s="232"/>
      <c r="CE1320" s="232"/>
      <c r="CF1320" s="232"/>
      <c r="CG1320" s="232"/>
      <c r="CH1320" s="232"/>
      <c r="CI1320" s="232"/>
      <c r="CJ1320" s="232"/>
      <c r="CK1320" s="232"/>
      <c r="CL1320" s="232"/>
      <c r="CM1320" s="232"/>
      <c r="CN1320" s="215"/>
      <c r="CO1320" s="215"/>
      <c r="CP1320" s="215"/>
      <c r="CQ1320" s="215"/>
      <c r="CR1320" s="215"/>
      <c r="CS1320" s="215"/>
      <c r="CT1320" s="215"/>
    </row>
    <row r="1321" ht="24.0" customHeight="1">
      <c r="A1321" s="287"/>
      <c r="B1321" s="287"/>
      <c r="C1321" s="287"/>
      <c r="D1321" s="232"/>
      <c r="E1321" s="232"/>
      <c r="F1321" s="232"/>
      <c r="G1321" s="232"/>
      <c r="H1321" s="232"/>
      <c r="I1321" s="232"/>
      <c r="J1321" s="232"/>
      <c r="K1321" s="232"/>
      <c r="L1321" s="232"/>
      <c r="M1321" s="232"/>
      <c r="N1321" s="289"/>
      <c r="O1321" s="232"/>
      <c r="P1321" s="232"/>
      <c r="Q1321" s="232"/>
      <c r="R1321" s="232"/>
      <c r="S1321" s="232"/>
      <c r="T1321" s="232"/>
      <c r="U1321" s="232"/>
      <c r="V1321" s="232"/>
      <c r="W1321" s="232"/>
      <c r="X1321" s="232"/>
      <c r="Y1321" s="232"/>
      <c r="Z1321" s="232"/>
      <c r="AA1321" s="232"/>
      <c r="AB1321" s="232"/>
      <c r="AC1321" s="232"/>
      <c r="AD1321" s="232"/>
      <c r="AE1321" s="232"/>
      <c r="AF1321" s="232"/>
      <c r="AG1321" s="232"/>
      <c r="AH1321" s="232"/>
      <c r="AI1321" s="232"/>
      <c r="AJ1321" s="232"/>
      <c r="AK1321" s="232"/>
      <c r="AL1321" s="232"/>
      <c r="AM1321" s="232"/>
      <c r="AN1321" s="232"/>
      <c r="AO1321" s="232"/>
      <c r="AP1321" s="232"/>
      <c r="AQ1321" s="232"/>
      <c r="AR1321" s="232"/>
      <c r="AS1321" s="232"/>
      <c r="AT1321" s="232"/>
      <c r="AU1321" s="232"/>
      <c r="AV1321" s="232"/>
      <c r="AW1321" s="232"/>
      <c r="AX1321" s="232"/>
      <c r="AY1321" s="232"/>
      <c r="AZ1321" s="232"/>
      <c r="BA1321" s="232"/>
      <c r="BB1321" s="232"/>
      <c r="BC1321" s="232"/>
      <c r="BD1321" s="232"/>
      <c r="BE1321" s="232"/>
      <c r="BF1321" s="232"/>
      <c r="BG1321" s="232"/>
      <c r="BH1321" s="232"/>
      <c r="BI1321" s="232"/>
      <c r="BJ1321" s="232"/>
      <c r="BK1321" s="232"/>
      <c r="BL1321" s="232"/>
      <c r="BM1321" s="232"/>
      <c r="BN1321" s="232"/>
      <c r="BO1321" s="232"/>
      <c r="BP1321" s="232"/>
      <c r="BQ1321" s="232"/>
      <c r="BR1321" s="232"/>
      <c r="BS1321" s="232"/>
      <c r="BT1321" s="232"/>
      <c r="BU1321" s="232"/>
      <c r="BV1321" s="232"/>
      <c r="BW1321" s="232"/>
      <c r="BX1321" s="232"/>
      <c r="BY1321" s="232"/>
      <c r="BZ1321" s="232"/>
      <c r="CA1321" s="232"/>
      <c r="CB1321" s="232"/>
      <c r="CC1321" s="232"/>
      <c r="CD1321" s="232"/>
      <c r="CE1321" s="232"/>
      <c r="CF1321" s="232"/>
      <c r="CG1321" s="232"/>
      <c r="CH1321" s="232"/>
      <c r="CI1321" s="232"/>
      <c r="CJ1321" s="232"/>
      <c r="CK1321" s="232"/>
      <c r="CL1321" s="232"/>
      <c r="CM1321" s="232"/>
      <c r="CN1321" s="215"/>
      <c r="CO1321" s="215"/>
      <c r="CP1321" s="215"/>
      <c r="CQ1321" s="215"/>
      <c r="CR1321" s="215"/>
      <c r="CS1321" s="215"/>
      <c r="CT1321" s="215"/>
    </row>
    <row r="1322" ht="24.0" customHeight="1">
      <c r="A1322" s="287"/>
      <c r="B1322" s="287"/>
      <c r="C1322" s="287"/>
      <c r="D1322" s="232"/>
      <c r="E1322" s="232"/>
      <c r="F1322" s="232"/>
      <c r="G1322" s="232"/>
      <c r="H1322" s="232"/>
      <c r="I1322" s="232"/>
      <c r="J1322" s="232"/>
      <c r="K1322" s="232"/>
      <c r="L1322" s="232"/>
      <c r="M1322" s="232"/>
      <c r="N1322" s="289"/>
      <c r="O1322" s="232"/>
      <c r="P1322" s="232"/>
      <c r="Q1322" s="232"/>
      <c r="R1322" s="232"/>
      <c r="S1322" s="232"/>
      <c r="T1322" s="232"/>
      <c r="U1322" s="232"/>
      <c r="V1322" s="232"/>
      <c r="W1322" s="232"/>
      <c r="X1322" s="232"/>
      <c r="Y1322" s="232"/>
      <c r="Z1322" s="232"/>
      <c r="AA1322" s="232"/>
      <c r="AB1322" s="232"/>
      <c r="AC1322" s="232"/>
      <c r="AD1322" s="232"/>
      <c r="AE1322" s="232"/>
      <c r="AF1322" s="232"/>
      <c r="AG1322" s="232"/>
      <c r="AH1322" s="232"/>
      <c r="AI1322" s="232"/>
      <c r="AJ1322" s="232"/>
      <c r="AK1322" s="232"/>
      <c r="AL1322" s="232"/>
      <c r="AM1322" s="232"/>
      <c r="AN1322" s="232"/>
      <c r="AO1322" s="232"/>
      <c r="AP1322" s="232"/>
      <c r="AQ1322" s="232"/>
      <c r="AR1322" s="232"/>
      <c r="AS1322" s="232"/>
      <c r="AT1322" s="232"/>
      <c r="AU1322" s="232"/>
      <c r="AV1322" s="232"/>
      <c r="AW1322" s="232"/>
      <c r="AX1322" s="232"/>
      <c r="AY1322" s="232"/>
      <c r="AZ1322" s="232"/>
      <c r="BA1322" s="232"/>
      <c r="BB1322" s="232"/>
      <c r="BC1322" s="232"/>
      <c r="BD1322" s="232"/>
      <c r="BE1322" s="232"/>
      <c r="BF1322" s="232"/>
      <c r="BG1322" s="232"/>
      <c r="BH1322" s="232"/>
      <c r="BI1322" s="232"/>
      <c r="BJ1322" s="232"/>
      <c r="BK1322" s="232"/>
      <c r="BL1322" s="232"/>
      <c r="BM1322" s="232"/>
      <c r="BN1322" s="232"/>
      <c r="BO1322" s="232"/>
      <c r="BP1322" s="232"/>
      <c r="BQ1322" s="232"/>
      <c r="BR1322" s="232"/>
      <c r="BS1322" s="232"/>
      <c r="BT1322" s="232"/>
      <c r="BU1322" s="232"/>
      <c r="BV1322" s="232"/>
      <c r="BW1322" s="232"/>
      <c r="BX1322" s="232"/>
      <c r="BY1322" s="232"/>
      <c r="BZ1322" s="232"/>
      <c r="CA1322" s="232"/>
      <c r="CB1322" s="232"/>
      <c r="CC1322" s="232"/>
      <c r="CD1322" s="232"/>
      <c r="CE1322" s="232"/>
      <c r="CF1322" s="232"/>
      <c r="CG1322" s="232"/>
      <c r="CH1322" s="232"/>
      <c r="CI1322" s="232"/>
      <c r="CJ1322" s="232"/>
      <c r="CK1322" s="232"/>
      <c r="CL1322" s="232"/>
      <c r="CM1322" s="232"/>
      <c r="CN1322" s="215"/>
      <c r="CO1322" s="215"/>
      <c r="CP1322" s="215"/>
      <c r="CQ1322" s="215"/>
      <c r="CR1322" s="215"/>
      <c r="CS1322" s="215"/>
      <c r="CT1322" s="215"/>
    </row>
    <row r="1323" ht="24.0" customHeight="1">
      <c r="A1323" s="287"/>
      <c r="B1323" s="287"/>
      <c r="C1323" s="287"/>
      <c r="D1323" s="232"/>
      <c r="E1323" s="232"/>
      <c r="F1323" s="232"/>
      <c r="G1323" s="232"/>
      <c r="H1323" s="232"/>
      <c r="I1323" s="232"/>
      <c r="J1323" s="232"/>
      <c r="K1323" s="232"/>
      <c r="L1323" s="232"/>
      <c r="M1323" s="232"/>
      <c r="N1323" s="289"/>
      <c r="O1323" s="232"/>
      <c r="P1323" s="232"/>
      <c r="Q1323" s="232"/>
      <c r="R1323" s="232"/>
      <c r="S1323" s="232"/>
      <c r="T1323" s="232"/>
      <c r="U1323" s="232"/>
      <c r="V1323" s="232"/>
      <c r="W1323" s="232"/>
      <c r="X1323" s="232"/>
      <c r="Y1323" s="232"/>
      <c r="Z1323" s="232"/>
      <c r="AA1323" s="232"/>
      <c r="AB1323" s="232"/>
      <c r="AC1323" s="232"/>
      <c r="AD1323" s="232"/>
      <c r="AE1323" s="232"/>
      <c r="AF1323" s="232"/>
      <c r="AG1323" s="232"/>
      <c r="AH1323" s="232"/>
      <c r="AI1323" s="232"/>
      <c r="AJ1323" s="232"/>
      <c r="AK1323" s="232"/>
      <c r="AL1323" s="232"/>
      <c r="AM1323" s="232"/>
      <c r="AN1323" s="232"/>
      <c r="AO1323" s="232"/>
      <c r="AP1323" s="232"/>
      <c r="AQ1323" s="232"/>
      <c r="AR1323" s="232"/>
      <c r="AS1323" s="232"/>
      <c r="AT1323" s="232"/>
      <c r="AU1323" s="232"/>
      <c r="AV1323" s="232"/>
      <c r="AW1323" s="232"/>
      <c r="AX1323" s="232"/>
      <c r="AY1323" s="232"/>
      <c r="AZ1323" s="232"/>
      <c r="BA1323" s="232"/>
      <c r="BB1323" s="232"/>
      <c r="BC1323" s="232"/>
      <c r="BD1323" s="232"/>
      <c r="BE1323" s="232"/>
      <c r="BF1323" s="232"/>
      <c r="BG1323" s="232"/>
      <c r="BH1323" s="232"/>
      <c r="BI1323" s="232"/>
      <c r="BJ1323" s="232"/>
      <c r="BK1323" s="232"/>
      <c r="BL1323" s="232"/>
      <c r="BM1323" s="232"/>
      <c r="BN1323" s="232"/>
      <c r="BO1323" s="232"/>
      <c r="BP1323" s="232"/>
      <c r="BQ1323" s="232"/>
      <c r="BR1323" s="232"/>
      <c r="BS1323" s="232"/>
      <c r="BT1323" s="232"/>
      <c r="BU1323" s="232"/>
      <c r="BV1323" s="232"/>
      <c r="BW1323" s="232"/>
      <c r="BX1323" s="232"/>
      <c r="BY1323" s="232"/>
      <c r="BZ1323" s="232"/>
      <c r="CA1323" s="232"/>
      <c r="CB1323" s="232"/>
      <c r="CC1323" s="232"/>
      <c r="CD1323" s="232"/>
      <c r="CE1323" s="232"/>
      <c r="CF1323" s="232"/>
      <c r="CG1323" s="232"/>
      <c r="CH1323" s="232"/>
      <c r="CI1323" s="232"/>
      <c r="CJ1323" s="232"/>
      <c r="CK1323" s="232"/>
      <c r="CL1323" s="232"/>
      <c r="CM1323" s="232"/>
      <c r="CN1323" s="215"/>
      <c r="CO1323" s="215"/>
      <c r="CP1323" s="215"/>
      <c r="CQ1323" s="215"/>
      <c r="CR1323" s="215"/>
      <c r="CS1323" s="215"/>
      <c r="CT1323" s="215"/>
    </row>
    <row r="1324" ht="24.0" customHeight="1">
      <c r="A1324" s="287"/>
      <c r="B1324" s="287"/>
      <c r="C1324" s="287"/>
      <c r="D1324" s="232"/>
      <c r="E1324" s="232"/>
      <c r="F1324" s="232"/>
      <c r="G1324" s="232"/>
      <c r="H1324" s="232"/>
      <c r="I1324" s="232"/>
      <c r="J1324" s="232"/>
      <c r="K1324" s="232"/>
      <c r="L1324" s="232"/>
      <c r="M1324" s="232"/>
      <c r="N1324" s="289"/>
      <c r="O1324" s="232"/>
      <c r="P1324" s="232"/>
      <c r="Q1324" s="232"/>
      <c r="R1324" s="232"/>
      <c r="S1324" s="232"/>
      <c r="T1324" s="232"/>
      <c r="U1324" s="232"/>
      <c r="V1324" s="232"/>
      <c r="W1324" s="232"/>
      <c r="X1324" s="232"/>
      <c r="Y1324" s="232"/>
      <c r="Z1324" s="232"/>
      <c r="AA1324" s="232"/>
      <c r="AB1324" s="232"/>
      <c r="AC1324" s="232"/>
      <c r="AD1324" s="232"/>
      <c r="AE1324" s="232"/>
      <c r="AF1324" s="232"/>
      <c r="AG1324" s="232"/>
      <c r="AH1324" s="232"/>
      <c r="AI1324" s="232"/>
      <c r="AJ1324" s="232"/>
      <c r="AK1324" s="232"/>
      <c r="AL1324" s="232"/>
      <c r="AM1324" s="232"/>
      <c r="AN1324" s="232"/>
      <c r="AO1324" s="232"/>
      <c r="AP1324" s="232"/>
      <c r="AQ1324" s="232"/>
      <c r="AR1324" s="232"/>
      <c r="AS1324" s="232"/>
      <c r="AT1324" s="232"/>
      <c r="AU1324" s="232"/>
      <c r="AV1324" s="232"/>
      <c r="AW1324" s="232"/>
      <c r="AX1324" s="232"/>
      <c r="AY1324" s="232"/>
      <c r="AZ1324" s="232"/>
      <c r="BA1324" s="232"/>
      <c r="BB1324" s="232"/>
      <c r="BC1324" s="232"/>
      <c r="BD1324" s="232"/>
      <c r="BE1324" s="232"/>
      <c r="BF1324" s="232"/>
      <c r="BG1324" s="232"/>
      <c r="BH1324" s="232"/>
      <c r="BI1324" s="232"/>
      <c r="BJ1324" s="232"/>
      <c r="BK1324" s="232"/>
      <c r="BL1324" s="232"/>
      <c r="BM1324" s="232"/>
      <c r="BN1324" s="232"/>
      <c r="BO1324" s="232"/>
      <c r="BP1324" s="232"/>
      <c r="BQ1324" s="232"/>
      <c r="BR1324" s="232"/>
      <c r="BS1324" s="232"/>
      <c r="BT1324" s="232"/>
      <c r="BU1324" s="232"/>
      <c r="BV1324" s="232"/>
      <c r="BW1324" s="232"/>
      <c r="BX1324" s="232"/>
      <c r="BY1324" s="232"/>
      <c r="BZ1324" s="232"/>
      <c r="CA1324" s="232"/>
      <c r="CB1324" s="232"/>
      <c r="CC1324" s="232"/>
      <c r="CD1324" s="232"/>
      <c r="CE1324" s="232"/>
      <c r="CF1324" s="232"/>
      <c r="CG1324" s="232"/>
      <c r="CH1324" s="232"/>
      <c r="CI1324" s="232"/>
      <c r="CJ1324" s="232"/>
      <c r="CK1324" s="232"/>
      <c r="CL1324" s="232"/>
      <c r="CM1324" s="232"/>
      <c r="CN1324" s="215"/>
      <c r="CO1324" s="215"/>
      <c r="CP1324" s="215"/>
      <c r="CQ1324" s="215"/>
      <c r="CR1324" s="215"/>
      <c r="CS1324" s="215"/>
      <c r="CT1324" s="215"/>
    </row>
    <row r="1325" ht="24.0" customHeight="1">
      <c r="A1325" s="287"/>
      <c r="B1325" s="287"/>
      <c r="C1325" s="287"/>
      <c r="D1325" s="232"/>
      <c r="E1325" s="232"/>
      <c r="F1325" s="232"/>
      <c r="G1325" s="232"/>
      <c r="H1325" s="232"/>
      <c r="I1325" s="232"/>
      <c r="J1325" s="232"/>
      <c r="K1325" s="232"/>
      <c r="L1325" s="232"/>
      <c r="M1325" s="232"/>
      <c r="N1325" s="289"/>
      <c r="O1325" s="232"/>
      <c r="P1325" s="232"/>
      <c r="Q1325" s="232"/>
      <c r="R1325" s="232"/>
      <c r="S1325" s="232"/>
      <c r="T1325" s="232"/>
      <c r="U1325" s="232"/>
      <c r="V1325" s="232"/>
      <c r="W1325" s="232"/>
      <c r="X1325" s="232"/>
      <c r="Y1325" s="232"/>
      <c r="Z1325" s="232"/>
      <c r="AA1325" s="232"/>
      <c r="AB1325" s="232"/>
      <c r="AC1325" s="232"/>
      <c r="AD1325" s="232"/>
      <c r="AE1325" s="232"/>
      <c r="AF1325" s="232"/>
      <c r="AG1325" s="232"/>
      <c r="AH1325" s="232"/>
      <c r="AI1325" s="232"/>
      <c r="AJ1325" s="232"/>
      <c r="AK1325" s="232"/>
      <c r="AL1325" s="232"/>
      <c r="AM1325" s="232"/>
      <c r="AN1325" s="232"/>
      <c r="AO1325" s="232"/>
      <c r="AP1325" s="232"/>
      <c r="AQ1325" s="232"/>
      <c r="AR1325" s="232"/>
      <c r="AS1325" s="232"/>
      <c r="AT1325" s="232"/>
      <c r="AU1325" s="232"/>
      <c r="AV1325" s="232"/>
      <c r="AW1325" s="232"/>
      <c r="AX1325" s="232"/>
      <c r="AY1325" s="232"/>
      <c r="AZ1325" s="232"/>
      <c r="BA1325" s="232"/>
      <c r="BB1325" s="232"/>
      <c r="BC1325" s="232"/>
      <c r="BD1325" s="232"/>
      <c r="BE1325" s="232"/>
      <c r="BF1325" s="232"/>
      <c r="BG1325" s="232"/>
      <c r="BH1325" s="232"/>
      <c r="BI1325" s="232"/>
      <c r="BJ1325" s="232"/>
      <c r="BK1325" s="232"/>
      <c r="BL1325" s="232"/>
      <c r="BM1325" s="232"/>
      <c r="BN1325" s="232"/>
      <c r="BO1325" s="232"/>
      <c r="BP1325" s="232"/>
      <c r="BQ1325" s="232"/>
      <c r="BR1325" s="232"/>
      <c r="BS1325" s="232"/>
      <c r="BT1325" s="232"/>
      <c r="BU1325" s="232"/>
      <c r="BV1325" s="232"/>
      <c r="BW1325" s="232"/>
      <c r="BX1325" s="232"/>
      <c r="BY1325" s="232"/>
      <c r="BZ1325" s="232"/>
      <c r="CA1325" s="232"/>
      <c r="CB1325" s="232"/>
      <c r="CC1325" s="232"/>
      <c r="CD1325" s="232"/>
      <c r="CE1325" s="232"/>
      <c r="CF1325" s="232"/>
      <c r="CG1325" s="232"/>
      <c r="CH1325" s="232"/>
      <c r="CI1325" s="232"/>
      <c r="CJ1325" s="232"/>
      <c r="CK1325" s="232"/>
      <c r="CL1325" s="232"/>
      <c r="CM1325" s="232"/>
      <c r="CN1325" s="215"/>
      <c r="CO1325" s="215"/>
      <c r="CP1325" s="215"/>
      <c r="CQ1325" s="215"/>
      <c r="CR1325" s="215"/>
      <c r="CS1325" s="215"/>
      <c r="CT1325" s="215"/>
    </row>
    <row r="1326" ht="24.0" customHeight="1">
      <c r="A1326" s="287"/>
      <c r="B1326" s="287"/>
      <c r="C1326" s="287"/>
      <c r="D1326" s="232"/>
      <c r="E1326" s="232"/>
      <c r="F1326" s="232"/>
      <c r="G1326" s="232"/>
      <c r="H1326" s="232"/>
      <c r="I1326" s="232"/>
      <c r="J1326" s="232"/>
      <c r="K1326" s="232"/>
      <c r="L1326" s="232"/>
      <c r="M1326" s="232"/>
      <c r="N1326" s="289"/>
      <c r="O1326" s="232"/>
      <c r="P1326" s="232"/>
      <c r="Q1326" s="232"/>
      <c r="R1326" s="232"/>
      <c r="S1326" s="232"/>
      <c r="T1326" s="232"/>
      <c r="U1326" s="232"/>
      <c r="V1326" s="232"/>
      <c r="W1326" s="232"/>
      <c r="X1326" s="232"/>
      <c r="Y1326" s="232"/>
      <c r="Z1326" s="232"/>
      <c r="AA1326" s="232"/>
      <c r="AB1326" s="232"/>
      <c r="AC1326" s="232"/>
      <c r="AD1326" s="232"/>
      <c r="AE1326" s="232"/>
      <c r="AF1326" s="232"/>
      <c r="AG1326" s="232"/>
      <c r="AH1326" s="232"/>
      <c r="AI1326" s="232"/>
      <c r="AJ1326" s="232"/>
      <c r="AK1326" s="232"/>
      <c r="AL1326" s="232"/>
      <c r="AM1326" s="232"/>
      <c r="AN1326" s="232"/>
      <c r="AO1326" s="232"/>
      <c r="AP1326" s="232"/>
      <c r="AQ1326" s="232"/>
      <c r="AR1326" s="232"/>
      <c r="AS1326" s="232"/>
      <c r="AT1326" s="232"/>
      <c r="AU1326" s="232"/>
      <c r="AV1326" s="232"/>
      <c r="AW1326" s="232"/>
      <c r="AX1326" s="232"/>
      <c r="AY1326" s="232"/>
      <c r="AZ1326" s="232"/>
      <c r="BA1326" s="232"/>
      <c r="BB1326" s="232"/>
      <c r="BC1326" s="232"/>
      <c r="BD1326" s="232"/>
      <c r="BE1326" s="232"/>
      <c r="BF1326" s="232"/>
      <c r="BG1326" s="232"/>
      <c r="BH1326" s="232"/>
      <c r="BI1326" s="232"/>
      <c r="BJ1326" s="232"/>
      <c r="BK1326" s="232"/>
      <c r="BL1326" s="232"/>
      <c r="BM1326" s="232"/>
      <c r="BN1326" s="232"/>
      <c r="BO1326" s="232"/>
      <c r="BP1326" s="232"/>
      <c r="BQ1326" s="232"/>
      <c r="BR1326" s="232"/>
      <c r="BS1326" s="232"/>
      <c r="BT1326" s="232"/>
      <c r="BU1326" s="232"/>
      <c r="BV1326" s="232"/>
      <c r="BW1326" s="232"/>
      <c r="BX1326" s="232"/>
      <c r="BY1326" s="232"/>
      <c r="BZ1326" s="232"/>
      <c r="CA1326" s="232"/>
      <c r="CB1326" s="232"/>
      <c r="CC1326" s="232"/>
      <c r="CD1326" s="232"/>
      <c r="CE1326" s="232"/>
      <c r="CF1326" s="232"/>
      <c r="CG1326" s="232"/>
      <c r="CH1326" s="232"/>
      <c r="CI1326" s="232"/>
      <c r="CJ1326" s="232"/>
      <c r="CK1326" s="232"/>
      <c r="CL1326" s="232"/>
      <c r="CM1326" s="232"/>
      <c r="CN1326" s="215"/>
      <c r="CO1326" s="215"/>
      <c r="CP1326" s="215"/>
      <c r="CQ1326" s="215"/>
      <c r="CR1326" s="215"/>
      <c r="CS1326" s="215"/>
      <c r="CT1326" s="215"/>
    </row>
    <row r="1327" ht="24.0" customHeight="1">
      <c r="A1327" s="287"/>
      <c r="B1327" s="287"/>
      <c r="C1327" s="287"/>
      <c r="D1327" s="232"/>
      <c r="E1327" s="232"/>
      <c r="F1327" s="232"/>
      <c r="G1327" s="232"/>
      <c r="H1327" s="232"/>
      <c r="I1327" s="232"/>
      <c r="J1327" s="232"/>
      <c r="K1327" s="232"/>
      <c r="L1327" s="232"/>
      <c r="M1327" s="232"/>
      <c r="N1327" s="289"/>
      <c r="O1327" s="232"/>
      <c r="P1327" s="232"/>
      <c r="Q1327" s="232"/>
      <c r="R1327" s="232"/>
      <c r="S1327" s="232"/>
      <c r="T1327" s="232"/>
      <c r="U1327" s="232"/>
      <c r="V1327" s="232"/>
      <c r="W1327" s="232"/>
      <c r="X1327" s="232"/>
      <c r="Y1327" s="232"/>
      <c r="Z1327" s="232"/>
      <c r="AA1327" s="232"/>
      <c r="AB1327" s="232"/>
      <c r="AC1327" s="232"/>
      <c r="AD1327" s="232"/>
      <c r="AE1327" s="232"/>
      <c r="AF1327" s="232"/>
      <c r="AG1327" s="232"/>
      <c r="AH1327" s="232"/>
      <c r="AI1327" s="232"/>
      <c r="AJ1327" s="232"/>
      <c r="AK1327" s="232"/>
      <c r="AL1327" s="232"/>
      <c r="AM1327" s="232"/>
      <c r="AN1327" s="232"/>
      <c r="AO1327" s="232"/>
      <c r="AP1327" s="232"/>
      <c r="AQ1327" s="232"/>
      <c r="AR1327" s="232"/>
      <c r="AS1327" s="232"/>
      <c r="AT1327" s="232"/>
      <c r="AU1327" s="232"/>
      <c r="AV1327" s="232"/>
      <c r="AW1327" s="232"/>
      <c r="AX1327" s="232"/>
      <c r="AY1327" s="232"/>
      <c r="AZ1327" s="232"/>
      <c r="BA1327" s="232"/>
      <c r="BB1327" s="232"/>
      <c r="BC1327" s="232"/>
      <c r="BD1327" s="232"/>
      <c r="BE1327" s="232"/>
      <c r="BF1327" s="232"/>
      <c r="BG1327" s="232"/>
      <c r="BH1327" s="232"/>
      <c r="BI1327" s="232"/>
      <c r="BJ1327" s="232"/>
      <c r="BK1327" s="232"/>
      <c r="BL1327" s="232"/>
      <c r="BM1327" s="232"/>
      <c r="BN1327" s="232"/>
      <c r="BO1327" s="232"/>
      <c r="BP1327" s="232"/>
      <c r="BQ1327" s="232"/>
      <c r="BR1327" s="232"/>
      <c r="BS1327" s="232"/>
      <c r="BT1327" s="232"/>
      <c r="BU1327" s="232"/>
      <c r="BV1327" s="232"/>
      <c r="BW1327" s="232"/>
      <c r="BX1327" s="232"/>
      <c r="BY1327" s="232"/>
      <c r="BZ1327" s="232"/>
      <c r="CA1327" s="232"/>
      <c r="CB1327" s="232"/>
      <c r="CC1327" s="232"/>
      <c r="CD1327" s="232"/>
      <c r="CE1327" s="232"/>
      <c r="CF1327" s="232"/>
      <c r="CG1327" s="232"/>
      <c r="CH1327" s="232"/>
      <c r="CI1327" s="232"/>
      <c r="CJ1327" s="232"/>
      <c r="CK1327" s="232"/>
      <c r="CL1327" s="232"/>
      <c r="CM1327" s="232"/>
      <c r="CN1327" s="215"/>
      <c r="CO1327" s="215"/>
      <c r="CP1327" s="215"/>
      <c r="CQ1327" s="215"/>
      <c r="CR1327" s="215"/>
      <c r="CS1327" s="215"/>
      <c r="CT1327" s="215"/>
    </row>
    <row r="1328" ht="24.0" customHeight="1">
      <c r="A1328" s="287"/>
      <c r="B1328" s="287"/>
      <c r="C1328" s="287"/>
      <c r="D1328" s="232"/>
      <c r="E1328" s="232"/>
      <c r="F1328" s="232"/>
      <c r="G1328" s="232"/>
      <c r="H1328" s="232"/>
      <c r="I1328" s="232"/>
      <c r="J1328" s="232"/>
      <c r="K1328" s="232"/>
      <c r="L1328" s="232"/>
      <c r="M1328" s="232"/>
      <c r="N1328" s="289"/>
      <c r="O1328" s="232"/>
      <c r="P1328" s="232"/>
      <c r="Q1328" s="232"/>
      <c r="R1328" s="232"/>
      <c r="S1328" s="232"/>
      <c r="T1328" s="232"/>
      <c r="U1328" s="232"/>
      <c r="V1328" s="232"/>
      <c r="W1328" s="232"/>
      <c r="X1328" s="232"/>
      <c r="Y1328" s="232"/>
      <c r="Z1328" s="232"/>
      <c r="AA1328" s="232"/>
      <c r="AB1328" s="232"/>
      <c r="AC1328" s="232"/>
      <c r="AD1328" s="232"/>
      <c r="AE1328" s="232"/>
      <c r="AF1328" s="232"/>
      <c r="AG1328" s="232"/>
      <c r="AH1328" s="232"/>
      <c r="AI1328" s="232"/>
      <c r="AJ1328" s="232"/>
      <c r="AK1328" s="232"/>
      <c r="AL1328" s="232"/>
      <c r="AM1328" s="232"/>
      <c r="AN1328" s="232"/>
      <c r="AO1328" s="232"/>
      <c r="AP1328" s="232"/>
      <c r="AQ1328" s="232"/>
      <c r="AR1328" s="232"/>
      <c r="AS1328" s="232"/>
      <c r="AT1328" s="232"/>
      <c r="AU1328" s="232"/>
      <c r="AV1328" s="232"/>
      <c r="AW1328" s="232"/>
      <c r="AX1328" s="232"/>
      <c r="AY1328" s="232"/>
      <c r="AZ1328" s="232"/>
      <c r="BA1328" s="232"/>
      <c r="BB1328" s="232"/>
      <c r="BC1328" s="232"/>
      <c r="BD1328" s="232"/>
      <c r="BE1328" s="232"/>
      <c r="BF1328" s="232"/>
      <c r="BG1328" s="232"/>
      <c r="BH1328" s="232"/>
      <c r="BI1328" s="232"/>
      <c r="BJ1328" s="232"/>
      <c r="BK1328" s="232"/>
      <c r="BL1328" s="232"/>
      <c r="BM1328" s="232"/>
      <c r="BN1328" s="232"/>
      <c r="BO1328" s="232"/>
      <c r="BP1328" s="232"/>
      <c r="BQ1328" s="232"/>
      <c r="BR1328" s="232"/>
      <c r="BS1328" s="232"/>
      <c r="BT1328" s="232"/>
      <c r="BU1328" s="232"/>
      <c r="BV1328" s="232"/>
      <c r="BW1328" s="232"/>
      <c r="BX1328" s="232"/>
      <c r="BY1328" s="232"/>
      <c r="BZ1328" s="232"/>
      <c r="CA1328" s="232"/>
      <c r="CB1328" s="232"/>
      <c r="CC1328" s="232"/>
      <c r="CD1328" s="232"/>
      <c r="CE1328" s="232"/>
      <c r="CF1328" s="232"/>
      <c r="CG1328" s="232"/>
      <c r="CH1328" s="232"/>
      <c r="CI1328" s="232"/>
      <c r="CJ1328" s="232"/>
      <c r="CK1328" s="232"/>
      <c r="CL1328" s="232"/>
      <c r="CM1328" s="232"/>
      <c r="CN1328" s="215"/>
      <c r="CO1328" s="215"/>
      <c r="CP1328" s="215"/>
      <c r="CQ1328" s="215"/>
      <c r="CR1328" s="215"/>
      <c r="CS1328" s="215"/>
      <c r="CT1328" s="215"/>
    </row>
    <row r="1329" ht="24.0" customHeight="1">
      <c r="A1329" s="287"/>
      <c r="B1329" s="287"/>
      <c r="C1329" s="287"/>
      <c r="D1329" s="232"/>
      <c r="E1329" s="232"/>
      <c r="F1329" s="232"/>
      <c r="G1329" s="232"/>
      <c r="H1329" s="232"/>
      <c r="I1329" s="232"/>
      <c r="J1329" s="232"/>
      <c r="K1329" s="232"/>
      <c r="L1329" s="232"/>
      <c r="M1329" s="232"/>
      <c r="N1329" s="289"/>
      <c r="O1329" s="232"/>
      <c r="P1329" s="232"/>
      <c r="Q1329" s="232"/>
      <c r="R1329" s="232"/>
      <c r="S1329" s="232"/>
      <c r="T1329" s="232"/>
      <c r="U1329" s="232"/>
      <c r="V1329" s="232"/>
      <c r="W1329" s="232"/>
      <c r="X1329" s="232"/>
      <c r="Y1329" s="232"/>
      <c r="Z1329" s="232"/>
      <c r="AA1329" s="232"/>
      <c r="AB1329" s="232"/>
      <c r="AC1329" s="232"/>
      <c r="AD1329" s="232"/>
      <c r="AE1329" s="232"/>
      <c r="AF1329" s="232"/>
      <c r="AG1329" s="232"/>
      <c r="AH1329" s="232"/>
      <c r="AI1329" s="232"/>
      <c r="AJ1329" s="232"/>
      <c r="AK1329" s="232"/>
      <c r="AL1329" s="232"/>
      <c r="AM1329" s="232"/>
      <c r="AN1329" s="232"/>
      <c r="AO1329" s="232"/>
      <c r="AP1329" s="232"/>
      <c r="AQ1329" s="232"/>
      <c r="AR1329" s="232"/>
      <c r="AS1329" s="232"/>
      <c r="AT1329" s="232"/>
      <c r="AU1329" s="232"/>
      <c r="AV1329" s="232"/>
      <c r="AW1329" s="232"/>
      <c r="AX1329" s="232"/>
      <c r="AY1329" s="232"/>
      <c r="AZ1329" s="232"/>
      <c r="BA1329" s="232"/>
      <c r="BB1329" s="232"/>
      <c r="BC1329" s="232"/>
      <c r="BD1329" s="232"/>
      <c r="BE1329" s="232"/>
      <c r="BF1329" s="232"/>
      <c r="BG1329" s="232"/>
      <c r="BH1329" s="232"/>
      <c r="BI1329" s="232"/>
      <c r="BJ1329" s="232"/>
      <c r="BK1329" s="232"/>
      <c r="BL1329" s="232"/>
      <c r="BM1329" s="232"/>
      <c r="BN1329" s="232"/>
      <c r="BO1329" s="232"/>
      <c r="BP1329" s="232"/>
      <c r="BQ1329" s="232"/>
      <c r="BR1329" s="232"/>
      <c r="BS1329" s="232"/>
      <c r="BT1329" s="232"/>
      <c r="BU1329" s="232"/>
      <c r="BV1329" s="232"/>
      <c r="BW1329" s="232"/>
      <c r="BX1329" s="232"/>
      <c r="BY1329" s="232"/>
      <c r="BZ1329" s="232"/>
      <c r="CA1329" s="232"/>
      <c r="CB1329" s="232"/>
      <c r="CC1329" s="232"/>
      <c r="CD1329" s="232"/>
      <c r="CE1329" s="232"/>
      <c r="CF1329" s="232"/>
      <c r="CG1329" s="232"/>
      <c r="CH1329" s="232"/>
      <c r="CI1329" s="232"/>
      <c r="CJ1329" s="232"/>
      <c r="CK1329" s="232"/>
      <c r="CL1329" s="232"/>
      <c r="CM1329" s="232"/>
      <c r="CN1329" s="215"/>
      <c r="CO1329" s="215"/>
      <c r="CP1329" s="215"/>
      <c r="CQ1329" s="215"/>
      <c r="CR1329" s="215"/>
      <c r="CS1329" s="215"/>
      <c r="CT1329" s="215"/>
    </row>
    <row r="1330" ht="24.0" customHeight="1">
      <c r="A1330" s="287"/>
      <c r="B1330" s="287"/>
      <c r="C1330" s="287"/>
      <c r="D1330" s="232"/>
      <c r="E1330" s="232"/>
      <c r="F1330" s="232"/>
      <c r="G1330" s="232"/>
      <c r="H1330" s="232"/>
      <c r="I1330" s="232"/>
      <c r="J1330" s="232"/>
      <c r="K1330" s="232"/>
      <c r="L1330" s="232"/>
      <c r="M1330" s="232"/>
      <c r="N1330" s="289"/>
      <c r="O1330" s="232"/>
      <c r="P1330" s="232"/>
      <c r="Q1330" s="232"/>
      <c r="R1330" s="232"/>
      <c r="S1330" s="232"/>
      <c r="T1330" s="232"/>
      <c r="U1330" s="232"/>
      <c r="V1330" s="232"/>
      <c r="W1330" s="232"/>
      <c r="X1330" s="232"/>
      <c r="Y1330" s="232"/>
      <c r="Z1330" s="232"/>
      <c r="AA1330" s="232"/>
      <c r="AB1330" s="232"/>
      <c r="AC1330" s="232"/>
      <c r="AD1330" s="232"/>
      <c r="AE1330" s="232"/>
      <c r="AF1330" s="232"/>
      <c r="AG1330" s="232"/>
      <c r="AH1330" s="232"/>
      <c r="AI1330" s="232"/>
      <c r="AJ1330" s="232"/>
      <c r="AK1330" s="232"/>
      <c r="AL1330" s="232"/>
      <c r="AM1330" s="232"/>
      <c r="AN1330" s="232"/>
      <c r="AO1330" s="232"/>
      <c r="AP1330" s="232"/>
      <c r="AQ1330" s="232"/>
      <c r="AR1330" s="232"/>
      <c r="AS1330" s="232"/>
      <c r="AT1330" s="232"/>
      <c r="AU1330" s="232"/>
      <c r="AV1330" s="232"/>
      <c r="AW1330" s="232"/>
      <c r="AX1330" s="232"/>
      <c r="AY1330" s="232"/>
      <c r="AZ1330" s="232"/>
      <c r="BA1330" s="232"/>
      <c r="BB1330" s="232"/>
      <c r="BC1330" s="232"/>
      <c r="BD1330" s="232"/>
      <c r="BE1330" s="232"/>
      <c r="BF1330" s="232"/>
      <c r="BG1330" s="232"/>
      <c r="BH1330" s="232"/>
      <c r="BI1330" s="232"/>
      <c r="BJ1330" s="232"/>
      <c r="BK1330" s="232"/>
      <c r="BL1330" s="232"/>
      <c r="BM1330" s="232"/>
      <c r="BN1330" s="232"/>
      <c r="BO1330" s="232"/>
      <c r="BP1330" s="232"/>
      <c r="BQ1330" s="232"/>
      <c r="BR1330" s="232"/>
      <c r="BS1330" s="232"/>
      <c r="BT1330" s="232"/>
      <c r="BU1330" s="232"/>
      <c r="BV1330" s="232"/>
      <c r="BW1330" s="232"/>
      <c r="BX1330" s="232"/>
      <c r="BY1330" s="232"/>
      <c r="BZ1330" s="232"/>
      <c r="CA1330" s="232"/>
      <c r="CB1330" s="232"/>
      <c r="CC1330" s="232"/>
      <c r="CD1330" s="232"/>
      <c r="CE1330" s="232"/>
      <c r="CF1330" s="232"/>
      <c r="CG1330" s="232"/>
      <c r="CH1330" s="232"/>
      <c r="CI1330" s="232"/>
      <c r="CJ1330" s="232"/>
      <c r="CK1330" s="232"/>
      <c r="CL1330" s="232"/>
      <c r="CM1330" s="232"/>
      <c r="CN1330" s="215"/>
      <c r="CO1330" s="215"/>
      <c r="CP1330" s="215"/>
      <c r="CQ1330" s="215"/>
      <c r="CR1330" s="215"/>
      <c r="CS1330" s="215"/>
      <c r="CT1330" s="215"/>
    </row>
    <row r="1331" ht="24.0" customHeight="1">
      <c r="A1331" s="287"/>
      <c r="B1331" s="287"/>
      <c r="C1331" s="287"/>
      <c r="D1331" s="232"/>
      <c r="E1331" s="232"/>
      <c r="F1331" s="232"/>
      <c r="G1331" s="232"/>
      <c r="H1331" s="232"/>
      <c r="I1331" s="232"/>
      <c r="J1331" s="232"/>
      <c r="K1331" s="232"/>
      <c r="L1331" s="232"/>
      <c r="M1331" s="232"/>
      <c r="N1331" s="289"/>
      <c r="O1331" s="232"/>
      <c r="P1331" s="232"/>
      <c r="Q1331" s="232"/>
      <c r="R1331" s="232"/>
      <c r="S1331" s="232"/>
      <c r="T1331" s="232"/>
      <c r="U1331" s="232"/>
      <c r="V1331" s="232"/>
      <c r="W1331" s="232"/>
      <c r="X1331" s="232"/>
      <c r="Y1331" s="232"/>
      <c r="Z1331" s="232"/>
      <c r="AA1331" s="232"/>
      <c r="AB1331" s="232"/>
      <c r="AC1331" s="232"/>
      <c r="AD1331" s="232"/>
      <c r="AE1331" s="232"/>
      <c r="AF1331" s="232"/>
      <c r="AG1331" s="232"/>
      <c r="AH1331" s="232"/>
      <c r="AI1331" s="232"/>
      <c r="AJ1331" s="232"/>
      <c r="AK1331" s="232"/>
      <c r="AL1331" s="232"/>
      <c r="AM1331" s="232"/>
      <c r="AN1331" s="232"/>
      <c r="AO1331" s="232"/>
      <c r="AP1331" s="232"/>
      <c r="AQ1331" s="232"/>
      <c r="AR1331" s="232"/>
      <c r="AS1331" s="232"/>
      <c r="AT1331" s="232"/>
      <c r="AU1331" s="232"/>
      <c r="AV1331" s="232"/>
      <c r="AW1331" s="232"/>
      <c r="AX1331" s="232"/>
      <c r="AY1331" s="232"/>
      <c r="AZ1331" s="232"/>
      <c r="BA1331" s="232"/>
      <c r="BB1331" s="232"/>
      <c r="BC1331" s="232"/>
      <c r="BD1331" s="232"/>
      <c r="BE1331" s="232"/>
      <c r="BF1331" s="232"/>
      <c r="BG1331" s="232"/>
      <c r="BH1331" s="232"/>
      <c r="BI1331" s="232"/>
      <c r="BJ1331" s="232"/>
      <c r="BK1331" s="232"/>
      <c r="BL1331" s="232"/>
      <c r="BM1331" s="232"/>
      <c r="BN1331" s="232"/>
      <c r="BO1331" s="232"/>
      <c r="BP1331" s="232"/>
      <c r="BQ1331" s="232"/>
      <c r="BR1331" s="232"/>
      <c r="BS1331" s="232"/>
      <c r="BT1331" s="232"/>
      <c r="BU1331" s="232"/>
      <c r="BV1331" s="232"/>
      <c r="BW1331" s="232"/>
      <c r="BX1331" s="232"/>
      <c r="BY1331" s="232"/>
      <c r="BZ1331" s="232"/>
      <c r="CA1331" s="232"/>
      <c r="CB1331" s="232"/>
      <c r="CC1331" s="232"/>
      <c r="CD1331" s="232"/>
      <c r="CE1331" s="232"/>
      <c r="CF1331" s="232"/>
      <c r="CG1331" s="232"/>
      <c r="CH1331" s="232"/>
      <c r="CI1331" s="232"/>
      <c r="CJ1331" s="232"/>
      <c r="CK1331" s="232"/>
      <c r="CL1331" s="232"/>
      <c r="CM1331" s="232"/>
      <c r="CN1331" s="215"/>
      <c r="CO1331" s="215"/>
      <c r="CP1331" s="215"/>
      <c r="CQ1331" s="215"/>
      <c r="CR1331" s="215"/>
      <c r="CS1331" s="215"/>
      <c r="CT1331" s="215"/>
    </row>
    <row r="1332" ht="24.0" customHeight="1">
      <c r="A1332" s="287"/>
      <c r="B1332" s="287"/>
      <c r="C1332" s="287"/>
      <c r="D1332" s="232"/>
      <c r="E1332" s="232"/>
      <c r="F1332" s="232"/>
      <c r="G1332" s="232"/>
      <c r="H1332" s="232"/>
      <c r="I1332" s="232"/>
      <c r="J1332" s="232"/>
      <c r="K1332" s="232"/>
      <c r="L1332" s="232"/>
      <c r="M1332" s="232"/>
      <c r="N1332" s="289"/>
      <c r="O1332" s="232"/>
      <c r="P1332" s="232"/>
      <c r="Q1332" s="232"/>
      <c r="R1332" s="232"/>
      <c r="S1332" s="232"/>
      <c r="T1332" s="232"/>
      <c r="U1332" s="232"/>
      <c r="V1332" s="232"/>
      <c r="W1332" s="232"/>
      <c r="X1332" s="232"/>
      <c r="Y1332" s="232"/>
      <c r="Z1332" s="232"/>
      <c r="AA1332" s="232"/>
      <c r="AB1332" s="232"/>
      <c r="AC1332" s="232"/>
      <c r="AD1332" s="232"/>
      <c r="AE1332" s="232"/>
      <c r="AF1332" s="232"/>
      <c r="AG1332" s="232"/>
      <c r="AH1332" s="232"/>
      <c r="AI1332" s="232"/>
      <c r="AJ1332" s="232"/>
      <c r="AK1332" s="232"/>
      <c r="AL1332" s="232"/>
      <c r="AM1332" s="232"/>
      <c r="AN1332" s="232"/>
      <c r="AO1332" s="232"/>
      <c r="AP1332" s="232"/>
      <c r="AQ1332" s="232"/>
      <c r="AR1332" s="232"/>
      <c r="AS1332" s="232"/>
      <c r="AT1332" s="232"/>
      <c r="AU1332" s="232"/>
      <c r="AV1332" s="232"/>
      <c r="AW1332" s="232"/>
      <c r="AX1332" s="232"/>
      <c r="AY1332" s="232"/>
      <c r="AZ1332" s="232"/>
      <c r="BA1332" s="232"/>
      <c r="BB1332" s="232"/>
      <c r="BC1332" s="232"/>
      <c r="BD1332" s="232"/>
      <c r="BE1332" s="232"/>
      <c r="BF1332" s="232"/>
      <c r="BG1332" s="232"/>
      <c r="BH1332" s="232"/>
      <c r="BI1332" s="232"/>
      <c r="BJ1332" s="232"/>
      <c r="BK1332" s="232"/>
      <c r="BL1332" s="232"/>
      <c r="BM1332" s="232"/>
      <c r="BN1332" s="232"/>
      <c r="BO1332" s="232"/>
      <c r="BP1332" s="232"/>
      <c r="BQ1332" s="232"/>
      <c r="BR1332" s="232"/>
      <c r="BS1332" s="232"/>
      <c r="BT1332" s="232"/>
      <c r="BU1332" s="232"/>
      <c r="BV1332" s="232"/>
      <c r="BW1332" s="232"/>
      <c r="BX1332" s="232"/>
      <c r="BY1332" s="232"/>
      <c r="BZ1332" s="232"/>
      <c r="CA1332" s="232"/>
      <c r="CB1332" s="232"/>
      <c r="CC1332" s="232"/>
      <c r="CD1332" s="232"/>
      <c r="CE1332" s="232"/>
      <c r="CF1332" s="232"/>
      <c r="CG1332" s="232"/>
      <c r="CH1332" s="232"/>
      <c r="CI1332" s="232"/>
      <c r="CJ1332" s="232"/>
      <c r="CK1332" s="232"/>
      <c r="CL1332" s="232"/>
      <c r="CM1332" s="232"/>
      <c r="CN1332" s="215"/>
      <c r="CO1332" s="215"/>
      <c r="CP1332" s="215"/>
      <c r="CQ1332" s="215"/>
      <c r="CR1332" s="215"/>
      <c r="CS1332" s="215"/>
      <c r="CT1332" s="215"/>
    </row>
    <row r="1333" ht="24.0" customHeight="1">
      <c r="A1333" s="287"/>
      <c r="B1333" s="287"/>
      <c r="C1333" s="287"/>
      <c r="D1333" s="232"/>
      <c r="E1333" s="232"/>
      <c r="F1333" s="232"/>
      <c r="G1333" s="232"/>
      <c r="H1333" s="232"/>
      <c r="I1333" s="232"/>
      <c r="J1333" s="232"/>
      <c r="K1333" s="232"/>
      <c r="L1333" s="232"/>
      <c r="M1333" s="232"/>
      <c r="N1333" s="289"/>
      <c r="O1333" s="232"/>
      <c r="P1333" s="232"/>
      <c r="Q1333" s="232"/>
      <c r="R1333" s="232"/>
      <c r="S1333" s="232"/>
      <c r="T1333" s="232"/>
      <c r="U1333" s="232"/>
      <c r="V1333" s="232"/>
      <c r="W1333" s="232"/>
      <c r="X1333" s="232"/>
      <c r="Y1333" s="232"/>
      <c r="Z1333" s="232"/>
      <c r="AA1333" s="232"/>
      <c r="AB1333" s="232"/>
      <c r="AC1333" s="232"/>
      <c r="AD1333" s="232"/>
      <c r="AE1333" s="232"/>
      <c r="AF1333" s="232"/>
      <c r="AG1333" s="232"/>
      <c r="AH1333" s="232"/>
      <c r="AI1333" s="232"/>
      <c r="AJ1333" s="232"/>
      <c r="AK1333" s="232"/>
      <c r="AL1333" s="232"/>
      <c r="AM1333" s="232"/>
      <c r="AN1333" s="232"/>
      <c r="AO1333" s="232"/>
      <c r="AP1333" s="232"/>
      <c r="AQ1333" s="232"/>
      <c r="AR1333" s="232"/>
      <c r="AS1333" s="232"/>
      <c r="AT1333" s="232"/>
      <c r="AU1333" s="232"/>
      <c r="AV1333" s="232"/>
      <c r="AW1333" s="232"/>
      <c r="AX1333" s="232"/>
      <c r="AY1333" s="232"/>
      <c r="AZ1333" s="232"/>
      <c r="BA1333" s="232"/>
      <c r="BB1333" s="232"/>
      <c r="BC1333" s="232"/>
      <c r="BD1333" s="232"/>
      <c r="BE1333" s="232"/>
      <c r="BF1333" s="232"/>
      <c r="BG1333" s="232"/>
      <c r="BH1333" s="232"/>
      <c r="BI1333" s="232"/>
      <c r="BJ1333" s="232"/>
      <c r="BK1333" s="232"/>
      <c r="BL1333" s="232"/>
      <c r="BM1333" s="232"/>
      <c r="BN1333" s="232"/>
      <c r="BO1333" s="232"/>
      <c r="BP1333" s="232"/>
      <c r="BQ1333" s="232"/>
      <c r="BR1333" s="232"/>
      <c r="BS1333" s="232"/>
      <c r="BT1333" s="232"/>
      <c r="BU1333" s="232"/>
      <c r="BV1333" s="232"/>
      <c r="BW1333" s="232"/>
      <c r="BX1333" s="232"/>
      <c r="BY1333" s="232"/>
      <c r="BZ1333" s="232"/>
      <c r="CA1333" s="232"/>
      <c r="CB1333" s="232"/>
      <c r="CC1333" s="232"/>
      <c r="CD1333" s="232"/>
      <c r="CE1333" s="232"/>
      <c r="CF1333" s="232"/>
      <c r="CG1333" s="232"/>
      <c r="CH1333" s="232"/>
      <c r="CI1333" s="232"/>
      <c r="CJ1333" s="232"/>
      <c r="CK1333" s="232"/>
      <c r="CL1333" s="232"/>
      <c r="CM1333" s="232"/>
      <c r="CN1333" s="215"/>
      <c r="CO1333" s="215"/>
      <c r="CP1333" s="215"/>
      <c r="CQ1333" s="215"/>
      <c r="CR1333" s="215"/>
      <c r="CS1333" s="215"/>
      <c r="CT1333" s="215"/>
    </row>
    <row r="1334" ht="24.0" customHeight="1">
      <c r="A1334" s="287"/>
      <c r="B1334" s="287"/>
      <c r="C1334" s="287"/>
      <c r="D1334" s="232"/>
      <c r="E1334" s="232"/>
      <c r="F1334" s="232"/>
      <c r="G1334" s="232"/>
      <c r="H1334" s="232"/>
      <c r="I1334" s="232"/>
      <c r="J1334" s="232"/>
      <c r="K1334" s="232"/>
      <c r="L1334" s="232"/>
      <c r="M1334" s="232"/>
      <c r="N1334" s="289"/>
      <c r="O1334" s="232"/>
      <c r="P1334" s="232"/>
      <c r="Q1334" s="232"/>
      <c r="R1334" s="232"/>
      <c r="S1334" s="232"/>
      <c r="T1334" s="232"/>
      <c r="U1334" s="232"/>
      <c r="V1334" s="232"/>
      <c r="W1334" s="232"/>
      <c r="X1334" s="232"/>
      <c r="Y1334" s="232"/>
      <c r="Z1334" s="232"/>
      <c r="AA1334" s="232"/>
      <c r="AB1334" s="232"/>
      <c r="AC1334" s="232"/>
      <c r="AD1334" s="232"/>
      <c r="AE1334" s="232"/>
      <c r="AF1334" s="232"/>
      <c r="AG1334" s="232"/>
      <c r="AH1334" s="232"/>
      <c r="AI1334" s="232"/>
      <c r="AJ1334" s="232"/>
      <c r="AK1334" s="232"/>
      <c r="AL1334" s="232"/>
      <c r="AM1334" s="232"/>
      <c r="AN1334" s="232"/>
      <c r="AO1334" s="232"/>
      <c r="AP1334" s="232"/>
      <c r="AQ1334" s="232"/>
      <c r="AR1334" s="232"/>
      <c r="AS1334" s="232"/>
      <c r="AT1334" s="232"/>
      <c r="AU1334" s="232"/>
      <c r="AV1334" s="232"/>
      <c r="AW1334" s="232"/>
      <c r="AX1334" s="232"/>
      <c r="AY1334" s="232"/>
      <c r="AZ1334" s="232"/>
      <c r="BA1334" s="232"/>
      <c r="BB1334" s="232"/>
      <c r="BC1334" s="232"/>
      <c r="BD1334" s="232"/>
      <c r="BE1334" s="232"/>
      <c r="BF1334" s="232"/>
      <c r="BG1334" s="232"/>
      <c r="BH1334" s="232"/>
      <c r="BI1334" s="232"/>
      <c r="BJ1334" s="232"/>
      <c r="BK1334" s="232"/>
      <c r="BL1334" s="232"/>
      <c r="BM1334" s="232"/>
      <c r="BN1334" s="232"/>
      <c r="BO1334" s="232"/>
      <c r="BP1334" s="232"/>
      <c r="BQ1334" s="232"/>
      <c r="BR1334" s="232"/>
      <c r="BS1334" s="232"/>
      <c r="BT1334" s="232"/>
      <c r="BU1334" s="232"/>
      <c r="BV1334" s="232"/>
      <c r="BW1334" s="232"/>
      <c r="BX1334" s="232"/>
      <c r="BY1334" s="232"/>
      <c r="BZ1334" s="232"/>
      <c r="CA1334" s="232"/>
      <c r="CB1334" s="232"/>
      <c r="CC1334" s="232"/>
      <c r="CD1334" s="232"/>
      <c r="CE1334" s="232"/>
      <c r="CF1334" s="232"/>
      <c r="CG1334" s="232"/>
      <c r="CH1334" s="232"/>
      <c r="CI1334" s="232"/>
      <c r="CJ1334" s="232"/>
      <c r="CK1334" s="232"/>
      <c r="CL1334" s="232"/>
      <c r="CM1334" s="232"/>
      <c r="CN1334" s="215"/>
      <c r="CO1334" s="215"/>
      <c r="CP1334" s="215"/>
      <c r="CQ1334" s="215"/>
      <c r="CR1334" s="215"/>
      <c r="CS1334" s="215"/>
      <c r="CT1334" s="215"/>
    </row>
    <row r="1335" ht="24.0" customHeight="1">
      <c r="A1335" s="287"/>
      <c r="B1335" s="287"/>
      <c r="C1335" s="287"/>
      <c r="D1335" s="232"/>
      <c r="E1335" s="232"/>
      <c r="F1335" s="232"/>
      <c r="G1335" s="232"/>
      <c r="H1335" s="232"/>
      <c r="I1335" s="232"/>
      <c r="J1335" s="232"/>
      <c r="K1335" s="232"/>
      <c r="L1335" s="232"/>
      <c r="M1335" s="232"/>
      <c r="N1335" s="289"/>
      <c r="O1335" s="232"/>
      <c r="P1335" s="232"/>
      <c r="Q1335" s="232"/>
      <c r="R1335" s="232"/>
      <c r="S1335" s="232"/>
      <c r="T1335" s="232"/>
      <c r="U1335" s="232"/>
      <c r="V1335" s="232"/>
      <c r="W1335" s="232"/>
      <c r="X1335" s="232"/>
      <c r="Y1335" s="232"/>
      <c r="Z1335" s="232"/>
      <c r="AA1335" s="232"/>
      <c r="AB1335" s="232"/>
      <c r="AC1335" s="232"/>
      <c r="AD1335" s="232"/>
      <c r="AE1335" s="232"/>
      <c r="AF1335" s="232"/>
      <c r="AG1335" s="232"/>
      <c r="AH1335" s="232"/>
      <c r="AI1335" s="232"/>
      <c r="AJ1335" s="232"/>
      <c r="AK1335" s="232"/>
      <c r="AL1335" s="232"/>
      <c r="AM1335" s="232"/>
      <c r="AN1335" s="232"/>
      <c r="AO1335" s="232"/>
      <c r="AP1335" s="232"/>
      <c r="AQ1335" s="232"/>
      <c r="AR1335" s="232"/>
      <c r="AS1335" s="232"/>
      <c r="AT1335" s="232"/>
      <c r="AU1335" s="232"/>
      <c r="AV1335" s="232"/>
      <c r="AW1335" s="232"/>
      <c r="AX1335" s="232"/>
      <c r="AY1335" s="232"/>
      <c r="AZ1335" s="232"/>
      <c r="BA1335" s="232"/>
      <c r="BB1335" s="232"/>
      <c r="BC1335" s="232"/>
      <c r="BD1335" s="232"/>
      <c r="BE1335" s="232"/>
      <c r="BF1335" s="232"/>
      <c r="BG1335" s="232"/>
      <c r="BH1335" s="232"/>
      <c r="BI1335" s="232"/>
      <c r="BJ1335" s="232"/>
      <c r="BK1335" s="232"/>
      <c r="BL1335" s="232"/>
      <c r="BM1335" s="232"/>
      <c r="BN1335" s="232"/>
      <c r="BO1335" s="232"/>
      <c r="BP1335" s="232"/>
      <c r="BQ1335" s="232"/>
      <c r="BR1335" s="232"/>
      <c r="BS1335" s="232"/>
      <c r="BT1335" s="232"/>
      <c r="BU1335" s="232"/>
      <c r="BV1335" s="232"/>
      <c r="BW1335" s="232"/>
      <c r="BX1335" s="232"/>
      <c r="BY1335" s="232"/>
      <c r="BZ1335" s="232"/>
      <c r="CA1335" s="232"/>
      <c r="CB1335" s="232"/>
      <c r="CC1335" s="232"/>
      <c r="CD1335" s="232"/>
      <c r="CE1335" s="232"/>
      <c r="CF1335" s="232"/>
      <c r="CG1335" s="232"/>
      <c r="CH1335" s="232"/>
      <c r="CI1335" s="232"/>
      <c r="CJ1335" s="232"/>
      <c r="CK1335" s="232"/>
      <c r="CL1335" s="232"/>
      <c r="CM1335" s="232"/>
      <c r="CN1335" s="215"/>
      <c r="CO1335" s="215"/>
      <c r="CP1335" s="215"/>
      <c r="CQ1335" s="215"/>
      <c r="CR1335" s="215"/>
      <c r="CS1335" s="215"/>
      <c r="CT1335" s="215"/>
    </row>
    <row r="1336" ht="24.0" customHeight="1">
      <c r="A1336" s="287"/>
      <c r="B1336" s="287"/>
      <c r="C1336" s="287"/>
      <c r="D1336" s="232"/>
      <c r="E1336" s="232"/>
      <c r="F1336" s="232"/>
      <c r="G1336" s="232"/>
      <c r="H1336" s="232"/>
      <c r="I1336" s="232"/>
      <c r="J1336" s="232"/>
      <c r="K1336" s="232"/>
      <c r="L1336" s="232"/>
      <c r="M1336" s="232"/>
      <c r="N1336" s="289"/>
      <c r="O1336" s="232"/>
      <c r="P1336" s="232"/>
      <c r="Q1336" s="232"/>
      <c r="R1336" s="232"/>
      <c r="S1336" s="232"/>
      <c r="T1336" s="232"/>
      <c r="U1336" s="232"/>
      <c r="V1336" s="232"/>
      <c r="W1336" s="232"/>
      <c r="X1336" s="232"/>
      <c r="Y1336" s="232"/>
      <c r="Z1336" s="232"/>
      <c r="AA1336" s="232"/>
      <c r="AB1336" s="232"/>
      <c r="AC1336" s="232"/>
      <c r="AD1336" s="232"/>
      <c r="AE1336" s="232"/>
      <c r="AF1336" s="232"/>
      <c r="AG1336" s="232"/>
      <c r="AH1336" s="232"/>
      <c r="AI1336" s="232"/>
      <c r="AJ1336" s="232"/>
      <c r="AK1336" s="232"/>
      <c r="AL1336" s="232"/>
      <c r="AM1336" s="232"/>
      <c r="AN1336" s="232"/>
      <c r="AO1336" s="232"/>
      <c r="AP1336" s="232"/>
      <c r="AQ1336" s="232"/>
      <c r="AR1336" s="232"/>
      <c r="AS1336" s="232"/>
      <c r="AT1336" s="232"/>
      <c r="AU1336" s="232"/>
      <c r="AV1336" s="232"/>
      <c r="AW1336" s="232"/>
      <c r="AX1336" s="232"/>
      <c r="AY1336" s="232"/>
      <c r="AZ1336" s="232"/>
      <c r="BA1336" s="232"/>
      <c r="BB1336" s="232"/>
      <c r="BC1336" s="232"/>
      <c r="BD1336" s="232"/>
      <c r="BE1336" s="232"/>
      <c r="BF1336" s="232"/>
      <c r="BG1336" s="232"/>
      <c r="BH1336" s="232"/>
      <c r="BI1336" s="232"/>
      <c r="BJ1336" s="232"/>
      <c r="BK1336" s="232"/>
      <c r="BL1336" s="232"/>
      <c r="BM1336" s="232"/>
      <c r="BN1336" s="232"/>
      <c r="BO1336" s="232"/>
      <c r="BP1336" s="232"/>
      <c r="BQ1336" s="232"/>
      <c r="BR1336" s="232"/>
      <c r="BS1336" s="232"/>
      <c r="BT1336" s="232"/>
      <c r="BU1336" s="232"/>
      <c r="BV1336" s="232"/>
      <c r="BW1336" s="232"/>
      <c r="BX1336" s="232"/>
      <c r="BY1336" s="232"/>
      <c r="BZ1336" s="232"/>
      <c r="CA1336" s="232"/>
      <c r="CB1336" s="232"/>
      <c r="CC1336" s="232"/>
      <c r="CD1336" s="232"/>
      <c r="CE1336" s="232"/>
      <c r="CF1336" s="232"/>
      <c r="CG1336" s="232"/>
      <c r="CH1336" s="232"/>
      <c r="CI1336" s="232"/>
      <c r="CJ1336" s="232"/>
      <c r="CK1336" s="232"/>
      <c r="CL1336" s="232"/>
      <c r="CM1336" s="232"/>
      <c r="CN1336" s="215"/>
      <c r="CO1336" s="215"/>
      <c r="CP1336" s="215"/>
      <c r="CQ1336" s="215"/>
      <c r="CR1336" s="215"/>
      <c r="CS1336" s="215"/>
      <c r="CT1336" s="215"/>
    </row>
    <row r="1337" ht="24.0" customHeight="1">
      <c r="A1337" s="287"/>
      <c r="B1337" s="287"/>
      <c r="C1337" s="287"/>
      <c r="D1337" s="232"/>
      <c r="E1337" s="232"/>
      <c r="F1337" s="232"/>
      <c r="G1337" s="232"/>
      <c r="H1337" s="232"/>
      <c r="I1337" s="232"/>
      <c r="J1337" s="232"/>
      <c r="K1337" s="232"/>
      <c r="L1337" s="232"/>
      <c r="M1337" s="232"/>
      <c r="N1337" s="289"/>
      <c r="O1337" s="232"/>
      <c r="P1337" s="232"/>
      <c r="Q1337" s="232"/>
      <c r="R1337" s="232"/>
      <c r="S1337" s="232"/>
      <c r="T1337" s="232"/>
      <c r="U1337" s="232"/>
      <c r="V1337" s="232"/>
      <c r="W1337" s="232"/>
      <c r="X1337" s="232"/>
      <c r="Y1337" s="232"/>
      <c r="Z1337" s="232"/>
      <c r="AA1337" s="232"/>
      <c r="AB1337" s="232"/>
      <c r="AC1337" s="232"/>
      <c r="AD1337" s="232"/>
      <c r="AE1337" s="232"/>
      <c r="AF1337" s="232"/>
      <c r="AG1337" s="232"/>
      <c r="AH1337" s="232"/>
      <c r="AI1337" s="232"/>
      <c r="AJ1337" s="232"/>
      <c r="AK1337" s="232"/>
      <c r="AL1337" s="232"/>
      <c r="AM1337" s="232"/>
      <c r="AN1337" s="232"/>
      <c r="AO1337" s="232"/>
      <c r="AP1337" s="232"/>
      <c r="AQ1337" s="232"/>
      <c r="AR1337" s="232"/>
      <c r="AS1337" s="232"/>
      <c r="AT1337" s="232"/>
      <c r="AU1337" s="232"/>
      <c r="AV1337" s="232"/>
      <c r="AW1337" s="232"/>
      <c r="AX1337" s="232"/>
      <c r="AY1337" s="232"/>
      <c r="AZ1337" s="232"/>
      <c r="BA1337" s="232"/>
      <c r="BB1337" s="232"/>
      <c r="BC1337" s="232"/>
      <c r="BD1337" s="232"/>
      <c r="BE1337" s="232"/>
      <c r="BF1337" s="232"/>
      <c r="BG1337" s="232"/>
      <c r="BH1337" s="232"/>
      <c r="BI1337" s="232"/>
      <c r="BJ1337" s="232"/>
      <c r="BK1337" s="232"/>
      <c r="BL1337" s="232"/>
      <c r="BM1337" s="232"/>
      <c r="BN1337" s="232"/>
      <c r="BO1337" s="232"/>
      <c r="BP1337" s="232"/>
      <c r="BQ1337" s="232"/>
      <c r="BR1337" s="232"/>
      <c r="BS1337" s="232"/>
      <c r="BT1337" s="232"/>
      <c r="BU1337" s="232"/>
      <c r="BV1337" s="232"/>
      <c r="BW1337" s="232"/>
      <c r="BX1337" s="232"/>
      <c r="BY1337" s="232"/>
      <c r="BZ1337" s="232"/>
      <c r="CA1337" s="232"/>
      <c r="CB1337" s="232"/>
      <c r="CC1337" s="232"/>
      <c r="CD1337" s="232"/>
      <c r="CE1337" s="232"/>
      <c r="CF1337" s="232"/>
      <c r="CG1337" s="232"/>
      <c r="CH1337" s="232"/>
      <c r="CI1337" s="232"/>
      <c r="CJ1337" s="232"/>
      <c r="CK1337" s="232"/>
      <c r="CL1337" s="232"/>
      <c r="CM1337" s="232"/>
      <c r="CN1337" s="215"/>
      <c r="CO1337" s="215"/>
      <c r="CP1337" s="215"/>
      <c r="CQ1337" s="215"/>
      <c r="CR1337" s="215"/>
      <c r="CS1337" s="215"/>
      <c r="CT1337" s="215"/>
    </row>
    <row r="1338" ht="24.0" customHeight="1">
      <c r="A1338" s="287"/>
      <c r="B1338" s="287"/>
      <c r="C1338" s="287"/>
      <c r="D1338" s="232"/>
      <c r="E1338" s="232"/>
      <c r="F1338" s="232"/>
      <c r="G1338" s="232"/>
      <c r="H1338" s="232"/>
      <c r="I1338" s="232"/>
      <c r="J1338" s="232"/>
      <c r="K1338" s="232"/>
      <c r="L1338" s="232"/>
      <c r="M1338" s="232"/>
      <c r="N1338" s="289"/>
      <c r="O1338" s="232"/>
      <c r="P1338" s="232"/>
      <c r="Q1338" s="232"/>
      <c r="R1338" s="232"/>
      <c r="S1338" s="232"/>
      <c r="T1338" s="232"/>
      <c r="U1338" s="232"/>
      <c r="V1338" s="232"/>
      <c r="W1338" s="232"/>
      <c r="X1338" s="232"/>
      <c r="Y1338" s="232"/>
      <c r="Z1338" s="232"/>
      <c r="AA1338" s="232"/>
      <c r="AB1338" s="232"/>
      <c r="AC1338" s="232"/>
      <c r="AD1338" s="232"/>
      <c r="AE1338" s="232"/>
      <c r="AF1338" s="232"/>
      <c r="AG1338" s="232"/>
      <c r="AH1338" s="232"/>
      <c r="AI1338" s="232"/>
      <c r="AJ1338" s="232"/>
      <c r="AK1338" s="232"/>
      <c r="AL1338" s="232"/>
      <c r="AM1338" s="232"/>
      <c r="AN1338" s="232"/>
      <c r="AO1338" s="232"/>
      <c r="AP1338" s="232"/>
      <c r="AQ1338" s="232"/>
      <c r="AR1338" s="232"/>
      <c r="AS1338" s="232"/>
      <c r="AT1338" s="232"/>
      <c r="AU1338" s="232"/>
      <c r="AV1338" s="232"/>
      <c r="AW1338" s="232"/>
      <c r="AX1338" s="232"/>
      <c r="AY1338" s="232"/>
      <c r="AZ1338" s="232"/>
      <c r="BA1338" s="232"/>
      <c r="BB1338" s="232"/>
      <c r="BC1338" s="232"/>
      <c r="BD1338" s="232"/>
      <c r="BE1338" s="232"/>
      <c r="BF1338" s="232"/>
      <c r="BG1338" s="232"/>
      <c r="BH1338" s="232"/>
      <c r="BI1338" s="232"/>
      <c r="BJ1338" s="232"/>
      <c r="BK1338" s="232"/>
      <c r="BL1338" s="232"/>
      <c r="BM1338" s="232"/>
      <c r="BN1338" s="232"/>
      <c r="BO1338" s="232"/>
      <c r="BP1338" s="232"/>
      <c r="BQ1338" s="232"/>
      <c r="BR1338" s="232"/>
      <c r="BS1338" s="232"/>
      <c r="BT1338" s="232"/>
      <c r="BU1338" s="232"/>
      <c r="BV1338" s="232"/>
      <c r="BW1338" s="232"/>
      <c r="BX1338" s="232"/>
      <c r="BY1338" s="232"/>
      <c r="BZ1338" s="232"/>
      <c r="CA1338" s="232"/>
      <c r="CB1338" s="232"/>
      <c r="CC1338" s="232"/>
      <c r="CD1338" s="232"/>
      <c r="CE1338" s="232"/>
      <c r="CF1338" s="232"/>
      <c r="CG1338" s="232"/>
      <c r="CH1338" s="232"/>
      <c r="CI1338" s="232"/>
      <c r="CJ1338" s="232"/>
      <c r="CK1338" s="232"/>
      <c r="CL1338" s="232"/>
      <c r="CM1338" s="232"/>
      <c r="CN1338" s="215"/>
      <c r="CO1338" s="215"/>
      <c r="CP1338" s="215"/>
      <c r="CQ1338" s="215"/>
      <c r="CR1338" s="215"/>
      <c r="CS1338" s="215"/>
      <c r="CT1338" s="215"/>
    </row>
    <row r="1339" ht="24.0" customHeight="1">
      <c r="A1339" s="287"/>
      <c r="B1339" s="287"/>
      <c r="C1339" s="287"/>
      <c r="D1339" s="232"/>
      <c r="E1339" s="232"/>
      <c r="F1339" s="232"/>
      <c r="G1339" s="232"/>
      <c r="H1339" s="232"/>
      <c r="I1339" s="232"/>
      <c r="J1339" s="232"/>
      <c r="K1339" s="232"/>
      <c r="L1339" s="232"/>
      <c r="M1339" s="232"/>
      <c r="N1339" s="289"/>
      <c r="O1339" s="232"/>
      <c r="P1339" s="232"/>
      <c r="Q1339" s="232"/>
      <c r="R1339" s="232"/>
      <c r="S1339" s="232"/>
      <c r="T1339" s="232"/>
      <c r="U1339" s="232"/>
      <c r="V1339" s="232"/>
      <c r="W1339" s="232"/>
      <c r="X1339" s="232"/>
      <c r="Y1339" s="232"/>
      <c r="Z1339" s="232"/>
      <c r="AA1339" s="232"/>
      <c r="AB1339" s="232"/>
      <c r="AC1339" s="232"/>
      <c r="AD1339" s="232"/>
      <c r="AE1339" s="232"/>
      <c r="AF1339" s="232"/>
      <c r="AG1339" s="232"/>
      <c r="AH1339" s="232"/>
      <c r="AI1339" s="232"/>
      <c r="AJ1339" s="232"/>
      <c r="AK1339" s="232"/>
      <c r="AL1339" s="232"/>
      <c r="AM1339" s="232"/>
      <c r="AN1339" s="232"/>
      <c r="AO1339" s="232"/>
      <c r="AP1339" s="232"/>
      <c r="AQ1339" s="232"/>
      <c r="AR1339" s="232"/>
      <c r="AS1339" s="232"/>
      <c r="AT1339" s="232"/>
      <c r="AU1339" s="232"/>
      <c r="AV1339" s="232"/>
      <c r="AW1339" s="232"/>
      <c r="AX1339" s="232"/>
      <c r="AY1339" s="232"/>
      <c r="AZ1339" s="232"/>
      <c r="BA1339" s="232"/>
      <c r="BB1339" s="232"/>
      <c r="BC1339" s="232"/>
      <c r="BD1339" s="232"/>
      <c r="BE1339" s="232"/>
      <c r="BF1339" s="232"/>
      <c r="BG1339" s="232"/>
      <c r="BH1339" s="232"/>
      <c r="BI1339" s="232"/>
      <c r="BJ1339" s="232"/>
      <c r="BK1339" s="232"/>
      <c r="BL1339" s="232"/>
      <c r="BM1339" s="232"/>
      <c r="BN1339" s="232"/>
      <c r="BO1339" s="232"/>
      <c r="BP1339" s="232"/>
      <c r="BQ1339" s="232"/>
      <c r="BR1339" s="232"/>
      <c r="BS1339" s="232"/>
      <c r="BT1339" s="232"/>
      <c r="BU1339" s="232"/>
      <c r="BV1339" s="232"/>
      <c r="BW1339" s="232"/>
      <c r="BX1339" s="232"/>
      <c r="BY1339" s="232"/>
      <c r="BZ1339" s="232"/>
      <c r="CA1339" s="232"/>
      <c r="CB1339" s="232"/>
      <c r="CC1339" s="232"/>
      <c r="CD1339" s="232"/>
      <c r="CE1339" s="232"/>
      <c r="CF1339" s="232"/>
      <c r="CG1339" s="232"/>
      <c r="CH1339" s="232"/>
      <c r="CI1339" s="232"/>
      <c r="CJ1339" s="232"/>
      <c r="CK1339" s="232"/>
      <c r="CL1339" s="232"/>
      <c r="CM1339" s="232"/>
      <c r="CN1339" s="215"/>
      <c r="CO1339" s="215"/>
      <c r="CP1339" s="215"/>
      <c r="CQ1339" s="215"/>
      <c r="CR1339" s="215"/>
      <c r="CS1339" s="215"/>
      <c r="CT1339" s="215"/>
    </row>
    <row r="1340" ht="24.0" customHeight="1">
      <c r="A1340" s="287"/>
      <c r="B1340" s="287"/>
      <c r="C1340" s="287"/>
      <c r="D1340" s="232"/>
      <c r="E1340" s="232"/>
      <c r="F1340" s="232"/>
      <c r="G1340" s="232"/>
      <c r="H1340" s="232"/>
      <c r="I1340" s="232"/>
      <c r="J1340" s="232"/>
      <c r="K1340" s="232"/>
      <c r="L1340" s="232"/>
      <c r="M1340" s="232"/>
      <c r="N1340" s="289"/>
      <c r="O1340" s="232"/>
      <c r="P1340" s="232"/>
      <c r="Q1340" s="232"/>
      <c r="R1340" s="232"/>
      <c r="S1340" s="232"/>
      <c r="T1340" s="232"/>
      <c r="U1340" s="232"/>
      <c r="V1340" s="232"/>
      <c r="W1340" s="232"/>
      <c r="X1340" s="232"/>
      <c r="Y1340" s="232"/>
      <c r="Z1340" s="232"/>
      <c r="AA1340" s="232"/>
      <c r="AB1340" s="232"/>
      <c r="AC1340" s="232"/>
      <c r="AD1340" s="232"/>
      <c r="AE1340" s="232"/>
      <c r="AF1340" s="232"/>
      <c r="AG1340" s="232"/>
      <c r="AH1340" s="232"/>
      <c r="AI1340" s="232"/>
      <c r="AJ1340" s="232"/>
      <c r="AK1340" s="232"/>
      <c r="AL1340" s="232"/>
      <c r="AM1340" s="232"/>
      <c r="AN1340" s="232"/>
      <c r="AO1340" s="232"/>
      <c r="AP1340" s="232"/>
      <c r="AQ1340" s="232"/>
      <c r="AR1340" s="232"/>
      <c r="AS1340" s="232"/>
      <c r="AT1340" s="232"/>
      <c r="AU1340" s="232"/>
      <c r="AV1340" s="232"/>
      <c r="AW1340" s="232"/>
      <c r="AX1340" s="232"/>
      <c r="AY1340" s="232"/>
      <c r="AZ1340" s="232"/>
      <c r="BA1340" s="232"/>
      <c r="BB1340" s="232"/>
      <c r="BC1340" s="232"/>
      <c r="BD1340" s="232"/>
      <c r="BE1340" s="232"/>
      <c r="BF1340" s="232"/>
      <c r="BG1340" s="232"/>
      <c r="BH1340" s="232"/>
      <c r="BI1340" s="232"/>
      <c r="BJ1340" s="232"/>
      <c r="BK1340" s="232"/>
      <c r="BL1340" s="232"/>
      <c r="BM1340" s="232"/>
      <c r="BN1340" s="232"/>
      <c r="BO1340" s="232"/>
      <c r="BP1340" s="232"/>
      <c r="BQ1340" s="232"/>
      <c r="BR1340" s="232"/>
      <c r="BS1340" s="232"/>
      <c r="BT1340" s="232"/>
      <c r="BU1340" s="232"/>
      <c r="BV1340" s="232"/>
      <c r="BW1340" s="232"/>
      <c r="BX1340" s="232"/>
      <c r="BY1340" s="232"/>
      <c r="BZ1340" s="232"/>
      <c r="CA1340" s="232"/>
      <c r="CB1340" s="232"/>
      <c r="CC1340" s="232"/>
      <c r="CD1340" s="232"/>
      <c r="CE1340" s="232"/>
      <c r="CF1340" s="232"/>
      <c r="CG1340" s="232"/>
      <c r="CH1340" s="232"/>
      <c r="CI1340" s="232"/>
      <c r="CJ1340" s="232"/>
      <c r="CK1340" s="232"/>
      <c r="CL1340" s="232"/>
      <c r="CM1340" s="232"/>
      <c r="CN1340" s="215"/>
      <c r="CO1340" s="215"/>
      <c r="CP1340" s="215"/>
      <c r="CQ1340" s="215"/>
      <c r="CR1340" s="215"/>
      <c r="CS1340" s="215"/>
      <c r="CT1340" s="215"/>
    </row>
    <row r="1341" ht="24.0" customHeight="1">
      <c r="A1341" s="287"/>
      <c r="B1341" s="287"/>
      <c r="C1341" s="287"/>
      <c r="D1341" s="232"/>
      <c r="E1341" s="232"/>
      <c r="F1341" s="232"/>
      <c r="G1341" s="232"/>
      <c r="H1341" s="232"/>
      <c r="I1341" s="232"/>
      <c r="J1341" s="232"/>
      <c r="K1341" s="232"/>
      <c r="L1341" s="232"/>
      <c r="M1341" s="232"/>
      <c r="N1341" s="289"/>
      <c r="O1341" s="232"/>
      <c r="P1341" s="232"/>
      <c r="Q1341" s="232"/>
      <c r="R1341" s="232"/>
      <c r="S1341" s="232"/>
      <c r="T1341" s="232"/>
      <c r="U1341" s="232"/>
      <c r="V1341" s="232"/>
      <c r="W1341" s="232"/>
      <c r="X1341" s="232"/>
      <c r="Y1341" s="232"/>
      <c r="Z1341" s="232"/>
      <c r="AA1341" s="232"/>
      <c r="AB1341" s="232"/>
      <c r="AC1341" s="232"/>
      <c r="AD1341" s="232"/>
      <c r="AE1341" s="232"/>
      <c r="AF1341" s="232"/>
      <c r="AG1341" s="232"/>
      <c r="AH1341" s="232"/>
      <c r="AI1341" s="232"/>
      <c r="AJ1341" s="232"/>
      <c r="AK1341" s="232"/>
      <c r="AL1341" s="232"/>
      <c r="AM1341" s="232"/>
      <c r="AN1341" s="232"/>
      <c r="AO1341" s="232"/>
      <c r="AP1341" s="232"/>
      <c r="AQ1341" s="232"/>
      <c r="AR1341" s="232"/>
      <c r="AS1341" s="232"/>
      <c r="AT1341" s="232"/>
      <c r="AU1341" s="232"/>
      <c r="AV1341" s="232"/>
      <c r="AW1341" s="232"/>
      <c r="AX1341" s="232"/>
      <c r="AY1341" s="232"/>
      <c r="AZ1341" s="232"/>
      <c r="BA1341" s="232"/>
      <c r="BB1341" s="232"/>
      <c r="BC1341" s="232"/>
      <c r="BD1341" s="232"/>
      <c r="BE1341" s="232"/>
      <c r="BF1341" s="232"/>
      <c r="BG1341" s="232"/>
      <c r="BH1341" s="232"/>
      <c r="BI1341" s="232"/>
      <c r="BJ1341" s="232"/>
      <c r="BK1341" s="232"/>
      <c r="BL1341" s="232"/>
      <c r="BM1341" s="232"/>
      <c r="BN1341" s="232"/>
      <c r="BO1341" s="232"/>
      <c r="BP1341" s="232"/>
      <c r="BQ1341" s="232"/>
      <c r="BR1341" s="232"/>
      <c r="BS1341" s="232"/>
      <c r="BT1341" s="232"/>
      <c r="BU1341" s="232"/>
      <c r="BV1341" s="232"/>
      <c r="BW1341" s="232"/>
      <c r="BX1341" s="232"/>
      <c r="BY1341" s="232"/>
      <c r="BZ1341" s="232"/>
      <c r="CA1341" s="232"/>
      <c r="CB1341" s="232"/>
      <c r="CC1341" s="232"/>
      <c r="CD1341" s="232"/>
      <c r="CE1341" s="232"/>
      <c r="CF1341" s="232"/>
      <c r="CG1341" s="232"/>
      <c r="CH1341" s="232"/>
      <c r="CI1341" s="232"/>
      <c r="CJ1341" s="232"/>
      <c r="CK1341" s="232"/>
      <c r="CL1341" s="232"/>
      <c r="CM1341" s="232"/>
      <c r="CN1341" s="215"/>
      <c r="CO1341" s="215"/>
      <c r="CP1341" s="215"/>
      <c r="CQ1341" s="215"/>
      <c r="CR1341" s="215"/>
      <c r="CS1341" s="215"/>
      <c r="CT1341" s="215"/>
    </row>
    <row r="1342" ht="24.0" customHeight="1">
      <c r="A1342" s="287"/>
      <c r="B1342" s="287"/>
      <c r="C1342" s="287"/>
      <c r="D1342" s="232"/>
      <c r="E1342" s="232"/>
      <c r="F1342" s="232"/>
      <c r="G1342" s="232"/>
      <c r="H1342" s="232"/>
      <c r="I1342" s="232"/>
      <c r="J1342" s="232"/>
      <c r="K1342" s="232"/>
      <c r="L1342" s="232"/>
      <c r="M1342" s="232"/>
      <c r="N1342" s="289"/>
      <c r="O1342" s="232"/>
      <c r="P1342" s="232"/>
      <c r="Q1342" s="232"/>
      <c r="R1342" s="232"/>
      <c r="S1342" s="232"/>
      <c r="T1342" s="232"/>
      <c r="U1342" s="232"/>
      <c r="V1342" s="232"/>
      <c r="W1342" s="232"/>
      <c r="X1342" s="232"/>
      <c r="Y1342" s="232"/>
      <c r="Z1342" s="232"/>
      <c r="AA1342" s="232"/>
      <c r="AB1342" s="232"/>
      <c r="AC1342" s="232"/>
      <c r="AD1342" s="232"/>
      <c r="AE1342" s="232"/>
      <c r="AF1342" s="232"/>
      <c r="AG1342" s="232"/>
      <c r="AH1342" s="232"/>
      <c r="AI1342" s="232"/>
      <c r="AJ1342" s="232"/>
      <c r="AK1342" s="232"/>
      <c r="AL1342" s="232"/>
      <c r="AM1342" s="232"/>
      <c r="AN1342" s="232"/>
      <c r="AO1342" s="232"/>
      <c r="AP1342" s="232"/>
      <c r="AQ1342" s="232"/>
      <c r="AR1342" s="232"/>
      <c r="AS1342" s="232"/>
      <c r="AT1342" s="232"/>
      <c r="AU1342" s="232"/>
      <c r="AV1342" s="232"/>
      <c r="AW1342" s="232"/>
      <c r="AX1342" s="232"/>
      <c r="AY1342" s="232"/>
      <c r="AZ1342" s="232"/>
      <c r="BA1342" s="232"/>
      <c r="BB1342" s="232"/>
      <c r="BC1342" s="232"/>
      <c r="BD1342" s="232"/>
      <c r="BE1342" s="232"/>
      <c r="BF1342" s="232"/>
      <c r="BG1342" s="232"/>
      <c r="BH1342" s="232"/>
      <c r="BI1342" s="232"/>
      <c r="BJ1342" s="232"/>
      <c r="BK1342" s="232"/>
      <c r="BL1342" s="232"/>
      <c r="BM1342" s="232"/>
      <c r="BN1342" s="232"/>
      <c r="BO1342" s="232"/>
      <c r="BP1342" s="232"/>
      <c r="BQ1342" s="232"/>
      <c r="BR1342" s="232"/>
      <c r="BS1342" s="232"/>
      <c r="BT1342" s="232"/>
      <c r="BU1342" s="232"/>
      <c r="BV1342" s="232"/>
      <c r="BW1342" s="232"/>
      <c r="BX1342" s="232"/>
      <c r="BY1342" s="232"/>
      <c r="BZ1342" s="232"/>
      <c r="CA1342" s="232"/>
      <c r="CB1342" s="232"/>
      <c r="CC1342" s="232"/>
      <c r="CD1342" s="232"/>
      <c r="CE1342" s="232"/>
      <c r="CF1342" s="232"/>
      <c r="CG1342" s="232"/>
      <c r="CH1342" s="232"/>
      <c r="CI1342" s="232"/>
      <c r="CJ1342" s="232"/>
      <c r="CK1342" s="232"/>
      <c r="CL1342" s="232"/>
      <c r="CM1342" s="232"/>
      <c r="CN1342" s="215"/>
      <c r="CO1342" s="215"/>
      <c r="CP1342" s="215"/>
      <c r="CQ1342" s="215"/>
      <c r="CR1342" s="215"/>
      <c r="CS1342" s="215"/>
      <c r="CT1342" s="215"/>
    </row>
    <row r="1343" ht="24.0" customHeight="1">
      <c r="A1343" s="287"/>
      <c r="B1343" s="287"/>
      <c r="C1343" s="287"/>
      <c r="D1343" s="232"/>
      <c r="E1343" s="232"/>
      <c r="F1343" s="232"/>
      <c r="G1343" s="232"/>
      <c r="H1343" s="232"/>
      <c r="I1343" s="232"/>
      <c r="J1343" s="232"/>
      <c r="K1343" s="232"/>
      <c r="L1343" s="232"/>
      <c r="M1343" s="232"/>
      <c r="N1343" s="289"/>
      <c r="O1343" s="232"/>
      <c r="P1343" s="232"/>
      <c r="Q1343" s="232"/>
      <c r="R1343" s="232"/>
      <c r="S1343" s="232"/>
      <c r="T1343" s="232"/>
      <c r="U1343" s="232"/>
      <c r="V1343" s="232"/>
      <c r="W1343" s="232"/>
      <c r="X1343" s="232"/>
      <c r="Y1343" s="232"/>
      <c r="Z1343" s="232"/>
      <c r="AA1343" s="232"/>
      <c r="AB1343" s="232"/>
      <c r="AC1343" s="232"/>
      <c r="AD1343" s="232"/>
      <c r="AE1343" s="232"/>
      <c r="AF1343" s="232"/>
      <c r="AG1343" s="232"/>
      <c r="AH1343" s="232"/>
      <c r="AI1343" s="232"/>
      <c r="AJ1343" s="232"/>
      <c r="AK1343" s="232"/>
      <c r="AL1343" s="232"/>
      <c r="AM1343" s="232"/>
      <c r="AN1343" s="232"/>
      <c r="AO1343" s="232"/>
      <c r="AP1343" s="232"/>
      <c r="AQ1343" s="232"/>
      <c r="AR1343" s="232"/>
      <c r="AS1343" s="232"/>
      <c r="AT1343" s="232"/>
      <c r="AU1343" s="232"/>
      <c r="AV1343" s="232"/>
      <c r="AW1343" s="232"/>
      <c r="AX1343" s="232"/>
      <c r="AY1343" s="232"/>
      <c r="AZ1343" s="232"/>
      <c r="BA1343" s="232"/>
      <c r="BB1343" s="232"/>
      <c r="BC1343" s="232"/>
      <c r="BD1343" s="232"/>
      <c r="BE1343" s="232"/>
      <c r="BF1343" s="232"/>
      <c r="BG1343" s="232"/>
      <c r="BH1343" s="232"/>
      <c r="BI1343" s="232"/>
      <c r="BJ1343" s="232"/>
      <c r="BK1343" s="232"/>
      <c r="BL1343" s="232"/>
      <c r="BM1343" s="232"/>
      <c r="BN1343" s="232"/>
      <c r="BO1343" s="232"/>
      <c r="BP1343" s="232"/>
      <c r="BQ1343" s="232"/>
      <c r="BR1343" s="232"/>
      <c r="BS1343" s="232"/>
      <c r="BT1343" s="232"/>
      <c r="BU1343" s="232"/>
      <c r="BV1343" s="232"/>
      <c r="BW1343" s="232"/>
      <c r="BX1343" s="232"/>
      <c r="BY1343" s="232"/>
      <c r="BZ1343" s="232"/>
      <c r="CA1343" s="232"/>
      <c r="CB1343" s="232"/>
      <c r="CC1343" s="232"/>
      <c r="CD1343" s="232"/>
      <c r="CE1343" s="232"/>
      <c r="CF1343" s="232"/>
      <c r="CG1343" s="232"/>
      <c r="CH1343" s="232"/>
      <c r="CI1343" s="232"/>
      <c r="CJ1343" s="232"/>
      <c r="CK1343" s="232"/>
      <c r="CL1343" s="232"/>
      <c r="CM1343" s="232"/>
      <c r="CN1343" s="215"/>
      <c r="CO1343" s="215"/>
      <c r="CP1343" s="215"/>
      <c r="CQ1343" s="215"/>
      <c r="CR1343" s="215"/>
      <c r="CS1343" s="215"/>
      <c r="CT1343" s="215"/>
    </row>
    <row r="1344" ht="24.0" customHeight="1">
      <c r="A1344" s="287"/>
      <c r="B1344" s="287"/>
      <c r="C1344" s="287"/>
      <c r="D1344" s="232"/>
      <c r="E1344" s="232"/>
      <c r="F1344" s="232"/>
      <c r="G1344" s="232"/>
      <c r="H1344" s="232"/>
      <c r="I1344" s="232"/>
      <c r="J1344" s="232"/>
      <c r="K1344" s="232"/>
      <c r="L1344" s="232"/>
      <c r="M1344" s="232"/>
      <c r="N1344" s="289"/>
      <c r="O1344" s="232"/>
      <c r="P1344" s="232"/>
      <c r="Q1344" s="232"/>
      <c r="R1344" s="232"/>
      <c r="S1344" s="232"/>
      <c r="T1344" s="232"/>
      <c r="U1344" s="232"/>
      <c r="V1344" s="232"/>
      <c r="W1344" s="232"/>
      <c r="X1344" s="232"/>
      <c r="Y1344" s="232"/>
      <c r="Z1344" s="232"/>
      <c r="AA1344" s="232"/>
      <c r="AB1344" s="232"/>
      <c r="AC1344" s="232"/>
      <c r="AD1344" s="232"/>
      <c r="AE1344" s="232"/>
      <c r="AF1344" s="232"/>
      <c r="AG1344" s="232"/>
      <c r="AH1344" s="232"/>
      <c r="AI1344" s="232"/>
      <c r="AJ1344" s="232"/>
      <c r="AK1344" s="232"/>
      <c r="AL1344" s="232"/>
      <c r="AM1344" s="232"/>
      <c r="AN1344" s="232"/>
      <c r="AO1344" s="232"/>
      <c r="AP1344" s="232"/>
      <c r="AQ1344" s="232"/>
      <c r="AR1344" s="232"/>
      <c r="AS1344" s="232"/>
      <c r="AT1344" s="232"/>
      <c r="AU1344" s="232"/>
      <c r="AV1344" s="232"/>
      <c r="AW1344" s="232"/>
      <c r="AX1344" s="232"/>
      <c r="AY1344" s="232"/>
      <c r="AZ1344" s="232"/>
      <c r="BA1344" s="232"/>
      <c r="BB1344" s="232"/>
      <c r="BC1344" s="232"/>
      <c r="BD1344" s="232"/>
      <c r="BE1344" s="232"/>
      <c r="BF1344" s="232"/>
      <c r="BG1344" s="232"/>
      <c r="BH1344" s="232"/>
      <c r="BI1344" s="232"/>
      <c r="BJ1344" s="232"/>
      <c r="BK1344" s="232"/>
      <c r="BL1344" s="232"/>
      <c r="BM1344" s="232"/>
      <c r="BN1344" s="232"/>
      <c r="BO1344" s="232"/>
      <c r="BP1344" s="232"/>
      <c r="BQ1344" s="232"/>
      <c r="BR1344" s="232"/>
      <c r="BS1344" s="232"/>
      <c r="BT1344" s="232"/>
      <c r="BU1344" s="232"/>
      <c r="BV1344" s="232"/>
      <c r="BW1344" s="232"/>
      <c r="BX1344" s="232"/>
      <c r="BY1344" s="232"/>
      <c r="BZ1344" s="232"/>
      <c r="CA1344" s="232"/>
      <c r="CB1344" s="232"/>
      <c r="CC1344" s="232"/>
      <c r="CD1344" s="232"/>
      <c r="CE1344" s="232"/>
      <c r="CF1344" s="232"/>
      <c r="CG1344" s="232"/>
      <c r="CH1344" s="232"/>
      <c r="CI1344" s="232"/>
      <c r="CJ1344" s="232"/>
      <c r="CK1344" s="232"/>
      <c r="CL1344" s="232"/>
      <c r="CM1344" s="232"/>
      <c r="CN1344" s="215"/>
      <c r="CO1344" s="215"/>
      <c r="CP1344" s="215"/>
      <c r="CQ1344" s="215"/>
      <c r="CR1344" s="215"/>
      <c r="CS1344" s="215"/>
      <c r="CT1344" s="215"/>
    </row>
    <row r="1345" ht="24.0" customHeight="1">
      <c r="A1345" s="287"/>
      <c r="B1345" s="287"/>
      <c r="C1345" s="287"/>
      <c r="D1345" s="232"/>
      <c r="E1345" s="232"/>
      <c r="F1345" s="232"/>
      <c r="G1345" s="232"/>
      <c r="H1345" s="232"/>
      <c r="I1345" s="232"/>
      <c r="J1345" s="232"/>
      <c r="K1345" s="232"/>
      <c r="L1345" s="232"/>
      <c r="M1345" s="232"/>
      <c r="N1345" s="289"/>
      <c r="O1345" s="232"/>
      <c r="P1345" s="232"/>
      <c r="Q1345" s="232"/>
      <c r="R1345" s="232"/>
      <c r="S1345" s="232"/>
      <c r="T1345" s="232"/>
      <c r="U1345" s="232"/>
      <c r="V1345" s="232"/>
      <c r="W1345" s="232"/>
      <c r="X1345" s="232"/>
      <c r="Y1345" s="232"/>
      <c r="Z1345" s="232"/>
      <c r="AA1345" s="232"/>
      <c r="AB1345" s="232"/>
      <c r="AC1345" s="232"/>
      <c r="AD1345" s="232"/>
      <c r="AE1345" s="232"/>
      <c r="AF1345" s="232"/>
      <c r="AG1345" s="232"/>
      <c r="AH1345" s="232"/>
      <c r="AI1345" s="232"/>
      <c r="AJ1345" s="232"/>
      <c r="AK1345" s="232"/>
      <c r="AL1345" s="232"/>
      <c r="AM1345" s="232"/>
      <c r="AN1345" s="232"/>
      <c r="AO1345" s="232"/>
      <c r="AP1345" s="232"/>
      <c r="AQ1345" s="232"/>
      <c r="AR1345" s="232"/>
      <c r="AS1345" s="232"/>
      <c r="AT1345" s="232"/>
      <c r="AU1345" s="232"/>
      <c r="AV1345" s="232"/>
      <c r="AW1345" s="232"/>
      <c r="AX1345" s="232"/>
      <c r="AY1345" s="232"/>
      <c r="AZ1345" s="232"/>
      <c r="BA1345" s="232"/>
      <c r="BB1345" s="232"/>
      <c r="BC1345" s="232"/>
      <c r="BD1345" s="232"/>
      <c r="BE1345" s="232"/>
      <c r="BF1345" s="232"/>
      <c r="BG1345" s="232"/>
      <c r="BH1345" s="232"/>
      <c r="BI1345" s="232"/>
      <c r="BJ1345" s="232"/>
      <c r="BK1345" s="232"/>
      <c r="BL1345" s="232"/>
      <c r="BM1345" s="232"/>
      <c r="BN1345" s="232"/>
      <c r="BO1345" s="232"/>
      <c r="BP1345" s="232"/>
      <c r="BQ1345" s="232"/>
      <c r="BR1345" s="232"/>
      <c r="BS1345" s="232"/>
      <c r="BT1345" s="232"/>
      <c r="BU1345" s="232"/>
      <c r="BV1345" s="232"/>
      <c r="BW1345" s="232"/>
      <c r="BX1345" s="232"/>
      <c r="BY1345" s="232"/>
      <c r="BZ1345" s="232"/>
      <c r="CA1345" s="232"/>
      <c r="CB1345" s="232"/>
      <c r="CC1345" s="232"/>
      <c r="CD1345" s="232"/>
      <c r="CE1345" s="232"/>
      <c r="CF1345" s="232"/>
      <c r="CG1345" s="232"/>
      <c r="CH1345" s="232"/>
      <c r="CI1345" s="232"/>
      <c r="CJ1345" s="232"/>
      <c r="CK1345" s="232"/>
      <c r="CL1345" s="232"/>
      <c r="CM1345" s="232"/>
      <c r="CN1345" s="215"/>
      <c r="CO1345" s="215"/>
      <c r="CP1345" s="215"/>
      <c r="CQ1345" s="215"/>
      <c r="CR1345" s="215"/>
      <c r="CS1345" s="215"/>
      <c r="CT1345" s="215"/>
    </row>
    <row r="1346" ht="24.0" customHeight="1">
      <c r="A1346" s="287"/>
      <c r="B1346" s="287"/>
      <c r="C1346" s="287"/>
      <c r="D1346" s="232"/>
      <c r="E1346" s="232"/>
      <c r="F1346" s="232"/>
      <c r="G1346" s="232"/>
      <c r="H1346" s="232"/>
      <c r="I1346" s="232"/>
      <c r="J1346" s="232"/>
      <c r="K1346" s="232"/>
      <c r="L1346" s="232"/>
      <c r="M1346" s="232"/>
      <c r="N1346" s="289"/>
      <c r="O1346" s="232"/>
      <c r="P1346" s="232"/>
      <c r="Q1346" s="232"/>
      <c r="R1346" s="232"/>
      <c r="S1346" s="232"/>
      <c r="T1346" s="232"/>
      <c r="U1346" s="232"/>
      <c r="V1346" s="232"/>
      <c r="W1346" s="232"/>
      <c r="X1346" s="232"/>
      <c r="Y1346" s="232"/>
      <c r="Z1346" s="232"/>
      <c r="AA1346" s="232"/>
      <c r="AB1346" s="232"/>
      <c r="AC1346" s="232"/>
      <c r="AD1346" s="232"/>
      <c r="AE1346" s="232"/>
      <c r="AF1346" s="232"/>
      <c r="AG1346" s="232"/>
      <c r="AH1346" s="232"/>
      <c r="AI1346" s="232"/>
      <c r="AJ1346" s="232"/>
      <c r="AK1346" s="232"/>
      <c r="AL1346" s="232"/>
      <c r="AM1346" s="232"/>
      <c r="AN1346" s="232"/>
      <c r="AO1346" s="232"/>
      <c r="AP1346" s="232"/>
      <c r="AQ1346" s="232"/>
      <c r="AR1346" s="232"/>
      <c r="AS1346" s="232"/>
      <c r="AT1346" s="232"/>
      <c r="AU1346" s="232"/>
      <c r="AV1346" s="232"/>
      <c r="AW1346" s="232"/>
      <c r="AX1346" s="232"/>
      <c r="AY1346" s="232"/>
      <c r="AZ1346" s="232"/>
      <c r="BA1346" s="232"/>
      <c r="BB1346" s="232"/>
      <c r="BC1346" s="232"/>
      <c r="BD1346" s="232"/>
      <c r="BE1346" s="232"/>
      <c r="BF1346" s="232"/>
      <c r="BG1346" s="232"/>
      <c r="BH1346" s="232"/>
      <c r="BI1346" s="232"/>
      <c r="BJ1346" s="232"/>
      <c r="BK1346" s="232"/>
      <c r="BL1346" s="232"/>
      <c r="BM1346" s="232"/>
      <c r="BN1346" s="232"/>
      <c r="BO1346" s="232"/>
      <c r="BP1346" s="232"/>
      <c r="BQ1346" s="232"/>
      <c r="BR1346" s="232"/>
      <c r="BS1346" s="232"/>
      <c r="BT1346" s="232"/>
      <c r="BU1346" s="232"/>
      <c r="BV1346" s="232"/>
      <c r="BW1346" s="232"/>
      <c r="BX1346" s="232"/>
      <c r="BY1346" s="232"/>
      <c r="BZ1346" s="232"/>
      <c r="CA1346" s="232"/>
      <c r="CB1346" s="232"/>
      <c r="CC1346" s="232"/>
      <c r="CD1346" s="232"/>
      <c r="CE1346" s="232"/>
      <c r="CF1346" s="232"/>
      <c r="CG1346" s="232"/>
      <c r="CH1346" s="232"/>
      <c r="CI1346" s="232"/>
      <c r="CJ1346" s="232"/>
      <c r="CK1346" s="232"/>
      <c r="CL1346" s="232"/>
      <c r="CM1346" s="232"/>
      <c r="CN1346" s="215"/>
      <c r="CO1346" s="215"/>
      <c r="CP1346" s="215"/>
      <c r="CQ1346" s="215"/>
      <c r="CR1346" s="215"/>
      <c r="CS1346" s="215"/>
      <c r="CT1346" s="215"/>
    </row>
    <row r="1347" ht="24.0" customHeight="1">
      <c r="A1347" s="287"/>
      <c r="B1347" s="287"/>
      <c r="C1347" s="287"/>
      <c r="D1347" s="232"/>
      <c r="E1347" s="232"/>
      <c r="F1347" s="232"/>
      <c r="G1347" s="232"/>
      <c r="H1347" s="232"/>
      <c r="I1347" s="232"/>
      <c r="J1347" s="232"/>
      <c r="K1347" s="232"/>
      <c r="L1347" s="232"/>
      <c r="M1347" s="232"/>
      <c r="N1347" s="289"/>
      <c r="O1347" s="232"/>
      <c r="P1347" s="232"/>
      <c r="Q1347" s="232"/>
      <c r="R1347" s="232"/>
      <c r="S1347" s="232"/>
      <c r="T1347" s="232"/>
      <c r="U1347" s="232"/>
      <c r="V1347" s="232"/>
      <c r="W1347" s="232"/>
      <c r="X1347" s="232"/>
      <c r="Y1347" s="232"/>
      <c r="Z1347" s="232"/>
      <c r="AA1347" s="232"/>
      <c r="AB1347" s="232"/>
      <c r="AC1347" s="232"/>
      <c r="AD1347" s="232"/>
      <c r="AE1347" s="232"/>
      <c r="AF1347" s="232"/>
      <c r="AG1347" s="232"/>
      <c r="AH1347" s="232"/>
      <c r="AI1347" s="232"/>
      <c r="AJ1347" s="232"/>
      <c r="AK1347" s="232"/>
      <c r="AL1347" s="232"/>
      <c r="AM1347" s="232"/>
      <c r="AN1347" s="232"/>
      <c r="AO1347" s="232"/>
      <c r="AP1347" s="232"/>
      <c r="AQ1347" s="232"/>
      <c r="AR1347" s="232"/>
      <c r="AS1347" s="232"/>
      <c r="AT1347" s="232"/>
      <c r="AU1347" s="232"/>
      <c r="AV1347" s="232"/>
      <c r="AW1347" s="232"/>
      <c r="AX1347" s="232"/>
      <c r="AY1347" s="232"/>
      <c r="AZ1347" s="232"/>
      <c r="BA1347" s="232"/>
      <c r="BB1347" s="232"/>
      <c r="BC1347" s="232"/>
      <c r="BD1347" s="232"/>
      <c r="BE1347" s="232"/>
      <c r="BF1347" s="232"/>
      <c r="BG1347" s="232"/>
      <c r="BH1347" s="232"/>
      <c r="BI1347" s="232"/>
      <c r="BJ1347" s="232"/>
      <c r="BK1347" s="232"/>
      <c r="BL1347" s="232"/>
      <c r="BM1347" s="232"/>
      <c r="BN1347" s="232"/>
      <c r="BO1347" s="232"/>
      <c r="BP1347" s="232"/>
      <c r="BQ1347" s="232"/>
      <c r="BR1347" s="232"/>
      <c r="BS1347" s="232"/>
      <c r="BT1347" s="232"/>
      <c r="BU1347" s="232"/>
      <c r="BV1347" s="232"/>
      <c r="BW1347" s="232"/>
      <c r="BX1347" s="232"/>
      <c r="BY1347" s="232"/>
      <c r="BZ1347" s="232"/>
      <c r="CA1347" s="232"/>
      <c r="CB1347" s="232"/>
      <c r="CC1347" s="232"/>
      <c r="CD1347" s="232"/>
      <c r="CE1347" s="232"/>
      <c r="CF1347" s="232"/>
      <c r="CG1347" s="232"/>
      <c r="CH1347" s="232"/>
      <c r="CI1347" s="232"/>
      <c r="CJ1347" s="232"/>
      <c r="CK1347" s="232"/>
      <c r="CL1347" s="232"/>
      <c r="CM1347" s="232"/>
      <c r="CN1347" s="215"/>
      <c r="CO1347" s="215"/>
      <c r="CP1347" s="215"/>
      <c r="CQ1347" s="215"/>
      <c r="CR1347" s="215"/>
      <c r="CS1347" s="215"/>
      <c r="CT1347" s="215"/>
    </row>
    <row r="1348" ht="24.0" customHeight="1">
      <c r="A1348" s="287"/>
      <c r="B1348" s="287"/>
      <c r="C1348" s="287"/>
      <c r="D1348" s="232"/>
      <c r="E1348" s="232"/>
      <c r="F1348" s="232"/>
      <c r="G1348" s="232"/>
      <c r="H1348" s="232"/>
      <c r="I1348" s="232"/>
      <c r="J1348" s="232"/>
      <c r="K1348" s="232"/>
      <c r="L1348" s="232"/>
      <c r="M1348" s="232"/>
      <c r="N1348" s="289"/>
      <c r="O1348" s="232"/>
      <c r="P1348" s="232"/>
      <c r="Q1348" s="232"/>
      <c r="R1348" s="232"/>
      <c r="S1348" s="232"/>
      <c r="T1348" s="232"/>
      <c r="U1348" s="232"/>
      <c r="V1348" s="232"/>
      <c r="W1348" s="232"/>
      <c r="X1348" s="232"/>
      <c r="Y1348" s="232"/>
      <c r="Z1348" s="232"/>
      <c r="AA1348" s="232"/>
      <c r="AB1348" s="232"/>
      <c r="AC1348" s="232"/>
      <c r="AD1348" s="232"/>
      <c r="AE1348" s="232"/>
      <c r="AF1348" s="232"/>
      <c r="AG1348" s="232"/>
      <c r="AH1348" s="232"/>
      <c r="AI1348" s="232"/>
      <c r="AJ1348" s="232"/>
      <c r="AK1348" s="232"/>
      <c r="AL1348" s="232"/>
      <c r="AM1348" s="232"/>
      <c r="AN1348" s="232"/>
      <c r="AO1348" s="232"/>
      <c r="AP1348" s="232"/>
      <c r="AQ1348" s="232"/>
      <c r="AR1348" s="232"/>
      <c r="AS1348" s="232"/>
      <c r="AT1348" s="232"/>
      <c r="AU1348" s="232"/>
      <c r="AV1348" s="232"/>
      <c r="AW1348" s="232"/>
      <c r="AX1348" s="232"/>
      <c r="AY1348" s="232"/>
      <c r="AZ1348" s="232"/>
      <c r="BA1348" s="232"/>
      <c r="BB1348" s="232"/>
      <c r="BC1348" s="232"/>
      <c r="BD1348" s="232"/>
      <c r="BE1348" s="232"/>
      <c r="BF1348" s="232"/>
      <c r="BG1348" s="232"/>
      <c r="BH1348" s="232"/>
      <c r="BI1348" s="232"/>
      <c r="BJ1348" s="232"/>
      <c r="BK1348" s="232"/>
      <c r="BL1348" s="232"/>
      <c r="BM1348" s="232"/>
      <c r="BN1348" s="232"/>
      <c r="BO1348" s="232"/>
      <c r="BP1348" s="232"/>
      <c r="BQ1348" s="232"/>
      <c r="BR1348" s="232"/>
      <c r="BS1348" s="232"/>
      <c r="BT1348" s="232"/>
      <c r="BU1348" s="232"/>
      <c r="BV1348" s="232"/>
      <c r="BW1348" s="232"/>
      <c r="BX1348" s="232"/>
      <c r="BY1348" s="232"/>
      <c r="BZ1348" s="232"/>
      <c r="CA1348" s="232"/>
      <c r="CB1348" s="232"/>
      <c r="CC1348" s="232"/>
      <c r="CD1348" s="232"/>
      <c r="CE1348" s="232"/>
      <c r="CF1348" s="232"/>
      <c r="CG1348" s="232"/>
      <c r="CH1348" s="232"/>
      <c r="CI1348" s="232"/>
      <c r="CJ1348" s="232"/>
      <c r="CK1348" s="232"/>
      <c r="CL1348" s="232"/>
      <c r="CM1348" s="232"/>
      <c r="CN1348" s="215"/>
      <c r="CO1348" s="215"/>
      <c r="CP1348" s="215"/>
      <c r="CQ1348" s="215"/>
      <c r="CR1348" s="215"/>
      <c r="CS1348" s="215"/>
      <c r="CT1348" s="215"/>
    </row>
    <row r="1349" ht="24.0" customHeight="1">
      <c r="A1349" s="287"/>
      <c r="B1349" s="287"/>
      <c r="C1349" s="287"/>
      <c r="D1349" s="232"/>
      <c r="E1349" s="232"/>
      <c r="F1349" s="232"/>
      <c r="G1349" s="232"/>
      <c r="H1349" s="232"/>
      <c r="I1349" s="232"/>
      <c r="J1349" s="232"/>
      <c r="K1349" s="232"/>
      <c r="L1349" s="232"/>
      <c r="M1349" s="232"/>
      <c r="N1349" s="289"/>
      <c r="O1349" s="232"/>
      <c r="P1349" s="232"/>
      <c r="Q1349" s="232"/>
      <c r="R1349" s="232"/>
      <c r="S1349" s="232"/>
      <c r="T1349" s="232"/>
      <c r="U1349" s="232"/>
      <c r="V1349" s="232"/>
      <c r="W1349" s="232"/>
      <c r="X1349" s="232"/>
      <c r="Y1349" s="232"/>
      <c r="Z1349" s="232"/>
      <c r="AA1349" s="232"/>
      <c r="AB1349" s="232"/>
      <c r="AC1349" s="232"/>
      <c r="AD1349" s="232"/>
      <c r="AE1349" s="232"/>
      <c r="AF1349" s="232"/>
      <c r="AG1349" s="232"/>
      <c r="AH1349" s="232"/>
      <c r="AI1349" s="232"/>
      <c r="AJ1349" s="232"/>
      <c r="AK1349" s="232"/>
      <c r="AL1349" s="232"/>
      <c r="AM1349" s="232"/>
      <c r="AN1349" s="232"/>
      <c r="AO1349" s="232"/>
      <c r="AP1349" s="232"/>
      <c r="AQ1349" s="232"/>
      <c r="AR1349" s="232"/>
      <c r="AS1349" s="232"/>
      <c r="AT1349" s="232"/>
      <c r="AU1349" s="232"/>
      <c r="AV1349" s="232"/>
      <c r="AW1349" s="232"/>
      <c r="AX1349" s="232"/>
      <c r="AY1349" s="232"/>
      <c r="AZ1349" s="232"/>
      <c r="BA1349" s="232"/>
      <c r="BB1349" s="232"/>
      <c r="BC1349" s="232"/>
      <c r="BD1349" s="232"/>
      <c r="BE1349" s="232"/>
      <c r="BF1349" s="232"/>
      <c r="BG1349" s="232"/>
      <c r="BH1349" s="232"/>
      <c r="BI1349" s="232"/>
      <c r="BJ1349" s="232"/>
      <c r="BK1349" s="232"/>
      <c r="BL1349" s="232"/>
      <c r="BM1349" s="232"/>
      <c r="BN1349" s="232"/>
      <c r="BO1349" s="232"/>
      <c r="BP1349" s="232"/>
      <c r="BQ1349" s="232"/>
      <c r="BR1349" s="232"/>
      <c r="BS1349" s="232"/>
      <c r="BT1349" s="232"/>
      <c r="BU1349" s="232"/>
      <c r="BV1349" s="232"/>
      <c r="BW1349" s="232"/>
      <c r="BX1349" s="232"/>
      <c r="BY1349" s="232"/>
      <c r="BZ1349" s="232"/>
      <c r="CA1349" s="232"/>
      <c r="CB1349" s="232"/>
      <c r="CC1349" s="232"/>
      <c r="CD1349" s="232"/>
      <c r="CE1349" s="232"/>
      <c r="CF1349" s="232"/>
      <c r="CG1349" s="232"/>
      <c r="CH1349" s="232"/>
      <c r="CI1349" s="232"/>
      <c r="CJ1349" s="232"/>
      <c r="CK1349" s="232"/>
      <c r="CL1349" s="232"/>
      <c r="CM1349" s="232"/>
      <c r="CN1349" s="215"/>
      <c r="CO1349" s="215"/>
      <c r="CP1349" s="215"/>
      <c r="CQ1349" s="215"/>
      <c r="CR1349" s="215"/>
      <c r="CS1349" s="215"/>
      <c r="CT1349" s="215"/>
    </row>
    <row r="1350" ht="24.0" customHeight="1">
      <c r="A1350" s="287"/>
      <c r="B1350" s="287"/>
      <c r="C1350" s="287"/>
      <c r="D1350" s="232"/>
      <c r="E1350" s="232"/>
      <c r="F1350" s="232"/>
      <c r="G1350" s="232"/>
      <c r="H1350" s="232"/>
      <c r="I1350" s="232"/>
      <c r="J1350" s="232"/>
      <c r="K1350" s="232"/>
      <c r="L1350" s="232"/>
      <c r="M1350" s="232"/>
      <c r="N1350" s="289"/>
      <c r="O1350" s="232"/>
      <c r="P1350" s="232"/>
      <c r="Q1350" s="232"/>
      <c r="R1350" s="232"/>
      <c r="S1350" s="232"/>
      <c r="T1350" s="232"/>
      <c r="U1350" s="232"/>
      <c r="V1350" s="232"/>
      <c r="W1350" s="232"/>
      <c r="X1350" s="232"/>
      <c r="Y1350" s="232"/>
      <c r="Z1350" s="232"/>
      <c r="AA1350" s="232"/>
      <c r="AB1350" s="232"/>
      <c r="AC1350" s="232"/>
      <c r="AD1350" s="232"/>
      <c r="AE1350" s="232"/>
      <c r="AF1350" s="232"/>
      <c r="AG1350" s="232"/>
      <c r="AH1350" s="232"/>
      <c r="AI1350" s="232"/>
      <c r="AJ1350" s="232"/>
      <c r="AK1350" s="232"/>
      <c r="AL1350" s="232"/>
      <c r="AM1350" s="232"/>
      <c r="AN1350" s="232"/>
      <c r="AO1350" s="232"/>
      <c r="AP1350" s="232"/>
      <c r="AQ1350" s="232"/>
      <c r="AR1350" s="232"/>
      <c r="AS1350" s="232"/>
      <c r="AT1350" s="232"/>
      <c r="AU1350" s="232"/>
      <c r="AV1350" s="232"/>
      <c r="AW1350" s="232"/>
      <c r="AX1350" s="232"/>
      <c r="AY1350" s="232"/>
      <c r="AZ1350" s="232"/>
      <c r="BA1350" s="232"/>
      <c r="BB1350" s="232"/>
      <c r="BC1350" s="232"/>
      <c r="BD1350" s="232"/>
      <c r="BE1350" s="232"/>
      <c r="BF1350" s="232"/>
      <c r="BG1350" s="232"/>
      <c r="BH1350" s="232"/>
      <c r="BI1350" s="232"/>
      <c r="BJ1350" s="232"/>
      <c r="BK1350" s="232"/>
      <c r="BL1350" s="232"/>
      <c r="BM1350" s="232"/>
      <c r="BN1350" s="232"/>
      <c r="BO1350" s="232"/>
      <c r="BP1350" s="232"/>
      <c r="BQ1350" s="232"/>
      <c r="BR1350" s="232"/>
      <c r="BS1350" s="232"/>
      <c r="BT1350" s="232"/>
      <c r="BU1350" s="232"/>
      <c r="BV1350" s="232"/>
      <c r="BW1350" s="232"/>
      <c r="BX1350" s="232"/>
      <c r="BY1350" s="232"/>
      <c r="BZ1350" s="232"/>
      <c r="CA1350" s="232"/>
      <c r="CB1350" s="232"/>
      <c r="CC1350" s="232"/>
      <c r="CD1350" s="232"/>
      <c r="CE1350" s="232"/>
      <c r="CF1350" s="232"/>
      <c r="CG1350" s="232"/>
      <c r="CH1350" s="232"/>
      <c r="CI1350" s="232"/>
      <c r="CJ1350" s="232"/>
      <c r="CK1350" s="232"/>
      <c r="CL1350" s="232"/>
      <c r="CM1350" s="232"/>
      <c r="CN1350" s="215"/>
      <c r="CO1350" s="215"/>
      <c r="CP1350" s="215"/>
      <c r="CQ1350" s="215"/>
      <c r="CR1350" s="215"/>
      <c r="CS1350" s="215"/>
      <c r="CT1350" s="215"/>
    </row>
    <row r="1351" ht="24.0" customHeight="1">
      <c r="A1351" s="287"/>
      <c r="B1351" s="287"/>
      <c r="C1351" s="287"/>
      <c r="D1351" s="232"/>
      <c r="E1351" s="232"/>
      <c r="F1351" s="232"/>
      <c r="G1351" s="232"/>
      <c r="H1351" s="232"/>
      <c r="I1351" s="232"/>
      <c r="J1351" s="232"/>
      <c r="K1351" s="232"/>
      <c r="L1351" s="232"/>
      <c r="M1351" s="232"/>
      <c r="N1351" s="289"/>
      <c r="O1351" s="232"/>
      <c r="P1351" s="232"/>
      <c r="Q1351" s="232"/>
      <c r="R1351" s="232"/>
      <c r="S1351" s="232"/>
      <c r="T1351" s="232"/>
      <c r="U1351" s="232"/>
      <c r="V1351" s="232"/>
      <c r="W1351" s="232"/>
      <c r="X1351" s="232"/>
      <c r="Y1351" s="232"/>
      <c r="Z1351" s="232"/>
      <c r="AA1351" s="232"/>
      <c r="AB1351" s="232"/>
      <c r="AC1351" s="232"/>
      <c r="AD1351" s="232"/>
      <c r="AE1351" s="232"/>
      <c r="AF1351" s="232"/>
      <c r="AG1351" s="232"/>
      <c r="AH1351" s="232"/>
      <c r="AI1351" s="232"/>
      <c r="AJ1351" s="232"/>
      <c r="AK1351" s="232"/>
      <c r="AL1351" s="232"/>
      <c r="AM1351" s="232"/>
      <c r="AN1351" s="232"/>
      <c r="AO1351" s="232"/>
      <c r="AP1351" s="232"/>
      <c r="AQ1351" s="232"/>
      <c r="AR1351" s="232"/>
      <c r="AS1351" s="232"/>
      <c r="AT1351" s="232"/>
      <c r="AU1351" s="232"/>
      <c r="AV1351" s="232"/>
      <c r="AW1351" s="232"/>
      <c r="AX1351" s="232"/>
      <c r="AY1351" s="232"/>
      <c r="AZ1351" s="232"/>
      <c r="BA1351" s="232"/>
      <c r="BB1351" s="232"/>
      <c r="BC1351" s="232"/>
      <c r="BD1351" s="232"/>
      <c r="BE1351" s="232"/>
      <c r="BF1351" s="232"/>
      <c r="BG1351" s="232"/>
      <c r="BH1351" s="232"/>
      <c r="BI1351" s="232"/>
      <c r="BJ1351" s="232"/>
      <c r="BK1351" s="232"/>
      <c r="BL1351" s="232"/>
      <c r="BM1351" s="232"/>
      <c r="BN1351" s="232"/>
      <c r="BO1351" s="232"/>
      <c r="BP1351" s="232"/>
      <c r="BQ1351" s="232"/>
      <c r="BR1351" s="232"/>
      <c r="BS1351" s="232"/>
      <c r="BT1351" s="232"/>
      <c r="BU1351" s="232"/>
      <c r="BV1351" s="232"/>
      <c r="BW1351" s="232"/>
      <c r="BX1351" s="232"/>
      <c r="BY1351" s="232"/>
      <c r="BZ1351" s="232"/>
      <c r="CA1351" s="232"/>
      <c r="CB1351" s="232"/>
      <c r="CC1351" s="232"/>
      <c r="CD1351" s="232"/>
      <c r="CE1351" s="232"/>
      <c r="CF1351" s="232"/>
      <c r="CG1351" s="232"/>
      <c r="CH1351" s="232"/>
      <c r="CI1351" s="232"/>
      <c r="CJ1351" s="232"/>
      <c r="CK1351" s="232"/>
      <c r="CL1351" s="232"/>
      <c r="CM1351" s="232"/>
      <c r="CN1351" s="215"/>
      <c r="CO1351" s="215"/>
      <c r="CP1351" s="215"/>
      <c r="CQ1351" s="215"/>
      <c r="CR1351" s="215"/>
      <c r="CS1351" s="215"/>
      <c r="CT1351" s="215"/>
    </row>
    <row r="1352" ht="24.0" customHeight="1">
      <c r="A1352" s="287"/>
      <c r="B1352" s="287"/>
      <c r="C1352" s="287"/>
      <c r="D1352" s="232"/>
      <c r="E1352" s="232"/>
      <c r="F1352" s="232"/>
      <c r="G1352" s="232"/>
      <c r="H1352" s="232"/>
      <c r="I1352" s="232"/>
      <c r="J1352" s="232"/>
      <c r="K1352" s="232"/>
      <c r="L1352" s="232"/>
      <c r="M1352" s="232"/>
      <c r="N1352" s="289"/>
      <c r="O1352" s="232"/>
      <c r="P1352" s="232"/>
      <c r="Q1352" s="232"/>
      <c r="R1352" s="232"/>
      <c r="S1352" s="232"/>
      <c r="T1352" s="232"/>
      <c r="U1352" s="232"/>
      <c r="V1352" s="232"/>
      <c r="W1352" s="232"/>
      <c r="X1352" s="232"/>
      <c r="Y1352" s="232"/>
      <c r="Z1352" s="232"/>
      <c r="AA1352" s="232"/>
      <c r="AB1352" s="232"/>
      <c r="AC1352" s="232"/>
      <c r="AD1352" s="232"/>
      <c r="AE1352" s="232"/>
      <c r="AF1352" s="232"/>
      <c r="AG1352" s="232"/>
      <c r="AH1352" s="232"/>
      <c r="AI1352" s="232"/>
      <c r="AJ1352" s="232"/>
      <c r="AK1352" s="232"/>
      <c r="AL1352" s="232"/>
      <c r="AM1352" s="232"/>
      <c r="AN1352" s="232"/>
      <c r="AO1352" s="232"/>
      <c r="AP1352" s="232"/>
      <c r="AQ1352" s="232"/>
      <c r="AR1352" s="232"/>
      <c r="AS1352" s="232"/>
      <c r="AT1352" s="232"/>
      <c r="AU1352" s="232"/>
      <c r="AV1352" s="232"/>
      <c r="AW1352" s="232"/>
      <c r="AX1352" s="232"/>
      <c r="AY1352" s="232"/>
      <c r="AZ1352" s="232"/>
      <c r="BA1352" s="232"/>
      <c r="BB1352" s="232"/>
      <c r="BC1352" s="232"/>
      <c r="BD1352" s="232"/>
      <c r="BE1352" s="232"/>
      <c r="BF1352" s="232"/>
      <c r="BG1352" s="232"/>
      <c r="BH1352" s="232"/>
      <c r="BI1352" s="232"/>
      <c r="BJ1352" s="232"/>
      <c r="BK1352" s="232"/>
      <c r="BL1352" s="232"/>
      <c r="BM1352" s="232"/>
      <c r="BN1352" s="232"/>
      <c r="BO1352" s="232"/>
      <c r="BP1352" s="232"/>
      <c r="BQ1352" s="232"/>
      <c r="BR1352" s="232"/>
      <c r="BS1352" s="232"/>
      <c r="BT1352" s="232"/>
      <c r="BU1352" s="232"/>
      <c r="BV1352" s="232"/>
      <c r="BW1352" s="232"/>
      <c r="BX1352" s="232"/>
      <c r="BY1352" s="232"/>
      <c r="BZ1352" s="232"/>
      <c r="CA1352" s="232"/>
      <c r="CB1352" s="232"/>
      <c r="CC1352" s="232"/>
      <c r="CD1352" s="232"/>
      <c r="CE1352" s="232"/>
      <c r="CF1352" s="232"/>
      <c r="CG1352" s="232"/>
      <c r="CH1352" s="232"/>
      <c r="CI1352" s="232"/>
      <c r="CJ1352" s="232"/>
      <c r="CK1352" s="232"/>
      <c r="CL1352" s="232"/>
      <c r="CM1352" s="232"/>
      <c r="CN1352" s="215"/>
      <c r="CO1352" s="215"/>
      <c r="CP1352" s="215"/>
      <c r="CQ1352" s="215"/>
      <c r="CR1352" s="215"/>
      <c r="CS1352" s="215"/>
      <c r="CT1352" s="215"/>
    </row>
    <row r="1353" ht="24.0" customHeight="1">
      <c r="A1353" s="287"/>
      <c r="B1353" s="287"/>
      <c r="C1353" s="287"/>
      <c r="D1353" s="232"/>
      <c r="E1353" s="232"/>
      <c r="F1353" s="232"/>
      <c r="G1353" s="232"/>
      <c r="H1353" s="232"/>
      <c r="I1353" s="232"/>
      <c r="J1353" s="232"/>
      <c r="K1353" s="232"/>
      <c r="L1353" s="232"/>
      <c r="M1353" s="232"/>
      <c r="N1353" s="289"/>
      <c r="O1353" s="232"/>
      <c r="P1353" s="232"/>
      <c r="Q1353" s="232"/>
      <c r="R1353" s="232"/>
      <c r="S1353" s="232"/>
      <c r="T1353" s="232"/>
      <c r="U1353" s="232"/>
      <c r="V1353" s="232"/>
      <c r="W1353" s="232"/>
      <c r="X1353" s="232"/>
      <c r="Y1353" s="232"/>
      <c r="Z1353" s="232"/>
      <c r="AA1353" s="232"/>
      <c r="AB1353" s="232"/>
      <c r="AC1353" s="232"/>
      <c r="AD1353" s="232"/>
      <c r="AE1353" s="232"/>
      <c r="AF1353" s="232"/>
      <c r="AG1353" s="232"/>
      <c r="AH1353" s="232"/>
      <c r="AI1353" s="232"/>
      <c r="AJ1353" s="232"/>
      <c r="AK1353" s="232"/>
      <c r="AL1353" s="232"/>
      <c r="AM1353" s="232"/>
      <c r="AN1353" s="232"/>
      <c r="AO1353" s="232"/>
      <c r="AP1353" s="232"/>
      <c r="AQ1353" s="232"/>
      <c r="AR1353" s="232"/>
      <c r="AS1353" s="232"/>
      <c r="AT1353" s="232"/>
      <c r="AU1353" s="232"/>
      <c r="AV1353" s="232"/>
      <c r="AW1353" s="232"/>
      <c r="AX1353" s="232"/>
      <c r="AY1353" s="232"/>
      <c r="AZ1353" s="232"/>
      <c r="BA1353" s="232"/>
      <c r="BB1353" s="232"/>
      <c r="BC1353" s="232"/>
      <c r="BD1353" s="232"/>
      <c r="BE1353" s="232"/>
      <c r="BF1353" s="232"/>
      <c r="BG1353" s="232"/>
      <c r="BH1353" s="232"/>
      <c r="BI1353" s="232"/>
      <c r="BJ1353" s="232"/>
      <c r="BK1353" s="232"/>
      <c r="BL1353" s="232"/>
      <c r="BM1353" s="232"/>
      <c r="BN1353" s="232"/>
      <c r="BO1353" s="232"/>
      <c r="BP1353" s="232"/>
      <c r="BQ1353" s="232"/>
      <c r="BR1353" s="232"/>
      <c r="BS1353" s="232"/>
      <c r="BT1353" s="232"/>
      <c r="BU1353" s="232"/>
      <c r="BV1353" s="232"/>
      <c r="BW1353" s="232"/>
      <c r="BX1353" s="232"/>
      <c r="BY1353" s="232"/>
      <c r="BZ1353" s="232"/>
      <c r="CA1353" s="232"/>
      <c r="CB1353" s="232"/>
      <c r="CC1353" s="232"/>
      <c r="CD1353" s="232"/>
      <c r="CE1353" s="232"/>
      <c r="CF1353" s="232"/>
      <c r="CG1353" s="232"/>
      <c r="CH1353" s="232"/>
      <c r="CI1353" s="232"/>
      <c r="CJ1353" s="232"/>
      <c r="CK1353" s="232"/>
      <c r="CL1353" s="232"/>
      <c r="CM1353" s="232"/>
      <c r="CN1353" s="215"/>
      <c r="CO1353" s="215"/>
      <c r="CP1353" s="215"/>
      <c r="CQ1353" s="215"/>
      <c r="CR1353" s="215"/>
      <c r="CS1353" s="215"/>
      <c r="CT1353" s="215"/>
    </row>
    <row r="1354" ht="24.0" customHeight="1">
      <c r="A1354" s="287"/>
      <c r="B1354" s="287"/>
      <c r="C1354" s="287"/>
      <c r="D1354" s="232"/>
      <c r="E1354" s="232"/>
      <c r="F1354" s="232"/>
      <c r="G1354" s="232"/>
      <c r="H1354" s="232"/>
      <c r="I1354" s="232"/>
      <c r="J1354" s="232"/>
      <c r="K1354" s="232"/>
      <c r="L1354" s="232"/>
      <c r="M1354" s="232"/>
      <c r="N1354" s="289"/>
      <c r="O1354" s="232"/>
      <c r="P1354" s="232"/>
      <c r="Q1354" s="232"/>
      <c r="R1354" s="232"/>
      <c r="S1354" s="232"/>
      <c r="T1354" s="232"/>
      <c r="U1354" s="232"/>
      <c r="V1354" s="232"/>
      <c r="W1354" s="232"/>
      <c r="X1354" s="232"/>
      <c r="Y1354" s="232"/>
      <c r="Z1354" s="232"/>
      <c r="AA1354" s="232"/>
      <c r="AB1354" s="232"/>
      <c r="AC1354" s="232"/>
      <c r="AD1354" s="232"/>
      <c r="AE1354" s="232"/>
      <c r="AF1354" s="232"/>
      <c r="AG1354" s="232"/>
      <c r="AH1354" s="232"/>
      <c r="AI1354" s="232"/>
      <c r="AJ1354" s="232"/>
      <c r="AK1354" s="232"/>
      <c r="AL1354" s="232"/>
      <c r="AM1354" s="232"/>
      <c r="AN1354" s="232"/>
      <c r="AO1354" s="232"/>
      <c r="AP1354" s="232"/>
      <c r="AQ1354" s="232"/>
      <c r="AR1354" s="232"/>
      <c r="AS1354" s="232"/>
      <c r="AT1354" s="232"/>
      <c r="AU1354" s="232"/>
      <c r="AV1354" s="232"/>
      <c r="AW1354" s="232"/>
      <c r="AX1354" s="232"/>
      <c r="AY1354" s="232"/>
      <c r="AZ1354" s="232"/>
      <c r="BA1354" s="232"/>
      <c r="BB1354" s="232"/>
      <c r="BC1354" s="232"/>
      <c r="BD1354" s="232"/>
      <c r="BE1354" s="232"/>
      <c r="BF1354" s="232"/>
      <c r="BG1354" s="232"/>
      <c r="BH1354" s="232"/>
      <c r="BI1354" s="232"/>
      <c r="BJ1354" s="232"/>
      <c r="BK1354" s="232"/>
      <c r="BL1354" s="232"/>
      <c r="BM1354" s="232"/>
      <c r="BN1354" s="232"/>
      <c r="BO1354" s="232"/>
      <c r="BP1354" s="232"/>
      <c r="BQ1354" s="232"/>
      <c r="BR1354" s="232"/>
      <c r="BS1354" s="232"/>
      <c r="BT1354" s="232"/>
      <c r="BU1354" s="232"/>
      <c r="BV1354" s="232"/>
      <c r="BW1354" s="232"/>
      <c r="BX1354" s="232"/>
      <c r="BY1354" s="232"/>
      <c r="BZ1354" s="232"/>
      <c r="CA1354" s="232"/>
      <c r="CB1354" s="232"/>
      <c r="CC1354" s="232"/>
      <c r="CD1354" s="232"/>
      <c r="CE1354" s="232"/>
      <c r="CF1354" s="232"/>
      <c r="CG1354" s="232"/>
      <c r="CH1354" s="232"/>
      <c r="CI1354" s="232"/>
      <c r="CJ1354" s="232"/>
      <c r="CK1354" s="232"/>
      <c r="CL1354" s="232"/>
      <c r="CM1354" s="232"/>
      <c r="CN1354" s="215"/>
      <c r="CO1354" s="215"/>
      <c r="CP1354" s="215"/>
      <c r="CQ1354" s="215"/>
      <c r="CR1354" s="215"/>
      <c r="CS1354" s="215"/>
      <c r="CT1354" s="215"/>
    </row>
    <row r="1355" ht="24.0" customHeight="1">
      <c r="A1355" s="287"/>
      <c r="B1355" s="287"/>
      <c r="C1355" s="287"/>
      <c r="D1355" s="232"/>
      <c r="E1355" s="232"/>
      <c r="F1355" s="232"/>
      <c r="G1355" s="232"/>
      <c r="H1355" s="232"/>
      <c r="I1355" s="232"/>
      <c r="J1355" s="232"/>
      <c r="K1355" s="232"/>
      <c r="L1355" s="232"/>
      <c r="M1355" s="232"/>
      <c r="N1355" s="289"/>
      <c r="O1355" s="232"/>
      <c r="P1355" s="232"/>
      <c r="Q1355" s="232"/>
      <c r="R1355" s="232"/>
      <c r="S1355" s="232"/>
      <c r="T1355" s="232"/>
      <c r="U1355" s="232"/>
      <c r="V1355" s="232"/>
      <c r="W1355" s="232"/>
      <c r="X1355" s="232"/>
      <c r="Y1355" s="232"/>
      <c r="Z1355" s="232"/>
      <c r="AA1355" s="232"/>
      <c r="AB1355" s="232"/>
      <c r="AC1355" s="232"/>
      <c r="AD1355" s="232"/>
      <c r="AE1355" s="232"/>
      <c r="AF1355" s="232"/>
      <c r="AG1355" s="232"/>
      <c r="AH1355" s="232"/>
      <c r="AI1355" s="232"/>
      <c r="AJ1355" s="232"/>
      <c r="AK1355" s="232"/>
      <c r="AL1355" s="232"/>
      <c r="AM1355" s="232"/>
      <c r="AN1355" s="232"/>
      <c r="AO1355" s="232"/>
      <c r="AP1355" s="232"/>
      <c r="AQ1355" s="232"/>
      <c r="AR1355" s="232"/>
      <c r="AS1355" s="232"/>
      <c r="AT1355" s="232"/>
      <c r="AU1355" s="232"/>
      <c r="AV1355" s="232"/>
      <c r="AW1355" s="232"/>
      <c r="AX1355" s="232"/>
      <c r="AY1355" s="232"/>
      <c r="AZ1355" s="232"/>
      <c r="BA1355" s="232"/>
      <c r="BB1355" s="232"/>
      <c r="BC1355" s="232"/>
      <c r="BD1355" s="232"/>
      <c r="BE1355" s="232"/>
      <c r="BF1355" s="232"/>
      <c r="BG1355" s="232"/>
      <c r="BH1355" s="232"/>
      <c r="BI1355" s="232"/>
      <c r="BJ1355" s="232"/>
      <c r="BK1355" s="232"/>
      <c r="BL1355" s="232"/>
      <c r="BM1355" s="232"/>
      <c r="BN1355" s="232"/>
      <c r="BO1355" s="232"/>
      <c r="BP1355" s="232"/>
      <c r="BQ1355" s="232"/>
      <c r="BR1355" s="232"/>
      <c r="BS1355" s="232"/>
      <c r="BT1355" s="232"/>
      <c r="BU1355" s="232"/>
      <c r="BV1355" s="232"/>
      <c r="BW1355" s="232"/>
      <c r="BX1355" s="232"/>
      <c r="BY1355" s="232"/>
      <c r="BZ1355" s="232"/>
      <c r="CA1355" s="232"/>
      <c r="CB1355" s="232"/>
      <c r="CC1355" s="232"/>
      <c r="CD1355" s="232"/>
      <c r="CE1355" s="232"/>
      <c r="CF1355" s="232"/>
      <c r="CG1355" s="232"/>
      <c r="CH1355" s="232"/>
      <c r="CI1355" s="232"/>
      <c r="CJ1355" s="232"/>
      <c r="CK1355" s="232"/>
      <c r="CL1355" s="232"/>
      <c r="CM1355" s="232"/>
      <c r="CN1355" s="215"/>
      <c r="CO1355" s="215"/>
      <c r="CP1355" s="215"/>
      <c r="CQ1355" s="215"/>
      <c r="CR1355" s="215"/>
      <c r="CS1355" s="215"/>
      <c r="CT1355" s="215"/>
    </row>
    <row r="1356" ht="24.0" customHeight="1">
      <c r="A1356" s="287"/>
      <c r="B1356" s="287"/>
      <c r="C1356" s="287"/>
      <c r="D1356" s="232"/>
      <c r="E1356" s="232"/>
      <c r="F1356" s="232"/>
      <c r="G1356" s="232"/>
      <c r="H1356" s="232"/>
      <c r="I1356" s="232"/>
      <c r="J1356" s="232"/>
      <c r="K1356" s="232"/>
      <c r="L1356" s="232"/>
      <c r="M1356" s="232"/>
      <c r="N1356" s="289"/>
      <c r="O1356" s="232"/>
      <c r="P1356" s="232"/>
      <c r="Q1356" s="232"/>
      <c r="R1356" s="232"/>
      <c r="S1356" s="232"/>
      <c r="T1356" s="232"/>
      <c r="U1356" s="232"/>
      <c r="V1356" s="232"/>
      <c r="W1356" s="232"/>
      <c r="X1356" s="232"/>
      <c r="Y1356" s="232"/>
      <c r="Z1356" s="232"/>
      <c r="AA1356" s="232"/>
      <c r="AB1356" s="232"/>
      <c r="AC1356" s="232"/>
      <c r="AD1356" s="232"/>
      <c r="AE1356" s="232"/>
      <c r="AF1356" s="232"/>
      <c r="AG1356" s="232"/>
      <c r="AH1356" s="232"/>
      <c r="AI1356" s="232"/>
      <c r="AJ1356" s="232"/>
      <c r="AK1356" s="232"/>
      <c r="AL1356" s="232"/>
      <c r="AM1356" s="232"/>
      <c r="AN1356" s="232"/>
      <c r="AO1356" s="232"/>
      <c r="AP1356" s="232"/>
      <c r="AQ1356" s="232"/>
      <c r="AR1356" s="232"/>
      <c r="AS1356" s="232"/>
      <c r="AT1356" s="232"/>
      <c r="AU1356" s="232"/>
      <c r="AV1356" s="232"/>
      <c r="AW1356" s="232"/>
      <c r="AX1356" s="232"/>
      <c r="AY1356" s="232"/>
      <c r="AZ1356" s="232"/>
      <c r="BA1356" s="232"/>
      <c r="BB1356" s="232"/>
      <c r="BC1356" s="232"/>
      <c r="BD1356" s="232"/>
      <c r="BE1356" s="232"/>
      <c r="BF1356" s="232"/>
      <c r="BG1356" s="232"/>
      <c r="BH1356" s="232"/>
      <c r="BI1356" s="232"/>
      <c r="BJ1356" s="232"/>
      <c r="BK1356" s="232"/>
      <c r="BL1356" s="232"/>
      <c r="BM1356" s="232"/>
      <c r="BN1356" s="232"/>
      <c r="BO1356" s="232"/>
      <c r="BP1356" s="232"/>
      <c r="BQ1356" s="232"/>
      <c r="BR1356" s="232"/>
      <c r="BS1356" s="232"/>
      <c r="BT1356" s="232"/>
      <c r="BU1356" s="232"/>
      <c r="BV1356" s="232"/>
      <c r="BW1356" s="232"/>
      <c r="BX1356" s="232"/>
      <c r="BY1356" s="232"/>
      <c r="BZ1356" s="232"/>
      <c r="CA1356" s="232"/>
      <c r="CB1356" s="232"/>
      <c r="CC1356" s="232"/>
      <c r="CD1356" s="232"/>
      <c r="CE1356" s="232"/>
      <c r="CF1356" s="232"/>
      <c r="CG1356" s="232"/>
      <c r="CH1356" s="232"/>
      <c r="CI1356" s="232"/>
      <c r="CJ1356" s="232"/>
      <c r="CK1356" s="232"/>
      <c r="CL1356" s="232"/>
      <c r="CM1356" s="232"/>
      <c r="CN1356" s="215"/>
      <c r="CO1356" s="215"/>
      <c r="CP1356" s="215"/>
      <c r="CQ1356" s="215"/>
      <c r="CR1356" s="215"/>
      <c r="CS1356" s="215"/>
      <c r="CT1356" s="215"/>
    </row>
    <row r="1357" ht="24.0" customHeight="1">
      <c r="A1357" s="287"/>
      <c r="B1357" s="287"/>
      <c r="C1357" s="287"/>
      <c r="D1357" s="232"/>
      <c r="E1357" s="232"/>
      <c r="F1357" s="232"/>
      <c r="G1357" s="232"/>
      <c r="H1357" s="232"/>
      <c r="I1357" s="232"/>
      <c r="J1357" s="232"/>
      <c r="K1357" s="232"/>
      <c r="L1357" s="232"/>
      <c r="M1357" s="232"/>
      <c r="N1357" s="289"/>
      <c r="O1357" s="232"/>
      <c r="P1357" s="232"/>
      <c r="Q1357" s="232"/>
      <c r="R1357" s="232"/>
      <c r="S1357" s="232"/>
      <c r="T1357" s="232"/>
      <c r="U1357" s="232"/>
      <c r="V1357" s="232"/>
      <c r="W1357" s="232"/>
      <c r="X1357" s="232"/>
      <c r="Y1357" s="232"/>
      <c r="Z1357" s="232"/>
      <c r="AA1357" s="232"/>
      <c r="AB1357" s="232"/>
      <c r="AC1357" s="232"/>
      <c r="AD1357" s="232"/>
      <c r="AE1357" s="232"/>
      <c r="AF1357" s="232"/>
      <c r="AG1357" s="232"/>
      <c r="AH1357" s="232"/>
      <c r="AI1357" s="232"/>
      <c r="AJ1357" s="232"/>
      <c r="AK1357" s="232"/>
      <c r="AL1357" s="232"/>
      <c r="AM1357" s="232"/>
      <c r="AN1357" s="232"/>
      <c r="AO1357" s="232"/>
      <c r="AP1357" s="232"/>
      <c r="AQ1357" s="232"/>
      <c r="AR1357" s="232"/>
      <c r="AS1357" s="232"/>
      <c r="AT1357" s="232"/>
      <c r="AU1357" s="232"/>
      <c r="AV1357" s="232"/>
      <c r="AW1357" s="232"/>
      <c r="AX1357" s="232"/>
      <c r="AY1357" s="232"/>
      <c r="AZ1357" s="232"/>
      <c r="BA1357" s="232"/>
      <c r="BB1357" s="232"/>
      <c r="BC1357" s="232"/>
      <c r="BD1357" s="232"/>
      <c r="BE1357" s="232"/>
      <c r="BF1357" s="232"/>
      <c r="BG1357" s="232"/>
      <c r="BH1357" s="232"/>
      <c r="BI1357" s="232"/>
      <c r="BJ1357" s="232"/>
      <c r="BK1357" s="232"/>
      <c r="BL1357" s="232"/>
      <c r="BM1357" s="232"/>
      <c r="BN1357" s="232"/>
      <c r="BO1357" s="232"/>
      <c r="BP1357" s="232"/>
      <c r="BQ1357" s="232"/>
      <c r="BR1357" s="232"/>
      <c r="BS1357" s="232"/>
      <c r="BT1357" s="232"/>
      <c r="BU1357" s="232"/>
      <c r="BV1357" s="232"/>
      <c r="BW1357" s="232"/>
      <c r="BX1357" s="232"/>
      <c r="BY1357" s="232"/>
      <c r="BZ1357" s="232"/>
      <c r="CA1357" s="232"/>
      <c r="CB1357" s="232"/>
      <c r="CC1357" s="232"/>
      <c r="CD1357" s="232"/>
      <c r="CE1357" s="232"/>
      <c r="CF1357" s="232"/>
      <c r="CG1357" s="232"/>
      <c r="CH1357" s="232"/>
      <c r="CI1357" s="232"/>
      <c r="CJ1357" s="232"/>
      <c r="CK1357" s="232"/>
      <c r="CL1357" s="232"/>
      <c r="CM1357" s="232"/>
      <c r="CN1357" s="215"/>
      <c r="CO1357" s="215"/>
      <c r="CP1357" s="215"/>
      <c r="CQ1357" s="215"/>
      <c r="CR1357" s="215"/>
      <c r="CS1357" s="215"/>
      <c r="CT1357" s="215"/>
    </row>
    <row r="1358" ht="24.0" customHeight="1">
      <c r="A1358" s="287"/>
      <c r="B1358" s="287"/>
      <c r="C1358" s="287"/>
      <c r="D1358" s="232"/>
      <c r="E1358" s="232"/>
      <c r="F1358" s="232"/>
      <c r="G1358" s="232"/>
      <c r="H1358" s="232"/>
      <c r="I1358" s="232"/>
      <c r="J1358" s="232"/>
      <c r="K1358" s="232"/>
      <c r="L1358" s="232"/>
      <c r="M1358" s="232"/>
      <c r="N1358" s="289"/>
      <c r="O1358" s="232"/>
      <c r="P1358" s="232"/>
      <c r="Q1358" s="232"/>
      <c r="R1358" s="232"/>
      <c r="S1358" s="232"/>
      <c r="T1358" s="232"/>
      <c r="U1358" s="232"/>
      <c r="V1358" s="232"/>
      <c r="W1358" s="232"/>
      <c r="X1358" s="232"/>
      <c r="Y1358" s="232"/>
      <c r="Z1358" s="232"/>
      <c r="AA1358" s="232"/>
      <c r="AB1358" s="232"/>
      <c r="AC1358" s="232"/>
      <c r="AD1358" s="232"/>
      <c r="AE1358" s="232"/>
      <c r="AF1358" s="232"/>
      <c r="AG1358" s="232"/>
      <c r="AH1358" s="232"/>
      <c r="AI1358" s="232"/>
      <c r="AJ1358" s="232"/>
      <c r="AK1358" s="232"/>
      <c r="AL1358" s="232"/>
      <c r="AM1358" s="232"/>
      <c r="AN1358" s="232"/>
      <c r="AO1358" s="232"/>
      <c r="AP1358" s="232"/>
      <c r="AQ1358" s="232"/>
      <c r="AR1358" s="232"/>
      <c r="AS1358" s="232"/>
      <c r="AT1358" s="232"/>
      <c r="AU1358" s="232"/>
      <c r="AV1358" s="232"/>
      <c r="AW1358" s="232"/>
      <c r="AX1358" s="232"/>
      <c r="AY1358" s="232"/>
      <c r="AZ1358" s="232"/>
      <c r="BA1358" s="232"/>
      <c r="BB1358" s="232"/>
      <c r="BC1358" s="232"/>
      <c r="BD1358" s="232"/>
      <c r="BE1358" s="232"/>
      <c r="BF1358" s="232"/>
      <c r="BG1358" s="232"/>
      <c r="BH1358" s="232"/>
      <c r="BI1358" s="232"/>
      <c r="BJ1358" s="232"/>
      <c r="BK1358" s="232"/>
      <c r="BL1358" s="232"/>
      <c r="BM1358" s="232"/>
      <c r="BN1358" s="232"/>
      <c r="BO1358" s="232"/>
      <c r="BP1358" s="232"/>
      <c r="BQ1358" s="232"/>
      <c r="BR1358" s="232"/>
      <c r="BS1358" s="232"/>
      <c r="BT1358" s="232"/>
      <c r="BU1358" s="232"/>
      <c r="BV1358" s="232"/>
      <c r="BW1358" s="232"/>
      <c r="BX1358" s="232"/>
      <c r="BY1358" s="232"/>
      <c r="BZ1358" s="232"/>
      <c r="CA1358" s="232"/>
      <c r="CB1358" s="232"/>
      <c r="CC1358" s="232"/>
      <c r="CD1358" s="232"/>
      <c r="CE1358" s="232"/>
      <c r="CF1358" s="232"/>
      <c r="CG1358" s="232"/>
      <c r="CH1358" s="232"/>
      <c r="CI1358" s="232"/>
      <c r="CJ1358" s="232"/>
      <c r="CK1358" s="232"/>
      <c r="CL1358" s="232"/>
      <c r="CM1358" s="232"/>
      <c r="CN1358" s="215"/>
      <c r="CO1358" s="215"/>
      <c r="CP1358" s="215"/>
      <c r="CQ1358" s="215"/>
      <c r="CR1358" s="215"/>
      <c r="CS1358" s="215"/>
      <c r="CT1358" s="215"/>
    </row>
    <row r="1359" ht="24.0" customHeight="1">
      <c r="A1359" s="287"/>
      <c r="B1359" s="287"/>
      <c r="C1359" s="287"/>
      <c r="D1359" s="232"/>
      <c r="E1359" s="232"/>
      <c r="F1359" s="232"/>
      <c r="G1359" s="232"/>
      <c r="H1359" s="232"/>
      <c r="I1359" s="232"/>
      <c r="J1359" s="232"/>
      <c r="K1359" s="232"/>
      <c r="L1359" s="232"/>
      <c r="M1359" s="232"/>
      <c r="N1359" s="289"/>
      <c r="O1359" s="232"/>
      <c r="P1359" s="232"/>
      <c r="Q1359" s="232"/>
      <c r="R1359" s="232"/>
      <c r="S1359" s="232"/>
      <c r="T1359" s="232"/>
      <c r="U1359" s="232"/>
      <c r="V1359" s="232"/>
      <c r="W1359" s="232"/>
      <c r="X1359" s="232"/>
      <c r="Y1359" s="232"/>
      <c r="Z1359" s="232"/>
      <c r="AA1359" s="232"/>
      <c r="AB1359" s="232"/>
      <c r="AC1359" s="232"/>
      <c r="AD1359" s="232"/>
      <c r="AE1359" s="232"/>
      <c r="AF1359" s="232"/>
      <c r="AG1359" s="232"/>
      <c r="AH1359" s="232"/>
      <c r="AI1359" s="232"/>
      <c r="AJ1359" s="232"/>
      <c r="AK1359" s="232"/>
      <c r="AL1359" s="232"/>
      <c r="AM1359" s="232"/>
      <c r="AN1359" s="232"/>
      <c r="AO1359" s="232"/>
      <c r="AP1359" s="232"/>
      <c r="AQ1359" s="232"/>
      <c r="AR1359" s="232"/>
      <c r="AS1359" s="232"/>
      <c r="AT1359" s="232"/>
      <c r="AU1359" s="232"/>
      <c r="AV1359" s="232"/>
      <c r="AW1359" s="232"/>
      <c r="AX1359" s="232"/>
      <c r="AY1359" s="232"/>
      <c r="AZ1359" s="232"/>
      <c r="BA1359" s="232"/>
      <c r="BB1359" s="232"/>
      <c r="BC1359" s="232"/>
      <c r="BD1359" s="232"/>
      <c r="BE1359" s="232"/>
      <c r="BF1359" s="232"/>
      <c r="BG1359" s="232"/>
      <c r="BH1359" s="232"/>
      <c r="BI1359" s="232"/>
      <c r="BJ1359" s="232"/>
      <c r="BK1359" s="232"/>
      <c r="BL1359" s="232"/>
      <c r="BM1359" s="232"/>
      <c r="BN1359" s="232"/>
      <c r="BO1359" s="232"/>
      <c r="BP1359" s="232"/>
      <c r="BQ1359" s="232"/>
      <c r="BR1359" s="232"/>
      <c r="BS1359" s="232"/>
      <c r="BT1359" s="232"/>
      <c r="BU1359" s="232"/>
      <c r="BV1359" s="232"/>
      <c r="BW1359" s="232"/>
      <c r="BX1359" s="232"/>
      <c r="BY1359" s="232"/>
      <c r="BZ1359" s="232"/>
      <c r="CA1359" s="232"/>
      <c r="CB1359" s="232"/>
      <c r="CC1359" s="232"/>
      <c r="CD1359" s="232"/>
      <c r="CE1359" s="232"/>
      <c r="CF1359" s="232"/>
      <c r="CG1359" s="232"/>
      <c r="CH1359" s="232"/>
      <c r="CI1359" s="232"/>
      <c r="CJ1359" s="232"/>
      <c r="CK1359" s="232"/>
      <c r="CL1359" s="232"/>
      <c r="CM1359" s="232"/>
      <c r="CN1359" s="215"/>
      <c r="CO1359" s="215"/>
      <c r="CP1359" s="215"/>
      <c r="CQ1359" s="215"/>
      <c r="CR1359" s="215"/>
      <c r="CS1359" s="215"/>
      <c r="CT1359" s="215"/>
    </row>
    <row r="1360" ht="24.0" customHeight="1">
      <c r="A1360" s="287"/>
      <c r="B1360" s="287"/>
      <c r="C1360" s="287"/>
      <c r="D1360" s="232"/>
      <c r="E1360" s="232"/>
      <c r="F1360" s="232"/>
      <c r="G1360" s="232"/>
      <c r="H1360" s="232"/>
      <c r="I1360" s="232"/>
      <c r="J1360" s="232"/>
      <c r="K1360" s="232"/>
      <c r="L1360" s="232"/>
      <c r="M1360" s="232"/>
      <c r="N1360" s="289"/>
      <c r="O1360" s="232"/>
      <c r="P1360" s="232"/>
      <c r="Q1360" s="232"/>
      <c r="R1360" s="232"/>
      <c r="S1360" s="232"/>
      <c r="T1360" s="232"/>
      <c r="U1360" s="232"/>
      <c r="V1360" s="232"/>
      <c r="W1360" s="232"/>
      <c r="X1360" s="232"/>
      <c r="Y1360" s="232"/>
      <c r="Z1360" s="232"/>
      <c r="AA1360" s="232"/>
      <c r="AB1360" s="232"/>
      <c r="AC1360" s="232"/>
      <c r="AD1360" s="232"/>
      <c r="AE1360" s="232"/>
      <c r="AF1360" s="232"/>
      <c r="AG1360" s="232"/>
      <c r="AH1360" s="232"/>
      <c r="AI1360" s="232"/>
      <c r="AJ1360" s="232"/>
      <c r="AK1360" s="232"/>
      <c r="AL1360" s="232"/>
      <c r="AM1360" s="232"/>
      <c r="AN1360" s="232"/>
      <c r="AO1360" s="232"/>
      <c r="AP1360" s="232"/>
      <c r="AQ1360" s="232"/>
      <c r="AR1360" s="232"/>
      <c r="AS1360" s="232"/>
      <c r="AT1360" s="232"/>
      <c r="AU1360" s="232"/>
      <c r="AV1360" s="232"/>
      <c r="AW1360" s="232"/>
      <c r="AX1360" s="232"/>
      <c r="AY1360" s="232"/>
      <c r="AZ1360" s="232"/>
      <c r="BA1360" s="232"/>
      <c r="BB1360" s="232"/>
      <c r="BC1360" s="232"/>
      <c r="BD1360" s="232"/>
      <c r="BE1360" s="232"/>
      <c r="BF1360" s="232"/>
      <c r="BG1360" s="232"/>
      <c r="BH1360" s="232"/>
      <c r="BI1360" s="232"/>
      <c r="BJ1360" s="232"/>
      <c r="BK1360" s="232"/>
      <c r="BL1360" s="232"/>
      <c r="BM1360" s="232"/>
      <c r="BN1360" s="232"/>
      <c r="BO1360" s="232"/>
      <c r="BP1360" s="232"/>
      <c r="BQ1360" s="232"/>
      <c r="BR1360" s="232"/>
      <c r="BS1360" s="232"/>
      <c r="BT1360" s="232"/>
      <c r="BU1360" s="232"/>
      <c r="BV1360" s="232"/>
      <c r="BW1360" s="232"/>
      <c r="BX1360" s="232"/>
      <c r="BY1360" s="232"/>
      <c r="BZ1360" s="232"/>
      <c r="CA1360" s="232"/>
      <c r="CB1360" s="232"/>
      <c r="CC1360" s="232"/>
      <c r="CD1360" s="232"/>
      <c r="CE1360" s="232"/>
      <c r="CF1360" s="232"/>
      <c r="CG1360" s="232"/>
      <c r="CH1360" s="232"/>
      <c r="CI1360" s="232"/>
      <c r="CJ1360" s="232"/>
      <c r="CK1360" s="232"/>
      <c r="CL1360" s="232"/>
      <c r="CM1360" s="232"/>
      <c r="CN1360" s="215"/>
      <c r="CO1360" s="215"/>
      <c r="CP1360" s="215"/>
      <c r="CQ1360" s="215"/>
      <c r="CR1360" s="215"/>
      <c r="CS1360" s="215"/>
      <c r="CT1360" s="215"/>
    </row>
    <row r="1361" ht="24.0" customHeight="1">
      <c r="A1361" s="287"/>
      <c r="B1361" s="287"/>
      <c r="C1361" s="287"/>
      <c r="D1361" s="232"/>
      <c r="E1361" s="232"/>
      <c r="F1361" s="232"/>
      <c r="G1361" s="232"/>
      <c r="H1361" s="232"/>
      <c r="I1361" s="232"/>
      <c r="J1361" s="232"/>
      <c r="K1361" s="232"/>
      <c r="L1361" s="232"/>
      <c r="M1361" s="232"/>
      <c r="N1361" s="289"/>
      <c r="O1361" s="232"/>
      <c r="P1361" s="232"/>
      <c r="Q1361" s="232"/>
      <c r="R1361" s="232"/>
      <c r="S1361" s="232"/>
      <c r="T1361" s="232"/>
      <c r="U1361" s="232"/>
      <c r="V1361" s="232"/>
      <c r="W1361" s="232"/>
      <c r="X1361" s="232"/>
      <c r="Y1361" s="232"/>
      <c r="Z1361" s="232"/>
      <c r="AA1361" s="232"/>
      <c r="AB1361" s="232"/>
      <c r="AC1361" s="232"/>
      <c r="AD1361" s="232"/>
      <c r="AE1361" s="232"/>
      <c r="AF1361" s="232"/>
      <c r="AG1361" s="232"/>
      <c r="AH1361" s="232"/>
      <c r="AI1361" s="232"/>
      <c r="AJ1361" s="232"/>
      <c r="AK1361" s="232"/>
      <c r="AL1361" s="232"/>
      <c r="AM1361" s="232"/>
      <c r="AN1361" s="232"/>
      <c r="AO1361" s="232"/>
      <c r="AP1361" s="232"/>
      <c r="AQ1361" s="232"/>
      <c r="AR1361" s="232"/>
      <c r="AS1361" s="232"/>
      <c r="AT1361" s="232"/>
      <c r="AU1361" s="232"/>
      <c r="AV1361" s="232"/>
      <c r="AW1361" s="232"/>
      <c r="AX1361" s="232"/>
      <c r="AY1361" s="232"/>
      <c r="AZ1361" s="232"/>
      <c r="BA1361" s="232"/>
      <c r="BB1361" s="232"/>
      <c r="BC1361" s="232"/>
      <c r="BD1361" s="232"/>
      <c r="BE1361" s="232"/>
      <c r="BF1361" s="232"/>
      <c r="BG1361" s="232"/>
      <c r="BH1361" s="232"/>
      <c r="BI1361" s="232"/>
      <c r="BJ1361" s="232"/>
      <c r="BK1361" s="232"/>
      <c r="BL1361" s="232"/>
      <c r="BM1361" s="232"/>
      <c r="BN1361" s="232"/>
      <c r="BO1361" s="232"/>
      <c r="BP1361" s="232"/>
      <c r="BQ1361" s="232"/>
      <c r="BR1361" s="232"/>
      <c r="BS1361" s="232"/>
      <c r="BT1361" s="232"/>
      <c r="BU1361" s="232"/>
      <c r="BV1361" s="232"/>
      <c r="BW1361" s="232"/>
      <c r="BX1361" s="232"/>
      <c r="BY1361" s="232"/>
      <c r="BZ1361" s="232"/>
      <c r="CA1361" s="232"/>
      <c r="CB1361" s="232"/>
      <c r="CC1361" s="232"/>
      <c r="CD1361" s="232"/>
      <c r="CE1361" s="232"/>
      <c r="CF1361" s="232"/>
      <c r="CG1361" s="232"/>
      <c r="CH1361" s="232"/>
      <c r="CI1361" s="232"/>
      <c r="CJ1361" s="232"/>
      <c r="CK1361" s="232"/>
      <c r="CL1361" s="232"/>
      <c r="CM1361" s="232"/>
      <c r="CN1361" s="215"/>
      <c r="CO1361" s="215"/>
      <c r="CP1361" s="215"/>
      <c r="CQ1361" s="215"/>
      <c r="CR1361" s="215"/>
      <c r="CS1361" s="215"/>
      <c r="CT1361" s="215"/>
    </row>
    <row r="1362" ht="24.0" customHeight="1">
      <c r="A1362" s="287"/>
      <c r="B1362" s="287"/>
      <c r="C1362" s="287"/>
      <c r="D1362" s="232"/>
      <c r="E1362" s="232"/>
      <c r="F1362" s="232"/>
      <c r="G1362" s="232"/>
      <c r="H1362" s="232"/>
      <c r="I1362" s="232"/>
      <c r="J1362" s="232"/>
      <c r="K1362" s="232"/>
      <c r="L1362" s="232"/>
      <c r="M1362" s="232"/>
      <c r="N1362" s="289"/>
      <c r="O1362" s="232"/>
      <c r="P1362" s="232"/>
      <c r="Q1362" s="232"/>
      <c r="R1362" s="232"/>
      <c r="S1362" s="232"/>
      <c r="T1362" s="232"/>
      <c r="U1362" s="232"/>
      <c r="V1362" s="232"/>
      <c r="W1362" s="232"/>
      <c r="X1362" s="232"/>
      <c r="Y1362" s="232"/>
      <c r="Z1362" s="232"/>
      <c r="AA1362" s="232"/>
      <c r="AB1362" s="232"/>
      <c r="AC1362" s="232"/>
      <c r="AD1362" s="232"/>
      <c r="AE1362" s="232"/>
      <c r="AF1362" s="232"/>
      <c r="AG1362" s="232"/>
      <c r="AH1362" s="232"/>
      <c r="AI1362" s="232"/>
      <c r="AJ1362" s="232"/>
      <c r="AK1362" s="232"/>
      <c r="AL1362" s="232"/>
      <c r="AM1362" s="232"/>
      <c r="AN1362" s="232"/>
      <c r="AO1362" s="232"/>
      <c r="AP1362" s="232"/>
      <c r="AQ1362" s="232"/>
      <c r="AR1362" s="232"/>
      <c r="AS1362" s="232"/>
      <c r="AT1362" s="232"/>
      <c r="AU1362" s="232"/>
      <c r="AV1362" s="232"/>
      <c r="AW1362" s="232"/>
      <c r="AX1362" s="232"/>
      <c r="AY1362" s="232"/>
      <c r="AZ1362" s="232"/>
      <c r="BA1362" s="232"/>
      <c r="BB1362" s="232"/>
      <c r="BC1362" s="232"/>
      <c r="BD1362" s="232"/>
      <c r="BE1362" s="232"/>
      <c r="BF1362" s="232"/>
      <c r="BG1362" s="232"/>
      <c r="BH1362" s="232"/>
      <c r="BI1362" s="232"/>
      <c r="BJ1362" s="232"/>
      <c r="BK1362" s="232"/>
      <c r="BL1362" s="232"/>
      <c r="BM1362" s="232"/>
      <c r="BN1362" s="232"/>
      <c r="BO1362" s="232"/>
      <c r="BP1362" s="232"/>
      <c r="BQ1362" s="232"/>
      <c r="BR1362" s="232"/>
      <c r="BS1362" s="232"/>
      <c r="BT1362" s="232"/>
      <c r="BU1362" s="232"/>
      <c r="BV1362" s="232"/>
      <c r="BW1362" s="232"/>
      <c r="BX1362" s="232"/>
      <c r="BY1362" s="232"/>
      <c r="BZ1362" s="232"/>
      <c r="CA1362" s="232"/>
      <c r="CB1362" s="232"/>
      <c r="CC1362" s="232"/>
      <c r="CD1362" s="232"/>
      <c r="CE1362" s="232"/>
      <c r="CF1362" s="232"/>
      <c r="CG1362" s="232"/>
      <c r="CH1362" s="232"/>
      <c r="CI1362" s="232"/>
      <c r="CJ1362" s="232"/>
      <c r="CK1362" s="232"/>
      <c r="CL1362" s="232"/>
      <c r="CM1362" s="232"/>
      <c r="CN1362" s="215"/>
      <c r="CO1362" s="215"/>
      <c r="CP1362" s="215"/>
      <c r="CQ1362" s="215"/>
      <c r="CR1362" s="215"/>
      <c r="CS1362" s="215"/>
      <c r="CT1362" s="215"/>
    </row>
    <row r="1363" ht="24.0" customHeight="1">
      <c r="A1363" s="287"/>
      <c r="B1363" s="287"/>
      <c r="C1363" s="287"/>
      <c r="D1363" s="232"/>
      <c r="E1363" s="232"/>
      <c r="F1363" s="232"/>
      <c r="G1363" s="232"/>
      <c r="H1363" s="232"/>
      <c r="I1363" s="232"/>
      <c r="J1363" s="232"/>
      <c r="K1363" s="232"/>
      <c r="L1363" s="232"/>
      <c r="M1363" s="232"/>
      <c r="N1363" s="289"/>
      <c r="O1363" s="232"/>
      <c r="P1363" s="232"/>
      <c r="Q1363" s="232"/>
      <c r="R1363" s="232"/>
      <c r="S1363" s="232"/>
      <c r="T1363" s="232"/>
      <c r="U1363" s="232"/>
      <c r="V1363" s="232"/>
      <c r="W1363" s="232"/>
      <c r="X1363" s="232"/>
      <c r="Y1363" s="232"/>
      <c r="Z1363" s="232"/>
      <c r="AA1363" s="232"/>
      <c r="AB1363" s="232"/>
      <c r="AC1363" s="232"/>
      <c r="AD1363" s="232"/>
      <c r="AE1363" s="232"/>
      <c r="AF1363" s="232"/>
      <c r="AG1363" s="232"/>
      <c r="AH1363" s="232"/>
      <c r="AI1363" s="232"/>
      <c r="AJ1363" s="232"/>
      <c r="AK1363" s="232"/>
      <c r="AL1363" s="232"/>
      <c r="AM1363" s="232"/>
      <c r="AN1363" s="232"/>
      <c r="AO1363" s="232"/>
      <c r="AP1363" s="232"/>
      <c r="AQ1363" s="232"/>
      <c r="AR1363" s="232"/>
      <c r="AS1363" s="232"/>
      <c r="AT1363" s="232"/>
      <c r="AU1363" s="232"/>
      <c r="AV1363" s="232"/>
      <c r="AW1363" s="232"/>
      <c r="AX1363" s="232"/>
      <c r="AY1363" s="232"/>
      <c r="AZ1363" s="232"/>
      <c r="BA1363" s="232"/>
      <c r="BB1363" s="232"/>
      <c r="BC1363" s="232"/>
      <c r="BD1363" s="232"/>
      <c r="BE1363" s="232"/>
      <c r="BF1363" s="232"/>
      <c r="BG1363" s="232"/>
      <c r="BH1363" s="232"/>
      <c r="BI1363" s="232"/>
      <c r="BJ1363" s="232"/>
      <c r="BK1363" s="232"/>
      <c r="BL1363" s="232"/>
      <c r="BM1363" s="232"/>
      <c r="BN1363" s="232"/>
      <c r="BO1363" s="232"/>
      <c r="BP1363" s="232"/>
      <c r="BQ1363" s="232"/>
      <c r="BR1363" s="232"/>
      <c r="BS1363" s="232"/>
      <c r="BT1363" s="232"/>
      <c r="BU1363" s="232"/>
      <c r="BV1363" s="232"/>
      <c r="BW1363" s="232"/>
      <c r="BX1363" s="232"/>
      <c r="BY1363" s="232"/>
      <c r="BZ1363" s="232"/>
      <c r="CA1363" s="232"/>
      <c r="CB1363" s="232"/>
      <c r="CC1363" s="232"/>
      <c r="CD1363" s="232"/>
      <c r="CE1363" s="232"/>
      <c r="CF1363" s="232"/>
      <c r="CG1363" s="232"/>
      <c r="CH1363" s="232"/>
      <c r="CI1363" s="232"/>
      <c r="CJ1363" s="232"/>
      <c r="CK1363" s="232"/>
      <c r="CL1363" s="232"/>
      <c r="CM1363" s="232"/>
      <c r="CN1363" s="215"/>
      <c r="CO1363" s="215"/>
      <c r="CP1363" s="215"/>
      <c r="CQ1363" s="215"/>
      <c r="CR1363" s="215"/>
      <c r="CS1363" s="215"/>
      <c r="CT1363" s="215"/>
    </row>
    <row r="1364" ht="24.0" customHeight="1">
      <c r="A1364" s="287"/>
      <c r="B1364" s="287"/>
      <c r="C1364" s="287"/>
      <c r="D1364" s="232"/>
      <c r="E1364" s="232"/>
      <c r="F1364" s="232"/>
      <c r="G1364" s="232"/>
      <c r="H1364" s="232"/>
      <c r="I1364" s="232"/>
      <c r="J1364" s="232"/>
      <c r="K1364" s="232"/>
      <c r="L1364" s="232"/>
      <c r="M1364" s="232"/>
      <c r="N1364" s="289"/>
      <c r="O1364" s="232"/>
      <c r="P1364" s="232"/>
      <c r="Q1364" s="232"/>
      <c r="R1364" s="232"/>
      <c r="S1364" s="232"/>
      <c r="T1364" s="232"/>
      <c r="U1364" s="232"/>
      <c r="V1364" s="232"/>
      <c r="W1364" s="232"/>
      <c r="X1364" s="232"/>
      <c r="Y1364" s="232"/>
      <c r="Z1364" s="232"/>
      <c r="AA1364" s="232"/>
      <c r="AB1364" s="232"/>
      <c r="AC1364" s="232"/>
      <c r="AD1364" s="232"/>
      <c r="AE1364" s="232"/>
      <c r="AF1364" s="232"/>
      <c r="AG1364" s="232"/>
      <c r="AH1364" s="232"/>
      <c r="AI1364" s="232"/>
      <c r="AJ1364" s="232"/>
      <c r="AK1364" s="232"/>
      <c r="AL1364" s="232"/>
      <c r="AM1364" s="232"/>
      <c r="AN1364" s="232"/>
      <c r="AO1364" s="232"/>
      <c r="AP1364" s="232"/>
      <c r="AQ1364" s="232"/>
      <c r="AR1364" s="232"/>
      <c r="AS1364" s="232"/>
      <c r="AT1364" s="232"/>
      <c r="AU1364" s="232"/>
      <c r="AV1364" s="232"/>
      <c r="AW1364" s="232"/>
      <c r="AX1364" s="232"/>
      <c r="AY1364" s="232"/>
      <c r="AZ1364" s="232"/>
      <c r="BA1364" s="232"/>
      <c r="BB1364" s="232"/>
      <c r="BC1364" s="232"/>
      <c r="BD1364" s="232"/>
      <c r="BE1364" s="232"/>
      <c r="BF1364" s="232"/>
      <c r="BG1364" s="232"/>
      <c r="BH1364" s="232"/>
      <c r="BI1364" s="232"/>
      <c r="BJ1364" s="232"/>
      <c r="BK1364" s="232"/>
      <c r="BL1364" s="232"/>
      <c r="BM1364" s="232"/>
      <c r="BN1364" s="232"/>
      <c r="BO1364" s="232"/>
      <c r="BP1364" s="232"/>
      <c r="BQ1364" s="232"/>
      <c r="BR1364" s="232"/>
      <c r="BS1364" s="232"/>
      <c r="BT1364" s="232"/>
      <c r="BU1364" s="232"/>
      <c r="BV1364" s="232"/>
      <c r="BW1364" s="232"/>
      <c r="BX1364" s="232"/>
      <c r="BY1364" s="232"/>
      <c r="BZ1364" s="232"/>
      <c r="CA1364" s="232"/>
      <c r="CB1364" s="232"/>
      <c r="CC1364" s="232"/>
      <c r="CD1364" s="232"/>
      <c r="CE1364" s="232"/>
      <c r="CF1364" s="232"/>
      <c r="CG1364" s="232"/>
      <c r="CH1364" s="232"/>
      <c r="CI1364" s="232"/>
      <c r="CJ1364" s="232"/>
      <c r="CK1364" s="232"/>
      <c r="CL1364" s="232"/>
      <c r="CM1364" s="232"/>
      <c r="CN1364" s="215"/>
      <c r="CO1364" s="215"/>
      <c r="CP1364" s="215"/>
      <c r="CQ1364" s="215"/>
      <c r="CR1364" s="215"/>
      <c r="CS1364" s="215"/>
      <c r="CT1364" s="215"/>
    </row>
    <row r="1365" ht="24.0" customHeight="1">
      <c r="A1365" s="287"/>
      <c r="B1365" s="287"/>
      <c r="C1365" s="287"/>
      <c r="D1365" s="232"/>
      <c r="E1365" s="232"/>
      <c r="F1365" s="232"/>
      <c r="G1365" s="232"/>
      <c r="H1365" s="232"/>
      <c r="I1365" s="232"/>
      <c r="J1365" s="232"/>
      <c r="K1365" s="232"/>
      <c r="L1365" s="232"/>
      <c r="M1365" s="232"/>
      <c r="N1365" s="289"/>
      <c r="O1365" s="232"/>
      <c r="P1365" s="232"/>
      <c r="Q1365" s="232"/>
      <c r="R1365" s="232"/>
      <c r="S1365" s="232"/>
      <c r="T1365" s="232"/>
      <c r="U1365" s="232"/>
      <c r="V1365" s="232"/>
      <c r="W1365" s="232"/>
      <c r="X1365" s="232"/>
      <c r="Y1365" s="232"/>
      <c r="Z1365" s="232"/>
      <c r="AA1365" s="232"/>
      <c r="AB1365" s="232"/>
      <c r="AC1365" s="232"/>
      <c r="AD1365" s="232"/>
      <c r="AE1365" s="232"/>
      <c r="AF1365" s="232"/>
      <c r="AG1365" s="232"/>
      <c r="AH1365" s="232"/>
      <c r="AI1365" s="232"/>
      <c r="AJ1365" s="232"/>
      <c r="AK1365" s="232"/>
      <c r="AL1365" s="232"/>
      <c r="AM1365" s="232"/>
      <c r="AN1365" s="232"/>
      <c r="AO1365" s="232"/>
      <c r="AP1365" s="232"/>
      <c r="AQ1365" s="232"/>
      <c r="AR1365" s="232"/>
      <c r="AS1365" s="232"/>
      <c r="AT1365" s="232"/>
      <c r="AU1365" s="232"/>
      <c r="AV1365" s="232"/>
      <c r="AW1365" s="232"/>
      <c r="AX1365" s="232"/>
      <c r="AY1365" s="232"/>
      <c r="AZ1365" s="232"/>
      <c r="BA1365" s="232"/>
      <c r="BB1365" s="232"/>
      <c r="BC1365" s="232"/>
      <c r="BD1365" s="232"/>
      <c r="BE1365" s="232"/>
      <c r="BF1365" s="232"/>
      <c r="BG1365" s="232"/>
      <c r="BH1365" s="232"/>
      <c r="BI1365" s="232"/>
      <c r="BJ1365" s="232"/>
      <c r="BK1365" s="232"/>
      <c r="BL1365" s="232"/>
      <c r="BM1365" s="232"/>
      <c r="BN1365" s="232"/>
      <c r="BO1365" s="232"/>
      <c r="BP1365" s="232"/>
      <c r="BQ1365" s="232"/>
      <c r="BR1365" s="232"/>
      <c r="BS1365" s="232"/>
      <c r="BT1365" s="232"/>
      <c r="BU1365" s="232"/>
      <c r="BV1365" s="232"/>
      <c r="BW1365" s="232"/>
      <c r="BX1365" s="232"/>
      <c r="BY1365" s="232"/>
      <c r="BZ1365" s="232"/>
      <c r="CA1365" s="232"/>
      <c r="CB1365" s="232"/>
      <c r="CC1365" s="232"/>
      <c r="CD1365" s="232"/>
      <c r="CE1365" s="232"/>
      <c r="CF1365" s="232"/>
      <c r="CG1365" s="232"/>
      <c r="CH1365" s="232"/>
      <c r="CI1365" s="232"/>
      <c r="CJ1365" s="232"/>
      <c r="CK1365" s="232"/>
      <c r="CL1365" s="232"/>
      <c r="CM1365" s="232"/>
      <c r="CN1365" s="215"/>
      <c r="CO1365" s="215"/>
      <c r="CP1365" s="215"/>
      <c r="CQ1365" s="215"/>
      <c r="CR1365" s="215"/>
      <c r="CS1365" s="215"/>
      <c r="CT1365" s="215"/>
    </row>
    <row r="1366" ht="24.0" customHeight="1">
      <c r="A1366" s="287"/>
      <c r="B1366" s="287"/>
      <c r="C1366" s="287"/>
      <c r="D1366" s="232"/>
      <c r="E1366" s="232"/>
      <c r="F1366" s="232"/>
      <c r="G1366" s="232"/>
      <c r="H1366" s="232"/>
      <c r="I1366" s="232"/>
      <c r="J1366" s="232"/>
      <c r="K1366" s="232"/>
      <c r="L1366" s="232"/>
      <c r="M1366" s="232"/>
      <c r="N1366" s="289"/>
      <c r="O1366" s="232"/>
      <c r="P1366" s="232"/>
      <c r="Q1366" s="232"/>
      <c r="R1366" s="232"/>
      <c r="S1366" s="232"/>
      <c r="T1366" s="232"/>
      <c r="U1366" s="232"/>
      <c r="V1366" s="232"/>
      <c r="W1366" s="232"/>
      <c r="X1366" s="232"/>
      <c r="Y1366" s="232"/>
      <c r="Z1366" s="232"/>
      <c r="AA1366" s="232"/>
      <c r="AB1366" s="232"/>
      <c r="AC1366" s="232"/>
      <c r="AD1366" s="232"/>
      <c r="AE1366" s="232"/>
      <c r="AF1366" s="232"/>
      <c r="AG1366" s="232"/>
      <c r="AH1366" s="232"/>
      <c r="AI1366" s="232"/>
      <c r="AJ1366" s="232"/>
      <c r="AK1366" s="232"/>
      <c r="AL1366" s="232"/>
      <c r="AM1366" s="232"/>
      <c r="AN1366" s="232"/>
      <c r="AO1366" s="232"/>
      <c r="AP1366" s="232"/>
      <c r="AQ1366" s="232"/>
      <c r="AR1366" s="232"/>
      <c r="AS1366" s="232"/>
      <c r="AT1366" s="232"/>
      <c r="AU1366" s="232"/>
      <c r="AV1366" s="232"/>
      <c r="AW1366" s="232"/>
      <c r="AX1366" s="232"/>
      <c r="AY1366" s="232"/>
      <c r="AZ1366" s="232"/>
      <c r="BA1366" s="232"/>
      <c r="BB1366" s="232"/>
      <c r="BC1366" s="232"/>
      <c r="BD1366" s="232"/>
      <c r="BE1366" s="232"/>
      <c r="BF1366" s="232"/>
      <c r="BG1366" s="232"/>
      <c r="BH1366" s="232"/>
      <c r="BI1366" s="232"/>
      <c r="BJ1366" s="232"/>
      <c r="BK1366" s="232"/>
      <c r="BL1366" s="232"/>
      <c r="BM1366" s="232"/>
      <c r="BN1366" s="232"/>
      <c r="BO1366" s="232"/>
      <c r="BP1366" s="232"/>
      <c r="BQ1366" s="232"/>
      <c r="BR1366" s="232"/>
      <c r="BS1366" s="232"/>
      <c r="BT1366" s="232"/>
      <c r="BU1366" s="232"/>
      <c r="BV1366" s="232"/>
      <c r="BW1366" s="232"/>
      <c r="BX1366" s="232"/>
      <c r="BY1366" s="232"/>
      <c r="BZ1366" s="232"/>
      <c r="CA1366" s="232"/>
      <c r="CB1366" s="232"/>
      <c r="CC1366" s="232"/>
      <c r="CD1366" s="232"/>
      <c r="CE1366" s="232"/>
      <c r="CF1366" s="232"/>
      <c r="CG1366" s="232"/>
      <c r="CH1366" s="232"/>
      <c r="CI1366" s="232"/>
      <c r="CJ1366" s="232"/>
      <c r="CK1366" s="232"/>
      <c r="CL1366" s="232"/>
      <c r="CM1366" s="232"/>
      <c r="CN1366" s="215"/>
      <c r="CO1366" s="215"/>
      <c r="CP1366" s="215"/>
      <c r="CQ1366" s="215"/>
      <c r="CR1366" s="215"/>
      <c r="CS1366" s="215"/>
      <c r="CT1366" s="215"/>
    </row>
    <row r="1367" ht="24.0" customHeight="1">
      <c r="A1367" s="287"/>
      <c r="B1367" s="287"/>
      <c r="C1367" s="287"/>
      <c r="D1367" s="232"/>
      <c r="E1367" s="232"/>
      <c r="F1367" s="232"/>
      <c r="G1367" s="232"/>
      <c r="H1367" s="232"/>
      <c r="I1367" s="232"/>
      <c r="J1367" s="232"/>
      <c r="K1367" s="232"/>
      <c r="L1367" s="232"/>
      <c r="M1367" s="232"/>
      <c r="N1367" s="289"/>
      <c r="O1367" s="232"/>
      <c r="P1367" s="232"/>
      <c r="Q1367" s="232"/>
      <c r="R1367" s="232"/>
      <c r="S1367" s="232"/>
      <c r="T1367" s="232"/>
      <c r="U1367" s="232"/>
      <c r="V1367" s="232"/>
      <c r="W1367" s="232"/>
      <c r="X1367" s="232"/>
      <c r="Y1367" s="232"/>
      <c r="Z1367" s="232"/>
      <c r="AA1367" s="232"/>
      <c r="AB1367" s="232"/>
      <c r="AC1367" s="232"/>
      <c r="AD1367" s="232"/>
      <c r="AE1367" s="232"/>
      <c r="AF1367" s="232"/>
      <c r="AG1367" s="232"/>
      <c r="AH1367" s="232"/>
      <c r="AI1367" s="232"/>
      <c r="AJ1367" s="232"/>
      <c r="AK1367" s="232"/>
      <c r="AL1367" s="232"/>
      <c r="AM1367" s="232"/>
      <c r="AN1367" s="232"/>
      <c r="AO1367" s="232"/>
      <c r="AP1367" s="232"/>
      <c r="AQ1367" s="232"/>
      <c r="AR1367" s="232"/>
      <c r="AS1367" s="232"/>
      <c r="AT1367" s="232"/>
      <c r="AU1367" s="232"/>
      <c r="AV1367" s="232"/>
      <c r="AW1367" s="232"/>
      <c r="AX1367" s="232"/>
      <c r="AY1367" s="232"/>
      <c r="AZ1367" s="232"/>
      <c r="BA1367" s="232"/>
      <c r="BB1367" s="232"/>
      <c r="BC1367" s="232"/>
      <c r="BD1367" s="232"/>
      <c r="BE1367" s="232"/>
      <c r="BF1367" s="232"/>
      <c r="BG1367" s="232"/>
      <c r="BH1367" s="232"/>
      <c r="BI1367" s="232"/>
      <c r="BJ1367" s="232"/>
      <c r="BK1367" s="232"/>
      <c r="BL1367" s="232"/>
      <c r="BM1367" s="232"/>
      <c r="BN1367" s="232"/>
      <c r="BO1367" s="232"/>
      <c r="BP1367" s="232"/>
      <c r="BQ1367" s="232"/>
      <c r="BR1367" s="232"/>
      <c r="BS1367" s="232"/>
      <c r="BT1367" s="232"/>
      <c r="BU1367" s="232"/>
      <c r="BV1367" s="232"/>
      <c r="BW1367" s="232"/>
      <c r="BX1367" s="232"/>
      <c r="BY1367" s="232"/>
      <c r="BZ1367" s="232"/>
      <c r="CA1367" s="232"/>
      <c r="CB1367" s="232"/>
      <c r="CC1367" s="232"/>
      <c r="CD1367" s="232"/>
      <c r="CE1367" s="232"/>
      <c r="CF1367" s="232"/>
      <c r="CG1367" s="232"/>
      <c r="CH1367" s="232"/>
      <c r="CI1367" s="232"/>
      <c r="CJ1367" s="232"/>
      <c r="CK1367" s="232"/>
      <c r="CL1367" s="232"/>
      <c r="CM1367" s="232"/>
      <c r="CN1367" s="215"/>
      <c r="CO1367" s="215"/>
      <c r="CP1367" s="215"/>
      <c r="CQ1367" s="215"/>
      <c r="CR1367" s="215"/>
      <c r="CS1367" s="215"/>
      <c r="CT1367" s="215"/>
    </row>
    <row r="1368" ht="24.0" customHeight="1">
      <c r="A1368" s="287"/>
      <c r="B1368" s="287"/>
      <c r="C1368" s="287"/>
      <c r="D1368" s="232"/>
      <c r="E1368" s="232"/>
      <c r="F1368" s="232"/>
      <c r="G1368" s="232"/>
      <c r="H1368" s="232"/>
      <c r="I1368" s="232"/>
      <c r="J1368" s="232"/>
      <c r="K1368" s="232"/>
      <c r="L1368" s="232"/>
      <c r="M1368" s="232"/>
      <c r="N1368" s="289"/>
      <c r="O1368" s="232"/>
      <c r="P1368" s="232"/>
      <c r="Q1368" s="232"/>
      <c r="R1368" s="232"/>
      <c r="S1368" s="232"/>
      <c r="T1368" s="232"/>
      <c r="U1368" s="232"/>
      <c r="V1368" s="232"/>
      <c r="W1368" s="232"/>
      <c r="X1368" s="232"/>
      <c r="Y1368" s="232"/>
      <c r="Z1368" s="232"/>
      <c r="AA1368" s="232"/>
      <c r="AB1368" s="232"/>
      <c r="AC1368" s="232"/>
      <c r="AD1368" s="232"/>
      <c r="AE1368" s="232"/>
      <c r="AF1368" s="232"/>
      <c r="AG1368" s="232"/>
      <c r="AH1368" s="232"/>
      <c r="AI1368" s="232"/>
      <c r="AJ1368" s="232"/>
      <c r="AK1368" s="232"/>
      <c r="AL1368" s="232"/>
      <c r="AM1368" s="232"/>
      <c r="AN1368" s="232"/>
      <c r="AO1368" s="232"/>
      <c r="AP1368" s="232"/>
      <c r="AQ1368" s="232"/>
      <c r="AR1368" s="232"/>
      <c r="AS1368" s="232"/>
      <c r="AT1368" s="232"/>
      <c r="AU1368" s="232"/>
      <c r="AV1368" s="232"/>
      <c r="AW1368" s="232"/>
      <c r="AX1368" s="232"/>
      <c r="AY1368" s="232"/>
      <c r="AZ1368" s="232"/>
      <c r="BA1368" s="232"/>
      <c r="BB1368" s="232"/>
      <c r="BC1368" s="232"/>
      <c r="BD1368" s="232"/>
      <c r="BE1368" s="232"/>
      <c r="BF1368" s="232"/>
      <c r="BG1368" s="232"/>
      <c r="BH1368" s="232"/>
      <c r="BI1368" s="232"/>
      <c r="BJ1368" s="232"/>
      <c r="BK1368" s="232"/>
      <c r="BL1368" s="232"/>
      <c r="BM1368" s="232"/>
      <c r="BN1368" s="232"/>
      <c r="BO1368" s="232"/>
      <c r="BP1368" s="232"/>
      <c r="BQ1368" s="232"/>
      <c r="BR1368" s="232"/>
      <c r="BS1368" s="232"/>
      <c r="BT1368" s="232"/>
      <c r="BU1368" s="232"/>
      <c r="BV1368" s="232"/>
      <c r="BW1368" s="232"/>
      <c r="BX1368" s="232"/>
      <c r="BY1368" s="232"/>
      <c r="BZ1368" s="232"/>
      <c r="CA1368" s="232"/>
      <c r="CB1368" s="232"/>
      <c r="CC1368" s="232"/>
      <c r="CD1368" s="232"/>
      <c r="CE1368" s="232"/>
      <c r="CF1368" s="232"/>
      <c r="CG1368" s="232"/>
      <c r="CH1368" s="232"/>
      <c r="CI1368" s="232"/>
      <c r="CJ1368" s="232"/>
      <c r="CK1368" s="232"/>
      <c r="CL1368" s="232"/>
      <c r="CM1368" s="232"/>
      <c r="CN1368" s="215"/>
      <c r="CO1368" s="215"/>
      <c r="CP1368" s="215"/>
      <c r="CQ1368" s="215"/>
      <c r="CR1368" s="215"/>
      <c r="CS1368" s="215"/>
      <c r="CT1368" s="215"/>
    </row>
    <row r="1369" ht="24.0" customHeight="1">
      <c r="A1369" s="287"/>
      <c r="B1369" s="287"/>
      <c r="C1369" s="287"/>
      <c r="D1369" s="232"/>
      <c r="E1369" s="232"/>
      <c r="F1369" s="232"/>
      <c r="G1369" s="232"/>
      <c r="H1369" s="232"/>
      <c r="I1369" s="232"/>
      <c r="J1369" s="232"/>
      <c r="K1369" s="232"/>
      <c r="L1369" s="232"/>
      <c r="M1369" s="232"/>
      <c r="N1369" s="289"/>
      <c r="O1369" s="232"/>
      <c r="P1369" s="232"/>
      <c r="Q1369" s="232"/>
      <c r="R1369" s="232"/>
      <c r="S1369" s="232"/>
      <c r="T1369" s="232"/>
      <c r="U1369" s="232"/>
      <c r="V1369" s="232"/>
      <c r="W1369" s="232"/>
      <c r="X1369" s="232"/>
      <c r="Y1369" s="232"/>
      <c r="Z1369" s="232"/>
      <c r="AA1369" s="232"/>
      <c r="AB1369" s="232"/>
      <c r="AC1369" s="232"/>
      <c r="AD1369" s="232"/>
      <c r="AE1369" s="232"/>
      <c r="AF1369" s="232"/>
      <c r="AG1369" s="232"/>
      <c r="AH1369" s="232"/>
      <c r="AI1369" s="232"/>
      <c r="AJ1369" s="232"/>
      <c r="AK1369" s="232"/>
      <c r="AL1369" s="232"/>
      <c r="AM1369" s="232"/>
      <c r="AN1369" s="232"/>
      <c r="AO1369" s="232"/>
      <c r="AP1369" s="232"/>
      <c r="AQ1369" s="232"/>
      <c r="AR1369" s="232"/>
      <c r="AS1369" s="232"/>
      <c r="AT1369" s="232"/>
      <c r="AU1369" s="232"/>
      <c r="AV1369" s="232"/>
      <c r="AW1369" s="232"/>
      <c r="AX1369" s="232"/>
      <c r="AY1369" s="232"/>
      <c r="AZ1369" s="232"/>
      <c r="BA1369" s="232"/>
      <c r="BB1369" s="232"/>
      <c r="BC1369" s="232"/>
      <c r="BD1369" s="232"/>
      <c r="BE1369" s="232"/>
      <c r="BF1369" s="232"/>
      <c r="BG1369" s="232"/>
      <c r="BH1369" s="232"/>
      <c r="BI1369" s="232"/>
      <c r="BJ1369" s="232"/>
      <c r="BK1369" s="232"/>
      <c r="BL1369" s="232"/>
      <c r="BM1369" s="232"/>
      <c r="BN1369" s="232"/>
      <c r="BO1369" s="232"/>
      <c r="BP1369" s="232"/>
      <c r="BQ1369" s="232"/>
      <c r="BR1369" s="232"/>
      <c r="BS1369" s="232"/>
      <c r="BT1369" s="232"/>
      <c r="BU1369" s="232"/>
      <c r="BV1369" s="232"/>
      <c r="BW1369" s="232"/>
      <c r="BX1369" s="232"/>
      <c r="BY1369" s="232"/>
      <c r="BZ1369" s="232"/>
      <c r="CA1369" s="232"/>
      <c r="CB1369" s="232"/>
      <c r="CC1369" s="232"/>
      <c r="CD1369" s="232"/>
      <c r="CE1369" s="232"/>
      <c r="CF1369" s="232"/>
      <c r="CG1369" s="232"/>
      <c r="CH1369" s="232"/>
      <c r="CI1369" s="232"/>
      <c r="CJ1369" s="232"/>
      <c r="CK1369" s="232"/>
      <c r="CL1369" s="232"/>
      <c r="CM1369" s="232"/>
      <c r="CN1369" s="215"/>
      <c r="CO1369" s="215"/>
      <c r="CP1369" s="215"/>
      <c r="CQ1369" s="215"/>
      <c r="CR1369" s="215"/>
      <c r="CS1369" s="215"/>
      <c r="CT1369" s="215"/>
    </row>
    <row r="1370" ht="24.0" customHeight="1">
      <c r="A1370" s="287"/>
      <c r="B1370" s="287"/>
      <c r="C1370" s="287"/>
      <c r="D1370" s="232"/>
      <c r="E1370" s="232"/>
      <c r="F1370" s="232"/>
      <c r="G1370" s="232"/>
      <c r="H1370" s="232"/>
      <c r="I1370" s="232"/>
      <c r="J1370" s="232"/>
      <c r="K1370" s="232"/>
      <c r="L1370" s="232"/>
      <c r="M1370" s="232"/>
      <c r="N1370" s="289"/>
      <c r="O1370" s="232"/>
      <c r="P1370" s="232"/>
      <c r="Q1370" s="232"/>
      <c r="R1370" s="232"/>
      <c r="S1370" s="232"/>
      <c r="T1370" s="232"/>
      <c r="U1370" s="232"/>
      <c r="V1370" s="232"/>
      <c r="W1370" s="232"/>
      <c r="X1370" s="232"/>
      <c r="Y1370" s="232"/>
      <c r="Z1370" s="232"/>
      <c r="AA1370" s="232"/>
      <c r="AB1370" s="232"/>
      <c r="AC1370" s="232"/>
      <c r="AD1370" s="232"/>
      <c r="AE1370" s="232"/>
      <c r="AF1370" s="232"/>
      <c r="AG1370" s="232"/>
      <c r="AH1370" s="232"/>
      <c r="AI1370" s="232"/>
      <c r="AJ1370" s="232"/>
      <c r="AK1370" s="232"/>
      <c r="AL1370" s="232"/>
      <c r="AM1370" s="232"/>
      <c r="AN1370" s="232"/>
      <c r="AO1370" s="232"/>
      <c r="AP1370" s="232"/>
      <c r="AQ1370" s="232"/>
      <c r="AR1370" s="232"/>
      <c r="AS1370" s="232"/>
      <c r="AT1370" s="232"/>
      <c r="AU1370" s="232"/>
      <c r="AV1370" s="232"/>
      <c r="AW1370" s="232"/>
      <c r="AX1370" s="232"/>
      <c r="AY1370" s="232"/>
      <c r="AZ1370" s="232"/>
      <c r="BA1370" s="232"/>
      <c r="BB1370" s="232"/>
      <c r="BC1370" s="232"/>
      <c r="BD1370" s="232"/>
      <c r="BE1370" s="232"/>
      <c r="BF1370" s="232"/>
      <c r="BG1370" s="232"/>
      <c r="BH1370" s="232"/>
      <c r="BI1370" s="232"/>
      <c r="BJ1370" s="232"/>
      <c r="BK1370" s="232"/>
      <c r="BL1370" s="232"/>
      <c r="BM1370" s="232"/>
      <c r="BN1370" s="232"/>
      <c r="BO1370" s="232"/>
      <c r="BP1370" s="232"/>
      <c r="BQ1370" s="232"/>
      <c r="BR1370" s="232"/>
      <c r="BS1370" s="232"/>
      <c r="BT1370" s="232"/>
      <c r="BU1370" s="232"/>
      <c r="BV1370" s="232"/>
      <c r="BW1370" s="232"/>
      <c r="BX1370" s="232"/>
      <c r="BY1370" s="232"/>
      <c r="BZ1370" s="232"/>
      <c r="CA1370" s="232"/>
      <c r="CB1370" s="232"/>
      <c r="CC1370" s="232"/>
      <c r="CD1370" s="232"/>
      <c r="CE1370" s="232"/>
      <c r="CF1370" s="232"/>
      <c r="CG1370" s="232"/>
      <c r="CH1370" s="232"/>
      <c r="CI1370" s="232"/>
      <c r="CJ1370" s="232"/>
      <c r="CK1370" s="232"/>
      <c r="CL1370" s="232"/>
      <c r="CM1370" s="232"/>
      <c r="CN1370" s="215"/>
      <c r="CO1370" s="215"/>
      <c r="CP1370" s="215"/>
      <c r="CQ1370" s="215"/>
      <c r="CR1370" s="215"/>
      <c r="CS1370" s="215"/>
      <c r="CT1370" s="215"/>
    </row>
    <row r="1371" ht="24.0" customHeight="1">
      <c r="A1371" s="287"/>
      <c r="B1371" s="287"/>
      <c r="C1371" s="287"/>
      <c r="D1371" s="232"/>
      <c r="E1371" s="232"/>
      <c r="F1371" s="232"/>
      <c r="G1371" s="232"/>
      <c r="H1371" s="232"/>
      <c r="I1371" s="232"/>
      <c r="J1371" s="232"/>
      <c r="K1371" s="232"/>
      <c r="L1371" s="232"/>
      <c r="M1371" s="232"/>
      <c r="N1371" s="289"/>
      <c r="O1371" s="232"/>
      <c r="P1371" s="232"/>
      <c r="Q1371" s="232"/>
      <c r="R1371" s="232"/>
      <c r="S1371" s="232"/>
      <c r="T1371" s="232"/>
      <c r="U1371" s="232"/>
      <c r="V1371" s="232"/>
      <c r="W1371" s="232"/>
      <c r="X1371" s="232"/>
      <c r="Y1371" s="232"/>
      <c r="Z1371" s="232"/>
      <c r="AA1371" s="232"/>
      <c r="AB1371" s="232"/>
      <c r="AC1371" s="232"/>
      <c r="AD1371" s="232"/>
      <c r="AE1371" s="232"/>
      <c r="AF1371" s="232"/>
      <c r="AG1371" s="232"/>
      <c r="AH1371" s="232"/>
      <c r="AI1371" s="232"/>
      <c r="AJ1371" s="232"/>
      <c r="AK1371" s="232"/>
      <c r="AL1371" s="232"/>
      <c r="AM1371" s="232"/>
      <c r="AN1371" s="232"/>
      <c r="AO1371" s="232"/>
      <c r="AP1371" s="232"/>
      <c r="AQ1371" s="232"/>
      <c r="AR1371" s="232"/>
      <c r="AS1371" s="232"/>
      <c r="AT1371" s="232"/>
      <c r="AU1371" s="232"/>
      <c r="AV1371" s="232"/>
      <c r="AW1371" s="232"/>
      <c r="AX1371" s="232"/>
      <c r="AY1371" s="232"/>
      <c r="AZ1371" s="232"/>
      <c r="BA1371" s="232"/>
      <c r="BB1371" s="232"/>
      <c r="BC1371" s="232"/>
      <c r="BD1371" s="232"/>
      <c r="BE1371" s="232"/>
      <c r="BF1371" s="232"/>
      <c r="BG1371" s="232"/>
      <c r="BH1371" s="232"/>
      <c r="BI1371" s="232"/>
      <c r="BJ1371" s="232"/>
      <c r="BK1371" s="232"/>
      <c r="BL1371" s="232"/>
      <c r="BM1371" s="232"/>
      <c r="BN1371" s="232"/>
      <c r="BO1371" s="232"/>
      <c r="BP1371" s="232"/>
      <c r="BQ1371" s="232"/>
      <c r="BR1371" s="232"/>
      <c r="BS1371" s="232"/>
      <c r="BT1371" s="232"/>
      <c r="BU1371" s="232"/>
      <c r="BV1371" s="232"/>
      <c r="BW1371" s="232"/>
      <c r="BX1371" s="232"/>
      <c r="BY1371" s="232"/>
      <c r="BZ1371" s="232"/>
      <c r="CA1371" s="232"/>
      <c r="CB1371" s="232"/>
      <c r="CC1371" s="232"/>
      <c r="CD1371" s="232"/>
      <c r="CE1371" s="232"/>
      <c r="CF1371" s="232"/>
      <c r="CG1371" s="232"/>
      <c r="CH1371" s="232"/>
      <c r="CI1371" s="232"/>
      <c r="CJ1371" s="232"/>
      <c r="CK1371" s="232"/>
      <c r="CL1371" s="232"/>
      <c r="CM1371" s="232"/>
      <c r="CN1371" s="215"/>
      <c r="CO1371" s="215"/>
      <c r="CP1371" s="215"/>
      <c r="CQ1371" s="215"/>
      <c r="CR1371" s="215"/>
      <c r="CS1371" s="215"/>
      <c r="CT1371" s="215"/>
    </row>
    <row r="1372" ht="24.0" customHeight="1">
      <c r="A1372" s="287"/>
      <c r="B1372" s="287"/>
      <c r="C1372" s="287"/>
      <c r="D1372" s="232"/>
      <c r="E1372" s="232"/>
      <c r="F1372" s="232"/>
      <c r="G1372" s="232"/>
      <c r="H1372" s="232"/>
      <c r="I1372" s="232"/>
      <c r="J1372" s="232"/>
      <c r="K1372" s="232"/>
      <c r="L1372" s="232"/>
      <c r="M1372" s="232"/>
      <c r="N1372" s="289"/>
      <c r="O1372" s="232"/>
      <c r="P1372" s="232"/>
      <c r="Q1372" s="232"/>
      <c r="R1372" s="232"/>
      <c r="S1372" s="232"/>
      <c r="T1372" s="232"/>
      <c r="U1372" s="232"/>
      <c r="V1372" s="232"/>
      <c r="W1372" s="232"/>
      <c r="X1372" s="232"/>
      <c r="Y1372" s="232"/>
      <c r="Z1372" s="232"/>
      <c r="AA1372" s="232"/>
      <c r="AB1372" s="232"/>
      <c r="AC1372" s="232"/>
      <c r="AD1372" s="232"/>
      <c r="AE1372" s="232"/>
      <c r="AF1372" s="232"/>
      <c r="AG1372" s="232"/>
      <c r="AH1372" s="232"/>
      <c r="AI1372" s="232"/>
      <c r="AJ1372" s="232"/>
      <c r="AK1372" s="232"/>
      <c r="AL1372" s="232"/>
      <c r="AM1372" s="232"/>
      <c r="AN1372" s="232"/>
      <c r="AO1372" s="232"/>
      <c r="AP1372" s="232"/>
      <c r="AQ1372" s="232"/>
      <c r="AR1372" s="232"/>
      <c r="AS1372" s="232"/>
      <c r="AT1372" s="232"/>
      <c r="AU1372" s="232"/>
      <c r="AV1372" s="232"/>
      <c r="AW1372" s="232"/>
      <c r="AX1372" s="232"/>
      <c r="AY1372" s="232"/>
      <c r="AZ1372" s="232"/>
      <c r="BA1372" s="232"/>
      <c r="BB1372" s="232"/>
      <c r="BC1372" s="232"/>
      <c r="BD1372" s="232"/>
      <c r="BE1372" s="232"/>
      <c r="BF1372" s="232"/>
      <c r="BG1372" s="232"/>
      <c r="BH1372" s="232"/>
      <c r="BI1372" s="232"/>
      <c r="BJ1372" s="232"/>
      <c r="BK1372" s="232"/>
      <c r="BL1372" s="232"/>
      <c r="BM1372" s="232"/>
      <c r="BN1372" s="232"/>
      <c r="BO1372" s="232"/>
      <c r="BP1372" s="232"/>
      <c r="BQ1372" s="232"/>
      <c r="BR1372" s="232"/>
      <c r="BS1372" s="232"/>
      <c r="BT1372" s="232"/>
      <c r="BU1372" s="232"/>
      <c r="BV1372" s="232"/>
      <c r="BW1372" s="232"/>
      <c r="BX1372" s="232"/>
      <c r="BY1372" s="232"/>
      <c r="BZ1372" s="232"/>
      <c r="CA1372" s="232"/>
      <c r="CB1372" s="232"/>
      <c r="CC1372" s="232"/>
      <c r="CD1372" s="232"/>
      <c r="CE1372" s="232"/>
      <c r="CF1372" s="232"/>
      <c r="CG1372" s="232"/>
      <c r="CH1372" s="232"/>
      <c r="CI1372" s="232"/>
      <c r="CJ1372" s="232"/>
      <c r="CK1372" s="232"/>
      <c r="CL1372" s="232"/>
      <c r="CM1372" s="232"/>
      <c r="CN1372" s="215"/>
      <c r="CO1372" s="215"/>
      <c r="CP1372" s="215"/>
      <c r="CQ1372" s="215"/>
      <c r="CR1372" s="215"/>
      <c r="CS1372" s="215"/>
      <c r="CT1372" s="215"/>
    </row>
    <row r="1373" ht="24.0" customHeight="1">
      <c r="A1373" s="287"/>
      <c r="B1373" s="287"/>
      <c r="C1373" s="287"/>
      <c r="D1373" s="232"/>
      <c r="E1373" s="232"/>
      <c r="F1373" s="232"/>
      <c r="G1373" s="232"/>
      <c r="H1373" s="232"/>
      <c r="I1373" s="232"/>
      <c r="J1373" s="232"/>
      <c r="K1373" s="232"/>
      <c r="L1373" s="232"/>
      <c r="M1373" s="232"/>
      <c r="N1373" s="289"/>
      <c r="O1373" s="232"/>
      <c r="P1373" s="232"/>
      <c r="Q1373" s="232"/>
      <c r="R1373" s="232"/>
      <c r="S1373" s="232"/>
      <c r="T1373" s="232"/>
      <c r="U1373" s="232"/>
      <c r="V1373" s="232"/>
      <c r="W1373" s="232"/>
      <c r="X1373" s="232"/>
      <c r="Y1373" s="232"/>
      <c r="Z1373" s="232"/>
      <c r="AA1373" s="232"/>
      <c r="AB1373" s="232"/>
      <c r="AC1373" s="232"/>
      <c r="AD1373" s="232"/>
      <c r="AE1373" s="232"/>
      <c r="AF1373" s="232"/>
      <c r="AG1373" s="232"/>
      <c r="AH1373" s="232"/>
      <c r="AI1373" s="232"/>
      <c r="AJ1373" s="232"/>
      <c r="AK1373" s="232"/>
      <c r="AL1373" s="232"/>
      <c r="AM1373" s="232"/>
      <c r="AN1373" s="232"/>
      <c r="AO1373" s="232"/>
      <c r="AP1373" s="232"/>
      <c r="AQ1373" s="232"/>
      <c r="AR1373" s="232"/>
      <c r="AS1373" s="232"/>
      <c r="AT1373" s="232"/>
      <c r="AU1373" s="232"/>
      <c r="AV1373" s="232"/>
      <c r="AW1373" s="232"/>
      <c r="AX1373" s="232"/>
      <c r="AY1373" s="232"/>
      <c r="AZ1373" s="232"/>
      <c r="BA1373" s="232"/>
      <c r="BB1373" s="232"/>
      <c r="BC1373" s="232"/>
      <c r="BD1373" s="232"/>
      <c r="BE1373" s="232"/>
      <c r="BF1373" s="232"/>
      <c r="BG1373" s="232"/>
      <c r="BH1373" s="232"/>
      <c r="BI1373" s="232"/>
      <c r="BJ1373" s="232"/>
      <c r="BK1373" s="232"/>
      <c r="BL1373" s="232"/>
      <c r="BM1373" s="232"/>
      <c r="BN1373" s="232"/>
      <c r="BO1373" s="232"/>
      <c r="BP1373" s="232"/>
      <c r="BQ1373" s="232"/>
      <c r="BR1373" s="232"/>
      <c r="BS1373" s="232"/>
      <c r="BT1373" s="232"/>
      <c r="BU1373" s="232"/>
      <c r="BV1373" s="232"/>
      <c r="BW1373" s="232"/>
      <c r="BX1373" s="232"/>
      <c r="BY1373" s="232"/>
      <c r="BZ1373" s="232"/>
      <c r="CA1373" s="232"/>
      <c r="CB1373" s="232"/>
      <c r="CC1373" s="232"/>
      <c r="CD1373" s="232"/>
      <c r="CE1373" s="232"/>
      <c r="CF1373" s="232"/>
      <c r="CG1373" s="232"/>
      <c r="CH1373" s="232"/>
      <c r="CI1373" s="232"/>
      <c r="CJ1373" s="232"/>
      <c r="CK1373" s="232"/>
      <c r="CL1373" s="232"/>
      <c r="CM1373" s="232"/>
      <c r="CN1373" s="215"/>
      <c r="CO1373" s="215"/>
      <c r="CP1373" s="215"/>
      <c r="CQ1373" s="215"/>
      <c r="CR1373" s="215"/>
      <c r="CS1373" s="215"/>
      <c r="CT1373" s="215"/>
    </row>
    <row r="1374" ht="24.0" customHeight="1">
      <c r="A1374" s="287"/>
      <c r="B1374" s="287"/>
      <c r="C1374" s="287"/>
      <c r="D1374" s="232"/>
      <c r="E1374" s="232"/>
      <c r="F1374" s="232"/>
      <c r="G1374" s="232"/>
      <c r="H1374" s="232"/>
      <c r="I1374" s="232"/>
      <c r="J1374" s="232"/>
      <c r="K1374" s="232"/>
      <c r="L1374" s="232"/>
      <c r="M1374" s="232"/>
      <c r="N1374" s="289"/>
      <c r="O1374" s="232"/>
      <c r="P1374" s="232"/>
      <c r="Q1374" s="232"/>
      <c r="R1374" s="232"/>
      <c r="S1374" s="232"/>
      <c r="T1374" s="232"/>
      <c r="U1374" s="232"/>
      <c r="V1374" s="232"/>
      <c r="W1374" s="232"/>
      <c r="X1374" s="232"/>
      <c r="Y1374" s="232"/>
      <c r="Z1374" s="232"/>
      <c r="AA1374" s="232"/>
      <c r="AB1374" s="232"/>
      <c r="AC1374" s="232"/>
      <c r="AD1374" s="232"/>
      <c r="AE1374" s="232"/>
      <c r="AF1374" s="232"/>
      <c r="AG1374" s="232"/>
      <c r="AH1374" s="232"/>
      <c r="AI1374" s="232"/>
      <c r="AJ1374" s="232"/>
      <c r="AK1374" s="232"/>
      <c r="AL1374" s="232"/>
      <c r="AM1374" s="232"/>
      <c r="AN1374" s="232"/>
      <c r="AO1374" s="232"/>
      <c r="AP1374" s="232"/>
      <c r="AQ1374" s="232"/>
      <c r="AR1374" s="232"/>
      <c r="AS1374" s="232"/>
      <c r="AT1374" s="232"/>
      <c r="AU1374" s="232"/>
      <c r="AV1374" s="232"/>
      <c r="AW1374" s="232"/>
      <c r="AX1374" s="232"/>
      <c r="AY1374" s="232"/>
      <c r="AZ1374" s="232"/>
      <c r="BA1374" s="232"/>
      <c r="BB1374" s="232"/>
      <c r="BC1374" s="232"/>
      <c r="BD1374" s="232"/>
      <c r="BE1374" s="232"/>
      <c r="BF1374" s="232"/>
      <c r="BG1374" s="232"/>
      <c r="BH1374" s="232"/>
      <c r="BI1374" s="232"/>
      <c r="BJ1374" s="232"/>
      <c r="BK1374" s="232"/>
      <c r="BL1374" s="232"/>
      <c r="BM1374" s="232"/>
      <c r="BN1374" s="232"/>
      <c r="BO1374" s="232"/>
      <c r="BP1374" s="232"/>
      <c r="BQ1374" s="232"/>
      <c r="BR1374" s="232"/>
      <c r="BS1374" s="232"/>
      <c r="BT1374" s="232"/>
      <c r="BU1374" s="232"/>
      <c r="BV1374" s="232"/>
      <c r="BW1374" s="232"/>
      <c r="BX1374" s="232"/>
      <c r="BY1374" s="232"/>
      <c r="BZ1374" s="232"/>
      <c r="CA1374" s="232"/>
      <c r="CB1374" s="232"/>
      <c r="CC1374" s="232"/>
      <c r="CD1374" s="232"/>
      <c r="CE1374" s="232"/>
      <c r="CF1374" s="232"/>
      <c r="CG1374" s="232"/>
      <c r="CH1374" s="232"/>
      <c r="CI1374" s="232"/>
      <c r="CJ1374" s="232"/>
      <c r="CK1374" s="232"/>
      <c r="CL1374" s="232"/>
      <c r="CM1374" s="232"/>
      <c r="CN1374" s="215"/>
      <c r="CO1374" s="215"/>
      <c r="CP1374" s="215"/>
      <c r="CQ1374" s="215"/>
      <c r="CR1374" s="215"/>
      <c r="CS1374" s="215"/>
      <c r="CT1374" s="215"/>
    </row>
    <row r="1375" ht="24.0" customHeight="1">
      <c r="A1375" s="287"/>
      <c r="B1375" s="287"/>
      <c r="C1375" s="287"/>
      <c r="D1375" s="232"/>
      <c r="E1375" s="232"/>
      <c r="F1375" s="232"/>
      <c r="G1375" s="232"/>
      <c r="H1375" s="232"/>
      <c r="I1375" s="232"/>
      <c r="J1375" s="232"/>
      <c r="K1375" s="232"/>
      <c r="L1375" s="232"/>
      <c r="M1375" s="232"/>
      <c r="N1375" s="289"/>
      <c r="O1375" s="232"/>
      <c r="P1375" s="232"/>
      <c r="Q1375" s="232"/>
      <c r="R1375" s="232"/>
      <c r="S1375" s="232"/>
      <c r="T1375" s="232"/>
      <c r="U1375" s="232"/>
      <c r="V1375" s="232"/>
      <c r="W1375" s="232"/>
      <c r="X1375" s="232"/>
      <c r="Y1375" s="232"/>
      <c r="Z1375" s="232"/>
      <c r="AA1375" s="232"/>
      <c r="AB1375" s="232"/>
      <c r="AC1375" s="232"/>
      <c r="AD1375" s="232"/>
      <c r="AE1375" s="232"/>
      <c r="AF1375" s="232"/>
      <c r="AG1375" s="232"/>
      <c r="AH1375" s="232"/>
      <c r="AI1375" s="232"/>
      <c r="AJ1375" s="232"/>
      <c r="AK1375" s="232"/>
      <c r="AL1375" s="232"/>
      <c r="AM1375" s="232"/>
      <c r="AN1375" s="232"/>
      <c r="AO1375" s="232"/>
      <c r="AP1375" s="232"/>
      <c r="AQ1375" s="232"/>
      <c r="AR1375" s="232"/>
      <c r="AS1375" s="232"/>
      <c r="AT1375" s="232"/>
      <c r="AU1375" s="232"/>
      <c r="AV1375" s="232"/>
      <c r="AW1375" s="232"/>
      <c r="AX1375" s="232"/>
      <c r="AY1375" s="232"/>
      <c r="AZ1375" s="232"/>
      <c r="BA1375" s="232"/>
      <c r="BB1375" s="232"/>
      <c r="BC1375" s="232"/>
      <c r="BD1375" s="232"/>
      <c r="BE1375" s="232"/>
      <c r="BF1375" s="232"/>
      <c r="BG1375" s="232"/>
      <c r="BH1375" s="232"/>
      <c r="BI1375" s="232"/>
      <c r="BJ1375" s="232"/>
      <c r="BK1375" s="232"/>
      <c r="BL1375" s="232"/>
      <c r="BM1375" s="232"/>
      <c r="BN1375" s="232"/>
      <c r="BO1375" s="232"/>
      <c r="BP1375" s="232"/>
      <c r="BQ1375" s="232"/>
      <c r="BR1375" s="232"/>
      <c r="BS1375" s="232"/>
      <c r="BT1375" s="232"/>
      <c r="BU1375" s="232"/>
      <c r="BV1375" s="232"/>
      <c r="BW1375" s="232"/>
      <c r="BX1375" s="232"/>
      <c r="BY1375" s="232"/>
      <c r="BZ1375" s="232"/>
      <c r="CA1375" s="232"/>
      <c r="CB1375" s="232"/>
      <c r="CC1375" s="232"/>
      <c r="CD1375" s="232"/>
      <c r="CE1375" s="232"/>
      <c r="CF1375" s="232"/>
      <c r="CG1375" s="232"/>
      <c r="CH1375" s="232"/>
      <c r="CI1375" s="232"/>
      <c r="CJ1375" s="232"/>
      <c r="CK1375" s="232"/>
      <c r="CL1375" s="232"/>
      <c r="CM1375" s="232"/>
      <c r="CN1375" s="215"/>
      <c r="CO1375" s="215"/>
      <c r="CP1375" s="215"/>
      <c r="CQ1375" s="215"/>
      <c r="CR1375" s="215"/>
      <c r="CS1375" s="215"/>
      <c r="CT1375" s="215"/>
    </row>
    <row r="1376" ht="24.0" customHeight="1">
      <c r="A1376" s="287"/>
      <c r="B1376" s="287"/>
      <c r="C1376" s="287"/>
      <c r="D1376" s="232"/>
      <c r="E1376" s="232"/>
      <c r="F1376" s="232"/>
      <c r="G1376" s="232"/>
      <c r="H1376" s="232"/>
      <c r="I1376" s="232"/>
      <c r="J1376" s="232"/>
      <c r="K1376" s="232"/>
      <c r="L1376" s="232"/>
      <c r="M1376" s="232"/>
      <c r="N1376" s="289"/>
      <c r="O1376" s="232"/>
      <c r="P1376" s="232"/>
      <c r="Q1376" s="232"/>
      <c r="R1376" s="232"/>
      <c r="S1376" s="232"/>
      <c r="T1376" s="232"/>
      <c r="U1376" s="232"/>
      <c r="V1376" s="232"/>
      <c r="W1376" s="232"/>
      <c r="X1376" s="232"/>
      <c r="Y1376" s="232"/>
      <c r="Z1376" s="232"/>
      <c r="AA1376" s="232"/>
      <c r="AB1376" s="232"/>
      <c r="AC1376" s="232"/>
      <c r="AD1376" s="232"/>
      <c r="AE1376" s="232"/>
      <c r="AF1376" s="232"/>
      <c r="AG1376" s="232"/>
      <c r="AH1376" s="232"/>
      <c r="AI1376" s="232"/>
      <c r="AJ1376" s="232"/>
      <c r="AK1376" s="232"/>
      <c r="AL1376" s="232"/>
      <c r="AM1376" s="232"/>
      <c r="AN1376" s="232"/>
      <c r="AO1376" s="232"/>
      <c r="AP1376" s="232"/>
      <c r="AQ1376" s="232"/>
      <c r="AR1376" s="232"/>
      <c r="AS1376" s="232"/>
      <c r="AT1376" s="232"/>
      <c r="AU1376" s="232"/>
      <c r="AV1376" s="232"/>
      <c r="AW1376" s="232"/>
      <c r="AX1376" s="232"/>
      <c r="AY1376" s="232"/>
      <c r="AZ1376" s="232"/>
      <c r="BA1376" s="232"/>
      <c r="BB1376" s="232"/>
      <c r="BC1376" s="232"/>
      <c r="BD1376" s="232"/>
      <c r="BE1376" s="232"/>
      <c r="BF1376" s="232"/>
      <c r="BG1376" s="232"/>
      <c r="BH1376" s="232"/>
      <c r="BI1376" s="232"/>
      <c r="BJ1376" s="232"/>
      <c r="BK1376" s="232"/>
      <c r="BL1376" s="232"/>
      <c r="BM1376" s="232"/>
      <c r="BN1376" s="232"/>
      <c r="BO1376" s="232"/>
      <c r="BP1376" s="232"/>
      <c r="BQ1376" s="232"/>
      <c r="BR1376" s="232"/>
      <c r="BS1376" s="232"/>
      <c r="BT1376" s="232"/>
      <c r="BU1376" s="232"/>
      <c r="BV1376" s="232"/>
      <c r="BW1376" s="232"/>
      <c r="BX1376" s="232"/>
      <c r="BY1376" s="232"/>
      <c r="BZ1376" s="232"/>
      <c r="CA1376" s="232"/>
      <c r="CB1376" s="232"/>
      <c r="CC1376" s="232"/>
      <c r="CD1376" s="232"/>
      <c r="CE1376" s="232"/>
      <c r="CF1376" s="232"/>
      <c r="CG1376" s="232"/>
      <c r="CH1376" s="232"/>
      <c r="CI1376" s="232"/>
      <c r="CJ1376" s="232"/>
      <c r="CK1376" s="232"/>
      <c r="CL1376" s="232"/>
      <c r="CM1376" s="232"/>
      <c r="CN1376" s="215"/>
      <c r="CO1376" s="215"/>
      <c r="CP1376" s="215"/>
      <c r="CQ1376" s="215"/>
      <c r="CR1376" s="215"/>
      <c r="CS1376" s="215"/>
      <c r="CT1376" s="215"/>
    </row>
    <row r="1377" ht="24.0" customHeight="1">
      <c r="A1377" s="287"/>
      <c r="B1377" s="287"/>
      <c r="C1377" s="287"/>
      <c r="D1377" s="232"/>
      <c r="E1377" s="232"/>
      <c r="F1377" s="232"/>
      <c r="G1377" s="232"/>
      <c r="H1377" s="232"/>
      <c r="I1377" s="232"/>
      <c r="J1377" s="232"/>
      <c r="K1377" s="232"/>
      <c r="L1377" s="232"/>
      <c r="M1377" s="232"/>
      <c r="N1377" s="289"/>
      <c r="O1377" s="232"/>
      <c r="P1377" s="232"/>
      <c r="Q1377" s="232"/>
      <c r="R1377" s="232"/>
      <c r="S1377" s="232"/>
      <c r="T1377" s="232"/>
      <c r="U1377" s="232"/>
      <c r="V1377" s="232"/>
      <c r="W1377" s="232"/>
      <c r="X1377" s="232"/>
      <c r="Y1377" s="232"/>
      <c r="Z1377" s="232"/>
      <c r="AA1377" s="232"/>
      <c r="AB1377" s="232"/>
      <c r="AC1377" s="232"/>
      <c r="AD1377" s="232"/>
      <c r="AE1377" s="232"/>
      <c r="AF1377" s="232"/>
      <c r="AG1377" s="232"/>
      <c r="AH1377" s="232"/>
      <c r="AI1377" s="232"/>
      <c r="AJ1377" s="232"/>
      <c r="AK1377" s="232"/>
      <c r="AL1377" s="232"/>
      <c r="AM1377" s="232"/>
      <c r="AN1377" s="232"/>
      <c r="AO1377" s="232"/>
      <c r="AP1377" s="232"/>
      <c r="AQ1377" s="232"/>
      <c r="AR1377" s="232"/>
      <c r="AS1377" s="232"/>
      <c r="AT1377" s="232"/>
      <c r="AU1377" s="232"/>
      <c r="AV1377" s="232"/>
      <c r="AW1377" s="232"/>
      <c r="AX1377" s="232"/>
      <c r="AY1377" s="232"/>
      <c r="AZ1377" s="232"/>
      <c r="BA1377" s="232"/>
      <c r="BB1377" s="232"/>
      <c r="BC1377" s="232"/>
      <c r="BD1377" s="232"/>
      <c r="BE1377" s="232"/>
      <c r="BF1377" s="232"/>
      <c r="BG1377" s="232"/>
      <c r="BH1377" s="232"/>
      <c r="BI1377" s="232"/>
      <c r="BJ1377" s="232"/>
      <c r="BK1377" s="232"/>
      <c r="BL1377" s="232"/>
      <c r="BM1377" s="232"/>
      <c r="BN1377" s="232"/>
      <c r="BO1377" s="232"/>
      <c r="BP1377" s="232"/>
      <c r="BQ1377" s="232"/>
      <c r="BR1377" s="232"/>
      <c r="BS1377" s="232"/>
      <c r="BT1377" s="232"/>
      <c r="BU1377" s="232"/>
      <c r="BV1377" s="232"/>
      <c r="BW1377" s="232"/>
      <c r="BX1377" s="232"/>
      <c r="BY1377" s="232"/>
      <c r="BZ1377" s="232"/>
      <c r="CA1377" s="232"/>
      <c r="CB1377" s="232"/>
      <c r="CC1377" s="232"/>
      <c r="CD1377" s="232"/>
      <c r="CE1377" s="232"/>
      <c r="CF1377" s="232"/>
      <c r="CG1377" s="232"/>
      <c r="CH1377" s="232"/>
      <c r="CI1377" s="232"/>
      <c r="CJ1377" s="232"/>
      <c r="CK1377" s="232"/>
      <c r="CL1377" s="232"/>
      <c r="CM1377" s="232"/>
      <c r="CN1377" s="215"/>
      <c r="CO1377" s="215"/>
      <c r="CP1377" s="215"/>
      <c r="CQ1377" s="215"/>
      <c r="CR1377" s="215"/>
      <c r="CS1377" s="215"/>
      <c r="CT1377" s="215"/>
    </row>
    <row r="1378" ht="24.0" customHeight="1">
      <c r="A1378" s="287"/>
      <c r="B1378" s="287"/>
      <c r="C1378" s="287"/>
      <c r="D1378" s="232"/>
      <c r="E1378" s="232"/>
      <c r="F1378" s="232"/>
      <c r="G1378" s="232"/>
      <c r="H1378" s="232"/>
      <c r="I1378" s="232"/>
      <c r="J1378" s="232"/>
      <c r="K1378" s="232"/>
      <c r="L1378" s="232"/>
      <c r="M1378" s="232"/>
      <c r="N1378" s="289"/>
      <c r="O1378" s="232"/>
      <c r="P1378" s="232"/>
      <c r="Q1378" s="232"/>
      <c r="R1378" s="232"/>
      <c r="S1378" s="232"/>
      <c r="T1378" s="232"/>
      <c r="U1378" s="232"/>
      <c r="V1378" s="232"/>
      <c r="W1378" s="232"/>
      <c r="X1378" s="232"/>
      <c r="Y1378" s="232"/>
      <c r="Z1378" s="232"/>
      <c r="AA1378" s="232"/>
      <c r="AB1378" s="232"/>
      <c r="AC1378" s="232"/>
      <c r="AD1378" s="232"/>
      <c r="AE1378" s="232"/>
      <c r="AF1378" s="232"/>
      <c r="AG1378" s="232"/>
      <c r="AH1378" s="232"/>
      <c r="AI1378" s="232"/>
      <c r="AJ1378" s="232"/>
      <c r="AK1378" s="232"/>
      <c r="AL1378" s="232"/>
      <c r="AM1378" s="232"/>
      <c r="AN1378" s="232"/>
      <c r="AO1378" s="232"/>
      <c r="AP1378" s="232"/>
      <c r="AQ1378" s="232"/>
      <c r="AR1378" s="232"/>
      <c r="AS1378" s="232"/>
      <c r="AT1378" s="232"/>
      <c r="AU1378" s="232"/>
      <c r="AV1378" s="232"/>
      <c r="AW1378" s="232"/>
      <c r="AX1378" s="232"/>
      <c r="AY1378" s="232"/>
      <c r="AZ1378" s="232"/>
      <c r="BA1378" s="232"/>
      <c r="BB1378" s="232"/>
      <c r="BC1378" s="232"/>
      <c r="BD1378" s="232"/>
      <c r="BE1378" s="232"/>
      <c r="BF1378" s="232"/>
      <c r="BG1378" s="232"/>
      <c r="BH1378" s="232"/>
      <c r="BI1378" s="232"/>
      <c r="BJ1378" s="232"/>
      <c r="BK1378" s="232"/>
      <c r="BL1378" s="232"/>
      <c r="BM1378" s="232"/>
      <c r="BN1378" s="232"/>
      <c r="BO1378" s="232"/>
      <c r="BP1378" s="232"/>
      <c r="BQ1378" s="232"/>
      <c r="BR1378" s="232"/>
      <c r="BS1378" s="232"/>
      <c r="BT1378" s="232"/>
      <c r="BU1378" s="232"/>
      <c r="BV1378" s="232"/>
      <c r="BW1378" s="232"/>
      <c r="BX1378" s="232"/>
      <c r="BY1378" s="232"/>
      <c r="BZ1378" s="232"/>
      <c r="CA1378" s="232"/>
      <c r="CB1378" s="232"/>
      <c r="CC1378" s="232"/>
      <c r="CD1378" s="232"/>
      <c r="CE1378" s="232"/>
      <c r="CF1378" s="232"/>
      <c r="CG1378" s="232"/>
      <c r="CH1378" s="232"/>
      <c r="CI1378" s="232"/>
      <c r="CJ1378" s="232"/>
      <c r="CK1378" s="232"/>
      <c r="CL1378" s="232"/>
      <c r="CM1378" s="232"/>
      <c r="CN1378" s="215"/>
      <c r="CO1378" s="215"/>
      <c r="CP1378" s="215"/>
      <c r="CQ1378" s="215"/>
      <c r="CR1378" s="215"/>
      <c r="CS1378" s="215"/>
      <c r="CT1378" s="215"/>
    </row>
    <row r="1379" ht="24.0" customHeight="1">
      <c r="A1379" s="287"/>
      <c r="B1379" s="287"/>
      <c r="C1379" s="287"/>
      <c r="D1379" s="232"/>
      <c r="E1379" s="232"/>
      <c r="F1379" s="232"/>
      <c r="G1379" s="232"/>
      <c r="H1379" s="232"/>
      <c r="I1379" s="232"/>
      <c r="J1379" s="232"/>
      <c r="K1379" s="232"/>
      <c r="L1379" s="232"/>
      <c r="M1379" s="232"/>
      <c r="N1379" s="289"/>
      <c r="O1379" s="232"/>
      <c r="P1379" s="232"/>
      <c r="Q1379" s="232"/>
      <c r="R1379" s="232"/>
      <c r="S1379" s="232"/>
      <c r="T1379" s="232"/>
      <c r="U1379" s="232"/>
      <c r="V1379" s="232"/>
      <c r="W1379" s="232"/>
      <c r="X1379" s="232"/>
      <c r="Y1379" s="232"/>
      <c r="Z1379" s="232"/>
      <c r="AA1379" s="232"/>
      <c r="AB1379" s="232"/>
      <c r="AC1379" s="232"/>
      <c r="AD1379" s="232"/>
      <c r="AE1379" s="232"/>
      <c r="AF1379" s="232"/>
      <c r="AG1379" s="232"/>
      <c r="AH1379" s="232"/>
      <c r="AI1379" s="232"/>
      <c r="AJ1379" s="232"/>
      <c r="AK1379" s="232"/>
      <c r="AL1379" s="232"/>
      <c r="AM1379" s="232"/>
      <c r="AN1379" s="232"/>
      <c r="AO1379" s="232"/>
      <c r="AP1379" s="232"/>
      <c r="AQ1379" s="232"/>
      <c r="AR1379" s="232"/>
      <c r="AS1379" s="232"/>
      <c r="AT1379" s="232"/>
      <c r="AU1379" s="232"/>
      <c r="AV1379" s="232"/>
      <c r="AW1379" s="232"/>
      <c r="AX1379" s="232"/>
      <c r="AY1379" s="232"/>
      <c r="AZ1379" s="232"/>
      <c r="BA1379" s="232"/>
      <c r="BB1379" s="232"/>
      <c r="BC1379" s="232"/>
      <c r="BD1379" s="232"/>
      <c r="BE1379" s="232"/>
      <c r="BF1379" s="232"/>
      <c r="BG1379" s="232"/>
      <c r="BH1379" s="232"/>
      <c r="BI1379" s="232"/>
      <c r="BJ1379" s="232"/>
      <c r="BK1379" s="232"/>
      <c r="BL1379" s="232"/>
      <c r="BM1379" s="232"/>
      <c r="BN1379" s="232"/>
      <c r="BO1379" s="232"/>
      <c r="BP1379" s="232"/>
      <c r="BQ1379" s="232"/>
      <c r="BR1379" s="232"/>
      <c r="BS1379" s="232"/>
      <c r="BT1379" s="232"/>
      <c r="BU1379" s="232"/>
      <c r="BV1379" s="232"/>
      <c r="BW1379" s="232"/>
      <c r="BX1379" s="232"/>
      <c r="BY1379" s="232"/>
      <c r="BZ1379" s="232"/>
      <c r="CA1379" s="232"/>
      <c r="CB1379" s="232"/>
      <c r="CC1379" s="232"/>
      <c r="CD1379" s="232"/>
      <c r="CE1379" s="232"/>
      <c r="CF1379" s="232"/>
      <c r="CG1379" s="232"/>
      <c r="CH1379" s="232"/>
      <c r="CI1379" s="232"/>
      <c r="CJ1379" s="232"/>
      <c r="CK1379" s="232"/>
      <c r="CL1379" s="232"/>
      <c r="CM1379" s="232"/>
      <c r="CN1379" s="215"/>
      <c r="CO1379" s="215"/>
      <c r="CP1379" s="215"/>
      <c r="CQ1379" s="215"/>
      <c r="CR1379" s="215"/>
      <c r="CS1379" s="215"/>
      <c r="CT1379" s="215"/>
    </row>
    <row r="1380" ht="24.0" customHeight="1">
      <c r="A1380" s="287"/>
      <c r="B1380" s="287"/>
      <c r="C1380" s="287"/>
      <c r="D1380" s="232"/>
      <c r="E1380" s="232"/>
      <c r="F1380" s="232"/>
      <c r="G1380" s="232"/>
      <c r="H1380" s="232"/>
      <c r="I1380" s="232"/>
      <c r="J1380" s="232"/>
      <c r="K1380" s="232"/>
      <c r="L1380" s="232"/>
      <c r="M1380" s="232"/>
      <c r="N1380" s="289"/>
      <c r="O1380" s="232"/>
      <c r="P1380" s="232"/>
      <c r="Q1380" s="232"/>
      <c r="R1380" s="232"/>
      <c r="S1380" s="232"/>
      <c r="T1380" s="232"/>
      <c r="U1380" s="232"/>
      <c r="V1380" s="232"/>
      <c r="W1380" s="232"/>
      <c r="X1380" s="232"/>
      <c r="Y1380" s="232"/>
      <c r="Z1380" s="232"/>
      <c r="AA1380" s="232"/>
      <c r="AB1380" s="232"/>
      <c r="AC1380" s="232"/>
      <c r="AD1380" s="232"/>
      <c r="AE1380" s="232"/>
      <c r="AF1380" s="232"/>
      <c r="AG1380" s="232"/>
      <c r="AH1380" s="232"/>
      <c r="AI1380" s="232"/>
      <c r="AJ1380" s="232"/>
      <c r="AK1380" s="232"/>
      <c r="AL1380" s="232"/>
      <c r="AM1380" s="232"/>
      <c r="AN1380" s="232"/>
      <c r="AO1380" s="232"/>
      <c r="AP1380" s="232"/>
      <c r="AQ1380" s="232"/>
      <c r="AR1380" s="232"/>
      <c r="AS1380" s="232"/>
      <c r="AT1380" s="232"/>
      <c r="AU1380" s="232"/>
      <c r="AV1380" s="232"/>
      <c r="AW1380" s="232"/>
      <c r="AX1380" s="232"/>
      <c r="AY1380" s="232"/>
      <c r="AZ1380" s="232"/>
      <c r="BA1380" s="232"/>
      <c r="BB1380" s="232"/>
      <c r="BC1380" s="232"/>
      <c r="BD1380" s="232"/>
      <c r="BE1380" s="232"/>
      <c r="BF1380" s="232"/>
      <c r="BG1380" s="232"/>
      <c r="BH1380" s="232"/>
      <c r="BI1380" s="232"/>
      <c r="BJ1380" s="232"/>
      <c r="BK1380" s="232"/>
      <c r="BL1380" s="232"/>
      <c r="BM1380" s="232"/>
      <c r="BN1380" s="232"/>
      <c r="BO1380" s="232"/>
      <c r="BP1380" s="232"/>
      <c r="BQ1380" s="232"/>
      <c r="BR1380" s="232"/>
      <c r="BS1380" s="232"/>
      <c r="BT1380" s="232"/>
      <c r="BU1380" s="232"/>
      <c r="BV1380" s="232"/>
      <c r="BW1380" s="232"/>
      <c r="BX1380" s="232"/>
      <c r="BY1380" s="232"/>
      <c r="BZ1380" s="232"/>
      <c r="CA1380" s="232"/>
      <c r="CB1380" s="232"/>
      <c r="CC1380" s="232"/>
      <c r="CD1380" s="232"/>
      <c r="CE1380" s="232"/>
      <c r="CF1380" s="232"/>
      <c r="CG1380" s="232"/>
      <c r="CH1380" s="232"/>
      <c r="CI1380" s="232"/>
      <c r="CJ1380" s="232"/>
      <c r="CK1380" s="232"/>
      <c r="CL1380" s="232"/>
      <c r="CM1380" s="232"/>
      <c r="CN1380" s="215"/>
      <c r="CO1380" s="215"/>
      <c r="CP1380" s="215"/>
      <c r="CQ1380" s="215"/>
      <c r="CR1380" s="215"/>
      <c r="CS1380" s="215"/>
      <c r="CT1380" s="215"/>
    </row>
    <row r="1381" ht="24.0" customHeight="1">
      <c r="A1381" s="287"/>
      <c r="B1381" s="287"/>
      <c r="C1381" s="287"/>
      <c r="D1381" s="232"/>
      <c r="E1381" s="232"/>
      <c r="F1381" s="232"/>
      <c r="G1381" s="232"/>
      <c r="H1381" s="232"/>
      <c r="I1381" s="232"/>
      <c r="J1381" s="232"/>
      <c r="K1381" s="232"/>
      <c r="L1381" s="232"/>
      <c r="M1381" s="232"/>
      <c r="N1381" s="289"/>
      <c r="O1381" s="232"/>
      <c r="P1381" s="232"/>
      <c r="Q1381" s="232"/>
      <c r="R1381" s="232"/>
      <c r="S1381" s="232"/>
      <c r="T1381" s="232"/>
      <c r="U1381" s="232"/>
      <c r="V1381" s="232"/>
      <c r="W1381" s="232"/>
      <c r="X1381" s="232"/>
      <c r="Y1381" s="232"/>
      <c r="Z1381" s="232"/>
      <c r="AA1381" s="232"/>
      <c r="AB1381" s="232"/>
      <c r="AC1381" s="232"/>
      <c r="AD1381" s="232"/>
      <c r="AE1381" s="232"/>
      <c r="AF1381" s="232"/>
      <c r="AG1381" s="232"/>
      <c r="AH1381" s="232"/>
      <c r="AI1381" s="232"/>
      <c r="AJ1381" s="232"/>
      <c r="AK1381" s="232"/>
      <c r="AL1381" s="232"/>
      <c r="AM1381" s="232"/>
      <c r="AN1381" s="232"/>
      <c r="AO1381" s="232"/>
      <c r="AP1381" s="232"/>
      <c r="AQ1381" s="232"/>
      <c r="AR1381" s="232"/>
      <c r="AS1381" s="232"/>
      <c r="AT1381" s="232"/>
      <c r="AU1381" s="232"/>
      <c r="AV1381" s="232"/>
      <c r="AW1381" s="232"/>
      <c r="AX1381" s="232"/>
      <c r="AY1381" s="232"/>
      <c r="AZ1381" s="232"/>
      <c r="BA1381" s="232"/>
      <c r="BB1381" s="232"/>
      <c r="BC1381" s="232"/>
      <c r="BD1381" s="232"/>
      <c r="BE1381" s="232"/>
      <c r="BF1381" s="232"/>
      <c r="BG1381" s="232"/>
      <c r="BH1381" s="232"/>
      <c r="BI1381" s="232"/>
      <c r="BJ1381" s="232"/>
      <c r="BK1381" s="232"/>
      <c r="BL1381" s="232"/>
      <c r="BM1381" s="232"/>
      <c r="BN1381" s="232"/>
      <c r="BO1381" s="232"/>
      <c r="BP1381" s="232"/>
      <c r="BQ1381" s="232"/>
      <c r="BR1381" s="232"/>
      <c r="BS1381" s="232"/>
      <c r="BT1381" s="232"/>
      <c r="BU1381" s="232"/>
      <c r="BV1381" s="232"/>
      <c r="BW1381" s="232"/>
      <c r="BX1381" s="232"/>
      <c r="BY1381" s="232"/>
      <c r="BZ1381" s="232"/>
      <c r="CA1381" s="232"/>
      <c r="CB1381" s="232"/>
      <c r="CC1381" s="232"/>
      <c r="CD1381" s="232"/>
      <c r="CE1381" s="232"/>
      <c r="CF1381" s="232"/>
      <c r="CG1381" s="232"/>
      <c r="CH1381" s="232"/>
      <c r="CI1381" s="232"/>
      <c r="CJ1381" s="232"/>
      <c r="CK1381" s="232"/>
      <c r="CL1381" s="232"/>
      <c r="CM1381" s="232"/>
      <c r="CN1381" s="215"/>
      <c r="CO1381" s="215"/>
      <c r="CP1381" s="215"/>
      <c r="CQ1381" s="215"/>
      <c r="CR1381" s="215"/>
      <c r="CS1381" s="215"/>
      <c r="CT1381" s="215"/>
    </row>
    <row r="1382" ht="24.0" customHeight="1">
      <c r="A1382" s="287"/>
      <c r="B1382" s="287"/>
      <c r="C1382" s="287"/>
      <c r="D1382" s="232"/>
      <c r="E1382" s="232"/>
      <c r="F1382" s="232"/>
      <c r="G1382" s="232"/>
      <c r="H1382" s="232"/>
      <c r="I1382" s="232"/>
      <c r="J1382" s="232"/>
      <c r="K1382" s="232"/>
      <c r="L1382" s="232"/>
      <c r="M1382" s="232"/>
      <c r="N1382" s="289"/>
      <c r="O1382" s="232"/>
      <c r="P1382" s="232"/>
      <c r="Q1382" s="232"/>
      <c r="R1382" s="232"/>
      <c r="S1382" s="232"/>
      <c r="T1382" s="232"/>
      <c r="U1382" s="232"/>
      <c r="V1382" s="232"/>
      <c r="W1382" s="232"/>
      <c r="X1382" s="232"/>
      <c r="Y1382" s="232"/>
      <c r="Z1382" s="232"/>
      <c r="AA1382" s="232"/>
      <c r="AB1382" s="232"/>
      <c r="AC1382" s="232"/>
      <c r="AD1382" s="232"/>
      <c r="AE1382" s="232"/>
      <c r="AF1382" s="232"/>
      <c r="AG1382" s="232"/>
      <c r="AH1382" s="232"/>
      <c r="AI1382" s="232"/>
      <c r="AJ1382" s="232"/>
      <c r="AK1382" s="232"/>
      <c r="AL1382" s="232"/>
      <c r="AM1382" s="232"/>
      <c r="AN1382" s="232"/>
      <c r="AO1382" s="232"/>
      <c r="AP1382" s="232"/>
      <c r="AQ1382" s="232"/>
      <c r="AR1382" s="232"/>
      <c r="AS1382" s="232"/>
      <c r="AT1382" s="232"/>
      <c r="AU1382" s="232"/>
      <c r="AV1382" s="232"/>
      <c r="AW1382" s="232"/>
      <c r="AX1382" s="232"/>
      <c r="AY1382" s="232"/>
      <c r="AZ1382" s="232"/>
      <c r="BA1382" s="232"/>
      <c r="BB1382" s="232"/>
      <c r="BC1382" s="232"/>
      <c r="BD1382" s="232"/>
      <c r="BE1382" s="232"/>
      <c r="BF1382" s="232"/>
      <c r="BG1382" s="232"/>
      <c r="BH1382" s="232"/>
      <c r="BI1382" s="232"/>
      <c r="BJ1382" s="232"/>
      <c r="BK1382" s="232"/>
      <c r="BL1382" s="232"/>
      <c r="BM1382" s="232"/>
      <c r="BN1382" s="232"/>
      <c r="BO1382" s="232"/>
      <c r="BP1382" s="232"/>
      <c r="BQ1382" s="232"/>
      <c r="BR1382" s="232"/>
      <c r="BS1382" s="232"/>
      <c r="BT1382" s="232"/>
      <c r="BU1382" s="232"/>
      <c r="BV1382" s="232"/>
      <c r="BW1382" s="232"/>
      <c r="BX1382" s="232"/>
      <c r="BY1382" s="232"/>
      <c r="BZ1382" s="232"/>
      <c r="CA1382" s="232"/>
      <c r="CB1382" s="232"/>
      <c r="CC1382" s="232"/>
      <c r="CD1382" s="232"/>
      <c r="CE1382" s="232"/>
      <c r="CF1382" s="232"/>
      <c r="CG1382" s="232"/>
      <c r="CH1382" s="232"/>
      <c r="CI1382" s="232"/>
      <c r="CJ1382" s="232"/>
      <c r="CK1382" s="232"/>
      <c r="CL1382" s="232"/>
      <c r="CM1382" s="232"/>
      <c r="CN1382" s="215"/>
      <c r="CO1382" s="215"/>
      <c r="CP1382" s="215"/>
      <c r="CQ1382" s="215"/>
      <c r="CR1382" s="215"/>
      <c r="CS1382" s="215"/>
      <c r="CT1382" s="215"/>
    </row>
    <row r="1383" ht="24.0" customHeight="1">
      <c r="A1383" s="287"/>
      <c r="B1383" s="287"/>
      <c r="C1383" s="287"/>
      <c r="D1383" s="232"/>
      <c r="E1383" s="232"/>
      <c r="F1383" s="232"/>
      <c r="G1383" s="232"/>
      <c r="H1383" s="232"/>
      <c r="I1383" s="232"/>
      <c r="J1383" s="232"/>
      <c r="K1383" s="232"/>
      <c r="L1383" s="232"/>
      <c r="M1383" s="232"/>
      <c r="N1383" s="289"/>
      <c r="O1383" s="232"/>
      <c r="P1383" s="232"/>
      <c r="Q1383" s="232"/>
      <c r="R1383" s="232"/>
      <c r="S1383" s="232"/>
      <c r="T1383" s="232"/>
      <c r="U1383" s="232"/>
      <c r="V1383" s="232"/>
      <c r="W1383" s="232"/>
      <c r="X1383" s="232"/>
      <c r="Y1383" s="232"/>
      <c r="Z1383" s="232"/>
      <c r="AA1383" s="232"/>
      <c r="AB1383" s="232"/>
      <c r="AC1383" s="232"/>
      <c r="AD1383" s="232"/>
      <c r="AE1383" s="232"/>
      <c r="AF1383" s="232"/>
      <c r="AG1383" s="232"/>
      <c r="AH1383" s="232"/>
      <c r="AI1383" s="232"/>
      <c r="AJ1383" s="232"/>
      <c r="AK1383" s="232"/>
      <c r="AL1383" s="232"/>
      <c r="AM1383" s="232"/>
      <c r="AN1383" s="232"/>
      <c r="AO1383" s="232"/>
      <c r="AP1383" s="232"/>
      <c r="AQ1383" s="232"/>
      <c r="AR1383" s="232"/>
      <c r="AS1383" s="232"/>
      <c r="AT1383" s="232"/>
      <c r="AU1383" s="232"/>
      <c r="AV1383" s="232"/>
      <c r="AW1383" s="232"/>
      <c r="AX1383" s="232"/>
      <c r="AY1383" s="232"/>
      <c r="AZ1383" s="232"/>
      <c r="BA1383" s="232"/>
      <c r="BB1383" s="232"/>
      <c r="BC1383" s="232"/>
      <c r="BD1383" s="232"/>
      <c r="BE1383" s="232"/>
      <c r="BF1383" s="232"/>
      <c r="BG1383" s="232"/>
      <c r="BH1383" s="232"/>
      <c r="BI1383" s="232"/>
      <c r="BJ1383" s="232"/>
      <c r="BK1383" s="232"/>
      <c r="BL1383" s="232"/>
      <c r="BM1383" s="232"/>
      <c r="BN1383" s="232"/>
      <c r="BO1383" s="232"/>
      <c r="BP1383" s="232"/>
      <c r="BQ1383" s="232"/>
      <c r="BR1383" s="232"/>
      <c r="BS1383" s="232"/>
      <c r="BT1383" s="232"/>
      <c r="BU1383" s="232"/>
      <c r="BV1383" s="232"/>
      <c r="BW1383" s="232"/>
      <c r="BX1383" s="232"/>
      <c r="BY1383" s="232"/>
      <c r="BZ1383" s="232"/>
      <c r="CA1383" s="232"/>
      <c r="CB1383" s="232"/>
      <c r="CC1383" s="232"/>
      <c r="CD1383" s="232"/>
      <c r="CE1383" s="232"/>
      <c r="CF1383" s="232"/>
      <c r="CG1383" s="232"/>
      <c r="CH1383" s="232"/>
      <c r="CI1383" s="232"/>
      <c r="CJ1383" s="232"/>
      <c r="CK1383" s="232"/>
      <c r="CL1383" s="232"/>
      <c r="CM1383" s="232"/>
      <c r="CN1383" s="215"/>
      <c r="CO1383" s="215"/>
      <c r="CP1383" s="215"/>
      <c r="CQ1383" s="215"/>
      <c r="CR1383" s="215"/>
      <c r="CS1383" s="215"/>
      <c r="CT1383" s="215"/>
    </row>
    <row r="1384" ht="24.0" customHeight="1">
      <c r="A1384" s="287"/>
      <c r="B1384" s="287"/>
      <c r="C1384" s="287"/>
      <c r="D1384" s="232"/>
      <c r="E1384" s="232"/>
      <c r="F1384" s="232"/>
      <c r="G1384" s="232"/>
      <c r="H1384" s="232"/>
      <c r="I1384" s="232"/>
      <c r="J1384" s="232"/>
      <c r="K1384" s="232"/>
      <c r="L1384" s="232"/>
      <c r="M1384" s="232"/>
      <c r="N1384" s="289"/>
      <c r="O1384" s="232"/>
      <c r="P1384" s="232"/>
      <c r="Q1384" s="232"/>
      <c r="R1384" s="232"/>
      <c r="S1384" s="232"/>
      <c r="T1384" s="232"/>
      <c r="U1384" s="232"/>
      <c r="V1384" s="232"/>
      <c r="W1384" s="232"/>
      <c r="X1384" s="232"/>
      <c r="Y1384" s="232"/>
      <c r="Z1384" s="232"/>
      <c r="AA1384" s="232"/>
      <c r="AB1384" s="232"/>
      <c r="AC1384" s="232"/>
      <c r="AD1384" s="232"/>
      <c r="AE1384" s="232"/>
      <c r="AF1384" s="232"/>
      <c r="AG1384" s="232"/>
      <c r="AH1384" s="232"/>
      <c r="AI1384" s="232"/>
      <c r="AJ1384" s="232"/>
      <c r="AK1384" s="232"/>
      <c r="AL1384" s="232"/>
      <c r="AM1384" s="232"/>
      <c r="AN1384" s="232"/>
      <c r="AO1384" s="232"/>
      <c r="AP1384" s="232"/>
      <c r="AQ1384" s="232"/>
      <c r="AR1384" s="232"/>
      <c r="AS1384" s="232"/>
      <c r="AT1384" s="232"/>
      <c r="AU1384" s="232"/>
      <c r="AV1384" s="232"/>
      <c r="AW1384" s="232"/>
      <c r="AX1384" s="232"/>
      <c r="AY1384" s="232"/>
      <c r="AZ1384" s="232"/>
      <c r="BA1384" s="232"/>
      <c r="BB1384" s="232"/>
      <c r="BC1384" s="232"/>
      <c r="BD1384" s="232"/>
      <c r="BE1384" s="232"/>
      <c r="BF1384" s="232"/>
      <c r="BG1384" s="232"/>
      <c r="BH1384" s="232"/>
      <c r="BI1384" s="232"/>
      <c r="BJ1384" s="232"/>
      <c r="BK1384" s="232"/>
      <c r="BL1384" s="232"/>
      <c r="BM1384" s="232"/>
      <c r="BN1384" s="232"/>
      <c r="BO1384" s="232"/>
      <c r="BP1384" s="232"/>
      <c r="BQ1384" s="232"/>
      <c r="BR1384" s="232"/>
      <c r="BS1384" s="232"/>
      <c r="BT1384" s="232"/>
      <c r="BU1384" s="232"/>
      <c r="BV1384" s="232"/>
      <c r="BW1384" s="232"/>
      <c r="BX1384" s="232"/>
      <c r="BY1384" s="232"/>
      <c r="BZ1384" s="232"/>
      <c r="CA1384" s="232"/>
      <c r="CB1384" s="232"/>
      <c r="CC1384" s="232"/>
      <c r="CD1384" s="232"/>
      <c r="CE1384" s="232"/>
      <c r="CF1384" s="232"/>
      <c r="CG1384" s="232"/>
      <c r="CH1384" s="232"/>
      <c r="CI1384" s="232"/>
      <c r="CJ1384" s="232"/>
      <c r="CK1384" s="232"/>
      <c r="CL1384" s="232"/>
      <c r="CM1384" s="232"/>
      <c r="CN1384" s="215"/>
      <c r="CO1384" s="215"/>
      <c r="CP1384" s="215"/>
      <c r="CQ1384" s="215"/>
      <c r="CR1384" s="215"/>
      <c r="CS1384" s="215"/>
      <c r="CT1384" s="215"/>
    </row>
    <row r="1385" ht="24.0" customHeight="1">
      <c r="A1385" s="287"/>
      <c r="B1385" s="287"/>
      <c r="C1385" s="287"/>
      <c r="D1385" s="232"/>
      <c r="E1385" s="232"/>
      <c r="F1385" s="232"/>
      <c r="G1385" s="232"/>
      <c r="H1385" s="232"/>
      <c r="I1385" s="232"/>
      <c r="J1385" s="232"/>
      <c r="K1385" s="232"/>
      <c r="L1385" s="232"/>
      <c r="M1385" s="232"/>
      <c r="N1385" s="289"/>
      <c r="O1385" s="232"/>
      <c r="P1385" s="232"/>
      <c r="Q1385" s="232"/>
      <c r="R1385" s="232"/>
      <c r="S1385" s="232"/>
      <c r="T1385" s="232"/>
      <c r="U1385" s="232"/>
      <c r="V1385" s="232"/>
      <c r="W1385" s="232"/>
      <c r="X1385" s="232"/>
      <c r="Y1385" s="232"/>
      <c r="Z1385" s="232"/>
      <c r="AA1385" s="232"/>
      <c r="AB1385" s="232"/>
      <c r="AC1385" s="232"/>
      <c r="AD1385" s="232"/>
      <c r="AE1385" s="232"/>
      <c r="AF1385" s="232"/>
      <c r="AG1385" s="232"/>
      <c r="AH1385" s="232"/>
      <c r="AI1385" s="232"/>
      <c r="AJ1385" s="232"/>
      <c r="AK1385" s="232"/>
      <c r="AL1385" s="232"/>
      <c r="AM1385" s="232"/>
      <c r="AN1385" s="232"/>
      <c r="AO1385" s="232"/>
      <c r="AP1385" s="232"/>
      <c r="AQ1385" s="232"/>
      <c r="AR1385" s="232"/>
      <c r="AS1385" s="232"/>
      <c r="AT1385" s="232"/>
      <c r="AU1385" s="232"/>
      <c r="AV1385" s="232"/>
      <c r="AW1385" s="232"/>
      <c r="AX1385" s="232"/>
      <c r="AY1385" s="232"/>
      <c r="AZ1385" s="232"/>
      <c r="BA1385" s="232"/>
      <c r="BB1385" s="232"/>
      <c r="BC1385" s="232"/>
      <c r="BD1385" s="232"/>
      <c r="BE1385" s="232"/>
      <c r="BF1385" s="232"/>
      <c r="BG1385" s="232"/>
      <c r="BH1385" s="232"/>
      <c r="BI1385" s="232"/>
      <c r="BJ1385" s="232"/>
      <c r="BK1385" s="232"/>
      <c r="BL1385" s="232"/>
      <c r="BM1385" s="232"/>
      <c r="BN1385" s="232"/>
      <c r="BO1385" s="232"/>
      <c r="BP1385" s="232"/>
      <c r="BQ1385" s="232"/>
      <c r="BR1385" s="232"/>
      <c r="BS1385" s="232"/>
      <c r="BT1385" s="232"/>
      <c r="BU1385" s="232"/>
      <c r="BV1385" s="232"/>
      <c r="BW1385" s="232"/>
      <c r="BX1385" s="232"/>
      <c r="BY1385" s="232"/>
      <c r="BZ1385" s="232"/>
      <c r="CA1385" s="232"/>
      <c r="CB1385" s="232"/>
      <c r="CC1385" s="232"/>
      <c r="CD1385" s="232"/>
      <c r="CE1385" s="232"/>
      <c r="CF1385" s="232"/>
      <c r="CG1385" s="232"/>
      <c r="CH1385" s="232"/>
      <c r="CI1385" s="232"/>
      <c r="CJ1385" s="232"/>
      <c r="CK1385" s="232"/>
      <c r="CL1385" s="232"/>
      <c r="CM1385" s="232"/>
      <c r="CN1385" s="215"/>
      <c r="CO1385" s="215"/>
      <c r="CP1385" s="215"/>
      <c r="CQ1385" s="215"/>
      <c r="CR1385" s="215"/>
      <c r="CS1385" s="215"/>
      <c r="CT1385" s="215"/>
    </row>
    <row r="1386" ht="24.0" customHeight="1">
      <c r="A1386" s="287"/>
      <c r="B1386" s="287"/>
      <c r="C1386" s="287"/>
      <c r="D1386" s="232"/>
      <c r="E1386" s="232"/>
      <c r="F1386" s="232"/>
      <c r="G1386" s="232"/>
      <c r="H1386" s="232"/>
      <c r="I1386" s="232"/>
      <c r="J1386" s="232"/>
      <c r="K1386" s="232"/>
      <c r="L1386" s="232"/>
      <c r="M1386" s="232"/>
      <c r="N1386" s="289"/>
      <c r="O1386" s="232"/>
      <c r="P1386" s="232"/>
      <c r="Q1386" s="232"/>
      <c r="R1386" s="232"/>
      <c r="S1386" s="232"/>
      <c r="T1386" s="232"/>
      <c r="U1386" s="232"/>
      <c r="V1386" s="232"/>
      <c r="W1386" s="232"/>
      <c r="X1386" s="232"/>
      <c r="Y1386" s="232"/>
      <c r="Z1386" s="232"/>
      <c r="AA1386" s="232"/>
      <c r="AB1386" s="232"/>
      <c r="AC1386" s="232"/>
      <c r="AD1386" s="232"/>
      <c r="AE1386" s="232"/>
      <c r="AF1386" s="232"/>
      <c r="AG1386" s="232"/>
      <c r="AH1386" s="232"/>
      <c r="AI1386" s="232"/>
      <c r="AJ1386" s="232"/>
      <c r="AK1386" s="232"/>
      <c r="AL1386" s="232"/>
      <c r="AM1386" s="232"/>
      <c r="AN1386" s="232"/>
      <c r="AO1386" s="232"/>
      <c r="AP1386" s="232"/>
      <c r="AQ1386" s="232"/>
      <c r="AR1386" s="232"/>
      <c r="AS1386" s="232"/>
      <c r="AT1386" s="232"/>
      <c r="AU1386" s="232"/>
      <c r="AV1386" s="232"/>
      <c r="AW1386" s="232"/>
      <c r="AX1386" s="232"/>
      <c r="AY1386" s="232"/>
      <c r="AZ1386" s="232"/>
      <c r="BA1386" s="232"/>
      <c r="BB1386" s="232"/>
      <c r="BC1386" s="232"/>
      <c r="BD1386" s="232"/>
      <c r="BE1386" s="232"/>
      <c r="BF1386" s="232"/>
      <c r="BG1386" s="232"/>
      <c r="BH1386" s="232"/>
      <c r="BI1386" s="232"/>
      <c r="BJ1386" s="232"/>
      <c r="BK1386" s="232"/>
      <c r="BL1386" s="232"/>
      <c r="BM1386" s="232"/>
      <c r="BN1386" s="232"/>
      <c r="BO1386" s="232"/>
      <c r="BP1386" s="232"/>
      <c r="BQ1386" s="232"/>
      <c r="BR1386" s="232"/>
      <c r="BS1386" s="232"/>
      <c r="BT1386" s="232"/>
      <c r="BU1386" s="232"/>
      <c r="BV1386" s="232"/>
      <c r="BW1386" s="232"/>
      <c r="BX1386" s="232"/>
      <c r="BY1386" s="232"/>
      <c r="BZ1386" s="232"/>
      <c r="CA1386" s="232"/>
      <c r="CB1386" s="232"/>
      <c r="CC1386" s="232"/>
      <c r="CD1386" s="232"/>
      <c r="CE1386" s="232"/>
      <c r="CF1386" s="232"/>
      <c r="CG1386" s="232"/>
      <c r="CH1386" s="232"/>
      <c r="CI1386" s="232"/>
      <c r="CJ1386" s="232"/>
      <c r="CK1386" s="232"/>
      <c r="CL1386" s="232"/>
      <c r="CM1386" s="232"/>
      <c r="CN1386" s="215"/>
      <c r="CO1386" s="215"/>
      <c r="CP1386" s="215"/>
      <c r="CQ1386" s="215"/>
      <c r="CR1386" s="215"/>
      <c r="CS1386" s="215"/>
      <c r="CT1386" s="215"/>
    </row>
    <row r="1387" ht="24.0" customHeight="1">
      <c r="A1387" s="287"/>
      <c r="B1387" s="287"/>
      <c r="C1387" s="287"/>
      <c r="D1387" s="232"/>
      <c r="E1387" s="232"/>
      <c r="F1387" s="232"/>
      <c r="G1387" s="232"/>
      <c r="H1387" s="232"/>
      <c r="I1387" s="232"/>
      <c r="J1387" s="232"/>
      <c r="K1387" s="232"/>
      <c r="L1387" s="232"/>
      <c r="M1387" s="232"/>
      <c r="N1387" s="289"/>
      <c r="O1387" s="232"/>
      <c r="P1387" s="232"/>
      <c r="Q1387" s="232"/>
      <c r="R1387" s="232"/>
      <c r="S1387" s="232"/>
      <c r="T1387" s="232"/>
      <c r="U1387" s="232"/>
      <c r="V1387" s="232"/>
      <c r="W1387" s="232"/>
      <c r="X1387" s="232"/>
      <c r="Y1387" s="232"/>
      <c r="Z1387" s="232"/>
      <c r="AA1387" s="232"/>
      <c r="AB1387" s="232"/>
      <c r="AC1387" s="232"/>
      <c r="AD1387" s="232"/>
      <c r="AE1387" s="232"/>
      <c r="AF1387" s="232"/>
      <c r="AG1387" s="232"/>
      <c r="AH1387" s="232"/>
      <c r="AI1387" s="232"/>
      <c r="AJ1387" s="232"/>
      <c r="AK1387" s="232"/>
      <c r="AL1387" s="232"/>
      <c r="AM1387" s="232"/>
      <c r="AN1387" s="232"/>
      <c r="AO1387" s="232"/>
      <c r="AP1387" s="232"/>
      <c r="AQ1387" s="232"/>
      <c r="AR1387" s="232"/>
      <c r="AS1387" s="232"/>
      <c r="AT1387" s="232"/>
      <c r="AU1387" s="232"/>
      <c r="AV1387" s="232"/>
      <c r="AW1387" s="232"/>
      <c r="AX1387" s="232"/>
      <c r="AY1387" s="232"/>
      <c r="AZ1387" s="232"/>
      <c r="BA1387" s="232"/>
      <c r="BB1387" s="232"/>
      <c r="BC1387" s="232"/>
      <c r="BD1387" s="232"/>
      <c r="BE1387" s="232"/>
      <c r="BF1387" s="232"/>
      <c r="BG1387" s="232"/>
      <c r="BH1387" s="232"/>
      <c r="BI1387" s="232"/>
      <c r="BJ1387" s="232"/>
      <c r="BK1387" s="232"/>
      <c r="BL1387" s="232"/>
      <c r="BM1387" s="232"/>
      <c r="BN1387" s="232"/>
      <c r="BO1387" s="232"/>
      <c r="BP1387" s="232"/>
      <c r="BQ1387" s="232"/>
      <c r="BR1387" s="232"/>
      <c r="BS1387" s="232"/>
      <c r="BT1387" s="232"/>
      <c r="BU1387" s="232"/>
      <c r="BV1387" s="232"/>
      <c r="BW1387" s="232"/>
      <c r="BX1387" s="232"/>
      <c r="BY1387" s="232"/>
      <c r="BZ1387" s="232"/>
      <c r="CA1387" s="232"/>
      <c r="CB1387" s="232"/>
      <c r="CC1387" s="232"/>
      <c r="CD1387" s="232"/>
      <c r="CE1387" s="232"/>
      <c r="CF1387" s="232"/>
      <c r="CG1387" s="232"/>
      <c r="CH1387" s="232"/>
      <c r="CI1387" s="232"/>
      <c r="CJ1387" s="232"/>
      <c r="CK1387" s="232"/>
      <c r="CL1387" s="232"/>
      <c r="CM1387" s="232"/>
      <c r="CN1387" s="215"/>
      <c r="CO1387" s="215"/>
      <c r="CP1387" s="215"/>
      <c r="CQ1387" s="215"/>
      <c r="CR1387" s="215"/>
      <c r="CS1387" s="215"/>
      <c r="CT1387" s="215"/>
    </row>
    <row r="1388" ht="24.0" customHeight="1">
      <c r="A1388" s="287"/>
      <c r="B1388" s="287"/>
      <c r="C1388" s="287"/>
      <c r="D1388" s="232"/>
      <c r="E1388" s="232"/>
      <c r="F1388" s="232"/>
      <c r="G1388" s="232"/>
      <c r="H1388" s="232"/>
      <c r="I1388" s="232"/>
      <c r="J1388" s="232"/>
      <c r="K1388" s="232"/>
      <c r="L1388" s="232"/>
      <c r="M1388" s="232"/>
      <c r="N1388" s="289"/>
      <c r="O1388" s="232"/>
      <c r="P1388" s="232"/>
      <c r="Q1388" s="232"/>
      <c r="R1388" s="232"/>
      <c r="S1388" s="232"/>
      <c r="T1388" s="232"/>
      <c r="U1388" s="232"/>
      <c r="V1388" s="232"/>
      <c r="W1388" s="232"/>
      <c r="X1388" s="232"/>
      <c r="Y1388" s="232"/>
      <c r="Z1388" s="232"/>
      <c r="AA1388" s="232"/>
      <c r="AB1388" s="232"/>
      <c r="AC1388" s="232"/>
      <c r="AD1388" s="232"/>
      <c r="AE1388" s="232"/>
      <c r="AF1388" s="232"/>
      <c r="AG1388" s="232"/>
      <c r="AH1388" s="232"/>
      <c r="AI1388" s="232"/>
      <c r="AJ1388" s="232"/>
      <c r="AK1388" s="232"/>
      <c r="AL1388" s="232"/>
      <c r="AM1388" s="232"/>
      <c r="AN1388" s="232"/>
      <c r="AO1388" s="232"/>
      <c r="AP1388" s="232"/>
      <c r="AQ1388" s="232"/>
      <c r="AR1388" s="232"/>
      <c r="AS1388" s="232"/>
      <c r="AT1388" s="232"/>
      <c r="AU1388" s="232"/>
      <c r="AV1388" s="232"/>
      <c r="AW1388" s="232"/>
      <c r="AX1388" s="232"/>
      <c r="AY1388" s="232"/>
      <c r="AZ1388" s="232"/>
      <c r="BA1388" s="232"/>
      <c r="BB1388" s="232"/>
      <c r="BC1388" s="232"/>
      <c r="BD1388" s="232"/>
      <c r="BE1388" s="232"/>
      <c r="BF1388" s="232"/>
      <c r="BG1388" s="232"/>
      <c r="BH1388" s="232"/>
      <c r="BI1388" s="232"/>
      <c r="BJ1388" s="232"/>
      <c r="BK1388" s="232"/>
      <c r="BL1388" s="232"/>
      <c r="BM1388" s="232"/>
      <c r="BN1388" s="232"/>
      <c r="BO1388" s="232"/>
      <c r="BP1388" s="232"/>
      <c r="BQ1388" s="232"/>
      <c r="BR1388" s="232"/>
      <c r="BS1388" s="232"/>
      <c r="BT1388" s="232"/>
      <c r="BU1388" s="232"/>
      <c r="BV1388" s="232"/>
      <c r="BW1388" s="232"/>
      <c r="BX1388" s="232"/>
      <c r="BY1388" s="232"/>
      <c r="BZ1388" s="232"/>
      <c r="CA1388" s="232"/>
      <c r="CB1388" s="232"/>
      <c r="CC1388" s="232"/>
      <c r="CD1388" s="232"/>
      <c r="CE1388" s="232"/>
      <c r="CF1388" s="232"/>
      <c r="CG1388" s="232"/>
      <c r="CH1388" s="232"/>
      <c r="CI1388" s="232"/>
      <c r="CJ1388" s="232"/>
      <c r="CK1388" s="232"/>
      <c r="CL1388" s="232"/>
      <c r="CM1388" s="232"/>
      <c r="CN1388" s="215"/>
      <c r="CO1388" s="215"/>
      <c r="CP1388" s="215"/>
      <c r="CQ1388" s="215"/>
      <c r="CR1388" s="215"/>
      <c r="CS1388" s="215"/>
      <c r="CT1388" s="215"/>
    </row>
    <row r="1389" ht="24.0" customHeight="1">
      <c r="A1389" s="287"/>
      <c r="B1389" s="287"/>
      <c r="C1389" s="287"/>
      <c r="D1389" s="232"/>
      <c r="E1389" s="232"/>
      <c r="F1389" s="232"/>
      <c r="G1389" s="232"/>
      <c r="H1389" s="232"/>
      <c r="I1389" s="232"/>
      <c r="J1389" s="232"/>
      <c r="K1389" s="232"/>
      <c r="L1389" s="232"/>
      <c r="M1389" s="232"/>
      <c r="N1389" s="289"/>
      <c r="O1389" s="232"/>
      <c r="P1389" s="232"/>
      <c r="Q1389" s="232"/>
      <c r="R1389" s="232"/>
      <c r="S1389" s="232"/>
      <c r="T1389" s="232"/>
      <c r="U1389" s="232"/>
      <c r="V1389" s="232"/>
      <c r="W1389" s="232"/>
      <c r="X1389" s="232"/>
      <c r="Y1389" s="232"/>
      <c r="Z1389" s="232"/>
      <c r="AA1389" s="232"/>
      <c r="AB1389" s="232"/>
      <c r="AC1389" s="232"/>
      <c r="AD1389" s="232"/>
      <c r="AE1389" s="232"/>
      <c r="AF1389" s="232"/>
      <c r="AG1389" s="232"/>
      <c r="AH1389" s="232"/>
      <c r="AI1389" s="232"/>
      <c r="AJ1389" s="232"/>
      <c r="AK1389" s="232"/>
      <c r="AL1389" s="232"/>
      <c r="AM1389" s="232"/>
      <c r="AN1389" s="232"/>
      <c r="AO1389" s="232"/>
      <c r="AP1389" s="232"/>
      <c r="AQ1389" s="232"/>
      <c r="AR1389" s="232"/>
      <c r="AS1389" s="232"/>
      <c r="AT1389" s="232"/>
      <c r="AU1389" s="232"/>
      <c r="AV1389" s="232"/>
      <c r="AW1389" s="232"/>
      <c r="AX1389" s="232"/>
      <c r="AY1389" s="232"/>
      <c r="AZ1389" s="232"/>
      <c r="BA1389" s="232"/>
      <c r="BB1389" s="232"/>
      <c r="BC1389" s="232"/>
      <c r="BD1389" s="232"/>
      <c r="BE1389" s="232"/>
      <c r="BF1389" s="232"/>
      <c r="BG1389" s="232"/>
      <c r="BH1389" s="232"/>
      <c r="BI1389" s="232"/>
      <c r="BJ1389" s="232"/>
      <c r="BK1389" s="232"/>
      <c r="BL1389" s="232"/>
      <c r="BM1389" s="232"/>
      <c r="BN1389" s="232"/>
      <c r="BO1389" s="232"/>
      <c r="BP1389" s="232"/>
      <c r="BQ1389" s="232"/>
      <c r="BR1389" s="232"/>
      <c r="BS1389" s="232"/>
      <c r="BT1389" s="232"/>
      <c r="BU1389" s="232"/>
      <c r="BV1389" s="232"/>
      <c r="BW1389" s="232"/>
      <c r="BX1389" s="232"/>
      <c r="BY1389" s="232"/>
      <c r="BZ1389" s="232"/>
      <c r="CA1389" s="232"/>
      <c r="CB1389" s="232"/>
      <c r="CC1389" s="232"/>
      <c r="CD1389" s="232"/>
      <c r="CE1389" s="232"/>
      <c r="CF1389" s="232"/>
      <c r="CG1389" s="232"/>
      <c r="CH1389" s="232"/>
      <c r="CI1389" s="232"/>
      <c r="CJ1389" s="232"/>
      <c r="CK1389" s="232"/>
      <c r="CL1389" s="232"/>
      <c r="CM1389" s="232"/>
      <c r="CN1389" s="215"/>
      <c r="CO1389" s="215"/>
      <c r="CP1389" s="215"/>
      <c r="CQ1389" s="215"/>
      <c r="CR1389" s="215"/>
      <c r="CS1389" s="215"/>
      <c r="CT1389" s="215"/>
    </row>
    <row r="1390" ht="24.0" customHeight="1">
      <c r="A1390" s="287"/>
      <c r="B1390" s="287"/>
      <c r="C1390" s="287"/>
      <c r="D1390" s="232"/>
      <c r="E1390" s="232"/>
      <c r="F1390" s="232"/>
      <c r="G1390" s="232"/>
      <c r="H1390" s="232"/>
      <c r="I1390" s="232"/>
      <c r="J1390" s="232"/>
      <c r="K1390" s="232"/>
      <c r="L1390" s="232"/>
      <c r="M1390" s="232"/>
      <c r="N1390" s="289"/>
      <c r="O1390" s="232"/>
      <c r="P1390" s="232"/>
      <c r="Q1390" s="232"/>
      <c r="R1390" s="232"/>
      <c r="S1390" s="232"/>
      <c r="T1390" s="232"/>
      <c r="U1390" s="232"/>
      <c r="V1390" s="232"/>
      <c r="W1390" s="232"/>
      <c r="X1390" s="232"/>
      <c r="Y1390" s="232"/>
      <c r="Z1390" s="232"/>
      <c r="AA1390" s="232"/>
      <c r="AB1390" s="232"/>
      <c r="AC1390" s="232"/>
      <c r="AD1390" s="232"/>
      <c r="AE1390" s="232"/>
      <c r="AF1390" s="232"/>
      <c r="AG1390" s="232"/>
      <c r="AH1390" s="232"/>
      <c r="AI1390" s="232"/>
      <c r="AJ1390" s="232"/>
      <c r="AK1390" s="232"/>
      <c r="AL1390" s="232"/>
      <c r="AM1390" s="232"/>
      <c r="AN1390" s="232"/>
      <c r="AO1390" s="232"/>
      <c r="AP1390" s="232"/>
      <c r="AQ1390" s="232"/>
      <c r="AR1390" s="232"/>
      <c r="AS1390" s="232"/>
      <c r="AT1390" s="232"/>
      <c r="AU1390" s="232"/>
      <c r="AV1390" s="232"/>
      <c r="AW1390" s="232"/>
      <c r="AX1390" s="232"/>
      <c r="AY1390" s="232"/>
      <c r="AZ1390" s="232"/>
      <c r="BA1390" s="232"/>
      <c r="BB1390" s="232"/>
      <c r="BC1390" s="232"/>
      <c r="BD1390" s="232"/>
      <c r="BE1390" s="232"/>
      <c r="BF1390" s="232"/>
      <c r="BG1390" s="232"/>
      <c r="BH1390" s="232"/>
      <c r="BI1390" s="232"/>
      <c r="BJ1390" s="232"/>
      <c r="BK1390" s="232"/>
      <c r="BL1390" s="232"/>
      <c r="BM1390" s="232"/>
      <c r="BN1390" s="232"/>
      <c r="BO1390" s="232"/>
      <c r="BP1390" s="232"/>
      <c r="BQ1390" s="232"/>
      <c r="BR1390" s="232"/>
      <c r="BS1390" s="232"/>
      <c r="BT1390" s="232"/>
      <c r="BU1390" s="232"/>
      <c r="BV1390" s="232"/>
      <c r="BW1390" s="232"/>
      <c r="BX1390" s="232"/>
      <c r="BY1390" s="232"/>
      <c r="BZ1390" s="232"/>
      <c r="CA1390" s="232"/>
      <c r="CB1390" s="232"/>
      <c r="CC1390" s="232"/>
      <c r="CD1390" s="232"/>
      <c r="CE1390" s="232"/>
      <c r="CF1390" s="232"/>
      <c r="CG1390" s="232"/>
      <c r="CH1390" s="232"/>
      <c r="CI1390" s="232"/>
      <c r="CJ1390" s="232"/>
      <c r="CK1390" s="232"/>
      <c r="CL1390" s="232"/>
      <c r="CM1390" s="232"/>
      <c r="CN1390" s="215"/>
      <c r="CO1390" s="215"/>
      <c r="CP1390" s="215"/>
      <c r="CQ1390" s="215"/>
      <c r="CR1390" s="215"/>
      <c r="CS1390" s="215"/>
      <c r="CT1390" s="215"/>
    </row>
    <row r="1391" ht="24.0" customHeight="1">
      <c r="A1391" s="287"/>
      <c r="B1391" s="287"/>
      <c r="C1391" s="287"/>
      <c r="D1391" s="232"/>
      <c r="E1391" s="232"/>
      <c r="F1391" s="232"/>
      <c r="G1391" s="232"/>
      <c r="H1391" s="232"/>
      <c r="I1391" s="232"/>
      <c r="J1391" s="232"/>
      <c r="K1391" s="232"/>
      <c r="L1391" s="232"/>
      <c r="M1391" s="232"/>
      <c r="N1391" s="289"/>
      <c r="O1391" s="232"/>
      <c r="P1391" s="232"/>
      <c r="Q1391" s="232"/>
      <c r="R1391" s="232"/>
      <c r="S1391" s="232"/>
      <c r="T1391" s="232"/>
      <c r="U1391" s="232"/>
      <c r="V1391" s="232"/>
      <c r="W1391" s="232"/>
      <c r="X1391" s="232"/>
      <c r="Y1391" s="232"/>
      <c r="Z1391" s="232"/>
      <c r="AA1391" s="232"/>
      <c r="AB1391" s="232"/>
      <c r="AC1391" s="232"/>
      <c r="AD1391" s="232"/>
      <c r="AE1391" s="232"/>
      <c r="AF1391" s="232"/>
      <c r="AG1391" s="232"/>
      <c r="AH1391" s="232"/>
      <c r="AI1391" s="232"/>
      <c r="AJ1391" s="232"/>
      <c r="AK1391" s="232"/>
      <c r="AL1391" s="232"/>
      <c r="AM1391" s="232"/>
      <c r="AN1391" s="232"/>
      <c r="AO1391" s="232"/>
      <c r="AP1391" s="232"/>
      <c r="AQ1391" s="232"/>
      <c r="AR1391" s="232"/>
      <c r="AS1391" s="232"/>
      <c r="AT1391" s="232"/>
      <c r="AU1391" s="232"/>
      <c r="AV1391" s="232"/>
      <c r="AW1391" s="232"/>
      <c r="AX1391" s="232"/>
      <c r="AY1391" s="232"/>
      <c r="AZ1391" s="232"/>
      <c r="BA1391" s="232"/>
      <c r="BB1391" s="232"/>
      <c r="BC1391" s="232"/>
      <c r="BD1391" s="232"/>
      <c r="BE1391" s="232"/>
      <c r="BF1391" s="232"/>
      <c r="BG1391" s="232"/>
      <c r="BH1391" s="232"/>
      <c r="BI1391" s="232"/>
      <c r="BJ1391" s="232"/>
      <c r="BK1391" s="232"/>
      <c r="BL1391" s="232"/>
      <c r="BM1391" s="232"/>
      <c r="BN1391" s="232"/>
      <c r="BO1391" s="232"/>
      <c r="BP1391" s="232"/>
      <c r="BQ1391" s="232"/>
      <c r="BR1391" s="232"/>
      <c r="BS1391" s="232"/>
      <c r="BT1391" s="232"/>
      <c r="BU1391" s="232"/>
      <c r="BV1391" s="232"/>
      <c r="BW1391" s="232"/>
      <c r="BX1391" s="232"/>
      <c r="BY1391" s="232"/>
      <c r="BZ1391" s="232"/>
      <c r="CA1391" s="232"/>
      <c r="CB1391" s="232"/>
      <c r="CC1391" s="232"/>
      <c r="CD1391" s="232"/>
      <c r="CE1391" s="232"/>
      <c r="CF1391" s="232"/>
      <c r="CG1391" s="232"/>
      <c r="CH1391" s="232"/>
      <c r="CI1391" s="232"/>
      <c r="CJ1391" s="232"/>
      <c r="CK1391" s="232"/>
      <c r="CL1391" s="232"/>
      <c r="CM1391" s="232"/>
      <c r="CN1391" s="215"/>
      <c r="CO1391" s="215"/>
      <c r="CP1391" s="215"/>
      <c r="CQ1391" s="215"/>
      <c r="CR1391" s="215"/>
      <c r="CS1391" s="215"/>
      <c r="CT1391" s="215"/>
    </row>
    <row r="1392" ht="24.0" customHeight="1">
      <c r="A1392" s="287"/>
      <c r="B1392" s="287"/>
      <c r="C1392" s="287"/>
      <c r="D1392" s="232"/>
      <c r="E1392" s="232"/>
      <c r="F1392" s="232"/>
      <c r="G1392" s="232"/>
      <c r="H1392" s="232"/>
      <c r="I1392" s="232"/>
      <c r="J1392" s="232"/>
      <c r="K1392" s="232"/>
      <c r="L1392" s="232"/>
      <c r="M1392" s="232"/>
      <c r="N1392" s="289"/>
      <c r="O1392" s="232"/>
      <c r="P1392" s="232"/>
      <c r="Q1392" s="232"/>
      <c r="R1392" s="232"/>
      <c r="S1392" s="232"/>
      <c r="T1392" s="232"/>
      <c r="U1392" s="232"/>
      <c r="V1392" s="232"/>
      <c r="W1392" s="232"/>
      <c r="X1392" s="232"/>
      <c r="Y1392" s="232"/>
      <c r="Z1392" s="232"/>
      <c r="AA1392" s="232"/>
      <c r="AB1392" s="232"/>
      <c r="AC1392" s="232"/>
      <c r="AD1392" s="232"/>
      <c r="AE1392" s="232"/>
      <c r="AF1392" s="232"/>
      <c r="AG1392" s="232"/>
      <c r="AH1392" s="232"/>
      <c r="AI1392" s="232"/>
      <c r="AJ1392" s="232"/>
      <c r="AK1392" s="232"/>
      <c r="AL1392" s="232"/>
      <c r="AM1392" s="232"/>
      <c r="AN1392" s="232"/>
      <c r="AO1392" s="232"/>
      <c r="AP1392" s="232"/>
      <c r="AQ1392" s="232"/>
      <c r="AR1392" s="232"/>
      <c r="AS1392" s="232"/>
      <c r="AT1392" s="232"/>
      <c r="AU1392" s="232"/>
      <c r="AV1392" s="232"/>
      <c r="AW1392" s="232"/>
      <c r="AX1392" s="232"/>
      <c r="AY1392" s="232"/>
      <c r="AZ1392" s="232"/>
      <c r="BA1392" s="232"/>
      <c r="BB1392" s="232"/>
      <c r="BC1392" s="232"/>
      <c r="BD1392" s="232"/>
      <c r="BE1392" s="232"/>
      <c r="BF1392" s="232"/>
      <c r="BG1392" s="232"/>
      <c r="BH1392" s="232"/>
      <c r="BI1392" s="232"/>
      <c r="BJ1392" s="232"/>
      <c r="BK1392" s="232"/>
      <c r="BL1392" s="232"/>
      <c r="BM1392" s="232"/>
      <c r="BN1392" s="232"/>
      <c r="BO1392" s="232"/>
      <c r="BP1392" s="232"/>
      <c r="BQ1392" s="232"/>
      <c r="BR1392" s="232"/>
      <c r="BS1392" s="232"/>
      <c r="BT1392" s="232"/>
      <c r="BU1392" s="232"/>
      <c r="BV1392" s="232"/>
      <c r="BW1392" s="232"/>
      <c r="BX1392" s="232"/>
      <c r="BY1392" s="232"/>
      <c r="BZ1392" s="232"/>
      <c r="CA1392" s="232"/>
      <c r="CB1392" s="232"/>
      <c r="CC1392" s="232"/>
      <c r="CD1392" s="232"/>
      <c r="CE1392" s="232"/>
      <c r="CF1392" s="232"/>
      <c r="CG1392" s="232"/>
      <c r="CH1392" s="232"/>
      <c r="CI1392" s="232"/>
      <c r="CJ1392" s="232"/>
      <c r="CK1392" s="232"/>
      <c r="CL1392" s="232"/>
      <c r="CM1392" s="232"/>
      <c r="CN1392" s="215"/>
      <c r="CO1392" s="215"/>
      <c r="CP1392" s="215"/>
      <c r="CQ1392" s="215"/>
      <c r="CR1392" s="215"/>
      <c r="CS1392" s="215"/>
      <c r="CT1392" s="215"/>
    </row>
    <row r="1393" ht="24.0" customHeight="1">
      <c r="A1393" s="287"/>
      <c r="B1393" s="287"/>
      <c r="C1393" s="287"/>
      <c r="D1393" s="232"/>
      <c r="E1393" s="232"/>
      <c r="F1393" s="232"/>
      <c r="G1393" s="232"/>
      <c r="H1393" s="232"/>
      <c r="I1393" s="232"/>
      <c r="J1393" s="232"/>
      <c r="K1393" s="232"/>
      <c r="L1393" s="232"/>
      <c r="M1393" s="232"/>
      <c r="N1393" s="289"/>
      <c r="O1393" s="232"/>
      <c r="P1393" s="232"/>
      <c r="Q1393" s="232"/>
      <c r="R1393" s="232"/>
      <c r="S1393" s="232"/>
      <c r="T1393" s="232"/>
      <c r="U1393" s="232"/>
      <c r="V1393" s="232"/>
      <c r="W1393" s="232"/>
      <c r="X1393" s="232"/>
      <c r="Y1393" s="232"/>
      <c r="Z1393" s="232"/>
      <c r="AA1393" s="232"/>
      <c r="AB1393" s="232"/>
      <c r="AC1393" s="232"/>
      <c r="AD1393" s="232"/>
      <c r="AE1393" s="232"/>
      <c r="AF1393" s="232"/>
      <c r="AG1393" s="232"/>
      <c r="AH1393" s="232"/>
      <c r="AI1393" s="232"/>
      <c r="AJ1393" s="232"/>
      <c r="AK1393" s="232"/>
      <c r="AL1393" s="232"/>
      <c r="AM1393" s="232"/>
      <c r="AN1393" s="232"/>
      <c r="AO1393" s="232"/>
      <c r="AP1393" s="232"/>
      <c r="AQ1393" s="232"/>
      <c r="AR1393" s="232"/>
      <c r="AS1393" s="232"/>
      <c r="AT1393" s="232"/>
      <c r="AU1393" s="232"/>
      <c r="AV1393" s="232"/>
      <c r="AW1393" s="232"/>
      <c r="AX1393" s="232"/>
      <c r="AY1393" s="232"/>
      <c r="AZ1393" s="232"/>
      <c r="BA1393" s="232"/>
      <c r="BB1393" s="232"/>
      <c r="BC1393" s="232"/>
      <c r="BD1393" s="232"/>
      <c r="BE1393" s="232"/>
      <c r="BF1393" s="232"/>
      <c r="BG1393" s="232"/>
      <c r="BH1393" s="232"/>
      <c r="BI1393" s="232"/>
      <c r="BJ1393" s="232"/>
      <c r="BK1393" s="232"/>
      <c r="BL1393" s="232"/>
      <c r="BM1393" s="232"/>
      <c r="BN1393" s="232"/>
      <c r="BO1393" s="232"/>
      <c r="BP1393" s="232"/>
      <c r="BQ1393" s="232"/>
      <c r="BR1393" s="232"/>
      <c r="BS1393" s="232"/>
      <c r="BT1393" s="232"/>
      <c r="BU1393" s="232"/>
      <c r="BV1393" s="232"/>
      <c r="BW1393" s="232"/>
      <c r="BX1393" s="232"/>
      <c r="BY1393" s="232"/>
      <c r="BZ1393" s="232"/>
      <c r="CA1393" s="232"/>
      <c r="CB1393" s="232"/>
      <c r="CC1393" s="232"/>
      <c r="CD1393" s="232"/>
      <c r="CE1393" s="232"/>
      <c r="CF1393" s="232"/>
      <c r="CG1393" s="232"/>
      <c r="CH1393" s="232"/>
      <c r="CI1393" s="232"/>
      <c r="CJ1393" s="232"/>
      <c r="CK1393" s="232"/>
      <c r="CL1393" s="232"/>
      <c r="CM1393" s="232"/>
      <c r="CN1393" s="215"/>
      <c r="CO1393" s="215"/>
      <c r="CP1393" s="215"/>
      <c r="CQ1393" s="215"/>
      <c r="CR1393" s="215"/>
      <c r="CS1393" s="215"/>
      <c r="CT1393" s="215"/>
    </row>
    <row r="1394" ht="24.0" customHeight="1">
      <c r="A1394" s="287"/>
      <c r="B1394" s="287"/>
      <c r="C1394" s="287"/>
      <c r="D1394" s="232"/>
      <c r="E1394" s="232"/>
      <c r="F1394" s="232"/>
      <c r="G1394" s="232"/>
      <c r="H1394" s="232"/>
      <c r="I1394" s="232"/>
      <c r="J1394" s="232"/>
      <c r="K1394" s="232"/>
      <c r="L1394" s="232"/>
      <c r="M1394" s="232"/>
      <c r="N1394" s="289"/>
      <c r="O1394" s="232"/>
      <c r="P1394" s="232"/>
      <c r="Q1394" s="232"/>
      <c r="R1394" s="232"/>
      <c r="S1394" s="232"/>
      <c r="T1394" s="232"/>
      <c r="U1394" s="232"/>
      <c r="V1394" s="232"/>
      <c r="W1394" s="232"/>
      <c r="X1394" s="232"/>
      <c r="Y1394" s="232"/>
      <c r="Z1394" s="232"/>
      <c r="AA1394" s="232"/>
      <c r="AB1394" s="232"/>
      <c r="AC1394" s="232"/>
      <c r="AD1394" s="232"/>
      <c r="AE1394" s="232"/>
      <c r="AF1394" s="232"/>
      <c r="AG1394" s="232"/>
      <c r="AH1394" s="232"/>
      <c r="AI1394" s="232"/>
      <c r="AJ1394" s="232"/>
      <c r="AK1394" s="232"/>
      <c r="AL1394" s="232"/>
      <c r="AM1394" s="232"/>
      <c r="AN1394" s="232"/>
      <c r="AO1394" s="232"/>
      <c r="AP1394" s="232"/>
      <c r="AQ1394" s="232"/>
      <c r="AR1394" s="232"/>
      <c r="AS1394" s="232"/>
      <c r="AT1394" s="232"/>
      <c r="AU1394" s="232"/>
      <c r="AV1394" s="232"/>
      <c r="AW1394" s="232"/>
      <c r="AX1394" s="232"/>
      <c r="AY1394" s="232"/>
      <c r="AZ1394" s="232"/>
      <c r="BA1394" s="232"/>
      <c r="BB1394" s="232"/>
      <c r="BC1394" s="232"/>
      <c r="BD1394" s="232"/>
      <c r="BE1394" s="232"/>
      <c r="BF1394" s="232"/>
      <c r="BG1394" s="232"/>
      <c r="BH1394" s="232"/>
      <c r="BI1394" s="232"/>
      <c r="BJ1394" s="232"/>
      <c r="BK1394" s="232"/>
      <c r="BL1394" s="232"/>
      <c r="BM1394" s="232"/>
      <c r="BN1394" s="232"/>
      <c r="BO1394" s="232"/>
      <c r="BP1394" s="232"/>
      <c r="BQ1394" s="232"/>
      <c r="BR1394" s="232"/>
      <c r="BS1394" s="232"/>
      <c r="BT1394" s="232"/>
      <c r="BU1394" s="232"/>
      <c r="BV1394" s="232"/>
      <c r="BW1394" s="232"/>
      <c r="BX1394" s="232"/>
      <c r="BY1394" s="232"/>
      <c r="BZ1394" s="232"/>
      <c r="CA1394" s="232"/>
      <c r="CB1394" s="232"/>
      <c r="CC1394" s="232"/>
      <c r="CD1394" s="232"/>
      <c r="CE1394" s="232"/>
      <c r="CF1394" s="232"/>
      <c r="CG1394" s="232"/>
      <c r="CH1394" s="232"/>
      <c r="CI1394" s="232"/>
      <c r="CJ1394" s="232"/>
      <c r="CK1394" s="232"/>
      <c r="CL1394" s="232"/>
      <c r="CM1394" s="232"/>
      <c r="CN1394" s="215"/>
      <c r="CO1394" s="215"/>
      <c r="CP1394" s="215"/>
      <c r="CQ1394" s="215"/>
      <c r="CR1394" s="215"/>
      <c r="CS1394" s="215"/>
      <c r="CT1394" s="215"/>
    </row>
    <row r="1395" ht="24.0" customHeight="1">
      <c r="A1395" s="287"/>
      <c r="B1395" s="287"/>
      <c r="C1395" s="287"/>
      <c r="D1395" s="232"/>
      <c r="E1395" s="232"/>
      <c r="F1395" s="232"/>
      <c r="G1395" s="232"/>
      <c r="H1395" s="232"/>
      <c r="I1395" s="232"/>
      <c r="J1395" s="232"/>
      <c r="K1395" s="232"/>
      <c r="L1395" s="232"/>
      <c r="M1395" s="232"/>
      <c r="N1395" s="289"/>
      <c r="O1395" s="232"/>
      <c r="P1395" s="232"/>
      <c r="Q1395" s="232"/>
      <c r="R1395" s="232"/>
      <c r="S1395" s="232"/>
      <c r="T1395" s="232"/>
      <c r="U1395" s="232"/>
      <c r="V1395" s="232"/>
      <c r="W1395" s="232"/>
      <c r="X1395" s="232"/>
      <c r="Y1395" s="232"/>
      <c r="Z1395" s="232"/>
      <c r="AA1395" s="232"/>
      <c r="AB1395" s="232"/>
      <c r="AC1395" s="232"/>
      <c r="AD1395" s="232"/>
      <c r="AE1395" s="232"/>
      <c r="AF1395" s="232"/>
      <c r="AG1395" s="232"/>
      <c r="AH1395" s="232"/>
      <c r="AI1395" s="232"/>
      <c r="AJ1395" s="232"/>
      <c r="AK1395" s="232"/>
      <c r="AL1395" s="232"/>
      <c r="AM1395" s="232"/>
      <c r="AN1395" s="232"/>
      <c r="AO1395" s="232"/>
      <c r="AP1395" s="232"/>
      <c r="AQ1395" s="232"/>
      <c r="AR1395" s="232"/>
      <c r="AS1395" s="232"/>
      <c r="AT1395" s="232"/>
      <c r="AU1395" s="232"/>
      <c r="AV1395" s="232"/>
      <c r="AW1395" s="232"/>
      <c r="AX1395" s="232"/>
      <c r="AY1395" s="232"/>
      <c r="AZ1395" s="232"/>
      <c r="BA1395" s="232"/>
      <c r="BB1395" s="232"/>
      <c r="BC1395" s="232"/>
      <c r="BD1395" s="232"/>
      <c r="BE1395" s="232"/>
      <c r="BF1395" s="232"/>
      <c r="BG1395" s="232"/>
      <c r="BH1395" s="232"/>
      <c r="BI1395" s="232"/>
      <c r="BJ1395" s="232"/>
      <c r="BK1395" s="232"/>
      <c r="BL1395" s="232"/>
      <c r="BM1395" s="232"/>
      <c r="BN1395" s="232"/>
      <c r="BO1395" s="232"/>
      <c r="BP1395" s="232"/>
      <c r="BQ1395" s="232"/>
      <c r="BR1395" s="232"/>
      <c r="BS1395" s="232"/>
      <c r="BT1395" s="232"/>
      <c r="BU1395" s="232"/>
      <c r="BV1395" s="232"/>
      <c r="BW1395" s="232"/>
      <c r="BX1395" s="232"/>
      <c r="BY1395" s="232"/>
      <c r="BZ1395" s="232"/>
      <c r="CA1395" s="232"/>
      <c r="CB1395" s="232"/>
      <c r="CC1395" s="232"/>
      <c r="CD1395" s="232"/>
      <c r="CE1395" s="232"/>
      <c r="CF1395" s="232"/>
      <c r="CG1395" s="232"/>
      <c r="CH1395" s="232"/>
      <c r="CI1395" s="232"/>
      <c r="CJ1395" s="232"/>
      <c r="CK1395" s="232"/>
      <c r="CL1395" s="232"/>
      <c r="CM1395" s="232"/>
      <c r="CN1395" s="215"/>
      <c r="CO1395" s="215"/>
      <c r="CP1395" s="215"/>
      <c r="CQ1395" s="215"/>
      <c r="CR1395" s="215"/>
      <c r="CS1395" s="215"/>
      <c r="CT1395" s="215"/>
    </row>
    <row r="1396" ht="24.0" customHeight="1">
      <c r="A1396" s="287"/>
      <c r="B1396" s="287"/>
      <c r="C1396" s="287"/>
      <c r="D1396" s="232"/>
      <c r="E1396" s="232"/>
      <c r="F1396" s="232"/>
      <c r="G1396" s="232"/>
      <c r="H1396" s="232"/>
      <c r="I1396" s="232"/>
      <c r="J1396" s="232"/>
      <c r="K1396" s="232"/>
      <c r="L1396" s="232"/>
      <c r="M1396" s="232"/>
      <c r="N1396" s="289"/>
      <c r="O1396" s="232"/>
      <c r="P1396" s="232"/>
      <c r="Q1396" s="232"/>
      <c r="R1396" s="232"/>
      <c r="S1396" s="232"/>
      <c r="T1396" s="232"/>
      <c r="U1396" s="232"/>
      <c r="V1396" s="232"/>
      <c r="W1396" s="232"/>
      <c r="X1396" s="232"/>
      <c r="Y1396" s="232"/>
      <c r="Z1396" s="232"/>
      <c r="AA1396" s="232"/>
      <c r="AB1396" s="232"/>
      <c r="AC1396" s="232"/>
      <c r="AD1396" s="232"/>
      <c r="AE1396" s="232"/>
      <c r="AF1396" s="232"/>
      <c r="AG1396" s="232"/>
      <c r="AH1396" s="232"/>
      <c r="AI1396" s="232"/>
      <c r="AJ1396" s="232"/>
      <c r="AK1396" s="232"/>
      <c r="AL1396" s="232"/>
      <c r="AM1396" s="232"/>
      <c r="AN1396" s="232"/>
      <c r="AO1396" s="232"/>
      <c r="AP1396" s="232"/>
      <c r="AQ1396" s="232"/>
      <c r="AR1396" s="232"/>
      <c r="AS1396" s="232"/>
      <c r="AT1396" s="232"/>
      <c r="AU1396" s="232"/>
      <c r="AV1396" s="232"/>
      <c r="AW1396" s="232"/>
      <c r="AX1396" s="232"/>
      <c r="AY1396" s="232"/>
      <c r="AZ1396" s="232"/>
      <c r="BA1396" s="232"/>
      <c r="BB1396" s="232"/>
      <c r="BC1396" s="232"/>
      <c r="BD1396" s="232"/>
      <c r="BE1396" s="232"/>
      <c r="BF1396" s="232"/>
      <c r="BG1396" s="232"/>
      <c r="BH1396" s="232"/>
      <c r="BI1396" s="232"/>
      <c r="BJ1396" s="232"/>
      <c r="BK1396" s="232"/>
      <c r="BL1396" s="232"/>
      <c r="BM1396" s="232"/>
      <c r="BN1396" s="232"/>
      <c r="BO1396" s="232"/>
      <c r="BP1396" s="232"/>
      <c r="BQ1396" s="232"/>
      <c r="BR1396" s="232"/>
      <c r="BS1396" s="232"/>
      <c r="BT1396" s="232"/>
      <c r="BU1396" s="232"/>
      <c r="BV1396" s="232"/>
      <c r="BW1396" s="232"/>
      <c r="BX1396" s="232"/>
      <c r="BY1396" s="232"/>
      <c r="BZ1396" s="232"/>
      <c r="CA1396" s="232"/>
      <c r="CB1396" s="232"/>
      <c r="CC1396" s="232"/>
      <c r="CD1396" s="232"/>
      <c r="CE1396" s="232"/>
      <c r="CF1396" s="232"/>
      <c r="CG1396" s="232"/>
      <c r="CH1396" s="232"/>
      <c r="CI1396" s="232"/>
      <c r="CJ1396" s="232"/>
      <c r="CK1396" s="232"/>
      <c r="CL1396" s="232"/>
      <c r="CM1396" s="232"/>
      <c r="CN1396" s="215"/>
      <c r="CO1396" s="215"/>
      <c r="CP1396" s="215"/>
      <c r="CQ1396" s="215"/>
      <c r="CR1396" s="215"/>
      <c r="CS1396" s="215"/>
      <c r="CT1396" s="215"/>
    </row>
    <row r="1397" ht="24.0" customHeight="1">
      <c r="A1397" s="287"/>
      <c r="B1397" s="287"/>
      <c r="C1397" s="287"/>
      <c r="D1397" s="232"/>
      <c r="E1397" s="232"/>
      <c r="F1397" s="232"/>
      <c r="G1397" s="232"/>
      <c r="H1397" s="232"/>
      <c r="I1397" s="232"/>
      <c r="J1397" s="232"/>
      <c r="K1397" s="232"/>
      <c r="L1397" s="232"/>
      <c r="M1397" s="232"/>
      <c r="N1397" s="289"/>
      <c r="O1397" s="232"/>
      <c r="P1397" s="232"/>
      <c r="Q1397" s="232"/>
      <c r="R1397" s="232"/>
      <c r="S1397" s="232"/>
      <c r="T1397" s="232"/>
      <c r="U1397" s="232"/>
      <c r="V1397" s="232"/>
      <c r="W1397" s="232"/>
      <c r="X1397" s="232"/>
      <c r="Y1397" s="232"/>
      <c r="Z1397" s="232"/>
      <c r="AA1397" s="232"/>
      <c r="AB1397" s="232"/>
      <c r="AC1397" s="232"/>
      <c r="AD1397" s="232"/>
      <c r="AE1397" s="232"/>
      <c r="AF1397" s="232"/>
      <c r="AG1397" s="232"/>
      <c r="AH1397" s="232"/>
      <c r="AI1397" s="232"/>
      <c r="AJ1397" s="232"/>
      <c r="AK1397" s="232"/>
      <c r="AL1397" s="232"/>
      <c r="AM1397" s="232"/>
      <c r="AN1397" s="232"/>
      <c r="AO1397" s="232"/>
      <c r="AP1397" s="232"/>
      <c r="AQ1397" s="232"/>
      <c r="AR1397" s="232"/>
      <c r="AS1397" s="232"/>
      <c r="AT1397" s="232"/>
      <c r="AU1397" s="232"/>
      <c r="AV1397" s="232"/>
      <c r="AW1397" s="232"/>
      <c r="AX1397" s="232"/>
      <c r="AY1397" s="232"/>
      <c r="AZ1397" s="232"/>
      <c r="BA1397" s="232"/>
      <c r="BB1397" s="232"/>
      <c r="BC1397" s="232"/>
      <c r="BD1397" s="232"/>
      <c r="BE1397" s="232"/>
      <c r="BF1397" s="232"/>
      <c r="BG1397" s="232"/>
      <c r="BH1397" s="232"/>
      <c r="BI1397" s="232"/>
      <c r="BJ1397" s="232"/>
      <c r="BK1397" s="232"/>
      <c r="BL1397" s="232"/>
      <c r="BM1397" s="232"/>
      <c r="BN1397" s="232"/>
      <c r="BO1397" s="232"/>
      <c r="BP1397" s="232"/>
      <c r="BQ1397" s="232"/>
      <c r="BR1397" s="232"/>
      <c r="BS1397" s="232"/>
      <c r="BT1397" s="232"/>
      <c r="BU1397" s="232"/>
      <c r="BV1397" s="232"/>
      <c r="BW1397" s="232"/>
      <c r="BX1397" s="232"/>
      <c r="BY1397" s="232"/>
      <c r="BZ1397" s="232"/>
      <c r="CA1397" s="232"/>
      <c r="CB1397" s="232"/>
      <c r="CC1397" s="232"/>
      <c r="CD1397" s="232"/>
      <c r="CE1397" s="232"/>
      <c r="CF1397" s="232"/>
      <c r="CG1397" s="232"/>
      <c r="CH1397" s="232"/>
      <c r="CI1397" s="232"/>
      <c r="CJ1397" s="232"/>
      <c r="CK1397" s="232"/>
      <c r="CL1397" s="232"/>
      <c r="CM1397" s="232"/>
      <c r="CN1397" s="215"/>
      <c r="CO1397" s="215"/>
      <c r="CP1397" s="215"/>
      <c r="CQ1397" s="215"/>
      <c r="CR1397" s="215"/>
      <c r="CS1397" s="215"/>
      <c r="CT1397" s="215"/>
    </row>
    <row r="1398" ht="24.0" customHeight="1">
      <c r="A1398" s="287"/>
      <c r="B1398" s="287"/>
      <c r="C1398" s="287"/>
      <c r="D1398" s="232"/>
      <c r="E1398" s="232"/>
      <c r="F1398" s="232"/>
      <c r="G1398" s="232"/>
      <c r="H1398" s="232"/>
      <c r="I1398" s="232"/>
      <c r="J1398" s="232"/>
      <c r="K1398" s="232"/>
      <c r="L1398" s="232"/>
      <c r="M1398" s="232"/>
      <c r="N1398" s="289"/>
      <c r="O1398" s="232"/>
      <c r="P1398" s="232"/>
      <c r="Q1398" s="232"/>
      <c r="R1398" s="232"/>
      <c r="S1398" s="232"/>
      <c r="T1398" s="232"/>
      <c r="U1398" s="232"/>
      <c r="V1398" s="232"/>
      <c r="W1398" s="232"/>
      <c r="X1398" s="232"/>
      <c r="Y1398" s="232"/>
      <c r="Z1398" s="232"/>
      <c r="AA1398" s="232"/>
      <c r="AB1398" s="232"/>
      <c r="AC1398" s="232"/>
      <c r="AD1398" s="232"/>
      <c r="AE1398" s="232"/>
      <c r="AF1398" s="232"/>
      <c r="AG1398" s="232"/>
      <c r="AH1398" s="232"/>
      <c r="AI1398" s="232"/>
      <c r="AJ1398" s="232"/>
      <c r="AK1398" s="232"/>
      <c r="AL1398" s="232"/>
      <c r="AM1398" s="232"/>
      <c r="AN1398" s="232"/>
      <c r="AO1398" s="232"/>
      <c r="AP1398" s="232"/>
      <c r="AQ1398" s="232"/>
      <c r="AR1398" s="232"/>
      <c r="AS1398" s="232"/>
      <c r="AT1398" s="232"/>
      <c r="AU1398" s="232"/>
      <c r="AV1398" s="232"/>
      <c r="AW1398" s="232"/>
      <c r="AX1398" s="232"/>
      <c r="AY1398" s="232"/>
      <c r="AZ1398" s="232"/>
      <c r="BA1398" s="232"/>
      <c r="BB1398" s="232"/>
      <c r="BC1398" s="232"/>
      <c r="BD1398" s="232"/>
      <c r="BE1398" s="232"/>
      <c r="BF1398" s="232"/>
      <c r="BG1398" s="232"/>
      <c r="BH1398" s="232"/>
      <c r="BI1398" s="232"/>
      <c r="BJ1398" s="232"/>
      <c r="BK1398" s="232"/>
      <c r="BL1398" s="232"/>
      <c r="BM1398" s="232"/>
      <c r="BN1398" s="232"/>
      <c r="BO1398" s="232"/>
      <c r="BP1398" s="232"/>
      <c r="BQ1398" s="232"/>
      <c r="BR1398" s="232"/>
      <c r="BS1398" s="232"/>
      <c r="BT1398" s="232"/>
      <c r="BU1398" s="232"/>
      <c r="BV1398" s="232"/>
      <c r="BW1398" s="232"/>
      <c r="BX1398" s="232"/>
      <c r="BY1398" s="232"/>
      <c r="BZ1398" s="232"/>
      <c r="CA1398" s="232"/>
      <c r="CB1398" s="232"/>
      <c r="CC1398" s="232"/>
      <c r="CD1398" s="232"/>
      <c r="CE1398" s="232"/>
      <c r="CF1398" s="232"/>
      <c r="CG1398" s="232"/>
      <c r="CH1398" s="232"/>
      <c r="CI1398" s="232"/>
      <c r="CJ1398" s="232"/>
      <c r="CK1398" s="232"/>
      <c r="CL1398" s="232"/>
      <c r="CM1398" s="232"/>
      <c r="CN1398" s="215"/>
      <c r="CO1398" s="215"/>
      <c r="CP1398" s="215"/>
      <c r="CQ1398" s="215"/>
      <c r="CR1398" s="215"/>
      <c r="CS1398" s="215"/>
      <c r="CT1398" s="215"/>
    </row>
    <row r="1399" ht="24.0" customHeight="1">
      <c r="A1399" s="287"/>
      <c r="B1399" s="287"/>
      <c r="C1399" s="287"/>
      <c r="D1399" s="232"/>
      <c r="E1399" s="232"/>
      <c r="F1399" s="232"/>
      <c r="G1399" s="232"/>
      <c r="H1399" s="232"/>
      <c r="I1399" s="232"/>
      <c r="J1399" s="232"/>
      <c r="K1399" s="232"/>
      <c r="L1399" s="232"/>
      <c r="M1399" s="232"/>
      <c r="N1399" s="289"/>
      <c r="O1399" s="232"/>
      <c r="P1399" s="232"/>
      <c r="Q1399" s="232"/>
      <c r="R1399" s="232"/>
      <c r="S1399" s="232"/>
      <c r="T1399" s="232"/>
      <c r="U1399" s="232"/>
      <c r="V1399" s="232"/>
      <c r="W1399" s="232"/>
      <c r="X1399" s="232"/>
      <c r="Y1399" s="232"/>
      <c r="Z1399" s="232"/>
      <c r="AA1399" s="232"/>
      <c r="AB1399" s="232"/>
      <c r="AC1399" s="232"/>
      <c r="AD1399" s="232"/>
      <c r="AE1399" s="232"/>
      <c r="AF1399" s="232"/>
      <c r="AG1399" s="232"/>
      <c r="AH1399" s="232"/>
      <c r="AI1399" s="232"/>
      <c r="AJ1399" s="232"/>
      <c r="AK1399" s="232"/>
      <c r="AL1399" s="232"/>
      <c r="AM1399" s="232"/>
      <c r="AN1399" s="232"/>
      <c r="AO1399" s="232"/>
      <c r="AP1399" s="232"/>
      <c r="AQ1399" s="232"/>
      <c r="AR1399" s="232"/>
      <c r="AS1399" s="232"/>
      <c r="AT1399" s="232"/>
      <c r="AU1399" s="232"/>
      <c r="AV1399" s="232"/>
      <c r="AW1399" s="232"/>
      <c r="AX1399" s="232"/>
      <c r="AY1399" s="232"/>
      <c r="AZ1399" s="232"/>
      <c r="BA1399" s="232"/>
      <c r="BB1399" s="232"/>
      <c r="BC1399" s="232"/>
      <c r="BD1399" s="232"/>
      <c r="BE1399" s="232"/>
      <c r="BF1399" s="232"/>
      <c r="BG1399" s="232"/>
      <c r="BH1399" s="232"/>
      <c r="BI1399" s="232"/>
      <c r="BJ1399" s="232"/>
      <c r="BK1399" s="232"/>
      <c r="BL1399" s="232"/>
      <c r="BM1399" s="232"/>
      <c r="BN1399" s="232"/>
      <c r="BO1399" s="232"/>
      <c r="BP1399" s="232"/>
      <c r="BQ1399" s="232"/>
      <c r="BR1399" s="232"/>
      <c r="BS1399" s="232"/>
      <c r="BT1399" s="232"/>
      <c r="BU1399" s="232"/>
      <c r="BV1399" s="232"/>
      <c r="BW1399" s="232"/>
      <c r="BX1399" s="232"/>
      <c r="BY1399" s="232"/>
      <c r="BZ1399" s="232"/>
      <c r="CA1399" s="232"/>
      <c r="CB1399" s="232"/>
      <c r="CC1399" s="232"/>
      <c r="CD1399" s="232"/>
      <c r="CE1399" s="232"/>
      <c r="CF1399" s="232"/>
      <c r="CG1399" s="232"/>
      <c r="CH1399" s="232"/>
      <c r="CI1399" s="232"/>
      <c r="CJ1399" s="232"/>
      <c r="CK1399" s="232"/>
      <c r="CL1399" s="232"/>
      <c r="CM1399" s="232"/>
      <c r="CN1399" s="215"/>
      <c r="CO1399" s="215"/>
      <c r="CP1399" s="215"/>
      <c r="CQ1399" s="215"/>
      <c r="CR1399" s="215"/>
      <c r="CS1399" s="215"/>
      <c r="CT1399" s="215"/>
    </row>
    <row r="1400" ht="24.0" customHeight="1">
      <c r="A1400" s="287"/>
      <c r="B1400" s="287"/>
      <c r="C1400" s="287"/>
      <c r="D1400" s="232"/>
      <c r="E1400" s="232"/>
      <c r="F1400" s="232"/>
      <c r="G1400" s="232"/>
      <c r="H1400" s="232"/>
      <c r="I1400" s="232"/>
      <c r="J1400" s="232"/>
      <c r="K1400" s="232"/>
      <c r="L1400" s="232"/>
      <c r="M1400" s="232"/>
      <c r="N1400" s="289"/>
      <c r="O1400" s="232"/>
      <c r="P1400" s="232"/>
      <c r="Q1400" s="232"/>
      <c r="R1400" s="232"/>
      <c r="S1400" s="232"/>
      <c r="T1400" s="232"/>
      <c r="U1400" s="232"/>
      <c r="V1400" s="232"/>
      <c r="W1400" s="232"/>
      <c r="X1400" s="232"/>
      <c r="Y1400" s="232"/>
      <c r="Z1400" s="232"/>
      <c r="AA1400" s="232"/>
      <c r="AB1400" s="232"/>
      <c r="AC1400" s="232"/>
      <c r="AD1400" s="232"/>
      <c r="AE1400" s="232"/>
      <c r="AF1400" s="232"/>
      <c r="AG1400" s="232"/>
      <c r="AH1400" s="232"/>
      <c r="AI1400" s="232"/>
      <c r="AJ1400" s="232"/>
      <c r="AK1400" s="232"/>
      <c r="AL1400" s="232"/>
      <c r="AM1400" s="232"/>
      <c r="AN1400" s="232"/>
      <c r="AO1400" s="232"/>
      <c r="AP1400" s="232"/>
      <c r="AQ1400" s="232"/>
      <c r="AR1400" s="232"/>
      <c r="AS1400" s="232"/>
      <c r="AT1400" s="232"/>
      <c r="AU1400" s="232"/>
      <c r="AV1400" s="232"/>
      <c r="AW1400" s="232"/>
      <c r="AX1400" s="232"/>
      <c r="AY1400" s="232"/>
      <c r="AZ1400" s="232"/>
      <c r="BA1400" s="232"/>
      <c r="BB1400" s="232"/>
      <c r="BC1400" s="232"/>
      <c r="BD1400" s="232"/>
      <c r="BE1400" s="232"/>
      <c r="BF1400" s="232"/>
      <c r="BG1400" s="232"/>
      <c r="BH1400" s="232"/>
      <c r="BI1400" s="232"/>
      <c r="BJ1400" s="232"/>
      <c r="BK1400" s="232"/>
      <c r="BL1400" s="232"/>
      <c r="BM1400" s="232"/>
      <c r="BN1400" s="232"/>
      <c r="BO1400" s="232"/>
      <c r="BP1400" s="232"/>
      <c r="BQ1400" s="232"/>
      <c r="BR1400" s="232"/>
      <c r="BS1400" s="232"/>
      <c r="BT1400" s="232"/>
      <c r="BU1400" s="232"/>
      <c r="BV1400" s="232"/>
      <c r="BW1400" s="232"/>
      <c r="BX1400" s="232"/>
      <c r="BY1400" s="232"/>
      <c r="BZ1400" s="232"/>
      <c r="CA1400" s="232"/>
      <c r="CB1400" s="232"/>
      <c r="CC1400" s="232"/>
      <c r="CD1400" s="232"/>
      <c r="CE1400" s="232"/>
      <c r="CF1400" s="232"/>
      <c r="CG1400" s="232"/>
      <c r="CH1400" s="232"/>
      <c r="CI1400" s="232"/>
      <c r="CJ1400" s="232"/>
      <c r="CK1400" s="232"/>
      <c r="CL1400" s="232"/>
      <c r="CM1400" s="232"/>
      <c r="CN1400" s="215"/>
      <c r="CO1400" s="215"/>
      <c r="CP1400" s="215"/>
      <c r="CQ1400" s="215"/>
      <c r="CR1400" s="215"/>
      <c r="CS1400" s="215"/>
      <c r="CT1400" s="215"/>
    </row>
    <row r="1401" ht="24.0" customHeight="1">
      <c r="A1401" s="287"/>
      <c r="B1401" s="287"/>
      <c r="C1401" s="287"/>
      <c r="D1401" s="232"/>
      <c r="E1401" s="232"/>
      <c r="F1401" s="232"/>
      <c r="G1401" s="232"/>
      <c r="H1401" s="232"/>
      <c r="I1401" s="232"/>
      <c r="J1401" s="232"/>
      <c r="K1401" s="232"/>
      <c r="L1401" s="232"/>
      <c r="M1401" s="232"/>
      <c r="N1401" s="289"/>
      <c r="O1401" s="232"/>
      <c r="P1401" s="232"/>
      <c r="Q1401" s="232"/>
      <c r="R1401" s="232"/>
      <c r="S1401" s="232"/>
      <c r="T1401" s="232"/>
      <c r="U1401" s="232"/>
      <c r="V1401" s="232"/>
      <c r="W1401" s="232"/>
      <c r="X1401" s="232"/>
      <c r="Y1401" s="232"/>
      <c r="Z1401" s="232"/>
      <c r="AA1401" s="232"/>
      <c r="AB1401" s="232"/>
      <c r="AC1401" s="232"/>
      <c r="AD1401" s="232"/>
      <c r="AE1401" s="232"/>
      <c r="AF1401" s="232"/>
      <c r="AG1401" s="232"/>
      <c r="AH1401" s="232"/>
      <c r="AI1401" s="232"/>
      <c r="AJ1401" s="232"/>
      <c r="AK1401" s="232"/>
      <c r="AL1401" s="232"/>
      <c r="AM1401" s="232"/>
      <c r="AN1401" s="232"/>
      <c r="AO1401" s="232"/>
      <c r="AP1401" s="232"/>
      <c r="AQ1401" s="232"/>
      <c r="AR1401" s="232"/>
      <c r="AS1401" s="232"/>
      <c r="AT1401" s="232"/>
      <c r="AU1401" s="232"/>
      <c r="AV1401" s="232"/>
      <c r="AW1401" s="232"/>
      <c r="AX1401" s="232"/>
      <c r="AY1401" s="232"/>
      <c r="AZ1401" s="232"/>
      <c r="BA1401" s="232"/>
      <c r="BB1401" s="232"/>
      <c r="BC1401" s="232"/>
      <c r="BD1401" s="232"/>
      <c r="BE1401" s="232"/>
      <c r="BF1401" s="232"/>
      <c r="BG1401" s="232"/>
      <c r="BH1401" s="232"/>
      <c r="BI1401" s="232"/>
      <c r="BJ1401" s="232"/>
      <c r="BK1401" s="232"/>
      <c r="BL1401" s="232"/>
      <c r="BM1401" s="232"/>
      <c r="BN1401" s="232"/>
      <c r="BO1401" s="232"/>
      <c r="BP1401" s="232"/>
      <c r="BQ1401" s="232"/>
      <c r="BR1401" s="232"/>
      <c r="BS1401" s="232"/>
      <c r="BT1401" s="232"/>
      <c r="BU1401" s="232"/>
      <c r="BV1401" s="232"/>
      <c r="BW1401" s="232"/>
      <c r="BX1401" s="232"/>
      <c r="BY1401" s="232"/>
      <c r="BZ1401" s="232"/>
      <c r="CA1401" s="232"/>
      <c r="CB1401" s="232"/>
      <c r="CC1401" s="232"/>
      <c r="CD1401" s="232"/>
      <c r="CE1401" s="232"/>
      <c r="CF1401" s="232"/>
      <c r="CG1401" s="232"/>
      <c r="CH1401" s="232"/>
      <c r="CI1401" s="232"/>
      <c r="CJ1401" s="232"/>
      <c r="CK1401" s="232"/>
      <c r="CL1401" s="232"/>
      <c r="CM1401" s="232"/>
      <c r="CN1401" s="215"/>
      <c r="CO1401" s="215"/>
      <c r="CP1401" s="215"/>
      <c r="CQ1401" s="215"/>
      <c r="CR1401" s="215"/>
      <c r="CS1401" s="215"/>
      <c r="CT1401" s="215"/>
    </row>
    <row r="1402" ht="24.0" customHeight="1">
      <c r="A1402" s="287"/>
      <c r="B1402" s="287"/>
      <c r="C1402" s="287"/>
      <c r="D1402" s="232"/>
      <c r="E1402" s="232"/>
      <c r="F1402" s="232"/>
      <c r="G1402" s="232"/>
      <c r="H1402" s="232"/>
      <c r="I1402" s="232"/>
      <c r="J1402" s="232"/>
      <c r="K1402" s="232"/>
      <c r="L1402" s="232"/>
      <c r="M1402" s="232"/>
      <c r="N1402" s="289"/>
      <c r="O1402" s="232"/>
      <c r="P1402" s="232"/>
      <c r="Q1402" s="232"/>
      <c r="R1402" s="232"/>
      <c r="S1402" s="232"/>
      <c r="T1402" s="232"/>
      <c r="U1402" s="232"/>
      <c r="V1402" s="232"/>
      <c r="W1402" s="232"/>
      <c r="X1402" s="232"/>
      <c r="Y1402" s="232"/>
      <c r="Z1402" s="232"/>
      <c r="AA1402" s="232"/>
      <c r="AB1402" s="232"/>
      <c r="AC1402" s="232"/>
      <c r="AD1402" s="232"/>
      <c r="AE1402" s="232"/>
      <c r="AF1402" s="232"/>
      <c r="AG1402" s="232"/>
      <c r="AH1402" s="232"/>
      <c r="AI1402" s="232"/>
      <c r="AJ1402" s="232"/>
      <c r="AK1402" s="232"/>
      <c r="AL1402" s="232"/>
      <c r="AM1402" s="232"/>
      <c r="AN1402" s="232"/>
      <c r="AO1402" s="232"/>
      <c r="AP1402" s="232"/>
      <c r="AQ1402" s="232"/>
      <c r="AR1402" s="232"/>
      <c r="AS1402" s="232"/>
      <c r="AT1402" s="232"/>
      <c r="AU1402" s="232"/>
      <c r="AV1402" s="232"/>
      <c r="AW1402" s="232"/>
      <c r="AX1402" s="232"/>
      <c r="AY1402" s="232"/>
      <c r="AZ1402" s="232"/>
      <c r="BA1402" s="232"/>
      <c r="BB1402" s="232"/>
      <c r="BC1402" s="232"/>
      <c r="BD1402" s="232"/>
      <c r="BE1402" s="232"/>
      <c r="BF1402" s="232"/>
      <c r="BG1402" s="232"/>
      <c r="BH1402" s="232"/>
      <c r="BI1402" s="232"/>
      <c r="BJ1402" s="232"/>
      <c r="BK1402" s="232"/>
      <c r="BL1402" s="232"/>
      <c r="BM1402" s="232"/>
      <c r="BN1402" s="232"/>
      <c r="BO1402" s="232"/>
      <c r="BP1402" s="232"/>
      <c r="BQ1402" s="232"/>
      <c r="BR1402" s="232"/>
      <c r="BS1402" s="232"/>
      <c r="BT1402" s="232"/>
      <c r="BU1402" s="232"/>
      <c r="BV1402" s="232"/>
      <c r="BW1402" s="232"/>
      <c r="BX1402" s="232"/>
      <c r="BY1402" s="232"/>
      <c r="BZ1402" s="232"/>
      <c r="CA1402" s="232"/>
      <c r="CB1402" s="232"/>
      <c r="CC1402" s="232"/>
      <c r="CD1402" s="232"/>
      <c r="CE1402" s="232"/>
      <c r="CF1402" s="232"/>
      <c r="CG1402" s="232"/>
      <c r="CH1402" s="232"/>
      <c r="CI1402" s="232"/>
      <c r="CJ1402" s="232"/>
      <c r="CK1402" s="232"/>
      <c r="CL1402" s="232"/>
      <c r="CM1402" s="232"/>
      <c r="CN1402" s="215"/>
      <c r="CO1402" s="215"/>
      <c r="CP1402" s="215"/>
      <c r="CQ1402" s="215"/>
      <c r="CR1402" s="215"/>
      <c r="CS1402" s="215"/>
      <c r="CT1402" s="215"/>
    </row>
    <row r="1403" ht="24.0" customHeight="1">
      <c r="A1403" s="287"/>
      <c r="B1403" s="287"/>
      <c r="C1403" s="287"/>
      <c r="D1403" s="232"/>
      <c r="E1403" s="232"/>
      <c r="F1403" s="232"/>
      <c r="G1403" s="232"/>
      <c r="H1403" s="232"/>
      <c r="I1403" s="232"/>
      <c r="J1403" s="232"/>
      <c r="K1403" s="232"/>
      <c r="L1403" s="232"/>
      <c r="M1403" s="232"/>
      <c r="N1403" s="289"/>
      <c r="O1403" s="232"/>
      <c r="P1403" s="232"/>
      <c r="Q1403" s="232"/>
      <c r="R1403" s="232"/>
      <c r="S1403" s="232"/>
      <c r="T1403" s="232"/>
      <c r="U1403" s="232"/>
      <c r="V1403" s="232"/>
      <c r="W1403" s="232"/>
      <c r="X1403" s="232"/>
      <c r="Y1403" s="232"/>
      <c r="Z1403" s="232"/>
      <c r="AA1403" s="232"/>
      <c r="AB1403" s="232"/>
      <c r="AC1403" s="232"/>
      <c r="AD1403" s="232"/>
      <c r="AE1403" s="232"/>
      <c r="AF1403" s="232"/>
      <c r="AG1403" s="232"/>
      <c r="AH1403" s="232"/>
      <c r="AI1403" s="232"/>
      <c r="AJ1403" s="232"/>
      <c r="AK1403" s="232"/>
      <c r="AL1403" s="232"/>
      <c r="AM1403" s="232"/>
      <c r="AN1403" s="232"/>
      <c r="AO1403" s="232"/>
      <c r="AP1403" s="232"/>
      <c r="AQ1403" s="232"/>
      <c r="AR1403" s="232"/>
      <c r="AS1403" s="232"/>
      <c r="AT1403" s="232"/>
      <c r="AU1403" s="232"/>
      <c r="AV1403" s="232"/>
      <c r="AW1403" s="232"/>
      <c r="AX1403" s="232"/>
      <c r="AY1403" s="232"/>
      <c r="AZ1403" s="232"/>
      <c r="BA1403" s="232"/>
      <c r="BB1403" s="232"/>
      <c r="BC1403" s="232"/>
      <c r="BD1403" s="232"/>
      <c r="BE1403" s="232"/>
      <c r="BF1403" s="232"/>
      <c r="BG1403" s="232"/>
      <c r="BH1403" s="232"/>
      <c r="BI1403" s="232"/>
      <c r="BJ1403" s="232"/>
      <c r="BK1403" s="232"/>
      <c r="BL1403" s="232"/>
      <c r="BM1403" s="232"/>
      <c r="BN1403" s="232"/>
      <c r="BO1403" s="232"/>
      <c r="BP1403" s="232"/>
      <c r="BQ1403" s="232"/>
      <c r="BR1403" s="232"/>
      <c r="BS1403" s="232"/>
      <c r="BT1403" s="232"/>
      <c r="BU1403" s="232"/>
      <c r="BV1403" s="232"/>
      <c r="BW1403" s="232"/>
      <c r="BX1403" s="232"/>
      <c r="BY1403" s="232"/>
      <c r="BZ1403" s="232"/>
      <c r="CA1403" s="232"/>
      <c r="CB1403" s="232"/>
      <c r="CC1403" s="232"/>
      <c r="CD1403" s="232"/>
      <c r="CE1403" s="232"/>
      <c r="CF1403" s="232"/>
      <c r="CG1403" s="232"/>
      <c r="CH1403" s="232"/>
      <c r="CI1403" s="232"/>
      <c r="CJ1403" s="232"/>
      <c r="CK1403" s="232"/>
      <c r="CL1403" s="232"/>
      <c r="CM1403" s="232"/>
      <c r="CN1403" s="215"/>
      <c r="CO1403" s="215"/>
      <c r="CP1403" s="215"/>
      <c r="CQ1403" s="215"/>
      <c r="CR1403" s="215"/>
      <c r="CS1403" s="215"/>
      <c r="CT1403" s="215"/>
    </row>
    <row r="1404" ht="24.0" customHeight="1">
      <c r="A1404" s="287"/>
      <c r="B1404" s="287"/>
      <c r="C1404" s="287"/>
      <c r="D1404" s="232"/>
      <c r="E1404" s="232"/>
      <c r="F1404" s="232"/>
      <c r="G1404" s="232"/>
      <c r="H1404" s="232"/>
      <c r="I1404" s="232"/>
      <c r="J1404" s="232"/>
      <c r="K1404" s="232"/>
      <c r="L1404" s="232"/>
      <c r="M1404" s="232"/>
      <c r="N1404" s="289"/>
      <c r="O1404" s="232"/>
      <c r="P1404" s="232"/>
      <c r="Q1404" s="232"/>
      <c r="R1404" s="232"/>
      <c r="S1404" s="232"/>
      <c r="T1404" s="232"/>
      <c r="U1404" s="232"/>
      <c r="V1404" s="232"/>
      <c r="W1404" s="232"/>
      <c r="X1404" s="232"/>
      <c r="Y1404" s="232"/>
      <c r="Z1404" s="232"/>
      <c r="AA1404" s="232"/>
      <c r="AB1404" s="232"/>
      <c r="AC1404" s="232"/>
      <c r="AD1404" s="232"/>
      <c r="AE1404" s="232"/>
      <c r="AF1404" s="232"/>
      <c r="AG1404" s="232"/>
      <c r="AH1404" s="232"/>
      <c r="AI1404" s="232"/>
      <c r="AJ1404" s="232"/>
      <c r="AK1404" s="232"/>
      <c r="AL1404" s="232"/>
      <c r="AM1404" s="232"/>
      <c r="AN1404" s="232"/>
      <c r="AO1404" s="232"/>
      <c r="AP1404" s="232"/>
      <c r="AQ1404" s="232"/>
      <c r="AR1404" s="232"/>
      <c r="AS1404" s="232"/>
      <c r="AT1404" s="232"/>
      <c r="AU1404" s="232"/>
      <c r="AV1404" s="232"/>
      <c r="AW1404" s="232"/>
      <c r="AX1404" s="232"/>
      <c r="AY1404" s="232"/>
      <c r="AZ1404" s="232"/>
      <c r="BA1404" s="232"/>
      <c r="BB1404" s="232"/>
      <c r="BC1404" s="232"/>
      <c r="BD1404" s="232"/>
      <c r="BE1404" s="232"/>
      <c r="BF1404" s="232"/>
      <c r="BG1404" s="232"/>
      <c r="BH1404" s="232"/>
      <c r="BI1404" s="232"/>
      <c r="BJ1404" s="232"/>
      <c r="BK1404" s="232"/>
      <c r="BL1404" s="232"/>
      <c r="BM1404" s="232"/>
      <c r="BN1404" s="232"/>
      <c r="BO1404" s="232"/>
      <c r="BP1404" s="232"/>
      <c r="BQ1404" s="232"/>
      <c r="BR1404" s="232"/>
      <c r="BS1404" s="232"/>
      <c r="BT1404" s="232"/>
      <c r="BU1404" s="232"/>
      <c r="BV1404" s="232"/>
      <c r="BW1404" s="232"/>
      <c r="BX1404" s="232"/>
      <c r="BY1404" s="232"/>
      <c r="BZ1404" s="232"/>
      <c r="CA1404" s="232"/>
      <c r="CB1404" s="232"/>
      <c r="CC1404" s="232"/>
      <c r="CD1404" s="232"/>
      <c r="CE1404" s="232"/>
      <c r="CF1404" s="232"/>
      <c r="CG1404" s="232"/>
      <c r="CH1404" s="232"/>
      <c r="CI1404" s="232"/>
      <c r="CJ1404" s="232"/>
      <c r="CK1404" s="232"/>
      <c r="CL1404" s="232"/>
      <c r="CM1404" s="232"/>
      <c r="CN1404" s="215"/>
      <c r="CO1404" s="215"/>
      <c r="CP1404" s="215"/>
      <c r="CQ1404" s="215"/>
      <c r="CR1404" s="215"/>
      <c r="CS1404" s="215"/>
      <c r="CT1404" s="215"/>
    </row>
    <row r="1405" ht="24.0" customHeight="1">
      <c r="A1405" s="287"/>
      <c r="B1405" s="287"/>
      <c r="C1405" s="287"/>
      <c r="D1405" s="232"/>
      <c r="E1405" s="232"/>
      <c r="F1405" s="232"/>
      <c r="G1405" s="232"/>
      <c r="H1405" s="232"/>
      <c r="I1405" s="232"/>
      <c r="J1405" s="232"/>
      <c r="K1405" s="232"/>
      <c r="L1405" s="232"/>
      <c r="M1405" s="232"/>
      <c r="N1405" s="289"/>
      <c r="O1405" s="232"/>
      <c r="P1405" s="232"/>
      <c r="Q1405" s="232"/>
      <c r="R1405" s="232"/>
      <c r="S1405" s="232"/>
      <c r="T1405" s="232"/>
      <c r="U1405" s="232"/>
      <c r="V1405" s="232"/>
      <c r="W1405" s="232"/>
      <c r="X1405" s="232"/>
      <c r="Y1405" s="232"/>
      <c r="Z1405" s="232"/>
      <c r="AA1405" s="232"/>
      <c r="AB1405" s="232"/>
      <c r="AC1405" s="232"/>
      <c r="AD1405" s="232"/>
      <c r="AE1405" s="232"/>
      <c r="AF1405" s="232"/>
      <c r="AG1405" s="232"/>
      <c r="AH1405" s="232"/>
      <c r="AI1405" s="232"/>
      <c r="AJ1405" s="232"/>
      <c r="AK1405" s="232"/>
      <c r="AL1405" s="232"/>
      <c r="AM1405" s="232"/>
      <c r="AN1405" s="232"/>
      <c r="AO1405" s="232"/>
      <c r="AP1405" s="232"/>
      <c r="AQ1405" s="232"/>
      <c r="AR1405" s="232"/>
      <c r="AS1405" s="232"/>
      <c r="AT1405" s="232"/>
      <c r="AU1405" s="232"/>
      <c r="AV1405" s="232"/>
      <c r="AW1405" s="232"/>
      <c r="AX1405" s="232"/>
      <c r="AY1405" s="232"/>
      <c r="AZ1405" s="232"/>
      <c r="BA1405" s="232"/>
      <c r="BB1405" s="232"/>
      <c r="BC1405" s="232"/>
      <c r="BD1405" s="232"/>
      <c r="BE1405" s="232"/>
      <c r="BF1405" s="232"/>
      <c r="BG1405" s="232"/>
      <c r="BH1405" s="232"/>
      <c r="BI1405" s="232"/>
      <c r="BJ1405" s="232"/>
      <c r="BK1405" s="232"/>
      <c r="BL1405" s="232"/>
      <c r="BM1405" s="232"/>
      <c r="BN1405" s="232"/>
      <c r="BO1405" s="232"/>
      <c r="BP1405" s="232"/>
      <c r="BQ1405" s="232"/>
      <c r="BR1405" s="232"/>
      <c r="BS1405" s="232"/>
      <c r="BT1405" s="232"/>
      <c r="BU1405" s="232"/>
      <c r="BV1405" s="232"/>
      <c r="BW1405" s="232"/>
      <c r="BX1405" s="232"/>
      <c r="BY1405" s="232"/>
      <c r="BZ1405" s="232"/>
      <c r="CA1405" s="232"/>
      <c r="CB1405" s="232"/>
      <c r="CC1405" s="232"/>
      <c r="CD1405" s="232"/>
      <c r="CE1405" s="232"/>
      <c r="CF1405" s="232"/>
      <c r="CG1405" s="232"/>
      <c r="CH1405" s="232"/>
      <c r="CI1405" s="232"/>
      <c r="CJ1405" s="232"/>
      <c r="CK1405" s="232"/>
      <c r="CL1405" s="232"/>
      <c r="CM1405" s="232"/>
      <c r="CN1405" s="215"/>
      <c r="CO1405" s="215"/>
      <c r="CP1405" s="215"/>
      <c r="CQ1405" s="215"/>
      <c r="CR1405" s="215"/>
      <c r="CS1405" s="215"/>
      <c r="CT1405" s="215"/>
    </row>
    <row r="1406" ht="24.0" customHeight="1">
      <c r="A1406" s="287"/>
      <c r="B1406" s="287"/>
      <c r="C1406" s="287"/>
      <c r="D1406" s="232"/>
      <c r="E1406" s="232"/>
      <c r="F1406" s="232"/>
      <c r="G1406" s="232"/>
      <c r="H1406" s="232"/>
      <c r="I1406" s="232"/>
      <c r="J1406" s="232"/>
      <c r="K1406" s="232"/>
      <c r="L1406" s="232"/>
      <c r="M1406" s="232"/>
      <c r="N1406" s="289"/>
      <c r="O1406" s="232"/>
      <c r="P1406" s="232"/>
      <c r="Q1406" s="232"/>
      <c r="R1406" s="232"/>
      <c r="S1406" s="232"/>
      <c r="T1406" s="232"/>
      <c r="U1406" s="232"/>
      <c r="V1406" s="232"/>
      <c r="W1406" s="232"/>
      <c r="X1406" s="232"/>
      <c r="Y1406" s="232"/>
      <c r="Z1406" s="232"/>
      <c r="AA1406" s="232"/>
      <c r="AB1406" s="232"/>
      <c r="AC1406" s="232"/>
      <c r="AD1406" s="232"/>
      <c r="AE1406" s="232"/>
      <c r="AF1406" s="232"/>
      <c r="AG1406" s="232"/>
      <c r="AH1406" s="232"/>
      <c r="AI1406" s="232"/>
      <c r="AJ1406" s="232"/>
      <c r="AK1406" s="232"/>
      <c r="AL1406" s="232"/>
      <c r="AM1406" s="232"/>
      <c r="AN1406" s="232"/>
      <c r="AO1406" s="232"/>
      <c r="AP1406" s="232"/>
      <c r="AQ1406" s="232"/>
      <c r="AR1406" s="232"/>
      <c r="AS1406" s="232"/>
      <c r="AT1406" s="232"/>
      <c r="AU1406" s="232"/>
      <c r="AV1406" s="232"/>
      <c r="AW1406" s="232"/>
      <c r="AX1406" s="232"/>
      <c r="AY1406" s="232"/>
      <c r="AZ1406" s="232"/>
      <c r="BA1406" s="232"/>
      <c r="BB1406" s="232"/>
      <c r="BC1406" s="232"/>
      <c r="BD1406" s="232"/>
      <c r="BE1406" s="232"/>
      <c r="BF1406" s="232"/>
      <c r="BG1406" s="232"/>
      <c r="BH1406" s="232"/>
      <c r="BI1406" s="232"/>
      <c r="BJ1406" s="232"/>
      <c r="BK1406" s="232"/>
      <c r="BL1406" s="232"/>
      <c r="BM1406" s="232"/>
      <c r="BN1406" s="232"/>
      <c r="BO1406" s="232"/>
      <c r="BP1406" s="232"/>
      <c r="BQ1406" s="232"/>
      <c r="BR1406" s="232"/>
      <c r="BS1406" s="232"/>
      <c r="BT1406" s="232"/>
      <c r="BU1406" s="232"/>
      <c r="BV1406" s="232"/>
      <c r="BW1406" s="232"/>
      <c r="BX1406" s="232"/>
      <c r="BY1406" s="232"/>
      <c r="BZ1406" s="232"/>
      <c r="CA1406" s="232"/>
      <c r="CB1406" s="232"/>
      <c r="CC1406" s="232"/>
      <c r="CD1406" s="232"/>
      <c r="CE1406" s="232"/>
      <c r="CF1406" s="232"/>
      <c r="CG1406" s="232"/>
      <c r="CH1406" s="232"/>
      <c r="CI1406" s="232"/>
      <c r="CJ1406" s="232"/>
      <c r="CK1406" s="232"/>
      <c r="CL1406" s="232"/>
      <c r="CM1406" s="232"/>
      <c r="CN1406" s="215"/>
      <c r="CO1406" s="215"/>
      <c r="CP1406" s="215"/>
      <c r="CQ1406" s="215"/>
      <c r="CR1406" s="215"/>
      <c r="CS1406" s="215"/>
      <c r="CT1406" s="215"/>
    </row>
    <row r="1407" ht="24.0" customHeight="1">
      <c r="A1407" s="287"/>
      <c r="B1407" s="287"/>
      <c r="C1407" s="287"/>
      <c r="D1407" s="232"/>
      <c r="E1407" s="232"/>
      <c r="F1407" s="232"/>
      <c r="G1407" s="232"/>
      <c r="H1407" s="232"/>
      <c r="I1407" s="232"/>
      <c r="J1407" s="232"/>
      <c r="K1407" s="232"/>
      <c r="L1407" s="232"/>
      <c r="M1407" s="232"/>
      <c r="N1407" s="289"/>
      <c r="O1407" s="232"/>
      <c r="P1407" s="232"/>
      <c r="Q1407" s="232"/>
      <c r="R1407" s="232"/>
      <c r="S1407" s="232"/>
      <c r="T1407" s="232"/>
      <c r="U1407" s="232"/>
      <c r="V1407" s="232"/>
      <c r="W1407" s="232"/>
      <c r="X1407" s="232"/>
      <c r="Y1407" s="232"/>
      <c r="Z1407" s="232"/>
      <c r="AA1407" s="232"/>
      <c r="AB1407" s="232"/>
      <c r="AC1407" s="232"/>
      <c r="AD1407" s="232"/>
      <c r="AE1407" s="232"/>
      <c r="AF1407" s="232"/>
      <c r="AG1407" s="232"/>
      <c r="AH1407" s="232"/>
      <c r="AI1407" s="232"/>
      <c r="AJ1407" s="232"/>
      <c r="AK1407" s="232"/>
      <c r="AL1407" s="232"/>
      <c r="AM1407" s="232"/>
      <c r="AN1407" s="232"/>
      <c r="AO1407" s="232"/>
      <c r="AP1407" s="232"/>
      <c r="AQ1407" s="232"/>
      <c r="AR1407" s="232"/>
      <c r="AS1407" s="232"/>
      <c r="AT1407" s="232"/>
      <c r="AU1407" s="232"/>
      <c r="AV1407" s="232"/>
      <c r="AW1407" s="232"/>
      <c r="AX1407" s="232"/>
      <c r="AY1407" s="232"/>
      <c r="AZ1407" s="232"/>
      <c r="BA1407" s="232"/>
      <c r="BB1407" s="232"/>
      <c r="BC1407" s="232"/>
      <c r="BD1407" s="232"/>
      <c r="BE1407" s="232"/>
      <c r="BF1407" s="232"/>
      <c r="BG1407" s="232"/>
      <c r="BH1407" s="232"/>
      <c r="BI1407" s="232"/>
      <c r="BJ1407" s="232"/>
      <c r="BK1407" s="232"/>
      <c r="BL1407" s="232"/>
      <c r="BM1407" s="232"/>
      <c r="BN1407" s="232"/>
      <c r="BO1407" s="232"/>
      <c r="BP1407" s="232"/>
      <c r="BQ1407" s="232"/>
      <c r="BR1407" s="232"/>
      <c r="BS1407" s="232"/>
      <c r="BT1407" s="232"/>
      <c r="BU1407" s="232"/>
      <c r="BV1407" s="232"/>
      <c r="BW1407" s="232"/>
      <c r="BX1407" s="232"/>
      <c r="BY1407" s="232"/>
      <c r="BZ1407" s="232"/>
      <c r="CA1407" s="232"/>
      <c r="CB1407" s="232"/>
      <c r="CC1407" s="232"/>
      <c r="CD1407" s="232"/>
      <c r="CE1407" s="232"/>
      <c r="CF1407" s="232"/>
      <c r="CG1407" s="232"/>
      <c r="CH1407" s="232"/>
      <c r="CI1407" s="232"/>
      <c r="CJ1407" s="232"/>
      <c r="CK1407" s="232"/>
      <c r="CL1407" s="232"/>
      <c r="CM1407" s="232"/>
      <c r="CN1407" s="215"/>
      <c r="CO1407" s="215"/>
      <c r="CP1407" s="215"/>
      <c r="CQ1407" s="215"/>
      <c r="CR1407" s="215"/>
      <c r="CS1407" s="215"/>
      <c r="CT1407" s="215"/>
    </row>
    <row r="1408" ht="24.0" customHeight="1">
      <c r="A1408" s="287"/>
      <c r="B1408" s="287"/>
      <c r="C1408" s="287"/>
      <c r="D1408" s="232"/>
      <c r="E1408" s="232"/>
      <c r="F1408" s="232"/>
      <c r="G1408" s="232"/>
      <c r="H1408" s="232"/>
      <c r="I1408" s="232"/>
      <c r="J1408" s="232"/>
      <c r="K1408" s="232"/>
      <c r="L1408" s="232"/>
      <c r="M1408" s="232"/>
      <c r="N1408" s="289"/>
      <c r="O1408" s="232"/>
      <c r="P1408" s="232"/>
      <c r="Q1408" s="232"/>
      <c r="R1408" s="232"/>
      <c r="S1408" s="232"/>
      <c r="T1408" s="232"/>
      <c r="U1408" s="232"/>
      <c r="V1408" s="232"/>
      <c r="W1408" s="232"/>
      <c r="X1408" s="232"/>
      <c r="Y1408" s="232"/>
      <c r="Z1408" s="232"/>
      <c r="AA1408" s="232"/>
      <c r="AB1408" s="232"/>
      <c r="AC1408" s="232"/>
      <c r="AD1408" s="232"/>
      <c r="AE1408" s="232"/>
      <c r="AF1408" s="232"/>
      <c r="AG1408" s="232"/>
      <c r="AH1408" s="232"/>
      <c r="AI1408" s="232"/>
      <c r="AJ1408" s="232"/>
      <c r="AK1408" s="232"/>
      <c r="AL1408" s="232"/>
      <c r="AM1408" s="232"/>
      <c r="AN1408" s="232"/>
      <c r="AO1408" s="232"/>
      <c r="AP1408" s="232"/>
      <c r="AQ1408" s="232"/>
      <c r="AR1408" s="232"/>
      <c r="AS1408" s="232"/>
      <c r="AT1408" s="232"/>
      <c r="AU1408" s="232"/>
      <c r="AV1408" s="232"/>
      <c r="AW1408" s="232"/>
      <c r="AX1408" s="232"/>
      <c r="AY1408" s="232"/>
      <c r="AZ1408" s="232"/>
      <c r="BA1408" s="232"/>
      <c r="BB1408" s="232"/>
      <c r="BC1408" s="232"/>
      <c r="BD1408" s="232"/>
      <c r="BE1408" s="232"/>
      <c r="BF1408" s="232"/>
      <c r="BG1408" s="232"/>
      <c r="BH1408" s="232"/>
      <c r="BI1408" s="232"/>
      <c r="BJ1408" s="232"/>
      <c r="BK1408" s="232"/>
      <c r="BL1408" s="232"/>
      <c r="BM1408" s="232"/>
      <c r="BN1408" s="232"/>
      <c r="BO1408" s="232"/>
      <c r="BP1408" s="232"/>
      <c r="BQ1408" s="232"/>
      <c r="BR1408" s="232"/>
      <c r="BS1408" s="232"/>
      <c r="BT1408" s="232"/>
      <c r="BU1408" s="232"/>
      <c r="BV1408" s="232"/>
      <c r="BW1408" s="232"/>
      <c r="BX1408" s="232"/>
      <c r="BY1408" s="232"/>
      <c r="BZ1408" s="232"/>
      <c r="CA1408" s="232"/>
      <c r="CB1408" s="232"/>
      <c r="CC1408" s="232"/>
      <c r="CD1408" s="232"/>
      <c r="CE1408" s="232"/>
      <c r="CF1408" s="232"/>
      <c r="CG1408" s="232"/>
      <c r="CH1408" s="232"/>
      <c r="CI1408" s="232"/>
      <c r="CJ1408" s="232"/>
      <c r="CK1408" s="232"/>
      <c r="CL1408" s="232"/>
      <c r="CM1408" s="232"/>
      <c r="CN1408" s="215"/>
      <c r="CO1408" s="215"/>
      <c r="CP1408" s="215"/>
      <c r="CQ1408" s="215"/>
      <c r="CR1408" s="215"/>
      <c r="CS1408" s="215"/>
      <c r="CT1408" s="215"/>
    </row>
    <row r="1409" ht="24.0" customHeight="1">
      <c r="A1409" s="287"/>
      <c r="B1409" s="287"/>
      <c r="C1409" s="287"/>
      <c r="D1409" s="232"/>
      <c r="E1409" s="232"/>
      <c r="F1409" s="232"/>
      <c r="G1409" s="232"/>
      <c r="H1409" s="232"/>
      <c r="I1409" s="232"/>
      <c r="J1409" s="232"/>
      <c r="K1409" s="232"/>
      <c r="L1409" s="232"/>
      <c r="M1409" s="232"/>
      <c r="N1409" s="289"/>
      <c r="O1409" s="232"/>
      <c r="P1409" s="232"/>
      <c r="Q1409" s="232"/>
      <c r="R1409" s="232"/>
      <c r="S1409" s="232"/>
      <c r="T1409" s="232"/>
      <c r="U1409" s="232"/>
      <c r="V1409" s="232"/>
      <c r="W1409" s="232"/>
      <c r="X1409" s="232"/>
      <c r="Y1409" s="232"/>
      <c r="Z1409" s="232"/>
      <c r="AA1409" s="232"/>
      <c r="AB1409" s="232"/>
      <c r="AC1409" s="232"/>
      <c r="AD1409" s="232"/>
      <c r="AE1409" s="232"/>
      <c r="AF1409" s="232"/>
      <c r="AG1409" s="232"/>
      <c r="AH1409" s="232"/>
      <c r="AI1409" s="232"/>
      <c r="AJ1409" s="232"/>
      <c r="AK1409" s="232"/>
      <c r="AL1409" s="232"/>
      <c r="AM1409" s="232"/>
      <c r="AN1409" s="232"/>
      <c r="AO1409" s="232"/>
      <c r="AP1409" s="232"/>
      <c r="AQ1409" s="232"/>
      <c r="AR1409" s="232"/>
      <c r="AS1409" s="232"/>
      <c r="AT1409" s="232"/>
      <c r="AU1409" s="232"/>
      <c r="AV1409" s="232"/>
      <c r="AW1409" s="232"/>
      <c r="AX1409" s="232"/>
      <c r="AY1409" s="232"/>
      <c r="AZ1409" s="232"/>
      <c r="BA1409" s="232"/>
      <c r="BB1409" s="232"/>
      <c r="BC1409" s="232"/>
      <c r="BD1409" s="232"/>
      <c r="BE1409" s="232"/>
      <c r="BF1409" s="232"/>
      <c r="BG1409" s="232"/>
      <c r="BH1409" s="232"/>
      <c r="BI1409" s="232"/>
      <c r="BJ1409" s="232"/>
      <c r="BK1409" s="232"/>
      <c r="BL1409" s="232"/>
      <c r="BM1409" s="232"/>
      <c r="BN1409" s="232"/>
      <c r="BO1409" s="232"/>
      <c r="BP1409" s="232"/>
      <c r="BQ1409" s="232"/>
      <c r="BR1409" s="232"/>
      <c r="BS1409" s="232"/>
      <c r="BT1409" s="232"/>
      <c r="BU1409" s="232"/>
      <c r="BV1409" s="232"/>
      <c r="BW1409" s="232"/>
      <c r="BX1409" s="232"/>
      <c r="BY1409" s="232"/>
      <c r="BZ1409" s="232"/>
      <c r="CA1409" s="232"/>
      <c r="CB1409" s="232"/>
      <c r="CC1409" s="232"/>
      <c r="CD1409" s="232"/>
      <c r="CE1409" s="232"/>
      <c r="CF1409" s="232"/>
      <c r="CG1409" s="232"/>
      <c r="CH1409" s="232"/>
      <c r="CI1409" s="232"/>
      <c r="CJ1409" s="232"/>
      <c r="CK1409" s="232"/>
      <c r="CL1409" s="232"/>
      <c r="CM1409" s="232"/>
      <c r="CN1409" s="215"/>
      <c r="CO1409" s="215"/>
      <c r="CP1409" s="215"/>
      <c r="CQ1409" s="215"/>
      <c r="CR1409" s="215"/>
      <c r="CS1409" s="215"/>
      <c r="CT1409" s="215"/>
    </row>
    <row r="1410" ht="24.0" customHeight="1">
      <c r="A1410" s="287"/>
      <c r="B1410" s="287"/>
      <c r="C1410" s="287"/>
      <c r="D1410" s="232"/>
      <c r="E1410" s="232"/>
      <c r="F1410" s="232"/>
      <c r="G1410" s="232"/>
      <c r="H1410" s="232"/>
      <c r="I1410" s="232"/>
      <c r="J1410" s="232"/>
      <c r="K1410" s="232"/>
      <c r="L1410" s="232"/>
      <c r="M1410" s="232"/>
      <c r="N1410" s="289"/>
      <c r="O1410" s="232"/>
      <c r="P1410" s="232"/>
      <c r="Q1410" s="232"/>
      <c r="R1410" s="232"/>
      <c r="S1410" s="232"/>
      <c r="T1410" s="232"/>
      <c r="U1410" s="232"/>
      <c r="V1410" s="232"/>
      <c r="W1410" s="232"/>
      <c r="X1410" s="232"/>
      <c r="Y1410" s="232"/>
      <c r="Z1410" s="232"/>
      <c r="AA1410" s="232"/>
      <c r="AB1410" s="232"/>
      <c r="AC1410" s="232"/>
      <c r="AD1410" s="232"/>
      <c r="AE1410" s="232"/>
      <c r="AF1410" s="232"/>
      <c r="AG1410" s="232"/>
      <c r="AH1410" s="232"/>
      <c r="AI1410" s="232"/>
      <c r="AJ1410" s="232"/>
      <c r="AK1410" s="232"/>
      <c r="AL1410" s="232"/>
      <c r="AM1410" s="232"/>
      <c r="AN1410" s="232"/>
      <c r="AO1410" s="232"/>
      <c r="AP1410" s="232"/>
      <c r="AQ1410" s="232"/>
      <c r="AR1410" s="232"/>
      <c r="AS1410" s="232"/>
      <c r="AT1410" s="232"/>
      <c r="AU1410" s="232"/>
      <c r="AV1410" s="232"/>
      <c r="AW1410" s="232"/>
      <c r="AX1410" s="232"/>
      <c r="AY1410" s="232"/>
      <c r="AZ1410" s="232"/>
      <c r="BA1410" s="232"/>
      <c r="BB1410" s="232"/>
      <c r="BC1410" s="232"/>
      <c r="BD1410" s="232"/>
      <c r="BE1410" s="232"/>
      <c r="BF1410" s="232"/>
      <c r="BG1410" s="232"/>
      <c r="BH1410" s="232"/>
      <c r="BI1410" s="232"/>
      <c r="BJ1410" s="232"/>
      <c r="BK1410" s="232"/>
      <c r="BL1410" s="232"/>
      <c r="BM1410" s="232"/>
      <c r="BN1410" s="232"/>
      <c r="BO1410" s="232"/>
      <c r="BP1410" s="232"/>
      <c r="BQ1410" s="232"/>
      <c r="BR1410" s="232"/>
      <c r="BS1410" s="232"/>
      <c r="BT1410" s="232"/>
      <c r="BU1410" s="232"/>
      <c r="BV1410" s="232"/>
      <c r="BW1410" s="232"/>
      <c r="BX1410" s="232"/>
      <c r="BY1410" s="232"/>
      <c r="BZ1410" s="232"/>
      <c r="CA1410" s="232"/>
      <c r="CB1410" s="232"/>
      <c r="CC1410" s="232"/>
      <c r="CD1410" s="232"/>
      <c r="CE1410" s="232"/>
      <c r="CF1410" s="232"/>
      <c r="CG1410" s="232"/>
      <c r="CH1410" s="232"/>
      <c r="CI1410" s="232"/>
      <c r="CJ1410" s="232"/>
      <c r="CK1410" s="232"/>
      <c r="CL1410" s="232"/>
      <c r="CM1410" s="232"/>
      <c r="CN1410" s="215"/>
      <c r="CO1410" s="215"/>
      <c r="CP1410" s="215"/>
      <c r="CQ1410" s="215"/>
      <c r="CR1410" s="215"/>
      <c r="CS1410" s="215"/>
      <c r="CT1410" s="215"/>
    </row>
    <row r="1411" ht="24.0" customHeight="1">
      <c r="A1411" s="287"/>
      <c r="B1411" s="287"/>
      <c r="C1411" s="287"/>
      <c r="D1411" s="232"/>
      <c r="E1411" s="232"/>
      <c r="F1411" s="232"/>
      <c r="G1411" s="232"/>
      <c r="H1411" s="232"/>
      <c r="I1411" s="232"/>
      <c r="J1411" s="232"/>
      <c r="K1411" s="232"/>
      <c r="L1411" s="232"/>
      <c r="M1411" s="232"/>
      <c r="N1411" s="289"/>
      <c r="O1411" s="232"/>
      <c r="P1411" s="232"/>
      <c r="Q1411" s="232"/>
      <c r="R1411" s="232"/>
      <c r="S1411" s="232"/>
      <c r="T1411" s="232"/>
      <c r="U1411" s="232"/>
      <c r="V1411" s="232"/>
      <c r="W1411" s="232"/>
      <c r="X1411" s="232"/>
      <c r="Y1411" s="232"/>
      <c r="Z1411" s="232"/>
      <c r="AA1411" s="232"/>
      <c r="AB1411" s="232"/>
      <c r="AC1411" s="232"/>
      <c r="AD1411" s="232"/>
      <c r="AE1411" s="232"/>
      <c r="AF1411" s="232"/>
      <c r="AG1411" s="232"/>
      <c r="AH1411" s="232"/>
      <c r="AI1411" s="232"/>
      <c r="AJ1411" s="232"/>
      <c r="AK1411" s="232"/>
      <c r="AL1411" s="232"/>
      <c r="AM1411" s="232"/>
      <c r="AN1411" s="232"/>
      <c r="AO1411" s="232"/>
      <c r="AP1411" s="232"/>
      <c r="AQ1411" s="232"/>
      <c r="AR1411" s="232"/>
      <c r="AS1411" s="232"/>
      <c r="AT1411" s="232"/>
      <c r="AU1411" s="232"/>
      <c r="AV1411" s="232"/>
      <c r="AW1411" s="232"/>
      <c r="AX1411" s="232"/>
      <c r="AY1411" s="232"/>
      <c r="AZ1411" s="232"/>
      <c r="BA1411" s="232"/>
      <c r="BB1411" s="232"/>
      <c r="BC1411" s="232"/>
      <c r="BD1411" s="232"/>
      <c r="BE1411" s="232"/>
      <c r="BF1411" s="232"/>
      <c r="BG1411" s="232"/>
      <c r="BH1411" s="232"/>
      <c r="BI1411" s="232"/>
      <c r="BJ1411" s="232"/>
      <c r="BK1411" s="232"/>
      <c r="BL1411" s="232"/>
      <c r="BM1411" s="232"/>
      <c r="BN1411" s="232"/>
      <c r="BO1411" s="232"/>
      <c r="BP1411" s="232"/>
      <c r="BQ1411" s="232"/>
      <c r="BR1411" s="232"/>
      <c r="BS1411" s="232"/>
      <c r="BT1411" s="232"/>
      <c r="BU1411" s="232"/>
      <c r="BV1411" s="232"/>
      <c r="BW1411" s="232"/>
      <c r="BX1411" s="232"/>
      <c r="BY1411" s="232"/>
      <c r="BZ1411" s="232"/>
      <c r="CA1411" s="232"/>
      <c r="CB1411" s="232"/>
      <c r="CC1411" s="232"/>
      <c r="CD1411" s="232"/>
      <c r="CE1411" s="232"/>
      <c r="CF1411" s="232"/>
      <c r="CG1411" s="232"/>
      <c r="CH1411" s="232"/>
      <c r="CI1411" s="232"/>
      <c r="CJ1411" s="232"/>
      <c r="CK1411" s="232"/>
      <c r="CL1411" s="232"/>
      <c r="CM1411" s="232"/>
      <c r="CN1411" s="215"/>
      <c r="CO1411" s="215"/>
      <c r="CP1411" s="215"/>
      <c r="CQ1411" s="215"/>
      <c r="CR1411" s="215"/>
      <c r="CS1411" s="215"/>
      <c r="CT1411" s="215"/>
    </row>
    <row r="1412" ht="24.0" customHeight="1">
      <c r="A1412" s="287"/>
      <c r="B1412" s="287"/>
      <c r="C1412" s="287"/>
      <c r="D1412" s="232"/>
      <c r="E1412" s="232"/>
      <c r="F1412" s="232"/>
      <c r="G1412" s="232"/>
      <c r="H1412" s="232"/>
      <c r="I1412" s="232"/>
      <c r="J1412" s="232"/>
      <c r="K1412" s="232"/>
      <c r="L1412" s="232"/>
      <c r="M1412" s="232"/>
      <c r="N1412" s="289"/>
      <c r="O1412" s="232"/>
      <c r="P1412" s="232"/>
      <c r="Q1412" s="232"/>
      <c r="R1412" s="232"/>
      <c r="S1412" s="232"/>
      <c r="T1412" s="232"/>
      <c r="U1412" s="232"/>
      <c r="V1412" s="232"/>
      <c r="W1412" s="232"/>
      <c r="X1412" s="232"/>
      <c r="Y1412" s="232"/>
      <c r="Z1412" s="232"/>
      <c r="AA1412" s="232"/>
      <c r="AB1412" s="232"/>
      <c r="AC1412" s="232"/>
      <c r="AD1412" s="232"/>
      <c r="AE1412" s="232"/>
      <c r="AF1412" s="232"/>
      <c r="AG1412" s="232"/>
      <c r="AH1412" s="232"/>
      <c r="AI1412" s="232"/>
      <c r="AJ1412" s="232"/>
      <c r="AK1412" s="232"/>
      <c r="AL1412" s="232"/>
      <c r="AM1412" s="232"/>
      <c r="AN1412" s="232"/>
      <c r="AO1412" s="232"/>
      <c r="AP1412" s="232"/>
      <c r="AQ1412" s="232"/>
      <c r="AR1412" s="232"/>
      <c r="AS1412" s="232"/>
      <c r="AT1412" s="232"/>
      <c r="AU1412" s="232"/>
      <c r="AV1412" s="232"/>
      <c r="AW1412" s="232"/>
      <c r="AX1412" s="232"/>
      <c r="AY1412" s="232"/>
      <c r="AZ1412" s="232"/>
      <c r="BA1412" s="232"/>
      <c r="BB1412" s="232"/>
      <c r="BC1412" s="232"/>
      <c r="BD1412" s="232"/>
      <c r="BE1412" s="232"/>
      <c r="BF1412" s="232"/>
      <c r="BG1412" s="232"/>
      <c r="BH1412" s="232"/>
      <c r="BI1412" s="232"/>
      <c r="BJ1412" s="232"/>
      <c r="BK1412" s="232"/>
      <c r="BL1412" s="232"/>
      <c r="BM1412" s="232"/>
      <c r="BN1412" s="232"/>
      <c r="BO1412" s="232"/>
      <c r="BP1412" s="232"/>
      <c r="BQ1412" s="232"/>
      <c r="BR1412" s="232"/>
      <c r="BS1412" s="232"/>
      <c r="BT1412" s="232"/>
      <c r="BU1412" s="232"/>
      <c r="BV1412" s="232"/>
      <c r="BW1412" s="232"/>
      <c r="BX1412" s="232"/>
      <c r="BY1412" s="232"/>
      <c r="BZ1412" s="232"/>
      <c r="CA1412" s="232"/>
      <c r="CB1412" s="232"/>
      <c r="CC1412" s="232"/>
      <c r="CD1412" s="232"/>
      <c r="CE1412" s="232"/>
      <c r="CF1412" s="232"/>
      <c r="CG1412" s="232"/>
      <c r="CH1412" s="232"/>
      <c r="CI1412" s="232"/>
      <c r="CJ1412" s="232"/>
      <c r="CK1412" s="232"/>
      <c r="CL1412" s="232"/>
      <c r="CM1412" s="232"/>
      <c r="CN1412" s="215"/>
      <c r="CO1412" s="215"/>
      <c r="CP1412" s="215"/>
      <c r="CQ1412" s="215"/>
      <c r="CR1412" s="215"/>
      <c r="CS1412" s="215"/>
      <c r="CT1412" s="215"/>
    </row>
    <row r="1413" ht="24.0" customHeight="1">
      <c r="A1413" s="287"/>
      <c r="B1413" s="287"/>
      <c r="C1413" s="287"/>
      <c r="D1413" s="232"/>
      <c r="E1413" s="232"/>
      <c r="F1413" s="232"/>
      <c r="G1413" s="232"/>
      <c r="H1413" s="232"/>
      <c r="I1413" s="232"/>
      <c r="J1413" s="232"/>
      <c r="K1413" s="232"/>
      <c r="L1413" s="232"/>
      <c r="M1413" s="232"/>
      <c r="N1413" s="289"/>
      <c r="O1413" s="232"/>
      <c r="P1413" s="232"/>
      <c r="Q1413" s="232"/>
      <c r="R1413" s="232"/>
      <c r="S1413" s="232"/>
      <c r="T1413" s="232"/>
      <c r="U1413" s="232"/>
      <c r="V1413" s="232"/>
      <c r="W1413" s="232"/>
      <c r="X1413" s="232"/>
      <c r="Y1413" s="232"/>
      <c r="Z1413" s="232"/>
      <c r="AA1413" s="232"/>
      <c r="AB1413" s="232"/>
      <c r="AC1413" s="232"/>
      <c r="AD1413" s="232"/>
      <c r="AE1413" s="232"/>
      <c r="AF1413" s="232"/>
      <c r="AG1413" s="232"/>
      <c r="AH1413" s="232"/>
      <c r="AI1413" s="232"/>
      <c r="AJ1413" s="232"/>
      <c r="AK1413" s="232"/>
      <c r="AL1413" s="232"/>
      <c r="AM1413" s="232"/>
      <c r="AN1413" s="232"/>
      <c r="AO1413" s="232"/>
      <c r="AP1413" s="232"/>
      <c r="AQ1413" s="232"/>
      <c r="AR1413" s="232"/>
      <c r="AS1413" s="232"/>
      <c r="AT1413" s="232"/>
      <c r="AU1413" s="232"/>
      <c r="AV1413" s="232"/>
      <c r="AW1413" s="232"/>
      <c r="AX1413" s="232"/>
      <c r="AY1413" s="232"/>
      <c r="AZ1413" s="232"/>
      <c r="BA1413" s="232"/>
      <c r="BB1413" s="232"/>
      <c r="BC1413" s="232"/>
      <c r="BD1413" s="232"/>
      <c r="BE1413" s="232"/>
      <c r="BF1413" s="232"/>
      <c r="BG1413" s="232"/>
      <c r="BH1413" s="232"/>
      <c r="BI1413" s="232"/>
      <c r="BJ1413" s="232"/>
      <c r="BK1413" s="232"/>
      <c r="BL1413" s="232"/>
      <c r="BM1413" s="232"/>
      <c r="BN1413" s="232"/>
      <c r="BO1413" s="232"/>
      <c r="BP1413" s="232"/>
      <c r="BQ1413" s="232"/>
      <c r="BR1413" s="232"/>
      <c r="BS1413" s="232"/>
      <c r="BT1413" s="232"/>
      <c r="BU1413" s="232"/>
      <c r="BV1413" s="232"/>
      <c r="BW1413" s="232"/>
      <c r="BX1413" s="232"/>
      <c r="BY1413" s="232"/>
      <c r="BZ1413" s="232"/>
      <c r="CA1413" s="232"/>
      <c r="CB1413" s="232"/>
      <c r="CC1413" s="232"/>
      <c r="CD1413" s="232"/>
      <c r="CE1413" s="232"/>
      <c r="CF1413" s="232"/>
      <c r="CG1413" s="232"/>
      <c r="CH1413" s="232"/>
      <c r="CI1413" s="232"/>
      <c r="CJ1413" s="232"/>
      <c r="CK1413" s="232"/>
      <c r="CL1413" s="232"/>
      <c r="CM1413" s="232"/>
      <c r="CN1413" s="215"/>
      <c r="CO1413" s="215"/>
      <c r="CP1413" s="215"/>
      <c r="CQ1413" s="215"/>
      <c r="CR1413" s="215"/>
      <c r="CS1413" s="215"/>
      <c r="CT1413" s="215"/>
    </row>
    <row r="1414" ht="24.0" customHeight="1">
      <c r="A1414" s="287"/>
      <c r="B1414" s="287"/>
      <c r="C1414" s="287"/>
      <c r="D1414" s="232"/>
      <c r="E1414" s="232"/>
      <c r="F1414" s="232"/>
      <c r="G1414" s="232"/>
      <c r="H1414" s="232"/>
      <c r="I1414" s="232"/>
      <c r="J1414" s="232"/>
      <c r="K1414" s="232"/>
      <c r="L1414" s="232"/>
      <c r="M1414" s="232"/>
      <c r="N1414" s="289"/>
      <c r="O1414" s="232"/>
      <c r="P1414" s="232"/>
      <c r="Q1414" s="232"/>
      <c r="R1414" s="232"/>
      <c r="S1414" s="232"/>
      <c r="T1414" s="232"/>
      <c r="U1414" s="232"/>
      <c r="V1414" s="232"/>
      <c r="W1414" s="232"/>
      <c r="X1414" s="232"/>
      <c r="Y1414" s="232"/>
      <c r="Z1414" s="232"/>
      <c r="AA1414" s="232"/>
      <c r="AB1414" s="232"/>
      <c r="AC1414" s="232"/>
      <c r="AD1414" s="232"/>
      <c r="AE1414" s="232"/>
      <c r="AF1414" s="232"/>
      <c r="AG1414" s="232"/>
      <c r="AH1414" s="232"/>
      <c r="AI1414" s="232"/>
      <c r="AJ1414" s="232"/>
      <c r="AK1414" s="232"/>
      <c r="AL1414" s="232"/>
      <c r="AM1414" s="232"/>
      <c r="AN1414" s="232"/>
      <c r="AO1414" s="232"/>
      <c r="AP1414" s="232"/>
      <c r="AQ1414" s="232"/>
      <c r="AR1414" s="232"/>
      <c r="AS1414" s="232"/>
      <c r="AT1414" s="232"/>
      <c r="AU1414" s="232"/>
      <c r="AV1414" s="232"/>
      <c r="AW1414" s="232"/>
      <c r="AX1414" s="232"/>
      <c r="AY1414" s="232"/>
      <c r="AZ1414" s="232"/>
      <c r="BA1414" s="232"/>
      <c r="BB1414" s="232"/>
      <c r="BC1414" s="232"/>
      <c r="BD1414" s="232"/>
      <c r="BE1414" s="232"/>
      <c r="BF1414" s="232"/>
      <c r="BG1414" s="232"/>
      <c r="BH1414" s="232"/>
      <c r="BI1414" s="232"/>
      <c r="BJ1414" s="232"/>
      <c r="BK1414" s="232"/>
      <c r="BL1414" s="232"/>
      <c r="BM1414" s="232"/>
      <c r="BN1414" s="232"/>
      <c r="BO1414" s="232"/>
      <c r="BP1414" s="232"/>
      <c r="BQ1414" s="232"/>
      <c r="BR1414" s="232"/>
      <c r="BS1414" s="232"/>
      <c r="BT1414" s="232"/>
      <c r="BU1414" s="232"/>
      <c r="BV1414" s="232"/>
      <c r="BW1414" s="232"/>
      <c r="BX1414" s="232"/>
      <c r="BY1414" s="232"/>
      <c r="BZ1414" s="232"/>
      <c r="CA1414" s="232"/>
      <c r="CB1414" s="232"/>
      <c r="CC1414" s="232"/>
      <c r="CD1414" s="232"/>
      <c r="CE1414" s="232"/>
      <c r="CF1414" s="232"/>
      <c r="CG1414" s="232"/>
      <c r="CH1414" s="232"/>
      <c r="CI1414" s="232"/>
      <c r="CJ1414" s="232"/>
      <c r="CK1414" s="232"/>
      <c r="CL1414" s="232"/>
      <c r="CM1414" s="232"/>
      <c r="CN1414" s="215"/>
      <c r="CO1414" s="215"/>
      <c r="CP1414" s="215"/>
      <c r="CQ1414" s="215"/>
      <c r="CR1414" s="215"/>
      <c r="CS1414" s="215"/>
      <c r="CT1414" s="215"/>
    </row>
    <row r="1415" ht="24.0" customHeight="1">
      <c r="A1415" s="287"/>
      <c r="B1415" s="287"/>
      <c r="C1415" s="287"/>
      <c r="D1415" s="232"/>
      <c r="E1415" s="232"/>
      <c r="F1415" s="232"/>
      <c r="G1415" s="232"/>
      <c r="H1415" s="232"/>
      <c r="I1415" s="232"/>
      <c r="J1415" s="232"/>
      <c r="K1415" s="232"/>
      <c r="L1415" s="232"/>
      <c r="M1415" s="232"/>
      <c r="N1415" s="289"/>
      <c r="O1415" s="232"/>
      <c r="P1415" s="232"/>
      <c r="Q1415" s="232"/>
      <c r="R1415" s="232"/>
      <c r="S1415" s="232"/>
      <c r="T1415" s="232"/>
      <c r="U1415" s="232"/>
      <c r="V1415" s="232"/>
      <c r="W1415" s="232"/>
      <c r="X1415" s="232"/>
      <c r="Y1415" s="232"/>
      <c r="Z1415" s="232"/>
      <c r="AA1415" s="232"/>
      <c r="AB1415" s="232"/>
      <c r="AC1415" s="232"/>
      <c r="AD1415" s="232"/>
      <c r="AE1415" s="232"/>
      <c r="AF1415" s="232"/>
      <c r="AG1415" s="232"/>
      <c r="AH1415" s="232"/>
      <c r="AI1415" s="232"/>
      <c r="AJ1415" s="232"/>
      <c r="AK1415" s="232"/>
      <c r="AL1415" s="232"/>
      <c r="AM1415" s="232"/>
      <c r="AN1415" s="232"/>
      <c r="AO1415" s="232"/>
      <c r="AP1415" s="232"/>
      <c r="AQ1415" s="232"/>
      <c r="AR1415" s="232"/>
      <c r="AS1415" s="232"/>
      <c r="AT1415" s="232"/>
      <c r="AU1415" s="232"/>
      <c r="AV1415" s="232"/>
      <c r="AW1415" s="232"/>
      <c r="AX1415" s="232"/>
      <c r="AY1415" s="232"/>
      <c r="AZ1415" s="232"/>
      <c r="BA1415" s="232"/>
      <c r="BB1415" s="232"/>
      <c r="BC1415" s="232"/>
      <c r="BD1415" s="232"/>
      <c r="BE1415" s="232"/>
      <c r="BF1415" s="232"/>
      <c r="BG1415" s="232"/>
      <c r="BH1415" s="232"/>
      <c r="BI1415" s="232"/>
      <c r="BJ1415" s="232"/>
      <c r="BK1415" s="232"/>
      <c r="BL1415" s="232"/>
      <c r="BM1415" s="232"/>
      <c r="BN1415" s="232"/>
      <c r="BO1415" s="232"/>
      <c r="BP1415" s="232"/>
      <c r="BQ1415" s="232"/>
      <c r="BR1415" s="232"/>
      <c r="BS1415" s="232"/>
      <c r="BT1415" s="232"/>
      <c r="BU1415" s="232"/>
      <c r="BV1415" s="232"/>
      <c r="BW1415" s="232"/>
      <c r="BX1415" s="232"/>
      <c r="BY1415" s="232"/>
      <c r="BZ1415" s="232"/>
      <c r="CA1415" s="232"/>
      <c r="CB1415" s="232"/>
      <c r="CC1415" s="232"/>
      <c r="CD1415" s="232"/>
      <c r="CE1415" s="232"/>
      <c r="CF1415" s="232"/>
      <c r="CG1415" s="232"/>
      <c r="CH1415" s="232"/>
      <c r="CI1415" s="232"/>
      <c r="CJ1415" s="232"/>
      <c r="CK1415" s="232"/>
      <c r="CL1415" s="232"/>
      <c r="CM1415" s="232"/>
      <c r="CN1415" s="215"/>
      <c r="CO1415" s="215"/>
      <c r="CP1415" s="215"/>
      <c r="CQ1415" s="215"/>
      <c r="CR1415" s="215"/>
      <c r="CS1415" s="215"/>
      <c r="CT1415" s="215"/>
    </row>
    <row r="1416" ht="24.0" customHeight="1">
      <c r="A1416" s="287"/>
      <c r="B1416" s="287"/>
      <c r="C1416" s="287"/>
      <c r="D1416" s="232"/>
      <c r="E1416" s="232"/>
      <c r="F1416" s="232"/>
      <c r="G1416" s="232"/>
      <c r="H1416" s="232"/>
      <c r="I1416" s="232"/>
      <c r="J1416" s="232"/>
      <c r="K1416" s="232"/>
      <c r="L1416" s="232"/>
      <c r="M1416" s="232"/>
      <c r="N1416" s="289"/>
      <c r="O1416" s="232"/>
      <c r="P1416" s="232"/>
      <c r="Q1416" s="232"/>
      <c r="R1416" s="232"/>
      <c r="S1416" s="232"/>
      <c r="T1416" s="232"/>
      <c r="U1416" s="232"/>
      <c r="V1416" s="232"/>
      <c r="W1416" s="232"/>
      <c r="X1416" s="232"/>
      <c r="Y1416" s="232"/>
      <c r="Z1416" s="232"/>
      <c r="AA1416" s="232"/>
      <c r="AB1416" s="232"/>
      <c r="AC1416" s="232"/>
      <c r="AD1416" s="232"/>
      <c r="AE1416" s="232"/>
      <c r="AF1416" s="232"/>
      <c r="AG1416" s="232"/>
      <c r="AH1416" s="232"/>
      <c r="AI1416" s="232"/>
      <c r="AJ1416" s="232"/>
      <c r="AK1416" s="232"/>
      <c r="AL1416" s="232"/>
      <c r="AM1416" s="232"/>
      <c r="AN1416" s="232"/>
      <c r="AO1416" s="232"/>
      <c r="AP1416" s="232"/>
      <c r="AQ1416" s="232"/>
      <c r="AR1416" s="232"/>
      <c r="AS1416" s="232"/>
      <c r="AT1416" s="232"/>
      <c r="AU1416" s="232"/>
      <c r="AV1416" s="232"/>
      <c r="AW1416" s="232"/>
      <c r="AX1416" s="232"/>
      <c r="AY1416" s="232"/>
      <c r="AZ1416" s="232"/>
      <c r="BA1416" s="232"/>
      <c r="BB1416" s="232"/>
      <c r="BC1416" s="232"/>
      <c r="BD1416" s="232"/>
      <c r="BE1416" s="232"/>
      <c r="BF1416" s="232"/>
      <c r="BG1416" s="232"/>
      <c r="BH1416" s="232"/>
      <c r="BI1416" s="232"/>
      <c r="BJ1416" s="232"/>
      <c r="BK1416" s="232"/>
      <c r="BL1416" s="232"/>
      <c r="BM1416" s="232"/>
      <c r="BN1416" s="232"/>
      <c r="BO1416" s="232"/>
      <c r="BP1416" s="232"/>
      <c r="BQ1416" s="232"/>
      <c r="BR1416" s="232"/>
      <c r="BS1416" s="232"/>
      <c r="BT1416" s="232"/>
      <c r="BU1416" s="232"/>
      <c r="BV1416" s="232"/>
      <c r="BW1416" s="232"/>
      <c r="BX1416" s="232"/>
      <c r="BY1416" s="232"/>
      <c r="BZ1416" s="232"/>
      <c r="CA1416" s="232"/>
      <c r="CB1416" s="232"/>
      <c r="CC1416" s="232"/>
      <c r="CD1416" s="232"/>
      <c r="CE1416" s="232"/>
      <c r="CF1416" s="232"/>
      <c r="CG1416" s="232"/>
      <c r="CH1416" s="232"/>
      <c r="CI1416" s="232"/>
      <c r="CJ1416" s="232"/>
      <c r="CK1416" s="232"/>
      <c r="CL1416" s="232"/>
      <c r="CM1416" s="232"/>
      <c r="CN1416" s="215"/>
      <c r="CO1416" s="215"/>
      <c r="CP1416" s="215"/>
      <c r="CQ1416" s="215"/>
      <c r="CR1416" s="215"/>
      <c r="CS1416" s="215"/>
      <c r="CT1416" s="215"/>
    </row>
    <row r="1417" ht="24.0" customHeight="1">
      <c r="A1417" s="287"/>
      <c r="B1417" s="287"/>
      <c r="C1417" s="287"/>
      <c r="D1417" s="232"/>
      <c r="E1417" s="232"/>
      <c r="F1417" s="232"/>
      <c r="G1417" s="232"/>
      <c r="H1417" s="232"/>
      <c r="I1417" s="232"/>
      <c r="J1417" s="232"/>
      <c r="K1417" s="232"/>
      <c r="L1417" s="232"/>
      <c r="M1417" s="232"/>
      <c r="N1417" s="289"/>
      <c r="O1417" s="232"/>
      <c r="P1417" s="232"/>
      <c r="Q1417" s="232"/>
      <c r="R1417" s="232"/>
      <c r="S1417" s="232"/>
      <c r="T1417" s="232"/>
      <c r="U1417" s="232"/>
      <c r="V1417" s="232"/>
      <c r="W1417" s="232"/>
      <c r="X1417" s="232"/>
      <c r="Y1417" s="232"/>
      <c r="Z1417" s="232"/>
      <c r="AA1417" s="232"/>
      <c r="AB1417" s="232"/>
      <c r="AC1417" s="232"/>
      <c r="AD1417" s="232"/>
      <c r="AE1417" s="232"/>
      <c r="AF1417" s="232"/>
      <c r="AG1417" s="232"/>
      <c r="AH1417" s="232"/>
      <c r="AI1417" s="232"/>
      <c r="AJ1417" s="232"/>
      <c r="AK1417" s="232"/>
      <c r="AL1417" s="232"/>
      <c r="AM1417" s="232"/>
      <c r="AN1417" s="232"/>
      <c r="AO1417" s="232"/>
      <c r="AP1417" s="232"/>
      <c r="AQ1417" s="232"/>
      <c r="AR1417" s="232"/>
      <c r="AS1417" s="232"/>
      <c r="AT1417" s="232"/>
      <c r="AU1417" s="232"/>
      <c r="AV1417" s="232"/>
      <c r="AW1417" s="232"/>
      <c r="AX1417" s="232"/>
      <c r="AY1417" s="232"/>
      <c r="AZ1417" s="232"/>
      <c r="BA1417" s="232"/>
      <c r="BB1417" s="232"/>
      <c r="BC1417" s="232"/>
      <c r="BD1417" s="232"/>
      <c r="BE1417" s="232"/>
      <c r="BF1417" s="232"/>
      <c r="BG1417" s="232"/>
      <c r="BH1417" s="232"/>
      <c r="BI1417" s="232"/>
      <c r="BJ1417" s="232"/>
      <c r="BK1417" s="232"/>
      <c r="BL1417" s="232"/>
      <c r="BM1417" s="232"/>
      <c r="BN1417" s="232"/>
      <c r="BO1417" s="232"/>
      <c r="BP1417" s="232"/>
      <c r="BQ1417" s="232"/>
      <c r="BR1417" s="232"/>
      <c r="BS1417" s="232"/>
      <c r="BT1417" s="232"/>
      <c r="BU1417" s="232"/>
      <c r="BV1417" s="232"/>
      <c r="BW1417" s="232"/>
      <c r="BX1417" s="232"/>
      <c r="BY1417" s="232"/>
      <c r="BZ1417" s="232"/>
      <c r="CA1417" s="232"/>
      <c r="CB1417" s="232"/>
      <c r="CC1417" s="232"/>
      <c r="CD1417" s="232"/>
      <c r="CE1417" s="232"/>
      <c r="CF1417" s="232"/>
      <c r="CG1417" s="232"/>
      <c r="CH1417" s="232"/>
      <c r="CI1417" s="232"/>
      <c r="CJ1417" s="232"/>
      <c r="CK1417" s="232"/>
      <c r="CL1417" s="232"/>
      <c r="CM1417" s="232"/>
      <c r="CN1417" s="215"/>
      <c r="CO1417" s="215"/>
      <c r="CP1417" s="215"/>
      <c r="CQ1417" s="215"/>
      <c r="CR1417" s="215"/>
      <c r="CS1417" s="215"/>
      <c r="CT1417" s="215"/>
    </row>
    <row r="1418" ht="24.0" customHeight="1">
      <c r="A1418" s="287"/>
      <c r="B1418" s="287"/>
      <c r="C1418" s="287"/>
      <c r="D1418" s="232"/>
      <c r="E1418" s="232"/>
      <c r="F1418" s="232"/>
      <c r="G1418" s="232"/>
      <c r="H1418" s="232"/>
      <c r="I1418" s="232"/>
      <c r="J1418" s="232"/>
      <c r="K1418" s="232"/>
      <c r="L1418" s="232"/>
      <c r="M1418" s="232"/>
      <c r="N1418" s="289"/>
      <c r="O1418" s="232"/>
      <c r="P1418" s="232"/>
      <c r="Q1418" s="232"/>
      <c r="R1418" s="232"/>
      <c r="S1418" s="232"/>
      <c r="T1418" s="232"/>
      <c r="U1418" s="232"/>
      <c r="V1418" s="232"/>
      <c r="W1418" s="232"/>
      <c r="X1418" s="232"/>
      <c r="Y1418" s="232"/>
      <c r="Z1418" s="232"/>
      <c r="AA1418" s="232"/>
      <c r="AB1418" s="232"/>
      <c r="AC1418" s="232"/>
      <c r="AD1418" s="232"/>
      <c r="AE1418" s="232"/>
      <c r="AF1418" s="232"/>
      <c r="AG1418" s="232"/>
      <c r="AH1418" s="232"/>
      <c r="AI1418" s="232"/>
      <c r="AJ1418" s="232"/>
      <c r="AK1418" s="232"/>
      <c r="AL1418" s="232"/>
      <c r="AM1418" s="232"/>
      <c r="AN1418" s="232"/>
      <c r="AO1418" s="232"/>
      <c r="AP1418" s="232"/>
      <c r="AQ1418" s="232"/>
      <c r="AR1418" s="232"/>
      <c r="AS1418" s="232"/>
      <c r="AT1418" s="232"/>
      <c r="AU1418" s="232"/>
      <c r="AV1418" s="232"/>
      <c r="AW1418" s="232"/>
      <c r="AX1418" s="232"/>
      <c r="AY1418" s="232"/>
      <c r="AZ1418" s="232"/>
      <c r="BA1418" s="232"/>
      <c r="BB1418" s="232"/>
      <c r="BC1418" s="232"/>
      <c r="BD1418" s="232"/>
      <c r="BE1418" s="232"/>
      <c r="BF1418" s="232"/>
      <c r="BG1418" s="232"/>
      <c r="BH1418" s="232"/>
      <c r="BI1418" s="232"/>
      <c r="BJ1418" s="232"/>
      <c r="BK1418" s="232"/>
      <c r="BL1418" s="232"/>
      <c r="BM1418" s="232"/>
      <c r="BN1418" s="232"/>
      <c r="BO1418" s="232"/>
      <c r="BP1418" s="232"/>
      <c r="BQ1418" s="232"/>
      <c r="BR1418" s="232"/>
      <c r="BS1418" s="232"/>
      <c r="BT1418" s="232"/>
      <c r="BU1418" s="232"/>
      <c r="BV1418" s="232"/>
      <c r="BW1418" s="232"/>
      <c r="BX1418" s="232"/>
      <c r="BY1418" s="232"/>
      <c r="BZ1418" s="232"/>
      <c r="CA1418" s="232"/>
      <c r="CB1418" s="232"/>
      <c r="CC1418" s="232"/>
      <c r="CD1418" s="232"/>
      <c r="CE1418" s="232"/>
      <c r="CF1418" s="232"/>
      <c r="CG1418" s="232"/>
      <c r="CH1418" s="232"/>
      <c r="CI1418" s="232"/>
      <c r="CJ1418" s="232"/>
      <c r="CK1418" s="232"/>
      <c r="CL1418" s="232"/>
      <c r="CM1418" s="232"/>
      <c r="CN1418" s="215"/>
      <c r="CO1418" s="215"/>
      <c r="CP1418" s="215"/>
      <c r="CQ1418" s="215"/>
      <c r="CR1418" s="215"/>
      <c r="CS1418" s="215"/>
      <c r="CT1418" s="215"/>
    </row>
    <row r="1419" ht="24.0" customHeight="1">
      <c r="A1419" s="287"/>
      <c r="B1419" s="287"/>
      <c r="C1419" s="287"/>
      <c r="D1419" s="232"/>
      <c r="E1419" s="232"/>
      <c r="F1419" s="232"/>
      <c r="G1419" s="232"/>
      <c r="H1419" s="232"/>
      <c r="I1419" s="232"/>
      <c r="J1419" s="232"/>
      <c r="K1419" s="232"/>
      <c r="L1419" s="232"/>
      <c r="M1419" s="232"/>
      <c r="N1419" s="289"/>
      <c r="O1419" s="232"/>
      <c r="P1419" s="232"/>
      <c r="Q1419" s="232"/>
      <c r="R1419" s="232"/>
      <c r="S1419" s="232"/>
      <c r="T1419" s="232"/>
      <c r="U1419" s="232"/>
      <c r="V1419" s="232"/>
      <c r="W1419" s="232"/>
      <c r="X1419" s="232"/>
      <c r="Y1419" s="232"/>
      <c r="Z1419" s="232"/>
      <c r="AA1419" s="232"/>
      <c r="AB1419" s="232"/>
      <c r="AC1419" s="232"/>
      <c r="AD1419" s="232"/>
      <c r="AE1419" s="232"/>
      <c r="AF1419" s="232"/>
      <c r="AG1419" s="232"/>
      <c r="AH1419" s="232"/>
      <c r="AI1419" s="232"/>
      <c r="AJ1419" s="232"/>
      <c r="AK1419" s="232"/>
      <c r="AL1419" s="232"/>
      <c r="AM1419" s="232"/>
      <c r="AN1419" s="232"/>
      <c r="AO1419" s="232"/>
      <c r="AP1419" s="232"/>
      <c r="AQ1419" s="232"/>
      <c r="AR1419" s="232"/>
      <c r="AS1419" s="232"/>
      <c r="AT1419" s="232"/>
      <c r="AU1419" s="232"/>
      <c r="AV1419" s="232"/>
      <c r="AW1419" s="232"/>
      <c r="AX1419" s="232"/>
      <c r="AY1419" s="232"/>
      <c r="AZ1419" s="232"/>
      <c r="BA1419" s="232"/>
      <c r="BB1419" s="232"/>
      <c r="BC1419" s="232"/>
      <c r="BD1419" s="232"/>
      <c r="BE1419" s="232"/>
      <c r="BF1419" s="232"/>
      <c r="BG1419" s="232"/>
      <c r="BH1419" s="232"/>
      <c r="BI1419" s="232"/>
      <c r="BJ1419" s="232"/>
      <c r="BK1419" s="232"/>
      <c r="BL1419" s="232"/>
      <c r="BM1419" s="232"/>
      <c r="BN1419" s="232"/>
      <c r="BO1419" s="232"/>
      <c r="BP1419" s="232"/>
      <c r="BQ1419" s="232"/>
      <c r="BR1419" s="232"/>
      <c r="BS1419" s="232"/>
      <c r="BT1419" s="232"/>
      <c r="BU1419" s="232"/>
      <c r="BV1419" s="232"/>
      <c r="BW1419" s="232"/>
      <c r="BX1419" s="232"/>
      <c r="BY1419" s="232"/>
      <c r="BZ1419" s="232"/>
      <c r="CA1419" s="232"/>
      <c r="CB1419" s="232"/>
      <c r="CC1419" s="232"/>
      <c r="CD1419" s="232"/>
      <c r="CE1419" s="232"/>
      <c r="CF1419" s="232"/>
      <c r="CG1419" s="232"/>
      <c r="CH1419" s="232"/>
      <c r="CI1419" s="232"/>
      <c r="CJ1419" s="232"/>
      <c r="CK1419" s="232"/>
      <c r="CL1419" s="232"/>
      <c r="CM1419" s="232"/>
      <c r="CN1419" s="215"/>
      <c r="CO1419" s="215"/>
      <c r="CP1419" s="215"/>
      <c r="CQ1419" s="215"/>
      <c r="CR1419" s="215"/>
      <c r="CS1419" s="215"/>
      <c r="CT1419" s="215"/>
    </row>
    <row r="1420" ht="24.0" customHeight="1">
      <c r="A1420" s="287"/>
      <c r="B1420" s="287"/>
      <c r="C1420" s="287"/>
      <c r="D1420" s="232"/>
      <c r="E1420" s="232"/>
      <c r="F1420" s="232"/>
      <c r="G1420" s="232"/>
      <c r="H1420" s="232"/>
      <c r="I1420" s="232"/>
      <c r="J1420" s="232"/>
      <c r="K1420" s="232"/>
      <c r="L1420" s="232"/>
      <c r="M1420" s="232"/>
      <c r="N1420" s="289"/>
      <c r="O1420" s="232"/>
      <c r="P1420" s="232"/>
      <c r="Q1420" s="232"/>
      <c r="R1420" s="232"/>
      <c r="S1420" s="232"/>
      <c r="T1420" s="232"/>
      <c r="U1420" s="232"/>
      <c r="V1420" s="232"/>
      <c r="W1420" s="232"/>
      <c r="X1420" s="232"/>
      <c r="Y1420" s="232"/>
      <c r="Z1420" s="232"/>
      <c r="AA1420" s="232"/>
      <c r="AB1420" s="232"/>
      <c r="AC1420" s="232"/>
      <c r="AD1420" s="232"/>
      <c r="AE1420" s="232"/>
      <c r="AF1420" s="232"/>
      <c r="AG1420" s="232"/>
      <c r="AH1420" s="232"/>
      <c r="AI1420" s="232"/>
      <c r="AJ1420" s="232"/>
      <c r="AK1420" s="232"/>
      <c r="AL1420" s="232"/>
      <c r="AM1420" s="232"/>
      <c r="AN1420" s="232"/>
      <c r="AO1420" s="232"/>
      <c r="AP1420" s="232"/>
      <c r="AQ1420" s="232"/>
      <c r="AR1420" s="232"/>
      <c r="AS1420" s="232"/>
      <c r="AT1420" s="232"/>
      <c r="AU1420" s="232"/>
      <c r="AV1420" s="232"/>
      <c r="AW1420" s="232"/>
      <c r="AX1420" s="232"/>
      <c r="AY1420" s="232"/>
      <c r="AZ1420" s="232"/>
      <c r="BA1420" s="232"/>
      <c r="BB1420" s="232"/>
      <c r="BC1420" s="232"/>
      <c r="BD1420" s="232"/>
      <c r="BE1420" s="232"/>
      <c r="BF1420" s="232"/>
      <c r="BG1420" s="232"/>
      <c r="BH1420" s="232"/>
      <c r="BI1420" s="232"/>
      <c r="BJ1420" s="232"/>
      <c r="BK1420" s="232"/>
      <c r="BL1420" s="232"/>
      <c r="BM1420" s="232"/>
      <c r="BN1420" s="232"/>
      <c r="BO1420" s="232"/>
      <c r="BP1420" s="232"/>
      <c r="BQ1420" s="232"/>
      <c r="BR1420" s="232"/>
      <c r="BS1420" s="232"/>
      <c r="BT1420" s="232"/>
      <c r="BU1420" s="232"/>
      <c r="BV1420" s="232"/>
      <c r="BW1420" s="232"/>
      <c r="BX1420" s="232"/>
      <c r="BY1420" s="232"/>
      <c r="BZ1420" s="232"/>
      <c r="CA1420" s="232"/>
      <c r="CB1420" s="232"/>
      <c r="CC1420" s="232"/>
      <c r="CD1420" s="232"/>
      <c r="CE1420" s="232"/>
      <c r="CF1420" s="232"/>
      <c r="CG1420" s="232"/>
      <c r="CH1420" s="232"/>
      <c r="CI1420" s="232"/>
      <c r="CJ1420" s="232"/>
      <c r="CK1420" s="232"/>
      <c r="CL1420" s="232"/>
      <c r="CM1420" s="232"/>
      <c r="CN1420" s="215"/>
      <c r="CO1420" s="215"/>
      <c r="CP1420" s="215"/>
      <c r="CQ1420" s="215"/>
      <c r="CR1420" s="215"/>
      <c r="CS1420" s="215"/>
      <c r="CT1420" s="215"/>
    </row>
    <row r="1421" ht="24.0" customHeight="1">
      <c r="A1421" s="287"/>
      <c r="B1421" s="287"/>
      <c r="C1421" s="287"/>
      <c r="D1421" s="232"/>
      <c r="E1421" s="232"/>
      <c r="F1421" s="232"/>
      <c r="G1421" s="232"/>
      <c r="H1421" s="232"/>
      <c r="I1421" s="232"/>
      <c r="J1421" s="232"/>
      <c r="K1421" s="232"/>
      <c r="L1421" s="232"/>
      <c r="M1421" s="232"/>
      <c r="N1421" s="289"/>
      <c r="O1421" s="232"/>
      <c r="P1421" s="232"/>
      <c r="Q1421" s="232"/>
      <c r="R1421" s="232"/>
      <c r="S1421" s="232"/>
      <c r="T1421" s="232"/>
      <c r="U1421" s="232"/>
      <c r="V1421" s="232"/>
      <c r="W1421" s="232"/>
      <c r="X1421" s="232"/>
      <c r="Y1421" s="232"/>
      <c r="Z1421" s="232"/>
      <c r="AA1421" s="232"/>
      <c r="AB1421" s="232"/>
      <c r="AC1421" s="232"/>
      <c r="AD1421" s="232"/>
      <c r="AE1421" s="232"/>
      <c r="AF1421" s="232"/>
      <c r="AG1421" s="232"/>
      <c r="AH1421" s="232"/>
      <c r="AI1421" s="232"/>
      <c r="AJ1421" s="232"/>
      <c r="AK1421" s="232"/>
      <c r="AL1421" s="232"/>
      <c r="AM1421" s="232"/>
      <c r="AN1421" s="232"/>
      <c r="AO1421" s="232"/>
      <c r="AP1421" s="232"/>
      <c r="AQ1421" s="232"/>
      <c r="AR1421" s="232"/>
      <c r="AS1421" s="232"/>
      <c r="AT1421" s="232"/>
      <c r="AU1421" s="232"/>
      <c r="AV1421" s="232"/>
      <c r="AW1421" s="232"/>
      <c r="AX1421" s="232"/>
      <c r="AY1421" s="232"/>
      <c r="AZ1421" s="232"/>
      <c r="BA1421" s="232"/>
      <c r="BB1421" s="232"/>
      <c r="BC1421" s="232"/>
      <c r="BD1421" s="232"/>
      <c r="BE1421" s="232"/>
      <c r="BF1421" s="232"/>
      <c r="BG1421" s="232"/>
      <c r="BH1421" s="232"/>
      <c r="BI1421" s="232"/>
      <c r="BJ1421" s="232"/>
      <c r="BK1421" s="232"/>
      <c r="BL1421" s="232"/>
      <c r="BM1421" s="232"/>
      <c r="BN1421" s="232"/>
      <c r="BO1421" s="232"/>
      <c r="BP1421" s="232"/>
      <c r="BQ1421" s="232"/>
      <c r="BR1421" s="232"/>
      <c r="BS1421" s="232"/>
      <c r="BT1421" s="232"/>
      <c r="BU1421" s="232"/>
      <c r="BV1421" s="232"/>
      <c r="BW1421" s="232"/>
      <c r="BX1421" s="232"/>
      <c r="BY1421" s="232"/>
      <c r="BZ1421" s="232"/>
      <c r="CA1421" s="232"/>
      <c r="CB1421" s="232"/>
      <c r="CC1421" s="232"/>
      <c r="CD1421" s="232"/>
      <c r="CE1421" s="232"/>
      <c r="CF1421" s="232"/>
      <c r="CG1421" s="232"/>
      <c r="CH1421" s="232"/>
      <c r="CI1421" s="232"/>
      <c r="CJ1421" s="232"/>
      <c r="CK1421" s="232"/>
      <c r="CL1421" s="232"/>
      <c r="CM1421" s="232"/>
      <c r="CN1421" s="215"/>
      <c r="CO1421" s="215"/>
      <c r="CP1421" s="215"/>
      <c r="CQ1421" s="215"/>
      <c r="CR1421" s="215"/>
      <c r="CS1421" s="215"/>
      <c r="CT1421" s="215"/>
    </row>
    <row r="1422" ht="24.0" customHeight="1">
      <c r="A1422" s="287"/>
      <c r="B1422" s="287"/>
      <c r="C1422" s="287"/>
      <c r="D1422" s="232"/>
      <c r="E1422" s="232"/>
      <c r="F1422" s="232"/>
      <c r="G1422" s="232"/>
      <c r="H1422" s="232"/>
      <c r="I1422" s="232"/>
      <c r="J1422" s="232"/>
      <c r="K1422" s="232"/>
      <c r="L1422" s="232"/>
      <c r="M1422" s="232"/>
      <c r="N1422" s="289"/>
      <c r="O1422" s="232"/>
      <c r="P1422" s="232"/>
      <c r="Q1422" s="232"/>
      <c r="R1422" s="232"/>
      <c r="S1422" s="232"/>
      <c r="T1422" s="232"/>
      <c r="U1422" s="232"/>
      <c r="V1422" s="232"/>
      <c r="W1422" s="232"/>
      <c r="X1422" s="232"/>
      <c r="Y1422" s="232"/>
      <c r="Z1422" s="232"/>
      <c r="AA1422" s="232"/>
      <c r="AB1422" s="232"/>
      <c r="AC1422" s="232"/>
      <c r="AD1422" s="232"/>
      <c r="AE1422" s="232"/>
      <c r="AF1422" s="232"/>
      <c r="AG1422" s="232"/>
      <c r="AH1422" s="232"/>
      <c r="AI1422" s="232"/>
      <c r="AJ1422" s="232"/>
      <c r="AK1422" s="232"/>
      <c r="AL1422" s="232"/>
      <c r="AM1422" s="232"/>
      <c r="AN1422" s="232"/>
      <c r="AO1422" s="232"/>
      <c r="AP1422" s="232"/>
      <c r="AQ1422" s="232"/>
      <c r="AR1422" s="232"/>
      <c r="AS1422" s="232"/>
      <c r="AT1422" s="232"/>
      <c r="AU1422" s="232"/>
      <c r="AV1422" s="232"/>
      <c r="AW1422" s="232"/>
      <c r="AX1422" s="232"/>
      <c r="AY1422" s="232"/>
      <c r="AZ1422" s="232"/>
      <c r="BA1422" s="232"/>
      <c r="BB1422" s="232"/>
      <c r="BC1422" s="232"/>
      <c r="BD1422" s="232"/>
      <c r="BE1422" s="232"/>
      <c r="BF1422" s="232"/>
      <c r="BG1422" s="232"/>
      <c r="BH1422" s="232"/>
      <c r="BI1422" s="232"/>
      <c r="BJ1422" s="232"/>
      <c r="BK1422" s="232"/>
      <c r="BL1422" s="232"/>
      <c r="BM1422" s="232"/>
      <c r="BN1422" s="232"/>
      <c r="BO1422" s="232"/>
      <c r="BP1422" s="232"/>
      <c r="BQ1422" s="232"/>
      <c r="BR1422" s="232"/>
      <c r="BS1422" s="232"/>
      <c r="BT1422" s="232"/>
      <c r="BU1422" s="232"/>
      <c r="BV1422" s="232"/>
      <c r="BW1422" s="232"/>
      <c r="BX1422" s="232"/>
      <c r="BY1422" s="232"/>
      <c r="BZ1422" s="232"/>
      <c r="CA1422" s="232"/>
      <c r="CB1422" s="232"/>
      <c r="CC1422" s="232"/>
      <c r="CD1422" s="232"/>
      <c r="CE1422" s="232"/>
      <c r="CF1422" s="232"/>
      <c r="CG1422" s="232"/>
      <c r="CH1422" s="232"/>
      <c r="CI1422" s="232"/>
      <c r="CJ1422" s="232"/>
      <c r="CK1422" s="232"/>
      <c r="CL1422" s="232"/>
      <c r="CM1422" s="232"/>
      <c r="CN1422" s="215"/>
      <c r="CO1422" s="215"/>
      <c r="CP1422" s="215"/>
      <c r="CQ1422" s="215"/>
      <c r="CR1422" s="215"/>
      <c r="CS1422" s="215"/>
      <c r="CT1422" s="215"/>
    </row>
    <row r="1423" ht="24.0" customHeight="1">
      <c r="A1423" s="287"/>
      <c r="B1423" s="287"/>
      <c r="C1423" s="287"/>
      <c r="D1423" s="232"/>
      <c r="E1423" s="232"/>
      <c r="F1423" s="232"/>
      <c r="G1423" s="232"/>
      <c r="H1423" s="232"/>
      <c r="I1423" s="232"/>
      <c r="J1423" s="232"/>
      <c r="K1423" s="232"/>
      <c r="L1423" s="232"/>
      <c r="M1423" s="232"/>
      <c r="N1423" s="289"/>
      <c r="O1423" s="232"/>
      <c r="P1423" s="232"/>
      <c r="Q1423" s="232"/>
      <c r="R1423" s="232"/>
      <c r="S1423" s="232"/>
      <c r="T1423" s="232"/>
      <c r="U1423" s="232"/>
      <c r="V1423" s="232"/>
      <c r="W1423" s="232"/>
      <c r="X1423" s="232"/>
      <c r="Y1423" s="232"/>
      <c r="Z1423" s="232"/>
      <c r="AA1423" s="232"/>
      <c r="AB1423" s="232"/>
      <c r="AC1423" s="232"/>
      <c r="AD1423" s="232"/>
      <c r="AE1423" s="232"/>
      <c r="AF1423" s="232"/>
      <c r="AG1423" s="232"/>
      <c r="AH1423" s="232"/>
      <c r="AI1423" s="232"/>
      <c r="AJ1423" s="232"/>
      <c r="AK1423" s="232"/>
      <c r="AL1423" s="232"/>
      <c r="AM1423" s="232"/>
      <c r="AN1423" s="232"/>
      <c r="AO1423" s="232"/>
      <c r="AP1423" s="232"/>
      <c r="AQ1423" s="232"/>
      <c r="AR1423" s="232"/>
      <c r="AS1423" s="232"/>
      <c r="AT1423" s="232"/>
      <c r="AU1423" s="232"/>
      <c r="AV1423" s="232"/>
      <c r="AW1423" s="232"/>
      <c r="AX1423" s="232"/>
      <c r="AY1423" s="232"/>
      <c r="AZ1423" s="232"/>
      <c r="BA1423" s="232"/>
      <c r="BB1423" s="232"/>
      <c r="BC1423" s="232"/>
      <c r="BD1423" s="232"/>
      <c r="BE1423" s="232"/>
      <c r="BF1423" s="232"/>
      <c r="BG1423" s="232"/>
      <c r="BH1423" s="232"/>
      <c r="BI1423" s="232"/>
      <c r="BJ1423" s="232"/>
      <c r="BK1423" s="232"/>
      <c r="BL1423" s="232"/>
      <c r="BM1423" s="232"/>
      <c r="BN1423" s="232"/>
      <c r="BO1423" s="232"/>
      <c r="BP1423" s="232"/>
      <c r="BQ1423" s="232"/>
      <c r="BR1423" s="232"/>
      <c r="BS1423" s="232"/>
      <c r="BT1423" s="232"/>
      <c r="BU1423" s="232"/>
      <c r="BV1423" s="232"/>
      <c r="BW1423" s="232"/>
      <c r="BX1423" s="232"/>
      <c r="BY1423" s="232"/>
      <c r="BZ1423" s="232"/>
      <c r="CA1423" s="232"/>
      <c r="CB1423" s="232"/>
      <c r="CC1423" s="232"/>
      <c r="CD1423" s="232"/>
      <c r="CE1423" s="232"/>
      <c r="CF1423" s="232"/>
      <c r="CG1423" s="232"/>
      <c r="CH1423" s="232"/>
      <c r="CI1423" s="232"/>
      <c r="CJ1423" s="232"/>
      <c r="CK1423" s="232"/>
      <c r="CL1423" s="232"/>
      <c r="CM1423" s="232"/>
      <c r="CN1423" s="215"/>
      <c r="CO1423" s="215"/>
      <c r="CP1423" s="215"/>
      <c r="CQ1423" s="215"/>
      <c r="CR1423" s="215"/>
      <c r="CS1423" s="215"/>
      <c r="CT1423" s="215"/>
    </row>
    <row r="1424" ht="24.0" customHeight="1">
      <c r="A1424" s="287"/>
      <c r="B1424" s="287"/>
      <c r="C1424" s="287"/>
      <c r="D1424" s="232"/>
      <c r="E1424" s="232"/>
      <c r="F1424" s="232"/>
      <c r="G1424" s="232"/>
      <c r="H1424" s="232"/>
      <c r="I1424" s="232"/>
      <c r="J1424" s="232"/>
      <c r="K1424" s="232"/>
      <c r="L1424" s="232"/>
      <c r="M1424" s="232"/>
      <c r="N1424" s="289"/>
      <c r="O1424" s="232"/>
      <c r="P1424" s="232"/>
      <c r="Q1424" s="232"/>
      <c r="R1424" s="232"/>
      <c r="S1424" s="232"/>
      <c r="T1424" s="232"/>
      <c r="U1424" s="232"/>
      <c r="V1424" s="232"/>
      <c r="W1424" s="232"/>
      <c r="X1424" s="232"/>
      <c r="Y1424" s="232"/>
      <c r="Z1424" s="232"/>
      <c r="AA1424" s="232"/>
      <c r="AB1424" s="232"/>
      <c r="AC1424" s="232"/>
      <c r="AD1424" s="232"/>
      <c r="AE1424" s="232"/>
      <c r="AF1424" s="232"/>
      <c r="AG1424" s="232"/>
      <c r="AH1424" s="232"/>
      <c r="AI1424" s="232"/>
      <c r="AJ1424" s="232"/>
      <c r="AK1424" s="232"/>
      <c r="AL1424" s="232"/>
      <c r="AM1424" s="232"/>
      <c r="AN1424" s="232"/>
      <c r="AO1424" s="232"/>
      <c r="AP1424" s="232"/>
      <c r="AQ1424" s="232"/>
      <c r="AR1424" s="232"/>
      <c r="AS1424" s="232"/>
      <c r="AT1424" s="232"/>
      <c r="AU1424" s="232"/>
      <c r="AV1424" s="232"/>
      <c r="AW1424" s="232"/>
      <c r="AX1424" s="232"/>
      <c r="AY1424" s="232"/>
      <c r="AZ1424" s="232"/>
      <c r="BA1424" s="232"/>
      <c r="BB1424" s="232"/>
      <c r="BC1424" s="232"/>
      <c r="BD1424" s="232"/>
      <c r="BE1424" s="232"/>
      <c r="BF1424" s="232"/>
      <c r="BG1424" s="232"/>
      <c r="BH1424" s="232"/>
      <c r="BI1424" s="232"/>
      <c r="BJ1424" s="232"/>
      <c r="BK1424" s="232"/>
      <c r="BL1424" s="232"/>
      <c r="BM1424" s="232"/>
      <c r="BN1424" s="232"/>
      <c r="BO1424" s="232"/>
      <c r="BP1424" s="232"/>
      <c r="BQ1424" s="232"/>
      <c r="BR1424" s="232"/>
      <c r="BS1424" s="232"/>
      <c r="BT1424" s="232"/>
      <c r="BU1424" s="232"/>
      <c r="BV1424" s="232"/>
      <c r="BW1424" s="232"/>
      <c r="BX1424" s="232"/>
      <c r="BY1424" s="232"/>
      <c r="BZ1424" s="232"/>
      <c r="CA1424" s="232"/>
      <c r="CB1424" s="232"/>
      <c r="CC1424" s="232"/>
      <c r="CD1424" s="232"/>
      <c r="CE1424" s="232"/>
      <c r="CF1424" s="232"/>
      <c r="CG1424" s="232"/>
      <c r="CH1424" s="232"/>
      <c r="CI1424" s="232"/>
      <c r="CJ1424" s="232"/>
      <c r="CK1424" s="232"/>
      <c r="CL1424" s="232"/>
      <c r="CM1424" s="232"/>
      <c r="CN1424" s="215"/>
      <c r="CO1424" s="215"/>
      <c r="CP1424" s="215"/>
      <c r="CQ1424" s="215"/>
      <c r="CR1424" s="215"/>
      <c r="CS1424" s="215"/>
      <c r="CT1424" s="215"/>
    </row>
    <row r="1425" ht="24.0" customHeight="1">
      <c r="A1425" s="287"/>
      <c r="B1425" s="287"/>
      <c r="C1425" s="287"/>
      <c r="D1425" s="232"/>
      <c r="E1425" s="232"/>
      <c r="F1425" s="232"/>
      <c r="G1425" s="232"/>
      <c r="H1425" s="232"/>
      <c r="I1425" s="232"/>
      <c r="J1425" s="232"/>
      <c r="K1425" s="232"/>
      <c r="L1425" s="232"/>
      <c r="M1425" s="232"/>
      <c r="N1425" s="289"/>
      <c r="O1425" s="232"/>
      <c r="P1425" s="232"/>
      <c r="Q1425" s="232"/>
      <c r="R1425" s="232"/>
      <c r="S1425" s="232"/>
      <c r="T1425" s="232"/>
      <c r="U1425" s="232"/>
      <c r="V1425" s="232"/>
      <c r="W1425" s="232"/>
      <c r="X1425" s="232"/>
      <c r="Y1425" s="232"/>
      <c r="Z1425" s="232"/>
      <c r="AA1425" s="232"/>
      <c r="AB1425" s="232"/>
      <c r="AC1425" s="232"/>
      <c r="AD1425" s="232"/>
      <c r="AE1425" s="232"/>
      <c r="AF1425" s="232"/>
      <c r="AG1425" s="232"/>
      <c r="AH1425" s="232"/>
      <c r="AI1425" s="232"/>
      <c r="AJ1425" s="232"/>
      <c r="AK1425" s="232"/>
      <c r="AL1425" s="232"/>
      <c r="AM1425" s="232"/>
      <c r="AN1425" s="232"/>
      <c r="AO1425" s="232"/>
      <c r="AP1425" s="232"/>
      <c r="AQ1425" s="232"/>
      <c r="AR1425" s="232"/>
      <c r="AS1425" s="232"/>
      <c r="AT1425" s="232"/>
      <c r="AU1425" s="232"/>
      <c r="AV1425" s="232"/>
      <c r="AW1425" s="232"/>
      <c r="AX1425" s="232"/>
      <c r="AY1425" s="232"/>
      <c r="AZ1425" s="232"/>
      <c r="BA1425" s="232"/>
      <c r="BB1425" s="232"/>
      <c r="BC1425" s="232"/>
      <c r="BD1425" s="232"/>
      <c r="BE1425" s="232"/>
      <c r="BF1425" s="232"/>
      <c r="BG1425" s="232"/>
      <c r="BH1425" s="232"/>
      <c r="BI1425" s="232"/>
      <c r="BJ1425" s="232"/>
      <c r="BK1425" s="232"/>
      <c r="BL1425" s="232"/>
      <c r="BM1425" s="232"/>
      <c r="BN1425" s="232"/>
      <c r="BO1425" s="232"/>
      <c r="BP1425" s="232"/>
      <c r="BQ1425" s="232"/>
      <c r="BR1425" s="232"/>
      <c r="BS1425" s="232"/>
      <c r="BT1425" s="232"/>
      <c r="BU1425" s="232"/>
      <c r="BV1425" s="232"/>
      <c r="BW1425" s="232"/>
      <c r="BX1425" s="232"/>
      <c r="BY1425" s="232"/>
      <c r="BZ1425" s="232"/>
      <c r="CA1425" s="232"/>
      <c r="CB1425" s="232"/>
      <c r="CC1425" s="232"/>
      <c r="CD1425" s="232"/>
      <c r="CE1425" s="232"/>
      <c r="CF1425" s="232"/>
      <c r="CG1425" s="232"/>
      <c r="CH1425" s="232"/>
      <c r="CI1425" s="232"/>
      <c r="CJ1425" s="232"/>
      <c r="CK1425" s="232"/>
      <c r="CL1425" s="232"/>
      <c r="CM1425" s="232"/>
      <c r="CN1425" s="215"/>
      <c r="CO1425" s="215"/>
      <c r="CP1425" s="215"/>
      <c r="CQ1425" s="215"/>
      <c r="CR1425" s="215"/>
      <c r="CS1425" s="215"/>
      <c r="CT1425" s="215"/>
    </row>
    <row r="1426" ht="24.0" customHeight="1">
      <c r="A1426" s="287"/>
      <c r="B1426" s="287"/>
      <c r="C1426" s="287"/>
      <c r="D1426" s="232"/>
      <c r="E1426" s="232"/>
      <c r="F1426" s="232"/>
      <c r="G1426" s="232"/>
      <c r="H1426" s="232"/>
      <c r="I1426" s="232"/>
      <c r="J1426" s="232"/>
      <c r="K1426" s="232"/>
      <c r="L1426" s="232"/>
      <c r="M1426" s="232"/>
      <c r="N1426" s="289"/>
      <c r="O1426" s="232"/>
      <c r="P1426" s="232"/>
      <c r="Q1426" s="232"/>
      <c r="R1426" s="232"/>
      <c r="S1426" s="232"/>
      <c r="T1426" s="232"/>
      <c r="U1426" s="232"/>
      <c r="V1426" s="232"/>
      <c r="W1426" s="232"/>
      <c r="X1426" s="232"/>
      <c r="Y1426" s="232"/>
      <c r="Z1426" s="232"/>
      <c r="AA1426" s="232"/>
      <c r="AB1426" s="232"/>
      <c r="AC1426" s="232"/>
      <c r="AD1426" s="232"/>
      <c r="AE1426" s="232"/>
      <c r="AF1426" s="232"/>
      <c r="AG1426" s="232"/>
      <c r="AH1426" s="232"/>
      <c r="AI1426" s="232"/>
      <c r="AJ1426" s="232"/>
      <c r="AK1426" s="232"/>
      <c r="AL1426" s="232"/>
      <c r="AM1426" s="232"/>
      <c r="AN1426" s="232"/>
      <c r="AO1426" s="232"/>
      <c r="AP1426" s="232"/>
      <c r="AQ1426" s="232"/>
      <c r="AR1426" s="232"/>
      <c r="AS1426" s="232"/>
      <c r="AT1426" s="232"/>
      <c r="AU1426" s="232"/>
      <c r="AV1426" s="232"/>
      <c r="AW1426" s="232"/>
      <c r="AX1426" s="232"/>
      <c r="AY1426" s="232"/>
      <c r="AZ1426" s="232"/>
      <c r="BA1426" s="232"/>
      <c r="BB1426" s="232"/>
      <c r="BC1426" s="232"/>
      <c r="BD1426" s="232"/>
      <c r="BE1426" s="232"/>
      <c r="BF1426" s="232"/>
      <c r="BG1426" s="232"/>
      <c r="BH1426" s="232"/>
      <c r="BI1426" s="232"/>
      <c r="BJ1426" s="232"/>
      <c r="BK1426" s="232"/>
      <c r="BL1426" s="232"/>
      <c r="BM1426" s="232"/>
      <c r="BN1426" s="232"/>
      <c r="BO1426" s="232"/>
      <c r="BP1426" s="232"/>
      <c r="BQ1426" s="232"/>
      <c r="BR1426" s="232"/>
      <c r="BS1426" s="232"/>
      <c r="BT1426" s="232"/>
      <c r="BU1426" s="232"/>
      <c r="BV1426" s="232"/>
      <c r="BW1426" s="232"/>
      <c r="BX1426" s="232"/>
      <c r="BY1426" s="232"/>
      <c r="BZ1426" s="232"/>
      <c r="CA1426" s="232"/>
      <c r="CB1426" s="232"/>
      <c r="CC1426" s="232"/>
      <c r="CD1426" s="232"/>
      <c r="CE1426" s="232"/>
      <c r="CF1426" s="232"/>
      <c r="CG1426" s="232"/>
      <c r="CH1426" s="232"/>
      <c r="CI1426" s="232"/>
      <c r="CJ1426" s="232"/>
      <c r="CK1426" s="232"/>
      <c r="CL1426" s="232"/>
      <c r="CM1426" s="232"/>
      <c r="CN1426" s="215"/>
      <c r="CO1426" s="215"/>
      <c r="CP1426" s="215"/>
      <c r="CQ1426" s="215"/>
      <c r="CR1426" s="215"/>
      <c r="CS1426" s="215"/>
      <c r="CT1426" s="215"/>
    </row>
    <row r="1427" ht="24.0" customHeight="1">
      <c r="A1427" s="287"/>
      <c r="B1427" s="287"/>
      <c r="C1427" s="287"/>
      <c r="D1427" s="232"/>
      <c r="E1427" s="232"/>
      <c r="F1427" s="232"/>
      <c r="G1427" s="232"/>
      <c r="H1427" s="232"/>
      <c r="I1427" s="232"/>
      <c r="J1427" s="232"/>
      <c r="K1427" s="232"/>
      <c r="L1427" s="232"/>
      <c r="M1427" s="232"/>
      <c r="N1427" s="289"/>
      <c r="O1427" s="232"/>
      <c r="P1427" s="232"/>
      <c r="Q1427" s="232"/>
      <c r="R1427" s="232"/>
      <c r="S1427" s="232"/>
      <c r="T1427" s="232"/>
      <c r="U1427" s="232"/>
      <c r="V1427" s="232"/>
      <c r="W1427" s="232"/>
      <c r="X1427" s="232"/>
      <c r="Y1427" s="232"/>
      <c r="Z1427" s="232"/>
      <c r="AA1427" s="232"/>
      <c r="AB1427" s="232"/>
      <c r="AC1427" s="232"/>
      <c r="AD1427" s="232"/>
      <c r="AE1427" s="232"/>
      <c r="AF1427" s="232"/>
      <c r="AG1427" s="232"/>
      <c r="AH1427" s="232"/>
      <c r="AI1427" s="232"/>
      <c r="AJ1427" s="232"/>
      <c r="AK1427" s="232"/>
      <c r="AL1427" s="232"/>
      <c r="AM1427" s="232"/>
      <c r="AN1427" s="232"/>
      <c r="AO1427" s="232"/>
      <c r="AP1427" s="232"/>
      <c r="AQ1427" s="232"/>
      <c r="AR1427" s="232"/>
      <c r="AS1427" s="232"/>
      <c r="AT1427" s="232"/>
      <c r="AU1427" s="232"/>
      <c r="AV1427" s="232"/>
      <c r="AW1427" s="232"/>
      <c r="AX1427" s="232"/>
      <c r="AY1427" s="232"/>
      <c r="AZ1427" s="232"/>
      <c r="BA1427" s="232"/>
      <c r="BB1427" s="232"/>
      <c r="BC1427" s="232"/>
      <c r="BD1427" s="232"/>
      <c r="BE1427" s="232"/>
      <c r="BF1427" s="232"/>
      <c r="BG1427" s="232"/>
      <c r="BH1427" s="232"/>
      <c r="BI1427" s="232"/>
      <c r="BJ1427" s="232"/>
      <c r="BK1427" s="232"/>
      <c r="BL1427" s="232"/>
      <c r="BM1427" s="232"/>
      <c r="BN1427" s="232"/>
      <c r="BO1427" s="232"/>
      <c r="BP1427" s="232"/>
      <c r="BQ1427" s="232"/>
      <c r="BR1427" s="232"/>
      <c r="BS1427" s="232"/>
      <c r="BT1427" s="232"/>
      <c r="BU1427" s="232"/>
      <c r="BV1427" s="232"/>
      <c r="BW1427" s="232"/>
      <c r="BX1427" s="232"/>
      <c r="BY1427" s="232"/>
      <c r="BZ1427" s="232"/>
      <c r="CA1427" s="232"/>
      <c r="CB1427" s="232"/>
      <c r="CC1427" s="232"/>
      <c r="CD1427" s="232"/>
      <c r="CE1427" s="232"/>
      <c r="CF1427" s="232"/>
      <c r="CG1427" s="232"/>
      <c r="CH1427" s="232"/>
      <c r="CI1427" s="232"/>
      <c r="CJ1427" s="232"/>
      <c r="CK1427" s="232"/>
      <c r="CL1427" s="232"/>
      <c r="CM1427" s="232"/>
      <c r="CN1427" s="215"/>
      <c r="CO1427" s="215"/>
      <c r="CP1427" s="215"/>
      <c r="CQ1427" s="215"/>
      <c r="CR1427" s="215"/>
      <c r="CS1427" s="215"/>
      <c r="CT1427" s="215"/>
    </row>
    <row r="1428" ht="24.0" customHeight="1">
      <c r="A1428" s="287"/>
      <c r="B1428" s="287"/>
      <c r="C1428" s="287"/>
      <c r="D1428" s="232"/>
      <c r="E1428" s="232"/>
      <c r="F1428" s="232"/>
      <c r="G1428" s="232"/>
      <c r="H1428" s="232"/>
      <c r="I1428" s="232"/>
      <c r="J1428" s="232"/>
      <c r="K1428" s="232"/>
      <c r="L1428" s="232"/>
      <c r="M1428" s="232"/>
      <c r="N1428" s="289"/>
      <c r="O1428" s="232"/>
      <c r="P1428" s="232"/>
      <c r="Q1428" s="232"/>
      <c r="R1428" s="232"/>
      <c r="S1428" s="232"/>
      <c r="T1428" s="232"/>
      <c r="U1428" s="232"/>
      <c r="V1428" s="232"/>
      <c r="W1428" s="232"/>
      <c r="X1428" s="232"/>
      <c r="Y1428" s="232"/>
      <c r="Z1428" s="232"/>
      <c r="AA1428" s="232"/>
      <c r="AB1428" s="232"/>
      <c r="AC1428" s="232"/>
      <c r="AD1428" s="232"/>
      <c r="AE1428" s="232"/>
      <c r="AF1428" s="232"/>
      <c r="AG1428" s="232"/>
      <c r="AH1428" s="232"/>
      <c r="AI1428" s="232"/>
      <c r="AJ1428" s="232"/>
      <c r="AK1428" s="232"/>
      <c r="AL1428" s="232"/>
      <c r="AM1428" s="232"/>
      <c r="AN1428" s="232"/>
      <c r="AO1428" s="232"/>
      <c r="AP1428" s="232"/>
      <c r="AQ1428" s="232"/>
      <c r="AR1428" s="232"/>
      <c r="AS1428" s="232"/>
      <c r="AT1428" s="232"/>
      <c r="AU1428" s="232"/>
      <c r="AV1428" s="232"/>
      <c r="AW1428" s="232"/>
      <c r="AX1428" s="232"/>
      <c r="AY1428" s="232"/>
      <c r="AZ1428" s="232"/>
      <c r="BA1428" s="232"/>
      <c r="BB1428" s="232"/>
      <c r="BC1428" s="232"/>
      <c r="BD1428" s="232"/>
      <c r="BE1428" s="232"/>
      <c r="BF1428" s="232"/>
      <c r="BG1428" s="232"/>
      <c r="BH1428" s="232"/>
      <c r="BI1428" s="232"/>
      <c r="BJ1428" s="232"/>
      <c r="BK1428" s="232"/>
      <c r="BL1428" s="232"/>
      <c r="BM1428" s="232"/>
      <c r="BN1428" s="232"/>
      <c r="BO1428" s="232"/>
      <c r="BP1428" s="232"/>
      <c r="BQ1428" s="232"/>
      <c r="BR1428" s="232"/>
      <c r="BS1428" s="232"/>
      <c r="BT1428" s="232"/>
      <c r="BU1428" s="232"/>
      <c r="BV1428" s="232"/>
      <c r="BW1428" s="232"/>
      <c r="BX1428" s="232"/>
      <c r="BY1428" s="232"/>
      <c r="BZ1428" s="232"/>
      <c r="CA1428" s="232"/>
      <c r="CB1428" s="232"/>
      <c r="CC1428" s="232"/>
      <c r="CD1428" s="232"/>
      <c r="CE1428" s="232"/>
      <c r="CF1428" s="232"/>
      <c r="CG1428" s="232"/>
      <c r="CH1428" s="232"/>
      <c r="CI1428" s="232"/>
      <c r="CJ1428" s="232"/>
      <c r="CK1428" s="232"/>
      <c r="CL1428" s="232"/>
      <c r="CM1428" s="232"/>
      <c r="CN1428" s="215"/>
      <c r="CO1428" s="215"/>
      <c r="CP1428" s="215"/>
      <c r="CQ1428" s="215"/>
      <c r="CR1428" s="215"/>
      <c r="CS1428" s="215"/>
      <c r="CT1428" s="215"/>
    </row>
    <row r="1429" ht="24.0" customHeight="1">
      <c r="A1429" s="287"/>
      <c r="B1429" s="287"/>
      <c r="C1429" s="287"/>
      <c r="D1429" s="232"/>
      <c r="E1429" s="232"/>
      <c r="F1429" s="232"/>
      <c r="G1429" s="232"/>
      <c r="H1429" s="232"/>
      <c r="I1429" s="232"/>
      <c r="J1429" s="232"/>
      <c r="K1429" s="232"/>
      <c r="L1429" s="232"/>
      <c r="M1429" s="232"/>
      <c r="N1429" s="289"/>
      <c r="O1429" s="232"/>
      <c r="P1429" s="232"/>
      <c r="Q1429" s="232"/>
      <c r="R1429" s="232"/>
      <c r="S1429" s="232"/>
      <c r="T1429" s="232"/>
      <c r="U1429" s="232"/>
      <c r="V1429" s="232"/>
      <c r="W1429" s="232"/>
      <c r="X1429" s="232"/>
      <c r="Y1429" s="232"/>
      <c r="Z1429" s="232"/>
      <c r="AA1429" s="232"/>
      <c r="AB1429" s="232"/>
      <c r="AC1429" s="232"/>
      <c r="AD1429" s="232"/>
      <c r="AE1429" s="232"/>
      <c r="AF1429" s="232"/>
      <c r="AG1429" s="232"/>
      <c r="AH1429" s="232"/>
      <c r="AI1429" s="232"/>
      <c r="AJ1429" s="232"/>
      <c r="AK1429" s="232"/>
      <c r="AL1429" s="232"/>
      <c r="AM1429" s="232"/>
      <c r="AN1429" s="232"/>
      <c r="AO1429" s="232"/>
      <c r="AP1429" s="232"/>
      <c r="AQ1429" s="232"/>
      <c r="AR1429" s="232"/>
      <c r="AS1429" s="232"/>
      <c r="AT1429" s="232"/>
      <c r="AU1429" s="232"/>
      <c r="AV1429" s="232"/>
      <c r="AW1429" s="232"/>
      <c r="AX1429" s="232"/>
      <c r="AY1429" s="232"/>
      <c r="AZ1429" s="232"/>
      <c r="BA1429" s="232"/>
      <c r="BB1429" s="232"/>
      <c r="BC1429" s="232"/>
      <c r="BD1429" s="232"/>
      <c r="BE1429" s="232"/>
      <c r="BF1429" s="232"/>
      <c r="BG1429" s="232"/>
      <c r="BH1429" s="232"/>
      <c r="BI1429" s="232"/>
      <c r="BJ1429" s="232"/>
      <c r="BK1429" s="232"/>
      <c r="BL1429" s="232"/>
      <c r="BM1429" s="232"/>
      <c r="BN1429" s="232"/>
      <c r="BO1429" s="232"/>
      <c r="BP1429" s="232"/>
      <c r="BQ1429" s="232"/>
      <c r="BR1429" s="232"/>
      <c r="BS1429" s="232"/>
      <c r="BT1429" s="232"/>
      <c r="BU1429" s="232"/>
      <c r="BV1429" s="232"/>
      <c r="BW1429" s="232"/>
      <c r="BX1429" s="232"/>
      <c r="BY1429" s="232"/>
      <c r="BZ1429" s="232"/>
      <c r="CA1429" s="232"/>
      <c r="CB1429" s="232"/>
      <c r="CC1429" s="232"/>
      <c r="CD1429" s="232"/>
      <c r="CE1429" s="232"/>
      <c r="CF1429" s="232"/>
      <c r="CG1429" s="232"/>
      <c r="CH1429" s="232"/>
      <c r="CI1429" s="232"/>
      <c r="CJ1429" s="232"/>
      <c r="CK1429" s="232"/>
      <c r="CL1429" s="232"/>
      <c r="CM1429" s="232"/>
      <c r="CN1429" s="215"/>
      <c r="CO1429" s="215"/>
      <c r="CP1429" s="215"/>
      <c r="CQ1429" s="215"/>
      <c r="CR1429" s="215"/>
      <c r="CS1429" s="215"/>
      <c r="CT1429" s="215"/>
    </row>
    <row r="1430" ht="24.0" customHeight="1">
      <c r="A1430" s="287"/>
      <c r="B1430" s="287"/>
      <c r="C1430" s="287"/>
      <c r="D1430" s="232"/>
      <c r="E1430" s="232"/>
      <c r="F1430" s="232"/>
      <c r="G1430" s="232"/>
      <c r="H1430" s="232"/>
      <c r="I1430" s="232"/>
      <c r="J1430" s="232"/>
      <c r="K1430" s="232"/>
      <c r="L1430" s="232"/>
      <c r="M1430" s="232"/>
      <c r="N1430" s="289"/>
      <c r="O1430" s="232"/>
      <c r="P1430" s="232"/>
      <c r="Q1430" s="232"/>
      <c r="R1430" s="232"/>
      <c r="S1430" s="232"/>
      <c r="T1430" s="232"/>
      <c r="U1430" s="232"/>
      <c r="V1430" s="232"/>
      <c r="W1430" s="232"/>
      <c r="X1430" s="232"/>
      <c r="Y1430" s="232"/>
      <c r="Z1430" s="232"/>
      <c r="AA1430" s="232"/>
      <c r="AB1430" s="232"/>
      <c r="AC1430" s="232"/>
      <c r="AD1430" s="232"/>
      <c r="AE1430" s="232"/>
      <c r="AF1430" s="232"/>
      <c r="AG1430" s="232"/>
      <c r="AH1430" s="232"/>
      <c r="AI1430" s="232"/>
      <c r="AJ1430" s="232"/>
      <c r="AK1430" s="232"/>
      <c r="AL1430" s="232"/>
      <c r="AM1430" s="232"/>
      <c r="AN1430" s="232"/>
      <c r="AO1430" s="232"/>
      <c r="AP1430" s="232"/>
      <c r="AQ1430" s="232"/>
      <c r="AR1430" s="232"/>
      <c r="AS1430" s="232"/>
      <c r="AT1430" s="232"/>
      <c r="AU1430" s="232"/>
      <c r="AV1430" s="232"/>
      <c r="AW1430" s="232"/>
      <c r="AX1430" s="232"/>
      <c r="AY1430" s="232"/>
      <c r="AZ1430" s="232"/>
      <c r="BA1430" s="232"/>
      <c r="BB1430" s="232"/>
      <c r="BC1430" s="232"/>
      <c r="BD1430" s="232"/>
      <c r="BE1430" s="232"/>
      <c r="BF1430" s="232"/>
      <c r="BG1430" s="232"/>
      <c r="BH1430" s="232"/>
      <c r="BI1430" s="232"/>
      <c r="BJ1430" s="232"/>
      <c r="BK1430" s="232"/>
      <c r="BL1430" s="232"/>
      <c r="BM1430" s="232"/>
      <c r="BN1430" s="232"/>
      <c r="BO1430" s="232"/>
      <c r="BP1430" s="232"/>
      <c r="BQ1430" s="232"/>
      <c r="BR1430" s="232"/>
      <c r="BS1430" s="232"/>
      <c r="BT1430" s="232"/>
      <c r="BU1430" s="232"/>
      <c r="BV1430" s="232"/>
      <c r="BW1430" s="232"/>
      <c r="BX1430" s="232"/>
      <c r="BY1430" s="232"/>
      <c r="BZ1430" s="232"/>
      <c r="CA1430" s="232"/>
      <c r="CB1430" s="232"/>
      <c r="CC1430" s="232"/>
      <c r="CD1430" s="232"/>
      <c r="CE1430" s="232"/>
      <c r="CF1430" s="232"/>
      <c r="CG1430" s="232"/>
      <c r="CH1430" s="232"/>
      <c r="CI1430" s="232"/>
      <c r="CJ1430" s="232"/>
      <c r="CK1430" s="232"/>
      <c r="CL1430" s="232"/>
      <c r="CM1430" s="232"/>
      <c r="CN1430" s="215"/>
      <c r="CO1430" s="215"/>
      <c r="CP1430" s="215"/>
      <c r="CQ1430" s="215"/>
      <c r="CR1430" s="215"/>
      <c r="CS1430" s="215"/>
      <c r="CT1430" s="215"/>
    </row>
    <row r="1431" ht="24.0" customHeight="1">
      <c r="A1431" s="287"/>
      <c r="B1431" s="287"/>
      <c r="C1431" s="287"/>
      <c r="D1431" s="232"/>
      <c r="E1431" s="232"/>
      <c r="F1431" s="232"/>
      <c r="G1431" s="232"/>
      <c r="H1431" s="232"/>
      <c r="I1431" s="232"/>
      <c r="J1431" s="232"/>
      <c r="K1431" s="232"/>
      <c r="L1431" s="232"/>
      <c r="M1431" s="232"/>
      <c r="N1431" s="289"/>
      <c r="O1431" s="232"/>
      <c r="P1431" s="232"/>
      <c r="Q1431" s="232"/>
      <c r="R1431" s="232"/>
      <c r="S1431" s="232"/>
      <c r="T1431" s="232"/>
      <c r="U1431" s="232"/>
      <c r="V1431" s="232"/>
      <c r="W1431" s="232"/>
      <c r="X1431" s="232"/>
      <c r="Y1431" s="232"/>
      <c r="Z1431" s="232"/>
      <c r="AA1431" s="232"/>
      <c r="AB1431" s="232"/>
      <c r="AC1431" s="232"/>
      <c r="AD1431" s="232"/>
      <c r="AE1431" s="232"/>
      <c r="AF1431" s="232"/>
      <c r="AG1431" s="232"/>
      <c r="AH1431" s="232"/>
      <c r="AI1431" s="232"/>
      <c r="AJ1431" s="232"/>
      <c r="AK1431" s="232"/>
      <c r="AL1431" s="232"/>
      <c r="AM1431" s="232"/>
      <c r="AN1431" s="232"/>
      <c r="AO1431" s="232"/>
      <c r="AP1431" s="232"/>
      <c r="AQ1431" s="232"/>
      <c r="AR1431" s="232"/>
      <c r="AS1431" s="232"/>
      <c r="AT1431" s="232"/>
      <c r="AU1431" s="232"/>
      <c r="AV1431" s="232"/>
      <c r="AW1431" s="232"/>
      <c r="AX1431" s="232"/>
      <c r="AY1431" s="232"/>
      <c r="AZ1431" s="232"/>
      <c r="BA1431" s="232"/>
      <c r="BB1431" s="232"/>
      <c r="BC1431" s="232"/>
      <c r="BD1431" s="232"/>
      <c r="BE1431" s="232"/>
      <c r="BF1431" s="232"/>
      <c r="BG1431" s="232"/>
      <c r="BH1431" s="232"/>
      <c r="BI1431" s="232"/>
      <c r="BJ1431" s="232"/>
      <c r="BK1431" s="232"/>
      <c r="BL1431" s="232"/>
      <c r="BM1431" s="232"/>
      <c r="BN1431" s="232"/>
      <c r="BO1431" s="232"/>
      <c r="BP1431" s="232"/>
      <c r="BQ1431" s="232"/>
      <c r="BR1431" s="232"/>
      <c r="BS1431" s="232"/>
      <c r="BT1431" s="232"/>
      <c r="BU1431" s="232"/>
      <c r="BV1431" s="232"/>
      <c r="BW1431" s="232"/>
      <c r="BX1431" s="232"/>
      <c r="BY1431" s="232"/>
      <c r="BZ1431" s="232"/>
      <c r="CA1431" s="232"/>
      <c r="CB1431" s="232"/>
      <c r="CC1431" s="232"/>
      <c r="CD1431" s="232"/>
      <c r="CE1431" s="232"/>
      <c r="CF1431" s="232"/>
      <c r="CG1431" s="232"/>
      <c r="CH1431" s="232"/>
      <c r="CI1431" s="232"/>
      <c r="CJ1431" s="232"/>
      <c r="CK1431" s="232"/>
      <c r="CL1431" s="232"/>
      <c r="CM1431" s="232"/>
      <c r="CN1431" s="215"/>
      <c r="CO1431" s="215"/>
      <c r="CP1431" s="215"/>
      <c r="CQ1431" s="215"/>
      <c r="CR1431" s="215"/>
      <c r="CS1431" s="215"/>
      <c r="CT1431" s="215"/>
    </row>
    <row r="1432" ht="24.0" customHeight="1">
      <c r="A1432" s="287"/>
      <c r="B1432" s="287"/>
      <c r="C1432" s="287"/>
      <c r="D1432" s="232"/>
      <c r="E1432" s="232"/>
      <c r="F1432" s="232"/>
      <c r="G1432" s="232"/>
      <c r="H1432" s="232"/>
      <c r="I1432" s="232"/>
      <c r="J1432" s="232"/>
      <c r="K1432" s="232"/>
      <c r="L1432" s="232"/>
      <c r="M1432" s="232"/>
      <c r="N1432" s="289"/>
      <c r="O1432" s="232"/>
      <c r="P1432" s="232"/>
      <c r="Q1432" s="232"/>
      <c r="R1432" s="232"/>
      <c r="S1432" s="232"/>
      <c r="T1432" s="232"/>
      <c r="U1432" s="232"/>
      <c r="V1432" s="232"/>
      <c r="W1432" s="232"/>
      <c r="X1432" s="232"/>
      <c r="Y1432" s="232"/>
      <c r="Z1432" s="232"/>
      <c r="AA1432" s="232"/>
      <c r="AB1432" s="232"/>
      <c r="AC1432" s="232"/>
      <c r="AD1432" s="232"/>
      <c r="AE1432" s="232"/>
      <c r="AF1432" s="232"/>
      <c r="AG1432" s="232"/>
      <c r="AH1432" s="232"/>
      <c r="AI1432" s="232"/>
      <c r="AJ1432" s="232"/>
      <c r="AK1432" s="232"/>
      <c r="AL1432" s="232"/>
      <c r="AM1432" s="232"/>
      <c r="AN1432" s="232"/>
      <c r="AO1432" s="232"/>
      <c r="AP1432" s="232"/>
      <c r="AQ1432" s="232"/>
      <c r="AR1432" s="232"/>
      <c r="AS1432" s="232"/>
      <c r="AT1432" s="232"/>
      <c r="AU1432" s="232"/>
      <c r="AV1432" s="232"/>
      <c r="AW1432" s="232"/>
      <c r="AX1432" s="232"/>
      <c r="AY1432" s="232"/>
      <c r="AZ1432" s="232"/>
      <c r="BA1432" s="232"/>
      <c r="BB1432" s="232"/>
      <c r="BC1432" s="232"/>
      <c r="BD1432" s="232"/>
      <c r="BE1432" s="232"/>
      <c r="BF1432" s="232"/>
      <c r="BG1432" s="232"/>
      <c r="BH1432" s="232"/>
      <c r="BI1432" s="232"/>
      <c r="BJ1432" s="232"/>
      <c r="BK1432" s="232"/>
      <c r="BL1432" s="232"/>
      <c r="BM1432" s="232"/>
      <c r="BN1432" s="232"/>
      <c r="BO1432" s="232"/>
      <c r="BP1432" s="232"/>
      <c r="BQ1432" s="232"/>
      <c r="BR1432" s="232"/>
      <c r="BS1432" s="232"/>
      <c r="BT1432" s="232"/>
      <c r="BU1432" s="232"/>
      <c r="BV1432" s="232"/>
      <c r="BW1432" s="232"/>
      <c r="BX1432" s="232"/>
      <c r="BY1432" s="232"/>
      <c r="BZ1432" s="232"/>
      <c r="CA1432" s="232"/>
      <c r="CB1432" s="232"/>
      <c r="CC1432" s="232"/>
      <c r="CD1432" s="232"/>
      <c r="CE1432" s="232"/>
      <c r="CF1432" s="232"/>
      <c r="CG1432" s="232"/>
      <c r="CH1432" s="232"/>
      <c r="CI1432" s="232"/>
      <c r="CJ1432" s="232"/>
      <c r="CK1432" s="232"/>
      <c r="CL1432" s="232"/>
      <c r="CM1432" s="232"/>
      <c r="CN1432" s="215"/>
      <c r="CO1432" s="215"/>
      <c r="CP1432" s="215"/>
      <c r="CQ1432" s="215"/>
      <c r="CR1432" s="215"/>
      <c r="CS1432" s="215"/>
      <c r="CT1432" s="215"/>
    </row>
    <row r="1433" ht="24.0" customHeight="1">
      <c r="A1433" s="287"/>
      <c r="B1433" s="287"/>
      <c r="C1433" s="287"/>
      <c r="D1433" s="232"/>
      <c r="E1433" s="232"/>
      <c r="F1433" s="232"/>
      <c r="G1433" s="232"/>
      <c r="H1433" s="232"/>
      <c r="I1433" s="232"/>
      <c r="J1433" s="232"/>
      <c r="K1433" s="232"/>
      <c r="L1433" s="232"/>
      <c r="M1433" s="232"/>
      <c r="N1433" s="289"/>
      <c r="O1433" s="232"/>
      <c r="P1433" s="232"/>
      <c r="Q1433" s="232"/>
      <c r="R1433" s="232"/>
      <c r="S1433" s="232"/>
      <c r="T1433" s="232"/>
      <c r="U1433" s="232"/>
      <c r="V1433" s="232"/>
      <c r="W1433" s="232"/>
      <c r="X1433" s="232"/>
      <c r="Y1433" s="232"/>
      <c r="Z1433" s="232"/>
      <c r="AA1433" s="232"/>
      <c r="AB1433" s="232"/>
      <c r="AC1433" s="232"/>
      <c r="AD1433" s="232"/>
      <c r="AE1433" s="232"/>
      <c r="AF1433" s="232"/>
      <c r="AG1433" s="232"/>
      <c r="AH1433" s="232"/>
      <c r="AI1433" s="232"/>
      <c r="AJ1433" s="232"/>
      <c r="AK1433" s="232"/>
      <c r="AL1433" s="232"/>
      <c r="AM1433" s="232"/>
      <c r="AN1433" s="232"/>
      <c r="AO1433" s="232"/>
      <c r="AP1433" s="232"/>
      <c r="AQ1433" s="232"/>
      <c r="AR1433" s="232"/>
      <c r="AS1433" s="232"/>
      <c r="AT1433" s="232"/>
      <c r="AU1433" s="232"/>
      <c r="AV1433" s="232"/>
      <c r="AW1433" s="232"/>
      <c r="AX1433" s="232"/>
      <c r="AY1433" s="232"/>
      <c r="AZ1433" s="232"/>
      <c r="BA1433" s="232"/>
      <c r="BB1433" s="232"/>
      <c r="BC1433" s="232"/>
      <c r="BD1433" s="232"/>
      <c r="BE1433" s="232"/>
      <c r="BF1433" s="232"/>
      <c r="BG1433" s="232"/>
      <c r="BH1433" s="232"/>
      <c r="BI1433" s="232"/>
      <c r="BJ1433" s="232"/>
      <c r="BK1433" s="232"/>
      <c r="BL1433" s="232"/>
      <c r="BM1433" s="232"/>
      <c r="BN1433" s="232"/>
      <c r="BO1433" s="232"/>
      <c r="BP1433" s="232"/>
      <c r="BQ1433" s="232"/>
      <c r="BR1433" s="232"/>
      <c r="BS1433" s="232"/>
      <c r="BT1433" s="232"/>
      <c r="BU1433" s="232"/>
      <c r="BV1433" s="232"/>
      <c r="BW1433" s="232"/>
      <c r="BX1433" s="232"/>
      <c r="BY1433" s="232"/>
      <c r="BZ1433" s="232"/>
      <c r="CA1433" s="232"/>
      <c r="CB1433" s="232"/>
      <c r="CC1433" s="232"/>
      <c r="CD1433" s="232"/>
      <c r="CE1433" s="232"/>
      <c r="CF1433" s="232"/>
      <c r="CG1433" s="232"/>
      <c r="CH1433" s="232"/>
      <c r="CI1433" s="232"/>
      <c r="CJ1433" s="232"/>
      <c r="CK1433" s="232"/>
      <c r="CL1433" s="232"/>
      <c r="CM1433" s="232"/>
      <c r="CN1433" s="215"/>
      <c r="CO1433" s="215"/>
      <c r="CP1433" s="215"/>
      <c r="CQ1433" s="215"/>
      <c r="CR1433" s="215"/>
      <c r="CS1433" s="215"/>
      <c r="CT1433" s="215"/>
    </row>
    <row r="1434" ht="24.0" customHeight="1">
      <c r="A1434" s="287"/>
      <c r="B1434" s="287"/>
      <c r="C1434" s="287"/>
      <c r="D1434" s="232"/>
      <c r="E1434" s="232"/>
      <c r="F1434" s="232"/>
      <c r="G1434" s="232"/>
      <c r="H1434" s="232"/>
      <c r="I1434" s="232"/>
      <c r="J1434" s="232"/>
      <c r="K1434" s="232"/>
      <c r="L1434" s="232"/>
      <c r="M1434" s="232"/>
      <c r="N1434" s="289"/>
      <c r="O1434" s="232"/>
      <c r="P1434" s="232"/>
      <c r="Q1434" s="232"/>
      <c r="R1434" s="232"/>
      <c r="S1434" s="232"/>
      <c r="T1434" s="232"/>
      <c r="U1434" s="232"/>
      <c r="V1434" s="232"/>
      <c r="W1434" s="232"/>
      <c r="X1434" s="232"/>
      <c r="Y1434" s="232"/>
      <c r="Z1434" s="232"/>
      <c r="AA1434" s="232"/>
      <c r="AB1434" s="232"/>
      <c r="AC1434" s="232"/>
      <c r="AD1434" s="232"/>
      <c r="AE1434" s="232"/>
      <c r="AF1434" s="232"/>
      <c r="AG1434" s="232"/>
      <c r="AH1434" s="232"/>
      <c r="AI1434" s="232"/>
      <c r="AJ1434" s="232"/>
      <c r="AK1434" s="232"/>
      <c r="AL1434" s="232"/>
      <c r="AM1434" s="232"/>
      <c r="AN1434" s="232"/>
      <c r="AO1434" s="232"/>
      <c r="AP1434" s="232"/>
      <c r="AQ1434" s="232"/>
      <c r="AR1434" s="232"/>
      <c r="AS1434" s="232"/>
      <c r="AT1434" s="232"/>
      <c r="AU1434" s="232"/>
      <c r="AV1434" s="232"/>
      <c r="AW1434" s="232"/>
      <c r="AX1434" s="232"/>
      <c r="AY1434" s="232"/>
      <c r="AZ1434" s="232"/>
      <c r="BA1434" s="232"/>
      <c r="BB1434" s="232"/>
      <c r="BC1434" s="232"/>
      <c r="BD1434" s="232"/>
      <c r="BE1434" s="232"/>
      <c r="BF1434" s="232"/>
      <c r="BG1434" s="232"/>
      <c r="BH1434" s="232"/>
      <c r="BI1434" s="232"/>
      <c r="BJ1434" s="232"/>
      <c r="BK1434" s="232"/>
      <c r="BL1434" s="232"/>
      <c r="BM1434" s="232"/>
      <c r="BN1434" s="232"/>
      <c r="BO1434" s="232"/>
      <c r="BP1434" s="232"/>
      <c r="BQ1434" s="232"/>
      <c r="BR1434" s="232"/>
      <c r="BS1434" s="232"/>
      <c r="BT1434" s="232"/>
      <c r="BU1434" s="232"/>
      <c r="BV1434" s="232"/>
      <c r="BW1434" s="232"/>
      <c r="BX1434" s="232"/>
      <c r="BY1434" s="232"/>
      <c r="BZ1434" s="232"/>
      <c r="CA1434" s="232"/>
      <c r="CB1434" s="232"/>
      <c r="CC1434" s="232"/>
      <c r="CD1434" s="232"/>
      <c r="CE1434" s="232"/>
      <c r="CF1434" s="232"/>
      <c r="CG1434" s="232"/>
      <c r="CH1434" s="232"/>
      <c r="CI1434" s="232"/>
      <c r="CJ1434" s="232"/>
      <c r="CK1434" s="232"/>
      <c r="CL1434" s="232"/>
      <c r="CM1434" s="232"/>
      <c r="CN1434" s="215"/>
      <c r="CO1434" s="215"/>
      <c r="CP1434" s="215"/>
      <c r="CQ1434" s="215"/>
      <c r="CR1434" s="215"/>
      <c r="CS1434" s="215"/>
      <c r="CT1434" s="215"/>
    </row>
    <row r="1435" ht="24.0" customHeight="1">
      <c r="A1435" s="287"/>
      <c r="B1435" s="287"/>
      <c r="C1435" s="287"/>
      <c r="D1435" s="232"/>
      <c r="E1435" s="232"/>
      <c r="F1435" s="232"/>
      <c r="G1435" s="232"/>
      <c r="H1435" s="232"/>
      <c r="I1435" s="232"/>
      <c r="J1435" s="232"/>
      <c r="K1435" s="232"/>
      <c r="L1435" s="232"/>
      <c r="M1435" s="232"/>
      <c r="N1435" s="289"/>
      <c r="O1435" s="232"/>
      <c r="P1435" s="232"/>
      <c r="Q1435" s="232"/>
      <c r="R1435" s="232"/>
      <c r="S1435" s="232"/>
      <c r="T1435" s="232"/>
      <c r="U1435" s="232"/>
      <c r="V1435" s="232"/>
      <c r="W1435" s="232"/>
      <c r="X1435" s="232"/>
      <c r="Y1435" s="232"/>
      <c r="Z1435" s="232"/>
      <c r="AA1435" s="232"/>
      <c r="AB1435" s="232"/>
      <c r="AC1435" s="232"/>
      <c r="AD1435" s="232"/>
      <c r="AE1435" s="232"/>
      <c r="AF1435" s="232"/>
      <c r="AG1435" s="232"/>
      <c r="AH1435" s="232"/>
      <c r="AI1435" s="232"/>
      <c r="AJ1435" s="232"/>
      <c r="AK1435" s="232"/>
      <c r="AL1435" s="232"/>
      <c r="AM1435" s="232"/>
      <c r="AN1435" s="232"/>
      <c r="AO1435" s="232"/>
      <c r="AP1435" s="232"/>
      <c r="AQ1435" s="232"/>
      <c r="AR1435" s="232"/>
      <c r="AS1435" s="232"/>
      <c r="AT1435" s="232"/>
      <c r="AU1435" s="232"/>
      <c r="AV1435" s="232"/>
      <c r="AW1435" s="232"/>
      <c r="AX1435" s="232"/>
      <c r="AY1435" s="232"/>
      <c r="AZ1435" s="232"/>
      <c r="BA1435" s="232"/>
      <c r="BB1435" s="232"/>
      <c r="BC1435" s="232"/>
      <c r="BD1435" s="232"/>
      <c r="BE1435" s="232"/>
      <c r="BF1435" s="232"/>
      <c r="BG1435" s="232"/>
      <c r="BH1435" s="232"/>
      <c r="BI1435" s="232"/>
      <c r="BJ1435" s="232"/>
      <c r="BK1435" s="232"/>
      <c r="BL1435" s="232"/>
      <c r="BM1435" s="232"/>
      <c r="BN1435" s="232"/>
      <c r="BO1435" s="232"/>
      <c r="BP1435" s="232"/>
      <c r="BQ1435" s="232"/>
      <c r="BR1435" s="232"/>
      <c r="BS1435" s="232"/>
      <c r="BT1435" s="232"/>
      <c r="BU1435" s="232"/>
      <c r="BV1435" s="232"/>
      <c r="BW1435" s="232"/>
      <c r="BX1435" s="232"/>
      <c r="BY1435" s="232"/>
      <c r="BZ1435" s="232"/>
      <c r="CA1435" s="232"/>
      <c r="CB1435" s="232"/>
      <c r="CC1435" s="232"/>
      <c r="CD1435" s="232"/>
      <c r="CE1435" s="232"/>
      <c r="CF1435" s="232"/>
      <c r="CG1435" s="232"/>
      <c r="CH1435" s="232"/>
      <c r="CI1435" s="232"/>
      <c r="CJ1435" s="232"/>
      <c r="CK1435" s="232"/>
      <c r="CL1435" s="232"/>
      <c r="CM1435" s="232"/>
      <c r="CN1435" s="215"/>
      <c r="CO1435" s="215"/>
      <c r="CP1435" s="215"/>
      <c r="CQ1435" s="215"/>
      <c r="CR1435" s="215"/>
      <c r="CS1435" s="215"/>
      <c r="CT1435" s="215"/>
    </row>
    <row r="1436" ht="24.0" customHeight="1">
      <c r="A1436" s="287"/>
      <c r="B1436" s="287"/>
      <c r="C1436" s="287"/>
      <c r="D1436" s="232"/>
      <c r="E1436" s="232"/>
      <c r="F1436" s="232"/>
      <c r="G1436" s="232"/>
      <c r="H1436" s="232"/>
      <c r="I1436" s="232"/>
      <c r="J1436" s="232"/>
      <c r="K1436" s="232"/>
      <c r="L1436" s="232"/>
      <c r="M1436" s="232"/>
      <c r="N1436" s="289"/>
      <c r="O1436" s="232"/>
      <c r="P1436" s="232"/>
      <c r="Q1436" s="232"/>
      <c r="R1436" s="232"/>
      <c r="S1436" s="232"/>
      <c r="T1436" s="232"/>
      <c r="U1436" s="232"/>
      <c r="V1436" s="232"/>
      <c r="W1436" s="232"/>
      <c r="X1436" s="232"/>
      <c r="Y1436" s="232"/>
      <c r="Z1436" s="232"/>
      <c r="AA1436" s="232"/>
      <c r="AB1436" s="232"/>
      <c r="AC1436" s="232"/>
      <c r="AD1436" s="232"/>
      <c r="AE1436" s="232"/>
      <c r="AF1436" s="232"/>
      <c r="AG1436" s="232"/>
      <c r="AH1436" s="232"/>
      <c r="AI1436" s="232"/>
      <c r="AJ1436" s="232"/>
      <c r="AK1436" s="232"/>
      <c r="AL1436" s="232"/>
      <c r="AM1436" s="232"/>
      <c r="AN1436" s="232"/>
      <c r="AO1436" s="232"/>
      <c r="AP1436" s="232"/>
      <c r="AQ1436" s="232"/>
      <c r="AR1436" s="232"/>
      <c r="AS1436" s="232"/>
      <c r="AT1436" s="232"/>
      <c r="AU1436" s="232"/>
      <c r="AV1436" s="232"/>
      <c r="AW1436" s="232"/>
      <c r="AX1436" s="232"/>
      <c r="AY1436" s="232"/>
      <c r="AZ1436" s="232"/>
      <c r="BA1436" s="232"/>
      <c r="BB1436" s="232"/>
      <c r="BC1436" s="232"/>
      <c r="BD1436" s="232"/>
      <c r="BE1436" s="232"/>
      <c r="BF1436" s="232"/>
      <c r="BG1436" s="232"/>
      <c r="BH1436" s="232"/>
      <c r="BI1436" s="232"/>
      <c r="BJ1436" s="232"/>
      <c r="BK1436" s="232"/>
      <c r="BL1436" s="232"/>
      <c r="BM1436" s="232"/>
      <c r="BN1436" s="232"/>
      <c r="BO1436" s="232"/>
      <c r="BP1436" s="232"/>
      <c r="BQ1436" s="232"/>
      <c r="BR1436" s="232"/>
      <c r="BS1436" s="232"/>
      <c r="BT1436" s="232"/>
      <c r="BU1436" s="232"/>
      <c r="BV1436" s="232"/>
      <c r="BW1436" s="232"/>
      <c r="BX1436" s="232"/>
      <c r="BY1436" s="232"/>
      <c r="BZ1436" s="232"/>
      <c r="CA1436" s="232"/>
      <c r="CB1436" s="232"/>
      <c r="CC1436" s="232"/>
      <c r="CD1436" s="232"/>
      <c r="CE1436" s="232"/>
      <c r="CF1436" s="232"/>
      <c r="CG1436" s="232"/>
      <c r="CH1436" s="232"/>
      <c r="CI1436" s="232"/>
      <c r="CJ1436" s="232"/>
      <c r="CK1436" s="232"/>
      <c r="CL1436" s="232"/>
      <c r="CM1436" s="232"/>
      <c r="CN1436" s="215"/>
      <c r="CO1436" s="215"/>
      <c r="CP1436" s="215"/>
      <c r="CQ1436" s="215"/>
      <c r="CR1436" s="215"/>
      <c r="CS1436" s="215"/>
      <c r="CT1436" s="215"/>
    </row>
    <row r="1437" ht="24.0" customHeight="1">
      <c r="A1437" s="287"/>
      <c r="B1437" s="287"/>
      <c r="C1437" s="287"/>
      <c r="D1437" s="232"/>
      <c r="E1437" s="232"/>
      <c r="F1437" s="232"/>
      <c r="G1437" s="232"/>
      <c r="H1437" s="232"/>
      <c r="I1437" s="232"/>
      <c r="J1437" s="232"/>
      <c r="K1437" s="232"/>
      <c r="L1437" s="232"/>
      <c r="M1437" s="232"/>
      <c r="N1437" s="289"/>
      <c r="O1437" s="232"/>
      <c r="P1437" s="232"/>
      <c r="Q1437" s="232"/>
      <c r="R1437" s="232"/>
      <c r="S1437" s="232"/>
      <c r="T1437" s="232"/>
      <c r="U1437" s="232"/>
      <c r="V1437" s="232"/>
      <c r="W1437" s="232"/>
      <c r="X1437" s="232"/>
      <c r="Y1437" s="232"/>
      <c r="Z1437" s="232"/>
      <c r="AA1437" s="232"/>
      <c r="AB1437" s="232"/>
      <c r="AC1437" s="232"/>
      <c r="AD1437" s="232"/>
      <c r="AE1437" s="232"/>
      <c r="AF1437" s="232"/>
      <c r="AG1437" s="232"/>
      <c r="AH1437" s="232"/>
      <c r="AI1437" s="232"/>
      <c r="AJ1437" s="232"/>
      <c r="AK1437" s="232"/>
      <c r="AL1437" s="232"/>
      <c r="AM1437" s="232"/>
      <c r="AN1437" s="232"/>
      <c r="AO1437" s="232"/>
      <c r="AP1437" s="232"/>
      <c r="AQ1437" s="232"/>
      <c r="AR1437" s="232"/>
      <c r="AS1437" s="232"/>
      <c r="AT1437" s="232"/>
      <c r="AU1437" s="232"/>
      <c r="AV1437" s="232"/>
      <c r="AW1437" s="232"/>
      <c r="AX1437" s="232"/>
      <c r="AY1437" s="232"/>
      <c r="AZ1437" s="232"/>
      <c r="BA1437" s="232"/>
      <c r="BB1437" s="232"/>
      <c r="BC1437" s="232"/>
      <c r="BD1437" s="232"/>
      <c r="BE1437" s="232"/>
      <c r="BF1437" s="232"/>
      <c r="BG1437" s="232"/>
      <c r="BH1437" s="232"/>
      <c r="BI1437" s="232"/>
      <c r="BJ1437" s="232"/>
      <c r="BK1437" s="232"/>
      <c r="BL1437" s="232"/>
      <c r="BM1437" s="232"/>
      <c r="BN1437" s="232"/>
      <c r="BO1437" s="232"/>
      <c r="BP1437" s="232"/>
      <c r="BQ1437" s="232"/>
      <c r="BR1437" s="232"/>
      <c r="BS1437" s="232"/>
      <c r="BT1437" s="232"/>
      <c r="BU1437" s="232"/>
      <c r="BV1437" s="232"/>
      <c r="BW1437" s="232"/>
      <c r="BX1437" s="232"/>
      <c r="BY1437" s="232"/>
      <c r="BZ1437" s="232"/>
      <c r="CA1437" s="232"/>
      <c r="CB1437" s="232"/>
      <c r="CC1437" s="232"/>
      <c r="CD1437" s="232"/>
      <c r="CE1437" s="232"/>
      <c r="CF1437" s="232"/>
      <c r="CG1437" s="232"/>
      <c r="CH1437" s="232"/>
      <c r="CI1437" s="232"/>
      <c r="CJ1437" s="232"/>
      <c r="CK1437" s="232"/>
      <c r="CL1437" s="232"/>
      <c r="CM1437" s="232"/>
      <c r="CN1437" s="215"/>
      <c r="CO1437" s="215"/>
      <c r="CP1437" s="215"/>
      <c r="CQ1437" s="215"/>
      <c r="CR1437" s="215"/>
      <c r="CS1437" s="215"/>
      <c r="CT1437" s="215"/>
    </row>
    <row r="1438" ht="24.0" customHeight="1">
      <c r="A1438" s="287"/>
      <c r="B1438" s="287"/>
      <c r="C1438" s="287"/>
      <c r="D1438" s="232"/>
      <c r="E1438" s="232"/>
      <c r="F1438" s="232"/>
      <c r="G1438" s="232"/>
      <c r="H1438" s="232"/>
      <c r="I1438" s="232"/>
      <c r="J1438" s="232"/>
      <c r="K1438" s="232"/>
      <c r="L1438" s="232"/>
      <c r="M1438" s="232"/>
      <c r="N1438" s="289"/>
      <c r="O1438" s="232"/>
      <c r="P1438" s="232"/>
      <c r="Q1438" s="232"/>
      <c r="R1438" s="232"/>
      <c r="S1438" s="232"/>
      <c r="T1438" s="232"/>
      <c r="U1438" s="232"/>
      <c r="V1438" s="232"/>
      <c r="W1438" s="232"/>
      <c r="X1438" s="232"/>
      <c r="Y1438" s="232"/>
      <c r="Z1438" s="232"/>
      <c r="AA1438" s="232"/>
      <c r="AB1438" s="232"/>
      <c r="AC1438" s="232"/>
      <c r="AD1438" s="232"/>
      <c r="AE1438" s="232"/>
      <c r="AF1438" s="232"/>
      <c r="AG1438" s="232"/>
      <c r="AH1438" s="232"/>
      <c r="AI1438" s="232"/>
      <c r="AJ1438" s="232"/>
      <c r="AK1438" s="232"/>
      <c r="AL1438" s="232"/>
      <c r="AM1438" s="232"/>
      <c r="AN1438" s="232"/>
      <c r="AO1438" s="232"/>
      <c r="AP1438" s="232"/>
      <c r="AQ1438" s="232"/>
      <c r="AR1438" s="232"/>
      <c r="AS1438" s="232"/>
      <c r="AT1438" s="232"/>
      <c r="AU1438" s="232"/>
      <c r="AV1438" s="232"/>
      <c r="AW1438" s="232"/>
      <c r="AX1438" s="232"/>
      <c r="AY1438" s="232"/>
      <c r="AZ1438" s="232"/>
      <c r="BA1438" s="232"/>
      <c r="BB1438" s="232"/>
      <c r="BC1438" s="232"/>
      <c r="BD1438" s="232"/>
      <c r="BE1438" s="232"/>
      <c r="BF1438" s="232"/>
      <c r="BG1438" s="232"/>
      <c r="BH1438" s="232"/>
      <c r="BI1438" s="232"/>
      <c r="BJ1438" s="232"/>
      <c r="BK1438" s="232"/>
      <c r="BL1438" s="232"/>
      <c r="BM1438" s="232"/>
      <c r="BN1438" s="232"/>
      <c r="BO1438" s="232"/>
      <c r="BP1438" s="232"/>
      <c r="BQ1438" s="232"/>
      <c r="BR1438" s="232"/>
      <c r="BS1438" s="232"/>
      <c r="BT1438" s="232"/>
      <c r="BU1438" s="232"/>
      <c r="BV1438" s="232"/>
      <c r="BW1438" s="232"/>
      <c r="BX1438" s="232"/>
      <c r="BY1438" s="232"/>
      <c r="BZ1438" s="232"/>
      <c r="CA1438" s="232"/>
      <c r="CB1438" s="232"/>
      <c r="CC1438" s="232"/>
      <c r="CD1438" s="232"/>
      <c r="CE1438" s="232"/>
      <c r="CF1438" s="232"/>
      <c r="CG1438" s="232"/>
      <c r="CH1438" s="232"/>
      <c r="CI1438" s="232"/>
      <c r="CJ1438" s="232"/>
      <c r="CK1438" s="232"/>
      <c r="CL1438" s="232"/>
      <c r="CM1438" s="232"/>
      <c r="CN1438" s="215"/>
      <c r="CO1438" s="215"/>
      <c r="CP1438" s="215"/>
      <c r="CQ1438" s="215"/>
      <c r="CR1438" s="215"/>
      <c r="CS1438" s="215"/>
      <c r="CT1438" s="215"/>
    </row>
    <row r="1439" ht="24.0" customHeight="1">
      <c r="A1439" s="287"/>
      <c r="B1439" s="287"/>
      <c r="C1439" s="287"/>
      <c r="D1439" s="232"/>
      <c r="E1439" s="232"/>
      <c r="F1439" s="232"/>
      <c r="G1439" s="232"/>
      <c r="H1439" s="232"/>
      <c r="I1439" s="232"/>
      <c r="J1439" s="232"/>
      <c r="K1439" s="232"/>
      <c r="L1439" s="232"/>
      <c r="M1439" s="232"/>
      <c r="N1439" s="289"/>
      <c r="O1439" s="232"/>
      <c r="P1439" s="232"/>
      <c r="Q1439" s="232"/>
      <c r="R1439" s="232"/>
      <c r="S1439" s="232"/>
      <c r="T1439" s="232"/>
      <c r="U1439" s="232"/>
      <c r="V1439" s="232"/>
      <c r="W1439" s="232"/>
      <c r="X1439" s="232"/>
      <c r="Y1439" s="232"/>
      <c r="Z1439" s="232"/>
      <c r="AA1439" s="232"/>
      <c r="AB1439" s="232"/>
      <c r="AC1439" s="232"/>
      <c r="AD1439" s="232"/>
      <c r="AE1439" s="232"/>
      <c r="AF1439" s="232"/>
      <c r="AG1439" s="232"/>
      <c r="AH1439" s="232"/>
      <c r="AI1439" s="232"/>
      <c r="AJ1439" s="232"/>
      <c r="AK1439" s="232"/>
      <c r="AL1439" s="232"/>
      <c r="AM1439" s="232"/>
      <c r="AN1439" s="232"/>
      <c r="AO1439" s="232"/>
      <c r="AP1439" s="232"/>
      <c r="AQ1439" s="232"/>
      <c r="AR1439" s="232"/>
      <c r="AS1439" s="232"/>
      <c r="AT1439" s="232"/>
      <c r="AU1439" s="232"/>
      <c r="AV1439" s="232"/>
      <c r="AW1439" s="232"/>
      <c r="AX1439" s="232"/>
      <c r="AY1439" s="232"/>
      <c r="AZ1439" s="232"/>
      <c r="BA1439" s="232"/>
      <c r="BB1439" s="232"/>
      <c r="BC1439" s="232"/>
      <c r="BD1439" s="232"/>
      <c r="BE1439" s="232"/>
      <c r="BF1439" s="232"/>
      <c r="BG1439" s="232"/>
      <c r="BH1439" s="232"/>
      <c r="BI1439" s="232"/>
      <c r="BJ1439" s="232"/>
      <c r="BK1439" s="232"/>
      <c r="BL1439" s="232"/>
      <c r="BM1439" s="232"/>
      <c r="BN1439" s="232"/>
      <c r="BO1439" s="232"/>
      <c r="BP1439" s="232"/>
      <c r="BQ1439" s="232"/>
      <c r="BR1439" s="232"/>
      <c r="BS1439" s="232"/>
      <c r="BT1439" s="232"/>
      <c r="BU1439" s="232"/>
      <c r="BV1439" s="232"/>
      <c r="BW1439" s="232"/>
      <c r="BX1439" s="232"/>
      <c r="BY1439" s="232"/>
      <c r="BZ1439" s="232"/>
      <c r="CA1439" s="232"/>
      <c r="CB1439" s="232"/>
      <c r="CC1439" s="232"/>
      <c r="CD1439" s="232"/>
      <c r="CE1439" s="232"/>
      <c r="CF1439" s="232"/>
      <c r="CG1439" s="232"/>
      <c r="CH1439" s="232"/>
      <c r="CI1439" s="232"/>
      <c r="CJ1439" s="232"/>
      <c r="CK1439" s="232"/>
      <c r="CL1439" s="232"/>
      <c r="CM1439" s="232"/>
      <c r="CN1439" s="215"/>
      <c r="CO1439" s="215"/>
      <c r="CP1439" s="215"/>
      <c r="CQ1439" s="215"/>
      <c r="CR1439" s="215"/>
      <c r="CS1439" s="215"/>
      <c r="CT1439" s="215"/>
    </row>
    <row r="1440" ht="24.0" customHeight="1">
      <c r="A1440" s="287"/>
      <c r="B1440" s="287"/>
      <c r="C1440" s="287"/>
      <c r="D1440" s="232"/>
      <c r="E1440" s="232"/>
      <c r="F1440" s="232"/>
      <c r="G1440" s="232"/>
      <c r="H1440" s="232"/>
      <c r="I1440" s="232"/>
      <c r="J1440" s="232"/>
      <c r="K1440" s="232"/>
      <c r="L1440" s="232"/>
      <c r="M1440" s="232"/>
      <c r="N1440" s="289"/>
      <c r="O1440" s="232"/>
      <c r="P1440" s="232"/>
      <c r="Q1440" s="232"/>
      <c r="R1440" s="232"/>
      <c r="S1440" s="232"/>
      <c r="T1440" s="232"/>
      <c r="U1440" s="232"/>
      <c r="V1440" s="232"/>
      <c r="W1440" s="232"/>
      <c r="X1440" s="232"/>
      <c r="Y1440" s="232"/>
      <c r="Z1440" s="232"/>
      <c r="AA1440" s="232"/>
      <c r="AB1440" s="232"/>
      <c r="AC1440" s="232"/>
      <c r="AD1440" s="232"/>
      <c r="AE1440" s="232"/>
      <c r="AF1440" s="232"/>
      <c r="AG1440" s="232"/>
      <c r="AH1440" s="232"/>
      <c r="AI1440" s="232"/>
      <c r="AJ1440" s="232"/>
      <c r="AK1440" s="232"/>
      <c r="AL1440" s="232"/>
      <c r="AM1440" s="232"/>
      <c r="AN1440" s="232"/>
      <c r="AO1440" s="232"/>
      <c r="AP1440" s="232"/>
      <c r="AQ1440" s="232"/>
      <c r="AR1440" s="232"/>
      <c r="AS1440" s="232"/>
      <c r="AT1440" s="232"/>
      <c r="AU1440" s="232"/>
      <c r="AV1440" s="232"/>
      <c r="AW1440" s="232"/>
      <c r="AX1440" s="232"/>
      <c r="AY1440" s="232"/>
      <c r="AZ1440" s="232"/>
      <c r="BA1440" s="232"/>
      <c r="BB1440" s="232"/>
      <c r="BC1440" s="232"/>
      <c r="BD1440" s="232"/>
      <c r="BE1440" s="232"/>
      <c r="BF1440" s="232"/>
      <c r="BG1440" s="232"/>
      <c r="BH1440" s="232"/>
      <c r="BI1440" s="232"/>
      <c r="BJ1440" s="232"/>
      <c r="BK1440" s="232"/>
      <c r="BL1440" s="232"/>
      <c r="BM1440" s="232"/>
      <c r="BN1440" s="232"/>
      <c r="BO1440" s="232"/>
      <c r="BP1440" s="232"/>
      <c r="BQ1440" s="232"/>
      <c r="BR1440" s="232"/>
      <c r="BS1440" s="232"/>
      <c r="BT1440" s="232"/>
      <c r="BU1440" s="232"/>
      <c r="BV1440" s="232"/>
      <c r="BW1440" s="232"/>
      <c r="BX1440" s="232"/>
      <c r="BY1440" s="232"/>
      <c r="BZ1440" s="232"/>
      <c r="CA1440" s="232"/>
      <c r="CB1440" s="232"/>
      <c r="CC1440" s="232"/>
      <c r="CD1440" s="232"/>
      <c r="CE1440" s="232"/>
      <c r="CF1440" s="232"/>
      <c r="CG1440" s="232"/>
      <c r="CH1440" s="232"/>
      <c r="CI1440" s="232"/>
      <c r="CJ1440" s="232"/>
      <c r="CK1440" s="232"/>
      <c r="CL1440" s="232"/>
      <c r="CM1440" s="232"/>
      <c r="CN1440" s="215"/>
      <c r="CO1440" s="215"/>
      <c r="CP1440" s="215"/>
      <c r="CQ1440" s="215"/>
      <c r="CR1440" s="215"/>
      <c r="CS1440" s="215"/>
      <c r="CT1440" s="215"/>
    </row>
    <row r="1441" ht="24.0" customHeight="1">
      <c r="A1441" s="287"/>
      <c r="B1441" s="287"/>
      <c r="C1441" s="287"/>
      <c r="D1441" s="232"/>
      <c r="E1441" s="232"/>
      <c r="F1441" s="232"/>
      <c r="G1441" s="232"/>
      <c r="H1441" s="232"/>
      <c r="I1441" s="232"/>
      <c r="J1441" s="232"/>
      <c r="K1441" s="232"/>
      <c r="L1441" s="232"/>
      <c r="M1441" s="232"/>
      <c r="N1441" s="289"/>
      <c r="O1441" s="232"/>
      <c r="P1441" s="232"/>
      <c r="Q1441" s="232"/>
      <c r="R1441" s="232"/>
      <c r="S1441" s="232"/>
      <c r="T1441" s="232"/>
      <c r="U1441" s="232"/>
      <c r="V1441" s="232"/>
      <c r="W1441" s="232"/>
      <c r="X1441" s="232"/>
      <c r="Y1441" s="232"/>
      <c r="Z1441" s="232"/>
      <c r="AA1441" s="232"/>
      <c r="AB1441" s="232"/>
      <c r="AC1441" s="232"/>
      <c r="AD1441" s="232"/>
      <c r="AE1441" s="232"/>
      <c r="AF1441" s="232"/>
      <c r="AG1441" s="232"/>
      <c r="AH1441" s="232"/>
      <c r="AI1441" s="232"/>
      <c r="AJ1441" s="232"/>
      <c r="AK1441" s="232"/>
      <c r="AL1441" s="232"/>
      <c r="AM1441" s="232"/>
      <c r="AN1441" s="232"/>
      <c r="AO1441" s="232"/>
      <c r="AP1441" s="232"/>
      <c r="AQ1441" s="232"/>
      <c r="AR1441" s="232"/>
      <c r="AS1441" s="232"/>
      <c r="AT1441" s="232"/>
      <c r="AU1441" s="232"/>
      <c r="AV1441" s="232"/>
      <c r="AW1441" s="232"/>
      <c r="AX1441" s="232"/>
      <c r="AY1441" s="232"/>
      <c r="AZ1441" s="232"/>
      <c r="BA1441" s="232"/>
      <c r="BB1441" s="232"/>
      <c r="BC1441" s="232"/>
      <c r="BD1441" s="232"/>
      <c r="BE1441" s="232"/>
      <c r="BF1441" s="232"/>
      <c r="BG1441" s="232"/>
      <c r="BH1441" s="232"/>
      <c r="BI1441" s="232"/>
      <c r="BJ1441" s="232"/>
      <c r="BK1441" s="232"/>
      <c r="BL1441" s="232"/>
      <c r="BM1441" s="232"/>
      <c r="BN1441" s="232"/>
      <c r="BO1441" s="232"/>
      <c r="BP1441" s="232"/>
      <c r="BQ1441" s="232"/>
      <c r="BR1441" s="232"/>
      <c r="BS1441" s="232"/>
      <c r="BT1441" s="232"/>
      <c r="BU1441" s="232"/>
      <c r="BV1441" s="232"/>
      <c r="BW1441" s="232"/>
      <c r="BX1441" s="232"/>
      <c r="BY1441" s="232"/>
      <c r="BZ1441" s="232"/>
      <c r="CA1441" s="232"/>
      <c r="CB1441" s="232"/>
      <c r="CC1441" s="232"/>
      <c r="CD1441" s="232"/>
      <c r="CE1441" s="232"/>
      <c r="CF1441" s="232"/>
      <c r="CG1441" s="232"/>
      <c r="CH1441" s="232"/>
      <c r="CI1441" s="232"/>
      <c r="CJ1441" s="232"/>
      <c r="CK1441" s="232"/>
      <c r="CL1441" s="232"/>
      <c r="CM1441" s="232"/>
      <c r="CN1441" s="215"/>
      <c r="CO1441" s="215"/>
      <c r="CP1441" s="215"/>
      <c r="CQ1441" s="215"/>
      <c r="CR1441" s="215"/>
      <c r="CS1441" s="215"/>
      <c r="CT1441" s="215"/>
    </row>
    <row r="1442" ht="24.0" customHeight="1">
      <c r="A1442" s="287"/>
      <c r="B1442" s="287"/>
      <c r="C1442" s="287"/>
      <c r="D1442" s="232"/>
      <c r="E1442" s="232"/>
      <c r="F1442" s="232"/>
      <c r="G1442" s="232"/>
      <c r="H1442" s="232"/>
      <c r="I1442" s="232"/>
      <c r="J1442" s="232"/>
      <c r="K1442" s="232"/>
      <c r="L1442" s="232"/>
      <c r="M1442" s="232"/>
      <c r="N1442" s="289"/>
      <c r="O1442" s="232"/>
      <c r="P1442" s="232"/>
      <c r="Q1442" s="232"/>
      <c r="R1442" s="232"/>
      <c r="S1442" s="232"/>
      <c r="T1442" s="232"/>
      <c r="U1442" s="232"/>
      <c r="V1442" s="232"/>
      <c r="W1442" s="232"/>
      <c r="X1442" s="232"/>
      <c r="Y1442" s="232"/>
      <c r="Z1442" s="232"/>
      <c r="AA1442" s="232"/>
      <c r="AB1442" s="232"/>
      <c r="AC1442" s="232"/>
      <c r="AD1442" s="232"/>
      <c r="AE1442" s="232"/>
      <c r="AF1442" s="232"/>
      <c r="AG1442" s="232"/>
      <c r="AH1442" s="232"/>
      <c r="AI1442" s="232"/>
      <c r="AJ1442" s="232"/>
      <c r="AK1442" s="232"/>
      <c r="AL1442" s="232"/>
      <c r="AM1442" s="232"/>
      <c r="AN1442" s="232"/>
      <c r="AO1442" s="232"/>
      <c r="AP1442" s="232"/>
      <c r="AQ1442" s="232"/>
      <c r="AR1442" s="232"/>
      <c r="AS1442" s="232"/>
      <c r="AT1442" s="232"/>
      <c r="AU1442" s="232"/>
      <c r="AV1442" s="232"/>
      <c r="AW1442" s="232"/>
      <c r="AX1442" s="232"/>
      <c r="AY1442" s="232"/>
      <c r="AZ1442" s="232"/>
      <c r="BA1442" s="232"/>
      <c r="BB1442" s="232"/>
      <c r="BC1442" s="232"/>
      <c r="BD1442" s="232"/>
      <c r="BE1442" s="232"/>
      <c r="BF1442" s="232"/>
      <c r="BG1442" s="232"/>
      <c r="BH1442" s="232"/>
      <c r="BI1442" s="232"/>
      <c r="BJ1442" s="232"/>
      <c r="BK1442" s="232"/>
      <c r="BL1442" s="232"/>
      <c r="BM1442" s="232"/>
      <c r="BN1442" s="232"/>
      <c r="BO1442" s="232"/>
      <c r="BP1442" s="232"/>
      <c r="BQ1442" s="232"/>
      <c r="BR1442" s="232"/>
      <c r="BS1442" s="232"/>
      <c r="BT1442" s="232"/>
      <c r="BU1442" s="232"/>
      <c r="BV1442" s="232"/>
      <c r="BW1442" s="232"/>
      <c r="BX1442" s="232"/>
      <c r="BY1442" s="232"/>
      <c r="BZ1442" s="232"/>
      <c r="CA1442" s="232"/>
      <c r="CB1442" s="232"/>
      <c r="CC1442" s="232"/>
      <c r="CD1442" s="232"/>
      <c r="CE1442" s="232"/>
      <c r="CF1442" s="232"/>
      <c r="CG1442" s="232"/>
      <c r="CH1442" s="232"/>
      <c r="CI1442" s="232"/>
      <c r="CJ1442" s="232"/>
      <c r="CK1442" s="232"/>
      <c r="CL1442" s="232"/>
      <c r="CM1442" s="232"/>
      <c r="CN1442" s="215"/>
      <c r="CO1442" s="215"/>
      <c r="CP1442" s="215"/>
      <c r="CQ1442" s="215"/>
      <c r="CR1442" s="215"/>
      <c r="CS1442" s="215"/>
      <c r="CT1442" s="215"/>
    </row>
    <row r="1443" ht="24.0" customHeight="1">
      <c r="A1443" s="287"/>
      <c r="B1443" s="287"/>
      <c r="C1443" s="287"/>
      <c r="D1443" s="232"/>
      <c r="E1443" s="232"/>
      <c r="F1443" s="232"/>
      <c r="G1443" s="232"/>
      <c r="H1443" s="232"/>
      <c r="I1443" s="232"/>
      <c r="J1443" s="232"/>
      <c r="K1443" s="232"/>
      <c r="L1443" s="232"/>
      <c r="M1443" s="232"/>
      <c r="N1443" s="289"/>
      <c r="O1443" s="232"/>
      <c r="P1443" s="232"/>
      <c r="Q1443" s="232"/>
      <c r="R1443" s="232"/>
      <c r="S1443" s="232"/>
      <c r="T1443" s="232"/>
      <c r="U1443" s="232"/>
      <c r="V1443" s="232"/>
      <c r="W1443" s="232"/>
      <c r="X1443" s="232"/>
      <c r="Y1443" s="232"/>
      <c r="Z1443" s="232"/>
      <c r="AA1443" s="232"/>
      <c r="AB1443" s="232"/>
      <c r="AC1443" s="232"/>
      <c r="AD1443" s="232"/>
      <c r="AE1443" s="232"/>
      <c r="AF1443" s="232"/>
      <c r="AG1443" s="232"/>
      <c r="AH1443" s="232"/>
      <c r="AI1443" s="232"/>
      <c r="AJ1443" s="232"/>
      <c r="AK1443" s="232"/>
      <c r="AL1443" s="232"/>
      <c r="AM1443" s="232"/>
      <c r="AN1443" s="232"/>
      <c r="AO1443" s="232"/>
      <c r="AP1443" s="232"/>
      <c r="AQ1443" s="232"/>
      <c r="AR1443" s="232"/>
      <c r="AS1443" s="232"/>
      <c r="AT1443" s="232"/>
      <c r="AU1443" s="232"/>
      <c r="AV1443" s="232"/>
      <c r="AW1443" s="232"/>
      <c r="AX1443" s="232"/>
      <c r="AY1443" s="232"/>
      <c r="AZ1443" s="232"/>
      <c r="BA1443" s="232"/>
      <c r="BB1443" s="232"/>
      <c r="BC1443" s="232"/>
      <c r="BD1443" s="232"/>
      <c r="BE1443" s="232"/>
      <c r="BF1443" s="232"/>
      <c r="BG1443" s="232"/>
      <c r="BH1443" s="232"/>
      <c r="BI1443" s="232"/>
      <c r="BJ1443" s="232"/>
      <c r="BK1443" s="232"/>
      <c r="BL1443" s="232"/>
      <c r="BM1443" s="232"/>
      <c r="BN1443" s="232"/>
      <c r="BO1443" s="232"/>
      <c r="BP1443" s="232"/>
      <c r="BQ1443" s="232"/>
      <c r="BR1443" s="232"/>
      <c r="BS1443" s="232"/>
      <c r="BT1443" s="232"/>
      <c r="BU1443" s="232"/>
      <c r="BV1443" s="232"/>
      <c r="BW1443" s="232"/>
      <c r="BX1443" s="232"/>
      <c r="BY1443" s="232"/>
      <c r="BZ1443" s="232"/>
      <c r="CA1443" s="232"/>
      <c r="CB1443" s="232"/>
      <c r="CC1443" s="232"/>
      <c r="CD1443" s="232"/>
      <c r="CE1443" s="232"/>
      <c r="CF1443" s="232"/>
      <c r="CG1443" s="232"/>
      <c r="CH1443" s="232"/>
      <c r="CI1443" s="232"/>
      <c r="CJ1443" s="232"/>
      <c r="CK1443" s="232"/>
      <c r="CL1443" s="232"/>
      <c r="CM1443" s="232"/>
      <c r="CN1443" s="215"/>
      <c r="CO1443" s="215"/>
      <c r="CP1443" s="215"/>
      <c r="CQ1443" s="215"/>
      <c r="CR1443" s="215"/>
      <c r="CS1443" s="215"/>
      <c r="CT1443" s="215"/>
    </row>
    <row r="1444" ht="24.0" customHeight="1">
      <c r="A1444" s="287"/>
      <c r="B1444" s="287"/>
      <c r="C1444" s="287"/>
      <c r="D1444" s="232"/>
      <c r="E1444" s="232"/>
      <c r="F1444" s="232"/>
      <c r="G1444" s="232"/>
      <c r="H1444" s="232"/>
      <c r="I1444" s="232"/>
      <c r="J1444" s="232"/>
      <c r="K1444" s="232"/>
      <c r="L1444" s="232"/>
      <c r="M1444" s="232"/>
      <c r="N1444" s="289"/>
      <c r="O1444" s="232"/>
      <c r="P1444" s="232"/>
      <c r="Q1444" s="232"/>
      <c r="R1444" s="232"/>
      <c r="S1444" s="232"/>
      <c r="T1444" s="232"/>
      <c r="U1444" s="232"/>
      <c r="V1444" s="232"/>
      <c r="W1444" s="232"/>
      <c r="X1444" s="232"/>
      <c r="Y1444" s="232"/>
      <c r="Z1444" s="232"/>
      <c r="AA1444" s="232"/>
      <c r="AB1444" s="232"/>
      <c r="AC1444" s="232"/>
      <c r="AD1444" s="232"/>
      <c r="AE1444" s="232"/>
      <c r="AF1444" s="232"/>
      <c r="AG1444" s="232"/>
      <c r="AH1444" s="232"/>
      <c r="AI1444" s="232"/>
      <c r="AJ1444" s="232"/>
      <c r="AK1444" s="232"/>
      <c r="AL1444" s="232"/>
      <c r="AM1444" s="232"/>
      <c r="AN1444" s="232"/>
      <c r="AO1444" s="232"/>
      <c r="AP1444" s="232"/>
      <c r="AQ1444" s="232"/>
      <c r="AR1444" s="232"/>
      <c r="AS1444" s="232"/>
      <c r="AT1444" s="232"/>
      <c r="AU1444" s="232"/>
      <c r="AV1444" s="232"/>
      <c r="AW1444" s="232"/>
      <c r="AX1444" s="232"/>
      <c r="AY1444" s="232"/>
      <c r="AZ1444" s="232"/>
      <c r="BA1444" s="232"/>
      <c r="BB1444" s="232"/>
      <c r="BC1444" s="232"/>
      <c r="BD1444" s="232"/>
      <c r="BE1444" s="232"/>
      <c r="BF1444" s="232"/>
      <c r="BG1444" s="232"/>
      <c r="BH1444" s="232"/>
      <c r="BI1444" s="232"/>
      <c r="BJ1444" s="232"/>
      <c r="BK1444" s="232"/>
      <c r="BL1444" s="232"/>
      <c r="BM1444" s="232"/>
      <c r="BN1444" s="232"/>
      <c r="BO1444" s="232"/>
      <c r="BP1444" s="232"/>
      <c r="BQ1444" s="232"/>
      <c r="BR1444" s="232"/>
      <c r="BS1444" s="232"/>
      <c r="BT1444" s="232"/>
      <c r="BU1444" s="232"/>
      <c r="BV1444" s="232"/>
      <c r="BW1444" s="232"/>
      <c r="BX1444" s="232"/>
      <c r="BY1444" s="232"/>
      <c r="BZ1444" s="232"/>
      <c r="CA1444" s="232"/>
      <c r="CB1444" s="232"/>
      <c r="CC1444" s="232"/>
      <c r="CD1444" s="232"/>
      <c r="CE1444" s="232"/>
      <c r="CF1444" s="232"/>
      <c r="CG1444" s="232"/>
      <c r="CH1444" s="232"/>
      <c r="CI1444" s="232"/>
      <c r="CJ1444" s="232"/>
      <c r="CK1444" s="232"/>
      <c r="CL1444" s="232"/>
      <c r="CM1444" s="232"/>
      <c r="CN1444" s="215"/>
      <c r="CO1444" s="215"/>
      <c r="CP1444" s="215"/>
      <c r="CQ1444" s="215"/>
      <c r="CR1444" s="215"/>
      <c r="CS1444" s="215"/>
      <c r="CT1444" s="215"/>
    </row>
    <row r="1445" ht="24.0" customHeight="1">
      <c r="A1445" s="287"/>
      <c r="B1445" s="287"/>
      <c r="C1445" s="287"/>
      <c r="D1445" s="232"/>
      <c r="E1445" s="232"/>
      <c r="F1445" s="232"/>
      <c r="G1445" s="232"/>
      <c r="H1445" s="232"/>
      <c r="I1445" s="232"/>
      <c r="J1445" s="232"/>
      <c r="K1445" s="232"/>
      <c r="L1445" s="232"/>
      <c r="M1445" s="232"/>
      <c r="N1445" s="289"/>
      <c r="O1445" s="232"/>
      <c r="P1445" s="232"/>
      <c r="Q1445" s="232"/>
      <c r="R1445" s="232"/>
      <c r="S1445" s="232"/>
      <c r="T1445" s="232"/>
      <c r="U1445" s="232"/>
      <c r="V1445" s="232"/>
      <c r="W1445" s="232"/>
      <c r="X1445" s="232"/>
      <c r="Y1445" s="232"/>
      <c r="Z1445" s="232"/>
      <c r="AA1445" s="232"/>
      <c r="AB1445" s="232"/>
      <c r="AC1445" s="232"/>
      <c r="AD1445" s="232"/>
      <c r="AE1445" s="232"/>
      <c r="AF1445" s="232"/>
      <c r="AG1445" s="232"/>
      <c r="AH1445" s="232"/>
      <c r="AI1445" s="232"/>
      <c r="AJ1445" s="232"/>
      <c r="AK1445" s="232"/>
      <c r="AL1445" s="232"/>
      <c r="AM1445" s="232"/>
      <c r="AN1445" s="232"/>
      <c r="AO1445" s="232"/>
      <c r="AP1445" s="232"/>
      <c r="AQ1445" s="232"/>
      <c r="AR1445" s="232"/>
      <c r="AS1445" s="232"/>
      <c r="AT1445" s="232"/>
      <c r="AU1445" s="232"/>
      <c r="AV1445" s="232"/>
      <c r="AW1445" s="232"/>
      <c r="AX1445" s="232"/>
      <c r="AY1445" s="232"/>
      <c r="AZ1445" s="232"/>
      <c r="BA1445" s="232"/>
      <c r="BB1445" s="232"/>
      <c r="BC1445" s="232"/>
      <c r="BD1445" s="232"/>
      <c r="BE1445" s="232"/>
      <c r="BF1445" s="232"/>
      <c r="BG1445" s="232"/>
      <c r="BH1445" s="232"/>
      <c r="BI1445" s="232"/>
      <c r="BJ1445" s="232"/>
      <c r="BK1445" s="232"/>
      <c r="BL1445" s="232"/>
      <c r="BM1445" s="232"/>
      <c r="BN1445" s="232"/>
      <c r="BO1445" s="232"/>
      <c r="BP1445" s="232"/>
      <c r="BQ1445" s="232"/>
      <c r="BR1445" s="232"/>
      <c r="BS1445" s="232"/>
      <c r="BT1445" s="232"/>
      <c r="BU1445" s="232"/>
      <c r="BV1445" s="232"/>
      <c r="BW1445" s="232"/>
      <c r="BX1445" s="232"/>
      <c r="BY1445" s="232"/>
      <c r="BZ1445" s="232"/>
      <c r="CA1445" s="232"/>
      <c r="CB1445" s="232"/>
      <c r="CC1445" s="232"/>
      <c r="CD1445" s="232"/>
      <c r="CE1445" s="232"/>
      <c r="CF1445" s="232"/>
      <c r="CG1445" s="232"/>
      <c r="CH1445" s="232"/>
      <c r="CI1445" s="232"/>
      <c r="CJ1445" s="232"/>
      <c r="CK1445" s="232"/>
      <c r="CL1445" s="232"/>
      <c r="CM1445" s="232"/>
      <c r="CN1445" s="215"/>
      <c r="CO1445" s="215"/>
      <c r="CP1445" s="215"/>
      <c r="CQ1445" s="215"/>
      <c r="CR1445" s="215"/>
      <c r="CS1445" s="215"/>
      <c r="CT1445" s="215"/>
    </row>
    <row r="1446" ht="24.0" customHeight="1">
      <c r="A1446" s="287"/>
      <c r="B1446" s="287"/>
      <c r="C1446" s="287"/>
      <c r="D1446" s="232"/>
      <c r="E1446" s="232"/>
      <c r="F1446" s="232"/>
      <c r="G1446" s="232"/>
      <c r="H1446" s="232"/>
      <c r="I1446" s="232"/>
      <c r="J1446" s="232"/>
      <c r="K1446" s="232"/>
      <c r="L1446" s="232"/>
      <c r="M1446" s="232"/>
      <c r="N1446" s="289"/>
      <c r="O1446" s="232"/>
      <c r="P1446" s="232"/>
      <c r="Q1446" s="232"/>
      <c r="R1446" s="232"/>
      <c r="S1446" s="232"/>
      <c r="T1446" s="232"/>
      <c r="U1446" s="232"/>
      <c r="V1446" s="232"/>
      <c r="W1446" s="232"/>
      <c r="X1446" s="232"/>
      <c r="Y1446" s="232"/>
      <c r="Z1446" s="232"/>
      <c r="AA1446" s="232"/>
      <c r="AB1446" s="232"/>
      <c r="AC1446" s="232"/>
      <c r="AD1446" s="232"/>
      <c r="AE1446" s="232"/>
      <c r="AF1446" s="232"/>
      <c r="AG1446" s="232"/>
      <c r="AH1446" s="232"/>
      <c r="AI1446" s="232"/>
      <c r="AJ1446" s="232"/>
      <c r="AK1446" s="232"/>
      <c r="AL1446" s="232"/>
      <c r="AM1446" s="232"/>
      <c r="AN1446" s="232"/>
      <c r="AO1446" s="232"/>
      <c r="AP1446" s="232"/>
      <c r="AQ1446" s="232"/>
      <c r="AR1446" s="232"/>
      <c r="AS1446" s="232"/>
      <c r="AT1446" s="232"/>
      <c r="AU1446" s="232"/>
      <c r="AV1446" s="232"/>
      <c r="AW1446" s="232"/>
      <c r="AX1446" s="232"/>
      <c r="AY1446" s="232"/>
      <c r="AZ1446" s="232"/>
      <c r="BA1446" s="232"/>
      <c r="BB1446" s="232"/>
      <c r="BC1446" s="232"/>
      <c r="BD1446" s="232"/>
      <c r="BE1446" s="232"/>
      <c r="BF1446" s="232"/>
      <c r="BG1446" s="232"/>
      <c r="BH1446" s="232"/>
      <c r="BI1446" s="232"/>
      <c r="BJ1446" s="232"/>
      <c r="BK1446" s="232"/>
      <c r="BL1446" s="232"/>
      <c r="BM1446" s="232"/>
      <c r="BN1446" s="232"/>
      <c r="BO1446" s="232"/>
      <c r="BP1446" s="232"/>
      <c r="BQ1446" s="232"/>
      <c r="BR1446" s="232"/>
      <c r="BS1446" s="232"/>
      <c r="BT1446" s="232"/>
      <c r="BU1446" s="232"/>
      <c r="BV1446" s="232"/>
      <c r="BW1446" s="232"/>
      <c r="BX1446" s="232"/>
      <c r="BY1446" s="232"/>
      <c r="BZ1446" s="232"/>
      <c r="CA1446" s="232"/>
      <c r="CB1446" s="232"/>
      <c r="CC1446" s="232"/>
      <c r="CD1446" s="232"/>
      <c r="CE1446" s="232"/>
      <c r="CF1446" s="232"/>
      <c r="CG1446" s="232"/>
      <c r="CH1446" s="232"/>
      <c r="CI1446" s="232"/>
      <c r="CJ1446" s="232"/>
      <c r="CK1446" s="232"/>
      <c r="CL1446" s="232"/>
      <c r="CM1446" s="232"/>
      <c r="CN1446" s="215"/>
      <c r="CO1446" s="215"/>
      <c r="CP1446" s="215"/>
      <c r="CQ1446" s="215"/>
      <c r="CR1446" s="215"/>
      <c r="CS1446" s="215"/>
      <c r="CT1446" s="215"/>
    </row>
    <row r="1447" ht="24.0" customHeight="1">
      <c r="A1447" s="287"/>
      <c r="B1447" s="287"/>
      <c r="C1447" s="287"/>
      <c r="D1447" s="232"/>
      <c r="E1447" s="232"/>
      <c r="F1447" s="232"/>
      <c r="G1447" s="232"/>
      <c r="H1447" s="232"/>
      <c r="I1447" s="232"/>
      <c r="J1447" s="232"/>
      <c r="K1447" s="232"/>
      <c r="L1447" s="232"/>
      <c r="M1447" s="232"/>
      <c r="N1447" s="289"/>
      <c r="O1447" s="232"/>
      <c r="P1447" s="232"/>
      <c r="Q1447" s="232"/>
      <c r="R1447" s="232"/>
      <c r="S1447" s="232"/>
      <c r="T1447" s="232"/>
      <c r="U1447" s="232"/>
      <c r="V1447" s="232"/>
      <c r="W1447" s="232"/>
      <c r="X1447" s="232"/>
      <c r="Y1447" s="232"/>
      <c r="Z1447" s="232"/>
      <c r="AA1447" s="232"/>
      <c r="AB1447" s="232"/>
      <c r="AC1447" s="232"/>
      <c r="AD1447" s="232"/>
      <c r="AE1447" s="232"/>
      <c r="AF1447" s="232"/>
      <c r="AG1447" s="232"/>
      <c r="AH1447" s="232"/>
      <c r="AI1447" s="232"/>
      <c r="AJ1447" s="232"/>
      <c r="AK1447" s="232"/>
      <c r="AL1447" s="232"/>
      <c r="AM1447" s="232"/>
      <c r="AN1447" s="232"/>
      <c r="AO1447" s="232"/>
      <c r="AP1447" s="232"/>
      <c r="AQ1447" s="232"/>
      <c r="AR1447" s="232"/>
      <c r="AS1447" s="232"/>
      <c r="AT1447" s="232"/>
      <c r="AU1447" s="232"/>
      <c r="AV1447" s="232"/>
      <c r="AW1447" s="232"/>
      <c r="AX1447" s="232"/>
      <c r="AY1447" s="232"/>
      <c r="AZ1447" s="232"/>
      <c r="BA1447" s="232"/>
      <c r="BB1447" s="232"/>
      <c r="BC1447" s="232"/>
      <c r="BD1447" s="232"/>
      <c r="BE1447" s="232"/>
      <c r="BF1447" s="232"/>
      <c r="BG1447" s="232"/>
      <c r="BH1447" s="232"/>
      <c r="BI1447" s="232"/>
      <c r="BJ1447" s="232"/>
      <c r="BK1447" s="232"/>
      <c r="BL1447" s="232"/>
      <c r="BM1447" s="232"/>
      <c r="BN1447" s="232"/>
      <c r="BO1447" s="232"/>
      <c r="BP1447" s="232"/>
      <c r="BQ1447" s="232"/>
      <c r="BR1447" s="232"/>
      <c r="BS1447" s="232"/>
      <c r="BT1447" s="232"/>
      <c r="BU1447" s="232"/>
      <c r="BV1447" s="232"/>
      <c r="BW1447" s="232"/>
      <c r="BX1447" s="232"/>
      <c r="BY1447" s="232"/>
      <c r="BZ1447" s="232"/>
      <c r="CA1447" s="232"/>
      <c r="CB1447" s="232"/>
      <c r="CC1447" s="232"/>
      <c r="CD1447" s="232"/>
      <c r="CE1447" s="232"/>
      <c r="CF1447" s="232"/>
      <c r="CG1447" s="232"/>
      <c r="CH1447" s="232"/>
      <c r="CI1447" s="232"/>
      <c r="CJ1447" s="232"/>
      <c r="CK1447" s="232"/>
      <c r="CL1447" s="232"/>
      <c r="CM1447" s="232"/>
      <c r="CN1447" s="215"/>
      <c r="CO1447" s="215"/>
      <c r="CP1447" s="215"/>
      <c r="CQ1447" s="215"/>
      <c r="CR1447" s="215"/>
      <c r="CS1447" s="215"/>
      <c r="CT1447" s="215"/>
    </row>
    <row r="1448" ht="24.0" customHeight="1">
      <c r="A1448" s="287"/>
      <c r="B1448" s="287"/>
      <c r="C1448" s="287"/>
      <c r="D1448" s="232"/>
      <c r="E1448" s="232"/>
      <c r="F1448" s="232"/>
      <c r="G1448" s="232"/>
      <c r="H1448" s="232"/>
      <c r="I1448" s="232"/>
      <c r="J1448" s="232"/>
      <c r="K1448" s="232"/>
      <c r="L1448" s="232"/>
      <c r="M1448" s="232"/>
      <c r="N1448" s="289"/>
      <c r="O1448" s="232"/>
      <c r="P1448" s="232"/>
      <c r="Q1448" s="232"/>
      <c r="R1448" s="232"/>
      <c r="S1448" s="232"/>
      <c r="T1448" s="232"/>
      <c r="U1448" s="232"/>
      <c r="V1448" s="232"/>
      <c r="W1448" s="232"/>
      <c r="X1448" s="232"/>
      <c r="Y1448" s="232"/>
      <c r="Z1448" s="232"/>
      <c r="AA1448" s="232"/>
      <c r="AB1448" s="232"/>
      <c r="AC1448" s="232"/>
      <c r="AD1448" s="232"/>
      <c r="AE1448" s="232"/>
      <c r="AF1448" s="232"/>
      <c r="AG1448" s="232"/>
      <c r="AH1448" s="232"/>
      <c r="AI1448" s="232"/>
      <c r="AJ1448" s="232"/>
      <c r="AK1448" s="232"/>
      <c r="AL1448" s="232"/>
      <c r="AM1448" s="232"/>
      <c r="AN1448" s="232"/>
      <c r="AO1448" s="232"/>
      <c r="AP1448" s="232"/>
      <c r="AQ1448" s="232"/>
      <c r="AR1448" s="232"/>
      <c r="AS1448" s="232"/>
      <c r="AT1448" s="232"/>
      <c r="AU1448" s="232"/>
      <c r="AV1448" s="232"/>
      <c r="AW1448" s="232"/>
      <c r="AX1448" s="232"/>
      <c r="AY1448" s="232"/>
      <c r="AZ1448" s="232"/>
      <c r="BA1448" s="232"/>
      <c r="BB1448" s="232"/>
      <c r="BC1448" s="232"/>
      <c r="BD1448" s="232"/>
      <c r="BE1448" s="232"/>
      <c r="BF1448" s="232"/>
      <c r="BG1448" s="232"/>
      <c r="BH1448" s="232"/>
      <c r="BI1448" s="232"/>
      <c r="BJ1448" s="232"/>
      <c r="BK1448" s="232"/>
      <c r="BL1448" s="232"/>
      <c r="BM1448" s="232"/>
      <c r="BN1448" s="232"/>
      <c r="BO1448" s="232"/>
      <c r="BP1448" s="232"/>
      <c r="BQ1448" s="232"/>
      <c r="BR1448" s="232"/>
      <c r="BS1448" s="232"/>
      <c r="BT1448" s="232"/>
      <c r="BU1448" s="232"/>
      <c r="BV1448" s="232"/>
      <c r="BW1448" s="232"/>
      <c r="BX1448" s="232"/>
      <c r="BY1448" s="232"/>
      <c r="BZ1448" s="232"/>
      <c r="CA1448" s="232"/>
      <c r="CB1448" s="232"/>
      <c r="CC1448" s="232"/>
      <c r="CD1448" s="232"/>
      <c r="CE1448" s="232"/>
      <c r="CF1448" s="232"/>
      <c r="CG1448" s="232"/>
      <c r="CH1448" s="232"/>
      <c r="CI1448" s="232"/>
      <c r="CJ1448" s="232"/>
      <c r="CK1448" s="232"/>
      <c r="CL1448" s="232"/>
      <c r="CM1448" s="232"/>
      <c r="CN1448" s="215"/>
      <c r="CO1448" s="215"/>
      <c r="CP1448" s="215"/>
      <c r="CQ1448" s="215"/>
      <c r="CR1448" s="215"/>
      <c r="CS1448" s="215"/>
      <c r="CT1448" s="215"/>
    </row>
    <row r="1449" ht="24.0" customHeight="1">
      <c r="A1449" s="287"/>
      <c r="B1449" s="287"/>
      <c r="C1449" s="287"/>
      <c r="D1449" s="232"/>
      <c r="E1449" s="232"/>
      <c r="F1449" s="232"/>
      <c r="G1449" s="232"/>
      <c r="H1449" s="232"/>
      <c r="I1449" s="232"/>
      <c r="J1449" s="232"/>
      <c r="K1449" s="232"/>
      <c r="L1449" s="232"/>
      <c r="M1449" s="232"/>
      <c r="N1449" s="289"/>
      <c r="O1449" s="232"/>
      <c r="P1449" s="232"/>
      <c r="Q1449" s="232"/>
      <c r="R1449" s="232"/>
      <c r="S1449" s="232"/>
      <c r="T1449" s="232"/>
      <c r="U1449" s="232"/>
      <c r="V1449" s="232"/>
      <c r="W1449" s="232"/>
      <c r="X1449" s="232"/>
      <c r="Y1449" s="232"/>
      <c r="Z1449" s="232"/>
      <c r="AA1449" s="232"/>
      <c r="AB1449" s="232"/>
      <c r="AC1449" s="232"/>
      <c r="AD1449" s="232"/>
      <c r="AE1449" s="232"/>
      <c r="AF1449" s="232"/>
      <c r="AG1449" s="232"/>
      <c r="AH1449" s="232"/>
      <c r="AI1449" s="232"/>
      <c r="AJ1449" s="232"/>
      <c r="AK1449" s="232"/>
      <c r="AL1449" s="232"/>
      <c r="AM1449" s="232"/>
      <c r="AN1449" s="232"/>
      <c r="AO1449" s="232"/>
      <c r="AP1449" s="232"/>
      <c r="AQ1449" s="232"/>
      <c r="AR1449" s="232"/>
      <c r="AS1449" s="232"/>
      <c r="AT1449" s="232"/>
      <c r="AU1449" s="232"/>
      <c r="AV1449" s="232"/>
      <c r="AW1449" s="232"/>
      <c r="AX1449" s="232"/>
      <c r="AY1449" s="232"/>
      <c r="AZ1449" s="232"/>
      <c r="BA1449" s="232"/>
      <c r="BB1449" s="232"/>
      <c r="BC1449" s="232"/>
      <c r="BD1449" s="232"/>
      <c r="BE1449" s="232"/>
      <c r="BF1449" s="232"/>
      <c r="BG1449" s="232"/>
      <c r="BH1449" s="232"/>
      <c r="BI1449" s="232"/>
      <c r="BJ1449" s="232"/>
      <c r="BK1449" s="232"/>
      <c r="BL1449" s="232"/>
      <c r="BM1449" s="232"/>
      <c r="BN1449" s="232"/>
      <c r="BO1449" s="232"/>
      <c r="BP1449" s="232"/>
      <c r="BQ1449" s="232"/>
      <c r="BR1449" s="232"/>
      <c r="BS1449" s="232"/>
      <c r="BT1449" s="232"/>
      <c r="BU1449" s="232"/>
      <c r="BV1449" s="232"/>
      <c r="BW1449" s="232"/>
      <c r="BX1449" s="232"/>
      <c r="BY1449" s="232"/>
      <c r="BZ1449" s="232"/>
      <c r="CA1449" s="232"/>
      <c r="CB1449" s="232"/>
      <c r="CC1449" s="232"/>
      <c r="CD1449" s="232"/>
      <c r="CE1449" s="232"/>
      <c r="CF1449" s="232"/>
      <c r="CG1449" s="232"/>
      <c r="CH1449" s="232"/>
      <c r="CI1449" s="232"/>
      <c r="CJ1449" s="232"/>
      <c r="CK1449" s="232"/>
      <c r="CL1449" s="232"/>
      <c r="CM1449" s="232"/>
      <c r="CN1449" s="215"/>
      <c r="CO1449" s="215"/>
      <c r="CP1449" s="215"/>
      <c r="CQ1449" s="215"/>
      <c r="CR1449" s="215"/>
      <c r="CS1449" s="215"/>
      <c r="CT1449" s="215"/>
    </row>
    <row r="1450" ht="24.0" customHeight="1">
      <c r="A1450" s="287"/>
      <c r="B1450" s="287"/>
      <c r="C1450" s="287"/>
      <c r="D1450" s="232"/>
      <c r="E1450" s="232"/>
      <c r="F1450" s="232"/>
      <c r="G1450" s="232"/>
      <c r="H1450" s="232"/>
      <c r="I1450" s="232"/>
      <c r="J1450" s="232"/>
      <c r="K1450" s="232"/>
      <c r="L1450" s="232"/>
      <c r="M1450" s="232"/>
      <c r="N1450" s="289"/>
      <c r="O1450" s="232"/>
      <c r="P1450" s="232"/>
      <c r="Q1450" s="232"/>
      <c r="R1450" s="232"/>
      <c r="S1450" s="232"/>
      <c r="T1450" s="232"/>
      <c r="U1450" s="232"/>
      <c r="V1450" s="232"/>
      <c r="W1450" s="232"/>
      <c r="X1450" s="232"/>
      <c r="Y1450" s="232"/>
      <c r="Z1450" s="232"/>
      <c r="AA1450" s="232"/>
      <c r="AB1450" s="232"/>
      <c r="AC1450" s="232"/>
      <c r="AD1450" s="232"/>
      <c r="AE1450" s="232"/>
      <c r="AF1450" s="232"/>
      <c r="AG1450" s="232"/>
      <c r="AH1450" s="232"/>
      <c r="AI1450" s="232"/>
      <c r="AJ1450" s="232"/>
      <c r="AK1450" s="232"/>
      <c r="AL1450" s="232"/>
      <c r="AM1450" s="232"/>
      <c r="AN1450" s="232"/>
      <c r="AO1450" s="232"/>
      <c r="AP1450" s="232"/>
      <c r="AQ1450" s="232"/>
      <c r="AR1450" s="232"/>
      <c r="AS1450" s="232"/>
      <c r="AT1450" s="232"/>
      <c r="AU1450" s="232"/>
      <c r="AV1450" s="232"/>
      <c r="AW1450" s="232"/>
      <c r="AX1450" s="232"/>
      <c r="AY1450" s="232"/>
      <c r="AZ1450" s="232"/>
      <c r="BA1450" s="232"/>
      <c r="BB1450" s="232"/>
      <c r="BC1450" s="232"/>
      <c r="BD1450" s="232"/>
      <c r="BE1450" s="232"/>
      <c r="BF1450" s="232"/>
      <c r="BG1450" s="232"/>
      <c r="BH1450" s="232"/>
      <c r="BI1450" s="232"/>
      <c r="BJ1450" s="232"/>
      <c r="BK1450" s="232"/>
      <c r="BL1450" s="232"/>
      <c r="BM1450" s="232"/>
      <c r="BN1450" s="232"/>
      <c r="BO1450" s="232"/>
      <c r="BP1450" s="232"/>
      <c r="BQ1450" s="232"/>
      <c r="BR1450" s="232"/>
      <c r="BS1450" s="232"/>
      <c r="BT1450" s="232"/>
      <c r="BU1450" s="232"/>
      <c r="BV1450" s="232"/>
      <c r="BW1450" s="232"/>
      <c r="BX1450" s="232"/>
      <c r="BY1450" s="232"/>
      <c r="BZ1450" s="232"/>
      <c r="CA1450" s="232"/>
      <c r="CB1450" s="232"/>
      <c r="CC1450" s="232"/>
      <c r="CD1450" s="232"/>
      <c r="CE1450" s="232"/>
      <c r="CF1450" s="232"/>
      <c r="CG1450" s="232"/>
      <c r="CH1450" s="232"/>
      <c r="CI1450" s="232"/>
      <c r="CJ1450" s="232"/>
      <c r="CK1450" s="232"/>
      <c r="CL1450" s="232"/>
      <c r="CM1450" s="232"/>
      <c r="CN1450" s="215"/>
      <c r="CO1450" s="215"/>
      <c r="CP1450" s="215"/>
      <c r="CQ1450" s="215"/>
      <c r="CR1450" s="215"/>
      <c r="CS1450" s="215"/>
      <c r="CT1450" s="215"/>
    </row>
    <row r="1451" ht="24.0" customHeight="1">
      <c r="A1451" s="287"/>
      <c r="B1451" s="287"/>
      <c r="C1451" s="287"/>
      <c r="D1451" s="232"/>
      <c r="E1451" s="232"/>
      <c r="F1451" s="232"/>
      <c r="G1451" s="232"/>
      <c r="H1451" s="232"/>
      <c r="I1451" s="232"/>
      <c r="J1451" s="232"/>
      <c r="K1451" s="232"/>
      <c r="L1451" s="232"/>
      <c r="M1451" s="232"/>
      <c r="N1451" s="289"/>
      <c r="O1451" s="232"/>
      <c r="P1451" s="232"/>
      <c r="Q1451" s="232"/>
      <c r="R1451" s="232"/>
      <c r="S1451" s="232"/>
      <c r="T1451" s="232"/>
      <c r="U1451" s="232"/>
      <c r="V1451" s="232"/>
      <c r="W1451" s="232"/>
      <c r="X1451" s="232"/>
      <c r="Y1451" s="232"/>
      <c r="Z1451" s="232"/>
      <c r="AA1451" s="232"/>
      <c r="AB1451" s="232"/>
      <c r="AC1451" s="232"/>
      <c r="AD1451" s="232"/>
      <c r="AE1451" s="232"/>
      <c r="AF1451" s="232"/>
      <c r="AG1451" s="232"/>
      <c r="AH1451" s="232"/>
      <c r="AI1451" s="232"/>
      <c r="AJ1451" s="232"/>
      <c r="AK1451" s="232"/>
      <c r="AL1451" s="232"/>
      <c r="AM1451" s="232"/>
      <c r="AN1451" s="232"/>
      <c r="AO1451" s="232"/>
      <c r="AP1451" s="232"/>
      <c r="AQ1451" s="232"/>
      <c r="AR1451" s="232"/>
      <c r="AS1451" s="232"/>
      <c r="AT1451" s="232"/>
      <c r="AU1451" s="232"/>
      <c r="AV1451" s="232"/>
      <c r="AW1451" s="232"/>
      <c r="AX1451" s="232"/>
      <c r="AY1451" s="232"/>
      <c r="AZ1451" s="232"/>
      <c r="BA1451" s="232"/>
      <c r="BB1451" s="232"/>
      <c r="BC1451" s="232"/>
      <c r="BD1451" s="232"/>
      <c r="BE1451" s="232"/>
      <c r="BF1451" s="232"/>
      <c r="BG1451" s="232"/>
      <c r="BH1451" s="232"/>
      <c r="BI1451" s="232"/>
      <c r="BJ1451" s="232"/>
      <c r="BK1451" s="232"/>
      <c r="BL1451" s="232"/>
      <c r="BM1451" s="232"/>
      <c r="BN1451" s="232"/>
      <c r="BO1451" s="232"/>
      <c r="BP1451" s="232"/>
      <c r="BQ1451" s="232"/>
      <c r="BR1451" s="232"/>
      <c r="BS1451" s="232"/>
      <c r="BT1451" s="232"/>
      <c r="BU1451" s="232"/>
      <c r="BV1451" s="232"/>
      <c r="BW1451" s="232"/>
      <c r="BX1451" s="232"/>
      <c r="BY1451" s="232"/>
      <c r="BZ1451" s="232"/>
      <c r="CA1451" s="232"/>
      <c r="CB1451" s="232"/>
      <c r="CC1451" s="232"/>
      <c r="CD1451" s="232"/>
      <c r="CE1451" s="232"/>
      <c r="CF1451" s="232"/>
      <c r="CG1451" s="232"/>
      <c r="CH1451" s="232"/>
      <c r="CI1451" s="232"/>
      <c r="CJ1451" s="232"/>
      <c r="CK1451" s="232"/>
      <c r="CL1451" s="232"/>
      <c r="CM1451" s="232"/>
      <c r="CN1451" s="215"/>
      <c r="CO1451" s="215"/>
      <c r="CP1451" s="215"/>
      <c r="CQ1451" s="215"/>
      <c r="CR1451" s="215"/>
      <c r="CS1451" s="215"/>
      <c r="CT1451" s="215"/>
    </row>
    <row r="1452" ht="24.0" customHeight="1">
      <c r="A1452" s="287"/>
      <c r="B1452" s="287"/>
      <c r="C1452" s="287"/>
      <c r="D1452" s="232"/>
      <c r="E1452" s="232"/>
      <c r="F1452" s="232"/>
      <c r="G1452" s="232"/>
      <c r="H1452" s="232"/>
      <c r="I1452" s="232"/>
      <c r="J1452" s="232"/>
      <c r="K1452" s="232"/>
      <c r="L1452" s="232"/>
      <c r="M1452" s="232"/>
      <c r="N1452" s="289"/>
      <c r="O1452" s="232"/>
      <c r="P1452" s="232"/>
      <c r="Q1452" s="232"/>
      <c r="R1452" s="232"/>
      <c r="S1452" s="232"/>
      <c r="T1452" s="232"/>
      <c r="U1452" s="232"/>
      <c r="V1452" s="232"/>
      <c r="W1452" s="232"/>
      <c r="X1452" s="232"/>
      <c r="Y1452" s="232"/>
      <c r="Z1452" s="232"/>
      <c r="AA1452" s="232"/>
      <c r="AB1452" s="232"/>
      <c r="AC1452" s="232"/>
      <c r="AD1452" s="232"/>
      <c r="AE1452" s="232"/>
      <c r="AF1452" s="232"/>
      <c r="AG1452" s="232"/>
      <c r="AH1452" s="232"/>
      <c r="AI1452" s="232"/>
      <c r="AJ1452" s="232"/>
      <c r="AK1452" s="232"/>
      <c r="AL1452" s="232"/>
      <c r="AM1452" s="232"/>
      <c r="AN1452" s="232"/>
      <c r="AO1452" s="232"/>
      <c r="AP1452" s="232"/>
      <c r="AQ1452" s="232"/>
      <c r="AR1452" s="232"/>
      <c r="AS1452" s="232"/>
      <c r="AT1452" s="232"/>
      <c r="AU1452" s="232"/>
      <c r="AV1452" s="232"/>
      <c r="AW1452" s="232"/>
      <c r="AX1452" s="232"/>
      <c r="AY1452" s="232"/>
      <c r="AZ1452" s="232"/>
      <c r="BA1452" s="232"/>
      <c r="BB1452" s="232"/>
      <c r="BC1452" s="232"/>
      <c r="BD1452" s="232"/>
      <c r="BE1452" s="232"/>
      <c r="BF1452" s="232"/>
      <c r="BG1452" s="232"/>
      <c r="BH1452" s="232"/>
      <c r="BI1452" s="232"/>
      <c r="BJ1452" s="232"/>
      <c r="BK1452" s="232"/>
      <c r="BL1452" s="232"/>
      <c r="BM1452" s="232"/>
      <c r="BN1452" s="232"/>
      <c r="BO1452" s="232"/>
      <c r="BP1452" s="232"/>
      <c r="BQ1452" s="232"/>
      <c r="BR1452" s="232"/>
      <c r="BS1452" s="232"/>
      <c r="BT1452" s="232"/>
      <c r="BU1452" s="232"/>
      <c r="BV1452" s="232"/>
      <c r="BW1452" s="232"/>
      <c r="BX1452" s="232"/>
      <c r="BY1452" s="232"/>
      <c r="BZ1452" s="232"/>
      <c r="CA1452" s="232"/>
      <c r="CB1452" s="232"/>
      <c r="CC1452" s="232"/>
      <c r="CD1452" s="232"/>
      <c r="CE1452" s="232"/>
      <c r="CF1452" s="232"/>
      <c r="CG1452" s="232"/>
      <c r="CH1452" s="232"/>
      <c r="CI1452" s="232"/>
      <c r="CJ1452" s="232"/>
      <c r="CK1452" s="232"/>
      <c r="CL1452" s="232"/>
      <c r="CM1452" s="232"/>
      <c r="CN1452" s="215"/>
      <c r="CO1452" s="215"/>
      <c r="CP1452" s="215"/>
      <c r="CQ1452" s="215"/>
      <c r="CR1452" s="215"/>
      <c r="CS1452" s="215"/>
      <c r="CT1452" s="215"/>
    </row>
    <row r="1453" ht="24.0" customHeight="1">
      <c r="A1453" s="287"/>
      <c r="B1453" s="287"/>
      <c r="C1453" s="287"/>
      <c r="D1453" s="232"/>
      <c r="E1453" s="232"/>
      <c r="F1453" s="232"/>
      <c r="G1453" s="232"/>
      <c r="H1453" s="232"/>
      <c r="I1453" s="232"/>
      <c r="J1453" s="232"/>
      <c r="K1453" s="232"/>
      <c r="L1453" s="232"/>
      <c r="M1453" s="232"/>
      <c r="N1453" s="289"/>
      <c r="O1453" s="232"/>
      <c r="P1453" s="232"/>
      <c r="Q1453" s="232"/>
      <c r="R1453" s="232"/>
      <c r="S1453" s="232"/>
      <c r="T1453" s="232"/>
      <c r="U1453" s="232"/>
      <c r="V1453" s="232"/>
      <c r="W1453" s="232"/>
      <c r="X1453" s="232"/>
      <c r="Y1453" s="232"/>
      <c r="Z1453" s="232"/>
      <c r="AA1453" s="232"/>
      <c r="AB1453" s="232"/>
      <c r="AC1453" s="232"/>
      <c r="AD1453" s="232"/>
      <c r="AE1453" s="232"/>
      <c r="AF1453" s="232"/>
      <c r="AG1453" s="232"/>
      <c r="AH1453" s="232"/>
      <c r="AI1453" s="232"/>
      <c r="AJ1453" s="232"/>
      <c r="AK1453" s="232"/>
      <c r="AL1453" s="232"/>
      <c r="AM1453" s="232"/>
      <c r="AN1453" s="232"/>
      <c r="AO1453" s="232"/>
      <c r="AP1453" s="232"/>
      <c r="AQ1453" s="232"/>
      <c r="AR1453" s="232"/>
      <c r="AS1453" s="232"/>
      <c r="AT1453" s="232"/>
      <c r="AU1453" s="232"/>
      <c r="AV1453" s="232"/>
      <c r="AW1453" s="232"/>
      <c r="AX1453" s="232"/>
      <c r="AY1453" s="232"/>
      <c r="AZ1453" s="232"/>
      <c r="BA1453" s="232"/>
      <c r="BB1453" s="232"/>
      <c r="BC1453" s="232"/>
      <c r="BD1453" s="232"/>
      <c r="BE1453" s="232"/>
      <c r="BF1453" s="232"/>
      <c r="BG1453" s="232"/>
      <c r="BH1453" s="232"/>
      <c r="BI1453" s="232"/>
      <c r="BJ1453" s="232"/>
      <c r="BK1453" s="232"/>
      <c r="BL1453" s="232"/>
      <c r="BM1453" s="232"/>
      <c r="BN1453" s="232"/>
      <c r="BO1453" s="232"/>
      <c r="BP1453" s="232"/>
      <c r="BQ1453" s="232"/>
      <c r="BR1453" s="232"/>
      <c r="BS1453" s="232"/>
      <c r="BT1453" s="232"/>
      <c r="BU1453" s="232"/>
      <c r="BV1453" s="232"/>
      <c r="BW1453" s="232"/>
      <c r="BX1453" s="232"/>
      <c r="BY1453" s="232"/>
      <c r="BZ1453" s="232"/>
      <c r="CA1453" s="232"/>
      <c r="CB1453" s="232"/>
      <c r="CC1453" s="232"/>
      <c r="CD1453" s="232"/>
      <c r="CE1453" s="232"/>
      <c r="CF1453" s="232"/>
      <c r="CG1453" s="232"/>
      <c r="CH1453" s="232"/>
      <c r="CI1453" s="232"/>
      <c r="CJ1453" s="232"/>
      <c r="CK1453" s="232"/>
      <c r="CL1453" s="232"/>
      <c r="CM1453" s="232"/>
      <c r="CN1453" s="215"/>
      <c r="CO1453" s="215"/>
      <c r="CP1453" s="215"/>
      <c r="CQ1453" s="215"/>
      <c r="CR1453" s="215"/>
      <c r="CS1453" s="215"/>
      <c r="CT1453" s="215"/>
    </row>
    <row r="1454" ht="24.0" customHeight="1">
      <c r="A1454" s="287"/>
      <c r="B1454" s="287"/>
      <c r="C1454" s="287"/>
      <c r="D1454" s="232"/>
      <c r="E1454" s="232"/>
      <c r="F1454" s="232"/>
      <c r="G1454" s="232"/>
      <c r="H1454" s="232"/>
      <c r="I1454" s="232"/>
      <c r="J1454" s="232"/>
      <c r="K1454" s="232"/>
      <c r="L1454" s="232"/>
      <c r="M1454" s="232"/>
      <c r="N1454" s="289"/>
      <c r="O1454" s="232"/>
      <c r="P1454" s="232"/>
      <c r="Q1454" s="232"/>
      <c r="R1454" s="232"/>
      <c r="S1454" s="232"/>
      <c r="T1454" s="232"/>
      <c r="U1454" s="232"/>
      <c r="V1454" s="232"/>
      <c r="W1454" s="232"/>
      <c r="X1454" s="232"/>
      <c r="Y1454" s="232"/>
      <c r="Z1454" s="232"/>
      <c r="AA1454" s="232"/>
      <c r="AB1454" s="232"/>
      <c r="AC1454" s="232"/>
      <c r="AD1454" s="232"/>
      <c r="AE1454" s="232"/>
      <c r="AF1454" s="232"/>
      <c r="AG1454" s="232"/>
      <c r="AH1454" s="232"/>
      <c r="AI1454" s="232"/>
      <c r="AJ1454" s="232"/>
      <c r="AK1454" s="232"/>
      <c r="AL1454" s="232"/>
      <c r="AM1454" s="232"/>
      <c r="AN1454" s="232"/>
      <c r="AO1454" s="232"/>
      <c r="AP1454" s="232"/>
      <c r="AQ1454" s="232"/>
      <c r="AR1454" s="232"/>
      <c r="AS1454" s="232"/>
      <c r="AT1454" s="232"/>
      <c r="AU1454" s="232"/>
      <c r="AV1454" s="232"/>
      <c r="AW1454" s="232"/>
      <c r="AX1454" s="232"/>
      <c r="AY1454" s="232"/>
      <c r="AZ1454" s="232"/>
      <c r="BA1454" s="232"/>
      <c r="BB1454" s="232"/>
      <c r="BC1454" s="232"/>
      <c r="BD1454" s="232"/>
      <c r="BE1454" s="232"/>
      <c r="BF1454" s="232"/>
      <c r="BG1454" s="232"/>
      <c r="BH1454" s="232"/>
      <c r="BI1454" s="232"/>
      <c r="BJ1454" s="232"/>
      <c r="BK1454" s="232"/>
      <c r="BL1454" s="232"/>
      <c r="BM1454" s="232"/>
      <c r="BN1454" s="232"/>
      <c r="BO1454" s="232"/>
      <c r="BP1454" s="232"/>
      <c r="BQ1454" s="232"/>
      <c r="BR1454" s="232"/>
      <c r="BS1454" s="232"/>
      <c r="BT1454" s="232"/>
      <c r="BU1454" s="232"/>
      <c r="BV1454" s="232"/>
      <c r="BW1454" s="232"/>
      <c r="BX1454" s="232"/>
      <c r="BY1454" s="232"/>
      <c r="BZ1454" s="232"/>
      <c r="CA1454" s="232"/>
      <c r="CB1454" s="232"/>
      <c r="CC1454" s="232"/>
      <c r="CD1454" s="232"/>
      <c r="CE1454" s="232"/>
      <c r="CF1454" s="232"/>
      <c r="CG1454" s="232"/>
      <c r="CH1454" s="232"/>
      <c r="CI1454" s="232"/>
      <c r="CJ1454" s="232"/>
      <c r="CK1454" s="232"/>
      <c r="CL1454" s="232"/>
      <c r="CM1454" s="232"/>
      <c r="CN1454" s="215"/>
      <c r="CO1454" s="215"/>
      <c r="CP1454" s="215"/>
      <c r="CQ1454" s="215"/>
      <c r="CR1454" s="215"/>
      <c r="CS1454" s="215"/>
      <c r="CT1454" s="215"/>
    </row>
    <row r="1455" ht="24.0" customHeight="1">
      <c r="A1455" s="287"/>
      <c r="B1455" s="287"/>
      <c r="C1455" s="287"/>
      <c r="D1455" s="232"/>
      <c r="E1455" s="232"/>
      <c r="F1455" s="232"/>
      <c r="G1455" s="232"/>
      <c r="H1455" s="232"/>
      <c r="I1455" s="232"/>
      <c r="J1455" s="232"/>
      <c r="K1455" s="232"/>
      <c r="L1455" s="232"/>
      <c r="M1455" s="232"/>
      <c r="N1455" s="289"/>
      <c r="O1455" s="232"/>
      <c r="P1455" s="232"/>
      <c r="Q1455" s="232"/>
      <c r="R1455" s="232"/>
      <c r="S1455" s="232"/>
      <c r="T1455" s="232"/>
      <c r="U1455" s="232"/>
      <c r="V1455" s="232"/>
      <c r="W1455" s="232"/>
      <c r="X1455" s="232"/>
      <c r="Y1455" s="232"/>
      <c r="Z1455" s="232"/>
      <c r="AA1455" s="232"/>
      <c r="AB1455" s="232"/>
      <c r="AC1455" s="232"/>
      <c r="AD1455" s="232"/>
      <c r="AE1455" s="232"/>
      <c r="AF1455" s="232"/>
      <c r="AG1455" s="232"/>
      <c r="AH1455" s="232"/>
      <c r="AI1455" s="232"/>
      <c r="AJ1455" s="232"/>
      <c r="AK1455" s="232"/>
      <c r="AL1455" s="232"/>
      <c r="AM1455" s="232"/>
      <c r="AN1455" s="232"/>
      <c r="AO1455" s="232"/>
      <c r="AP1455" s="232"/>
      <c r="AQ1455" s="232"/>
      <c r="AR1455" s="232"/>
      <c r="AS1455" s="232"/>
      <c r="AT1455" s="232"/>
      <c r="AU1455" s="232"/>
      <c r="AV1455" s="232"/>
      <c r="AW1455" s="232"/>
      <c r="AX1455" s="232"/>
      <c r="AY1455" s="232"/>
      <c r="AZ1455" s="232"/>
      <c r="BA1455" s="232"/>
      <c r="BB1455" s="232"/>
      <c r="BC1455" s="232"/>
      <c r="BD1455" s="232"/>
      <c r="BE1455" s="232"/>
      <c r="BF1455" s="232"/>
      <c r="BG1455" s="232"/>
      <c r="BH1455" s="232"/>
      <c r="BI1455" s="232"/>
      <c r="BJ1455" s="232"/>
      <c r="BK1455" s="232"/>
      <c r="BL1455" s="232"/>
      <c r="BM1455" s="232"/>
      <c r="BN1455" s="232"/>
      <c r="BO1455" s="232"/>
      <c r="BP1455" s="232"/>
      <c r="BQ1455" s="232"/>
      <c r="BR1455" s="232"/>
      <c r="BS1455" s="232"/>
      <c r="BT1455" s="232"/>
      <c r="BU1455" s="232"/>
      <c r="BV1455" s="232"/>
      <c r="BW1455" s="232"/>
      <c r="BX1455" s="232"/>
      <c r="BY1455" s="232"/>
      <c r="BZ1455" s="232"/>
      <c r="CA1455" s="232"/>
      <c r="CB1455" s="232"/>
      <c r="CC1455" s="232"/>
      <c r="CD1455" s="232"/>
      <c r="CE1455" s="232"/>
      <c r="CF1455" s="232"/>
      <c r="CG1455" s="232"/>
      <c r="CH1455" s="232"/>
      <c r="CI1455" s="232"/>
      <c r="CJ1455" s="232"/>
      <c r="CK1455" s="232"/>
      <c r="CL1455" s="232"/>
      <c r="CM1455" s="232"/>
      <c r="CN1455" s="215"/>
      <c r="CO1455" s="215"/>
      <c r="CP1455" s="215"/>
      <c r="CQ1455" s="215"/>
      <c r="CR1455" s="215"/>
      <c r="CS1455" s="215"/>
      <c r="CT1455" s="215"/>
    </row>
    <row r="1456" ht="24.0" customHeight="1">
      <c r="A1456" s="287"/>
      <c r="B1456" s="287"/>
      <c r="C1456" s="287"/>
      <c r="D1456" s="232"/>
      <c r="E1456" s="232"/>
      <c r="F1456" s="232"/>
      <c r="G1456" s="232"/>
      <c r="H1456" s="232"/>
      <c r="I1456" s="232"/>
      <c r="J1456" s="232"/>
      <c r="K1456" s="232"/>
      <c r="L1456" s="232"/>
      <c r="M1456" s="232"/>
      <c r="N1456" s="289"/>
      <c r="O1456" s="232"/>
      <c r="P1456" s="232"/>
      <c r="Q1456" s="232"/>
      <c r="R1456" s="232"/>
      <c r="S1456" s="232"/>
      <c r="T1456" s="232"/>
      <c r="U1456" s="232"/>
      <c r="V1456" s="232"/>
      <c r="W1456" s="232"/>
      <c r="X1456" s="232"/>
      <c r="Y1456" s="232"/>
      <c r="Z1456" s="232"/>
      <c r="AA1456" s="232"/>
      <c r="AB1456" s="232"/>
      <c r="AC1456" s="232"/>
      <c r="AD1456" s="232"/>
      <c r="AE1456" s="232"/>
      <c r="AF1456" s="232"/>
      <c r="AG1456" s="232"/>
      <c r="AH1456" s="232"/>
      <c r="AI1456" s="232"/>
      <c r="AJ1456" s="232"/>
      <c r="AK1456" s="232"/>
      <c r="AL1456" s="232"/>
      <c r="AM1456" s="232"/>
      <c r="AN1456" s="232"/>
      <c r="AO1456" s="232"/>
      <c r="AP1456" s="232"/>
      <c r="AQ1456" s="232"/>
      <c r="AR1456" s="232"/>
      <c r="AS1456" s="232"/>
      <c r="AT1456" s="232"/>
      <c r="AU1456" s="232"/>
      <c r="AV1456" s="232"/>
      <c r="AW1456" s="232"/>
      <c r="AX1456" s="232"/>
      <c r="AY1456" s="232"/>
      <c r="AZ1456" s="232"/>
      <c r="BA1456" s="232"/>
      <c r="BB1456" s="232"/>
      <c r="BC1456" s="232"/>
      <c r="BD1456" s="232"/>
      <c r="BE1456" s="232"/>
      <c r="BF1456" s="232"/>
      <c r="BG1456" s="232"/>
      <c r="BH1456" s="232"/>
      <c r="BI1456" s="232"/>
      <c r="BJ1456" s="232"/>
      <c r="BK1456" s="232"/>
      <c r="BL1456" s="232"/>
      <c r="BM1456" s="232"/>
      <c r="BN1456" s="232"/>
      <c r="BO1456" s="232"/>
      <c r="BP1456" s="232"/>
      <c r="BQ1456" s="232"/>
      <c r="BR1456" s="232"/>
      <c r="BS1456" s="232"/>
      <c r="BT1456" s="232"/>
      <c r="BU1456" s="232"/>
      <c r="BV1456" s="232"/>
      <c r="BW1456" s="232"/>
      <c r="BX1456" s="232"/>
      <c r="BY1456" s="232"/>
      <c r="BZ1456" s="232"/>
      <c r="CA1456" s="232"/>
      <c r="CB1456" s="232"/>
      <c r="CC1456" s="232"/>
      <c r="CD1456" s="232"/>
      <c r="CE1456" s="232"/>
      <c r="CF1456" s="232"/>
      <c r="CG1456" s="232"/>
      <c r="CH1456" s="232"/>
      <c r="CI1456" s="232"/>
      <c r="CJ1456" s="232"/>
      <c r="CK1456" s="232"/>
      <c r="CL1456" s="232"/>
      <c r="CM1456" s="232"/>
      <c r="CN1456" s="215"/>
      <c r="CO1456" s="215"/>
      <c r="CP1456" s="215"/>
      <c r="CQ1456" s="215"/>
      <c r="CR1456" s="215"/>
      <c r="CS1456" s="215"/>
      <c r="CT1456" s="215"/>
    </row>
    <row r="1457" ht="24.0" customHeight="1">
      <c r="A1457" s="287"/>
      <c r="B1457" s="287"/>
      <c r="C1457" s="287"/>
      <c r="D1457" s="232"/>
      <c r="E1457" s="232"/>
      <c r="F1457" s="232"/>
      <c r="G1457" s="232"/>
      <c r="H1457" s="232"/>
      <c r="I1457" s="232"/>
      <c r="J1457" s="232"/>
      <c r="K1457" s="232"/>
      <c r="L1457" s="232"/>
      <c r="M1457" s="232"/>
      <c r="N1457" s="289"/>
      <c r="O1457" s="232"/>
      <c r="P1457" s="232"/>
      <c r="Q1457" s="232"/>
      <c r="R1457" s="232"/>
      <c r="S1457" s="232"/>
      <c r="T1457" s="232"/>
      <c r="U1457" s="232"/>
      <c r="V1457" s="232"/>
      <c r="W1457" s="232"/>
      <c r="X1457" s="232"/>
      <c r="Y1457" s="232"/>
      <c r="Z1457" s="232"/>
      <c r="AA1457" s="232"/>
      <c r="AB1457" s="232"/>
      <c r="AC1457" s="232"/>
      <c r="AD1457" s="232"/>
      <c r="AE1457" s="232"/>
      <c r="AF1457" s="232"/>
      <c r="AG1457" s="232"/>
      <c r="AH1457" s="232"/>
      <c r="AI1457" s="232"/>
      <c r="AJ1457" s="232"/>
      <c r="AK1457" s="232"/>
      <c r="AL1457" s="232"/>
      <c r="AM1457" s="232"/>
      <c r="AN1457" s="232"/>
      <c r="AO1457" s="232"/>
      <c r="AP1457" s="232"/>
      <c r="AQ1457" s="232"/>
      <c r="AR1457" s="232"/>
      <c r="AS1457" s="232"/>
      <c r="AT1457" s="232"/>
      <c r="AU1457" s="232"/>
      <c r="AV1457" s="232"/>
      <c r="AW1457" s="232"/>
      <c r="AX1457" s="232"/>
      <c r="AY1457" s="232"/>
      <c r="AZ1457" s="232"/>
      <c r="BA1457" s="232"/>
      <c r="BB1457" s="232"/>
      <c r="BC1457" s="232"/>
      <c r="BD1457" s="232"/>
      <c r="BE1457" s="232"/>
      <c r="BF1457" s="232"/>
      <c r="BG1457" s="232"/>
      <c r="BH1457" s="232"/>
      <c r="BI1457" s="232"/>
      <c r="BJ1457" s="232"/>
      <c r="BK1457" s="232"/>
      <c r="BL1457" s="232"/>
      <c r="BM1457" s="232"/>
      <c r="BN1457" s="232"/>
      <c r="BO1457" s="232"/>
      <c r="BP1457" s="232"/>
      <c r="BQ1457" s="232"/>
      <c r="BR1457" s="232"/>
      <c r="BS1457" s="232"/>
      <c r="BT1457" s="232"/>
      <c r="BU1457" s="232"/>
      <c r="BV1457" s="232"/>
      <c r="BW1457" s="232"/>
      <c r="BX1457" s="232"/>
      <c r="BY1457" s="232"/>
      <c r="BZ1457" s="232"/>
      <c r="CA1457" s="232"/>
      <c r="CB1457" s="232"/>
      <c r="CC1457" s="232"/>
      <c r="CD1457" s="232"/>
      <c r="CE1457" s="232"/>
      <c r="CF1457" s="232"/>
      <c r="CG1457" s="232"/>
      <c r="CH1457" s="232"/>
      <c r="CI1457" s="232"/>
      <c r="CJ1457" s="232"/>
      <c r="CK1457" s="232"/>
      <c r="CL1457" s="232"/>
      <c r="CM1457" s="232"/>
      <c r="CN1457" s="215"/>
      <c r="CO1457" s="215"/>
      <c r="CP1457" s="215"/>
      <c r="CQ1457" s="215"/>
      <c r="CR1457" s="215"/>
      <c r="CS1457" s="215"/>
      <c r="CT1457" s="215"/>
    </row>
    <row r="1458" ht="24.0" customHeight="1">
      <c r="A1458" s="287"/>
      <c r="B1458" s="287"/>
      <c r="C1458" s="287"/>
      <c r="D1458" s="232"/>
      <c r="E1458" s="232"/>
      <c r="F1458" s="232"/>
      <c r="G1458" s="232"/>
      <c r="H1458" s="232"/>
      <c r="I1458" s="232"/>
      <c r="J1458" s="232"/>
      <c r="K1458" s="232"/>
      <c r="L1458" s="232"/>
      <c r="M1458" s="232"/>
      <c r="N1458" s="289"/>
      <c r="O1458" s="232"/>
      <c r="P1458" s="232"/>
      <c r="Q1458" s="232"/>
      <c r="R1458" s="232"/>
      <c r="S1458" s="232"/>
      <c r="T1458" s="232"/>
      <c r="U1458" s="232"/>
      <c r="V1458" s="232"/>
      <c r="W1458" s="232"/>
      <c r="X1458" s="232"/>
      <c r="Y1458" s="232"/>
      <c r="Z1458" s="232"/>
      <c r="AA1458" s="232"/>
      <c r="AB1458" s="232"/>
      <c r="AC1458" s="232"/>
      <c r="AD1458" s="232"/>
      <c r="AE1458" s="232"/>
      <c r="AF1458" s="232"/>
      <c r="AG1458" s="232"/>
      <c r="AH1458" s="232"/>
      <c r="AI1458" s="232"/>
      <c r="AJ1458" s="232"/>
      <c r="AK1458" s="232"/>
      <c r="AL1458" s="232"/>
      <c r="AM1458" s="232"/>
      <c r="AN1458" s="232"/>
      <c r="AO1458" s="232"/>
      <c r="AP1458" s="232"/>
      <c r="AQ1458" s="232"/>
      <c r="AR1458" s="232"/>
      <c r="AS1458" s="232"/>
      <c r="AT1458" s="232"/>
      <c r="AU1458" s="232"/>
      <c r="AV1458" s="232"/>
      <c r="AW1458" s="232"/>
      <c r="AX1458" s="232"/>
      <c r="AY1458" s="232"/>
      <c r="AZ1458" s="232"/>
      <c r="BA1458" s="232"/>
      <c r="BB1458" s="232"/>
      <c r="BC1458" s="232"/>
      <c r="BD1458" s="232"/>
      <c r="BE1458" s="232"/>
      <c r="BF1458" s="232"/>
      <c r="BG1458" s="232"/>
      <c r="BH1458" s="232"/>
      <c r="BI1458" s="232"/>
      <c r="BJ1458" s="232"/>
      <c r="BK1458" s="232"/>
      <c r="BL1458" s="232"/>
      <c r="BM1458" s="232"/>
      <c r="BN1458" s="232"/>
      <c r="BO1458" s="232"/>
      <c r="BP1458" s="232"/>
      <c r="BQ1458" s="232"/>
      <c r="BR1458" s="232"/>
      <c r="BS1458" s="232"/>
      <c r="BT1458" s="232"/>
      <c r="BU1458" s="232"/>
      <c r="BV1458" s="232"/>
      <c r="BW1458" s="232"/>
      <c r="BX1458" s="232"/>
      <c r="BY1458" s="232"/>
      <c r="BZ1458" s="232"/>
      <c r="CA1458" s="232"/>
      <c r="CB1458" s="232"/>
      <c r="CC1458" s="232"/>
      <c r="CD1458" s="232"/>
      <c r="CE1458" s="232"/>
      <c r="CF1458" s="232"/>
      <c r="CG1458" s="232"/>
      <c r="CH1458" s="232"/>
      <c r="CI1458" s="232"/>
      <c r="CJ1458" s="232"/>
      <c r="CK1458" s="232"/>
      <c r="CL1458" s="232"/>
      <c r="CM1458" s="232"/>
      <c r="CN1458" s="215"/>
      <c r="CO1458" s="215"/>
      <c r="CP1458" s="215"/>
      <c r="CQ1458" s="215"/>
      <c r="CR1458" s="215"/>
      <c r="CS1458" s="215"/>
      <c r="CT1458" s="215"/>
    </row>
    <row r="1459" ht="24.0" customHeight="1">
      <c r="A1459" s="287"/>
      <c r="B1459" s="287"/>
      <c r="C1459" s="287"/>
      <c r="D1459" s="232"/>
      <c r="E1459" s="232"/>
      <c r="F1459" s="232"/>
      <c r="G1459" s="232"/>
      <c r="H1459" s="232"/>
      <c r="I1459" s="232"/>
      <c r="J1459" s="232"/>
      <c r="K1459" s="232"/>
      <c r="L1459" s="232"/>
      <c r="M1459" s="232"/>
      <c r="N1459" s="289"/>
      <c r="O1459" s="232"/>
      <c r="P1459" s="232"/>
      <c r="Q1459" s="232"/>
      <c r="R1459" s="232"/>
      <c r="S1459" s="232"/>
      <c r="T1459" s="232"/>
      <c r="U1459" s="232"/>
      <c r="V1459" s="232"/>
      <c r="W1459" s="232"/>
      <c r="X1459" s="232"/>
      <c r="Y1459" s="232"/>
      <c r="Z1459" s="232"/>
      <c r="AA1459" s="232"/>
      <c r="AB1459" s="232"/>
      <c r="AC1459" s="232"/>
      <c r="AD1459" s="232"/>
      <c r="AE1459" s="232"/>
      <c r="AF1459" s="232"/>
      <c r="AG1459" s="232"/>
      <c r="AH1459" s="232"/>
      <c r="AI1459" s="232"/>
      <c r="AJ1459" s="232"/>
      <c r="AK1459" s="232"/>
      <c r="AL1459" s="232"/>
      <c r="AM1459" s="232"/>
      <c r="AN1459" s="232"/>
      <c r="AO1459" s="232"/>
      <c r="AP1459" s="232"/>
      <c r="AQ1459" s="232"/>
      <c r="AR1459" s="232"/>
      <c r="AS1459" s="232"/>
      <c r="AT1459" s="232"/>
      <c r="AU1459" s="232"/>
      <c r="AV1459" s="232"/>
      <c r="AW1459" s="232"/>
      <c r="AX1459" s="232"/>
      <c r="AY1459" s="232"/>
      <c r="AZ1459" s="232"/>
      <c r="BA1459" s="232"/>
      <c r="BB1459" s="232"/>
      <c r="BC1459" s="232"/>
      <c r="BD1459" s="232"/>
      <c r="BE1459" s="232"/>
      <c r="BF1459" s="232"/>
      <c r="BG1459" s="232"/>
      <c r="BH1459" s="232"/>
      <c r="BI1459" s="232"/>
      <c r="BJ1459" s="232"/>
      <c r="BK1459" s="232"/>
      <c r="BL1459" s="232"/>
      <c r="BM1459" s="232"/>
      <c r="BN1459" s="232"/>
      <c r="BO1459" s="232"/>
      <c r="BP1459" s="232"/>
      <c r="BQ1459" s="232"/>
      <c r="BR1459" s="232"/>
      <c r="BS1459" s="232"/>
      <c r="BT1459" s="232"/>
      <c r="BU1459" s="232"/>
      <c r="BV1459" s="232"/>
      <c r="BW1459" s="232"/>
      <c r="BX1459" s="232"/>
      <c r="BY1459" s="232"/>
      <c r="BZ1459" s="232"/>
      <c r="CA1459" s="232"/>
      <c r="CB1459" s="232"/>
      <c r="CC1459" s="232"/>
      <c r="CD1459" s="232"/>
      <c r="CE1459" s="232"/>
      <c r="CF1459" s="232"/>
      <c r="CG1459" s="232"/>
      <c r="CH1459" s="232"/>
      <c r="CI1459" s="232"/>
      <c r="CJ1459" s="232"/>
      <c r="CK1459" s="232"/>
      <c r="CL1459" s="232"/>
      <c r="CM1459" s="232"/>
      <c r="CN1459" s="215"/>
      <c r="CO1459" s="215"/>
      <c r="CP1459" s="215"/>
      <c r="CQ1459" s="215"/>
      <c r="CR1459" s="215"/>
      <c r="CS1459" s="215"/>
      <c r="CT1459" s="215"/>
    </row>
    <row r="1460" ht="24.0" customHeight="1">
      <c r="A1460" s="287"/>
      <c r="B1460" s="287"/>
      <c r="C1460" s="287"/>
      <c r="D1460" s="232"/>
      <c r="E1460" s="232"/>
      <c r="F1460" s="232"/>
      <c r="G1460" s="232"/>
      <c r="H1460" s="232"/>
      <c r="I1460" s="232"/>
      <c r="J1460" s="232"/>
      <c r="K1460" s="232"/>
      <c r="L1460" s="232"/>
      <c r="M1460" s="232"/>
      <c r="N1460" s="289"/>
      <c r="O1460" s="232"/>
      <c r="P1460" s="232"/>
      <c r="Q1460" s="232"/>
      <c r="R1460" s="232"/>
      <c r="S1460" s="232"/>
      <c r="T1460" s="232"/>
      <c r="U1460" s="232"/>
      <c r="V1460" s="232"/>
      <c r="W1460" s="232"/>
      <c r="X1460" s="232"/>
      <c r="Y1460" s="232"/>
      <c r="Z1460" s="232"/>
      <c r="AA1460" s="232"/>
      <c r="AB1460" s="232"/>
      <c r="AC1460" s="232"/>
      <c r="AD1460" s="232"/>
      <c r="AE1460" s="232"/>
      <c r="AF1460" s="232"/>
      <c r="AG1460" s="232"/>
      <c r="AH1460" s="232"/>
      <c r="AI1460" s="232"/>
      <c r="AJ1460" s="232"/>
      <c r="AK1460" s="232"/>
      <c r="AL1460" s="232"/>
      <c r="AM1460" s="232"/>
      <c r="AN1460" s="232"/>
      <c r="AO1460" s="232"/>
      <c r="AP1460" s="232"/>
      <c r="AQ1460" s="232"/>
      <c r="AR1460" s="232"/>
      <c r="AS1460" s="232"/>
      <c r="AT1460" s="232"/>
      <c r="AU1460" s="232"/>
      <c r="AV1460" s="232"/>
      <c r="AW1460" s="232"/>
      <c r="AX1460" s="232"/>
      <c r="AY1460" s="232"/>
      <c r="AZ1460" s="232"/>
      <c r="BA1460" s="232"/>
      <c r="BB1460" s="232"/>
      <c r="BC1460" s="232"/>
      <c r="BD1460" s="232"/>
      <c r="BE1460" s="232"/>
      <c r="BF1460" s="232"/>
      <c r="BG1460" s="232"/>
      <c r="BH1460" s="232"/>
      <c r="BI1460" s="232"/>
      <c r="BJ1460" s="232"/>
      <c r="BK1460" s="232"/>
      <c r="BL1460" s="232"/>
      <c r="BM1460" s="232"/>
      <c r="BN1460" s="232"/>
      <c r="BO1460" s="232"/>
      <c r="BP1460" s="232"/>
      <c r="BQ1460" s="232"/>
      <c r="BR1460" s="232"/>
      <c r="BS1460" s="232"/>
      <c r="BT1460" s="232"/>
      <c r="BU1460" s="232"/>
      <c r="BV1460" s="232"/>
      <c r="BW1460" s="232"/>
      <c r="BX1460" s="232"/>
      <c r="BY1460" s="232"/>
      <c r="BZ1460" s="232"/>
      <c r="CA1460" s="232"/>
      <c r="CB1460" s="232"/>
      <c r="CC1460" s="232"/>
      <c r="CD1460" s="232"/>
      <c r="CE1460" s="232"/>
      <c r="CF1460" s="232"/>
      <c r="CG1460" s="232"/>
      <c r="CH1460" s="232"/>
      <c r="CI1460" s="232"/>
      <c r="CJ1460" s="232"/>
      <c r="CK1460" s="232"/>
      <c r="CL1460" s="232"/>
      <c r="CM1460" s="232"/>
      <c r="CN1460" s="215"/>
      <c r="CO1460" s="215"/>
      <c r="CP1460" s="215"/>
      <c r="CQ1460" s="215"/>
      <c r="CR1460" s="215"/>
      <c r="CS1460" s="215"/>
      <c r="CT1460" s="215"/>
    </row>
    <row r="1461" ht="24.0" customHeight="1">
      <c r="A1461" s="287"/>
      <c r="B1461" s="287"/>
      <c r="C1461" s="287"/>
      <c r="D1461" s="232"/>
      <c r="E1461" s="232"/>
      <c r="F1461" s="232"/>
      <c r="G1461" s="232"/>
      <c r="H1461" s="232"/>
      <c r="I1461" s="232"/>
      <c r="J1461" s="232"/>
      <c r="K1461" s="232"/>
      <c r="L1461" s="232"/>
      <c r="M1461" s="232"/>
      <c r="N1461" s="289"/>
      <c r="O1461" s="232"/>
      <c r="P1461" s="232"/>
      <c r="Q1461" s="232"/>
      <c r="R1461" s="232"/>
      <c r="S1461" s="232"/>
      <c r="T1461" s="232"/>
      <c r="U1461" s="232"/>
      <c r="V1461" s="232"/>
      <c r="W1461" s="232"/>
      <c r="X1461" s="232"/>
      <c r="Y1461" s="232"/>
      <c r="Z1461" s="232"/>
      <c r="AA1461" s="232"/>
      <c r="AB1461" s="232"/>
      <c r="AC1461" s="232"/>
      <c r="AD1461" s="232"/>
      <c r="AE1461" s="232"/>
      <c r="AF1461" s="232"/>
      <c r="AG1461" s="232"/>
      <c r="AH1461" s="232"/>
      <c r="AI1461" s="232"/>
      <c r="AJ1461" s="232"/>
      <c r="AK1461" s="232"/>
      <c r="AL1461" s="232"/>
      <c r="AM1461" s="232"/>
      <c r="AN1461" s="232"/>
      <c r="AO1461" s="232"/>
      <c r="AP1461" s="232"/>
      <c r="AQ1461" s="232"/>
      <c r="AR1461" s="232"/>
      <c r="AS1461" s="232"/>
      <c r="AT1461" s="232"/>
      <c r="AU1461" s="232"/>
      <c r="AV1461" s="232"/>
      <c r="AW1461" s="232"/>
      <c r="AX1461" s="232"/>
      <c r="AY1461" s="232"/>
      <c r="AZ1461" s="232"/>
      <c r="BA1461" s="232"/>
      <c r="BB1461" s="232"/>
      <c r="BC1461" s="232"/>
      <c r="BD1461" s="232"/>
      <c r="BE1461" s="232"/>
      <c r="BF1461" s="232"/>
      <c r="BG1461" s="232"/>
      <c r="BH1461" s="232"/>
      <c r="BI1461" s="232"/>
      <c r="BJ1461" s="232"/>
      <c r="BK1461" s="232"/>
      <c r="BL1461" s="232"/>
      <c r="BM1461" s="232"/>
      <c r="BN1461" s="232"/>
      <c r="BO1461" s="232"/>
      <c r="BP1461" s="232"/>
      <c r="BQ1461" s="232"/>
      <c r="BR1461" s="232"/>
      <c r="BS1461" s="232"/>
      <c r="BT1461" s="232"/>
      <c r="BU1461" s="232"/>
      <c r="BV1461" s="232"/>
      <c r="BW1461" s="232"/>
      <c r="BX1461" s="232"/>
      <c r="BY1461" s="232"/>
      <c r="BZ1461" s="232"/>
      <c r="CA1461" s="232"/>
      <c r="CB1461" s="232"/>
      <c r="CC1461" s="232"/>
      <c r="CD1461" s="232"/>
      <c r="CE1461" s="232"/>
      <c r="CF1461" s="232"/>
      <c r="CG1461" s="232"/>
      <c r="CH1461" s="232"/>
      <c r="CI1461" s="232"/>
      <c r="CJ1461" s="232"/>
      <c r="CK1461" s="232"/>
      <c r="CL1461" s="232"/>
      <c r="CM1461" s="232"/>
      <c r="CN1461" s="215"/>
      <c r="CO1461" s="215"/>
      <c r="CP1461" s="215"/>
      <c r="CQ1461" s="215"/>
      <c r="CR1461" s="215"/>
      <c r="CS1461" s="215"/>
      <c r="CT1461" s="215"/>
    </row>
    <row r="1462" ht="24.0" customHeight="1">
      <c r="A1462" s="287"/>
      <c r="B1462" s="287"/>
      <c r="C1462" s="287"/>
      <c r="D1462" s="232"/>
      <c r="E1462" s="232"/>
      <c r="F1462" s="232"/>
      <c r="G1462" s="232"/>
      <c r="H1462" s="232"/>
      <c r="I1462" s="232"/>
      <c r="J1462" s="232"/>
      <c r="K1462" s="232"/>
      <c r="L1462" s="232"/>
      <c r="M1462" s="232"/>
      <c r="N1462" s="289"/>
      <c r="O1462" s="232"/>
      <c r="P1462" s="232"/>
      <c r="Q1462" s="232"/>
      <c r="R1462" s="232"/>
      <c r="S1462" s="232"/>
      <c r="T1462" s="232"/>
      <c r="U1462" s="232"/>
      <c r="V1462" s="232"/>
      <c r="W1462" s="232"/>
      <c r="X1462" s="232"/>
      <c r="Y1462" s="232"/>
      <c r="Z1462" s="232"/>
      <c r="AA1462" s="232"/>
      <c r="AB1462" s="232"/>
      <c r="AC1462" s="232"/>
      <c r="AD1462" s="232"/>
      <c r="AE1462" s="232"/>
      <c r="AF1462" s="232"/>
      <c r="AG1462" s="232"/>
      <c r="AH1462" s="232"/>
      <c r="AI1462" s="232"/>
      <c r="AJ1462" s="232"/>
      <c r="AK1462" s="232"/>
      <c r="AL1462" s="232"/>
      <c r="AM1462" s="232"/>
      <c r="AN1462" s="232"/>
      <c r="AO1462" s="232"/>
      <c r="AP1462" s="232"/>
      <c r="AQ1462" s="232"/>
      <c r="AR1462" s="232"/>
      <c r="AS1462" s="232"/>
      <c r="AT1462" s="232"/>
      <c r="AU1462" s="232"/>
      <c r="AV1462" s="232"/>
      <c r="AW1462" s="232"/>
      <c r="AX1462" s="232"/>
      <c r="AY1462" s="232"/>
      <c r="AZ1462" s="232"/>
      <c r="BA1462" s="232"/>
      <c r="BB1462" s="232"/>
      <c r="BC1462" s="232"/>
      <c r="BD1462" s="232"/>
      <c r="BE1462" s="232"/>
      <c r="BF1462" s="232"/>
      <c r="BG1462" s="232"/>
      <c r="BH1462" s="232"/>
      <c r="BI1462" s="232"/>
      <c r="BJ1462" s="232"/>
      <c r="BK1462" s="232"/>
      <c r="BL1462" s="232"/>
      <c r="BM1462" s="232"/>
      <c r="BN1462" s="232"/>
      <c r="BO1462" s="232"/>
      <c r="BP1462" s="232"/>
      <c r="BQ1462" s="232"/>
      <c r="BR1462" s="232"/>
      <c r="BS1462" s="232"/>
      <c r="BT1462" s="232"/>
      <c r="BU1462" s="232"/>
      <c r="BV1462" s="232"/>
      <c r="BW1462" s="232"/>
      <c r="BX1462" s="232"/>
      <c r="BY1462" s="232"/>
      <c r="BZ1462" s="232"/>
      <c r="CA1462" s="232"/>
      <c r="CB1462" s="232"/>
      <c r="CC1462" s="232"/>
      <c r="CD1462" s="232"/>
      <c r="CE1462" s="232"/>
      <c r="CF1462" s="232"/>
      <c r="CG1462" s="232"/>
      <c r="CH1462" s="232"/>
      <c r="CI1462" s="232"/>
      <c r="CJ1462" s="232"/>
      <c r="CK1462" s="232"/>
      <c r="CL1462" s="232"/>
      <c r="CM1462" s="232"/>
      <c r="CN1462" s="215"/>
      <c r="CO1462" s="215"/>
      <c r="CP1462" s="215"/>
      <c r="CQ1462" s="215"/>
      <c r="CR1462" s="215"/>
      <c r="CS1462" s="215"/>
      <c r="CT1462" s="215"/>
    </row>
    <row r="1463" ht="24.0" customHeight="1">
      <c r="A1463" s="287"/>
      <c r="B1463" s="287"/>
      <c r="C1463" s="287"/>
      <c r="D1463" s="232"/>
      <c r="E1463" s="232"/>
      <c r="F1463" s="232"/>
      <c r="G1463" s="232"/>
      <c r="H1463" s="232"/>
      <c r="I1463" s="232"/>
      <c r="J1463" s="232"/>
      <c r="K1463" s="232"/>
      <c r="L1463" s="232"/>
      <c r="M1463" s="232"/>
      <c r="N1463" s="289"/>
      <c r="O1463" s="232"/>
      <c r="P1463" s="232"/>
      <c r="Q1463" s="232"/>
      <c r="R1463" s="232"/>
      <c r="S1463" s="232"/>
      <c r="T1463" s="232"/>
      <c r="U1463" s="232"/>
      <c r="V1463" s="232"/>
      <c r="W1463" s="232"/>
      <c r="X1463" s="232"/>
      <c r="Y1463" s="232"/>
      <c r="Z1463" s="232"/>
      <c r="AA1463" s="232"/>
      <c r="AB1463" s="232"/>
      <c r="AC1463" s="232"/>
      <c r="AD1463" s="232"/>
      <c r="AE1463" s="232"/>
      <c r="AF1463" s="232"/>
      <c r="AG1463" s="232"/>
      <c r="AH1463" s="232"/>
      <c r="AI1463" s="232"/>
      <c r="AJ1463" s="232"/>
      <c r="AK1463" s="232"/>
      <c r="AL1463" s="232"/>
      <c r="AM1463" s="232"/>
      <c r="AN1463" s="232"/>
      <c r="AO1463" s="232"/>
      <c r="AP1463" s="232"/>
      <c r="AQ1463" s="232"/>
      <c r="AR1463" s="232"/>
      <c r="AS1463" s="232"/>
      <c r="AT1463" s="232"/>
      <c r="AU1463" s="232"/>
      <c r="AV1463" s="232"/>
      <c r="AW1463" s="232"/>
      <c r="AX1463" s="232"/>
      <c r="AY1463" s="232"/>
      <c r="AZ1463" s="232"/>
      <c r="BA1463" s="232"/>
      <c r="BB1463" s="232"/>
      <c r="BC1463" s="232"/>
      <c r="BD1463" s="232"/>
      <c r="BE1463" s="232"/>
      <c r="BF1463" s="232"/>
      <c r="BG1463" s="232"/>
      <c r="BH1463" s="232"/>
      <c r="BI1463" s="232"/>
      <c r="BJ1463" s="232"/>
      <c r="BK1463" s="232"/>
      <c r="BL1463" s="232"/>
      <c r="BM1463" s="232"/>
      <c r="BN1463" s="232"/>
      <c r="BO1463" s="232"/>
      <c r="BP1463" s="232"/>
      <c r="BQ1463" s="232"/>
      <c r="BR1463" s="232"/>
      <c r="BS1463" s="232"/>
      <c r="BT1463" s="232"/>
      <c r="BU1463" s="232"/>
      <c r="BV1463" s="232"/>
      <c r="BW1463" s="232"/>
      <c r="BX1463" s="232"/>
      <c r="BY1463" s="232"/>
      <c r="BZ1463" s="232"/>
      <c r="CA1463" s="232"/>
      <c r="CB1463" s="232"/>
      <c r="CC1463" s="232"/>
      <c r="CD1463" s="232"/>
      <c r="CE1463" s="232"/>
      <c r="CF1463" s="232"/>
      <c r="CG1463" s="232"/>
      <c r="CH1463" s="232"/>
      <c r="CI1463" s="232"/>
      <c r="CJ1463" s="232"/>
      <c r="CK1463" s="232"/>
      <c r="CL1463" s="232"/>
      <c r="CM1463" s="232"/>
      <c r="CN1463" s="215"/>
      <c r="CO1463" s="215"/>
      <c r="CP1463" s="215"/>
      <c r="CQ1463" s="215"/>
      <c r="CR1463" s="215"/>
      <c r="CS1463" s="215"/>
      <c r="CT1463" s="215"/>
    </row>
    <row r="1464" ht="24.0" customHeight="1">
      <c r="A1464" s="287"/>
      <c r="B1464" s="287"/>
      <c r="C1464" s="287"/>
      <c r="D1464" s="232"/>
      <c r="E1464" s="232"/>
      <c r="F1464" s="232"/>
      <c r="G1464" s="232"/>
      <c r="H1464" s="232"/>
      <c r="I1464" s="232"/>
      <c r="J1464" s="232"/>
      <c r="K1464" s="232"/>
      <c r="L1464" s="232"/>
      <c r="M1464" s="232"/>
      <c r="N1464" s="289"/>
      <c r="O1464" s="232"/>
      <c r="P1464" s="232"/>
      <c r="Q1464" s="232"/>
      <c r="R1464" s="232"/>
      <c r="S1464" s="232"/>
      <c r="T1464" s="232"/>
      <c r="U1464" s="232"/>
      <c r="V1464" s="232"/>
      <c r="W1464" s="232"/>
      <c r="X1464" s="232"/>
      <c r="Y1464" s="232"/>
      <c r="Z1464" s="232"/>
      <c r="AA1464" s="232"/>
      <c r="AB1464" s="232"/>
      <c r="AC1464" s="232"/>
      <c r="AD1464" s="232"/>
      <c r="AE1464" s="232"/>
      <c r="AF1464" s="232"/>
      <c r="AG1464" s="232"/>
      <c r="AH1464" s="232"/>
      <c r="AI1464" s="232"/>
      <c r="AJ1464" s="232"/>
      <c r="AK1464" s="232"/>
      <c r="AL1464" s="232"/>
      <c r="AM1464" s="232"/>
      <c r="AN1464" s="232"/>
      <c r="AO1464" s="232"/>
      <c r="AP1464" s="232"/>
      <c r="AQ1464" s="232"/>
      <c r="AR1464" s="232"/>
      <c r="AS1464" s="232"/>
      <c r="AT1464" s="232"/>
      <c r="AU1464" s="232"/>
      <c r="AV1464" s="232"/>
      <c r="AW1464" s="232"/>
      <c r="AX1464" s="232"/>
      <c r="AY1464" s="232"/>
      <c r="AZ1464" s="232"/>
      <c r="BA1464" s="232"/>
      <c r="BB1464" s="232"/>
      <c r="BC1464" s="232"/>
      <c r="BD1464" s="232"/>
      <c r="BE1464" s="232"/>
      <c r="BF1464" s="232"/>
      <c r="BG1464" s="232"/>
      <c r="BH1464" s="232"/>
      <c r="BI1464" s="232"/>
      <c r="BJ1464" s="232"/>
      <c r="BK1464" s="232"/>
      <c r="BL1464" s="232"/>
      <c r="BM1464" s="232"/>
      <c r="BN1464" s="232"/>
      <c r="BO1464" s="232"/>
      <c r="BP1464" s="232"/>
      <c r="BQ1464" s="232"/>
      <c r="BR1464" s="232"/>
      <c r="BS1464" s="232"/>
      <c r="BT1464" s="232"/>
      <c r="BU1464" s="232"/>
      <c r="BV1464" s="232"/>
      <c r="BW1464" s="232"/>
      <c r="BX1464" s="232"/>
      <c r="BY1464" s="232"/>
      <c r="BZ1464" s="232"/>
      <c r="CA1464" s="232"/>
      <c r="CB1464" s="232"/>
      <c r="CC1464" s="232"/>
      <c r="CD1464" s="232"/>
      <c r="CE1464" s="232"/>
      <c r="CF1464" s="232"/>
      <c r="CG1464" s="232"/>
      <c r="CH1464" s="232"/>
      <c r="CI1464" s="232"/>
      <c r="CJ1464" s="232"/>
      <c r="CK1464" s="232"/>
      <c r="CL1464" s="232"/>
      <c r="CM1464" s="232"/>
      <c r="CN1464" s="215"/>
      <c r="CO1464" s="215"/>
      <c r="CP1464" s="215"/>
      <c r="CQ1464" s="215"/>
      <c r="CR1464" s="215"/>
      <c r="CS1464" s="215"/>
      <c r="CT1464" s="215"/>
    </row>
    <row r="1465" ht="24.0" customHeight="1">
      <c r="A1465" s="287"/>
      <c r="B1465" s="287"/>
      <c r="C1465" s="287"/>
      <c r="D1465" s="232"/>
      <c r="E1465" s="232"/>
      <c r="F1465" s="232"/>
      <c r="G1465" s="232"/>
      <c r="H1465" s="232"/>
      <c r="I1465" s="232"/>
      <c r="J1465" s="232"/>
      <c r="K1465" s="232"/>
      <c r="L1465" s="232"/>
      <c r="M1465" s="232"/>
      <c r="N1465" s="289"/>
      <c r="O1465" s="232"/>
      <c r="P1465" s="232"/>
      <c r="Q1465" s="232"/>
      <c r="R1465" s="232"/>
      <c r="S1465" s="232"/>
      <c r="T1465" s="232"/>
      <c r="U1465" s="232"/>
      <c r="V1465" s="232"/>
      <c r="W1465" s="232"/>
      <c r="X1465" s="232"/>
      <c r="Y1465" s="232"/>
      <c r="Z1465" s="232"/>
      <c r="AA1465" s="232"/>
      <c r="AB1465" s="232"/>
      <c r="AC1465" s="232"/>
      <c r="AD1465" s="232"/>
      <c r="AE1465" s="232"/>
      <c r="AF1465" s="232"/>
      <c r="AG1465" s="232"/>
      <c r="AH1465" s="232"/>
      <c r="AI1465" s="232"/>
      <c r="AJ1465" s="232"/>
      <c r="AK1465" s="232"/>
      <c r="AL1465" s="232"/>
      <c r="AM1465" s="232"/>
      <c r="AN1465" s="232"/>
      <c r="AO1465" s="232"/>
      <c r="AP1465" s="232"/>
      <c r="AQ1465" s="232"/>
      <c r="AR1465" s="232"/>
      <c r="AS1465" s="232"/>
      <c r="AT1465" s="232"/>
      <c r="AU1465" s="232"/>
      <c r="AV1465" s="232"/>
      <c r="AW1465" s="232"/>
      <c r="AX1465" s="232"/>
      <c r="AY1465" s="232"/>
      <c r="AZ1465" s="232"/>
      <c r="BA1465" s="232"/>
      <c r="BB1465" s="232"/>
      <c r="BC1465" s="232"/>
      <c r="BD1465" s="232"/>
      <c r="BE1465" s="232"/>
      <c r="BF1465" s="232"/>
      <c r="BG1465" s="232"/>
      <c r="BH1465" s="232"/>
      <c r="BI1465" s="232"/>
      <c r="BJ1465" s="232"/>
      <c r="BK1465" s="232"/>
      <c r="BL1465" s="232"/>
      <c r="BM1465" s="232"/>
      <c r="BN1465" s="232"/>
      <c r="BO1465" s="232"/>
      <c r="BP1465" s="232"/>
      <c r="BQ1465" s="232"/>
      <c r="BR1465" s="232"/>
      <c r="BS1465" s="232"/>
      <c r="BT1465" s="232"/>
      <c r="BU1465" s="232"/>
      <c r="BV1465" s="232"/>
      <c r="BW1465" s="232"/>
      <c r="BX1465" s="232"/>
      <c r="BY1465" s="232"/>
      <c r="BZ1465" s="232"/>
      <c r="CA1465" s="232"/>
      <c r="CB1465" s="232"/>
      <c r="CC1465" s="232"/>
      <c r="CD1465" s="232"/>
      <c r="CE1465" s="232"/>
      <c r="CF1465" s="232"/>
      <c r="CG1465" s="232"/>
      <c r="CH1465" s="232"/>
      <c r="CI1465" s="232"/>
      <c r="CJ1465" s="232"/>
      <c r="CK1465" s="232"/>
      <c r="CL1465" s="232"/>
      <c r="CM1465" s="232"/>
      <c r="CN1465" s="215"/>
      <c r="CO1465" s="215"/>
      <c r="CP1465" s="215"/>
      <c r="CQ1465" s="215"/>
      <c r="CR1465" s="215"/>
      <c r="CS1465" s="215"/>
      <c r="CT1465" s="215"/>
    </row>
    <row r="1466" ht="24.0" customHeight="1">
      <c r="A1466" s="287"/>
      <c r="B1466" s="287"/>
      <c r="C1466" s="287"/>
      <c r="D1466" s="232"/>
      <c r="E1466" s="232"/>
      <c r="F1466" s="232"/>
      <c r="G1466" s="232"/>
      <c r="H1466" s="232"/>
      <c r="I1466" s="232"/>
      <c r="J1466" s="232"/>
      <c r="K1466" s="232"/>
      <c r="L1466" s="232"/>
      <c r="M1466" s="232"/>
      <c r="N1466" s="289"/>
      <c r="O1466" s="232"/>
      <c r="P1466" s="232"/>
      <c r="Q1466" s="232"/>
      <c r="R1466" s="232"/>
      <c r="S1466" s="232"/>
      <c r="T1466" s="232"/>
      <c r="U1466" s="232"/>
      <c r="V1466" s="232"/>
      <c r="W1466" s="232"/>
      <c r="X1466" s="232"/>
      <c r="Y1466" s="232"/>
      <c r="Z1466" s="232"/>
      <c r="AA1466" s="232"/>
      <c r="AB1466" s="232"/>
      <c r="AC1466" s="232"/>
      <c r="AD1466" s="232"/>
      <c r="AE1466" s="232"/>
      <c r="AF1466" s="232"/>
      <c r="AG1466" s="232"/>
      <c r="AH1466" s="232"/>
      <c r="AI1466" s="232"/>
      <c r="AJ1466" s="232"/>
      <c r="AK1466" s="232"/>
      <c r="AL1466" s="232"/>
      <c r="AM1466" s="232"/>
      <c r="AN1466" s="232"/>
      <c r="AO1466" s="232"/>
      <c r="AP1466" s="232"/>
      <c r="AQ1466" s="232"/>
      <c r="AR1466" s="232"/>
      <c r="AS1466" s="232"/>
      <c r="AT1466" s="232"/>
      <c r="AU1466" s="232"/>
      <c r="AV1466" s="232"/>
      <c r="AW1466" s="232"/>
      <c r="AX1466" s="232"/>
      <c r="AY1466" s="232"/>
      <c r="AZ1466" s="232"/>
      <c r="BA1466" s="232"/>
      <c r="BB1466" s="232"/>
      <c r="BC1466" s="232"/>
      <c r="BD1466" s="232"/>
      <c r="BE1466" s="232"/>
      <c r="BF1466" s="232"/>
      <c r="BG1466" s="232"/>
      <c r="BH1466" s="232"/>
      <c r="BI1466" s="232"/>
      <c r="BJ1466" s="232"/>
      <c r="BK1466" s="232"/>
      <c r="BL1466" s="232"/>
      <c r="BM1466" s="232"/>
      <c r="BN1466" s="232"/>
      <c r="BO1466" s="232"/>
      <c r="BP1466" s="232"/>
      <c r="BQ1466" s="232"/>
      <c r="BR1466" s="232"/>
      <c r="BS1466" s="232"/>
      <c r="BT1466" s="232"/>
      <c r="BU1466" s="232"/>
      <c r="BV1466" s="232"/>
      <c r="BW1466" s="232"/>
      <c r="BX1466" s="232"/>
      <c r="BY1466" s="232"/>
      <c r="BZ1466" s="232"/>
      <c r="CA1466" s="232"/>
      <c r="CB1466" s="232"/>
      <c r="CC1466" s="232"/>
      <c r="CD1466" s="232"/>
      <c r="CE1466" s="232"/>
      <c r="CF1466" s="232"/>
      <c r="CG1466" s="232"/>
      <c r="CH1466" s="232"/>
      <c r="CI1466" s="232"/>
      <c r="CJ1466" s="232"/>
      <c r="CK1466" s="232"/>
      <c r="CL1466" s="232"/>
      <c r="CM1466" s="232"/>
      <c r="CN1466" s="215"/>
      <c r="CO1466" s="215"/>
      <c r="CP1466" s="215"/>
      <c r="CQ1466" s="215"/>
      <c r="CR1466" s="215"/>
      <c r="CS1466" s="215"/>
      <c r="CT1466" s="215"/>
    </row>
    <row r="1467" ht="24.0" customHeight="1">
      <c r="A1467" s="287"/>
      <c r="B1467" s="287"/>
      <c r="C1467" s="287"/>
      <c r="D1467" s="232"/>
      <c r="E1467" s="232"/>
      <c r="F1467" s="232"/>
      <c r="G1467" s="232"/>
      <c r="H1467" s="232"/>
      <c r="I1467" s="232"/>
      <c r="J1467" s="232"/>
      <c r="K1467" s="232"/>
      <c r="L1467" s="232"/>
      <c r="M1467" s="232"/>
      <c r="N1467" s="289"/>
      <c r="O1467" s="232"/>
      <c r="P1467" s="232"/>
      <c r="Q1467" s="232"/>
      <c r="R1467" s="232"/>
      <c r="S1467" s="232"/>
      <c r="T1467" s="232"/>
      <c r="U1467" s="232"/>
      <c r="V1467" s="232"/>
      <c r="W1467" s="232"/>
      <c r="X1467" s="232"/>
      <c r="Y1467" s="232"/>
      <c r="Z1467" s="232"/>
      <c r="AA1467" s="232"/>
      <c r="AB1467" s="232"/>
      <c r="AC1467" s="232"/>
      <c r="AD1467" s="232"/>
      <c r="AE1467" s="232"/>
      <c r="AF1467" s="232"/>
      <c r="AG1467" s="232"/>
      <c r="AH1467" s="232"/>
      <c r="AI1467" s="232"/>
      <c r="AJ1467" s="232"/>
      <c r="AK1467" s="232"/>
      <c r="AL1467" s="232"/>
      <c r="AM1467" s="232"/>
      <c r="AN1467" s="232"/>
      <c r="AO1467" s="232"/>
      <c r="AP1467" s="232"/>
      <c r="AQ1467" s="232"/>
      <c r="AR1467" s="232"/>
      <c r="AS1467" s="232"/>
      <c r="AT1467" s="232"/>
      <c r="AU1467" s="232"/>
      <c r="AV1467" s="232"/>
      <c r="AW1467" s="232"/>
      <c r="AX1467" s="232"/>
      <c r="AY1467" s="232"/>
      <c r="AZ1467" s="232"/>
      <c r="BA1467" s="232"/>
      <c r="BB1467" s="232"/>
      <c r="BC1467" s="232"/>
      <c r="BD1467" s="232"/>
      <c r="BE1467" s="232"/>
      <c r="BF1467" s="232"/>
      <c r="BG1467" s="232"/>
      <c r="BH1467" s="232"/>
      <c r="BI1467" s="232"/>
      <c r="BJ1467" s="232"/>
      <c r="BK1467" s="232"/>
      <c r="BL1467" s="232"/>
      <c r="BM1467" s="232"/>
      <c r="BN1467" s="232"/>
      <c r="BO1467" s="232"/>
      <c r="BP1467" s="232"/>
      <c r="BQ1467" s="232"/>
      <c r="BR1467" s="232"/>
      <c r="BS1467" s="232"/>
      <c r="BT1467" s="232"/>
      <c r="BU1467" s="232"/>
      <c r="BV1467" s="232"/>
      <c r="BW1467" s="232"/>
      <c r="BX1467" s="232"/>
      <c r="BY1467" s="232"/>
      <c r="BZ1467" s="232"/>
      <c r="CA1467" s="232"/>
      <c r="CB1467" s="232"/>
      <c r="CC1467" s="232"/>
      <c r="CD1467" s="232"/>
      <c r="CE1467" s="232"/>
      <c r="CF1467" s="232"/>
      <c r="CG1467" s="232"/>
      <c r="CH1467" s="232"/>
      <c r="CI1467" s="232"/>
      <c r="CJ1467" s="232"/>
      <c r="CK1467" s="232"/>
      <c r="CL1467" s="232"/>
      <c r="CM1467" s="232"/>
      <c r="CN1467" s="215"/>
      <c r="CO1467" s="215"/>
      <c r="CP1467" s="215"/>
      <c r="CQ1467" s="215"/>
      <c r="CR1467" s="215"/>
      <c r="CS1467" s="215"/>
      <c r="CT1467" s="215"/>
    </row>
    <row r="1468" ht="24.0" customHeight="1">
      <c r="A1468" s="287"/>
      <c r="B1468" s="287"/>
      <c r="C1468" s="287"/>
      <c r="D1468" s="232"/>
      <c r="E1468" s="232"/>
      <c r="F1468" s="232"/>
      <c r="G1468" s="232"/>
      <c r="H1468" s="232"/>
      <c r="I1468" s="232"/>
      <c r="J1468" s="232"/>
      <c r="K1468" s="232"/>
      <c r="L1468" s="232"/>
      <c r="M1468" s="232"/>
      <c r="N1468" s="289"/>
      <c r="O1468" s="232"/>
      <c r="P1468" s="232"/>
      <c r="Q1468" s="232"/>
      <c r="R1468" s="232"/>
      <c r="S1468" s="232"/>
      <c r="T1468" s="232"/>
      <c r="U1468" s="232"/>
      <c r="V1468" s="232"/>
      <c r="W1468" s="232"/>
      <c r="X1468" s="232"/>
      <c r="Y1468" s="232"/>
      <c r="Z1468" s="232"/>
      <c r="AA1468" s="232"/>
      <c r="AB1468" s="232"/>
      <c r="AC1468" s="232"/>
      <c r="AD1468" s="232"/>
      <c r="AE1468" s="232"/>
      <c r="AF1468" s="232"/>
      <c r="AG1468" s="232"/>
      <c r="AH1468" s="232"/>
      <c r="AI1468" s="232"/>
      <c r="AJ1468" s="232"/>
      <c r="AK1468" s="232"/>
      <c r="AL1468" s="232"/>
      <c r="AM1468" s="232"/>
      <c r="AN1468" s="232"/>
      <c r="AO1468" s="232"/>
      <c r="AP1468" s="232"/>
      <c r="AQ1468" s="232"/>
      <c r="AR1468" s="232"/>
      <c r="AS1468" s="232"/>
      <c r="AT1468" s="232"/>
      <c r="AU1468" s="232"/>
      <c r="AV1468" s="232"/>
      <c r="AW1468" s="232"/>
      <c r="AX1468" s="232"/>
      <c r="AY1468" s="232"/>
      <c r="AZ1468" s="232"/>
      <c r="BA1468" s="232"/>
      <c r="BB1468" s="232"/>
      <c r="BC1468" s="232"/>
      <c r="BD1468" s="232"/>
      <c r="BE1468" s="232"/>
      <c r="BF1468" s="232"/>
      <c r="BG1468" s="232"/>
      <c r="BH1468" s="232"/>
      <c r="BI1468" s="232"/>
      <c r="BJ1468" s="232"/>
      <c r="BK1468" s="232"/>
      <c r="BL1468" s="232"/>
      <c r="BM1468" s="232"/>
      <c r="BN1468" s="232"/>
      <c r="BO1468" s="232"/>
      <c r="BP1468" s="232"/>
      <c r="BQ1468" s="232"/>
      <c r="BR1468" s="232"/>
      <c r="BS1468" s="232"/>
      <c r="BT1468" s="232"/>
      <c r="BU1468" s="232"/>
      <c r="BV1468" s="232"/>
      <c r="BW1468" s="232"/>
      <c r="BX1468" s="232"/>
      <c r="BY1468" s="232"/>
      <c r="BZ1468" s="232"/>
      <c r="CA1468" s="232"/>
      <c r="CB1468" s="232"/>
      <c r="CC1468" s="232"/>
      <c r="CD1468" s="232"/>
      <c r="CE1468" s="232"/>
      <c r="CF1468" s="232"/>
      <c r="CG1468" s="232"/>
      <c r="CH1468" s="232"/>
      <c r="CI1468" s="232"/>
      <c r="CJ1468" s="232"/>
      <c r="CK1468" s="232"/>
      <c r="CL1468" s="232"/>
      <c r="CM1468" s="232"/>
      <c r="CN1468" s="215"/>
      <c r="CO1468" s="215"/>
      <c r="CP1468" s="215"/>
      <c r="CQ1468" s="215"/>
      <c r="CR1468" s="215"/>
      <c r="CS1468" s="215"/>
      <c r="CT1468" s="215"/>
    </row>
    <row r="1469" ht="24.0" customHeight="1">
      <c r="A1469" s="287"/>
      <c r="B1469" s="287"/>
      <c r="C1469" s="287"/>
      <c r="D1469" s="232"/>
      <c r="E1469" s="232"/>
      <c r="F1469" s="232"/>
      <c r="G1469" s="232"/>
      <c r="H1469" s="232"/>
      <c r="I1469" s="232"/>
      <c r="J1469" s="232"/>
      <c r="K1469" s="232"/>
      <c r="L1469" s="232"/>
      <c r="M1469" s="232"/>
      <c r="N1469" s="289"/>
      <c r="O1469" s="232"/>
      <c r="P1469" s="232"/>
      <c r="Q1469" s="232"/>
      <c r="R1469" s="232"/>
      <c r="S1469" s="232"/>
      <c r="T1469" s="232"/>
      <c r="U1469" s="232"/>
      <c r="V1469" s="232"/>
      <c r="W1469" s="232"/>
      <c r="X1469" s="232"/>
      <c r="Y1469" s="232"/>
      <c r="Z1469" s="232"/>
      <c r="AA1469" s="232"/>
      <c r="AB1469" s="232"/>
      <c r="AC1469" s="232"/>
      <c r="AD1469" s="232"/>
      <c r="AE1469" s="232"/>
      <c r="AF1469" s="232"/>
      <c r="AG1469" s="232"/>
      <c r="AH1469" s="232"/>
      <c r="AI1469" s="232"/>
      <c r="AJ1469" s="232"/>
      <c r="AK1469" s="232"/>
      <c r="AL1469" s="232"/>
      <c r="AM1469" s="232"/>
      <c r="AN1469" s="232"/>
      <c r="AO1469" s="232"/>
      <c r="AP1469" s="232"/>
      <c r="AQ1469" s="232"/>
      <c r="AR1469" s="232"/>
      <c r="AS1469" s="232"/>
      <c r="AT1469" s="232"/>
      <c r="AU1469" s="232"/>
      <c r="AV1469" s="232"/>
      <c r="AW1469" s="232"/>
      <c r="AX1469" s="232"/>
      <c r="AY1469" s="232"/>
      <c r="AZ1469" s="232"/>
      <c r="BA1469" s="232"/>
      <c r="BB1469" s="232"/>
      <c r="BC1469" s="232"/>
      <c r="BD1469" s="232"/>
      <c r="BE1469" s="232"/>
      <c r="BF1469" s="232"/>
      <c r="BG1469" s="232"/>
      <c r="BH1469" s="232"/>
      <c r="BI1469" s="232"/>
      <c r="BJ1469" s="232"/>
      <c r="BK1469" s="232"/>
      <c r="BL1469" s="232"/>
      <c r="BM1469" s="232"/>
      <c r="BN1469" s="232"/>
      <c r="BO1469" s="232"/>
      <c r="BP1469" s="232"/>
      <c r="BQ1469" s="232"/>
      <c r="BR1469" s="232"/>
      <c r="BS1469" s="232"/>
      <c r="BT1469" s="232"/>
      <c r="BU1469" s="232"/>
      <c r="BV1469" s="232"/>
      <c r="BW1469" s="232"/>
      <c r="BX1469" s="232"/>
      <c r="BY1469" s="232"/>
      <c r="BZ1469" s="232"/>
      <c r="CA1469" s="232"/>
      <c r="CB1469" s="232"/>
      <c r="CC1469" s="232"/>
      <c r="CD1469" s="232"/>
      <c r="CE1469" s="232"/>
      <c r="CF1469" s="232"/>
      <c r="CG1469" s="232"/>
      <c r="CH1469" s="232"/>
      <c r="CI1469" s="232"/>
      <c r="CJ1469" s="232"/>
      <c r="CK1469" s="232"/>
      <c r="CL1469" s="232"/>
      <c r="CM1469" s="232"/>
      <c r="CN1469" s="215"/>
      <c r="CO1469" s="215"/>
      <c r="CP1469" s="215"/>
      <c r="CQ1469" s="215"/>
      <c r="CR1469" s="215"/>
      <c r="CS1469" s="215"/>
      <c r="CT1469" s="215"/>
    </row>
    <row r="1470" ht="24.0" customHeight="1">
      <c r="A1470" s="287"/>
      <c r="B1470" s="287"/>
      <c r="C1470" s="287"/>
      <c r="D1470" s="232"/>
      <c r="E1470" s="232"/>
      <c r="F1470" s="232"/>
      <c r="G1470" s="232"/>
      <c r="H1470" s="232"/>
      <c r="I1470" s="232"/>
      <c r="J1470" s="232"/>
      <c r="K1470" s="232"/>
      <c r="L1470" s="232"/>
      <c r="M1470" s="232"/>
      <c r="N1470" s="289"/>
      <c r="O1470" s="232"/>
      <c r="P1470" s="232"/>
      <c r="Q1470" s="232"/>
      <c r="R1470" s="232"/>
      <c r="S1470" s="232"/>
      <c r="T1470" s="232"/>
      <c r="U1470" s="232"/>
      <c r="V1470" s="232"/>
      <c r="W1470" s="232"/>
      <c r="X1470" s="232"/>
      <c r="Y1470" s="232"/>
      <c r="Z1470" s="232"/>
      <c r="AA1470" s="232"/>
      <c r="AB1470" s="232"/>
      <c r="AC1470" s="232"/>
      <c r="AD1470" s="232"/>
      <c r="AE1470" s="232"/>
      <c r="AF1470" s="232"/>
      <c r="AG1470" s="232"/>
      <c r="AH1470" s="232"/>
      <c r="AI1470" s="232"/>
      <c r="AJ1470" s="232"/>
      <c r="AK1470" s="232"/>
      <c r="AL1470" s="232"/>
      <c r="AM1470" s="232"/>
      <c r="AN1470" s="232"/>
      <c r="AO1470" s="232"/>
      <c r="AP1470" s="232"/>
      <c r="AQ1470" s="232"/>
      <c r="AR1470" s="232"/>
      <c r="AS1470" s="232"/>
      <c r="AT1470" s="232"/>
      <c r="AU1470" s="232"/>
      <c r="AV1470" s="232"/>
      <c r="AW1470" s="232"/>
      <c r="AX1470" s="232"/>
      <c r="AY1470" s="232"/>
      <c r="AZ1470" s="232"/>
      <c r="BA1470" s="232"/>
      <c r="BB1470" s="232"/>
      <c r="BC1470" s="232"/>
      <c r="BD1470" s="232"/>
      <c r="BE1470" s="232"/>
      <c r="BF1470" s="232"/>
      <c r="BG1470" s="232"/>
      <c r="BH1470" s="232"/>
      <c r="BI1470" s="232"/>
      <c r="BJ1470" s="232"/>
      <c r="BK1470" s="232"/>
      <c r="BL1470" s="232"/>
      <c r="BM1470" s="232"/>
      <c r="BN1470" s="232"/>
      <c r="BO1470" s="232"/>
      <c r="BP1470" s="232"/>
      <c r="BQ1470" s="232"/>
      <c r="BR1470" s="232"/>
      <c r="BS1470" s="232"/>
      <c r="BT1470" s="232"/>
      <c r="BU1470" s="232"/>
      <c r="BV1470" s="232"/>
      <c r="BW1470" s="232"/>
      <c r="BX1470" s="232"/>
      <c r="BY1470" s="232"/>
      <c r="BZ1470" s="232"/>
      <c r="CA1470" s="232"/>
      <c r="CB1470" s="232"/>
      <c r="CC1470" s="232"/>
      <c r="CD1470" s="232"/>
      <c r="CE1470" s="232"/>
      <c r="CF1470" s="232"/>
      <c r="CG1470" s="232"/>
      <c r="CH1470" s="232"/>
      <c r="CI1470" s="232"/>
      <c r="CJ1470" s="232"/>
      <c r="CK1470" s="232"/>
      <c r="CL1470" s="232"/>
      <c r="CM1470" s="232"/>
      <c r="CN1470" s="215"/>
      <c r="CO1470" s="215"/>
      <c r="CP1470" s="215"/>
      <c r="CQ1470" s="215"/>
      <c r="CR1470" s="215"/>
      <c r="CS1470" s="215"/>
      <c r="CT1470" s="215"/>
    </row>
    <row r="1471" ht="24.0" customHeight="1">
      <c r="A1471" s="287"/>
      <c r="B1471" s="287"/>
      <c r="C1471" s="287"/>
      <c r="D1471" s="232"/>
      <c r="E1471" s="232"/>
      <c r="F1471" s="232"/>
      <c r="G1471" s="232"/>
      <c r="H1471" s="232"/>
      <c r="I1471" s="232"/>
      <c r="J1471" s="232"/>
      <c r="K1471" s="232"/>
      <c r="L1471" s="232"/>
      <c r="M1471" s="232"/>
      <c r="N1471" s="289"/>
      <c r="O1471" s="232"/>
      <c r="P1471" s="232"/>
      <c r="Q1471" s="232"/>
      <c r="R1471" s="232"/>
      <c r="S1471" s="232"/>
      <c r="T1471" s="232"/>
      <c r="U1471" s="232"/>
      <c r="V1471" s="232"/>
      <c r="W1471" s="232"/>
      <c r="X1471" s="232"/>
      <c r="Y1471" s="232"/>
      <c r="Z1471" s="232"/>
      <c r="AA1471" s="232"/>
      <c r="AB1471" s="232"/>
      <c r="AC1471" s="232"/>
      <c r="AD1471" s="232"/>
      <c r="AE1471" s="232"/>
      <c r="AF1471" s="232"/>
      <c r="AG1471" s="232"/>
      <c r="AH1471" s="232"/>
      <c r="AI1471" s="232"/>
      <c r="AJ1471" s="232"/>
      <c r="AK1471" s="232"/>
      <c r="AL1471" s="232"/>
      <c r="AM1471" s="232"/>
      <c r="AN1471" s="232"/>
      <c r="AO1471" s="232"/>
      <c r="AP1471" s="232"/>
      <c r="AQ1471" s="232"/>
      <c r="AR1471" s="232"/>
      <c r="AS1471" s="232"/>
      <c r="AT1471" s="232"/>
      <c r="AU1471" s="232"/>
      <c r="AV1471" s="232"/>
      <c r="AW1471" s="232"/>
      <c r="AX1471" s="232"/>
      <c r="AY1471" s="232"/>
      <c r="AZ1471" s="232"/>
      <c r="BA1471" s="232"/>
      <c r="BB1471" s="232"/>
      <c r="BC1471" s="232"/>
      <c r="BD1471" s="232"/>
      <c r="BE1471" s="232"/>
      <c r="BF1471" s="232"/>
      <c r="BG1471" s="232"/>
      <c r="BH1471" s="232"/>
      <c r="BI1471" s="232"/>
      <c r="BJ1471" s="232"/>
      <c r="BK1471" s="232"/>
      <c r="BL1471" s="232"/>
      <c r="BM1471" s="232"/>
      <c r="BN1471" s="232"/>
      <c r="BO1471" s="232"/>
      <c r="BP1471" s="232"/>
      <c r="BQ1471" s="232"/>
      <c r="BR1471" s="232"/>
      <c r="BS1471" s="232"/>
      <c r="BT1471" s="232"/>
      <c r="BU1471" s="232"/>
      <c r="BV1471" s="232"/>
      <c r="BW1471" s="232"/>
      <c r="BX1471" s="232"/>
      <c r="BY1471" s="232"/>
      <c r="BZ1471" s="232"/>
      <c r="CA1471" s="232"/>
      <c r="CB1471" s="232"/>
      <c r="CC1471" s="232"/>
      <c r="CD1471" s="232"/>
      <c r="CE1471" s="232"/>
      <c r="CF1471" s="232"/>
      <c r="CG1471" s="232"/>
      <c r="CH1471" s="232"/>
      <c r="CI1471" s="232"/>
      <c r="CJ1471" s="232"/>
      <c r="CK1471" s="232"/>
      <c r="CL1471" s="232"/>
      <c r="CM1471" s="232"/>
      <c r="CN1471" s="215"/>
      <c r="CO1471" s="215"/>
      <c r="CP1471" s="215"/>
      <c r="CQ1471" s="215"/>
      <c r="CR1471" s="215"/>
      <c r="CS1471" s="215"/>
      <c r="CT1471" s="215"/>
    </row>
    <row r="1472" ht="24.0" customHeight="1">
      <c r="A1472" s="287"/>
      <c r="B1472" s="287"/>
      <c r="C1472" s="287"/>
      <c r="D1472" s="232"/>
      <c r="E1472" s="232"/>
      <c r="F1472" s="232"/>
      <c r="G1472" s="232"/>
      <c r="H1472" s="232"/>
      <c r="I1472" s="232"/>
      <c r="J1472" s="232"/>
      <c r="K1472" s="232"/>
      <c r="L1472" s="232"/>
      <c r="M1472" s="232"/>
      <c r="N1472" s="289"/>
      <c r="O1472" s="232"/>
      <c r="P1472" s="232"/>
      <c r="Q1472" s="232"/>
      <c r="R1472" s="232"/>
      <c r="S1472" s="232"/>
      <c r="T1472" s="232"/>
      <c r="U1472" s="232"/>
      <c r="V1472" s="232"/>
      <c r="W1472" s="232"/>
      <c r="X1472" s="232"/>
      <c r="Y1472" s="232"/>
      <c r="Z1472" s="232"/>
      <c r="AA1472" s="232"/>
      <c r="AB1472" s="232"/>
      <c r="AC1472" s="232"/>
      <c r="AD1472" s="232"/>
      <c r="AE1472" s="232"/>
      <c r="AF1472" s="232"/>
      <c r="AG1472" s="232"/>
      <c r="AH1472" s="232"/>
      <c r="AI1472" s="232"/>
      <c r="AJ1472" s="232"/>
      <c r="AK1472" s="232"/>
      <c r="AL1472" s="232"/>
      <c r="AM1472" s="232"/>
      <c r="AN1472" s="232"/>
      <c r="AO1472" s="232"/>
      <c r="AP1472" s="232"/>
      <c r="AQ1472" s="232"/>
      <c r="AR1472" s="232"/>
      <c r="AS1472" s="232"/>
      <c r="AT1472" s="232"/>
      <c r="AU1472" s="232"/>
      <c r="AV1472" s="232"/>
      <c r="AW1472" s="232"/>
      <c r="AX1472" s="232"/>
      <c r="AY1472" s="232"/>
      <c r="AZ1472" s="232"/>
      <c r="BA1472" s="232"/>
      <c r="BB1472" s="232"/>
      <c r="BC1472" s="232"/>
      <c r="BD1472" s="232"/>
      <c r="BE1472" s="232"/>
      <c r="BF1472" s="232"/>
      <c r="BG1472" s="232"/>
      <c r="BH1472" s="232"/>
      <c r="BI1472" s="232"/>
      <c r="BJ1472" s="232"/>
      <c r="BK1472" s="232"/>
      <c r="BL1472" s="232"/>
      <c r="BM1472" s="232"/>
      <c r="BN1472" s="232"/>
      <c r="BO1472" s="232"/>
      <c r="BP1472" s="232"/>
      <c r="BQ1472" s="232"/>
      <c r="BR1472" s="232"/>
      <c r="BS1472" s="232"/>
      <c r="BT1472" s="232"/>
      <c r="BU1472" s="232"/>
      <c r="BV1472" s="232"/>
      <c r="BW1472" s="232"/>
      <c r="BX1472" s="232"/>
      <c r="BY1472" s="232"/>
      <c r="BZ1472" s="232"/>
      <c r="CA1472" s="232"/>
      <c r="CB1472" s="232"/>
      <c r="CC1472" s="232"/>
      <c r="CD1472" s="232"/>
      <c r="CE1472" s="232"/>
      <c r="CF1472" s="232"/>
      <c r="CG1472" s="232"/>
      <c r="CH1472" s="232"/>
      <c r="CI1472" s="232"/>
      <c r="CJ1472" s="232"/>
      <c r="CK1472" s="232"/>
      <c r="CL1472" s="232"/>
      <c r="CM1472" s="232"/>
      <c r="CN1472" s="215"/>
      <c r="CO1472" s="215"/>
      <c r="CP1472" s="215"/>
      <c r="CQ1472" s="215"/>
      <c r="CR1472" s="215"/>
      <c r="CS1472" s="215"/>
      <c r="CT1472" s="215"/>
    </row>
    <row r="1473" ht="24.0" customHeight="1">
      <c r="A1473" s="287"/>
      <c r="B1473" s="287"/>
      <c r="C1473" s="287"/>
      <c r="D1473" s="232"/>
      <c r="E1473" s="232"/>
      <c r="F1473" s="232"/>
      <c r="G1473" s="232"/>
      <c r="H1473" s="232"/>
      <c r="I1473" s="232"/>
      <c r="J1473" s="232"/>
      <c r="K1473" s="232"/>
      <c r="L1473" s="232"/>
      <c r="M1473" s="232"/>
      <c r="N1473" s="289"/>
      <c r="O1473" s="232"/>
      <c r="P1473" s="232"/>
      <c r="Q1473" s="232"/>
      <c r="R1473" s="232"/>
      <c r="S1473" s="232"/>
      <c r="T1473" s="232"/>
      <c r="U1473" s="232"/>
      <c r="V1473" s="232"/>
      <c r="W1473" s="232"/>
      <c r="X1473" s="232"/>
      <c r="Y1473" s="232"/>
      <c r="Z1473" s="232"/>
      <c r="AA1473" s="232"/>
      <c r="AB1473" s="232"/>
      <c r="AC1473" s="232"/>
      <c r="AD1473" s="232"/>
      <c r="AE1473" s="232"/>
      <c r="AF1473" s="232"/>
      <c r="AG1473" s="232"/>
      <c r="AH1473" s="232"/>
      <c r="AI1473" s="232"/>
      <c r="AJ1473" s="232"/>
      <c r="AK1473" s="232"/>
      <c r="AL1473" s="232"/>
      <c r="AM1473" s="232"/>
      <c r="AN1473" s="232"/>
      <c r="AO1473" s="232"/>
      <c r="AP1473" s="232"/>
      <c r="AQ1473" s="232"/>
      <c r="AR1473" s="232"/>
      <c r="AS1473" s="232"/>
      <c r="AT1473" s="232"/>
      <c r="AU1473" s="232"/>
      <c r="AV1473" s="232"/>
      <c r="AW1473" s="232"/>
      <c r="AX1473" s="232"/>
      <c r="AY1473" s="232"/>
      <c r="AZ1473" s="232"/>
      <c r="BA1473" s="232"/>
      <c r="BB1473" s="232"/>
      <c r="BC1473" s="232"/>
      <c r="BD1473" s="232"/>
      <c r="BE1473" s="232"/>
      <c r="BF1473" s="232"/>
      <c r="BG1473" s="232"/>
      <c r="BH1473" s="232"/>
      <c r="BI1473" s="232"/>
      <c r="BJ1473" s="232"/>
      <c r="BK1473" s="232"/>
      <c r="BL1473" s="232"/>
      <c r="BM1473" s="232"/>
      <c r="BN1473" s="232"/>
      <c r="BO1473" s="232"/>
      <c r="BP1473" s="232"/>
      <c r="BQ1473" s="232"/>
      <c r="BR1473" s="232"/>
      <c r="BS1473" s="232"/>
      <c r="BT1473" s="232"/>
      <c r="BU1473" s="232"/>
      <c r="BV1473" s="232"/>
      <c r="BW1473" s="232"/>
      <c r="BX1473" s="232"/>
      <c r="BY1473" s="232"/>
      <c r="BZ1473" s="232"/>
      <c r="CA1473" s="232"/>
      <c r="CB1473" s="232"/>
      <c r="CC1473" s="232"/>
      <c r="CD1473" s="232"/>
      <c r="CE1473" s="232"/>
      <c r="CF1473" s="232"/>
      <c r="CG1473" s="232"/>
      <c r="CH1473" s="232"/>
      <c r="CI1473" s="232"/>
      <c r="CJ1473" s="232"/>
      <c r="CK1473" s="232"/>
      <c r="CL1473" s="232"/>
      <c r="CM1473" s="232"/>
      <c r="CN1473" s="215"/>
      <c r="CO1473" s="215"/>
      <c r="CP1473" s="215"/>
      <c r="CQ1473" s="215"/>
      <c r="CR1473" s="215"/>
      <c r="CS1473" s="215"/>
      <c r="CT1473" s="215"/>
    </row>
    <row r="1474" ht="24.0" customHeight="1">
      <c r="A1474" s="287"/>
      <c r="B1474" s="287"/>
      <c r="C1474" s="287"/>
      <c r="D1474" s="232"/>
      <c r="E1474" s="232"/>
      <c r="F1474" s="232"/>
      <c r="G1474" s="232"/>
      <c r="H1474" s="232"/>
      <c r="I1474" s="232"/>
      <c r="J1474" s="232"/>
      <c r="K1474" s="232"/>
      <c r="L1474" s="232"/>
      <c r="M1474" s="232"/>
      <c r="N1474" s="289"/>
      <c r="O1474" s="232"/>
      <c r="P1474" s="232"/>
      <c r="Q1474" s="232"/>
      <c r="R1474" s="232"/>
      <c r="S1474" s="232"/>
      <c r="T1474" s="232"/>
      <c r="U1474" s="232"/>
      <c r="V1474" s="232"/>
      <c r="W1474" s="232"/>
      <c r="X1474" s="232"/>
      <c r="Y1474" s="232"/>
      <c r="Z1474" s="232"/>
      <c r="AA1474" s="232"/>
      <c r="AB1474" s="232"/>
      <c r="AC1474" s="232"/>
      <c r="AD1474" s="232"/>
      <c r="AE1474" s="232"/>
      <c r="AF1474" s="232"/>
      <c r="AG1474" s="232"/>
      <c r="AH1474" s="232"/>
      <c r="AI1474" s="232"/>
      <c r="AJ1474" s="232"/>
      <c r="AK1474" s="232"/>
      <c r="AL1474" s="232"/>
      <c r="AM1474" s="232"/>
      <c r="AN1474" s="232"/>
      <c r="AO1474" s="232"/>
      <c r="AP1474" s="232"/>
      <c r="AQ1474" s="232"/>
      <c r="AR1474" s="232"/>
      <c r="AS1474" s="232"/>
      <c r="AT1474" s="232"/>
      <c r="AU1474" s="232"/>
      <c r="AV1474" s="232"/>
      <c r="AW1474" s="232"/>
      <c r="AX1474" s="232"/>
      <c r="AY1474" s="232"/>
      <c r="AZ1474" s="232"/>
      <c r="BA1474" s="232"/>
      <c r="BB1474" s="232"/>
      <c r="BC1474" s="232"/>
      <c r="BD1474" s="232"/>
      <c r="BE1474" s="232"/>
      <c r="BF1474" s="232"/>
      <c r="BG1474" s="232"/>
      <c r="BH1474" s="232"/>
      <c r="BI1474" s="232"/>
      <c r="BJ1474" s="232"/>
      <c r="BK1474" s="232"/>
      <c r="BL1474" s="232"/>
      <c r="BM1474" s="232"/>
      <c r="BN1474" s="232"/>
      <c r="BO1474" s="232"/>
      <c r="BP1474" s="232"/>
      <c r="BQ1474" s="232"/>
      <c r="BR1474" s="232"/>
      <c r="BS1474" s="232"/>
      <c r="BT1474" s="232"/>
      <c r="BU1474" s="232"/>
      <c r="BV1474" s="232"/>
      <c r="BW1474" s="232"/>
      <c r="BX1474" s="232"/>
      <c r="BY1474" s="232"/>
      <c r="BZ1474" s="232"/>
      <c r="CA1474" s="232"/>
      <c r="CB1474" s="232"/>
      <c r="CC1474" s="232"/>
      <c r="CD1474" s="232"/>
      <c r="CE1474" s="232"/>
      <c r="CF1474" s="232"/>
      <c r="CG1474" s="232"/>
      <c r="CH1474" s="232"/>
      <c r="CI1474" s="232"/>
      <c r="CJ1474" s="232"/>
      <c r="CK1474" s="232"/>
      <c r="CL1474" s="232"/>
      <c r="CM1474" s="232"/>
      <c r="CN1474" s="215"/>
      <c r="CO1474" s="215"/>
      <c r="CP1474" s="215"/>
      <c r="CQ1474" s="215"/>
      <c r="CR1474" s="215"/>
      <c r="CS1474" s="215"/>
      <c r="CT1474" s="215"/>
    </row>
    <row r="1475" ht="24.0" customHeight="1">
      <c r="A1475" s="287"/>
      <c r="B1475" s="287"/>
      <c r="C1475" s="287"/>
      <c r="D1475" s="232"/>
      <c r="E1475" s="232"/>
      <c r="F1475" s="232"/>
      <c r="G1475" s="232"/>
      <c r="H1475" s="232"/>
      <c r="I1475" s="232"/>
      <c r="J1475" s="232"/>
      <c r="K1475" s="232"/>
      <c r="L1475" s="232"/>
      <c r="M1475" s="232"/>
      <c r="N1475" s="289"/>
      <c r="O1475" s="232"/>
      <c r="P1475" s="232"/>
      <c r="Q1475" s="232"/>
      <c r="R1475" s="232"/>
      <c r="S1475" s="232"/>
      <c r="T1475" s="232"/>
      <c r="U1475" s="232"/>
      <c r="V1475" s="232"/>
      <c r="W1475" s="232"/>
      <c r="X1475" s="232"/>
      <c r="Y1475" s="232"/>
      <c r="Z1475" s="232"/>
      <c r="AA1475" s="232"/>
      <c r="AB1475" s="232"/>
      <c r="AC1475" s="232"/>
      <c r="AD1475" s="232"/>
      <c r="AE1475" s="232"/>
      <c r="AF1475" s="232"/>
      <c r="AG1475" s="232"/>
      <c r="AH1475" s="232"/>
      <c r="AI1475" s="232"/>
      <c r="AJ1475" s="232"/>
      <c r="AK1475" s="232"/>
      <c r="AL1475" s="232"/>
      <c r="AM1475" s="232"/>
      <c r="AN1475" s="232"/>
      <c r="AO1475" s="232"/>
      <c r="AP1475" s="232"/>
      <c r="AQ1475" s="232"/>
      <c r="AR1475" s="232"/>
      <c r="AS1475" s="232"/>
      <c r="AT1475" s="232"/>
      <c r="AU1475" s="232"/>
      <c r="AV1475" s="232"/>
      <c r="AW1475" s="232"/>
      <c r="AX1475" s="232"/>
      <c r="AY1475" s="232"/>
      <c r="AZ1475" s="232"/>
      <c r="BA1475" s="232"/>
      <c r="BB1475" s="232"/>
      <c r="BC1475" s="232"/>
      <c r="BD1475" s="232"/>
      <c r="BE1475" s="232"/>
      <c r="BF1475" s="232"/>
      <c r="BG1475" s="232"/>
      <c r="BH1475" s="232"/>
      <c r="BI1475" s="232"/>
      <c r="BJ1475" s="232"/>
      <c r="BK1475" s="232"/>
      <c r="BL1475" s="232"/>
      <c r="BM1475" s="232"/>
      <c r="BN1475" s="232"/>
      <c r="BO1475" s="232"/>
      <c r="BP1475" s="232"/>
      <c r="BQ1475" s="232"/>
      <c r="BR1475" s="232"/>
      <c r="BS1475" s="232"/>
      <c r="BT1475" s="232"/>
      <c r="BU1475" s="232"/>
      <c r="BV1475" s="232"/>
      <c r="BW1475" s="232"/>
      <c r="BX1475" s="232"/>
      <c r="BY1475" s="232"/>
      <c r="BZ1475" s="232"/>
      <c r="CA1475" s="232"/>
      <c r="CB1475" s="232"/>
      <c r="CC1475" s="232"/>
      <c r="CD1475" s="232"/>
      <c r="CE1475" s="232"/>
      <c r="CF1475" s="232"/>
      <c r="CG1475" s="232"/>
      <c r="CH1475" s="232"/>
      <c r="CI1475" s="232"/>
      <c r="CJ1475" s="232"/>
      <c r="CK1475" s="232"/>
      <c r="CL1475" s="232"/>
      <c r="CM1475" s="232"/>
      <c r="CN1475" s="215"/>
      <c r="CO1475" s="215"/>
      <c r="CP1475" s="215"/>
      <c r="CQ1475" s="215"/>
      <c r="CR1475" s="215"/>
      <c r="CS1475" s="215"/>
      <c r="CT1475" s="215"/>
    </row>
    <row r="1476" ht="24.0" customHeight="1">
      <c r="A1476" s="287"/>
      <c r="B1476" s="287"/>
      <c r="C1476" s="287"/>
      <c r="D1476" s="232"/>
      <c r="E1476" s="232"/>
      <c r="F1476" s="232"/>
      <c r="G1476" s="232"/>
      <c r="H1476" s="232"/>
      <c r="I1476" s="232"/>
      <c r="J1476" s="232"/>
      <c r="K1476" s="232"/>
      <c r="L1476" s="232"/>
      <c r="M1476" s="232"/>
      <c r="N1476" s="289"/>
      <c r="O1476" s="232"/>
      <c r="P1476" s="232"/>
      <c r="Q1476" s="232"/>
      <c r="R1476" s="232"/>
      <c r="S1476" s="232"/>
      <c r="T1476" s="232"/>
      <c r="U1476" s="232"/>
      <c r="V1476" s="232"/>
      <c r="W1476" s="232"/>
      <c r="X1476" s="232"/>
      <c r="Y1476" s="232"/>
      <c r="Z1476" s="232"/>
      <c r="AA1476" s="232"/>
      <c r="AB1476" s="232"/>
      <c r="AC1476" s="232"/>
      <c r="AD1476" s="232"/>
      <c r="AE1476" s="232"/>
      <c r="AF1476" s="232"/>
      <c r="AG1476" s="232"/>
      <c r="AH1476" s="232"/>
      <c r="AI1476" s="232"/>
      <c r="AJ1476" s="232"/>
      <c r="AK1476" s="232"/>
      <c r="AL1476" s="232"/>
      <c r="AM1476" s="232"/>
      <c r="AN1476" s="232"/>
      <c r="AO1476" s="232"/>
      <c r="AP1476" s="232"/>
      <c r="AQ1476" s="232"/>
      <c r="AR1476" s="232"/>
      <c r="AS1476" s="232"/>
      <c r="AT1476" s="232"/>
      <c r="AU1476" s="232"/>
      <c r="AV1476" s="232"/>
      <c r="AW1476" s="232"/>
      <c r="AX1476" s="232"/>
      <c r="AY1476" s="232"/>
      <c r="AZ1476" s="232"/>
      <c r="BA1476" s="232"/>
      <c r="BB1476" s="232"/>
      <c r="BC1476" s="232"/>
      <c r="BD1476" s="232"/>
      <c r="BE1476" s="232"/>
      <c r="BF1476" s="232"/>
      <c r="BG1476" s="232"/>
      <c r="BH1476" s="232"/>
      <c r="BI1476" s="232"/>
      <c r="BJ1476" s="232"/>
      <c r="BK1476" s="232"/>
      <c r="BL1476" s="232"/>
      <c r="BM1476" s="232"/>
      <c r="BN1476" s="232"/>
      <c r="BO1476" s="232"/>
      <c r="BP1476" s="232"/>
      <c r="BQ1476" s="232"/>
      <c r="BR1476" s="232"/>
      <c r="BS1476" s="232"/>
      <c r="BT1476" s="232"/>
      <c r="BU1476" s="232"/>
      <c r="BV1476" s="232"/>
      <c r="BW1476" s="232"/>
      <c r="BX1476" s="232"/>
      <c r="BY1476" s="232"/>
      <c r="BZ1476" s="232"/>
      <c r="CA1476" s="232"/>
      <c r="CB1476" s="232"/>
      <c r="CC1476" s="232"/>
      <c r="CD1476" s="232"/>
      <c r="CE1476" s="232"/>
      <c r="CF1476" s="232"/>
      <c r="CG1476" s="232"/>
      <c r="CH1476" s="232"/>
      <c r="CI1476" s="232"/>
      <c r="CJ1476" s="232"/>
      <c r="CK1476" s="232"/>
      <c r="CL1476" s="232"/>
      <c r="CM1476" s="232"/>
      <c r="CN1476" s="215"/>
      <c r="CO1476" s="215"/>
      <c r="CP1476" s="215"/>
      <c r="CQ1476" s="215"/>
      <c r="CR1476" s="215"/>
      <c r="CS1476" s="215"/>
      <c r="CT1476" s="215"/>
    </row>
    <row r="1477" ht="24.0" customHeight="1">
      <c r="A1477" s="287"/>
      <c r="B1477" s="287"/>
      <c r="C1477" s="287"/>
      <c r="D1477" s="232"/>
      <c r="E1477" s="232"/>
      <c r="F1477" s="232"/>
      <c r="G1477" s="232"/>
      <c r="H1477" s="232"/>
      <c r="I1477" s="232"/>
      <c r="J1477" s="232"/>
      <c r="K1477" s="232"/>
      <c r="L1477" s="232"/>
      <c r="M1477" s="232"/>
      <c r="N1477" s="289"/>
      <c r="O1477" s="232"/>
      <c r="P1477" s="232"/>
      <c r="Q1477" s="232"/>
      <c r="R1477" s="232"/>
      <c r="S1477" s="232"/>
      <c r="T1477" s="232"/>
      <c r="U1477" s="232"/>
      <c r="V1477" s="232"/>
      <c r="W1477" s="232"/>
      <c r="X1477" s="232"/>
      <c r="Y1477" s="232"/>
      <c r="Z1477" s="232"/>
      <c r="AA1477" s="232"/>
      <c r="AB1477" s="232"/>
      <c r="AC1477" s="232"/>
      <c r="AD1477" s="232"/>
      <c r="AE1477" s="232"/>
      <c r="AF1477" s="232"/>
      <c r="AG1477" s="232"/>
      <c r="AH1477" s="232"/>
      <c r="AI1477" s="232"/>
      <c r="AJ1477" s="232"/>
      <c r="AK1477" s="232"/>
      <c r="AL1477" s="232"/>
      <c r="AM1477" s="232"/>
      <c r="AN1477" s="232"/>
      <c r="AO1477" s="232"/>
      <c r="AP1477" s="232"/>
      <c r="AQ1477" s="232"/>
      <c r="AR1477" s="232"/>
      <c r="AS1477" s="232"/>
      <c r="AT1477" s="232"/>
      <c r="AU1477" s="232"/>
      <c r="AV1477" s="232"/>
      <c r="AW1477" s="232"/>
      <c r="AX1477" s="232"/>
      <c r="AY1477" s="232"/>
      <c r="AZ1477" s="232"/>
      <c r="BA1477" s="232"/>
      <c r="BB1477" s="232"/>
      <c r="BC1477" s="232"/>
      <c r="BD1477" s="232"/>
      <c r="BE1477" s="232"/>
      <c r="BF1477" s="232"/>
      <c r="BG1477" s="232"/>
      <c r="BH1477" s="232"/>
      <c r="BI1477" s="232"/>
      <c r="BJ1477" s="232"/>
      <c r="BK1477" s="232"/>
      <c r="BL1477" s="232"/>
      <c r="BM1477" s="232"/>
      <c r="BN1477" s="232"/>
      <c r="BO1477" s="232"/>
      <c r="BP1477" s="232"/>
      <c r="BQ1477" s="232"/>
      <c r="BR1477" s="232"/>
      <c r="BS1477" s="232"/>
      <c r="BT1477" s="232"/>
      <c r="BU1477" s="232"/>
      <c r="BV1477" s="232"/>
      <c r="BW1477" s="232"/>
      <c r="BX1477" s="232"/>
      <c r="BY1477" s="232"/>
      <c r="BZ1477" s="232"/>
      <c r="CA1477" s="232"/>
      <c r="CB1477" s="232"/>
      <c r="CC1477" s="232"/>
      <c r="CD1477" s="232"/>
      <c r="CE1477" s="232"/>
      <c r="CF1477" s="232"/>
      <c r="CG1477" s="232"/>
      <c r="CH1477" s="232"/>
      <c r="CI1477" s="232"/>
      <c r="CJ1477" s="232"/>
      <c r="CK1477" s="232"/>
      <c r="CL1477" s="232"/>
      <c r="CM1477" s="232"/>
      <c r="CN1477" s="215"/>
      <c r="CO1477" s="215"/>
      <c r="CP1477" s="215"/>
      <c r="CQ1477" s="215"/>
      <c r="CR1477" s="215"/>
      <c r="CS1477" s="215"/>
      <c r="CT1477" s="215"/>
    </row>
    <row r="1478" ht="24.0" customHeight="1">
      <c r="A1478" s="287"/>
      <c r="B1478" s="287"/>
      <c r="C1478" s="287"/>
      <c r="D1478" s="232"/>
      <c r="E1478" s="232"/>
      <c r="F1478" s="232"/>
      <c r="G1478" s="232"/>
      <c r="H1478" s="232"/>
      <c r="I1478" s="232"/>
      <c r="J1478" s="232"/>
      <c r="K1478" s="232"/>
      <c r="L1478" s="232"/>
      <c r="M1478" s="232"/>
      <c r="N1478" s="289"/>
      <c r="O1478" s="232"/>
      <c r="P1478" s="232"/>
      <c r="Q1478" s="232"/>
      <c r="R1478" s="232"/>
      <c r="S1478" s="232"/>
      <c r="T1478" s="232"/>
      <c r="U1478" s="232"/>
      <c r="V1478" s="232"/>
      <c r="W1478" s="232"/>
      <c r="X1478" s="232"/>
      <c r="Y1478" s="232"/>
      <c r="Z1478" s="232"/>
      <c r="AA1478" s="232"/>
      <c r="AB1478" s="232"/>
      <c r="AC1478" s="232"/>
      <c r="AD1478" s="232"/>
      <c r="AE1478" s="232"/>
      <c r="AF1478" s="232"/>
      <c r="AG1478" s="232"/>
      <c r="AH1478" s="232"/>
      <c r="AI1478" s="232"/>
      <c r="AJ1478" s="232"/>
      <c r="AK1478" s="232"/>
      <c r="AL1478" s="232"/>
      <c r="AM1478" s="232"/>
      <c r="AN1478" s="232"/>
      <c r="AO1478" s="232"/>
      <c r="AP1478" s="232"/>
      <c r="AQ1478" s="232"/>
      <c r="AR1478" s="232"/>
      <c r="AS1478" s="232"/>
      <c r="AT1478" s="232"/>
      <c r="AU1478" s="232"/>
      <c r="AV1478" s="232"/>
      <c r="AW1478" s="232"/>
      <c r="AX1478" s="232"/>
      <c r="AY1478" s="232"/>
      <c r="AZ1478" s="232"/>
      <c r="BA1478" s="232"/>
      <c r="BB1478" s="232"/>
      <c r="BC1478" s="232"/>
      <c r="BD1478" s="232"/>
      <c r="BE1478" s="232"/>
      <c r="BF1478" s="232"/>
      <c r="BG1478" s="232"/>
      <c r="BH1478" s="232"/>
      <c r="BI1478" s="232"/>
      <c r="BJ1478" s="232"/>
      <c r="BK1478" s="232"/>
      <c r="BL1478" s="232"/>
      <c r="BM1478" s="232"/>
      <c r="BN1478" s="232"/>
      <c r="BO1478" s="232"/>
      <c r="BP1478" s="232"/>
      <c r="BQ1478" s="232"/>
      <c r="BR1478" s="232"/>
      <c r="BS1478" s="232"/>
      <c r="BT1478" s="232"/>
      <c r="BU1478" s="232"/>
      <c r="BV1478" s="232"/>
      <c r="BW1478" s="232"/>
      <c r="BX1478" s="232"/>
      <c r="BY1478" s="232"/>
      <c r="BZ1478" s="232"/>
      <c r="CA1478" s="232"/>
      <c r="CB1478" s="232"/>
      <c r="CC1478" s="232"/>
      <c r="CD1478" s="232"/>
      <c r="CE1478" s="232"/>
      <c r="CF1478" s="232"/>
      <c r="CG1478" s="232"/>
      <c r="CH1478" s="232"/>
      <c r="CI1478" s="232"/>
      <c r="CJ1478" s="232"/>
      <c r="CK1478" s="232"/>
      <c r="CL1478" s="232"/>
      <c r="CM1478" s="232"/>
      <c r="CN1478" s="215"/>
      <c r="CO1478" s="215"/>
      <c r="CP1478" s="215"/>
      <c r="CQ1478" s="215"/>
      <c r="CR1478" s="215"/>
      <c r="CS1478" s="215"/>
      <c r="CT1478" s="215"/>
    </row>
    <row r="1479" ht="24.0" customHeight="1">
      <c r="A1479" s="287"/>
      <c r="B1479" s="287"/>
      <c r="C1479" s="287"/>
      <c r="D1479" s="232"/>
      <c r="E1479" s="232"/>
      <c r="F1479" s="232"/>
      <c r="G1479" s="232"/>
      <c r="H1479" s="232"/>
      <c r="I1479" s="232"/>
      <c r="J1479" s="232"/>
      <c r="K1479" s="232"/>
      <c r="L1479" s="232"/>
      <c r="M1479" s="232"/>
      <c r="N1479" s="289"/>
      <c r="O1479" s="232"/>
      <c r="P1479" s="232"/>
      <c r="Q1479" s="232"/>
      <c r="R1479" s="232"/>
      <c r="S1479" s="232"/>
      <c r="T1479" s="232"/>
      <c r="U1479" s="232"/>
      <c r="V1479" s="232"/>
      <c r="W1479" s="232"/>
      <c r="X1479" s="232"/>
      <c r="Y1479" s="232"/>
      <c r="Z1479" s="232"/>
      <c r="AA1479" s="232"/>
      <c r="AB1479" s="232"/>
      <c r="AC1479" s="232"/>
      <c r="AD1479" s="232"/>
      <c r="AE1479" s="232"/>
      <c r="AF1479" s="232"/>
      <c r="AG1479" s="232"/>
      <c r="AH1479" s="232"/>
      <c r="AI1479" s="232"/>
      <c r="AJ1479" s="232"/>
      <c r="AK1479" s="232"/>
      <c r="AL1479" s="232"/>
      <c r="AM1479" s="232"/>
      <c r="AN1479" s="232"/>
      <c r="AO1479" s="232"/>
      <c r="AP1479" s="232"/>
      <c r="AQ1479" s="232"/>
      <c r="AR1479" s="232"/>
      <c r="AS1479" s="232"/>
      <c r="AT1479" s="232"/>
      <c r="AU1479" s="232"/>
      <c r="AV1479" s="232"/>
      <c r="AW1479" s="232"/>
      <c r="AX1479" s="232"/>
      <c r="AY1479" s="232"/>
      <c r="AZ1479" s="232"/>
      <c r="BA1479" s="232"/>
      <c r="BB1479" s="232"/>
      <c r="BC1479" s="232"/>
      <c r="BD1479" s="232"/>
      <c r="BE1479" s="232"/>
      <c r="BF1479" s="232"/>
      <c r="BG1479" s="232"/>
      <c r="BH1479" s="232"/>
      <c r="BI1479" s="232"/>
      <c r="BJ1479" s="232"/>
      <c r="BK1479" s="232"/>
      <c r="BL1479" s="232"/>
      <c r="BM1479" s="232"/>
      <c r="BN1479" s="232"/>
      <c r="BO1479" s="232"/>
      <c r="BP1479" s="232"/>
      <c r="BQ1479" s="232"/>
      <c r="BR1479" s="232"/>
      <c r="BS1479" s="232"/>
      <c r="BT1479" s="232"/>
      <c r="BU1479" s="232"/>
      <c r="BV1479" s="232"/>
      <c r="BW1479" s="232"/>
      <c r="BX1479" s="232"/>
      <c r="BY1479" s="232"/>
      <c r="BZ1479" s="232"/>
      <c r="CA1479" s="232"/>
      <c r="CB1479" s="232"/>
      <c r="CC1479" s="232"/>
      <c r="CD1479" s="232"/>
      <c r="CE1479" s="232"/>
      <c r="CF1479" s="232"/>
      <c r="CG1479" s="232"/>
      <c r="CH1479" s="232"/>
      <c r="CI1479" s="232"/>
      <c r="CJ1479" s="232"/>
      <c r="CK1479" s="232"/>
      <c r="CL1479" s="232"/>
      <c r="CM1479" s="232"/>
      <c r="CN1479" s="215"/>
      <c r="CO1479" s="215"/>
      <c r="CP1479" s="215"/>
      <c r="CQ1479" s="215"/>
      <c r="CR1479" s="215"/>
      <c r="CS1479" s="215"/>
      <c r="CT1479" s="215"/>
    </row>
    <row r="1480" ht="24.0" customHeight="1">
      <c r="A1480" s="287"/>
      <c r="B1480" s="287"/>
      <c r="C1480" s="287"/>
      <c r="D1480" s="232"/>
      <c r="E1480" s="232"/>
      <c r="F1480" s="232"/>
      <c r="G1480" s="232"/>
      <c r="H1480" s="232"/>
      <c r="I1480" s="232"/>
      <c r="J1480" s="232"/>
      <c r="K1480" s="232"/>
      <c r="L1480" s="232"/>
      <c r="M1480" s="232"/>
      <c r="N1480" s="289"/>
      <c r="O1480" s="232"/>
      <c r="P1480" s="232"/>
      <c r="Q1480" s="232"/>
      <c r="R1480" s="232"/>
      <c r="S1480" s="232"/>
      <c r="T1480" s="232"/>
      <c r="U1480" s="232"/>
      <c r="V1480" s="232"/>
      <c r="W1480" s="232"/>
      <c r="X1480" s="232"/>
      <c r="Y1480" s="232"/>
      <c r="Z1480" s="232"/>
      <c r="AA1480" s="232"/>
      <c r="AB1480" s="232"/>
      <c r="AC1480" s="232"/>
      <c r="AD1480" s="232"/>
      <c r="AE1480" s="232"/>
      <c r="AF1480" s="232"/>
      <c r="AG1480" s="232"/>
      <c r="AH1480" s="232"/>
      <c r="AI1480" s="232"/>
      <c r="AJ1480" s="232"/>
      <c r="AK1480" s="232"/>
      <c r="AL1480" s="232"/>
      <c r="AM1480" s="232"/>
      <c r="AN1480" s="232"/>
      <c r="AO1480" s="232"/>
      <c r="AP1480" s="232"/>
      <c r="AQ1480" s="232"/>
      <c r="AR1480" s="232"/>
      <c r="AS1480" s="232"/>
      <c r="AT1480" s="232"/>
      <c r="AU1480" s="232"/>
      <c r="AV1480" s="232"/>
      <c r="AW1480" s="232"/>
      <c r="AX1480" s="232"/>
      <c r="AY1480" s="232"/>
      <c r="AZ1480" s="232"/>
      <c r="BA1480" s="232"/>
      <c r="BB1480" s="232"/>
      <c r="BC1480" s="232"/>
      <c r="BD1480" s="232"/>
      <c r="BE1480" s="232"/>
      <c r="BF1480" s="232"/>
      <c r="BG1480" s="232"/>
      <c r="BH1480" s="232"/>
      <c r="BI1480" s="232"/>
      <c r="BJ1480" s="232"/>
      <c r="BK1480" s="232"/>
      <c r="BL1480" s="232"/>
      <c r="BM1480" s="232"/>
      <c r="BN1480" s="232"/>
      <c r="BO1480" s="232"/>
      <c r="BP1480" s="232"/>
      <c r="BQ1480" s="232"/>
      <c r="BR1480" s="232"/>
      <c r="BS1480" s="232"/>
      <c r="BT1480" s="232"/>
      <c r="BU1480" s="232"/>
      <c r="BV1480" s="232"/>
      <c r="BW1480" s="232"/>
      <c r="BX1480" s="232"/>
      <c r="BY1480" s="232"/>
      <c r="BZ1480" s="232"/>
      <c r="CA1480" s="232"/>
      <c r="CB1480" s="232"/>
      <c r="CC1480" s="232"/>
      <c r="CD1480" s="232"/>
      <c r="CE1480" s="232"/>
      <c r="CF1480" s="232"/>
      <c r="CG1480" s="232"/>
      <c r="CH1480" s="232"/>
      <c r="CI1480" s="232"/>
      <c r="CJ1480" s="232"/>
      <c r="CK1480" s="232"/>
      <c r="CL1480" s="232"/>
      <c r="CM1480" s="232"/>
      <c r="CN1480" s="215"/>
      <c r="CO1480" s="215"/>
      <c r="CP1480" s="215"/>
      <c r="CQ1480" s="215"/>
      <c r="CR1480" s="215"/>
      <c r="CS1480" s="215"/>
      <c r="CT1480" s="215"/>
    </row>
    <row r="1481" ht="24.0" customHeight="1">
      <c r="A1481" s="287"/>
      <c r="B1481" s="287"/>
      <c r="C1481" s="287"/>
      <c r="D1481" s="232"/>
      <c r="E1481" s="232"/>
      <c r="F1481" s="232"/>
      <c r="G1481" s="232"/>
      <c r="H1481" s="232"/>
      <c r="I1481" s="232"/>
      <c r="J1481" s="232"/>
      <c r="K1481" s="232"/>
      <c r="L1481" s="232"/>
      <c r="M1481" s="232"/>
      <c r="N1481" s="289"/>
      <c r="O1481" s="232"/>
      <c r="P1481" s="232"/>
      <c r="Q1481" s="232"/>
      <c r="R1481" s="232"/>
      <c r="S1481" s="232"/>
      <c r="T1481" s="232"/>
      <c r="U1481" s="232"/>
      <c r="V1481" s="232"/>
      <c r="W1481" s="232"/>
      <c r="X1481" s="232"/>
      <c r="Y1481" s="232"/>
      <c r="Z1481" s="232"/>
      <c r="AA1481" s="232"/>
      <c r="AB1481" s="232"/>
      <c r="AC1481" s="232"/>
      <c r="AD1481" s="232"/>
      <c r="AE1481" s="232"/>
      <c r="AF1481" s="232"/>
      <c r="AG1481" s="232"/>
      <c r="AH1481" s="232"/>
      <c r="AI1481" s="232"/>
      <c r="AJ1481" s="232"/>
      <c r="AK1481" s="232"/>
      <c r="AL1481" s="232"/>
      <c r="AM1481" s="232"/>
      <c r="AN1481" s="232"/>
      <c r="AO1481" s="232"/>
      <c r="AP1481" s="232"/>
      <c r="AQ1481" s="232"/>
      <c r="AR1481" s="232"/>
      <c r="AS1481" s="232"/>
      <c r="AT1481" s="232"/>
      <c r="AU1481" s="232"/>
      <c r="AV1481" s="232"/>
      <c r="AW1481" s="232"/>
      <c r="AX1481" s="232"/>
      <c r="AY1481" s="232"/>
      <c r="AZ1481" s="232"/>
      <c r="BA1481" s="232"/>
      <c r="BB1481" s="232"/>
      <c r="BC1481" s="232"/>
      <c r="BD1481" s="232"/>
      <c r="BE1481" s="232"/>
      <c r="BF1481" s="232"/>
      <c r="BG1481" s="232"/>
      <c r="BH1481" s="232"/>
      <c r="BI1481" s="232"/>
      <c r="BJ1481" s="232"/>
      <c r="BK1481" s="232"/>
      <c r="BL1481" s="232"/>
      <c r="BM1481" s="232"/>
      <c r="BN1481" s="232"/>
      <c r="BO1481" s="232"/>
      <c r="BP1481" s="232"/>
      <c r="BQ1481" s="232"/>
      <c r="BR1481" s="232"/>
      <c r="BS1481" s="232"/>
      <c r="BT1481" s="232"/>
      <c r="BU1481" s="232"/>
      <c r="BV1481" s="232"/>
      <c r="BW1481" s="232"/>
      <c r="BX1481" s="232"/>
      <c r="BY1481" s="232"/>
      <c r="BZ1481" s="232"/>
      <c r="CA1481" s="232"/>
      <c r="CB1481" s="232"/>
      <c r="CC1481" s="232"/>
      <c r="CD1481" s="232"/>
      <c r="CE1481" s="232"/>
      <c r="CF1481" s="232"/>
      <c r="CG1481" s="232"/>
      <c r="CH1481" s="232"/>
      <c r="CI1481" s="232"/>
      <c r="CJ1481" s="232"/>
      <c r="CK1481" s="232"/>
      <c r="CL1481" s="232"/>
      <c r="CM1481" s="232"/>
      <c r="CN1481" s="215"/>
      <c r="CO1481" s="215"/>
      <c r="CP1481" s="215"/>
      <c r="CQ1481" s="215"/>
      <c r="CR1481" s="215"/>
      <c r="CS1481" s="215"/>
      <c r="CT1481" s="215"/>
    </row>
    <row r="1482" ht="24.0" customHeight="1">
      <c r="A1482" s="287"/>
      <c r="B1482" s="287"/>
      <c r="C1482" s="287"/>
      <c r="D1482" s="232"/>
      <c r="E1482" s="232"/>
      <c r="F1482" s="232"/>
      <c r="G1482" s="232"/>
      <c r="H1482" s="232"/>
      <c r="I1482" s="232"/>
      <c r="J1482" s="232"/>
      <c r="K1482" s="232"/>
      <c r="L1482" s="232"/>
      <c r="M1482" s="232"/>
      <c r="N1482" s="289"/>
      <c r="O1482" s="232"/>
      <c r="P1482" s="232"/>
      <c r="Q1482" s="232"/>
      <c r="R1482" s="232"/>
      <c r="S1482" s="232"/>
      <c r="T1482" s="232"/>
      <c r="U1482" s="232"/>
      <c r="V1482" s="232"/>
      <c r="W1482" s="232"/>
      <c r="X1482" s="232"/>
      <c r="Y1482" s="232"/>
      <c r="Z1482" s="232"/>
      <c r="AA1482" s="232"/>
      <c r="AB1482" s="232"/>
      <c r="AC1482" s="232"/>
      <c r="AD1482" s="232"/>
      <c r="AE1482" s="232"/>
      <c r="AF1482" s="232"/>
      <c r="AG1482" s="232"/>
      <c r="AH1482" s="232"/>
      <c r="AI1482" s="232"/>
      <c r="AJ1482" s="232"/>
      <c r="AK1482" s="232"/>
      <c r="AL1482" s="232"/>
      <c r="AM1482" s="232"/>
      <c r="AN1482" s="232"/>
      <c r="AO1482" s="232"/>
      <c r="AP1482" s="232"/>
      <c r="AQ1482" s="232"/>
      <c r="AR1482" s="232"/>
      <c r="AS1482" s="232"/>
      <c r="AT1482" s="232"/>
      <c r="AU1482" s="232"/>
      <c r="AV1482" s="232"/>
      <c r="AW1482" s="232"/>
      <c r="AX1482" s="232"/>
      <c r="AY1482" s="232"/>
      <c r="AZ1482" s="232"/>
      <c r="BA1482" s="232"/>
      <c r="BB1482" s="232"/>
      <c r="BC1482" s="232"/>
      <c r="BD1482" s="232"/>
      <c r="BE1482" s="232"/>
      <c r="BF1482" s="232"/>
      <c r="BG1482" s="232"/>
      <c r="BH1482" s="232"/>
      <c r="BI1482" s="232"/>
      <c r="BJ1482" s="232"/>
      <c r="BK1482" s="232"/>
      <c r="BL1482" s="232"/>
      <c r="BM1482" s="232"/>
      <c r="BN1482" s="232"/>
      <c r="BO1482" s="232"/>
      <c r="BP1482" s="232"/>
      <c r="BQ1482" s="232"/>
      <c r="BR1482" s="232"/>
      <c r="BS1482" s="232"/>
      <c r="BT1482" s="232"/>
      <c r="BU1482" s="232"/>
      <c r="BV1482" s="232"/>
      <c r="BW1482" s="232"/>
      <c r="BX1482" s="232"/>
      <c r="BY1482" s="232"/>
      <c r="BZ1482" s="232"/>
      <c r="CA1482" s="232"/>
      <c r="CB1482" s="232"/>
      <c r="CC1482" s="232"/>
      <c r="CD1482" s="232"/>
      <c r="CE1482" s="232"/>
      <c r="CF1482" s="232"/>
      <c r="CG1482" s="232"/>
      <c r="CH1482" s="232"/>
      <c r="CI1482" s="232"/>
      <c r="CJ1482" s="232"/>
      <c r="CK1482" s="232"/>
      <c r="CL1482" s="232"/>
      <c r="CM1482" s="232"/>
      <c r="CN1482" s="215"/>
      <c r="CO1482" s="215"/>
      <c r="CP1482" s="215"/>
      <c r="CQ1482" s="215"/>
      <c r="CR1482" s="215"/>
      <c r="CS1482" s="215"/>
      <c r="CT1482" s="215"/>
    </row>
    <row r="1483" ht="24.0" customHeight="1">
      <c r="A1483" s="287"/>
      <c r="B1483" s="287"/>
      <c r="C1483" s="287"/>
      <c r="D1483" s="232"/>
      <c r="E1483" s="232"/>
      <c r="F1483" s="232"/>
      <c r="G1483" s="232"/>
      <c r="H1483" s="232"/>
      <c r="I1483" s="232"/>
      <c r="J1483" s="232"/>
      <c r="K1483" s="232"/>
      <c r="L1483" s="232"/>
      <c r="M1483" s="232"/>
      <c r="N1483" s="289"/>
      <c r="O1483" s="232"/>
      <c r="P1483" s="232"/>
      <c r="Q1483" s="232"/>
      <c r="R1483" s="232"/>
      <c r="S1483" s="232"/>
      <c r="T1483" s="232"/>
      <c r="U1483" s="232"/>
      <c r="V1483" s="232"/>
      <c r="W1483" s="232"/>
      <c r="X1483" s="232"/>
      <c r="Y1483" s="232"/>
      <c r="Z1483" s="232"/>
      <c r="AA1483" s="232"/>
      <c r="AB1483" s="232"/>
      <c r="AC1483" s="232"/>
      <c r="AD1483" s="232"/>
      <c r="AE1483" s="232"/>
      <c r="AF1483" s="232"/>
      <c r="AG1483" s="232"/>
      <c r="AH1483" s="232"/>
      <c r="AI1483" s="232"/>
      <c r="AJ1483" s="232"/>
      <c r="AK1483" s="232"/>
      <c r="AL1483" s="232"/>
      <c r="AM1483" s="232"/>
      <c r="AN1483" s="232"/>
      <c r="AO1483" s="232"/>
      <c r="AP1483" s="232"/>
      <c r="AQ1483" s="232"/>
      <c r="AR1483" s="232"/>
      <c r="AS1483" s="232"/>
      <c r="AT1483" s="232"/>
      <c r="AU1483" s="232"/>
      <c r="AV1483" s="232"/>
      <c r="AW1483" s="232"/>
      <c r="AX1483" s="232"/>
      <c r="AY1483" s="232"/>
      <c r="AZ1483" s="232"/>
      <c r="BA1483" s="232"/>
      <c r="BB1483" s="232"/>
      <c r="BC1483" s="232"/>
      <c r="BD1483" s="232"/>
      <c r="BE1483" s="232"/>
      <c r="BF1483" s="232"/>
      <c r="BG1483" s="232"/>
      <c r="BH1483" s="232"/>
      <c r="BI1483" s="232"/>
      <c r="BJ1483" s="232"/>
      <c r="BK1483" s="232"/>
      <c r="BL1483" s="232"/>
      <c r="BM1483" s="232"/>
      <c r="BN1483" s="232"/>
      <c r="BO1483" s="232"/>
      <c r="BP1483" s="232"/>
      <c r="BQ1483" s="232"/>
      <c r="BR1483" s="232"/>
      <c r="BS1483" s="232"/>
      <c r="BT1483" s="232"/>
      <c r="BU1483" s="232"/>
      <c r="BV1483" s="232"/>
      <c r="BW1483" s="232"/>
      <c r="BX1483" s="232"/>
      <c r="BY1483" s="232"/>
      <c r="BZ1483" s="232"/>
      <c r="CA1483" s="232"/>
      <c r="CB1483" s="232"/>
      <c r="CC1483" s="232"/>
      <c r="CD1483" s="232"/>
      <c r="CE1483" s="232"/>
      <c r="CF1483" s="232"/>
      <c r="CG1483" s="232"/>
      <c r="CH1483" s="232"/>
      <c r="CI1483" s="232"/>
      <c r="CJ1483" s="232"/>
      <c r="CK1483" s="232"/>
      <c r="CL1483" s="232"/>
      <c r="CM1483" s="232"/>
      <c r="CN1483" s="215"/>
      <c r="CO1483" s="215"/>
      <c r="CP1483" s="215"/>
      <c r="CQ1483" s="215"/>
      <c r="CR1483" s="215"/>
      <c r="CS1483" s="215"/>
      <c r="CT1483" s="215"/>
    </row>
    <row r="1484" ht="24.0" customHeight="1">
      <c r="A1484" s="287"/>
      <c r="B1484" s="287"/>
      <c r="C1484" s="287"/>
      <c r="D1484" s="232"/>
      <c r="E1484" s="232"/>
      <c r="F1484" s="232"/>
      <c r="G1484" s="232"/>
      <c r="H1484" s="232"/>
      <c r="I1484" s="232"/>
      <c r="J1484" s="232"/>
      <c r="K1484" s="232"/>
      <c r="L1484" s="232"/>
      <c r="M1484" s="232"/>
      <c r="N1484" s="289"/>
      <c r="O1484" s="232"/>
      <c r="P1484" s="232"/>
      <c r="Q1484" s="232"/>
      <c r="R1484" s="232"/>
      <c r="S1484" s="232"/>
      <c r="T1484" s="232"/>
      <c r="U1484" s="232"/>
      <c r="V1484" s="232"/>
      <c r="W1484" s="232"/>
      <c r="X1484" s="232"/>
      <c r="Y1484" s="232"/>
      <c r="Z1484" s="232"/>
      <c r="AA1484" s="232"/>
      <c r="AB1484" s="232"/>
      <c r="AC1484" s="232"/>
      <c r="AD1484" s="232"/>
      <c r="AE1484" s="232"/>
      <c r="AF1484" s="232"/>
      <c r="AG1484" s="232"/>
      <c r="AH1484" s="232"/>
      <c r="AI1484" s="232"/>
      <c r="AJ1484" s="232"/>
      <c r="AK1484" s="232"/>
      <c r="AL1484" s="232"/>
      <c r="AM1484" s="232"/>
      <c r="AN1484" s="232"/>
      <c r="AO1484" s="232"/>
      <c r="AP1484" s="232"/>
      <c r="AQ1484" s="232"/>
      <c r="AR1484" s="232"/>
      <c r="AS1484" s="232"/>
      <c r="AT1484" s="232"/>
      <c r="AU1484" s="232"/>
      <c r="AV1484" s="232"/>
      <c r="AW1484" s="232"/>
      <c r="AX1484" s="232"/>
      <c r="AY1484" s="232"/>
      <c r="AZ1484" s="232"/>
      <c r="BA1484" s="232"/>
      <c r="BB1484" s="232"/>
      <c r="BC1484" s="232"/>
      <c r="BD1484" s="232"/>
      <c r="BE1484" s="232"/>
      <c r="BF1484" s="232"/>
      <c r="BG1484" s="232"/>
      <c r="BH1484" s="232"/>
      <c r="BI1484" s="232"/>
      <c r="BJ1484" s="232"/>
      <c r="BK1484" s="232"/>
      <c r="BL1484" s="232"/>
      <c r="BM1484" s="232"/>
      <c r="BN1484" s="232"/>
      <c r="BO1484" s="232"/>
      <c r="BP1484" s="232"/>
      <c r="BQ1484" s="232"/>
      <c r="BR1484" s="232"/>
      <c r="BS1484" s="232"/>
      <c r="BT1484" s="232"/>
      <c r="BU1484" s="232"/>
      <c r="BV1484" s="232"/>
      <c r="BW1484" s="232"/>
      <c r="BX1484" s="232"/>
      <c r="BY1484" s="232"/>
      <c r="BZ1484" s="232"/>
      <c r="CA1484" s="232"/>
      <c r="CB1484" s="232"/>
      <c r="CC1484" s="232"/>
      <c r="CD1484" s="232"/>
      <c r="CE1484" s="232"/>
      <c r="CF1484" s="232"/>
      <c r="CG1484" s="232"/>
      <c r="CH1484" s="232"/>
      <c r="CI1484" s="232"/>
      <c r="CJ1484" s="232"/>
      <c r="CK1484" s="232"/>
      <c r="CL1484" s="232"/>
      <c r="CM1484" s="232"/>
      <c r="CN1484" s="215"/>
      <c r="CO1484" s="215"/>
      <c r="CP1484" s="215"/>
      <c r="CQ1484" s="215"/>
      <c r="CR1484" s="215"/>
      <c r="CS1484" s="215"/>
      <c r="CT1484" s="215"/>
    </row>
    <row r="1485" ht="24.0" customHeight="1">
      <c r="A1485" s="287"/>
      <c r="B1485" s="287"/>
      <c r="C1485" s="287"/>
      <c r="D1485" s="232"/>
      <c r="E1485" s="232"/>
      <c r="F1485" s="232"/>
      <c r="G1485" s="232"/>
      <c r="H1485" s="232"/>
      <c r="I1485" s="232"/>
      <c r="J1485" s="232"/>
      <c r="K1485" s="232"/>
      <c r="L1485" s="232"/>
      <c r="M1485" s="232"/>
      <c r="N1485" s="289"/>
      <c r="O1485" s="232"/>
      <c r="P1485" s="232"/>
      <c r="Q1485" s="232"/>
      <c r="R1485" s="232"/>
      <c r="S1485" s="232"/>
      <c r="T1485" s="232"/>
      <c r="U1485" s="232"/>
      <c r="V1485" s="232"/>
      <c r="W1485" s="232"/>
      <c r="X1485" s="232"/>
      <c r="Y1485" s="232"/>
      <c r="Z1485" s="232"/>
      <c r="AA1485" s="232"/>
      <c r="AB1485" s="232"/>
      <c r="AC1485" s="232"/>
      <c r="AD1485" s="232"/>
      <c r="AE1485" s="232"/>
      <c r="AF1485" s="232"/>
      <c r="AG1485" s="232"/>
      <c r="AH1485" s="232"/>
      <c r="AI1485" s="232"/>
      <c r="AJ1485" s="232"/>
      <c r="AK1485" s="232"/>
      <c r="AL1485" s="232"/>
      <c r="AM1485" s="232"/>
      <c r="AN1485" s="232"/>
      <c r="AO1485" s="232"/>
      <c r="AP1485" s="232"/>
      <c r="AQ1485" s="232"/>
      <c r="AR1485" s="232"/>
      <c r="AS1485" s="232"/>
      <c r="AT1485" s="232"/>
      <c r="AU1485" s="232"/>
      <c r="AV1485" s="232"/>
      <c r="AW1485" s="232"/>
      <c r="AX1485" s="232"/>
      <c r="AY1485" s="232"/>
      <c r="AZ1485" s="232"/>
      <c r="BA1485" s="232"/>
      <c r="BB1485" s="232"/>
      <c r="BC1485" s="232"/>
      <c r="BD1485" s="232"/>
      <c r="BE1485" s="232"/>
      <c r="BF1485" s="232"/>
      <c r="BG1485" s="232"/>
      <c r="BH1485" s="232"/>
      <c r="BI1485" s="232"/>
      <c r="BJ1485" s="232"/>
      <c r="BK1485" s="232"/>
      <c r="BL1485" s="232"/>
      <c r="BM1485" s="232"/>
      <c r="BN1485" s="232"/>
      <c r="BO1485" s="232"/>
      <c r="BP1485" s="232"/>
      <c r="BQ1485" s="232"/>
      <c r="BR1485" s="232"/>
      <c r="BS1485" s="232"/>
      <c r="BT1485" s="232"/>
      <c r="BU1485" s="232"/>
      <c r="BV1485" s="232"/>
      <c r="BW1485" s="232"/>
      <c r="BX1485" s="232"/>
      <c r="BY1485" s="232"/>
      <c r="BZ1485" s="232"/>
      <c r="CA1485" s="232"/>
      <c r="CB1485" s="232"/>
      <c r="CC1485" s="232"/>
      <c r="CD1485" s="232"/>
      <c r="CE1485" s="232"/>
      <c r="CF1485" s="232"/>
      <c r="CG1485" s="232"/>
      <c r="CH1485" s="232"/>
      <c r="CI1485" s="232"/>
      <c r="CJ1485" s="232"/>
      <c r="CK1485" s="232"/>
      <c r="CL1485" s="232"/>
      <c r="CM1485" s="232"/>
      <c r="CN1485" s="215"/>
      <c r="CO1485" s="215"/>
      <c r="CP1485" s="215"/>
      <c r="CQ1485" s="215"/>
      <c r="CR1485" s="215"/>
      <c r="CS1485" s="215"/>
      <c r="CT1485" s="215"/>
    </row>
    <row r="1486" ht="24.0" customHeight="1">
      <c r="A1486" s="287"/>
      <c r="B1486" s="287"/>
      <c r="C1486" s="287"/>
      <c r="D1486" s="232"/>
      <c r="E1486" s="232"/>
      <c r="F1486" s="232"/>
      <c r="G1486" s="232"/>
      <c r="H1486" s="232"/>
      <c r="I1486" s="232"/>
      <c r="J1486" s="232"/>
      <c r="K1486" s="232"/>
      <c r="L1486" s="232"/>
      <c r="M1486" s="232"/>
      <c r="N1486" s="289"/>
      <c r="O1486" s="232"/>
      <c r="P1486" s="232"/>
      <c r="Q1486" s="232"/>
      <c r="R1486" s="232"/>
      <c r="S1486" s="232"/>
      <c r="T1486" s="232"/>
      <c r="U1486" s="232"/>
      <c r="V1486" s="232"/>
      <c r="W1486" s="232"/>
      <c r="X1486" s="232"/>
      <c r="Y1486" s="232"/>
      <c r="Z1486" s="232"/>
      <c r="AA1486" s="232"/>
      <c r="AB1486" s="232"/>
      <c r="AC1486" s="232"/>
      <c r="AD1486" s="232"/>
      <c r="AE1486" s="232"/>
      <c r="AF1486" s="232"/>
      <c r="AG1486" s="232"/>
      <c r="AH1486" s="232"/>
      <c r="AI1486" s="232"/>
      <c r="AJ1486" s="232"/>
      <c r="AK1486" s="232"/>
      <c r="AL1486" s="232"/>
      <c r="AM1486" s="232"/>
      <c r="AN1486" s="232"/>
      <c r="AO1486" s="232"/>
      <c r="AP1486" s="232"/>
      <c r="AQ1486" s="232"/>
      <c r="AR1486" s="232"/>
      <c r="AS1486" s="232"/>
      <c r="AT1486" s="232"/>
      <c r="AU1486" s="232"/>
      <c r="AV1486" s="232"/>
      <c r="AW1486" s="232"/>
      <c r="AX1486" s="232"/>
      <c r="AY1486" s="232"/>
      <c r="AZ1486" s="232"/>
      <c r="BA1486" s="232"/>
      <c r="BB1486" s="232"/>
      <c r="BC1486" s="232"/>
      <c r="BD1486" s="232"/>
      <c r="BE1486" s="232"/>
      <c r="BF1486" s="232"/>
      <c r="BG1486" s="232"/>
      <c r="BH1486" s="232"/>
      <c r="BI1486" s="232"/>
      <c r="BJ1486" s="232"/>
      <c r="BK1486" s="232"/>
      <c r="BL1486" s="232"/>
      <c r="BM1486" s="232"/>
      <c r="BN1486" s="232"/>
      <c r="BO1486" s="232"/>
      <c r="BP1486" s="232"/>
      <c r="BQ1486" s="232"/>
      <c r="BR1486" s="232"/>
      <c r="BS1486" s="232"/>
      <c r="BT1486" s="232"/>
      <c r="BU1486" s="232"/>
      <c r="BV1486" s="232"/>
      <c r="BW1486" s="232"/>
      <c r="BX1486" s="232"/>
      <c r="BY1486" s="232"/>
      <c r="BZ1486" s="232"/>
      <c r="CA1486" s="232"/>
      <c r="CB1486" s="232"/>
      <c r="CC1486" s="232"/>
      <c r="CD1486" s="232"/>
      <c r="CE1486" s="232"/>
      <c r="CF1486" s="232"/>
      <c r="CG1486" s="232"/>
      <c r="CH1486" s="232"/>
      <c r="CI1486" s="232"/>
      <c r="CJ1486" s="232"/>
      <c r="CK1486" s="232"/>
      <c r="CL1486" s="232"/>
      <c r="CM1486" s="232"/>
      <c r="CN1486" s="215"/>
      <c r="CO1486" s="215"/>
      <c r="CP1486" s="215"/>
      <c r="CQ1486" s="215"/>
      <c r="CR1486" s="215"/>
      <c r="CS1486" s="215"/>
      <c r="CT1486" s="215"/>
    </row>
    <row r="1487" ht="24.0" customHeight="1">
      <c r="A1487" s="287"/>
      <c r="B1487" s="287"/>
      <c r="C1487" s="287"/>
      <c r="D1487" s="232"/>
      <c r="E1487" s="232"/>
      <c r="F1487" s="232"/>
      <c r="G1487" s="232"/>
      <c r="H1487" s="232"/>
      <c r="I1487" s="232"/>
      <c r="J1487" s="232"/>
      <c r="K1487" s="232"/>
      <c r="L1487" s="232"/>
      <c r="M1487" s="232"/>
      <c r="N1487" s="289"/>
      <c r="O1487" s="232"/>
      <c r="P1487" s="232"/>
      <c r="Q1487" s="232"/>
      <c r="R1487" s="232"/>
      <c r="S1487" s="232"/>
      <c r="T1487" s="232"/>
      <c r="U1487" s="232"/>
      <c r="V1487" s="232"/>
      <c r="W1487" s="232"/>
      <c r="X1487" s="232"/>
      <c r="Y1487" s="232"/>
      <c r="Z1487" s="232"/>
      <c r="AA1487" s="232"/>
      <c r="AB1487" s="232"/>
      <c r="AC1487" s="232"/>
      <c r="AD1487" s="232"/>
      <c r="AE1487" s="232"/>
      <c r="AF1487" s="232"/>
      <c r="AG1487" s="232"/>
      <c r="AH1487" s="232"/>
      <c r="AI1487" s="232"/>
      <c r="AJ1487" s="232"/>
      <c r="AK1487" s="232"/>
      <c r="AL1487" s="232"/>
      <c r="AM1487" s="232"/>
      <c r="AN1487" s="232"/>
      <c r="AO1487" s="232"/>
      <c r="AP1487" s="232"/>
      <c r="AQ1487" s="232"/>
      <c r="AR1487" s="232"/>
      <c r="AS1487" s="232"/>
      <c r="AT1487" s="232"/>
      <c r="AU1487" s="232"/>
      <c r="AV1487" s="232"/>
      <c r="AW1487" s="232"/>
      <c r="AX1487" s="232"/>
      <c r="AY1487" s="232"/>
      <c r="AZ1487" s="232"/>
      <c r="BA1487" s="232"/>
      <c r="BB1487" s="232"/>
      <c r="BC1487" s="232"/>
      <c r="BD1487" s="232"/>
      <c r="BE1487" s="232"/>
      <c r="BF1487" s="232"/>
      <c r="BG1487" s="232"/>
      <c r="BH1487" s="232"/>
      <c r="BI1487" s="232"/>
      <c r="BJ1487" s="232"/>
      <c r="BK1487" s="232"/>
      <c r="BL1487" s="232"/>
      <c r="BM1487" s="232"/>
      <c r="BN1487" s="232"/>
      <c r="BO1487" s="232"/>
      <c r="BP1487" s="232"/>
      <c r="BQ1487" s="232"/>
      <c r="BR1487" s="232"/>
      <c r="BS1487" s="232"/>
      <c r="BT1487" s="232"/>
      <c r="BU1487" s="232"/>
      <c r="BV1487" s="232"/>
      <c r="BW1487" s="232"/>
      <c r="BX1487" s="232"/>
      <c r="BY1487" s="232"/>
      <c r="BZ1487" s="232"/>
      <c r="CA1487" s="232"/>
      <c r="CB1487" s="232"/>
      <c r="CC1487" s="232"/>
      <c r="CD1487" s="232"/>
      <c r="CE1487" s="232"/>
      <c r="CF1487" s="232"/>
      <c r="CG1487" s="232"/>
      <c r="CH1487" s="232"/>
      <c r="CI1487" s="232"/>
      <c r="CJ1487" s="232"/>
      <c r="CK1487" s="232"/>
      <c r="CL1487" s="232"/>
      <c r="CM1487" s="232"/>
      <c r="CN1487" s="215"/>
      <c r="CO1487" s="215"/>
      <c r="CP1487" s="215"/>
      <c r="CQ1487" s="215"/>
      <c r="CR1487" s="215"/>
      <c r="CS1487" s="215"/>
      <c r="CT1487" s="215"/>
    </row>
    <row r="1488" ht="24.0" customHeight="1">
      <c r="A1488" s="287"/>
      <c r="B1488" s="287"/>
      <c r="C1488" s="287"/>
      <c r="D1488" s="232"/>
      <c r="E1488" s="232"/>
      <c r="F1488" s="232"/>
      <c r="G1488" s="232"/>
      <c r="H1488" s="232"/>
      <c r="I1488" s="232"/>
      <c r="J1488" s="232"/>
      <c r="K1488" s="232"/>
      <c r="L1488" s="232"/>
      <c r="M1488" s="232"/>
      <c r="N1488" s="289"/>
      <c r="O1488" s="232"/>
      <c r="P1488" s="232"/>
      <c r="Q1488" s="232"/>
      <c r="R1488" s="232"/>
      <c r="S1488" s="232"/>
      <c r="T1488" s="232"/>
      <c r="U1488" s="232"/>
      <c r="V1488" s="232"/>
      <c r="W1488" s="232"/>
      <c r="X1488" s="232"/>
      <c r="Y1488" s="232"/>
      <c r="Z1488" s="232"/>
      <c r="AA1488" s="232"/>
      <c r="AB1488" s="232"/>
      <c r="AC1488" s="232"/>
      <c r="AD1488" s="232"/>
      <c r="AE1488" s="232"/>
      <c r="AF1488" s="232"/>
      <c r="AG1488" s="232"/>
      <c r="AH1488" s="232"/>
      <c r="AI1488" s="232"/>
      <c r="AJ1488" s="232"/>
      <c r="AK1488" s="232"/>
      <c r="AL1488" s="232"/>
      <c r="AM1488" s="232"/>
      <c r="AN1488" s="232"/>
      <c r="AO1488" s="232"/>
      <c r="AP1488" s="232"/>
      <c r="AQ1488" s="232"/>
      <c r="AR1488" s="232"/>
      <c r="AS1488" s="232"/>
      <c r="AT1488" s="232"/>
      <c r="AU1488" s="232"/>
      <c r="AV1488" s="232"/>
      <c r="AW1488" s="232"/>
      <c r="AX1488" s="232"/>
      <c r="AY1488" s="232"/>
      <c r="AZ1488" s="232"/>
      <c r="BA1488" s="232"/>
      <c r="BB1488" s="232"/>
      <c r="BC1488" s="232"/>
      <c r="BD1488" s="232"/>
      <c r="BE1488" s="232"/>
      <c r="BF1488" s="232"/>
      <c r="BG1488" s="232"/>
      <c r="BH1488" s="232"/>
      <c r="BI1488" s="232"/>
      <c r="BJ1488" s="232"/>
      <c r="BK1488" s="232"/>
      <c r="BL1488" s="232"/>
      <c r="BM1488" s="232"/>
      <c r="BN1488" s="232"/>
      <c r="BO1488" s="232"/>
      <c r="BP1488" s="232"/>
      <c r="BQ1488" s="232"/>
      <c r="BR1488" s="232"/>
      <c r="BS1488" s="232"/>
      <c r="BT1488" s="232"/>
      <c r="BU1488" s="232"/>
      <c r="BV1488" s="232"/>
      <c r="BW1488" s="232"/>
      <c r="BX1488" s="232"/>
      <c r="BY1488" s="232"/>
      <c r="BZ1488" s="232"/>
      <c r="CA1488" s="232"/>
      <c r="CB1488" s="232"/>
      <c r="CC1488" s="232"/>
      <c r="CD1488" s="232"/>
      <c r="CE1488" s="232"/>
      <c r="CF1488" s="232"/>
      <c r="CG1488" s="232"/>
      <c r="CH1488" s="232"/>
      <c r="CI1488" s="232"/>
      <c r="CJ1488" s="232"/>
      <c r="CK1488" s="232"/>
      <c r="CL1488" s="232"/>
      <c r="CM1488" s="232"/>
      <c r="CN1488" s="215"/>
      <c r="CO1488" s="215"/>
      <c r="CP1488" s="215"/>
      <c r="CQ1488" s="215"/>
      <c r="CR1488" s="215"/>
      <c r="CS1488" s="215"/>
      <c r="CT1488" s="215"/>
    </row>
    <row r="1489" ht="24.0" customHeight="1">
      <c r="A1489" s="287"/>
      <c r="B1489" s="287"/>
      <c r="C1489" s="287"/>
      <c r="D1489" s="232"/>
      <c r="E1489" s="232"/>
      <c r="F1489" s="232"/>
      <c r="G1489" s="232"/>
      <c r="H1489" s="232"/>
      <c r="I1489" s="232"/>
      <c r="J1489" s="232"/>
      <c r="K1489" s="232"/>
      <c r="L1489" s="232"/>
      <c r="M1489" s="232"/>
      <c r="N1489" s="289"/>
      <c r="O1489" s="232"/>
      <c r="P1489" s="232"/>
      <c r="Q1489" s="232"/>
      <c r="R1489" s="232"/>
      <c r="S1489" s="232"/>
      <c r="T1489" s="232"/>
      <c r="U1489" s="232"/>
      <c r="V1489" s="232"/>
      <c r="W1489" s="232"/>
      <c r="X1489" s="232"/>
      <c r="Y1489" s="232"/>
      <c r="Z1489" s="232"/>
      <c r="AA1489" s="232"/>
      <c r="AB1489" s="232"/>
      <c r="AC1489" s="232"/>
      <c r="AD1489" s="232"/>
      <c r="AE1489" s="232"/>
      <c r="AF1489" s="232"/>
      <c r="AG1489" s="232"/>
      <c r="AH1489" s="232"/>
      <c r="AI1489" s="232"/>
      <c r="AJ1489" s="232"/>
      <c r="AK1489" s="232"/>
      <c r="AL1489" s="232"/>
      <c r="AM1489" s="232"/>
      <c r="AN1489" s="232"/>
      <c r="AO1489" s="232"/>
      <c r="AP1489" s="232"/>
      <c r="AQ1489" s="232"/>
      <c r="AR1489" s="232"/>
      <c r="AS1489" s="232"/>
      <c r="AT1489" s="232"/>
      <c r="AU1489" s="232"/>
      <c r="AV1489" s="232"/>
      <c r="AW1489" s="232"/>
      <c r="AX1489" s="232"/>
      <c r="AY1489" s="232"/>
      <c r="AZ1489" s="232"/>
      <c r="BA1489" s="232"/>
      <c r="BB1489" s="232"/>
      <c r="BC1489" s="232"/>
      <c r="BD1489" s="232"/>
      <c r="BE1489" s="232"/>
      <c r="BF1489" s="232"/>
      <c r="BG1489" s="232"/>
      <c r="BH1489" s="232"/>
      <c r="BI1489" s="232"/>
      <c r="BJ1489" s="232"/>
      <c r="BK1489" s="232"/>
      <c r="BL1489" s="232"/>
      <c r="BM1489" s="232"/>
      <c r="BN1489" s="232"/>
      <c r="BO1489" s="232"/>
      <c r="BP1489" s="232"/>
      <c r="BQ1489" s="232"/>
      <c r="BR1489" s="232"/>
      <c r="BS1489" s="232"/>
      <c r="BT1489" s="232"/>
      <c r="BU1489" s="232"/>
      <c r="BV1489" s="232"/>
      <c r="BW1489" s="232"/>
      <c r="BX1489" s="232"/>
      <c r="BY1489" s="232"/>
      <c r="BZ1489" s="232"/>
      <c r="CA1489" s="232"/>
      <c r="CB1489" s="232"/>
      <c r="CC1489" s="232"/>
      <c r="CD1489" s="232"/>
      <c r="CE1489" s="232"/>
      <c r="CF1489" s="232"/>
      <c r="CG1489" s="232"/>
      <c r="CH1489" s="232"/>
      <c r="CI1489" s="232"/>
      <c r="CJ1489" s="232"/>
      <c r="CK1489" s="232"/>
      <c r="CL1489" s="232"/>
      <c r="CM1489" s="232"/>
      <c r="CN1489" s="215"/>
      <c r="CO1489" s="215"/>
      <c r="CP1489" s="215"/>
      <c r="CQ1489" s="215"/>
      <c r="CR1489" s="215"/>
      <c r="CS1489" s="215"/>
      <c r="CT1489" s="215"/>
    </row>
    <row r="1490" ht="24.0" customHeight="1">
      <c r="A1490" s="287"/>
      <c r="B1490" s="287"/>
      <c r="C1490" s="287"/>
      <c r="D1490" s="232"/>
      <c r="E1490" s="232"/>
      <c r="F1490" s="232"/>
      <c r="G1490" s="232"/>
      <c r="H1490" s="232"/>
      <c r="I1490" s="232"/>
      <c r="J1490" s="232"/>
      <c r="K1490" s="232"/>
      <c r="L1490" s="232"/>
      <c r="M1490" s="232"/>
      <c r="N1490" s="289"/>
      <c r="O1490" s="232"/>
      <c r="P1490" s="232"/>
      <c r="Q1490" s="232"/>
      <c r="R1490" s="232"/>
      <c r="S1490" s="232"/>
      <c r="T1490" s="232"/>
      <c r="U1490" s="232"/>
      <c r="V1490" s="232"/>
      <c r="W1490" s="232"/>
      <c r="X1490" s="232"/>
      <c r="Y1490" s="232"/>
      <c r="Z1490" s="232"/>
      <c r="AA1490" s="232"/>
      <c r="AB1490" s="232"/>
      <c r="AC1490" s="232"/>
      <c r="AD1490" s="232"/>
      <c r="AE1490" s="232"/>
      <c r="AF1490" s="232"/>
      <c r="AG1490" s="232"/>
      <c r="AH1490" s="232"/>
      <c r="AI1490" s="232"/>
      <c r="AJ1490" s="232"/>
      <c r="AK1490" s="232"/>
      <c r="AL1490" s="232"/>
      <c r="AM1490" s="232"/>
      <c r="AN1490" s="232"/>
      <c r="AO1490" s="232"/>
      <c r="AP1490" s="232"/>
      <c r="AQ1490" s="232"/>
      <c r="AR1490" s="232"/>
      <c r="AS1490" s="232"/>
      <c r="AT1490" s="232"/>
      <c r="AU1490" s="232"/>
      <c r="AV1490" s="232"/>
      <c r="AW1490" s="232"/>
      <c r="AX1490" s="232"/>
      <c r="AY1490" s="232"/>
      <c r="AZ1490" s="232"/>
      <c r="BA1490" s="232"/>
      <c r="BB1490" s="232"/>
      <c r="BC1490" s="232"/>
      <c r="BD1490" s="232"/>
      <c r="BE1490" s="232"/>
      <c r="BF1490" s="232"/>
      <c r="BG1490" s="232"/>
      <c r="BH1490" s="232"/>
      <c r="BI1490" s="232"/>
      <c r="BJ1490" s="232"/>
      <c r="BK1490" s="232"/>
      <c r="BL1490" s="232"/>
      <c r="BM1490" s="232"/>
      <c r="BN1490" s="232"/>
      <c r="BO1490" s="232"/>
      <c r="BP1490" s="232"/>
      <c r="BQ1490" s="232"/>
      <c r="BR1490" s="232"/>
      <c r="BS1490" s="232"/>
      <c r="BT1490" s="232"/>
      <c r="BU1490" s="232"/>
      <c r="BV1490" s="232"/>
      <c r="BW1490" s="232"/>
      <c r="BX1490" s="232"/>
      <c r="BY1490" s="232"/>
      <c r="BZ1490" s="232"/>
      <c r="CA1490" s="232"/>
      <c r="CB1490" s="232"/>
      <c r="CC1490" s="232"/>
      <c r="CD1490" s="232"/>
      <c r="CE1490" s="232"/>
      <c r="CF1490" s="232"/>
      <c r="CG1490" s="232"/>
      <c r="CH1490" s="232"/>
      <c r="CI1490" s="232"/>
      <c r="CJ1490" s="232"/>
      <c r="CK1490" s="232"/>
      <c r="CL1490" s="232"/>
      <c r="CM1490" s="232"/>
      <c r="CN1490" s="215"/>
      <c r="CO1490" s="215"/>
      <c r="CP1490" s="215"/>
      <c r="CQ1490" s="215"/>
      <c r="CR1490" s="215"/>
      <c r="CS1490" s="215"/>
      <c r="CT1490" s="215"/>
    </row>
    <row r="1491" ht="24.0" customHeight="1">
      <c r="A1491" s="287"/>
      <c r="B1491" s="287"/>
      <c r="C1491" s="287"/>
      <c r="D1491" s="232"/>
      <c r="E1491" s="232"/>
      <c r="F1491" s="232"/>
      <c r="G1491" s="232"/>
      <c r="H1491" s="232"/>
      <c r="I1491" s="232"/>
      <c r="J1491" s="232"/>
      <c r="K1491" s="232"/>
      <c r="L1491" s="232"/>
      <c r="M1491" s="232"/>
      <c r="N1491" s="289"/>
      <c r="O1491" s="232"/>
      <c r="P1491" s="232"/>
      <c r="Q1491" s="232"/>
      <c r="R1491" s="232"/>
      <c r="S1491" s="232"/>
      <c r="T1491" s="232"/>
      <c r="U1491" s="232"/>
      <c r="V1491" s="232"/>
      <c r="W1491" s="232"/>
      <c r="X1491" s="232"/>
      <c r="Y1491" s="232"/>
      <c r="Z1491" s="232"/>
      <c r="AA1491" s="232"/>
      <c r="AB1491" s="232"/>
      <c r="AC1491" s="232"/>
      <c r="AD1491" s="232"/>
      <c r="AE1491" s="232"/>
      <c r="AF1491" s="232"/>
      <c r="AG1491" s="232"/>
      <c r="AH1491" s="232"/>
      <c r="AI1491" s="232"/>
      <c r="AJ1491" s="232"/>
      <c r="AK1491" s="232"/>
      <c r="AL1491" s="232"/>
      <c r="AM1491" s="232"/>
      <c r="AN1491" s="232"/>
      <c r="AO1491" s="232"/>
      <c r="AP1491" s="232"/>
      <c r="AQ1491" s="232"/>
      <c r="AR1491" s="232"/>
      <c r="AS1491" s="232"/>
      <c r="AT1491" s="232"/>
      <c r="AU1491" s="232"/>
      <c r="AV1491" s="232"/>
      <c r="AW1491" s="232"/>
      <c r="AX1491" s="232"/>
      <c r="AY1491" s="232"/>
      <c r="AZ1491" s="232"/>
      <c r="BA1491" s="232"/>
      <c r="BB1491" s="232"/>
      <c r="BC1491" s="232"/>
      <c r="BD1491" s="232"/>
      <c r="BE1491" s="232"/>
      <c r="BF1491" s="232"/>
      <c r="BG1491" s="232"/>
      <c r="BH1491" s="232"/>
      <c r="BI1491" s="232"/>
      <c r="BJ1491" s="232"/>
      <c r="BK1491" s="232"/>
      <c r="BL1491" s="232"/>
      <c r="BM1491" s="232"/>
      <c r="BN1491" s="232"/>
      <c r="BO1491" s="232"/>
      <c r="BP1491" s="232"/>
      <c r="BQ1491" s="232"/>
      <c r="BR1491" s="232"/>
      <c r="BS1491" s="232"/>
      <c r="BT1491" s="232"/>
      <c r="BU1491" s="232"/>
      <c r="BV1491" s="232"/>
      <c r="BW1491" s="232"/>
      <c r="BX1491" s="232"/>
      <c r="BY1491" s="232"/>
      <c r="BZ1491" s="232"/>
      <c r="CA1491" s="232"/>
      <c r="CB1491" s="232"/>
      <c r="CC1491" s="232"/>
      <c r="CD1491" s="232"/>
      <c r="CE1491" s="232"/>
      <c r="CF1491" s="232"/>
      <c r="CG1491" s="232"/>
      <c r="CH1491" s="232"/>
      <c r="CI1491" s="232"/>
      <c r="CJ1491" s="232"/>
      <c r="CK1491" s="232"/>
      <c r="CL1491" s="232"/>
      <c r="CM1491" s="232"/>
      <c r="CN1491" s="215"/>
      <c r="CO1491" s="215"/>
      <c r="CP1491" s="215"/>
      <c r="CQ1491" s="215"/>
      <c r="CR1491" s="215"/>
      <c r="CS1491" s="215"/>
      <c r="CT1491" s="215"/>
    </row>
    <row r="1492" ht="24.0" customHeight="1">
      <c r="A1492" s="287"/>
      <c r="B1492" s="287"/>
      <c r="C1492" s="287"/>
      <c r="D1492" s="232"/>
      <c r="E1492" s="232"/>
      <c r="F1492" s="232"/>
      <c r="G1492" s="232"/>
      <c r="H1492" s="232"/>
      <c r="I1492" s="232"/>
      <c r="J1492" s="232"/>
      <c r="K1492" s="232"/>
      <c r="L1492" s="232"/>
      <c r="M1492" s="232"/>
      <c r="N1492" s="289"/>
      <c r="O1492" s="232"/>
      <c r="P1492" s="232"/>
      <c r="Q1492" s="232"/>
      <c r="R1492" s="232"/>
      <c r="S1492" s="232"/>
      <c r="T1492" s="232"/>
      <c r="U1492" s="232"/>
      <c r="V1492" s="232"/>
      <c r="W1492" s="232"/>
      <c r="X1492" s="232"/>
      <c r="Y1492" s="232"/>
      <c r="Z1492" s="232"/>
      <c r="AA1492" s="232"/>
      <c r="AB1492" s="232"/>
      <c r="AC1492" s="232"/>
      <c r="AD1492" s="232"/>
      <c r="AE1492" s="232"/>
      <c r="AF1492" s="232"/>
      <c r="AG1492" s="232"/>
      <c r="AH1492" s="232"/>
      <c r="AI1492" s="232"/>
      <c r="AJ1492" s="232"/>
      <c r="AK1492" s="232"/>
      <c r="AL1492" s="232"/>
      <c r="AM1492" s="232"/>
      <c r="AN1492" s="232"/>
      <c r="AO1492" s="232"/>
      <c r="AP1492" s="232"/>
      <c r="AQ1492" s="232"/>
      <c r="AR1492" s="232"/>
      <c r="AS1492" s="232"/>
      <c r="AT1492" s="232"/>
      <c r="AU1492" s="232"/>
      <c r="AV1492" s="232"/>
      <c r="AW1492" s="232"/>
      <c r="AX1492" s="232"/>
      <c r="AY1492" s="232"/>
      <c r="AZ1492" s="232"/>
      <c r="BA1492" s="232"/>
      <c r="BB1492" s="232"/>
      <c r="BC1492" s="232"/>
      <c r="BD1492" s="232"/>
      <c r="BE1492" s="232"/>
      <c r="BF1492" s="232"/>
      <c r="BG1492" s="232"/>
      <c r="BH1492" s="232"/>
      <c r="BI1492" s="232"/>
      <c r="BJ1492" s="232"/>
      <c r="BK1492" s="232"/>
      <c r="BL1492" s="232"/>
      <c r="BM1492" s="232"/>
      <c r="BN1492" s="232"/>
      <c r="BO1492" s="232"/>
      <c r="BP1492" s="232"/>
      <c r="BQ1492" s="232"/>
      <c r="BR1492" s="232"/>
      <c r="BS1492" s="232"/>
      <c r="BT1492" s="232"/>
      <c r="BU1492" s="232"/>
      <c r="BV1492" s="232"/>
      <c r="BW1492" s="232"/>
      <c r="BX1492" s="232"/>
      <c r="BY1492" s="232"/>
      <c r="BZ1492" s="232"/>
      <c r="CA1492" s="232"/>
      <c r="CB1492" s="232"/>
      <c r="CC1492" s="232"/>
      <c r="CD1492" s="232"/>
      <c r="CE1492" s="232"/>
      <c r="CF1492" s="232"/>
      <c r="CG1492" s="232"/>
      <c r="CH1492" s="232"/>
      <c r="CI1492" s="232"/>
      <c r="CJ1492" s="232"/>
      <c r="CK1492" s="232"/>
      <c r="CL1492" s="232"/>
      <c r="CM1492" s="232"/>
      <c r="CN1492" s="215"/>
      <c r="CO1492" s="215"/>
      <c r="CP1492" s="215"/>
      <c r="CQ1492" s="215"/>
      <c r="CR1492" s="215"/>
      <c r="CS1492" s="215"/>
      <c r="CT1492" s="215"/>
    </row>
    <row r="1493" ht="24.0" customHeight="1">
      <c r="A1493" s="287"/>
      <c r="B1493" s="287"/>
      <c r="C1493" s="287"/>
      <c r="D1493" s="232"/>
      <c r="E1493" s="232"/>
      <c r="F1493" s="232"/>
      <c r="G1493" s="232"/>
      <c r="H1493" s="232"/>
      <c r="I1493" s="232"/>
      <c r="J1493" s="232"/>
      <c r="K1493" s="232"/>
      <c r="L1493" s="232"/>
      <c r="M1493" s="232"/>
      <c r="N1493" s="289"/>
      <c r="O1493" s="232"/>
      <c r="P1493" s="232"/>
      <c r="Q1493" s="232"/>
      <c r="R1493" s="232"/>
      <c r="S1493" s="232"/>
      <c r="T1493" s="232"/>
      <c r="U1493" s="232"/>
      <c r="V1493" s="232"/>
      <c r="W1493" s="232"/>
      <c r="X1493" s="232"/>
      <c r="Y1493" s="232"/>
      <c r="Z1493" s="232"/>
      <c r="AA1493" s="232"/>
      <c r="AB1493" s="232"/>
      <c r="AC1493" s="232"/>
      <c r="AD1493" s="232"/>
      <c r="AE1493" s="232"/>
      <c r="AF1493" s="232"/>
      <c r="AG1493" s="232"/>
      <c r="AH1493" s="232"/>
      <c r="AI1493" s="232"/>
      <c r="AJ1493" s="232"/>
      <c r="AK1493" s="232"/>
      <c r="AL1493" s="232"/>
      <c r="AM1493" s="232"/>
      <c r="AN1493" s="232"/>
      <c r="AO1493" s="232"/>
      <c r="AP1493" s="232"/>
      <c r="AQ1493" s="232"/>
      <c r="AR1493" s="232"/>
      <c r="AS1493" s="232"/>
      <c r="AT1493" s="232"/>
      <c r="AU1493" s="232"/>
      <c r="AV1493" s="232"/>
      <c r="AW1493" s="232"/>
      <c r="AX1493" s="232"/>
      <c r="AY1493" s="232"/>
      <c r="AZ1493" s="232"/>
      <c r="BA1493" s="232"/>
      <c r="BB1493" s="232"/>
      <c r="BC1493" s="232"/>
      <c r="BD1493" s="232"/>
      <c r="BE1493" s="232"/>
      <c r="BF1493" s="232"/>
      <c r="BG1493" s="232"/>
      <c r="BH1493" s="232"/>
      <c r="BI1493" s="232"/>
      <c r="BJ1493" s="232"/>
      <c r="BK1493" s="232"/>
      <c r="BL1493" s="232"/>
      <c r="BM1493" s="232"/>
      <c r="BN1493" s="232"/>
      <c r="BO1493" s="232"/>
      <c r="BP1493" s="232"/>
      <c r="BQ1493" s="232"/>
      <c r="BR1493" s="232"/>
      <c r="BS1493" s="232"/>
      <c r="BT1493" s="232"/>
      <c r="BU1493" s="232"/>
      <c r="BV1493" s="232"/>
      <c r="BW1493" s="232"/>
      <c r="BX1493" s="232"/>
      <c r="BY1493" s="232"/>
      <c r="BZ1493" s="232"/>
      <c r="CA1493" s="232"/>
      <c r="CB1493" s="232"/>
      <c r="CC1493" s="232"/>
      <c r="CD1493" s="232"/>
      <c r="CE1493" s="232"/>
      <c r="CF1493" s="232"/>
      <c r="CG1493" s="232"/>
      <c r="CH1493" s="232"/>
      <c r="CI1493" s="232"/>
      <c r="CJ1493" s="232"/>
      <c r="CK1493" s="232"/>
      <c r="CL1493" s="232"/>
      <c r="CM1493" s="232"/>
      <c r="CN1493" s="215"/>
      <c r="CO1493" s="215"/>
      <c r="CP1493" s="215"/>
      <c r="CQ1493" s="215"/>
      <c r="CR1493" s="215"/>
      <c r="CS1493" s="215"/>
      <c r="CT1493" s="215"/>
    </row>
  </sheetData>
  <conditionalFormatting sqref="B45:B46 E45:E46 Y45:Y46 Y73:Y74 B79 E79 Y79 E94 Y94 B127:B155 E127:E155 Y127:Y155 B158:B173 E158:E173 Y158:Y173 B176:B187 E176:E187 Y176:Y187 B192:B203 E192:E195 Y192:Y195 E199:E203 Y199:Y203 Y344 B476:B483 W476:W483">
    <cfRule type="containsText" dxfId="12" priority="1" operator="containsText" text="1:00 PM Behavioral and Social Sciences">
      <formula>NOT(ISERROR(SEARCH(("1:00 PM Behavioral and Social Sciences"),(B45))))</formula>
    </cfRule>
  </conditionalFormatting>
  <conditionalFormatting sqref="B45:B46 E45:E46 Y45:Y46 Y73:Y74 B79 E79 Y79 E94 Y94 B127:B155 E127:E155 Y127:Y155 B158:B173 E158:E173 Y158:Y173 B176:B187 E176:E187 Y176:Y187 B192:B203 E192:E195 Y192:Y195 E199:E203 Y199:Y203 Y344 B476:B483 W476:W483">
    <cfRule type="containsText" dxfId="5" priority="2" operator="containsText" text="1:00 PM Biological and Agricultural Sciences">
      <formula>NOT(ISERROR(SEARCH(("1:00 PM Biological and Agricultural Sciences"),(B45))))</formula>
    </cfRule>
  </conditionalFormatting>
  <conditionalFormatting sqref="B45:B46 E45:E46 Y45:Y46 Y73:Y74 B79 E79 Y79 E94 Y94 B127:B155 E127:E155 Y127:Y155 B158:B173 E158:E173 Y158:Y173 B176:B187 E176:E187 Y176:Y187 B192:B203 E192:E195 Y192:Y195 E199:E203 Y199:Y203 Y344 B476:B483 W476:W483">
    <cfRule type="containsText" dxfId="13" priority="3" operator="containsText" text="1:00 PM Humanities, History, Literature, Philosophy">
      <formula>NOT(ISERROR(SEARCH(("1:00 PM Humanities, History, Literature, Philosophy"),(B45))))</formula>
    </cfRule>
  </conditionalFormatting>
  <conditionalFormatting sqref="B45:B46 E45:E46 Y45:Y46 Y73:Y74 B79 E79 Y79 E94 Y94 B127:B155 E127:E155 Y127:Y155 B158:B173 E158:E173 Y158:Y173 B176:B187 E176:E187 Y176:Y187 B192:B203 E192:E195 Y192:Y195 E199:E203 Y199:Y203 Y344 B476:B483 W476:W483">
    <cfRule type="containsText" dxfId="1" priority="4" operator="containsText" text="11:00 AM Behavioral and Social Sciences">
      <formula>NOT(ISERROR(SEARCH(("11:00 AM Behavioral and Social Sciences"),(B45))))</formula>
    </cfRule>
  </conditionalFormatting>
  <hyperlinks>
    <hyperlink r:id="rId2" ref="X67"/>
  </hyperlinks>
  <drawing r:id="rId3"/>
  <legacy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sheetData>
    <row r="1">
      <c r="A1" s="291" t="s">
        <v>16</v>
      </c>
      <c r="B1" s="291" t="s">
        <v>14</v>
      </c>
      <c r="C1" s="292" t="s">
        <v>169</v>
      </c>
      <c r="D1" s="292" t="s">
        <v>4707</v>
      </c>
      <c r="E1" s="292" t="s">
        <v>15</v>
      </c>
      <c r="F1" s="159"/>
      <c r="G1" s="293"/>
      <c r="H1" s="159"/>
      <c r="I1" s="159"/>
      <c r="J1" s="159"/>
      <c r="K1" s="159"/>
      <c r="L1" s="159"/>
      <c r="M1" s="159"/>
      <c r="N1" s="159"/>
      <c r="O1" s="159"/>
      <c r="P1" s="159"/>
      <c r="Q1" s="159"/>
      <c r="R1" s="159"/>
      <c r="S1" s="159"/>
      <c r="T1" s="159"/>
      <c r="U1" s="159"/>
      <c r="V1" s="159"/>
      <c r="W1" s="159"/>
      <c r="X1" s="159"/>
      <c r="Y1" s="159"/>
      <c r="Z1" s="159"/>
    </row>
    <row r="2">
      <c r="A2" s="294" t="s">
        <v>351</v>
      </c>
      <c r="B2" s="294" t="s">
        <v>127</v>
      </c>
      <c r="C2" s="293" t="s">
        <v>243</v>
      </c>
      <c r="D2" s="293" t="s">
        <v>525</v>
      </c>
      <c r="E2" s="293" t="s">
        <v>591</v>
      </c>
      <c r="F2" s="295"/>
      <c r="G2" s="293"/>
      <c r="H2" s="296"/>
      <c r="I2" s="159"/>
      <c r="J2" s="159"/>
      <c r="K2" s="159"/>
      <c r="L2" s="159"/>
      <c r="M2" s="159"/>
      <c r="N2" s="159"/>
      <c r="O2" s="159"/>
      <c r="P2" s="159"/>
      <c r="Q2" s="159"/>
      <c r="R2" s="159"/>
      <c r="S2" s="159"/>
      <c r="T2" s="159"/>
      <c r="U2" s="159"/>
      <c r="V2" s="159"/>
      <c r="W2" s="159"/>
      <c r="X2" s="159"/>
      <c r="Y2" s="159"/>
      <c r="Z2" s="159"/>
    </row>
    <row r="3">
      <c r="A3" s="294" t="s">
        <v>196</v>
      </c>
      <c r="B3" s="294" t="s">
        <v>526</v>
      </c>
      <c r="C3" s="293" t="s">
        <v>262</v>
      </c>
      <c r="D3" s="293" t="s">
        <v>340</v>
      </c>
      <c r="E3" s="293" t="s">
        <v>516</v>
      </c>
      <c r="F3" s="295"/>
      <c r="G3" s="293"/>
      <c r="H3" s="296"/>
      <c r="I3" s="159"/>
      <c r="J3" s="159"/>
      <c r="K3" s="159"/>
      <c r="L3" s="159"/>
      <c r="M3" s="159"/>
      <c r="N3" s="159"/>
      <c r="O3" s="159"/>
      <c r="P3" s="159"/>
      <c r="Q3" s="159"/>
      <c r="R3" s="159"/>
      <c r="S3" s="159"/>
      <c r="T3" s="159"/>
      <c r="U3" s="159"/>
      <c r="V3" s="159"/>
      <c r="W3" s="159"/>
      <c r="X3" s="159"/>
      <c r="Y3" s="159"/>
      <c r="Z3" s="159"/>
    </row>
    <row r="4">
      <c r="A4" s="294" t="s">
        <v>569</v>
      </c>
      <c r="B4" s="294" t="s">
        <v>174</v>
      </c>
      <c r="C4" s="293" t="s">
        <v>259</v>
      </c>
      <c r="D4" s="293" t="s">
        <v>100</v>
      </c>
      <c r="E4" s="293" t="s">
        <v>458</v>
      </c>
      <c r="F4" s="295"/>
      <c r="G4" s="293"/>
      <c r="H4" s="296"/>
      <c r="I4" s="159"/>
      <c r="J4" s="159"/>
      <c r="K4" s="159"/>
      <c r="L4" s="159"/>
      <c r="M4" s="159"/>
      <c r="N4" s="159"/>
      <c r="O4" s="159"/>
      <c r="P4" s="159"/>
      <c r="Q4" s="159"/>
      <c r="R4" s="159"/>
      <c r="S4" s="159"/>
      <c r="T4" s="159"/>
      <c r="U4" s="159"/>
      <c r="V4" s="159"/>
      <c r="W4" s="159"/>
      <c r="X4" s="159"/>
      <c r="Y4" s="159"/>
      <c r="Z4" s="159"/>
    </row>
    <row r="5">
      <c r="A5" s="294" t="s">
        <v>595</v>
      </c>
      <c r="B5" s="294" t="s">
        <v>88</v>
      </c>
      <c r="C5" s="293" t="s">
        <v>168</v>
      </c>
      <c r="D5" s="293" t="s">
        <v>194</v>
      </c>
      <c r="E5" s="293" t="s">
        <v>494</v>
      </c>
      <c r="F5" s="295"/>
      <c r="G5" s="293"/>
      <c r="H5" s="296"/>
      <c r="I5" s="159"/>
      <c r="J5" s="159"/>
      <c r="K5" s="159"/>
      <c r="L5" s="159"/>
      <c r="M5" s="159"/>
      <c r="N5" s="159"/>
      <c r="O5" s="159"/>
      <c r="P5" s="159"/>
      <c r="Q5" s="159"/>
      <c r="R5" s="159"/>
      <c r="S5" s="159"/>
      <c r="T5" s="159"/>
      <c r="U5" s="159"/>
      <c r="V5" s="159"/>
      <c r="W5" s="159"/>
      <c r="X5" s="159"/>
      <c r="Y5" s="159"/>
      <c r="Z5" s="159"/>
    </row>
    <row r="6">
      <c r="A6" s="294" t="s">
        <v>129</v>
      </c>
      <c r="B6" s="294" t="s">
        <v>487</v>
      </c>
      <c r="C6" s="293" t="s">
        <v>250</v>
      </c>
      <c r="D6" s="293" t="s">
        <v>367</v>
      </c>
      <c r="E6" s="293" t="s">
        <v>491</v>
      </c>
      <c r="F6" s="295"/>
      <c r="G6" s="293"/>
      <c r="H6" s="296"/>
      <c r="I6" s="159"/>
      <c r="J6" s="159"/>
      <c r="K6" s="159"/>
      <c r="L6" s="159"/>
      <c r="M6" s="159"/>
      <c r="N6" s="159"/>
      <c r="O6" s="159"/>
      <c r="P6" s="159"/>
      <c r="Q6" s="159"/>
      <c r="R6" s="159"/>
      <c r="S6" s="159"/>
      <c r="T6" s="159"/>
      <c r="U6" s="159"/>
      <c r="V6" s="159"/>
      <c r="W6" s="159"/>
      <c r="X6" s="159"/>
      <c r="Y6" s="159"/>
      <c r="Z6" s="159"/>
    </row>
    <row r="7">
      <c r="A7" s="294" t="s">
        <v>148</v>
      </c>
      <c r="B7" s="294" t="s">
        <v>460</v>
      </c>
      <c r="C7" s="293" t="s">
        <v>83</v>
      </c>
      <c r="D7" s="293" t="s">
        <v>710</v>
      </c>
      <c r="E7" s="293" t="s">
        <v>495</v>
      </c>
      <c r="F7" s="295"/>
      <c r="G7" s="293"/>
      <c r="H7" s="296"/>
      <c r="I7" s="159"/>
      <c r="J7" s="159"/>
      <c r="K7" s="159"/>
      <c r="L7" s="159"/>
      <c r="M7" s="159"/>
      <c r="N7" s="159"/>
      <c r="O7" s="159"/>
      <c r="P7" s="159"/>
      <c r="Q7" s="159"/>
      <c r="R7" s="159"/>
      <c r="S7" s="159"/>
      <c r="T7" s="159"/>
      <c r="U7" s="159"/>
      <c r="V7" s="159"/>
      <c r="W7" s="159"/>
      <c r="X7" s="159"/>
      <c r="Y7" s="159"/>
      <c r="Z7" s="159"/>
    </row>
    <row r="8">
      <c r="A8" s="294" t="s">
        <v>159</v>
      </c>
      <c r="B8" s="294" t="s">
        <v>467</v>
      </c>
      <c r="C8" s="293" t="s">
        <v>263</v>
      </c>
      <c r="D8" s="293" t="s">
        <v>504</v>
      </c>
      <c r="E8" s="293" t="s">
        <v>489</v>
      </c>
      <c r="F8" s="295"/>
      <c r="G8" s="293"/>
      <c r="H8" s="296"/>
      <c r="I8" s="159"/>
      <c r="J8" s="159"/>
      <c r="K8" s="159"/>
      <c r="L8" s="159"/>
      <c r="M8" s="159"/>
      <c r="N8" s="159"/>
      <c r="O8" s="159"/>
      <c r="P8" s="159"/>
      <c r="Q8" s="159"/>
      <c r="R8" s="159"/>
      <c r="S8" s="159"/>
      <c r="T8" s="159"/>
      <c r="U8" s="159"/>
      <c r="V8" s="159"/>
      <c r="W8" s="159"/>
      <c r="X8" s="159"/>
      <c r="Y8" s="159"/>
      <c r="Z8" s="159"/>
    </row>
    <row r="9">
      <c r="A9" s="294" t="s">
        <v>519</v>
      </c>
      <c r="B9" s="294" t="s">
        <v>370</v>
      </c>
      <c r="C9" s="293" t="s">
        <v>230</v>
      </c>
      <c r="D9" s="293" t="s">
        <v>559</v>
      </c>
      <c r="E9" s="293" t="s">
        <v>487</v>
      </c>
      <c r="F9" s="295"/>
      <c r="G9" s="293"/>
      <c r="H9" s="296"/>
      <c r="I9" s="159"/>
      <c r="J9" s="159"/>
      <c r="K9" s="159"/>
      <c r="L9" s="159"/>
      <c r="M9" s="159"/>
      <c r="N9" s="159"/>
      <c r="O9" s="159"/>
      <c r="P9" s="159"/>
      <c r="Q9" s="159"/>
      <c r="R9" s="159"/>
      <c r="S9" s="159"/>
      <c r="T9" s="159"/>
      <c r="U9" s="159"/>
      <c r="V9" s="159"/>
      <c r="W9" s="159"/>
      <c r="X9" s="159"/>
      <c r="Y9" s="159"/>
      <c r="Z9" s="159"/>
    </row>
    <row r="10">
      <c r="A10" s="294" t="s">
        <v>270</v>
      </c>
      <c r="B10" s="294" t="s">
        <v>497</v>
      </c>
      <c r="C10" s="293" t="s">
        <v>420</v>
      </c>
      <c r="D10" s="293" t="s">
        <v>244</v>
      </c>
      <c r="E10" s="293" t="s">
        <v>475</v>
      </c>
      <c r="F10" s="295"/>
      <c r="G10" s="293"/>
      <c r="H10" s="296"/>
      <c r="I10" s="159"/>
      <c r="J10" s="159"/>
      <c r="K10" s="159"/>
      <c r="L10" s="159"/>
      <c r="M10" s="159"/>
      <c r="N10" s="159"/>
      <c r="O10" s="159"/>
      <c r="P10" s="159"/>
      <c r="Q10" s="159"/>
      <c r="R10" s="159"/>
      <c r="S10" s="159"/>
      <c r="T10" s="159"/>
      <c r="U10" s="159"/>
      <c r="V10" s="159"/>
      <c r="W10" s="159"/>
      <c r="X10" s="159"/>
      <c r="Y10" s="159"/>
      <c r="Z10" s="159"/>
    </row>
    <row r="11">
      <c r="A11" s="294" t="s">
        <v>253</v>
      </c>
      <c r="B11" s="294" t="s">
        <v>530</v>
      </c>
      <c r="C11" s="293" t="s">
        <v>194</v>
      </c>
      <c r="D11" s="293" t="s">
        <v>182</v>
      </c>
      <c r="E11" s="293" t="s">
        <v>477</v>
      </c>
      <c r="F11" s="295"/>
      <c r="G11" s="293"/>
      <c r="H11" s="296"/>
      <c r="I11" s="159"/>
      <c r="J11" s="159"/>
      <c r="K11" s="159"/>
      <c r="L11" s="159"/>
      <c r="M11" s="159"/>
      <c r="N11" s="159"/>
      <c r="O11" s="159"/>
      <c r="P11" s="159"/>
      <c r="Q11" s="159"/>
      <c r="R11" s="159"/>
      <c r="S11" s="159"/>
      <c r="T11" s="159"/>
      <c r="U11" s="159"/>
      <c r="V11" s="159"/>
      <c r="W11" s="159"/>
      <c r="X11" s="159"/>
      <c r="Y11" s="159"/>
      <c r="Z11" s="159"/>
    </row>
    <row r="12">
      <c r="A12" s="294" t="s">
        <v>542</v>
      </c>
      <c r="B12" s="294" t="s">
        <v>505</v>
      </c>
      <c r="C12" s="293"/>
      <c r="D12" s="293" t="s">
        <v>436</v>
      </c>
      <c r="E12" s="293" t="s">
        <v>471</v>
      </c>
      <c r="F12" s="295"/>
      <c r="G12" s="293"/>
      <c r="H12" s="296"/>
      <c r="I12" s="159"/>
      <c r="J12" s="159"/>
      <c r="K12" s="159"/>
      <c r="L12" s="159"/>
      <c r="M12" s="159"/>
      <c r="N12" s="159"/>
      <c r="O12" s="159"/>
      <c r="P12" s="159"/>
      <c r="Q12" s="159"/>
      <c r="R12" s="159"/>
      <c r="S12" s="159"/>
      <c r="T12" s="159"/>
      <c r="U12" s="159"/>
      <c r="V12" s="159"/>
      <c r="W12" s="159"/>
      <c r="X12" s="159"/>
      <c r="Y12" s="159"/>
      <c r="Z12" s="159"/>
    </row>
    <row r="13">
      <c r="A13" s="294" t="s">
        <v>364</v>
      </c>
      <c r="B13" s="294" t="s">
        <v>565</v>
      </c>
      <c r="C13" s="293"/>
      <c r="D13" s="293" t="s">
        <v>112</v>
      </c>
      <c r="E13" s="293" t="s">
        <v>467</v>
      </c>
      <c r="F13" s="295"/>
      <c r="G13" s="293"/>
      <c r="H13" s="296"/>
      <c r="I13" s="159"/>
      <c r="J13" s="159"/>
      <c r="K13" s="159"/>
      <c r="L13" s="159"/>
      <c r="M13" s="159"/>
      <c r="N13" s="159"/>
      <c r="O13" s="159"/>
      <c r="P13" s="159"/>
      <c r="Q13" s="159"/>
      <c r="R13" s="159"/>
      <c r="S13" s="159"/>
      <c r="T13" s="159"/>
      <c r="U13" s="159"/>
      <c r="V13" s="159"/>
      <c r="W13" s="159"/>
      <c r="X13" s="159"/>
      <c r="Y13" s="159"/>
      <c r="Z13" s="159"/>
    </row>
    <row r="14">
      <c r="A14" s="294" t="s">
        <v>258</v>
      </c>
      <c r="B14" s="294" t="s">
        <v>214</v>
      </c>
      <c r="C14" s="293"/>
      <c r="D14" s="293" t="s">
        <v>129</v>
      </c>
      <c r="E14" s="293" t="s">
        <v>464</v>
      </c>
      <c r="F14" s="295"/>
      <c r="G14" s="293"/>
      <c r="H14" s="296"/>
      <c r="I14" s="159"/>
      <c r="J14" s="159"/>
      <c r="K14" s="159"/>
      <c r="L14" s="159"/>
      <c r="M14" s="159"/>
      <c r="N14" s="159"/>
      <c r="O14" s="159"/>
      <c r="P14" s="159"/>
      <c r="Q14" s="159"/>
      <c r="R14" s="159"/>
      <c r="S14" s="159"/>
      <c r="T14" s="159"/>
      <c r="U14" s="159"/>
      <c r="V14" s="159"/>
      <c r="W14" s="159"/>
      <c r="X14" s="159"/>
      <c r="Y14" s="159"/>
      <c r="Z14" s="159"/>
    </row>
    <row r="15">
      <c r="A15" s="294" t="s">
        <v>424</v>
      </c>
      <c r="B15" s="294" t="s">
        <v>111</v>
      </c>
      <c r="C15" s="293"/>
      <c r="D15" s="293" t="s">
        <v>161</v>
      </c>
      <c r="E15" s="293" t="s">
        <v>465</v>
      </c>
      <c r="F15" s="295"/>
      <c r="G15" s="293"/>
      <c r="H15" s="296"/>
      <c r="I15" s="159"/>
      <c r="J15" s="159"/>
      <c r="K15" s="159"/>
      <c r="L15" s="159"/>
      <c r="M15" s="159"/>
      <c r="N15" s="159"/>
      <c r="O15" s="159"/>
      <c r="P15" s="159"/>
      <c r="Q15" s="159"/>
      <c r="R15" s="159"/>
      <c r="S15" s="159"/>
      <c r="T15" s="159"/>
      <c r="U15" s="159"/>
      <c r="V15" s="159"/>
      <c r="W15" s="159"/>
      <c r="X15" s="159"/>
      <c r="Y15" s="159"/>
      <c r="Z15" s="159"/>
    </row>
    <row r="16">
      <c r="A16" s="294" t="s">
        <v>260</v>
      </c>
      <c r="B16" s="294" t="s">
        <v>220</v>
      </c>
      <c r="C16" s="293"/>
      <c r="D16" s="293" t="s">
        <v>542</v>
      </c>
      <c r="E16" s="293" t="s">
        <v>411</v>
      </c>
      <c r="F16" s="295"/>
      <c r="G16" s="293"/>
      <c r="H16" s="296"/>
      <c r="I16" s="159"/>
      <c r="J16" s="159"/>
      <c r="K16" s="159"/>
      <c r="L16" s="159"/>
      <c r="M16" s="159"/>
      <c r="N16" s="159"/>
      <c r="O16" s="159"/>
      <c r="P16" s="159"/>
      <c r="Q16" s="159"/>
      <c r="R16" s="159"/>
      <c r="S16" s="159"/>
      <c r="T16" s="159"/>
      <c r="U16" s="159"/>
      <c r="V16" s="159"/>
      <c r="W16" s="159"/>
      <c r="X16" s="159"/>
      <c r="Y16" s="159"/>
      <c r="Z16" s="159"/>
    </row>
    <row r="17">
      <c r="A17" s="294" t="s">
        <v>423</v>
      </c>
      <c r="B17" s="294" t="s">
        <v>388</v>
      </c>
      <c r="C17" s="293"/>
      <c r="D17" s="293" t="s">
        <v>149</v>
      </c>
      <c r="E17" s="293" t="s">
        <v>397</v>
      </c>
      <c r="F17" s="295"/>
      <c r="G17" s="293"/>
      <c r="H17" s="296"/>
      <c r="I17" s="159"/>
      <c r="J17" s="159"/>
      <c r="K17" s="159"/>
      <c r="L17" s="159"/>
      <c r="M17" s="159"/>
      <c r="N17" s="159"/>
      <c r="O17" s="159"/>
      <c r="P17" s="159"/>
      <c r="Q17" s="159"/>
      <c r="R17" s="159"/>
      <c r="S17" s="159"/>
      <c r="T17" s="159"/>
      <c r="U17" s="159"/>
      <c r="V17" s="159"/>
      <c r="W17" s="159"/>
      <c r="X17" s="159"/>
      <c r="Y17" s="159"/>
      <c r="Z17" s="159"/>
    </row>
    <row r="18">
      <c r="A18" s="294" t="s">
        <v>242</v>
      </c>
      <c r="B18" s="294" t="s">
        <v>466</v>
      </c>
      <c r="C18" s="293"/>
      <c r="D18" s="293" t="s">
        <v>384</v>
      </c>
      <c r="E18" s="293" t="s">
        <v>400</v>
      </c>
      <c r="F18" s="295"/>
      <c r="G18" s="293"/>
      <c r="H18" s="296"/>
      <c r="I18" s="159"/>
      <c r="J18" s="159"/>
      <c r="K18" s="159"/>
      <c r="L18" s="159"/>
      <c r="M18" s="159"/>
      <c r="N18" s="159"/>
      <c r="O18" s="159"/>
      <c r="P18" s="159"/>
      <c r="Q18" s="159"/>
      <c r="R18" s="159"/>
      <c r="S18" s="159"/>
      <c r="T18" s="159"/>
      <c r="U18" s="159"/>
      <c r="V18" s="159"/>
      <c r="W18" s="159"/>
      <c r="X18" s="159"/>
      <c r="Y18" s="159"/>
      <c r="Z18" s="159"/>
    </row>
    <row r="19">
      <c r="A19" s="294" t="s">
        <v>236</v>
      </c>
      <c r="B19" s="294" t="s">
        <v>430</v>
      </c>
      <c r="C19" s="293"/>
      <c r="D19" s="293" t="s">
        <v>242</v>
      </c>
      <c r="E19" s="293" t="s">
        <v>396</v>
      </c>
      <c r="F19" s="295"/>
      <c r="G19" s="293"/>
      <c r="H19" s="296"/>
      <c r="I19" s="159"/>
      <c r="J19" s="159"/>
      <c r="K19" s="159"/>
      <c r="L19" s="159"/>
      <c r="M19" s="159"/>
      <c r="N19" s="159"/>
      <c r="O19" s="159"/>
      <c r="P19" s="159"/>
      <c r="Q19" s="159"/>
      <c r="R19" s="159"/>
      <c r="S19" s="159"/>
      <c r="T19" s="159"/>
      <c r="U19" s="159"/>
      <c r="V19" s="159"/>
      <c r="W19" s="159"/>
      <c r="X19" s="159"/>
      <c r="Y19" s="159"/>
      <c r="Z19" s="159"/>
    </row>
    <row r="20">
      <c r="A20" s="294" t="s">
        <v>573</v>
      </c>
      <c r="B20" s="294" t="s">
        <v>498</v>
      </c>
      <c r="C20" s="293"/>
      <c r="D20" s="293" t="s">
        <v>433</v>
      </c>
      <c r="E20" s="293" t="s">
        <v>401</v>
      </c>
      <c r="F20" s="295"/>
      <c r="G20" s="293"/>
      <c r="H20" s="296"/>
      <c r="I20" s="159"/>
      <c r="J20" s="159"/>
      <c r="K20" s="159"/>
      <c r="L20" s="159"/>
      <c r="M20" s="159"/>
      <c r="N20" s="159"/>
      <c r="O20" s="159"/>
      <c r="P20" s="159"/>
      <c r="Q20" s="159"/>
      <c r="R20" s="159"/>
      <c r="S20" s="159"/>
      <c r="T20" s="159"/>
      <c r="U20" s="159"/>
      <c r="V20" s="159"/>
      <c r="W20" s="159"/>
      <c r="X20" s="159"/>
      <c r="Y20" s="159"/>
      <c r="Z20" s="159"/>
    </row>
    <row r="21">
      <c r="A21" s="294" t="s">
        <v>272</v>
      </c>
      <c r="B21" s="294" t="s">
        <v>383</v>
      </c>
      <c r="C21" s="293"/>
      <c r="D21" s="293" t="s">
        <v>77</v>
      </c>
      <c r="E21" s="293" t="s">
        <v>394</v>
      </c>
      <c r="F21" s="295"/>
      <c r="G21" s="293"/>
      <c r="H21" s="296"/>
      <c r="I21" s="159"/>
      <c r="J21" s="159"/>
      <c r="K21" s="159"/>
      <c r="L21" s="159"/>
      <c r="M21" s="159"/>
      <c r="N21" s="159"/>
      <c r="O21" s="159"/>
      <c r="P21" s="159"/>
      <c r="Q21" s="159"/>
      <c r="R21" s="159"/>
      <c r="S21" s="159"/>
      <c r="T21" s="159"/>
      <c r="U21" s="159"/>
      <c r="V21" s="159"/>
      <c r="W21" s="159"/>
      <c r="X21" s="159"/>
      <c r="Y21" s="159"/>
      <c r="Z21" s="159"/>
    </row>
    <row r="22">
      <c r="A22" s="294" t="s">
        <v>135</v>
      </c>
      <c r="B22" s="294" t="s">
        <v>534</v>
      </c>
      <c r="C22" s="293"/>
      <c r="D22" s="293" t="s">
        <v>288</v>
      </c>
      <c r="E22" s="293" t="s">
        <v>364</v>
      </c>
      <c r="F22" s="295"/>
      <c r="G22" s="293"/>
      <c r="H22" s="296"/>
      <c r="I22" s="159"/>
      <c r="J22" s="159"/>
      <c r="K22" s="159"/>
      <c r="L22" s="159"/>
      <c r="M22" s="159"/>
      <c r="N22" s="159"/>
      <c r="O22" s="159"/>
      <c r="P22" s="159"/>
      <c r="Q22" s="159"/>
      <c r="R22" s="159"/>
      <c r="S22" s="159"/>
      <c r="T22" s="159"/>
      <c r="U22" s="159"/>
      <c r="V22" s="159"/>
      <c r="W22" s="159"/>
      <c r="X22" s="159"/>
      <c r="Y22" s="159"/>
      <c r="Z22" s="159"/>
    </row>
    <row r="23">
      <c r="A23" s="294" t="s">
        <v>574</v>
      </c>
      <c r="B23" s="294" t="s">
        <v>474</v>
      </c>
      <c r="C23" s="293"/>
      <c r="D23" s="293" t="s">
        <v>565</v>
      </c>
      <c r="E23" s="293" t="s">
        <v>368</v>
      </c>
      <c r="F23" s="295"/>
      <c r="G23" s="293"/>
      <c r="H23" s="296"/>
      <c r="I23" s="159"/>
      <c r="J23" s="159"/>
      <c r="K23" s="159"/>
      <c r="L23" s="159"/>
      <c r="M23" s="159"/>
      <c r="N23" s="159"/>
      <c r="O23" s="159"/>
      <c r="P23" s="159"/>
      <c r="Q23" s="159"/>
      <c r="R23" s="159"/>
      <c r="S23" s="159"/>
      <c r="T23" s="159"/>
      <c r="U23" s="159"/>
      <c r="V23" s="159"/>
      <c r="W23" s="159"/>
      <c r="X23" s="159"/>
      <c r="Y23" s="159"/>
      <c r="Z23" s="159"/>
    </row>
    <row r="24">
      <c r="A24" s="294" t="s">
        <v>463</v>
      </c>
      <c r="B24" s="294" t="s">
        <v>389</v>
      </c>
      <c r="C24" s="293"/>
      <c r="D24" s="293" t="s">
        <v>245</v>
      </c>
      <c r="E24" s="293" t="s">
        <v>362</v>
      </c>
      <c r="F24" s="295"/>
      <c r="G24" s="293"/>
      <c r="H24" s="296"/>
      <c r="I24" s="159"/>
      <c r="J24" s="159"/>
      <c r="K24" s="159"/>
      <c r="L24" s="159"/>
      <c r="M24" s="159"/>
      <c r="N24" s="159"/>
      <c r="O24" s="159"/>
      <c r="P24" s="159"/>
      <c r="Q24" s="159"/>
      <c r="R24" s="159"/>
      <c r="S24" s="159"/>
      <c r="T24" s="159"/>
      <c r="U24" s="159"/>
      <c r="V24" s="159"/>
      <c r="W24" s="159"/>
      <c r="X24" s="159"/>
      <c r="Y24" s="159"/>
      <c r="Z24" s="159"/>
    </row>
    <row r="25">
      <c r="A25" s="294"/>
      <c r="B25" s="294" t="s">
        <v>354</v>
      </c>
      <c r="C25" s="293"/>
      <c r="D25" s="293" t="s">
        <v>582</v>
      </c>
      <c r="E25" s="293" t="s">
        <v>361</v>
      </c>
      <c r="F25" s="295"/>
      <c r="G25" s="293"/>
      <c r="H25" s="296"/>
      <c r="I25" s="159"/>
      <c r="J25" s="159"/>
      <c r="K25" s="159"/>
      <c r="L25" s="159"/>
      <c r="M25" s="159"/>
      <c r="N25" s="159"/>
      <c r="O25" s="159"/>
      <c r="P25" s="159"/>
      <c r="Q25" s="159"/>
      <c r="R25" s="159"/>
      <c r="S25" s="159"/>
      <c r="T25" s="159"/>
      <c r="U25" s="159"/>
      <c r="V25" s="159"/>
      <c r="W25" s="159"/>
      <c r="X25" s="159"/>
      <c r="Y25" s="159"/>
      <c r="Z25" s="159"/>
    </row>
    <row r="26">
      <c r="A26" s="294"/>
      <c r="B26" s="294" t="s">
        <v>332</v>
      </c>
      <c r="C26" s="293"/>
      <c r="D26" s="293" t="s">
        <v>80</v>
      </c>
      <c r="E26" s="293" t="s">
        <v>338</v>
      </c>
      <c r="F26" s="295"/>
      <c r="G26" s="293"/>
      <c r="H26" s="296"/>
      <c r="I26" s="159"/>
      <c r="J26" s="159"/>
      <c r="K26" s="159"/>
      <c r="L26" s="159"/>
      <c r="M26" s="159"/>
      <c r="N26" s="159"/>
      <c r="O26" s="159"/>
      <c r="P26" s="159"/>
      <c r="Q26" s="159"/>
      <c r="R26" s="159"/>
      <c r="S26" s="159"/>
      <c r="T26" s="159"/>
      <c r="U26" s="159"/>
      <c r="V26" s="159"/>
      <c r="W26" s="159"/>
      <c r="X26" s="159"/>
      <c r="Y26" s="159"/>
      <c r="Z26" s="159"/>
    </row>
    <row r="27">
      <c r="A27" s="294"/>
      <c r="B27" s="294" t="s">
        <v>556</v>
      </c>
      <c r="C27" s="293"/>
      <c r="D27" s="293" t="s">
        <v>498</v>
      </c>
      <c r="E27" s="293" t="s">
        <v>332</v>
      </c>
      <c r="F27" s="295"/>
      <c r="G27" s="293"/>
      <c r="H27" s="296"/>
      <c r="I27" s="159"/>
      <c r="J27" s="159"/>
      <c r="K27" s="159"/>
      <c r="L27" s="159"/>
      <c r="M27" s="159"/>
      <c r="N27" s="159"/>
      <c r="O27" s="159"/>
      <c r="P27" s="159"/>
      <c r="Q27" s="159"/>
      <c r="R27" s="159"/>
      <c r="S27" s="159"/>
      <c r="T27" s="159"/>
      <c r="U27" s="159"/>
      <c r="V27" s="159"/>
      <c r="W27" s="159"/>
      <c r="X27" s="159"/>
      <c r="Y27" s="159"/>
      <c r="Z27" s="159"/>
    </row>
    <row r="28">
      <c r="A28" s="294"/>
      <c r="B28" s="294" t="s">
        <v>146</v>
      </c>
      <c r="C28" s="293"/>
      <c r="D28" s="293" t="s">
        <v>148</v>
      </c>
      <c r="E28" s="293" t="s">
        <v>336</v>
      </c>
      <c r="F28" s="295"/>
      <c r="G28" s="293"/>
      <c r="H28" s="293"/>
      <c r="I28" s="159"/>
      <c r="J28" s="159"/>
      <c r="K28" s="159"/>
      <c r="L28" s="159"/>
      <c r="M28" s="159"/>
      <c r="N28" s="159"/>
      <c r="O28" s="159"/>
      <c r="P28" s="159"/>
      <c r="Q28" s="159"/>
      <c r="R28" s="159"/>
      <c r="S28" s="159"/>
      <c r="T28" s="159"/>
      <c r="U28" s="159"/>
      <c r="V28" s="159"/>
      <c r="W28" s="159"/>
      <c r="X28" s="159"/>
      <c r="Y28" s="159"/>
      <c r="Z28" s="159"/>
    </row>
    <row r="29">
      <c r="A29" s="294"/>
      <c r="B29" s="294" t="s">
        <v>338</v>
      </c>
      <c r="C29" s="293"/>
      <c r="D29" s="293" t="s">
        <v>276</v>
      </c>
      <c r="E29" s="293" t="s">
        <v>329</v>
      </c>
      <c r="F29" s="295"/>
      <c r="G29" s="293"/>
      <c r="I29" s="159"/>
      <c r="J29" s="159"/>
      <c r="K29" s="159"/>
      <c r="L29" s="159"/>
      <c r="M29" s="159"/>
      <c r="N29" s="159"/>
      <c r="O29" s="159"/>
      <c r="P29" s="159"/>
      <c r="Q29" s="159"/>
      <c r="R29" s="159"/>
      <c r="S29" s="159"/>
      <c r="T29" s="159"/>
      <c r="U29" s="159"/>
      <c r="V29" s="159"/>
      <c r="W29" s="159"/>
      <c r="X29" s="159"/>
      <c r="Y29" s="159"/>
      <c r="Z29" s="159"/>
    </row>
    <row r="30">
      <c r="A30" s="294"/>
      <c r="B30" s="294" t="s">
        <v>541</v>
      </c>
      <c r="C30" s="293"/>
      <c r="D30" s="293" t="s">
        <v>323</v>
      </c>
      <c r="E30" s="293" t="s">
        <v>330</v>
      </c>
      <c r="F30" s="295"/>
      <c r="H30" s="293"/>
      <c r="I30" s="159"/>
      <c r="J30" s="159"/>
      <c r="K30" s="159"/>
      <c r="L30" s="159"/>
      <c r="M30" s="159"/>
      <c r="N30" s="159"/>
      <c r="O30" s="159"/>
      <c r="P30" s="159"/>
      <c r="Q30" s="159"/>
      <c r="R30" s="159"/>
      <c r="S30" s="159"/>
      <c r="T30" s="159"/>
      <c r="U30" s="159"/>
      <c r="V30" s="159"/>
      <c r="W30" s="159"/>
      <c r="X30" s="159"/>
      <c r="Y30" s="159"/>
      <c r="Z30" s="159"/>
    </row>
    <row r="31">
      <c r="A31" s="294"/>
      <c r="B31" s="294" t="s">
        <v>416</v>
      </c>
      <c r="C31" s="293"/>
      <c r="D31" s="293" t="s">
        <v>154</v>
      </c>
      <c r="E31" s="293" t="s">
        <v>318</v>
      </c>
      <c r="F31" s="295"/>
      <c r="G31" s="293"/>
      <c r="H31" s="293"/>
      <c r="I31" s="159"/>
      <c r="J31" s="159"/>
      <c r="K31" s="159"/>
      <c r="L31" s="159"/>
      <c r="M31" s="159"/>
      <c r="N31" s="159"/>
      <c r="O31" s="159"/>
      <c r="P31" s="159"/>
      <c r="Q31" s="159"/>
      <c r="R31" s="159"/>
      <c r="S31" s="159"/>
      <c r="T31" s="159"/>
      <c r="U31" s="159"/>
      <c r="V31" s="159"/>
      <c r="W31" s="159"/>
      <c r="X31" s="159"/>
      <c r="Y31" s="159"/>
      <c r="Z31" s="159"/>
    </row>
    <row r="32">
      <c r="A32" s="294"/>
      <c r="B32" s="294" t="s">
        <v>504</v>
      </c>
      <c r="C32" s="293"/>
      <c r="D32" s="293" t="s">
        <v>226</v>
      </c>
      <c r="E32" s="293" t="s">
        <v>310</v>
      </c>
      <c r="F32" s="159"/>
      <c r="I32" s="159"/>
      <c r="J32" s="159"/>
      <c r="K32" s="159"/>
      <c r="L32" s="159"/>
      <c r="M32" s="159"/>
      <c r="N32" s="159"/>
      <c r="O32" s="159"/>
      <c r="P32" s="159"/>
      <c r="Q32" s="159"/>
      <c r="R32" s="159"/>
      <c r="S32" s="159"/>
      <c r="T32" s="159"/>
      <c r="U32" s="159"/>
      <c r="V32" s="159"/>
      <c r="W32" s="159"/>
      <c r="X32" s="159"/>
      <c r="Y32" s="159"/>
      <c r="Z32" s="159"/>
    </row>
    <row r="33">
      <c r="A33" s="294"/>
      <c r="B33" s="294" t="s">
        <v>59</v>
      </c>
      <c r="C33" s="293"/>
      <c r="D33" s="293" t="s">
        <v>163</v>
      </c>
      <c r="E33" s="293" t="s">
        <v>289</v>
      </c>
      <c r="F33" s="159"/>
      <c r="G33" s="293"/>
      <c r="H33" s="293"/>
      <c r="I33" s="159"/>
      <c r="J33" s="159"/>
      <c r="K33" s="159"/>
      <c r="L33" s="159"/>
      <c r="M33" s="159"/>
      <c r="N33" s="159"/>
      <c r="O33" s="159"/>
      <c r="P33" s="159"/>
      <c r="Q33" s="159"/>
      <c r="R33" s="159"/>
      <c r="S33" s="159"/>
      <c r="T33" s="159"/>
      <c r="U33" s="159"/>
      <c r="V33" s="159"/>
      <c r="W33" s="159"/>
      <c r="X33" s="159"/>
      <c r="Y33" s="159"/>
      <c r="Z33" s="159"/>
    </row>
    <row r="34">
      <c r="A34" s="294"/>
      <c r="B34" s="294" t="s">
        <v>409</v>
      </c>
      <c r="C34" s="293"/>
      <c r="D34" s="293" t="s">
        <v>231</v>
      </c>
      <c r="E34" s="293" t="s">
        <v>272</v>
      </c>
      <c r="F34" s="159"/>
      <c r="I34" s="159"/>
      <c r="J34" s="159"/>
      <c r="K34" s="159"/>
      <c r="L34" s="159"/>
      <c r="M34" s="159"/>
      <c r="N34" s="159"/>
      <c r="O34" s="159"/>
      <c r="P34" s="159"/>
      <c r="Q34" s="159"/>
      <c r="R34" s="159"/>
      <c r="S34" s="159"/>
      <c r="T34" s="159"/>
      <c r="U34" s="159"/>
      <c r="V34" s="159"/>
      <c r="W34" s="159"/>
      <c r="X34" s="159"/>
      <c r="Y34" s="159"/>
      <c r="Z34" s="159"/>
    </row>
    <row r="35">
      <c r="A35" s="294"/>
      <c r="B35" s="294" t="s">
        <v>204</v>
      </c>
      <c r="C35" s="293"/>
      <c r="D35" s="293" t="s">
        <v>462</v>
      </c>
      <c r="E35" s="293" t="s">
        <v>270</v>
      </c>
      <c r="F35" s="159"/>
      <c r="H35" s="293"/>
      <c r="I35" s="159"/>
      <c r="J35" s="159"/>
      <c r="K35" s="159"/>
      <c r="L35" s="159"/>
      <c r="M35" s="159"/>
      <c r="N35" s="159"/>
      <c r="O35" s="159"/>
      <c r="P35" s="159"/>
      <c r="Q35" s="159"/>
      <c r="R35" s="159"/>
      <c r="S35" s="159"/>
      <c r="T35" s="159"/>
      <c r="U35" s="159"/>
      <c r="V35" s="159"/>
      <c r="W35" s="159"/>
      <c r="X35" s="159"/>
      <c r="Y35" s="159"/>
      <c r="Z35" s="159"/>
    </row>
    <row r="36">
      <c r="A36" s="294"/>
      <c r="B36" s="294" t="s">
        <v>582</v>
      </c>
      <c r="C36" s="293"/>
      <c r="D36" s="293" t="s">
        <v>500</v>
      </c>
      <c r="E36" s="293" t="s">
        <v>227</v>
      </c>
      <c r="F36" s="159"/>
      <c r="I36" s="159"/>
      <c r="J36" s="159"/>
      <c r="K36" s="159"/>
      <c r="L36" s="159"/>
      <c r="M36" s="159"/>
      <c r="N36" s="159"/>
      <c r="O36" s="159"/>
      <c r="P36" s="159"/>
      <c r="Q36" s="159"/>
      <c r="R36" s="159"/>
      <c r="S36" s="159"/>
      <c r="T36" s="159"/>
      <c r="U36" s="159"/>
      <c r="V36" s="159"/>
      <c r="W36" s="159"/>
      <c r="X36" s="159"/>
      <c r="Y36" s="159"/>
      <c r="Z36" s="159"/>
    </row>
    <row r="37">
      <c r="A37" s="294"/>
      <c r="B37" s="297" t="s">
        <v>518</v>
      </c>
      <c r="C37" s="293"/>
      <c r="D37" s="293" t="s">
        <v>486</v>
      </c>
      <c r="E37" s="293" t="s">
        <v>127</v>
      </c>
      <c r="F37" s="159"/>
      <c r="G37" s="293"/>
      <c r="I37" s="159"/>
      <c r="J37" s="159"/>
      <c r="K37" s="159"/>
      <c r="L37" s="159"/>
      <c r="M37" s="159"/>
      <c r="N37" s="159"/>
      <c r="O37" s="159"/>
      <c r="P37" s="159"/>
      <c r="Q37" s="159"/>
      <c r="R37" s="159"/>
      <c r="S37" s="159"/>
      <c r="T37" s="159"/>
      <c r="U37" s="159"/>
      <c r="V37" s="159"/>
      <c r="W37" s="159"/>
      <c r="X37" s="159"/>
      <c r="Y37" s="159"/>
      <c r="Z37" s="159"/>
    </row>
    <row r="38">
      <c r="A38" s="294"/>
      <c r="B38" s="294" t="s">
        <v>470</v>
      </c>
      <c r="C38" s="293"/>
      <c r="D38" s="293" t="s">
        <v>477</v>
      </c>
      <c r="E38" s="293" t="s">
        <v>155</v>
      </c>
      <c r="F38" s="159"/>
      <c r="G38" s="293"/>
      <c r="H38" s="293"/>
      <c r="I38" s="159"/>
      <c r="J38" s="159"/>
      <c r="K38" s="159"/>
      <c r="L38" s="159"/>
      <c r="M38" s="159"/>
      <c r="N38" s="159"/>
      <c r="O38" s="159"/>
      <c r="P38" s="159"/>
      <c r="Q38" s="159"/>
      <c r="R38" s="159"/>
      <c r="S38" s="159"/>
      <c r="T38" s="159"/>
      <c r="U38" s="159"/>
      <c r="V38" s="159"/>
      <c r="W38" s="159"/>
      <c r="X38" s="159"/>
      <c r="Y38" s="159"/>
      <c r="Z38" s="159"/>
    </row>
    <row r="39">
      <c r="A39" s="294"/>
      <c r="B39" s="294" t="s">
        <v>304</v>
      </c>
      <c r="C39" s="293"/>
      <c r="D39" s="293" t="s">
        <v>442</v>
      </c>
      <c r="E39" s="293" t="s">
        <v>144</v>
      </c>
      <c r="F39" s="159"/>
      <c r="G39" s="159"/>
      <c r="H39" s="293"/>
      <c r="I39" s="159"/>
      <c r="J39" s="159"/>
      <c r="K39" s="159"/>
      <c r="L39" s="159"/>
      <c r="M39" s="159"/>
      <c r="N39" s="159"/>
      <c r="O39" s="159"/>
      <c r="P39" s="159"/>
      <c r="Q39" s="159"/>
      <c r="R39" s="159"/>
      <c r="S39" s="159"/>
      <c r="T39" s="159"/>
      <c r="U39" s="159"/>
      <c r="V39" s="159"/>
      <c r="W39" s="159"/>
      <c r="X39" s="159"/>
      <c r="Y39" s="159"/>
      <c r="Z39" s="159"/>
    </row>
    <row r="40">
      <c r="A40" s="294"/>
      <c r="B40" s="294" t="s">
        <v>577</v>
      </c>
      <c r="C40" s="293"/>
      <c r="D40" s="293" t="s">
        <v>69</v>
      </c>
      <c r="E40" s="293" t="s">
        <v>137</v>
      </c>
      <c r="F40" s="159"/>
      <c r="G40" s="293"/>
      <c r="H40" s="293"/>
      <c r="I40" s="159"/>
      <c r="J40" s="159"/>
      <c r="K40" s="159"/>
      <c r="L40" s="159"/>
      <c r="M40" s="159"/>
      <c r="N40" s="159"/>
      <c r="O40" s="159"/>
      <c r="P40" s="159"/>
      <c r="Q40" s="159"/>
      <c r="R40" s="159"/>
      <c r="S40" s="159"/>
      <c r="T40" s="159"/>
      <c r="U40" s="159"/>
      <c r="V40" s="159"/>
      <c r="W40" s="159"/>
      <c r="X40" s="159"/>
      <c r="Y40" s="159"/>
      <c r="Z40" s="159"/>
    </row>
    <row r="41">
      <c r="A41" s="294"/>
      <c r="B41" s="294" t="s">
        <v>542</v>
      </c>
      <c r="C41" s="293"/>
      <c r="D41" s="293" t="s">
        <v>348</v>
      </c>
      <c r="E41" s="293" t="s">
        <v>134</v>
      </c>
      <c r="F41" s="159"/>
      <c r="G41" s="293"/>
      <c r="I41" s="159"/>
      <c r="J41" s="159"/>
      <c r="K41" s="159"/>
      <c r="L41" s="159"/>
      <c r="M41" s="159"/>
      <c r="N41" s="159"/>
      <c r="O41" s="159"/>
      <c r="P41" s="159"/>
      <c r="Q41" s="159"/>
      <c r="R41" s="159"/>
      <c r="S41" s="159"/>
      <c r="T41" s="159"/>
      <c r="U41" s="159"/>
      <c r="V41" s="159"/>
      <c r="W41" s="159"/>
      <c r="X41" s="159"/>
      <c r="Y41" s="159"/>
      <c r="Z41" s="159"/>
    </row>
    <row r="42">
      <c r="A42" s="294"/>
      <c r="B42" s="294" t="s">
        <v>535</v>
      </c>
      <c r="C42" s="293"/>
      <c r="D42" s="293" t="s">
        <v>427</v>
      </c>
      <c r="E42" s="293" t="s">
        <v>595</v>
      </c>
      <c r="F42" s="159"/>
      <c r="G42" s="293"/>
      <c r="I42" s="159"/>
      <c r="J42" s="159"/>
      <c r="K42" s="159"/>
      <c r="L42" s="159"/>
      <c r="M42" s="159"/>
      <c r="N42" s="159"/>
      <c r="O42" s="159"/>
      <c r="P42" s="159"/>
      <c r="Q42" s="159"/>
      <c r="R42" s="159"/>
      <c r="S42" s="159"/>
      <c r="T42" s="159"/>
      <c r="U42" s="159"/>
      <c r="V42" s="159"/>
      <c r="W42" s="159"/>
      <c r="X42" s="159"/>
      <c r="Y42" s="159"/>
      <c r="Z42" s="159"/>
    </row>
    <row r="43">
      <c r="A43" s="294"/>
      <c r="B43" s="294" t="s">
        <v>325</v>
      </c>
      <c r="C43" s="293"/>
      <c r="D43" s="293" t="s">
        <v>591</v>
      </c>
      <c r="E43" s="293" t="s">
        <v>593</v>
      </c>
      <c r="F43" s="159"/>
      <c r="G43" s="293"/>
      <c r="I43" s="159"/>
      <c r="J43" s="159"/>
      <c r="K43" s="159"/>
      <c r="L43" s="159"/>
      <c r="M43" s="159"/>
      <c r="N43" s="159"/>
      <c r="O43" s="159"/>
      <c r="P43" s="159"/>
      <c r="Q43" s="159"/>
      <c r="R43" s="159"/>
      <c r="S43" s="159"/>
      <c r="T43" s="159"/>
      <c r="U43" s="159"/>
      <c r="V43" s="159"/>
      <c r="W43" s="159"/>
      <c r="X43" s="159"/>
      <c r="Y43" s="159"/>
      <c r="Z43" s="159"/>
    </row>
    <row r="44">
      <c r="A44" s="294"/>
      <c r="B44" s="294" t="s">
        <v>90</v>
      </c>
      <c r="C44" s="293"/>
      <c r="D44" s="293" t="s">
        <v>585</v>
      </c>
      <c r="E44" s="293" t="s">
        <v>74</v>
      </c>
      <c r="F44" s="159"/>
      <c r="G44" s="293"/>
      <c r="I44" s="159"/>
      <c r="J44" s="159"/>
      <c r="K44" s="159"/>
      <c r="L44" s="159"/>
      <c r="M44" s="159"/>
      <c r="N44" s="159"/>
      <c r="O44" s="159"/>
      <c r="P44" s="159"/>
      <c r="Q44" s="159"/>
      <c r="R44" s="159"/>
      <c r="S44" s="159"/>
      <c r="T44" s="159"/>
      <c r="U44" s="159"/>
      <c r="V44" s="159"/>
      <c r="W44" s="159"/>
      <c r="X44" s="159"/>
      <c r="Y44" s="159"/>
      <c r="Z44" s="159"/>
    </row>
    <row r="45">
      <c r="A45" s="294"/>
      <c r="B45" s="294" t="s">
        <v>311</v>
      </c>
      <c r="C45" s="293"/>
      <c r="D45" s="293" t="s">
        <v>250</v>
      </c>
      <c r="E45" s="293" t="s">
        <v>71</v>
      </c>
      <c r="F45" s="159"/>
      <c r="G45" s="293"/>
      <c r="I45" s="159"/>
      <c r="J45" s="159"/>
      <c r="K45" s="159"/>
      <c r="L45" s="159"/>
      <c r="M45" s="159"/>
      <c r="N45" s="159"/>
      <c r="O45" s="159"/>
      <c r="P45" s="159"/>
      <c r="Q45" s="159"/>
      <c r="R45" s="159"/>
      <c r="S45" s="159"/>
      <c r="T45" s="159"/>
      <c r="U45" s="159"/>
      <c r="V45" s="159"/>
      <c r="W45" s="159"/>
      <c r="X45" s="159"/>
      <c r="Y45" s="159"/>
      <c r="Z45" s="159"/>
    </row>
    <row r="46">
      <c r="A46" s="294"/>
      <c r="B46" s="294" t="s">
        <v>238</v>
      </c>
      <c r="C46" s="293"/>
      <c r="D46" s="293" t="s">
        <v>59</v>
      </c>
      <c r="E46" s="293" t="s">
        <v>64</v>
      </c>
      <c r="F46" s="159"/>
      <c r="G46" s="293"/>
      <c r="I46" s="159"/>
      <c r="J46" s="159"/>
      <c r="K46" s="159"/>
      <c r="L46" s="159"/>
      <c r="M46" s="159"/>
      <c r="N46" s="159"/>
      <c r="O46" s="159"/>
      <c r="P46" s="159"/>
      <c r="Q46" s="159"/>
      <c r="R46" s="159"/>
      <c r="S46" s="159"/>
      <c r="T46" s="159"/>
      <c r="U46" s="159"/>
      <c r="V46" s="159"/>
      <c r="W46" s="159"/>
      <c r="X46" s="159"/>
      <c r="Y46" s="159"/>
      <c r="Z46" s="159"/>
    </row>
    <row r="47">
      <c r="A47" s="294"/>
      <c r="B47" s="294" t="s">
        <v>96</v>
      </c>
      <c r="C47" s="293"/>
      <c r="D47" s="293" t="s">
        <v>190</v>
      </c>
      <c r="E47" s="159"/>
      <c r="F47" s="159"/>
      <c r="G47" s="293"/>
      <c r="I47" s="159"/>
      <c r="J47" s="159"/>
      <c r="K47" s="159"/>
      <c r="L47" s="159"/>
      <c r="M47" s="159"/>
      <c r="N47" s="159"/>
      <c r="O47" s="159"/>
      <c r="P47" s="159"/>
      <c r="Q47" s="159"/>
      <c r="R47" s="159"/>
      <c r="S47" s="159"/>
      <c r="T47" s="159"/>
      <c r="U47" s="159"/>
      <c r="V47" s="159"/>
      <c r="W47" s="159"/>
      <c r="X47" s="159"/>
      <c r="Y47" s="159"/>
      <c r="Z47" s="159"/>
    </row>
    <row r="48">
      <c r="A48" s="294"/>
      <c r="B48" s="294"/>
      <c r="C48" s="293"/>
      <c r="D48" s="293" t="s">
        <v>389</v>
      </c>
      <c r="E48" s="159"/>
      <c r="F48" s="159"/>
      <c r="G48" s="293"/>
      <c r="H48" s="293"/>
      <c r="I48" s="159"/>
      <c r="J48" s="159"/>
      <c r="K48" s="159"/>
      <c r="L48" s="159"/>
      <c r="M48" s="159"/>
      <c r="N48" s="159"/>
      <c r="O48" s="159"/>
      <c r="P48" s="159"/>
      <c r="Q48" s="159"/>
      <c r="R48" s="159"/>
      <c r="S48" s="159"/>
      <c r="T48" s="159"/>
      <c r="U48" s="159"/>
      <c r="V48" s="159"/>
      <c r="W48" s="159"/>
      <c r="X48" s="159"/>
      <c r="Y48" s="159"/>
      <c r="Z48" s="159"/>
    </row>
    <row r="49">
      <c r="A49" s="294"/>
      <c r="B49" s="294" t="s">
        <v>215</v>
      </c>
      <c r="C49" s="293"/>
      <c r="D49" s="293" t="s">
        <v>522</v>
      </c>
      <c r="E49" s="159"/>
      <c r="F49" s="159"/>
      <c r="G49" s="293"/>
      <c r="H49" s="293"/>
      <c r="I49" s="159"/>
      <c r="J49" s="159"/>
      <c r="K49" s="159"/>
      <c r="L49" s="159"/>
      <c r="M49" s="159"/>
      <c r="N49" s="159"/>
      <c r="O49" s="159"/>
      <c r="P49" s="159"/>
      <c r="Q49" s="159"/>
      <c r="R49" s="159"/>
      <c r="S49" s="159"/>
      <c r="T49" s="159"/>
      <c r="U49" s="159"/>
      <c r="V49" s="159"/>
      <c r="W49" s="159"/>
      <c r="X49" s="159"/>
      <c r="Y49" s="159"/>
      <c r="Z49" s="159"/>
    </row>
    <row r="50">
      <c r="A50" s="294"/>
      <c r="B50" s="294" t="s">
        <v>128</v>
      </c>
      <c r="C50" s="293"/>
      <c r="D50" s="293" t="s">
        <v>439</v>
      </c>
      <c r="E50" s="159"/>
      <c r="F50" s="159"/>
      <c r="G50" s="293"/>
      <c r="H50" s="293"/>
      <c r="I50" s="159"/>
      <c r="J50" s="159"/>
      <c r="K50" s="159"/>
      <c r="L50" s="159"/>
      <c r="M50" s="159"/>
      <c r="N50" s="159"/>
      <c r="O50" s="159"/>
      <c r="P50" s="159"/>
      <c r="Q50" s="159"/>
      <c r="R50" s="159"/>
      <c r="S50" s="159"/>
      <c r="T50" s="159"/>
      <c r="U50" s="159"/>
      <c r="V50" s="159"/>
      <c r="W50" s="159"/>
      <c r="X50" s="159"/>
      <c r="Y50" s="159"/>
      <c r="Z50" s="159"/>
    </row>
    <row r="51">
      <c r="A51" s="294"/>
      <c r="B51" s="294" t="s">
        <v>572</v>
      </c>
      <c r="C51" s="293"/>
      <c r="D51" s="293" t="s">
        <v>518</v>
      </c>
      <c r="E51" s="159"/>
      <c r="F51" s="159"/>
      <c r="G51" s="293"/>
      <c r="H51" s="293"/>
      <c r="I51" s="159"/>
      <c r="J51" s="159"/>
      <c r="K51" s="159"/>
      <c r="L51" s="159"/>
      <c r="M51" s="159"/>
      <c r="N51" s="159"/>
      <c r="O51" s="159"/>
      <c r="P51" s="159"/>
      <c r="Q51" s="159"/>
      <c r="R51" s="159"/>
      <c r="S51" s="159"/>
      <c r="T51" s="159"/>
      <c r="U51" s="159"/>
      <c r="V51" s="159"/>
      <c r="W51" s="159"/>
      <c r="X51" s="159"/>
      <c r="Y51" s="159"/>
      <c r="Z51" s="159"/>
    </row>
    <row r="52">
      <c r="A52" s="294"/>
      <c r="B52" s="294" t="s">
        <v>276</v>
      </c>
      <c r="C52" s="293"/>
      <c r="D52" s="293" t="s">
        <v>577</v>
      </c>
      <c r="E52" s="159"/>
      <c r="F52" s="159"/>
      <c r="G52" s="293"/>
      <c r="H52" s="293"/>
      <c r="I52" s="159"/>
      <c r="J52" s="159"/>
      <c r="K52" s="159"/>
      <c r="L52" s="159"/>
      <c r="M52" s="159"/>
      <c r="N52" s="159"/>
      <c r="O52" s="159"/>
      <c r="P52" s="159"/>
      <c r="Q52" s="159"/>
      <c r="R52" s="159"/>
      <c r="S52" s="159"/>
      <c r="T52" s="159"/>
      <c r="U52" s="159"/>
      <c r="V52" s="159"/>
      <c r="W52" s="159"/>
      <c r="X52" s="159"/>
      <c r="Y52" s="159"/>
      <c r="Z52" s="159"/>
    </row>
    <row r="53">
      <c r="A53" s="294"/>
      <c r="B53" s="294" t="s">
        <v>116</v>
      </c>
      <c r="C53" s="293"/>
      <c r="D53" s="293" t="s">
        <v>520</v>
      </c>
      <c r="E53" s="159"/>
      <c r="F53" s="159"/>
      <c r="G53" s="293"/>
      <c r="H53" s="293"/>
      <c r="I53" s="159"/>
      <c r="J53" s="159"/>
      <c r="K53" s="159"/>
      <c r="L53" s="159"/>
      <c r="M53" s="159"/>
      <c r="N53" s="159"/>
      <c r="O53" s="159"/>
      <c r="P53" s="159"/>
      <c r="Q53" s="159"/>
      <c r="R53" s="159"/>
      <c r="S53" s="159"/>
      <c r="T53" s="159"/>
      <c r="U53" s="159"/>
      <c r="V53" s="159"/>
      <c r="W53" s="159"/>
      <c r="X53" s="159"/>
      <c r="Y53" s="159"/>
      <c r="Z53" s="159"/>
    </row>
    <row r="54">
      <c r="A54" s="294"/>
      <c r="B54" s="294" t="s">
        <v>270</v>
      </c>
      <c r="C54" s="293"/>
      <c r="D54" s="293" t="s">
        <v>464</v>
      </c>
      <c r="E54" s="159"/>
      <c r="F54" s="159"/>
      <c r="G54" s="293"/>
      <c r="H54" s="159"/>
      <c r="I54" s="159"/>
      <c r="J54" s="159"/>
      <c r="K54" s="159"/>
      <c r="L54" s="159"/>
      <c r="M54" s="159"/>
      <c r="N54" s="159"/>
      <c r="O54" s="159"/>
      <c r="P54" s="159"/>
      <c r="Q54" s="159"/>
      <c r="R54" s="159"/>
      <c r="S54" s="159"/>
      <c r="T54" s="159"/>
      <c r="U54" s="159"/>
      <c r="V54" s="159"/>
      <c r="W54" s="159"/>
      <c r="X54" s="159"/>
      <c r="Y54" s="159"/>
      <c r="Z54" s="159"/>
    </row>
    <row r="55">
      <c r="A55" s="294"/>
      <c r="B55" s="294" t="s">
        <v>99</v>
      </c>
      <c r="C55" s="293"/>
      <c r="D55" s="293" t="s">
        <v>454</v>
      </c>
      <c r="E55" s="159"/>
      <c r="F55" s="159"/>
      <c r="G55" s="293"/>
      <c r="I55" s="159"/>
      <c r="J55" s="159"/>
      <c r="K55" s="159"/>
      <c r="L55" s="159"/>
      <c r="M55" s="159"/>
      <c r="N55" s="159"/>
      <c r="O55" s="159"/>
      <c r="P55" s="159"/>
      <c r="Q55" s="159"/>
      <c r="R55" s="159"/>
      <c r="S55" s="159"/>
      <c r="T55" s="159"/>
      <c r="U55" s="159"/>
      <c r="V55" s="159"/>
      <c r="W55" s="159"/>
      <c r="X55" s="159"/>
      <c r="Y55" s="159"/>
      <c r="Z55" s="159"/>
    </row>
    <row r="56">
      <c r="A56" s="294"/>
      <c r="B56" s="294" t="s">
        <v>97</v>
      </c>
      <c r="C56" s="293"/>
      <c r="D56" s="293" t="s">
        <v>185</v>
      </c>
      <c r="E56" s="159"/>
      <c r="F56" s="159"/>
      <c r="G56" s="293"/>
      <c r="I56" s="159"/>
      <c r="J56" s="159"/>
      <c r="K56" s="159"/>
      <c r="L56" s="159"/>
      <c r="M56" s="159"/>
      <c r="N56" s="159"/>
      <c r="O56" s="159"/>
      <c r="P56" s="159"/>
      <c r="Q56" s="159"/>
      <c r="R56" s="159"/>
      <c r="S56" s="159"/>
      <c r="T56" s="159"/>
      <c r="U56" s="159"/>
      <c r="V56" s="159"/>
      <c r="W56" s="159"/>
      <c r="X56" s="159"/>
      <c r="Y56" s="159"/>
      <c r="Z56" s="159"/>
    </row>
    <row r="57">
      <c r="A57" s="294"/>
      <c r="B57" s="294" t="s">
        <v>496</v>
      </c>
      <c r="C57" s="293"/>
      <c r="D57" s="293" t="s">
        <v>457</v>
      </c>
      <c r="E57" s="159"/>
      <c r="F57" s="159"/>
      <c r="G57" s="293"/>
      <c r="I57" s="159"/>
      <c r="J57" s="159"/>
      <c r="K57" s="159"/>
      <c r="L57" s="159"/>
      <c r="M57" s="159"/>
      <c r="N57" s="159"/>
      <c r="O57" s="159"/>
      <c r="P57" s="159"/>
      <c r="Q57" s="159"/>
      <c r="R57" s="159"/>
      <c r="S57" s="159"/>
      <c r="T57" s="159"/>
      <c r="U57" s="159"/>
      <c r="V57" s="159"/>
      <c r="W57" s="159"/>
      <c r="X57" s="159"/>
      <c r="Y57" s="159"/>
      <c r="Z57" s="159"/>
    </row>
    <row r="58">
      <c r="A58" s="294"/>
      <c r="B58" s="294" t="s">
        <v>402</v>
      </c>
      <c r="C58" s="293"/>
      <c r="D58" s="293" t="s">
        <v>159</v>
      </c>
      <c r="E58" s="159"/>
      <c r="F58" s="159"/>
      <c r="G58" s="293"/>
      <c r="I58" s="159"/>
      <c r="J58" s="159"/>
      <c r="K58" s="159"/>
      <c r="L58" s="159"/>
      <c r="M58" s="159"/>
      <c r="N58" s="159"/>
      <c r="O58" s="159"/>
      <c r="P58" s="159"/>
      <c r="Q58" s="159"/>
      <c r="R58" s="159"/>
      <c r="S58" s="159"/>
      <c r="T58" s="159"/>
      <c r="U58" s="159"/>
      <c r="V58" s="159"/>
      <c r="W58" s="159"/>
      <c r="X58" s="159"/>
      <c r="Y58" s="159"/>
      <c r="Z58" s="159"/>
    </row>
    <row r="59">
      <c r="A59" s="294"/>
      <c r="B59" s="294" t="s">
        <v>486</v>
      </c>
      <c r="C59" s="293"/>
      <c r="D59" s="293" t="s">
        <v>357</v>
      </c>
      <c r="E59" s="159"/>
      <c r="F59" s="159"/>
      <c r="G59" s="293"/>
      <c r="I59" s="159"/>
      <c r="J59" s="159"/>
      <c r="K59" s="159"/>
      <c r="L59" s="159"/>
      <c r="M59" s="159"/>
      <c r="N59" s="159"/>
      <c r="O59" s="159"/>
      <c r="P59" s="159"/>
      <c r="Q59" s="159"/>
      <c r="R59" s="159"/>
      <c r="S59" s="159"/>
      <c r="T59" s="159"/>
      <c r="U59" s="159"/>
      <c r="V59" s="159"/>
      <c r="W59" s="159"/>
      <c r="X59" s="159"/>
      <c r="Y59" s="159"/>
      <c r="Z59" s="159"/>
    </row>
    <row r="60">
      <c r="A60" s="294"/>
      <c r="B60" s="294" t="s">
        <v>485</v>
      </c>
      <c r="C60" s="293"/>
      <c r="D60" s="293" t="s">
        <v>176</v>
      </c>
      <c r="E60" s="159"/>
      <c r="F60" s="159"/>
      <c r="G60" s="293"/>
      <c r="I60" s="159"/>
      <c r="J60" s="159"/>
      <c r="K60" s="159"/>
      <c r="L60" s="159"/>
      <c r="M60" s="159"/>
      <c r="N60" s="159"/>
      <c r="O60" s="159"/>
      <c r="P60" s="159"/>
      <c r="Q60" s="159"/>
      <c r="R60" s="159"/>
      <c r="S60" s="159"/>
      <c r="T60" s="159"/>
      <c r="U60" s="159"/>
      <c r="V60" s="159"/>
      <c r="W60" s="159"/>
      <c r="X60" s="159"/>
      <c r="Y60" s="159"/>
      <c r="Z60" s="159"/>
    </row>
    <row r="61">
      <c r="A61" s="294"/>
      <c r="B61" s="294" t="s">
        <v>371</v>
      </c>
      <c r="C61" s="293"/>
      <c r="D61" s="293" t="s">
        <v>254</v>
      </c>
      <c r="E61" s="159"/>
      <c r="F61" s="159"/>
      <c r="G61" s="293"/>
      <c r="I61" s="159"/>
      <c r="J61" s="159"/>
      <c r="K61" s="159"/>
      <c r="L61" s="159"/>
      <c r="M61" s="159"/>
      <c r="N61" s="159"/>
      <c r="O61" s="159"/>
      <c r="P61" s="159"/>
      <c r="Q61" s="159"/>
      <c r="R61" s="159"/>
      <c r="S61" s="159"/>
      <c r="T61" s="159"/>
      <c r="U61" s="159"/>
      <c r="V61" s="159"/>
      <c r="W61" s="159"/>
      <c r="X61" s="159"/>
      <c r="Y61" s="159"/>
      <c r="Z61" s="159"/>
    </row>
    <row r="62">
      <c r="A62" s="294"/>
      <c r="B62" s="294" t="s">
        <v>110</v>
      </c>
      <c r="C62" s="293"/>
      <c r="D62" s="293" t="s">
        <v>122</v>
      </c>
      <c r="E62" s="159"/>
      <c r="F62" s="159"/>
      <c r="G62" s="293"/>
      <c r="I62" s="159"/>
      <c r="J62" s="159"/>
      <c r="K62" s="159"/>
      <c r="L62" s="159"/>
      <c r="M62" s="159"/>
      <c r="N62" s="159"/>
      <c r="O62" s="159"/>
      <c r="P62" s="159"/>
      <c r="Q62" s="159"/>
      <c r="R62" s="159"/>
      <c r="S62" s="159"/>
      <c r="T62" s="159"/>
      <c r="U62" s="159"/>
      <c r="V62" s="159"/>
      <c r="W62" s="159"/>
      <c r="X62" s="159"/>
      <c r="Y62" s="159"/>
      <c r="Z62" s="159"/>
    </row>
    <row r="63">
      <c r="A63" s="294"/>
      <c r="B63" s="294" t="s">
        <v>326</v>
      </c>
      <c r="C63" s="293"/>
      <c r="D63" s="293" t="s">
        <v>227</v>
      </c>
      <c r="E63" s="159"/>
      <c r="F63" s="159"/>
      <c r="G63" s="293"/>
      <c r="I63" s="159"/>
      <c r="J63" s="159"/>
      <c r="K63" s="159"/>
      <c r="L63" s="159"/>
      <c r="M63" s="159"/>
      <c r="N63" s="159"/>
      <c r="O63" s="159"/>
      <c r="P63" s="159"/>
      <c r="Q63" s="159"/>
      <c r="R63" s="159"/>
      <c r="S63" s="159"/>
      <c r="T63" s="159"/>
      <c r="U63" s="159"/>
      <c r="V63" s="159"/>
      <c r="W63" s="159"/>
      <c r="X63" s="159"/>
      <c r="Y63" s="159"/>
      <c r="Z63" s="159"/>
    </row>
    <row r="64">
      <c r="A64" s="294"/>
      <c r="B64" s="294" t="s">
        <v>445</v>
      </c>
      <c r="C64" s="293"/>
      <c r="D64" s="293" t="s">
        <v>87</v>
      </c>
      <c r="E64" s="159"/>
      <c r="F64" s="159"/>
      <c r="G64" s="293"/>
      <c r="I64" s="159"/>
      <c r="J64" s="159"/>
      <c r="K64" s="159"/>
      <c r="L64" s="159"/>
      <c r="M64" s="159"/>
      <c r="N64" s="159"/>
      <c r="O64" s="159"/>
      <c r="P64" s="159"/>
      <c r="Q64" s="159"/>
      <c r="R64" s="159"/>
      <c r="S64" s="159"/>
      <c r="T64" s="159"/>
      <c r="U64" s="159"/>
      <c r="V64" s="159"/>
      <c r="W64" s="159"/>
      <c r="X64" s="159"/>
      <c r="Y64" s="159"/>
      <c r="Z64" s="159"/>
    </row>
    <row r="65">
      <c r="A65" s="294"/>
      <c r="B65" s="294" t="s">
        <v>319</v>
      </c>
      <c r="C65" s="293"/>
      <c r="D65" s="293" t="s">
        <v>258</v>
      </c>
      <c r="E65" s="159"/>
      <c r="F65" s="159"/>
      <c r="G65" s="293"/>
      <c r="I65" s="159"/>
      <c r="J65" s="159"/>
      <c r="K65" s="159"/>
      <c r="L65" s="159"/>
      <c r="M65" s="159"/>
      <c r="N65" s="159"/>
      <c r="O65" s="159"/>
      <c r="P65" s="159"/>
      <c r="Q65" s="159"/>
      <c r="R65" s="159"/>
      <c r="S65" s="159"/>
      <c r="T65" s="159"/>
      <c r="U65" s="159"/>
      <c r="V65" s="159"/>
      <c r="W65" s="159"/>
      <c r="X65" s="159"/>
      <c r="Y65" s="159"/>
      <c r="Z65" s="159"/>
    </row>
    <row r="66">
      <c r="A66" s="294"/>
      <c r="B66" s="294" t="s">
        <v>232</v>
      </c>
      <c r="C66" s="293"/>
      <c r="D66" s="293" t="s">
        <v>110</v>
      </c>
      <c r="E66" s="159"/>
      <c r="F66" s="159"/>
      <c r="G66" s="293"/>
      <c r="I66" s="159"/>
      <c r="J66" s="159"/>
      <c r="K66" s="159"/>
      <c r="L66" s="159"/>
      <c r="M66" s="159"/>
      <c r="N66" s="159"/>
      <c r="O66" s="159"/>
      <c r="P66" s="159"/>
      <c r="Q66" s="159"/>
      <c r="R66" s="159"/>
      <c r="S66" s="159"/>
      <c r="T66" s="159"/>
      <c r="U66" s="159"/>
      <c r="V66" s="159"/>
      <c r="W66" s="159"/>
      <c r="X66" s="159"/>
      <c r="Y66" s="159"/>
      <c r="Z66" s="159"/>
    </row>
    <row r="67">
      <c r="A67" s="294"/>
      <c r="B67" s="294" t="s">
        <v>417</v>
      </c>
      <c r="C67" s="293"/>
      <c r="D67" s="293" t="s">
        <v>264</v>
      </c>
      <c r="E67" s="159"/>
      <c r="F67" s="159"/>
      <c r="G67" s="293"/>
      <c r="I67" s="159"/>
      <c r="J67" s="159"/>
      <c r="K67" s="159"/>
      <c r="L67" s="159"/>
      <c r="M67" s="159"/>
      <c r="N67" s="159"/>
      <c r="O67" s="159"/>
      <c r="P67" s="159"/>
      <c r="Q67" s="159"/>
      <c r="R67" s="159"/>
      <c r="S67" s="159"/>
      <c r="T67" s="159"/>
      <c r="U67" s="159"/>
      <c r="V67" s="159"/>
      <c r="W67" s="159"/>
      <c r="X67" s="159"/>
      <c r="Y67" s="159"/>
      <c r="Z67" s="159"/>
    </row>
    <row r="68">
      <c r="A68" s="294"/>
      <c r="B68" s="294" t="s">
        <v>576</v>
      </c>
      <c r="C68" s="293"/>
      <c r="D68" s="293" t="s">
        <v>206</v>
      </c>
      <c r="E68" s="159"/>
      <c r="F68" s="159"/>
      <c r="G68" s="293"/>
      <c r="I68" s="159"/>
      <c r="J68" s="159"/>
      <c r="K68" s="159"/>
      <c r="L68" s="159"/>
      <c r="M68" s="159"/>
      <c r="N68" s="159"/>
      <c r="O68" s="159"/>
      <c r="P68" s="159"/>
      <c r="Q68" s="159"/>
      <c r="R68" s="159"/>
      <c r="S68" s="159"/>
      <c r="T68" s="159"/>
      <c r="U68" s="159"/>
      <c r="V68" s="159"/>
      <c r="W68" s="159"/>
      <c r="X68" s="159"/>
      <c r="Y68" s="159"/>
      <c r="Z68" s="159"/>
    </row>
    <row r="69">
      <c r="A69" s="294"/>
      <c r="B69" s="294" t="s">
        <v>89</v>
      </c>
      <c r="C69" s="293"/>
      <c r="D69" s="293" t="s">
        <v>499</v>
      </c>
      <c r="E69" s="159"/>
      <c r="F69" s="159"/>
      <c r="G69" s="293"/>
      <c r="I69" s="159"/>
      <c r="J69" s="159"/>
      <c r="K69" s="159"/>
      <c r="L69" s="159"/>
      <c r="M69" s="159"/>
      <c r="N69" s="159"/>
      <c r="O69" s="159"/>
      <c r="P69" s="159"/>
      <c r="Q69" s="159"/>
      <c r="R69" s="159"/>
      <c r="S69" s="159"/>
      <c r="T69" s="159"/>
      <c r="U69" s="159"/>
      <c r="V69" s="159"/>
      <c r="W69" s="159"/>
      <c r="X69" s="159"/>
      <c r="Y69" s="159"/>
      <c r="Z69" s="159"/>
    </row>
    <row r="70">
      <c r="A70" s="294"/>
      <c r="B70" s="294" t="s">
        <v>529</v>
      </c>
      <c r="C70" s="293"/>
      <c r="D70" s="293" t="s">
        <v>153</v>
      </c>
      <c r="E70" s="159"/>
      <c r="F70" s="159"/>
      <c r="G70" s="293"/>
      <c r="I70" s="159"/>
      <c r="J70" s="159"/>
      <c r="K70" s="159"/>
      <c r="L70" s="159"/>
      <c r="M70" s="159"/>
      <c r="N70" s="159"/>
      <c r="O70" s="159"/>
      <c r="P70" s="159"/>
      <c r="Q70" s="159"/>
      <c r="R70" s="159"/>
      <c r="S70" s="159"/>
      <c r="T70" s="159"/>
      <c r="U70" s="159"/>
      <c r="V70" s="159"/>
      <c r="W70" s="159"/>
      <c r="X70" s="159"/>
      <c r="Y70" s="159"/>
      <c r="Z70" s="159"/>
    </row>
    <row r="71">
      <c r="A71" s="294"/>
      <c r="B71" s="294" t="s">
        <v>557</v>
      </c>
      <c r="C71" s="293"/>
      <c r="D71" s="293" t="s">
        <v>103</v>
      </c>
      <c r="E71" s="159"/>
      <c r="F71" s="159"/>
      <c r="G71" s="293"/>
      <c r="I71" s="159"/>
      <c r="J71" s="159"/>
      <c r="K71" s="159"/>
      <c r="L71" s="159"/>
      <c r="M71" s="159"/>
      <c r="N71" s="159"/>
      <c r="O71" s="159"/>
      <c r="P71" s="159"/>
      <c r="Q71" s="159"/>
      <c r="R71" s="159"/>
      <c r="S71" s="159"/>
      <c r="T71" s="159"/>
      <c r="U71" s="159"/>
      <c r="V71" s="159"/>
      <c r="W71" s="159"/>
      <c r="X71" s="159"/>
      <c r="Y71" s="159"/>
      <c r="Z71" s="159"/>
    </row>
    <row r="72">
      <c r="A72" s="294"/>
      <c r="B72" s="294" t="s">
        <v>318</v>
      </c>
      <c r="C72" s="293"/>
      <c r="D72" s="293" t="s">
        <v>237</v>
      </c>
      <c r="E72" s="159"/>
      <c r="F72" s="159"/>
      <c r="G72" s="293"/>
      <c r="I72" s="159"/>
      <c r="J72" s="159"/>
      <c r="K72" s="159"/>
      <c r="L72" s="159"/>
      <c r="M72" s="159"/>
      <c r="N72" s="159"/>
      <c r="O72" s="159"/>
      <c r="P72" s="159"/>
      <c r="Q72" s="159"/>
      <c r="R72" s="159"/>
      <c r="S72" s="159"/>
      <c r="T72" s="159"/>
      <c r="U72" s="159"/>
      <c r="V72" s="159"/>
      <c r="W72" s="159"/>
      <c r="X72" s="159"/>
      <c r="Y72" s="159"/>
      <c r="Z72" s="159"/>
    </row>
    <row r="73">
      <c r="A73" s="294"/>
      <c r="B73" s="294" t="s">
        <v>468</v>
      </c>
      <c r="C73" s="293"/>
      <c r="D73" s="293" t="s">
        <v>204</v>
      </c>
      <c r="E73" s="159"/>
      <c r="F73" s="159"/>
      <c r="G73" s="293"/>
      <c r="I73" s="159"/>
      <c r="J73" s="159"/>
      <c r="K73" s="159"/>
      <c r="L73" s="159"/>
      <c r="M73" s="159"/>
      <c r="N73" s="159"/>
      <c r="O73" s="159"/>
      <c r="P73" s="159"/>
      <c r="Q73" s="159"/>
      <c r="R73" s="159"/>
      <c r="S73" s="159"/>
      <c r="T73" s="159"/>
      <c r="U73" s="159"/>
      <c r="V73" s="159"/>
      <c r="W73" s="159"/>
      <c r="X73" s="159"/>
      <c r="Y73" s="159"/>
      <c r="Z73" s="159"/>
    </row>
    <row r="74">
      <c r="A74" s="294"/>
      <c r="B74" s="294" t="s">
        <v>469</v>
      </c>
      <c r="C74" s="293"/>
      <c r="D74" s="293" t="s">
        <v>96</v>
      </c>
      <c r="E74" s="159"/>
      <c r="F74" s="159"/>
      <c r="G74" s="159"/>
      <c r="H74" s="159"/>
      <c r="I74" s="159"/>
      <c r="J74" s="159"/>
      <c r="K74" s="159"/>
      <c r="L74" s="159"/>
      <c r="M74" s="159"/>
      <c r="N74" s="159"/>
      <c r="O74" s="159"/>
      <c r="P74" s="159"/>
      <c r="Q74" s="159"/>
      <c r="R74" s="159"/>
      <c r="S74" s="159"/>
      <c r="T74" s="159"/>
      <c r="U74" s="159"/>
      <c r="V74" s="159"/>
      <c r="W74" s="159"/>
      <c r="X74" s="159"/>
      <c r="Y74" s="159"/>
      <c r="Z74" s="159"/>
    </row>
    <row r="75">
      <c r="A75" s="294"/>
      <c r="B75" s="294" t="s">
        <v>396</v>
      </c>
      <c r="C75" s="293"/>
      <c r="D75" s="293" t="s">
        <v>124</v>
      </c>
      <c r="E75" s="159"/>
      <c r="F75" s="159"/>
      <c r="G75" s="159"/>
      <c r="H75" s="159"/>
      <c r="I75" s="159"/>
      <c r="J75" s="159"/>
      <c r="K75" s="159"/>
      <c r="L75" s="159"/>
      <c r="M75" s="159"/>
      <c r="N75" s="159"/>
      <c r="O75" s="159"/>
      <c r="P75" s="159"/>
      <c r="Q75" s="159"/>
      <c r="R75" s="159"/>
      <c r="S75" s="159"/>
      <c r="T75" s="159"/>
      <c r="U75" s="159"/>
      <c r="V75" s="159"/>
      <c r="W75" s="159"/>
      <c r="X75" s="159"/>
      <c r="Y75" s="159"/>
      <c r="Z75" s="159"/>
    </row>
    <row r="76">
      <c r="A76" s="294"/>
      <c r="B76" s="294" t="s">
        <v>528</v>
      </c>
      <c r="C76" s="293"/>
      <c r="D76" s="293" t="s">
        <v>544</v>
      </c>
      <c r="E76" s="159"/>
      <c r="F76" s="159"/>
      <c r="G76" s="159"/>
      <c r="H76" s="159"/>
      <c r="I76" s="159"/>
      <c r="J76" s="159"/>
      <c r="K76" s="159"/>
      <c r="L76" s="159"/>
      <c r="M76" s="159"/>
      <c r="N76" s="159"/>
      <c r="O76" s="159"/>
      <c r="P76" s="159"/>
      <c r="Q76" s="159"/>
      <c r="R76" s="159"/>
      <c r="S76" s="159"/>
      <c r="T76" s="159"/>
      <c r="U76" s="159"/>
      <c r="V76" s="159"/>
      <c r="W76" s="159"/>
      <c r="X76" s="159"/>
      <c r="Y76" s="159"/>
      <c r="Z76" s="159"/>
    </row>
    <row r="77">
      <c r="A77" s="294"/>
      <c r="B77" s="294" t="s">
        <v>133</v>
      </c>
      <c r="C77" s="293"/>
      <c r="D77" s="293" t="s">
        <v>233</v>
      </c>
      <c r="E77" s="159"/>
      <c r="F77" s="159"/>
      <c r="G77" s="159"/>
      <c r="H77" s="159"/>
      <c r="I77" s="159"/>
      <c r="J77" s="159"/>
      <c r="K77" s="159"/>
      <c r="L77" s="159"/>
      <c r="M77" s="159"/>
      <c r="N77" s="159"/>
      <c r="O77" s="159"/>
      <c r="P77" s="159"/>
      <c r="Q77" s="159"/>
      <c r="R77" s="159"/>
      <c r="S77" s="159"/>
      <c r="T77" s="159"/>
      <c r="U77" s="159"/>
      <c r="V77" s="159"/>
      <c r="W77" s="159"/>
      <c r="X77" s="159"/>
      <c r="Y77" s="159"/>
      <c r="Z77" s="159"/>
    </row>
    <row r="78">
      <c r="A78" s="294"/>
      <c r="B78" s="294" t="s">
        <v>83</v>
      </c>
      <c r="C78" s="293"/>
      <c r="D78" s="293" t="s">
        <v>532</v>
      </c>
      <c r="E78" s="159"/>
      <c r="F78" s="159"/>
      <c r="G78" s="159"/>
      <c r="H78" s="159"/>
      <c r="I78" s="159"/>
      <c r="J78" s="159"/>
      <c r="K78" s="159"/>
      <c r="L78" s="159"/>
      <c r="M78" s="159"/>
      <c r="N78" s="159"/>
      <c r="O78" s="159"/>
      <c r="P78" s="159"/>
      <c r="Q78" s="159"/>
      <c r="R78" s="159"/>
      <c r="S78" s="159"/>
      <c r="T78" s="159"/>
      <c r="U78" s="159"/>
      <c r="V78" s="159"/>
      <c r="W78" s="159"/>
      <c r="X78" s="159"/>
      <c r="Y78" s="159"/>
      <c r="Z78" s="159"/>
    </row>
    <row r="79">
      <c r="A79" s="294"/>
      <c r="B79" s="294" t="s">
        <v>459</v>
      </c>
      <c r="C79" s="293"/>
      <c r="D79" s="293" t="s">
        <v>593</v>
      </c>
      <c r="E79" s="159"/>
      <c r="F79" s="159"/>
      <c r="G79" s="159"/>
      <c r="H79" s="159"/>
      <c r="I79" s="159"/>
      <c r="J79" s="159"/>
      <c r="K79" s="159"/>
      <c r="L79" s="159"/>
      <c r="M79" s="159"/>
      <c r="N79" s="159"/>
      <c r="O79" s="159"/>
      <c r="P79" s="159"/>
      <c r="Q79" s="159"/>
      <c r="R79" s="159"/>
      <c r="S79" s="159"/>
      <c r="T79" s="159"/>
      <c r="U79" s="159"/>
      <c r="V79" s="159"/>
      <c r="W79" s="159"/>
      <c r="X79" s="159"/>
      <c r="Y79" s="159"/>
      <c r="Z79" s="159"/>
    </row>
    <row r="80">
      <c r="A80" s="294"/>
      <c r="B80" s="294" t="s">
        <v>573</v>
      </c>
      <c r="C80" s="293"/>
      <c r="D80" s="293" t="s">
        <v>115</v>
      </c>
      <c r="E80" s="159"/>
      <c r="F80" s="159"/>
      <c r="G80" s="159"/>
      <c r="H80" s="159"/>
      <c r="I80" s="159"/>
      <c r="J80" s="159"/>
      <c r="K80" s="159"/>
      <c r="L80" s="159"/>
      <c r="M80" s="159"/>
      <c r="N80" s="159"/>
      <c r="O80" s="159"/>
      <c r="P80" s="159"/>
      <c r="Q80" s="159"/>
      <c r="R80" s="159"/>
      <c r="S80" s="159"/>
      <c r="T80" s="159"/>
      <c r="U80" s="159"/>
      <c r="V80" s="159"/>
      <c r="W80" s="159"/>
      <c r="X80" s="159"/>
      <c r="Y80" s="159"/>
      <c r="Z80" s="159"/>
    </row>
    <row r="81">
      <c r="A81" s="294"/>
      <c r="B81" s="294" t="s">
        <v>512</v>
      </c>
      <c r="C81" s="293"/>
      <c r="D81" s="293" t="s">
        <v>345</v>
      </c>
      <c r="E81" s="159"/>
      <c r="F81" s="159"/>
      <c r="G81" s="159"/>
      <c r="H81" s="159"/>
      <c r="I81" s="159"/>
      <c r="J81" s="159"/>
      <c r="K81" s="159"/>
      <c r="L81" s="159"/>
      <c r="M81" s="159"/>
      <c r="N81" s="159"/>
      <c r="O81" s="159"/>
      <c r="P81" s="159"/>
      <c r="Q81" s="159"/>
      <c r="R81" s="159"/>
      <c r="S81" s="159"/>
      <c r="T81" s="159"/>
      <c r="U81" s="159"/>
      <c r="V81" s="159"/>
      <c r="W81" s="159"/>
      <c r="X81" s="159"/>
      <c r="Y81" s="159"/>
      <c r="Z81" s="159"/>
    </row>
    <row r="82">
      <c r="A82" s="294"/>
      <c r="B82" s="294" t="s">
        <v>511</v>
      </c>
      <c r="C82" s="293"/>
      <c r="D82" s="293" t="s">
        <v>128</v>
      </c>
      <c r="E82" s="159"/>
      <c r="F82" s="159"/>
      <c r="G82" s="159"/>
      <c r="H82" s="159"/>
      <c r="I82" s="159"/>
      <c r="J82" s="159"/>
      <c r="K82" s="159"/>
      <c r="L82" s="159"/>
      <c r="M82" s="159"/>
      <c r="N82" s="159"/>
      <c r="O82" s="159"/>
      <c r="P82" s="159"/>
      <c r="Q82" s="159"/>
      <c r="R82" s="159"/>
      <c r="S82" s="159"/>
      <c r="T82" s="159"/>
      <c r="U82" s="159"/>
      <c r="V82" s="159"/>
      <c r="W82" s="159"/>
      <c r="X82" s="159"/>
      <c r="Y82" s="159"/>
      <c r="Z82" s="159"/>
    </row>
    <row r="83">
      <c r="A83" s="294"/>
      <c r="B83" s="294" t="s">
        <v>382</v>
      </c>
      <c r="C83" s="293"/>
      <c r="D83" s="293" t="s">
        <v>162</v>
      </c>
      <c r="E83" s="159"/>
      <c r="F83" s="159"/>
      <c r="G83" s="159"/>
      <c r="H83" s="159"/>
      <c r="I83" s="159"/>
      <c r="J83" s="159"/>
      <c r="K83" s="159"/>
      <c r="L83" s="159"/>
      <c r="M83" s="159"/>
      <c r="N83" s="159"/>
      <c r="O83" s="159"/>
      <c r="P83" s="159"/>
      <c r="Q83" s="159"/>
      <c r="R83" s="159"/>
      <c r="S83" s="159"/>
      <c r="T83" s="159"/>
      <c r="U83" s="159"/>
      <c r="V83" s="159"/>
      <c r="W83" s="159"/>
      <c r="X83" s="159"/>
      <c r="Y83" s="159"/>
      <c r="Z83" s="159"/>
    </row>
    <row r="84">
      <c r="A84" s="294"/>
      <c r="B84" s="294" t="s">
        <v>564</v>
      </c>
      <c r="C84" s="293"/>
      <c r="D84" s="293" t="s">
        <v>132</v>
      </c>
      <c r="E84" s="159"/>
      <c r="F84" s="159"/>
      <c r="G84" s="159"/>
      <c r="H84" s="159"/>
      <c r="I84" s="159"/>
      <c r="J84" s="159"/>
      <c r="K84" s="159"/>
      <c r="L84" s="159"/>
      <c r="M84" s="159"/>
      <c r="N84" s="159"/>
      <c r="O84" s="159"/>
      <c r="P84" s="159"/>
      <c r="Q84" s="159"/>
      <c r="R84" s="159"/>
      <c r="S84" s="159"/>
      <c r="T84" s="159"/>
      <c r="U84" s="159"/>
      <c r="V84" s="159"/>
      <c r="W84" s="159"/>
      <c r="X84" s="159"/>
      <c r="Y84" s="159"/>
      <c r="Z84" s="159"/>
    </row>
    <row r="85">
      <c r="A85" s="294"/>
      <c r="B85" s="294" t="s">
        <v>240</v>
      </c>
      <c r="C85" s="293"/>
      <c r="D85" s="293" t="s">
        <v>229</v>
      </c>
      <c r="E85" s="159"/>
      <c r="F85" s="159"/>
      <c r="G85" s="159"/>
      <c r="H85" s="159"/>
      <c r="I85" s="159"/>
      <c r="J85" s="159"/>
      <c r="K85" s="159"/>
      <c r="L85" s="159"/>
      <c r="M85" s="159"/>
      <c r="N85" s="159"/>
      <c r="O85" s="159"/>
      <c r="P85" s="159"/>
      <c r="Q85" s="159"/>
      <c r="R85" s="159"/>
      <c r="S85" s="159"/>
      <c r="T85" s="159"/>
      <c r="U85" s="159"/>
      <c r="V85" s="159"/>
      <c r="W85" s="159"/>
      <c r="X85" s="159"/>
      <c r="Y85" s="159"/>
      <c r="Z85" s="159"/>
    </row>
    <row r="86">
      <c r="A86" s="294"/>
      <c r="B86" s="294" t="s">
        <v>375</v>
      </c>
      <c r="C86" s="293"/>
      <c r="D86" s="293" t="s">
        <v>475</v>
      </c>
      <c r="E86" s="159"/>
      <c r="F86" s="159"/>
      <c r="G86" s="159"/>
      <c r="H86" s="159"/>
      <c r="I86" s="159"/>
      <c r="J86" s="159"/>
      <c r="K86" s="159"/>
      <c r="L86" s="159"/>
      <c r="M86" s="159"/>
      <c r="N86" s="159"/>
      <c r="O86" s="159"/>
      <c r="P86" s="159"/>
      <c r="Q86" s="159"/>
      <c r="R86" s="159"/>
      <c r="S86" s="159"/>
      <c r="T86" s="159"/>
      <c r="U86" s="159"/>
      <c r="V86" s="159"/>
      <c r="W86" s="159"/>
      <c r="X86" s="159"/>
      <c r="Y86" s="159"/>
      <c r="Z86" s="159"/>
    </row>
    <row r="87">
      <c r="A87" s="294"/>
      <c r="B87" s="294" t="s">
        <v>527</v>
      </c>
      <c r="C87" s="293"/>
      <c r="D87" s="293" t="s">
        <v>247</v>
      </c>
      <c r="E87" s="159"/>
      <c r="F87" s="159"/>
      <c r="G87" s="159"/>
      <c r="H87" s="159"/>
      <c r="I87" s="159"/>
      <c r="J87" s="159"/>
      <c r="K87" s="159"/>
      <c r="L87" s="159"/>
      <c r="M87" s="159"/>
      <c r="N87" s="159"/>
      <c r="O87" s="159"/>
      <c r="P87" s="159"/>
      <c r="Q87" s="159"/>
      <c r="R87" s="159"/>
      <c r="S87" s="159"/>
      <c r="T87" s="159"/>
      <c r="U87" s="159"/>
      <c r="V87" s="159"/>
      <c r="W87" s="159"/>
      <c r="X87" s="159"/>
      <c r="Y87" s="159"/>
      <c r="Z87" s="159"/>
    </row>
    <row r="88">
      <c r="A88" s="294"/>
      <c r="B88" s="294" t="s">
        <v>523</v>
      </c>
      <c r="C88" s="293"/>
      <c r="D88" s="293" t="s">
        <v>141</v>
      </c>
      <c r="E88" s="159"/>
      <c r="F88" s="159"/>
      <c r="G88" s="159"/>
      <c r="H88" s="159"/>
      <c r="I88" s="159"/>
      <c r="J88" s="159"/>
      <c r="K88" s="159"/>
      <c r="L88" s="159"/>
      <c r="M88" s="159"/>
      <c r="N88" s="159"/>
      <c r="O88" s="159"/>
      <c r="P88" s="159"/>
      <c r="Q88" s="159"/>
      <c r="R88" s="159"/>
      <c r="S88" s="159"/>
      <c r="T88" s="159"/>
      <c r="U88" s="159"/>
      <c r="V88" s="159"/>
      <c r="W88" s="159"/>
      <c r="X88" s="159"/>
      <c r="Y88" s="159"/>
      <c r="Z88" s="159"/>
    </row>
    <row r="89">
      <c r="A89" s="294"/>
      <c r="B89" s="294" t="s">
        <v>192</v>
      </c>
      <c r="C89" s="293"/>
      <c r="D89" s="293" t="s">
        <v>369</v>
      </c>
      <c r="E89" s="159"/>
      <c r="F89" s="159"/>
      <c r="G89" s="159"/>
      <c r="H89" s="159"/>
      <c r="I89" s="159"/>
      <c r="J89" s="159"/>
      <c r="K89" s="159"/>
      <c r="L89" s="159"/>
      <c r="M89" s="159"/>
      <c r="N89" s="159"/>
      <c r="O89" s="159"/>
      <c r="P89" s="159"/>
      <c r="Q89" s="159"/>
      <c r="R89" s="159"/>
      <c r="S89" s="159"/>
      <c r="T89" s="159"/>
      <c r="U89" s="159"/>
      <c r="V89" s="159"/>
      <c r="W89" s="159"/>
      <c r="X89" s="159"/>
      <c r="Y89" s="159"/>
      <c r="Z89" s="159"/>
    </row>
    <row r="90">
      <c r="A90" s="294"/>
      <c r="B90" s="294" t="s">
        <v>198</v>
      </c>
      <c r="C90" s="293"/>
      <c r="D90" s="293" t="s">
        <v>364</v>
      </c>
      <c r="E90" s="159"/>
      <c r="F90" s="159"/>
      <c r="G90" s="159"/>
      <c r="H90" s="159"/>
      <c r="I90" s="159"/>
      <c r="J90" s="159"/>
      <c r="K90" s="159"/>
      <c r="L90" s="159"/>
      <c r="M90" s="159"/>
      <c r="N90" s="159"/>
      <c r="O90" s="159"/>
      <c r="P90" s="159"/>
      <c r="Q90" s="159"/>
      <c r="R90" s="159"/>
      <c r="S90" s="159"/>
      <c r="T90" s="159"/>
      <c r="U90" s="159"/>
      <c r="V90" s="159"/>
      <c r="W90" s="159"/>
      <c r="X90" s="159"/>
      <c r="Y90" s="159"/>
      <c r="Z90" s="159"/>
    </row>
    <row r="91">
      <c r="A91" s="294"/>
      <c r="B91" s="294" t="s">
        <v>372</v>
      </c>
      <c r="C91" s="293"/>
      <c r="D91" s="293" t="s">
        <v>517</v>
      </c>
      <c r="E91" s="159"/>
      <c r="F91" s="159"/>
      <c r="G91" s="159"/>
      <c r="H91" s="159"/>
      <c r="I91" s="159"/>
      <c r="J91" s="159"/>
      <c r="K91" s="159"/>
      <c r="L91" s="159"/>
      <c r="M91" s="159"/>
      <c r="N91" s="159"/>
      <c r="O91" s="159"/>
      <c r="P91" s="159"/>
      <c r="Q91" s="159"/>
      <c r="R91" s="159"/>
      <c r="S91" s="159"/>
      <c r="T91" s="159"/>
      <c r="U91" s="159"/>
      <c r="V91" s="159"/>
      <c r="W91" s="159"/>
      <c r="X91" s="159"/>
      <c r="Y91" s="159"/>
      <c r="Z91" s="159"/>
    </row>
    <row r="92">
      <c r="A92" s="294"/>
      <c r="B92" s="294" t="s">
        <v>479</v>
      </c>
      <c r="C92" s="293"/>
      <c r="D92" s="293" t="s">
        <v>416</v>
      </c>
      <c r="E92" s="159"/>
      <c r="F92" s="159"/>
      <c r="G92" s="159"/>
      <c r="H92" s="159"/>
      <c r="I92" s="159"/>
      <c r="J92" s="159"/>
      <c r="K92" s="159"/>
      <c r="L92" s="159"/>
      <c r="M92" s="159"/>
      <c r="N92" s="159"/>
      <c r="O92" s="159"/>
      <c r="P92" s="159"/>
      <c r="Q92" s="159"/>
      <c r="R92" s="159"/>
      <c r="S92" s="159"/>
      <c r="T92" s="159"/>
      <c r="U92" s="159"/>
      <c r="V92" s="159"/>
      <c r="W92" s="159"/>
      <c r="X92" s="159"/>
      <c r="Y92" s="159"/>
      <c r="Z92" s="159"/>
    </row>
    <row r="93">
      <c r="A93" s="294"/>
      <c r="B93" s="294" t="s">
        <v>94</v>
      </c>
      <c r="C93" s="293"/>
      <c r="D93" s="293" t="s">
        <v>531</v>
      </c>
      <c r="E93" s="159"/>
      <c r="F93" s="159"/>
      <c r="G93" s="159"/>
      <c r="H93" s="159"/>
      <c r="I93" s="159"/>
      <c r="J93" s="159"/>
      <c r="K93" s="159"/>
      <c r="L93" s="159"/>
      <c r="M93" s="159"/>
      <c r="N93" s="159"/>
      <c r="O93" s="159"/>
      <c r="P93" s="159"/>
      <c r="Q93" s="159"/>
      <c r="R93" s="159"/>
      <c r="S93" s="159"/>
      <c r="T93" s="159"/>
      <c r="U93" s="159"/>
      <c r="V93" s="159"/>
      <c r="W93" s="159"/>
      <c r="X93" s="159"/>
      <c r="Y93" s="159"/>
      <c r="Z93" s="159"/>
    </row>
    <row r="94">
      <c r="A94" s="294"/>
      <c r="B94" s="294" t="s">
        <v>431</v>
      </c>
      <c r="C94" s="293"/>
      <c r="D94" s="293" t="s">
        <v>183</v>
      </c>
      <c r="E94" s="159"/>
      <c r="F94" s="159"/>
      <c r="G94" s="159"/>
      <c r="H94" s="159"/>
      <c r="I94" s="159"/>
      <c r="J94" s="159"/>
      <c r="K94" s="159"/>
      <c r="L94" s="159"/>
      <c r="M94" s="159"/>
      <c r="N94" s="159"/>
      <c r="O94" s="159"/>
      <c r="P94" s="159"/>
      <c r="Q94" s="159"/>
      <c r="R94" s="159"/>
      <c r="S94" s="159"/>
      <c r="T94" s="159"/>
      <c r="U94" s="159"/>
      <c r="V94" s="159"/>
      <c r="W94" s="159"/>
      <c r="X94" s="159"/>
      <c r="Y94" s="159"/>
      <c r="Z94" s="159"/>
    </row>
    <row r="95">
      <c r="A95" s="294"/>
      <c r="B95" s="294" t="s">
        <v>305</v>
      </c>
      <c r="C95" s="293"/>
      <c r="D95" s="293" t="s">
        <v>253</v>
      </c>
      <c r="E95" s="159"/>
      <c r="F95" s="159"/>
      <c r="G95" s="159"/>
      <c r="H95" s="159"/>
      <c r="I95" s="159"/>
      <c r="J95" s="159"/>
      <c r="K95" s="159"/>
      <c r="L95" s="159"/>
      <c r="M95" s="159"/>
      <c r="N95" s="159"/>
      <c r="O95" s="159"/>
      <c r="P95" s="159"/>
      <c r="Q95" s="159"/>
      <c r="R95" s="159"/>
      <c r="S95" s="159"/>
      <c r="T95" s="159"/>
      <c r="U95" s="159"/>
      <c r="V95" s="159"/>
      <c r="W95" s="159"/>
      <c r="X95" s="159"/>
      <c r="Y95" s="159"/>
      <c r="Z95" s="159"/>
    </row>
    <row r="96">
      <c r="A96" s="294"/>
      <c r="B96" s="294" t="s">
        <v>549</v>
      </c>
      <c r="C96" s="293"/>
      <c r="D96" s="293" t="s">
        <v>558</v>
      </c>
      <c r="E96" s="159"/>
      <c r="F96" s="159"/>
      <c r="G96" s="159"/>
      <c r="H96" s="159"/>
      <c r="I96" s="159"/>
      <c r="J96" s="159"/>
      <c r="K96" s="159"/>
      <c r="L96" s="159"/>
      <c r="M96" s="159"/>
      <c r="N96" s="159"/>
      <c r="O96" s="159"/>
      <c r="P96" s="159"/>
      <c r="Q96" s="159"/>
      <c r="R96" s="159"/>
      <c r="S96" s="159"/>
      <c r="T96" s="159"/>
      <c r="U96" s="159"/>
      <c r="V96" s="159"/>
      <c r="W96" s="159"/>
      <c r="X96" s="159"/>
      <c r="Y96" s="159"/>
      <c r="Z96" s="159"/>
    </row>
    <row r="97">
      <c r="A97" s="294"/>
      <c r="B97" s="294" t="s">
        <v>142</v>
      </c>
      <c r="C97" s="293"/>
      <c r="D97" s="293" t="s">
        <v>287</v>
      </c>
      <c r="E97" s="159"/>
      <c r="F97" s="159"/>
      <c r="G97" s="159"/>
      <c r="H97" s="159"/>
      <c r="I97" s="159"/>
      <c r="J97" s="159"/>
      <c r="K97" s="159"/>
      <c r="L97" s="159"/>
      <c r="M97" s="159"/>
      <c r="N97" s="159"/>
      <c r="O97" s="159"/>
      <c r="P97" s="159"/>
      <c r="Q97" s="159"/>
      <c r="R97" s="159"/>
      <c r="S97" s="159"/>
      <c r="T97" s="159"/>
      <c r="U97" s="159"/>
      <c r="V97" s="159"/>
      <c r="W97" s="159"/>
      <c r="X97" s="159"/>
      <c r="Y97" s="159"/>
      <c r="Z97" s="159"/>
    </row>
    <row r="98">
      <c r="A98" s="294"/>
      <c r="B98" s="294" t="s">
        <v>71</v>
      </c>
      <c r="C98" s="293"/>
      <c r="D98" s="293" t="s">
        <v>191</v>
      </c>
      <c r="E98" s="159"/>
      <c r="F98" s="159"/>
      <c r="G98" s="159"/>
      <c r="H98" s="159"/>
      <c r="I98" s="159"/>
      <c r="J98" s="159"/>
      <c r="K98" s="159"/>
      <c r="L98" s="159"/>
      <c r="M98" s="159"/>
      <c r="N98" s="159"/>
      <c r="O98" s="159"/>
      <c r="P98" s="159"/>
      <c r="Q98" s="159"/>
      <c r="R98" s="159"/>
      <c r="S98" s="159"/>
      <c r="T98" s="159"/>
      <c r="U98" s="159"/>
      <c r="V98" s="159"/>
      <c r="W98" s="159"/>
      <c r="X98" s="159"/>
      <c r="Y98" s="159"/>
      <c r="Z98" s="159"/>
    </row>
    <row r="99">
      <c r="A99" s="294"/>
      <c r="B99" s="294" t="s">
        <v>418</v>
      </c>
      <c r="C99" s="293"/>
      <c r="D99" s="293" t="s">
        <v>198</v>
      </c>
      <c r="E99" s="159"/>
      <c r="F99" s="159"/>
      <c r="G99" s="159"/>
      <c r="H99" s="159"/>
      <c r="I99" s="159"/>
      <c r="J99" s="159"/>
      <c r="K99" s="159"/>
      <c r="L99" s="159"/>
      <c r="M99" s="159"/>
      <c r="N99" s="159"/>
      <c r="O99" s="159"/>
      <c r="P99" s="159"/>
      <c r="Q99" s="159"/>
      <c r="R99" s="159"/>
      <c r="S99" s="159"/>
      <c r="T99" s="159"/>
      <c r="U99" s="159"/>
      <c r="V99" s="159"/>
      <c r="W99" s="159"/>
      <c r="X99" s="159"/>
      <c r="Y99" s="159"/>
      <c r="Z99" s="159"/>
    </row>
    <row r="100">
      <c r="A100" s="294"/>
      <c r="B100" s="294" t="s">
        <v>77</v>
      </c>
      <c r="C100" s="293"/>
      <c r="D100" s="293" t="s">
        <v>201</v>
      </c>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c r="A101" s="294"/>
      <c r="B101" s="294" t="s">
        <v>586</v>
      </c>
      <c r="C101" s="293"/>
      <c r="D101" s="293" t="s">
        <v>397</v>
      </c>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c r="A102" s="294"/>
      <c r="B102" s="294" t="s">
        <v>239</v>
      </c>
      <c r="C102" s="293"/>
      <c r="D102" s="293" t="s">
        <v>572</v>
      </c>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c r="A103" s="294"/>
      <c r="B103" s="294" t="s">
        <v>103</v>
      </c>
      <c r="C103" s="293"/>
      <c r="D103" s="293" t="s">
        <v>515</v>
      </c>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c r="A104" s="294"/>
      <c r="B104" s="294" t="s">
        <v>244</v>
      </c>
      <c r="C104" s="293"/>
      <c r="D104" s="293" t="s">
        <v>228</v>
      </c>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c r="A105" s="294"/>
      <c r="B105" s="294" t="s">
        <v>353</v>
      </c>
      <c r="C105" s="293"/>
      <c r="D105" s="293" t="s">
        <v>424</v>
      </c>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c r="A106" s="294"/>
      <c r="B106" s="294"/>
      <c r="C106" s="293"/>
      <c r="D106" s="293" t="s">
        <v>441</v>
      </c>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c r="A107" s="294"/>
      <c r="B107" s="294"/>
      <c r="C107" s="293"/>
      <c r="D107" s="293" t="s">
        <v>589</v>
      </c>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c r="A108" s="294"/>
      <c r="B108" s="294"/>
      <c r="C108" s="293"/>
      <c r="D108" s="293" t="s">
        <v>225</v>
      </c>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c r="A109" s="294"/>
      <c r="B109" s="294"/>
      <c r="C109" s="293"/>
      <c r="D109" s="293" t="s">
        <v>175</v>
      </c>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c r="A110" s="294"/>
      <c r="B110" s="294"/>
      <c r="C110" s="293"/>
      <c r="D110" s="293" t="s">
        <v>282</v>
      </c>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c r="A111" s="294"/>
      <c r="B111" s="294"/>
      <c r="C111" s="293"/>
      <c r="D111" s="293" t="s">
        <v>130</v>
      </c>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c r="A112" s="294"/>
      <c r="B112" s="294"/>
      <c r="C112" s="293"/>
      <c r="D112" s="293" t="s">
        <v>270</v>
      </c>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c r="A113" s="294"/>
      <c r="B113" s="294"/>
      <c r="C113" s="293"/>
      <c r="D113" s="293" t="s">
        <v>116</v>
      </c>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c r="A114" s="294"/>
      <c r="B114" s="294"/>
      <c r="C114" s="293"/>
      <c r="D114" s="293" t="s">
        <v>426</v>
      </c>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c r="A115" s="294"/>
      <c r="B115" s="294"/>
      <c r="C115" s="293"/>
      <c r="D115" s="293" t="s">
        <v>232</v>
      </c>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c r="A116" s="294"/>
      <c r="B116" s="294"/>
      <c r="C116" s="293"/>
      <c r="D116" s="293" t="s">
        <v>278</v>
      </c>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c r="A117" s="294"/>
      <c r="B117" s="294"/>
      <c r="C117" s="293"/>
      <c r="D117" s="293" t="s">
        <v>97</v>
      </c>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c r="A118" s="294"/>
      <c r="B118" s="294"/>
      <c r="C118" s="293"/>
      <c r="D118" s="293" t="s">
        <v>496</v>
      </c>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c r="A119" s="294"/>
      <c r="B119" s="294"/>
      <c r="C119" s="293"/>
      <c r="D119" s="293" t="s">
        <v>133</v>
      </c>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c r="A120" s="294"/>
      <c r="B120" s="294"/>
      <c r="C120" s="293"/>
      <c r="D120" s="293" t="s">
        <v>280</v>
      </c>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c r="A121" s="294"/>
      <c r="B121" s="294"/>
      <c r="C121" s="293"/>
      <c r="D121" s="293" t="s">
        <v>197</v>
      </c>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c r="A122" s="294"/>
      <c r="B122" s="294"/>
      <c r="C122" s="293"/>
      <c r="D122" s="293" t="s">
        <v>521</v>
      </c>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c r="A123" s="294"/>
      <c r="B123" s="294"/>
      <c r="C123" s="293"/>
      <c r="D123" s="293" t="s">
        <v>260</v>
      </c>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c r="A124" s="294"/>
      <c r="B124" s="294"/>
      <c r="C124" s="293"/>
      <c r="D124" s="293" t="s">
        <v>423</v>
      </c>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c r="A125" s="294"/>
      <c r="B125" s="294"/>
      <c r="C125" s="293"/>
      <c r="D125" s="293" t="s">
        <v>414</v>
      </c>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c r="A126" s="294"/>
      <c r="B126" s="294"/>
      <c r="C126" s="293"/>
      <c r="D126" s="293" t="s">
        <v>279</v>
      </c>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c r="A127" s="294"/>
      <c r="B127" s="294"/>
      <c r="C127" s="293"/>
      <c r="D127" s="293" t="s">
        <v>99</v>
      </c>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c r="A128" s="294"/>
      <c r="B128" s="294"/>
      <c r="C128" s="293"/>
      <c r="D128" s="293" t="s">
        <v>311</v>
      </c>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c r="A129" s="294"/>
      <c r="B129" s="294"/>
      <c r="C129" s="293"/>
      <c r="D129" s="293" t="s">
        <v>243</v>
      </c>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c r="A130" s="294"/>
      <c r="B130" s="294"/>
      <c r="C130" s="293"/>
      <c r="D130" s="293" t="s">
        <v>502</v>
      </c>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c r="A131" s="294"/>
      <c r="B131" s="294"/>
      <c r="C131" s="293"/>
      <c r="D131" s="293" t="s">
        <v>63</v>
      </c>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c r="A132" s="294"/>
      <c r="B132" s="294"/>
      <c r="C132" s="293"/>
      <c r="D132" s="293" t="s">
        <v>548</v>
      </c>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c r="A133" s="294"/>
      <c r="B133" s="294"/>
      <c r="C133" s="293"/>
      <c r="D133" s="293" t="s">
        <v>263</v>
      </c>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c r="A134" s="294"/>
      <c r="B134" s="294"/>
      <c r="C134" s="293"/>
      <c r="D134" s="293" t="s">
        <v>76</v>
      </c>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c r="A135" s="294"/>
      <c r="B135" s="294"/>
      <c r="C135" s="293"/>
      <c r="D135" s="293" t="s">
        <v>469</v>
      </c>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c r="A136" s="294"/>
      <c r="B136" s="294"/>
      <c r="C136" s="293"/>
      <c r="D136" s="293" t="s">
        <v>236</v>
      </c>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c r="A137" s="294"/>
      <c r="B137" s="294"/>
      <c r="C137" s="293"/>
      <c r="D137" s="293" t="s">
        <v>230</v>
      </c>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c r="A138" s="294"/>
      <c r="B138" s="294"/>
      <c r="C138" s="293"/>
      <c r="D138" s="293" t="s">
        <v>240</v>
      </c>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c r="A139" s="294"/>
      <c r="B139" s="294"/>
      <c r="C139" s="293"/>
      <c r="D139" s="293" t="s">
        <v>347</v>
      </c>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c r="A140" s="294"/>
      <c r="B140" s="294"/>
      <c r="C140" s="293"/>
      <c r="D140" s="293" t="s">
        <v>556</v>
      </c>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c r="A141" s="294"/>
      <c r="B141" s="294"/>
      <c r="C141" s="293"/>
      <c r="D141" s="293" t="s">
        <v>417</v>
      </c>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c r="A142" s="294"/>
      <c r="B142" s="294"/>
      <c r="C142" s="293"/>
      <c r="D142" s="293" t="s">
        <v>262</v>
      </c>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c r="A143" s="294"/>
      <c r="B143" s="294"/>
      <c r="C143" s="293"/>
      <c r="D143" s="293" t="s">
        <v>351</v>
      </c>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c r="A144" s="294"/>
      <c r="B144" s="294"/>
      <c r="C144" s="293"/>
      <c r="D144" s="293" t="s">
        <v>283</v>
      </c>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c r="A145" s="294"/>
      <c r="B145" s="294"/>
      <c r="C145" s="293"/>
      <c r="D145" s="293" t="s">
        <v>79</v>
      </c>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c r="A146" s="294"/>
      <c r="B146" s="294"/>
      <c r="C146" s="293"/>
      <c r="D146" s="293" t="s">
        <v>259</v>
      </c>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c r="A147" s="294"/>
      <c r="B147" s="294"/>
      <c r="C147" s="293"/>
      <c r="D147" s="293" t="s">
        <v>146</v>
      </c>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c r="A148" s="294"/>
      <c r="B148" s="294"/>
      <c r="C148" s="293"/>
      <c r="D148" s="293" t="s">
        <v>257</v>
      </c>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c r="A149" s="294"/>
      <c r="B149" s="294"/>
      <c r="C149" s="293"/>
      <c r="D149" s="293" t="s">
        <v>438</v>
      </c>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c r="A150" s="294"/>
      <c r="B150" s="294"/>
      <c r="C150" s="293"/>
      <c r="D150" s="293" t="s">
        <v>430</v>
      </c>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c r="A151" s="294"/>
      <c r="B151" s="294"/>
      <c r="C151" s="293"/>
      <c r="D151" s="293" t="s">
        <v>307</v>
      </c>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c r="A152" s="294"/>
      <c r="B152" s="294"/>
      <c r="C152" s="293"/>
      <c r="D152" s="293" t="s">
        <v>314</v>
      </c>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c r="A153" s="294"/>
      <c r="B153" s="294"/>
      <c r="C153" s="293"/>
      <c r="D153" s="293" t="s">
        <v>516</v>
      </c>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c r="A154" s="294"/>
      <c r="B154" s="294"/>
      <c r="C154" s="293"/>
      <c r="D154" s="293" t="s">
        <v>338</v>
      </c>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c r="A155" s="294"/>
      <c r="B155" s="294"/>
      <c r="C155" s="293"/>
      <c r="D155" s="293" t="s">
        <v>491</v>
      </c>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c r="A156" s="294"/>
      <c r="B156" s="294"/>
      <c r="C156" s="293"/>
      <c r="D156" s="293" t="s">
        <v>446</v>
      </c>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c r="A157" s="294"/>
      <c r="B157" s="294"/>
      <c r="C157" s="293"/>
      <c r="D157" s="293" t="s">
        <v>407</v>
      </c>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c r="A158" s="294"/>
      <c r="B158" s="294"/>
      <c r="C158" s="293"/>
      <c r="D158" s="293" t="s">
        <v>178</v>
      </c>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c r="A159" s="294"/>
      <c r="B159" s="294"/>
      <c r="C159" s="293"/>
      <c r="D159" s="293" t="s">
        <v>62</v>
      </c>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c r="A160" s="294"/>
      <c r="B160" s="294"/>
      <c r="C160" s="293"/>
      <c r="D160" s="293" t="s">
        <v>573</v>
      </c>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c r="A161" s="294"/>
      <c r="B161" s="294"/>
      <c r="C161" s="293"/>
      <c r="D161" s="293" t="s">
        <v>511</v>
      </c>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c r="A162" s="294"/>
      <c r="B162" s="294"/>
      <c r="C162" s="293"/>
      <c r="D162" s="293" t="s">
        <v>385</v>
      </c>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c r="A163" s="294"/>
      <c r="B163" s="294"/>
      <c r="C163" s="293"/>
      <c r="D163" s="293" t="s">
        <v>421</v>
      </c>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c r="A164" s="294"/>
      <c r="B164" s="294"/>
      <c r="C164" s="293"/>
      <c r="D164" s="293" t="s">
        <v>304</v>
      </c>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c r="A165" s="294"/>
      <c r="B165" s="294"/>
      <c r="C165" s="293"/>
      <c r="D165" s="293" t="s">
        <v>524</v>
      </c>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c r="A166" s="294"/>
      <c r="B166" s="294"/>
      <c r="C166" s="293"/>
      <c r="D166" s="293" t="s">
        <v>512</v>
      </c>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c r="A167" s="294"/>
      <c r="B167" s="294"/>
      <c r="C167" s="293"/>
      <c r="D167" s="293" t="s">
        <v>588</v>
      </c>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c r="A168" s="294"/>
      <c r="B168" s="294"/>
      <c r="C168" s="293"/>
      <c r="D168" s="293" t="s">
        <v>553</v>
      </c>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c r="A169" s="294"/>
      <c r="B169" s="294"/>
      <c r="C169" s="293"/>
      <c r="D169" s="293" t="s">
        <v>465</v>
      </c>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c r="A170" s="294"/>
      <c r="B170" s="294"/>
      <c r="C170" s="293"/>
      <c r="D170" s="293" t="s">
        <v>239</v>
      </c>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c r="A171" s="294"/>
      <c r="B171" s="294"/>
      <c r="C171" s="293"/>
      <c r="D171" s="293" t="s">
        <v>564</v>
      </c>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c r="A172" s="294"/>
      <c r="B172" s="294"/>
      <c r="C172" s="293"/>
      <c r="D172" s="293" t="s">
        <v>527</v>
      </c>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c r="A173" s="294"/>
      <c r="B173" s="294"/>
      <c r="C173" s="293"/>
      <c r="D173" s="293" t="s">
        <v>136</v>
      </c>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c r="A174" s="294"/>
      <c r="B174" s="294"/>
      <c r="C174" s="293"/>
      <c r="D174" s="293" t="s">
        <v>545</v>
      </c>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c r="A175" s="294"/>
      <c r="B175" s="294"/>
      <c r="C175" s="293"/>
      <c r="D175" s="293" t="s">
        <v>576</v>
      </c>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c r="A176" s="294"/>
      <c r="B176" s="294"/>
      <c r="C176" s="293"/>
      <c r="D176" s="293" t="s">
        <v>526</v>
      </c>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c r="A177" s="294"/>
      <c r="B177" s="294"/>
      <c r="C177" s="293"/>
      <c r="D177" s="293" t="s">
        <v>331</v>
      </c>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c r="A178" s="294"/>
      <c r="B178" s="294"/>
      <c r="C178" s="293"/>
      <c r="D178" s="293" t="s">
        <v>251</v>
      </c>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c r="A179" s="294"/>
      <c r="B179" s="294"/>
      <c r="C179" s="293"/>
      <c r="D179" s="293" t="s">
        <v>305</v>
      </c>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c r="A180" s="294"/>
      <c r="B180" s="294"/>
      <c r="C180" s="293"/>
      <c r="D180" s="293" t="s">
        <v>135</v>
      </c>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c r="A181" s="294"/>
      <c r="B181" s="294"/>
      <c r="C181" s="293"/>
      <c r="D181" s="293" t="s">
        <v>208</v>
      </c>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c r="A182" s="294"/>
      <c r="B182" s="294"/>
      <c r="C182" s="293"/>
      <c r="D182" s="293" t="s">
        <v>83</v>
      </c>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c r="A183" s="294"/>
      <c r="B183" s="294"/>
      <c r="C183" s="293"/>
      <c r="D183" s="293" t="s">
        <v>549</v>
      </c>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c r="A184" s="294"/>
      <c r="B184" s="294"/>
      <c r="C184" s="293"/>
      <c r="D184" s="293" t="s">
        <v>123</v>
      </c>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c r="A185" s="294"/>
      <c r="B185" s="294"/>
      <c r="C185" s="293"/>
      <c r="D185" s="293" t="s">
        <v>241</v>
      </c>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c r="A186" s="294"/>
      <c r="B186" s="294"/>
      <c r="C186" s="293"/>
      <c r="D186" s="293" t="s">
        <v>350</v>
      </c>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c r="A187" s="294"/>
      <c r="B187" s="294"/>
      <c r="C187" s="293"/>
      <c r="D187" s="293" t="s">
        <v>362</v>
      </c>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c r="A188" s="294"/>
      <c r="B188" s="294"/>
      <c r="C188" s="293"/>
      <c r="D188" s="293" t="s">
        <v>574</v>
      </c>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c r="A189" s="294"/>
      <c r="B189" s="294"/>
      <c r="C189" s="293"/>
      <c r="D189" s="293" t="s">
        <v>453</v>
      </c>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c r="A190" s="294"/>
      <c r="B190" s="294"/>
      <c r="C190" s="293"/>
      <c r="D190" s="293" t="s">
        <v>455</v>
      </c>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c r="A191" s="294"/>
      <c r="B191" s="294"/>
      <c r="C191" s="293"/>
      <c r="D191" s="293" t="s">
        <v>306</v>
      </c>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c r="A192" s="294"/>
      <c r="B192" s="294"/>
      <c r="C192" s="293"/>
      <c r="D192" s="293" t="s">
        <v>497</v>
      </c>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c r="A193" s="294"/>
      <c r="B193" s="294"/>
      <c r="C193" s="293"/>
      <c r="D193" s="293" t="s">
        <v>523</v>
      </c>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c r="A194" s="294"/>
      <c r="B194" s="294"/>
      <c r="C194" s="293"/>
      <c r="D194" s="293" t="s">
        <v>429</v>
      </c>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c r="A195" s="294"/>
      <c r="B195" s="294"/>
      <c r="C195" s="293"/>
      <c r="D195" s="293" t="s">
        <v>569</v>
      </c>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c r="A196" s="294"/>
      <c r="B196" s="294"/>
      <c r="C196" s="293"/>
      <c r="D196" s="293" t="s">
        <v>579</v>
      </c>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c r="A197" s="294"/>
      <c r="B197" s="294"/>
      <c r="C197" s="293"/>
      <c r="D197" s="293" t="s">
        <v>382</v>
      </c>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c r="A198" s="294"/>
      <c r="B198" s="294"/>
      <c r="C198" s="293"/>
      <c r="D198" s="293" t="s">
        <v>463</v>
      </c>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c r="A199" s="294"/>
      <c r="B199" s="294"/>
      <c r="C199" s="293"/>
      <c r="D199" s="293" t="s">
        <v>372</v>
      </c>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c r="A200" s="294"/>
      <c r="B200" s="294"/>
      <c r="C200" s="293"/>
      <c r="D200" s="293" t="s">
        <v>578</v>
      </c>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c r="A201" s="294"/>
      <c r="B201" s="294"/>
      <c r="C201" s="293"/>
      <c r="D201" s="293" t="s">
        <v>193</v>
      </c>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c r="A202" s="294"/>
      <c r="B202" s="294"/>
      <c r="C202" s="293"/>
      <c r="D202" s="293" t="s">
        <v>368</v>
      </c>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c r="A203" s="294"/>
      <c r="B203" s="294"/>
      <c r="C203" s="293"/>
      <c r="D203" s="293" t="s">
        <v>530</v>
      </c>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c r="A204" s="294"/>
      <c r="B204" s="294"/>
      <c r="C204" s="293"/>
      <c r="D204" s="293" t="s">
        <v>256</v>
      </c>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c r="A205" s="294"/>
      <c r="B205" s="294"/>
      <c r="C205" s="293"/>
      <c r="D205" s="293" t="s">
        <v>366</v>
      </c>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row>
    <row r="206">
      <c r="A206" s="294"/>
      <c r="B206" s="294"/>
      <c r="C206" s="293"/>
      <c r="D206" s="293" t="s">
        <v>215</v>
      </c>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row>
    <row r="207">
      <c r="A207" s="294"/>
      <c r="B207" s="294"/>
      <c r="C207" s="293"/>
      <c r="D207" s="293" t="s">
        <v>106</v>
      </c>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row>
    <row r="208">
      <c r="A208" s="294"/>
      <c r="B208" s="294"/>
      <c r="C208" s="293"/>
      <c r="D208" s="293" t="s">
        <v>277</v>
      </c>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row>
    <row r="209">
      <c r="A209" s="294"/>
      <c r="B209" s="294"/>
      <c r="C209" s="293"/>
      <c r="D209" s="293" t="s">
        <v>114</v>
      </c>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row>
    <row r="210">
      <c r="A210" s="294"/>
      <c r="B210" s="294"/>
      <c r="C210" s="293"/>
      <c r="D210" s="293" t="s">
        <v>85</v>
      </c>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row>
    <row r="211">
      <c r="A211" s="294"/>
      <c r="B211" s="294"/>
      <c r="C211" s="293"/>
      <c r="D211" s="293" t="s">
        <v>394</v>
      </c>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row>
    <row r="212">
      <c r="A212" s="294"/>
      <c r="B212" s="294"/>
      <c r="C212" s="293"/>
      <c r="D212" s="293" t="s">
        <v>192</v>
      </c>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row>
    <row r="213">
      <c r="A213" s="294"/>
      <c r="B213" s="294"/>
      <c r="C213" s="293"/>
      <c r="D213" s="293" t="s">
        <v>459</v>
      </c>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row>
    <row r="214">
      <c r="A214" s="294"/>
      <c r="B214" s="294"/>
      <c r="C214" s="293"/>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row>
    <row r="215">
      <c r="A215" s="294"/>
      <c r="B215" s="294"/>
      <c r="C215" s="293"/>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row>
    <row r="216">
      <c r="A216" s="294"/>
      <c r="B216" s="294"/>
      <c r="C216" s="293"/>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row>
    <row r="217">
      <c r="A217" s="294"/>
      <c r="B217" s="294"/>
      <c r="C217" s="293"/>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row>
    <row r="218">
      <c r="A218" s="294"/>
      <c r="B218" s="294"/>
      <c r="C218" s="293"/>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row>
    <row r="219">
      <c r="A219" s="294"/>
      <c r="B219" s="294"/>
      <c r="C219" s="293"/>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row>
    <row r="220">
      <c r="A220" s="294"/>
      <c r="B220" s="294"/>
      <c r="C220" s="293"/>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row>
    <row r="221">
      <c r="A221" s="294"/>
      <c r="B221" s="294"/>
      <c r="C221" s="293"/>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row>
    <row r="222">
      <c r="A222" s="294"/>
      <c r="B222" s="294"/>
      <c r="C222" s="293"/>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row>
    <row r="223">
      <c r="A223" s="294"/>
      <c r="B223" s="294"/>
      <c r="C223" s="293"/>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row>
    <row r="224">
      <c r="A224" s="294"/>
      <c r="B224" s="294"/>
      <c r="C224" s="293"/>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row>
    <row r="225">
      <c r="A225" s="294"/>
      <c r="B225" s="294"/>
      <c r="C225" s="293"/>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row>
    <row r="226">
      <c r="A226" s="294"/>
      <c r="B226" s="294"/>
      <c r="C226" s="293"/>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row>
    <row r="227">
      <c r="A227" s="294"/>
      <c r="B227" s="294"/>
      <c r="C227" s="293"/>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row>
    <row r="228">
      <c r="A228" s="294"/>
      <c r="B228" s="294"/>
      <c r="C228" s="293"/>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row>
    <row r="229">
      <c r="A229" s="294"/>
      <c r="B229" s="294"/>
      <c r="C229" s="293"/>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row>
    <row r="230">
      <c r="A230" s="294"/>
      <c r="B230" s="294"/>
      <c r="C230" s="293"/>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row>
    <row r="231">
      <c r="A231" s="294"/>
      <c r="B231" s="294"/>
      <c r="C231" s="293"/>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row>
    <row r="232">
      <c r="A232" s="294"/>
      <c r="B232" s="294"/>
      <c r="C232" s="293"/>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row>
    <row r="233">
      <c r="A233" s="294"/>
      <c r="B233" s="294"/>
      <c r="C233" s="293"/>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row>
    <row r="234">
      <c r="A234" s="294"/>
      <c r="B234" s="294"/>
      <c r="C234" s="293"/>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row>
    <row r="235">
      <c r="A235" s="294"/>
      <c r="B235" s="294"/>
      <c r="C235" s="293"/>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row>
    <row r="236">
      <c r="A236" s="294"/>
      <c r="B236" s="294"/>
      <c r="C236" s="293"/>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row>
    <row r="237">
      <c r="A237" s="294"/>
      <c r="B237" s="294"/>
      <c r="C237" s="293"/>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row>
    <row r="238">
      <c r="A238" s="294"/>
      <c r="B238" s="294"/>
      <c r="C238" s="293"/>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row>
    <row r="239">
      <c r="A239" s="294"/>
      <c r="B239" s="294"/>
      <c r="C239" s="293"/>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row>
    <row r="240">
      <c r="A240" s="294"/>
      <c r="B240" s="294"/>
      <c r="C240" s="293"/>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row>
    <row r="241">
      <c r="A241" s="294"/>
      <c r="B241" s="294"/>
      <c r="C241" s="293"/>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row>
    <row r="242">
      <c r="A242" s="294"/>
      <c r="B242" s="294"/>
      <c r="C242" s="293"/>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row>
    <row r="243">
      <c r="A243" s="294"/>
      <c r="B243" s="294"/>
      <c r="C243" s="293"/>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row>
    <row r="244">
      <c r="A244" s="294"/>
      <c r="B244" s="294"/>
      <c r="C244" s="293"/>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row>
    <row r="245">
      <c r="A245" s="294"/>
      <c r="B245" s="294"/>
      <c r="C245" s="293"/>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row>
    <row r="246">
      <c r="A246" s="294"/>
      <c r="B246" s="294"/>
      <c r="C246" s="293"/>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row>
    <row r="247">
      <c r="A247" s="294"/>
      <c r="B247" s="294"/>
      <c r="C247" s="293"/>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row>
    <row r="248">
      <c r="A248" s="294"/>
      <c r="B248" s="294"/>
      <c r="C248" s="293"/>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row>
    <row r="249">
      <c r="A249" s="294"/>
      <c r="B249" s="294"/>
      <c r="C249" s="293"/>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row>
    <row r="250">
      <c r="A250" s="294"/>
      <c r="B250" s="294"/>
      <c r="C250" s="293"/>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row>
    <row r="251">
      <c r="A251" s="294"/>
      <c r="B251" s="294"/>
      <c r="C251" s="293"/>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row>
    <row r="252">
      <c r="A252" s="294"/>
      <c r="B252" s="294"/>
      <c r="C252" s="293"/>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row>
    <row r="253">
      <c r="A253" s="294"/>
      <c r="B253" s="294"/>
      <c r="C253" s="293"/>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row>
    <row r="254">
      <c r="A254" s="294"/>
      <c r="B254" s="294"/>
      <c r="C254" s="293"/>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row>
    <row r="255">
      <c r="A255" s="294"/>
      <c r="B255" s="294"/>
      <c r="C255" s="293"/>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row>
    <row r="256">
      <c r="A256" s="294"/>
      <c r="B256" s="294"/>
      <c r="C256" s="293"/>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row>
    <row r="257">
      <c r="A257" s="294"/>
      <c r="B257" s="294"/>
      <c r="C257" s="293"/>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row>
    <row r="258">
      <c r="A258" s="294"/>
      <c r="B258" s="294"/>
      <c r="C258" s="293"/>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row>
    <row r="259">
      <c r="A259" s="294"/>
      <c r="B259" s="294"/>
      <c r="C259" s="293"/>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row>
    <row r="260">
      <c r="A260" s="294"/>
      <c r="B260" s="294"/>
      <c r="C260" s="293"/>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row>
    <row r="261">
      <c r="A261" s="294"/>
      <c r="B261" s="294"/>
      <c r="C261" s="293"/>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row>
    <row r="262">
      <c r="A262" s="294"/>
      <c r="B262" s="294"/>
      <c r="C262" s="293"/>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row>
    <row r="263">
      <c r="A263" s="294"/>
      <c r="B263" s="294"/>
      <c r="C263" s="293"/>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row>
    <row r="264">
      <c r="A264" s="294"/>
      <c r="B264" s="294"/>
      <c r="C264" s="293"/>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row>
    <row r="265">
      <c r="A265" s="294"/>
      <c r="B265" s="294"/>
      <c r="C265" s="293"/>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row>
    <row r="266">
      <c r="A266" s="294"/>
      <c r="B266" s="294"/>
      <c r="C266" s="293"/>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row>
    <row r="267">
      <c r="A267" s="294"/>
      <c r="B267" s="294"/>
      <c r="C267" s="293"/>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row>
    <row r="268">
      <c r="A268" s="294"/>
      <c r="B268" s="294"/>
      <c r="C268" s="293"/>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row>
    <row r="269">
      <c r="A269" s="294"/>
      <c r="B269" s="294"/>
      <c r="C269" s="293"/>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row>
    <row r="270">
      <c r="A270" s="294"/>
      <c r="B270" s="294"/>
      <c r="C270" s="293"/>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row>
    <row r="271">
      <c r="A271" s="294"/>
      <c r="B271" s="294"/>
      <c r="C271" s="293"/>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row>
    <row r="272">
      <c r="A272" s="294"/>
      <c r="B272" s="294"/>
      <c r="C272" s="293"/>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row>
    <row r="273">
      <c r="A273" s="294"/>
      <c r="B273" s="294"/>
      <c r="C273" s="293"/>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row>
    <row r="274">
      <c r="A274" s="294"/>
      <c r="B274" s="294"/>
      <c r="C274" s="293"/>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row>
    <row r="275">
      <c r="A275" s="294"/>
      <c r="B275" s="294"/>
      <c r="C275" s="293"/>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row>
    <row r="276">
      <c r="A276" s="294"/>
      <c r="B276" s="294"/>
      <c r="C276" s="293"/>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row>
    <row r="277">
      <c r="A277" s="294"/>
      <c r="B277" s="294"/>
      <c r="C277" s="293"/>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row>
    <row r="278">
      <c r="A278" s="294"/>
      <c r="B278" s="294"/>
      <c r="C278" s="293"/>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row>
    <row r="279">
      <c r="A279" s="294"/>
      <c r="B279" s="294"/>
      <c r="C279" s="293"/>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row>
    <row r="280">
      <c r="A280" s="294"/>
      <c r="B280" s="294"/>
      <c r="C280" s="293"/>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row>
    <row r="281">
      <c r="A281" s="294"/>
      <c r="B281" s="294"/>
      <c r="C281" s="293"/>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row>
    <row r="282">
      <c r="A282" s="294"/>
      <c r="B282" s="294"/>
      <c r="C282" s="293"/>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row>
    <row r="283">
      <c r="A283" s="294"/>
      <c r="B283" s="294"/>
      <c r="C283" s="293"/>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row>
    <row r="284">
      <c r="A284" s="294"/>
      <c r="B284" s="294"/>
      <c r="C284" s="293"/>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row>
    <row r="285">
      <c r="A285" s="294"/>
      <c r="B285" s="294"/>
      <c r="C285" s="293"/>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row>
    <row r="286">
      <c r="A286" s="294"/>
      <c r="B286" s="294"/>
      <c r="C286" s="293"/>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row>
    <row r="287">
      <c r="A287" s="294"/>
      <c r="B287" s="294"/>
      <c r="C287" s="293"/>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row>
    <row r="288">
      <c r="A288" s="294"/>
      <c r="B288" s="294"/>
      <c r="C288" s="293"/>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row>
    <row r="289">
      <c r="A289" s="294"/>
      <c r="B289" s="294"/>
      <c r="C289" s="293"/>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row>
    <row r="290">
      <c r="A290" s="294"/>
      <c r="B290" s="294"/>
      <c r="C290" s="293"/>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row>
    <row r="291">
      <c r="A291" s="294"/>
      <c r="B291" s="294"/>
      <c r="C291" s="293"/>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row>
    <row r="292">
      <c r="A292" s="294"/>
      <c r="B292" s="294"/>
      <c r="C292" s="293"/>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row>
    <row r="293">
      <c r="A293" s="294"/>
      <c r="B293" s="294"/>
      <c r="C293" s="293"/>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row>
    <row r="294">
      <c r="A294" s="294"/>
      <c r="B294" s="294"/>
      <c r="C294" s="293"/>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row>
    <row r="295">
      <c r="A295" s="294"/>
      <c r="B295" s="294"/>
      <c r="C295" s="293"/>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row>
    <row r="296">
      <c r="A296" s="294"/>
      <c r="B296" s="294"/>
      <c r="C296" s="293"/>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row>
    <row r="297">
      <c r="A297" s="294"/>
      <c r="B297" s="294"/>
      <c r="C297" s="293"/>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row>
    <row r="298">
      <c r="A298" s="294"/>
      <c r="B298" s="294"/>
      <c r="C298" s="293"/>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row>
    <row r="299">
      <c r="A299" s="294"/>
      <c r="B299" s="294"/>
      <c r="C299" s="293"/>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row>
    <row r="300">
      <c r="A300" s="294"/>
      <c r="B300" s="294"/>
      <c r="C300" s="293"/>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row>
    <row r="301">
      <c r="A301" s="294"/>
      <c r="B301" s="294"/>
      <c r="C301" s="293"/>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row>
    <row r="302">
      <c r="A302" s="294"/>
      <c r="B302" s="294"/>
      <c r="C302" s="293"/>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row>
    <row r="303">
      <c r="A303" s="294"/>
      <c r="B303" s="294"/>
      <c r="C303" s="293"/>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row>
    <row r="304">
      <c r="A304" s="294"/>
      <c r="B304" s="294"/>
      <c r="C304" s="293"/>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row>
    <row r="305">
      <c r="A305" s="294"/>
      <c r="B305" s="294"/>
      <c r="C305" s="293"/>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row>
    <row r="306">
      <c r="A306" s="294"/>
      <c r="B306" s="294"/>
      <c r="C306" s="293"/>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row>
    <row r="307">
      <c r="A307" s="294"/>
      <c r="B307" s="294"/>
      <c r="C307" s="293"/>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row>
    <row r="308">
      <c r="A308" s="294"/>
      <c r="B308" s="294"/>
      <c r="C308" s="293"/>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row>
    <row r="309">
      <c r="A309" s="294"/>
      <c r="B309" s="294"/>
      <c r="C309" s="293"/>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row>
    <row r="310">
      <c r="A310" s="294"/>
      <c r="B310" s="294"/>
      <c r="C310" s="293"/>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row>
    <row r="311">
      <c r="A311" s="294"/>
      <c r="B311" s="294"/>
      <c r="C311" s="293"/>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row>
    <row r="312">
      <c r="A312" s="294"/>
      <c r="B312" s="294"/>
      <c r="C312" s="293"/>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row>
    <row r="313">
      <c r="A313" s="294"/>
      <c r="B313" s="294"/>
      <c r="C313" s="293"/>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row>
    <row r="314">
      <c r="A314" s="294"/>
      <c r="B314" s="294"/>
      <c r="C314" s="293"/>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row>
    <row r="315">
      <c r="A315" s="294"/>
      <c r="B315" s="294"/>
      <c r="C315" s="293"/>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row>
    <row r="316">
      <c r="A316" s="294"/>
      <c r="B316" s="294"/>
      <c r="C316" s="293"/>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row>
    <row r="317">
      <c r="A317" s="294"/>
      <c r="B317" s="294"/>
      <c r="C317" s="293"/>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row>
    <row r="318">
      <c r="A318" s="294"/>
      <c r="B318" s="294"/>
      <c r="C318" s="293"/>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row>
    <row r="319">
      <c r="A319" s="294"/>
      <c r="B319" s="294"/>
      <c r="C319" s="293"/>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row>
    <row r="320">
      <c r="A320" s="294"/>
      <c r="B320" s="294"/>
      <c r="C320" s="293"/>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row>
    <row r="321">
      <c r="A321" s="294"/>
      <c r="B321" s="294"/>
      <c r="C321" s="293"/>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row>
    <row r="322">
      <c r="A322" s="294"/>
      <c r="B322" s="294"/>
      <c r="C322" s="293"/>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row>
    <row r="323">
      <c r="A323" s="294"/>
      <c r="B323" s="294"/>
      <c r="C323" s="293"/>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row>
    <row r="324">
      <c r="A324" s="294"/>
      <c r="B324" s="294"/>
      <c r="C324" s="293"/>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row>
    <row r="325">
      <c r="A325" s="294"/>
      <c r="B325" s="294"/>
      <c r="C325" s="293"/>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row>
    <row r="326">
      <c r="A326" s="294"/>
      <c r="B326" s="294"/>
      <c r="C326" s="293"/>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row>
    <row r="327">
      <c r="A327" s="294"/>
      <c r="B327" s="294"/>
      <c r="C327" s="293"/>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row>
    <row r="328">
      <c r="A328" s="294"/>
      <c r="B328" s="294"/>
      <c r="C328" s="293"/>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row>
    <row r="329">
      <c r="A329" s="294"/>
      <c r="B329" s="294"/>
      <c r="C329" s="293"/>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row>
    <row r="330">
      <c r="A330" s="294"/>
      <c r="B330" s="294"/>
      <c r="C330" s="293"/>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row>
    <row r="331">
      <c r="A331" s="294"/>
      <c r="B331" s="294"/>
      <c r="C331" s="293"/>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row>
    <row r="332">
      <c r="A332" s="294"/>
      <c r="B332" s="294"/>
      <c r="C332" s="293"/>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row>
    <row r="333">
      <c r="A333" s="294"/>
      <c r="B333" s="294"/>
      <c r="C333" s="293"/>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row>
    <row r="334">
      <c r="A334" s="294"/>
      <c r="B334" s="294"/>
      <c r="C334" s="293"/>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row>
    <row r="335">
      <c r="A335" s="294"/>
      <c r="B335" s="294"/>
      <c r="C335" s="293"/>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row>
    <row r="336">
      <c r="A336" s="294"/>
      <c r="B336" s="294"/>
      <c r="C336" s="293"/>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row>
    <row r="337">
      <c r="A337" s="294"/>
      <c r="B337" s="294"/>
      <c r="C337" s="293"/>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row>
    <row r="338">
      <c r="A338" s="294"/>
      <c r="B338" s="294"/>
      <c r="C338" s="293"/>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row>
    <row r="339">
      <c r="A339" s="294"/>
      <c r="B339" s="294"/>
      <c r="C339" s="293"/>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row>
    <row r="340">
      <c r="A340" s="294"/>
      <c r="B340" s="294"/>
      <c r="C340" s="293"/>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row>
    <row r="341">
      <c r="A341" s="294"/>
      <c r="B341" s="294"/>
      <c r="C341" s="293"/>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row>
    <row r="342">
      <c r="A342" s="294"/>
      <c r="B342" s="294"/>
      <c r="C342" s="293"/>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row>
    <row r="343">
      <c r="A343" s="294"/>
      <c r="B343" s="294"/>
      <c r="C343" s="293"/>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row>
    <row r="344">
      <c r="A344" s="294"/>
      <c r="B344" s="294"/>
      <c r="C344" s="293"/>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row>
    <row r="345">
      <c r="A345" s="294"/>
      <c r="B345" s="294"/>
      <c r="C345" s="293"/>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row>
    <row r="346">
      <c r="A346" s="294"/>
      <c r="B346" s="294"/>
      <c r="C346" s="293"/>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row>
    <row r="347">
      <c r="A347" s="294"/>
      <c r="B347" s="294"/>
      <c r="C347" s="293"/>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row>
    <row r="348">
      <c r="A348" s="294"/>
      <c r="B348" s="294"/>
      <c r="C348" s="293"/>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row>
    <row r="349">
      <c r="A349" s="294"/>
      <c r="B349" s="294"/>
      <c r="C349" s="293"/>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row>
    <row r="350">
      <c r="A350" s="294"/>
      <c r="B350" s="294"/>
      <c r="C350" s="293"/>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row>
    <row r="351">
      <c r="A351" s="294"/>
      <c r="B351" s="294"/>
      <c r="C351" s="293"/>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row>
    <row r="352">
      <c r="A352" s="294"/>
      <c r="B352" s="294"/>
      <c r="C352" s="293"/>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row>
    <row r="353">
      <c r="A353" s="294"/>
      <c r="B353" s="294"/>
      <c r="C353" s="293"/>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row>
    <row r="354">
      <c r="A354" s="294"/>
      <c r="B354" s="294"/>
      <c r="C354" s="293"/>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row>
    <row r="355">
      <c r="A355" s="294"/>
      <c r="B355" s="294"/>
      <c r="C355" s="293"/>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row>
    <row r="356">
      <c r="A356" s="294"/>
      <c r="B356" s="294"/>
      <c r="C356" s="293"/>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row>
    <row r="357">
      <c r="A357" s="294"/>
      <c r="B357" s="294"/>
      <c r="C357" s="293"/>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row>
    <row r="358">
      <c r="A358" s="294"/>
      <c r="B358" s="294"/>
      <c r="C358" s="293"/>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row>
    <row r="359">
      <c r="A359" s="294"/>
      <c r="B359" s="294"/>
      <c r="C359" s="293"/>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row>
    <row r="360">
      <c r="A360" s="294"/>
      <c r="B360" s="294"/>
      <c r="C360" s="293"/>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row>
    <row r="361">
      <c r="A361" s="294"/>
      <c r="B361" s="294"/>
      <c r="C361" s="293"/>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row>
    <row r="362">
      <c r="A362" s="294"/>
      <c r="B362" s="294"/>
      <c r="C362" s="293"/>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row>
    <row r="363">
      <c r="A363" s="294"/>
      <c r="B363" s="294"/>
      <c r="C363" s="293"/>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row>
    <row r="364">
      <c r="A364" s="294"/>
      <c r="B364" s="294"/>
      <c r="C364" s="293"/>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row>
    <row r="365">
      <c r="A365" s="294"/>
      <c r="B365" s="294"/>
      <c r="C365" s="293"/>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row>
    <row r="366">
      <c r="A366" s="294"/>
      <c r="B366" s="294"/>
      <c r="C366" s="293"/>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row>
    <row r="367">
      <c r="A367" s="294"/>
      <c r="B367" s="294"/>
      <c r="C367" s="293"/>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row>
    <row r="368">
      <c r="A368" s="294"/>
      <c r="B368" s="294"/>
      <c r="C368" s="293"/>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row>
    <row r="369">
      <c r="A369" s="294"/>
      <c r="B369" s="294"/>
      <c r="C369" s="293"/>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row>
    <row r="370">
      <c r="A370" s="294"/>
      <c r="B370" s="294"/>
      <c r="C370" s="293"/>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row>
    <row r="371">
      <c r="A371" s="294"/>
      <c r="B371" s="294"/>
      <c r="C371" s="293"/>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row>
    <row r="372">
      <c r="A372" s="294"/>
      <c r="B372" s="294"/>
      <c r="C372" s="293"/>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row>
    <row r="373">
      <c r="A373" s="294"/>
      <c r="B373" s="294"/>
      <c r="C373" s="293"/>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row>
    <row r="374">
      <c r="A374" s="294"/>
      <c r="B374" s="294"/>
      <c r="C374" s="293"/>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row>
    <row r="375">
      <c r="A375" s="294"/>
      <c r="B375" s="294"/>
      <c r="C375" s="293"/>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row>
    <row r="376">
      <c r="A376" s="294"/>
      <c r="B376" s="294"/>
      <c r="C376" s="293"/>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row>
    <row r="377">
      <c r="A377" s="294"/>
      <c r="B377" s="294"/>
      <c r="C377" s="293"/>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row>
    <row r="378">
      <c r="A378" s="294"/>
      <c r="B378" s="294"/>
      <c r="C378" s="293"/>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row>
    <row r="379">
      <c r="A379" s="294"/>
      <c r="B379" s="294"/>
      <c r="C379" s="293"/>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row>
    <row r="380">
      <c r="A380" s="294"/>
      <c r="B380" s="294"/>
      <c r="C380" s="293"/>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row>
    <row r="381">
      <c r="A381" s="294"/>
      <c r="B381" s="294"/>
      <c r="C381" s="293"/>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row>
    <row r="382">
      <c r="A382" s="294"/>
      <c r="B382" s="294"/>
      <c r="C382" s="293"/>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row>
    <row r="383">
      <c r="A383" s="294"/>
      <c r="B383" s="294"/>
      <c r="C383" s="293"/>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row>
    <row r="384">
      <c r="A384" s="294"/>
      <c r="B384" s="294"/>
      <c r="C384" s="293"/>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row>
    <row r="385">
      <c r="A385" s="294"/>
      <c r="B385" s="294"/>
      <c r="C385" s="293"/>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row>
    <row r="386">
      <c r="A386" s="294"/>
      <c r="B386" s="294"/>
      <c r="C386" s="293"/>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row>
    <row r="387">
      <c r="A387" s="294"/>
      <c r="B387" s="294"/>
      <c r="C387" s="293"/>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row>
    <row r="388">
      <c r="A388" s="294"/>
      <c r="B388" s="294"/>
      <c r="C388" s="293"/>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row>
    <row r="389">
      <c r="A389" s="294"/>
      <c r="B389" s="294"/>
      <c r="C389" s="293"/>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row>
    <row r="390">
      <c r="A390" s="294"/>
      <c r="B390" s="294"/>
      <c r="C390" s="293"/>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row>
    <row r="391">
      <c r="A391" s="294"/>
      <c r="B391" s="294"/>
      <c r="C391" s="293"/>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row>
    <row r="392">
      <c r="A392" s="294"/>
      <c r="B392" s="294"/>
      <c r="C392" s="293"/>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row>
    <row r="393">
      <c r="A393" s="294"/>
      <c r="B393" s="294"/>
      <c r="C393" s="293"/>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row>
    <row r="394">
      <c r="A394" s="294"/>
      <c r="B394" s="294"/>
      <c r="C394" s="293"/>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row>
    <row r="395">
      <c r="A395" s="294"/>
      <c r="B395" s="294"/>
      <c r="C395" s="293"/>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row>
    <row r="396">
      <c r="A396" s="294"/>
      <c r="B396" s="294"/>
      <c r="C396" s="293"/>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row>
    <row r="397">
      <c r="A397" s="294"/>
      <c r="B397" s="294"/>
      <c r="C397" s="293"/>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row>
    <row r="398">
      <c r="A398" s="294"/>
      <c r="B398" s="294"/>
      <c r="C398" s="293"/>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row>
    <row r="399">
      <c r="A399" s="127"/>
      <c r="B399" s="127"/>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row>
    <row r="400">
      <c r="A400" s="127"/>
      <c r="B400" s="127"/>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row>
    <row r="401">
      <c r="A401" s="127"/>
      <c r="B401" s="127"/>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row>
    <row r="402">
      <c r="A402" s="127"/>
      <c r="B402" s="127"/>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row>
    <row r="403">
      <c r="A403" s="127"/>
      <c r="B403" s="127"/>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row>
    <row r="404">
      <c r="A404" s="127"/>
      <c r="B404" s="127"/>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row>
    <row r="405">
      <c r="A405" s="127"/>
      <c r="B405" s="127"/>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row>
    <row r="406">
      <c r="A406" s="127"/>
      <c r="B406" s="127"/>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row>
    <row r="407">
      <c r="A407" s="127"/>
      <c r="B407" s="127"/>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row>
    <row r="408">
      <c r="A408" s="127"/>
      <c r="B408" s="127"/>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row>
    <row r="409">
      <c r="A409" s="127"/>
      <c r="B409" s="127"/>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row>
    <row r="410">
      <c r="A410" s="127"/>
      <c r="B410" s="127"/>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row>
    <row r="411">
      <c r="A411" s="127"/>
      <c r="B411" s="127"/>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row>
    <row r="412">
      <c r="A412" s="127"/>
      <c r="B412" s="127"/>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row>
    <row r="413">
      <c r="A413" s="127"/>
      <c r="B413" s="127"/>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row>
    <row r="414">
      <c r="A414" s="127"/>
      <c r="B414" s="127"/>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row>
    <row r="415">
      <c r="A415" s="127"/>
      <c r="B415" s="127"/>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row>
    <row r="416">
      <c r="A416" s="127"/>
      <c r="B416" s="127"/>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row>
    <row r="417">
      <c r="A417" s="127"/>
      <c r="B417" s="127"/>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row>
    <row r="418">
      <c r="A418" s="127"/>
      <c r="B418" s="127"/>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row>
    <row r="419">
      <c r="A419" s="127"/>
      <c r="B419" s="127"/>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row>
    <row r="420">
      <c r="A420" s="127"/>
      <c r="B420" s="127"/>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row>
    <row r="421">
      <c r="A421" s="127"/>
      <c r="B421" s="127"/>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row>
    <row r="422">
      <c r="A422" s="127"/>
      <c r="B422" s="127"/>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row>
    <row r="423">
      <c r="A423" s="127"/>
      <c r="B423" s="127"/>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row>
    <row r="424">
      <c r="A424" s="127"/>
      <c r="B424" s="127"/>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row>
    <row r="425">
      <c r="A425" s="127"/>
      <c r="B425" s="127"/>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row>
    <row r="426">
      <c r="A426" s="127"/>
      <c r="B426" s="127"/>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row>
    <row r="427">
      <c r="A427" s="127"/>
      <c r="B427" s="127"/>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row>
    <row r="428">
      <c r="A428" s="127"/>
      <c r="B428" s="127"/>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row>
    <row r="429">
      <c r="A429" s="127"/>
      <c r="B429" s="127"/>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row>
    <row r="430">
      <c r="A430" s="127"/>
      <c r="B430" s="127"/>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row>
    <row r="431">
      <c r="A431" s="127"/>
      <c r="B431" s="127"/>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row>
    <row r="432">
      <c r="A432" s="127"/>
      <c r="B432" s="127"/>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row>
    <row r="433">
      <c r="A433" s="127"/>
      <c r="B433" s="127"/>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row>
    <row r="434">
      <c r="A434" s="127"/>
      <c r="B434" s="127"/>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row>
    <row r="435">
      <c r="A435" s="127"/>
      <c r="B435" s="127"/>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row>
    <row r="436">
      <c r="A436" s="127"/>
      <c r="B436" s="127"/>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row>
    <row r="437">
      <c r="A437" s="127"/>
      <c r="B437" s="127"/>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row>
    <row r="438">
      <c r="A438" s="127"/>
      <c r="B438" s="127"/>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row>
    <row r="439">
      <c r="A439" s="127"/>
      <c r="B439" s="127"/>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row>
    <row r="440">
      <c r="A440" s="127"/>
      <c r="B440" s="127"/>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row>
    <row r="441">
      <c r="A441" s="127"/>
      <c r="B441" s="127"/>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row>
    <row r="442">
      <c r="A442" s="127"/>
      <c r="B442" s="127"/>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row>
    <row r="443">
      <c r="A443" s="127"/>
      <c r="B443" s="127"/>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row>
    <row r="444">
      <c r="A444" s="127"/>
      <c r="B444" s="127"/>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row>
    <row r="445">
      <c r="A445" s="127"/>
      <c r="B445" s="127"/>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row>
    <row r="446">
      <c r="A446" s="127"/>
      <c r="B446" s="127"/>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row>
    <row r="447">
      <c r="A447" s="127"/>
      <c r="B447" s="127"/>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row>
    <row r="448">
      <c r="A448" s="127"/>
      <c r="B448" s="127"/>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row>
    <row r="449">
      <c r="A449" s="127"/>
      <c r="B449" s="127"/>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row>
    <row r="450">
      <c r="A450" s="127"/>
      <c r="B450" s="127"/>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row>
    <row r="451">
      <c r="A451" s="127"/>
      <c r="B451" s="127"/>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row>
    <row r="452">
      <c r="A452" s="127"/>
      <c r="B452" s="127"/>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row>
    <row r="453">
      <c r="A453" s="127"/>
      <c r="B453" s="127"/>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row>
    <row r="454">
      <c r="A454" s="127"/>
      <c r="B454" s="127"/>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row>
    <row r="455">
      <c r="A455" s="127"/>
      <c r="B455" s="127"/>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row>
    <row r="456">
      <c r="A456" s="127"/>
      <c r="B456" s="127"/>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row>
    <row r="457">
      <c r="A457" s="127"/>
      <c r="B457" s="127"/>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row>
    <row r="458">
      <c r="A458" s="127"/>
      <c r="B458" s="127"/>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row>
    <row r="459">
      <c r="A459" s="127"/>
      <c r="B459" s="127"/>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row>
    <row r="460">
      <c r="A460" s="127"/>
      <c r="B460" s="127"/>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row>
    <row r="461">
      <c r="A461" s="127"/>
      <c r="B461" s="127"/>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row>
    <row r="462">
      <c r="A462" s="127"/>
      <c r="B462" s="127"/>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row>
    <row r="463">
      <c r="A463" s="127"/>
      <c r="B463" s="127"/>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row>
    <row r="464">
      <c r="A464" s="127"/>
      <c r="B464" s="127"/>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row>
    <row r="465">
      <c r="A465" s="127"/>
      <c r="B465" s="127"/>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row>
    <row r="466">
      <c r="A466" s="127"/>
      <c r="B466" s="127"/>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row>
    <row r="467">
      <c r="A467" s="127"/>
      <c r="B467" s="127"/>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row>
    <row r="468">
      <c r="A468" s="127"/>
      <c r="B468" s="127"/>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row>
    <row r="469">
      <c r="A469" s="127"/>
      <c r="B469" s="127"/>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row>
    <row r="470">
      <c r="A470" s="127"/>
      <c r="B470" s="127"/>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row>
    <row r="471">
      <c r="A471" s="127"/>
      <c r="B471" s="127"/>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row>
    <row r="472">
      <c r="A472" s="127"/>
      <c r="B472" s="127"/>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row>
    <row r="473">
      <c r="A473" s="127"/>
      <c r="B473" s="127"/>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row>
    <row r="474">
      <c r="A474" s="127"/>
      <c r="B474" s="127"/>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row>
    <row r="475">
      <c r="A475" s="127"/>
      <c r="B475" s="127"/>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row>
    <row r="476">
      <c r="A476" s="127"/>
      <c r="B476" s="127"/>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row>
    <row r="477">
      <c r="A477" s="127"/>
      <c r="B477" s="127"/>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row>
    <row r="478">
      <c r="A478" s="127"/>
      <c r="B478" s="127"/>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row>
    <row r="479">
      <c r="A479" s="127"/>
      <c r="B479" s="127"/>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row>
    <row r="480">
      <c r="A480" s="127"/>
      <c r="B480" s="127"/>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row>
    <row r="481">
      <c r="A481" s="127"/>
      <c r="B481" s="127"/>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row>
    <row r="482">
      <c r="A482" s="127"/>
      <c r="B482" s="127"/>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row>
    <row r="483">
      <c r="A483" s="127"/>
      <c r="B483" s="127"/>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row>
    <row r="484">
      <c r="A484" s="127"/>
      <c r="B484" s="127"/>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row>
    <row r="485">
      <c r="A485" s="127"/>
      <c r="B485" s="127"/>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row>
    <row r="486">
      <c r="A486" s="127"/>
      <c r="B486" s="127"/>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row>
    <row r="487">
      <c r="A487" s="127"/>
      <c r="B487" s="127"/>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row>
    <row r="488">
      <c r="A488" s="127"/>
      <c r="B488" s="127"/>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row>
    <row r="489">
      <c r="A489" s="127"/>
      <c r="B489" s="127"/>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row>
    <row r="490">
      <c r="A490" s="127"/>
      <c r="B490" s="127"/>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row>
    <row r="491">
      <c r="A491" s="127"/>
      <c r="B491" s="127"/>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row>
    <row r="492">
      <c r="A492" s="127"/>
      <c r="B492" s="127"/>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row>
    <row r="493">
      <c r="A493" s="127"/>
      <c r="B493" s="127"/>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row>
    <row r="494">
      <c r="A494" s="127"/>
      <c r="B494" s="127"/>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row>
    <row r="495">
      <c r="A495" s="127"/>
      <c r="B495" s="127"/>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row>
    <row r="496">
      <c r="A496" s="127"/>
      <c r="B496" s="127"/>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row>
    <row r="497">
      <c r="A497" s="127"/>
      <c r="B497" s="127"/>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row>
    <row r="498">
      <c r="A498" s="127"/>
      <c r="B498" s="127"/>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row>
    <row r="499">
      <c r="A499" s="127"/>
      <c r="B499" s="127"/>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row>
    <row r="500">
      <c r="A500" s="127"/>
      <c r="B500" s="127"/>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row>
    <row r="501">
      <c r="A501" s="127"/>
      <c r="B501" s="127"/>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row>
    <row r="502">
      <c r="A502" s="127"/>
      <c r="B502" s="127"/>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row>
    <row r="503">
      <c r="A503" s="127"/>
      <c r="B503" s="127"/>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row>
    <row r="504">
      <c r="A504" s="127"/>
      <c r="B504" s="127"/>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row>
    <row r="505">
      <c r="A505" s="127"/>
      <c r="B505" s="127"/>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row>
    <row r="506">
      <c r="A506" s="127"/>
      <c r="B506" s="127"/>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row>
    <row r="507">
      <c r="A507" s="127"/>
      <c r="B507" s="127"/>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row>
    <row r="508">
      <c r="A508" s="127"/>
      <c r="B508" s="127"/>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row>
    <row r="509">
      <c r="A509" s="127"/>
      <c r="B509" s="127"/>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row>
    <row r="510">
      <c r="A510" s="127"/>
      <c r="B510" s="127"/>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row>
    <row r="511">
      <c r="A511" s="127"/>
      <c r="B511" s="127"/>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row>
    <row r="512">
      <c r="A512" s="127"/>
      <c r="B512" s="127"/>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row>
    <row r="513">
      <c r="A513" s="127"/>
      <c r="B513" s="127"/>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row>
    <row r="514">
      <c r="A514" s="127"/>
      <c r="B514" s="127"/>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row>
    <row r="515">
      <c r="A515" s="127"/>
      <c r="B515" s="127"/>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row>
    <row r="516">
      <c r="A516" s="127"/>
      <c r="B516" s="127"/>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row>
    <row r="517">
      <c r="A517" s="127"/>
      <c r="B517" s="127"/>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row>
    <row r="518">
      <c r="A518" s="127"/>
      <c r="B518" s="127"/>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row>
    <row r="519">
      <c r="A519" s="127"/>
      <c r="B519" s="127"/>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row>
    <row r="520">
      <c r="A520" s="127"/>
      <c r="B520" s="127"/>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row>
    <row r="521">
      <c r="A521" s="127"/>
      <c r="B521" s="127"/>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row>
    <row r="522">
      <c r="A522" s="127"/>
      <c r="B522" s="127"/>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row>
    <row r="523">
      <c r="A523" s="127"/>
      <c r="B523" s="127"/>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row>
    <row r="524">
      <c r="A524" s="127"/>
      <c r="B524" s="127"/>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row>
    <row r="525">
      <c r="A525" s="127"/>
      <c r="B525" s="127"/>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row>
    <row r="526">
      <c r="A526" s="127"/>
      <c r="B526" s="127"/>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row>
    <row r="527">
      <c r="A527" s="127"/>
      <c r="B527" s="127"/>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row>
    <row r="528">
      <c r="A528" s="127"/>
      <c r="B528" s="127"/>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row>
    <row r="529">
      <c r="A529" s="127"/>
      <c r="B529" s="127"/>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row>
    <row r="530">
      <c r="A530" s="127"/>
      <c r="B530" s="127"/>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row>
    <row r="531">
      <c r="A531" s="127"/>
      <c r="B531" s="127"/>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row>
    <row r="532">
      <c r="A532" s="127"/>
      <c r="B532" s="127"/>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row>
    <row r="533">
      <c r="A533" s="127"/>
      <c r="B533" s="127"/>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row>
    <row r="534">
      <c r="A534" s="127"/>
      <c r="B534" s="127"/>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row>
    <row r="535">
      <c r="A535" s="127"/>
      <c r="B535" s="127"/>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row>
    <row r="536">
      <c r="A536" s="127"/>
      <c r="B536" s="127"/>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row>
    <row r="537">
      <c r="A537" s="127"/>
      <c r="B537" s="127"/>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row>
    <row r="538">
      <c r="A538" s="127"/>
      <c r="B538" s="127"/>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row>
    <row r="539">
      <c r="A539" s="127"/>
      <c r="B539" s="127"/>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row>
    <row r="540">
      <c r="A540" s="127"/>
      <c r="B540" s="127"/>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row>
    <row r="541">
      <c r="A541" s="127"/>
      <c r="B541" s="127"/>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row>
    <row r="542">
      <c r="A542" s="127"/>
      <c r="B542" s="127"/>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row>
    <row r="543">
      <c r="A543" s="127"/>
      <c r="B543" s="127"/>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row>
    <row r="544">
      <c r="A544" s="127"/>
      <c r="B544" s="127"/>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row>
    <row r="545">
      <c r="A545" s="127"/>
      <c r="B545" s="127"/>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row>
    <row r="546">
      <c r="A546" s="127"/>
      <c r="B546" s="127"/>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row>
    <row r="547">
      <c r="A547" s="127"/>
      <c r="B547" s="127"/>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row>
    <row r="548">
      <c r="A548" s="127"/>
      <c r="B548" s="127"/>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row>
    <row r="549">
      <c r="A549" s="127"/>
      <c r="B549" s="127"/>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row>
    <row r="550">
      <c r="A550" s="127"/>
      <c r="B550" s="127"/>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row>
    <row r="551">
      <c r="A551" s="127"/>
      <c r="B551" s="127"/>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row>
    <row r="552">
      <c r="A552" s="127"/>
      <c r="B552" s="127"/>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row>
    <row r="553">
      <c r="A553" s="127"/>
      <c r="B553" s="127"/>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row>
    <row r="554">
      <c r="A554" s="127"/>
      <c r="B554" s="127"/>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row>
    <row r="555">
      <c r="A555" s="127"/>
      <c r="B555" s="127"/>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row>
    <row r="556">
      <c r="A556" s="127"/>
      <c r="B556" s="127"/>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row>
    <row r="557">
      <c r="A557" s="127"/>
      <c r="B557" s="127"/>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row>
    <row r="558">
      <c r="A558" s="127"/>
      <c r="B558" s="127"/>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row>
    <row r="559">
      <c r="A559" s="127"/>
      <c r="B559" s="127"/>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row>
    <row r="560">
      <c r="A560" s="127"/>
      <c r="B560" s="127"/>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row>
    <row r="561">
      <c r="A561" s="127"/>
      <c r="B561" s="127"/>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row>
    <row r="562">
      <c r="A562" s="127"/>
      <c r="B562" s="127"/>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row>
    <row r="563">
      <c r="A563" s="127"/>
      <c r="B563" s="127"/>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row>
    <row r="564">
      <c r="A564" s="127"/>
      <c r="B564" s="127"/>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row>
    <row r="565">
      <c r="A565" s="127"/>
      <c r="B565" s="127"/>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row>
    <row r="566">
      <c r="A566" s="127"/>
      <c r="B566" s="127"/>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row>
    <row r="567">
      <c r="A567" s="127"/>
      <c r="B567" s="127"/>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row>
    <row r="568">
      <c r="A568" s="127"/>
      <c r="B568" s="127"/>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row>
    <row r="569">
      <c r="A569" s="127"/>
      <c r="B569" s="127"/>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row>
    <row r="570">
      <c r="A570" s="127"/>
      <c r="B570" s="127"/>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row>
    <row r="571">
      <c r="A571" s="127"/>
      <c r="B571" s="127"/>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row>
    <row r="572">
      <c r="A572" s="127"/>
      <c r="B572" s="127"/>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row>
    <row r="573">
      <c r="A573" s="127"/>
      <c r="B573" s="127"/>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row>
    <row r="574">
      <c r="A574" s="127"/>
      <c r="B574" s="127"/>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row>
    <row r="575">
      <c r="A575" s="127"/>
      <c r="B575" s="127"/>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row>
    <row r="576">
      <c r="A576" s="127"/>
      <c r="B576" s="127"/>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row>
    <row r="577">
      <c r="A577" s="127"/>
      <c r="B577" s="127"/>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row>
    <row r="578">
      <c r="A578" s="127"/>
      <c r="B578" s="127"/>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row>
    <row r="579">
      <c r="A579" s="127"/>
      <c r="B579" s="127"/>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row>
    <row r="580">
      <c r="A580" s="127"/>
      <c r="B580" s="127"/>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row>
    <row r="581">
      <c r="A581" s="127"/>
      <c r="B581" s="127"/>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row>
    <row r="582">
      <c r="A582" s="127"/>
      <c r="B582" s="127"/>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row>
    <row r="583">
      <c r="A583" s="127"/>
      <c r="B583" s="127"/>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row>
    <row r="584">
      <c r="A584" s="127"/>
      <c r="B584" s="127"/>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row>
    <row r="585">
      <c r="A585" s="127"/>
      <c r="B585" s="127"/>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row>
    <row r="586">
      <c r="A586" s="127"/>
      <c r="B586" s="127"/>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row>
    <row r="587">
      <c r="A587" s="127"/>
      <c r="B587" s="127"/>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row>
    <row r="588">
      <c r="A588" s="127"/>
      <c r="B588" s="127"/>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row>
    <row r="589">
      <c r="A589" s="127"/>
      <c r="B589" s="127"/>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row>
    <row r="590">
      <c r="A590" s="127"/>
      <c r="B590" s="127"/>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row>
    <row r="591">
      <c r="A591" s="127"/>
      <c r="B591" s="127"/>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row>
    <row r="592">
      <c r="A592" s="127"/>
      <c r="B592" s="127"/>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row>
    <row r="593">
      <c r="A593" s="127"/>
      <c r="B593" s="127"/>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row>
    <row r="594">
      <c r="A594" s="127"/>
      <c r="B594" s="127"/>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row>
    <row r="595">
      <c r="A595" s="127"/>
      <c r="B595" s="127"/>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row>
    <row r="596">
      <c r="A596" s="127"/>
      <c r="B596" s="127"/>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row>
    <row r="597">
      <c r="A597" s="127"/>
      <c r="B597" s="127"/>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row>
    <row r="598">
      <c r="A598" s="127"/>
      <c r="B598" s="127"/>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row>
    <row r="599">
      <c r="A599" s="127"/>
      <c r="B599" s="127"/>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row>
    <row r="600">
      <c r="A600" s="127"/>
      <c r="B600" s="127"/>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row>
    <row r="601">
      <c r="A601" s="127"/>
      <c r="B601" s="127"/>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row>
    <row r="602">
      <c r="A602" s="127"/>
      <c r="B602" s="127"/>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row>
    <row r="603">
      <c r="A603" s="127"/>
      <c r="B603" s="127"/>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row>
    <row r="604">
      <c r="A604" s="127"/>
      <c r="B604" s="127"/>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row>
    <row r="605">
      <c r="A605" s="127"/>
      <c r="B605" s="127"/>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row>
    <row r="606">
      <c r="A606" s="127"/>
      <c r="B606" s="127"/>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row>
    <row r="607">
      <c r="A607" s="127"/>
      <c r="B607" s="127"/>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row>
    <row r="608">
      <c r="A608" s="127"/>
      <c r="B608" s="127"/>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row>
    <row r="609">
      <c r="A609" s="127"/>
      <c r="B609" s="127"/>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row>
    <row r="610">
      <c r="A610" s="127"/>
      <c r="B610" s="127"/>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row>
    <row r="611">
      <c r="A611" s="127"/>
      <c r="B611" s="127"/>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row>
    <row r="612">
      <c r="A612" s="127"/>
      <c r="B612" s="127"/>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row>
    <row r="613">
      <c r="A613" s="127"/>
      <c r="B613" s="127"/>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row>
    <row r="614">
      <c r="A614" s="127"/>
      <c r="B614" s="127"/>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row>
    <row r="615">
      <c r="A615" s="127"/>
      <c r="B615" s="127"/>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row>
    <row r="616">
      <c r="A616" s="127"/>
      <c r="B616" s="127"/>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row>
    <row r="617">
      <c r="A617" s="127"/>
      <c r="B617" s="127"/>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row>
    <row r="618">
      <c r="A618" s="127"/>
      <c r="B618" s="127"/>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row>
    <row r="619">
      <c r="A619" s="127"/>
      <c r="B619" s="127"/>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row>
    <row r="620">
      <c r="A620" s="127"/>
      <c r="B620" s="127"/>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row>
    <row r="621">
      <c r="A621" s="127"/>
      <c r="B621" s="127"/>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row>
    <row r="622">
      <c r="A622" s="127"/>
      <c r="B622" s="127"/>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row>
    <row r="623">
      <c r="A623" s="127"/>
      <c r="B623" s="127"/>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row>
    <row r="624">
      <c r="A624" s="127"/>
      <c r="B624" s="127"/>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row>
    <row r="625">
      <c r="A625" s="127"/>
      <c r="B625" s="127"/>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row>
    <row r="626">
      <c r="A626" s="127"/>
      <c r="B626" s="127"/>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row>
    <row r="627">
      <c r="A627" s="127"/>
      <c r="B627" s="127"/>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row>
    <row r="628">
      <c r="A628" s="127"/>
      <c r="B628" s="127"/>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row>
    <row r="629">
      <c r="A629" s="127"/>
      <c r="B629" s="127"/>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row>
    <row r="630">
      <c r="A630" s="127"/>
      <c r="B630" s="127"/>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row>
    <row r="631">
      <c r="A631" s="127"/>
      <c r="B631" s="127"/>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row>
    <row r="632">
      <c r="A632" s="127"/>
      <c r="B632" s="127"/>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row>
    <row r="633">
      <c r="A633" s="127"/>
      <c r="B633" s="127"/>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row>
    <row r="634">
      <c r="A634" s="127"/>
      <c r="B634" s="127"/>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row>
    <row r="635">
      <c r="A635" s="127"/>
      <c r="B635" s="127"/>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row>
    <row r="636">
      <c r="A636" s="127"/>
      <c r="B636" s="127"/>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row>
    <row r="637">
      <c r="A637" s="127"/>
      <c r="B637" s="127"/>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row>
    <row r="638">
      <c r="A638" s="127"/>
      <c r="B638" s="127"/>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row>
    <row r="639">
      <c r="A639" s="127"/>
      <c r="B639" s="127"/>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row>
    <row r="640">
      <c r="A640" s="127"/>
      <c r="B640" s="127"/>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row>
    <row r="641">
      <c r="A641" s="127"/>
      <c r="B641" s="127"/>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row>
    <row r="642">
      <c r="A642" s="127"/>
      <c r="B642" s="127"/>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row>
    <row r="643">
      <c r="A643" s="127"/>
      <c r="B643" s="127"/>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row>
    <row r="644">
      <c r="A644" s="127"/>
      <c r="B644" s="127"/>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row>
    <row r="645">
      <c r="A645" s="127"/>
      <c r="B645" s="127"/>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row>
    <row r="646">
      <c r="A646" s="127"/>
      <c r="B646" s="127"/>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row>
    <row r="647">
      <c r="A647" s="127"/>
      <c r="B647" s="127"/>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row>
    <row r="648">
      <c r="A648" s="127"/>
      <c r="B648" s="127"/>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row>
    <row r="649">
      <c r="A649" s="127"/>
      <c r="B649" s="127"/>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row>
    <row r="650">
      <c r="A650" s="127"/>
      <c r="B650" s="127"/>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row>
    <row r="651">
      <c r="A651" s="127"/>
      <c r="B651" s="127"/>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row>
    <row r="652">
      <c r="A652" s="127"/>
      <c r="B652" s="127"/>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row>
    <row r="653">
      <c r="A653" s="127"/>
      <c r="B653" s="127"/>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row>
    <row r="654">
      <c r="A654" s="127"/>
      <c r="B654" s="127"/>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row>
    <row r="655">
      <c r="A655" s="127"/>
      <c r="B655" s="127"/>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row>
    <row r="656">
      <c r="A656" s="127"/>
      <c r="B656" s="127"/>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row>
    <row r="657">
      <c r="A657" s="127"/>
      <c r="B657" s="127"/>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row>
    <row r="658">
      <c r="A658" s="127"/>
      <c r="B658" s="127"/>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row>
    <row r="659">
      <c r="A659" s="127"/>
      <c r="B659" s="127"/>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row>
    <row r="660">
      <c r="A660" s="127"/>
      <c r="B660" s="127"/>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row>
    <row r="661">
      <c r="A661" s="127"/>
      <c r="B661" s="127"/>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row>
    <row r="662">
      <c r="A662" s="127"/>
      <c r="B662" s="127"/>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row>
    <row r="663">
      <c r="A663" s="127"/>
      <c r="B663" s="127"/>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row>
    <row r="664">
      <c r="A664" s="127"/>
      <c r="B664" s="127"/>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row>
    <row r="665">
      <c r="A665" s="127"/>
      <c r="B665" s="127"/>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row>
    <row r="666">
      <c r="A666" s="127"/>
      <c r="B666" s="127"/>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row>
    <row r="667">
      <c r="A667" s="127"/>
      <c r="B667" s="127"/>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row>
    <row r="668">
      <c r="A668" s="127"/>
      <c r="B668" s="127"/>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row>
    <row r="669">
      <c r="A669" s="127"/>
      <c r="B669" s="127"/>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row>
    <row r="670">
      <c r="A670" s="127"/>
      <c r="B670" s="127"/>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row>
    <row r="671">
      <c r="A671" s="127"/>
      <c r="B671" s="127"/>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row>
    <row r="672">
      <c r="A672" s="127"/>
      <c r="B672" s="127"/>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row>
    <row r="673">
      <c r="A673" s="127"/>
      <c r="B673" s="127"/>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row>
    <row r="674">
      <c r="A674" s="127"/>
      <c r="B674" s="127"/>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row>
    <row r="675">
      <c r="A675" s="127"/>
      <c r="B675" s="127"/>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row>
    <row r="676">
      <c r="A676" s="127"/>
      <c r="B676" s="127"/>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row>
    <row r="677">
      <c r="A677" s="127"/>
      <c r="B677" s="127"/>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row>
    <row r="678">
      <c r="A678" s="127"/>
      <c r="B678" s="127"/>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row>
    <row r="679">
      <c r="A679" s="127"/>
      <c r="B679" s="127"/>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row>
    <row r="680">
      <c r="A680" s="127"/>
      <c r="B680" s="127"/>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row>
    <row r="681">
      <c r="A681" s="127"/>
      <c r="B681" s="127"/>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row>
    <row r="682">
      <c r="A682" s="127"/>
      <c r="B682" s="127"/>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row>
    <row r="683">
      <c r="A683" s="127"/>
      <c r="B683" s="127"/>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row>
    <row r="684">
      <c r="A684" s="127"/>
      <c r="B684" s="127"/>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row>
    <row r="685">
      <c r="A685" s="127"/>
      <c r="B685" s="127"/>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row>
    <row r="686">
      <c r="A686" s="127"/>
      <c r="B686" s="127"/>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row>
    <row r="687">
      <c r="A687" s="127"/>
      <c r="B687" s="127"/>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row>
    <row r="688">
      <c r="A688" s="127"/>
      <c r="B688" s="127"/>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row>
    <row r="689">
      <c r="A689" s="127"/>
      <c r="B689" s="127"/>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row>
    <row r="690">
      <c r="A690" s="127"/>
      <c r="B690" s="127"/>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row>
    <row r="691">
      <c r="A691" s="127"/>
      <c r="B691" s="127"/>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row>
    <row r="692">
      <c r="A692" s="127"/>
      <c r="B692" s="127"/>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row>
    <row r="693">
      <c r="A693" s="127"/>
      <c r="B693" s="127"/>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row>
    <row r="694">
      <c r="A694" s="127"/>
      <c r="B694" s="127"/>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row>
    <row r="695">
      <c r="A695" s="127"/>
      <c r="B695" s="127"/>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row>
    <row r="696">
      <c r="A696" s="127"/>
      <c r="B696" s="127"/>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row>
    <row r="697">
      <c r="A697" s="127"/>
      <c r="B697" s="127"/>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row>
    <row r="698">
      <c r="A698" s="127"/>
      <c r="B698" s="127"/>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row>
    <row r="699">
      <c r="A699" s="127"/>
      <c r="B699" s="127"/>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row>
    <row r="700">
      <c r="A700" s="127"/>
      <c r="B700" s="127"/>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row>
    <row r="701">
      <c r="A701" s="127"/>
      <c r="B701" s="127"/>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row>
    <row r="702">
      <c r="A702" s="127"/>
      <c r="B702" s="127"/>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row>
    <row r="703">
      <c r="A703" s="127"/>
      <c r="B703" s="127"/>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row>
    <row r="704">
      <c r="A704" s="127"/>
      <c r="B704" s="127"/>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row>
    <row r="705">
      <c r="A705" s="127"/>
      <c r="B705" s="127"/>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row>
    <row r="706">
      <c r="A706" s="127"/>
      <c r="B706" s="127"/>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row>
    <row r="707">
      <c r="A707" s="127"/>
      <c r="B707" s="127"/>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row>
    <row r="708">
      <c r="A708" s="127"/>
      <c r="B708" s="127"/>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row>
    <row r="709">
      <c r="A709" s="127"/>
      <c r="B709" s="127"/>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row>
    <row r="710">
      <c r="A710" s="127"/>
      <c r="B710" s="127"/>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row>
    <row r="711">
      <c r="A711" s="127"/>
      <c r="B711" s="127"/>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row>
    <row r="712">
      <c r="A712" s="127"/>
      <c r="B712" s="127"/>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row>
    <row r="713">
      <c r="A713" s="127"/>
      <c r="B713" s="127"/>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row>
    <row r="714">
      <c r="A714" s="127"/>
      <c r="B714" s="127"/>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row>
    <row r="715">
      <c r="A715" s="127"/>
      <c r="B715" s="127"/>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row>
    <row r="716">
      <c r="A716" s="127"/>
      <c r="B716" s="127"/>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row>
    <row r="717">
      <c r="A717" s="127"/>
      <c r="B717" s="127"/>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row>
    <row r="718">
      <c r="A718" s="127"/>
      <c r="B718" s="127"/>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row>
    <row r="719">
      <c r="A719" s="127"/>
      <c r="B719" s="127"/>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row>
    <row r="720">
      <c r="A720" s="127"/>
      <c r="B720" s="127"/>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row>
    <row r="721">
      <c r="A721" s="127"/>
      <c r="B721" s="127"/>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row>
    <row r="722">
      <c r="A722" s="127"/>
      <c r="B722" s="127"/>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row>
    <row r="723">
      <c r="A723" s="127"/>
      <c r="B723" s="127"/>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row>
    <row r="724">
      <c r="A724" s="127"/>
      <c r="B724" s="127"/>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row>
    <row r="725">
      <c r="A725" s="127"/>
      <c r="B725" s="127"/>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row>
    <row r="726">
      <c r="A726" s="127"/>
      <c r="B726" s="127"/>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row>
    <row r="727">
      <c r="A727" s="127"/>
      <c r="B727" s="127"/>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row>
    <row r="728">
      <c r="A728" s="127"/>
      <c r="B728" s="127"/>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row>
    <row r="729">
      <c r="A729" s="127"/>
      <c r="B729" s="127"/>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row>
    <row r="730">
      <c r="A730" s="127"/>
      <c r="B730" s="127"/>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row>
    <row r="731">
      <c r="A731" s="127"/>
      <c r="B731" s="127"/>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row>
    <row r="732">
      <c r="A732" s="127"/>
      <c r="B732" s="127"/>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row>
    <row r="733">
      <c r="A733" s="127"/>
      <c r="B733" s="127"/>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row>
    <row r="734">
      <c r="A734" s="127"/>
      <c r="B734" s="127"/>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row>
    <row r="735">
      <c r="A735" s="127"/>
      <c r="B735" s="127"/>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row>
    <row r="736">
      <c r="A736" s="127"/>
      <c r="B736" s="127"/>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row>
    <row r="737">
      <c r="A737" s="127"/>
      <c r="B737" s="127"/>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row>
    <row r="738">
      <c r="A738" s="127"/>
      <c r="B738" s="127"/>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row>
    <row r="739">
      <c r="A739" s="127"/>
      <c r="B739" s="127"/>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row>
    <row r="740">
      <c r="A740" s="127"/>
      <c r="B740" s="127"/>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row>
    <row r="741">
      <c r="A741" s="127"/>
      <c r="B741" s="127"/>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row>
    <row r="742">
      <c r="A742" s="127"/>
      <c r="B742" s="127"/>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row>
    <row r="743">
      <c r="A743" s="127"/>
      <c r="B743" s="127"/>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row>
    <row r="744">
      <c r="A744" s="127"/>
      <c r="B744" s="127"/>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row>
    <row r="745">
      <c r="A745" s="127"/>
      <c r="B745" s="127"/>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row>
    <row r="746">
      <c r="A746" s="127"/>
      <c r="B746" s="127"/>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row>
    <row r="747">
      <c r="A747" s="127"/>
      <c r="B747" s="127"/>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row>
    <row r="748">
      <c r="A748" s="127"/>
      <c r="B748" s="127"/>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row>
    <row r="749">
      <c r="A749" s="127"/>
      <c r="B749" s="127"/>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row>
    <row r="750">
      <c r="A750" s="127"/>
      <c r="B750" s="127"/>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row>
    <row r="751">
      <c r="A751" s="127"/>
      <c r="B751" s="127"/>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row>
    <row r="752">
      <c r="A752" s="127"/>
      <c r="B752" s="127"/>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row>
    <row r="753">
      <c r="A753" s="127"/>
      <c r="B753" s="127"/>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row>
    <row r="754">
      <c r="A754" s="127"/>
      <c r="B754" s="127"/>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row>
    <row r="755">
      <c r="A755" s="127"/>
      <c r="B755" s="127"/>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row>
    <row r="756">
      <c r="A756" s="127"/>
      <c r="B756" s="127"/>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row>
    <row r="757">
      <c r="A757" s="127"/>
      <c r="B757" s="127"/>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row>
    <row r="758">
      <c r="A758" s="127"/>
      <c r="B758" s="127"/>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row>
    <row r="759">
      <c r="A759" s="127"/>
      <c r="B759" s="127"/>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row>
    <row r="760">
      <c r="A760" s="127"/>
      <c r="B760" s="127"/>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row>
    <row r="761">
      <c r="A761" s="127"/>
      <c r="B761" s="127"/>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row>
    <row r="762">
      <c r="A762" s="127"/>
      <c r="B762" s="127"/>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row>
    <row r="763">
      <c r="A763" s="127"/>
      <c r="B763" s="127"/>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row>
    <row r="764">
      <c r="A764" s="127"/>
      <c r="B764" s="127"/>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row>
    <row r="765">
      <c r="A765" s="127"/>
      <c r="B765" s="127"/>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row>
    <row r="766">
      <c r="A766" s="127"/>
      <c r="B766" s="127"/>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row>
    <row r="767">
      <c r="A767" s="127"/>
      <c r="B767" s="127"/>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row>
    <row r="768">
      <c r="A768" s="127"/>
      <c r="B768" s="127"/>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row>
    <row r="769">
      <c r="A769" s="127"/>
      <c r="B769" s="127"/>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row>
    <row r="770">
      <c r="A770" s="127"/>
      <c r="B770" s="127"/>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row>
    <row r="771">
      <c r="A771" s="127"/>
      <c r="B771" s="127"/>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row>
    <row r="772">
      <c r="A772" s="127"/>
      <c r="B772" s="127"/>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row>
    <row r="773">
      <c r="A773" s="127"/>
      <c r="B773" s="127"/>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row>
    <row r="774">
      <c r="A774" s="127"/>
      <c r="B774" s="127"/>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row>
    <row r="775">
      <c r="A775" s="127"/>
      <c r="B775" s="127"/>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row>
    <row r="776">
      <c r="A776" s="127"/>
      <c r="B776" s="127"/>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row>
    <row r="777">
      <c r="A777" s="127"/>
      <c r="B777" s="127"/>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row>
    <row r="778">
      <c r="A778" s="127"/>
      <c r="B778" s="127"/>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row>
    <row r="779">
      <c r="A779" s="127"/>
      <c r="B779" s="127"/>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row>
    <row r="780">
      <c r="A780" s="127"/>
      <c r="B780" s="127"/>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row>
    <row r="781">
      <c r="A781" s="127"/>
      <c r="B781" s="127"/>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row>
    <row r="782">
      <c r="A782" s="127"/>
      <c r="B782" s="127"/>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row>
    <row r="783">
      <c r="A783" s="127"/>
      <c r="B783" s="127"/>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row>
    <row r="784">
      <c r="A784" s="127"/>
      <c r="B784" s="127"/>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row>
    <row r="785">
      <c r="A785" s="127"/>
      <c r="B785" s="127"/>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row>
    <row r="786">
      <c r="A786" s="127"/>
      <c r="B786" s="127"/>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row>
    <row r="787">
      <c r="A787" s="127"/>
      <c r="B787" s="127"/>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row>
    <row r="788">
      <c r="A788" s="127"/>
      <c r="B788" s="127"/>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row>
    <row r="789">
      <c r="A789" s="127"/>
      <c r="B789" s="127"/>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row>
    <row r="790">
      <c r="A790" s="127"/>
      <c r="B790" s="127"/>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row>
    <row r="791">
      <c r="A791" s="127"/>
      <c r="B791" s="127"/>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row>
    <row r="792">
      <c r="A792" s="127"/>
      <c r="B792" s="127"/>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row>
    <row r="793">
      <c r="A793" s="127"/>
      <c r="B793" s="127"/>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row>
    <row r="794">
      <c r="A794" s="127"/>
      <c r="B794" s="127"/>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row>
    <row r="795">
      <c r="A795" s="127"/>
      <c r="B795" s="127"/>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row>
    <row r="796">
      <c r="A796" s="127"/>
      <c r="B796" s="127"/>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row>
    <row r="797">
      <c r="A797" s="127"/>
      <c r="B797" s="127"/>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row>
    <row r="798">
      <c r="A798" s="127"/>
      <c r="B798" s="127"/>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row>
    <row r="799">
      <c r="A799" s="127"/>
      <c r="B799" s="127"/>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row>
    <row r="800">
      <c r="A800" s="127"/>
      <c r="B800" s="127"/>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row>
    <row r="801">
      <c r="A801" s="127"/>
      <c r="B801" s="127"/>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row>
    <row r="802">
      <c r="A802" s="127"/>
      <c r="B802" s="127"/>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row>
    <row r="803">
      <c r="A803" s="127"/>
      <c r="B803" s="127"/>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row>
    <row r="804">
      <c r="A804" s="127"/>
      <c r="B804" s="127"/>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row>
    <row r="805">
      <c r="A805" s="127"/>
      <c r="B805" s="127"/>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row>
    <row r="806">
      <c r="A806" s="127"/>
      <c r="B806" s="127"/>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row>
    <row r="807">
      <c r="A807" s="127"/>
      <c r="B807" s="127"/>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row>
    <row r="808">
      <c r="A808" s="127"/>
      <c r="B808" s="127"/>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row>
    <row r="809">
      <c r="A809" s="127"/>
      <c r="B809" s="127"/>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row>
    <row r="810">
      <c r="A810" s="127"/>
      <c r="B810" s="127"/>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row>
    <row r="811">
      <c r="A811" s="127"/>
      <c r="B811" s="127"/>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row>
    <row r="812">
      <c r="A812" s="127"/>
      <c r="B812" s="127"/>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row>
    <row r="813">
      <c r="A813" s="127"/>
      <c r="B813" s="127"/>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row>
    <row r="814">
      <c r="A814" s="127"/>
      <c r="B814" s="127"/>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row>
    <row r="815">
      <c r="A815" s="127"/>
      <c r="B815" s="127"/>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row>
    <row r="816">
      <c r="A816" s="127"/>
      <c r="B816" s="127"/>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row>
    <row r="817">
      <c r="A817" s="127"/>
      <c r="B817" s="127"/>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row>
    <row r="818">
      <c r="A818" s="127"/>
      <c r="B818" s="127"/>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row>
    <row r="819">
      <c r="A819" s="127"/>
      <c r="B819" s="127"/>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row>
    <row r="820">
      <c r="A820" s="127"/>
      <c r="B820" s="127"/>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row>
    <row r="821">
      <c r="A821" s="127"/>
      <c r="B821" s="127"/>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row>
    <row r="822">
      <c r="A822" s="127"/>
      <c r="B822" s="127"/>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row>
    <row r="823">
      <c r="A823" s="127"/>
      <c r="B823" s="127"/>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row>
    <row r="824">
      <c r="A824" s="127"/>
      <c r="B824" s="127"/>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row>
    <row r="825">
      <c r="A825" s="127"/>
      <c r="B825" s="127"/>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row>
    <row r="826">
      <c r="A826" s="127"/>
      <c r="B826" s="127"/>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row>
    <row r="827">
      <c r="A827" s="127"/>
      <c r="B827" s="127"/>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row>
    <row r="828">
      <c r="A828" s="127"/>
      <c r="B828" s="127"/>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row>
    <row r="829">
      <c r="A829" s="127"/>
      <c r="B829" s="127"/>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row>
    <row r="830">
      <c r="A830" s="127"/>
      <c r="B830" s="127"/>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row>
    <row r="831">
      <c r="A831" s="127"/>
      <c r="B831" s="127"/>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row>
    <row r="832">
      <c r="A832" s="127"/>
      <c r="B832" s="127"/>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row>
    <row r="833">
      <c r="A833" s="127"/>
      <c r="B833" s="127"/>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row>
    <row r="834">
      <c r="A834" s="127"/>
      <c r="B834" s="127"/>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row>
    <row r="835">
      <c r="A835" s="127"/>
      <c r="B835" s="127"/>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row>
    <row r="836">
      <c r="A836" s="127"/>
      <c r="B836" s="127"/>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row>
    <row r="837">
      <c r="A837" s="127"/>
      <c r="B837" s="127"/>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row>
    <row r="838">
      <c r="A838" s="127"/>
      <c r="B838" s="127"/>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row>
    <row r="839">
      <c r="A839" s="127"/>
      <c r="B839" s="127"/>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row>
    <row r="840">
      <c r="A840" s="127"/>
      <c r="B840" s="127"/>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row>
    <row r="841">
      <c r="A841" s="127"/>
      <c r="B841" s="127"/>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row>
    <row r="842">
      <c r="A842" s="127"/>
      <c r="B842" s="127"/>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row>
    <row r="843">
      <c r="A843" s="127"/>
      <c r="B843" s="127"/>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row>
    <row r="844">
      <c r="A844" s="127"/>
      <c r="B844" s="127"/>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row>
    <row r="845">
      <c r="A845" s="127"/>
      <c r="B845" s="127"/>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row>
    <row r="846">
      <c r="A846" s="127"/>
      <c r="B846" s="127"/>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row>
    <row r="847">
      <c r="A847" s="127"/>
      <c r="B847" s="127"/>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row>
    <row r="848">
      <c r="A848" s="127"/>
      <c r="B848" s="127"/>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row>
    <row r="849">
      <c r="A849" s="127"/>
      <c r="B849" s="127"/>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row>
    <row r="850">
      <c r="A850" s="127"/>
      <c r="B850" s="127"/>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row>
    <row r="851">
      <c r="A851" s="127"/>
      <c r="B851" s="127"/>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row>
    <row r="852">
      <c r="A852" s="127"/>
      <c r="B852" s="127"/>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row>
    <row r="853">
      <c r="A853" s="127"/>
      <c r="B853" s="127"/>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row>
    <row r="854">
      <c r="A854" s="127"/>
      <c r="B854" s="127"/>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row>
    <row r="855">
      <c r="A855" s="127"/>
      <c r="B855" s="127"/>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row>
    <row r="856">
      <c r="A856" s="127"/>
      <c r="B856" s="127"/>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row>
    <row r="857">
      <c r="A857" s="127"/>
      <c r="B857" s="127"/>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row>
    <row r="858">
      <c r="A858" s="127"/>
      <c r="B858" s="127"/>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row>
    <row r="859">
      <c r="A859" s="127"/>
      <c r="B859" s="127"/>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row>
    <row r="860">
      <c r="A860" s="127"/>
      <c r="B860" s="127"/>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row>
    <row r="861">
      <c r="A861" s="127"/>
      <c r="B861" s="127"/>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row>
    <row r="862">
      <c r="A862" s="127"/>
      <c r="B862" s="127"/>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row>
    <row r="863">
      <c r="A863" s="127"/>
      <c r="B863" s="127"/>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row>
    <row r="864">
      <c r="A864" s="127"/>
      <c r="B864" s="127"/>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row>
    <row r="865">
      <c r="A865" s="127"/>
      <c r="B865" s="127"/>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row>
    <row r="866">
      <c r="A866" s="127"/>
      <c r="B866" s="127"/>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row>
    <row r="867">
      <c r="A867" s="127"/>
      <c r="B867" s="127"/>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row>
    <row r="868">
      <c r="A868" s="127"/>
      <c r="B868" s="127"/>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row>
    <row r="869">
      <c r="A869" s="127"/>
      <c r="B869" s="127"/>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row>
    <row r="870">
      <c r="A870" s="127"/>
      <c r="B870" s="127"/>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row>
    <row r="871">
      <c r="A871" s="127"/>
      <c r="B871" s="127"/>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row>
    <row r="872">
      <c r="A872" s="127"/>
      <c r="B872" s="127"/>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row>
    <row r="873">
      <c r="A873" s="127"/>
      <c r="B873" s="127"/>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row>
    <row r="874">
      <c r="A874" s="127"/>
      <c r="B874" s="127"/>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row>
    <row r="875">
      <c r="A875" s="127"/>
      <c r="B875" s="127"/>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row>
    <row r="876">
      <c r="A876" s="127"/>
      <c r="B876" s="127"/>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row>
    <row r="877">
      <c r="A877" s="127"/>
      <c r="B877" s="127"/>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row>
    <row r="878">
      <c r="A878" s="127"/>
      <c r="B878" s="127"/>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row>
    <row r="879">
      <c r="A879" s="127"/>
      <c r="B879" s="127"/>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row>
    <row r="880">
      <c r="A880" s="127"/>
      <c r="B880" s="127"/>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row>
    <row r="881">
      <c r="A881" s="127"/>
      <c r="B881" s="127"/>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row>
    <row r="882">
      <c r="A882" s="127"/>
      <c r="B882" s="127"/>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row>
    <row r="883">
      <c r="A883" s="127"/>
      <c r="B883" s="127"/>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row>
    <row r="884">
      <c r="A884" s="127"/>
      <c r="B884" s="127"/>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row>
    <row r="885">
      <c r="A885" s="127"/>
      <c r="B885" s="127"/>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row>
    <row r="886">
      <c r="A886" s="127"/>
      <c r="B886" s="127"/>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row>
    <row r="887">
      <c r="A887" s="127"/>
      <c r="B887" s="127"/>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row>
    <row r="888">
      <c r="A888" s="127"/>
      <c r="B888" s="127"/>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row>
    <row r="889">
      <c r="A889" s="127"/>
      <c r="B889" s="127"/>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row>
    <row r="890">
      <c r="A890" s="127"/>
      <c r="B890" s="127"/>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row>
    <row r="891">
      <c r="A891" s="127"/>
      <c r="B891" s="127"/>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row>
    <row r="892">
      <c r="A892" s="127"/>
      <c r="B892" s="127"/>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row>
    <row r="893">
      <c r="A893" s="127"/>
      <c r="B893" s="127"/>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row>
    <row r="894">
      <c r="A894" s="127"/>
      <c r="B894" s="127"/>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row>
    <row r="895">
      <c r="A895" s="127"/>
      <c r="B895" s="127"/>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row>
    <row r="896">
      <c r="A896" s="127"/>
      <c r="B896" s="127"/>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row>
    <row r="897">
      <c r="A897" s="127"/>
      <c r="B897" s="127"/>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row>
    <row r="898">
      <c r="A898" s="127"/>
      <c r="B898" s="127"/>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row>
    <row r="899">
      <c r="A899" s="127"/>
      <c r="B899" s="127"/>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row>
    <row r="900">
      <c r="A900" s="127"/>
      <c r="B900" s="127"/>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row>
    <row r="901">
      <c r="A901" s="127"/>
      <c r="B901" s="127"/>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row>
    <row r="902">
      <c r="A902" s="127"/>
      <c r="B902" s="127"/>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row>
    <row r="903">
      <c r="A903" s="127"/>
      <c r="B903" s="127"/>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row>
    <row r="904">
      <c r="A904" s="127"/>
      <c r="B904" s="127"/>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row>
    <row r="905">
      <c r="A905" s="127"/>
      <c r="B905" s="127"/>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row>
    <row r="906">
      <c r="A906" s="127"/>
      <c r="B906" s="127"/>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row>
    <row r="907">
      <c r="A907" s="127"/>
      <c r="B907" s="127"/>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row>
    <row r="908">
      <c r="A908" s="127"/>
      <c r="B908" s="127"/>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row>
    <row r="909">
      <c r="A909" s="127"/>
      <c r="B909" s="127"/>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row>
    <row r="910">
      <c r="A910" s="127"/>
      <c r="B910" s="127"/>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row>
    <row r="911">
      <c r="A911" s="127"/>
      <c r="B911" s="127"/>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row>
    <row r="912">
      <c r="A912" s="127"/>
      <c r="B912" s="127"/>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row>
    <row r="913">
      <c r="A913" s="127"/>
      <c r="B913" s="127"/>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row>
    <row r="914">
      <c r="A914" s="127"/>
      <c r="B914" s="127"/>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row>
    <row r="915">
      <c r="A915" s="127"/>
      <c r="B915" s="127"/>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row>
    <row r="916">
      <c r="A916" s="127"/>
      <c r="B916" s="127"/>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row>
    <row r="917">
      <c r="A917" s="127"/>
      <c r="B917" s="127"/>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row>
    <row r="918">
      <c r="A918" s="127"/>
      <c r="B918" s="127"/>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row>
    <row r="919">
      <c r="A919" s="127"/>
      <c r="B919" s="127"/>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row>
    <row r="920">
      <c r="A920" s="127"/>
      <c r="B920" s="127"/>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row>
    <row r="921">
      <c r="A921" s="127"/>
      <c r="B921" s="127"/>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row>
    <row r="922">
      <c r="A922" s="127"/>
      <c r="B922" s="127"/>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row>
    <row r="923">
      <c r="A923" s="127"/>
      <c r="B923" s="127"/>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row>
    <row r="924">
      <c r="A924" s="127"/>
      <c r="B924" s="127"/>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row>
    <row r="925">
      <c r="A925" s="127"/>
      <c r="B925" s="127"/>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row>
    <row r="926">
      <c r="A926" s="127"/>
      <c r="B926" s="127"/>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row>
    <row r="927">
      <c r="A927" s="127"/>
      <c r="B927" s="127"/>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row>
    <row r="928">
      <c r="A928" s="127"/>
      <c r="B928" s="127"/>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row>
    <row r="929">
      <c r="A929" s="127"/>
      <c r="B929" s="127"/>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row>
    <row r="930">
      <c r="A930" s="127"/>
      <c r="B930" s="127"/>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row>
    <row r="931">
      <c r="A931" s="127"/>
      <c r="B931" s="127"/>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row>
    <row r="932">
      <c r="A932" s="127"/>
      <c r="B932" s="127"/>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row>
    <row r="933">
      <c r="A933" s="127"/>
      <c r="B933" s="127"/>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row>
    <row r="934">
      <c r="A934" s="127"/>
      <c r="B934" s="127"/>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row>
    <row r="935">
      <c r="A935" s="127"/>
      <c r="B935" s="127"/>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row>
    <row r="936">
      <c r="A936" s="127"/>
      <c r="B936" s="127"/>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row>
    <row r="937">
      <c r="A937" s="127"/>
      <c r="B937" s="127"/>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row>
    <row r="938">
      <c r="A938" s="127"/>
      <c r="B938" s="127"/>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row>
    <row r="939">
      <c r="A939" s="127"/>
      <c r="B939" s="127"/>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row>
    <row r="940">
      <c r="A940" s="127"/>
      <c r="B940" s="127"/>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row>
    <row r="941">
      <c r="A941" s="127"/>
      <c r="B941" s="127"/>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row>
    <row r="942">
      <c r="A942" s="127"/>
      <c r="B942" s="127"/>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row>
    <row r="943">
      <c r="A943" s="127"/>
      <c r="B943" s="127"/>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row>
    <row r="944">
      <c r="A944" s="127"/>
      <c r="B944" s="127"/>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row>
    <row r="945">
      <c r="A945" s="127"/>
      <c r="B945" s="127"/>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row>
    <row r="946">
      <c r="A946" s="127"/>
      <c r="B946" s="127"/>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row>
    <row r="947">
      <c r="A947" s="127"/>
      <c r="B947" s="127"/>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row>
    <row r="948">
      <c r="A948" s="127"/>
      <c r="B948" s="127"/>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row>
    <row r="949">
      <c r="A949" s="127"/>
      <c r="B949" s="127"/>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row>
    <row r="950">
      <c r="A950" s="127"/>
      <c r="B950" s="127"/>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row>
    <row r="951">
      <c r="A951" s="127"/>
      <c r="B951" s="127"/>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row>
    <row r="952">
      <c r="A952" s="127"/>
      <c r="B952" s="127"/>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row>
    <row r="953">
      <c r="A953" s="127"/>
      <c r="B953" s="127"/>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row>
    <row r="954">
      <c r="A954" s="127"/>
      <c r="B954" s="127"/>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row>
    <row r="955">
      <c r="A955" s="127"/>
      <c r="B955" s="127"/>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row>
    <row r="956">
      <c r="A956" s="127"/>
      <c r="B956" s="127"/>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row>
    <row r="957">
      <c r="A957" s="127"/>
      <c r="B957" s="127"/>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row>
    <row r="958">
      <c r="A958" s="127"/>
      <c r="B958" s="127"/>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row>
    <row r="959">
      <c r="A959" s="127"/>
      <c r="B959" s="127"/>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row>
    <row r="960">
      <c r="A960" s="127"/>
      <c r="B960" s="127"/>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row>
    <row r="961">
      <c r="A961" s="127"/>
      <c r="B961" s="127"/>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row>
    <row r="962">
      <c r="A962" s="127"/>
      <c r="B962" s="127"/>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row>
    <row r="963">
      <c r="A963" s="127"/>
      <c r="B963" s="127"/>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row>
    <row r="964">
      <c r="A964" s="127"/>
      <c r="B964" s="127"/>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row>
    <row r="965">
      <c r="A965" s="127"/>
      <c r="B965" s="127"/>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row>
    <row r="966">
      <c r="A966" s="127"/>
      <c r="B966" s="127"/>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row>
    <row r="967">
      <c r="A967" s="127"/>
      <c r="B967" s="127"/>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row>
    <row r="968">
      <c r="A968" s="127"/>
      <c r="B968" s="127"/>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row>
    <row r="969">
      <c r="A969" s="127"/>
      <c r="B969" s="127"/>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row>
    <row r="970">
      <c r="A970" s="127"/>
      <c r="B970" s="127"/>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row>
    <row r="971">
      <c r="A971" s="127"/>
      <c r="B971" s="127"/>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row>
    <row r="972">
      <c r="A972" s="127"/>
      <c r="B972" s="127"/>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row>
    <row r="973">
      <c r="A973" s="127"/>
      <c r="B973" s="127"/>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row>
    <row r="974">
      <c r="A974" s="127"/>
      <c r="B974" s="127"/>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row>
    <row r="975">
      <c r="A975" s="127"/>
      <c r="B975" s="127"/>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row>
    <row r="976">
      <c r="A976" s="127"/>
      <c r="B976" s="127"/>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row>
    <row r="977">
      <c r="A977" s="127"/>
      <c r="B977" s="127"/>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row>
    <row r="978">
      <c r="A978" s="127"/>
      <c r="B978" s="127"/>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row>
    <row r="979">
      <c r="A979" s="127"/>
      <c r="B979" s="127"/>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row>
    <row r="980">
      <c r="A980" s="127"/>
      <c r="B980" s="127"/>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row>
    <row r="981">
      <c r="A981" s="127"/>
      <c r="B981" s="127"/>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row>
    <row r="982">
      <c r="A982" s="127"/>
      <c r="B982" s="127"/>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row>
    <row r="983">
      <c r="A983" s="127"/>
      <c r="B983" s="127"/>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row>
    <row r="984">
      <c r="A984" s="127"/>
      <c r="B984" s="127"/>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row>
    <row r="985">
      <c r="A985" s="127"/>
      <c r="B985" s="127"/>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row>
    <row r="986">
      <c r="A986" s="127"/>
      <c r="B986" s="127"/>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row>
    <row r="987">
      <c r="A987" s="127"/>
      <c r="B987" s="127"/>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row>
    <row r="988">
      <c r="A988" s="127"/>
      <c r="B988" s="127"/>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row>
    <row r="989">
      <c r="A989" s="127"/>
      <c r="B989" s="127"/>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row>
    <row r="990">
      <c r="A990" s="127"/>
      <c r="B990" s="127"/>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row>
    <row r="991">
      <c r="A991" s="127"/>
      <c r="B991" s="127"/>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row>
    <row r="992">
      <c r="A992" s="127"/>
      <c r="B992" s="127"/>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row>
    <row r="993">
      <c r="A993" s="127"/>
      <c r="B993" s="127"/>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row>
    <row r="994">
      <c r="A994" s="127"/>
      <c r="B994" s="127"/>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row>
    <row r="995">
      <c r="A995" s="127"/>
      <c r="B995" s="127"/>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row>
    <row r="996">
      <c r="A996" s="127"/>
      <c r="B996" s="127"/>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row>
    <row r="997">
      <c r="A997" s="127"/>
      <c r="B997" s="127"/>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row>
    <row r="998">
      <c r="A998" s="127"/>
      <c r="B998" s="127"/>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row>
    <row r="999">
      <c r="A999" s="127"/>
      <c r="B999" s="127"/>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row>
    <row r="1000">
      <c r="A1000" s="127"/>
      <c r="B1000" s="127"/>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row>
    <row r="1001">
      <c r="A1001" s="127"/>
      <c r="B1001" s="127"/>
      <c r="C1001" s="159"/>
      <c r="D1001" s="159"/>
      <c r="E1001" s="159"/>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row>
    <row r="1002">
      <c r="A1002" s="127"/>
      <c r="B1002" s="127"/>
      <c r="C1002" s="159"/>
      <c r="D1002" s="159"/>
      <c r="E1002" s="159"/>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0" max="10" width="29.29"/>
    <col customWidth="1" min="11" max="13" width="11.0"/>
  </cols>
  <sheetData>
    <row r="1">
      <c r="A1" s="298" t="s">
        <v>4708</v>
      </c>
      <c r="B1" s="299" t="s">
        <v>4709</v>
      </c>
      <c r="C1" s="299" t="s">
        <v>23</v>
      </c>
      <c r="D1" s="299" t="s">
        <v>4710</v>
      </c>
      <c r="E1" s="299" t="s">
        <v>56</v>
      </c>
      <c r="F1" s="299" t="s">
        <v>4711</v>
      </c>
      <c r="G1" s="299" t="s">
        <v>4712</v>
      </c>
      <c r="H1" s="300" t="s">
        <v>4713</v>
      </c>
      <c r="I1" s="300"/>
      <c r="J1" s="301" t="s">
        <v>23</v>
      </c>
      <c r="K1" s="1" t="s">
        <v>0</v>
      </c>
      <c r="L1" s="302" t="s">
        <v>21</v>
      </c>
      <c r="M1" s="302" t="s">
        <v>22</v>
      </c>
      <c r="N1" s="300"/>
      <c r="O1" s="300"/>
      <c r="P1" s="300"/>
      <c r="Q1" s="300"/>
      <c r="R1" s="300"/>
      <c r="S1" s="300"/>
      <c r="T1" s="300"/>
      <c r="U1" s="303"/>
      <c r="V1" s="303"/>
      <c r="W1" s="303"/>
      <c r="X1" s="303"/>
      <c r="Y1" s="303"/>
      <c r="Z1" s="303"/>
    </row>
    <row r="2">
      <c r="A2" s="304"/>
      <c r="B2" s="305"/>
      <c r="C2" s="305"/>
      <c r="D2" s="305"/>
      <c r="E2" s="305"/>
      <c r="F2" s="305"/>
      <c r="G2" s="305"/>
      <c r="H2" s="306"/>
      <c r="I2" s="306"/>
      <c r="J2" s="307"/>
      <c r="K2" s="308"/>
      <c r="L2" s="309"/>
      <c r="M2" s="309"/>
      <c r="N2" s="306"/>
      <c r="O2" s="306"/>
      <c r="P2" s="306"/>
      <c r="Q2" s="306"/>
      <c r="R2" s="306"/>
      <c r="S2" s="306"/>
      <c r="T2" s="306"/>
      <c r="U2" s="303"/>
      <c r="V2" s="303"/>
      <c r="W2" s="303"/>
      <c r="X2" s="303"/>
      <c r="Y2" s="303"/>
      <c r="Z2" s="303"/>
    </row>
    <row r="3">
      <c r="A3" s="304"/>
      <c r="B3" s="305"/>
      <c r="C3" s="305"/>
      <c r="D3" s="305"/>
      <c r="E3" s="305"/>
      <c r="F3" s="305"/>
      <c r="G3" s="305"/>
      <c r="H3" s="306"/>
      <c r="I3" s="306"/>
      <c r="J3" s="307"/>
      <c r="K3" s="308"/>
      <c r="L3" s="309"/>
      <c r="M3" s="309"/>
      <c r="N3" s="306"/>
      <c r="O3" s="306"/>
      <c r="P3" s="306"/>
      <c r="Q3" s="306"/>
      <c r="R3" s="306"/>
      <c r="S3" s="306"/>
      <c r="T3" s="306"/>
      <c r="U3" s="303"/>
      <c r="V3" s="303"/>
      <c r="W3" s="303"/>
      <c r="X3" s="303"/>
      <c r="Y3" s="303"/>
      <c r="Z3" s="303"/>
    </row>
    <row r="4">
      <c r="A4" s="310"/>
      <c r="B4" s="311"/>
      <c r="C4" s="311"/>
      <c r="D4" s="311"/>
      <c r="E4" s="311"/>
      <c r="F4" s="311"/>
      <c r="G4" s="311"/>
      <c r="H4" s="312"/>
      <c r="I4" s="306"/>
      <c r="J4" s="307"/>
      <c r="K4" s="308"/>
      <c r="L4" s="309"/>
      <c r="M4" s="309"/>
      <c r="N4" s="306"/>
      <c r="O4" s="312"/>
      <c r="P4" s="312"/>
      <c r="Q4" s="312"/>
      <c r="R4" s="312"/>
      <c r="S4" s="312"/>
      <c r="T4" s="312"/>
      <c r="U4" s="303"/>
      <c r="V4" s="303"/>
      <c r="W4" s="303"/>
      <c r="X4" s="303"/>
      <c r="Y4" s="303"/>
      <c r="Z4" s="303"/>
    </row>
    <row r="5">
      <c r="A5" s="304"/>
      <c r="B5" s="305"/>
      <c r="C5" s="305"/>
      <c r="D5" s="305"/>
      <c r="E5" s="305"/>
      <c r="F5" s="305"/>
      <c r="G5" s="305"/>
      <c r="H5" s="306"/>
      <c r="I5" s="306"/>
      <c r="J5" s="307"/>
      <c r="K5" s="308"/>
      <c r="L5" s="309"/>
      <c r="M5" s="309"/>
      <c r="N5" s="306"/>
      <c r="O5" s="306"/>
      <c r="P5" s="306"/>
      <c r="Q5" s="306"/>
      <c r="R5" s="306"/>
      <c r="S5" s="306"/>
      <c r="T5" s="306"/>
      <c r="U5" s="303"/>
      <c r="V5" s="303"/>
      <c r="W5" s="303"/>
      <c r="X5" s="303"/>
      <c r="Y5" s="303"/>
      <c r="Z5" s="303"/>
    </row>
    <row r="6">
      <c r="A6" s="310"/>
      <c r="B6" s="311"/>
      <c r="C6" s="311"/>
      <c r="D6" s="311"/>
      <c r="E6" s="311"/>
      <c r="F6" s="311"/>
      <c r="G6" s="311"/>
      <c r="H6" s="312"/>
      <c r="I6" s="306"/>
      <c r="J6" s="307"/>
      <c r="K6" s="308"/>
      <c r="L6" s="309"/>
      <c r="M6" s="309"/>
      <c r="N6" s="306"/>
      <c r="O6" s="312"/>
      <c r="P6" s="312"/>
      <c r="Q6" s="312"/>
      <c r="R6" s="312"/>
      <c r="S6" s="312"/>
      <c r="T6" s="312"/>
      <c r="U6" s="303"/>
      <c r="V6" s="303"/>
      <c r="W6" s="303"/>
      <c r="X6" s="303"/>
      <c r="Y6" s="303"/>
      <c r="Z6" s="303"/>
    </row>
    <row r="7">
      <c r="A7" s="304"/>
      <c r="B7" s="305"/>
      <c r="C7" s="305"/>
      <c r="D7" s="305"/>
      <c r="E7" s="305"/>
      <c r="F7" s="305"/>
      <c r="G7" s="305"/>
      <c r="H7" s="313"/>
      <c r="I7" s="306"/>
      <c r="J7" s="307"/>
      <c r="K7" s="308"/>
      <c r="L7" s="309"/>
      <c r="M7" s="309"/>
      <c r="N7" s="306"/>
      <c r="O7" s="306"/>
      <c r="P7" s="306"/>
      <c r="Q7" s="306"/>
      <c r="R7" s="306"/>
      <c r="S7" s="306"/>
      <c r="T7" s="306"/>
      <c r="U7" s="303"/>
      <c r="V7" s="303"/>
      <c r="W7" s="303"/>
      <c r="X7" s="303"/>
      <c r="Y7" s="303"/>
      <c r="Z7" s="303"/>
    </row>
    <row r="8">
      <c r="A8" s="304"/>
      <c r="B8" s="305"/>
      <c r="C8" s="305"/>
      <c r="D8" s="305"/>
      <c r="E8" s="305"/>
      <c r="F8" s="305"/>
      <c r="G8" s="305"/>
      <c r="H8" s="313"/>
      <c r="I8" s="306"/>
      <c r="J8" s="307"/>
      <c r="K8" s="308"/>
      <c r="L8" s="309"/>
      <c r="M8" s="309"/>
      <c r="N8" s="306"/>
      <c r="O8" s="306"/>
      <c r="P8" s="306"/>
      <c r="Q8" s="306"/>
      <c r="R8" s="306"/>
      <c r="S8" s="306"/>
      <c r="T8" s="306"/>
      <c r="U8" s="303"/>
      <c r="V8" s="303"/>
      <c r="W8" s="303"/>
      <c r="X8" s="303"/>
      <c r="Y8" s="303"/>
      <c r="Z8" s="303"/>
    </row>
    <row r="9">
      <c r="A9" s="310"/>
      <c r="B9" s="311"/>
      <c r="C9" s="311"/>
      <c r="D9" s="311"/>
      <c r="E9" s="311"/>
      <c r="F9" s="311"/>
      <c r="G9" s="311"/>
      <c r="H9" s="314"/>
      <c r="I9" s="306"/>
      <c r="J9" s="307"/>
      <c r="K9" s="308"/>
      <c r="L9" s="309"/>
      <c r="M9" s="309"/>
      <c r="N9" s="306"/>
      <c r="O9" s="312"/>
      <c r="P9" s="312"/>
      <c r="Q9" s="312"/>
      <c r="R9" s="312"/>
      <c r="S9" s="312"/>
      <c r="T9" s="312"/>
      <c r="U9" s="303"/>
      <c r="V9" s="303"/>
      <c r="W9" s="303"/>
      <c r="X9" s="303"/>
      <c r="Y9" s="303"/>
      <c r="Z9" s="303"/>
    </row>
    <row r="10">
      <c r="A10" s="304"/>
      <c r="B10" s="305"/>
      <c r="C10" s="305"/>
      <c r="D10" s="305"/>
      <c r="E10" s="305"/>
      <c r="F10" s="305"/>
      <c r="G10" s="305"/>
      <c r="H10" s="313"/>
      <c r="I10" s="306"/>
      <c r="J10" s="307"/>
      <c r="K10" s="308"/>
      <c r="L10" s="309"/>
      <c r="M10" s="309"/>
      <c r="N10" s="306"/>
      <c r="O10" s="306"/>
      <c r="P10" s="306"/>
      <c r="Q10" s="306"/>
      <c r="R10" s="306"/>
      <c r="S10" s="306"/>
      <c r="T10" s="306"/>
      <c r="U10" s="303"/>
      <c r="V10" s="303"/>
      <c r="W10" s="303"/>
      <c r="X10" s="303"/>
      <c r="Y10" s="303"/>
      <c r="Z10" s="303"/>
    </row>
    <row r="11">
      <c r="A11" s="304"/>
      <c r="B11" s="305"/>
      <c r="C11" s="305"/>
      <c r="D11" s="305"/>
      <c r="E11" s="305"/>
      <c r="F11" s="305"/>
      <c r="G11" s="305"/>
      <c r="H11" s="313"/>
      <c r="I11" s="306"/>
      <c r="J11" s="307"/>
      <c r="K11" s="308"/>
      <c r="L11" s="309"/>
      <c r="M11" s="309"/>
      <c r="N11" s="306"/>
      <c r="O11" s="306"/>
      <c r="P11" s="306"/>
      <c r="Q11" s="306"/>
      <c r="R11" s="306"/>
      <c r="S11" s="306"/>
      <c r="T11" s="306"/>
      <c r="U11" s="303"/>
      <c r="V11" s="303"/>
      <c r="W11" s="303"/>
      <c r="X11" s="303"/>
      <c r="Y11" s="303"/>
      <c r="Z11" s="303"/>
    </row>
    <row r="12">
      <c r="A12" s="310"/>
      <c r="B12" s="311"/>
      <c r="C12" s="311"/>
      <c r="D12" s="311"/>
      <c r="E12" s="311"/>
      <c r="F12" s="311"/>
      <c r="G12" s="311"/>
      <c r="H12" s="314"/>
      <c r="I12" s="306"/>
      <c r="J12" s="307"/>
      <c r="K12" s="308"/>
      <c r="L12" s="309"/>
      <c r="M12" s="309"/>
      <c r="N12" s="306"/>
      <c r="O12" s="312"/>
      <c r="P12" s="312"/>
      <c r="Q12" s="312"/>
      <c r="R12" s="312"/>
      <c r="S12" s="312"/>
      <c r="T12" s="312"/>
      <c r="U12" s="303"/>
      <c r="V12" s="303"/>
      <c r="W12" s="303"/>
      <c r="X12" s="303"/>
      <c r="Y12" s="303"/>
      <c r="Z12" s="303"/>
    </row>
    <row r="13">
      <c r="A13" s="304"/>
      <c r="B13" s="305"/>
      <c r="C13" s="305"/>
      <c r="D13" s="305"/>
      <c r="E13" s="305"/>
      <c r="F13" s="305"/>
      <c r="G13" s="305"/>
      <c r="H13" s="313"/>
      <c r="I13" s="306"/>
      <c r="J13" s="307"/>
      <c r="K13" s="308"/>
      <c r="L13" s="309"/>
      <c r="M13" s="309"/>
      <c r="N13" s="306"/>
      <c r="O13" s="306"/>
      <c r="P13" s="306"/>
      <c r="Q13" s="306"/>
      <c r="R13" s="306"/>
      <c r="S13" s="306"/>
      <c r="T13" s="306"/>
      <c r="U13" s="303"/>
      <c r="V13" s="303"/>
      <c r="W13" s="303"/>
      <c r="X13" s="303"/>
      <c r="Y13" s="303"/>
      <c r="Z13" s="303"/>
    </row>
    <row r="14">
      <c r="A14" s="304"/>
      <c r="B14" s="305"/>
      <c r="C14" s="305"/>
      <c r="D14" s="305"/>
      <c r="E14" s="305"/>
      <c r="F14" s="305"/>
      <c r="G14" s="305"/>
      <c r="H14" s="313"/>
      <c r="I14" s="306"/>
      <c r="J14" s="307"/>
      <c r="K14" s="308"/>
      <c r="L14" s="309"/>
      <c r="M14" s="309"/>
      <c r="N14" s="306"/>
      <c r="O14" s="306"/>
      <c r="P14" s="306"/>
      <c r="Q14" s="306"/>
      <c r="R14" s="306"/>
      <c r="S14" s="306"/>
      <c r="T14" s="306"/>
      <c r="U14" s="303"/>
      <c r="V14" s="303"/>
      <c r="W14" s="303"/>
      <c r="X14" s="303"/>
      <c r="Y14" s="303"/>
      <c r="Z14" s="303"/>
    </row>
    <row r="15">
      <c r="A15" s="304"/>
      <c r="B15" s="305"/>
      <c r="C15" s="305"/>
      <c r="D15" s="305"/>
      <c r="E15" s="305"/>
      <c r="F15" s="305"/>
      <c r="G15" s="305"/>
      <c r="H15" s="313"/>
      <c r="I15" s="306"/>
      <c r="J15" s="307"/>
      <c r="K15" s="308"/>
      <c r="L15" s="309"/>
      <c r="M15" s="309"/>
      <c r="N15" s="306"/>
      <c r="O15" s="306"/>
      <c r="P15" s="306"/>
      <c r="Q15" s="306"/>
      <c r="R15" s="306"/>
      <c r="S15" s="306"/>
      <c r="T15" s="306"/>
      <c r="U15" s="303"/>
      <c r="V15" s="303"/>
      <c r="W15" s="303"/>
      <c r="X15" s="303"/>
      <c r="Y15" s="303"/>
      <c r="Z15" s="303"/>
    </row>
    <row r="16">
      <c r="A16" s="310"/>
      <c r="B16" s="311"/>
      <c r="C16" s="311"/>
      <c r="D16" s="311"/>
      <c r="E16" s="311"/>
      <c r="F16" s="311"/>
      <c r="G16" s="311"/>
      <c r="H16" s="314"/>
      <c r="I16" s="306"/>
      <c r="J16" s="307"/>
      <c r="K16" s="308"/>
      <c r="L16" s="309"/>
      <c r="M16" s="309"/>
      <c r="N16" s="306"/>
      <c r="O16" s="312"/>
      <c r="P16" s="312"/>
      <c r="Q16" s="312"/>
      <c r="R16" s="312"/>
      <c r="S16" s="312"/>
      <c r="T16" s="312"/>
      <c r="U16" s="303"/>
      <c r="V16" s="303"/>
      <c r="W16" s="303"/>
      <c r="X16" s="303"/>
      <c r="Y16" s="303"/>
      <c r="Z16" s="303"/>
    </row>
    <row r="17">
      <c r="A17" s="304"/>
      <c r="B17" s="305"/>
      <c r="C17" s="305"/>
      <c r="D17" s="305"/>
      <c r="E17" s="305"/>
      <c r="F17" s="305"/>
      <c r="G17" s="305"/>
      <c r="H17" s="313"/>
      <c r="I17" s="306"/>
      <c r="J17" s="307"/>
      <c r="K17" s="308"/>
      <c r="L17" s="309"/>
      <c r="M17" s="309"/>
      <c r="N17" s="306"/>
      <c r="O17" s="306"/>
      <c r="P17" s="306"/>
      <c r="Q17" s="306"/>
      <c r="R17" s="306"/>
      <c r="S17" s="306"/>
      <c r="T17" s="306"/>
      <c r="U17" s="303"/>
      <c r="V17" s="303"/>
      <c r="W17" s="303"/>
      <c r="X17" s="303"/>
      <c r="Y17" s="303"/>
      <c r="Z17" s="303"/>
    </row>
    <row r="18">
      <c r="A18" s="310"/>
      <c r="B18" s="311"/>
      <c r="C18" s="311"/>
      <c r="D18" s="311"/>
      <c r="E18" s="311"/>
      <c r="F18" s="311"/>
      <c r="G18" s="311"/>
      <c r="H18" s="314"/>
      <c r="I18" s="306"/>
      <c r="J18" s="307"/>
      <c r="K18" s="308"/>
      <c r="L18" s="309"/>
      <c r="M18" s="309"/>
      <c r="N18" s="306"/>
      <c r="O18" s="312"/>
      <c r="P18" s="312"/>
      <c r="Q18" s="312"/>
      <c r="R18" s="312"/>
      <c r="S18" s="312"/>
      <c r="T18" s="312"/>
      <c r="U18" s="303"/>
      <c r="V18" s="303"/>
      <c r="W18" s="303"/>
      <c r="X18" s="303"/>
      <c r="Y18" s="303"/>
      <c r="Z18" s="303"/>
    </row>
    <row r="19">
      <c r="A19" s="304"/>
      <c r="B19" s="305"/>
      <c r="C19" s="305"/>
      <c r="D19" s="305"/>
      <c r="E19" s="305"/>
      <c r="F19" s="305"/>
      <c r="G19" s="305"/>
      <c r="H19" s="313"/>
      <c r="I19" s="306"/>
      <c r="J19" s="307"/>
      <c r="K19" s="308"/>
      <c r="L19" s="309"/>
      <c r="M19" s="309"/>
      <c r="N19" s="306"/>
      <c r="O19" s="306"/>
      <c r="P19" s="306"/>
      <c r="Q19" s="306"/>
      <c r="R19" s="306"/>
      <c r="S19" s="306"/>
      <c r="T19" s="306"/>
      <c r="U19" s="303"/>
      <c r="V19" s="303"/>
      <c r="W19" s="303"/>
      <c r="X19" s="303"/>
      <c r="Y19" s="303"/>
      <c r="Z19" s="303"/>
    </row>
    <row r="20">
      <c r="A20" s="304"/>
      <c r="B20" s="305"/>
      <c r="C20" s="305"/>
      <c r="D20" s="305"/>
      <c r="E20" s="305"/>
      <c r="F20" s="305"/>
      <c r="G20" s="305"/>
      <c r="H20" s="313"/>
      <c r="I20" s="306"/>
      <c r="J20" s="307"/>
      <c r="K20" s="308"/>
      <c r="L20" s="309"/>
      <c r="M20" s="309"/>
      <c r="N20" s="306"/>
      <c r="O20" s="306"/>
      <c r="P20" s="306"/>
      <c r="Q20" s="306"/>
      <c r="R20" s="306"/>
      <c r="S20" s="306"/>
      <c r="T20" s="306"/>
      <c r="U20" s="303"/>
      <c r="V20" s="303"/>
      <c r="W20" s="303"/>
      <c r="X20" s="303"/>
      <c r="Y20" s="303"/>
      <c r="Z20" s="303"/>
    </row>
    <row r="21">
      <c r="A21" s="310"/>
      <c r="B21" s="311"/>
      <c r="C21" s="311"/>
      <c r="D21" s="311"/>
      <c r="E21" s="311"/>
      <c r="F21" s="311"/>
      <c r="G21" s="311"/>
      <c r="H21" s="314"/>
      <c r="I21" s="306"/>
      <c r="J21" s="307"/>
      <c r="K21" s="308"/>
      <c r="L21" s="309"/>
      <c r="M21" s="309"/>
      <c r="N21" s="306"/>
      <c r="O21" s="312"/>
      <c r="P21" s="312"/>
      <c r="Q21" s="312"/>
      <c r="R21" s="312"/>
      <c r="S21" s="312"/>
      <c r="T21" s="312"/>
      <c r="U21" s="303"/>
      <c r="V21" s="303"/>
      <c r="W21" s="303"/>
      <c r="X21" s="303"/>
      <c r="Y21" s="303"/>
      <c r="Z21" s="303"/>
    </row>
    <row r="22">
      <c r="A22" s="304"/>
      <c r="B22" s="305"/>
      <c r="C22" s="305"/>
      <c r="D22" s="305"/>
      <c r="E22" s="305"/>
      <c r="F22" s="305"/>
      <c r="G22" s="305"/>
      <c r="H22" s="313"/>
      <c r="I22" s="306"/>
      <c r="J22" s="307"/>
      <c r="K22" s="308"/>
      <c r="L22" s="309"/>
      <c r="M22" s="309"/>
      <c r="N22" s="306"/>
      <c r="O22" s="306"/>
      <c r="P22" s="306"/>
      <c r="Q22" s="306"/>
      <c r="R22" s="306"/>
      <c r="S22" s="306"/>
      <c r="T22" s="306"/>
      <c r="U22" s="303"/>
      <c r="V22" s="303"/>
      <c r="W22" s="303"/>
      <c r="X22" s="303"/>
      <c r="Y22" s="303"/>
      <c r="Z22" s="303"/>
    </row>
    <row r="23">
      <c r="A23" s="310"/>
      <c r="B23" s="311"/>
      <c r="C23" s="311"/>
      <c r="D23" s="311"/>
      <c r="E23" s="311"/>
      <c r="F23" s="311"/>
      <c r="G23" s="311"/>
      <c r="H23" s="314"/>
      <c r="I23" s="306"/>
      <c r="J23" s="307"/>
      <c r="K23" s="308"/>
      <c r="L23" s="309"/>
      <c r="M23" s="309"/>
      <c r="N23" s="306"/>
      <c r="O23" s="312"/>
      <c r="P23" s="312"/>
      <c r="Q23" s="312"/>
      <c r="R23" s="312"/>
      <c r="S23" s="312"/>
      <c r="T23" s="312"/>
      <c r="U23" s="303"/>
      <c r="V23" s="303"/>
      <c r="W23" s="303"/>
      <c r="X23" s="303"/>
      <c r="Y23" s="303"/>
      <c r="Z23" s="303"/>
    </row>
    <row r="24">
      <c r="A24" s="304"/>
      <c r="B24" s="305"/>
      <c r="C24" s="305"/>
      <c r="D24" s="305"/>
      <c r="E24" s="305"/>
      <c r="F24" s="305"/>
      <c r="G24" s="305"/>
      <c r="H24" s="313"/>
      <c r="I24" s="306"/>
      <c r="J24" s="307"/>
      <c r="K24" s="308"/>
      <c r="L24" s="309"/>
      <c r="M24" s="309"/>
      <c r="N24" s="306"/>
      <c r="O24" s="306"/>
      <c r="P24" s="306"/>
      <c r="Q24" s="306"/>
      <c r="R24" s="306"/>
      <c r="S24" s="306"/>
      <c r="T24" s="306"/>
      <c r="U24" s="303"/>
      <c r="V24" s="303"/>
      <c r="W24" s="303"/>
      <c r="X24" s="303"/>
      <c r="Y24" s="303"/>
      <c r="Z24" s="303"/>
    </row>
    <row r="25">
      <c r="A25" s="310"/>
      <c r="B25" s="311"/>
      <c r="C25" s="311"/>
      <c r="D25" s="311"/>
      <c r="E25" s="311"/>
      <c r="F25" s="311"/>
      <c r="G25" s="311"/>
      <c r="H25" s="314"/>
      <c r="I25" s="306"/>
      <c r="J25" s="307"/>
      <c r="K25" s="308"/>
      <c r="L25" s="309"/>
      <c r="M25" s="309"/>
      <c r="N25" s="306"/>
      <c r="O25" s="312"/>
      <c r="P25" s="312"/>
      <c r="Q25" s="312"/>
      <c r="R25" s="312"/>
      <c r="S25" s="312"/>
      <c r="T25" s="312"/>
      <c r="U25" s="303"/>
      <c r="V25" s="303"/>
      <c r="W25" s="303"/>
      <c r="X25" s="303"/>
      <c r="Y25" s="303"/>
      <c r="Z25" s="303"/>
    </row>
    <row r="26">
      <c r="A26" s="304"/>
      <c r="B26" s="305"/>
      <c r="C26" s="305"/>
      <c r="D26" s="305"/>
      <c r="E26" s="305"/>
      <c r="F26" s="305"/>
      <c r="G26" s="305"/>
      <c r="H26" s="313"/>
      <c r="I26" s="306"/>
      <c r="J26" s="307"/>
      <c r="K26" s="308"/>
      <c r="L26" s="309"/>
      <c r="M26" s="309"/>
      <c r="N26" s="306"/>
      <c r="O26" s="306"/>
      <c r="P26" s="306"/>
      <c r="Q26" s="306"/>
      <c r="R26" s="306"/>
      <c r="S26" s="306"/>
      <c r="T26" s="306"/>
      <c r="U26" s="303"/>
      <c r="V26" s="303"/>
      <c r="W26" s="303"/>
      <c r="X26" s="303"/>
      <c r="Y26" s="303"/>
      <c r="Z26" s="303"/>
    </row>
    <row r="27">
      <c r="A27" s="310"/>
      <c r="B27" s="311"/>
      <c r="C27" s="311"/>
      <c r="D27" s="311"/>
      <c r="E27" s="311"/>
      <c r="F27" s="311"/>
      <c r="G27" s="311"/>
      <c r="H27" s="314"/>
      <c r="I27" s="306"/>
      <c r="J27" s="307"/>
      <c r="K27" s="308"/>
      <c r="L27" s="309"/>
      <c r="M27" s="309"/>
      <c r="N27" s="306"/>
      <c r="O27" s="312"/>
      <c r="P27" s="312"/>
      <c r="Q27" s="312"/>
      <c r="R27" s="312"/>
      <c r="S27" s="312"/>
      <c r="T27" s="312"/>
      <c r="U27" s="303"/>
      <c r="V27" s="303"/>
      <c r="W27" s="303"/>
      <c r="X27" s="303"/>
      <c r="Y27" s="303"/>
      <c r="Z27" s="303"/>
    </row>
    <row r="28">
      <c r="A28" s="304"/>
      <c r="B28" s="305"/>
      <c r="C28" s="305"/>
      <c r="D28" s="305"/>
      <c r="E28" s="305"/>
      <c r="F28" s="305"/>
      <c r="G28" s="305"/>
      <c r="H28" s="313"/>
      <c r="I28" s="306"/>
      <c r="J28" s="307"/>
      <c r="K28" s="308"/>
      <c r="L28" s="309"/>
      <c r="M28" s="309"/>
      <c r="N28" s="306"/>
      <c r="O28" s="306"/>
      <c r="P28" s="306"/>
      <c r="Q28" s="306"/>
      <c r="R28" s="306"/>
      <c r="S28" s="306"/>
      <c r="T28" s="306"/>
      <c r="U28" s="303"/>
      <c r="V28" s="303"/>
      <c r="W28" s="303"/>
      <c r="X28" s="303"/>
      <c r="Y28" s="303"/>
      <c r="Z28" s="303"/>
    </row>
    <row r="29">
      <c r="A29" s="310"/>
      <c r="B29" s="311"/>
      <c r="C29" s="311"/>
      <c r="D29" s="311"/>
      <c r="E29" s="311"/>
      <c r="F29" s="311"/>
      <c r="G29" s="311"/>
      <c r="H29" s="314"/>
      <c r="I29" s="306"/>
      <c r="J29" s="307"/>
      <c r="K29" s="308"/>
      <c r="L29" s="309"/>
      <c r="M29" s="309"/>
      <c r="N29" s="306"/>
      <c r="O29" s="312"/>
      <c r="P29" s="312"/>
      <c r="Q29" s="312"/>
      <c r="R29" s="312"/>
      <c r="S29" s="312"/>
      <c r="T29" s="312"/>
      <c r="U29" s="303"/>
      <c r="V29" s="303"/>
      <c r="W29" s="303"/>
      <c r="X29" s="303"/>
      <c r="Y29" s="303"/>
      <c r="Z29" s="303"/>
    </row>
    <row r="30">
      <c r="A30" s="310"/>
      <c r="B30" s="311"/>
      <c r="C30" s="311"/>
      <c r="D30" s="311"/>
      <c r="E30" s="311"/>
      <c r="F30" s="311"/>
      <c r="G30" s="311"/>
      <c r="H30" s="314"/>
      <c r="I30" s="306"/>
      <c r="J30" s="307"/>
      <c r="K30" s="308"/>
      <c r="L30" s="309"/>
      <c r="M30" s="309"/>
      <c r="N30" s="306"/>
      <c r="O30" s="312"/>
      <c r="P30" s="312"/>
      <c r="Q30" s="312"/>
      <c r="R30" s="312"/>
      <c r="S30" s="312"/>
      <c r="T30" s="312"/>
      <c r="U30" s="303"/>
      <c r="V30" s="303"/>
      <c r="W30" s="303"/>
      <c r="X30" s="303"/>
      <c r="Y30" s="303"/>
      <c r="Z30" s="303"/>
    </row>
    <row r="31">
      <c r="A31" s="304"/>
      <c r="B31" s="305"/>
      <c r="C31" s="305"/>
      <c r="D31" s="305"/>
      <c r="E31" s="305"/>
      <c r="F31" s="305"/>
      <c r="G31" s="305"/>
      <c r="H31" s="313"/>
      <c r="I31" s="306"/>
      <c r="J31" s="307"/>
      <c r="K31" s="308"/>
      <c r="L31" s="309"/>
      <c r="M31" s="309"/>
      <c r="N31" s="306"/>
      <c r="O31" s="306"/>
      <c r="P31" s="306"/>
      <c r="Q31" s="306"/>
      <c r="R31" s="306"/>
      <c r="S31" s="306"/>
      <c r="T31" s="306"/>
      <c r="U31" s="303"/>
      <c r="V31" s="303"/>
      <c r="W31" s="303"/>
      <c r="X31" s="303"/>
      <c r="Y31" s="303"/>
      <c r="Z31" s="303"/>
    </row>
    <row r="32">
      <c r="A32" s="310"/>
      <c r="B32" s="311"/>
      <c r="C32" s="311"/>
      <c r="D32" s="311"/>
      <c r="E32" s="311"/>
      <c r="F32" s="311"/>
      <c r="G32" s="311"/>
      <c r="H32" s="314"/>
      <c r="I32" s="306"/>
      <c r="J32" s="307"/>
      <c r="K32" s="308"/>
      <c r="L32" s="309"/>
      <c r="M32" s="309"/>
      <c r="N32" s="306"/>
      <c r="O32" s="312"/>
      <c r="P32" s="312"/>
      <c r="Q32" s="312"/>
      <c r="R32" s="312"/>
      <c r="S32" s="312"/>
      <c r="T32" s="312"/>
      <c r="U32" s="303"/>
      <c r="V32" s="303"/>
      <c r="W32" s="303"/>
      <c r="X32" s="303"/>
      <c r="Y32" s="303"/>
      <c r="Z32" s="303"/>
    </row>
    <row r="33">
      <c r="A33" s="304"/>
      <c r="B33" s="305"/>
      <c r="C33" s="305"/>
      <c r="D33" s="305"/>
      <c r="E33" s="305"/>
      <c r="F33" s="305"/>
      <c r="G33" s="305"/>
      <c r="H33" s="313"/>
      <c r="I33" s="306"/>
      <c r="J33" s="307"/>
      <c r="K33" s="308"/>
      <c r="L33" s="309"/>
      <c r="M33" s="309"/>
      <c r="N33" s="306"/>
      <c r="O33" s="306"/>
      <c r="P33" s="306"/>
      <c r="Q33" s="306"/>
      <c r="R33" s="306"/>
      <c r="S33" s="306"/>
      <c r="T33" s="306"/>
      <c r="U33" s="303"/>
      <c r="V33" s="303"/>
      <c r="W33" s="303"/>
      <c r="X33" s="303"/>
      <c r="Y33" s="303"/>
      <c r="Z33" s="303"/>
    </row>
    <row r="34">
      <c r="A34" s="310"/>
      <c r="B34" s="311"/>
      <c r="C34" s="311"/>
      <c r="D34" s="311"/>
      <c r="E34" s="311"/>
      <c r="F34" s="311"/>
      <c r="G34" s="311"/>
      <c r="H34" s="314"/>
      <c r="I34" s="306"/>
      <c r="J34" s="307"/>
      <c r="K34" s="308"/>
      <c r="L34" s="309"/>
      <c r="M34" s="309"/>
      <c r="N34" s="306"/>
      <c r="O34" s="312"/>
      <c r="P34" s="312"/>
      <c r="Q34" s="312"/>
      <c r="R34" s="312"/>
      <c r="S34" s="312"/>
      <c r="T34" s="312"/>
      <c r="U34" s="303"/>
      <c r="V34" s="303"/>
      <c r="W34" s="303"/>
      <c r="X34" s="303"/>
      <c r="Y34" s="303"/>
      <c r="Z34" s="303"/>
    </row>
    <row r="35">
      <c r="A35" s="304"/>
      <c r="B35" s="305"/>
      <c r="C35" s="305"/>
      <c r="D35" s="305"/>
      <c r="E35" s="305"/>
      <c r="F35" s="305"/>
      <c r="G35" s="305"/>
      <c r="H35" s="313"/>
      <c r="I35" s="306"/>
      <c r="J35" s="307"/>
      <c r="K35" s="308"/>
      <c r="L35" s="309"/>
      <c r="M35" s="309"/>
      <c r="N35" s="306"/>
      <c r="O35" s="306"/>
      <c r="P35" s="306"/>
      <c r="Q35" s="306"/>
      <c r="R35" s="306"/>
      <c r="S35" s="306"/>
      <c r="T35" s="306"/>
      <c r="U35" s="303"/>
      <c r="V35" s="303"/>
      <c r="W35" s="303"/>
      <c r="X35" s="303"/>
      <c r="Y35" s="303"/>
      <c r="Z35" s="303"/>
    </row>
    <row r="36">
      <c r="A36" s="310"/>
      <c r="B36" s="311"/>
      <c r="C36" s="311"/>
      <c r="D36" s="311"/>
      <c r="E36" s="311"/>
      <c r="F36" s="311"/>
      <c r="G36" s="311"/>
      <c r="H36" s="314"/>
      <c r="I36" s="306"/>
      <c r="J36" s="307"/>
      <c r="K36" s="308"/>
      <c r="L36" s="309"/>
      <c r="M36" s="309"/>
      <c r="N36" s="306"/>
      <c r="O36" s="312"/>
      <c r="P36" s="312"/>
      <c r="Q36" s="312"/>
      <c r="R36" s="312"/>
      <c r="S36" s="312"/>
      <c r="T36" s="312"/>
      <c r="U36" s="303"/>
      <c r="V36" s="303"/>
      <c r="W36" s="303"/>
      <c r="X36" s="303"/>
      <c r="Y36" s="303"/>
      <c r="Z36" s="303"/>
    </row>
    <row r="37">
      <c r="A37" s="304"/>
      <c r="B37" s="305"/>
      <c r="C37" s="305"/>
      <c r="D37" s="305"/>
      <c r="E37" s="305"/>
      <c r="F37" s="305"/>
      <c r="G37" s="305"/>
      <c r="H37" s="313"/>
      <c r="I37" s="306"/>
      <c r="J37" s="307"/>
      <c r="K37" s="308"/>
      <c r="L37" s="309"/>
      <c r="M37" s="309"/>
      <c r="N37" s="306"/>
      <c r="O37" s="306"/>
      <c r="P37" s="306"/>
      <c r="Q37" s="306"/>
      <c r="R37" s="306"/>
      <c r="S37" s="306"/>
      <c r="T37" s="306"/>
      <c r="U37" s="303"/>
      <c r="V37" s="303"/>
      <c r="W37" s="303"/>
      <c r="X37" s="303"/>
      <c r="Y37" s="303"/>
      <c r="Z37" s="303"/>
    </row>
    <row r="38">
      <c r="A38" s="304"/>
      <c r="B38" s="305"/>
      <c r="C38" s="305"/>
      <c r="D38" s="305"/>
      <c r="E38" s="305"/>
      <c r="F38" s="305"/>
      <c r="G38" s="305"/>
      <c r="H38" s="313"/>
      <c r="I38" s="306"/>
      <c r="J38" s="307"/>
      <c r="K38" s="308"/>
      <c r="L38" s="309"/>
      <c r="M38" s="309"/>
      <c r="N38" s="306"/>
      <c r="O38" s="306"/>
      <c r="P38" s="306"/>
      <c r="Q38" s="306"/>
      <c r="R38" s="306"/>
      <c r="S38" s="306"/>
      <c r="T38" s="306"/>
      <c r="U38" s="303"/>
      <c r="V38" s="303"/>
      <c r="W38" s="303"/>
      <c r="X38" s="303"/>
      <c r="Y38" s="303"/>
      <c r="Z38" s="303"/>
    </row>
    <row r="39">
      <c r="A39" s="310"/>
      <c r="B39" s="311"/>
      <c r="C39" s="311"/>
      <c r="D39" s="311"/>
      <c r="E39" s="311"/>
      <c r="F39" s="311"/>
      <c r="G39" s="311"/>
      <c r="H39" s="314"/>
      <c r="I39" s="306"/>
      <c r="J39" s="307"/>
      <c r="K39" s="308"/>
      <c r="L39" s="309"/>
      <c r="M39" s="309"/>
      <c r="N39" s="306"/>
      <c r="O39" s="312"/>
      <c r="P39" s="312"/>
      <c r="Q39" s="312"/>
      <c r="R39" s="312"/>
      <c r="S39" s="312"/>
      <c r="T39" s="312"/>
      <c r="U39" s="303"/>
      <c r="V39" s="303"/>
      <c r="W39" s="303"/>
      <c r="X39" s="303"/>
      <c r="Y39" s="303"/>
      <c r="Z39" s="303"/>
    </row>
    <row r="40">
      <c r="A40" s="304"/>
      <c r="B40" s="305"/>
      <c r="C40" s="305"/>
      <c r="D40" s="305"/>
      <c r="E40" s="305"/>
      <c r="F40" s="305"/>
      <c r="G40" s="305"/>
      <c r="H40" s="313"/>
      <c r="I40" s="306"/>
      <c r="J40" s="307"/>
      <c r="K40" s="308"/>
      <c r="L40" s="309"/>
      <c r="M40" s="309"/>
      <c r="N40" s="306"/>
      <c r="O40" s="306"/>
      <c r="P40" s="306"/>
      <c r="Q40" s="306"/>
      <c r="R40" s="306"/>
      <c r="S40" s="306"/>
      <c r="T40" s="306"/>
      <c r="U40" s="303"/>
      <c r="V40" s="303"/>
      <c r="W40" s="303"/>
      <c r="X40" s="303"/>
      <c r="Y40" s="303"/>
      <c r="Z40" s="303"/>
    </row>
    <row r="41">
      <c r="A41" s="304"/>
      <c r="B41" s="305"/>
      <c r="C41" s="305"/>
      <c r="D41" s="305"/>
      <c r="E41" s="305"/>
      <c r="F41" s="305"/>
      <c r="G41" s="305"/>
      <c r="H41" s="313"/>
      <c r="I41" s="306"/>
      <c r="J41" s="307"/>
      <c r="K41" s="308"/>
      <c r="L41" s="309"/>
      <c r="M41" s="309"/>
      <c r="N41" s="306"/>
      <c r="O41" s="306"/>
      <c r="P41" s="306"/>
      <c r="Q41" s="306"/>
      <c r="R41" s="306"/>
      <c r="S41" s="306"/>
      <c r="T41" s="306"/>
      <c r="U41" s="303"/>
      <c r="V41" s="303"/>
      <c r="W41" s="303"/>
      <c r="X41" s="303"/>
      <c r="Y41" s="303"/>
      <c r="Z41" s="303"/>
    </row>
    <row r="42">
      <c r="A42" s="310"/>
      <c r="B42" s="311"/>
      <c r="C42" s="311"/>
      <c r="D42" s="311"/>
      <c r="E42" s="311"/>
      <c r="F42" s="311"/>
      <c r="G42" s="311"/>
      <c r="H42" s="314"/>
      <c r="I42" s="306"/>
      <c r="J42" s="307"/>
      <c r="K42" s="308"/>
      <c r="L42" s="309"/>
      <c r="M42" s="309"/>
      <c r="N42" s="306"/>
      <c r="O42" s="312"/>
      <c r="P42" s="312"/>
      <c r="Q42" s="312"/>
      <c r="R42" s="312"/>
      <c r="S42" s="312"/>
      <c r="T42" s="312"/>
      <c r="U42" s="303"/>
      <c r="V42" s="303"/>
      <c r="W42" s="303"/>
      <c r="X42" s="303"/>
      <c r="Y42" s="303"/>
      <c r="Z42" s="303"/>
    </row>
    <row r="43">
      <c r="A43" s="304"/>
      <c r="B43" s="305"/>
      <c r="C43" s="305"/>
      <c r="D43" s="305"/>
      <c r="E43" s="305"/>
      <c r="F43" s="305"/>
      <c r="G43" s="305"/>
      <c r="H43" s="313"/>
      <c r="I43" s="306"/>
      <c r="J43" s="307"/>
      <c r="K43" s="308"/>
      <c r="L43" s="309"/>
      <c r="M43" s="309"/>
      <c r="N43" s="306"/>
      <c r="O43" s="306"/>
      <c r="P43" s="306"/>
      <c r="Q43" s="306"/>
      <c r="R43" s="306"/>
      <c r="S43" s="306"/>
      <c r="T43" s="306"/>
      <c r="U43" s="303"/>
      <c r="V43" s="303"/>
      <c r="W43" s="303"/>
      <c r="X43" s="303"/>
      <c r="Y43" s="303"/>
      <c r="Z43" s="303"/>
    </row>
    <row r="44">
      <c r="A44" s="310"/>
      <c r="B44" s="311"/>
      <c r="C44" s="311"/>
      <c r="D44" s="311"/>
      <c r="E44" s="311"/>
      <c r="F44" s="311"/>
      <c r="G44" s="311"/>
      <c r="H44" s="314"/>
      <c r="I44" s="306"/>
      <c r="J44" s="307"/>
      <c r="K44" s="308"/>
      <c r="L44" s="309"/>
      <c r="M44" s="309"/>
      <c r="N44" s="306"/>
      <c r="O44" s="312"/>
      <c r="P44" s="312"/>
      <c r="Q44" s="312"/>
      <c r="R44" s="312"/>
      <c r="S44" s="312"/>
      <c r="T44" s="312"/>
      <c r="U44" s="303"/>
      <c r="V44" s="303"/>
      <c r="W44" s="303"/>
      <c r="X44" s="303"/>
      <c r="Y44" s="303"/>
      <c r="Z44" s="303"/>
    </row>
    <row r="45">
      <c r="A45" s="304"/>
      <c r="B45" s="305"/>
      <c r="C45" s="305"/>
      <c r="D45" s="305"/>
      <c r="E45" s="305"/>
      <c r="F45" s="305"/>
      <c r="G45" s="305"/>
      <c r="H45" s="313"/>
      <c r="I45" s="306"/>
      <c r="J45" s="307"/>
      <c r="K45" s="308"/>
      <c r="L45" s="309"/>
      <c r="M45" s="309"/>
      <c r="N45" s="306"/>
      <c r="O45" s="306"/>
      <c r="P45" s="306"/>
      <c r="Q45" s="306"/>
      <c r="R45" s="306"/>
      <c r="S45" s="306"/>
      <c r="T45" s="306"/>
      <c r="U45" s="303"/>
      <c r="V45" s="303"/>
      <c r="W45" s="303"/>
      <c r="X45" s="303"/>
      <c r="Y45" s="303"/>
      <c r="Z45" s="303"/>
    </row>
    <row r="46">
      <c r="A46" s="304"/>
      <c r="B46" s="305"/>
      <c r="C46" s="305"/>
      <c r="D46" s="305"/>
      <c r="E46" s="305"/>
      <c r="F46" s="305"/>
      <c r="G46" s="305"/>
      <c r="H46" s="313"/>
      <c r="I46" s="306"/>
      <c r="J46" s="307"/>
      <c r="K46" s="308"/>
      <c r="L46" s="309"/>
      <c r="M46" s="309"/>
      <c r="N46" s="306"/>
      <c r="O46" s="306"/>
      <c r="P46" s="306"/>
      <c r="Q46" s="306"/>
      <c r="R46" s="306"/>
      <c r="S46" s="306"/>
      <c r="T46" s="306"/>
      <c r="U46" s="303"/>
      <c r="V46" s="303"/>
      <c r="W46" s="303"/>
      <c r="X46" s="303"/>
      <c r="Y46" s="303"/>
      <c r="Z46" s="303"/>
    </row>
    <row r="47">
      <c r="A47" s="304"/>
      <c r="B47" s="305"/>
      <c r="C47" s="305"/>
      <c r="D47" s="305"/>
      <c r="E47" s="305"/>
      <c r="F47" s="305"/>
      <c r="G47" s="305"/>
      <c r="H47" s="313"/>
      <c r="I47" s="306"/>
      <c r="J47" s="307"/>
      <c r="K47" s="308"/>
      <c r="L47" s="309"/>
      <c r="M47" s="309"/>
      <c r="N47" s="306"/>
      <c r="O47" s="306"/>
      <c r="P47" s="306"/>
      <c r="Q47" s="306"/>
      <c r="R47" s="306"/>
      <c r="S47" s="306"/>
      <c r="T47" s="306"/>
      <c r="U47" s="303"/>
      <c r="V47" s="303"/>
      <c r="W47" s="303"/>
      <c r="X47" s="303"/>
      <c r="Y47" s="303"/>
      <c r="Z47" s="303"/>
    </row>
    <row r="48">
      <c r="A48" s="310"/>
      <c r="B48" s="311"/>
      <c r="C48" s="311"/>
      <c r="D48" s="311"/>
      <c r="E48" s="311"/>
      <c r="F48" s="311"/>
      <c r="G48" s="311"/>
      <c r="H48" s="314"/>
      <c r="I48" s="306"/>
      <c r="J48" s="307"/>
      <c r="K48" s="308"/>
      <c r="L48" s="309"/>
      <c r="M48" s="309"/>
      <c r="N48" s="306"/>
      <c r="O48" s="312"/>
      <c r="P48" s="312"/>
      <c r="Q48" s="312"/>
      <c r="R48" s="312"/>
      <c r="S48" s="312"/>
      <c r="T48" s="312"/>
      <c r="U48" s="303"/>
      <c r="V48" s="303"/>
      <c r="W48" s="303"/>
      <c r="X48" s="303"/>
      <c r="Y48" s="303"/>
      <c r="Z48" s="303"/>
    </row>
    <row r="49">
      <c r="A49" s="304"/>
      <c r="B49" s="305"/>
      <c r="C49" s="305"/>
      <c r="D49" s="305"/>
      <c r="E49" s="305"/>
      <c r="F49" s="305"/>
      <c r="G49" s="305"/>
      <c r="H49" s="313"/>
      <c r="I49" s="306"/>
      <c r="J49" s="307"/>
      <c r="K49" s="308"/>
      <c r="L49" s="309"/>
      <c r="M49" s="309"/>
      <c r="N49" s="306"/>
      <c r="O49" s="306"/>
      <c r="P49" s="306"/>
      <c r="Q49" s="306"/>
      <c r="R49" s="306"/>
      <c r="S49" s="306"/>
      <c r="T49" s="306"/>
      <c r="U49" s="303"/>
      <c r="V49" s="303"/>
      <c r="W49" s="303"/>
      <c r="X49" s="303"/>
      <c r="Y49" s="303"/>
      <c r="Z49" s="303"/>
    </row>
    <row r="50">
      <c r="A50" s="304"/>
      <c r="B50" s="305"/>
      <c r="C50" s="305"/>
      <c r="D50" s="305"/>
      <c r="E50" s="305"/>
      <c r="F50" s="305"/>
      <c r="G50" s="305"/>
      <c r="H50" s="313"/>
      <c r="I50" s="306"/>
      <c r="J50" s="307"/>
      <c r="K50" s="308"/>
      <c r="L50" s="309"/>
      <c r="M50" s="309"/>
      <c r="N50" s="306"/>
      <c r="O50" s="306"/>
      <c r="P50" s="306"/>
      <c r="Q50" s="306"/>
      <c r="R50" s="306"/>
      <c r="S50" s="306"/>
      <c r="T50" s="306"/>
      <c r="U50" s="303"/>
      <c r="V50" s="303"/>
      <c r="W50" s="303"/>
      <c r="X50" s="303"/>
      <c r="Y50" s="303"/>
      <c r="Z50" s="303"/>
    </row>
    <row r="51">
      <c r="A51" s="310"/>
      <c r="B51" s="311"/>
      <c r="C51" s="311"/>
      <c r="D51" s="311"/>
      <c r="E51" s="311"/>
      <c r="F51" s="311"/>
      <c r="G51" s="311"/>
      <c r="H51" s="314"/>
      <c r="I51" s="306"/>
      <c r="J51" s="307"/>
      <c r="K51" s="308"/>
      <c r="L51" s="309"/>
      <c r="M51" s="309"/>
      <c r="N51" s="306"/>
      <c r="O51" s="312"/>
      <c r="P51" s="312"/>
      <c r="Q51" s="312"/>
      <c r="R51" s="312"/>
      <c r="S51" s="312"/>
      <c r="T51" s="312"/>
      <c r="U51" s="303"/>
      <c r="V51" s="303"/>
      <c r="W51" s="303"/>
      <c r="X51" s="303"/>
      <c r="Y51" s="303"/>
      <c r="Z51" s="303"/>
    </row>
    <row r="52">
      <c r="A52" s="315"/>
      <c r="B52" s="316"/>
      <c r="C52" s="316"/>
      <c r="D52" s="316"/>
      <c r="E52" s="316"/>
      <c r="F52" s="316"/>
      <c r="G52" s="316"/>
      <c r="H52" s="313"/>
      <c r="I52" s="306"/>
      <c r="J52" s="307"/>
      <c r="K52" s="308"/>
      <c r="L52" s="309"/>
      <c r="M52" s="309"/>
      <c r="N52" s="306"/>
      <c r="O52" s="306"/>
      <c r="P52" s="306"/>
      <c r="Q52" s="306"/>
      <c r="R52" s="306"/>
      <c r="S52" s="306"/>
      <c r="T52" s="306"/>
      <c r="U52" s="303"/>
      <c r="V52" s="303"/>
      <c r="W52" s="303"/>
      <c r="X52" s="303"/>
      <c r="Y52" s="303"/>
      <c r="Z52" s="303"/>
    </row>
    <row r="53">
      <c r="A53" s="317"/>
      <c r="B53" s="317"/>
      <c r="C53" s="317"/>
      <c r="D53" s="317"/>
      <c r="E53" s="317"/>
      <c r="F53" s="317"/>
      <c r="G53" s="317"/>
      <c r="H53" s="318"/>
      <c r="I53" s="318"/>
      <c r="J53" s="307"/>
      <c r="K53" s="308"/>
      <c r="L53" s="309"/>
      <c r="M53" s="309"/>
      <c r="N53" s="306"/>
      <c r="O53" s="318"/>
      <c r="P53" s="318"/>
      <c r="Q53" s="318"/>
      <c r="R53" s="318"/>
      <c r="S53" s="318"/>
      <c r="T53" s="318"/>
      <c r="U53" s="303"/>
      <c r="V53" s="303"/>
      <c r="W53" s="303"/>
      <c r="X53" s="303"/>
      <c r="Y53" s="303"/>
      <c r="Z53" s="303"/>
    </row>
    <row r="54">
      <c r="A54" s="319"/>
      <c r="B54" s="319"/>
      <c r="C54" s="319"/>
      <c r="D54" s="319"/>
      <c r="E54" s="319"/>
      <c r="F54" s="319"/>
      <c r="G54" s="319"/>
      <c r="H54" s="306"/>
      <c r="I54" s="306"/>
      <c r="J54" s="307"/>
      <c r="K54" s="308"/>
      <c r="L54" s="309"/>
      <c r="M54" s="309"/>
      <c r="N54" s="306"/>
      <c r="O54" s="306"/>
      <c r="P54" s="306"/>
      <c r="Q54" s="306"/>
      <c r="R54" s="306"/>
      <c r="S54" s="306"/>
      <c r="T54" s="306"/>
      <c r="U54" s="303"/>
      <c r="V54" s="303"/>
      <c r="W54" s="303"/>
      <c r="X54" s="303"/>
      <c r="Y54" s="303"/>
      <c r="Z54" s="303"/>
    </row>
    <row r="55">
      <c r="A55" s="320"/>
      <c r="B55" s="320"/>
      <c r="C55" s="320"/>
      <c r="D55" s="320"/>
      <c r="E55" s="320"/>
      <c r="F55" s="320"/>
      <c r="G55" s="320"/>
      <c r="H55" s="312"/>
      <c r="I55" s="312"/>
      <c r="J55" s="307"/>
      <c r="K55" s="308"/>
      <c r="L55" s="309"/>
      <c r="M55" s="309"/>
      <c r="N55" s="306"/>
      <c r="O55" s="312"/>
      <c r="P55" s="312"/>
      <c r="Q55" s="312"/>
      <c r="R55" s="312"/>
      <c r="S55" s="312"/>
      <c r="T55" s="312"/>
      <c r="U55" s="303"/>
      <c r="V55" s="303"/>
      <c r="W55" s="303"/>
      <c r="X55" s="303"/>
      <c r="Y55" s="303"/>
      <c r="Z55" s="303"/>
    </row>
    <row r="56">
      <c r="A56" s="320"/>
      <c r="B56" s="320"/>
      <c r="C56" s="320"/>
      <c r="D56" s="320"/>
      <c r="E56" s="320"/>
      <c r="F56" s="320"/>
      <c r="G56" s="320"/>
      <c r="H56" s="312"/>
      <c r="I56" s="312"/>
      <c r="J56" s="307"/>
      <c r="K56" s="308"/>
      <c r="L56" s="309"/>
      <c r="M56" s="309"/>
      <c r="N56" s="306"/>
      <c r="O56" s="312"/>
      <c r="P56" s="312"/>
      <c r="Q56" s="312"/>
      <c r="R56" s="312"/>
      <c r="S56" s="312"/>
      <c r="T56" s="312"/>
      <c r="U56" s="303"/>
      <c r="V56" s="303"/>
      <c r="W56" s="303"/>
      <c r="X56" s="303"/>
      <c r="Y56" s="303"/>
      <c r="Z56" s="303"/>
    </row>
    <row r="57">
      <c r="A57" s="320"/>
      <c r="B57" s="320"/>
      <c r="C57" s="320"/>
      <c r="D57" s="320"/>
      <c r="E57" s="320"/>
      <c r="F57" s="320"/>
      <c r="G57" s="320"/>
      <c r="H57" s="312"/>
      <c r="I57" s="312"/>
      <c r="J57" s="307"/>
      <c r="K57" s="308"/>
      <c r="L57" s="309"/>
      <c r="M57" s="309"/>
      <c r="N57" s="306"/>
      <c r="O57" s="312"/>
      <c r="P57" s="312"/>
      <c r="Q57" s="312"/>
      <c r="R57" s="312"/>
      <c r="S57" s="312"/>
      <c r="T57" s="312"/>
      <c r="U57" s="303"/>
      <c r="V57" s="303"/>
      <c r="W57" s="303"/>
      <c r="X57" s="303"/>
      <c r="Y57" s="303"/>
      <c r="Z57" s="303"/>
    </row>
    <row r="58">
      <c r="A58" s="319"/>
      <c r="B58" s="319"/>
      <c r="C58" s="319"/>
      <c r="D58" s="319"/>
      <c r="E58" s="319"/>
      <c r="F58" s="319"/>
      <c r="G58" s="319"/>
      <c r="H58" s="306"/>
      <c r="I58" s="306"/>
      <c r="J58" s="307"/>
      <c r="K58" s="308"/>
      <c r="L58" s="309"/>
      <c r="M58" s="309"/>
      <c r="N58" s="306"/>
      <c r="O58" s="306"/>
      <c r="P58" s="306"/>
      <c r="Q58" s="306"/>
      <c r="R58" s="306"/>
      <c r="S58" s="306"/>
      <c r="T58" s="306"/>
      <c r="U58" s="303"/>
      <c r="V58" s="303"/>
      <c r="W58" s="303"/>
      <c r="X58" s="303"/>
      <c r="Y58" s="303"/>
      <c r="Z58" s="303"/>
    </row>
    <row r="59">
      <c r="A59" s="320"/>
      <c r="B59" s="320"/>
      <c r="C59" s="320"/>
      <c r="D59" s="320"/>
      <c r="E59" s="320"/>
      <c r="F59" s="320"/>
      <c r="G59" s="320"/>
      <c r="H59" s="312"/>
      <c r="I59" s="312"/>
      <c r="J59" s="307"/>
      <c r="K59" s="308"/>
      <c r="L59" s="309"/>
      <c r="M59" s="309"/>
      <c r="N59" s="306"/>
      <c r="O59" s="312"/>
      <c r="P59" s="312"/>
      <c r="Q59" s="312"/>
      <c r="R59" s="312"/>
      <c r="S59" s="312"/>
      <c r="T59" s="312"/>
      <c r="U59" s="303"/>
      <c r="V59" s="303"/>
      <c r="W59" s="303"/>
      <c r="X59" s="303"/>
      <c r="Y59" s="303"/>
      <c r="Z59" s="303"/>
    </row>
    <row r="60">
      <c r="A60" s="319"/>
      <c r="B60" s="319"/>
      <c r="C60" s="319"/>
      <c r="D60" s="319"/>
      <c r="E60" s="319"/>
      <c r="F60" s="319"/>
      <c r="G60" s="319"/>
      <c r="H60" s="306"/>
      <c r="I60" s="306"/>
      <c r="J60" s="307"/>
      <c r="K60" s="308"/>
      <c r="L60" s="309"/>
      <c r="M60" s="309"/>
      <c r="N60" s="306"/>
      <c r="O60" s="306"/>
      <c r="P60" s="306"/>
      <c r="Q60" s="306"/>
      <c r="R60" s="306"/>
      <c r="S60" s="306"/>
      <c r="T60" s="306"/>
      <c r="U60" s="303"/>
      <c r="V60" s="303"/>
      <c r="W60" s="303"/>
      <c r="X60" s="303"/>
      <c r="Y60" s="303"/>
      <c r="Z60" s="303"/>
    </row>
    <row r="61">
      <c r="A61" s="320"/>
      <c r="B61" s="320"/>
      <c r="C61" s="320"/>
      <c r="D61" s="320"/>
      <c r="E61" s="320"/>
      <c r="F61" s="320"/>
      <c r="G61" s="320"/>
      <c r="H61" s="312"/>
      <c r="I61" s="312"/>
      <c r="J61" s="307"/>
      <c r="K61" s="308"/>
      <c r="L61" s="309"/>
      <c r="M61" s="309"/>
      <c r="N61" s="306"/>
      <c r="O61" s="312"/>
      <c r="P61" s="312"/>
      <c r="Q61" s="312"/>
      <c r="R61" s="312"/>
      <c r="S61" s="312"/>
      <c r="T61" s="312"/>
      <c r="U61" s="303"/>
      <c r="V61" s="303"/>
      <c r="W61" s="303"/>
      <c r="X61" s="303"/>
      <c r="Y61" s="303"/>
      <c r="Z61" s="303"/>
    </row>
    <row r="62">
      <c r="A62" s="319"/>
      <c r="B62" s="319"/>
      <c r="C62" s="319"/>
      <c r="D62" s="319"/>
      <c r="E62" s="319"/>
      <c r="F62" s="319"/>
      <c r="G62" s="319"/>
      <c r="H62" s="306"/>
      <c r="I62" s="306"/>
      <c r="J62" s="307"/>
      <c r="K62" s="308"/>
      <c r="L62" s="309"/>
      <c r="M62" s="309"/>
      <c r="N62" s="306"/>
      <c r="O62" s="306"/>
      <c r="P62" s="306"/>
      <c r="Q62" s="306"/>
      <c r="R62" s="306"/>
      <c r="S62" s="306"/>
      <c r="T62" s="306"/>
      <c r="U62" s="303"/>
      <c r="V62" s="303"/>
      <c r="W62" s="303"/>
      <c r="X62" s="303"/>
      <c r="Y62" s="303"/>
      <c r="Z62" s="303"/>
    </row>
    <row r="63">
      <c r="A63" s="320"/>
      <c r="B63" s="320"/>
      <c r="C63" s="320"/>
      <c r="D63" s="320"/>
      <c r="E63" s="320"/>
      <c r="F63" s="320"/>
      <c r="G63" s="320"/>
      <c r="H63" s="312"/>
      <c r="I63" s="312"/>
      <c r="J63" s="307"/>
      <c r="K63" s="308"/>
      <c r="L63" s="309"/>
      <c r="M63" s="309"/>
      <c r="N63" s="306"/>
      <c r="O63" s="312"/>
      <c r="P63" s="312"/>
      <c r="Q63" s="312"/>
      <c r="R63" s="312"/>
      <c r="S63" s="312"/>
      <c r="T63" s="312"/>
      <c r="U63" s="303"/>
      <c r="V63" s="303"/>
      <c r="W63" s="303"/>
      <c r="X63" s="303"/>
      <c r="Y63" s="303"/>
      <c r="Z63" s="303"/>
    </row>
    <row r="64">
      <c r="A64" s="319"/>
      <c r="B64" s="319"/>
      <c r="C64" s="319"/>
      <c r="D64" s="319"/>
      <c r="E64" s="319"/>
      <c r="F64" s="319"/>
      <c r="G64" s="319"/>
      <c r="H64" s="306"/>
      <c r="I64" s="306"/>
      <c r="J64" s="307"/>
      <c r="K64" s="308"/>
      <c r="L64" s="309"/>
      <c r="M64" s="309"/>
      <c r="N64" s="306"/>
      <c r="O64" s="306"/>
      <c r="P64" s="306"/>
      <c r="Q64" s="306"/>
      <c r="R64" s="306"/>
      <c r="S64" s="306"/>
      <c r="T64" s="306"/>
      <c r="U64" s="303"/>
      <c r="V64" s="303"/>
      <c r="W64" s="303"/>
      <c r="X64" s="303"/>
      <c r="Y64" s="303"/>
      <c r="Z64" s="303"/>
    </row>
    <row r="65">
      <c r="A65" s="320"/>
      <c r="B65" s="320"/>
      <c r="C65" s="320"/>
      <c r="D65" s="320"/>
      <c r="E65" s="320"/>
      <c r="F65" s="320"/>
      <c r="G65" s="320"/>
      <c r="H65" s="312"/>
      <c r="I65" s="312"/>
      <c r="J65" s="307"/>
      <c r="K65" s="308"/>
      <c r="L65" s="309"/>
      <c r="M65" s="309"/>
      <c r="N65" s="306"/>
      <c r="O65" s="312"/>
      <c r="P65" s="312"/>
      <c r="Q65" s="312"/>
      <c r="R65" s="312"/>
      <c r="S65" s="312"/>
      <c r="T65" s="312"/>
      <c r="U65" s="303"/>
      <c r="V65" s="303"/>
      <c r="W65" s="303"/>
      <c r="X65" s="303"/>
      <c r="Y65" s="303"/>
      <c r="Z65" s="303"/>
    </row>
    <row r="66">
      <c r="A66" s="320"/>
      <c r="B66" s="320"/>
      <c r="C66" s="320"/>
      <c r="D66" s="320"/>
      <c r="E66" s="320"/>
      <c r="F66" s="320"/>
      <c r="G66" s="320"/>
      <c r="H66" s="312"/>
      <c r="I66" s="312"/>
      <c r="J66" s="307"/>
      <c r="K66" s="308"/>
      <c r="L66" s="309"/>
      <c r="M66" s="309"/>
      <c r="N66" s="306"/>
      <c r="O66" s="312"/>
      <c r="P66" s="312"/>
      <c r="Q66" s="312"/>
      <c r="R66" s="312"/>
      <c r="S66" s="312"/>
      <c r="T66" s="312"/>
      <c r="U66" s="303"/>
      <c r="V66" s="303"/>
      <c r="W66" s="303"/>
      <c r="X66" s="303"/>
      <c r="Y66" s="303"/>
      <c r="Z66" s="303"/>
    </row>
    <row r="67">
      <c r="A67" s="319"/>
      <c r="B67" s="319"/>
      <c r="C67" s="319"/>
      <c r="D67" s="319"/>
      <c r="E67" s="319"/>
      <c r="F67" s="319"/>
      <c r="G67" s="319"/>
      <c r="H67" s="306"/>
      <c r="I67" s="306"/>
      <c r="J67" s="307"/>
      <c r="K67" s="308"/>
      <c r="L67" s="309"/>
      <c r="M67" s="309"/>
      <c r="N67" s="306"/>
      <c r="O67" s="306"/>
      <c r="P67" s="306"/>
      <c r="Q67" s="306"/>
      <c r="R67" s="306"/>
      <c r="S67" s="306"/>
      <c r="T67" s="306"/>
      <c r="U67" s="303"/>
      <c r="V67" s="303"/>
      <c r="W67" s="303"/>
      <c r="X67" s="303"/>
      <c r="Y67" s="303"/>
      <c r="Z67" s="303"/>
    </row>
    <row r="68">
      <c r="A68" s="320"/>
      <c r="B68" s="320"/>
      <c r="C68" s="320"/>
      <c r="D68" s="320"/>
      <c r="E68" s="320"/>
      <c r="F68" s="320"/>
      <c r="G68" s="320"/>
      <c r="H68" s="312"/>
      <c r="I68" s="312"/>
      <c r="J68" s="307"/>
      <c r="K68" s="308"/>
      <c r="L68" s="309"/>
      <c r="M68" s="309"/>
      <c r="N68" s="306"/>
      <c r="O68" s="312"/>
      <c r="P68" s="312"/>
      <c r="Q68" s="312"/>
      <c r="R68" s="312"/>
      <c r="S68" s="312"/>
      <c r="T68" s="312"/>
      <c r="U68" s="303"/>
      <c r="V68" s="303"/>
      <c r="W68" s="303"/>
      <c r="X68" s="303"/>
      <c r="Y68" s="303"/>
      <c r="Z68" s="303"/>
    </row>
    <row r="69">
      <c r="A69" s="319"/>
      <c r="B69" s="319"/>
      <c r="C69" s="319"/>
      <c r="D69" s="319"/>
      <c r="E69" s="319"/>
      <c r="F69" s="319"/>
      <c r="G69" s="319"/>
      <c r="H69" s="306"/>
      <c r="I69" s="306"/>
      <c r="J69" s="307"/>
      <c r="K69" s="308"/>
      <c r="L69" s="309"/>
      <c r="M69" s="309"/>
      <c r="N69" s="306"/>
      <c r="O69" s="306"/>
      <c r="P69" s="306"/>
      <c r="Q69" s="306"/>
      <c r="R69" s="306"/>
      <c r="S69" s="306"/>
      <c r="T69" s="306"/>
      <c r="U69" s="303"/>
      <c r="V69" s="303"/>
      <c r="W69" s="303"/>
      <c r="X69" s="303"/>
      <c r="Y69" s="303"/>
      <c r="Z69" s="303"/>
    </row>
    <row r="70">
      <c r="A70" s="320"/>
      <c r="B70" s="320"/>
      <c r="C70" s="320"/>
      <c r="D70" s="320"/>
      <c r="E70" s="320"/>
      <c r="F70" s="320"/>
      <c r="G70" s="320"/>
      <c r="H70" s="312"/>
      <c r="I70" s="312"/>
      <c r="J70" s="307"/>
      <c r="K70" s="308"/>
      <c r="L70" s="309"/>
      <c r="M70" s="309"/>
      <c r="N70" s="306"/>
      <c r="O70" s="312"/>
      <c r="P70" s="312"/>
      <c r="Q70" s="312"/>
      <c r="R70" s="312"/>
      <c r="S70" s="312"/>
      <c r="T70" s="312"/>
      <c r="U70" s="303"/>
      <c r="V70" s="303"/>
      <c r="W70" s="303"/>
      <c r="X70" s="303"/>
      <c r="Y70" s="303"/>
      <c r="Z70" s="303"/>
    </row>
    <row r="71">
      <c r="A71" s="319"/>
      <c r="B71" s="319"/>
      <c r="C71" s="319"/>
      <c r="D71" s="319"/>
      <c r="E71" s="319"/>
      <c r="F71" s="319"/>
      <c r="G71" s="319"/>
      <c r="H71" s="306"/>
      <c r="I71" s="306"/>
      <c r="J71" s="307"/>
      <c r="K71" s="308"/>
      <c r="L71" s="309"/>
      <c r="M71" s="309"/>
      <c r="N71" s="306"/>
      <c r="O71" s="306"/>
      <c r="P71" s="306"/>
      <c r="Q71" s="306"/>
      <c r="R71" s="306"/>
      <c r="S71" s="306"/>
      <c r="T71" s="306"/>
      <c r="U71" s="303"/>
      <c r="V71" s="303"/>
      <c r="W71" s="303"/>
      <c r="X71" s="303"/>
      <c r="Y71" s="303"/>
      <c r="Z71" s="303"/>
    </row>
    <row r="72">
      <c r="A72" s="320"/>
      <c r="B72" s="320"/>
      <c r="C72" s="320"/>
      <c r="D72" s="320"/>
      <c r="E72" s="320"/>
      <c r="F72" s="320"/>
      <c r="G72" s="320"/>
      <c r="H72" s="312"/>
      <c r="I72" s="312"/>
      <c r="J72" s="307"/>
      <c r="K72" s="308"/>
      <c r="L72" s="309"/>
      <c r="M72" s="309"/>
      <c r="N72" s="306"/>
      <c r="O72" s="312"/>
      <c r="P72" s="312"/>
      <c r="Q72" s="312"/>
      <c r="R72" s="312"/>
      <c r="S72" s="312"/>
      <c r="T72" s="312"/>
      <c r="U72" s="303"/>
      <c r="V72" s="303"/>
      <c r="W72" s="303"/>
      <c r="X72" s="303"/>
      <c r="Y72" s="303"/>
      <c r="Z72" s="303"/>
    </row>
    <row r="73">
      <c r="A73" s="320"/>
      <c r="B73" s="320"/>
      <c r="C73" s="320"/>
      <c r="D73" s="320"/>
      <c r="E73" s="320"/>
      <c r="F73" s="320"/>
      <c r="G73" s="320"/>
      <c r="H73" s="312"/>
      <c r="I73" s="312"/>
      <c r="J73" s="307"/>
      <c r="K73" s="308"/>
      <c r="L73" s="309"/>
      <c r="M73" s="309"/>
      <c r="N73" s="306"/>
      <c r="O73" s="312"/>
      <c r="P73" s="312"/>
      <c r="Q73" s="312"/>
      <c r="R73" s="312"/>
      <c r="S73" s="312"/>
      <c r="T73" s="312"/>
      <c r="U73" s="303"/>
      <c r="V73" s="303"/>
      <c r="W73" s="303"/>
      <c r="X73" s="303"/>
      <c r="Y73" s="303"/>
      <c r="Z73" s="303"/>
    </row>
    <row r="74">
      <c r="A74" s="319"/>
      <c r="B74" s="319"/>
      <c r="C74" s="319"/>
      <c r="D74" s="319"/>
      <c r="E74" s="319"/>
      <c r="F74" s="319"/>
      <c r="G74" s="319"/>
      <c r="H74" s="306"/>
      <c r="I74" s="306"/>
      <c r="J74" s="307"/>
      <c r="K74" s="308"/>
      <c r="L74" s="309"/>
      <c r="M74" s="309"/>
      <c r="N74" s="306"/>
      <c r="O74" s="306"/>
      <c r="P74" s="306"/>
      <c r="Q74" s="306"/>
      <c r="R74" s="306"/>
      <c r="S74" s="306"/>
      <c r="T74" s="306"/>
      <c r="U74" s="303"/>
      <c r="V74" s="303"/>
      <c r="W74" s="303"/>
      <c r="X74" s="303"/>
      <c r="Y74" s="303"/>
      <c r="Z74" s="303"/>
    </row>
    <row r="75">
      <c r="A75" s="320"/>
      <c r="B75" s="320"/>
      <c r="C75" s="320"/>
      <c r="D75" s="320"/>
      <c r="E75" s="320"/>
      <c r="F75" s="320"/>
      <c r="G75" s="320"/>
      <c r="H75" s="312"/>
      <c r="I75" s="312"/>
      <c r="J75" s="307"/>
      <c r="K75" s="308"/>
      <c r="L75" s="309"/>
      <c r="M75" s="309"/>
      <c r="N75" s="306"/>
      <c r="O75" s="312"/>
      <c r="P75" s="312"/>
      <c r="Q75" s="312"/>
      <c r="R75" s="312"/>
      <c r="S75" s="312"/>
      <c r="T75" s="312"/>
      <c r="U75" s="303"/>
      <c r="V75" s="303"/>
      <c r="W75" s="303"/>
      <c r="X75" s="303"/>
      <c r="Y75" s="303"/>
      <c r="Z75" s="303"/>
    </row>
    <row r="76">
      <c r="A76" s="320"/>
      <c r="B76" s="320"/>
      <c r="C76" s="320"/>
      <c r="D76" s="320"/>
      <c r="E76" s="320"/>
      <c r="F76" s="320"/>
      <c r="G76" s="320"/>
      <c r="H76" s="312"/>
      <c r="I76" s="312"/>
      <c r="J76" s="307"/>
      <c r="K76" s="308"/>
      <c r="L76" s="309"/>
      <c r="M76" s="309"/>
      <c r="N76" s="306"/>
      <c r="O76" s="312"/>
      <c r="P76" s="312"/>
      <c r="Q76" s="312"/>
      <c r="R76" s="312"/>
      <c r="S76" s="312"/>
      <c r="T76" s="312"/>
      <c r="U76" s="303"/>
      <c r="V76" s="303"/>
      <c r="W76" s="303"/>
      <c r="X76" s="303"/>
      <c r="Y76" s="303"/>
      <c r="Z76" s="303"/>
    </row>
    <row r="77">
      <c r="A77" s="320"/>
      <c r="B77" s="320"/>
      <c r="C77" s="320"/>
      <c r="D77" s="320"/>
      <c r="E77" s="320"/>
      <c r="F77" s="320"/>
      <c r="G77" s="320"/>
      <c r="H77" s="312"/>
      <c r="I77" s="312"/>
      <c r="J77" s="307"/>
      <c r="K77" s="308"/>
      <c r="L77" s="309"/>
      <c r="M77" s="309"/>
      <c r="N77" s="306"/>
      <c r="O77" s="312"/>
      <c r="P77" s="312"/>
      <c r="Q77" s="312"/>
      <c r="R77" s="312"/>
      <c r="S77" s="312"/>
      <c r="T77" s="312"/>
      <c r="U77" s="303"/>
      <c r="V77" s="303"/>
      <c r="W77" s="303"/>
      <c r="X77" s="303"/>
      <c r="Y77" s="303"/>
      <c r="Z77" s="303"/>
    </row>
    <row r="78">
      <c r="A78" s="319"/>
      <c r="B78" s="319"/>
      <c r="C78" s="319"/>
      <c r="D78" s="319"/>
      <c r="E78" s="319"/>
      <c r="F78" s="319"/>
      <c r="G78" s="319"/>
      <c r="H78" s="306"/>
      <c r="I78" s="306"/>
      <c r="J78" s="307"/>
      <c r="K78" s="308"/>
      <c r="L78" s="309"/>
      <c r="M78" s="309"/>
      <c r="N78" s="306"/>
      <c r="O78" s="306"/>
      <c r="P78" s="306"/>
      <c r="Q78" s="306"/>
      <c r="R78" s="306"/>
      <c r="S78" s="306"/>
      <c r="T78" s="306"/>
      <c r="U78" s="303"/>
      <c r="V78" s="303"/>
      <c r="W78" s="303"/>
      <c r="X78" s="303"/>
      <c r="Y78" s="303"/>
      <c r="Z78" s="303"/>
    </row>
    <row r="79">
      <c r="A79" s="320"/>
      <c r="B79" s="320"/>
      <c r="C79" s="320"/>
      <c r="D79" s="320"/>
      <c r="E79" s="320"/>
      <c r="F79" s="320"/>
      <c r="G79" s="320"/>
      <c r="H79" s="312"/>
      <c r="I79" s="312"/>
      <c r="J79" s="307"/>
      <c r="K79" s="308"/>
      <c r="L79" s="309"/>
      <c r="M79" s="309"/>
      <c r="N79" s="306"/>
      <c r="O79" s="312"/>
      <c r="P79" s="312"/>
      <c r="Q79" s="312"/>
      <c r="R79" s="312"/>
      <c r="S79" s="312"/>
      <c r="T79" s="312"/>
      <c r="U79" s="303"/>
      <c r="V79" s="303"/>
      <c r="W79" s="303"/>
      <c r="X79" s="303"/>
      <c r="Y79" s="303"/>
      <c r="Z79" s="303"/>
    </row>
    <row r="80">
      <c r="A80" s="319"/>
      <c r="B80" s="319"/>
      <c r="C80" s="319"/>
      <c r="D80" s="319"/>
      <c r="E80" s="319"/>
      <c r="F80" s="319"/>
      <c r="G80" s="319"/>
      <c r="H80" s="306"/>
      <c r="I80" s="306"/>
      <c r="J80" s="307"/>
      <c r="K80" s="308"/>
      <c r="L80" s="309"/>
      <c r="M80" s="309"/>
      <c r="N80" s="306"/>
      <c r="O80" s="306"/>
      <c r="P80" s="306"/>
      <c r="Q80" s="306"/>
      <c r="R80" s="306"/>
      <c r="S80" s="306"/>
      <c r="T80" s="306"/>
      <c r="U80" s="303"/>
      <c r="V80" s="303"/>
      <c r="W80" s="303"/>
      <c r="X80" s="303"/>
      <c r="Y80" s="303"/>
      <c r="Z80" s="303"/>
    </row>
    <row r="81">
      <c r="A81" s="320"/>
      <c r="B81" s="320"/>
      <c r="C81" s="320"/>
      <c r="D81" s="320"/>
      <c r="E81" s="320"/>
      <c r="F81" s="320"/>
      <c r="G81" s="320"/>
      <c r="H81" s="312"/>
      <c r="I81" s="312"/>
      <c r="J81" s="307"/>
      <c r="K81" s="308"/>
      <c r="L81" s="309"/>
      <c r="M81" s="309"/>
      <c r="N81" s="306"/>
      <c r="O81" s="312"/>
      <c r="P81" s="312"/>
      <c r="Q81" s="312"/>
      <c r="R81" s="312"/>
      <c r="S81" s="312"/>
      <c r="T81" s="312"/>
      <c r="U81" s="303"/>
      <c r="V81" s="303"/>
      <c r="W81" s="303"/>
      <c r="X81" s="303"/>
      <c r="Y81" s="303"/>
      <c r="Z81" s="303"/>
    </row>
    <row r="82">
      <c r="A82" s="319"/>
      <c r="B82" s="319"/>
      <c r="C82" s="319"/>
      <c r="D82" s="319"/>
      <c r="E82" s="319"/>
      <c r="F82" s="319"/>
      <c r="G82" s="319"/>
      <c r="H82" s="306"/>
      <c r="I82" s="306"/>
      <c r="J82" s="307"/>
      <c r="K82" s="308"/>
      <c r="L82" s="309"/>
      <c r="M82" s="309"/>
      <c r="N82" s="306"/>
      <c r="O82" s="306"/>
      <c r="P82" s="306"/>
      <c r="Q82" s="306"/>
      <c r="R82" s="306"/>
      <c r="S82" s="306"/>
      <c r="T82" s="306"/>
      <c r="U82" s="303"/>
      <c r="V82" s="303"/>
      <c r="W82" s="303"/>
      <c r="X82" s="303"/>
      <c r="Y82" s="303"/>
      <c r="Z82" s="303"/>
    </row>
    <row r="83">
      <c r="A83" s="320"/>
      <c r="B83" s="320"/>
      <c r="C83" s="320"/>
      <c r="D83" s="320"/>
      <c r="E83" s="320"/>
      <c r="F83" s="320"/>
      <c r="G83" s="320"/>
      <c r="H83" s="312"/>
      <c r="I83" s="312"/>
      <c r="J83" s="307"/>
      <c r="K83" s="308"/>
      <c r="L83" s="309"/>
      <c r="M83" s="309"/>
      <c r="N83" s="306"/>
      <c r="O83" s="312"/>
      <c r="P83" s="312"/>
      <c r="Q83" s="312"/>
      <c r="R83" s="312"/>
      <c r="S83" s="312"/>
      <c r="T83" s="312"/>
      <c r="U83" s="303"/>
      <c r="V83" s="303"/>
      <c r="W83" s="303"/>
      <c r="X83" s="303"/>
      <c r="Y83" s="303"/>
      <c r="Z83" s="303"/>
    </row>
    <row r="84">
      <c r="A84" s="319"/>
      <c r="B84" s="319"/>
      <c r="C84" s="319"/>
      <c r="D84" s="319"/>
      <c r="E84" s="319"/>
      <c r="F84" s="319"/>
      <c r="G84" s="319"/>
      <c r="H84" s="306"/>
      <c r="I84" s="306"/>
      <c r="J84" s="307"/>
      <c r="K84" s="308"/>
      <c r="L84" s="309"/>
      <c r="M84" s="309"/>
      <c r="N84" s="306"/>
      <c r="O84" s="306"/>
      <c r="P84" s="306"/>
      <c r="Q84" s="306"/>
      <c r="R84" s="306"/>
      <c r="S84" s="306"/>
      <c r="T84" s="306"/>
      <c r="U84" s="303"/>
      <c r="V84" s="303"/>
      <c r="W84" s="303"/>
      <c r="X84" s="303"/>
      <c r="Y84" s="303"/>
      <c r="Z84" s="303"/>
    </row>
    <row r="85">
      <c r="A85" s="320"/>
      <c r="B85" s="320"/>
      <c r="C85" s="320"/>
      <c r="D85" s="320"/>
      <c r="E85" s="320"/>
      <c r="F85" s="320"/>
      <c r="G85" s="320"/>
      <c r="H85" s="312"/>
      <c r="I85" s="312"/>
      <c r="J85" s="307"/>
      <c r="K85" s="308"/>
      <c r="L85" s="309"/>
      <c r="M85" s="309"/>
      <c r="N85" s="306"/>
      <c r="O85" s="312"/>
      <c r="P85" s="312"/>
      <c r="Q85" s="312"/>
      <c r="R85" s="312"/>
      <c r="S85" s="312"/>
      <c r="T85" s="312"/>
      <c r="U85" s="303"/>
      <c r="V85" s="303"/>
      <c r="W85" s="303"/>
      <c r="X85" s="303"/>
      <c r="Y85" s="303"/>
      <c r="Z85" s="303"/>
    </row>
    <row r="86">
      <c r="A86" s="319"/>
      <c r="B86" s="319"/>
      <c r="C86" s="319"/>
      <c r="D86" s="319"/>
      <c r="E86" s="319"/>
      <c r="F86" s="319"/>
      <c r="G86" s="319"/>
      <c r="H86" s="306"/>
      <c r="I86" s="306"/>
      <c r="J86" s="307"/>
      <c r="K86" s="308"/>
      <c r="L86" s="309"/>
      <c r="M86" s="309"/>
      <c r="N86" s="306"/>
      <c r="O86" s="306"/>
      <c r="P86" s="306"/>
      <c r="Q86" s="306"/>
      <c r="R86" s="306"/>
      <c r="S86" s="306"/>
      <c r="T86" s="306"/>
      <c r="U86" s="303"/>
      <c r="V86" s="303"/>
      <c r="W86" s="303"/>
      <c r="X86" s="303"/>
      <c r="Y86" s="303"/>
      <c r="Z86" s="303"/>
    </row>
    <row r="87">
      <c r="A87" s="320"/>
      <c r="B87" s="320"/>
      <c r="C87" s="320"/>
      <c r="D87" s="320"/>
      <c r="E87" s="320"/>
      <c r="F87" s="320"/>
      <c r="G87" s="320"/>
      <c r="H87" s="312"/>
      <c r="I87" s="312"/>
      <c r="J87" s="307"/>
      <c r="K87" s="308"/>
      <c r="L87" s="309"/>
      <c r="M87" s="309"/>
      <c r="N87" s="306"/>
      <c r="O87" s="312"/>
      <c r="P87" s="312"/>
      <c r="Q87" s="312"/>
      <c r="R87" s="312"/>
      <c r="S87" s="312"/>
      <c r="T87" s="312"/>
      <c r="U87" s="303"/>
      <c r="V87" s="303"/>
      <c r="W87" s="303"/>
      <c r="X87" s="303"/>
      <c r="Y87" s="303"/>
      <c r="Z87" s="303"/>
    </row>
    <row r="88">
      <c r="A88" s="319"/>
      <c r="B88" s="319"/>
      <c r="C88" s="319"/>
      <c r="D88" s="319"/>
      <c r="E88" s="319"/>
      <c r="F88" s="319"/>
      <c r="G88" s="319"/>
      <c r="H88" s="306"/>
      <c r="I88" s="306"/>
      <c r="J88" s="307"/>
      <c r="K88" s="308"/>
      <c r="L88" s="309"/>
      <c r="M88" s="309"/>
      <c r="N88" s="306"/>
      <c r="O88" s="306"/>
      <c r="P88" s="306"/>
      <c r="Q88" s="306"/>
      <c r="R88" s="306"/>
      <c r="S88" s="306"/>
      <c r="T88" s="306"/>
      <c r="U88" s="303"/>
      <c r="V88" s="303"/>
      <c r="W88" s="303"/>
      <c r="X88" s="303"/>
      <c r="Y88" s="303"/>
      <c r="Z88" s="303"/>
    </row>
    <row r="89">
      <c r="A89" s="320"/>
      <c r="B89" s="320"/>
      <c r="C89" s="320"/>
      <c r="D89" s="320"/>
      <c r="E89" s="320"/>
      <c r="F89" s="320"/>
      <c r="G89" s="320"/>
      <c r="H89" s="312"/>
      <c r="I89" s="312"/>
      <c r="J89" s="307"/>
      <c r="K89" s="308"/>
      <c r="L89" s="309"/>
      <c r="M89" s="309"/>
      <c r="N89" s="306"/>
      <c r="O89" s="312"/>
      <c r="P89" s="312"/>
      <c r="Q89" s="312"/>
      <c r="R89" s="312"/>
      <c r="S89" s="312"/>
      <c r="T89" s="312"/>
      <c r="U89" s="303"/>
      <c r="V89" s="303"/>
      <c r="W89" s="303"/>
      <c r="X89" s="303"/>
      <c r="Y89" s="303"/>
      <c r="Z89" s="303"/>
    </row>
    <row r="90">
      <c r="A90" s="320"/>
      <c r="B90" s="320"/>
      <c r="C90" s="320"/>
      <c r="D90" s="320"/>
      <c r="E90" s="320"/>
      <c r="F90" s="320"/>
      <c r="G90" s="320"/>
      <c r="H90" s="312"/>
      <c r="I90" s="312"/>
      <c r="J90" s="307"/>
      <c r="K90" s="308"/>
      <c r="L90" s="309"/>
      <c r="M90" s="309"/>
      <c r="N90" s="306"/>
      <c r="O90" s="312"/>
      <c r="P90" s="312"/>
      <c r="Q90" s="312"/>
      <c r="R90" s="312"/>
      <c r="S90" s="312"/>
      <c r="T90" s="312"/>
      <c r="U90" s="303"/>
      <c r="V90" s="303"/>
      <c r="W90" s="303"/>
      <c r="X90" s="303"/>
      <c r="Y90" s="303"/>
      <c r="Z90" s="303"/>
    </row>
    <row r="91">
      <c r="A91" s="319"/>
      <c r="B91" s="319"/>
      <c r="C91" s="319"/>
      <c r="D91" s="319"/>
      <c r="E91" s="319"/>
      <c r="F91" s="319"/>
      <c r="G91" s="319"/>
      <c r="H91" s="306"/>
      <c r="I91" s="306"/>
      <c r="J91" s="307"/>
      <c r="K91" s="308"/>
      <c r="L91" s="309"/>
      <c r="M91" s="309"/>
      <c r="N91" s="306"/>
      <c r="O91" s="306"/>
      <c r="P91" s="306"/>
      <c r="Q91" s="306"/>
      <c r="R91" s="306"/>
      <c r="S91" s="306"/>
      <c r="T91" s="306"/>
      <c r="U91" s="303"/>
      <c r="V91" s="303"/>
      <c r="W91" s="303"/>
      <c r="X91" s="303"/>
      <c r="Y91" s="303"/>
      <c r="Z91" s="303"/>
    </row>
    <row r="92">
      <c r="A92" s="319"/>
      <c r="B92" s="319"/>
      <c r="C92" s="319"/>
      <c r="D92" s="319"/>
      <c r="E92" s="319"/>
      <c r="F92" s="319"/>
      <c r="G92" s="319"/>
      <c r="H92" s="306"/>
      <c r="I92" s="306"/>
      <c r="J92" s="307"/>
      <c r="K92" s="308"/>
      <c r="L92" s="309"/>
      <c r="M92" s="309"/>
      <c r="N92" s="306"/>
      <c r="O92" s="306"/>
      <c r="P92" s="306"/>
      <c r="Q92" s="306"/>
      <c r="R92" s="306"/>
      <c r="S92" s="306"/>
      <c r="T92" s="306"/>
      <c r="U92" s="303"/>
      <c r="V92" s="303"/>
      <c r="W92" s="303"/>
      <c r="X92" s="303"/>
      <c r="Y92" s="303"/>
      <c r="Z92" s="303"/>
    </row>
    <row r="93">
      <c r="A93" s="319"/>
      <c r="B93" s="319"/>
      <c r="C93" s="319"/>
      <c r="D93" s="319"/>
      <c r="E93" s="319"/>
      <c r="F93" s="319"/>
      <c r="G93" s="319"/>
      <c r="H93" s="306"/>
      <c r="I93" s="306"/>
      <c r="J93" s="307"/>
      <c r="K93" s="308"/>
      <c r="L93" s="309"/>
      <c r="M93" s="309"/>
      <c r="N93" s="306"/>
      <c r="O93" s="306"/>
      <c r="P93" s="306"/>
      <c r="Q93" s="306"/>
      <c r="R93" s="306"/>
      <c r="S93" s="306"/>
      <c r="T93" s="306"/>
      <c r="U93" s="303"/>
      <c r="V93" s="303"/>
      <c r="W93" s="303"/>
      <c r="X93" s="303"/>
      <c r="Y93" s="303"/>
      <c r="Z93" s="303"/>
    </row>
    <row r="94">
      <c r="A94" s="320"/>
      <c r="B94" s="320"/>
      <c r="C94" s="320"/>
      <c r="D94" s="320"/>
      <c r="E94" s="320"/>
      <c r="F94" s="320"/>
      <c r="G94" s="320"/>
      <c r="H94" s="312"/>
      <c r="I94" s="312"/>
      <c r="J94" s="307"/>
      <c r="K94" s="308"/>
      <c r="L94" s="309"/>
      <c r="M94" s="309"/>
      <c r="N94" s="306"/>
      <c r="O94" s="312"/>
      <c r="P94" s="312"/>
      <c r="Q94" s="312"/>
      <c r="R94" s="312"/>
      <c r="S94" s="312"/>
      <c r="T94" s="312"/>
      <c r="U94" s="303"/>
      <c r="V94" s="303"/>
      <c r="W94" s="303"/>
      <c r="X94" s="303"/>
      <c r="Y94" s="303"/>
      <c r="Z94" s="303"/>
    </row>
    <row r="95">
      <c r="A95" s="320"/>
      <c r="B95" s="320"/>
      <c r="C95" s="320"/>
      <c r="D95" s="320"/>
      <c r="E95" s="320"/>
      <c r="F95" s="320"/>
      <c r="G95" s="320"/>
      <c r="H95" s="312"/>
      <c r="I95" s="312"/>
      <c r="J95" s="307"/>
      <c r="K95" s="308"/>
      <c r="L95" s="309"/>
      <c r="M95" s="309"/>
      <c r="N95" s="306"/>
      <c r="O95" s="312"/>
      <c r="P95" s="312"/>
      <c r="Q95" s="312"/>
      <c r="R95" s="312"/>
      <c r="S95" s="312"/>
      <c r="T95" s="312"/>
      <c r="U95" s="303"/>
      <c r="V95" s="303"/>
      <c r="W95" s="303"/>
      <c r="X95" s="303"/>
      <c r="Y95" s="303"/>
      <c r="Z95" s="303"/>
    </row>
    <row r="96">
      <c r="A96" s="319"/>
      <c r="B96" s="319"/>
      <c r="C96" s="319"/>
      <c r="D96" s="319"/>
      <c r="E96" s="319"/>
      <c r="F96" s="319"/>
      <c r="G96" s="319"/>
      <c r="H96" s="306"/>
      <c r="I96" s="306"/>
      <c r="J96" s="307"/>
      <c r="K96" s="308"/>
      <c r="L96" s="309"/>
      <c r="M96" s="309"/>
      <c r="N96" s="306"/>
      <c r="O96" s="306"/>
      <c r="P96" s="306"/>
      <c r="Q96" s="306"/>
      <c r="R96" s="306"/>
      <c r="S96" s="306"/>
      <c r="T96" s="306"/>
      <c r="U96" s="303"/>
      <c r="V96" s="303"/>
      <c r="W96" s="303"/>
      <c r="X96" s="303"/>
      <c r="Y96" s="303"/>
      <c r="Z96" s="303"/>
    </row>
    <row r="97">
      <c r="A97" s="320"/>
      <c r="B97" s="320"/>
      <c r="C97" s="320"/>
      <c r="D97" s="320"/>
      <c r="E97" s="320"/>
      <c r="F97" s="320"/>
      <c r="G97" s="320"/>
      <c r="H97" s="312"/>
      <c r="I97" s="312"/>
      <c r="J97" s="307"/>
      <c r="K97" s="308"/>
      <c r="L97" s="309"/>
      <c r="M97" s="309"/>
      <c r="N97" s="306"/>
      <c r="O97" s="312"/>
      <c r="P97" s="312"/>
      <c r="Q97" s="312"/>
      <c r="R97" s="312"/>
      <c r="S97" s="312"/>
      <c r="T97" s="312"/>
      <c r="U97" s="303"/>
      <c r="V97" s="303"/>
      <c r="W97" s="303"/>
      <c r="X97" s="303"/>
      <c r="Y97" s="303"/>
      <c r="Z97" s="303"/>
    </row>
    <row r="98">
      <c r="A98" s="319"/>
      <c r="B98" s="319"/>
      <c r="C98" s="319"/>
      <c r="D98" s="319"/>
      <c r="E98" s="319"/>
      <c r="F98" s="319"/>
      <c r="G98" s="319"/>
      <c r="H98" s="306"/>
      <c r="I98" s="306"/>
      <c r="J98" s="307"/>
      <c r="K98" s="308"/>
      <c r="L98" s="309"/>
      <c r="M98" s="309"/>
      <c r="N98" s="306"/>
      <c r="O98" s="306"/>
      <c r="P98" s="306"/>
      <c r="Q98" s="306"/>
      <c r="R98" s="306"/>
      <c r="S98" s="306"/>
      <c r="T98" s="306"/>
      <c r="U98" s="303"/>
      <c r="V98" s="303"/>
      <c r="W98" s="303"/>
      <c r="X98" s="303"/>
      <c r="Y98" s="303"/>
      <c r="Z98" s="303"/>
    </row>
    <row r="99">
      <c r="A99" s="320"/>
      <c r="B99" s="320"/>
      <c r="C99" s="320"/>
      <c r="D99" s="320"/>
      <c r="E99" s="320"/>
      <c r="F99" s="320"/>
      <c r="G99" s="320"/>
      <c r="H99" s="312"/>
      <c r="I99" s="312"/>
      <c r="J99" s="307"/>
      <c r="K99" s="308"/>
      <c r="L99" s="309"/>
      <c r="M99" s="309"/>
      <c r="N99" s="306"/>
      <c r="O99" s="312"/>
      <c r="P99" s="312"/>
      <c r="Q99" s="312"/>
      <c r="R99" s="312"/>
      <c r="S99" s="312"/>
      <c r="T99" s="312"/>
      <c r="U99" s="303"/>
      <c r="V99" s="303"/>
      <c r="W99" s="303"/>
      <c r="X99" s="303"/>
      <c r="Y99" s="303"/>
      <c r="Z99" s="303"/>
    </row>
    <row r="100">
      <c r="A100" s="320"/>
      <c r="B100" s="320"/>
      <c r="C100" s="320"/>
      <c r="D100" s="320"/>
      <c r="E100" s="320"/>
      <c r="F100" s="320"/>
      <c r="G100" s="320"/>
      <c r="H100" s="312"/>
      <c r="I100" s="312"/>
      <c r="J100" s="307"/>
      <c r="K100" s="308"/>
      <c r="L100" s="309"/>
      <c r="M100" s="309"/>
      <c r="N100" s="306"/>
      <c r="O100" s="312"/>
      <c r="P100" s="312"/>
      <c r="Q100" s="312"/>
      <c r="R100" s="312"/>
      <c r="S100" s="312"/>
      <c r="T100" s="312"/>
      <c r="U100" s="303"/>
      <c r="V100" s="303"/>
      <c r="W100" s="303"/>
      <c r="X100" s="303"/>
      <c r="Y100" s="303"/>
      <c r="Z100" s="303"/>
    </row>
    <row r="101">
      <c r="A101" s="320"/>
      <c r="B101" s="320"/>
      <c r="C101" s="320"/>
      <c r="D101" s="320"/>
      <c r="E101" s="320"/>
      <c r="F101" s="320"/>
      <c r="G101" s="320"/>
      <c r="H101" s="312"/>
      <c r="I101" s="312"/>
      <c r="J101" s="307"/>
      <c r="K101" s="308"/>
      <c r="L101" s="309"/>
      <c r="M101" s="309"/>
      <c r="N101" s="306"/>
      <c r="O101" s="312"/>
      <c r="P101" s="312"/>
      <c r="Q101" s="312"/>
      <c r="R101" s="312"/>
      <c r="S101" s="312"/>
      <c r="T101" s="312"/>
      <c r="U101" s="303"/>
      <c r="V101" s="303"/>
      <c r="W101" s="303"/>
      <c r="X101" s="303"/>
      <c r="Y101" s="303"/>
      <c r="Z101" s="303"/>
    </row>
    <row r="102">
      <c r="A102" s="320"/>
      <c r="B102" s="320"/>
      <c r="C102" s="320"/>
      <c r="D102" s="320"/>
      <c r="E102" s="320"/>
      <c r="F102" s="320"/>
      <c r="G102" s="320"/>
      <c r="H102" s="312"/>
      <c r="I102" s="312"/>
      <c r="J102" s="307"/>
      <c r="K102" s="308"/>
      <c r="L102" s="309"/>
      <c r="M102" s="309"/>
      <c r="N102" s="306"/>
      <c r="O102" s="312"/>
      <c r="P102" s="312"/>
      <c r="Q102" s="312"/>
      <c r="R102" s="312"/>
      <c r="S102" s="312"/>
      <c r="T102" s="312"/>
      <c r="U102" s="303"/>
      <c r="V102" s="303"/>
      <c r="W102" s="303"/>
      <c r="X102" s="303"/>
      <c r="Y102" s="303"/>
      <c r="Z102" s="303"/>
    </row>
    <row r="103">
      <c r="A103" s="319"/>
      <c r="B103" s="319"/>
      <c r="C103" s="319"/>
      <c r="D103" s="319"/>
      <c r="E103" s="319"/>
      <c r="F103" s="319"/>
      <c r="G103" s="319"/>
      <c r="H103" s="306"/>
      <c r="I103" s="306"/>
      <c r="J103" s="307"/>
      <c r="K103" s="308"/>
      <c r="L103" s="309"/>
      <c r="M103" s="309"/>
      <c r="N103" s="306"/>
      <c r="O103" s="306"/>
      <c r="P103" s="306"/>
      <c r="Q103" s="306"/>
      <c r="R103" s="306"/>
      <c r="S103" s="306"/>
      <c r="T103" s="306"/>
      <c r="U103" s="303"/>
      <c r="V103" s="303"/>
      <c r="W103" s="303"/>
      <c r="X103" s="303"/>
      <c r="Y103" s="303"/>
      <c r="Z103" s="303"/>
    </row>
    <row r="104">
      <c r="A104" s="320"/>
      <c r="B104" s="320"/>
      <c r="C104" s="320"/>
      <c r="D104" s="320"/>
      <c r="E104" s="320"/>
      <c r="F104" s="320"/>
      <c r="G104" s="320"/>
      <c r="H104" s="312"/>
      <c r="I104" s="312"/>
      <c r="J104" s="307"/>
      <c r="K104" s="308"/>
      <c r="L104" s="309"/>
      <c r="M104" s="309"/>
      <c r="N104" s="306"/>
      <c r="O104" s="312"/>
      <c r="P104" s="312"/>
      <c r="Q104" s="312"/>
      <c r="R104" s="312"/>
      <c r="S104" s="312"/>
      <c r="T104" s="312"/>
      <c r="U104" s="303"/>
      <c r="V104" s="303"/>
      <c r="W104" s="303"/>
      <c r="X104" s="303"/>
      <c r="Y104" s="303"/>
      <c r="Z104" s="303"/>
    </row>
    <row r="105">
      <c r="A105" s="319"/>
      <c r="B105" s="319"/>
      <c r="C105" s="319"/>
      <c r="D105" s="319"/>
      <c r="E105" s="319"/>
      <c r="F105" s="319"/>
      <c r="G105" s="319"/>
      <c r="H105" s="306"/>
      <c r="I105" s="306"/>
      <c r="J105" s="307"/>
      <c r="K105" s="308"/>
      <c r="L105" s="309"/>
      <c r="M105" s="309"/>
      <c r="N105" s="306"/>
      <c r="O105" s="306"/>
      <c r="P105" s="306"/>
      <c r="Q105" s="306"/>
      <c r="R105" s="306"/>
      <c r="S105" s="306"/>
      <c r="T105" s="306"/>
      <c r="U105" s="303"/>
      <c r="V105" s="303"/>
      <c r="W105" s="303"/>
      <c r="X105" s="303"/>
      <c r="Y105" s="303"/>
      <c r="Z105" s="303"/>
    </row>
    <row r="106">
      <c r="A106" s="320"/>
      <c r="B106" s="320"/>
      <c r="C106" s="320"/>
      <c r="D106" s="320"/>
      <c r="E106" s="320"/>
      <c r="F106" s="320"/>
      <c r="G106" s="320"/>
      <c r="H106" s="312"/>
      <c r="I106" s="312"/>
      <c r="J106" s="307"/>
      <c r="K106" s="308"/>
      <c r="L106" s="309"/>
      <c r="M106" s="309"/>
      <c r="N106" s="306"/>
      <c r="O106" s="312"/>
      <c r="P106" s="312"/>
      <c r="Q106" s="312"/>
      <c r="R106" s="312"/>
      <c r="S106" s="312"/>
      <c r="T106" s="312"/>
      <c r="U106" s="303"/>
      <c r="V106" s="303"/>
      <c r="W106" s="303"/>
      <c r="X106" s="303"/>
      <c r="Y106" s="303"/>
      <c r="Z106" s="303"/>
    </row>
    <row r="107">
      <c r="A107" s="320"/>
      <c r="B107" s="320"/>
      <c r="C107" s="320"/>
      <c r="D107" s="320"/>
      <c r="E107" s="320"/>
      <c r="F107" s="320"/>
      <c r="G107" s="320"/>
      <c r="H107" s="312"/>
      <c r="I107" s="312"/>
      <c r="J107" s="307"/>
      <c r="K107" s="308"/>
      <c r="L107" s="309"/>
      <c r="M107" s="309"/>
      <c r="N107" s="306"/>
      <c r="O107" s="312"/>
      <c r="P107" s="312"/>
      <c r="Q107" s="312"/>
      <c r="R107" s="312"/>
      <c r="S107" s="312"/>
      <c r="T107" s="312"/>
      <c r="U107" s="303"/>
      <c r="V107" s="303"/>
      <c r="W107" s="303"/>
      <c r="X107" s="303"/>
      <c r="Y107" s="303"/>
      <c r="Z107" s="303"/>
    </row>
    <row r="108">
      <c r="A108" s="303"/>
      <c r="B108" s="303"/>
      <c r="C108" s="303"/>
      <c r="D108" s="303"/>
      <c r="E108" s="303"/>
      <c r="F108" s="303"/>
      <c r="G108" s="303"/>
      <c r="H108" s="303"/>
      <c r="I108" s="303"/>
      <c r="J108" s="307"/>
      <c r="K108" s="308"/>
      <c r="L108" s="309"/>
      <c r="M108" s="309"/>
      <c r="N108" s="306"/>
      <c r="O108" s="303"/>
      <c r="P108" s="303"/>
      <c r="Q108" s="303"/>
      <c r="R108" s="303"/>
      <c r="S108" s="303"/>
      <c r="T108" s="303"/>
      <c r="U108" s="303"/>
      <c r="V108" s="303"/>
      <c r="W108" s="303"/>
      <c r="X108" s="303"/>
      <c r="Y108" s="303"/>
      <c r="Z108" s="303"/>
    </row>
    <row r="109">
      <c r="A109" s="303"/>
      <c r="B109" s="303"/>
      <c r="C109" s="303"/>
      <c r="D109" s="303"/>
      <c r="E109" s="303"/>
      <c r="F109" s="303"/>
      <c r="G109" s="303"/>
      <c r="H109" s="303"/>
      <c r="I109" s="303"/>
      <c r="J109" s="307"/>
      <c r="K109" s="308"/>
      <c r="L109" s="309"/>
      <c r="M109" s="309"/>
      <c r="N109" s="306"/>
      <c r="O109" s="303"/>
      <c r="P109" s="303"/>
      <c r="Q109" s="303"/>
      <c r="R109" s="303"/>
      <c r="S109" s="303"/>
      <c r="T109" s="303"/>
      <c r="U109" s="303"/>
      <c r="V109" s="303"/>
      <c r="W109" s="303"/>
      <c r="X109" s="303"/>
      <c r="Y109" s="303"/>
      <c r="Z109" s="303"/>
    </row>
    <row r="110">
      <c r="A110" s="303"/>
      <c r="B110" s="303"/>
      <c r="C110" s="303"/>
      <c r="D110" s="303"/>
      <c r="E110" s="303"/>
      <c r="F110" s="303"/>
      <c r="G110" s="303"/>
      <c r="H110" s="303"/>
      <c r="I110" s="303"/>
      <c r="J110" s="307"/>
      <c r="K110" s="308"/>
      <c r="L110" s="309"/>
      <c r="M110" s="309"/>
      <c r="N110" s="306"/>
      <c r="O110" s="303"/>
      <c r="P110" s="303"/>
      <c r="Q110" s="303"/>
      <c r="R110" s="303"/>
      <c r="S110" s="303"/>
      <c r="T110" s="303"/>
      <c r="U110" s="303"/>
      <c r="V110" s="303"/>
      <c r="W110" s="303"/>
      <c r="X110" s="303"/>
      <c r="Y110" s="303"/>
      <c r="Z110" s="303"/>
    </row>
    <row r="111">
      <c r="A111" s="303"/>
      <c r="B111" s="303"/>
      <c r="C111" s="303"/>
      <c r="D111" s="303"/>
      <c r="E111" s="303"/>
      <c r="F111" s="303"/>
      <c r="G111" s="303"/>
      <c r="H111" s="303"/>
      <c r="I111" s="303"/>
      <c r="J111" s="307"/>
      <c r="K111" s="308"/>
      <c r="L111" s="309"/>
      <c r="M111" s="309"/>
      <c r="N111" s="306"/>
      <c r="O111" s="303"/>
      <c r="P111" s="303"/>
      <c r="Q111" s="303"/>
      <c r="R111" s="303"/>
      <c r="S111" s="303"/>
      <c r="T111" s="303"/>
      <c r="U111" s="303"/>
      <c r="V111" s="303"/>
      <c r="W111" s="303"/>
      <c r="X111" s="303"/>
      <c r="Y111" s="303"/>
      <c r="Z111" s="303"/>
    </row>
    <row r="112">
      <c r="A112" s="303"/>
      <c r="B112" s="303"/>
      <c r="C112" s="303"/>
      <c r="D112" s="303"/>
      <c r="E112" s="303"/>
      <c r="F112" s="303"/>
      <c r="G112" s="303"/>
      <c r="H112" s="303"/>
      <c r="I112" s="303"/>
      <c r="J112" s="307"/>
      <c r="K112" s="308"/>
      <c r="L112" s="309"/>
      <c r="M112" s="309"/>
      <c r="N112" s="306"/>
      <c r="O112" s="303"/>
      <c r="P112" s="303"/>
      <c r="Q112" s="303"/>
      <c r="R112" s="303"/>
      <c r="S112" s="303"/>
      <c r="T112" s="303"/>
      <c r="U112" s="303"/>
      <c r="V112" s="303"/>
      <c r="W112" s="303"/>
      <c r="X112" s="303"/>
      <c r="Y112" s="303"/>
      <c r="Z112" s="303"/>
    </row>
    <row r="113">
      <c r="A113" s="303"/>
      <c r="B113" s="303"/>
      <c r="C113" s="303"/>
      <c r="D113" s="303"/>
      <c r="E113" s="303"/>
      <c r="F113" s="303"/>
      <c r="G113" s="303"/>
      <c r="H113" s="303"/>
      <c r="I113" s="303"/>
      <c r="J113" s="307"/>
      <c r="K113" s="308"/>
      <c r="L113" s="309"/>
      <c r="M113" s="309"/>
      <c r="N113" s="306"/>
      <c r="O113" s="303"/>
      <c r="P113" s="303"/>
      <c r="Q113" s="303"/>
      <c r="R113" s="303"/>
      <c r="S113" s="303"/>
      <c r="T113" s="303"/>
      <c r="U113" s="303"/>
      <c r="V113" s="303"/>
      <c r="W113" s="303"/>
      <c r="X113" s="303"/>
      <c r="Y113" s="303"/>
      <c r="Z113" s="303"/>
    </row>
    <row r="114">
      <c r="A114" s="303"/>
      <c r="B114" s="303"/>
      <c r="C114" s="303"/>
      <c r="D114" s="303"/>
      <c r="E114" s="303"/>
      <c r="F114" s="303"/>
      <c r="G114" s="303"/>
      <c r="H114" s="303"/>
      <c r="I114" s="303"/>
      <c r="J114" s="307"/>
      <c r="K114" s="308"/>
      <c r="L114" s="309"/>
      <c r="M114" s="309"/>
      <c r="N114" s="306"/>
      <c r="O114" s="303"/>
      <c r="P114" s="303"/>
      <c r="Q114" s="303"/>
      <c r="R114" s="303"/>
      <c r="S114" s="303"/>
      <c r="T114" s="303"/>
      <c r="U114" s="303"/>
      <c r="V114" s="303"/>
      <c r="W114" s="303"/>
      <c r="X114" s="303"/>
      <c r="Y114" s="303"/>
      <c r="Z114" s="303"/>
    </row>
    <row r="115">
      <c r="A115" s="303"/>
      <c r="B115" s="303"/>
      <c r="C115" s="303"/>
      <c r="D115" s="303"/>
      <c r="E115" s="303"/>
      <c r="F115" s="303"/>
      <c r="G115" s="303"/>
      <c r="H115" s="303"/>
      <c r="I115" s="303"/>
      <c r="J115" s="307"/>
      <c r="K115" s="308"/>
      <c r="L115" s="309"/>
      <c r="M115" s="309"/>
      <c r="N115" s="306"/>
      <c r="O115" s="303"/>
      <c r="P115" s="303"/>
      <c r="Q115" s="303"/>
      <c r="R115" s="303"/>
      <c r="S115" s="303"/>
      <c r="T115" s="303"/>
      <c r="U115" s="303"/>
      <c r="V115" s="303"/>
      <c r="W115" s="303"/>
      <c r="X115" s="303"/>
      <c r="Y115" s="303"/>
      <c r="Z115" s="303"/>
    </row>
    <row r="116">
      <c r="A116" s="303"/>
      <c r="B116" s="303"/>
      <c r="C116" s="303"/>
      <c r="D116" s="303"/>
      <c r="E116" s="303"/>
      <c r="F116" s="303"/>
      <c r="G116" s="303"/>
      <c r="H116" s="303"/>
      <c r="I116" s="303"/>
      <c r="J116" s="307"/>
      <c r="K116" s="308"/>
      <c r="L116" s="309"/>
      <c r="M116" s="309"/>
      <c r="N116" s="306"/>
      <c r="O116" s="303"/>
      <c r="P116" s="303"/>
      <c r="Q116" s="303"/>
      <c r="R116" s="303"/>
      <c r="S116" s="303"/>
      <c r="T116" s="303"/>
      <c r="U116" s="303"/>
      <c r="V116" s="303"/>
      <c r="W116" s="303"/>
      <c r="X116" s="303"/>
      <c r="Y116" s="303"/>
      <c r="Z116" s="303"/>
    </row>
    <row r="117">
      <c r="A117" s="303"/>
      <c r="B117" s="303"/>
      <c r="C117" s="303"/>
      <c r="D117" s="303"/>
      <c r="E117" s="303"/>
      <c r="F117" s="303"/>
      <c r="G117" s="303"/>
      <c r="H117" s="303"/>
      <c r="I117" s="303"/>
      <c r="J117" s="307"/>
      <c r="K117" s="308"/>
      <c r="L117" s="309"/>
      <c r="M117" s="309"/>
      <c r="N117" s="306"/>
      <c r="O117" s="303"/>
      <c r="P117" s="303"/>
      <c r="Q117" s="303"/>
      <c r="R117" s="303"/>
      <c r="S117" s="303"/>
      <c r="T117" s="303"/>
      <c r="U117" s="303"/>
      <c r="V117" s="303"/>
      <c r="W117" s="303"/>
      <c r="X117" s="303"/>
      <c r="Y117" s="303"/>
      <c r="Z117" s="303"/>
    </row>
    <row r="118">
      <c r="A118" s="303"/>
      <c r="B118" s="303"/>
      <c r="C118" s="303"/>
      <c r="D118" s="303"/>
      <c r="E118" s="303"/>
      <c r="F118" s="303"/>
      <c r="G118" s="303"/>
      <c r="H118" s="303"/>
      <c r="I118" s="303"/>
      <c r="J118" s="307"/>
      <c r="K118" s="308"/>
      <c r="L118" s="309"/>
      <c r="M118" s="309"/>
      <c r="N118" s="306"/>
      <c r="O118" s="303"/>
      <c r="P118" s="303"/>
      <c r="Q118" s="303"/>
      <c r="R118" s="303"/>
      <c r="S118" s="303"/>
      <c r="T118" s="303"/>
      <c r="U118" s="303"/>
      <c r="V118" s="303"/>
      <c r="W118" s="303"/>
      <c r="X118" s="303"/>
      <c r="Y118" s="303"/>
      <c r="Z118" s="303"/>
    </row>
    <row r="119">
      <c r="A119" s="303"/>
      <c r="B119" s="303"/>
      <c r="C119" s="303"/>
      <c r="D119" s="303"/>
      <c r="E119" s="303"/>
      <c r="F119" s="303"/>
      <c r="G119" s="303"/>
      <c r="H119" s="303"/>
      <c r="I119" s="303"/>
      <c r="J119" s="307"/>
      <c r="K119" s="308"/>
      <c r="L119" s="309"/>
      <c r="M119" s="309"/>
      <c r="N119" s="306"/>
      <c r="O119" s="303"/>
      <c r="P119" s="303"/>
      <c r="Q119" s="303"/>
      <c r="R119" s="303"/>
      <c r="S119" s="303"/>
      <c r="T119" s="303"/>
      <c r="U119" s="303"/>
      <c r="V119" s="303"/>
      <c r="W119" s="303"/>
      <c r="X119" s="303"/>
      <c r="Y119" s="303"/>
      <c r="Z119" s="303"/>
    </row>
    <row r="120">
      <c r="A120" s="303"/>
      <c r="B120" s="303"/>
      <c r="C120" s="303"/>
      <c r="D120" s="303"/>
      <c r="E120" s="303"/>
      <c r="F120" s="303"/>
      <c r="G120" s="303"/>
      <c r="H120" s="303"/>
      <c r="I120" s="303"/>
      <c r="J120" s="307"/>
      <c r="K120" s="308"/>
      <c r="L120" s="309"/>
      <c r="M120" s="309"/>
      <c r="N120" s="306"/>
      <c r="O120" s="303"/>
      <c r="P120" s="303"/>
      <c r="Q120" s="303"/>
      <c r="R120" s="303"/>
      <c r="S120" s="303"/>
      <c r="T120" s="303"/>
      <c r="U120" s="303"/>
      <c r="V120" s="303"/>
      <c r="W120" s="303"/>
      <c r="X120" s="303"/>
      <c r="Y120" s="303"/>
      <c r="Z120" s="303"/>
    </row>
    <row r="121">
      <c r="A121" s="303"/>
      <c r="B121" s="303"/>
      <c r="C121" s="303"/>
      <c r="D121" s="303"/>
      <c r="E121" s="303"/>
      <c r="F121" s="303"/>
      <c r="G121" s="303"/>
      <c r="H121" s="303"/>
      <c r="I121" s="303"/>
      <c r="J121" s="307"/>
      <c r="K121" s="308"/>
      <c r="L121" s="309"/>
      <c r="M121" s="309"/>
      <c r="N121" s="306"/>
      <c r="O121" s="303"/>
      <c r="P121" s="303"/>
      <c r="Q121" s="303"/>
      <c r="R121" s="303"/>
      <c r="S121" s="303"/>
      <c r="T121" s="303"/>
      <c r="U121" s="303"/>
      <c r="V121" s="303"/>
      <c r="W121" s="303"/>
      <c r="X121" s="303"/>
      <c r="Y121" s="303"/>
      <c r="Z121" s="303"/>
    </row>
    <row r="122">
      <c r="A122" s="303"/>
      <c r="B122" s="303"/>
      <c r="C122" s="303"/>
      <c r="D122" s="303"/>
      <c r="E122" s="303"/>
      <c r="F122" s="303"/>
      <c r="G122" s="303"/>
      <c r="H122" s="303"/>
      <c r="I122" s="303"/>
      <c r="J122" s="307"/>
      <c r="K122" s="308"/>
      <c r="L122" s="309"/>
      <c r="M122" s="309"/>
      <c r="N122" s="306"/>
      <c r="O122" s="303"/>
      <c r="P122" s="303"/>
      <c r="Q122" s="303"/>
      <c r="R122" s="303"/>
      <c r="S122" s="303"/>
      <c r="T122" s="303"/>
      <c r="U122" s="303"/>
      <c r="V122" s="303"/>
      <c r="W122" s="303"/>
      <c r="X122" s="303"/>
      <c r="Y122" s="303"/>
      <c r="Z122" s="303"/>
    </row>
    <row r="123">
      <c r="A123" s="303"/>
      <c r="B123" s="303"/>
      <c r="C123" s="303"/>
      <c r="D123" s="303"/>
      <c r="E123" s="303"/>
      <c r="F123" s="303"/>
      <c r="G123" s="303"/>
      <c r="H123" s="303"/>
      <c r="I123" s="303"/>
      <c r="J123" s="307"/>
      <c r="K123" s="308"/>
      <c r="L123" s="309"/>
      <c r="M123" s="309"/>
      <c r="N123" s="306"/>
      <c r="O123" s="303"/>
      <c r="P123" s="303"/>
      <c r="Q123" s="303"/>
      <c r="R123" s="303"/>
      <c r="S123" s="303"/>
      <c r="T123" s="303"/>
      <c r="U123" s="303"/>
      <c r="V123" s="303"/>
      <c r="W123" s="303"/>
      <c r="X123" s="303"/>
      <c r="Y123" s="303"/>
      <c r="Z123" s="303"/>
    </row>
    <row r="124">
      <c r="A124" s="303"/>
      <c r="B124" s="303"/>
      <c r="C124" s="303"/>
      <c r="D124" s="303"/>
      <c r="E124" s="303"/>
      <c r="F124" s="303"/>
      <c r="G124" s="303"/>
      <c r="H124" s="303"/>
      <c r="I124" s="303"/>
      <c r="J124" s="307"/>
      <c r="K124" s="308"/>
      <c r="L124" s="309"/>
      <c r="M124" s="309"/>
      <c r="N124" s="306"/>
      <c r="O124" s="303"/>
      <c r="P124" s="303"/>
      <c r="Q124" s="303"/>
      <c r="R124" s="303"/>
      <c r="S124" s="303"/>
      <c r="T124" s="303"/>
      <c r="U124" s="303"/>
      <c r="V124" s="303"/>
      <c r="W124" s="303"/>
      <c r="X124" s="303"/>
      <c r="Y124" s="303"/>
      <c r="Z124" s="303"/>
    </row>
    <row r="125">
      <c r="A125" s="303"/>
      <c r="B125" s="303"/>
      <c r="C125" s="303"/>
      <c r="D125" s="303"/>
      <c r="E125" s="303"/>
      <c r="F125" s="303"/>
      <c r="G125" s="303"/>
      <c r="H125" s="303"/>
      <c r="I125" s="303"/>
      <c r="J125" s="307"/>
      <c r="K125" s="308"/>
      <c r="L125" s="309"/>
      <c r="M125" s="309"/>
      <c r="N125" s="306"/>
      <c r="O125" s="303"/>
      <c r="P125" s="303"/>
      <c r="Q125" s="303"/>
      <c r="R125" s="303"/>
      <c r="S125" s="303"/>
      <c r="T125" s="303"/>
      <c r="U125" s="303"/>
      <c r="V125" s="303"/>
      <c r="W125" s="303"/>
      <c r="X125" s="303"/>
      <c r="Y125" s="303"/>
      <c r="Z125" s="303"/>
    </row>
    <row r="126">
      <c r="A126" s="303"/>
      <c r="B126" s="303"/>
      <c r="C126" s="303"/>
      <c r="D126" s="303"/>
      <c r="E126" s="303"/>
      <c r="F126" s="303"/>
      <c r="G126" s="303"/>
      <c r="H126" s="303"/>
      <c r="I126" s="303"/>
      <c r="J126" s="307"/>
      <c r="K126" s="308"/>
      <c r="L126" s="309"/>
      <c r="M126" s="309"/>
      <c r="N126" s="306"/>
      <c r="O126" s="303"/>
      <c r="P126" s="303"/>
      <c r="Q126" s="303"/>
      <c r="R126" s="303"/>
      <c r="S126" s="303"/>
      <c r="T126" s="303"/>
      <c r="U126" s="303"/>
      <c r="V126" s="303"/>
      <c r="W126" s="303"/>
      <c r="X126" s="303"/>
      <c r="Y126" s="303"/>
      <c r="Z126" s="303"/>
    </row>
    <row r="127">
      <c r="A127" s="303"/>
      <c r="B127" s="303"/>
      <c r="C127" s="303"/>
      <c r="D127" s="303"/>
      <c r="E127" s="303"/>
      <c r="F127" s="303"/>
      <c r="G127" s="303"/>
      <c r="H127" s="303"/>
      <c r="I127" s="303"/>
      <c r="J127" s="307"/>
      <c r="K127" s="308"/>
      <c r="L127" s="309"/>
      <c r="M127" s="309"/>
      <c r="N127" s="306"/>
      <c r="O127" s="303"/>
      <c r="P127" s="303"/>
      <c r="Q127" s="303"/>
      <c r="R127" s="303"/>
      <c r="S127" s="303"/>
      <c r="T127" s="303"/>
      <c r="U127" s="303"/>
      <c r="V127" s="303"/>
      <c r="W127" s="303"/>
      <c r="X127" s="303"/>
      <c r="Y127" s="303"/>
      <c r="Z127" s="303"/>
    </row>
    <row r="128">
      <c r="A128" s="303"/>
      <c r="B128" s="303"/>
      <c r="C128" s="303"/>
      <c r="D128" s="303"/>
      <c r="E128" s="303"/>
      <c r="F128" s="303"/>
      <c r="G128" s="303"/>
      <c r="H128" s="303"/>
      <c r="I128" s="303"/>
      <c r="J128" s="307"/>
      <c r="K128" s="308"/>
      <c r="L128" s="309"/>
      <c r="M128" s="309"/>
      <c r="N128" s="306"/>
      <c r="O128" s="303"/>
      <c r="P128" s="303"/>
      <c r="Q128" s="303"/>
      <c r="R128" s="303"/>
      <c r="S128" s="303"/>
      <c r="T128" s="303"/>
      <c r="U128" s="303"/>
      <c r="V128" s="303"/>
      <c r="W128" s="303"/>
      <c r="X128" s="303"/>
      <c r="Y128" s="303"/>
      <c r="Z128" s="303"/>
    </row>
    <row r="129">
      <c r="A129" s="303"/>
      <c r="B129" s="303"/>
      <c r="C129" s="303"/>
      <c r="D129" s="303"/>
      <c r="E129" s="303"/>
      <c r="F129" s="303"/>
      <c r="G129" s="303"/>
      <c r="H129" s="303"/>
      <c r="I129" s="303"/>
      <c r="J129" s="307"/>
      <c r="K129" s="308"/>
      <c r="L129" s="309"/>
      <c r="M129" s="309"/>
      <c r="N129" s="306"/>
      <c r="O129" s="303"/>
      <c r="P129" s="303"/>
      <c r="Q129" s="303"/>
      <c r="R129" s="303"/>
      <c r="S129" s="303"/>
      <c r="T129" s="303"/>
      <c r="U129" s="303"/>
      <c r="V129" s="303"/>
      <c r="W129" s="303"/>
      <c r="X129" s="303"/>
      <c r="Y129" s="303"/>
      <c r="Z129" s="303"/>
    </row>
    <row r="130">
      <c r="A130" s="303"/>
      <c r="B130" s="303"/>
      <c r="C130" s="303"/>
      <c r="D130" s="303"/>
      <c r="E130" s="303"/>
      <c r="F130" s="303"/>
      <c r="G130" s="303"/>
      <c r="H130" s="303"/>
      <c r="I130" s="303"/>
      <c r="J130" s="307"/>
      <c r="K130" s="308"/>
      <c r="L130" s="309"/>
      <c r="M130" s="309"/>
      <c r="N130" s="306"/>
      <c r="O130" s="303"/>
      <c r="P130" s="303"/>
      <c r="Q130" s="303"/>
      <c r="R130" s="303"/>
      <c r="S130" s="303"/>
      <c r="T130" s="303"/>
      <c r="U130" s="303"/>
      <c r="V130" s="303"/>
      <c r="W130" s="303"/>
      <c r="X130" s="303"/>
      <c r="Y130" s="303"/>
      <c r="Z130" s="303"/>
    </row>
    <row r="131">
      <c r="A131" s="303"/>
      <c r="B131" s="303"/>
      <c r="C131" s="303"/>
      <c r="D131" s="303"/>
      <c r="E131" s="303"/>
      <c r="F131" s="303"/>
      <c r="G131" s="303"/>
      <c r="H131" s="303"/>
      <c r="I131" s="303"/>
      <c r="J131" s="307"/>
      <c r="K131" s="308"/>
      <c r="L131" s="309"/>
      <c r="M131" s="309"/>
      <c r="N131" s="306"/>
      <c r="O131" s="303"/>
      <c r="P131" s="303"/>
      <c r="Q131" s="303"/>
      <c r="R131" s="303"/>
      <c r="S131" s="303"/>
      <c r="T131" s="303"/>
      <c r="U131" s="303"/>
      <c r="V131" s="303"/>
      <c r="W131" s="303"/>
      <c r="X131" s="303"/>
      <c r="Y131" s="303"/>
      <c r="Z131" s="303"/>
    </row>
    <row r="132">
      <c r="A132" s="303"/>
      <c r="B132" s="303"/>
      <c r="C132" s="303"/>
      <c r="D132" s="303"/>
      <c r="E132" s="303"/>
      <c r="F132" s="303"/>
      <c r="G132" s="303"/>
      <c r="H132" s="303"/>
      <c r="I132" s="303"/>
      <c r="J132" s="307"/>
      <c r="K132" s="308"/>
      <c r="L132" s="309"/>
      <c r="M132" s="309"/>
      <c r="N132" s="306"/>
      <c r="O132" s="303"/>
      <c r="P132" s="303"/>
      <c r="Q132" s="303"/>
      <c r="R132" s="303"/>
      <c r="S132" s="303"/>
      <c r="T132" s="303"/>
      <c r="U132" s="303"/>
      <c r="V132" s="303"/>
      <c r="W132" s="303"/>
      <c r="X132" s="303"/>
      <c r="Y132" s="303"/>
      <c r="Z132" s="303"/>
    </row>
    <row r="133">
      <c r="A133" s="303"/>
      <c r="B133" s="303"/>
      <c r="C133" s="303"/>
      <c r="D133" s="303"/>
      <c r="E133" s="303"/>
      <c r="F133" s="303"/>
      <c r="G133" s="303"/>
      <c r="H133" s="303"/>
      <c r="I133" s="303"/>
      <c r="J133" s="307"/>
      <c r="K133" s="308"/>
      <c r="L133" s="309"/>
      <c r="M133" s="309"/>
      <c r="N133" s="306"/>
      <c r="O133" s="303"/>
      <c r="P133" s="303"/>
      <c r="Q133" s="303"/>
      <c r="R133" s="303"/>
      <c r="S133" s="303"/>
      <c r="T133" s="303"/>
      <c r="U133" s="303"/>
      <c r="V133" s="303"/>
      <c r="W133" s="303"/>
      <c r="X133" s="303"/>
      <c r="Y133" s="303"/>
      <c r="Z133" s="303"/>
    </row>
    <row r="134">
      <c r="A134" s="303"/>
      <c r="B134" s="303"/>
      <c r="C134" s="303"/>
      <c r="D134" s="303"/>
      <c r="E134" s="303"/>
      <c r="F134" s="303"/>
      <c r="G134" s="303"/>
      <c r="H134" s="303"/>
      <c r="I134" s="303"/>
      <c r="J134" s="307"/>
      <c r="K134" s="308"/>
      <c r="L134" s="309"/>
      <c r="M134" s="309"/>
      <c r="N134" s="306"/>
      <c r="O134" s="303"/>
      <c r="P134" s="303"/>
      <c r="Q134" s="303"/>
      <c r="R134" s="303"/>
      <c r="S134" s="303"/>
      <c r="T134" s="303"/>
      <c r="U134" s="303"/>
      <c r="V134" s="303"/>
      <c r="W134" s="303"/>
      <c r="X134" s="303"/>
      <c r="Y134" s="303"/>
      <c r="Z134" s="303"/>
    </row>
    <row r="135">
      <c r="A135" s="303"/>
      <c r="B135" s="303"/>
      <c r="C135" s="303"/>
      <c r="D135" s="303"/>
      <c r="E135" s="303"/>
      <c r="F135" s="303"/>
      <c r="G135" s="303"/>
      <c r="H135" s="303"/>
      <c r="I135" s="303"/>
      <c r="J135" s="307"/>
      <c r="K135" s="308"/>
      <c r="L135" s="309"/>
      <c r="M135" s="309"/>
      <c r="N135" s="306"/>
      <c r="O135" s="303"/>
      <c r="P135" s="303"/>
      <c r="Q135" s="303"/>
      <c r="R135" s="303"/>
      <c r="S135" s="303"/>
      <c r="T135" s="303"/>
      <c r="U135" s="303"/>
      <c r="V135" s="303"/>
      <c r="W135" s="303"/>
      <c r="X135" s="303"/>
      <c r="Y135" s="303"/>
      <c r="Z135" s="303"/>
    </row>
    <row r="136">
      <c r="A136" s="303"/>
      <c r="B136" s="303"/>
      <c r="C136" s="303"/>
      <c r="D136" s="303"/>
      <c r="E136" s="303"/>
      <c r="F136" s="303"/>
      <c r="G136" s="303"/>
      <c r="H136" s="303"/>
      <c r="I136" s="303"/>
      <c r="J136" s="307"/>
      <c r="K136" s="308"/>
      <c r="L136" s="309"/>
      <c r="M136" s="309"/>
      <c r="N136" s="306"/>
      <c r="O136" s="303"/>
      <c r="P136" s="303"/>
      <c r="Q136" s="303"/>
      <c r="R136" s="303"/>
      <c r="S136" s="303"/>
      <c r="T136" s="303"/>
      <c r="U136" s="303"/>
      <c r="V136" s="303"/>
      <c r="W136" s="303"/>
      <c r="X136" s="303"/>
      <c r="Y136" s="303"/>
      <c r="Z136" s="303"/>
    </row>
    <row r="137">
      <c r="A137" s="303"/>
      <c r="B137" s="303"/>
      <c r="C137" s="303"/>
      <c r="D137" s="303"/>
      <c r="E137" s="303"/>
      <c r="F137" s="303"/>
      <c r="G137" s="303"/>
      <c r="H137" s="303"/>
      <c r="I137" s="303"/>
      <c r="J137" s="307"/>
      <c r="K137" s="308"/>
      <c r="L137" s="309"/>
      <c r="M137" s="309"/>
      <c r="N137" s="306"/>
      <c r="O137" s="303"/>
      <c r="P137" s="303"/>
      <c r="Q137" s="303"/>
      <c r="R137" s="303"/>
      <c r="S137" s="303"/>
      <c r="T137" s="303"/>
      <c r="U137" s="303"/>
      <c r="V137" s="303"/>
      <c r="W137" s="303"/>
      <c r="X137" s="303"/>
      <c r="Y137" s="303"/>
      <c r="Z137" s="303"/>
    </row>
    <row r="138">
      <c r="A138" s="303"/>
      <c r="B138" s="303"/>
      <c r="C138" s="303"/>
      <c r="D138" s="303"/>
      <c r="E138" s="303"/>
      <c r="F138" s="303"/>
      <c r="G138" s="303"/>
      <c r="H138" s="303"/>
      <c r="I138" s="303"/>
      <c r="J138" s="307"/>
      <c r="K138" s="308"/>
      <c r="L138" s="309"/>
      <c r="M138" s="309"/>
      <c r="N138" s="306"/>
      <c r="O138" s="303"/>
      <c r="P138" s="303"/>
      <c r="Q138" s="303"/>
      <c r="R138" s="303"/>
      <c r="S138" s="303"/>
      <c r="T138" s="303"/>
      <c r="U138" s="303"/>
      <c r="V138" s="303"/>
      <c r="W138" s="303"/>
      <c r="X138" s="303"/>
      <c r="Y138" s="303"/>
      <c r="Z138" s="303"/>
    </row>
    <row r="139">
      <c r="A139" s="303"/>
      <c r="B139" s="303"/>
      <c r="C139" s="303"/>
      <c r="D139" s="303"/>
      <c r="E139" s="303"/>
      <c r="F139" s="303"/>
      <c r="G139" s="303"/>
      <c r="H139" s="303"/>
      <c r="I139" s="303"/>
      <c r="J139" s="307"/>
      <c r="K139" s="308"/>
      <c r="L139" s="309"/>
      <c r="M139" s="309"/>
      <c r="N139" s="306"/>
      <c r="O139" s="303"/>
      <c r="P139" s="303"/>
      <c r="Q139" s="303"/>
      <c r="R139" s="303"/>
      <c r="S139" s="303"/>
      <c r="T139" s="303"/>
      <c r="U139" s="303"/>
      <c r="V139" s="303"/>
      <c r="W139" s="303"/>
      <c r="X139" s="303"/>
      <c r="Y139" s="303"/>
      <c r="Z139" s="303"/>
    </row>
    <row r="140">
      <c r="A140" s="303"/>
      <c r="B140" s="303"/>
      <c r="C140" s="303"/>
      <c r="D140" s="303"/>
      <c r="E140" s="303"/>
      <c r="F140" s="303"/>
      <c r="G140" s="303"/>
      <c r="H140" s="303"/>
      <c r="I140" s="303"/>
      <c r="J140" s="307"/>
      <c r="K140" s="308"/>
      <c r="L140" s="309"/>
      <c r="M140" s="309"/>
      <c r="N140" s="306"/>
      <c r="O140" s="303"/>
      <c r="P140" s="303"/>
      <c r="Q140" s="303"/>
      <c r="R140" s="303"/>
      <c r="S140" s="303"/>
      <c r="T140" s="303"/>
      <c r="U140" s="303"/>
      <c r="V140" s="303"/>
      <c r="W140" s="303"/>
      <c r="X140" s="303"/>
      <c r="Y140" s="303"/>
      <c r="Z140" s="303"/>
    </row>
    <row r="141">
      <c r="A141" s="303"/>
      <c r="B141" s="303"/>
      <c r="C141" s="303"/>
      <c r="D141" s="303"/>
      <c r="E141" s="303"/>
      <c r="F141" s="303"/>
      <c r="G141" s="303"/>
      <c r="H141" s="303"/>
      <c r="I141" s="303"/>
      <c r="J141" s="307"/>
      <c r="K141" s="308"/>
      <c r="L141" s="309"/>
      <c r="M141" s="309"/>
      <c r="N141" s="306"/>
      <c r="O141" s="303"/>
      <c r="P141" s="303"/>
      <c r="Q141" s="303"/>
      <c r="R141" s="303"/>
      <c r="S141" s="303"/>
      <c r="T141" s="303"/>
      <c r="U141" s="303"/>
      <c r="V141" s="303"/>
      <c r="W141" s="303"/>
      <c r="X141" s="303"/>
      <c r="Y141" s="303"/>
      <c r="Z141" s="303"/>
    </row>
    <row r="142">
      <c r="A142" s="303"/>
      <c r="B142" s="303"/>
      <c r="C142" s="303"/>
      <c r="D142" s="303"/>
      <c r="E142" s="303"/>
      <c r="F142" s="303"/>
      <c r="G142" s="303"/>
      <c r="H142" s="303"/>
      <c r="I142" s="303"/>
      <c r="J142" s="307"/>
      <c r="K142" s="308"/>
      <c r="L142" s="309"/>
      <c r="M142" s="309"/>
      <c r="N142" s="306"/>
      <c r="O142" s="303"/>
      <c r="P142" s="303"/>
      <c r="Q142" s="303"/>
      <c r="R142" s="303"/>
      <c r="S142" s="303"/>
      <c r="T142" s="303"/>
      <c r="U142" s="303"/>
      <c r="V142" s="303"/>
      <c r="W142" s="303"/>
      <c r="X142" s="303"/>
      <c r="Y142" s="303"/>
      <c r="Z142" s="303"/>
    </row>
    <row r="143">
      <c r="A143" s="303"/>
      <c r="B143" s="303"/>
      <c r="C143" s="303"/>
      <c r="D143" s="303"/>
      <c r="E143" s="303"/>
      <c r="F143" s="303"/>
      <c r="G143" s="303"/>
      <c r="H143" s="303"/>
      <c r="I143" s="303"/>
      <c r="J143" s="307"/>
      <c r="K143" s="308"/>
      <c r="L143" s="309"/>
      <c r="M143" s="309"/>
      <c r="N143" s="306"/>
      <c r="O143" s="303"/>
      <c r="P143" s="303"/>
      <c r="Q143" s="303"/>
      <c r="R143" s="303"/>
      <c r="S143" s="303"/>
      <c r="T143" s="303"/>
      <c r="U143" s="303"/>
      <c r="V143" s="303"/>
      <c r="W143" s="303"/>
      <c r="X143" s="303"/>
      <c r="Y143" s="303"/>
      <c r="Z143" s="303"/>
    </row>
    <row r="144">
      <c r="A144" s="303"/>
      <c r="B144" s="303"/>
      <c r="C144" s="303"/>
      <c r="D144" s="303"/>
      <c r="E144" s="303"/>
      <c r="F144" s="303"/>
      <c r="G144" s="303"/>
      <c r="H144" s="303"/>
      <c r="I144" s="303"/>
      <c r="J144" s="307"/>
      <c r="K144" s="308"/>
      <c r="L144" s="309"/>
      <c r="M144" s="309"/>
      <c r="N144" s="306"/>
      <c r="O144" s="303"/>
      <c r="P144" s="303"/>
      <c r="Q144" s="303"/>
      <c r="R144" s="303"/>
      <c r="S144" s="303"/>
      <c r="T144" s="303"/>
      <c r="U144" s="303"/>
      <c r="V144" s="303"/>
      <c r="W144" s="303"/>
      <c r="X144" s="303"/>
      <c r="Y144" s="303"/>
      <c r="Z144" s="303"/>
    </row>
    <row r="145">
      <c r="A145" s="303"/>
      <c r="B145" s="303"/>
      <c r="C145" s="303"/>
      <c r="D145" s="303"/>
      <c r="E145" s="303"/>
      <c r="F145" s="303"/>
      <c r="G145" s="303"/>
      <c r="H145" s="303"/>
      <c r="I145" s="303"/>
      <c r="J145" s="307"/>
      <c r="K145" s="308"/>
      <c r="L145" s="309"/>
      <c r="M145" s="309"/>
      <c r="N145" s="306"/>
      <c r="O145" s="303"/>
      <c r="P145" s="303"/>
      <c r="Q145" s="303"/>
      <c r="R145" s="303"/>
      <c r="S145" s="303"/>
      <c r="T145" s="303"/>
      <c r="U145" s="303"/>
      <c r="V145" s="303"/>
      <c r="W145" s="303"/>
      <c r="X145" s="303"/>
      <c r="Y145" s="303"/>
      <c r="Z145" s="303"/>
    </row>
    <row r="146">
      <c r="A146" s="303"/>
      <c r="B146" s="303"/>
      <c r="C146" s="303"/>
      <c r="D146" s="303"/>
      <c r="E146" s="303"/>
      <c r="F146" s="303"/>
      <c r="G146" s="303"/>
      <c r="H146" s="303"/>
      <c r="I146" s="303"/>
      <c r="J146" s="307"/>
      <c r="K146" s="308"/>
      <c r="L146" s="309"/>
      <c r="M146" s="309"/>
      <c r="N146" s="306"/>
      <c r="O146" s="303"/>
      <c r="P146" s="303"/>
      <c r="Q146" s="303"/>
      <c r="R146" s="303"/>
      <c r="S146" s="303"/>
      <c r="T146" s="303"/>
      <c r="U146" s="303"/>
      <c r="V146" s="303"/>
      <c r="W146" s="303"/>
      <c r="X146" s="303"/>
      <c r="Y146" s="303"/>
      <c r="Z146" s="303"/>
    </row>
    <row r="147">
      <c r="A147" s="303"/>
      <c r="B147" s="303"/>
      <c r="C147" s="303"/>
      <c r="D147" s="303"/>
      <c r="E147" s="303"/>
      <c r="F147" s="303"/>
      <c r="G147" s="303"/>
      <c r="H147" s="303"/>
      <c r="I147" s="303"/>
      <c r="J147" s="307"/>
      <c r="K147" s="308"/>
      <c r="L147" s="309"/>
      <c r="M147" s="309"/>
      <c r="N147" s="306"/>
      <c r="O147" s="303"/>
      <c r="P147" s="303"/>
      <c r="Q147" s="303"/>
      <c r="R147" s="303"/>
      <c r="S147" s="303"/>
      <c r="T147" s="303"/>
      <c r="U147" s="303"/>
      <c r="V147" s="303"/>
      <c r="W147" s="303"/>
      <c r="X147" s="303"/>
      <c r="Y147" s="303"/>
      <c r="Z147" s="303"/>
    </row>
    <row r="148">
      <c r="A148" s="303"/>
      <c r="B148" s="303"/>
      <c r="C148" s="303"/>
      <c r="D148" s="303"/>
      <c r="E148" s="303"/>
      <c r="F148" s="303"/>
      <c r="G148" s="303"/>
      <c r="H148" s="303"/>
      <c r="I148" s="303"/>
      <c r="J148" s="307"/>
      <c r="K148" s="308"/>
      <c r="L148" s="309"/>
      <c r="M148" s="309"/>
      <c r="N148" s="306"/>
      <c r="O148" s="303"/>
      <c r="P148" s="303"/>
      <c r="Q148" s="303"/>
      <c r="R148" s="303"/>
      <c r="S148" s="303"/>
      <c r="T148" s="303"/>
      <c r="U148" s="303"/>
      <c r="V148" s="303"/>
      <c r="W148" s="303"/>
      <c r="X148" s="303"/>
      <c r="Y148" s="303"/>
      <c r="Z148" s="303"/>
    </row>
    <row r="149">
      <c r="A149" s="303"/>
      <c r="B149" s="303"/>
      <c r="C149" s="303"/>
      <c r="D149" s="303"/>
      <c r="E149" s="303"/>
      <c r="F149" s="303"/>
      <c r="G149" s="303"/>
      <c r="H149" s="303"/>
      <c r="I149" s="303"/>
      <c r="J149" s="307"/>
      <c r="K149" s="308"/>
      <c r="L149" s="309"/>
      <c r="M149" s="309"/>
      <c r="N149" s="306"/>
      <c r="O149" s="303"/>
      <c r="P149" s="303"/>
      <c r="Q149" s="303"/>
      <c r="R149" s="303"/>
      <c r="S149" s="303"/>
      <c r="T149" s="303"/>
      <c r="U149" s="303"/>
      <c r="V149" s="303"/>
      <c r="W149" s="303"/>
      <c r="X149" s="303"/>
      <c r="Y149" s="303"/>
      <c r="Z149" s="303"/>
    </row>
    <row r="150">
      <c r="A150" s="303"/>
      <c r="B150" s="303"/>
      <c r="C150" s="303"/>
      <c r="D150" s="303"/>
      <c r="E150" s="303"/>
      <c r="F150" s="303"/>
      <c r="G150" s="303"/>
      <c r="H150" s="303"/>
      <c r="I150" s="303"/>
      <c r="J150" s="307"/>
      <c r="K150" s="308"/>
      <c r="L150" s="309"/>
      <c r="M150" s="309"/>
      <c r="N150" s="306"/>
      <c r="O150" s="303"/>
      <c r="P150" s="303"/>
      <c r="Q150" s="303"/>
      <c r="R150" s="303"/>
      <c r="S150" s="303"/>
      <c r="T150" s="303"/>
      <c r="U150" s="303"/>
      <c r="V150" s="303"/>
      <c r="W150" s="303"/>
      <c r="X150" s="303"/>
      <c r="Y150" s="303"/>
      <c r="Z150" s="303"/>
    </row>
    <row r="151">
      <c r="A151" s="303"/>
      <c r="B151" s="303"/>
      <c r="C151" s="303"/>
      <c r="D151" s="303"/>
      <c r="E151" s="303"/>
      <c r="F151" s="303"/>
      <c r="G151" s="303"/>
      <c r="H151" s="303"/>
      <c r="I151" s="303"/>
      <c r="J151" s="307"/>
      <c r="K151" s="308"/>
      <c r="L151" s="309"/>
      <c r="M151" s="309"/>
      <c r="N151" s="306"/>
      <c r="O151" s="303"/>
      <c r="P151" s="303"/>
      <c r="Q151" s="303"/>
      <c r="R151" s="303"/>
      <c r="S151" s="303"/>
      <c r="T151" s="303"/>
      <c r="U151" s="303"/>
      <c r="V151" s="303"/>
      <c r="W151" s="303"/>
      <c r="X151" s="303"/>
      <c r="Y151" s="303"/>
      <c r="Z151" s="303"/>
    </row>
    <row r="152">
      <c r="A152" s="303"/>
      <c r="B152" s="303"/>
      <c r="C152" s="303"/>
      <c r="D152" s="303"/>
      <c r="E152" s="303"/>
      <c r="F152" s="303"/>
      <c r="G152" s="303"/>
      <c r="H152" s="303"/>
      <c r="I152" s="303"/>
      <c r="J152" s="307"/>
      <c r="K152" s="308"/>
      <c r="L152" s="309"/>
      <c r="M152" s="309"/>
      <c r="N152" s="306"/>
      <c r="O152" s="303"/>
      <c r="P152" s="303"/>
      <c r="Q152" s="303"/>
      <c r="R152" s="303"/>
      <c r="S152" s="303"/>
      <c r="T152" s="303"/>
      <c r="U152" s="303"/>
      <c r="V152" s="303"/>
      <c r="W152" s="303"/>
      <c r="X152" s="303"/>
      <c r="Y152" s="303"/>
      <c r="Z152" s="303"/>
    </row>
    <row r="153">
      <c r="A153" s="303"/>
      <c r="B153" s="303"/>
      <c r="C153" s="303"/>
      <c r="D153" s="303"/>
      <c r="E153" s="303"/>
      <c r="F153" s="303"/>
      <c r="G153" s="303"/>
      <c r="H153" s="303"/>
      <c r="I153" s="303"/>
      <c r="J153" s="307"/>
      <c r="K153" s="308"/>
      <c r="L153" s="309"/>
      <c r="M153" s="309"/>
      <c r="N153" s="306"/>
      <c r="O153" s="303"/>
      <c r="P153" s="303"/>
      <c r="Q153" s="303"/>
      <c r="R153" s="303"/>
      <c r="S153" s="303"/>
      <c r="T153" s="303"/>
      <c r="U153" s="303"/>
      <c r="V153" s="303"/>
      <c r="W153" s="303"/>
      <c r="X153" s="303"/>
      <c r="Y153" s="303"/>
      <c r="Z153" s="303"/>
    </row>
    <row r="154">
      <c r="A154" s="303"/>
      <c r="B154" s="303"/>
      <c r="C154" s="303"/>
      <c r="D154" s="303"/>
      <c r="E154" s="303"/>
      <c r="F154" s="303"/>
      <c r="G154" s="303"/>
      <c r="H154" s="303"/>
      <c r="I154" s="303"/>
      <c r="J154" s="307"/>
      <c r="K154" s="308"/>
      <c r="L154" s="309"/>
      <c r="M154" s="309"/>
      <c r="N154" s="306"/>
      <c r="O154" s="303"/>
      <c r="P154" s="303"/>
      <c r="Q154" s="303"/>
      <c r="R154" s="303"/>
      <c r="S154" s="303"/>
      <c r="T154" s="303"/>
      <c r="U154" s="303"/>
      <c r="V154" s="303"/>
      <c r="W154" s="303"/>
      <c r="X154" s="303"/>
      <c r="Y154" s="303"/>
      <c r="Z154" s="303"/>
    </row>
    <row r="155">
      <c r="A155" s="303"/>
      <c r="B155" s="303"/>
      <c r="C155" s="303"/>
      <c r="D155" s="303"/>
      <c r="E155" s="303"/>
      <c r="F155" s="303"/>
      <c r="G155" s="303"/>
      <c r="H155" s="303"/>
      <c r="I155" s="303"/>
      <c r="J155" s="307"/>
      <c r="K155" s="308"/>
      <c r="L155" s="309"/>
      <c r="M155" s="309"/>
      <c r="N155" s="306"/>
      <c r="O155" s="303"/>
      <c r="P155" s="303"/>
      <c r="Q155" s="303"/>
      <c r="R155" s="303"/>
      <c r="S155" s="303"/>
      <c r="T155" s="303"/>
      <c r="U155" s="303"/>
      <c r="V155" s="303"/>
      <c r="W155" s="303"/>
      <c r="X155" s="303"/>
      <c r="Y155" s="303"/>
      <c r="Z155" s="303"/>
    </row>
    <row r="156">
      <c r="A156" s="303"/>
      <c r="B156" s="303"/>
      <c r="C156" s="303"/>
      <c r="D156" s="303"/>
      <c r="E156" s="303"/>
      <c r="F156" s="303"/>
      <c r="G156" s="303"/>
      <c r="H156" s="303"/>
      <c r="I156" s="303"/>
      <c r="J156" s="307"/>
      <c r="K156" s="308"/>
      <c r="L156" s="309"/>
      <c r="M156" s="309"/>
      <c r="N156" s="306"/>
      <c r="O156" s="303"/>
      <c r="P156" s="303"/>
      <c r="Q156" s="303"/>
      <c r="R156" s="303"/>
      <c r="S156" s="303"/>
      <c r="T156" s="303"/>
      <c r="U156" s="303"/>
      <c r="V156" s="303"/>
      <c r="W156" s="303"/>
      <c r="X156" s="303"/>
      <c r="Y156" s="303"/>
      <c r="Z156" s="303"/>
    </row>
    <row r="157">
      <c r="A157" s="303"/>
      <c r="B157" s="303"/>
      <c r="C157" s="303"/>
      <c r="D157" s="303"/>
      <c r="E157" s="303"/>
      <c r="F157" s="303"/>
      <c r="G157" s="303"/>
      <c r="H157" s="303"/>
      <c r="I157" s="303"/>
      <c r="J157" s="307"/>
      <c r="K157" s="308"/>
      <c r="L157" s="309"/>
      <c r="M157" s="309"/>
      <c r="N157" s="306"/>
      <c r="O157" s="303"/>
      <c r="P157" s="303"/>
      <c r="Q157" s="303"/>
      <c r="R157" s="303"/>
      <c r="S157" s="303"/>
      <c r="T157" s="303"/>
      <c r="U157" s="303"/>
      <c r="V157" s="303"/>
      <c r="W157" s="303"/>
      <c r="X157" s="303"/>
      <c r="Y157" s="303"/>
      <c r="Z157" s="303"/>
    </row>
    <row r="158">
      <c r="A158" s="303"/>
      <c r="B158" s="303"/>
      <c r="C158" s="303"/>
      <c r="D158" s="303"/>
      <c r="E158" s="303"/>
      <c r="F158" s="303"/>
      <c r="G158" s="303"/>
      <c r="H158" s="303"/>
      <c r="I158" s="303"/>
      <c r="J158" s="307"/>
      <c r="K158" s="308"/>
      <c r="L158" s="309"/>
      <c r="M158" s="309"/>
      <c r="N158" s="306"/>
      <c r="O158" s="303"/>
      <c r="P158" s="303"/>
      <c r="Q158" s="303"/>
      <c r="R158" s="303"/>
      <c r="S158" s="303"/>
      <c r="T158" s="303"/>
      <c r="U158" s="303"/>
      <c r="V158" s="303"/>
      <c r="W158" s="303"/>
      <c r="X158" s="303"/>
      <c r="Y158" s="303"/>
      <c r="Z158" s="303"/>
    </row>
    <row r="159">
      <c r="A159" s="303"/>
      <c r="B159" s="303"/>
      <c r="C159" s="303"/>
      <c r="D159" s="303"/>
      <c r="E159" s="303"/>
      <c r="F159" s="303"/>
      <c r="G159" s="303"/>
      <c r="H159" s="303"/>
      <c r="I159" s="303"/>
      <c r="J159" s="307"/>
      <c r="K159" s="308"/>
      <c r="L159" s="309"/>
      <c r="M159" s="309"/>
      <c r="N159" s="306"/>
      <c r="O159" s="303"/>
      <c r="P159" s="303"/>
      <c r="Q159" s="303"/>
      <c r="R159" s="303"/>
      <c r="S159" s="303"/>
      <c r="T159" s="303"/>
      <c r="U159" s="303"/>
      <c r="V159" s="303"/>
      <c r="W159" s="303"/>
      <c r="X159" s="303"/>
      <c r="Y159" s="303"/>
      <c r="Z159" s="303"/>
    </row>
    <row r="160">
      <c r="A160" s="303"/>
      <c r="B160" s="303"/>
      <c r="C160" s="303"/>
      <c r="D160" s="303"/>
      <c r="E160" s="303"/>
      <c r="F160" s="303"/>
      <c r="G160" s="303"/>
      <c r="H160" s="303"/>
      <c r="I160" s="303"/>
      <c r="J160" s="307"/>
      <c r="K160" s="308"/>
      <c r="L160" s="309"/>
      <c r="M160" s="309"/>
      <c r="N160" s="306"/>
      <c r="O160" s="303"/>
      <c r="P160" s="303"/>
      <c r="Q160" s="303"/>
      <c r="R160" s="303"/>
      <c r="S160" s="303"/>
      <c r="T160" s="303"/>
      <c r="U160" s="303"/>
      <c r="V160" s="303"/>
      <c r="W160" s="303"/>
      <c r="X160" s="303"/>
      <c r="Y160" s="303"/>
      <c r="Z160" s="303"/>
    </row>
    <row r="161">
      <c r="A161" s="303"/>
      <c r="B161" s="303"/>
      <c r="C161" s="303"/>
      <c r="D161" s="303"/>
      <c r="E161" s="303"/>
      <c r="F161" s="303"/>
      <c r="G161" s="303"/>
      <c r="H161" s="303"/>
      <c r="I161" s="303"/>
      <c r="J161" s="307"/>
      <c r="K161" s="308"/>
      <c r="L161" s="309"/>
      <c r="M161" s="309"/>
      <c r="N161" s="306"/>
      <c r="O161" s="303"/>
      <c r="P161" s="303"/>
      <c r="Q161" s="303"/>
      <c r="R161" s="303"/>
      <c r="S161" s="303"/>
      <c r="T161" s="303"/>
      <c r="U161" s="303"/>
      <c r="V161" s="303"/>
      <c r="W161" s="303"/>
      <c r="X161" s="303"/>
      <c r="Y161" s="303"/>
      <c r="Z161" s="303"/>
    </row>
    <row r="162">
      <c r="A162" s="303"/>
      <c r="B162" s="303"/>
      <c r="C162" s="303"/>
      <c r="D162" s="303"/>
      <c r="E162" s="303"/>
      <c r="F162" s="303"/>
      <c r="G162" s="303"/>
      <c r="H162" s="303"/>
      <c r="I162" s="303"/>
      <c r="J162" s="307"/>
      <c r="K162" s="308"/>
      <c r="L162" s="309"/>
      <c r="M162" s="309"/>
      <c r="N162" s="306"/>
      <c r="O162" s="303"/>
      <c r="P162" s="303"/>
      <c r="Q162" s="303"/>
      <c r="R162" s="303"/>
      <c r="S162" s="303"/>
      <c r="T162" s="303"/>
      <c r="U162" s="303"/>
      <c r="V162" s="303"/>
      <c r="W162" s="303"/>
      <c r="X162" s="303"/>
      <c r="Y162" s="303"/>
      <c r="Z162" s="303"/>
    </row>
    <row r="163">
      <c r="A163" s="303"/>
      <c r="B163" s="303"/>
      <c r="C163" s="303"/>
      <c r="D163" s="303"/>
      <c r="E163" s="303"/>
      <c r="F163" s="303"/>
      <c r="G163" s="303"/>
      <c r="H163" s="303"/>
      <c r="I163" s="303"/>
      <c r="J163" s="307"/>
      <c r="K163" s="308"/>
      <c r="L163" s="309"/>
      <c r="M163" s="309"/>
      <c r="N163" s="306"/>
      <c r="O163" s="303"/>
      <c r="P163" s="303"/>
      <c r="Q163" s="303"/>
      <c r="R163" s="303"/>
      <c r="S163" s="303"/>
      <c r="T163" s="303"/>
      <c r="U163" s="303"/>
      <c r="V163" s="303"/>
      <c r="W163" s="303"/>
      <c r="X163" s="303"/>
      <c r="Y163" s="303"/>
      <c r="Z163" s="303"/>
    </row>
    <row r="164">
      <c r="A164" s="303"/>
      <c r="B164" s="303"/>
      <c r="C164" s="303"/>
      <c r="D164" s="303"/>
      <c r="E164" s="303"/>
      <c r="F164" s="303"/>
      <c r="G164" s="303"/>
      <c r="H164" s="303"/>
      <c r="I164" s="303"/>
      <c r="J164" s="307"/>
      <c r="K164" s="308"/>
      <c r="L164" s="309"/>
      <c r="M164" s="309"/>
      <c r="N164" s="306"/>
      <c r="O164" s="303"/>
      <c r="P164" s="303"/>
      <c r="Q164" s="303"/>
      <c r="R164" s="303"/>
      <c r="S164" s="303"/>
      <c r="T164" s="303"/>
      <c r="U164" s="303"/>
      <c r="V164" s="303"/>
      <c r="W164" s="303"/>
      <c r="X164" s="303"/>
      <c r="Y164" s="303"/>
      <c r="Z164" s="303"/>
    </row>
    <row r="165">
      <c r="A165" s="303"/>
      <c r="B165" s="303"/>
      <c r="C165" s="303"/>
      <c r="D165" s="303"/>
      <c r="E165" s="303"/>
      <c r="F165" s="303"/>
      <c r="G165" s="303"/>
      <c r="H165" s="303"/>
      <c r="I165" s="303"/>
      <c r="J165" s="307"/>
      <c r="K165" s="308"/>
      <c r="L165" s="309"/>
      <c r="M165" s="309"/>
      <c r="N165" s="306"/>
      <c r="O165" s="303"/>
      <c r="P165" s="303"/>
      <c r="Q165" s="303"/>
      <c r="R165" s="303"/>
      <c r="S165" s="303"/>
      <c r="T165" s="303"/>
      <c r="U165" s="303"/>
      <c r="V165" s="303"/>
      <c r="W165" s="303"/>
      <c r="X165" s="303"/>
      <c r="Y165" s="303"/>
      <c r="Z165" s="303"/>
    </row>
    <row r="166">
      <c r="A166" s="303"/>
      <c r="B166" s="303"/>
      <c r="C166" s="303"/>
      <c r="D166" s="303"/>
      <c r="E166" s="303"/>
      <c r="F166" s="303"/>
      <c r="G166" s="303"/>
      <c r="H166" s="303"/>
      <c r="I166" s="303"/>
      <c r="J166" s="307"/>
      <c r="K166" s="308"/>
      <c r="L166" s="309"/>
      <c r="M166" s="309"/>
      <c r="N166" s="306"/>
      <c r="O166" s="303"/>
      <c r="P166" s="303"/>
      <c r="Q166" s="303"/>
      <c r="R166" s="303"/>
      <c r="S166" s="303"/>
      <c r="T166" s="303"/>
      <c r="U166" s="303"/>
      <c r="V166" s="303"/>
      <c r="W166" s="303"/>
      <c r="X166" s="303"/>
      <c r="Y166" s="303"/>
      <c r="Z166" s="303"/>
    </row>
    <row r="167">
      <c r="A167" s="303"/>
      <c r="B167" s="303"/>
      <c r="C167" s="303"/>
      <c r="D167" s="303"/>
      <c r="E167" s="303"/>
      <c r="F167" s="303"/>
      <c r="G167" s="303"/>
      <c r="H167" s="303"/>
      <c r="I167" s="303"/>
      <c r="J167" s="307"/>
      <c r="K167" s="308"/>
      <c r="L167" s="309"/>
      <c r="M167" s="309"/>
      <c r="N167" s="306"/>
      <c r="O167" s="303"/>
      <c r="P167" s="303"/>
      <c r="Q167" s="303"/>
      <c r="R167" s="303"/>
      <c r="S167" s="303"/>
      <c r="T167" s="303"/>
      <c r="U167" s="303"/>
      <c r="V167" s="303"/>
      <c r="W167" s="303"/>
      <c r="X167" s="303"/>
      <c r="Y167" s="303"/>
      <c r="Z167" s="303"/>
    </row>
    <row r="168">
      <c r="A168" s="303"/>
      <c r="B168" s="303"/>
      <c r="C168" s="303"/>
      <c r="D168" s="303"/>
      <c r="E168" s="303"/>
      <c r="F168" s="303"/>
      <c r="G168" s="303"/>
      <c r="H168" s="303"/>
      <c r="I168" s="303"/>
      <c r="J168" s="307"/>
      <c r="K168" s="308"/>
      <c r="L168" s="309"/>
      <c r="M168" s="309"/>
      <c r="N168" s="306"/>
      <c r="O168" s="303"/>
      <c r="P168" s="303"/>
      <c r="Q168" s="303"/>
      <c r="R168" s="303"/>
      <c r="S168" s="303"/>
      <c r="T168" s="303"/>
      <c r="U168" s="303"/>
      <c r="V168" s="303"/>
      <c r="W168" s="303"/>
      <c r="X168" s="303"/>
      <c r="Y168" s="303"/>
      <c r="Z168" s="303"/>
    </row>
    <row r="169">
      <c r="A169" s="303"/>
      <c r="B169" s="303"/>
      <c r="C169" s="303"/>
      <c r="D169" s="303"/>
      <c r="E169" s="303"/>
      <c r="F169" s="303"/>
      <c r="G169" s="303"/>
      <c r="H169" s="303"/>
      <c r="I169" s="303"/>
      <c r="J169" s="307"/>
      <c r="K169" s="308"/>
      <c r="L169" s="309"/>
      <c r="M169" s="309"/>
      <c r="N169" s="306"/>
      <c r="O169" s="303"/>
      <c r="P169" s="303"/>
      <c r="Q169" s="303"/>
      <c r="R169" s="303"/>
      <c r="S169" s="303"/>
      <c r="T169" s="303"/>
      <c r="U169" s="303"/>
      <c r="V169" s="303"/>
      <c r="W169" s="303"/>
      <c r="X169" s="303"/>
      <c r="Y169" s="303"/>
      <c r="Z169" s="303"/>
    </row>
    <row r="170">
      <c r="A170" s="303"/>
      <c r="B170" s="303"/>
      <c r="C170" s="303"/>
      <c r="D170" s="303"/>
      <c r="E170" s="303"/>
      <c r="F170" s="303"/>
      <c r="G170" s="303"/>
      <c r="H170" s="303"/>
      <c r="I170" s="303"/>
      <c r="J170" s="307"/>
      <c r="K170" s="308"/>
      <c r="L170" s="309"/>
      <c r="M170" s="309"/>
      <c r="N170" s="306"/>
      <c r="O170" s="303"/>
      <c r="P170" s="303"/>
      <c r="Q170" s="303"/>
      <c r="R170" s="303"/>
      <c r="S170" s="303"/>
      <c r="T170" s="303"/>
      <c r="U170" s="303"/>
      <c r="V170" s="303"/>
      <c r="W170" s="303"/>
      <c r="X170" s="303"/>
      <c r="Y170" s="303"/>
      <c r="Z170" s="303"/>
    </row>
    <row r="171">
      <c r="A171" s="303"/>
      <c r="B171" s="303"/>
      <c r="C171" s="303"/>
      <c r="D171" s="303"/>
      <c r="E171" s="303"/>
      <c r="F171" s="303"/>
      <c r="G171" s="303"/>
      <c r="H171" s="303"/>
      <c r="I171" s="303"/>
      <c r="J171" s="307"/>
      <c r="K171" s="308"/>
      <c r="L171" s="309"/>
      <c r="M171" s="309"/>
      <c r="N171" s="306"/>
      <c r="O171" s="303"/>
      <c r="P171" s="303"/>
      <c r="Q171" s="303"/>
      <c r="R171" s="303"/>
      <c r="S171" s="303"/>
      <c r="T171" s="303"/>
      <c r="U171" s="303"/>
      <c r="V171" s="303"/>
      <c r="W171" s="303"/>
      <c r="X171" s="303"/>
      <c r="Y171" s="303"/>
      <c r="Z171" s="303"/>
    </row>
    <row r="172">
      <c r="A172" s="303"/>
      <c r="B172" s="303"/>
      <c r="C172" s="303"/>
      <c r="D172" s="303"/>
      <c r="E172" s="303"/>
      <c r="F172" s="303"/>
      <c r="G172" s="303"/>
      <c r="H172" s="303"/>
      <c r="I172" s="303"/>
      <c r="J172" s="307"/>
      <c r="K172" s="308"/>
      <c r="L172" s="309"/>
      <c r="M172" s="309"/>
      <c r="N172" s="306"/>
      <c r="O172" s="303"/>
      <c r="P172" s="303"/>
      <c r="Q172" s="303"/>
      <c r="R172" s="303"/>
      <c r="S172" s="303"/>
      <c r="T172" s="303"/>
      <c r="U172" s="303"/>
      <c r="V172" s="303"/>
      <c r="W172" s="303"/>
      <c r="X172" s="303"/>
      <c r="Y172" s="303"/>
      <c r="Z172" s="303"/>
    </row>
    <row r="173">
      <c r="A173" s="303"/>
      <c r="B173" s="303"/>
      <c r="C173" s="303"/>
      <c r="D173" s="303"/>
      <c r="E173" s="303"/>
      <c r="F173" s="303"/>
      <c r="G173" s="303"/>
      <c r="H173" s="303"/>
      <c r="I173" s="303"/>
      <c r="J173" s="307"/>
      <c r="K173" s="308"/>
      <c r="L173" s="309"/>
      <c r="M173" s="309"/>
      <c r="N173" s="306"/>
      <c r="O173" s="303"/>
      <c r="P173" s="303"/>
      <c r="Q173" s="303"/>
      <c r="R173" s="303"/>
      <c r="S173" s="303"/>
      <c r="T173" s="303"/>
      <c r="U173" s="303"/>
      <c r="V173" s="303"/>
      <c r="W173" s="303"/>
      <c r="X173" s="303"/>
      <c r="Y173" s="303"/>
      <c r="Z173" s="303"/>
    </row>
    <row r="174">
      <c r="A174" s="303"/>
      <c r="B174" s="303"/>
      <c r="C174" s="303"/>
      <c r="D174" s="303"/>
      <c r="E174" s="303"/>
      <c r="F174" s="303"/>
      <c r="G174" s="303"/>
      <c r="H174" s="303"/>
      <c r="I174" s="303"/>
      <c r="J174" s="307"/>
      <c r="K174" s="308"/>
      <c r="L174" s="309"/>
      <c r="M174" s="309"/>
      <c r="N174" s="306"/>
      <c r="O174" s="303"/>
      <c r="P174" s="303"/>
      <c r="Q174" s="303"/>
      <c r="R174" s="303"/>
      <c r="S174" s="303"/>
      <c r="T174" s="303"/>
      <c r="U174" s="303"/>
      <c r="V174" s="303"/>
      <c r="W174" s="303"/>
      <c r="X174" s="303"/>
      <c r="Y174" s="303"/>
      <c r="Z174" s="303"/>
    </row>
    <row r="175">
      <c r="A175" s="303"/>
      <c r="B175" s="303"/>
      <c r="C175" s="303"/>
      <c r="D175" s="303"/>
      <c r="E175" s="303"/>
      <c r="F175" s="303"/>
      <c r="G175" s="303"/>
      <c r="H175" s="303"/>
      <c r="I175" s="303"/>
      <c r="J175" s="307"/>
      <c r="K175" s="308"/>
      <c r="L175" s="309"/>
      <c r="M175" s="309"/>
      <c r="N175" s="306"/>
      <c r="O175" s="303"/>
      <c r="P175" s="303"/>
      <c r="Q175" s="303"/>
      <c r="R175" s="303"/>
      <c r="S175" s="303"/>
      <c r="T175" s="303"/>
      <c r="U175" s="303"/>
      <c r="V175" s="303"/>
      <c r="W175" s="303"/>
      <c r="X175" s="303"/>
      <c r="Y175" s="303"/>
      <c r="Z175" s="303"/>
    </row>
    <row r="176">
      <c r="A176" s="303"/>
      <c r="B176" s="303"/>
      <c r="C176" s="303"/>
      <c r="D176" s="303"/>
      <c r="E176" s="303"/>
      <c r="F176" s="303"/>
      <c r="G176" s="303"/>
      <c r="H176" s="303"/>
      <c r="I176" s="303"/>
      <c r="J176" s="307"/>
      <c r="K176" s="308"/>
      <c r="L176" s="309"/>
      <c r="M176" s="309"/>
      <c r="N176" s="306"/>
      <c r="O176" s="303"/>
      <c r="P176" s="303"/>
      <c r="Q176" s="303"/>
      <c r="R176" s="303"/>
      <c r="S176" s="303"/>
      <c r="T176" s="303"/>
      <c r="U176" s="303"/>
      <c r="V176" s="303"/>
      <c r="W176" s="303"/>
      <c r="X176" s="303"/>
      <c r="Y176" s="303"/>
      <c r="Z176" s="303"/>
    </row>
    <row r="177">
      <c r="A177" s="303"/>
      <c r="B177" s="303"/>
      <c r="C177" s="303"/>
      <c r="D177" s="303"/>
      <c r="E177" s="303"/>
      <c r="F177" s="303"/>
      <c r="G177" s="303"/>
      <c r="H177" s="303"/>
      <c r="I177" s="303"/>
      <c r="J177" s="307"/>
      <c r="K177" s="308"/>
      <c r="L177" s="309"/>
      <c r="M177" s="309"/>
      <c r="N177" s="306"/>
      <c r="O177" s="303"/>
      <c r="P177" s="303"/>
      <c r="Q177" s="303"/>
      <c r="R177" s="303"/>
      <c r="S177" s="303"/>
      <c r="T177" s="303"/>
      <c r="U177" s="303"/>
      <c r="V177" s="303"/>
      <c r="W177" s="303"/>
      <c r="X177" s="303"/>
      <c r="Y177" s="303"/>
      <c r="Z177" s="303"/>
    </row>
    <row r="178">
      <c r="A178" s="303"/>
      <c r="B178" s="303"/>
      <c r="C178" s="303"/>
      <c r="D178" s="303"/>
      <c r="E178" s="303"/>
      <c r="F178" s="303"/>
      <c r="G178" s="303"/>
      <c r="H178" s="303"/>
      <c r="I178" s="303"/>
      <c r="J178" s="307"/>
      <c r="K178" s="308"/>
      <c r="L178" s="309"/>
      <c r="M178" s="309"/>
      <c r="N178" s="306"/>
      <c r="O178" s="303"/>
      <c r="P178" s="303"/>
      <c r="Q178" s="303"/>
      <c r="R178" s="303"/>
      <c r="S178" s="303"/>
      <c r="T178" s="303"/>
      <c r="U178" s="303"/>
      <c r="V178" s="303"/>
      <c r="W178" s="303"/>
      <c r="X178" s="303"/>
      <c r="Y178" s="303"/>
      <c r="Z178" s="303"/>
    </row>
    <row r="179">
      <c r="A179" s="303"/>
      <c r="B179" s="303"/>
      <c r="C179" s="303"/>
      <c r="D179" s="303"/>
      <c r="E179" s="303"/>
      <c r="F179" s="303"/>
      <c r="G179" s="303"/>
      <c r="H179" s="303"/>
      <c r="I179" s="303"/>
      <c r="J179" s="307"/>
      <c r="K179" s="308"/>
      <c r="L179" s="309"/>
      <c r="M179" s="309"/>
      <c r="N179" s="306"/>
      <c r="O179" s="303"/>
      <c r="P179" s="303"/>
      <c r="Q179" s="303"/>
      <c r="R179" s="303"/>
      <c r="S179" s="303"/>
      <c r="T179" s="303"/>
      <c r="U179" s="303"/>
      <c r="V179" s="303"/>
      <c r="W179" s="303"/>
      <c r="X179" s="303"/>
      <c r="Y179" s="303"/>
      <c r="Z179" s="303"/>
    </row>
    <row r="180">
      <c r="A180" s="303"/>
      <c r="B180" s="303"/>
      <c r="C180" s="303"/>
      <c r="D180" s="303"/>
      <c r="E180" s="303"/>
      <c r="F180" s="303"/>
      <c r="G180" s="303"/>
      <c r="H180" s="303"/>
      <c r="I180" s="303"/>
      <c r="J180" s="307"/>
      <c r="K180" s="308"/>
      <c r="L180" s="309"/>
      <c r="M180" s="309"/>
      <c r="N180" s="306"/>
      <c r="O180" s="303"/>
      <c r="P180" s="303"/>
      <c r="Q180" s="303"/>
      <c r="R180" s="303"/>
      <c r="S180" s="303"/>
      <c r="T180" s="303"/>
      <c r="U180" s="303"/>
      <c r="V180" s="303"/>
      <c r="W180" s="303"/>
      <c r="X180" s="303"/>
      <c r="Y180" s="303"/>
      <c r="Z180" s="303"/>
    </row>
    <row r="181">
      <c r="A181" s="303"/>
      <c r="B181" s="303"/>
      <c r="C181" s="303"/>
      <c r="D181" s="303"/>
      <c r="E181" s="303"/>
      <c r="F181" s="303"/>
      <c r="G181" s="303"/>
      <c r="H181" s="303"/>
      <c r="I181" s="303"/>
      <c r="J181" s="307"/>
      <c r="K181" s="308"/>
      <c r="L181" s="309"/>
      <c r="M181" s="309"/>
      <c r="N181" s="306"/>
      <c r="O181" s="303"/>
      <c r="P181" s="303"/>
      <c r="Q181" s="303"/>
      <c r="R181" s="303"/>
      <c r="S181" s="303"/>
      <c r="T181" s="303"/>
      <c r="U181" s="303"/>
      <c r="V181" s="303"/>
      <c r="W181" s="303"/>
      <c r="X181" s="303"/>
      <c r="Y181" s="303"/>
      <c r="Z181" s="303"/>
    </row>
    <row r="182">
      <c r="A182" s="303"/>
      <c r="B182" s="303"/>
      <c r="C182" s="303"/>
      <c r="D182" s="303"/>
      <c r="E182" s="303"/>
      <c r="F182" s="303"/>
      <c r="G182" s="303"/>
      <c r="H182" s="303"/>
      <c r="I182" s="303"/>
      <c r="J182" s="307"/>
      <c r="K182" s="308"/>
      <c r="L182" s="309"/>
      <c r="M182" s="309"/>
      <c r="N182" s="306"/>
      <c r="O182" s="303"/>
      <c r="P182" s="303"/>
      <c r="Q182" s="303"/>
      <c r="R182" s="303"/>
      <c r="S182" s="303"/>
      <c r="T182" s="303"/>
      <c r="U182" s="303"/>
      <c r="V182" s="303"/>
      <c r="W182" s="303"/>
      <c r="X182" s="303"/>
      <c r="Y182" s="303"/>
      <c r="Z182" s="303"/>
    </row>
    <row r="183">
      <c r="A183" s="303"/>
      <c r="B183" s="303"/>
      <c r="C183" s="303"/>
      <c r="D183" s="303"/>
      <c r="E183" s="303"/>
      <c r="F183" s="303"/>
      <c r="G183" s="303"/>
      <c r="H183" s="303"/>
      <c r="I183" s="303"/>
      <c r="J183" s="307"/>
      <c r="K183" s="308"/>
      <c r="L183" s="309"/>
      <c r="M183" s="309"/>
      <c r="N183" s="306"/>
      <c r="O183" s="303"/>
      <c r="P183" s="303"/>
      <c r="Q183" s="303"/>
      <c r="R183" s="303"/>
      <c r="S183" s="303"/>
      <c r="T183" s="303"/>
      <c r="U183" s="303"/>
      <c r="V183" s="303"/>
      <c r="W183" s="303"/>
      <c r="X183" s="303"/>
      <c r="Y183" s="303"/>
      <c r="Z183" s="303"/>
    </row>
    <row r="184">
      <c r="A184" s="303"/>
      <c r="B184" s="303"/>
      <c r="C184" s="303"/>
      <c r="D184" s="303"/>
      <c r="E184" s="303"/>
      <c r="F184" s="303"/>
      <c r="G184" s="303"/>
      <c r="H184" s="303"/>
      <c r="I184" s="303"/>
      <c r="J184" s="307"/>
      <c r="K184" s="308"/>
      <c r="L184" s="309"/>
      <c r="M184" s="309"/>
      <c r="N184" s="306"/>
      <c r="O184" s="303"/>
      <c r="P184" s="303"/>
      <c r="Q184" s="303"/>
      <c r="R184" s="303"/>
      <c r="S184" s="303"/>
      <c r="T184" s="303"/>
      <c r="U184" s="303"/>
      <c r="V184" s="303"/>
      <c r="W184" s="303"/>
      <c r="X184" s="303"/>
      <c r="Y184" s="303"/>
      <c r="Z184" s="303"/>
    </row>
    <row r="185">
      <c r="A185" s="303"/>
      <c r="B185" s="303"/>
      <c r="C185" s="303"/>
      <c r="D185" s="303"/>
      <c r="E185" s="303"/>
      <c r="F185" s="303"/>
      <c r="G185" s="303"/>
      <c r="H185" s="303"/>
      <c r="I185" s="303"/>
      <c r="J185" s="307"/>
      <c r="K185" s="308"/>
      <c r="L185" s="309"/>
      <c r="M185" s="309"/>
      <c r="N185" s="306"/>
      <c r="O185" s="303"/>
      <c r="P185" s="303"/>
      <c r="Q185" s="303"/>
      <c r="R185" s="303"/>
      <c r="S185" s="303"/>
      <c r="T185" s="303"/>
      <c r="U185" s="303"/>
      <c r="V185" s="303"/>
      <c r="W185" s="303"/>
      <c r="X185" s="303"/>
      <c r="Y185" s="303"/>
      <c r="Z185" s="303"/>
    </row>
    <row r="186">
      <c r="A186" s="303"/>
      <c r="B186" s="303"/>
      <c r="C186" s="303"/>
      <c r="D186" s="303"/>
      <c r="E186" s="303"/>
      <c r="F186" s="303"/>
      <c r="G186" s="303"/>
      <c r="H186" s="303"/>
      <c r="I186" s="303"/>
      <c r="J186" s="307"/>
      <c r="K186" s="308"/>
      <c r="L186" s="309"/>
      <c r="M186" s="309"/>
      <c r="N186" s="306"/>
      <c r="O186" s="303"/>
      <c r="P186" s="303"/>
      <c r="Q186" s="303"/>
      <c r="R186" s="303"/>
      <c r="S186" s="303"/>
      <c r="T186" s="303"/>
      <c r="U186" s="303"/>
      <c r="V186" s="303"/>
      <c r="W186" s="303"/>
      <c r="X186" s="303"/>
      <c r="Y186" s="303"/>
      <c r="Z186" s="303"/>
    </row>
    <row r="187">
      <c r="A187" s="303"/>
      <c r="B187" s="303"/>
      <c r="C187" s="303"/>
      <c r="D187" s="303"/>
      <c r="E187" s="303"/>
      <c r="F187" s="303"/>
      <c r="G187" s="303"/>
      <c r="H187" s="303"/>
      <c r="I187" s="303"/>
      <c r="J187" s="307"/>
      <c r="K187" s="308"/>
      <c r="L187" s="309"/>
      <c r="M187" s="309"/>
      <c r="N187" s="306"/>
      <c r="O187" s="303"/>
      <c r="P187" s="303"/>
      <c r="Q187" s="303"/>
      <c r="R187" s="303"/>
      <c r="S187" s="303"/>
      <c r="T187" s="303"/>
      <c r="U187" s="303"/>
      <c r="V187" s="303"/>
      <c r="W187" s="303"/>
      <c r="X187" s="303"/>
      <c r="Y187" s="303"/>
      <c r="Z187" s="303"/>
    </row>
    <row r="188">
      <c r="A188" s="303"/>
      <c r="B188" s="303"/>
      <c r="C188" s="303"/>
      <c r="D188" s="303"/>
      <c r="E188" s="303"/>
      <c r="F188" s="303"/>
      <c r="G188" s="303"/>
      <c r="H188" s="303"/>
      <c r="I188" s="303"/>
      <c r="J188" s="307"/>
      <c r="K188" s="308"/>
      <c r="L188" s="309"/>
      <c r="M188" s="309"/>
      <c r="N188" s="306"/>
      <c r="O188" s="303"/>
      <c r="P188" s="303"/>
      <c r="Q188" s="303"/>
      <c r="R188" s="303"/>
      <c r="S188" s="303"/>
      <c r="T188" s="303"/>
      <c r="U188" s="303"/>
      <c r="V188" s="303"/>
      <c r="W188" s="303"/>
      <c r="X188" s="303"/>
      <c r="Y188" s="303"/>
      <c r="Z188" s="303"/>
    </row>
    <row r="189">
      <c r="A189" s="303"/>
      <c r="B189" s="303"/>
      <c r="C189" s="303"/>
      <c r="D189" s="303"/>
      <c r="E189" s="303"/>
      <c r="F189" s="303"/>
      <c r="G189" s="303"/>
      <c r="H189" s="303"/>
      <c r="I189" s="303"/>
      <c r="J189" s="307"/>
      <c r="K189" s="308"/>
      <c r="L189" s="309"/>
      <c r="M189" s="309"/>
      <c r="N189" s="306"/>
      <c r="O189" s="303"/>
      <c r="P189" s="303"/>
      <c r="Q189" s="303"/>
      <c r="R189" s="303"/>
      <c r="S189" s="303"/>
      <c r="T189" s="303"/>
      <c r="U189" s="303"/>
      <c r="V189" s="303"/>
      <c r="W189" s="303"/>
      <c r="X189" s="303"/>
      <c r="Y189" s="303"/>
      <c r="Z189" s="303"/>
    </row>
    <row r="190">
      <c r="A190" s="303"/>
      <c r="B190" s="303"/>
      <c r="C190" s="303"/>
      <c r="D190" s="303"/>
      <c r="E190" s="303"/>
      <c r="F190" s="303"/>
      <c r="G190" s="303"/>
      <c r="H190" s="303"/>
      <c r="I190" s="303"/>
      <c r="J190" s="307"/>
      <c r="K190" s="308"/>
      <c r="L190" s="309"/>
      <c r="M190" s="309"/>
      <c r="N190" s="306"/>
      <c r="O190" s="303"/>
      <c r="P190" s="303"/>
      <c r="Q190" s="303"/>
      <c r="R190" s="303"/>
      <c r="S190" s="303"/>
      <c r="T190" s="303"/>
      <c r="U190" s="303"/>
      <c r="V190" s="303"/>
      <c r="W190" s="303"/>
      <c r="X190" s="303"/>
      <c r="Y190" s="303"/>
      <c r="Z190" s="303"/>
    </row>
    <row r="191">
      <c r="A191" s="303"/>
      <c r="B191" s="303"/>
      <c r="C191" s="303"/>
      <c r="D191" s="303"/>
      <c r="E191" s="303"/>
      <c r="F191" s="303"/>
      <c r="G191" s="303"/>
      <c r="H191" s="303"/>
      <c r="I191" s="303"/>
      <c r="J191" s="307"/>
      <c r="K191" s="308"/>
      <c r="L191" s="309"/>
      <c r="M191" s="309"/>
      <c r="N191" s="306"/>
      <c r="O191" s="303"/>
      <c r="P191" s="303"/>
      <c r="Q191" s="303"/>
      <c r="R191" s="303"/>
      <c r="S191" s="303"/>
      <c r="T191" s="303"/>
      <c r="U191" s="303"/>
      <c r="V191" s="303"/>
      <c r="W191" s="303"/>
      <c r="X191" s="303"/>
      <c r="Y191" s="303"/>
      <c r="Z191" s="303"/>
    </row>
    <row r="192">
      <c r="A192" s="303"/>
      <c r="B192" s="303"/>
      <c r="C192" s="303"/>
      <c r="D192" s="303"/>
      <c r="E192" s="303"/>
      <c r="F192" s="303"/>
      <c r="G192" s="303"/>
      <c r="H192" s="303"/>
      <c r="I192" s="303"/>
      <c r="J192" s="307"/>
      <c r="K192" s="308"/>
      <c r="L192" s="309"/>
      <c r="M192" s="309"/>
      <c r="N192" s="306"/>
      <c r="O192" s="303"/>
      <c r="P192" s="303"/>
      <c r="Q192" s="303"/>
      <c r="R192" s="303"/>
      <c r="S192" s="303"/>
      <c r="T192" s="303"/>
      <c r="U192" s="303"/>
      <c r="V192" s="303"/>
      <c r="W192" s="303"/>
      <c r="X192" s="303"/>
      <c r="Y192" s="303"/>
      <c r="Z192" s="303"/>
    </row>
    <row r="193">
      <c r="A193" s="303"/>
      <c r="B193" s="303"/>
      <c r="C193" s="303"/>
      <c r="D193" s="303"/>
      <c r="E193" s="303"/>
      <c r="F193" s="303"/>
      <c r="G193" s="303"/>
      <c r="H193" s="303"/>
      <c r="I193" s="303"/>
      <c r="J193" s="307"/>
      <c r="K193" s="308"/>
      <c r="L193" s="309"/>
      <c r="M193" s="309"/>
      <c r="N193" s="306"/>
      <c r="O193" s="303"/>
      <c r="P193" s="303"/>
      <c r="Q193" s="303"/>
      <c r="R193" s="303"/>
      <c r="S193" s="303"/>
      <c r="T193" s="303"/>
      <c r="U193" s="303"/>
      <c r="V193" s="303"/>
      <c r="W193" s="303"/>
      <c r="X193" s="303"/>
      <c r="Y193" s="303"/>
      <c r="Z193" s="303"/>
    </row>
    <row r="194">
      <c r="A194" s="303"/>
      <c r="B194" s="303"/>
      <c r="C194" s="303"/>
      <c r="D194" s="303"/>
      <c r="E194" s="303"/>
      <c r="F194" s="303"/>
      <c r="G194" s="303"/>
      <c r="H194" s="303"/>
      <c r="I194" s="303"/>
      <c r="J194" s="307"/>
      <c r="K194" s="308"/>
      <c r="L194" s="309"/>
      <c r="M194" s="309"/>
      <c r="N194" s="306"/>
      <c r="O194" s="303"/>
      <c r="P194" s="303"/>
      <c r="Q194" s="303"/>
      <c r="R194" s="303"/>
      <c r="S194" s="303"/>
      <c r="T194" s="303"/>
      <c r="U194" s="303"/>
      <c r="V194" s="303"/>
      <c r="W194" s="303"/>
      <c r="X194" s="303"/>
      <c r="Y194" s="303"/>
      <c r="Z194" s="303"/>
    </row>
    <row r="195">
      <c r="A195" s="303"/>
      <c r="B195" s="303"/>
      <c r="C195" s="303"/>
      <c r="D195" s="303"/>
      <c r="E195" s="303"/>
      <c r="F195" s="303"/>
      <c r="G195" s="303"/>
      <c r="H195" s="303"/>
      <c r="I195" s="303"/>
      <c r="J195" s="307"/>
      <c r="K195" s="308"/>
      <c r="L195" s="309"/>
      <c r="M195" s="309"/>
      <c r="N195" s="306"/>
      <c r="O195" s="303"/>
      <c r="P195" s="303"/>
      <c r="Q195" s="303"/>
      <c r="R195" s="303"/>
      <c r="S195" s="303"/>
      <c r="T195" s="303"/>
      <c r="U195" s="303"/>
      <c r="V195" s="303"/>
      <c r="W195" s="303"/>
      <c r="X195" s="303"/>
      <c r="Y195" s="303"/>
      <c r="Z195" s="303"/>
    </row>
    <row r="196">
      <c r="A196" s="303"/>
      <c r="B196" s="303"/>
      <c r="C196" s="303"/>
      <c r="D196" s="303"/>
      <c r="E196" s="303"/>
      <c r="F196" s="303"/>
      <c r="G196" s="303"/>
      <c r="H196" s="303"/>
      <c r="I196" s="303"/>
      <c r="J196" s="307"/>
      <c r="K196" s="308"/>
      <c r="L196" s="309"/>
      <c r="M196" s="309"/>
      <c r="N196" s="306"/>
      <c r="O196" s="303"/>
      <c r="P196" s="303"/>
      <c r="Q196" s="303"/>
      <c r="R196" s="303"/>
      <c r="S196" s="303"/>
      <c r="T196" s="303"/>
      <c r="U196" s="303"/>
      <c r="V196" s="303"/>
      <c r="W196" s="303"/>
      <c r="X196" s="303"/>
      <c r="Y196" s="303"/>
      <c r="Z196" s="303"/>
    </row>
    <row r="197">
      <c r="A197" s="303"/>
      <c r="B197" s="303"/>
      <c r="C197" s="303"/>
      <c r="D197" s="303"/>
      <c r="E197" s="303"/>
      <c r="F197" s="303"/>
      <c r="G197" s="303"/>
      <c r="H197" s="303"/>
      <c r="I197" s="303"/>
      <c r="J197" s="307"/>
      <c r="K197" s="308"/>
      <c r="L197" s="309"/>
      <c r="M197" s="309"/>
      <c r="N197" s="306"/>
      <c r="O197" s="303"/>
      <c r="P197" s="303"/>
      <c r="Q197" s="303"/>
      <c r="R197" s="303"/>
      <c r="S197" s="303"/>
      <c r="T197" s="303"/>
      <c r="U197" s="303"/>
      <c r="V197" s="303"/>
      <c r="W197" s="303"/>
      <c r="X197" s="303"/>
      <c r="Y197" s="303"/>
      <c r="Z197" s="303"/>
    </row>
    <row r="198">
      <c r="A198" s="303"/>
      <c r="B198" s="303"/>
      <c r="C198" s="303"/>
      <c r="D198" s="303"/>
      <c r="E198" s="303"/>
      <c r="F198" s="303"/>
      <c r="G198" s="303"/>
      <c r="H198" s="303"/>
      <c r="I198" s="303"/>
      <c r="J198" s="307"/>
      <c r="K198" s="308"/>
      <c r="L198" s="309"/>
      <c r="M198" s="309"/>
      <c r="N198" s="306"/>
      <c r="O198" s="303"/>
      <c r="P198" s="303"/>
      <c r="Q198" s="303"/>
      <c r="R198" s="303"/>
      <c r="S198" s="303"/>
      <c r="T198" s="303"/>
      <c r="U198" s="303"/>
      <c r="V198" s="303"/>
      <c r="W198" s="303"/>
      <c r="X198" s="303"/>
      <c r="Y198" s="303"/>
      <c r="Z198" s="303"/>
    </row>
    <row r="199">
      <c r="A199" s="303"/>
      <c r="B199" s="303"/>
      <c r="C199" s="303"/>
      <c r="D199" s="303"/>
      <c r="E199" s="303"/>
      <c r="F199" s="303"/>
      <c r="G199" s="303"/>
      <c r="H199" s="303"/>
      <c r="I199" s="303"/>
      <c r="J199" s="307"/>
      <c r="K199" s="308"/>
      <c r="L199" s="309"/>
      <c r="M199" s="309"/>
      <c r="N199" s="306"/>
      <c r="O199" s="303"/>
      <c r="P199" s="303"/>
      <c r="Q199" s="303"/>
      <c r="R199" s="303"/>
      <c r="S199" s="303"/>
      <c r="T199" s="303"/>
      <c r="U199" s="303"/>
      <c r="V199" s="303"/>
      <c r="W199" s="303"/>
      <c r="X199" s="303"/>
      <c r="Y199" s="303"/>
      <c r="Z199" s="303"/>
    </row>
    <row r="200">
      <c r="A200" s="303"/>
      <c r="B200" s="303"/>
      <c r="C200" s="303"/>
      <c r="D200" s="303"/>
      <c r="E200" s="303"/>
      <c r="F200" s="303"/>
      <c r="G200" s="303"/>
      <c r="H200" s="303"/>
      <c r="I200" s="303"/>
      <c r="J200" s="307"/>
      <c r="K200" s="308"/>
      <c r="L200" s="309"/>
      <c r="M200" s="309"/>
      <c r="N200" s="306"/>
      <c r="O200" s="303"/>
      <c r="P200" s="303"/>
      <c r="Q200" s="303"/>
      <c r="R200" s="303"/>
      <c r="S200" s="303"/>
      <c r="T200" s="303"/>
      <c r="U200" s="303"/>
      <c r="V200" s="303"/>
      <c r="W200" s="303"/>
      <c r="X200" s="303"/>
      <c r="Y200" s="303"/>
      <c r="Z200" s="303"/>
    </row>
    <row r="201">
      <c r="A201" s="303"/>
      <c r="B201" s="303"/>
      <c r="C201" s="303"/>
      <c r="D201" s="303"/>
      <c r="E201" s="303"/>
      <c r="F201" s="303"/>
      <c r="G201" s="303"/>
      <c r="H201" s="303"/>
      <c r="I201" s="303"/>
      <c r="J201" s="307"/>
      <c r="K201" s="308"/>
      <c r="L201" s="309"/>
      <c r="M201" s="309"/>
      <c r="N201" s="306"/>
      <c r="O201" s="303"/>
      <c r="P201" s="303"/>
      <c r="Q201" s="303"/>
      <c r="R201" s="303"/>
      <c r="S201" s="303"/>
      <c r="T201" s="303"/>
      <c r="U201" s="303"/>
      <c r="V201" s="303"/>
      <c r="W201" s="303"/>
      <c r="X201" s="303"/>
      <c r="Y201" s="303"/>
      <c r="Z201" s="303"/>
    </row>
    <row r="202">
      <c r="A202" s="303"/>
      <c r="B202" s="303"/>
      <c r="C202" s="303"/>
      <c r="D202" s="303"/>
      <c r="E202" s="303"/>
      <c r="F202" s="303"/>
      <c r="G202" s="303"/>
      <c r="H202" s="303"/>
      <c r="I202" s="303"/>
      <c r="J202" s="307"/>
      <c r="K202" s="308"/>
      <c r="L202" s="309"/>
      <c r="M202" s="309"/>
      <c r="N202" s="306"/>
      <c r="O202" s="303"/>
      <c r="P202" s="303"/>
      <c r="Q202" s="303"/>
      <c r="R202" s="303"/>
      <c r="S202" s="303"/>
      <c r="T202" s="303"/>
      <c r="U202" s="303"/>
      <c r="V202" s="303"/>
      <c r="W202" s="303"/>
      <c r="X202" s="303"/>
      <c r="Y202" s="303"/>
      <c r="Z202" s="303"/>
    </row>
    <row r="203">
      <c r="A203" s="303"/>
      <c r="B203" s="303"/>
      <c r="C203" s="303"/>
      <c r="D203" s="303"/>
      <c r="E203" s="303"/>
      <c r="F203" s="303"/>
      <c r="G203" s="303"/>
      <c r="H203" s="303"/>
      <c r="I203" s="303"/>
      <c r="J203" s="307"/>
      <c r="K203" s="308"/>
      <c r="L203" s="309"/>
      <c r="M203" s="309"/>
      <c r="N203" s="306"/>
      <c r="O203" s="303"/>
      <c r="P203" s="303"/>
      <c r="Q203" s="303"/>
      <c r="R203" s="303"/>
      <c r="S203" s="303"/>
      <c r="T203" s="303"/>
      <c r="U203" s="303"/>
      <c r="V203" s="303"/>
      <c r="W203" s="303"/>
      <c r="X203" s="303"/>
      <c r="Y203" s="303"/>
      <c r="Z203" s="303"/>
    </row>
    <row r="204">
      <c r="A204" s="303"/>
      <c r="B204" s="303"/>
      <c r="C204" s="303"/>
      <c r="D204" s="303"/>
      <c r="E204" s="303"/>
      <c r="F204" s="303"/>
      <c r="G204" s="303"/>
      <c r="H204" s="303"/>
      <c r="I204" s="303"/>
      <c r="J204" s="307"/>
      <c r="K204" s="308"/>
      <c r="L204" s="309"/>
      <c r="M204" s="309"/>
      <c r="N204" s="306"/>
      <c r="O204" s="303"/>
      <c r="P204" s="303"/>
      <c r="Q204" s="303"/>
      <c r="R204" s="303"/>
      <c r="S204" s="303"/>
      <c r="T204" s="303"/>
      <c r="U204" s="303"/>
      <c r="V204" s="303"/>
      <c r="W204" s="303"/>
      <c r="X204" s="303"/>
      <c r="Y204" s="303"/>
      <c r="Z204" s="303"/>
    </row>
    <row r="205">
      <c r="A205" s="303"/>
      <c r="B205" s="303"/>
      <c r="C205" s="303"/>
      <c r="D205" s="303"/>
      <c r="E205" s="303"/>
      <c r="F205" s="303"/>
      <c r="G205" s="303"/>
      <c r="H205" s="303"/>
      <c r="I205" s="303"/>
      <c r="J205" s="307"/>
      <c r="K205" s="308"/>
      <c r="L205" s="309"/>
      <c r="M205" s="309"/>
      <c r="N205" s="306"/>
      <c r="O205" s="303"/>
      <c r="P205" s="303"/>
      <c r="Q205" s="303"/>
      <c r="R205" s="303"/>
      <c r="S205" s="303"/>
      <c r="T205" s="303"/>
      <c r="U205" s="303"/>
      <c r="V205" s="303"/>
      <c r="W205" s="303"/>
      <c r="X205" s="303"/>
      <c r="Y205" s="303"/>
      <c r="Z205" s="303"/>
    </row>
    <row r="206">
      <c r="A206" s="303"/>
      <c r="B206" s="303"/>
      <c r="C206" s="303"/>
      <c r="D206" s="303"/>
      <c r="E206" s="303"/>
      <c r="F206" s="303"/>
      <c r="G206" s="303"/>
      <c r="H206" s="303"/>
      <c r="I206" s="303"/>
      <c r="J206" s="307"/>
      <c r="K206" s="308"/>
      <c r="L206" s="309"/>
      <c r="M206" s="309"/>
      <c r="N206" s="306"/>
      <c r="O206" s="303"/>
      <c r="P206" s="303"/>
      <c r="Q206" s="303"/>
      <c r="R206" s="303"/>
      <c r="S206" s="303"/>
      <c r="T206" s="303"/>
      <c r="U206" s="303"/>
      <c r="V206" s="303"/>
      <c r="W206" s="303"/>
      <c r="X206" s="303"/>
      <c r="Y206" s="303"/>
      <c r="Z206" s="303"/>
    </row>
    <row r="207">
      <c r="A207" s="303"/>
      <c r="B207" s="303"/>
      <c r="C207" s="303"/>
      <c r="D207" s="303"/>
      <c r="E207" s="303"/>
      <c r="F207" s="303"/>
      <c r="G207" s="303"/>
      <c r="H207" s="303"/>
      <c r="I207" s="303"/>
      <c r="J207" s="307"/>
      <c r="K207" s="308"/>
      <c r="L207" s="309"/>
      <c r="M207" s="309"/>
      <c r="N207" s="306"/>
      <c r="O207" s="303"/>
      <c r="P207" s="303"/>
      <c r="Q207" s="303"/>
      <c r="R207" s="303"/>
      <c r="S207" s="303"/>
      <c r="T207" s="303"/>
      <c r="U207" s="303"/>
      <c r="V207" s="303"/>
      <c r="W207" s="303"/>
      <c r="X207" s="303"/>
      <c r="Y207" s="303"/>
      <c r="Z207" s="303"/>
    </row>
    <row r="208">
      <c r="A208" s="303"/>
      <c r="B208" s="303"/>
      <c r="C208" s="303"/>
      <c r="D208" s="303"/>
      <c r="E208" s="303"/>
      <c r="F208" s="303"/>
      <c r="G208" s="303"/>
      <c r="H208" s="303"/>
      <c r="I208" s="303"/>
      <c r="J208" s="307"/>
      <c r="K208" s="308"/>
      <c r="L208" s="309"/>
      <c r="M208" s="309"/>
      <c r="N208" s="306"/>
      <c r="O208" s="303"/>
      <c r="P208" s="303"/>
      <c r="Q208" s="303"/>
      <c r="R208" s="303"/>
      <c r="S208" s="303"/>
      <c r="T208" s="303"/>
      <c r="U208" s="303"/>
      <c r="V208" s="303"/>
      <c r="W208" s="303"/>
      <c r="X208" s="303"/>
      <c r="Y208" s="303"/>
      <c r="Z208" s="303"/>
    </row>
    <row r="209">
      <c r="A209" s="303"/>
      <c r="B209" s="303"/>
      <c r="C209" s="303"/>
      <c r="D209" s="303"/>
      <c r="E209" s="303"/>
      <c r="F209" s="303"/>
      <c r="G209" s="303"/>
      <c r="H209" s="303"/>
      <c r="I209" s="303"/>
      <c r="J209" s="307"/>
      <c r="K209" s="308"/>
      <c r="L209" s="309"/>
      <c r="M209" s="309"/>
      <c r="N209" s="306"/>
      <c r="O209" s="303"/>
      <c r="P209" s="303"/>
      <c r="Q209" s="303"/>
      <c r="R209" s="303"/>
      <c r="S209" s="303"/>
      <c r="T209" s="303"/>
      <c r="U209" s="303"/>
      <c r="V209" s="303"/>
      <c r="W209" s="303"/>
      <c r="X209" s="303"/>
      <c r="Y209" s="303"/>
      <c r="Z209" s="303"/>
    </row>
    <row r="210">
      <c r="A210" s="303"/>
      <c r="B210" s="303"/>
      <c r="C210" s="303"/>
      <c r="D210" s="303"/>
      <c r="E210" s="303"/>
      <c r="F210" s="303"/>
      <c r="G210" s="303"/>
      <c r="H210" s="303"/>
      <c r="I210" s="303"/>
      <c r="J210" s="307"/>
      <c r="K210" s="308"/>
      <c r="L210" s="309"/>
      <c r="M210" s="309"/>
      <c r="N210" s="306"/>
      <c r="O210" s="303"/>
      <c r="P210" s="303"/>
      <c r="Q210" s="303"/>
      <c r="R210" s="303"/>
      <c r="S210" s="303"/>
      <c r="T210" s="303"/>
      <c r="U210" s="303"/>
      <c r="V210" s="303"/>
      <c r="W210" s="303"/>
      <c r="X210" s="303"/>
      <c r="Y210" s="303"/>
      <c r="Z210" s="303"/>
    </row>
    <row r="211">
      <c r="A211" s="303"/>
      <c r="B211" s="303"/>
      <c r="C211" s="303"/>
      <c r="D211" s="303"/>
      <c r="E211" s="303"/>
      <c r="F211" s="303"/>
      <c r="G211" s="303"/>
      <c r="H211" s="303"/>
      <c r="I211" s="303"/>
      <c r="J211" s="307"/>
      <c r="K211" s="308"/>
      <c r="L211" s="309"/>
      <c r="M211" s="309"/>
      <c r="N211" s="306"/>
      <c r="O211" s="303"/>
      <c r="P211" s="303"/>
      <c r="Q211" s="303"/>
      <c r="R211" s="303"/>
      <c r="S211" s="303"/>
      <c r="T211" s="303"/>
      <c r="U211" s="303"/>
      <c r="V211" s="303"/>
      <c r="W211" s="303"/>
      <c r="X211" s="303"/>
      <c r="Y211" s="303"/>
      <c r="Z211" s="303"/>
    </row>
    <row r="212">
      <c r="A212" s="303"/>
      <c r="B212" s="303"/>
      <c r="C212" s="303"/>
      <c r="D212" s="303"/>
      <c r="E212" s="303"/>
      <c r="F212" s="303"/>
      <c r="G212" s="303"/>
      <c r="H212" s="303"/>
      <c r="I212" s="303"/>
      <c r="J212" s="307"/>
      <c r="K212" s="308"/>
      <c r="L212" s="309"/>
      <c r="M212" s="309"/>
      <c r="N212" s="306"/>
      <c r="O212" s="303"/>
      <c r="P212" s="303"/>
      <c r="Q212" s="303"/>
      <c r="R212" s="303"/>
      <c r="S212" s="303"/>
      <c r="T212" s="303"/>
      <c r="U212" s="303"/>
      <c r="V212" s="303"/>
      <c r="W212" s="303"/>
      <c r="X212" s="303"/>
      <c r="Y212" s="303"/>
      <c r="Z212" s="303"/>
    </row>
    <row r="213">
      <c r="A213" s="303"/>
      <c r="B213" s="303"/>
      <c r="C213" s="303"/>
      <c r="D213" s="303"/>
      <c r="E213" s="303"/>
      <c r="F213" s="303"/>
      <c r="G213" s="303"/>
      <c r="H213" s="303"/>
      <c r="I213" s="303"/>
      <c r="J213" s="307"/>
      <c r="K213" s="308"/>
      <c r="L213" s="309"/>
      <c r="M213" s="309"/>
      <c r="N213" s="306"/>
      <c r="O213" s="303"/>
      <c r="P213" s="303"/>
      <c r="Q213" s="303"/>
      <c r="R213" s="303"/>
      <c r="S213" s="303"/>
      <c r="T213" s="303"/>
      <c r="U213" s="303"/>
      <c r="V213" s="303"/>
      <c r="W213" s="303"/>
      <c r="X213" s="303"/>
      <c r="Y213" s="303"/>
      <c r="Z213" s="303"/>
    </row>
    <row r="214">
      <c r="A214" s="303"/>
      <c r="B214" s="303"/>
      <c r="C214" s="303"/>
      <c r="D214" s="303"/>
      <c r="E214" s="303"/>
      <c r="F214" s="303"/>
      <c r="G214" s="303"/>
      <c r="H214" s="303"/>
      <c r="I214" s="303"/>
      <c r="J214" s="307"/>
      <c r="K214" s="308"/>
      <c r="L214" s="309"/>
      <c r="M214" s="309"/>
      <c r="N214" s="306"/>
      <c r="O214" s="303"/>
      <c r="P214" s="303"/>
      <c r="Q214" s="303"/>
      <c r="R214" s="303"/>
      <c r="S214" s="303"/>
      <c r="T214" s="303"/>
      <c r="U214" s="303"/>
      <c r="V214" s="303"/>
      <c r="W214" s="303"/>
      <c r="X214" s="303"/>
      <c r="Y214" s="303"/>
      <c r="Z214" s="303"/>
    </row>
    <row r="215">
      <c r="A215" s="303"/>
      <c r="B215" s="303"/>
      <c r="C215" s="303"/>
      <c r="D215" s="303"/>
      <c r="E215" s="303"/>
      <c r="F215" s="303"/>
      <c r="G215" s="303"/>
      <c r="H215" s="303"/>
      <c r="I215" s="303"/>
      <c r="J215" s="307"/>
      <c r="K215" s="321"/>
      <c r="L215" s="309"/>
      <c r="M215" s="309"/>
      <c r="N215" s="306"/>
      <c r="O215" s="303"/>
      <c r="P215" s="303"/>
      <c r="Q215" s="303"/>
      <c r="R215" s="303"/>
      <c r="S215" s="303"/>
      <c r="T215" s="303"/>
      <c r="U215" s="303"/>
      <c r="V215" s="303"/>
      <c r="W215" s="303"/>
      <c r="X215" s="303"/>
      <c r="Y215" s="303"/>
      <c r="Z215" s="303"/>
    </row>
    <row r="216">
      <c r="A216" s="303"/>
      <c r="B216" s="303"/>
      <c r="C216" s="303"/>
      <c r="D216" s="303"/>
      <c r="E216" s="303"/>
      <c r="F216" s="303"/>
      <c r="G216" s="303"/>
      <c r="H216" s="303"/>
      <c r="I216" s="303"/>
      <c r="J216" s="307"/>
      <c r="K216" s="308"/>
      <c r="L216" s="309"/>
      <c r="M216" s="309"/>
      <c r="N216" s="306"/>
      <c r="O216" s="303"/>
      <c r="P216" s="303"/>
      <c r="Q216" s="303"/>
      <c r="R216" s="303"/>
      <c r="S216" s="303"/>
      <c r="T216" s="303"/>
      <c r="U216" s="303"/>
      <c r="V216" s="303"/>
      <c r="W216" s="303"/>
      <c r="X216" s="303"/>
      <c r="Y216" s="303"/>
      <c r="Z216" s="303"/>
    </row>
    <row r="217">
      <c r="A217" s="303"/>
      <c r="B217" s="303"/>
      <c r="C217" s="303"/>
      <c r="D217" s="303"/>
      <c r="E217" s="303"/>
      <c r="F217" s="303"/>
      <c r="G217" s="303"/>
      <c r="H217" s="303"/>
      <c r="I217" s="303"/>
      <c r="J217" s="307"/>
      <c r="K217" s="308"/>
      <c r="L217" s="309"/>
      <c r="M217" s="309"/>
      <c r="N217" s="306"/>
      <c r="O217" s="303"/>
      <c r="P217" s="303"/>
      <c r="Q217" s="303"/>
      <c r="R217" s="303"/>
      <c r="S217" s="303"/>
      <c r="T217" s="303"/>
      <c r="U217" s="303"/>
      <c r="V217" s="303"/>
      <c r="W217" s="303"/>
      <c r="X217" s="303"/>
      <c r="Y217" s="303"/>
      <c r="Z217" s="303"/>
    </row>
    <row r="218">
      <c r="A218" s="303"/>
      <c r="B218" s="303"/>
      <c r="C218" s="303"/>
      <c r="D218" s="303"/>
      <c r="E218" s="303"/>
      <c r="F218" s="303"/>
      <c r="G218" s="303"/>
      <c r="H218" s="303"/>
      <c r="I218" s="303"/>
      <c r="J218" s="307"/>
      <c r="K218" s="308"/>
      <c r="L218" s="309"/>
      <c r="M218" s="309"/>
      <c r="N218" s="306"/>
      <c r="O218" s="303"/>
      <c r="P218" s="303"/>
      <c r="Q218" s="303"/>
      <c r="R218" s="303"/>
      <c r="S218" s="303"/>
      <c r="T218" s="303"/>
      <c r="U218" s="303"/>
      <c r="V218" s="303"/>
      <c r="W218" s="303"/>
      <c r="X218" s="303"/>
      <c r="Y218" s="303"/>
      <c r="Z218" s="303"/>
    </row>
    <row r="219">
      <c r="A219" s="303"/>
      <c r="B219" s="303"/>
      <c r="C219" s="303"/>
      <c r="D219" s="303"/>
      <c r="E219" s="303"/>
      <c r="F219" s="303"/>
      <c r="G219" s="303"/>
      <c r="H219" s="303"/>
      <c r="I219" s="303"/>
      <c r="J219" s="307"/>
      <c r="K219" s="308"/>
      <c r="L219" s="309"/>
      <c r="M219" s="309"/>
      <c r="N219" s="306"/>
      <c r="O219" s="303"/>
      <c r="P219" s="303"/>
      <c r="Q219" s="303"/>
      <c r="R219" s="303"/>
      <c r="S219" s="303"/>
      <c r="T219" s="303"/>
      <c r="U219" s="303"/>
      <c r="V219" s="303"/>
      <c r="W219" s="303"/>
      <c r="X219" s="303"/>
      <c r="Y219" s="303"/>
      <c r="Z219" s="303"/>
    </row>
    <row r="220">
      <c r="A220" s="303"/>
      <c r="B220" s="303"/>
      <c r="C220" s="303"/>
      <c r="D220" s="303"/>
      <c r="E220" s="303"/>
      <c r="F220" s="303"/>
      <c r="G220" s="303"/>
      <c r="H220" s="303"/>
      <c r="I220" s="303"/>
      <c r="J220" s="307"/>
      <c r="K220" s="308"/>
      <c r="L220" s="309"/>
      <c r="M220" s="309"/>
      <c r="N220" s="306"/>
      <c r="O220" s="303"/>
      <c r="P220" s="303"/>
      <c r="Q220" s="303"/>
      <c r="R220" s="303"/>
      <c r="S220" s="303"/>
      <c r="T220" s="303"/>
      <c r="U220" s="303"/>
      <c r="V220" s="303"/>
      <c r="W220" s="303"/>
      <c r="X220" s="303"/>
      <c r="Y220" s="303"/>
      <c r="Z220" s="303"/>
    </row>
    <row r="221">
      <c r="A221" s="303"/>
      <c r="B221" s="303"/>
      <c r="C221" s="303"/>
      <c r="D221" s="303"/>
      <c r="E221" s="303"/>
      <c r="F221" s="303"/>
      <c r="G221" s="303"/>
      <c r="H221" s="303"/>
      <c r="I221" s="303"/>
      <c r="J221" s="307"/>
      <c r="K221" s="308"/>
      <c r="L221" s="309"/>
      <c r="M221" s="309"/>
      <c r="N221" s="306"/>
      <c r="O221" s="303"/>
      <c r="P221" s="303"/>
      <c r="Q221" s="303"/>
      <c r="R221" s="303"/>
      <c r="S221" s="303"/>
      <c r="T221" s="303"/>
      <c r="U221" s="303"/>
      <c r="V221" s="303"/>
      <c r="W221" s="303"/>
      <c r="X221" s="303"/>
      <c r="Y221" s="303"/>
      <c r="Z221" s="303"/>
    </row>
    <row r="222">
      <c r="A222" s="303"/>
      <c r="B222" s="303"/>
      <c r="C222" s="303"/>
      <c r="D222" s="303"/>
      <c r="E222" s="303"/>
      <c r="F222" s="303"/>
      <c r="G222" s="303"/>
      <c r="H222" s="303"/>
      <c r="I222" s="303"/>
      <c r="J222" s="307"/>
      <c r="K222" s="308"/>
      <c r="L222" s="309"/>
      <c r="M222" s="309"/>
      <c r="N222" s="306"/>
      <c r="O222" s="303"/>
      <c r="P222" s="303"/>
      <c r="Q222" s="303"/>
      <c r="R222" s="303"/>
      <c r="S222" s="303"/>
      <c r="T222" s="303"/>
      <c r="U222" s="303"/>
      <c r="V222" s="303"/>
      <c r="W222" s="303"/>
      <c r="X222" s="303"/>
      <c r="Y222" s="303"/>
      <c r="Z222" s="303"/>
    </row>
    <row r="223">
      <c r="A223" s="303"/>
      <c r="B223" s="303"/>
      <c r="C223" s="303"/>
      <c r="D223" s="303"/>
      <c r="E223" s="303"/>
      <c r="F223" s="303"/>
      <c r="G223" s="303"/>
      <c r="H223" s="303"/>
      <c r="I223" s="303"/>
      <c r="J223" s="307"/>
      <c r="K223" s="308"/>
      <c r="L223" s="309"/>
      <c r="M223" s="309"/>
      <c r="N223" s="306"/>
      <c r="O223" s="303"/>
      <c r="P223" s="303"/>
      <c r="Q223" s="303"/>
      <c r="R223" s="303"/>
      <c r="S223" s="303"/>
      <c r="T223" s="303"/>
      <c r="U223" s="303"/>
      <c r="V223" s="303"/>
      <c r="W223" s="303"/>
      <c r="X223" s="303"/>
      <c r="Y223" s="303"/>
      <c r="Z223" s="303"/>
    </row>
    <row r="224">
      <c r="A224" s="303"/>
      <c r="B224" s="303"/>
      <c r="C224" s="303"/>
      <c r="D224" s="303"/>
      <c r="E224" s="303"/>
      <c r="F224" s="303"/>
      <c r="G224" s="303"/>
      <c r="H224" s="303"/>
      <c r="I224" s="303"/>
      <c r="J224" s="307"/>
      <c r="K224" s="308"/>
      <c r="L224" s="309"/>
      <c r="M224" s="309"/>
      <c r="N224" s="306"/>
      <c r="O224" s="303"/>
      <c r="P224" s="303"/>
      <c r="Q224" s="303"/>
      <c r="R224" s="303"/>
      <c r="S224" s="303"/>
      <c r="T224" s="303"/>
      <c r="U224" s="303"/>
      <c r="V224" s="303"/>
      <c r="W224" s="303"/>
      <c r="X224" s="303"/>
      <c r="Y224" s="303"/>
      <c r="Z224" s="303"/>
    </row>
    <row r="225">
      <c r="A225" s="303"/>
      <c r="B225" s="303"/>
      <c r="C225" s="303"/>
      <c r="D225" s="303"/>
      <c r="E225" s="303"/>
      <c r="F225" s="303"/>
      <c r="G225" s="303"/>
      <c r="H225" s="303"/>
      <c r="I225" s="303"/>
      <c r="J225" s="307"/>
      <c r="K225" s="308"/>
      <c r="L225" s="309"/>
      <c r="M225" s="309"/>
      <c r="N225" s="306"/>
      <c r="O225" s="303"/>
      <c r="P225" s="303"/>
      <c r="Q225" s="303"/>
      <c r="R225" s="303"/>
      <c r="S225" s="303"/>
      <c r="T225" s="303"/>
      <c r="U225" s="303"/>
      <c r="V225" s="303"/>
      <c r="W225" s="303"/>
      <c r="X225" s="303"/>
      <c r="Y225" s="303"/>
      <c r="Z225" s="303"/>
    </row>
    <row r="226">
      <c r="A226" s="303"/>
      <c r="B226" s="303"/>
      <c r="C226" s="303"/>
      <c r="D226" s="303"/>
      <c r="E226" s="303"/>
      <c r="F226" s="303"/>
      <c r="G226" s="303"/>
      <c r="H226" s="303"/>
      <c r="I226" s="303"/>
      <c r="J226" s="307"/>
      <c r="K226" s="308"/>
      <c r="L226" s="309"/>
      <c r="M226" s="309"/>
      <c r="N226" s="306"/>
      <c r="O226" s="303"/>
      <c r="P226" s="303"/>
      <c r="Q226" s="303"/>
      <c r="R226" s="303"/>
      <c r="S226" s="303"/>
      <c r="T226" s="303"/>
      <c r="U226" s="303"/>
      <c r="V226" s="303"/>
      <c r="W226" s="303"/>
      <c r="X226" s="303"/>
      <c r="Y226" s="303"/>
      <c r="Z226" s="303"/>
    </row>
    <row r="227">
      <c r="A227" s="303"/>
      <c r="B227" s="303"/>
      <c r="C227" s="303"/>
      <c r="D227" s="303"/>
      <c r="E227" s="303"/>
      <c r="F227" s="303"/>
      <c r="G227" s="303"/>
      <c r="H227" s="303"/>
      <c r="I227" s="303"/>
      <c r="J227" s="307"/>
      <c r="K227" s="308"/>
      <c r="L227" s="309"/>
      <c r="M227" s="309"/>
      <c r="N227" s="306"/>
      <c r="O227" s="303"/>
      <c r="P227" s="303"/>
      <c r="Q227" s="303"/>
      <c r="R227" s="303"/>
      <c r="S227" s="303"/>
      <c r="T227" s="303"/>
      <c r="U227" s="303"/>
      <c r="V227" s="303"/>
      <c r="W227" s="303"/>
      <c r="X227" s="303"/>
      <c r="Y227" s="303"/>
      <c r="Z227" s="303"/>
    </row>
    <row r="228">
      <c r="A228" s="303"/>
      <c r="B228" s="303"/>
      <c r="C228" s="303"/>
      <c r="D228" s="303"/>
      <c r="E228" s="303"/>
      <c r="F228" s="303"/>
      <c r="G228" s="303"/>
      <c r="H228" s="303"/>
      <c r="I228" s="303"/>
      <c r="J228" s="307"/>
      <c r="K228" s="308"/>
      <c r="L228" s="309"/>
      <c r="M228" s="309"/>
      <c r="N228" s="306"/>
      <c r="O228" s="303"/>
      <c r="P228" s="303"/>
      <c r="Q228" s="303"/>
      <c r="R228" s="303"/>
      <c r="S228" s="303"/>
      <c r="T228" s="303"/>
      <c r="U228" s="303"/>
      <c r="V228" s="303"/>
      <c r="W228" s="303"/>
      <c r="X228" s="303"/>
      <c r="Y228" s="303"/>
      <c r="Z228" s="303"/>
    </row>
    <row r="229">
      <c r="A229" s="303"/>
      <c r="B229" s="303"/>
      <c r="C229" s="303"/>
      <c r="D229" s="303"/>
      <c r="E229" s="303"/>
      <c r="F229" s="303"/>
      <c r="G229" s="303"/>
      <c r="H229" s="303"/>
      <c r="I229" s="303"/>
      <c r="J229" s="307"/>
      <c r="K229" s="308"/>
      <c r="L229" s="309"/>
      <c r="M229" s="309"/>
      <c r="N229" s="306"/>
      <c r="O229" s="303"/>
      <c r="P229" s="303"/>
      <c r="Q229" s="303"/>
      <c r="R229" s="303"/>
      <c r="S229" s="303"/>
      <c r="T229" s="303"/>
      <c r="U229" s="303"/>
      <c r="V229" s="303"/>
      <c r="W229" s="303"/>
      <c r="X229" s="303"/>
      <c r="Y229" s="303"/>
      <c r="Z229" s="303"/>
    </row>
    <row r="230">
      <c r="A230" s="303"/>
      <c r="B230" s="303"/>
      <c r="C230" s="303"/>
      <c r="D230" s="303"/>
      <c r="E230" s="303"/>
      <c r="F230" s="303"/>
      <c r="G230" s="303"/>
      <c r="H230" s="303"/>
      <c r="I230" s="303"/>
      <c r="J230" s="307"/>
      <c r="K230" s="308"/>
      <c r="L230" s="309"/>
      <c r="M230" s="309"/>
      <c r="N230" s="306"/>
      <c r="O230" s="303"/>
      <c r="P230" s="303"/>
      <c r="Q230" s="303"/>
      <c r="R230" s="303"/>
      <c r="S230" s="303"/>
      <c r="T230" s="303"/>
      <c r="U230" s="303"/>
      <c r="V230" s="303"/>
      <c r="W230" s="303"/>
      <c r="X230" s="303"/>
      <c r="Y230" s="303"/>
      <c r="Z230" s="303"/>
    </row>
    <row r="231">
      <c r="A231" s="303"/>
      <c r="B231" s="303"/>
      <c r="C231" s="303"/>
      <c r="D231" s="303"/>
      <c r="E231" s="303"/>
      <c r="F231" s="303"/>
      <c r="G231" s="303"/>
      <c r="H231" s="303"/>
      <c r="I231" s="303"/>
      <c r="J231" s="307"/>
      <c r="K231" s="308"/>
      <c r="L231" s="309"/>
      <c r="M231" s="309"/>
      <c r="N231" s="306"/>
      <c r="O231" s="303"/>
      <c r="P231" s="303"/>
      <c r="Q231" s="303"/>
      <c r="R231" s="303"/>
      <c r="S231" s="303"/>
      <c r="T231" s="303"/>
      <c r="U231" s="303"/>
      <c r="V231" s="303"/>
      <c r="W231" s="303"/>
      <c r="X231" s="303"/>
      <c r="Y231" s="303"/>
      <c r="Z231" s="303"/>
    </row>
    <row r="232">
      <c r="A232" s="303"/>
      <c r="B232" s="303"/>
      <c r="C232" s="303"/>
      <c r="D232" s="303"/>
      <c r="E232" s="303"/>
      <c r="F232" s="303"/>
      <c r="G232" s="303"/>
      <c r="H232" s="303"/>
      <c r="I232" s="303"/>
      <c r="J232" s="307"/>
      <c r="K232" s="308"/>
      <c r="L232" s="309"/>
      <c r="M232" s="309"/>
      <c r="N232" s="306"/>
      <c r="O232" s="303"/>
      <c r="P232" s="303"/>
      <c r="Q232" s="303"/>
      <c r="R232" s="303"/>
      <c r="S232" s="303"/>
      <c r="T232" s="303"/>
      <c r="U232" s="303"/>
      <c r="V232" s="303"/>
      <c r="W232" s="303"/>
      <c r="X232" s="303"/>
      <c r="Y232" s="303"/>
      <c r="Z232" s="303"/>
    </row>
    <row r="233">
      <c r="A233" s="303"/>
      <c r="B233" s="303"/>
      <c r="C233" s="303"/>
      <c r="D233" s="303"/>
      <c r="E233" s="303"/>
      <c r="F233" s="303"/>
      <c r="G233" s="303"/>
      <c r="H233" s="303"/>
      <c r="I233" s="303"/>
      <c r="J233" s="307"/>
      <c r="K233" s="308"/>
      <c r="L233" s="309"/>
      <c r="M233" s="309"/>
      <c r="N233" s="306"/>
      <c r="O233" s="303"/>
      <c r="P233" s="303"/>
      <c r="Q233" s="303"/>
      <c r="R233" s="303"/>
      <c r="S233" s="303"/>
      <c r="T233" s="303"/>
      <c r="U233" s="303"/>
      <c r="V233" s="303"/>
      <c r="W233" s="303"/>
      <c r="X233" s="303"/>
      <c r="Y233" s="303"/>
      <c r="Z233" s="303"/>
    </row>
    <row r="234">
      <c r="A234" s="303"/>
      <c r="B234" s="303"/>
      <c r="C234" s="303"/>
      <c r="D234" s="303"/>
      <c r="E234" s="303"/>
      <c r="F234" s="303"/>
      <c r="G234" s="303"/>
      <c r="H234" s="303"/>
      <c r="I234" s="303"/>
      <c r="J234" s="307"/>
      <c r="K234" s="308"/>
      <c r="L234" s="309"/>
      <c r="M234" s="309"/>
      <c r="N234" s="306"/>
      <c r="O234" s="303"/>
      <c r="P234" s="303"/>
      <c r="Q234" s="303"/>
      <c r="R234" s="303"/>
      <c r="S234" s="303"/>
      <c r="T234" s="303"/>
      <c r="U234" s="303"/>
      <c r="V234" s="303"/>
      <c r="W234" s="303"/>
      <c r="X234" s="303"/>
      <c r="Y234" s="303"/>
      <c r="Z234" s="303"/>
    </row>
    <row r="235">
      <c r="A235" s="303"/>
      <c r="B235" s="303"/>
      <c r="C235" s="303"/>
      <c r="D235" s="303"/>
      <c r="E235" s="303"/>
      <c r="F235" s="303"/>
      <c r="G235" s="303"/>
      <c r="H235" s="303"/>
      <c r="I235" s="303"/>
      <c r="J235" s="307"/>
      <c r="K235" s="308"/>
      <c r="L235" s="309"/>
      <c r="M235" s="309"/>
      <c r="N235" s="306"/>
      <c r="O235" s="303"/>
      <c r="P235" s="303"/>
      <c r="Q235" s="303"/>
      <c r="R235" s="303"/>
      <c r="S235" s="303"/>
      <c r="T235" s="303"/>
      <c r="U235" s="303"/>
      <c r="V235" s="303"/>
      <c r="W235" s="303"/>
      <c r="X235" s="303"/>
      <c r="Y235" s="303"/>
      <c r="Z235" s="303"/>
    </row>
    <row r="236">
      <c r="A236" s="303"/>
      <c r="B236" s="303"/>
      <c r="C236" s="303"/>
      <c r="D236" s="303"/>
      <c r="E236" s="303"/>
      <c r="F236" s="303"/>
      <c r="G236" s="303"/>
      <c r="H236" s="303"/>
      <c r="I236" s="303"/>
      <c r="J236" s="307"/>
      <c r="K236" s="308"/>
      <c r="L236" s="309"/>
      <c r="M236" s="309"/>
      <c r="N236" s="306"/>
      <c r="O236" s="303"/>
      <c r="P236" s="303"/>
      <c r="Q236" s="303"/>
      <c r="R236" s="303"/>
      <c r="S236" s="303"/>
      <c r="T236" s="303"/>
      <c r="U236" s="303"/>
      <c r="V236" s="303"/>
      <c r="W236" s="303"/>
      <c r="X236" s="303"/>
      <c r="Y236" s="303"/>
      <c r="Z236" s="303"/>
    </row>
    <row r="237">
      <c r="A237" s="303"/>
      <c r="B237" s="303"/>
      <c r="C237" s="303"/>
      <c r="D237" s="303"/>
      <c r="E237" s="303"/>
      <c r="F237" s="303"/>
      <c r="G237" s="303"/>
      <c r="H237" s="303"/>
      <c r="I237" s="303"/>
      <c r="J237" s="307"/>
      <c r="K237" s="308"/>
      <c r="L237" s="309"/>
      <c r="M237" s="309"/>
      <c r="N237" s="306"/>
      <c r="O237" s="303"/>
      <c r="P237" s="303"/>
      <c r="Q237" s="303"/>
      <c r="R237" s="303"/>
      <c r="S237" s="303"/>
      <c r="T237" s="303"/>
      <c r="U237" s="303"/>
      <c r="V237" s="303"/>
      <c r="W237" s="303"/>
      <c r="X237" s="303"/>
      <c r="Y237" s="303"/>
      <c r="Z237" s="303"/>
    </row>
    <row r="238">
      <c r="A238" s="303"/>
      <c r="B238" s="303"/>
      <c r="C238" s="303"/>
      <c r="D238" s="303"/>
      <c r="E238" s="303"/>
      <c r="F238" s="303"/>
      <c r="G238" s="303"/>
      <c r="H238" s="303"/>
      <c r="I238" s="303"/>
      <c r="J238" s="307"/>
      <c r="K238" s="308"/>
      <c r="L238" s="309"/>
      <c r="M238" s="309"/>
      <c r="N238" s="306"/>
      <c r="O238" s="303"/>
      <c r="P238" s="303"/>
      <c r="Q238" s="303"/>
      <c r="R238" s="303"/>
      <c r="S238" s="303"/>
      <c r="T238" s="303"/>
      <c r="U238" s="303"/>
      <c r="V238" s="303"/>
      <c r="W238" s="303"/>
      <c r="X238" s="303"/>
      <c r="Y238" s="303"/>
      <c r="Z238" s="303"/>
    </row>
    <row r="239">
      <c r="A239" s="303"/>
      <c r="B239" s="303"/>
      <c r="C239" s="303"/>
      <c r="D239" s="303"/>
      <c r="E239" s="303"/>
      <c r="F239" s="303"/>
      <c r="G239" s="303"/>
      <c r="H239" s="303"/>
      <c r="I239" s="303"/>
      <c r="J239" s="307"/>
      <c r="K239" s="308"/>
      <c r="L239" s="309"/>
      <c r="M239" s="309"/>
      <c r="N239" s="306"/>
      <c r="O239" s="303"/>
      <c r="P239" s="303"/>
      <c r="Q239" s="303"/>
      <c r="R239" s="303"/>
      <c r="S239" s="303"/>
      <c r="T239" s="303"/>
      <c r="U239" s="303"/>
      <c r="V239" s="303"/>
      <c r="W239" s="303"/>
      <c r="X239" s="303"/>
      <c r="Y239" s="303"/>
      <c r="Z239" s="303"/>
    </row>
    <row r="240">
      <c r="A240" s="303"/>
      <c r="B240" s="303"/>
      <c r="C240" s="303"/>
      <c r="D240" s="303"/>
      <c r="E240" s="303"/>
      <c r="F240" s="303"/>
      <c r="G240" s="303"/>
      <c r="H240" s="303"/>
      <c r="I240" s="303"/>
      <c r="J240" s="307"/>
      <c r="K240" s="308"/>
      <c r="L240" s="309"/>
      <c r="M240" s="309"/>
      <c r="N240" s="306"/>
      <c r="O240" s="303"/>
      <c r="P240" s="303"/>
      <c r="Q240" s="303"/>
      <c r="R240" s="303"/>
      <c r="S240" s="303"/>
      <c r="T240" s="303"/>
      <c r="U240" s="303"/>
      <c r="V240" s="303"/>
      <c r="W240" s="303"/>
      <c r="X240" s="303"/>
      <c r="Y240" s="303"/>
      <c r="Z240" s="303"/>
    </row>
    <row r="241">
      <c r="A241" s="303"/>
      <c r="B241" s="303"/>
      <c r="C241" s="303"/>
      <c r="D241" s="303"/>
      <c r="E241" s="303"/>
      <c r="F241" s="303"/>
      <c r="G241" s="303"/>
      <c r="H241" s="303"/>
      <c r="I241" s="303"/>
      <c r="J241" s="307"/>
      <c r="K241" s="308"/>
      <c r="L241" s="309"/>
      <c r="M241" s="309"/>
      <c r="N241" s="306"/>
      <c r="O241" s="303"/>
      <c r="P241" s="303"/>
      <c r="Q241" s="303"/>
      <c r="R241" s="303"/>
      <c r="S241" s="303"/>
      <c r="T241" s="303"/>
      <c r="U241" s="303"/>
      <c r="V241" s="303"/>
      <c r="W241" s="303"/>
      <c r="X241" s="303"/>
      <c r="Y241" s="303"/>
      <c r="Z241" s="303"/>
    </row>
    <row r="242">
      <c r="A242" s="303"/>
      <c r="B242" s="303"/>
      <c r="C242" s="303"/>
      <c r="D242" s="303"/>
      <c r="E242" s="303"/>
      <c r="F242" s="303"/>
      <c r="G242" s="303"/>
      <c r="H242" s="303"/>
      <c r="I242" s="303"/>
      <c r="J242" s="307"/>
      <c r="K242" s="308"/>
      <c r="L242" s="309"/>
      <c r="M242" s="309"/>
      <c r="N242" s="306"/>
      <c r="O242" s="303"/>
      <c r="P242" s="303"/>
      <c r="Q242" s="303"/>
      <c r="R242" s="303"/>
      <c r="S242" s="303"/>
      <c r="T242" s="303"/>
      <c r="U242" s="303"/>
      <c r="V242" s="303"/>
      <c r="W242" s="303"/>
      <c r="X242" s="303"/>
      <c r="Y242" s="303"/>
      <c r="Z242" s="303"/>
    </row>
    <row r="243">
      <c r="A243" s="303"/>
      <c r="B243" s="303"/>
      <c r="C243" s="303"/>
      <c r="D243" s="303"/>
      <c r="E243" s="303"/>
      <c r="F243" s="303"/>
      <c r="G243" s="303"/>
      <c r="H243" s="303"/>
      <c r="I243" s="303"/>
      <c r="J243" s="307"/>
      <c r="K243" s="308"/>
      <c r="L243" s="309"/>
      <c r="M243" s="309"/>
      <c r="N243" s="306"/>
      <c r="O243" s="303"/>
      <c r="P243" s="303"/>
      <c r="Q243" s="303"/>
      <c r="R243" s="303"/>
      <c r="S243" s="303"/>
      <c r="T243" s="303"/>
      <c r="U243" s="303"/>
      <c r="V243" s="303"/>
      <c r="W243" s="303"/>
      <c r="X243" s="303"/>
      <c r="Y243" s="303"/>
      <c r="Z243" s="303"/>
    </row>
    <row r="244">
      <c r="A244" s="303"/>
      <c r="B244" s="303"/>
      <c r="C244" s="303"/>
      <c r="D244" s="303"/>
      <c r="E244" s="303"/>
      <c r="F244" s="303"/>
      <c r="G244" s="303"/>
      <c r="H244" s="303"/>
      <c r="I244" s="303"/>
      <c r="J244" s="307"/>
      <c r="K244" s="308"/>
      <c r="L244" s="309"/>
      <c r="M244" s="309"/>
      <c r="N244" s="306"/>
      <c r="O244" s="303"/>
      <c r="P244" s="303"/>
      <c r="Q244" s="303"/>
      <c r="R244" s="303"/>
      <c r="S244" s="303"/>
      <c r="T244" s="303"/>
      <c r="U244" s="303"/>
      <c r="V244" s="303"/>
      <c r="W244" s="303"/>
      <c r="X244" s="303"/>
      <c r="Y244" s="303"/>
      <c r="Z244" s="303"/>
    </row>
    <row r="245">
      <c r="A245" s="303"/>
      <c r="B245" s="303"/>
      <c r="C245" s="303"/>
      <c r="D245" s="303"/>
      <c r="E245" s="303"/>
      <c r="F245" s="303"/>
      <c r="G245" s="303"/>
      <c r="H245" s="303"/>
      <c r="I245" s="303"/>
      <c r="J245" s="307"/>
      <c r="K245" s="308"/>
      <c r="L245" s="309"/>
      <c r="M245" s="309"/>
      <c r="N245" s="306"/>
      <c r="O245" s="303"/>
      <c r="P245" s="303"/>
      <c r="Q245" s="303"/>
      <c r="R245" s="303"/>
      <c r="S245" s="303"/>
      <c r="T245" s="303"/>
      <c r="U245" s="303"/>
      <c r="V245" s="303"/>
      <c r="W245" s="303"/>
      <c r="X245" s="303"/>
      <c r="Y245" s="303"/>
      <c r="Z245" s="303"/>
    </row>
    <row r="246">
      <c r="A246" s="303"/>
      <c r="B246" s="303"/>
      <c r="C246" s="303"/>
      <c r="D246" s="303"/>
      <c r="E246" s="303"/>
      <c r="F246" s="303"/>
      <c r="G246" s="303"/>
      <c r="H246" s="303"/>
      <c r="I246" s="303"/>
      <c r="J246" s="307"/>
      <c r="K246" s="308"/>
      <c r="L246" s="309"/>
      <c r="M246" s="309"/>
      <c r="N246" s="306"/>
      <c r="O246" s="303"/>
      <c r="P246" s="303"/>
      <c r="Q246" s="303"/>
      <c r="R246" s="303"/>
      <c r="S246" s="303"/>
      <c r="T246" s="303"/>
      <c r="U246" s="303"/>
      <c r="V246" s="303"/>
      <c r="W246" s="303"/>
      <c r="X246" s="303"/>
      <c r="Y246" s="303"/>
      <c r="Z246" s="303"/>
    </row>
    <row r="247">
      <c r="A247" s="303"/>
      <c r="B247" s="303"/>
      <c r="C247" s="303"/>
      <c r="D247" s="303"/>
      <c r="E247" s="303"/>
      <c r="F247" s="303"/>
      <c r="G247" s="303"/>
      <c r="H247" s="303"/>
      <c r="I247" s="303"/>
      <c r="J247" s="307"/>
      <c r="K247" s="308"/>
      <c r="L247" s="309"/>
      <c r="M247" s="309"/>
      <c r="N247" s="306"/>
      <c r="O247" s="303"/>
      <c r="P247" s="303"/>
      <c r="Q247" s="303"/>
      <c r="R247" s="303"/>
      <c r="S247" s="303"/>
      <c r="T247" s="303"/>
      <c r="U247" s="303"/>
      <c r="V247" s="303"/>
      <c r="W247" s="303"/>
      <c r="X247" s="303"/>
      <c r="Y247" s="303"/>
      <c r="Z247" s="303"/>
    </row>
    <row r="248">
      <c r="A248" s="303"/>
      <c r="B248" s="303"/>
      <c r="C248" s="303"/>
      <c r="D248" s="303"/>
      <c r="E248" s="303"/>
      <c r="F248" s="303"/>
      <c r="G248" s="303"/>
      <c r="H248" s="303"/>
      <c r="I248" s="303"/>
      <c r="J248" s="307"/>
      <c r="K248" s="308"/>
      <c r="L248" s="309"/>
      <c r="M248" s="309"/>
      <c r="N248" s="306"/>
      <c r="O248" s="303"/>
      <c r="P248" s="303"/>
      <c r="Q248" s="303"/>
      <c r="R248" s="303"/>
      <c r="S248" s="303"/>
      <c r="T248" s="303"/>
      <c r="U248" s="303"/>
      <c r="V248" s="303"/>
      <c r="W248" s="303"/>
      <c r="X248" s="303"/>
      <c r="Y248" s="303"/>
      <c r="Z248" s="303"/>
    </row>
    <row r="249">
      <c r="A249" s="303"/>
      <c r="B249" s="303"/>
      <c r="C249" s="303"/>
      <c r="D249" s="303"/>
      <c r="E249" s="303"/>
      <c r="F249" s="303"/>
      <c r="G249" s="303"/>
      <c r="H249" s="303"/>
      <c r="I249" s="303"/>
      <c r="J249" s="307"/>
      <c r="K249" s="308"/>
      <c r="L249" s="309"/>
      <c r="M249" s="309"/>
      <c r="N249" s="306"/>
      <c r="O249" s="303"/>
      <c r="P249" s="303"/>
      <c r="Q249" s="303"/>
      <c r="R249" s="303"/>
      <c r="S249" s="303"/>
      <c r="T249" s="303"/>
      <c r="U249" s="303"/>
      <c r="V249" s="303"/>
      <c r="W249" s="303"/>
      <c r="X249" s="303"/>
      <c r="Y249" s="303"/>
      <c r="Z249" s="303"/>
    </row>
    <row r="250">
      <c r="A250" s="303"/>
      <c r="B250" s="303"/>
      <c r="C250" s="303"/>
      <c r="D250" s="303"/>
      <c r="E250" s="303"/>
      <c r="F250" s="303"/>
      <c r="G250" s="303"/>
      <c r="H250" s="303"/>
      <c r="I250" s="303"/>
      <c r="J250" s="307"/>
      <c r="K250" s="308"/>
      <c r="L250" s="309"/>
      <c r="M250" s="309"/>
      <c r="N250" s="306"/>
      <c r="O250" s="303"/>
      <c r="P250" s="303"/>
      <c r="Q250" s="303"/>
      <c r="R250" s="303"/>
      <c r="S250" s="303"/>
      <c r="T250" s="303"/>
      <c r="U250" s="303"/>
      <c r="V250" s="303"/>
      <c r="W250" s="303"/>
      <c r="X250" s="303"/>
      <c r="Y250" s="303"/>
      <c r="Z250" s="303"/>
    </row>
    <row r="251">
      <c r="A251" s="303"/>
      <c r="B251" s="303"/>
      <c r="C251" s="303"/>
      <c r="D251" s="303"/>
      <c r="E251" s="303"/>
      <c r="F251" s="303"/>
      <c r="G251" s="303"/>
      <c r="H251" s="303"/>
      <c r="I251" s="303"/>
      <c r="J251" s="307"/>
      <c r="K251" s="308"/>
      <c r="L251" s="309"/>
      <c r="M251" s="309"/>
      <c r="N251" s="306"/>
      <c r="O251" s="303"/>
      <c r="P251" s="303"/>
      <c r="Q251" s="303"/>
      <c r="R251" s="303"/>
      <c r="S251" s="303"/>
      <c r="T251" s="303"/>
      <c r="U251" s="303"/>
      <c r="V251" s="303"/>
      <c r="W251" s="303"/>
      <c r="X251" s="303"/>
      <c r="Y251" s="303"/>
      <c r="Z251" s="303"/>
    </row>
    <row r="252">
      <c r="A252" s="303"/>
      <c r="B252" s="303"/>
      <c r="C252" s="303"/>
      <c r="D252" s="303"/>
      <c r="E252" s="303"/>
      <c r="F252" s="303"/>
      <c r="G252" s="303"/>
      <c r="H252" s="303"/>
      <c r="I252" s="303"/>
      <c r="J252" s="307"/>
      <c r="K252" s="308"/>
      <c r="L252" s="309"/>
      <c r="M252" s="309"/>
      <c r="N252" s="306"/>
      <c r="O252" s="303"/>
      <c r="P252" s="303"/>
      <c r="Q252" s="303"/>
      <c r="R252" s="303"/>
      <c r="S252" s="303"/>
      <c r="T252" s="303"/>
      <c r="U252" s="303"/>
      <c r="V252" s="303"/>
      <c r="W252" s="303"/>
      <c r="X252" s="303"/>
      <c r="Y252" s="303"/>
      <c r="Z252" s="303"/>
    </row>
    <row r="253">
      <c r="A253" s="303"/>
      <c r="B253" s="303"/>
      <c r="C253" s="303"/>
      <c r="D253" s="303"/>
      <c r="E253" s="303"/>
      <c r="F253" s="303"/>
      <c r="G253" s="303"/>
      <c r="H253" s="303"/>
      <c r="I253" s="303"/>
      <c r="J253" s="307"/>
      <c r="K253" s="308"/>
      <c r="L253" s="309"/>
      <c r="M253" s="309"/>
      <c r="N253" s="306"/>
      <c r="O253" s="303"/>
      <c r="P253" s="303"/>
      <c r="Q253" s="303"/>
      <c r="R253" s="303"/>
      <c r="S253" s="303"/>
      <c r="T253" s="303"/>
      <c r="U253" s="303"/>
      <c r="V253" s="303"/>
      <c r="W253" s="303"/>
      <c r="X253" s="303"/>
      <c r="Y253" s="303"/>
      <c r="Z253" s="303"/>
    </row>
    <row r="254">
      <c r="A254" s="303"/>
      <c r="B254" s="303"/>
      <c r="C254" s="303"/>
      <c r="D254" s="303"/>
      <c r="E254" s="303"/>
      <c r="F254" s="303"/>
      <c r="G254" s="303"/>
      <c r="H254" s="303"/>
      <c r="I254" s="303"/>
      <c r="J254" s="307"/>
      <c r="K254" s="308"/>
      <c r="L254" s="309"/>
      <c r="M254" s="309"/>
      <c r="N254" s="306"/>
      <c r="O254" s="303"/>
      <c r="P254" s="303"/>
      <c r="Q254" s="303"/>
      <c r="R254" s="303"/>
      <c r="S254" s="303"/>
      <c r="T254" s="303"/>
      <c r="U254" s="303"/>
      <c r="V254" s="303"/>
      <c r="W254" s="303"/>
      <c r="X254" s="303"/>
      <c r="Y254" s="303"/>
      <c r="Z254" s="303"/>
    </row>
    <row r="255">
      <c r="A255" s="303"/>
      <c r="B255" s="303"/>
      <c r="C255" s="303"/>
      <c r="D255" s="303"/>
      <c r="E255" s="303"/>
      <c r="F255" s="303"/>
      <c r="G255" s="303"/>
      <c r="H255" s="303"/>
      <c r="I255" s="303"/>
      <c r="J255" s="307"/>
      <c r="K255" s="308"/>
      <c r="L255" s="309"/>
      <c r="M255" s="309"/>
      <c r="N255" s="306"/>
      <c r="O255" s="303"/>
      <c r="P255" s="303"/>
      <c r="Q255" s="303"/>
      <c r="R255" s="303"/>
      <c r="S255" s="303"/>
      <c r="T255" s="303"/>
      <c r="U255" s="303"/>
      <c r="V255" s="303"/>
      <c r="W255" s="303"/>
      <c r="X255" s="303"/>
      <c r="Y255" s="303"/>
      <c r="Z255" s="303"/>
    </row>
    <row r="256">
      <c r="A256" s="303"/>
      <c r="B256" s="303"/>
      <c r="C256" s="303"/>
      <c r="D256" s="303"/>
      <c r="E256" s="303"/>
      <c r="F256" s="303"/>
      <c r="G256" s="303"/>
      <c r="H256" s="303"/>
      <c r="I256" s="303"/>
      <c r="J256" s="307"/>
      <c r="K256" s="308"/>
      <c r="L256" s="309"/>
      <c r="M256" s="309"/>
      <c r="N256" s="306"/>
      <c r="O256" s="303"/>
      <c r="P256" s="303"/>
      <c r="Q256" s="303"/>
      <c r="R256" s="303"/>
      <c r="S256" s="303"/>
      <c r="T256" s="303"/>
      <c r="U256" s="303"/>
      <c r="V256" s="303"/>
      <c r="W256" s="303"/>
      <c r="X256" s="303"/>
      <c r="Y256" s="303"/>
      <c r="Z256" s="303"/>
    </row>
    <row r="257">
      <c r="A257" s="303"/>
      <c r="B257" s="303"/>
      <c r="C257" s="303"/>
      <c r="D257" s="303"/>
      <c r="E257" s="303"/>
      <c r="F257" s="303"/>
      <c r="G257" s="303"/>
      <c r="H257" s="303"/>
      <c r="I257" s="303"/>
      <c r="J257" s="307"/>
      <c r="K257" s="308"/>
      <c r="L257" s="309"/>
      <c r="M257" s="309"/>
      <c r="N257" s="306"/>
      <c r="O257" s="303"/>
      <c r="P257" s="303"/>
      <c r="Q257" s="303"/>
      <c r="R257" s="303"/>
      <c r="S257" s="303"/>
      <c r="T257" s="303"/>
      <c r="U257" s="303"/>
      <c r="V257" s="303"/>
      <c r="W257" s="303"/>
      <c r="X257" s="303"/>
      <c r="Y257" s="303"/>
      <c r="Z257" s="303"/>
    </row>
    <row r="258">
      <c r="A258" s="303"/>
      <c r="B258" s="303"/>
      <c r="C258" s="303"/>
      <c r="D258" s="303"/>
      <c r="E258" s="303"/>
      <c r="F258" s="303"/>
      <c r="G258" s="303"/>
      <c r="H258" s="303"/>
      <c r="I258" s="303"/>
      <c r="J258" s="307"/>
      <c r="K258" s="308"/>
      <c r="L258" s="309"/>
      <c r="M258" s="309"/>
      <c r="N258" s="306"/>
      <c r="O258" s="303"/>
      <c r="P258" s="303"/>
      <c r="Q258" s="303"/>
      <c r="R258" s="303"/>
      <c r="S258" s="303"/>
      <c r="T258" s="303"/>
      <c r="U258" s="303"/>
      <c r="V258" s="303"/>
      <c r="W258" s="303"/>
      <c r="X258" s="303"/>
      <c r="Y258" s="303"/>
      <c r="Z258" s="303"/>
    </row>
    <row r="259">
      <c r="A259" s="303"/>
      <c r="B259" s="303"/>
      <c r="C259" s="303"/>
      <c r="D259" s="303"/>
      <c r="E259" s="303"/>
      <c r="F259" s="303"/>
      <c r="G259" s="303"/>
      <c r="H259" s="303"/>
      <c r="I259" s="303"/>
      <c r="J259" s="307"/>
      <c r="K259" s="308"/>
      <c r="L259" s="309"/>
      <c r="M259" s="309"/>
      <c r="N259" s="306"/>
      <c r="O259" s="303"/>
      <c r="P259" s="303"/>
      <c r="Q259" s="303"/>
      <c r="R259" s="303"/>
      <c r="S259" s="303"/>
      <c r="T259" s="303"/>
      <c r="U259" s="303"/>
      <c r="V259" s="303"/>
      <c r="W259" s="303"/>
      <c r="X259" s="303"/>
      <c r="Y259" s="303"/>
      <c r="Z259" s="303"/>
    </row>
    <row r="260">
      <c r="A260" s="303"/>
      <c r="B260" s="303"/>
      <c r="C260" s="303"/>
      <c r="D260" s="303"/>
      <c r="E260" s="303"/>
      <c r="F260" s="303"/>
      <c r="G260" s="303"/>
      <c r="H260" s="303"/>
      <c r="I260" s="303"/>
      <c r="J260" s="307"/>
      <c r="K260" s="308"/>
      <c r="L260" s="309"/>
      <c r="M260" s="309"/>
      <c r="N260" s="306"/>
      <c r="O260" s="303"/>
      <c r="P260" s="303"/>
      <c r="Q260" s="303"/>
      <c r="R260" s="303"/>
      <c r="S260" s="303"/>
      <c r="T260" s="303"/>
      <c r="U260" s="303"/>
      <c r="V260" s="303"/>
      <c r="W260" s="303"/>
      <c r="X260" s="303"/>
      <c r="Y260" s="303"/>
      <c r="Z260" s="303"/>
    </row>
    <row r="261">
      <c r="A261" s="303"/>
      <c r="B261" s="303"/>
      <c r="C261" s="303"/>
      <c r="D261" s="303"/>
      <c r="E261" s="303"/>
      <c r="F261" s="303"/>
      <c r="G261" s="303"/>
      <c r="H261" s="303"/>
      <c r="I261" s="303"/>
      <c r="J261" s="307"/>
      <c r="K261" s="308"/>
      <c r="L261" s="309"/>
      <c r="M261" s="309"/>
      <c r="N261" s="306"/>
      <c r="O261" s="303"/>
      <c r="P261" s="303"/>
      <c r="Q261" s="303"/>
      <c r="R261" s="303"/>
      <c r="S261" s="303"/>
      <c r="T261" s="303"/>
      <c r="U261" s="303"/>
      <c r="V261" s="303"/>
      <c r="W261" s="303"/>
      <c r="X261" s="303"/>
      <c r="Y261" s="303"/>
      <c r="Z261" s="303"/>
    </row>
    <row r="262">
      <c r="A262" s="303"/>
      <c r="B262" s="303"/>
      <c r="C262" s="303"/>
      <c r="D262" s="303"/>
      <c r="E262" s="303"/>
      <c r="F262" s="303"/>
      <c r="G262" s="303"/>
      <c r="H262" s="303"/>
      <c r="I262" s="303"/>
      <c r="J262" s="307"/>
      <c r="K262" s="308"/>
      <c r="L262" s="309"/>
      <c r="M262" s="309"/>
      <c r="N262" s="306"/>
      <c r="O262" s="303"/>
      <c r="P262" s="303"/>
      <c r="Q262" s="303"/>
      <c r="R262" s="303"/>
      <c r="S262" s="303"/>
      <c r="T262" s="303"/>
      <c r="U262" s="303"/>
      <c r="V262" s="303"/>
      <c r="W262" s="303"/>
      <c r="X262" s="303"/>
      <c r="Y262" s="303"/>
      <c r="Z262" s="303"/>
    </row>
    <row r="263">
      <c r="A263" s="303"/>
      <c r="B263" s="303"/>
      <c r="C263" s="303"/>
      <c r="D263" s="303"/>
      <c r="E263" s="303"/>
      <c r="F263" s="303"/>
      <c r="G263" s="303"/>
      <c r="H263" s="303"/>
      <c r="I263" s="303"/>
      <c r="J263" s="307"/>
      <c r="K263" s="308"/>
      <c r="L263" s="309"/>
      <c r="M263" s="309"/>
      <c r="N263" s="306"/>
      <c r="O263" s="303"/>
      <c r="P263" s="303"/>
      <c r="Q263" s="303"/>
      <c r="R263" s="303"/>
      <c r="S263" s="303"/>
      <c r="T263" s="303"/>
      <c r="U263" s="303"/>
      <c r="V263" s="303"/>
      <c r="W263" s="303"/>
      <c r="X263" s="303"/>
      <c r="Y263" s="303"/>
      <c r="Z263" s="303"/>
    </row>
    <row r="264">
      <c r="A264" s="303"/>
      <c r="B264" s="303"/>
      <c r="C264" s="303"/>
      <c r="D264" s="303"/>
      <c r="E264" s="303"/>
      <c r="F264" s="303"/>
      <c r="G264" s="303"/>
      <c r="H264" s="303"/>
      <c r="I264" s="303"/>
      <c r="J264" s="307"/>
      <c r="K264" s="308"/>
      <c r="L264" s="309"/>
      <c r="M264" s="309"/>
      <c r="N264" s="306"/>
      <c r="O264" s="303"/>
      <c r="P264" s="303"/>
      <c r="Q264" s="303"/>
      <c r="R264" s="303"/>
      <c r="S264" s="303"/>
      <c r="T264" s="303"/>
      <c r="U264" s="303"/>
      <c r="V264" s="303"/>
      <c r="W264" s="303"/>
      <c r="X264" s="303"/>
      <c r="Y264" s="303"/>
      <c r="Z264" s="303"/>
    </row>
    <row r="265">
      <c r="A265" s="303"/>
      <c r="B265" s="303"/>
      <c r="C265" s="303"/>
      <c r="D265" s="303"/>
      <c r="E265" s="303"/>
      <c r="F265" s="303"/>
      <c r="G265" s="303"/>
      <c r="H265" s="303"/>
      <c r="I265" s="303"/>
      <c r="J265" s="307"/>
      <c r="K265" s="308"/>
      <c r="L265" s="309"/>
      <c r="M265" s="309"/>
      <c r="N265" s="306"/>
      <c r="O265" s="303"/>
      <c r="P265" s="303"/>
      <c r="Q265" s="303"/>
      <c r="R265" s="303"/>
      <c r="S265" s="303"/>
      <c r="T265" s="303"/>
      <c r="U265" s="303"/>
      <c r="V265" s="303"/>
      <c r="W265" s="303"/>
      <c r="X265" s="303"/>
      <c r="Y265" s="303"/>
      <c r="Z265" s="303"/>
    </row>
    <row r="266">
      <c r="A266" s="303"/>
      <c r="B266" s="303"/>
      <c r="C266" s="303"/>
      <c r="D266" s="303"/>
      <c r="E266" s="303"/>
      <c r="F266" s="303"/>
      <c r="G266" s="303"/>
      <c r="H266" s="303"/>
      <c r="I266" s="303"/>
      <c r="J266" s="307"/>
      <c r="K266" s="308"/>
      <c r="L266" s="309"/>
      <c r="M266" s="309"/>
      <c r="N266" s="306"/>
      <c r="O266" s="303"/>
      <c r="P266" s="303"/>
      <c r="Q266" s="303"/>
      <c r="R266" s="303"/>
      <c r="S266" s="303"/>
      <c r="T266" s="303"/>
      <c r="U266" s="303"/>
      <c r="V266" s="303"/>
      <c r="W266" s="303"/>
      <c r="X266" s="303"/>
      <c r="Y266" s="303"/>
      <c r="Z266" s="303"/>
    </row>
    <row r="267">
      <c r="A267" s="303"/>
      <c r="B267" s="303"/>
      <c r="C267" s="303"/>
      <c r="D267" s="303"/>
      <c r="E267" s="303"/>
      <c r="F267" s="303"/>
      <c r="G267" s="303"/>
      <c r="H267" s="303"/>
      <c r="I267" s="303"/>
      <c r="J267" s="307"/>
      <c r="K267" s="308"/>
      <c r="L267" s="309"/>
      <c r="M267" s="309"/>
      <c r="N267" s="306"/>
      <c r="O267" s="303"/>
      <c r="P267" s="303"/>
      <c r="Q267" s="303"/>
      <c r="R267" s="303"/>
      <c r="S267" s="303"/>
      <c r="T267" s="303"/>
      <c r="U267" s="303"/>
      <c r="V267" s="303"/>
      <c r="W267" s="303"/>
      <c r="X267" s="303"/>
      <c r="Y267" s="303"/>
      <c r="Z267" s="303"/>
    </row>
    <row r="268">
      <c r="A268" s="303"/>
      <c r="B268" s="303"/>
      <c r="C268" s="303"/>
      <c r="D268" s="303"/>
      <c r="E268" s="303"/>
      <c r="F268" s="303"/>
      <c r="G268" s="303"/>
      <c r="H268" s="303"/>
      <c r="I268" s="303"/>
      <c r="J268" s="307"/>
      <c r="K268" s="308"/>
      <c r="L268" s="309"/>
      <c r="M268" s="309"/>
      <c r="N268" s="306"/>
      <c r="O268" s="303"/>
      <c r="P268" s="303"/>
      <c r="Q268" s="303"/>
      <c r="R268" s="303"/>
      <c r="S268" s="303"/>
      <c r="T268" s="303"/>
      <c r="U268" s="303"/>
      <c r="V268" s="303"/>
      <c r="W268" s="303"/>
      <c r="X268" s="303"/>
      <c r="Y268" s="303"/>
      <c r="Z268" s="303"/>
    </row>
    <row r="269">
      <c r="A269" s="303"/>
      <c r="B269" s="303"/>
      <c r="C269" s="303"/>
      <c r="D269" s="303"/>
      <c r="E269" s="303"/>
      <c r="F269" s="303"/>
      <c r="G269" s="303"/>
      <c r="H269" s="303"/>
      <c r="I269" s="303"/>
      <c r="J269" s="307"/>
      <c r="K269" s="308"/>
      <c r="L269" s="309"/>
      <c r="M269" s="309"/>
      <c r="N269" s="306"/>
      <c r="O269" s="303"/>
      <c r="P269" s="303"/>
      <c r="Q269" s="303"/>
      <c r="R269" s="303"/>
      <c r="S269" s="303"/>
      <c r="T269" s="303"/>
      <c r="U269" s="303"/>
      <c r="V269" s="303"/>
      <c r="W269" s="303"/>
      <c r="X269" s="303"/>
      <c r="Y269" s="303"/>
      <c r="Z269" s="303"/>
    </row>
    <row r="270">
      <c r="A270" s="303"/>
      <c r="B270" s="303"/>
      <c r="C270" s="303"/>
      <c r="D270" s="303"/>
      <c r="E270" s="303"/>
      <c r="F270" s="303"/>
      <c r="G270" s="303"/>
      <c r="H270" s="303"/>
      <c r="I270" s="303"/>
      <c r="J270" s="307"/>
      <c r="K270" s="308"/>
      <c r="L270" s="309"/>
      <c r="M270" s="309"/>
      <c r="N270" s="306"/>
      <c r="O270" s="303"/>
      <c r="P270" s="303"/>
      <c r="Q270" s="303"/>
      <c r="R270" s="303"/>
      <c r="S270" s="303"/>
      <c r="T270" s="303"/>
      <c r="U270" s="303"/>
      <c r="V270" s="303"/>
      <c r="W270" s="303"/>
      <c r="X270" s="303"/>
      <c r="Y270" s="303"/>
      <c r="Z270" s="303"/>
    </row>
    <row r="271">
      <c r="A271" s="303"/>
      <c r="B271" s="303"/>
      <c r="C271" s="303"/>
      <c r="D271" s="303"/>
      <c r="E271" s="303"/>
      <c r="F271" s="303"/>
      <c r="G271" s="303"/>
      <c r="H271" s="303"/>
      <c r="I271" s="303"/>
      <c r="J271" s="307"/>
      <c r="K271" s="308"/>
      <c r="L271" s="309"/>
      <c r="M271" s="309"/>
      <c r="N271" s="306"/>
      <c r="O271" s="303"/>
      <c r="P271" s="303"/>
      <c r="Q271" s="303"/>
      <c r="R271" s="303"/>
      <c r="S271" s="303"/>
      <c r="T271" s="303"/>
      <c r="U271" s="303"/>
      <c r="V271" s="303"/>
      <c r="W271" s="303"/>
      <c r="X271" s="303"/>
      <c r="Y271" s="303"/>
      <c r="Z271" s="303"/>
    </row>
    <row r="272">
      <c r="A272" s="303"/>
      <c r="B272" s="303"/>
      <c r="C272" s="303"/>
      <c r="D272" s="303"/>
      <c r="E272" s="303"/>
      <c r="F272" s="303"/>
      <c r="G272" s="303"/>
      <c r="H272" s="303"/>
      <c r="I272" s="303"/>
      <c r="J272" s="307"/>
      <c r="K272" s="308"/>
      <c r="L272" s="309"/>
      <c r="M272" s="309"/>
      <c r="N272" s="306"/>
      <c r="O272" s="303"/>
      <c r="P272" s="303"/>
      <c r="Q272" s="303"/>
      <c r="R272" s="303"/>
      <c r="S272" s="303"/>
      <c r="T272" s="303"/>
      <c r="U272" s="303"/>
      <c r="V272" s="303"/>
      <c r="W272" s="303"/>
      <c r="X272" s="303"/>
      <c r="Y272" s="303"/>
      <c r="Z272" s="303"/>
    </row>
    <row r="273">
      <c r="A273" s="303"/>
      <c r="B273" s="303"/>
      <c r="C273" s="303"/>
      <c r="D273" s="303"/>
      <c r="E273" s="303"/>
      <c r="F273" s="303"/>
      <c r="G273" s="303"/>
      <c r="H273" s="303"/>
      <c r="I273" s="303"/>
      <c r="J273" s="307"/>
      <c r="K273" s="308"/>
      <c r="L273" s="309"/>
      <c r="M273" s="309"/>
      <c r="N273" s="306"/>
      <c r="O273" s="303"/>
      <c r="P273" s="303"/>
      <c r="Q273" s="303"/>
      <c r="R273" s="303"/>
      <c r="S273" s="303"/>
      <c r="T273" s="303"/>
      <c r="U273" s="303"/>
      <c r="V273" s="303"/>
      <c r="W273" s="303"/>
      <c r="X273" s="303"/>
      <c r="Y273" s="303"/>
      <c r="Z273" s="303"/>
    </row>
    <row r="274">
      <c r="A274" s="303"/>
      <c r="B274" s="303"/>
      <c r="C274" s="303"/>
      <c r="D274" s="303"/>
      <c r="E274" s="303"/>
      <c r="F274" s="303"/>
      <c r="G274" s="303"/>
      <c r="H274" s="303"/>
      <c r="I274" s="303"/>
      <c r="J274" s="307"/>
      <c r="K274" s="308"/>
      <c r="L274" s="309"/>
      <c r="M274" s="309"/>
      <c r="N274" s="306"/>
      <c r="O274" s="303"/>
      <c r="P274" s="303"/>
      <c r="Q274" s="303"/>
      <c r="R274" s="303"/>
      <c r="S274" s="303"/>
      <c r="T274" s="303"/>
      <c r="U274" s="303"/>
      <c r="V274" s="303"/>
      <c r="W274" s="303"/>
      <c r="X274" s="303"/>
      <c r="Y274" s="303"/>
      <c r="Z274" s="303"/>
    </row>
    <row r="275">
      <c r="A275" s="303"/>
      <c r="B275" s="303"/>
      <c r="C275" s="303"/>
      <c r="D275" s="303"/>
      <c r="E275" s="303"/>
      <c r="F275" s="303"/>
      <c r="G275" s="303"/>
      <c r="H275" s="303"/>
      <c r="I275" s="303"/>
      <c r="J275" s="307"/>
      <c r="K275" s="308"/>
      <c r="L275" s="309"/>
      <c r="M275" s="309"/>
      <c r="N275" s="306"/>
      <c r="O275" s="303"/>
      <c r="P275" s="303"/>
      <c r="Q275" s="303"/>
      <c r="R275" s="303"/>
      <c r="S275" s="303"/>
      <c r="T275" s="303"/>
      <c r="U275" s="303"/>
      <c r="V275" s="303"/>
      <c r="W275" s="303"/>
      <c r="X275" s="303"/>
      <c r="Y275" s="303"/>
      <c r="Z275" s="303"/>
    </row>
    <row r="276">
      <c r="A276" s="303"/>
      <c r="B276" s="303"/>
      <c r="C276" s="303"/>
      <c r="D276" s="303"/>
      <c r="E276" s="303"/>
      <c r="F276" s="303"/>
      <c r="G276" s="303"/>
      <c r="H276" s="303"/>
      <c r="I276" s="303"/>
      <c r="J276" s="307"/>
      <c r="K276" s="308"/>
      <c r="L276" s="309"/>
      <c r="M276" s="309"/>
      <c r="N276" s="306"/>
      <c r="O276" s="303"/>
      <c r="P276" s="303"/>
      <c r="Q276" s="303"/>
      <c r="R276" s="303"/>
      <c r="S276" s="303"/>
      <c r="T276" s="303"/>
      <c r="U276" s="303"/>
      <c r="V276" s="303"/>
      <c r="W276" s="303"/>
      <c r="X276" s="303"/>
      <c r="Y276" s="303"/>
      <c r="Z276" s="303"/>
    </row>
    <row r="277">
      <c r="A277" s="303"/>
      <c r="B277" s="303"/>
      <c r="C277" s="303"/>
      <c r="D277" s="303"/>
      <c r="E277" s="303"/>
      <c r="F277" s="303"/>
      <c r="G277" s="303"/>
      <c r="H277" s="303"/>
      <c r="I277" s="303"/>
      <c r="J277" s="307"/>
      <c r="K277" s="308"/>
      <c r="L277" s="309"/>
      <c r="M277" s="309"/>
      <c r="N277" s="306"/>
      <c r="O277" s="303"/>
      <c r="P277" s="303"/>
      <c r="Q277" s="303"/>
      <c r="R277" s="303"/>
      <c r="S277" s="303"/>
      <c r="T277" s="303"/>
      <c r="U277" s="303"/>
      <c r="V277" s="303"/>
      <c r="W277" s="303"/>
      <c r="X277" s="303"/>
      <c r="Y277" s="303"/>
      <c r="Z277" s="303"/>
    </row>
    <row r="278">
      <c r="A278" s="303"/>
      <c r="B278" s="303"/>
      <c r="C278" s="303"/>
      <c r="D278" s="303"/>
      <c r="E278" s="303"/>
      <c r="F278" s="303"/>
      <c r="G278" s="303"/>
      <c r="H278" s="303"/>
      <c r="I278" s="303"/>
      <c r="J278" s="307"/>
      <c r="K278" s="308"/>
      <c r="L278" s="309"/>
      <c r="M278" s="309"/>
      <c r="N278" s="306"/>
      <c r="O278" s="303"/>
      <c r="P278" s="303"/>
      <c r="Q278" s="303"/>
      <c r="R278" s="303"/>
      <c r="S278" s="303"/>
      <c r="T278" s="303"/>
      <c r="U278" s="303"/>
      <c r="V278" s="303"/>
      <c r="W278" s="303"/>
      <c r="X278" s="303"/>
      <c r="Y278" s="303"/>
      <c r="Z278" s="303"/>
    </row>
    <row r="279">
      <c r="A279" s="303"/>
      <c r="B279" s="303"/>
      <c r="C279" s="303"/>
      <c r="D279" s="303"/>
      <c r="E279" s="303"/>
      <c r="F279" s="303"/>
      <c r="G279" s="303"/>
      <c r="H279" s="303"/>
      <c r="I279" s="303"/>
      <c r="J279" s="307"/>
      <c r="K279" s="308"/>
      <c r="L279" s="309"/>
      <c r="M279" s="309"/>
      <c r="N279" s="306"/>
      <c r="O279" s="303"/>
      <c r="P279" s="303"/>
      <c r="Q279" s="303"/>
      <c r="R279" s="303"/>
      <c r="S279" s="303"/>
      <c r="T279" s="303"/>
      <c r="U279" s="303"/>
      <c r="V279" s="303"/>
      <c r="W279" s="303"/>
      <c r="X279" s="303"/>
      <c r="Y279" s="303"/>
      <c r="Z279" s="303"/>
    </row>
    <row r="280">
      <c r="A280" s="303"/>
      <c r="B280" s="303"/>
      <c r="C280" s="303"/>
      <c r="D280" s="303"/>
      <c r="E280" s="303"/>
      <c r="F280" s="303"/>
      <c r="G280" s="303"/>
      <c r="H280" s="303"/>
      <c r="I280" s="303"/>
      <c r="J280" s="307"/>
      <c r="K280" s="308"/>
      <c r="L280" s="309"/>
      <c r="M280" s="309"/>
      <c r="N280" s="306"/>
      <c r="O280" s="303"/>
      <c r="P280" s="303"/>
      <c r="Q280" s="303"/>
      <c r="R280" s="303"/>
      <c r="S280" s="303"/>
      <c r="T280" s="303"/>
      <c r="U280" s="303"/>
      <c r="V280" s="303"/>
      <c r="W280" s="303"/>
      <c r="X280" s="303"/>
      <c r="Y280" s="303"/>
      <c r="Z280" s="303"/>
    </row>
    <row r="281">
      <c r="A281" s="303"/>
      <c r="B281" s="303"/>
      <c r="C281" s="303"/>
      <c r="D281" s="303"/>
      <c r="E281" s="303"/>
      <c r="F281" s="303"/>
      <c r="G281" s="303"/>
      <c r="H281" s="303"/>
      <c r="I281" s="303"/>
      <c r="J281" s="307"/>
      <c r="K281" s="308"/>
      <c r="L281" s="309"/>
      <c r="M281" s="309"/>
      <c r="N281" s="306"/>
      <c r="O281" s="303"/>
      <c r="P281" s="303"/>
      <c r="Q281" s="303"/>
      <c r="R281" s="303"/>
      <c r="S281" s="303"/>
      <c r="T281" s="303"/>
      <c r="U281" s="303"/>
      <c r="V281" s="303"/>
      <c r="W281" s="303"/>
      <c r="X281" s="303"/>
      <c r="Y281" s="303"/>
      <c r="Z281" s="303"/>
    </row>
    <row r="282">
      <c r="A282" s="303"/>
      <c r="B282" s="303"/>
      <c r="C282" s="303"/>
      <c r="D282" s="303"/>
      <c r="E282" s="303"/>
      <c r="F282" s="303"/>
      <c r="G282" s="303"/>
      <c r="H282" s="303"/>
      <c r="I282" s="303"/>
      <c r="J282" s="307"/>
      <c r="K282" s="308"/>
      <c r="L282" s="309"/>
      <c r="M282" s="309"/>
      <c r="N282" s="306"/>
      <c r="O282" s="303"/>
      <c r="P282" s="303"/>
      <c r="Q282" s="303"/>
      <c r="R282" s="303"/>
      <c r="S282" s="303"/>
      <c r="T282" s="303"/>
      <c r="U282" s="303"/>
      <c r="V282" s="303"/>
      <c r="W282" s="303"/>
      <c r="X282" s="303"/>
      <c r="Y282" s="303"/>
      <c r="Z282" s="303"/>
    </row>
    <row r="283">
      <c r="A283" s="303"/>
      <c r="B283" s="303"/>
      <c r="C283" s="303"/>
      <c r="D283" s="303"/>
      <c r="E283" s="303"/>
      <c r="F283" s="303"/>
      <c r="G283" s="303"/>
      <c r="H283" s="303"/>
      <c r="I283" s="303"/>
      <c r="J283" s="307"/>
      <c r="K283" s="308"/>
      <c r="L283" s="309"/>
      <c r="M283" s="309"/>
      <c r="N283" s="306"/>
      <c r="O283" s="303"/>
      <c r="P283" s="303"/>
      <c r="Q283" s="303"/>
      <c r="R283" s="303"/>
      <c r="S283" s="303"/>
      <c r="T283" s="303"/>
      <c r="U283" s="303"/>
      <c r="V283" s="303"/>
      <c r="W283" s="303"/>
      <c r="X283" s="303"/>
      <c r="Y283" s="303"/>
      <c r="Z283" s="303"/>
    </row>
    <row r="284">
      <c r="A284" s="303"/>
      <c r="B284" s="303"/>
      <c r="C284" s="303"/>
      <c r="D284" s="303"/>
      <c r="E284" s="303"/>
      <c r="F284" s="303"/>
      <c r="G284" s="303"/>
      <c r="H284" s="303"/>
      <c r="I284" s="303"/>
      <c r="J284" s="307"/>
      <c r="K284" s="308"/>
      <c r="L284" s="309"/>
      <c r="M284" s="309"/>
      <c r="N284" s="306"/>
      <c r="O284" s="303"/>
      <c r="P284" s="303"/>
      <c r="Q284" s="303"/>
      <c r="R284" s="303"/>
      <c r="S284" s="303"/>
      <c r="T284" s="303"/>
      <c r="U284" s="303"/>
      <c r="V284" s="303"/>
      <c r="W284" s="303"/>
      <c r="X284" s="303"/>
      <c r="Y284" s="303"/>
      <c r="Z284" s="303"/>
    </row>
    <row r="285">
      <c r="A285" s="303"/>
      <c r="B285" s="303"/>
      <c r="C285" s="303"/>
      <c r="D285" s="303"/>
      <c r="E285" s="303"/>
      <c r="F285" s="303"/>
      <c r="G285" s="303"/>
      <c r="H285" s="303"/>
      <c r="I285" s="303"/>
      <c r="J285" s="307"/>
      <c r="K285" s="308"/>
      <c r="L285" s="309"/>
      <c r="M285" s="309"/>
      <c r="N285" s="306"/>
      <c r="O285" s="303"/>
      <c r="P285" s="303"/>
      <c r="Q285" s="303"/>
      <c r="R285" s="303"/>
      <c r="S285" s="303"/>
      <c r="T285" s="303"/>
      <c r="U285" s="303"/>
      <c r="V285" s="303"/>
      <c r="W285" s="303"/>
      <c r="X285" s="303"/>
      <c r="Y285" s="303"/>
      <c r="Z285" s="303"/>
    </row>
    <row r="286">
      <c r="A286" s="303"/>
      <c r="B286" s="303"/>
      <c r="C286" s="303"/>
      <c r="D286" s="303"/>
      <c r="E286" s="303"/>
      <c r="F286" s="303"/>
      <c r="G286" s="303"/>
      <c r="H286" s="303"/>
      <c r="I286" s="303"/>
      <c r="J286" s="307"/>
      <c r="K286" s="308"/>
      <c r="L286" s="309"/>
      <c r="M286" s="309"/>
      <c r="N286" s="306"/>
      <c r="O286" s="303"/>
      <c r="P286" s="303"/>
      <c r="Q286" s="303"/>
      <c r="R286" s="303"/>
      <c r="S286" s="303"/>
      <c r="T286" s="303"/>
      <c r="U286" s="303"/>
      <c r="V286" s="303"/>
      <c r="W286" s="303"/>
      <c r="X286" s="303"/>
      <c r="Y286" s="303"/>
      <c r="Z286" s="303"/>
    </row>
    <row r="287">
      <c r="A287" s="303"/>
      <c r="B287" s="303"/>
      <c r="C287" s="303"/>
      <c r="D287" s="303"/>
      <c r="E287" s="303"/>
      <c r="F287" s="303"/>
      <c r="G287" s="303"/>
      <c r="H287" s="303"/>
      <c r="I287" s="303"/>
      <c r="J287" s="307"/>
      <c r="K287" s="308"/>
      <c r="L287" s="309"/>
      <c r="M287" s="309"/>
      <c r="N287" s="306"/>
      <c r="O287" s="303"/>
      <c r="P287" s="303"/>
      <c r="Q287" s="303"/>
      <c r="R287" s="303"/>
      <c r="S287" s="303"/>
      <c r="T287" s="303"/>
      <c r="U287" s="303"/>
      <c r="V287" s="303"/>
      <c r="W287" s="303"/>
      <c r="X287" s="303"/>
      <c r="Y287" s="303"/>
      <c r="Z287" s="303"/>
    </row>
    <row r="288">
      <c r="A288" s="303"/>
      <c r="B288" s="303"/>
      <c r="C288" s="303"/>
      <c r="D288" s="303"/>
      <c r="E288" s="303"/>
      <c r="F288" s="303"/>
      <c r="G288" s="303"/>
      <c r="H288" s="303"/>
      <c r="I288" s="303"/>
      <c r="J288" s="307"/>
      <c r="K288" s="308"/>
      <c r="L288" s="309"/>
      <c r="M288" s="309"/>
      <c r="N288" s="306"/>
      <c r="O288" s="303"/>
      <c r="P288" s="303"/>
      <c r="Q288" s="303"/>
      <c r="R288" s="303"/>
      <c r="S288" s="303"/>
      <c r="T288" s="303"/>
      <c r="U288" s="303"/>
      <c r="V288" s="303"/>
      <c r="W288" s="303"/>
      <c r="X288" s="303"/>
      <c r="Y288" s="303"/>
      <c r="Z288" s="303"/>
    </row>
    <row r="289">
      <c r="A289" s="303"/>
      <c r="B289" s="303"/>
      <c r="C289" s="303"/>
      <c r="D289" s="303"/>
      <c r="E289" s="303"/>
      <c r="F289" s="303"/>
      <c r="G289" s="303"/>
      <c r="H289" s="303"/>
      <c r="I289" s="303"/>
      <c r="J289" s="307"/>
      <c r="K289" s="308"/>
      <c r="L289" s="309"/>
      <c r="M289" s="309"/>
      <c r="N289" s="306"/>
      <c r="O289" s="303"/>
      <c r="P289" s="303"/>
      <c r="Q289" s="303"/>
      <c r="R289" s="303"/>
      <c r="S289" s="303"/>
      <c r="T289" s="303"/>
      <c r="U289" s="303"/>
      <c r="V289" s="303"/>
      <c r="W289" s="303"/>
      <c r="X289" s="303"/>
      <c r="Y289" s="303"/>
      <c r="Z289" s="303"/>
    </row>
    <row r="290">
      <c r="A290" s="303"/>
      <c r="B290" s="303"/>
      <c r="C290" s="303"/>
      <c r="D290" s="303"/>
      <c r="E290" s="303"/>
      <c r="F290" s="303"/>
      <c r="G290" s="303"/>
      <c r="H290" s="303"/>
      <c r="I290" s="303"/>
      <c r="J290" s="307"/>
      <c r="K290" s="308"/>
      <c r="L290" s="309"/>
      <c r="M290" s="309"/>
      <c r="N290" s="306"/>
      <c r="O290" s="303"/>
      <c r="P290" s="303"/>
      <c r="Q290" s="303"/>
      <c r="R290" s="303"/>
      <c r="S290" s="303"/>
      <c r="T290" s="303"/>
      <c r="U290" s="303"/>
      <c r="V290" s="303"/>
      <c r="W290" s="303"/>
      <c r="X290" s="303"/>
      <c r="Y290" s="303"/>
      <c r="Z290" s="303"/>
    </row>
    <row r="291">
      <c r="A291" s="303"/>
      <c r="B291" s="303"/>
      <c r="C291" s="303"/>
      <c r="D291" s="303"/>
      <c r="E291" s="303"/>
      <c r="F291" s="303"/>
      <c r="G291" s="303"/>
      <c r="H291" s="303"/>
      <c r="I291" s="303"/>
      <c r="J291" s="307"/>
      <c r="K291" s="308"/>
      <c r="L291" s="309"/>
      <c r="M291" s="309"/>
      <c r="N291" s="306"/>
      <c r="O291" s="303"/>
      <c r="P291" s="303"/>
      <c r="Q291" s="303"/>
      <c r="R291" s="303"/>
      <c r="S291" s="303"/>
      <c r="T291" s="303"/>
      <c r="U291" s="303"/>
      <c r="V291" s="303"/>
      <c r="W291" s="303"/>
      <c r="X291" s="303"/>
      <c r="Y291" s="303"/>
      <c r="Z291" s="303"/>
    </row>
    <row r="292">
      <c r="A292" s="303"/>
      <c r="B292" s="303"/>
      <c r="C292" s="303"/>
      <c r="D292" s="303"/>
      <c r="E292" s="303"/>
      <c r="F292" s="303"/>
      <c r="G292" s="303"/>
      <c r="H292" s="303"/>
      <c r="I292" s="303"/>
      <c r="J292" s="307"/>
      <c r="K292" s="308"/>
      <c r="L292" s="309"/>
      <c r="M292" s="309"/>
      <c r="N292" s="306"/>
      <c r="O292" s="303"/>
      <c r="P292" s="303"/>
      <c r="Q292" s="303"/>
      <c r="R292" s="303"/>
      <c r="S292" s="303"/>
      <c r="T292" s="303"/>
      <c r="U292" s="303"/>
      <c r="V292" s="303"/>
      <c r="W292" s="303"/>
      <c r="X292" s="303"/>
      <c r="Y292" s="303"/>
      <c r="Z292" s="303"/>
    </row>
    <row r="293">
      <c r="A293" s="303"/>
      <c r="B293" s="303"/>
      <c r="C293" s="303"/>
      <c r="D293" s="303"/>
      <c r="E293" s="303"/>
      <c r="F293" s="303"/>
      <c r="G293" s="303"/>
      <c r="H293" s="303"/>
      <c r="I293" s="303"/>
      <c r="J293" s="307"/>
      <c r="K293" s="308"/>
      <c r="L293" s="309"/>
      <c r="M293" s="309"/>
      <c r="N293" s="306"/>
      <c r="O293" s="303"/>
      <c r="P293" s="303"/>
      <c r="Q293" s="303"/>
      <c r="R293" s="303"/>
      <c r="S293" s="303"/>
      <c r="T293" s="303"/>
      <c r="U293" s="303"/>
      <c r="V293" s="303"/>
      <c r="W293" s="303"/>
      <c r="X293" s="303"/>
      <c r="Y293" s="303"/>
      <c r="Z293" s="303"/>
    </row>
    <row r="294">
      <c r="A294" s="303"/>
      <c r="B294" s="303"/>
      <c r="C294" s="303"/>
      <c r="D294" s="303"/>
      <c r="E294" s="303"/>
      <c r="F294" s="303"/>
      <c r="G294" s="303"/>
      <c r="H294" s="303"/>
      <c r="I294" s="303"/>
      <c r="J294" s="307"/>
      <c r="K294" s="308"/>
      <c r="L294" s="309"/>
      <c r="M294" s="309"/>
      <c r="N294" s="306"/>
      <c r="O294" s="303"/>
      <c r="P294" s="303"/>
      <c r="Q294" s="303"/>
      <c r="R294" s="303"/>
      <c r="S294" s="303"/>
      <c r="T294" s="303"/>
      <c r="U294" s="303"/>
      <c r="V294" s="303"/>
      <c r="W294" s="303"/>
      <c r="X294" s="303"/>
      <c r="Y294" s="303"/>
      <c r="Z294" s="303"/>
    </row>
    <row r="295">
      <c r="A295" s="303"/>
      <c r="B295" s="303"/>
      <c r="C295" s="303"/>
      <c r="D295" s="303"/>
      <c r="E295" s="303"/>
      <c r="F295" s="303"/>
      <c r="G295" s="303"/>
      <c r="H295" s="303"/>
      <c r="I295" s="303"/>
      <c r="J295" s="307"/>
      <c r="K295" s="308"/>
      <c r="L295" s="309"/>
      <c r="M295" s="309"/>
      <c r="N295" s="306"/>
      <c r="O295" s="303"/>
      <c r="P295" s="303"/>
      <c r="Q295" s="303"/>
      <c r="R295" s="303"/>
      <c r="S295" s="303"/>
      <c r="T295" s="303"/>
      <c r="U295" s="303"/>
      <c r="V295" s="303"/>
      <c r="W295" s="303"/>
      <c r="X295" s="303"/>
      <c r="Y295" s="303"/>
      <c r="Z295" s="303"/>
    </row>
    <row r="296">
      <c r="A296" s="303"/>
      <c r="B296" s="303"/>
      <c r="C296" s="303"/>
      <c r="D296" s="303"/>
      <c r="E296" s="303"/>
      <c r="F296" s="303"/>
      <c r="G296" s="303"/>
      <c r="H296" s="303"/>
      <c r="I296" s="303"/>
      <c r="J296" s="307"/>
      <c r="K296" s="308"/>
      <c r="L296" s="309"/>
      <c r="M296" s="309"/>
      <c r="N296" s="306"/>
      <c r="O296" s="303"/>
      <c r="P296" s="303"/>
      <c r="Q296" s="303"/>
      <c r="R296" s="303"/>
      <c r="S296" s="303"/>
      <c r="T296" s="303"/>
      <c r="U296" s="303"/>
      <c r="V296" s="303"/>
      <c r="W296" s="303"/>
      <c r="X296" s="303"/>
      <c r="Y296" s="303"/>
      <c r="Z296" s="303"/>
    </row>
    <row r="297">
      <c r="A297" s="303"/>
      <c r="B297" s="303"/>
      <c r="C297" s="303"/>
      <c r="D297" s="303"/>
      <c r="E297" s="303"/>
      <c r="F297" s="303"/>
      <c r="G297" s="303"/>
      <c r="H297" s="303"/>
      <c r="I297" s="303"/>
      <c r="J297" s="307"/>
      <c r="K297" s="308"/>
      <c r="L297" s="309"/>
      <c r="M297" s="309"/>
      <c r="N297" s="306"/>
      <c r="O297" s="303"/>
      <c r="P297" s="303"/>
      <c r="Q297" s="303"/>
      <c r="R297" s="303"/>
      <c r="S297" s="303"/>
      <c r="T297" s="303"/>
      <c r="U297" s="303"/>
      <c r="V297" s="303"/>
      <c r="W297" s="303"/>
      <c r="X297" s="303"/>
      <c r="Y297" s="303"/>
      <c r="Z297" s="303"/>
    </row>
    <row r="298">
      <c r="A298" s="303"/>
      <c r="B298" s="303"/>
      <c r="C298" s="303"/>
      <c r="D298" s="303"/>
      <c r="E298" s="303"/>
      <c r="F298" s="303"/>
      <c r="G298" s="303"/>
      <c r="H298" s="303"/>
      <c r="I298" s="303"/>
      <c r="J298" s="307"/>
      <c r="K298" s="308"/>
      <c r="L298" s="309"/>
      <c r="M298" s="309"/>
      <c r="N298" s="306"/>
      <c r="O298" s="303"/>
      <c r="P298" s="303"/>
      <c r="Q298" s="303"/>
      <c r="R298" s="303"/>
      <c r="S298" s="303"/>
      <c r="T298" s="303"/>
      <c r="U298" s="303"/>
      <c r="V298" s="303"/>
      <c r="W298" s="303"/>
      <c r="X298" s="303"/>
      <c r="Y298" s="303"/>
      <c r="Z298" s="303"/>
    </row>
    <row r="299">
      <c r="A299" s="303"/>
      <c r="B299" s="303"/>
      <c r="C299" s="303"/>
      <c r="D299" s="303"/>
      <c r="E299" s="303"/>
      <c r="F299" s="303"/>
      <c r="G299" s="303"/>
      <c r="H299" s="303"/>
      <c r="I299" s="303"/>
      <c r="J299" s="307"/>
      <c r="K299" s="308"/>
      <c r="L299" s="309"/>
      <c r="M299" s="309"/>
      <c r="N299" s="306"/>
      <c r="O299" s="303"/>
      <c r="P299" s="303"/>
      <c r="Q299" s="303"/>
      <c r="R299" s="303"/>
      <c r="S299" s="303"/>
      <c r="T299" s="303"/>
      <c r="U299" s="303"/>
      <c r="V299" s="303"/>
      <c r="W299" s="303"/>
      <c r="X299" s="303"/>
      <c r="Y299" s="303"/>
      <c r="Z299" s="303"/>
    </row>
    <row r="300">
      <c r="A300" s="303"/>
      <c r="B300" s="303"/>
      <c r="C300" s="303"/>
      <c r="D300" s="303"/>
      <c r="E300" s="303"/>
      <c r="F300" s="303"/>
      <c r="G300" s="303"/>
      <c r="H300" s="303"/>
      <c r="I300" s="303"/>
      <c r="J300" s="307"/>
      <c r="K300" s="308"/>
      <c r="L300" s="309"/>
      <c r="M300" s="309"/>
      <c r="N300" s="306"/>
      <c r="O300" s="303"/>
      <c r="P300" s="303"/>
      <c r="Q300" s="303"/>
      <c r="R300" s="303"/>
      <c r="S300" s="303"/>
      <c r="T300" s="303"/>
      <c r="U300" s="303"/>
      <c r="V300" s="303"/>
      <c r="W300" s="303"/>
      <c r="X300" s="303"/>
      <c r="Y300" s="303"/>
      <c r="Z300" s="303"/>
    </row>
    <row r="301">
      <c r="A301" s="303"/>
      <c r="B301" s="303"/>
      <c r="C301" s="303"/>
      <c r="D301" s="303"/>
      <c r="E301" s="303"/>
      <c r="F301" s="303"/>
      <c r="G301" s="303"/>
      <c r="H301" s="303"/>
      <c r="I301" s="303"/>
      <c r="J301" s="307"/>
      <c r="K301" s="308"/>
      <c r="L301" s="309"/>
      <c r="M301" s="309"/>
      <c r="N301" s="306"/>
      <c r="O301" s="303"/>
      <c r="P301" s="303"/>
      <c r="Q301" s="303"/>
      <c r="R301" s="303"/>
      <c r="S301" s="303"/>
      <c r="T301" s="303"/>
      <c r="U301" s="303"/>
      <c r="V301" s="303"/>
      <c r="W301" s="303"/>
      <c r="X301" s="303"/>
      <c r="Y301" s="303"/>
      <c r="Z301" s="303"/>
    </row>
    <row r="302">
      <c r="A302" s="303"/>
      <c r="B302" s="303"/>
      <c r="C302" s="303"/>
      <c r="D302" s="303"/>
      <c r="E302" s="303"/>
      <c r="F302" s="303"/>
      <c r="G302" s="303"/>
      <c r="H302" s="303"/>
      <c r="I302" s="303"/>
      <c r="J302" s="307"/>
      <c r="K302" s="308"/>
      <c r="L302" s="309"/>
      <c r="M302" s="309"/>
      <c r="N302" s="306"/>
      <c r="O302" s="303"/>
      <c r="P302" s="303"/>
      <c r="Q302" s="303"/>
      <c r="R302" s="303"/>
      <c r="S302" s="303"/>
      <c r="T302" s="303"/>
      <c r="U302" s="303"/>
      <c r="V302" s="303"/>
      <c r="W302" s="303"/>
      <c r="X302" s="303"/>
      <c r="Y302" s="303"/>
      <c r="Z302" s="303"/>
    </row>
    <row r="303">
      <c r="A303" s="303"/>
      <c r="B303" s="303"/>
      <c r="C303" s="303"/>
      <c r="D303" s="303"/>
      <c r="E303" s="303"/>
      <c r="F303" s="303"/>
      <c r="G303" s="303"/>
      <c r="H303" s="303"/>
      <c r="I303" s="303"/>
      <c r="J303" s="307"/>
      <c r="K303" s="308"/>
      <c r="L303" s="309"/>
      <c r="M303" s="309"/>
      <c r="N303" s="306"/>
      <c r="O303" s="303"/>
      <c r="P303" s="303"/>
      <c r="Q303" s="303"/>
      <c r="R303" s="303"/>
      <c r="S303" s="303"/>
      <c r="T303" s="303"/>
      <c r="U303" s="303"/>
      <c r="V303" s="303"/>
      <c r="W303" s="303"/>
      <c r="X303" s="303"/>
      <c r="Y303" s="303"/>
      <c r="Z303" s="303"/>
    </row>
    <row r="304">
      <c r="A304" s="303"/>
      <c r="B304" s="303"/>
      <c r="C304" s="303"/>
      <c r="D304" s="303"/>
      <c r="E304" s="303"/>
      <c r="F304" s="303"/>
      <c r="G304" s="303"/>
      <c r="H304" s="303"/>
      <c r="I304" s="303"/>
      <c r="J304" s="307"/>
      <c r="K304" s="308"/>
      <c r="L304" s="309"/>
      <c r="M304" s="309"/>
      <c r="N304" s="306"/>
      <c r="O304" s="303"/>
      <c r="P304" s="303"/>
      <c r="Q304" s="303"/>
      <c r="R304" s="303"/>
      <c r="S304" s="303"/>
      <c r="T304" s="303"/>
      <c r="U304" s="303"/>
      <c r="V304" s="303"/>
      <c r="W304" s="303"/>
      <c r="X304" s="303"/>
      <c r="Y304" s="303"/>
      <c r="Z304" s="303"/>
    </row>
    <row r="305">
      <c r="A305" s="303"/>
      <c r="B305" s="303"/>
      <c r="C305" s="303"/>
      <c r="D305" s="303"/>
      <c r="E305" s="303"/>
      <c r="F305" s="303"/>
      <c r="G305" s="303"/>
      <c r="H305" s="303"/>
      <c r="I305" s="303"/>
      <c r="J305" s="307"/>
      <c r="K305" s="308"/>
      <c r="L305" s="309"/>
      <c r="M305" s="309"/>
      <c r="N305" s="306"/>
      <c r="O305" s="303"/>
      <c r="P305" s="303"/>
      <c r="Q305" s="303"/>
      <c r="R305" s="303"/>
      <c r="S305" s="303"/>
      <c r="T305" s="303"/>
      <c r="U305" s="303"/>
      <c r="V305" s="303"/>
      <c r="W305" s="303"/>
      <c r="X305" s="303"/>
      <c r="Y305" s="303"/>
      <c r="Z305" s="303"/>
    </row>
    <row r="306">
      <c r="A306" s="303"/>
      <c r="B306" s="303"/>
      <c r="C306" s="303"/>
      <c r="D306" s="303"/>
      <c r="E306" s="303"/>
      <c r="F306" s="303"/>
      <c r="G306" s="303"/>
      <c r="H306" s="303"/>
      <c r="I306" s="303"/>
      <c r="J306" s="307"/>
      <c r="K306" s="308"/>
      <c r="L306" s="309"/>
      <c r="M306" s="309"/>
      <c r="N306" s="306"/>
      <c r="O306" s="303"/>
      <c r="P306" s="303"/>
      <c r="Q306" s="303"/>
      <c r="R306" s="303"/>
      <c r="S306" s="303"/>
      <c r="T306" s="303"/>
      <c r="U306" s="303"/>
      <c r="V306" s="303"/>
      <c r="W306" s="303"/>
      <c r="X306" s="303"/>
      <c r="Y306" s="303"/>
      <c r="Z306" s="303"/>
    </row>
    <row r="307">
      <c r="A307" s="303"/>
      <c r="B307" s="303"/>
      <c r="C307" s="303"/>
      <c r="D307" s="303"/>
      <c r="E307" s="303"/>
      <c r="F307" s="303"/>
      <c r="G307" s="303"/>
      <c r="H307" s="303"/>
      <c r="I307" s="303"/>
      <c r="J307" s="307"/>
      <c r="K307" s="308"/>
      <c r="L307" s="309"/>
      <c r="M307" s="309"/>
      <c r="N307" s="306"/>
      <c r="O307" s="303"/>
      <c r="P307" s="303"/>
      <c r="Q307" s="303"/>
      <c r="R307" s="303"/>
      <c r="S307" s="303"/>
      <c r="T307" s="303"/>
      <c r="U307" s="303"/>
      <c r="V307" s="303"/>
      <c r="W307" s="303"/>
      <c r="X307" s="303"/>
      <c r="Y307" s="303"/>
      <c r="Z307" s="303"/>
    </row>
    <row r="308">
      <c r="A308" s="303"/>
      <c r="B308" s="303"/>
      <c r="C308" s="303"/>
      <c r="D308" s="303"/>
      <c r="E308" s="303"/>
      <c r="F308" s="303"/>
      <c r="G308" s="303"/>
      <c r="H308" s="303"/>
      <c r="I308" s="303"/>
      <c r="J308" s="307"/>
      <c r="K308" s="308"/>
      <c r="L308" s="309"/>
      <c r="M308" s="309"/>
      <c r="N308" s="306"/>
      <c r="O308" s="303"/>
      <c r="P308" s="303"/>
      <c r="Q308" s="303"/>
      <c r="R308" s="303"/>
      <c r="S308" s="303"/>
      <c r="T308" s="303"/>
      <c r="U308" s="303"/>
      <c r="V308" s="303"/>
      <c r="W308" s="303"/>
      <c r="X308" s="303"/>
      <c r="Y308" s="303"/>
      <c r="Z308" s="303"/>
    </row>
    <row r="309">
      <c r="A309" s="303"/>
      <c r="B309" s="303"/>
      <c r="C309" s="303"/>
      <c r="D309" s="303"/>
      <c r="E309" s="303"/>
      <c r="F309" s="303"/>
      <c r="G309" s="303"/>
      <c r="H309" s="303"/>
      <c r="I309" s="303"/>
      <c r="J309" s="307"/>
      <c r="K309" s="308"/>
      <c r="L309" s="309"/>
      <c r="M309" s="309"/>
      <c r="N309" s="306"/>
      <c r="O309" s="303"/>
      <c r="P309" s="303"/>
      <c r="Q309" s="303"/>
      <c r="R309" s="303"/>
      <c r="S309" s="303"/>
      <c r="T309" s="303"/>
      <c r="U309" s="303"/>
      <c r="V309" s="303"/>
      <c r="W309" s="303"/>
      <c r="X309" s="303"/>
      <c r="Y309" s="303"/>
      <c r="Z309" s="303"/>
    </row>
    <row r="310">
      <c r="A310" s="303"/>
      <c r="B310" s="303"/>
      <c r="C310" s="303"/>
      <c r="D310" s="303"/>
      <c r="E310" s="303"/>
      <c r="F310" s="303"/>
      <c r="G310" s="303"/>
      <c r="H310" s="303"/>
      <c r="I310" s="303"/>
      <c r="J310" s="307"/>
      <c r="K310" s="308"/>
      <c r="L310" s="309"/>
      <c r="M310" s="309"/>
      <c r="N310" s="306"/>
      <c r="O310" s="303"/>
      <c r="P310" s="303"/>
      <c r="Q310" s="303"/>
      <c r="R310" s="303"/>
      <c r="S310" s="303"/>
      <c r="T310" s="303"/>
      <c r="U310" s="303"/>
      <c r="V310" s="303"/>
      <c r="W310" s="303"/>
      <c r="X310" s="303"/>
      <c r="Y310" s="303"/>
      <c r="Z310" s="303"/>
    </row>
    <row r="311">
      <c r="A311" s="303"/>
      <c r="B311" s="303"/>
      <c r="C311" s="303"/>
      <c r="D311" s="303"/>
      <c r="E311" s="303"/>
      <c r="F311" s="303"/>
      <c r="G311" s="303"/>
      <c r="H311" s="303"/>
      <c r="I311" s="303"/>
      <c r="J311" s="307"/>
      <c r="K311" s="308"/>
      <c r="L311" s="309"/>
      <c r="M311" s="309"/>
      <c r="N311" s="306"/>
      <c r="O311" s="303"/>
      <c r="P311" s="303"/>
      <c r="Q311" s="303"/>
      <c r="R311" s="303"/>
      <c r="S311" s="303"/>
      <c r="T311" s="303"/>
      <c r="U311" s="303"/>
      <c r="V311" s="303"/>
      <c r="W311" s="303"/>
      <c r="X311" s="303"/>
      <c r="Y311" s="303"/>
      <c r="Z311" s="303"/>
    </row>
    <row r="312">
      <c r="A312" s="303"/>
      <c r="B312" s="303"/>
      <c r="C312" s="303"/>
      <c r="D312" s="303"/>
      <c r="E312" s="303"/>
      <c r="F312" s="303"/>
      <c r="G312" s="303"/>
      <c r="H312" s="303"/>
      <c r="I312" s="303"/>
      <c r="J312" s="307"/>
      <c r="K312" s="308"/>
      <c r="L312" s="309"/>
      <c r="M312" s="309"/>
      <c r="N312" s="306"/>
      <c r="O312" s="303"/>
      <c r="P312" s="303"/>
      <c r="Q312" s="303"/>
      <c r="R312" s="303"/>
      <c r="S312" s="303"/>
      <c r="T312" s="303"/>
      <c r="U312" s="303"/>
      <c r="V312" s="303"/>
      <c r="W312" s="303"/>
      <c r="X312" s="303"/>
      <c r="Y312" s="303"/>
      <c r="Z312" s="303"/>
    </row>
    <row r="313">
      <c r="A313" s="303"/>
      <c r="B313" s="303"/>
      <c r="C313" s="303"/>
      <c r="D313" s="303"/>
      <c r="E313" s="303"/>
      <c r="F313" s="303"/>
      <c r="G313" s="303"/>
      <c r="H313" s="303"/>
      <c r="I313" s="303"/>
      <c r="J313" s="307"/>
      <c r="K313" s="308"/>
      <c r="L313" s="309"/>
      <c r="M313" s="309"/>
      <c r="N313" s="306"/>
      <c r="O313" s="303"/>
      <c r="P313" s="303"/>
      <c r="Q313" s="303"/>
      <c r="R313" s="303"/>
      <c r="S313" s="303"/>
      <c r="T313" s="303"/>
      <c r="U313" s="303"/>
      <c r="V313" s="303"/>
      <c r="W313" s="303"/>
      <c r="X313" s="303"/>
      <c r="Y313" s="303"/>
      <c r="Z313" s="303"/>
    </row>
    <row r="314">
      <c r="A314" s="303"/>
      <c r="B314" s="303"/>
      <c r="C314" s="303"/>
      <c r="D314" s="303"/>
      <c r="E314" s="303"/>
      <c r="F314" s="303"/>
      <c r="G314" s="303"/>
      <c r="H314" s="303"/>
      <c r="I314" s="303"/>
      <c r="J314" s="307"/>
      <c r="K314" s="308"/>
      <c r="L314" s="309"/>
      <c r="M314" s="309"/>
      <c r="N314" s="306"/>
      <c r="O314" s="303"/>
      <c r="P314" s="303"/>
      <c r="Q314" s="303"/>
      <c r="R314" s="303"/>
      <c r="S314" s="303"/>
      <c r="T314" s="303"/>
      <c r="U314" s="303"/>
      <c r="V314" s="303"/>
      <c r="W314" s="303"/>
      <c r="X314" s="303"/>
      <c r="Y314" s="303"/>
      <c r="Z314" s="303"/>
    </row>
    <row r="315">
      <c r="A315" s="303"/>
      <c r="B315" s="303"/>
      <c r="C315" s="303"/>
      <c r="D315" s="303"/>
      <c r="E315" s="303"/>
      <c r="F315" s="303"/>
      <c r="G315" s="303"/>
      <c r="H315" s="303"/>
      <c r="I315" s="303"/>
      <c r="J315" s="307"/>
      <c r="K315" s="308"/>
      <c r="L315" s="309"/>
      <c r="M315" s="309"/>
      <c r="N315" s="306"/>
      <c r="O315" s="303"/>
      <c r="P315" s="303"/>
      <c r="Q315" s="303"/>
      <c r="R315" s="303"/>
      <c r="S315" s="303"/>
      <c r="T315" s="303"/>
      <c r="U315" s="303"/>
      <c r="V315" s="303"/>
      <c r="W315" s="303"/>
      <c r="X315" s="303"/>
      <c r="Y315" s="303"/>
      <c r="Z315" s="303"/>
    </row>
    <row r="316">
      <c r="A316" s="303"/>
      <c r="B316" s="303"/>
      <c r="C316" s="303"/>
      <c r="D316" s="303"/>
      <c r="E316" s="303"/>
      <c r="F316" s="303"/>
      <c r="G316" s="303"/>
      <c r="H316" s="303"/>
      <c r="I316" s="303"/>
      <c r="J316" s="307"/>
      <c r="K316" s="308"/>
      <c r="L316" s="309"/>
      <c r="M316" s="309"/>
      <c r="N316" s="306"/>
      <c r="O316" s="303"/>
      <c r="P316" s="303"/>
      <c r="Q316" s="303"/>
      <c r="R316" s="303"/>
      <c r="S316" s="303"/>
      <c r="T316" s="303"/>
      <c r="U316" s="303"/>
      <c r="V316" s="303"/>
      <c r="W316" s="303"/>
      <c r="X316" s="303"/>
      <c r="Y316" s="303"/>
      <c r="Z316" s="303"/>
    </row>
    <row r="317">
      <c r="A317" s="303"/>
      <c r="B317" s="303"/>
      <c r="C317" s="303"/>
      <c r="D317" s="303"/>
      <c r="E317" s="303"/>
      <c r="F317" s="303"/>
      <c r="G317" s="303"/>
      <c r="H317" s="303"/>
      <c r="I317" s="303"/>
      <c r="J317" s="307"/>
      <c r="K317" s="308"/>
      <c r="L317" s="309"/>
      <c r="M317" s="309"/>
      <c r="N317" s="306"/>
      <c r="O317" s="303"/>
      <c r="P317" s="303"/>
      <c r="Q317" s="303"/>
      <c r="R317" s="303"/>
      <c r="S317" s="303"/>
      <c r="T317" s="303"/>
      <c r="U317" s="303"/>
      <c r="V317" s="303"/>
      <c r="W317" s="303"/>
      <c r="X317" s="303"/>
      <c r="Y317" s="303"/>
      <c r="Z317" s="303"/>
    </row>
    <row r="318">
      <c r="A318" s="303"/>
      <c r="B318" s="303"/>
      <c r="C318" s="303"/>
      <c r="D318" s="303"/>
      <c r="E318" s="303"/>
      <c r="F318" s="303"/>
      <c r="G318" s="303"/>
      <c r="H318" s="303"/>
      <c r="I318" s="303"/>
      <c r="J318" s="307"/>
      <c r="K318" s="308"/>
      <c r="L318" s="309"/>
      <c r="M318" s="309"/>
      <c r="N318" s="306"/>
      <c r="O318" s="303"/>
      <c r="P318" s="303"/>
      <c r="Q318" s="303"/>
      <c r="R318" s="303"/>
      <c r="S318" s="303"/>
      <c r="T318" s="303"/>
      <c r="U318" s="303"/>
      <c r="V318" s="303"/>
      <c r="W318" s="303"/>
      <c r="X318" s="303"/>
      <c r="Y318" s="303"/>
      <c r="Z318" s="303"/>
    </row>
    <row r="319">
      <c r="A319" s="303"/>
      <c r="B319" s="303"/>
      <c r="C319" s="303"/>
      <c r="D319" s="303"/>
      <c r="E319" s="303"/>
      <c r="F319" s="303"/>
      <c r="G319" s="303"/>
      <c r="H319" s="303"/>
      <c r="I319" s="303"/>
      <c r="J319" s="307"/>
      <c r="K319" s="308"/>
      <c r="L319" s="309"/>
      <c r="M319" s="309"/>
      <c r="N319" s="306"/>
      <c r="O319" s="303"/>
      <c r="P319" s="303"/>
      <c r="Q319" s="303"/>
      <c r="R319" s="303"/>
      <c r="S319" s="303"/>
      <c r="T319" s="303"/>
      <c r="U319" s="303"/>
      <c r="V319" s="303"/>
      <c r="W319" s="303"/>
      <c r="X319" s="303"/>
      <c r="Y319" s="303"/>
      <c r="Z319" s="303"/>
    </row>
    <row r="320">
      <c r="A320" s="303"/>
      <c r="B320" s="303"/>
      <c r="C320" s="303"/>
      <c r="D320" s="303"/>
      <c r="E320" s="303"/>
      <c r="F320" s="303"/>
      <c r="G320" s="303"/>
      <c r="H320" s="303"/>
      <c r="I320" s="303"/>
      <c r="J320" s="307"/>
      <c r="K320" s="308"/>
      <c r="L320" s="309"/>
      <c r="M320" s="309"/>
      <c r="N320" s="306"/>
      <c r="O320" s="303"/>
      <c r="P320" s="303"/>
      <c r="Q320" s="303"/>
      <c r="R320" s="303"/>
      <c r="S320" s="303"/>
      <c r="T320" s="303"/>
      <c r="U320" s="303"/>
      <c r="V320" s="303"/>
      <c r="W320" s="303"/>
      <c r="X320" s="303"/>
      <c r="Y320" s="303"/>
      <c r="Z320" s="303"/>
    </row>
    <row r="321">
      <c r="A321" s="303"/>
      <c r="B321" s="303"/>
      <c r="C321" s="303"/>
      <c r="D321" s="303"/>
      <c r="E321" s="303"/>
      <c r="F321" s="303"/>
      <c r="G321" s="303"/>
      <c r="H321" s="303"/>
      <c r="I321" s="303"/>
      <c r="J321" s="307"/>
      <c r="K321" s="308"/>
      <c r="L321" s="309"/>
      <c r="M321" s="309"/>
      <c r="N321" s="306"/>
      <c r="O321" s="303"/>
      <c r="P321" s="303"/>
      <c r="Q321" s="303"/>
      <c r="R321" s="303"/>
      <c r="S321" s="303"/>
      <c r="T321" s="303"/>
      <c r="U321" s="303"/>
      <c r="V321" s="303"/>
      <c r="W321" s="303"/>
      <c r="X321" s="303"/>
      <c r="Y321" s="303"/>
      <c r="Z321" s="303"/>
    </row>
    <row r="322">
      <c r="A322" s="303"/>
      <c r="B322" s="303"/>
      <c r="C322" s="303"/>
      <c r="D322" s="303"/>
      <c r="E322" s="303"/>
      <c r="F322" s="303"/>
      <c r="G322" s="303"/>
      <c r="H322" s="303"/>
      <c r="I322" s="303"/>
      <c r="J322" s="307"/>
      <c r="K322" s="308"/>
      <c r="L322" s="309"/>
      <c r="M322" s="309"/>
      <c r="N322" s="306"/>
      <c r="O322" s="303"/>
      <c r="P322" s="303"/>
      <c r="Q322" s="303"/>
      <c r="R322" s="303"/>
      <c r="S322" s="303"/>
      <c r="T322" s="303"/>
      <c r="U322" s="303"/>
      <c r="V322" s="303"/>
      <c r="W322" s="303"/>
      <c r="X322" s="303"/>
      <c r="Y322" s="303"/>
      <c r="Z322" s="303"/>
    </row>
    <row r="323">
      <c r="A323" s="303"/>
      <c r="B323" s="303"/>
      <c r="C323" s="303"/>
      <c r="D323" s="303"/>
      <c r="E323" s="303"/>
      <c r="F323" s="303"/>
      <c r="G323" s="303"/>
      <c r="H323" s="303"/>
      <c r="I323" s="303"/>
      <c r="J323" s="307"/>
      <c r="K323" s="308"/>
      <c r="L323" s="309"/>
      <c r="M323" s="309"/>
      <c r="N323" s="306"/>
      <c r="O323" s="303"/>
      <c r="P323" s="303"/>
      <c r="Q323" s="303"/>
      <c r="R323" s="303"/>
      <c r="S323" s="303"/>
      <c r="T323" s="303"/>
      <c r="U323" s="303"/>
      <c r="V323" s="303"/>
      <c r="W323" s="303"/>
      <c r="X323" s="303"/>
      <c r="Y323" s="303"/>
      <c r="Z323" s="303"/>
    </row>
    <row r="324">
      <c r="A324" s="303"/>
      <c r="B324" s="303"/>
      <c r="C324" s="303"/>
      <c r="D324" s="303"/>
      <c r="E324" s="303"/>
      <c r="F324" s="303"/>
      <c r="G324" s="303"/>
      <c r="H324" s="303"/>
      <c r="I324" s="303"/>
      <c r="J324" s="307"/>
      <c r="K324" s="308"/>
      <c r="L324" s="309"/>
      <c r="M324" s="309"/>
      <c r="N324" s="306"/>
      <c r="O324" s="303"/>
      <c r="P324" s="303"/>
      <c r="Q324" s="303"/>
      <c r="R324" s="303"/>
      <c r="S324" s="303"/>
      <c r="T324" s="303"/>
      <c r="U324" s="303"/>
      <c r="V324" s="303"/>
      <c r="W324" s="303"/>
      <c r="X324" s="303"/>
      <c r="Y324" s="303"/>
      <c r="Z324" s="303"/>
    </row>
    <row r="325">
      <c r="A325" s="303"/>
      <c r="B325" s="303"/>
      <c r="C325" s="303"/>
      <c r="D325" s="303"/>
      <c r="E325" s="303"/>
      <c r="F325" s="303"/>
      <c r="G325" s="303"/>
      <c r="H325" s="303"/>
      <c r="I325" s="303"/>
      <c r="J325" s="307"/>
      <c r="K325" s="308"/>
      <c r="L325" s="309"/>
      <c r="M325" s="309"/>
      <c r="N325" s="306"/>
      <c r="O325" s="303"/>
      <c r="P325" s="303"/>
      <c r="Q325" s="303"/>
      <c r="R325" s="303"/>
      <c r="S325" s="303"/>
      <c r="T325" s="303"/>
      <c r="U325" s="303"/>
      <c r="V325" s="303"/>
      <c r="W325" s="303"/>
      <c r="X325" s="303"/>
      <c r="Y325" s="303"/>
      <c r="Z325" s="303"/>
    </row>
    <row r="326">
      <c r="A326" s="303"/>
      <c r="B326" s="303"/>
      <c r="C326" s="303"/>
      <c r="D326" s="303"/>
      <c r="E326" s="303"/>
      <c r="F326" s="303"/>
      <c r="G326" s="303"/>
      <c r="H326" s="303"/>
      <c r="I326" s="303"/>
      <c r="J326" s="307"/>
      <c r="K326" s="308"/>
      <c r="L326" s="309"/>
      <c r="M326" s="309"/>
      <c r="N326" s="306"/>
      <c r="O326" s="303"/>
      <c r="P326" s="303"/>
      <c r="Q326" s="303"/>
      <c r="R326" s="303"/>
      <c r="S326" s="303"/>
      <c r="T326" s="303"/>
      <c r="U326" s="303"/>
      <c r="V326" s="303"/>
      <c r="W326" s="303"/>
      <c r="X326" s="303"/>
      <c r="Y326" s="303"/>
      <c r="Z326" s="303"/>
    </row>
    <row r="327">
      <c r="A327" s="303"/>
      <c r="B327" s="303"/>
      <c r="C327" s="303"/>
      <c r="D327" s="303"/>
      <c r="E327" s="303"/>
      <c r="F327" s="303"/>
      <c r="G327" s="303"/>
      <c r="H327" s="303"/>
      <c r="I327" s="303"/>
      <c r="J327" s="307"/>
      <c r="K327" s="308"/>
      <c r="L327" s="309"/>
      <c r="M327" s="309"/>
      <c r="N327" s="306"/>
      <c r="O327" s="303"/>
      <c r="P327" s="303"/>
      <c r="Q327" s="303"/>
      <c r="R327" s="303"/>
      <c r="S327" s="303"/>
      <c r="T327" s="303"/>
      <c r="U327" s="303"/>
      <c r="V327" s="303"/>
      <c r="W327" s="303"/>
      <c r="X327" s="303"/>
      <c r="Y327" s="303"/>
      <c r="Z327" s="303"/>
    </row>
    <row r="328">
      <c r="A328" s="303"/>
      <c r="B328" s="303"/>
      <c r="C328" s="303"/>
      <c r="D328" s="303"/>
      <c r="E328" s="303"/>
      <c r="F328" s="303"/>
      <c r="G328" s="303"/>
      <c r="H328" s="303"/>
      <c r="I328" s="303"/>
      <c r="J328" s="307"/>
      <c r="K328" s="308"/>
      <c r="L328" s="309"/>
      <c r="M328" s="309"/>
      <c r="N328" s="306"/>
      <c r="O328" s="303"/>
      <c r="P328" s="303"/>
      <c r="Q328" s="303"/>
      <c r="R328" s="303"/>
      <c r="S328" s="303"/>
      <c r="T328" s="303"/>
      <c r="U328" s="303"/>
      <c r="V328" s="303"/>
      <c r="W328" s="303"/>
      <c r="X328" s="303"/>
      <c r="Y328" s="303"/>
      <c r="Z328" s="303"/>
    </row>
    <row r="329">
      <c r="A329" s="303"/>
      <c r="B329" s="303"/>
      <c r="C329" s="303"/>
      <c r="D329" s="303"/>
      <c r="E329" s="303"/>
      <c r="F329" s="303"/>
      <c r="G329" s="303"/>
      <c r="H329" s="303"/>
      <c r="I329" s="303"/>
      <c r="J329" s="307"/>
      <c r="K329" s="308"/>
      <c r="L329" s="309"/>
      <c r="M329" s="309"/>
      <c r="N329" s="306"/>
      <c r="O329" s="303"/>
      <c r="P329" s="303"/>
      <c r="Q329" s="303"/>
      <c r="R329" s="303"/>
      <c r="S329" s="303"/>
      <c r="T329" s="303"/>
      <c r="U329" s="303"/>
      <c r="V329" s="303"/>
      <c r="W329" s="303"/>
      <c r="X329" s="303"/>
      <c r="Y329" s="303"/>
      <c r="Z329" s="303"/>
    </row>
    <row r="330">
      <c r="A330" s="303"/>
      <c r="B330" s="303"/>
      <c r="C330" s="303"/>
      <c r="D330" s="303"/>
      <c r="E330" s="303"/>
      <c r="F330" s="303"/>
      <c r="G330" s="303"/>
      <c r="H330" s="303"/>
      <c r="I330" s="303"/>
      <c r="J330" s="307"/>
      <c r="K330" s="308"/>
      <c r="L330" s="309"/>
      <c r="M330" s="309"/>
      <c r="N330" s="306"/>
      <c r="O330" s="303"/>
      <c r="P330" s="303"/>
      <c r="Q330" s="303"/>
      <c r="R330" s="303"/>
      <c r="S330" s="303"/>
      <c r="T330" s="303"/>
      <c r="U330" s="303"/>
      <c r="V330" s="303"/>
      <c r="W330" s="303"/>
      <c r="X330" s="303"/>
      <c r="Y330" s="303"/>
      <c r="Z330" s="303"/>
    </row>
    <row r="331">
      <c r="A331" s="303"/>
      <c r="B331" s="303"/>
      <c r="C331" s="303"/>
      <c r="D331" s="303"/>
      <c r="E331" s="303"/>
      <c r="F331" s="303"/>
      <c r="G331" s="303"/>
      <c r="H331" s="303"/>
      <c r="I331" s="303"/>
      <c r="J331" s="307"/>
      <c r="K331" s="308"/>
      <c r="L331" s="309"/>
      <c r="M331" s="309"/>
      <c r="N331" s="306"/>
      <c r="O331" s="303"/>
      <c r="P331" s="303"/>
      <c r="Q331" s="303"/>
      <c r="R331" s="303"/>
      <c r="S331" s="303"/>
      <c r="T331" s="303"/>
      <c r="U331" s="303"/>
      <c r="V331" s="303"/>
      <c r="W331" s="303"/>
      <c r="X331" s="303"/>
      <c r="Y331" s="303"/>
      <c r="Z331" s="303"/>
    </row>
    <row r="332">
      <c r="A332" s="303"/>
      <c r="B332" s="303"/>
      <c r="C332" s="303"/>
      <c r="D332" s="303"/>
      <c r="E332" s="303"/>
      <c r="F332" s="303"/>
      <c r="G332" s="303"/>
      <c r="H332" s="303"/>
      <c r="I332" s="303"/>
      <c r="J332" s="307"/>
      <c r="K332" s="308"/>
      <c r="L332" s="309"/>
      <c r="M332" s="309"/>
      <c r="N332" s="306"/>
      <c r="O332" s="303"/>
      <c r="P332" s="303"/>
      <c r="Q332" s="303"/>
      <c r="R332" s="303"/>
      <c r="S332" s="303"/>
      <c r="T332" s="303"/>
      <c r="U332" s="303"/>
      <c r="V332" s="303"/>
      <c r="W332" s="303"/>
      <c r="X332" s="303"/>
      <c r="Y332" s="303"/>
      <c r="Z332" s="303"/>
    </row>
    <row r="333">
      <c r="A333" s="303"/>
      <c r="B333" s="303"/>
      <c r="C333" s="303"/>
      <c r="D333" s="303"/>
      <c r="E333" s="303"/>
      <c r="F333" s="303"/>
      <c r="G333" s="303"/>
      <c r="H333" s="303"/>
      <c r="I333" s="303"/>
      <c r="J333" s="307"/>
      <c r="K333" s="308"/>
      <c r="L333" s="309"/>
      <c r="M333" s="309"/>
      <c r="N333" s="306"/>
      <c r="O333" s="303"/>
      <c r="P333" s="303"/>
      <c r="Q333" s="303"/>
      <c r="R333" s="303"/>
      <c r="S333" s="303"/>
      <c r="T333" s="303"/>
      <c r="U333" s="303"/>
      <c r="V333" s="303"/>
      <c r="W333" s="303"/>
      <c r="X333" s="303"/>
      <c r="Y333" s="303"/>
      <c r="Z333" s="303"/>
    </row>
    <row r="334">
      <c r="A334" s="303"/>
      <c r="B334" s="303"/>
      <c r="C334" s="303"/>
      <c r="D334" s="303"/>
      <c r="E334" s="303"/>
      <c r="F334" s="303"/>
      <c r="G334" s="303"/>
      <c r="H334" s="303"/>
      <c r="I334" s="303"/>
      <c r="J334" s="307"/>
      <c r="K334" s="308"/>
      <c r="L334" s="309"/>
      <c r="M334" s="309"/>
      <c r="N334" s="306"/>
      <c r="O334" s="303"/>
      <c r="P334" s="303"/>
      <c r="Q334" s="303"/>
      <c r="R334" s="303"/>
      <c r="S334" s="303"/>
      <c r="T334" s="303"/>
      <c r="U334" s="303"/>
      <c r="V334" s="303"/>
      <c r="W334" s="303"/>
      <c r="X334" s="303"/>
      <c r="Y334" s="303"/>
      <c r="Z334" s="303"/>
    </row>
    <row r="335">
      <c r="A335" s="303"/>
      <c r="B335" s="303"/>
      <c r="C335" s="303"/>
      <c r="D335" s="303"/>
      <c r="E335" s="303"/>
      <c r="F335" s="303"/>
      <c r="G335" s="303"/>
      <c r="H335" s="303"/>
      <c r="I335" s="303"/>
      <c r="J335" s="307"/>
      <c r="K335" s="308"/>
      <c r="L335" s="309"/>
      <c r="M335" s="309"/>
      <c r="N335" s="306"/>
      <c r="O335" s="303"/>
      <c r="P335" s="303"/>
      <c r="Q335" s="303"/>
      <c r="R335" s="303"/>
      <c r="S335" s="303"/>
      <c r="T335" s="303"/>
      <c r="U335" s="303"/>
      <c r="V335" s="303"/>
      <c r="W335" s="303"/>
      <c r="X335" s="303"/>
      <c r="Y335" s="303"/>
      <c r="Z335" s="303"/>
    </row>
    <row r="336">
      <c r="A336" s="303"/>
      <c r="B336" s="303"/>
      <c r="C336" s="303"/>
      <c r="D336" s="303"/>
      <c r="E336" s="303"/>
      <c r="F336" s="303"/>
      <c r="G336" s="303"/>
      <c r="H336" s="303"/>
      <c r="I336" s="303"/>
      <c r="J336" s="307"/>
      <c r="K336" s="308"/>
      <c r="L336" s="309"/>
      <c r="M336" s="309"/>
      <c r="N336" s="306"/>
      <c r="O336" s="303"/>
      <c r="P336" s="303"/>
      <c r="Q336" s="303"/>
      <c r="R336" s="303"/>
      <c r="S336" s="303"/>
      <c r="T336" s="303"/>
      <c r="U336" s="303"/>
      <c r="V336" s="303"/>
      <c r="W336" s="303"/>
      <c r="X336" s="303"/>
      <c r="Y336" s="303"/>
      <c r="Z336" s="303"/>
    </row>
    <row r="337">
      <c r="A337" s="303"/>
      <c r="B337" s="303"/>
      <c r="C337" s="303"/>
      <c r="D337" s="303"/>
      <c r="E337" s="303"/>
      <c r="F337" s="303"/>
      <c r="G337" s="303"/>
      <c r="H337" s="303"/>
      <c r="I337" s="303"/>
      <c r="J337" s="307"/>
      <c r="K337" s="308"/>
      <c r="L337" s="309"/>
      <c r="M337" s="309"/>
      <c r="N337" s="306"/>
      <c r="O337" s="303"/>
      <c r="P337" s="303"/>
      <c r="Q337" s="303"/>
      <c r="R337" s="303"/>
      <c r="S337" s="303"/>
      <c r="T337" s="303"/>
      <c r="U337" s="303"/>
      <c r="V337" s="303"/>
      <c r="W337" s="303"/>
      <c r="X337" s="303"/>
      <c r="Y337" s="303"/>
      <c r="Z337" s="303"/>
    </row>
    <row r="338">
      <c r="A338" s="303"/>
      <c r="B338" s="303"/>
      <c r="C338" s="303"/>
      <c r="D338" s="303"/>
      <c r="E338" s="303"/>
      <c r="F338" s="303"/>
      <c r="G338" s="303"/>
      <c r="H338" s="303"/>
      <c r="I338" s="303"/>
      <c r="J338" s="307"/>
      <c r="K338" s="308"/>
      <c r="L338" s="309"/>
      <c r="M338" s="309"/>
      <c r="N338" s="306"/>
      <c r="O338" s="303"/>
      <c r="P338" s="303"/>
      <c r="Q338" s="303"/>
      <c r="R338" s="303"/>
      <c r="S338" s="303"/>
      <c r="T338" s="303"/>
      <c r="U338" s="303"/>
      <c r="V338" s="303"/>
      <c r="W338" s="303"/>
      <c r="X338" s="303"/>
      <c r="Y338" s="303"/>
      <c r="Z338" s="303"/>
    </row>
    <row r="339">
      <c r="A339" s="303"/>
      <c r="B339" s="303"/>
      <c r="C339" s="303"/>
      <c r="D339" s="303"/>
      <c r="E339" s="303"/>
      <c r="F339" s="303"/>
      <c r="G339" s="303"/>
      <c r="H339" s="303"/>
      <c r="I339" s="303"/>
      <c r="J339" s="307"/>
      <c r="K339" s="308"/>
      <c r="L339" s="309"/>
      <c r="M339" s="309"/>
      <c r="N339" s="306"/>
      <c r="O339" s="303"/>
      <c r="P339" s="303"/>
      <c r="Q339" s="303"/>
      <c r="R339" s="303"/>
      <c r="S339" s="303"/>
      <c r="T339" s="303"/>
      <c r="U339" s="303"/>
      <c r="V339" s="303"/>
      <c r="W339" s="303"/>
      <c r="X339" s="303"/>
      <c r="Y339" s="303"/>
      <c r="Z339" s="303"/>
    </row>
    <row r="340">
      <c r="A340" s="303"/>
      <c r="B340" s="303"/>
      <c r="C340" s="303"/>
      <c r="D340" s="303"/>
      <c r="E340" s="303"/>
      <c r="F340" s="303"/>
      <c r="G340" s="303"/>
      <c r="H340" s="303"/>
      <c r="I340" s="303"/>
      <c r="J340" s="307"/>
      <c r="K340" s="308"/>
      <c r="L340" s="309"/>
      <c r="M340" s="309"/>
      <c r="N340" s="306"/>
      <c r="O340" s="303"/>
      <c r="P340" s="303"/>
      <c r="Q340" s="303"/>
      <c r="R340" s="303"/>
      <c r="S340" s="303"/>
      <c r="T340" s="303"/>
      <c r="U340" s="303"/>
      <c r="V340" s="303"/>
      <c r="W340" s="303"/>
      <c r="X340" s="303"/>
      <c r="Y340" s="303"/>
      <c r="Z340" s="303"/>
    </row>
    <row r="341">
      <c r="A341" s="303"/>
      <c r="B341" s="303"/>
      <c r="C341" s="303"/>
      <c r="D341" s="303"/>
      <c r="E341" s="303"/>
      <c r="F341" s="303"/>
      <c r="G341" s="303"/>
      <c r="H341" s="303"/>
      <c r="I341" s="303"/>
      <c r="J341" s="307"/>
      <c r="K341" s="308"/>
      <c r="L341" s="309"/>
      <c r="M341" s="309"/>
      <c r="N341" s="306"/>
      <c r="O341" s="303"/>
      <c r="P341" s="303"/>
      <c r="Q341" s="303"/>
      <c r="R341" s="303"/>
      <c r="S341" s="303"/>
      <c r="T341" s="303"/>
      <c r="U341" s="303"/>
      <c r="V341" s="303"/>
      <c r="W341" s="303"/>
      <c r="X341" s="303"/>
      <c r="Y341" s="303"/>
      <c r="Z341" s="303"/>
    </row>
    <row r="342">
      <c r="A342" s="303"/>
      <c r="B342" s="303"/>
      <c r="C342" s="303"/>
      <c r="D342" s="303"/>
      <c r="E342" s="303"/>
      <c r="F342" s="303"/>
      <c r="G342" s="303"/>
      <c r="H342" s="303"/>
      <c r="I342" s="303"/>
      <c r="J342" s="307"/>
      <c r="K342" s="308"/>
      <c r="L342" s="309"/>
      <c r="M342" s="309"/>
      <c r="N342" s="306"/>
      <c r="O342" s="303"/>
      <c r="P342" s="303"/>
      <c r="Q342" s="303"/>
      <c r="R342" s="303"/>
      <c r="S342" s="303"/>
      <c r="T342" s="303"/>
      <c r="U342" s="303"/>
      <c r="V342" s="303"/>
      <c r="W342" s="303"/>
      <c r="X342" s="303"/>
      <c r="Y342" s="303"/>
      <c r="Z342" s="303"/>
    </row>
    <row r="343">
      <c r="A343" s="303"/>
      <c r="B343" s="303"/>
      <c r="C343" s="303"/>
      <c r="D343" s="303"/>
      <c r="E343" s="303"/>
      <c r="F343" s="303"/>
      <c r="G343" s="303"/>
      <c r="H343" s="303"/>
      <c r="I343" s="303"/>
      <c r="J343" s="307"/>
      <c r="K343" s="308"/>
      <c r="L343" s="309"/>
      <c r="M343" s="309"/>
      <c r="N343" s="306"/>
      <c r="O343" s="303"/>
      <c r="P343" s="303"/>
      <c r="Q343" s="303"/>
      <c r="R343" s="303"/>
      <c r="S343" s="303"/>
      <c r="T343" s="303"/>
      <c r="U343" s="303"/>
      <c r="V343" s="303"/>
      <c r="W343" s="303"/>
      <c r="X343" s="303"/>
      <c r="Y343" s="303"/>
      <c r="Z343" s="303"/>
    </row>
    <row r="344">
      <c r="A344" s="303"/>
      <c r="B344" s="303"/>
      <c r="C344" s="303"/>
      <c r="D344" s="303"/>
      <c r="E344" s="303"/>
      <c r="F344" s="303"/>
      <c r="G344" s="303"/>
      <c r="H344" s="303"/>
      <c r="I344" s="303"/>
      <c r="J344" s="307"/>
      <c r="K344" s="308"/>
      <c r="L344" s="309"/>
      <c r="M344" s="309"/>
      <c r="N344" s="306"/>
      <c r="O344" s="303"/>
      <c r="P344" s="303"/>
      <c r="Q344" s="303"/>
      <c r="R344" s="303"/>
      <c r="S344" s="303"/>
      <c r="T344" s="303"/>
      <c r="U344" s="303"/>
      <c r="V344" s="303"/>
      <c r="W344" s="303"/>
      <c r="X344" s="303"/>
      <c r="Y344" s="303"/>
      <c r="Z344" s="303"/>
    </row>
    <row r="345">
      <c r="A345" s="303"/>
      <c r="B345" s="303"/>
      <c r="C345" s="303"/>
      <c r="D345" s="303"/>
      <c r="E345" s="303"/>
      <c r="F345" s="303"/>
      <c r="G345" s="303"/>
      <c r="H345" s="303"/>
      <c r="I345" s="303"/>
      <c r="J345" s="307"/>
      <c r="K345" s="308"/>
      <c r="L345" s="309"/>
      <c r="M345" s="309"/>
      <c r="N345" s="306"/>
      <c r="O345" s="303"/>
      <c r="P345" s="303"/>
      <c r="Q345" s="303"/>
      <c r="R345" s="303"/>
      <c r="S345" s="303"/>
      <c r="T345" s="303"/>
      <c r="U345" s="303"/>
      <c r="V345" s="303"/>
      <c r="W345" s="303"/>
      <c r="X345" s="303"/>
      <c r="Y345" s="303"/>
      <c r="Z345" s="303"/>
    </row>
    <row r="346">
      <c r="A346" s="303"/>
      <c r="B346" s="303"/>
      <c r="C346" s="303"/>
      <c r="D346" s="303"/>
      <c r="E346" s="303"/>
      <c r="F346" s="303"/>
      <c r="G346" s="303"/>
      <c r="H346" s="303"/>
      <c r="I346" s="303"/>
      <c r="J346" s="307"/>
      <c r="K346" s="308"/>
      <c r="L346" s="309"/>
      <c r="M346" s="309"/>
      <c r="N346" s="306"/>
      <c r="O346" s="303"/>
      <c r="P346" s="303"/>
      <c r="Q346" s="303"/>
      <c r="R346" s="303"/>
      <c r="S346" s="303"/>
      <c r="T346" s="303"/>
      <c r="U346" s="303"/>
      <c r="V346" s="303"/>
      <c r="W346" s="303"/>
      <c r="X346" s="303"/>
      <c r="Y346" s="303"/>
      <c r="Z346" s="303"/>
    </row>
    <row r="347">
      <c r="A347" s="303"/>
      <c r="B347" s="303"/>
      <c r="C347" s="303"/>
      <c r="D347" s="303"/>
      <c r="E347" s="303"/>
      <c r="F347" s="303"/>
      <c r="G347" s="303"/>
      <c r="H347" s="303"/>
      <c r="I347" s="303"/>
      <c r="J347" s="307"/>
      <c r="K347" s="308"/>
      <c r="L347" s="309"/>
      <c r="M347" s="309"/>
      <c r="N347" s="306"/>
      <c r="O347" s="303"/>
      <c r="P347" s="303"/>
      <c r="Q347" s="303"/>
      <c r="R347" s="303"/>
      <c r="S347" s="303"/>
      <c r="T347" s="303"/>
      <c r="U347" s="303"/>
      <c r="V347" s="303"/>
      <c r="W347" s="303"/>
      <c r="X347" s="303"/>
      <c r="Y347" s="303"/>
      <c r="Z347" s="303"/>
    </row>
    <row r="348">
      <c r="A348" s="303"/>
      <c r="B348" s="303"/>
      <c r="C348" s="303"/>
      <c r="D348" s="303"/>
      <c r="E348" s="303"/>
      <c r="F348" s="303"/>
      <c r="G348" s="303"/>
      <c r="H348" s="303"/>
      <c r="I348" s="303"/>
      <c r="J348" s="307"/>
      <c r="K348" s="308"/>
      <c r="L348" s="309"/>
      <c r="M348" s="309"/>
      <c r="N348" s="306"/>
      <c r="O348" s="303"/>
      <c r="P348" s="303"/>
      <c r="Q348" s="303"/>
      <c r="R348" s="303"/>
      <c r="S348" s="303"/>
      <c r="T348" s="303"/>
      <c r="U348" s="303"/>
      <c r="V348" s="303"/>
      <c r="W348" s="303"/>
      <c r="X348" s="303"/>
      <c r="Y348" s="303"/>
      <c r="Z348" s="303"/>
    </row>
    <row r="349">
      <c r="A349" s="303"/>
      <c r="B349" s="303"/>
      <c r="C349" s="303"/>
      <c r="D349" s="303"/>
      <c r="E349" s="303"/>
      <c r="F349" s="303"/>
      <c r="G349" s="303"/>
      <c r="H349" s="303"/>
      <c r="I349" s="303"/>
      <c r="J349" s="307"/>
      <c r="K349" s="308"/>
      <c r="L349" s="309"/>
      <c r="M349" s="309"/>
      <c r="N349" s="306"/>
      <c r="O349" s="303"/>
      <c r="P349" s="303"/>
      <c r="Q349" s="303"/>
      <c r="R349" s="303"/>
      <c r="S349" s="303"/>
      <c r="T349" s="303"/>
      <c r="U349" s="303"/>
      <c r="V349" s="303"/>
      <c r="W349" s="303"/>
      <c r="X349" s="303"/>
      <c r="Y349" s="303"/>
      <c r="Z349" s="303"/>
    </row>
    <row r="350">
      <c r="A350" s="303"/>
      <c r="B350" s="303"/>
      <c r="C350" s="303"/>
      <c r="D350" s="303"/>
      <c r="E350" s="303"/>
      <c r="F350" s="303"/>
      <c r="G350" s="303"/>
      <c r="H350" s="303"/>
      <c r="I350" s="303"/>
      <c r="J350" s="307"/>
      <c r="K350" s="308"/>
      <c r="L350" s="309"/>
      <c r="M350" s="309"/>
      <c r="N350" s="306"/>
      <c r="O350" s="303"/>
      <c r="P350" s="303"/>
      <c r="Q350" s="303"/>
      <c r="R350" s="303"/>
      <c r="S350" s="303"/>
      <c r="T350" s="303"/>
      <c r="U350" s="303"/>
      <c r="V350" s="303"/>
      <c r="W350" s="303"/>
      <c r="X350" s="303"/>
      <c r="Y350" s="303"/>
      <c r="Z350" s="303"/>
    </row>
    <row r="351">
      <c r="A351" s="303"/>
      <c r="B351" s="303"/>
      <c r="C351" s="303"/>
      <c r="D351" s="303"/>
      <c r="E351" s="303"/>
      <c r="F351" s="303"/>
      <c r="G351" s="303"/>
      <c r="H351" s="303"/>
      <c r="I351" s="303"/>
      <c r="J351" s="307"/>
      <c r="K351" s="308"/>
      <c r="L351" s="309"/>
      <c r="M351" s="309"/>
      <c r="N351" s="306"/>
      <c r="O351" s="303"/>
      <c r="P351" s="303"/>
      <c r="Q351" s="303"/>
      <c r="R351" s="303"/>
      <c r="S351" s="303"/>
      <c r="T351" s="303"/>
      <c r="U351" s="303"/>
      <c r="V351" s="303"/>
      <c r="W351" s="303"/>
      <c r="X351" s="303"/>
      <c r="Y351" s="303"/>
      <c r="Z351" s="303"/>
    </row>
    <row r="352">
      <c r="A352" s="303"/>
      <c r="B352" s="303"/>
      <c r="C352" s="303"/>
      <c r="D352" s="303"/>
      <c r="E352" s="303"/>
      <c r="F352" s="303"/>
      <c r="G352" s="303"/>
      <c r="H352" s="303"/>
      <c r="I352" s="303"/>
      <c r="J352" s="307"/>
      <c r="K352" s="308"/>
      <c r="L352" s="309"/>
      <c r="M352" s="309"/>
      <c r="N352" s="306"/>
      <c r="O352" s="303"/>
      <c r="P352" s="303"/>
      <c r="Q352" s="303"/>
      <c r="R352" s="303"/>
      <c r="S352" s="303"/>
      <c r="T352" s="303"/>
      <c r="U352" s="303"/>
      <c r="V352" s="303"/>
      <c r="W352" s="303"/>
      <c r="X352" s="303"/>
      <c r="Y352" s="303"/>
      <c r="Z352" s="303"/>
    </row>
    <row r="353">
      <c r="A353" s="303"/>
      <c r="B353" s="303"/>
      <c r="C353" s="303"/>
      <c r="D353" s="303"/>
      <c r="E353" s="303"/>
      <c r="F353" s="303"/>
      <c r="G353" s="303"/>
      <c r="H353" s="303"/>
      <c r="I353" s="303"/>
      <c r="J353" s="307"/>
      <c r="K353" s="308"/>
      <c r="L353" s="309"/>
      <c r="M353" s="309"/>
      <c r="N353" s="306"/>
      <c r="O353" s="303"/>
      <c r="P353" s="303"/>
      <c r="Q353" s="303"/>
      <c r="R353" s="303"/>
      <c r="S353" s="303"/>
      <c r="T353" s="303"/>
      <c r="U353" s="303"/>
      <c r="V353" s="303"/>
      <c r="W353" s="303"/>
      <c r="X353" s="303"/>
      <c r="Y353" s="303"/>
      <c r="Z353" s="303"/>
    </row>
    <row r="354">
      <c r="A354" s="303"/>
      <c r="B354" s="303"/>
      <c r="C354" s="303"/>
      <c r="D354" s="303"/>
      <c r="E354" s="303"/>
      <c r="F354" s="303"/>
      <c r="G354" s="303"/>
      <c r="H354" s="303"/>
      <c r="I354" s="303"/>
      <c r="J354" s="307"/>
      <c r="K354" s="308"/>
      <c r="L354" s="309"/>
      <c r="M354" s="309"/>
      <c r="N354" s="306"/>
      <c r="O354" s="303"/>
      <c r="P354" s="303"/>
      <c r="Q354" s="303"/>
      <c r="R354" s="303"/>
      <c r="S354" s="303"/>
      <c r="T354" s="303"/>
      <c r="U354" s="303"/>
      <c r="V354" s="303"/>
      <c r="W354" s="303"/>
      <c r="X354" s="303"/>
      <c r="Y354" s="303"/>
      <c r="Z354" s="303"/>
    </row>
    <row r="355">
      <c r="A355" s="303"/>
      <c r="B355" s="303"/>
      <c r="C355" s="303"/>
      <c r="D355" s="303"/>
      <c r="E355" s="303"/>
      <c r="F355" s="303"/>
      <c r="G355" s="303"/>
      <c r="H355" s="303"/>
      <c r="I355" s="303"/>
      <c r="J355" s="307"/>
      <c r="K355" s="308"/>
      <c r="L355" s="309"/>
      <c r="M355" s="309"/>
      <c r="N355" s="306"/>
      <c r="O355" s="303"/>
      <c r="P355" s="303"/>
      <c r="Q355" s="303"/>
      <c r="R355" s="303"/>
      <c r="S355" s="303"/>
      <c r="T355" s="303"/>
      <c r="U355" s="303"/>
      <c r="V355" s="303"/>
      <c r="W355" s="303"/>
      <c r="X355" s="303"/>
      <c r="Y355" s="303"/>
      <c r="Z355" s="303"/>
    </row>
    <row r="356">
      <c r="A356" s="303"/>
      <c r="B356" s="303"/>
      <c r="C356" s="303"/>
      <c r="D356" s="303"/>
      <c r="E356" s="303"/>
      <c r="F356" s="303"/>
      <c r="G356" s="303"/>
      <c r="H356" s="303"/>
      <c r="I356" s="303"/>
      <c r="J356" s="307"/>
      <c r="K356" s="308"/>
      <c r="L356" s="309"/>
      <c r="M356" s="309"/>
      <c r="N356" s="306"/>
      <c r="O356" s="303"/>
      <c r="P356" s="303"/>
      <c r="Q356" s="303"/>
      <c r="R356" s="303"/>
      <c r="S356" s="303"/>
      <c r="T356" s="303"/>
      <c r="U356" s="303"/>
      <c r="V356" s="303"/>
      <c r="W356" s="303"/>
      <c r="X356" s="303"/>
      <c r="Y356" s="303"/>
      <c r="Z356" s="303"/>
    </row>
    <row r="357">
      <c r="A357" s="303"/>
      <c r="B357" s="303"/>
      <c r="C357" s="303"/>
      <c r="D357" s="303"/>
      <c r="E357" s="303"/>
      <c r="F357" s="303"/>
      <c r="G357" s="303"/>
      <c r="H357" s="303"/>
      <c r="I357" s="303"/>
      <c r="J357" s="307"/>
      <c r="K357" s="308"/>
      <c r="L357" s="309"/>
      <c r="M357" s="309"/>
      <c r="N357" s="306"/>
      <c r="O357" s="303"/>
      <c r="P357" s="303"/>
      <c r="Q357" s="303"/>
      <c r="R357" s="303"/>
      <c r="S357" s="303"/>
      <c r="T357" s="303"/>
      <c r="U357" s="303"/>
      <c r="V357" s="303"/>
      <c r="W357" s="303"/>
      <c r="X357" s="303"/>
      <c r="Y357" s="303"/>
      <c r="Z357" s="303"/>
    </row>
    <row r="358">
      <c r="A358" s="303"/>
      <c r="B358" s="303"/>
      <c r="C358" s="303"/>
      <c r="D358" s="303"/>
      <c r="E358" s="303"/>
      <c r="F358" s="303"/>
      <c r="G358" s="303"/>
      <c r="H358" s="303"/>
      <c r="I358" s="303"/>
      <c r="J358" s="307"/>
      <c r="K358" s="308"/>
      <c r="L358" s="309"/>
      <c r="M358" s="309"/>
      <c r="N358" s="306"/>
      <c r="O358" s="303"/>
      <c r="P358" s="303"/>
      <c r="Q358" s="303"/>
      <c r="R358" s="303"/>
      <c r="S358" s="303"/>
      <c r="T358" s="303"/>
      <c r="U358" s="303"/>
      <c r="V358" s="303"/>
      <c r="W358" s="303"/>
      <c r="X358" s="303"/>
      <c r="Y358" s="303"/>
      <c r="Z358" s="303"/>
    </row>
    <row r="359">
      <c r="A359" s="303"/>
      <c r="B359" s="303"/>
      <c r="C359" s="303"/>
      <c r="D359" s="303"/>
      <c r="E359" s="303"/>
      <c r="F359" s="303"/>
      <c r="G359" s="303"/>
      <c r="H359" s="303"/>
      <c r="I359" s="303"/>
      <c r="J359" s="307"/>
      <c r="K359" s="308"/>
      <c r="L359" s="309"/>
      <c r="M359" s="309"/>
      <c r="N359" s="306"/>
      <c r="O359" s="303"/>
      <c r="P359" s="303"/>
      <c r="Q359" s="303"/>
      <c r="R359" s="303"/>
      <c r="S359" s="303"/>
      <c r="T359" s="303"/>
      <c r="U359" s="303"/>
      <c r="V359" s="303"/>
      <c r="W359" s="303"/>
      <c r="X359" s="303"/>
      <c r="Y359" s="303"/>
      <c r="Z359" s="303"/>
    </row>
    <row r="360">
      <c r="A360" s="303"/>
      <c r="B360" s="303"/>
      <c r="C360" s="303"/>
      <c r="D360" s="303"/>
      <c r="E360" s="303"/>
      <c r="F360" s="303"/>
      <c r="G360" s="303"/>
      <c r="H360" s="303"/>
      <c r="I360" s="303"/>
      <c r="J360" s="307"/>
      <c r="K360" s="308"/>
      <c r="L360" s="309"/>
      <c r="M360" s="309"/>
      <c r="N360" s="306"/>
      <c r="O360" s="303"/>
      <c r="P360" s="303"/>
      <c r="Q360" s="303"/>
      <c r="R360" s="303"/>
      <c r="S360" s="303"/>
      <c r="T360" s="303"/>
      <c r="U360" s="303"/>
      <c r="V360" s="303"/>
      <c r="W360" s="303"/>
      <c r="X360" s="303"/>
      <c r="Y360" s="303"/>
      <c r="Z360" s="303"/>
    </row>
    <row r="361">
      <c r="A361" s="303"/>
      <c r="B361" s="303"/>
      <c r="C361" s="303"/>
      <c r="D361" s="303"/>
      <c r="E361" s="303"/>
      <c r="F361" s="303"/>
      <c r="G361" s="303"/>
      <c r="H361" s="303"/>
      <c r="I361" s="303"/>
      <c r="J361" s="307"/>
      <c r="K361" s="308"/>
      <c r="L361" s="309"/>
      <c r="M361" s="309"/>
      <c r="N361" s="306"/>
      <c r="O361" s="303"/>
      <c r="P361" s="303"/>
      <c r="Q361" s="303"/>
      <c r="R361" s="303"/>
      <c r="S361" s="303"/>
      <c r="T361" s="303"/>
      <c r="U361" s="303"/>
      <c r="V361" s="303"/>
      <c r="W361" s="303"/>
      <c r="X361" s="303"/>
      <c r="Y361" s="303"/>
      <c r="Z361" s="303"/>
    </row>
    <row r="362">
      <c r="A362" s="303"/>
      <c r="B362" s="303"/>
      <c r="C362" s="303"/>
      <c r="D362" s="303"/>
      <c r="E362" s="303"/>
      <c r="F362" s="303"/>
      <c r="G362" s="303"/>
      <c r="H362" s="303"/>
      <c r="I362" s="303"/>
      <c r="J362" s="307"/>
      <c r="K362" s="308"/>
      <c r="L362" s="309"/>
      <c r="M362" s="309"/>
      <c r="N362" s="306"/>
      <c r="O362" s="303"/>
      <c r="P362" s="303"/>
      <c r="Q362" s="303"/>
      <c r="R362" s="303"/>
      <c r="S362" s="303"/>
      <c r="T362" s="303"/>
      <c r="U362" s="303"/>
      <c r="V362" s="303"/>
      <c r="W362" s="303"/>
      <c r="X362" s="303"/>
      <c r="Y362" s="303"/>
      <c r="Z362" s="303"/>
    </row>
    <row r="363">
      <c r="A363" s="303"/>
      <c r="B363" s="303"/>
      <c r="C363" s="303"/>
      <c r="D363" s="303"/>
      <c r="E363" s="303"/>
      <c r="F363" s="303"/>
      <c r="G363" s="303"/>
      <c r="H363" s="303"/>
      <c r="I363" s="303"/>
      <c r="J363" s="307"/>
      <c r="K363" s="308"/>
      <c r="L363" s="309"/>
      <c r="M363" s="309"/>
      <c r="N363" s="306"/>
      <c r="O363" s="303"/>
      <c r="P363" s="303"/>
      <c r="Q363" s="303"/>
      <c r="R363" s="303"/>
      <c r="S363" s="303"/>
      <c r="T363" s="303"/>
      <c r="U363" s="303"/>
      <c r="V363" s="303"/>
      <c r="W363" s="303"/>
      <c r="X363" s="303"/>
      <c r="Y363" s="303"/>
      <c r="Z363" s="303"/>
    </row>
    <row r="364">
      <c r="A364" s="303"/>
      <c r="B364" s="303"/>
      <c r="C364" s="303"/>
      <c r="D364" s="303"/>
      <c r="E364" s="303"/>
      <c r="F364" s="303"/>
      <c r="G364" s="303"/>
      <c r="H364" s="303"/>
      <c r="I364" s="303"/>
      <c r="J364" s="307"/>
      <c r="K364" s="308"/>
      <c r="L364" s="309"/>
      <c r="M364" s="309"/>
      <c r="N364" s="306"/>
      <c r="O364" s="303"/>
      <c r="P364" s="303"/>
      <c r="Q364" s="303"/>
      <c r="R364" s="303"/>
      <c r="S364" s="303"/>
      <c r="T364" s="303"/>
      <c r="U364" s="303"/>
      <c r="V364" s="303"/>
      <c r="W364" s="303"/>
      <c r="X364" s="303"/>
      <c r="Y364" s="303"/>
      <c r="Z364" s="303"/>
    </row>
    <row r="365">
      <c r="A365" s="303"/>
      <c r="B365" s="303"/>
      <c r="C365" s="303"/>
      <c r="D365" s="303"/>
      <c r="E365" s="303"/>
      <c r="F365" s="303"/>
      <c r="G365" s="303"/>
      <c r="H365" s="303"/>
      <c r="I365" s="303"/>
      <c r="J365" s="307"/>
      <c r="K365" s="308"/>
      <c r="L365" s="309"/>
      <c r="M365" s="309"/>
      <c r="N365" s="306"/>
      <c r="O365" s="303"/>
      <c r="P365" s="303"/>
      <c r="Q365" s="303"/>
      <c r="R365" s="303"/>
      <c r="S365" s="303"/>
      <c r="T365" s="303"/>
      <c r="U365" s="303"/>
      <c r="V365" s="303"/>
      <c r="W365" s="303"/>
      <c r="X365" s="303"/>
      <c r="Y365" s="303"/>
      <c r="Z365" s="303"/>
    </row>
    <row r="366">
      <c r="A366" s="303"/>
      <c r="B366" s="303"/>
      <c r="C366" s="303"/>
      <c r="D366" s="303"/>
      <c r="E366" s="303"/>
      <c r="F366" s="303"/>
      <c r="G366" s="303"/>
      <c r="H366" s="303"/>
      <c r="I366" s="303"/>
      <c r="J366" s="307"/>
      <c r="K366" s="308"/>
      <c r="L366" s="309"/>
      <c r="M366" s="309"/>
      <c r="N366" s="306"/>
      <c r="O366" s="303"/>
      <c r="P366" s="303"/>
      <c r="Q366" s="303"/>
      <c r="R366" s="303"/>
      <c r="S366" s="303"/>
      <c r="T366" s="303"/>
      <c r="U366" s="303"/>
      <c r="V366" s="303"/>
      <c r="W366" s="303"/>
      <c r="X366" s="303"/>
      <c r="Y366" s="303"/>
      <c r="Z366" s="303"/>
    </row>
    <row r="367">
      <c r="A367" s="303"/>
      <c r="B367" s="303"/>
      <c r="C367" s="303"/>
      <c r="D367" s="303"/>
      <c r="E367" s="303"/>
      <c r="F367" s="303"/>
      <c r="G367" s="303"/>
      <c r="H367" s="303"/>
      <c r="I367" s="303"/>
      <c r="J367" s="307"/>
      <c r="K367" s="308"/>
      <c r="L367" s="309"/>
      <c r="M367" s="309"/>
      <c r="N367" s="306"/>
      <c r="O367" s="303"/>
      <c r="P367" s="303"/>
      <c r="Q367" s="303"/>
      <c r="R367" s="303"/>
      <c r="S367" s="303"/>
      <c r="T367" s="303"/>
      <c r="U367" s="303"/>
      <c r="V367" s="303"/>
      <c r="W367" s="303"/>
      <c r="X367" s="303"/>
      <c r="Y367" s="303"/>
      <c r="Z367" s="303"/>
    </row>
    <row r="368">
      <c r="A368" s="303"/>
      <c r="B368" s="303"/>
      <c r="C368" s="303"/>
      <c r="D368" s="303"/>
      <c r="E368" s="303"/>
      <c r="F368" s="303"/>
      <c r="G368" s="303"/>
      <c r="H368" s="303"/>
      <c r="I368" s="303"/>
      <c r="J368" s="307"/>
      <c r="K368" s="308"/>
      <c r="L368" s="309"/>
      <c r="M368" s="309"/>
      <c r="N368" s="306"/>
      <c r="O368" s="303"/>
      <c r="P368" s="303"/>
      <c r="Q368" s="303"/>
      <c r="R368" s="303"/>
      <c r="S368" s="303"/>
      <c r="T368" s="303"/>
      <c r="U368" s="303"/>
      <c r="V368" s="303"/>
      <c r="W368" s="303"/>
      <c r="X368" s="303"/>
      <c r="Y368" s="303"/>
      <c r="Z368" s="303"/>
    </row>
    <row r="369">
      <c r="A369" s="303"/>
      <c r="B369" s="303"/>
      <c r="C369" s="303"/>
      <c r="D369" s="303"/>
      <c r="E369" s="303"/>
      <c r="F369" s="303"/>
      <c r="G369" s="303"/>
      <c r="H369" s="303"/>
      <c r="I369" s="303"/>
      <c r="J369" s="307"/>
      <c r="K369" s="308"/>
      <c r="L369" s="309"/>
      <c r="M369" s="309"/>
      <c r="N369" s="306"/>
      <c r="O369" s="303"/>
      <c r="P369" s="303"/>
      <c r="Q369" s="303"/>
      <c r="R369" s="303"/>
      <c r="S369" s="303"/>
      <c r="T369" s="303"/>
      <c r="U369" s="303"/>
      <c r="V369" s="303"/>
      <c r="W369" s="303"/>
      <c r="X369" s="303"/>
      <c r="Y369" s="303"/>
      <c r="Z369" s="303"/>
    </row>
    <row r="370">
      <c r="A370" s="303"/>
      <c r="B370" s="303"/>
      <c r="C370" s="303"/>
      <c r="D370" s="303"/>
      <c r="E370" s="303"/>
      <c r="F370" s="303"/>
      <c r="G370" s="303"/>
      <c r="H370" s="303"/>
      <c r="I370" s="303"/>
      <c r="J370" s="307"/>
      <c r="K370" s="308"/>
      <c r="L370" s="309"/>
      <c r="M370" s="309"/>
      <c r="N370" s="306"/>
      <c r="O370" s="303"/>
      <c r="P370" s="303"/>
      <c r="Q370" s="303"/>
      <c r="R370" s="303"/>
      <c r="S370" s="303"/>
      <c r="T370" s="303"/>
      <c r="U370" s="303"/>
      <c r="V370" s="303"/>
      <c r="W370" s="303"/>
      <c r="X370" s="303"/>
      <c r="Y370" s="303"/>
      <c r="Z370" s="303"/>
    </row>
    <row r="371">
      <c r="A371" s="303"/>
      <c r="B371" s="303"/>
      <c r="C371" s="303"/>
      <c r="D371" s="303"/>
      <c r="E371" s="303"/>
      <c r="F371" s="303"/>
      <c r="G371" s="303"/>
      <c r="H371" s="303"/>
      <c r="I371" s="303"/>
      <c r="J371" s="307"/>
      <c r="K371" s="308"/>
      <c r="L371" s="309"/>
      <c r="M371" s="309"/>
      <c r="N371" s="306"/>
      <c r="O371" s="303"/>
      <c r="P371" s="303"/>
      <c r="Q371" s="303"/>
      <c r="R371" s="303"/>
      <c r="S371" s="303"/>
      <c r="T371" s="303"/>
      <c r="U371" s="303"/>
      <c r="V371" s="303"/>
      <c r="W371" s="303"/>
      <c r="X371" s="303"/>
      <c r="Y371" s="303"/>
      <c r="Z371" s="303"/>
    </row>
    <row r="372">
      <c r="A372" s="303"/>
      <c r="B372" s="303"/>
      <c r="C372" s="303"/>
      <c r="D372" s="303"/>
      <c r="E372" s="303"/>
      <c r="F372" s="303"/>
      <c r="G372" s="303"/>
      <c r="H372" s="303"/>
      <c r="I372" s="303"/>
      <c r="J372" s="307"/>
      <c r="K372" s="308"/>
      <c r="L372" s="309"/>
      <c r="M372" s="309"/>
      <c r="N372" s="306"/>
      <c r="O372" s="303"/>
      <c r="P372" s="303"/>
      <c r="Q372" s="303"/>
      <c r="R372" s="303"/>
      <c r="S372" s="303"/>
      <c r="T372" s="303"/>
      <c r="U372" s="303"/>
      <c r="V372" s="303"/>
      <c r="W372" s="303"/>
      <c r="X372" s="303"/>
      <c r="Y372" s="303"/>
      <c r="Z372" s="303"/>
    </row>
    <row r="373">
      <c r="A373" s="303"/>
      <c r="B373" s="303"/>
      <c r="C373" s="303"/>
      <c r="D373" s="303"/>
      <c r="E373" s="303"/>
      <c r="F373" s="303"/>
      <c r="G373" s="303"/>
      <c r="H373" s="303"/>
      <c r="I373" s="303"/>
      <c r="J373" s="307"/>
      <c r="K373" s="308"/>
      <c r="L373" s="309"/>
      <c r="M373" s="309"/>
      <c r="N373" s="306"/>
      <c r="O373" s="303"/>
      <c r="P373" s="303"/>
      <c r="Q373" s="303"/>
      <c r="R373" s="303"/>
      <c r="S373" s="303"/>
      <c r="T373" s="303"/>
      <c r="U373" s="303"/>
      <c r="V373" s="303"/>
      <c r="W373" s="303"/>
      <c r="X373" s="303"/>
      <c r="Y373" s="303"/>
      <c r="Z373" s="303"/>
    </row>
    <row r="374">
      <c r="A374" s="303"/>
      <c r="B374" s="303"/>
      <c r="C374" s="303"/>
      <c r="D374" s="303"/>
      <c r="E374" s="303"/>
      <c r="F374" s="303"/>
      <c r="G374" s="303"/>
      <c r="H374" s="303"/>
      <c r="I374" s="303"/>
      <c r="J374" s="307"/>
      <c r="K374" s="308"/>
      <c r="L374" s="309"/>
      <c r="M374" s="309"/>
      <c r="N374" s="306"/>
      <c r="O374" s="303"/>
      <c r="P374" s="303"/>
      <c r="Q374" s="303"/>
      <c r="R374" s="303"/>
      <c r="S374" s="303"/>
      <c r="T374" s="303"/>
      <c r="U374" s="303"/>
      <c r="V374" s="303"/>
      <c r="W374" s="303"/>
      <c r="X374" s="303"/>
      <c r="Y374" s="303"/>
      <c r="Z374" s="303"/>
    </row>
    <row r="375">
      <c r="A375" s="303"/>
      <c r="B375" s="303"/>
      <c r="C375" s="303"/>
      <c r="D375" s="303"/>
      <c r="E375" s="303"/>
      <c r="F375" s="303"/>
      <c r="G375" s="303"/>
      <c r="H375" s="303"/>
      <c r="I375" s="303"/>
      <c r="J375" s="307"/>
      <c r="K375" s="308"/>
      <c r="L375" s="309"/>
      <c r="M375" s="309"/>
      <c r="N375" s="306"/>
      <c r="O375" s="303"/>
      <c r="P375" s="303"/>
      <c r="Q375" s="303"/>
      <c r="R375" s="303"/>
      <c r="S375" s="303"/>
      <c r="T375" s="303"/>
      <c r="U375" s="303"/>
      <c r="V375" s="303"/>
      <c r="W375" s="303"/>
      <c r="X375" s="303"/>
      <c r="Y375" s="303"/>
      <c r="Z375" s="303"/>
    </row>
    <row r="376">
      <c r="A376" s="303"/>
      <c r="B376" s="303"/>
      <c r="C376" s="303"/>
      <c r="D376" s="303"/>
      <c r="E376" s="303"/>
      <c r="F376" s="303"/>
      <c r="G376" s="303"/>
      <c r="H376" s="303"/>
      <c r="I376" s="303"/>
      <c r="J376" s="307"/>
      <c r="K376" s="308"/>
      <c r="L376" s="309"/>
      <c r="M376" s="309"/>
      <c r="N376" s="306"/>
      <c r="O376" s="303"/>
      <c r="P376" s="303"/>
      <c r="Q376" s="303"/>
      <c r="R376" s="303"/>
      <c r="S376" s="303"/>
      <c r="T376" s="303"/>
      <c r="U376" s="303"/>
      <c r="V376" s="303"/>
      <c r="W376" s="303"/>
      <c r="X376" s="303"/>
      <c r="Y376" s="303"/>
      <c r="Z376" s="303"/>
    </row>
    <row r="377">
      <c r="A377" s="303"/>
      <c r="B377" s="303"/>
      <c r="C377" s="303"/>
      <c r="D377" s="303"/>
      <c r="E377" s="303"/>
      <c r="F377" s="303"/>
      <c r="G377" s="303"/>
      <c r="H377" s="303"/>
      <c r="I377" s="303"/>
      <c r="J377" s="307"/>
      <c r="K377" s="308"/>
      <c r="L377" s="309"/>
      <c r="M377" s="309"/>
      <c r="N377" s="306"/>
      <c r="O377" s="303"/>
      <c r="P377" s="303"/>
      <c r="Q377" s="303"/>
      <c r="R377" s="303"/>
      <c r="S377" s="303"/>
      <c r="T377" s="303"/>
      <c r="U377" s="303"/>
      <c r="V377" s="303"/>
      <c r="W377" s="303"/>
      <c r="X377" s="303"/>
      <c r="Y377" s="303"/>
      <c r="Z377" s="303"/>
    </row>
    <row r="378">
      <c r="A378" s="303"/>
      <c r="B378" s="303"/>
      <c r="C378" s="303"/>
      <c r="D378" s="303"/>
      <c r="E378" s="303"/>
      <c r="F378" s="303"/>
      <c r="G378" s="303"/>
      <c r="H378" s="303"/>
      <c r="I378" s="303"/>
      <c r="J378" s="307"/>
      <c r="K378" s="308"/>
      <c r="L378" s="309"/>
      <c r="M378" s="309"/>
      <c r="N378" s="306"/>
      <c r="O378" s="303"/>
      <c r="P378" s="303"/>
      <c r="Q378" s="303"/>
      <c r="R378" s="303"/>
      <c r="S378" s="303"/>
      <c r="T378" s="303"/>
      <c r="U378" s="303"/>
      <c r="V378" s="303"/>
      <c r="W378" s="303"/>
      <c r="X378" s="303"/>
      <c r="Y378" s="303"/>
      <c r="Z378" s="303"/>
    </row>
    <row r="379">
      <c r="A379" s="303"/>
      <c r="B379" s="303"/>
      <c r="C379" s="303"/>
      <c r="D379" s="303"/>
      <c r="E379" s="303"/>
      <c r="F379" s="303"/>
      <c r="G379" s="303"/>
      <c r="H379" s="303"/>
      <c r="I379" s="303"/>
      <c r="J379" s="307"/>
      <c r="K379" s="308"/>
      <c r="L379" s="309"/>
      <c r="M379" s="309"/>
      <c r="N379" s="306"/>
      <c r="O379" s="303"/>
      <c r="P379" s="303"/>
      <c r="Q379" s="303"/>
      <c r="R379" s="303"/>
      <c r="S379" s="303"/>
      <c r="T379" s="303"/>
      <c r="U379" s="303"/>
      <c r="V379" s="303"/>
      <c r="W379" s="303"/>
      <c r="X379" s="303"/>
      <c r="Y379" s="303"/>
      <c r="Z379" s="303"/>
    </row>
    <row r="380">
      <c r="A380" s="303"/>
      <c r="B380" s="303"/>
      <c r="C380" s="303"/>
      <c r="D380" s="303"/>
      <c r="E380" s="303"/>
      <c r="F380" s="303"/>
      <c r="G380" s="303"/>
      <c r="H380" s="303"/>
      <c r="I380" s="303"/>
      <c r="J380" s="307"/>
      <c r="K380" s="308"/>
      <c r="L380" s="309"/>
      <c r="M380" s="309"/>
      <c r="N380" s="306"/>
      <c r="O380" s="303"/>
      <c r="P380" s="303"/>
      <c r="Q380" s="303"/>
      <c r="R380" s="303"/>
      <c r="S380" s="303"/>
      <c r="T380" s="303"/>
      <c r="U380" s="303"/>
      <c r="V380" s="303"/>
      <c r="W380" s="303"/>
      <c r="X380" s="303"/>
      <c r="Y380" s="303"/>
      <c r="Z380" s="303"/>
    </row>
    <row r="381">
      <c r="A381" s="303"/>
      <c r="B381" s="303"/>
      <c r="C381" s="303"/>
      <c r="D381" s="303"/>
      <c r="E381" s="303"/>
      <c r="F381" s="303"/>
      <c r="G381" s="303"/>
      <c r="H381" s="303"/>
      <c r="I381" s="303"/>
      <c r="J381" s="307"/>
      <c r="K381" s="308"/>
      <c r="L381" s="309"/>
      <c r="M381" s="309"/>
      <c r="N381" s="306"/>
      <c r="O381" s="303"/>
      <c r="P381" s="303"/>
      <c r="Q381" s="303"/>
      <c r="R381" s="303"/>
      <c r="S381" s="303"/>
      <c r="T381" s="303"/>
      <c r="U381" s="303"/>
      <c r="V381" s="303"/>
      <c r="W381" s="303"/>
      <c r="X381" s="303"/>
      <c r="Y381" s="303"/>
      <c r="Z381" s="303"/>
    </row>
    <row r="382">
      <c r="A382" s="303"/>
      <c r="B382" s="303"/>
      <c r="C382" s="303"/>
      <c r="D382" s="303"/>
      <c r="E382" s="303"/>
      <c r="F382" s="303"/>
      <c r="G382" s="303"/>
      <c r="H382" s="303"/>
      <c r="I382" s="303"/>
      <c r="J382" s="307"/>
      <c r="K382" s="308"/>
      <c r="L382" s="309"/>
      <c r="M382" s="309"/>
      <c r="N382" s="306"/>
      <c r="O382" s="303"/>
      <c r="P382" s="303"/>
      <c r="Q382" s="303"/>
      <c r="R382" s="303"/>
      <c r="S382" s="303"/>
      <c r="T382" s="303"/>
      <c r="U382" s="303"/>
      <c r="V382" s="303"/>
      <c r="W382" s="303"/>
      <c r="X382" s="303"/>
      <c r="Y382" s="303"/>
      <c r="Z382" s="303"/>
    </row>
    <row r="383">
      <c r="A383" s="303"/>
      <c r="B383" s="303"/>
      <c r="C383" s="303"/>
      <c r="D383" s="303"/>
      <c r="E383" s="303"/>
      <c r="F383" s="303"/>
      <c r="G383" s="303"/>
      <c r="H383" s="303"/>
      <c r="I383" s="303"/>
      <c r="J383" s="307"/>
      <c r="K383" s="308"/>
      <c r="L383" s="309"/>
      <c r="M383" s="309"/>
      <c r="N383" s="306"/>
      <c r="O383" s="303"/>
      <c r="P383" s="303"/>
      <c r="Q383" s="303"/>
      <c r="R383" s="303"/>
      <c r="S383" s="303"/>
      <c r="T383" s="303"/>
      <c r="U383" s="303"/>
      <c r="V383" s="303"/>
      <c r="W383" s="303"/>
      <c r="X383" s="303"/>
      <c r="Y383" s="303"/>
      <c r="Z383" s="303"/>
    </row>
    <row r="384">
      <c r="A384" s="303"/>
      <c r="B384" s="303"/>
      <c r="C384" s="303"/>
      <c r="D384" s="303"/>
      <c r="E384" s="303"/>
      <c r="F384" s="303"/>
      <c r="G384" s="303"/>
      <c r="H384" s="303"/>
      <c r="I384" s="303"/>
      <c r="J384" s="307"/>
      <c r="K384" s="308"/>
      <c r="L384" s="309"/>
      <c r="M384" s="309"/>
      <c r="N384" s="306"/>
      <c r="O384" s="303"/>
      <c r="P384" s="303"/>
      <c r="Q384" s="303"/>
      <c r="R384" s="303"/>
      <c r="S384" s="303"/>
      <c r="T384" s="303"/>
      <c r="U384" s="303"/>
      <c r="V384" s="303"/>
      <c r="W384" s="303"/>
      <c r="X384" s="303"/>
      <c r="Y384" s="303"/>
      <c r="Z384" s="303"/>
    </row>
    <row r="385">
      <c r="A385" s="303"/>
      <c r="B385" s="303"/>
      <c r="C385" s="303"/>
      <c r="D385" s="303"/>
      <c r="E385" s="303"/>
      <c r="F385" s="303"/>
      <c r="G385" s="303"/>
      <c r="H385" s="303"/>
      <c r="I385" s="303"/>
      <c r="J385" s="307"/>
      <c r="K385" s="308"/>
      <c r="L385" s="309"/>
      <c r="M385" s="309"/>
      <c r="N385" s="306"/>
      <c r="O385" s="303"/>
      <c r="P385" s="303"/>
      <c r="Q385" s="303"/>
      <c r="R385" s="303"/>
      <c r="S385" s="303"/>
      <c r="T385" s="303"/>
      <c r="U385" s="303"/>
      <c r="V385" s="303"/>
      <c r="W385" s="303"/>
      <c r="X385" s="303"/>
      <c r="Y385" s="303"/>
      <c r="Z385" s="303"/>
    </row>
    <row r="386">
      <c r="A386" s="303"/>
      <c r="B386" s="303"/>
      <c r="C386" s="303"/>
      <c r="D386" s="303"/>
      <c r="E386" s="303"/>
      <c r="F386" s="303"/>
      <c r="G386" s="303"/>
      <c r="H386" s="303"/>
      <c r="I386" s="303"/>
      <c r="J386" s="307"/>
      <c r="K386" s="308"/>
      <c r="L386" s="309"/>
      <c r="M386" s="309"/>
      <c r="N386" s="306"/>
      <c r="O386" s="303"/>
      <c r="P386" s="303"/>
      <c r="Q386" s="303"/>
      <c r="R386" s="303"/>
      <c r="S386" s="303"/>
      <c r="T386" s="303"/>
      <c r="U386" s="303"/>
      <c r="V386" s="303"/>
      <c r="W386" s="303"/>
      <c r="X386" s="303"/>
      <c r="Y386" s="303"/>
      <c r="Z386" s="303"/>
    </row>
    <row r="387">
      <c r="A387" s="303"/>
      <c r="B387" s="303"/>
      <c r="C387" s="303"/>
      <c r="D387" s="303"/>
      <c r="E387" s="303"/>
      <c r="F387" s="303"/>
      <c r="G387" s="303"/>
      <c r="H387" s="303"/>
      <c r="I387" s="303"/>
      <c r="J387" s="307"/>
      <c r="K387" s="308"/>
      <c r="L387" s="309"/>
      <c r="M387" s="309"/>
      <c r="N387" s="306"/>
      <c r="O387" s="303"/>
      <c r="P387" s="303"/>
      <c r="Q387" s="303"/>
      <c r="R387" s="303"/>
      <c r="S387" s="303"/>
      <c r="T387" s="303"/>
      <c r="U387" s="303"/>
      <c r="V387" s="303"/>
      <c r="W387" s="303"/>
      <c r="X387" s="303"/>
      <c r="Y387" s="303"/>
      <c r="Z387" s="303"/>
    </row>
    <row r="388">
      <c r="A388" s="303"/>
      <c r="B388" s="303"/>
      <c r="C388" s="303"/>
      <c r="D388" s="303"/>
      <c r="E388" s="303"/>
      <c r="F388" s="303"/>
      <c r="G388" s="303"/>
      <c r="H388" s="303"/>
      <c r="I388" s="303"/>
      <c r="J388" s="307"/>
      <c r="K388" s="308"/>
      <c r="L388" s="309"/>
      <c r="M388" s="309"/>
      <c r="N388" s="306"/>
      <c r="O388" s="303"/>
      <c r="P388" s="303"/>
      <c r="Q388" s="303"/>
      <c r="R388" s="303"/>
      <c r="S388" s="303"/>
      <c r="T388" s="303"/>
      <c r="U388" s="303"/>
      <c r="V388" s="303"/>
      <c r="W388" s="303"/>
      <c r="X388" s="303"/>
      <c r="Y388" s="303"/>
      <c r="Z388" s="303"/>
    </row>
    <row r="389">
      <c r="A389" s="303"/>
      <c r="B389" s="303"/>
      <c r="C389" s="303"/>
      <c r="D389" s="303"/>
      <c r="E389" s="303"/>
      <c r="F389" s="303"/>
      <c r="G389" s="303"/>
      <c r="H389" s="303"/>
      <c r="I389" s="303"/>
      <c r="J389" s="307"/>
      <c r="K389" s="308"/>
      <c r="L389" s="309"/>
      <c r="M389" s="309"/>
      <c r="N389" s="306"/>
      <c r="O389" s="303"/>
      <c r="P389" s="303"/>
      <c r="Q389" s="303"/>
      <c r="R389" s="303"/>
      <c r="S389" s="303"/>
      <c r="T389" s="303"/>
      <c r="U389" s="303"/>
      <c r="V389" s="303"/>
      <c r="W389" s="303"/>
      <c r="X389" s="303"/>
      <c r="Y389" s="303"/>
      <c r="Z389" s="303"/>
    </row>
    <row r="390">
      <c r="A390" s="303"/>
      <c r="B390" s="303"/>
      <c r="C390" s="303"/>
      <c r="D390" s="303"/>
      <c r="E390" s="303"/>
      <c r="F390" s="303"/>
      <c r="G390" s="303"/>
      <c r="H390" s="303"/>
      <c r="I390" s="303"/>
      <c r="J390" s="307"/>
      <c r="K390" s="308"/>
      <c r="L390" s="309"/>
      <c r="M390" s="309"/>
      <c r="N390" s="306"/>
      <c r="O390" s="303"/>
      <c r="P390" s="303"/>
      <c r="Q390" s="303"/>
      <c r="R390" s="303"/>
      <c r="S390" s="303"/>
      <c r="T390" s="303"/>
      <c r="U390" s="303"/>
      <c r="V390" s="303"/>
      <c r="W390" s="303"/>
      <c r="X390" s="303"/>
      <c r="Y390" s="303"/>
      <c r="Z390" s="303"/>
    </row>
    <row r="391">
      <c r="A391" s="303"/>
      <c r="B391" s="303"/>
      <c r="C391" s="303"/>
      <c r="D391" s="303"/>
      <c r="E391" s="303"/>
      <c r="F391" s="303"/>
      <c r="G391" s="303"/>
      <c r="H391" s="303"/>
      <c r="I391" s="303"/>
      <c r="J391" s="307"/>
      <c r="K391" s="308"/>
      <c r="L391" s="309"/>
      <c r="M391" s="309"/>
      <c r="N391" s="306"/>
      <c r="O391" s="303"/>
      <c r="P391" s="303"/>
      <c r="Q391" s="303"/>
      <c r="R391" s="303"/>
      <c r="S391" s="303"/>
      <c r="T391" s="303"/>
      <c r="U391" s="303"/>
      <c r="V391" s="303"/>
      <c r="W391" s="303"/>
      <c r="X391" s="303"/>
      <c r="Y391" s="303"/>
      <c r="Z391" s="303"/>
    </row>
    <row r="392">
      <c r="A392" s="303"/>
      <c r="B392" s="303"/>
      <c r="C392" s="303"/>
      <c r="D392" s="303"/>
      <c r="E392" s="303"/>
      <c r="F392" s="303"/>
      <c r="G392" s="303"/>
      <c r="H392" s="303"/>
      <c r="I392" s="303"/>
      <c r="J392" s="307"/>
      <c r="K392" s="308"/>
      <c r="L392" s="309"/>
      <c r="M392" s="309"/>
      <c r="N392" s="306"/>
      <c r="O392" s="303"/>
      <c r="P392" s="303"/>
      <c r="Q392" s="303"/>
      <c r="R392" s="303"/>
      <c r="S392" s="303"/>
      <c r="T392" s="303"/>
      <c r="U392" s="303"/>
      <c r="V392" s="303"/>
      <c r="W392" s="303"/>
      <c r="X392" s="303"/>
      <c r="Y392" s="303"/>
      <c r="Z392" s="303"/>
    </row>
    <row r="393">
      <c r="A393" s="303"/>
      <c r="B393" s="303"/>
      <c r="C393" s="303"/>
      <c r="D393" s="303"/>
      <c r="E393" s="303"/>
      <c r="F393" s="303"/>
      <c r="G393" s="303"/>
      <c r="H393" s="303"/>
      <c r="I393" s="303"/>
      <c r="J393" s="307"/>
      <c r="K393" s="308"/>
      <c r="L393" s="309"/>
      <c r="M393" s="309"/>
      <c r="N393" s="306"/>
      <c r="O393" s="303"/>
      <c r="P393" s="303"/>
      <c r="Q393" s="303"/>
      <c r="R393" s="303"/>
      <c r="S393" s="303"/>
      <c r="T393" s="303"/>
      <c r="U393" s="303"/>
      <c r="V393" s="303"/>
      <c r="W393" s="303"/>
      <c r="X393" s="303"/>
      <c r="Y393" s="303"/>
      <c r="Z393" s="303"/>
    </row>
    <row r="394">
      <c r="A394" s="303"/>
      <c r="B394" s="303"/>
      <c r="C394" s="303"/>
      <c r="D394" s="303"/>
      <c r="E394" s="303"/>
      <c r="F394" s="303"/>
      <c r="G394" s="303"/>
      <c r="H394" s="303"/>
      <c r="I394" s="303"/>
      <c r="J394" s="307"/>
      <c r="K394" s="308"/>
      <c r="L394" s="309"/>
      <c r="M394" s="309"/>
      <c r="N394" s="306"/>
      <c r="O394" s="303"/>
      <c r="P394" s="303"/>
      <c r="Q394" s="303"/>
      <c r="R394" s="303"/>
      <c r="S394" s="303"/>
      <c r="T394" s="303"/>
      <c r="U394" s="303"/>
      <c r="V394" s="303"/>
      <c r="W394" s="303"/>
      <c r="X394" s="303"/>
      <c r="Y394" s="303"/>
      <c r="Z394" s="303"/>
    </row>
    <row r="395">
      <c r="A395" s="303"/>
      <c r="B395" s="303"/>
      <c r="C395" s="303"/>
      <c r="D395" s="303"/>
      <c r="E395" s="303"/>
      <c r="F395" s="303"/>
      <c r="G395" s="303"/>
      <c r="H395" s="303"/>
      <c r="I395" s="303"/>
      <c r="J395" s="307"/>
      <c r="K395" s="308"/>
      <c r="L395" s="309"/>
      <c r="M395" s="309"/>
      <c r="N395" s="306"/>
      <c r="O395" s="303"/>
      <c r="P395" s="303"/>
      <c r="Q395" s="303"/>
      <c r="R395" s="303"/>
      <c r="S395" s="303"/>
      <c r="T395" s="303"/>
      <c r="U395" s="303"/>
      <c r="V395" s="303"/>
      <c r="W395" s="303"/>
      <c r="X395" s="303"/>
      <c r="Y395" s="303"/>
      <c r="Z395" s="303"/>
    </row>
    <row r="396">
      <c r="A396" s="303"/>
      <c r="B396" s="303"/>
      <c r="C396" s="303"/>
      <c r="D396" s="303"/>
      <c r="E396" s="303"/>
      <c r="F396" s="303"/>
      <c r="G396" s="303"/>
      <c r="H396" s="303"/>
      <c r="I396" s="303"/>
      <c r="J396" s="307"/>
      <c r="K396" s="308"/>
      <c r="L396" s="309"/>
      <c r="M396" s="309"/>
      <c r="N396" s="306"/>
      <c r="O396" s="303"/>
      <c r="P396" s="303"/>
      <c r="Q396" s="303"/>
      <c r="R396" s="303"/>
      <c r="S396" s="303"/>
      <c r="T396" s="303"/>
      <c r="U396" s="303"/>
      <c r="V396" s="303"/>
      <c r="W396" s="303"/>
      <c r="X396" s="303"/>
      <c r="Y396" s="303"/>
      <c r="Z396" s="303"/>
    </row>
    <row r="397">
      <c r="A397" s="303"/>
      <c r="B397" s="303"/>
      <c r="C397" s="303"/>
      <c r="D397" s="303"/>
      <c r="E397" s="303"/>
      <c r="F397" s="303"/>
      <c r="G397" s="303"/>
      <c r="H397" s="303"/>
      <c r="I397" s="303"/>
      <c r="J397" s="307"/>
      <c r="K397" s="308"/>
      <c r="L397" s="309"/>
      <c r="M397" s="309"/>
      <c r="N397" s="306"/>
      <c r="O397" s="303"/>
      <c r="P397" s="303"/>
      <c r="Q397" s="303"/>
      <c r="R397" s="303"/>
      <c r="S397" s="303"/>
      <c r="T397" s="303"/>
      <c r="U397" s="303"/>
      <c r="V397" s="303"/>
      <c r="W397" s="303"/>
      <c r="X397" s="303"/>
      <c r="Y397" s="303"/>
      <c r="Z397" s="303"/>
    </row>
    <row r="398">
      <c r="A398" s="303"/>
      <c r="B398" s="303"/>
      <c r="C398" s="303"/>
      <c r="D398" s="303"/>
      <c r="E398" s="303"/>
      <c r="F398" s="303"/>
      <c r="G398" s="303"/>
      <c r="H398" s="303"/>
      <c r="I398" s="303"/>
      <c r="J398" s="307"/>
      <c r="K398" s="308"/>
      <c r="L398" s="309"/>
      <c r="M398" s="309"/>
      <c r="N398" s="306"/>
      <c r="O398" s="303"/>
      <c r="P398" s="303"/>
      <c r="Q398" s="303"/>
      <c r="R398" s="303"/>
      <c r="S398" s="303"/>
      <c r="T398" s="303"/>
      <c r="U398" s="303"/>
      <c r="V398" s="303"/>
      <c r="W398" s="303"/>
      <c r="X398" s="303"/>
      <c r="Y398" s="303"/>
      <c r="Z398" s="303"/>
    </row>
    <row r="399">
      <c r="A399" s="303"/>
      <c r="B399" s="303"/>
      <c r="C399" s="303"/>
      <c r="D399" s="303"/>
      <c r="E399" s="303"/>
      <c r="F399" s="303"/>
      <c r="G399" s="303"/>
      <c r="H399" s="303"/>
      <c r="I399" s="303"/>
      <c r="J399" s="307"/>
      <c r="K399" s="308"/>
      <c r="L399" s="309"/>
      <c r="M399" s="309"/>
      <c r="N399" s="306"/>
      <c r="O399" s="303"/>
      <c r="P399" s="303"/>
      <c r="Q399" s="303"/>
      <c r="R399" s="303"/>
      <c r="S399" s="303"/>
      <c r="T399" s="303"/>
      <c r="U399" s="303"/>
      <c r="V399" s="303"/>
      <c r="W399" s="303"/>
      <c r="X399" s="303"/>
      <c r="Y399" s="303"/>
      <c r="Z399" s="303"/>
    </row>
    <row r="400">
      <c r="A400" s="303"/>
      <c r="B400" s="303"/>
      <c r="C400" s="303"/>
      <c r="D400" s="303"/>
      <c r="E400" s="303"/>
      <c r="F400" s="303"/>
      <c r="G400" s="303"/>
      <c r="H400" s="303"/>
      <c r="I400" s="303"/>
      <c r="J400" s="307"/>
      <c r="K400" s="308"/>
      <c r="L400" s="309"/>
      <c r="M400" s="309"/>
      <c r="N400" s="306"/>
      <c r="O400" s="303"/>
      <c r="P400" s="303"/>
      <c r="Q400" s="303"/>
      <c r="R400" s="303"/>
      <c r="S400" s="303"/>
      <c r="T400" s="303"/>
      <c r="U400" s="303"/>
      <c r="V400" s="303"/>
      <c r="W400" s="303"/>
      <c r="X400" s="303"/>
      <c r="Y400" s="303"/>
      <c r="Z400" s="303"/>
    </row>
    <row r="401">
      <c r="A401" s="303"/>
      <c r="B401" s="303"/>
      <c r="C401" s="303"/>
      <c r="D401" s="303"/>
      <c r="E401" s="303"/>
      <c r="F401" s="303"/>
      <c r="G401" s="303"/>
      <c r="H401" s="303"/>
      <c r="I401" s="303"/>
      <c r="J401" s="307"/>
      <c r="K401" s="308"/>
      <c r="L401" s="309"/>
      <c r="M401" s="309"/>
      <c r="N401" s="306"/>
      <c r="O401" s="303"/>
      <c r="P401" s="303"/>
      <c r="Q401" s="303"/>
      <c r="R401" s="303"/>
      <c r="S401" s="303"/>
      <c r="T401" s="303"/>
      <c r="U401" s="303"/>
      <c r="V401" s="303"/>
      <c r="W401" s="303"/>
      <c r="X401" s="303"/>
      <c r="Y401" s="303"/>
      <c r="Z401" s="303"/>
    </row>
    <row r="402">
      <c r="A402" s="303"/>
      <c r="B402" s="303"/>
      <c r="C402" s="303"/>
      <c r="D402" s="303"/>
      <c r="E402" s="303"/>
      <c r="F402" s="303"/>
      <c r="G402" s="303"/>
      <c r="H402" s="303"/>
      <c r="I402" s="303"/>
      <c r="J402" s="307"/>
      <c r="K402" s="308"/>
      <c r="L402" s="309"/>
      <c r="M402" s="309"/>
      <c r="N402" s="306"/>
      <c r="O402" s="303"/>
      <c r="P402" s="303"/>
      <c r="Q402" s="303"/>
      <c r="R402" s="303"/>
      <c r="S402" s="303"/>
      <c r="T402" s="303"/>
      <c r="U402" s="303"/>
      <c r="V402" s="303"/>
      <c r="W402" s="303"/>
      <c r="X402" s="303"/>
      <c r="Y402" s="303"/>
      <c r="Z402" s="303"/>
    </row>
    <row r="403">
      <c r="A403" s="303"/>
      <c r="B403" s="303"/>
      <c r="C403" s="303"/>
      <c r="D403" s="303"/>
      <c r="E403" s="303"/>
      <c r="F403" s="303"/>
      <c r="G403" s="303"/>
      <c r="H403" s="303"/>
      <c r="I403" s="303"/>
      <c r="J403" s="307"/>
      <c r="K403" s="308"/>
      <c r="L403" s="309"/>
      <c r="M403" s="309"/>
      <c r="N403" s="306"/>
      <c r="O403" s="303"/>
      <c r="P403" s="303"/>
      <c r="Q403" s="303"/>
      <c r="R403" s="303"/>
      <c r="S403" s="303"/>
      <c r="T403" s="303"/>
      <c r="U403" s="303"/>
      <c r="V403" s="303"/>
      <c r="W403" s="303"/>
      <c r="X403" s="303"/>
      <c r="Y403" s="303"/>
      <c r="Z403" s="303"/>
    </row>
    <row r="404">
      <c r="A404" s="303"/>
      <c r="B404" s="303"/>
      <c r="C404" s="303"/>
      <c r="D404" s="303"/>
      <c r="E404" s="303"/>
      <c r="F404" s="303"/>
      <c r="G404" s="303"/>
      <c r="H404" s="303"/>
      <c r="I404" s="303"/>
      <c r="J404" s="307"/>
      <c r="K404" s="308"/>
      <c r="L404" s="309"/>
      <c r="M404" s="309"/>
      <c r="N404" s="306"/>
      <c r="O404" s="303"/>
      <c r="P404" s="303"/>
      <c r="Q404" s="303"/>
      <c r="R404" s="303"/>
      <c r="S404" s="303"/>
      <c r="T404" s="303"/>
      <c r="U404" s="303"/>
      <c r="V404" s="303"/>
      <c r="W404" s="303"/>
      <c r="X404" s="303"/>
      <c r="Y404" s="303"/>
      <c r="Z404" s="303"/>
    </row>
    <row r="405">
      <c r="A405" s="303"/>
      <c r="B405" s="303"/>
      <c r="C405" s="303"/>
      <c r="D405" s="303"/>
      <c r="E405" s="303"/>
      <c r="F405" s="303"/>
      <c r="G405" s="303"/>
      <c r="H405" s="303"/>
      <c r="I405" s="303"/>
      <c r="J405" s="307"/>
      <c r="K405" s="308"/>
      <c r="L405" s="309"/>
      <c r="M405" s="309"/>
      <c r="N405" s="306"/>
      <c r="O405" s="303"/>
      <c r="P405" s="303"/>
      <c r="Q405" s="303"/>
      <c r="R405" s="303"/>
      <c r="S405" s="303"/>
      <c r="T405" s="303"/>
      <c r="U405" s="303"/>
      <c r="V405" s="303"/>
      <c r="W405" s="303"/>
      <c r="X405" s="303"/>
      <c r="Y405" s="303"/>
      <c r="Z405" s="303"/>
    </row>
    <row r="406">
      <c r="A406" s="303"/>
      <c r="B406" s="303"/>
      <c r="C406" s="303"/>
      <c r="D406" s="303"/>
      <c r="E406" s="303"/>
      <c r="F406" s="303"/>
      <c r="G406" s="303"/>
      <c r="H406" s="303"/>
      <c r="I406" s="303"/>
      <c r="J406" s="307"/>
      <c r="K406" s="308"/>
      <c r="L406" s="309"/>
      <c r="M406" s="309"/>
      <c r="N406" s="306"/>
      <c r="O406" s="303"/>
      <c r="P406" s="303"/>
      <c r="Q406" s="303"/>
      <c r="R406" s="303"/>
      <c r="S406" s="303"/>
      <c r="T406" s="303"/>
      <c r="U406" s="303"/>
      <c r="V406" s="303"/>
      <c r="W406" s="303"/>
      <c r="X406" s="303"/>
      <c r="Y406" s="303"/>
      <c r="Z406" s="303"/>
    </row>
    <row r="407">
      <c r="A407" s="303"/>
      <c r="B407" s="303"/>
      <c r="C407" s="303"/>
      <c r="D407" s="303"/>
      <c r="E407" s="303"/>
      <c r="F407" s="303"/>
      <c r="G407" s="303"/>
      <c r="H407" s="303"/>
      <c r="I407" s="303"/>
      <c r="J407" s="307"/>
      <c r="K407" s="308"/>
      <c r="L407" s="309"/>
      <c r="M407" s="309"/>
      <c r="N407" s="306"/>
      <c r="O407" s="303"/>
      <c r="P407" s="303"/>
      <c r="Q407" s="303"/>
      <c r="R407" s="303"/>
      <c r="S407" s="303"/>
      <c r="T407" s="303"/>
      <c r="U407" s="303"/>
      <c r="V407" s="303"/>
      <c r="W407" s="303"/>
      <c r="X407" s="303"/>
      <c r="Y407" s="303"/>
      <c r="Z407" s="303"/>
    </row>
    <row r="408">
      <c r="A408" s="303"/>
      <c r="B408" s="303"/>
      <c r="C408" s="303"/>
      <c r="D408" s="303"/>
      <c r="E408" s="303"/>
      <c r="F408" s="303"/>
      <c r="G408" s="303"/>
      <c r="H408" s="303"/>
      <c r="I408" s="303"/>
      <c r="J408" s="307"/>
      <c r="K408" s="308"/>
      <c r="L408" s="309"/>
      <c r="M408" s="309"/>
      <c r="N408" s="306"/>
      <c r="O408" s="303"/>
      <c r="P408" s="303"/>
      <c r="Q408" s="303"/>
      <c r="R408" s="303"/>
      <c r="S408" s="303"/>
      <c r="T408" s="303"/>
      <c r="U408" s="303"/>
      <c r="V408" s="303"/>
      <c r="W408" s="303"/>
      <c r="X408" s="303"/>
      <c r="Y408" s="303"/>
      <c r="Z408" s="303"/>
    </row>
    <row r="409">
      <c r="A409" s="303"/>
      <c r="B409" s="303"/>
      <c r="C409" s="303"/>
      <c r="D409" s="303"/>
      <c r="E409" s="303"/>
      <c r="F409" s="303"/>
      <c r="G409" s="303"/>
      <c r="H409" s="303"/>
      <c r="I409" s="303"/>
      <c r="J409" s="307"/>
      <c r="K409" s="308"/>
      <c r="L409" s="309"/>
      <c r="M409" s="309"/>
      <c r="N409" s="306"/>
      <c r="O409" s="303"/>
      <c r="P409" s="303"/>
      <c r="Q409" s="303"/>
      <c r="R409" s="303"/>
      <c r="S409" s="303"/>
      <c r="T409" s="303"/>
      <c r="U409" s="303"/>
      <c r="V409" s="303"/>
      <c r="W409" s="303"/>
      <c r="X409" s="303"/>
      <c r="Y409" s="303"/>
      <c r="Z409" s="303"/>
    </row>
    <row r="410">
      <c r="A410" s="303"/>
      <c r="B410" s="303"/>
      <c r="C410" s="303"/>
      <c r="D410" s="303"/>
      <c r="E410" s="303"/>
      <c r="F410" s="303"/>
      <c r="G410" s="303"/>
      <c r="H410" s="303"/>
      <c r="I410" s="303"/>
      <c r="J410" s="307"/>
      <c r="K410" s="308"/>
      <c r="L410" s="309"/>
      <c r="M410" s="309"/>
      <c r="N410" s="306"/>
      <c r="O410" s="303"/>
      <c r="P410" s="303"/>
      <c r="Q410" s="303"/>
      <c r="R410" s="303"/>
      <c r="S410" s="303"/>
      <c r="T410" s="303"/>
      <c r="U410" s="303"/>
      <c r="V410" s="303"/>
      <c r="W410" s="303"/>
      <c r="X410" s="303"/>
      <c r="Y410" s="303"/>
      <c r="Z410" s="303"/>
    </row>
    <row r="411">
      <c r="A411" s="303"/>
      <c r="B411" s="303"/>
      <c r="C411" s="303"/>
      <c r="D411" s="303"/>
      <c r="E411" s="303"/>
      <c r="F411" s="303"/>
      <c r="G411" s="303"/>
      <c r="H411" s="303"/>
      <c r="I411" s="303"/>
      <c r="J411" s="307"/>
      <c r="K411" s="308"/>
      <c r="L411" s="309"/>
      <c r="M411" s="309"/>
      <c r="N411" s="306"/>
      <c r="O411" s="303"/>
      <c r="P411" s="303"/>
      <c r="Q411" s="303"/>
      <c r="R411" s="303"/>
      <c r="S411" s="303"/>
      <c r="T411" s="303"/>
      <c r="U411" s="303"/>
      <c r="V411" s="303"/>
      <c r="W411" s="303"/>
      <c r="X411" s="303"/>
      <c r="Y411" s="303"/>
      <c r="Z411" s="303"/>
    </row>
    <row r="412">
      <c r="A412" s="303"/>
      <c r="B412" s="303"/>
      <c r="C412" s="303"/>
      <c r="D412" s="303"/>
      <c r="E412" s="303"/>
      <c r="F412" s="303"/>
      <c r="G412" s="303"/>
      <c r="H412" s="303"/>
      <c r="I412" s="303"/>
      <c r="J412" s="307"/>
      <c r="K412" s="308"/>
      <c r="L412" s="309"/>
      <c r="M412" s="309"/>
      <c r="N412" s="306"/>
      <c r="O412" s="303"/>
      <c r="P412" s="303"/>
      <c r="Q412" s="303"/>
      <c r="R412" s="303"/>
      <c r="S412" s="303"/>
      <c r="T412" s="303"/>
      <c r="U412" s="303"/>
      <c r="V412" s="303"/>
      <c r="W412" s="303"/>
      <c r="X412" s="303"/>
      <c r="Y412" s="303"/>
      <c r="Z412" s="303"/>
    </row>
    <row r="413">
      <c r="A413" s="303"/>
      <c r="B413" s="303"/>
      <c r="C413" s="303"/>
      <c r="D413" s="303"/>
      <c r="E413" s="303"/>
      <c r="F413" s="303"/>
      <c r="G413" s="303"/>
      <c r="H413" s="303"/>
      <c r="I413" s="303"/>
      <c r="J413" s="307"/>
      <c r="K413" s="308"/>
      <c r="L413" s="309"/>
      <c r="M413" s="309"/>
      <c r="N413" s="306"/>
      <c r="O413" s="303"/>
      <c r="P413" s="303"/>
      <c r="Q413" s="303"/>
      <c r="R413" s="303"/>
      <c r="S413" s="303"/>
      <c r="T413" s="303"/>
      <c r="U413" s="303"/>
      <c r="V413" s="303"/>
      <c r="W413" s="303"/>
      <c r="X413" s="303"/>
      <c r="Y413" s="303"/>
      <c r="Z413" s="303"/>
    </row>
    <row r="414">
      <c r="A414" s="303"/>
      <c r="B414" s="303"/>
      <c r="C414" s="303"/>
      <c r="D414" s="303"/>
      <c r="E414" s="303"/>
      <c r="F414" s="303"/>
      <c r="G414" s="303"/>
      <c r="H414" s="303"/>
      <c r="I414" s="303"/>
      <c r="J414" s="307"/>
      <c r="K414" s="308"/>
      <c r="L414" s="309"/>
      <c r="M414" s="309"/>
      <c r="N414" s="306"/>
      <c r="O414" s="303"/>
      <c r="P414" s="303"/>
      <c r="Q414" s="303"/>
      <c r="R414" s="303"/>
      <c r="S414" s="303"/>
      <c r="T414" s="303"/>
      <c r="U414" s="303"/>
      <c r="V414" s="303"/>
      <c r="W414" s="303"/>
      <c r="X414" s="303"/>
      <c r="Y414" s="303"/>
      <c r="Z414" s="303"/>
    </row>
    <row r="415">
      <c r="A415" s="303"/>
      <c r="B415" s="303"/>
      <c r="C415" s="303"/>
      <c r="D415" s="303"/>
      <c r="E415" s="303"/>
      <c r="F415" s="303"/>
      <c r="G415" s="303"/>
      <c r="H415" s="303"/>
      <c r="I415" s="303"/>
      <c r="J415" s="307"/>
      <c r="K415" s="308"/>
      <c r="L415" s="309"/>
      <c r="M415" s="309"/>
      <c r="N415" s="306"/>
      <c r="O415" s="303"/>
      <c r="P415" s="303"/>
      <c r="Q415" s="303"/>
      <c r="R415" s="303"/>
      <c r="S415" s="303"/>
      <c r="T415" s="303"/>
      <c r="U415" s="303"/>
      <c r="V415" s="303"/>
      <c r="W415" s="303"/>
      <c r="X415" s="303"/>
      <c r="Y415" s="303"/>
      <c r="Z415" s="303"/>
    </row>
    <row r="416">
      <c r="A416" s="303"/>
      <c r="B416" s="303"/>
      <c r="C416" s="303"/>
      <c r="D416" s="303"/>
      <c r="E416" s="303"/>
      <c r="F416" s="303"/>
      <c r="G416" s="303"/>
      <c r="H416" s="303"/>
      <c r="I416" s="303"/>
      <c r="J416" s="307"/>
      <c r="K416" s="308"/>
      <c r="L416" s="309"/>
      <c r="M416" s="309"/>
      <c r="N416" s="306"/>
      <c r="O416" s="303"/>
      <c r="P416" s="303"/>
      <c r="Q416" s="303"/>
      <c r="R416" s="303"/>
      <c r="S416" s="303"/>
      <c r="T416" s="303"/>
      <c r="U416" s="303"/>
      <c r="V416" s="303"/>
      <c r="W416" s="303"/>
      <c r="X416" s="303"/>
      <c r="Y416" s="303"/>
      <c r="Z416" s="303"/>
    </row>
    <row r="417">
      <c r="A417" s="303"/>
      <c r="B417" s="303"/>
      <c r="C417" s="303"/>
      <c r="D417" s="303"/>
      <c r="E417" s="303"/>
      <c r="F417" s="303"/>
      <c r="G417" s="303"/>
      <c r="H417" s="303"/>
      <c r="I417" s="303"/>
      <c r="J417" s="307"/>
      <c r="K417" s="308"/>
      <c r="L417" s="309"/>
      <c r="M417" s="309"/>
      <c r="N417" s="306"/>
      <c r="O417" s="303"/>
      <c r="P417" s="303"/>
      <c r="Q417" s="303"/>
      <c r="R417" s="303"/>
      <c r="S417" s="303"/>
      <c r="T417" s="303"/>
      <c r="U417" s="303"/>
      <c r="V417" s="303"/>
      <c r="W417" s="303"/>
      <c r="X417" s="303"/>
      <c r="Y417" s="303"/>
      <c r="Z417" s="303"/>
    </row>
    <row r="418">
      <c r="A418" s="303"/>
      <c r="B418" s="303"/>
      <c r="C418" s="303"/>
      <c r="D418" s="303"/>
      <c r="E418" s="303"/>
      <c r="F418" s="303"/>
      <c r="G418" s="303"/>
      <c r="H418" s="303"/>
      <c r="I418" s="303"/>
      <c r="J418" s="307"/>
      <c r="K418" s="308"/>
      <c r="L418" s="309"/>
      <c r="M418" s="309"/>
      <c r="N418" s="306"/>
      <c r="O418" s="303"/>
      <c r="P418" s="303"/>
      <c r="Q418" s="303"/>
      <c r="R418" s="303"/>
      <c r="S418" s="303"/>
      <c r="T418" s="303"/>
      <c r="U418" s="303"/>
      <c r="V418" s="303"/>
      <c r="W418" s="303"/>
      <c r="X418" s="303"/>
      <c r="Y418" s="303"/>
      <c r="Z418" s="303"/>
    </row>
    <row r="419">
      <c r="A419" s="303"/>
      <c r="B419" s="303"/>
      <c r="C419" s="303"/>
      <c r="D419" s="303"/>
      <c r="E419" s="303"/>
      <c r="F419" s="303"/>
      <c r="G419" s="303"/>
      <c r="H419" s="303"/>
      <c r="I419" s="303"/>
      <c r="J419" s="307"/>
      <c r="K419" s="308"/>
      <c r="L419" s="309"/>
      <c r="M419" s="309"/>
      <c r="N419" s="306"/>
      <c r="O419" s="303"/>
      <c r="P419" s="303"/>
      <c r="Q419" s="303"/>
      <c r="R419" s="303"/>
      <c r="S419" s="303"/>
      <c r="T419" s="303"/>
      <c r="U419" s="303"/>
      <c r="V419" s="303"/>
      <c r="W419" s="303"/>
      <c r="X419" s="303"/>
      <c r="Y419" s="303"/>
      <c r="Z419" s="303"/>
    </row>
    <row r="420">
      <c r="A420" s="303"/>
      <c r="B420" s="303"/>
      <c r="C420" s="303"/>
      <c r="D420" s="303"/>
      <c r="E420" s="303"/>
      <c r="F420" s="303"/>
      <c r="G420" s="303"/>
      <c r="H420" s="303"/>
      <c r="I420" s="303"/>
      <c r="J420" s="307"/>
      <c r="K420" s="308"/>
      <c r="L420" s="309"/>
      <c r="M420" s="309"/>
      <c r="N420" s="306"/>
      <c r="O420" s="303"/>
      <c r="P420" s="303"/>
      <c r="Q420" s="303"/>
      <c r="R420" s="303"/>
      <c r="S420" s="303"/>
      <c r="T420" s="303"/>
      <c r="U420" s="303"/>
      <c r="V420" s="303"/>
      <c r="W420" s="303"/>
      <c r="X420" s="303"/>
      <c r="Y420" s="303"/>
      <c r="Z420" s="303"/>
    </row>
    <row r="421">
      <c r="A421" s="303"/>
      <c r="B421" s="303"/>
      <c r="C421" s="303"/>
      <c r="D421" s="303"/>
      <c r="E421" s="303"/>
      <c r="F421" s="303"/>
      <c r="G421" s="303"/>
      <c r="H421" s="303"/>
      <c r="I421" s="303"/>
      <c r="J421" s="307"/>
      <c r="K421" s="308"/>
      <c r="L421" s="309"/>
      <c r="M421" s="309"/>
      <c r="N421" s="306"/>
      <c r="O421" s="303"/>
      <c r="P421" s="303"/>
      <c r="Q421" s="303"/>
      <c r="R421" s="303"/>
      <c r="S421" s="303"/>
      <c r="T421" s="303"/>
      <c r="U421" s="303"/>
      <c r="V421" s="303"/>
      <c r="W421" s="303"/>
      <c r="X421" s="303"/>
      <c r="Y421" s="303"/>
      <c r="Z421" s="303"/>
    </row>
    <row r="422">
      <c r="A422" s="303"/>
      <c r="B422" s="303"/>
      <c r="C422" s="303"/>
      <c r="D422" s="303"/>
      <c r="E422" s="303"/>
      <c r="F422" s="303"/>
      <c r="G422" s="303"/>
      <c r="H422" s="303"/>
      <c r="I422" s="303"/>
      <c r="J422" s="307"/>
      <c r="K422" s="308"/>
      <c r="L422" s="309"/>
      <c r="M422" s="309"/>
      <c r="N422" s="306"/>
      <c r="O422" s="303"/>
      <c r="P422" s="303"/>
      <c r="Q422" s="303"/>
      <c r="R422" s="303"/>
      <c r="S422" s="303"/>
      <c r="T422" s="303"/>
      <c r="U422" s="303"/>
      <c r="V422" s="303"/>
      <c r="W422" s="303"/>
      <c r="X422" s="303"/>
      <c r="Y422" s="303"/>
      <c r="Z422" s="303"/>
    </row>
    <row r="423">
      <c r="A423" s="303"/>
      <c r="B423" s="303"/>
      <c r="C423" s="303"/>
      <c r="D423" s="303"/>
      <c r="E423" s="303"/>
      <c r="F423" s="303"/>
      <c r="G423" s="303"/>
      <c r="H423" s="303"/>
      <c r="I423" s="303"/>
      <c r="J423" s="307"/>
      <c r="K423" s="308"/>
      <c r="L423" s="309"/>
      <c r="M423" s="309"/>
      <c r="N423" s="306"/>
      <c r="O423" s="303"/>
      <c r="P423" s="303"/>
      <c r="Q423" s="303"/>
      <c r="R423" s="303"/>
      <c r="S423" s="303"/>
      <c r="T423" s="303"/>
      <c r="U423" s="303"/>
      <c r="V423" s="303"/>
      <c r="W423" s="303"/>
      <c r="X423" s="303"/>
      <c r="Y423" s="303"/>
      <c r="Z423" s="303"/>
    </row>
    <row r="424">
      <c r="A424" s="303"/>
      <c r="B424" s="303"/>
      <c r="C424" s="303"/>
      <c r="D424" s="303"/>
      <c r="E424" s="303"/>
      <c r="F424" s="303"/>
      <c r="G424" s="303"/>
      <c r="H424" s="303"/>
      <c r="I424" s="303"/>
      <c r="J424" s="307"/>
      <c r="K424" s="308"/>
      <c r="L424" s="309"/>
      <c r="M424" s="309"/>
      <c r="N424" s="306"/>
      <c r="O424" s="303"/>
      <c r="P424" s="303"/>
      <c r="Q424" s="303"/>
      <c r="R424" s="303"/>
      <c r="S424" s="303"/>
      <c r="T424" s="303"/>
      <c r="U424" s="303"/>
      <c r="V424" s="303"/>
      <c r="W424" s="303"/>
      <c r="X424" s="303"/>
      <c r="Y424" s="303"/>
      <c r="Z424" s="303"/>
    </row>
    <row r="425">
      <c r="A425" s="303"/>
      <c r="B425" s="303"/>
      <c r="C425" s="303"/>
      <c r="D425" s="303"/>
      <c r="E425" s="303"/>
      <c r="F425" s="303"/>
      <c r="G425" s="303"/>
      <c r="H425" s="303"/>
      <c r="I425" s="303"/>
      <c r="J425" s="307"/>
      <c r="K425" s="308"/>
      <c r="L425" s="309"/>
      <c r="M425" s="309"/>
      <c r="N425" s="306"/>
      <c r="O425" s="303"/>
      <c r="P425" s="303"/>
      <c r="Q425" s="303"/>
      <c r="R425" s="303"/>
      <c r="S425" s="303"/>
      <c r="T425" s="303"/>
      <c r="U425" s="303"/>
      <c r="V425" s="303"/>
      <c r="W425" s="303"/>
      <c r="X425" s="303"/>
      <c r="Y425" s="303"/>
      <c r="Z425" s="303"/>
    </row>
    <row r="426">
      <c r="A426" s="303"/>
      <c r="B426" s="303"/>
      <c r="C426" s="303"/>
      <c r="D426" s="303"/>
      <c r="E426" s="303"/>
      <c r="F426" s="303"/>
      <c r="G426" s="303"/>
      <c r="H426" s="303"/>
      <c r="I426" s="303"/>
      <c r="J426" s="307"/>
      <c r="K426" s="308"/>
      <c r="L426" s="309"/>
      <c r="M426" s="309"/>
      <c r="N426" s="306"/>
      <c r="O426" s="303"/>
      <c r="P426" s="303"/>
      <c r="Q426" s="303"/>
      <c r="R426" s="303"/>
      <c r="S426" s="303"/>
      <c r="T426" s="303"/>
      <c r="U426" s="303"/>
      <c r="V426" s="303"/>
      <c r="W426" s="303"/>
      <c r="X426" s="303"/>
      <c r="Y426" s="303"/>
      <c r="Z426" s="303"/>
    </row>
    <row r="427">
      <c r="A427" s="303"/>
      <c r="B427" s="303"/>
      <c r="C427" s="303"/>
      <c r="D427" s="303"/>
      <c r="E427" s="303"/>
      <c r="F427" s="303"/>
      <c r="G427" s="303"/>
      <c r="H427" s="303"/>
      <c r="I427" s="303"/>
      <c r="J427" s="307"/>
      <c r="K427" s="308"/>
      <c r="L427" s="309"/>
      <c r="M427" s="309"/>
      <c r="N427" s="306"/>
      <c r="O427" s="303"/>
      <c r="P427" s="303"/>
      <c r="Q427" s="303"/>
      <c r="R427" s="303"/>
      <c r="S427" s="303"/>
      <c r="T427" s="303"/>
      <c r="U427" s="303"/>
      <c r="V427" s="303"/>
      <c r="W427" s="303"/>
      <c r="X427" s="303"/>
      <c r="Y427" s="303"/>
      <c r="Z427" s="303"/>
    </row>
    <row r="428">
      <c r="A428" s="303"/>
      <c r="B428" s="303"/>
      <c r="C428" s="303"/>
      <c r="D428" s="303"/>
      <c r="E428" s="303"/>
      <c r="F428" s="303"/>
      <c r="G428" s="303"/>
      <c r="H428" s="303"/>
      <c r="I428" s="303"/>
      <c r="J428" s="307"/>
      <c r="K428" s="308"/>
      <c r="L428" s="309"/>
      <c r="M428" s="309"/>
      <c r="N428" s="306"/>
      <c r="O428" s="303"/>
      <c r="P428" s="303"/>
      <c r="Q428" s="303"/>
      <c r="R428" s="303"/>
      <c r="S428" s="303"/>
      <c r="T428" s="303"/>
      <c r="U428" s="303"/>
      <c r="V428" s="303"/>
      <c r="W428" s="303"/>
      <c r="X428" s="303"/>
      <c r="Y428" s="303"/>
      <c r="Z428" s="303"/>
    </row>
    <row r="429">
      <c r="A429" s="303"/>
      <c r="B429" s="303"/>
      <c r="C429" s="303"/>
      <c r="D429" s="303"/>
      <c r="E429" s="303"/>
      <c r="F429" s="303"/>
      <c r="G429" s="303"/>
      <c r="H429" s="303"/>
      <c r="I429" s="303"/>
      <c r="J429" s="307"/>
      <c r="K429" s="98"/>
      <c r="L429" s="309"/>
      <c r="M429" s="309"/>
      <c r="N429" s="303"/>
      <c r="O429" s="303"/>
      <c r="P429" s="303"/>
      <c r="Q429" s="303"/>
      <c r="R429" s="303"/>
      <c r="S429" s="303"/>
      <c r="T429" s="303"/>
      <c r="U429" s="303"/>
      <c r="V429" s="303"/>
      <c r="W429" s="303"/>
      <c r="X429" s="303"/>
      <c r="Y429" s="303"/>
      <c r="Z429" s="303"/>
    </row>
    <row r="430">
      <c r="A430" s="303"/>
      <c r="B430" s="303"/>
      <c r="C430" s="303"/>
      <c r="D430" s="303"/>
      <c r="E430" s="303"/>
      <c r="F430" s="303"/>
      <c r="G430" s="303"/>
      <c r="H430" s="303"/>
      <c r="I430" s="303"/>
      <c r="J430" s="307"/>
      <c r="K430" s="98"/>
      <c r="L430" s="309"/>
      <c r="M430" s="309"/>
      <c r="N430" s="303"/>
      <c r="O430" s="303"/>
      <c r="P430" s="303"/>
      <c r="Q430" s="303"/>
      <c r="R430" s="303"/>
      <c r="S430" s="303"/>
      <c r="T430" s="303"/>
      <c r="U430" s="303"/>
      <c r="V430" s="303"/>
      <c r="W430" s="303"/>
      <c r="X430" s="303"/>
      <c r="Y430" s="303"/>
      <c r="Z430" s="303"/>
    </row>
    <row r="431">
      <c r="A431" s="303"/>
      <c r="B431" s="303"/>
      <c r="C431" s="303"/>
      <c r="D431" s="303"/>
      <c r="E431" s="303"/>
      <c r="F431" s="303"/>
      <c r="G431" s="303"/>
      <c r="H431" s="303"/>
      <c r="I431" s="303"/>
      <c r="J431" s="307"/>
      <c r="K431" s="98"/>
      <c r="L431" s="309"/>
      <c r="M431" s="309"/>
      <c r="N431" s="303"/>
      <c r="O431" s="303"/>
      <c r="P431" s="303"/>
      <c r="Q431" s="303"/>
      <c r="R431" s="303"/>
      <c r="S431" s="303"/>
      <c r="T431" s="303"/>
      <c r="U431" s="303"/>
      <c r="V431" s="303"/>
      <c r="W431" s="303"/>
      <c r="X431" s="303"/>
      <c r="Y431" s="303"/>
      <c r="Z431" s="303"/>
    </row>
    <row r="432">
      <c r="A432" s="303"/>
      <c r="B432" s="303"/>
      <c r="C432" s="303"/>
      <c r="D432" s="303"/>
      <c r="E432" s="303"/>
      <c r="F432" s="303"/>
      <c r="G432" s="303"/>
      <c r="H432" s="303"/>
      <c r="I432" s="303"/>
      <c r="J432" s="307"/>
      <c r="K432" s="98"/>
      <c r="L432" s="309"/>
      <c r="M432" s="309"/>
      <c r="N432" s="303"/>
      <c r="O432" s="303"/>
      <c r="P432" s="303"/>
      <c r="Q432" s="303"/>
      <c r="R432" s="303"/>
      <c r="S432" s="303"/>
      <c r="T432" s="303"/>
      <c r="U432" s="303"/>
      <c r="V432" s="303"/>
      <c r="W432" s="303"/>
      <c r="X432" s="303"/>
      <c r="Y432" s="303"/>
      <c r="Z432" s="303"/>
    </row>
    <row r="433">
      <c r="A433" s="303"/>
      <c r="B433" s="303"/>
      <c r="C433" s="303"/>
      <c r="D433" s="303"/>
      <c r="E433" s="303"/>
      <c r="F433" s="303"/>
      <c r="G433" s="303"/>
      <c r="H433" s="303"/>
      <c r="I433" s="303"/>
      <c r="J433" s="307"/>
      <c r="K433" s="98"/>
      <c r="L433" s="309"/>
      <c r="M433" s="309"/>
      <c r="N433" s="303"/>
      <c r="O433" s="303"/>
      <c r="P433" s="303"/>
      <c r="Q433" s="303"/>
      <c r="R433" s="303"/>
      <c r="S433" s="303"/>
      <c r="T433" s="303"/>
      <c r="U433" s="303"/>
      <c r="V433" s="303"/>
      <c r="W433" s="303"/>
      <c r="X433" s="303"/>
      <c r="Y433" s="303"/>
      <c r="Z433" s="303"/>
    </row>
    <row r="434">
      <c r="A434" s="303"/>
      <c r="B434" s="303"/>
      <c r="C434" s="303"/>
      <c r="D434" s="303"/>
      <c r="E434" s="303"/>
      <c r="F434" s="303"/>
      <c r="G434" s="303"/>
      <c r="H434" s="303"/>
      <c r="I434" s="303"/>
      <c r="J434" s="307"/>
      <c r="K434" s="98"/>
      <c r="L434" s="309"/>
      <c r="M434" s="309"/>
      <c r="N434" s="303"/>
      <c r="O434" s="303"/>
      <c r="P434" s="303"/>
      <c r="Q434" s="303"/>
      <c r="R434" s="303"/>
      <c r="S434" s="303"/>
      <c r="T434" s="303"/>
      <c r="U434" s="303"/>
      <c r="V434" s="303"/>
      <c r="W434" s="303"/>
      <c r="X434" s="303"/>
      <c r="Y434" s="303"/>
      <c r="Z434" s="303"/>
    </row>
    <row r="435">
      <c r="A435" s="303"/>
      <c r="B435" s="303"/>
      <c r="C435" s="303"/>
      <c r="D435" s="303"/>
      <c r="E435" s="303"/>
      <c r="F435" s="303"/>
      <c r="G435" s="303"/>
      <c r="H435" s="303"/>
      <c r="I435" s="303"/>
      <c r="J435" s="307"/>
      <c r="K435" s="98"/>
      <c r="L435" s="309"/>
      <c r="M435" s="309"/>
      <c r="N435" s="303"/>
      <c r="O435" s="303"/>
      <c r="P435" s="303"/>
      <c r="Q435" s="303"/>
      <c r="R435" s="303"/>
      <c r="S435" s="303"/>
      <c r="T435" s="303"/>
      <c r="U435" s="303"/>
      <c r="V435" s="303"/>
      <c r="W435" s="303"/>
      <c r="X435" s="303"/>
      <c r="Y435" s="303"/>
      <c r="Z435" s="303"/>
    </row>
    <row r="436">
      <c r="A436" s="303"/>
      <c r="B436" s="303"/>
      <c r="C436" s="303"/>
      <c r="D436" s="303"/>
      <c r="E436" s="303"/>
      <c r="F436" s="303"/>
      <c r="G436" s="303"/>
      <c r="H436" s="303"/>
      <c r="I436" s="303"/>
      <c r="J436" s="307"/>
      <c r="K436" s="98"/>
      <c r="L436" s="309"/>
      <c r="M436" s="309"/>
      <c r="N436" s="303"/>
      <c r="O436" s="303"/>
      <c r="P436" s="303"/>
      <c r="Q436" s="303"/>
      <c r="R436" s="303"/>
      <c r="S436" s="303"/>
      <c r="T436" s="303"/>
      <c r="U436" s="303"/>
      <c r="V436" s="303"/>
      <c r="W436" s="303"/>
      <c r="X436" s="303"/>
      <c r="Y436" s="303"/>
      <c r="Z436" s="303"/>
    </row>
    <row r="437">
      <c r="A437" s="303"/>
      <c r="B437" s="303"/>
      <c r="C437" s="303"/>
      <c r="D437" s="303"/>
      <c r="E437" s="303"/>
      <c r="F437" s="303"/>
      <c r="G437" s="303"/>
      <c r="H437" s="303"/>
      <c r="I437" s="303"/>
      <c r="J437" s="307"/>
      <c r="K437" s="98"/>
      <c r="L437" s="309"/>
      <c r="M437" s="309"/>
      <c r="N437" s="303"/>
      <c r="O437" s="303"/>
      <c r="P437" s="303"/>
      <c r="Q437" s="303"/>
      <c r="R437" s="303"/>
      <c r="S437" s="303"/>
      <c r="T437" s="303"/>
      <c r="U437" s="303"/>
      <c r="V437" s="303"/>
      <c r="W437" s="303"/>
      <c r="X437" s="303"/>
      <c r="Y437" s="303"/>
      <c r="Z437" s="303"/>
    </row>
    <row r="438">
      <c r="A438" s="303"/>
      <c r="B438" s="303"/>
      <c r="C438" s="303"/>
      <c r="D438" s="303"/>
      <c r="E438" s="303"/>
      <c r="F438" s="303"/>
      <c r="G438" s="303"/>
      <c r="H438" s="303"/>
      <c r="I438" s="303"/>
      <c r="J438" s="307"/>
      <c r="K438" s="98"/>
      <c r="L438" s="309"/>
      <c r="M438" s="309"/>
      <c r="N438" s="303"/>
      <c r="O438" s="303"/>
      <c r="P438" s="303"/>
      <c r="Q438" s="303"/>
      <c r="R438" s="303"/>
      <c r="S438" s="303"/>
      <c r="T438" s="303"/>
      <c r="U438" s="303"/>
      <c r="V438" s="303"/>
      <c r="W438" s="303"/>
      <c r="X438" s="303"/>
      <c r="Y438" s="303"/>
      <c r="Z438" s="303"/>
    </row>
    <row r="439">
      <c r="A439" s="303"/>
      <c r="B439" s="303"/>
      <c r="C439" s="303"/>
      <c r="D439" s="303"/>
      <c r="E439" s="303"/>
      <c r="F439" s="303"/>
      <c r="G439" s="303"/>
      <c r="H439" s="303"/>
      <c r="I439" s="303"/>
      <c r="J439" s="307"/>
      <c r="K439" s="98"/>
      <c r="L439" s="309"/>
      <c r="M439" s="309"/>
      <c r="N439" s="303"/>
      <c r="O439" s="303"/>
      <c r="P439" s="303"/>
      <c r="Q439" s="303"/>
      <c r="R439" s="303"/>
      <c r="S439" s="303"/>
      <c r="T439" s="303"/>
      <c r="U439" s="303"/>
      <c r="V439" s="303"/>
      <c r="W439" s="303"/>
      <c r="X439" s="303"/>
      <c r="Y439" s="303"/>
      <c r="Z439" s="303"/>
    </row>
    <row r="440">
      <c r="A440" s="303"/>
      <c r="B440" s="303"/>
      <c r="C440" s="303"/>
      <c r="D440" s="303"/>
      <c r="E440" s="303"/>
      <c r="F440" s="303"/>
      <c r="G440" s="303"/>
      <c r="H440" s="303"/>
      <c r="I440" s="303"/>
      <c r="J440" s="322"/>
      <c r="K440" s="323"/>
      <c r="L440" s="324"/>
      <c r="M440" s="324"/>
      <c r="N440" s="303"/>
      <c r="O440" s="303"/>
      <c r="P440" s="303"/>
      <c r="Q440" s="303"/>
      <c r="R440" s="303"/>
      <c r="S440" s="303"/>
      <c r="T440" s="303"/>
      <c r="U440" s="303"/>
      <c r="V440" s="303"/>
      <c r="W440" s="303"/>
      <c r="X440" s="303"/>
      <c r="Y440" s="303"/>
      <c r="Z440" s="303"/>
    </row>
    <row r="441">
      <c r="A441" s="303"/>
      <c r="B441" s="303"/>
      <c r="C441" s="303"/>
      <c r="D441" s="303"/>
      <c r="E441" s="303"/>
      <c r="F441" s="303"/>
      <c r="G441" s="303"/>
      <c r="H441" s="303"/>
      <c r="I441" s="303"/>
      <c r="J441" s="307"/>
      <c r="K441" s="98"/>
      <c r="L441" s="309"/>
      <c r="M441" s="309"/>
      <c r="N441" s="303"/>
      <c r="O441" s="303"/>
      <c r="P441" s="303"/>
      <c r="Q441" s="303"/>
      <c r="R441" s="303"/>
      <c r="S441" s="303"/>
      <c r="T441" s="303"/>
      <c r="U441" s="303"/>
      <c r="V441" s="303"/>
      <c r="W441" s="303"/>
      <c r="X441" s="303"/>
      <c r="Y441" s="303"/>
      <c r="Z441" s="303"/>
    </row>
    <row r="442">
      <c r="A442" s="303"/>
      <c r="B442" s="303"/>
      <c r="C442" s="303"/>
      <c r="D442" s="303"/>
      <c r="E442" s="303"/>
      <c r="F442" s="303"/>
      <c r="G442" s="303"/>
      <c r="H442" s="303"/>
      <c r="I442" s="303"/>
      <c r="J442" s="307"/>
      <c r="K442" s="98"/>
      <c r="L442" s="309"/>
      <c r="M442" s="309"/>
      <c r="N442" s="303"/>
      <c r="O442" s="303"/>
      <c r="P442" s="303"/>
      <c r="Q442" s="303"/>
      <c r="R442" s="303"/>
      <c r="S442" s="303"/>
      <c r="T442" s="303"/>
      <c r="U442" s="303"/>
      <c r="V442" s="303"/>
      <c r="W442" s="303"/>
      <c r="X442" s="303"/>
      <c r="Y442" s="303"/>
      <c r="Z442" s="303"/>
    </row>
    <row r="443">
      <c r="A443" s="303"/>
      <c r="B443" s="303"/>
      <c r="C443" s="303"/>
      <c r="D443" s="303"/>
      <c r="E443" s="303"/>
      <c r="F443" s="303"/>
      <c r="G443" s="303"/>
      <c r="H443" s="303"/>
      <c r="I443" s="303"/>
      <c r="J443" s="307"/>
      <c r="K443" s="98"/>
      <c r="L443" s="309"/>
      <c r="M443" s="309"/>
      <c r="N443" s="303"/>
      <c r="O443" s="303"/>
      <c r="P443" s="303"/>
      <c r="Q443" s="303"/>
      <c r="R443" s="303"/>
      <c r="S443" s="303"/>
      <c r="T443" s="303"/>
      <c r="U443" s="303"/>
      <c r="V443" s="303"/>
      <c r="W443" s="303"/>
      <c r="X443" s="303"/>
      <c r="Y443" s="303"/>
      <c r="Z443" s="303"/>
    </row>
    <row r="444">
      <c r="A444" s="303"/>
      <c r="B444" s="303"/>
      <c r="C444" s="303"/>
      <c r="D444" s="303"/>
      <c r="E444" s="303"/>
      <c r="F444" s="303"/>
      <c r="G444" s="303"/>
      <c r="H444" s="303"/>
      <c r="I444" s="303"/>
      <c r="J444" s="307"/>
      <c r="K444" s="98"/>
      <c r="L444" s="309"/>
      <c r="M444" s="309"/>
      <c r="N444" s="303"/>
      <c r="O444" s="303"/>
      <c r="P444" s="303"/>
      <c r="Q444" s="303"/>
      <c r="R444" s="303"/>
      <c r="S444" s="303"/>
      <c r="T444" s="303"/>
      <c r="U444" s="303"/>
      <c r="V444" s="303"/>
      <c r="W444" s="303"/>
      <c r="X444" s="303"/>
      <c r="Y444" s="303"/>
      <c r="Z444" s="303"/>
    </row>
    <row r="445">
      <c r="A445" s="303"/>
      <c r="B445" s="303"/>
      <c r="C445" s="303"/>
      <c r="D445" s="303"/>
      <c r="E445" s="303"/>
      <c r="F445" s="303"/>
      <c r="G445" s="303"/>
      <c r="H445" s="303"/>
      <c r="I445" s="303"/>
      <c r="J445" s="307"/>
      <c r="K445" s="98"/>
      <c r="L445" s="309"/>
      <c r="M445" s="309"/>
      <c r="N445" s="303"/>
      <c r="O445" s="303"/>
      <c r="P445" s="303"/>
      <c r="Q445" s="303"/>
      <c r="R445" s="303"/>
      <c r="S445" s="303"/>
      <c r="T445" s="303"/>
      <c r="U445" s="303"/>
      <c r="V445" s="303"/>
      <c r="W445" s="303"/>
      <c r="X445" s="303"/>
      <c r="Y445" s="303"/>
      <c r="Z445" s="303"/>
    </row>
    <row r="446">
      <c r="A446" s="303"/>
      <c r="B446" s="303"/>
      <c r="C446" s="303"/>
      <c r="D446" s="303"/>
      <c r="E446" s="303"/>
      <c r="F446" s="303"/>
      <c r="G446" s="303"/>
      <c r="H446" s="303"/>
      <c r="I446" s="303"/>
      <c r="J446" s="307"/>
      <c r="K446" s="98"/>
      <c r="L446" s="309"/>
      <c r="M446" s="309"/>
      <c r="N446" s="303"/>
      <c r="O446" s="303"/>
      <c r="P446" s="303"/>
      <c r="Q446" s="303"/>
      <c r="R446" s="303"/>
      <c r="S446" s="303"/>
      <c r="T446" s="303"/>
      <c r="U446" s="303"/>
      <c r="V446" s="303"/>
      <c r="W446" s="303"/>
      <c r="X446" s="303"/>
      <c r="Y446" s="303"/>
      <c r="Z446" s="303"/>
    </row>
    <row r="447">
      <c r="A447" s="303"/>
      <c r="B447" s="303"/>
      <c r="C447" s="303"/>
      <c r="D447" s="303"/>
      <c r="E447" s="303"/>
      <c r="F447" s="303"/>
      <c r="G447" s="303"/>
      <c r="H447" s="303"/>
      <c r="I447" s="303"/>
      <c r="J447" s="307"/>
      <c r="K447" s="98"/>
      <c r="L447" s="309"/>
      <c r="M447" s="309"/>
      <c r="N447" s="303"/>
      <c r="O447" s="303"/>
      <c r="P447" s="303"/>
      <c r="Q447" s="303"/>
      <c r="R447" s="303"/>
      <c r="S447" s="303"/>
      <c r="T447" s="303"/>
      <c r="U447" s="303"/>
      <c r="V447" s="303"/>
      <c r="W447" s="303"/>
      <c r="X447" s="303"/>
      <c r="Y447" s="303"/>
      <c r="Z447" s="303"/>
    </row>
    <row r="448">
      <c r="A448" s="303"/>
      <c r="B448" s="303"/>
      <c r="C448" s="303"/>
      <c r="D448" s="303"/>
      <c r="E448" s="303"/>
      <c r="F448" s="303"/>
      <c r="G448" s="303"/>
      <c r="H448" s="303"/>
      <c r="I448" s="303"/>
      <c r="J448" s="307"/>
      <c r="K448" s="98"/>
      <c r="L448" s="309"/>
      <c r="M448" s="309"/>
      <c r="N448" s="303"/>
      <c r="O448" s="303"/>
      <c r="P448" s="303"/>
      <c r="Q448" s="303"/>
      <c r="R448" s="303"/>
      <c r="S448" s="303"/>
      <c r="T448" s="303"/>
      <c r="U448" s="303"/>
      <c r="V448" s="303"/>
      <c r="W448" s="303"/>
      <c r="X448" s="303"/>
      <c r="Y448" s="303"/>
      <c r="Z448" s="303"/>
    </row>
    <row r="449">
      <c r="A449" s="303"/>
      <c r="B449" s="303"/>
      <c r="C449" s="303"/>
      <c r="D449" s="303"/>
      <c r="E449" s="303"/>
      <c r="F449" s="303"/>
      <c r="G449" s="303"/>
      <c r="H449" s="303"/>
      <c r="I449" s="303"/>
      <c r="J449" s="307"/>
      <c r="K449" s="98"/>
      <c r="L449" s="309"/>
      <c r="M449" s="309"/>
      <c r="N449" s="303"/>
      <c r="O449" s="303"/>
      <c r="P449" s="303"/>
      <c r="Q449" s="303"/>
      <c r="R449" s="303"/>
      <c r="S449" s="303"/>
      <c r="T449" s="303"/>
      <c r="U449" s="303"/>
      <c r="V449" s="303"/>
      <c r="W449" s="303"/>
      <c r="X449" s="303"/>
      <c r="Y449" s="303"/>
      <c r="Z449" s="303"/>
    </row>
    <row r="450">
      <c r="A450" s="303"/>
      <c r="B450" s="303"/>
      <c r="C450" s="303"/>
      <c r="D450" s="303"/>
      <c r="E450" s="303"/>
      <c r="F450" s="303"/>
      <c r="G450" s="303"/>
      <c r="H450" s="303"/>
      <c r="I450" s="303"/>
      <c r="J450" s="307"/>
      <c r="K450" s="98"/>
      <c r="L450" s="309"/>
      <c r="M450" s="309"/>
      <c r="N450" s="303"/>
      <c r="O450" s="303"/>
      <c r="P450" s="303"/>
      <c r="Q450" s="303"/>
      <c r="R450" s="303"/>
      <c r="S450" s="303"/>
      <c r="T450" s="303"/>
      <c r="U450" s="303"/>
      <c r="V450" s="303"/>
      <c r="W450" s="303"/>
      <c r="X450" s="303"/>
      <c r="Y450" s="303"/>
      <c r="Z450" s="303"/>
    </row>
    <row r="451">
      <c r="A451" s="303"/>
      <c r="B451" s="303"/>
      <c r="C451" s="303"/>
      <c r="D451" s="303"/>
      <c r="E451" s="303"/>
      <c r="F451" s="303"/>
      <c r="G451" s="303"/>
      <c r="H451" s="303"/>
      <c r="I451" s="303"/>
      <c r="J451" s="307"/>
      <c r="K451" s="98"/>
      <c r="L451" s="309"/>
      <c r="M451" s="309"/>
      <c r="N451" s="303"/>
      <c r="O451" s="303"/>
      <c r="P451" s="303"/>
      <c r="Q451" s="303"/>
      <c r="R451" s="303"/>
      <c r="S451" s="303"/>
      <c r="T451" s="303"/>
      <c r="U451" s="303"/>
      <c r="V451" s="303"/>
      <c r="W451" s="303"/>
      <c r="X451" s="303"/>
      <c r="Y451" s="303"/>
      <c r="Z451" s="303"/>
    </row>
    <row r="452">
      <c r="A452" s="303"/>
      <c r="B452" s="303"/>
      <c r="C452" s="303"/>
      <c r="D452" s="303"/>
      <c r="E452" s="303"/>
      <c r="F452" s="303"/>
      <c r="G452" s="303"/>
      <c r="H452" s="303"/>
      <c r="I452" s="303"/>
      <c r="J452" s="307"/>
      <c r="K452" s="98"/>
      <c r="L452" s="309"/>
      <c r="M452" s="309"/>
      <c r="N452" s="303"/>
      <c r="O452" s="303"/>
      <c r="P452" s="303"/>
      <c r="Q452" s="303"/>
      <c r="R452" s="303"/>
      <c r="S452" s="303"/>
      <c r="T452" s="303"/>
      <c r="U452" s="303"/>
      <c r="V452" s="303"/>
      <c r="W452" s="303"/>
      <c r="X452" s="303"/>
      <c r="Y452" s="303"/>
      <c r="Z452" s="303"/>
    </row>
    <row r="453">
      <c r="A453" s="303"/>
      <c r="B453" s="303"/>
      <c r="C453" s="303"/>
      <c r="D453" s="303"/>
      <c r="E453" s="303"/>
      <c r="F453" s="303"/>
      <c r="G453" s="303"/>
      <c r="H453" s="303"/>
      <c r="I453" s="303"/>
      <c r="J453" s="307"/>
      <c r="K453" s="98"/>
      <c r="L453" s="309"/>
      <c r="M453" s="309"/>
      <c r="N453" s="303"/>
      <c r="O453" s="303"/>
      <c r="P453" s="303"/>
      <c r="Q453" s="303"/>
      <c r="R453" s="303"/>
      <c r="S453" s="303"/>
      <c r="T453" s="303"/>
      <c r="U453" s="303"/>
      <c r="V453" s="303"/>
      <c r="W453" s="303"/>
      <c r="X453" s="303"/>
      <c r="Y453" s="303"/>
      <c r="Z453" s="303"/>
    </row>
    <row r="454">
      <c r="A454" s="303"/>
      <c r="B454" s="303"/>
      <c r="C454" s="303"/>
      <c r="D454" s="303"/>
      <c r="E454" s="303"/>
      <c r="F454" s="303"/>
      <c r="G454" s="303"/>
      <c r="H454" s="303"/>
      <c r="I454" s="303"/>
      <c r="J454" s="307"/>
      <c r="K454" s="98"/>
      <c r="L454" s="309"/>
      <c r="M454" s="309"/>
      <c r="N454" s="303"/>
      <c r="O454" s="303"/>
      <c r="P454" s="303"/>
      <c r="Q454" s="303"/>
      <c r="R454" s="303"/>
      <c r="S454" s="303"/>
      <c r="T454" s="303"/>
      <c r="U454" s="303"/>
      <c r="V454" s="303"/>
      <c r="W454" s="303"/>
      <c r="X454" s="303"/>
      <c r="Y454" s="303"/>
      <c r="Z454" s="303"/>
    </row>
    <row r="455">
      <c r="A455" s="303"/>
      <c r="B455" s="303"/>
      <c r="C455" s="303"/>
      <c r="D455" s="303"/>
      <c r="E455" s="303"/>
      <c r="F455" s="303"/>
      <c r="G455" s="303"/>
      <c r="H455" s="303"/>
      <c r="I455" s="303"/>
      <c r="J455" s="307"/>
      <c r="K455" s="98"/>
      <c r="L455" s="309"/>
      <c r="M455" s="309"/>
      <c r="N455" s="303"/>
      <c r="O455" s="303"/>
      <c r="P455" s="303"/>
      <c r="Q455" s="303"/>
      <c r="R455" s="303"/>
      <c r="S455" s="303"/>
      <c r="T455" s="303"/>
      <c r="U455" s="303"/>
      <c r="V455" s="303"/>
      <c r="W455" s="303"/>
      <c r="X455" s="303"/>
      <c r="Y455" s="303"/>
      <c r="Z455" s="303"/>
    </row>
    <row r="456">
      <c r="A456" s="303"/>
      <c r="B456" s="303"/>
      <c r="C456" s="303"/>
      <c r="D456" s="303"/>
      <c r="E456" s="303"/>
      <c r="F456" s="303"/>
      <c r="G456" s="303"/>
      <c r="H456" s="303"/>
      <c r="I456" s="303"/>
      <c r="J456" s="307"/>
      <c r="K456" s="98"/>
      <c r="L456" s="309"/>
      <c r="M456" s="309"/>
      <c r="N456" s="303"/>
      <c r="O456" s="303"/>
      <c r="P456" s="303"/>
      <c r="Q456" s="303"/>
      <c r="R456" s="303"/>
      <c r="S456" s="303"/>
      <c r="T456" s="303"/>
      <c r="U456" s="303"/>
      <c r="V456" s="303"/>
      <c r="W456" s="303"/>
      <c r="X456" s="303"/>
      <c r="Y456" s="303"/>
      <c r="Z456" s="303"/>
    </row>
    <row r="457">
      <c r="A457" s="303"/>
      <c r="B457" s="303"/>
      <c r="C457" s="303"/>
      <c r="D457" s="303"/>
      <c r="E457" s="303"/>
      <c r="F457" s="303"/>
      <c r="G457" s="303"/>
      <c r="H457" s="303"/>
      <c r="I457" s="303"/>
      <c r="J457" s="307"/>
      <c r="K457" s="98"/>
      <c r="L457" s="309"/>
      <c r="M457" s="309"/>
      <c r="N457" s="303"/>
      <c r="O457" s="303"/>
      <c r="P457" s="303"/>
      <c r="Q457" s="303"/>
      <c r="R457" s="303"/>
      <c r="S457" s="303"/>
      <c r="T457" s="303"/>
      <c r="U457" s="303"/>
      <c r="V457" s="303"/>
      <c r="W457" s="303"/>
      <c r="X457" s="303"/>
      <c r="Y457" s="303"/>
      <c r="Z457" s="303"/>
    </row>
    <row r="458">
      <c r="A458" s="303"/>
      <c r="B458" s="303"/>
      <c r="C458" s="303"/>
      <c r="D458" s="303"/>
      <c r="E458" s="303"/>
      <c r="F458" s="303"/>
      <c r="G458" s="303"/>
      <c r="H458" s="303"/>
      <c r="I458" s="303"/>
      <c r="J458" s="307"/>
      <c r="K458" s="98"/>
      <c r="L458" s="309"/>
      <c r="M458" s="309"/>
      <c r="N458" s="303"/>
      <c r="O458" s="303"/>
      <c r="P458" s="303"/>
      <c r="Q458" s="303"/>
      <c r="R458" s="303"/>
      <c r="S458" s="303"/>
      <c r="T458" s="303"/>
      <c r="U458" s="303"/>
      <c r="V458" s="303"/>
      <c r="W458" s="303"/>
      <c r="X458" s="303"/>
      <c r="Y458" s="303"/>
      <c r="Z458" s="303"/>
    </row>
    <row r="459">
      <c r="A459" s="303"/>
      <c r="B459" s="303"/>
      <c r="C459" s="303"/>
      <c r="D459" s="303"/>
      <c r="E459" s="303"/>
      <c r="F459" s="303"/>
      <c r="G459" s="303"/>
      <c r="H459" s="303"/>
      <c r="I459" s="303"/>
      <c r="J459" s="307"/>
      <c r="K459" s="98"/>
      <c r="L459" s="309"/>
      <c r="M459" s="309"/>
      <c r="N459" s="303"/>
      <c r="O459" s="303"/>
      <c r="P459" s="303"/>
      <c r="Q459" s="303"/>
      <c r="R459" s="303"/>
      <c r="S459" s="303"/>
      <c r="T459" s="303"/>
      <c r="U459" s="303"/>
      <c r="V459" s="303"/>
      <c r="W459" s="303"/>
      <c r="X459" s="303"/>
      <c r="Y459" s="303"/>
      <c r="Z459" s="303"/>
    </row>
    <row r="460">
      <c r="A460" s="303"/>
      <c r="B460" s="303"/>
      <c r="C460" s="303"/>
      <c r="D460" s="303"/>
      <c r="E460" s="303"/>
      <c r="F460" s="303"/>
      <c r="G460" s="303"/>
      <c r="H460" s="303"/>
      <c r="I460" s="303"/>
      <c r="J460" s="307"/>
      <c r="K460" s="98"/>
      <c r="L460" s="309"/>
      <c r="M460" s="309"/>
      <c r="N460" s="303"/>
      <c r="O460" s="303"/>
      <c r="P460" s="303"/>
      <c r="Q460" s="303"/>
      <c r="R460" s="303"/>
      <c r="S460" s="303"/>
      <c r="T460" s="303"/>
      <c r="U460" s="303"/>
      <c r="V460" s="303"/>
      <c r="W460" s="303"/>
      <c r="X460" s="303"/>
      <c r="Y460" s="303"/>
      <c r="Z460" s="303"/>
    </row>
    <row r="461">
      <c r="A461" s="303"/>
      <c r="B461" s="303"/>
      <c r="C461" s="303"/>
      <c r="D461" s="303"/>
      <c r="E461" s="303"/>
      <c r="F461" s="303"/>
      <c r="G461" s="303"/>
      <c r="H461" s="303"/>
      <c r="I461" s="303"/>
      <c r="J461" s="307"/>
      <c r="K461" s="98"/>
      <c r="L461" s="309"/>
      <c r="M461" s="309"/>
      <c r="N461" s="303"/>
      <c r="O461" s="303"/>
      <c r="P461" s="303"/>
      <c r="Q461" s="303"/>
      <c r="R461" s="303"/>
      <c r="S461" s="303"/>
      <c r="T461" s="303"/>
      <c r="U461" s="303"/>
      <c r="V461" s="303"/>
      <c r="W461" s="303"/>
      <c r="X461" s="303"/>
      <c r="Y461" s="303"/>
      <c r="Z461" s="303"/>
    </row>
    <row r="462">
      <c r="A462" s="303"/>
      <c r="B462" s="303"/>
      <c r="C462" s="303"/>
      <c r="D462" s="303"/>
      <c r="E462" s="303"/>
      <c r="F462" s="303"/>
      <c r="G462" s="303"/>
      <c r="H462" s="303"/>
      <c r="I462" s="303"/>
      <c r="J462" s="307"/>
      <c r="K462" s="98"/>
      <c r="L462" s="309"/>
      <c r="M462" s="309"/>
      <c r="N462" s="303"/>
      <c r="O462" s="303"/>
      <c r="P462" s="303"/>
      <c r="Q462" s="303"/>
      <c r="R462" s="303"/>
      <c r="S462" s="303"/>
      <c r="T462" s="303"/>
      <c r="U462" s="303"/>
      <c r="V462" s="303"/>
      <c r="W462" s="303"/>
      <c r="X462" s="303"/>
      <c r="Y462" s="303"/>
      <c r="Z462" s="303"/>
    </row>
    <row r="463">
      <c r="A463" s="303"/>
      <c r="B463" s="303"/>
      <c r="C463" s="303"/>
      <c r="D463" s="303"/>
      <c r="E463" s="303"/>
      <c r="F463" s="303"/>
      <c r="G463" s="303"/>
      <c r="H463" s="303"/>
      <c r="I463" s="303"/>
      <c r="J463" s="307"/>
      <c r="K463" s="98"/>
      <c r="L463" s="309"/>
      <c r="M463" s="309"/>
      <c r="N463" s="303"/>
      <c r="O463" s="303"/>
      <c r="P463" s="303"/>
      <c r="Q463" s="303"/>
      <c r="R463" s="303"/>
      <c r="S463" s="303"/>
      <c r="T463" s="303"/>
      <c r="U463" s="303"/>
      <c r="V463" s="303"/>
      <c r="W463" s="303"/>
      <c r="X463" s="303"/>
      <c r="Y463" s="303"/>
      <c r="Z463" s="303"/>
    </row>
    <row r="464">
      <c r="A464" s="303"/>
      <c r="B464" s="303"/>
      <c r="C464" s="303"/>
      <c r="D464" s="303"/>
      <c r="E464" s="303"/>
      <c r="F464" s="303"/>
      <c r="G464" s="303"/>
      <c r="H464" s="303"/>
      <c r="I464" s="303"/>
      <c r="J464" s="307"/>
      <c r="K464" s="98"/>
      <c r="L464" s="309"/>
      <c r="M464" s="309"/>
      <c r="N464" s="303"/>
      <c r="O464" s="303"/>
      <c r="P464" s="303"/>
      <c r="Q464" s="303"/>
      <c r="R464" s="303"/>
      <c r="S464" s="303"/>
      <c r="T464" s="303"/>
      <c r="U464" s="303"/>
      <c r="V464" s="303"/>
      <c r="W464" s="303"/>
      <c r="X464" s="303"/>
      <c r="Y464" s="303"/>
      <c r="Z464" s="303"/>
    </row>
    <row r="465">
      <c r="A465" s="303"/>
      <c r="B465" s="303"/>
      <c r="C465" s="303"/>
      <c r="D465" s="303"/>
      <c r="E465" s="303"/>
      <c r="F465" s="303"/>
      <c r="G465" s="303"/>
      <c r="H465" s="303"/>
      <c r="I465" s="303"/>
      <c r="J465" s="307"/>
      <c r="K465" s="98"/>
      <c r="L465" s="309"/>
      <c r="M465" s="309"/>
      <c r="N465" s="303"/>
      <c r="O465" s="303"/>
      <c r="P465" s="303"/>
      <c r="Q465" s="303"/>
      <c r="R465" s="303"/>
      <c r="S465" s="303"/>
      <c r="T465" s="303"/>
      <c r="U465" s="303"/>
      <c r="V465" s="303"/>
      <c r="W465" s="303"/>
      <c r="X465" s="303"/>
      <c r="Y465" s="303"/>
      <c r="Z465" s="303"/>
    </row>
    <row r="466">
      <c r="A466" s="303"/>
      <c r="B466" s="303"/>
      <c r="C466" s="303"/>
      <c r="D466" s="303"/>
      <c r="E466" s="303"/>
      <c r="F466" s="303"/>
      <c r="G466" s="303"/>
      <c r="H466" s="303"/>
      <c r="I466" s="303"/>
      <c r="J466" s="307"/>
      <c r="K466" s="98"/>
      <c r="L466" s="309"/>
      <c r="M466" s="309"/>
      <c r="N466" s="303"/>
      <c r="O466" s="303"/>
      <c r="P466" s="303"/>
      <c r="Q466" s="303"/>
      <c r="R466" s="303"/>
      <c r="S466" s="303"/>
      <c r="T466" s="303"/>
      <c r="U466" s="303"/>
      <c r="V466" s="303"/>
      <c r="W466" s="303"/>
      <c r="X466" s="303"/>
      <c r="Y466" s="303"/>
      <c r="Z466" s="303"/>
    </row>
    <row r="467">
      <c r="A467" s="303"/>
      <c r="B467" s="303"/>
      <c r="C467" s="303"/>
      <c r="D467" s="303"/>
      <c r="E467" s="303"/>
      <c r="F467" s="303"/>
      <c r="G467" s="303"/>
      <c r="H467" s="303"/>
      <c r="I467" s="303"/>
      <c r="J467" s="307"/>
      <c r="K467" s="98"/>
      <c r="L467" s="309"/>
      <c r="M467" s="309"/>
      <c r="N467" s="303"/>
      <c r="O467" s="303"/>
      <c r="P467" s="303"/>
      <c r="Q467" s="303"/>
      <c r="R467" s="303"/>
      <c r="S467" s="303"/>
      <c r="T467" s="303"/>
      <c r="U467" s="303"/>
      <c r="V467" s="303"/>
      <c r="W467" s="303"/>
      <c r="X467" s="303"/>
      <c r="Y467" s="303"/>
      <c r="Z467" s="303"/>
    </row>
    <row r="468">
      <c r="A468" s="303"/>
      <c r="B468" s="303"/>
      <c r="C468" s="303"/>
      <c r="D468" s="303"/>
      <c r="E468" s="303"/>
      <c r="F468" s="303"/>
      <c r="G468" s="303"/>
      <c r="H468" s="303"/>
      <c r="I468" s="303"/>
      <c r="J468" s="307"/>
      <c r="K468" s="98"/>
      <c r="L468" s="309"/>
      <c r="M468" s="309"/>
      <c r="N468" s="303"/>
      <c r="O468" s="303"/>
      <c r="P468" s="303"/>
      <c r="Q468" s="303"/>
      <c r="R468" s="303"/>
      <c r="S468" s="303"/>
      <c r="T468" s="303"/>
      <c r="U468" s="303"/>
      <c r="V468" s="303"/>
      <c r="W468" s="303"/>
      <c r="X468" s="303"/>
      <c r="Y468" s="303"/>
      <c r="Z468" s="303"/>
    </row>
    <row r="469">
      <c r="A469" s="303"/>
      <c r="B469" s="303"/>
      <c r="C469" s="303"/>
      <c r="D469" s="303"/>
      <c r="E469" s="303"/>
      <c r="F469" s="303"/>
      <c r="G469" s="303"/>
      <c r="H469" s="303"/>
      <c r="I469" s="303"/>
      <c r="J469" s="307"/>
      <c r="K469" s="98"/>
      <c r="L469" s="309"/>
      <c r="M469" s="309"/>
      <c r="N469" s="303"/>
      <c r="O469" s="303"/>
      <c r="P469" s="303"/>
      <c r="Q469" s="303"/>
      <c r="R469" s="303"/>
      <c r="S469" s="303"/>
      <c r="T469" s="303"/>
      <c r="U469" s="303"/>
      <c r="V469" s="303"/>
      <c r="W469" s="303"/>
      <c r="X469" s="303"/>
      <c r="Y469" s="303"/>
      <c r="Z469" s="303"/>
    </row>
    <row r="470">
      <c r="A470" s="303"/>
      <c r="B470" s="303"/>
      <c r="C470" s="303"/>
      <c r="D470" s="303"/>
      <c r="E470" s="303"/>
      <c r="F470" s="303"/>
      <c r="G470" s="303"/>
      <c r="H470" s="303"/>
      <c r="I470" s="303"/>
      <c r="J470" s="307"/>
      <c r="K470" s="98"/>
      <c r="L470" s="309"/>
      <c r="M470" s="309"/>
      <c r="N470" s="303"/>
      <c r="O470" s="303"/>
      <c r="P470" s="303"/>
      <c r="Q470" s="303"/>
      <c r="R470" s="303"/>
      <c r="S470" s="303"/>
      <c r="T470" s="303"/>
      <c r="U470" s="303"/>
      <c r="V470" s="303"/>
      <c r="W470" s="303"/>
      <c r="X470" s="303"/>
      <c r="Y470" s="303"/>
      <c r="Z470" s="303"/>
    </row>
    <row r="471">
      <c r="A471" s="303"/>
      <c r="B471" s="303"/>
      <c r="C471" s="303"/>
      <c r="D471" s="303"/>
      <c r="E471" s="303"/>
      <c r="F471" s="303"/>
      <c r="G471" s="303"/>
      <c r="H471" s="303"/>
      <c r="I471" s="303"/>
      <c r="J471" s="307"/>
      <c r="K471" s="98"/>
      <c r="L471" s="309"/>
      <c r="M471" s="309"/>
      <c r="N471" s="303"/>
      <c r="O471" s="303"/>
      <c r="P471" s="303"/>
      <c r="Q471" s="303"/>
      <c r="R471" s="303"/>
      <c r="S471" s="303"/>
      <c r="T471" s="303"/>
      <c r="U471" s="303"/>
      <c r="V471" s="303"/>
      <c r="W471" s="303"/>
      <c r="X471" s="303"/>
      <c r="Y471" s="303"/>
      <c r="Z471" s="303"/>
    </row>
    <row r="472">
      <c r="A472" s="303"/>
      <c r="B472" s="303"/>
      <c r="C472" s="303"/>
      <c r="D472" s="303"/>
      <c r="E472" s="303"/>
      <c r="F472" s="303"/>
      <c r="G472" s="303"/>
      <c r="H472" s="303"/>
      <c r="I472" s="303"/>
      <c r="J472" s="307"/>
      <c r="K472" s="98"/>
      <c r="L472" s="325"/>
      <c r="M472" s="325"/>
      <c r="N472" s="303"/>
      <c r="O472" s="303"/>
      <c r="P472" s="303"/>
      <c r="Q472" s="303"/>
      <c r="R472" s="303"/>
      <c r="S472" s="303"/>
      <c r="T472" s="303"/>
      <c r="U472" s="303"/>
      <c r="V472" s="303"/>
      <c r="W472" s="303"/>
      <c r="X472" s="303"/>
      <c r="Y472" s="303"/>
      <c r="Z472" s="303"/>
    </row>
    <row r="473">
      <c r="A473" s="303"/>
      <c r="B473" s="303"/>
      <c r="C473" s="303"/>
      <c r="D473" s="303"/>
      <c r="E473" s="303"/>
      <c r="F473" s="303"/>
      <c r="G473" s="303"/>
      <c r="H473" s="303"/>
      <c r="I473" s="303"/>
      <c r="J473" s="307"/>
      <c r="K473" s="98"/>
      <c r="L473" s="325"/>
      <c r="M473" s="325"/>
      <c r="N473" s="303"/>
      <c r="O473" s="303"/>
      <c r="P473" s="303"/>
      <c r="Q473" s="303"/>
      <c r="R473" s="303"/>
      <c r="S473" s="303"/>
      <c r="T473" s="303"/>
      <c r="U473" s="303"/>
      <c r="V473" s="303"/>
      <c r="W473" s="303"/>
      <c r="X473" s="303"/>
      <c r="Y473" s="303"/>
      <c r="Z473" s="303"/>
    </row>
    <row r="474">
      <c r="A474" s="303"/>
      <c r="B474" s="303"/>
      <c r="C474" s="303"/>
      <c r="D474" s="303"/>
      <c r="E474" s="303"/>
      <c r="F474" s="303"/>
      <c r="G474" s="303"/>
      <c r="H474" s="303"/>
      <c r="I474" s="303"/>
      <c r="J474" s="307"/>
      <c r="K474" s="98"/>
      <c r="L474" s="325"/>
      <c r="M474" s="325"/>
      <c r="N474" s="303"/>
      <c r="O474" s="303"/>
      <c r="P474" s="303"/>
      <c r="Q474" s="303"/>
      <c r="R474" s="303"/>
      <c r="S474" s="303"/>
      <c r="T474" s="303"/>
      <c r="U474" s="303"/>
      <c r="V474" s="303"/>
      <c r="W474" s="303"/>
      <c r="X474" s="303"/>
      <c r="Y474" s="303"/>
      <c r="Z474" s="303"/>
    </row>
    <row r="475">
      <c r="A475" s="303"/>
      <c r="B475" s="303"/>
      <c r="C475" s="303"/>
      <c r="D475" s="303"/>
      <c r="E475" s="303"/>
      <c r="F475" s="303"/>
      <c r="G475" s="303"/>
      <c r="H475" s="303"/>
      <c r="I475" s="303"/>
      <c r="J475" s="307"/>
      <c r="K475" s="98"/>
      <c r="L475" s="325"/>
      <c r="M475" s="325"/>
      <c r="N475" s="303"/>
      <c r="O475" s="303"/>
      <c r="P475" s="303"/>
      <c r="Q475" s="303"/>
      <c r="R475" s="303"/>
      <c r="S475" s="303"/>
      <c r="T475" s="303"/>
      <c r="U475" s="303"/>
      <c r="V475" s="303"/>
      <c r="W475" s="303"/>
      <c r="X475" s="303"/>
      <c r="Y475" s="303"/>
      <c r="Z475" s="303"/>
    </row>
    <row r="476">
      <c r="A476" s="303"/>
      <c r="B476" s="303"/>
      <c r="C476" s="303"/>
      <c r="D476" s="303"/>
      <c r="E476" s="303"/>
      <c r="F476" s="303"/>
      <c r="G476" s="303"/>
      <c r="H476" s="303"/>
      <c r="I476" s="303"/>
      <c r="J476" s="307"/>
      <c r="K476" s="98"/>
      <c r="L476" s="325"/>
      <c r="M476" s="325"/>
      <c r="N476" s="303"/>
      <c r="O476" s="303"/>
      <c r="P476" s="303"/>
      <c r="Q476" s="303"/>
      <c r="R476" s="303"/>
      <c r="S476" s="303"/>
      <c r="T476" s="303"/>
      <c r="U476" s="303"/>
      <c r="V476" s="303"/>
      <c r="W476" s="303"/>
      <c r="X476" s="303"/>
      <c r="Y476" s="303"/>
      <c r="Z476" s="303"/>
    </row>
    <row r="477">
      <c r="A477" s="303"/>
      <c r="B477" s="303"/>
      <c r="C477" s="303"/>
      <c r="D477" s="303"/>
      <c r="E477" s="303"/>
      <c r="F477" s="303"/>
      <c r="G477" s="303"/>
      <c r="H477" s="303"/>
      <c r="I477" s="303"/>
      <c r="J477" s="307"/>
      <c r="K477" s="98"/>
      <c r="L477" s="325"/>
      <c r="M477" s="325"/>
      <c r="N477" s="303"/>
      <c r="O477" s="303"/>
      <c r="P477" s="303"/>
      <c r="Q477" s="303"/>
      <c r="R477" s="303"/>
      <c r="S477" s="303"/>
      <c r="T477" s="303"/>
      <c r="U477" s="303"/>
      <c r="V477" s="303"/>
      <c r="W477" s="303"/>
      <c r="X477" s="303"/>
      <c r="Y477" s="303"/>
      <c r="Z477" s="303"/>
    </row>
    <row r="478">
      <c r="A478" s="303"/>
      <c r="B478" s="303"/>
      <c r="C478" s="303"/>
      <c r="D478" s="303"/>
      <c r="E478" s="303"/>
      <c r="F478" s="303"/>
      <c r="G478" s="303"/>
      <c r="H478" s="303"/>
      <c r="I478" s="303"/>
      <c r="J478" s="307"/>
      <c r="K478" s="98"/>
      <c r="L478" s="325"/>
      <c r="M478" s="325"/>
      <c r="N478" s="303"/>
      <c r="O478" s="303"/>
      <c r="P478" s="303"/>
      <c r="Q478" s="303"/>
      <c r="R478" s="303"/>
      <c r="S478" s="303"/>
      <c r="T478" s="303"/>
      <c r="U478" s="303"/>
      <c r="V478" s="303"/>
      <c r="W478" s="303"/>
      <c r="X478" s="303"/>
      <c r="Y478" s="303"/>
      <c r="Z478" s="303"/>
    </row>
    <row r="479">
      <c r="A479" s="303"/>
      <c r="B479" s="303"/>
      <c r="C479" s="303"/>
      <c r="D479" s="303"/>
      <c r="E479" s="303"/>
      <c r="F479" s="303"/>
      <c r="G479" s="303"/>
      <c r="H479" s="303"/>
      <c r="I479" s="303"/>
      <c r="J479" s="307"/>
      <c r="K479" s="98"/>
      <c r="L479" s="325"/>
      <c r="M479" s="325"/>
      <c r="N479" s="303"/>
      <c r="O479" s="303"/>
      <c r="P479" s="303"/>
      <c r="Q479" s="303"/>
      <c r="R479" s="303"/>
      <c r="S479" s="303"/>
      <c r="T479" s="303"/>
      <c r="U479" s="303"/>
      <c r="V479" s="303"/>
      <c r="W479" s="303"/>
      <c r="X479" s="303"/>
      <c r="Y479" s="303"/>
      <c r="Z479" s="303"/>
    </row>
    <row r="480">
      <c r="A480" s="303"/>
      <c r="B480" s="303"/>
      <c r="C480" s="303"/>
      <c r="D480" s="303"/>
      <c r="E480" s="303"/>
      <c r="F480" s="303"/>
      <c r="G480" s="303"/>
      <c r="H480" s="303"/>
      <c r="I480" s="303"/>
      <c r="J480" s="307"/>
      <c r="K480" s="98"/>
      <c r="L480" s="325"/>
      <c r="M480" s="325"/>
      <c r="N480" s="303"/>
      <c r="O480" s="303"/>
      <c r="P480" s="303"/>
      <c r="Q480" s="303"/>
      <c r="R480" s="303"/>
      <c r="S480" s="303"/>
      <c r="T480" s="303"/>
      <c r="U480" s="303"/>
      <c r="V480" s="303"/>
      <c r="W480" s="303"/>
      <c r="X480" s="303"/>
      <c r="Y480" s="303"/>
      <c r="Z480" s="303"/>
    </row>
    <row r="481">
      <c r="A481" s="303"/>
      <c r="B481" s="303"/>
      <c r="C481" s="303"/>
      <c r="D481" s="303"/>
      <c r="E481" s="303"/>
      <c r="F481" s="303"/>
      <c r="G481" s="303"/>
      <c r="H481" s="303"/>
      <c r="I481" s="303"/>
      <c r="J481" s="307"/>
      <c r="K481" s="98"/>
      <c r="L481" s="325"/>
      <c r="M481" s="325"/>
      <c r="N481" s="303"/>
      <c r="O481" s="303"/>
      <c r="P481" s="303"/>
      <c r="Q481" s="303"/>
      <c r="R481" s="303"/>
      <c r="S481" s="303"/>
      <c r="T481" s="303"/>
      <c r="U481" s="303"/>
      <c r="V481" s="303"/>
      <c r="W481" s="303"/>
      <c r="X481" s="303"/>
      <c r="Y481" s="303"/>
      <c r="Z481" s="303"/>
    </row>
    <row r="482">
      <c r="A482" s="303"/>
      <c r="B482" s="303"/>
      <c r="C482" s="303"/>
      <c r="D482" s="303"/>
      <c r="E482" s="303"/>
      <c r="F482" s="303"/>
      <c r="G482" s="303"/>
      <c r="H482" s="303"/>
      <c r="I482" s="303"/>
      <c r="J482" s="307"/>
      <c r="K482" s="98"/>
      <c r="L482" s="325"/>
      <c r="M482" s="325"/>
      <c r="N482" s="303"/>
      <c r="O482" s="303"/>
      <c r="P482" s="303"/>
      <c r="Q482" s="303"/>
      <c r="R482" s="303"/>
      <c r="S482" s="303"/>
      <c r="T482" s="303"/>
      <c r="U482" s="303"/>
      <c r="V482" s="303"/>
      <c r="W482" s="303"/>
      <c r="X482" s="303"/>
      <c r="Y482" s="303"/>
      <c r="Z482" s="303"/>
    </row>
    <row r="483">
      <c r="A483" s="303"/>
      <c r="B483" s="303"/>
      <c r="C483" s="303"/>
      <c r="D483" s="303"/>
      <c r="E483" s="303"/>
      <c r="F483" s="303"/>
      <c r="G483" s="303"/>
      <c r="H483" s="303"/>
      <c r="I483" s="303"/>
      <c r="J483" s="307"/>
      <c r="K483" s="98"/>
      <c r="L483" s="325"/>
      <c r="M483" s="325"/>
      <c r="N483" s="303"/>
      <c r="O483" s="303"/>
      <c r="P483" s="303"/>
      <c r="Q483" s="303"/>
      <c r="R483" s="303"/>
      <c r="S483" s="303"/>
      <c r="T483" s="303"/>
      <c r="U483" s="303"/>
      <c r="V483" s="303"/>
      <c r="W483" s="303"/>
      <c r="X483" s="303"/>
      <c r="Y483" s="303"/>
      <c r="Z483" s="303"/>
    </row>
    <row r="484">
      <c r="A484" s="303"/>
      <c r="B484" s="303"/>
      <c r="C484" s="303"/>
      <c r="D484" s="303"/>
      <c r="E484" s="303"/>
      <c r="F484" s="303"/>
      <c r="G484" s="303"/>
      <c r="H484" s="303"/>
      <c r="I484" s="303"/>
      <c r="J484" s="307"/>
      <c r="K484" s="98"/>
      <c r="L484" s="325"/>
      <c r="M484" s="325"/>
      <c r="N484" s="303"/>
      <c r="O484" s="303"/>
      <c r="P484" s="303"/>
      <c r="Q484" s="303"/>
      <c r="R484" s="303"/>
      <c r="S484" s="303"/>
      <c r="T484" s="303"/>
      <c r="U484" s="303"/>
      <c r="V484" s="303"/>
      <c r="W484" s="303"/>
      <c r="X484" s="303"/>
      <c r="Y484" s="303"/>
      <c r="Z484" s="303"/>
    </row>
    <row r="485">
      <c r="A485" s="303"/>
      <c r="B485" s="303"/>
      <c r="C485" s="303"/>
      <c r="D485" s="303"/>
      <c r="E485" s="303"/>
      <c r="F485" s="303"/>
      <c r="G485" s="303"/>
      <c r="H485" s="303"/>
      <c r="I485" s="303"/>
      <c r="J485" s="307"/>
      <c r="K485" s="98"/>
      <c r="L485" s="325"/>
      <c r="M485" s="325"/>
      <c r="N485" s="303"/>
      <c r="O485" s="303"/>
      <c r="P485" s="303"/>
      <c r="Q485" s="303"/>
      <c r="R485" s="303"/>
      <c r="S485" s="303"/>
      <c r="T485" s="303"/>
      <c r="U485" s="303"/>
      <c r="V485" s="303"/>
      <c r="W485" s="303"/>
      <c r="X485" s="303"/>
      <c r="Y485" s="303"/>
      <c r="Z485" s="303"/>
    </row>
    <row r="486">
      <c r="A486" s="303"/>
      <c r="B486" s="303"/>
      <c r="C486" s="303"/>
      <c r="D486" s="303"/>
      <c r="E486" s="303"/>
      <c r="F486" s="303"/>
      <c r="G486" s="303"/>
      <c r="H486" s="303"/>
      <c r="I486" s="303"/>
      <c r="J486" s="307"/>
      <c r="K486" s="98"/>
      <c r="L486" s="325"/>
      <c r="M486" s="325"/>
      <c r="N486" s="303"/>
      <c r="O486" s="303"/>
      <c r="P486" s="303"/>
      <c r="Q486" s="303"/>
      <c r="R486" s="303"/>
      <c r="S486" s="303"/>
      <c r="T486" s="303"/>
      <c r="U486" s="303"/>
      <c r="V486" s="303"/>
      <c r="W486" s="303"/>
      <c r="X486" s="303"/>
      <c r="Y486" s="303"/>
      <c r="Z486" s="303"/>
    </row>
    <row r="487">
      <c r="A487" s="303"/>
      <c r="B487" s="303"/>
      <c r="C487" s="303"/>
      <c r="D487" s="303"/>
      <c r="E487" s="303"/>
      <c r="F487" s="303"/>
      <c r="G487" s="303"/>
      <c r="H487" s="303"/>
      <c r="I487" s="303"/>
      <c r="J487" s="307"/>
      <c r="K487" s="98"/>
      <c r="L487" s="325"/>
      <c r="M487" s="325"/>
      <c r="N487" s="303"/>
      <c r="O487" s="303"/>
      <c r="P487" s="303"/>
      <c r="Q487" s="303"/>
      <c r="R487" s="303"/>
      <c r="S487" s="303"/>
      <c r="T487" s="303"/>
      <c r="U487" s="303"/>
      <c r="V487" s="303"/>
      <c r="W487" s="303"/>
      <c r="X487" s="303"/>
      <c r="Y487" s="303"/>
      <c r="Z487" s="303"/>
    </row>
    <row r="488">
      <c r="A488" s="303"/>
      <c r="B488" s="303"/>
      <c r="C488" s="303"/>
      <c r="D488" s="303"/>
      <c r="E488" s="303"/>
      <c r="F488" s="303"/>
      <c r="G488" s="303"/>
      <c r="H488" s="303"/>
      <c r="I488" s="303"/>
      <c r="J488" s="307"/>
      <c r="K488" s="98"/>
      <c r="L488" s="325"/>
      <c r="M488" s="325"/>
      <c r="N488" s="303"/>
      <c r="O488" s="303"/>
      <c r="P488" s="303"/>
      <c r="Q488" s="303"/>
      <c r="R488" s="303"/>
      <c r="S488" s="303"/>
      <c r="T488" s="303"/>
      <c r="U488" s="303"/>
      <c r="V488" s="303"/>
      <c r="W488" s="303"/>
      <c r="X488" s="303"/>
      <c r="Y488" s="303"/>
      <c r="Z488" s="303"/>
    </row>
    <row r="489">
      <c r="A489" s="303"/>
      <c r="B489" s="303"/>
      <c r="C489" s="303"/>
      <c r="D489" s="303"/>
      <c r="E489" s="303"/>
      <c r="F489" s="303"/>
      <c r="G489" s="303"/>
      <c r="H489" s="303"/>
      <c r="I489" s="303"/>
      <c r="J489" s="307"/>
      <c r="K489" s="98"/>
      <c r="L489" s="325"/>
      <c r="M489" s="325"/>
      <c r="N489" s="303"/>
      <c r="O489" s="303"/>
      <c r="P489" s="303"/>
      <c r="Q489" s="303"/>
      <c r="R489" s="303"/>
      <c r="S489" s="303"/>
      <c r="T489" s="303"/>
      <c r="U489" s="303"/>
      <c r="V489" s="303"/>
      <c r="W489" s="303"/>
      <c r="X489" s="303"/>
      <c r="Y489" s="303"/>
      <c r="Z489" s="303"/>
    </row>
    <row r="490">
      <c r="A490" s="303"/>
      <c r="B490" s="303"/>
      <c r="C490" s="303"/>
      <c r="D490" s="303"/>
      <c r="E490" s="303"/>
      <c r="F490" s="303"/>
      <c r="G490" s="303"/>
      <c r="H490" s="303"/>
      <c r="I490" s="303"/>
      <c r="J490" s="307"/>
      <c r="K490" s="98"/>
      <c r="L490" s="325"/>
      <c r="M490" s="325"/>
      <c r="N490" s="303"/>
      <c r="O490" s="303"/>
      <c r="P490" s="303"/>
      <c r="Q490" s="303"/>
      <c r="R490" s="303"/>
      <c r="S490" s="303"/>
      <c r="T490" s="303"/>
      <c r="U490" s="303"/>
      <c r="V490" s="303"/>
      <c r="W490" s="303"/>
      <c r="X490" s="303"/>
      <c r="Y490" s="303"/>
      <c r="Z490" s="303"/>
    </row>
    <row r="491">
      <c r="A491" s="303"/>
      <c r="B491" s="303"/>
      <c r="C491" s="303"/>
      <c r="D491" s="303"/>
      <c r="E491" s="303"/>
      <c r="F491" s="303"/>
      <c r="G491" s="303"/>
      <c r="H491" s="303"/>
      <c r="I491" s="303"/>
      <c r="J491" s="307"/>
      <c r="K491" s="98"/>
      <c r="L491" s="325"/>
      <c r="M491" s="325"/>
      <c r="N491" s="303"/>
      <c r="O491" s="303"/>
      <c r="P491" s="303"/>
      <c r="Q491" s="303"/>
      <c r="R491" s="303"/>
      <c r="S491" s="303"/>
      <c r="T491" s="303"/>
      <c r="U491" s="303"/>
      <c r="V491" s="303"/>
      <c r="W491" s="303"/>
      <c r="X491" s="303"/>
      <c r="Y491" s="303"/>
      <c r="Z491" s="303"/>
    </row>
    <row r="492">
      <c r="A492" s="303"/>
      <c r="B492" s="303"/>
      <c r="C492" s="303"/>
      <c r="D492" s="303"/>
      <c r="E492" s="303"/>
      <c r="F492" s="303"/>
      <c r="G492" s="303"/>
      <c r="H492" s="303"/>
      <c r="I492" s="303"/>
      <c r="J492" s="307"/>
      <c r="K492" s="98"/>
      <c r="L492" s="325"/>
      <c r="M492" s="325"/>
      <c r="N492" s="303"/>
      <c r="O492" s="303"/>
      <c r="P492" s="303"/>
      <c r="Q492" s="303"/>
      <c r="R492" s="303"/>
      <c r="S492" s="303"/>
      <c r="T492" s="303"/>
      <c r="U492" s="303"/>
      <c r="V492" s="303"/>
      <c r="W492" s="303"/>
      <c r="X492" s="303"/>
      <c r="Y492" s="303"/>
      <c r="Z492" s="303"/>
    </row>
    <row r="493">
      <c r="A493" s="303"/>
      <c r="B493" s="303"/>
      <c r="C493" s="303"/>
      <c r="D493" s="303"/>
      <c r="E493" s="303"/>
      <c r="F493" s="303"/>
      <c r="G493" s="303"/>
      <c r="H493" s="303"/>
      <c r="I493" s="303"/>
      <c r="J493" s="307"/>
      <c r="K493" s="98"/>
      <c r="L493" s="325"/>
      <c r="M493" s="325"/>
      <c r="N493" s="303"/>
      <c r="O493" s="303"/>
      <c r="P493" s="303"/>
      <c r="Q493" s="303"/>
      <c r="R493" s="303"/>
      <c r="S493" s="303"/>
      <c r="T493" s="303"/>
      <c r="U493" s="303"/>
      <c r="V493" s="303"/>
      <c r="W493" s="303"/>
      <c r="X493" s="303"/>
      <c r="Y493" s="303"/>
      <c r="Z493" s="303"/>
    </row>
    <row r="494">
      <c r="A494" s="303"/>
      <c r="B494" s="303"/>
      <c r="C494" s="303"/>
      <c r="D494" s="303"/>
      <c r="E494" s="303"/>
      <c r="F494" s="303"/>
      <c r="G494" s="303"/>
      <c r="H494" s="303"/>
      <c r="I494" s="303"/>
      <c r="J494" s="307"/>
      <c r="K494" s="98"/>
      <c r="L494" s="325"/>
      <c r="M494" s="325"/>
      <c r="N494" s="303"/>
      <c r="O494" s="303"/>
      <c r="P494" s="303"/>
      <c r="Q494" s="303"/>
      <c r="R494" s="303"/>
      <c r="S494" s="303"/>
      <c r="T494" s="303"/>
      <c r="U494" s="303"/>
      <c r="V494" s="303"/>
      <c r="W494" s="303"/>
      <c r="X494" s="303"/>
      <c r="Y494" s="303"/>
      <c r="Z494" s="303"/>
    </row>
    <row r="495">
      <c r="A495" s="303"/>
      <c r="B495" s="303"/>
      <c r="C495" s="303"/>
      <c r="D495" s="303"/>
      <c r="E495" s="303"/>
      <c r="F495" s="303"/>
      <c r="G495" s="303"/>
      <c r="H495" s="303"/>
      <c r="I495" s="303"/>
      <c r="J495" s="307"/>
      <c r="K495" s="98"/>
      <c r="L495" s="325"/>
      <c r="M495" s="325"/>
      <c r="N495" s="303"/>
      <c r="O495" s="303"/>
      <c r="P495" s="303"/>
      <c r="Q495" s="303"/>
      <c r="R495" s="303"/>
      <c r="S495" s="303"/>
      <c r="T495" s="303"/>
      <c r="U495" s="303"/>
      <c r="V495" s="303"/>
      <c r="W495" s="303"/>
      <c r="X495" s="303"/>
      <c r="Y495" s="303"/>
      <c r="Z495" s="303"/>
    </row>
    <row r="496">
      <c r="A496" s="303"/>
      <c r="B496" s="303"/>
      <c r="C496" s="303"/>
      <c r="D496" s="303"/>
      <c r="E496" s="303"/>
      <c r="F496" s="303"/>
      <c r="G496" s="303"/>
      <c r="H496" s="303"/>
      <c r="I496" s="303"/>
      <c r="J496" s="307"/>
      <c r="K496" s="98"/>
      <c r="L496" s="325"/>
      <c r="M496" s="325"/>
      <c r="N496" s="303"/>
      <c r="O496" s="303"/>
      <c r="P496" s="303"/>
      <c r="Q496" s="303"/>
      <c r="R496" s="303"/>
      <c r="S496" s="303"/>
      <c r="T496" s="303"/>
      <c r="U496" s="303"/>
      <c r="V496" s="303"/>
      <c r="W496" s="303"/>
      <c r="X496" s="303"/>
      <c r="Y496" s="303"/>
      <c r="Z496" s="303"/>
    </row>
    <row r="497">
      <c r="A497" s="303"/>
      <c r="B497" s="303"/>
      <c r="C497" s="303"/>
      <c r="D497" s="303"/>
      <c r="E497" s="303"/>
      <c r="F497" s="303"/>
      <c r="G497" s="303"/>
      <c r="H497" s="303"/>
      <c r="I497" s="303"/>
      <c r="J497" s="307"/>
      <c r="K497" s="98"/>
      <c r="L497" s="325"/>
      <c r="M497" s="325"/>
      <c r="N497" s="303"/>
      <c r="O497" s="303"/>
      <c r="P497" s="303"/>
      <c r="Q497" s="303"/>
      <c r="R497" s="303"/>
      <c r="S497" s="303"/>
      <c r="T497" s="303"/>
      <c r="U497" s="303"/>
      <c r="V497" s="303"/>
      <c r="W497" s="303"/>
      <c r="X497" s="303"/>
      <c r="Y497" s="303"/>
      <c r="Z497" s="303"/>
    </row>
    <row r="498">
      <c r="A498" s="303"/>
      <c r="B498" s="303"/>
      <c r="C498" s="303"/>
      <c r="D498" s="303"/>
      <c r="E498" s="303"/>
      <c r="F498" s="303"/>
      <c r="G498" s="303"/>
      <c r="H498" s="303"/>
      <c r="I498" s="303"/>
      <c r="J498" s="307"/>
      <c r="K498" s="98"/>
      <c r="L498" s="325"/>
      <c r="M498" s="325"/>
      <c r="N498" s="303"/>
      <c r="O498" s="303"/>
      <c r="P498" s="303"/>
      <c r="Q498" s="303"/>
      <c r="R498" s="303"/>
      <c r="S498" s="303"/>
      <c r="T498" s="303"/>
      <c r="U498" s="303"/>
      <c r="V498" s="303"/>
      <c r="W498" s="303"/>
      <c r="X498" s="303"/>
      <c r="Y498" s="303"/>
      <c r="Z498" s="303"/>
    </row>
    <row r="499">
      <c r="A499" s="303"/>
      <c r="B499" s="303"/>
      <c r="C499" s="303"/>
      <c r="D499" s="303"/>
      <c r="E499" s="303"/>
      <c r="F499" s="303"/>
      <c r="G499" s="303"/>
      <c r="H499" s="303"/>
      <c r="I499" s="303"/>
      <c r="J499" s="307"/>
      <c r="K499" s="98"/>
      <c r="L499" s="325"/>
      <c r="M499" s="325"/>
      <c r="N499" s="303"/>
      <c r="O499" s="303"/>
      <c r="P499" s="303"/>
      <c r="Q499" s="303"/>
      <c r="R499" s="303"/>
      <c r="S499" s="303"/>
      <c r="T499" s="303"/>
      <c r="U499" s="303"/>
      <c r="V499" s="303"/>
      <c r="W499" s="303"/>
      <c r="X499" s="303"/>
      <c r="Y499" s="303"/>
      <c r="Z499" s="303"/>
    </row>
    <row r="500">
      <c r="A500" s="303"/>
      <c r="B500" s="303"/>
      <c r="C500" s="303"/>
      <c r="D500" s="303"/>
      <c r="E500" s="303"/>
      <c r="F500" s="303"/>
      <c r="G500" s="303"/>
      <c r="H500" s="303"/>
      <c r="I500" s="303"/>
      <c r="J500" s="307"/>
      <c r="K500" s="98"/>
      <c r="L500" s="325"/>
      <c r="M500" s="325"/>
      <c r="N500" s="303"/>
      <c r="O500" s="303"/>
      <c r="P500" s="303"/>
      <c r="Q500" s="303"/>
      <c r="R500" s="303"/>
      <c r="S500" s="303"/>
      <c r="T500" s="303"/>
      <c r="U500" s="303"/>
      <c r="V500" s="303"/>
      <c r="W500" s="303"/>
      <c r="X500" s="303"/>
      <c r="Y500" s="303"/>
      <c r="Z500" s="303"/>
    </row>
    <row r="501">
      <c r="A501" s="303"/>
      <c r="B501" s="303"/>
      <c r="C501" s="303"/>
      <c r="D501" s="303"/>
      <c r="E501" s="303"/>
      <c r="F501" s="303"/>
      <c r="G501" s="303"/>
      <c r="H501" s="303"/>
      <c r="I501" s="303"/>
      <c r="J501" s="303"/>
      <c r="K501" s="303"/>
      <c r="L501" s="303"/>
      <c r="M501" s="303"/>
      <c r="N501" s="303"/>
      <c r="O501" s="303"/>
      <c r="P501" s="303"/>
      <c r="Q501" s="303"/>
      <c r="R501" s="303"/>
      <c r="S501" s="303"/>
      <c r="T501" s="303"/>
      <c r="U501" s="303"/>
      <c r="V501" s="303"/>
      <c r="W501" s="303"/>
      <c r="X501" s="303"/>
      <c r="Y501" s="303"/>
      <c r="Z501" s="303"/>
    </row>
    <row r="502">
      <c r="A502" s="303"/>
      <c r="B502" s="303"/>
      <c r="C502" s="303"/>
      <c r="D502" s="303"/>
      <c r="E502" s="303"/>
      <c r="F502" s="303"/>
      <c r="G502" s="303"/>
      <c r="H502" s="303"/>
      <c r="I502" s="303"/>
      <c r="J502" s="303"/>
      <c r="K502" s="303"/>
      <c r="L502" s="303"/>
      <c r="M502" s="303"/>
      <c r="N502" s="303"/>
      <c r="O502" s="303"/>
      <c r="P502" s="303"/>
      <c r="Q502" s="303"/>
      <c r="R502" s="303"/>
      <c r="S502" s="303"/>
      <c r="T502" s="303"/>
      <c r="U502" s="303"/>
      <c r="V502" s="303"/>
      <c r="W502" s="303"/>
      <c r="X502" s="303"/>
      <c r="Y502" s="303"/>
      <c r="Z502" s="303"/>
    </row>
    <row r="503">
      <c r="A503" s="303"/>
      <c r="B503" s="303"/>
      <c r="C503" s="303"/>
      <c r="D503" s="303"/>
      <c r="E503" s="303"/>
      <c r="F503" s="303"/>
      <c r="G503" s="303"/>
      <c r="H503" s="303"/>
      <c r="I503" s="303"/>
      <c r="J503" s="303"/>
      <c r="K503" s="303"/>
      <c r="L503" s="303"/>
      <c r="M503" s="303"/>
      <c r="N503" s="303"/>
      <c r="O503" s="303"/>
      <c r="P503" s="303"/>
      <c r="Q503" s="303"/>
      <c r="R503" s="303"/>
      <c r="S503" s="303"/>
      <c r="T503" s="303"/>
      <c r="U503" s="303"/>
      <c r="V503" s="303"/>
      <c r="W503" s="303"/>
      <c r="X503" s="303"/>
      <c r="Y503" s="303"/>
      <c r="Z503" s="303"/>
    </row>
    <row r="504">
      <c r="A504" s="303"/>
      <c r="B504" s="303"/>
      <c r="C504" s="303"/>
      <c r="D504" s="303"/>
      <c r="E504" s="303"/>
      <c r="F504" s="303"/>
      <c r="G504" s="303"/>
      <c r="H504" s="303"/>
      <c r="I504" s="303"/>
      <c r="J504" s="303"/>
      <c r="K504" s="303"/>
      <c r="L504" s="303"/>
      <c r="M504" s="303"/>
      <c r="N504" s="303"/>
      <c r="O504" s="303"/>
      <c r="P504" s="303"/>
      <c r="Q504" s="303"/>
      <c r="R504" s="303"/>
      <c r="S504" s="303"/>
      <c r="T504" s="303"/>
      <c r="U504" s="303"/>
      <c r="V504" s="303"/>
      <c r="W504" s="303"/>
      <c r="X504" s="303"/>
      <c r="Y504" s="303"/>
      <c r="Z504" s="303"/>
    </row>
    <row r="505">
      <c r="A505" s="303"/>
      <c r="B505" s="303"/>
      <c r="C505" s="303"/>
      <c r="D505" s="303"/>
      <c r="E505" s="303"/>
      <c r="F505" s="303"/>
      <c r="G505" s="303"/>
      <c r="H505" s="303"/>
      <c r="I505" s="303"/>
      <c r="J505" s="303"/>
      <c r="K505" s="303"/>
      <c r="L505" s="303"/>
      <c r="M505" s="303"/>
      <c r="N505" s="303"/>
      <c r="O505" s="303"/>
      <c r="P505" s="303"/>
      <c r="Q505" s="303"/>
      <c r="R505" s="303"/>
      <c r="S505" s="303"/>
      <c r="T505" s="303"/>
      <c r="U505" s="303"/>
      <c r="V505" s="303"/>
      <c r="W505" s="303"/>
      <c r="X505" s="303"/>
      <c r="Y505" s="303"/>
      <c r="Z505" s="303"/>
    </row>
    <row r="506">
      <c r="A506" s="303"/>
      <c r="B506" s="303"/>
      <c r="C506" s="303"/>
      <c r="D506" s="303"/>
      <c r="E506" s="303"/>
      <c r="F506" s="303"/>
      <c r="G506" s="303"/>
      <c r="H506" s="303"/>
      <c r="I506" s="303"/>
      <c r="J506" s="303"/>
      <c r="K506" s="303"/>
      <c r="L506" s="303"/>
      <c r="M506" s="303"/>
      <c r="N506" s="303"/>
      <c r="O506" s="303"/>
      <c r="P506" s="303"/>
      <c r="Q506" s="303"/>
      <c r="R506" s="303"/>
      <c r="S506" s="303"/>
      <c r="T506" s="303"/>
      <c r="U506" s="303"/>
      <c r="V506" s="303"/>
      <c r="W506" s="303"/>
      <c r="X506" s="303"/>
      <c r="Y506" s="303"/>
      <c r="Z506" s="303"/>
    </row>
    <row r="507">
      <c r="A507" s="303"/>
      <c r="B507" s="303"/>
      <c r="C507" s="303"/>
      <c r="D507" s="303"/>
      <c r="E507" s="303"/>
      <c r="F507" s="303"/>
      <c r="G507" s="303"/>
      <c r="H507" s="303"/>
      <c r="I507" s="303"/>
      <c r="J507" s="303"/>
      <c r="K507" s="303"/>
      <c r="L507" s="303"/>
      <c r="M507" s="303"/>
      <c r="N507" s="303"/>
      <c r="O507" s="303"/>
      <c r="P507" s="303"/>
      <c r="Q507" s="303"/>
      <c r="R507" s="303"/>
      <c r="S507" s="303"/>
      <c r="T507" s="303"/>
      <c r="U507" s="303"/>
      <c r="V507" s="303"/>
      <c r="W507" s="303"/>
      <c r="X507" s="303"/>
      <c r="Y507" s="303"/>
      <c r="Z507" s="303"/>
    </row>
    <row r="508">
      <c r="A508" s="303"/>
      <c r="B508" s="303"/>
      <c r="C508" s="303"/>
      <c r="D508" s="303"/>
      <c r="E508" s="303"/>
      <c r="F508" s="303"/>
      <c r="G508" s="303"/>
      <c r="H508" s="303"/>
      <c r="I508" s="303"/>
      <c r="J508" s="303"/>
      <c r="K508" s="303"/>
      <c r="L508" s="303"/>
      <c r="M508" s="303"/>
      <c r="N508" s="303"/>
      <c r="O508" s="303"/>
      <c r="P508" s="303"/>
      <c r="Q508" s="303"/>
      <c r="R508" s="303"/>
      <c r="S508" s="303"/>
      <c r="T508" s="303"/>
      <c r="U508" s="303"/>
      <c r="V508" s="303"/>
      <c r="W508" s="303"/>
      <c r="X508" s="303"/>
      <c r="Y508" s="303"/>
      <c r="Z508" s="303"/>
    </row>
    <row r="509">
      <c r="A509" s="303"/>
      <c r="B509" s="303"/>
      <c r="C509" s="303"/>
      <c r="D509" s="303"/>
      <c r="E509" s="303"/>
      <c r="F509" s="303"/>
      <c r="G509" s="303"/>
      <c r="H509" s="303"/>
      <c r="I509" s="303"/>
      <c r="J509" s="303"/>
      <c r="K509" s="303"/>
      <c r="L509" s="303"/>
      <c r="M509" s="303"/>
      <c r="N509" s="303"/>
      <c r="O509" s="303"/>
      <c r="P509" s="303"/>
      <c r="Q509" s="303"/>
      <c r="R509" s="303"/>
      <c r="S509" s="303"/>
      <c r="T509" s="303"/>
      <c r="U509" s="303"/>
      <c r="V509" s="303"/>
      <c r="W509" s="303"/>
      <c r="X509" s="303"/>
      <c r="Y509" s="303"/>
      <c r="Z509" s="303"/>
    </row>
    <row r="510">
      <c r="A510" s="303"/>
      <c r="B510" s="303"/>
      <c r="C510" s="303"/>
      <c r="D510" s="303"/>
      <c r="E510" s="303"/>
      <c r="F510" s="303"/>
      <c r="G510" s="303"/>
      <c r="H510" s="303"/>
      <c r="I510" s="303"/>
      <c r="J510" s="303"/>
      <c r="K510" s="303"/>
      <c r="L510" s="303"/>
      <c r="M510" s="303"/>
      <c r="N510" s="303"/>
      <c r="O510" s="303"/>
      <c r="P510" s="303"/>
      <c r="Q510" s="303"/>
      <c r="R510" s="303"/>
      <c r="S510" s="303"/>
      <c r="T510" s="303"/>
      <c r="U510" s="303"/>
      <c r="V510" s="303"/>
      <c r="W510" s="303"/>
      <c r="X510" s="303"/>
      <c r="Y510" s="303"/>
      <c r="Z510" s="303"/>
    </row>
    <row r="511">
      <c r="A511" s="303"/>
      <c r="B511" s="303"/>
      <c r="C511" s="303"/>
      <c r="D511" s="303"/>
      <c r="E511" s="303"/>
      <c r="F511" s="303"/>
      <c r="G511" s="303"/>
      <c r="H511" s="303"/>
      <c r="I511" s="303"/>
      <c r="J511" s="303"/>
      <c r="K511" s="303"/>
      <c r="L511" s="303"/>
      <c r="M511" s="303"/>
      <c r="N511" s="303"/>
      <c r="O511" s="303"/>
      <c r="P511" s="303"/>
      <c r="Q511" s="303"/>
      <c r="R511" s="303"/>
      <c r="S511" s="303"/>
      <c r="T511" s="303"/>
      <c r="U511" s="303"/>
      <c r="V511" s="303"/>
      <c r="W511" s="303"/>
      <c r="X511" s="303"/>
      <c r="Y511" s="303"/>
      <c r="Z511" s="303"/>
    </row>
    <row r="512">
      <c r="A512" s="303"/>
      <c r="B512" s="303"/>
      <c r="C512" s="303"/>
      <c r="D512" s="303"/>
      <c r="E512" s="303"/>
      <c r="F512" s="303"/>
      <c r="G512" s="303"/>
      <c r="H512" s="303"/>
      <c r="I512" s="303"/>
      <c r="J512" s="303"/>
      <c r="K512" s="303"/>
      <c r="L512" s="303"/>
      <c r="M512" s="303"/>
      <c r="N512" s="303"/>
      <c r="O512" s="303"/>
      <c r="P512" s="303"/>
      <c r="Q512" s="303"/>
      <c r="R512" s="303"/>
      <c r="S512" s="303"/>
      <c r="T512" s="303"/>
      <c r="U512" s="303"/>
      <c r="V512" s="303"/>
      <c r="W512" s="303"/>
      <c r="X512" s="303"/>
      <c r="Y512" s="303"/>
      <c r="Z512" s="303"/>
    </row>
    <row r="513">
      <c r="A513" s="303"/>
      <c r="B513" s="303"/>
      <c r="C513" s="303"/>
      <c r="D513" s="303"/>
      <c r="E513" s="303"/>
      <c r="F513" s="303"/>
      <c r="G513" s="303"/>
      <c r="H513" s="303"/>
      <c r="I513" s="303"/>
      <c r="J513" s="303"/>
      <c r="K513" s="303"/>
      <c r="L513" s="303"/>
      <c r="M513" s="303"/>
      <c r="N513" s="303"/>
      <c r="O513" s="303"/>
      <c r="P513" s="303"/>
      <c r="Q513" s="303"/>
      <c r="R513" s="303"/>
      <c r="S513" s="303"/>
      <c r="T513" s="303"/>
      <c r="U513" s="303"/>
      <c r="V513" s="303"/>
      <c r="W513" s="303"/>
      <c r="X513" s="303"/>
      <c r="Y513" s="303"/>
      <c r="Z513" s="303"/>
    </row>
    <row r="514">
      <c r="A514" s="303"/>
      <c r="B514" s="303"/>
      <c r="C514" s="303"/>
      <c r="D514" s="303"/>
      <c r="E514" s="303"/>
      <c r="F514" s="303"/>
      <c r="G514" s="303"/>
      <c r="H514" s="303"/>
      <c r="I514" s="303"/>
      <c r="J514" s="303"/>
      <c r="K514" s="303"/>
      <c r="L514" s="303"/>
      <c r="M514" s="303"/>
      <c r="N514" s="303"/>
      <c r="O514" s="303"/>
      <c r="P514" s="303"/>
      <c r="Q514" s="303"/>
      <c r="R514" s="303"/>
      <c r="S514" s="303"/>
      <c r="T514" s="303"/>
      <c r="U514" s="303"/>
      <c r="V514" s="303"/>
      <c r="W514" s="303"/>
      <c r="X514" s="303"/>
      <c r="Y514" s="303"/>
      <c r="Z514" s="303"/>
    </row>
    <row r="515">
      <c r="A515" s="303"/>
      <c r="B515" s="303"/>
      <c r="C515" s="303"/>
      <c r="D515" s="303"/>
      <c r="E515" s="303"/>
      <c r="F515" s="303"/>
      <c r="G515" s="303"/>
      <c r="H515" s="303"/>
      <c r="I515" s="303"/>
      <c r="J515" s="303"/>
      <c r="K515" s="303"/>
      <c r="L515" s="303"/>
      <c r="M515" s="303"/>
      <c r="N515" s="303"/>
      <c r="O515" s="303"/>
      <c r="P515" s="303"/>
      <c r="Q515" s="303"/>
      <c r="R515" s="303"/>
      <c r="S515" s="303"/>
      <c r="T515" s="303"/>
      <c r="U515" s="303"/>
      <c r="V515" s="303"/>
      <c r="W515" s="303"/>
      <c r="X515" s="303"/>
      <c r="Y515" s="303"/>
      <c r="Z515" s="303"/>
    </row>
    <row r="516">
      <c r="A516" s="303"/>
      <c r="B516" s="303"/>
      <c r="C516" s="303"/>
      <c r="D516" s="303"/>
      <c r="E516" s="303"/>
      <c r="F516" s="303"/>
      <c r="G516" s="303"/>
      <c r="H516" s="303"/>
      <c r="I516" s="303"/>
      <c r="J516" s="303"/>
      <c r="K516" s="303"/>
      <c r="L516" s="303"/>
      <c r="M516" s="303"/>
      <c r="N516" s="303"/>
      <c r="O516" s="303"/>
      <c r="P516" s="303"/>
      <c r="Q516" s="303"/>
      <c r="R516" s="303"/>
      <c r="S516" s="303"/>
      <c r="T516" s="303"/>
      <c r="U516" s="303"/>
      <c r="V516" s="303"/>
      <c r="W516" s="303"/>
      <c r="X516" s="303"/>
      <c r="Y516" s="303"/>
      <c r="Z516" s="303"/>
    </row>
    <row r="517">
      <c r="A517" s="303"/>
      <c r="B517" s="303"/>
      <c r="C517" s="303"/>
      <c r="D517" s="303"/>
      <c r="E517" s="303"/>
      <c r="F517" s="303"/>
      <c r="G517" s="303"/>
      <c r="H517" s="303"/>
      <c r="I517" s="303"/>
      <c r="J517" s="303"/>
      <c r="K517" s="303"/>
      <c r="L517" s="303"/>
      <c r="M517" s="303"/>
      <c r="N517" s="303"/>
      <c r="O517" s="303"/>
      <c r="P517" s="303"/>
      <c r="Q517" s="303"/>
      <c r="R517" s="303"/>
      <c r="S517" s="303"/>
      <c r="T517" s="303"/>
      <c r="U517" s="303"/>
      <c r="V517" s="303"/>
      <c r="W517" s="303"/>
      <c r="X517" s="303"/>
      <c r="Y517" s="303"/>
      <c r="Z517" s="303"/>
    </row>
    <row r="518">
      <c r="A518" s="303"/>
      <c r="B518" s="303"/>
      <c r="C518" s="303"/>
      <c r="D518" s="303"/>
      <c r="E518" s="303"/>
      <c r="F518" s="303"/>
      <c r="G518" s="303"/>
      <c r="H518" s="303"/>
      <c r="I518" s="303"/>
      <c r="J518" s="303"/>
      <c r="K518" s="303"/>
      <c r="L518" s="303"/>
      <c r="M518" s="303"/>
      <c r="N518" s="303"/>
      <c r="O518" s="303"/>
      <c r="P518" s="303"/>
      <c r="Q518" s="303"/>
      <c r="R518" s="303"/>
      <c r="S518" s="303"/>
      <c r="T518" s="303"/>
      <c r="U518" s="303"/>
      <c r="V518" s="303"/>
      <c r="W518" s="303"/>
      <c r="X518" s="303"/>
      <c r="Y518" s="303"/>
      <c r="Z518" s="303"/>
    </row>
    <row r="519">
      <c r="A519" s="303"/>
      <c r="B519" s="303"/>
      <c r="C519" s="303"/>
      <c r="D519" s="303"/>
      <c r="E519" s="303"/>
      <c r="F519" s="303"/>
      <c r="G519" s="303"/>
      <c r="H519" s="303"/>
      <c r="I519" s="303"/>
      <c r="J519" s="303"/>
      <c r="K519" s="303"/>
      <c r="L519" s="303"/>
      <c r="M519" s="303"/>
      <c r="N519" s="303"/>
      <c r="O519" s="303"/>
      <c r="P519" s="303"/>
      <c r="Q519" s="303"/>
      <c r="R519" s="303"/>
      <c r="S519" s="303"/>
      <c r="T519" s="303"/>
      <c r="U519" s="303"/>
      <c r="V519" s="303"/>
      <c r="W519" s="303"/>
      <c r="X519" s="303"/>
      <c r="Y519" s="303"/>
      <c r="Z519" s="303"/>
    </row>
    <row r="520">
      <c r="A520" s="303"/>
      <c r="B520" s="303"/>
      <c r="C520" s="303"/>
      <c r="D520" s="303"/>
      <c r="E520" s="303"/>
      <c r="F520" s="303"/>
      <c r="G520" s="303"/>
      <c r="H520" s="303"/>
      <c r="I520" s="303"/>
      <c r="J520" s="303"/>
      <c r="K520" s="303"/>
      <c r="L520" s="303"/>
      <c r="M520" s="303"/>
      <c r="N520" s="303"/>
      <c r="O520" s="303"/>
      <c r="P520" s="303"/>
      <c r="Q520" s="303"/>
      <c r="R520" s="303"/>
      <c r="S520" s="303"/>
      <c r="T520" s="303"/>
      <c r="U520" s="303"/>
      <c r="V520" s="303"/>
      <c r="W520" s="303"/>
      <c r="X520" s="303"/>
      <c r="Y520" s="303"/>
      <c r="Z520" s="303"/>
    </row>
    <row r="521">
      <c r="A521" s="303"/>
      <c r="B521" s="303"/>
      <c r="C521" s="303"/>
      <c r="D521" s="303"/>
      <c r="E521" s="303"/>
      <c r="F521" s="303"/>
      <c r="G521" s="303"/>
      <c r="H521" s="303"/>
      <c r="I521" s="303"/>
      <c r="J521" s="303"/>
      <c r="K521" s="303"/>
      <c r="L521" s="303"/>
      <c r="M521" s="303"/>
      <c r="N521" s="303"/>
      <c r="O521" s="303"/>
      <c r="P521" s="303"/>
      <c r="Q521" s="303"/>
      <c r="R521" s="303"/>
      <c r="S521" s="303"/>
      <c r="T521" s="303"/>
      <c r="U521" s="303"/>
      <c r="V521" s="303"/>
      <c r="W521" s="303"/>
      <c r="X521" s="303"/>
      <c r="Y521" s="303"/>
      <c r="Z521" s="303"/>
    </row>
    <row r="522">
      <c r="A522" s="303"/>
      <c r="B522" s="303"/>
      <c r="C522" s="303"/>
      <c r="D522" s="303"/>
      <c r="E522" s="303"/>
      <c r="F522" s="303"/>
      <c r="G522" s="303"/>
      <c r="H522" s="303"/>
      <c r="I522" s="303"/>
      <c r="J522" s="303"/>
      <c r="K522" s="303"/>
      <c r="L522" s="303"/>
      <c r="M522" s="303"/>
      <c r="N522" s="303"/>
      <c r="O522" s="303"/>
      <c r="P522" s="303"/>
      <c r="Q522" s="303"/>
      <c r="R522" s="303"/>
      <c r="S522" s="303"/>
      <c r="T522" s="303"/>
      <c r="U522" s="303"/>
      <c r="V522" s="303"/>
      <c r="W522" s="303"/>
      <c r="X522" s="303"/>
      <c r="Y522" s="303"/>
      <c r="Z522" s="303"/>
    </row>
    <row r="523">
      <c r="A523" s="303"/>
      <c r="B523" s="303"/>
      <c r="C523" s="303"/>
      <c r="D523" s="303"/>
      <c r="E523" s="303"/>
      <c r="F523" s="303"/>
      <c r="G523" s="303"/>
      <c r="H523" s="303"/>
      <c r="I523" s="303"/>
      <c r="J523" s="303"/>
      <c r="K523" s="303"/>
      <c r="L523" s="303"/>
      <c r="M523" s="303"/>
      <c r="N523" s="303"/>
      <c r="O523" s="303"/>
      <c r="P523" s="303"/>
      <c r="Q523" s="303"/>
      <c r="R523" s="303"/>
      <c r="S523" s="303"/>
      <c r="T523" s="303"/>
      <c r="U523" s="303"/>
      <c r="V523" s="303"/>
      <c r="W523" s="303"/>
      <c r="X523" s="303"/>
      <c r="Y523" s="303"/>
      <c r="Z523" s="303"/>
    </row>
    <row r="524">
      <c r="A524" s="303"/>
      <c r="B524" s="303"/>
      <c r="C524" s="303"/>
      <c r="D524" s="303"/>
      <c r="E524" s="303"/>
      <c r="F524" s="303"/>
      <c r="G524" s="303"/>
      <c r="H524" s="303"/>
      <c r="I524" s="303"/>
      <c r="J524" s="303"/>
      <c r="K524" s="303"/>
      <c r="L524" s="303"/>
      <c r="M524" s="303"/>
      <c r="N524" s="303"/>
      <c r="O524" s="303"/>
      <c r="P524" s="303"/>
      <c r="Q524" s="303"/>
      <c r="R524" s="303"/>
      <c r="S524" s="303"/>
      <c r="T524" s="303"/>
      <c r="U524" s="303"/>
      <c r="V524" s="303"/>
      <c r="W524" s="303"/>
      <c r="X524" s="303"/>
      <c r="Y524" s="303"/>
      <c r="Z524" s="303"/>
    </row>
    <row r="525">
      <c r="A525" s="303"/>
      <c r="B525" s="303"/>
      <c r="C525" s="303"/>
      <c r="D525" s="303"/>
      <c r="E525" s="303"/>
      <c r="F525" s="303"/>
      <c r="G525" s="303"/>
      <c r="H525" s="303"/>
      <c r="I525" s="303"/>
      <c r="J525" s="303"/>
      <c r="K525" s="303"/>
      <c r="L525" s="303"/>
      <c r="M525" s="303"/>
      <c r="N525" s="303"/>
      <c r="O525" s="303"/>
      <c r="P525" s="303"/>
      <c r="Q525" s="303"/>
      <c r="R525" s="303"/>
      <c r="S525" s="303"/>
      <c r="T525" s="303"/>
      <c r="U525" s="303"/>
      <c r="V525" s="303"/>
      <c r="W525" s="303"/>
      <c r="X525" s="303"/>
      <c r="Y525" s="303"/>
      <c r="Z525" s="303"/>
    </row>
    <row r="526">
      <c r="A526" s="303"/>
      <c r="B526" s="303"/>
      <c r="C526" s="303"/>
      <c r="D526" s="303"/>
      <c r="E526" s="303"/>
      <c r="F526" s="303"/>
      <c r="G526" s="303"/>
      <c r="H526" s="303"/>
      <c r="I526" s="303"/>
      <c r="J526" s="303"/>
      <c r="K526" s="303"/>
      <c r="L526" s="303"/>
      <c r="M526" s="303"/>
      <c r="N526" s="303"/>
      <c r="O526" s="303"/>
      <c r="P526" s="303"/>
      <c r="Q526" s="303"/>
      <c r="R526" s="303"/>
      <c r="S526" s="303"/>
      <c r="T526" s="303"/>
      <c r="U526" s="303"/>
      <c r="V526" s="303"/>
      <c r="W526" s="303"/>
      <c r="X526" s="303"/>
      <c r="Y526" s="303"/>
      <c r="Z526" s="303"/>
    </row>
    <row r="527">
      <c r="A527" s="303"/>
      <c r="B527" s="303"/>
      <c r="C527" s="303"/>
      <c r="D527" s="303"/>
      <c r="E527" s="303"/>
      <c r="F527" s="303"/>
      <c r="G527" s="303"/>
      <c r="H527" s="303"/>
      <c r="I527" s="303"/>
      <c r="J527" s="303"/>
      <c r="K527" s="303"/>
      <c r="L527" s="303"/>
      <c r="M527" s="303"/>
      <c r="N527" s="303"/>
      <c r="O527" s="303"/>
      <c r="P527" s="303"/>
      <c r="Q527" s="303"/>
      <c r="R527" s="303"/>
      <c r="S527" s="303"/>
      <c r="T527" s="303"/>
      <c r="U527" s="303"/>
      <c r="V527" s="303"/>
      <c r="W527" s="303"/>
      <c r="X527" s="303"/>
      <c r="Y527" s="303"/>
      <c r="Z527" s="303"/>
    </row>
    <row r="528">
      <c r="A528" s="303"/>
      <c r="B528" s="303"/>
      <c r="C528" s="303"/>
      <c r="D528" s="303"/>
      <c r="E528" s="303"/>
      <c r="F528" s="303"/>
      <c r="G528" s="303"/>
      <c r="H528" s="303"/>
      <c r="I528" s="303"/>
      <c r="J528" s="303"/>
      <c r="K528" s="303"/>
      <c r="L528" s="303"/>
      <c r="M528" s="303"/>
      <c r="N528" s="303"/>
      <c r="O528" s="303"/>
      <c r="P528" s="303"/>
      <c r="Q528" s="303"/>
      <c r="R528" s="303"/>
      <c r="S528" s="303"/>
      <c r="T528" s="303"/>
      <c r="U528" s="303"/>
      <c r="V528" s="303"/>
      <c r="W528" s="303"/>
      <c r="X528" s="303"/>
      <c r="Y528" s="303"/>
      <c r="Z528" s="303"/>
    </row>
    <row r="529">
      <c r="A529" s="303"/>
      <c r="B529" s="303"/>
      <c r="C529" s="303"/>
      <c r="D529" s="303"/>
      <c r="E529" s="303"/>
      <c r="F529" s="303"/>
      <c r="G529" s="303"/>
      <c r="H529" s="303"/>
      <c r="I529" s="303"/>
      <c r="J529" s="303"/>
      <c r="K529" s="303"/>
      <c r="L529" s="303"/>
      <c r="M529" s="303"/>
      <c r="N529" s="303"/>
      <c r="O529" s="303"/>
      <c r="P529" s="303"/>
      <c r="Q529" s="303"/>
      <c r="R529" s="303"/>
      <c r="S529" s="303"/>
      <c r="T529" s="303"/>
      <c r="U529" s="303"/>
      <c r="V529" s="303"/>
      <c r="W529" s="303"/>
      <c r="X529" s="303"/>
      <c r="Y529" s="303"/>
      <c r="Z529" s="303"/>
    </row>
    <row r="530">
      <c r="A530" s="303"/>
      <c r="B530" s="303"/>
      <c r="C530" s="303"/>
      <c r="D530" s="303"/>
      <c r="E530" s="303"/>
      <c r="F530" s="303"/>
      <c r="G530" s="303"/>
      <c r="H530" s="303"/>
      <c r="I530" s="303"/>
      <c r="J530" s="303"/>
      <c r="K530" s="303"/>
      <c r="L530" s="303"/>
      <c r="M530" s="303"/>
      <c r="N530" s="303"/>
      <c r="O530" s="303"/>
      <c r="P530" s="303"/>
      <c r="Q530" s="303"/>
      <c r="R530" s="303"/>
      <c r="S530" s="303"/>
      <c r="T530" s="303"/>
      <c r="U530" s="303"/>
      <c r="V530" s="303"/>
      <c r="W530" s="303"/>
      <c r="X530" s="303"/>
      <c r="Y530" s="303"/>
      <c r="Z530" s="303"/>
    </row>
    <row r="531">
      <c r="A531" s="303"/>
      <c r="B531" s="303"/>
      <c r="C531" s="303"/>
      <c r="D531" s="303"/>
      <c r="E531" s="303"/>
      <c r="F531" s="303"/>
      <c r="G531" s="303"/>
      <c r="H531" s="303"/>
      <c r="I531" s="303"/>
      <c r="J531" s="303"/>
      <c r="K531" s="303"/>
      <c r="L531" s="303"/>
      <c r="M531" s="303"/>
      <c r="N531" s="303"/>
      <c r="O531" s="303"/>
      <c r="P531" s="303"/>
      <c r="Q531" s="303"/>
      <c r="R531" s="303"/>
      <c r="S531" s="303"/>
      <c r="T531" s="303"/>
      <c r="U531" s="303"/>
      <c r="V531" s="303"/>
      <c r="W531" s="303"/>
      <c r="X531" s="303"/>
      <c r="Y531" s="303"/>
      <c r="Z531" s="303"/>
    </row>
    <row r="532">
      <c r="A532" s="303"/>
      <c r="B532" s="303"/>
      <c r="C532" s="303"/>
      <c r="D532" s="303"/>
      <c r="E532" s="303"/>
      <c r="F532" s="303"/>
      <c r="G532" s="303"/>
      <c r="H532" s="303"/>
      <c r="I532" s="303"/>
      <c r="J532" s="303"/>
      <c r="K532" s="303"/>
      <c r="L532" s="303"/>
      <c r="M532" s="303"/>
      <c r="N532" s="303"/>
      <c r="O532" s="303"/>
      <c r="P532" s="303"/>
      <c r="Q532" s="303"/>
      <c r="R532" s="303"/>
      <c r="S532" s="303"/>
      <c r="T532" s="303"/>
      <c r="U532" s="303"/>
      <c r="V532" s="303"/>
      <c r="W532" s="303"/>
      <c r="X532" s="303"/>
      <c r="Y532" s="303"/>
      <c r="Z532" s="303"/>
    </row>
    <row r="533">
      <c r="A533" s="303"/>
      <c r="B533" s="303"/>
      <c r="C533" s="303"/>
      <c r="D533" s="303"/>
      <c r="E533" s="303"/>
      <c r="F533" s="303"/>
      <c r="G533" s="303"/>
      <c r="H533" s="303"/>
      <c r="I533" s="303"/>
      <c r="J533" s="303"/>
      <c r="K533" s="303"/>
      <c r="L533" s="303"/>
      <c r="M533" s="303"/>
      <c r="N533" s="303"/>
      <c r="O533" s="303"/>
      <c r="P533" s="303"/>
      <c r="Q533" s="303"/>
      <c r="R533" s="303"/>
      <c r="S533" s="303"/>
      <c r="T533" s="303"/>
      <c r="U533" s="303"/>
      <c r="V533" s="303"/>
      <c r="W533" s="303"/>
      <c r="X533" s="303"/>
      <c r="Y533" s="303"/>
      <c r="Z533" s="303"/>
    </row>
    <row r="534">
      <c r="A534" s="303"/>
      <c r="B534" s="303"/>
      <c r="C534" s="303"/>
      <c r="D534" s="303"/>
      <c r="E534" s="303"/>
      <c r="F534" s="303"/>
      <c r="G534" s="303"/>
      <c r="H534" s="303"/>
      <c r="I534" s="303"/>
      <c r="J534" s="303"/>
      <c r="K534" s="303"/>
      <c r="L534" s="303"/>
      <c r="M534" s="303"/>
      <c r="N534" s="303"/>
      <c r="O534" s="303"/>
      <c r="P534" s="303"/>
      <c r="Q534" s="303"/>
      <c r="R534" s="303"/>
      <c r="S534" s="303"/>
      <c r="T534" s="303"/>
      <c r="U534" s="303"/>
      <c r="V534" s="303"/>
      <c r="W534" s="303"/>
      <c r="X534" s="303"/>
      <c r="Y534" s="303"/>
      <c r="Z534" s="303"/>
    </row>
    <row r="535">
      <c r="A535" s="303"/>
      <c r="B535" s="303"/>
      <c r="C535" s="303"/>
      <c r="D535" s="303"/>
      <c r="E535" s="303"/>
      <c r="F535" s="303"/>
      <c r="G535" s="303"/>
      <c r="H535" s="303"/>
      <c r="I535" s="303"/>
      <c r="J535" s="303"/>
      <c r="K535" s="303"/>
      <c r="L535" s="303"/>
      <c r="M535" s="303"/>
      <c r="N535" s="303"/>
      <c r="O535" s="303"/>
      <c r="P535" s="303"/>
      <c r="Q535" s="303"/>
      <c r="R535" s="303"/>
      <c r="S535" s="303"/>
      <c r="T535" s="303"/>
      <c r="U535" s="303"/>
      <c r="V535" s="303"/>
      <c r="W535" s="303"/>
      <c r="X535" s="303"/>
      <c r="Y535" s="303"/>
      <c r="Z535" s="303"/>
    </row>
    <row r="536">
      <c r="A536" s="303"/>
      <c r="B536" s="303"/>
      <c r="C536" s="303"/>
      <c r="D536" s="303"/>
      <c r="E536" s="303"/>
      <c r="F536" s="303"/>
      <c r="G536" s="303"/>
      <c r="H536" s="303"/>
      <c r="I536" s="303"/>
      <c r="J536" s="303"/>
      <c r="K536" s="303"/>
      <c r="L536" s="303"/>
      <c r="M536" s="303"/>
      <c r="N536" s="303"/>
      <c r="O536" s="303"/>
      <c r="P536" s="303"/>
      <c r="Q536" s="303"/>
      <c r="R536" s="303"/>
      <c r="S536" s="303"/>
      <c r="T536" s="303"/>
      <c r="U536" s="303"/>
      <c r="V536" s="303"/>
      <c r="W536" s="303"/>
      <c r="X536" s="303"/>
      <c r="Y536" s="303"/>
      <c r="Z536" s="303"/>
    </row>
    <row r="537">
      <c r="A537" s="303"/>
      <c r="B537" s="303"/>
      <c r="C537" s="303"/>
      <c r="D537" s="303"/>
      <c r="E537" s="303"/>
      <c r="F537" s="303"/>
      <c r="G537" s="303"/>
      <c r="H537" s="303"/>
      <c r="I537" s="303"/>
      <c r="J537" s="303"/>
      <c r="K537" s="303"/>
      <c r="L537" s="303"/>
      <c r="M537" s="303"/>
      <c r="N537" s="303"/>
      <c r="O537" s="303"/>
      <c r="P537" s="303"/>
      <c r="Q537" s="303"/>
      <c r="R537" s="303"/>
      <c r="S537" s="303"/>
      <c r="T537" s="303"/>
      <c r="U537" s="303"/>
      <c r="V537" s="303"/>
      <c r="W537" s="303"/>
      <c r="X537" s="303"/>
      <c r="Y537" s="303"/>
      <c r="Z537" s="303"/>
    </row>
    <row r="538">
      <c r="A538" s="303"/>
      <c r="B538" s="303"/>
      <c r="C538" s="303"/>
      <c r="D538" s="303"/>
      <c r="E538" s="303"/>
      <c r="F538" s="303"/>
      <c r="G538" s="303"/>
      <c r="H538" s="303"/>
      <c r="I538" s="303"/>
      <c r="J538" s="303"/>
      <c r="K538" s="303"/>
      <c r="L538" s="303"/>
      <c r="M538" s="303"/>
      <c r="N538" s="303"/>
      <c r="O538" s="303"/>
      <c r="P538" s="303"/>
      <c r="Q538" s="303"/>
      <c r="R538" s="303"/>
      <c r="S538" s="303"/>
      <c r="T538" s="303"/>
      <c r="U538" s="303"/>
      <c r="V538" s="303"/>
      <c r="W538" s="303"/>
      <c r="X538" s="303"/>
      <c r="Y538" s="303"/>
      <c r="Z538" s="303"/>
    </row>
    <row r="539">
      <c r="A539" s="303"/>
      <c r="B539" s="303"/>
      <c r="C539" s="303"/>
      <c r="D539" s="303"/>
      <c r="E539" s="303"/>
      <c r="F539" s="303"/>
      <c r="G539" s="303"/>
      <c r="H539" s="303"/>
      <c r="I539" s="303"/>
      <c r="J539" s="303"/>
      <c r="K539" s="303"/>
      <c r="L539" s="303"/>
      <c r="M539" s="303"/>
      <c r="N539" s="303"/>
      <c r="O539" s="303"/>
      <c r="P539" s="303"/>
      <c r="Q539" s="303"/>
      <c r="R539" s="303"/>
      <c r="S539" s="303"/>
      <c r="T539" s="303"/>
      <c r="U539" s="303"/>
      <c r="V539" s="303"/>
      <c r="W539" s="303"/>
      <c r="X539" s="303"/>
      <c r="Y539" s="303"/>
      <c r="Z539" s="303"/>
    </row>
    <row r="540">
      <c r="A540" s="303"/>
      <c r="B540" s="303"/>
      <c r="C540" s="303"/>
      <c r="D540" s="303"/>
      <c r="E540" s="303"/>
      <c r="F540" s="303"/>
      <c r="G540" s="303"/>
      <c r="H540" s="303"/>
      <c r="I540" s="303"/>
      <c r="J540" s="303"/>
      <c r="K540" s="303"/>
      <c r="L540" s="303"/>
      <c r="M540" s="303"/>
      <c r="N540" s="303"/>
      <c r="O540" s="303"/>
      <c r="P540" s="303"/>
      <c r="Q540" s="303"/>
      <c r="R540" s="303"/>
      <c r="S540" s="303"/>
      <c r="T540" s="303"/>
      <c r="U540" s="303"/>
      <c r="V540" s="303"/>
      <c r="W540" s="303"/>
      <c r="X540" s="303"/>
      <c r="Y540" s="303"/>
      <c r="Z540" s="303"/>
    </row>
    <row r="541">
      <c r="A541" s="303"/>
      <c r="B541" s="303"/>
      <c r="C541" s="303"/>
      <c r="D541" s="303"/>
      <c r="E541" s="303"/>
      <c r="F541" s="303"/>
      <c r="G541" s="303"/>
      <c r="H541" s="303"/>
      <c r="I541" s="303"/>
      <c r="J541" s="303"/>
      <c r="K541" s="303"/>
      <c r="L541" s="303"/>
      <c r="M541" s="303"/>
      <c r="N541" s="303"/>
      <c r="O541" s="303"/>
      <c r="P541" s="303"/>
      <c r="Q541" s="303"/>
      <c r="R541" s="303"/>
      <c r="S541" s="303"/>
      <c r="T541" s="303"/>
      <c r="U541" s="303"/>
      <c r="V541" s="303"/>
      <c r="W541" s="303"/>
      <c r="X541" s="303"/>
      <c r="Y541" s="303"/>
      <c r="Z541" s="303"/>
    </row>
    <row r="542">
      <c r="A542" s="303"/>
      <c r="B542" s="303"/>
      <c r="C542" s="303"/>
      <c r="D542" s="303"/>
      <c r="E542" s="303"/>
      <c r="F542" s="303"/>
      <c r="G542" s="303"/>
      <c r="H542" s="303"/>
      <c r="I542" s="303"/>
      <c r="J542" s="303"/>
      <c r="K542" s="303"/>
      <c r="L542" s="303"/>
      <c r="M542" s="303"/>
      <c r="N542" s="303"/>
      <c r="O542" s="303"/>
      <c r="P542" s="303"/>
      <c r="Q542" s="303"/>
      <c r="R542" s="303"/>
      <c r="S542" s="303"/>
      <c r="T542" s="303"/>
      <c r="U542" s="303"/>
      <c r="V542" s="303"/>
      <c r="W542" s="303"/>
      <c r="X542" s="303"/>
      <c r="Y542" s="303"/>
      <c r="Z542" s="303"/>
    </row>
    <row r="543">
      <c r="A543" s="303"/>
      <c r="B543" s="303"/>
      <c r="C543" s="303"/>
      <c r="D543" s="303"/>
      <c r="E543" s="303"/>
      <c r="F543" s="303"/>
      <c r="G543" s="303"/>
      <c r="H543" s="303"/>
      <c r="I543" s="303"/>
      <c r="J543" s="303"/>
      <c r="K543" s="303"/>
      <c r="L543" s="303"/>
      <c r="M543" s="303"/>
      <c r="N543" s="303"/>
      <c r="O543" s="303"/>
      <c r="P543" s="303"/>
      <c r="Q543" s="303"/>
      <c r="R543" s="303"/>
      <c r="S543" s="303"/>
      <c r="T543" s="303"/>
      <c r="U543" s="303"/>
      <c r="V543" s="303"/>
      <c r="W543" s="303"/>
      <c r="X543" s="303"/>
      <c r="Y543" s="303"/>
      <c r="Z543" s="303"/>
    </row>
    <row r="544">
      <c r="A544" s="303"/>
      <c r="B544" s="303"/>
      <c r="C544" s="303"/>
      <c r="D544" s="303"/>
      <c r="E544" s="303"/>
      <c r="F544" s="303"/>
      <c r="G544" s="303"/>
      <c r="H544" s="303"/>
      <c r="I544" s="303"/>
      <c r="J544" s="303"/>
      <c r="K544" s="303"/>
      <c r="L544" s="303"/>
      <c r="M544" s="303"/>
      <c r="N544" s="303"/>
      <c r="O544" s="303"/>
      <c r="P544" s="303"/>
      <c r="Q544" s="303"/>
      <c r="R544" s="303"/>
      <c r="S544" s="303"/>
      <c r="T544" s="303"/>
      <c r="U544" s="303"/>
      <c r="V544" s="303"/>
      <c r="W544" s="303"/>
      <c r="X544" s="303"/>
      <c r="Y544" s="303"/>
      <c r="Z544" s="303"/>
    </row>
    <row r="545">
      <c r="A545" s="303"/>
      <c r="B545" s="303"/>
      <c r="C545" s="303"/>
      <c r="D545" s="303"/>
      <c r="E545" s="303"/>
      <c r="F545" s="303"/>
      <c r="G545" s="303"/>
      <c r="H545" s="303"/>
      <c r="I545" s="303"/>
      <c r="J545" s="303"/>
      <c r="K545" s="303"/>
      <c r="L545" s="303"/>
      <c r="M545" s="303"/>
      <c r="N545" s="303"/>
      <c r="O545" s="303"/>
      <c r="P545" s="303"/>
      <c r="Q545" s="303"/>
      <c r="R545" s="303"/>
      <c r="S545" s="303"/>
      <c r="T545" s="303"/>
      <c r="U545" s="303"/>
      <c r="V545" s="303"/>
      <c r="W545" s="303"/>
      <c r="X545" s="303"/>
      <c r="Y545" s="303"/>
      <c r="Z545" s="303"/>
    </row>
    <row r="546">
      <c r="A546" s="303"/>
      <c r="B546" s="303"/>
      <c r="C546" s="303"/>
      <c r="D546" s="303"/>
      <c r="E546" s="303"/>
      <c r="F546" s="303"/>
      <c r="G546" s="303"/>
      <c r="H546" s="303"/>
      <c r="I546" s="303"/>
      <c r="J546" s="303"/>
      <c r="K546" s="303"/>
      <c r="L546" s="303"/>
      <c r="M546" s="303"/>
      <c r="N546" s="303"/>
      <c r="O546" s="303"/>
      <c r="P546" s="303"/>
      <c r="Q546" s="303"/>
      <c r="R546" s="303"/>
      <c r="S546" s="303"/>
      <c r="T546" s="303"/>
      <c r="U546" s="303"/>
      <c r="V546" s="303"/>
      <c r="W546" s="303"/>
      <c r="X546" s="303"/>
      <c r="Y546" s="303"/>
      <c r="Z546" s="303"/>
    </row>
    <row r="547">
      <c r="A547" s="303"/>
      <c r="B547" s="303"/>
      <c r="C547" s="303"/>
      <c r="D547" s="303"/>
      <c r="E547" s="303"/>
      <c r="F547" s="303"/>
      <c r="G547" s="303"/>
      <c r="H547" s="303"/>
      <c r="I547" s="303"/>
      <c r="J547" s="303"/>
      <c r="K547" s="303"/>
      <c r="L547" s="303"/>
      <c r="M547" s="303"/>
      <c r="N547" s="303"/>
      <c r="O547" s="303"/>
      <c r="P547" s="303"/>
      <c r="Q547" s="303"/>
      <c r="R547" s="303"/>
      <c r="S547" s="303"/>
      <c r="T547" s="303"/>
      <c r="U547" s="303"/>
      <c r="V547" s="303"/>
      <c r="W547" s="303"/>
      <c r="X547" s="303"/>
      <c r="Y547" s="303"/>
      <c r="Z547" s="303"/>
    </row>
    <row r="548">
      <c r="A548" s="303"/>
      <c r="B548" s="303"/>
      <c r="C548" s="303"/>
      <c r="D548" s="303"/>
      <c r="E548" s="303"/>
      <c r="F548" s="303"/>
      <c r="G548" s="303"/>
      <c r="H548" s="303"/>
      <c r="I548" s="303"/>
      <c r="J548" s="303"/>
      <c r="K548" s="303"/>
      <c r="L548" s="303"/>
      <c r="M548" s="303"/>
      <c r="N548" s="303"/>
      <c r="O548" s="303"/>
      <c r="P548" s="303"/>
      <c r="Q548" s="303"/>
      <c r="R548" s="303"/>
      <c r="S548" s="303"/>
      <c r="T548" s="303"/>
      <c r="U548" s="303"/>
      <c r="V548" s="303"/>
      <c r="W548" s="303"/>
      <c r="X548" s="303"/>
      <c r="Y548" s="303"/>
      <c r="Z548" s="303"/>
    </row>
    <row r="549">
      <c r="A549" s="303"/>
      <c r="B549" s="303"/>
      <c r="C549" s="303"/>
      <c r="D549" s="303"/>
      <c r="E549" s="303"/>
      <c r="F549" s="303"/>
      <c r="G549" s="303"/>
      <c r="H549" s="303"/>
      <c r="I549" s="303"/>
      <c r="J549" s="303"/>
      <c r="K549" s="303"/>
      <c r="L549" s="303"/>
      <c r="M549" s="303"/>
      <c r="N549" s="303"/>
      <c r="O549" s="303"/>
      <c r="P549" s="303"/>
      <c r="Q549" s="303"/>
      <c r="R549" s="303"/>
      <c r="S549" s="303"/>
      <c r="T549" s="303"/>
      <c r="U549" s="303"/>
      <c r="V549" s="303"/>
      <c r="W549" s="303"/>
      <c r="X549" s="303"/>
      <c r="Y549" s="303"/>
      <c r="Z549" s="303"/>
    </row>
    <row r="550">
      <c r="A550" s="303"/>
      <c r="B550" s="303"/>
      <c r="C550" s="303"/>
      <c r="D550" s="303"/>
      <c r="E550" s="303"/>
      <c r="F550" s="303"/>
      <c r="G550" s="303"/>
      <c r="H550" s="303"/>
      <c r="I550" s="303"/>
      <c r="J550" s="303"/>
      <c r="K550" s="303"/>
      <c r="L550" s="303"/>
      <c r="M550" s="303"/>
      <c r="N550" s="303"/>
      <c r="O550" s="303"/>
      <c r="P550" s="303"/>
      <c r="Q550" s="303"/>
      <c r="R550" s="303"/>
      <c r="S550" s="303"/>
      <c r="T550" s="303"/>
      <c r="U550" s="303"/>
      <c r="V550" s="303"/>
      <c r="W550" s="303"/>
      <c r="X550" s="303"/>
      <c r="Y550" s="303"/>
      <c r="Z550" s="303"/>
    </row>
    <row r="551">
      <c r="A551" s="303"/>
      <c r="B551" s="303"/>
      <c r="C551" s="303"/>
      <c r="D551" s="303"/>
      <c r="E551" s="303"/>
      <c r="F551" s="303"/>
      <c r="G551" s="303"/>
      <c r="H551" s="303"/>
      <c r="I551" s="303"/>
      <c r="J551" s="303"/>
      <c r="K551" s="303"/>
      <c r="L551" s="303"/>
      <c r="M551" s="303"/>
      <c r="N551" s="303"/>
      <c r="O551" s="303"/>
      <c r="P551" s="303"/>
      <c r="Q551" s="303"/>
      <c r="R551" s="303"/>
      <c r="S551" s="303"/>
      <c r="T551" s="303"/>
      <c r="U551" s="303"/>
      <c r="V551" s="303"/>
      <c r="W551" s="303"/>
      <c r="X551" s="303"/>
      <c r="Y551" s="303"/>
      <c r="Z551" s="303"/>
    </row>
    <row r="552">
      <c r="A552" s="303"/>
      <c r="B552" s="303"/>
      <c r="C552" s="303"/>
      <c r="D552" s="303"/>
      <c r="E552" s="303"/>
      <c r="F552" s="303"/>
      <c r="G552" s="303"/>
      <c r="H552" s="303"/>
      <c r="I552" s="303"/>
      <c r="J552" s="303"/>
      <c r="K552" s="303"/>
      <c r="L552" s="303"/>
      <c r="M552" s="303"/>
      <c r="N552" s="303"/>
      <c r="O552" s="303"/>
      <c r="P552" s="303"/>
      <c r="Q552" s="303"/>
      <c r="R552" s="303"/>
      <c r="S552" s="303"/>
      <c r="T552" s="303"/>
      <c r="U552" s="303"/>
      <c r="V552" s="303"/>
      <c r="W552" s="303"/>
      <c r="X552" s="303"/>
      <c r="Y552" s="303"/>
      <c r="Z552" s="303"/>
    </row>
    <row r="553">
      <c r="A553" s="303"/>
      <c r="B553" s="303"/>
      <c r="C553" s="303"/>
      <c r="D553" s="303"/>
      <c r="E553" s="303"/>
      <c r="F553" s="303"/>
      <c r="G553" s="303"/>
      <c r="H553" s="303"/>
      <c r="I553" s="303"/>
      <c r="J553" s="303"/>
      <c r="K553" s="303"/>
      <c r="L553" s="303"/>
      <c r="M553" s="303"/>
      <c r="N553" s="303"/>
      <c r="O553" s="303"/>
      <c r="P553" s="303"/>
      <c r="Q553" s="303"/>
      <c r="R553" s="303"/>
      <c r="S553" s="303"/>
      <c r="T553" s="303"/>
      <c r="U553" s="303"/>
      <c r="V553" s="303"/>
      <c r="W553" s="303"/>
      <c r="X553" s="303"/>
      <c r="Y553" s="303"/>
      <c r="Z553" s="303"/>
    </row>
    <row r="554">
      <c r="A554" s="303"/>
      <c r="B554" s="303"/>
      <c r="C554" s="303"/>
      <c r="D554" s="303"/>
      <c r="E554" s="303"/>
      <c r="F554" s="303"/>
      <c r="G554" s="303"/>
      <c r="H554" s="303"/>
      <c r="I554" s="303"/>
      <c r="J554" s="303"/>
      <c r="K554" s="303"/>
      <c r="L554" s="303"/>
      <c r="M554" s="303"/>
      <c r="N554" s="303"/>
      <c r="O554" s="303"/>
      <c r="P554" s="303"/>
      <c r="Q554" s="303"/>
      <c r="R554" s="303"/>
      <c r="S554" s="303"/>
      <c r="T554" s="303"/>
      <c r="U554" s="303"/>
      <c r="V554" s="303"/>
      <c r="W554" s="303"/>
      <c r="X554" s="303"/>
      <c r="Y554" s="303"/>
      <c r="Z554" s="303"/>
    </row>
    <row r="555">
      <c r="A555" s="303"/>
      <c r="B555" s="303"/>
      <c r="C555" s="303"/>
      <c r="D555" s="303"/>
      <c r="E555" s="303"/>
      <c r="F555" s="303"/>
      <c r="G555" s="303"/>
      <c r="H555" s="303"/>
      <c r="I555" s="303"/>
      <c r="J555" s="303"/>
      <c r="K555" s="303"/>
      <c r="L555" s="303"/>
      <c r="M555" s="303"/>
      <c r="N555" s="303"/>
      <c r="O555" s="303"/>
      <c r="P555" s="303"/>
      <c r="Q555" s="303"/>
      <c r="R555" s="303"/>
      <c r="S555" s="303"/>
      <c r="T555" s="303"/>
      <c r="U555" s="303"/>
      <c r="V555" s="303"/>
      <c r="W555" s="303"/>
      <c r="X555" s="303"/>
      <c r="Y555" s="303"/>
      <c r="Z555" s="303"/>
    </row>
    <row r="556">
      <c r="A556" s="303"/>
      <c r="B556" s="303"/>
      <c r="C556" s="303"/>
      <c r="D556" s="303"/>
      <c r="E556" s="303"/>
      <c r="F556" s="303"/>
      <c r="G556" s="303"/>
      <c r="H556" s="303"/>
      <c r="I556" s="303"/>
      <c r="J556" s="303"/>
      <c r="K556" s="303"/>
      <c r="L556" s="303"/>
      <c r="M556" s="303"/>
      <c r="N556" s="303"/>
      <c r="O556" s="303"/>
      <c r="P556" s="303"/>
      <c r="Q556" s="303"/>
      <c r="R556" s="303"/>
      <c r="S556" s="303"/>
      <c r="T556" s="303"/>
      <c r="U556" s="303"/>
      <c r="V556" s="303"/>
      <c r="W556" s="303"/>
      <c r="X556" s="303"/>
      <c r="Y556" s="303"/>
      <c r="Z556" s="303"/>
    </row>
    <row r="557">
      <c r="A557" s="303"/>
      <c r="B557" s="303"/>
      <c r="C557" s="303"/>
      <c r="D557" s="303"/>
      <c r="E557" s="303"/>
      <c r="F557" s="303"/>
      <c r="G557" s="303"/>
      <c r="H557" s="303"/>
      <c r="I557" s="303"/>
      <c r="J557" s="303"/>
      <c r="K557" s="303"/>
      <c r="L557" s="303"/>
      <c r="M557" s="303"/>
      <c r="N557" s="303"/>
      <c r="O557" s="303"/>
      <c r="P557" s="303"/>
      <c r="Q557" s="303"/>
      <c r="R557" s="303"/>
      <c r="S557" s="303"/>
      <c r="T557" s="303"/>
      <c r="U557" s="303"/>
      <c r="V557" s="303"/>
      <c r="W557" s="303"/>
      <c r="X557" s="303"/>
      <c r="Y557" s="303"/>
      <c r="Z557" s="303"/>
    </row>
    <row r="558">
      <c r="A558" s="303"/>
      <c r="B558" s="303"/>
      <c r="C558" s="303"/>
      <c r="D558" s="303"/>
      <c r="E558" s="303"/>
      <c r="F558" s="303"/>
      <c r="G558" s="303"/>
      <c r="H558" s="303"/>
      <c r="I558" s="303"/>
      <c r="J558" s="303"/>
      <c r="K558" s="303"/>
      <c r="L558" s="303"/>
      <c r="M558" s="303"/>
      <c r="N558" s="303"/>
      <c r="O558" s="303"/>
      <c r="P558" s="303"/>
      <c r="Q558" s="303"/>
      <c r="R558" s="303"/>
      <c r="S558" s="303"/>
      <c r="T558" s="303"/>
      <c r="U558" s="303"/>
      <c r="V558" s="303"/>
      <c r="W558" s="303"/>
      <c r="X558" s="303"/>
      <c r="Y558" s="303"/>
      <c r="Z558" s="303"/>
    </row>
    <row r="559">
      <c r="A559" s="303"/>
      <c r="B559" s="303"/>
      <c r="C559" s="303"/>
      <c r="D559" s="303"/>
      <c r="E559" s="303"/>
      <c r="F559" s="303"/>
      <c r="G559" s="303"/>
      <c r="H559" s="303"/>
      <c r="I559" s="303"/>
      <c r="J559" s="303"/>
      <c r="K559" s="303"/>
      <c r="L559" s="303"/>
      <c r="M559" s="303"/>
      <c r="N559" s="303"/>
      <c r="O559" s="303"/>
      <c r="P559" s="303"/>
      <c r="Q559" s="303"/>
      <c r="R559" s="303"/>
      <c r="S559" s="303"/>
      <c r="T559" s="303"/>
      <c r="U559" s="303"/>
      <c r="V559" s="303"/>
      <c r="W559" s="303"/>
      <c r="X559" s="303"/>
      <c r="Y559" s="303"/>
      <c r="Z559" s="303"/>
    </row>
    <row r="560">
      <c r="A560" s="303"/>
      <c r="B560" s="303"/>
      <c r="C560" s="303"/>
      <c r="D560" s="303"/>
      <c r="E560" s="303"/>
      <c r="F560" s="303"/>
      <c r="G560" s="303"/>
      <c r="H560" s="303"/>
      <c r="I560" s="303"/>
      <c r="J560" s="303"/>
      <c r="K560" s="303"/>
      <c r="L560" s="303"/>
      <c r="M560" s="303"/>
      <c r="N560" s="303"/>
      <c r="O560" s="303"/>
      <c r="P560" s="303"/>
      <c r="Q560" s="303"/>
      <c r="R560" s="303"/>
      <c r="S560" s="303"/>
      <c r="T560" s="303"/>
      <c r="U560" s="303"/>
      <c r="V560" s="303"/>
      <c r="W560" s="303"/>
      <c r="X560" s="303"/>
      <c r="Y560" s="303"/>
      <c r="Z560" s="303"/>
    </row>
    <row r="561">
      <c r="A561" s="303"/>
      <c r="B561" s="303"/>
      <c r="C561" s="303"/>
      <c r="D561" s="303"/>
      <c r="E561" s="303"/>
      <c r="F561" s="303"/>
      <c r="G561" s="303"/>
      <c r="H561" s="303"/>
      <c r="I561" s="303"/>
      <c r="J561" s="303"/>
      <c r="K561" s="303"/>
      <c r="L561" s="303"/>
      <c r="M561" s="303"/>
      <c r="N561" s="303"/>
      <c r="O561" s="303"/>
      <c r="P561" s="303"/>
      <c r="Q561" s="303"/>
      <c r="R561" s="303"/>
      <c r="S561" s="303"/>
      <c r="T561" s="303"/>
      <c r="U561" s="303"/>
      <c r="V561" s="303"/>
      <c r="W561" s="303"/>
      <c r="X561" s="303"/>
      <c r="Y561" s="303"/>
      <c r="Z561" s="303"/>
    </row>
    <row r="562">
      <c r="A562" s="303"/>
      <c r="B562" s="303"/>
      <c r="C562" s="303"/>
      <c r="D562" s="303"/>
      <c r="E562" s="303"/>
      <c r="F562" s="303"/>
      <c r="G562" s="303"/>
      <c r="H562" s="303"/>
      <c r="I562" s="303"/>
      <c r="J562" s="303"/>
      <c r="K562" s="303"/>
      <c r="L562" s="303"/>
      <c r="M562" s="303"/>
      <c r="N562" s="303"/>
      <c r="O562" s="303"/>
      <c r="P562" s="303"/>
      <c r="Q562" s="303"/>
      <c r="R562" s="303"/>
      <c r="S562" s="303"/>
      <c r="T562" s="303"/>
      <c r="U562" s="303"/>
      <c r="V562" s="303"/>
      <c r="W562" s="303"/>
      <c r="X562" s="303"/>
      <c r="Y562" s="303"/>
      <c r="Z562" s="303"/>
    </row>
    <row r="563">
      <c r="A563" s="303"/>
      <c r="B563" s="303"/>
      <c r="C563" s="303"/>
      <c r="D563" s="303"/>
      <c r="E563" s="303"/>
      <c r="F563" s="303"/>
      <c r="G563" s="303"/>
      <c r="H563" s="303"/>
      <c r="I563" s="303"/>
      <c r="J563" s="303"/>
      <c r="K563" s="303"/>
      <c r="L563" s="303"/>
      <c r="M563" s="303"/>
      <c r="N563" s="303"/>
      <c r="O563" s="303"/>
      <c r="P563" s="303"/>
      <c r="Q563" s="303"/>
      <c r="R563" s="303"/>
      <c r="S563" s="303"/>
      <c r="T563" s="303"/>
      <c r="U563" s="303"/>
      <c r="V563" s="303"/>
      <c r="W563" s="303"/>
      <c r="X563" s="303"/>
      <c r="Y563" s="303"/>
      <c r="Z563" s="303"/>
    </row>
    <row r="564">
      <c r="A564" s="303"/>
      <c r="B564" s="303"/>
      <c r="C564" s="303"/>
      <c r="D564" s="303"/>
      <c r="E564" s="303"/>
      <c r="F564" s="303"/>
      <c r="G564" s="303"/>
      <c r="H564" s="303"/>
      <c r="I564" s="303"/>
      <c r="J564" s="303"/>
      <c r="K564" s="303"/>
      <c r="L564" s="303"/>
      <c r="M564" s="303"/>
      <c r="N564" s="303"/>
      <c r="O564" s="303"/>
      <c r="P564" s="303"/>
      <c r="Q564" s="303"/>
      <c r="R564" s="303"/>
      <c r="S564" s="303"/>
      <c r="T564" s="303"/>
      <c r="U564" s="303"/>
      <c r="V564" s="303"/>
      <c r="W564" s="303"/>
      <c r="X564" s="303"/>
      <c r="Y564" s="303"/>
      <c r="Z564" s="303"/>
    </row>
    <row r="565">
      <c r="A565" s="303"/>
      <c r="B565" s="303"/>
      <c r="C565" s="303"/>
      <c r="D565" s="303"/>
      <c r="E565" s="303"/>
      <c r="F565" s="303"/>
      <c r="G565" s="303"/>
      <c r="H565" s="303"/>
      <c r="I565" s="303"/>
      <c r="J565" s="303"/>
      <c r="K565" s="303"/>
      <c r="L565" s="303"/>
      <c r="M565" s="303"/>
      <c r="N565" s="303"/>
      <c r="O565" s="303"/>
      <c r="P565" s="303"/>
      <c r="Q565" s="303"/>
      <c r="R565" s="303"/>
      <c r="S565" s="303"/>
      <c r="T565" s="303"/>
      <c r="U565" s="303"/>
      <c r="V565" s="303"/>
      <c r="W565" s="303"/>
      <c r="X565" s="303"/>
      <c r="Y565" s="303"/>
      <c r="Z565" s="303"/>
    </row>
    <row r="566">
      <c r="A566" s="303"/>
      <c r="B566" s="303"/>
      <c r="C566" s="303"/>
      <c r="D566" s="303"/>
      <c r="E566" s="303"/>
      <c r="F566" s="303"/>
      <c r="G566" s="303"/>
      <c r="H566" s="303"/>
      <c r="I566" s="303"/>
      <c r="J566" s="303"/>
      <c r="K566" s="303"/>
      <c r="L566" s="303"/>
      <c r="M566" s="303"/>
      <c r="N566" s="303"/>
      <c r="O566" s="303"/>
      <c r="P566" s="303"/>
      <c r="Q566" s="303"/>
      <c r="R566" s="303"/>
      <c r="S566" s="303"/>
      <c r="T566" s="303"/>
      <c r="U566" s="303"/>
      <c r="V566" s="303"/>
      <c r="W566" s="303"/>
      <c r="X566" s="303"/>
      <c r="Y566" s="303"/>
      <c r="Z566" s="303"/>
    </row>
    <row r="567">
      <c r="A567" s="303"/>
      <c r="B567" s="303"/>
      <c r="C567" s="303"/>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row>
    <row r="568">
      <c r="A568" s="303"/>
      <c r="B568" s="303"/>
      <c r="C568" s="303"/>
      <c r="D568" s="303"/>
      <c r="E568" s="303"/>
      <c r="F568" s="303"/>
      <c r="G568" s="303"/>
      <c r="H568" s="303"/>
      <c r="I568" s="303"/>
      <c r="J568" s="303"/>
      <c r="K568" s="303"/>
      <c r="L568" s="303"/>
      <c r="M568" s="303"/>
      <c r="N568" s="303"/>
      <c r="O568" s="303"/>
      <c r="P568" s="303"/>
      <c r="Q568" s="303"/>
      <c r="R568" s="303"/>
      <c r="S568" s="303"/>
      <c r="T568" s="303"/>
      <c r="U568" s="303"/>
      <c r="V568" s="303"/>
      <c r="W568" s="303"/>
      <c r="X568" s="303"/>
      <c r="Y568" s="303"/>
      <c r="Z568" s="303"/>
    </row>
    <row r="569">
      <c r="A569" s="303"/>
      <c r="B569" s="303"/>
      <c r="C569" s="303"/>
      <c r="D569" s="303"/>
      <c r="E569" s="303"/>
      <c r="F569" s="303"/>
      <c r="G569" s="303"/>
      <c r="H569" s="303"/>
      <c r="I569" s="303"/>
      <c r="J569" s="303"/>
      <c r="K569" s="303"/>
      <c r="L569" s="303"/>
      <c r="M569" s="303"/>
      <c r="N569" s="303"/>
      <c r="O569" s="303"/>
      <c r="P569" s="303"/>
      <c r="Q569" s="303"/>
      <c r="R569" s="303"/>
      <c r="S569" s="303"/>
      <c r="T569" s="303"/>
      <c r="U569" s="303"/>
      <c r="V569" s="303"/>
      <c r="W569" s="303"/>
      <c r="X569" s="303"/>
      <c r="Y569" s="303"/>
      <c r="Z569" s="303"/>
    </row>
    <row r="570">
      <c r="A570" s="303"/>
      <c r="B570" s="303"/>
      <c r="C570" s="303"/>
      <c r="D570" s="303"/>
      <c r="E570" s="303"/>
      <c r="F570" s="303"/>
      <c r="G570" s="303"/>
      <c r="H570" s="303"/>
      <c r="I570" s="303"/>
      <c r="J570" s="303"/>
      <c r="K570" s="303"/>
      <c r="L570" s="303"/>
      <c r="M570" s="303"/>
      <c r="N570" s="303"/>
      <c r="O570" s="303"/>
      <c r="P570" s="303"/>
      <c r="Q570" s="303"/>
      <c r="R570" s="303"/>
      <c r="S570" s="303"/>
      <c r="T570" s="303"/>
      <c r="U570" s="303"/>
      <c r="V570" s="303"/>
      <c r="W570" s="303"/>
      <c r="X570" s="303"/>
      <c r="Y570" s="303"/>
      <c r="Z570" s="303"/>
    </row>
    <row r="571">
      <c r="A571" s="303"/>
      <c r="B571" s="303"/>
      <c r="C571" s="303"/>
      <c r="D571" s="303"/>
      <c r="E571" s="303"/>
      <c r="F571" s="303"/>
      <c r="G571" s="303"/>
      <c r="H571" s="303"/>
      <c r="I571" s="303"/>
      <c r="J571" s="303"/>
      <c r="K571" s="303"/>
      <c r="L571" s="303"/>
      <c r="M571" s="303"/>
      <c r="N571" s="303"/>
      <c r="O571" s="303"/>
      <c r="P571" s="303"/>
      <c r="Q571" s="303"/>
      <c r="R571" s="303"/>
      <c r="S571" s="303"/>
      <c r="T571" s="303"/>
      <c r="U571" s="303"/>
      <c r="V571" s="303"/>
      <c r="W571" s="303"/>
      <c r="X571" s="303"/>
      <c r="Y571" s="303"/>
      <c r="Z571" s="303"/>
    </row>
    <row r="572">
      <c r="A572" s="303"/>
      <c r="B572" s="303"/>
      <c r="C572" s="303"/>
      <c r="D572" s="303"/>
      <c r="E572" s="303"/>
      <c r="F572" s="303"/>
      <c r="G572" s="303"/>
      <c r="H572" s="303"/>
      <c r="I572" s="303"/>
      <c r="J572" s="303"/>
      <c r="K572" s="303"/>
      <c r="L572" s="303"/>
      <c r="M572" s="303"/>
      <c r="N572" s="303"/>
      <c r="O572" s="303"/>
      <c r="P572" s="303"/>
      <c r="Q572" s="303"/>
      <c r="R572" s="303"/>
      <c r="S572" s="303"/>
      <c r="T572" s="303"/>
      <c r="U572" s="303"/>
      <c r="V572" s="303"/>
      <c r="W572" s="303"/>
      <c r="X572" s="303"/>
      <c r="Y572" s="303"/>
      <c r="Z572" s="303"/>
    </row>
    <row r="573">
      <c r="A573" s="303"/>
      <c r="B573" s="303"/>
      <c r="C573" s="303"/>
      <c r="D573" s="303"/>
      <c r="E573" s="303"/>
      <c r="F573" s="303"/>
      <c r="G573" s="303"/>
      <c r="H573" s="303"/>
      <c r="I573" s="303"/>
      <c r="J573" s="303"/>
      <c r="K573" s="303"/>
      <c r="L573" s="303"/>
      <c r="M573" s="303"/>
      <c r="N573" s="303"/>
      <c r="O573" s="303"/>
      <c r="P573" s="303"/>
      <c r="Q573" s="303"/>
      <c r="R573" s="303"/>
      <c r="S573" s="303"/>
      <c r="T573" s="303"/>
      <c r="U573" s="303"/>
      <c r="V573" s="303"/>
      <c r="W573" s="303"/>
      <c r="X573" s="303"/>
      <c r="Y573" s="303"/>
      <c r="Z573" s="303"/>
    </row>
    <row r="574">
      <c r="A574" s="303"/>
      <c r="B574" s="303"/>
      <c r="C574" s="303"/>
      <c r="D574" s="303"/>
      <c r="E574" s="303"/>
      <c r="F574" s="303"/>
      <c r="G574" s="303"/>
      <c r="H574" s="303"/>
      <c r="I574" s="303"/>
      <c r="J574" s="303"/>
      <c r="K574" s="303"/>
      <c r="L574" s="303"/>
      <c r="M574" s="303"/>
      <c r="N574" s="303"/>
      <c r="O574" s="303"/>
      <c r="P574" s="303"/>
      <c r="Q574" s="303"/>
      <c r="R574" s="303"/>
      <c r="S574" s="303"/>
      <c r="T574" s="303"/>
      <c r="U574" s="303"/>
      <c r="V574" s="303"/>
      <c r="W574" s="303"/>
      <c r="X574" s="303"/>
      <c r="Y574" s="303"/>
      <c r="Z574" s="303"/>
    </row>
    <row r="575">
      <c r="A575" s="303"/>
      <c r="B575" s="303"/>
      <c r="C575" s="303"/>
      <c r="D575" s="303"/>
      <c r="E575" s="303"/>
      <c r="F575" s="303"/>
      <c r="G575" s="303"/>
      <c r="H575" s="303"/>
      <c r="I575" s="303"/>
      <c r="J575" s="303"/>
      <c r="K575" s="303"/>
      <c r="L575" s="303"/>
      <c r="M575" s="303"/>
      <c r="N575" s="303"/>
      <c r="O575" s="303"/>
      <c r="P575" s="303"/>
      <c r="Q575" s="303"/>
      <c r="R575" s="303"/>
      <c r="S575" s="303"/>
      <c r="T575" s="303"/>
      <c r="U575" s="303"/>
      <c r="V575" s="303"/>
      <c r="W575" s="303"/>
      <c r="X575" s="303"/>
      <c r="Y575" s="303"/>
      <c r="Z575" s="303"/>
    </row>
    <row r="576">
      <c r="A576" s="303"/>
      <c r="B576" s="303"/>
      <c r="C576" s="303"/>
      <c r="D576" s="303"/>
      <c r="E576" s="303"/>
      <c r="F576" s="303"/>
      <c r="G576" s="303"/>
      <c r="H576" s="303"/>
      <c r="I576" s="303"/>
      <c r="J576" s="303"/>
      <c r="K576" s="303"/>
      <c r="L576" s="303"/>
      <c r="M576" s="303"/>
      <c r="N576" s="303"/>
      <c r="O576" s="303"/>
      <c r="P576" s="303"/>
      <c r="Q576" s="303"/>
      <c r="R576" s="303"/>
      <c r="S576" s="303"/>
      <c r="T576" s="303"/>
      <c r="U576" s="303"/>
      <c r="V576" s="303"/>
      <c r="W576" s="303"/>
      <c r="X576" s="303"/>
      <c r="Y576" s="303"/>
      <c r="Z576" s="303"/>
    </row>
    <row r="577">
      <c r="A577" s="303"/>
      <c r="B577" s="303"/>
      <c r="C577" s="303"/>
      <c r="D577" s="303"/>
      <c r="E577" s="303"/>
      <c r="F577" s="303"/>
      <c r="G577" s="303"/>
      <c r="H577" s="303"/>
      <c r="I577" s="303"/>
      <c r="J577" s="303"/>
      <c r="K577" s="303"/>
      <c r="L577" s="303"/>
      <c r="M577" s="303"/>
      <c r="N577" s="303"/>
      <c r="O577" s="303"/>
      <c r="P577" s="303"/>
      <c r="Q577" s="303"/>
      <c r="R577" s="303"/>
      <c r="S577" s="303"/>
      <c r="T577" s="303"/>
      <c r="U577" s="303"/>
      <c r="V577" s="303"/>
      <c r="W577" s="303"/>
      <c r="X577" s="303"/>
      <c r="Y577" s="303"/>
      <c r="Z577" s="303"/>
    </row>
    <row r="578">
      <c r="A578" s="303"/>
      <c r="B578" s="303"/>
      <c r="C578" s="303"/>
      <c r="D578" s="303"/>
      <c r="E578" s="303"/>
      <c r="F578" s="303"/>
      <c r="G578" s="303"/>
      <c r="H578" s="303"/>
      <c r="I578" s="303"/>
      <c r="J578" s="303"/>
      <c r="K578" s="303"/>
      <c r="L578" s="303"/>
      <c r="M578" s="303"/>
      <c r="N578" s="303"/>
      <c r="O578" s="303"/>
      <c r="P578" s="303"/>
      <c r="Q578" s="303"/>
      <c r="R578" s="303"/>
      <c r="S578" s="303"/>
      <c r="T578" s="303"/>
      <c r="U578" s="303"/>
      <c r="V578" s="303"/>
      <c r="W578" s="303"/>
      <c r="X578" s="303"/>
      <c r="Y578" s="303"/>
      <c r="Z578" s="303"/>
    </row>
    <row r="579">
      <c r="A579" s="303"/>
      <c r="B579" s="303"/>
      <c r="C579" s="303"/>
      <c r="D579" s="303"/>
      <c r="E579" s="303"/>
      <c r="F579" s="303"/>
      <c r="G579" s="303"/>
      <c r="H579" s="303"/>
      <c r="I579" s="303"/>
      <c r="J579" s="303"/>
      <c r="K579" s="303"/>
      <c r="L579" s="303"/>
      <c r="M579" s="303"/>
      <c r="N579" s="303"/>
      <c r="O579" s="303"/>
      <c r="P579" s="303"/>
      <c r="Q579" s="303"/>
      <c r="R579" s="303"/>
      <c r="S579" s="303"/>
      <c r="T579" s="303"/>
      <c r="U579" s="303"/>
      <c r="V579" s="303"/>
      <c r="W579" s="303"/>
      <c r="X579" s="303"/>
      <c r="Y579" s="303"/>
      <c r="Z579" s="303"/>
    </row>
    <row r="580">
      <c r="A580" s="303"/>
      <c r="B580" s="303"/>
      <c r="C580" s="303"/>
      <c r="D580" s="303"/>
      <c r="E580" s="303"/>
      <c r="F580" s="303"/>
      <c r="G580" s="303"/>
      <c r="H580" s="303"/>
      <c r="I580" s="303"/>
      <c r="J580" s="303"/>
      <c r="K580" s="303"/>
      <c r="L580" s="303"/>
      <c r="M580" s="303"/>
      <c r="N580" s="303"/>
      <c r="O580" s="303"/>
      <c r="P580" s="303"/>
      <c r="Q580" s="303"/>
      <c r="R580" s="303"/>
      <c r="S580" s="303"/>
      <c r="T580" s="303"/>
      <c r="U580" s="303"/>
      <c r="V580" s="303"/>
      <c r="W580" s="303"/>
      <c r="X580" s="303"/>
      <c r="Y580" s="303"/>
      <c r="Z580" s="303"/>
    </row>
    <row r="581">
      <c r="A581" s="303"/>
      <c r="B581" s="303"/>
      <c r="C581" s="303"/>
      <c r="D581" s="303"/>
      <c r="E581" s="303"/>
      <c r="F581" s="303"/>
      <c r="G581" s="303"/>
      <c r="H581" s="303"/>
      <c r="I581" s="303"/>
      <c r="J581" s="303"/>
      <c r="K581" s="303"/>
      <c r="L581" s="303"/>
      <c r="M581" s="303"/>
      <c r="N581" s="303"/>
      <c r="O581" s="303"/>
      <c r="P581" s="303"/>
      <c r="Q581" s="303"/>
      <c r="R581" s="303"/>
      <c r="S581" s="303"/>
      <c r="T581" s="303"/>
      <c r="U581" s="303"/>
      <c r="V581" s="303"/>
      <c r="W581" s="303"/>
      <c r="X581" s="303"/>
      <c r="Y581" s="303"/>
      <c r="Z581" s="303"/>
    </row>
    <row r="582">
      <c r="A582" s="303"/>
      <c r="B582" s="303"/>
      <c r="C582" s="303"/>
      <c r="D582" s="303"/>
      <c r="E582" s="303"/>
      <c r="F582" s="303"/>
      <c r="G582" s="303"/>
      <c r="H582" s="303"/>
      <c r="I582" s="303"/>
      <c r="J582" s="303"/>
      <c r="K582" s="303"/>
      <c r="L582" s="303"/>
      <c r="M582" s="303"/>
      <c r="N582" s="303"/>
      <c r="O582" s="303"/>
      <c r="P582" s="303"/>
      <c r="Q582" s="303"/>
      <c r="R582" s="303"/>
      <c r="S582" s="303"/>
      <c r="T582" s="303"/>
      <c r="U582" s="303"/>
      <c r="V582" s="303"/>
      <c r="W582" s="303"/>
      <c r="X582" s="303"/>
      <c r="Y582" s="303"/>
      <c r="Z582" s="303"/>
    </row>
    <row r="583">
      <c r="A583" s="303"/>
      <c r="B583" s="303"/>
      <c r="C583" s="303"/>
      <c r="D583" s="303"/>
      <c r="E583" s="303"/>
      <c r="F583" s="303"/>
      <c r="G583" s="303"/>
      <c r="H583" s="303"/>
      <c r="I583" s="303"/>
      <c r="J583" s="303"/>
      <c r="K583" s="303"/>
      <c r="L583" s="303"/>
      <c r="M583" s="303"/>
      <c r="N583" s="303"/>
      <c r="O583" s="303"/>
      <c r="P583" s="303"/>
      <c r="Q583" s="303"/>
      <c r="R583" s="303"/>
      <c r="S583" s="303"/>
      <c r="T583" s="303"/>
      <c r="U583" s="303"/>
      <c r="V583" s="303"/>
      <c r="W583" s="303"/>
      <c r="X583" s="303"/>
      <c r="Y583" s="303"/>
      <c r="Z583" s="303"/>
    </row>
    <row r="584">
      <c r="A584" s="303"/>
      <c r="B584" s="303"/>
      <c r="C584" s="303"/>
      <c r="D584" s="303"/>
      <c r="E584" s="303"/>
      <c r="F584" s="303"/>
      <c r="G584" s="303"/>
      <c r="H584" s="303"/>
      <c r="I584" s="303"/>
      <c r="J584" s="303"/>
      <c r="K584" s="303"/>
      <c r="L584" s="303"/>
      <c r="M584" s="303"/>
      <c r="N584" s="303"/>
      <c r="O584" s="303"/>
      <c r="P584" s="303"/>
      <c r="Q584" s="303"/>
      <c r="R584" s="303"/>
      <c r="S584" s="303"/>
      <c r="T584" s="303"/>
      <c r="U584" s="303"/>
      <c r="V584" s="303"/>
      <c r="W584" s="303"/>
      <c r="X584" s="303"/>
      <c r="Y584" s="303"/>
      <c r="Z584" s="303"/>
    </row>
    <row r="585">
      <c r="A585" s="303"/>
      <c r="B585" s="303"/>
      <c r="C585" s="303"/>
      <c r="D585" s="303"/>
      <c r="E585" s="303"/>
      <c r="F585" s="303"/>
      <c r="G585" s="303"/>
      <c r="H585" s="303"/>
      <c r="I585" s="303"/>
      <c r="J585" s="303"/>
      <c r="K585" s="303"/>
      <c r="L585" s="303"/>
      <c r="M585" s="303"/>
      <c r="N585" s="303"/>
      <c r="O585" s="303"/>
      <c r="P585" s="303"/>
      <c r="Q585" s="303"/>
      <c r="R585" s="303"/>
      <c r="S585" s="303"/>
      <c r="T585" s="303"/>
      <c r="U585" s="303"/>
      <c r="V585" s="303"/>
      <c r="W585" s="303"/>
      <c r="X585" s="303"/>
      <c r="Y585" s="303"/>
      <c r="Z585" s="303"/>
    </row>
    <row r="586">
      <c r="A586" s="303"/>
      <c r="B586" s="303"/>
      <c r="C586" s="303"/>
      <c r="D586" s="303"/>
      <c r="E586" s="303"/>
      <c r="F586" s="303"/>
      <c r="G586" s="303"/>
      <c r="H586" s="303"/>
      <c r="I586" s="303"/>
      <c r="J586" s="303"/>
      <c r="K586" s="303"/>
      <c r="L586" s="303"/>
      <c r="M586" s="303"/>
      <c r="N586" s="303"/>
      <c r="O586" s="303"/>
      <c r="P586" s="303"/>
      <c r="Q586" s="303"/>
      <c r="R586" s="303"/>
      <c r="S586" s="303"/>
      <c r="T586" s="303"/>
      <c r="U586" s="303"/>
      <c r="V586" s="303"/>
      <c r="W586" s="303"/>
      <c r="X586" s="303"/>
      <c r="Y586" s="303"/>
      <c r="Z586" s="303"/>
    </row>
    <row r="587">
      <c r="A587" s="303"/>
      <c r="B587" s="303"/>
      <c r="C587" s="303"/>
      <c r="D587" s="303"/>
      <c r="E587" s="303"/>
      <c r="F587" s="303"/>
      <c r="G587" s="303"/>
      <c r="H587" s="303"/>
      <c r="I587" s="303"/>
      <c r="J587" s="303"/>
      <c r="K587" s="303"/>
      <c r="L587" s="303"/>
      <c r="M587" s="303"/>
      <c r="N587" s="303"/>
      <c r="O587" s="303"/>
      <c r="P587" s="303"/>
      <c r="Q587" s="303"/>
      <c r="R587" s="303"/>
      <c r="S587" s="303"/>
      <c r="T587" s="303"/>
      <c r="U587" s="303"/>
      <c r="V587" s="303"/>
      <c r="W587" s="303"/>
      <c r="X587" s="303"/>
      <c r="Y587" s="303"/>
      <c r="Z587" s="303"/>
    </row>
    <row r="588">
      <c r="A588" s="303"/>
      <c r="B588" s="303"/>
      <c r="C588" s="303"/>
      <c r="D588" s="303"/>
      <c r="E588" s="303"/>
      <c r="F588" s="303"/>
      <c r="G588" s="303"/>
      <c r="H588" s="303"/>
      <c r="I588" s="303"/>
      <c r="J588" s="303"/>
      <c r="K588" s="303"/>
      <c r="L588" s="303"/>
      <c r="M588" s="303"/>
      <c r="N588" s="303"/>
      <c r="O588" s="303"/>
      <c r="P588" s="303"/>
      <c r="Q588" s="303"/>
      <c r="R588" s="303"/>
      <c r="S588" s="303"/>
      <c r="T588" s="303"/>
      <c r="U588" s="303"/>
      <c r="V588" s="303"/>
      <c r="W588" s="303"/>
      <c r="X588" s="303"/>
      <c r="Y588" s="303"/>
      <c r="Z588" s="303"/>
    </row>
    <row r="589">
      <c r="A589" s="303"/>
      <c r="B589" s="303"/>
      <c r="C589" s="303"/>
      <c r="D589" s="303"/>
      <c r="E589" s="303"/>
      <c r="F589" s="303"/>
      <c r="G589" s="303"/>
      <c r="H589" s="303"/>
      <c r="I589" s="303"/>
      <c r="J589" s="303"/>
      <c r="K589" s="303"/>
      <c r="L589" s="303"/>
      <c r="M589" s="303"/>
      <c r="N589" s="303"/>
      <c r="O589" s="303"/>
      <c r="P589" s="303"/>
      <c r="Q589" s="303"/>
      <c r="R589" s="303"/>
      <c r="S589" s="303"/>
      <c r="T589" s="303"/>
      <c r="U589" s="303"/>
      <c r="V589" s="303"/>
      <c r="W589" s="303"/>
      <c r="X589" s="303"/>
      <c r="Y589" s="303"/>
      <c r="Z589" s="303"/>
    </row>
    <row r="590">
      <c r="A590" s="303"/>
      <c r="B590" s="303"/>
      <c r="C590" s="303"/>
      <c r="D590" s="303"/>
      <c r="E590" s="303"/>
      <c r="F590" s="303"/>
      <c r="G590" s="303"/>
      <c r="H590" s="303"/>
      <c r="I590" s="303"/>
      <c r="J590" s="303"/>
      <c r="K590" s="303"/>
      <c r="L590" s="303"/>
      <c r="M590" s="303"/>
      <c r="N590" s="303"/>
      <c r="O590" s="303"/>
      <c r="P590" s="303"/>
      <c r="Q590" s="303"/>
      <c r="R590" s="303"/>
      <c r="S590" s="303"/>
      <c r="T590" s="303"/>
      <c r="U590" s="303"/>
      <c r="V590" s="303"/>
      <c r="W590" s="303"/>
      <c r="X590" s="303"/>
      <c r="Y590" s="303"/>
      <c r="Z590" s="303"/>
    </row>
    <row r="591">
      <c r="A591" s="303"/>
      <c r="B591" s="303"/>
      <c r="C591" s="303"/>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row>
    <row r="592">
      <c r="A592" s="303"/>
      <c r="B592" s="303"/>
      <c r="C592" s="303"/>
      <c r="D592" s="303"/>
      <c r="E592" s="303"/>
      <c r="F592" s="303"/>
      <c r="G592" s="303"/>
      <c r="H592" s="303"/>
      <c r="I592" s="303"/>
      <c r="J592" s="303"/>
      <c r="K592" s="303"/>
      <c r="L592" s="303"/>
      <c r="M592" s="303"/>
      <c r="N592" s="303"/>
      <c r="O592" s="303"/>
      <c r="P592" s="303"/>
      <c r="Q592" s="303"/>
      <c r="R592" s="303"/>
      <c r="S592" s="303"/>
      <c r="T592" s="303"/>
      <c r="U592" s="303"/>
      <c r="V592" s="303"/>
      <c r="W592" s="303"/>
      <c r="X592" s="303"/>
      <c r="Y592" s="303"/>
      <c r="Z592" s="303"/>
    </row>
    <row r="593">
      <c r="A593" s="303"/>
      <c r="B593" s="303"/>
      <c r="C593" s="303"/>
      <c r="D593" s="303"/>
      <c r="E593" s="303"/>
      <c r="F593" s="303"/>
      <c r="G593" s="303"/>
      <c r="H593" s="303"/>
      <c r="I593" s="303"/>
      <c r="J593" s="303"/>
      <c r="K593" s="303"/>
      <c r="L593" s="303"/>
      <c r="M593" s="303"/>
      <c r="N593" s="303"/>
      <c r="O593" s="303"/>
      <c r="P593" s="303"/>
      <c r="Q593" s="303"/>
      <c r="R593" s="303"/>
      <c r="S593" s="303"/>
      <c r="T593" s="303"/>
      <c r="U593" s="303"/>
      <c r="V593" s="303"/>
      <c r="W593" s="303"/>
      <c r="X593" s="303"/>
      <c r="Y593" s="303"/>
      <c r="Z593" s="303"/>
    </row>
    <row r="594">
      <c r="A594" s="303"/>
      <c r="B594" s="303"/>
      <c r="C594" s="303"/>
      <c r="D594" s="303"/>
      <c r="E594" s="303"/>
      <c r="F594" s="303"/>
      <c r="G594" s="303"/>
      <c r="H594" s="303"/>
      <c r="I594" s="303"/>
      <c r="J594" s="303"/>
      <c r="K594" s="303"/>
      <c r="L594" s="303"/>
      <c r="M594" s="303"/>
      <c r="N594" s="303"/>
      <c r="O594" s="303"/>
      <c r="P594" s="303"/>
      <c r="Q594" s="303"/>
      <c r="R594" s="303"/>
      <c r="S594" s="303"/>
      <c r="T594" s="303"/>
      <c r="U594" s="303"/>
      <c r="V594" s="303"/>
      <c r="W594" s="303"/>
      <c r="X594" s="303"/>
      <c r="Y594" s="303"/>
      <c r="Z594" s="303"/>
    </row>
    <row r="595">
      <c r="A595" s="303"/>
      <c r="B595" s="303"/>
      <c r="C595" s="303"/>
      <c r="D595" s="303"/>
      <c r="E595" s="303"/>
      <c r="F595" s="303"/>
      <c r="G595" s="303"/>
      <c r="H595" s="303"/>
      <c r="I595" s="303"/>
      <c r="J595" s="303"/>
      <c r="K595" s="303"/>
      <c r="L595" s="303"/>
      <c r="M595" s="303"/>
      <c r="N595" s="303"/>
      <c r="O595" s="303"/>
      <c r="P595" s="303"/>
      <c r="Q595" s="303"/>
      <c r="R595" s="303"/>
      <c r="S595" s="303"/>
      <c r="T595" s="303"/>
      <c r="U595" s="303"/>
      <c r="V595" s="303"/>
      <c r="W595" s="303"/>
      <c r="X595" s="303"/>
      <c r="Y595" s="303"/>
      <c r="Z595" s="303"/>
    </row>
    <row r="596">
      <c r="A596" s="303"/>
      <c r="B596" s="303"/>
      <c r="C596" s="303"/>
      <c r="D596" s="303"/>
      <c r="E596" s="303"/>
      <c r="F596" s="303"/>
      <c r="G596" s="303"/>
      <c r="H596" s="303"/>
      <c r="I596" s="303"/>
      <c r="J596" s="303"/>
      <c r="K596" s="303"/>
      <c r="L596" s="303"/>
      <c r="M596" s="303"/>
      <c r="N596" s="303"/>
      <c r="O596" s="303"/>
      <c r="P596" s="303"/>
      <c r="Q596" s="303"/>
      <c r="R596" s="303"/>
      <c r="S596" s="303"/>
      <c r="T596" s="303"/>
      <c r="U596" s="303"/>
      <c r="V596" s="303"/>
      <c r="W596" s="303"/>
      <c r="X596" s="303"/>
      <c r="Y596" s="303"/>
      <c r="Z596" s="303"/>
    </row>
    <row r="597">
      <c r="A597" s="303"/>
      <c r="B597" s="303"/>
      <c r="C597" s="303"/>
      <c r="D597" s="303"/>
      <c r="E597" s="303"/>
      <c r="F597" s="303"/>
      <c r="G597" s="303"/>
      <c r="H597" s="303"/>
      <c r="I597" s="303"/>
      <c r="J597" s="303"/>
      <c r="K597" s="303"/>
      <c r="L597" s="303"/>
      <c r="M597" s="303"/>
      <c r="N597" s="303"/>
      <c r="O597" s="303"/>
      <c r="P597" s="303"/>
      <c r="Q597" s="303"/>
      <c r="R597" s="303"/>
      <c r="S597" s="303"/>
      <c r="T597" s="303"/>
      <c r="U597" s="303"/>
      <c r="V597" s="303"/>
      <c r="W597" s="303"/>
      <c r="X597" s="303"/>
      <c r="Y597" s="303"/>
      <c r="Z597" s="303"/>
    </row>
    <row r="598">
      <c r="A598" s="303"/>
      <c r="B598" s="303"/>
      <c r="C598" s="303"/>
      <c r="D598" s="303"/>
      <c r="E598" s="303"/>
      <c r="F598" s="303"/>
      <c r="G598" s="303"/>
      <c r="H598" s="303"/>
      <c r="I598" s="303"/>
      <c r="J598" s="303"/>
      <c r="K598" s="303"/>
      <c r="L598" s="303"/>
      <c r="M598" s="303"/>
      <c r="N598" s="303"/>
      <c r="O598" s="303"/>
      <c r="P598" s="303"/>
      <c r="Q598" s="303"/>
      <c r="R598" s="303"/>
      <c r="S598" s="303"/>
      <c r="T598" s="303"/>
      <c r="U598" s="303"/>
      <c r="V598" s="303"/>
      <c r="W598" s="303"/>
      <c r="X598" s="303"/>
      <c r="Y598" s="303"/>
      <c r="Z598" s="303"/>
    </row>
    <row r="599">
      <c r="A599" s="303"/>
      <c r="B599" s="303"/>
      <c r="C599" s="303"/>
      <c r="D599" s="303"/>
      <c r="E599" s="303"/>
      <c r="F599" s="303"/>
      <c r="G599" s="303"/>
      <c r="H599" s="303"/>
      <c r="I599" s="303"/>
      <c r="J599" s="303"/>
      <c r="K599" s="303"/>
      <c r="L599" s="303"/>
      <c r="M599" s="303"/>
      <c r="N599" s="303"/>
      <c r="O599" s="303"/>
      <c r="P599" s="303"/>
      <c r="Q599" s="303"/>
      <c r="R599" s="303"/>
      <c r="S599" s="303"/>
      <c r="T599" s="303"/>
      <c r="U599" s="303"/>
      <c r="V599" s="303"/>
      <c r="W599" s="303"/>
      <c r="X599" s="303"/>
      <c r="Y599" s="303"/>
      <c r="Z599" s="303"/>
    </row>
    <row r="600">
      <c r="A600" s="303"/>
      <c r="B600" s="303"/>
      <c r="C600" s="303"/>
      <c r="D600" s="303"/>
      <c r="E600" s="303"/>
      <c r="F600" s="303"/>
      <c r="G600" s="303"/>
      <c r="H600" s="303"/>
      <c r="I600" s="303"/>
      <c r="J600" s="303"/>
      <c r="K600" s="303"/>
      <c r="L600" s="303"/>
      <c r="M600" s="303"/>
      <c r="N600" s="303"/>
      <c r="O600" s="303"/>
      <c r="P600" s="303"/>
      <c r="Q600" s="303"/>
      <c r="R600" s="303"/>
      <c r="S600" s="303"/>
      <c r="T600" s="303"/>
      <c r="U600" s="303"/>
      <c r="V600" s="303"/>
      <c r="W600" s="303"/>
      <c r="X600" s="303"/>
      <c r="Y600" s="303"/>
      <c r="Z600" s="303"/>
    </row>
    <row r="601">
      <c r="A601" s="303"/>
      <c r="B601" s="303"/>
      <c r="C601" s="303"/>
      <c r="D601" s="303"/>
      <c r="E601" s="303"/>
      <c r="F601" s="303"/>
      <c r="G601" s="303"/>
      <c r="H601" s="303"/>
      <c r="I601" s="303"/>
      <c r="J601" s="303"/>
      <c r="K601" s="303"/>
      <c r="L601" s="303"/>
      <c r="M601" s="303"/>
      <c r="N601" s="303"/>
      <c r="O601" s="303"/>
      <c r="P601" s="303"/>
      <c r="Q601" s="303"/>
      <c r="R601" s="303"/>
      <c r="S601" s="303"/>
      <c r="T601" s="303"/>
      <c r="U601" s="303"/>
      <c r="V601" s="303"/>
      <c r="W601" s="303"/>
      <c r="X601" s="303"/>
      <c r="Y601" s="303"/>
      <c r="Z601" s="303"/>
    </row>
    <row r="602">
      <c r="A602" s="303"/>
      <c r="B602" s="303"/>
      <c r="C602" s="303"/>
      <c r="D602" s="303"/>
      <c r="E602" s="303"/>
      <c r="F602" s="303"/>
      <c r="G602" s="303"/>
      <c r="H602" s="303"/>
      <c r="I602" s="303"/>
      <c r="J602" s="303"/>
      <c r="K602" s="303"/>
      <c r="L602" s="303"/>
      <c r="M602" s="303"/>
      <c r="N602" s="303"/>
      <c r="O602" s="303"/>
      <c r="P602" s="303"/>
      <c r="Q602" s="303"/>
      <c r="R602" s="303"/>
      <c r="S602" s="303"/>
      <c r="T602" s="303"/>
      <c r="U602" s="303"/>
      <c r="V602" s="303"/>
      <c r="W602" s="303"/>
      <c r="X602" s="303"/>
      <c r="Y602" s="303"/>
      <c r="Z602" s="303"/>
    </row>
    <row r="603">
      <c r="A603" s="303"/>
      <c r="B603" s="303"/>
      <c r="C603" s="303"/>
      <c r="D603" s="303"/>
      <c r="E603" s="303"/>
      <c r="F603" s="303"/>
      <c r="G603" s="303"/>
      <c r="H603" s="303"/>
      <c r="I603" s="303"/>
      <c r="J603" s="303"/>
      <c r="K603" s="303"/>
      <c r="L603" s="303"/>
      <c r="M603" s="303"/>
      <c r="N603" s="303"/>
      <c r="O603" s="303"/>
      <c r="P603" s="303"/>
      <c r="Q603" s="303"/>
      <c r="R603" s="303"/>
      <c r="S603" s="303"/>
      <c r="T603" s="303"/>
      <c r="U603" s="303"/>
      <c r="V603" s="303"/>
      <c r="W603" s="303"/>
      <c r="X603" s="303"/>
      <c r="Y603" s="303"/>
      <c r="Z603" s="303"/>
    </row>
    <row r="604">
      <c r="A604" s="303"/>
      <c r="B604" s="303"/>
      <c r="C604" s="303"/>
      <c r="D604" s="303"/>
      <c r="E604" s="303"/>
      <c r="F604" s="303"/>
      <c r="G604" s="303"/>
      <c r="H604" s="303"/>
      <c r="I604" s="303"/>
      <c r="J604" s="303"/>
      <c r="K604" s="303"/>
      <c r="L604" s="303"/>
      <c r="M604" s="303"/>
      <c r="N604" s="303"/>
      <c r="O604" s="303"/>
      <c r="P604" s="303"/>
      <c r="Q604" s="303"/>
      <c r="R604" s="303"/>
      <c r="S604" s="303"/>
      <c r="T604" s="303"/>
      <c r="U604" s="303"/>
      <c r="V604" s="303"/>
      <c r="W604" s="303"/>
      <c r="X604" s="303"/>
      <c r="Y604" s="303"/>
      <c r="Z604" s="303"/>
    </row>
    <row r="605">
      <c r="A605" s="303"/>
      <c r="B605" s="303"/>
      <c r="C605" s="303"/>
      <c r="D605" s="303"/>
      <c r="E605" s="303"/>
      <c r="F605" s="303"/>
      <c r="G605" s="303"/>
      <c r="H605" s="303"/>
      <c r="I605" s="303"/>
      <c r="J605" s="303"/>
      <c r="K605" s="303"/>
      <c r="L605" s="303"/>
      <c r="M605" s="303"/>
      <c r="N605" s="303"/>
      <c r="O605" s="303"/>
      <c r="P605" s="303"/>
      <c r="Q605" s="303"/>
      <c r="R605" s="303"/>
      <c r="S605" s="303"/>
      <c r="T605" s="303"/>
      <c r="U605" s="303"/>
      <c r="V605" s="303"/>
      <c r="W605" s="303"/>
      <c r="X605" s="303"/>
      <c r="Y605" s="303"/>
      <c r="Z605" s="303"/>
    </row>
    <row r="606">
      <c r="A606" s="303"/>
      <c r="B606" s="303"/>
      <c r="C606" s="303"/>
      <c r="D606" s="303"/>
      <c r="E606" s="303"/>
      <c r="F606" s="303"/>
      <c r="G606" s="303"/>
      <c r="H606" s="303"/>
      <c r="I606" s="303"/>
      <c r="J606" s="303"/>
      <c r="K606" s="303"/>
      <c r="L606" s="303"/>
      <c r="M606" s="303"/>
      <c r="N606" s="303"/>
      <c r="O606" s="303"/>
      <c r="P606" s="303"/>
      <c r="Q606" s="303"/>
      <c r="R606" s="303"/>
      <c r="S606" s="303"/>
      <c r="T606" s="303"/>
      <c r="U606" s="303"/>
      <c r="V606" s="303"/>
      <c r="W606" s="303"/>
      <c r="X606" s="303"/>
      <c r="Y606" s="303"/>
      <c r="Z606" s="303"/>
    </row>
    <row r="607">
      <c r="A607" s="303"/>
      <c r="B607" s="303"/>
      <c r="C607" s="303"/>
      <c r="D607" s="303"/>
      <c r="E607" s="303"/>
      <c r="F607" s="303"/>
      <c r="G607" s="303"/>
      <c r="H607" s="303"/>
      <c r="I607" s="303"/>
      <c r="J607" s="303"/>
      <c r="K607" s="303"/>
      <c r="L607" s="303"/>
      <c r="M607" s="303"/>
      <c r="N607" s="303"/>
      <c r="O607" s="303"/>
      <c r="P607" s="303"/>
      <c r="Q607" s="303"/>
      <c r="R607" s="303"/>
      <c r="S607" s="303"/>
      <c r="T607" s="303"/>
      <c r="U607" s="303"/>
      <c r="V607" s="303"/>
      <c r="W607" s="303"/>
      <c r="X607" s="303"/>
      <c r="Y607" s="303"/>
      <c r="Z607" s="303"/>
    </row>
    <row r="608">
      <c r="A608" s="303"/>
      <c r="B608" s="303"/>
      <c r="C608" s="303"/>
      <c r="D608" s="303"/>
      <c r="E608" s="303"/>
      <c r="F608" s="303"/>
      <c r="G608" s="303"/>
      <c r="H608" s="303"/>
      <c r="I608" s="303"/>
      <c r="J608" s="303"/>
      <c r="K608" s="303"/>
      <c r="L608" s="303"/>
      <c r="M608" s="303"/>
      <c r="N608" s="303"/>
      <c r="O608" s="303"/>
      <c r="P608" s="303"/>
      <c r="Q608" s="303"/>
      <c r="R608" s="303"/>
      <c r="S608" s="303"/>
      <c r="T608" s="303"/>
      <c r="U608" s="303"/>
      <c r="V608" s="303"/>
      <c r="W608" s="303"/>
      <c r="X608" s="303"/>
      <c r="Y608" s="303"/>
      <c r="Z608" s="303"/>
    </row>
    <row r="609">
      <c r="A609" s="303"/>
      <c r="B609" s="303"/>
      <c r="C609" s="303"/>
      <c r="D609" s="303"/>
      <c r="E609" s="303"/>
      <c r="F609" s="303"/>
      <c r="G609" s="303"/>
      <c r="H609" s="303"/>
      <c r="I609" s="303"/>
      <c r="J609" s="303"/>
      <c r="K609" s="303"/>
      <c r="L609" s="303"/>
      <c r="M609" s="303"/>
      <c r="N609" s="303"/>
      <c r="O609" s="303"/>
      <c r="P609" s="303"/>
      <c r="Q609" s="303"/>
      <c r="R609" s="303"/>
      <c r="S609" s="303"/>
      <c r="T609" s="303"/>
      <c r="U609" s="303"/>
      <c r="V609" s="303"/>
      <c r="W609" s="303"/>
      <c r="X609" s="303"/>
      <c r="Y609" s="303"/>
      <c r="Z609" s="303"/>
    </row>
    <row r="610">
      <c r="A610" s="303"/>
      <c r="B610" s="303"/>
      <c r="C610" s="303"/>
      <c r="D610" s="303"/>
      <c r="E610" s="303"/>
      <c r="F610" s="303"/>
      <c r="G610" s="303"/>
      <c r="H610" s="303"/>
      <c r="I610" s="303"/>
      <c r="J610" s="303"/>
      <c r="K610" s="303"/>
      <c r="L610" s="303"/>
      <c r="M610" s="303"/>
      <c r="N610" s="303"/>
      <c r="O610" s="303"/>
      <c r="P610" s="303"/>
      <c r="Q610" s="303"/>
      <c r="R610" s="303"/>
      <c r="S610" s="303"/>
      <c r="T610" s="303"/>
      <c r="U610" s="303"/>
      <c r="V610" s="303"/>
      <c r="W610" s="303"/>
      <c r="X610" s="303"/>
      <c r="Y610" s="303"/>
      <c r="Z610" s="303"/>
    </row>
    <row r="611">
      <c r="A611" s="303"/>
      <c r="B611" s="303"/>
      <c r="C611" s="303"/>
      <c r="D611" s="303"/>
      <c r="E611" s="303"/>
      <c r="F611" s="303"/>
      <c r="G611" s="303"/>
      <c r="H611" s="303"/>
      <c r="I611" s="303"/>
      <c r="J611" s="303"/>
      <c r="K611" s="303"/>
      <c r="L611" s="303"/>
      <c r="M611" s="303"/>
      <c r="N611" s="303"/>
      <c r="O611" s="303"/>
      <c r="P611" s="303"/>
      <c r="Q611" s="303"/>
      <c r="R611" s="303"/>
      <c r="S611" s="303"/>
      <c r="T611" s="303"/>
      <c r="U611" s="303"/>
      <c r="V611" s="303"/>
      <c r="W611" s="303"/>
      <c r="X611" s="303"/>
      <c r="Y611" s="303"/>
      <c r="Z611" s="303"/>
    </row>
    <row r="612">
      <c r="A612" s="303"/>
      <c r="B612" s="303"/>
      <c r="C612" s="303"/>
      <c r="D612" s="303"/>
      <c r="E612" s="303"/>
      <c r="F612" s="303"/>
      <c r="G612" s="303"/>
      <c r="H612" s="303"/>
      <c r="I612" s="303"/>
      <c r="J612" s="303"/>
      <c r="K612" s="303"/>
      <c r="L612" s="303"/>
      <c r="M612" s="303"/>
      <c r="N612" s="303"/>
      <c r="O612" s="303"/>
      <c r="P612" s="303"/>
      <c r="Q612" s="303"/>
      <c r="R612" s="303"/>
      <c r="S612" s="303"/>
      <c r="T612" s="303"/>
      <c r="U612" s="303"/>
      <c r="V612" s="303"/>
      <c r="W612" s="303"/>
      <c r="X612" s="303"/>
      <c r="Y612" s="303"/>
      <c r="Z612" s="303"/>
    </row>
    <row r="613">
      <c r="A613" s="303"/>
      <c r="B613" s="303"/>
      <c r="C613" s="303"/>
      <c r="D613" s="303"/>
      <c r="E613" s="303"/>
      <c r="F613" s="303"/>
      <c r="G613" s="303"/>
      <c r="H613" s="303"/>
      <c r="I613" s="303"/>
      <c r="J613" s="303"/>
      <c r="K613" s="303"/>
      <c r="L613" s="303"/>
      <c r="M613" s="303"/>
      <c r="N613" s="303"/>
      <c r="O613" s="303"/>
      <c r="P613" s="303"/>
      <c r="Q613" s="303"/>
      <c r="R613" s="303"/>
      <c r="S613" s="303"/>
      <c r="T613" s="303"/>
      <c r="U613" s="303"/>
      <c r="V613" s="303"/>
      <c r="W613" s="303"/>
      <c r="X613" s="303"/>
      <c r="Y613" s="303"/>
      <c r="Z613" s="303"/>
    </row>
    <row r="614">
      <c r="A614" s="303"/>
      <c r="B614" s="303"/>
      <c r="C614" s="303"/>
      <c r="D614" s="303"/>
      <c r="E614" s="303"/>
      <c r="F614" s="303"/>
      <c r="G614" s="303"/>
      <c r="H614" s="303"/>
      <c r="I614" s="303"/>
      <c r="J614" s="303"/>
      <c r="K614" s="303"/>
      <c r="L614" s="303"/>
      <c r="M614" s="303"/>
      <c r="N614" s="303"/>
      <c r="O614" s="303"/>
      <c r="P614" s="303"/>
      <c r="Q614" s="303"/>
      <c r="R614" s="303"/>
      <c r="S614" s="303"/>
      <c r="T614" s="303"/>
      <c r="U614" s="303"/>
      <c r="V614" s="303"/>
      <c r="W614" s="303"/>
      <c r="X614" s="303"/>
      <c r="Y614" s="303"/>
      <c r="Z614" s="303"/>
    </row>
    <row r="615">
      <c r="A615" s="303"/>
      <c r="B615" s="303"/>
      <c r="C615" s="303"/>
      <c r="D615" s="303"/>
      <c r="E615" s="303"/>
      <c r="F615" s="303"/>
      <c r="G615" s="303"/>
      <c r="H615" s="303"/>
      <c r="I615" s="303"/>
      <c r="J615" s="303"/>
      <c r="K615" s="303"/>
      <c r="L615" s="303"/>
      <c r="M615" s="303"/>
      <c r="N615" s="303"/>
      <c r="O615" s="303"/>
      <c r="P615" s="303"/>
      <c r="Q615" s="303"/>
      <c r="R615" s="303"/>
      <c r="S615" s="303"/>
      <c r="T615" s="303"/>
      <c r="U615" s="303"/>
      <c r="V615" s="303"/>
      <c r="W615" s="303"/>
      <c r="X615" s="303"/>
      <c r="Y615" s="303"/>
      <c r="Z615" s="303"/>
    </row>
    <row r="616">
      <c r="A616" s="303"/>
      <c r="B616" s="303"/>
      <c r="C616" s="303"/>
      <c r="D616" s="303"/>
      <c r="E616" s="303"/>
      <c r="F616" s="303"/>
      <c r="G616" s="303"/>
      <c r="H616" s="303"/>
      <c r="I616" s="303"/>
      <c r="J616" s="303"/>
      <c r="K616" s="303"/>
      <c r="L616" s="303"/>
      <c r="M616" s="303"/>
      <c r="N616" s="303"/>
      <c r="O616" s="303"/>
      <c r="P616" s="303"/>
      <c r="Q616" s="303"/>
      <c r="R616" s="303"/>
      <c r="S616" s="303"/>
      <c r="T616" s="303"/>
      <c r="U616" s="303"/>
      <c r="V616" s="303"/>
      <c r="W616" s="303"/>
      <c r="X616" s="303"/>
      <c r="Y616" s="303"/>
      <c r="Z616" s="303"/>
    </row>
    <row r="617">
      <c r="A617" s="303"/>
      <c r="B617" s="303"/>
      <c r="C617" s="303"/>
      <c r="D617" s="303"/>
      <c r="E617" s="303"/>
      <c r="F617" s="303"/>
      <c r="G617" s="303"/>
      <c r="H617" s="303"/>
      <c r="I617" s="303"/>
      <c r="J617" s="303"/>
      <c r="K617" s="303"/>
      <c r="L617" s="303"/>
      <c r="M617" s="303"/>
      <c r="N617" s="303"/>
      <c r="O617" s="303"/>
      <c r="P617" s="303"/>
      <c r="Q617" s="303"/>
      <c r="R617" s="303"/>
      <c r="S617" s="303"/>
      <c r="T617" s="303"/>
      <c r="U617" s="303"/>
      <c r="V617" s="303"/>
      <c r="W617" s="303"/>
      <c r="X617" s="303"/>
      <c r="Y617" s="303"/>
      <c r="Z617" s="303"/>
    </row>
    <row r="618">
      <c r="A618" s="303"/>
      <c r="B618" s="303"/>
      <c r="C618" s="303"/>
      <c r="D618" s="303"/>
      <c r="E618" s="303"/>
      <c r="F618" s="303"/>
      <c r="G618" s="303"/>
      <c r="H618" s="303"/>
      <c r="I618" s="303"/>
      <c r="J618" s="303"/>
      <c r="K618" s="303"/>
      <c r="L618" s="303"/>
      <c r="M618" s="303"/>
      <c r="N618" s="303"/>
      <c r="O618" s="303"/>
      <c r="P618" s="303"/>
      <c r="Q618" s="303"/>
      <c r="R618" s="303"/>
      <c r="S618" s="303"/>
      <c r="T618" s="303"/>
      <c r="U618" s="303"/>
      <c r="V618" s="303"/>
      <c r="W618" s="303"/>
      <c r="X618" s="303"/>
      <c r="Y618" s="303"/>
      <c r="Z618" s="303"/>
    </row>
    <row r="619">
      <c r="A619" s="303"/>
      <c r="B619" s="303"/>
      <c r="C619" s="303"/>
      <c r="D619" s="303"/>
      <c r="E619" s="303"/>
      <c r="F619" s="303"/>
      <c r="G619" s="303"/>
      <c r="H619" s="303"/>
      <c r="I619" s="303"/>
      <c r="J619" s="303"/>
      <c r="K619" s="303"/>
      <c r="L619" s="303"/>
      <c r="M619" s="303"/>
      <c r="N619" s="303"/>
      <c r="O619" s="303"/>
      <c r="P619" s="303"/>
      <c r="Q619" s="303"/>
      <c r="R619" s="303"/>
      <c r="S619" s="303"/>
      <c r="T619" s="303"/>
      <c r="U619" s="303"/>
      <c r="V619" s="303"/>
      <c r="W619" s="303"/>
      <c r="X619" s="303"/>
      <c r="Y619" s="303"/>
      <c r="Z619" s="303"/>
    </row>
    <row r="620">
      <c r="A620" s="303"/>
      <c r="B620" s="303"/>
      <c r="C620" s="303"/>
      <c r="D620" s="303"/>
      <c r="E620" s="303"/>
      <c r="F620" s="303"/>
      <c r="G620" s="303"/>
      <c r="H620" s="303"/>
      <c r="I620" s="303"/>
      <c r="J620" s="303"/>
      <c r="K620" s="303"/>
      <c r="L620" s="303"/>
      <c r="M620" s="303"/>
      <c r="N620" s="303"/>
      <c r="O620" s="303"/>
      <c r="P620" s="303"/>
      <c r="Q620" s="303"/>
      <c r="R620" s="303"/>
      <c r="S620" s="303"/>
      <c r="T620" s="303"/>
      <c r="U620" s="303"/>
      <c r="V620" s="303"/>
      <c r="W620" s="303"/>
      <c r="X620" s="303"/>
      <c r="Y620" s="303"/>
      <c r="Z620" s="303"/>
    </row>
    <row r="621">
      <c r="A621" s="303"/>
      <c r="B621" s="303"/>
      <c r="C621" s="303"/>
      <c r="D621" s="303"/>
      <c r="E621" s="303"/>
      <c r="F621" s="303"/>
      <c r="G621" s="303"/>
      <c r="H621" s="303"/>
      <c r="I621" s="303"/>
      <c r="J621" s="303"/>
      <c r="K621" s="303"/>
      <c r="L621" s="303"/>
      <c r="M621" s="303"/>
      <c r="N621" s="303"/>
      <c r="O621" s="303"/>
      <c r="P621" s="303"/>
      <c r="Q621" s="303"/>
      <c r="R621" s="303"/>
      <c r="S621" s="303"/>
      <c r="T621" s="303"/>
      <c r="U621" s="303"/>
      <c r="V621" s="303"/>
      <c r="W621" s="303"/>
      <c r="X621" s="303"/>
      <c r="Y621" s="303"/>
      <c r="Z621" s="303"/>
    </row>
    <row r="622">
      <c r="A622" s="303"/>
      <c r="B622" s="303"/>
      <c r="C622" s="303"/>
      <c r="D622" s="303"/>
      <c r="E622" s="303"/>
      <c r="F622" s="303"/>
      <c r="G622" s="303"/>
      <c r="H622" s="303"/>
      <c r="I622" s="303"/>
      <c r="J622" s="303"/>
      <c r="K622" s="303"/>
      <c r="L622" s="303"/>
      <c r="M622" s="303"/>
      <c r="N622" s="303"/>
      <c r="O622" s="303"/>
      <c r="P622" s="303"/>
      <c r="Q622" s="303"/>
      <c r="R622" s="303"/>
      <c r="S622" s="303"/>
      <c r="T622" s="303"/>
      <c r="U622" s="303"/>
      <c r="V622" s="303"/>
      <c r="W622" s="303"/>
      <c r="X622" s="303"/>
      <c r="Y622" s="303"/>
      <c r="Z622" s="303"/>
    </row>
    <row r="623">
      <c r="A623" s="303"/>
      <c r="B623" s="303"/>
      <c r="C623" s="303"/>
      <c r="D623" s="303"/>
      <c r="E623" s="303"/>
      <c r="F623" s="303"/>
      <c r="G623" s="303"/>
      <c r="H623" s="303"/>
      <c r="I623" s="303"/>
      <c r="J623" s="303"/>
      <c r="K623" s="303"/>
      <c r="L623" s="303"/>
      <c r="M623" s="303"/>
      <c r="N623" s="303"/>
      <c r="O623" s="303"/>
      <c r="P623" s="303"/>
      <c r="Q623" s="303"/>
      <c r="R623" s="303"/>
      <c r="S623" s="303"/>
      <c r="T623" s="303"/>
      <c r="U623" s="303"/>
      <c r="V623" s="303"/>
      <c r="W623" s="303"/>
      <c r="X623" s="303"/>
      <c r="Y623" s="303"/>
      <c r="Z623" s="303"/>
    </row>
    <row r="624">
      <c r="A624" s="303"/>
      <c r="B624" s="303"/>
      <c r="C624" s="303"/>
      <c r="D624" s="303"/>
      <c r="E624" s="303"/>
      <c r="F624" s="303"/>
      <c r="G624" s="303"/>
      <c r="H624" s="303"/>
      <c r="I624" s="303"/>
      <c r="J624" s="303"/>
      <c r="K624" s="303"/>
      <c r="L624" s="303"/>
      <c r="M624" s="303"/>
      <c r="N624" s="303"/>
      <c r="O624" s="303"/>
      <c r="P624" s="303"/>
      <c r="Q624" s="303"/>
      <c r="R624" s="303"/>
      <c r="S624" s="303"/>
      <c r="T624" s="303"/>
      <c r="U624" s="303"/>
      <c r="V624" s="303"/>
      <c r="W624" s="303"/>
      <c r="X624" s="303"/>
      <c r="Y624" s="303"/>
      <c r="Z624" s="303"/>
    </row>
    <row r="625">
      <c r="A625" s="303"/>
      <c r="B625" s="303"/>
      <c r="C625" s="303"/>
      <c r="D625" s="303"/>
      <c r="E625" s="303"/>
      <c r="F625" s="303"/>
      <c r="G625" s="303"/>
      <c r="H625" s="303"/>
      <c r="I625" s="303"/>
      <c r="J625" s="303"/>
      <c r="K625" s="303"/>
      <c r="L625" s="303"/>
      <c r="M625" s="303"/>
      <c r="N625" s="303"/>
      <c r="O625" s="303"/>
      <c r="P625" s="303"/>
      <c r="Q625" s="303"/>
      <c r="R625" s="303"/>
      <c r="S625" s="303"/>
      <c r="T625" s="303"/>
      <c r="U625" s="303"/>
      <c r="V625" s="303"/>
      <c r="W625" s="303"/>
      <c r="X625" s="303"/>
      <c r="Y625" s="303"/>
      <c r="Z625" s="303"/>
    </row>
    <row r="626">
      <c r="A626" s="303"/>
      <c r="B626" s="303"/>
      <c r="C626" s="303"/>
      <c r="D626" s="303"/>
      <c r="E626" s="303"/>
      <c r="F626" s="303"/>
      <c r="G626" s="303"/>
      <c r="H626" s="303"/>
      <c r="I626" s="303"/>
      <c r="J626" s="303"/>
      <c r="K626" s="303"/>
      <c r="L626" s="303"/>
      <c r="M626" s="303"/>
      <c r="N626" s="303"/>
      <c r="O626" s="303"/>
      <c r="P626" s="303"/>
      <c r="Q626" s="303"/>
      <c r="R626" s="303"/>
      <c r="S626" s="303"/>
      <c r="T626" s="303"/>
      <c r="U626" s="303"/>
      <c r="V626" s="303"/>
      <c r="W626" s="303"/>
      <c r="X626" s="303"/>
      <c r="Y626" s="303"/>
      <c r="Z626" s="303"/>
    </row>
    <row r="627">
      <c r="A627" s="303"/>
      <c r="B627" s="303"/>
      <c r="C627" s="303"/>
      <c r="D627" s="303"/>
      <c r="E627" s="303"/>
      <c r="F627" s="303"/>
      <c r="G627" s="303"/>
      <c r="H627" s="303"/>
      <c r="I627" s="303"/>
      <c r="J627" s="303"/>
      <c r="K627" s="303"/>
      <c r="L627" s="303"/>
      <c r="M627" s="303"/>
      <c r="N627" s="303"/>
      <c r="O627" s="303"/>
      <c r="P627" s="303"/>
      <c r="Q627" s="303"/>
      <c r="R627" s="303"/>
      <c r="S627" s="303"/>
      <c r="T627" s="303"/>
      <c r="U627" s="303"/>
      <c r="V627" s="303"/>
      <c r="W627" s="303"/>
      <c r="X627" s="303"/>
      <c r="Y627" s="303"/>
      <c r="Z627" s="303"/>
    </row>
    <row r="628">
      <c r="A628" s="303"/>
      <c r="B628" s="303"/>
      <c r="C628" s="303"/>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row>
    <row r="629">
      <c r="A629" s="303"/>
      <c r="B629" s="303"/>
      <c r="C629" s="303"/>
      <c r="D629" s="303"/>
      <c r="E629" s="303"/>
      <c r="F629" s="303"/>
      <c r="G629" s="303"/>
      <c r="H629" s="303"/>
      <c r="I629" s="303"/>
      <c r="J629" s="303"/>
      <c r="K629" s="303"/>
      <c r="L629" s="303"/>
      <c r="M629" s="303"/>
      <c r="N629" s="303"/>
      <c r="O629" s="303"/>
      <c r="P629" s="303"/>
      <c r="Q629" s="303"/>
      <c r="R629" s="303"/>
      <c r="S629" s="303"/>
      <c r="T629" s="303"/>
      <c r="U629" s="303"/>
      <c r="V629" s="303"/>
      <c r="W629" s="303"/>
      <c r="X629" s="303"/>
      <c r="Y629" s="303"/>
      <c r="Z629" s="303"/>
    </row>
    <row r="630">
      <c r="A630" s="303"/>
      <c r="B630" s="303"/>
      <c r="C630" s="303"/>
      <c r="D630" s="303"/>
      <c r="E630" s="303"/>
      <c r="F630" s="303"/>
      <c r="G630" s="303"/>
      <c r="H630" s="303"/>
      <c r="I630" s="303"/>
      <c r="J630" s="303"/>
      <c r="K630" s="303"/>
      <c r="L630" s="303"/>
      <c r="M630" s="303"/>
      <c r="N630" s="303"/>
      <c r="O630" s="303"/>
      <c r="P630" s="303"/>
      <c r="Q630" s="303"/>
      <c r="R630" s="303"/>
      <c r="S630" s="303"/>
      <c r="T630" s="303"/>
      <c r="U630" s="303"/>
      <c r="V630" s="303"/>
      <c r="W630" s="303"/>
      <c r="X630" s="303"/>
      <c r="Y630" s="303"/>
      <c r="Z630" s="303"/>
    </row>
    <row r="631">
      <c r="A631" s="303"/>
      <c r="B631" s="303"/>
      <c r="C631" s="303"/>
      <c r="D631" s="303"/>
      <c r="E631" s="303"/>
      <c r="F631" s="303"/>
      <c r="G631" s="303"/>
      <c r="H631" s="303"/>
      <c r="I631" s="303"/>
      <c r="J631" s="303"/>
      <c r="K631" s="303"/>
      <c r="L631" s="303"/>
      <c r="M631" s="303"/>
      <c r="N631" s="303"/>
      <c r="O631" s="303"/>
      <c r="P631" s="303"/>
      <c r="Q631" s="303"/>
      <c r="R631" s="303"/>
      <c r="S631" s="303"/>
      <c r="T631" s="303"/>
      <c r="U631" s="303"/>
      <c r="V631" s="303"/>
      <c r="W631" s="303"/>
      <c r="X631" s="303"/>
      <c r="Y631" s="303"/>
      <c r="Z631" s="303"/>
    </row>
    <row r="632">
      <c r="A632" s="303"/>
      <c r="B632" s="303"/>
      <c r="C632" s="303"/>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row>
    <row r="633">
      <c r="A633" s="303"/>
      <c r="B633" s="303"/>
      <c r="C633" s="303"/>
      <c r="D633" s="303"/>
      <c r="E633" s="303"/>
      <c r="F633" s="303"/>
      <c r="G633" s="303"/>
      <c r="H633" s="303"/>
      <c r="I633" s="303"/>
      <c r="J633" s="303"/>
      <c r="K633" s="303"/>
      <c r="L633" s="303"/>
      <c r="M633" s="303"/>
      <c r="N633" s="303"/>
      <c r="O633" s="303"/>
      <c r="P633" s="303"/>
      <c r="Q633" s="303"/>
      <c r="R633" s="303"/>
      <c r="S633" s="303"/>
      <c r="T633" s="303"/>
      <c r="U633" s="303"/>
      <c r="V633" s="303"/>
      <c r="W633" s="303"/>
      <c r="X633" s="303"/>
      <c r="Y633" s="303"/>
      <c r="Z633" s="303"/>
    </row>
    <row r="634">
      <c r="A634" s="303"/>
      <c r="B634" s="303"/>
      <c r="C634" s="303"/>
      <c r="D634" s="303"/>
      <c r="E634" s="303"/>
      <c r="F634" s="303"/>
      <c r="G634" s="303"/>
      <c r="H634" s="303"/>
      <c r="I634" s="303"/>
      <c r="J634" s="303"/>
      <c r="K634" s="303"/>
      <c r="L634" s="303"/>
      <c r="M634" s="303"/>
      <c r="N634" s="303"/>
      <c r="O634" s="303"/>
      <c r="P634" s="303"/>
      <c r="Q634" s="303"/>
      <c r="R634" s="303"/>
      <c r="S634" s="303"/>
      <c r="T634" s="303"/>
      <c r="U634" s="303"/>
      <c r="V634" s="303"/>
      <c r="W634" s="303"/>
      <c r="X634" s="303"/>
      <c r="Y634" s="303"/>
      <c r="Z634" s="303"/>
    </row>
    <row r="635">
      <c r="A635" s="303"/>
      <c r="B635" s="303"/>
      <c r="C635" s="303"/>
      <c r="D635" s="303"/>
      <c r="E635" s="303"/>
      <c r="F635" s="303"/>
      <c r="G635" s="303"/>
      <c r="H635" s="303"/>
      <c r="I635" s="303"/>
      <c r="J635" s="303"/>
      <c r="K635" s="303"/>
      <c r="L635" s="303"/>
      <c r="M635" s="303"/>
      <c r="N635" s="303"/>
      <c r="O635" s="303"/>
      <c r="P635" s="303"/>
      <c r="Q635" s="303"/>
      <c r="R635" s="303"/>
      <c r="S635" s="303"/>
      <c r="T635" s="303"/>
      <c r="U635" s="303"/>
      <c r="V635" s="303"/>
      <c r="W635" s="303"/>
      <c r="X635" s="303"/>
      <c r="Y635" s="303"/>
      <c r="Z635" s="303"/>
    </row>
    <row r="636">
      <c r="A636" s="303"/>
      <c r="B636" s="303"/>
      <c r="C636" s="303"/>
      <c r="D636" s="303"/>
      <c r="E636" s="303"/>
      <c r="F636" s="303"/>
      <c r="G636" s="303"/>
      <c r="H636" s="303"/>
      <c r="I636" s="303"/>
      <c r="J636" s="303"/>
      <c r="K636" s="303"/>
      <c r="L636" s="303"/>
      <c r="M636" s="303"/>
      <c r="N636" s="303"/>
      <c r="O636" s="303"/>
      <c r="P636" s="303"/>
      <c r="Q636" s="303"/>
      <c r="R636" s="303"/>
      <c r="S636" s="303"/>
      <c r="T636" s="303"/>
      <c r="U636" s="303"/>
      <c r="V636" s="303"/>
      <c r="W636" s="303"/>
      <c r="X636" s="303"/>
      <c r="Y636" s="303"/>
      <c r="Z636" s="303"/>
    </row>
    <row r="637">
      <c r="A637" s="303"/>
      <c r="B637" s="303"/>
      <c r="C637" s="303"/>
      <c r="D637" s="303"/>
      <c r="E637" s="303"/>
      <c r="F637" s="303"/>
      <c r="G637" s="303"/>
      <c r="H637" s="303"/>
      <c r="I637" s="303"/>
      <c r="J637" s="303"/>
      <c r="K637" s="303"/>
      <c r="L637" s="303"/>
      <c r="M637" s="303"/>
      <c r="N637" s="303"/>
      <c r="O637" s="303"/>
      <c r="P637" s="303"/>
      <c r="Q637" s="303"/>
      <c r="R637" s="303"/>
      <c r="S637" s="303"/>
      <c r="T637" s="303"/>
      <c r="U637" s="303"/>
      <c r="V637" s="303"/>
      <c r="W637" s="303"/>
      <c r="X637" s="303"/>
      <c r="Y637" s="303"/>
      <c r="Z637" s="303"/>
    </row>
    <row r="638">
      <c r="A638" s="303"/>
      <c r="B638" s="303"/>
      <c r="C638" s="303"/>
      <c r="D638" s="303"/>
      <c r="E638" s="303"/>
      <c r="F638" s="303"/>
      <c r="G638" s="303"/>
      <c r="H638" s="303"/>
      <c r="I638" s="303"/>
      <c r="J638" s="303"/>
      <c r="K638" s="303"/>
      <c r="L638" s="303"/>
      <c r="M638" s="303"/>
      <c r="N638" s="303"/>
      <c r="O638" s="303"/>
      <c r="P638" s="303"/>
      <c r="Q638" s="303"/>
      <c r="R638" s="303"/>
      <c r="S638" s="303"/>
      <c r="T638" s="303"/>
      <c r="U638" s="303"/>
      <c r="V638" s="303"/>
      <c r="W638" s="303"/>
      <c r="X638" s="303"/>
      <c r="Y638" s="303"/>
      <c r="Z638" s="303"/>
    </row>
    <row r="639">
      <c r="A639" s="303"/>
      <c r="B639" s="303"/>
      <c r="C639" s="303"/>
      <c r="D639" s="303"/>
      <c r="E639" s="303"/>
      <c r="F639" s="303"/>
      <c r="G639" s="303"/>
      <c r="H639" s="303"/>
      <c r="I639" s="303"/>
      <c r="J639" s="303"/>
      <c r="K639" s="303"/>
      <c r="L639" s="303"/>
      <c r="M639" s="303"/>
      <c r="N639" s="303"/>
      <c r="O639" s="303"/>
      <c r="P639" s="303"/>
      <c r="Q639" s="303"/>
      <c r="R639" s="303"/>
      <c r="S639" s="303"/>
      <c r="T639" s="303"/>
      <c r="U639" s="303"/>
      <c r="V639" s="303"/>
      <c r="W639" s="303"/>
      <c r="X639" s="303"/>
      <c r="Y639" s="303"/>
      <c r="Z639" s="303"/>
    </row>
    <row r="640">
      <c r="A640" s="303"/>
      <c r="B640" s="303"/>
      <c r="C640" s="303"/>
      <c r="D640" s="303"/>
      <c r="E640" s="303"/>
      <c r="F640" s="303"/>
      <c r="G640" s="303"/>
      <c r="H640" s="303"/>
      <c r="I640" s="303"/>
      <c r="J640" s="303"/>
      <c r="K640" s="303"/>
      <c r="L640" s="303"/>
      <c r="M640" s="303"/>
      <c r="N640" s="303"/>
      <c r="O640" s="303"/>
      <c r="P640" s="303"/>
      <c r="Q640" s="303"/>
      <c r="R640" s="303"/>
      <c r="S640" s="303"/>
      <c r="T640" s="303"/>
      <c r="U640" s="303"/>
      <c r="V640" s="303"/>
      <c r="W640" s="303"/>
      <c r="X640" s="303"/>
      <c r="Y640" s="303"/>
      <c r="Z640" s="303"/>
    </row>
    <row r="641">
      <c r="A641" s="303"/>
      <c r="B641" s="303"/>
      <c r="C641" s="303"/>
      <c r="D641" s="303"/>
      <c r="E641" s="303"/>
      <c r="F641" s="303"/>
      <c r="G641" s="303"/>
      <c r="H641" s="303"/>
      <c r="I641" s="303"/>
      <c r="J641" s="303"/>
      <c r="K641" s="303"/>
      <c r="L641" s="303"/>
      <c r="M641" s="303"/>
      <c r="N641" s="303"/>
      <c r="O641" s="303"/>
      <c r="P641" s="303"/>
      <c r="Q641" s="303"/>
      <c r="R641" s="303"/>
      <c r="S641" s="303"/>
      <c r="T641" s="303"/>
      <c r="U641" s="303"/>
      <c r="V641" s="303"/>
      <c r="W641" s="303"/>
      <c r="X641" s="303"/>
      <c r="Y641" s="303"/>
      <c r="Z641" s="303"/>
    </row>
    <row r="642">
      <c r="A642" s="303"/>
      <c r="B642" s="303"/>
      <c r="C642" s="303"/>
      <c r="D642" s="303"/>
      <c r="E642" s="303"/>
      <c r="F642" s="303"/>
      <c r="G642" s="303"/>
      <c r="H642" s="303"/>
      <c r="I642" s="303"/>
      <c r="J642" s="303"/>
      <c r="K642" s="303"/>
      <c r="L642" s="303"/>
      <c r="M642" s="303"/>
      <c r="N642" s="303"/>
      <c r="O642" s="303"/>
      <c r="P642" s="303"/>
      <c r="Q642" s="303"/>
      <c r="R642" s="303"/>
      <c r="S642" s="303"/>
      <c r="T642" s="303"/>
      <c r="U642" s="303"/>
      <c r="V642" s="303"/>
      <c r="W642" s="303"/>
      <c r="X642" s="303"/>
      <c r="Y642" s="303"/>
      <c r="Z642" s="303"/>
    </row>
    <row r="643">
      <c r="A643" s="303"/>
      <c r="B643" s="303"/>
      <c r="C643" s="303"/>
      <c r="D643" s="303"/>
      <c r="E643" s="303"/>
      <c r="F643" s="303"/>
      <c r="G643" s="303"/>
      <c r="H643" s="303"/>
      <c r="I643" s="303"/>
      <c r="J643" s="303"/>
      <c r="K643" s="303"/>
      <c r="L643" s="303"/>
      <c r="M643" s="303"/>
      <c r="N643" s="303"/>
      <c r="O643" s="303"/>
      <c r="P643" s="303"/>
      <c r="Q643" s="303"/>
      <c r="R643" s="303"/>
      <c r="S643" s="303"/>
      <c r="T643" s="303"/>
      <c r="U643" s="303"/>
      <c r="V643" s="303"/>
      <c r="W643" s="303"/>
      <c r="X643" s="303"/>
      <c r="Y643" s="303"/>
      <c r="Z643" s="303"/>
    </row>
    <row r="644">
      <c r="A644" s="303"/>
      <c r="B644" s="303"/>
      <c r="C644" s="303"/>
      <c r="D644" s="303"/>
      <c r="E644" s="303"/>
      <c r="F644" s="303"/>
      <c r="G644" s="303"/>
      <c r="H644" s="303"/>
      <c r="I644" s="303"/>
      <c r="J644" s="303"/>
      <c r="K644" s="303"/>
      <c r="L644" s="303"/>
      <c r="M644" s="303"/>
      <c r="N644" s="303"/>
      <c r="O644" s="303"/>
      <c r="P644" s="303"/>
      <c r="Q644" s="303"/>
      <c r="R644" s="303"/>
      <c r="S644" s="303"/>
      <c r="T644" s="303"/>
      <c r="U644" s="303"/>
      <c r="V644" s="303"/>
      <c r="W644" s="303"/>
      <c r="X644" s="303"/>
      <c r="Y644" s="303"/>
      <c r="Z644" s="303"/>
    </row>
    <row r="645">
      <c r="A645" s="303"/>
      <c r="B645" s="303"/>
      <c r="C645" s="303"/>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row>
    <row r="646">
      <c r="A646" s="303"/>
      <c r="B646" s="303"/>
      <c r="C646" s="303"/>
      <c r="D646" s="303"/>
      <c r="E646" s="303"/>
      <c r="F646" s="303"/>
      <c r="G646" s="303"/>
      <c r="H646" s="303"/>
      <c r="I646" s="303"/>
      <c r="J646" s="303"/>
      <c r="K646" s="303"/>
      <c r="L646" s="303"/>
      <c r="M646" s="303"/>
      <c r="N646" s="303"/>
      <c r="O646" s="303"/>
      <c r="P646" s="303"/>
      <c r="Q646" s="303"/>
      <c r="R646" s="303"/>
      <c r="S646" s="303"/>
      <c r="T646" s="303"/>
      <c r="U646" s="303"/>
      <c r="V646" s="303"/>
      <c r="W646" s="303"/>
      <c r="X646" s="303"/>
      <c r="Y646" s="303"/>
      <c r="Z646" s="303"/>
    </row>
    <row r="647">
      <c r="A647" s="303"/>
      <c r="B647" s="303"/>
      <c r="C647" s="303"/>
      <c r="D647" s="303"/>
      <c r="E647" s="303"/>
      <c r="F647" s="303"/>
      <c r="G647" s="303"/>
      <c r="H647" s="303"/>
      <c r="I647" s="303"/>
      <c r="J647" s="303"/>
      <c r="K647" s="303"/>
      <c r="L647" s="303"/>
      <c r="M647" s="303"/>
      <c r="N647" s="303"/>
      <c r="O647" s="303"/>
      <c r="P647" s="303"/>
      <c r="Q647" s="303"/>
      <c r="R647" s="303"/>
      <c r="S647" s="303"/>
      <c r="T647" s="303"/>
      <c r="U647" s="303"/>
      <c r="V647" s="303"/>
      <c r="W647" s="303"/>
      <c r="X647" s="303"/>
      <c r="Y647" s="303"/>
      <c r="Z647" s="303"/>
    </row>
    <row r="648">
      <c r="A648" s="303"/>
      <c r="B648" s="303"/>
      <c r="C648" s="303"/>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row>
    <row r="649">
      <c r="A649" s="303"/>
      <c r="B649" s="303"/>
      <c r="C649" s="303"/>
      <c r="D649" s="303"/>
      <c r="E649" s="303"/>
      <c r="F649" s="303"/>
      <c r="G649" s="303"/>
      <c r="H649" s="303"/>
      <c r="I649" s="303"/>
      <c r="J649" s="303"/>
      <c r="K649" s="303"/>
      <c r="L649" s="303"/>
      <c r="M649" s="303"/>
      <c r="N649" s="303"/>
      <c r="O649" s="303"/>
      <c r="P649" s="303"/>
      <c r="Q649" s="303"/>
      <c r="R649" s="303"/>
      <c r="S649" s="303"/>
      <c r="T649" s="303"/>
      <c r="U649" s="303"/>
      <c r="V649" s="303"/>
      <c r="W649" s="303"/>
      <c r="X649" s="303"/>
      <c r="Y649" s="303"/>
      <c r="Z649" s="303"/>
    </row>
    <row r="650">
      <c r="A650" s="303"/>
      <c r="B650" s="303"/>
      <c r="C650" s="303"/>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row>
    <row r="651">
      <c r="A651" s="303"/>
      <c r="B651" s="303"/>
      <c r="C651" s="303"/>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row>
    <row r="652">
      <c r="A652" s="303"/>
      <c r="B652" s="303"/>
      <c r="C652" s="303"/>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row>
    <row r="653">
      <c r="A653" s="303"/>
      <c r="B653" s="303"/>
      <c r="C653" s="303"/>
      <c r="D653" s="303"/>
      <c r="E653" s="303"/>
      <c r="F653" s="303"/>
      <c r="G653" s="303"/>
      <c r="H653" s="303"/>
      <c r="I653" s="303"/>
      <c r="J653" s="303"/>
      <c r="K653" s="303"/>
      <c r="L653" s="303"/>
      <c r="M653" s="303"/>
      <c r="N653" s="303"/>
      <c r="O653" s="303"/>
      <c r="P653" s="303"/>
      <c r="Q653" s="303"/>
      <c r="R653" s="303"/>
      <c r="S653" s="303"/>
      <c r="T653" s="303"/>
      <c r="U653" s="303"/>
      <c r="V653" s="303"/>
      <c r="W653" s="303"/>
      <c r="X653" s="303"/>
      <c r="Y653" s="303"/>
      <c r="Z653" s="303"/>
    </row>
    <row r="654">
      <c r="A654" s="303"/>
      <c r="B654" s="303"/>
      <c r="C654" s="303"/>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row>
    <row r="655">
      <c r="A655" s="303"/>
      <c r="B655" s="303"/>
      <c r="C655" s="303"/>
      <c r="D655" s="303"/>
      <c r="E655" s="303"/>
      <c r="F655" s="303"/>
      <c r="G655" s="303"/>
      <c r="H655" s="303"/>
      <c r="I655" s="303"/>
      <c r="J655" s="303"/>
      <c r="K655" s="303"/>
      <c r="L655" s="303"/>
      <c r="M655" s="303"/>
      <c r="N655" s="303"/>
      <c r="O655" s="303"/>
      <c r="P655" s="303"/>
      <c r="Q655" s="303"/>
      <c r="R655" s="303"/>
      <c r="S655" s="303"/>
      <c r="T655" s="303"/>
      <c r="U655" s="303"/>
      <c r="V655" s="303"/>
      <c r="W655" s="303"/>
      <c r="X655" s="303"/>
      <c r="Y655" s="303"/>
      <c r="Z655" s="303"/>
    </row>
    <row r="656">
      <c r="A656" s="303"/>
      <c r="B656" s="303"/>
      <c r="C656" s="303"/>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row>
    <row r="657">
      <c r="A657" s="303"/>
      <c r="B657" s="303"/>
      <c r="C657" s="303"/>
      <c r="D657" s="303"/>
      <c r="E657" s="303"/>
      <c r="F657" s="303"/>
      <c r="G657" s="303"/>
      <c r="H657" s="303"/>
      <c r="I657" s="303"/>
      <c r="J657" s="303"/>
      <c r="K657" s="303"/>
      <c r="L657" s="303"/>
      <c r="M657" s="303"/>
      <c r="N657" s="303"/>
      <c r="O657" s="303"/>
      <c r="P657" s="303"/>
      <c r="Q657" s="303"/>
      <c r="R657" s="303"/>
      <c r="S657" s="303"/>
      <c r="T657" s="303"/>
      <c r="U657" s="303"/>
      <c r="V657" s="303"/>
      <c r="W657" s="303"/>
      <c r="X657" s="303"/>
      <c r="Y657" s="303"/>
      <c r="Z657" s="303"/>
    </row>
    <row r="658">
      <c r="A658" s="303"/>
      <c r="B658" s="303"/>
      <c r="C658" s="303"/>
      <c r="D658" s="303"/>
      <c r="E658" s="303"/>
      <c r="F658" s="303"/>
      <c r="G658" s="303"/>
      <c r="H658" s="303"/>
      <c r="I658" s="303"/>
      <c r="J658" s="303"/>
      <c r="K658" s="303"/>
      <c r="L658" s="303"/>
      <c r="M658" s="303"/>
      <c r="N658" s="303"/>
      <c r="O658" s="303"/>
      <c r="P658" s="303"/>
      <c r="Q658" s="303"/>
      <c r="R658" s="303"/>
      <c r="S658" s="303"/>
      <c r="T658" s="303"/>
      <c r="U658" s="303"/>
      <c r="V658" s="303"/>
      <c r="W658" s="303"/>
      <c r="X658" s="303"/>
      <c r="Y658" s="303"/>
      <c r="Z658" s="303"/>
    </row>
    <row r="659">
      <c r="A659" s="303"/>
      <c r="B659" s="303"/>
      <c r="C659" s="303"/>
      <c r="D659" s="303"/>
      <c r="E659" s="303"/>
      <c r="F659" s="303"/>
      <c r="G659" s="303"/>
      <c r="H659" s="303"/>
      <c r="I659" s="303"/>
      <c r="J659" s="303"/>
      <c r="K659" s="303"/>
      <c r="L659" s="303"/>
      <c r="M659" s="303"/>
      <c r="N659" s="303"/>
      <c r="O659" s="303"/>
      <c r="P659" s="303"/>
      <c r="Q659" s="303"/>
      <c r="R659" s="303"/>
      <c r="S659" s="303"/>
      <c r="T659" s="303"/>
      <c r="U659" s="303"/>
      <c r="V659" s="303"/>
      <c r="W659" s="303"/>
      <c r="X659" s="303"/>
      <c r="Y659" s="303"/>
      <c r="Z659" s="303"/>
    </row>
    <row r="660">
      <c r="A660" s="303"/>
      <c r="B660" s="303"/>
      <c r="C660" s="303"/>
      <c r="D660" s="303"/>
      <c r="E660" s="303"/>
      <c r="F660" s="303"/>
      <c r="G660" s="303"/>
      <c r="H660" s="303"/>
      <c r="I660" s="303"/>
      <c r="J660" s="303"/>
      <c r="K660" s="303"/>
      <c r="L660" s="303"/>
      <c r="M660" s="303"/>
      <c r="N660" s="303"/>
      <c r="O660" s="303"/>
      <c r="P660" s="303"/>
      <c r="Q660" s="303"/>
      <c r="R660" s="303"/>
      <c r="S660" s="303"/>
      <c r="T660" s="303"/>
      <c r="U660" s="303"/>
      <c r="V660" s="303"/>
      <c r="W660" s="303"/>
      <c r="X660" s="303"/>
      <c r="Y660" s="303"/>
      <c r="Z660" s="303"/>
    </row>
    <row r="661">
      <c r="A661" s="303"/>
      <c r="B661" s="303"/>
      <c r="C661" s="303"/>
      <c r="D661" s="303"/>
      <c r="E661" s="303"/>
      <c r="F661" s="303"/>
      <c r="G661" s="303"/>
      <c r="H661" s="303"/>
      <c r="I661" s="303"/>
      <c r="J661" s="303"/>
      <c r="K661" s="303"/>
      <c r="L661" s="303"/>
      <c r="M661" s="303"/>
      <c r="N661" s="303"/>
      <c r="O661" s="303"/>
      <c r="P661" s="303"/>
      <c r="Q661" s="303"/>
      <c r="R661" s="303"/>
      <c r="S661" s="303"/>
      <c r="T661" s="303"/>
      <c r="U661" s="303"/>
      <c r="V661" s="303"/>
      <c r="W661" s="303"/>
      <c r="X661" s="303"/>
      <c r="Y661" s="303"/>
      <c r="Z661" s="303"/>
    </row>
    <row r="662">
      <c r="A662" s="303"/>
      <c r="B662" s="303"/>
      <c r="C662" s="303"/>
      <c r="D662" s="303"/>
      <c r="E662" s="303"/>
      <c r="F662" s="303"/>
      <c r="G662" s="303"/>
      <c r="H662" s="303"/>
      <c r="I662" s="303"/>
      <c r="J662" s="303"/>
      <c r="K662" s="303"/>
      <c r="L662" s="303"/>
      <c r="M662" s="303"/>
      <c r="N662" s="303"/>
      <c r="O662" s="303"/>
      <c r="P662" s="303"/>
      <c r="Q662" s="303"/>
      <c r="R662" s="303"/>
      <c r="S662" s="303"/>
      <c r="T662" s="303"/>
      <c r="U662" s="303"/>
      <c r="V662" s="303"/>
      <c r="W662" s="303"/>
      <c r="X662" s="303"/>
      <c r="Y662" s="303"/>
      <c r="Z662" s="303"/>
    </row>
    <row r="663">
      <c r="A663" s="303"/>
      <c r="B663" s="303"/>
      <c r="C663" s="303"/>
      <c r="D663" s="303"/>
      <c r="E663" s="303"/>
      <c r="F663" s="303"/>
      <c r="G663" s="303"/>
      <c r="H663" s="303"/>
      <c r="I663" s="303"/>
      <c r="J663" s="303"/>
      <c r="K663" s="303"/>
      <c r="L663" s="303"/>
      <c r="M663" s="303"/>
      <c r="N663" s="303"/>
      <c r="O663" s="303"/>
      <c r="P663" s="303"/>
      <c r="Q663" s="303"/>
      <c r="R663" s="303"/>
      <c r="S663" s="303"/>
      <c r="T663" s="303"/>
      <c r="U663" s="303"/>
      <c r="V663" s="303"/>
      <c r="W663" s="303"/>
      <c r="X663" s="303"/>
      <c r="Y663" s="303"/>
      <c r="Z663" s="303"/>
    </row>
    <row r="664">
      <c r="A664" s="303"/>
      <c r="B664" s="303"/>
      <c r="C664" s="303"/>
      <c r="D664" s="303"/>
      <c r="E664" s="303"/>
      <c r="F664" s="303"/>
      <c r="G664" s="303"/>
      <c r="H664" s="303"/>
      <c r="I664" s="303"/>
      <c r="J664" s="303"/>
      <c r="K664" s="303"/>
      <c r="L664" s="303"/>
      <c r="M664" s="303"/>
      <c r="N664" s="303"/>
      <c r="O664" s="303"/>
      <c r="P664" s="303"/>
      <c r="Q664" s="303"/>
      <c r="R664" s="303"/>
      <c r="S664" s="303"/>
      <c r="T664" s="303"/>
      <c r="U664" s="303"/>
      <c r="V664" s="303"/>
      <c r="W664" s="303"/>
      <c r="X664" s="303"/>
      <c r="Y664" s="303"/>
      <c r="Z664" s="303"/>
    </row>
    <row r="665">
      <c r="A665" s="303"/>
      <c r="B665" s="303"/>
      <c r="C665" s="303"/>
      <c r="D665" s="303"/>
      <c r="E665" s="303"/>
      <c r="F665" s="303"/>
      <c r="G665" s="303"/>
      <c r="H665" s="303"/>
      <c r="I665" s="303"/>
      <c r="J665" s="303"/>
      <c r="K665" s="303"/>
      <c r="L665" s="303"/>
      <c r="M665" s="303"/>
      <c r="N665" s="303"/>
      <c r="O665" s="303"/>
      <c r="P665" s="303"/>
      <c r="Q665" s="303"/>
      <c r="R665" s="303"/>
      <c r="S665" s="303"/>
      <c r="T665" s="303"/>
      <c r="U665" s="303"/>
      <c r="V665" s="303"/>
      <c r="W665" s="303"/>
      <c r="X665" s="303"/>
      <c r="Y665" s="303"/>
      <c r="Z665" s="303"/>
    </row>
    <row r="666">
      <c r="A666" s="303"/>
      <c r="B666" s="303"/>
      <c r="C666" s="303"/>
      <c r="D666" s="303"/>
      <c r="E666" s="303"/>
      <c r="F666" s="303"/>
      <c r="G666" s="303"/>
      <c r="H666" s="303"/>
      <c r="I666" s="303"/>
      <c r="J666" s="303"/>
      <c r="K666" s="303"/>
      <c r="L666" s="303"/>
      <c r="M666" s="303"/>
      <c r="N666" s="303"/>
      <c r="O666" s="303"/>
      <c r="P666" s="303"/>
      <c r="Q666" s="303"/>
      <c r="R666" s="303"/>
      <c r="S666" s="303"/>
      <c r="T666" s="303"/>
      <c r="U666" s="303"/>
      <c r="V666" s="303"/>
      <c r="W666" s="303"/>
      <c r="X666" s="303"/>
      <c r="Y666" s="303"/>
      <c r="Z666" s="303"/>
    </row>
    <row r="667">
      <c r="A667" s="303"/>
      <c r="B667" s="303"/>
      <c r="C667" s="303"/>
      <c r="D667" s="303"/>
      <c r="E667" s="303"/>
      <c r="F667" s="303"/>
      <c r="G667" s="303"/>
      <c r="H667" s="303"/>
      <c r="I667" s="303"/>
      <c r="J667" s="303"/>
      <c r="K667" s="303"/>
      <c r="L667" s="303"/>
      <c r="M667" s="303"/>
      <c r="N667" s="303"/>
      <c r="O667" s="303"/>
      <c r="P667" s="303"/>
      <c r="Q667" s="303"/>
      <c r="R667" s="303"/>
      <c r="S667" s="303"/>
      <c r="T667" s="303"/>
      <c r="U667" s="303"/>
      <c r="V667" s="303"/>
      <c r="W667" s="303"/>
      <c r="X667" s="303"/>
      <c r="Y667" s="303"/>
      <c r="Z667" s="303"/>
    </row>
    <row r="668">
      <c r="A668" s="303"/>
      <c r="B668" s="303"/>
      <c r="C668" s="303"/>
      <c r="D668" s="303"/>
      <c r="E668" s="303"/>
      <c r="F668" s="303"/>
      <c r="G668" s="303"/>
      <c r="H668" s="303"/>
      <c r="I668" s="303"/>
      <c r="J668" s="303"/>
      <c r="K668" s="303"/>
      <c r="L668" s="303"/>
      <c r="M668" s="303"/>
      <c r="N668" s="303"/>
      <c r="O668" s="303"/>
      <c r="P668" s="303"/>
      <c r="Q668" s="303"/>
      <c r="R668" s="303"/>
      <c r="S668" s="303"/>
      <c r="T668" s="303"/>
      <c r="U668" s="303"/>
      <c r="V668" s="303"/>
      <c r="W668" s="303"/>
      <c r="X668" s="303"/>
      <c r="Y668" s="303"/>
      <c r="Z668" s="303"/>
    </row>
    <row r="669">
      <c r="A669" s="303"/>
      <c r="B669" s="303"/>
      <c r="C669" s="303"/>
      <c r="D669" s="303"/>
      <c r="E669" s="303"/>
      <c r="F669" s="303"/>
      <c r="G669" s="303"/>
      <c r="H669" s="303"/>
      <c r="I669" s="303"/>
      <c r="J669" s="303"/>
      <c r="K669" s="303"/>
      <c r="L669" s="303"/>
      <c r="M669" s="303"/>
      <c r="N669" s="303"/>
      <c r="O669" s="303"/>
      <c r="P669" s="303"/>
      <c r="Q669" s="303"/>
      <c r="R669" s="303"/>
      <c r="S669" s="303"/>
      <c r="T669" s="303"/>
      <c r="U669" s="303"/>
      <c r="V669" s="303"/>
      <c r="W669" s="303"/>
      <c r="X669" s="303"/>
      <c r="Y669" s="303"/>
      <c r="Z669" s="303"/>
    </row>
    <row r="670">
      <c r="A670" s="303"/>
      <c r="B670" s="303"/>
      <c r="C670" s="303"/>
      <c r="D670" s="303"/>
      <c r="E670" s="303"/>
      <c r="F670" s="303"/>
      <c r="G670" s="303"/>
      <c r="H670" s="303"/>
      <c r="I670" s="303"/>
      <c r="J670" s="303"/>
      <c r="K670" s="303"/>
      <c r="L670" s="303"/>
      <c r="M670" s="303"/>
      <c r="N670" s="303"/>
      <c r="O670" s="303"/>
      <c r="P670" s="303"/>
      <c r="Q670" s="303"/>
      <c r="R670" s="303"/>
      <c r="S670" s="303"/>
      <c r="T670" s="303"/>
      <c r="U670" s="303"/>
      <c r="V670" s="303"/>
      <c r="W670" s="303"/>
      <c r="X670" s="303"/>
      <c r="Y670" s="303"/>
      <c r="Z670" s="303"/>
    </row>
    <row r="671">
      <c r="A671" s="303"/>
      <c r="B671" s="303"/>
      <c r="C671" s="303"/>
      <c r="D671" s="303"/>
      <c r="E671" s="303"/>
      <c r="F671" s="303"/>
      <c r="G671" s="303"/>
      <c r="H671" s="303"/>
      <c r="I671" s="303"/>
      <c r="J671" s="303"/>
      <c r="K671" s="303"/>
      <c r="L671" s="303"/>
      <c r="M671" s="303"/>
      <c r="N671" s="303"/>
      <c r="O671" s="303"/>
      <c r="P671" s="303"/>
      <c r="Q671" s="303"/>
      <c r="R671" s="303"/>
      <c r="S671" s="303"/>
      <c r="T671" s="303"/>
      <c r="U671" s="303"/>
      <c r="V671" s="303"/>
      <c r="W671" s="303"/>
      <c r="X671" s="303"/>
      <c r="Y671" s="303"/>
      <c r="Z671" s="303"/>
    </row>
    <row r="672">
      <c r="A672" s="303"/>
      <c r="B672" s="303"/>
      <c r="C672" s="303"/>
      <c r="D672" s="303"/>
      <c r="E672" s="303"/>
      <c r="F672" s="303"/>
      <c r="G672" s="303"/>
      <c r="H672" s="303"/>
      <c r="I672" s="303"/>
      <c r="J672" s="303"/>
      <c r="K672" s="303"/>
      <c r="L672" s="303"/>
      <c r="M672" s="303"/>
      <c r="N672" s="303"/>
      <c r="O672" s="303"/>
      <c r="P672" s="303"/>
      <c r="Q672" s="303"/>
      <c r="R672" s="303"/>
      <c r="S672" s="303"/>
      <c r="T672" s="303"/>
      <c r="U672" s="303"/>
      <c r="V672" s="303"/>
      <c r="W672" s="303"/>
      <c r="X672" s="303"/>
      <c r="Y672" s="303"/>
      <c r="Z672" s="303"/>
    </row>
    <row r="673">
      <c r="A673" s="303"/>
      <c r="B673" s="303"/>
      <c r="C673" s="303"/>
      <c r="D673" s="303"/>
      <c r="E673" s="303"/>
      <c r="F673" s="303"/>
      <c r="G673" s="303"/>
      <c r="H673" s="303"/>
      <c r="I673" s="303"/>
      <c r="J673" s="303"/>
      <c r="K673" s="303"/>
      <c r="L673" s="303"/>
      <c r="M673" s="303"/>
      <c r="N673" s="303"/>
      <c r="O673" s="303"/>
      <c r="P673" s="303"/>
      <c r="Q673" s="303"/>
      <c r="R673" s="303"/>
      <c r="S673" s="303"/>
      <c r="T673" s="303"/>
      <c r="U673" s="303"/>
      <c r="V673" s="303"/>
      <c r="W673" s="303"/>
      <c r="X673" s="303"/>
      <c r="Y673" s="303"/>
      <c r="Z673" s="303"/>
    </row>
    <row r="674">
      <c r="A674" s="303"/>
      <c r="B674" s="303"/>
      <c r="C674" s="303"/>
      <c r="D674" s="303"/>
      <c r="E674" s="303"/>
      <c r="F674" s="303"/>
      <c r="G674" s="303"/>
      <c r="H674" s="303"/>
      <c r="I674" s="303"/>
      <c r="J674" s="303"/>
      <c r="K674" s="303"/>
      <c r="L674" s="303"/>
      <c r="M674" s="303"/>
      <c r="N674" s="303"/>
      <c r="O674" s="303"/>
      <c r="P674" s="303"/>
      <c r="Q674" s="303"/>
      <c r="R674" s="303"/>
      <c r="S674" s="303"/>
      <c r="T674" s="303"/>
      <c r="U674" s="303"/>
      <c r="V674" s="303"/>
      <c r="W674" s="303"/>
      <c r="X674" s="303"/>
      <c r="Y674" s="303"/>
      <c r="Z674" s="303"/>
    </row>
    <row r="675">
      <c r="A675" s="303"/>
      <c r="B675" s="303"/>
      <c r="C675" s="303"/>
      <c r="D675" s="303"/>
      <c r="E675" s="303"/>
      <c r="F675" s="303"/>
      <c r="G675" s="303"/>
      <c r="H675" s="303"/>
      <c r="I675" s="303"/>
      <c r="J675" s="303"/>
      <c r="K675" s="303"/>
      <c r="L675" s="303"/>
      <c r="M675" s="303"/>
      <c r="N675" s="303"/>
      <c r="O675" s="303"/>
      <c r="P675" s="303"/>
      <c r="Q675" s="303"/>
      <c r="R675" s="303"/>
      <c r="S675" s="303"/>
      <c r="T675" s="303"/>
      <c r="U675" s="303"/>
      <c r="V675" s="303"/>
      <c r="W675" s="303"/>
      <c r="X675" s="303"/>
      <c r="Y675" s="303"/>
      <c r="Z675" s="303"/>
    </row>
    <row r="676">
      <c r="A676" s="303"/>
      <c r="B676" s="303"/>
      <c r="C676" s="303"/>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row>
    <row r="677">
      <c r="A677" s="303"/>
      <c r="B677" s="303"/>
      <c r="C677" s="303"/>
      <c r="D677" s="303"/>
      <c r="E677" s="303"/>
      <c r="F677" s="303"/>
      <c r="G677" s="303"/>
      <c r="H677" s="303"/>
      <c r="I677" s="303"/>
      <c r="J677" s="303"/>
      <c r="K677" s="303"/>
      <c r="L677" s="303"/>
      <c r="M677" s="303"/>
      <c r="N677" s="303"/>
      <c r="O677" s="303"/>
      <c r="P677" s="303"/>
      <c r="Q677" s="303"/>
      <c r="R677" s="303"/>
      <c r="S677" s="303"/>
      <c r="T677" s="303"/>
      <c r="U677" s="303"/>
      <c r="V677" s="303"/>
      <c r="W677" s="303"/>
      <c r="X677" s="303"/>
      <c r="Y677" s="303"/>
      <c r="Z677" s="303"/>
    </row>
    <row r="678">
      <c r="A678" s="303"/>
      <c r="B678" s="303"/>
      <c r="C678" s="303"/>
      <c r="D678" s="303"/>
      <c r="E678" s="303"/>
      <c r="F678" s="303"/>
      <c r="G678" s="303"/>
      <c r="H678" s="303"/>
      <c r="I678" s="303"/>
      <c r="J678" s="303"/>
      <c r="K678" s="303"/>
      <c r="L678" s="303"/>
      <c r="M678" s="303"/>
      <c r="N678" s="303"/>
      <c r="O678" s="303"/>
      <c r="P678" s="303"/>
      <c r="Q678" s="303"/>
      <c r="R678" s="303"/>
      <c r="S678" s="303"/>
      <c r="T678" s="303"/>
      <c r="U678" s="303"/>
      <c r="V678" s="303"/>
      <c r="W678" s="303"/>
      <c r="X678" s="303"/>
      <c r="Y678" s="303"/>
      <c r="Z678" s="303"/>
    </row>
    <row r="679">
      <c r="A679" s="303"/>
      <c r="B679" s="303"/>
      <c r="C679" s="303"/>
      <c r="D679" s="303"/>
      <c r="E679" s="303"/>
      <c r="F679" s="303"/>
      <c r="G679" s="303"/>
      <c r="H679" s="303"/>
      <c r="I679" s="303"/>
      <c r="J679" s="303"/>
      <c r="K679" s="303"/>
      <c r="L679" s="303"/>
      <c r="M679" s="303"/>
      <c r="N679" s="303"/>
      <c r="O679" s="303"/>
      <c r="P679" s="303"/>
      <c r="Q679" s="303"/>
      <c r="R679" s="303"/>
      <c r="S679" s="303"/>
      <c r="T679" s="303"/>
      <c r="U679" s="303"/>
      <c r="V679" s="303"/>
      <c r="W679" s="303"/>
      <c r="X679" s="303"/>
      <c r="Y679" s="303"/>
      <c r="Z679" s="303"/>
    </row>
    <row r="680">
      <c r="A680" s="303"/>
      <c r="B680" s="303"/>
      <c r="C680" s="303"/>
      <c r="D680" s="303"/>
      <c r="E680" s="303"/>
      <c r="F680" s="303"/>
      <c r="G680" s="303"/>
      <c r="H680" s="303"/>
      <c r="I680" s="303"/>
      <c r="J680" s="303"/>
      <c r="K680" s="303"/>
      <c r="L680" s="303"/>
      <c r="M680" s="303"/>
      <c r="N680" s="303"/>
      <c r="O680" s="303"/>
      <c r="P680" s="303"/>
      <c r="Q680" s="303"/>
      <c r="R680" s="303"/>
      <c r="S680" s="303"/>
      <c r="T680" s="303"/>
      <c r="U680" s="303"/>
      <c r="V680" s="303"/>
      <c r="W680" s="303"/>
      <c r="X680" s="303"/>
      <c r="Y680" s="303"/>
      <c r="Z680" s="303"/>
    </row>
    <row r="681">
      <c r="A681" s="303"/>
      <c r="B681" s="303"/>
      <c r="C681" s="303"/>
      <c r="D681" s="303"/>
      <c r="E681" s="303"/>
      <c r="F681" s="303"/>
      <c r="G681" s="303"/>
      <c r="H681" s="303"/>
      <c r="I681" s="303"/>
      <c r="J681" s="303"/>
      <c r="K681" s="303"/>
      <c r="L681" s="303"/>
      <c r="M681" s="303"/>
      <c r="N681" s="303"/>
      <c r="O681" s="303"/>
      <c r="P681" s="303"/>
      <c r="Q681" s="303"/>
      <c r="R681" s="303"/>
      <c r="S681" s="303"/>
      <c r="T681" s="303"/>
      <c r="U681" s="303"/>
      <c r="V681" s="303"/>
      <c r="W681" s="303"/>
      <c r="X681" s="303"/>
      <c r="Y681" s="303"/>
      <c r="Z681" s="303"/>
    </row>
    <row r="682">
      <c r="A682" s="303"/>
      <c r="B682" s="303"/>
      <c r="C682" s="303"/>
      <c r="D682" s="303"/>
      <c r="E682" s="303"/>
      <c r="F682" s="303"/>
      <c r="G682" s="303"/>
      <c r="H682" s="303"/>
      <c r="I682" s="303"/>
      <c r="J682" s="303"/>
      <c r="K682" s="303"/>
      <c r="L682" s="303"/>
      <c r="M682" s="303"/>
      <c r="N682" s="303"/>
      <c r="O682" s="303"/>
      <c r="P682" s="303"/>
      <c r="Q682" s="303"/>
      <c r="R682" s="303"/>
      <c r="S682" s="303"/>
      <c r="T682" s="303"/>
      <c r="U682" s="303"/>
      <c r="V682" s="303"/>
      <c r="W682" s="303"/>
      <c r="X682" s="303"/>
      <c r="Y682" s="303"/>
      <c r="Z682" s="303"/>
    </row>
    <row r="683">
      <c r="A683" s="303"/>
      <c r="B683" s="303"/>
      <c r="C683" s="303"/>
      <c r="D683" s="303"/>
      <c r="E683" s="303"/>
      <c r="F683" s="303"/>
      <c r="G683" s="303"/>
      <c r="H683" s="303"/>
      <c r="I683" s="303"/>
      <c r="J683" s="303"/>
      <c r="K683" s="303"/>
      <c r="L683" s="303"/>
      <c r="M683" s="303"/>
      <c r="N683" s="303"/>
      <c r="O683" s="303"/>
      <c r="P683" s="303"/>
      <c r="Q683" s="303"/>
      <c r="R683" s="303"/>
      <c r="S683" s="303"/>
      <c r="T683" s="303"/>
      <c r="U683" s="303"/>
      <c r="V683" s="303"/>
      <c r="W683" s="303"/>
      <c r="X683" s="303"/>
      <c r="Y683" s="303"/>
      <c r="Z683" s="303"/>
    </row>
    <row r="684">
      <c r="A684" s="303"/>
      <c r="B684" s="303"/>
      <c r="C684" s="303"/>
      <c r="D684" s="303"/>
      <c r="E684" s="303"/>
      <c r="F684" s="303"/>
      <c r="G684" s="303"/>
      <c r="H684" s="303"/>
      <c r="I684" s="303"/>
      <c r="J684" s="303"/>
      <c r="K684" s="303"/>
      <c r="L684" s="303"/>
      <c r="M684" s="303"/>
      <c r="N684" s="303"/>
      <c r="O684" s="303"/>
      <c r="P684" s="303"/>
      <c r="Q684" s="303"/>
      <c r="R684" s="303"/>
      <c r="S684" s="303"/>
      <c r="T684" s="303"/>
      <c r="U684" s="303"/>
      <c r="V684" s="303"/>
      <c r="W684" s="303"/>
      <c r="X684" s="303"/>
      <c r="Y684" s="303"/>
      <c r="Z684" s="303"/>
    </row>
    <row r="685">
      <c r="A685" s="303"/>
      <c r="B685" s="303"/>
      <c r="C685" s="303"/>
      <c r="D685" s="303"/>
      <c r="E685" s="303"/>
      <c r="F685" s="303"/>
      <c r="G685" s="303"/>
      <c r="H685" s="303"/>
      <c r="I685" s="303"/>
      <c r="J685" s="303"/>
      <c r="K685" s="303"/>
      <c r="L685" s="303"/>
      <c r="M685" s="303"/>
      <c r="N685" s="303"/>
      <c r="O685" s="303"/>
      <c r="P685" s="303"/>
      <c r="Q685" s="303"/>
      <c r="R685" s="303"/>
      <c r="S685" s="303"/>
      <c r="T685" s="303"/>
      <c r="U685" s="303"/>
      <c r="V685" s="303"/>
      <c r="W685" s="303"/>
      <c r="X685" s="303"/>
      <c r="Y685" s="303"/>
      <c r="Z685" s="303"/>
    </row>
    <row r="686">
      <c r="A686" s="303"/>
      <c r="B686" s="303"/>
      <c r="C686" s="303"/>
      <c r="D686" s="303"/>
      <c r="E686" s="303"/>
      <c r="F686" s="303"/>
      <c r="G686" s="303"/>
      <c r="H686" s="303"/>
      <c r="I686" s="303"/>
      <c r="J686" s="303"/>
      <c r="K686" s="303"/>
      <c r="L686" s="303"/>
      <c r="M686" s="303"/>
      <c r="N686" s="303"/>
      <c r="O686" s="303"/>
      <c r="P686" s="303"/>
      <c r="Q686" s="303"/>
      <c r="R686" s="303"/>
      <c r="S686" s="303"/>
      <c r="T686" s="303"/>
      <c r="U686" s="303"/>
      <c r="V686" s="303"/>
      <c r="W686" s="303"/>
      <c r="X686" s="303"/>
      <c r="Y686" s="303"/>
      <c r="Z686" s="303"/>
    </row>
    <row r="687">
      <c r="A687" s="303"/>
      <c r="B687" s="303"/>
      <c r="C687" s="303"/>
      <c r="D687" s="303"/>
      <c r="E687" s="303"/>
      <c r="F687" s="303"/>
      <c r="G687" s="303"/>
      <c r="H687" s="303"/>
      <c r="I687" s="303"/>
      <c r="J687" s="303"/>
      <c r="K687" s="303"/>
      <c r="L687" s="303"/>
      <c r="M687" s="303"/>
      <c r="N687" s="303"/>
      <c r="O687" s="303"/>
      <c r="P687" s="303"/>
      <c r="Q687" s="303"/>
      <c r="R687" s="303"/>
      <c r="S687" s="303"/>
      <c r="T687" s="303"/>
      <c r="U687" s="303"/>
      <c r="V687" s="303"/>
      <c r="W687" s="303"/>
      <c r="X687" s="303"/>
      <c r="Y687" s="303"/>
      <c r="Z687" s="303"/>
    </row>
    <row r="688">
      <c r="A688" s="303"/>
      <c r="B688" s="303"/>
      <c r="C688" s="303"/>
      <c r="D688" s="303"/>
      <c r="E688" s="303"/>
      <c r="F688" s="303"/>
      <c r="G688" s="303"/>
      <c r="H688" s="303"/>
      <c r="I688" s="303"/>
      <c r="J688" s="303"/>
      <c r="K688" s="303"/>
      <c r="L688" s="303"/>
      <c r="M688" s="303"/>
      <c r="N688" s="303"/>
      <c r="O688" s="303"/>
      <c r="P688" s="303"/>
      <c r="Q688" s="303"/>
      <c r="R688" s="303"/>
      <c r="S688" s="303"/>
      <c r="T688" s="303"/>
      <c r="U688" s="303"/>
      <c r="V688" s="303"/>
      <c r="W688" s="303"/>
      <c r="X688" s="303"/>
      <c r="Y688" s="303"/>
      <c r="Z688" s="303"/>
    </row>
    <row r="689">
      <c r="A689" s="303"/>
      <c r="B689" s="303"/>
      <c r="C689" s="303"/>
      <c r="D689" s="303"/>
      <c r="E689" s="303"/>
      <c r="F689" s="303"/>
      <c r="G689" s="303"/>
      <c r="H689" s="303"/>
      <c r="I689" s="303"/>
      <c r="J689" s="303"/>
      <c r="K689" s="303"/>
      <c r="L689" s="303"/>
      <c r="M689" s="303"/>
      <c r="N689" s="303"/>
      <c r="O689" s="303"/>
      <c r="P689" s="303"/>
      <c r="Q689" s="303"/>
      <c r="R689" s="303"/>
      <c r="S689" s="303"/>
      <c r="T689" s="303"/>
      <c r="U689" s="303"/>
      <c r="V689" s="303"/>
      <c r="W689" s="303"/>
      <c r="X689" s="303"/>
      <c r="Y689" s="303"/>
      <c r="Z689" s="303"/>
    </row>
    <row r="690">
      <c r="A690" s="303"/>
      <c r="B690" s="303"/>
      <c r="C690" s="303"/>
      <c r="D690" s="303"/>
      <c r="E690" s="303"/>
      <c r="F690" s="303"/>
      <c r="G690" s="303"/>
      <c r="H690" s="303"/>
      <c r="I690" s="303"/>
      <c r="J690" s="303"/>
      <c r="K690" s="303"/>
      <c r="L690" s="303"/>
      <c r="M690" s="303"/>
      <c r="N690" s="303"/>
      <c r="O690" s="303"/>
      <c r="P690" s="303"/>
      <c r="Q690" s="303"/>
      <c r="R690" s="303"/>
      <c r="S690" s="303"/>
      <c r="T690" s="303"/>
      <c r="U690" s="303"/>
      <c r="V690" s="303"/>
      <c r="W690" s="303"/>
      <c r="X690" s="303"/>
      <c r="Y690" s="303"/>
      <c r="Z690" s="303"/>
    </row>
    <row r="691">
      <c r="A691" s="303"/>
      <c r="B691" s="303"/>
      <c r="C691" s="303"/>
      <c r="D691" s="303"/>
      <c r="E691" s="303"/>
      <c r="F691" s="303"/>
      <c r="G691" s="303"/>
      <c r="H691" s="303"/>
      <c r="I691" s="303"/>
      <c r="J691" s="303"/>
      <c r="K691" s="303"/>
      <c r="L691" s="303"/>
      <c r="M691" s="303"/>
      <c r="N691" s="303"/>
      <c r="O691" s="303"/>
      <c r="P691" s="303"/>
      <c r="Q691" s="303"/>
      <c r="R691" s="303"/>
      <c r="S691" s="303"/>
      <c r="T691" s="303"/>
      <c r="U691" s="303"/>
      <c r="V691" s="303"/>
      <c r="W691" s="303"/>
      <c r="X691" s="303"/>
      <c r="Y691" s="303"/>
      <c r="Z691" s="303"/>
    </row>
    <row r="692">
      <c r="A692" s="303"/>
      <c r="B692" s="303"/>
      <c r="C692" s="303"/>
      <c r="D692" s="303"/>
      <c r="E692" s="303"/>
      <c r="F692" s="303"/>
      <c r="G692" s="303"/>
      <c r="H692" s="303"/>
      <c r="I692" s="303"/>
      <c r="J692" s="303"/>
      <c r="K692" s="303"/>
      <c r="L692" s="303"/>
      <c r="M692" s="303"/>
      <c r="N692" s="303"/>
      <c r="O692" s="303"/>
      <c r="P692" s="303"/>
      <c r="Q692" s="303"/>
      <c r="R692" s="303"/>
      <c r="S692" s="303"/>
      <c r="T692" s="303"/>
      <c r="U692" s="303"/>
      <c r="V692" s="303"/>
      <c r="W692" s="303"/>
      <c r="X692" s="303"/>
      <c r="Y692" s="303"/>
      <c r="Z692" s="303"/>
    </row>
    <row r="693">
      <c r="A693" s="303"/>
      <c r="B693" s="303"/>
      <c r="C693" s="303"/>
      <c r="D693" s="303"/>
      <c r="E693" s="303"/>
      <c r="F693" s="303"/>
      <c r="G693" s="303"/>
      <c r="H693" s="303"/>
      <c r="I693" s="303"/>
      <c r="J693" s="303"/>
      <c r="K693" s="303"/>
      <c r="L693" s="303"/>
      <c r="M693" s="303"/>
      <c r="N693" s="303"/>
      <c r="O693" s="303"/>
      <c r="P693" s="303"/>
      <c r="Q693" s="303"/>
      <c r="R693" s="303"/>
      <c r="S693" s="303"/>
      <c r="T693" s="303"/>
      <c r="U693" s="303"/>
      <c r="V693" s="303"/>
      <c r="W693" s="303"/>
      <c r="X693" s="303"/>
      <c r="Y693" s="303"/>
      <c r="Z693" s="303"/>
    </row>
    <row r="694">
      <c r="A694" s="303"/>
      <c r="B694" s="303"/>
      <c r="C694" s="303"/>
      <c r="D694" s="303"/>
      <c r="E694" s="303"/>
      <c r="F694" s="303"/>
      <c r="G694" s="303"/>
      <c r="H694" s="303"/>
      <c r="I694" s="303"/>
      <c r="J694" s="303"/>
      <c r="K694" s="303"/>
      <c r="L694" s="303"/>
      <c r="M694" s="303"/>
      <c r="N694" s="303"/>
      <c r="O694" s="303"/>
      <c r="P694" s="303"/>
      <c r="Q694" s="303"/>
      <c r="R694" s="303"/>
      <c r="S694" s="303"/>
      <c r="T694" s="303"/>
      <c r="U694" s="303"/>
      <c r="V694" s="303"/>
      <c r="W694" s="303"/>
      <c r="X694" s="303"/>
      <c r="Y694" s="303"/>
      <c r="Z694" s="303"/>
    </row>
    <row r="695">
      <c r="A695" s="303"/>
      <c r="B695" s="303"/>
      <c r="C695" s="303"/>
      <c r="D695" s="303"/>
      <c r="E695" s="303"/>
      <c r="F695" s="303"/>
      <c r="G695" s="303"/>
      <c r="H695" s="303"/>
      <c r="I695" s="303"/>
      <c r="J695" s="303"/>
      <c r="K695" s="303"/>
      <c r="L695" s="303"/>
      <c r="M695" s="303"/>
      <c r="N695" s="303"/>
      <c r="O695" s="303"/>
      <c r="P695" s="303"/>
      <c r="Q695" s="303"/>
      <c r="R695" s="303"/>
      <c r="S695" s="303"/>
      <c r="T695" s="303"/>
      <c r="U695" s="303"/>
      <c r="V695" s="303"/>
      <c r="W695" s="303"/>
      <c r="X695" s="303"/>
      <c r="Y695" s="303"/>
      <c r="Z695" s="303"/>
    </row>
    <row r="696">
      <c r="A696" s="303"/>
      <c r="B696" s="303"/>
      <c r="C696" s="303"/>
      <c r="D696" s="303"/>
      <c r="E696" s="303"/>
      <c r="F696" s="303"/>
      <c r="G696" s="303"/>
      <c r="H696" s="303"/>
      <c r="I696" s="303"/>
      <c r="J696" s="303"/>
      <c r="K696" s="303"/>
      <c r="L696" s="303"/>
      <c r="M696" s="303"/>
      <c r="N696" s="303"/>
      <c r="O696" s="303"/>
      <c r="P696" s="303"/>
      <c r="Q696" s="303"/>
      <c r="R696" s="303"/>
      <c r="S696" s="303"/>
      <c r="T696" s="303"/>
      <c r="U696" s="303"/>
      <c r="V696" s="303"/>
      <c r="W696" s="303"/>
      <c r="X696" s="303"/>
      <c r="Y696" s="303"/>
      <c r="Z696" s="303"/>
    </row>
    <row r="697">
      <c r="A697" s="303"/>
      <c r="B697" s="303"/>
      <c r="C697" s="303"/>
      <c r="D697" s="303"/>
      <c r="E697" s="303"/>
      <c r="F697" s="303"/>
      <c r="G697" s="303"/>
      <c r="H697" s="303"/>
      <c r="I697" s="303"/>
      <c r="J697" s="303"/>
      <c r="K697" s="303"/>
      <c r="L697" s="303"/>
      <c r="M697" s="303"/>
      <c r="N697" s="303"/>
      <c r="O697" s="303"/>
      <c r="P697" s="303"/>
      <c r="Q697" s="303"/>
      <c r="R697" s="303"/>
      <c r="S697" s="303"/>
      <c r="T697" s="303"/>
      <c r="U697" s="303"/>
      <c r="V697" s="303"/>
      <c r="W697" s="303"/>
      <c r="X697" s="303"/>
      <c r="Y697" s="303"/>
      <c r="Z697" s="303"/>
    </row>
    <row r="698">
      <c r="A698" s="303"/>
      <c r="B698" s="303"/>
      <c r="C698" s="303"/>
      <c r="D698" s="303"/>
      <c r="E698" s="303"/>
      <c r="F698" s="303"/>
      <c r="G698" s="303"/>
      <c r="H698" s="303"/>
      <c r="I698" s="303"/>
      <c r="J698" s="303"/>
      <c r="K698" s="303"/>
      <c r="L698" s="303"/>
      <c r="M698" s="303"/>
      <c r="N698" s="303"/>
      <c r="O698" s="303"/>
      <c r="P698" s="303"/>
      <c r="Q698" s="303"/>
      <c r="R698" s="303"/>
      <c r="S698" s="303"/>
      <c r="T698" s="303"/>
      <c r="U698" s="303"/>
      <c r="V698" s="303"/>
      <c r="W698" s="303"/>
      <c r="X698" s="303"/>
      <c r="Y698" s="303"/>
      <c r="Z698" s="303"/>
    </row>
    <row r="699">
      <c r="A699" s="303"/>
      <c r="B699" s="303"/>
      <c r="C699" s="303"/>
      <c r="D699" s="303"/>
      <c r="E699" s="303"/>
      <c r="F699" s="303"/>
      <c r="G699" s="303"/>
      <c r="H699" s="303"/>
      <c r="I699" s="303"/>
      <c r="J699" s="303"/>
      <c r="K699" s="303"/>
      <c r="L699" s="303"/>
      <c r="M699" s="303"/>
      <c r="N699" s="303"/>
      <c r="O699" s="303"/>
      <c r="P699" s="303"/>
      <c r="Q699" s="303"/>
      <c r="R699" s="303"/>
      <c r="S699" s="303"/>
      <c r="T699" s="303"/>
      <c r="U699" s="303"/>
      <c r="V699" s="303"/>
      <c r="W699" s="303"/>
      <c r="X699" s="303"/>
      <c r="Y699" s="303"/>
      <c r="Z699" s="303"/>
    </row>
    <row r="700">
      <c r="A700" s="303"/>
      <c r="B700" s="303"/>
      <c r="C700" s="303"/>
      <c r="D700" s="303"/>
      <c r="E700" s="303"/>
      <c r="F700" s="303"/>
      <c r="G700" s="303"/>
      <c r="H700" s="303"/>
      <c r="I700" s="303"/>
      <c r="J700" s="303"/>
      <c r="K700" s="303"/>
      <c r="L700" s="303"/>
      <c r="M700" s="303"/>
      <c r="N700" s="303"/>
      <c r="O700" s="303"/>
      <c r="P700" s="303"/>
      <c r="Q700" s="303"/>
      <c r="R700" s="303"/>
      <c r="S700" s="303"/>
      <c r="T700" s="303"/>
      <c r="U700" s="303"/>
      <c r="V700" s="303"/>
      <c r="W700" s="303"/>
      <c r="X700" s="303"/>
      <c r="Y700" s="303"/>
      <c r="Z700" s="303"/>
    </row>
    <row r="701">
      <c r="A701" s="303"/>
      <c r="B701" s="303"/>
      <c r="C701" s="303"/>
      <c r="D701" s="303"/>
      <c r="E701" s="303"/>
      <c r="F701" s="303"/>
      <c r="G701" s="303"/>
      <c r="H701" s="303"/>
      <c r="I701" s="303"/>
      <c r="J701" s="303"/>
      <c r="K701" s="303"/>
      <c r="L701" s="303"/>
      <c r="M701" s="303"/>
      <c r="N701" s="303"/>
      <c r="O701" s="303"/>
      <c r="P701" s="303"/>
      <c r="Q701" s="303"/>
      <c r="R701" s="303"/>
      <c r="S701" s="303"/>
      <c r="T701" s="303"/>
      <c r="U701" s="303"/>
      <c r="V701" s="303"/>
      <c r="W701" s="303"/>
      <c r="X701" s="303"/>
      <c r="Y701" s="303"/>
      <c r="Z701" s="303"/>
    </row>
    <row r="702">
      <c r="A702" s="303"/>
      <c r="B702" s="303"/>
      <c r="C702" s="303"/>
      <c r="D702" s="303"/>
      <c r="E702" s="303"/>
      <c r="F702" s="303"/>
      <c r="G702" s="303"/>
      <c r="H702" s="303"/>
      <c r="I702" s="303"/>
      <c r="J702" s="303"/>
      <c r="K702" s="303"/>
      <c r="L702" s="303"/>
      <c r="M702" s="303"/>
      <c r="N702" s="303"/>
      <c r="O702" s="303"/>
      <c r="P702" s="303"/>
      <c r="Q702" s="303"/>
      <c r="R702" s="303"/>
      <c r="S702" s="303"/>
      <c r="T702" s="303"/>
      <c r="U702" s="303"/>
      <c r="V702" s="303"/>
      <c r="W702" s="303"/>
      <c r="X702" s="303"/>
      <c r="Y702" s="303"/>
      <c r="Z702" s="303"/>
    </row>
    <row r="703">
      <c r="A703" s="303"/>
      <c r="B703" s="303"/>
      <c r="C703" s="303"/>
      <c r="D703" s="303"/>
      <c r="E703" s="303"/>
      <c r="F703" s="303"/>
      <c r="G703" s="303"/>
      <c r="H703" s="303"/>
      <c r="I703" s="303"/>
      <c r="J703" s="303"/>
      <c r="K703" s="303"/>
      <c r="L703" s="303"/>
      <c r="M703" s="303"/>
      <c r="N703" s="303"/>
      <c r="O703" s="303"/>
      <c r="P703" s="303"/>
      <c r="Q703" s="303"/>
      <c r="R703" s="303"/>
      <c r="S703" s="303"/>
      <c r="T703" s="303"/>
      <c r="U703" s="303"/>
      <c r="V703" s="303"/>
      <c r="W703" s="303"/>
      <c r="X703" s="303"/>
      <c r="Y703" s="303"/>
      <c r="Z703" s="303"/>
    </row>
    <row r="704">
      <c r="A704" s="303"/>
      <c r="B704" s="303"/>
      <c r="C704" s="303"/>
      <c r="D704" s="303"/>
      <c r="E704" s="303"/>
      <c r="F704" s="303"/>
      <c r="G704" s="303"/>
      <c r="H704" s="303"/>
      <c r="I704" s="303"/>
      <c r="J704" s="303"/>
      <c r="K704" s="303"/>
      <c r="L704" s="303"/>
      <c r="M704" s="303"/>
      <c r="N704" s="303"/>
      <c r="O704" s="303"/>
      <c r="P704" s="303"/>
      <c r="Q704" s="303"/>
      <c r="R704" s="303"/>
      <c r="S704" s="303"/>
      <c r="T704" s="303"/>
      <c r="U704" s="303"/>
      <c r="V704" s="303"/>
      <c r="W704" s="303"/>
      <c r="X704" s="303"/>
      <c r="Y704" s="303"/>
      <c r="Z704" s="303"/>
    </row>
    <row r="705">
      <c r="A705" s="303"/>
      <c r="B705" s="303"/>
      <c r="C705" s="303"/>
      <c r="D705" s="303"/>
      <c r="E705" s="303"/>
      <c r="F705" s="303"/>
      <c r="G705" s="303"/>
      <c r="H705" s="303"/>
      <c r="I705" s="303"/>
      <c r="J705" s="303"/>
      <c r="K705" s="303"/>
      <c r="L705" s="303"/>
      <c r="M705" s="303"/>
      <c r="N705" s="303"/>
      <c r="O705" s="303"/>
      <c r="P705" s="303"/>
      <c r="Q705" s="303"/>
      <c r="R705" s="303"/>
      <c r="S705" s="303"/>
      <c r="T705" s="303"/>
      <c r="U705" s="303"/>
      <c r="V705" s="303"/>
      <c r="W705" s="303"/>
      <c r="X705" s="303"/>
      <c r="Y705" s="303"/>
      <c r="Z705" s="303"/>
    </row>
    <row r="706">
      <c r="A706" s="303"/>
      <c r="B706" s="303"/>
      <c r="C706" s="303"/>
      <c r="D706" s="303"/>
      <c r="E706" s="303"/>
      <c r="F706" s="303"/>
      <c r="G706" s="303"/>
      <c r="H706" s="303"/>
      <c r="I706" s="303"/>
      <c r="J706" s="303"/>
      <c r="K706" s="303"/>
      <c r="L706" s="303"/>
      <c r="M706" s="303"/>
      <c r="N706" s="303"/>
      <c r="O706" s="303"/>
      <c r="P706" s="303"/>
      <c r="Q706" s="303"/>
      <c r="R706" s="303"/>
      <c r="S706" s="303"/>
      <c r="T706" s="303"/>
      <c r="U706" s="303"/>
      <c r="V706" s="303"/>
      <c r="W706" s="303"/>
      <c r="X706" s="303"/>
      <c r="Y706" s="303"/>
      <c r="Z706" s="303"/>
    </row>
    <row r="707">
      <c r="A707" s="303"/>
      <c r="B707" s="303"/>
      <c r="C707" s="303"/>
      <c r="D707" s="303"/>
      <c r="E707" s="303"/>
      <c r="F707" s="303"/>
      <c r="G707" s="303"/>
      <c r="H707" s="303"/>
      <c r="I707" s="303"/>
      <c r="J707" s="303"/>
      <c r="K707" s="303"/>
      <c r="L707" s="303"/>
      <c r="M707" s="303"/>
      <c r="N707" s="303"/>
      <c r="O707" s="303"/>
      <c r="P707" s="303"/>
      <c r="Q707" s="303"/>
      <c r="R707" s="303"/>
      <c r="S707" s="303"/>
      <c r="T707" s="303"/>
      <c r="U707" s="303"/>
      <c r="V707" s="303"/>
      <c r="W707" s="303"/>
      <c r="X707" s="303"/>
      <c r="Y707" s="303"/>
      <c r="Z707" s="303"/>
    </row>
    <row r="708">
      <c r="A708" s="303"/>
      <c r="B708" s="303"/>
      <c r="C708" s="303"/>
      <c r="D708" s="303"/>
      <c r="E708" s="303"/>
      <c r="F708" s="303"/>
      <c r="G708" s="303"/>
      <c r="H708" s="303"/>
      <c r="I708" s="303"/>
      <c r="J708" s="303"/>
      <c r="K708" s="303"/>
      <c r="L708" s="303"/>
      <c r="M708" s="303"/>
      <c r="N708" s="303"/>
      <c r="O708" s="303"/>
      <c r="P708" s="303"/>
      <c r="Q708" s="303"/>
      <c r="R708" s="303"/>
      <c r="S708" s="303"/>
      <c r="T708" s="303"/>
      <c r="U708" s="303"/>
      <c r="V708" s="303"/>
      <c r="W708" s="303"/>
      <c r="X708" s="303"/>
      <c r="Y708" s="303"/>
      <c r="Z708" s="303"/>
    </row>
    <row r="709">
      <c r="A709" s="303"/>
      <c r="B709" s="303"/>
      <c r="C709" s="303"/>
      <c r="D709" s="303"/>
      <c r="E709" s="303"/>
      <c r="F709" s="303"/>
      <c r="G709" s="303"/>
      <c r="H709" s="303"/>
      <c r="I709" s="303"/>
      <c r="J709" s="303"/>
      <c r="K709" s="303"/>
      <c r="L709" s="303"/>
      <c r="M709" s="303"/>
      <c r="N709" s="303"/>
      <c r="O709" s="303"/>
      <c r="P709" s="303"/>
      <c r="Q709" s="303"/>
      <c r="R709" s="303"/>
      <c r="S709" s="303"/>
      <c r="T709" s="303"/>
      <c r="U709" s="303"/>
      <c r="V709" s="303"/>
      <c r="W709" s="303"/>
      <c r="X709" s="303"/>
      <c r="Y709" s="303"/>
      <c r="Z709" s="303"/>
    </row>
    <row r="710">
      <c r="A710" s="303"/>
      <c r="B710" s="303"/>
      <c r="C710" s="303"/>
      <c r="D710" s="303"/>
      <c r="E710" s="303"/>
      <c r="F710" s="303"/>
      <c r="G710" s="303"/>
      <c r="H710" s="303"/>
      <c r="I710" s="303"/>
      <c r="J710" s="303"/>
      <c r="K710" s="303"/>
      <c r="L710" s="303"/>
      <c r="M710" s="303"/>
      <c r="N710" s="303"/>
      <c r="O710" s="303"/>
      <c r="P710" s="303"/>
      <c r="Q710" s="303"/>
      <c r="R710" s="303"/>
      <c r="S710" s="303"/>
      <c r="T710" s="303"/>
      <c r="U710" s="303"/>
      <c r="V710" s="303"/>
      <c r="W710" s="303"/>
      <c r="X710" s="303"/>
      <c r="Y710" s="303"/>
      <c r="Z710" s="303"/>
    </row>
    <row r="711">
      <c r="A711" s="303"/>
      <c r="B711" s="303"/>
      <c r="C711" s="303"/>
      <c r="D711" s="303"/>
      <c r="E711" s="303"/>
      <c r="F711" s="303"/>
      <c r="G711" s="303"/>
      <c r="H711" s="303"/>
      <c r="I711" s="303"/>
      <c r="J711" s="303"/>
      <c r="K711" s="303"/>
      <c r="L711" s="303"/>
      <c r="M711" s="303"/>
      <c r="N711" s="303"/>
      <c r="O711" s="303"/>
      <c r="P711" s="303"/>
      <c r="Q711" s="303"/>
      <c r="R711" s="303"/>
      <c r="S711" s="303"/>
      <c r="T711" s="303"/>
      <c r="U711" s="303"/>
      <c r="V711" s="303"/>
      <c r="W711" s="303"/>
      <c r="X711" s="303"/>
      <c r="Y711" s="303"/>
      <c r="Z711" s="303"/>
    </row>
    <row r="712">
      <c r="A712" s="303"/>
      <c r="B712" s="303"/>
      <c r="C712" s="303"/>
      <c r="D712" s="303"/>
      <c r="E712" s="303"/>
      <c r="F712" s="303"/>
      <c r="G712" s="303"/>
      <c r="H712" s="303"/>
      <c r="I712" s="303"/>
      <c r="J712" s="303"/>
      <c r="K712" s="303"/>
      <c r="L712" s="303"/>
      <c r="M712" s="303"/>
      <c r="N712" s="303"/>
      <c r="O712" s="303"/>
      <c r="P712" s="303"/>
      <c r="Q712" s="303"/>
      <c r="R712" s="303"/>
      <c r="S712" s="303"/>
      <c r="T712" s="303"/>
      <c r="U712" s="303"/>
      <c r="V712" s="303"/>
      <c r="W712" s="303"/>
      <c r="X712" s="303"/>
      <c r="Y712" s="303"/>
      <c r="Z712" s="303"/>
    </row>
    <row r="713">
      <c r="A713" s="303"/>
      <c r="B713" s="303"/>
      <c r="C713" s="303"/>
      <c r="D713" s="303"/>
      <c r="E713" s="303"/>
      <c r="F713" s="303"/>
      <c r="G713" s="303"/>
      <c r="H713" s="303"/>
      <c r="I713" s="303"/>
      <c r="J713" s="303"/>
      <c r="K713" s="303"/>
      <c r="L713" s="303"/>
      <c r="M713" s="303"/>
      <c r="N713" s="303"/>
      <c r="O713" s="303"/>
      <c r="P713" s="303"/>
      <c r="Q713" s="303"/>
      <c r="R713" s="303"/>
      <c r="S713" s="303"/>
      <c r="T713" s="303"/>
      <c r="U713" s="303"/>
      <c r="V713" s="303"/>
      <c r="W713" s="303"/>
      <c r="X713" s="303"/>
      <c r="Y713" s="303"/>
      <c r="Z713" s="303"/>
    </row>
    <row r="714">
      <c r="A714" s="303"/>
      <c r="B714" s="303"/>
      <c r="C714" s="303"/>
      <c r="D714" s="303"/>
      <c r="E714" s="303"/>
      <c r="F714" s="303"/>
      <c r="G714" s="303"/>
      <c r="H714" s="303"/>
      <c r="I714" s="303"/>
      <c r="J714" s="303"/>
      <c r="K714" s="303"/>
      <c r="L714" s="303"/>
      <c r="M714" s="303"/>
      <c r="N714" s="303"/>
      <c r="O714" s="303"/>
      <c r="P714" s="303"/>
      <c r="Q714" s="303"/>
      <c r="R714" s="303"/>
      <c r="S714" s="303"/>
      <c r="T714" s="303"/>
      <c r="U714" s="303"/>
      <c r="V714" s="303"/>
      <c r="W714" s="303"/>
      <c r="X714" s="303"/>
      <c r="Y714" s="303"/>
      <c r="Z714" s="303"/>
    </row>
    <row r="715">
      <c r="A715" s="303"/>
      <c r="B715" s="303"/>
      <c r="C715" s="303"/>
      <c r="D715" s="303"/>
      <c r="E715" s="303"/>
      <c r="F715" s="303"/>
      <c r="G715" s="303"/>
      <c r="H715" s="303"/>
      <c r="I715" s="303"/>
      <c r="J715" s="303"/>
      <c r="K715" s="303"/>
      <c r="L715" s="303"/>
      <c r="M715" s="303"/>
      <c r="N715" s="303"/>
      <c r="O715" s="303"/>
      <c r="P715" s="303"/>
      <c r="Q715" s="303"/>
      <c r="R715" s="303"/>
      <c r="S715" s="303"/>
      <c r="T715" s="303"/>
      <c r="U715" s="303"/>
      <c r="V715" s="303"/>
      <c r="W715" s="303"/>
      <c r="X715" s="303"/>
      <c r="Y715" s="303"/>
      <c r="Z715" s="303"/>
    </row>
    <row r="716">
      <c r="A716" s="303"/>
      <c r="B716" s="303"/>
      <c r="C716" s="303"/>
      <c r="D716" s="303"/>
      <c r="E716" s="303"/>
      <c r="F716" s="303"/>
      <c r="G716" s="303"/>
      <c r="H716" s="303"/>
      <c r="I716" s="303"/>
      <c r="J716" s="303"/>
      <c r="K716" s="303"/>
      <c r="L716" s="303"/>
      <c r="M716" s="303"/>
      <c r="N716" s="303"/>
      <c r="O716" s="303"/>
      <c r="P716" s="303"/>
      <c r="Q716" s="303"/>
      <c r="R716" s="303"/>
      <c r="S716" s="303"/>
      <c r="T716" s="303"/>
      <c r="U716" s="303"/>
      <c r="V716" s="303"/>
      <c r="W716" s="303"/>
      <c r="X716" s="303"/>
      <c r="Y716" s="303"/>
      <c r="Z716" s="303"/>
    </row>
    <row r="717">
      <c r="A717" s="303"/>
      <c r="B717" s="303"/>
      <c r="C717" s="303"/>
      <c r="D717" s="303"/>
      <c r="E717" s="303"/>
      <c r="F717" s="303"/>
      <c r="G717" s="303"/>
      <c r="H717" s="303"/>
      <c r="I717" s="303"/>
      <c r="J717" s="303"/>
      <c r="K717" s="303"/>
      <c r="L717" s="303"/>
      <c r="M717" s="303"/>
      <c r="N717" s="303"/>
      <c r="O717" s="303"/>
      <c r="P717" s="303"/>
      <c r="Q717" s="303"/>
      <c r="R717" s="303"/>
      <c r="S717" s="303"/>
      <c r="T717" s="303"/>
      <c r="U717" s="303"/>
      <c r="V717" s="303"/>
      <c r="W717" s="303"/>
      <c r="X717" s="303"/>
      <c r="Y717" s="303"/>
      <c r="Z717" s="303"/>
    </row>
    <row r="718">
      <c r="A718" s="303"/>
      <c r="B718" s="303"/>
      <c r="C718" s="303"/>
      <c r="D718" s="303"/>
      <c r="E718" s="303"/>
      <c r="F718" s="303"/>
      <c r="G718" s="303"/>
      <c r="H718" s="303"/>
      <c r="I718" s="303"/>
      <c r="J718" s="303"/>
      <c r="K718" s="303"/>
      <c r="L718" s="303"/>
      <c r="M718" s="303"/>
      <c r="N718" s="303"/>
      <c r="O718" s="303"/>
      <c r="P718" s="303"/>
      <c r="Q718" s="303"/>
      <c r="R718" s="303"/>
      <c r="S718" s="303"/>
      <c r="T718" s="303"/>
      <c r="U718" s="303"/>
      <c r="V718" s="303"/>
      <c r="W718" s="303"/>
      <c r="X718" s="303"/>
      <c r="Y718" s="303"/>
      <c r="Z718" s="303"/>
    </row>
    <row r="719">
      <c r="A719" s="303"/>
      <c r="B719" s="303"/>
      <c r="C719" s="303"/>
      <c r="D719" s="303"/>
      <c r="E719" s="303"/>
      <c r="F719" s="303"/>
      <c r="G719" s="303"/>
      <c r="H719" s="303"/>
      <c r="I719" s="303"/>
      <c r="J719" s="303"/>
      <c r="K719" s="303"/>
      <c r="L719" s="303"/>
      <c r="M719" s="303"/>
      <c r="N719" s="303"/>
      <c r="O719" s="303"/>
      <c r="P719" s="303"/>
      <c r="Q719" s="303"/>
      <c r="R719" s="303"/>
      <c r="S719" s="303"/>
      <c r="T719" s="303"/>
      <c r="U719" s="303"/>
      <c r="V719" s="303"/>
      <c r="W719" s="303"/>
      <c r="X719" s="303"/>
      <c r="Y719" s="303"/>
      <c r="Z719" s="303"/>
    </row>
    <row r="720">
      <c r="A720" s="303"/>
      <c r="B720" s="303"/>
      <c r="C720" s="303"/>
      <c r="D720" s="303"/>
      <c r="E720" s="303"/>
      <c r="F720" s="303"/>
      <c r="G720" s="303"/>
      <c r="H720" s="303"/>
      <c r="I720" s="303"/>
      <c r="J720" s="303"/>
      <c r="K720" s="303"/>
      <c r="L720" s="303"/>
      <c r="M720" s="303"/>
      <c r="N720" s="303"/>
      <c r="O720" s="303"/>
      <c r="P720" s="303"/>
      <c r="Q720" s="303"/>
      <c r="R720" s="303"/>
      <c r="S720" s="303"/>
      <c r="T720" s="303"/>
      <c r="U720" s="303"/>
      <c r="V720" s="303"/>
      <c r="W720" s="303"/>
      <c r="X720" s="303"/>
      <c r="Y720" s="303"/>
      <c r="Z720" s="303"/>
    </row>
    <row r="721">
      <c r="A721" s="303"/>
      <c r="B721" s="303"/>
      <c r="C721" s="303"/>
      <c r="D721" s="303"/>
      <c r="E721" s="303"/>
      <c r="F721" s="303"/>
      <c r="G721" s="303"/>
      <c r="H721" s="303"/>
      <c r="I721" s="303"/>
      <c r="J721" s="303"/>
      <c r="K721" s="303"/>
      <c r="L721" s="303"/>
      <c r="M721" s="303"/>
      <c r="N721" s="303"/>
      <c r="O721" s="303"/>
      <c r="P721" s="303"/>
      <c r="Q721" s="303"/>
      <c r="R721" s="303"/>
      <c r="S721" s="303"/>
      <c r="T721" s="303"/>
      <c r="U721" s="303"/>
      <c r="V721" s="303"/>
      <c r="W721" s="303"/>
      <c r="X721" s="303"/>
      <c r="Y721" s="303"/>
      <c r="Z721" s="303"/>
    </row>
    <row r="722">
      <c r="A722" s="303"/>
      <c r="B722" s="303"/>
      <c r="C722" s="303"/>
      <c r="D722" s="303"/>
      <c r="E722" s="303"/>
      <c r="F722" s="303"/>
      <c r="G722" s="303"/>
      <c r="H722" s="303"/>
      <c r="I722" s="303"/>
      <c r="J722" s="303"/>
      <c r="K722" s="303"/>
      <c r="L722" s="303"/>
      <c r="M722" s="303"/>
      <c r="N722" s="303"/>
      <c r="O722" s="303"/>
      <c r="P722" s="303"/>
      <c r="Q722" s="303"/>
      <c r="R722" s="303"/>
      <c r="S722" s="303"/>
      <c r="T722" s="303"/>
      <c r="U722" s="303"/>
      <c r="V722" s="303"/>
      <c r="W722" s="303"/>
      <c r="X722" s="303"/>
      <c r="Y722" s="303"/>
      <c r="Z722" s="303"/>
    </row>
    <row r="723">
      <c r="A723" s="303"/>
      <c r="B723" s="303"/>
      <c r="C723" s="303"/>
      <c r="D723" s="303"/>
      <c r="E723" s="303"/>
      <c r="F723" s="303"/>
      <c r="G723" s="303"/>
      <c r="H723" s="303"/>
      <c r="I723" s="303"/>
      <c r="J723" s="303"/>
      <c r="K723" s="303"/>
      <c r="L723" s="303"/>
      <c r="M723" s="303"/>
      <c r="N723" s="303"/>
      <c r="O723" s="303"/>
      <c r="P723" s="303"/>
      <c r="Q723" s="303"/>
      <c r="R723" s="303"/>
      <c r="S723" s="303"/>
      <c r="T723" s="303"/>
      <c r="U723" s="303"/>
      <c r="V723" s="303"/>
      <c r="W723" s="303"/>
      <c r="X723" s="303"/>
      <c r="Y723" s="303"/>
      <c r="Z723" s="303"/>
    </row>
    <row r="724">
      <c r="A724" s="303"/>
      <c r="B724" s="303"/>
      <c r="C724" s="303"/>
      <c r="D724" s="303"/>
      <c r="E724" s="303"/>
      <c r="F724" s="303"/>
      <c r="G724" s="303"/>
      <c r="H724" s="303"/>
      <c r="I724" s="303"/>
      <c r="J724" s="303"/>
      <c r="K724" s="303"/>
      <c r="L724" s="303"/>
      <c r="M724" s="303"/>
      <c r="N724" s="303"/>
      <c r="O724" s="303"/>
      <c r="P724" s="303"/>
      <c r="Q724" s="303"/>
      <c r="R724" s="303"/>
      <c r="S724" s="303"/>
      <c r="T724" s="303"/>
      <c r="U724" s="303"/>
      <c r="V724" s="303"/>
      <c r="W724" s="303"/>
      <c r="X724" s="303"/>
      <c r="Y724" s="303"/>
      <c r="Z724" s="303"/>
    </row>
    <row r="725">
      <c r="A725" s="303"/>
      <c r="B725" s="303"/>
      <c r="C725" s="303"/>
      <c r="D725" s="303"/>
      <c r="E725" s="303"/>
      <c r="F725" s="303"/>
      <c r="G725" s="303"/>
      <c r="H725" s="303"/>
      <c r="I725" s="303"/>
      <c r="J725" s="303"/>
      <c r="K725" s="303"/>
      <c r="L725" s="303"/>
      <c r="M725" s="303"/>
      <c r="N725" s="303"/>
      <c r="O725" s="303"/>
      <c r="P725" s="303"/>
      <c r="Q725" s="303"/>
      <c r="R725" s="303"/>
      <c r="S725" s="303"/>
      <c r="T725" s="303"/>
      <c r="U725" s="303"/>
      <c r="V725" s="303"/>
      <c r="W725" s="303"/>
      <c r="X725" s="303"/>
      <c r="Y725" s="303"/>
      <c r="Z725" s="303"/>
    </row>
    <row r="726">
      <c r="A726" s="303"/>
      <c r="B726" s="303"/>
      <c r="C726" s="303"/>
      <c r="D726" s="303"/>
      <c r="E726" s="303"/>
      <c r="F726" s="303"/>
      <c r="G726" s="303"/>
      <c r="H726" s="303"/>
      <c r="I726" s="303"/>
      <c r="J726" s="303"/>
      <c r="K726" s="303"/>
      <c r="L726" s="303"/>
      <c r="M726" s="303"/>
      <c r="N726" s="303"/>
      <c r="O726" s="303"/>
      <c r="P726" s="303"/>
      <c r="Q726" s="303"/>
      <c r="R726" s="303"/>
      <c r="S726" s="303"/>
      <c r="T726" s="303"/>
      <c r="U726" s="303"/>
      <c r="V726" s="303"/>
      <c r="W726" s="303"/>
      <c r="X726" s="303"/>
      <c r="Y726" s="303"/>
      <c r="Z726" s="303"/>
    </row>
    <row r="727">
      <c r="A727" s="303"/>
      <c r="B727" s="303"/>
      <c r="C727" s="303"/>
      <c r="D727" s="303"/>
      <c r="E727" s="303"/>
      <c r="F727" s="303"/>
      <c r="G727" s="303"/>
      <c r="H727" s="303"/>
      <c r="I727" s="303"/>
      <c r="J727" s="303"/>
      <c r="K727" s="303"/>
      <c r="L727" s="303"/>
      <c r="M727" s="303"/>
      <c r="N727" s="303"/>
      <c r="O727" s="303"/>
      <c r="P727" s="303"/>
      <c r="Q727" s="303"/>
      <c r="R727" s="303"/>
      <c r="S727" s="303"/>
      <c r="T727" s="303"/>
      <c r="U727" s="303"/>
      <c r="V727" s="303"/>
      <c r="W727" s="303"/>
      <c r="X727" s="303"/>
      <c r="Y727" s="303"/>
      <c r="Z727" s="303"/>
    </row>
    <row r="728">
      <c r="A728" s="303"/>
      <c r="B728" s="303"/>
      <c r="C728" s="303"/>
      <c r="D728" s="303"/>
      <c r="E728" s="303"/>
      <c r="F728" s="303"/>
      <c r="G728" s="303"/>
      <c r="H728" s="303"/>
      <c r="I728" s="303"/>
      <c r="J728" s="303"/>
      <c r="K728" s="303"/>
      <c r="L728" s="303"/>
      <c r="M728" s="303"/>
      <c r="N728" s="303"/>
      <c r="O728" s="303"/>
      <c r="P728" s="303"/>
      <c r="Q728" s="303"/>
      <c r="R728" s="303"/>
      <c r="S728" s="303"/>
      <c r="T728" s="303"/>
      <c r="U728" s="303"/>
      <c r="V728" s="303"/>
      <c r="W728" s="303"/>
      <c r="X728" s="303"/>
      <c r="Y728" s="303"/>
      <c r="Z728" s="303"/>
    </row>
    <row r="729">
      <c r="A729" s="303"/>
      <c r="B729" s="303"/>
      <c r="C729" s="303"/>
      <c r="D729" s="303"/>
      <c r="E729" s="303"/>
      <c r="F729" s="303"/>
      <c r="G729" s="303"/>
      <c r="H729" s="303"/>
      <c r="I729" s="303"/>
      <c r="J729" s="303"/>
      <c r="K729" s="303"/>
      <c r="L729" s="303"/>
      <c r="M729" s="303"/>
      <c r="N729" s="303"/>
      <c r="O729" s="303"/>
      <c r="P729" s="303"/>
      <c r="Q729" s="303"/>
      <c r="R729" s="303"/>
      <c r="S729" s="303"/>
      <c r="T729" s="303"/>
      <c r="U729" s="303"/>
      <c r="V729" s="303"/>
      <c r="W729" s="303"/>
      <c r="X729" s="303"/>
      <c r="Y729" s="303"/>
      <c r="Z729" s="303"/>
    </row>
    <row r="730">
      <c r="A730" s="303"/>
      <c r="B730" s="303"/>
      <c r="C730" s="303"/>
      <c r="D730" s="303"/>
      <c r="E730" s="303"/>
      <c r="F730" s="303"/>
      <c r="G730" s="303"/>
      <c r="H730" s="303"/>
      <c r="I730" s="303"/>
      <c r="J730" s="303"/>
      <c r="K730" s="303"/>
      <c r="L730" s="303"/>
      <c r="M730" s="303"/>
      <c r="N730" s="303"/>
      <c r="O730" s="303"/>
      <c r="P730" s="303"/>
      <c r="Q730" s="303"/>
      <c r="R730" s="303"/>
      <c r="S730" s="303"/>
      <c r="T730" s="303"/>
      <c r="U730" s="303"/>
      <c r="V730" s="303"/>
      <c r="W730" s="303"/>
      <c r="X730" s="303"/>
      <c r="Y730" s="303"/>
      <c r="Z730" s="303"/>
    </row>
    <row r="731">
      <c r="A731" s="303"/>
      <c r="B731" s="303"/>
      <c r="C731" s="303"/>
      <c r="D731" s="303"/>
      <c r="E731" s="303"/>
      <c r="F731" s="303"/>
      <c r="G731" s="303"/>
      <c r="H731" s="303"/>
      <c r="I731" s="303"/>
      <c r="J731" s="303"/>
      <c r="K731" s="303"/>
      <c r="L731" s="303"/>
      <c r="M731" s="303"/>
      <c r="N731" s="303"/>
      <c r="O731" s="303"/>
      <c r="P731" s="303"/>
      <c r="Q731" s="303"/>
      <c r="R731" s="303"/>
      <c r="S731" s="303"/>
      <c r="T731" s="303"/>
      <c r="U731" s="303"/>
      <c r="V731" s="303"/>
      <c r="W731" s="303"/>
      <c r="X731" s="303"/>
      <c r="Y731" s="303"/>
      <c r="Z731" s="303"/>
    </row>
    <row r="732">
      <c r="A732" s="303"/>
      <c r="B732" s="303"/>
      <c r="C732" s="303"/>
      <c r="D732" s="303"/>
      <c r="E732" s="303"/>
      <c r="F732" s="303"/>
      <c r="G732" s="303"/>
      <c r="H732" s="303"/>
      <c r="I732" s="303"/>
      <c r="J732" s="303"/>
      <c r="K732" s="303"/>
      <c r="L732" s="303"/>
      <c r="M732" s="303"/>
      <c r="N732" s="303"/>
      <c r="O732" s="303"/>
      <c r="P732" s="303"/>
      <c r="Q732" s="303"/>
      <c r="R732" s="303"/>
      <c r="S732" s="303"/>
      <c r="T732" s="303"/>
      <c r="U732" s="303"/>
      <c r="V732" s="303"/>
      <c r="W732" s="303"/>
      <c r="X732" s="303"/>
      <c r="Y732" s="303"/>
      <c r="Z732" s="303"/>
    </row>
    <row r="733">
      <c r="A733" s="303"/>
      <c r="B733" s="303"/>
      <c r="C733" s="303"/>
      <c r="D733" s="303"/>
      <c r="E733" s="303"/>
      <c r="F733" s="303"/>
      <c r="G733" s="303"/>
      <c r="H733" s="303"/>
      <c r="I733" s="303"/>
      <c r="J733" s="303"/>
      <c r="K733" s="303"/>
      <c r="L733" s="303"/>
      <c r="M733" s="303"/>
      <c r="N733" s="303"/>
      <c r="O733" s="303"/>
      <c r="P733" s="303"/>
      <c r="Q733" s="303"/>
      <c r="R733" s="303"/>
      <c r="S733" s="303"/>
      <c r="T733" s="303"/>
      <c r="U733" s="303"/>
      <c r="V733" s="303"/>
      <c r="W733" s="303"/>
      <c r="X733" s="303"/>
      <c r="Y733" s="303"/>
      <c r="Z733" s="303"/>
    </row>
    <row r="734">
      <c r="A734" s="303"/>
      <c r="B734" s="303"/>
      <c r="C734" s="303"/>
      <c r="D734" s="303"/>
      <c r="E734" s="303"/>
      <c r="F734" s="303"/>
      <c r="G734" s="303"/>
      <c r="H734" s="303"/>
      <c r="I734" s="303"/>
      <c r="J734" s="303"/>
      <c r="K734" s="303"/>
      <c r="L734" s="303"/>
      <c r="M734" s="303"/>
      <c r="N734" s="303"/>
      <c r="O734" s="303"/>
      <c r="P734" s="303"/>
      <c r="Q734" s="303"/>
      <c r="R734" s="303"/>
      <c r="S734" s="303"/>
      <c r="T734" s="303"/>
      <c r="U734" s="303"/>
      <c r="V734" s="303"/>
      <c r="W734" s="303"/>
      <c r="X734" s="303"/>
      <c r="Y734" s="303"/>
      <c r="Z734" s="303"/>
    </row>
    <row r="735">
      <c r="A735" s="303"/>
      <c r="B735" s="303"/>
      <c r="C735" s="303"/>
      <c r="D735" s="303"/>
      <c r="E735" s="303"/>
      <c r="F735" s="303"/>
      <c r="G735" s="303"/>
      <c r="H735" s="303"/>
      <c r="I735" s="303"/>
      <c r="J735" s="303"/>
      <c r="K735" s="303"/>
      <c r="L735" s="303"/>
      <c r="M735" s="303"/>
      <c r="N735" s="303"/>
      <c r="O735" s="303"/>
      <c r="P735" s="303"/>
      <c r="Q735" s="303"/>
      <c r="R735" s="303"/>
      <c r="S735" s="303"/>
      <c r="T735" s="303"/>
      <c r="U735" s="303"/>
      <c r="V735" s="303"/>
      <c r="W735" s="303"/>
      <c r="X735" s="303"/>
      <c r="Y735" s="303"/>
      <c r="Z735" s="303"/>
    </row>
    <row r="736">
      <c r="A736" s="303"/>
      <c r="B736" s="303"/>
      <c r="C736" s="303"/>
      <c r="D736" s="303"/>
      <c r="E736" s="303"/>
      <c r="F736" s="303"/>
      <c r="G736" s="303"/>
      <c r="H736" s="303"/>
      <c r="I736" s="303"/>
      <c r="J736" s="303"/>
      <c r="K736" s="303"/>
      <c r="L736" s="303"/>
      <c r="M736" s="303"/>
      <c r="N736" s="303"/>
      <c r="O736" s="303"/>
      <c r="P736" s="303"/>
      <c r="Q736" s="303"/>
      <c r="R736" s="303"/>
      <c r="S736" s="303"/>
      <c r="T736" s="303"/>
      <c r="U736" s="303"/>
      <c r="V736" s="303"/>
      <c r="W736" s="303"/>
      <c r="X736" s="303"/>
      <c r="Y736" s="303"/>
      <c r="Z736" s="303"/>
    </row>
    <row r="737">
      <c r="A737" s="303"/>
      <c r="B737" s="303"/>
      <c r="C737" s="303"/>
      <c r="D737" s="303"/>
      <c r="E737" s="303"/>
      <c r="F737" s="303"/>
      <c r="G737" s="303"/>
      <c r="H737" s="303"/>
      <c r="I737" s="303"/>
      <c r="J737" s="303"/>
      <c r="K737" s="303"/>
      <c r="L737" s="303"/>
      <c r="M737" s="303"/>
      <c r="N737" s="303"/>
      <c r="O737" s="303"/>
      <c r="P737" s="303"/>
      <c r="Q737" s="303"/>
      <c r="R737" s="303"/>
      <c r="S737" s="303"/>
      <c r="T737" s="303"/>
      <c r="U737" s="303"/>
      <c r="V737" s="303"/>
      <c r="W737" s="303"/>
      <c r="X737" s="303"/>
      <c r="Y737" s="303"/>
      <c r="Z737" s="303"/>
    </row>
    <row r="738">
      <c r="A738" s="303"/>
      <c r="B738" s="303"/>
      <c r="C738" s="303"/>
      <c r="D738" s="303"/>
      <c r="E738" s="303"/>
      <c r="F738" s="303"/>
      <c r="G738" s="303"/>
      <c r="H738" s="303"/>
      <c r="I738" s="303"/>
      <c r="J738" s="303"/>
      <c r="K738" s="303"/>
      <c r="L738" s="303"/>
      <c r="M738" s="303"/>
      <c r="N738" s="303"/>
      <c r="O738" s="303"/>
      <c r="P738" s="303"/>
      <c r="Q738" s="303"/>
      <c r="R738" s="303"/>
      <c r="S738" s="303"/>
      <c r="T738" s="303"/>
      <c r="U738" s="303"/>
      <c r="V738" s="303"/>
      <c r="W738" s="303"/>
      <c r="X738" s="303"/>
      <c r="Y738" s="303"/>
      <c r="Z738" s="303"/>
    </row>
    <row r="739">
      <c r="A739" s="303"/>
      <c r="B739" s="303"/>
      <c r="C739" s="303"/>
      <c r="D739" s="303"/>
      <c r="E739" s="303"/>
      <c r="F739" s="303"/>
      <c r="G739" s="303"/>
      <c r="H739" s="303"/>
      <c r="I739" s="303"/>
      <c r="J739" s="303"/>
      <c r="K739" s="303"/>
      <c r="L739" s="303"/>
      <c r="M739" s="303"/>
      <c r="N739" s="303"/>
      <c r="O739" s="303"/>
      <c r="P739" s="303"/>
      <c r="Q739" s="303"/>
      <c r="R739" s="303"/>
      <c r="S739" s="303"/>
      <c r="T739" s="303"/>
      <c r="U739" s="303"/>
      <c r="V739" s="303"/>
      <c r="W739" s="303"/>
      <c r="X739" s="303"/>
      <c r="Y739" s="303"/>
      <c r="Z739" s="303"/>
    </row>
    <row r="740">
      <c r="A740" s="303"/>
      <c r="B740" s="303"/>
      <c r="C740" s="303"/>
      <c r="D740" s="303"/>
      <c r="E740" s="303"/>
      <c r="F740" s="303"/>
      <c r="G740" s="303"/>
      <c r="H740" s="303"/>
      <c r="I740" s="303"/>
      <c r="J740" s="303"/>
      <c r="K740" s="303"/>
      <c r="L740" s="303"/>
      <c r="M740" s="303"/>
      <c r="N740" s="303"/>
      <c r="O740" s="303"/>
      <c r="P740" s="303"/>
      <c r="Q740" s="303"/>
      <c r="R740" s="303"/>
      <c r="S740" s="303"/>
      <c r="T740" s="303"/>
      <c r="U740" s="303"/>
      <c r="V740" s="303"/>
      <c r="W740" s="303"/>
      <c r="X740" s="303"/>
      <c r="Y740" s="303"/>
      <c r="Z740" s="303"/>
    </row>
    <row r="741">
      <c r="A741" s="303"/>
      <c r="B741" s="303"/>
      <c r="C741" s="303"/>
      <c r="D741" s="303"/>
      <c r="E741" s="303"/>
      <c r="F741" s="303"/>
      <c r="G741" s="303"/>
      <c r="H741" s="303"/>
      <c r="I741" s="303"/>
      <c r="J741" s="303"/>
      <c r="K741" s="303"/>
      <c r="L741" s="303"/>
      <c r="M741" s="303"/>
      <c r="N741" s="303"/>
      <c r="O741" s="303"/>
      <c r="P741" s="303"/>
      <c r="Q741" s="303"/>
      <c r="R741" s="303"/>
      <c r="S741" s="303"/>
      <c r="T741" s="303"/>
      <c r="U741" s="303"/>
      <c r="V741" s="303"/>
      <c r="W741" s="303"/>
      <c r="X741" s="303"/>
      <c r="Y741" s="303"/>
      <c r="Z741" s="303"/>
    </row>
    <row r="742">
      <c r="A742" s="303"/>
      <c r="B742" s="303"/>
      <c r="C742" s="303"/>
      <c r="D742" s="303"/>
      <c r="E742" s="303"/>
      <c r="F742" s="303"/>
      <c r="G742" s="303"/>
      <c r="H742" s="303"/>
      <c r="I742" s="303"/>
      <c r="J742" s="303"/>
      <c r="K742" s="303"/>
      <c r="L742" s="303"/>
      <c r="M742" s="303"/>
      <c r="N742" s="303"/>
      <c r="O742" s="303"/>
      <c r="P742" s="303"/>
      <c r="Q742" s="303"/>
      <c r="R742" s="303"/>
      <c r="S742" s="303"/>
      <c r="T742" s="303"/>
      <c r="U742" s="303"/>
      <c r="V742" s="303"/>
      <c r="W742" s="303"/>
      <c r="X742" s="303"/>
      <c r="Y742" s="303"/>
      <c r="Z742" s="303"/>
    </row>
    <row r="743">
      <c r="A743" s="303"/>
      <c r="B743" s="303"/>
      <c r="C743" s="303"/>
      <c r="D743" s="303"/>
      <c r="E743" s="303"/>
      <c r="F743" s="303"/>
      <c r="G743" s="303"/>
      <c r="H743" s="303"/>
      <c r="I743" s="303"/>
      <c r="J743" s="303"/>
      <c r="K743" s="303"/>
      <c r="L743" s="303"/>
      <c r="M743" s="303"/>
      <c r="N743" s="303"/>
      <c r="O743" s="303"/>
      <c r="P743" s="303"/>
      <c r="Q743" s="303"/>
      <c r="R743" s="303"/>
      <c r="S743" s="303"/>
      <c r="T743" s="303"/>
      <c r="U743" s="303"/>
      <c r="V743" s="303"/>
      <c r="W743" s="303"/>
      <c r="X743" s="303"/>
      <c r="Y743" s="303"/>
      <c r="Z743" s="303"/>
    </row>
    <row r="744">
      <c r="A744" s="303"/>
      <c r="B744" s="303"/>
      <c r="C744" s="303"/>
      <c r="D744" s="303"/>
      <c r="E744" s="303"/>
      <c r="F744" s="303"/>
      <c r="G744" s="303"/>
      <c r="H744" s="303"/>
      <c r="I744" s="303"/>
      <c r="J744" s="303"/>
      <c r="K744" s="303"/>
      <c r="L744" s="303"/>
      <c r="M744" s="303"/>
      <c r="N744" s="303"/>
      <c r="O744" s="303"/>
      <c r="P744" s="303"/>
      <c r="Q744" s="303"/>
      <c r="R744" s="303"/>
      <c r="S744" s="303"/>
      <c r="T744" s="303"/>
      <c r="U744" s="303"/>
      <c r="V744" s="303"/>
      <c r="W744" s="303"/>
      <c r="X744" s="303"/>
      <c r="Y744" s="303"/>
      <c r="Z744" s="303"/>
    </row>
    <row r="745">
      <c r="A745" s="303"/>
      <c r="B745" s="303"/>
      <c r="C745" s="303"/>
      <c r="D745" s="303"/>
      <c r="E745" s="303"/>
      <c r="F745" s="303"/>
      <c r="G745" s="303"/>
      <c r="H745" s="303"/>
      <c r="I745" s="303"/>
      <c r="J745" s="303"/>
      <c r="K745" s="303"/>
      <c r="L745" s="303"/>
      <c r="M745" s="303"/>
      <c r="N745" s="303"/>
      <c r="O745" s="303"/>
      <c r="P745" s="303"/>
      <c r="Q745" s="303"/>
      <c r="R745" s="303"/>
      <c r="S745" s="303"/>
      <c r="T745" s="303"/>
      <c r="U745" s="303"/>
      <c r="V745" s="303"/>
      <c r="W745" s="303"/>
      <c r="X745" s="303"/>
      <c r="Y745" s="303"/>
      <c r="Z745" s="303"/>
    </row>
    <row r="746">
      <c r="A746" s="303"/>
      <c r="B746" s="303"/>
      <c r="C746" s="303"/>
      <c r="D746" s="303"/>
      <c r="E746" s="303"/>
      <c r="F746" s="303"/>
      <c r="G746" s="303"/>
      <c r="H746" s="303"/>
      <c r="I746" s="303"/>
      <c r="J746" s="303"/>
      <c r="K746" s="303"/>
      <c r="L746" s="303"/>
      <c r="M746" s="303"/>
      <c r="N746" s="303"/>
      <c r="O746" s="303"/>
      <c r="P746" s="303"/>
      <c r="Q746" s="303"/>
      <c r="R746" s="303"/>
      <c r="S746" s="303"/>
      <c r="T746" s="303"/>
      <c r="U746" s="303"/>
      <c r="V746" s="303"/>
      <c r="W746" s="303"/>
      <c r="X746" s="303"/>
      <c r="Y746" s="303"/>
      <c r="Z746" s="303"/>
    </row>
    <row r="747">
      <c r="A747" s="303"/>
      <c r="B747" s="303"/>
      <c r="C747" s="303"/>
      <c r="D747" s="303"/>
      <c r="E747" s="303"/>
      <c r="F747" s="303"/>
      <c r="G747" s="303"/>
      <c r="H747" s="303"/>
      <c r="I747" s="303"/>
      <c r="J747" s="303"/>
      <c r="K747" s="303"/>
      <c r="L747" s="303"/>
      <c r="M747" s="303"/>
      <c r="N747" s="303"/>
      <c r="O747" s="303"/>
      <c r="P747" s="303"/>
      <c r="Q747" s="303"/>
      <c r="R747" s="303"/>
      <c r="S747" s="303"/>
      <c r="T747" s="303"/>
      <c r="U747" s="303"/>
      <c r="V747" s="303"/>
      <c r="W747" s="303"/>
      <c r="X747" s="303"/>
      <c r="Y747" s="303"/>
      <c r="Z747" s="303"/>
    </row>
    <row r="748">
      <c r="A748" s="303"/>
      <c r="B748" s="303"/>
      <c r="C748" s="303"/>
      <c r="D748" s="303"/>
      <c r="E748" s="303"/>
      <c r="F748" s="303"/>
      <c r="G748" s="303"/>
      <c r="H748" s="303"/>
      <c r="I748" s="303"/>
      <c r="J748" s="303"/>
      <c r="K748" s="303"/>
      <c r="L748" s="303"/>
      <c r="M748" s="303"/>
      <c r="N748" s="303"/>
      <c r="O748" s="303"/>
      <c r="P748" s="303"/>
      <c r="Q748" s="303"/>
      <c r="R748" s="303"/>
      <c r="S748" s="303"/>
      <c r="T748" s="303"/>
      <c r="U748" s="303"/>
      <c r="V748" s="303"/>
      <c r="W748" s="303"/>
      <c r="X748" s="303"/>
      <c r="Y748" s="303"/>
      <c r="Z748" s="303"/>
    </row>
    <row r="749">
      <c r="A749" s="303"/>
      <c r="B749" s="303"/>
      <c r="C749" s="303"/>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row>
    <row r="750">
      <c r="A750" s="303"/>
      <c r="B750" s="303"/>
      <c r="C750" s="303"/>
      <c r="D750" s="303"/>
      <c r="E750" s="303"/>
      <c r="F750" s="303"/>
      <c r="G750" s="303"/>
      <c r="H750" s="303"/>
      <c r="I750" s="303"/>
      <c r="J750" s="303"/>
      <c r="K750" s="303"/>
      <c r="L750" s="303"/>
      <c r="M750" s="303"/>
      <c r="N750" s="303"/>
      <c r="O750" s="303"/>
      <c r="P750" s="303"/>
      <c r="Q750" s="303"/>
      <c r="R750" s="303"/>
      <c r="S750" s="303"/>
      <c r="T750" s="303"/>
      <c r="U750" s="303"/>
      <c r="V750" s="303"/>
      <c r="W750" s="303"/>
      <c r="X750" s="303"/>
      <c r="Y750" s="303"/>
      <c r="Z750" s="303"/>
    </row>
    <row r="751">
      <c r="A751" s="303"/>
      <c r="B751" s="303"/>
      <c r="C751" s="303"/>
      <c r="D751" s="303"/>
      <c r="E751" s="303"/>
      <c r="F751" s="303"/>
      <c r="G751" s="303"/>
      <c r="H751" s="303"/>
      <c r="I751" s="303"/>
      <c r="J751" s="303"/>
      <c r="K751" s="303"/>
      <c r="L751" s="303"/>
      <c r="M751" s="303"/>
      <c r="N751" s="303"/>
      <c r="O751" s="303"/>
      <c r="P751" s="303"/>
      <c r="Q751" s="303"/>
      <c r="R751" s="303"/>
      <c r="S751" s="303"/>
      <c r="T751" s="303"/>
      <c r="U751" s="303"/>
      <c r="V751" s="303"/>
      <c r="W751" s="303"/>
      <c r="X751" s="303"/>
      <c r="Y751" s="303"/>
      <c r="Z751" s="303"/>
    </row>
    <row r="752">
      <c r="A752" s="303"/>
      <c r="B752" s="303"/>
      <c r="C752" s="303"/>
      <c r="D752" s="303"/>
      <c r="E752" s="303"/>
      <c r="F752" s="303"/>
      <c r="G752" s="303"/>
      <c r="H752" s="303"/>
      <c r="I752" s="303"/>
      <c r="J752" s="303"/>
      <c r="K752" s="303"/>
      <c r="L752" s="303"/>
      <c r="M752" s="303"/>
      <c r="N752" s="303"/>
      <c r="O752" s="303"/>
      <c r="P752" s="303"/>
      <c r="Q752" s="303"/>
      <c r="R752" s="303"/>
      <c r="S752" s="303"/>
      <c r="T752" s="303"/>
      <c r="U752" s="303"/>
      <c r="V752" s="303"/>
      <c r="W752" s="303"/>
      <c r="X752" s="303"/>
      <c r="Y752" s="303"/>
      <c r="Z752" s="303"/>
    </row>
    <row r="753">
      <c r="A753" s="303"/>
      <c r="B753" s="303"/>
      <c r="C753" s="303"/>
      <c r="D753" s="303"/>
      <c r="E753" s="303"/>
      <c r="F753" s="303"/>
      <c r="G753" s="303"/>
      <c r="H753" s="303"/>
      <c r="I753" s="303"/>
      <c r="J753" s="303"/>
      <c r="K753" s="303"/>
      <c r="L753" s="303"/>
      <c r="M753" s="303"/>
      <c r="N753" s="303"/>
      <c r="O753" s="303"/>
      <c r="P753" s="303"/>
      <c r="Q753" s="303"/>
      <c r="R753" s="303"/>
      <c r="S753" s="303"/>
      <c r="T753" s="303"/>
      <c r="U753" s="303"/>
      <c r="V753" s="303"/>
      <c r="W753" s="303"/>
      <c r="X753" s="303"/>
      <c r="Y753" s="303"/>
      <c r="Z753" s="303"/>
    </row>
    <row r="754">
      <c r="A754" s="303"/>
      <c r="B754" s="303"/>
      <c r="C754" s="303"/>
      <c r="D754" s="303"/>
      <c r="E754" s="303"/>
      <c r="F754" s="303"/>
      <c r="G754" s="303"/>
      <c r="H754" s="303"/>
      <c r="I754" s="303"/>
      <c r="J754" s="303"/>
      <c r="K754" s="303"/>
      <c r="L754" s="303"/>
      <c r="M754" s="303"/>
      <c r="N754" s="303"/>
      <c r="O754" s="303"/>
      <c r="P754" s="303"/>
      <c r="Q754" s="303"/>
      <c r="R754" s="303"/>
      <c r="S754" s="303"/>
      <c r="T754" s="303"/>
      <c r="U754" s="303"/>
      <c r="V754" s="303"/>
      <c r="W754" s="303"/>
      <c r="X754" s="303"/>
      <c r="Y754" s="303"/>
      <c r="Z754" s="303"/>
    </row>
    <row r="755">
      <c r="A755" s="303"/>
      <c r="B755" s="303"/>
      <c r="C755" s="303"/>
      <c r="D755" s="303"/>
      <c r="E755" s="303"/>
      <c r="F755" s="303"/>
      <c r="G755" s="303"/>
      <c r="H755" s="303"/>
      <c r="I755" s="303"/>
      <c r="J755" s="303"/>
      <c r="K755" s="303"/>
      <c r="L755" s="303"/>
      <c r="M755" s="303"/>
      <c r="N755" s="303"/>
      <c r="O755" s="303"/>
      <c r="P755" s="303"/>
      <c r="Q755" s="303"/>
      <c r="R755" s="303"/>
      <c r="S755" s="303"/>
      <c r="T755" s="303"/>
      <c r="U755" s="303"/>
      <c r="V755" s="303"/>
      <c r="W755" s="303"/>
      <c r="X755" s="303"/>
      <c r="Y755" s="303"/>
      <c r="Z755" s="303"/>
    </row>
    <row r="756">
      <c r="A756" s="303"/>
      <c r="B756" s="303"/>
      <c r="C756" s="303"/>
      <c r="D756" s="303"/>
      <c r="E756" s="303"/>
      <c r="F756" s="303"/>
      <c r="G756" s="303"/>
      <c r="H756" s="303"/>
      <c r="I756" s="303"/>
      <c r="J756" s="303"/>
      <c r="K756" s="303"/>
      <c r="L756" s="303"/>
      <c r="M756" s="303"/>
      <c r="N756" s="303"/>
      <c r="O756" s="303"/>
      <c r="P756" s="303"/>
      <c r="Q756" s="303"/>
      <c r="R756" s="303"/>
      <c r="S756" s="303"/>
      <c r="T756" s="303"/>
      <c r="U756" s="303"/>
      <c r="V756" s="303"/>
      <c r="W756" s="303"/>
      <c r="X756" s="303"/>
      <c r="Y756" s="303"/>
      <c r="Z756" s="303"/>
    </row>
    <row r="757">
      <c r="A757" s="303"/>
      <c r="B757" s="303"/>
      <c r="C757" s="303"/>
      <c r="D757" s="303"/>
      <c r="E757" s="303"/>
      <c r="F757" s="303"/>
      <c r="G757" s="303"/>
      <c r="H757" s="303"/>
      <c r="I757" s="303"/>
      <c r="J757" s="303"/>
      <c r="K757" s="303"/>
      <c r="L757" s="303"/>
      <c r="M757" s="303"/>
      <c r="N757" s="303"/>
      <c r="O757" s="303"/>
      <c r="P757" s="303"/>
      <c r="Q757" s="303"/>
      <c r="R757" s="303"/>
      <c r="S757" s="303"/>
      <c r="T757" s="303"/>
      <c r="U757" s="303"/>
      <c r="V757" s="303"/>
      <c r="W757" s="303"/>
      <c r="X757" s="303"/>
      <c r="Y757" s="303"/>
      <c r="Z757" s="303"/>
    </row>
    <row r="758">
      <c r="A758" s="303"/>
      <c r="B758" s="303"/>
      <c r="C758" s="303"/>
      <c r="D758" s="303"/>
      <c r="E758" s="303"/>
      <c r="F758" s="303"/>
      <c r="G758" s="303"/>
      <c r="H758" s="303"/>
      <c r="I758" s="303"/>
      <c r="J758" s="303"/>
      <c r="K758" s="303"/>
      <c r="L758" s="303"/>
      <c r="M758" s="303"/>
      <c r="N758" s="303"/>
      <c r="O758" s="303"/>
      <c r="P758" s="303"/>
      <c r="Q758" s="303"/>
      <c r="R758" s="303"/>
      <c r="S758" s="303"/>
      <c r="T758" s="303"/>
      <c r="U758" s="303"/>
      <c r="V758" s="303"/>
      <c r="W758" s="303"/>
      <c r="X758" s="303"/>
      <c r="Y758" s="303"/>
      <c r="Z758" s="303"/>
    </row>
    <row r="759">
      <c r="A759" s="303"/>
      <c r="B759" s="303"/>
      <c r="C759" s="303"/>
      <c r="D759" s="303"/>
      <c r="E759" s="303"/>
      <c r="F759" s="303"/>
      <c r="G759" s="303"/>
      <c r="H759" s="303"/>
      <c r="I759" s="303"/>
      <c r="J759" s="303"/>
      <c r="K759" s="303"/>
      <c r="L759" s="303"/>
      <c r="M759" s="303"/>
      <c r="N759" s="303"/>
      <c r="O759" s="303"/>
      <c r="P759" s="303"/>
      <c r="Q759" s="303"/>
      <c r="R759" s="303"/>
      <c r="S759" s="303"/>
      <c r="T759" s="303"/>
      <c r="U759" s="303"/>
      <c r="V759" s="303"/>
      <c r="W759" s="303"/>
      <c r="X759" s="303"/>
      <c r="Y759" s="303"/>
      <c r="Z759" s="303"/>
    </row>
    <row r="760">
      <c r="A760" s="303"/>
      <c r="B760" s="303"/>
      <c r="C760" s="303"/>
      <c r="D760" s="303"/>
      <c r="E760" s="303"/>
      <c r="F760" s="303"/>
      <c r="G760" s="303"/>
      <c r="H760" s="303"/>
      <c r="I760" s="303"/>
      <c r="J760" s="303"/>
      <c r="K760" s="303"/>
      <c r="L760" s="303"/>
      <c r="M760" s="303"/>
      <c r="N760" s="303"/>
      <c r="O760" s="303"/>
      <c r="P760" s="303"/>
      <c r="Q760" s="303"/>
      <c r="R760" s="303"/>
      <c r="S760" s="303"/>
      <c r="T760" s="303"/>
      <c r="U760" s="303"/>
      <c r="V760" s="303"/>
      <c r="W760" s="303"/>
      <c r="X760" s="303"/>
      <c r="Y760" s="303"/>
      <c r="Z760" s="303"/>
    </row>
    <row r="761">
      <c r="A761" s="303"/>
      <c r="B761" s="303"/>
      <c r="C761" s="303"/>
      <c r="D761" s="303"/>
      <c r="E761" s="303"/>
      <c r="F761" s="303"/>
      <c r="G761" s="303"/>
      <c r="H761" s="303"/>
      <c r="I761" s="303"/>
      <c r="J761" s="303"/>
      <c r="K761" s="303"/>
      <c r="L761" s="303"/>
      <c r="M761" s="303"/>
      <c r="N761" s="303"/>
      <c r="O761" s="303"/>
      <c r="P761" s="303"/>
      <c r="Q761" s="303"/>
      <c r="R761" s="303"/>
      <c r="S761" s="303"/>
      <c r="T761" s="303"/>
      <c r="U761" s="303"/>
      <c r="V761" s="303"/>
      <c r="W761" s="303"/>
      <c r="X761" s="303"/>
      <c r="Y761" s="303"/>
      <c r="Z761" s="303"/>
    </row>
    <row r="762">
      <c r="A762" s="303"/>
      <c r="B762" s="303"/>
      <c r="C762" s="303"/>
      <c r="D762" s="303"/>
      <c r="E762" s="303"/>
      <c r="F762" s="303"/>
      <c r="G762" s="303"/>
      <c r="H762" s="303"/>
      <c r="I762" s="303"/>
      <c r="J762" s="303"/>
      <c r="K762" s="303"/>
      <c r="L762" s="303"/>
      <c r="M762" s="303"/>
      <c r="N762" s="303"/>
      <c r="O762" s="303"/>
      <c r="P762" s="303"/>
      <c r="Q762" s="303"/>
      <c r="R762" s="303"/>
      <c r="S762" s="303"/>
      <c r="T762" s="303"/>
      <c r="U762" s="303"/>
      <c r="V762" s="303"/>
      <c r="W762" s="303"/>
      <c r="X762" s="303"/>
      <c r="Y762" s="303"/>
      <c r="Z762" s="303"/>
    </row>
    <row r="763">
      <c r="A763" s="303"/>
      <c r="B763" s="303"/>
      <c r="C763" s="303"/>
      <c r="D763" s="303"/>
      <c r="E763" s="303"/>
      <c r="F763" s="303"/>
      <c r="G763" s="303"/>
      <c r="H763" s="303"/>
      <c r="I763" s="303"/>
      <c r="J763" s="303"/>
      <c r="K763" s="303"/>
      <c r="L763" s="303"/>
      <c r="M763" s="303"/>
      <c r="N763" s="303"/>
      <c r="O763" s="303"/>
      <c r="P763" s="303"/>
      <c r="Q763" s="303"/>
      <c r="R763" s="303"/>
      <c r="S763" s="303"/>
      <c r="T763" s="303"/>
      <c r="U763" s="303"/>
      <c r="V763" s="303"/>
      <c r="W763" s="303"/>
      <c r="X763" s="303"/>
      <c r="Y763" s="303"/>
      <c r="Z763" s="303"/>
    </row>
    <row r="764">
      <c r="A764" s="303"/>
      <c r="B764" s="303"/>
      <c r="C764" s="303"/>
      <c r="D764" s="303"/>
      <c r="E764" s="303"/>
      <c r="F764" s="303"/>
      <c r="G764" s="303"/>
      <c r="H764" s="303"/>
      <c r="I764" s="303"/>
      <c r="J764" s="303"/>
      <c r="K764" s="303"/>
      <c r="L764" s="303"/>
      <c r="M764" s="303"/>
      <c r="N764" s="303"/>
      <c r="O764" s="303"/>
      <c r="P764" s="303"/>
      <c r="Q764" s="303"/>
      <c r="R764" s="303"/>
      <c r="S764" s="303"/>
      <c r="T764" s="303"/>
      <c r="U764" s="303"/>
      <c r="V764" s="303"/>
      <c r="W764" s="303"/>
      <c r="X764" s="303"/>
      <c r="Y764" s="303"/>
      <c r="Z764" s="303"/>
    </row>
    <row r="765">
      <c r="A765" s="303"/>
      <c r="B765" s="303"/>
      <c r="C765" s="303"/>
      <c r="D765" s="303"/>
      <c r="E765" s="303"/>
      <c r="F765" s="303"/>
      <c r="G765" s="303"/>
      <c r="H765" s="303"/>
      <c r="I765" s="303"/>
      <c r="J765" s="303"/>
      <c r="K765" s="303"/>
      <c r="L765" s="303"/>
      <c r="M765" s="303"/>
      <c r="N765" s="303"/>
      <c r="O765" s="303"/>
      <c r="P765" s="303"/>
      <c r="Q765" s="303"/>
      <c r="R765" s="303"/>
      <c r="S765" s="303"/>
      <c r="T765" s="303"/>
      <c r="U765" s="303"/>
      <c r="V765" s="303"/>
      <c r="W765" s="303"/>
      <c r="X765" s="303"/>
      <c r="Y765" s="303"/>
      <c r="Z765" s="303"/>
    </row>
    <row r="766">
      <c r="A766" s="303"/>
      <c r="B766" s="303"/>
      <c r="C766" s="303"/>
      <c r="D766" s="303"/>
      <c r="E766" s="303"/>
      <c r="F766" s="303"/>
      <c r="G766" s="303"/>
      <c r="H766" s="303"/>
      <c r="I766" s="303"/>
      <c r="J766" s="303"/>
      <c r="K766" s="303"/>
      <c r="L766" s="303"/>
      <c r="M766" s="303"/>
      <c r="N766" s="303"/>
      <c r="O766" s="303"/>
      <c r="P766" s="303"/>
      <c r="Q766" s="303"/>
      <c r="R766" s="303"/>
      <c r="S766" s="303"/>
      <c r="T766" s="303"/>
      <c r="U766" s="303"/>
      <c r="V766" s="303"/>
      <c r="W766" s="303"/>
      <c r="X766" s="303"/>
      <c r="Y766" s="303"/>
      <c r="Z766" s="303"/>
    </row>
    <row r="767">
      <c r="A767" s="303"/>
      <c r="B767" s="303"/>
      <c r="C767" s="303"/>
      <c r="D767" s="303"/>
      <c r="E767" s="303"/>
      <c r="F767" s="303"/>
      <c r="G767" s="303"/>
      <c r="H767" s="303"/>
      <c r="I767" s="303"/>
      <c r="J767" s="303"/>
      <c r="K767" s="303"/>
      <c r="L767" s="303"/>
      <c r="M767" s="303"/>
      <c r="N767" s="303"/>
      <c r="O767" s="303"/>
      <c r="P767" s="303"/>
      <c r="Q767" s="303"/>
      <c r="R767" s="303"/>
      <c r="S767" s="303"/>
      <c r="T767" s="303"/>
      <c r="U767" s="303"/>
      <c r="V767" s="303"/>
      <c r="W767" s="303"/>
      <c r="X767" s="303"/>
      <c r="Y767" s="303"/>
      <c r="Z767" s="303"/>
    </row>
    <row r="768">
      <c r="A768" s="303"/>
      <c r="B768" s="303"/>
      <c r="C768" s="303"/>
      <c r="D768" s="303"/>
      <c r="E768" s="303"/>
      <c r="F768" s="303"/>
      <c r="G768" s="303"/>
      <c r="H768" s="303"/>
      <c r="I768" s="303"/>
      <c r="J768" s="303"/>
      <c r="K768" s="303"/>
      <c r="L768" s="303"/>
      <c r="M768" s="303"/>
      <c r="N768" s="303"/>
      <c r="O768" s="303"/>
      <c r="P768" s="303"/>
      <c r="Q768" s="303"/>
      <c r="R768" s="303"/>
      <c r="S768" s="303"/>
      <c r="T768" s="303"/>
      <c r="U768" s="303"/>
      <c r="V768" s="303"/>
      <c r="W768" s="303"/>
      <c r="X768" s="303"/>
      <c r="Y768" s="303"/>
      <c r="Z768" s="303"/>
    </row>
    <row r="769">
      <c r="A769" s="303"/>
      <c r="B769" s="303"/>
      <c r="C769" s="303"/>
      <c r="D769" s="303"/>
      <c r="E769" s="303"/>
      <c r="F769" s="303"/>
      <c r="G769" s="303"/>
      <c r="H769" s="303"/>
      <c r="I769" s="303"/>
      <c r="J769" s="303"/>
      <c r="K769" s="303"/>
      <c r="L769" s="303"/>
      <c r="M769" s="303"/>
      <c r="N769" s="303"/>
      <c r="O769" s="303"/>
      <c r="P769" s="303"/>
      <c r="Q769" s="303"/>
      <c r="R769" s="303"/>
      <c r="S769" s="303"/>
      <c r="T769" s="303"/>
      <c r="U769" s="303"/>
      <c r="V769" s="303"/>
      <c r="W769" s="303"/>
      <c r="X769" s="303"/>
      <c r="Y769" s="303"/>
      <c r="Z769" s="303"/>
    </row>
    <row r="770">
      <c r="A770" s="303"/>
      <c r="B770" s="303"/>
      <c r="C770" s="303"/>
      <c r="D770" s="303"/>
      <c r="E770" s="303"/>
      <c r="F770" s="303"/>
      <c r="G770" s="303"/>
      <c r="H770" s="303"/>
      <c r="I770" s="303"/>
      <c r="J770" s="303"/>
      <c r="K770" s="303"/>
      <c r="L770" s="303"/>
      <c r="M770" s="303"/>
      <c r="N770" s="303"/>
      <c r="O770" s="303"/>
      <c r="P770" s="303"/>
      <c r="Q770" s="303"/>
      <c r="R770" s="303"/>
      <c r="S770" s="303"/>
      <c r="T770" s="303"/>
      <c r="U770" s="303"/>
      <c r="V770" s="303"/>
      <c r="W770" s="303"/>
      <c r="X770" s="303"/>
      <c r="Y770" s="303"/>
      <c r="Z770" s="303"/>
    </row>
    <row r="771">
      <c r="A771" s="303"/>
      <c r="B771" s="303"/>
      <c r="C771" s="303"/>
      <c r="D771" s="303"/>
      <c r="E771" s="303"/>
      <c r="F771" s="303"/>
      <c r="G771" s="303"/>
      <c r="H771" s="303"/>
      <c r="I771" s="303"/>
      <c r="J771" s="303"/>
      <c r="K771" s="303"/>
      <c r="L771" s="303"/>
      <c r="M771" s="303"/>
      <c r="N771" s="303"/>
      <c r="O771" s="303"/>
      <c r="P771" s="303"/>
      <c r="Q771" s="303"/>
      <c r="R771" s="303"/>
      <c r="S771" s="303"/>
      <c r="T771" s="303"/>
      <c r="U771" s="303"/>
      <c r="V771" s="303"/>
      <c r="W771" s="303"/>
      <c r="X771" s="303"/>
      <c r="Y771" s="303"/>
      <c r="Z771" s="303"/>
    </row>
    <row r="772">
      <c r="A772" s="303"/>
      <c r="B772" s="303"/>
      <c r="C772" s="303"/>
      <c r="D772" s="303"/>
      <c r="E772" s="303"/>
      <c r="F772" s="303"/>
      <c r="G772" s="303"/>
      <c r="H772" s="303"/>
      <c r="I772" s="303"/>
      <c r="J772" s="303"/>
      <c r="K772" s="303"/>
      <c r="L772" s="303"/>
      <c r="M772" s="303"/>
      <c r="N772" s="303"/>
      <c r="O772" s="303"/>
      <c r="P772" s="303"/>
      <c r="Q772" s="303"/>
      <c r="R772" s="303"/>
      <c r="S772" s="303"/>
      <c r="T772" s="303"/>
      <c r="U772" s="303"/>
      <c r="V772" s="303"/>
      <c r="W772" s="303"/>
      <c r="X772" s="303"/>
      <c r="Y772" s="303"/>
      <c r="Z772" s="303"/>
    </row>
    <row r="773">
      <c r="A773" s="303"/>
      <c r="B773" s="303"/>
      <c r="C773" s="303"/>
      <c r="D773" s="303"/>
      <c r="E773" s="303"/>
      <c r="F773" s="303"/>
      <c r="G773" s="303"/>
      <c r="H773" s="303"/>
      <c r="I773" s="303"/>
      <c r="J773" s="303"/>
      <c r="K773" s="303"/>
      <c r="L773" s="303"/>
      <c r="M773" s="303"/>
      <c r="N773" s="303"/>
      <c r="O773" s="303"/>
      <c r="P773" s="303"/>
      <c r="Q773" s="303"/>
      <c r="R773" s="303"/>
      <c r="S773" s="303"/>
      <c r="T773" s="303"/>
      <c r="U773" s="303"/>
      <c r="V773" s="303"/>
      <c r="W773" s="303"/>
      <c r="X773" s="303"/>
      <c r="Y773" s="303"/>
      <c r="Z773" s="303"/>
    </row>
    <row r="774">
      <c r="A774" s="303"/>
      <c r="B774" s="303"/>
      <c r="C774" s="303"/>
      <c r="D774" s="303"/>
      <c r="E774" s="303"/>
      <c r="F774" s="303"/>
      <c r="G774" s="303"/>
      <c r="H774" s="303"/>
      <c r="I774" s="303"/>
      <c r="J774" s="303"/>
      <c r="K774" s="303"/>
      <c r="L774" s="303"/>
      <c r="M774" s="303"/>
      <c r="N774" s="303"/>
      <c r="O774" s="303"/>
      <c r="P774" s="303"/>
      <c r="Q774" s="303"/>
      <c r="R774" s="303"/>
      <c r="S774" s="303"/>
      <c r="T774" s="303"/>
      <c r="U774" s="303"/>
      <c r="V774" s="303"/>
      <c r="W774" s="303"/>
      <c r="X774" s="303"/>
      <c r="Y774" s="303"/>
      <c r="Z774" s="303"/>
    </row>
    <row r="775">
      <c r="A775" s="303"/>
      <c r="B775" s="303"/>
      <c r="C775" s="303"/>
      <c r="D775" s="303"/>
      <c r="E775" s="303"/>
      <c r="F775" s="303"/>
      <c r="G775" s="303"/>
      <c r="H775" s="303"/>
      <c r="I775" s="303"/>
      <c r="J775" s="303"/>
      <c r="K775" s="303"/>
      <c r="L775" s="303"/>
      <c r="M775" s="303"/>
      <c r="N775" s="303"/>
      <c r="O775" s="303"/>
      <c r="P775" s="303"/>
      <c r="Q775" s="303"/>
      <c r="R775" s="303"/>
      <c r="S775" s="303"/>
      <c r="T775" s="303"/>
      <c r="U775" s="303"/>
      <c r="V775" s="303"/>
      <c r="W775" s="303"/>
      <c r="X775" s="303"/>
      <c r="Y775" s="303"/>
      <c r="Z775" s="303"/>
    </row>
    <row r="776">
      <c r="A776" s="303"/>
      <c r="B776" s="303"/>
      <c r="C776" s="303"/>
      <c r="D776" s="303"/>
      <c r="E776" s="303"/>
      <c r="F776" s="303"/>
      <c r="G776" s="303"/>
      <c r="H776" s="303"/>
      <c r="I776" s="303"/>
      <c r="J776" s="303"/>
      <c r="K776" s="303"/>
      <c r="L776" s="303"/>
      <c r="M776" s="303"/>
      <c r="N776" s="303"/>
      <c r="O776" s="303"/>
      <c r="P776" s="303"/>
      <c r="Q776" s="303"/>
      <c r="R776" s="303"/>
      <c r="S776" s="303"/>
      <c r="T776" s="303"/>
      <c r="U776" s="303"/>
      <c r="V776" s="303"/>
      <c r="W776" s="303"/>
      <c r="X776" s="303"/>
      <c r="Y776" s="303"/>
      <c r="Z776" s="303"/>
    </row>
    <row r="777">
      <c r="A777" s="303"/>
      <c r="B777" s="303"/>
      <c r="C777" s="303"/>
      <c r="D777" s="303"/>
      <c r="E777" s="303"/>
      <c r="F777" s="303"/>
      <c r="G777" s="303"/>
      <c r="H777" s="303"/>
      <c r="I777" s="303"/>
      <c r="J777" s="303"/>
      <c r="K777" s="303"/>
      <c r="L777" s="303"/>
      <c r="M777" s="303"/>
      <c r="N777" s="303"/>
      <c r="O777" s="303"/>
      <c r="P777" s="303"/>
      <c r="Q777" s="303"/>
      <c r="R777" s="303"/>
      <c r="S777" s="303"/>
      <c r="T777" s="303"/>
      <c r="U777" s="303"/>
      <c r="V777" s="303"/>
      <c r="W777" s="303"/>
      <c r="X777" s="303"/>
      <c r="Y777" s="303"/>
      <c r="Z777" s="303"/>
    </row>
    <row r="778">
      <c r="A778" s="303"/>
      <c r="B778" s="303"/>
      <c r="C778" s="303"/>
      <c r="D778" s="303"/>
      <c r="E778" s="303"/>
      <c r="F778" s="303"/>
      <c r="G778" s="303"/>
      <c r="H778" s="303"/>
      <c r="I778" s="303"/>
      <c r="J778" s="303"/>
      <c r="K778" s="303"/>
      <c r="L778" s="303"/>
      <c r="M778" s="303"/>
      <c r="N778" s="303"/>
      <c r="O778" s="303"/>
      <c r="P778" s="303"/>
      <c r="Q778" s="303"/>
      <c r="R778" s="303"/>
      <c r="S778" s="303"/>
      <c r="T778" s="303"/>
      <c r="U778" s="303"/>
      <c r="V778" s="303"/>
      <c r="W778" s="303"/>
      <c r="X778" s="303"/>
      <c r="Y778" s="303"/>
      <c r="Z778" s="303"/>
    </row>
    <row r="779">
      <c r="A779" s="303"/>
      <c r="B779" s="303"/>
      <c r="C779" s="303"/>
      <c r="D779" s="303"/>
      <c r="E779" s="303"/>
      <c r="F779" s="303"/>
      <c r="G779" s="303"/>
      <c r="H779" s="303"/>
      <c r="I779" s="303"/>
      <c r="J779" s="303"/>
      <c r="K779" s="303"/>
      <c r="L779" s="303"/>
      <c r="M779" s="303"/>
      <c r="N779" s="303"/>
      <c r="O779" s="303"/>
      <c r="P779" s="303"/>
      <c r="Q779" s="303"/>
      <c r="R779" s="303"/>
      <c r="S779" s="303"/>
      <c r="T779" s="303"/>
      <c r="U779" s="303"/>
      <c r="V779" s="303"/>
      <c r="W779" s="303"/>
      <c r="X779" s="303"/>
      <c r="Y779" s="303"/>
      <c r="Z779" s="303"/>
    </row>
    <row r="780">
      <c r="A780" s="303"/>
      <c r="B780" s="303"/>
      <c r="C780" s="303"/>
      <c r="D780" s="303"/>
      <c r="E780" s="303"/>
      <c r="F780" s="303"/>
      <c r="G780" s="303"/>
      <c r="H780" s="303"/>
      <c r="I780" s="303"/>
      <c r="J780" s="303"/>
      <c r="K780" s="303"/>
      <c r="L780" s="303"/>
      <c r="M780" s="303"/>
      <c r="N780" s="303"/>
      <c r="O780" s="303"/>
      <c r="P780" s="303"/>
      <c r="Q780" s="303"/>
      <c r="R780" s="303"/>
      <c r="S780" s="303"/>
      <c r="T780" s="303"/>
      <c r="U780" s="303"/>
      <c r="V780" s="303"/>
      <c r="W780" s="303"/>
      <c r="X780" s="303"/>
      <c r="Y780" s="303"/>
      <c r="Z780" s="303"/>
    </row>
    <row r="781">
      <c r="A781" s="303"/>
      <c r="B781" s="303"/>
      <c r="C781" s="303"/>
      <c r="D781" s="303"/>
      <c r="E781" s="303"/>
      <c r="F781" s="303"/>
      <c r="G781" s="303"/>
      <c r="H781" s="303"/>
      <c r="I781" s="303"/>
      <c r="J781" s="303"/>
      <c r="K781" s="303"/>
      <c r="L781" s="303"/>
      <c r="M781" s="303"/>
      <c r="N781" s="303"/>
      <c r="O781" s="303"/>
      <c r="P781" s="303"/>
      <c r="Q781" s="303"/>
      <c r="R781" s="303"/>
      <c r="S781" s="303"/>
      <c r="T781" s="303"/>
      <c r="U781" s="303"/>
      <c r="V781" s="303"/>
      <c r="W781" s="303"/>
      <c r="X781" s="303"/>
      <c r="Y781" s="303"/>
      <c r="Z781" s="303"/>
    </row>
    <row r="782">
      <c r="A782" s="303"/>
      <c r="B782" s="303"/>
      <c r="C782" s="303"/>
      <c r="D782" s="303"/>
      <c r="E782" s="303"/>
      <c r="F782" s="303"/>
      <c r="G782" s="303"/>
      <c r="H782" s="303"/>
      <c r="I782" s="303"/>
      <c r="J782" s="303"/>
      <c r="K782" s="303"/>
      <c r="L782" s="303"/>
      <c r="M782" s="303"/>
      <c r="N782" s="303"/>
      <c r="O782" s="303"/>
      <c r="P782" s="303"/>
      <c r="Q782" s="303"/>
      <c r="R782" s="303"/>
      <c r="S782" s="303"/>
      <c r="T782" s="303"/>
      <c r="U782" s="303"/>
      <c r="V782" s="303"/>
      <c r="W782" s="303"/>
      <c r="X782" s="303"/>
      <c r="Y782" s="303"/>
      <c r="Z782" s="303"/>
    </row>
    <row r="783">
      <c r="A783" s="303"/>
      <c r="B783" s="303"/>
      <c r="C783" s="303"/>
      <c r="D783" s="303"/>
      <c r="E783" s="303"/>
      <c r="F783" s="303"/>
      <c r="G783" s="303"/>
      <c r="H783" s="303"/>
      <c r="I783" s="303"/>
      <c r="J783" s="303"/>
      <c r="K783" s="303"/>
      <c r="L783" s="303"/>
      <c r="M783" s="303"/>
      <c r="N783" s="303"/>
      <c r="O783" s="303"/>
      <c r="P783" s="303"/>
      <c r="Q783" s="303"/>
      <c r="R783" s="303"/>
      <c r="S783" s="303"/>
      <c r="T783" s="303"/>
      <c r="U783" s="303"/>
      <c r="V783" s="303"/>
      <c r="W783" s="303"/>
      <c r="X783" s="303"/>
      <c r="Y783" s="303"/>
      <c r="Z783" s="303"/>
    </row>
    <row r="784">
      <c r="A784" s="303"/>
      <c r="B784" s="303"/>
      <c r="C784" s="303"/>
      <c r="D784" s="303"/>
      <c r="E784" s="303"/>
      <c r="F784" s="303"/>
      <c r="G784" s="303"/>
      <c r="H784" s="303"/>
      <c r="I784" s="303"/>
      <c r="J784" s="303"/>
      <c r="K784" s="303"/>
      <c r="L784" s="303"/>
      <c r="M784" s="303"/>
      <c r="N784" s="303"/>
      <c r="O784" s="303"/>
      <c r="P784" s="303"/>
      <c r="Q784" s="303"/>
      <c r="R784" s="303"/>
      <c r="S784" s="303"/>
      <c r="T784" s="303"/>
      <c r="U784" s="303"/>
      <c r="V784" s="303"/>
      <c r="W784" s="303"/>
      <c r="X784" s="303"/>
      <c r="Y784" s="303"/>
      <c r="Z784" s="303"/>
    </row>
    <row r="785">
      <c r="A785" s="303"/>
      <c r="B785" s="303"/>
      <c r="C785" s="303"/>
      <c r="D785" s="303"/>
      <c r="E785" s="303"/>
      <c r="F785" s="303"/>
      <c r="G785" s="303"/>
      <c r="H785" s="303"/>
      <c r="I785" s="303"/>
      <c r="J785" s="303"/>
      <c r="K785" s="303"/>
      <c r="L785" s="303"/>
      <c r="M785" s="303"/>
      <c r="N785" s="303"/>
      <c r="O785" s="303"/>
      <c r="P785" s="303"/>
      <c r="Q785" s="303"/>
      <c r="R785" s="303"/>
      <c r="S785" s="303"/>
      <c r="T785" s="303"/>
      <c r="U785" s="303"/>
      <c r="V785" s="303"/>
      <c r="W785" s="303"/>
      <c r="X785" s="303"/>
      <c r="Y785" s="303"/>
      <c r="Z785" s="303"/>
    </row>
    <row r="786">
      <c r="A786" s="303"/>
      <c r="B786" s="303"/>
      <c r="C786" s="303"/>
      <c r="D786" s="303"/>
      <c r="E786" s="303"/>
      <c r="F786" s="303"/>
      <c r="G786" s="303"/>
      <c r="H786" s="303"/>
      <c r="I786" s="303"/>
      <c r="J786" s="303"/>
      <c r="K786" s="303"/>
      <c r="L786" s="303"/>
      <c r="M786" s="303"/>
      <c r="N786" s="303"/>
      <c r="O786" s="303"/>
      <c r="P786" s="303"/>
      <c r="Q786" s="303"/>
      <c r="R786" s="303"/>
      <c r="S786" s="303"/>
      <c r="T786" s="303"/>
      <c r="U786" s="303"/>
      <c r="V786" s="303"/>
      <c r="W786" s="303"/>
      <c r="X786" s="303"/>
      <c r="Y786" s="303"/>
      <c r="Z786" s="303"/>
    </row>
    <row r="787">
      <c r="A787" s="303"/>
      <c r="B787" s="303"/>
      <c r="C787" s="303"/>
      <c r="D787" s="303"/>
      <c r="E787" s="303"/>
      <c r="F787" s="303"/>
      <c r="G787" s="303"/>
      <c r="H787" s="303"/>
      <c r="I787" s="303"/>
      <c r="J787" s="303"/>
      <c r="K787" s="303"/>
      <c r="L787" s="303"/>
      <c r="M787" s="303"/>
      <c r="N787" s="303"/>
      <c r="O787" s="303"/>
      <c r="P787" s="303"/>
      <c r="Q787" s="303"/>
      <c r="R787" s="303"/>
      <c r="S787" s="303"/>
      <c r="T787" s="303"/>
      <c r="U787" s="303"/>
      <c r="V787" s="303"/>
      <c r="W787" s="303"/>
      <c r="X787" s="303"/>
      <c r="Y787" s="303"/>
      <c r="Z787" s="303"/>
    </row>
    <row r="788">
      <c r="A788" s="303"/>
      <c r="B788" s="303"/>
      <c r="C788" s="303"/>
      <c r="D788" s="303"/>
      <c r="E788" s="303"/>
      <c r="F788" s="303"/>
      <c r="G788" s="303"/>
      <c r="H788" s="303"/>
      <c r="I788" s="303"/>
      <c r="J788" s="303"/>
      <c r="K788" s="303"/>
      <c r="L788" s="303"/>
      <c r="M788" s="303"/>
      <c r="N788" s="303"/>
      <c r="O788" s="303"/>
      <c r="P788" s="303"/>
      <c r="Q788" s="303"/>
      <c r="R788" s="303"/>
      <c r="S788" s="303"/>
      <c r="T788" s="303"/>
      <c r="U788" s="303"/>
      <c r="V788" s="303"/>
      <c r="W788" s="303"/>
      <c r="X788" s="303"/>
      <c r="Y788" s="303"/>
      <c r="Z788" s="303"/>
    </row>
    <row r="789">
      <c r="A789" s="303"/>
      <c r="B789" s="303"/>
      <c r="C789" s="303"/>
      <c r="D789" s="303"/>
      <c r="E789" s="303"/>
      <c r="F789" s="303"/>
      <c r="G789" s="303"/>
      <c r="H789" s="303"/>
      <c r="I789" s="303"/>
      <c r="J789" s="303"/>
      <c r="K789" s="303"/>
      <c r="L789" s="303"/>
      <c r="M789" s="303"/>
      <c r="N789" s="303"/>
      <c r="O789" s="303"/>
      <c r="P789" s="303"/>
      <c r="Q789" s="303"/>
      <c r="R789" s="303"/>
      <c r="S789" s="303"/>
      <c r="T789" s="303"/>
      <c r="U789" s="303"/>
      <c r="V789" s="303"/>
      <c r="W789" s="303"/>
      <c r="X789" s="303"/>
      <c r="Y789" s="303"/>
      <c r="Z789" s="303"/>
    </row>
    <row r="790">
      <c r="A790" s="303"/>
      <c r="B790" s="303"/>
      <c r="C790" s="303"/>
      <c r="D790" s="303"/>
      <c r="E790" s="303"/>
      <c r="F790" s="303"/>
      <c r="G790" s="303"/>
      <c r="H790" s="303"/>
      <c r="I790" s="303"/>
      <c r="J790" s="303"/>
      <c r="K790" s="303"/>
      <c r="L790" s="303"/>
      <c r="M790" s="303"/>
      <c r="N790" s="303"/>
      <c r="O790" s="303"/>
      <c r="P790" s="303"/>
      <c r="Q790" s="303"/>
      <c r="R790" s="303"/>
      <c r="S790" s="303"/>
      <c r="T790" s="303"/>
      <c r="U790" s="303"/>
      <c r="V790" s="303"/>
      <c r="W790" s="303"/>
      <c r="X790" s="303"/>
      <c r="Y790" s="303"/>
      <c r="Z790" s="303"/>
    </row>
    <row r="791">
      <c r="A791" s="303"/>
      <c r="B791" s="303"/>
      <c r="C791" s="303"/>
      <c r="D791" s="303"/>
      <c r="E791" s="303"/>
      <c r="F791" s="303"/>
      <c r="G791" s="303"/>
      <c r="H791" s="303"/>
      <c r="I791" s="303"/>
      <c r="J791" s="303"/>
      <c r="K791" s="303"/>
      <c r="L791" s="303"/>
      <c r="M791" s="303"/>
      <c r="N791" s="303"/>
      <c r="O791" s="303"/>
      <c r="P791" s="303"/>
      <c r="Q791" s="303"/>
      <c r="R791" s="303"/>
      <c r="S791" s="303"/>
      <c r="T791" s="303"/>
      <c r="U791" s="303"/>
      <c r="V791" s="303"/>
      <c r="W791" s="303"/>
      <c r="X791" s="303"/>
      <c r="Y791" s="303"/>
      <c r="Z791" s="303"/>
    </row>
    <row r="792">
      <c r="A792" s="303"/>
      <c r="B792" s="303"/>
      <c r="C792" s="303"/>
      <c r="D792" s="303"/>
      <c r="E792" s="303"/>
      <c r="F792" s="303"/>
      <c r="G792" s="303"/>
      <c r="H792" s="303"/>
      <c r="I792" s="303"/>
      <c r="J792" s="303"/>
      <c r="K792" s="303"/>
      <c r="L792" s="303"/>
      <c r="M792" s="303"/>
      <c r="N792" s="303"/>
      <c r="O792" s="303"/>
      <c r="P792" s="303"/>
      <c r="Q792" s="303"/>
      <c r="R792" s="303"/>
      <c r="S792" s="303"/>
      <c r="T792" s="303"/>
      <c r="U792" s="303"/>
      <c r="V792" s="303"/>
      <c r="W792" s="303"/>
      <c r="X792" s="303"/>
      <c r="Y792" s="303"/>
      <c r="Z792" s="303"/>
    </row>
    <row r="793">
      <c r="A793" s="303"/>
      <c r="B793" s="303"/>
      <c r="C793" s="303"/>
      <c r="D793" s="303"/>
      <c r="E793" s="303"/>
      <c r="F793" s="303"/>
      <c r="G793" s="303"/>
      <c r="H793" s="303"/>
      <c r="I793" s="303"/>
      <c r="J793" s="303"/>
      <c r="K793" s="303"/>
      <c r="L793" s="303"/>
      <c r="M793" s="303"/>
      <c r="N793" s="303"/>
      <c r="O793" s="303"/>
      <c r="P793" s="303"/>
      <c r="Q793" s="303"/>
      <c r="R793" s="303"/>
      <c r="S793" s="303"/>
      <c r="T793" s="303"/>
      <c r="U793" s="303"/>
      <c r="V793" s="303"/>
      <c r="W793" s="303"/>
      <c r="X793" s="303"/>
      <c r="Y793" s="303"/>
      <c r="Z793" s="303"/>
    </row>
    <row r="794">
      <c r="A794" s="303"/>
      <c r="B794" s="303"/>
      <c r="C794" s="303"/>
      <c r="D794" s="303"/>
      <c r="E794" s="303"/>
      <c r="F794" s="303"/>
      <c r="G794" s="303"/>
      <c r="H794" s="303"/>
      <c r="I794" s="303"/>
      <c r="J794" s="303"/>
      <c r="K794" s="303"/>
      <c r="L794" s="303"/>
      <c r="M794" s="303"/>
      <c r="N794" s="303"/>
      <c r="O794" s="303"/>
      <c r="P794" s="303"/>
      <c r="Q794" s="303"/>
      <c r="R794" s="303"/>
      <c r="S794" s="303"/>
      <c r="T794" s="303"/>
      <c r="U794" s="303"/>
      <c r="V794" s="303"/>
      <c r="W794" s="303"/>
      <c r="X794" s="303"/>
      <c r="Y794" s="303"/>
      <c r="Z794" s="303"/>
    </row>
    <row r="795">
      <c r="A795" s="303"/>
      <c r="B795" s="303"/>
      <c r="C795" s="303"/>
      <c r="D795" s="303"/>
      <c r="E795" s="303"/>
      <c r="F795" s="303"/>
      <c r="G795" s="303"/>
      <c r="H795" s="303"/>
      <c r="I795" s="303"/>
      <c r="J795" s="303"/>
      <c r="K795" s="303"/>
      <c r="L795" s="303"/>
      <c r="M795" s="303"/>
      <c r="N795" s="303"/>
      <c r="O795" s="303"/>
      <c r="P795" s="303"/>
      <c r="Q795" s="303"/>
      <c r="R795" s="303"/>
      <c r="S795" s="303"/>
      <c r="T795" s="303"/>
      <c r="U795" s="303"/>
      <c r="V795" s="303"/>
      <c r="W795" s="303"/>
      <c r="X795" s="303"/>
      <c r="Y795" s="303"/>
      <c r="Z795" s="303"/>
    </row>
    <row r="796">
      <c r="A796" s="303"/>
      <c r="B796" s="303"/>
      <c r="C796" s="303"/>
      <c r="D796" s="303"/>
      <c r="E796" s="303"/>
      <c r="F796" s="303"/>
      <c r="G796" s="303"/>
      <c r="H796" s="303"/>
      <c r="I796" s="303"/>
      <c r="J796" s="303"/>
      <c r="K796" s="303"/>
      <c r="L796" s="303"/>
      <c r="M796" s="303"/>
      <c r="N796" s="303"/>
      <c r="O796" s="303"/>
      <c r="P796" s="303"/>
      <c r="Q796" s="303"/>
      <c r="R796" s="303"/>
      <c r="S796" s="303"/>
      <c r="T796" s="303"/>
      <c r="U796" s="303"/>
      <c r="V796" s="303"/>
      <c r="W796" s="303"/>
      <c r="X796" s="303"/>
      <c r="Y796" s="303"/>
      <c r="Z796" s="303"/>
    </row>
    <row r="797">
      <c r="A797" s="303"/>
      <c r="B797" s="303"/>
      <c r="C797" s="303"/>
      <c r="D797" s="303"/>
      <c r="E797" s="303"/>
      <c r="F797" s="303"/>
      <c r="G797" s="303"/>
      <c r="H797" s="303"/>
      <c r="I797" s="303"/>
      <c r="J797" s="303"/>
      <c r="K797" s="303"/>
      <c r="L797" s="303"/>
      <c r="M797" s="303"/>
      <c r="N797" s="303"/>
      <c r="O797" s="303"/>
      <c r="P797" s="303"/>
      <c r="Q797" s="303"/>
      <c r="R797" s="303"/>
      <c r="S797" s="303"/>
      <c r="T797" s="303"/>
      <c r="U797" s="303"/>
      <c r="V797" s="303"/>
      <c r="W797" s="303"/>
      <c r="X797" s="303"/>
      <c r="Y797" s="303"/>
      <c r="Z797" s="303"/>
    </row>
    <row r="798">
      <c r="A798" s="303"/>
      <c r="B798" s="303"/>
      <c r="C798" s="303"/>
      <c r="D798" s="303"/>
      <c r="E798" s="303"/>
      <c r="F798" s="303"/>
      <c r="G798" s="303"/>
      <c r="H798" s="303"/>
      <c r="I798" s="303"/>
      <c r="J798" s="303"/>
      <c r="K798" s="303"/>
      <c r="L798" s="303"/>
      <c r="M798" s="303"/>
      <c r="N798" s="303"/>
      <c r="O798" s="303"/>
      <c r="P798" s="303"/>
      <c r="Q798" s="303"/>
      <c r="R798" s="303"/>
      <c r="S798" s="303"/>
      <c r="T798" s="303"/>
      <c r="U798" s="303"/>
      <c r="V798" s="303"/>
      <c r="W798" s="303"/>
      <c r="X798" s="303"/>
      <c r="Y798" s="303"/>
      <c r="Z798" s="303"/>
    </row>
    <row r="799">
      <c r="A799" s="303"/>
      <c r="B799" s="303"/>
      <c r="C799" s="303"/>
      <c r="D799" s="303"/>
      <c r="E799" s="303"/>
      <c r="F799" s="303"/>
      <c r="G799" s="303"/>
      <c r="H799" s="303"/>
      <c r="I799" s="303"/>
      <c r="J799" s="303"/>
      <c r="K799" s="303"/>
      <c r="L799" s="303"/>
      <c r="M799" s="303"/>
      <c r="N799" s="303"/>
      <c r="O799" s="303"/>
      <c r="P799" s="303"/>
      <c r="Q799" s="303"/>
      <c r="R799" s="303"/>
      <c r="S799" s="303"/>
      <c r="T799" s="303"/>
      <c r="U799" s="303"/>
      <c r="V799" s="303"/>
      <c r="W799" s="303"/>
      <c r="X799" s="303"/>
      <c r="Y799" s="303"/>
      <c r="Z799" s="303"/>
    </row>
    <row r="800">
      <c r="A800" s="303"/>
      <c r="B800" s="303"/>
      <c r="C800" s="303"/>
      <c r="D800" s="303"/>
      <c r="E800" s="303"/>
      <c r="F800" s="303"/>
      <c r="G800" s="303"/>
      <c r="H800" s="303"/>
      <c r="I800" s="303"/>
      <c r="J800" s="303"/>
      <c r="K800" s="303"/>
      <c r="L800" s="303"/>
      <c r="M800" s="303"/>
      <c r="N800" s="303"/>
      <c r="O800" s="303"/>
      <c r="P800" s="303"/>
      <c r="Q800" s="303"/>
      <c r="R800" s="303"/>
      <c r="S800" s="303"/>
      <c r="T800" s="303"/>
      <c r="U800" s="303"/>
      <c r="V800" s="303"/>
      <c r="W800" s="303"/>
      <c r="X800" s="303"/>
      <c r="Y800" s="303"/>
      <c r="Z800" s="303"/>
    </row>
    <row r="801">
      <c r="A801" s="303"/>
      <c r="B801" s="303"/>
      <c r="C801" s="303"/>
      <c r="D801" s="303"/>
      <c r="E801" s="303"/>
      <c r="F801" s="303"/>
      <c r="G801" s="303"/>
      <c r="H801" s="303"/>
      <c r="I801" s="303"/>
      <c r="J801" s="303"/>
      <c r="K801" s="303"/>
      <c r="L801" s="303"/>
      <c r="M801" s="303"/>
      <c r="N801" s="303"/>
      <c r="O801" s="303"/>
      <c r="P801" s="303"/>
      <c r="Q801" s="303"/>
      <c r="R801" s="303"/>
      <c r="S801" s="303"/>
      <c r="T801" s="303"/>
      <c r="U801" s="303"/>
      <c r="V801" s="303"/>
      <c r="W801" s="303"/>
      <c r="X801" s="303"/>
      <c r="Y801" s="303"/>
      <c r="Z801" s="303"/>
    </row>
    <row r="802">
      <c r="A802" s="303"/>
      <c r="B802" s="303"/>
      <c r="C802" s="303"/>
      <c r="D802" s="303"/>
      <c r="E802" s="303"/>
      <c r="F802" s="303"/>
      <c r="G802" s="303"/>
      <c r="H802" s="303"/>
      <c r="I802" s="303"/>
      <c r="J802" s="303"/>
      <c r="K802" s="303"/>
      <c r="L802" s="303"/>
      <c r="M802" s="303"/>
      <c r="N802" s="303"/>
      <c r="O802" s="303"/>
      <c r="P802" s="303"/>
      <c r="Q802" s="303"/>
      <c r="R802" s="303"/>
      <c r="S802" s="303"/>
      <c r="T802" s="303"/>
      <c r="U802" s="303"/>
      <c r="V802" s="303"/>
      <c r="W802" s="303"/>
      <c r="X802" s="303"/>
      <c r="Y802" s="303"/>
      <c r="Z802" s="303"/>
    </row>
    <row r="803">
      <c r="A803" s="303"/>
      <c r="B803" s="303"/>
      <c r="C803" s="303"/>
      <c r="D803" s="303"/>
      <c r="E803" s="303"/>
      <c r="F803" s="303"/>
      <c r="G803" s="303"/>
      <c r="H803" s="303"/>
      <c r="I803" s="303"/>
      <c r="J803" s="303"/>
      <c r="K803" s="303"/>
      <c r="L803" s="303"/>
      <c r="M803" s="303"/>
      <c r="N803" s="303"/>
      <c r="O803" s="303"/>
      <c r="P803" s="303"/>
      <c r="Q803" s="303"/>
      <c r="R803" s="303"/>
      <c r="S803" s="303"/>
      <c r="T803" s="303"/>
      <c r="U803" s="303"/>
      <c r="V803" s="303"/>
      <c r="W803" s="303"/>
      <c r="X803" s="303"/>
      <c r="Y803" s="303"/>
      <c r="Z803" s="303"/>
    </row>
    <row r="804">
      <c r="A804" s="303"/>
      <c r="B804" s="303"/>
      <c r="C804" s="303"/>
      <c r="D804" s="303"/>
      <c r="E804" s="303"/>
      <c r="F804" s="303"/>
      <c r="G804" s="303"/>
      <c r="H804" s="303"/>
      <c r="I804" s="303"/>
      <c r="J804" s="303"/>
      <c r="K804" s="303"/>
      <c r="L804" s="303"/>
      <c r="M804" s="303"/>
      <c r="N804" s="303"/>
      <c r="O804" s="303"/>
      <c r="P804" s="303"/>
      <c r="Q804" s="303"/>
      <c r="R804" s="303"/>
      <c r="S804" s="303"/>
      <c r="T804" s="303"/>
      <c r="U804" s="303"/>
      <c r="V804" s="303"/>
      <c r="W804" s="303"/>
      <c r="X804" s="303"/>
      <c r="Y804" s="303"/>
      <c r="Z804" s="303"/>
    </row>
    <row r="805">
      <c r="A805" s="303"/>
      <c r="B805" s="303"/>
      <c r="C805" s="303"/>
      <c r="D805" s="303"/>
      <c r="E805" s="303"/>
      <c r="F805" s="303"/>
      <c r="G805" s="303"/>
      <c r="H805" s="303"/>
      <c r="I805" s="303"/>
      <c r="J805" s="303"/>
      <c r="K805" s="303"/>
      <c r="L805" s="303"/>
      <c r="M805" s="303"/>
      <c r="N805" s="303"/>
      <c r="O805" s="303"/>
      <c r="P805" s="303"/>
      <c r="Q805" s="303"/>
      <c r="R805" s="303"/>
      <c r="S805" s="303"/>
      <c r="T805" s="303"/>
      <c r="U805" s="303"/>
      <c r="V805" s="303"/>
      <c r="W805" s="303"/>
      <c r="X805" s="303"/>
      <c r="Y805" s="303"/>
      <c r="Z805" s="303"/>
    </row>
    <row r="806">
      <c r="A806" s="303"/>
      <c r="B806" s="303"/>
      <c r="C806" s="303"/>
      <c r="D806" s="303"/>
      <c r="E806" s="303"/>
      <c r="F806" s="303"/>
      <c r="G806" s="303"/>
      <c r="H806" s="303"/>
      <c r="I806" s="303"/>
      <c r="J806" s="303"/>
      <c r="K806" s="303"/>
      <c r="L806" s="303"/>
      <c r="M806" s="303"/>
      <c r="N806" s="303"/>
      <c r="O806" s="303"/>
      <c r="P806" s="303"/>
      <c r="Q806" s="303"/>
      <c r="R806" s="303"/>
      <c r="S806" s="303"/>
      <c r="T806" s="303"/>
      <c r="U806" s="303"/>
      <c r="V806" s="303"/>
      <c r="W806" s="303"/>
      <c r="X806" s="303"/>
      <c r="Y806" s="303"/>
      <c r="Z806" s="303"/>
    </row>
    <row r="807">
      <c r="A807" s="303"/>
      <c r="B807" s="303"/>
      <c r="C807" s="303"/>
      <c r="D807" s="303"/>
      <c r="E807" s="303"/>
      <c r="F807" s="303"/>
      <c r="G807" s="303"/>
      <c r="H807" s="303"/>
      <c r="I807" s="303"/>
      <c r="J807" s="303"/>
      <c r="K807" s="303"/>
      <c r="L807" s="303"/>
      <c r="M807" s="303"/>
      <c r="N807" s="303"/>
      <c r="O807" s="303"/>
      <c r="P807" s="303"/>
      <c r="Q807" s="303"/>
      <c r="R807" s="303"/>
      <c r="S807" s="303"/>
      <c r="T807" s="303"/>
      <c r="U807" s="303"/>
      <c r="V807" s="303"/>
      <c r="W807" s="303"/>
      <c r="X807" s="303"/>
      <c r="Y807" s="303"/>
      <c r="Z807" s="303"/>
    </row>
    <row r="808">
      <c r="A808" s="303"/>
      <c r="B808" s="303"/>
      <c r="C808" s="303"/>
      <c r="D808" s="303"/>
      <c r="E808" s="303"/>
      <c r="F808" s="303"/>
      <c r="G808" s="303"/>
      <c r="H808" s="303"/>
      <c r="I808" s="303"/>
      <c r="J808" s="303"/>
      <c r="K808" s="303"/>
      <c r="L808" s="303"/>
      <c r="M808" s="303"/>
      <c r="N808" s="303"/>
      <c r="O808" s="303"/>
      <c r="P808" s="303"/>
      <c r="Q808" s="303"/>
      <c r="R808" s="303"/>
      <c r="S808" s="303"/>
      <c r="T808" s="303"/>
      <c r="U808" s="303"/>
      <c r="V808" s="303"/>
      <c r="W808" s="303"/>
      <c r="X808" s="303"/>
      <c r="Y808" s="303"/>
      <c r="Z808" s="303"/>
    </row>
    <row r="809">
      <c r="A809" s="303"/>
      <c r="B809" s="303"/>
      <c r="C809" s="303"/>
      <c r="D809" s="303"/>
      <c r="E809" s="303"/>
      <c r="F809" s="303"/>
      <c r="G809" s="303"/>
      <c r="H809" s="303"/>
      <c r="I809" s="303"/>
      <c r="J809" s="303"/>
      <c r="K809" s="303"/>
      <c r="L809" s="303"/>
      <c r="M809" s="303"/>
      <c r="N809" s="303"/>
      <c r="O809" s="303"/>
      <c r="P809" s="303"/>
      <c r="Q809" s="303"/>
      <c r="R809" s="303"/>
      <c r="S809" s="303"/>
      <c r="T809" s="303"/>
      <c r="U809" s="303"/>
      <c r="V809" s="303"/>
      <c r="W809" s="303"/>
      <c r="X809" s="303"/>
      <c r="Y809" s="303"/>
      <c r="Z809" s="303"/>
    </row>
    <row r="810">
      <c r="A810" s="303"/>
      <c r="B810" s="303"/>
      <c r="C810" s="303"/>
      <c r="D810" s="303"/>
      <c r="E810" s="303"/>
      <c r="F810" s="303"/>
      <c r="G810" s="303"/>
      <c r="H810" s="303"/>
      <c r="I810" s="303"/>
      <c r="J810" s="303"/>
      <c r="K810" s="303"/>
      <c r="L810" s="303"/>
      <c r="M810" s="303"/>
      <c r="N810" s="303"/>
      <c r="O810" s="303"/>
      <c r="P810" s="303"/>
      <c r="Q810" s="303"/>
      <c r="R810" s="303"/>
      <c r="S810" s="303"/>
      <c r="T810" s="303"/>
      <c r="U810" s="303"/>
      <c r="V810" s="303"/>
      <c r="W810" s="303"/>
      <c r="X810" s="303"/>
      <c r="Y810" s="303"/>
      <c r="Z810" s="303"/>
    </row>
    <row r="811">
      <c r="A811" s="303"/>
      <c r="B811" s="303"/>
      <c r="C811" s="303"/>
      <c r="D811" s="303"/>
      <c r="E811" s="303"/>
      <c r="F811" s="303"/>
      <c r="G811" s="303"/>
      <c r="H811" s="303"/>
      <c r="I811" s="303"/>
      <c r="J811" s="303"/>
      <c r="K811" s="303"/>
      <c r="L811" s="303"/>
      <c r="M811" s="303"/>
      <c r="N811" s="303"/>
      <c r="O811" s="303"/>
      <c r="P811" s="303"/>
      <c r="Q811" s="303"/>
      <c r="R811" s="303"/>
      <c r="S811" s="303"/>
      <c r="T811" s="303"/>
      <c r="U811" s="303"/>
      <c r="V811" s="303"/>
      <c r="W811" s="303"/>
      <c r="X811" s="303"/>
      <c r="Y811" s="303"/>
      <c r="Z811" s="303"/>
    </row>
    <row r="812">
      <c r="A812" s="303"/>
      <c r="B812" s="303"/>
      <c r="C812" s="303"/>
      <c r="D812" s="303"/>
      <c r="E812" s="303"/>
      <c r="F812" s="303"/>
      <c r="G812" s="303"/>
      <c r="H812" s="303"/>
      <c r="I812" s="303"/>
      <c r="J812" s="303"/>
      <c r="K812" s="303"/>
      <c r="L812" s="303"/>
      <c r="M812" s="303"/>
      <c r="N812" s="303"/>
      <c r="O812" s="303"/>
      <c r="P812" s="303"/>
      <c r="Q812" s="303"/>
      <c r="R812" s="303"/>
      <c r="S812" s="303"/>
      <c r="T812" s="303"/>
      <c r="U812" s="303"/>
      <c r="V812" s="303"/>
      <c r="W812" s="303"/>
      <c r="X812" s="303"/>
      <c r="Y812" s="303"/>
      <c r="Z812" s="303"/>
    </row>
    <row r="813">
      <c r="A813" s="303"/>
      <c r="B813" s="303"/>
      <c r="C813" s="303"/>
      <c r="D813" s="303"/>
      <c r="E813" s="303"/>
      <c r="F813" s="303"/>
      <c r="G813" s="303"/>
      <c r="H813" s="303"/>
      <c r="I813" s="303"/>
      <c r="J813" s="303"/>
      <c r="K813" s="303"/>
      <c r="L813" s="303"/>
      <c r="M813" s="303"/>
      <c r="N813" s="303"/>
      <c r="O813" s="303"/>
      <c r="P813" s="303"/>
      <c r="Q813" s="303"/>
      <c r="R813" s="303"/>
      <c r="S813" s="303"/>
      <c r="T813" s="303"/>
      <c r="U813" s="303"/>
      <c r="V813" s="303"/>
      <c r="W813" s="303"/>
      <c r="X813" s="303"/>
      <c r="Y813" s="303"/>
      <c r="Z813" s="303"/>
    </row>
    <row r="814">
      <c r="A814" s="303"/>
      <c r="B814" s="303"/>
      <c r="C814" s="303"/>
      <c r="D814" s="303"/>
      <c r="E814" s="303"/>
      <c r="F814" s="303"/>
      <c r="G814" s="303"/>
      <c r="H814" s="303"/>
      <c r="I814" s="303"/>
      <c r="J814" s="303"/>
      <c r="K814" s="303"/>
      <c r="L814" s="303"/>
      <c r="M814" s="303"/>
      <c r="N814" s="303"/>
      <c r="O814" s="303"/>
      <c r="P814" s="303"/>
      <c r="Q814" s="303"/>
      <c r="R814" s="303"/>
      <c r="S814" s="303"/>
      <c r="T814" s="303"/>
      <c r="U814" s="303"/>
      <c r="V814" s="303"/>
      <c r="W814" s="303"/>
      <c r="X814" s="303"/>
      <c r="Y814" s="303"/>
      <c r="Z814" s="303"/>
    </row>
    <row r="815">
      <c r="A815" s="303"/>
      <c r="B815" s="303"/>
      <c r="C815" s="303"/>
      <c r="D815" s="303"/>
      <c r="E815" s="303"/>
      <c r="F815" s="303"/>
      <c r="G815" s="303"/>
      <c r="H815" s="303"/>
      <c r="I815" s="303"/>
      <c r="J815" s="303"/>
      <c r="K815" s="303"/>
      <c r="L815" s="303"/>
      <c r="M815" s="303"/>
      <c r="N815" s="303"/>
      <c r="O815" s="303"/>
      <c r="P815" s="303"/>
      <c r="Q815" s="303"/>
      <c r="R815" s="303"/>
      <c r="S815" s="303"/>
      <c r="T815" s="303"/>
      <c r="U815" s="303"/>
      <c r="V815" s="303"/>
      <c r="W815" s="303"/>
      <c r="X815" s="303"/>
      <c r="Y815" s="303"/>
      <c r="Z815" s="303"/>
    </row>
    <row r="816">
      <c r="A816" s="303"/>
      <c r="B816" s="303"/>
      <c r="C816" s="303"/>
      <c r="D816" s="303"/>
      <c r="E816" s="303"/>
      <c r="F816" s="303"/>
      <c r="G816" s="303"/>
      <c r="H816" s="303"/>
      <c r="I816" s="303"/>
      <c r="J816" s="303"/>
      <c r="K816" s="303"/>
      <c r="L816" s="303"/>
      <c r="M816" s="303"/>
      <c r="N816" s="303"/>
      <c r="O816" s="303"/>
      <c r="P816" s="303"/>
      <c r="Q816" s="303"/>
      <c r="R816" s="303"/>
      <c r="S816" s="303"/>
      <c r="T816" s="303"/>
      <c r="U816" s="303"/>
      <c r="V816" s="303"/>
      <c r="W816" s="303"/>
      <c r="X816" s="303"/>
      <c r="Y816" s="303"/>
      <c r="Z816" s="303"/>
    </row>
    <row r="817">
      <c r="A817" s="303"/>
      <c r="B817" s="303"/>
      <c r="C817" s="303"/>
      <c r="D817" s="303"/>
      <c r="E817" s="303"/>
      <c r="F817" s="303"/>
      <c r="G817" s="303"/>
      <c r="H817" s="303"/>
      <c r="I817" s="303"/>
      <c r="J817" s="303"/>
      <c r="K817" s="303"/>
      <c r="L817" s="303"/>
      <c r="M817" s="303"/>
      <c r="N817" s="303"/>
      <c r="O817" s="303"/>
      <c r="P817" s="303"/>
      <c r="Q817" s="303"/>
      <c r="R817" s="303"/>
      <c r="S817" s="303"/>
      <c r="T817" s="303"/>
      <c r="U817" s="303"/>
      <c r="V817" s="303"/>
      <c r="W817" s="303"/>
      <c r="X817" s="303"/>
      <c r="Y817" s="303"/>
      <c r="Z817" s="303"/>
    </row>
    <row r="818">
      <c r="A818" s="303"/>
      <c r="B818" s="303"/>
      <c r="C818" s="303"/>
      <c r="D818" s="303"/>
      <c r="E818" s="303"/>
      <c r="F818" s="303"/>
      <c r="G818" s="303"/>
      <c r="H818" s="303"/>
      <c r="I818" s="303"/>
      <c r="J818" s="303"/>
      <c r="K818" s="303"/>
      <c r="L818" s="303"/>
      <c r="M818" s="303"/>
      <c r="N818" s="303"/>
      <c r="O818" s="303"/>
      <c r="P818" s="303"/>
      <c r="Q818" s="303"/>
      <c r="R818" s="303"/>
      <c r="S818" s="303"/>
      <c r="T818" s="303"/>
      <c r="U818" s="303"/>
      <c r="V818" s="303"/>
      <c r="W818" s="303"/>
      <c r="X818" s="303"/>
      <c r="Y818" s="303"/>
      <c r="Z818" s="303"/>
    </row>
    <row r="819">
      <c r="A819" s="303"/>
      <c r="B819" s="303"/>
      <c r="C819" s="303"/>
      <c r="D819" s="303"/>
      <c r="E819" s="303"/>
      <c r="F819" s="303"/>
      <c r="G819" s="303"/>
      <c r="H819" s="303"/>
      <c r="I819" s="303"/>
      <c r="J819" s="303"/>
      <c r="K819" s="303"/>
      <c r="L819" s="303"/>
      <c r="M819" s="303"/>
      <c r="N819" s="303"/>
      <c r="O819" s="303"/>
      <c r="P819" s="303"/>
      <c r="Q819" s="303"/>
      <c r="R819" s="303"/>
      <c r="S819" s="303"/>
      <c r="T819" s="303"/>
      <c r="U819" s="303"/>
      <c r="V819" s="303"/>
      <c r="W819" s="303"/>
      <c r="X819" s="303"/>
      <c r="Y819" s="303"/>
      <c r="Z819" s="303"/>
    </row>
    <row r="820">
      <c r="A820" s="303"/>
      <c r="B820" s="303"/>
      <c r="C820" s="303"/>
      <c r="D820" s="303"/>
      <c r="E820" s="303"/>
      <c r="F820" s="303"/>
      <c r="G820" s="303"/>
      <c r="H820" s="303"/>
      <c r="I820" s="303"/>
      <c r="J820" s="303"/>
      <c r="K820" s="303"/>
      <c r="L820" s="303"/>
      <c r="M820" s="303"/>
      <c r="N820" s="303"/>
      <c r="O820" s="303"/>
      <c r="P820" s="303"/>
      <c r="Q820" s="303"/>
      <c r="R820" s="303"/>
      <c r="S820" s="303"/>
      <c r="T820" s="303"/>
      <c r="U820" s="303"/>
      <c r="V820" s="303"/>
      <c r="W820" s="303"/>
      <c r="X820" s="303"/>
      <c r="Y820" s="303"/>
      <c r="Z820" s="303"/>
    </row>
    <row r="821">
      <c r="A821" s="303"/>
      <c r="B821" s="303"/>
      <c r="C821" s="303"/>
      <c r="D821" s="303"/>
      <c r="E821" s="303"/>
      <c r="F821" s="303"/>
      <c r="G821" s="303"/>
      <c r="H821" s="303"/>
      <c r="I821" s="303"/>
      <c r="J821" s="303"/>
      <c r="K821" s="303"/>
      <c r="L821" s="303"/>
      <c r="M821" s="303"/>
      <c r="N821" s="303"/>
      <c r="O821" s="303"/>
      <c r="P821" s="303"/>
      <c r="Q821" s="303"/>
      <c r="R821" s="303"/>
      <c r="S821" s="303"/>
      <c r="T821" s="303"/>
      <c r="U821" s="303"/>
      <c r="V821" s="303"/>
      <c r="W821" s="303"/>
      <c r="X821" s="303"/>
      <c r="Y821" s="303"/>
      <c r="Z821" s="303"/>
    </row>
    <row r="822">
      <c r="A822" s="303"/>
      <c r="B822" s="303"/>
      <c r="C822" s="303"/>
      <c r="D822" s="303"/>
      <c r="E822" s="303"/>
      <c r="F822" s="303"/>
      <c r="G822" s="303"/>
      <c r="H822" s="303"/>
      <c r="I822" s="303"/>
      <c r="J822" s="303"/>
      <c r="K822" s="303"/>
      <c r="L822" s="303"/>
      <c r="M822" s="303"/>
      <c r="N822" s="303"/>
      <c r="O822" s="303"/>
      <c r="P822" s="303"/>
      <c r="Q822" s="303"/>
      <c r="R822" s="303"/>
      <c r="S822" s="303"/>
      <c r="T822" s="303"/>
      <c r="U822" s="303"/>
      <c r="V822" s="303"/>
      <c r="W822" s="303"/>
      <c r="X822" s="303"/>
      <c r="Y822" s="303"/>
      <c r="Z822" s="303"/>
    </row>
    <row r="823">
      <c r="A823" s="303"/>
      <c r="B823" s="303"/>
      <c r="C823" s="303"/>
      <c r="D823" s="303"/>
      <c r="E823" s="303"/>
      <c r="F823" s="303"/>
      <c r="G823" s="303"/>
      <c r="H823" s="303"/>
      <c r="I823" s="303"/>
      <c r="J823" s="303"/>
      <c r="K823" s="303"/>
      <c r="L823" s="303"/>
      <c r="M823" s="303"/>
      <c r="N823" s="303"/>
      <c r="O823" s="303"/>
      <c r="P823" s="303"/>
      <c r="Q823" s="303"/>
      <c r="R823" s="303"/>
      <c r="S823" s="303"/>
      <c r="T823" s="303"/>
      <c r="U823" s="303"/>
      <c r="V823" s="303"/>
      <c r="W823" s="303"/>
      <c r="X823" s="303"/>
      <c r="Y823" s="303"/>
      <c r="Z823" s="303"/>
    </row>
    <row r="824">
      <c r="A824" s="303"/>
      <c r="B824" s="303"/>
      <c r="C824" s="303"/>
      <c r="D824" s="303"/>
      <c r="E824" s="303"/>
      <c r="F824" s="303"/>
      <c r="G824" s="303"/>
      <c r="H824" s="303"/>
      <c r="I824" s="303"/>
      <c r="J824" s="303"/>
      <c r="K824" s="303"/>
      <c r="L824" s="303"/>
      <c r="M824" s="303"/>
      <c r="N824" s="303"/>
      <c r="O824" s="303"/>
      <c r="P824" s="303"/>
      <c r="Q824" s="303"/>
      <c r="R824" s="303"/>
      <c r="S824" s="303"/>
      <c r="T824" s="303"/>
      <c r="U824" s="303"/>
      <c r="V824" s="303"/>
      <c r="W824" s="303"/>
      <c r="X824" s="303"/>
      <c r="Y824" s="303"/>
      <c r="Z824" s="303"/>
    </row>
    <row r="825">
      <c r="A825" s="303"/>
      <c r="B825" s="303"/>
      <c r="C825" s="303"/>
      <c r="D825" s="303"/>
      <c r="E825" s="303"/>
      <c r="F825" s="303"/>
      <c r="G825" s="303"/>
      <c r="H825" s="303"/>
      <c r="I825" s="303"/>
      <c r="J825" s="303"/>
      <c r="K825" s="303"/>
      <c r="L825" s="303"/>
      <c r="M825" s="303"/>
      <c r="N825" s="303"/>
      <c r="O825" s="303"/>
      <c r="P825" s="303"/>
      <c r="Q825" s="303"/>
      <c r="R825" s="303"/>
      <c r="S825" s="303"/>
      <c r="T825" s="303"/>
      <c r="U825" s="303"/>
      <c r="V825" s="303"/>
      <c r="W825" s="303"/>
      <c r="X825" s="303"/>
      <c r="Y825" s="303"/>
      <c r="Z825" s="303"/>
    </row>
    <row r="826">
      <c r="A826" s="303"/>
      <c r="B826" s="303"/>
      <c r="C826" s="303"/>
      <c r="D826" s="303"/>
      <c r="E826" s="303"/>
      <c r="F826" s="303"/>
      <c r="G826" s="303"/>
      <c r="H826" s="303"/>
      <c r="I826" s="303"/>
      <c r="J826" s="303"/>
      <c r="K826" s="303"/>
      <c r="L826" s="303"/>
      <c r="M826" s="303"/>
      <c r="N826" s="303"/>
      <c r="O826" s="303"/>
      <c r="P826" s="303"/>
      <c r="Q826" s="303"/>
      <c r="R826" s="303"/>
      <c r="S826" s="303"/>
      <c r="T826" s="303"/>
      <c r="U826" s="303"/>
      <c r="V826" s="303"/>
      <c r="W826" s="303"/>
      <c r="X826" s="303"/>
      <c r="Y826" s="303"/>
      <c r="Z826" s="303"/>
    </row>
    <row r="827">
      <c r="A827" s="303"/>
      <c r="B827" s="303"/>
      <c r="C827" s="303"/>
      <c r="D827" s="303"/>
      <c r="E827" s="303"/>
      <c r="F827" s="303"/>
      <c r="G827" s="303"/>
      <c r="H827" s="303"/>
      <c r="I827" s="303"/>
      <c r="J827" s="303"/>
      <c r="K827" s="303"/>
      <c r="L827" s="303"/>
      <c r="M827" s="303"/>
      <c r="N827" s="303"/>
      <c r="O827" s="303"/>
      <c r="P827" s="303"/>
      <c r="Q827" s="303"/>
      <c r="R827" s="303"/>
      <c r="S827" s="303"/>
      <c r="T827" s="303"/>
      <c r="U827" s="303"/>
      <c r="V827" s="303"/>
      <c r="W827" s="303"/>
      <c r="X827" s="303"/>
      <c r="Y827" s="303"/>
      <c r="Z827" s="303"/>
    </row>
    <row r="828">
      <c r="A828" s="303"/>
      <c r="B828" s="303"/>
      <c r="C828" s="303"/>
      <c r="D828" s="303"/>
      <c r="E828" s="303"/>
      <c r="F828" s="303"/>
      <c r="G828" s="303"/>
      <c r="H828" s="303"/>
      <c r="I828" s="303"/>
      <c r="J828" s="303"/>
      <c r="K828" s="303"/>
      <c r="L828" s="303"/>
      <c r="M828" s="303"/>
      <c r="N828" s="303"/>
      <c r="O828" s="303"/>
      <c r="P828" s="303"/>
      <c r="Q828" s="303"/>
      <c r="R828" s="303"/>
      <c r="S828" s="303"/>
      <c r="T828" s="303"/>
      <c r="U828" s="303"/>
      <c r="V828" s="303"/>
      <c r="W828" s="303"/>
      <c r="X828" s="303"/>
      <c r="Y828" s="303"/>
      <c r="Z828" s="303"/>
    </row>
    <row r="829">
      <c r="A829" s="303"/>
      <c r="B829" s="303"/>
      <c r="C829" s="303"/>
      <c r="D829" s="303"/>
      <c r="E829" s="303"/>
      <c r="F829" s="303"/>
      <c r="G829" s="303"/>
      <c r="H829" s="303"/>
      <c r="I829" s="303"/>
      <c r="J829" s="303"/>
      <c r="K829" s="303"/>
      <c r="L829" s="303"/>
      <c r="M829" s="303"/>
      <c r="N829" s="303"/>
      <c r="O829" s="303"/>
      <c r="P829" s="303"/>
      <c r="Q829" s="303"/>
      <c r="R829" s="303"/>
      <c r="S829" s="303"/>
      <c r="T829" s="303"/>
      <c r="U829" s="303"/>
      <c r="V829" s="303"/>
      <c r="W829" s="303"/>
      <c r="X829" s="303"/>
      <c r="Y829" s="303"/>
      <c r="Z829" s="303"/>
    </row>
    <row r="830">
      <c r="A830" s="303"/>
      <c r="B830" s="303"/>
      <c r="C830" s="303"/>
      <c r="D830" s="303"/>
      <c r="E830" s="303"/>
      <c r="F830" s="303"/>
      <c r="G830" s="303"/>
      <c r="H830" s="303"/>
      <c r="I830" s="303"/>
      <c r="J830" s="303"/>
      <c r="K830" s="303"/>
      <c r="L830" s="303"/>
      <c r="M830" s="303"/>
      <c r="N830" s="303"/>
      <c r="O830" s="303"/>
      <c r="P830" s="303"/>
      <c r="Q830" s="303"/>
      <c r="R830" s="303"/>
      <c r="S830" s="303"/>
      <c r="T830" s="303"/>
      <c r="U830" s="303"/>
      <c r="V830" s="303"/>
      <c r="W830" s="303"/>
      <c r="X830" s="303"/>
      <c r="Y830" s="303"/>
      <c r="Z830" s="303"/>
    </row>
    <row r="831">
      <c r="A831" s="303"/>
      <c r="B831" s="303"/>
      <c r="C831" s="303"/>
      <c r="D831" s="303"/>
      <c r="E831" s="303"/>
      <c r="F831" s="303"/>
      <c r="G831" s="303"/>
      <c r="H831" s="303"/>
      <c r="I831" s="303"/>
      <c r="J831" s="303"/>
      <c r="K831" s="303"/>
      <c r="L831" s="303"/>
      <c r="M831" s="303"/>
      <c r="N831" s="303"/>
      <c r="O831" s="303"/>
      <c r="P831" s="303"/>
      <c r="Q831" s="303"/>
      <c r="R831" s="303"/>
      <c r="S831" s="303"/>
      <c r="T831" s="303"/>
      <c r="U831" s="303"/>
      <c r="V831" s="303"/>
      <c r="W831" s="303"/>
      <c r="X831" s="303"/>
      <c r="Y831" s="303"/>
      <c r="Z831" s="303"/>
    </row>
    <row r="832">
      <c r="A832" s="303"/>
      <c r="B832" s="303"/>
      <c r="C832" s="303"/>
      <c r="D832" s="303"/>
      <c r="E832" s="303"/>
      <c r="F832" s="303"/>
      <c r="G832" s="303"/>
      <c r="H832" s="303"/>
      <c r="I832" s="303"/>
      <c r="J832" s="303"/>
      <c r="K832" s="303"/>
      <c r="L832" s="303"/>
      <c r="M832" s="303"/>
      <c r="N832" s="303"/>
      <c r="O832" s="303"/>
      <c r="P832" s="303"/>
      <c r="Q832" s="303"/>
      <c r="R832" s="303"/>
      <c r="S832" s="303"/>
      <c r="T832" s="303"/>
      <c r="U832" s="303"/>
      <c r="V832" s="303"/>
      <c r="W832" s="303"/>
      <c r="X832" s="303"/>
      <c r="Y832" s="303"/>
      <c r="Z832" s="303"/>
    </row>
    <row r="833">
      <c r="A833" s="303"/>
      <c r="B833" s="303"/>
      <c r="C833" s="303"/>
      <c r="D833" s="303"/>
      <c r="E833" s="303"/>
      <c r="F833" s="303"/>
      <c r="G833" s="303"/>
      <c r="H833" s="303"/>
      <c r="I833" s="303"/>
      <c r="J833" s="303"/>
      <c r="K833" s="303"/>
      <c r="L833" s="303"/>
      <c r="M833" s="303"/>
      <c r="N833" s="303"/>
      <c r="O833" s="303"/>
      <c r="P833" s="303"/>
      <c r="Q833" s="303"/>
      <c r="R833" s="303"/>
      <c r="S833" s="303"/>
      <c r="T833" s="303"/>
      <c r="U833" s="303"/>
      <c r="V833" s="303"/>
      <c r="W833" s="303"/>
      <c r="X833" s="303"/>
      <c r="Y833" s="303"/>
      <c r="Z833" s="303"/>
    </row>
    <row r="834">
      <c r="A834" s="303"/>
      <c r="B834" s="303"/>
      <c r="C834" s="303"/>
      <c r="D834" s="303"/>
      <c r="E834" s="303"/>
      <c r="F834" s="303"/>
      <c r="G834" s="303"/>
      <c r="H834" s="303"/>
      <c r="I834" s="303"/>
      <c r="J834" s="303"/>
      <c r="K834" s="303"/>
      <c r="L834" s="303"/>
      <c r="M834" s="303"/>
      <c r="N834" s="303"/>
      <c r="O834" s="303"/>
      <c r="P834" s="303"/>
      <c r="Q834" s="303"/>
      <c r="R834" s="303"/>
      <c r="S834" s="303"/>
      <c r="T834" s="303"/>
      <c r="U834" s="303"/>
      <c r="V834" s="303"/>
      <c r="W834" s="303"/>
      <c r="X834" s="303"/>
      <c r="Y834" s="303"/>
      <c r="Z834" s="303"/>
    </row>
    <row r="835">
      <c r="A835" s="303"/>
      <c r="B835" s="303"/>
      <c r="C835" s="303"/>
      <c r="D835" s="303"/>
      <c r="E835" s="303"/>
      <c r="F835" s="303"/>
      <c r="G835" s="303"/>
      <c r="H835" s="303"/>
      <c r="I835" s="303"/>
      <c r="J835" s="303"/>
      <c r="K835" s="303"/>
      <c r="L835" s="303"/>
      <c r="M835" s="303"/>
      <c r="N835" s="303"/>
      <c r="O835" s="303"/>
      <c r="P835" s="303"/>
      <c r="Q835" s="303"/>
      <c r="R835" s="303"/>
      <c r="S835" s="303"/>
      <c r="T835" s="303"/>
      <c r="U835" s="303"/>
      <c r="V835" s="303"/>
      <c r="W835" s="303"/>
      <c r="X835" s="303"/>
      <c r="Y835" s="303"/>
      <c r="Z835" s="303"/>
    </row>
    <row r="836">
      <c r="A836" s="303"/>
      <c r="B836" s="303"/>
      <c r="C836" s="303"/>
      <c r="D836" s="303"/>
      <c r="E836" s="303"/>
      <c r="F836" s="303"/>
      <c r="G836" s="303"/>
      <c r="H836" s="303"/>
      <c r="I836" s="303"/>
      <c r="J836" s="303"/>
      <c r="K836" s="303"/>
      <c r="L836" s="303"/>
      <c r="M836" s="303"/>
      <c r="N836" s="303"/>
      <c r="O836" s="303"/>
      <c r="P836" s="303"/>
      <c r="Q836" s="303"/>
      <c r="R836" s="303"/>
      <c r="S836" s="303"/>
      <c r="T836" s="303"/>
      <c r="U836" s="303"/>
      <c r="V836" s="303"/>
      <c r="W836" s="303"/>
      <c r="X836" s="303"/>
      <c r="Y836" s="303"/>
      <c r="Z836" s="303"/>
    </row>
    <row r="837">
      <c r="A837" s="303"/>
      <c r="B837" s="303"/>
      <c r="C837" s="303"/>
      <c r="D837" s="303"/>
      <c r="E837" s="303"/>
      <c r="F837" s="303"/>
      <c r="G837" s="303"/>
      <c r="H837" s="303"/>
      <c r="I837" s="303"/>
      <c r="J837" s="303"/>
      <c r="K837" s="303"/>
      <c r="L837" s="303"/>
      <c r="M837" s="303"/>
      <c r="N837" s="303"/>
      <c r="O837" s="303"/>
      <c r="P837" s="303"/>
      <c r="Q837" s="303"/>
      <c r="R837" s="303"/>
      <c r="S837" s="303"/>
      <c r="T837" s="303"/>
      <c r="U837" s="303"/>
      <c r="V837" s="303"/>
      <c r="W837" s="303"/>
      <c r="X837" s="303"/>
      <c r="Y837" s="303"/>
      <c r="Z837" s="303"/>
    </row>
    <row r="838">
      <c r="A838" s="303"/>
      <c r="B838" s="303"/>
      <c r="C838" s="303"/>
      <c r="D838" s="303"/>
      <c r="E838" s="303"/>
      <c r="F838" s="303"/>
      <c r="G838" s="303"/>
      <c r="H838" s="303"/>
      <c r="I838" s="303"/>
      <c r="J838" s="303"/>
      <c r="K838" s="303"/>
      <c r="L838" s="303"/>
      <c r="M838" s="303"/>
      <c r="N838" s="303"/>
      <c r="O838" s="303"/>
      <c r="P838" s="303"/>
      <c r="Q838" s="303"/>
      <c r="R838" s="303"/>
      <c r="S838" s="303"/>
      <c r="T838" s="303"/>
      <c r="U838" s="303"/>
      <c r="V838" s="303"/>
      <c r="W838" s="303"/>
      <c r="X838" s="303"/>
      <c r="Y838" s="303"/>
      <c r="Z838" s="303"/>
    </row>
    <row r="839">
      <c r="A839" s="303"/>
      <c r="B839" s="303"/>
      <c r="C839" s="303"/>
      <c r="D839" s="303"/>
      <c r="E839" s="303"/>
      <c r="F839" s="303"/>
      <c r="G839" s="303"/>
      <c r="H839" s="303"/>
      <c r="I839" s="303"/>
      <c r="J839" s="303"/>
      <c r="K839" s="303"/>
      <c r="L839" s="303"/>
      <c r="M839" s="303"/>
      <c r="N839" s="303"/>
      <c r="O839" s="303"/>
      <c r="P839" s="303"/>
      <c r="Q839" s="303"/>
      <c r="R839" s="303"/>
      <c r="S839" s="303"/>
      <c r="T839" s="303"/>
      <c r="U839" s="303"/>
      <c r="V839" s="303"/>
      <c r="W839" s="303"/>
      <c r="X839" s="303"/>
      <c r="Y839" s="303"/>
      <c r="Z839" s="303"/>
    </row>
    <row r="840">
      <c r="A840" s="303"/>
      <c r="B840" s="303"/>
      <c r="C840" s="303"/>
      <c r="D840" s="303"/>
      <c r="E840" s="303"/>
      <c r="F840" s="303"/>
      <c r="G840" s="303"/>
      <c r="H840" s="303"/>
      <c r="I840" s="303"/>
      <c r="J840" s="303"/>
      <c r="K840" s="303"/>
      <c r="L840" s="303"/>
      <c r="M840" s="303"/>
      <c r="N840" s="303"/>
      <c r="O840" s="303"/>
      <c r="P840" s="303"/>
      <c r="Q840" s="303"/>
      <c r="R840" s="303"/>
      <c r="S840" s="303"/>
      <c r="T840" s="303"/>
      <c r="U840" s="303"/>
      <c r="V840" s="303"/>
      <c r="W840" s="303"/>
      <c r="X840" s="303"/>
      <c r="Y840" s="303"/>
      <c r="Z840" s="303"/>
    </row>
    <row r="841">
      <c r="A841" s="303"/>
      <c r="B841" s="303"/>
      <c r="C841" s="303"/>
      <c r="D841" s="303"/>
      <c r="E841" s="303"/>
      <c r="F841" s="303"/>
      <c r="G841" s="303"/>
      <c r="H841" s="303"/>
      <c r="I841" s="303"/>
      <c r="J841" s="303"/>
      <c r="K841" s="303"/>
      <c r="L841" s="303"/>
      <c r="M841" s="303"/>
      <c r="N841" s="303"/>
      <c r="O841" s="303"/>
      <c r="P841" s="303"/>
      <c r="Q841" s="303"/>
      <c r="R841" s="303"/>
      <c r="S841" s="303"/>
      <c r="T841" s="303"/>
      <c r="U841" s="303"/>
      <c r="V841" s="303"/>
      <c r="W841" s="303"/>
      <c r="X841" s="303"/>
      <c r="Y841" s="303"/>
      <c r="Z841" s="303"/>
    </row>
    <row r="842">
      <c r="A842" s="303"/>
      <c r="B842" s="303"/>
      <c r="C842" s="303"/>
      <c r="D842" s="303"/>
      <c r="E842" s="303"/>
      <c r="F842" s="303"/>
      <c r="G842" s="303"/>
      <c r="H842" s="303"/>
      <c r="I842" s="303"/>
      <c r="J842" s="303"/>
      <c r="K842" s="303"/>
      <c r="L842" s="303"/>
      <c r="M842" s="303"/>
      <c r="N842" s="303"/>
      <c r="O842" s="303"/>
      <c r="P842" s="303"/>
      <c r="Q842" s="303"/>
      <c r="R842" s="303"/>
      <c r="S842" s="303"/>
      <c r="T842" s="303"/>
      <c r="U842" s="303"/>
      <c r="V842" s="303"/>
      <c r="W842" s="303"/>
      <c r="X842" s="303"/>
      <c r="Y842" s="303"/>
      <c r="Z842" s="303"/>
    </row>
    <row r="843">
      <c r="A843" s="303"/>
      <c r="B843" s="303"/>
      <c r="C843" s="303"/>
      <c r="D843" s="303"/>
      <c r="E843" s="303"/>
      <c r="F843" s="303"/>
      <c r="G843" s="303"/>
      <c r="H843" s="303"/>
      <c r="I843" s="303"/>
      <c r="J843" s="303"/>
      <c r="K843" s="303"/>
      <c r="L843" s="303"/>
      <c r="M843" s="303"/>
      <c r="N843" s="303"/>
      <c r="O843" s="303"/>
      <c r="P843" s="303"/>
      <c r="Q843" s="303"/>
      <c r="R843" s="303"/>
      <c r="S843" s="303"/>
      <c r="T843" s="303"/>
      <c r="U843" s="303"/>
      <c r="V843" s="303"/>
      <c r="W843" s="303"/>
      <c r="X843" s="303"/>
      <c r="Y843" s="303"/>
      <c r="Z843" s="303"/>
    </row>
    <row r="844">
      <c r="A844" s="303"/>
      <c r="B844" s="303"/>
      <c r="C844" s="303"/>
      <c r="D844" s="303"/>
      <c r="E844" s="303"/>
      <c r="F844" s="303"/>
      <c r="G844" s="303"/>
      <c r="H844" s="303"/>
      <c r="I844" s="303"/>
      <c r="J844" s="303"/>
      <c r="K844" s="303"/>
      <c r="L844" s="303"/>
      <c r="M844" s="303"/>
      <c r="N844" s="303"/>
      <c r="O844" s="303"/>
      <c r="P844" s="303"/>
      <c r="Q844" s="303"/>
      <c r="R844" s="303"/>
      <c r="S844" s="303"/>
      <c r="T844" s="303"/>
      <c r="U844" s="303"/>
      <c r="V844" s="303"/>
      <c r="W844" s="303"/>
      <c r="X844" s="303"/>
      <c r="Y844" s="303"/>
      <c r="Z844" s="303"/>
    </row>
    <row r="845">
      <c r="A845" s="303"/>
      <c r="B845" s="303"/>
      <c r="C845" s="303"/>
      <c r="D845" s="303"/>
      <c r="E845" s="303"/>
      <c r="F845" s="303"/>
      <c r="G845" s="303"/>
      <c r="H845" s="303"/>
      <c r="I845" s="303"/>
      <c r="J845" s="303"/>
      <c r="K845" s="303"/>
      <c r="L845" s="303"/>
      <c r="M845" s="303"/>
      <c r="N845" s="303"/>
      <c r="O845" s="303"/>
      <c r="P845" s="303"/>
      <c r="Q845" s="303"/>
      <c r="R845" s="303"/>
      <c r="S845" s="303"/>
      <c r="T845" s="303"/>
      <c r="U845" s="303"/>
      <c r="V845" s="303"/>
      <c r="W845" s="303"/>
      <c r="X845" s="303"/>
      <c r="Y845" s="303"/>
      <c r="Z845" s="303"/>
    </row>
    <row r="846">
      <c r="A846" s="303"/>
      <c r="B846" s="303"/>
      <c r="C846" s="303"/>
      <c r="D846" s="303"/>
      <c r="E846" s="303"/>
      <c r="F846" s="303"/>
      <c r="G846" s="303"/>
      <c r="H846" s="303"/>
      <c r="I846" s="303"/>
      <c r="J846" s="303"/>
      <c r="K846" s="303"/>
      <c r="L846" s="303"/>
      <c r="M846" s="303"/>
      <c r="N846" s="303"/>
      <c r="O846" s="303"/>
      <c r="P846" s="303"/>
      <c r="Q846" s="303"/>
      <c r="R846" s="303"/>
      <c r="S846" s="303"/>
      <c r="T846" s="303"/>
      <c r="U846" s="303"/>
      <c r="V846" s="303"/>
      <c r="W846" s="303"/>
      <c r="X846" s="303"/>
      <c r="Y846" s="303"/>
      <c r="Z846" s="303"/>
    </row>
    <row r="847">
      <c r="A847" s="303"/>
      <c r="B847" s="303"/>
      <c r="C847" s="303"/>
      <c r="D847" s="303"/>
      <c r="E847" s="303"/>
      <c r="F847" s="303"/>
      <c r="G847" s="303"/>
      <c r="H847" s="303"/>
      <c r="I847" s="303"/>
      <c r="J847" s="303"/>
      <c r="K847" s="303"/>
      <c r="L847" s="303"/>
      <c r="M847" s="303"/>
      <c r="N847" s="303"/>
      <c r="O847" s="303"/>
      <c r="P847" s="303"/>
      <c r="Q847" s="303"/>
      <c r="R847" s="303"/>
      <c r="S847" s="303"/>
      <c r="T847" s="303"/>
      <c r="U847" s="303"/>
      <c r="V847" s="303"/>
      <c r="W847" s="303"/>
      <c r="X847" s="303"/>
      <c r="Y847" s="303"/>
      <c r="Z847" s="303"/>
    </row>
    <row r="848">
      <c r="A848" s="303"/>
      <c r="B848" s="303"/>
      <c r="C848" s="303"/>
      <c r="D848" s="303"/>
      <c r="E848" s="303"/>
      <c r="F848" s="303"/>
      <c r="G848" s="303"/>
      <c r="H848" s="303"/>
      <c r="I848" s="303"/>
      <c r="J848" s="303"/>
      <c r="K848" s="303"/>
      <c r="L848" s="303"/>
      <c r="M848" s="303"/>
      <c r="N848" s="303"/>
      <c r="O848" s="303"/>
      <c r="P848" s="303"/>
      <c r="Q848" s="303"/>
      <c r="R848" s="303"/>
      <c r="S848" s="303"/>
      <c r="T848" s="303"/>
      <c r="U848" s="303"/>
      <c r="V848" s="303"/>
      <c r="W848" s="303"/>
      <c r="X848" s="303"/>
      <c r="Y848" s="303"/>
      <c r="Z848" s="303"/>
    </row>
    <row r="849">
      <c r="A849" s="303"/>
      <c r="B849" s="303"/>
      <c r="C849" s="303"/>
      <c r="D849" s="303"/>
      <c r="E849" s="303"/>
      <c r="F849" s="303"/>
      <c r="G849" s="303"/>
      <c r="H849" s="303"/>
      <c r="I849" s="303"/>
      <c r="J849" s="303"/>
      <c r="K849" s="303"/>
      <c r="L849" s="303"/>
      <c r="M849" s="303"/>
      <c r="N849" s="303"/>
      <c r="O849" s="303"/>
      <c r="P849" s="303"/>
      <c r="Q849" s="303"/>
      <c r="R849" s="303"/>
      <c r="S849" s="303"/>
      <c r="T849" s="303"/>
      <c r="U849" s="303"/>
      <c r="V849" s="303"/>
      <c r="W849" s="303"/>
      <c r="X849" s="303"/>
      <c r="Y849" s="303"/>
      <c r="Z849" s="303"/>
    </row>
    <row r="850">
      <c r="A850" s="303"/>
      <c r="B850" s="303"/>
      <c r="C850" s="303"/>
      <c r="D850" s="303"/>
      <c r="E850" s="303"/>
      <c r="F850" s="303"/>
      <c r="G850" s="303"/>
      <c r="H850" s="303"/>
      <c r="I850" s="303"/>
      <c r="J850" s="303"/>
      <c r="K850" s="303"/>
      <c r="L850" s="303"/>
      <c r="M850" s="303"/>
      <c r="N850" s="303"/>
      <c r="O850" s="303"/>
      <c r="P850" s="303"/>
      <c r="Q850" s="303"/>
      <c r="R850" s="303"/>
      <c r="S850" s="303"/>
      <c r="T850" s="303"/>
      <c r="U850" s="303"/>
      <c r="V850" s="303"/>
      <c r="W850" s="303"/>
      <c r="X850" s="303"/>
      <c r="Y850" s="303"/>
      <c r="Z850" s="303"/>
    </row>
    <row r="851">
      <c r="A851" s="303"/>
      <c r="B851" s="303"/>
      <c r="C851" s="303"/>
      <c r="D851" s="303"/>
      <c r="E851" s="303"/>
      <c r="F851" s="303"/>
      <c r="G851" s="303"/>
      <c r="H851" s="303"/>
      <c r="I851" s="303"/>
      <c r="J851" s="303"/>
      <c r="K851" s="303"/>
      <c r="L851" s="303"/>
      <c r="M851" s="303"/>
      <c r="N851" s="303"/>
      <c r="O851" s="303"/>
      <c r="P851" s="303"/>
      <c r="Q851" s="303"/>
      <c r="R851" s="303"/>
      <c r="S851" s="303"/>
      <c r="T851" s="303"/>
      <c r="U851" s="303"/>
      <c r="V851" s="303"/>
      <c r="W851" s="303"/>
      <c r="X851" s="303"/>
      <c r="Y851" s="303"/>
      <c r="Z851" s="303"/>
    </row>
    <row r="852">
      <c r="A852" s="303"/>
      <c r="B852" s="303"/>
      <c r="C852" s="303"/>
      <c r="D852" s="303"/>
      <c r="E852" s="303"/>
      <c r="F852" s="303"/>
      <c r="G852" s="303"/>
      <c r="H852" s="303"/>
      <c r="I852" s="303"/>
      <c r="J852" s="303"/>
      <c r="K852" s="303"/>
      <c r="L852" s="303"/>
      <c r="M852" s="303"/>
      <c r="N852" s="303"/>
      <c r="O852" s="303"/>
      <c r="P852" s="303"/>
      <c r="Q852" s="303"/>
      <c r="R852" s="303"/>
      <c r="S852" s="303"/>
      <c r="T852" s="303"/>
      <c r="U852" s="303"/>
      <c r="V852" s="303"/>
      <c r="W852" s="303"/>
      <c r="X852" s="303"/>
      <c r="Y852" s="303"/>
      <c r="Z852" s="303"/>
    </row>
    <row r="853">
      <c r="A853" s="303"/>
      <c r="B853" s="303"/>
      <c r="C853" s="303"/>
      <c r="D853" s="303"/>
      <c r="E853" s="303"/>
      <c r="F853" s="303"/>
      <c r="G853" s="303"/>
      <c r="H853" s="303"/>
      <c r="I853" s="303"/>
      <c r="J853" s="303"/>
      <c r="K853" s="303"/>
      <c r="L853" s="303"/>
      <c r="M853" s="303"/>
      <c r="N853" s="303"/>
      <c r="O853" s="303"/>
      <c r="P853" s="303"/>
      <c r="Q853" s="303"/>
      <c r="R853" s="303"/>
      <c r="S853" s="303"/>
      <c r="T853" s="303"/>
      <c r="U853" s="303"/>
      <c r="V853" s="303"/>
      <c r="W853" s="303"/>
      <c r="X853" s="303"/>
      <c r="Y853" s="303"/>
      <c r="Z853" s="303"/>
    </row>
    <row r="854">
      <c r="A854" s="303"/>
      <c r="B854" s="303"/>
      <c r="C854" s="303"/>
      <c r="D854" s="303"/>
      <c r="E854" s="303"/>
      <c r="F854" s="303"/>
      <c r="G854" s="303"/>
      <c r="H854" s="303"/>
      <c r="I854" s="303"/>
      <c r="J854" s="303"/>
      <c r="K854" s="303"/>
      <c r="L854" s="303"/>
      <c r="M854" s="303"/>
      <c r="N854" s="303"/>
      <c r="O854" s="303"/>
      <c r="P854" s="303"/>
      <c r="Q854" s="303"/>
      <c r="R854" s="303"/>
      <c r="S854" s="303"/>
      <c r="T854" s="303"/>
      <c r="U854" s="303"/>
      <c r="V854" s="303"/>
      <c r="W854" s="303"/>
      <c r="X854" s="303"/>
      <c r="Y854" s="303"/>
      <c r="Z854" s="303"/>
    </row>
    <row r="855">
      <c r="A855" s="303"/>
      <c r="B855" s="303"/>
      <c r="C855" s="303"/>
      <c r="D855" s="303"/>
      <c r="E855" s="303"/>
      <c r="F855" s="303"/>
      <c r="G855" s="303"/>
      <c r="H855" s="303"/>
      <c r="I855" s="303"/>
      <c r="J855" s="303"/>
      <c r="K855" s="303"/>
      <c r="L855" s="303"/>
      <c r="M855" s="303"/>
      <c r="N855" s="303"/>
      <c r="O855" s="303"/>
      <c r="P855" s="303"/>
      <c r="Q855" s="303"/>
      <c r="R855" s="303"/>
      <c r="S855" s="303"/>
      <c r="T855" s="303"/>
      <c r="U855" s="303"/>
      <c r="V855" s="303"/>
      <c r="W855" s="303"/>
      <c r="X855" s="303"/>
      <c r="Y855" s="303"/>
      <c r="Z855" s="303"/>
    </row>
    <row r="856">
      <c r="A856" s="303"/>
      <c r="B856" s="303"/>
      <c r="C856" s="303"/>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row>
    <row r="857">
      <c r="A857" s="303"/>
      <c r="B857" s="303"/>
      <c r="C857" s="303"/>
      <c r="D857" s="303"/>
      <c r="E857" s="303"/>
      <c r="F857" s="303"/>
      <c r="G857" s="303"/>
      <c r="H857" s="303"/>
      <c r="I857" s="303"/>
      <c r="J857" s="303"/>
      <c r="K857" s="303"/>
      <c r="L857" s="303"/>
      <c r="M857" s="303"/>
      <c r="N857" s="303"/>
      <c r="O857" s="303"/>
      <c r="P857" s="303"/>
      <c r="Q857" s="303"/>
      <c r="R857" s="303"/>
      <c r="S857" s="303"/>
      <c r="T857" s="303"/>
      <c r="U857" s="303"/>
      <c r="V857" s="303"/>
      <c r="W857" s="303"/>
      <c r="X857" s="303"/>
      <c r="Y857" s="303"/>
      <c r="Z857" s="303"/>
    </row>
    <row r="858">
      <c r="A858" s="303"/>
      <c r="B858" s="303"/>
      <c r="C858" s="303"/>
      <c r="D858" s="303"/>
      <c r="E858" s="303"/>
      <c r="F858" s="303"/>
      <c r="G858" s="303"/>
      <c r="H858" s="303"/>
      <c r="I858" s="303"/>
      <c r="J858" s="303"/>
      <c r="K858" s="303"/>
      <c r="L858" s="303"/>
      <c r="M858" s="303"/>
      <c r="N858" s="303"/>
      <c r="O858" s="303"/>
      <c r="P858" s="303"/>
      <c r="Q858" s="303"/>
      <c r="R858" s="303"/>
      <c r="S858" s="303"/>
      <c r="T858" s="303"/>
      <c r="U858" s="303"/>
      <c r="V858" s="303"/>
      <c r="W858" s="303"/>
      <c r="X858" s="303"/>
      <c r="Y858" s="303"/>
      <c r="Z858" s="303"/>
    </row>
    <row r="859">
      <c r="A859" s="303"/>
      <c r="B859" s="303"/>
      <c r="C859" s="303"/>
      <c r="D859" s="303"/>
      <c r="E859" s="303"/>
      <c r="F859" s="303"/>
      <c r="G859" s="303"/>
      <c r="H859" s="303"/>
      <c r="I859" s="303"/>
      <c r="J859" s="303"/>
      <c r="K859" s="303"/>
      <c r="L859" s="303"/>
      <c r="M859" s="303"/>
      <c r="N859" s="303"/>
      <c r="O859" s="303"/>
      <c r="P859" s="303"/>
      <c r="Q859" s="303"/>
      <c r="R859" s="303"/>
      <c r="S859" s="303"/>
      <c r="T859" s="303"/>
      <c r="U859" s="303"/>
      <c r="V859" s="303"/>
      <c r="W859" s="303"/>
      <c r="X859" s="303"/>
      <c r="Y859" s="303"/>
      <c r="Z859" s="303"/>
    </row>
    <row r="860">
      <c r="A860" s="303"/>
      <c r="B860" s="303"/>
      <c r="C860" s="303"/>
      <c r="D860" s="303"/>
      <c r="E860" s="303"/>
      <c r="F860" s="303"/>
      <c r="G860" s="303"/>
      <c r="H860" s="303"/>
      <c r="I860" s="303"/>
      <c r="J860" s="303"/>
      <c r="K860" s="303"/>
      <c r="L860" s="303"/>
      <c r="M860" s="303"/>
      <c r="N860" s="303"/>
      <c r="O860" s="303"/>
      <c r="P860" s="303"/>
      <c r="Q860" s="303"/>
      <c r="R860" s="303"/>
      <c r="S860" s="303"/>
      <c r="T860" s="303"/>
      <c r="U860" s="303"/>
      <c r="V860" s="303"/>
      <c r="W860" s="303"/>
      <c r="X860" s="303"/>
      <c r="Y860" s="303"/>
      <c r="Z860" s="303"/>
    </row>
    <row r="861">
      <c r="A861" s="303"/>
      <c r="B861" s="303"/>
      <c r="C861" s="303"/>
      <c r="D861" s="303"/>
      <c r="E861" s="303"/>
      <c r="F861" s="303"/>
      <c r="G861" s="303"/>
      <c r="H861" s="303"/>
      <c r="I861" s="303"/>
      <c r="J861" s="303"/>
      <c r="K861" s="303"/>
      <c r="L861" s="303"/>
      <c r="M861" s="303"/>
      <c r="N861" s="303"/>
      <c r="O861" s="303"/>
      <c r="P861" s="303"/>
      <c r="Q861" s="303"/>
      <c r="R861" s="303"/>
      <c r="S861" s="303"/>
      <c r="T861" s="303"/>
      <c r="U861" s="303"/>
      <c r="V861" s="303"/>
      <c r="W861" s="303"/>
      <c r="X861" s="303"/>
      <c r="Y861" s="303"/>
      <c r="Z861" s="303"/>
    </row>
    <row r="862">
      <c r="A862" s="303"/>
      <c r="B862" s="303"/>
      <c r="C862" s="303"/>
      <c r="D862" s="303"/>
      <c r="E862" s="303"/>
      <c r="F862" s="303"/>
      <c r="G862" s="303"/>
      <c r="H862" s="303"/>
      <c r="I862" s="303"/>
      <c r="J862" s="303"/>
      <c r="K862" s="303"/>
      <c r="L862" s="303"/>
      <c r="M862" s="303"/>
      <c r="N862" s="303"/>
      <c r="O862" s="303"/>
      <c r="P862" s="303"/>
      <c r="Q862" s="303"/>
      <c r="R862" s="303"/>
      <c r="S862" s="303"/>
      <c r="T862" s="303"/>
      <c r="U862" s="303"/>
      <c r="V862" s="303"/>
      <c r="W862" s="303"/>
      <c r="X862" s="303"/>
      <c r="Y862" s="303"/>
      <c r="Z862" s="303"/>
    </row>
    <row r="863">
      <c r="A863" s="303"/>
      <c r="B863" s="303"/>
      <c r="C863" s="303"/>
      <c r="D863" s="303"/>
      <c r="E863" s="303"/>
      <c r="F863" s="303"/>
      <c r="G863" s="303"/>
      <c r="H863" s="303"/>
      <c r="I863" s="303"/>
      <c r="J863" s="303"/>
      <c r="K863" s="303"/>
      <c r="L863" s="303"/>
      <c r="M863" s="303"/>
      <c r="N863" s="303"/>
      <c r="O863" s="303"/>
      <c r="P863" s="303"/>
      <c r="Q863" s="303"/>
      <c r="R863" s="303"/>
      <c r="S863" s="303"/>
      <c r="T863" s="303"/>
      <c r="U863" s="303"/>
      <c r="V863" s="303"/>
      <c r="W863" s="303"/>
      <c r="X863" s="303"/>
      <c r="Y863" s="303"/>
      <c r="Z863" s="303"/>
    </row>
    <row r="864">
      <c r="A864" s="303"/>
      <c r="B864" s="303"/>
      <c r="C864" s="303"/>
      <c r="D864" s="303"/>
      <c r="E864" s="303"/>
      <c r="F864" s="303"/>
      <c r="G864" s="303"/>
      <c r="H864" s="303"/>
      <c r="I864" s="303"/>
      <c r="J864" s="303"/>
      <c r="K864" s="303"/>
      <c r="L864" s="303"/>
      <c r="M864" s="303"/>
      <c r="N864" s="303"/>
      <c r="O864" s="303"/>
      <c r="P864" s="303"/>
      <c r="Q864" s="303"/>
      <c r="R864" s="303"/>
      <c r="S864" s="303"/>
      <c r="T864" s="303"/>
      <c r="U864" s="303"/>
      <c r="V864" s="303"/>
      <c r="W864" s="303"/>
      <c r="X864" s="303"/>
      <c r="Y864" s="303"/>
      <c r="Z864" s="303"/>
    </row>
    <row r="865">
      <c r="A865" s="303"/>
      <c r="B865" s="303"/>
      <c r="C865" s="303"/>
      <c r="D865" s="303"/>
      <c r="E865" s="303"/>
      <c r="F865" s="303"/>
      <c r="G865" s="303"/>
      <c r="H865" s="303"/>
      <c r="I865" s="303"/>
      <c r="J865" s="303"/>
      <c r="K865" s="303"/>
      <c r="L865" s="303"/>
      <c r="M865" s="303"/>
      <c r="N865" s="303"/>
      <c r="O865" s="303"/>
      <c r="P865" s="303"/>
      <c r="Q865" s="303"/>
      <c r="R865" s="303"/>
      <c r="S865" s="303"/>
      <c r="T865" s="303"/>
      <c r="U865" s="303"/>
      <c r="V865" s="303"/>
      <c r="W865" s="303"/>
      <c r="X865" s="303"/>
      <c r="Y865" s="303"/>
      <c r="Z865" s="303"/>
    </row>
    <row r="866">
      <c r="A866" s="303"/>
      <c r="B866" s="303"/>
      <c r="C866" s="303"/>
      <c r="D866" s="303"/>
      <c r="E866" s="303"/>
      <c r="F866" s="303"/>
      <c r="G866" s="303"/>
      <c r="H866" s="303"/>
      <c r="I866" s="303"/>
      <c r="J866" s="303"/>
      <c r="K866" s="303"/>
      <c r="L866" s="303"/>
      <c r="M866" s="303"/>
      <c r="N866" s="303"/>
      <c r="O866" s="303"/>
      <c r="P866" s="303"/>
      <c r="Q866" s="303"/>
      <c r="R866" s="303"/>
      <c r="S866" s="303"/>
      <c r="T866" s="303"/>
      <c r="U866" s="303"/>
      <c r="V866" s="303"/>
      <c r="W866" s="303"/>
      <c r="X866" s="303"/>
      <c r="Y866" s="303"/>
      <c r="Z866" s="303"/>
    </row>
    <row r="867">
      <c r="A867" s="303"/>
      <c r="B867" s="303"/>
      <c r="C867" s="303"/>
      <c r="D867" s="303"/>
      <c r="E867" s="303"/>
      <c r="F867" s="303"/>
      <c r="G867" s="303"/>
      <c r="H867" s="303"/>
      <c r="I867" s="303"/>
      <c r="J867" s="303"/>
      <c r="K867" s="303"/>
      <c r="L867" s="303"/>
      <c r="M867" s="303"/>
      <c r="N867" s="303"/>
      <c r="O867" s="303"/>
      <c r="P867" s="303"/>
      <c r="Q867" s="303"/>
      <c r="R867" s="303"/>
      <c r="S867" s="303"/>
      <c r="T867" s="303"/>
      <c r="U867" s="303"/>
      <c r="V867" s="303"/>
      <c r="W867" s="303"/>
      <c r="X867" s="303"/>
      <c r="Y867" s="303"/>
      <c r="Z867" s="303"/>
    </row>
    <row r="868">
      <c r="A868" s="303"/>
      <c r="B868" s="303"/>
      <c r="C868" s="303"/>
      <c r="D868" s="303"/>
      <c r="E868" s="303"/>
      <c r="F868" s="303"/>
      <c r="G868" s="303"/>
      <c r="H868" s="303"/>
      <c r="I868" s="303"/>
      <c r="J868" s="303"/>
      <c r="K868" s="303"/>
      <c r="L868" s="303"/>
      <c r="M868" s="303"/>
      <c r="N868" s="303"/>
      <c r="O868" s="303"/>
      <c r="P868" s="303"/>
      <c r="Q868" s="303"/>
      <c r="R868" s="303"/>
      <c r="S868" s="303"/>
      <c r="T868" s="303"/>
      <c r="U868" s="303"/>
      <c r="V868" s="303"/>
      <c r="W868" s="303"/>
      <c r="X868" s="303"/>
      <c r="Y868" s="303"/>
      <c r="Z868" s="303"/>
    </row>
    <row r="869">
      <c r="A869" s="303"/>
      <c r="B869" s="303"/>
      <c r="C869" s="303"/>
      <c r="D869" s="303"/>
      <c r="E869" s="303"/>
      <c r="F869" s="303"/>
      <c r="G869" s="303"/>
      <c r="H869" s="303"/>
      <c r="I869" s="303"/>
      <c r="J869" s="303"/>
      <c r="K869" s="303"/>
      <c r="L869" s="303"/>
      <c r="M869" s="303"/>
      <c r="N869" s="303"/>
      <c r="O869" s="303"/>
      <c r="P869" s="303"/>
      <c r="Q869" s="303"/>
      <c r="R869" s="303"/>
      <c r="S869" s="303"/>
      <c r="T869" s="303"/>
      <c r="U869" s="303"/>
      <c r="V869" s="303"/>
      <c r="W869" s="303"/>
      <c r="X869" s="303"/>
      <c r="Y869" s="303"/>
      <c r="Z869" s="303"/>
    </row>
    <row r="870">
      <c r="A870" s="303"/>
      <c r="B870" s="303"/>
      <c r="C870" s="303"/>
      <c r="D870" s="303"/>
      <c r="E870" s="303"/>
      <c r="F870" s="303"/>
      <c r="G870" s="303"/>
      <c r="H870" s="303"/>
      <c r="I870" s="303"/>
      <c r="J870" s="303"/>
      <c r="K870" s="303"/>
      <c r="L870" s="303"/>
      <c r="M870" s="303"/>
      <c r="N870" s="303"/>
      <c r="O870" s="303"/>
      <c r="P870" s="303"/>
      <c r="Q870" s="303"/>
      <c r="R870" s="303"/>
      <c r="S870" s="303"/>
      <c r="T870" s="303"/>
      <c r="U870" s="303"/>
      <c r="V870" s="303"/>
      <c r="W870" s="303"/>
      <c r="X870" s="303"/>
      <c r="Y870" s="303"/>
      <c r="Z870" s="303"/>
    </row>
    <row r="871">
      <c r="A871" s="303"/>
      <c r="B871" s="303"/>
      <c r="C871" s="303"/>
      <c r="D871" s="303"/>
      <c r="E871" s="303"/>
      <c r="F871" s="303"/>
      <c r="G871" s="303"/>
      <c r="H871" s="303"/>
      <c r="I871" s="303"/>
      <c r="J871" s="303"/>
      <c r="K871" s="303"/>
      <c r="L871" s="303"/>
      <c r="M871" s="303"/>
      <c r="N871" s="303"/>
      <c r="O871" s="303"/>
      <c r="P871" s="303"/>
      <c r="Q871" s="303"/>
      <c r="R871" s="303"/>
      <c r="S871" s="303"/>
      <c r="T871" s="303"/>
      <c r="U871" s="303"/>
      <c r="V871" s="303"/>
      <c r="W871" s="303"/>
      <c r="X871" s="303"/>
      <c r="Y871" s="303"/>
      <c r="Z871" s="303"/>
    </row>
    <row r="872">
      <c r="A872" s="303"/>
      <c r="B872" s="303"/>
      <c r="C872" s="303"/>
      <c r="D872" s="303"/>
      <c r="E872" s="303"/>
      <c r="F872" s="303"/>
      <c r="G872" s="303"/>
      <c r="H872" s="303"/>
      <c r="I872" s="303"/>
      <c r="J872" s="303"/>
      <c r="K872" s="303"/>
      <c r="L872" s="303"/>
      <c r="M872" s="303"/>
      <c r="N872" s="303"/>
      <c r="O872" s="303"/>
      <c r="P872" s="303"/>
      <c r="Q872" s="303"/>
      <c r="R872" s="303"/>
      <c r="S872" s="303"/>
      <c r="T872" s="303"/>
      <c r="U872" s="303"/>
      <c r="V872" s="303"/>
      <c r="W872" s="303"/>
      <c r="X872" s="303"/>
      <c r="Y872" s="303"/>
      <c r="Z872" s="303"/>
    </row>
    <row r="873">
      <c r="A873" s="303"/>
      <c r="B873" s="303"/>
      <c r="C873" s="303"/>
      <c r="D873" s="303"/>
      <c r="E873" s="303"/>
      <c r="F873" s="303"/>
      <c r="G873" s="303"/>
      <c r="H873" s="303"/>
      <c r="I873" s="303"/>
      <c r="J873" s="303"/>
      <c r="K873" s="303"/>
      <c r="L873" s="303"/>
      <c r="M873" s="303"/>
      <c r="N873" s="303"/>
      <c r="O873" s="303"/>
      <c r="P873" s="303"/>
      <c r="Q873" s="303"/>
      <c r="R873" s="303"/>
      <c r="S873" s="303"/>
      <c r="T873" s="303"/>
      <c r="U873" s="303"/>
      <c r="V873" s="303"/>
      <c r="W873" s="303"/>
      <c r="X873" s="303"/>
      <c r="Y873" s="303"/>
      <c r="Z873" s="303"/>
    </row>
    <row r="874">
      <c r="A874" s="303"/>
      <c r="B874" s="303"/>
      <c r="C874" s="303"/>
      <c r="D874" s="303"/>
      <c r="E874" s="303"/>
      <c r="F874" s="303"/>
      <c r="G874" s="303"/>
      <c r="H874" s="303"/>
      <c r="I874" s="303"/>
      <c r="J874" s="303"/>
      <c r="K874" s="303"/>
      <c r="L874" s="303"/>
      <c r="M874" s="303"/>
      <c r="N874" s="303"/>
      <c r="O874" s="303"/>
      <c r="P874" s="303"/>
      <c r="Q874" s="303"/>
      <c r="R874" s="303"/>
      <c r="S874" s="303"/>
      <c r="T874" s="303"/>
      <c r="U874" s="303"/>
      <c r="V874" s="303"/>
      <c r="W874" s="303"/>
      <c r="X874" s="303"/>
      <c r="Y874" s="303"/>
      <c r="Z874" s="303"/>
    </row>
    <row r="875">
      <c r="A875" s="303"/>
      <c r="B875" s="303"/>
      <c r="C875" s="303"/>
      <c r="D875" s="303"/>
      <c r="E875" s="303"/>
      <c r="F875" s="303"/>
      <c r="G875" s="303"/>
      <c r="H875" s="303"/>
      <c r="I875" s="303"/>
      <c r="J875" s="303"/>
      <c r="K875" s="303"/>
      <c r="L875" s="303"/>
      <c r="M875" s="303"/>
      <c r="N875" s="303"/>
      <c r="O875" s="303"/>
      <c r="P875" s="303"/>
      <c r="Q875" s="303"/>
      <c r="R875" s="303"/>
      <c r="S875" s="303"/>
      <c r="T875" s="303"/>
      <c r="U875" s="303"/>
      <c r="V875" s="303"/>
      <c r="W875" s="303"/>
      <c r="X875" s="303"/>
      <c r="Y875" s="303"/>
      <c r="Z875" s="303"/>
    </row>
    <row r="876">
      <c r="A876" s="303"/>
      <c r="B876" s="303"/>
      <c r="C876" s="303"/>
      <c r="D876" s="303"/>
      <c r="E876" s="303"/>
      <c r="F876" s="303"/>
      <c r="G876" s="303"/>
      <c r="H876" s="303"/>
      <c r="I876" s="303"/>
      <c r="J876" s="303"/>
      <c r="K876" s="303"/>
      <c r="L876" s="303"/>
      <c r="M876" s="303"/>
      <c r="N876" s="303"/>
      <c r="O876" s="303"/>
      <c r="P876" s="303"/>
      <c r="Q876" s="303"/>
      <c r="R876" s="303"/>
      <c r="S876" s="303"/>
      <c r="T876" s="303"/>
      <c r="U876" s="303"/>
      <c r="V876" s="303"/>
      <c r="W876" s="303"/>
      <c r="X876" s="303"/>
      <c r="Y876" s="303"/>
      <c r="Z876" s="303"/>
    </row>
    <row r="877">
      <c r="A877" s="303"/>
      <c r="B877" s="303"/>
      <c r="C877" s="303"/>
      <c r="D877" s="303"/>
      <c r="E877" s="303"/>
      <c r="F877" s="303"/>
      <c r="G877" s="303"/>
      <c r="H877" s="303"/>
      <c r="I877" s="303"/>
      <c r="J877" s="303"/>
      <c r="K877" s="303"/>
      <c r="L877" s="303"/>
      <c r="M877" s="303"/>
      <c r="N877" s="303"/>
      <c r="O877" s="303"/>
      <c r="P877" s="303"/>
      <c r="Q877" s="303"/>
      <c r="R877" s="303"/>
      <c r="S877" s="303"/>
      <c r="T877" s="303"/>
      <c r="U877" s="303"/>
      <c r="V877" s="303"/>
      <c r="W877" s="303"/>
      <c r="X877" s="303"/>
      <c r="Y877" s="303"/>
      <c r="Z877" s="303"/>
    </row>
    <row r="878">
      <c r="A878" s="303"/>
      <c r="B878" s="303"/>
      <c r="C878" s="303"/>
      <c r="D878" s="303"/>
      <c r="E878" s="303"/>
      <c r="F878" s="303"/>
      <c r="G878" s="303"/>
      <c r="H878" s="303"/>
      <c r="I878" s="303"/>
      <c r="J878" s="303"/>
      <c r="K878" s="303"/>
      <c r="L878" s="303"/>
      <c r="M878" s="303"/>
      <c r="N878" s="303"/>
      <c r="O878" s="303"/>
      <c r="P878" s="303"/>
      <c r="Q878" s="303"/>
      <c r="R878" s="303"/>
      <c r="S878" s="303"/>
      <c r="T878" s="303"/>
      <c r="U878" s="303"/>
      <c r="V878" s="303"/>
      <c r="W878" s="303"/>
      <c r="X878" s="303"/>
      <c r="Y878" s="303"/>
      <c r="Z878" s="303"/>
    </row>
    <row r="879">
      <c r="A879" s="303"/>
      <c r="B879" s="303"/>
      <c r="C879" s="303"/>
      <c r="D879" s="303"/>
      <c r="E879" s="303"/>
      <c r="F879" s="303"/>
      <c r="G879" s="303"/>
      <c r="H879" s="303"/>
      <c r="I879" s="303"/>
      <c r="J879" s="303"/>
      <c r="K879" s="303"/>
      <c r="L879" s="303"/>
      <c r="M879" s="303"/>
      <c r="N879" s="303"/>
      <c r="O879" s="303"/>
      <c r="P879" s="303"/>
      <c r="Q879" s="303"/>
      <c r="R879" s="303"/>
      <c r="S879" s="303"/>
      <c r="T879" s="303"/>
      <c r="U879" s="303"/>
      <c r="V879" s="303"/>
      <c r="W879" s="303"/>
      <c r="X879" s="303"/>
      <c r="Y879" s="303"/>
      <c r="Z879" s="303"/>
    </row>
    <row r="880">
      <c r="A880" s="303"/>
      <c r="B880" s="303"/>
      <c r="C880" s="303"/>
      <c r="D880" s="303"/>
      <c r="E880" s="303"/>
      <c r="F880" s="303"/>
      <c r="G880" s="303"/>
      <c r="H880" s="303"/>
      <c r="I880" s="303"/>
      <c r="J880" s="303"/>
      <c r="K880" s="303"/>
      <c r="L880" s="303"/>
      <c r="M880" s="303"/>
      <c r="N880" s="303"/>
      <c r="O880" s="303"/>
      <c r="P880" s="303"/>
      <c r="Q880" s="303"/>
      <c r="R880" s="303"/>
      <c r="S880" s="303"/>
      <c r="T880" s="303"/>
      <c r="U880" s="303"/>
      <c r="V880" s="303"/>
      <c r="W880" s="303"/>
      <c r="X880" s="303"/>
      <c r="Y880" s="303"/>
      <c r="Z880" s="303"/>
    </row>
    <row r="881">
      <c r="A881" s="303"/>
      <c r="B881" s="303"/>
      <c r="C881" s="303"/>
      <c r="D881" s="303"/>
      <c r="E881" s="303"/>
      <c r="F881" s="303"/>
      <c r="G881" s="303"/>
      <c r="H881" s="303"/>
      <c r="I881" s="303"/>
      <c r="J881" s="303"/>
      <c r="K881" s="303"/>
      <c r="L881" s="303"/>
      <c r="M881" s="303"/>
      <c r="N881" s="303"/>
      <c r="O881" s="303"/>
      <c r="P881" s="303"/>
      <c r="Q881" s="303"/>
      <c r="R881" s="303"/>
      <c r="S881" s="303"/>
      <c r="T881" s="303"/>
      <c r="U881" s="303"/>
      <c r="V881" s="303"/>
      <c r="W881" s="303"/>
      <c r="X881" s="303"/>
      <c r="Y881" s="303"/>
      <c r="Z881" s="303"/>
    </row>
    <row r="882">
      <c r="A882" s="303"/>
      <c r="B882" s="303"/>
      <c r="C882" s="303"/>
      <c r="D882" s="303"/>
      <c r="E882" s="303"/>
      <c r="F882" s="303"/>
      <c r="G882" s="303"/>
      <c r="H882" s="303"/>
      <c r="I882" s="303"/>
      <c r="J882" s="303"/>
      <c r="K882" s="303"/>
      <c r="L882" s="303"/>
      <c r="M882" s="303"/>
      <c r="N882" s="303"/>
      <c r="O882" s="303"/>
      <c r="P882" s="303"/>
      <c r="Q882" s="303"/>
      <c r="R882" s="303"/>
      <c r="S882" s="303"/>
      <c r="T882" s="303"/>
      <c r="U882" s="303"/>
      <c r="V882" s="303"/>
      <c r="W882" s="303"/>
      <c r="X882" s="303"/>
      <c r="Y882" s="303"/>
      <c r="Z882" s="303"/>
    </row>
    <row r="883">
      <c r="A883" s="303"/>
      <c r="B883" s="303"/>
      <c r="C883" s="303"/>
      <c r="D883" s="303"/>
      <c r="E883" s="303"/>
      <c r="F883" s="303"/>
      <c r="G883" s="303"/>
      <c r="H883" s="303"/>
      <c r="I883" s="303"/>
      <c r="J883" s="303"/>
      <c r="K883" s="303"/>
      <c r="L883" s="303"/>
      <c r="M883" s="303"/>
      <c r="N883" s="303"/>
      <c r="O883" s="303"/>
      <c r="P883" s="303"/>
      <c r="Q883" s="303"/>
      <c r="R883" s="303"/>
      <c r="S883" s="303"/>
      <c r="T883" s="303"/>
      <c r="U883" s="303"/>
      <c r="V883" s="303"/>
      <c r="W883" s="303"/>
      <c r="X883" s="303"/>
      <c r="Y883" s="303"/>
      <c r="Z883" s="303"/>
    </row>
    <row r="884">
      <c r="A884" s="303"/>
      <c r="B884" s="303"/>
      <c r="C884" s="303"/>
      <c r="D884" s="303"/>
      <c r="E884" s="303"/>
      <c r="F884" s="303"/>
      <c r="G884" s="303"/>
      <c r="H884" s="303"/>
      <c r="I884" s="303"/>
      <c r="J884" s="303"/>
      <c r="K884" s="303"/>
      <c r="L884" s="303"/>
      <c r="M884" s="303"/>
      <c r="N884" s="303"/>
      <c r="O884" s="303"/>
      <c r="P884" s="303"/>
      <c r="Q884" s="303"/>
      <c r="R884" s="303"/>
      <c r="S884" s="303"/>
      <c r="T884" s="303"/>
      <c r="U884" s="303"/>
      <c r="V884" s="303"/>
      <c r="W884" s="303"/>
      <c r="X884" s="303"/>
      <c r="Y884" s="303"/>
      <c r="Z884" s="303"/>
    </row>
    <row r="885">
      <c r="A885" s="303"/>
      <c r="B885" s="303"/>
      <c r="C885" s="303"/>
      <c r="D885" s="303"/>
      <c r="E885" s="303"/>
      <c r="F885" s="303"/>
      <c r="G885" s="303"/>
      <c r="H885" s="303"/>
      <c r="I885" s="303"/>
      <c r="J885" s="303"/>
      <c r="K885" s="303"/>
      <c r="L885" s="303"/>
      <c r="M885" s="303"/>
      <c r="N885" s="303"/>
      <c r="O885" s="303"/>
      <c r="P885" s="303"/>
      <c r="Q885" s="303"/>
      <c r="R885" s="303"/>
      <c r="S885" s="303"/>
      <c r="T885" s="303"/>
      <c r="U885" s="303"/>
      <c r="V885" s="303"/>
      <c r="W885" s="303"/>
      <c r="X885" s="303"/>
      <c r="Y885" s="303"/>
      <c r="Z885" s="303"/>
    </row>
    <row r="886">
      <c r="A886" s="303"/>
      <c r="B886" s="303"/>
      <c r="C886" s="303"/>
      <c r="D886" s="303"/>
      <c r="E886" s="303"/>
      <c r="F886" s="303"/>
      <c r="G886" s="303"/>
      <c r="H886" s="303"/>
      <c r="I886" s="303"/>
      <c r="J886" s="303"/>
      <c r="K886" s="303"/>
      <c r="L886" s="303"/>
      <c r="M886" s="303"/>
      <c r="N886" s="303"/>
      <c r="O886" s="303"/>
      <c r="P886" s="303"/>
      <c r="Q886" s="303"/>
      <c r="R886" s="303"/>
      <c r="S886" s="303"/>
      <c r="T886" s="303"/>
      <c r="U886" s="303"/>
      <c r="V886" s="303"/>
      <c r="W886" s="303"/>
      <c r="X886" s="303"/>
      <c r="Y886" s="303"/>
      <c r="Z886" s="303"/>
    </row>
    <row r="887">
      <c r="A887" s="303"/>
      <c r="B887" s="303"/>
      <c r="C887" s="303"/>
      <c r="D887" s="303"/>
      <c r="E887" s="303"/>
      <c r="F887" s="303"/>
      <c r="G887" s="303"/>
      <c r="H887" s="303"/>
      <c r="I887" s="303"/>
      <c r="J887" s="303"/>
      <c r="K887" s="303"/>
      <c r="L887" s="303"/>
      <c r="M887" s="303"/>
      <c r="N887" s="303"/>
      <c r="O887" s="303"/>
      <c r="P887" s="303"/>
      <c r="Q887" s="303"/>
      <c r="R887" s="303"/>
      <c r="S887" s="303"/>
      <c r="T887" s="303"/>
      <c r="U887" s="303"/>
      <c r="V887" s="303"/>
      <c r="W887" s="303"/>
      <c r="X887" s="303"/>
      <c r="Y887" s="303"/>
      <c r="Z887" s="303"/>
    </row>
    <row r="888">
      <c r="A888" s="303"/>
      <c r="B888" s="303"/>
      <c r="C888" s="303"/>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row>
    <row r="889">
      <c r="A889" s="303"/>
      <c r="B889" s="303"/>
      <c r="C889" s="303"/>
      <c r="D889" s="303"/>
      <c r="E889" s="303"/>
      <c r="F889" s="303"/>
      <c r="G889" s="303"/>
      <c r="H889" s="303"/>
      <c r="I889" s="303"/>
      <c r="J889" s="303"/>
      <c r="K889" s="303"/>
      <c r="L889" s="303"/>
      <c r="M889" s="303"/>
      <c r="N889" s="303"/>
      <c r="O889" s="303"/>
      <c r="P889" s="303"/>
      <c r="Q889" s="303"/>
      <c r="R889" s="303"/>
      <c r="S889" s="303"/>
      <c r="T889" s="303"/>
      <c r="U889" s="303"/>
      <c r="V889" s="303"/>
      <c r="W889" s="303"/>
      <c r="X889" s="303"/>
      <c r="Y889" s="303"/>
      <c r="Z889" s="303"/>
    </row>
    <row r="890">
      <c r="A890" s="303"/>
      <c r="B890" s="303"/>
      <c r="C890" s="303"/>
      <c r="D890" s="303"/>
      <c r="E890" s="303"/>
      <c r="F890" s="303"/>
      <c r="G890" s="303"/>
      <c r="H890" s="303"/>
      <c r="I890" s="303"/>
      <c r="J890" s="303"/>
      <c r="K890" s="303"/>
      <c r="L890" s="303"/>
      <c r="M890" s="303"/>
      <c r="N890" s="303"/>
      <c r="O890" s="303"/>
      <c r="P890" s="303"/>
      <c r="Q890" s="303"/>
      <c r="R890" s="303"/>
      <c r="S890" s="303"/>
      <c r="T890" s="303"/>
      <c r="U890" s="303"/>
      <c r="V890" s="303"/>
      <c r="W890" s="303"/>
      <c r="X890" s="303"/>
      <c r="Y890" s="303"/>
      <c r="Z890" s="303"/>
    </row>
    <row r="891">
      <c r="A891" s="303"/>
      <c r="B891" s="303"/>
      <c r="C891" s="303"/>
      <c r="D891" s="303"/>
      <c r="E891" s="303"/>
      <c r="F891" s="303"/>
      <c r="G891" s="303"/>
      <c r="H891" s="303"/>
      <c r="I891" s="303"/>
      <c r="J891" s="303"/>
      <c r="K891" s="303"/>
      <c r="L891" s="303"/>
      <c r="M891" s="303"/>
      <c r="N891" s="303"/>
      <c r="O891" s="303"/>
      <c r="P891" s="303"/>
      <c r="Q891" s="303"/>
      <c r="R891" s="303"/>
      <c r="S891" s="303"/>
      <c r="T891" s="303"/>
      <c r="U891" s="303"/>
      <c r="V891" s="303"/>
      <c r="W891" s="303"/>
      <c r="X891" s="303"/>
      <c r="Y891" s="303"/>
      <c r="Z891" s="303"/>
    </row>
    <row r="892">
      <c r="A892" s="303"/>
      <c r="B892" s="303"/>
      <c r="C892" s="303"/>
      <c r="D892" s="303"/>
      <c r="E892" s="303"/>
      <c r="F892" s="303"/>
      <c r="G892" s="303"/>
      <c r="H892" s="303"/>
      <c r="I892" s="303"/>
      <c r="J892" s="303"/>
      <c r="K892" s="303"/>
      <c r="L892" s="303"/>
      <c r="M892" s="303"/>
      <c r="N892" s="303"/>
      <c r="O892" s="303"/>
      <c r="P892" s="303"/>
      <c r="Q892" s="303"/>
      <c r="R892" s="303"/>
      <c r="S892" s="303"/>
      <c r="T892" s="303"/>
      <c r="U892" s="303"/>
      <c r="V892" s="303"/>
      <c r="W892" s="303"/>
      <c r="X892" s="303"/>
      <c r="Y892" s="303"/>
      <c r="Z892" s="303"/>
    </row>
    <row r="893">
      <c r="A893" s="303"/>
      <c r="B893" s="303"/>
      <c r="C893" s="303"/>
      <c r="D893" s="303"/>
      <c r="E893" s="303"/>
      <c r="F893" s="303"/>
      <c r="G893" s="303"/>
      <c r="H893" s="303"/>
      <c r="I893" s="303"/>
      <c r="J893" s="303"/>
      <c r="K893" s="303"/>
      <c r="L893" s="303"/>
      <c r="M893" s="303"/>
      <c r="N893" s="303"/>
      <c r="O893" s="303"/>
      <c r="P893" s="303"/>
      <c r="Q893" s="303"/>
      <c r="R893" s="303"/>
      <c r="S893" s="303"/>
      <c r="T893" s="303"/>
      <c r="U893" s="303"/>
      <c r="V893" s="303"/>
      <c r="W893" s="303"/>
      <c r="X893" s="303"/>
      <c r="Y893" s="303"/>
      <c r="Z893" s="303"/>
    </row>
    <row r="894">
      <c r="A894" s="303"/>
      <c r="B894" s="303"/>
      <c r="C894" s="303"/>
      <c r="D894" s="303"/>
      <c r="E894" s="303"/>
      <c r="F894" s="303"/>
      <c r="G894" s="303"/>
      <c r="H894" s="303"/>
      <c r="I894" s="303"/>
      <c r="J894" s="303"/>
      <c r="K894" s="303"/>
      <c r="L894" s="303"/>
      <c r="M894" s="303"/>
      <c r="N894" s="303"/>
      <c r="O894" s="303"/>
      <c r="P894" s="303"/>
      <c r="Q894" s="303"/>
      <c r="R894" s="303"/>
      <c r="S894" s="303"/>
      <c r="T894" s="303"/>
      <c r="U894" s="303"/>
      <c r="V894" s="303"/>
      <c r="W894" s="303"/>
      <c r="X894" s="303"/>
      <c r="Y894" s="303"/>
      <c r="Z894" s="303"/>
    </row>
    <row r="895">
      <c r="A895" s="303"/>
      <c r="B895" s="303"/>
      <c r="C895" s="303"/>
      <c r="D895" s="303"/>
      <c r="E895" s="303"/>
      <c r="F895" s="303"/>
      <c r="G895" s="303"/>
      <c r="H895" s="303"/>
      <c r="I895" s="303"/>
      <c r="J895" s="303"/>
      <c r="K895" s="303"/>
      <c r="L895" s="303"/>
      <c r="M895" s="303"/>
      <c r="N895" s="303"/>
      <c r="O895" s="303"/>
      <c r="P895" s="303"/>
      <c r="Q895" s="303"/>
      <c r="R895" s="303"/>
      <c r="S895" s="303"/>
      <c r="T895" s="303"/>
      <c r="U895" s="303"/>
      <c r="V895" s="303"/>
      <c r="W895" s="303"/>
      <c r="X895" s="303"/>
      <c r="Y895" s="303"/>
      <c r="Z895" s="303"/>
    </row>
    <row r="896">
      <c r="A896" s="303"/>
      <c r="B896" s="303"/>
      <c r="C896" s="303"/>
      <c r="D896" s="303"/>
      <c r="E896" s="303"/>
      <c r="F896" s="303"/>
      <c r="G896" s="303"/>
      <c r="H896" s="303"/>
      <c r="I896" s="303"/>
      <c r="J896" s="303"/>
      <c r="K896" s="303"/>
      <c r="L896" s="303"/>
      <c r="M896" s="303"/>
      <c r="N896" s="303"/>
      <c r="O896" s="303"/>
      <c r="P896" s="303"/>
      <c r="Q896" s="303"/>
      <c r="R896" s="303"/>
      <c r="S896" s="303"/>
      <c r="T896" s="303"/>
      <c r="U896" s="303"/>
      <c r="V896" s="303"/>
      <c r="W896" s="303"/>
      <c r="X896" s="303"/>
      <c r="Y896" s="303"/>
      <c r="Z896" s="303"/>
    </row>
    <row r="897">
      <c r="A897" s="303"/>
      <c r="B897" s="303"/>
      <c r="C897" s="303"/>
      <c r="D897" s="303"/>
      <c r="E897" s="303"/>
      <c r="F897" s="303"/>
      <c r="G897" s="303"/>
      <c r="H897" s="303"/>
      <c r="I897" s="303"/>
      <c r="J897" s="303"/>
      <c r="K897" s="303"/>
      <c r="L897" s="303"/>
      <c r="M897" s="303"/>
      <c r="N897" s="303"/>
      <c r="O897" s="303"/>
      <c r="P897" s="303"/>
      <c r="Q897" s="303"/>
      <c r="R897" s="303"/>
      <c r="S897" s="303"/>
      <c r="T897" s="303"/>
      <c r="U897" s="303"/>
      <c r="V897" s="303"/>
      <c r="W897" s="303"/>
      <c r="X897" s="303"/>
      <c r="Y897" s="303"/>
      <c r="Z897" s="303"/>
    </row>
    <row r="898">
      <c r="A898" s="303"/>
      <c r="B898" s="303"/>
      <c r="C898" s="303"/>
      <c r="D898" s="303"/>
      <c r="E898" s="303"/>
      <c r="F898" s="303"/>
      <c r="G898" s="303"/>
      <c r="H898" s="303"/>
      <c r="I898" s="303"/>
      <c r="J898" s="303"/>
      <c r="K898" s="303"/>
      <c r="L898" s="303"/>
      <c r="M898" s="303"/>
      <c r="N898" s="303"/>
      <c r="O898" s="303"/>
      <c r="P898" s="303"/>
      <c r="Q898" s="303"/>
      <c r="R898" s="303"/>
      <c r="S898" s="303"/>
      <c r="T898" s="303"/>
      <c r="U898" s="303"/>
      <c r="V898" s="303"/>
      <c r="W898" s="303"/>
      <c r="X898" s="303"/>
      <c r="Y898" s="303"/>
      <c r="Z898" s="303"/>
    </row>
    <row r="899">
      <c r="A899" s="303"/>
      <c r="B899" s="303"/>
      <c r="C899" s="303"/>
      <c r="D899" s="303"/>
      <c r="E899" s="303"/>
      <c r="F899" s="303"/>
      <c r="G899" s="303"/>
      <c r="H899" s="303"/>
      <c r="I899" s="303"/>
      <c r="J899" s="303"/>
      <c r="K899" s="303"/>
      <c r="L899" s="303"/>
      <c r="M899" s="303"/>
      <c r="N899" s="303"/>
      <c r="O899" s="303"/>
      <c r="P899" s="303"/>
      <c r="Q899" s="303"/>
      <c r="R899" s="303"/>
      <c r="S899" s="303"/>
      <c r="T899" s="303"/>
      <c r="U899" s="303"/>
      <c r="V899" s="303"/>
      <c r="W899" s="303"/>
      <c r="X899" s="303"/>
      <c r="Y899" s="303"/>
      <c r="Z899" s="303"/>
    </row>
    <row r="900">
      <c r="A900" s="303"/>
      <c r="B900" s="303"/>
      <c r="C900" s="303"/>
      <c r="D900" s="303"/>
      <c r="E900" s="303"/>
      <c r="F900" s="303"/>
      <c r="G900" s="303"/>
      <c r="H900" s="303"/>
      <c r="I900" s="303"/>
      <c r="J900" s="303"/>
      <c r="K900" s="303"/>
      <c r="L900" s="303"/>
      <c r="M900" s="303"/>
      <c r="N900" s="303"/>
      <c r="O900" s="303"/>
      <c r="P900" s="303"/>
      <c r="Q900" s="303"/>
      <c r="R900" s="303"/>
      <c r="S900" s="303"/>
      <c r="T900" s="303"/>
      <c r="U900" s="303"/>
      <c r="V900" s="303"/>
      <c r="W900" s="303"/>
      <c r="X900" s="303"/>
      <c r="Y900" s="303"/>
      <c r="Z900" s="303"/>
    </row>
    <row r="901">
      <c r="A901" s="303"/>
      <c r="B901" s="303"/>
      <c r="C901" s="303"/>
      <c r="D901" s="303"/>
      <c r="E901" s="303"/>
      <c r="F901" s="303"/>
      <c r="G901" s="303"/>
      <c r="H901" s="303"/>
      <c r="I901" s="303"/>
      <c r="J901" s="303"/>
      <c r="K901" s="303"/>
      <c r="L901" s="303"/>
      <c r="M901" s="303"/>
      <c r="N901" s="303"/>
      <c r="O901" s="303"/>
      <c r="P901" s="303"/>
      <c r="Q901" s="303"/>
      <c r="R901" s="303"/>
      <c r="S901" s="303"/>
      <c r="T901" s="303"/>
      <c r="U901" s="303"/>
      <c r="V901" s="303"/>
      <c r="W901" s="303"/>
      <c r="X901" s="303"/>
      <c r="Y901" s="303"/>
      <c r="Z901" s="303"/>
    </row>
    <row r="902">
      <c r="A902" s="303"/>
      <c r="B902" s="303"/>
      <c r="C902" s="303"/>
      <c r="D902" s="303"/>
      <c r="E902" s="303"/>
      <c r="F902" s="303"/>
      <c r="G902" s="303"/>
      <c r="H902" s="303"/>
      <c r="I902" s="303"/>
      <c r="J902" s="303"/>
      <c r="K902" s="303"/>
      <c r="L902" s="303"/>
      <c r="M902" s="303"/>
      <c r="N902" s="303"/>
      <c r="O902" s="303"/>
      <c r="P902" s="303"/>
      <c r="Q902" s="303"/>
      <c r="R902" s="303"/>
      <c r="S902" s="303"/>
      <c r="T902" s="303"/>
      <c r="U902" s="303"/>
      <c r="V902" s="303"/>
      <c r="W902" s="303"/>
      <c r="X902" s="303"/>
      <c r="Y902" s="303"/>
      <c r="Z902" s="303"/>
    </row>
    <row r="903">
      <c r="A903" s="303"/>
      <c r="B903" s="303"/>
      <c r="C903" s="303"/>
      <c r="D903" s="303"/>
      <c r="E903" s="303"/>
      <c r="F903" s="303"/>
      <c r="G903" s="303"/>
      <c r="H903" s="303"/>
      <c r="I903" s="303"/>
      <c r="J903" s="303"/>
      <c r="K903" s="303"/>
      <c r="L903" s="303"/>
      <c r="M903" s="303"/>
      <c r="N903" s="303"/>
      <c r="O903" s="303"/>
      <c r="P903" s="303"/>
      <c r="Q903" s="303"/>
      <c r="R903" s="303"/>
      <c r="S903" s="303"/>
      <c r="T903" s="303"/>
      <c r="U903" s="303"/>
      <c r="V903" s="303"/>
      <c r="W903" s="303"/>
      <c r="X903" s="303"/>
      <c r="Y903" s="303"/>
      <c r="Z903" s="303"/>
    </row>
    <row r="904">
      <c r="A904" s="303"/>
      <c r="B904" s="303"/>
      <c r="C904" s="303"/>
      <c r="D904" s="303"/>
      <c r="E904" s="303"/>
      <c r="F904" s="303"/>
      <c r="G904" s="303"/>
      <c r="H904" s="303"/>
      <c r="I904" s="303"/>
      <c r="J904" s="303"/>
      <c r="K904" s="303"/>
      <c r="L904" s="303"/>
      <c r="M904" s="303"/>
      <c r="N904" s="303"/>
      <c r="O904" s="303"/>
      <c r="P904" s="303"/>
      <c r="Q904" s="303"/>
      <c r="R904" s="303"/>
      <c r="S904" s="303"/>
      <c r="T904" s="303"/>
      <c r="U904" s="303"/>
      <c r="V904" s="303"/>
      <c r="W904" s="303"/>
      <c r="X904" s="303"/>
      <c r="Y904" s="303"/>
      <c r="Z904" s="303"/>
    </row>
    <row r="905">
      <c r="A905" s="303"/>
      <c r="B905" s="303"/>
      <c r="C905" s="303"/>
      <c r="D905" s="303"/>
      <c r="E905" s="303"/>
      <c r="F905" s="303"/>
      <c r="G905" s="303"/>
      <c r="H905" s="303"/>
      <c r="I905" s="303"/>
      <c r="J905" s="303"/>
      <c r="K905" s="303"/>
      <c r="L905" s="303"/>
      <c r="M905" s="303"/>
      <c r="N905" s="303"/>
      <c r="O905" s="303"/>
      <c r="P905" s="303"/>
      <c r="Q905" s="303"/>
      <c r="R905" s="303"/>
      <c r="S905" s="303"/>
      <c r="T905" s="303"/>
      <c r="U905" s="303"/>
      <c r="V905" s="303"/>
      <c r="W905" s="303"/>
      <c r="X905" s="303"/>
      <c r="Y905" s="303"/>
      <c r="Z905" s="303"/>
    </row>
    <row r="906">
      <c r="A906" s="303"/>
      <c r="B906" s="303"/>
      <c r="C906" s="303"/>
      <c r="D906" s="303"/>
      <c r="E906" s="303"/>
      <c r="F906" s="303"/>
      <c r="G906" s="303"/>
      <c r="H906" s="303"/>
      <c r="I906" s="303"/>
      <c r="J906" s="303"/>
      <c r="K906" s="303"/>
      <c r="L906" s="303"/>
      <c r="M906" s="303"/>
      <c r="N906" s="303"/>
      <c r="O906" s="303"/>
      <c r="P906" s="303"/>
      <c r="Q906" s="303"/>
      <c r="R906" s="303"/>
      <c r="S906" s="303"/>
      <c r="T906" s="303"/>
      <c r="U906" s="303"/>
      <c r="V906" s="303"/>
      <c r="W906" s="303"/>
      <c r="X906" s="303"/>
      <c r="Y906" s="303"/>
      <c r="Z906" s="303"/>
    </row>
    <row r="907">
      <c r="A907" s="303"/>
      <c r="B907" s="303"/>
      <c r="C907" s="303"/>
      <c r="D907" s="303"/>
      <c r="E907" s="303"/>
      <c r="F907" s="303"/>
      <c r="G907" s="303"/>
      <c r="H907" s="303"/>
      <c r="I907" s="303"/>
      <c r="J907" s="303"/>
      <c r="K907" s="303"/>
      <c r="L907" s="303"/>
      <c r="M907" s="303"/>
      <c r="N907" s="303"/>
      <c r="O907" s="303"/>
      <c r="P907" s="303"/>
      <c r="Q907" s="303"/>
      <c r="R907" s="303"/>
      <c r="S907" s="303"/>
      <c r="T907" s="303"/>
      <c r="U907" s="303"/>
      <c r="V907" s="303"/>
      <c r="W907" s="303"/>
      <c r="X907" s="303"/>
      <c r="Y907" s="303"/>
      <c r="Z907" s="303"/>
    </row>
    <row r="908">
      <c r="A908" s="303"/>
      <c r="B908" s="303"/>
      <c r="C908" s="303"/>
      <c r="D908" s="303"/>
      <c r="E908" s="303"/>
      <c r="F908" s="303"/>
      <c r="G908" s="303"/>
      <c r="H908" s="303"/>
      <c r="I908" s="303"/>
      <c r="J908" s="303"/>
      <c r="K908" s="303"/>
      <c r="L908" s="303"/>
      <c r="M908" s="303"/>
      <c r="N908" s="303"/>
      <c r="O908" s="303"/>
      <c r="P908" s="303"/>
      <c r="Q908" s="303"/>
      <c r="R908" s="303"/>
      <c r="S908" s="303"/>
      <c r="T908" s="303"/>
      <c r="U908" s="303"/>
      <c r="V908" s="303"/>
      <c r="W908" s="303"/>
      <c r="X908" s="303"/>
      <c r="Y908" s="303"/>
      <c r="Z908" s="303"/>
    </row>
    <row r="909">
      <c r="A909" s="303"/>
      <c r="B909" s="303"/>
      <c r="C909" s="303"/>
      <c r="D909" s="303"/>
      <c r="E909" s="303"/>
      <c r="F909" s="303"/>
      <c r="G909" s="303"/>
      <c r="H909" s="303"/>
      <c r="I909" s="303"/>
      <c r="J909" s="303"/>
      <c r="K909" s="303"/>
      <c r="L909" s="303"/>
      <c r="M909" s="303"/>
      <c r="N909" s="303"/>
      <c r="O909" s="303"/>
      <c r="P909" s="303"/>
      <c r="Q909" s="303"/>
      <c r="R909" s="303"/>
      <c r="S909" s="303"/>
      <c r="T909" s="303"/>
      <c r="U909" s="303"/>
      <c r="V909" s="303"/>
      <c r="W909" s="303"/>
      <c r="X909" s="303"/>
      <c r="Y909" s="303"/>
      <c r="Z909" s="303"/>
    </row>
    <row r="910">
      <c r="A910" s="303"/>
      <c r="B910" s="303"/>
      <c r="C910" s="303"/>
      <c r="D910" s="303"/>
      <c r="E910" s="303"/>
      <c r="F910" s="303"/>
      <c r="G910" s="303"/>
      <c r="H910" s="303"/>
      <c r="I910" s="303"/>
      <c r="J910" s="303"/>
      <c r="K910" s="303"/>
      <c r="L910" s="303"/>
      <c r="M910" s="303"/>
      <c r="N910" s="303"/>
      <c r="O910" s="303"/>
      <c r="P910" s="303"/>
      <c r="Q910" s="303"/>
      <c r="R910" s="303"/>
      <c r="S910" s="303"/>
      <c r="T910" s="303"/>
      <c r="U910" s="303"/>
      <c r="V910" s="303"/>
      <c r="W910" s="303"/>
      <c r="X910" s="303"/>
      <c r="Y910" s="303"/>
      <c r="Z910" s="303"/>
    </row>
    <row r="911">
      <c r="A911" s="303"/>
      <c r="B911" s="303"/>
      <c r="C911" s="303"/>
      <c r="D911" s="303"/>
      <c r="E911" s="303"/>
      <c r="F911" s="303"/>
      <c r="G911" s="303"/>
      <c r="H911" s="303"/>
      <c r="I911" s="303"/>
      <c r="J911" s="303"/>
      <c r="K911" s="303"/>
      <c r="L911" s="303"/>
      <c r="M911" s="303"/>
      <c r="N911" s="303"/>
      <c r="O911" s="303"/>
      <c r="P911" s="303"/>
      <c r="Q911" s="303"/>
      <c r="R911" s="303"/>
      <c r="S911" s="303"/>
      <c r="T911" s="303"/>
      <c r="U911" s="303"/>
      <c r="V911" s="303"/>
      <c r="W911" s="303"/>
      <c r="X911" s="303"/>
      <c r="Y911" s="303"/>
      <c r="Z911" s="303"/>
    </row>
    <row r="912">
      <c r="A912" s="303"/>
      <c r="B912" s="303"/>
      <c r="C912" s="303"/>
      <c r="D912" s="303"/>
      <c r="E912" s="303"/>
      <c r="F912" s="303"/>
      <c r="G912" s="303"/>
      <c r="H912" s="303"/>
      <c r="I912" s="303"/>
      <c r="J912" s="303"/>
      <c r="K912" s="303"/>
      <c r="L912" s="303"/>
      <c r="M912" s="303"/>
      <c r="N912" s="303"/>
      <c r="O912" s="303"/>
      <c r="P912" s="303"/>
      <c r="Q912" s="303"/>
      <c r="R912" s="303"/>
      <c r="S912" s="303"/>
      <c r="T912" s="303"/>
      <c r="U912" s="303"/>
      <c r="V912" s="303"/>
      <c r="W912" s="303"/>
      <c r="X912" s="303"/>
      <c r="Y912" s="303"/>
      <c r="Z912" s="303"/>
    </row>
    <row r="913">
      <c r="A913" s="303"/>
      <c r="B913" s="303"/>
      <c r="C913" s="303"/>
      <c r="D913" s="303"/>
      <c r="E913" s="303"/>
      <c r="F913" s="303"/>
      <c r="G913" s="303"/>
      <c r="H913" s="303"/>
      <c r="I913" s="303"/>
      <c r="J913" s="303"/>
      <c r="K913" s="303"/>
      <c r="L913" s="303"/>
      <c r="M913" s="303"/>
      <c r="N913" s="303"/>
      <c r="O913" s="303"/>
      <c r="P913" s="303"/>
      <c r="Q913" s="303"/>
      <c r="R913" s="303"/>
      <c r="S913" s="303"/>
      <c r="T913" s="303"/>
      <c r="U913" s="303"/>
      <c r="V913" s="303"/>
      <c r="W913" s="303"/>
      <c r="X913" s="303"/>
      <c r="Y913" s="303"/>
      <c r="Z913" s="303"/>
    </row>
    <row r="914">
      <c r="A914" s="303"/>
      <c r="B914" s="303"/>
      <c r="C914" s="303"/>
      <c r="D914" s="303"/>
      <c r="E914" s="303"/>
      <c r="F914" s="303"/>
      <c r="G914" s="303"/>
      <c r="H914" s="303"/>
      <c r="I914" s="303"/>
      <c r="J914" s="303"/>
      <c r="K914" s="303"/>
      <c r="L914" s="303"/>
      <c r="M914" s="303"/>
      <c r="N914" s="303"/>
      <c r="O914" s="303"/>
      <c r="P914" s="303"/>
      <c r="Q914" s="303"/>
      <c r="R914" s="303"/>
      <c r="S914" s="303"/>
      <c r="T914" s="303"/>
      <c r="U914" s="303"/>
      <c r="V914" s="303"/>
      <c r="W914" s="303"/>
      <c r="X914" s="303"/>
      <c r="Y914" s="303"/>
      <c r="Z914" s="303"/>
    </row>
    <row r="915">
      <c r="A915" s="303"/>
      <c r="B915" s="303"/>
      <c r="C915" s="303"/>
      <c r="D915" s="303"/>
      <c r="E915" s="303"/>
      <c r="F915" s="303"/>
      <c r="G915" s="303"/>
      <c r="H915" s="303"/>
      <c r="I915" s="303"/>
      <c r="J915" s="303"/>
      <c r="K915" s="303"/>
      <c r="L915" s="303"/>
      <c r="M915" s="303"/>
      <c r="N915" s="303"/>
      <c r="O915" s="303"/>
      <c r="P915" s="303"/>
      <c r="Q915" s="303"/>
      <c r="R915" s="303"/>
      <c r="S915" s="303"/>
      <c r="T915" s="303"/>
      <c r="U915" s="303"/>
      <c r="V915" s="303"/>
      <c r="W915" s="303"/>
      <c r="X915" s="303"/>
      <c r="Y915" s="303"/>
      <c r="Z915" s="303"/>
    </row>
    <row r="916">
      <c r="A916" s="303"/>
      <c r="B916" s="303"/>
      <c r="C916" s="303"/>
      <c r="D916" s="303"/>
      <c r="E916" s="303"/>
      <c r="F916" s="303"/>
      <c r="G916" s="303"/>
      <c r="H916" s="303"/>
      <c r="I916" s="303"/>
      <c r="J916" s="303"/>
      <c r="K916" s="303"/>
      <c r="L916" s="303"/>
      <c r="M916" s="303"/>
      <c r="N916" s="303"/>
      <c r="O916" s="303"/>
      <c r="P916" s="303"/>
      <c r="Q916" s="303"/>
      <c r="R916" s="303"/>
      <c r="S916" s="303"/>
      <c r="T916" s="303"/>
      <c r="U916" s="303"/>
      <c r="V916" s="303"/>
      <c r="W916" s="303"/>
      <c r="X916" s="303"/>
      <c r="Y916" s="303"/>
      <c r="Z916" s="303"/>
    </row>
    <row r="917">
      <c r="A917" s="303"/>
      <c r="B917" s="303"/>
      <c r="C917" s="303"/>
      <c r="D917" s="303"/>
      <c r="E917" s="303"/>
      <c r="F917" s="303"/>
      <c r="G917" s="303"/>
      <c r="H917" s="303"/>
      <c r="I917" s="303"/>
      <c r="J917" s="303"/>
      <c r="K917" s="303"/>
      <c r="L917" s="303"/>
      <c r="M917" s="303"/>
      <c r="N917" s="303"/>
      <c r="O917" s="303"/>
      <c r="P917" s="303"/>
      <c r="Q917" s="303"/>
      <c r="R917" s="303"/>
      <c r="S917" s="303"/>
      <c r="T917" s="303"/>
      <c r="U917" s="303"/>
      <c r="V917" s="303"/>
      <c r="W917" s="303"/>
      <c r="X917" s="303"/>
      <c r="Y917" s="303"/>
      <c r="Z917" s="303"/>
    </row>
    <row r="918">
      <c r="A918" s="303"/>
      <c r="B918" s="303"/>
      <c r="C918" s="303"/>
      <c r="D918" s="303"/>
      <c r="E918" s="303"/>
      <c r="F918" s="303"/>
      <c r="G918" s="303"/>
      <c r="H918" s="303"/>
      <c r="I918" s="303"/>
      <c r="J918" s="303"/>
      <c r="K918" s="303"/>
      <c r="L918" s="303"/>
      <c r="M918" s="303"/>
      <c r="N918" s="303"/>
      <c r="O918" s="303"/>
      <c r="P918" s="303"/>
      <c r="Q918" s="303"/>
      <c r="R918" s="303"/>
      <c r="S918" s="303"/>
      <c r="T918" s="303"/>
      <c r="U918" s="303"/>
      <c r="V918" s="303"/>
      <c r="W918" s="303"/>
      <c r="X918" s="303"/>
      <c r="Y918" s="303"/>
      <c r="Z918" s="303"/>
    </row>
    <row r="919">
      <c r="A919" s="303"/>
      <c r="B919" s="303"/>
      <c r="C919" s="303"/>
      <c r="D919" s="303"/>
      <c r="E919" s="303"/>
      <c r="F919" s="303"/>
      <c r="G919" s="303"/>
      <c r="H919" s="303"/>
      <c r="I919" s="303"/>
      <c r="J919" s="303"/>
      <c r="K919" s="303"/>
      <c r="L919" s="303"/>
      <c r="M919" s="303"/>
      <c r="N919" s="303"/>
      <c r="O919" s="303"/>
      <c r="P919" s="303"/>
      <c r="Q919" s="303"/>
      <c r="R919" s="303"/>
      <c r="S919" s="303"/>
      <c r="T919" s="303"/>
      <c r="U919" s="303"/>
      <c r="V919" s="303"/>
      <c r="W919" s="303"/>
      <c r="X919" s="303"/>
      <c r="Y919" s="303"/>
      <c r="Z919" s="303"/>
    </row>
    <row r="920">
      <c r="A920" s="303"/>
      <c r="B920" s="303"/>
      <c r="C920" s="303"/>
      <c r="D920" s="303"/>
      <c r="E920" s="303"/>
      <c r="F920" s="303"/>
      <c r="G920" s="303"/>
      <c r="H920" s="303"/>
      <c r="I920" s="303"/>
      <c r="J920" s="303"/>
      <c r="K920" s="303"/>
      <c r="L920" s="303"/>
      <c r="M920" s="303"/>
      <c r="N920" s="303"/>
      <c r="O920" s="303"/>
      <c r="P920" s="303"/>
      <c r="Q920" s="303"/>
      <c r="R920" s="303"/>
      <c r="S920" s="303"/>
      <c r="T920" s="303"/>
      <c r="U920" s="303"/>
      <c r="V920" s="303"/>
      <c r="W920" s="303"/>
      <c r="X920" s="303"/>
      <c r="Y920" s="303"/>
      <c r="Z920" s="303"/>
    </row>
    <row r="921">
      <c r="A921" s="303"/>
      <c r="B921" s="303"/>
      <c r="C921" s="303"/>
      <c r="D921" s="303"/>
      <c r="E921" s="303"/>
      <c r="F921" s="303"/>
      <c r="G921" s="303"/>
      <c r="H921" s="303"/>
      <c r="I921" s="303"/>
      <c r="J921" s="303"/>
      <c r="K921" s="303"/>
      <c r="L921" s="303"/>
      <c r="M921" s="303"/>
      <c r="N921" s="303"/>
      <c r="O921" s="303"/>
      <c r="P921" s="303"/>
      <c r="Q921" s="303"/>
      <c r="R921" s="303"/>
      <c r="S921" s="303"/>
      <c r="T921" s="303"/>
      <c r="U921" s="303"/>
      <c r="V921" s="303"/>
      <c r="W921" s="303"/>
      <c r="X921" s="303"/>
      <c r="Y921" s="303"/>
      <c r="Z921" s="303"/>
    </row>
    <row r="922">
      <c r="A922" s="303"/>
      <c r="B922" s="303"/>
      <c r="C922" s="303"/>
      <c r="D922" s="303"/>
      <c r="E922" s="303"/>
      <c r="F922" s="303"/>
      <c r="G922" s="303"/>
      <c r="H922" s="303"/>
      <c r="I922" s="303"/>
      <c r="J922" s="303"/>
      <c r="K922" s="303"/>
      <c r="L922" s="303"/>
      <c r="M922" s="303"/>
      <c r="N922" s="303"/>
      <c r="O922" s="303"/>
      <c r="P922" s="303"/>
      <c r="Q922" s="303"/>
      <c r="R922" s="303"/>
      <c r="S922" s="303"/>
      <c r="T922" s="303"/>
      <c r="U922" s="303"/>
      <c r="V922" s="303"/>
      <c r="W922" s="303"/>
      <c r="X922" s="303"/>
      <c r="Y922" s="303"/>
      <c r="Z922" s="303"/>
    </row>
    <row r="923">
      <c r="A923" s="303"/>
      <c r="B923" s="303"/>
      <c r="C923" s="303"/>
      <c r="D923" s="303"/>
      <c r="E923" s="303"/>
      <c r="F923" s="303"/>
      <c r="G923" s="303"/>
      <c r="H923" s="303"/>
      <c r="I923" s="303"/>
      <c r="J923" s="303"/>
      <c r="K923" s="303"/>
      <c r="L923" s="303"/>
      <c r="M923" s="303"/>
      <c r="N923" s="303"/>
      <c r="O923" s="303"/>
      <c r="P923" s="303"/>
      <c r="Q923" s="303"/>
      <c r="R923" s="303"/>
      <c r="S923" s="303"/>
      <c r="T923" s="303"/>
      <c r="U923" s="303"/>
      <c r="V923" s="303"/>
      <c r="W923" s="303"/>
      <c r="X923" s="303"/>
      <c r="Y923" s="303"/>
      <c r="Z923" s="303"/>
    </row>
    <row r="924">
      <c r="A924" s="303"/>
      <c r="B924" s="303"/>
      <c r="C924" s="303"/>
      <c r="D924" s="303"/>
      <c r="E924" s="303"/>
      <c r="F924" s="303"/>
      <c r="G924" s="303"/>
      <c r="H924" s="303"/>
      <c r="I924" s="303"/>
      <c r="J924" s="303"/>
      <c r="K924" s="303"/>
      <c r="L924" s="303"/>
      <c r="M924" s="303"/>
      <c r="N924" s="303"/>
      <c r="O924" s="303"/>
      <c r="P924" s="303"/>
      <c r="Q924" s="303"/>
      <c r="R924" s="303"/>
      <c r="S924" s="303"/>
      <c r="T924" s="303"/>
      <c r="U924" s="303"/>
      <c r="V924" s="303"/>
      <c r="W924" s="303"/>
      <c r="X924" s="303"/>
      <c r="Y924" s="303"/>
      <c r="Z924" s="303"/>
    </row>
    <row r="925">
      <c r="A925" s="303"/>
      <c r="B925" s="303"/>
      <c r="C925" s="303"/>
      <c r="D925" s="303"/>
      <c r="E925" s="303"/>
      <c r="F925" s="303"/>
      <c r="G925" s="303"/>
      <c r="H925" s="303"/>
      <c r="I925" s="303"/>
      <c r="J925" s="303"/>
      <c r="K925" s="303"/>
      <c r="L925" s="303"/>
      <c r="M925" s="303"/>
      <c r="N925" s="303"/>
      <c r="O925" s="303"/>
      <c r="P925" s="303"/>
      <c r="Q925" s="303"/>
      <c r="R925" s="303"/>
      <c r="S925" s="303"/>
      <c r="T925" s="303"/>
      <c r="U925" s="303"/>
      <c r="V925" s="303"/>
      <c r="W925" s="303"/>
      <c r="X925" s="303"/>
      <c r="Y925" s="303"/>
      <c r="Z925" s="303"/>
    </row>
    <row r="926">
      <c r="A926" s="303"/>
      <c r="B926" s="303"/>
      <c r="C926" s="303"/>
      <c r="D926" s="303"/>
      <c r="E926" s="303"/>
      <c r="F926" s="303"/>
      <c r="G926" s="303"/>
      <c r="H926" s="303"/>
      <c r="I926" s="303"/>
      <c r="J926" s="303"/>
      <c r="K926" s="303"/>
      <c r="L926" s="303"/>
      <c r="M926" s="303"/>
      <c r="N926" s="303"/>
      <c r="O926" s="303"/>
      <c r="P926" s="303"/>
      <c r="Q926" s="303"/>
      <c r="R926" s="303"/>
      <c r="S926" s="303"/>
      <c r="T926" s="303"/>
      <c r="U926" s="303"/>
      <c r="V926" s="303"/>
      <c r="W926" s="303"/>
      <c r="X926" s="303"/>
      <c r="Y926" s="303"/>
      <c r="Z926" s="303"/>
    </row>
    <row r="927">
      <c r="A927" s="303"/>
      <c r="B927" s="303"/>
      <c r="C927" s="303"/>
      <c r="D927" s="303"/>
      <c r="E927" s="303"/>
      <c r="F927" s="303"/>
      <c r="G927" s="303"/>
      <c r="H927" s="303"/>
      <c r="I927" s="303"/>
      <c r="J927" s="303"/>
      <c r="K927" s="303"/>
      <c r="L927" s="303"/>
      <c r="M927" s="303"/>
      <c r="N927" s="303"/>
      <c r="O927" s="303"/>
      <c r="P927" s="303"/>
      <c r="Q927" s="303"/>
      <c r="R927" s="303"/>
      <c r="S927" s="303"/>
      <c r="T927" s="303"/>
      <c r="U927" s="303"/>
      <c r="V927" s="303"/>
      <c r="W927" s="303"/>
      <c r="X927" s="303"/>
      <c r="Y927" s="303"/>
      <c r="Z927" s="303"/>
    </row>
    <row r="928">
      <c r="A928" s="303"/>
      <c r="B928" s="303"/>
      <c r="C928" s="303"/>
      <c r="D928" s="303"/>
      <c r="E928" s="303"/>
      <c r="F928" s="303"/>
      <c r="G928" s="303"/>
      <c r="H928" s="303"/>
      <c r="I928" s="303"/>
      <c r="J928" s="303"/>
      <c r="K928" s="303"/>
      <c r="L928" s="303"/>
      <c r="M928" s="303"/>
      <c r="N928" s="303"/>
      <c r="O928" s="303"/>
      <c r="P928" s="303"/>
      <c r="Q928" s="303"/>
      <c r="R928" s="303"/>
      <c r="S928" s="303"/>
      <c r="T928" s="303"/>
      <c r="U928" s="303"/>
      <c r="V928" s="303"/>
      <c r="W928" s="303"/>
      <c r="X928" s="303"/>
      <c r="Y928" s="303"/>
      <c r="Z928" s="303"/>
    </row>
    <row r="929">
      <c r="A929" s="303"/>
      <c r="B929" s="303"/>
      <c r="C929" s="303"/>
      <c r="D929" s="303"/>
      <c r="E929" s="303"/>
      <c r="F929" s="303"/>
      <c r="G929" s="303"/>
      <c r="H929" s="303"/>
      <c r="I929" s="303"/>
      <c r="J929" s="303"/>
      <c r="K929" s="303"/>
      <c r="L929" s="303"/>
      <c r="M929" s="303"/>
      <c r="N929" s="303"/>
      <c r="O929" s="303"/>
      <c r="P929" s="303"/>
      <c r="Q929" s="303"/>
      <c r="R929" s="303"/>
      <c r="S929" s="303"/>
      <c r="T929" s="303"/>
      <c r="U929" s="303"/>
      <c r="V929" s="303"/>
      <c r="W929" s="303"/>
      <c r="X929" s="303"/>
      <c r="Y929" s="303"/>
      <c r="Z929" s="303"/>
    </row>
    <row r="930">
      <c r="A930" s="303"/>
      <c r="B930" s="303"/>
      <c r="C930" s="303"/>
      <c r="D930" s="303"/>
      <c r="E930" s="303"/>
      <c r="F930" s="303"/>
      <c r="G930" s="303"/>
      <c r="H930" s="303"/>
      <c r="I930" s="303"/>
      <c r="J930" s="303"/>
      <c r="K930" s="303"/>
      <c r="L930" s="303"/>
      <c r="M930" s="303"/>
      <c r="N930" s="303"/>
      <c r="O930" s="303"/>
      <c r="P930" s="303"/>
      <c r="Q930" s="303"/>
      <c r="R930" s="303"/>
      <c r="S930" s="303"/>
      <c r="T930" s="303"/>
      <c r="U930" s="303"/>
      <c r="V930" s="303"/>
      <c r="W930" s="303"/>
      <c r="X930" s="303"/>
      <c r="Y930" s="303"/>
      <c r="Z930" s="303"/>
    </row>
    <row r="931">
      <c r="A931" s="303"/>
      <c r="B931" s="303"/>
      <c r="C931" s="303"/>
      <c r="D931" s="303"/>
      <c r="E931" s="303"/>
      <c r="F931" s="303"/>
      <c r="G931" s="303"/>
      <c r="H931" s="303"/>
      <c r="I931" s="303"/>
      <c r="J931" s="303"/>
      <c r="K931" s="303"/>
      <c r="L931" s="303"/>
      <c r="M931" s="303"/>
      <c r="N931" s="303"/>
      <c r="O931" s="303"/>
      <c r="P931" s="303"/>
      <c r="Q931" s="303"/>
      <c r="R931" s="303"/>
      <c r="S931" s="303"/>
      <c r="T931" s="303"/>
      <c r="U931" s="303"/>
      <c r="V931" s="303"/>
      <c r="W931" s="303"/>
      <c r="X931" s="303"/>
      <c r="Y931" s="303"/>
      <c r="Z931" s="303"/>
    </row>
    <row r="932">
      <c r="A932" s="303"/>
      <c r="B932" s="303"/>
      <c r="C932" s="303"/>
      <c r="D932" s="303"/>
      <c r="E932" s="303"/>
      <c r="F932" s="303"/>
      <c r="G932" s="303"/>
      <c r="H932" s="303"/>
      <c r="I932" s="303"/>
      <c r="J932" s="303"/>
      <c r="K932" s="303"/>
      <c r="L932" s="303"/>
      <c r="M932" s="303"/>
      <c r="N932" s="303"/>
      <c r="O932" s="303"/>
      <c r="P932" s="303"/>
      <c r="Q932" s="303"/>
      <c r="R932" s="303"/>
      <c r="S932" s="303"/>
      <c r="T932" s="303"/>
      <c r="U932" s="303"/>
      <c r="V932" s="303"/>
      <c r="W932" s="303"/>
      <c r="X932" s="303"/>
      <c r="Y932" s="303"/>
      <c r="Z932" s="303"/>
    </row>
    <row r="933">
      <c r="A933" s="303"/>
      <c r="B933" s="303"/>
      <c r="C933" s="303"/>
      <c r="D933" s="303"/>
      <c r="E933" s="303"/>
      <c r="F933" s="303"/>
      <c r="G933" s="303"/>
      <c r="H933" s="303"/>
      <c r="I933" s="303"/>
      <c r="J933" s="303"/>
      <c r="K933" s="303"/>
      <c r="L933" s="303"/>
      <c r="M933" s="303"/>
      <c r="N933" s="303"/>
      <c r="O933" s="303"/>
      <c r="P933" s="303"/>
      <c r="Q933" s="303"/>
      <c r="R933" s="303"/>
      <c r="S933" s="303"/>
      <c r="T933" s="303"/>
      <c r="U933" s="303"/>
      <c r="V933" s="303"/>
      <c r="W933" s="303"/>
      <c r="X933" s="303"/>
      <c r="Y933" s="303"/>
      <c r="Z933" s="303"/>
    </row>
    <row r="934">
      <c r="A934" s="303"/>
      <c r="B934" s="303"/>
      <c r="C934" s="303"/>
      <c r="D934" s="303"/>
      <c r="E934" s="303"/>
      <c r="F934" s="303"/>
      <c r="G934" s="303"/>
      <c r="H934" s="303"/>
      <c r="I934" s="303"/>
      <c r="J934" s="303"/>
      <c r="K934" s="303"/>
      <c r="L934" s="303"/>
      <c r="M934" s="303"/>
      <c r="N934" s="303"/>
      <c r="O934" s="303"/>
      <c r="P934" s="303"/>
      <c r="Q934" s="303"/>
      <c r="R934" s="303"/>
      <c r="S934" s="303"/>
      <c r="T934" s="303"/>
      <c r="U934" s="303"/>
      <c r="V934" s="303"/>
      <c r="W934" s="303"/>
      <c r="X934" s="303"/>
      <c r="Y934" s="303"/>
      <c r="Z934" s="303"/>
    </row>
    <row r="935">
      <c r="A935" s="303"/>
      <c r="B935" s="303"/>
      <c r="C935" s="303"/>
      <c r="D935" s="303"/>
      <c r="E935" s="303"/>
      <c r="F935" s="303"/>
      <c r="G935" s="303"/>
      <c r="H935" s="303"/>
      <c r="I935" s="303"/>
      <c r="J935" s="303"/>
      <c r="K935" s="303"/>
      <c r="L935" s="303"/>
      <c r="M935" s="303"/>
      <c r="N935" s="303"/>
      <c r="O935" s="303"/>
      <c r="P935" s="303"/>
      <c r="Q935" s="303"/>
      <c r="R935" s="303"/>
      <c r="S935" s="303"/>
      <c r="T935" s="303"/>
      <c r="U935" s="303"/>
      <c r="V935" s="303"/>
      <c r="W935" s="303"/>
      <c r="X935" s="303"/>
      <c r="Y935" s="303"/>
      <c r="Z935" s="303"/>
    </row>
    <row r="936">
      <c r="A936" s="303"/>
      <c r="B936" s="303"/>
      <c r="C936" s="303"/>
      <c r="D936" s="303"/>
      <c r="E936" s="303"/>
      <c r="F936" s="303"/>
      <c r="G936" s="303"/>
      <c r="H936" s="303"/>
      <c r="I936" s="303"/>
      <c r="J936" s="303"/>
      <c r="K936" s="303"/>
      <c r="L936" s="303"/>
      <c r="M936" s="303"/>
      <c r="N936" s="303"/>
      <c r="O936" s="303"/>
      <c r="P936" s="303"/>
      <c r="Q936" s="303"/>
      <c r="R936" s="303"/>
      <c r="S936" s="303"/>
      <c r="T936" s="303"/>
      <c r="U936" s="303"/>
      <c r="V936" s="303"/>
      <c r="W936" s="303"/>
      <c r="X936" s="303"/>
      <c r="Y936" s="303"/>
      <c r="Z936" s="303"/>
    </row>
    <row r="937">
      <c r="A937" s="303"/>
      <c r="B937" s="303"/>
      <c r="C937" s="303"/>
      <c r="D937" s="303"/>
      <c r="E937" s="303"/>
      <c r="F937" s="303"/>
      <c r="G937" s="303"/>
      <c r="H937" s="303"/>
      <c r="I937" s="303"/>
      <c r="J937" s="303"/>
      <c r="K937" s="303"/>
      <c r="L937" s="303"/>
      <c r="M937" s="303"/>
      <c r="N937" s="303"/>
      <c r="O937" s="303"/>
      <c r="P937" s="303"/>
      <c r="Q937" s="303"/>
      <c r="R937" s="303"/>
      <c r="S937" s="303"/>
      <c r="T937" s="303"/>
      <c r="U937" s="303"/>
      <c r="V937" s="303"/>
      <c r="W937" s="303"/>
      <c r="X937" s="303"/>
      <c r="Y937" s="303"/>
      <c r="Z937" s="303"/>
    </row>
    <row r="938">
      <c r="A938" s="303"/>
      <c r="B938" s="303"/>
      <c r="C938" s="303"/>
      <c r="D938" s="303"/>
      <c r="E938" s="303"/>
      <c r="F938" s="303"/>
      <c r="G938" s="303"/>
      <c r="H938" s="303"/>
      <c r="I938" s="303"/>
      <c r="J938" s="303"/>
      <c r="K938" s="303"/>
      <c r="L938" s="303"/>
      <c r="M938" s="303"/>
      <c r="N938" s="303"/>
      <c r="O938" s="303"/>
      <c r="P938" s="303"/>
      <c r="Q938" s="303"/>
      <c r="R938" s="303"/>
      <c r="S938" s="303"/>
      <c r="T938" s="303"/>
      <c r="U938" s="303"/>
      <c r="V938" s="303"/>
      <c r="W938" s="303"/>
      <c r="X938" s="303"/>
      <c r="Y938" s="303"/>
      <c r="Z938" s="303"/>
    </row>
    <row r="939">
      <c r="A939" s="303"/>
      <c r="B939" s="303"/>
      <c r="C939" s="303"/>
      <c r="D939" s="303"/>
      <c r="E939" s="303"/>
      <c r="F939" s="303"/>
      <c r="G939" s="303"/>
      <c r="H939" s="303"/>
      <c r="I939" s="303"/>
      <c r="J939" s="303"/>
      <c r="K939" s="303"/>
      <c r="L939" s="303"/>
      <c r="M939" s="303"/>
      <c r="N939" s="303"/>
      <c r="O939" s="303"/>
      <c r="P939" s="303"/>
      <c r="Q939" s="303"/>
      <c r="R939" s="303"/>
      <c r="S939" s="303"/>
      <c r="T939" s="303"/>
      <c r="U939" s="303"/>
      <c r="V939" s="303"/>
      <c r="W939" s="303"/>
      <c r="X939" s="303"/>
      <c r="Y939" s="303"/>
      <c r="Z939" s="303"/>
    </row>
    <row r="940">
      <c r="A940" s="303"/>
      <c r="B940" s="303"/>
      <c r="C940" s="303"/>
      <c r="D940" s="303"/>
      <c r="E940" s="303"/>
      <c r="F940" s="303"/>
      <c r="G940" s="303"/>
      <c r="H940" s="303"/>
      <c r="I940" s="303"/>
      <c r="J940" s="303"/>
      <c r="K940" s="303"/>
      <c r="L940" s="303"/>
      <c r="M940" s="303"/>
      <c r="N940" s="303"/>
      <c r="O940" s="303"/>
      <c r="P940" s="303"/>
      <c r="Q940" s="303"/>
      <c r="R940" s="303"/>
      <c r="S940" s="303"/>
      <c r="T940" s="303"/>
      <c r="U940" s="303"/>
      <c r="V940" s="303"/>
      <c r="W940" s="303"/>
      <c r="X940" s="303"/>
      <c r="Y940" s="303"/>
      <c r="Z940" s="303"/>
    </row>
    <row r="941">
      <c r="A941" s="303"/>
      <c r="B941" s="303"/>
      <c r="C941" s="303"/>
      <c r="D941" s="303"/>
      <c r="E941" s="303"/>
      <c r="F941" s="303"/>
      <c r="G941" s="303"/>
      <c r="H941" s="303"/>
      <c r="I941" s="303"/>
      <c r="J941" s="303"/>
      <c r="K941" s="303"/>
      <c r="L941" s="303"/>
      <c r="M941" s="303"/>
      <c r="N941" s="303"/>
      <c r="O941" s="303"/>
      <c r="P941" s="303"/>
      <c r="Q941" s="303"/>
      <c r="R941" s="303"/>
      <c r="S941" s="303"/>
      <c r="T941" s="303"/>
      <c r="U941" s="303"/>
      <c r="V941" s="303"/>
      <c r="W941" s="303"/>
      <c r="X941" s="303"/>
      <c r="Y941" s="303"/>
      <c r="Z941" s="303"/>
    </row>
    <row r="942">
      <c r="A942" s="303"/>
      <c r="B942" s="303"/>
      <c r="C942" s="303"/>
      <c r="D942" s="303"/>
      <c r="E942" s="303"/>
      <c r="F942" s="303"/>
      <c r="G942" s="303"/>
      <c r="H942" s="303"/>
      <c r="I942" s="303"/>
      <c r="J942" s="303"/>
      <c r="K942" s="303"/>
      <c r="L942" s="303"/>
      <c r="M942" s="303"/>
      <c r="N942" s="303"/>
      <c r="O942" s="303"/>
      <c r="P942" s="303"/>
      <c r="Q942" s="303"/>
      <c r="R942" s="303"/>
      <c r="S942" s="303"/>
      <c r="T942" s="303"/>
      <c r="U942" s="303"/>
      <c r="V942" s="303"/>
      <c r="W942" s="303"/>
      <c r="X942" s="303"/>
      <c r="Y942" s="303"/>
      <c r="Z942" s="303"/>
    </row>
    <row r="943">
      <c r="A943" s="303"/>
      <c r="B943" s="303"/>
      <c r="C943" s="303"/>
      <c r="D943" s="303"/>
      <c r="E943" s="303"/>
      <c r="F943" s="303"/>
      <c r="G943" s="303"/>
      <c r="H943" s="303"/>
      <c r="I943" s="303"/>
      <c r="J943" s="303"/>
      <c r="K943" s="303"/>
      <c r="L943" s="303"/>
      <c r="M943" s="303"/>
      <c r="N943" s="303"/>
      <c r="O943" s="303"/>
      <c r="P943" s="303"/>
      <c r="Q943" s="303"/>
      <c r="R943" s="303"/>
      <c r="S943" s="303"/>
      <c r="T943" s="303"/>
      <c r="U943" s="303"/>
      <c r="V943" s="303"/>
      <c r="W943" s="303"/>
      <c r="X943" s="303"/>
      <c r="Y943" s="303"/>
      <c r="Z943" s="303"/>
    </row>
    <row r="944">
      <c r="A944" s="303"/>
      <c r="B944" s="303"/>
      <c r="C944" s="303"/>
      <c r="D944" s="303"/>
      <c r="E944" s="303"/>
      <c r="F944" s="303"/>
      <c r="G944" s="303"/>
      <c r="H944" s="303"/>
      <c r="I944" s="303"/>
      <c r="J944" s="303"/>
      <c r="K944" s="303"/>
      <c r="L944" s="303"/>
      <c r="M944" s="303"/>
      <c r="N944" s="303"/>
      <c r="O944" s="303"/>
      <c r="P944" s="303"/>
      <c r="Q944" s="303"/>
      <c r="R944" s="303"/>
      <c r="S944" s="303"/>
      <c r="T944" s="303"/>
      <c r="U944" s="303"/>
      <c r="V944" s="303"/>
      <c r="W944" s="303"/>
      <c r="X944" s="303"/>
      <c r="Y944" s="303"/>
      <c r="Z944" s="303"/>
    </row>
    <row r="945">
      <c r="A945" s="303"/>
      <c r="B945" s="303"/>
      <c r="C945" s="303"/>
      <c r="D945" s="303"/>
      <c r="E945" s="303"/>
      <c r="F945" s="303"/>
      <c r="G945" s="303"/>
      <c r="H945" s="303"/>
      <c r="I945" s="303"/>
      <c r="J945" s="303"/>
      <c r="K945" s="303"/>
      <c r="L945" s="303"/>
      <c r="M945" s="303"/>
      <c r="N945" s="303"/>
      <c r="O945" s="303"/>
      <c r="P945" s="303"/>
      <c r="Q945" s="303"/>
      <c r="R945" s="303"/>
      <c r="S945" s="303"/>
      <c r="T945" s="303"/>
      <c r="U945" s="303"/>
      <c r="V945" s="303"/>
      <c r="W945" s="303"/>
      <c r="X945" s="303"/>
      <c r="Y945" s="303"/>
      <c r="Z945" s="303"/>
    </row>
    <row r="946">
      <c r="A946" s="303"/>
      <c r="B946" s="303"/>
      <c r="C946" s="303"/>
      <c r="D946" s="303"/>
      <c r="E946" s="303"/>
      <c r="F946" s="303"/>
      <c r="G946" s="303"/>
      <c r="H946" s="303"/>
      <c r="I946" s="303"/>
      <c r="J946" s="303"/>
      <c r="K946" s="303"/>
      <c r="L946" s="303"/>
      <c r="M946" s="303"/>
      <c r="N946" s="303"/>
      <c r="O946" s="303"/>
      <c r="P946" s="303"/>
      <c r="Q946" s="303"/>
      <c r="R946" s="303"/>
      <c r="S946" s="303"/>
      <c r="T946" s="303"/>
      <c r="U946" s="303"/>
      <c r="V946" s="303"/>
      <c r="W946" s="303"/>
      <c r="X946" s="303"/>
      <c r="Y946" s="303"/>
      <c r="Z946" s="303"/>
    </row>
    <row r="947">
      <c r="A947" s="303"/>
      <c r="B947" s="303"/>
      <c r="C947" s="303"/>
      <c r="D947" s="303"/>
      <c r="E947" s="303"/>
      <c r="F947" s="303"/>
      <c r="G947" s="303"/>
      <c r="H947" s="303"/>
      <c r="I947" s="303"/>
      <c r="J947" s="303"/>
      <c r="K947" s="303"/>
      <c r="L947" s="303"/>
      <c r="M947" s="303"/>
      <c r="N947" s="303"/>
      <c r="O947" s="303"/>
      <c r="P947" s="303"/>
      <c r="Q947" s="303"/>
      <c r="R947" s="303"/>
      <c r="S947" s="303"/>
      <c r="T947" s="303"/>
      <c r="U947" s="303"/>
      <c r="V947" s="303"/>
      <c r="W947" s="303"/>
      <c r="X947" s="303"/>
      <c r="Y947" s="303"/>
      <c r="Z947" s="303"/>
    </row>
    <row r="948">
      <c r="A948" s="303"/>
      <c r="B948" s="303"/>
      <c r="C948" s="303"/>
      <c r="D948" s="303"/>
      <c r="E948" s="303"/>
      <c r="F948" s="303"/>
      <c r="G948" s="303"/>
      <c r="H948" s="303"/>
      <c r="I948" s="303"/>
      <c r="J948" s="303"/>
      <c r="K948" s="303"/>
      <c r="L948" s="303"/>
      <c r="M948" s="303"/>
      <c r="N948" s="303"/>
      <c r="O948" s="303"/>
      <c r="P948" s="303"/>
      <c r="Q948" s="303"/>
      <c r="R948" s="303"/>
      <c r="S948" s="303"/>
      <c r="T948" s="303"/>
      <c r="U948" s="303"/>
      <c r="V948" s="303"/>
      <c r="W948" s="303"/>
      <c r="X948" s="303"/>
      <c r="Y948" s="303"/>
      <c r="Z948" s="303"/>
    </row>
    <row r="949">
      <c r="A949" s="303"/>
      <c r="B949" s="303"/>
      <c r="C949" s="303"/>
      <c r="D949" s="303"/>
      <c r="E949" s="303"/>
      <c r="F949" s="303"/>
      <c r="G949" s="303"/>
      <c r="H949" s="303"/>
      <c r="I949" s="303"/>
      <c r="J949" s="303"/>
      <c r="K949" s="303"/>
      <c r="L949" s="303"/>
      <c r="M949" s="303"/>
      <c r="N949" s="303"/>
      <c r="O949" s="303"/>
      <c r="P949" s="303"/>
      <c r="Q949" s="303"/>
      <c r="R949" s="303"/>
      <c r="S949" s="303"/>
      <c r="T949" s="303"/>
      <c r="U949" s="303"/>
      <c r="V949" s="303"/>
      <c r="W949" s="303"/>
      <c r="X949" s="303"/>
      <c r="Y949" s="303"/>
      <c r="Z949" s="303"/>
    </row>
    <row r="950">
      <c r="A950" s="303"/>
      <c r="B950" s="303"/>
      <c r="C950" s="303"/>
      <c r="D950" s="303"/>
      <c r="E950" s="303"/>
      <c r="F950" s="303"/>
      <c r="G950" s="303"/>
      <c r="H950" s="303"/>
      <c r="I950" s="303"/>
      <c r="J950" s="303"/>
      <c r="K950" s="303"/>
      <c r="L950" s="303"/>
      <c r="M950" s="303"/>
      <c r="N950" s="303"/>
      <c r="O950" s="303"/>
      <c r="P950" s="303"/>
      <c r="Q950" s="303"/>
      <c r="R950" s="303"/>
      <c r="S950" s="303"/>
      <c r="T950" s="303"/>
      <c r="U950" s="303"/>
      <c r="V950" s="303"/>
      <c r="W950" s="303"/>
      <c r="X950" s="303"/>
      <c r="Y950" s="303"/>
      <c r="Z950" s="303"/>
    </row>
    <row r="951">
      <c r="A951" s="303"/>
      <c r="B951" s="303"/>
      <c r="C951" s="303"/>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row>
    <row r="952">
      <c r="A952" s="303"/>
      <c r="B952" s="303"/>
      <c r="C952" s="303"/>
      <c r="D952" s="303"/>
      <c r="E952" s="303"/>
      <c r="F952" s="303"/>
      <c r="G952" s="303"/>
      <c r="H952" s="303"/>
      <c r="I952" s="303"/>
      <c r="J952" s="303"/>
      <c r="K952" s="303"/>
      <c r="L952" s="303"/>
      <c r="M952" s="303"/>
      <c r="N952" s="303"/>
      <c r="O952" s="303"/>
      <c r="P952" s="303"/>
      <c r="Q952" s="303"/>
      <c r="R952" s="303"/>
      <c r="S952" s="303"/>
      <c r="T952" s="303"/>
      <c r="U952" s="303"/>
      <c r="V952" s="303"/>
      <c r="W952" s="303"/>
      <c r="X952" s="303"/>
      <c r="Y952" s="303"/>
      <c r="Z952" s="303"/>
    </row>
    <row r="953">
      <c r="A953" s="303"/>
      <c r="B953" s="303"/>
      <c r="C953" s="303"/>
      <c r="D953" s="303"/>
      <c r="E953" s="303"/>
      <c r="F953" s="303"/>
      <c r="G953" s="303"/>
      <c r="H953" s="303"/>
      <c r="I953" s="303"/>
      <c r="J953" s="303"/>
      <c r="K953" s="303"/>
      <c r="L953" s="303"/>
      <c r="M953" s="303"/>
      <c r="N953" s="303"/>
      <c r="O953" s="303"/>
      <c r="P953" s="303"/>
      <c r="Q953" s="303"/>
      <c r="R953" s="303"/>
      <c r="S953" s="303"/>
      <c r="T953" s="303"/>
      <c r="U953" s="303"/>
      <c r="V953" s="303"/>
      <c r="W953" s="303"/>
      <c r="X953" s="303"/>
      <c r="Y953" s="303"/>
      <c r="Z953" s="303"/>
    </row>
    <row r="954">
      <c r="A954" s="303"/>
      <c r="B954" s="303"/>
      <c r="C954" s="303"/>
      <c r="D954" s="303"/>
      <c r="E954" s="303"/>
      <c r="F954" s="303"/>
      <c r="G954" s="303"/>
      <c r="H954" s="303"/>
      <c r="I954" s="303"/>
      <c r="J954" s="303"/>
      <c r="K954" s="303"/>
      <c r="L954" s="303"/>
      <c r="M954" s="303"/>
      <c r="N954" s="303"/>
      <c r="O954" s="303"/>
      <c r="P954" s="303"/>
      <c r="Q954" s="303"/>
      <c r="R954" s="303"/>
      <c r="S954" s="303"/>
      <c r="T954" s="303"/>
      <c r="U954" s="303"/>
      <c r="V954" s="303"/>
      <c r="W954" s="303"/>
      <c r="X954" s="303"/>
      <c r="Y954" s="303"/>
      <c r="Z954" s="303"/>
    </row>
    <row r="955">
      <c r="A955" s="303"/>
      <c r="B955" s="303"/>
      <c r="C955" s="303"/>
      <c r="D955" s="303"/>
      <c r="E955" s="303"/>
      <c r="F955" s="303"/>
      <c r="G955" s="303"/>
      <c r="H955" s="303"/>
      <c r="I955" s="303"/>
      <c r="J955" s="303"/>
      <c r="K955" s="303"/>
      <c r="L955" s="303"/>
      <c r="M955" s="303"/>
      <c r="N955" s="303"/>
      <c r="O955" s="303"/>
      <c r="P955" s="303"/>
      <c r="Q955" s="303"/>
      <c r="R955" s="303"/>
      <c r="S955" s="303"/>
      <c r="T955" s="303"/>
      <c r="U955" s="303"/>
      <c r="V955" s="303"/>
      <c r="W955" s="303"/>
      <c r="X955" s="303"/>
      <c r="Y955" s="303"/>
      <c r="Z955" s="303"/>
    </row>
    <row r="956">
      <c r="A956" s="303"/>
      <c r="B956" s="303"/>
      <c r="C956" s="303"/>
      <c r="D956" s="303"/>
      <c r="E956" s="303"/>
      <c r="F956" s="303"/>
      <c r="G956" s="303"/>
      <c r="H956" s="303"/>
      <c r="I956" s="303"/>
      <c r="J956" s="303"/>
      <c r="K956" s="303"/>
      <c r="L956" s="303"/>
      <c r="M956" s="303"/>
      <c r="N956" s="303"/>
      <c r="O956" s="303"/>
      <c r="P956" s="303"/>
      <c r="Q956" s="303"/>
      <c r="R956" s="303"/>
      <c r="S956" s="303"/>
      <c r="T956" s="303"/>
      <c r="U956" s="303"/>
      <c r="V956" s="303"/>
      <c r="W956" s="303"/>
      <c r="X956" s="303"/>
      <c r="Y956" s="303"/>
      <c r="Z956" s="303"/>
    </row>
    <row r="957">
      <c r="A957" s="303"/>
      <c r="B957" s="303"/>
      <c r="C957" s="303"/>
      <c r="D957" s="303"/>
      <c r="E957" s="303"/>
      <c r="F957" s="303"/>
      <c r="G957" s="303"/>
      <c r="H957" s="303"/>
      <c r="I957" s="303"/>
      <c r="J957" s="303"/>
      <c r="K957" s="303"/>
      <c r="L957" s="303"/>
      <c r="M957" s="303"/>
      <c r="N957" s="303"/>
      <c r="O957" s="303"/>
      <c r="P957" s="303"/>
      <c r="Q957" s="303"/>
      <c r="R957" s="303"/>
      <c r="S957" s="303"/>
      <c r="T957" s="303"/>
      <c r="U957" s="303"/>
      <c r="V957" s="303"/>
      <c r="W957" s="303"/>
      <c r="X957" s="303"/>
      <c r="Y957" s="303"/>
      <c r="Z957" s="303"/>
    </row>
    <row r="958">
      <c r="A958" s="303"/>
      <c r="B958" s="303"/>
      <c r="C958" s="303"/>
      <c r="D958" s="303"/>
      <c r="E958" s="303"/>
      <c r="F958" s="303"/>
      <c r="G958" s="303"/>
      <c r="H958" s="303"/>
      <c r="I958" s="303"/>
      <c r="J958" s="303"/>
      <c r="K958" s="303"/>
      <c r="L958" s="303"/>
      <c r="M958" s="303"/>
      <c r="N958" s="303"/>
      <c r="O958" s="303"/>
      <c r="P958" s="303"/>
      <c r="Q958" s="303"/>
      <c r="R958" s="303"/>
      <c r="S958" s="303"/>
      <c r="T958" s="303"/>
      <c r="U958" s="303"/>
      <c r="V958" s="303"/>
      <c r="W958" s="303"/>
      <c r="X958" s="303"/>
      <c r="Y958" s="303"/>
      <c r="Z958" s="303"/>
    </row>
    <row r="959">
      <c r="A959" s="303"/>
      <c r="B959" s="303"/>
      <c r="C959" s="303"/>
      <c r="D959" s="303"/>
      <c r="E959" s="303"/>
      <c r="F959" s="303"/>
      <c r="G959" s="303"/>
      <c r="H959" s="303"/>
      <c r="I959" s="303"/>
      <c r="J959" s="303"/>
      <c r="K959" s="303"/>
      <c r="L959" s="303"/>
      <c r="M959" s="303"/>
      <c r="N959" s="303"/>
      <c r="O959" s="303"/>
      <c r="P959" s="303"/>
      <c r="Q959" s="303"/>
      <c r="R959" s="303"/>
      <c r="S959" s="303"/>
      <c r="T959" s="303"/>
      <c r="U959" s="303"/>
      <c r="V959" s="303"/>
      <c r="W959" s="303"/>
      <c r="X959" s="303"/>
      <c r="Y959" s="303"/>
      <c r="Z959" s="303"/>
    </row>
    <row r="960">
      <c r="A960" s="303"/>
      <c r="B960" s="303"/>
      <c r="C960" s="303"/>
      <c r="D960" s="303"/>
      <c r="E960" s="303"/>
      <c r="F960" s="303"/>
      <c r="G960" s="303"/>
      <c r="H960" s="303"/>
      <c r="I960" s="303"/>
      <c r="J960" s="303"/>
      <c r="K960" s="303"/>
      <c r="L960" s="303"/>
      <c r="M960" s="303"/>
      <c r="N960" s="303"/>
      <c r="O960" s="303"/>
      <c r="P960" s="303"/>
      <c r="Q960" s="303"/>
      <c r="R960" s="303"/>
      <c r="S960" s="303"/>
      <c r="T960" s="303"/>
      <c r="U960" s="303"/>
      <c r="V960" s="303"/>
      <c r="W960" s="303"/>
      <c r="X960" s="303"/>
      <c r="Y960" s="303"/>
      <c r="Z960" s="303"/>
    </row>
    <row r="961">
      <c r="A961" s="303"/>
      <c r="B961" s="303"/>
      <c r="C961" s="303"/>
      <c r="D961" s="303"/>
      <c r="E961" s="303"/>
      <c r="F961" s="303"/>
      <c r="G961" s="303"/>
      <c r="H961" s="303"/>
      <c r="I961" s="303"/>
      <c r="J961" s="303"/>
      <c r="K961" s="303"/>
      <c r="L961" s="303"/>
      <c r="M961" s="303"/>
      <c r="N961" s="303"/>
      <c r="O961" s="303"/>
      <c r="P961" s="303"/>
      <c r="Q961" s="303"/>
      <c r="R961" s="303"/>
      <c r="S961" s="303"/>
      <c r="T961" s="303"/>
      <c r="U961" s="303"/>
      <c r="V961" s="303"/>
      <c r="W961" s="303"/>
      <c r="X961" s="303"/>
      <c r="Y961" s="303"/>
      <c r="Z961" s="303"/>
    </row>
    <row r="962">
      <c r="A962" s="303"/>
      <c r="B962" s="303"/>
      <c r="C962" s="303"/>
      <c r="D962" s="303"/>
      <c r="E962" s="303"/>
      <c r="F962" s="303"/>
      <c r="G962" s="303"/>
      <c r="H962" s="303"/>
      <c r="I962" s="303"/>
      <c r="J962" s="303"/>
      <c r="K962" s="303"/>
      <c r="L962" s="303"/>
      <c r="M962" s="303"/>
      <c r="N962" s="303"/>
      <c r="O962" s="303"/>
      <c r="P962" s="303"/>
      <c r="Q962" s="303"/>
      <c r="R962" s="303"/>
      <c r="S962" s="303"/>
      <c r="T962" s="303"/>
      <c r="U962" s="303"/>
      <c r="V962" s="303"/>
      <c r="W962" s="303"/>
      <c r="X962" s="303"/>
      <c r="Y962" s="303"/>
      <c r="Z962" s="303"/>
    </row>
    <row r="963">
      <c r="A963" s="303"/>
      <c r="B963" s="303"/>
      <c r="C963" s="303"/>
      <c r="D963" s="303"/>
      <c r="E963" s="303"/>
      <c r="F963" s="303"/>
      <c r="G963" s="303"/>
      <c r="H963" s="303"/>
      <c r="I963" s="303"/>
      <c r="J963" s="303"/>
      <c r="K963" s="303"/>
      <c r="L963" s="303"/>
      <c r="M963" s="303"/>
      <c r="N963" s="303"/>
      <c r="O963" s="303"/>
      <c r="P963" s="303"/>
      <c r="Q963" s="303"/>
      <c r="R963" s="303"/>
      <c r="S963" s="303"/>
      <c r="T963" s="303"/>
      <c r="U963" s="303"/>
      <c r="V963" s="303"/>
      <c r="W963" s="303"/>
      <c r="X963" s="303"/>
      <c r="Y963" s="303"/>
      <c r="Z963" s="303"/>
    </row>
    <row r="964">
      <c r="A964" s="303"/>
      <c r="B964" s="303"/>
      <c r="C964" s="303"/>
      <c r="D964" s="303"/>
      <c r="E964" s="303"/>
      <c r="F964" s="303"/>
      <c r="G964" s="303"/>
      <c r="H964" s="303"/>
      <c r="I964" s="303"/>
      <c r="J964" s="303"/>
      <c r="K964" s="303"/>
      <c r="L964" s="303"/>
      <c r="M964" s="303"/>
      <c r="N964" s="303"/>
      <c r="O964" s="303"/>
      <c r="P964" s="303"/>
      <c r="Q964" s="303"/>
      <c r="R964" s="303"/>
      <c r="S964" s="303"/>
      <c r="T964" s="303"/>
      <c r="U964" s="303"/>
      <c r="V964" s="303"/>
      <c r="W964" s="303"/>
      <c r="X964" s="303"/>
      <c r="Y964" s="303"/>
      <c r="Z964" s="303"/>
    </row>
    <row r="965">
      <c r="A965" s="303"/>
      <c r="B965" s="303"/>
      <c r="C965" s="303"/>
      <c r="D965" s="303"/>
      <c r="E965" s="303"/>
      <c r="F965" s="303"/>
      <c r="G965" s="303"/>
      <c r="H965" s="303"/>
      <c r="I965" s="303"/>
      <c r="J965" s="303"/>
      <c r="K965" s="303"/>
      <c r="L965" s="303"/>
      <c r="M965" s="303"/>
      <c r="N965" s="303"/>
      <c r="O965" s="303"/>
      <c r="P965" s="303"/>
      <c r="Q965" s="303"/>
      <c r="R965" s="303"/>
      <c r="S965" s="303"/>
      <c r="T965" s="303"/>
      <c r="U965" s="303"/>
      <c r="V965" s="303"/>
      <c r="W965" s="303"/>
      <c r="X965" s="303"/>
      <c r="Y965" s="303"/>
      <c r="Z965" s="303"/>
    </row>
    <row r="966">
      <c r="A966" s="303"/>
      <c r="B966" s="303"/>
      <c r="C966" s="303"/>
      <c r="D966" s="303"/>
      <c r="E966" s="303"/>
      <c r="F966" s="303"/>
      <c r="G966" s="303"/>
      <c r="H966" s="303"/>
      <c r="I966" s="303"/>
      <c r="J966" s="303"/>
      <c r="K966" s="303"/>
      <c r="L966" s="303"/>
      <c r="M966" s="303"/>
      <c r="N966" s="303"/>
      <c r="O966" s="303"/>
      <c r="P966" s="303"/>
      <c r="Q966" s="303"/>
      <c r="R966" s="303"/>
      <c r="S966" s="303"/>
      <c r="T966" s="303"/>
      <c r="U966" s="303"/>
      <c r="V966" s="303"/>
      <c r="W966" s="303"/>
      <c r="X966" s="303"/>
      <c r="Y966" s="303"/>
      <c r="Z966" s="303"/>
    </row>
    <row r="967">
      <c r="A967" s="303"/>
      <c r="B967" s="303"/>
      <c r="C967" s="303"/>
      <c r="D967" s="303"/>
      <c r="E967" s="303"/>
      <c r="F967" s="303"/>
      <c r="G967" s="303"/>
      <c r="H967" s="303"/>
      <c r="I967" s="303"/>
      <c r="J967" s="303"/>
      <c r="K967" s="303"/>
      <c r="L967" s="303"/>
      <c r="M967" s="303"/>
      <c r="N967" s="303"/>
      <c r="O967" s="303"/>
      <c r="P967" s="303"/>
      <c r="Q967" s="303"/>
      <c r="R967" s="303"/>
      <c r="S967" s="303"/>
      <c r="T967" s="303"/>
      <c r="U967" s="303"/>
      <c r="V967" s="303"/>
      <c r="W967" s="303"/>
      <c r="X967" s="303"/>
      <c r="Y967" s="303"/>
      <c r="Z967" s="303"/>
    </row>
    <row r="968">
      <c r="A968" s="303"/>
      <c r="B968" s="303"/>
      <c r="C968" s="303"/>
      <c r="D968" s="303"/>
      <c r="E968" s="303"/>
      <c r="F968" s="303"/>
      <c r="G968" s="303"/>
      <c r="H968" s="303"/>
      <c r="I968" s="303"/>
      <c r="J968" s="303"/>
      <c r="K968" s="303"/>
      <c r="L968" s="303"/>
      <c r="M968" s="303"/>
      <c r="N968" s="303"/>
      <c r="O968" s="303"/>
      <c r="P968" s="303"/>
      <c r="Q968" s="303"/>
      <c r="R968" s="303"/>
      <c r="S968" s="303"/>
      <c r="T968" s="303"/>
      <c r="U968" s="303"/>
      <c r="V968" s="303"/>
      <c r="W968" s="303"/>
      <c r="X968" s="303"/>
      <c r="Y968" s="303"/>
      <c r="Z968" s="303"/>
    </row>
    <row r="969">
      <c r="A969" s="303"/>
      <c r="B969" s="303"/>
      <c r="C969" s="303"/>
      <c r="D969" s="303"/>
      <c r="E969" s="303"/>
      <c r="F969" s="303"/>
      <c r="G969" s="303"/>
      <c r="H969" s="303"/>
      <c r="I969" s="303"/>
      <c r="J969" s="303"/>
      <c r="K969" s="303"/>
      <c r="L969" s="303"/>
      <c r="M969" s="303"/>
      <c r="N969" s="303"/>
      <c r="O969" s="303"/>
      <c r="P969" s="303"/>
      <c r="Q969" s="303"/>
      <c r="R969" s="303"/>
      <c r="S969" s="303"/>
      <c r="T969" s="303"/>
      <c r="U969" s="303"/>
      <c r="V969" s="303"/>
      <c r="W969" s="303"/>
      <c r="X969" s="303"/>
      <c r="Y969" s="303"/>
      <c r="Z969" s="303"/>
    </row>
    <row r="970">
      <c r="A970" s="303"/>
      <c r="B970" s="303"/>
      <c r="C970" s="303"/>
      <c r="D970" s="303"/>
      <c r="E970" s="303"/>
      <c r="F970" s="303"/>
      <c r="G970" s="303"/>
      <c r="H970" s="303"/>
      <c r="I970" s="303"/>
      <c r="J970" s="303"/>
      <c r="K970" s="303"/>
      <c r="L970" s="303"/>
      <c r="M970" s="303"/>
      <c r="N970" s="303"/>
      <c r="O970" s="303"/>
      <c r="P970" s="303"/>
      <c r="Q970" s="303"/>
      <c r="R970" s="303"/>
      <c r="S970" s="303"/>
      <c r="T970" s="303"/>
      <c r="U970" s="303"/>
      <c r="V970" s="303"/>
      <c r="W970" s="303"/>
      <c r="X970" s="303"/>
      <c r="Y970" s="303"/>
      <c r="Z970" s="303"/>
    </row>
    <row r="971">
      <c r="A971" s="303"/>
      <c r="B971" s="303"/>
      <c r="C971" s="303"/>
      <c r="D971" s="303"/>
      <c r="E971" s="303"/>
      <c r="F971" s="303"/>
      <c r="G971" s="303"/>
      <c r="H971" s="303"/>
      <c r="I971" s="303"/>
      <c r="J971" s="303"/>
      <c r="K971" s="303"/>
      <c r="L971" s="303"/>
      <c r="M971" s="303"/>
      <c r="N971" s="303"/>
      <c r="O971" s="303"/>
      <c r="P971" s="303"/>
      <c r="Q971" s="303"/>
      <c r="R971" s="303"/>
      <c r="S971" s="303"/>
      <c r="T971" s="303"/>
      <c r="U971" s="303"/>
      <c r="V971" s="303"/>
      <c r="W971" s="303"/>
      <c r="X971" s="303"/>
      <c r="Y971" s="303"/>
      <c r="Z971" s="303"/>
    </row>
    <row r="972">
      <c r="A972" s="303"/>
      <c r="B972" s="303"/>
      <c r="C972" s="303"/>
      <c r="D972" s="303"/>
      <c r="E972" s="303"/>
      <c r="F972" s="303"/>
      <c r="G972" s="303"/>
      <c r="H972" s="303"/>
      <c r="I972" s="303"/>
      <c r="J972" s="303"/>
      <c r="K972" s="303"/>
      <c r="L972" s="303"/>
      <c r="M972" s="303"/>
      <c r="N972" s="303"/>
      <c r="O972" s="303"/>
      <c r="P972" s="303"/>
      <c r="Q972" s="303"/>
      <c r="R972" s="303"/>
      <c r="S972" s="303"/>
      <c r="T972" s="303"/>
      <c r="U972" s="303"/>
      <c r="V972" s="303"/>
      <c r="W972" s="303"/>
      <c r="X972" s="303"/>
      <c r="Y972" s="303"/>
      <c r="Z972" s="303"/>
    </row>
    <row r="973">
      <c r="A973" s="303"/>
      <c r="B973" s="303"/>
      <c r="C973" s="303"/>
      <c r="D973" s="303"/>
      <c r="E973" s="303"/>
      <c r="F973" s="303"/>
      <c r="G973" s="303"/>
      <c r="H973" s="303"/>
      <c r="I973" s="303"/>
      <c r="J973" s="303"/>
      <c r="K973" s="303"/>
      <c r="L973" s="303"/>
      <c r="M973" s="303"/>
      <c r="N973" s="303"/>
      <c r="O973" s="303"/>
      <c r="P973" s="303"/>
      <c r="Q973" s="303"/>
      <c r="R973" s="303"/>
      <c r="S973" s="303"/>
      <c r="T973" s="303"/>
      <c r="U973" s="303"/>
      <c r="V973" s="303"/>
      <c r="W973" s="303"/>
      <c r="X973" s="303"/>
      <c r="Y973" s="303"/>
      <c r="Z973" s="303"/>
    </row>
    <row r="974">
      <c r="A974" s="303"/>
      <c r="B974" s="303"/>
      <c r="C974" s="303"/>
      <c r="D974" s="303"/>
      <c r="E974" s="303"/>
      <c r="F974" s="303"/>
      <c r="G974" s="303"/>
      <c r="H974" s="303"/>
      <c r="I974" s="303"/>
      <c r="J974" s="303"/>
      <c r="K974" s="303"/>
      <c r="L974" s="303"/>
      <c r="M974" s="303"/>
      <c r="N974" s="303"/>
      <c r="O974" s="303"/>
      <c r="P974" s="303"/>
      <c r="Q974" s="303"/>
      <c r="R974" s="303"/>
      <c r="S974" s="303"/>
      <c r="T974" s="303"/>
      <c r="U974" s="303"/>
      <c r="V974" s="303"/>
      <c r="W974" s="303"/>
      <c r="X974" s="303"/>
      <c r="Y974" s="303"/>
      <c r="Z974" s="303"/>
    </row>
    <row r="975">
      <c r="A975" s="303"/>
      <c r="B975" s="303"/>
      <c r="C975" s="303"/>
      <c r="D975" s="303"/>
      <c r="E975" s="303"/>
      <c r="F975" s="303"/>
      <c r="G975" s="303"/>
      <c r="H975" s="303"/>
      <c r="I975" s="303"/>
      <c r="J975" s="303"/>
      <c r="K975" s="303"/>
      <c r="L975" s="303"/>
      <c r="M975" s="303"/>
      <c r="N975" s="303"/>
      <c r="O975" s="303"/>
      <c r="P975" s="303"/>
      <c r="Q975" s="303"/>
      <c r="R975" s="303"/>
      <c r="S975" s="303"/>
      <c r="T975" s="303"/>
      <c r="U975" s="303"/>
      <c r="V975" s="303"/>
      <c r="W975" s="303"/>
      <c r="X975" s="303"/>
      <c r="Y975" s="303"/>
      <c r="Z975" s="303"/>
    </row>
    <row r="976">
      <c r="A976" s="303"/>
      <c r="B976" s="303"/>
      <c r="C976" s="303"/>
      <c r="D976" s="303"/>
      <c r="E976" s="303"/>
      <c r="F976" s="303"/>
      <c r="G976" s="303"/>
      <c r="H976" s="303"/>
      <c r="I976" s="303"/>
      <c r="J976" s="303"/>
      <c r="K976" s="303"/>
      <c r="L976" s="303"/>
      <c r="M976" s="303"/>
      <c r="N976" s="303"/>
      <c r="O976" s="303"/>
      <c r="P976" s="303"/>
      <c r="Q976" s="303"/>
      <c r="R976" s="303"/>
      <c r="S976" s="303"/>
      <c r="T976" s="303"/>
      <c r="U976" s="303"/>
      <c r="V976" s="303"/>
      <c r="W976" s="303"/>
      <c r="X976" s="303"/>
      <c r="Y976" s="303"/>
      <c r="Z976" s="303"/>
    </row>
    <row r="977">
      <c r="A977" s="303"/>
      <c r="B977" s="303"/>
      <c r="C977" s="303"/>
      <c r="D977" s="303"/>
      <c r="E977" s="303"/>
      <c r="F977" s="303"/>
      <c r="G977" s="303"/>
      <c r="H977" s="303"/>
      <c r="I977" s="303"/>
      <c r="J977" s="303"/>
      <c r="K977" s="303"/>
      <c r="L977" s="303"/>
      <c r="M977" s="303"/>
      <c r="N977" s="303"/>
      <c r="O977" s="303"/>
      <c r="P977" s="303"/>
      <c r="Q977" s="303"/>
      <c r="R977" s="303"/>
      <c r="S977" s="303"/>
      <c r="T977" s="303"/>
      <c r="U977" s="303"/>
      <c r="V977" s="303"/>
      <c r="W977" s="303"/>
      <c r="X977" s="303"/>
      <c r="Y977" s="303"/>
      <c r="Z977" s="303"/>
    </row>
    <row r="978">
      <c r="A978" s="303"/>
      <c r="B978" s="303"/>
      <c r="C978" s="303"/>
      <c r="D978" s="303"/>
      <c r="E978" s="303"/>
      <c r="F978" s="303"/>
      <c r="G978" s="303"/>
      <c r="H978" s="303"/>
      <c r="I978" s="303"/>
      <c r="J978" s="303"/>
      <c r="K978" s="303"/>
      <c r="L978" s="303"/>
      <c r="M978" s="303"/>
      <c r="N978" s="303"/>
      <c r="O978" s="303"/>
      <c r="P978" s="303"/>
      <c r="Q978" s="303"/>
      <c r="R978" s="303"/>
      <c r="S978" s="303"/>
      <c r="T978" s="303"/>
      <c r="U978" s="303"/>
      <c r="V978" s="303"/>
      <c r="W978" s="303"/>
      <c r="X978" s="303"/>
      <c r="Y978" s="303"/>
      <c r="Z978" s="303"/>
    </row>
    <row r="979">
      <c r="A979" s="303"/>
      <c r="B979" s="303"/>
      <c r="C979" s="303"/>
      <c r="D979" s="303"/>
      <c r="E979" s="303"/>
      <c r="F979" s="303"/>
      <c r="G979" s="303"/>
      <c r="H979" s="303"/>
      <c r="I979" s="303"/>
      <c r="J979" s="303"/>
      <c r="K979" s="303"/>
      <c r="L979" s="303"/>
      <c r="M979" s="303"/>
      <c r="N979" s="303"/>
      <c r="O979" s="303"/>
      <c r="P979" s="303"/>
      <c r="Q979" s="303"/>
      <c r="R979" s="303"/>
      <c r="S979" s="303"/>
      <c r="T979" s="303"/>
      <c r="U979" s="303"/>
      <c r="V979" s="303"/>
      <c r="W979" s="303"/>
      <c r="X979" s="303"/>
      <c r="Y979" s="303"/>
      <c r="Z979" s="303"/>
    </row>
    <row r="980">
      <c r="A980" s="303"/>
      <c r="B980" s="303"/>
      <c r="C980" s="303"/>
      <c r="D980" s="303"/>
      <c r="E980" s="303"/>
      <c r="F980" s="303"/>
      <c r="G980" s="303"/>
      <c r="H980" s="303"/>
      <c r="I980" s="303"/>
      <c r="J980" s="303"/>
      <c r="K980" s="303"/>
      <c r="L980" s="303"/>
      <c r="M980" s="303"/>
      <c r="N980" s="303"/>
      <c r="O980" s="303"/>
      <c r="P980" s="303"/>
      <c r="Q980" s="303"/>
      <c r="R980" s="303"/>
      <c r="S980" s="303"/>
      <c r="T980" s="303"/>
      <c r="U980" s="303"/>
      <c r="V980" s="303"/>
      <c r="W980" s="303"/>
      <c r="X980" s="303"/>
      <c r="Y980" s="303"/>
      <c r="Z980" s="303"/>
    </row>
    <row r="981">
      <c r="A981" s="303"/>
      <c r="B981" s="303"/>
      <c r="C981" s="303"/>
      <c r="D981" s="303"/>
      <c r="E981" s="303"/>
      <c r="F981" s="303"/>
      <c r="G981" s="303"/>
      <c r="H981" s="303"/>
      <c r="I981" s="303"/>
      <c r="J981" s="303"/>
      <c r="K981" s="303"/>
      <c r="L981" s="303"/>
      <c r="M981" s="303"/>
      <c r="N981" s="303"/>
      <c r="O981" s="303"/>
      <c r="P981" s="303"/>
      <c r="Q981" s="303"/>
      <c r="R981" s="303"/>
      <c r="S981" s="303"/>
      <c r="T981" s="303"/>
      <c r="U981" s="303"/>
      <c r="V981" s="303"/>
      <c r="W981" s="303"/>
      <c r="X981" s="303"/>
      <c r="Y981" s="303"/>
      <c r="Z981" s="303"/>
    </row>
    <row r="982">
      <c r="A982" s="303"/>
      <c r="B982" s="303"/>
      <c r="C982" s="303"/>
      <c r="D982" s="303"/>
      <c r="E982" s="303"/>
      <c r="F982" s="303"/>
      <c r="G982" s="303"/>
      <c r="H982" s="303"/>
      <c r="I982" s="303"/>
      <c r="J982" s="303"/>
      <c r="K982" s="303"/>
      <c r="L982" s="303"/>
      <c r="M982" s="303"/>
      <c r="N982" s="303"/>
      <c r="O982" s="303"/>
      <c r="P982" s="303"/>
      <c r="Q982" s="303"/>
      <c r="R982" s="303"/>
      <c r="S982" s="303"/>
      <c r="T982" s="303"/>
      <c r="U982" s="303"/>
      <c r="V982" s="303"/>
      <c r="W982" s="303"/>
      <c r="X982" s="303"/>
      <c r="Y982" s="303"/>
      <c r="Z982" s="303"/>
    </row>
    <row r="983">
      <c r="A983" s="303"/>
      <c r="B983" s="303"/>
      <c r="C983" s="303"/>
      <c r="D983" s="303"/>
      <c r="E983" s="303"/>
      <c r="F983" s="303"/>
      <c r="G983" s="303"/>
      <c r="H983" s="303"/>
      <c r="I983" s="303"/>
      <c r="J983" s="303"/>
      <c r="K983" s="303"/>
      <c r="L983" s="303"/>
      <c r="M983" s="303"/>
      <c r="N983" s="303"/>
      <c r="O983" s="303"/>
      <c r="P983" s="303"/>
      <c r="Q983" s="303"/>
      <c r="R983" s="303"/>
      <c r="S983" s="303"/>
      <c r="T983" s="303"/>
      <c r="U983" s="303"/>
      <c r="V983" s="303"/>
      <c r="W983" s="303"/>
      <c r="X983" s="303"/>
      <c r="Y983" s="303"/>
      <c r="Z983" s="303"/>
    </row>
    <row r="984">
      <c r="A984" s="303"/>
      <c r="B984" s="303"/>
      <c r="C984" s="303"/>
      <c r="D984" s="303"/>
      <c r="E984" s="303"/>
      <c r="F984" s="303"/>
      <c r="G984" s="303"/>
      <c r="H984" s="303"/>
      <c r="I984" s="303"/>
      <c r="J984" s="303"/>
      <c r="K984" s="303"/>
      <c r="L984" s="303"/>
      <c r="M984" s="303"/>
      <c r="N984" s="303"/>
      <c r="O984" s="303"/>
      <c r="P984" s="303"/>
      <c r="Q984" s="303"/>
      <c r="R984" s="303"/>
      <c r="S984" s="303"/>
      <c r="T984" s="303"/>
      <c r="U984" s="303"/>
      <c r="V984" s="303"/>
      <c r="W984" s="303"/>
      <c r="X984" s="303"/>
      <c r="Y984" s="303"/>
      <c r="Z984" s="303"/>
    </row>
    <row r="985">
      <c r="A985" s="303"/>
      <c r="B985" s="303"/>
      <c r="C985" s="303"/>
      <c r="D985" s="303"/>
      <c r="E985" s="303"/>
      <c r="F985" s="303"/>
      <c r="G985" s="303"/>
      <c r="H985" s="303"/>
      <c r="I985" s="303"/>
      <c r="J985" s="303"/>
      <c r="K985" s="303"/>
      <c r="L985" s="303"/>
      <c r="M985" s="303"/>
      <c r="N985" s="303"/>
      <c r="O985" s="303"/>
      <c r="P985" s="303"/>
      <c r="Q985" s="303"/>
      <c r="R985" s="303"/>
      <c r="S985" s="303"/>
      <c r="T985" s="303"/>
      <c r="U985" s="303"/>
      <c r="V985" s="303"/>
      <c r="W985" s="303"/>
      <c r="X985" s="303"/>
      <c r="Y985" s="303"/>
      <c r="Z985" s="303"/>
    </row>
    <row r="986">
      <c r="A986" s="303"/>
      <c r="B986" s="303"/>
      <c r="C986" s="303"/>
      <c r="D986" s="303"/>
      <c r="E986" s="303"/>
      <c r="F986" s="303"/>
      <c r="G986" s="303"/>
      <c r="H986" s="303"/>
      <c r="I986" s="303"/>
      <c r="J986" s="303"/>
      <c r="K986" s="303"/>
      <c r="L986" s="303"/>
      <c r="M986" s="303"/>
      <c r="N986" s="303"/>
      <c r="O986" s="303"/>
      <c r="P986" s="303"/>
      <c r="Q986" s="303"/>
      <c r="R986" s="303"/>
      <c r="S986" s="303"/>
      <c r="T986" s="303"/>
      <c r="U986" s="303"/>
      <c r="V986" s="303"/>
      <c r="W986" s="303"/>
      <c r="X986" s="303"/>
      <c r="Y986" s="303"/>
      <c r="Z986" s="303"/>
    </row>
    <row r="987">
      <c r="A987" s="303"/>
      <c r="B987" s="303"/>
      <c r="C987" s="303"/>
      <c r="D987" s="303"/>
      <c r="E987" s="303"/>
      <c r="F987" s="303"/>
      <c r="G987" s="303"/>
      <c r="H987" s="303"/>
      <c r="I987" s="303"/>
      <c r="J987" s="303"/>
      <c r="K987" s="303"/>
      <c r="L987" s="303"/>
      <c r="M987" s="303"/>
      <c r="N987" s="303"/>
      <c r="O987" s="303"/>
      <c r="P987" s="303"/>
      <c r="Q987" s="303"/>
      <c r="R987" s="303"/>
      <c r="S987" s="303"/>
      <c r="T987" s="303"/>
      <c r="U987" s="303"/>
      <c r="V987" s="303"/>
      <c r="W987" s="303"/>
      <c r="X987" s="303"/>
      <c r="Y987" s="303"/>
      <c r="Z987" s="303"/>
    </row>
    <row r="988">
      <c r="A988" s="303"/>
      <c r="B988" s="303"/>
      <c r="C988" s="303"/>
      <c r="D988" s="303"/>
      <c r="E988" s="303"/>
      <c r="F988" s="303"/>
      <c r="G988" s="303"/>
      <c r="H988" s="303"/>
      <c r="I988" s="303"/>
      <c r="J988" s="303"/>
      <c r="K988" s="303"/>
      <c r="L988" s="303"/>
      <c r="M988" s="303"/>
      <c r="N988" s="303"/>
      <c r="O988" s="303"/>
      <c r="P988" s="303"/>
      <c r="Q988" s="303"/>
      <c r="R988" s="303"/>
      <c r="S988" s="303"/>
      <c r="T988" s="303"/>
      <c r="U988" s="303"/>
      <c r="V988" s="303"/>
      <c r="W988" s="303"/>
      <c r="X988" s="303"/>
      <c r="Y988" s="303"/>
      <c r="Z988" s="303"/>
    </row>
    <row r="989">
      <c r="A989" s="303"/>
      <c r="B989" s="303"/>
      <c r="C989" s="303"/>
      <c r="D989" s="303"/>
      <c r="E989" s="303"/>
      <c r="F989" s="303"/>
      <c r="G989" s="303"/>
      <c r="H989" s="303"/>
      <c r="I989" s="303"/>
      <c r="J989" s="303"/>
      <c r="K989" s="303"/>
      <c r="L989" s="303"/>
      <c r="M989" s="303"/>
      <c r="N989" s="303"/>
      <c r="O989" s="303"/>
      <c r="P989" s="303"/>
      <c r="Q989" s="303"/>
      <c r="R989" s="303"/>
      <c r="S989" s="303"/>
      <c r="T989" s="303"/>
      <c r="U989" s="303"/>
      <c r="V989" s="303"/>
      <c r="W989" s="303"/>
      <c r="X989" s="303"/>
      <c r="Y989" s="303"/>
      <c r="Z989" s="303"/>
    </row>
    <row r="990">
      <c r="A990" s="303"/>
      <c r="B990" s="303"/>
      <c r="C990" s="303"/>
      <c r="D990" s="303"/>
      <c r="E990" s="303"/>
      <c r="F990" s="303"/>
      <c r="G990" s="303"/>
      <c r="H990" s="303"/>
      <c r="I990" s="303"/>
      <c r="J990" s="303"/>
      <c r="K990" s="303"/>
      <c r="L990" s="303"/>
      <c r="M990" s="303"/>
      <c r="N990" s="303"/>
      <c r="O990" s="303"/>
      <c r="P990" s="303"/>
      <c r="Q990" s="303"/>
      <c r="R990" s="303"/>
      <c r="S990" s="303"/>
      <c r="T990" s="303"/>
      <c r="U990" s="303"/>
      <c r="V990" s="303"/>
      <c r="W990" s="303"/>
      <c r="X990" s="303"/>
      <c r="Y990" s="303"/>
      <c r="Z990" s="303"/>
    </row>
    <row r="991">
      <c r="A991" s="303"/>
      <c r="B991" s="303"/>
      <c r="C991" s="303"/>
      <c r="D991" s="303"/>
      <c r="E991" s="303"/>
      <c r="F991" s="303"/>
      <c r="G991" s="303"/>
      <c r="H991" s="303"/>
      <c r="I991" s="303"/>
      <c r="J991" s="303"/>
      <c r="K991" s="303"/>
      <c r="L991" s="303"/>
      <c r="M991" s="303"/>
      <c r="N991" s="303"/>
      <c r="O991" s="303"/>
      <c r="P991" s="303"/>
      <c r="Q991" s="303"/>
      <c r="R991" s="303"/>
      <c r="S991" s="303"/>
      <c r="T991" s="303"/>
      <c r="U991" s="303"/>
      <c r="V991" s="303"/>
      <c r="W991" s="303"/>
      <c r="X991" s="303"/>
      <c r="Y991" s="303"/>
      <c r="Z991" s="303"/>
    </row>
    <row r="992">
      <c r="A992" s="303"/>
      <c r="B992" s="303"/>
      <c r="C992" s="303"/>
      <c r="D992" s="303"/>
      <c r="E992" s="303"/>
      <c r="F992" s="303"/>
      <c r="G992" s="303"/>
      <c r="H992" s="303"/>
      <c r="I992" s="303"/>
      <c r="J992" s="303"/>
      <c r="K992" s="303"/>
      <c r="L992" s="303"/>
      <c r="M992" s="303"/>
      <c r="N992" s="303"/>
      <c r="O992" s="303"/>
      <c r="P992" s="303"/>
      <c r="Q992" s="303"/>
      <c r="R992" s="303"/>
      <c r="S992" s="303"/>
      <c r="T992" s="303"/>
      <c r="U992" s="303"/>
      <c r="V992" s="303"/>
      <c r="W992" s="303"/>
      <c r="X992" s="303"/>
      <c r="Y992" s="303"/>
      <c r="Z992" s="303"/>
    </row>
    <row r="993">
      <c r="A993" s="303"/>
      <c r="B993" s="303"/>
      <c r="C993" s="303"/>
      <c r="D993" s="303"/>
      <c r="E993" s="303"/>
      <c r="F993" s="303"/>
      <c r="G993" s="303"/>
      <c r="H993" s="303"/>
      <c r="I993" s="303"/>
      <c r="J993" s="303"/>
      <c r="K993" s="303"/>
      <c r="L993" s="303"/>
      <c r="M993" s="303"/>
      <c r="N993" s="303"/>
      <c r="O993" s="303"/>
      <c r="P993" s="303"/>
      <c r="Q993" s="303"/>
      <c r="R993" s="303"/>
      <c r="S993" s="303"/>
      <c r="T993" s="303"/>
      <c r="U993" s="303"/>
      <c r="V993" s="303"/>
      <c r="W993" s="303"/>
      <c r="X993" s="303"/>
      <c r="Y993" s="303"/>
      <c r="Z993" s="303"/>
    </row>
    <row r="994">
      <c r="A994" s="303"/>
      <c r="B994" s="303"/>
      <c r="C994" s="303"/>
      <c r="D994" s="303"/>
      <c r="E994" s="303"/>
      <c r="F994" s="303"/>
      <c r="G994" s="303"/>
      <c r="H994" s="303"/>
      <c r="I994" s="303"/>
      <c r="J994" s="303"/>
      <c r="K994" s="303"/>
      <c r="L994" s="303"/>
      <c r="M994" s="303"/>
      <c r="N994" s="303"/>
      <c r="O994" s="303"/>
      <c r="P994" s="303"/>
      <c r="Q994" s="303"/>
      <c r="R994" s="303"/>
      <c r="S994" s="303"/>
      <c r="T994" s="303"/>
      <c r="U994" s="303"/>
      <c r="V994" s="303"/>
      <c r="W994" s="303"/>
      <c r="X994" s="303"/>
      <c r="Y994" s="303"/>
      <c r="Z994" s="303"/>
    </row>
    <row r="995">
      <c r="A995" s="303"/>
      <c r="B995" s="303"/>
      <c r="C995" s="303"/>
      <c r="D995" s="303"/>
      <c r="E995" s="303"/>
      <c r="F995" s="303"/>
      <c r="G995" s="303"/>
      <c r="H995" s="303"/>
      <c r="I995" s="303"/>
      <c r="J995" s="303"/>
      <c r="K995" s="303"/>
      <c r="L995" s="303"/>
      <c r="M995" s="303"/>
      <c r="N995" s="303"/>
      <c r="O995" s="303"/>
      <c r="P995" s="303"/>
      <c r="Q995" s="303"/>
      <c r="R995" s="303"/>
      <c r="S995" s="303"/>
      <c r="T995" s="303"/>
      <c r="U995" s="303"/>
      <c r="V995" s="303"/>
      <c r="W995" s="303"/>
      <c r="X995" s="303"/>
      <c r="Y995" s="303"/>
      <c r="Z995" s="303"/>
    </row>
    <row r="996">
      <c r="A996" s="303"/>
      <c r="B996" s="303"/>
      <c r="C996" s="303"/>
      <c r="D996" s="303"/>
      <c r="E996" s="303"/>
      <c r="F996" s="303"/>
      <c r="G996" s="303"/>
      <c r="H996" s="303"/>
      <c r="I996" s="303"/>
      <c r="J996" s="303"/>
      <c r="K996" s="303"/>
      <c r="L996" s="303"/>
      <c r="M996" s="303"/>
      <c r="N996" s="303"/>
      <c r="O996" s="303"/>
      <c r="P996" s="303"/>
      <c r="Q996" s="303"/>
      <c r="R996" s="303"/>
      <c r="S996" s="303"/>
      <c r="T996" s="303"/>
      <c r="U996" s="303"/>
      <c r="V996" s="303"/>
      <c r="W996" s="303"/>
      <c r="X996" s="303"/>
      <c r="Y996" s="303"/>
      <c r="Z996" s="303"/>
    </row>
    <row r="997">
      <c r="A997" s="303"/>
      <c r="B997" s="303"/>
      <c r="C997" s="303"/>
      <c r="D997" s="303"/>
      <c r="E997" s="303"/>
      <c r="F997" s="303"/>
      <c r="G997" s="303"/>
      <c r="H997" s="303"/>
      <c r="I997" s="303"/>
      <c r="J997" s="303"/>
      <c r="K997" s="303"/>
      <c r="L997" s="303"/>
      <c r="M997" s="303"/>
      <c r="N997" s="303"/>
      <c r="O997" s="303"/>
      <c r="P997" s="303"/>
      <c r="Q997" s="303"/>
      <c r="R997" s="303"/>
      <c r="S997" s="303"/>
      <c r="T997" s="303"/>
      <c r="U997" s="303"/>
      <c r="V997" s="303"/>
      <c r="W997" s="303"/>
      <c r="X997" s="303"/>
      <c r="Y997" s="303"/>
      <c r="Z997" s="303"/>
    </row>
    <row r="998">
      <c r="A998" s="303"/>
      <c r="B998" s="303"/>
      <c r="C998" s="303"/>
      <c r="D998" s="303"/>
      <c r="E998" s="303"/>
      <c r="F998" s="303"/>
      <c r="G998" s="303"/>
      <c r="H998" s="303"/>
      <c r="I998" s="303"/>
      <c r="J998" s="303"/>
      <c r="K998" s="303"/>
      <c r="L998" s="303"/>
      <c r="M998" s="303"/>
      <c r="N998" s="303"/>
      <c r="O998" s="303"/>
      <c r="P998" s="303"/>
      <c r="Q998" s="303"/>
      <c r="R998" s="303"/>
      <c r="S998" s="303"/>
      <c r="T998" s="303"/>
      <c r="U998" s="303"/>
      <c r="V998" s="303"/>
      <c r="W998" s="303"/>
      <c r="X998" s="303"/>
      <c r="Y998" s="303"/>
      <c r="Z998" s="303"/>
    </row>
    <row r="999">
      <c r="A999" s="303"/>
      <c r="B999" s="303"/>
      <c r="C999" s="303"/>
      <c r="D999" s="303"/>
      <c r="E999" s="303"/>
      <c r="F999" s="303"/>
      <c r="G999" s="303"/>
      <c r="H999" s="303"/>
      <c r="I999" s="303"/>
      <c r="J999" s="303"/>
      <c r="K999" s="303"/>
      <c r="L999" s="303"/>
      <c r="M999" s="303"/>
      <c r="N999" s="303"/>
      <c r="O999" s="303"/>
      <c r="P999" s="303"/>
      <c r="Q999" s="303"/>
      <c r="R999" s="303"/>
      <c r="S999" s="303"/>
      <c r="T999" s="303"/>
      <c r="U999" s="303"/>
      <c r="V999" s="303"/>
      <c r="W999" s="303"/>
      <c r="X999" s="303"/>
      <c r="Y999" s="303"/>
      <c r="Z999" s="303"/>
    </row>
    <row r="1000">
      <c r="A1000" s="303"/>
      <c r="B1000" s="303"/>
      <c r="C1000" s="303"/>
      <c r="D1000" s="303"/>
      <c r="E1000" s="303"/>
      <c r="F1000" s="303"/>
      <c r="G1000" s="303"/>
      <c r="H1000" s="303"/>
      <c r="I1000" s="303"/>
      <c r="J1000" s="303"/>
      <c r="K1000" s="303"/>
      <c r="L1000" s="303"/>
      <c r="M1000" s="303"/>
      <c r="N1000" s="303"/>
      <c r="O1000" s="303"/>
      <c r="P1000" s="303"/>
      <c r="Q1000" s="303"/>
      <c r="R1000" s="303"/>
      <c r="S1000" s="303"/>
      <c r="T1000" s="303"/>
      <c r="U1000" s="303"/>
      <c r="V1000" s="303"/>
      <c r="W1000" s="303"/>
      <c r="X1000" s="303"/>
      <c r="Y1000" s="303"/>
      <c r="Z1000" s="303"/>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5" max="15" width="29.29"/>
    <col customWidth="1" min="16" max="18" width="11.0"/>
  </cols>
  <sheetData>
    <row r="1">
      <c r="A1" s="326" t="s">
        <v>4708</v>
      </c>
      <c r="B1" s="327" t="s">
        <v>4709</v>
      </c>
      <c r="C1" s="327" t="s">
        <v>24</v>
      </c>
      <c r="D1" s="327" t="s">
        <v>25</v>
      </c>
      <c r="E1" s="327" t="s">
        <v>18</v>
      </c>
      <c r="F1" s="327" t="s">
        <v>4714</v>
      </c>
      <c r="G1" s="327" t="s">
        <v>10</v>
      </c>
      <c r="H1" s="327" t="s">
        <v>23</v>
      </c>
      <c r="I1" s="327" t="s">
        <v>4710</v>
      </c>
      <c r="J1" s="328" t="s">
        <v>4715</v>
      </c>
      <c r="K1" s="329" t="s">
        <v>4711</v>
      </c>
      <c r="L1" s="328" t="s">
        <v>4716</v>
      </c>
      <c r="M1" s="330" t="s">
        <v>4717</v>
      </c>
      <c r="N1" s="300"/>
      <c r="O1" s="301" t="s">
        <v>23</v>
      </c>
      <c r="P1" s="1" t="s">
        <v>0</v>
      </c>
      <c r="Q1" s="302" t="s">
        <v>21</v>
      </c>
      <c r="R1" s="302" t="s">
        <v>22</v>
      </c>
      <c r="S1" s="300"/>
      <c r="T1" s="331"/>
      <c r="U1" s="331"/>
      <c r="V1" s="331"/>
      <c r="W1" s="331"/>
      <c r="X1" s="331"/>
      <c r="Y1" s="331"/>
      <c r="Z1" s="331"/>
    </row>
    <row r="2">
      <c r="A2" s="332"/>
      <c r="B2" s="333"/>
      <c r="C2" s="333"/>
      <c r="D2" s="333"/>
      <c r="E2" s="333"/>
      <c r="F2" s="333"/>
      <c r="G2" s="333"/>
      <c r="H2" s="334"/>
      <c r="I2" s="333"/>
      <c r="J2" s="335"/>
      <c r="K2" s="336"/>
      <c r="L2" s="335"/>
      <c r="M2" s="337"/>
      <c r="N2" s="306"/>
      <c r="O2" s="307"/>
      <c r="P2" s="308"/>
      <c r="Q2" s="309"/>
      <c r="R2" s="309"/>
      <c r="S2" s="306"/>
      <c r="T2" s="331"/>
      <c r="U2" s="331"/>
      <c r="V2" s="331"/>
      <c r="W2" s="331"/>
      <c r="X2" s="331"/>
      <c r="Y2" s="331"/>
      <c r="Z2" s="331"/>
    </row>
    <row r="3">
      <c r="A3" s="332"/>
      <c r="B3" s="333"/>
      <c r="C3" s="333"/>
      <c r="D3" s="333"/>
      <c r="E3" s="333"/>
      <c r="F3" s="333"/>
      <c r="G3" s="333"/>
      <c r="H3" s="334"/>
      <c r="I3" s="333"/>
      <c r="J3" s="335"/>
      <c r="K3" s="336"/>
      <c r="L3" s="335"/>
      <c r="M3" s="337"/>
      <c r="N3" s="306"/>
      <c r="O3" s="307"/>
      <c r="P3" s="308"/>
      <c r="Q3" s="309"/>
      <c r="R3" s="309"/>
      <c r="S3" s="306"/>
      <c r="T3" s="331"/>
      <c r="U3" s="331"/>
      <c r="V3" s="331"/>
      <c r="W3" s="331"/>
      <c r="X3" s="331"/>
      <c r="Y3" s="331"/>
      <c r="Z3" s="331"/>
    </row>
    <row r="4">
      <c r="A4" s="332"/>
      <c r="B4" s="333"/>
      <c r="C4" s="333"/>
      <c r="D4" s="333"/>
      <c r="E4" s="333"/>
      <c r="F4" s="333"/>
      <c r="G4" s="333"/>
      <c r="H4" s="334"/>
      <c r="I4" s="333"/>
      <c r="J4" s="335"/>
      <c r="K4" s="336"/>
      <c r="L4" s="335"/>
      <c r="M4" s="337"/>
      <c r="N4" s="306"/>
      <c r="O4" s="307"/>
      <c r="P4" s="308"/>
      <c r="Q4" s="309"/>
      <c r="R4" s="309"/>
      <c r="S4" s="306"/>
      <c r="T4" s="331"/>
      <c r="U4" s="331"/>
      <c r="V4" s="331"/>
      <c r="W4" s="331"/>
      <c r="X4" s="331"/>
      <c r="Y4" s="331"/>
      <c r="Z4" s="331"/>
    </row>
    <row r="5">
      <c r="A5" s="332"/>
      <c r="B5" s="333"/>
      <c r="C5" s="333"/>
      <c r="D5" s="333"/>
      <c r="E5" s="333"/>
      <c r="F5" s="333"/>
      <c r="G5" s="333"/>
      <c r="H5" s="334"/>
      <c r="I5" s="333"/>
      <c r="J5" s="335"/>
      <c r="K5" s="336"/>
      <c r="L5" s="335"/>
      <c r="M5" s="337"/>
      <c r="N5" s="306"/>
      <c r="O5" s="307"/>
      <c r="P5" s="308"/>
      <c r="Q5" s="309"/>
      <c r="R5" s="309"/>
      <c r="S5" s="306"/>
      <c r="T5" s="331"/>
      <c r="U5" s="331"/>
      <c r="V5" s="331"/>
      <c r="W5" s="331"/>
      <c r="X5" s="331"/>
      <c r="Y5" s="331"/>
      <c r="Z5" s="331"/>
    </row>
    <row r="6">
      <c r="A6" s="332"/>
      <c r="B6" s="333"/>
      <c r="C6" s="333"/>
      <c r="D6" s="333"/>
      <c r="E6" s="333"/>
      <c r="F6" s="333"/>
      <c r="G6" s="333"/>
      <c r="H6" s="334"/>
      <c r="I6" s="333"/>
      <c r="J6" s="335"/>
      <c r="K6" s="336"/>
      <c r="L6" s="335"/>
      <c r="M6" s="337"/>
      <c r="N6" s="306"/>
      <c r="O6" s="307"/>
      <c r="P6" s="308"/>
      <c r="Q6" s="309"/>
      <c r="R6" s="309"/>
      <c r="S6" s="306"/>
      <c r="T6" s="331"/>
      <c r="U6" s="331"/>
      <c r="V6" s="331"/>
      <c r="W6" s="331"/>
      <c r="X6" s="331"/>
      <c r="Y6" s="331"/>
      <c r="Z6" s="331"/>
    </row>
    <row r="7">
      <c r="A7" s="332"/>
      <c r="B7" s="333"/>
      <c r="C7" s="333"/>
      <c r="D7" s="333"/>
      <c r="E7" s="333"/>
      <c r="F7" s="333"/>
      <c r="G7" s="333"/>
      <c r="H7" s="334"/>
      <c r="I7" s="333"/>
      <c r="J7" s="335"/>
      <c r="K7" s="336"/>
      <c r="L7" s="335"/>
      <c r="M7" s="337"/>
      <c r="N7" s="306"/>
      <c r="O7" s="307"/>
      <c r="P7" s="308"/>
      <c r="Q7" s="309"/>
      <c r="R7" s="309"/>
      <c r="S7" s="306"/>
      <c r="T7" s="331"/>
      <c r="U7" s="331"/>
      <c r="V7" s="331"/>
      <c r="W7" s="331"/>
      <c r="X7" s="331"/>
      <c r="Y7" s="331"/>
      <c r="Z7" s="331"/>
    </row>
    <row r="8">
      <c r="A8" s="332"/>
      <c r="B8" s="333"/>
      <c r="C8" s="333"/>
      <c r="D8" s="333"/>
      <c r="E8" s="333"/>
      <c r="F8" s="333"/>
      <c r="G8" s="333"/>
      <c r="H8" s="334"/>
      <c r="I8" s="333"/>
      <c r="J8" s="335"/>
      <c r="K8" s="336"/>
      <c r="L8" s="335"/>
      <c r="M8" s="337"/>
      <c r="N8" s="306"/>
      <c r="O8" s="307"/>
      <c r="P8" s="308"/>
      <c r="Q8" s="309"/>
      <c r="R8" s="309"/>
      <c r="S8" s="306"/>
      <c r="T8" s="331"/>
      <c r="U8" s="331"/>
      <c r="V8" s="331"/>
      <c r="W8" s="331"/>
      <c r="X8" s="331"/>
      <c r="Y8" s="331"/>
      <c r="Z8" s="331"/>
    </row>
    <row r="9">
      <c r="A9" s="332"/>
      <c r="B9" s="333"/>
      <c r="C9" s="333"/>
      <c r="D9" s="333"/>
      <c r="E9" s="333"/>
      <c r="F9" s="333"/>
      <c r="G9" s="333"/>
      <c r="H9" s="334"/>
      <c r="I9" s="333"/>
      <c r="J9" s="335"/>
      <c r="K9" s="336"/>
      <c r="L9" s="335"/>
      <c r="M9" s="337"/>
      <c r="N9" s="306"/>
      <c r="O9" s="307"/>
      <c r="P9" s="308"/>
      <c r="Q9" s="309"/>
      <c r="R9" s="309"/>
      <c r="S9" s="306"/>
      <c r="T9" s="331"/>
      <c r="U9" s="331"/>
      <c r="V9" s="331"/>
      <c r="W9" s="331"/>
      <c r="X9" s="331"/>
      <c r="Y9" s="331"/>
      <c r="Z9" s="331"/>
    </row>
    <row r="10">
      <c r="A10" s="332"/>
      <c r="B10" s="333"/>
      <c r="C10" s="333"/>
      <c r="D10" s="333"/>
      <c r="E10" s="333"/>
      <c r="F10" s="333"/>
      <c r="G10" s="333"/>
      <c r="H10" s="334"/>
      <c r="I10" s="333"/>
      <c r="J10" s="335"/>
      <c r="K10" s="336"/>
      <c r="L10" s="335"/>
      <c r="M10" s="337"/>
      <c r="N10" s="306"/>
      <c r="O10" s="307"/>
      <c r="P10" s="308"/>
      <c r="Q10" s="309"/>
      <c r="R10" s="309"/>
      <c r="S10" s="306"/>
      <c r="T10" s="331"/>
      <c r="U10" s="331"/>
      <c r="V10" s="331"/>
      <c r="W10" s="331"/>
      <c r="X10" s="331"/>
      <c r="Y10" s="331"/>
      <c r="Z10" s="331"/>
    </row>
    <row r="11">
      <c r="A11" s="332"/>
      <c r="B11" s="333"/>
      <c r="C11" s="333"/>
      <c r="D11" s="333"/>
      <c r="E11" s="333"/>
      <c r="F11" s="333"/>
      <c r="G11" s="333"/>
      <c r="H11" s="334"/>
      <c r="I11" s="333"/>
      <c r="J11" s="335"/>
      <c r="K11" s="336"/>
      <c r="L11" s="335"/>
      <c r="M11" s="337"/>
      <c r="N11" s="306"/>
      <c r="O11" s="307"/>
      <c r="P11" s="308"/>
      <c r="Q11" s="309"/>
      <c r="R11" s="309"/>
      <c r="S11" s="306"/>
      <c r="T11" s="331"/>
      <c r="U11" s="331"/>
      <c r="V11" s="331"/>
      <c r="W11" s="331"/>
      <c r="X11" s="331"/>
      <c r="Y11" s="331"/>
      <c r="Z11" s="331"/>
    </row>
    <row r="12">
      <c r="A12" s="332"/>
      <c r="B12" s="333"/>
      <c r="C12" s="333"/>
      <c r="D12" s="333"/>
      <c r="E12" s="333"/>
      <c r="F12" s="333"/>
      <c r="G12" s="333"/>
      <c r="H12" s="334"/>
      <c r="I12" s="333"/>
      <c r="J12" s="335"/>
      <c r="K12" s="336"/>
      <c r="L12" s="335"/>
      <c r="M12" s="337"/>
      <c r="N12" s="306"/>
      <c r="O12" s="307"/>
      <c r="P12" s="308"/>
      <c r="Q12" s="309"/>
      <c r="R12" s="309"/>
      <c r="S12" s="306"/>
      <c r="T12" s="331"/>
      <c r="U12" s="331"/>
      <c r="V12" s="331"/>
      <c r="W12" s="331"/>
      <c r="X12" s="331"/>
      <c r="Y12" s="331"/>
      <c r="Z12" s="331"/>
    </row>
    <row r="13">
      <c r="A13" s="332"/>
      <c r="B13" s="333"/>
      <c r="C13" s="333"/>
      <c r="D13" s="333"/>
      <c r="E13" s="333"/>
      <c r="F13" s="333"/>
      <c r="G13" s="333"/>
      <c r="H13" s="334"/>
      <c r="I13" s="333"/>
      <c r="J13" s="335"/>
      <c r="K13" s="336"/>
      <c r="L13" s="335"/>
      <c r="M13" s="337"/>
      <c r="N13" s="306"/>
      <c r="O13" s="307"/>
      <c r="P13" s="308"/>
      <c r="Q13" s="309"/>
      <c r="R13" s="309"/>
      <c r="S13" s="306"/>
      <c r="T13" s="331"/>
      <c r="U13" s="331"/>
      <c r="V13" s="331"/>
      <c r="W13" s="331"/>
      <c r="X13" s="331"/>
      <c r="Y13" s="331"/>
      <c r="Z13" s="331"/>
    </row>
    <row r="14">
      <c r="A14" s="332"/>
      <c r="B14" s="333"/>
      <c r="C14" s="333"/>
      <c r="D14" s="333"/>
      <c r="E14" s="333"/>
      <c r="F14" s="333"/>
      <c r="G14" s="333"/>
      <c r="H14" s="334"/>
      <c r="I14" s="333"/>
      <c r="J14" s="335"/>
      <c r="K14" s="336"/>
      <c r="L14" s="335"/>
      <c r="M14" s="337"/>
      <c r="N14" s="306"/>
      <c r="O14" s="307"/>
      <c r="P14" s="308"/>
      <c r="Q14" s="309"/>
      <c r="R14" s="309"/>
      <c r="S14" s="306"/>
      <c r="T14" s="331"/>
      <c r="U14" s="331"/>
      <c r="V14" s="331"/>
      <c r="W14" s="331"/>
      <c r="X14" s="331"/>
      <c r="Y14" s="331"/>
      <c r="Z14" s="331"/>
    </row>
    <row r="15">
      <c r="A15" s="332"/>
      <c r="B15" s="333"/>
      <c r="C15" s="333"/>
      <c r="D15" s="333"/>
      <c r="E15" s="333"/>
      <c r="F15" s="333"/>
      <c r="G15" s="333"/>
      <c r="H15" s="334"/>
      <c r="I15" s="333"/>
      <c r="J15" s="335"/>
      <c r="K15" s="336"/>
      <c r="L15" s="335"/>
      <c r="M15" s="337"/>
      <c r="N15" s="306"/>
      <c r="O15" s="307"/>
      <c r="P15" s="308"/>
      <c r="Q15" s="309"/>
      <c r="R15" s="309"/>
      <c r="S15" s="306"/>
      <c r="T15" s="331"/>
      <c r="U15" s="331"/>
      <c r="V15" s="331"/>
      <c r="W15" s="331"/>
      <c r="X15" s="331"/>
      <c r="Y15" s="331"/>
      <c r="Z15" s="331"/>
    </row>
    <row r="16">
      <c r="A16" s="332"/>
      <c r="B16" s="333"/>
      <c r="C16" s="333"/>
      <c r="D16" s="333"/>
      <c r="E16" s="333"/>
      <c r="F16" s="333"/>
      <c r="G16" s="333"/>
      <c r="H16" s="334"/>
      <c r="I16" s="333"/>
      <c r="J16" s="335"/>
      <c r="K16" s="336"/>
      <c r="L16" s="335"/>
      <c r="M16" s="337"/>
      <c r="N16" s="306"/>
      <c r="O16" s="307"/>
      <c r="P16" s="308"/>
      <c r="Q16" s="309"/>
      <c r="R16" s="309"/>
      <c r="S16" s="306"/>
      <c r="T16" s="331"/>
      <c r="U16" s="331"/>
      <c r="V16" s="331"/>
      <c r="W16" s="331"/>
      <c r="X16" s="331"/>
      <c r="Y16" s="331"/>
      <c r="Z16" s="331"/>
    </row>
    <row r="17">
      <c r="A17" s="332"/>
      <c r="B17" s="333"/>
      <c r="C17" s="333"/>
      <c r="D17" s="333"/>
      <c r="E17" s="333"/>
      <c r="F17" s="333"/>
      <c r="G17" s="333"/>
      <c r="H17" s="334"/>
      <c r="I17" s="333"/>
      <c r="J17" s="335"/>
      <c r="K17" s="336"/>
      <c r="L17" s="335"/>
      <c r="M17" s="337"/>
      <c r="N17" s="306"/>
      <c r="O17" s="307"/>
      <c r="P17" s="308"/>
      <c r="Q17" s="309"/>
      <c r="R17" s="309"/>
      <c r="S17" s="306"/>
      <c r="T17" s="331"/>
      <c r="U17" s="331"/>
      <c r="V17" s="331"/>
      <c r="W17" s="331"/>
      <c r="X17" s="331"/>
      <c r="Y17" s="331"/>
      <c r="Z17" s="331"/>
    </row>
    <row r="18">
      <c r="A18" s="331"/>
      <c r="B18" s="331"/>
      <c r="C18" s="331"/>
      <c r="D18" s="331"/>
      <c r="E18" s="331"/>
      <c r="F18" s="331"/>
      <c r="G18" s="331"/>
      <c r="H18" s="331"/>
      <c r="I18" s="331"/>
      <c r="J18" s="338"/>
      <c r="K18" s="339"/>
      <c r="L18" s="338"/>
      <c r="M18" s="331"/>
      <c r="N18" s="306"/>
      <c r="O18" s="307"/>
      <c r="P18" s="308"/>
      <c r="Q18" s="309"/>
      <c r="R18" s="309"/>
      <c r="S18" s="306"/>
      <c r="T18" s="331"/>
      <c r="U18" s="331"/>
      <c r="V18" s="331"/>
      <c r="W18" s="331"/>
      <c r="X18" s="331"/>
      <c r="Y18" s="331"/>
      <c r="Z18" s="331"/>
    </row>
    <row r="19">
      <c r="A19" s="331"/>
      <c r="B19" s="331"/>
      <c r="C19" s="331"/>
      <c r="D19" s="331"/>
      <c r="E19" s="331"/>
      <c r="F19" s="331"/>
      <c r="G19" s="331"/>
      <c r="H19" s="331"/>
      <c r="I19" s="331"/>
      <c r="J19" s="338"/>
      <c r="K19" s="339"/>
      <c r="L19" s="338"/>
      <c r="M19" s="331"/>
      <c r="N19" s="306"/>
      <c r="O19" s="307"/>
      <c r="P19" s="308"/>
      <c r="Q19" s="309"/>
      <c r="R19" s="309"/>
      <c r="S19" s="306"/>
      <c r="T19" s="331"/>
      <c r="U19" s="331"/>
      <c r="V19" s="331"/>
      <c r="W19" s="331"/>
      <c r="X19" s="331"/>
      <c r="Y19" s="331"/>
      <c r="Z19" s="331"/>
    </row>
    <row r="20">
      <c r="A20" s="331"/>
      <c r="B20" s="331"/>
      <c r="C20" s="331"/>
      <c r="D20" s="331"/>
      <c r="E20" s="331"/>
      <c r="F20" s="331"/>
      <c r="G20" s="331"/>
      <c r="H20" s="331"/>
      <c r="I20" s="331"/>
      <c r="J20" s="338"/>
      <c r="K20" s="339"/>
      <c r="L20" s="338"/>
      <c r="M20" s="331"/>
      <c r="N20" s="306"/>
      <c r="O20" s="307"/>
      <c r="P20" s="308"/>
      <c r="Q20" s="309"/>
      <c r="R20" s="309"/>
      <c r="S20" s="306"/>
      <c r="T20" s="331"/>
      <c r="U20" s="331"/>
      <c r="V20" s="331"/>
      <c r="W20" s="331"/>
      <c r="X20" s="331"/>
      <c r="Y20" s="331"/>
      <c r="Z20" s="331"/>
    </row>
    <row r="21">
      <c r="A21" s="331"/>
      <c r="B21" s="331"/>
      <c r="C21" s="331"/>
      <c r="D21" s="331"/>
      <c r="E21" s="331"/>
      <c r="F21" s="331"/>
      <c r="G21" s="331"/>
      <c r="H21" s="331"/>
      <c r="I21" s="331"/>
      <c r="J21" s="338"/>
      <c r="K21" s="339"/>
      <c r="L21" s="338"/>
      <c r="M21" s="331"/>
      <c r="N21" s="306"/>
      <c r="O21" s="307"/>
      <c r="P21" s="308"/>
      <c r="Q21" s="309"/>
      <c r="R21" s="309"/>
      <c r="S21" s="306"/>
      <c r="T21" s="331"/>
      <c r="U21" s="331"/>
      <c r="V21" s="331"/>
      <c r="W21" s="331"/>
      <c r="X21" s="331"/>
      <c r="Y21" s="331"/>
      <c r="Z21" s="331"/>
    </row>
    <row r="22">
      <c r="A22" s="331"/>
      <c r="B22" s="331"/>
      <c r="C22" s="331"/>
      <c r="D22" s="331"/>
      <c r="E22" s="331"/>
      <c r="F22" s="331"/>
      <c r="G22" s="331"/>
      <c r="H22" s="331"/>
      <c r="I22" s="331"/>
      <c r="J22" s="338"/>
      <c r="K22" s="339"/>
      <c r="L22" s="338"/>
      <c r="M22" s="331"/>
      <c r="N22" s="306"/>
      <c r="O22" s="307"/>
      <c r="P22" s="308"/>
      <c r="Q22" s="309"/>
      <c r="R22" s="309"/>
      <c r="S22" s="306"/>
      <c r="T22" s="331"/>
      <c r="U22" s="331"/>
      <c r="V22" s="331"/>
      <c r="W22" s="331"/>
      <c r="X22" s="331"/>
      <c r="Y22" s="331"/>
      <c r="Z22" s="331"/>
    </row>
    <row r="23">
      <c r="A23" s="331"/>
      <c r="B23" s="331"/>
      <c r="C23" s="331"/>
      <c r="D23" s="331"/>
      <c r="E23" s="331"/>
      <c r="F23" s="331"/>
      <c r="G23" s="331"/>
      <c r="H23" s="331"/>
      <c r="I23" s="331"/>
      <c r="J23" s="338"/>
      <c r="K23" s="339"/>
      <c r="L23" s="338"/>
      <c r="M23" s="331"/>
      <c r="N23" s="306"/>
      <c r="O23" s="307"/>
      <c r="P23" s="308"/>
      <c r="Q23" s="309"/>
      <c r="R23" s="309"/>
      <c r="S23" s="306"/>
      <c r="T23" s="331"/>
      <c r="U23" s="331"/>
      <c r="V23" s="331"/>
      <c r="W23" s="331"/>
      <c r="X23" s="331"/>
      <c r="Y23" s="331"/>
      <c r="Z23" s="331"/>
    </row>
    <row r="24">
      <c r="A24" s="331"/>
      <c r="B24" s="331"/>
      <c r="C24" s="331"/>
      <c r="D24" s="331"/>
      <c r="E24" s="331"/>
      <c r="F24" s="331"/>
      <c r="G24" s="331"/>
      <c r="H24" s="331"/>
      <c r="I24" s="331"/>
      <c r="J24" s="338"/>
      <c r="K24" s="339"/>
      <c r="L24" s="338"/>
      <c r="M24" s="331"/>
      <c r="N24" s="306"/>
      <c r="O24" s="307"/>
      <c r="P24" s="308"/>
      <c r="Q24" s="309"/>
      <c r="R24" s="309"/>
      <c r="S24" s="306"/>
      <c r="T24" s="331"/>
      <c r="U24" s="331"/>
      <c r="V24" s="331"/>
      <c r="W24" s="331"/>
      <c r="X24" s="331"/>
      <c r="Y24" s="331"/>
      <c r="Z24" s="331"/>
    </row>
    <row r="25">
      <c r="A25" s="331"/>
      <c r="B25" s="331"/>
      <c r="C25" s="331"/>
      <c r="D25" s="331"/>
      <c r="E25" s="331"/>
      <c r="F25" s="331"/>
      <c r="G25" s="331"/>
      <c r="H25" s="331"/>
      <c r="I25" s="331"/>
      <c r="J25" s="338"/>
      <c r="K25" s="339"/>
      <c r="L25" s="338"/>
      <c r="M25" s="331"/>
      <c r="N25" s="306"/>
      <c r="O25" s="307"/>
      <c r="P25" s="308"/>
      <c r="Q25" s="309"/>
      <c r="R25" s="309"/>
      <c r="S25" s="306"/>
      <c r="T25" s="331"/>
      <c r="U25" s="331"/>
      <c r="V25" s="331"/>
      <c r="W25" s="331"/>
      <c r="X25" s="331"/>
      <c r="Y25" s="331"/>
      <c r="Z25" s="331"/>
    </row>
    <row r="26">
      <c r="A26" s="331"/>
      <c r="B26" s="331"/>
      <c r="C26" s="331"/>
      <c r="D26" s="331"/>
      <c r="E26" s="331"/>
      <c r="F26" s="331"/>
      <c r="G26" s="331"/>
      <c r="H26" s="331"/>
      <c r="I26" s="331"/>
      <c r="J26" s="338"/>
      <c r="K26" s="339"/>
      <c r="L26" s="338"/>
      <c r="M26" s="331"/>
      <c r="N26" s="306"/>
      <c r="O26" s="307"/>
      <c r="P26" s="308"/>
      <c r="Q26" s="309"/>
      <c r="R26" s="309"/>
      <c r="S26" s="306"/>
      <c r="T26" s="331"/>
      <c r="U26" s="331"/>
      <c r="V26" s="331"/>
      <c r="W26" s="331"/>
      <c r="X26" s="331"/>
      <c r="Y26" s="331"/>
      <c r="Z26" s="331"/>
    </row>
    <row r="27">
      <c r="A27" s="331"/>
      <c r="B27" s="331"/>
      <c r="C27" s="331"/>
      <c r="D27" s="331"/>
      <c r="E27" s="331"/>
      <c r="F27" s="331"/>
      <c r="G27" s="331"/>
      <c r="H27" s="331"/>
      <c r="I27" s="331"/>
      <c r="J27" s="338"/>
      <c r="K27" s="339"/>
      <c r="L27" s="338"/>
      <c r="M27" s="331"/>
      <c r="N27" s="306"/>
      <c r="O27" s="307"/>
      <c r="P27" s="308"/>
      <c r="Q27" s="309"/>
      <c r="R27" s="309"/>
      <c r="S27" s="306"/>
      <c r="T27" s="331"/>
      <c r="U27" s="331"/>
      <c r="V27" s="331"/>
      <c r="W27" s="331"/>
      <c r="X27" s="331"/>
      <c r="Y27" s="331"/>
      <c r="Z27" s="331"/>
    </row>
    <row r="28">
      <c r="A28" s="331"/>
      <c r="B28" s="331"/>
      <c r="C28" s="331"/>
      <c r="D28" s="331"/>
      <c r="E28" s="331"/>
      <c r="F28" s="331"/>
      <c r="G28" s="331"/>
      <c r="H28" s="331"/>
      <c r="I28" s="331"/>
      <c r="J28" s="338"/>
      <c r="K28" s="339"/>
      <c r="L28" s="338"/>
      <c r="M28" s="331"/>
      <c r="N28" s="306"/>
      <c r="O28" s="307"/>
      <c r="P28" s="308"/>
      <c r="Q28" s="309"/>
      <c r="R28" s="309"/>
      <c r="S28" s="306"/>
      <c r="T28" s="331"/>
      <c r="U28" s="331"/>
      <c r="V28" s="331"/>
      <c r="W28" s="331"/>
      <c r="X28" s="331"/>
      <c r="Y28" s="331"/>
      <c r="Z28" s="331"/>
    </row>
    <row r="29">
      <c r="A29" s="331"/>
      <c r="B29" s="331"/>
      <c r="C29" s="331"/>
      <c r="D29" s="331"/>
      <c r="E29" s="331"/>
      <c r="F29" s="331"/>
      <c r="G29" s="331"/>
      <c r="H29" s="331"/>
      <c r="I29" s="331"/>
      <c r="J29" s="338"/>
      <c r="K29" s="339"/>
      <c r="L29" s="338"/>
      <c r="M29" s="331"/>
      <c r="N29" s="306"/>
      <c r="O29" s="307"/>
      <c r="P29" s="308"/>
      <c r="Q29" s="309"/>
      <c r="R29" s="309"/>
      <c r="S29" s="306"/>
      <c r="T29" s="331"/>
      <c r="U29" s="331"/>
      <c r="V29" s="331"/>
      <c r="W29" s="331"/>
      <c r="X29" s="331"/>
      <c r="Y29" s="331"/>
      <c r="Z29" s="331"/>
    </row>
    <row r="30">
      <c r="A30" s="331"/>
      <c r="B30" s="331"/>
      <c r="C30" s="331"/>
      <c r="D30" s="331"/>
      <c r="E30" s="331"/>
      <c r="F30" s="331"/>
      <c r="G30" s="331"/>
      <c r="H30" s="331"/>
      <c r="I30" s="331"/>
      <c r="J30" s="338"/>
      <c r="K30" s="339"/>
      <c r="L30" s="338"/>
      <c r="M30" s="331"/>
      <c r="N30" s="306"/>
      <c r="O30" s="307"/>
      <c r="P30" s="308"/>
      <c r="Q30" s="309"/>
      <c r="R30" s="309"/>
      <c r="S30" s="306"/>
      <c r="T30" s="331"/>
      <c r="U30" s="331"/>
      <c r="V30" s="331"/>
      <c r="W30" s="331"/>
      <c r="X30" s="331"/>
      <c r="Y30" s="331"/>
      <c r="Z30" s="331"/>
    </row>
    <row r="31">
      <c r="A31" s="331"/>
      <c r="B31" s="331"/>
      <c r="C31" s="331"/>
      <c r="D31" s="331"/>
      <c r="E31" s="331"/>
      <c r="F31" s="331"/>
      <c r="G31" s="331"/>
      <c r="H31" s="331"/>
      <c r="I31" s="331"/>
      <c r="J31" s="338"/>
      <c r="K31" s="339"/>
      <c r="L31" s="338"/>
      <c r="M31" s="331"/>
      <c r="N31" s="306"/>
      <c r="O31" s="307"/>
      <c r="P31" s="308"/>
      <c r="Q31" s="309"/>
      <c r="R31" s="309"/>
      <c r="S31" s="306"/>
      <c r="T31" s="331"/>
      <c r="U31" s="331"/>
      <c r="V31" s="331"/>
      <c r="W31" s="331"/>
      <c r="X31" s="331"/>
      <c r="Y31" s="331"/>
      <c r="Z31" s="331"/>
    </row>
    <row r="32">
      <c r="A32" s="331"/>
      <c r="B32" s="331"/>
      <c r="C32" s="331"/>
      <c r="D32" s="331"/>
      <c r="E32" s="331"/>
      <c r="F32" s="331"/>
      <c r="G32" s="331"/>
      <c r="H32" s="331"/>
      <c r="I32" s="331"/>
      <c r="J32" s="338"/>
      <c r="K32" s="339"/>
      <c r="L32" s="338"/>
      <c r="M32" s="331"/>
      <c r="N32" s="306"/>
      <c r="O32" s="307"/>
      <c r="P32" s="308"/>
      <c r="Q32" s="309"/>
      <c r="R32" s="309"/>
      <c r="S32" s="306"/>
      <c r="T32" s="331"/>
      <c r="U32" s="331"/>
      <c r="V32" s="331"/>
      <c r="W32" s="331"/>
      <c r="X32" s="331"/>
      <c r="Y32" s="331"/>
      <c r="Z32" s="331"/>
    </row>
    <row r="33">
      <c r="A33" s="331"/>
      <c r="B33" s="331"/>
      <c r="C33" s="331"/>
      <c r="D33" s="331"/>
      <c r="E33" s="331"/>
      <c r="F33" s="331"/>
      <c r="G33" s="331"/>
      <c r="H33" s="331"/>
      <c r="I33" s="331"/>
      <c r="J33" s="338"/>
      <c r="K33" s="339"/>
      <c r="L33" s="338"/>
      <c r="M33" s="331"/>
      <c r="N33" s="306"/>
      <c r="O33" s="307"/>
      <c r="P33" s="308"/>
      <c r="Q33" s="309"/>
      <c r="R33" s="309"/>
      <c r="S33" s="306"/>
      <c r="T33" s="331"/>
      <c r="U33" s="331"/>
      <c r="V33" s="331"/>
      <c r="W33" s="331"/>
      <c r="X33" s="331"/>
      <c r="Y33" s="331"/>
      <c r="Z33" s="331"/>
    </row>
    <row r="34">
      <c r="A34" s="331"/>
      <c r="B34" s="331"/>
      <c r="C34" s="331"/>
      <c r="D34" s="331"/>
      <c r="E34" s="331"/>
      <c r="F34" s="331"/>
      <c r="G34" s="331"/>
      <c r="H34" s="331"/>
      <c r="I34" s="331"/>
      <c r="J34" s="338"/>
      <c r="K34" s="339"/>
      <c r="L34" s="338"/>
      <c r="M34" s="331"/>
      <c r="N34" s="306"/>
      <c r="O34" s="307"/>
      <c r="P34" s="308"/>
      <c r="Q34" s="309"/>
      <c r="R34" s="309"/>
      <c r="S34" s="306"/>
      <c r="T34" s="331"/>
      <c r="U34" s="331"/>
      <c r="V34" s="331"/>
      <c r="W34" s="331"/>
      <c r="X34" s="331"/>
      <c r="Y34" s="331"/>
      <c r="Z34" s="331"/>
    </row>
    <row r="35">
      <c r="A35" s="331"/>
      <c r="B35" s="331"/>
      <c r="C35" s="331"/>
      <c r="D35" s="331"/>
      <c r="E35" s="331"/>
      <c r="F35" s="331"/>
      <c r="G35" s="331"/>
      <c r="H35" s="331"/>
      <c r="I35" s="331"/>
      <c r="J35" s="338"/>
      <c r="K35" s="339"/>
      <c r="L35" s="338"/>
      <c r="M35" s="331"/>
      <c r="N35" s="306"/>
      <c r="O35" s="307"/>
      <c r="P35" s="308"/>
      <c r="Q35" s="309"/>
      <c r="R35" s="309"/>
      <c r="S35" s="306"/>
      <c r="T35" s="331"/>
      <c r="U35" s="331"/>
      <c r="V35" s="331"/>
      <c r="W35" s="331"/>
      <c r="X35" s="331"/>
      <c r="Y35" s="331"/>
      <c r="Z35" s="331"/>
    </row>
    <row r="36">
      <c r="A36" s="331"/>
      <c r="B36" s="331"/>
      <c r="C36" s="331"/>
      <c r="D36" s="331"/>
      <c r="E36" s="331"/>
      <c r="F36" s="331"/>
      <c r="G36" s="331"/>
      <c r="H36" s="331"/>
      <c r="I36" s="331"/>
      <c r="J36" s="338"/>
      <c r="K36" s="339"/>
      <c r="L36" s="338"/>
      <c r="M36" s="331"/>
      <c r="N36" s="306"/>
      <c r="O36" s="307"/>
      <c r="P36" s="308"/>
      <c r="Q36" s="309"/>
      <c r="R36" s="309"/>
      <c r="S36" s="306"/>
      <c r="T36" s="331"/>
      <c r="U36" s="331"/>
      <c r="V36" s="331"/>
      <c r="W36" s="331"/>
      <c r="X36" s="331"/>
      <c r="Y36" s="331"/>
      <c r="Z36" s="331"/>
    </row>
    <row r="37">
      <c r="A37" s="331"/>
      <c r="B37" s="331"/>
      <c r="C37" s="331"/>
      <c r="D37" s="331"/>
      <c r="E37" s="331"/>
      <c r="F37" s="331"/>
      <c r="G37" s="331"/>
      <c r="H37" s="331"/>
      <c r="I37" s="331"/>
      <c r="J37" s="338"/>
      <c r="K37" s="339"/>
      <c r="L37" s="338"/>
      <c r="M37" s="331"/>
      <c r="N37" s="306"/>
      <c r="O37" s="307"/>
      <c r="P37" s="308"/>
      <c r="Q37" s="309"/>
      <c r="R37" s="309"/>
      <c r="S37" s="306"/>
      <c r="T37" s="331"/>
      <c r="U37" s="331"/>
      <c r="V37" s="331"/>
      <c r="W37" s="331"/>
      <c r="X37" s="331"/>
      <c r="Y37" s="331"/>
      <c r="Z37" s="331"/>
    </row>
    <row r="38">
      <c r="A38" s="331"/>
      <c r="B38" s="331"/>
      <c r="C38" s="331"/>
      <c r="D38" s="331"/>
      <c r="E38" s="331"/>
      <c r="F38" s="331"/>
      <c r="G38" s="331"/>
      <c r="H38" s="331"/>
      <c r="I38" s="331"/>
      <c r="J38" s="338"/>
      <c r="K38" s="339"/>
      <c r="L38" s="338"/>
      <c r="M38" s="331"/>
      <c r="N38" s="306"/>
      <c r="O38" s="307"/>
      <c r="P38" s="308"/>
      <c r="Q38" s="309"/>
      <c r="R38" s="309"/>
      <c r="S38" s="306"/>
      <c r="T38" s="331"/>
      <c r="U38" s="331"/>
      <c r="V38" s="331"/>
      <c r="W38" s="331"/>
      <c r="X38" s="331"/>
      <c r="Y38" s="331"/>
      <c r="Z38" s="331"/>
    </row>
    <row r="39">
      <c r="A39" s="331"/>
      <c r="B39" s="331"/>
      <c r="C39" s="331"/>
      <c r="D39" s="331"/>
      <c r="E39" s="331"/>
      <c r="F39" s="331"/>
      <c r="G39" s="331"/>
      <c r="H39" s="331"/>
      <c r="I39" s="331"/>
      <c r="J39" s="338"/>
      <c r="K39" s="339"/>
      <c r="L39" s="338"/>
      <c r="M39" s="331"/>
      <c r="N39" s="306"/>
      <c r="O39" s="307"/>
      <c r="P39" s="308"/>
      <c r="Q39" s="309"/>
      <c r="R39" s="309"/>
      <c r="S39" s="306"/>
      <c r="T39" s="331"/>
      <c r="U39" s="331"/>
      <c r="V39" s="331"/>
      <c r="W39" s="331"/>
      <c r="X39" s="331"/>
      <c r="Y39" s="331"/>
      <c r="Z39" s="331"/>
    </row>
    <row r="40">
      <c r="A40" s="331"/>
      <c r="B40" s="331"/>
      <c r="C40" s="331"/>
      <c r="D40" s="331"/>
      <c r="E40" s="331"/>
      <c r="F40" s="331"/>
      <c r="G40" s="331"/>
      <c r="H40" s="331"/>
      <c r="I40" s="331"/>
      <c r="J40" s="338"/>
      <c r="K40" s="339"/>
      <c r="L40" s="338"/>
      <c r="M40" s="331"/>
      <c r="N40" s="306"/>
      <c r="O40" s="307"/>
      <c r="P40" s="308"/>
      <c r="Q40" s="309"/>
      <c r="R40" s="309"/>
      <c r="S40" s="306"/>
      <c r="T40" s="331"/>
      <c r="U40" s="331"/>
      <c r="V40" s="331"/>
      <c r="W40" s="331"/>
      <c r="X40" s="331"/>
      <c r="Y40" s="331"/>
      <c r="Z40" s="331"/>
    </row>
    <row r="41">
      <c r="A41" s="331"/>
      <c r="B41" s="331"/>
      <c r="C41" s="331"/>
      <c r="D41" s="331"/>
      <c r="E41" s="331"/>
      <c r="F41" s="331"/>
      <c r="G41" s="331"/>
      <c r="H41" s="331"/>
      <c r="I41" s="331"/>
      <c r="J41" s="338"/>
      <c r="K41" s="339"/>
      <c r="L41" s="338"/>
      <c r="M41" s="331"/>
      <c r="N41" s="306"/>
      <c r="O41" s="307"/>
      <c r="P41" s="308"/>
      <c r="Q41" s="309"/>
      <c r="R41" s="309"/>
      <c r="S41" s="306"/>
      <c r="T41" s="331"/>
      <c r="U41" s="331"/>
      <c r="V41" s="331"/>
      <c r="W41" s="331"/>
      <c r="X41" s="331"/>
      <c r="Y41" s="331"/>
      <c r="Z41" s="331"/>
    </row>
    <row r="42">
      <c r="A42" s="331"/>
      <c r="B42" s="331"/>
      <c r="C42" s="331"/>
      <c r="D42" s="331"/>
      <c r="E42" s="331"/>
      <c r="F42" s="331"/>
      <c r="G42" s="331"/>
      <c r="H42" s="331"/>
      <c r="I42" s="331"/>
      <c r="J42" s="338"/>
      <c r="K42" s="339"/>
      <c r="L42" s="338"/>
      <c r="M42" s="331"/>
      <c r="N42" s="306"/>
      <c r="O42" s="307"/>
      <c r="P42" s="308"/>
      <c r="Q42" s="309"/>
      <c r="R42" s="309"/>
      <c r="S42" s="306"/>
      <c r="T42" s="331"/>
      <c r="U42" s="331"/>
      <c r="V42" s="331"/>
      <c r="W42" s="331"/>
      <c r="X42" s="331"/>
      <c r="Y42" s="331"/>
      <c r="Z42" s="331"/>
    </row>
    <row r="43">
      <c r="A43" s="331"/>
      <c r="B43" s="331"/>
      <c r="C43" s="331"/>
      <c r="D43" s="331"/>
      <c r="E43" s="331"/>
      <c r="F43" s="331"/>
      <c r="G43" s="331"/>
      <c r="H43" s="331"/>
      <c r="I43" s="331"/>
      <c r="J43" s="338"/>
      <c r="K43" s="339"/>
      <c r="L43" s="338"/>
      <c r="M43" s="331"/>
      <c r="N43" s="306"/>
      <c r="O43" s="307"/>
      <c r="P43" s="308"/>
      <c r="Q43" s="309"/>
      <c r="R43" s="309"/>
      <c r="S43" s="306"/>
      <c r="T43" s="331"/>
      <c r="U43" s="331"/>
      <c r="V43" s="331"/>
      <c r="W43" s="331"/>
      <c r="X43" s="331"/>
      <c r="Y43" s="331"/>
      <c r="Z43" s="331"/>
    </row>
    <row r="44">
      <c r="A44" s="331"/>
      <c r="B44" s="331"/>
      <c r="C44" s="331"/>
      <c r="D44" s="331"/>
      <c r="E44" s="331"/>
      <c r="F44" s="331"/>
      <c r="G44" s="331"/>
      <c r="H44" s="331"/>
      <c r="I44" s="331"/>
      <c r="J44" s="338"/>
      <c r="K44" s="339"/>
      <c r="L44" s="338"/>
      <c r="M44" s="331"/>
      <c r="N44" s="306"/>
      <c r="O44" s="307"/>
      <c r="P44" s="308"/>
      <c r="Q44" s="309"/>
      <c r="R44" s="309"/>
      <c r="S44" s="306"/>
      <c r="T44" s="331"/>
      <c r="U44" s="331"/>
      <c r="V44" s="331"/>
      <c r="W44" s="331"/>
      <c r="X44" s="331"/>
      <c r="Y44" s="331"/>
      <c r="Z44" s="331"/>
    </row>
    <row r="45">
      <c r="A45" s="331"/>
      <c r="B45" s="331"/>
      <c r="C45" s="331"/>
      <c r="D45" s="331"/>
      <c r="E45" s="331"/>
      <c r="F45" s="331"/>
      <c r="G45" s="331"/>
      <c r="H45" s="331"/>
      <c r="I45" s="331"/>
      <c r="J45" s="338"/>
      <c r="K45" s="339"/>
      <c r="L45" s="338"/>
      <c r="M45" s="331"/>
      <c r="N45" s="306"/>
      <c r="O45" s="307"/>
      <c r="P45" s="308"/>
      <c r="Q45" s="309"/>
      <c r="R45" s="309"/>
      <c r="S45" s="306"/>
      <c r="T45" s="331"/>
      <c r="U45" s="331"/>
      <c r="V45" s="331"/>
      <c r="W45" s="331"/>
      <c r="X45" s="331"/>
      <c r="Y45" s="331"/>
      <c r="Z45" s="331"/>
    </row>
    <row r="46">
      <c r="A46" s="331"/>
      <c r="B46" s="331"/>
      <c r="C46" s="331"/>
      <c r="D46" s="331"/>
      <c r="E46" s="331"/>
      <c r="F46" s="331"/>
      <c r="G46" s="331"/>
      <c r="H46" s="331"/>
      <c r="I46" s="331"/>
      <c r="J46" s="338"/>
      <c r="K46" s="339"/>
      <c r="L46" s="338"/>
      <c r="M46" s="331"/>
      <c r="N46" s="306"/>
      <c r="O46" s="307"/>
      <c r="P46" s="308"/>
      <c r="Q46" s="309"/>
      <c r="R46" s="309"/>
      <c r="S46" s="306"/>
      <c r="T46" s="331"/>
      <c r="U46" s="331"/>
      <c r="V46" s="331"/>
      <c r="W46" s="331"/>
      <c r="X46" s="331"/>
      <c r="Y46" s="331"/>
      <c r="Z46" s="331"/>
    </row>
    <row r="47">
      <c r="A47" s="331"/>
      <c r="B47" s="331"/>
      <c r="C47" s="331"/>
      <c r="D47" s="331"/>
      <c r="E47" s="331"/>
      <c r="F47" s="331"/>
      <c r="G47" s="331"/>
      <c r="H47" s="331"/>
      <c r="I47" s="331"/>
      <c r="J47" s="338"/>
      <c r="K47" s="339"/>
      <c r="L47" s="338"/>
      <c r="M47" s="331"/>
      <c r="N47" s="306"/>
      <c r="O47" s="307"/>
      <c r="P47" s="308"/>
      <c r="Q47" s="309"/>
      <c r="R47" s="309"/>
      <c r="S47" s="306"/>
      <c r="T47" s="331"/>
      <c r="U47" s="331"/>
      <c r="V47" s="331"/>
      <c r="W47" s="331"/>
      <c r="X47" s="331"/>
      <c r="Y47" s="331"/>
      <c r="Z47" s="331"/>
    </row>
    <row r="48">
      <c r="A48" s="331"/>
      <c r="B48" s="331"/>
      <c r="C48" s="331"/>
      <c r="D48" s="331"/>
      <c r="E48" s="331"/>
      <c r="F48" s="331"/>
      <c r="G48" s="331"/>
      <c r="H48" s="331"/>
      <c r="I48" s="331"/>
      <c r="J48" s="338"/>
      <c r="K48" s="339"/>
      <c r="L48" s="338"/>
      <c r="M48" s="331"/>
      <c r="N48" s="306"/>
      <c r="O48" s="307"/>
      <c r="P48" s="308"/>
      <c r="Q48" s="309"/>
      <c r="R48" s="309"/>
      <c r="S48" s="306"/>
      <c r="T48" s="331"/>
      <c r="U48" s="331"/>
      <c r="V48" s="331"/>
      <c r="W48" s="331"/>
      <c r="X48" s="331"/>
      <c r="Y48" s="331"/>
      <c r="Z48" s="331"/>
    </row>
    <row r="49">
      <c r="A49" s="331"/>
      <c r="B49" s="331"/>
      <c r="C49" s="331"/>
      <c r="D49" s="331"/>
      <c r="E49" s="331"/>
      <c r="F49" s="331"/>
      <c r="G49" s="331"/>
      <c r="H49" s="331"/>
      <c r="I49" s="331"/>
      <c r="J49" s="338"/>
      <c r="K49" s="339"/>
      <c r="L49" s="338"/>
      <c r="M49" s="331"/>
      <c r="N49" s="306"/>
      <c r="O49" s="307"/>
      <c r="P49" s="308"/>
      <c r="Q49" s="309"/>
      <c r="R49" s="309"/>
      <c r="S49" s="306"/>
      <c r="T49" s="331"/>
      <c r="U49" s="331"/>
      <c r="V49" s="331"/>
      <c r="W49" s="331"/>
      <c r="X49" s="331"/>
      <c r="Y49" s="331"/>
      <c r="Z49" s="331"/>
    </row>
    <row r="50">
      <c r="A50" s="331"/>
      <c r="B50" s="331"/>
      <c r="C50" s="331"/>
      <c r="D50" s="331"/>
      <c r="E50" s="331"/>
      <c r="F50" s="331"/>
      <c r="G50" s="331"/>
      <c r="H50" s="331"/>
      <c r="I50" s="331"/>
      <c r="J50" s="338"/>
      <c r="K50" s="339"/>
      <c r="L50" s="338"/>
      <c r="M50" s="331"/>
      <c r="N50" s="306"/>
      <c r="O50" s="307"/>
      <c r="P50" s="308"/>
      <c r="Q50" s="309"/>
      <c r="R50" s="309"/>
      <c r="S50" s="306"/>
      <c r="T50" s="331"/>
      <c r="U50" s="331"/>
      <c r="V50" s="331"/>
      <c r="W50" s="331"/>
      <c r="X50" s="331"/>
      <c r="Y50" s="331"/>
      <c r="Z50" s="331"/>
    </row>
    <row r="51">
      <c r="A51" s="331"/>
      <c r="B51" s="331"/>
      <c r="C51" s="331"/>
      <c r="D51" s="331"/>
      <c r="E51" s="331"/>
      <c r="F51" s="331"/>
      <c r="G51" s="331"/>
      <c r="H51" s="331"/>
      <c r="I51" s="331"/>
      <c r="J51" s="338"/>
      <c r="K51" s="339"/>
      <c r="L51" s="338"/>
      <c r="M51" s="331"/>
      <c r="N51" s="306"/>
      <c r="O51" s="307"/>
      <c r="P51" s="308"/>
      <c r="Q51" s="309"/>
      <c r="R51" s="309"/>
      <c r="S51" s="306"/>
      <c r="T51" s="331"/>
      <c r="U51" s="331"/>
      <c r="V51" s="331"/>
      <c r="W51" s="331"/>
      <c r="X51" s="331"/>
      <c r="Y51" s="331"/>
      <c r="Z51" s="331"/>
    </row>
    <row r="52">
      <c r="A52" s="331"/>
      <c r="B52" s="331"/>
      <c r="C52" s="331"/>
      <c r="D52" s="331"/>
      <c r="E52" s="331"/>
      <c r="F52" s="331"/>
      <c r="G52" s="331"/>
      <c r="H52" s="331"/>
      <c r="I52" s="331"/>
      <c r="J52" s="338"/>
      <c r="K52" s="339"/>
      <c r="L52" s="338"/>
      <c r="M52" s="331"/>
      <c r="N52" s="306"/>
      <c r="O52" s="307"/>
      <c r="P52" s="308"/>
      <c r="Q52" s="309"/>
      <c r="R52" s="309"/>
      <c r="S52" s="306"/>
      <c r="T52" s="331"/>
      <c r="U52" s="331"/>
      <c r="V52" s="331"/>
      <c r="W52" s="331"/>
      <c r="X52" s="331"/>
      <c r="Y52" s="331"/>
      <c r="Z52" s="331"/>
    </row>
    <row r="53">
      <c r="A53" s="331"/>
      <c r="B53" s="331"/>
      <c r="C53" s="331"/>
      <c r="D53" s="331"/>
      <c r="E53" s="331"/>
      <c r="F53" s="331"/>
      <c r="G53" s="331"/>
      <c r="H53" s="331"/>
      <c r="I53" s="331"/>
      <c r="J53" s="338"/>
      <c r="K53" s="339"/>
      <c r="L53" s="338"/>
      <c r="M53" s="331"/>
      <c r="N53" s="306"/>
      <c r="O53" s="307"/>
      <c r="P53" s="308"/>
      <c r="Q53" s="309"/>
      <c r="R53" s="309"/>
      <c r="S53" s="306"/>
      <c r="T53" s="331"/>
      <c r="U53" s="331"/>
      <c r="V53" s="331"/>
      <c r="W53" s="331"/>
      <c r="X53" s="331"/>
      <c r="Y53" s="331"/>
      <c r="Z53" s="331"/>
    </row>
    <row r="54">
      <c r="A54" s="331"/>
      <c r="B54" s="331"/>
      <c r="C54" s="331"/>
      <c r="D54" s="331"/>
      <c r="E54" s="331"/>
      <c r="F54" s="331"/>
      <c r="G54" s="331"/>
      <c r="H54" s="331"/>
      <c r="I54" s="331"/>
      <c r="J54" s="338"/>
      <c r="K54" s="339"/>
      <c r="L54" s="338"/>
      <c r="M54" s="331"/>
      <c r="N54" s="306"/>
      <c r="O54" s="307"/>
      <c r="P54" s="308"/>
      <c r="Q54" s="309"/>
      <c r="R54" s="309"/>
      <c r="S54" s="306"/>
      <c r="T54" s="331"/>
      <c r="U54" s="331"/>
      <c r="V54" s="331"/>
      <c r="W54" s="331"/>
      <c r="X54" s="331"/>
      <c r="Y54" s="331"/>
      <c r="Z54" s="331"/>
    </row>
    <row r="55">
      <c r="A55" s="331"/>
      <c r="B55" s="331"/>
      <c r="C55" s="331"/>
      <c r="D55" s="331"/>
      <c r="E55" s="331"/>
      <c r="F55" s="331"/>
      <c r="G55" s="331"/>
      <c r="H55" s="331"/>
      <c r="I55" s="331"/>
      <c r="J55" s="338"/>
      <c r="K55" s="339"/>
      <c r="L55" s="338"/>
      <c r="M55" s="331"/>
      <c r="N55" s="306"/>
      <c r="O55" s="307"/>
      <c r="P55" s="308"/>
      <c r="Q55" s="309"/>
      <c r="R55" s="309"/>
      <c r="S55" s="306"/>
      <c r="T55" s="331"/>
      <c r="U55" s="331"/>
      <c r="V55" s="331"/>
      <c r="W55" s="331"/>
      <c r="X55" s="331"/>
      <c r="Y55" s="331"/>
      <c r="Z55" s="331"/>
    </row>
    <row r="56">
      <c r="A56" s="331"/>
      <c r="B56" s="331"/>
      <c r="C56" s="331"/>
      <c r="D56" s="331"/>
      <c r="E56" s="331"/>
      <c r="F56" s="331"/>
      <c r="G56" s="331"/>
      <c r="H56" s="331"/>
      <c r="I56" s="331"/>
      <c r="J56" s="338"/>
      <c r="K56" s="339"/>
      <c r="L56" s="338"/>
      <c r="M56" s="331"/>
      <c r="N56" s="306"/>
      <c r="O56" s="307"/>
      <c r="P56" s="308"/>
      <c r="Q56" s="309"/>
      <c r="R56" s="309"/>
      <c r="S56" s="306"/>
      <c r="T56" s="331"/>
      <c r="U56" s="331"/>
      <c r="V56" s="331"/>
      <c r="W56" s="331"/>
      <c r="X56" s="331"/>
      <c r="Y56" s="331"/>
      <c r="Z56" s="331"/>
    </row>
    <row r="57">
      <c r="A57" s="331"/>
      <c r="B57" s="331"/>
      <c r="C57" s="331"/>
      <c r="D57" s="331"/>
      <c r="E57" s="331"/>
      <c r="F57" s="331"/>
      <c r="G57" s="331"/>
      <c r="H57" s="331"/>
      <c r="I57" s="331"/>
      <c r="J57" s="338"/>
      <c r="K57" s="339"/>
      <c r="L57" s="338"/>
      <c r="M57" s="331"/>
      <c r="N57" s="306"/>
      <c r="O57" s="307"/>
      <c r="P57" s="308"/>
      <c r="Q57" s="309"/>
      <c r="R57" s="309"/>
      <c r="S57" s="306"/>
      <c r="T57" s="331"/>
      <c r="U57" s="331"/>
      <c r="V57" s="331"/>
      <c r="W57" s="331"/>
      <c r="X57" s="331"/>
      <c r="Y57" s="331"/>
      <c r="Z57" s="331"/>
    </row>
    <row r="58">
      <c r="A58" s="331"/>
      <c r="B58" s="331"/>
      <c r="C58" s="331"/>
      <c r="D58" s="331"/>
      <c r="E58" s="331"/>
      <c r="F58" s="331"/>
      <c r="G58" s="331"/>
      <c r="H58" s="331"/>
      <c r="I58" s="331"/>
      <c r="J58" s="338"/>
      <c r="K58" s="339"/>
      <c r="L58" s="338"/>
      <c r="M58" s="331"/>
      <c r="N58" s="306"/>
      <c r="O58" s="307"/>
      <c r="P58" s="308"/>
      <c r="Q58" s="309"/>
      <c r="R58" s="309"/>
      <c r="S58" s="306"/>
      <c r="T58" s="331"/>
      <c r="U58" s="331"/>
      <c r="V58" s="331"/>
      <c r="W58" s="331"/>
      <c r="X58" s="331"/>
      <c r="Y58" s="331"/>
      <c r="Z58" s="331"/>
    </row>
    <row r="59">
      <c r="A59" s="331"/>
      <c r="B59" s="331"/>
      <c r="C59" s="331"/>
      <c r="D59" s="331"/>
      <c r="E59" s="331"/>
      <c r="F59" s="331"/>
      <c r="G59" s="331"/>
      <c r="H59" s="331"/>
      <c r="I59" s="331"/>
      <c r="J59" s="338"/>
      <c r="K59" s="339"/>
      <c r="L59" s="338"/>
      <c r="M59" s="331"/>
      <c r="N59" s="306"/>
      <c r="O59" s="307"/>
      <c r="P59" s="308"/>
      <c r="Q59" s="309"/>
      <c r="R59" s="309"/>
      <c r="S59" s="306"/>
      <c r="T59" s="331"/>
      <c r="U59" s="331"/>
      <c r="V59" s="331"/>
      <c r="W59" s="331"/>
      <c r="X59" s="331"/>
      <c r="Y59" s="331"/>
      <c r="Z59" s="331"/>
    </row>
    <row r="60">
      <c r="A60" s="331"/>
      <c r="B60" s="331"/>
      <c r="C60" s="331"/>
      <c r="D60" s="331"/>
      <c r="E60" s="331"/>
      <c r="F60" s="331"/>
      <c r="G60" s="331"/>
      <c r="H60" s="331"/>
      <c r="I60" s="331"/>
      <c r="J60" s="338"/>
      <c r="K60" s="339"/>
      <c r="L60" s="338"/>
      <c r="M60" s="331"/>
      <c r="N60" s="306"/>
      <c r="O60" s="307"/>
      <c r="P60" s="308"/>
      <c r="Q60" s="309"/>
      <c r="R60" s="309"/>
      <c r="S60" s="306"/>
      <c r="T60" s="331"/>
      <c r="U60" s="331"/>
      <c r="V60" s="331"/>
      <c r="W60" s="331"/>
      <c r="X60" s="331"/>
      <c r="Y60" s="331"/>
      <c r="Z60" s="331"/>
    </row>
    <row r="61">
      <c r="A61" s="331"/>
      <c r="B61" s="331"/>
      <c r="C61" s="331"/>
      <c r="D61" s="331"/>
      <c r="E61" s="331"/>
      <c r="F61" s="331"/>
      <c r="G61" s="331"/>
      <c r="H61" s="331"/>
      <c r="I61" s="331"/>
      <c r="J61" s="338"/>
      <c r="K61" s="339"/>
      <c r="L61" s="338"/>
      <c r="M61" s="331"/>
      <c r="N61" s="306"/>
      <c r="O61" s="307"/>
      <c r="P61" s="308"/>
      <c r="Q61" s="309"/>
      <c r="R61" s="309"/>
      <c r="S61" s="306"/>
      <c r="T61" s="331"/>
      <c r="U61" s="331"/>
      <c r="V61" s="331"/>
      <c r="W61" s="331"/>
      <c r="X61" s="331"/>
      <c r="Y61" s="331"/>
      <c r="Z61" s="331"/>
    </row>
    <row r="62">
      <c r="A62" s="331"/>
      <c r="B62" s="331"/>
      <c r="C62" s="331"/>
      <c r="D62" s="331"/>
      <c r="E62" s="331"/>
      <c r="F62" s="331"/>
      <c r="G62" s="331"/>
      <c r="H62" s="331"/>
      <c r="I62" s="331"/>
      <c r="J62" s="338"/>
      <c r="K62" s="339"/>
      <c r="L62" s="338"/>
      <c r="M62" s="331"/>
      <c r="N62" s="306"/>
      <c r="O62" s="307"/>
      <c r="P62" s="308"/>
      <c r="Q62" s="309"/>
      <c r="R62" s="309"/>
      <c r="S62" s="306"/>
      <c r="T62" s="331"/>
      <c r="U62" s="331"/>
      <c r="V62" s="331"/>
      <c r="W62" s="331"/>
      <c r="X62" s="331"/>
      <c r="Y62" s="331"/>
      <c r="Z62" s="331"/>
    </row>
    <row r="63">
      <c r="A63" s="331"/>
      <c r="B63" s="331"/>
      <c r="C63" s="331"/>
      <c r="D63" s="331"/>
      <c r="E63" s="331"/>
      <c r="F63" s="331"/>
      <c r="G63" s="331"/>
      <c r="H63" s="331"/>
      <c r="I63" s="331"/>
      <c r="J63" s="338"/>
      <c r="K63" s="339"/>
      <c r="L63" s="338"/>
      <c r="M63" s="331"/>
      <c r="N63" s="306"/>
      <c r="O63" s="307"/>
      <c r="P63" s="308"/>
      <c r="Q63" s="309"/>
      <c r="R63" s="309"/>
      <c r="S63" s="306"/>
      <c r="T63" s="331"/>
      <c r="U63" s="331"/>
      <c r="V63" s="331"/>
      <c r="W63" s="331"/>
      <c r="X63" s="331"/>
      <c r="Y63" s="331"/>
      <c r="Z63" s="331"/>
    </row>
    <row r="64">
      <c r="A64" s="331"/>
      <c r="B64" s="331"/>
      <c r="C64" s="331"/>
      <c r="D64" s="331"/>
      <c r="E64" s="331"/>
      <c r="F64" s="331"/>
      <c r="G64" s="331"/>
      <c r="H64" s="331"/>
      <c r="I64" s="331"/>
      <c r="J64" s="338"/>
      <c r="K64" s="339"/>
      <c r="L64" s="338"/>
      <c r="M64" s="331"/>
      <c r="N64" s="306"/>
      <c r="O64" s="307"/>
      <c r="P64" s="308"/>
      <c r="Q64" s="309"/>
      <c r="R64" s="309"/>
      <c r="S64" s="306"/>
      <c r="T64" s="331"/>
      <c r="U64" s="331"/>
      <c r="V64" s="331"/>
      <c r="W64" s="331"/>
      <c r="X64" s="331"/>
      <c r="Y64" s="331"/>
      <c r="Z64" s="331"/>
    </row>
    <row r="65">
      <c r="A65" s="331"/>
      <c r="B65" s="331"/>
      <c r="C65" s="331"/>
      <c r="D65" s="331"/>
      <c r="E65" s="331"/>
      <c r="F65" s="331"/>
      <c r="G65" s="331"/>
      <c r="H65" s="331"/>
      <c r="I65" s="331"/>
      <c r="J65" s="338"/>
      <c r="K65" s="339"/>
      <c r="L65" s="338"/>
      <c r="M65" s="331"/>
      <c r="N65" s="306"/>
      <c r="O65" s="307"/>
      <c r="P65" s="308"/>
      <c r="Q65" s="309"/>
      <c r="R65" s="309"/>
      <c r="S65" s="306"/>
      <c r="T65" s="331"/>
      <c r="U65" s="331"/>
      <c r="V65" s="331"/>
      <c r="W65" s="331"/>
      <c r="X65" s="331"/>
      <c r="Y65" s="331"/>
      <c r="Z65" s="331"/>
    </row>
    <row r="66">
      <c r="A66" s="331"/>
      <c r="B66" s="331"/>
      <c r="C66" s="331"/>
      <c r="D66" s="331"/>
      <c r="E66" s="331"/>
      <c r="F66" s="331"/>
      <c r="G66" s="331"/>
      <c r="H66" s="331"/>
      <c r="I66" s="331"/>
      <c r="J66" s="338"/>
      <c r="K66" s="339"/>
      <c r="L66" s="338"/>
      <c r="M66" s="331"/>
      <c r="N66" s="306"/>
      <c r="O66" s="307"/>
      <c r="P66" s="308"/>
      <c r="Q66" s="309"/>
      <c r="R66" s="309"/>
      <c r="S66" s="306"/>
      <c r="T66" s="331"/>
      <c r="U66" s="331"/>
      <c r="V66" s="331"/>
      <c r="W66" s="331"/>
      <c r="X66" s="331"/>
      <c r="Y66" s="331"/>
      <c r="Z66" s="331"/>
    </row>
    <row r="67">
      <c r="A67" s="331"/>
      <c r="B67" s="331"/>
      <c r="C67" s="331"/>
      <c r="D67" s="331"/>
      <c r="E67" s="331"/>
      <c r="F67" s="331"/>
      <c r="G67" s="331"/>
      <c r="H67" s="331"/>
      <c r="I67" s="331"/>
      <c r="J67" s="338"/>
      <c r="K67" s="339"/>
      <c r="L67" s="338"/>
      <c r="M67" s="331"/>
      <c r="N67" s="306"/>
      <c r="O67" s="307"/>
      <c r="P67" s="308"/>
      <c r="Q67" s="309"/>
      <c r="R67" s="309"/>
      <c r="S67" s="306"/>
      <c r="T67" s="331"/>
      <c r="U67" s="331"/>
      <c r="V67" s="331"/>
      <c r="W67" s="331"/>
      <c r="X67" s="331"/>
      <c r="Y67" s="331"/>
      <c r="Z67" s="331"/>
    </row>
    <row r="68">
      <c r="A68" s="331"/>
      <c r="B68" s="331"/>
      <c r="C68" s="331"/>
      <c r="D68" s="331"/>
      <c r="E68" s="331"/>
      <c r="F68" s="331"/>
      <c r="G68" s="331"/>
      <c r="H68" s="331"/>
      <c r="I68" s="331"/>
      <c r="J68" s="338"/>
      <c r="K68" s="339"/>
      <c r="L68" s="338"/>
      <c r="M68" s="331"/>
      <c r="N68" s="306"/>
      <c r="O68" s="307"/>
      <c r="P68" s="308"/>
      <c r="Q68" s="309"/>
      <c r="R68" s="309"/>
      <c r="S68" s="306"/>
      <c r="T68" s="331"/>
      <c r="U68" s="331"/>
      <c r="V68" s="331"/>
      <c r="W68" s="331"/>
      <c r="X68" s="331"/>
      <c r="Y68" s="331"/>
      <c r="Z68" s="331"/>
    </row>
    <row r="69">
      <c r="A69" s="331"/>
      <c r="B69" s="331"/>
      <c r="C69" s="331"/>
      <c r="D69" s="331"/>
      <c r="E69" s="331"/>
      <c r="F69" s="331"/>
      <c r="G69" s="331"/>
      <c r="H69" s="331"/>
      <c r="I69" s="331"/>
      <c r="J69" s="338"/>
      <c r="K69" s="339"/>
      <c r="L69" s="338"/>
      <c r="M69" s="331"/>
      <c r="N69" s="306"/>
      <c r="O69" s="307"/>
      <c r="P69" s="308"/>
      <c r="Q69" s="309"/>
      <c r="R69" s="309"/>
      <c r="S69" s="306"/>
      <c r="T69" s="331"/>
      <c r="U69" s="331"/>
      <c r="V69" s="331"/>
      <c r="W69" s="331"/>
      <c r="X69" s="331"/>
      <c r="Y69" s="331"/>
      <c r="Z69" s="331"/>
    </row>
    <row r="70">
      <c r="A70" s="331"/>
      <c r="B70" s="331"/>
      <c r="C70" s="331"/>
      <c r="D70" s="331"/>
      <c r="E70" s="331"/>
      <c r="F70" s="331"/>
      <c r="G70" s="331"/>
      <c r="H70" s="331"/>
      <c r="I70" s="331"/>
      <c r="J70" s="338"/>
      <c r="K70" s="339"/>
      <c r="L70" s="338"/>
      <c r="M70" s="331"/>
      <c r="N70" s="306"/>
      <c r="O70" s="307"/>
      <c r="P70" s="308"/>
      <c r="Q70" s="309"/>
      <c r="R70" s="309"/>
      <c r="S70" s="306"/>
      <c r="T70" s="331"/>
      <c r="U70" s="331"/>
      <c r="V70" s="331"/>
      <c r="W70" s="331"/>
      <c r="X70" s="331"/>
      <c r="Y70" s="331"/>
      <c r="Z70" s="331"/>
    </row>
    <row r="71">
      <c r="A71" s="331"/>
      <c r="B71" s="331"/>
      <c r="C71" s="331"/>
      <c r="D71" s="331"/>
      <c r="E71" s="331"/>
      <c r="F71" s="331"/>
      <c r="G71" s="331"/>
      <c r="H71" s="331"/>
      <c r="I71" s="331"/>
      <c r="J71" s="338"/>
      <c r="K71" s="339"/>
      <c r="L71" s="338"/>
      <c r="M71" s="331"/>
      <c r="N71" s="306"/>
      <c r="O71" s="307"/>
      <c r="P71" s="308"/>
      <c r="Q71" s="309"/>
      <c r="R71" s="309"/>
      <c r="S71" s="306"/>
      <c r="T71" s="331"/>
      <c r="U71" s="331"/>
      <c r="V71" s="331"/>
      <c r="W71" s="331"/>
      <c r="X71" s="331"/>
      <c r="Y71" s="331"/>
      <c r="Z71" s="331"/>
    </row>
    <row r="72">
      <c r="A72" s="331"/>
      <c r="B72" s="331"/>
      <c r="C72" s="331"/>
      <c r="D72" s="331"/>
      <c r="E72" s="331"/>
      <c r="F72" s="331"/>
      <c r="G72" s="331"/>
      <c r="H72" s="331"/>
      <c r="I72" s="331"/>
      <c r="J72" s="338"/>
      <c r="K72" s="339"/>
      <c r="L72" s="338"/>
      <c r="M72" s="331"/>
      <c r="N72" s="306"/>
      <c r="O72" s="307"/>
      <c r="P72" s="308"/>
      <c r="Q72" s="309"/>
      <c r="R72" s="309"/>
      <c r="S72" s="306"/>
      <c r="T72" s="331"/>
      <c r="U72" s="331"/>
      <c r="V72" s="331"/>
      <c r="W72" s="331"/>
      <c r="X72" s="331"/>
      <c r="Y72" s="331"/>
      <c r="Z72" s="331"/>
    </row>
    <row r="73">
      <c r="A73" s="331"/>
      <c r="B73" s="331"/>
      <c r="C73" s="331"/>
      <c r="D73" s="331"/>
      <c r="E73" s="331"/>
      <c r="F73" s="331"/>
      <c r="G73" s="331"/>
      <c r="H73" s="331"/>
      <c r="I73" s="331"/>
      <c r="J73" s="338"/>
      <c r="K73" s="339"/>
      <c r="L73" s="338"/>
      <c r="M73" s="331"/>
      <c r="N73" s="306"/>
      <c r="O73" s="307"/>
      <c r="P73" s="308"/>
      <c r="Q73" s="309"/>
      <c r="R73" s="309"/>
      <c r="S73" s="306"/>
      <c r="T73" s="331"/>
      <c r="U73" s="331"/>
      <c r="V73" s="331"/>
      <c r="W73" s="331"/>
      <c r="X73" s="331"/>
      <c r="Y73" s="331"/>
      <c r="Z73" s="331"/>
    </row>
    <row r="74">
      <c r="A74" s="331"/>
      <c r="B74" s="331"/>
      <c r="C74" s="331"/>
      <c r="D74" s="331"/>
      <c r="E74" s="331"/>
      <c r="F74" s="331"/>
      <c r="G74" s="331"/>
      <c r="H74" s="331"/>
      <c r="I74" s="331"/>
      <c r="J74" s="338"/>
      <c r="K74" s="339"/>
      <c r="L74" s="338"/>
      <c r="M74" s="331"/>
      <c r="N74" s="306"/>
      <c r="O74" s="307"/>
      <c r="P74" s="308"/>
      <c r="Q74" s="309"/>
      <c r="R74" s="309"/>
      <c r="S74" s="306"/>
      <c r="T74" s="331"/>
      <c r="U74" s="331"/>
      <c r="V74" s="331"/>
      <c r="W74" s="331"/>
      <c r="X74" s="331"/>
      <c r="Y74" s="331"/>
      <c r="Z74" s="331"/>
    </row>
    <row r="75">
      <c r="A75" s="331"/>
      <c r="B75" s="331"/>
      <c r="C75" s="331"/>
      <c r="D75" s="331"/>
      <c r="E75" s="331"/>
      <c r="F75" s="331"/>
      <c r="G75" s="331"/>
      <c r="H75" s="331"/>
      <c r="I75" s="331"/>
      <c r="J75" s="338"/>
      <c r="K75" s="339"/>
      <c r="L75" s="338"/>
      <c r="M75" s="331"/>
      <c r="N75" s="306"/>
      <c r="O75" s="307"/>
      <c r="P75" s="308"/>
      <c r="Q75" s="309"/>
      <c r="R75" s="309"/>
      <c r="S75" s="306"/>
      <c r="T75" s="331"/>
      <c r="U75" s="331"/>
      <c r="V75" s="331"/>
      <c r="W75" s="331"/>
      <c r="X75" s="331"/>
      <c r="Y75" s="331"/>
      <c r="Z75" s="331"/>
    </row>
    <row r="76">
      <c r="A76" s="331"/>
      <c r="B76" s="331"/>
      <c r="C76" s="331"/>
      <c r="D76" s="331"/>
      <c r="E76" s="331"/>
      <c r="F76" s="331"/>
      <c r="G76" s="331"/>
      <c r="H76" s="331"/>
      <c r="I76" s="331"/>
      <c r="J76" s="338"/>
      <c r="K76" s="339"/>
      <c r="L76" s="338"/>
      <c r="M76" s="331"/>
      <c r="N76" s="306"/>
      <c r="O76" s="307"/>
      <c r="P76" s="308"/>
      <c r="Q76" s="309"/>
      <c r="R76" s="309"/>
      <c r="S76" s="306"/>
      <c r="T76" s="331"/>
      <c r="U76" s="331"/>
      <c r="V76" s="331"/>
      <c r="W76" s="331"/>
      <c r="X76" s="331"/>
      <c r="Y76" s="331"/>
      <c r="Z76" s="331"/>
    </row>
    <row r="77">
      <c r="A77" s="331"/>
      <c r="B77" s="331"/>
      <c r="C77" s="331"/>
      <c r="D77" s="331"/>
      <c r="E77" s="331"/>
      <c r="F77" s="331"/>
      <c r="G77" s="331"/>
      <c r="H77" s="331"/>
      <c r="I77" s="331"/>
      <c r="J77" s="338"/>
      <c r="K77" s="339"/>
      <c r="L77" s="338"/>
      <c r="M77" s="331"/>
      <c r="N77" s="306"/>
      <c r="O77" s="307"/>
      <c r="P77" s="308"/>
      <c r="Q77" s="309"/>
      <c r="R77" s="309"/>
      <c r="S77" s="306"/>
      <c r="T77" s="331"/>
      <c r="U77" s="331"/>
      <c r="V77" s="331"/>
      <c r="W77" s="331"/>
      <c r="X77" s="331"/>
      <c r="Y77" s="331"/>
      <c r="Z77" s="331"/>
    </row>
    <row r="78">
      <c r="A78" s="331"/>
      <c r="B78" s="331"/>
      <c r="C78" s="331"/>
      <c r="D78" s="331"/>
      <c r="E78" s="331"/>
      <c r="F78" s="331"/>
      <c r="G78" s="331"/>
      <c r="H78" s="331"/>
      <c r="I78" s="331"/>
      <c r="J78" s="338"/>
      <c r="K78" s="339"/>
      <c r="L78" s="338"/>
      <c r="M78" s="331"/>
      <c r="N78" s="306"/>
      <c r="O78" s="307"/>
      <c r="P78" s="308"/>
      <c r="Q78" s="309"/>
      <c r="R78" s="309"/>
      <c r="S78" s="306"/>
      <c r="T78" s="331"/>
      <c r="U78" s="331"/>
      <c r="V78" s="331"/>
      <c r="W78" s="331"/>
      <c r="X78" s="331"/>
      <c r="Y78" s="331"/>
      <c r="Z78" s="331"/>
    </row>
    <row r="79">
      <c r="A79" s="331"/>
      <c r="B79" s="331"/>
      <c r="C79" s="331"/>
      <c r="D79" s="331"/>
      <c r="E79" s="331"/>
      <c r="F79" s="331"/>
      <c r="G79" s="331"/>
      <c r="H79" s="331"/>
      <c r="I79" s="331"/>
      <c r="J79" s="338"/>
      <c r="K79" s="339"/>
      <c r="L79" s="338"/>
      <c r="M79" s="331"/>
      <c r="N79" s="306"/>
      <c r="O79" s="307"/>
      <c r="P79" s="308"/>
      <c r="Q79" s="309"/>
      <c r="R79" s="309"/>
      <c r="S79" s="306"/>
      <c r="T79" s="331"/>
      <c r="U79" s="331"/>
      <c r="V79" s="331"/>
      <c r="W79" s="331"/>
      <c r="X79" s="331"/>
      <c r="Y79" s="331"/>
      <c r="Z79" s="331"/>
    </row>
    <row r="80">
      <c r="A80" s="331"/>
      <c r="B80" s="331"/>
      <c r="C80" s="331"/>
      <c r="D80" s="331"/>
      <c r="E80" s="331"/>
      <c r="F80" s="331"/>
      <c r="G80" s="331"/>
      <c r="H80" s="331"/>
      <c r="I80" s="331"/>
      <c r="J80" s="338"/>
      <c r="K80" s="339"/>
      <c r="L80" s="338"/>
      <c r="M80" s="331"/>
      <c r="N80" s="306"/>
      <c r="O80" s="307"/>
      <c r="P80" s="308"/>
      <c r="Q80" s="309"/>
      <c r="R80" s="309"/>
      <c r="S80" s="306"/>
      <c r="T80" s="331"/>
      <c r="U80" s="331"/>
      <c r="V80" s="331"/>
      <c r="W80" s="331"/>
      <c r="X80" s="331"/>
      <c r="Y80" s="331"/>
      <c r="Z80" s="331"/>
    </row>
    <row r="81">
      <c r="A81" s="331"/>
      <c r="B81" s="331"/>
      <c r="C81" s="331"/>
      <c r="D81" s="331"/>
      <c r="E81" s="331"/>
      <c r="F81" s="331"/>
      <c r="G81" s="331"/>
      <c r="H81" s="331"/>
      <c r="I81" s="331"/>
      <c r="J81" s="338"/>
      <c r="K81" s="339"/>
      <c r="L81" s="338"/>
      <c r="M81" s="331"/>
      <c r="N81" s="306"/>
      <c r="O81" s="307"/>
      <c r="P81" s="308"/>
      <c r="Q81" s="309"/>
      <c r="R81" s="309"/>
      <c r="S81" s="306"/>
      <c r="T81" s="331"/>
      <c r="U81" s="331"/>
      <c r="V81" s="331"/>
      <c r="W81" s="331"/>
      <c r="X81" s="331"/>
      <c r="Y81" s="331"/>
      <c r="Z81" s="331"/>
    </row>
    <row r="82">
      <c r="A82" s="331"/>
      <c r="B82" s="331"/>
      <c r="C82" s="331"/>
      <c r="D82" s="331"/>
      <c r="E82" s="331"/>
      <c r="F82" s="331"/>
      <c r="G82" s="331"/>
      <c r="H82" s="331"/>
      <c r="I82" s="331"/>
      <c r="J82" s="338"/>
      <c r="K82" s="339"/>
      <c r="L82" s="338"/>
      <c r="M82" s="331"/>
      <c r="N82" s="306"/>
      <c r="O82" s="307"/>
      <c r="P82" s="308"/>
      <c r="Q82" s="309"/>
      <c r="R82" s="309"/>
      <c r="S82" s="306"/>
      <c r="T82" s="331"/>
      <c r="U82" s="331"/>
      <c r="V82" s="331"/>
      <c r="W82" s="331"/>
      <c r="X82" s="331"/>
      <c r="Y82" s="331"/>
      <c r="Z82" s="331"/>
    </row>
    <row r="83">
      <c r="A83" s="331"/>
      <c r="B83" s="331"/>
      <c r="C83" s="331"/>
      <c r="D83" s="331"/>
      <c r="E83" s="331"/>
      <c r="F83" s="331"/>
      <c r="G83" s="331"/>
      <c r="H83" s="331"/>
      <c r="I83" s="331"/>
      <c r="J83" s="338"/>
      <c r="K83" s="339"/>
      <c r="L83" s="338"/>
      <c r="M83" s="331"/>
      <c r="N83" s="306"/>
      <c r="O83" s="307"/>
      <c r="P83" s="308"/>
      <c r="Q83" s="309"/>
      <c r="R83" s="309"/>
      <c r="S83" s="306"/>
      <c r="T83" s="331"/>
      <c r="U83" s="331"/>
      <c r="V83" s="331"/>
      <c r="W83" s="331"/>
      <c r="X83" s="331"/>
      <c r="Y83" s="331"/>
      <c r="Z83" s="331"/>
    </row>
    <row r="84">
      <c r="A84" s="331"/>
      <c r="B84" s="331"/>
      <c r="C84" s="331"/>
      <c r="D84" s="331"/>
      <c r="E84" s="331"/>
      <c r="F84" s="331"/>
      <c r="G84" s="331"/>
      <c r="H84" s="331"/>
      <c r="I84" s="331"/>
      <c r="J84" s="338"/>
      <c r="K84" s="339"/>
      <c r="L84" s="338"/>
      <c r="M84" s="331"/>
      <c r="N84" s="306"/>
      <c r="O84" s="307"/>
      <c r="P84" s="308"/>
      <c r="Q84" s="309"/>
      <c r="R84" s="309"/>
      <c r="S84" s="306"/>
      <c r="T84" s="331"/>
      <c r="U84" s="331"/>
      <c r="V84" s="331"/>
      <c r="W84" s="331"/>
      <c r="X84" s="331"/>
      <c r="Y84" s="331"/>
      <c r="Z84" s="331"/>
    </row>
    <row r="85">
      <c r="A85" s="331"/>
      <c r="B85" s="331"/>
      <c r="C85" s="331"/>
      <c r="D85" s="331"/>
      <c r="E85" s="331"/>
      <c r="F85" s="331"/>
      <c r="G85" s="331"/>
      <c r="H85" s="331"/>
      <c r="I85" s="331"/>
      <c r="J85" s="338"/>
      <c r="K85" s="339"/>
      <c r="L85" s="338"/>
      <c r="M85" s="331"/>
      <c r="N85" s="306"/>
      <c r="O85" s="307"/>
      <c r="P85" s="308"/>
      <c r="Q85" s="309"/>
      <c r="R85" s="309"/>
      <c r="S85" s="306"/>
      <c r="T85" s="331"/>
      <c r="U85" s="331"/>
      <c r="V85" s="331"/>
      <c r="W85" s="331"/>
      <c r="X85" s="331"/>
      <c r="Y85" s="331"/>
      <c r="Z85" s="331"/>
    </row>
    <row r="86">
      <c r="A86" s="331"/>
      <c r="B86" s="331"/>
      <c r="C86" s="331"/>
      <c r="D86" s="331"/>
      <c r="E86" s="331"/>
      <c r="F86" s="331"/>
      <c r="G86" s="331"/>
      <c r="H86" s="331"/>
      <c r="I86" s="331"/>
      <c r="J86" s="338"/>
      <c r="K86" s="339"/>
      <c r="L86" s="338"/>
      <c r="M86" s="331"/>
      <c r="N86" s="306"/>
      <c r="O86" s="307"/>
      <c r="P86" s="308"/>
      <c r="Q86" s="309"/>
      <c r="R86" s="309"/>
      <c r="S86" s="306"/>
      <c r="T86" s="331"/>
      <c r="U86" s="331"/>
      <c r="V86" s="331"/>
      <c r="W86" s="331"/>
      <c r="X86" s="331"/>
      <c r="Y86" s="331"/>
      <c r="Z86" s="331"/>
    </row>
    <row r="87">
      <c r="A87" s="331"/>
      <c r="B87" s="331"/>
      <c r="C87" s="331"/>
      <c r="D87" s="331"/>
      <c r="E87" s="331"/>
      <c r="F87" s="331"/>
      <c r="G87" s="331"/>
      <c r="H87" s="331"/>
      <c r="I87" s="331"/>
      <c r="J87" s="338"/>
      <c r="K87" s="339"/>
      <c r="L87" s="338"/>
      <c r="M87" s="331"/>
      <c r="N87" s="306"/>
      <c r="O87" s="307"/>
      <c r="P87" s="308"/>
      <c r="Q87" s="309"/>
      <c r="R87" s="309"/>
      <c r="S87" s="306"/>
      <c r="T87" s="331"/>
      <c r="U87" s="331"/>
      <c r="V87" s="331"/>
      <c r="W87" s="331"/>
      <c r="X87" s="331"/>
      <c r="Y87" s="331"/>
      <c r="Z87" s="331"/>
    </row>
    <row r="88">
      <c r="A88" s="331"/>
      <c r="B88" s="331"/>
      <c r="C88" s="331"/>
      <c r="D88" s="331"/>
      <c r="E88" s="331"/>
      <c r="F88" s="331"/>
      <c r="G88" s="331"/>
      <c r="H88" s="331"/>
      <c r="I88" s="331"/>
      <c r="J88" s="338"/>
      <c r="K88" s="339"/>
      <c r="L88" s="338"/>
      <c r="M88" s="331"/>
      <c r="N88" s="306"/>
      <c r="O88" s="307"/>
      <c r="P88" s="308"/>
      <c r="Q88" s="309"/>
      <c r="R88" s="309"/>
      <c r="S88" s="306"/>
      <c r="T88" s="331"/>
      <c r="U88" s="331"/>
      <c r="V88" s="331"/>
      <c r="W88" s="331"/>
      <c r="X88" s="331"/>
      <c r="Y88" s="331"/>
      <c r="Z88" s="331"/>
    </row>
    <row r="89">
      <c r="A89" s="331"/>
      <c r="B89" s="331"/>
      <c r="C89" s="331"/>
      <c r="D89" s="331"/>
      <c r="E89" s="331"/>
      <c r="F89" s="331"/>
      <c r="G89" s="331"/>
      <c r="H89" s="331"/>
      <c r="I89" s="331"/>
      <c r="J89" s="338"/>
      <c r="K89" s="339"/>
      <c r="L89" s="338"/>
      <c r="M89" s="331"/>
      <c r="N89" s="306"/>
      <c r="O89" s="307"/>
      <c r="P89" s="308"/>
      <c r="Q89" s="309"/>
      <c r="R89" s="309"/>
      <c r="S89" s="306"/>
      <c r="T89" s="331"/>
      <c r="U89" s="331"/>
      <c r="V89" s="331"/>
      <c r="W89" s="331"/>
      <c r="X89" s="331"/>
      <c r="Y89" s="331"/>
      <c r="Z89" s="331"/>
    </row>
    <row r="90">
      <c r="A90" s="331"/>
      <c r="B90" s="331"/>
      <c r="C90" s="331"/>
      <c r="D90" s="331"/>
      <c r="E90" s="331"/>
      <c r="F90" s="331"/>
      <c r="G90" s="331"/>
      <c r="H90" s="331"/>
      <c r="I90" s="331"/>
      <c r="J90" s="338"/>
      <c r="K90" s="339"/>
      <c r="L90" s="338"/>
      <c r="M90" s="331"/>
      <c r="N90" s="306"/>
      <c r="O90" s="307"/>
      <c r="P90" s="308"/>
      <c r="Q90" s="309"/>
      <c r="R90" s="309"/>
      <c r="S90" s="306"/>
      <c r="T90" s="331"/>
      <c r="U90" s="331"/>
      <c r="V90" s="331"/>
      <c r="W90" s="331"/>
      <c r="X90" s="331"/>
      <c r="Y90" s="331"/>
      <c r="Z90" s="331"/>
    </row>
    <row r="91">
      <c r="A91" s="331"/>
      <c r="B91" s="331"/>
      <c r="C91" s="331"/>
      <c r="D91" s="331"/>
      <c r="E91" s="331"/>
      <c r="F91" s="331"/>
      <c r="G91" s="331"/>
      <c r="H91" s="331"/>
      <c r="I91" s="331"/>
      <c r="J91" s="338"/>
      <c r="K91" s="339"/>
      <c r="L91" s="338"/>
      <c r="M91" s="331"/>
      <c r="N91" s="306"/>
      <c r="O91" s="307"/>
      <c r="P91" s="308"/>
      <c r="Q91" s="309"/>
      <c r="R91" s="309"/>
      <c r="S91" s="306"/>
      <c r="T91" s="331"/>
      <c r="U91" s="331"/>
      <c r="V91" s="331"/>
      <c r="W91" s="331"/>
      <c r="X91" s="331"/>
      <c r="Y91" s="331"/>
      <c r="Z91" s="331"/>
    </row>
    <row r="92">
      <c r="A92" s="331"/>
      <c r="B92" s="331"/>
      <c r="C92" s="331"/>
      <c r="D92" s="331"/>
      <c r="E92" s="331"/>
      <c r="F92" s="331"/>
      <c r="G92" s="331"/>
      <c r="H92" s="331"/>
      <c r="I92" s="331"/>
      <c r="J92" s="338"/>
      <c r="K92" s="339"/>
      <c r="L92" s="338"/>
      <c r="M92" s="331"/>
      <c r="N92" s="306"/>
      <c r="O92" s="307"/>
      <c r="P92" s="308"/>
      <c r="Q92" s="309"/>
      <c r="R92" s="309"/>
      <c r="S92" s="306"/>
      <c r="T92" s="331"/>
      <c r="U92" s="331"/>
      <c r="V92" s="331"/>
      <c r="W92" s="331"/>
      <c r="X92" s="331"/>
      <c r="Y92" s="331"/>
      <c r="Z92" s="331"/>
    </row>
    <row r="93">
      <c r="A93" s="331"/>
      <c r="B93" s="331"/>
      <c r="C93" s="331"/>
      <c r="D93" s="331"/>
      <c r="E93" s="331"/>
      <c r="F93" s="331"/>
      <c r="G93" s="331"/>
      <c r="H93" s="331"/>
      <c r="I93" s="331"/>
      <c r="J93" s="338"/>
      <c r="K93" s="339"/>
      <c r="L93" s="338"/>
      <c r="M93" s="331"/>
      <c r="N93" s="306"/>
      <c r="O93" s="307"/>
      <c r="P93" s="308"/>
      <c r="Q93" s="309"/>
      <c r="R93" s="309"/>
      <c r="S93" s="306"/>
      <c r="T93" s="331"/>
      <c r="U93" s="331"/>
      <c r="V93" s="331"/>
      <c r="W93" s="331"/>
      <c r="X93" s="331"/>
      <c r="Y93" s="331"/>
      <c r="Z93" s="331"/>
    </row>
    <row r="94">
      <c r="A94" s="331"/>
      <c r="B94" s="331"/>
      <c r="C94" s="331"/>
      <c r="D94" s="331"/>
      <c r="E94" s="331"/>
      <c r="F94" s="331"/>
      <c r="G94" s="331"/>
      <c r="H94" s="331"/>
      <c r="I94" s="331"/>
      <c r="J94" s="338"/>
      <c r="K94" s="339"/>
      <c r="L94" s="338"/>
      <c r="M94" s="331"/>
      <c r="N94" s="306"/>
      <c r="O94" s="307"/>
      <c r="P94" s="308"/>
      <c r="Q94" s="309"/>
      <c r="R94" s="309"/>
      <c r="S94" s="306"/>
      <c r="T94" s="331"/>
      <c r="U94" s="331"/>
      <c r="V94" s="331"/>
      <c r="W94" s="331"/>
      <c r="X94" s="331"/>
      <c r="Y94" s="331"/>
      <c r="Z94" s="331"/>
    </row>
    <row r="95">
      <c r="A95" s="331"/>
      <c r="B95" s="331"/>
      <c r="C95" s="331"/>
      <c r="D95" s="331"/>
      <c r="E95" s="331"/>
      <c r="F95" s="331"/>
      <c r="G95" s="331"/>
      <c r="H95" s="331"/>
      <c r="I95" s="331"/>
      <c r="J95" s="338"/>
      <c r="K95" s="339"/>
      <c r="L95" s="338"/>
      <c r="M95" s="331"/>
      <c r="N95" s="306"/>
      <c r="O95" s="307"/>
      <c r="P95" s="308"/>
      <c r="Q95" s="309"/>
      <c r="R95" s="309"/>
      <c r="S95" s="306"/>
      <c r="T95" s="331"/>
      <c r="U95" s="331"/>
      <c r="V95" s="331"/>
      <c r="W95" s="331"/>
      <c r="X95" s="331"/>
      <c r="Y95" s="331"/>
      <c r="Z95" s="331"/>
    </row>
    <row r="96">
      <c r="A96" s="331"/>
      <c r="B96" s="331"/>
      <c r="C96" s="331"/>
      <c r="D96" s="331"/>
      <c r="E96" s="331"/>
      <c r="F96" s="331"/>
      <c r="G96" s="331"/>
      <c r="H96" s="331"/>
      <c r="I96" s="331"/>
      <c r="J96" s="338"/>
      <c r="K96" s="339"/>
      <c r="L96" s="338"/>
      <c r="M96" s="331"/>
      <c r="N96" s="306"/>
      <c r="O96" s="307"/>
      <c r="P96" s="308"/>
      <c r="Q96" s="309"/>
      <c r="R96" s="309"/>
      <c r="S96" s="306"/>
      <c r="T96" s="331"/>
      <c r="U96" s="331"/>
      <c r="V96" s="331"/>
      <c r="W96" s="331"/>
      <c r="X96" s="331"/>
      <c r="Y96" s="331"/>
      <c r="Z96" s="331"/>
    </row>
    <row r="97">
      <c r="A97" s="331"/>
      <c r="B97" s="331"/>
      <c r="C97" s="331"/>
      <c r="D97" s="331"/>
      <c r="E97" s="331"/>
      <c r="F97" s="331"/>
      <c r="G97" s="331"/>
      <c r="H97" s="331"/>
      <c r="I97" s="331"/>
      <c r="J97" s="338"/>
      <c r="K97" s="339"/>
      <c r="L97" s="338"/>
      <c r="M97" s="331"/>
      <c r="N97" s="306"/>
      <c r="O97" s="307"/>
      <c r="P97" s="308"/>
      <c r="Q97" s="309"/>
      <c r="R97" s="309"/>
      <c r="S97" s="306"/>
      <c r="T97" s="331"/>
      <c r="U97" s="331"/>
      <c r="V97" s="331"/>
      <c r="W97" s="331"/>
      <c r="X97" s="331"/>
      <c r="Y97" s="331"/>
      <c r="Z97" s="331"/>
    </row>
    <row r="98">
      <c r="A98" s="331"/>
      <c r="B98" s="331"/>
      <c r="C98" s="331"/>
      <c r="D98" s="331"/>
      <c r="E98" s="331"/>
      <c r="F98" s="331"/>
      <c r="G98" s="331"/>
      <c r="H98" s="331"/>
      <c r="I98" s="331"/>
      <c r="J98" s="338"/>
      <c r="K98" s="339"/>
      <c r="L98" s="338"/>
      <c r="M98" s="331"/>
      <c r="N98" s="306"/>
      <c r="O98" s="307"/>
      <c r="P98" s="308"/>
      <c r="Q98" s="309"/>
      <c r="R98" s="309"/>
      <c r="S98" s="306"/>
      <c r="T98" s="331"/>
      <c r="U98" s="331"/>
      <c r="V98" s="331"/>
      <c r="W98" s="331"/>
      <c r="X98" s="331"/>
      <c r="Y98" s="331"/>
      <c r="Z98" s="331"/>
    </row>
    <row r="99">
      <c r="A99" s="331"/>
      <c r="B99" s="331"/>
      <c r="C99" s="331"/>
      <c r="D99" s="331"/>
      <c r="E99" s="331"/>
      <c r="F99" s="331"/>
      <c r="G99" s="331"/>
      <c r="H99" s="331"/>
      <c r="I99" s="331"/>
      <c r="J99" s="338"/>
      <c r="K99" s="339"/>
      <c r="L99" s="338"/>
      <c r="M99" s="331"/>
      <c r="N99" s="306"/>
      <c r="O99" s="307"/>
      <c r="P99" s="308"/>
      <c r="Q99" s="309"/>
      <c r="R99" s="309"/>
      <c r="S99" s="306"/>
      <c r="T99" s="331"/>
      <c r="U99" s="331"/>
      <c r="V99" s="331"/>
      <c r="W99" s="331"/>
      <c r="X99" s="331"/>
      <c r="Y99" s="331"/>
      <c r="Z99" s="331"/>
    </row>
    <row r="100">
      <c r="A100" s="331"/>
      <c r="B100" s="331"/>
      <c r="C100" s="331"/>
      <c r="D100" s="331"/>
      <c r="E100" s="331"/>
      <c r="F100" s="331"/>
      <c r="G100" s="331"/>
      <c r="H100" s="331"/>
      <c r="I100" s="331"/>
      <c r="J100" s="338"/>
      <c r="K100" s="339"/>
      <c r="L100" s="338"/>
      <c r="M100" s="331"/>
      <c r="N100" s="306"/>
      <c r="O100" s="307"/>
      <c r="P100" s="308"/>
      <c r="Q100" s="309"/>
      <c r="R100" s="309"/>
      <c r="S100" s="306"/>
      <c r="T100" s="331"/>
      <c r="U100" s="331"/>
      <c r="V100" s="331"/>
      <c r="W100" s="331"/>
      <c r="X100" s="331"/>
      <c r="Y100" s="331"/>
      <c r="Z100" s="331"/>
    </row>
    <row r="101">
      <c r="A101" s="331"/>
      <c r="B101" s="331"/>
      <c r="C101" s="331"/>
      <c r="D101" s="331"/>
      <c r="E101" s="331"/>
      <c r="F101" s="331"/>
      <c r="G101" s="331"/>
      <c r="H101" s="331"/>
      <c r="I101" s="331"/>
      <c r="J101" s="338"/>
      <c r="K101" s="339"/>
      <c r="L101" s="338"/>
      <c r="M101" s="331"/>
      <c r="N101" s="306"/>
      <c r="O101" s="307"/>
      <c r="P101" s="308"/>
      <c r="Q101" s="309"/>
      <c r="R101" s="309"/>
      <c r="S101" s="306"/>
      <c r="T101" s="331"/>
      <c r="U101" s="331"/>
      <c r="V101" s="331"/>
      <c r="W101" s="331"/>
      <c r="X101" s="331"/>
      <c r="Y101" s="331"/>
      <c r="Z101" s="331"/>
    </row>
    <row r="102">
      <c r="A102" s="331"/>
      <c r="B102" s="331"/>
      <c r="C102" s="331"/>
      <c r="D102" s="331"/>
      <c r="E102" s="331"/>
      <c r="F102" s="331"/>
      <c r="G102" s="331"/>
      <c r="H102" s="331"/>
      <c r="I102" s="331"/>
      <c r="J102" s="338"/>
      <c r="K102" s="339"/>
      <c r="L102" s="338"/>
      <c r="M102" s="331"/>
      <c r="N102" s="306"/>
      <c r="O102" s="307"/>
      <c r="P102" s="308"/>
      <c r="Q102" s="309"/>
      <c r="R102" s="309"/>
      <c r="S102" s="306"/>
      <c r="T102" s="331"/>
      <c r="U102" s="331"/>
      <c r="V102" s="331"/>
      <c r="W102" s="331"/>
      <c r="X102" s="331"/>
      <c r="Y102" s="331"/>
      <c r="Z102" s="331"/>
    </row>
    <row r="103">
      <c r="A103" s="331"/>
      <c r="B103" s="331"/>
      <c r="C103" s="331"/>
      <c r="D103" s="331"/>
      <c r="E103" s="331"/>
      <c r="F103" s="331"/>
      <c r="G103" s="331"/>
      <c r="H103" s="331"/>
      <c r="I103" s="331"/>
      <c r="J103" s="338"/>
      <c r="K103" s="339"/>
      <c r="L103" s="338"/>
      <c r="M103" s="331"/>
      <c r="N103" s="306"/>
      <c r="O103" s="307"/>
      <c r="P103" s="308"/>
      <c r="Q103" s="309"/>
      <c r="R103" s="309"/>
      <c r="S103" s="306"/>
      <c r="T103" s="331"/>
      <c r="U103" s="331"/>
      <c r="V103" s="331"/>
      <c r="W103" s="331"/>
      <c r="X103" s="331"/>
      <c r="Y103" s="331"/>
      <c r="Z103" s="331"/>
    </row>
    <row r="104">
      <c r="A104" s="331"/>
      <c r="B104" s="331"/>
      <c r="C104" s="331"/>
      <c r="D104" s="331"/>
      <c r="E104" s="331"/>
      <c r="F104" s="331"/>
      <c r="G104" s="331"/>
      <c r="H104" s="331"/>
      <c r="I104" s="331"/>
      <c r="J104" s="338"/>
      <c r="K104" s="339"/>
      <c r="L104" s="338"/>
      <c r="M104" s="331"/>
      <c r="N104" s="306"/>
      <c r="O104" s="307"/>
      <c r="P104" s="308"/>
      <c r="Q104" s="309"/>
      <c r="R104" s="309"/>
      <c r="S104" s="306"/>
      <c r="T104" s="331"/>
      <c r="U104" s="331"/>
      <c r="V104" s="331"/>
      <c r="W104" s="331"/>
      <c r="X104" s="331"/>
      <c r="Y104" s="331"/>
      <c r="Z104" s="331"/>
    </row>
    <row r="105">
      <c r="A105" s="331"/>
      <c r="B105" s="331"/>
      <c r="C105" s="331"/>
      <c r="D105" s="331"/>
      <c r="E105" s="331"/>
      <c r="F105" s="331"/>
      <c r="G105" s="331"/>
      <c r="H105" s="331"/>
      <c r="I105" s="331"/>
      <c r="J105" s="338"/>
      <c r="K105" s="339"/>
      <c r="L105" s="338"/>
      <c r="M105" s="331"/>
      <c r="N105" s="306"/>
      <c r="O105" s="307"/>
      <c r="P105" s="308"/>
      <c r="Q105" s="309"/>
      <c r="R105" s="309"/>
      <c r="S105" s="306"/>
      <c r="T105" s="331"/>
      <c r="U105" s="331"/>
      <c r="V105" s="331"/>
      <c r="W105" s="331"/>
      <c r="X105" s="331"/>
      <c r="Y105" s="331"/>
      <c r="Z105" s="331"/>
    </row>
    <row r="106">
      <c r="A106" s="331"/>
      <c r="B106" s="331"/>
      <c r="C106" s="331"/>
      <c r="D106" s="331"/>
      <c r="E106" s="331"/>
      <c r="F106" s="331"/>
      <c r="G106" s="331"/>
      <c r="H106" s="331"/>
      <c r="I106" s="331"/>
      <c r="J106" s="338"/>
      <c r="K106" s="339"/>
      <c r="L106" s="338"/>
      <c r="M106" s="331"/>
      <c r="N106" s="306"/>
      <c r="O106" s="307"/>
      <c r="P106" s="308"/>
      <c r="Q106" s="309"/>
      <c r="R106" s="309"/>
      <c r="S106" s="306"/>
      <c r="T106" s="331"/>
      <c r="U106" s="331"/>
      <c r="V106" s="331"/>
      <c r="W106" s="331"/>
      <c r="X106" s="331"/>
      <c r="Y106" s="331"/>
      <c r="Z106" s="331"/>
    </row>
    <row r="107">
      <c r="A107" s="331"/>
      <c r="B107" s="331"/>
      <c r="C107" s="331"/>
      <c r="D107" s="331"/>
      <c r="E107" s="331"/>
      <c r="F107" s="331"/>
      <c r="G107" s="331"/>
      <c r="H107" s="331"/>
      <c r="I107" s="331"/>
      <c r="J107" s="338"/>
      <c r="K107" s="339"/>
      <c r="L107" s="338"/>
      <c r="M107" s="331"/>
      <c r="N107" s="306"/>
      <c r="O107" s="307"/>
      <c r="P107" s="308"/>
      <c r="Q107" s="309"/>
      <c r="R107" s="309"/>
      <c r="S107" s="306"/>
      <c r="T107" s="331"/>
      <c r="U107" s="331"/>
      <c r="V107" s="331"/>
      <c r="W107" s="331"/>
      <c r="X107" s="331"/>
      <c r="Y107" s="331"/>
      <c r="Z107" s="331"/>
    </row>
    <row r="108">
      <c r="A108" s="331"/>
      <c r="B108" s="331"/>
      <c r="C108" s="331"/>
      <c r="D108" s="331"/>
      <c r="E108" s="331"/>
      <c r="F108" s="331"/>
      <c r="G108" s="331"/>
      <c r="H108" s="331"/>
      <c r="I108" s="331"/>
      <c r="J108" s="338"/>
      <c r="K108" s="339"/>
      <c r="L108" s="338"/>
      <c r="M108" s="331"/>
      <c r="N108" s="306"/>
      <c r="O108" s="307"/>
      <c r="P108" s="308"/>
      <c r="Q108" s="309"/>
      <c r="R108" s="309"/>
      <c r="S108" s="306"/>
      <c r="T108" s="331"/>
      <c r="U108" s="331"/>
      <c r="V108" s="331"/>
      <c r="W108" s="331"/>
      <c r="X108" s="331"/>
      <c r="Y108" s="331"/>
      <c r="Z108" s="331"/>
    </row>
    <row r="109">
      <c r="A109" s="331"/>
      <c r="B109" s="331"/>
      <c r="C109" s="331"/>
      <c r="D109" s="331"/>
      <c r="E109" s="331"/>
      <c r="F109" s="331"/>
      <c r="G109" s="331"/>
      <c r="H109" s="331"/>
      <c r="I109" s="331"/>
      <c r="J109" s="338"/>
      <c r="K109" s="339"/>
      <c r="L109" s="338"/>
      <c r="M109" s="331"/>
      <c r="N109" s="306"/>
      <c r="O109" s="307"/>
      <c r="P109" s="308"/>
      <c r="Q109" s="309"/>
      <c r="R109" s="309"/>
      <c r="S109" s="306"/>
      <c r="T109" s="331"/>
      <c r="U109" s="331"/>
      <c r="V109" s="331"/>
      <c r="W109" s="331"/>
      <c r="X109" s="331"/>
      <c r="Y109" s="331"/>
      <c r="Z109" s="331"/>
    </row>
    <row r="110">
      <c r="A110" s="331"/>
      <c r="B110" s="331"/>
      <c r="C110" s="331"/>
      <c r="D110" s="331"/>
      <c r="E110" s="331"/>
      <c r="F110" s="331"/>
      <c r="G110" s="331"/>
      <c r="H110" s="331"/>
      <c r="I110" s="331"/>
      <c r="J110" s="338"/>
      <c r="K110" s="339"/>
      <c r="L110" s="338"/>
      <c r="M110" s="331"/>
      <c r="N110" s="306"/>
      <c r="O110" s="307"/>
      <c r="P110" s="308"/>
      <c r="Q110" s="309"/>
      <c r="R110" s="309"/>
      <c r="S110" s="306"/>
      <c r="T110" s="331"/>
      <c r="U110" s="331"/>
      <c r="V110" s="331"/>
      <c r="W110" s="331"/>
      <c r="X110" s="331"/>
      <c r="Y110" s="331"/>
      <c r="Z110" s="331"/>
    </row>
    <row r="111">
      <c r="A111" s="331"/>
      <c r="B111" s="331"/>
      <c r="C111" s="331"/>
      <c r="D111" s="331"/>
      <c r="E111" s="331"/>
      <c r="F111" s="331"/>
      <c r="G111" s="331"/>
      <c r="H111" s="331"/>
      <c r="I111" s="331"/>
      <c r="J111" s="338"/>
      <c r="K111" s="339"/>
      <c r="L111" s="338"/>
      <c r="M111" s="331"/>
      <c r="N111" s="306"/>
      <c r="O111" s="307"/>
      <c r="P111" s="308"/>
      <c r="Q111" s="309"/>
      <c r="R111" s="309"/>
      <c r="S111" s="306"/>
      <c r="T111" s="331"/>
      <c r="U111" s="331"/>
      <c r="V111" s="331"/>
      <c r="W111" s="331"/>
      <c r="X111" s="331"/>
      <c r="Y111" s="331"/>
      <c r="Z111" s="331"/>
    </row>
    <row r="112">
      <c r="A112" s="331"/>
      <c r="B112" s="331"/>
      <c r="C112" s="331"/>
      <c r="D112" s="331"/>
      <c r="E112" s="331"/>
      <c r="F112" s="331"/>
      <c r="G112" s="331"/>
      <c r="H112" s="331"/>
      <c r="I112" s="331"/>
      <c r="J112" s="338"/>
      <c r="K112" s="339"/>
      <c r="L112" s="338"/>
      <c r="M112" s="331"/>
      <c r="N112" s="306"/>
      <c r="O112" s="307"/>
      <c r="P112" s="308"/>
      <c r="Q112" s="309"/>
      <c r="R112" s="309"/>
      <c r="S112" s="306"/>
      <c r="T112" s="331"/>
      <c r="U112" s="331"/>
      <c r="V112" s="331"/>
      <c r="W112" s="331"/>
      <c r="X112" s="331"/>
      <c r="Y112" s="331"/>
      <c r="Z112" s="331"/>
    </row>
    <row r="113">
      <c r="A113" s="331"/>
      <c r="B113" s="331"/>
      <c r="C113" s="331"/>
      <c r="D113" s="331"/>
      <c r="E113" s="331"/>
      <c r="F113" s="331"/>
      <c r="G113" s="331"/>
      <c r="H113" s="331"/>
      <c r="I113" s="331"/>
      <c r="J113" s="338"/>
      <c r="K113" s="339"/>
      <c r="L113" s="338"/>
      <c r="M113" s="331"/>
      <c r="N113" s="306"/>
      <c r="O113" s="307"/>
      <c r="P113" s="308"/>
      <c r="Q113" s="309"/>
      <c r="R113" s="309"/>
      <c r="S113" s="306"/>
      <c r="T113" s="331"/>
      <c r="U113" s="331"/>
      <c r="V113" s="331"/>
      <c r="W113" s="331"/>
      <c r="X113" s="331"/>
      <c r="Y113" s="331"/>
      <c r="Z113" s="331"/>
    </row>
    <row r="114">
      <c r="A114" s="331"/>
      <c r="B114" s="331"/>
      <c r="C114" s="331"/>
      <c r="D114" s="331"/>
      <c r="E114" s="331"/>
      <c r="F114" s="331"/>
      <c r="G114" s="331"/>
      <c r="H114" s="331"/>
      <c r="I114" s="331"/>
      <c r="J114" s="338"/>
      <c r="K114" s="339"/>
      <c r="L114" s="338"/>
      <c r="M114" s="331"/>
      <c r="N114" s="306"/>
      <c r="O114" s="307"/>
      <c r="P114" s="308"/>
      <c r="Q114" s="309"/>
      <c r="R114" s="309"/>
      <c r="S114" s="306"/>
      <c r="T114" s="331"/>
      <c r="U114" s="331"/>
      <c r="V114" s="331"/>
      <c r="W114" s="331"/>
      <c r="X114" s="331"/>
      <c r="Y114" s="331"/>
      <c r="Z114" s="331"/>
    </row>
    <row r="115">
      <c r="A115" s="331"/>
      <c r="B115" s="331"/>
      <c r="C115" s="331"/>
      <c r="D115" s="331"/>
      <c r="E115" s="331"/>
      <c r="F115" s="331"/>
      <c r="G115" s="331"/>
      <c r="H115" s="331"/>
      <c r="I115" s="331"/>
      <c r="J115" s="338"/>
      <c r="K115" s="339"/>
      <c r="L115" s="338"/>
      <c r="M115" s="331"/>
      <c r="N115" s="306"/>
      <c r="O115" s="307"/>
      <c r="P115" s="308"/>
      <c r="Q115" s="309"/>
      <c r="R115" s="309"/>
      <c r="S115" s="306"/>
      <c r="T115" s="331"/>
      <c r="U115" s="331"/>
      <c r="V115" s="331"/>
      <c r="W115" s="331"/>
      <c r="X115" s="331"/>
      <c r="Y115" s="331"/>
      <c r="Z115" s="331"/>
    </row>
    <row r="116">
      <c r="A116" s="331"/>
      <c r="B116" s="331"/>
      <c r="C116" s="331"/>
      <c r="D116" s="331"/>
      <c r="E116" s="331"/>
      <c r="F116" s="331"/>
      <c r="G116" s="331"/>
      <c r="H116" s="331"/>
      <c r="I116" s="331"/>
      <c r="J116" s="338"/>
      <c r="K116" s="339"/>
      <c r="L116" s="338"/>
      <c r="M116" s="331"/>
      <c r="N116" s="306"/>
      <c r="O116" s="307"/>
      <c r="P116" s="308"/>
      <c r="Q116" s="309"/>
      <c r="R116" s="309"/>
      <c r="S116" s="306"/>
      <c r="T116" s="331"/>
      <c r="U116" s="331"/>
      <c r="V116" s="331"/>
      <c r="W116" s="331"/>
      <c r="X116" s="331"/>
      <c r="Y116" s="331"/>
      <c r="Z116" s="331"/>
    </row>
    <row r="117">
      <c r="A117" s="331"/>
      <c r="B117" s="331"/>
      <c r="C117" s="331"/>
      <c r="D117" s="331"/>
      <c r="E117" s="331"/>
      <c r="F117" s="331"/>
      <c r="G117" s="331"/>
      <c r="H117" s="331"/>
      <c r="I117" s="331"/>
      <c r="J117" s="338"/>
      <c r="K117" s="339"/>
      <c r="L117" s="338"/>
      <c r="M117" s="331"/>
      <c r="N117" s="306"/>
      <c r="O117" s="307"/>
      <c r="P117" s="308"/>
      <c r="Q117" s="309"/>
      <c r="R117" s="309"/>
      <c r="S117" s="306"/>
      <c r="T117" s="331"/>
      <c r="U117" s="331"/>
      <c r="V117" s="331"/>
      <c r="W117" s="331"/>
      <c r="X117" s="331"/>
      <c r="Y117" s="331"/>
      <c r="Z117" s="331"/>
    </row>
    <row r="118">
      <c r="A118" s="331"/>
      <c r="B118" s="331"/>
      <c r="C118" s="331"/>
      <c r="D118" s="331"/>
      <c r="E118" s="331"/>
      <c r="F118" s="331"/>
      <c r="G118" s="331"/>
      <c r="H118" s="331"/>
      <c r="I118" s="331"/>
      <c r="J118" s="338"/>
      <c r="K118" s="339"/>
      <c r="L118" s="338"/>
      <c r="M118" s="331"/>
      <c r="N118" s="306"/>
      <c r="O118" s="307"/>
      <c r="P118" s="308"/>
      <c r="Q118" s="309"/>
      <c r="R118" s="309"/>
      <c r="S118" s="306"/>
      <c r="T118" s="331"/>
      <c r="U118" s="331"/>
      <c r="V118" s="331"/>
      <c r="W118" s="331"/>
      <c r="X118" s="331"/>
      <c r="Y118" s="331"/>
      <c r="Z118" s="331"/>
    </row>
    <row r="119">
      <c r="A119" s="331"/>
      <c r="B119" s="331"/>
      <c r="C119" s="331"/>
      <c r="D119" s="331"/>
      <c r="E119" s="331"/>
      <c r="F119" s="331"/>
      <c r="G119" s="331"/>
      <c r="H119" s="331"/>
      <c r="I119" s="331"/>
      <c r="J119" s="338"/>
      <c r="K119" s="339"/>
      <c r="L119" s="338"/>
      <c r="M119" s="331"/>
      <c r="N119" s="306"/>
      <c r="O119" s="307"/>
      <c r="P119" s="308"/>
      <c r="Q119" s="309"/>
      <c r="R119" s="309"/>
      <c r="S119" s="306"/>
      <c r="T119" s="331"/>
      <c r="U119" s="331"/>
      <c r="V119" s="331"/>
      <c r="W119" s="331"/>
      <c r="X119" s="331"/>
      <c r="Y119" s="331"/>
      <c r="Z119" s="331"/>
    </row>
    <row r="120">
      <c r="A120" s="331"/>
      <c r="B120" s="331"/>
      <c r="C120" s="331"/>
      <c r="D120" s="331"/>
      <c r="E120" s="331"/>
      <c r="F120" s="331"/>
      <c r="G120" s="331"/>
      <c r="H120" s="331"/>
      <c r="I120" s="331"/>
      <c r="J120" s="338"/>
      <c r="K120" s="339"/>
      <c r="L120" s="338"/>
      <c r="M120" s="331"/>
      <c r="N120" s="306"/>
      <c r="O120" s="307"/>
      <c r="P120" s="308"/>
      <c r="Q120" s="309"/>
      <c r="R120" s="309"/>
      <c r="S120" s="306"/>
      <c r="T120" s="331"/>
      <c r="U120" s="331"/>
      <c r="V120" s="331"/>
      <c r="W120" s="331"/>
      <c r="X120" s="331"/>
      <c r="Y120" s="331"/>
      <c r="Z120" s="331"/>
    </row>
    <row r="121">
      <c r="A121" s="331"/>
      <c r="B121" s="331"/>
      <c r="C121" s="331"/>
      <c r="D121" s="331"/>
      <c r="E121" s="331"/>
      <c r="F121" s="331"/>
      <c r="G121" s="331"/>
      <c r="H121" s="331"/>
      <c r="I121" s="331"/>
      <c r="J121" s="338"/>
      <c r="K121" s="339"/>
      <c r="L121" s="338"/>
      <c r="M121" s="331"/>
      <c r="N121" s="306"/>
      <c r="O121" s="307"/>
      <c r="P121" s="308"/>
      <c r="Q121" s="309"/>
      <c r="R121" s="309"/>
      <c r="S121" s="306"/>
      <c r="T121" s="331"/>
      <c r="U121" s="331"/>
      <c r="V121" s="331"/>
      <c r="W121" s="331"/>
      <c r="X121" s="331"/>
      <c r="Y121" s="331"/>
      <c r="Z121" s="331"/>
    </row>
    <row r="122">
      <c r="A122" s="331"/>
      <c r="B122" s="331"/>
      <c r="C122" s="331"/>
      <c r="D122" s="331"/>
      <c r="E122" s="331"/>
      <c r="F122" s="331"/>
      <c r="G122" s="331"/>
      <c r="H122" s="331"/>
      <c r="I122" s="331"/>
      <c r="J122" s="338"/>
      <c r="K122" s="339"/>
      <c r="L122" s="338"/>
      <c r="M122" s="331"/>
      <c r="N122" s="306"/>
      <c r="O122" s="307"/>
      <c r="P122" s="308"/>
      <c r="Q122" s="309"/>
      <c r="R122" s="309"/>
      <c r="S122" s="306"/>
      <c r="T122" s="331"/>
      <c r="U122" s="331"/>
      <c r="V122" s="331"/>
      <c r="W122" s="331"/>
      <c r="X122" s="331"/>
      <c r="Y122" s="331"/>
      <c r="Z122" s="331"/>
    </row>
    <row r="123">
      <c r="A123" s="331"/>
      <c r="B123" s="331"/>
      <c r="C123" s="331"/>
      <c r="D123" s="331"/>
      <c r="E123" s="331"/>
      <c r="F123" s="331"/>
      <c r="G123" s="331"/>
      <c r="H123" s="331"/>
      <c r="I123" s="331"/>
      <c r="J123" s="338"/>
      <c r="K123" s="339"/>
      <c r="L123" s="338"/>
      <c r="M123" s="331"/>
      <c r="N123" s="306"/>
      <c r="O123" s="307"/>
      <c r="P123" s="308"/>
      <c r="Q123" s="309"/>
      <c r="R123" s="309"/>
      <c r="S123" s="306"/>
      <c r="T123" s="331"/>
      <c r="U123" s="331"/>
      <c r="V123" s="331"/>
      <c r="W123" s="331"/>
      <c r="X123" s="331"/>
      <c r="Y123" s="331"/>
      <c r="Z123" s="331"/>
    </row>
    <row r="124">
      <c r="A124" s="331"/>
      <c r="B124" s="331"/>
      <c r="C124" s="331"/>
      <c r="D124" s="331"/>
      <c r="E124" s="331"/>
      <c r="F124" s="331"/>
      <c r="G124" s="331"/>
      <c r="H124" s="331"/>
      <c r="I124" s="331"/>
      <c r="J124" s="338"/>
      <c r="K124" s="339"/>
      <c r="L124" s="338"/>
      <c r="M124" s="331"/>
      <c r="N124" s="306"/>
      <c r="O124" s="307"/>
      <c r="P124" s="308"/>
      <c r="Q124" s="309"/>
      <c r="R124" s="309"/>
      <c r="S124" s="306"/>
      <c r="T124" s="331"/>
      <c r="U124" s="331"/>
      <c r="V124" s="331"/>
      <c r="W124" s="331"/>
      <c r="X124" s="331"/>
      <c r="Y124" s="331"/>
      <c r="Z124" s="331"/>
    </row>
    <row r="125">
      <c r="A125" s="331"/>
      <c r="B125" s="331"/>
      <c r="C125" s="331"/>
      <c r="D125" s="331"/>
      <c r="E125" s="331"/>
      <c r="F125" s="331"/>
      <c r="G125" s="331"/>
      <c r="H125" s="331"/>
      <c r="I125" s="331"/>
      <c r="J125" s="338"/>
      <c r="K125" s="339"/>
      <c r="L125" s="338"/>
      <c r="M125" s="331"/>
      <c r="N125" s="306"/>
      <c r="O125" s="307"/>
      <c r="P125" s="308"/>
      <c r="Q125" s="309"/>
      <c r="R125" s="309"/>
      <c r="S125" s="306"/>
      <c r="T125" s="331"/>
      <c r="U125" s="331"/>
      <c r="V125" s="331"/>
      <c r="W125" s="331"/>
      <c r="X125" s="331"/>
      <c r="Y125" s="331"/>
      <c r="Z125" s="331"/>
    </row>
    <row r="126">
      <c r="A126" s="331"/>
      <c r="B126" s="331"/>
      <c r="C126" s="331"/>
      <c r="D126" s="331"/>
      <c r="E126" s="331"/>
      <c r="F126" s="331"/>
      <c r="G126" s="331"/>
      <c r="H126" s="331"/>
      <c r="I126" s="331"/>
      <c r="J126" s="338"/>
      <c r="K126" s="339"/>
      <c r="L126" s="338"/>
      <c r="M126" s="331"/>
      <c r="N126" s="306"/>
      <c r="O126" s="307"/>
      <c r="P126" s="308"/>
      <c r="Q126" s="309"/>
      <c r="R126" s="309"/>
      <c r="S126" s="306"/>
      <c r="T126" s="331"/>
      <c r="U126" s="331"/>
      <c r="V126" s="331"/>
      <c r="W126" s="331"/>
      <c r="X126" s="331"/>
      <c r="Y126" s="331"/>
      <c r="Z126" s="331"/>
    </row>
    <row r="127">
      <c r="A127" s="331"/>
      <c r="B127" s="331"/>
      <c r="C127" s="331"/>
      <c r="D127" s="331"/>
      <c r="E127" s="331"/>
      <c r="F127" s="331"/>
      <c r="G127" s="331"/>
      <c r="H127" s="331"/>
      <c r="I127" s="331"/>
      <c r="J127" s="338"/>
      <c r="K127" s="339"/>
      <c r="L127" s="338"/>
      <c r="M127" s="331"/>
      <c r="N127" s="306"/>
      <c r="O127" s="307"/>
      <c r="P127" s="308"/>
      <c r="Q127" s="309"/>
      <c r="R127" s="309"/>
      <c r="S127" s="306"/>
      <c r="T127" s="331"/>
      <c r="U127" s="331"/>
      <c r="V127" s="331"/>
      <c r="W127" s="331"/>
      <c r="X127" s="331"/>
      <c r="Y127" s="331"/>
      <c r="Z127" s="331"/>
    </row>
    <row r="128">
      <c r="A128" s="331"/>
      <c r="B128" s="331"/>
      <c r="C128" s="331"/>
      <c r="D128" s="331"/>
      <c r="E128" s="331"/>
      <c r="F128" s="331"/>
      <c r="G128" s="331"/>
      <c r="H128" s="331"/>
      <c r="I128" s="331"/>
      <c r="J128" s="338"/>
      <c r="K128" s="339"/>
      <c r="L128" s="338"/>
      <c r="M128" s="331"/>
      <c r="N128" s="306"/>
      <c r="O128" s="307"/>
      <c r="P128" s="308"/>
      <c r="Q128" s="309"/>
      <c r="R128" s="309"/>
      <c r="S128" s="306"/>
      <c r="T128" s="331"/>
      <c r="U128" s="331"/>
      <c r="V128" s="331"/>
      <c r="W128" s="331"/>
      <c r="X128" s="331"/>
      <c r="Y128" s="331"/>
      <c r="Z128" s="331"/>
    </row>
    <row r="129">
      <c r="A129" s="331"/>
      <c r="B129" s="331"/>
      <c r="C129" s="331"/>
      <c r="D129" s="331"/>
      <c r="E129" s="331"/>
      <c r="F129" s="331"/>
      <c r="G129" s="331"/>
      <c r="H129" s="331"/>
      <c r="I129" s="331"/>
      <c r="J129" s="338"/>
      <c r="K129" s="339"/>
      <c r="L129" s="338"/>
      <c r="M129" s="331"/>
      <c r="N129" s="306"/>
      <c r="O129" s="307"/>
      <c r="P129" s="308"/>
      <c r="Q129" s="309"/>
      <c r="R129" s="309"/>
      <c r="S129" s="306"/>
      <c r="T129" s="331"/>
      <c r="U129" s="331"/>
      <c r="V129" s="331"/>
      <c r="W129" s="331"/>
      <c r="X129" s="331"/>
      <c r="Y129" s="331"/>
      <c r="Z129" s="331"/>
    </row>
    <row r="130">
      <c r="A130" s="331"/>
      <c r="B130" s="331"/>
      <c r="C130" s="331"/>
      <c r="D130" s="331"/>
      <c r="E130" s="331"/>
      <c r="F130" s="331"/>
      <c r="G130" s="331"/>
      <c r="H130" s="331"/>
      <c r="I130" s="331"/>
      <c r="J130" s="338"/>
      <c r="K130" s="339"/>
      <c r="L130" s="338"/>
      <c r="M130" s="331"/>
      <c r="N130" s="306"/>
      <c r="O130" s="307"/>
      <c r="P130" s="308"/>
      <c r="Q130" s="309"/>
      <c r="R130" s="309"/>
      <c r="S130" s="306"/>
      <c r="T130" s="331"/>
      <c r="U130" s="331"/>
      <c r="V130" s="331"/>
      <c r="W130" s="331"/>
      <c r="X130" s="331"/>
      <c r="Y130" s="331"/>
      <c r="Z130" s="331"/>
    </row>
    <row r="131">
      <c r="A131" s="331"/>
      <c r="B131" s="331"/>
      <c r="C131" s="331"/>
      <c r="D131" s="331"/>
      <c r="E131" s="331"/>
      <c r="F131" s="331"/>
      <c r="G131" s="331"/>
      <c r="H131" s="331"/>
      <c r="I131" s="331"/>
      <c r="J131" s="338"/>
      <c r="K131" s="339"/>
      <c r="L131" s="338"/>
      <c r="M131" s="331"/>
      <c r="N131" s="306"/>
      <c r="O131" s="307"/>
      <c r="P131" s="308"/>
      <c r="Q131" s="309"/>
      <c r="R131" s="309"/>
      <c r="S131" s="306"/>
      <c r="T131" s="331"/>
      <c r="U131" s="331"/>
      <c r="V131" s="331"/>
      <c r="W131" s="331"/>
      <c r="X131" s="331"/>
      <c r="Y131" s="331"/>
      <c r="Z131" s="331"/>
    </row>
    <row r="132">
      <c r="A132" s="331"/>
      <c r="B132" s="331"/>
      <c r="C132" s="331"/>
      <c r="D132" s="331"/>
      <c r="E132" s="331"/>
      <c r="F132" s="331"/>
      <c r="G132" s="331"/>
      <c r="H132" s="331"/>
      <c r="I132" s="331"/>
      <c r="J132" s="338"/>
      <c r="K132" s="339"/>
      <c r="L132" s="338"/>
      <c r="M132" s="331"/>
      <c r="N132" s="306"/>
      <c r="O132" s="307"/>
      <c r="P132" s="308"/>
      <c r="Q132" s="309"/>
      <c r="R132" s="309"/>
      <c r="S132" s="306"/>
      <c r="T132" s="331"/>
      <c r="U132" s="331"/>
      <c r="V132" s="331"/>
      <c r="W132" s="331"/>
      <c r="X132" s="331"/>
      <c r="Y132" s="331"/>
      <c r="Z132" s="331"/>
    </row>
    <row r="133">
      <c r="A133" s="331"/>
      <c r="B133" s="331"/>
      <c r="C133" s="331"/>
      <c r="D133" s="331"/>
      <c r="E133" s="331"/>
      <c r="F133" s="331"/>
      <c r="G133" s="331"/>
      <c r="H133" s="331"/>
      <c r="I133" s="331"/>
      <c r="J133" s="338"/>
      <c r="K133" s="339"/>
      <c r="L133" s="338"/>
      <c r="M133" s="331"/>
      <c r="N133" s="306"/>
      <c r="O133" s="307"/>
      <c r="P133" s="308"/>
      <c r="Q133" s="309"/>
      <c r="R133" s="309"/>
      <c r="S133" s="306"/>
      <c r="T133" s="331"/>
      <c r="U133" s="331"/>
      <c r="V133" s="331"/>
      <c r="W133" s="331"/>
      <c r="X133" s="331"/>
      <c r="Y133" s="331"/>
      <c r="Z133" s="331"/>
    </row>
    <row r="134">
      <c r="A134" s="331"/>
      <c r="B134" s="331"/>
      <c r="C134" s="331"/>
      <c r="D134" s="331"/>
      <c r="E134" s="331"/>
      <c r="F134" s="331"/>
      <c r="G134" s="331"/>
      <c r="H134" s="331"/>
      <c r="I134" s="331"/>
      <c r="J134" s="338"/>
      <c r="K134" s="339"/>
      <c r="L134" s="338"/>
      <c r="M134" s="331"/>
      <c r="N134" s="306"/>
      <c r="O134" s="307"/>
      <c r="P134" s="308"/>
      <c r="Q134" s="309"/>
      <c r="R134" s="309"/>
      <c r="S134" s="306"/>
      <c r="T134" s="331"/>
      <c r="U134" s="331"/>
      <c r="V134" s="331"/>
      <c r="W134" s="331"/>
      <c r="X134" s="331"/>
      <c r="Y134" s="331"/>
      <c r="Z134" s="331"/>
    </row>
    <row r="135">
      <c r="A135" s="331"/>
      <c r="B135" s="331"/>
      <c r="C135" s="331"/>
      <c r="D135" s="331"/>
      <c r="E135" s="331"/>
      <c r="F135" s="331"/>
      <c r="G135" s="331"/>
      <c r="H135" s="331"/>
      <c r="I135" s="331"/>
      <c r="J135" s="338"/>
      <c r="K135" s="339"/>
      <c r="L135" s="338"/>
      <c r="M135" s="331"/>
      <c r="N135" s="306"/>
      <c r="O135" s="307"/>
      <c r="P135" s="308"/>
      <c r="Q135" s="309"/>
      <c r="R135" s="309"/>
      <c r="S135" s="306"/>
      <c r="T135" s="331"/>
      <c r="U135" s="331"/>
      <c r="V135" s="331"/>
      <c r="W135" s="331"/>
      <c r="X135" s="331"/>
      <c r="Y135" s="331"/>
      <c r="Z135" s="331"/>
    </row>
    <row r="136">
      <c r="A136" s="331"/>
      <c r="B136" s="331"/>
      <c r="C136" s="331"/>
      <c r="D136" s="331"/>
      <c r="E136" s="331"/>
      <c r="F136" s="331"/>
      <c r="G136" s="331"/>
      <c r="H136" s="331"/>
      <c r="I136" s="331"/>
      <c r="J136" s="338"/>
      <c r="K136" s="339"/>
      <c r="L136" s="338"/>
      <c r="M136" s="331"/>
      <c r="N136" s="306"/>
      <c r="O136" s="307"/>
      <c r="P136" s="308"/>
      <c r="Q136" s="309"/>
      <c r="R136" s="309"/>
      <c r="S136" s="306"/>
      <c r="T136" s="331"/>
      <c r="U136" s="331"/>
      <c r="V136" s="331"/>
      <c r="W136" s="331"/>
      <c r="X136" s="331"/>
      <c r="Y136" s="331"/>
      <c r="Z136" s="331"/>
    </row>
    <row r="137">
      <c r="A137" s="331"/>
      <c r="B137" s="331"/>
      <c r="C137" s="331"/>
      <c r="D137" s="331"/>
      <c r="E137" s="331"/>
      <c r="F137" s="331"/>
      <c r="G137" s="331"/>
      <c r="H137" s="331"/>
      <c r="I137" s="331"/>
      <c r="J137" s="338"/>
      <c r="K137" s="339"/>
      <c r="L137" s="338"/>
      <c r="M137" s="331"/>
      <c r="N137" s="306"/>
      <c r="O137" s="307"/>
      <c r="P137" s="308"/>
      <c r="Q137" s="309"/>
      <c r="R137" s="309"/>
      <c r="S137" s="306"/>
      <c r="T137" s="331"/>
      <c r="U137" s="331"/>
      <c r="V137" s="331"/>
      <c r="W137" s="331"/>
      <c r="X137" s="331"/>
      <c r="Y137" s="331"/>
      <c r="Z137" s="331"/>
    </row>
    <row r="138">
      <c r="A138" s="331"/>
      <c r="B138" s="331"/>
      <c r="C138" s="331"/>
      <c r="D138" s="331"/>
      <c r="E138" s="331"/>
      <c r="F138" s="331"/>
      <c r="G138" s="331"/>
      <c r="H138" s="331"/>
      <c r="I138" s="331"/>
      <c r="J138" s="338"/>
      <c r="K138" s="339"/>
      <c r="L138" s="338"/>
      <c r="M138" s="331"/>
      <c r="N138" s="306"/>
      <c r="O138" s="307"/>
      <c r="P138" s="308"/>
      <c r="Q138" s="309"/>
      <c r="R138" s="309"/>
      <c r="S138" s="306"/>
      <c r="T138" s="331"/>
      <c r="U138" s="331"/>
      <c r="V138" s="331"/>
      <c r="W138" s="331"/>
      <c r="X138" s="331"/>
      <c r="Y138" s="331"/>
      <c r="Z138" s="331"/>
    </row>
    <row r="139">
      <c r="A139" s="331"/>
      <c r="B139" s="331"/>
      <c r="C139" s="331"/>
      <c r="D139" s="331"/>
      <c r="E139" s="331"/>
      <c r="F139" s="331"/>
      <c r="G139" s="331"/>
      <c r="H139" s="331"/>
      <c r="I139" s="331"/>
      <c r="J139" s="338"/>
      <c r="K139" s="339"/>
      <c r="L139" s="338"/>
      <c r="M139" s="331"/>
      <c r="N139" s="306"/>
      <c r="O139" s="307"/>
      <c r="P139" s="308"/>
      <c r="Q139" s="309"/>
      <c r="R139" s="309"/>
      <c r="S139" s="306"/>
      <c r="T139" s="331"/>
      <c r="U139" s="331"/>
      <c r="V139" s="331"/>
      <c r="W139" s="331"/>
      <c r="X139" s="331"/>
      <c r="Y139" s="331"/>
      <c r="Z139" s="331"/>
    </row>
    <row r="140">
      <c r="A140" s="331"/>
      <c r="B140" s="331"/>
      <c r="C140" s="331"/>
      <c r="D140" s="331"/>
      <c r="E140" s="331"/>
      <c r="F140" s="331"/>
      <c r="G140" s="331"/>
      <c r="H140" s="331"/>
      <c r="I140" s="331"/>
      <c r="J140" s="338"/>
      <c r="K140" s="339"/>
      <c r="L140" s="338"/>
      <c r="M140" s="331"/>
      <c r="N140" s="306"/>
      <c r="O140" s="307"/>
      <c r="P140" s="308"/>
      <c r="Q140" s="309"/>
      <c r="R140" s="309"/>
      <c r="S140" s="306"/>
      <c r="T140" s="331"/>
      <c r="U140" s="331"/>
      <c r="V140" s="331"/>
      <c r="W140" s="331"/>
      <c r="X140" s="331"/>
      <c r="Y140" s="331"/>
      <c r="Z140" s="331"/>
    </row>
    <row r="141">
      <c r="A141" s="331"/>
      <c r="B141" s="331"/>
      <c r="C141" s="331"/>
      <c r="D141" s="331"/>
      <c r="E141" s="331"/>
      <c r="F141" s="331"/>
      <c r="G141" s="331"/>
      <c r="H141" s="331"/>
      <c r="I141" s="331"/>
      <c r="J141" s="338"/>
      <c r="K141" s="339"/>
      <c r="L141" s="338"/>
      <c r="M141" s="331"/>
      <c r="N141" s="306"/>
      <c r="O141" s="307"/>
      <c r="P141" s="308"/>
      <c r="Q141" s="309"/>
      <c r="R141" s="309"/>
      <c r="S141" s="306"/>
      <c r="T141" s="331"/>
      <c r="U141" s="331"/>
      <c r="V141" s="331"/>
      <c r="W141" s="331"/>
      <c r="X141" s="331"/>
      <c r="Y141" s="331"/>
      <c r="Z141" s="331"/>
    </row>
    <row r="142">
      <c r="A142" s="331"/>
      <c r="B142" s="331"/>
      <c r="C142" s="331"/>
      <c r="D142" s="331"/>
      <c r="E142" s="331"/>
      <c r="F142" s="331"/>
      <c r="G142" s="331"/>
      <c r="H142" s="331"/>
      <c r="I142" s="331"/>
      <c r="J142" s="338"/>
      <c r="K142" s="339"/>
      <c r="L142" s="338"/>
      <c r="M142" s="331"/>
      <c r="N142" s="306"/>
      <c r="O142" s="307"/>
      <c r="P142" s="308"/>
      <c r="Q142" s="309"/>
      <c r="R142" s="309"/>
      <c r="S142" s="306"/>
      <c r="T142" s="331"/>
      <c r="U142" s="331"/>
      <c r="V142" s="331"/>
      <c r="W142" s="331"/>
      <c r="X142" s="331"/>
      <c r="Y142" s="331"/>
      <c r="Z142" s="331"/>
    </row>
    <row r="143">
      <c r="A143" s="331"/>
      <c r="B143" s="331"/>
      <c r="C143" s="331"/>
      <c r="D143" s="331"/>
      <c r="E143" s="331"/>
      <c r="F143" s="331"/>
      <c r="G143" s="331"/>
      <c r="H143" s="331"/>
      <c r="I143" s="331"/>
      <c r="J143" s="338"/>
      <c r="K143" s="339"/>
      <c r="L143" s="338"/>
      <c r="M143" s="331"/>
      <c r="N143" s="306"/>
      <c r="O143" s="307"/>
      <c r="P143" s="308"/>
      <c r="Q143" s="309"/>
      <c r="R143" s="309"/>
      <c r="S143" s="306"/>
      <c r="T143" s="331"/>
      <c r="U143" s="331"/>
      <c r="V143" s="331"/>
      <c r="W143" s="331"/>
      <c r="X143" s="331"/>
      <c r="Y143" s="331"/>
      <c r="Z143" s="331"/>
    </row>
    <row r="144">
      <c r="A144" s="331"/>
      <c r="B144" s="331"/>
      <c r="C144" s="331"/>
      <c r="D144" s="331"/>
      <c r="E144" s="331"/>
      <c r="F144" s="331"/>
      <c r="G144" s="331"/>
      <c r="H144" s="331"/>
      <c r="I144" s="331"/>
      <c r="J144" s="338"/>
      <c r="K144" s="339"/>
      <c r="L144" s="338"/>
      <c r="M144" s="331"/>
      <c r="N144" s="306"/>
      <c r="O144" s="307"/>
      <c r="P144" s="308"/>
      <c r="Q144" s="309"/>
      <c r="R144" s="309"/>
      <c r="S144" s="306"/>
      <c r="T144" s="331"/>
      <c r="U144" s="331"/>
      <c r="V144" s="331"/>
      <c r="W144" s="331"/>
      <c r="X144" s="331"/>
      <c r="Y144" s="331"/>
      <c r="Z144" s="331"/>
    </row>
    <row r="145">
      <c r="A145" s="331"/>
      <c r="B145" s="331"/>
      <c r="C145" s="331"/>
      <c r="D145" s="331"/>
      <c r="E145" s="331"/>
      <c r="F145" s="331"/>
      <c r="G145" s="331"/>
      <c r="H145" s="331"/>
      <c r="I145" s="331"/>
      <c r="J145" s="338"/>
      <c r="K145" s="339"/>
      <c r="L145" s="338"/>
      <c r="M145" s="331"/>
      <c r="N145" s="306"/>
      <c r="O145" s="307"/>
      <c r="P145" s="308"/>
      <c r="Q145" s="309"/>
      <c r="R145" s="309"/>
      <c r="S145" s="306"/>
      <c r="T145" s="331"/>
      <c r="U145" s="331"/>
      <c r="V145" s="331"/>
      <c r="W145" s="331"/>
      <c r="X145" s="331"/>
      <c r="Y145" s="331"/>
      <c r="Z145" s="331"/>
    </row>
    <row r="146">
      <c r="A146" s="331"/>
      <c r="B146" s="331"/>
      <c r="C146" s="331"/>
      <c r="D146" s="331"/>
      <c r="E146" s="331"/>
      <c r="F146" s="331"/>
      <c r="G146" s="331"/>
      <c r="H146" s="331"/>
      <c r="I146" s="331"/>
      <c r="J146" s="338"/>
      <c r="K146" s="339"/>
      <c r="L146" s="338"/>
      <c r="M146" s="331"/>
      <c r="N146" s="306"/>
      <c r="O146" s="307"/>
      <c r="P146" s="308"/>
      <c r="Q146" s="309"/>
      <c r="R146" s="309"/>
      <c r="S146" s="306"/>
      <c r="T146" s="331"/>
      <c r="U146" s="331"/>
      <c r="V146" s="331"/>
      <c r="W146" s="331"/>
      <c r="X146" s="331"/>
      <c r="Y146" s="331"/>
      <c r="Z146" s="331"/>
    </row>
    <row r="147">
      <c r="A147" s="331"/>
      <c r="B147" s="331"/>
      <c r="C147" s="331"/>
      <c r="D147" s="331"/>
      <c r="E147" s="331"/>
      <c r="F147" s="331"/>
      <c r="G147" s="331"/>
      <c r="H147" s="331"/>
      <c r="I147" s="331"/>
      <c r="J147" s="338"/>
      <c r="K147" s="339"/>
      <c r="L147" s="338"/>
      <c r="M147" s="331"/>
      <c r="N147" s="306"/>
      <c r="O147" s="307"/>
      <c r="P147" s="308"/>
      <c r="Q147" s="309"/>
      <c r="R147" s="309"/>
      <c r="S147" s="306"/>
      <c r="T147" s="331"/>
      <c r="U147" s="331"/>
      <c r="V147" s="331"/>
      <c r="W147" s="331"/>
      <c r="X147" s="331"/>
      <c r="Y147" s="331"/>
      <c r="Z147" s="331"/>
    </row>
    <row r="148">
      <c r="A148" s="331"/>
      <c r="B148" s="331"/>
      <c r="C148" s="331"/>
      <c r="D148" s="331"/>
      <c r="E148" s="331"/>
      <c r="F148" s="331"/>
      <c r="G148" s="331"/>
      <c r="H148" s="331"/>
      <c r="I148" s="331"/>
      <c r="J148" s="338"/>
      <c r="K148" s="339"/>
      <c r="L148" s="338"/>
      <c r="M148" s="331"/>
      <c r="N148" s="306"/>
      <c r="O148" s="307"/>
      <c r="P148" s="308"/>
      <c r="Q148" s="309"/>
      <c r="R148" s="309"/>
      <c r="S148" s="306"/>
      <c r="T148" s="331"/>
      <c r="U148" s="331"/>
      <c r="V148" s="331"/>
      <c r="W148" s="331"/>
      <c r="X148" s="331"/>
      <c r="Y148" s="331"/>
      <c r="Z148" s="331"/>
    </row>
    <row r="149">
      <c r="A149" s="331"/>
      <c r="B149" s="331"/>
      <c r="C149" s="331"/>
      <c r="D149" s="331"/>
      <c r="E149" s="331"/>
      <c r="F149" s="331"/>
      <c r="G149" s="331"/>
      <c r="H149" s="331"/>
      <c r="I149" s="331"/>
      <c r="J149" s="338"/>
      <c r="K149" s="339"/>
      <c r="L149" s="338"/>
      <c r="M149" s="331"/>
      <c r="N149" s="306"/>
      <c r="O149" s="307"/>
      <c r="P149" s="308"/>
      <c r="Q149" s="309"/>
      <c r="R149" s="309"/>
      <c r="S149" s="306"/>
      <c r="T149" s="331"/>
      <c r="U149" s="331"/>
      <c r="V149" s="331"/>
      <c r="W149" s="331"/>
      <c r="X149" s="331"/>
      <c r="Y149" s="331"/>
      <c r="Z149" s="331"/>
    </row>
    <row r="150">
      <c r="A150" s="331"/>
      <c r="B150" s="331"/>
      <c r="C150" s="331"/>
      <c r="D150" s="331"/>
      <c r="E150" s="331"/>
      <c r="F150" s="331"/>
      <c r="G150" s="331"/>
      <c r="H150" s="331"/>
      <c r="I150" s="331"/>
      <c r="J150" s="338"/>
      <c r="K150" s="339"/>
      <c r="L150" s="338"/>
      <c r="M150" s="331"/>
      <c r="N150" s="306"/>
      <c r="O150" s="307"/>
      <c r="P150" s="308"/>
      <c r="Q150" s="309"/>
      <c r="R150" s="309"/>
      <c r="S150" s="306"/>
      <c r="T150" s="331"/>
      <c r="U150" s="331"/>
      <c r="V150" s="331"/>
      <c r="W150" s="331"/>
      <c r="X150" s="331"/>
      <c r="Y150" s="331"/>
      <c r="Z150" s="331"/>
    </row>
    <row r="151">
      <c r="A151" s="331"/>
      <c r="B151" s="331"/>
      <c r="C151" s="331"/>
      <c r="D151" s="331"/>
      <c r="E151" s="331"/>
      <c r="F151" s="331"/>
      <c r="G151" s="331"/>
      <c r="H151" s="331"/>
      <c r="I151" s="331"/>
      <c r="J151" s="338"/>
      <c r="K151" s="339"/>
      <c r="L151" s="338"/>
      <c r="M151" s="331"/>
      <c r="N151" s="306"/>
      <c r="O151" s="307"/>
      <c r="P151" s="308"/>
      <c r="Q151" s="309"/>
      <c r="R151" s="309"/>
      <c r="S151" s="306"/>
      <c r="T151" s="331"/>
      <c r="U151" s="331"/>
      <c r="V151" s="331"/>
      <c r="W151" s="331"/>
      <c r="X151" s="331"/>
      <c r="Y151" s="331"/>
      <c r="Z151" s="331"/>
    </row>
    <row r="152">
      <c r="A152" s="331"/>
      <c r="B152" s="331"/>
      <c r="C152" s="331"/>
      <c r="D152" s="331"/>
      <c r="E152" s="331"/>
      <c r="F152" s="331"/>
      <c r="G152" s="331"/>
      <c r="H152" s="331"/>
      <c r="I152" s="331"/>
      <c r="J152" s="338"/>
      <c r="K152" s="339"/>
      <c r="L152" s="338"/>
      <c r="M152" s="331"/>
      <c r="N152" s="306"/>
      <c r="O152" s="307"/>
      <c r="P152" s="308"/>
      <c r="Q152" s="309"/>
      <c r="R152" s="309"/>
      <c r="S152" s="306"/>
      <c r="T152" s="331"/>
      <c r="U152" s="331"/>
      <c r="V152" s="331"/>
      <c r="W152" s="331"/>
      <c r="X152" s="331"/>
      <c r="Y152" s="331"/>
      <c r="Z152" s="331"/>
    </row>
    <row r="153">
      <c r="A153" s="331"/>
      <c r="B153" s="331"/>
      <c r="C153" s="331"/>
      <c r="D153" s="331"/>
      <c r="E153" s="331"/>
      <c r="F153" s="331"/>
      <c r="G153" s="331"/>
      <c r="H153" s="331"/>
      <c r="I153" s="331"/>
      <c r="J153" s="338"/>
      <c r="K153" s="339"/>
      <c r="L153" s="338"/>
      <c r="M153" s="331"/>
      <c r="N153" s="306"/>
      <c r="O153" s="307"/>
      <c r="P153" s="308"/>
      <c r="Q153" s="309"/>
      <c r="R153" s="309"/>
      <c r="S153" s="306"/>
      <c r="T153" s="331"/>
      <c r="U153" s="331"/>
      <c r="V153" s="331"/>
      <c r="W153" s="331"/>
      <c r="X153" s="331"/>
      <c r="Y153" s="331"/>
      <c r="Z153" s="331"/>
    </row>
    <row r="154">
      <c r="A154" s="331"/>
      <c r="B154" s="331"/>
      <c r="C154" s="331"/>
      <c r="D154" s="331"/>
      <c r="E154" s="331"/>
      <c r="F154" s="331"/>
      <c r="G154" s="331"/>
      <c r="H154" s="331"/>
      <c r="I154" s="331"/>
      <c r="J154" s="338"/>
      <c r="K154" s="339"/>
      <c r="L154" s="338"/>
      <c r="M154" s="331"/>
      <c r="N154" s="306"/>
      <c r="O154" s="307"/>
      <c r="P154" s="308"/>
      <c r="Q154" s="309"/>
      <c r="R154" s="309"/>
      <c r="S154" s="306"/>
      <c r="T154" s="331"/>
      <c r="U154" s="331"/>
      <c r="V154" s="331"/>
      <c r="W154" s="331"/>
      <c r="X154" s="331"/>
      <c r="Y154" s="331"/>
      <c r="Z154" s="331"/>
    </row>
    <row r="155">
      <c r="A155" s="331"/>
      <c r="B155" s="331"/>
      <c r="C155" s="331"/>
      <c r="D155" s="331"/>
      <c r="E155" s="331"/>
      <c r="F155" s="331"/>
      <c r="G155" s="331"/>
      <c r="H155" s="331"/>
      <c r="I155" s="331"/>
      <c r="J155" s="338"/>
      <c r="K155" s="339"/>
      <c r="L155" s="338"/>
      <c r="M155" s="331"/>
      <c r="N155" s="306"/>
      <c r="O155" s="307"/>
      <c r="P155" s="308"/>
      <c r="Q155" s="309"/>
      <c r="R155" s="309"/>
      <c r="S155" s="306"/>
      <c r="T155" s="331"/>
      <c r="U155" s="331"/>
      <c r="V155" s="331"/>
      <c r="W155" s="331"/>
      <c r="X155" s="331"/>
      <c r="Y155" s="331"/>
      <c r="Z155" s="331"/>
    </row>
    <row r="156">
      <c r="A156" s="331"/>
      <c r="B156" s="331"/>
      <c r="C156" s="331"/>
      <c r="D156" s="331"/>
      <c r="E156" s="331"/>
      <c r="F156" s="331"/>
      <c r="G156" s="331"/>
      <c r="H156" s="331"/>
      <c r="I156" s="331"/>
      <c r="J156" s="338"/>
      <c r="K156" s="339"/>
      <c r="L156" s="338"/>
      <c r="M156" s="331"/>
      <c r="N156" s="306"/>
      <c r="O156" s="307"/>
      <c r="P156" s="308"/>
      <c r="Q156" s="309"/>
      <c r="R156" s="309"/>
      <c r="S156" s="306"/>
      <c r="T156" s="331"/>
      <c r="U156" s="331"/>
      <c r="V156" s="331"/>
      <c r="W156" s="331"/>
      <c r="X156" s="331"/>
      <c r="Y156" s="331"/>
      <c r="Z156" s="331"/>
    </row>
    <row r="157">
      <c r="A157" s="331"/>
      <c r="B157" s="331"/>
      <c r="C157" s="331"/>
      <c r="D157" s="331"/>
      <c r="E157" s="331"/>
      <c r="F157" s="331"/>
      <c r="G157" s="331"/>
      <c r="H157" s="331"/>
      <c r="I157" s="331"/>
      <c r="J157" s="338"/>
      <c r="K157" s="339"/>
      <c r="L157" s="338"/>
      <c r="M157" s="331"/>
      <c r="N157" s="306"/>
      <c r="O157" s="307"/>
      <c r="P157" s="308"/>
      <c r="Q157" s="309"/>
      <c r="R157" s="309"/>
      <c r="S157" s="306"/>
      <c r="T157" s="331"/>
      <c r="U157" s="331"/>
      <c r="V157" s="331"/>
      <c r="W157" s="331"/>
      <c r="X157" s="331"/>
      <c r="Y157" s="331"/>
      <c r="Z157" s="331"/>
    </row>
    <row r="158">
      <c r="A158" s="331"/>
      <c r="B158" s="331"/>
      <c r="C158" s="331"/>
      <c r="D158" s="331"/>
      <c r="E158" s="331"/>
      <c r="F158" s="331"/>
      <c r="G158" s="331"/>
      <c r="H158" s="331"/>
      <c r="I158" s="331"/>
      <c r="J158" s="338"/>
      <c r="K158" s="339"/>
      <c r="L158" s="338"/>
      <c r="M158" s="331"/>
      <c r="N158" s="306"/>
      <c r="O158" s="307"/>
      <c r="P158" s="308"/>
      <c r="Q158" s="309"/>
      <c r="R158" s="309"/>
      <c r="S158" s="306"/>
      <c r="T158" s="331"/>
      <c r="U158" s="331"/>
      <c r="V158" s="331"/>
      <c r="W158" s="331"/>
      <c r="X158" s="331"/>
      <c r="Y158" s="331"/>
      <c r="Z158" s="331"/>
    </row>
    <row r="159">
      <c r="A159" s="331"/>
      <c r="B159" s="331"/>
      <c r="C159" s="331"/>
      <c r="D159" s="331"/>
      <c r="E159" s="331"/>
      <c r="F159" s="331"/>
      <c r="G159" s="331"/>
      <c r="H159" s="331"/>
      <c r="I159" s="331"/>
      <c r="J159" s="338"/>
      <c r="K159" s="339"/>
      <c r="L159" s="338"/>
      <c r="M159" s="331"/>
      <c r="N159" s="306"/>
      <c r="O159" s="307"/>
      <c r="P159" s="308"/>
      <c r="Q159" s="309"/>
      <c r="R159" s="309"/>
      <c r="S159" s="306"/>
      <c r="T159" s="331"/>
      <c r="U159" s="331"/>
      <c r="V159" s="331"/>
      <c r="W159" s="331"/>
      <c r="X159" s="331"/>
      <c r="Y159" s="331"/>
      <c r="Z159" s="331"/>
    </row>
    <row r="160">
      <c r="A160" s="331"/>
      <c r="B160" s="331"/>
      <c r="C160" s="331"/>
      <c r="D160" s="331"/>
      <c r="E160" s="331"/>
      <c r="F160" s="331"/>
      <c r="G160" s="331"/>
      <c r="H160" s="331"/>
      <c r="I160" s="331"/>
      <c r="J160" s="338"/>
      <c r="K160" s="339"/>
      <c r="L160" s="338"/>
      <c r="M160" s="331"/>
      <c r="N160" s="306"/>
      <c r="O160" s="307"/>
      <c r="P160" s="308"/>
      <c r="Q160" s="309"/>
      <c r="R160" s="309"/>
      <c r="S160" s="306"/>
      <c r="T160" s="331"/>
      <c r="U160" s="331"/>
      <c r="V160" s="331"/>
      <c r="W160" s="331"/>
      <c r="X160" s="331"/>
      <c r="Y160" s="331"/>
      <c r="Z160" s="331"/>
    </row>
    <row r="161">
      <c r="A161" s="331"/>
      <c r="B161" s="331"/>
      <c r="C161" s="331"/>
      <c r="D161" s="331"/>
      <c r="E161" s="331"/>
      <c r="F161" s="331"/>
      <c r="G161" s="331"/>
      <c r="H161" s="331"/>
      <c r="I161" s="331"/>
      <c r="J161" s="338"/>
      <c r="K161" s="339"/>
      <c r="L161" s="338"/>
      <c r="M161" s="331"/>
      <c r="N161" s="306"/>
      <c r="O161" s="307"/>
      <c r="P161" s="308"/>
      <c r="Q161" s="309"/>
      <c r="R161" s="309"/>
      <c r="S161" s="306"/>
      <c r="T161" s="331"/>
      <c r="U161" s="331"/>
      <c r="V161" s="331"/>
      <c r="W161" s="331"/>
      <c r="X161" s="331"/>
      <c r="Y161" s="331"/>
      <c r="Z161" s="331"/>
    </row>
    <row r="162">
      <c r="A162" s="331"/>
      <c r="B162" s="331"/>
      <c r="C162" s="331"/>
      <c r="D162" s="331"/>
      <c r="E162" s="331"/>
      <c r="F162" s="331"/>
      <c r="G162" s="331"/>
      <c r="H162" s="331"/>
      <c r="I162" s="331"/>
      <c r="J162" s="338"/>
      <c r="K162" s="339"/>
      <c r="L162" s="338"/>
      <c r="M162" s="331"/>
      <c r="N162" s="306"/>
      <c r="O162" s="307"/>
      <c r="P162" s="308"/>
      <c r="Q162" s="309"/>
      <c r="R162" s="309"/>
      <c r="S162" s="306"/>
      <c r="T162" s="331"/>
      <c r="U162" s="331"/>
      <c r="V162" s="331"/>
      <c r="W162" s="331"/>
      <c r="X162" s="331"/>
      <c r="Y162" s="331"/>
      <c r="Z162" s="331"/>
    </row>
    <row r="163">
      <c r="A163" s="331"/>
      <c r="B163" s="331"/>
      <c r="C163" s="331"/>
      <c r="D163" s="331"/>
      <c r="E163" s="331"/>
      <c r="F163" s="331"/>
      <c r="G163" s="331"/>
      <c r="H163" s="331"/>
      <c r="I163" s="331"/>
      <c r="J163" s="338"/>
      <c r="K163" s="339"/>
      <c r="L163" s="338"/>
      <c r="M163" s="331"/>
      <c r="N163" s="306"/>
      <c r="O163" s="307"/>
      <c r="P163" s="308"/>
      <c r="Q163" s="309"/>
      <c r="R163" s="309"/>
      <c r="S163" s="306"/>
      <c r="T163" s="331"/>
      <c r="U163" s="331"/>
      <c r="V163" s="331"/>
      <c r="W163" s="331"/>
      <c r="X163" s="331"/>
      <c r="Y163" s="331"/>
      <c r="Z163" s="331"/>
    </row>
    <row r="164">
      <c r="A164" s="331"/>
      <c r="B164" s="331"/>
      <c r="C164" s="331"/>
      <c r="D164" s="331"/>
      <c r="E164" s="331"/>
      <c r="F164" s="331"/>
      <c r="G164" s="331"/>
      <c r="H164" s="331"/>
      <c r="I164" s="331"/>
      <c r="J164" s="338"/>
      <c r="K164" s="339"/>
      <c r="L164" s="338"/>
      <c r="M164" s="331"/>
      <c r="N164" s="306"/>
      <c r="O164" s="307"/>
      <c r="P164" s="308"/>
      <c r="Q164" s="309"/>
      <c r="R164" s="309"/>
      <c r="S164" s="306"/>
      <c r="T164" s="331"/>
      <c r="U164" s="331"/>
      <c r="V164" s="331"/>
      <c r="W164" s="331"/>
      <c r="X164" s="331"/>
      <c r="Y164" s="331"/>
      <c r="Z164" s="331"/>
    </row>
    <row r="165">
      <c r="A165" s="331"/>
      <c r="B165" s="331"/>
      <c r="C165" s="331"/>
      <c r="D165" s="331"/>
      <c r="E165" s="331"/>
      <c r="F165" s="331"/>
      <c r="G165" s="331"/>
      <c r="H165" s="331"/>
      <c r="I165" s="331"/>
      <c r="J165" s="338"/>
      <c r="K165" s="339"/>
      <c r="L165" s="338"/>
      <c r="M165" s="331"/>
      <c r="N165" s="306"/>
      <c r="O165" s="307"/>
      <c r="P165" s="308"/>
      <c r="Q165" s="309"/>
      <c r="R165" s="309"/>
      <c r="S165" s="306"/>
      <c r="T165" s="331"/>
      <c r="U165" s="331"/>
      <c r="V165" s="331"/>
      <c r="W165" s="331"/>
      <c r="X165" s="331"/>
      <c r="Y165" s="331"/>
      <c r="Z165" s="331"/>
    </row>
    <row r="166">
      <c r="A166" s="331"/>
      <c r="B166" s="331"/>
      <c r="C166" s="331"/>
      <c r="D166" s="331"/>
      <c r="E166" s="331"/>
      <c r="F166" s="331"/>
      <c r="G166" s="331"/>
      <c r="H166" s="331"/>
      <c r="I166" s="331"/>
      <c r="J166" s="338"/>
      <c r="K166" s="339"/>
      <c r="L166" s="338"/>
      <c r="M166" s="331"/>
      <c r="N166" s="306"/>
      <c r="O166" s="307"/>
      <c r="P166" s="308"/>
      <c r="Q166" s="309"/>
      <c r="R166" s="309"/>
      <c r="S166" s="306"/>
      <c r="T166" s="331"/>
      <c r="U166" s="331"/>
      <c r="V166" s="331"/>
      <c r="W166" s="331"/>
      <c r="X166" s="331"/>
      <c r="Y166" s="331"/>
      <c r="Z166" s="331"/>
    </row>
    <row r="167">
      <c r="A167" s="331"/>
      <c r="B167" s="331"/>
      <c r="C167" s="331"/>
      <c r="D167" s="331"/>
      <c r="E167" s="331"/>
      <c r="F167" s="331"/>
      <c r="G167" s="331"/>
      <c r="H167" s="331"/>
      <c r="I167" s="331"/>
      <c r="J167" s="338"/>
      <c r="K167" s="339"/>
      <c r="L167" s="338"/>
      <c r="M167" s="331"/>
      <c r="N167" s="306"/>
      <c r="O167" s="307"/>
      <c r="P167" s="308"/>
      <c r="Q167" s="309"/>
      <c r="R167" s="309"/>
      <c r="S167" s="306"/>
      <c r="T167" s="331"/>
      <c r="U167" s="331"/>
      <c r="V167" s="331"/>
      <c r="W167" s="331"/>
      <c r="X167" s="331"/>
      <c r="Y167" s="331"/>
      <c r="Z167" s="331"/>
    </row>
    <row r="168">
      <c r="A168" s="331"/>
      <c r="B168" s="331"/>
      <c r="C168" s="331"/>
      <c r="D168" s="331"/>
      <c r="E168" s="331"/>
      <c r="F168" s="331"/>
      <c r="G168" s="331"/>
      <c r="H168" s="331"/>
      <c r="I168" s="331"/>
      <c r="J168" s="338"/>
      <c r="K168" s="339"/>
      <c r="L168" s="338"/>
      <c r="M168" s="331"/>
      <c r="N168" s="306"/>
      <c r="O168" s="307"/>
      <c r="P168" s="308"/>
      <c r="Q168" s="309"/>
      <c r="R168" s="309"/>
      <c r="S168" s="306"/>
      <c r="T168" s="331"/>
      <c r="U168" s="331"/>
      <c r="V168" s="331"/>
      <c r="W168" s="331"/>
      <c r="X168" s="331"/>
      <c r="Y168" s="331"/>
      <c r="Z168" s="331"/>
    </row>
    <row r="169">
      <c r="A169" s="331"/>
      <c r="B169" s="331"/>
      <c r="C169" s="331"/>
      <c r="D169" s="331"/>
      <c r="E169" s="331"/>
      <c r="F169" s="331"/>
      <c r="G169" s="331"/>
      <c r="H169" s="331"/>
      <c r="I169" s="331"/>
      <c r="J169" s="338"/>
      <c r="K169" s="339"/>
      <c r="L169" s="338"/>
      <c r="M169" s="331"/>
      <c r="N169" s="306"/>
      <c r="O169" s="307"/>
      <c r="P169" s="308"/>
      <c r="Q169" s="309"/>
      <c r="R169" s="309"/>
      <c r="S169" s="306"/>
      <c r="T169" s="331"/>
      <c r="U169" s="331"/>
      <c r="V169" s="331"/>
      <c r="W169" s="331"/>
      <c r="X169" s="331"/>
      <c r="Y169" s="331"/>
      <c r="Z169" s="331"/>
    </row>
    <row r="170">
      <c r="A170" s="331"/>
      <c r="B170" s="331"/>
      <c r="C170" s="331"/>
      <c r="D170" s="331"/>
      <c r="E170" s="331"/>
      <c r="F170" s="331"/>
      <c r="G170" s="331"/>
      <c r="H170" s="331"/>
      <c r="I170" s="331"/>
      <c r="J170" s="338"/>
      <c r="K170" s="339"/>
      <c r="L170" s="338"/>
      <c r="M170" s="331"/>
      <c r="N170" s="306"/>
      <c r="O170" s="307"/>
      <c r="P170" s="308"/>
      <c r="Q170" s="309"/>
      <c r="R170" s="309"/>
      <c r="S170" s="306"/>
      <c r="T170" s="331"/>
      <c r="U170" s="331"/>
      <c r="V170" s="331"/>
      <c r="W170" s="331"/>
      <c r="X170" s="331"/>
      <c r="Y170" s="331"/>
      <c r="Z170" s="331"/>
    </row>
    <row r="171">
      <c r="A171" s="331"/>
      <c r="B171" s="331"/>
      <c r="C171" s="331"/>
      <c r="D171" s="331"/>
      <c r="E171" s="331"/>
      <c r="F171" s="331"/>
      <c r="G171" s="331"/>
      <c r="H171" s="331"/>
      <c r="I171" s="331"/>
      <c r="J171" s="338"/>
      <c r="K171" s="339"/>
      <c r="L171" s="338"/>
      <c r="M171" s="331"/>
      <c r="N171" s="306"/>
      <c r="O171" s="307"/>
      <c r="P171" s="308"/>
      <c r="Q171" s="309"/>
      <c r="R171" s="309"/>
      <c r="S171" s="306"/>
      <c r="T171" s="331"/>
      <c r="U171" s="331"/>
      <c r="V171" s="331"/>
      <c r="W171" s="331"/>
      <c r="X171" s="331"/>
      <c r="Y171" s="331"/>
      <c r="Z171" s="331"/>
    </row>
    <row r="172">
      <c r="A172" s="331"/>
      <c r="B172" s="331"/>
      <c r="C172" s="331"/>
      <c r="D172" s="331"/>
      <c r="E172" s="331"/>
      <c r="F172" s="331"/>
      <c r="G172" s="331"/>
      <c r="H172" s="331"/>
      <c r="I172" s="331"/>
      <c r="J172" s="338"/>
      <c r="K172" s="339"/>
      <c r="L172" s="338"/>
      <c r="M172" s="331"/>
      <c r="N172" s="306"/>
      <c r="O172" s="307"/>
      <c r="P172" s="308"/>
      <c r="Q172" s="309"/>
      <c r="R172" s="309"/>
      <c r="S172" s="306"/>
      <c r="T172" s="331"/>
      <c r="U172" s="331"/>
      <c r="V172" s="331"/>
      <c r="W172" s="331"/>
      <c r="X172" s="331"/>
      <c r="Y172" s="331"/>
      <c r="Z172" s="331"/>
    </row>
    <row r="173">
      <c r="A173" s="331"/>
      <c r="B173" s="331"/>
      <c r="C173" s="331"/>
      <c r="D173" s="331"/>
      <c r="E173" s="331"/>
      <c r="F173" s="331"/>
      <c r="G173" s="331"/>
      <c r="H173" s="331"/>
      <c r="I173" s="331"/>
      <c r="J173" s="338"/>
      <c r="K173" s="339"/>
      <c r="L173" s="338"/>
      <c r="M173" s="331"/>
      <c r="N173" s="306"/>
      <c r="O173" s="307"/>
      <c r="P173" s="308"/>
      <c r="Q173" s="309"/>
      <c r="R173" s="309"/>
      <c r="S173" s="306"/>
      <c r="T173" s="331"/>
      <c r="U173" s="331"/>
      <c r="V173" s="331"/>
      <c r="W173" s="331"/>
      <c r="X173" s="331"/>
      <c r="Y173" s="331"/>
      <c r="Z173" s="331"/>
    </row>
    <row r="174">
      <c r="A174" s="331"/>
      <c r="B174" s="331"/>
      <c r="C174" s="331"/>
      <c r="D174" s="331"/>
      <c r="E174" s="331"/>
      <c r="F174" s="331"/>
      <c r="G174" s="331"/>
      <c r="H174" s="331"/>
      <c r="I174" s="331"/>
      <c r="J174" s="338"/>
      <c r="K174" s="339"/>
      <c r="L174" s="338"/>
      <c r="M174" s="331"/>
      <c r="N174" s="306"/>
      <c r="O174" s="307"/>
      <c r="P174" s="308"/>
      <c r="Q174" s="309"/>
      <c r="R174" s="309"/>
      <c r="S174" s="306"/>
      <c r="T174" s="331"/>
      <c r="U174" s="331"/>
      <c r="V174" s="331"/>
      <c r="W174" s="331"/>
      <c r="X174" s="331"/>
      <c r="Y174" s="331"/>
      <c r="Z174" s="331"/>
    </row>
    <row r="175">
      <c r="A175" s="331"/>
      <c r="B175" s="331"/>
      <c r="C175" s="331"/>
      <c r="D175" s="331"/>
      <c r="E175" s="331"/>
      <c r="F175" s="331"/>
      <c r="G175" s="331"/>
      <c r="H175" s="331"/>
      <c r="I175" s="331"/>
      <c r="J175" s="338"/>
      <c r="K175" s="339"/>
      <c r="L175" s="338"/>
      <c r="M175" s="331"/>
      <c r="N175" s="306"/>
      <c r="O175" s="307"/>
      <c r="P175" s="308"/>
      <c r="Q175" s="309"/>
      <c r="R175" s="309"/>
      <c r="S175" s="306"/>
      <c r="T175" s="331"/>
      <c r="U175" s="331"/>
      <c r="V175" s="331"/>
      <c r="W175" s="331"/>
      <c r="X175" s="331"/>
      <c r="Y175" s="331"/>
      <c r="Z175" s="331"/>
    </row>
    <row r="176">
      <c r="A176" s="331"/>
      <c r="B176" s="331"/>
      <c r="C176" s="331"/>
      <c r="D176" s="331"/>
      <c r="E176" s="331"/>
      <c r="F176" s="331"/>
      <c r="G176" s="331"/>
      <c r="H176" s="331"/>
      <c r="I176" s="331"/>
      <c r="J176" s="338"/>
      <c r="K176" s="339"/>
      <c r="L176" s="338"/>
      <c r="M176" s="331"/>
      <c r="N176" s="306"/>
      <c r="O176" s="307"/>
      <c r="P176" s="308"/>
      <c r="Q176" s="309"/>
      <c r="R176" s="309"/>
      <c r="S176" s="306"/>
      <c r="T176" s="331"/>
      <c r="U176" s="331"/>
      <c r="V176" s="331"/>
      <c r="W176" s="331"/>
      <c r="X176" s="331"/>
      <c r="Y176" s="331"/>
      <c r="Z176" s="331"/>
    </row>
    <row r="177">
      <c r="A177" s="331"/>
      <c r="B177" s="331"/>
      <c r="C177" s="331"/>
      <c r="D177" s="331"/>
      <c r="E177" s="331"/>
      <c r="F177" s="331"/>
      <c r="G177" s="331"/>
      <c r="H177" s="331"/>
      <c r="I177" s="331"/>
      <c r="J177" s="338"/>
      <c r="K177" s="339"/>
      <c r="L177" s="338"/>
      <c r="M177" s="331"/>
      <c r="N177" s="306"/>
      <c r="O177" s="307"/>
      <c r="P177" s="308"/>
      <c r="Q177" s="309"/>
      <c r="R177" s="309"/>
      <c r="S177" s="306"/>
      <c r="T177" s="331"/>
      <c r="U177" s="331"/>
      <c r="V177" s="331"/>
      <c r="W177" s="331"/>
      <c r="X177" s="331"/>
      <c r="Y177" s="331"/>
      <c r="Z177" s="331"/>
    </row>
    <row r="178">
      <c r="A178" s="331"/>
      <c r="B178" s="331"/>
      <c r="C178" s="331"/>
      <c r="D178" s="331"/>
      <c r="E178" s="331"/>
      <c r="F178" s="331"/>
      <c r="G178" s="331"/>
      <c r="H178" s="331"/>
      <c r="I178" s="331"/>
      <c r="J178" s="338"/>
      <c r="K178" s="339"/>
      <c r="L178" s="338"/>
      <c r="M178" s="331"/>
      <c r="N178" s="306"/>
      <c r="O178" s="307"/>
      <c r="P178" s="308"/>
      <c r="Q178" s="309"/>
      <c r="R178" s="309"/>
      <c r="S178" s="306"/>
      <c r="T178" s="331"/>
      <c r="U178" s="331"/>
      <c r="V178" s="331"/>
      <c r="W178" s="331"/>
      <c r="X178" s="331"/>
      <c r="Y178" s="331"/>
      <c r="Z178" s="331"/>
    </row>
    <row r="179">
      <c r="A179" s="331"/>
      <c r="B179" s="331"/>
      <c r="C179" s="331"/>
      <c r="D179" s="331"/>
      <c r="E179" s="331"/>
      <c r="F179" s="331"/>
      <c r="G179" s="331"/>
      <c r="H179" s="331"/>
      <c r="I179" s="331"/>
      <c r="J179" s="338"/>
      <c r="K179" s="339"/>
      <c r="L179" s="338"/>
      <c r="M179" s="331"/>
      <c r="N179" s="306"/>
      <c r="O179" s="307"/>
      <c r="P179" s="308"/>
      <c r="Q179" s="309"/>
      <c r="R179" s="309"/>
      <c r="S179" s="306"/>
      <c r="T179" s="331"/>
      <c r="U179" s="331"/>
      <c r="V179" s="331"/>
      <c r="W179" s="331"/>
      <c r="X179" s="331"/>
      <c r="Y179" s="331"/>
      <c r="Z179" s="331"/>
    </row>
    <row r="180">
      <c r="A180" s="331"/>
      <c r="B180" s="331"/>
      <c r="C180" s="331"/>
      <c r="D180" s="331"/>
      <c r="E180" s="331"/>
      <c r="F180" s="331"/>
      <c r="G180" s="331"/>
      <c r="H180" s="331"/>
      <c r="I180" s="331"/>
      <c r="J180" s="338"/>
      <c r="K180" s="339"/>
      <c r="L180" s="338"/>
      <c r="M180" s="331"/>
      <c r="N180" s="306"/>
      <c r="O180" s="307"/>
      <c r="P180" s="308"/>
      <c r="Q180" s="309"/>
      <c r="R180" s="309"/>
      <c r="S180" s="306"/>
      <c r="T180" s="331"/>
      <c r="U180" s="331"/>
      <c r="V180" s="331"/>
      <c r="W180" s="331"/>
      <c r="X180" s="331"/>
      <c r="Y180" s="331"/>
      <c r="Z180" s="331"/>
    </row>
    <row r="181">
      <c r="A181" s="331"/>
      <c r="B181" s="331"/>
      <c r="C181" s="331"/>
      <c r="D181" s="331"/>
      <c r="E181" s="331"/>
      <c r="F181" s="331"/>
      <c r="G181" s="331"/>
      <c r="H181" s="331"/>
      <c r="I181" s="331"/>
      <c r="J181" s="338"/>
      <c r="K181" s="339"/>
      <c r="L181" s="338"/>
      <c r="M181" s="331"/>
      <c r="N181" s="306"/>
      <c r="O181" s="307"/>
      <c r="P181" s="308"/>
      <c r="Q181" s="309"/>
      <c r="R181" s="309"/>
      <c r="S181" s="306"/>
      <c r="T181" s="331"/>
      <c r="U181" s="331"/>
      <c r="V181" s="331"/>
      <c r="W181" s="331"/>
      <c r="X181" s="331"/>
      <c r="Y181" s="331"/>
      <c r="Z181" s="331"/>
    </row>
    <row r="182">
      <c r="A182" s="331"/>
      <c r="B182" s="331"/>
      <c r="C182" s="331"/>
      <c r="D182" s="331"/>
      <c r="E182" s="331"/>
      <c r="F182" s="331"/>
      <c r="G182" s="331"/>
      <c r="H182" s="331"/>
      <c r="I182" s="331"/>
      <c r="J182" s="338"/>
      <c r="K182" s="339"/>
      <c r="L182" s="338"/>
      <c r="M182" s="331"/>
      <c r="N182" s="306"/>
      <c r="O182" s="307"/>
      <c r="P182" s="308"/>
      <c r="Q182" s="309"/>
      <c r="R182" s="309"/>
      <c r="S182" s="306"/>
      <c r="T182" s="331"/>
      <c r="U182" s="331"/>
      <c r="V182" s="331"/>
      <c r="W182" s="331"/>
      <c r="X182" s="331"/>
      <c r="Y182" s="331"/>
      <c r="Z182" s="331"/>
    </row>
    <row r="183">
      <c r="A183" s="331"/>
      <c r="B183" s="331"/>
      <c r="C183" s="331"/>
      <c r="D183" s="331"/>
      <c r="E183" s="331"/>
      <c r="F183" s="331"/>
      <c r="G183" s="331"/>
      <c r="H183" s="331"/>
      <c r="I183" s="331"/>
      <c r="J183" s="338"/>
      <c r="K183" s="339"/>
      <c r="L183" s="338"/>
      <c r="M183" s="331"/>
      <c r="N183" s="306"/>
      <c r="O183" s="307"/>
      <c r="P183" s="308"/>
      <c r="Q183" s="309"/>
      <c r="R183" s="309"/>
      <c r="S183" s="306"/>
      <c r="T183" s="331"/>
      <c r="U183" s="331"/>
      <c r="V183" s="331"/>
      <c r="W183" s="331"/>
      <c r="X183" s="331"/>
      <c r="Y183" s="331"/>
      <c r="Z183" s="331"/>
    </row>
    <row r="184">
      <c r="A184" s="331"/>
      <c r="B184" s="331"/>
      <c r="C184" s="331"/>
      <c r="D184" s="331"/>
      <c r="E184" s="331"/>
      <c r="F184" s="331"/>
      <c r="G184" s="331"/>
      <c r="H184" s="331"/>
      <c r="I184" s="331"/>
      <c r="J184" s="338"/>
      <c r="K184" s="339"/>
      <c r="L184" s="338"/>
      <c r="M184" s="331"/>
      <c r="N184" s="306"/>
      <c r="O184" s="307"/>
      <c r="P184" s="308"/>
      <c r="Q184" s="309"/>
      <c r="R184" s="309"/>
      <c r="S184" s="306"/>
      <c r="T184" s="331"/>
      <c r="U184" s="331"/>
      <c r="V184" s="331"/>
      <c r="W184" s="331"/>
      <c r="X184" s="331"/>
      <c r="Y184" s="331"/>
      <c r="Z184" s="331"/>
    </row>
    <row r="185">
      <c r="A185" s="331"/>
      <c r="B185" s="331"/>
      <c r="C185" s="331"/>
      <c r="D185" s="331"/>
      <c r="E185" s="331"/>
      <c r="F185" s="331"/>
      <c r="G185" s="331"/>
      <c r="H185" s="331"/>
      <c r="I185" s="331"/>
      <c r="J185" s="338"/>
      <c r="K185" s="339"/>
      <c r="L185" s="338"/>
      <c r="M185" s="331"/>
      <c r="N185" s="306"/>
      <c r="O185" s="307"/>
      <c r="P185" s="308"/>
      <c r="Q185" s="309"/>
      <c r="R185" s="309"/>
      <c r="S185" s="306"/>
      <c r="T185" s="331"/>
      <c r="U185" s="331"/>
      <c r="V185" s="331"/>
      <c r="W185" s="331"/>
      <c r="X185" s="331"/>
      <c r="Y185" s="331"/>
      <c r="Z185" s="331"/>
    </row>
    <row r="186">
      <c r="A186" s="331"/>
      <c r="B186" s="331"/>
      <c r="C186" s="331"/>
      <c r="D186" s="331"/>
      <c r="E186" s="331"/>
      <c r="F186" s="331"/>
      <c r="G186" s="331"/>
      <c r="H186" s="331"/>
      <c r="I186" s="331"/>
      <c r="J186" s="338"/>
      <c r="K186" s="339"/>
      <c r="L186" s="338"/>
      <c r="M186" s="331"/>
      <c r="N186" s="306"/>
      <c r="O186" s="307"/>
      <c r="P186" s="308"/>
      <c r="Q186" s="309"/>
      <c r="R186" s="309"/>
      <c r="S186" s="306"/>
      <c r="T186" s="331"/>
      <c r="U186" s="331"/>
      <c r="V186" s="331"/>
      <c r="W186" s="331"/>
      <c r="X186" s="331"/>
      <c r="Y186" s="331"/>
      <c r="Z186" s="331"/>
    </row>
    <row r="187">
      <c r="A187" s="331"/>
      <c r="B187" s="331"/>
      <c r="C187" s="331"/>
      <c r="D187" s="331"/>
      <c r="E187" s="331"/>
      <c r="F187" s="331"/>
      <c r="G187" s="331"/>
      <c r="H187" s="331"/>
      <c r="I187" s="331"/>
      <c r="J187" s="338"/>
      <c r="K187" s="339"/>
      <c r="L187" s="338"/>
      <c r="M187" s="331"/>
      <c r="N187" s="306"/>
      <c r="O187" s="307"/>
      <c r="P187" s="308"/>
      <c r="Q187" s="309"/>
      <c r="R187" s="309"/>
      <c r="S187" s="306"/>
      <c r="T187" s="331"/>
      <c r="U187" s="331"/>
      <c r="V187" s="331"/>
      <c r="W187" s="331"/>
      <c r="X187" s="331"/>
      <c r="Y187" s="331"/>
      <c r="Z187" s="331"/>
    </row>
    <row r="188">
      <c r="A188" s="331"/>
      <c r="B188" s="331"/>
      <c r="C188" s="331"/>
      <c r="D188" s="331"/>
      <c r="E188" s="331"/>
      <c r="F188" s="331"/>
      <c r="G188" s="331"/>
      <c r="H188" s="331"/>
      <c r="I188" s="331"/>
      <c r="J188" s="338"/>
      <c r="K188" s="339"/>
      <c r="L188" s="338"/>
      <c r="M188" s="331"/>
      <c r="N188" s="306"/>
      <c r="O188" s="307"/>
      <c r="P188" s="308"/>
      <c r="Q188" s="309"/>
      <c r="R188" s="309"/>
      <c r="S188" s="306"/>
      <c r="T188" s="331"/>
      <c r="U188" s="331"/>
      <c r="V188" s="331"/>
      <c r="W188" s="331"/>
      <c r="X188" s="331"/>
      <c r="Y188" s="331"/>
      <c r="Z188" s="331"/>
    </row>
    <row r="189">
      <c r="A189" s="331"/>
      <c r="B189" s="331"/>
      <c r="C189" s="331"/>
      <c r="D189" s="331"/>
      <c r="E189" s="331"/>
      <c r="F189" s="331"/>
      <c r="G189" s="331"/>
      <c r="H189" s="331"/>
      <c r="I189" s="331"/>
      <c r="J189" s="338"/>
      <c r="K189" s="339"/>
      <c r="L189" s="338"/>
      <c r="M189" s="331"/>
      <c r="N189" s="306"/>
      <c r="O189" s="307"/>
      <c r="P189" s="308"/>
      <c r="Q189" s="309"/>
      <c r="R189" s="309"/>
      <c r="S189" s="306"/>
      <c r="T189" s="331"/>
      <c r="U189" s="331"/>
      <c r="V189" s="331"/>
      <c r="W189" s="331"/>
      <c r="X189" s="331"/>
      <c r="Y189" s="331"/>
      <c r="Z189" s="331"/>
    </row>
    <row r="190">
      <c r="A190" s="331"/>
      <c r="B190" s="331"/>
      <c r="C190" s="331"/>
      <c r="D190" s="331"/>
      <c r="E190" s="331"/>
      <c r="F190" s="331"/>
      <c r="G190" s="331"/>
      <c r="H190" s="331"/>
      <c r="I190" s="331"/>
      <c r="J190" s="338"/>
      <c r="K190" s="339"/>
      <c r="L190" s="338"/>
      <c r="M190" s="331"/>
      <c r="N190" s="306"/>
      <c r="O190" s="307"/>
      <c r="P190" s="308"/>
      <c r="Q190" s="309"/>
      <c r="R190" s="309"/>
      <c r="S190" s="306"/>
      <c r="T190" s="331"/>
      <c r="U190" s="331"/>
      <c r="V190" s="331"/>
      <c r="W190" s="331"/>
      <c r="X190" s="331"/>
      <c r="Y190" s="331"/>
      <c r="Z190" s="331"/>
    </row>
    <row r="191">
      <c r="A191" s="331"/>
      <c r="B191" s="331"/>
      <c r="C191" s="331"/>
      <c r="D191" s="331"/>
      <c r="E191" s="331"/>
      <c r="F191" s="331"/>
      <c r="G191" s="331"/>
      <c r="H191" s="331"/>
      <c r="I191" s="331"/>
      <c r="J191" s="338"/>
      <c r="K191" s="339"/>
      <c r="L191" s="338"/>
      <c r="M191" s="331"/>
      <c r="N191" s="306"/>
      <c r="O191" s="307"/>
      <c r="P191" s="308"/>
      <c r="Q191" s="309"/>
      <c r="R191" s="309"/>
      <c r="S191" s="306"/>
      <c r="T191" s="331"/>
      <c r="U191" s="331"/>
      <c r="V191" s="331"/>
      <c r="W191" s="331"/>
      <c r="X191" s="331"/>
      <c r="Y191" s="331"/>
      <c r="Z191" s="331"/>
    </row>
    <row r="192">
      <c r="A192" s="331"/>
      <c r="B192" s="331"/>
      <c r="C192" s="331"/>
      <c r="D192" s="331"/>
      <c r="E192" s="331"/>
      <c r="F192" s="331"/>
      <c r="G192" s="331"/>
      <c r="H192" s="331"/>
      <c r="I192" s="331"/>
      <c r="J192" s="338"/>
      <c r="K192" s="339"/>
      <c r="L192" s="338"/>
      <c r="M192" s="331"/>
      <c r="N192" s="306"/>
      <c r="O192" s="307"/>
      <c r="P192" s="308"/>
      <c r="Q192" s="309"/>
      <c r="R192" s="309"/>
      <c r="S192" s="306"/>
      <c r="T192" s="331"/>
      <c r="U192" s="331"/>
      <c r="V192" s="331"/>
      <c r="W192" s="331"/>
      <c r="X192" s="331"/>
      <c r="Y192" s="331"/>
      <c r="Z192" s="331"/>
    </row>
    <row r="193">
      <c r="A193" s="331"/>
      <c r="B193" s="331"/>
      <c r="C193" s="331"/>
      <c r="D193" s="331"/>
      <c r="E193" s="331"/>
      <c r="F193" s="331"/>
      <c r="G193" s="331"/>
      <c r="H193" s="331"/>
      <c r="I193" s="331"/>
      <c r="J193" s="338"/>
      <c r="K193" s="339"/>
      <c r="L193" s="338"/>
      <c r="M193" s="331"/>
      <c r="N193" s="306"/>
      <c r="O193" s="307"/>
      <c r="P193" s="308"/>
      <c r="Q193" s="309"/>
      <c r="R193" s="309"/>
      <c r="S193" s="306"/>
      <c r="T193" s="331"/>
      <c r="U193" s="331"/>
      <c r="V193" s="331"/>
      <c r="W193" s="331"/>
      <c r="X193" s="331"/>
      <c r="Y193" s="331"/>
      <c r="Z193" s="331"/>
    </row>
    <row r="194">
      <c r="A194" s="331"/>
      <c r="B194" s="331"/>
      <c r="C194" s="331"/>
      <c r="D194" s="331"/>
      <c r="E194" s="331"/>
      <c r="F194" s="331"/>
      <c r="G194" s="331"/>
      <c r="H194" s="331"/>
      <c r="I194" s="331"/>
      <c r="J194" s="338"/>
      <c r="K194" s="339"/>
      <c r="L194" s="338"/>
      <c r="M194" s="331"/>
      <c r="N194" s="306"/>
      <c r="O194" s="307"/>
      <c r="P194" s="308"/>
      <c r="Q194" s="309"/>
      <c r="R194" s="309"/>
      <c r="S194" s="306"/>
      <c r="T194" s="331"/>
      <c r="U194" s="331"/>
      <c r="V194" s="331"/>
      <c r="W194" s="331"/>
      <c r="X194" s="331"/>
      <c r="Y194" s="331"/>
      <c r="Z194" s="331"/>
    </row>
    <row r="195">
      <c r="A195" s="331"/>
      <c r="B195" s="331"/>
      <c r="C195" s="331"/>
      <c r="D195" s="331"/>
      <c r="E195" s="331"/>
      <c r="F195" s="331"/>
      <c r="G195" s="331"/>
      <c r="H195" s="331"/>
      <c r="I195" s="331"/>
      <c r="J195" s="338"/>
      <c r="K195" s="339"/>
      <c r="L195" s="338"/>
      <c r="M195" s="331"/>
      <c r="N195" s="306"/>
      <c r="O195" s="307"/>
      <c r="P195" s="308"/>
      <c r="Q195" s="309"/>
      <c r="R195" s="309"/>
      <c r="S195" s="306"/>
      <c r="T195" s="331"/>
      <c r="U195" s="331"/>
      <c r="V195" s="331"/>
      <c r="W195" s="331"/>
      <c r="X195" s="331"/>
      <c r="Y195" s="331"/>
      <c r="Z195" s="331"/>
    </row>
    <row r="196">
      <c r="A196" s="331"/>
      <c r="B196" s="331"/>
      <c r="C196" s="331"/>
      <c r="D196" s="331"/>
      <c r="E196" s="331"/>
      <c r="F196" s="331"/>
      <c r="G196" s="331"/>
      <c r="H196" s="331"/>
      <c r="I196" s="331"/>
      <c r="J196" s="338"/>
      <c r="K196" s="339"/>
      <c r="L196" s="338"/>
      <c r="M196" s="331"/>
      <c r="N196" s="306"/>
      <c r="O196" s="307"/>
      <c r="P196" s="308"/>
      <c r="Q196" s="309"/>
      <c r="R196" s="309"/>
      <c r="S196" s="306"/>
      <c r="T196" s="331"/>
      <c r="U196" s="331"/>
      <c r="V196" s="331"/>
      <c r="W196" s="331"/>
      <c r="X196" s="331"/>
      <c r="Y196" s="331"/>
      <c r="Z196" s="331"/>
    </row>
    <row r="197">
      <c r="A197" s="331"/>
      <c r="B197" s="331"/>
      <c r="C197" s="331"/>
      <c r="D197" s="331"/>
      <c r="E197" s="331"/>
      <c r="F197" s="331"/>
      <c r="G197" s="331"/>
      <c r="H197" s="331"/>
      <c r="I197" s="331"/>
      <c r="J197" s="338"/>
      <c r="K197" s="339"/>
      <c r="L197" s="338"/>
      <c r="M197" s="331"/>
      <c r="N197" s="306"/>
      <c r="O197" s="307"/>
      <c r="P197" s="308"/>
      <c r="Q197" s="309"/>
      <c r="R197" s="309"/>
      <c r="S197" s="306"/>
      <c r="T197" s="331"/>
      <c r="U197" s="331"/>
      <c r="V197" s="331"/>
      <c r="W197" s="331"/>
      <c r="X197" s="331"/>
      <c r="Y197" s="331"/>
      <c r="Z197" s="331"/>
    </row>
    <row r="198">
      <c r="A198" s="331"/>
      <c r="B198" s="331"/>
      <c r="C198" s="331"/>
      <c r="D198" s="331"/>
      <c r="E198" s="331"/>
      <c r="F198" s="331"/>
      <c r="G198" s="331"/>
      <c r="H198" s="331"/>
      <c r="I198" s="331"/>
      <c r="J198" s="338"/>
      <c r="K198" s="339"/>
      <c r="L198" s="338"/>
      <c r="M198" s="331"/>
      <c r="N198" s="306"/>
      <c r="O198" s="307"/>
      <c r="P198" s="308"/>
      <c r="Q198" s="309"/>
      <c r="R198" s="309"/>
      <c r="S198" s="306"/>
      <c r="T198" s="331"/>
      <c r="U198" s="331"/>
      <c r="V198" s="331"/>
      <c r="W198" s="331"/>
      <c r="X198" s="331"/>
      <c r="Y198" s="331"/>
      <c r="Z198" s="331"/>
    </row>
    <row r="199">
      <c r="A199" s="331"/>
      <c r="B199" s="331"/>
      <c r="C199" s="331"/>
      <c r="D199" s="331"/>
      <c r="E199" s="331"/>
      <c r="F199" s="331"/>
      <c r="G199" s="331"/>
      <c r="H199" s="331"/>
      <c r="I199" s="331"/>
      <c r="J199" s="338"/>
      <c r="K199" s="339"/>
      <c r="L199" s="338"/>
      <c r="M199" s="331"/>
      <c r="N199" s="306"/>
      <c r="O199" s="307"/>
      <c r="P199" s="308"/>
      <c r="Q199" s="309"/>
      <c r="R199" s="309"/>
      <c r="S199" s="306"/>
      <c r="T199" s="331"/>
      <c r="U199" s="331"/>
      <c r="V199" s="331"/>
      <c r="W199" s="331"/>
      <c r="X199" s="331"/>
      <c r="Y199" s="331"/>
      <c r="Z199" s="331"/>
    </row>
    <row r="200">
      <c r="A200" s="331"/>
      <c r="B200" s="331"/>
      <c r="C200" s="331"/>
      <c r="D200" s="331"/>
      <c r="E200" s="331"/>
      <c r="F200" s="331"/>
      <c r="G200" s="331"/>
      <c r="H200" s="331"/>
      <c r="I200" s="331"/>
      <c r="J200" s="338"/>
      <c r="K200" s="339"/>
      <c r="L200" s="338"/>
      <c r="M200" s="331"/>
      <c r="N200" s="306"/>
      <c r="O200" s="307"/>
      <c r="P200" s="308"/>
      <c r="Q200" s="309"/>
      <c r="R200" s="309"/>
      <c r="S200" s="306"/>
      <c r="T200" s="331"/>
      <c r="U200" s="331"/>
      <c r="V200" s="331"/>
      <c r="W200" s="331"/>
      <c r="X200" s="331"/>
      <c r="Y200" s="331"/>
      <c r="Z200" s="331"/>
    </row>
    <row r="201">
      <c r="A201" s="331"/>
      <c r="B201" s="331"/>
      <c r="C201" s="331"/>
      <c r="D201" s="331"/>
      <c r="E201" s="331"/>
      <c r="F201" s="331"/>
      <c r="G201" s="331"/>
      <c r="H201" s="331"/>
      <c r="I201" s="331"/>
      <c r="J201" s="338"/>
      <c r="K201" s="339"/>
      <c r="L201" s="338"/>
      <c r="M201" s="331"/>
      <c r="N201" s="306"/>
      <c r="O201" s="307"/>
      <c r="P201" s="308"/>
      <c r="Q201" s="309"/>
      <c r="R201" s="309"/>
      <c r="S201" s="306"/>
      <c r="T201" s="331"/>
      <c r="U201" s="331"/>
      <c r="V201" s="331"/>
      <c r="W201" s="331"/>
      <c r="X201" s="331"/>
      <c r="Y201" s="331"/>
      <c r="Z201" s="331"/>
    </row>
    <row r="202">
      <c r="A202" s="331"/>
      <c r="B202" s="331"/>
      <c r="C202" s="331"/>
      <c r="D202" s="331"/>
      <c r="E202" s="331"/>
      <c r="F202" s="331"/>
      <c r="G202" s="331"/>
      <c r="H202" s="331"/>
      <c r="I202" s="331"/>
      <c r="J202" s="338"/>
      <c r="K202" s="339"/>
      <c r="L202" s="338"/>
      <c r="M202" s="331"/>
      <c r="N202" s="306"/>
      <c r="O202" s="307"/>
      <c r="P202" s="308"/>
      <c r="Q202" s="309"/>
      <c r="R202" s="309"/>
      <c r="S202" s="306"/>
      <c r="T202" s="331"/>
      <c r="U202" s="331"/>
      <c r="V202" s="331"/>
      <c r="W202" s="331"/>
      <c r="X202" s="331"/>
      <c r="Y202" s="331"/>
      <c r="Z202" s="331"/>
    </row>
    <row r="203">
      <c r="A203" s="331"/>
      <c r="B203" s="331"/>
      <c r="C203" s="331"/>
      <c r="D203" s="331"/>
      <c r="E203" s="331"/>
      <c r="F203" s="331"/>
      <c r="G203" s="331"/>
      <c r="H203" s="331"/>
      <c r="I203" s="331"/>
      <c r="J203" s="338"/>
      <c r="K203" s="339"/>
      <c r="L203" s="338"/>
      <c r="M203" s="331"/>
      <c r="N203" s="306"/>
      <c r="O203" s="307"/>
      <c r="P203" s="308"/>
      <c r="Q203" s="309"/>
      <c r="R203" s="309"/>
      <c r="S203" s="306"/>
      <c r="T203" s="331"/>
      <c r="U203" s="331"/>
      <c r="V203" s="331"/>
      <c r="W203" s="331"/>
      <c r="X203" s="331"/>
      <c r="Y203" s="331"/>
      <c r="Z203" s="331"/>
    </row>
    <row r="204">
      <c r="A204" s="331"/>
      <c r="B204" s="331"/>
      <c r="C204" s="331"/>
      <c r="D204" s="331"/>
      <c r="E204" s="331"/>
      <c r="F204" s="331"/>
      <c r="G204" s="331"/>
      <c r="H204" s="331"/>
      <c r="I204" s="331"/>
      <c r="J204" s="338"/>
      <c r="K204" s="339"/>
      <c r="L204" s="338"/>
      <c r="M204" s="331"/>
      <c r="N204" s="306"/>
      <c r="O204" s="307"/>
      <c r="P204" s="308"/>
      <c r="Q204" s="309"/>
      <c r="R204" s="309"/>
      <c r="S204" s="306"/>
      <c r="T204" s="331"/>
      <c r="U204" s="331"/>
      <c r="V204" s="331"/>
      <c r="W204" s="331"/>
      <c r="X204" s="331"/>
      <c r="Y204" s="331"/>
      <c r="Z204" s="331"/>
    </row>
    <row r="205">
      <c r="A205" s="331"/>
      <c r="B205" s="331"/>
      <c r="C205" s="331"/>
      <c r="D205" s="331"/>
      <c r="E205" s="331"/>
      <c r="F205" s="331"/>
      <c r="G205" s="331"/>
      <c r="H205" s="331"/>
      <c r="I205" s="331"/>
      <c r="J205" s="338"/>
      <c r="K205" s="339"/>
      <c r="L205" s="338"/>
      <c r="M205" s="331"/>
      <c r="N205" s="306"/>
      <c r="O205" s="307"/>
      <c r="P205" s="308"/>
      <c r="Q205" s="309"/>
      <c r="R205" s="309"/>
      <c r="S205" s="306"/>
      <c r="T205" s="331"/>
      <c r="U205" s="331"/>
      <c r="V205" s="331"/>
      <c r="W205" s="331"/>
      <c r="X205" s="331"/>
      <c r="Y205" s="331"/>
      <c r="Z205" s="331"/>
    </row>
    <row r="206">
      <c r="A206" s="331"/>
      <c r="B206" s="331"/>
      <c r="C206" s="331"/>
      <c r="D206" s="331"/>
      <c r="E206" s="331"/>
      <c r="F206" s="331"/>
      <c r="G206" s="331"/>
      <c r="H206" s="331"/>
      <c r="I206" s="331"/>
      <c r="J206" s="338"/>
      <c r="K206" s="339"/>
      <c r="L206" s="338"/>
      <c r="M206" s="331"/>
      <c r="N206" s="306"/>
      <c r="O206" s="307"/>
      <c r="P206" s="308"/>
      <c r="Q206" s="309"/>
      <c r="R206" s="309"/>
      <c r="S206" s="306"/>
      <c r="T206" s="331"/>
      <c r="U206" s="331"/>
      <c r="V206" s="331"/>
      <c r="W206" s="331"/>
      <c r="X206" s="331"/>
      <c r="Y206" s="331"/>
      <c r="Z206" s="331"/>
    </row>
    <row r="207">
      <c r="A207" s="331"/>
      <c r="B207" s="331"/>
      <c r="C207" s="331"/>
      <c r="D207" s="331"/>
      <c r="E207" s="331"/>
      <c r="F207" s="331"/>
      <c r="G207" s="331"/>
      <c r="H207" s="331"/>
      <c r="I207" s="331"/>
      <c r="J207" s="338"/>
      <c r="K207" s="339"/>
      <c r="L207" s="338"/>
      <c r="M207" s="331"/>
      <c r="N207" s="306"/>
      <c r="O207" s="307"/>
      <c r="P207" s="308"/>
      <c r="Q207" s="309"/>
      <c r="R207" s="309"/>
      <c r="S207" s="306"/>
      <c r="T207" s="331"/>
      <c r="U207" s="331"/>
      <c r="V207" s="331"/>
      <c r="W207" s="331"/>
      <c r="X207" s="331"/>
      <c r="Y207" s="331"/>
      <c r="Z207" s="331"/>
    </row>
    <row r="208">
      <c r="A208" s="331"/>
      <c r="B208" s="331"/>
      <c r="C208" s="331"/>
      <c r="D208" s="331"/>
      <c r="E208" s="331"/>
      <c r="F208" s="331"/>
      <c r="G208" s="331"/>
      <c r="H208" s="331"/>
      <c r="I208" s="331"/>
      <c r="J208" s="338"/>
      <c r="K208" s="339"/>
      <c r="L208" s="338"/>
      <c r="M208" s="331"/>
      <c r="N208" s="306"/>
      <c r="O208" s="307"/>
      <c r="P208" s="308"/>
      <c r="Q208" s="309"/>
      <c r="R208" s="309"/>
      <c r="S208" s="306"/>
      <c r="T208" s="331"/>
      <c r="U208" s="331"/>
      <c r="V208" s="331"/>
      <c r="W208" s="331"/>
      <c r="X208" s="331"/>
      <c r="Y208" s="331"/>
      <c r="Z208" s="331"/>
    </row>
    <row r="209">
      <c r="A209" s="331"/>
      <c r="B209" s="331"/>
      <c r="C209" s="331"/>
      <c r="D209" s="331"/>
      <c r="E209" s="331"/>
      <c r="F209" s="331"/>
      <c r="G209" s="331"/>
      <c r="H209" s="331"/>
      <c r="I209" s="331"/>
      <c r="J209" s="338"/>
      <c r="K209" s="339"/>
      <c r="L209" s="338"/>
      <c r="M209" s="331"/>
      <c r="N209" s="306"/>
      <c r="O209" s="307"/>
      <c r="P209" s="308"/>
      <c r="Q209" s="309"/>
      <c r="R209" s="309"/>
      <c r="S209" s="306"/>
      <c r="T209" s="331"/>
      <c r="U209" s="331"/>
      <c r="V209" s="331"/>
      <c r="W209" s="331"/>
      <c r="X209" s="331"/>
      <c r="Y209" s="331"/>
      <c r="Z209" s="331"/>
    </row>
    <row r="210">
      <c r="A210" s="331"/>
      <c r="B210" s="331"/>
      <c r="C210" s="331"/>
      <c r="D210" s="331"/>
      <c r="E210" s="331"/>
      <c r="F210" s="331"/>
      <c r="G210" s="331"/>
      <c r="H210" s="331"/>
      <c r="I210" s="331"/>
      <c r="J210" s="338"/>
      <c r="K210" s="339"/>
      <c r="L210" s="338"/>
      <c r="M210" s="331"/>
      <c r="N210" s="306"/>
      <c r="O210" s="307"/>
      <c r="P210" s="308"/>
      <c r="Q210" s="309"/>
      <c r="R210" s="309"/>
      <c r="S210" s="306"/>
      <c r="T210" s="331"/>
      <c r="U210" s="331"/>
      <c r="V210" s="331"/>
      <c r="W210" s="331"/>
      <c r="X210" s="331"/>
      <c r="Y210" s="331"/>
      <c r="Z210" s="331"/>
    </row>
    <row r="211">
      <c r="A211" s="331"/>
      <c r="B211" s="331"/>
      <c r="C211" s="331"/>
      <c r="D211" s="331"/>
      <c r="E211" s="331"/>
      <c r="F211" s="331"/>
      <c r="G211" s="331"/>
      <c r="H211" s="331"/>
      <c r="I211" s="331"/>
      <c r="J211" s="338"/>
      <c r="K211" s="339"/>
      <c r="L211" s="338"/>
      <c r="M211" s="331"/>
      <c r="N211" s="306"/>
      <c r="O211" s="307"/>
      <c r="P211" s="308"/>
      <c r="Q211" s="309"/>
      <c r="R211" s="309"/>
      <c r="S211" s="306"/>
      <c r="T211" s="331"/>
      <c r="U211" s="331"/>
      <c r="V211" s="331"/>
      <c r="W211" s="331"/>
      <c r="X211" s="331"/>
      <c r="Y211" s="331"/>
      <c r="Z211" s="331"/>
    </row>
    <row r="212">
      <c r="A212" s="331"/>
      <c r="B212" s="331"/>
      <c r="C212" s="331"/>
      <c r="D212" s="331"/>
      <c r="E212" s="331"/>
      <c r="F212" s="331"/>
      <c r="G212" s="331"/>
      <c r="H212" s="331"/>
      <c r="I212" s="331"/>
      <c r="J212" s="338"/>
      <c r="K212" s="339"/>
      <c r="L212" s="338"/>
      <c r="M212" s="331"/>
      <c r="N212" s="306"/>
      <c r="O212" s="307"/>
      <c r="P212" s="308"/>
      <c r="Q212" s="309"/>
      <c r="R212" s="309"/>
      <c r="S212" s="306"/>
      <c r="T212" s="331"/>
      <c r="U212" s="331"/>
      <c r="V212" s="331"/>
      <c r="W212" s="331"/>
      <c r="X212" s="331"/>
      <c r="Y212" s="331"/>
      <c r="Z212" s="331"/>
    </row>
    <row r="213">
      <c r="A213" s="331"/>
      <c r="B213" s="331"/>
      <c r="C213" s="331"/>
      <c r="D213" s="331"/>
      <c r="E213" s="331"/>
      <c r="F213" s="331"/>
      <c r="G213" s="331"/>
      <c r="H213" s="331"/>
      <c r="I213" s="331"/>
      <c r="J213" s="338"/>
      <c r="K213" s="339"/>
      <c r="L213" s="338"/>
      <c r="M213" s="331"/>
      <c r="N213" s="306"/>
      <c r="O213" s="307"/>
      <c r="P213" s="308"/>
      <c r="Q213" s="309"/>
      <c r="R213" s="309"/>
      <c r="S213" s="306"/>
      <c r="T213" s="331"/>
      <c r="U213" s="331"/>
      <c r="V213" s="331"/>
      <c r="W213" s="331"/>
      <c r="X213" s="331"/>
      <c r="Y213" s="331"/>
      <c r="Z213" s="331"/>
    </row>
    <row r="214">
      <c r="A214" s="331"/>
      <c r="B214" s="331"/>
      <c r="C214" s="331"/>
      <c r="D214" s="331"/>
      <c r="E214" s="331"/>
      <c r="F214" s="331"/>
      <c r="G214" s="331"/>
      <c r="H214" s="331"/>
      <c r="I214" s="331"/>
      <c r="J214" s="338"/>
      <c r="K214" s="339"/>
      <c r="L214" s="338"/>
      <c r="M214" s="331"/>
      <c r="N214" s="306"/>
      <c r="O214" s="307"/>
      <c r="P214" s="308"/>
      <c r="Q214" s="309"/>
      <c r="R214" s="309"/>
      <c r="S214" s="306"/>
      <c r="T214" s="331"/>
      <c r="U214" s="331"/>
      <c r="V214" s="331"/>
      <c r="W214" s="331"/>
      <c r="X214" s="331"/>
      <c r="Y214" s="331"/>
      <c r="Z214" s="331"/>
    </row>
    <row r="215">
      <c r="A215" s="331"/>
      <c r="B215" s="331"/>
      <c r="C215" s="331"/>
      <c r="D215" s="331"/>
      <c r="E215" s="331"/>
      <c r="F215" s="331"/>
      <c r="G215" s="331"/>
      <c r="H215" s="331"/>
      <c r="I215" s="331"/>
      <c r="J215" s="338"/>
      <c r="K215" s="339"/>
      <c r="L215" s="338"/>
      <c r="M215" s="331"/>
      <c r="N215" s="306"/>
      <c r="O215" s="307"/>
      <c r="P215" s="321"/>
      <c r="Q215" s="309"/>
      <c r="R215" s="309"/>
      <c r="S215" s="306"/>
      <c r="T215" s="331"/>
      <c r="U215" s="331"/>
      <c r="V215" s="331"/>
      <c r="W215" s="331"/>
      <c r="X215" s="331"/>
      <c r="Y215" s="331"/>
      <c r="Z215" s="331"/>
    </row>
    <row r="216">
      <c r="A216" s="331"/>
      <c r="B216" s="331"/>
      <c r="C216" s="331"/>
      <c r="D216" s="331"/>
      <c r="E216" s="331"/>
      <c r="F216" s="331"/>
      <c r="G216" s="331"/>
      <c r="H216" s="331"/>
      <c r="I216" s="331"/>
      <c r="J216" s="338"/>
      <c r="K216" s="339"/>
      <c r="L216" s="338"/>
      <c r="M216" s="331"/>
      <c r="N216" s="306"/>
      <c r="O216" s="307"/>
      <c r="P216" s="308"/>
      <c r="Q216" s="309"/>
      <c r="R216" s="309"/>
      <c r="S216" s="306"/>
      <c r="T216" s="331"/>
      <c r="U216" s="331"/>
      <c r="V216" s="331"/>
      <c r="W216" s="331"/>
      <c r="X216" s="331"/>
      <c r="Y216" s="331"/>
      <c r="Z216" s="331"/>
    </row>
    <row r="217">
      <c r="A217" s="331"/>
      <c r="B217" s="331"/>
      <c r="C217" s="331"/>
      <c r="D217" s="331"/>
      <c r="E217" s="331"/>
      <c r="F217" s="331"/>
      <c r="G217" s="331"/>
      <c r="H217" s="331"/>
      <c r="I217" s="331"/>
      <c r="J217" s="338"/>
      <c r="K217" s="339"/>
      <c r="L217" s="338"/>
      <c r="M217" s="331"/>
      <c r="N217" s="306"/>
      <c r="O217" s="307"/>
      <c r="P217" s="308"/>
      <c r="Q217" s="309"/>
      <c r="R217" s="309"/>
      <c r="S217" s="306"/>
      <c r="T217" s="331"/>
      <c r="U217" s="331"/>
      <c r="V217" s="331"/>
      <c r="W217" s="331"/>
      <c r="X217" s="331"/>
      <c r="Y217" s="331"/>
      <c r="Z217" s="331"/>
    </row>
    <row r="218">
      <c r="A218" s="331"/>
      <c r="B218" s="331"/>
      <c r="C218" s="331"/>
      <c r="D218" s="331"/>
      <c r="E218" s="331"/>
      <c r="F218" s="331"/>
      <c r="G218" s="331"/>
      <c r="H218" s="331"/>
      <c r="I218" s="331"/>
      <c r="J218" s="338"/>
      <c r="K218" s="339"/>
      <c r="L218" s="338"/>
      <c r="M218" s="331"/>
      <c r="N218" s="306"/>
      <c r="O218" s="307"/>
      <c r="P218" s="308"/>
      <c r="Q218" s="309"/>
      <c r="R218" s="309"/>
      <c r="S218" s="306"/>
      <c r="T218" s="331"/>
      <c r="U218" s="331"/>
      <c r="V218" s="331"/>
      <c r="W218" s="331"/>
      <c r="X218" s="331"/>
      <c r="Y218" s="331"/>
      <c r="Z218" s="331"/>
    </row>
    <row r="219">
      <c r="A219" s="331"/>
      <c r="B219" s="331"/>
      <c r="C219" s="331"/>
      <c r="D219" s="331"/>
      <c r="E219" s="331"/>
      <c r="F219" s="331"/>
      <c r="G219" s="331"/>
      <c r="H219" s="331"/>
      <c r="I219" s="331"/>
      <c r="J219" s="338"/>
      <c r="K219" s="339"/>
      <c r="L219" s="338"/>
      <c r="M219" s="331"/>
      <c r="N219" s="306"/>
      <c r="O219" s="307"/>
      <c r="P219" s="308"/>
      <c r="Q219" s="309"/>
      <c r="R219" s="309"/>
      <c r="S219" s="306"/>
      <c r="T219" s="331"/>
      <c r="U219" s="331"/>
      <c r="V219" s="331"/>
      <c r="W219" s="331"/>
      <c r="X219" s="331"/>
      <c r="Y219" s="331"/>
      <c r="Z219" s="331"/>
    </row>
    <row r="220">
      <c r="A220" s="331"/>
      <c r="B220" s="331"/>
      <c r="C220" s="331"/>
      <c r="D220" s="331"/>
      <c r="E220" s="331"/>
      <c r="F220" s="331"/>
      <c r="G220" s="331"/>
      <c r="H220" s="331"/>
      <c r="I220" s="331"/>
      <c r="J220" s="338"/>
      <c r="K220" s="339"/>
      <c r="L220" s="338"/>
      <c r="M220" s="331"/>
      <c r="N220" s="306"/>
      <c r="O220" s="307"/>
      <c r="P220" s="308"/>
      <c r="Q220" s="309"/>
      <c r="R220" s="309"/>
      <c r="S220" s="306"/>
      <c r="T220" s="331"/>
      <c r="U220" s="331"/>
      <c r="V220" s="331"/>
      <c r="W220" s="331"/>
      <c r="X220" s="331"/>
      <c r="Y220" s="331"/>
      <c r="Z220" s="331"/>
    </row>
    <row r="221">
      <c r="A221" s="331"/>
      <c r="B221" s="331"/>
      <c r="C221" s="331"/>
      <c r="D221" s="331"/>
      <c r="E221" s="331"/>
      <c r="F221" s="331"/>
      <c r="G221" s="331"/>
      <c r="H221" s="331"/>
      <c r="I221" s="331"/>
      <c r="J221" s="339"/>
      <c r="K221" s="339"/>
      <c r="L221" s="339"/>
      <c r="M221" s="331"/>
      <c r="N221" s="306"/>
      <c r="O221" s="307"/>
      <c r="P221" s="308"/>
      <c r="Q221" s="309"/>
      <c r="R221" s="309"/>
      <c r="S221" s="306"/>
      <c r="T221" s="331"/>
      <c r="U221" s="331"/>
      <c r="V221" s="331"/>
      <c r="W221" s="331"/>
      <c r="X221" s="331"/>
      <c r="Y221" s="331"/>
      <c r="Z221" s="331"/>
    </row>
    <row r="222">
      <c r="A222" s="331"/>
      <c r="B222" s="331"/>
      <c r="C222" s="331"/>
      <c r="D222" s="331"/>
      <c r="E222" s="331"/>
      <c r="F222" s="331"/>
      <c r="G222" s="331"/>
      <c r="H222" s="331"/>
      <c r="I222" s="331"/>
      <c r="J222" s="339"/>
      <c r="K222" s="339"/>
      <c r="L222" s="339"/>
      <c r="M222" s="331"/>
      <c r="N222" s="306"/>
      <c r="O222" s="307"/>
      <c r="P222" s="308"/>
      <c r="Q222" s="309"/>
      <c r="R222" s="309"/>
      <c r="S222" s="306"/>
      <c r="T222" s="331"/>
      <c r="U222" s="331"/>
      <c r="V222" s="331"/>
      <c r="W222" s="331"/>
      <c r="X222" s="331"/>
      <c r="Y222" s="331"/>
      <c r="Z222" s="331"/>
    </row>
    <row r="223">
      <c r="A223" s="331"/>
      <c r="B223" s="331"/>
      <c r="C223" s="331"/>
      <c r="D223" s="331"/>
      <c r="E223" s="331"/>
      <c r="F223" s="331"/>
      <c r="G223" s="331"/>
      <c r="H223" s="331"/>
      <c r="I223" s="331"/>
      <c r="J223" s="339"/>
      <c r="K223" s="339"/>
      <c r="L223" s="339"/>
      <c r="M223" s="331"/>
      <c r="N223" s="306"/>
      <c r="O223" s="307"/>
      <c r="P223" s="308"/>
      <c r="Q223" s="309"/>
      <c r="R223" s="309"/>
      <c r="S223" s="306"/>
      <c r="T223" s="331"/>
      <c r="U223" s="331"/>
      <c r="V223" s="331"/>
      <c r="W223" s="331"/>
      <c r="X223" s="331"/>
      <c r="Y223" s="331"/>
      <c r="Z223" s="331"/>
    </row>
    <row r="224">
      <c r="A224" s="331"/>
      <c r="B224" s="331"/>
      <c r="C224" s="331"/>
      <c r="D224" s="331"/>
      <c r="E224" s="331"/>
      <c r="F224" s="331"/>
      <c r="G224" s="331"/>
      <c r="H224" s="331"/>
      <c r="I224" s="331"/>
      <c r="J224" s="339"/>
      <c r="K224" s="339"/>
      <c r="L224" s="339"/>
      <c r="M224" s="331"/>
      <c r="N224" s="306"/>
      <c r="O224" s="307"/>
      <c r="P224" s="308"/>
      <c r="Q224" s="309"/>
      <c r="R224" s="309"/>
      <c r="S224" s="306"/>
      <c r="T224" s="331"/>
      <c r="U224" s="331"/>
      <c r="V224" s="331"/>
      <c r="W224" s="331"/>
      <c r="X224" s="331"/>
      <c r="Y224" s="331"/>
      <c r="Z224" s="331"/>
    </row>
    <row r="225">
      <c r="A225" s="331"/>
      <c r="B225" s="331"/>
      <c r="C225" s="331"/>
      <c r="D225" s="331"/>
      <c r="E225" s="331"/>
      <c r="F225" s="331"/>
      <c r="G225" s="331"/>
      <c r="H225" s="331"/>
      <c r="I225" s="331"/>
      <c r="J225" s="339"/>
      <c r="K225" s="339"/>
      <c r="L225" s="339"/>
      <c r="M225" s="331"/>
      <c r="N225" s="306"/>
      <c r="O225" s="307"/>
      <c r="P225" s="308"/>
      <c r="Q225" s="309"/>
      <c r="R225" s="309"/>
      <c r="S225" s="306"/>
      <c r="T225" s="331"/>
      <c r="U225" s="331"/>
      <c r="V225" s="331"/>
      <c r="W225" s="331"/>
      <c r="X225" s="331"/>
      <c r="Y225" s="331"/>
      <c r="Z225" s="331"/>
    </row>
    <row r="226">
      <c r="A226" s="331"/>
      <c r="B226" s="331"/>
      <c r="C226" s="331"/>
      <c r="D226" s="331"/>
      <c r="E226" s="331"/>
      <c r="F226" s="331"/>
      <c r="G226" s="331"/>
      <c r="H226" s="331"/>
      <c r="I226" s="331"/>
      <c r="J226" s="339"/>
      <c r="K226" s="339"/>
      <c r="L226" s="339"/>
      <c r="M226" s="331"/>
      <c r="N226" s="306"/>
      <c r="O226" s="307"/>
      <c r="P226" s="308"/>
      <c r="Q226" s="309"/>
      <c r="R226" s="309"/>
      <c r="S226" s="306"/>
      <c r="T226" s="331"/>
      <c r="U226" s="331"/>
      <c r="V226" s="331"/>
      <c r="W226" s="331"/>
      <c r="X226" s="331"/>
      <c r="Y226" s="331"/>
      <c r="Z226" s="331"/>
    </row>
    <row r="227">
      <c r="A227" s="331"/>
      <c r="B227" s="331"/>
      <c r="C227" s="331"/>
      <c r="D227" s="331"/>
      <c r="E227" s="331"/>
      <c r="F227" s="331"/>
      <c r="G227" s="331"/>
      <c r="H227" s="331"/>
      <c r="I227" s="331"/>
      <c r="J227" s="339"/>
      <c r="K227" s="339"/>
      <c r="L227" s="339"/>
      <c r="M227" s="331"/>
      <c r="N227" s="306"/>
      <c r="O227" s="307"/>
      <c r="P227" s="308"/>
      <c r="Q227" s="309"/>
      <c r="R227" s="309"/>
      <c r="S227" s="306"/>
      <c r="T227" s="331"/>
      <c r="U227" s="331"/>
      <c r="V227" s="331"/>
      <c r="W227" s="331"/>
      <c r="X227" s="331"/>
      <c r="Y227" s="331"/>
      <c r="Z227" s="331"/>
    </row>
    <row r="228">
      <c r="A228" s="331"/>
      <c r="B228" s="331"/>
      <c r="C228" s="331"/>
      <c r="D228" s="331"/>
      <c r="E228" s="331"/>
      <c r="F228" s="331"/>
      <c r="G228" s="331"/>
      <c r="H228" s="331"/>
      <c r="I228" s="331"/>
      <c r="J228" s="339"/>
      <c r="K228" s="339"/>
      <c r="L228" s="339"/>
      <c r="M228" s="331"/>
      <c r="N228" s="306"/>
      <c r="O228" s="307"/>
      <c r="P228" s="308"/>
      <c r="Q228" s="309"/>
      <c r="R228" s="309"/>
      <c r="S228" s="306"/>
      <c r="T228" s="331"/>
      <c r="U228" s="331"/>
      <c r="V228" s="331"/>
      <c r="W228" s="331"/>
      <c r="X228" s="331"/>
      <c r="Y228" s="331"/>
      <c r="Z228" s="331"/>
    </row>
    <row r="229">
      <c r="A229" s="331"/>
      <c r="B229" s="331"/>
      <c r="C229" s="331"/>
      <c r="D229" s="331"/>
      <c r="E229" s="331"/>
      <c r="F229" s="331"/>
      <c r="G229" s="331"/>
      <c r="H229" s="331"/>
      <c r="I229" s="331"/>
      <c r="J229" s="339"/>
      <c r="K229" s="339"/>
      <c r="L229" s="339"/>
      <c r="M229" s="331"/>
      <c r="N229" s="306"/>
      <c r="O229" s="307"/>
      <c r="P229" s="308"/>
      <c r="Q229" s="309"/>
      <c r="R229" s="309"/>
      <c r="S229" s="306"/>
      <c r="T229" s="331"/>
      <c r="U229" s="331"/>
      <c r="V229" s="331"/>
      <c r="W229" s="331"/>
      <c r="X229" s="331"/>
      <c r="Y229" s="331"/>
      <c r="Z229" s="331"/>
    </row>
    <row r="230">
      <c r="A230" s="331"/>
      <c r="B230" s="331"/>
      <c r="C230" s="331"/>
      <c r="D230" s="331"/>
      <c r="E230" s="331"/>
      <c r="F230" s="331"/>
      <c r="G230" s="331"/>
      <c r="H230" s="331"/>
      <c r="I230" s="331"/>
      <c r="J230" s="339"/>
      <c r="K230" s="339"/>
      <c r="L230" s="339"/>
      <c r="M230" s="331"/>
      <c r="N230" s="306"/>
      <c r="O230" s="307"/>
      <c r="P230" s="308"/>
      <c r="Q230" s="309"/>
      <c r="R230" s="309"/>
      <c r="S230" s="306"/>
      <c r="T230" s="331"/>
      <c r="U230" s="331"/>
      <c r="V230" s="331"/>
      <c r="W230" s="331"/>
      <c r="X230" s="331"/>
      <c r="Y230" s="331"/>
      <c r="Z230" s="331"/>
    </row>
    <row r="231">
      <c r="A231" s="331"/>
      <c r="B231" s="331"/>
      <c r="C231" s="331"/>
      <c r="D231" s="331"/>
      <c r="E231" s="331"/>
      <c r="F231" s="331"/>
      <c r="G231" s="331"/>
      <c r="H231" s="331"/>
      <c r="I231" s="331"/>
      <c r="J231" s="339"/>
      <c r="K231" s="339"/>
      <c r="L231" s="339"/>
      <c r="M231" s="331"/>
      <c r="N231" s="306"/>
      <c r="O231" s="307"/>
      <c r="P231" s="308"/>
      <c r="Q231" s="309"/>
      <c r="R231" s="309"/>
      <c r="S231" s="306"/>
      <c r="T231" s="331"/>
      <c r="U231" s="331"/>
      <c r="V231" s="331"/>
      <c r="W231" s="331"/>
      <c r="X231" s="331"/>
      <c r="Y231" s="331"/>
      <c r="Z231" s="331"/>
    </row>
    <row r="232">
      <c r="A232" s="331"/>
      <c r="B232" s="331"/>
      <c r="C232" s="331"/>
      <c r="D232" s="331"/>
      <c r="E232" s="331"/>
      <c r="F232" s="331"/>
      <c r="G232" s="331"/>
      <c r="H232" s="331"/>
      <c r="I232" s="331"/>
      <c r="J232" s="339"/>
      <c r="K232" s="339"/>
      <c r="L232" s="339"/>
      <c r="M232" s="331"/>
      <c r="N232" s="306"/>
      <c r="O232" s="307"/>
      <c r="P232" s="308"/>
      <c r="Q232" s="309"/>
      <c r="R232" s="309"/>
      <c r="S232" s="306"/>
      <c r="T232" s="331"/>
      <c r="U232" s="331"/>
      <c r="V232" s="331"/>
      <c r="W232" s="331"/>
      <c r="X232" s="331"/>
      <c r="Y232" s="331"/>
      <c r="Z232" s="331"/>
    </row>
    <row r="233">
      <c r="A233" s="331"/>
      <c r="B233" s="331"/>
      <c r="C233" s="331"/>
      <c r="D233" s="331"/>
      <c r="E233" s="331"/>
      <c r="F233" s="331"/>
      <c r="G233" s="331"/>
      <c r="H233" s="331"/>
      <c r="I233" s="331"/>
      <c r="J233" s="339"/>
      <c r="K233" s="339"/>
      <c r="L233" s="339"/>
      <c r="M233" s="331"/>
      <c r="N233" s="306"/>
      <c r="O233" s="307"/>
      <c r="P233" s="308"/>
      <c r="Q233" s="309"/>
      <c r="R233" s="309"/>
      <c r="S233" s="306"/>
      <c r="T233" s="331"/>
      <c r="U233" s="331"/>
      <c r="V233" s="331"/>
      <c r="W233" s="331"/>
      <c r="X233" s="331"/>
      <c r="Y233" s="331"/>
      <c r="Z233" s="331"/>
    </row>
    <row r="234">
      <c r="A234" s="331"/>
      <c r="B234" s="331"/>
      <c r="C234" s="331"/>
      <c r="D234" s="331"/>
      <c r="E234" s="331"/>
      <c r="F234" s="331"/>
      <c r="G234" s="331"/>
      <c r="H234" s="331"/>
      <c r="I234" s="331"/>
      <c r="J234" s="339"/>
      <c r="K234" s="339"/>
      <c r="L234" s="339"/>
      <c r="M234" s="331"/>
      <c r="N234" s="306"/>
      <c r="O234" s="307"/>
      <c r="P234" s="308"/>
      <c r="Q234" s="309"/>
      <c r="R234" s="309"/>
      <c r="S234" s="306"/>
      <c r="T234" s="331"/>
      <c r="U234" s="331"/>
      <c r="V234" s="331"/>
      <c r="W234" s="331"/>
      <c r="X234" s="331"/>
      <c r="Y234" s="331"/>
      <c r="Z234" s="331"/>
    </row>
    <row r="235">
      <c r="A235" s="331"/>
      <c r="B235" s="331"/>
      <c r="C235" s="331"/>
      <c r="D235" s="331"/>
      <c r="E235" s="331"/>
      <c r="F235" s="331"/>
      <c r="G235" s="331"/>
      <c r="H235" s="331"/>
      <c r="I235" s="331"/>
      <c r="J235" s="339"/>
      <c r="K235" s="339"/>
      <c r="L235" s="339"/>
      <c r="M235" s="331"/>
      <c r="N235" s="306"/>
      <c r="O235" s="307"/>
      <c r="P235" s="308"/>
      <c r="Q235" s="309"/>
      <c r="R235" s="309"/>
      <c r="S235" s="306"/>
      <c r="T235" s="331"/>
      <c r="U235" s="331"/>
      <c r="V235" s="331"/>
      <c r="W235" s="331"/>
      <c r="X235" s="331"/>
      <c r="Y235" s="331"/>
      <c r="Z235" s="331"/>
    </row>
    <row r="236">
      <c r="A236" s="331"/>
      <c r="B236" s="331"/>
      <c r="C236" s="331"/>
      <c r="D236" s="331"/>
      <c r="E236" s="331"/>
      <c r="F236" s="331"/>
      <c r="G236" s="331"/>
      <c r="H236" s="331"/>
      <c r="I236" s="331"/>
      <c r="J236" s="339"/>
      <c r="K236" s="339"/>
      <c r="L236" s="339"/>
      <c r="M236" s="331"/>
      <c r="N236" s="306"/>
      <c r="O236" s="307"/>
      <c r="P236" s="308"/>
      <c r="Q236" s="309"/>
      <c r="R236" s="309"/>
      <c r="S236" s="306"/>
      <c r="T236" s="331"/>
      <c r="U236" s="331"/>
      <c r="V236" s="331"/>
      <c r="W236" s="331"/>
      <c r="X236" s="331"/>
      <c r="Y236" s="331"/>
      <c r="Z236" s="331"/>
    </row>
    <row r="237">
      <c r="A237" s="331"/>
      <c r="B237" s="331"/>
      <c r="C237" s="331"/>
      <c r="D237" s="331"/>
      <c r="E237" s="331"/>
      <c r="F237" s="331"/>
      <c r="G237" s="331"/>
      <c r="H237" s="331"/>
      <c r="I237" s="331"/>
      <c r="J237" s="339"/>
      <c r="K237" s="339"/>
      <c r="L237" s="339"/>
      <c r="M237" s="331"/>
      <c r="N237" s="306"/>
      <c r="O237" s="307"/>
      <c r="P237" s="308"/>
      <c r="Q237" s="309"/>
      <c r="R237" s="309"/>
      <c r="S237" s="306"/>
      <c r="T237" s="331"/>
      <c r="U237" s="331"/>
      <c r="V237" s="331"/>
      <c r="W237" s="331"/>
      <c r="X237" s="331"/>
      <c r="Y237" s="331"/>
      <c r="Z237" s="331"/>
    </row>
    <row r="238">
      <c r="A238" s="331"/>
      <c r="B238" s="331"/>
      <c r="C238" s="331"/>
      <c r="D238" s="331"/>
      <c r="E238" s="331"/>
      <c r="F238" s="331"/>
      <c r="G238" s="331"/>
      <c r="H238" s="331"/>
      <c r="I238" s="331"/>
      <c r="J238" s="339"/>
      <c r="K238" s="339"/>
      <c r="L238" s="339"/>
      <c r="M238" s="331"/>
      <c r="N238" s="306"/>
      <c r="O238" s="307"/>
      <c r="P238" s="308"/>
      <c r="Q238" s="309"/>
      <c r="R238" s="309"/>
      <c r="S238" s="306"/>
      <c r="T238" s="331"/>
      <c r="U238" s="331"/>
      <c r="V238" s="331"/>
      <c r="W238" s="331"/>
      <c r="X238" s="331"/>
      <c r="Y238" s="331"/>
      <c r="Z238" s="331"/>
    </row>
    <row r="239">
      <c r="A239" s="331"/>
      <c r="B239" s="331"/>
      <c r="C239" s="331"/>
      <c r="D239" s="331"/>
      <c r="E239" s="331"/>
      <c r="F239" s="331"/>
      <c r="G239" s="331"/>
      <c r="H239" s="331"/>
      <c r="I239" s="331"/>
      <c r="J239" s="339"/>
      <c r="K239" s="339"/>
      <c r="L239" s="339"/>
      <c r="M239" s="331"/>
      <c r="N239" s="306"/>
      <c r="O239" s="307"/>
      <c r="P239" s="308"/>
      <c r="Q239" s="309"/>
      <c r="R239" s="309"/>
      <c r="S239" s="306"/>
      <c r="T239" s="331"/>
      <c r="U239" s="331"/>
      <c r="V239" s="331"/>
      <c r="W239" s="331"/>
      <c r="X239" s="331"/>
      <c r="Y239" s="331"/>
      <c r="Z239" s="331"/>
    </row>
    <row r="240">
      <c r="A240" s="331"/>
      <c r="B240" s="331"/>
      <c r="C240" s="331"/>
      <c r="D240" s="331"/>
      <c r="E240" s="331"/>
      <c r="F240" s="331"/>
      <c r="G240" s="331"/>
      <c r="H240" s="331"/>
      <c r="I240" s="331"/>
      <c r="J240" s="339"/>
      <c r="K240" s="339"/>
      <c r="L240" s="339"/>
      <c r="M240" s="331"/>
      <c r="N240" s="306"/>
      <c r="O240" s="307"/>
      <c r="P240" s="308"/>
      <c r="Q240" s="309"/>
      <c r="R240" s="309"/>
      <c r="S240" s="306"/>
      <c r="T240" s="331"/>
      <c r="U240" s="331"/>
      <c r="V240" s="331"/>
      <c r="W240" s="331"/>
      <c r="X240" s="331"/>
      <c r="Y240" s="331"/>
      <c r="Z240" s="331"/>
    </row>
    <row r="241">
      <c r="A241" s="331"/>
      <c r="B241" s="331"/>
      <c r="C241" s="331"/>
      <c r="D241" s="331"/>
      <c r="E241" s="331"/>
      <c r="F241" s="331"/>
      <c r="G241" s="331"/>
      <c r="H241" s="331"/>
      <c r="I241" s="331"/>
      <c r="J241" s="339"/>
      <c r="K241" s="339"/>
      <c r="L241" s="339"/>
      <c r="M241" s="331"/>
      <c r="N241" s="306"/>
      <c r="O241" s="307"/>
      <c r="P241" s="308"/>
      <c r="Q241" s="309"/>
      <c r="R241" s="309"/>
      <c r="S241" s="306"/>
      <c r="T241" s="331"/>
      <c r="U241" s="331"/>
      <c r="V241" s="331"/>
      <c r="W241" s="331"/>
      <c r="X241" s="331"/>
      <c r="Y241" s="331"/>
      <c r="Z241" s="331"/>
    </row>
    <row r="242">
      <c r="A242" s="331"/>
      <c r="B242" s="331"/>
      <c r="C242" s="331"/>
      <c r="D242" s="331"/>
      <c r="E242" s="331"/>
      <c r="F242" s="331"/>
      <c r="G242" s="331"/>
      <c r="H242" s="331"/>
      <c r="I242" s="331"/>
      <c r="J242" s="339"/>
      <c r="K242" s="339"/>
      <c r="L242" s="339"/>
      <c r="M242" s="331"/>
      <c r="N242" s="306"/>
      <c r="O242" s="307"/>
      <c r="P242" s="308"/>
      <c r="Q242" s="309"/>
      <c r="R242" s="309"/>
      <c r="S242" s="306"/>
      <c r="T242" s="331"/>
      <c r="U242" s="331"/>
      <c r="V242" s="331"/>
      <c r="W242" s="331"/>
      <c r="X242" s="331"/>
      <c r="Y242" s="331"/>
      <c r="Z242" s="331"/>
    </row>
    <row r="243">
      <c r="A243" s="331"/>
      <c r="B243" s="331"/>
      <c r="C243" s="331"/>
      <c r="D243" s="331"/>
      <c r="E243" s="331"/>
      <c r="F243" s="331"/>
      <c r="G243" s="331"/>
      <c r="H243" s="331"/>
      <c r="I243" s="331"/>
      <c r="J243" s="339"/>
      <c r="K243" s="339"/>
      <c r="L243" s="339"/>
      <c r="M243" s="331"/>
      <c r="N243" s="306"/>
      <c r="O243" s="307"/>
      <c r="P243" s="308"/>
      <c r="Q243" s="309"/>
      <c r="R243" s="309"/>
      <c r="S243" s="306"/>
      <c r="T243" s="331"/>
      <c r="U243" s="331"/>
      <c r="V243" s="331"/>
      <c r="W243" s="331"/>
      <c r="X243" s="331"/>
      <c r="Y243" s="331"/>
      <c r="Z243" s="331"/>
    </row>
    <row r="244">
      <c r="A244" s="331"/>
      <c r="B244" s="331"/>
      <c r="C244" s="331"/>
      <c r="D244" s="331"/>
      <c r="E244" s="331"/>
      <c r="F244" s="331"/>
      <c r="G244" s="331"/>
      <c r="H244" s="331"/>
      <c r="I244" s="331"/>
      <c r="J244" s="339"/>
      <c r="K244" s="339"/>
      <c r="L244" s="339"/>
      <c r="M244" s="331"/>
      <c r="N244" s="306"/>
      <c r="O244" s="307"/>
      <c r="P244" s="308"/>
      <c r="Q244" s="309"/>
      <c r="R244" s="309"/>
      <c r="S244" s="306"/>
      <c r="T244" s="331"/>
      <c r="U244" s="331"/>
      <c r="V244" s="331"/>
      <c r="W244" s="331"/>
      <c r="X244" s="331"/>
      <c r="Y244" s="331"/>
      <c r="Z244" s="331"/>
    </row>
    <row r="245">
      <c r="A245" s="331"/>
      <c r="B245" s="331"/>
      <c r="C245" s="331"/>
      <c r="D245" s="331"/>
      <c r="E245" s="331"/>
      <c r="F245" s="331"/>
      <c r="G245" s="331"/>
      <c r="H245" s="331"/>
      <c r="I245" s="331"/>
      <c r="J245" s="339"/>
      <c r="K245" s="339"/>
      <c r="L245" s="339"/>
      <c r="M245" s="331"/>
      <c r="N245" s="306"/>
      <c r="O245" s="307"/>
      <c r="P245" s="308"/>
      <c r="Q245" s="309"/>
      <c r="R245" s="309"/>
      <c r="S245" s="306"/>
      <c r="T245" s="331"/>
      <c r="U245" s="331"/>
      <c r="V245" s="331"/>
      <c r="W245" s="331"/>
      <c r="X245" s="331"/>
      <c r="Y245" s="331"/>
      <c r="Z245" s="331"/>
    </row>
    <row r="246">
      <c r="A246" s="331"/>
      <c r="B246" s="331"/>
      <c r="C246" s="331"/>
      <c r="D246" s="331"/>
      <c r="E246" s="331"/>
      <c r="F246" s="331"/>
      <c r="G246" s="331"/>
      <c r="H246" s="331"/>
      <c r="I246" s="331"/>
      <c r="J246" s="339"/>
      <c r="K246" s="339"/>
      <c r="L246" s="339"/>
      <c r="M246" s="331"/>
      <c r="N246" s="306"/>
      <c r="O246" s="307"/>
      <c r="P246" s="308"/>
      <c r="Q246" s="309"/>
      <c r="R246" s="309"/>
      <c r="S246" s="306"/>
      <c r="T246" s="331"/>
      <c r="U246" s="331"/>
      <c r="V246" s="331"/>
      <c r="W246" s="331"/>
      <c r="X246" s="331"/>
      <c r="Y246" s="331"/>
      <c r="Z246" s="331"/>
    </row>
    <row r="247">
      <c r="A247" s="331"/>
      <c r="B247" s="331"/>
      <c r="C247" s="331"/>
      <c r="D247" s="331"/>
      <c r="E247" s="331"/>
      <c r="F247" s="331"/>
      <c r="G247" s="331"/>
      <c r="H247" s="331"/>
      <c r="I247" s="331"/>
      <c r="J247" s="339"/>
      <c r="K247" s="339"/>
      <c r="L247" s="339"/>
      <c r="M247" s="331"/>
      <c r="N247" s="306"/>
      <c r="O247" s="307"/>
      <c r="P247" s="308"/>
      <c r="Q247" s="309"/>
      <c r="R247" s="309"/>
      <c r="S247" s="306"/>
      <c r="T247" s="331"/>
      <c r="U247" s="331"/>
      <c r="V247" s="331"/>
      <c r="W247" s="331"/>
      <c r="X247" s="331"/>
      <c r="Y247" s="331"/>
      <c r="Z247" s="331"/>
    </row>
    <row r="248">
      <c r="A248" s="331"/>
      <c r="B248" s="331"/>
      <c r="C248" s="331"/>
      <c r="D248" s="331"/>
      <c r="E248" s="331"/>
      <c r="F248" s="331"/>
      <c r="G248" s="331"/>
      <c r="H248" s="331"/>
      <c r="I248" s="331"/>
      <c r="J248" s="339"/>
      <c r="K248" s="339"/>
      <c r="L248" s="339"/>
      <c r="M248" s="331"/>
      <c r="N248" s="306"/>
      <c r="O248" s="307"/>
      <c r="P248" s="308"/>
      <c r="Q248" s="309"/>
      <c r="R248" s="309"/>
      <c r="S248" s="306"/>
      <c r="T248" s="331"/>
      <c r="U248" s="331"/>
      <c r="V248" s="331"/>
      <c r="W248" s="331"/>
      <c r="X248" s="331"/>
      <c r="Y248" s="331"/>
      <c r="Z248" s="331"/>
    </row>
    <row r="249">
      <c r="A249" s="331"/>
      <c r="B249" s="331"/>
      <c r="C249" s="331"/>
      <c r="D249" s="331"/>
      <c r="E249" s="331"/>
      <c r="F249" s="331"/>
      <c r="G249" s="331"/>
      <c r="H249" s="331"/>
      <c r="I249" s="331"/>
      <c r="J249" s="339"/>
      <c r="K249" s="339"/>
      <c r="L249" s="339"/>
      <c r="M249" s="331"/>
      <c r="N249" s="306"/>
      <c r="O249" s="307"/>
      <c r="P249" s="308"/>
      <c r="Q249" s="309"/>
      <c r="R249" s="309"/>
      <c r="S249" s="306"/>
      <c r="T249" s="331"/>
      <c r="U249" s="331"/>
      <c r="V249" s="331"/>
      <c r="W249" s="331"/>
      <c r="X249" s="331"/>
      <c r="Y249" s="331"/>
      <c r="Z249" s="331"/>
    </row>
    <row r="250">
      <c r="A250" s="331"/>
      <c r="B250" s="331"/>
      <c r="C250" s="331"/>
      <c r="D250" s="331"/>
      <c r="E250" s="331"/>
      <c r="F250" s="331"/>
      <c r="G250" s="331"/>
      <c r="H250" s="331"/>
      <c r="I250" s="331"/>
      <c r="J250" s="339"/>
      <c r="K250" s="339"/>
      <c r="L250" s="339"/>
      <c r="M250" s="331"/>
      <c r="N250" s="306"/>
      <c r="O250" s="307"/>
      <c r="P250" s="308"/>
      <c r="Q250" s="309"/>
      <c r="R250" s="309"/>
      <c r="S250" s="306"/>
      <c r="T250" s="331"/>
      <c r="U250" s="331"/>
      <c r="V250" s="331"/>
      <c r="W250" s="331"/>
      <c r="X250" s="331"/>
      <c r="Y250" s="331"/>
      <c r="Z250" s="331"/>
    </row>
    <row r="251">
      <c r="A251" s="331"/>
      <c r="B251" s="331"/>
      <c r="C251" s="331"/>
      <c r="D251" s="331"/>
      <c r="E251" s="331"/>
      <c r="F251" s="331"/>
      <c r="G251" s="331"/>
      <c r="H251" s="331"/>
      <c r="I251" s="331"/>
      <c r="J251" s="339"/>
      <c r="K251" s="339"/>
      <c r="L251" s="339"/>
      <c r="M251" s="331"/>
      <c r="N251" s="306"/>
      <c r="O251" s="307"/>
      <c r="P251" s="308"/>
      <c r="Q251" s="309"/>
      <c r="R251" s="309"/>
      <c r="S251" s="306"/>
      <c r="T251" s="331"/>
      <c r="U251" s="331"/>
      <c r="V251" s="331"/>
      <c r="W251" s="331"/>
      <c r="X251" s="331"/>
      <c r="Y251" s="331"/>
      <c r="Z251" s="331"/>
    </row>
    <row r="252">
      <c r="A252" s="331"/>
      <c r="B252" s="331"/>
      <c r="C252" s="331"/>
      <c r="D252" s="331"/>
      <c r="E252" s="331"/>
      <c r="F252" s="331"/>
      <c r="G252" s="331"/>
      <c r="H252" s="331"/>
      <c r="I252" s="331"/>
      <c r="J252" s="339"/>
      <c r="K252" s="339"/>
      <c r="L252" s="339"/>
      <c r="M252" s="331"/>
      <c r="N252" s="306"/>
      <c r="O252" s="307"/>
      <c r="P252" s="308"/>
      <c r="Q252" s="309"/>
      <c r="R252" s="309"/>
      <c r="S252" s="306"/>
      <c r="T252" s="331"/>
      <c r="U252" s="331"/>
      <c r="V252" s="331"/>
      <c r="W252" s="331"/>
      <c r="X252" s="331"/>
      <c r="Y252" s="331"/>
      <c r="Z252" s="331"/>
    </row>
    <row r="253">
      <c r="A253" s="331"/>
      <c r="B253" s="331"/>
      <c r="C253" s="331"/>
      <c r="D253" s="331"/>
      <c r="E253" s="331"/>
      <c r="F253" s="331"/>
      <c r="G253" s="331"/>
      <c r="H253" s="331"/>
      <c r="I253" s="331"/>
      <c r="J253" s="339"/>
      <c r="K253" s="339"/>
      <c r="L253" s="339"/>
      <c r="M253" s="331"/>
      <c r="N253" s="306"/>
      <c r="O253" s="307"/>
      <c r="P253" s="308"/>
      <c r="Q253" s="309"/>
      <c r="R253" s="309"/>
      <c r="S253" s="306"/>
      <c r="T253" s="331"/>
      <c r="U253" s="331"/>
      <c r="V253" s="331"/>
      <c r="W253" s="331"/>
      <c r="X253" s="331"/>
      <c r="Y253" s="331"/>
      <c r="Z253" s="331"/>
    </row>
    <row r="254">
      <c r="A254" s="331"/>
      <c r="B254" s="331"/>
      <c r="C254" s="331"/>
      <c r="D254" s="331"/>
      <c r="E254" s="331"/>
      <c r="F254" s="331"/>
      <c r="G254" s="331"/>
      <c r="H254" s="331"/>
      <c r="I254" s="331"/>
      <c r="J254" s="339"/>
      <c r="K254" s="339"/>
      <c r="L254" s="339"/>
      <c r="M254" s="331"/>
      <c r="N254" s="306"/>
      <c r="O254" s="307"/>
      <c r="P254" s="308"/>
      <c r="Q254" s="309"/>
      <c r="R254" s="309"/>
      <c r="S254" s="306"/>
      <c r="T254" s="331"/>
      <c r="U254" s="331"/>
      <c r="V254" s="331"/>
      <c r="W254" s="331"/>
      <c r="X254" s="331"/>
      <c r="Y254" s="331"/>
      <c r="Z254" s="331"/>
    </row>
    <row r="255">
      <c r="A255" s="331"/>
      <c r="B255" s="331"/>
      <c r="C255" s="331"/>
      <c r="D255" s="331"/>
      <c r="E255" s="331"/>
      <c r="F255" s="331"/>
      <c r="G255" s="331"/>
      <c r="H255" s="331"/>
      <c r="I255" s="331"/>
      <c r="J255" s="339"/>
      <c r="K255" s="339"/>
      <c r="L255" s="339"/>
      <c r="M255" s="331"/>
      <c r="N255" s="306"/>
      <c r="O255" s="307"/>
      <c r="P255" s="308"/>
      <c r="Q255" s="309"/>
      <c r="R255" s="309"/>
      <c r="S255" s="306"/>
      <c r="T255" s="331"/>
      <c r="U255" s="331"/>
      <c r="V255" s="331"/>
      <c r="W255" s="331"/>
      <c r="X255" s="331"/>
      <c r="Y255" s="331"/>
      <c r="Z255" s="331"/>
    </row>
    <row r="256">
      <c r="A256" s="331"/>
      <c r="B256" s="331"/>
      <c r="C256" s="331"/>
      <c r="D256" s="331"/>
      <c r="E256" s="331"/>
      <c r="F256" s="331"/>
      <c r="G256" s="331"/>
      <c r="H256" s="331"/>
      <c r="I256" s="331"/>
      <c r="J256" s="339"/>
      <c r="K256" s="339"/>
      <c r="L256" s="339"/>
      <c r="M256" s="331"/>
      <c r="N256" s="306"/>
      <c r="O256" s="307"/>
      <c r="P256" s="308"/>
      <c r="Q256" s="309"/>
      <c r="R256" s="309"/>
      <c r="S256" s="306"/>
      <c r="T256" s="331"/>
      <c r="U256" s="331"/>
      <c r="V256" s="331"/>
      <c r="W256" s="331"/>
      <c r="X256" s="331"/>
      <c r="Y256" s="331"/>
      <c r="Z256" s="331"/>
    </row>
    <row r="257">
      <c r="A257" s="331"/>
      <c r="B257" s="331"/>
      <c r="C257" s="331"/>
      <c r="D257" s="331"/>
      <c r="E257" s="331"/>
      <c r="F257" s="331"/>
      <c r="G257" s="331"/>
      <c r="H257" s="331"/>
      <c r="I257" s="331"/>
      <c r="J257" s="339"/>
      <c r="K257" s="339"/>
      <c r="L257" s="339"/>
      <c r="M257" s="331"/>
      <c r="N257" s="306"/>
      <c r="O257" s="307"/>
      <c r="P257" s="308"/>
      <c r="Q257" s="309"/>
      <c r="R257" s="309"/>
      <c r="S257" s="306"/>
      <c r="T257" s="331"/>
      <c r="U257" s="331"/>
      <c r="V257" s="331"/>
      <c r="W257" s="331"/>
      <c r="X257" s="331"/>
      <c r="Y257" s="331"/>
      <c r="Z257" s="331"/>
    </row>
    <row r="258">
      <c r="A258" s="331"/>
      <c r="B258" s="331"/>
      <c r="C258" s="331"/>
      <c r="D258" s="331"/>
      <c r="E258" s="331"/>
      <c r="F258" s="331"/>
      <c r="G258" s="331"/>
      <c r="H258" s="331"/>
      <c r="I258" s="331"/>
      <c r="J258" s="339"/>
      <c r="K258" s="339"/>
      <c r="L258" s="339"/>
      <c r="M258" s="331"/>
      <c r="N258" s="306"/>
      <c r="O258" s="307"/>
      <c r="P258" s="308"/>
      <c r="Q258" s="309"/>
      <c r="R258" s="309"/>
      <c r="S258" s="306"/>
      <c r="T258" s="331"/>
      <c r="U258" s="331"/>
      <c r="V258" s="331"/>
      <c r="W258" s="331"/>
      <c r="X258" s="331"/>
      <c r="Y258" s="331"/>
      <c r="Z258" s="331"/>
    </row>
    <row r="259">
      <c r="A259" s="331"/>
      <c r="B259" s="331"/>
      <c r="C259" s="331"/>
      <c r="D259" s="331"/>
      <c r="E259" s="331"/>
      <c r="F259" s="331"/>
      <c r="G259" s="331"/>
      <c r="H259" s="331"/>
      <c r="I259" s="331"/>
      <c r="J259" s="339"/>
      <c r="K259" s="339"/>
      <c r="L259" s="339"/>
      <c r="M259" s="331"/>
      <c r="N259" s="306"/>
      <c r="O259" s="307"/>
      <c r="P259" s="308"/>
      <c r="Q259" s="309"/>
      <c r="R259" s="309"/>
      <c r="S259" s="306"/>
      <c r="T259" s="331"/>
      <c r="U259" s="331"/>
      <c r="V259" s="331"/>
      <c r="W259" s="331"/>
      <c r="X259" s="331"/>
      <c r="Y259" s="331"/>
      <c r="Z259" s="331"/>
    </row>
    <row r="260">
      <c r="A260" s="331"/>
      <c r="B260" s="331"/>
      <c r="C260" s="331"/>
      <c r="D260" s="331"/>
      <c r="E260" s="331"/>
      <c r="F260" s="331"/>
      <c r="G260" s="331"/>
      <c r="H260" s="331"/>
      <c r="I260" s="331"/>
      <c r="J260" s="339"/>
      <c r="K260" s="339"/>
      <c r="L260" s="339"/>
      <c r="M260" s="331"/>
      <c r="N260" s="306"/>
      <c r="O260" s="307"/>
      <c r="P260" s="308"/>
      <c r="Q260" s="309"/>
      <c r="R260" s="309"/>
      <c r="S260" s="306"/>
      <c r="T260" s="331"/>
      <c r="U260" s="331"/>
      <c r="V260" s="331"/>
      <c r="W260" s="331"/>
      <c r="X260" s="331"/>
      <c r="Y260" s="331"/>
      <c r="Z260" s="331"/>
    </row>
    <row r="261">
      <c r="A261" s="331"/>
      <c r="B261" s="331"/>
      <c r="C261" s="331"/>
      <c r="D261" s="331"/>
      <c r="E261" s="331"/>
      <c r="F261" s="331"/>
      <c r="G261" s="331"/>
      <c r="H261" s="331"/>
      <c r="I261" s="331"/>
      <c r="J261" s="339"/>
      <c r="K261" s="339"/>
      <c r="L261" s="339"/>
      <c r="M261" s="331"/>
      <c r="N261" s="306"/>
      <c r="O261" s="307"/>
      <c r="P261" s="308"/>
      <c r="Q261" s="309"/>
      <c r="R261" s="309"/>
      <c r="S261" s="306"/>
      <c r="T261" s="331"/>
      <c r="U261" s="331"/>
      <c r="V261" s="331"/>
      <c r="W261" s="331"/>
      <c r="X261" s="331"/>
      <c r="Y261" s="331"/>
      <c r="Z261" s="331"/>
    </row>
    <row r="262">
      <c r="A262" s="331"/>
      <c r="B262" s="331"/>
      <c r="C262" s="331"/>
      <c r="D262" s="331"/>
      <c r="E262" s="331"/>
      <c r="F262" s="331"/>
      <c r="G262" s="331"/>
      <c r="H262" s="331"/>
      <c r="I262" s="331"/>
      <c r="J262" s="339"/>
      <c r="K262" s="339"/>
      <c r="L262" s="339"/>
      <c r="M262" s="331"/>
      <c r="N262" s="306"/>
      <c r="O262" s="307"/>
      <c r="P262" s="308"/>
      <c r="Q262" s="309"/>
      <c r="R262" s="309"/>
      <c r="S262" s="306"/>
      <c r="T262" s="331"/>
      <c r="U262" s="331"/>
      <c r="V262" s="331"/>
      <c r="W262" s="331"/>
      <c r="X262" s="331"/>
      <c r="Y262" s="331"/>
      <c r="Z262" s="331"/>
    </row>
    <row r="263">
      <c r="A263" s="331"/>
      <c r="B263" s="331"/>
      <c r="C263" s="331"/>
      <c r="D263" s="331"/>
      <c r="E263" s="331"/>
      <c r="F263" s="331"/>
      <c r="G263" s="331"/>
      <c r="H263" s="331"/>
      <c r="I263" s="331"/>
      <c r="J263" s="339"/>
      <c r="K263" s="339"/>
      <c r="L263" s="339"/>
      <c r="M263" s="331"/>
      <c r="N263" s="306"/>
      <c r="O263" s="307"/>
      <c r="P263" s="308"/>
      <c r="Q263" s="309"/>
      <c r="R263" s="309"/>
      <c r="S263" s="306"/>
      <c r="T263" s="331"/>
      <c r="U263" s="331"/>
      <c r="V263" s="331"/>
      <c r="W263" s="331"/>
      <c r="X263" s="331"/>
      <c r="Y263" s="331"/>
      <c r="Z263" s="331"/>
    </row>
    <row r="264">
      <c r="A264" s="331"/>
      <c r="B264" s="331"/>
      <c r="C264" s="331"/>
      <c r="D264" s="331"/>
      <c r="E264" s="331"/>
      <c r="F264" s="331"/>
      <c r="G264" s="331"/>
      <c r="H264" s="331"/>
      <c r="I264" s="331"/>
      <c r="J264" s="339"/>
      <c r="K264" s="339"/>
      <c r="L264" s="339"/>
      <c r="M264" s="331"/>
      <c r="N264" s="306"/>
      <c r="O264" s="307"/>
      <c r="P264" s="308"/>
      <c r="Q264" s="309"/>
      <c r="R264" s="309"/>
      <c r="S264" s="306"/>
      <c r="T264" s="331"/>
      <c r="U264" s="331"/>
      <c r="V264" s="331"/>
      <c r="W264" s="331"/>
      <c r="X264" s="331"/>
      <c r="Y264" s="331"/>
      <c r="Z264" s="331"/>
    </row>
    <row r="265">
      <c r="A265" s="331"/>
      <c r="B265" s="331"/>
      <c r="C265" s="331"/>
      <c r="D265" s="331"/>
      <c r="E265" s="331"/>
      <c r="F265" s="331"/>
      <c r="G265" s="331"/>
      <c r="H265" s="331"/>
      <c r="I265" s="331"/>
      <c r="J265" s="339"/>
      <c r="K265" s="339"/>
      <c r="L265" s="339"/>
      <c r="M265" s="331"/>
      <c r="N265" s="306"/>
      <c r="O265" s="307"/>
      <c r="P265" s="308"/>
      <c r="Q265" s="309"/>
      <c r="R265" s="309"/>
      <c r="S265" s="306"/>
      <c r="T265" s="331"/>
      <c r="U265" s="331"/>
      <c r="V265" s="331"/>
      <c r="W265" s="331"/>
      <c r="X265" s="331"/>
      <c r="Y265" s="331"/>
      <c r="Z265" s="331"/>
    </row>
    <row r="266">
      <c r="A266" s="331"/>
      <c r="B266" s="331"/>
      <c r="C266" s="331"/>
      <c r="D266" s="331"/>
      <c r="E266" s="331"/>
      <c r="F266" s="331"/>
      <c r="G266" s="331"/>
      <c r="H266" s="331"/>
      <c r="I266" s="331"/>
      <c r="J266" s="339"/>
      <c r="K266" s="339"/>
      <c r="L266" s="339"/>
      <c r="M266" s="331"/>
      <c r="N266" s="306"/>
      <c r="O266" s="307"/>
      <c r="P266" s="308"/>
      <c r="Q266" s="309"/>
      <c r="R266" s="309"/>
      <c r="S266" s="306"/>
      <c r="T266" s="331"/>
      <c r="U266" s="331"/>
      <c r="V266" s="331"/>
      <c r="W266" s="331"/>
      <c r="X266" s="331"/>
      <c r="Y266" s="331"/>
      <c r="Z266" s="331"/>
    </row>
    <row r="267">
      <c r="A267" s="331"/>
      <c r="B267" s="331"/>
      <c r="C267" s="331"/>
      <c r="D267" s="331"/>
      <c r="E267" s="331"/>
      <c r="F267" s="331"/>
      <c r="G267" s="331"/>
      <c r="H267" s="331"/>
      <c r="I267" s="331"/>
      <c r="J267" s="339"/>
      <c r="K267" s="339"/>
      <c r="L267" s="339"/>
      <c r="M267" s="331"/>
      <c r="N267" s="306"/>
      <c r="O267" s="307"/>
      <c r="P267" s="308"/>
      <c r="Q267" s="309"/>
      <c r="R267" s="309"/>
      <c r="S267" s="306"/>
      <c r="T267" s="331"/>
      <c r="U267" s="331"/>
      <c r="V267" s="331"/>
      <c r="W267" s="331"/>
      <c r="X267" s="331"/>
      <c r="Y267" s="331"/>
      <c r="Z267" s="331"/>
    </row>
    <row r="268">
      <c r="A268" s="331"/>
      <c r="B268" s="331"/>
      <c r="C268" s="331"/>
      <c r="D268" s="331"/>
      <c r="E268" s="331"/>
      <c r="F268" s="331"/>
      <c r="G268" s="331"/>
      <c r="H268" s="331"/>
      <c r="I268" s="331"/>
      <c r="J268" s="339"/>
      <c r="K268" s="339"/>
      <c r="L268" s="339"/>
      <c r="M268" s="331"/>
      <c r="N268" s="306"/>
      <c r="O268" s="307"/>
      <c r="P268" s="308"/>
      <c r="Q268" s="309"/>
      <c r="R268" s="309"/>
      <c r="S268" s="306"/>
      <c r="T268" s="331"/>
      <c r="U268" s="331"/>
      <c r="V268" s="331"/>
      <c r="W268" s="331"/>
      <c r="X268" s="331"/>
      <c r="Y268" s="331"/>
      <c r="Z268" s="331"/>
    </row>
    <row r="269">
      <c r="A269" s="331"/>
      <c r="B269" s="331"/>
      <c r="C269" s="331"/>
      <c r="D269" s="331"/>
      <c r="E269" s="331"/>
      <c r="F269" s="331"/>
      <c r="G269" s="331"/>
      <c r="H269" s="331"/>
      <c r="I269" s="331"/>
      <c r="J269" s="339"/>
      <c r="K269" s="339"/>
      <c r="L269" s="339"/>
      <c r="M269" s="331"/>
      <c r="N269" s="306"/>
      <c r="O269" s="307"/>
      <c r="P269" s="308"/>
      <c r="Q269" s="309"/>
      <c r="R269" s="309"/>
      <c r="S269" s="306"/>
      <c r="T269" s="331"/>
      <c r="U269" s="331"/>
      <c r="V269" s="331"/>
      <c r="W269" s="331"/>
      <c r="X269" s="331"/>
      <c r="Y269" s="331"/>
      <c r="Z269" s="331"/>
    </row>
    <row r="270">
      <c r="A270" s="331"/>
      <c r="B270" s="331"/>
      <c r="C270" s="331"/>
      <c r="D270" s="331"/>
      <c r="E270" s="331"/>
      <c r="F270" s="331"/>
      <c r="G270" s="331"/>
      <c r="H270" s="331"/>
      <c r="I270" s="331"/>
      <c r="J270" s="339"/>
      <c r="K270" s="339"/>
      <c r="L270" s="339"/>
      <c r="M270" s="331"/>
      <c r="N270" s="306"/>
      <c r="O270" s="307"/>
      <c r="P270" s="308"/>
      <c r="Q270" s="309"/>
      <c r="R270" s="309"/>
      <c r="S270" s="306"/>
      <c r="T270" s="331"/>
      <c r="U270" s="331"/>
      <c r="V270" s="331"/>
      <c r="W270" s="331"/>
      <c r="X270" s="331"/>
      <c r="Y270" s="331"/>
      <c r="Z270" s="331"/>
    </row>
    <row r="271">
      <c r="A271" s="331"/>
      <c r="B271" s="331"/>
      <c r="C271" s="331"/>
      <c r="D271" s="331"/>
      <c r="E271" s="331"/>
      <c r="F271" s="331"/>
      <c r="G271" s="331"/>
      <c r="H271" s="331"/>
      <c r="I271" s="331"/>
      <c r="J271" s="339"/>
      <c r="K271" s="339"/>
      <c r="L271" s="339"/>
      <c r="M271" s="331"/>
      <c r="N271" s="306"/>
      <c r="O271" s="307"/>
      <c r="P271" s="308"/>
      <c r="Q271" s="309"/>
      <c r="R271" s="309"/>
      <c r="S271" s="306"/>
      <c r="T271" s="331"/>
      <c r="U271" s="331"/>
      <c r="V271" s="331"/>
      <c r="W271" s="331"/>
      <c r="X271" s="331"/>
      <c r="Y271" s="331"/>
      <c r="Z271" s="331"/>
    </row>
    <row r="272">
      <c r="A272" s="331"/>
      <c r="B272" s="331"/>
      <c r="C272" s="331"/>
      <c r="D272" s="331"/>
      <c r="E272" s="331"/>
      <c r="F272" s="331"/>
      <c r="G272" s="331"/>
      <c r="H272" s="331"/>
      <c r="I272" s="331"/>
      <c r="J272" s="339"/>
      <c r="K272" s="339"/>
      <c r="L272" s="339"/>
      <c r="M272" s="331"/>
      <c r="N272" s="306"/>
      <c r="O272" s="307"/>
      <c r="P272" s="308"/>
      <c r="Q272" s="309"/>
      <c r="R272" s="309"/>
      <c r="S272" s="306"/>
      <c r="T272" s="331"/>
      <c r="U272" s="331"/>
      <c r="V272" s="331"/>
      <c r="W272" s="331"/>
      <c r="X272" s="331"/>
      <c r="Y272" s="331"/>
      <c r="Z272" s="331"/>
    </row>
    <row r="273">
      <c r="A273" s="331"/>
      <c r="B273" s="331"/>
      <c r="C273" s="331"/>
      <c r="D273" s="331"/>
      <c r="E273" s="331"/>
      <c r="F273" s="331"/>
      <c r="G273" s="331"/>
      <c r="H273" s="331"/>
      <c r="I273" s="331"/>
      <c r="J273" s="339"/>
      <c r="K273" s="339"/>
      <c r="L273" s="339"/>
      <c r="M273" s="331"/>
      <c r="N273" s="306"/>
      <c r="O273" s="307"/>
      <c r="P273" s="308"/>
      <c r="Q273" s="309"/>
      <c r="R273" s="309"/>
      <c r="S273" s="306"/>
      <c r="T273" s="331"/>
      <c r="U273" s="331"/>
      <c r="V273" s="331"/>
      <c r="W273" s="331"/>
      <c r="X273" s="331"/>
      <c r="Y273" s="331"/>
      <c r="Z273" s="331"/>
    </row>
    <row r="274">
      <c r="A274" s="331"/>
      <c r="B274" s="331"/>
      <c r="C274" s="331"/>
      <c r="D274" s="331"/>
      <c r="E274" s="331"/>
      <c r="F274" s="331"/>
      <c r="G274" s="331"/>
      <c r="H274" s="331"/>
      <c r="I274" s="331"/>
      <c r="J274" s="339"/>
      <c r="K274" s="339"/>
      <c r="L274" s="339"/>
      <c r="M274" s="331"/>
      <c r="N274" s="306"/>
      <c r="O274" s="307"/>
      <c r="P274" s="308"/>
      <c r="Q274" s="309"/>
      <c r="R274" s="309"/>
      <c r="S274" s="306"/>
      <c r="T274" s="331"/>
      <c r="U274" s="331"/>
      <c r="V274" s="331"/>
      <c r="W274" s="331"/>
      <c r="X274" s="331"/>
      <c r="Y274" s="331"/>
      <c r="Z274" s="331"/>
    </row>
    <row r="275">
      <c r="A275" s="331"/>
      <c r="B275" s="331"/>
      <c r="C275" s="331"/>
      <c r="D275" s="331"/>
      <c r="E275" s="331"/>
      <c r="F275" s="331"/>
      <c r="G275" s="331"/>
      <c r="H275" s="331"/>
      <c r="I275" s="331"/>
      <c r="J275" s="339"/>
      <c r="K275" s="339"/>
      <c r="L275" s="339"/>
      <c r="M275" s="331"/>
      <c r="N275" s="306"/>
      <c r="O275" s="307"/>
      <c r="P275" s="308"/>
      <c r="Q275" s="309"/>
      <c r="R275" s="309"/>
      <c r="S275" s="306"/>
      <c r="T275" s="331"/>
      <c r="U275" s="331"/>
      <c r="V275" s="331"/>
      <c r="W275" s="331"/>
      <c r="X275" s="331"/>
      <c r="Y275" s="331"/>
      <c r="Z275" s="331"/>
    </row>
    <row r="276">
      <c r="A276" s="331"/>
      <c r="B276" s="331"/>
      <c r="C276" s="331"/>
      <c r="D276" s="331"/>
      <c r="E276" s="331"/>
      <c r="F276" s="331"/>
      <c r="G276" s="331"/>
      <c r="H276" s="331"/>
      <c r="I276" s="331"/>
      <c r="J276" s="339"/>
      <c r="K276" s="339"/>
      <c r="L276" s="339"/>
      <c r="M276" s="331"/>
      <c r="N276" s="306"/>
      <c r="O276" s="307"/>
      <c r="P276" s="308"/>
      <c r="Q276" s="309"/>
      <c r="R276" s="309"/>
      <c r="S276" s="306"/>
      <c r="T276" s="331"/>
      <c r="U276" s="331"/>
      <c r="V276" s="331"/>
      <c r="W276" s="331"/>
      <c r="X276" s="331"/>
      <c r="Y276" s="331"/>
      <c r="Z276" s="331"/>
    </row>
    <row r="277">
      <c r="A277" s="331"/>
      <c r="B277" s="331"/>
      <c r="C277" s="331"/>
      <c r="D277" s="331"/>
      <c r="E277" s="331"/>
      <c r="F277" s="331"/>
      <c r="G277" s="331"/>
      <c r="H277" s="331"/>
      <c r="I277" s="331"/>
      <c r="J277" s="339"/>
      <c r="K277" s="339"/>
      <c r="L277" s="339"/>
      <c r="M277" s="331"/>
      <c r="N277" s="306"/>
      <c r="O277" s="307"/>
      <c r="P277" s="308"/>
      <c r="Q277" s="309"/>
      <c r="R277" s="309"/>
      <c r="S277" s="306"/>
      <c r="T277" s="331"/>
      <c r="U277" s="331"/>
      <c r="V277" s="331"/>
      <c r="W277" s="331"/>
      <c r="X277" s="331"/>
      <c r="Y277" s="331"/>
      <c r="Z277" s="331"/>
    </row>
    <row r="278">
      <c r="A278" s="331"/>
      <c r="B278" s="331"/>
      <c r="C278" s="331"/>
      <c r="D278" s="331"/>
      <c r="E278" s="331"/>
      <c r="F278" s="331"/>
      <c r="G278" s="331"/>
      <c r="H278" s="331"/>
      <c r="I278" s="331"/>
      <c r="J278" s="339"/>
      <c r="K278" s="339"/>
      <c r="L278" s="339"/>
      <c r="M278" s="331"/>
      <c r="N278" s="306"/>
      <c r="O278" s="307"/>
      <c r="P278" s="308"/>
      <c r="Q278" s="309"/>
      <c r="R278" s="309"/>
      <c r="S278" s="306"/>
      <c r="T278" s="331"/>
      <c r="U278" s="331"/>
      <c r="V278" s="331"/>
      <c r="W278" s="331"/>
      <c r="X278" s="331"/>
      <c r="Y278" s="331"/>
      <c r="Z278" s="331"/>
    </row>
    <row r="279">
      <c r="A279" s="331"/>
      <c r="B279" s="331"/>
      <c r="C279" s="331"/>
      <c r="D279" s="331"/>
      <c r="E279" s="331"/>
      <c r="F279" s="331"/>
      <c r="G279" s="331"/>
      <c r="H279" s="331"/>
      <c r="I279" s="331"/>
      <c r="J279" s="339"/>
      <c r="K279" s="339"/>
      <c r="L279" s="339"/>
      <c r="M279" s="331"/>
      <c r="N279" s="306"/>
      <c r="O279" s="307"/>
      <c r="P279" s="308"/>
      <c r="Q279" s="309"/>
      <c r="R279" s="309"/>
      <c r="S279" s="306"/>
      <c r="T279" s="331"/>
      <c r="U279" s="331"/>
      <c r="V279" s="331"/>
      <c r="W279" s="331"/>
      <c r="X279" s="331"/>
      <c r="Y279" s="331"/>
      <c r="Z279" s="331"/>
    </row>
    <row r="280">
      <c r="A280" s="331"/>
      <c r="B280" s="331"/>
      <c r="C280" s="331"/>
      <c r="D280" s="331"/>
      <c r="E280" s="331"/>
      <c r="F280" s="331"/>
      <c r="G280" s="331"/>
      <c r="H280" s="331"/>
      <c r="I280" s="331"/>
      <c r="J280" s="339"/>
      <c r="K280" s="339"/>
      <c r="L280" s="339"/>
      <c r="M280" s="331"/>
      <c r="N280" s="306"/>
      <c r="O280" s="307"/>
      <c r="P280" s="308"/>
      <c r="Q280" s="309"/>
      <c r="R280" s="309"/>
      <c r="S280" s="306"/>
      <c r="T280" s="331"/>
      <c r="U280" s="331"/>
      <c r="V280" s="331"/>
      <c r="W280" s="331"/>
      <c r="X280" s="331"/>
      <c r="Y280" s="331"/>
      <c r="Z280" s="331"/>
    </row>
    <row r="281">
      <c r="A281" s="331"/>
      <c r="B281" s="331"/>
      <c r="C281" s="331"/>
      <c r="D281" s="331"/>
      <c r="E281" s="331"/>
      <c r="F281" s="331"/>
      <c r="G281" s="331"/>
      <c r="H281" s="331"/>
      <c r="I281" s="331"/>
      <c r="J281" s="339"/>
      <c r="K281" s="339"/>
      <c r="L281" s="339"/>
      <c r="M281" s="331"/>
      <c r="N281" s="306"/>
      <c r="O281" s="307"/>
      <c r="P281" s="308"/>
      <c r="Q281" s="309"/>
      <c r="R281" s="309"/>
      <c r="S281" s="306"/>
      <c r="T281" s="331"/>
      <c r="U281" s="331"/>
      <c r="V281" s="331"/>
      <c r="W281" s="331"/>
      <c r="X281" s="331"/>
      <c r="Y281" s="331"/>
      <c r="Z281" s="331"/>
    </row>
    <row r="282">
      <c r="A282" s="331"/>
      <c r="B282" s="331"/>
      <c r="C282" s="331"/>
      <c r="D282" s="331"/>
      <c r="E282" s="331"/>
      <c r="F282" s="331"/>
      <c r="G282" s="331"/>
      <c r="H282" s="331"/>
      <c r="I282" s="331"/>
      <c r="J282" s="339"/>
      <c r="K282" s="339"/>
      <c r="L282" s="339"/>
      <c r="M282" s="331"/>
      <c r="N282" s="306"/>
      <c r="O282" s="307"/>
      <c r="P282" s="308"/>
      <c r="Q282" s="309"/>
      <c r="R282" s="309"/>
      <c r="S282" s="306"/>
      <c r="T282" s="331"/>
      <c r="U282" s="331"/>
      <c r="V282" s="331"/>
      <c r="W282" s="331"/>
      <c r="X282" s="331"/>
      <c r="Y282" s="331"/>
      <c r="Z282" s="331"/>
    </row>
    <row r="283">
      <c r="A283" s="331"/>
      <c r="B283" s="331"/>
      <c r="C283" s="331"/>
      <c r="D283" s="331"/>
      <c r="E283" s="331"/>
      <c r="F283" s="331"/>
      <c r="G283" s="331"/>
      <c r="H283" s="331"/>
      <c r="I283" s="331"/>
      <c r="J283" s="339"/>
      <c r="K283" s="339"/>
      <c r="L283" s="339"/>
      <c r="M283" s="331"/>
      <c r="N283" s="306"/>
      <c r="O283" s="307"/>
      <c r="P283" s="308"/>
      <c r="Q283" s="309"/>
      <c r="R283" s="309"/>
      <c r="S283" s="306"/>
      <c r="T283" s="331"/>
      <c r="U283" s="331"/>
      <c r="V283" s="331"/>
      <c r="W283" s="331"/>
      <c r="X283" s="331"/>
      <c r="Y283" s="331"/>
      <c r="Z283" s="331"/>
    </row>
    <row r="284">
      <c r="A284" s="331"/>
      <c r="B284" s="331"/>
      <c r="C284" s="331"/>
      <c r="D284" s="331"/>
      <c r="E284" s="331"/>
      <c r="F284" s="331"/>
      <c r="G284" s="331"/>
      <c r="H284" s="331"/>
      <c r="I284" s="331"/>
      <c r="J284" s="339"/>
      <c r="K284" s="339"/>
      <c r="L284" s="339"/>
      <c r="M284" s="331"/>
      <c r="N284" s="306"/>
      <c r="O284" s="307"/>
      <c r="P284" s="308"/>
      <c r="Q284" s="309"/>
      <c r="R284" s="309"/>
      <c r="S284" s="306"/>
      <c r="T284" s="331"/>
      <c r="U284" s="331"/>
      <c r="V284" s="331"/>
      <c r="W284" s="331"/>
      <c r="X284" s="331"/>
      <c r="Y284" s="331"/>
      <c r="Z284" s="331"/>
    </row>
    <row r="285">
      <c r="A285" s="331"/>
      <c r="B285" s="331"/>
      <c r="C285" s="331"/>
      <c r="D285" s="331"/>
      <c r="E285" s="331"/>
      <c r="F285" s="331"/>
      <c r="G285" s="331"/>
      <c r="H285" s="331"/>
      <c r="I285" s="331"/>
      <c r="J285" s="339"/>
      <c r="K285" s="339"/>
      <c r="L285" s="339"/>
      <c r="M285" s="331"/>
      <c r="N285" s="306"/>
      <c r="O285" s="307"/>
      <c r="P285" s="308"/>
      <c r="Q285" s="309"/>
      <c r="R285" s="309"/>
      <c r="S285" s="306"/>
      <c r="T285" s="331"/>
      <c r="U285" s="331"/>
      <c r="V285" s="331"/>
      <c r="W285" s="331"/>
      <c r="X285" s="331"/>
      <c r="Y285" s="331"/>
      <c r="Z285" s="331"/>
    </row>
    <row r="286">
      <c r="A286" s="331"/>
      <c r="B286" s="331"/>
      <c r="C286" s="331"/>
      <c r="D286" s="331"/>
      <c r="E286" s="331"/>
      <c r="F286" s="331"/>
      <c r="G286" s="331"/>
      <c r="H286" s="331"/>
      <c r="I286" s="331"/>
      <c r="J286" s="339"/>
      <c r="K286" s="339"/>
      <c r="L286" s="339"/>
      <c r="M286" s="331"/>
      <c r="N286" s="306"/>
      <c r="O286" s="307"/>
      <c r="P286" s="308"/>
      <c r="Q286" s="309"/>
      <c r="R286" s="309"/>
      <c r="S286" s="306"/>
      <c r="T286" s="331"/>
      <c r="U286" s="331"/>
      <c r="V286" s="331"/>
      <c r="W286" s="331"/>
      <c r="X286" s="331"/>
      <c r="Y286" s="331"/>
      <c r="Z286" s="331"/>
    </row>
    <row r="287">
      <c r="A287" s="331"/>
      <c r="B287" s="331"/>
      <c r="C287" s="331"/>
      <c r="D287" s="331"/>
      <c r="E287" s="331"/>
      <c r="F287" s="331"/>
      <c r="G287" s="331"/>
      <c r="H287" s="331"/>
      <c r="I287" s="331"/>
      <c r="J287" s="339"/>
      <c r="K287" s="339"/>
      <c r="L287" s="339"/>
      <c r="M287" s="331"/>
      <c r="N287" s="306"/>
      <c r="O287" s="307"/>
      <c r="P287" s="308"/>
      <c r="Q287" s="309"/>
      <c r="R287" s="309"/>
      <c r="S287" s="306"/>
      <c r="T287" s="331"/>
      <c r="U287" s="331"/>
      <c r="V287" s="331"/>
      <c r="W287" s="331"/>
      <c r="X287" s="331"/>
      <c r="Y287" s="331"/>
      <c r="Z287" s="331"/>
    </row>
    <row r="288">
      <c r="A288" s="331"/>
      <c r="B288" s="331"/>
      <c r="C288" s="331"/>
      <c r="D288" s="331"/>
      <c r="E288" s="331"/>
      <c r="F288" s="331"/>
      <c r="G288" s="331"/>
      <c r="H288" s="331"/>
      <c r="I288" s="331"/>
      <c r="J288" s="339"/>
      <c r="K288" s="339"/>
      <c r="L288" s="339"/>
      <c r="M288" s="331"/>
      <c r="N288" s="306"/>
      <c r="O288" s="307"/>
      <c r="P288" s="308"/>
      <c r="Q288" s="309"/>
      <c r="R288" s="309"/>
      <c r="S288" s="306"/>
      <c r="T288" s="331"/>
      <c r="U288" s="331"/>
      <c r="V288" s="331"/>
      <c r="W288" s="331"/>
      <c r="X288" s="331"/>
      <c r="Y288" s="331"/>
      <c r="Z288" s="331"/>
    </row>
    <row r="289">
      <c r="A289" s="331"/>
      <c r="B289" s="331"/>
      <c r="C289" s="331"/>
      <c r="D289" s="331"/>
      <c r="E289" s="331"/>
      <c r="F289" s="331"/>
      <c r="G289" s="331"/>
      <c r="H289" s="331"/>
      <c r="I289" s="331"/>
      <c r="J289" s="339"/>
      <c r="K289" s="339"/>
      <c r="L289" s="339"/>
      <c r="M289" s="331"/>
      <c r="N289" s="306"/>
      <c r="O289" s="307"/>
      <c r="P289" s="308"/>
      <c r="Q289" s="309"/>
      <c r="R289" s="309"/>
      <c r="S289" s="306"/>
      <c r="T289" s="331"/>
      <c r="U289" s="331"/>
      <c r="V289" s="331"/>
      <c r="W289" s="331"/>
      <c r="X289" s="331"/>
      <c r="Y289" s="331"/>
      <c r="Z289" s="331"/>
    </row>
    <row r="290">
      <c r="A290" s="331"/>
      <c r="B290" s="331"/>
      <c r="C290" s="331"/>
      <c r="D290" s="331"/>
      <c r="E290" s="331"/>
      <c r="F290" s="331"/>
      <c r="G290" s="331"/>
      <c r="H290" s="331"/>
      <c r="I290" s="331"/>
      <c r="J290" s="339"/>
      <c r="K290" s="339"/>
      <c r="L290" s="339"/>
      <c r="M290" s="331"/>
      <c r="N290" s="306"/>
      <c r="O290" s="307"/>
      <c r="P290" s="308"/>
      <c r="Q290" s="309"/>
      <c r="R290" s="309"/>
      <c r="S290" s="306"/>
      <c r="T290" s="331"/>
      <c r="U290" s="331"/>
      <c r="V290" s="331"/>
      <c r="W290" s="331"/>
      <c r="X290" s="331"/>
      <c r="Y290" s="331"/>
      <c r="Z290" s="331"/>
    </row>
    <row r="291">
      <c r="A291" s="331"/>
      <c r="B291" s="331"/>
      <c r="C291" s="331"/>
      <c r="D291" s="331"/>
      <c r="E291" s="331"/>
      <c r="F291" s="331"/>
      <c r="G291" s="331"/>
      <c r="H291" s="331"/>
      <c r="I291" s="331"/>
      <c r="J291" s="339"/>
      <c r="K291" s="339"/>
      <c r="L291" s="339"/>
      <c r="M291" s="331"/>
      <c r="N291" s="306"/>
      <c r="O291" s="307"/>
      <c r="P291" s="308"/>
      <c r="Q291" s="309"/>
      <c r="R291" s="309"/>
      <c r="S291" s="306"/>
      <c r="T291" s="331"/>
      <c r="U291" s="331"/>
      <c r="V291" s="331"/>
      <c r="W291" s="331"/>
      <c r="X291" s="331"/>
      <c r="Y291" s="331"/>
      <c r="Z291" s="331"/>
    </row>
    <row r="292">
      <c r="A292" s="331"/>
      <c r="B292" s="331"/>
      <c r="C292" s="331"/>
      <c r="D292" s="331"/>
      <c r="E292" s="331"/>
      <c r="F292" s="331"/>
      <c r="G292" s="331"/>
      <c r="H292" s="331"/>
      <c r="I292" s="331"/>
      <c r="J292" s="339"/>
      <c r="K292" s="339"/>
      <c r="L292" s="339"/>
      <c r="M292" s="331"/>
      <c r="N292" s="306"/>
      <c r="O292" s="307"/>
      <c r="P292" s="308"/>
      <c r="Q292" s="309"/>
      <c r="R292" s="309"/>
      <c r="S292" s="306"/>
      <c r="T292" s="331"/>
      <c r="U292" s="331"/>
      <c r="V292" s="331"/>
      <c r="W292" s="331"/>
      <c r="X292" s="331"/>
      <c r="Y292" s="331"/>
      <c r="Z292" s="331"/>
    </row>
    <row r="293">
      <c r="A293" s="331"/>
      <c r="B293" s="331"/>
      <c r="C293" s="331"/>
      <c r="D293" s="331"/>
      <c r="E293" s="331"/>
      <c r="F293" s="331"/>
      <c r="G293" s="331"/>
      <c r="H293" s="331"/>
      <c r="I293" s="331"/>
      <c r="J293" s="339"/>
      <c r="K293" s="339"/>
      <c r="L293" s="339"/>
      <c r="M293" s="331"/>
      <c r="N293" s="306"/>
      <c r="O293" s="307"/>
      <c r="P293" s="308"/>
      <c r="Q293" s="309"/>
      <c r="R293" s="309"/>
      <c r="S293" s="306"/>
      <c r="T293" s="331"/>
      <c r="U293" s="331"/>
      <c r="V293" s="331"/>
      <c r="W293" s="331"/>
      <c r="X293" s="331"/>
      <c r="Y293" s="331"/>
      <c r="Z293" s="331"/>
    </row>
    <row r="294">
      <c r="A294" s="331"/>
      <c r="B294" s="331"/>
      <c r="C294" s="331"/>
      <c r="D294" s="331"/>
      <c r="E294" s="331"/>
      <c r="F294" s="331"/>
      <c r="G294" s="331"/>
      <c r="H294" s="331"/>
      <c r="I294" s="331"/>
      <c r="J294" s="339"/>
      <c r="K294" s="339"/>
      <c r="L294" s="339"/>
      <c r="M294" s="331"/>
      <c r="N294" s="306"/>
      <c r="O294" s="307"/>
      <c r="P294" s="308"/>
      <c r="Q294" s="309"/>
      <c r="R294" s="309"/>
      <c r="S294" s="306"/>
      <c r="T294" s="331"/>
      <c r="U294" s="331"/>
      <c r="V294" s="331"/>
      <c r="W294" s="331"/>
      <c r="X294" s="331"/>
      <c r="Y294" s="331"/>
      <c r="Z294" s="331"/>
    </row>
    <row r="295">
      <c r="A295" s="331"/>
      <c r="B295" s="331"/>
      <c r="C295" s="331"/>
      <c r="D295" s="331"/>
      <c r="E295" s="331"/>
      <c r="F295" s="331"/>
      <c r="G295" s="331"/>
      <c r="H295" s="331"/>
      <c r="I295" s="331"/>
      <c r="J295" s="339"/>
      <c r="K295" s="339"/>
      <c r="L295" s="339"/>
      <c r="M295" s="331"/>
      <c r="N295" s="306"/>
      <c r="O295" s="307"/>
      <c r="P295" s="308"/>
      <c r="Q295" s="309"/>
      <c r="R295" s="309"/>
      <c r="S295" s="306"/>
      <c r="T295" s="331"/>
      <c r="U295" s="331"/>
      <c r="V295" s="331"/>
      <c r="W295" s="331"/>
      <c r="X295" s="331"/>
      <c r="Y295" s="331"/>
      <c r="Z295" s="331"/>
    </row>
    <row r="296">
      <c r="A296" s="331"/>
      <c r="B296" s="331"/>
      <c r="C296" s="331"/>
      <c r="D296" s="331"/>
      <c r="E296" s="331"/>
      <c r="F296" s="331"/>
      <c r="G296" s="331"/>
      <c r="H296" s="331"/>
      <c r="I296" s="331"/>
      <c r="J296" s="339"/>
      <c r="K296" s="339"/>
      <c r="L296" s="339"/>
      <c r="M296" s="331"/>
      <c r="N296" s="306"/>
      <c r="O296" s="307"/>
      <c r="P296" s="308"/>
      <c r="Q296" s="309"/>
      <c r="R296" s="309"/>
      <c r="S296" s="306"/>
      <c r="T296" s="331"/>
      <c r="U296" s="331"/>
      <c r="V296" s="331"/>
      <c r="W296" s="331"/>
      <c r="X296" s="331"/>
      <c r="Y296" s="331"/>
      <c r="Z296" s="331"/>
    </row>
    <row r="297">
      <c r="A297" s="331"/>
      <c r="B297" s="331"/>
      <c r="C297" s="331"/>
      <c r="D297" s="331"/>
      <c r="E297" s="331"/>
      <c r="F297" s="331"/>
      <c r="G297" s="331"/>
      <c r="H297" s="331"/>
      <c r="I297" s="331"/>
      <c r="J297" s="339"/>
      <c r="K297" s="339"/>
      <c r="L297" s="339"/>
      <c r="M297" s="331"/>
      <c r="N297" s="306"/>
      <c r="O297" s="307"/>
      <c r="P297" s="308"/>
      <c r="Q297" s="309"/>
      <c r="R297" s="309"/>
      <c r="S297" s="306"/>
      <c r="T297" s="331"/>
      <c r="U297" s="331"/>
      <c r="V297" s="331"/>
      <c r="W297" s="331"/>
      <c r="X297" s="331"/>
      <c r="Y297" s="331"/>
      <c r="Z297" s="331"/>
    </row>
    <row r="298">
      <c r="A298" s="331"/>
      <c r="B298" s="331"/>
      <c r="C298" s="331"/>
      <c r="D298" s="331"/>
      <c r="E298" s="331"/>
      <c r="F298" s="331"/>
      <c r="G298" s="331"/>
      <c r="H298" s="331"/>
      <c r="I298" s="331"/>
      <c r="J298" s="339"/>
      <c r="K298" s="339"/>
      <c r="L298" s="339"/>
      <c r="M298" s="331"/>
      <c r="N298" s="306"/>
      <c r="O298" s="307"/>
      <c r="P298" s="308"/>
      <c r="Q298" s="309"/>
      <c r="R298" s="309"/>
      <c r="S298" s="306"/>
      <c r="T298" s="331"/>
      <c r="U298" s="331"/>
      <c r="V298" s="331"/>
      <c r="W298" s="331"/>
      <c r="X298" s="331"/>
      <c r="Y298" s="331"/>
      <c r="Z298" s="331"/>
    </row>
    <row r="299">
      <c r="A299" s="331"/>
      <c r="B299" s="331"/>
      <c r="C299" s="331"/>
      <c r="D299" s="331"/>
      <c r="E299" s="331"/>
      <c r="F299" s="331"/>
      <c r="G299" s="331"/>
      <c r="H299" s="331"/>
      <c r="I299" s="331"/>
      <c r="J299" s="339"/>
      <c r="K299" s="339"/>
      <c r="L299" s="339"/>
      <c r="M299" s="331"/>
      <c r="N299" s="306"/>
      <c r="O299" s="307"/>
      <c r="P299" s="308"/>
      <c r="Q299" s="309"/>
      <c r="R299" s="309"/>
      <c r="S299" s="306"/>
      <c r="T299" s="331"/>
      <c r="U299" s="331"/>
      <c r="V299" s="331"/>
      <c r="W299" s="331"/>
      <c r="X299" s="331"/>
      <c r="Y299" s="331"/>
      <c r="Z299" s="331"/>
    </row>
    <row r="300">
      <c r="A300" s="331"/>
      <c r="B300" s="331"/>
      <c r="C300" s="331"/>
      <c r="D300" s="331"/>
      <c r="E300" s="331"/>
      <c r="F300" s="331"/>
      <c r="G300" s="331"/>
      <c r="H300" s="331"/>
      <c r="I300" s="331"/>
      <c r="J300" s="339"/>
      <c r="K300" s="339"/>
      <c r="L300" s="339"/>
      <c r="M300" s="331"/>
      <c r="N300" s="306"/>
      <c r="O300" s="307"/>
      <c r="P300" s="308"/>
      <c r="Q300" s="309"/>
      <c r="R300" s="309"/>
      <c r="S300" s="306"/>
      <c r="T300" s="331"/>
      <c r="U300" s="331"/>
      <c r="V300" s="331"/>
      <c r="W300" s="331"/>
      <c r="X300" s="331"/>
      <c r="Y300" s="331"/>
      <c r="Z300" s="331"/>
    </row>
    <row r="301">
      <c r="A301" s="331"/>
      <c r="B301" s="331"/>
      <c r="C301" s="331"/>
      <c r="D301" s="331"/>
      <c r="E301" s="331"/>
      <c r="F301" s="331"/>
      <c r="G301" s="331"/>
      <c r="H301" s="331"/>
      <c r="I301" s="331"/>
      <c r="J301" s="339"/>
      <c r="K301" s="339"/>
      <c r="L301" s="339"/>
      <c r="M301" s="331"/>
      <c r="N301" s="306"/>
      <c r="O301" s="307"/>
      <c r="P301" s="308"/>
      <c r="Q301" s="309"/>
      <c r="R301" s="309"/>
      <c r="S301" s="306"/>
      <c r="T301" s="331"/>
      <c r="U301" s="331"/>
      <c r="V301" s="331"/>
      <c r="W301" s="331"/>
      <c r="X301" s="331"/>
      <c r="Y301" s="331"/>
      <c r="Z301" s="331"/>
    </row>
    <row r="302">
      <c r="A302" s="331"/>
      <c r="B302" s="331"/>
      <c r="C302" s="331"/>
      <c r="D302" s="331"/>
      <c r="E302" s="331"/>
      <c r="F302" s="331"/>
      <c r="G302" s="331"/>
      <c r="H302" s="331"/>
      <c r="I302" s="331"/>
      <c r="J302" s="339"/>
      <c r="K302" s="339"/>
      <c r="L302" s="339"/>
      <c r="M302" s="331"/>
      <c r="N302" s="306"/>
      <c r="O302" s="307"/>
      <c r="P302" s="308"/>
      <c r="Q302" s="309"/>
      <c r="R302" s="309"/>
      <c r="S302" s="306"/>
      <c r="T302" s="331"/>
      <c r="U302" s="331"/>
      <c r="V302" s="331"/>
      <c r="W302" s="331"/>
      <c r="X302" s="331"/>
      <c r="Y302" s="331"/>
      <c r="Z302" s="331"/>
    </row>
    <row r="303">
      <c r="A303" s="331"/>
      <c r="B303" s="331"/>
      <c r="C303" s="331"/>
      <c r="D303" s="331"/>
      <c r="E303" s="331"/>
      <c r="F303" s="331"/>
      <c r="G303" s="331"/>
      <c r="H303" s="331"/>
      <c r="I303" s="331"/>
      <c r="J303" s="339"/>
      <c r="K303" s="339"/>
      <c r="L303" s="339"/>
      <c r="M303" s="331"/>
      <c r="N303" s="306"/>
      <c r="O303" s="307"/>
      <c r="P303" s="308"/>
      <c r="Q303" s="309"/>
      <c r="R303" s="309"/>
      <c r="S303" s="306"/>
      <c r="T303" s="331"/>
      <c r="U303" s="331"/>
      <c r="V303" s="331"/>
      <c r="W303" s="331"/>
      <c r="X303" s="331"/>
      <c r="Y303" s="331"/>
      <c r="Z303" s="331"/>
    </row>
    <row r="304">
      <c r="A304" s="331"/>
      <c r="B304" s="331"/>
      <c r="C304" s="331"/>
      <c r="D304" s="331"/>
      <c r="E304" s="331"/>
      <c r="F304" s="331"/>
      <c r="G304" s="331"/>
      <c r="H304" s="331"/>
      <c r="I304" s="331"/>
      <c r="J304" s="339"/>
      <c r="K304" s="339"/>
      <c r="L304" s="339"/>
      <c r="M304" s="331"/>
      <c r="N304" s="306"/>
      <c r="O304" s="307"/>
      <c r="P304" s="308"/>
      <c r="Q304" s="309"/>
      <c r="R304" s="309"/>
      <c r="S304" s="306"/>
      <c r="T304" s="331"/>
      <c r="U304" s="331"/>
      <c r="V304" s="331"/>
      <c r="W304" s="331"/>
      <c r="X304" s="331"/>
      <c r="Y304" s="331"/>
      <c r="Z304" s="331"/>
    </row>
    <row r="305">
      <c r="A305" s="331"/>
      <c r="B305" s="331"/>
      <c r="C305" s="331"/>
      <c r="D305" s="331"/>
      <c r="E305" s="331"/>
      <c r="F305" s="331"/>
      <c r="G305" s="331"/>
      <c r="H305" s="331"/>
      <c r="I305" s="331"/>
      <c r="J305" s="339"/>
      <c r="K305" s="339"/>
      <c r="L305" s="339"/>
      <c r="M305" s="331"/>
      <c r="N305" s="306"/>
      <c r="O305" s="307"/>
      <c r="P305" s="308"/>
      <c r="Q305" s="309"/>
      <c r="R305" s="309"/>
      <c r="S305" s="306"/>
      <c r="T305" s="331"/>
      <c r="U305" s="331"/>
      <c r="V305" s="331"/>
      <c r="W305" s="331"/>
      <c r="X305" s="331"/>
      <c r="Y305" s="331"/>
      <c r="Z305" s="331"/>
    </row>
    <row r="306">
      <c r="A306" s="331"/>
      <c r="B306" s="331"/>
      <c r="C306" s="331"/>
      <c r="D306" s="331"/>
      <c r="E306" s="331"/>
      <c r="F306" s="331"/>
      <c r="G306" s="331"/>
      <c r="H306" s="331"/>
      <c r="I306" s="331"/>
      <c r="J306" s="339"/>
      <c r="K306" s="339"/>
      <c r="L306" s="339"/>
      <c r="M306" s="331"/>
      <c r="N306" s="306"/>
      <c r="O306" s="307"/>
      <c r="P306" s="308"/>
      <c r="Q306" s="309"/>
      <c r="R306" s="309"/>
      <c r="S306" s="306"/>
      <c r="T306" s="331"/>
      <c r="U306" s="331"/>
      <c r="V306" s="331"/>
      <c r="W306" s="331"/>
      <c r="X306" s="331"/>
      <c r="Y306" s="331"/>
      <c r="Z306" s="331"/>
    </row>
    <row r="307">
      <c r="A307" s="331"/>
      <c r="B307" s="331"/>
      <c r="C307" s="331"/>
      <c r="D307" s="331"/>
      <c r="E307" s="331"/>
      <c r="F307" s="331"/>
      <c r="G307" s="331"/>
      <c r="H307" s="331"/>
      <c r="I307" s="331"/>
      <c r="J307" s="339"/>
      <c r="K307" s="339"/>
      <c r="L307" s="339"/>
      <c r="M307" s="331"/>
      <c r="N307" s="306"/>
      <c r="O307" s="307"/>
      <c r="P307" s="308"/>
      <c r="Q307" s="309"/>
      <c r="R307" s="309"/>
      <c r="S307" s="306"/>
      <c r="T307" s="331"/>
      <c r="U307" s="331"/>
      <c r="V307" s="331"/>
      <c r="W307" s="331"/>
      <c r="X307" s="331"/>
      <c r="Y307" s="331"/>
      <c r="Z307" s="331"/>
    </row>
    <row r="308">
      <c r="A308" s="331"/>
      <c r="B308" s="331"/>
      <c r="C308" s="331"/>
      <c r="D308" s="331"/>
      <c r="E308" s="331"/>
      <c r="F308" s="331"/>
      <c r="G308" s="331"/>
      <c r="H308" s="331"/>
      <c r="I308" s="331"/>
      <c r="J308" s="339"/>
      <c r="K308" s="339"/>
      <c r="L308" s="339"/>
      <c r="M308" s="331"/>
      <c r="N308" s="306"/>
      <c r="O308" s="307"/>
      <c r="P308" s="308"/>
      <c r="Q308" s="309"/>
      <c r="R308" s="309"/>
      <c r="S308" s="306"/>
      <c r="T308" s="331"/>
      <c r="U308" s="331"/>
      <c r="V308" s="331"/>
      <c r="W308" s="331"/>
      <c r="X308" s="331"/>
      <c r="Y308" s="331"/>
      <c r="Z308" s="331"/>
    </row>
    <row r="309">
      <c r="A309" s="331"/>
      <c r="B309" s="331"/>
      <c r="C309" s="331"/>
      <c r="D309" s="331"/>
      <c r="E309" s="331"/>
      <c r="F309" s="331"/>
      <c r="G309" s="331"/>
      <c r="H309" s="331"/>
      <c r="I309" s="331"/>
      <c r="J309" s="339"/>
      <c r="K309" s="339"/>
      <c r="L309" s="339"/>
      <c r="M309" s="331"/>
      <c r="N309" s="306"/>
      <c r="O309" s="307"/>
      <c r="P309" s="308"/>
      <c r="Q309" s="309"/>
      <c r="R309" s="309"/>
      <c r="S309" s="306"/>
      <c r="T309" s="331"/>
      <c r="U309" s="331"/>
      <c r="V309" s="331"/>
      <c r="W309" s="331"/>
      <c r="X309" s="331"/>
      <c r="Y309" s="331"/>
      <c r="Z309" s="331"/>
    </row>
    <row r="310">
      <c r="A310" s="331"/>
      <c r="B310" s="331"/>
      <c r="C310" s="331"/>
      <c r="D310" s="331"/>
      <c r="E310" s="331"/>
      <c r="F310" s="331"/>
      <c r="G310" s="331"/>
      <c r="H310" s="331"/>
      <c r="I310" s="331"/>
      <c r="J310" s="339"/>
      <c r="K310" s="339"/>
      <c r="L310" s="339"/>
      <c r="M310" s="331"/>
      <c r="N310" s="306"/>
      <c r="O310" s="307"/>
      <c r="P310" s="308"/>
      <c r="Q310" s="309"/>
      <c r="R310" s="309"/>
      <c r="S310" s="306"/>
      <c r="T310" s="331"/>
      <c r="U310" s="331"/>
      <c r="V310" s="331"/>
      <c r="W310" s="331"/>
      <c r="X310" s="331"/>
      <c r="Y310" s="331"/>
      <c r="Z310" s="331"/>
    </row>
    <row r="311">
      <c r="A311" s="331"/>
      <c r="B311" s="331"/>
      <c r="C311" s="331"/>
      <c r="D311" s="331"/>
      <c r="E311" s="331"/>
      <c r="F311" s="331"/>
      <c r="G311" s="331"/>
      <c r="H311" s="331"/>
      <c r="I311" s="331"/>
      <c r="J311" s="339"/>
      <c r="K311" s="339"/>
      <c r="L311" s="339"/>
      <c r="M311" s="331"/>
      <c r="N311" s="306"/>
      <c r="O311" s="307"/>
      <c r="P311" s="308"/>
      <c r="Q311" s="309"/>
      <c r="R311" s="309"/>
      <c r="S311" s="306"/>
      <c r="T311" s="331"/>
      <c r="U311" s="331"/>
      <c r="V311" s="331"/>
      <c r="W311" s="331"/>
      <c r="X311" s="331"/>
      <c r="Y311" s="331"/>
      <c r="Z311" s="331"/>
    </row>
    <row r="312">
      <c r="A312" s="331"/>
      <c r="B312" s="331"/>
      <c r="C312" s="331"/>
      <c r="D312" s="331"/>
      <c r="E312" s="331"/>
      <c r="F312" s="331"/>
      <c r="G312" s="331"/>
      <c r="H312" s="331"/>
      <c r="I312" s="331"/>
      <c r="J312" s="339"/>
      <c r="K312" s="339"/>
      <c r="L312" s="339"/>
      <c r="M312" s="331"/>
      <c r="N312" s="306"/>
      <c r="O312" s="307"/>
      <c r="P312" s="308"/>
      <c r="Q312" s="309"/>
      <c r="R312" s="309"/>
      <c r="S312" s="306"/>
      <c r="T312" s="331"/>
      <c r="U312" s="331"/>
      <c r="V312" s="331"/>
      <c r="W312" s="331"/>
      <c r="X312" s="331"/>
      <c r="Y312" s="331"/>
      <c r="Z312" s="331"/>
    </row>
    <row r="313">
      <c r="A313" s="331"/>
      <c r="B313" s="331"/>
      <c r="C313" s="331"/>
      <c r="D313" s="331"/>
      <c r="E313" s="331"/>
      <c r="F313" s="331"/>
      <c r="G313" s="331"/>
      <c r="H313" s="331"/>
      <c r="I313" s="331"/>
      <c r="J313" s="339"/>
      <c r="K313" s="339"/>
      <c r="L313" s="339"/>
      <c r="M313" s="331"/>
      <c r="N313" s="306"/>
      <c r="O313" s="307"/>
      <c r="P313" s="308"/>
      <c r="Q313" s="309"/>
      <c r="R313" s="309"/>
      <c r="S313" s="306"/>
      <c r="T313" s="331"/>
      <c r="U313" s="331"/>
      <c r="V313" s="331"/>
      <c r="W313" s="331"/>
      <c r="X313" s="331"/>
      <c r="Y313" s="331"/>
      <c r="Z313" s="331"/>
    </row>
    <row r="314">
      <c r="A314" s="331"/>
      <c r="B314" s="331"/>
      <c r="C314" s="331"/>
      <c r="D314" s="331"/>
      <c r="E314" s="331"/>
      <c r="F314" s="331"/>
      <c r="G314" s="331"/>
      <c r="H314" s="331"/>
      <c r="I314" s="331"/>
      <c r="J314" s="339"/>
      <c r="K314" s="339"/>
      <c r="L314" s="339"/>
      <c r="M314" s="331"/>
      <c r="N314" s="306"/>
      <c r="O314" s="307"/>
      <c r="P314" s="308"/>
      <c r="Q314" s="309"/>
      <c r="R314" s="309"/>
      <c r="S314" s="306"/>
      <c r="T314" s="331"/>
      <c r="U314" s="331"/>
      <c r="V314" s="331"/>
      <c r="W314" s="331"/>
      <c r="X314" s="331"/>
      <c r="Y314" s="331"/>
      <c r="Z314" s="331"/>
    </row>
    <row r="315">
      <c r="A315" s="331"/>
      <c r="B315" s="331"/>
      <c r="C315" s="331"/>
      <c r="D315" s="331"/>
      <c r="E315" s="331"/>
      <c r="F315" s="331"/>
      <c r="G315" s="331"/>
      <c r="H315" s="331"/>
      <c r="I315" s="331"/>
      <c r="J315" s="339"/>
      <c r="K315" s="339"/>
      <c r="L315" s="339"/>
      <c r="M315" s="331"/>
      <c r="N315" s="306"/>
      <c r="O315" s="307"/>
      <c r="P315" s="308"/>
      <c r="Q315" s="309"/>
      <c r="R315" s="309"/>
      <c r="S315" s="306"/>
      <c r="T315" s="331"/>
      <c r="U315" s="331"/>
      <c r="V315" s="331"/>
      <c r="W315" s="331"/>
      <c r="X315" s="331"/>
      <c r="Y315" s="331"/>
      <c r="Z315" s="331"/>
    </row>
    <row r="316">
      <c r="A316" s="331"/>
      <c r="B316" s="331"/>
      <c r="C316" s="331"/>
      <c r="D316" s="331"/>
      <c r="E316" s="331"/>
      <c r="F316" s="331"/>
      <c r="G316" s="331"/>
      <c r="H316" s="331"/>
      <c r="I316" s="331"/>
      <c r="J316" s="339"/>
      <c r="K316" s="339"/>
      <c r="L316" s="339"/>
      <c r="M316" s="331"/>
      <c r="N316" s="306"/>
      <c r="O316" s="307"/>
      <c r="P316" s="308"/>
      <c r="Q316" s="309"/>
      <c r="R316" s="309"/>
      <c r="S316" s="306"/>
      <c r="T316" s="331"/>
      <c r="U316" s="331"/>
      <c r="V316" s="331"/>
      <c r="W316" s="331"/>
      <c r="X316" s="331"/>
      <c r="Y316" s="331"/>
      <c r="Z316" s="331"/>
    </row>
    <row r="317">
      <c r="A317" s="331"/>
      <c r="B317" s="331"/>
      <c r="C317" s="331"/>
      <c r="D317" s="331"/>
      <c r="E317" s="331"/>
      <c r="F317" s="331"/>
      <c r="G317" s="331"/>
      <c r="H317" s="331"/>
      <c r="I317" s="331"/>
      <c r="J317" s="339"/>
      <c r="K317" s="339"/>
      <c r="L317" s="339"/>
      <c r="M317" s="331"/>
      <c r="N317" s="306"/>
      <c r="O317" s="307"/>
      <c r="P317" s="308"/>
      <c r="Q317" s="309"/>
      <c r="R317" s="309"/>
      <c r="S317" s="306"/>
      <c r="T317" s="331"/>
      <c r="U317" s="331"/>
      <c r="V317" s="331"/>
      <c r="W317" s="331"/>
      <c r="X317" s="331"/>
      <c r="Y317" s="331"/>
      <c r="Z317" s="331"/>
    </row>
    <row r="318">
      <c r="A318" s="331"/>
      <c r="B318" s="331"/>
      <c r="C318" s="331"/>
      <c r="D318" s="331"/>
      <c r="E318" s="331"/>
      <c r="F318" s="331"/>
      <c r="G318" s="331"/>
      <c r="H318" s="331"/>
      <c r="I318" s="331"/>
      <c r="J318" s="339"/>
      <c r="K318" s="339"/>
      <c r="L318" s="339"/>
      <c r="M318" s="331"/>
      <c r="N318" s="306"/>
      <c r="O318" s="307"/>
      <c r="P318" s="308"/>
      <c r="Q318" s="309"/>
      <c r="R318" s="309"/>
      <c r="S318" s="306"/>
      <c r="T318" s="331"/>
      <c r="U318" s="331"/>
      <c r="V318" s="331"/>
      <c r="W318" s="331"/>
      <c r="X318" s="331"/>
      <c r="Y318" s="331"/>
      <c r="Z318" s="331"/>
    </row>
    <row r="319">
      <c r="A319" s="331"/>
      <c r="B319" s="331"/>
      <c r="C319" s="331"/>
      <c r="D319" s="331"/>
      <c r="E319" s="331"/>
      <c r="F319" s="331"/>
      <c r="G319" s="331"/>
      <c r="H319" s="331"/>
      <c r="I319" s="331"/>
      <c r="J319" s="339"/>
      <c r="K319" s="339"/>
      <c r="L319" s="339"/>
      <c r="M319" s="331"/>
      <c r="N319" s="306"/>
      <c r="O319" s="307"/>
      <c r="P319" s="308"/>
      <c r="Q319" s="309"/>
      <c r="R319" s="309"/>
      <c r="S319" s="306"/>
      <c r="T319" s="331"/>
      <c r="U319" s="331"/>
      <c r="V319" s="331"/>
      <c r="W319" s="331"/>
      <c r="X319" s="331"/>
      <c r="Y319" s="331"/>
      <c r="Z319" s="331"/>
    </row>
    <row r="320">
      <c r="A320" s="331"/>
      <c r="B320" s="331"/>
      <c r="C320" s="331"/>
      <c r="D320" s="331"/>
      <c r="E320" s="331"/>
      <c r="F320" s="331"/>
      <c r="G320" s="331"/>
      <c r="H320" s="331"/>
      <c r="I320" s="331"/>
      <c r="J320" s="339"/>
      <c r="K320" s="339"/>
      <c r="L320" s="339"/>
      <c r="M320" s="331"/>
      <c r="N320" s="306"/>
      <c r="O320" s="307"/>
      <c r="P320" s="308"/>
      <c r="Q320" s="309"/>
      <c r="R320" s="309"/>
      <c r="S320" s="306"/>
      <c r="T320" s="331"/>
      <c r="U320" s="331"/>
      <c r="V320" s="331"/>
      <c r="W320" s="331"/>
      <c r="X320" s="331"/>
      <c r="Y320" s="331"/>
      <c r="Z320" s="331"/>
    </row>
    <row r="321">
      <c r="A321" s="331"/>
      <c r="B321" s="331"/>
      <c r="C321" s="331"/>
      <c r="D321" s="331"/>
      <c r="E321" s="331"/>
      <c r="F321" s="331"/>
      <c r="G321" s="331"/>
      <c r="H321" s="331"/>
      <c r="I321" s="331"/>
      <c r="J321" s="339"/>
      <c r="K321" s="339"/>
      <c r="L321" s="339"/>
      <c r="M321" s="331"/>
      <c r="N321" s="306"/>
      <c r="O321" s="307"/>
      <c r="P321" s="308"/>
      <c r="Q321" s="309"/>
      <c r="R321" s="309"/>
      <c r="S321" s="306"/>
      <c r="T321" s="331"/>
      <c r="U321" s="331"/>
      <c r="V321" s="331"/>
      <c r="W321" s="331"/>
      <c r="X321" s="331"/>
      <c r="Y321" s="331"/>
      <c r="Z321" s="331"/>
    </row>
    <row r="322">
      <c r="A322" s="331"/>
      <c r="B322" s="331"/>
      <c r="C322" s="331"/>
      <c r="D322" s="331"/>
      <c r="E322" s="331"/>
      <c r="F322" s="331"/>
      <c r="G322" s="331"/>
      <c r="H322" s="331"/>
      <c r="I322" s="331"/>
      <c r="J322" s="339"/>
      <c r="K322" s="339"/>
      <c r="L322" s="339"/>
      <c r="M322" s="331"/>
      <c r="N322" s="306"/>
      <c r="O322" s="307"/>
      <c r="P322" s="308"/>
      <c r="Q322" s="309"/>
      <c r="R322" s="309"/>
      <c r="S322" s="306"/>
      <c r="T322" s="331"/>
      <c r="U322" s="331"/>
      <c r="V322" s="331"/>
      <c r="W322" s="331"/>
      <c r="X322" s="331"/>
      <c r="Y322" s="331"/>
      <c r="Z322" s="331"/>
    </row>
    <row r="323">
      <c r="A323" s="331"/>
      <c r="B323" s="331"/>
      <c r="C323" s="331"/>
      <c r="D323" s="331"/>
      <c r="E323" s="331"/>
      <c r="F323" s="331"/>
      <c r="G323" s="331"/>
      <c r="H323" s="331"/>
      <c r="I323" s="331"/>
      <c r="J323" s="339"/>
      <c r="K323" s="339"/>
      <c r="L323" s="339"/>
      <c r="M323" s="331"/>
      <c r="N323" s="306"/>
      <c r="O323" s="307"/>
      <c r="P323" s="308"/>
      <c r="Q323" s="309"/>
      <c r="R323" s="309"/>
      <c r="S323" s="306"/>
      <c r="T323" s="331"/>
      <c r="U323" s="331"/>
      <c r="V323" s="331"/>
      <c r="W323" s="331"/>
      <c r="X323" s="331"/>
      <c r="Y323" s="331"/>
      <c r="Z323" s="331"/>
    </row>
    <row r="324">
      <c r="A324" s="331"/>
      <c r="B324" s="331"/>
      <c r="C324" s="331"/>
      <c r="D324" s="331"/>
      <c r="E324" s="331"/>
      <c r="F324" s="331"/>
      <c r="G324" s="331"/>
      <c r="H324" s="331"/>
      <c r="I324" s="331"/>
      <c r="J324" s="339"/>
      <c r="K324" s="339"/>
      <c r="L324" s="339"/>
      <c r="M324" s="331"/>
      <c r="N324" s="306"/>
      <c r="O324" s="307"/>
      <c r="P324" s="308"/>
      <c r="Q324" s="309"/>
      <c r="R324" s="309"/>
      <c r="S324" s="306"/>
      <c r="T324" s="331"/>
      <c r="U324" s="331"/>
      <c r="V324" s="331"/>
      <c r="W324" s="331"/>
      <c r="X324" s="331"/>
      <c r="Y324" s="331"/>
      <c r="Z324" s="331"/>
    </row>
    <row r="325">
      <c r="A325" s="331"/>
      <c r="B325" s="331"/>
      <c r="C325" s="331"/>
      <c r="D325" s="331"/>
      <c r="E325" s="331"/>
      <c r="F325" s="331"/>
      <c r="G325" s="331"/>
      <c r="H325" s="331"/>
      <c r="I325" s="331"/>
      <c r="J325" s="339"/>
      <c r="K325" s="339"/>
      <c r="L325" s="339"/>
      <c r="M325" s="331"/>
      <c r="N325" s="306"/>
      <c r="O325" s="307"/>
      <c r="P325" s="308"/>
      <c r="Q325" s="309"/>
      <c r="R325" s="309"/>
      <c r="S325" s="306"/>
      <c r="T325" s="331"/>
      <c r="U325" s="331"/>
      <c r="V325" s="331"/>
      <c r="W325" s="331"/>
      <c r="X325" s="331"/>
      <c r="Y325" s="331"/>
      <c r="Z325" s="331"/>
    </row>
    <row r="326">
      <c r="A326" s="331"/>
      <c r="B326" s="331"/>
      <c r="C326" s="331"/>
      <c r="D326" s="331"/>
      <c r="E326" s="331"/>
      <c r="F326" s="331"/>
      <c r="G326" s="331"/>
      <c r="H326" s="331"/>
      <c r="I326" s="331"/>
      <c r="J326" s="339"/>
      <c r="K326" s="339"/>
      <c r="L326" s="339"/>
      <c r="M326" s="331"/>
      <c r="N326" s="306"/>
      <c r="O326" s="307"/>
      <c r="P326" s="308"/>
      <c r="Q326" s="309"/>
      <c r="R326" s="309"/>
      <c r="S326" s="306"/>
      <c r="T326" s="331"/>
      <c r="U326" s="331"/>
      <c r="V326" s="331"/>
      <c r="W326" s="331"/>
      <c r="X326" s="331"/>
      <c r="Y326" s="331"/>
      <c r="Z326" s="331"/>
    </row>
    <row r="327">
      <c r="A327" s="331"/>
      <c r="B327" s="331"/>
      <c r="C327" s="331"/>
      <c r="D327" s="331"/>
      <c r="E327" s="331"/>
      <c r="F327" s="331"/>
      <c r="G327" s="331"/>
      <c r="H327" s="331"/>
      <c r="I327" s="331"/>
      <c r="J327" s="339"/>
      <c r="K327" s="339"/>
      <c r="L327" s="339"/>
      <c r="M327" s="331"/>
      <c r="N327" s="306"/>
      <c r="O327" s="307"/>
      <c r="P327" s="308"/>
      <c r="Q327" s="309"/>
      <c r="R327" s="309"/>
      <c r="S327" s="306"/>
      <c r="T327" s="331"/>
      <c r="U327" s="331"/>
      <c r="V327" s="331"/>
      <c r="W327" s="331"/>
      <c r="X327" s="331"/>
      <c r="Y327" s="331"/>
      <c r="Z327" s="331"/>
    </row>
    <row r="328">
      <c r="A328" s="331"/>
      <c r="B328" s="331"/>
      <c r="C328" s="331"/>
      <c r="D328" s="331"/>
      <c r="E328" s="331"/>
      <c r="F328" s="331"/>
      <c r="G328" s="331"/>
      <c r="H328" s="331"/>
      <c r="I328" s="331"/>
      <c r="J328" s="339"/>
      <c r="K328" s="339"/>
      <c r="L328" s="339"/>
      <c r="M328" s="331"/>
      <c r="N328" s="306"/>
      <c r="O328" s="307"/>
      <c r="P328" s="308"/>
      <c r="Q328" s="309"/>
      <c r="R328" s="309"/>
      <c r="S328" s="306"/>
      <c r="T328" s="331"/>
      <c r="U328" s="331"/>
      <c r="V328" s="331"/>
      <c r="W328" s="331"/>
      <c r="X328" s="331"/>
      <c r="Y328" s="331"/>
      <c r="Z328" s="331"/>
    </row>
    <row r="329">
      <c r="A329" s="331"/>
      <c r="B329" s="331"/>
      <c r="C329" s="331"/>
      <c r="D329" s="331"/>
      <c r="E329" s="331"/>
      <c r="F329" s="331"/>
      <c r="G329" s="331"/>
      <c r="H329" s="331"/>
      <c r="I329" s="331"/>
      <c r="J329" s="339"/>
      <c r="K329" s="339"/>
      <c r="L329" s="339"/>
      <c r="M329" s="331"/>
      <c r="N329" s="306"/>
      <c r="O329" s="307"/>
      <c r="P329" s="308"/>
      <c r="Q329" s="309"/>
      <c r="R329" s="309"/>
      <c r="S329" s="306"/>
      <c r="T329" s="331"/>
      <c r="U329" s="331"/>
      <c r="V329" s="331"/>
      <c r="W329" s="331"/>
      <c r="X329" s="331"/>
      <c r="Y329" s="331"/>
      <c r="Z329" s="331"/>
    </row>
    <row r="330">
      <c r="A330" s="331"/>
      <c r="B330" s="331"/>
      <c r="C330" s="331"/>
      <c r="D330" s="331"/>
      <c r="E330" s="331"/>
      <c r="F330" s="331"/>
      <c r="G330" s="331"/>
      <c r="H330" s="331"/>
      <c r="I330" s="331"/>
      <c r="J330" s="339"/>
      <c r="K330" s="339"/>
      <c r="L330" s="339"/>
      <c r="M330" s="331"/>
      <c r="N330" s="306"/>
      <c r="O330" s="307"/>
      <c r="P330" s="308"/>
      <c r="Q330" s="309"/>
      <c r="R330" s="309"/>
      <c r="S330" s="306"/>
      <c r="T330" s="331"/>
      <c r="U330" s="331"/>
      <c r="V330" s="331"/>
      <c r="W330" s="331"/>
      <c r="X330" s="331"/>
      <c r="Y330" s="331"/>
      <c r="Z330" s="331"/>
    </row>
    <row r="331">
      <c r="A331" s="331"/>
      <c r="B331" s="331"/>
      <c r="C331" s="331"/>
      <c r="D331" s="331"/>
      <c r="E331" s="331"/>
      <c r="F331" s="331"/>
      <c r="G331" s="331"/>
      <c r="H331" s="331"/>
      <c r="I331" s="331"/>
      <c r="J331" s="339"/>
      <c r="K331" s="339"/>
      <c r="L331" s="339"/>
      <c r="M331" s="331"/>
      <c r="N331" s="306"/>
      <c r="O331" s="307"/>
      <c r="P331" s="308"/>
      <c r="Q331" s="309"/>
      <c r="R331" s="309"/>
      <c r="S331" s="306"/>
      <c r="T331" s="331"/>
      <c r="U331" s="331"/>
      <c r="V331" s="331"/>
      <c r="W331" s="331"/>
      <c r="X331" s="331"/>
      <c r="Y331" s="331"/>
      <c r="Z331" s="331"/>
    </row>
    <row r="332">
      <c r="A332" s="331"/>
      <c r="B332" s="331"/>
      <c r="C332" s="331"/>
      <c r="D332" s="331"/>
      <c r="E332" s="331"/>
      <c r="F332" s="331"/>
      <c r="G332" s="331"/>
      <c r="H332" s="331"/>
      <c r="I332" s="331"/>
      <c r="J332" s="339"/>
      <c r="K332" s="339"/>
      <c r="L332" s="339"/>
      <c r="M332" s="331"/>
      <c r="N332" s="306"/>
      <c r="O332" s="307"/>
      <c r="P332" s="308"/>
      <c r="Q332" s="309"/>
      <c r="R332" s="309"/>
      <c r="S332" s="306"/>
      <c r="T332" s="331"/>
      <c r="U332" s="331"/>
      <c r="V332" s="331"/>
      <c r="W332" s="331"/>
      <c r="X332" s="331"/>
      <c r="Y332" s="331"/>
      <c r="Z332" s="331"/>
    </row>
    <row r="333">
      <c r="A333" s="331"/>
      <c r="B333" s="331"/>
      <c r="C333" s="331"/>
      <c r="D333" s="331"/>
      <c r="E333" s="331"/>
      <c r="F333" s="331"/>
      <c r="G333" s="331"/>
      <c r="H333" s="331"/>
      <c r="I333" s="331"/>
      <c r="J333" s="339"/>
      <c r="K333" s="339"/>
      <c r="L333" s="339"/>
      <c r="M333" s="331"/>
      <c r="N333" s="306"/>
      <c r="O333" s="307"/>
      <c r="P333" s="308"/>
      <c r="Q333" s="309"/>
      <c r="R333" s="309"/>
      <c r="S333" s="306"/>
      <c r="T333" s="331"/>
      <c r="U333" s="331"/>
      <c r="V333" s="331"/>
      <c r="W333" s="331"/>
      <c r="X333" s="331"/>
      <c r="Y333" s="331"/>
      <c r="Z333" s="331"/>
    </row>
    <row r="334">
      <c r="A334" s="331"/>
      <c r="B334" s="331"/>
      <c r="C334" s="331"/>
      <c r="D334" s="331"/>
      <c r="E334" s="331"/>
      <c r="F334" s="331"/>
      <c r="G334" s="331"/>
      <c r="H334" s="331"/>
      <c r="I334" s="331"/>
      <c r="J334" s="339"/>
      <c r="K334" s="339"/>
      <c r="L334" s="339"/>
      <c r="M334" s="331"/>
      <c r="N334" s="306"/>
      <c r="O334" s="307"/>
      <c r="P334" s="308"/>
      <c r="Q334" s="309"/>
      <c r="R334" s="309"/>
      <c r="S334" s="306"/>
      <c r="T334" s="331"/>
      <c r="U334" s="331"/>
      <c r="V334" s="331"/>
      <c r="W334" s="331"/>
      <c r="X334" s="331"/>
      <c r="Y334" s="331"/>
      <c r="Z334" s="331"/>
    </row>
    <row r="335">
      <c r="A335" s="331"/>
      <c r="B335" s="331"/>
      <c r="C335" s="331"/>
      <c r="D335" s="331"/>
      <c r="E335" s="331"/>
      <c r="F335" s="331"/>
      <c r="G335" s="331"/>
      <c r="H335" s="331"/>
      <c r="I335" s="331"/>
      <c r="J335" s="339"/>
      <c r="K335" s="339"/>
      <c r="L335" s="339"/>
      <c r="M335" s="331"/>
      <c r="N335" s="306"/>
      <c r="O335" s="307"/>
      <c r="P335" s="308"/>
      <c r="Q335" s="309"/>
      <c r="R335" s="309"/>
      <c r="S335" s="306"/>
      <c r="T335" s="331"/>
      <c r="U335" s="331"/>
      <c r="V335" s="331"/>
      <c r="W335" s="331"/>
      <c r="X335" s="331"/>
      <c r="Y335" s="331"/>
      <c r="Z335" s="331"/>
    </row>
    <row r="336">
      <c r="A336" s="331"/>
      <c r="B336" s="331"/>
      <c r="C336" s="331"/>
      <c r="D336" s="331"/>
      <c r="E336" s="331"/>
      <c r="F336" s="331"/>
      <c r="G336" s="331"/>
      <c r="H336" s="331"/>
      <c r="I336" s="331"/>
      <c r="J336" s="339"/>
      <c r="K336" s="339"/>
      <c r="L336" s="339"/>
      <c r="M336" s="331"/>
      <c r="N336" s="306"/>
      <c r="O336" s="307"/>
      <c r="P336" s="308"/>
      <c r="Q336" s="309"/>
      <c r="R336" s="309"/>
      <c r="S336" s="306"/>
      <c r="T336" s="331"/>
      <c r="U336" s="331"/>
      <c r="V336" s="331"/>
      <c r="W336" s="331"/>
      <c r="X336" s="331"/>
      <c r="Y336" s="331"/>
      <c r="Z336" s="331"/>
    </row>
    <row r="337">
      <c r="A337" s="331"/>
      <c r="B337" s="331"/>
      <c r="C337" s="331"/>
      <c r="D337" s="331"/>
      <c r="E337" s="331"/>
      <c r="F337" s="331"/>
      <c r="G337" s="331"/>
      <c r="H337" s="331"/>
      <c r="I337" s="331"/>
      <c r="J337" s="339"/>
      <c r="K337" s="339"/>
      <c r="L337" s="339"/>
      <c r="M337" s="331"/>
      <c r="N337" s="306"/>
      <c r="O337" s="307"/>
      <c r="P337" s="308"/>
      <c r="Q337" s="309"/>
      <c r="R337" s="309"/>
      <c r="S337" s="306"/>
      <c r="T337" s="331"/>
      <c r="U337" s="331"/>
      <c r="V337" s="331"/>
      <c r="W337" s="331"/>
      <c r="X337" s="331"/>
      <c r="Y337" s="331"/>
      <c r="Z337" s="331"/>
    </row>
    <row r="338">
      <c r="A338" s="331"/>
      <c r="B338" s="331"/>
      <c r="C338" s="331"/>
      <c r="D338" s="331"/>
      <c r="E338" s="331"/>
      <c r="F338" s="331"/>
      <c r="G338" s="331"/>
      <c r="H338" s="331"/>
      <c r="I338" s="331"/>
      <c r="J338" s="339"/>
      <c r="K338" s="339"/>
      <c r="L338" s="339"/>
      <c r="M338" s="331"/>
      <c r="N338" s="306"/>
      <c r="O338" s="307"/>
      <c r="P338" s="308"/>
      <c r="Q338" s="309"/>
      <c r="R338" s="309"/>
      <c r="S338" s="306"/>
      <c r="T338" s="331"/>
      <c r="U338" s="331"/>
      <c r="V338" s="331"/>
      <c r="W338" s="331"/>
      <c r="X338" s="331"/>
      <c r="Y338" s="331"/>
      <c r="Z338" s="331"/>
    </row>
    <row r="339">
      <c r="A339" s="331"/>
      <c r="B339" s="331"/>
      <c r="C339" s="331"/>
      <c r="D339" s="331"/>
      <c r="E339" s="331"/>
      <c r="F339" s="331"/>
      <c r="G339" s="331"/>
      <c r="H339" s="331"/>
      <c r="I339" s="331"/>
      <c r="J339" s="339"/>
      <c r="K339" s="339"/>
      <c r="L339" s="339"/>
      <c r="M339" s="331"/>
      <c r="N339" s="306"/>
      <c r="O339" s="307"/>
      <c r="P339" s="308"/>
      <c r="Q339" s="309"/>
      <c r="R339" s="309"/>
      <c r="S339" s="306"/>
      <c r="T339" s="331"/>
      <c r="U339" s="331"/>
      <c r="V339" s="331"/>
      <c r="W339" s="331"/>
      <c r="X339" s="331"/>
      <c r="Y339" s="331"/>
      <c r="Z339" s="331"/>
    </row>
    <row r="340">
      <c r="A340" s="331"/>
      <c r="B340" s="331"/>
      <c r="C340" s="331"/>
      <c r="D340" s="331"/>
      <c r="E340" s="331"/>
      <c r="F340" s="331"/>
      <c r="G340" s="331"/>
      <c r="H340" s="331"/>
      <c r="I340" s="331"/>
      <c r="J340" s="339"/>
      <c r="K340" s="339"/>
      <c r="L340" s="339"/>
      <c r="M340" s="331"/>
      <c r="N340" s="306"/>
      <c r="O340" s="307"/>
      <c r="P340" s="308"/>
      <c r="Q340" s="309"/>
      <c r="R340" s="309"/>
      <c r="S340" s="306"/>
      <c r="T340" s="331"/>
      <c r="U340" s="331"/>
      <c r="V340" s="331"/>
      <c r="W340" s="331"/>
      <c r="X340" s="331"/>
      <c r="Y340" s="331"/>
      <c r="Z340" s="331"/>
    </row>
    <row r="341">
      <c r="A341" s="331"/>
      <c r="B341" s="331"/>
      <c r="C341" s="331"/>
      <c r="D341" s="331"/>
      <c r="E341" s="331"/>
      <c r="F341" s="331"/>
      <c r="G341" s="331"/>
      <c r="H341" s="331"/>
      <c r="I341" s="331"/>
      <c r="J341" s="339"/>
      <c r="K341" s="339"/>
      <c r="L341" s="339"/>
      <c r="M341" s="331"/>
      <c r="N341" s="306"/>
      <c r="O341" s="307"/>
      <c r="P341" s="308"/>
      <c r="Q341" s="309"/>
      <c r="R341" s="309"/>
      <c r="S341" s="306"/>
      <c r="T341" s="331"/>
      <c r="U341" s="331"/>
      <c r="V341" s="331"/>
      <c r="W341" s="331"/>
      <c r="X341" s="331"/>
      <c r="Y341" s="331"/>
      <c r="Z341" s="331"/>
    </row>
    <row r="342">
      <c r="A342" s="331"/>
      <c r="B342" s="331"/>
      <c r="C342" s="331"/>
      <c r="D342" s="331"/>
      <c r="E342" s="331"/>
      <c r="F342" s="331"/>
      <c r="G342" s="331"/>
      <c r="H342" s="331"/>
      <c r="I342" s="331"/>
      <c r="J342" s="339"/>
      <c r="K342" s="339"/>
      <c r="L342" s="339"/>
      <c r="M342" s="331"/>
      <c r="N342" s="306"/>
      <c r="O342" s="307"/>
      <c r="P342" s="308"/>
      <c r="Q342" s="309"/>
      <c r="R342" s="309"/>
      <c r="S342" s="306"/>
      <c r="T342" s="331"/>
      <c r="U342" s="331"/>
      <c r="V342" s="331"/>
      <c r="W342" s="331"/>
      <c r="X342" s="331"/>
      <c r="Y342" s="331"/>
      <c r="Z342" s="331"/>
    </row>
    <row r="343">
      <c r="A343" s="331"/>
      <c r="B343" s="331"/>
      <c r="C343" s="331"/>
      <c r="D343" s="331"/>
      <c r="E343" s="331"/>
      <c r="F343" s="331"/>
      <c r="G343" s="331"/>
      <c r="H343" s="331"/>
      <c r="I343" s="331"/>
      <c r="J343" s="339"/>
      <c r="K343" s="339"/>
      <c r="L343" s="339"/>
      <c r="M343" s="331"/>
      <c r="N343" s="306"/>
      <c r="O343" s="307"/>
      <c r="P343" s="308"/>
      <c r="Q343" s="309"/>
      <c r="R343" s="309"/>
      <c r="S343" s="306"/>
      <c r="T343" s="331"/>
      <c r="U343" s="331"/>
      <c r="V343" s="331"/>
      <c r="W343" s="331"/>
      <c r="X343" s="331"/>
      <c r="Y343" s="331"/>
      <c r="Z343" s="331"/>
    </row>
    <row r="344">
      <c r="A344" s="331"/>
      <c r="B344" s="331"/>
      <c r="C344" s="331"/>
      <c r="D344" s="331"/>
      <c r="E344" s="331"/>
      <c r="F344" s="331"/>
      <c r="G344" s="331"/>
      <c r="H344" s="331"/>
      <c r="I344" s="331"/>
      <c r="J344" s="339"/>
      <c r="K344" s="339"/>
      <c r="L344" s="339"/>
      <c r="M344" s="331"/>
      <c r="N344" s="306"/>
      <c r="O344" s="307"/>
      <c r="P344" s="308"/>
      <c r="Q344" s="309"/>
      <c r="R344" s="309"/>
      <c r="S344" s="306"/>
      <c r="T344" s="331"/>
      <c r="U344" s="331"/>
      <c r="V344" s="331"/>
      <c r="W344" s="331"/>
      <c r="X344" s="331"/>
      <c r="Y344" s="331"/>
      <c r="Z344" s="331"/>
    </row>
    <row r="345">
      <c r="A345" s="331"/>
      <c r="B345" s="331"/>
      <c r="C345" s="331"/>
      <c r="D345" s="331"/>
      <c r="E345" s="331"/>
      <c r="F345" s="331"/>
      <c r="G345" s="331"/>
      <c r="H345" s="331"/>
      <c r="I345" s="331"/>
      <c r="J345" s="339"/>
      <c r="K345" s="339"/>
      <c r="L345" s="339"/>
      <c r="M345" s="331"/>
      <c r="N345" s="306"/>
      <c r="O345" s="307"/>
      <c r="P345" s="308"/>
      <c r="Q345" s="309"/>
      <c r="R345" s="309"/>
      <c r="S345" s="306"/>
      <c r="T345" s="331"/>
      <c r="U345" s="331"/>
      <c r="V345" s="331"/>
      <c r="W345" s="331"/>
      <c r="X345" s="331"/>
      <c r="Y345" s="331"/>
      <c r="Z345" s="331"/>
    </row>
    <row r="346">
      <c r="A346" s="331"/>
      <c r="B346" s="331"/>
      <c r="C346" s="331"/>
      <c r="D346" s="331"/>
      <c r="E346" s="331"/>
      <c r="F346" s="331"/>
      <c r="G346" s="331"/>
      <c r="H346" s="331"/>
      <c r="I346" s="331"/>
      <c r="J346" s="339"/>
      <c r="K346" s="339"/>
      <c r="L346" s="339"/>
      <c r="M346" s="331"/>
      <c r="N346" s="306"/>
      <c r="O346" s="307"/>
      <c r="P346" s="308"/>
      <c r="Q346" s="309"/>
      <c r="R346" s="309"/>
      <c r="S346" s="306"/>
      <c r="T346" s="331"/>
      <c r="U346" s="331"/>
      <c r="V346" s="331"/>
      <c r="W346" s="331"/>
      <c r="X346" s="331"/>
      <c r="Y346" s="331"/>
      <c r="Z346" s="331"/>
    </row>
    <row r="347">
      <c r="A347" s="331"/>
      <c r="B347" s="331"/>
      <c r="C347" s="331"/>
      <c r="D347" s="331"/>
      <c r="E347" s="331"/>
      <c r="F347" s="331"/>
      <c r="G347" s="331"/>
      <c r="H347" s="331"/>
      <c r="I347" s="331"/>
      <c r="J347" s="339"/>
      <c r="K347" s="339"/>
      <c r="L347" s="339"/>
      <c r="M347" s="331"/>
      <c r="N347" s="306"/>
      <c r="O347" s="307"/>
      <c r="P347" s="308"/>
      <c r="Q347" s="309"/>
      <c r="R347" s="309"/>
      <c r="S347" s="306"/>
      <c r="T347" s="331"/>
      <c r="U347" s="331"/>
      <c r="V347" s="331"/>
      <c r="W347" s="331"/>
      <c r="X347" s="331"/>
      <c r="Y347" s="331"/>
      <c r="Z347" s="331"/>
    </row>
    <row r="348">
      <c r="A348" s="331"/>
      <c r="B348" s="331"/>
      <c r="C348" s="331"/>
      <c r="D348" s="331"/>
      <c r="E348" s="331"/>
      <c r="F348" s="331"/>
      <c r="G348" s="331"/>
      <c r="H348" s="331"/>
      <c r="I348" s="331"/>
      <c r="J348" s="339"/>
      <c r="K348" s="339"/>
      <c r="L348" s="339"/>
      <c r="M348" s="331"/>
      <c r="N348" s="306"/>
      <c r="O348" s="307"/>
      <c r="P348" s="308"/>
      <c r="Q348" s="309"/>
      <c r="R348" s="309"/>
      <c r="S348" s="306"/>
      <c r="T348" s="331"/>
      <c r="U348" s="331"/>
      <c r="V348" s="331"/>
      <c r="W348" s="331"/>
      <c r="X348" s="331"/>
      <c r="Y348" s="331"/>
      <c r="Z348" s="331"/>
    </row>
    <row r="349">
      <c r="A349" s="331"/>
      <c r="B349" s="331"/>
      <c r="C349" s="331"/>
      <c r="D349" s="331"/>
      <c r="E349" s="331"/>
      <c r="F349" s="331"/>
      <c r="G349" s="331"/>
      <c r="H349" s="331"/>
      <c r="I349" s="331"/>
      <c r="J349" s="339"/>
      <c r="K349" s="339"/>
      <c r="L349" s="339"/>
      <c r="M349" s="331"/>
      <c r="N349" s="306"/>
      <c r="O349" s="307"/>
      <c r="P349" s="308"/>
      <c r="Q349" s="309"/>
      <c r="R349" s="309"/>
      <c r="S349" s="306"/>
      <c r="T349" s="331"/>
      <c r="U349" s="331"/>
      <c r="V349" s="331"/>
      <c r="W349" s="331"/>
      <c r="X349" s="331"/>
      <c r="Y349" s="331"/>
      <c r="Z349" s="331"/>
    </row>
    <row r="350">
      <c r="A350" s="331"/>
      <c r="B350" s="331"/>
      <c r="C350" s="331"/>
      <c r="D350" s="331"/>
      <c r="E350" s="331"/>
      <c r="F350" s="331"/>
      <c r="G350" s="331"/>
      <c r="H350" s="331"/>
      <c r="I350" s="331"/>
      <c r="J350" s="339"/>
      <c r="K350" s="339"/>
      <c r="L350" s="339"/>
      <c r="M350" s="331"/>
      <c r="N350" s="306"/>
      <c r="O350" s="307"/>
      <c r="P350" s="308"/>
      <c r="Q350" s="309"/>
      <c r="R350" s="309"/>
      <c r="S350" s="306"/>
      <c r="T350" s="331"/>
      <c r="U350" s="331"/>
      <c r="V350" s="331"/>
      <c r="W350" s="331"/>
      <c r="X350" s="331"/>
      <c r="Y350" s="331"/>
      <c r="Z350" s="331"/>
    </row>
    <row r="351">
      <c r="A351" s="331"/>
      <c r="B351" s="331"/>
      <c r="C351" s="331"/>
      <c r="D351" s="331"/>
      <c r="E351" s="331"/>
      <c r="F351" s="331"/>
      <c r="G351" s="331"/>
      <c r="H351" s="331"/>
      <c r="I351" s="331"/>
      <c r="J351" s="339"/>
      <c r="K351" s="339"/>
      <c r="L351" s="339"/>
      <c r="M351" s="331"/>
      <c r="N351" s="306"/>
      <c r="O351" s="307"/>
      <c r="P351" s="308"/>
      <c r="Q351" s="309"/>
      <c r="R351" s="309"/>
      <c r="S351" s="306"/>
      <c r="T351" s="331"/>
      <c r="U351" s="331"/>
      <c r="V351" s="331"/>
      <c r="W351" s="331"/>
      <c r="X351" s="331"/>
      <c r="Y351" s="331"/>
      <c r="Z351" s="331"/>
    </row>
    <row r="352">
      <c r="A352" s="331"/>
      <c r="B352" s="331"/>
      <c r="C352" s="331"/>
      <c r="D352" s="331"/>
      <c r="E352" s="331"/>
      <c r="F352" s="331"/>
      <c r="G352" s="331"/>
      <c r="H352" s="331"/>
      <c r="I352" s="331"/>
      <c r="J352" s="339"/>
      <c r="K352" s="339"/>
      <c r="L352" s="339"/>
      <c r="M352" s="331"/>
      <c r="N352" s="306"/>
      <c r="O352" s="307"/>
      <c r="P352" s="308"/>
      <c r="Q352" s="309"/>
      <c r="R352" s="309"/>
      <c r="S352" s="306"/>
      <c r="T352" s="331"/>
      <c r="U352" s="331"/>
      <c r="V352" s="331"/>
      <c r="W352" s="331"/>
      <c r="X352" s="331"/>
      <c r="Y352" s="331"/>
      <c r="Z352" s="331"/>
    </row>
    <row r="353">
      <c r="A353" s="331"/>
      <c r="B353" s="331"/>
      <c r="C353" s="331"/>
      <c r="D353" s="331"/>
      <c r="E353" s="331"/>
      <c r="F353" s="331"/>
      <c r="G353" s="331"/>
      <c r="H353" s="331"/>
      <c r="I353" s="331"/>
      <c r="J353" s="339"/>
      <c r="K353" s="339"/>
      <c r="L353" s="339"/>
      <c r="M353" s="331"/>
      <c r="N353" s="306"/>
      <c r="O353" s="307"/>
      <c r="P353" s="308"/>
      <c r="Q353" s="309"/>
      <c r="R353" s="309"/>
      <c r="S353" s="306"/>
      <c r="T353" s="331"/>
      <c r="U353" s="331"/>
      <c r="V353" s="331"/>
      <c r="W353" s="331"/>
      <c r="X353" s="331"/>
      <c r="Y353" s="331"/>
      <c r="Z353" s="331"/>
    </row>
    <row r="354">
      <c r="A354" s="331"/>
      <c r="B354" s="331"/>
      <c r="C354" s="331"/>
      <c r="D354" s="331"/>
      <c r="E354" s="331"/>
      <c r="F354" s="331"/>
      <c r="G354" s="331"/>
      <c r="H354" s="331"/>
      <c r="I354" s="331"/>
      <c r="J354" s="339"/>
      <c r="K354" s="339"/>
      <c r="L354" s="339"/>
      <c r="M354" s="331"/>
      <c r="N354" s="306"/>
      <c r="O354" s="307"/>
      <c r="P354" s="308"/>
      <c r="Q354" s="309"/>
      <c r="R354" s="309"/>
      <c r="S354" s="306"/>
      <c r="T354" s="331"/>
      <c r="U354" s="331"/>
      <c r="V354" s="331"/>
      <c r="W354" s="331"/>
      <c r="X354" s="331"/>
      <c r="Y354" s="331"/>
      <c r="Z354" s="331"/>
    </row>
    <row r="355">
      <c r="A355" s="331"/>
      <c r="B355" s="331"/>
      <c r="C355" s="331"/>
      <c r="D355" s="331"/>
      <c r="E355" s="331"/>
      <c r="F355" s="331"/>
      <c r="G355" s="331"/>
      <c r="H355" s="331"/>
      <c r="I355" s="331"/>
      <c r="J355" s="339"/>
      <c r="K355" s="339"/>
      <c r="L355" s="339"/>
      <c r="M355" s="331"/>
      <c r="N355" s="306"/>
      <c r="O355" s="307"/>
      <c r="P355" s="308"/>
      <c r="Q355" s="309"/>
      <c r="R355" s="309"/>
      <c r="S355" s="306"/>
      <c r="T355" s="331"/>
      <c r="U355" s="331"/>
      <c r="V355" s="331"/>
      <c r="W355" s="331"/>
      <c r="X355" s="331"/>
      <c r="Y355" s="331"/>
      <c r="Z355" s="331"/>
    </row>
    <row r="356">
      <c r="A356" s="331"/>
      <c r="B356" s="331"/>
      <c r="C356" s="331"/>
      <c r="D356" s="331"/>
      <c r="E356" s="331"/>
      <c r="F356" s="331"/>
      <c r="G356" s="331"/>
      <c r="H356" s="331"/>
      <c r="I356" s="331"/>
      <c r="J356" s="339"/>
      <c r="K356" s="339"/>
      <c r="L356" s="339"/>
      <c r="M356" s="331"/>
      <c r="N356" s="306"/>
      <c r="O356" s="307"/>
      <c r="P356" s="308"/>
      <c r="Q356" s="309"/>
      <c r="R356" s="309"/>
      <c r="S356" s="306"/>
      <c r="T356" s="331"/>
      <c r="U356" s="331"/>
      <c r="V356" s="331"/>
      <c r="W356" s="331"/>
      <c r="X356" s="331"/>
      <c r="Y356" s="331"/>
      <c r="Z356" s="331"/>
    </row>
    <row r="357">
      <c r="A357" s="331"/>
      <c r="B357" s="331"/>
      <c r="C357" s="331"/>
      <c r="D357" s="331"/>
      <c r="E357" s="331"/>
      <c r="F357" s="331"/>
      <c r="G357" s="331"/>
      <c r="H357" s="331"/>
      <c r="I357" s="331"/>
      <c r="J357" s="339"/>
      <c r="K357" s="339"/>
      <c r="L357" s="339"/>
      <c r="M357" s="331"/>
      <c r="N357" s="306"/>
      <c r="O357" s="307"/>
      <c r="P357" s="308"/>
      <c r="Q357" s="309"/>
      <c r="R357" s="309"/>
      <c r="S357" s="306"/>
      <c r="T357" s="331"/>
      <c r="U357" s="331"/>
      <c r="V357" s="331"/>
      <c r="W357" s="331"/>
      <c r="X357" s="331"/>
      <c r="Y357" s="331"/>
      <c r="Z357" s="331"/>
    </row>
    <row r="358">
      <c r="A358" s="331"/>
      <c r="B358" s="331"/>
      <c r="C358" s="331"/>
      <c r="D358" s="331"/>
      <c r="E358" s="331"/>
      <c r="F358" s="331"/>
      <c r="G358" s="331"/>
      <c r="H358" s="331"/>
      <c r="I358" s="331"/>
      <c r="J358" s="339"/>
      <c r="K358" s="339"/>
      <c r="L358" s="339"/>
      <c r="M358" s="331"/>
      <c r="N358" s="306"/>
      <c r="O358" s="307"/>
      <c r="P358" s="308"/>
      <c r="Q358" s="309"/>
      <c r="R358" s="309"/>
      <c r="S358" s="306"/>
      <c r="T358" s="331"/>
      <c r="U358" s="331"/>
      <c r="V358" s="331"/>
      <c r="W358" s="331"/>
      <c r="X358" s="331"/>
      <c r="Y358" s="331"/>
      <c r="Z358" s="331"/>
    </row>
    <row r="359">
      <c r="A359" s="331"/>
      <c r="B359" s="331"/>
      <c r="C359" s="331"/>
      <c r="D359" s="331"/>
      <c r="E359" s="331"/>
      <c r="F359" s="331"/>
      <c r="G359" s="331"/>
      <c r="H359" s="331"/>
      <c r="I359" s="331"/>
      <c r="J359" s="339"/>
      <c r="K359" s="339"/>
      <c r="L359" s="339"/>
      <c r="M359" s="331"/>
      <c r="N359" s="306"/>
      <c r="O359" s="307"/>
      <c r="P359" s="308"/>
      <c r="Q359" s="309"/>
      <c r="R359" s="309"/>
      <c r="S359" s="306"/>
      <c r="T359" s="331"/>
      <c r="U359" s="331"/>
      <c r="V359" s="331"/>
      <c r="W359" s="331"/>
      <c r="X359" s="331"/>
      <c r="Y359" s="331"/>
      <c r="Z359" s="331"/>
    </row>
    <row r="360">
      <c r="A360" s="331"/>
      <c r="B360" s="331"/>
      <c r="C360" s="331"/>
      <c r="D360" s="331"/>
      <c r="E360" s="331"/>
      <c r="F360" s="331"/>
      <c r="G360" s="331"/>
      <c r="H360" s="331"/>
      <c r="I360" s="331"/>
      <c r="J360" s="339"/>
      <c r="K360" s="339"/>
      <c r="L360" s="339"/>
      <c r="M360" s="331"/>
      <c r="N360" s="306"/>
      <c r="O360" s="307"/>
      <c r="P360" s="308"/>
      <c r="Q360" s="309"/>
      <c r="R360" s="309"/>
      <c r="S360" s="306"/>
      <c r="T360" s="331"/>
      <c r="U360" s="331"/>
      <c r="V360" s="331"/>
      <c r="W360" s="331"/>
      <c r="X360" s="331"/>
      <c r="Y360" s="331"/>
      <c r="Z360" s="331"/>
    </row>
    <row r="361">
      <c r="A361" s="331"/>
      <c r="B361" s="331"/>
      <c r="C361" s="331"/>
      <c r="D361" s="331"/>
      <c r="E361" s="331"/>
      <c r="F361" s="331"/>
      <c r="G361" s="331"/>
      <c r="H361" s="331"/>
      <c r="I361" s="331"/>
      <c r="J361" s="339"/>
      <c r="K361" s="339"/>
      <c r="L361" s="339"/>
      <c r="M361" s="331"/>
      <c r="N361" s="306"/>
      <c r="O361" s="307"/>
      <c r="P361" s="308"/>
      <c r="Q361" s="309"/>
      <c r="R361" s="309"/>
      <c r="S361" s="306"/>
      <c r="T361" s="331"/>
      <c r="U361" s="331"/>
      <c r="V361" s="331"/>
      <c r="W361" s="331"/>
      <c r="X361" s="331"/>
      <c r="Y361" s="331"/>
      <c r="Z361" s="331"/>
    </row>
    <row r="362">
      <c r="A362" s="331"/>
      <c r="B362" s="331"/>
      <c r="C362" s="331"/>
      <c r="D362" s="331"/>
      <c r="E362" s="331"/>
      <c r="F362" s="331"/>
      <c r="G362" s="331"/>
      <c r="H362" s="331"/>
      <c r="I362" s="331"/>
      <c r="J362" s="339"/>
      <c r="K362" s="339"/>
      <c r="L362" s="339"/>
      <c r="M362" s="331"/>
      <c r="N362" s="306"/>
      <c r="O362" s="307"/>
      <c r="P362" s="308"/>
      <c r="Q362" s="309"/>
      <c r="R362" s="309"/>
      <c r="S362" s="306"/>
      <c r="T362" s="331"/>
      <c r="U362" s="331"/>
      <c r="V362" s="331"/>
      <c r="W362" s="331"/>
      <c r="X362" s="331"/>
      <c r="Y362" s="331"/>
      <c r="Z362" s="331"/>
    </row>
    <row r="363">
      <c r="A363" s="331"/>
      <c r="B363" s="331"/>
      <c r="C363" s="331"/>
      <c r="D363" s="331"/>
      <c r="E363" s="331"/>
      <c r="F363" s="331"/>
      <c r="G363" s="331"/>
      <c r="H363" s="331"/>
      <c r="I363" s="331"/>
      <c r="J363" s="339"/>
      <c r="K363" s="339"/>
      <c r="L363" s="339"/>
      <c r="M363" s="331"/>
      <c r="N363" s="306"/>
      <c r="O363" s="307"/>
      <c r="P363" s="308"/>
      <c r="Q363" s="309"/>
      <c r="R363" s="309"/>
      <c r="S363" s="306"/>
      <c r="T363" s="331"/>
      <c r="U363" s="331"/>
      <c r="V363" s="331"/>
      <c r="W363" s="331"/>
      <c r="X363" s="331"/>
      <c r="Y363" s="331"/>
      <c r="Z363" s="331"/>
    </row>
    <row r="364">
      <c r="A364" s="331"/>
      <c r="B364" s="331"/>
      <c r="C364" s="331"/>
      <c r="D364" s="331"/>
      <c r="E364" s="331"/>
      <c r="F364" s="331"/>
      <c r="G364" s="331"/>
      <c r="H364" s="331"/>
      <c r="I364" s="331"/>
      <c r="J364" s="339"/>
      <c r="K364" s="339"/>
      <c r="L364" s="339"/>
      <c r="M364" s="331"/>
      <c r="N364" s="306"/>
      <c r="O364" s="307"/>
      <c r="P364" s="308"/>
      <c r="Q364" s="309"/>
      <c r="R364" s="309"/>
      <c r="S364" s="306"/>
      <c r="T364" s="331"/>
      <c r="U364" s="331"/>
      <c r="V364" s="331"/>
      <c r="W364" s="331"/>
      <c r="X364" s="331"/>
      <c r="Y364" s="331"/>
      <c r="Z364" s="331"/>
    </row>
    <row r="365">
      <c r="A365" s="331"/>
      <c r="B365" s="331"/>
      <c r="C365" s="331"/>
      <c r="D365" s="331"/>
      <c r="E365" s="331"/>
      <c r="F365" s="331"/>
      <c r="G365" s="331"/>
      <c r="H365" s="331"/>
      <c r="I365" s="331"/>
      <c r="J365" s="339"/>
      <c r="K365" s="339"/>
      <c r="L365" s="339"/>
      <c r="M365" s="331"/>
      <c r="N365" s="306"/>
      <c r="O365" s="307"/>
      <c r="P365" s="308"/>
      <c r="Q365" s="309"/>
      <c r="R365" s="309"/>
      <c r="S365" s="306"/>
      <c r="T365" s="331"/>
      <c r="U365" s="331"/>
      <c r="V365" s="331"/>
      <c r="W365" s="331"/>
      <c r="X365" s="331"/>
      <c r="Y365" s="331"/>
      <c r="Z365" s="331"/>
    </row>
    <row r="366">
      <c r="A366" s="331"/>
      <c r="B366" s="331"/>
      <c r="C366" s="331"/>
      <c r="D366" s="331"/>
      <c r="E366" s="331"/>
      <c r="F366" s="331"/>
      <c r="G366" s="331"/>
      <c r="H366" s="331"/>
      <c r="I366" s="331"/>
      <c r="J366" s="339"/>
      <c r="K366" s="339"/>
      <c r="L366" s="339"/>
      <c r="M366" s="331"/>
      <c r="N366" s="306"/>
      <c r="O366" s="307"/>
      <c r="P366" s="308"/>
      <c r="Q366" s="309"/>
      <c r="R366" s="309"/>
      <c r="S366" s="306"/>
      <c r="T366" s="331"/>
      <c r="U366" s="331"/>
      <c r="V366" s="331"/>
      <c r="W366" s="331"/>
      <c r="X366" s="331"/>
      <c r="Y366" s="331"/>
      <c r="Z366" s="331"/>
    </row>
    <row r="367">
      <c r="A367" s="331"/>
      <c r="B367" s="331"/>
      <c r="C367" s="331"/>
      <c r="D367" s="331"/>
      <c r="E367" s="331"/>
      <c r="F367" s="331"/>
      <c r="G367" s="331"/>
      <c r="H367" s="331"/>
      <c r="I367" s="331"/>
      <c r="J367" s="339"/>
      <c r="K367" s="339"/>
      <c r="L367" s="339"/>
      <c r="M367" s="331"/>
      <c r="N367" s="306"/>
      <c r="O367" s="307"/>
      <c r="P367" s="308"/>
      <c r="Q367" s="309"/>
      <c r="R367" s="309"/>
      <c r="S367" s="306"/>
      <c r="T367" s="331"/>
      <c r="U367" s="331"/>
      <c r="V367" s="331"/>
      <c r="W367" s="331"/>
      <c r="X367" s="331"/>
      <c r="Y367" s="331"/>
      <c r="Z367" s="331"/>
    </row>
    <row r="368">
      <c r="A368" s="331"/>
      <c r="B368" s="331"/>
      <c r="C368" s="331"/>
      <c r="D368" s="331"/>
      <c r="E368" s="331"/>
      <c r="F368" s="331"/>
      <c r="G368" s="331"/>
      <c r="H368" s="331"/>
      <c r="I368" s="331"/>
      <c r="J368" s="339"/>
      <c r="K368" s="339"/>
      <c r="L368" s="339"/>
      <c r="M368" s="331"/>
      <c r="N368" s="306"/>
      <c r="O368" s="307"/>
      <c r="P368" s="308"/>
      <c r="Q368" s="309"/>
      <c r="R368" s="309"/>
      <c r="S368" s="306"/>
      <c r="T368" s="331"/>
      <c r="U368" s="331"/>
      <c r="V368" s="331"/>
      <c r="W368" s="331"/>
      <c r="X368" s="331"/>
      <c r="Y368" s="331"/>
      <c r="Z368" s="331"/>
    </row>
    <row r="369">
      <c r="A369" s="331"/>
      <c r="B369" s="331"/>
      <c r="C369" s="331"/>
      <c r="D369" s="331"/>
      <c r="E369" s="331"/>
      <c r="F369" s="331"/>
      <c r="G369" s="331"/>
      <c r="H369" s="331"/>
      <c r="I369" s="331"/>
      <c r="J369" s="339"/>
      <c r="K369" s="339"/>
      <c r="L369" s="339"/>
      <c r="M369" s="331"/>
      <c r="N369" s="306"/>
      <c r="O369" s="307"/>
      <c r="P369" s="308"/>
      <c r="Q369" s="309"/>
      <c r="R369" s="309"/>
      <c r="S369" s="306"/>
      <c r="T369" s="331"/>
      <c r="U369" s="331"/>
      <c r="V369" s="331"/>
      <c r="W369" s="331"/>
      <c r="X369" s="331"/>
      <c r="Y369" s="331"/>
      <c r="Z369" s="331"/>
    </row>
    <row r="370">
      <c r="A370" s="331"/>
      <c r="B370" s="331"/>
      <c r="C370" s="331"/>
      <c r="D370" s="331"/>
      <c r="E370" s="331"/>
      <c r="F370" s="331"/>
      <c r="G370" s="331"/>
      <c r="H370" s="331"/>
      <c r="I370" s="331"/>
      <c r="J370" s="339"/>
      <c r="K370" s="339"/>
      <c r="L370" s="339"/>
      <c r="M370" s="331"/>
      <c r="N370" s="306"/>
      <c r="O370" s="307"/>
      <c r="P370" s="308"/>
      <c r="Q370" s="309"/>
      <c r="R370" s="309"/>
      <c r="S370" s="306"/>
      <c r="T370" s="331"/>
      <c r="U370" s="331"/>
      <c r="V370" s="331"/>
      <c r="W370" s="331"/>
      <c r="X370" s="331"/>
      <c r="Y370" s="331"/>
      <c r="Z370" s="331"/>
    </row>
    <row r="371">
      <c r="A371" s="331"/>
      <c r="B371" s="331"/>
      <c r="C371" s="331"/>
      <c r="D371" s="331"/>
      <c r="E371" s="331"/>
      <c r="F371" s="331"/>
      <c r="G371" s="331"/>
      <c r="H371" s="331"/>
      <c r="I371" s="331"/>
      <c r="J371" s="339"/>
      <c r="K371" s="339"/>
      <c r="L371" s="339"/>
      <c r="M371" s="331"/>
      <c r="N371" s="306"/>
      <c r="O371" s="307"/>
      <c r="P371" s="308"/>
      <c r="Q371" s="309"/>
      <c r="R371" s="309"/>
      <c r="S371" s="306"/>
      <c r="T371" s="331"/>
      <c r="U371" s="331"/>
      <c r="V371" s="331"/>
      <c r="W371" s="331"/>
      <c r="X371" s="331"/>
      <c r="Y371" s="331"/>
      <c r="Z371" s="331"/>
    </row>
    <row r="372">
      <c r="A372" s="331"/>
      <c r="B372" s="331"/>
      <c r="C372" s="331"/>
      <c r="D372" s="331"/>
      <c r="E372" s="331"/>
      <c r="F372" s="331"/>
      <c r="G372" s="331"/>
      <c r="H372" s="331"/>
      <c r="I372" s="331"/>
      <c r="J372" s="339"/>
      <c r="K372" s="339"/>
      <c r="L372" s="339"/>
      <c r="M372" s="331"/>
      <c r="N372" s="306"/>
      <c r="O372" s="307"/>
      <c r="P372" s="308"/>
      <c r="Q372" s="309"/>
      <c r="R372" s="309"/>
      <c r="S372" s="306"/>
      <c r="T372" s="331"/>
      <c r="U372" s="331"/>
      <c r="V372" s="331"/>
      <c r="W372" s="331"/>
      <c r="X372" s="331"/>
      <c r="Y372" s="331"/>
      <c r="Z372" s="331"/>
    </row>
    <row r="373">
      <c r="A373" s="331"/>
      <c r="B373" s="331"/>
      <c r="C373" s="331"/>
      <c r="D373" s="331"/>
      <c r="E373" s="331"/>
      <c r="F373" s="331"/>
      <c r="G373" s="331"/>
      <c r="H373" s="331"/>
      <c r="I373" s="331"/>
      <c r="J373" s="339"/>
      <c r="K373" s="339"/>
      <c r="L373" s="339"/>
      <c r="M373" s="331"/>
      <c r="N373" s="306"/>
      <c r="O373" s="307"/>
      <c r="P373" s="308"/>
      <c r="Q373" s="309"/>
      <c r="R373" s="309"/>
      <c r="S373" s="306"/>
      <c r="T373" s="331"/>
      <c r="U373" s="331"/>
      <c r="V373" s="331"/>
      <c r="W373" s="331"/>
      <c r="X373" s="331"/>
      <c r="Y373" s="331"/>
      <c r="Z373" s="331"/>
    </row>
    <row r="374">
      <c r="A374" s="331"/>
      <c r="B374" s="331"/>
      <c r="C374" s="331"/>
      <c r="D374" s="331"/>
      <c r="E374" s="331"/>
      <c r="F374" s="331"/>
      <c r="G374" s="331"/>
      <c r="H374" s="331"/>
      <c r="I374" s="331"/>
      <c r="J374" s="339"/>
      <c r="K374" s="339"/>
      <c r="L374" s="339"/>
      <c r="M374" s="331"/>
      <c r="N374" s="306"/>
      <c r="O374" s="307"/>
      <c r="P374" s="308"/>
      <c r="Q374" s="309"/>
      <c r="R374" s="309"/>
      <c r="S374" s="306"/>
      <c r="T374" s="331"/>
      <c r="U374" s="331"/>
      <c r="V374" s="331"/>
      <c r="W374" s="331"/>
      <c r="X374" s="331"/>
      <c r="Y374" s="331"/>
      <c r="Z374" s="331"/>
    </row>
    <row r="375">
      <c r="A375" s="331"/>
      <c r="B375" s="331"/>
      <c r="C375" s="331"/>
      <c r="D375" s="331"/>
      <c r="E375" s="331"/>
      <c r="F375" s="331"/>
      <c r="G375" s="331"/>
      <c r="H375" s="331"/>
      <c r="I375" s="331"/>
      <c r="J375" s="339"/>
      <c r="K375" s="339"/>
      <c r="L375" s="339"/>
      <c r="M375" s="331"/>
      <c r="N375" s="306"/>
      <c r="O375" s="307"/>
      <c r="P375" s="308"/>
      <c r="Q375" s="309"/>
      <c r="R375" s="309"/>
      <c r="S375" s="306"/>
      <c r="T375" s="331"/>
      <c r="U375" s="331"/>
      <c r="V375" s="331"/>
      <c r="W375" s="331"/>
      <c r="X375" s="331"/>
      <c r="Y375" s="331"/>
      <c r="Z375" s="331"/>
    </row>
    <row r="376">
      <c r="A376" s="331"/>
      <c r="B376" s="331"/>
      <c r="C376" s="331"/>
      <c r="D376" s="331"/>
      <c r="E376" s="331"/>
      <c r="F376" s="331"/>
      <c r="G376" s="331"/>
      <c r="H376" s="331"/>
      <c r="I376" s="331"/>
      <c r="J376" s="339"/>
      <c r="K376" s="339"/>
      <c r="L376" s="339"/>
      <c r="M376" s="331"/>
      <c r="N376" s="306"/>
      <c r="O376" s="307"/>
      <c r="P376" s="308"/>
      <c r="Q376" s="309"/>
      <c r="R376" s="309"/>
      <c r="S376" s="306"/>
      <c r="T376" s="331"/>
      <c r="U376" s="331"/>
      <c r="V376" s="331"/>
      <c r="W376" s="331"/>
      <c r="X376" s="331"/>
      <c r="Y376" s="331"/>
      <c r="Z376" s="331"/>
    </row>
    <row r="377">
      <c r="A377" s="331"/>
      <c r="B377" s="331"/>
      <c r="C377" s="331"/>
      <c r="D377" s="331"/>
      <c r="E377" s="331"/>
      <c r="F377" s="331"/>
      <c r="G377" s="331"/>
      <c r="H377" s="331"/>
      <c r="I377" s="331"/>
      <c r="J377" s="339"/>
      <c r="K377" s="339"/>
      <c r="L377" s="339"/>
      <c r="M377" s="331"/>
      <c r="N377" s="306"/>
      <c r="O377" s="307"/>
      <c r="P377" s="308"/>
      <c r="Q377" s="309"/>
      <c r="R377" s="309"/>
      <c r="S377" s="306"/>
      <c r="T377" s="331"/>
      <c r="U377" s="331"/>
      <c r="V377" s="331"/>
      <c r="W377" s="331"/>
      <c r="X377" s="331"/>
      <c r="Y377" s="331"/>
      <c r="Z377" s="331"/>
    </row>
    <row r="378">
      <c r="A378" s="331"/>
      <c r="B378" s="331"/>
      <c r="C378" s="331"/>
      <c r="D378" s="331"/>
      <c r="E378" s="331"/>
      <c r="F378" s="331"/>
      <c r="G378" s="331"/>
      <c r="H378" s="331"/>
      <c r="I378" s="331"/>
      <c r="J378" s="339"/>
      <c r="K378" s="339"/>
      <c r="L378" s="339"/>
      <c r="M378" s="331"/>
      <c r="N378" s="306"/>
      <c r="O378" s="307"/>
      <c r="P378" s="308"/>
      <c r="Q378" s="309"/>
      <c r="R378" s="309"/>
      <c r="S378" s="306"/>
      <c r="T378" s="331"/>
      <c r="U378" s="331"/>
      <c r="V378" s="331"/>
      <c r="W378" s="331"/>
      <c r="X378" s="331"/>
      <c r="Y378" s="331"/>
      <c r="Z378" s="331"/>
    </row>
    <row r="379">
      <c r="A379" s="331"/>
      <c r="B379" s="331"/>
      <c r="C379" s="331"/>
      <c r="D379" s="331"/>
      <c r="E379" s="331"/>
      <c r="F379" s="331"/>
      <c r="G379" s="331"/>
      <c r="H379" s="331"/>
      <c r="I379" s="331"/>
      <c r="J379" s="339"/>
      <c r="K379" s="339"/>
      <c r="L379" s="339"/>
      <c r="M379" s="331"/>
      <c r="N379" s="306"/>
      <c r="O379" s="307"/>
      <c r="P379" s="308"/>
      <c r="Q379" s="309"/>
      <c r="R379" s="309"/>
      <c r="S379" s="306"/>
      <c r="T379" s="331"/>
      <c r="U379" s="331"/>
      <c r="V379" s="331"/>
      <c r="W379" s="331"/>
      <c r="X379" s="331"/>
      <c r="Y379" s="331"/>
      <c r="Z379" s="331"/>
    </row>
    <row r="380">
      <c r="A380" s="331"/>
      <c r="B380" s="331"/>
      <c r="C380" s="331"/>
      <c r="D380" s="331"/>
      <c r="E380" s="331"/>
      <c r="F380" s="331"/>
      <c r="G380" s="331"/>
      <c r="H380" s="331"/>
      <c r="I380" s="331"/>
      <c r="J380" s="339"/>
      <c r="K380" s="339"/>
      <c r="L380" s="339"/>
      <c r="M380" s="331"/>
      <c r="N380" s="306"/>
      <c r="O380" s="307"/>
      <c r="P380" s="308"/>
      <c r="Q380" s="309"/>
      <c r="R380" s="309"/>
      <c r="S380" s="306"/>
      <c r="T380" s="331"/>
      <c r="U380" s="331"/>
      <c r="V380" s="331"/>
      <c r="W380" s="331"/>
      <c r="X380" s="331"/>
      <c r="Y380" s="331"/>
      <c r="Z380" s="331"/>
    </row>
    <row r="381">
      <c r="A381" s="331"/>
      <c r="B381" s="331"/>
      <c r="C381" s="331"/>
      <c r="D381" s="331"/>
      <c r="E381" s="331"/>
      <c r="F381" s="331"/>
      <c r="G381" s="331"/>
      <c r="H381" s="331"/>
      <c r="I381" s="331"/>
      <c r="J381" s="339"/>
      <c r="K381" s="339"/>
      <c r="L381" s="339"/>
      <c r="M381" s="331"/>
      <c r="N381" s="306"/>
      <c r="O381" s="307"/>
      <c r="P381" s="308"/>
      <c r="Q381" s="309"/>
      <c r="R381" s="309"/>
      <c r="S381" s="306"/>
      <c r="T381" s="331"/>
      <c r="U381" s="331"/>
      <c r="V381" s="331"/>
      <c r="W381" s="331"/>
      <c r="X381" s="331"/>
      <c r="Y381" s="331"/>
      <c r="Z381" s="331"/>
    </row>
    <row r="382">
      <c r="A382" s="331"/>
      <c r="B382" s="331"/>
      <c r="C382" s="331"/>
      <c r="D382" s="331"/>
      <c r="E382" s="331"/>
      <c r="F382" s="331"/>
      <c r="G382" s="331"/>
      <c r="H382" s="331"/>
      <c r="I382" s="331"/>
      <c r="J382" s="339"/>
      <c r="K382" s="339"/>
      <c r="L382" s="339"/>
      <c r="M382" s="331"/>
      <c r="N382" s="306"/>
      <c r="O382" s="307"/>
      <c r="P382" s="308"/>
      <c r="Q382" s="309"/>
      <c r="R382" s="309"/>
      <c r="S382" s="306"/>
      <c r="T382" s="331"/>
      <c r="U382" s="331"/>
      <c r="V382" s="331"/>
      <c r="W382" s="331"/>
      <c r="X382" s="331"/>
      <c r="Y382" s="331"/>
      <c r="Z382" s="331"/>
    </row>
    <row r="383">
      <c r="A383" s="331"/>
      <c r="B383" s="331"/>
      <c r="C383" s="331"/>
      <c r="D383" s="331"/>
      <c r="E383" s="331"/>
      <c r="F383" s="331"/>
      <c r="G383" s="331"/>
      <c r="H383" s="331"/>
      <c r="I383" s="331"/>
      <c r="J383" s="339"/>
      <c r="K383" s="339"/>
      <c r="L383" s="339"/>
      <c r="M383" s="331"/>
      <c r="N383" s="306"/>
      <c r="O383" s="307"/>
      <c r="P383" s="308"/>
      <c r="Q383" s="309"/>
      <c r="R383" s="309"/>
      <c r="S383" s="306"/>
      <c r="T383" s="331"/>
      <c r="U383" s="331"/>
      <c r="V383" s="331"/>
      <c r="W383" s="331"/>
      <c r="X383" s="331"/>
      <c r="Y383" s="331"/>
      <c r="Z383" s="331"/>
    </row>
    <row r="384">
      <c r="A384" s="331"/>
      <c r="B384" s="331"/>
      <c r="C384" s="331"/>
      <c r="D384" s="331"/>
      <c r="E384" s="331"/>
      <c r="F384" s="331"/>
      <c r="G384" s="331"/>
      <c r="H384" s="331"/>
      <c r="I384" s="331"/>
      <c r="J384" s="339"/>
      <c r="K384" s="339"/>
      <c r="L384" s="339"/>
      <c r="M384" s="331"/>
      <c r="N384" s="306"/>
      <c r="O384" s="307"/>
      <c r="P384" s="308"/>
      <c r="Q384" s="309"/>
      <c r="R384" s="309"/>
      <c r="S384" s="306"/>
      <c r="T384" s="331"/>
      <c r="U384" s="331"/>
      <c r="V384" s="331"/>
      <c r="W384" s="331"/>
      <c r="X384" s="331"/>
      <c r="Y384" s="331"/>
      <c r="Z384" s="331"/>
    </row>
    <row r="385">
      <c r="A385" s="331"/>
      <c r="B385" s="331"/>
      <c r="C385" s="331"/>
      <c r="D385" s="331"/>
      <c r="E385" s="331"/>
      <c r="F385" s="331"/>
      <c r="G385" s="331"/>
      <c r="H385" s="331"/>
      <c r="I385" s="331"/>
      <c r="J385" s="339"/>
      <c r="K385" s="339"/>
      <c r="L385" s="339"/>
      <c r="M385" s="331"/>
      <c r="N385" s="306"/>
      <c r="O385" s="307"/>
      <c r="P385" s="308"/>
      <c r="Q385" s="309"/>
      <c r="R385" s="309"/>
      <c r="S385" s="306"/>
      <c r="T385" s="331"/>
      <c r="U385" s="331"/>
      <c r="V385" s="331"/>
      <c r="W385" s="331"/>
      <c r="X385" s="331"/>
      <c r="Y385" s="331"/>
      <c r="Z385" s="331"/>
    </row>
    <row r="386">
      <c r="A386" s="331"/>
      <c r="B386" s="331"/>
      <c r="C386" s="331"/>
      <c r="D386" s="331"/>
      <c r="E386" s="331"/>
      <c r="F386" s="331"/>
      <c r="G386" s="331"/>
      <c r="H386" s="331"/>
      <c r="I386" s="331"/>
      <c r="J386" s="339"/>
      <c r="K386" s="339"/>
      <c r="L386" s="339"/>
      <c r="M386" s="331"/>
      <c r="N386" s="306"/>
      <c r="O386" s="307"/>
      <c r="P386" s="308"/>
      <c r="Q386" s="309"/>
      <c r="R386" s="309"/>
      <c r="S386" s="306"/>
      <c r="T386" s="331"/>
      <c r="U386" s="331"/>
      <c r="V386" s="331"/>
      <c r="W386" s="331"/>
      <c r="X386" s="331"/>
      <c r="Y386" s="331"/>
      <c r="Z386" s="331"/>
    </row>
    <row r="387">
      <c r="A387" s="331"/>
      <c r="B387" s="331"/>
      <c r="C387" s="331"/>
      <c r="D387" s="331"/>
      <c r="E387" s="331"/>
      <c r="F387" s="331"/>
      <c r="G387" s="331"/>
      <c r="H387" s="331"/>
      <c r="I387" s="331"/>
      <c r="J387" s="339"/>
      <c r="K387" s="339"/>
      <c r="L387" s="339"/>
      <c r="M387" s="331"/>
      <c r="N387" s="306"/>
      <c r="O387" s="307"/>
      <c r="P387" s="308"/>
      <c r="Q387" s="309"/>
      <c r="R387" s="309"/>
      <c r="S387" s="306"/>
      <c r="T387" s="331"/>
      <c r="U387" s="331"/>
      <c r="V387" s="331"/>
      <c r="W387" s="331"/>
      <c r="X387" s="331"/>
      <c r="Y387" s="331"/>
      <c r="Z387" s="331"/>
    </row>
    <row r="388">
      <c r="A388" s="331"/>
      <c r="B388" s="331"/>
      <c r="C388" s="331"/>
      <c r="D388" s="331"/>
      <c r="E388" s="331"/>
      <c r="F388" s="331"/>
      <c r="G388" s="331"/>
      <c r="H388" s="331"/>
      <c r="I388" s="331"/>
      <c r="J388" s="339"/>
      <c r="K388" s="339"/>
      <c r="L388" s="339"/>
      <c r="M388" s="331"/>
      <c r="N388" s="306"/>
      <c r="O388" s="307"/>
      <c r="P388" s="308"/>
      <c r="Q388" s="309"/>
      <c r="R388" s="309"/>
      <c r="S388" s="306"/>
      <c r="T388" s="331"/>
      <c r="U388" s="331"/>
      <c r="V388" s="331"/>
      <c r="W388" s="331"/>
      <c r="X388" s="331"/>
      <c r="Y388" s="331"/>
      <c r="Z388" s="331"/>
    </row>
    <row r="389">
      <c r="A389" s="331"/>
      <c r="B389" s="331"/>
      <c r="C389" s="331"/>
      <c r="D389" s="331"/>
      <c r="E389" s="331"/>
      <c r="F389" s="331"/>
      <c r="G389" s="331"/>
      <c r="H389" s="331"/>
      <c r="I389" s="331"/>
      <c r="J389" s="339"/>
      <c r="K389" s="339"/>
      <c r="L389" s="339"/>
      <c r="M389" s="331"/>
      <c r="N389" s="306"/>
      <c r="O389" s="307"/>
      <c r="P389" s="308"/>
      <c r="Q389" s="309"/>
      <c r="R389" s="309"/>
      <c r="S389" s="306"/>
      <c r="T389" s="331"/>
      <c r="U389" s="331"/>
      <c r="V389" s="331"/>
      <c r="W389" s="331"/>
      <c r="X389" s="331"/>
      <c r="Y389" s="331"/>
      <c r="Z389" s="331"/>
    </row>
    <row r="390">
      <c r="A390" s="331"/>
      <c r="B390" s="331"/>
      <c r="C390" s="331"/>
      <c r="D390" s="331"/>
      <c r="E390" s="331"/>
      <c r="F390" s="331"/>
      <c r="G390" s="331"/>
      <c r="H390" s="331"/>
      <c r="I390" s="331"/>
      <c r="J390" s="339"/>
      <c r="K390" s="339"/>
      <c r="L390" s="339"/>
      <c r="M390" s="331"/>
      <c r="N390" s="306"/>
      <c r="O390" s="307"/>
      <c r="P390" s="308"/>
      <c r="Q390" s="309"/>
      <c r="R390" s="309"/>
      <c r="S390" s="306"/>
      <c r="T390" s="331"/>
      <c r="U390" s="331"/>
      <c r="V390" s="331"/>
      <c r="W390" s="331"/>
      <c r="X390" s="331"/>
      <c r="Y390" s="331"/>
      <c r="Z390" s="331"/>
    </row>
    <row r="391">
      <c r="A391" s="331"/>
      <c r="B391" s="331"/>
      <c r="C391" s="331"/>
      <c r="D391" s="331"/>
      <c r="E391" s="331"/>
      <c r="F391" s="331"/>
      <c r="G391" s="331"/>
      <c r="H391" s="331"/>
      <c r="I391" s="331"/>
      <c r="J391" s="339"/>
      <c r="K391" s="339"/>
      <c r="L391" s="339"/>
      <c r="M391" s="331"/>
      <c r="N391" s="306"/>
      <c r="O391" s="307"/>
      <c r="P391" s="308"/>
      <c r="Q391" s="309"/>
      <c r="R391" s="309"/>
      <c r="S391" s="306"/>
      <c r="T391" s="331"/>
      <c r="U391" s="331"/>
      <c r="V391" s="331"/>
      <c r="W391" s="331"/>
      <c r="X391" s="331"/>
      <c r="Y391" s="331"/>
      <c r="Z391" s="331"/>
    </row>
    <row r="392">
      <c r="A392" s="331"/>
      <c r="B392" s="331"/>
      <c r="C392" s="331"/>
      <c r="D392" s="331"/>
      <c r="E392" s="331"/>
      <c r="F392" s="331"/>
      <c r="G392" s="331"/>
      <c r="H392" s="331"/>
      <c r="I392" s="331"/>
      <c r="J392" s="339"/>
      <c r="K392" s="339"/>
      <c r="L392" s="339"/>
      <c r="M392" s="331"/>
      <c r="N392" s="306"/>
      <c r="O392" s="307"/>
      <c r="P392" s="308"/>
      <c r="Q392" s="309"/>
      <c r="R392" s="309"/>
      <c r="S392" s="306"/>
      <c r="T392" s="331"/>
      <c r="U392" s="331"/>
      <c r="V392" s="331"/>
      <c r="W392" s="331"/>
      <c r="X392" s="331"/>
      <c r="Y392" s="331"/>
      <c r="Z392" s="331"/>
    </row>
    <row r="393">
      <c r="A393" s="331"/>
      <c r="B393" s="331"/>
      <c r="C393" s="331"/>
      <c r="D393" s="331"/>
      <c r="E393" s="331"/>
      <c r="F393" s="331"/>
      <c r="G393" s="331"/>
      <c r="H393" s="331"/>
      <c r="I393" s="331"/>
      <c r="J393" s="339"/>
      <c r="K393" s="339"/>
      <c r="L393" s="339"/>
      <c r="M393" s="331"/>
      <c r="N393" s="306"/>
      <c r="O393" s="307"/>
      <c r="P393" s="308"/>
      <c r="Q393" s="309"/>
      <c r="R393" s="309"/>
      <c r="S393" s="306"/>
      <c r="T393" s="331"/>
      <c r="U393" s="331"/>
      <c r="V393" s="331"/>
      <c r="W393" s="331"/>
      <c r="X393" s="331"/>
      <c r="Y393" s="331"/>
      <c r="Z393" s="331"/>
    </row>
    <row r="394">
      <c r="A394" s="331"/>
      <c r="B394" s="331"/>
      <c r="C394" s="331"/>
      <c r="D394" s="331"/>
      <c r="E394" s="331"/>
      <c r="F394" s="331"/>
      <c r="G394" s="331"/>
      <c r="H394" s="331"/>
      <c r="I394" s="331"/>
      <c r="J394" s="339"/>
      <c r="K394" s="339"/>
      <c r="L394" s="339"/>
      <c r="M394" s="331"/>
      <c r="N394" s="306"/>
      <c r="O394" s="307"/>
      <c r="P394" s="308"/>
      <c r="Q394" s="309"/>
      <c r="R394" s="309"/>
      <c r="S394" s="306"/>
      <c r="T394" s="331"/>
      <c r="U394" s="331"/>
      <c r="V394" s="331"/>
      <c r="W394" s="331"/>
      <c r="X394" s="331"/>
      <c r="Y394" s="331"/>
      <c r="Z394" s="331"/>
    </row>
    <row r="395">
      <c r="A395" s="331"/>
      <c r="B395" s="331"/>
      <c r="C395" s="331"/>
      <c r="D395" s="331"/>
      <c r="E395" s="331"/>
      <c r="F395" s="331"/>
      <c r="G395" s="331"/>
      <c r="H395" s="331"/>
      <c r="I395" s="331"/>
      <c r="J395" s="339"/>
      <c r="K395" s="339"/>
      <c r="L395" s="339"/>
      <c r="M395" s="331"/>
      <c r="N395" s="306"/>
      <c r="O395" s="307"/>
      <c r="P395" s="308"/>
      <c r="Q395" s="309"/>
      <c r="R395" s="309"/>
      <c r="S395" s="306"/>
      <c r="T395" s="331"/>
      <c r="U395" s="331"/>
      <c r="V395" s="331"/>
      <c r="W395" s="331"/>
      <c r="X395" s="331"/>
      <c r="Y395" s="331"/>
      <c r="Z395" s="331"/>
    </row>
    <row r="396">
      <c r="A396" s="331"/>
      <c r="B396" s="331"/>
      <c r="C396" s="331"/>
      <c r="D396" s="331"/>
      <c r="E396" s="331"/>
      <c r="F396" s="331"/>
      <c r="G396" s="331"/>
      <c r="H396" s="331"/>
      <c r="I396" s="331"/>
      <c r="J396" s="339"/>
      <c r="K396" s="339"/>
      <c r="L396" s="339"/>
      <c r="M396" s="331"/>
      <c r="N396" s="306"/>
      <c r="O396" s="307"/>
      <c r="P396" s="308"/>
      <c r="Q396" s="309"/>
      <c r="R396" s="309"/>
      <c r="S396" s="306"/>
      <c r="T396" s="331"/>
      <c r="U396" s="331"/>
      <c r="V396" s="331"/>
      <c r="W396" s="331"/>
      <c r="X396" s="331"/>
      <c r="Y396" s="331"/>
      <c r="Z396" s="331"/>
    </row>
    <row r="397">
      <c r="A397" s="331"/>
      <c r="B397" s="331"/>
      <c r="C397" s="331"/>
      <c r="D397" s="331"/>
      <c r="E397" s="331"/>
      <c r="F397" s="331"/>
      <c r="G397" s="331"/>
      <c r="H397" s="331"/>
      <c r="I397" s="331"/>
      <c r="J397" s="339"/>
      <c r="K397" s="339"/>
      <c r="L397" s="339"/>
      <c r="M397" s="331"/>
      <c r="N397" s="306"/>
      <c r="O397" s="307"/>
      <c r="P397" s="308"/>
      <c r="Q397" s="309"/>
      <c r="R397" s="309"/>
      <c r="S397" s="306"/>
      <c r="T397" s="331"/>
      <c r="U397" s="331"/>
      <c r="V397" s="331"/>
      <c r="W397" s="331"/>
      <c r="X397" s="331"/>
      <c r="Y397" s="331"/>
      <c r="Z397" s="331"/>
    </row>
    <row r="398">
      <c r="A398" s="331"/>
      <c r="B398" s="331"/>
      <c r="C398" s="331"/>
      <c r="D398" s="331"/>
      <c r="E398" s="331"/>
      <c r="F398" s="331"/>
      <c r="G398" s="331"/>
      <c r="H398" s="331"/>
      <c r="I398" s="331"/>
      <c r="J398" s="339"/>
      <c r="K398" s="339"/>
      <c r="L398" s="339"/>
      <c r="M398" s="331"/>
      <c r="N398" s="306"/>
      <c r="O398" s="307"/>
      <c r="P398" s="308"/>
      <c r="Q398" s="309"/>
      <c r="R398" s="309"/>
      <c r="S398" s="306"/>
      <c r="T398" s="331"/>
      <c r="U398" s="331"/>
      <c r="V398" s="331"/>
      <c r="W398" s="331"/>
      <c r="X398" s="331"/>
      <c r="Y398" s="331"/>
      <c r="Z398" s="331"/>
    </row>
    <row r="399">
      <c r="A399" s="331"/>
      <c r="B399" s="331"/>
      <c r="C399" s="331"/>
      <c r="D399" s="331"/>
      <c r="E399" s="331"/>
      <c r="F399" s="331"/>
      <c r="G399" s="331"/>
      <c r="H399" s="331"/>
      <c r="I399" s="331"/>
      <c r="J399" s="339"/>
      <c r="K399" s="339"/>
      <c r="L399" s="339"/>
      <c r="M399" s="331"/>
      <c r="N399" s="306"/>
      <c r="O399" s="307"/>
      <c r="P399" s="308"/>
      <c r="Q399" s="309"/>
      <c r="R399" s="309"/>
      <c r="S399" s="306"/>
      <c r="T399" s="331"/>
      <c r="U399" s="331"/>
      <c r="V399" s="331"/>
      <c r="W399" s="331"/>
      <c r="X399" s="331"/>
      <c r="Y399" s="331"/>
      <c r="Z399" s="331"/>
    </row>
    <row r="400">
      <c r="A400" s="331"/>
      <c r="B400" s="331"/>
      <c r="C400" s="331"/>
      <c r="D400" s="331"/>
      <c r="E400" s="331"/>
      <c r="F400" s="331"/>
      <c r="G400" s="331"/>
      <c r="H400" s="331"/>
      <c r="I400" s="331"/>
      <c r="J400" s="339"/>
      <c r="K400" s="339"/>
      <c r="L400" s="339"/>
      <c r="M400" s="331"/>
      <c r="N400" s="306"/>
      <c r="O400" s="307"/>
      <c r="P400" s="308"/>
      <c r="Q400" s="309"/>
      <c r="R400" s="309"/>
      <c r="S400" s="306"/>
      <c r="T400" s="331"/>
      <c r="U400" s="331"/>
      <c r="V400" s="331"/>
      <c r="W400" s="331"/>
      <c r="X400" s="331"/>
      <c r="Y400" s="331"/>
      <c r="Z400" s="331"/>
    </row>
    <row r="401">
      <c r="A401" s="331"/>
      <c r="B401" s="331"/>
      <c r="C401" s="331"/>
      <c r="D401" s="331"/>
      <c r="E401" s="331"/>
      <c r="F401" s="331"/>
      <c r="G401" s="331"/>
      <c r="H401" s="331"/>
      <c r="I401" s="331"/>
      <c r="J401" s="339"/>
      <c r="K401" s="339"/>
      <c r="L401" s="339"/>
      <c r="M401" s="331"/>
      <c r="N401" s="306"/>
      <c r="O401" s="307"/>
      <c r="P401" s="308"/>
      <c r="Q401" s="309"/>
      <c r="R401" s="309"/>
      <c r="S401" s="306"/>
      <c r="T401" s="331"/>
      <c r="U401" s="331"/>
      <c r="V401" s="331"/>
      <c r="W401" s="331"/>
      <c r="X401" s="331"/>
      <c r="Y401" s="331"/>
      <c r="Z401" s="331"/>
    </row>
    <row r="402">
      <c r="A402" s="331"/>
      <c r="B402" s="331"/>
      <c r="C402" s="331"/>
      <c r="D402" s="331"/>
      <c r="E402" s="331"/>
      <c r="F402" s="331"/>
      <c r="G402" s="331"/>
      <c r="H402" s="331"/>
      <c r="I402" s="331"/>
      <c r="J402" s="339"/>
      <c r="K402" s="339"/>
      <c r="L402" s="339"/>
      <c r="M402" s="331"/>
      <c r="N402" s="306"/>
      <c r="O402" s="307"/>
      <c r="P402" s="308"/>
      <c r="Q402" s="309"/>
      <c r="R402" s="309"/>
      <c r="S402" s="306"/>
      <c r="T402" s="331"/>
      <c r="U402" s="331"/>
      <c r="V402" s="331"/>
      <c r="W402" s="331"/>
      <c r="X402" s="331"/>
      <c r="Y402" s="331"/>
      <c r="Z402" s="331"/>
    </row>
    <row r="403">
      <c r="A403" s="331"/>
      <c r="B403" s="331"/>
      <c r="C403" s="331"/>
      <c r="D403" s="331"/>
      <c r="E403" s="331"/>
      <c r="F403" s="331"/>
      <c r="G403" s="331"/>
      <c r="H403" s="331"/>
      <c r="I403" s="331"/>
      <c r="J403" s="339"/>
      <c r="K403" s="339"/>
      <c r="L403" s="339"/>
      <c r="M403" s="331"/>
      <c r="N403" s="306"/>
      <c r="O403" s="307"/>
      <c r="P403" s="308"/>
      <c r="Q403" s="309"/>
      <c r="R403" s="309"/>
      <c r="S403" s="306"/>
      <c r="T403" s="331"/>
      <c r="U403" s="331"/>
      <c r="V403" s="331"/>
      <c r="W403" s="331"/>
      <c r="X403" s="331"/>
      <c r="Y403" s="331"/>
      <c r="Z403" s="331"/>
    </row>
    <row r="404">
      <c r="A404" s="331"/>
      <c r="B404" s="331"/>
      <c r="C404" s="331"/>
      <c r="D404" s="331"/>
      <c r="E404" s="331"/>
      <c r="F404" s="331"/>
      <c r="G404" s="331"/>
      <c r="H404" s="331"/>
      <c r="I404" s="331"/>
      <c r="J404" s="339"/>
      <c r="K404" s="339"/>
      <c r="L404" s="339"/>
      <c r="M404" s="331"/>
      <c r="N404" s="306"/>
      <c r="O404" s="307"/>
      <c r="P404" s="308"/>
      <c r="Q404" s="309"/>
      <c r="R404" s="309"/>
      <c r="S404" s="306"/>
      <c r="T404" s="331"/>
      <c r="U404" s="331"/>
      <c r="V404" s="331"/>
      <c r="W404" s="331"/>
      <c r="X404" s="331"/>
      <c r="Y404" s="331"/>
      <c r="Z404" s="331"/>
    </row>
    <row r="405">
      <c r="A405" s="331"/>
      <c r="B405" s="331"/>
      <c r="C405" s="331"/>
      <c r="D405" s="331"/>
      <c r="E405" s="331"/>
      <c r="F405" s="331"/>
      <c r="G405" s="331"/>
      <c r="H405" s="331"/>
      <c r="I405" s="331"/>
      <c r="J405" s="339"/>
      <c r="K405" s="339"/>
      <c r="L405" s="339"/>
      <c r="M405" s="331"/>
      <c r="N405" s="306"/>
      <c r="O405" s="307"/>
      <c r="P405" s="308"/>
      <c r="Q405" s="309"/>
      <c r="R405" s="309"/>
      <c r="S405" s="306"/>
      <c r="T405" s="331"/>
      <c r="U405" s="331"/>
      <c r="V405" s="331"/>
      <c r="W405" s="331"/>
      <c r="X405" s="331"/>
      <c r="Y405" s="331"/>
      <c r="Z405" s="331"/>
    </row>
    <row r="406">
      <c r="A406" s="331"/>
      <c r="B406" s="331"/>
      <c r="C406" s="331"/>
      <c r="D406" s="331"/>
      <c r="E406" s="331"/>
      <c r="F406" s="331"/>
      <c r="G406" s="331"/>
      <c r="H406" s="331"/>
      <c r="I406" s="331"/>
      <c r="J406" s="339"/>
      <c r="K406" s="339"/>
      <c r="L406" s="339"/>
      <c r="M406" s="331"/>
      <c r="N406" s="306"/>
      <c r="O406" s="307"/>
      <c r="P406" s="308"/>
      <c r="Q406" s="309"/>
      <c r="R406" s="309"/>
      <c r="S406" s="306"/>
      <c r="T406" s="331"/>
      <c r="U406" s="331"/>
      <c r="V406" s="331"/>
      <c r="W406" s="331"/>
      <c r="X406" s="331"/>
      <c r="Y406" s="331"/>
      <c r="Z406" s="331"/>
    </row>
    <row r="407">
      <c r="A407" s="331"/>
      <c r="B407" s="331"/>
      <c r="C407" s="331"/>
      <c r="D407" s="331"/>
      <c r="E407" s="331"/>
      <c r="F407" s="331"/>
      <c r="G407" s="331"/>
      <c r="H407" s="331"/>
      <c r="I407" s="331"/>
      <c r="J407" s="339"/>
      <c r="K407" s="339"/>
      <c r="L407" s="339"/>
      <c r="M407" s="331"/>
      <c r="N407" s="306"/>
      <c r="O407" s="307"/>
      <c r="P407" s="308"/>
      <c r="Q407" s="309"/>
      <c r="R407" s="309"/>
      <c r="S407" s="306"/>
      <c r="T407" s="331"/>
      <c r="U407" s="331"/>
      <c r="V407" s="331"/>
      <c r="W407" s="331"/>
      <c r="X407" s="331"/>
      <c r="Y407" s="331"/>
      <c r="Z407" s="331"/>
    </row>
    <row r="408">
      <c r="A408" s="331"/>
      <c r="B408" s="331"/>
      <c r="C408" s="331"/>
      <c r="D408" s="331"/>
      <c r="E408" s="331"/>
      <c r="F408" s="331"/>
      <c r="G408" s="331"/>
      <c r="H408" s="331"/>
      <c r="I408" s="331"/>
      <c r="J408" s="339"/>
      <c r="K408" s="339"/>
      <c r="L408" s="339"/>
      <c r="M408" s="331"/>
      <c r="N408" s="306"/>
      <c r="O408" s="307"/>
      <c r="P408" s="308"/>
      <c r="Q408" s="309"/>
      <c r="R408" s="309"/>
      <c r="S408" s="306"/>
      <c r="T408" s="331"/>
      <c r="U408" s="331"/>
      <c r="V408" s="331"/>
      <c r="W408" s="331"/>
      <c r="X408" s="331"/>
      <c r="Y408" s="331"/>
      <c r="Z408" s="331"/>
    </row>
    <row r="409">
      <c r="A409" s="331"/>
      <c r="B409" s="331"/>
      <c r="C409" s="331"/>
      <c r="D409" s="331"/>
      <c r="E409" s="331"/>
      <c r="F409" s="331"/>
      <c r="G409" s="331"/>
      <c r="H409" s="331"/>
      <c r="I409" s="331"/>
      <c r="J409" s="339"/>
      <c r="K409" s="339"/>
      <c r="L409" s="339"/>
      <c r="M409" s="331"/>
      <c r="N409" s="306"/>
      <c r="O409" s="307"/>
      <c r="P409" s="308"/>
      <c r="Q409" s="309"/>
      <c r="R409" s="309"/>
      <c r="S409" s="306"/>
      <c r="T409" s="331"/>
      <c r="U409" s="331"/>
      <c r="V409" s="331"/>
      <c r="W409" s="331"/>
      <c r="X409" s="331"/>
      <c r="Y409" s="331"/>
      <c r="Z409" s="331"/>
    </row>
    <row r="410">
      <c r="A410" s="331"/>
      <c r="B410" s="331"/>
      <c r="C410" s="331"/>
      <c r="D410" s="331"/>
      <c r="E410" s="331"/>
      <c r="F410" s="331"/>
      <c r="G410" s="331"/>
      <c r="H410" s="331"/>
      <c r="I410" s="331"/>
      <c r="J410" s="339"/>
      <c r="K410" s="339"/>
      <c r="L410" s="339"/>
      <c r="M410" s="331"/>
      <c r="N410" s="306"/>
      <c r="O410" s="307"/>
      <c r="P410" s="308"/>
      <c r="Q410" s="309"/>
      <c r="R410" s="309"/>
      <c r="S410" s="306"/>
      <c r="T410" s="331"/>
      <c r="U410" s="331"/>
      <c r="V410" s="331"/>
      <c r="W410" s="331"/>
      <c r="X410" s="331"/>
      <c r="Y410" s="331"/>
      <c r="Z410" s="331"/>
    </row>
    <row r="411">
      <c r="A411" s="331"/>
      <c r="B411" s="331"/>
      <c r="C411" s="331"/>
      <c r="D411" s="331"/>
      <c r="E411" s="331"/>
      <c r="F411" s="331"/>
      <c r="G411" s="331"/>
      <c r="H411" s="331"/>
      <c r="I411" s="331"/>
      <c r="J411" s="339"/>
      <c r="K411" s="339"/>
      <c r="L411" s="339"/>
      <c r="M411" s="331"/>
      <c r="N411" s="306"/>
      <c r="O411" s="307"/>
      <c r="P411" s="308"/>
      <c r="Q411" s="309"/>
      <c r="R411" s="309"/>
      <c r="S411" s="306"/>
      <c r="T411" s="331"/>
      <c r="U411" s="331"/>
      <c r="V411" s="331"/>
      <c r="W411" s="331"/>
      <c r="X411" s="331"/>
      <c r="Y411" s="331"/>
      <c r="Z411" s="331"/>
    </row>
    <row r="412">
      <c r="A412" s="331"/>
      <c r="B412" s="331"/>
      <c r="C412" s="331"/>
      <c r="D412" s="331"/>
      <c r="E412" s="331"/>
      <c r="F412" s="331"/>
      <c r="G412" s="331"/>
      <c r="H412" s="331"/>
      <c r="I412" s="331"/>
      <c r="J412" s="339"/>
      <c r="K412" s="339"/>
      <c r="L412" s="339"/>
      <c r="M412" s="331"/>
      <c r="N412" s="306"/>
      <c r="O412" s="307"/>
      <c r="P412" s="308"/>
      <c r="Q412" s="309"/>
      <c r="R412" s="309"/>
      <c r="S412" s="306"/>
      <c r="T412" s="331"/>
      <c r="U412" s="331"/>
      <c r="V412" s="331"/>
      <c r="W412" s="331"/>
      <c r="X412" s="331"/>
      <c r="Y412" s="331"/>
      <c r="Z412" s="331"/>
    </row>
    <row r="413">
      <c r="A413" s="331"/>
      <c r="B413" s="331"/>
      <c r="C413" s="331"/>
      <c r="D413" s="331"/>
      <c r="E413" s="331"/>
      <c r="F413" s="331"/>
      <c r="G413" s="331"/>
      <c r="H413" s="331"/>
      <c r="I413" s="331"/>
      <c r="J413" s="339"/>
      <c r="K413" s="339"/>
      <c r="L413" s="339"/>
      <c r="M413" s="331"/>
      <c r="N413" s="306"/>
      <c r="O413" s="307"/>
      <c r="P413" s="308"/>
      <c r="Q413" s="309"/>
      <c r="R413" s="309"/>
      <c r="S413" s="306"/>
      <c r="T413" s="331"/>
      <c r="U413" s="331"/>
      <c r="V413" s="331"/>
      <c r="W413" s="331"/>
      <c r="X413" s="331"/>
      <c r="Y413" s="331"/>
      <c r="Z413" s="331"/>
    </row>
    <row r="414">
      <c r="A414" s="331"/>
      <c r="B414" s="331"/>
      <c r="C414" s="331"/>
      <c r="D414" s="331"/>
      <c r="E414" s="331"/>
      <c r="F414" s="331"/>
      <c r="G414" s="331"/>
      <c r="H414" s="331"/>
      <c r="I414" s="331"/>
      <c r="J414" s="339"/>
      <c r="K414" s="339"/>
      <c r="L414" s="339"/>
      <c r="M414" s="331"/>
      <c r="N414" s="306"/>
      <c r="O414" s="307"/>
      <c r="P414" s="308"/>
      <c r="Q414" s="309"/>
      <c r="R414" s="309"/>
      <c r="S414" s="306"/>
      <c r="T414" s="331"/>
      <c r="U414" s="331"/>
      <c r="V414" s="331"/>
      <c r="W414" s="331"/>
      <c r="X414" s="331"/>
      <c r="Y414" s="331"/>
      <c r="Z414" s="331"/>
    </row>
    <row r="415">
      <c r="A415" s="331"/>
      <c r="B415" s="331"/>
      <c r="C415" s="331"/>
      <c r="D415" s="331"/>
      <c r="E415" s="331"/>
      <c r="F415" s="331"/>
      <c r="G415" s="331"/>
      <c r="H415" s="331"/>
      <c r="I415" s="331"/>
      <c r="J415" s="339"/>
      <c r="K415" s="339"/>
      <c r="L415" s="339"/>
      <c r="M415" s="331"/>
      <c r="N415" s="306"/>
      <c r="O415" s="307"/>
      <c r="P415" s="308"/>
      <c r="Q415" s="309"/>
      <c r="R415" s="309"/>
      <c r="S415" s="306"/>
      <c r="T415" s="331"/>
      <c r="U415" s="331"/>
      <c r="V415" s="331"/>
      <c r="W415" s="331"/>
      <c r="X415" s="331"/>
      <c r="Y415" s="331"/>
      <c r="Z415" s="331"/>
    </row>
    <row r="416">
      <c r="A416" s="331"/>
      <c r="B416" s="331"/>
      <c r="C416" s="331"/>
      <c r="D416" s="331"/>
      <c r="E416" s="331"/>
      <c r="F416" s="331"/>
      <c r="G416" s="331"/>
      <c r="H416" s="331"/>
      <c r="I416" s="331"/>
      <c r="J416" s="339"/>
      <c r="K416" s="339"/>
      <c r="L416" s="339"/>
      <c r="M416" s="331"/>
      <c r="N416" s="306"/>
      <c r="O416" s="307"/>
      <c r="P416" s="308"/>
      <c r="Q416" s="309"/>
      <c r="R416" s="309"/>
      <c r="S416" s="306"/>
      <c r="T416" s="331"/>
      <c r="U416" s="331"/>
      <c r="V416" s="331"/>
      <c r="W416" s="331"/>
      <c r="X416" s="331"/>
      <c r="Y416" s="331"/>
      <c r="Z416" s="331"/>
    </row>
    <row r="417">
      <c r="A417" s="331"/>
      <c r="B417" s="331"/>
      <c r="C417" s="331"/>
      <c r="D417" s="331"/>
      <c r="E417" s="331"/>
      <c r="F417" s="331"/>
      <c r="G417" s="331"/>
      <c r="H417" s="331"/>
      <c r="I417" s="331"/>
      <c r="J417" s="339"/>
      <c r="K417" s="339"/>
      <c r="L417" s="339"/>
      <c r="M417" s="331"/>
      <c r="N417" s="306"/>
      <c r="O417" s="307"/>
      <c r="P417" s="308"/>
      <c r="Q417" s="309"/>
      <c r="R417" s="309"/>
      <c r="S417" s="306"/>
      <c r="T417" s="331"/>
      <c r="U417" s="331"/>
      <c r="V417" s="331"/>
      <c r="W417" s="331"/>
      <c r="X417" s="331"/>
      <c r="Y417" s="331"/>
      <c r="Z417" s="331"/>
    </row>
    <row r="418">
      <c r="A418" s="331"/>
      <c r="B418" s="331"/>
      <c r="C418" s="331"/>
      <c r="D418" s="331"/>
      <c r="E418" s="331"/>
      <c r="F418" s="331"/>
      <c r="G418" s="331"/>
      <c r="H418" s="331"/>
      <c r="I418" s="331"/>
      <c r="J418" s="339"/>
      <c r="K418" s="339"/>
      <c r="L418" s="339"/>
      <c r="M418" s="331"/>
      <c r="N418" s="306"/>
      <c r="O418" s="307"/>
      <c r="P418" s="308"/>
      <c r="Q418" s="309"/>
      <c r="R418" s="309"/>
      <c r="S418" s="306"/>
      <c r="T418" s="331"/>
      <c r="U418" s="331"/>
      <c r="V418" s="331"/>
      <c r="W418" s="331"/>
      <c r="X418" s="331"/>
      <c r="Y418" s="331"/>
      <c r="Z418" s="331"/>
    </row>
    <row r="419">
      <c r="A419" s="331"/>
      <c r="B419" s="331"/>
      <c r="C419" s="331"/>
      <c r="D419" s="331"/>
      <c r="E419" s="331"/>
      <c r="F419" s="331"/>
      <c r="G419" s="331"/>
      <c r="H419" s="331"/>
      <c r="I419" s="331"/>
      <c r="J419" s="339"/>
      <c r="K419" s="339"/>
      <c r="L419" s="339"/>
      <c r="M419" s="331"/>
      <c r="N419" s="306"/>
      <c r="O419" s="307"/>
      <c r="P419" s="308"/>
      <c r="Q419" s="309"/>
      <c r="R419" s="309"/>
      <c r="S419" s="306"/>
      <c r="T419" s="331"/>
      <c r="U419" s="331"/>
      <c r="V419" s="331"/>
      <c r="W419" s="331"/>
      <c r="X419" s="331"/>
      <c r="Y419" s="331"/>
      <c r="Z419" s="331"/>
    </row>
    <row r="420">
      <c r="A420" s="331"/>
      <c r="B420" s="331"/>
      <c r="C420" s="331"/>
      <c r="D420" s="331"/>
      <c r="E420" s="331"/>
      <c r="F420" s="331"/>
      <c r="G420" s="331"/>
      <c r="H420" s="331"/>
      <c r="I420" s="331"/>
      <c r="J420" s="339"/>
      <c r="K420" s="339"/>
      <c r="L420" s="339"/>
      <c r="M420" s="331"/>
      <c r="N420" s="306"/>
      <c r="O420" s="307"/>
      <c r="P420" s="308"/>
      <c r="Q420" s="309"/>
      <c r="R420" s="309"/>
      <c r="S420" s="306"/>
      <c r="T420" s="331"/>
      <c r="U420" s="331"/>
      <c r="V420" s="331"/>
      <c r="W420" s="331"/>
      <c r="X420" s="331"/>
      <c r="Y420" s="331"/>
      <c r="Z420" s="331"/>
    </row>
    <row r="421">
      <c r="A421" s="331"/>
      <c r="B421" s="331"/>
      <c r="C421" s="331"/>
      <c r="D421" s="331"/>
      <c r="E421" s="331"/>
      <c r="F421" s="331"/>
      <c r="G421" s="331"/>
      <c r="H421" s="331"/>
      <c r="I421" s="331"/>
      <c r="J421" s="339"/>
      <c r="K421" s="339"/>
      <c r="L421" s="339"/>
      <c r="M421" s="331"/>
      <c r="N421" s="306"/>
      <c r="O421" s="307"/>
      <c r="P421" s="308"/>
      <c r="Q421" s="309"/>
      <c r="R421" s="309"/>
      <c r="S421" s="306"/>
      <c r="T421" s="331"/>
      <c r="U421" s="331"/>
      <c r="V421" s="331"/>
      <c r="W421" s="331"/>
      <c r="X421" s="331"/>
      <c r="Y421" s="331"/>
      <c r="Z421" s="331"/>
    </row>
    <row r="422">
      <c r="A422" s="331"/>
      <c r="B422" s="331"/>
      <c r="C422" s="331"/>
      <c r="D422" s="331"/>
      <c r="E422" s="331"/>
      <c r="F422" s="331"/>
      <c r="G422" s="331"/>
      <c r="H422" s="331"/>
      <c r="I422" s="331"/>
      <c r="J422" s="339"/>
      <c r="K422" s="339"/>
      <c r="L422" s="339"/>
      <c r="M422" s="331"/>
      <c r="N422" s="306"/>
      <c r="O422" s="307"/>
      <c r="P422" s="308"/>
      <c r="Q422" s="309"/>
      <c r="R422" s="309"/>
      <c r="S422" s="306"/>
      <c r="T422" s="331"/>
      <c r="U422" s="331"/>
      <c r="V422" s="331"/>
      <c r="W422" s="331"/>
      <c r="X422" s="331"/>
      <c r="Y422" s="331"/>
      <c r="Z422" s="331"/>
    </row>
    <row r="423">
      <c r="A423" s="331"/>
      <c r="B423" s="331"/>
      <c r="C423" s="331"/>
      <c r="D423" s="331"/>
      <c r="E423" s="331"/>
      <c r="F423" s="331"/>
      <c r="G423" s="331"/>
      <c r="H423" s="331"/>
      <c r="I423" s="331"/>
      <c r="J423" s="339"/>
      <c r="K423" s="339"/>
      <c r="L423" s="339"/>
      <c r="M423" s="331"/>
      <c r="N423" s="306"/>
      <c r="O423" s="307"/>
      <c r="P423" s="308"/>
      <c r="Q423" s="309"/>
      <c r="R423" s="309"/>
      <c r="S423" s="306"/>
      <c r="T423" s="331"/>
      <c r="U423" s="331"/>
      <c r="V423" s="331"/>
      <c r="W423" s="331"/>
      <c r="X423" s="331"/>
      <c r="Y423" s="331"/>
      <c r="Z423" s="331"/>
    </row>
    <row r="424">
      <c r="A424" s="331"/>
      <c r="B424" s="331"/>
      <c r="C424" s="331"/>
      <c r="D424" s="331"/>
      <c r="E424" s="331"/>
      <c r="F424" s="331"/>
      <c r="G424" s="331"/>
      <c r="H424" s="331"/>
      <c r="I424" s="331"/>
      <c r="J424" s="339"/>
      <c r="K424" s="339"/>
      <c r="L424" s="339"/>
      <c r="M424" s="331"/>
      <c r="N424" s="306"/>
      <c r="O424" s="307"/>
      <c r="P424" s="308"/>
      <c r="Q424" s="309"/>
      <c r="R424" s="309"/>
      <c r="S424" s="306"/>
      <c r="T424" s="331"/>
      <c r="U424" s="331"/>
      <c r="V424" s="331"/>
      <c r="W424" s="331"/>
      <c r="X424" s="331"/>
      <c r="Y424" s="331"/>
      <c r="Z424" s="331"/>
    </row>
    <row r="425">
      <c r="A425" s="331"/>
      <c r="B425" s="331"/>
      <c r="C425" s="331"/>
      <c r="D425" s="331"/>
      <c r="E425" s="331"/>
      <c r="F425" s="331"/>
      <c r="G425" s="331"/>
      <c r="H425" s="331"/>
      <c r="I425" s="331"/>
      <c r="J425" s="339"/>
      <c r="K425" s="339"/>
      <c r="L425" s="339"/>
      <c r="M425" s="331"/>
      <c r="N425" s="306"/>
      <c r="O425" s="307"/>
      <c r="P425" s="308"/>
      <c r="Q425" s="309"/>
      <c r="R425" s="309"/>
      <c r="S425" s="306"/>
      <c r="T425" s="331"/>
      <c r="U425" s="331"/>
      <c r="V425" s="331"/>
      <c r="W425" s="331"/>
      <c r="X425" s="331"/>
      <c r="Y425" s="331"/>
      <c r="Z425" s="331"/>
    </row>
    <row r="426">
      <c r="A426" s="331"/>
      <c r="B426" s="331"/>
      <c r="C426" s="331"/>
      <c r="D426" s="331"/>
      <c r="E426" s="331"/>
      <c r="F426" s="331"/>
      <c r="G426" s="331"/>
      <c r="H426" s="331"/>
      <c r="I426" s="331"/>
      <c r="J426" s="339"/>
      <c r="K426" s="339"/>
      <c r="L426" s="339"/>
      <c r="M426" s="331"/>
      <c r="N426" s="306"/>
      <c r="O426" s="307"/>
      <c r="P426" s="308"/>
      <c r="Q426" s="309"/>
      <c r="R426" s="309"/>
      <c r="S426" s="306"/>
      <c r="T426" s="331"/>
      <c r="U426" s="331"/>
      <c r="V426" s="331"/>
      <c r="W426" s="331"/>
      <c r="X426" s="331"/>
      <c r="Y426" s="331"/>
      <c r="Z426" s="331"/>
    </row>
    <row r="427">
      <c r="A427" s="331"/>
      <c r="B427" s="331"/>
      <c r="C427" s="331"/>
      <c r="D427" s="331"/>
      <c r="E427" s="331"/>
      <c r="F427" s="331"/>
      <c r="G427" s="331"/>
      <c r="H427" s="331"/>
      <c r="I427" s="331"/>
      <c r="J427" s="339"/>
      <c r="K427" s="339"/>
      <c r="L427" s="339"/>
      <c r="M427" s="331"/>
      <c r="N427" s="306"/>
      <c r="O427" s="307"/>
      <c r="P427" s="308"/>
      <c r="Q427" s="309"/>
      <c r="R427" s="309"/>
      <c r="S427" s="306"/>
      <c r="T427" s="331"/>
      <c r="U427" s="331"/>
      <c r="V427" s="331"/>
      <c r="W427" s="331"/>
      <c r="X427" s="331"/>
      <c r="Y427" s="331"/>
      <c r="Z427" s="331"/>
    </row>
    <row r="428">
      <c r="A428" s="331"/>
      <c r="B428" s="331"/>
      <c r="C428" s="331"/>
      <c r="D428" s="331"/>
      <c r="E428" s="331"/>
      <c r="F428" s="331"/>
      <c r="G428" s="331"/>
      <c r="H428" s="331"/>
      <c r="I428" s="331"/>
      <c r="J428" s="339"/>
      <c r="K428" s="339"/>
      <c r="L428" s="339"/>
      <c r="M428" s="331"/>
      <c r="N428" s="306"/>
      <c r="O428" s="307"/>
      <c r="P428" s="308"/>
      <c r="Q428" s="309"/>
      <c r="R428" s="309"/>
      <c r="S428" s="306"/>
      <c r="T428" s="331"/>
      <c r="U428" s="331"/>
      <c r="V428" s="331"/>
      <c r="W428" s="331"/>
      <c r="X428" s="331"/>
      <c r="Y428" s="331"/>
      <c r="Z428" s="331"/>
    </row>
    <row r="429">
      <c r="A429" s="331"/>
      <c r="B429" s="331"/>
      <c r="C429" s="331"/>
      <c r="D429" s="331"/>
      <c r="E429" s="331"/>
      <c r="F429" s="331"/>
      <c r="G429" s="331"/>
      <c r="H429" s="331"/>
      <c r="I429" s="331"/>
      <c r="J429" s="339"/>
      <c r="K429" s="339"/>
      <c r="L429" s="339"/>
      <c r="M429" s="331"/>
      <c r="N429" s="303"/>
      <c r="O429" s="307"/>
      <c r="P429" s="98"/>
      <c r="Q429" s="309"/>
      <c r="R429" s="309"/>
      <c r="S429" s="303"/>
      <c r="T429" s="331"/>
      <c r="U429" s="331"/>
      <c r="V429" s="331"/>
      <c r="W429" s="331"/>
      <c r="X429" s="331"/>
      <c r="Y429" s="331"/>
      <c r="Z429" s="331"/>
    </row>
    <row r="430">
      <c r="A430" s="331"/>
      <c r="B430" s="331"/>
      <c r="C430" s="331"/>
      <c r="D430" s="331"/>
      <c r="E430" s="331"/>
      <c r="F430" s="331"/>
      <c r="G430" s="331"/>
      <c r="H430" s="331"/>
      <c r="I430" s="331"/>
      <c r="J430" s="339"/>
      <c r="K430" s="339"/>
      <c r="L430" s="339"/>
      <c r="M430" s="331"/>
      <c r="N430" s="303"/>
      <c r="O430" s="307"/>
      <c r="P430" s="98"/>
      <c r="Q430" s="309"/>
      <c r="R430" s="309"/>
      <c r="S430" s="303"/>
      <c r="T430" s="331"/>
      <c r="U430" s="331"/>
      <c r="V430" s="331"/>
      <c r="W430" s="331"/>
      <c r="X430" s="331"/>
      <c r="Y430" s="331"/>
      <c r="Z430" s="331"/>
    </row>
    <row r="431">
      <c r="A431" s="331"/>
      <c r="B431" s="331"/>
      <c r="C431" s="331"/>
      <c r="D431" s="331"/>
      <c r="E431" s="331"/>
      <c r="F431" s="331"/>
      <c r="G431" s="331"/>
      <c r="H431" s="331"/>
      <c r="I431" s="331"/>
      <c r="J431" s="339"/>
      <c r="K431" s="339"/>
      <c r="L431" s="339"/>
      <c r="M431" s="331"/>
      <c r="N431" s="303"/>
      <c r="O431" s="307"/>
      <c r="P431" s="98"/>
      <c r="Q431" s="309"/>
      <c r="R431" s="309"/>
      <c r="S431" s="303"/>
      <c r="T431" s="331"/>
      <c r="U431" s="331"/>
      <c r="V431" s="331"/>
      <c r="W431" s="331"/>
      <c r="X431" s="331"/>
      <c r="Y431" s="331"/>
      <c r="Z431" s="331"/>
    </row>
    <row r="432">
      <c r="A432" s="331"/>
      <c r="B432" s="331"/>
      <c r="C432" s="331"/>
      <c r="D432" s="331"/>
      <c r="E432" s="331"/>
      <c r="F432" s="331"/>
      <c r="G432" s="331"/>
      <c r="H432" s="331"/>
      <c r="I432" s="331"/>
      <c r="J432" s="339"/>
      <c r="K432" s="339"/>
      <c r="L432" s="339"/>
      <c r="M432" s="331"/>
      <c r="N432" s="303"/>
      <c r="O432" s="307"/>
      <c r="P432" s="98"/>
      <c r="Q432" s="309"/>
      <c r="R432" s="309"/>
      <c r="S432" s="303"/>
      <c r="T432" s="331"/>
      <c r="U432" s="331"/>
      <c r="V432" s="331"/>
      <c r="W432" s="331"/>
      <c r="X432" s="331"/>
      <c r="Y432" s="331"/>
      <c r="Z432" s="331"/>
    </row>
    <row r="433">
      <c r="A433" s="331"/>
      <c r="B433" s="331"/>
      <c r="C433" s="331"/>
      <c r="D433" s="331"/>
      <c r="E433" s="331"/>
      <c r="F433" s="331"/>
      <c r="G433" s="331"/>
      <c r="H433" s="331"/>
      <c r="I433" s="331"/>
      <c r="J433" s="339"/>
      <c r="K433" s="339"/>
      <c r="L433" s="339"/>
      <c r="M433" s="331"/>
      <c r="N433" s="303"/>
      <c r="O433" s="307"/>
      <c r="P433" s="98"/>
      <c r="Q433" s="309"/>
      <c r="R433" s="309"/>
      <c r="S433" s="303"/>
      <c r="T433" s="331"/>
      <c r="U433" s="331"/>
      <c r="V433" s="331"/>
      <c r="W433" s="331"/>
      <c r="X433" s="331"/>
      <c r="Y433" s="331"/>
      <c r="Z433" s="331"/>
    </row>
    <row r="434">
      <c r="A434" s="331"/>
      <c r="B434" s="331"/>
      <c r="C434" s="331"/>
      <c r="D434" s="331"/>
      <c r="E434" s="331"/>
      <c r="F434" s="331"/>
      <c r="G434" s="331"/>
      <c r="H434" s="331"/>
      <c r="I434" s="331"/>
      <c r="J434" s="339"/>
      <c r="K434" s="339"/>
      <c r="L434" s="339"/>
      <c r="M434" s="331"/>
      <c r="N434" s="303"/>
      <c r="O434" s="307"/>
      <c r="P434" s="98"/>
      <c r="Q434" s="309"/>
      <c r="R434" s="309"/>
      <c r="S434" s="303"/>
      <c r="T434" s="331"/>
      <c r="U434" s="331"/>
      <c r="V434" s="331"/>
      <c r="W434" s="331"/>
      <c r="X434" s="331"/>
      <c r="Y434" s="331"/>
      <c r="Z434" s="331"/>
    </row>
    <row r="435">
      <c r="A435" s="331"/>
      <c r="B435" s="331"/>
      <c r="C435" s="331"/>
      <c r="D435" s="331"/>
      <c r="E435" s="331"/>
      <c r="F435" s="331"/>
      <c r="G435" s="331"/>
      <c r="H435" s="331"/>
      <c r="I435" s="331"/>
      <c r="J435" s="339"/>
      <c r="K435" s="339"/>
      <c r="L435" s="339"/>
      <c r="M435" s="331"/>
      <c r="N435" s="303"/>
      <c r="O435" s="307"/>
      <c r="P435" s="98"/>
      <c r="Q435" s="309"/>
      <c r="R435" s="309"/>
      <c r="S435" s="303"/>
      <c r="T435" s="331"/>
      <c r="U435" s="331"/>
      <c r="V435" s="331"/>
      <c r="W435" s="331"/>
      <c r="X435" s="331"/>
      <c r="Y435" s="331"/>
      <c r="Z435" s="331"/>
    </row>
    <row r="436">
      <c r="A436" s="331"/>
      <c r="B436" s="331"/>
      <c r="C436" s="331"/>
      <c r="D436" s="331"/>
      <c r="E436" s="331"/>
      <c r="F436" s="331"/>
      <c r="G436" s="331"/>
      <c r="H436" s="331"/>
      <c r="I436" s="331"/>
      <c r="J436" s="339"/>
      <c r="K436" s="339"/>
      <c r="L436" s="339"/>
      <c r="M436" s="331"/>
      <c r="N436" s="303"/>
      <c r="O436" s="307"/>
      <c r="P436" s="98"/>
      <c r="Q436" s="309"/>
      <c r="R436" s="309"/>
      <c r="S436" s="303"/>
      <c r="T436" s="331"/>
      <c r="U436" s="331"/>
      <c r="V436" s="331"/>
      <c r="W436" s="331"/>
      <c r="X436" s="331"/>
      <c r="Y436" s="331"/>
      <c r="Z436" s="331"/>
    </row>
    <row r="437">
      <c r="A437" s="331"/>
      <c r="B437" s="331"/>
      <c r="C437" s="331"/>
      <c r="D437" s="331"/>
      <c r="E437" s="331"/>
      <c r="F437" s="331"/>
      <c r="G437" s="331"/>
      <c r="H437" s="331"/>
      <c r="I437" s="331"/>
      <c r="J437" s="339"/>
      <c r="K437" s="339"/>
      <c r="L437" s="339"/>
      <c r="M437" s="331"/>
      <c r="N437" s="303"/>
      <c r="O437" s="307"/>
      <c r="P437" s="98"/>
      <c r="Q437" s="309"/>
      <c r="R437" s="309"/>
      <c r="S437" s="303"/>
      <c r="T437" s="331"/>
      <c r="U437" s="331"/>
      <c r="V437" s="331"/>
      <c r="W437" s="331"/>
      <c r="X437" s="331"/>
      <c r="Y437" s="331"/>
      <c r="Z437" s="331"/>
    </row>
    <row r="438">
      <c r="A438" s="331"/>
      <c r="B438" s="331"/>
      <c r="C438" s="331"/>
      <c r="D438" s="331"/>
      <c r="E438" s="331"/>
      <c r="F438" s="331"/>
      <c r="G438" s="331"/>
      <c r="H438" s="331"/>
      <c r="I438" s="331"/>
      <c r="J438" s="339"/>
      <c r="K438" s="339"/>
      <c r="L438" s="339"/>
      <c r="M438" s="331"/>
      <c r="N438" s="303"/>
      <c r="O438" s="307"/>
      <c r="P438" s="98"/>
      <c r="Q438" s="309"/>
      <c r="R438" s="309"/>
      <c r="S438" s="303"/>
      <c r="T438" s="331"/>
      <c r="U438" s="331"/>
      <c r="V438" s="331"/>
      <c r="W438" s="331"/>
      <c r="X438" s="331"/>
      <c r="Y438" s="331"/>
      <c r="Z438" s="331"/>
    </row>
    <row r="439">
      <c r="A439" s="331"/>
      <c r="B439" s="331"/>
      <c r="C439" s="331"/>
      <c r="D439" s="331"/>
      <c r="E439" s="331"/>
      <c r="F439" s="331"/>
      <c r="G439" s="331"/>
      <c r="H439" s="331"/>
      <c r="I439" s="331"/>
      <c r="J439" s="339"/>
      <c r="K439" s="339"/>
      <c r="L439" s="339"/>
      <c r="M439" s="331"/>
      <c r="N439" s="303"/>
      <c r="O439" s="307"/>
      <c r="P439" s="98"/>
      <c r="Q439" s="309"/>
      <c r="R439" s="309"/>
      <c r="S439" s="303"/>
      <c r="T439" s="331"/>
      <c r="U439" s="331"/>
      <c r="V439" s="331"/>
      <c r="W439" s="331"/>
      <c r="X439" s="331"/>
      <c r="Y439" s="331"/>
      <c r="Z439" s="331"/>
    </row>
    <row r="440">
      <c r="A440" s="331"/>
      <c r="B440" s="331"/>
      <c r="C440" s="331"/>
      <c r="D440" s="331"/>
      <c r="E440" s="331"/>
      <c r="F440" s="331"/>
      <c r="G440" s="331"/>
      <c r="H440" s="331"/>
      <c r="I440" s="331"/>
      <c r="J440" s="339"/>
      <c r="K440" s="339"/>
      <c r="L440" s="339"/>
      <c r="M440" s="331"/>
      <c r="N440" s="303"/>
      <c r="O440" s="322"/>
      <c r="P440" s="323"/>
      <c r="Q440" s="324"/>
      <c r="R440" s="324"/>
      <c r="S440" s="303"/>
      <c r="T440" s="331"/>
      <c r="U440" s="331"/>
      <c r="V440" s="331"/>
      <c r="W440" s="331"/>
      <c r="X440" s="331"/>
      <c r="Y440" s="331"/>
      <c r="Z440" s="331"/>
    </row>
    <row r="441">
      <c r="A441" s="331"/>
      <c r="B441" s="331"/>
      <c r="C441" s="331"/>
      <c r="D441" s="331"/>
      <c r="E441" s="331"/>
      <c r="F441" s="331"/>
      <c r="G441" s="331"/>
      <c r="H441" s="331"/>
      <c r="I441" s="331"/>
      <c r="J441" s="339"/>
      <c r="K441" s="339"/>
      <c r="L441" s="339"/>
      <c r="M441" s="331"/>
      <c r="N441" s="303"/>
      <c r="O441" s="307"/>
      <c r="P441" s="98"/>
      <c r="Q441" s="309"/>
      <c r="R441" s="309"/>
      <c r="S441" s="303"/>
      <c r="T441" s="331"/>
      <c r="U441" s="331"/>
      <c r="V441" s="331"/>
      <c r="W441" s="331"/>
      <c r="X441" s="331"/>
      <c r="Y441" s="331"/>
      <c r="Z441" s="331"/>
    </row>
    <row r="442">
      <c r="A442" s="331"/>
      <c r="B442" s="331"/>
      <c r="C442" s="331"/>
      <c r="D442" s="331"/>
      <c r="E442" s="331"/>
      <c r="F442" s="331"/>
      <c r="G442" s="331"/>
      <c r="H442" s="331"/>
      <c r="I442" s="331"/>
      <c r="J442" s="339"/>
      <c r="K442" s="339"/>
      <c r="L442" s="339"/>
      <c r="M442" s="331"/>
      <c r="N442" s="303"/>
      <c r="O442" s="307"/>
      <c r="P442" s="98"/>
      <c r="Q442" s="309"/>
      <c r="R442" s="309"/>
      <c r="S442" s="303"/>
      <c r="T442" s="331"/>
      <c r="U442" s="331"/>
      <c r="V442" s="331"/>
      <c r="W442" s="331"/>
      <c r="X442" s="331"/>
      <c r="Y442" s="331"/>
      <c r="Z442" s="331"/>
    </row>
    <row r="443">
      <c r="A443" s="331"/>
      <c r="B443" s="331"/>
      <c r="C443" s="331"/>
      <c r="D443" s="331"/>
      <c r="E443" s="331"/>
      <c r="F443" s="331"/>
      <c r="G443" s="331"/>
      <c r="H443" s="331"/>
      <c r="I443" s="331"/>
      <c r="J443" s="339"/>
      <c r="K443" s="339"/>
      <c r="L443" s="339"/>
      <c r="M443" s="331"/>
      <c r="N443" s="303"/>
      <c r="O443" s="307"/>
      <c r="P443" s="98"/>
      <c r="Q443" s="309"/>
      <c r="R443" s="309"/>
      <c r="S443" s="303"/>
      <c r="T443" s="331"/>
      <c r="U443" s="331"/>
      <c r="V443" s="331"/>
      <c r="W443" s="331"/>
      <c r="X443" s="331"/>
      <c r="Y443" s="331"/>
      <c r="Z443" s="331"/>
    </row>
    <row r="444">
      <c r="A444" s="331"/>
      <c r="B444" s="331"/>
      <c r="C444" s="331"/>
      <c r="D444" s="331"/>
      <c r="E444" s="331"/>
      <c r="F444" s="331"/>
      <c r="G444" s="331"/>
      <c r="H444" s="331"/>
      <c r="I444" s="331"/>
      <c r="J444" s="339"/>
      <c r="K444" s="339"/>
      <c r="L444" s="339"/>
      <c r="M444" s="331"/>
      <c r="N444" s="303"/>
      <c r="O444" s="307"/>
      <c r="P444" s="98"/>
      <c r="Q444" s="309"/>
      <c r="R444" s="309"/>
      <c r="S444" s="303"/>
      <c r="T444" s="331"/>
      <c r="U444" s="331"/>
      <c r="V444" s="331"/>
      <c r="W444" s="331"/>
      <c r="X444" s="331"/>
      <c r="Y444" s="331"/>
      <c r="Z444" s="331"/>
    </row>
    <row r="445">
      <c r="A445" s="331"/>
      <c r="B445" s="331"/>
      <c r="C445" s="331"/>
      <c r="D445" s="331"/>
      <c r="E445" s="331"/>
      <c r="F445" s="331"/>
      <c r="G445" s="331"/>
      <c r="H445" s="331"/>
      <c r="I445" s="331"/>
      <c r="J445" s="339"/>
      <c r="K445" s="339"/>
      <c r="L445" s="339"/>
      <c r="M445" s="331"/>
      <c r="N445" s="303"/>
      <c r="O445" s="307"/>
      <c r="P445" s="98"/>
      <c r="Q445" s="309"/>
      <c r="R445" s="309"/>
      <c r="S445" s="303"/>
      <c r="T445" s="331"/>
      <c r="U445" s="331"/>
      <c r="V445" s="331"/>
      <c r="W445" s="331"/>
      <c r="X445" s="331"/>
      <c r="Y445" s="331"/>
      <c r="Z445" s="331"/>
    </row>
    <row r="446">
      <c r="A446" s="331"/>
      <c r="B446" s="331"/>
      <c r="C446" s="331"/>
      <c r="D446" s="331"/>
      <c r="E446" s="331"/>
      <c r="F446" s="331"/>
      <c r="G446" s="331"/>
      <c r="H446" s="331"/>
      <c r="I446" s="331"/>
      <c r="J446" s="339"/>
      <c r="K446" s="339"/>
      <c r="L446" s="339"/>
      <c r="M446" s="331"/>
      <c r="N446" s="303"/>
      <c r="O446" s="307"/>
      <c r="P446" s="98"/>
      <c r="Q446" s="309"/>
      <c r="R446" s="309"/>
      <c r="S446" s="303"/>
      <c r="T446" s="331"/>
      <c r="U446" s="331"/>
      <c r="V446" s="331"/>
      <c r="W446" s="331"/>
      <c r="X446" s="331"/>
      <c r="Y446" s="331"/>
      <c r="Z446" s="331"/>
    </row>
    <row r="447">
      <c r="A447" s="331"/>
      <c r="B447" s="331"/>
      <c r="C447" s="331"/>
      <c r="D447" s="331"/>
      <c r="E447" s="331"/>
      <c r="F447" s="331"/>
      <c r="G447" s="331"/>
      <c r="H447" s="331"/>
      <c r="I447" s="331"/>
      <c r="J447" s="339"/>
      <c r="K447" s="339"/>
      <c r="L447" s="339"/>
      <c r="M447" s="331"/>
      <c r="N447" s="303"/>
      <c r="O447" s="307"/>
      <c r="P447" s="98"/>
      <c r="Q447" s="309"/>
      <c r="R447" s="309"/>
      <c r="S447" s="303"/>
      <c r="T447" s="331"/>
      <c r="U447" s="331"/>
      <c r="V447" s="331"/>
      <c r="W447" s="331"/>
      <c r="X447" s="331"/>
      <c r="Y447" s="331"/>
      <c r="Z447" s="331"/>
    </row>
    <row r="448">
      <c r="A448" s="331"/>
      <c r="B448" s="331"/>
      <c r="C448" s="331"/>
      <c r="D448" s="331"/>
      <c r="E448" s="331"/>
      <c r="F448" s="331"/>
      <c r="G448" s="331"/>
      <c r="H448" s="331"/>
      <c r="I448" s="331"/>
      <c r="J448" s="339"/>
      <c r="K448" s="339"/>
      <c r="L448" s="339"/>
      <c r="M448" s="331"/>
      <c r="N448" s="303"/>
      <c r="O448" s="307"/>
      <c r="P448" s="98"/>
      <c r="Q448" s="309"/>
      <c r="R448" s="309"/>
      <c r="S448" s="303"/>
      <c r="T448" s="331"/>
      <c r="U448" s="331"/>
      <c r="V448" s="331"/>
      <c r="W448" s="331"/>
      <c r="X448" s="331"/>
      <c r="Y448" s="331"/>
      <c r="Z448" s="331"/>
    </row>
    <row r="449">
      <c r="A449" s="331"/>
      <c r="B449" s="331"/>
      <c r="C449" s="331"/>
      <c r="D449" s="331"/>
      <c r="E449" s="331"/>
      <c r="F449" s="331"/>
      <c r="G449" s="331"/>
      <c r="H449" s="331"/>
      <c r="I449" s="331"/>
      <c r="J449" s="339"/>
      <c r="K449" s="339"/>
      <c r="L449" s="339"/>
      <c r="M449" s="331"/>
      <c r="N449" s="303"/>
      <c r="O449" s="307"/>
      <c r="P449" s="98"/>
      <c r="Q449" s="309"/>
      <c r="R449" s="309"/>
      <c r="S449" s="303"/>
      <c r="T449" s="331"/>
      <c r="U449" s="331"/>
      <c r="V449" s="331"/>
      <c r="W449" s="331"/>
      <c r="X449" s="331"/>
      <c r="Y449" s="331"/>
      <c r="Z449" s="331"/>
    </row>
    <row r="450">
      <c r="A450" s="331"/>
      <c r="B450" s="331"/>
      <c r="C450" s="331"/>
      <c r="D450" s="331"/>
      <c r="E450" s="331"/>
      <c r="F450" s="331"/>
      <c r="G450" s="331"/>
      <c r="H450" s="331"/>
      <c r="I450" s="331"/>
      <c r="J450" s="339"/>
      <c r="K450" s="339"/>
      <c r="L450" s="339"/>
      <c r="M450" s="331"/>
      <c r="N450" s="303"/>
      <c r="O450" s="307"/>
      <c r="P450" s="98"/>
      <c r="Q450" s="309"/>
      <c r="R450" s="309"/>
      <c r="S450" s="303"/>
      <c r="T450" s="331"/>
      <c r="U450" s="331"/>
      <c r="V450" s="331"/>
      <c r="W450" s="331"/>
      <c r="X450" s="331"/>
      <c r="Y450" s="331"/>
      <c r="Z450" s="331"/>
    </row>
    <row r="451">
      <c r="A451" s="331"/>
      <c r="B451" s="331"/>
      <c r="C451" s="331"/>
      <c r="D451" s="331"/>
      <c r="E451" s="331"/>
      <c r="F451" s="331"/>
      <c r="G451" s="331"/>
      <c r="H451" s="331"/>
      <c r="I451" s="331"/>
      <c r="J451" s="339"/>
      <c r="K451" s="339"/>
      <c r="L451" s="339"/>
      <c r="M451" s="331"/>
      <c r="N451" s="303"/>
      <c r="O451" s="307"/>
      <c r="P451" s="98"/>
      <c r="Q451" s="309"/>
      <c r="R451" s="309"/>
      <c r="S451" s="303"/>
      <c r="T451" s="331"/>
      <c r="U451" s="331"/>
      <c r="V451" s="331"/>
      <c r="W451" s="331"/>
      <c r="X451" s="331"/>
      <c r="Y451" s="331"/>
      <c r="Z451" s="331"/>
    </row>
    <row r="452">
      <c r="A452" s="331"/>
      <c r="B452" s="331"/>
      <c r="C452" s="331"/>
      <c r="D452" s="331"/>
      <c r="E452" s="331"/>
      <c r="F452" s="331"/>
      <c r="G452" s="331"/>
      <c r="H452" s="331"/>
      <c r="I452" s="331"/>
      <c r="J452" s="339"/>
      <c r="K452" s="339"/>
      <c r="L452" s="339"/>
      <c r="M452" s="331"/>
      <c r="N452" s="303"/>
      <c r="O452" s="307"/>
      <c r="P452" s="98"/>
      <c r="Q452" s="309"/>
      <c r="R452" s="309"/>
      <c r="S452" s="303"/>
      <c r="T452" s="331"/>
      <c r="U452" s="331"/>
      <c r="V452" s="331"/>
      <c r="W452" s="331"/>
      <c r="X452" s="331"/>
      <c r="Y452" s="331"/>
      <c r="Z452" s="331"/>
    </row>
    <row r="453">
      <c r="A453" s="331"/>
      <c r="B453" s="331"/>
      <c r="C453" s="331"/>
      <c r="D453" s="331"/>
      <c r="E453" s="331"/>
      <c r="F453" s="331"/>
      <c r="G453" s="331"/>
      <c r="H453" s="331"/>
      <c r="I453" s="331"/>
      <c r="J453" s="339"/>
      <c r="K453" s="339"/>
      <c r="L453" s="339"/>
      <c r="M453" s="331"/>
      <c r="N453" s="303"/>
      <c r="O453" s="307"/>
      <c r="P453" s="98"/>
      <c r="Q453" s="309"/>
      <c r="R453" s="309"/>
      <c r="S453" s="303"/>
      <c r="T453" s="331"/>
      <c r="U453" s="331"/>
      <c r="V453" s="331"/>
      <c r="W453" s="331"/>
      <c r="X453" s="331"/>
      <c r="Y453" s="331"/>
      <c r="Z453" s="331"/>
    </row>
    <row r="454">
      <c r="A454" s="331"/>
      <c r="B454" s="331"/>
      <c r="C454" s="331"/>
      <c r="D454" s="331"/>
      <c r="E454" s="331"/>
      <c r="F454" s="331"/>
      <c r="G454" s="331"/>
      <c r="H454" s="331"/>
      <c r="I454" s="331"/>
      <c r="J454" s="339"/>
      <c r="K454" s="339"/>
      <c r="L454" s="339"/>
      <c r="M454" s="331"/>
      <c r="N454" s="303"/>
      <c r="O454" s="307"/>
      <c r="P454" s="98"/>
      <c r="Q454" s="309"/>
      <c r="R454" s="309"/>
      <c r="S454" s="303"/>
      <c r="T454" s="331"/>
      <c r="U454" s="331"/>
      <c r="V454" s="331"/>
      <c r="W454" s="331"/>
      <c r="X454" s="331"/>
      <c r="Y454" s="331"/>
      <c r="Z454" s="331"/>
    </row>
    <row r="455">
      <c r="A455" s="331"/>
      <c r="B455" s="331"/>
      <c r="C455" s="331"/>
      <c r="D455" s="331"/>
      <c r="E455" s="331"/>
      <c r="F455" s="331"/>
      <c r="G455" s="331"/>
      <c r="H455" s="331"/>
      <c r="I455" s="331"/>
      <c r="J455" s="339"/>
      <c r="K455" s="339"/>
      <c r="L455" s="339"/>
      <c r="M455" s="331"/>
      <c r="N455" s="303"/>
      <c r="O455" s="307"/>
      <c r="P455" s="98"/>
      <c r="Q455" s="309"/>
      <c r="R455" s="309"/>
      <c r="S455" s="303"/>
      <c r="T455" s="331"/>
      <c r="U455" s="331"/>
      <c r="V455" s="331"/>
      <c r="W455" s="331"/>
      <c r="X455" s="331"/>
      <c r="Y455" s="331"/>
      <c r="Z455" s="331"/>
    </row>
    <row r="456">
      <c r="A456" s="331"/>
      <c r="B456" s="331"/>
      <c r="C456" s="331"/>
      <c r="D456" s="331"/>
      <c r="E456" s="331"/>
      <c r="F456" s="331"/>
      <c r="G456" s="331"/>
      <c r="H456" s="331"/>
      <c r="I456" s="331"/>
      <c r="J456" s="339"/>
      <c r="K456" s="339"/>
      <c r="L456" s="339"/>
      <c r="M456" s="331"/>
      <c r="N456" s="303"/>
      <c r="O456" s="307"/>
      <c r="P456" s="98"/>
      <c r="Q456" s="309"/>
      <c r="R456" s="309"/>
      <c r="S456" s="303"/>
      <c r="T456" s="331"/>
      <c r="U456" s="331"/>
      <c r="V456" s="331"/>
      <c r="W456" s="331"/>
      <c r="X456" s="331"/>
      <c r="Y456" s="331"/>
      <c r="Z456" s="331"/>
    </row>
    <row r="457">
      <c r="A457" s="331"/>
      <c r="B457" s="331"/>
      <c r="C457" s="331"/>
      <c r="D457" s="331"/>
      <c r="E457" s="331"/>
      <c r="F457" s="331"/>
      <c r="G457" s="331"/>
      <c r="H457" s="331"/>
      <c r="I457" s="331"/>
      <c r="J457" s="339"/>
      <c r="K457" s="339"/>
      <c r="L457" s="339"/>
      <c r="M457" s="331"/>
      <c r="N457" s="303"/>
      <c r="O457" s="307"/>
      <c r="P457" s="98"/>
      <c r="Q457" s="309"/>
      <c r="R457" s="309"/>
      <c r="S457" s="303"/>
      <c r="T457" s="331"/>
      <c r="U457" s="331"/>
      <c r="V457" s="331"/>
      <c r="W457" s="331"/>
      <c r="X457" s="331"/>
      <c r="Y457" s="331"/>
      <c r="Z457" s="331"/>
    </row>
    <row r="458">
      <c r="A458" s="331"/>
      <c r="B458" s="331"/>
      <c r="C458" s="331"/>
      <c r="D458" s="331"/>
      <c r="E458" s="331"/>
      <c r="F458" s="331"/>
      <c r="G458" s="331"/>
      <c r="H458" s="331"/>
      <c r="I458" s="331"/>
      <c r="J458" s="339"/>
      <c r="K458" s="339"/>
      <c r="L458" s="339"/>
      <c r="M458" s="331"/>
      <c r="N458" s="303"/>
      <c r="O458" s="307"/>
      <c r="P458" s="98"/>
      <c r="Q458" s="309"/>
      <c r="R458" s="309"/>
      <c r="S458" s="303"/>
      <c r="T458" s="331"/>
      <c r="U458" s="331"/>
      <c r="V458" s="331"/>
      <c r="W458" s="331"/>
      <c r="X458" s="331"/>
      <c r="Y458" s="331"/>
      <c r="Z458" s="331"/>
    </row>
    <row r="459">
      <c r="A459" s="331"/>
      <c r="B459" s="331"/>
      <c r="C459" s="331"/>
      <c r="D459" s="331"/>
      <c r="E459" s="331"/>
      <c r="F459" s="331"/>
      <c r="G459" s="331"/>
      <c r="H459" s="331"/>
      <c r="I459" s="331"/>
      <c r="J459" s="339"/>
      <c r="K459" s="339"/>
      <c r="L459" s="339"/>
      <c r="M459" s="331"/>
      <c r="N459" s="303"/>
      <c r="O459" s="307"/>
      <c r="P459" s="98"/>
      <c r="Q459" s="309"/>
      <c r="R459" s="309"/>
      <c r="S459" s="303"/>
      <c r="T459" s="331"/>
      <c r="U459" s="331"/>
      <c r="V459" s="331"/>
      <c r="W459" s="331"/>
      <c r="X459" s="331"/>
      <c r="Y459" s="331"/>
      <c r="Z459" s="331"/>
    </row>
    <row r="460">
      <c r="A460" s="331"/>
      <c r="B460" s="331"/>
      <c r="C460" s="331"/>
      <c r="D460" s="331"/>
      <c r="E460" s="331"/>
      <c r="F460" s="331"/>
      <c r="G460" s="331"/>
      <c r="H460" s="331"/>
      <c r="I460" s="331"/>
      <c r="J460" s="339"/>
      <c r="K460" s="339"/>
      <c r="L460" s="339"/>
      <c r="M460" s="331"/>
      <c r="N460" s="303"/>
      <c r="O460" s="307"/>
      <c r="P460" s="98"/>
      <c r="Q460" s="309"/>
      <c r="R460" s="309"/>
      <c r="S460" s="303"/>
      <c r="T460" s="331"/>
      <c r="U460" s="331"/>
      <c r="V460" s="331"/>
      <c r="W460" s="331"/>
      <c r="X460" s="331"/>
      <c r="Y460" s="331"/>
      <c r="Z460" s="331"/>
    </row>
    <row r="461">
      <c r="A461" s="331"/>
      <c r="B461" s="331"/>
      <c r="C461" s="331"/>
      <c r="D461" s="331"/>
      <c r="E461" s="331"/>
      <c r="F461" s="331"/>
      <c r="G461" s="331"/>
      <c r="H461" s="331"/>
      <c r="I461" s="331"/>
      <c r="J461" s="339"/>
      <c r="K461" s="339"/>
      <c r="L461" s="339"/>
      <c r="M461" s="331"/>
      <c r="N461" s="303"/>
      <c r="O461" s="307"/>
      <c r="P461" s="98"/>
      <c r="Q461" s="309"/>
      <c r="R461" s="309"/>
      <c r="S461" s="303"/>
      <c r="T461" s="331"/>
      <c r="U461" s="331"/>
      <c r="V461" s="331"/>
      <c r="W461" s="331"/>
      <c r="X461" s="331"/>
      <c r="Y461" s="331"/>
      <c r="Z461" s="331"/>
    </row>
    <row r="462">
      <c r="A462" s="331"/>
      <c r="B462" s="331"/>
      <c r="C462" s="331"/>
      <c r="D462" s="331"/>
      <c r="E462" s="331"/>
      <c r="F462" s="331"/>
      <c r="G462" s="331"/>
      <c r="H462" s="331"/>
      <c r="I462" s="331"/>
      <c r="J462" s="339"/>
      <c r="K462" s="339"/>
      <c r="L462" s="339"/>
      <c r="M462" s="331"/>
      <c r="N462" s="303"/>
      <c r="O462" s="307"/>
      <c r="P462" s="98"/>
      <c r="Q462" s="309"/>
      <c r="R462" s="309"/>
      <c r="S462" s="303"/>
      <c r="T462" s="331"/>
      <c r="U462" s="331"/>
      <c r="V462" s="331"/>
      <c r="W462" s="331"/>
      <c r="X462" s="331"/>
      <c r="Y462" s="331"/>
      <c r="Z462" s="331"/>
    </row>
    <row r="463">
      <c r="A463" s="331"/>
      <c r="B463" s="331"/>
      <c r="C463" s="331"/>
      <c r="D463" s="331"/>
      <c r="E463" s="331"/>
      <c r="F463" s="331"/>
      <c r="G463" s="331"/>
      <c r="H463" s="331"/>
      <c r="I463" s="331"/>
      <c r="J463" s="339"/>
      <c r="K463" s="339"/>
      <c r="L463" s="339"/>
      <c r="M463" s="331"/>
      <c r="N463" s="303"/>
      <c r="O463" s="307"/>
      <c r="P463" s="98"/>
      <c r="Q463" s="309"/>
      <c r="R463" s="309"/>
      <c r="S463" s="303"/>
      <c r="T463" s="331"/>
      <c r="U463" s="331"/>
      <c r="V463" s="331"/>
      <c r="W463" s="331"/>
      <c r="X463" s="331"/>
      <c r="Y463" s="331"/>
      <c r="Z463" s="331"/>
    </row>
    <row r="464">
      <c r="A464" s="331"/>
      <c r="B464" s="331"/>
      <c r="C464" s="331"/>
      <c r="D464" s="331"/>
      <c r="E464" s="331"/>
      <c r="F464" s="331"/>
      <c r="G464" s="331"/>
      <c r="H464" s="331"/>
      <c r="I464" s="331"/>
      <c r="J464" s="339"/>
      <c r="K464" s="339"/>
      <c r="L464" s="339"/>
      <c r="M464" s="331"/>
      <c r="N464" s="303"/>
      <c r="O464" s="307"/>
      <c r="P464" s="98"/>
      <c r="Q464" s="309"/>
      <c r="R464" s="309"/>
      <c r="S464" s="303"/>
      <c r="T464" s="331"/>
      <c r="U464" s="331"/>
      <c r="V464" s="331"/>
      <c r="W464" s="331"/>
      <c r="X464" s="331"/>
      <c r="Y464" s="331"/>
      <c r="Z464" s="331"/>
    </row>
    <row r="465">
      <c r="A465" s="331"/>
      <c r="B465" s="331"/>
      <c r="C465" s="331"/>
      <c r="D465" s="331"/>
      <c r="E465" s="331"/>
      <c r="F465" s="331"/>
      <c r="G465" s="331"/>
      <c r="H465" s="331"/>
      <c r="I465" s="331"/>
      <c r="J465" s="339"/>
      <c r="K465" s="339"/>
      <c r="L465" s="339"/>
      <c r="M465" s="331"/>
      <c r="N465" s="303"/>
      <c r="O465" s="307"/>
      <c r="P465" s="98"/>
      <c r="Q465" s="309"/>
      <c r="R465" s="309"/>
      <c r="S465" s="303"/>
      <c r="T465" s="331"/>
      <c r="U465" s="331"/>
      <c r="V465" s="331"/>
      <c r="W465" s="331"/>
      <c r="X465" s="331"/>
      <c r="Y465" s="331"/>
      <c r="Z465" s="331"/>
    </row>
    <row r="466">
      <c r="A466" s="331"/>
      <c r="B466" s="331"/>
      <c r="C466" s="331"/>
      <c r="D466" s="331"/>
      <c r="E466" s="331"/>
      <c r="F466" s="331"/>
      <c r="G466" s="331"/>
      <c r="H466" s="331"/>
      <c r="I466" s="331"/>
      <c r="J466" s="339"/>
      <c r="K466" s="339"/>
      <c r="L466" s="339"/>
      <c r="M466" s="331"/>
      <c r="N466" s="303"/>
      <c r="O466" s="307"/>
      <c r="P466" s="98"/>
      <c r="Q466" s="309"/>
      <c r="R466" s="309"/>
      <c r="S466" s="303"/>
      <c r="T466" s="331"/>
      <c r="U466" s="331"/>
      <c r="V466" s="331"/>
      <c r="W466" s="331"/>
      <c r="X466" s="331"/>
      <c r="Y466" s="331"/>
      <c r="Z466" s="331"/>
    </row>
    <row r="467">
      <c r="A467" s="331"/>
      <c r="B467" s="331"/>
      <c r="C467" s="331"/>
      <c r="D467" s="331"/>
      <c r="E467" s="331"/>
      <c r="F467" s="331"/>
      <c r="G467" s="331"/>
      <c r="H467" s="331"/>
      <c r="I467" s="331"/>
      <c r="J467" s="339"/>
      <c r="K467" s="339"/>
      <c r="L467" s="339"/>
      <c r="M467" s="331"/>
      <c r="N467" s="303"/>
      <c r="O467" s="307"/>
      <c r="P467" s="98"/>
      <c r="Q467" s="309"/>
      <c r="R467" s="309"/>
      <c r="S467" s="303"/>
      <c r="T467" s="331"/>
      <c r="U467" s="331"/>
      <c r="V467" s="331"/>
      <c r="W467" s="331"/>
      <c r="X467" s="331"/>
      <c r="Y467" s="331"/>
      <c r="Z467" s="331"/>
    </row>
    <row r="468">
      <c r="A468" s="331"/>
      <c r="B468" s="331"/>
      <c r="C468" s="331"/>
      <c r="D468" s="331"/>
      <c r="E468" s="331"/>
      <c r="F468" s="331"/>
      <c r="G468" s="331"/>
      <c r="H468" s="331"/>
      <c r="I468" s="331"/>
      <c r="J468" s="339"/>
      <c r="K468" s="339"/>
      <c r="L468" s="339"/>
      <c r="M468" s="331"/>
      <c r="N468" s="303"/>
      <c r="O468" s="307"/>
      <c r="P468" s="98"/>
      <c r="Q468" s="309"/>
      <c r="R468" s="309"/>
      <c r="S468" s="303"/>
      <c r="T468" s="331"/>
      <c r="U468" s="331"/>
      <c r="V468" s="331"/>
      <c r="W468" s="331"/>
      <c r="X468" s="331"/>
      <c r="Y468" s="331"/>
      <c r="Z468" s="331"/>
    </row>
    <row r="469">
      <c r="A469" s="331"/>
      <c r="B469" s="331"/>
      <c r="C469" s="331"/>
      <c r="D469" s="331"/>
      <c r="E469" s="331"/>
      <c r="F469" s="331"/>
      <c r="G469" s="331"/>
      <c r="H469" s="331"/>
      <c r="I469" s="331"/>
      <c r="J469" s="339"/>
      <c r="K469" s="339"/>
      <c r="L469" s="339"/>
      <c r="M469" s="331"/>
      <c r="N469" s="303"/>
      <c r="O469" s="307"/>
      <c r="P469" s="98"/>
      <c r="Q469" s="309"/>
      <c r="R469" s="309"/>
      <c r="S469" s="303"/>
      <c r="T469" s="331"/>
      <c r="U469" s="331"/>
      <c r="V469" s="331"/>
      <c r="W469" s="331"/>
      <c r="X469" s="331"/>
      <c r="Y469" s="331"/>
      <c r="Z469" s="331"/>
    </row>
    <row r="470">
      <c r="A470" s="331"/>
      <c r="B470" s="331"/>
      <c r="C470" s="331"/>
      <c r="D470" s="331"/>
      <c r="E470" s="331"/>
      <c r="F470" s="331"/>
      <c r="G470" s="331"/>
      <c r="H470" s="331"/>
      <c r="I470" s="331"/>
      <c r="J470" s="339"/>
      <c r="K470" s="339"/>
      <c r="L470" s="339"/>
      <c r="M470" s="331"/>
      <c r="N470" s="303"/>
      <c r="O470" s="307"/>
      <c r="P470" s="98"/>
      <c r="Q470" s="309"/>
      <c r="R470" s="309"/>
      <c r="S470" s="303"/>
      <c r="T470" s="331"/>
      <c r="U470" s="331"/>
      <c r="V470" s="331"/>
      <c r="W470" s="331"/>
      <c r="X470" s="331"/>
      <c r="Y470" s="331"/>
      <c r="Z470" s="331"/>
    </row>
    <row r="471">
      <c r="A471" s="331"/>
      <c r="B471" s="331"/>
      <c r="C471" s="331"/>
      <c r="D471" s="331"/>
      <c r="E471" s="331"/>
      <c r="F471" s="331"/>
      <c r="G471" s="331"/>
      <c r="H471" s="331"/>
      <c r="I471" s="331"/>
      <c r="J471" s="339"/>
      <c r="K471" s="339"/>
      <c r="L471" s="339"/>
      <c r="M471" s="331"/>
      <c r="N471" s="303"/>
      <c r="O471" s="307"/>
      <c r="P471" s="98"/>
      <c r="Q471" s="309"/>
      <c r="R471" s="309"/>
      <c r="S471" s="303"/>
      <c r="T471" s="331"/>
      <c r="U471" s="331"/>
      <c r="V471" s="331"/>
      <c r="W471" s="331"/>
      <c r="X471" s="331"/>
      <c r="Y471" s="331"/>
      <c r="Z471" s="331"/>
    </row>
    <row r="472">
      <c r="A472" s="331"/>
      <c r="B472" s="331"/>
      <c r="C472" s="331"/>
      <c r="D472" s="331"/>
      <c r="E472" s="331"/>
      <c r="F472" s="331"/>
      <c r="G472" s="331"/>
      <c r="H472" s="331"/>
      <c r="I472" s="331"/>
      <c r="J472" s="339"/>
      <c r="K472" s="339"/>
      <c r="L472" s="339"/>
      <c r="M472" s="331"/>
      <c r="N472" s="303"/>
      <c r="O472" s="307"/>
      <c r="P472" s="98"/>
      <c r="Q472" s="325"/>
      <c r="R472" s="325"/>
      <c r="S472" s="303"/>
      <c r="T472" s="331"/>
      <c r="U472" s="331"/>
      <c r="V472" s="331"/>
      <c r="W472" s="331"/>
      <c r="X472" s="331"/>
      <c r="Y472" s="331"/>
      <c r="Z472" s="331"/>
    </row>
    <row r="473">
      <c r="A473" s="331"/>
      <c r="B473" s="331"/>
      <c r="C473" s="331"/>
      <c r="D473" s="331"/>
      <c r="E473" s="331"/>
      <c r="F473" s="331"/>
      <c r="G473" s="331"/>
      <c r="H473" s="331"/>
      <c r="I473" s="331"/>
      <c r="J473" s="339"/>
      <c r="K473" s="339"/>
      <c r="L473" s="339"/>
      <c r="M473" s="331"/>
      <c r="N473" s="303"/>
      <c r="O473" s="307"/>
      <c r="P473" s="98"/>
      <c r="Q473" s="325"/>
      <c r="R473" s="325"/>
      <c r="S473" s="303"/>
      <c r="T473" s="331"/>
      <c r="U473" s="331"/>
      <c r="V473" s="331"/>
      <c r="W473" s="331"/>
      <c r="X473" s="331"/>
      <c r="Y473" s="331"/>
      <c r="Z473" s="331"/>
    </row>
    <row r="474">
      <c r="A474" s="331"/>
      <c r="B474" s="331"/>
      <c r="C474" s="331"/>
      <c r="D474" s="331"/>
      <c r="E474" s="331"/>
      <c r="F474" s="331"/>
      <c r="G474" s="331"/>
      <c r="H474" s="331"/>
      <c r="I474" s="331"/>
      <c r="J474" s="339"/>
      <c r="K474" s="339"/>
      <c r="L474" s="339"/>
      <c r="M474" s="331"/>
      <c r="N474" s="303"/>
      <c r="O474" s="307"/>
      <c r="P474" s="98"/>
      <c r="Q474" s="325"/>
      <c r="R474" s="325"/>
      <c r="S474" s="303"/>
      <c r="T474" s="331"/>
      <c r="U474" s="331"/>
      <c r="V474" s="331"/>
      <c r="W474" s="331"/>
      <c r="X474" s="331"/>
      <c r="Y474" s="331"/>
      <c r="Z474" s="331"/>
    </row>
    <row r="475">
      <c r="A475" s="331"/>
      <c r="B475" s="331"/>
      <c r="C475" s="331"/>
      <c r="D475" s="331"/>
      <c r="E475" s="331"/>
      <c r="F475" s="331"/>
      <c r="G475" s="331"/>
      <c r="H475" s="331"/>
      <c r="I475" s="331"/>
      <c r="J475" s="339"/>
      <c r="K475" s="339"/>
      <c r="L475" s="339"/>
      <c r="M475" s="331"/>
      <c r="N475" s="303"/>
      <c r="O475" s="307"/>
      <c r="P475" s="98"/>
      <c r="Q475" s="325"/>
      <c r="R475" s="325"/>
      <c r="S475" s="303"/>
      <c r="T475" s="331"/>
      <c r="U475" s="331"/>
      <c r="V475" s="331"/>
      <c r="W475" s="331"/>
      <c r="X475" s="331"/>
      <c r="Y475" s="331"/>
      <c r="Z475" s="331"/>
    </row>
    <row r="476">
      <c r="A476" s="331"/>
      <c r="B476" s="331"/>
      <c r="C476" s="331"/>
      <c r="D476" s="331"/>
      <c r="E476" s="331"/>
      <c r="F476" s="331"/>
      <c r="G476" s="331"/>
      <c r="H476" s="331"/>
      <c r="I476" s="331"/>
      <c r="J476" s="339"/>
      <c r="K476" s="339"/>
      <c r="L476" s="339"/>
      <c r="M476" s="331"/>
      <c r="N476" s="303"/>
      <c r="O476" s="307"/>
      <c r="P476" s="98"/>
      <c r="Q476" s="325"/>
      <c r="R476" s="325"/>
      <c r="S476" s="303"/>
      <c r="T476" s="331"/>
      <c r="U476" s="331"/>
      <c r="V476" s="331"/>
      <c r="W476" s="331"/>
      <c r="X476" s="331"/>
      <c r="Y476" s="331"/>
      <c r="Z476" s="331"/>
    </row>
    <row r="477">
      <c r="A477" s="331"/>
      <c r="B477" s="331"/>
      <c r="C477" s="331"/>
      <c r="D477" s="331"/>
      <c r="E477" s="331"/>
      <c r="F477" s="331"/>
      <c r="G477" s="331"/>
      <c r="H477" s="331"/>
      <c r="I477" s="331"/>
      <c r="J477" s="339"/>
      <c r="K477" s="339"/>
      <c r="L477" s="339"/>
      <c r="M477" s="331"/>
      <c r="N477" s="303"/>
      <c r="O477" s="307"/>
      <c r="P477" s="98"/>
      <c r="Q477" s="325"/>
      <c r="R477" s="325"/>
      <c r="S477" s="303"/>
      <c r="T477" s="331"/>
      <c r="U477" s="331"/>
      <c r="V477" s="331"/>
      <c r="W477" s="331"/>
      <c r="X477" s="331"/>
      <c r="Y477" s="331"/>
      <c r="Z477" s="331"/>
    </row>
    <row r="478">
      <c r="A478" s="331"/>
      <c r="B478" s="331"/>
      <c r="C478" s="331"/>
      <c r="D478" s="331"/>
      <c r="E478" s="331"/>
      <c r="F478" s="331"/>
      <c r="G478" s="331"/>
      <c r="H478" s="331"/>
      <c r="I478" s="331"/>
      <c r="J478" s="339"/>
      <c r="K478" s="339"/>
      <c r="L478" s="339"/>
      <c r="M478" s="331"/>
      <c r="N478" s="303"/>
      <c r="O478" s="307"/>
      <c r="P478" s="98"/>
      <c r="Q478" s="325"/>
      <c r="R478" s="325"/>
      <c r="S478" s="303"/>
      <c r="T478" s="331"/>
      <c r="U478" s="331"/>
      <c r="V478" s="331"/>
      <c r="W478" s="331"/>
      <c r="X478" s="331"/>
      <c r="Y478" s="331"/>
      <c r="Z478" s="331"/>
    </row>
    <row r="479">
      <c r="A479" s="331"/>
      <c r="B479" s="331"/>
      <c r="C479" s="331"/>
      <c r="D479" s="331"/>
      <c r="E479" s="331"/>
      <c r="F479" s="331"/>
      <c r="G479" s="331"/>
      <c r="H479" s="331"/>
      <c r="I479" s="331"/>
      <c r="J479" s="339"/>
      <c r="K479" s="339"/>
      <c r="L479" s="339"/>
      <c r="M479" s="331"/>
      <c r="N479" s="303"/>
      <c r="O479" s="307"/>
      <c r="P479" s="98"/>
      <c r="Q479" s="325"/>
      <c r="R479" s="325"/>
      <c r="S479" s="303"/>
      <c r="T479" s="331"/>
      <c r="U479" s="331"/>
      <c r="V479" s="331"/>
      <c r="W479" s="331"/>
      <c r="X479" s="331"/>
      <c r="Y479" s="331"/>
      <c r="Z479" s="331"/>
    </row>
    <row r="480">
      <c r="A480" s="331"/>
      <c r="B480" s="331"/>
      <c r="C480" s="331"/>
      <c r="D480" s="331"/>
      <c r="E480" s="331"/>
      <c r="F480" s="331"/>
      <c r="G480" s="331"/>
      <c r="H480" s="331"/>
      <c r="I480" s="331"/>
      <c r="J480" s="339"/>
      <c r="K480" s="339"/>
      <c r="L480" s="339"/>
      <c r="M480" s="331"/>
      <c r="N480" s="303"/>
      <c r="O480" s="307"/>
      <c r="P480" s="98"/>
      <c r="Q480" s="325"/>
      <c r="R480" s="325"/>
      <c r="S480" s="303"/>
      <c r="T480" s="331"/>
      <c r="U480" s="331"/>
      <c r="V480" s="331"/>
      <c r="W480" s="331"/>
      <c r="X480" s="331"/>
      <c r="Y480" s="331"/>
      <c r="Z480" s="331"/>
    </row>
    <row r="481">
      <c r="A481" s="331"/>
      <c r="B481" s="331"/>
      <c r="C481" s="331"/>
      <c r="D481" s="331"/>
      <c r="E481" s="331"/>
      <c r="F481" s="331"/>
      <c r="G481" s="331"/>
      <c r="H481" s="331"/>
      <c r="I481" s="331"/>
      <c r="J481" s="339"/>
      <c r="K481" s="339"/>
      <c r="L481" s="339"/>
      <c r="M481" s="331"/>
      <c r="N481" s="303"/>
      <c r="O481" s="307"/>
      <c r="P481" s="98"/>
      <c r="Q481" s="325"/>
      <c r="R481" s="325"/>
      <c r="S481" s="303"/>
      <c r="T481" s="331"/>
      <c r="U481" s="331"/>
      <c r="V481" s="331"/>
      <c r="W481" s="331"/>
      <c r="X481" s="331"/>
      <c r="Y481" s="331"/>
      <c r="Z481" s="331"/>
    </row>
    <row r="482">
      <c r="A482" s="331"/>
      <c r="B482" s="331"/>
      <c r="C482" s="331"/>
      <c r="D482" s="331"/>
      <c r="E482" s="331"/>
      <c r="F482" s="331"/>
      <c r="G482" s="331"/>
      <c r="H482" s="331"/>
      <c r="I482" s="331"/>
      <c r="J482" s="339"/>
      <c r="K482" s="339"/>
      <c r="L482" s="339"/>
      <c r="M482" s="331"/>
      <c r="N482" s="303"/>
      <c r="O482" s="307"/>
      <c r="P482" s="98"/>
      <c r="Q482" s="325"/>
      <c r="R482" s="325"/>
      <c r="S482" s="303"/>
      <c r="T482" s="331"/>
      <c r="U482" s="331"/>
      <c r="V482" s="331"/>
      <c r="W482" s="331"/>
      <c r="X482" s="331"/>
      <c r="Y482" s="331"/>
      <c r="Z482" s="331"/>
    </row>
    <row r="483">
      <c r="A483" s="331"/>
      <c r="B483" s="331"/>
      <c r="C483" s="331"/>
      <c r="D483" s="331"/>
      <c r="E483" s="331"/>
      <c r="F483" s="331"/>
      <c r="G483" s="331"/>
      <c r="H483" s="331"/>
      <c r="I483" s="331"/>
      <c r="J483" s="339"/>
      <c r="K483" s="339"/>
      <c r="L483" s="339"/>
      <c r="M483" s="331"/>
      <c r="N483" s="303"/>
      <c r="O483" s="307"/>
      <c r="P483" s="98"/>
      <c r="Q483" s="325"/>
      <c r="R483" s="325"/>
      <c r="S483" s="303"/>
      <c r="T483" s="331"/>
      <c r="U483" s="331"/>
      <c r="V483" s="331"/>
      <c r="W483" s="331"/>
      <c r="X483" s="331"/>
      <c r="Y483" s="331"/>
      <c r="Z483" s="331"/>
    </row>
    <row r="484">
      <c r="A484" s="331"/>
      <c r="B484" s="331"/>
      <c r="C484" s="331"/>
      <c r="D484" s="331"/>
      <c r="E484" s="331"/>
      <c r="F484" s="331"/>
      <c r="G484" s="331"/>
      <c r="H484" s="331"/>
      <c r="I484" s="331"/>
      <c r="J484" s="339"/>
      <c r="K484" s="339"/>
      <c r="L484" s="339"/>
      <c r="M484" s="331"/>
      <c r="N484" s="303"/>
      <c r="O484" s="307"/>
      <c r="P484" s="98"/>
      <c r="Q484" s="325"/>
      <c r="R484" s="325"/>
      <c r="S484" s="303"/>
      <c r="T484" s="331"/>
      <c r="U484" s="331"/>
      <c r="V484" s="331"/>
      <c r="W484" s="331"/>
      <c r="X484" s="331"/>
      <c r="Y484" s="331"/>
      <c r="Z484" s="331"/>
    </row>
    <row r="485">
      <c r="A485" s="331"/>
      <c r="B485" s="331"/>
      <c r="C485" s="331"/>
      <c r="D485" s="331"/>
      <c r="E485" s="331"/>
      <c r="F485" s="331"/>
      <c r="G485" s="331"/>
      <c r="H485" s="331"/>
      <c r="I485" s="331"/>
      <c r="J485" s="339"/>
      <c r="K485" s="339"/>
      <c r="L485" s="339"/>
      <c r="M485" s="331"/>
      <c r="N485" s="303"/>
      <c r="O485" s="307"/>
      <c r="P485" s="98"/>
      <c r="Q485" s="325"/>
      <c r="R485" s="325"/>
      <c r="S485" s="303"/>
      <c r="T485" s="331"/>
      <c r="U485" s="331"/>
      <c r="V485" s="331"/>
      <c r="W485" s="331"/>
      <c r="X485" s="331"/>
      <c r="Y485" s="331"/>
      <c r="Z485" s="331"/>
    </row>
    <row r="486">
      <c r="A486" s="331"/>
      <c r="B486" s="331"/>
      <c r="C486" s="331"/>
      <c r="D486" s="331"/>
      <c r="E486" s="331"/>
      <c r="F486" s="331"/>
      <c r="G486" s="331"/>
      <c r="H486" s="331"/>
      <c r="I486" s="331"/>
      <c r="J486" s="339"/>
      <c r="K486" s="339"/>
      <c r="L486" s="339"/>
      <c r="M486" s="331"/>
      <c r="N486" s="303"/>
      <c r="O486" s="307"/>
      <c r="P486" s="98"/>
      <c r="Q486" s="325"/>
      <c r="R486" s="325"/>
      <c r="S486" s="303"/>
      <c r="T486" s="331"/>
      <c r="U486" s="331"/>
      <c r="V486" s="331"/>
      <c r="W486" s="331"/>
      <c r="X486" s="331"/>
      <c r="Y486" s="331"/>
      <c r="Z486" s="331"/>
    </row>
    <row r="487">
      <c r="A487" s="331"/>
      <c r="B487" s="331"/>
      <c r="C487" s="331"/>
      <c r="D487" s="331"/>
      <c r="E487" s="331"/>
      <c r="F487" s="331"/>
      <c r="G487" s="331"/>
      <c r="H487" s="331"/>
      <c r="I487" s="331"/>
      <c r="J487" s="339"/>
      <c r="K487" s="339"/>
      <c r="L487" s="339"/>
      <c r="M487" s="331"/>
      <c r="N487" s="303"/>
      <c r="O487" s="307"/>
      <c r="P487" s="98"/>
      <c r="Q487" s="325"/>
      <c r="R487" s="325"/>
      <c r="S487" s="303"/>
      <c r="T487" s="331"/>
      <c r="U487" s="331"/>
      <c r="V487" s="331"/>
      <c r="W487" s="331"/>
      <c r="X487" s="331"/>
      <c r="Y487" s="331"/>
      <c r="Z487" s="331"/>
    </row>
    <row r="488">
      <c r="A488" s="331"/>
      <c r="B488" s="331"/>
      <c r="C488" s="331"/>
      <c r="D488" s="331"/>
      <c r="E488" s="331"/>
      <c r="F488" s="331"/>
      <c r="G488" s="331"/>
      <c r="H488" s="331"/>
      <c r="I488" s="331"/>
      <c r="J488" s="339"/>
      <c r="K488" s="339"/>
      <c r="L488" s="339"/>
      <c r="M488" s="331"/>
      <c r="N488" s="303"/>
      <c r="O488" s="307"/>
      <c r="P488" s="98"/>
      <c r="Q488" s="325"/>
      <c r="R488" s="325"/>
      <c r="S488" s="303"/>
      <c r="T488" s="331"/>
      <c r="U488" s="331"/>
      <c r="V488" s="331"/>
      <c r="W488" s="331"/>
      <c r="X488" s="331"/>
      <c r="Y488" s="331"/>
      <c r="Z488" s="331"/>
    </row>
    <row r="489">
      <c r="A489" s="331"/>
      <c r="B489" s="331"/>
      <c r="C489" s="331"/>
      <c r="D489" s="331"/>
      <c r="E489" s="331"/>
      <c r="F489" s="331"/>
      <c r="G489" s="331"/>
      <c r="H489" s="331"/>
      <c r="I489" s="331"/>
      <c r="J489" s="339"/>
      <c r="K489" s="339"/>
      <c r="L489" s="339"/>
      <c r="M489" s="331"/>
      <c r="N489" s="303"/>
      <c r="O489" s="307"/>
      <c r="P489" s="98"/>
      <c r="Q489" s="325"/>
      <c r="R489" s="325"/>
      <c r="S489" s="303"/>
      <c r="T489" s="331"/>
      <c r="U489" s="331"/>
      <c r="V489" s="331"/>
      <c r="W489" s="331"/>
      <c r="X489" s="331"/>
      <c r="Y489" s="331"/>
      <c r="Z489" s="331"/>
    </row>
    <row r="490">
      <c r="A490" s="331"/>
      <c r="B490" s="331"/>
      <c r="C490" s="331"/>
      <c r="D490" s="331"/>
      <c r="E490" s="331"/>
      <c r="F490" s="331"/>
      <c r="G490" s="331"/>
      <c r="H490" s="331"/>
      <c r="I490" s="331"/>
      <c r="J490" s="339"/>
      <c r="K490" s="339"/>
      <c r="L490" s="339"/>
      <c r="M490" s="331"/>
      <c r="N490" s="303"/>
      <c r="O490" s="307"/>
      <c r="P490" s="98"/>
      <c r="Q490" s="325"/>
      <c r="R490" s="325"/>
      <c r="S490" s="303"/>
      <c r="T490" s="331"/>
      <c r="U490" s="331"/>
      <c r="V490" s="331"/>
      <c r="W490" s="331"/>
      <c r="X490" s="331"/>
      <c r="Y490" s="331"/>
      <c r="Z490" s="331"/>
    </row>
    <row r="491">
      <c r="A491" s="331"/>
      <c r="B491" s="331"/>
      <c r="C491" s="331"/>
      <c r="D491" s="331"/>
      <c r="E491" s="331"/>
      <c r="F491" s="331"/>
      <c r="G491" s="331"/>
      <c r="H491" s="331"/>
      <c r="I491" s="331"/>
      <c r="J491" s="339"/>
      <c r="K491" s="339"/>
      <c r="L491" s="339"/>
      <c r="M491" s="331"/>
      <c r="N491" s="303"/>
      <c r="O491" s="307"/>
      <c r="P491" s="98"/>
      <c r="Q491" s="325"/>
      <c r="R491" s="325"/>
      <c r="S491" s="303"/>
      <c r="T491" s="331"/>
      <c r="U491" s="331"/>
      <c r="V491" s="331"/>
      <c r="W491" s="331"/>
      <c r="X491" s="331"/>
      <c r="Y491" s="331"/>
      <c r="Z491" s="331"/>
    </row>
    <row r="492">
      <c r="A492" s="331"/>
      <c r="B492" s="331"/>
      <c r="C492" s="331"/>
      <c r="D492" s="331"/>
      <c r="E492" s="331"/>
      <c r="F492" s="331"/>
      <c r="G492" s="331"/>
      <c r="H492" s="331"/>
      <c r="I492" s="331"/>
      <c r="J492" s="339"/>
      <c r="K492" s="339"/>
      <c r="L492" s="339"/>
      <c r="M492" s="331"/>
      <c r="N492" s="303"/>
      <c r="O492" s="307"/>
      <c r="P492" s="98"/>
      <c r="Q492" s="325"/>
      <c r="R492" s="325"/>
      <c r="S492" s="303"/>
      <c r="T492" s="331"/>
      <c r="U492" s="331"/>
      <c r="V492" s="331"/>
      <c r="W492" s="331"/>
      <c r="X492" s="331"/>
      <c r="Y492" s="331"/>
      <c r="Z492" s="331"/>
    </row>
    <row r="493">
      <c r="A493" s="331"/>
      <c r="B493" s="331"/>
      <c r="C493" s="331"/>
      <c r="D493" s="331"/>
      <c r="E493" s="331"/>
      <c r="F493" s="331"/>
      <c r="G493" s="331"/>
      <c r="H493" s="331"/>
      <c r="I493" s="331"/>
      <c r="J493" s="339"/>
      <c r="K493" s="339"/>
      <c r="L493" s="339"/>
      <c r="M493" s="331"/>
      <c r="N493" s="303"/>
      <c r="O493" s="307"/>
      <c r="P493" s="98"/>
      <c r="Q493" s="325"/>
      <c r="R493" s="325"/>
      <c r="S493" s="303"/>
      <c r="T493" s="331"/>
      <c r="U493" s="331"/>
      <c r="V493" s="331"/>
      <c r="W493" s="331"/>
      <c r="X493" s="331"/>
      <c r="Y493" s="331"/>
      <c r="Z493" s="331"/>
    </row>
    <row r="494">
      <c r="A494" s="331"/>
      <c r="B494" s="331"/>
      <c r="C494" s="331"/>
      <c r="D494" s="331"/>
      <c r="E494" s="331"/>
      <c r="F494" s="331"/>
      <c r="G494" s="331"/>
      <c r="H494" s="331"/>
      <c r="I494" s="331"/>
      <c r="J494" s="339"/>
      <c r="K494" s="339"/>
      <c r="L494" s="339"/>
      <c r="M494" s="331"/>
      <c r="N494" s="303"/>
      <c r="O494" s="307"/>
      <c r="P494" s="98"/>
      <c r="Q494" s="325"/>
      <c r="R494" s="325"/>
      <c r="S494" s="303"/>
      <c r="T494" s="331"/>
      <c r="U494" s="331"/>
      <c r="V494" s="331"/>
      <c r="W494" s="331"/>
      <c r="X494" s="331"/>
      <c r="Y494" s="331"/>
      <c r="Z494" s="331"/>
    </row>
    <row r="495">
      <c r="A495" s="331"/>
      <c r="B495" s="331"/>
      <c r="C495" s="331"/>
      <c r="D495" s="331"/>
      <c r="E495" s="331"/>
      <c r="F495" s="331"/>
      <c r="G495" s="331"/>
      <c r="H495" s="331"/>
      <c r="I495" s="331"/>
      <c r="J495" s="339"/>
      <c r="K495" s="339"/>
      <c r="L495" s="339"/>
      <c r="M495" s="331"/>
      <c r="N495" s="303"/>
      <c r="O495" s="307"/>
      <c r="P495" s="98"/>
      <c r="Q495" s="325"/>
      <c r="R495" s="325"/>
      <c r="S495" s="303"/>
      <c r="T495" s="331"/>
      <c r="U495" s="331"/>
      <c r="V495" s="331"/>
      <c r="W495" s="331"/>
      <c r="X495" s="331"/>
      <c r="Y495" s="331"/>
      <c r="Z495" s="331"/>
    </row>
    <row r="496">
      <c r="A496" s="331"/>
      <c r="B496" s="331"/>
      <c r="C496" s="331"/>
      <c r="D496" s="331"/>
      <c r="E496" s="331"/>
      <c r="F496" s="331"/>
      <c r="G496" s="331"/>
      <c r="H496" s="331"/>
      <c r="I496" s="331"/>
      <c r="J496" s="339"/>
      <c r="K496" s="339"/>
      <c r="L496" s="339"/>
      <c r="M496" s="331"/>
      <c r="N496" s="303"/>
      <c r="O496" s="307"/>
      <c r="P496" s="98"/>
      <c r="Q496" s="325"/>
      <c r="R496" s="325"/>
      <c r="S496" s="303"/>
      <c r="T496" s="331"/>
      <c r="U496" s="331"/>
      <c r="V496" s="331"/>
      <c r="W496" s="331"/>
      <c r="X496" s="331"/>
      <c r="Y496" s="331"/>
      <c r="Z496" s="331"/>
    </row>
    <row r="497">
      <c r="A497" s="331"/>
      <c r="B497" s="331"/>
      <c r="C497" s="331"/>
      <c r="D497" s="331"/>
      <c r="E497" s="331"/>
      <c r="F497" s="331"/>
      <c r="G497" s="331"/>
      <c r="H497" s="331"/>
      <c r="I497" s="331"/>
      <c r="J497" s="339"/>
      <c r="K497" s="339"/>
      <c r="L497" s="339"/>
      <c r="M497" s="331"/>
      <c r="N497" s="303"/>
      <c r="O497" s="307"/>
      <c r="P497" s="98"/>
      <c r="Q497" s="325"/>
      <c r="R497" s="325"/>
      <c r="S497" s="303"/>
      <c r="T497" s="331"/>
      <c r="U497" s="331"/>
      <c r="V497" s="331"/>
      <c r="W497" s="331"/>
      <c r="X497" s="331"/>
      <c r="Y497" s="331"/>
      <c r="Z497" s="331"/>
    </row>
    <row r="498">
      <c r="A498" s="331"/>
      <c r="B498" s="331"/>
      <c r="C498" s="331"/>
      <c r="D498" s="331"/>
      <c r="E498" s="331"/>
      <c r="F498" s="331"/>
      <c r="G498" s="331"/>
      <c r="H498" s="331"/>
      <c r="I498" s="331"/>
      <c r="J498" s="339"/>
      <c r="K498" s="339"/>
      <c r="L498" s="339"/>
      <c r="M498" s="331"/>
      <c r="N498" s="303"/>
      <c r="O498" s="307"/>
      <c r="P498" s="98"/>
      <c r="Q498" s="325"/>
      <c r="R498" s="325"/>
      <c r="S498" s="303"/>
      <c r="T498" s="331"/>
      <c r="U498" s="331"/>
      <c r="V498" s="331"/>
      <c r="W498" s="331"/>
      <c r="X498" s="331"/>
      <c r="Y498" s="331"/>
      <c r="Z498" s="331"/>
    </row>
    <row r="499">
      <c r="A499" s="331"/>
      <c r="B499" s="331"/>
      <c r="C499" s="331"/>
      <c r="D499" s="331"/>
      <c r="E499" s="331"/>
      <c r="F499" s="331"/>
      <c r="G499" s="331"/>
      <c r="H499" s="331"/>
      <c r="I499" s="331"/>
      <c r="J499" s="339"/>
      <c r="K499" s="339"/>
      <c r="L499" s="339"/>
      <c r="M499" s="331"/>
      <c r="N499" s="303"/>
      <c r="O499" s="307"/>
      <c r="P499" s="98"/>
      <c r="Q499" s="325"/>
      <c r="R499" s="325"/>
      <c r="S499" s="303"/>
      <c r="T499" s="331"/>
      <c r="U499" s="331"/>
      <c r="V499" s="331"/>
      <c r="W499" s="331"/>
      <c r="X499" s="331"/>
      <c r="Y499" s="331"/>
      <c r="Z499" s="331"/>
    </row>
    <row r="500">
      <c r="A500" s="331"/>
      <c r="B500" s="331"/>
      <c r="C500" s="331"/>
      <c r="D500" s="331"/>
      <c r="E500" s="331"/>
      <c r="F500" s="331"/>
      <c r="G500" s="331"/>
      <c r="H500" s="331"/>
      <c r="I500" s="331"/>
      <c r="J500" s="339"/>
      <c r="K500" s="339"/>
      <c r="L500" s="339"/>
      <c r="M500" s="331"/>
      <c r="N500" s="303"/>
      <c r="O500" s="307"/>
      <c r="P500" s="98"/>
      <c r="Q500" s="325"/>
      <c r="R500" s="325"/>
      <c r="S500" s="303"/>
      <c r="T500" s="331"/>
      <c r="U500" s="331"/>
      <c r="V500" s="331"/>
      <c r="W500" s="331"/>
      <c r="X500" s="331"/>
      <c r="Y500" s="331"/>
      <c r="Z500" s="331"/>
    </row>
    <row r="501">
      <c r="A501" s="331"/>
      <c r="B501" s="331"/>
      <c r="C501" s="331"/>
      <c r="D501" s="331"/>
      <c r="E501" s="331"/>
      <c r="F501" s="331"/>
      <c r="G501" s="331"/>
      <c r="H501" s="331"/>
      <c r="I501" s="331"/>
      <c r="J501" s="339"/>
      <c r="K501" s="339"/>
      <c r="L501" s="339"/>
      <c r="M501" s="331"/>
      <c r="N501" s="303"/>
      <c r="O501" s="303"/>
      <c r="P501" s="303"/>
      <c r="Q501" s="303"/>
      <c r="R501" s="303"/>
      <c r="S501" s="303"/>
      <c r="T501" s="331"/>
      <c r="U501" s="331"/>
      <c r="V501" s="331"/>
      <c r="W501" s="331"/>
      <c r="X501" s="331"/>
      <c r="Y501" s="331"/>
      <c r="Z501" s="331"/>
    </row>
    <row r="502">
      <c r="A502" s="331"/>
      <c r="B502" s="331"/>
      <c r="C502" s="331"/>
      <c r="D502" s="331"/>
      <c r="E502" s="331"/>
      <c r="F502" s="331"/>
      <c r="G502" s="331"/>
      <c r="H502" s="331"/>
      <c r="I502" s="331"/>
      <c r="J502" s="339"/>
      <c r="K502" s="339"/>
      <c r="L502" s="339"/>
      <c r="M502" s="331"/>
      <c r="N502" s="303"/>
      <c r="O502" s="303"/>
      <c r="P502" s="303"/>
      <c r="Q502" s="303"/>
      <c r="R502" s="303"/>
      <c r="S502" s="303"/>
      <c r="T502" s="331"/>
      <c r="U502" s="331"/>
      <c r="V502" s="331"/>
      <c r="W502" s="331"/>
      <c r="X502" s="331"/>
      <c r="Y502" s="331"/>
      <c r="Z502" s="331"/>
    </row>
    <row r="503">
      <c r="A503" s="331"/>
      <c r="B503" s="331"/>
      <c r="C503" s="331"/>
      <c r="D503" s="331"/>
      <c r="E503" s="331"/>
      <c r="F503" s="331"/>
      <c r="G503" s="331"/>
      <c r="H503" s="331"/>
      <c r="I503" s="331"/>
      <c r="J503" s="339"/>
      <c r="K503" s="339"/>
      <c r="L503" s="339"/>
      <c r="M503" s="331"/>
      <c r="N503" s="303"/>
      <c r="O503" s="303"/>
      <c r="P503" s="303"/>
      <c r="Q503" s="303"/>
      <c r="R503" s="303"/>
      <c r="S503" s="303"/>
      <c r="T503" s="331"/>
      <c r="U503" s="331"/>
      <c r="V503" s="331"/>
      <c r="W503" s="331"/>
      <c r="X503" s="331"/>
      <c r="Y503" s="331"/>
      <c r="Z503" s="331"/>
    </row>
    <row r="504">
      <c r="A504" s="331"/>
      <c r="B504" s="331"/>
      <c r="C504" s="331"/>
      <c r="D504" s="331"/>
      <c r="E504" s="331"/>
      <c r="F504" s="331"/>
      <c r="G504" s="331"/>
      <c r="H504" s="331"/>
      <c r="I504" s="331"/>
      <c r="J504" s="339"/>
      <c r="K504" s="339"/>
      <c r="L504" s="339"/>
      <c r="M504" s="331"/>
      <c r="N504" s="303"/>
      <c r="O504" s="303"/>
      <c r="P504" s="303"/>
      <c r="Q504" s="303"/>
      <c r="R504" s="303"/>
      <c r="S504" s="303"/>
      <c r="T504" s="331"/>
      <c r="U504" s="331"/>
      <c r="V504" s="331"/>
      <c r="W504" s="331"/>
      <c r="X504" s="331"/>
      <c r="Y504" s="331"/>
      <c r="Z504" s="331"/>
    </row>
    <row r="505">
      <c r="A505" s="331"/>
      <c r="B505" s="331"/>
      <c r="C505" s="331"/>
      <c r="D505" s="331"/>
      <c r="E505" s="331"/>
      <c r="F505" s="331"/>
      <c r="G505" s="331"/>
      <c r="H505" s="331"/>
      <c r="I505" s="331"/>
      <c r="J505" s="339"/>
      <c r="K505" s="339"/>
      <c r="L505" s="339"/>
      <c r="M505" s="331"/>
      <c r="N505" s="303"/>
      <c r="O505" s="303"/>
      <c r="P505" s="303"/>
      <c r="Q505" s="303"/>
      <c r="R505" s="303"/>
      <c r="S505" s="303"/>
      <c r="T505" s="331"/>
      <c r="U505" s="331"/>
      <c r="V505" s="331"/>
      <c r="W505" s="331"/>
      <c r="X505" s="331"/>
      <c r="Y505" s="331"/>
      <c r="Z505" s="331"/>
    </row>
    <row r="506">
      <c r="A506" s="331"/>
      <c r="B506" s="331"/>
      <c r="C506" s="331"/>
      <c r="D506" s="331"/>
      <c r="E506" s="331"/>
      <c r="F506" s="331"/>
      <c r="G506" s="331"/>
      <c r="H506" s="331"/>
      <c r="I506" s="331"/>
      <c r="J506" s="339"/>
      <c r="K506" s="339"/>
      <c r="L506" s="339"/>
      <c r="M506" s="331"/>
      <c r="N506" s="303"/>
      <c r="O506" s="303"/>
      <c r="P506" s="303"/>
      <c r="Q506" s="303"/>
      <c r="R506" s="303"/>
      <c r="S506" s="303"/>
      <c r="T506" s="331"/>
      <c r="U506" s="331"/>
      <c r="V506" s="331"/>
      <c r="W506" s="331"/>
      <c r="X506" s="331"/>
      <c r="Y506" s="331"/>
      <c r="Z506" s="331"/>
    </row>
    <row r="507">
      <c r="A507" s="331"/>
      <c r="B507" s="331"/>
      <c r="C507" s="331"/>
      <c r="D507" s="331"/>
      <c r="E507" s="331"/>
      <c r="F507" s="331"/>
      <c r="G507" s="331"/>
      <c r="H507" s="331"/>
      <c r="I507" s="331"/>
      <c r="J507" s="339"/>
      <c r="K507" s="339"/>
      <c r="L507" s="339"/>
      <c r="M507" s="331"/>
      <c r="N507" s="303"/>
      <c r="O507" s="303"/>
      <c r="P507" s="303"/>
      <c r="Q507" s="303"/>
      <c r="R507" s="303"/>
      <c r="S507" s="303"/>
      <c r="T507" s="331"/>
      <c r="U507" s="331"/>
      <c r="V507" s="331"/>
      <c r="W507" s="331"/>
      <c r="X507" s="331"/>
      <c r="Y507" s="331"/>
      <c r="Z507" s="331"/>
    </row>
    <row r="508">
      <c r="A508" s="331"/>
      <c r="B508" s="331"/>
      <c r="C508" s="331"/>
      <c r="D508" s="331"/>
      <c r="E508" s="331"/>
      <c r="F508" s="331"/>
      <c r="G508" s="331"/>
      <c r="H508" s="331"/>
      <c r="I508" s="331"/>
      <c r="J508" s="339"/>
      <c r="K508" s="339"/>
      <c r="L508" s="339"/>
      <c r="M508" s="331"/>
      <c r="N508" s="303"/>
      <c r="O508" s="303"/>
      <c r="P508" s="303"/>
      <c r="Q508" s="303"/>
      <c r="R508" s="303"/>
      <c r="S508" s="303"/>
      <c r="T508" s="331"/>
      <c r="U508" s="331"/>
      <c r="V508" s="331"/>
      <c r="W508" s="331"/>
      <c r="X508" s="331"/>
      <c r="Y508" s="331"/>
      <c r="Z508" s="331"/>
    </row>
    <row r="509">
      <c r="A509" s="331"/>
      <c r="B509" s="331"/>
      <c r="C509" s="331"/>
      <c r="D509" s="331"/>
      <c r="E509" s="331"/>
      <c r="F509" s="331"/>
      <c r="G509" s="331"/>
      <c r="H509" s="331"/>
      <c r="I509" s="331"/>
      <c r="J509" s="339"/>
      <c r="K509" s="339"/>
      <c r="L509" s="339"/>
      <c r="M509" s="331"/>
      <c r="N509" s="303"/>
      <c r="O509" s="303"/>
      <c r="P509" s="303"/>
      <c r="Q509" s="303"/>
      <c r="R509" s="303"/>
      <c r="S509" s="303"/>
      <c r="T509" s="331"/>
      <c r="U509" s="331"/>
      <c r="V509" s="331"/>
      <c r="W509" s="331"/>
      <c r="X509" s="331"/>
      <c r="Y509" s="331"/>
      <c r="Z509" s="331"/>
    </row>
    <row r="510">
      <c r="A510" s="331"/>
      <c r="B510" s="331"/>
      <c r="C510" s="331"/>
      <c r="D510" s="331"/>
      <c r="E510" s="331"/>
      <c r="F510" s="331"/>
      <c r="G510" s="331"/>
      <c r="H510" s="331"/>
      <c r="I510" s="331"/>
      <c r="J510" s="339"/>
      <c r="K510" s="339"/>
      <c r="L510" s="339"/>
      <c r="M510" s="331"/>
      <c r="N510" s="303"/>
      <c r="O510" s="303"/>
      <c r="P510" s="303"/>
      <c r="Q510" s="303"/>
      <c r="R510" s="303"/>
      <c r="S510" s="303"/>
      <c r="T510" s="331"/>
      <c r="U510" s="331"/>
      <c r="V510" s="331"/>
      <c r="W510" s="331"/>
      <c r="X510" s="331"/>
      <c r="Y510" s="331"/>
      <c r="Z510" s="331"/>
    </row>
    <row r="511">
      <c r="A511" s="331"/>
      <c r="B511" s="331"/>
      <c r="C511" s="331"/>
      <c r="D511" s="331"/>
      <c r="E511" s="331"/>
      <c r="F511" s="331"/>
      <c r="G511" s="331"/>
      <c r="H511" s="331"/>
      <c r="I511" s="331"/>
      <c r="J511" s="339"/>
      <c r="K511" s="339"/>
      <c r="L511" s="339"/>
      <c r="M511" s="331"/>
      <c r="N511" s="303"/>
      <c r="O511" s="303"/>
      <c r="P511" s="303"/>
      <c r="Q511" s="303"/>
      <c r="R511" s="303"/>
      <c r="S511" s="303"/>
      <c r="T511" s="331"/>
      <c r="U511" s="331"/>
      <c r="V511" s="331"/>
      <c r="W511" s="331"/>
      <c r="X511" s="331"/>
      <c r="Y511" s="331"/>
      <c r="Z511" s="331"/>
    </row>
    <row r="512">
      <c r="A512" s="331"/>
      <c r="B512" s="331"/>
      <c r="C512" s="331"/>
      <c r="D512" s="331"/>
      <c r="E512" s="331"/>
      <c r="F512" s="331"/>
      <c r="G512" s="331"/>
      <c r="H512" s="331"/>
      <c r="I512" s="331"/>
      <c r="J512" s="339"/>
      <c r="K512" s="339"/>
      <c r="L512" s="339"/>
      <c r="M512" s="331"/>
      <c r="N512" s="303"/>
      <c r="O512" s="303"/>
      <c r="P512" s="303"/>
      <c r="Q512" s="303"/>
      <c r="R512" s="303"/>
      <c r="S512" s="303"/>
      <c r="T512" s="331"/>
      <c r="U512" s="331"/>
      <c r="V512" s="331"/>
      <c r="W512" s="331"/>
      <c r="X512" s="331"/>
      <c r="Y512" s="331"/>
      <c r="Z512" s="331"/>
    </row>
    <row r="513">
      <c r="A513" s="331"/>
      <c r="B513" s="331"/>
      <c r="C513" s="331"/>
      <c r="D513" s="331"/>
      <c r="E513" s="331"/>
      <c r="F513" s="331"/>
      <c r="G513" s="331"/>
      <c r="H513" s="331"/>
      <c r="I513" s="331"/>
      <c r="J513" s="339"/>
      <c r="K513" s="339"/>
      <c r="L513" s="339"/>
      <c r="M513" s="331"/>
      <c r="N513" s="303"/>
      <c r="O513" s="303"/>
      <c r="P513" s="303"/>
      <c r="Q513" s="303"/>
      <c r="R513" s="303"/>
      <c r="S513" s="303"/>
      <c r="T513" s="331"/>
      <c r="U513" s="331"/>
      <c r="V513" s="331"/>
      <c r="W513" s="331"/>
      <c r="X513" s="331"/>
      <c r="Y513" s="331"/>
      <c r="Z513" s="331"/>
    </row>
    <row r="514">
      <c r="A514" s="331"/>
      <c r="B514" s="331"/>
      <c r="C514" s="331"/>
      <c r="D514" s="331"/>
      <c r="E514" s="331"/>
      <c r="F514" s="331"/>
      <c r="G514" s="331"/>
      <c r="H514" s="331"/>
      <c r="I514" s="331"/>
      <c r="J514" s="339"/>
      <c r="K514" s="339"/>
      <c r="L514" s="339"/>
      <c r="M514" s="331"/>
      <c r="N514" s="303"/>
      <c r="O514" s="303"/>
      <c r="P514" s="303"/>
      <c r="Q514" s="303"/>
      <c r="R514" s="303"/>
      <c r="S514" s="303"/>
      <c r="T514" s="331"/>
      <c r="U514" s="331"/>
      <c r="V514" s="331"/>
      <c r="W514" s="331"/>
      <c r="X514" s="331"/>
      <c r="Y514" s="331"/>
      <c r="Z514" s="331"/>
    </row>
    <row r="515">
      <c r="A515" s="331"/>
      <c r="B515" s="331"/>
      <c r="C515" s="331"/>
      <c r="D515" s="331"/>
      <c r="E515" s="331"/>
      <c r="F515" s="331"/>
      <c r="G515" s="331"/>
      <c r="H515" s="331"/>
      <c r="I515" s="331"/>
      <c r="J515" s="339"/>
      <c r="K515" s="339"/>
      <c r="L515" s="339"/>
      <c r="M515" s="331"/>
      <c r="N515" s="303"/>
      <c r="O515" s="303"/>
      <c r="P515" s="303"/>
      <c r="Q515" s="303"/>
      <c r="R515" s="303"/>
      <c r="S515" s="303"/>
      <c r="T515" s="331"/>
      <c r="U515" s="331"/>
      <c r="V515" s="331"/>
      <c r="W515" s="331"/>
      <c r="X515" s="331"/>
      <c r="Y515" s="331"/>
      <c r="Z515" s="331"/>
    </row>
    <row r="516">
      <c r="A516" s="331"/>
      <c r="B516" s="331"/>
      <c r="C516" s="331"/>
      <c r="D516" s="331"/>
      <c r="E516" s="331"/>
      <c r="F516" s="331"/>
      <c r="G516" s="331"/>
      <c r="H516" s="331"/>
      <c r="I516" s="331"/>
      <c r="J516" s="339"/>
      <c r="K516" s="339"/>
      <c r="L516" s="339"/>
      <c r="M516" s="331"/>
      <c r="N516" s="303"/>
      <c r="O516" s="303"/>
      <c r="P516" s="303"/>
      <c r="Q516" s="303"/>
      <c r="R516" s="303"/>
      <c r="S516" s="303"/>
      <c r="T516" s="331"/>
      <c r="U516" s="331"/>
      <c r="V516" s="331"/>
      <c r="W516" s="331"/>
      <c r="X516" s="331"/>
      <c r="Y516" s="331"/>
      <c r="Z516" s="331"/>
    </row>
    <row r="517">
      <c r="A517" s="331"/>
      <c r="B517" s="331"/>
      <c r="C517" s="331"/>
      <c r="D517" s="331"/>
      <c r="E517" s="331"/>
      <c r="F517" s="331"/>
      <c r="G517" s="331"/>
      <c r="H517" s="331"/>
      <c r="I517" s="331"/>
      <c r="J517" s="339"/>
      <c r="K517" s="339"/>
      <c r="L517" s="339"/>
      <c r="M517" s="331"/>
      <c r="N517" s="303"/>
      <c r="O517" s="303"/>
      <c r="P517" s="303"/>
      <c r="Q517" s="303"/>
      <c r="R517" s="303"/>
      <c r="S517" s="303"/>
      <c r="T517" s="331"/>
      <c r="U517" s="331"/>
      <c r="V517" s="331"/>
      <c r="W517" s="331"/>
      <c r="X517" s="331"/>
      <c r="Y517" s="331"/>
      <c r="Z517" s="331"/>
    </row>
    <row r="518">
      <c r="A518" s="331"/>
      <c r="B518" s="331"/>
      <c r="C518" s="331"/>
      <c r="D518" s="331"/>
      <c r="E518" s="331"/>
      <c r="F518" s="331"/>
      <c r="G518" s="331"/>
      <c r="H518" s="331"/>
      <c r="I518" s="331"/>
      <c r="J518" s="339"/>
      <c r="K518" s="339"/>
      <c r="L518" s="339"/>
      <c r="M518" s="331"/>
      <c r="N518" s="303"/>
      <c r="O518" s="303"/>
      <c r="P518" s="303"/>
      <c r="Q518" s="303"/>
      <c r="R518" s="303"/>
      <c r="S518" s="303"/>
      <c r="T518" s="331"/>
      <c r="U518" s="331"/>
      <c r="V518" s="331"/>
      <c r="W518" s="331"/>
      <c r="X518" s="331"/>
      <c r="Y518" s="331"/>
      <c r="Z518" s="331"/>
    </row>
    <row r="519">
      <c r="A519" s="331"/>
      <c r="B519" s="331"/>
      <c r="C519" s="331"/>
      <c r="D519" s="331"/>
      <c r="E519" s="331"/>
      <c r="F519" s="331"/>
      <c r="G519" s="331"/>
      <c r="H519" s="331"/>
      <c r="I519" s="331"/>
      <c r="J519" s="339"/>
      <c r="K519" s="339"/>
      <c r="L519" s="339"/>
      <c r="M519" s="331"/>
      <c r="N519" s="303"/>
      <c r="O519" s="303"/>
      <c r="P519" s="303"/>
      <c r="Q519" s="303"/>
      <c r="R519" s="303"/>
      <c r="S519" s="303"/>
      <c r="T519" s="331"/>
      <c r="U519" s="331"/>
      <c r="V519" s="331"/>
      <c r="W519" s="331"/>
      <c r="X519" s="331"/>
      <c r="Y519" s="331"/>
      <c r="Z519" s="331"/>
    </row>
    <row r="520">
      <c r="A520" s="331"/>
      <c r="B520" s="331"/>
      <c r="C520" s="331"/>
      <c r="D520" s="331"/>
      <c r="E520" s="331"/>
      <c r="F520" s="331"/>
      <c r="G520" s="331"/>
      <c r="H520" s="331"/>
      <c r="I520" s="331"/>
      <c r="J520" s="339"/>
      <c r="K520" s="339"/>
      <c r="L520" s="339"/>
      <c r="M520" s="331"/>
      <c r="N520" s="303"/>
      <c r="O520" s="303"/>
      <c r="P520" s="303"/>
      <c r="Q520" s="303"/>
      <c r="R520" s="303"/>
      <c r="S520" s="303"/>
      <c r="T520" s="331"/>
      <c r="U520" s="331"/>
      <c r="V520" s="331"/>
      <c r="W520" s="331"/>
      <c r="X520" s="331"/>
      <c r="Y520" s="331"/>
      <c r="Z520" s="331"/>
    </row>
    <row r="521">
      <c r="A521" s="331"/>
      <c r="B521" s="331"/>
      <c r="C521" s="331"/>
      <c r="D521" s="331"/>
      <c r="E521" s="331"/>
      <c r="F521" s="331"/>
      <c r="G521" s="331"/>
      <c r="H521" s="331"/>
      <c r="I521" s="331"/>
      <c r="J521" s="339"/>
      <c r="K521" s="339"/>
      <c r="L521" s="339"/>
      <c r="M521" s="331"/>
      <c r="N521" s="303"/>
      <c r="O521" s="303"/>
      <c r="P521" s="303"/>
      <c r="Q521" s="303"/>
      <c r="R521" s="303"/>
      <c r="S521" s="303"/>
      <c r="T521" s="331"/>
      <c r="U521" s="331"/>
      <c r="V521" s="331"/>
      <c r="W521" s="331"/>
      <c r="X521" s="331"/>
      <c r="Y521" s="331"/>
      <c r="Z521" s="331"/>
    </row>
    <row r="522">
      <c r="A522" s="331"/>
      <c r="B522" s="331"/>
      <c r="C522" s="331"/>
      <c r="D522" s="331"/>
      <c r="E522" s="331"/>
      <c r="F522" s="331"/>
      <c r="G522" s="331"/>
      <c r="H522" s="331"/>
      <c r="I522" s="331"/>
      <c r="J522" s="339"/>
      <c r="K522" s="339"/>
      <c r="L522" s="339"/>
      <c r="M522" s="331"/>
      <c r="N522" s="303"/>
      <c r="O522" s="303"/>
      <c r="P522" s="303"/>
      <c r="Q522" s="303"/>
      <c r="R522" s="303"/>
      <c r="S522" s="303"/>
      <c r="T522" s="331"/>
      <c r="U522" s="331"/>
      <c r="V522" s="331"/>
      <c r="W522" s="331"/>
      <c r="X522" s="331"/>
      <c r="Y522" s="331"/>
      <c r="Z522" s="331"/>
    </row>
    <row r="523">
      <c r="A523" s="331"/>
      <c r="B523" s="331"/>
      <c r="C523" s="331"/>
      <c r="D523" s="331"/>
      <c r="E523" s="331"/>
      <c r="F523" s="331"/>
      <c r="G523" s="331"/>
      <c r="H523" s="331"/>
      <c r="I523" s="331"/>
      <c r="J523" s="339"/>
      <c r="K523" s="339"/>
      <c r="L523" s="339"/>
      <c r="M523" s="331"/>
      <c r="N523" s="303"/>
      <c r="O523" s="303"/>
      <c r="P523" s="303"/>
      <c r="Q523" s="303"/>
      <c r="R523" s="303"/>
      <c r="S523" s="303"/>
      <c r="T523" s="331"/>
      <c r="U523" s="331"/>
      <c r="V523" s="331"/>
      <c r="W523" s="331"/>
      <c r="X523" s="331"/>
      <c r="Y523" s="331"/>
      <c r="Z523" s="331"/>
    </row>
    <row r="524">
      <c r="A524" s="331"/>
      <c r="B524" s="331"/>
      <c r="C524" s="331"/>
      <c r="D524" s="331"/>
      <c r="E524" s="331"/>
      <c r="F524" s="331"/>
      <c r="G524" s="331"/>
      <c r="H524" s="331"/>
      <c r="I524" s="331"/>
      <c r="J524" s="339"/>
      <c r="K524" s="339"/>
      <c r="L524" s="339"/>
      <c r="M524" s="331"/>
      <c r="N524" s="303"/>
      <c r="O524" s="303"/>
      <c r="P524" s="303"/>
      <c r="Q524" s="303"/>
      <c r="R524" s="303"/>
      <c r="S524" s="303"/>
      <c r="T524" s="331"/>
      <c r="U524" s="331"/>
      <c r="V524" s="331"/>
      <c r="W524" s="331"/>
      <c r="X524" s="331"/>
      <c r="Y524" s="331"/>
      <c r="Z524" s="331"/>
    </row>
    <row r="525">
      <c r="A525" s="331"/>
      <c r="B525" s="331"/>
      <c r="C525" s="331"/>
      <c r="D525" s="331"/>
      <c r="E525" s="331"/>
      <c r="F525" s="331"/>
      <c r="G525" s="331"/>
      <c r="H525" s="331"/>
      <c r="I525" s="331"/>
      <c r="J525" s="339"/>
      <c r="K525" s="339"/>
      <c r="L525" s="339"/>
      <c r="M525" s="331"/>
      <c r="N525" s="303"/>
      <c r="O525" s="303"/>
      <c r="P525" s="303"/>
      <c r="Q525" s="303"/>
      <c r="R525" s="303"/>
      <c r="S525" s="303"/>
      <c r="T525" s="331"/>
      <c r="U525" s="331"/>
      <c r="V525" s="331"/>
      <c r="W525" s="331"/>
      <c r="X525" s="331"/>
      <c r="Y525" s="331"/>
      <c r="Z525" s="331"/>
    </row>
    <row r="526">
      <c r="A526" s="331"/>
      <c r="B526" s="331"/>
      <c r="C526" s="331"/>
      <c r="D526" s="331"/>
      <c r="E526" s="331"/>
      <c r="F526" s="331"/>
      <c r="G526" s="331"/>
      <c r="H526" s="331"/>
      <c r="I526" s="331"/>
      <c r="J526" s="339"/>
      <c r="K526" s="339"/>
      <c r="L526" s="339"/>
      <c r="M526" s="331"/>
      <c r="N526" s="303"/>
      <c r="O526" s="303"/>
      <c r="P526" s="303"/>
      <c r="Q526" s="303"/>
      <c r="R526" s="303"/>
      <c r="S526" s="303"/>
      <c r="T526" s="331"/>
      <c r="U526" s="331"/>
      <c r="V526" s="331"/>
      <c r="W526" s="331"/>
      <c r="X526" s="331"/>
      <c r="Y526" s="331"/>
      <c r="Z526" s="331"/>
    </row>
    <row r="527">
      <c r="A527" s="331"/>
      <c r="B527" s="331"/>
      <c r="C527" s="331"/>
      <c r="D527" s="331"/>
      <c r="E527" s="331"/>
      <c r="F527" s="331"/>
      <c r="G527" s="331"/>
      <c r="H527" s="331"/>
      <c r="I527" s="331"/>
      <c r="J527" s="339"/>
      <c r="K527" s="339"/>
      <c r="L527" s="339"/>
      <c r="M527" s="331"/>
      <c r="N527" s="303"/>
      <c r="O527" s="303"/>
      <c r="P527" s="303"/>
      <c r="Q527" s="303"/>
      <c r="R527" s="303"/>
      <c r="S527" s="303"/>
      <c r="T527" s="331"/>
      <c r="U527" s="331"/>
      <c r="V527" s="331"/>
      <c r="W527" s="331"/>
      <c r="X527" s="331"/>
      <c r="Y527" s="331"/>
      <c r="Z527" s="331"/>
    </row>
    <row r="528">
      <c r="A528" s="331"/>
      <c r="B528" s="331"/>
      <c r="C528" s="331"/>
      <c r="D528" s="331"/>
      <c r="E528" s="331"/>
      <c r="F528" s="331"/>
      <c r="G528" s="331"/>
      <c r="H528" s="331"/>
      <c r="I528" s="331"/>
      <c r="J528" s="339"/>
      <c r="K528" s="339"/>
      <c r="L528" s="339"/>
      <c r="M528" s="331"/>
      <c r="N528" s="303"/>
      <c r="O528" s="303"/>
      <c r="P528" s="303"/>
      <c r="Q528" s="303"/>
      <c r="R528" s="303"/>
      <c r="S528" s="303"/>
      <c r="T528" s="331"/>
      <c r="U528" s="331"/>
      <c r="V528" s="331"/>
      <c r="W528" s="331"/>
      <c r="X528" s="331"/>
      <c r="Y528" s="331"/>
      <c r="Z528" s="331"/>
    </row>
    <row r="529">
      <c r="A529" s="331"/>
      <c r="B529" s="331"/>
      <c r="C529" s="331"/>
      <c r="D529" s="331"/>
      <c r="E529" s="331"/>
      <c r="F529" s="331"/>
      <c r="G529" s="331"/>
      <c r="H529" s="331"/>
      <c r="I529" s="331"/>
      <c r="J529" s="339"/>
      <c r="K529" s="339"/>
      <c r="L529" s="339"/>
      <c r="M529" s="331"/>
      <c r="N529" s="303"/>
      <c r="O529" s="303"/>
      <c r="P529" s="303"/>
      <c r="Q529" s="303"/>
      <c r="R529" s="303"/>
      <c r="S529" s="303"/>
      <c r="T529" s="331"/>
      <c r="U529" s="331"/>
      <c r="V529" s="331"/>
      <c r="W529" s="331"/>
      <c r="X529" s="331"/>
      <c r="Y529" s="331"/>
      <c r="Z529" s="331"/>
    </row>
    <row r="530">
      <c r="A530" s="331"/>
      <c r="B530" s="331"/>
      <c r="C530" s="331"/>
      <c r="D530" s="331"/>
      <c r="E530" s="331"/>
      <c r="F530" s="331"/>
      <c r="G530" s="331"/>
      <c r="H530" s="331"/>
      <c r="I530" s="331"/>
      <c r="J530" s="339"/>
      <c r="K530" s="339"/>
      <c r="L530" s="339"/>
      <c r="M530" s="331"/>
      <c r="N530" s="303"/>
      <c r="O530" s="303"/>
      <c r="P530" s="303"/>
      <c r="Q530" s="303"/>
      <c r="R530" s="303"/>
      <c r="S530" s="303"/>
      <c r="T530" s="331"/>
      <c r="U530" s="331"/>
      <c r="V530" s="331"/>
      <c r="W530" s="331"/>
      <c r="X530" s="331"/>
      <c r="Y530" s="331"/>
      <c r="Z530" s="331"/>
    </row>
    <row r="531">
      <c r="A531" s="331"/>
      <c r="B531" s="331"/>
      <c r="C531" s="331"/>
      <c r="D531" s="331"/>
      <c r="E531" s="331"/>
      <c r="F531" s="331"/>
      <c r="G531" s="331"/>
      <c r="H531" s="331"/>
      <c r="I531" s="331"/>
      <c r="J531" s="339"/>
      <c r="K531" s="339"/>
      <c r="L531" s="339"/>
      <c r="M531" s="331"/>
      <c r="N531" s="303"/>
      <c r="O531" s="303"/>
      <c r="P531" s="303"/>
      <c r="Q531" s="303"/>
      <c r="R531" s="303"/>
      <c r="S531" s="303"/>
      <c r="T531" s="331"/>
      <c r="U531" s="331"/>
      <c r="V531" s="331"/>
      <c r="W531" s="331"/>
      <c r="X531" s="331"/>
      <c r="Y531" s="331"/>
      <c r="Z531" s="331"/>
    </row>
    <row r="532">
      <c r="A532" s="331"/>
      <c r="B532" s="331"/>
      <c r="C532" s="331"/>
      <c r="D532" s="331"/>
      <c r="E532" s="331"/>
      <c r="F532" s="331"/>
      <c r="G532" s="331"/>
      <c r="H532" s="331"/>
      <c r="I532" s="331"/>
      <c r="J532" s="339"/>
      <c r="K532" s="339"/>
      <c r="L532" s="339"/>
      <c r="M532" s="331"/>
      <c r="N532" s="303"/>
      <c r="O532" s="303"/>
      <c r="P532" s="303"/>
      <c r="Q532" s="303"/>
      <c r="R532" s="303"/>
      <c r="S532" s="303"/>
      <c r="T532" s="331"/>
      <c r="U532" s="331"/>
      <c r="V532" s="331"/>
      <c r="W532" s="331"/>
      <c r="X532" s="331"/>
      <c r="Y532" s="331"/>
      <c r="Z532" s="331"/>
    </row>
    <row r="533">
      <c r="A533" s="331"/>
      <c r="B533" s="331"/>
      <c r="C533" s="331"/>
      <c r="D533" s="331"/>
      <c r="E533" s="331"/>
      <c r="F533" s="331"/>
      <c r="G533" s="331"/>
      <c r="H533" s="331"/>
      <c r="I533" s="331"/>
      <c r="J533" s="339"/>
      <c r="K533" s="339"/>
      <c r="L533" s="339"/>
      <c r="M533" s="331"/>
      <c r="N533" s="303"/>
      <c r="O533" s="303"/>
      <c r="P533" s="303"/>
      <c r="Q533" s="303"/>
      <c r="R533" s="303"/>
      <c r="S533" s="303"/>
      <c r="T533" s="331"/>
      <c r="U533" s="331"/>
      <c r="V533" s="331"/>
      <c r="W533" s="331"/>
      <c r="X533" s="331"/>
      <c r="Y533" s="331"/>
      <c r="Z533" s="331"/>
    </row>
    <row r="534">
      <c r="A534" s="331"/>
      <c r="B534" s="331"/>
      <c r="C534" s="331"/>
      <c r="D534" s="331"/>
      <c r="E534" s="331"/>
      <c r="F534" s="331"/>
      <c r="G534" s="331"/>
      <c r="H534" s="331"/>
      <c r="I534" s="331"/>
      <c r="J534" s="339"/>
      <c r="K534" s="339"/>
      <c r="L534" s="339"/>
      <c r="M534" s="331"/>
      <c r="N534" s="303"/>
      <c r="O534" s="303"/>
      <c r="P534" s="303"/>
      <c r="Q534" s="303"/>
      <c r="R534" s="303"/>
      <c r="S534" s="303"/>
      <c r="T534" s="331"/>
      <c r="U534" s="331"/>
      <c r="V534" s="331"/>
      <c r="W534" s="331"/>
      <c r="X534" s="331"/>
      <c r="Y534" s="331"/>
      <c r="Z534" s="331"/>
    </row>
    <row r="535">
      <c r="A535" s="331"/>
      <c r="B535" s="331"/>
      <c r="C535" s="331"/>
      <c r="D535" s="331"/>
      <c r="E535" s="331"/>
      <c r="F535" s="331"/>
      <c r="G535" s="331"/>
      <c r="H535" s="331"/>
      <c r="I535" s="331"/>
      <c r="J535" s="339"/>
      <c r="K535" s="339"/>
      <c r="L535" s="339"/>
      <c r="M535" s="331"/>
      <c r="N535" s="303"/>
      <c r="O535" s="303"/>
      <c r="P535" s="303"/>
      <c r="Q535" s="303"/>
      <c r="R535" s="303"/>
      <c r="S535" s="303"/>
      <c r="T535" s="331"/>
      <c r="U535" s="331"/>
      <c r="V535" s="331"/>
      <c r="W535" s="331"/>
      <c r="X535" s="331"/>
      <c r="Y535" s="331"/>
      <c r="Z535" s="331"/>
    </row>
    <row r="536">
      <c r="A536" s="331"/>
      <c r="B536" s="331"/>
      <c r="C536" s="331"/>
      <c r="D536" s="331"/>
      <c r="E536" s="331"/>
      <c r="F536" s="331"/>
      <c r="G536" s="331"/>
      <c r="H536" s="331"/>
      <c r="I536" s="331"/>
      <c r="J536" s="339"/>
      <c r="K536" s="339"/>
      <c r="L536" s="339"/>
      <c r="M536" s="331"/>
      <c r="N536" s="303"/>
      <c r="O536" s="303"/>
      <c r="P536" s="303"/>
      <c r="Q536" s="303"/>
      <c r="R536" s="303"/>
      <c r="S536" s="303"/>
      <c r="T536" s="331"/>
      <c r="U536" s="331"/>
      <c r="V536" s="331"/>
      <c r="W536" s="331"/>
      <c r="X536" s="331"/>
      <c r="Y536" s="331"/>
      <c r="Z536" s="331"/>
    </row>
    <row r="537">
      <c r="A537" s="331"/>
      <c r="B537" s="331"/>
      <c r="C537" s="331"/>
      <c r="D537" s="331"/>
      <c r="E537" s="331"/>
      <c r="F537" s="331"/>
      <c r="G537" s="331"/>
      <c r="H537" s="331"/>
      <c r="I537" s="331"/>
      <c r="J537" s="339"/>
      <c r="K537" s="339"/>
      <c r="L537" s="339"/>
      <c r="M537" s="331"/>
      <c r="N537" s="303"/>
      <c r="O537" s="303"/>
      <c r="P537" s="303"/>
      <c r="Q537" s="303"/>
      <c r="R537" s="303"/>
      <c r="S537" s="303"/>
      <c r="T537" s="331"/>
      <c r="U537" s="331"/>
      <c r="V537" s="331"/>
      <c r="W537" s="331"/>
      <c r="X537" s="331"/>
      <c r="Y537" s="331"/>
      <c r="Z537" s="331"/>
    </row>
    <row r="538">
      <c r="A538" s="331"/>
      <c r="B538" s="331"/>
      <c r="C538" s="331"/>
      <c r="D538" s="331"/>
      <c r="E538" s="331"/>
      <c r="F538" s="331"/>
      <c r="G538" s="331"/>
      <c r="H538" s="331"/>
      <c r="I538" s="331"/>
      <c r="J538" s="339"/>
      <c r="K538" s="339"/>
      <c r="L538" s="339"/>
      <c r="M538" s="331"/>
      <c r="N538" s="303"/>
      <c r="O538" s="303"/>
      <c r="P538" s="303"/>
      <c r="Q538" s="303"/>
      <c r="R538" s="303"/>
      <c r="S538" s="303"/>
      <c r="T538" s="331"/>
      <c r="U538" s="331"/>
      <c r="V538" s="331"/>
      <c r="W538" s="331"/>
      <c r="X538" s="331"/>
      <c r="Y538" s="331"/>
      <c r="Z538" s="331"/>
    </row>
    <row r="539">
      <c r="A539" s="331"/>
      <c r="B539" s="331"/>
      <c r="C539" s="331"/>
      <c r="D539" s="331"/>
      <c r="E539" s="331"/>
      <c r="F539" s="331"/>
      <c r="G539" s="331"/>
      <c r="H539" s="331"/>
      <c r="I539" s="331"/>
      <c r="J539" s="339"/>
      <c r="K539" s="339"/>
      <c r="L539" s="339"/>
      <c r="M539" s="331"/>
      <c r="N539" s="303"/>
      <c r="O539" s="303"/>
      <c r="P539" s="303"/>
      <c r="Q539" s="303"/>
      <c r="R539" s="303"/>
      <c r="S539" s="303"/>
      <c r="T539" s="331"/>
      <c r="U539" s="331"/>
      <c r="V539" s="331"/>
      <c r="W539" s="331"/>
      <c r="X539" s="331"/>
      <c r="Y539" s="331"/>
      <c r="Z539" s="331"/>
    </row>
    <row r="540">
      <c r="A540" s="331"/>
      <c r="B540" s="331"/>
      <c r="C540" s="331"/>
      <c r="D540" s="331"/>
      <c r="E540" s="331"/>
      <c r="F540" s="331"/>
      <c r="G540" s="331"/>
      <c r="H540" s="331"/>
      <c r="I540" s="331"/>
      <c r="J540" s="339"/>
      <c r="K540" s="339"/>
      <c r="L540" s="339"/>
      <c r="M540" s="331"/>
      <c r="N540" s="303"/>
      <c r="O540" s="303"/>
      <c r="P540" s="303"/>
      <c r="Q540" s="303"/>
      <c r="R540" s="303"/>
      <c r="S540" s="303"/>
      <c r="T540" s="331"/>
      <c r="U540" s="331"/>
      <c r="V540" s="331"/>
      <c r="W540" s="331"/>
      <c r="X540" s="331"/>
      <c r="Y540" s="331"/>
      <c r="Z540" s="331"/>
    </row>
    <row r="541">
      <c r="A541" s="331"/>
      <c r="B541" s="331"/>
      <c r="C541" s="331"/>
      <c r="D541" s="331"/>
      <c r="E541" s="331"/>
      <c r="F541" s="331"/>
      <c r="G541" s="331"/>
      <c r="H541" s="331"/>
      <c r="I541" s="331"/>
      <c r="J541" s="339"/>
      <c r="K541" s="339"/>
      <c r="L541" s="339"/>
      <c r="M541" s="331"/>
      <c r="N541" s="303"/>
      <c r="O541" s="303"/>
      <c r="P541" s="303"/>
      <c r="Q541" s="303"/>
      <c r="R541" s="303"/>
      <c r="S541" s="303"/>
      <c r="T541" s="331"/>
      <c r="U541" s="331"/>
      <c r="V541" s="331"/>
      <c r="W541" s="331"/>
      <c r="X541" s="331"/>
      <c r="Y541" s="331"/>
      <c r="Z541" s="331"/>
    </row>
    <row r="542">
      <c r="A542" s="331"/>
      <c r="B542" s="331"/>
      <c r="C542" s="331"/>
      <c r="D542" s="331"/>
      <c r="E542" s="331"/>
      <c r="F542" s="331"/>
      <c r="G542" s="331"/>
      <c r="H542" s="331"/>
      <c r="I542" s="331"/>
      <c r="J542" s="339"/>
      <c r="K542" s="339"/>
      <c r="L542" s="339"/>
      <c r="M542" s="331"/>
      <c r="N542" s="303"/>
      <c r="O542" s="303"/>
      <c r="P542" s="303"/>
      <c r="Q542" s="303"/>
      <c r="R542" s="303"/>
      <c r="S542" s="303"/>
      <c r="T542" s="331"/>
      <c r="U542" s="331"/>
      <c r="V542" s="331"/>
      <c r="W542" s="331"/>
      <c r="X542" s="331"/>
      <c r="Y542" s="331"/>
      <c r="Z542" s="331"/>
    </row>
    <row r="543">
      <c r="A543" s="331"/>
      <c r="B543" s="331"/>
      <c r="C543" s="331"/>
      <c r="D543" s="331"/>
      <c r="E543" s="331"/>
      <c r="F543" s="331"/>
      <c r="G543" s="331"/>
      <c r="H543" s="331"/>
      <c r="I543" s="331"/>
      <c r="J543" s="339"/>
      <c r="K543" s="339"/>
      <c r="L543" s="339"/>
      <c r="M543" s="331"/>
      <c r="N543" s="303"/>
      <c r="O543" s="303"/>
      <c r="P543" s="303"/>
      <c r="Q543" s="303"/>
      <c r="R543" s="303"/>
      <c r="S543" s="303"/>
      <c r="T543" s="331"/>
      <c r="U543" s="331"/>
      <c r="V543" s="331"/>
      <c r="W543" s="331"/>
      <c r="X543" s="331"/>
      <c r="Y543" s="331"/>
      <c r="Z543" s="331"/>
    </row>
    <row r="544">
      <c r="A544" s="331"/>
      <c r="B544" s="331"/>
      <c r="C544" s="331"/>
      <c r="D544" s="331"/>
      <c r="E544" s="331"/>
      <c r="F544" s="331"/>
      <c r="G544" s="331"/>
      <c r="H544" s="331"/>
      <c r="I544" s="331"/>
      <c r="J544" s="339"/>
      <c r="K544" s="339"/>
      <c r="L544" s="339"/>
      <c r="M544" s="331"/>
      <c r="N544" s="303"/>
      <c r="O544" s="303"/>
      <c r="P544" s="303"/>
      <c r="Q544" s="303"/>
      <c r="R544" s="303"/>
      <c r="S544" s="303"/>
      <c r="T544" s="331"/>
      <c r="U544" s="331"/>
      <c r="V544" s="331"/>
      <c r="W544" s="331"/>
      <c r="X544" s="331"/>
      <c r="Y544" s="331"/>
      <c r="Z544" s="331"/>
    </row>
    <row r="545">
      <c r="A545" s="331"/>
      <c r="B545" s="331"/>
      <c r="C545" s="331"/>
      <c r="D545" s="331"/>
      <c r="E545" s="331"/>
      <c r="F545" s="331"/>
      <c r="G545" s="331"/>
      <c r="H545" s="331"/>
      <c r="I545" s="331"/>
      <c r="J545" s="339"/>
      <c r="K545" s="339"/>
      <c r="L545" s="339"/>
      <c r="M545" s="331"/>
      <c r="N545" s="303"/>
      <c r="O545" s="303"/>
      <c r="P545" s="303"/>
      <c r="Q545" s="303"/>
      <c r="R545" s="303"/>
      <c r="S545" s="303"/>
      <c r="T545" s="331"/>
      <c r="U545" s="331"/>
      <c r="V545" s="331"/>
      <c r="W545" s="331"/>
      <c r="X545" s="331"/>
      <c r="Y545" s="331"/>
      <c r="Z545" s="331"/>
    </row>
    <row r="546">
      <c r="A546" s="331"/>
      <c r="B546" s="331"/>
      <c r="C546" s="331"/>
      <c r="D546" s="331"/>
      <c r="E546" s="331"/>
      <c r="F546" s="331"/>
      <c r="G546" s="331"/>
      <c r="H546" s="331"/>
      <c r="I546" s="331"/>
      <c r="J546" s="339"/>
      <c r="K546" s="339"/>
      <c r="L546" s="339"/>
      <c r="M546" s="331"/>
      <c r="N546" s="303"/>
      <c r="O546" s="303"/>
      <c r="P546" s="303"/>
      <c r="Q546" s="303"/>
      <c r="R546" s="303"/>
      <c r="S546" s="303"/>
      <c r="T546" s="331"/>
      <c r="U546" s="331"/>
      <c r="V546" s="331"/>
      <c r="W546" s="331"/>
      <c r="X546" s="331"/>
      <c r="Y546" s="331"/>
      <c r="Z546" s="331"/>
    </row>
    <row r="547">
      <c r="A547" s="331"/>
      <c r="B547" s="331"/>
      <c r="C547" s="331"/>
      <c r="D547" s="331"/>
      <c r="E547" s="331"/>
      <c r="F547" s="331"/>
      <c r="G547" s="331"/>
      <c r="H547" s="331"/>
      <c r="I547" s="331"/>
      <c r="J547" s="339"/>
      <c r="K547" s="339"/>
      <c r="L547" s="339"/>
      <c r="M547" s="331"/>
      <c r="N547" s="303"/>
      <c r="O547" s="303"/>
      <c r="P547" s="303"/>
      <c r="Q547" s="303"/>
      <c r="R547" s="303"/>
      <c r="S547" s="303"/>
      <c r="T547" s="331"/>
      <c r="U547" s="331"/>
      <c r="V547" s="331"/>
      <c r="W547" s="331"/>
      <c r="X547" s="331"/>
      <c r="Y547" s="331"/>
      <c r="Z547" s="331"/>
    </row>
    <row r="548">
      <c r="A548" s="331"/>
      <c r="B548" s="331"/>
      <c r="C548" s="331"/>
      <c r="D548" s="331"/>
      <c r="E548" s="331"/>
      <c r="F548" s="331"/>
      <c r="G548" s="331"/>
      <c r="H548" s="331"/>
      <c r="I548" s="331"/>
      <c r="J548" s="339"/>
      <c r="K548" s="339"/>
      <c r="L548" s="339"/>
      <c r="M548" s="331"/>
      <c r="N548" s="303"/>
      <c r="O548" s="303"/>
      <c r="P548" s="303"/>
      <c r="Q548" s="303"/>
      <c r="R548" s="303"/>
      <c r="S548" s="303"/>
      <c r="T548" s="331"/>
      <c r="U548" s="331"/>
      <c r="V548" s="331"/>
      <c r="W548" s="331"/>
      <c r="X548" s="331"/>
      <c r="Y548" s="331"/>
      <c r="Z548" s="331"/>
    </row>
    <row r="549">
      <c r="A549" s="331"/>
      <c r="B549" s="331"/>
      <c r="C549" s="331"/>
      <c r="D549" s="331"/>
      <c r="E549" s="331"/>
      <c r="F549" s="331"/>
      <c r="G549" s="331"/>
      <c r="H549" s="331"/>
      <c r="I549" s="331"/>
      <c r="J549" s="339"/>
      <c r="K549" s="339"/>
      <c r="L549" s="339"/>
      <c r="M549" s="331"/>
      <c r="N549" s="303"/>
      <c r="O549" s="303"/>
      <c r="P549" s="303"/>
      <c r="Q549" s="303"/>
      <c r="R549" s="303"/>
      <c r="S549" s="303"/>
      <c r="T549" s="331"/>
      <c r="U549" s="331"/>
      <c r="V549" s="331"/>
      <c r="W549" s="331"/>
      <c r="X549" s="331"/>
      <c r="Y549" s="331"/>
      <c r="Z549" s="331"/>
    </row>
    <row r="550">
      <c r="A550" s="331"/>
      <c r="B550" s="331"/>
      <c r="C550" s="331"/>
      <c r="D550" s="331"/>
      <c r="E550" s="331"/>
      <c r="F550" s="331"/>
      <c r="G550" s="331"/>
      <c r="H550" s="331"/>
      <c r="I550" s="331"/>
      <c r="J550" s="339"/>
      <c r="K550" s="339"/>
      <c r="L550" s="339"/>
      <c r="M550" s="331"/>
      <c r="N550" s="303"/>
      <c r="O550" s="303"/>
      <c r="P550" s="303"/>
      <c r="Q550" s="303"/>
      <c r="R550" s="303"/>
      <c r="S550" s="303"/>
      <c r="T550" s="331"/>
      <c r="U550" s="331"/>
      <c r="V550" s="331"/>
      <c r="W550" s="331"/>
      <c r="X550" s="331"/>
      <c r="Y550" s="331"/>
      <c r="Z550" s="331"/>
    </row>
    <row r="551">
      <c r="A551" s="331"/>
      <c r="B551" s="331"/>
      <c r="C551" s="331"/>
      <c r="D551" s="331"/>
      <c r="E551" s="331"/>
      <c r="F551" s="331"/>
      <c r="G551" s="331"/>
      <c r="H551" s="331"/>
      <c r="I551" s="331"/>
      <c r="J551" s="339"/>
      <c r="K551" s="339"/>
      <c r="L551" s="339"/>
      <c r="M551" s="331"/>
      <c r="N551" s="303"/>
      <c r="O551" s="303"/>
      <c r="P551" s="303"/>
      <c r="Q551" s="303"/>
      <c r="R551" s="303"/>
      <c r="S551" s="303"/>
      <c r="T551" s="331"/>
      <c r="U551" s="331"/>
      <c r="V551" s="331"/>
      <c r="W551" s="331"/>
      <c r="X551" s="331"/>
      <c r="Y551" s="331"/>
      <c r="Z551" s="331"/>
    </row>
    <row r="552">
      <c r="A552" s="331"/>
      <c r="B552" s="331"/>
      <c r="C552" s="331"/>
      <c r="D552" s="331"/>
      <c r="E552" s="331"/>
      <c r="F552" s="331"/>
      <c r="G552" s="331"/>
      <c r="H552" s="331"/>
      <c r="I552" s="331"/>
      <c r="J552" s="339"/>
      <c r="K552" s="339"/>
      <c r="L552" s="339"/>
      <c r="M552" s="331"/>
      <c r="N552" s="303"/>
      <c r="O552" s="303"/>
      <c r="P552" s="303"/>
      <c r="Q552" s="303"/>
      <c r="R552" s="303"/>
      <c r="S552" s="303"/>
      <c r="T552" s="331"/>
      <c r="U552" s="331"/>
      <c r="V552" s="331"/>
      <c r="W552" s="331"/>
      <c r="X552" s="331"/>
      <c r="Y552" s="331"/>
      <c r="Z552" s="331"/>
    </row>
    <row r="553">
      <c r="A553" s="331"/>
      <c r="B553" s="331"/>
      <c r="C553" s="331"/>
      <c r="D553" s="331"/>
      <c r="E553" s="331"/>
      <c r="F553" s="331"/>
      <c r="G553" s="331"/>
      <c r="H553" s="331"/>
      <c r="I553" s="331"/>
      <c r="J553" s="339"/>
      <c r="K553" s="339"/>
      <c r="L553" s="339"/>
      <c r="M553" s="331"/>
      <c r="N553" s="303"/>
      <c r="O553" s="303"/>
      <c r="P553" s="303"/>
      <c r="Q553" s="303"/>
      <c r="R553" s="303"/>
      <c r="S553" s="303"/>
      <c r="T553" s="331"/>
      <c r="U553" s="331"/>
      <c r="V553" s="331"/>
      <c r="W553" s="331"/>
      <c r="X553" s="331"/>
      <c r="Y553" s="331"/>
      <c r="Z553" s="331"/>
    </row>
    <row r="554">
      <c r="A554" s="331"/>
      <c r="B554" s="331"/>
      <c r="C554" s="331"/>
      <c r="D554" s="331"/>
      <c r="E554" s="331"/>
      <c r="F554" s="331"/>
      <c r="G554" s="331"/>
      <c r="H554" s="331"/>
      <c r="I554" s="331"/>
      <c r="J554" s="339"/>
      <c r="K554" s="339"/>
      <c r="L554" s="339"/>
      <c r="M554" s="331"/>
      <c r="N554" s="303"/>
      <c r="O554" s="303"/>
      <c r="P554" s="303"/>
      <c r="Q554" s="303"/>
      <c r="R554" s="303"/>
      <c r="S554" s="303"/>
      <c r="T554" s="331"/>
      <c r="U554" s="331"/>
      <c r="V554" s="331"/>
      <c r="W554" s="331"/>
      <c r="X554" s="331"/>
      <c r="Y554" s="331"/>
      <c r="Z554" s="331"/>
    </row>
    <row r="555">
      <c r="A555" s="331"/>
      <c r="B555" s="331"/>
      <c r="C555" s="331"/>
      <c r="D555" s="331"/>
      <c r="E555" s="331"/>
      <c r="F555" s="331"/>
      <c r="G555" s="331"/>
      <c r="H555" s="331"/>
      <c r="I555" s="331"/>
      <c r="J555" s="339"/>
      <c r="K555" s="339"/>
      <c r="L555" s="339"/>
      <c r="M555" s="331"/>
      <c r="N555" s="303"/>
      <c r="O555" s="303"/>
      <c r="P555" s="303"/>
      <c r="Q555" s="303"/>
      <c r="R555" s="303"/>
      <c r="S555" s="303"/>
      <c r="T555" s="331"/>
      <c r="U555" s="331"/>
      <c r="V555" s="331"/>
      <c r="W555" s="331"/>
      <c r="X555" s="331"/>
      <c r="Y555" s="331"/>
      <c r="Z555" s="331"/>
    </row>
    <row r="556">
      <c r="A556" s="331"/>
      <c r="B556" s="331"/>
      <c r="C556" s="331"/>
      <c r="D556" s="331"/>
      <c r="E556" s="331"/>
      <c r="F556" s="331"/>
      <c r="G556" s="331"/>
      <c r="H556" s="331"/>
      <c r="I556" s="331"/>
      <c r="J556" s="339"/>
      <c r="K556" s="339"/>
      <c r="L556" s="339"/>
      <c r="M556" s="331"/>
      <c r="N556" s="303"/>
      <c r="O556" s="303"/>
      <c r="P556" s="303"/>
      <c r="Q556" s="303"/>
      <c r="R556" s="303"/>
      <c r="S556" s="303"/>
      <c r="T556" s="331"/>
      <c r="U556" s="331"/>
      <c r="V556" s="331"/>
      <c r="W556" s="331"/>
      <c r="X556" s="331"/>
      <c r="Y556" s="331"/>
      <c r="Z556" s="331"/>
    </row>
    <row r="557">
      <c r="A557" s="331"/>
      <c r="B557" s="331"/>
      <c r="C557" s="331"/>
      <c r="D557" s="331"/>
      <c r="E557" s="331"/>
      <c r="F557" s="331"/>
      <c r="G557" s="331"/>
      <c r="H557" s="331"/>
      <c r="I557" s="331"/>
      <c r="J557" s="339"/>
      <c r="K557" s="339"/>
      <c r="L557" s="339"/>
      <c r="M557" s="331"/>
      <c r="N557" s="303"/>
      <c r="O557" s="303"/>
      <c r="P557" s="303"/>
      <c r="Q557" s="303"/>
      <c r="R557" s="303"/>
      <c r="S557" s="303"/>
      <c r="T557" s="331"/>
      <c r="U557" s="331"/>
      <c r="V557" s="331"/>
      <c r="W557" s="331"/>
      <c r="X557" s="331"/>
      <c r="Y557" s="331"/>
      <c r="Z557" s="331"/>
    </row>
    <row r="558">
      <c r="A558" s="331"/>
      <c r="B558" s="331"/>
      <c r="C558" s="331"/>
      <c r="D558" s="331"/>
      <c r="E558" s="331"/>
      <c r="F558" s="331"/>
      <c r="G558" s="331"/>
      <c r="H558" s="331"/>
      <c r="I558" s="331"/>
      <c r="J558" s="339"/>
      <c r="K558" s="339"/>
      <c r="L558" s="339"/>
      <c r="M558" s="331"/>
      <c r="N558" s="303"/>
      <c r="O558" s="303"/>
      <c r="P558" s="303"/>
      <c r="Q558" s="303"/>
      <c r="R558" s="303"/>
      <c r="S558" s="303"/>
      <c r="T558" s="331"/>
      <c r="U558" s="331"/>
      <c r="V558" s="331"/>
      <c r="W558" s="331"/>
      <c r="X558" s="331"/>
      <c r="Y558" s="331"/>
      <c r="Z558" s="331"/>
    </row>
    <row r="559">
      <c r="A559" s="331"/>
      <c r="B559" s="331"/>
      <c r="C559" s="331"/>
      <c r="D559" s="331"/>
      <c r="E559" s="331"/>
      <c r="F559" s="331"/>
      <c r="G559" s="331"/>
      <c r="H559" s="331"/>
      <c r="I559" s="331"/>
      <c r="J559" s="339"/>
      <c r="K559" s="339"/>
      <c r="L559" s="339"/>
      <c r="M559" s="331"/>
      <c r="N559" s="303"/>
      <c r="O559" s="303"/>
      <c r="P559" s="303"/>
      <c r="Q559" s="303"/>
      <c r="R559" s="303"/>
      <c r="S559" s="303"/>
      <c r="T559" s="331"/>
      <c r="U559" s="331"/>
      <c r="V559" s="331"/>
      <c r="W559" s="331"/>
      <c r="X559" s="331"/>
      <c r="Y559" s="331"/>
      <c r="Z559" s="331"/>
    </row>
    <row r="560">
      <c r="A560" s="331"/>
      <c r="B560" s="331"/>
      <c r="C560" s="331"/>
      <c r="D560" s="331"/>
      <c r="E560" s="331"/>
      <c r="F560" s="331"/>
      <c r="G560" s="331"/>
      <c r="H560" s="331"/>
      <c r="I560" s="331"/>
      <c r="J560" s="339"/>
      <c r="K560" s="339"/>
      <c r="L560" s="339"/>
      <c r="M560" s="331"/>
      <c r="N560" s="303"/>
      <c r="O560" s="303"/>
      <c r="P560" s="303"/>
      <c r="Q560" s="303"/>
      <c r="R560" s="303"/>
      <c r="S560" s="303"/>
      <c r="T560" s="331"/>
      <c r="U560" s="331"/>
      <c r="V560" s="331"/>
      <c r="W560" s="331"/>
      <c r="X560" s="331"/>
      <c r="Y560" s="331"/>
      <c r="Z560" s="331"/>
    </row>
    <row r="561">
      <c r="A561" s="331"/>
      <c r="B561" s="331"/>
      <c r="C561" s="331"/>
      <c r="D561" s="331"/>
      <c r="E561" s="331"/>
      <c r="F561" s="331"/>
      <c r="G561" s="331"/>
      <c r="H561" s="331"/>
      <c r="I561" s="331"/>
      <c r="J561" s="339"/>
      <c r="K561" s="339"/>
      <c r="L561" s="339"/>
      <c r="M561" s="331"/>
      <c r="N561" s="303"/>
      <c r="O561" s="303"/>
      <c r="P561" s="303"/>
      <c r="Q561" s="303"/>
      <c r="R561" s="303"/>
      <c r="S561" s="303"/>
      <c r="T561" s="331"/>
      <c r="U561" s="331"/>
      <c r="V561" s="331"/>
      <c r="W561" s="331"/>
      <c r="X561" s="331"/>
      <c r="Y561" s="331"/>
      <c r="Z561" s="331"/>
    </row>
    <row r="562">
      <c r="A562" s="331"/>
      <c r="B562" s="331"/>
      <c r="C562" s="331"/>
      <c r="D562" s="331"/>
      <c r="E562" s="331"/>
      <c r="F562" s="331"/>
      <c r="G562" s="331"/>
      <c r="H562" s="331"/>
      <c r="I562" s="331"/>
      <c r="J562" s="339"/>
      <c r="K562" s="339"/>
      <c r="L562" s="339"/>
      <c r="M562" s="331"/>
      <c r="N562" s="303"/>
      <c r="O562" s="303"/>
      <c r="P562" s="303"/>
      <c r="Q562" s="303"/>
      <c r="R562" s="303"/>
      <c r="S562" s="303"/>
      <c r="T562" s="331"/>
      <c r="U562" s="331"/>
      <c r="V562" s="331"/>
      <c r="W562" s="331"/>
      <c r="X562" s="331"/>
      <c r="Y562" s="331"/>
      <c r="Z562" s="331"/>
    </row>
    <row r="563">
      <c r="A563" s="331"/>
      <c r="B563" s="331"/>
      <c r="C563" s="331"/>
      <c r="D563" s="331"/>
      <c r="E563" s="331"/>
      <c r="F563" s="331"/>
      <c r="G563" s="331"/>
      <c r="H563" s="331"/>
      <c r="I563" s="331"/>
      <c r="J563" s="339"/>
      <c r="K563" s="339"/>
      <c r="L563" s="339"/>
      <c r="M563" s="331"/>
      <c r="N563" s="303"/>
      <c r="O563" s="303"/>
      <c r="P563" s="303"/>
      <c r="Q563" s="303"/>
      <c r="R563" s="303"/>
      <c r="S563" s="303"/>
      <c r="T563" s="331"/>
      <c r="U563" s="331"/>
      <c r="V563" s="331"/>
      <c r="W563" s="331"/>
      <c r="X563" s="331"/>
      <c r="Y563" s="331"/>
      <c r="Z563" s="331"/>
    </row>
    <row r="564">
      <c r="A564" s="331"/>
      <c r="B564" s="331"/>
      <c r="C564" s="331"/>
      <c r="D564" s="331"/>
      <c r="E564" s="331"/>
      <c r="F564" s="331"/>
      <c r="G564" s="331"/>
      <c r="H564" s="331"/>
      <c r="I564" s="331"/>
      <c r="J564" s="339"/>
      <c r="K564" s="339"/>
      <c r="L564" s="339"/>
      <c r="M564" s="331"/>
      <c r="N564" s="303"/>
      <c r="O564" s="303"/>
      <c r="P564" s="303"/>
      <c r="Q564" s="303"/>
      <c r="R564" s="303"/>
      <c r="S564" s="303"/>
      <c r="T564" s="331"/>
      <c r="U564" s="331"/>
      <c r="V564" s="331"/>
      <c r="W564" s="331"/>
      <c r="X564" s="331"/>
      <c r="Y564" s="331"/>
      <c r="Z564" s="331"/>
    </row>
    <row r="565">
      <c r="A565" s="331"/>
      <c r="B565" s="331"/>
      <c r="C565" s="331"/>
      <c r="D565" s="331"/>
      <c r="E565" s="331"/>
      <c r="F565" s="331"/>
      <c r="G565" s="331"/>
      <c r="H565" s="331"/>
      <c r="I565" s="331"/>
      <c r="J565" s="339"/>
      <c r="K565" s="339"/>
      <c r="L565" s="339"/>
      <c r="M565" s="331"/>
      <c r="N565" s="303"/>
      <c r="O565" s="303"/>
      <c r="P565" s="303"/>
      <c r="Q565" s="303"/>
      <c r="R565" s="303"/>
      <c r="S565" s="303"/>
      <c r="T565" s="331"/>
      <c r="U565" s="331"/>
      <c r="V565" s="331"/>
      <c r="W565" s="331"/>
      <c r="X565" s="331"/>
      <c r="Y565" s="331"/>
      <c r="Z565" s="331"/>
    </row>
    <row r="566">
      <c r="A566" s="331"/>
      <c r="B566" s="331"/>
      <c r="C566" s="331"/>
      <c r="D566" s="331"/>
      <c r="E566" s="331"/>
      <c r="F566" s="331"/>
      <c r="G566" s="331"/>
      <c r="H566" s="331"/>
      <c r="I566" s="331"/>
      <c r="J566" s="339"/>
      <c r="K566" s="339"/>
      <c r="L566" s="339"/>
      <c r="M566" s="331"/>
      <c r="N566" s="303"/>
      <c r="O566" s="303"/>
      <c r="P566" s="303"/>
      <c r="Q566" s="303"/>
      <c r="R566" s="303"/>
      <c r="S566" s="303"/>
      <c r="T566" s="331"/>
      <c r="U566" s="331"/>
      <c r="V566" s="331"/>
      <c r="W566" s="331"/>
      <c r="X566" s="331"/>
      <c r="Y566" s="331"/>
      <c r="Z566" s="331"/>
    </row>
    <row r="567">
      <c r="A567" s="331"/>
      <c r="B567" s="331"/>
      <c r="C567" s="331"/>
      <c r="D567" s="331"/>
      <c r="E567" s="331"/>
      <c r="F567" s="331"/>
      <c r="G567" s="331"/>
      <c r="H567" s="331"/>
      <c r="I567" s="331"/>
      <c r="J567" s="339"/>
      <c r="K567" s="339"/>
      <c r="L567" s="339"/>
      <c r="M567" s="331"/>
      <c r="N567" s="303"/>
      <c r="O567" s="303"/>
      <c r="P567" s="303"/>
      <c r="Q567" s="303"/>
      <c r="R567" s="303"/>
      <c r="S567" s="303"/>
      <c r="T567" s="331"/>
      <c r="U567" s="331"/>
      <c r="V567" s="331"/>
      <c r="W567" s="331"/>
      <c r="X567" s="331"/>
      <c r="Y567" s="331"/>
      <c r="Z567" s="331"/>
    </row>
    <row r="568">
      <c r="A568" s="331"/>
      <c r="B568" s="331"/>
      <c r="C568" s="331"/>
      <c r="D568" s="331"/>
      <c r="E568" s="331"/>
      <c r="F568" s="331"/>
      <c r="G568" s="331"/>
      <c r="H568" s="331"/>
      <c r="I568" s="331"/>
      <c r="J568" s="339"/>
      <c r="K568" s="339"/>
      <c r="L568" s="339"/>
      <c r="M568" s="331"/>
      <c r="N568" s="303"/>
      <c r="O568" s="303"/>
      <c r="P568" s="303"/>
      <c r="Q568" s="303"/>
      <c r="R568" s="303"/>
      <c r="S568" s="303"/>
      <c r="T568" s="331"/>
      <c r="U568" s="331"/>
      <c r="V568" s="331"/>
      <c r="W568" s="331"/>
      <c r="X568" s="331"/>
      <c r="Y568" s="331"/>
      <c r="Z568" s="331"/>
    </row>
    <row r="569">
      <c r="A569" s="331"/>
      <c r="B569" s="331"/>
      <c r="C569" s="331"/>
      <c r="D569" s="331"/>
      <c r="E569" s="331"/>
      <c r="F569" s="331"/>
      <c r="G569" s="331"/>
      <c r="H569" s="331"/>
      <c r="I569" s="331"/>
      <c r="J569" s="339"/>
      <c r="K569" s="339"/>
      <c r="L569" s="339"/>
      <c r="M569" s="331"/>
      <c r="N569" s="303"/>
      <c r="O569" s="303"/>
      <c r="P569" s="303"/>
      <c r="Q569" s="303"/>
      <c r="R569" s="303"/>
      <c r="S569" s="303"/>
      <c r="T569" s="331"/>
      <c r="U569" s="331"/>
      <c r="V569" s="331"/>
      <c r="W569" s="331"/>
      <c r="X569" s="331"/>
      <c r="Y569" s="331"/>
      <c r="Z569" s="331"/>
    </row>
    <row r="570">
      <c r="A570" s="331"/>
      <c r="B570" s="331"/>
      <c r="C570" s="331"/>
      <c r="D570" s="331"/>
      <c r="E570" s="331"/>
      <c r="F570" s="331"/>
      <c r="G570" s="331"/>
      <c r="H570" s="331"/>
      <c r="I570" s="331"/>
      <c r="J570" s="339"/>
      <c r="K570" s="339"/>
      <c r="L570" s="339"/>
      <c r="M570" s="331"/>
      <c r="N570" s="303"/>
      <c r="O570" s="303"/>
      <c r="P570" s="303"/>
      <c r="Q570" s="303"/>
      <c r="R570" s="303"/>
      <c r="S570" s="303"/>
      <c r="T570" s="331"/>
      <c r="U570" s="331"/>
      <c r="V570" s="331"/>
      <c r="W570" s="331"/>
      <c r="X570" s="331"/>
      <c r="Y570" s="331"/>
      <c r="Z570" s="331"/>
    </row>
    <row r="571">
      <c r="A571" s="331"/>
      <c r="B571" s="331"/>
      <c r="C571" s="331"/>
      <c r="D571" s="331"/>
      <c r="E571" s="331"/>
      <c r="F571" s="331"/>
      <c r="G571" s="331"/>
      <c r="H571" s="331"/>
      <c r="I571" s="331"/>
      <c r="J571" s="339"/>
      <c r="K571" s="339"/>
      <c r="L571" s="339"/>
      <c r="M571" s="331"/>
      <c r="N571" s="303"/>
      <c r="O571" s="303"/>
      <c r="P571" s="303"/>
      <c r="Q571" s="303"/>
      <c r="R571" s="303"/>
      <c r="S571" s="303"/>
      <c r="T571" s="331"/>
      <c r="U571" s="331"/>
      <c r="V571" s="331"/>
      <c r="W571" s="331"/>
      <c r="X571" s="331"/>
      <c r="Y571" s="331"/>
      <c r="Z571" s="331"/>
    </row>
    <row r="572">
      <c r="A572" s="331"/>
      <c r="B572" s="331"/>
      <c r="C572" s="331"/>
      <c r="D572" s="331"/>
      <c r="E572" s="331"/>
      <c r="F572" s="331"/>
      <c r="G572" s="331"/>
      <c r="H572" s="331"/>
      <c r="I572" s="331"/>
      <c r="J572" s="339"/>
      <c r="K572" s="339"/>
      <c r="L572" s="339"/>
      <c r="M572" s="331"/>
      <c r="N572" s="303"/>
      <c r="O572" s="303"/>
      <c r="P572" s="303"/>
      <c r="Q572" s="303"/>
      <c r="R572" s="303"/>
      <c r="S572" s="303"/>
      <c r="T572" s="331"/>
      <c r="U572" s="331"/>
      <c r="V572" s="331"/>
      <c r="W572" s="331"/>
      <c r="X572" s="331"/>
      <c r="Y572" s="331"/>
      <c r="Z572" s="331"/>
    </row>
    <row r="573">
      <c r="A573" s="331"/>
      <c r="B573" s="331"/>
      <c r="C573" s="331"/>
      <c r="D573" s="331"/>
      <c r="E573" s="331"/>
      <c r="F573" s="331"/>
      <c r="G573" s="331"/>
      <c r="H573" s="331"/>
      <c r="I573" s="331"/>
      <c r="J573" s="339"/>
      <c r="K573" s="339"/>
      <c r="L573" s="339"/>
      <c r="M573" s="331"/>
      <c r="N573" s="303"/>
      <c r="O573" s="303"/>
      <c r="P573" s="303"/>
      <c r="Q573" s="303"/>
      <c r="R573" s="303"/>
      <c r="S573" s="303"/>
      <c r="T573" s="331"/>
      <c r="U573" s="331"/>
      <c r="V573" s="331"/>
      <c r="W573" s="331"/>
      <c r="X573" s="331"/>
      <c r="Y573" s="331"/>
      <c r="Z573" s="331"/>
    </row>
    <row r="574">
      <c r="A574" s="331"/>
      <c r="B574" s="331"/>
      <c r="C574" s="331"/>
      <c r="D574" s="331"/>
      <c r="E574" s="331"/>
      <c r="F574" s="331"/>
      <c r="G574" s="331"/>
      <c r="H574" s="331"/>
      <c r="I574" s="331"/>
      <c r="J574" s="339"/>
      <c r="K574" s="339"/>
      <c r="L574" s="339"/>
      <c r="M574" s="331"/>
      <c r="N574" s="303"/>
      <c r="O574" s="303"/>
      <c r="P574" s="303"/>
      <c r="Q574" s="303"/>
      <c r="R574" s="303"/>
      <c r="S574" s="303"/>
      <c r="T574" s="331"/>
      <c r="U574" s="331"/>
      <c r="V574" s="331"/>
      <c r="W574" s="331"/>
      <c r="X574" s="331"/>
      <c r="Y574" s="331"/>
      <c r="Z574" s="331"/>
    </row>
    <row r="575">
      <c r="A575" s="331"/>
      <c r="B575" s="331"/>
      <c r="C575" s="331"/>
      <c r="D575" s="331"/>
      <c r="E575" s="331"/>
      <c r="F575" s="331"/>
      <c r="G575" s="331"/>
      <c r="H575" s="331"/>
      <c r="I575" s="331"/>
      <c r="J575" s="339"/>
      <c r="K575" s="339"/>
      <c r="L575" s="339"/>
      <c r="M575" s="331"/>
      <c r="N575" s="303"/>
      <c r="O575" s="303"/>
      <c r="P575" s="303"/>
      <c r="Q575" s="303"/>
      <c r="R575" s="303"/>
      <c r="S575" s="303"/>
      <c r="T575" s="331"/>
      <c r="U575" s="331"/>
      <c r="V575" s="331"/>
      <c r="W575" s="331"/>
      <c r="X575" s="331"/>
      <c r="Y575" s="331"/>
      <c r="Z575" s="331"/>
    </row>
    <row r="576">
      <c r="A576" s="331"/>
      <c r="B576" s="331"/>
      <c r="C576" s="331"/>
      <c r="D576" s="331"/>
      <c r="E576" s="331"/>
      <c r="F576" s="331"/>
      <c r="G576" s="331"/>
      <c r="H576" s="331"/>
      <c r="I576" s="331"/>
      <c r="J576" s="339"/>
      <c r="K576" s="339"/>
      <c r="L576" s="339"/>
      <c r="M576" s="331"/>
      <c r="N576" s="303"/>
      <c r="O576" s="303"/>
      <c r="P576" s="303"/>
      <c r="Q576" s="303"/>
      <c r="R576" s="303"/>
      <c r="S576" s="303"/>
      <c r="T576" s="331"/>
      <c r="U576" s="331"/>
      <c r="V576" s="331"/>
      <c r="W576" s="331"/>
      <c r="X576" s="331"/>
      <c r="Y576" s="331"/>
      <c r="Z576" s="331"/>
    </row>
    <row r="577">
      <c r="A577" s="331"/>
      <c r="B577" s="331"/>
      <c r="C577" s="331"/>
      <c r="D577" s="331"/>
      <c r="E577" s="331"/>
      <c r="F577" s="331"/>
      <c r="G577" s="331"/>
      <c r="H577" s="331"/>
      <c r="I577" s="331"/>
      <c r="J577" s="339"/>
      <c r="K577" s="339"/>
      <c r="L577" s="339"/>
      <c r="M577" s="331"/>
      <c r="N577" s="303"/>
      <c r="O577" s="303"/>
      <c r="P577" s="303"/>
      <c r="Q577" s="303"/>
      <c r="R577" s="303"/>
      <c r="S577" s="303"/>
      <c r="T577" s="331"/>
      <c r="U577" s="331"/>
      <c r="V577" s="331"/>
      <c r="W577" s="331"/>
      <c r="X577" s="331"/>
      <c r="Y577" s="331"/>
      <c r="Z577" s="331"/>
    </row>
    <row r="578">
      <c r="A578" s="331"/>
      <c r="B578" s="331"/>
      <c r="C578" s="331"/>
      <c r="D578" s="331"/>
      <c r="E578" s="331"/>
      <c r="F578" s="331"/>
      <c r="G578" s="331"/>
      <c r="H578" s="331"/>
      <c r="I578" s="331"/>
      <c r="J578" s="339"/>
      <c r="K578" s="339"/>
      <c r="L578" s="339"/>
      <c r="M578" s="331"/>
      <c r="N578" s="303"/>
      <c r="O578" s="303"/>
      <c r="P578" s="303"/>
      <c r="Q578" s="303"/>
      <c r="R578" s="303"/>
      <c r="S578" s="303"/>
      <c r="T578" s="331"/>
      <c r="U578" s="331"/>
      <c r="V578" s="331"/>
      <c r="W578" s="331"/>
      <c r="X578" s="331"/>
      <c r="Y578" s="331"/>
      <c r="Z578" s="331"/>
    </row>
    <row r="579">
      <c r="A579" s="331"/>
      <c r="B579" s="331"/>
      <c r="C579" s="331"/>
      <c r="D579" s="331"/>
      <c r="E579" s="331"/>
      <c r="F579" s="331"/>
      <c r="G579" s="331"/>
      <c r="H579" s="331"/>
      <c r="I579" s="331"/>
      <c r="J579" s="339"/>
      <c r="K579" s="339"/>
      <c r="L579" s="339"/>
      <c r="M579" s="331"/>
      <c r="N579" s="303"/>
      <c r="O579" s="303"/>
      <c r="P579" s="303"/>
      <c r="Q579" s="303"/>
      <c r="R579" s="303"/>
      <c r="S579" s="303"/>
      <c r="T579" s="331"/>
      <c r="U579" s="331"/>
      <c r="V579" s="331"/>
      <c r="W579" s="331"/>
      <c r="X579" s="331"/>
      <c r="Y579" s="331"/>
      <c r="Z579" s="331"/>
    </row>
    <row r="580">
      <c r="A580" s="331"/>
      <c r="B580" s="331"/>
      <c r="C580" s="331"/>
      <c r="D580" s="331"/>
      <c r="E580" s="331"/>
      <c r="F580" s="331"/>
      <c r="G580" s="331"/>
      <c r="H580" s="331"/>
      <c r="I580" s="331"/>
      <c r="J580" s="339"/>
      <c r="K580" s="339"/>
      <c r="L580" s="339"/>
      <c r="M580" s="331"/>
      <c r="N580" s="303"/>
      <c r="O580" s="303"/>
      <c r="P580" s="303"/>
      <c r="Q580" s="303"/>
      <c r="R580" s="303"/>
      <c r="S580" s="303"/>
      <c r="T580" s="331"/>
      <c r="U580" s="331"/>
      <c r="V580" s="331"/>
      <c r="W580" s="331"/>
      <c r="X580" s="331"/>
      <c r="Y580" s="331"/>
      <c r="Z580" s="331"/>
    </row>
    <row r="581">
      <c r="A581" s="331"/>
      <c r="B581" s="331"/>
      <c r="C581" s="331"/>
      <c r="D581" s="331"/>
      <c r="E581" s="331"/>
      <c r="F581" s="331"/>
      <c r="G581" s="331"/>
      <c r="H581" s="331"/>
      <c r="I581" s="331"/>
      <c r="J581" s="339"/>
      <c r="K581" s="339"/>
      <c r="L581" s="339"/>
      <c r="M581" s="331"/>
      <c r="N581" s="303"/>
      <c r="O581" s="303"/>
      <c r="P581" s="303"/>
      <c r="Q581" s="303"/>
      <c r="R581" s="303"/>
      <c r="S581" s="303"/>
      <c r="T581" s="331"/>
      <c r="U581" s="331"/>
      <c r="V581" s="331"/>
      <c r="W581" s="331"/>
      <c r="X581" s="331"/>
      <c r="Y581" s="331"/>
      <c r="Z581" s="331"/>
    </row>
    <row r="582">
      <c r="A582" s="331"/>
      <c r="B582" s="331"/>
      <c r="C582" s="331"/>
      <c r="D582" s="331"/>
      <c r="E582" s="331"/>
      <c r="F582" s="331"/>
      <c r="G582" s="331"/>
      <c r="H582" s="331"/>
      <c r="I582" s="331"/>
      <c r="J582" s="339"/>
      <c r="K582" s="339"/>
      <c r="L582" s="339"/>
      <c r="M582" s="331"/>
      <c r="N582" s="303"/>
      <c r="O582" s="303"/>
      <c r="P582" s="303"/>
      <c r="Q582" s="303"/>
      <c r="R582" s="303"/>
      <c r="S582" s="303"/>
      <c r="T582" s="331"/>
      <c r="U582" s="331"/>
      <c r="V582" s="331"/>
      <c r="W582" s="331"/>
      <c r="X582" s="331"/>
      <c r="Y582" s="331"/>
      <c r="Z582" s="331"/>
    </row>
    <row r="583">
      <c r="A583" s="331"/>
      <c r="B583" s="331"/>
      <c r="C583" s="331"/>
      <c r="D583" s="331"/>
      <c r="E583" s="331"/>
      <c r="F583" s="331"/>
      <c r="G583" s="331"/>
      <c r="H583" s="331"/>
      <c r="I583" s="331"/>
      <c r="J583" s="339"/>
      <c r="K583" s="339"/>
      <c r="L583" s="339"/>
      <c r="M583" s="331"/>
      <c r="N583" s="303"/>
      <c r="O583" s="303"/>
      <c r="P583" s="303"/>
      <c r="Q583" s="303"/>
      <c r="R583" s="303"/>
      <c r="S583" s="303"/>
      <c r="T583" s="331"/>
      <c r="U583" s="331"/>
      <c r="V583" s="331"/>
      <c r="W583" s="331"/>
      <c r="X583" s="331"/>
      <c r="Y583" s="331"/>
      <c r="Z583" s="331"/>
    </row>
    <row r="584">
      <c r="A584" s="331"/>
      <c r="B584" s="331"/>
      <c r="C584" s="331"/>
      <c r="D584" s="331"/>
      <c r="E584" s="331"/>
      <c r="F584" s="331"/>
      <c r="G584" s="331"/>
      <c r="H584" s="331"/>
      <c r="I584" s="331"/>
      <c r="J584" s="339"/>
      <c r="K584" s="339"/>
      <c r="L584" s="339"/>
      <c r="M584" s="331"/>
      <c r="N584" s="303"/>
      <c r="O584" s="303"/>
      <c r="P584" s="303"/>
      <c r="Q584" s="303"/>
      <c r="R584" s="303"/>
      <c r="S584" s="303"/>
      <c r="T584" s="331"/>
      <c r="U584" s="331"/>
      <c r="V584" s="331"/>
      <c r="W584" s="331"/>
      <c r="X584" s="331"/>
      <c r="Y584" s="331"/>
      <c r="Z584" s="331"/>
    </row>
    <row r="585">
      <c r="A585" s="331"/>
      <c r="B585" s="331"/>
      <c r="C585" s="331"/>
      <c r="D585" s="331"/>
      <c r="E585" s="331"/>
      <c r="F585" s="331"/>
      <c r="G585" s="331"/>
      <c r="H585" s="331"/>
      <c r="I585" s="331"/>
      <c r="J585" s="339"/>
      <c r="K585" s="339"/>
      <c r="L585" s="339"/>
      <c r="M585" s="331"/>
      <c r="N585" s="303"/>
      <c r="O585" s="303"/>
      <c r="P585" s="303"/>
      <c r="Q585" s="303"/>
      <c r="R585" s="303"/>
      <c r="S585" s="303"/>
      <c r="T585" s="331"/>
      <c r="U585" s="331"/>
      <c r="V585" s="331"/>
      <c r="W585" s="331"/>
      <c r="X585" s="331"/>
      <c r="Y585" s="331"/>
      <c r="Z585" s="331"/>
    </row>
    <row r="586">
      <c r="A586" s="331"/>
      <c r="B586" s="331"/>
      <c r="C586" s="331"/>
      <c r="D586" s="331"/>
      <c r="E586" s="331"/>
      <c r="F586" s="331"/>
      <c r="G586" s="331"/>
      <c r="H586" s="331"/>
      <c r="I586" s="331"/>
      <c r="J586" s="339"/>
      <c r="K586" s="339"/>
      <c r="L586" s="339"/>
      <c r="M586" s="331"/>
      <c r="N586" s="303"/>
      <c r="O586" s="303"/>
      <c r="P586" s="303"/>
      <c r="Q586" s="303"/>
      <c r="R586" s="303"/>
      <c r="S586" s="303"/>
      <c r="T586" s="331"/>
      <c r="U586" s="331"/>
      <c r="V586" s="331"/>
      <c r="W586" s="331"/>
      <c r="X586" s="331"/>
      <c r="Y586" s="331"/>
      <c r="Z586" s="331"/>
    </row>
    <row r="587">
      <c r="A587" s="331"/>
      <c r="B587" s="331"/>
      <c r="C587" s="331"/>
      <c r="D587" s="331"/>
      <c r="E587" s="331"/>
      <c r="F587" s="331"/>
      <c r="G587" s="331"/>
      <c r="H587" s="331"/>
      <c r="I587" s="331"/>
      <c r="J587" s="339"/>
      <c r="K587" s="339"/>
      <c r="L587" s="339"/>
      <c r="M587" s="331"/>
      <c r="N587" s="303"/>
      <c r="O587" s="303"/>
      <c r="P587" s="303"/>
      <c r="Q587" s="303"/>
      <c r="R587" s="303"/>
      <c r="S587" s="303"/>
      <c r="T587" s="331"/>
      <c r="U587" s="331"/>
      <c r="V587" s="331"/>
      <c r="W587" s="331"/>
      <c r="X587" s="331"/>
      <c r="Y587" s="331"/>
      <c r="Z587" s="331"/>
    </row>
    <row r="588">
      <c r="A588" s="331"/>
      <c r="B588" s="331"/>
      <c r="C588" s="331"/>
      <c r="D588" s="331"/>
      <c r="E588" s="331"/>
      <c r="F588" s="331"/>
      <c r="G588" s="331"/>
      <c r="H588" s="331"/>
      <c r="I588" s="331"/>
      <c r="J588" s="339"/>
      <c r="K588" s="339"/>
      <c r="L588" s="339"/>
      <c r="M588" s="331"/>
      <c r="N588" s="303"/>
      <c r="O588" s="303"/>
      <c r="P588" s="303"/>
      <c r="Q588" s="303"/>
      <c r="R588" s="303"/>
      <c r="S588" s="303"/>
      <c r="T588" s="331"/>
      <c r="U588" s="331"/>
      <c r="V588" s="331"/>
      <c r="W588" s="331"/>
      <c r="X588" s="331"/>
      <c r="Y588" s="331"/>
      <c r="Z588" s="331"/>
    </row>
    <row r="589">
      <c r="A589" s="331"/>
      <c r="B589" s="331"/>
      <c r="C589" s="331"/>
      <c r="D589" s="331"/>
      <c r="E589" s="331"/>
      <c r="F589" s="331"/>
      <c r="G589" s="331"/>
      <c r="H589" s="331"/>
      <c r="I589" s="331"/>
      <c r="J589" s="339"/>
      <c r="K589" s="339"/>
      <c r="L589" s="339"/>
      <c r="M589" s="331"/>
      <c r="N589" s="303"/>
      <c r="O589" s="303"/>
      <c r="P589" s="303"/>
      <c r="Q589" s="303"/>
      <c r="R589" s="303"/>
      <c r="S589" s="303"/>
      <c r="T589" s="331"/>
      <c r="U589" s="331"/>
      <c r="V589" s="331"/>
      <c r="W589" s="331"/>
      <c r="X589" s="331"/>
      <c r="Y589" s="331"/>
      <c r="Z589" s="331"/>
    </row>
    <row r="590">
      <c r="A590" s="331"/>
      <c r="B590" s="331"/>
      <c r="C590" s="331"/>
      <c r="D590" s="331"/>
      <c r="E590" s="331"/>
      <c r="F590" s="331"/>
      <c r="G590" s="331"/>
      <c r="H590" s="331"/>
      <c r="I590" s="331"/>
      <c r="J590" s="339"/>
      <c r="K590" s="339"/>
      <c r="L590" s="339"/>
      <c r="M590" s="331"/>
      <c r="N590" s="303"/>
      <c r="O590" s="303"/>
      <c r="P590" s="303"/>
      <c r="Q590" s="303"/>
      <c r="R590" s="303"/>
      <c r="S590" s="303"/>
      <c r="T590" s="331"/>
      <c r="U590" s="331"/>
      <c r="V590" s="331"/>
      <c r="W590" s="331"/>
      <c r="X590" s="331"/>
      <c r="Y590" s="331"/>
      <c r="Z590" s="331"/>
    </row>
    <row r="591">
      <c r="A591" s="331"/>
      <c r="B591" s="331"/>
      <c r="C591" s="331"/>
      <c r="D591" s="331"/>
      <c r="E591" s="331"/>
      <c r="F591" s="331"/>
      <c r="G591" s="331"/>
      <c r="H591" s="331"/>
      <c r="I591" s="331"/>
      <c r="J591" s="339"/>
      <c r="K591" s="339"/>
      <c r="L591" s="339"/>
      <c r="M591" s="331"/>
      <c r="N591" s="303"/>
      <c r="O591" s="303"/>
      <c r="P591" s="303"/>
      <c r="Q591" s="303"/>
      <c r="R591" s="303"/>
      <c r="S591" s="303"/>
      <c r="T591" s="331"/>
      <c r="U591" s="331"/>
      <c r="V591" s="331"/>
      <c r="W591" s="331"/>
      <c r="X591" s="331"/>
      <c r="Y591" s="331"/>
      <c r="Z591" s="331"/>
    </row>
    <row r="592">
      <c r="A592" s="331"/>
      <c r="B592" s="331"/>
      <c r="C592" s="331"/>
      <c r="D592" s="331"/>
      <c r="E592" s="331"/>
      <c r="F592" s="331"/>
      <c r="G592" s="331"/>
      <c r="H592" s="331"/>
      <c r="I592" s="331"/>
      <c r="J592" s="339"/>
      <c r="K592" s="339"/>
      <c r="L592" s="339"/>
      <c r="M592" s="331"/>
      <c r="N592" s="303"/>
      <c r="O592" s="303"/>
      <c r="P592" s="303"/>
      <c r="Q592" s="303"/>
      <c r="R592" s="303"/>
      <c r="S592" s="303"/>
      <c r="T592" s="331"/>
      <c r="U592" s="331"/>
      <c r="V592" s="331"/>
      <c r="W592" s="331"/>
      <c r="X592" s="331"/>
      <c r="Y592" s="331"/>
      <c r="Z592" s="331"/>
    </row>
    <row r="593">
      <c r="A593" s="331"/>
      <c r="B593" s="331"/>
      <c r="C593" s="331"/>
      <c r="D593" s="331"/>
      <c r="E593" s="331"/>
      <c r="F593" s="331"/>
      <c r="G593" s="331"/>
      <c r="H593" s="331"/>
      <c r="I593" s="331"/>
      <c r="J593" s="339"/>
      <c r="K593" s="339"/>
      <c r="L593" s="339"/>
      <c r="M593" s="331"/>
      <c r="N593" s="303"/>
      <c r="O593" s="303"/>
      <c r="P593" s="303"/>
      <c r="Q593" s="303"/>
      <c r="R593" s="303"/>
      <c r="S593" s="303"/>
      <c r="T593" s="331"/>
      <c r="U593" s="331"/>
      <c r="V593" s="331"/>
      <c r="W593" s="331"/>
      <c r="X593" s="331"/>
      <c r="Y593" s="331"/>
      <c r="Z593" s="331"/>
    </row>
    <row r="594">
      <c r="A594" s="331"/>
      <c r="B594" s="331"/>
      <c r="C594" s="331"/>
      <c r="D594" s="331"/>
      <c r="E594" s="331"/>
      <c r="F594" s="331"/>
      <c r="G594" s="331"/>
      <c r="H594" s="331"/>
      <c r="I594" s="331"/>
      <c r="J594" s="339"/>
      <c r="K594" s="339"/>
      <c r="L594" s="339"/>
      <c r="M594" s="331"/>
      <c r="N594" s="303"/>
      <c r="O594" s="303"/>
      <c r="P594" s="303"/>
      <c r="Q594" s="303"/>
      <c r="R594" s="303"/>
      <c r="S594" s="303"/>
      <c r="T594" s="331"/>
      <c r="U594" s="331"/>
      <c r="V594" s="331"/>
      <c r="W594" s="331"/>
      <c r="X594" s="331"/>
      <c r="Y594" s="331"/>
      <c r="Z594" s="331"/>
    </row>
    <row r="595">
      <c r="A595" s="331"/>
      <c r="B595" s="331"/>
      <c r="C595" s="331"/>
      <c r="D595" s="331"/>
      <c r="E595" s="331"/>
      <c r="F595" s="331"/>
      <c r="G595" s="331"/>
      <c r="H595" s="331"/>
      <c r="I595" s="331"/>
      <c r="J595" s="339"/>
      <c r="K595" s="339"/>
      <c r="L595" s="339"/>
      <c r="M595" s="331"/>
      <c r="N595" s="303"/>
      <c r="O595" s="303"/>
      <c r="P595" s="303"/>
      <c r="Q595" s="303"/>
      <c r="R595" s="303"/>
      <c r="S595" s="303"/>
      <c r="T595" s="331"/>
      <c r="U595" s="331"/>
      <c r="V595" s="331"/>
      <c r="W595" s="331"/>
      <c r="X595" s="331"/>
      <c r="Y595" s="331"/>
      <c r="Z595" s="331"/>
    </row>
    <row r="596">
      <c r="A596" s="331"/>
      <c r="B596" s="331"/>
      <c r="C596" s="331"/>
      <c r="D596" s="331"/>
      <c r="E596" s="331"/>
      <c r="F596" s="331"/>
      <c r="G596" s="331"/>
      <c r="H596" s="331"/>
      <c r="I596" s="331"/>
      <c r="J596" s="339"/>
      <c r="K596" s="339"/>
      <c r="L596" s="339"/>
      <c r="M596" s="331"/>
      <c r="N596" s="303"/>
      <c r="O596" s="303"/>
      <c r="P596" s="303"/>
      <c r="Q596" s="303"/>
      <c r="R596" s="303"/>
      <c r="S596" s="303"/>
      <c r="T596" s="331"/>
      <c r="U596" s="331"/>
      <c r="V596" s="331"/>
      <c r="W596" s="331"/>
      <c r="X596" s="331"/>
      <c r="Y596" s="331"/>
      <c r="Z596" s="331"/>
    </row>
    <row r="597">
      <c r="A597" s="331"/>
      <c r="B597" s="331"/>
      <c r="C597" s="331"/>
      <c r="D597" s="331"/>
      <c r="E597" s="331"/>
      <c r="F597" s="331"/>
      <c r="G597" s="331"/>
      <c r="H597" s="331"/>
      <c r="I597" s="331"/>
      <c r="J597" s="339"/>
      <c r="K597" s="339"/>
      <c r="L597" s="339"/>
      <c r="M597" s="331"/>
      <c r="N597" s="303"/>
      <c r="O597" s="303"/>
      <c r="P597" s="303"/>
      <c r="Q597" s="303"/>
      <c r="R597" s="303"/>
      <c r="S597" s="303"/>
      <c r="T597" s="331"/>
      <c r="U597" s="331"/>
      <c r="V597" s="331"/>
      <c r="W597" s="331"/>
      <c r="X597" s="331"/>
      <c r="Y597" s="331"/>
      <c r="Z597" s="331"/>
    </row>
    <row r="598">
      <c r="A598" s="331"/>
      <c r="B598" s="331"/>
      <c r="C598" s="331"/>
      <c r="D598" s="331"/>
      <c r="E598" s="331"/>
      <c r="F598" s="331"/>
      <c r="G598" s="331"/>
      <c r="H598" s="331"/>
      <c r="I598" s="331"/>
      <c r="J598" s="339"/>
      <c r="K598" s="339"/>
      <c r="L598" s="339"/>
      <c r="M598" s="331"/>
      <c r="N598" s="303"/>
      <c r="O598" s="303"/>
      <c r="P598" s="303"/>
      <c r="Q598" s="303"/>
      <c r="R598" s="303"/>
      <c r="S598" s="303"/>
      <c r="T598" s="331"/>
      <c r="U598" s="331"/>
      <c r="V598" s="331"/>
      <c r="W598" s="331"/>
      <c r="X598" s="331"/>
      <c r="Y598" s="331"/>
      <c r="Z598" s="331"/>
    </row>
    <row r="599">
      <c r="A599" s="331"/>
      <c r="B599" s="331"/>
      <c r="C599" s="331"/>
      <c r="D599" s="331"/>
      <c r="E599" s="331"/>
      <c r="F599" s="331"/>
      <c r="G599" s="331"/>
      <c r="H599" s="331"/>
      <c r="I599" s="331"/>
      <c r="J599" s="339"/>
      <c r="K599" s="339"/>
      <c r="L599" s="339"/>
      <c r="M599" s="331"/>
      <c r="N599" s="303"/>
      <c r="O599" s="303"/>
      <c r="P599" s="303"/>
      <c r="Q599" s="303"/>
      <c r="R599" s="303"/>
      <c r="S599" s="303"/>
      <c r="T599" s="331"/>
      <c r="U599" s="331"/>
      <c r="V599" s="331"/>
      <c r="W599" s="331"/>
      <c r="X599" s="331"/>
      <c r="Y599" s="331"/>
      <c r="Z599" s="331"/>
    </row>
    <row r="600">
      <c r="A600" s="331"/>
      <c r="B600" s="331"/>
      <c r="C600" s="331"/>
      <c r="D600" s="331"/>
      <c r="E600" s="331"/>
      <c r="F600" s="331"/>
      <c r="G600" s="331"/>
      <c r="H600" s="331"/>
      <c r="I600" s="331"/>
      <c r="J600" s="339"/>
      <c r="K600" s="339"/>
      <c r="L600" s="339"/>
      <c r="M600" s="331"/>
      <c r="N600" s="303"/>
      <c r="O600" s="303"/>
      <c r="P600" s="303"/>
      <c r="Q600" s="303"/>
      <c r="R600" s="303"/>
      <c r="S600" s="303"/>
      <c r="T600" s="331"/>
      <c r="U600" s="331"/>
      <c r="V600" s="331"/>
      <c r="W600" s="331"/>
      <c r="X600" s="331"/>
      <c r="Y600" s="331"/>
      <c r="Z600" s="331"/>
    </row>
    <row r="601">
      <c r="A601" s="331"/>
      <c r="B601" s="331"/>
      <c r="C601" s="331"/>
      <c r="D601" s="331"/>
      <c r="E601" s="331"/>
      <c r="F601" s="331"/>
      <c r="G601" s="331"/>
      <c r="H601" s="331"/>
      <c r="I601" s="331"/>
      <c r="J601" s="339"/>
      <c r="K601" s="339"/>
      <c r="L601" s="339"/>
      <c r="M601" s="331"/>
      <c r="N601" s="303"/>
      <c r="O601" s="303"/>
      <c r="P601" s="303"/>
      <c r="Q601" s="303"/>
      <c r="R601" s="303"/>
      <c r="S601" s="303"/>
      <c r="T601" s="331"/>
      <c r="U601" s="331"/>
      <c r="V601" s="331"/>
      <c r="W601" s="331"/>
      <c r="X601" s="331"/>
      <c r="Y601" s="331"/>
      <c r="Z601" s="331"/>
    </row>
    <row r="602">
      <c r="A602" s="331"/>
      <c r="B602" s="331"/>
      <c r="C602" s="331"/>
      <c r="D602" s="331"/>
      <c r="E602" s="331"/>
      <c r="F602" s="331"/>
      <c r="G602" s="331"/>
      <c r="H602" s="331"/>
      <c r="I602" s="331"/>
      <c r="J602" s="339"/>
      <c r="K602" s="339"/>
      <c r="L602" s="339"/>
      <c r="M602" s="331"/>
      <c r="N602" s="303"/>
      <c r="O602" s="303"/>
      <c r="P602" s="303"/>
      <c r="Q602" s="303"/>
      <c r="R602" s="303"/>
      <c r="S602" s="303"/>
      <c r="T602" s="331"/>
      <c r="U602" s="331"/>
      <c r="V602" s="331"/>
      <c r="W602" s="331"/>
      <c r="X602" s="331"/>
      <c r="Y602" s="331"/>
      <c r="Z602" s="331"/>
    </row>
    <row r="603">
      <c r="A603" s="331"/>
      <c r="B603" s="331"/>
      <c r="C603" s="331"/>
      <c r="D603" s="331"/>
      <c r="E603" s="331"/>
      <c r="F603" s="331"/>
      <c r="G603" s="331"/>
      <c r="H603" s="331"/>
      <c r="I603" s="331"/>
      <c r="J603" s="339"/>
      <c r="K603" s="339"/>
      <c r="L603" s="339"/>
      <c r="M603" s="331"/>
      <c r="N603" s="303"/>
      <c r="O603" s="303"/>
      <c r="P603" s="303"/>
      <c r="Q603" s="303"/>
      <c r="R603" s="303"/>
      <c r="S603" s="303"/>
      <c r="T603" s="331"/>
      <c r="U603" s="331"/>
      <c r="V603" s="331"/>
      <c r="W603" s="331"/>
      <c r="X603" s="331"/>
      <c r="Y603" s="331"/>
      <c r="Z603" s="331"/>
    </row>
    <row r="604">
      <c r="A604" s="331"/>
      <c r="B604" s="331"/>
      <c r="C604" s="331"/>
      <c r="D604" s="331"/>
      <c r="E604" s="331"/>
      <c r="F604" s="331"/>
      <c r="G604" s="331"/>
      <c r="H604" s="331"/>
      <c r="I604" s="331"/>
      <c r="J604" s="339"/>
      <c r="K604" s="339"/>
      <c r="L604" s="339"/>
      <c r="M604" s="331"/>
      <c r="N604" s="303"/>
      <c r="O604" s="303"/>
      <c r="P604" s="303"/>
      <c r="Q604" s="303"/>
      <c r="R604" s="303"/>
      <c r="S604" s="303"/>
      <c r="T604" s="331"/>
      <c r="U604" s="331"/>
      <c r="V604" s="331"/>
      <c r="W604" s="331"/>
      <c r="X604" s="331"/>
      <c r="Y604" s="331"/>
      <c r="Z604" s="331"/>
    </row>
    <row r="605">
      <c r="A605" s="331"/>
      <c r="B605" s="331"/>
      <c r="C605" s="331"/>
      <c r="D605" s="331"/>
      <c r="E605" s="331"/>
      <c r="F605" s="331"/>
      <c r="G605" s="331"/>
      <c r="H605" s="331"/>
      <c r="I605" s="331"/>
      <c r="J605" s="339"/>
      <c r="K605" s="339"/>
      <c r="L605" s="339"/>
      <c r="M605" s="331"/>
      <c r="N605" s="303"/>
      <c r="O605" s="303"/>
      <c r="P605" s="303"/>
      <c r="Q605" s="303"/>
      <c r="R605" s="303"/>
      <c r="S605" s="303"/>
      <c r="T605" s="331"/>
      <c r="U605" s="331"/>
      <c r="V605" s="331"/>
      <c r="W605" s="331"/>
      <c r="X605" s="331"/>
      <c r="Y605" s="331"/>
      <c r="Z605" s="331"/>
    </row>
    <row r="606">
      <c r="A606" s="331"/>
      <c r="B606" s="331"/>
      <c r="C606" s="331"/>
      <c r="D606" s="331"/>
      <c r="E606" s="331"/>
      <c r="F606" s="331"/>
      <c r="G606" s="331"/>
      <c r="H606" s="331"/>
      <c r="I606" s="331"/>
      <c r="J606" s="339"/>
      <c r="K606" s="339"/>
      <c r="L606" s="339"/>
      <c r="M606" s="331"/>
      <c r="N606" s="303"/>
      <c r="O606" s="303"/>
      <c r="P606" s="303"/>
      <c r="Q606" s="303"/>
      <c r="R606" s="303"/>
      <c r="S606" s="303"/>
      <c r="T606" s="331"/>
      <c r="U606" s="331"/>
      <c r="V606" s="331"/>
      <c r="W606" s="331"/>
      <c r="X606" s="331"/>
      <c r="Y606" s="331"/>
      <c r="Z606" s="331"/>
    </row>
    <row r="607">
      <c r="A607" s="331"/>
      <c r="B607" s="331"/>
      <c r="C607" s="331"/>
      <c r="D607" s="331"/>
      <c r="E607" s="331"/>
      <c r="F607" s="331"/>
      <c r="G607" s="331"/>
      <c r="H607" s="331"/>
      <c r="I607" s="331"/>
      <c r="J607" s="339"/>
      <c r="K607" s="339"/>
      <c r="L607" s="339"/>
      <c r="M607" s="331"/>
      <c r="N607" s="303"/>
      <c r="O607" s="303"/>
      <c r="P607" s="303"/>
      <c r="Q607" s="303"/>
      <c r="R607" s="303"/>
      <c r="S607" s="303"/>
      <c r="T607" s="331"/>
      <c r="U607" s="331"/>
      <c r="V607" s="331"/>
      <c r="W607" s="331"/>
      <c r="X607" s="331"/>
      <c r="Y607" s="331"/>
      <c r="Z607" s="331"/>
    </row>
    <row r="608">
      <c r="A608" s="331"/>
      <c r="B608" s="331"/>
      <c r="C608" s="331"/>
      <c r="D608" s="331"/>
      <c r="E608" s="331"/>
      <c r="F608" s="331"/>
      <c r="G608" s="331"/>
      <c r="H608" s="331"/>
      <c r="I608" s="331"/>
      <c r="J608" s="339"/>
      <c r="K608" s="339"/>
      <c r="L608" s="339"/>
      <c r="M608" s="331"/>
      <c r="N608" s="303"/>
      <c r="O608" s="303"/>
      <c r="P608" s="303"/>
      <c r="Q608" s="303"/>
      <c r="R608" s="303"/>
      <c r="S608" s="303"/>
      <c r="T608" s="331"/>
      <c r="U608" s="331"/>
      <c r="V608" s="331"/>
      <c r="W608" s="331"/>
      <c r="X608" s="331"/>
      <c r="Y608" s="331"/>
      <c r="Z608" s="331"/>
    </row>
    <row r="609">
      <c r="A609" s="331"/>
      <c r="B609" s="331"/>
      <c r="C609" s="331"/>
      <c r="D609" s="331"/>
      <c r="E609" s="331"/>
      <c r="F609" s="331"/>
      <c r="G609" s="331"/>
      <c r="H609" s="331"/>
      <c r="I609" s="331"/>
      <c r="J609" s="339"/>
      <c r="K609" s="339"/>
      <c r="L609" s="339"/>
      <c r="M609" s="331"/>
      <c r="N609" s="303"/>
      <c r="O609" s="303"/>
      <c r="P609" s="303"/>
      <c r="Q609" s="303"/>
      <c r="R609" s="303"/>
      <c r="S609" s="303"/>
      <c r="T609" s="331"/>
      <c r="U609" s="331"/>
      <c r="V609" s="331"/>
      <c r="W609" s="331"/>
      <c r="X609" s="331"/>
      <c r="Y609" s="331"/>
      <c r="Z609" s="331"/>
    </row>
    <row r="610">
      <c r="A610" s="331"/>
      <c r="B610" s="331"/>
      <c r="C610" s="331"/>
      <c r="D610" s="331"/>
      <c r="E610" s="331"/>
      <c r="F610" s="331"/>
      <c r="G610" s="331"/>
      <c r="H610" s="331"/>
      <c r="I610" s="331"/>
      <c r="J610" s="339"/>
      <c r="K610" s="339"/>
      <c r="L610" s="339"/>
      <c r="M610" s="331"/>
      <c r="N610" s="303"/>
      <c r="O610" s="303"/>
      <c r="P610" s="303"/>
      <c r="Q610" s="303"/>
      <c r="R610" s="303"/>
      <c r="S610" s="303"/>
      <c r="T610" s="331"/>
      <c r="U610" s="331"/>
      <c r="V610" s="331"/>
      <c r="W610" s="331"/>
      <c r="X610" s="331"/>
      <c r="Y610" s="331"/>
      <c r="Z610" s="331"/>
    </row>
    <row r="611">
      <c r="A611" s="331"/>
      <c r="B611" s="331"/>
      <c r="C611" s="331"/>
      <c r="D611" s="331"/>
      <c r="E611" s="331"/>
      <c r="F611" s="331"/>
      <c r="G611" s="331"/>
      <c r="H611" s="331"/>
      <c r="I611" s="331"/>
      <c r="J611" s="339"/>
      <c r="K611" s="339"/>
      <c r="L611" s="339"/>
      <c r="M611" s="331"/>
      <c r="N611" s="303"/>
      <c r="O611" s="303"/>
      <c r="P611" s="303"/>
      <c r="Q611" s="303"/>
      <c r="R611" s="303"/>
      <c r="S611" s="303"/>
      <c r="T611" s="331"/>
      <c r="U611" s="331"/>
      <c r="V611" s="331"/>
      <c r="W611" s="331"/>
      <c r="X611" s="331"/>
      <c r="Y611" s="331"/>
      <c r="Z611" s="331"/>
    </row>
    <row r="612">
      <c r="A612" s="331"/>
      <c r="B612" s="331"/>
      <c r="C612" s="331"/>
      <c r="D612" s="331"/>
      <c r="E612" s="331"/>
      <c r="F612" s="331"/>
      <c r="G612" s="331"/>
      <c r="H612" s="331"/>
      <c r="I612" s="331"/>
      <c r="J612" s="339"/>
      <c r="K612" s="339"/>
      <c r="L612" s="339"/>
      <c r="M612" s="331"/>
      <c r="N612" s="303"/>
      <c r="O612" s="303"/>
      <c r="P612" s="303"/>
      <c r="Q612" s="303"/>
      <c r="R612" s="303"/>
      <c r="S612" s="303"/>
      <c r="T612" s="331"/>
      <c r="U612" s="331"/>
      <c r="V612" s="331"/>
      <c r="W612" s="331"/>
      <c r="X612" s="331"/>
      <c r="Y612" s="331"/>
      <c r="Z612" s="331"/>
    </row>
    <row r="613">
      <c r="A613" s="331"/>
      <c r="B613" s="331"/>
      <c r="C613" s="331"/>
      <c r="D613" s="331"/>
      <c r="E613" s="331"/>
      <c r="F613" s="331"/>
      <c r="G613" s="331"/>
      <c r="H613" s="331"/>
      <c r="I613" s="331"/>
      <c r="J613" s="339"/>
      <c r="K613" s="339"/>
      <c r="L613" s="339"/>
      <c r="M613" s="331"/>
      <c r="N613" s="303"/>
      <c r="O613" s="303"/>
      <c r="P613" s="303"/>
      <c r="Q613" s="303"/>
      <c r="R613" s="303"/>
      <c r="S613" s="303"/>
      <c r="T613" s="331"/>
      <c r="U613" s="331"/>
      <c r="V613" s="331"/>
      <c r="W613" s="331"/>
      <c r="X613" s="331"/>
      <c r="Y613" s="331"/>
      <c r="Z613" s="331"/>
    </row>
    <row r="614">
      <c r="A614" s="331"/>
      <c r="B614" s="331"/>
      <c r="C614" s="331"/>
      <c r="D614" s="331"/>
      <c r="E614" s="331"/>
      <c r="F614" s="331"/>
      <c r="G614" s="331"/>
      <c r="H614" s="331"/>
      <c r="I614" s="331"/>
      <c r="J614" s="339"/>
      <c r="K614" s="339"/>
      <c r="L614" s="339"/>
      <c r="M614" s="331"/>
      <c r="N614" s="303"/>
      <c r="O614" s="303"/>
      <c r="P614" s="303"/>
      <c r="Q614" s="303"/>
      <c r="R614" s="303"/>
      <c r="S614" s="303"/>
      <c r="T614" s="331"/>
      <c r="U614" s="331"/>
      <c r="V614" s="331"/>
      <c r="W614" s="331"/>
      <c r="X614" s="331"/>
      <c r="Y614" s="331"/>
      <c r="Z614" s="331"/>
    </row>
    <row r="615">
      <c r="A615" s="331"/>
      <c r="B615" s="331"/>
      <c r="C615" s="331"/>
      <c r="D615" s="331"/>
      <c r="E615" s="331"/>
      <c r="F615" s="331"/>
      <c r="G615" s="331"/>
      <c r="H615" s="331"/>
      <c r="I615" s="331"/>
      <c r="J615" s="339"/>
      <c r="K615" s="339"/>
      <c r="L615" s="339"/>
      <c r="M615" s="331"/>
      <c r="N615" s="303"/>
      <c r="O615" s="303"/>
      <c r="P615" s="303"/>
      <c r="Q615" s="303"/>
      <c r="R615" s="303"/>
      <c r="S615" s="303"/>
      <c r="T615" s="331"/>
      <c r="U615" s="331"/>
      <c r="V615" s="331"/>
      <c r="W615" s="331"/>
      <c r="X615" s="331"/>
      <c r="Y615" s="331"/>
      <c r="Z615" s="331"/>
    </row>
    <row r="616">
      <c r="A616" s="331"/>
      <c r="B616" s="331"/>
      <c r="C616" s="331"/>
      <c r="D616" s="331"/>
      <c r="E616" s="331"/>
      <c r="F616" s="331"/>
      <c r="G616" s="331"/>
      <c r="H616" s="331"/>
      <c r="I616" s="331"/>
      <c r="J616" s="339"/>
      <c r="K616" s="339"/>
      <c r="L616" s="339"/>
      <c r="M616" s="331"/>
      <c r="N616" s="303"/>
      <c r="O616" s="303"/>
      <c r="P616" s="303"/>
      <c r="Q616" s="303"/>
      <c r="R616" s="303"/>
      <c r="S616" s="303"/>
      <c r="T616" s="331"/>
      <c r="U616" s="331"/>
      <c r="V616" s="331"/>
      <c r="W616" s="331"/>
      <c r="X616" s="331"/>
      <c r="Y616" s="331"/>
      <c r="Z616" s="331"/>
    </row>
    <row r="617">
      <c r="A617" s="331"/>
      <c r="B617" s="331"/>
      <c r="C617" s="331"/>
      <c r="D617" s="331"/>
      <c r="E617" s="331"/>
      <c r="F617" s="331"/>
      <c r="G617" s="331"/>
      <c r="H617" s="331"/>
      <c r="I617" s="331"/>
      <c r="J617" s="339"/>
      <c r="K617" s="339"/>
      <c r="L617" s="339"/>
      <c r="M617" s="331"/>
      <c r="N617" s="303"/>
      <c r="O617" s="303"/>
      <c r="P617" s="303"/>
      <c r="Q617" s="303"/>
      <c r="R617" s="303"/>
      <c r="S617" s="303"/>
      <c r="T617" s="331"/>
      <c r="U617" s="331"/>
      <c r="V617" s="331"/>
      <c r="W617" s="331"/>
      <c r="X617" s="331"/>
      <c r="Y617" s="331"/>
      <c r="Z617" s="331"/>
    </row>
    <row r="618">
      <c r="A618" s="331"/>
      <c r="B618" s="331"/>
      <c r="C618" s="331"/>
      <c r="D618" s="331"/>
      <c r="E618" s="331"/>
      <c r="F618" s="331"/>
      <c r="G618" s="331"/>
      <c r="H618" s="331"/>
      <c r="I618" s="331"/>
      <c r="J618" s="339"/>
      <c r="K618" s="339"/>
      <c r="L618" s="339"/>
      <c r="M618" s="331"/>
      <c r="N618" s="303"/>
      <c r="O618" s="303"/>
      <c r="P618" s="303"/>
      <c r="Q618" s="303"/>
      <c r="R618" s="303"/>
      <c r="S618" s="303"/>
      <c r="T618" s="331"/>
      <c r="U618" s="331"/>
      <c r="V618" s="331"/>
      <c r="W618" s="331"/>
      <c r="X618" s="331"/>
      <c r="Y618" s="331"/>
      <c r="Z618" s="331"/>
    </row>
    <row r="619">
      <c r="A619" s="331"/>
      <c r="B619" s="331"/>
      <c r="C619" s="331"/>
      <c r="D619" s="331"/>
      <c r="E619" s="331"/>
      <c r="F619" s="331"/>
      <c r="G619" s="331"/>
      <c r="H619" s="331"/>
      <c r="I619" s="331"/>
      <c r="J619" s="339"/>
      <c r="K619" s="339"/>
      <c r="L619" s="339"/>
      <c r="M619" s="331"/>
      <c r="N619" s="303"/>
      <c r="O619" s="303"/>
      <c r="P619" s="303"/>
      <c r="Q619" s="303"/>
      <c r="R619" s="303"/>
      <c r="S619" s="303"/>
      <c r="T619" s="331"/>
      <c r="U619" s="331"/>
      <c r="V619" s="331"/>
      <c r="W619" s="331"/>
      <c r="X619" s="331"/>
      <c r="Y619" s="331"/>
      <c r="Z619" s="331"/>
    </row>
    <row r="620">
      <c r="A620" s="331"/>
      <c r="B620" s="331"/>
      <c r="C620" s="331"/>
      <c r="D620" s="331"/>
      <c r="E620" s="331"/>
      <c r="F620" s="331"/>
      <c r="G620" s="331"/>
      <c r="H620" s="331"/>
      <c r="I620" s="331"/>
      <c r="J620" s="339"/>
      <c r="K620" s="339"/>
      <c r="L620" s="339"/>
      <c r="M620" s="331"/>
      <c r="N620" s="303"/>
      <c r="O620" s="303"/>
      <c r="P620" s="303"/>
      <c r="Q620" s="303"/>
      <c r="R620" s="303"/>
      <c r="S620" s="303"/>
      <c r="T620" s="331"/>
      <c r="U620" s="331"/>
      <c r="V620" s="331"/>
      <c r="W620" s="331"/>
      <c r="X620" s="331"/>
      <c r="Y620" s="331"/>
      <c r="Z620" s="331"/>
    </row>
    <row r="621">
      <c r="A621" s="331"/>
      <c r="B621" s="331"/>
      <c r="C621" s="331"/>
      <c r="D621" s="331"/>
      <c r="E621" s="331"/>
      <c r="F621" s="331"/>
      <c r="G621" s="331"/>
      <c r="H621" s="331"/>
      <c r="I621" s="331"/>
      <c r="J621" s="339"/>
      <c r="K621" s="339"/>
      <c r="L621" s="339"/>
      <c r="M621" s="331"/>
      <c r="N621" s="303"/>
      <c r="O621" s="303"/>
      <c r="P621" s="303"/>
      <c r="Q621" s="303"/>
      <c r="R621" s="303"/>
      <c r="S621" s="303"/>
      <c r="T621" s="331"/>
      <c r="U621" s="331"/>
      <c r="V621" s="331"/>
      <c r="W621" s="331"/>
      <c r="X621" s="331"/>
      <c r="Y621" s="331"/>
      <c r="Z621" s="331"/>
    </row>
    <row r="622">
      <c r="A622" s="331"/>
      <c r="B622" s="331"/>
      <c r="C622" s="331"/>
      <c r="D622" s="331"/>
      <c r="E622" s="331"/>
      <c r="F622" s="331"/>
      <c r="G622" s="331"/>
      <c r="H622" s="331"/>
      <c r="I622" s="331"/>
      <c r="J622" s="339"/>
      <c r="K622" s="339"/>
      <c r="L622" s="339"/>
      <c r="M622" s="331"/>
      <c r="N622" s="303"/>
      <c r="O622" s="303"/>
      <c r="P622" s="303"/>
      <c r="Q622" s="303"/>
      <c r="R622" s="303"/>
      <c r="S622" s="303"/>
      <c r="T622" s="331"/>
      <c r="U622" s="331"/>
      <c r="V622" s="331"/>
      <c r="W622" s="331"/>
      <c r="X622" s="331"/>
      <c r="Y622" s="331"/>
      <c r="Z622" s="331"/>
    </row>
    <row r="623">
      <c r="A623" s="331"/>
      <c r="B623" s="331"/>
      <c r="C623" s="331"/>
      <c r="D623" s="331"/>
      <c r="E623" s="331"/>
      <c r="F623" s="331"/>
      <c r="G623" s="331"/>
      <c r="H623" s="331"/>
      <c r="I623" s="331"/>
      <c r="J623" s="339"/>
      <c r="K623" s="339"/>
      <c r="L623" s="339"/>
      <c r="M623" s="331"/>
      <c r="N623" s="303"/>
      <c r="O623" s="303"/>
      <c r="P623" s="303"/>
      <c r="Q623" s="303"/>
      <c r="R623" s="303"/>
      <c r="S623" s="303"/>
      <c r="T623" s="331"/>
      <c r="U623" s="331"/>
      <c r="V623" s="331"/>
      <c r="W623" s="331"/>
      <c r="X623" s="331"/>
      <c r="Y623" s="331"/>
      <c r="Z623" s="331"/>
    </row>
    <row r="624">
      <c r="A624" s="331"/>
      <c r="B624" s="331"/>
      <c r="C624" s="331"/>
      <c r="D624" s="331"/>
      <c r="E624" s="331"/>
      <c r="F624" s="331"/>
      <c r="G624" s="331"/>
      <c r="H624" s="331"/>
      <c r="I624" s="331"/>
      <c r="J624" s="339"/>
      <c r="K624" s="339"/>
      <c r="L624" s="339"/>
      <c r="M624" s="331"/>
      <c r="N624" s="303"/>
      <c r="O624" s="303"/>
      <c r="P624" s="303"/>
      <c r="Q624" s="303"/>
      <c r="R624" s="303"/>
      <c r="S624" s="303"/>
      <c r="T624" s="331"/>
      <c r="U624" s="331"/>
      <c r="V624" s="331"/>
      <c r="W624" s="331"/>
      <c r="X624" s="331"/>
      <c r="Y624" s="331"/>
      <c r="Z624" s="331"/>
    </row>
    <row r="625">
      <c r="A625" s="331"/>
      <c r="B625" s="331"/>
      <c r="C625" s="331"/>
      <c r="D625" s="331"/>
      <c r="E625" s="331"/>
      <c r="F625" s="331"/>
      <c r="G625" s="331"/>
      <c r="H625" s="331"/>
      <c r="I625" s="331"/>
      <c r="J625" s="339"/>
      <c r="K625" s="339"/>
      <c r="L625" s="339"/>
      <c r="M625" s="331"/>
      <c r="N625" s="303"/>
      <c r="O625" s="303"/>
      <c r="P625" s="303"/>
      <c r="Q625" s="303"/>
      <c r="R625" s="303"/>
      <c r="S625" s="303"/>
      <c r="T625" s="331"/>
      <c r="U625" s="331"/>
      <c r="V625" s="331"/>
      <c r="W625" s="331"/>
      <c r="X625" s="331"/>
      <c r="Y625" s="331"/>
      <c r="Z625" s="331"/>
    </row>
    <row r="626">
      <c r="A626" s="331"/>
      <c r="B626" s="331"/>
      <c r="C626" s="331"/>
      <c r="D626" s="331"/>
      <c r="E626" s="331"/>
      <c r="F626" s="331"/>
      <c r="G626" s="331"/>
      <c r="H626" s="331"/>
      <c r="I626" s="331"/>
      <c r="J626" s="339"/>
      <c r="K626" s="339"/>
      <c r="L626" s="339"/>
      <c r="M626" s="331"/>
      <c r="N626" s="303"/>
      <c r="O626" s="303"/>
      <c r="P626" s="303"/>
      <c r="Q626" s="303"/>
      <c r="R626" s="303"/>
      <c r="S626" s="303"/>
      <c r="T626" s="331"/>
      <c r="U626" s="331"/>
      <c r="V626" s="331"/>
      <c r="W626" s="331"/>
      <c r="X626" s="331"/>
      <c r="Y626" s="331"/>
      <c r="Z626" s="331"/>
    </row>
    <row r="627">
      <c r="A627" s="331"/>
      <c r="B627" s="331"/>
      <c r="C627" s="331"/>
      <c r="D627" s="331"/>
      <c r="E627" s="331"/>
      <c r="F627" s="331"/>
      <c r="G627" s="331"/>
      <c r="H627" s="331"/>
      <c r="I627" s="331"/>
      <c r="J627" s="339"/>
      <c r="K627" s="339"/>
      <c r="L627" s="339"/>
      <c r="M627" s="331"/>
      <c r="N627" s="303"/>
      <c r="O627" s="303"/>
      <c r="P627" s="303"/>
      <c r="Q627" s="303"/>
      <c r="R627" s="303"/>
      <c r="S627" s="303"/>
      <c r="T627" s="331"/>
      <c r="U627" s="331"/>
      <c r="V627" s="331"/>
      <c r="W627" s="331"/>
      <c r="X627" s="331"/>
      <c r="Y627" s="331"/>
      <c r="Z627" s="331"/>
    </row>
    <row r="628">
      <c r="A628" s="331"/>
      <c r="B628" s="331"/>
      <c r="C628" s="331"/>
      <c r="D628" s="331"/>
      <c r="E628" s="331"/>
      <c r="F628" s="331"/>
      <c r="G628" s="331"/>
      <c r="H628" s="331"/>
      <c r="I628" s="331"/>
      <c r="J628" s="339"/>
      <c r="K628" s="339"/>
      <c r="L628" s="339"/>
      <c r="M628" s="331"/>
      <c r="N628" s="303"/>
      <c r="O628" s="303"/>
      <c r="P628" s="303"/>
      <c r="Q628" s="303"/>
      <c r="R628" s="303"/>
      <c r="S628" s="303"/>
      <c r="T628" s="331"/>
      <c r="U628" s="331"/>
      <c r="V628" s="331"/>
      <c r="W628" s="331"/>
      <c r="X628" s="331"/>
      <c r="Y628" s="331"/>
      <c r="Z628" s="331"/>
    </row>
    <row r="629">
      <c r="A629" s="331"/>
      <c r="B629" s="331"/>
      <c r="C629" s="331"/>
      <c r="D629" s="331"/>
      <c r="E629" s="331"/>
      <c r="F629" s="331"/>
      <c r="G629" s="331"/>
      <c r="H629" s="331"/>
      <c r="I629" s="331"/>
      <c r="J629" s="339"/>
      <c r="K629" s="339"/>
      <c r="L629" s="339"/>
      <c r="M629" s="331"/>
      <c r="N629" s="303"/>
      <c r="O629" s="303"/>
      <c r="P629" s="303"/>
      <c r="Q629" s="303"/>
      <c r="R629" s="303"/>
      <c r="S629" s="303"/>
      <c r="T629" s="331"/>
      <c r="U629" s="331"/>
      <c r="V629" s="331"/>
      <c r="W629" s="331"/>
      <c r="X629" s="331"/>
      <c r="Y629" s="331"/>
      <c r="Z629" s="331"/>
    </row>
    <row r="630">
      <c r="A630" s="331"/>
      <c r="B630" s="331"/>
      <c r="C630" s="331"/>
      <c r="D630" s="331"/>
      <c r="E630" s="331"/>
      <c r="F630" s="331"/>
      <c r="G630" s="331"/>
      <c r="H630" s="331"/>
      <c r="I630" s="331"/>
      <c r="J630" s="339"/>
      <c r="K630" s="339"/>
      <c r="L630" s="339"/>
      <c r="M630" s="331"/>
      <c r="N630" s="303"/>
      <c r="O630" s="303"/>
      <c r="P630" s="303"/>
      <c r="Q630" s="303"/>
      <c r="R630" s="303"/>
      <c r="S630" s="303"/>
      <c r="T630" s="331"/>
      <c r="U630" s="331"/>
      <c r="V630" s="331"/>
      <c r="W630" s="331"/>
      <c r="X630" s="331"/>
      <c r="Y630" s="331"/>
      <c r="Z630" s="331"/>
    </row>
    <row r="631">
      <c r="A631" s="331"/>
      <c r="B631" s="331"/>
      <c r="C631" s="331"/>
      <c r="D631" s="331"/>
      <c r="E631" s="331"/>
      <c r="F631" s="331"/>
      <c r="G631" s="331"/>
      <c r="H631" s="331"/>
      <c r="I631" s="331"/>
      <c r="J631" s="339"/>
      <c r="K631" s="339"/>
      <c r="L631" s="339"/>
      <c r="M631" s="331"/>
      <c r="N631" s="303"/>
      <c r="O631" s="303"/>
      <c r="P631" s="303"/>
      <c r="Q631" s="303"/>
      <c r="R631" s="303"/>
      <c r="S631" s="303"/>
      <c r="T631" s="331"/>
      <c r="U631" s="331"/>
      <c r="V631" s="331"/>
      <c r="W631" s="331"/>
      <c r="X631" s="331"/>
      <c r="Y631" s="331"/>
      <c r="Z631" s="331"/>
    </row>
    <row r="632">
      <c r="A632" s="331"/>
      <c r="B632" s="331"/>
      <c r="C632" s="331"/>
      <c r="D632" s="331"/>
      <c r="E632" s="331"/>
      <c r="F632" s="331"/>
      <c r="G632" s="331"/>
      <c r="H632" s="331"/>
      <c r="I632" s="331"/>
      <c r="J632" s="339"/>
      <c r="K632" s="339"/>
      <c r="L632" s="339"/>
      <c r="M632" s="331"/>
      <c r="N632" s="303"/>
      <c r="O632" s="303"/>
      <c r="P632" s="303"/>
      <c r="Q632" s="303"/>
      <c r="R632" s="303"/>
      <c r="S632" s="303"/>
      <c r="T632" s="331"/>
      <c r="U632" s="331"/>
      <c r="V632" s="331"/>
      <c r="W632" s="331"/>
      <c r="X632" s="331"/>
      <c r="Y632" s="331"/>
      <c r="Z632" s="331"/>
    </row>
    <row r="633">
      <c r="A633" s="331"/>
      <c r="B633" s="331"/>
      <c r="C633" s="331"/>
      <c r="D633" s="331"/>
      <c r="E633" s="331"/>
      <c r="F633" s="331"/>
      <c r="G633" s="331"/>
      <c r="H633" s="331"/>
      <c r="I633" s="331"/>
      <c r="J633" s="339"/>
      <c r="K633" s="339"/>
      <c r="L633" s="339"/>
      <c r="M633" s="331"/>
      <c r="N633" s="303"/>
      <c r="O633" s="303"/>
      <c r="P633" s="303"/>
      <c r="Q633" s="303"/>
      <c r="R633" s="303"/>
      <c r="S633" s="303"/>
      <c r="T633" s="331"/>
      <c r="U633" s="331"/>
      <c r="V633" s="331"/>
      <c r="W633" s="331"/>
      <c r="X633" s="331"/>
      <c r="Y633" s="331"/>
      <c r="Z633" s="331"/>
    </row>
    <row r="634">
      <c r="A634" s="331"/>
      <c r="B634" s="331"/>
      <c r="C634" s="331"/>
      <c r="D634" s="331"/>
      <c r="E634" s="331"/>
      <c r="F634" s="331"/>
      <c r="G634" s="331"/>
      <c r="H634" s="331"/>
      <c r="I634" s="331"/>
      <c r="J634" s="339"/>
      <c r="K634" s="339"/>
      <c r="L634" s="339"/>
      <c r="M634" s="331"/>
      <c r="N634" s="303"/>
      <c r="O634" s="303"/>
      <c r="P634" s="303"/>
      <c r="Q634" s="303"/>
      <c r="R634" s="303"/>
      <c r="S634" s="303"/>
      <c r="T634" s="331"/>
      <c r="U634" s="331"/>
      <c r="V634" s="331"/>
      <c r="W634" s="331"/>
      <c r="X634" s="331"/>
      <c r="Y634" s="331"/>
      <c r="Z634" s="331"/>
    </row>
    <row r="635">
      <c r="A635" s="331"/>
      <c r="B635" s="331"/>
      <c r="C635" s="331"/>
      <c r="D635" s="331"/>
      <c r="E635" s="331"/>
      <c r="F635" s="331"/>
      <c r="G635" s="331"/>
      <c r="H635" s="331"/>
      <c r="I635" s="331"/>
      <c r="J635" s="339"/>
      <c r="K635" s="339"/>
      <c r="L635" s="339"/>
      <c r="M635" s="331"/>
      <c r="N635" s="303"/>
      <c r="O635" s="303"/>
      <c r="P635" s="303"/>
      <c r="Q635" s="303"/>
      <c r="R635" s="303"/>
      <c r="S635" s="303"/>
      <c r="T635" s="331"/>
      <c r="U635" s="331"/>
      <c r="V635" s="331"/>
      <c r="W635" s="331"/>
      <c r="X635" s="331"/>
      <c r="Y635" s="331"/>
      <c r="Z635" s="331"/>
    </row>
    <row r="636">
      <c r="A636" s="331"/>
      <c r="B636" s="331"/>
      <c r="C636" s="331"/>
      <c r="D636" s="331"/>
      <c r="E636" s="331"/>
      <c r="F636" s="331"/>
      <c r="G636" s="331"/>
      <c r="H636" s="331"/>
      <c r="I636" s="331"/>
      <c r="J636" s="339"/>
      <c r="K636" s="339"/>
      <c r="L636" s="339"/>
      <c r="M636" s="331"/>
      <c r="N636" s="303"/>
      <c r="O636" s="303"/>
      <c r="P636" s="303"/>
      <c r="Q636" s="303"/>
      <c r="R636" s="303"/>
      <c r="S636" s="303"/>
      <c r="T636" s="331"/>
      <c r="U636" s="331"/>
      <c r="V636" s="331"/>
      <c r="W636" s="331"/>
      <c r="X636" s="331"/>
      <c r="Y636" s="331"/>
      <c r="Z636" s="331"/>
    </row>
    <row r="637">
      <c r="A637" s="331"/>
      <c r="B637" s="331"/>
      <c r="C637" s="331"/>
      <c r="D637" s="331"/>
      <c r="E637" s="331"/>
      <c r="F637" s="331"/>
      <c r="G637" s="331"/>
      <c r="H637" s="331"/>
      <c r="I637" s="331"/>
      <c r="J637" s="339"/>
      <c r="K637" s="339"/>
      <c r="L637" s="339"/>
      <c r="M637" s="331"/>
      <c r="N637" s="303"/>
      <c r="O637" s="303"/>
      <c r="P637" s="303"/>
      <c r="Q637" s="303"/>
      <c r="R637" s="303"/>
      <c r="S637" s="303"/>
      <c r="T637" s="331"/>
      <c r="U637" s="331"/>
      <c r="V637" s="331"/>
      <c r="W637" s="331"/>
      <c r="X637" s="331"/>
      <c r="Y637" s="331"/>
      <c r="Z637" s="331"/>
    </row>
    <row r="638">
      <c r="A638" s="331"/>
      <c r="B638" s="331"/>
      <c r="C638" s="331"/>
      <c r="D638" s="331"/>
      <c r="E638" s="331"/>
      <c r="F638" s="331"/>
      <c r="G638" s="331"/>
      <c r="H638" s="331"/>
      <c r="I638" s="331"/>
      <c r="J638" s="339"/>
      <c r="K638" s="339"/>
      <c r="L638" s="339"/>
      <c r="M638" s="331"/>
      <c r="N638" s="303"/>
      <c r="O638" s="303"/>
      <c r="P638" s="303"/>
      <c r="Q638" s="303"/>
      <c r="R638" s="303"/>
      <c r="S638" s="303"/>
      <c r="T638" s="331"/>
      <c r="U638" s="331"/>
      <c r="V638" s="331"/>
      <c r="W638" s="331"/>
      <c r="X638" s="331"/>
      <c r="Y638" s="331"/>
      <c r="Z638" s="331"/>
    </row>
    <row r="639">
      <c r="A639" s="331"/>
      <c r="B639" s="331"/>
      <c r="C639" s="331"/>
      <c r="D639" s="331"/>
      <c r="E639" s="331"/>
      <c r="F639" s="331"/>
      <c r="G639" s="331"/>
      <c r="H639" s="331"/>
      <c r="I639" s="331"/>
      <c r="J639" s="339"/>
      <c r="K639" s="339"/>
      <c r="L639" s="339"/>
      <c r="M639" s="331"/>
      <c r="N639" s="303"/>
      <c r="O639" s="303"/>
      <c r="P639" s="303"/>
      <c r="Q639" s="303"/>
      <c r="R639" s="303"/>
      <c r="S639" s="303"/>
      <c r="T639" s="331"/>
      <c r="U639" s="331"/>
      <c r="V639" s="331"/>
      <c r="W639" s="331"/>
      <c r="X639" s="331"/>
      <c r="Y639" s="331"/>
      <c r="Z639" s="331"/>
    </row>
    <row r="640">
      <c r="A640" s="331"/>
      <c r="B640" s="331"/>
      <c r="C640" s="331"/>
      <c r="D640" s="331"/>
      <c r="E640" s="331"/>
      <c r="F640" s="331"/>
      <c r="G640" s="331"/>
      <c r="H640" s="331"/>
      <c r="I640" s="331"/>
      <c r="J640" s="339"/>
      <c r="K640" s="339"/>
      <c r="L640" s="339"/>
      <c r="M640" s="331"/>
      <c r="N640" s="303"/>
      <c r="O640" s="303"/>
      <c r="P640" s="303"/>
      <c r="Q640" s="303"/>
      <c r="R640" s="303"/>
      <c r="S640" s="303"/>
      <c r="T640" s="331"/>
      <c r="U640" s="331"/>
      <c r="V640" s="331"/>
      <c r="W640" s="331"/>
      <c r="X640" s="331"/>
      <c r="Y640" s="331"/>
      <c r="Z640" s="331"/>
    </row>
    <row r="641">
      <c r="A641" s="331"/>
      <c r="B641" s="331"/>
      <c r="C641" s="331"/>
      <c r="D641" s="331"/>
      <c r="E641" s="331"/>
      <c r="F641" s="331"/>
      <c r="G641" s="331"/>
      <c r="H641" s="331"/>
      <c r="I641" s="331"/>
      <c r="J641" s="339"/>
      <c r="K641" s="339"/>
      <c r="L641" s="339"/>
      <c r="M641" s="331"/>
      <c r="N641" s="303"/>
      <c r="O641" s="303"/>
      <c r="P641" s="303"/>
      <c r="Q641" s="303"/>
      <c r="R641" s="303"/>
      <c r="S641" s="303"/>
      <c r="T641" s="331"/>
      <c r="U641" s="331"/>
      <c r="V641" s="331"/>
      <c r="W641" s="331"/>
      <c r="X641" s="331"/>
      <c r="Y641" s="331"/>
      <c r="Z641" s="331"/>
    </row>
    <row r="642">
      <c r="A642" s="331"/>
      <c r="B642" s="331"/>
      <c r="C642" s="331"/>
      <c r="D642" s="331"/>
      <c r="E642" s="331"/>
      <c r="F642" s="331"/>
      <c r="G642" s="331"/>
      <c r="H642" s="331"/>
      <c r="I642" s="331"/>
      <c r="J642" s="339"/>
      <c r="K642" s="339"/>
      <c r="L642" s="339"/>
      <c r="M642" s="331"/>
      <c r="N642" s="303"/>
      <c r="O642" s="303"/>
      <c r="P642" s="303"/>
      <c r="Q642" s="303"/>
      <c r="R642" s="303"/>
      <c r="S642" s="303"/>
      <c r="T642" s="331"/>
      <c r="U642" s="331"/>
      <c r="V642" s="331"/>
      <c r="W642" s="331"/>
      <c r="X642" s="331"/>
      <c r="Y642" s="331"/>
      <c r="Z642" s="331"/>
    </row>
    <row r="643">
      <c r="A643" s="331"/>
      <c r="B643" s="331"/>
      <c r="C643" s="331"/>
      <c r="D643" s="331"/>
      <c r="E643" s="331"/>
      <c r="F643" s="331"/>
      <c r="G643" s="331"/>
      <c r="H643" s="331"/>
      <c r="I643" s="331"/>
      <c r="J643" s="339"/>
      <c r="K643" s="339"/>
      <c r="L643" s="339"/>
      <c r="M643" s="331"/>
      <c r="N643" s="303"/>
      <c r="O643" s="303"/>
      <c r="P643" s="303"/>
      <c r="Q643" s="303"/>
      <c r="R643" s="303"/>
      <c r="S643" s="303"/>
      <c r="T643" s="331"/>
      <c r="U643" s="331"/>
      <c r="V643" s="331"/>
      <c r="W643" s="331"/>
      <c r="X643" s="331"/>
      <c r="Y643" s="331"/>
      <c r="Z643" s="331"/>
    </row>
    <row r="644">
      <c r="A644" s="331"/>
      <c r="B644" s="331"/>
      <c r="C644" s="331"/>
      <c r="D644" s="331"/>
      <c r="E644" s="331"/>
      <c r="F644" s="331"/>
      <c r="G644" s="331"/>
      <c r="H644" s="331"/>
      <c r="I644" s="331"/>
      <c r="J644" s="339"/>
      <c r="K644" s="339"/>
      <c r="L644" s="339"/>
      <c r="M644" s="331"/>
      <c r="N644" s="303"/>
      <c r="O644" s="303"/>
      <c r="P644" s="303"/>
      <c r="Q644" s="303"/>
      <c r="R644" s="303"/>
      <c r="S644" s="303"/>
      <c r="T644" s="331"/>
      <c r="U644" s="331"/>
      <c r="V644" s="331"/>
      <c r="W644" s="331"/>
      <c r="X644" s="331"/>
      <c r="Y644" s="331"/>
      <c r="Z644" s="331"/>
    </row>
    <row r="645">
      <c r="A645" s="331"/>
      <c r="B645" s="331"/>
      <c r="C645" s="331"/>
      <c r="D645" s="331"/>
      <c r="E645" s="331"/>
      <c r="F645" s="331"/>
      <c r="G645" s="331"/>
      <c r="H645" s="331"/>
      <c r="I645" s="331"/>
      <c r="J645" s="339"/>
      <c r="K645" s="339"/>
      <c r="L645" s="339"/>
      <c r="M645" s="331"/>
      <c r="N645" s="303"/>
      <c r="O645" s="303"/>
      <c r="P645" s="303"/>
      <c r="Q645" s="303"/>
      <c r="R645" s="303"/>
      <c r="S645" s="303"/>
      <c r="T645" s="331"/>
      <c r="U645" s="331"/>
      <c r="V645" s="331"/>
      <c r="W645" s="331"/>
      <c r="X645" s="331"/>
      <c r="Y645" s="331"/>
      <c r="Z645" s="331"/>
    </row>
    <row r="646">
      <c r="A646" s="331"/>
      <c r="B646" s="331"/>
      <c r="C646" s="331"/>
      <c r="D646" s="331"/>
      <c r="E646" s="331"/>
      <c r="F646" s="331"/>
      <c r="G646" s="331"/>
      <c r="H646" s="331"/>
      <c r="I646" s="331"/>
      <c r="J646" s="339"/>
      <c r="K646" s="339"/>
      <c r="L646" s="339"/>
      <c r="M646" s="331"/>
      <c r="N646" s="303"/>
      <c r="O646" s="303"/>
      <c r="P646" s="303"/>
      <c r="Q646" s="303"/>
      <c r="R646" s="303"/>
      <c r="S646" s="303"/>
      <c r="T646" s="331"/>
      <c r="U646" s="331"/>
      <c r="V646" s="331"/>
      <c r="W646" s="331"/>
      <c r="X646" s="331"/>
      <c r="Y646" s="331"/>
      <c r="Z646" s="331"/>
    </row>
    <row r="647">
      <c r="A647" s="331"/>
      <c r="B647" s="331"/>
      <c r="C647" s="331"/>
      <c r="D647" s="331"/>
      <c r="E647" s="331"/>
      <c r="F647" s="331"/>
      <c r="G647" s="331"/>
      <c r="H647" s="331"/>
      <c r="I647" s="331"/>
      <c r="J647" s="339"/>
      <c r="K647" s="339"/>
      <c r="L647" s="339"/>
      <c r="M647" s="331"/>
      <c r="N647" s="303"/>
      <c r="O647" s="303"/>
      <c r="P647" s="303"/>
      <c r="Q647" s="303"/>
      <c r="R647" s="303"/>
      <c r="S647" s="303"/>
      <c r="T647" s="331"/>
      <c r="U647" s="331"/>
      <c r="V647" s="331"/>
      <c r="W647" s="331"/>
      <c r="X647" s="331"/>
      <c r="Y647" s="331"/>
      <c r="Z647" s="331"/>
    </row>
    <row r="648">
      <c r="A648" s="331"/>
      <c r="B648" s="331"/>
      <c r="C648" s="331"/>
      <c r="D648" s="331"/>
      <c r="E648" s="331"/>
      <c r="F648" s="331"/>
      <c r="G648" s="331"/>
      <c r="H648" s="331"/>
      <c r="I648" s="331"/>
      <c r="J648" s="339"/>
      <c r="K648" s="339"/>
      <c r="L648" s="339"/>
      <c r="M648" s="331"/>
      <c r="N648" s="303"/>
      <c r="O648" s="303"/>
      <c r="P648" s="303"/>
      <c r="Q648" s="303"/>
      <c r="R648" s="303"/>
      <c r="S648" s="303"/>
      <c r="T648" s="331"/>
      <c r="U648" s="331"/>
      <c r="V648" s="331"/>
      <c r="W648" s="331"/>
      <c r="X648" s="331"/>
      <c r="Y648" s="331"/>
      <c r="Z648" s="331"/>
    </row>
    <row r="649">
      <c r="A649" s="331"/>
      <c r="B649" s="331"/>
      <c r="C649" s="331"/>
      <c r="D649" s="331"/>
      <c r="E649" s="331"/>
      <c r="F649" s="331"/>
      <c r="G649" s="331"/>
      <c r="H649" s="331"/>
      <c r="I649" s="331"/>
      <c r="J649" s="339"/>
      <c r="K649" s="339"/>
      <c r="L649" s="339"/>
      <c r="M649" s="331"/>
      <c r="N649" s="303"/>
      <c r="O649" s="303"/>
      <c r="P649" s="303"/>
      <c r="Q649" s="303"/>
      <c r="R649" s="303"/>
      <c r="S649" s="303"/>
      <c r="T649" s="331"/>
      <c r="U649" s="331"/>
      <c r="V649" s="331"/>
      <c r="W649" s="331"/>
      <c r="X649" s="331"/>
      <c r="Y649" s="331"/>
      <c r="Z649" s="331"/>
    </row>
    <row r="650">
      <c r="A650" s="331"/>
      <c r="B650" s="331"/>
      <c r="C650" s="331"/>
      <c r="D650" s="331"/>
      <c r="E650" s="331"/>
      <c r="F650" s="331"/>
      <c r="G650" s="331"/>
      <c r="H650" s="331"/>
      <c r="I650" s="331"/>
      <c r="J650" s="339"/>
      <c r="K650" s="339"/>
      <c r="L650" s="339"/>
      <c r="M650" s="331"/>
      <c r="N650" s="303"/>
      <c r="O650" s="303"/>
      <c r="P650" s="303"/>
      <c r="Q650" s="303"/>
      <c r="R650" s="303"/>
      <c r="S650" s="303"/>
      <c r="T650" s="331"/>
      <c r="U650" s="331"/>
      <c r="V650" s="331"/>
      <c r="W650" s="331"/>
      <c r="X650" s="331"/>
      <c r="Y650" s="331"/>
      <c r="Z650" s="331"/>
    </row>
    <row r="651">
      <c r="A651" s="331"/>
      <c r="B651" s="331"/>
      <c r="C651" s="331"/>
      <c r="D651" s="331"/>
      <c r="E651" s="331"/>
      <c r="F651" s="331"/>
      <c r="G651" s="331"/>
      <c r="H651" s="331"/>
      <c r="I651" s="331"/>
      <c r="J651" s="339"/>
      <c r="K651" s="339"/>
      <c r="L651" s="339"/>
      <c r="M651" s="331"/>
      <c r="N651" s="303"/>
      <c r="O651" s="303"/>
      <c r="P651" s="303"/>
      <c r="Q651" s="303"/>
      <c r="R651" s="303"/>
      <c r="S651" s="303"/>
      <c r="T651" s="331"/>
      <c r="U651" s="331"/>
      <c r="V651" s="331"/>
      <c r="W651" s="331"/>
      <c r="X651" s="331"/>
      <c r="Y651" s="331"/>
      <c r="Z651" s="331"/>
    </row>
    <row r="652">
      <c r="A652" s="331"/>
      <c r="B652" s="331"/>
      <c r="C652" s="331"/>
      <c r="D652" s="331"/>
      <c r="E652" s="331"/>
      <c r="F652" s="331"/>
      <c r="G652" s="331"/>
      <c r="H652" s="331"/>
      <c r="I652" s="331"/>
      <c r="J652" s="339"/>
      <c r="K652" s="339"/>
      <c r="L652" s="339"/>
      <c r="M652" s="331"/>
      <c r="N652" s="303"/>
      <c r="O652" s="303"/>
      <c r="P652" s="303"/>
      <c r="Q652" s="303"/>
      <c r="R652" s="303"/>
      <c r="S652" s="303"/>
      <c r="T652" s="331"/>
      <c r="U652" s="331"/>
      <c r="V652" s="331"/>
      <c r="W652" s="331"/>
      <c r="X652" s="331"/>
      <c r="Y652" s="331"/>
      <c r="Z652" s="331"/>
    </row>
    <row r="653">
      <c r="A653" s="331"/>
      <c r="B653" s="331"/>
      <c r="C653" s="331"/>
      <c r="D653" s="331"/>
      <c r="E653" s="331"/>
      <c r="F653" s="331"/>
      <c r="G653" s="331"/>
      <c r="H653" s="331"/>
      <c r="I653" s="331"/>
      <c r="J653" s="339"/>
      <c r="K653" s="339"/>
      <c r="L653" s="339"/>
      <c r="M653" s="331"/>
      <c r="N653" s="303"/>
      <c r="O653" s="303"/>
      <c r="P653" s="303"/>
      <c r="Q653" s="303"/>
      <c r="R653" s="303"/>
      <c r="S653" s="303"/>
      <c r="T653" s="331"/>
      <c r="U653" s="331"/>
      <c r="V653" s="331"/>
      <c r="W653" s="331"/>
      <c r="X653" s="331"/>
      <c r="Y653" s="331"/>
      <c r="Z653" s="331"/>
    </row>
    <row r="654">
      <c r="A654" s="331"/>
      <c r="B654" s="331"/>
      <c r="C654" s="331"/>
      <c r="D654" s="331"/>
      <c r="E654" s="331"/>
      <c r="F654" s="331"/>
      <c r="G654" s="331"/>
      <c r="H654" s="331"/>
      <c r="I654" s="331"/>
      <c r="J654" s="339"/>
      <c r="K654" s="339"/>
      <c r="L654" s="339"/>
      <c r="M654" s="331"/>
      <c r="N654" s="303"/>
      <c r="O654" s="303"/>
      <c r="P654" s="303"/>
      <c r="Q654" s="303"/>
      <c r="R654" s="303"/>
      <c r="S654" s="303"/>
      <c r="T654" s="331"/>
      <c r="U654" s="331"/>
      <c r="V654" s="331"/>
      <c r="W654" s="331"/>
      <c r="X654" s="331"/>
      <c r="Y654" s="331"/>
      <c r="Z654" s="331"/>
    </row>
    <row r="655">
      <c r="A655" s="331"/>
      <c r="B655" s="331"/>
      <c r="C655" s="331"/>
      <c r="D655" s="331"/>
      <c r="E655" s="331"/>
      <c r="F655" s="331"/>
      <c r="G655" s="331"/>
      <c r="H655" s="331"/>
      <c r="I655" s="331"/>
      <c r="J655" s="339"/>
      <c r="K655" s="339"/>
      <c r="L655" s="339"/>
      <c r="M655" s="331"/>
      <c r="N655" s="303"/>
      <c r="O655" s="303"/>
      <c r="P655" s="303"/>
      <c r="Q655" s="303"/>
      <c r="R655" s="303"/>
      <c r="S655" s="303"/>
      <c r="T655" s="331"/>
      <c r="U655" s="331"/>
      <c r="V655" s="331"/>
      <c r="W655" s="331"/>
      <c r="X655" s="331"/>
      <c r="Y655" s="331"/>
      <c r="Z655" s="331"/>
    </row>
    <row r="656">
      <c r="A656" s="331"/>
      <c r="B656" s="331"/>
      <c r="C656" s="331"/>
      <c r="D656" s="331"/>
      <c r="E656" s="331"/>
      <c r="F656" s="331"/>
      <c r="G656" s="331"/>
      <c r="H656" s="331"/>
      <c r="I656" s="331"/>
      <c r="J656" s="339"/>
      <c r="K656" s="339"/>
      <c r="L656" s="339"/>
      <c r="M656" s="331"/>
      <c r="N656" s="303"/>
      <c r="O656" s="303"/>
      <c r="P656" s="303"/>
      <c r="Q656" s="303"/>
      <c r="R656" s="303"/>
      <c r="S656" s="303"/>
      <c r="T656" s="331"/>
      <c r="U656" s="331"/>
      <c r="V656" s="331"/>
      <c r="W656" s="331"/>
      <c r="X656" s="331"/>
      <c r="Y656" s="331"/>
      <c r="Z656" s="331"/>
    </row>
    <row r="657">
      <c r="A657" s="331"/>
      <c r="B657" s="331"/>
      <c r="C657" s="331"/>
      <c r="D657" s="331"/>
      <c r="E657" s="331"/>
      <c r="F657" s="331"/>
      <c r="G657" s="331"/>
      <c r="H657" s="331"/>
      <c r="I657" s="331"/>
      <c r="J657" s="339"/>
      <c r="K657" s="339"/>
      <c r="L657" s="339"/>
      <c r="M657" s="331"/>
      <c r="N657" s="303"/>
      <c r="O657" s="303"/>
      <c r="P657" s="303"/>
      <c r="Q657" s="303"/>
      <c r="R657" s="303"/>
      <c r="S657" s="303"/>
      <c r="T657" s="331"/>
      <c r="U657" s="331"/>
      <c r="V657" s="331"/>
      <c r="W657" s="331"/>
      <c r="X657" s="331"/>
      <c r="Y657" s="331"/>
      <c r="Z657" s="331"/>
    </row>
    <row r="658">
      <c r="A658" s="331"/>
      <c r="B658" s="331"/>
      <c r="C658" s="331"/>
      <c r="D658" s="331"/>
      <c r="E658" s="331"/>
      <c r="F658" s="331"/>
      <c r="G658" s="331"/>
      <c r="H658" s="331"/>
      <c r="I658" s="331"/>
      <c r="J658" s="339"/>
      <c r="K658" s="339"/>
      <c r="L658" s="339"/>
      <c r="M658" s="331"/>
      <c r="N658" s="303"/>
      <c r="O658" s="303"/>
      <c r="P658" s="303"/>
      <c r="Q658" s="303"/>
      <c r="R658" s="303"/>
      <c r="S658" s="303"/>
      <c r="T658" s="331"/>
      <c r="U658" s="331"/>
      <c r="V658" s="331"/>
      <c r="W658" s="331"/>
      <c r="X658" s="331"/>
      <c r="Y658" s="331"/>
      <c r="Z658" s="331"/>
    </row>
    <row r="659">
      <c r="A659" s="331"/>
      <c r="B659" s="331"/>
      <c r="C659" s="331"/>
      <c r="D659" s="331"/>
      <c r="E659" s="331"/>
      <c r="F659" s="331"/>
      <c r="G659" s="331"/>
      <c r="H659" s="331"/>
      <c r="I659" s="331"/>
      <c r="J659" s="339"/>
      <c r="K659" s="339"/>
      <c r="L659" s="339"/>
      <c r="M659" s="331"/>
      <c r="N659" s="303"/>
      <c r="O659" s="303"/>
      <c r="P659" s="303"/>
      <c r="Q659" s="303"/>
      <c r="R659" s="303"/>
      <c r="S659" s="303"/>
      <c r="T659" s="331"/>
      <c r="U659" s="331"/>
      <c r="V659" s="331"/>
      <c r="W659" s="331"/>
      <c r="X659" s="331"/>
      <c r="Y659" s="331"/>
      <c r="Z659" s="331"/>
    </row>
    <row r="660">
      <c r="A660" s="331"/>
      <c r="B660" s="331"/>
      <c r="C660" s="331"/>
      <c r="D660" s="331"/>
      <c r="E660" s="331"/>
      <c r="F660" s="331"/>
      <c r="G660" s="331"/>
      <c r="H660" s="331"/>
      <c r="I660" s="331"/>
      <c r="J660" s="339"/>
      <c r="K660" s="339"/>
      <c r="L660" s="339"/>
      <c r="M660" s="331"/>
      <c r="N660" s="303"/>
      <c r="O660" s="303"/>
      <c r="P660" s="303"/>
      <c r="Q660" s="303"/>
      <c r="R660" s="303"/>
      <c r="S660" s="303"/>
      <c r="T660" s="331"/>
      <c r="U660" s="331"/>
      <c r="V660" s="331"/>
      <c r="W660" s="331"/>
      <c r="X660" s="331"/>
      <c r="Y660" s="331"/>
      <c r="Z660" s="331"/>
    </row>
    <row r="661">
      <c r="A661" s="331"/>
      <c r="B661" s="331"/>
      <c r="C661" s="331"/>
      <c r="D661" s="331"/>
      <c r="E661" s="331"/>
      <c r="F661" s="331"/>
      <c r="G661" s="331"/>
      <c r="H661" s="331"/>
      <c r="I661" s="331"/>
      <c r="J661" s="339"/>
      <c r="K661" s="339"/>
      <c r="L661" s="339"/>
      <c r="M661" s="331"/>
      <c r="N661" s="303"/>
      <c r="O661" s="303"/>
      <c r="P661" s="303"/>
      <c r="Q661" s="303"/>
      <c r="R661" s="303"/>
      <c r="S661" s="303"/>
      <c r="T661" s="331"/>
      <c r="U661" s="331"/>
      <c r="V661" s="331"/>
      <c r="W661" s="331"/>
      <c r="X661" s="331"/>
      <c r="Y661" s="331"/>
      <c r="Z661" s="331"/>
    </row>
    <row r="662">
      <c r="A662" s="331"/>
      <c r="B662" s="331"/>
      <c r="C662" s="331"/>
      <c r="D662" s="331"/>
      <c r="E662" s="331"/>
      <c r="F662" s="331"/>
      <c r="G662" s="331"/>
      <c r="H662" s="331"/>
      <c r="I662" s="331"/>
      <c r="J662" s="339"/>
      <c r="K662" s="339"/>
      <c r="L662" s="339"/>
      <c r="M662" s="331"/>
      <c r="N662" s="303"/>
      <c r="O662" s="303"/>
      <c r="P662" s="303"/>
      <c r="Q662" s="303"/>
      <c r="R662" s="303"/>
      <c r="S662" s="303"/>
      <c r="T662" s="331"/>
      <c r="U662" s="331"/>
      <c r="V662" s="331"/>
      <c r="W662" s="331"/>
      <c r="X662" s="331"/>
      <c r="Y662" s="331"/>
      <c r="Z662" s="331"/>
    </row>
    <row r="663">
      <c r="A663" s="331"/>
      <c r="B663" s="331"/>
      <c r="C663" s="331"/>
      <c r="D663" s="331"/>
      <c r="E663" s="331"/>
      <c r="F663" s="331"/>
      <c r="G663" s="331"/>
      <c r="H663" s="331"/>
      <c r="I663" s="331"/>
      <c r="J663" s="339"/>
      <c r="K663" s="339"/>
      <c r="L663" s="339"/>
      <c r="M663" s="331"/>
      <c r="N663" s="303"/>
      <c r="O663" s="303"/>
      <c r="P663" s="303"/>
      <c r="Q663" s="303"/>
      <c r="R663" s="303"/>
      <c r="S663" s="303"/>
      <c r="T663" s="331"/>
      <c r="U663" s="331"/>
      <c r="V663" s="331"/>
      <c r="W663" s="331"/>
      <c r="X663" s="331"/>
      <c r="Y663" s="331"/>
      <c r="Z663" s="331"/>
    </row>
    <row r="664">
      <c r="A664" s="331"/>
      <c r="B664" s="331"/>
      <c r="C664" s="331"/>
      <c r="D664" s="331"/>
      <c r="E664" s="331"/>
      <c r="F664" s="331"/>
      <c r="G664" s="331"/>
      <c r="H664" s="331"/>
      <c r="I664" s="331"/>
      <c r="J664" s="339"/>
      <c r="K664" s="339"/>
      <c r="L664" s="339"/>
      <c r="M664" s="331"/>
      <c r="N664" s="303"/>
      <c r="O664" s="303"/>
      <c r="P664" s="303"/>
      <c r="Q664" s="303"/>
      <c r="R664" s="303"/>
      <c r="S664" s="303"/>
      <c r="T664" s="331"/>
      <c r="U664" s="331"/>
      <c r="V664" s="331"/>
      <c r="W664" s="331"/>
      <c r="X664" s="331"/>
      <c r="Y664" s="331"/>
      <c r="Z664" s="331"/>
    </row>
    <row r="665">
      <c r="A665" s="331"/>
      <c r="B665" s="331"/>
      <c r="C665" s="331"/>
      <c r="D665" s="331"/>
      <c r="E665" s="331"/>
      <c r="F665" s="331"/>
      <c r="G665" s="331"/>
      <c r="H665" s="331"/>
      <c r="I665" s="331"/>
      <c r="J665" s="339"/>
      <c r="K665" s="339"/>
      <c r="L665" s="339"/>
      <c r="M665" s="331"/>
      <c r="N665" s="303"/>
      <c r="O665" s="303"/>
      <c r="P665" s="303"/>
      <c r="Q665" s="303"/>
      <c r="R665" s="303"/>
      <c r="S665" s="303"/>
      <c r="T665" s="331"/>
      <c r="U665" s="331"/>
      <c r="V665" s="331"/>
      <c r="W665" s="331"/>
      <c r="X665" s="331"/>
      <c r="Y665" s="331"/>
      <c r="Z665" s="331"/>
    </row>
    <row r="666">
      <c r="A666" s="331"/>
      <c r="B666" s="331"/>
      <c r="C666" s="331"/>
      <c r="D666" s="331"/>
      <c r="E666" s="331"/>
      <c r="F666" s="331"/>
      <c r="G666" s="331"/>
      <c r="H666" s="331"/>
      <c r="I666" s="331"/>
      <c r="J666" s="339"/>
      <c r="K666" s="339"/>
      <c r="L666" s="339"/>
      <c r="M666" s="331"/>
      <c r="N666" s="303"/>
      <c r="O666" s="303"/>
      <c r="P666" s="303"/>
      <c r="Q666" s="303"/>
      <c r="R666" s="303"/>
      <c r="S666" s="303"/>
      <c r="T666" s="331"/>
      <c r="U666" s="331"/>
      <c r="V666" s="331"/>
      <c r="W666" s="331"/>
      <c r="X666" s="331"/>
      <c r="Y666" s="331"/>
      <c r="Z666" s="331"/>
    </row>
    <row r="667">
      <c r="A667" s="331"/>
      <c r="B667" s="331"/>
      <c r="C667" s="331"/>
      <c r="D667" s="331"/>
      <c r="E667" s="331"/>
      <c r="F667" s="331"/>
      <c r="G667" s="331"/>
      <c r="H667" s="331"/>
      <c r="I667" s="331"/>
      <c r="J667" s="339"/>
      <c r="K667" s="339"/>
      <c r="L667" s="339"/>
      <c r="M667" s="331"/>
      <c r="N667" s="303"/>
      <c r="O667" s="303"/>
      <c r="P667" s="303"/>
      <c r="Q667" s="303"/>
      <c r="R667" s="303"/>
      <c r="S667" s="303"/>
      <c r="T667" s="331"/>
      <c r="U667" s="331"/>
      <c r="V667" s="331"/>
      <c r="W667" s="331"/>
      <c r="X667" s="331"/>
      <c r="Y667" s="331"/>
      <c r="Z667" s="331"/>
    </row>
    <row r="668">
      <c r="A668" s="331"/>
      <c r="B668" s="331"/>
      <c r="C668" s="331"/>
      <c r="D668" s="331"/>
      <c r="E668" s="331"/>
      <c r="F668" s="331"/>
      <c r="G668" s="331"/>
      <c r="H668" s="331"/>
      <c r="I668" s="331"/>
      <c r="J668" s="339"/>
      <c r="K668" s="339"/>
      <c r="L668" s="339"/>
      <c r="M668" s="331"/>
      <c r="N668" s="303"/>
      <c r="O668" s="303"/>
      <c r="P668" s="303"/>
      <c r="Q668" s="303"/>
      <c r="R668" s="303"/>
      <c r="S668" s="303"/>
      <c r="T668" s="331"/>
      <c r="U668" s="331"/>
      <c r="V668" s="331"/>
      <c r="W668" s="331"/>
      <c r="X668" s="331"/>
      <c r="Y668" s="331"/>
      <c r="Z668" s="331"/>
    </row>
    <row r="669">
      <c r="A669" s="331"/>
      <c r="B669" s="331"/>
      <c r="C669" s="331"/>
      <c r="D669" s="331"/>
      <c r="E669" s="331"/>
      <c r="F669" s="331"/>
      <c r="G669" s="331"/>
      <c r="H669" s="331"/>
      <c r="I669" s="331"/>
      <c r="J669" s="339"/>
      <c r="K669" s="339"/>
      <c r="L669" s="339"/>
      <c r="M669" s="331"/>
      <c r="N669" s="303"/>
      <c r="O669" s="303"/>
      <c r="P669" s="303"/>
      <c r="Q669" s="303"/>
      <c r="R669" s="303"/>
      <c r="S669" s="303"/>
      <c r="T669" s="331"/>
      <c r="U669" s="331"/>
      <c r="V669" s="331"/>
      <c r="W669" s="331"/>
      <c r="X669" s="331"/>
      <c r="Y669" s="331"/>
      <c r="Z669" s="331"/>
    </row>
    <row r="670">
      <c r="A670" s="331"/>
      <c r="B670" s="331"/>
      <c r="C670" s="331"/>
      <c r="D670" s="331"/>
      <c r="E670" s="331"/>
      <c r="F670" s="331"/>
      <c r="G670" s="331"/>
      <c r="H670" s="331"/>
      <c r="I670" s="331"/>
      <c r="J670" s="339"/>
      <c r="K670" s="339"/>
      <c r="L670" s="339"/>
      <c r="M670" s="331"/>
      <c r="N670" s="303"/>
      <c r="O670" s="303"/>
      <c r="P670" s="303"/>
      <c r="Q670" s="303"/>
      <c r="R670" s="303"/>
      <c r="S670" s="303"/>
      <c r="T670" s="331"/>
      <c r="U670" s="331"/>
      <c r="V670" s="331"/>
      <c r="W670" s="331"/>
      <c r="X670" s="331"/>
      <c r="Y670" s="331"/>
      <c r="Z670" s="331"/>
    </row>
    <row r="671">
      <c r="A671" s="331"/>
      <c r="B671" s="331"/>
      <c r="C671" s="331"/>
      <c r="D671" s="331"/>
      <c r="E671" s="331"/>
      <c r="F671" s="331"/>
      <c r="G671" s="331"/>
      <c r="H671" s="331"/>
      <c r="I671" s="331"/>
      <c r="J671" s="339"/>
      <c r="K671" s="339"/>
      <c r="L671" s="339"/>
      <c r="M671" s="331"/>
      <c r="N671" s="303"/>
      <c r="O671" s="303"/>
      <c r="P671" s="303"/>
      <c r="Q671" s="303"/>
      <c r="R671" s="303"/>
      <c r="S671" s="303"/>
      <c r="T671" s="331"/>
      <c r="U671" s="331"/>
      <c r="V671" s="331"/>
      <c r="W671" s="331"/>
      <c r="X671" s="331"/>
      <c r="Y671" s="331"/>
      <c r="Z671" s="331"/>
    </row>
    <row r="672">
      <c r="A672" s="331"/>
      <c r="B672" s="331"/>
      <c r="C672" s="331"/>
      <c r="D672" s="331"/>
      <c r="E672" s="331"/>
      <c r="F672" s="331"/>
      <c r="G672" s="331"/>
      <c r="H672" s="331"/>
      <c r="I672" s="331"/>
      <c r="J672" s="339"/>
      <c r="K672" s="339"/>
      <c r="L672" s="339"/>
      <c r="M672" s="331"/>
      <c r="N672" s="303"/>
      <c r="O672" s="303"/>
      <c r="P672" s="303"/>
      <c r="Q672" s="303"/>
      <c r="R672" s="303"/>
      <c r="S672" s="303"/>
      <c r="T672" s="331"/>
      <c r="U672" s="331"/>
      <c r="V672" s="331"/>
      <c r="W672" s="331"/>
      <c r="X672" s="331"/>
      <c r="Y672" s="331"/>
      <c r="Z672" s="331"/>
    </row>
    <row r="673">
      <c r="A673" s="331"/>
      <c r="B673" s="331"/>
      <c r="C673" s="331"/>
      <c r="D673" s="331"/>
      <c r="E673" s="331"/>
      <c r="F673" s="331"/>
      <c r="G673" s="331"/>
      <c r="H673" s="331"/>
      <c r="I673" s="331"/>
      <c r="J673" s="339"/>
      <c r="K673" s="339"/>
      <c r="L673" s="339"/>
      <c r="M673" s="331"/>
      <c r="N673" s="303"/>
      <c r="O673" s="303"/>
      <c r="P673" s="303"/>
      <c r="Q673" s="303"/>
      <c r="R673" s="303"/>
      <c r="S673" s="303"/>
      <c r="T673" s="331"/>
      <c r="U673" s="331"/>
      <c r="V673" s="331"/>
      <c r="W673" s="331"/>
      <c r="X673" s="331"/>
      <c r="Y673" s="331"/>
      <c r="Z673" s="331"/>
    </row>
    <row r="674">
      <c r="A674" s="331"/>
      <c r="B674" s="331"/>
      <c r="C674" s="331"/>
      <c r="D674" s="331"/>
      <c r="E674" s="331"/>
      <c r="F674" s="331"/>
      <c r="G674" s="331"/>
      <c r="H674" s="331"/>
      <c r="I674" s="331"/>
      <c r="J674" s="339"/>
      <c r="K674" s="339"/>
      <c r="L674" s="339"/>
      <c r="M674" s="331"/>
      <c r="N674" s="303"/>
      <c r="O674" s="303"/>
      <c r="P674" s="303"/>
      <c r="Q674" s="303"/>
      <c r="R674" s="303"/>
      <c r="S674" s="303"/>
      <c r="T674" s="331"/>
      <c r="U674" s="331"/>
      <c r="V674" s="331"/>
      <c r="W674" s="331"/>
      <c r="X674" s="331"/>
      <c r="Y674" s="331"/>
      <c r="Z674" s="331"/>
    </row>
    <row r="675">
      <c r="A675" s="331"/>
      <c r="B675" s="331"/>
      <c r="C675" s="331"/>
      <c r="D675" s="331"/>
      <c r="E675" s="331"/>
      <c r="F675" s="331"/>
      <c r="G675" s="331"/>
      <c r="H675" s="331"/>
      <c r="I675" s="331"/>
      <c r="J675" s="339"/>
      <c r="K675" s="339"/>
      <c r="L675" s="339"/>
      <c r="M675" s="331"/>
      <c r="N675" s="303"/>
      <c r="O675" s="303"/>
      <c r="P675" s="303"/>
      <c r="Q675" s="303"/>
      <c r="R675" s="303"/>
      <c r="S675" s="303"/>
      <c r="T675" s="331"/>
      <c r="U675" s="331"/>
      <c r="V675" s="331"/>
      <c r="W675" s="331"/>
      <c r="X675" s="331"/>
      <c r="Y675" s="331"/>
      <c r="Z675" s="331"/>
    </row>
    <row r="676">
      <c r="A676" s="331"/>
      <c r="B676" s="331"/>
      <c r="C676" s="331"/>
      <c r="D676" s="331"/>
      <c r="E676" s="331"/>
      <c r="F676" s="331"/>
      <c r="G676" s="331"/>
      <c r="H676" s="331"/>
      <c r="I676" s="331"/>
      <c r="J676" s="339"/>
      <c r="K676" s="339"/>
      <c r="L676" s="339"/>
      <c r="M676" s="331"/>
      <c r="N676" s="303"/>
      <c r="O676" s="303"/>
      <c r="P676" s="303"/>
      <c r="Q676" s="303"/>
      <c r="R676" s="303"/>
      <c r="S676" s="303"/>
      <c r="T676" s="331"/>
      <c r="U676" s="331"/>
      <c r="V676" s="331"/>
      <c r="W676" s="331"/>
      <c r="X676" s="331"/>
      <c r="Y676" s="331"/>
      <c r="Z676" s="331"/>
    </row>
    <row r="677">
      <c r="A677" s="331"/>
      <c r="B677" s="331"/>
      <c r="C677" s="331"/>
      <c r="D677" s="331"/>
      <c r="E677" s="331"/>
      <c r="F677" s="331"/>
      <c r="G677" s="331"/>
      <c r="H677" s="331"/>
      <c r="I677" s="331"/>
      <c r="J677" s="339"/>
      <c r="K677" s="339"/>
      <c r="L677" s="339"/>
      <c r="M677" s="331"/>
      <c r="N677" s="303"/>
      <c r="O677" s="303"/>
      <c r="P677" s="303"/>
      <c r="Q677" s="303"/>
      <c r="R677" s="303"/>
      <c r="S677" s="303"/>
      <c r="T677" s="331"/>
      <c r="U677" s="331"/>
      <c r="V677" s="331"/>
      <c r="W677" s="331"/>
      <c r="X677" s="331"/>
      <c r="Y677" s="331"/>
      <c r="Z677" s="331"/>
    </row>
    <row r="678">
      <c r="A678" s="331"/>
      <c r="B678" s="331"/>
      <c r="C678" s="331"/>
      <c r="D678" s="331"/>
      <c r="E678" s="331"/>
      <c r="F678" s="331"/>
      <c r="G678" s="331"/>
      <c r="H678" s="331"/>
      <c r="I678" s="331"/>
      <c r="J678" s="339"/>
      <c r="K678" s="339"/>
      <c r="L678" s="339"/>
      <c r="M678" s="331"/>
      <c r="N678" s="303"/>
      <c r="O678" s="303"/>
      <c r="P678" s="303"/>
      <c r="Q678" s="303"/>
      <c r="R678" s="303"/>
      <c r="S678" s="303"/>
      <c r="T678" s="331"/>
      <c r="U678" s="331"/>
      <c r="V678" s="331"/>
      <c r="W678" s="331"/>
      <c r="X678" s="331"/>
      <c r="Y678" s="331"/>
      <c r="Z678" s="331"/>
    </row>
    <row r="679">
      <c r="A679" s="331"/>
      <c r="B679" s="331"/>
      <c r="C679" s="331"/>
      <c r="D679" s="331"/>
      <c r="E679" s="331"/>
      <c r="F679" s="331"/>
      <c r="G679" s="331"/>
      <c r="H679" s="331"/>
      <c r="I679" s="331"/>
      <c r="J679" s="339"/>
      <c r="K679" s="339"/>
      <c r="L679" s="339"/>
      <c r="M679" s="331"/>
      <c r="N679" s="303"/>
      <c r="O679" s="303"/>
      <c r="P679" s="303"/>
      <c r="Q679" s="303"/>
      <c r="R679" s="303"/>
      <c r="S679" s="303"/>
      <c r="T679" s="331"/>
      <c r="U679" s="331"/>
      <c r="V679" s="331"/>
      <c r="W679" s="331"/>
      <c r="X679" s="331"/>
      <c r="Y679" s="331"/>
      <c r="Z679" s="331"/>
    </row>
    <row r="680">
      <c r="A680" s="331"/>
      <c r="B680" s="331"/>
      <c r="C680" s="331"/>
      <c r="D680" s="331"/>
      <c r="E680" s="331"/>
      <c r="F680" s="331"/>
      <c r="G680" s="331"/>
      <c r="H680" s="331"/>
      <c r="I680" s="331"/>
      <c r="J680" s="339"/>
      <c r="K680" s="339"/>
      <c r="L680" s="339"/>
      <c r="M680" s="331"/>
      <c r="N680" s="303"/>
      <c r="O680" s="303"/>
      <c r="P680" s="303"/>
      <c r="Q680" s="303"/>
      <c r="R680" s="303"/>
      <c r="S680" s="303"/>
      <c r="T680" s="331"/>
      <c r="U680" s="331"/>
      <c r="V680" s="331"/>
      <c r="W680" s="331"/>
      <c r="X680" s="331"/>
      <c r="Y680" s="331"/>
      <c r="Z680" s="331"/>
    </row>
    <row r="681">
      <c r="A681" s="331"/>
      <c r="B681" s="331"/>
      <c r="C681" s="331"/>
      <c r="D681" s="331"/>
      <c r="E681" s="331"/>
      <c r="F681" s="331"/>
      <c r="G681" s="331"/>
      <c r="H681" s="331"/>
      <c r="I681" s="331"/>
      <c r="J681" s="339"/>
      <c r="K681" s="339"/>
      <c r="L681" s="339"/>
      <c r="M681" s="331"/>
      <c r="N681" s="303"/>
      <c r="O681" s="303"/>
      <c r="P681" s="303"/>
      <c r="Q681" s="303"/>
      <c r="R681" s="303"/>
      <c r="S681" s="303"/>
      <c r="T681" s="331"/>
      <c r="U681" s="331"/>
      <c r="V681" s="331"/>
      <c r="W681" s="331"/>
      <c r="X681" s="331"/>
      <c r="Y681" s="331"/>
      <c r="Z681" s="331"/>
    </row>
    <row r="682">
      <c r="A682" s="331"/>
      <c r="B682" s="331"/>
      <c r="C682" s="331"/>
      <c r="D682" s="331"/>
      <c r="E682" s="331"/>
      <c r="F682" s="331"/>
      <c r="G682" s="331"/>
      <c r="H682" s="331"/>
      <c r="I682" s="331"/>
      <c r="J682" s="339"/>
      <c r="K682" s="339"/>
      <c r="L682" s="339"/>
      <c r="M682" s="331"/>
      <c r="N682" s="303"/>
      <c r="O682" s="303"/>
      <c r="P682" s="303"/>
      <c r="Q682" s="303"/>
      <c r="R682" s="303"/>
      <c r="S682" s="303"/>
      <c r="T682" s="331"/>
      <c r="U682" s="331"/>
      <c r="V682" s="331"/>
      <c r="W682" s="331"/>
      <c r="X682" s="331"/>
      <c r="Y682" s="331"/>
      <c r="Z682" s="331"/>
    </row>
    <row r="683">
      <c r="A683" s="331"/>
      <c r="B683" s="331"/>
      <c r="C683" s="331"/>
      <c r="D683" s="331"/>
      <c r="E683" s="331"/>
      <c r="F683" s="331"/>
      <c r="G683" s="331"/>
      <c r="H683" s="331"/>
      <c r="I683" s="331"/>
      <c r="J683" s="339"/>
      <c r="K683" s="339"/>
      <c r="L683" s="339"/>
      <c r="M683" s="331"/>
      <c r="N683" s="303"/>
      <c r="O683" s="303"/>
      <c r="P683" s="303"/>
      <c r="Q683" s="303"/>
      <c r="R683" s="303"/>
      <c r="S683" s="303"/>
      <c r="T683" s="331"/>
      <c r="U683" s="331"/>
      <c r="V683" s="331"/>
      <c r="W683" s="331"/>
      <c r="X683" s="331"/>
      <c r="Y683" s="331"/>
      <c r="Z683" s="331"/>
    </row>
    <row r="684">
      <c r="A684" s="331"/>
      <c r="B684" s="331"/>
      <c r="C684" s="331"/>
      <c r="D684" s="331"/>
      <c r="E684" s="331"/>
      <c r="F684" s="331"/>
      <c r="G684" s="331"/>
      <c r="H684" s="331"/>
      <c r="I684" s="331"/>
      <c r="J684" s="339"/>
      <c r="K684" s="339"/>
      <c r="L684" s="339"/>
      <c r="M684" s="331"/>
      <c r="N684" s="303"/>
      <c r="O684" s="303"/>
      <c r="P684" s="303"/>
      <c r="Q684" s="303"/>
      <c r="R684" s="303"/>
      <c r="S684" s="303"/>
      <c r="T684" s="331"/>
      <c r="U684" s="331"/>
      <c r="V684" s="331"/>
      <c r="W684" s="331"/>
      <c r="X684" s="331"/>
      <c r="Y684" s="331"/>
      <c r="Z684" s="331"/>
    </row>
    <row r="685">
      <c r="A685" s="331"/>
      <c r="B685" s="331"/>
      <c r="C685" s="331"/>
      <c r="D685" s="331"/>
      <c r="E685" s="331"/>
      <c r="F685" s="331"/>
      <c r="G685" s="331"/>
      <c r="H685" s="331"/>
      <c r="I685" s="331"/>
      <c r="J685" s="339"/>
      <c r="K685" s="339"/>
      <c r="L685" s="339"/>
      <c r="M685" s="331"/>
      <c r="N685" s="303"/>
      <c r="O685" s="303"/>
      <c r="P685" s="303"/>
      <c r="Q685" s="303"/>
      <c r="R685" s="303"/>
      <c r="S685" s="303"/>
      <c r="T685" s="331"/>
      <c r="U685" s="331"/>
      <c r="V685" s="331"/>
      <c r="W685" s="331"/>
      <c r="X685" s="331"/>
      <c r="Y685" s="331"/>
      <c r="Z685" s="331"/>
    </row>
    <row r="686">
      <c r="A686" s="331"/>
      <c r="B686" s="331"/>
      <c r="C686" s="331"/>
      <c r="D686" s="331"/>
      <c r="E686" s="331"/>
      <c r="F686" s="331"/>
      <c r="G686" s="331"/>
      <c r="H686" s="331"/>
      <c r="I686" s="331"/>
      <c r="J686" s="339"/>
      <c r="K686" s="339"/>
      <c r="L686" s="339"/>
      <c r="M686" s="331"/>
      <c r="N686" s="303"/>
      <c r="O686" s="303"/>
      <c r="P686" s="303"/>
      <c r="Q686" s="303"/>
      <c r="R686" s="303"/>
      <c r="S686" s="303"/>
      <c r="T686" s="331"/>
      <c r="U686" s="331"/>
      <c r="V686" s="331"/>
      <c r="W686" s="331"/>
      <c r="X686" s="331"/>
      <c r="Y686" s="331"/>
      <c r="Z686" s="331"/>
    </row>
    <row r="687">
      <c r="A687" s="331"/>
      <c r="B687" s="331"/>
      <c r="C687" s="331"/>
      <c r="D687" s="331"/>
      <c r="E687" s="331"/>
      <c r="F687" s="331"/>
      <c r="G687" s="331"/>
      <c r="H687" s="331"/>
      <c r="I687" s="331"/>
      <c r="J687" s="339"/>
      <c r="K687" s="339"/>
      <c r="L687" s="339"/>
      <c r="M687" s="331"/>
      <c r="N687" s="303"/>
      <c r="O687" s="303"/>
      <c r="P687" s="303"/>
      <c r="Q687" s="303"/>
      <c r="R687" s="303"/>
      <c r="S687" s="303"/>
      <c r="T687" s="331"/>
      <c r="U687" s="331"/>
      <c r="V687" s="331"/>
      <c r="W687" s="331"/>
      <c r="X687" s="331"/>
      <c r="Y687" s="331"/>
      <c r="Z687" s="331"/>
    </row>
    <row r="688">
      <c r="A688" s="331"/>
      <c r="B688" s="331"/>
      <c r="C688" s="331"/>
      <c r="D688" s="331"/>
      <c r="E688" s="331"/>
      <c r="F688" s="331"/>
      <c r="G688" s="331"/>
      <c r="H688" s="331"/>
      <c r="I688" s="331"/>
      <c r="J688" s="339"/>
      <c r="K688" s="339"/>
      <c r="L688" s="339"/>
      <c r="M688" s="331"/>
      <c r="N688" s="303"/>
      <c r="O688" s="303"/>
      <c r="P688" s="303"/>
      <c r="Q688" s="303"/>
      <c r="R688" s="303"/>
      <c r="S688" s="303"/>
      <c r="T688" s="331"/>
      <c r="U688" s="331"/>
      <c r="V688" s="331"/>
      <c r="W688" s="331"/>
      <c r="X688" s="331"/>
      <c r="Y688" s="331"/>
      <c r="Z688" s="331"/>
    </row>
    <row r="689">
      <c r="A689" s="331"/>
      <c r="B689" s="331"/>
      <c r="C689" s="331"/>
      <c r="D689" s="331"/>
      <c r="E689" s="331"/>
      <c r="F689" s="331"/>
      <c r="G689" s="331"/>
      <c r="H689" s="331"/>
      <c r="I689" s="331"/>
      <c r="J689" s="339"/>
      <c r="K689" s="339"/>
      <c r="L689" s="339"/>
      <c r="M689" s="331"/>
      <c r="N689" s="303"/>
      <c r="O689" s="303"/>
      <c r="P689" s="303"/>
      <c r="Q689" s="303"/>
      <c r="R689" s="303"/>
      <c r="S689" s="303"/>
      <c r="T689" s="331"/>
      <c r="U689" s="331"/>
      <c r="V689" s="331"/>
      <c r="W689" s="331"/>
      <c r="X689" s="331"/>
      <c r="Y689" s="331"/>
      <c r="Z689" s="331"/>
    </row>
    <row r="690">
      <c r="A690" s="331"/>
      <c r="B690" s="331"/>
      <c r="C690" s="331"/>
      <c r="D690" s="331"/>
      <c r="E690" s="331"/>
      <c r="F690" s="331"/>
      <c r="G690" s="331"/>
      <c r="H690" s="331"/>
      <c r="I690" s="331"/>
      <c r="J690" s="339"/>
      <c r="K690" s="339"/>
      <c r="L690" s="339"/>
      <c r="M690" s="331"/>
      <c r="N690" s="303"/>
      <c r="O690" s="303"/>
      <c r="P690" s="303"/>
      <c r="Q690" s="303"/>
      <c r="R690" s="303"/>
      <c r="S690" s="303"/>
      <c r="T690" s="331"/>
      <c r="U690" s="331"/>
      <c r="V690" s="331"/>
      <c r="W690" s="331"/>
      <c r="X690" s="331"/>
      <c r="Y690" s="331"/>
      <c r="Z690" s="331"/>
    </row>
    <row r="691">
      <c r="A691" s="331"/>
      <c r="B691" s="331"/>
      <c r="C691" s="331"/>
      <c r="D691" s="331"/>
      <c r="E691" s="331"/>
      <c r="F691" s="331"/>
      <c r="G691" s="331"/>
      <c r="H691" s="331"/>
      <c r="I691" s="331"/>
      <c r="J691" s="339"/>
      <c r="K691" s="339"/>
      <c r="L691" s="339"/>
      <c r="M691" s="331"/>
      <c r="N691" s="303"/>
      <c r="O691" s="303"/>
      <c r="P691" s="303"/>
      <c r="Q691" s="303"/>
      <c r="R691" s="303"/>
      <c r="S691" s="303"/>
      <c r="T691" s="331"/>
      <c r="U691" s="331"/>
      <c r="V691" s="331"/>
      <c r="W691" s="331"/>
      <c r="X691" s="331"/>
      <c r="Y691" s="331"/>
      <c r="Z691" s="331"/>
    </row>
    <row r="692">
      <c r="A692" s="331"/>
      <c r="B692" s="331"/>
      <c r="C692" s="331"/>
      <c r="D692" s="331"/>
      <c r="E692" s="331"/>
      <c r="F692" s="331"/>
      <c r="G692" s="331"/>
      <c r="H692" s="331"/>
      <c r="I692" s="331"/>
      <c r="J692" s="339"/>
      <c r="K692" s="339"/>
      <c r="L692" s="339"/>
      <c r="M692" s="331"/>
      <c r="N692" s="303"/>
      <c r="O692" s="303"/>
      <c r="P692" s="303"/>
      <c r="Q692" s="303"/>
      <c r="R692" s="303"/>
      <c r="S692" s="303"/>
      <c r="T692" s="331"/>
      <c r="U692" s="331"/>
      <c r="V692" s="331"/>
      <c r="W692" s="331"/>
      <c r="X692" s="331"/>
      <c r="Y692" s="331"/>
      <c r="Z692" s="331"/>
    </row>
    <row r="693">
      <c r="A693" s="331"/>
      <c r="B693" s="331"/>
      <c r="C693" s="331"/>
      <c r="D693" s="331"/>
      <c r="E693" s="331"/>
      <c r="F693" s="331"/>
      <c r="G693" s="331"/>
      <c r="H693" s="331"/>
      <c r="I693" s="331"/>
      <c r="J693" s="339"/>
      <c r="K693" s="339"/>
      <c r="L693" s="339"/>
      <c r="M693" s="331"/>
      <c r="N693" s="303"/>
      <c r="O693" s="303"/>
      <c r="P693" s="303"/>
      <c r="Q693" s="303"/>
      <c r="R693" s="303"/>
      <c r="S693" s="303"/>
      <c r="T693" s="331"/>
      <c r="U693" s="331"/>
      <c r="V693" s="331"/>
      <c r="W693" s="331"/>
      <c r="X693" s="331"/>
      <c r="Y693" s="331"/>
      <c r="Z693" s="331"/>
    </row>
    <row r="694">
      <c r="A694" s="331"/>
      <c r="B694" s="331"/>
      <c r="C694" s="331"/>
      <c r="D694" s="331"/>
      <c r="E694" s="331"/>
      <c r="F694" s="331"/>
      <c r="G694" s="331"/>
      <c r="H694" s="331"/>
      <c r="I694" s="331"/>
      <c r="J694" s="339"/>
      <c r="K694" s="339"/>
      <c r="L694" s="339"/>
      <c r="M694" s="331"/>
      <c r="N694" s="303"/>
      <c r="O694" s="303"/>
      <c r="P694" s="303"/>
      <c r="Q694" s="303"/>
      <c r="R694" s="303"/>
      <c r="S694" s="303"/>
      <c r="T694" s="331"/>
      <c r="U694" s="331"/>
      <c r="V694" s="331"/>
      <c r="W694" s="331"/>
      <c r="X694" s="331"/>
      <c r="Y694" s="331"/>
      <c r="Z694" s="331"/>
    </row>
    <row r="695">
      <c r="A695" s="331"/>
      <c r="B695" s="331"/>
      <c r="C695" s="331"/>
      <c r="D695" s="331"/>
      <c r="E695" s="331"/>
      <c r="F695" s="331"/>
      <c r="G695" s="331"/>
      <c r="H695" s="331"/>
      <c r="I695" s="331"/>
      <c r="J695" s="339"/>
      <c r="K695" s="339"/>
      <c r="L695" s="339"/>
      <c r="M695" s="331"/>
      <c r="N695" s="303"/>
      <c r="O695" s="303"/>
      <c r="P695" s="303"/>
      <c r="Q695" s="303"/>
      <c r="R695" s="303"/>
      <c r="S695" s="303"/>
      <c r="T695" s="331"/>
      <c r="U695" s="331"/>
      <c r="V695" s="331"/>
      <c r="W695" s="331"/>
      <c r="X695" s="331"/>
      <c r="Y695" s="331"/>
      <c r="Z695" s="331"/>
    </row>
    <row r="696">
      <c r="A696" s="331"/>
      <c r="B696" s="331"/>
      <c r="C696" s="331"/>
      <c r="D696" s="331"/>
      <c r="E696" s="331"/>
      <c r="F696" s="331"/>
      <c r="G696" s="331"/>
      <c r="H696" s="331"/>
      <c r="I696" s="331"/>
      <c r="J696" s="339"/>
      <c r="K696" s="339"/>
      <c r="L696" s="339"/>
      <c r="M696" s="331"/>
      <c r="N696" s="303"/>
      <c r="O696" s="303"/>
      <c r="P696" s="303"/>
      <c r="Q696" s="303"/>
      <c r="R696" s="303"/>
      <c r="S696" s="303"/>
      <c r="T696" s="331"/>
      <c r="U696" s="331"/>
      <c r="V696" s="331"/>
      <c r="W696" s="331"/>
      <c r="X696" s="331"/>
      <c r="Y696" s="331"/>
      <c r="Z696" s="331"/>
    </row>
    <row r="697">
      <c r="A697" s="331"/>
      <c r="B697" s="331"/>
      <c r="C697" s="331"/>
      <c r="D697" s="331"/>
      <c r="E697" s="331"/>
      <c r="F697" s="331"/>
      <c r="G697" s="331"/>
      <c r="H697" s="331"/>
      <c r="I697" s="331"/>
      <c r="J697" s="339"/>
      <c r="K697" s="339"/>
      <c r="L697" s="339"/>
      <c r="M697" s="331"/>
      <c r="N697" s="303"/>
      <c r="O697" s="303"/>
      <c r="P697" s="303"/>
      <c r="Q697" s="303"/>
      <c r="R697" s="303"/>
      <c r="S697" s="303"/>
      <c r="T697" s="331"/>
      <c r="U697" s="331"/>
      <c r="V697" s="331"/>
      <c r="W697" s="331"/>
      <c r="X697" s="331"/>
      <c r="Y697" s="331"/>
      <c r="Z697" s="331"/>
    </row>
    <row r="698">
      <c r="A698" s="331"/>
      <c r="B698" s="331"/>
      <c r="C698" s="331"/>
      <c r="D698" s="331"/>
      <c r="E698" s="331"/>
      <c r="F698" s="331"/>
      <c r="G698" s="331"/>
      <c r="H698" s="331"/>
      <c r="I698" s="331"/>
      <c r="J698" s="339"/>
      <c r="K698" s="339"/>
      <c r="L698" s="339"/>
      <c r="M698" s="331"/>
      <c r="N698" s="303"/>
      <c r="O698" s="303"/>
      <c r="P698" s="303"/>
      <c r="Q698" s="303"/>
      <c r="R698" s="303"/>
      <c r="S698" s="303"/>
      <c r="T698" s="331"/>
      <c r="U698" s="331"/>
      <c r="V698" s="331"/>
      <c r="W698" s="331"/>
      <c r="X698" s="331"/>
      <c r="Y698" s="331"/>
      <c r="Z698" s="331"/>
    </row>
    <row r="699">
      <c r="A699" s="331"/>
      <c r="B699" s="331"/>
      <c r="C699" s="331"/>
      <c r="D699" s="331"/>
      <c r="E699" s="331"/>
      <c r="F699" s="331"/>
      <c r="G699" s="331"/>
      <c r="H699" s="331"/>
      <c r="I699" s="331"/>
      <c r="J699" s="339"/>
      <c r="K699" s="339"/>
      <c r="L699" s="339"/>
      <c r="M699" s="331"/>
      <c r="N699" s="303"/>
      <c r="O699" s="303"/>
      <c r="P699" s="303"/>
      <c r="Q699" s="303"/>
      <c r="R699" s="303"/>
      <c r="S699" s="303"/>
      <c r="T699" s="331"/>
      <c r="U699" s="331"/>
      <c r="V699" s="331"/>
      <c r="W699" s="331"/>
      <c r="X699" s="331"/>
      <c r="Y699" s="331"/>
      <c r="Z699" s="331"/>
    </row>
    <row r="700">
      <c r="A700" s="331"/>
      <c r="B700" s="331"/>
      <c r="C700" s="331"/>
      <c r="D700" s="331"/>
      <c r="E700" s="331"/>
      <c r="F700" s="331"/>
      <c r="G700" s="331"/>
      <c r="H700" s="331"/>
      <c r="I700" s="331"/>
      <c r="J700" s="339"/>
      <c r="K700" s="339"/>
      <c r="L700" s="339"/>
      <c r="M700" s="331"/>
      <c r="N700" s="303"/>
      <c r="O700" s="303"/>
      <c r="P700" s="303"/>
      <c r="Q700" s="303"/>
      <c r="R700" s="303"/>
      <c r="S700" s="303"/>
      <c r="T700" s="331"/>
      <c r="U700" s="331"/>
      <c r="V700" s="331"/>
      <c r="W700" s="331"/>
      <c r="X700" s="331"/>
      <c r="Y700" s="331"/>
      <c r="Z700" s="331"/>
    </row>
    <row r="701">
      <c r="A701" s="331"/>
      <c r="B701" s="331"/>
      <c r="C701" s="331"/>
      <c r="D701" s="331"/>
      <c r="E701" s="331"/>
      <c r="F701" s="331"/>
      <c r="G701" s="331"/>
      <c r="H701" s="331"/>
      <c r="I701" s="331"/>
      <c r="J701" s="339"/>
      <c r="K701" s="339"/>
      <c r="L701" s="339"/>
      <c r="M701" s="331"/>
      <c r="N701" s="303"/>
      <c r="O701" s="303"/>
      <c r="P701" s="303"/>
      <c r="Q701" s="303"/>
      <c r="R701" s="303"/>
      <c r="S701" s="303"/>
      <c r="T701" s="331"/>
      <c r="U701" s="331"/>
      <c r="V701" s="331"/>
      <c r="W701" s="331"/>
      <c r="X701" s="331"/>
      <c r="Y701" s="331"/>
      <c r="Z701" s="331"/>
    </row>
    <row r="702">
      <c r="A702" s="331"/>
      <c r="B702" s="331"/>
      <c r="C702" s="331"/>
      <c r="D702" s="331"/>
      <c r="E702" s="331"/>
      <c r="F702" s="331"/>
      <c r="G702" s="331"/>
      <c r="H702" s="331"/>
      <c r="I702" s="331"/>
      <c r="J702" s="339"/>
      <c r="K702" s="339"/>
      <c r="L702" s="339"/>
      <c r="M702" s="331"/>
      <c r="N702" s="303"/>
      <c r="O702" s="303"/>
      <c r="P702" s="303"/>
      <c r="Q702" s="303"/>
      <c r="R702" s="303"/>
      <c r="S702" s="303"/>
      <c r="T702" s="331"/>
      <c r="U702" s="331"/>
      <c r="V702" s="331"/>
      <c r="W702" s="331"/>
      <c r="X702" s="331"/>
      <c r="Y702" s="331"/>
      <c r="Z702" s="331"/>
    </row>
    <row r="703">
      <c r="A703" s="331"/>
      <c r="B703" s="331"/>
      <c r="C703" s="331"/>
      <c r="D703" s="331"/>
      <c r="E703" s="331"/>
      <c r="F703" s="331"/>
      <c r="G703" s="331"/>
      <c r="H703" s="331"/>
      <c r="I703" s="331"/>
      <c r="J703" s="339"/>
      <c r="K703" s="339"/>
      <c r="L703" s="339"/>
      <c r="M703" s="331"/>
      <c r="N703" s="303"/>
      <c r="O703" s="303"/>
      <c r="P703" s="303"/>
      <c r="Q703" s="303"/>
      <c r="R703" s="303"/>
      <c r="S703" s="303"/>
      <c r="T703" s="331"/>
      <c r="U703" s="331"/>
      <c r="V703" s="331"/>
      <c r="W703" s="331"/>
      <c r="X703" s="331"/>
      <c r="Y703" s="331"/>
      <c r="Z703" s="331"/>
    </row>
    <row r="704">
      <c r="A704" s="331"/>
      <c r="B704" s="331"/>
      <c r="C704" s="331"/>
      <c r="D704" s="331"/>
      <c r="E704" s="331"/>
      <c r="F704" s="331"/>
      <c r="G704" s="331"/>
      <c r="H704" s="331"/>
      <c r="I704" s="331"/>
      <c r="J704" s="339"/>
      <c r="K704" s="339"/>
      <c r="L704" s="339"/>
      <c r="M704" s="331"/>
      <c r="N704" s="303"/>
      <c r="O704" s="303"/>
      <c r="P704" s="303"/>
      <c r="Q704" s="303"/>
      <c r="R704" s="303"/>
      <c r="S704" s="303"/>
      <c r="T704" s="331"/>
      <c r="U704" s="331"/>
      <c r="V704" s="331"/>
      <c r="W704" s="331"/>
      <c r="X704" s="331"/>
      <c r="Y704" s="331"/>
      <c r="Z704" s="331"/>
    </row>
    <row r="705">
      <c r="A705" s="331"/>
      <c r="B705" s="331"/>
      <c r="C705" s="331"/>
      <c r="D705" s="331"/>
      <c r="E705" s="331"/>
      <c r="F705" s="331"/>
      <c r="G705" s="331"/>
      <c r="H705" s="331"/>
      <c r="I705" s="331"/>
      <c r="J705" s="339"/>
      <c r="K705" s="339"/>
      <c r="L705" s="339"/>
      <c r="M705" s="331"/>
      <c r="N705" s="303"/>
      <c r="O705" s="303"/>
      <c r="P705" s="303"/>
      <c r="Q705" s="303"/>
      <c r="R705" s="303"/>
      <c r="S705" s="303"/>
      <c r="T705" s="331"/>
      <c r="U705" s="331"/>
      <c r="V705" s="331"/>
      <c r="W705" s="331"/>
      <c r="X705" s="331"/>
      <c r="Y705" s="331"/>
      <c r="Z705" s="331"/>
    </row>
    <row r="706">
      <c r="A706" s="331"/>
      <c r="B706" s="331"/>
      <c r="C706" s="331"/>
      <c r="D706" s="331"/>
      <c r="E706" s="331"/>
      <c r="F706" s="331"/>
      <c r="G706" s="331"/>
      <c r="H706" s="331"/>
      <c r="I706" s="331"/>
      <c r="J706" s="339"/>
      <c r="K706" s="339"/>
      <c r="L706" s="339"/>
      <c r="M706" s="331"/>
      <c r="N706" s="303"/>
      <c r="O706" s="303"/>
      <c r="P706" s="303"/>
      <c r="Q706" s="303"/>
      <c r="R706" s="303"/>
      <c r="S706" s="303"/>
      <c r="T706" s="331"/>
      <c r="U706" s="331"/>
      <c r="V706" s="331"/>
      <c r="W706" s="331"/>
      <c r="X706" s="331"/>
      <c r="Y706" s="331"/>
      <c r="Z706" s="331"/>
    </row>
    <row r="707">
      <c r="A707" s="331"/>
      <c r="B707" s="331"/>
      <c r="C707" s="331"/>
      <c r="D707" s="331"/>
      <c r="E707" s="331"/>
      <c r="F707" s="331"/>
      <c r="G707" s="331"/>
      <c r="H707" s="331"/>
      <c r="I707" s="331"/>
      <c r="J707" s="339"/>
      <c r="K707" s="339"/>
      <c r="L707" s="339"/>
      <c r="M707" s="331"/>
      <c r="N707" s="303"/>
      <c r="O707" s="303"/>
      <c r="P707" s="303"/>
      <c r="Q707" s="303"/>
      <c r="R707" s="303"/>
      <c r="S707" s="303"/>
      <c r="T707" s="331"/>
      <c r="U707" s="331"/>
      <c r="V707" s="331"/>
      <c r="W707" s="331"/>
      <c r="X707" s="331"/>
      <c r="Y707" s="331"/>
      <c r="Z707" s="331"/>
    </row>
    <row r="708">
      <c r="A708" s="331"/>
      <c r="B708" s="331"/>
      <c r="C708" s="331"/>
      <c r="D708" s="331"/>
      <c r="E708" s="331"/>
      <c r="F708" s="331"/>
      <c r="G708" s="331"/>
      <c r="H708" s="331"/>
      <c r="I708" s="331"/>
      <c r="J708" s="339"/>
      <c r="K708" s="339"/>
      <c r="L708" s="339"/>
      <c r="M708" s="331"/>
      <c r="N708" s="303"/>
      <c r="O708" s="303"/>
      <c r="P708" s="303"/>
      <c r="Q708" s="303"/>
      <c r="R708" s="303"/>
      <c r="S708" s="303"/>
      <c r="T708" s="331"/>
      <c r="U708" s="331"/>
      <c r="V708" s="331"/>
      <c r="W708" s="331"/>
      <c r="X708" s="331"/>
      <c r="Y708" s="331"/>
      <c r="Z708" s="331"/>
    </row>
    <row r="709">
      <c r="A709" s="331"/>
      <c r="B709" s="331"/>
      <c r="C709" s="331"/>
      <c r="D709" s="331"/>
      <c r="E709" s="331"/>
      <c r="F709" s="331"/>
      <c r="G709" s="331"/>
      <c r="H709" s="331"/>
      <c r="I709" s="331"/>
      <c r="J709" s="339"/>
      <c r="K709" s="339"/>
      <c r="L709" s="339"/>
      <c r="M709" s="331"/>
      <c r="N709" s="303"/>
      <c r="O709" s="303"/>
      <c r="P709" s="303"/>
      <c r="Q709" s="303"/>
      <c r="R709" s="303"/>
      <c r="S709" s="303"/>
      <c r="T709" s="331"/>
      <c r="U709" s="331"/>
      <c r="V709" s="331"/>
      <c r="W709" s="331"/>
      <c r="X709" s="331"/>
      <c r="Y709" s="331"/>
      <c r="Z709" s="331"/>
    </row>
    <row r="710">
      <c r="A710" s="331"/>
      <c r="B710" s="331"/>
      <c r="C710" s="331"/>
      <c r="D710" s="331"/>
      <c r="E710" s="331"/>
      <c r="F710" s="331"/>
      <c r="G710" s="331"/>
      <c r="H710" s="331"/>
      <c r="I710" s="331"/>
      <c r="J710" s="339"/>
      <c r="K710" s="339"/>
      <c r="L710" s="339"/>
      <c r="M710" s="331"/>
      <c r="N710" s="303"/>
      <c r="O710" s="303"/>
      <c r="P710" s="303"/>
      <c r="Q710" s="303"/>
      <c r="R710" s="303"/>
      <c r="S710" s="303"/>
      <c r="T710" s="331"/>
      <c r="U710" s="331"/>
      <c r="V710" s="331"/>
      <c r="W710" s="331"/>
      <c r="X710" s="331"/>
      <c r="Y710" s="331"/>
      <c r="Z710" s="331"/>
    </row>
    <row r="711">
      <c r="A711" s="331"/>
      <c r="B711" s="331"/>
      <c r="C711" s="331"/>
      <c r="D711" s="331"/>
      <c r="E711" s="331"/>
      <c r="F711" s="331"/>
      <c r="G711" s="331"/>
      <c r="H711" s="331"/>
      <c r="I711" s="331"/>
      <c r="J711" s="339"/>
      <c r="K711" s="339"/>
      <c r="L711" s="339"/>
      <c r="M711" s="331"/>
      <c r="N711" s="303"/>
      <c r="O711" s="303"/>
      <c r="P711" s="303"/>
      <c r="Q711" s="303"/>
      <c r="R711" s="303"/>
      <c r="S711" s="303"/>
      <c r="T711" s="331"/>
      <c r="U711" s="331"/>
      <c r="V711" s="331"/>
      <c r="W711" s="331"/>
      <c r="X711" s="331"/>
      <c r="Y711" s="331"/>
      <c r="Z711" s="331"/>
    </row>
    <row r="712">
      <c r="A712" s="331"/>
      <c r="B712" s="331"/>
      <c r="C712" s="331"/>
      <c r="D712" s="331"/>
      <c r="E712" s="331"/>
      <c r="F712" s="331"/>
      <c r="G712" s="331"/>
      <c r="H712" s="331"/>
      <c r="I712" s="331"/>
      <c r="J712" s="339"/>
      <c r="K712" s="339"/>
      <c r="L712" s="339"/>
      <c r="M712" s="331"/>
      <c r="N712" s="303"/>
      <c r="O712" s="303"/>
      <c r="P712" s="303"/>
      <c r="Q712" s="303"/>
      <c r="R712" s="303"/>
      <c r="S712" s="303"/>
      <c r="T712" s="331"/>
      <c r="U712" s="331"/>
      <c r="V712" s="331"/>
      <c r="W712" s="331"/>
      <c r="X712" s="331"/>
      <c r="Y712" s="331"/>
      <c r="Z712" s="331"/>
    </row>
    <row r="713">
      <c r="A713" s="331"/>
      <c r="B713" s="331"/>
      <c r="C713" s="331"/>
      <c r="D713" s="331"/>
      <c r="E713" s="331"/>
      <c r="F713" s="331"/>
      <c r="G713" s="331"/>
      <c r="H713" s="331"/>
      <c r="I713" s="331"/>
      <c r="J713" s="339"/>
      <c r="K713" s="339"/>
      <c r="L713" s="339"/>
      <c r="M713" s="331"/>
      <c r="N713" s="303"/>
      <c r="O713" s="303"/>
      <c r="P713" s="303"/>
      <c r="Q713" s="303"/>
      <c r="R713" s="303"/>
      <c r="S713" s="303"/>
      <c r="T713" s="331"/>
      <c r="U713" s="331"/>
      <c r="V713" s="331"/>
      <c r="W713" s="331"/>
      <c r="X713" s="331"/>
      <c r="Y713" s="331"/>
      <c r="Z713" s="331"/>
    </row>
    <row r="714">
      <c r="A714" s="331"/>
      <c r="B714" s="331"/>
      <c r="C714" s="331"/>
      <c r="D714" s="331"/>
      <c r="E714" s="331"/>
      <c r="F714" s="331"/>
      <c r="G714" s="331"/>
      <c r="H714" s="331"/>
      <c r="I714" s="331"/>
      <c r="J714" s="339"/>
      <c r="K714" s="339"/>
      <c r="L714" s="339"/>
      <c r="M714" s="331"/>
      <c r="N714" s="303"/>
      <c r="O714" s="303"/>
      <c r="P714" s="303"/>
      <c r="Q714" s="303"/>
      <c r="R714" s="303"/>
      <c r="S714" s="303"/>
      <c r="T714" s="331"/>
      <c r="U714" s="331"/>
      <c r="V714" s="331"/>
      <c r="W714" s="331"/>
      <c r="X714" s="331"/>
      <c r="Y714" s="331"/>
      <c r="Z714" s="331"/>
    </row>
    <row r="715">
      <c r="A715" s="331"/>
      <c r="B715" s="331"/>
      <c r="C715" s="331"/>
      <c r="D715" s="331"/>
      <c r="E715" s="331"/>
      <c r="F715" s="331"/>
      <c r="G715" s="331"/>
      <c r="H715" s="331"/>
      <c r="I715" s="331"/>
      <c r="J715" s="339"/>
      <c r="K715" s="339"/>
      <c r="L715" s="339"/>
      <c r="M715" s="331"/>
      <c r="N715" s="303"/>
      <c r="O715" s="303"/>
      <c r="P715" s="303"/>
      <c r="Q715" s="303"/>
      <c r="R715" s="303"/>
      <c r="S715" s="303"/>
      <c r="T715" s="331"/>
      <c r="U715" s="331"/>
      <c r="V715" s="331"/>
      <c r="W715" s="331"/>
      <c r="X715" s="331"/>
      <c r="Y715" s="331"/>
      <c r="Z715" s="331"/>
    </row>
    <row r="716">
      <c r="A716" s="331"/>
      <c r="B716" s="331"/>
      <c r="C716" s="331"/>
      <c r="D716" s="331"/>
      <c r="E716" s="331"/>
      <c r="F716" s="331"/>
      <c r="G716" s="331"/>
      <c r="H716" s="331"/>
      <c r="I716" s="331"/>
      <c r="J716" s="339"/>
      <c r="K716" s="339"/>
      <c r="L716" s="339"/>
      <c r="M716" s="331"/>
      <c r="N716" s="303"/>
      <c r="O716" s="303"/>
      <c r="P716" s="303"/>
      <c r="Q716" s="303"/>
      <c r="R716" s="303"/>
      <c r="S716" s="303"/>
      <c r="T716" s="331"/>
      <c r="U716" s="331"/>
      <c r="V716" s="331"/>
      <c r="W716" s="331"/>
      <c r="X716" s="331"/>
      <c r="Y716" s="331"/>
      <c r="Z716" s="331"/>
    </row>
    <row r="717">
      <c r="A717" s="331"/>
      <c r="B717" s="331"/>
      <c r="C717" s="331"/>
      <c r="D717" s="331"/>
      <c r="E717" s="331"/>
      <c r="F717" s="331"/>
      <c r="G717" s="331"/>
      <c r="H717" s="331"/>
      <c r="I717" s="331"/>
      <c r="J717" s="339"/>
      <c r="K717" s="339"/>
      <c r="L717" s="339"/>
      <c r="M717" s="331"/>
      <c r="N717" s="303"/>
      <c r="O717" s="303"/>
      <c r="P717" s="303"/>
      <c r="Q717" s="303"/>
      <c r="R717" s="303"/>
      <c r="S717" s="303"/>
      <c r="T717" s="331"/>
      <c r="U717" s="331"/>
      <c r="V717" s="331"/>
      <c r="W717" s="331"/>
      <c r="X717" s="331"/>
      <c r="Y717" s="331"/>
      <c r="Z717" s="331"/>
    </row>
    <row r="718">
      <c r="A718" s="331"/>
      <c r="B718" s="331"/>
      <c r="C718" s="331"/>
      <c r="D718" s="331"/>
      <c r="E718" s="331"/>
      <c r="F718" s="331"/>
      <c r="G718" s="331"/>
      <c r="H718" s="331"/>
      <c r="I718" s="331"/>
      <c r="J718" s="339"/>
      <c r="K718" s="339"/>
      <c r="L718" s="339"/>
      <c r="M718" s="331"/>
      <c r="N718" s="303"/>
      <c r="O718" s="303"/>
      <c r="P718" s="303"/>
      <c r="Q718" s="303"/>
      <c r="R718" s="303"/>
      <c r="S718" s="303"/>
      <c r="T718" s="331"/>
      <c r="U718" s="331"/>
      <c r="V718" s="331"/>
      <c r="W718" s="331"/>
      <c r="X718" s="331"/>
      <c r="Y718" s="331"/>
      <c r="Z718" s="331"/>
    </row>
    <row r="719">
      <c r="A719" s="331"/>
      <c r="B719" s="331"/>
      <c r="C719" s="331"/>
      <c r="D719" s="331"/>
      <c r="E719" s="331"/>
      <c r="F719" s="331"/>
      <c r="G719" s="331"/>
      <c r="H719" s="331"/>
      <c r="I719" s="331"/>
      <c r="J719" s="339"/>
      <c r="K719" s="339"/>
      <c r="L719" s="339"/>
      <c r="M719" s="331"/>
      <c r="N719" s="303"/>
      <c r="O719" s="303"/>
      <c r="P719" s="303"/>
      <c r="Q719" s="303"/>
      <c r="R719" s="303"/>
      <c r="S719" s="303"/>
      <c r="T719" s="331"/>
      <c r="U719" s="331"/>
      <c r="V719" s="331"/>
      <c r="W719" s="331"/>
      <c r="X719" s="331"/>
      <c r="Y719" s="331"/>
      <c r="Z719" s="331"/>
    </row>
    <row r="720">
      <c r="A720" s="331"/>
      <c r="B720" s="331"/>
      <c r="C720" s="331"/>
      <c r="D720" s="331"/>
      <c r="E720" s="331"/>
      <c r="F720" s="331"/>
      <c r="G720" s="331"/>
      <c r="H720" s="331"/>
      <c r="I720" s="331"/>
      <c r="J720" s="339"/>
      <c r="K720" s="339"/>
      <c r="L720" s="339"/>
      <c r="M720" s="331"/>
      <c r="N720" s="303"/>
      <c r="O720" s="303"/>
      <c r="P720" s="303"/>
      <c r="Q720" s="303"/>
      <c r="R720" s="303"/>
      <c r="S720" s="303"/>
      <c r="T720" s="331"/>
      <c r="U720" s="331"/>
      <c r="V720" s="331"/>
      <c r="W720" s="331"/>
      <c r="X720" s="331"/>
      <c r="Y720" s="331"/>
      <c r="Z720" s="331"/>
    </row>
    <row r="721">
      <c r="A721" s="331"/>
      <c r="B721" s="331"/>
      <c r="C721" s="331"/>
      <c r="D721" s="331"/>
      <c r="E721" s="331"/>
      <c r="F721" s="331"/>
      <c r="G721" s="331"/>
      <c r="H721" s="331"/>
      <c r="I721" s="331"/>
      <c r="J721" s="339"/>
      <c r="K721" s="339"/>
      <c r="L721" s="339"/>
      <c r="M721" s="331"/>
      <c r="N721" s="303"/>
      <c r="O721" s="303"/>
      <c r="P721" s="303"/>
      <c r="Q721" s="303"/>
      <c r="R721" s="303"/>
      <c r="S721" s="303"/>
      <c r="T721" s="331"/>
      <c r="U721" s="331"/>
      <c r="V721" s="331"/>
      <c r="W721" s="331"/>
      <c r="X721" s="331"/>
      <c r="Y721" s="331"/>
      <c r="Z721" s="331"/>
    </row>
    <row r="722">
      <c r="A722" s="331"/>
      <c r="B722" s="331"/>
      <c r="C722" s="331"/>
      <c r="D722" s="331"/>
      <c r="E722" s="331"/>
      <c r="F722" s="331"/>
      <c r="G722" s="331"/>
      <c r="H722" s="331"/>
      <c r="I722" s="331"/>
      <c r="J722" s="339"/>
      <c r="K722" s="339"/>
      <c r="L722" s="339"/>
      <c r="M722" s="331"/>
      <c r="N722" s="303"/>
      <c r="O722" s="303"/>
      <c r="P722" s="303"/>
      <c r="Q722" s="303"/>
      <c r="R722" s="303"/>
      <c r="S722" s="303"/>
      <c r="T722" s="331"/>
      <c r="U722" s="331"/>
      <c r="V722" s="331"/>
      <c r="W722" s="331"/>
      <c r="X722" s="331"/>
      <c r="Y722" s="331"/>
      <c r="Z722" s="331"/>
    </row>
    <row r="723">
      <c r="A723" s="331"/>
      <c r="B723" s="331"/>
      <c r="C723" s="331"/>
      <c r="D723" s="331"/>
      <c r="E723" s="331"/>
      <c r="F723" s="331"/>
      <c r="G723" s="331"/>
      <c r="H723" s="331"/>
      <c r="I723" s="331"/>
      <c r="J723" s="339"/>
      <c r="K723" s="339"/>
      <c r="L723" s="339"/>
      <c r="M723" s="331"/>
      <c r="N723" s="303"/>
      <c r="O723" s="303"/>
      <c r="P723" s="303"/>
      <c r="Q723" s="303"/>
      <c r="R723" s="303"/>
      <c r="S723" s="303"/>
      <c r="T723" s="331"/>
      <c r="U723" s="331"/>
      <c r="V723" s="331"/>
      <c r="W723" s="331"/>
      <c r="X723" s="331"/>
      <c r="Y723" s="331"/>
      <c r="Z723" s="331"/>
    </row>
    <row r="724">
      <c r="A724" s="331"/>
      <c r="B724" s="331"/>
      <c r="C724" s="331"/>
      <c r="D724" s="331"/>
      <c r="E724" s="331"/>
      <c r="F724" s="331"/>
      <c r="G724" s="331"/>
      <c r="H724" s="331"/>
      <c r="I724" s="331"/>
      <c r="J724" s="339"/>
      <c r="K724" s="339"/>
      <c r="L724" s="339"/>
      <c r="M724" s="331"/>
      <c r="N724" s="303"/>
      <c r="O724" s="303"/>
      <c r="P724" s="303"/>
      <c r="Q724" s="303"/>
      <c r="R724" s="303"/>
      <c r="S724" s="303"/>
      <c r="T724" s="331"/>
      <c r="U724" s="331"/>
      <c r="V724" s="331"/>
      <c r="W724" s="331"/>
      <c r="X724" s="331"/>
      <c r="Y724" s="331"/>
      <c r="Z724" s="331"/>
    </row>
    <row r="725">
      <c r="A725" s="331"/>
      <c r="B725" s="331"/>
      <c r="C725" s="331"/>
      <c r="D725" s="331"/>
      <c r="E725" s="331"/>
      <c r="F725" s="331"/>
      <c r="G725" s="331"/>
      <c r="H725" s="331"/>
      <c r="I725" s="331"/>
      <c r="J725" s="339"/>
      <c r="K725" s="339"/>
      <c r="L725" s="339"/>
      <c r="M725" s="331"/>
      <c r="N725" s="303"/>
      <c r="O725" s="303"/>
      <c r="P725" s="303"/>
      <c r="Q725" s="303"/>
      <c r="R725" s="303"/>
      <c r="S725" s="303"/>
      <c r="T725" s="331"/>
      <c r="U725" s="331"/>
      <c r="V725" s="331"/>
      <c r="W725" s="331"/>
      <c r="X725" s="331"/>
      <c r="Y725" s="331"/>
      <c r="Z725" s="331"/>
    </row>
    <row r="726">
      <c r="A726" s="331"/>
      <c r="B726" s="331"/>
      <c r="C726" s="331"/>
      <c r="D726" s="331"/>
      <c r="E726" s="331"/>
      <c r="F726" s="331"/>
      <c r="G726" s="331"/>
      <c r="H726" s="331"/>
      <c r="I726" s="331"/>
      <c r="J726" s="339"/>
      <c r="K726" s="339"/>
      <c r="L726" s="339"/>
      <c r="M726" s="331"/>
      <c r="N726" s="303"/>
      <c r="O726" s="303"/>
      <c r="P726" s="303"/>
      <c r="Q726" s="303"/>
      <c r="R726" s="303"/>
      <c r="S726" s="303"/>
      <c r="T726" s="331"/>
      <c r="U726" s="331"/>
      <c r="V726" s="331"/>
      <c r="W726" s="331"/>
      <c r="X726" s="331"/>
      <c r="Y726" s="331"/>
      <c r="Z726" s="331"/>
    </row>
    <row r="727">
      <c r="A727" s="331"/>
      <c r="B727" s="331"/>
      <c r="C727" s="331"/>
      <c r="D727" s="331"/>
      <c r="E727" s="331"/>
      <c r="F727" s="331"/>
      <c r="G727" s="331"/>
      <c r="H727" s="331"/>
      <c r="I727" s="331"/>
      <c r="J727" s="339"/>
      <c r="K727" s="339"/>
      <c r="L727" s="339"/>
      <c r="M727" s="331"/>
      <c r="N727" s="303"/>
      <c r="O727" s="303"/>
      <c r="P727" s="303"/>
      <c r="Q727" s="303"/>
      <c r="R727" s="303"/>
      <c r="S727" s="303"/>
      <c r="T727" s="331"/>
      <c r="U727" s="331"/>
      <c r="V727" s="331"/>
      <c r="W727" s="331"/>
      <c r="X727" s="331"/>
      <c r="Y727" s="331"/>
      <c r="Z727" s="331"/>
    </row>
    <row r="728">
      <c r="A728" s="331"/>
      <c r="B728" s="331"/>
      <c r="C728" s="331"/>
      <c r="D728" s="331"/>
      <c r="E728" s="331"/>
      <c r="F728" s="331"/>
      <c r="G728" s="331"/>
      <c r="H728" s="331"/>
      <c r="I728" s="331"/>
      <c r="J728" s="339"/>
      <c r="K728" s="339"/>
      <c r="L728" s="339"/>
      <c r="M728" s="331"/>
      <c r="N728" s="303"/>
      <c r="O728" s="303"/>
      <c r="P728" s="303"/>
      <c r="Q728" s="303"/>
      <c r="R728" s="303"/>
      <c r="S728" s="303"/>
      <c r="T728" s="331"/>
      <c r="U728" s="331"/>
      <c r="V728" s="331"/>
      <c r="W728" s="331"/>
      <c r="X728" s="331"/>
      <c r="Y728" s="331"/>
      <c r="Z728" s="331"/>
    </row>
    <row r="729">
      <c r="A729" s="331"/>
      <c r="B729" s="331"/>
      <c r="C729" s="331"/>
      <c r="D729" s="331"/>
      <c r="E729" s="331"/>
      <c r="F729" s="331"/>
      <c r="G729" s="331"/>
      <c r="H729" s="331"/>
      <c r="I729" s="331"/>
      <c r="J729" s="339"/>
      <c r="K729" s="339"/>
      <c r="L729" s="339"/>
      <c r="M729" s="331"/>
      <c r="N729" s="303"/>
      <c r="O729" s="303"/>
      <c r="P729" s="303"/>
      <c r="Q729" s="303"/>
      <c r="R729" s="303"/>
      <c r="S729" s="303"/>
      <c r="T729" s="331"/>
      <c r="U729" s="331"/>
      <c r="V729" s="331"/>
      <c r="W729" s="331"/>
      <c r="X729" s="331"/>
      <c r="Y729" s="331"/>
      <c r="Z729" s="331"/>
    </row>
    <row r="730">
      <c r="A730" s="331"/>
      <c r="B730" s="331"/>
      <c r="C730" s="331"/>
      <c r="D730" s="331"/>
      <c r="E730" s="331"/>
      <c r="F730" s="331"/>
      <c r="G730" s="331"/>
      <c r="H730" s="331"/>
      <c r="I730" s="331"/>
      <c r="J730" s="339"/>
      <c r="K730" s="339"/>
      <c r="L730" s="339"/>
      <c r="M730" s="331"/>
      <c r="N730" s="303"/>
      <c r="O730" s="303"/>
      <c r="P730" s="303"/>
      <c r="Q730" s="303"/>
      <c r="R730" s="303"/>
      <c r="S730" s="303"/>
      <c r="T730" s="331"/>
      <c r="U730" s="331"/>
      <c r="V730" s="331"/>
      <c r="W730" s="331"/>
      <c r="X730" s="331"/>
      <c r="Y730" s="331"/>
      <c r="Z730" s="331"/>
    </row>
    <row r="731">
      <c r="A731" s="331"/>
      <c r="B731" s="331"/>
      <c r="C731" s="331"/>
      <c r="D731" s="331"/>
      <c r="E731" s="331"/>
      <c r="F731" s="331"/>
      <c r="G731" s="331"/>
      <c r="H731" s="331"/>
      <c r="I731" s="331"/>
      <c r="J731" s="339"/>
      <c r="K731" s="339"/>
      <c r="L731" s="339"/>
      <c r="M731" s="331"/>
      <c r="N731" s="303"/>
      <c r="O731" s="303"/>
      <c r="P731" s="303"/>
      <c r="Q731" s="303"/>
      <c r="R731" s="303"/>
      <c r="S731" s="303"/>
      <c r="T731" s="331"/>
      <c r="U731" s="331"/>
      <c r="V731" s="331"/>
      <c r="W731" s="331"/>
      <c r="X731" s="331"/>
      <c r="Y731" s="331"/>
      <c r="Z731" s="331"/>
    </row>
    <row r="732">
      <c r="A732" s="331"/>
      <c r="B732" s="331"/>
      <c r="C732" s="331"/>
      <c r="D732" s="331"/>
      <c r="E732" s="331"/>
      <c r="F732" s="331"/>
      <c r="G732" s="331"/>
      <c r="H732" s="331"/>
      <c r="I732" s="331"/>
      <c r="J732" s="339"/>
      <c r="K732" s="339"/>
      <c r="L732" s="339"/>
      <c r="M732" s="331"/>
      <c r="N732" s="303"/>
      <c r="O732" s="303"/>
      <c r="P732" s="303"/>
      <c r="Q732" s="303"/>
      <c r="R732" s="303"/>
      <c r="S732" s="303"/>
      <c r="T732" s="331"/>
      <c r="U732" s="331"/>
      <c r="V732" s="331"/>
      <c r="W732" s="331"/>
      <c r="X732" s="331"/>
      <c r="Y732" s="331"/>
      <c r="Z732" s="331"/>
    </row>
    <row r="733">
      <c r="A733" s="331"/>
      <c r="B733" s="331"/>
      <c r="C733" s="331"/>
      <c r="D733" s="331"/>
      <c r="E733" s="331"/>
      <c r="F733" s="331"/>
      <c r="G733" s="331"/>
      <c r="H733" s="331"/>
      <c r="I733" s="331"/>
      <c r="J733" s="339"/>
      <c r="K733" s="339"/>
      <c r="L733" s="339"/>
      <c r="M733" s="331"/>
      <c r="N733" s="303"/>
      <c r="O733" s="303"/>
      <c r="P733" s="303"/>
      <c r="Q733" s="303"/>
      <c r="R733" s="303"/>
      <c r="S733" s="303"/>
      <c r="T733" s="331"/>
      <c r="U733" s="331"/>
      <c r="V733" s="331"/>
      <c r="W733" s="331"/>
      <c r="X733" s="331"/>
      <c r="Y733" s="331"/>
      <c r="Z733" s="331"/>
    </row>
    <row r="734">
      <c r="A734" s="331"/>
      <c r="B734" s="331"/>
      <c r="C734" s="331"/>
      <c r="D734" s="331"/>
      <c r="E734" s="331"/>
      <c r="F734" s="331"/>
      <c r="G734" s="331"/>
      <c r="H734" s="331"/>
      <c r="I734" s="331"/>
      <c r="J734" s="339"/>
      <c r="K734" s="339"/>
      <c r="L734" s="339"/>
      <c r="M734" s="331"/>
      <c r="N734" s="303"/>
      <c r="O734" s="303"/>
      <c r="P734" s="303"/>
      <c r="Q734" s="303"/>
      <c r="R734" s="303"/>
      <c r="S734" s="303"/>
      <c r="T734" s="331"/>
      <c r="U734" s="331"/>
      <c r="V734" s="331"/>
      <c r="W734" s="331"/>
      <c r="X734" s="331"/>
      <c r="Y734" s="331"/>
      <c r="Z734" s="331"/>
    </row>
    <row r="735">
      <c r="A735" s="331"/>
      <c r="B735" s="331"/>
      <c r="C735" s="331"/>
      <c r="D735" s="331"/>
      <c r="E735" s="331"/>
      <c r="F735" s="331"/>
      <c r="G735" s="331"/>
      <c r="H735" s="331"/>
      <c r="I735" s="331"/>
      <c r="J735" s="339"/>
      <c r="K735" s="339"/>
      <c r="L735" s="339"/>
      <c r="M735" s="331"/>
      <c r="N735" s="303"/>
      <c r="O735" s="303"/>
      <c r="P735" s="303"/>
      <c r="Q735" s="303"/>
      <c r="R735" s="303"/>
      <c r="S735" s="303"/>
      <c r="T735" s="331"/>
      <c r="U735" s="331"/>
      <c r="V735" s="331"/>
      <c r="W735" s="331"/>
      <c r="X735" s="331"/>
      <c r="Y735" s="331"/>
      <c r="Z735" s="331"/>
    </row>
    <row r="736">
      <c r="A736" s="331"/>
      <c r="B736" s="331"/>
      <c r="C736" s="331"/>
      <c r="D736" s="331"/>
      <c r="E736" s="331"/>
      <c r="F736" s="331"/>
      <c r="G736" s="331"/>
      <c r="H736" s="331"/>
      <c r="I736" s="331"/>
      <c r="J736" s="339"/>
      <c r="K736" s="339"/>
      <c r="L736" s="339"/>
      <c r="M736" s="331"/>
      <c r="N736" s="303"/>
      <c r="O736" s="303"/>
      <c r="P736" s="303"/>
      <c r="Q736" s="303"/>
      <c r="R736" s="303"/>
      <c r="S736" s="303"/>
      <c r="T736" s="331"/>
      <c r="U736" s="331"/>
      <c r="V736" s="331"/>
      <c r="W736" s="331"/>
      <c r="X736" s="331"/>
      <c r="Y736" s="331"/>
      <c r="Z736" s="331"/>
    </row>
    <row r="737">
      <c r="A737" s="331"/>
      <c r="B737" s="331"/>
      <c r="C737" s="331"/>
      <c r="D737" s="331"/>
      <c r="E737" s="331"/>
      <c r="F737" s="331"/>
      <c r="G737" s="331"/>
      <c r="H737" s="331"/>
      <c r="I737" s="331"/>
      <c r="J737" s="339"/>
      <c r="K737" s="339"/>
      <c r="L737" s="339"/>
      <c r="M737" s="331"/>
      <c r="N737" s="303"/>
      <c r="O737" s="303"/>
      <c r="P737" s="303"/>
      <c r="Q737" s="303"/>
      <c r="R737" s="303"/>
      <c r="S737" s="303"/>
      <c r="T737" s="331"/>
      <c r="U737" s="331"/>
      <c r="V737" s="331"/>
      <c r="W737" s="331"/>
      <c r="X737" s="331"/>
      <c r="Y737" s="331"/>
      <c r="Z737" s="331"/>
    </row>
    <row r="738">
      <c r="A738" s="331"/>
      <c r="B738" s="331"/>
      <c r="C738" s="331"/>
      <c r="D738" s="331"/>
      <c r="E738" s="331"/>
      <c r="F738" s="331"/>
      <c r="G738" s="331"/>
      <c r="H738" s="331"/>
      <c r="I738" s="331"/>
      <c r="J738" s="339"/>
      <c r="K738" s="339"/>
      <c r="L738" s="339"/>
      <c r="M738" s="331"/>
      <c r="N738" s="303"/>
      <c r="O738" s="303"/>
      <c r="P738" s="303"/>
      <c r="Q738" s="303"/>
      <c r="R738" s="303"/>
      <c r="S738" s="303"/>
      <c r="T738" s="331"/>
      <c r="U738" s="331"/>
      <c r="V738" s="331"/>
      <c r="W738" s="331"/>
      <c r="X738" s="331"/>
      <c r="Y738" s="331"/>
      <c r="Z738" s="331"/>
    </row>
    <row r="739">
      <c r="A739" s="331"/>
      <c r="B739" s="331"/>
      <c r="C739" s="331"/>
      <c r="D739" s="331"/>
      <c r="E739" s="331"/>
      <c r="F739" s="331"/>
      <c r="G739" s="331"/>
      <c r="H739" s="331"/>
      <c r="I739" s="331"/>
      <c r="J739" s="339"/>
      <c r="K739" s="339"/>
      <c r="L739" s="339"/>
      <c r="M739" s="331"/>
      <c r="N739" s="303"/>
      <c r="O739" s="303"/>
      <c r="P739" s="303"/>
      <c r="Q739" s="303"/>
      <c r="R739" s="303"/>
      <c r="S739" s="303"/>
      <c r="T739" s="331"/>
      <c r="U739" s="331"/>
      <c r="V739" s="331"/>
      <c r="W739" s="331"/>
      <c r="X739" s="331"/>
      <c r="Y739" s="331"/>
      <c r="Z739" s="331"/>
    </row>
    <row r="740">
      <c r="A740" s="331"/>
      <c r="B740" s="331"/>
      <c r="C740" s="331"/>
      <c r="D740" s="331"/>
      <c r="E740" s="331"/>
      <c r="F740" s="331"/>
      <c r="G740" s="331"/>
      <c r="H740" s="331"/>
      <c r="I740" s="331"/>
      <c r="J740" s="339"/>
      <c r="K740" s="339"/>
      <c r="L740" s="339"/>
      <c r="M740" s="331"/>
      <c r="N740" s="303"/>
      <c r="O740" s="303"/>
      <c r="P740" s="303"/>
      <c r="Q740" s="303"/>
      <c r="R740" s="303"/>
      <c r="S740" s="303"/>
      <c r="T740" s="331"/>
      <c r="U740" s="331"/>
      <c r="V740" s="331"/>
      <c r="W740" s="331"/>
      <c r="X740" s="331"/>
      <c r="Y740" s="331"/>
      <c r="Z740" s="331"/>
    </row>
    <row r="741">
      <c r="A741" s="331"/>
      <c r="B741" s="331"/>
      <c r="C741" s="331"/>
      <c r="D741" s="331"/>
      <c r="E741" s="331"/>
      <c r="F741" s="331"/>
      <c r="G741" s="331"/>
      <c r="H741" s="331"/>
      <c r="I741" s="331"/>
      <c r="J741" s="339"/>
      <c r="K741" s="339"/>
      <c r="L741" s="339"/>
      <c r="M741" s="331"/>
      <c r="N741" s="303"/>
      <c r="O741" s="303"/>
      <c r="P741" s="303"/>
      <c r="Q741" s="303"/>
      <c r="R741" s="303"/>
      <c r="S741" s="303"/>
      <c r="T741" s="331"/>
      <c r="U741" s="331"/>
      <c r="V741" s="331"/>
      <c r="W741" s="331"/>
      <c r="X741" s="331"/>
      <c r="Y741" s="331"/>
      <c r="Z741" s="331"/>
    </row>
    <row r="742">
      <c r="A742" s="331"/>
      <c r="B742" s="331"/>
      <c r="C742" s="331"/>
      <c r="D742" s="331"/>
      <c r="E742" s="331"/>
      <c r="F742" s="331"/>
      <c r="G742" s="331"/>
      <c r="H742" s="331"/>
      <c r="I742" s="331"/>
      <c r="J742" s="339"/>
      <c r="K742" s="339"/>
      <c r="L742" s="339"/>
      <c r="M742" s="331"/>
      <c r="N742" s="303"/>
      <c r="O742" s="303"/>
      <c r="P742" s="303"/>
      <c r="Q742" s="303"/>
      <c r="R742" s="303"/>
      <c r="S742" s="303"/>
      <c r="T742" s="331"/>
      <c r="U742" s="331"/>
      <c r="V742" s="331"/>
      <c r="W742" s="331"/>
      <c r="X742" s="331"/>
      <c r="Y742" s="331"/>
      <c r="Z742" s="331"/>
    </row>
    <row r="743">
      <c r="A743" s="331"/>
      <c r="B743" s="331"/>
      <c r="C743" s="331"/>
      <c r="D743" s="331"/>
      <c r="E743" s="331"/>
      <c r="F743" s="331"/>
      <c r="G743" s="331"/>
      <c r="H743" s="331"/>
      <c r="I743" s="331"/>
      <c r="J743" s="339"/>
      <c r="K743" s="339"/>
      <c r="L743" s="339"/>
      <c r="M743" s="331"/>
      <c r="N743" s="303"/>
      <c r="O743" s="303"/>
      <c r="P743" s="303"/>
      <c r="Q743" s="303"/>
      <c r="R743" s="303"/>
      <c r="S743" s="303"/>
      <c r="T743" s="331"/>
      <c r="U743" s="331"/>
      <c r="V743" s="331"/>
      <c r="W743" s="331"/>
      <c r="X743" s="331"/>
      <c r="Y743" s="331"/>
      <c r="Z743" s="331"/>
    </row>
    <row r="744">
      <c r="A744" s="331"/>
      <c r="B744" s="331"/>
      <c r="C744" s="331"/>
      <c r="D744" s="331"/>
      <c r="E744" s="331"/>
      <c r="F744" s="331"/>
      <c r="G744" s="331"/>
      <c r="H744" s="331"/>
      <c r="I744" s="331"/>
      <c r="J744" s="339"/>
      <c r="K744" s="339"/>
      <c r="L744" s="339"/>
      <c r="M744" s="331"/>
      <c r="N744" s="303"/>
      <c r="O744" s="303"/>
      <c r="P744" s="303"/>
      <c r="Q744" s="303"/>
      <c r="R744" s="303"/>
      <c r="S744" s="303"/>
      <c r="T744" s="331"/>
      <c r="U744" s="331"/>
      <c r="V744" s="331"/>
      <c r="W744" s="331"/>
      <c r="X744" s="331"/>
      <c r="Y744" s="331"/>
      <c r="Z744" s="331"/>
    </row>
    <row r="745">
      <c r="A745" s="331"/>
      <c r="B745" s="331"/>
      <c r="C745" s="331"/>
      <c r="D745" s="331"/>
      <c r="E745" s="331"/>
      <c r="F745" s="331"/>
      <c r="G745" s="331"/>
      <c r="H745" s="331"/>
      <c r="I745" s="331"/>
      <c r="J745" s="339"/>
      <c r="K745" s="339"/>
      <c r="L745" s="339"/>
      <c r="M745" s="331"/>
      <c r="N745" s="303"/>
      <c r="O745" s="303"/>
      <c r="P745" s="303"/>
      <c r="Q745" s="303"/>
      <c r="R745" s="303"/>
      <c r="S745" s="303"/>
      <c r="T745" s="331"/>
      <c r="U745" s="331"/>
      <c r="V745" s="331"/>
      <c r="W745" s="331"/>
      <c r="X745" s="331"/>
      <c r="Y745" s="331"/>
      <c r="Z745" s="331"/>
    </row>
    <row r="746">
      <c r="A746" s="331"/>
      <c r="B746" s="331"/>
      <c r="C746" s="331"/>
      <c r="D746" s="331"/>
      <c r="E746" s="331"/>
      <c r="F746" s="331"/>
      <c r="G746" s="331"/>
      <c r="H746" s="331"/>
      <c r="I746" s="331"/>
      <c r="J746" s="339"/>
      <c r="K746" s="339"/>
      <c r="L746" s="339"/>
      <c r="M746" s="331"/>
      <c r="N746" s="303"/>
      <c r="O746" s="303"/>
      <c r="P746" s="303"/>
      <c r="Q746" s="303"/>
      <c r="R746" s="303"/>
      <c r="S746" s="303"/>
      <c r="T746" s="331"/>
      <c r="U746" s="331"/>
      <c r="V746" s="331"/>
      <c r="W746" s="331"/>
      <c r="X746" s="331"/>
      <c r="Y746" s="331"/>
      <c r="Z746" s="331"/>
    </row>
    <row r="747">
      <c r="A747" s="331"/>
      <c r="B747" s="331"/>
      <c r="C747" s="331"/>
      <c r="D747" s="331"/>
      <c r="E747" s="331"/>
      <c r="F747" s="331"/>
      <c r="G747" s="331"/>
      <c r="H747" s="331"/>
      <c r="I747" s="331"/>
      <c r="J747" s="339"/>
      <c r="K747" s="339"/>
      <c r="L747" s="339"/>
      <c r="M747" s="331"/>
      <c r="N747" s="303"/>
      <c r="O747" s="303"/>
      <c r="P747" s="303"/>
      <c r="Q747" s="303"/>
      <c r="R747" s="303"/>
      <c r="S747" s="303"/>
      <c r="T747" s="331"/>
      <c r="U747" s="331"/>
      <c r="V747" s="331"/>
      <c r="W747" s="331"/>
      <c r="X747" s="331"/>
      <c r="Y747" s="331"/>
      <c r="Z747" s="331"/>
    </row>
    <row r="748">
      <c r="A748" s="331"/>
      <c r="B748" s="331"/>
      <c r="C748" s="331"/>
      <c r="D748" s="331"/>
      <c r="E748" s="331"/>
      <c r="F748" s="331"/>
      <c r="G748" s="331"/>
      <c r="H748" s="331"/>
      <c r="I748" s="331"/>
      <c r="J748" s="339"/>
      <c r="K748" s="339"/>
      <c r="L748" s="339"/>
      <c r="M748" s="331"/>
      <c r="N748" s="303"/>
      <c r="O748" s="303"/>
      <c r="P748" s="303"/>
      <c r="Q748" s="303"/>
      <c r="R748" s="303"/>
      <c r="S748" s="303"/>
      <c r="T748" s="331"/>
      <c r="U748" s="331"/>
      <c r="V748" s="331"/>
      <c r="W748" s="331"/>
      <c r="X748" s="331"/>
      <c r="Y748" s="331"/>
      <c r="Z748" s="331"/>
    </row>
    <row r="749">
      <c r="A749" s="331"/>
      <c r="B749" s="331"/>
      <c r="C749" s="331"/>
      <c r="D749" s="331"/>
      <c r="E749" s="331"/>
      <c r="F749" s="331"/>
      <c r="G749" s="331"/>
      <c r="H749" s="331"/>
      <c r="I749" s="331"/>
      <c r="J749" s="339"/>
      <c r="K749" s="339"/>
      <c r="L749" s="339"/>
      <c r="M749" s="331"/>
      <c r="N749" s="303"/>
      <c r="O749" s="303"/>
      <c r="P749" s="303"/>
      <c r="Q749" s="303"/>
      <c r="R749" s="303"/>
      <c r="S749" s="303"/>
      <c r="T749" s="331"/>
      <c r="U749" s="331"/>
      <c r="V749" s="331"/>
      <c r="W749" s="331"/>
      <c r="X749" s="331"/>
      <c r="Y749" s="331"/>
      <c r="Z749" s="331"/>
    </row>
    <row r="750">
      <c r="A750" s="331"/>
      <c r="B750" s="331"/>
      <c r="C750" s="331"/>
      <c r="D750" s="331"/>
      <c r="E750" s="331"/>
      <c r="F750" s="331"/>
      <c r="G750" s="331"/>
      <c r="H750" s="331"/>
      <c r="I750" s="331"/>
      <c r="J750" s="339"/>
      <c r="K750" s="339"/>
      <c r="L750" s="339"/>
      <c r="M750" s="331"/>
      <c r="N750" s="303"/>
      <c r="O750" s="303"/>
      <c r="P750" s="303"/>
      <c r="Q750" s="303"/>
      <c r="R750" s="303"/>
      <c r="S750" s="303"/>
      <c r="T750" s="331"/>
      <c r="U750" s="331"/>
      <c r="V750" s="331"/>
      <c r="W750" s="331"/>
      <c r="X750" s="331"/>
      <c r="Y750" s="331"/>
      <c r="Z750" s="331"/>
    </row>
    <row r="751">
      <c r="A751" s="331"/>
      <c r="B751" s="331"/>
      <c r="C751" s="331"/>
      <c r="D751" s="331"/>
      <c r="E751" s="331"/>
      <c r="F751" s="331"/>
      <c r="G751" s="331"/>
      <c r="H751" s="331"/>
      <c r="I751" s="331"/>
      <c r="J751" s="339"/>
      <c r="K751" s="339"/>
      <c r="L751" s="339"/>
      <c r="M751" s="331"/>
      <c r="N751" s="303"/>
      <c r="O751" s="303"/>
      <c r="P751" s="303"/>
      <c r="Q751" s="303"/>
      <c r="R751" s="303"/>
      <c r="S751" s="303"/>
      <c r="T751" s="331"/>
      <c r="U751" s="331"/>
      <c r="V751" s="331"/>
      <c r="W751" s="331"/>
      <c r="X751" s="331"/>
      <c r="Y751" s="331"/>
      <c r="Z751" s="331"/>
    </row>
    <row r="752">
      <c r="A752" s="331"/>
      <c r="B752" s="331"/>
      <c r="C752" s="331"/>
      <c r="D752" s="331"/>
      <c r="E752" s="331"/>
      <c r="F752" s="331"/>
      <c r="G752" s="331"/>
      <c r="H752" s="331"/>
      <c r="I752" s="331"/>
      <c r="J752" s="339"/>
      <c r="K752" s="339"/>
      <c r="L752" s="339"/>
      <c r="M752" s="331"/>
      <c r="N752" s="303"/>
      <c r="O752" s="303"/>
      <c r="P752" s="303"/>
      <c r="Q752" s="303"/>
      <c r="R752" s="303"/>
      <c r="S752" s="303"/>
      <c r="T752" s="331"/>
      <c r="U752" s="331"/>
      <c r="V752" s="331"/>
      <c r="W752" s="331"/>
      <c r="X752" s="331"/>
      <c r="Y752" s="331"/>
      <c r="Z752" s="331"/>
    </row>
    <row r="753">
      <c r="A753" s="331"/>
      <c r="B753" s="331"/>
      <c r="C753" s="331"/>
      <c r="D753" s="331"/>
      <c r="E753" s="331"/>
      <c r="F753" s="331"/>
      <c r="G753" s="331"/>
      <c r="H753" s="331"/>
      <c r="I753" s="331"/>
      <c r="J753" s="339"/>
      <c r="K753" s="339"/>
      <c r="L753" s="339"/>
      <c r="M753" s="331"/>
      <c r="N753" s="303"/>
      <c r="O753" s="303"/>
      <c r="P753" s="303"/>
      <c r="Q753" s="303"/>
      <c r="R753" s="303"/>
      <c r="S753" s="303"/>
      <c r="T753" s="331"/>
      <c r="U753" s="331"/>
      <c r="V753" s="331"/>
      <c r="W753" s="331"/>
      <c r="X753" s="331"/>
      <c r="Y753" s="331"/>
      <c r="Z753" s="331"/>
    </row>
    <row r="754">
      <c r="A754" s="331"/>
      <c r="B754" s="331"/>
      <c r="C754" s="331"/>
      <c r="D754" s="331"/>
      <c r="E754" s="331"/>
      <c r="F754" s="331"/>
      <c r="G754" s="331"/>
      <c r="H754" s="331"/>
      <c r="I754" s="331"/>
      <c r="J754" s="339"/>
      <c r="K754" s="339"/>
      <c r="L754" s="339"/>
      <c r="M754" s="331"/>
      <c r="N754" s="303"/>
      <c r="O754" s="303"/>
      <c r="P754" s="303"/>
      <c r="Q754" s="303"/>
      <c r="R754" s="303"/>
      <c r="S754" s="303"/>
      <c r="T754" s="331"/>
      <c r="U754" s="331"/>
      <c r="V754" s="331"/>
      <c r="W754" s="331"/>
      <c r="X754" s="331"/>
      <c r="Y754" s="331"/>
      <c r="Z754" s="331"/>
    </row>
    <row r="755">
      <c r="A755" s="331"/>
      <c r="B755" s="331"/>
      <c r="C755" s="331"/>
      <c r="D755" s="331"/>
      <c r="E755" s="331"/>
      <c r="F755" s="331"/>
      <c r="G755" s="331"/>
      <c r="H755" s="331"/>
      <c r="I755" s="331"/>
      <c r="J755" s="339"/>
      <c r="K755" s="339"/>
      <c r="L755" s="339"/>
      <c r="M755" s="331"/>
      <c r="N755" s="303"/>
      <c r="O755" s="303"/>
      <c r="P755" s="303"/>
      <c r="Q755" s="303"/>
      <c r="R755" s="303"/>
      <c r="S755" s="303"/>
      <c r="T755" s="331"/>
      <c r="U755" s="331"/>
      <c r="V755" s="331"/>
      <c r="W755" s="331"/>
      <c r="X755" s="331"/>
      <c r="Y755" s="331"/>
      <c r="Z755" s="331"/>
    </row>
    <row r="756">
      <c r="A756" s="331"/>
      <c r="B756" s="331"/>
      <c r="C756" s="331"/>
      <c r="D756" s="331"/>
      <c r="E756" s="331"/>
      <c r="F756" s="331"/>
      <c r="G756" s="331"/>
      <c r="H756" s="331"/>
      <c r="I756" s="331"/>
      <c r="J756" s="339"/>
      <c r="K756" s="339"/>
      <c r="L756" s="339"/>
      <c r="M756" s="331"/>
      <c r="N756" s="303"/>
      <c r="O756" s="303"/>
      <c r="P756" s="303"/>
      <c r="Q756" s="303"/>
      <c r="R756" s="303"/>
      <c r="S756" s="303"/>
      <c r="T756" s="331"/>
      <c r="U756" s="331"/>
      <c r="V756" s="331"/>
      <c r="W756" s="331"/>
      <c r="X756" s="331"/>
      <c r="Y756" s="331"/>
      <c r="Z756" s="331"/>
    </row>
    <row r="757">
      <c r="A757" s="331"/>
      <c r="B757" s="331"/>
      <c r="C757" s="331"/>
      <c r="D757" s="331"/>
      <c r="E757" s="331"/>
      <c r="F757" s="331"/>
      <c r="G757" s="331"/>
      <c r="H757" s="331"/>
      <c r="I757" s="331"/>
      <c r="J757" s="339"/>
      <c r="K757" s="339"/>
      <c r="L757" s="339"/>
      <c r="M757" s="331"/>
      <c r="N757" s="303"/>
      <c r="O757" s="303"/>
      <c r="P757" s="303"/>
      <c r="Q757" s="303"/>
      <c r="R757" s="303"/>
      <c r="S757" s="303"/>
      <c r="T757" s="331"/>
      <c r="U757" s="331"/>
      <c r="V757" s="331"/>
      <c r="W757" s="331"/>
      <c r="X757" s="331"/>
      <c r="Y757" s="331"/>
      <c r="Z757" s="331"/>
    </row>
    <row r="758">
      <c r="A758" s="331"/>
      <c r="B758" s="331"/>
      <c r="C758" s="331"/>
      <c r="D758" s="331"/>
      <c r="E758" s="331"/>
      <c r="F758" s="331"/>
      <c r="G758" s="331"/>
      <c r="H758" s="331"/>
      <c r="I758" s="331"/>
      <c r="J758" s="339"/>
      <c r="K758" s="339"/>
      <c r="L758" s="339"/>
      <c r="M758" s="331"/>
      <c r="N758" s="303"/>
      <c r="O758" s="303"/>
      <c r="P758" s="303"/>
      <c r="Q758" s="303"/>
      <c r="R758" s="303"/>
      <c r="S758" s="303"/>
      <c r="T758" s="331"/>
      <c r="U758" s="331"/>
      <c r="V758" s="331"/>
      <c r="W758" s="331"/>
      <c r="X758" s="331"/>
      <c r="Y758" s="331"/>
      <c r="Z758" s="331"/>
    </row>
    <row r="759">
      <c r="A759" s="331"/>
      <c r="B759" s="331"/>
      <c r="C759" s="331"/>
      <c r="D759" s="331"/>
      <c r="E759" s="331"/>
      <c r="F759" s="331"/>
      <c r="G759" s="331"/>
      <c r="H759" s="331"/>
      <c r="I759" s="331"/>
      <c r="J759" s="339"/>
      <c r="K759" s="339"/>
      <c r="L759" s="339"/>
      <c r="M759" s="331"/>
      <c r="N759" s="303"/>
      <c r="O759" s="303"/>
      <c r="P759" s="303"/>
      <c r="Q759" s="303"/>
      <c r="R759" s="303"/>
      <c r="S759" s="303"/>
      <c r="T759" s="331"/>
      <c r="U759" s="331"/>
      <c r="V759" s="331"/>
      <c r="W759" s="331"/>
      <c r="X759" s="331"/>
      <c r="Y759" s="331"/>
      <c r="Z759" s="331"/>
    </row>
    <row r="760">
      <c r="A760" s="331"/>
      <c r="B760" s="331"/>
      <c r="C760" s="331"/>
      <c r="D760" s="331"/>
      <c r="E760" s="331"/>
      <c r="F760" s="331"/>
      <c r="G760" s="331"/>
      <c r="H760" s="331"/>
      <c r="I760" s="331"/>
      <c r="J760" s="339"/>
      <c r="K760" s="339"/>
      <c r="L760" s="339"/>
      <c r="M760" s="331"/>
      <c r="N760" s="303"/>
      <c r="O760" s="303"/>
      <c r="P760" s="303"/>
      <c r="Q760" s="303"/>
      <c r="R760" s="303"/>
      <c r="S760" s="303"/>
      <c r="T760" s="331"/>
      <c r="U760" s="331"/>
      <c r="V760" s="331"/>
      <c r="W760" s="331"/>
      <c r="X760" s="331"/>
      <c r="Y760" s="331"/>
      <c r="Z760" s="331"/>
    </row>
    <row r="761">
      <c r="A761" s="331"/>
      <c r="B761" s="331"/>
      <c r="C761" s="331"/>
      <c r="D761" s="331"/>
      <c r="E761" s="331"/>
      <c r="F761" s="331"/>
      <c r="G761" s="331"/>
      <c r="H761" s="331"/>
      <c r="I761" s="331"/>
      <c r="J761" s="339"/>
      <c r="K761" s="339"/>
      <c r="L761" s="339"/>
      <c r="M761" s="331"/>
      <c r="N761" s="303"/>
      <c r="O761" s="303"/>
      <c r="P761" s="303"/>
      <c r="Q761" s="303"/>
      <c r="R761" s="303"/>
      <c r="S761" s="303"/>
      <c r="T761" s="331"/>
      <c r="U761" s="331"/>
      <c r="V761" s="331"/>
      <c r="W761" s="331"/>
      <c r="X761" s="331"/>
      <c r="Y761" s="331"/>
      <c r="Z761" s="331"/>
    </row>
    <row r="762">
      <c r="A762" s="331"/>
      <c r="B762" s="331"/>
      <c r="C762" s="331"/>
      <c r="D762" s="331"/>
      <c r="E762" s="331"/>
      <c r="F762" s="331"/>
      <c r="G762" s="331"/>
      <c r="H762" s="331"/>
      <c r="I762" s="331"/>
      <c r="J762" s="339"/>
      <c r="K762" s="339"/>
      <c r="L762" s="339"/>
      <c r="M762" s="331"/>
      <c r="N762" s="303"/>
      <c r="O762" s="303"/>
      <c r="P762" s="303"/>
      <c r="Q762" s="303"/>
      <c r="R762" s="303"/>
      <c r="S762" s="303"/>
      <c r="T762" s="331"/>
      <c r="U762" s="331"/>
      <c r="V762" s="331"/>
      <c r="W762" s="331"/>
      <c r="X762" s="331"/>
      <c r="Y762" s="331"/>
      <c r="Z762" s="331"/>
    </row>
    <row r="763">
      <c r="A763" s="331"/>
      <c r="B763" s="331"/>
      <c r="C763" s="331"/>
      <c r="D763" s="331"/>
      <c r="E763" s="331"/>
      <c r="F763" s="331"/>
      <c r="G763" s="331"/>
      <c r="H763" s="331"/>
      <c r="I763" s="331"/>
      <c r="J763" s="339"/>
      <c r="K763" s="339"/>
      <c r="L763" s="339"/>
      <c r="M763" s="331"/>
      <c r="N763" s="303"/>
      <c r="O763" s="303"/>
      <c r="P763" s="303"/>
      <c r="Q763" s="303"/>
      <c r="R763" s="303"/>
      <c r="S763" s="303"/>
      <c r="T763" s="331"/>
      <c r="U763" s="331"/>
      <c r="V763" s="331"/>
      <c r="W763" s="331"/>
      <c r="X763" s="331"/>
      <c r="Y763" s="331"/>
      <c r="Z763" s="331"/>
    </row>
    <row r="764">
      <c r="A764" s="331"/>
      <c r="B764" s="331"/>
      <c r="C764" s="331"/>
      <c r="D764" s="331"/>
      <c r="E764" s="331"/>
      <c r="F764" s="331"/>
      <c r="G764" s="331"/>
      <c r="H764" s="331"/>
      <c r="I764" s="331"/>
      <c r="J764" s="339"/>
      <c r="K764" s="339"/>
      <c r="L764" s="339"/>
      <c r="M764" s="331"/>
      <c r="N764" s="303"/>
      <c r="O764" s="303"/>
      <c r="P764" s="303"/>
      <c r="Q764" s="303"/>
      <c r="R764" s="303"/>
      <c r="S764" s="303"/>
      <c r="T764" s="331"/>
      <c r="U764" s="331"/>
      <c r="V764" s="331"/>
      <c r="W764" s="331"/>
      <c r="X764" s="331"/>
      <c r="Y764" s="331"/>
      <c r="Z764" s="331"/>
    </row>
    <row r="765">
      <c r="A765" s="331"/>
      <c r="B765" s="331"/>
      <c r="C765" s="331"/>
      <c r="D765" s="331"/>
      <c r="E765" s="331"/>
      <c r="F765" s="331"/>
      <c r="G765" s="331"/>
      <c r="H765" s="331"/>
      <c r="I765" s="331"/>
      <c r="J765" s="339"/>
      <c r="K765" s="339"/>
      <c r="L765" s="339"/>
      <c r="M765" s="331"/>
      <c r="N765" s="303"/>
      <c r="O765" s="303"/>
      <c r="P765" s="303"/>
      <c r="Q765" s="303"/>
      <c r="R765" s="303"/>
      <c r="S765" s="303"/>
      <c r="T765" s="331"/>
      <c r="U765" s="331"/>
      <c r="V765" s="331"/>
      <c r="W765" s="331"/>
      <c r="X765" s="331"/>
      <c r="Y765" s="331"/>
      <c r="Z765" s="331"/>
    </row>
    <row r="766">
      <c r="A766" s="331"/>
      <c r="B766" s="331"/>
      <c r="C766" s="331"/>
      <c r="D766" s="331"/>
      <c r="E766" s="331"/>
      <c r="F766" s="331"/>
      <c r="G766" s="331"/>
      <c r="H766" s="331"/>
      <c r="I766" s="331"/>
      <c r="J766" s="339"/>
      <c r="K766" s="339"/>
      <c r="L766" s="339"/>
      <c r="M766" s="331"/>
      <c r="N766" s="303"/>
      <c r="O766" s="303"/>
      <c r="P766" s="303"/>
      <c r="Q766" s="303"/>
      <c r="R766" s="303"/>
      <c r="S766" s="303"/>
      <c r="T766" s="331"/>
      <c r="U766" s="331"/>
      <c r="V766" s="331"/>
      <c r="W766" s="331"/>
      <c r="X766" s="331"/>
      <c r="Y766" s="331"/>
      <c r="Z766" s="331"/>
    </row>
    <row r="767">
      <c r="A767" s="331"/>
      <c r="B767" s="331"/>
      <c r="C767" s="331"/>
      <c r="D767" s="331"/>
      <c r="E767" s="331"/>
      <c r="F767" s="331"/>
      <c r="G767" s="331"/>
      <c r="H767" s="331"/>
      <c r="I767" s="331"/>
      <c r="J767" s="339"/>
      <c r="K767" s="339"/>
      <c r="L767" s="339"/>
      <c r="M767" s="331"/>
      <c r="N767" s="303"/>
      <c r="O767" s="303"/>
      <c r="P767" s="303"/>
      <c r="Q767" s="303"/>
      <c r="R767" s="303"/>
      <c r="S767" s="303"/>
      <c r="T767" s="331"/>
      <c r="U767" s="331"/>
      <c r="V767" s="331"/>
      <c r="W767" s="331"/>
      <c r="X767" s="331"/>
      <c r="Y767" s="331"/>
      <c r="Z767" s="331"/>
    </row>
    <row r="768">
      <c r="A768" s="331"/>
      <c r="B768" s="331"/>
      <c r="C768" s="331"/>
      <c r="D768" s="331"/>
      <c r="E768" s="331"/>
      <c r="F768" s="331"/>
      <c r="G768" s="331"/>
      <c r="H768" s="331"/>
      <c r="I768" s="331"/>
      <c r="J768" s="339"/>
      <c r="K768" s="339"/>
      <c r="L768" s="339"/>
      <c r="M768" s="331"/>
      <c r="N768" s="303"/>
      <c r="O768" s="303"/>
      <c r="P768" s="303"/>
      <c r="Q768" s="303"/>
      <c r="R768" s="303"/>
      <c r="S768" s="303"/>
      <c r="T768" s="331"/>
      <c r="U768" s="331"/>
      <c r="V768" s="331"/>
      <c r="W768" s="331"/>
      <c r="X768" s="331"/>
      <c r="Y768" s="331"/>
      <c r="Z768" s="331"/>
    </row>
    <row r="769">
      <c r="A769" s="331"/>
      <c r="B769" s="331"/>
      <c r="C769" s="331"/>
      <c r="D769" s="331"/>
      <c r="E769" s="331"/>
      <c r="F769" s="331"/>
      <c r="G769" s="331"/>
      <c r="H769" s="331"/>
      <c r="I769" s="331"/>
      <c r="J769" s="339"/>
      <c r="K769" s="339"/>
      <c r="L769" s="339"/>
      <c r="M769" s="331"/>
      <c r="N769" s="303"/>
      <c r="O769" s="303"/>
      <c r="P769" s="303"/>
      <c r="Q769" s="303"/>
      <c r="R769" s="303"/>
      <c r="S769" s="303"/>
      <c r="T769" s="331"/>
      <c r="U769" s="331"/>
      <c r="V769" s="331"/>
      <c r="W769" s="331"/>
      <c r="X769" s="331"/>
      <c r="Y769" s="331"/>
      <c r="Z769" s="331"/>
    </row>
    <row r="770">
      <c r="A770" s="331"/>
      <c r="B770" s="331"/>
      <c r="C770" s="331"/>
      <c r="D770" s="331"/>
      <c r="E770" s="331"/>
      <c r="F770" s="331"/>
      <c r="G770" s="331"/>
      <c r="H770" s="331"/>
      <c r="I770" s="331"/>
      <c r="J770" s="339"/>
      <c r="K770" s="339"/>
      <c r="L770" s="339"/>
      <c r="M770" s="331"/>
      <c r="N770" s="303"/>
      <c r="O770" s="303"/>
      <c r="P770" s="303"/>
      <c r="Q770" s="303"/>
      <c r="R770" s="303"/>
      <c r="S770" s="303"/>
      <c r="T770" s="331"/>
      <c r="U770" s="331"/>
      <c r="V770" s="331"/>
      <c r="W770" s="331"/>
      <c r="X770" s="331"/>
      <c r="Y770" s="331"/>
      <c r="Z770" s="331"/>
    </row>
    <row r="771">
      <c r="A771" s="331"/>
      <c r="B771" s="331"/>
      <c r="C771" s="331"/>
      <c r="D771" s="331"/>
      <c r="E771" s="331"/>
      <c r="F771" s="331"/>
      <c r="G771" s="331"/>
      <c r="H771" s="331"/>
      <c r="I771" s="331"/>
      <c r="J771" s="339"/>
      <c r="K771" s="339"/>
      <c r="L771" s="339"/>
      <c r="M771" s="331"/>
      <c r="N771" s="303"/>
      <c r="O771" s="303"/>
      <c r="P771" s="303"/>
      <c r="Q771" s="303"/>
      <c r="R771" s="303"/>
      <c r="S771" s="303"/>
      <c r="T771" s="331"/>
      <c r="U771" s="331"/>
      <c r="V771" s="331"/>
      <c r="W771" s="331"/>
      <c r="X771" s="331"/>
      <c r="Y771" s="331"/>
      <c r="Z771" s="331"/>
    </row>
    <row r="772">
      <c r="A772" s="331"/>
      <c r="B772" s="331"/>
      <c r="C772" s="331"/>
      <c r="D772" s="331"/>
      <c r="E772" s="331"/>
      <c r="F772" s="331"/>
      <c r="G772" s="331"/>
      <c r="H772" s="331"/>
      <c r="I772" s="331"/>
      <c r="J772" s="339"/>
      <c r="K772" s="339"/>
      <c r="L772" s="339"/>
      <c r="M772" s="331"/>
      <c r="N772" s="303"/>
      <c r="O772" s="303"/>
      <c r="P772" s="303"/>
      <c r="Q772" s="303"/>
      <c r="R772" s="303"/>
      <c r="S772" s="303"/>
      <c r="T772" s="331"/>
      <c r="U772" s="331"/>
      <c r="V772" s="331"/>
      <c r="W772" s="331"/>
      <c r="X772" s="331"/>
      <c r="Y772" s="331"/>
      <c r="Z772" s="331"/>
    </row>
    <row r="773">
      <c r="A773" s="331"/>
      <c r="B773" s="331"/>
      <c r="C773" s="331"/>
      <c r="D773" s="331"/>
      <c r="E773" s="331"/>
      <c r="F773" s="331"/>
      <c r="G773" s="331"/>
      <c r="H773" s="331"/>
      <c r="I773" s="331"/>
      <c r="J773" s="339"/>
      <c r="K773" s="339"/>
      <c r="L773" s="339"/>
      <c r="M773" s="331"/>
      <c r="N773" s="303"/>
      <c r="O773" s="303"/>
      <c r="P773" s="303"/>
      <c r="Q773" s="303"/>
      <c r="R773" s="303"/>
      <c r="S773" s="303"/>
      <c r="T773" s="331"/>
      <c r="U773" s="331"/>
      <c r="V773" s="331"/>
      <c r="W773" s="331"/>
      <c r="X773" s="331"/>
      <c r="Y773" s="331"/>
      <c r="Z773" s="331"/>
    </row>
    <row r="774">
      <c r="A774" s="331"/>
      <c r="B774" s="331"/>
      <c r="C774" s="331"/>
      <c r="D774" s="331"/>
      <c r="E774" s="331"/>
      <c r="F774" s="331"/>
      <c r="G774" s="331"/>
      <c r="H774" s="331"/>
      <c r="I774" s="331"/>
      <c r="J774" s="339"/>
      <c r="K774" s="339"/>
      <c r="L774" s="339"/>
      <c r="M774" s="331"/>
      <c r="N774" s="303"/>
      <c r="O774" s="303"/>
      <c r="P774" s="303"/>
      <c r="Q774" s="303"/>
      <c r="R774" s="303"/>
      <c r="S774" s="303"/>
      <c r="T774" s="331"/>
      <c r="U774" s="331"/>
      <c r="V774" s="331"/>
      <c r="W774" s="331"/>
      <c r="X774" s="331"/>
      <c r="Y774" s="331"/>
      <c r="Z774" s="331"/>
    </row>
    <row r="775">
      <c r="A775" s="331"/>
      <c r="B775" s="331"/>
      <c r="C775" s="331"/>
      <c r="D775" s="331"/>
      <c r="E775" s="331"/>
      <c r="F775" s="331"/>
      <c r="G775" s="331"/>
      <c r="H775" s="331"/>
      <c r="I775" s="331"/>
      <c r="J775" s="339"/>
      <c r="K775" s="339"/>
      <c r="L775" s="339"/>
      <c r="M775" s="331"/>
      <c r="N775" s="303"/>
      <c r="O775" s="303"/>
      <c r="P775" s="303"/>
      <c r="Q775" s="303"/>
      <c r="R775" s="303"/>
      <c r="S775" s="303"/>
      <c r="T775" s="331"/>
      <c r="U775" s="331"/>
      <c r="V775" s="331"/>
      <c r="W775" s="331"/>
      <c r="X775" s="331"/>
      <c r="Y775" s="331"/>
      <c r="Z775" s="331"/>
    </row>
    <row r="776">
      <c r="A776" s="331"/>
      <c r="B776" s="331"/>
      <c r="C776" s="331"/>
      <c r="D776" s="331"/>
      <c r="E776" s="331"/>
      <c r="F776" s="331"/>
      <c r="G776" s="331"/>
      <c r="H776" s="331"/>
      <c r="I776" s="331"/>
      <c r="J776" s="339"/>
      <c r="K776" s="339"/>
      <c r="L776" s="339"/>
      <c r="M776" s="331"/>
      <c r="N776" s="303"/>
      <c r="O776" s="303"/>
      <c r="P776" s="303"/>
      <c r="Q776" s="303"/>
      <c r="R776" s="303"/>
      <c r="S776" s="303"/>
      <c r="T776" s="331"/>
      <c r="U776" s="331"/>
      <c r="V776" s="331"/>
      <c r="W776" s="331"/>
      <c r="X776" s="331"/>
      <c r="Y776" s="331"/>
      <c r="Z776" s="331"/>
    </row>
    <row r="777">
      <c r="A777" s="331"/>
      <c r="B777" s="331"/>
      <c r="C777" s="331"/>
      <c r="D777" s="331"/>
      <c r="E777" s="331"/>
      <c r="F777" s="331"/>
      <c r="G777" s="331"/>
      <c r="H777" s="331"/>
      <c r="I777" s="331"/>
      <c r="J777" s="339"/>
      <c r="K777" s="339"/>
      <c r="L777" s="339"/>
      <c r="M777" s="331"/>
      <c r="N777" s="303"/>
      <c r="O777" s="303"/>
      <c r="P777" s="303"/>
      <c r="Q777" s="303"/>
      <c r="R777" s="303"/>
      <c r="S777" s="303"/>
      <c r="T777" s="331"/>
      <c r="U777" s="331"/>
      <c r="V777" s="331"/>
      <c r="W777" s="331"/>
      <c r="X777" s="331"/>
      <c r="Y777" s="331"/>
      <c r="Z777" s="331"/>
    </row>
    <row r="778">
      <c r="A778" s="331"/>
      <c r="B778" s="331"/>
      <c r="C778" s="331"/>
      <c r="D778" s="331"/>
      <c r="E778" s="331"/>
      <c r="F778" s="331"/>
      <c r="G778" s="331"/>
      <c r="H778" s="331"/>
      <c r="I778" s="331"/>
      <c r="J778" s="339"/>
      <c r="K778" s="339"/>
      <c r="L778" s="339"/>
      <c r="M778" s="331"/>
      <c r="N778" s="303"/>
      <c r="O778" s="303"/>
      <c r="P778" s="303"/>
      <c r="Q778" s="303"/>
      <c r="R778" s="303"/>
      <c r="S778" s="303"/>
      <c r="T778" s="331"/>
      <c r="U778" s="331"/>
      <c r="V778" s="331"/>
      <c r="W778" s="331"/>
      <c r="X778" s="331"/>
      <c r="Y778" s="331"/>
      <c r="Z778" s="331"/>
    </row>
    <row r="779">
      <c r="A779" s="331"/>
      <c r="B779" s="331"/>
      <c r="C779" s="331"/>
      <c r="D779" s="331"/>
      <c r="E779" s="331"/>
      <c r="F779" s="331"/>
      <c r="G779" s="331"/>
      <c r="H779" s="331"/>
      <c r="I779" s="331"/>
      <c r="J779" s="339"/>
      <c r="K779" s="339"/>
      <c r="L779" s="339"/>
      <c r="M779" s="331"/>
      <c r="N779" s="303"/>
      <c r="O779" s="303"/>
      <c r="P779" s="303"/>
      <c r="Q779" s="303"/>
      <c r="R779" s="303"/>
      <c r="S779" s="303"/>
      <c r="T779" s="331"/>
      <c r="U779" s="331"/>
      <c r="V779" s="331"/>
      <c r="W779" s="331"/>
      <c r="X779" s="331"/>
      <c r="Y779" s="331"/>
      <c r="Z779" s="331"/>
    </row>
    <row r="780">
      <c r="A780" s="331"/>
      <c r="B780" s="331"/>
      <c r="C780" s="331"/>
      <c r="D780" s="331"/>
      <c r="E780" s="331"/>
      <c r="F780" s="331"/>
      <c r="G780" s="331"/>
      <c r="H780" s="331"/>
      <c r="I780" s="331"/>
      <c r="J780" s="339"/>
      <c r="K780" s="339"/>
      <c r="L780" s="339"/>
      <c r="M780" s="331"/>
      <c r="N780" s="303"/>
      <c r="O780" s="303"/>
      <c r="P780" s="303"/>
      <c r="Q780" s="303"/>
      <c r="R780" s="303"/>
      <c r="S780" s="303"/>
      <c r="T780" s="331"/>
      <c r="U780" s="331"/>
      <c r="V780" s="331"/>
      <c r="W780" s="331"/>
      <c r="X780" s="331"/>
      <c r="Y780" s="331"/>
      <c r="Z780" s="331"/>
    </row>
    <row r="781">
      <c r="A781" s="331"/>
      <c r="B781" s="331"/>
      <c r="C781" s="331"/>
      <c r="D781" s="331"/>
      <c r="E781" s="331"/>
      <c r="F781" s="331"/>
      <c r="G781" s="331"/>
      <c r="H781" s="331"/>
      <c r="I781" s="331"/>
      <c r="J781" s="339"/>
      <c r="K781" s="339"/>
      <c r="L781" s="339"/>
      <c r="M781" s="331"/>
      <c r="N781" s="303"/>
      <c r="O781" s="303"/>
      <c r="P781" s="303"/>
      <c r="Q781" s="303"/>
      <c r="R781" s="303"/>
      <c r="S781" s="303"/>
      <c r="T781" s="331"/>
      <c r="U781" s="331"/>
      <c r="V781" s="331"/>
      <c r="W781" s="331"/>
      <c r="X781" s="331"/>
      <c r="Y781" s="331"/>
      <c r="Z781" s="331"/>
    </row>
    <row r="782">
      <c r="A782" s="331"/>
      <c r="B782" s="331"/>
      <c r="C782" s="331"/>
      <c r="D782" s="331"/>
      <c r="E782" s="331"/>
      <c r="F782" s="331"/>
      <c r="G782" s="331"/>
      <c r="H782" s="331"/>
      <c r="I782" s="331"/>
      <c r="J782" s="339"/>
      <c r="K782" s="339"/>
      <c r="L782" s="339"/>
      <c r="M782" s="331"/>
      <c r="N782" s="303"/>
      <c r="O782" s="303"/>
      <c r="P782" s="303"/>
      <c r="Q782" s="303"/>
      <c r="R782" s="303"/>
      <c r="S782" s="303"/>
      <c r="T782" s="331"/>
      <c r="U782" s="331"/>
      <c r="V782" s="331"/>
      <c r="W782" s="331"/>
      <c r="X782" s="331"/>
      <c r="Y782" s="331"/>
      <c r="Z782" s="331"/>
    </row>
    <row r="783">
      <c r="A783" s="331"/>
      <c r="B783" s="331"/>
      <c r="C783" s="331"/>
      <c r="D783" s="331"/>
      <c r="E783" s="331"/>
      <c r="F783" s="331"/>
      <c r="G783" s="331"/>
      <c r="H783" s="331"/>
      <c r="I783" s="331"/>
      <c r="J783" s="339"/>
      <c r="K783" s="339"/>
      <c r="L783" s="339"/>
      <c r="M783" s="331"/>
      <c r="N783" s="303"/>
      <c r="O783" s="303"/>
      <c r="P783" s="303"/>
      <c r="Q783" s="303"/>
      <c r="R783" s="303"/>
      <c r="S783" s="303"/>
      <c r="T783" s="331"/>
      <c r="U783" s="331"/>
      <c r="V783" s="331"/>
      <c r="W783" s="331"/>
      <c r="X783" s="331"/>
      <c r="Y783" s="331"/>
      <c r="Z783" s="331"/>
    </row>
    <row r="784">
      <c r="A784" s="331"/>
      <c r="B784" s="331"/>
      <c r="C784" s="331"/>
      <c r="D784" s="331"/>
      <c r="E784" s="331"/>
      <c r="F784" s="331"/>
      <c r="G784" s="331"/>
      <c r="H784" s="331"/>
      <c r="I784" s="331"/>
      <c r="J784" s="339"/>
      <c r="K784" s="339"/>
      <c r="L784" s="339"/>
      <c r="M784" s="331"/>
      <c r="N784" s="303"/>
      <c r="O784" s="303"/>
      <c r="P784" s="303"/>
      <c r="Q784" s="303"/>
      <c r="R784" s="303"/>
      <c r="S784" s="303"/>
      <c r="T784" s="331"/>
      <c r="U784" s="331"/>
      <c r="V784" s="331"/>
      <c r="W784" s="331"/>
      <c r="X784" s="331"/>
      <c r="Y784" s="331"/>
      <c r="Z784" s="331"/>
    </row>
    <row r="785">
      <c r="A785" s="331"/>
      <c r="B785" s="331"/>
      <c r="C785" s="331"/>
      <c r="D785" s="331"/>
      <c r="E785" s="331"/>
      <c r="F785" s="331"/>
      <c r="G785" s="331"/>
      <c r="H785" s="331"/>
      <c r="I785" s="331"/>
      <c r="J785" s="339"/>
      <c r="K785" s="339"/>
      <c r="L785" s="339"/>
      <c r="M785" s="331"/>
      <c r="N785" s="303"/>
      <c r="O785" s="303"/>
      <c r="P785" s="303"/>
      <c r="Q785" s="303"/>
      <c r="R785" s="303"/>
      <c r="S785" s="303"/>
      <c r="T785" s="331"/>
      <c r="U785" s="331"/>
      <c r="V785" s="331"/>
      <c r="W785" s="331"/>
      <c r="X785" s="331"/>
      <c r="Y785" s="331"/>
      <c r="Z785" s="331"/>
    </row>
    <row r="786">
      <c r="A786" s="331"/>
      <c r="B786" s="331"/>
      <c r="C786" s="331"/>
      <c r="D786" s="331"/>
      <c r="E786" s="331"/>
      <c r="F786" s="331"/>
      <c r="G786" s="331"/>
      <c r="H786" s="331"/>
      <c r="I786" s="331"/>
      <c r="J786" s="339"/>
      <c r="K786" s="339"/>
      <c r="L786" s="339"/>
      <c r="M786" s="331"/>
      <c r="N786" s="303"/>
      <c r="O786" s="303"/>
      <c r="P786" s="303"/>
      <c r="Q786" s="303"/>
      <c r="R786" s="303"/>
      <c r="S786" s="303"/>
      <c r="T786" s="331"/>
      <c r="U786" s="331"/>
      <c r="V786" s="331"/>
      <c r="W786" s="331"/>
      <c r="X786" s="331"/>
      <c r="Y786" s="331"/>
      <c r="Z786" s="331"/>
    </row>
    <row r="787">
      <c r="A787" s="331"/>
      <c r="B787" s="331"/>
      <c r="C787" s="331"/>
      <c r="D787" s="331"/>
      <c r="E787" s="331"/>
      <c r="F787" s="331"/>
      <c r="G787" s="331"/>
      <c r="H787" s="331"/>
      <c r="I787" s="331"/>
      <c r="J787" s="339"/>
      <c r="K787" s="339"/>
      <c r="L787" s="339"/>
      <c r="M787" s="331"/>
      <c r="N787" s="303"/>
      <c r="O787" s="303"/>
      <c r="P787" s="303"/>
      <c r="Q787" s="303"/>
      <c r="R787" s="303"/>
      <c r="S787" s="303"/>
      <c r="T787" s="331"/>
      <c r="U787" s="331"/>
      <c r="V787" s="331"/>
      <c r="W787" s="331"/>
      <c r="X787" s="331"/>
      <c r="Y787" s="331"/>
      <c r="Z787" s="331"/>
    </row>
    <row r="788">
      <c r="A788" s="331"/>
      <c r="B788" s="331"/>
      <c r="C788" s="331"/>
      <c r="D788" s="331"/>
      <c r="E788" s="331"/>
      <c r="F788" s="331"/>
      <c r="G788" s="331"/>
      <c r="H788" s="331"/>
      <c r="I788" s="331"/>
      <c r="J788" s="339"/>
      <c r="K788" s="339"/>
      <c r="L788" s="339"/>
      <c r="M788" s="331"/>
      <c r="N788" s="303"/>
      <c r="O788" s="303"/>
      <c r="P788" s="303"/>
      <c r="Q788" s="303"/>
      <c r="R788" s="303"/>
      <c r="S788" s="303"/>
      <c r="T788" s="331"/>
      <c r="U788" s="331"/>
      <c r="V788" s="331"/>
      <c r="W788" s="331"/>
      <c r="X788" s="331"/>
      <c r="Y788" s="331"/>
      <c r="Z788" s="331"/>
    </row>
    <row r="789">
      <c r="A789" s="331"/>
      <c r="B789" s="331"/>
      <c r="C789" s="331"/>
      <c r="D789" s="331"/>
      <c r="E789" s="331"/>
      <c r="F789" s="331"/>
      <c r="G789" s="331"/>
      <c r="H789" s="331"/>
      <c r="I789" s="331"/>
      <c r="J789" s="339"/>
      <c r="K789" s="339"/>
      <c r="L789" s="339"/>
      <c r="M789" s="331"/>
      <c r="N789" s="303"/>
      <c r="O789" s="303"/>
      <c r="P789" s="303"/>
      <c r="Q789" s="303"/>
      <c r="R789" s="303"/>
      <c r="S789" s="303"/>
      <c r="T789" s="331"/>
      <c r="U789" s="331"/>
      <c r="V789" s="331"/>
      <c r="W789" s="331"/>
      <c r="X789" s="331"/>
      <c r="Y789" s="331"/>
      <c r="Z789" s="331"/>
    </row>
    <row r="790">
      <c r="A790" s="331"/>
      <c r="B790" s="331"/>
      <c r="C790" s="331"/>
      <c r="D790" s="331"/>
      <c r="E790" s="331"/>
      <c r="F790" s="331"/>
      <c r="G790" s="331"/>
      <c r="H790" s="331"/>
      <c r="I790" s="331"/>
      <c r="J790" s="339"/>
      <c r="K790" s="339"/>
      <c r="L790" s="339"/>
      <c r="M790" s="331"/>
      <c r="N790" s="303"/>
      <c r="O790" s="303"/>
      <c r="P790" s="303"/>
      <c r="Q790" s="303"/>
      <c r="R790" s="303"/>
      <c r="S790" s="303"/>
      <c r="T790" s="331"/>
      <c r="U790" s="331"/>
      <c r="V790" s="331"/>
      <c r="W790" s="331"/>
      <c r="X790" s="331"/>
      <c r="Y790" s="331"/>
      <c r="Z790" s="331"/>
    </row>
    <row r="791">
      <c r="A791" s="331"/>
      <c r="B791" s="331"/>
      <c r="C791" s="331"/>
      <c r="D791" s="331"/>
      <c r="E791" s="331"/>
      <c r="F791" s="331"/>
      <c r="G791" s="331"/>
      <c r="H791" s="331"/>
      <c r="I791" s="331"/>
      <c r="J791" s="339"/>
      <c r="K791" s="339"/>
      <c r="L791" s="339"/>
      <c r="M791" s="331"/>
      <c r="N791" s="303"/>
      <c r="O791" s="303"/>
      <c r="P791" s="303"/>
      <c r="Q791" s="303"/>
      <c r="R791" s="303"/>
      <c r="S791" s="303"/>
      <c r="T791" s="331"/>
      <c r="U791" s="331"/>
      <c r="V791" s="331"/>
      <c r="W791" s="331"/>
      <c r="X791" s="331"/>
      <c r="Y791" s="331"/>
      <c r="Z791" s="331"/>
    </row>
    <row r="792">
      <c r="A792" s="331"/>
      <c r="B792" s="331"/>
      <c r="C792" s="331"/>
      <c r="D792" s="331"/>
      <c r="E792" s="331"/>
      <c r="F792" s="331"/>
      <c r="G792" s="331"/>
      <c r="H792" s="331"/>
      <c r="I792" s="331"/>
      <c r="J792" s="339"/>
      <c r="K792" s="339"/>
      <c r="L792" s="339"/>
      <c r="M792" s="331"/>
      <c r="N792" s="303"/>
      <c r="O792" s="303"/>
      <c r="P792" s="303"/>
      <c r="Q792" s="303"/>
      <c r="R792" s="303"/>
      <c r="S792" s="303"/>
      <c r="T792" s="331"/>
      <c r="U792" s="331"/>
      <c r="V792" s="331"/>
      <c r="W792" s="331"/>
      <c r="X792" s="331"/>
      <c r="Y792" s="331"/>
      <c r="Z792" s="331"/>
    </row>
    <row r="793">
      <c r="A793" s="331"/>
      <c r="B793" s="331"/>
      <c r="C793" s="331"/>
      <c r="D793" s="331"/>
      <c r="E793" s="331"/>
      <c r="F793" s="331"/>
      <c r="G793" s="331"/>
      <c r="H793" s="331"/>
      <c r="I793" s="331"/>
      <c r="J793" s="339"/>
      <c r="K793" s="339"/>
      <c r="L793" s="339"/>
      <c r="M793" s="331"/>
      <c r="N793" s="303"/>
      <c r="O793" s="303"/>
      <c r="P793" s="303"/>
      <c r="Q793" s="303"/>
      <c r="R793" s="303"/>
      <c r="S793" s="303"/>
      <c r="T793" s="331"/>
      <c r="U793" s="331"/>
      <c r="V793" s="331"/>
      <c r="W793" s="331"/>
      <c r="X793" s="331"/>
      <c r="Y793" s="331"/>
      <c r="Z793" s="331"/>
    </row>
    <row r="794">
      <c r="A794" s="331"/>
      <c r="B794" s="331"/>
      <c r="C794" s="331"/>
      <c r="D794" s="331"/>
      <c r="E794" s="331"/>
      <c r="F794" s="331"/>
      <c r="G794" s="331"/>
      <c r="H794" s="331"/>
      <c r="I794" s="331"/>
      <c r="J794" s="339"/>
      <c r="K794" s="339"/>
      <c r="L794" s="339"/>
      <c r="M794" s="331"/>
      <c r="N794" s="303"/>
      <c r="O794" s="303"/>
      <c r="P794" s="303"/>
      <c r="Q794" s="303"/>
      <c r="R794" s="303"/>
      <c r="S794" s="303"/>
      <c r="T794" s="331"/>
      <c r="U794" s="331"/>
      <c r="V794" s="331"/>
      <c r="W794" s="331"/>
      <c r="X794" s="331"/>
      <c r="Y794" s="331"/>
      <c r="Z794" s="331"/>
    </row>
    <row r="795">
      <c r="A795" s="331"/>
      <c r="B795" s="331"/>
      <c r="C795" s="331"/>
      <c r="D795" s="331"/>
      <c r="E795" s="331"/>
      <c r="F795" s="331"/>
      <c r="G795" s="331"/>
      <c r="H795" s="331"/>
      <c r="I795" s="331"/>
      <c r="J795" s="339"/>
      <c r="K795" s="339"/>
      <c r="L795" s="339"/>
      <c r="M795" s="331"/>
      <c r="N795" s="303"/>
      <c r="O795" s="303"/>
      <c r="P795" s="303"/>
      <c r="Q795" s="303"/>
      <c r="R795" s="303"/>
      <c r="S795" s="303"/>
      <c r="T795" s="331"/>
      <c r="U795" s="331"/>
      <c r="V795" s="331"/>
      <c r="W795" s="331"/>
      <c r="X795" s="331"/>
      <c r="Y795" s="331"/>
      <c r="Z795" s="331"/>
    </row>
    <row r="796">
      <c r="A796" s="331"/>
      <c r="B796" s="331"/>
      <c r="C796" s="331"/>
      <c r="D796" s="331"/>
      <c r="E796" s="331"/>
      <c r="F796" s="331"/>
      <c r="G796" s="331"/>
      <c r="H796" s="331"/>
      <c r="I796" s="331"/>
      <c r="J796" s="339"/>
      <c r="K796" s="339"/>
      <c r="L796" s="339"/>
      <c r="M796" s="331"/>
      <c r="N796" s="303"/>
      <c r="O796" s="303"/>
      <c r="P796" s="303"/>
      <c r="Q796" s="303"/>
      <c r="R796" s="303"/>
      <c r="S796" s="303"/>
      <c r="T796" s="331"/>
      <c r="U796" s="331"/>
      <c r="V796" s="331"/>
      <c r="W796" s="331"/>
      <c r="X796" s="331"/>
      <c r="Y796" s="331"/>
      <c r="Z796" s="331"/>
    </row>
    <row r="797">
      <c r="A797" s="331"/>
      <c r="B797" s="331"/>
      <c r="C797" s="331"/>
      <c r="D797" s="331"/>
      <c r="E797" s="331"/>
      <c r="F797" s="331"/>
      <c r="G797" s="331"/>
      <c r="H797" s="331"/>
      <c r="I797" s="331"/>
      <c r="J797" s="339"/>
      <c r="K797" s="339"/>
      <c r="L797" s="339"/>
      <c r="M797" s="331"/>
      <c r="N797" s="303"/>
      <c r="O797" s="303"/>
      <c r="P797" s="303"/>
      <c r="Q797" s="303"/>
      <c r="R797" s="303"/>
      <c r="S797" s="303"/>
      <c r="T797" s="331"/>
      <c r="U797" s="331"/>
      <c r="V797" s="331"/>
      <c r="W797" s="331"/>
      <c r="X797" s="331"/>
      <c r="Y797" s="331"/>
      <c r="Z797" s="331"/>
    </row>
    <row r="798">
      <c r="A798" s="331"/>
      <c r="B798" s="331"/>
      <c r="C798" s="331"/>
      <c r="D798" s="331"/>
      <c r="E798" s="331"/>
      <c r="F798" s="331"/>
      <c r="G798" s="331"/>
      <c r="H798" s="331"/>
      <c r="I798" s="331"/>
      <c r="J798" s="339"/>
      <c r="K798" s="339"/>
      <c r="L798" s="339"/>
      <c r="M798" s="331"/>
      <c r="N798" s="303"/>
      <c r="O798" s="303"/>
      <c r="P798" s="303"/>
      <c r="Q798" s="303"/>
      <c r="R798" s="303"/>
      <c r="S798" s="303"/>
      <c r="T798" s="331"/>
      <c r="U798" s="331"/>
      <c r="V798" s="331"/>
      <c r="W798" s="331"/>
      <c r="X798" s="331"/>
      <c r="Y798" s="331"/>
      <c r="Z798" s="331"/>
    </row>
    <row r="799">
      <c r="A799" s="331"/>
      <c r="B799" s="331"/>
      <c r="C799" s="331"/>
      <c r="D799" s="331"/>
      <c r="E799" s="331"/>
      <c r="F799" s="331"/>
      <c r="G799" s="331"/>
      <c r="H799" s="331"/>
      <c r="I799" s="331"/>
      <c r="J799" s="339"/>
      <c r="K799" s="339"/>
      <c r="L799" s="339"/>
      <c r="M799" s="331"/>
      <c r="N799" s="303"/>
      <c r="O799" s="303"/>
      <c r="P799" s="303"/>
      <c r="Q799" s="303"/>
      <c r="R799" s="303"/>
      <c r="S799" s="303"/>
      <c r="T799" s="331"/>
      <c r="U799" s="331"/>
      <c r="V799" s="331"/>
      <c r="W799" s="331"/>
      <c r="X799" s="331"/>
      <c r="Y799" s="331"/>
      <c r="Z799" s="331"/>
    </row>
    <row r="800">
      <c r="A800" s="331"/>
      <c r="B800" s="331"/>
      <c r="C800" s="331"/>
      <c r="D800" s="331"/>
      <c r="E800" s="331"/>
      <c r="F800" s="331"/>
      <c r="G800" s="331"/>
      <c r="H800" s="331"/>
      <c r="I800" s="331"/>
      <c r="J800" s="339"/>
      <c r="K800" s="339"/>
      <c r="L800" s="339"/>
      <c r="M800" s="331"/>
      <c r="N800" s="303"/>
      <c r="O800" s="303"/>
      <c r="P800" s="303"/>
      <c r="Q800" s="303"/>
      <c r="R800" s="303"/>
      <c r="S800" s="303"/>
      <c r="T800" s="331"/>
      <c r="U800" s="331"/>
      <c r="V800" s="331"/>
      <c r="W800" s="331"/>
      <c r="X800" s="331"/>
      <c r="Y800" s="331"/>
      <c r="Z800" s="331"/>
    </row>
    <row r="801">
      <c r="A801" s="331"/>
      <c r="B801" s="331"/>
      <c r="C801" s="331"/>
      <c r="D801" s="331"/>
      <c r="E801" s="331"/>
      <c r="F801" s="331"/>
      <c r="G801" s="331"/>
      <c r="H801" s="331"/>
      <c r="I801" s="331"/>
      <c r="J801" s="339"/>
      <c r="K801" s="339"/>
      <c r="L801" s="339"/>
      <c r="M801" s="331"/>
      <c r="N801" s="303"/>
      <c r="O801" s="303"/>
      <c r="P801" s="303"/>
      <c r="Q801" s="303"/>
      <c r="R801" s="303"/>
      <c r="S801" s="303"/>
      <c r="T801" s="331"/>
      <c r="U801" s="331"/>
      <c r="V801" s="331"/>
      <c r="W801" s="331"/>
      <c r="X801" s="331"/>
      <c r="Y801" s="331"/>
      <c r="Z801" s="331"/>
    </row>
    <row r="802">
      <c r="A802" s="331"/>
      <c r="B802" s="331"/>
      <c r="C802" s="331"/>
      <c r="D802" s="331"/>
      <c r="E802" s="331"/>
      <c r="F802" s="331"/>
      <c r="G802" s="331"/>
      <c r="H802" s="331"/>
      <c r="I802" s="331"/>
      <c r="J802" s="339"/>
      <c r="K802" s="339"/>
      <c r="L802" s="339"/>
      <c r="M802" s="331"/>
      <c r="N802" s="303"/>
      <c r="O802" s="303"/>
      <c r="P802" s="303"/>
      <c r="Q802" s="303"/>
      <c r="R802" s="303"/>
      <c r="S802" s="303"/>
      <c r="T802" s="331"/>
      <c r="U802" s="331"/>
      <c r="V802" s="331"/>
      <c r="W802" s="331"/>
      <c r="X802" s="331"/>
      <c r="Y802" s="331"/>
      <c r="Z802" s="331"/>
    </row>
    <row r="803">
      <c r="A803" s="331"/>
      <c r="B803" s="331"/>
      <c r="C803" s="331"/>
      <c r="D803" s="331"/>
      <c r="E803" s="331"/>
      <c r="F803" s="331"/>
      <c r="G803" s="331"/>
      <c r="H803" s="331"/>
      <c r="I803" s="331"/>
      <c r="J803" s="339"/>
      <c r="K803" s="339"/>
      <c r="L803" s="339"/>
      <c r="M803" s="331"/>
      <c r="N803" s="303"/>
      <c r="O803" s="303"/>
      <c r="P803" s="303"/>
      <c r="Q803" s="303"/>
      <c r="R803" s="303"/>
      <c r="S803" s="303"/>
      <c r="T803" s="331"/>
      <c r="U803" s="331"/>
      <c r="V803" s="331"/>
      <c r="W803" s="331"/>
      <c r="X803" s="331"/>
      <c r="Y803" s="331"/>
      <c r="Z803" s="331"/>
    </row>
    <row r="804">
      <c r="A804" s="331"/>
      <c r="B804" s="331"/>
      <c r="C804" s="331"/>
      <c r="D804" s="331"/>
      <c r="E804" s="331"/>
      <c r="F804" s="331"/>
      <c r="G804" s="331"/>
      <c r="H804" s="331"/>
      <c r="I804" s="331"/>
      <c r="J804" s="339"/>
      <c r="K804" s="339"/>
      <c r="L804" s="339"/>
      <c r="M804" s="331"/>
      <c r="N804" s="303"/>
      <c r="O804" s="303"/>
      <c r="P804" s="303"/>
      <c r="Q804" s="303"/>
      <c r="R804" s="303"/>
      <c r="S804" s="303"/>
      <c r="T804" s="331"/>
      <c r="U804" s="331"/>
      <c r="V804" s="331"/>
      <c r="W804" s="331"/>
      <c r="X804" s="331"/>
      <c r="Y804" s="331"/>
      <c r="Z804" s="331"/>
    </row>
    <row r="805">
      <c r="A805" s="331"/>
      <c r="B805" s="331"/>
      <c r="C805" s="331"/>
      <c r="D805" s="331"/>
      <c r="E805" s="331"/>
      <c r="F805" s="331"/>
      <c r="G805" s="331"/>
      <c r="H805" s="331"/>
      <c r="I805" s="331"/>
      <c r="J805" s="339"/>
      <c r="K805" s="339"/>
      <c r="L805" s="339"/>
      <c r="M805" s="331"/>
      <c r="N805" s="303"/>
      <c r="O805" s="303"/>
      <c r="P805" s="303"/>
      <c r="Q805" s="303"/>
      <c r="R805" s="303"/>
      <c r="S805" s="303"/>
      <c r="T805" s="331"/>
      <c r="U805" s="331"/>
      <c r="V805" s="331"/>
      <c r="W805" s="331"/>
      <c r="X805" s="331"/>
      <c r="Y805" s="331"/>
      <c r="Z805" s="331"/>
    </row>
    <row r="806">
      <c r="A806" s="331"/>
      <c r="B806" s="331"/>
      <c r="C806" s="331"/>
      <c r="D806" s="331"/>
      <c r="E806" s="331"/>
      <c r="F806" s="331"/>
      <c r="G806" s="331"/>
      <c r="H806" s="331"/>
      <c r="I806" s="331"/>
      <c r="J806" s="339"/>
      <c r="K806" s="339"/>
      <c r="L806" s="339"/>
      <c r="M806" s="331"/>
      <c r="N806" s="303"/>
      <c r="O806" s="303"/>
      <c r="P806" s="303"/>
      <c r="Q806" s="303"/>
      <c r="R806" s="303"/>
      <c r="S806" s="303"/>
      <c r="T806" s="331"/>
      <c r="U806" s="331"/>
      <c r="V806" s="331"/>
      <c r="W806" s="331"/>
      <c r="X806" s="331"/>
      <c r="Y806" s="331"/>
      <c r="Z806" s="331"/>
    </row>
    <row r="807">
      <c r="A807" s="331"/>
      <c r="B807" s="331"/>
      <c r="C807" s="331"/>
      <c r="D807" s="331"/>
      <c r="E807" s="331"/>
      <c r="F807" s="331"/>
      <c r="G807" s="331"/>
      <c r="H807" s="331"/>
      <c r="I807" s="331"/>
      <c r="J807" s="339"/>
      <c r="K807" s="339"/>
      <c r="L807" s="339"/>
      <c r="M807" s="331"/>
      <c r="N807" s="303"/>
      <c r="O807" s="303"/>
      <c r="P807" s="303"/>
      <c r="Q807" s="303"/>
      <c r="R807" s="303"/>
      <c r="S807" s="303"/>
      <c r="T807" s="331"/>
      <c r="U807" s="331"/>
      <c r="V807" s="331"/>
      <c r="W807" s="331"/>
      <c r="X807" s="331"/>
      <c r="Y807" s="331"/>
      <c r="Z807" s="331"/>
    </row>
    <row r="808">
      <c r="A808" s="331"/>
      <c r="B808" s="331"/>
      <c r="C808" s="331"/>
      <c r="D808" s="331"/>
      <c r="E808" s="331"/>
      <c r="F808" s="331"/>
      <c r="G808" s="331"/>
      <c r="H808" s="331"/>
      <c r="I808" s="331"/>
      <c r="J808" s="339"/>
      <c r="K808" s="339"/>
      <c r="L808" s="339"/>
      <c r="M808" s="331"/>
      <c r="N808" s="303"/>
      <c r="O808" s="303"/>
      <c r="P808" s="303"/>
      <c r="Q808" s="303"/>
      <c r="R808" s="303"/>
      <c r="S808" s="303"/>
      <c r="T808" s="331"/>
      <c r="U808" s="331"/>
      <c r="V808" s="331"/>
      <c r="W808" s="331"/>
      <c r="X808" s="331"/>
      <c r="Y808" s="331"/>
      <c r="Z808" s="331"/>
    </row>
    <row r="809">
      <c r="A809" s="331"/>
      <c r="B809" s="331"/>
      <c r="C809" s="331"/>
      <c r="D809" s="331"/>
      <c r="E809" s="331"/>
      <c r="F809" s="331"/>
      <c r="G809" s="331"/>
      <c r="H809" s="331"/>
      <c r="I809" s="331"/>
      <c r="J809" s="339"/>
      <c r="K809" s="339"/>
      <c r="L809" s="339"/>
      <c r="M809" s="331"/>
      <c r="N809" s="303"/>
      <c r="O809" s="303"/>
      <c r="P809" s="303"/>
      <c r="Q809" s="303"/>
      <c r="R809" s="303"/>
      <c r="S809" s="303"/>
      <c r="T809" s="331"/>
      <c r="U809" s="331"/>
      <c r="V809" s="331"/>
      <c r="W809" s="331"/>
      <c r="X809" s="331"/>
      <c r="Y809" s="331"/>
      <c r="Z809" s="331"/>
    </row>
    <row r="810">
      <c r="A810" s="331"/>
      <c r="B810" s="331"/>
      <c r="C810" s="331"/>
      <c r="D810" s="331"/>
      <c r="E810" s="331"/>
      <c r="F810" s="331"/>
      <c r="G810" s="331"/>
      <c r="H810" s="331"/>
      <c r="I810" s="331"/>
      <c r="J810" s="339"/>
      <c r="K810" s="339"/>
      <c r="L810" s="339"/>
      <c r="M810" s="331"/>
      <c r="N810" s="303"/>
      <c r="O810" s="303"/>
      <c r="P810" s="303"/>
      <c r="Q810" s="303"/>
      <c r="R810" s="303"/>
      <c r="S810" s="303"/>
      <c r="T810" s="331"/>
      <c r="U810" s="331"/>
      <c r="V810" s="331"/>
      <c r="W810" s="331"/>
      <c r="X810" s="331"/>
      <c r="Y810" s="331"/>
      <c r="Z810" s="331"/>
    </row>
    <row r="811">
      <c r="A811" s="331"/>
      <c r="B811" s="331"/>
      <c r="C811" s="331"/>
      <c r="D811" s="331"/>
      <c r="E811" s="331"/>
      <c r="F811" s="331"/>
      <c r="G811" s="331"/>
      <c r="H811" s="331"/>
      <c r="I811" s="331"/>
      <c r="J811" s="339"/>
      <c r="K811" s="339"/>
      <c r="L811" s="339"/>
      <c r="M811" s="331"/>
      <c r="N811" s="303"/>
      <c r="O811" s="303"/>
      <c r="P811" s="303"/>
      <c r="Q811" s="303"/>
      <c r="R811" s="303"/>
      <c r="S811" s="303"/>
      <c r="T811" s="331"/>
      <c r="U811" s="331"/>
      <c r="V811" s="331"/>
      <c r="W811" s="331"/>
      <c r="X811" s="331"/>
      <c r="Y811" s="331"/>
      <c r="Z811" s="331"/>
    </row>
    <row r="812">
      <c r="A812" s="331"/>
      <c r="B812" s="331"/>
      <c r="C812" s="331"/>
      <c r="D812" s="331"/>
      <c r="E812" s="331"/>
      <c r="F812" s="331"/>
      <c r="G812" s="331"/>
      <c r="H812" s="331"/>
      <c r="I812" s="331"/>
      <c r="J812" s="339"/>
      <c r="K812" s="339"/>
      <c r="L812" s="339"/>
      <c r="M812" s="331"/>
      <c r="N812" s="303"/>
      <c r="O812" s="303"/>
      <c r="P812" s="303"/>
      <c r="Q812" s="303"/>
      <c r="R812" s="303"/>
      <c r="S812" s="303"/>
      <c r="T812" s="331"/>
      <c r="U812" s="331"/>
      <c r="V812" s="331"/>
      <c r="W812" s="331"/>
      <c r="X812" s="331"/>
      <c r="Y812" s="331"/>
      <c r="Z812" s="331"/>
    </row>
    <row r="813">
      <c r="A813" s="331"/>
      <c r="B813" s="331"/>
      <c r="C813" s="331"/>
      <c r="D813" s="331"/>
      <c r="E813" s="331"/>
      <c r="F813" s="331"/>
      <c r="G813" s="331"/>
      <c r="H813" s="331"/>
      <c r="I813" s="331"/>
      <c r="J813" s="339"/>
      <c r="K813" s="339"/>
      <c r="L813" s="339"/>
      <c r="M813" s="331"/>
      <c r="N813" s="303"/>
      <c r="O813" s="303"/>
      <c r="P813" s="303"/>
      <c r="Q813" s="303"/>
      <c r="R813" s="303"/>
      <c r="S813" s="303"/>
      <c r="T813" s="331"/>
      <c r="U813" s="331"/>
      <c r="V813" s="331"/>
      <c r="W813" s="331"/>
      <c r="X813" s="331"/>
      <c r="Y813" s="331"/>
      <c r="Z813" s="331"/>
    </row>
    <row r="814">
      <c r="A814" s="331"/>
      <c r="B814" s="331"/>
      <c r="C814" s="331"/>
      <c r="D814" s="331"/>
      <c r="E814" s="331"/>
      <c r="F814" s="331"/>
      <c r="G814" s="331"/>
      <c r="H814" s="331"/>
      <c r="I814" s="331"/>
      <c r="J814" s="339"/>
      <c r="K814" s="339"/>
      <c r="L814" s="339"/>
      <c r="M814" s="331"/>
      <c r="N814" s="303"/>
      <c r="O814" s="303"/>
      <c r="P814" s="303"/>
      <c r="Q814" s="303"/>
      <c r="R814" s="303"/>
      <c r="S814" s="303"/>
      <c r="T814" s="331"/>
      <c r="U814" s="331"/>
      <c r="V814" s="331"/>
      <c r="W814" s="331"/>
      <c r="X814" s="331"/>
      <c r="Y814" s="331"/>
      <c r="Z814" s="331"/>
    </row>
    <row r="815">
      <c r="A815" s="331"/>
      <c r="B815" s="331"/>
      <c r="C815" s="331"/>
      <c r="D815" s="331"/>
      <c r="E815" s="331"/>
      <c r="F815" s="331"/>
      <c r="G815" s="331"/>
      <c r="H815" s="331"/>
      <c r="I815" s="331"/>
      <c r="J815" s="339"/>
      <c r="K815" s="339"/>
      <c r="L815" s="339"/>
      <c r="M815" s="331"/>
      <c r="N815" s="303"/>
      <c r="O815" s="303"/>
      <c r="P815" s="303"/>
      <c r="Q815" s="303"/>
      <c r="R815" s="303"/>
      <c r="S815" s="303"/>
      <c r="T815" s="331"/>
      <c r="U815" s="331"/>
      <c r="V815" s="331"/>
      <c r="W815" s="331"/>
      <c r="X815" s="331"/>
      <c r="Y815" s="331"/>
      <c r="Z815" s="331"/>
    </row>
    <row r="816">
      <c r="A816" s="331"/>
      <c r="B816" s="331"/>
      <c r="C816" s="331"/>
      <c r="D816" s="331"/>
      <c r="E816" s="331"/>
      <c r="F816" s="331"/>
      <c r="G816" s="331"/>
      <c r="H816" s="331"/>
      <c r="I816" s="331"/>
      <c r="J816" s="339"/>
      <c r="K816" s="339"/>
      <c r="L816" s="339"/>
      <c r="M816" s="331"/>
      <c r="N816" s="303"/>
      <c r="O816" s="303"/>
      <c r="P816" s="303"/>
      <c r="Q816" s="303"/>
      <c r="R816" s="303"/>
      <c r="S816" s="303"/>
      <c r="T816" s="331"/>
      <c r="U816" s="331"/>
      <c r="V816" s="331"/>
      <c r="W816" s="331"/>
      <c r="X816" s="331"/>
      <c r="Y816" s="331"/>
      <c r="Z816" s="331"/>
    </row>
    <row r="817">
      <c r="A817" s="331"/>
      <c r="B817" s="331"/>
      <c r="C817" s="331"/>
      <c r="D817" s="331"/>
      <c r="E817" s="331"/>
      <c r="F817" s="331"/>
      <c r="G817" s="331"/>
      <c r="H817" s="331"/>
      <c r="I817" s="331"/>
      <c r="J817" s="339"/>
      <c r="K817" s="339"/>
      <c r="L817" s="339"/>
      <c r="M817" s="331"/>
      <c r="N817" s="303"/>
      <c r="O817" s="303"/>
      <c r="P817" s="303"/>
      <c r="Q817" s="303"/>
      <c r="R817" s="303"/>
      <c r="S817" s="303"/>
      <c r="T817" s="331"/>
      <c r="U817" s="331"/>
      <c r="V817" s="331"/>
      <c r="W817" s="331"/>
      <c r="X817" s="331"/>
      <c r="Y817" s="331"/>
      <c r="Z817" s="331"/>
    </row>
    <row r="818">
      <c r="A818" s="331"/>
      <c r="B818" s="331"/>
      <c r="C818" s="331"/>
      <c r="D818" s="331"/>
      <c r="E818" s="331"/>
      <c r="F818" s="331"/>
      <c r="G818" s="331"/>
      <c r="H818" s="331"/>
      <c r="I818" s="331"/>
      <c r="J818" s="339"/>
      <c r="K818" s="339"/>
      <c r="L818" s="339"/>
      <c r="M818" s="331"/>
      <c r="N818" s="303"/>
      <c r="O818" s="303"/>
      <c r="P818" s="303"/>
      <c r="Q818" s="303"/>
      <c r="R818" s="303"/>
      <c r="S818" s="303"/>
      <c r="T818" s="331"/>
      <c r="U818" s="331"/>
      <c r="V818" s="331"/>
      <c r="W818" s="331"/>
      <c r="X818" s="331"/>
      <c r="Y818" s="331"/>
      <c r="Z818" s="331"/>
    </row>
    <row r="819">
      <c r="A819" s="331"/>
      <c r="B819" s="331"/>
      <c r="C819" s="331"/>
      <c r="D819" s="331"/>
      <c r="E819" s="331"/>
      <c r="F819" s="331"/>
      <c r="G819" s="331"/>
      <c r="H819" s="331"/>
      <c r="I819" s="331"/>
      <c r="J819" s="339"/>
      <c r="K819" s="339"/>
      <c r="L819" s="339"/>
      <c r="M819" s="331"/>
      <c r="N819" s="303"/>
      <c r="O819" s="303"/>
      <c r="P819" s="303"/>
      <c r="Q819" s="303"/>
      <c r="R819" s="303"/>
      <c r="S819" s="303"/>
      <c r="T819" s="331"/>
      <c r="U819" s="331"/>
      <c r="V819" s="331"/>
      <c r="W819" s="331"/>
      <c r="X819" s="331"/>
      <c r="Y819" s="331"/>
      <c r="Z819" s="331"/>
    </row>
    <row r="820">
      <c r="A820" s="331"/>
      <c r="B820" s="331"/>
      <c r="C820" s="331"/>
      <c r="D820" s="331"/>
      <c r="E820" s="331"/>
      <c r="F820" s="331"/>
      <c r="G820" s="331"/>
      <c r="H820" s="331"/>
      <c r="I820" s="331"/>
      <c r="J820" s="339"/>
      <c r="K820" s="339"/>
      <c r="L820" s="339"/>
      <c r="M820" s="331"/>
      <c r="N820" s="303"/>
      <c r="O820" s="303"/>
      <c r="P820" s="303"/>
      <c r="Q820" s="303"/>
      <c r="R820" s="303"/>
      <c r="S820" s="303"/>
      <c r="T820" s="331"/>
      <c r="U820" s="331"/>
      <c r="V820" s="331"/>
      <c r="W820" s="331"/>
      <c r="X820" s="331"/>
      <c r="Y820" s="331"/>
      <c r="Z820" s="331"/>
    </row>
    <row r="821">
      <c r="A821" s="331"/>
      <c r="B821" s="331"/>
      <c r="C821" s="331"/>
      <c r="D821" s="331"/>
      <c r="E821" s="331"/>
      <c r="F821" s="331"/>
      <c r="G821" s="331"/>
      <c r="H821" s="331"/>
      <c r="I821" s="331"/>
      <c r="J821" s="339"/>
      <c r="K821" s="339"/>
      <c r="L821" s="339"/>
      <c r="M821" s="331"/>
      <c r="N821" s="303"/>
      <c r="O821" s="303"/>
      <c r="P821" s="303"/>
      <c r="Q821" s="303"/>
      <c r="R821" s="303"/>
      <c r="S821" s="303"/>
      <c r="T821" s="331"/>
      <c r="U821" s="331"/>
      <c r="V821" s="331"/>
      <c r="W821" s="331"/>
      <c r="X821" s="331"/>
      <c r="Y821" s="331"/>
      <c r="Z821" s="331"/>
    </row>
    <row r="822">
      <c r="A822" s="331"/>
      <c r="B822" s="331"/>
      <c r="C822" s="331"/>
      <c r="D822" s="331"/>
      <c r="E822" s="331"/>
      <c r="F822" s="331"/>
      <c r="G822" s="331"/>
      <c r="H822" s="331"/>
      <c r="I822" s="331"/>
      <c r="J822" s="339"/>
      <c r="K822" s="339"/>
      <c r="L822" s="339"/>
      <c r="M822" s="331"/>
      <c r="N822" s="303"/>
      <c r="O822" s="303"/>
      <c r="P822" s="303"/>
      <c r="Q822" s="303"/>
      <c r="R822" s="303"/>
      <c r="S822" s="303"/>
      <c r="T822" s="331"/>
      <c r="U822" s="331"/>
      <c r="V822" s="331"/>
      <c r="W822" s="331"/>
      <c r="X822" s="331"/>
      <c r="Y822" s="331"/>
      <c r="Z822" s="331"/>
    </row>
    <row r="823">
      <c r="A823" s="331"/>
      <c r="B823" s="331"/>
      <c r="C823" s="331"/>
      <c r="D823" s="331"/>
      <c r="E823" s="331"/>
      <c r="F823" s="331"/>
      <c r="G823" s="331"/>
      <c r="H823" s="331"/>
      <c r="I823" s="331"/>
      <c r="J823" s="339"/>
      <c r="K823" s="339"/>
      <c r="L823" s="339"/>
      <c r="M823" s="331"/>
      <c r="N823" s="303"/>
      <c r="O823" s="303"/>
      <c r="P823" s="303"/>
      <c r="Q823" s="303"/>
      <c r="R823" s="303"/>
      <c r="S823" s="303"/>
      <c r="T823" s="331"/>
      <c r="U823" s="331"/>
      <c r="V823" s="331"/>
      <c r="W823" s="331"/>
      <c r="X823" s="331"/>
      <c r="Y823" s="331"/>
      <c r="Z823" s="331"/>
    </row>
    <row r="824">
      <c r="A824" s="331"/>
      <c r="B824" s="331"/>
      <c r="C824" s="331"/>
      <c r="D824" s="331"/>
      <c r="E824" s="331"/>
      <c r="F824" s="331"/>
      <c r="G824" s="331"/>
      <c r="H824" s="331"/>
      <c r="I824" s="331"/>
      <c r="J824" s="339"/>
      <c r="K824" s="339"/>
      <c r="L824" s="339"/>
      <c r="M824" s="331"/>
      <c r="N824" s="303"/>
      <c r="O824" s="303"/>
      <c r="P824" s="303"/>
      <c r="Q824" s="303"/>
      <c r="R824" s="303"/>
      <c r="S824" s="303"/>
      <c r="T824" s="331"/>
      <c r="U824" s="331"/>
      <c r="V824" s="331"/>
      <c r="W824" s="331"/>
      <c r="X824" s="331"/>
      <c r="Y824" s="331"/>
      <c r="Z824" s="331"/>
    </row>
    <row r="825">
      <c r="A825" s="331"/>
      <c r="B825" s="331"/>
      <c r="C825" s="331"/>
      <c r="D825" s="331"/>
      <c r="E825" s="331"/>
      <c r="F825" s="331"/>
      <c r="G825" s="331"/>
      <c r="H825" s="331"/>
      <c r="I825" s="331"/>
      <c r="J825" s="339"/>
      <c r="K825" s="339"/>
      <c r="L825" s="339"/>
      <c r="M825" s="331"/>
      <c r="N825" s="303"/>
      <c r="O825" s="303"/>
      <c r="P825" s="303"/>
      <c r="Q825" s="303"/>
      <c r="R825" s="303"/>
      <c r="S825" s="303"/>
      <c r="T825" s="331"/>
      <c r="U825" s="331"/>
      <c r="V825" s="331"/>
      <c r="W825" s="331"/>
      <c r="X825" s="331"/>
      <c r="Y825" s="331"/>
      <c r="Z825" s="331"/>
    </row>
    <row r="826">
      <c r="A826" s="331"/>
      <c r="B826" s="331"/>
      <c r="C826" s="331"/>
      <c r="D826" s="331"/>
      <c r="E826" s="331"/>
      <c r="F826" s="331"/>
      <c r="G826" s="331"/>
      <c r="H826" s="331"/>
      <c r="I826" s="331"/>
      <c r="J826" s="339"/>
      <c r="K826" s="339"/>
      <c r="L826" s="339"/>
      <c r="M826" s="331"/>
      <c r="N826" s="303"/>
      <c r="O826" s="303"/>
      <c r="P826" s="303"/>
      <c r="Q826" s="303"/>
      <c r="R826" s="303"/>
      <c r="S826" s="303"/>
      <c r="T826" s="331"/>
      <c r="U826" s="331"/>
      <c r="V826" s="331"/>
      <c r="W826" s="331"/>
      <c r="X826" s="331"/>
      <c r="Y826" s="331"/>
      <c r="Z826" s="331"/>
    </row>
    <row r="827">
      <c r="A827" s="331"/>
      <c r="B827" s="331"/>
      <c r="C827" s="331"/>
      <c r="D827" s="331"/>
      <c r="E827" s="331"/>
      <c r="F827" s="331"/>
      <c r="G827" s="331"/>
      <c r="H827" s="331"/>
      <c r="I827" s="331"/>
      <c r="J827" s="339"/>
      <c r="K827" s="339"/>
      <c r="L827" s="339"/>
      <c r="M827" s="331"/>
      <c r="N827" s="303"/>
      <c r="O827" s="303"/>
      <c r="P827" s="303"/>
      <c r="Q827" s="303"/>
      <c r="R827" s="303"/>
      <c r="S827" s="303"/>
      <c r="T827" s="331"/>
      <c r="U827" s="331"/>
      <c r="V827" s="331"/>
      <c r="W827" s="331"/>
      <c r="X827" s="331"/>
      <c r="Y827" s="331"/>
      <c r="Z827" s="331"/>
    </row>
    <row r="828">
      <c r="A828" s="331"/>
      <c r="B828" s="331"/>
      <c r="C828" s="331"/>
      <c r="D828" s="331"/>
      <c r="E828" s="331"/>
      <c r="F828" s="331"/>
      <c r="G828" s="331"/>
      <c r="H828" s="331"/>
      <c r="I828" s="331"/>
      <c r="J828" s="339"/>
      <c r="K828" s="339"/>
      <c r="L828" s="339"/>
      <c r="M828" s="331"/>
      <c r="N828" s="303"/>
      <c r="O828" s="303"/>
      <c r="P828" s="303"/>
      <c r="Q828" s="303"/>
      <c r="R828" s="303"/>
      <c r="S828" s="303"/>
      <c r="T828" s="331"/>
      <c r="U828" s="331"/>
      <c r="V828" s="331"/>
      <c r="W828" s="331"/>
      <c r="X828" s="331"/>
      <c r="Y828" s="331"/>
      <c r="Z828" s="331"/>
    </row>
    <row r="829">
      <c r="A829" s="331"/>
      <c r="B829" s="331"/>
      <c r="C829" s="331"/>
      <c r="D829" s="331"/>
      <c r="E829" s="331"/>
      <c r="F829" s="331"/>
      <c r="G829" s="331"/>
      <c r="H829" s="331"/>
      <c r="I829" s="331"/>
      <c r="J829" s="339"/>
      <c r="K829" s="339"/>
      <c r="L829" s="339"/>
      <c r="M829" s="331"/>
      <c r="N829" s="303"/>
      <c r="O829" s="303"/>
      <c r="P829" s="303"/>
      <c r="Q829" s="303"/>
      <c r="R829" s="303"/>
      <c r="S829" s="303"/>
      <c r="T829" s="331"/>
      <c r="U829" s="331"/>
      <c r="V829" s="331"/>
      <c r="W829" s="331"/>
      <c r="X829" s="331"/>
      <c r="Y829" s="331"/>
      <c r="Z829" s="331"/>
    </row>
    <row r="830">
      <c r="A830" s="331"/>
      <c r="B830" s="331"/>
      <c r="C830" s="331"/>
      <c r="D830" s="331"/>
      <c r="E830" s="331"/>
      <c r="F830" s="331"/>
      <c r="G830" s="331"/>
      <c r="H830" s="331"/>
      <c r="I830" s="331"/>
      <c r="J830" s="339"/>
      <c r="K830" s="339"/>
      <c r="L830" s="339"/>
      <c r="M830" s="331"/>
      <c r="N830" s="303"/>
      <c r="O830" s="303"/>
      <c r="P830" s="303"/>
      <c r="Q830" s="303"/>
      <c r="R830" s="303"/>
      <c r="S830" s="303"/>
      <c r="T830" s="331"/>
      <c r="U830" s="331"/>
      <c r="V830" s="331"/>
      <c r="W830" s="331"/>
      <c r="X830" s="331"/>
      <c r="Y830" s="331"/>
      <c r="Z830" s="331"/>
    </row>
    <row r="831">
      <c r="A831" s="331"/>
      <c r="B831" s="331"/>
      <c r="C831" s="331"/>
      <c r="D831" s="331"/>
      <c r="E831" s="331"/>
      <c r="F831" s="331"/>
      <c r="G831" s="331"/>
      <c r="H831" s="331"/>
      <c r="I831" s="331"/>
      <c r="J831" s="339"/>
      <c r="K831" s="339"/>
      <c r="L831" s="339"/>
      <c r="M831" s="331"/>
      <c r="N831" s="303"/>
      <c r="O831" s="303"/>
      <c r="P831" s="303"/>
      <c r="Q831" s="303"/>
      <c r="R831" s="303"/>
      <c r="S831" s="303"/>
      <c r="T831" s="331"/>
      <c r="U831" s="331"/>
      <c r="V831" s="331"/>
      <c r="W831" s="331"/>
      <c r="X831" s="331"/>
      <c r="Y831" s="331"/>
      <c r="Z831" s="331"/>
    </row>
    <row r="832">
      <c r="A832" s="331"/>
      <c r="B832" s="331"/>
      <c r="C832" s="331"/>
      <c r="D832" s="331"/>
      <c r="E832" s="331"/>
      <c r="F832" s="331"/>
      <c r="G832" s="331"/>
      <c r="H832" s="331"/>
      <c r="I832" s="331"/>
      <c r="J832" s="339"/>
      <c r="K832" s="339"/>
      <c r="L832" s="339"/>
      <c r="M832" s="331"/>
      <c r="N832" s="303"/>
      <c r="O832" s="303"/>
      <c r="P832" s="303"/>
      <c r="Q832" s="303"/>
      <c r="R832" s="303"/>
      <c r="S832" s="303"/>
      <c r="T832" s="331"/>
      <c r="U832" s="331"/>
      <c r="V832" s="331"/>
      <c r="W832" s="331"/>
      <c r="X832" s="331"/>
      <c r="Y832" s="331"/>
      <c r="Z832" s="331"/>
    </row>
    <row r="833">
      <c r="A833" s="331"/>
      <c r="B833" s="331"/>
      <c r="C833" s="331"/>
      <c r="D833" s="331"/>
      <c r="E833" s="331"/>
      <c r="F833" s="331"/>
      <c r="G833" s="331"/>
      <c r="H833" s="331"/>
      <c r="I833" s="331"/>
      <c r="J833" s="339"/>
      <c r="K833" s="339"/>
      <c r="L833" s="339"/>
      <c r="M833" s="331"/>
      <c r="N833" s="303"/>
      <c r="O833" s="303"/>
      <c r="P833" s="303"/>
      <c r="Q833" s="303"/>
      <c r="R833" s="303"/>
      <c r="S833" s="303"/>
      <c r="T833" s="331"/>
      <c r="U833" s="331"/>
      <c r="V833" s="331"/>
      <c r="W833" s="331"/>
      <c r="X833" s="331"/>
      <c r="Y833" s="331"/>
      <c r="Z833" s="331"/>
    </row>
    <row r="834">
      <c r="A834" s="331"/>
      <c r="B834" s="331"/>
      <c r="C834" s="331"/>
      <c r="D834" s="331"/>
      <c r="E834" s="331"/>
      <c r="F834" s="331"/>
      <c r="G834" s="331"/>
      <c r="H834" s="331"/>
      <c r="I834" s="331"/>
      <c r="J834" s="339"/>
      <c r="K834" s="339"/>
      <c r="L834" s="339"/>
      <c r="M834" s="331"/>
      <c r="N834" s="303"/>
      <c r="O834" s="303"/>
      <c r="P834" s="303"/>
      <c r="Q834" s="303"/>
      <c r="R834" s="303"/>
      <c r="S834" s="303"/>
      <c r="T834" s="331"/>
      <c r="U834" s="331"/>
      <c r="V834" s="331"/>
      <c r="W834" s="331"/>
      <c r="X834" s="331"/>
      <c r="Y834" s="331"/>
      <c r="Z834" s="331"/>
    </row>
    <row r="835">
      <c r="A835" s="331"/>
      <c r="B835" s="331"/>
      <c r="C835" s="331"/>
      <c r="D835" s="331"/>
      <c r="E835" s="331"/>
      <c r="F835" s="331"/>
      <c r="G835" s="331"/>
      <c r="H835" s="331"/>
      <c r="I835" s="331"/>
      <c r="J835" s="339"/>
      <c r="K835" s="339"/>
      <c r="L835" s="339"/>
      <c r="M835" s="331"/>
      <c r="N835" s="303"/>
      <c r="O835" s="303"/>
      <c r="P835" s="303"/>
      <c r="Q835" s="303"/>
      <c r="R835" s="303"/>
      <c r="S835" s="303"/>
      <c r="T835" s="331"/>
      <c r="U835" s="331"/>
      <c r="V835" s="331"/>
      <c r="W835" s="331"/>
      <c r="X835" s="331"/>
      <c r="Y835" s="331"/>
      <c r="Z835" s="331"/>
    </row>
    <row r="836">
      <c r="A836" s="331"/>
      <c r="B836" s="331"/>
      <c r="C836" s="331"/>
      <c r="D836" s="331"/>
      <c r="E836" s="331"/>
      <c r="F836" s="331"/>
      <c r="G836" s="331"/>
      <c r="H836" s="331"/>
      <c r="I836" s="331"/>
      <c r="J836" s="339"/>
      <c r="K836" s="339"/>
      <c r="L836" s="339"/>
      <c r="M836" s="331"/>
      <c r="N836" s="303"/>
      <c r="O836" s="303"/>
      <c r="P836" s="303"/>
      <c r="Q836" s="303"/>
      <c r="R836" s="303"/>
      <c r="S836" s="303"/>
      <c r="T836" s="331"/>
      <c r="U836" s="331"/>
      <c r="V836" s="331"/>
      <c r="W836" s="331"/>
      <c r="X836" s="331"/>
      <c r="Y836" s="331"/>
      <c r="Z836" s="331"/>
    </row>
    <row r="837">
      <c r="A837" s="331"/>
      <c r="B837" s="331"/>
      <c r="C837" s="331"/>
      <c r="D837" s="331"/>
      <c r="E837" s="331"/>
      <c r="F837" s="331"/>
      <c r="G837" s="331"/>
      <c r="H837" s="331"/>
      <c r="I837" s="331"/>
      <c r="J837" s="339"/>
      <c r="K837" s="339"/>
      <c r="L837" s="339"/>
      <c r="M837" s="331"/>
      <c r="N837" s="303"/>
      <c r="O837" s="303"/>
      <c r="P837" s="303"/>
      <c r="Q837" s="303"/>
      <c r="R837" s="303"/>
      <c r="S837" s="303"/>
      <c r="T837" s="331"/>
      <c r="U837" s="331"/>
      <c r="V837" s="331"/>
      <c r="W837" s="331"/>
      <c r="X837" s="331"/>
      <c r="Y837" s="331"/>
      <c r="Z837" s="331"/>
    </row>
    <row r="838">
      <c r="A838" s="331"/>
      <c r="B838" s="331"/>
      <c r="C838" s="331"/>
      <c r="D838" s="331"/>
      <c r="E838" s="331"/>
      <c r="F838" s="331"/>
      <c r="G838" s="331"/>
      <c r="H838" s="331"/>
      <c r="I838" s="331"/>
      <c r="J838" s="339"/>
      <c r="K838" s="339"/>
      <c r="L838" s="339"/>
      <c r="M838" s="331"/>
      <c r="N838" s="303"/>
      <c r="O838" s="303"/>
      <c r="P838" s="303"/>
      <c r="Q838" s="303"/>
      <c r="R838" s="303"/>
      <c r="S838" s="303"/>
      <c r="T838" s="331"/>
      <c r="U838" s="331"/>
      <c r="V838" s="331"/>
      <c r="W838" s="331"/>
      <c r="X838" s="331"/>
      <c r="Y838" s="331"/>
      <c r="Z838" s="331"/>
    </row>
    <row r="839">
      <c r="A839" s="331"/>
      <c r="B839" s="331"/>
      <c r="C839" s="331"/>
      <c r="D839" s="331"/>
      <c r="E839" s="331"/>
      <c r="F839" s="331"/>
      <c r="G839" s="331"/>
      <c r="H839" s="331"/>
      <c r="I839" s="331"/>
      <c r="J839" s="339"/>
      <c r="K839" s="339"/>
      <c r="L839" s="339"/>
      <c r="M839" s="331"/>
      <c r="N839" s="303"/>
      <c r="O839" s="303"/>
      <c r="P839" s="303"/>
      <c r="Q839" s="303"/>
      <c r="R839" s="303"/>
      <c r="S839" s="303"/>
      <c r="T839" s="331"/>
      <c r="U839" s="331"/>
      <c r="V839" s="331"/>
      <c r="W839" s="331"/>
      <c r="X839" s="331"/>
      <c r="Y839" s="331"/>
      <c r="Z839" s="331"/>
    </row>
    <row r="840">
      <c r="A840" s="331"/>
      <c r="B840" s="331"/>
      <c r="C840" s="331"/>
      <c r="D840" s="331"/>
      <c r="E840" s="331"/>
      <c r="F840" s="331"/>
      <c r="G840" s="331"/>
      <c r="H840" s="331"/>
      <c r="I840" s="331"/>
      <c r="J840" s="339"/>
      <c r="K840" s="339"/>
      <c r="L840" s="339"/>
      <c r="M840" s="331"/>
      <c r="N840" s="303"/>
      <c r="O840" s="303"/>
      <c r="P840" s="303"/>
      <c r="Q840" s="303"/>
      <c r="R840" s="303"/>
      <c r="S840" s="303"/>
      <c r="T840" s="331"/>
      <c r="U840" s="331"/>
      <c r="V840" s="331"/>
      <c r="W840" s="331"/>
      <c r="X840" s="331"/>
      <c r="Y840" s="331"/>
      <c r="Z840" s="331"/>
    </row>
    <row r="841">
      <c r="A841" s="331"/>
      <c r="B841" s="331"/>
      <c r="C841" s="331"/>
      <c r="D841" s="331"/>
      <c r="E841" s="331"/>
      <c r="F841" s="331"/>
      <c r="G841" s="331"/>
      <c r="H841" s="331"/>
      <c r="I841" s="331"/>
      <c r="J841" s="339"/>
      <c r="K841" s="339"/>
      <c r="L841" s="339"/>
      <c r="M841" s="331"/>
      <c r="N841" s="303"/>
      <c r="O841" s="303"/>
      <c r="P841" s="303"/>
      <c r="Q841" s="303"/>
      <c r="R841" s="303"/>
      <c r="S841" s="303"/>
      <c r="T841" s="331"/>
      <c r="U841" s="331"/>
      <c r="V841" s="331"/>
      <c r="W841" s="331"/>
      <c r="X841" s="331"/>
      <c r="Y841" s="331"/>
      <c r="Z841" s="331"/>
    </row>
    <row r="842">
      <c r="A842" s="331"/>
      <c r="B842" s="331"/>
      <c r="C842" s="331"/>
      <c r="D842" s="331"/>
      <c r="E842" s="331"/>
      <c r="F842" s="331"/>
      <c r="G842" s="331"/>
      <c r="H842" s="331"/>
      <c r="I842" s="331"/>
      <c r="J842" s="339"/>
      <c r="K842" s="339"/>
      <c r="L842" s="339"/>
      <c r="M842" s="331"/>
      <c r="N842" s="303"/>
      <c r="O842" s="303"/>
      <c r="P842" s="303"/>
      <c r="Q842" s="303"/>
      <c r="R842" s="303"/>
      <c r="S842" s="303"/>
      <c r="T842" s="331"/>
      <c r="U842" s="331"/>
      <c r="V842" s="331"/>
      <c r="W842" s="331"/>
      <c r="X842" s="331"/>
      <c r="Y842" s="331"/>
      <c r="Z842" s="331"/>
    </row>
    <row r="843">
      <c r="A843" s="331"/>
      <c r="B843" s="331"/>
      <c r="C843" s="331"/>
      <c r="D843" s="331"/>
      <c r="E843" s="331"/>
      <c r="F843" s="331"/>
      <c r="G843" s="331"/>
      <c r="H843" s="331"/>
      <c r="I843" s="331"/>
      <c r="J843" s="339"/>
      <c r="K843" s="339"/>
      <c r="L843" s="339"/>
      <c r="M843" s="331"/>
      <c r="N843" s="303"/>
      <c r="O843" s="303"/>
      <c r="P843" s="303"/>
      <c r="Q843" s="303"/>
      <c r="R843" s="303"/>
      <c r="S843" s="303"/>
      <c r="T843" s="331"/>
      <c r="U843" s="331"/>
      <c r="V843" s="331"/>
      <c r="W843" s="331"/>
      <c r="X843" s="331"/>
      <c r="Y843" s="331"/>
      <c r="Z843" s="331"/>
    </row>
    <row r="844">
      <c r="A844" s="331"/>
      <c r="B844" s="331"/>
      <c r="C844" s="331"/>
      <c r="D844" s="331"/>
      <c r="E844" s="331"/>
      <c r="F844" s="331"/>
      <c r="G844" s="331"/>
      <c r="H844" s="331"/>
      <c r="I844" s="331"/>
      <c r="J844" s="339"/>
      <c r="K844" s="339"/>
      <c r="L844" s="339"/>
      <c r="M844" s="331"/>
      <c r="N844" s="303"/>
      <c r="O844" s="303"/>
      <c r="P844" s="303"/>
      <c r="Q844" s="303"/>
      <c r="R844" s="303"/>
      <c r="S844" s="303"/>
      <c r="T844" s="331"/>
      <c r="U844" s="331"/>
      <c r="V844" s="331"/>
      <c r="W844" s="331"/>
      <c r="X844" s="331"/>
      <c r="Y844" s="331"/>
      <c r="Z844" s="331"/>
    </row>
    <row r="845">
      <c r="A845" s="331"/>
      <c r="B845" s="331"/>
      <c r="C845" s="331"/>
      <c r="D845" s="331"/>
      <c r="E845" s="331"/>
      <c r="F845" s="331"/>
      <c r="G845" s="331"/>
      <c r="H845" s="331"/>
      <c r="I845" s="331"/>
      <c r="J845" s="339"/>
      <c r="K845" s="339"/>
      <c r="L845" s="339"/>
      <c r="M845" s="331"/>
      <c r="N845" s="303"/>
      <c r="O845" s="303"/>
      <c r="P845" s="303"/>
      <c r="Q845" s="303"/>
      <c r="R845" s="303"/>
      <c r="S845" s="303"/>
      <c r="T845" s="331"/>
      <c r="U845" s="331"/>
      <c r="V845" s="331"/>
      <c r="W845" s="331"/>
      <c r="X845" s="331"/>
      <c r="Y845" s="331"/>
      <c r="Z845" s="331"/>
    </row>
    <row r="846">
      <c r="A846" s="331"/>
      <c r="B846" s="331"/>
      <c r="C846" s="331"/>
      <c r="D846" s="331"/>
      <c r="E846" s="331"/>
      <c r="F846" s="331"/>
      <c r="G846" s="331"/>
      <c r="H846" s="331"/>
      <c r="I846" s="331"/>
      <c r="J846" s="339"/>
      <c r="K846" s="339"/>
      <c r="L846" s="339"/>
      <c r="M846" s="331"/>
      <c r="N846" s="303"/>
      <c r="O846" s="303"/>
      <c r="P846" s="303"/>
      <c r="Q846" s="303"/>
      <c r="R846" s="303"/>
      <c r="S846" s="303"/>
      <c r="T846" s="331"/>
      <c r="U846" s="331"/>
      <c r="V846" s="331"/>
      <c r="W846" s="331"/>
      <c r="X846" s="331"/>
      <c r="Y846" s="331"/>
      <c r="Z846" s="331"/>
    </row>
    <row r="847">
      <c r="A847" s="331"/>
      <c r="B847" s="331"/>
      <c r="C847" s="331"/>
      <c r="D847" s="331"/>
      <c r="E847" s="331"/>
      <c r="F847" s="331"/>
      <c r="G847" s="331"/>
      <c r="H847" s="331"/>
      <c r="I847" s="331"/>
      <c r="J847" s="339"/>
      <c r="K847" s="339"/>
      <c r="L847" s="339"/>
      <c r="M847" s="331"/>
      <c r="N847" s="303"/>
      <c r="O847" s="303"/>
      <c r="P847" s="303"/>
      <c r="Q847" s="303"/>
      <c r="R847" s="303"/>
      <c r="S847" s="303"/>
      <c r="T847" s="331"/>
      <c r="U847" s="331"/>
      <c r="V847" s="331"/>
      <c r="W847" s="331"/>
      <c r="X847" s="331"/>
      <c r="Y847" s="331"/>
      <c r="Z847" s="331"/>
    </row>
    <row r="848">
      <c r="A848" s="331"/>
      <c r="B848" s="331"/>
      <c r="C848" s="331"/>
      <c r="D848" s="331"/>
      <c r="E848" s="331"/>
      <c r="F848" s="331"/>
      <c r="G848" s="331"/>
      <c r="H848" s="331"/>
      <c r="I848" s="331"/>
      <c r="J848" s="339"/>
      <c r="K848" s="339"/>
      <c r="L848" s="339"/>
      <c r="M848" s="331"/>
      <c r="N848" s="303"/>
      <c r="O848" s="303"/>
      <c r="P848" s="303"/>
      <c r="Q848" s="303"/>
      <c r="R848" s="303"/>
      <c r="S848" s="303"/>
      <c r="T848" s="331"/>
      <c r="U848" s="331"/>
      <c r="V848" s="331"/>
      <c r="W848" s="331"/>
      <c r="X848" s="331"/>
      <c r="Y848" s="331"/>
      <c r="Z848" s="331"/>
    </row>
    <row r="849">
      <c r="A849" s="331"/>
      <c r="B849" s="331"/>
      <c r="C849" s="331"/>
      <c r="D849" s="331"/>
      <c r="E849" s="331"/>
      <c r="F849" s="331"/>
      <c r="G849" s="331"/>
      <c r="H849" s="331"/>
      <c r="I849" s="331"/>
      <c r="J849" s="339"/>
      <c r="K849" s="339"/>
      <c r="L849" s="339"/>
      <c r="M849" s="331"/>
      <c r="N849" s="303"/>
      <c r="O849" s="303"/>
      <c r="P849" s="303"/>
      <c r="Q849" s="303"/>
      <c r="R849" s="303"/>
      <c r="S849" s="303"/>
      <c r="T849" s="331"/>
      <c r="U849" s="331"/>
      <c r="V849" s="331"/>
      <c r="W849" s="331"/>
      <c r="X849" s="331"/>
      <c r="Y849" s="331"/>
      <c r="Z849" s="331"/>
    </row>
    <row r="850">
      <c r="A850" s="331"/>
      <c r="B850" s="331"/>
      <c r="C850" s="331"/>
      <c r="D850" s="331"/>
      <c r="E850" s="331"/>
      <c r="F850" s="331"/>
      <c r="G850" s="331"/>
      <c r="H850" s="331"/>
      <c r="I850" s="331"/>
      <c r="J850" s="339"/>
      <c r="K850" s="339"/>
      <c r="L850" s="339"/>
      <c r="M850" s="331"/>
      <c r="N850" s="303"/>
      <c r="O850" s="303"/>
      <c r="P850" s="303"/>
      <c r="Q850" s="303"/>
      <c r="R850" s="303"/>
      <c r="S850" s="303"/>
      <c r="T850" s="331"/>
      <c r="U850" s="331"/>
      <c r="V850" s="331"/>
      <c r="W850" s="331"/>
      <c r="X850" s="331"/>
      <c r="Y850" s="331"/>
      <c r="Z850" s="331"/>
    </row>
    <row r="851">
      <c r="A851" s="331"/>
      <c r="B851" s="331"/>
      <c r="C851" s="331"/>
      <c r="D851" s="331"/>
      <c r="E851" s="331"/>
      <c r="F851" s="331"/>
      <c r="G851" s="331"/>
      <c r="H851" s="331"/>
      <c r="I851" s="331"/>
      <c r="J851" s="339"/>
      <c r="K851" s="339"/>
      <c r="L851" s="339"/>
      <c r="M851" s="331"/>
      <c r="N851" s="303"/>
      <c r="O851" s="303"/>
      <c r="P851" s="303"/>
      <c r="Q851" s="303"/>
      <c r="R851" s="303"/>
      <c r="S851" s="303"/>
      <c r="T851" s="331"/>
      <c r="U851" s="331"/>
      <c r="V851" s="331"/>
      <c r="W851" s="331"/>
      <c r="X851" s="331"/>
      <c r="Y851" s="331"/>
      <c r="Z851" s="331"/>
    </row>
    <row r="852">
      <c r="A852" s="331"/>
      <c r="B852" s="331"/>
      <c r="C852" s="331"/>
      <c r="D852" s="331"/>
      <c r="E852" s="331"/>
      <c r="F852" s="331"/>
      <c r="G852" s="331"/>
      <c r="H852" s="331"/>
      <c r="I852" s="331"/>
      <c r="J852" s="339"/>
      <c r="K852" s="339"/>
      <c r="L852" s="339"/>
      <c r="M852" s="331"/>
      <c r="N852" s="303"/>
      <c r="O852" s="303"/>
      <c r="P852" s="303"/>
      <c r="Q852" s="303"/>
      <c r="R852" s="303"/>
      <c r="S852" s="303"/>
      <c r="T852" s="331"/>
      <c r="U852" s="331"/>
      <c r="V852" s="331"/>
      <c r="W852" s="331"/>
      <c r="X852" s="331"/>
      <c r="Y852" s="331"/>
      <c r="Z852" s="331"/>
    </row>
    <row r="853">
      <c r="A853" s="331"/>
      <c r="B853" s="331"/>
      <c r="C853" s="331"/>
      <c r="D853" s="331"/>
      <c r="E853" s="331"/>
      <c r="F853" s="331"/>
      <c r="G853" s="331"/>
      <c r="H853" s="331"/>
      <c r="I853" s="331"/>
      <c r="J853" s="339"/>
      <c r="K853" s="339"/>
      <c r="L853" s="339"/>
      <c r="M853" s="331"/>
      <c r="N853" s="303"/>
      <c r="O853" s="303"/>
      <c r="P853" s="303"/>
      <c r="Q853" s="303"/>
      <c r="R853" s="303"/>
      <c r="S853" s="303"/>
      <c r="T853" s="331"/>
      <c r="U853" s="331"/>
      <c r="V853" s="331"/>
      <c r="W853" s="331"/>
      <c r="X853" s="331"/>
      <c r="Y853" s="331"/>
      <c r="Z853" s="331"/>
    </row>
    <row r="854">
      <c r="A854" s="331"/>
      <c r="B854" s="331"/>
      <c r="C854" s="331"/>
      <c r="D854" s="331"/>
      <c r="E854" s="331"/>
      <c r="F854" s="331"/>
      <c r="G854" s="331"/>
      <c r="H854" s="331"/>
      <c r="I854" s="331"/>
      <c r="J854" s="339"/>
      <c r="K854" s="339"/>
      <c r="L854" s="339"/>
      <c r="M854" s="331"/>
      <c r="N854" s="303"/>
      <c r="O854" s="303"/>
      <c r="P854" s="303"/>
      <c r="Q854" s="303"/>
      <c r="R854" s="303"/>
      <c r="S854" s="303"/>
      <c r="T854" s="331"/>
      <c r="U854" s="331"/>
      <c r="V854" s="331"/>
      <c r="W854" s="331"/>
      <c r="X854" s="331"/>
      <c r="Y854" s="331"/>
      <c r="Z854" s="331"/>
    </row>
    <row r="855">
      <c r="A855" s="331"/>
      <c r="B855" s="331"/>
      <c r="C855" s="331"/>
      <c r="D855" s="331"/>
      <c r="E855" s="331"/>
      <c r="F855" s="331"/>
      <c r="G855" s="331"/>
      <c r="H855" s="331"/>
      <c r="I855" s="331"/>
      <c r="J855" s="339"/>
      <c r="K855" s="339"/>
      <c r="L855" s="339"/>
      <c r="M855" s="331"/>
      <c r="N855" s="303"/>
      <c r="O855" s="303"/>
      <c r="P855" s="303"/>
      <c r="Q855" s="303"/>
      <c r="R855" s="303"/>
      <c r="S855" s="303"/>
      <c r="T855" s="331"/>
      <c r="U855" s="331"/>
      <c r="V855" s="331"/>
      <c r="W855" s="331"/>
      <c r="X855" s="331"/>
      <c r="Y855" s="331"/>
      <c r="Z855" s="331"/>
    </row>
    <row r="856">
      <c r="A856" s="331"/>
      <c r="B856" s="331"/>
      <c r="C856" s="331"/>
      <c r="D856" s="331"/>
      <c r="E856" s="331"/>
      <c r="F856" s="331"/>
      <c r="G856" s="331"/>
      <c r="H856" s="331"/>
      <c r="I856" s="331"/>
      <c r="J856" s="339"/>
      <c r="K856" s="339"/>
      <c r="L856" s="339"/>
      <c r="M856" s="331"/>
      <c r="N856" s="303"/>
      <c r="O856" s="303"/>
      <c r="P856" s="303"/>
      <c r="Q856" s="303"/>
      <c r="R856" s="303"/>
      <c r="S856" s="303"/>
      <c r="T856" s="331"/>
      <c r="U856" s="331"/>
      <c r="V856" s="331"/>
      <c r="W856" s="331"/>
      <c r="X856" s="331"/>
      <c r="Y856" s="331"/>
      <c r="Z856" s="331"/>
    </row>
    <row r="857">
      <c r="A857" s="331"/>
      <c r="B857" s="331"/>
      <c r="C857" s="331"/>
      <c r="D857" s="331"/>
      <c r="E857" s="331"/>
      <c r="F857" s="331"/>
      <c r="G857" s="331"/>
      <c r="H857" s="331"/>
      <c r="I857" s="331"/>
      <c r="J857" s="339"/>
      <c r="K857" s="339"/>
      <c r="L857" s="339"/>
      <c r="M857" s="331"/>
      <c r="N857" s="303"/>
      <c r="O857" s="303"/>
      <c r="P857" s="303"/>
      <c r="Q857" s="303"/>
      <c r="R857" s="303"/>
      <c r="S857" s="303"/>
      <c r="T857" s="331"/>
      <c r="U857" s="331"/>
      <c r="V857" s="331"/>
      <c r="W857" s="331"/>
      <c r="X857" s="331"/>
      <c r="Y857" s="331"/>
      <c r="Z857" s="331"/>
    </row>
    <row r="858">
      <c r="A858" s="331"/>
      <c r="B858" s="331"/>
      <c r="C858" s="331"/>
      <c r="D858" s="331"/>
      <c r="E858" s="331"/>
      <c r="F858" s="331"/>
      <c r="G858" s="331"/>
      <c r="H858" s="331"/>
      <c r="I858" s="331"/>
      <c r="J858" s="339"/>
      <c r="K858" s="339"/>
      <c r="L858" s="339"/>
      <c r="M858" s="331"/>
      <c r="N858" s="303"/>
      <c r="O858" s="303"/>
      <c r="P858" s="303"/>
      <c r="Q858" s="303"/>
      <c r="R858" s="303"/>
      <c r="S858" s="303"/>
      <c r="T858" s="331"/>
      <c r="U858" s="331"/>
      <c r="V858" s="331"/>
      <c r="W858" s="331"/>
      <c r="X858" s="331"/>
      <c r="Y858" s="331"/>
      <c r="Z858" s="331"/>
    </row>
    <row r="859">
      <c r="A859" s="331"/>
      <c r="B859" s="331"/>
      <c r="C859" s="331"/>
      <c r="D859" s="331"/>
      <c r="E859" s="331"/>
      <c r="F859" s="331"/>
      <c r="G859" s="331"/>
      <c r="H859" s="331"/>
      <c r="I859" s="331"/>
      <c r="J859" s="339"/>
      <c r="K859" s="339"/>
      <c r="L859" s="339"/>
      <c r="M859" s="331"/>
      <c r="N859" s="303"/>
      <c r="O859" s="303"/>
      <c r="P859" s="303"/>
      <c r="Q859" s="303"/>
      <c r="R859" s="303"/>
      <c r="S859" s="303"/>
      <c r="T859" s="331"/>
      <c r="U859" s="331"/>
      <c r="V859" s="331"/>
      <c r="W859" s="331"/>
      <c r="X859" s="331"/>
      <c r="Y859" s="331"/>
      <c r="Z859" s="331"/>
    </row>
    <row r="860">
      <c r="A860" s="331"/>
      <c r="B860" s="331"/>
      <c r="C860" s="331"/>
      <c r="D860" s="331"/>
      <c r="E860" s="331"/>
      <c r="F860" s="331"/>
      <c r="G860" s="331"/>
      <c r="H860" s="331"/>
      <c r="I860" s="331"/>
      <c r="J860" s="339"/>
      <c r="K860" s="339"/>
      <c r="L860" s="339"/>
      <c r="M860" s="331"/>
      <c r="N860" s="303"/>
      <c r="O860" s="303"/>
      <c r="P860" s="303"/>
      <c r="Q860" s="303"/>
      <c r="R860" s="303"/>
      <c r="S860" s="303"/>
      <c r="T860" s="331"/>
      <c r="U860" s="331"/>
      <c r="V860" s="331"/>
      <c r="W860" s="331"/>
      <c r="X860" s="331"/>
      <c r="Y860" s="331"/>
      <c r="Z860" s="331"/>
    </row>
    <row r="861">
      <c r="A861" s="331"/>
      <c r="B861" s="331"/>
      <c r="C861" s="331"/>
      <c r="D861" s="331"/>
      <c r="E861" s="331"/>
      <c r="F861" s="331"/>
      <c r="G861" s="331"/>
      <c r="H861" s="331"/>
      <c r="I861" s="331"/>
      <c r="J861" s="339"/>
      <c r="K861" s="339"/>
      <c r="L861" s="339"/>
      <c r="M861" s="331"/>
      <c r="N861" s="303"/>
      <c r="O861" s="303"/>
      <c r="P861" s="303"/>
      <c r="Q861" s="303"/>
      <c r="R861" s="303"/>
      <c r="S861" s="303"/>
      <c r="T861" s="331"/>
      <c r="U861" s="331"/>
      <c r="V861" s="331"/>
      <c r="W861" s="331"/>
      <c r="X861" s="331"/>
      <c r="Y861" s="331"/>
      <c r="Z861" s="331"/>
    </row>
    <row r="862">
      <c r="A862" s="331"/>
      <c r="B862" s="331"/>
      <c r="C862" s="331"/>
      <c r="D862" s="331"/>
      <c r="E862" s="331"/>
      <c r="F862" s="331"/>
      <c r="G862" s="331"/>
      <c r="H862" s="331"/>
      <c r="I862" s="331"/>
      <c r="J862" s="339"/>
      <c r="K862" s="339"/>
      <c r="L862" s="339"/>
      <c r="M862" s="331"/>
      <c r="N862" s="303"/>
      <c r="O862" s="303"/>
      <c r="P862" s="303"/>
      <c r="Q862" s="303"/>
      <c r="R862" s="303"/>
      <c r="S862" s="303"/>
      <c r="T862" s="331"/>
      <c r="U862" s="331"/>
      <c r="V862" s="331"/>
      <c r="W862" s="331"/>
      <c r="X862" s="331"/>
      <c r="Y862" s="331"/>
      <c r="Z862" s="331"/>
    </row>
    <row r="863">
      <c r="A863" s="331"/>
      <c r="B863" s="331"/>
      <c r="C863" s="331"/>
      <c r="D863" s="331"/>
      <c r="E863" s="331"/>
      <c r="F863" s="331"/>
      <c r="G863" s="331"/>
      <c r="H863" s="331"/>
      <c r="I863" s="331"/>
      <c r="J863" s="339"/>
      <c r="K863" s="339"/>
      <c r="L863" s="339"/>
      <c r="M863" s="331"/>
      <c r="N863" s="303"/>
      <c r="O863" s="303"/>
      <c r="P863" s="303"/>
      <c r="Q863" s="303"/>
      <c r="R863" s="303"/>
      <c r="S863" s="303"/>
      <c r="T863" s="331"/>
      <c r="U863" s="331"/>
      <c r="V863" s="331"/>
      <c r="W863" s="331"/>
      <c r="X863" s="331"/>
      <c r="Y863" s="331"/>
      <c r="Z863" s="331"/>
    </row>
    <row r="864">
      <c r="A864" s="331"/>
      <c r="B864" s="331"/>
      <c r="C864" s="331"/>
      <c r="D864" s="331"/>
      <c r="E864" s="331"/>
      <c r="F864" s="331"/>
      <c r="G864" s="331"/>
      <c r="H864" s="331"/>
      <c r="I864" s="331"/>
      <c r="J864" s="339"/>
      <c r="K864" s="339"/>
      <c r="L864" s="339"/>
      <c r="M864" s="331"/>
      <c r="N864" s="303"/>
      <c r="O864" s="303"/>
      <c r="P864" s="303"/>
      <c r="Q864" s="303"/>
      <c r="R864" s="303"/>
      <c r="S864" s="303"/>
      <c r="T864" s="331"/>
      <c r="U864" s="331"/>
      <c r="V864" s="331"/>
      <c r="W864" s="331"/>
      <c r="X864" s="331"/>
      <c r="Y864" s="331"/>
      <c r="Z864" s="331"/>
    </row>
    <row r="865">
      <c r="A865" s="331"/>
      <c r="B865" s="331"/>
      <c r="C865" s="331"/>
      <c r="D865" s="331"/>
      <c r="E865" s="331"/>
      <c r="F865" s="331"/>
      <c r="G865" s="331"/>
      <c r="H865" s="331"/>
      <c r="I865" s="331"/>
      <c r="J865" s="339"/>
      <c r="K865" s="339"/>
      <c r="L865" s="339"/>
      <c r="M865" s="331"/>
      <c r="N865" s="303"/>
      <c r="O865" s="303"/>
      <c r="P865" s="303"/>
      <c r="Q865" s="303"/>
      <c r="R865" s="303"/>
      <c r="S865" s="303"/>
      <c r="T865" s="331"/>
      <c r="U865" s="331"/>
      <c r="V865" s="331"/>
      <c r="W865" s="331"/>
      <c r="X865" s="331"/>
      <c r="Y865" s="331"/>
      <c r="Z865" s="331"/>
    </row>
    <row r="866">
      <c r="A866" s="331"/>
      <c r="B866" s="331"/>
      <c r="C866" s="331"/>
      <c r="D866" s="331"/>
      <c r="E866" s="331"/>
      <c r="F866" s="331"/>
      <c r="G866" s="331"/>
      <c r="H866" s="331"/>
      <c r="I866" s="331"/>
      <c r="J866" s="339"/>
      <c r="K866" s="339"/>
      <c r="L866" s="339"/>
      <c r="M866" s="331"/>
      <c r="N866" s="303"/>
      <c r="O866" s="303"/>
      <c r="P866" s="303"/>
      <c r="Q866" s="303"/>
      <c r="R866" s="303"/>
      <c r="S866" s="303"/>
      <c r="T866" s="331"/>
      <c r="U866" s="331"/>
      <c r="V866" s="331"/>
      <c r="W866" s="331"/>
      <c r="X866" s="331"/>
      <c r="Y866" s="331"/>
      <c r="Z866" s="331"/>
    </row>
    <row r="867">
      <c r="A867" s="331"/>
      <c r="B867" s="331"/>
      <c r="C867" s="331"/>
      <c r="D867" s="331"/>
      <c r="E867" s="331"/>
      <c r="F867" s="331"/>
      <c r="G867" s="331"/>
      <c r="H867" s="331"/>
      <c r="I867" s="331"/>
      <c r="J867" s="339"/>
      <c r="K867" s="339"/>
      <c r="L867" s="339"/>
      <c r="M867" s="331"/>
      <c r="N867" s="303"/>
      <c r="O867" s="303"/>
      <c r="P867" s="303"/>
      <c r="Q867" s="303"/>
      <c r="R867" s="303"/>
      <c r="S867" s="303"/>
      <c r="T867" s="331"/>
      <c r="U867" s="331"/>
      <c r="V867" s="331"/>
      <c r="W867" s="331"/>
      <c r="X867" s="331"/>
      <c r="Y867" s="331"/>
      <c r="Z867" s="331"/>
    </row>
    <row r="868">
      <c r="A868" s="331"/>
      <c r="B868" s="331"/>
      <c r="C868" s="331"/>
      <c r="D868" s="331"/>
      <c r="E868" s="331"/>
      <c r="F868" s="331"/>
      <c r="G868" s="331"/>
      <c r="H868" s="331"/>
      <c r="I868" s="331"/>
      <c r="J868" s="339"/>
      <c r="K868" s="339"/>
      <c r="L868" s="339"/>
      <c r="M868" s="331"/>
      <c r="N868" s="303"/>
      <c r="O868" s="303"/>
      <c r="P868" s="303"/>
      <c r="Q868" s="303"/>
      <c r="R868" s="303"/>
      <c r="S868" s="303"/>
      <c r="T868" s="331"/>
      <c r="U868" s="331"/>
      <c r="V868" s="331"/>
      <c r="W868" s="331"/>
      <c r="X868" s="331"/>
      <c r="Y868" s="331"/>
      <c r="Z868" s="331"/>
    </row>
    <row r="869">
      <c r="A869" s="331"/>
      <c r="B869" s="331"/>
      <c r="C869" s="331"/>
      <c r="D869" s="331"/>
      <c r="E869" s="331"/>
      <c r="F869" s="331"/>
      <c r="G869" s="331"/>
      <c r="H869" s="331"/>
      <c r="I869" s="331"/>
      <c r="J869" s="339"/>
      <c r="K869" s="339"/>
      <c r="L869" s="339"/>
      <c r="M869" s="331"/>
      <c r="N869" s="303"/>
      <c r="O869" s="303"/>
      <c r="P869" s="303"/>
      <c r="Q869" s="303"/>
      <c r="R869" s="303"/>
      <c r="S869" s="303"/>
      <c r="T869" s="331"/>
      <c r="U869" s="331"/>
      <c r="V869" s="331"/>
      <c r="W869" s="331"/>
      <c r="X869" s="331"/>
      <c r="Y869" s="331"/>
      <c r="Z869" s="331"/>
    </row>
    <row r="870">
      <c r="A870" s="331"/>
      <c r="B870" s="331"/>
      <c r="C870" s="331"/>
      <c r="D870" s="331"/>
      <c r="E870" s="331"/>
      <c r="F870" s="331"/>
      <c r="G870" s="331"/>
      <c r="H870" s="331"/>
      <c r="I870" s="331"/>
      <c r="J870" s="339"/>
      <c r="K870" s="339"/>
      <c r="L870" s="339"/>
      <c r="M870" s="331"/>
      <c r="N870" s="303"/>
      <c r="O870" s="303"/>
      <c r="P870" s="303"/>
      <c r="Q870" s="303"/>
      <c r="R870" s="303"/>
      <c r="S870" s="303"/>
      <c r="T870" s="331"/>
      <c r="U870" s="331"/>
      <c r="V870" s="331"/>
      <c r="W870" s="331"/>
      <c r="X870" s="331"/>
      <c r="Y870" s="331"/>
      <c r="Z870" s="331"/>
    </row>
    <row r="871">
      <c r="A871" s="331"/>
      <c r="B871" s="331"/>
      <c r="C871" s="331"/>
      <c r="D871" s="331"/>
      <c r="E871" s="331"/>
      <c r="F871" s="331"/>
      <c r="G871" s="331"/>
      <c r="H871" s="331"/>
      <c r="I871" s="331"/>
      <c r="J871" s="339"/>
      <c r="K871" s="339"/>
      <c r="L871" s="339"/>
      <c r="M871" s="331"/>
      <c r="N871" s="303"/>
      <c r="O871" s="303"/>
      <c r="P871" s="303"/>
      <c r="Q871" s="303"/>
      <c r="R871" s="303"/>
      <c r="S871" s="303"/>
      <c r="T871" s="331"/>
      <c r="U871" s="331"/>
      <c r="V871" s="331"/>
      <c r="W871" s="331"/>
      <c r="X871" s="331"/>
      <c r="Y871" s="331"/>
      <c r="Z871" s="331"/>
    </row>
    <row r="872">
      <c r="A872" s="331"/>
      <c r="B872" s="331"/>
      <c r="C872" s="331"/>
      <c r="D872" s="331"/>
      <c r="E872" s="331"/>
      <c r="F872" s="331"/>
      <c r="G872" s="331"/>
      <c r="H872" s="331"/>
      <c r="I872" s="331"/>
      <c r="J872" s="339"/>
      <c r="K872" s="339"/>
      <c r="L872" s="339"/>
      <c r="M872" s="331"/>
      <c r="N872" s="303"/>
      <c r="O872" s="303"/>
      <c r="P872" s="303"/>
      <c r="Q872" s="303"/>
      <c r="R872" s="303"/>
      <c r="S872" s="303"/>
      <c r="T872" s="331"/>
      <c r="U872" s="331"/>
      <c r="V872" s="331"/>
      <c r="W872" s="331"/>
      <c r="X872" s="331"/>
      <c r="Y872" s="331"/>
      <c r="Z872" s="331"/>
    </row>
    <row r="873">
      <c r="A873" s="331"/>
      <c r="B873" s="331"/>
      <c r="C873" s="331"/>
      <c r="D873" s="331"/>
      <c r="E873" s="331"/>
      <c r="F873" s="331"/>
      <c r="G873" s="331"/>
      <c r="H873" s="331"/>
      <c r="I873" s="331"/>
      <c r="J873" s="339"/>
      <c r="K873" s="339"/>
      <c r="L873" s="339"/>
      <c r="M873" s="331"/>
      <c r="N873" s="303"/>
      <c r="O873" s="303"/>
      <c r="P873" s="303"/>
      <c r="Q873" s="303"/>
      <c r="R873" s="303"/>
      <c r="S873" s="303"/>
      <c r="T873" s="331"/>
      <c r="U873" s="331"/>
      <c r="V873" s="331"/>
      <c r="W873" s="331"/>
      <c r="X873" s="331"/>
      <c r="Y873" s="331"/>
      <c r="Z873" s="331"/>
    </row>
    <row r="874">
      <c r="A874" s="331"/>
      <c r="B874" s="331"/>
      <c r="C874" s="331"/>
      <c r="D874" s="331"/>
      <c r="E874" s="331"/>
      <c r="F874" s="331"/>
      <c r="G874" s="331"/>
      <c r="H874" s="331"/>
      <c r="I874" s="331"/>
      <c r="J874" s="339"/>
      <c r="K874" s="339"/>
      <c r="L874" s="339"/>
      <c r="M874" s="331"/>
      <c r="N874" s="303"/>
      <c r="O874" s="303"/>
      <c r="P874" s="303"/>
      <c r="Q874" s="303"/>
      <c r="R874" s="303"/>
      <c r="S874" s="303"/>
      <c r="T874" s="331"/>
      <c r="U874" s="331"/>
      <c r="V874" s="331"/>
      <c r="W874" s="331"/>
      <c r="X874" s="331"/>
      <c r="Y874" s="331"/>
      <c r="Z874" s="331"/>
    </row>
    <row r="875">
      <c r="A875" s="331"/>
      <c r="B875" s="331"/>
      <c r="C875" s="331"/>
      <c r="D875" s="331"/>
      <c r="E875" s="331"/>
      <c r="F875" s="331"/>
      <c r="G875" s="331"/>
      <c r="H875" s="331"/>
      <c r="I875" s="331"/>
      <c r="J875" s="339"/>
      <c r="K875" s="339"/>
      <c r="L875" s="339"/>
      <c r="M875" s="331"/>
      <c r="N875" s="303"/>
      <c r="O875" s="303"/>
      <c r="P875" s="303"/>
      <c r="Q875" s="303"/>
      <c r="R875" s="303"/>
      <c r="S875" s="303"/>
      <c r="T875" s="331"/>
      <c r="U875" s="331"/>
      <c r="V875" s="331"/>
      <c r="W875" s="331"/>
      <c r="X875" s="331"/>
      <c r="Y875" s="331"/>
      <c r="Z875" s="331"/>
    </row>
    <row r="876">
      <c r="A876" s="331"/>
      <c r="B876" s="331"/>
      <c r="C876" s="331"/>
      <c r="D876" s="331"/>
      <c r="E876" s="331"/>
      <c r="F876" s="331"/>
      <c r="G876" s="331"/>
      <c r="H876" s="331"/>
      <c r="I876" s="331"/>
      <c r="J876" s="339"/>
      <c r="K876" s="339"/>
      <c r="L876" s="339"/>
      <c r="M876" s="331"/>
      <c r="N876" s="303"/>
      <c r="O876" s="303"/>
      <c r="P876" s="303"/>
      <c r="Q876" s="303"/>
      <c r="R876" s="303"/>
      <c r="S876" s="303"/>
      <c r="T876" s="331"/>
      <c r="U876" s="331"/>
      <c r="V876" s="331"/>
      <c r="W876" s="331"/>
      <c r="X876" s="331"/>
      <c r="Y876" s="331"/>
      <c r="Z876" s="331"/>
    </row>
    <row r="877">
      <c r="A877" s="331"/>
      <c r="B877" s="331"/>
      <c r="C877" s="331"/>
      <c r="D877" s="331"/>
      <c r="E877" s="331"/>
      <c r="F877" s="331"/>
      <c r="G877" s="331"/>
      <c r="H877" s="331"/>
      <c r="I877" s="331"/>
      <c r="J877" s="339"/>
      <c r="K877" s="339"/>
      <c r="L877" s="339"/>
      <c r="M877" s="331"/>
      <c r="N877" s="303"/>
      <c r="O877" s="303"/>
      <c r="P877" s="303"/>
      <c r="Q877" s="303"/>
      <c r="R877" s="303"/>
      <c r="S877" s="303"/>
      <c r="T877" s="331"/>
      <c r="U877" s="331"/>
      <c r="V877" s="331"/>
      <c r="W877" s="331"/>
      <c r="X877" s="331"/>
      <c r="Y877" s="331"/>
      <c r="Z877" s="331"/>
    </row>
    <row r="878">
      <c r="A878" s="331"/>
      <c r="B878" s="331"/>
      <c r="C878" s="331"/>
      <c r="D878" s="331"/>
      <c r="E878" s="331"/>
      <c r="F878" s="331"/>
      <c r="G878" s="331"/>
      <c r="H878" s="331"/>
      <c r="I878" s="331"/>
      <c r="J878" s="339"/>
      <c r="K878" s="339"/>
      <c r="L878" s="339"/>
      <c r="M878" s="331"/>
      <c r="N878" s="303"/>
      <c r="O878" s="303"/>
      <c r="P878" s="303"/>
      <c r="Q878" s="303"/>
      <c r="R878" s="303"/>
      <c r="S878" s="303"/>
      <c r="T878" s="331"/>
      <c r="U878" s="331"/>
      <c r="V878" s="331"/>
      <c r="W878" s="331"/>
      <c r="X878" s="331"/>
      <c r="Y878" s="331"/>
      <c r="Z878" s="331"/>
    </row>
    <row r="879">
      <c r="A879" s="331"/>
      <c r="B879" s="331"/>
      <c r="C879" s="331"/>
      <c r="D879" s="331"/>
      <c r="E879" s="331"/>
      <c r="F879" s="331"/>
      <c r="G879" s="331"/>
      <c r="H879" s="331"/>
      <c r="I879" s="331"/>
      <c r="J879" s="339"/>
      <c r="K879" s="339"/>
      <c r="L879" s="339"/>
      <c r="M879" s="331"/>
      <c r="N879" s="303"/>
      <c r="O879" s="303"/>
      <c r="P879" s="303"/>
      <c r="Q879" s="303"/>
      <c r="R879" s="303"/>
      <c r="S879" s="303"/>
      <c r="T879" s="331"/>
      <c r="U879" s="331"/>
      <c r="V879" s="331"/>
      <c r="W879" s="331"/>
      <c r="X879" s="331"/>
      <c r="Y879" s="331"/>
      <c r="Z879" s="331"/>
    </row>
    <row r="880">
      <c r="A880" s="331"/>
      <c r="B880" s="331"/>
      <c r="C880" s="331"/>
      <c r="D880" s="331"/>
      <c r="E880" s="331"/>
      <c r="F880" s="331"/>
      <c r="G880" s="331"/>
      <c r="H880" s="331"/>
      <c r="I880" s="331"/>
      <c r="J880" s="339"/>
      <c r="K880" s="339"/>
      <c r="L880" s="339"/>
      <c r="M880" s="331"/>
      <c r="N880" s="303"/>
      <c r="O880" s="303"/>
      <c r="P880" s="303"/>
      <c r="Q880" s="303"/>
      <c r="R880" s="303"/>
      <c r="S880" s="303"/>
      <c r="T880" s="331"/>
      <c r="U880" s="331"/>
      <c r="V880" s="331"/>
      <c r="W880" s="331"/>
      <c r="X880" s="331"/>
      <c r="Y880" s="331"/>
      <c r="Z880" s="331"/>
    </row>
    <row r="881">
      <c r="A881" s="331"/>
      <c r="B881" s="331"/>
      <c r="C881" s="331"/>
      <c r="D881" s="331"/>
      <c r="E881" s="331"/>
      <c r="F881" s="331"/>
      <c r="G881" s="331"/>
      <c r="H881" s="331"/>
      <c r="I881" s="331"/>
      <c r="J881" s="339"/>
      <c r="K881" s="339"/>
      <c r="L881" s="339"/>
      <c r="M881" s="331"/>
      <c r="N881" s="303"/>
      <c r="O881" s="303"/>
      <c r="P881" s="303"/>
      <c r="Q881" s="303"/>
      <c r="R881" s="303"/>
      <c r="S881" s="303"/>
      <c r="T881" s="331"/>
      <c r="U881" s="331"/>
      <c r="V881" s="331"/>
      <c r="W881" s="331"/>
      <c r="X881" s="331"/>
      <c r="Y881" s="331"/>
      <c r="Z881" s="331"/>
    </row>
    <row r="882">
      <c r="A882" s="331"/>
      <c r="B882" s="331"/>
      <c r="C882" s="331"/>
      <c r="D882" s="331"/>
      <c r="E882" s="331"/>
      <c r="F882" s="331"/>
      <c r="G882" s="331"/>
      <c r="H882" s="331"/>
      <c r="I882" s="331"/>
      <c r="J882" s="339"/>
      <c r="K882" s="339"/>
      <c r="L882" s="339"/>
      <c r="M882" s="331"/>
      <c r="N882" s="303"/>
      <c r="O882" s="303"/>
      <c r="P882" s="303"/>
      <c r="Q882" s="303"/>
      <c r="R882" s="303"/>
      <c r="S882" s="303"/>
      <c r="T882" s="331"/>
      <c r="U882" s="331"/>
      <c r="V882" s="331"/>
      <c r="W882" s="331"/>
      <c r="X882" s="331"/>
      <c r="Y882" s="331"/>
      <c r="Z882" s="331"/>
    </row>
    <row r="883">
      <c r="A883" s="331"/>
      <c r="B883" s="331"/>
      <c r="C883" s="331"/>
      <c r="D883" s="331"/>
      <c r="E883" s="331"/>
      <c r="F883" s="331"/>
      <c r="G883" s="331"/>
      <c r="H883" s="331"/>
      <c r="I883" s="331"/>
      <c r="J883" s="339"/>
      <c r="K883" s="339"/>
      <c r="L883" s="339"/>
      <c r="M883" s="331"/>
      <c r="N883" s="303"/>
      <c r="O883" s="303"/>
      <c r="P883" s="303"/>
      <c r="Q883" s="303"/>
      <c r="R883" s="303"/>
      <c r="S883" s="303"/>
      <c r="T883" s="331"/>
      <c r="U883" s="331"/>
      <c r="V883" s="331"/>
      <c r="W883" s="331"/>
      <c r="X883" s="331"/>
      <c r="Y883" s="331"/>
      <c r="Z883" s="331"/>
    </row>
    <row r="884">
      <c r="A884" s="331"/>
      <c r="B884" s="331"/>
      <c r="C884" s="331"/>
      <c r="D884" s="331"/>
      <c r="E884" s="331"/>
      <c r="F884" s="331"/>
      <c r="G884" s="331"/>
      <c r="H884" s="331"/>
      <c r="I884" s="331"/>
      <c r="J884" s="339"/>
      <c r="K884" s="339"/>
      <c r="L884" s="339"/>
      <c r="M884" s="331"/>
      <c r="N884" s="303"/>
      <c r="O884" s="303"/>
      <c r="P884" s="303"/>
      <c r="Q884" s="303"/>
      <c r="R884" s="303"/>
      <c r="S884" s="303"/>
      <c r="T884" s="331"/>
      <c r="U884" s="331"/>
      <c r="V884" s="331"/>
      <c r="W884" s="331"/>
      <c r="X884" s="331"/>
      <c r="Y884" s="331"/>
      <c r="Z884" s="331"/>
    </row>
    <row r="885">
      <c r="A885" s="331"/>
      <c r="B885" s="331"/>
      <c r="C885" s="331"/>
      <c r="D885" s="331"/>
      <c r="E885" s="331"/>
      <c r="F885" s="331"/>
      <c r="G885" s="331"/>
      <c r="H885" s="331"/>
      <c r="I885" s="331"/>
      <c r="J885" s="339"/>
      <c r="K885" s="339"/>
      <c r="L885" s="339"/>
      <c r="M885" s="331"/>
      <c r="N885" s="303"/>
      <c r="O885" s="303"/>
      <c r="P885" s="303"/>
      <c r="Q885" s="303"/>
      <c r="R885" s="303"/>
      <c r="S885" s="303"/>
      <c r="T885" s="331"/>
      <c r="U885" s="331"/>
      <c r="V885" s="331"/>
      <c r="W885" s="331"/>
      <c r="X885" s="331"/>
      <c r="Y885" s="331"/>
      <c r="Z885" s="331"/>
    </row>
    <row r="886">
      <c r="A886" s="331"/>
      <c r="B886" s="331"/>
      <c r="C886" s="331"/>
      <c r="D886" s="331"/>
      <c r="E886" s="331"/>
      <c r="F886" s="331"/>
      <c r="G886" s="331"/>
      <c r="H886" s="331"/>
      <c r="I886" s="331"/>
      <c r="J886" s="339"/>
      <c r="K886" s="339"/>
      <c r="L886" s="339"/>
      <c r="M886" s="331"/>
      <c r="N886" s="303"/>
      <c r="O886" s="303"/>
      <c r="P886" s="303"/>
      <c r="Q886" s="303"/>
      <c r="R886" s="303"/>
      <c r="S886" s="303"/>
      <c r="T886" s="331"/>
      <c r="U886" s="331"/>
      <c r="V886" s="331"/>
      <c r="W886" s="331"/>
      <c r="X886" s="331"/>
      <c r="Y886" s="331"/>
      <c r="Z886" s="331"/>
    </row>
    <row r="887">
      <c r="A887" s="331"/>
      <c r="B887" s="331"/>
      <c r="C887" s="331"/>
      <c r="D887" s="331"/>
      <c r="E887" s="331"/>
      <c r="F887" s="331"/>
      <c r="G887" s="331"/>
      <c r="H887" s="331"/>
      <c r="I887" s="331"/>
      <c r="J887" s="339"/>
      <c r="K887" s="339"/>
      <c r="L887" s="339"/>
      <c r="M887" s="331"/>
      <c r="N887" s="303"/>
      <c r="O887" s="303"/>
      <c r="P887" s="303"/>
      <c r="Q887" s="303"/>
      <c r="R887" s="303"/>
      <c r="S887" s="303"/>
      <c r="T887" s="331"/>
      <c r="U887" s="331"/>
      <c r="V887" s="331"/>
      <c r="W887" s="331"/>
      <c r="X887" s="331"/>
      <c r="Y887" s="331"/>
      <c r="Z887" s="331"/>
    </row>
    <row r="888">
      <c r="A888" s="331"/>
      <c r="B888" s="331"/>
      <c r="C888" s="331"/>
      <c r="D888" s="331"/>
      <c r="E888" s="331"/>
      <c r="F888" s="331"/>
      <c r="G888" s="331"/>
      <c r="H888" s="331"/>
      <c r="I888" s="331"/>
      <c r="J888" s="339"/>
      <c r="K888" s="339"/>
      <c r="L888" s="339"/>
      <c r="M888" s="331"/>
      <c r="N888" s="303"/>
      <c r="O888" s="303"/>
      <c r="P888" s="303"/>
      <c r="Q888" s="303"/>
      <c r="R888" s="303"/>
      <c r="S888" s="303"/>
      <c r="T888" s="331"/>
      <c r="U888" s="331"/>
      <c r="V888" s="331"/>
      <c r="W888" s="331"/>
      <c r="X888" s="331"/>
      <c r="Y888" s="331"/>
      <c r="Z888" s="331"/>
    </row>
    <row r="889">
      <c r="A889" s="331"/>
      <c r="B889" s="331"/>
      <c r="C889" s="331"/>
      <c r="D889" s="331"/>
      <c r="E889" s="331"/>
      <c r="F889" s="331"/>
      <c r="G889" s="331"/>
      <c r="H889" s="331"/>
      <c r="I889" s="331"/>
      <c r="J889" s="339"/>
      <c r="K889" s="339"/>
      <c r="L889" s="339"/>
      <c r="M889" s="331"/>
      <c r="N889" s="303"/>
      <c r="O889" s="303"/>
      <c r="P889" s="303"/>
      <c r="Q889" s="303"/>
      <c r="R889" s="303"/>
      <c r="S889" s="303"/>
      <c r="T889" s="331"/>
      <c r="U889" s="331"/>
      <c r="V889" s="331"/>
      <c r="W889" s="331"/>
      <c r="X889" s="331"/>
      <c r="Y889" s="331"/>
      <c r="Z889" s="331"/>
    </row>
    <row r="890">
      <c r="A890" s="331"/>
      <c r="B890" s="331"/>
      <c r="C890" s="331"/>
      <c r="D890" s="331"/>
      <c r="E890" s="331"/>
      <c r="F890" s="331"/>
      <c r="G890" s="331"/>
      <c r="H890" s="331"/>
      <c r="I890" s="331"/>
      <c r="J890" s="339"/>
      <c r="K890" s="339"/>
      <c r="L890" s="339"/>
      <c r="M890" s="331"/>
      <c r="N890" s="303"/>
      <c r="O890" s="303"/>
      <c r="P890" s="303"/>
      <c r="Q890" s="303"/>
      <c r="R890" s="303"/>
      <c r="S890" s="303"/>
      <c r="T890" s="331"/>
      <c r="U890" s="331"/>
      <c r="V890" s="331"/>
      <c r="W890" s="331"/>
      <c r="X890" s="331"/>
      <c r="Y890" s="331"/>
      <c r="Z890" s="331"/>
    </row>
    <row r="891">
      <c r="A891" s="331"/>
      <c r="B891" s="331"/>
      <c r="C891" s="331"/>
      <c r="D891" s="331"/>
      <c r="E891" s="331"/>
      <c r="F891" s="331"/>
      <c r="G891" s="331"/>
      <c r="H891" s="331"/>
      <c r="I891" s="331"/>
      <c r="J891" s="339"/>
      <c r="K891" s="339"/>
      <c r="L891" s="339"/>
      <c r="M891" s="331"/>
      <c r="N891" s="303"/>
      <c r="O891" s="303"/>
      <c r="P891" s="303"/>
      <c r="Q891" s="303"/>
      <c r="R891" s="303"/>
      <c r="S891" s="303"/>
      <c r="T891" s="331"/>
      <c r="U891" s="331"/>
      <c r="V891" s="331"/>
      <c r="W891" s="331"/>
      <c r="X891" s="331"/>
      <c r="Y891" s="331"/>
      <c r="Z891" s="331"/>
    </row>
    <row r="892">
      <c r="A892" s="331"/>
      <c r="B892" s="331"/>
      <c r="C892" s="331"/>
      <c r="D892" s="331"/>
      <c r="E892" s="331"/>
      <c r="F892" s="331"/>
      <c r="G892" s="331"/>
      <c r="H892" s="331"/>
      <c r="I892" s="331"/>
      <c r="J892" s="339"/>
      <c r="K892" s="339"/>
      <c r="L892" s="339"/>
      <c r="M892" s="331"/>
      <c r="N892" s="303"/>
      <c r="O892" s="303"/>
      <c r="P892" s="303"/>
      <c r="Q892" s="303"/>
      <c r="R892" s="303"/>
      <c r="S892" s="303"/>
      <c r="T892" s="331"/>
      <c r="U892" s="331"/>
      <c r="V892" s="331"/>
      <c r="W892" s="331"/>
      <c r="X892" s="331"/>
      <c r="Y892" s="331"/>
      <c r="Z892" s="331"/>
    </row>
    <row r="893">
      <c r="A893" s="331"/>
      <c r="B893" s="331"/>
      <c r="C893" s="331"/>
      <c r="D893" s="331"/>
      <c r="E893" s="331"/>
      <c r="F893" s="331"/>
      <c r="G893" s="331"/>
      <c r="H893" s="331"/>
      <c r="I893" s="331"/>
      <c r="J893" s="339"/>
      <c r="K893" s="339"/>
      <c r="L893" s="339"/>
      <c r="M893" s="331"/>
      <c r="N893" s="303"/>
      <c r="O893" s="303"/>
      <c r="P893" s="303"/>
      <c r="Q893" s="303"/>
      <c r="R893" s="303"/>
      <c r="S893" s="303"/>
      <c r="T893" s="331"/>
      <c r="U893" s="331"/>
      <c r="V893" s="331"/>
      <c r="W893" s="331"/>
      <c r="X893" s="331"/>
      <c r="Y893" s="331"/>
      <c r="Z893" s="331"/>
    </row>
    <row r="894">
      <c r="A894" s="331"/>
      <c r="B894" s="331"/>
      <c r="C894" s="331"/>
      <c r="D894" s="331"/>
      <c r="E894" s="331"/>
      <c r="F894" s="331"/>
      <c r="G894" s="331"/>
      <c r="H894" s="331"/>
      <c r="I894" s="331"/>
      <c r="J894" s="339"/>
      <c r="K894" s="339"/>
      <c r="L894" s="339"/>
      <c r="M894" s="331"/>
      <c r="N894" s="303"/>
      <c r="O894" s="303"/>
      <c r="P894" s="303"/>
      <c r="Q894" s="303"/>
      <c r="R894" s="303"/>
      <c r="S894" s="303"/>
      <c r="T894" s="331"/>
      <c r="U894" s="331"/>
      <c r="V894" s="331"/>
      <c r="W894" s="331"/>
      <c r="X894" s="331"/>
      <c r="Y894" s="331"/>
      <c r="Z894" s="331"/>
    </row>
    <row r="895">
      <c r="A895" s="331"/>
      <c r="B895" s="331"/>
      <c r="C895" s="331"/>
      <c r="D895" s="331"/>
      <c r="E895" s="331"/>
      <c r="F895" s="331"/>
      <c r="G895" s="331"/>
      <c r="H895" s="331"/>
      <c r="I895" s="331"/>
      <c r="J895" s="339"/>
      <c r="K895" s="339"/>
      <c r="L895" s="339"/>
      <c r="M895" s="331"/>
      <c r="N895" s="303"/>
      <c r="O895" s="303"/>
      <c r="P895" s="303"/>
      <c r="Q895" s="303"/>
      <c r="R895" s="303"/>
      <c r="S895" s="303"/>
      <c r="T895" s="331"/>
      <c r="U895" s="331"/>
      <c r="V895" s="331"/>
      <c r="W895" s="331"/>
      <c r="X895" s="331"/>
      <c r="Y895" s="331"/>
      <c r="Z895" s="331"/>
    </row>
    <row r="896">
      <c r="A896" s="331"/>
      <c r="B896" s="331"/>
      <c r="C896" s="331"/>
      <c r="D896" s="331"/>
      <c r="E896" s="331"/>
      <c r="F896" s="331"/>
      <c r="G896" s="331"/>
      <c r="H896" s="331"/>
      <c r="I896" s="331"/>
      <c r="J896" s="339"/>
      <c r="K896" s="339"/>
      <c r="L896" s="339"/>
      <c r="M896" s="331"/>
      <c r="N896" s="303"/>
      <c r="O896" s="303"/>
      <c r="P896" s="303"/>
      <c r="Q896" s="303"/>
      <c r="R896" s="303"/>
      <c r="S896" s="303"/>
      <c r="T896" s="331"/>
      <c r="U896" s="331"/>
      <c r="V896" s="331"/>
      <c r="W896" s="331"/>
      <c r="X896" s="331"/>
      <c r="Y896" s="331"/>
      <c r="Z896" s="331"/>
    </row>
    <row r="897">
      <c r="A897" s="331"/>
      <c r="B897" s="331"/>
      <c r="C897" s="331"/>
      <c r="D897" s="331"/>
      <c r="E897" s="331"/>
      <c r="F897" s="331"/>
      <c r="G897" s="331"/>
      <c r="H897" s="331"/>
      <c r="I897" s="331"/>
      <c r="J897" s="339"/>
      <c r="K897" s="339"/>
      <c r="L897" s="339"/>
      <c r="M897" s="331"/>
      <c r="N897" s="303"/>
      <c r="O897" s="303"/>
      <c r="P897" s="303"/>
      <c r="Q897" s="303"/>
      <c r="R897" s="303"/>
      <c r="S897" s="303"/>
      <c r="T897" s="331"/>
      <c r="U897" s="331"/>
      <c r="V897" s="331"/>
      <c r="W897" s="331"/>
      <c r="X897" s="331"/>
      <c r="Y897" s="331"/>
      <c r="Z897" s="331"/>
    </row>
    <row r="898">
      <c r="A898" s="331"/>
      <c r="B898" s="331"/>
      <c r="C898" s="331"/>
      <c r="D898" s="331"/>
      <c r="E898" s="331"/>
      <c r="F898" s="331"/>
      <c r="G898" s="331"/>
      <c r="H898" s="331"/>
      <c r="I898" s="331"/>
      <c r="J898" s="339"/>
      <c r="K898" s="339"/>
      <c r="L898" s="339"/>
      <c r="M898" s="331"/>
      <c r="N898" s="303"/>
      <c r="O898" s="303"/>
      <c r="P898" s="303"/>
      <c r="Q898" s="303"/>
      <c r="R898" s="303"/>
      <c r="S898" s="303"/>
      <c r="T898" s="331"/>
      <c r="U898" s="331"/>
      <c r="V898" s="331"/>
      <c r="W898" s="331"/>
      <c r="X898" s="331"/>
      <c r="Y898" s="331"/>
      <c r="Z898" s="331"/>
    </row>
    <row r="899">
      <c r="A899" s="331"/>
      <c r="B899" s="331"/>
      <c r="C899" s="331"/>
      <c r="D899" s="331"/>
      <c r="E899" s="331"/>
      <c r="F899" s="331"/>
      <c r="G899" s="331"/>
      <c r="H899" s="331"/>
      <c r="I899" s="331"/>
      <c r="J899" s="339"/>
      <c r="K899" s="339"/>
      <c r="L899" s="339"/>
      <c r="M899" s="331"/>
      <c r="N899" s="303"/>
      <c r="O899" s="303"/>
      <c r="P899" s="303"/>
      <c r="Q899" s="303"/>
      <c r="R899" s="303"/>
      <c r="S899" s="303"/>
      <c r="T899" s="331"/>
      <c r="U899" s="331"/>
      <c r="V899" s="331"/>
      <c r="W899" s="331"/>
      <c r="X899" s="331"/>
      <c r="Y899" s="331"/>
      <c r="Z899" s="331"/>
    </row>
    <row r="900">
      <c r="A900" s="331"/>
      <c r="B900" s="331"/>
      <c r="C900" s="331"/>
      <c r="D900" s="331"/>
      <c r="E900" s="331"/>
      <c r="F900" s="331"/>
      <c r="G900" s="331"/>
      <c r="H900" s="331"/>
      <c r="I900" s="331"/>
      <c r="J900" s="339"/>
      <c r="K900" s="339"/>
      <c r="L900" s="339"/>
      <c r="M900" s="331"/>
      <c r="N900" s="303"/>
      <c r="O900" s="303"/>
      <c r="P900" s="303"/>
      <c r="Q900" s="303"/>
      <c r="R900" s="303"/>
      <c r="S900" s="303"/>
      <c r="T900" s="331"/>
      <c r="U900" s="331"/>
      <c r="V900" s="331"/>
      <c r="W900" s="331"/>
      <c r="X900" s="331"/>
      <c r="Y900" s="331"/>
      <c r="Z900" s="331"/>
    </row>
    <row r="901">
      <c r="A901" s="331"/>
      <c r="B901" s="331"/>
      <c r="C901" s="331"/>
      <c r="D901" s="331"/>
      <c r="E901" s="331"/>
      <c r="F901" s="331"/>
      <c r="G901" s="331"/>
      <c r="H901" s="331"/>
      <c r="I901" s="331"/>
      <c r="J901" s="339"/>
      <c r="K901" s="339"/>
      <c r="L901" s="339"/>
      <c r="M901" s="331"/>
      <c r="N901" s="303"/>
      <c r="O901" s="303"/>
      <c r="P901" s="303"/>
      <c r="Q901" s="303"/>
      <c r="R901" s="303"/>
      <c r="S901" s="303"/>
      <c r="T901" s="331"/>
      <c r="U901" s="331"/>
      <c r="V901" s="331"/>
      <c r="W901" s="331"/>
      <c r="X901" s="331"/>
      <c r="Y901" s="331"/>
      <c r="Z901" s="331"/>
    </row>
    <row r="902">
      <c r="A902" s="331"/>
      <c r="B902" s="331"/>
      <c r="C902" s="331"/>
      <c r="D902" s="331"/>
      <c r="E902" s="331"/>
      <c r="F902" s="331"/>
      <c r="G902" s="331"/>
      <c r="H902" s="331"/>
      <c r="I902" s="331"/>
      <c r="J902" s="339"/>
      <c r="K902" s="339"/>
      <c r="L902" s="339"/>
      <c r="M902" s="331"/>
      <c r="N902" s="303"/>
      <c r="O902" s="303"/>
      <c r="P902" s="303"/>
      <c r="Q902" s="303"/>
      <c r="R902" s="303"/>
      <c r="S902" s="303"/>
      <c r="T902" s="331"/>
      <c r="U902" s="331"/>
      <c r="V902" s="331"/>
      <c r="W902" s="331"/>
      <c r="X902" s="331"/>
      <c r="Y902" s="331"/>
      <c r="Z902" s="331"/>
    </row>
    <row r="903">
      <c r="A903" s="331"/>
      <c r="B903" s="331"/>
      <c r="C903" s="331"/>
      <c r="D903" s="331"/>
      <c r="E903" s="331"/>
      <c r="F903" s="331"/>
      <c r="G903" s="331"/>
      <c r="H903" s="331"/>
      <c r="I903" s="331"/>
      <c r="J903" s="339"/>
      <c r="K903" s="339"/>
      <c r="L903" s="339"/>
      <c r="M903" s="331"/>
      <c r="N903" s="303"/>
      <c r="O903" s="303"/>
      <c r="P903" s="303"/>
      <c r="Q903" s="303"/>
      <c r="R903" s="303"/>
      <c r="S903" s="303"/>
      <c r="T903" s="331"/>
      <c r="U903" s="331"/>
      <c r="V903" s="331"/>
      <c r="W903" s="331"/>
      <c r="X903" s="331"/>
      <c r="Y903" s="331"/>
      <c r="Z903" s="331"/>
    </row>
    <row r="904">
      <c r="A904" s="331"/>
      <c r="B904" s="331"/>
      <c r="C904" s="331"/>
      <c r="D904" s="331"/>
      <c r="E904" s="331"/>
      <c r="F904" s="331"/>
      <c r="G904" s="331"/>
      <c r="H904" s="331"/>
      <c r="I904" s="331"/>
      <c r="J904" s="339"/>
      <c r="K904" s="339"/>
      <c r="L904" s="339"/>
      <c r="M904" s="331"/>
      <c r="N904" s="303"/>
      <c r="O904" s="303"/>
      <c r="P904" s="303"/>
      <c r="Q904" s="303"/>
      <c r="R904" s="303"/>
      <c r="S904" s="303"/>
      <c r="T904" s="331"/>
      <c r="U904" s="331"/>
      <c r="V904" s="331"/>
      <c r="W904" s="331"/>
      <c r="X904" s="331"/>
      <c r="Y904" s="331"/>
      <c r="Z904" s="331"/>
    </row>
    <row r="905">
      <c r="A905" s="331"/>
      <c r="B905" s="331"/>
      <c r="C905" s="331"/>
      <c r="D905" s="331"/>
      <c r="E905" s="331"/>
      <c r="F905" s="331"/>
      <c r="G905" s="331"/>
      <c r="H905" s="331"/>
      <c r="I905" s="331"/>
      <c r="J905" s="339"/>
      <c r="K905" s="339"/>
      <c r="L905" s="339"/>
      <c r="M905" s="331"/>
      <c r="N905" s="303"/>
      <c r="O905" s="303"/>
      <c r="P905" s="303"/>
      <c r="Q905" s="303"/>
      <c r="R905" s="303"/>
      <c r="S905" s="303"/>
      <c r="T905" s="331"/>
      <c r="U905" s="331"/>
      <c r="V905" s="331"/>
      <c r="W905" s="331"/>
      <c r="X905" s="331"/>
      <c r="Y905" s="331"/>
      <c r="Z905" s="331"/>
    </row>
    <row r="906">
      <c r="A906" s="331"/>
      <c r="B906" s="331"/>
      <c r="C906" s="331"/>
      <c r="D906" s="331"/>
      <c r="E906" s="331"/>
      <c r="F906" s="331"/>
      <c r="G906" s="331"/>
      <c r="H906" s="331"/>
      <c r="I906" s="331"/>
      <c r="J906" s="339"/>
      <c r="K906" s="339"/>
      <c r="L906" s="339"/>
      <c r="M906" s="331"/>
      <c r="N906" s="303"/>
      <c r="O906" s="303"/>
      <c r="P906" s="303"/>
      <c r="Q906" s="303"/>
      <c r="R906" s="303"/>
      <c r="S906" s="303"/>
      <c r="T906" s="331"/>
      <c r="U906" s="331"/>
      <c r="V906" s="331"/>
      <c r="W906" s="331"/>
      <c r="X906" s="331"/>
      <c r="Y906" s="331"/>
      <c r="Z906" s="331"/>
    </row>
    <row r="907">
      <c r="A907" s="331"/>
      <c r="B907" s="331"/>
      <c r="C907" s="331"/>
      <c r="D907" s="331"/>
      <c r="E907" s="331"/>
      <c r="F907" s="331"/>
      <c r="G907" s="331"/>
      <c r="H907" s="331"/>
      <c r="I907" s="331"/>
      <c r="J907" s="339"/>
      <c r="K907" s="339"/>
      <c r="L907" s="339"/>
      <c r="M907" s="331"/>
      <c r="N907" s="303"/>
      <c r="O907" s="303"/>
      <c r="P907" s="303"/>
      <c r="Q907" s="303"/>
      <c r="R907" s="303"/>
      <c r="S907" s="303"/>
      <c r="T907" s="331"/>
      <c r="U907" s="331"/>
      <c r="V907" s="331"/>
      <c r="W907" s="331"/>
      <c r="X907" s="331"/>
      <c r="Y907" s="331"/>
      <c r="Z907" s="331"/>
    </row>
    <row r="908">
      <c r="A908" s="331"/>
      <c r="B908" s="331"/>
      <c r="C908" s="331"/>
      <c r="D908" s="331"/>
      <c r="E908" s="331"/>
      <c r="F908" s="331"/>
      <c r="G908" s="331"/>
      <c r="H908" s="331"/>
      <c r="I908" s="331"/>
      <c r="J908" s="339"/>
      <c r="K908" s="339"/>
      <c r="L908" s="339"/>
      <c r="M908" s="331"/>
      <c r="N908" s="303"/>
      <c r="O908" s="303"/>
      <c r="P908" s="303"/>
      <c r="Q908" s="303"/>
      <c r="R908" s="303"/>
      <c r="S908" s="303"/>
      <c r="T908" s="331"/>
      <c r="U908" s="331"/>
      <c r="V908" s="331"/>
      <c r="W908" s="331"/>
      <c r="X908" s="331"/>
      <c r="Y908" s="331"/>
      <c r="Z908" s="331"/>
    </row>
    <row r="909">
      <c r="A909" s="331"/>
      <c r="B909" s="331"/>
      <c r="C909" s="331"/>
      <c r="D909" s="331"/>
      <c r="E909" s="331"/>
      <c r="F909" s="331"/>
      <c r="G909" s="331"/>
      <c r="H909" s="331"/>
      <c r="I909" s="331"/>
      <c r="J909" s="339"/>
      <c r="K909" s="339"/>
      <c r="L909" s="339"/>
      <c r="M909" s="331"/>
      <c r="N909" s="303"/>
      <c r="O909" s="303"/>
      <c r="P909" s="303"/>
      <c r="Q909" s="303"/>
      <c r="R909" s="303"/>
      <c r="S909" s="303"/>
      <c r="T909" s="331"/>
      <c r="U909" s="331"/>
      <c r="V909" s="331"/>
      <c r="W909" s="331"/>
      <c r="X909" s="331"/>
      <c r="Y909" s="331"/>
      <c r="Z909" s="331"/>
    </row>
    <row r="910">
      <c r="A910" s="331"/>
      <c r="B910" s="331"/>
      <c r="C910" s="331"/>
      <c r="D910" s="331"/>
      <c r="E910" s="331"/>
      <c r="F910" s="331"/>
      <c r="G910" s="331"/>
      <c r="H910" s="331"/>
      <c r="I910" s="331"/>
      <c r="J910" s="339"/>
      <c r="K910" s="339"/>
      <c r="L910" s="339"/>
      <c r="M910" s="331"/>
      <c r="N910" s="303"/>
      <c r="O910" s="303"/>
      <c r="P910" s="303"/>
      <c r="Q910" s="303"/>
      <c r="R910" s="303"/>
      <c r="S910" s="303"/>
      <c r="T910" s="331"/>
      <c r="U910" s="331"/>
      <c r="V910" s="331"/>
      <c r="W910" s="331"/>
      <c r="X910" s="331"/>
      <c r="Y910" s="331"/>
      <c r="Z910" s="331"/>
    </row>
    <row r="911">
      <c r="A911" s="331"/>
      <c r="B911" s="331"/>
      <c r="C911" s="331"/>
      <c r="D911" s="331"/>
      <c r="E911" s="331"/>
      <c r="F911" s="331"/>
      <c r="G911" s="331"/>
      <c r="H911" s="331"/>
      <c r="I911" s="331"/>
      <c r="J911" s="339"/>
      <c r="K911" s="339"/>
      <c r="L911" s="339"/>
      <c r="M911" s="331"/>
      <c r="N911" s="303"/>
      <c r="O911" s="303"/>
      <c r="P911" s="303"/>
      <c r="Q911" s="303"/>
      <c r="R911" s="303"/>
      <c r="S911" s="303"/>
      <c r="T911" s="331"/>
      <c r="U911" s="331"/>
      <c r="V911" s="331"/>
      <c r="W911" s="331"/>
      <c r="X911" s="331"/>
      <c r="Y911" s="331"/>
      <c r="Z911" s="331"/>
    </row>
    <row r="912">
      <c r="A912" s="331"/>
      <c r="B912" s="331"/>
      <c r="C912" s="331"/>
      <c r="D912" s="331"/>
      <c r="E912" s="331"/>
      <c r="F912" s="331"/>
      <c r="G912" s="331"/>
      <c r="H912" s="331"/>
      <c r="I912" s="331"/>
      <c r="J912" s="339"/>
      <c r="K912" s="339"/>
      <c r="L912" s="339"/>
      <c r="M912" s="331"/>
      <c r="N912" s="303"/>
      <c r="O912" s="303"/>
      <c r="P912" s="303"/>
      <c r="Q912" s="303"/>
      <c r="R912" s="303"/>
      <c r="S912" s="303"/>
      <c r="T912" s="331"/>
      <c r="U912" s="331"/>
      <c r="V912" s="331"/>
      <c r="W912" s="331"/>
      <c r="X912" s="331"/>
      <c r="Y912" s="331"/>
      <c r="Z912" s="331"/>
    </row>
    <row r="913">
      <c r="A913" s="331"/>
      <c r="B913" s="331"/>
      <c r="C913" s="331"/>
      <c r="D913" s="331"/>
      <c r="E913" s="331"/>
      <c r="F913" s="331"/>
      <c r="G913" s="331"/>
      <c r="H913" s="331"/>
      <c r="I913" s="331"/>
      <c r="J913" s="339"/>
      <c r="K913" s="339"/>
      <c r="L913" s="339"/>
      <c r="M913" s="331"/>
      <c r="N913" s="303"/>
      <c r="O913" s="303"/>
      <c r="P913" s="303"/>
      <c r="Q913" s="303"/>
      <c r="R913" s="303"/>
      <c r="S913" s="303"/>
      <c r="T913" s="331"/>
      <c r="U913" s="331"/>
      <c r="V913" s="331"/>
      <c r="W913" s="331"/>
      <c r="X913" s="331"/>
      <c r="Y913" s="331"/>
      <c r="Z913" s="331"/>
    </row>
    <row r="914">
      <c r="A914" s="331"/>
      <c r="B914" s="331"/>
      <c r="C914" s="331"/>
      <c r="D914" s="331"/>
      <c r="E914" s="331"/>
      <c r="F914" s="331"/>
      <c r="G914" s="331"/>
      <c r="H914" s="331"/>
      <c r="I914" s="331"/>
      <c r="J914" s="339"/>
      <c r="K914" s="339"/>
      <c r="L914" s="339"/>
      <c r="M914" s="331"/>
      <c r="N914" s="303"/>
      <c r="O914" s="303"/>
      <c r="P914" s="303"/>
      <c r="Q914" s="303"/>
      <c r="R914" s="303"/>
      <c r="S914" s="303"/>
      <c r="T914" s="331"/>
      <c r="U914" s="331"/>
      <c r="V914" s="331"/>
      <c r="W914" s="331"/>
      <c r="X914" s="331"/>
      <c r="Y914" s="331"/>
      <c r="Z914" s="331"/>
    </row>
    <row r="915">
      <c r="A915" s="331"/>
      <c r="B915" s="331"/>
      <c r="C915" s="331"/>
      <c r="D915" s="331"/>
      <c r="E915" s="331"/>
      <c r="F915" s="331"/>
      <c r="G915" s="331"/>
      <c r="H915" s="331"/>
      <c r="I915" s="331"/>
      <c r="J915" s="339"/>
      <c r="K915" s="339"/>
      <c r="L915" s="339"/>
      <c r="M915" s="331"/>
      <c r="N915" s="303"/>
      <c r="O915" s="303"/>
      <c r="P915" s="303"/>
      <c r="Q915" s="303"/>
      <c r="R915" s="303"/>
      <c r="S915" s="303"/>
      <c r="T915" s="331"/>
      <c r="U915" s="331"/>
      <c r="V915" s="331"/>
      <c r="W915" s="331"/>
      <c r="X915" s="331"/>
      <c r="Y915" s="331"/>
      <c r="Z915" s="331"/>
    </row>
    <row r="916">
      <c r="A916" s="331"/>
      <c r="B916" s="331"/>
      <c r="C916" s="331"/>
      <c r="D916" s="331"/>
      <c r="E916" s="331"/>
      <c r="F916" s="331"/>
      <c r="G916" s="331"/>
      <c r="H916" s="331"/>
      <c r="I916" s="331"/>
      <c r="J916" s="339"/>
      <c r="K916" s="339"/>
      <c r="L916" s="339"/>
      <c r="M916" s="331"/>
      <c r="N916" s="303"/>
      <c r="O916" s="303"/>
      <c r="P916" s="303"/>
      <c r="Q916" s="303"/>
      <c r="R916" s="303"/>
      <c r="S916" s="303"/>
      <c r="T916" s="331"/>
      <c r="U916" s="331"/>
      <c r="V916" s="331"/>
      <c r="W916" s="331"/>
      <c r="X916" s="331"/>
      <c r="Y916" s="331"/>
      <c r="Z916" s="331"/>
    </row>
    <row r="917">
      <c r="A917" s="331"/>
      <c r="B917" s="331"/>
      <c r="C917" s="331"/>
      <c r="D917" s="331"/>
      <c r="E917" s="331"/>
      <c r="F917" s="331"/>
      <c r="G917" s="331"/>
      <c r="H917" s="331"/>
      <c r="I917" s="331"/>
      <c r="J917" s="339"/>
      <c r="K917" s="339"/>
      <c r="L917" s="339"/>
      <c r="M917" s="331"/>
      <c r="N917" s="303"/>
      <c r="O917" s="303"/>
      <c r="P917" s="303"/>
      <c r="Q917" s="303"/>
      <c r="R917" s="303"/>
      <c r="S917" s="303"/>
      <c r="T917" s="331"/>
      <c r="U917" s="331"/>
      <c r="V917" s="331"/>
      <c r="W917" s="331"/>
      <c r="X917" s="331"/>
      <c r="Y917" s="331"/>
      <c r="Z917" s="331"/>
    </row>
    <row r="918">
      <c r="A918" s="331"/>
      <c r="B918" s="331"/>
      <c r="C918" s="331"/>
      <c r="D918" s="331"/>
      <c r="E918" s="331"/>
      <c r="F918" s="331"/>
      <c r="G918" s="331"/>
      <c r="H918" s="331"/>
      <c r="I918" s="331"/>
      <c r="J918" s="339"/>
      <c r="K918" s="339"/>
      <c r="L918" s="339"/>
      <c r="M918" s="331"/>
      <c r="N918" s="303"/>
      <c r="O918" s="303"/>
      <c r="P918" s="303"/>
      <c r="Q918" s="303"/>
      <c r="R918" s="303"/>
      <c r="S918" s="303"/>
      <c r="T918" s="331"/>
      <c r="U918" s="331"/>
      <c r="V918" s="331"/>
      <c r="W918" s="331"/>
      <c r="X918" s="331"/>
      <c r="Y918" s="331"/>
      <c r="Z918" s="331"/>
    </row>
    <row r="919">
      <c r="A919" s="331"/>
      <c r="B919" s="331"/>
      <c r="C919" s="331"/>
      <c r="D919" s="331"/>
      <c r="E919" s="331"/>
      <c r="F919" s="331"/>
      <c r="G919" s="331"/>
      <c r="H919" s="331"/>
      <c r="I919" s="331"/>
      <c r="J919" s="339"/>
      <c r="K919" s="339"/>
      <c r="L919" s="339"/>
      <c r="M919" s="331"/>
      <c r="N919" s="303"/>
      <c r="O919" s="303"/>
      <c r="P919" s="303"/>
      <c r="Q919" s="303"/>
      <c r="R919" s="303"/>
      <c r="S919" s="303"/>
      <c r="T919" s="331"/>
      <c r="U919" s="331"/>
      <c r="V919" s="331"/>
      <c r="W919" s="331"/>
      <c r="X919" s="331"/>
      <c r="Y919" s="331"/>
      <c r="Z919" s="331"/>
    </row>
    <row r="920">
      <c r="A920" s="331"/>
      <c r="B920" s="331"/>
      <c r="C920" s="331"/>
      <c r="D920" s="331"/>
      <c r="E920" s="331"/>
      <c r="F920" s="331"/>
      <c r="G920" s="331"/>
      <c r="H920" s="331"/>
      <c r="I920" s="331"/>
      <c r="J920" s="339"/>
      <c r="K920" s="339"/>
      <c r="L920" s="339"/>
      <c r="M920" s="331"/>
      <c r="N920" s="303"/>
      <c r="O920" s="303"/>
      <c r="P920" s="303"/>
      <c r="Q920" s="303"/>
      <c r="R920" s="303"/>
      <c r="S920" s="303"/>
      <c r="T920" s="331"/>
      <c r="U920" s="331"/>
      <c r="V920" s="331"/>
      <c r="W920" s="331"/>
      <c r="X920" s="331"/>
      <c r="Y920" s="331"/>
      <c r="Z920" s="331"/>
    </row>
    <row r="921">
      <c r="A921" s="331"/>
      <c r="B921" s="331"/>
      <c r="C921" s="331"/>
      <c r="D921" s="331"/>
      <c r="E921" s="331"/>
      <c r="F921" s="331"/>
      <c r="G921" s="331"/>
      <c r="H921" s="331"/>
      <c r="I921" s="331"/>
      <c r="J921" s="339"/>
      <c r="K921" s="339"/>
      <c r="L921" s="339"/>
      <c r="M921" s="331"/>
      <c r="N921" s="303"/>
      <c r="O921" s="303"/>
      <c r="P921" s="303"/>
      <c r="Q921" s="303"/>
      <c r="R921" s="303"/>
      <c r="S921" s="303"/>
      <c r="T921" s="331"/>
      <c r="U921" s="331"/>
      <c r="V921" s="331"/>
      <c r="W921" s="331"/>
      <c r="X921" s="331"/>
      <c r="Y921" s="331"/>
      <c r="Z921" s="331"/>
    </row>
    <row r="922">
      <c r="A922" s="331"/>
      <c r="B922" s="331"/>
      <c r="C922" s="331"/>
      <c r="D922" s="331"/>
      <c r="E922" s="331"/>
      <c r="F922" s="331"/>
      <c r="G922" s="331"/>
      <c r="H922" s="331"/>
      <c r="I922" s="331"/>
      <c r="J922" s="339"/>
      <c r="K922" s="339"/>
      <c r="L922" s="339"/>
      <c r="M922" s="331"/>
      <c r="N922" s="303"/>
      <c r="O922" s="303"/>
      <c r="P922" s="303"/>
      <c r="Q922" s="303"/>
      <c r="R922" s="303"/>
      <c r="S922" s="303"/>
      <c r="T922" s="331"/>
      <c r="U922" s="331"/>
      <c r="V922" s="331"/>
      <c r="W922" s="331"/>
      <c r="X922" s="331"/>
      <c r="Y922" s="331"/>
      <c r="Z922" s="331"/>
    </row>
    <row r="923">
      <c r="A923" s="331"/>
      <c r="B923" s="331"/>
      <c r="C923" s="331"/>
      <c r="D923" s="331"/>
      <c r="E923" s="331"/>
      <c r="F923" s="331"/>
      <c r="G923" s="331"/>
      <c r="H923" s="331"/>
      <c r="I923" s="331"/>
      <c r="J923" s="339"/>
      <c r="K923" s="339"/>
      <c r="L923" s="339"/>
      <c r="M923" s="331"/>
      <c r="N923" s="303"/>
      <c r="O923" s="303"/>
      <c r="P923" s="303"/>
      <c r="Q923" s="303"/>
      <c r="R923" s="303"/>
      <c r="S923" s="303"/>
      <c r="T923" s="331"/>
      <c r="U923" s="331"/>
      <c r="V923" s="331"/>
      <c r="W923" s="331"/>
      <c r="X923" s="331"/>
      <c r="Y923" s="331"/>
      <c r="Z923" s="331"/>
    </row>
    <row r="924">
      <c r="A924" s="331"/>
      <c r="B924" s="331"/>
      <c r="C924" s="331"/>
      <c r="D924" s="331"/>
      <c r="E924" s="331"/>
      <c r="F924" s="331"/>
      <c r="G924" s="331"/>
      <c r="H924" s="331"/>
      <c r="I924" s="331"/>
      <c r="J924" s="339"/>
      <c r="K924" s="339"/>
      <c r="L924" s="339"/>
      <c r="M924" s="331"/>
      <c r="N924" s="303"/>
      <c r="O924" s="303"/>
      <c r="P924" s="303"/>
      <c r="Q924" s="303"/>
      <c r="R924" s="303"/>
      <c r="S924" s="303"/>
      <c r="T924" s="331"/>
      <c r="U924" s="331"/>
      <c r="V924" s="331"/>
      <c r="W924" s="331"/>
      <c r="X924" s="331"/>
      <c r="Y924" s="331"/>
      <c r="Z924" s="331"/>
    </row>
    <row r="925">
      <c r="A925" s="331"/>
      <c r="B925" s="331"/>
      <c r="C925" s="331"/>
      <c r="D925" s="331"/>
      <c r="E925" s="331"/>
      <c r="F925" s="331"/>
      <c r="G925" s="331"/>
      <c r="H925" s="331"/>
      <c r="I925" s="331"/>
      <c r="J925" s="339"/>
      <c r="K925" s="339"/>
      <c r="L925" s="339"/>
      <c r="M925" s="331"/>
      <c r="N925" s="303"/>
      <c r="O925" s="303"/>
      <c r="P925" s="303"/>
      <c r="Q925" s="303"/>
      <c r="R925" s="303"/>
      <c r="S925" s="303"/>
      <c r="T925" s="331"/>
      <c r="U925" s="331"/>
      <c r="V925" s="331"/>
      <c r="W925" s="331"/>
      <c r="X925" s="331"/>
      <c r="Y925" s="331"/>
      <c r="Z925" s="331"/>
    </row>
    <row r="926">
      <c r="A926" s="331"/>
      <c r="B926" s="331"/>
      <c r="C926" s="331"/>
      <c r="D926" s="331"/>
      <c r="E926" s="331"/>
      <c r="F926" s="331"/>
      <c r="G926" s="331"/>
      <c r="H926" s="331"/>
      <c r="I926" s="331"/>
      <c r="J926" s="339"/>
      <c r="K926" s="339"/>
      <c r="L926" s="339"/>
      <c r="M926" s="331"/>
      <c r="N926" s="303"/>
      <c r="O926" s="303"/>
      <c r="P926" s="303"/>
      <c r="Q926" s="303"/>
      <c r="R926" s="303"/>
      <c r="S926" s="303"/>
      <c r="T926" s="331"/>
      <c r="U926" s="331"/>
      <c r="V926" s="331"/>
      <c r="W926" s="331"/>
      <c r="X926" s="331"/>
      <c r="Y926" s="331"/>
      <c r="Z926" s="331"/>
    </row>
    <row r="927">
      <c r="A927" s="331"/>
      <c r="B927" s="331"/>
      <c r="C927" s="331"/>
      <c r="D927" s="331"/>
      <c r="E927" s="331"/>
      <c r="F927" s="331"/>
      <c r="G927" s="331"/>
      <c r="H927" s="331"/>
      <c r="I927" s="331"/>
      <c r="J927" s="339"/>
      <c r="K927" s="339"/>
      <c r="L927" s="339"/>
      <c r="M927" s="331"/>
      <c r="N927" s="303"/>
      <c r="O927" s="303"/>
      <c r="P927" s="303"/>
      <c r="Q927" s="303"/>
      <c r="R927" s="303"/>
      <c r="S927" s="303"/>
      <c r="T927" s="331"/>
      <c r="U927" s="331"/>
      <c r="V927" s="331"/>
      <c r="W927" s="331"/>
      <c r="X927" s="331"/>
      <c r="Y927" s="331"/>
      <c r="Z927" s="331"/>
    </row>
    <row r="928">
      <c r="A928" s="331"/>
      <c r="B928" s="331"/>
      <c r="C928" s="331"/>
      <c r="D928" s="331"/>
      <c r="E928" s="331"/>
      <c r="F928" s="331"/>
      <c r="G928" s="331"/>
      <c r="H928" s="331"/>
      <c r="I928" s="331"/>
      <c r="J928" s="339"/>
      <c r="K928" s="339"/>
      <c r="L928" s="339"/>
      <c r="M928" s="331"/>
      <c r="N928" s="303"/>
      <c r="O928" s="303"/>
      <c r="P928" s="303"/>
      <c r="Q928" s="303"/>
      <c r="R928" s="303"/>
      <c r="S928" s="303"/>
      <c r="T928" s="331"/>
      <c r="U928" s="331"/>
      <c r="V928" s="331"/>
      <c r="W928" s="331"/>
      <c r="X928" s="331"/>
      <c r="Y928" s="331"/>
      <c r="Z928" s="331"/>
    </row>
    <row r="929">
      <c r="A929" s="331"/>
      <c r="B929" s="331"/>
      <c r="C929" s="331"/>
      <c r="D929" s="331"/>
      <c r="E929" s="331"/>
      <c r="F929" s="331"/>
      <c r="G929" s="331"/>
      <c r="H929" s="331"/>
      <c r="I929" s="331"/>
      <c r="J929" s="339"/>
      <c r="K929" s="339"/>
      <c r="L929" s="339"/>
      <c r="M929" s="331"/>
      <c r="N929" s="303"/>
      <c r="O929" s="303"/>
      <c r="P929" s="303"/>
      <c r="Q929" s="303"/>
      <c r="R929" s="303"/>
      <c r="S929" s="303"/>
      <c r="T929" s="331"/>
      <c r="U929" s="331"/>
      <c r="V929" s="331"/>
      <c r="W929" s="331"/>
      <c r="X929" s="331"/>
      <c r="Y929" s="331"/>
      <c r="Z929" s="331"/>
    </row>
    <row r="930">
      <c r="A930" s="331"/>
      <c r="B930" s="331"/>
      <c r="C930" s="331"/>
      <c r="D930" s="331"/>
      <c r="E930" s="331"/>
      <c r="F930" s="331"/>
      <c r="G930" s="331"/>
      <c r="H930" s="331"/>
      <c r="I930" s="331"/>
      <c r="J930" s="339"/>
      <c r="K930" s="339"/>
      <c r="L930" s="339"/>
      <c r="M930" s="331"/>
      <c r="N930" s="303"/>
      <c r="O930" s="303"/>
      <c r="P930" s="303"/>
      <c r="Q930" s="303"/>
      <c r="R930" s="303"/>
      <c r="S930" s="303"/>
      <c r="T930" s="331"/>
      <c r="U930" s="331"/>
      <c r="V930" s="331"/>
      <c r="W930" s="331"/>
      <c r="X930" s="331"/>
      <c r="Y930" s="331"/>
      <c r="Z930" s="331"/>
    </row>
    <row r="931">
      <c r="A931" s="331"/>
      <c r="B931" s="331"/>
      <c r="C931" s="331"/>
      <c r="D931" s="331"/>
      <c r="E931" s="331"/>
      <c r="F931" s="331"/>
      <c r="G931" s="331"/>
      <c r="H931" s="331"/>
      <c r="I931" s="331"/>
      <c r="J931" s="339"/>
      <c r="K931" s="339"/>
      <c r="L931" s="339"/>
      <c r="M931" s="331"/>
      <c r="N931" s="303"/>
      <c r="O931" s="303"/>
      <c r="P931" s="303"/>
      <c r="Q931" s="303"/>
      <c r="R931" s="303"/>
      <c r="S931" s="303"/>
      <c r="T931" s="331"/>
      <c r="U931" s="331"/>
      <c r="V931" s="331"/>
      <c r="W931" s="331"/>
      <c r="X931" s="331"/>
      <c r="Y931" s="331"/>
      <c r="Z931" s="331"/>
    </row>
    <row r="932">
      <c r="A932" s="331"/>
      <c r="B932" s="331"/>
      <c r="C932" s="331"/>
      <c r="D932" s="331"/>
      <c r="E932" s="331"/>
      <c r="F932" s="331"/>
      <c r="G932" s="331"/>
      <c r="H932" s="331"/>
      <c r="I932" s="331"/>
      <c r="J932" s="339"/>
      <c r="K932" s="339"/>
      <c r="L932" s="339"/>
      <c r="M932" s="331"/>
      <c r="N932" s="303"/>
      <c r="O932" s="303"/>
      <c r="P932" s="303"/>
      <c r="Q932" s="303"/>
      <c r="R932" s="303"/>
      <c r="S932" s="303"/>
      <c r="T932" s="331"/>
      <c r="U932" s="331"/>
      <c r="V932" s="331"/>
      <c r="W932" s="331"/>
      <c r="X932" s="331"/>
      <c r="Y932" s="331"/>
      <c r="Z932" s="331"/>
    </row>
    <row r="933">
      <c r="A933" s="331"/>
      <c r="B933" s="331"/>
      <c r="C933" s="331"/>
      <c r="D933" s="331"/>
      <c r="E933" s="331"/>
      <c r="F933" s="331"/>
      <c r="G933" s="331"/>
      <c r="H933" s="331"/>
      <c r="I933" s="331"/>
      <c r="J933" s="339"/>
      <c r="K933" s="339"/>
      <c r="L933" s="339"/>
      <c r="M933" s="331"/>
      <c r="N933" s="303"/>
      <c r="O933" s="303"/>
      <c r="P933" s="303"/>
      <c r="Q933" s="303"/>
      <c r="R933" s="303"/>
      <c r="S933" s="303"/>
      <c r="T933" s="331"/>
      <c r="U933" s="331"/>
      <c r="V933" s="331"/>
      <c r="W933" s="331"/>
      <c r="X933" s="331"/>
      <c r="Y933" s="331"/>
      <c r="Z933" s="331"/>
    </row>
    <row r="934">
      <c r="A934" s="331"/>
      <c r="B934" s="331"/>
      <c r="C934" s="331"/>
      <c r="D934" s="331"/>
      <c r="E934" s="331"/>
      <c r="F934" s="331"/>
      <c r="G934" s="331"/>
      <c r="H934" s="331"/>
      <c r="I934" s="331"/>
      <c r="J934" s="339"/>
      <c r="K934" s="339"/>
      <c r="L934" s="339"/>
      <c r="M934" s="331"/>
      <c r="N934" s="303"/>
      <c r="O934" s="303"/>
      <c r="P934" s="303"/>
      <c r="Q934" s="303"/>
      <c r="R934" s="303"/>
      <c r="S934" s="303"/>
      <c r="T934" s="331"/>
      <c r="U934" s="331"/>
      <c r="V934" s="331"/>
      <c r="W934" s="331"/>
      <c r="X934" s="331"/>
      <c r="Y934" s="331"/>
      <c r="Z934" s="331"/>
    </row>
    <row r="935">
      <c r="A935" s="331"/>
      <c r="B935" s="331"/>
      <c r="C935" s="331"/>
      <c r="D935" s="331"/>
      <c r="E935" s="331"/>
      <c r="F935" s="331"/>
      <c r="G935" s="331"/>
      <c r="H935" s="331"/>
      <c r="I935" s="331"/>
      <c r="J935" s="339"/>
      <c r="K935" s="339"/>
      <c r="L935" s="339"/>
      <c r="M935" s="331"/>
      <c r="N935" s="303"/>
      <c r="O935" s="303"/>
      <c r="P935" s="303"/>
      <c r="Q935" s="303"/>
      <c r="R935" s="303"/>
      <c r="S935" s="303"/>
      <c r="T935" s="331"/>
      <c r="U935" s="331"/>
      <c r="V935" s="331"/>
      <c r="W935" s="331"/>
      <c r="X935" s="331"/>
      <c r="Y935" s="331"/>
      <c r="Z935" s="331"/>
    </row>
    <row r="936">
      <c r="A936" s="331"/>
      <c r="B936" s="331"/>
      <c r="C936" s="331"/>
      <c r="D936" s="331"/>
      <c r="E936" s="331"/>
      <c r="F936" s="331"/>
      <c r="G936" s="331"/>
      <c r="H936" s="331"/>
      <c r="I936" s="331"/>
      <c r="J936" s="339"/>
      <c r="K936" s="339"/>
      <c r="L936" s="339"/>
      <c r="M936" s="331"/>
      <c r="N936" s="303"/>
      <c r="O936" s="303"/>
      <c r="P936" s="303"/>
      <c r="Q936" s="303"/>
      <c r="R936" s="303"/>
      <c r="S936" s="303"/>
      <c r="T936" s="331"/>
      <c r="U936" s="331"/>
      <c r="V936" s="331"/>
      <c r="W936" s="331"/>
      <c r="X936" s="331"/>
      <c r="Y936" s="331"/>
      <c r="Z936" s="331"/>
    </row>
    <row r="937">
      <c r="A937" s="331"/>
      <c r="B937" s="331"/>
      <c r="C937" s="331"/>
      <c r="D937" s="331"/>
      <c r="E937" s="331"/>
      <c r="F937" s="331"/>
      <c r="G937" s="331"/>
      <c r="H937" s="331"/>
      <c r="I937" s="331"/>
      <c r="J937" s="339"/>
      <c r="K937" s="339"/>
      <c r="L937" s="339"/>
      <c r="M937" s="331"/>
      <c r="N937" s="303"/>
      <c r="O937" s="303"/>
      <c r="P937" s="303"/>
      <c r="Q937" s="303"/>
      <c r="R937" s="303"/>
      <c r="S937" s="303"/>
      <c r="T937" s="331"/>
      <c r="U937" s="331"/>
      <c r="V937" s="331"/>
      <c r="W937" s="331"/>
      <c r="X937" s="331"/>
      <c r="Y937" s="331"/>
      <c r="Z937" s="331"/>
    </row>
    <row r="938">
      <c r="A938" s="331"/>
      <c r="B938" s="331"/>
      <c r="C938" s="331"/>
      <c r="D938" s="331"/>
      <c r="E938" s="331"/>
      <c r="F938" s="331"/>
      <c r="G938" s="331"/>
      <c r="H938" s="331"/>
      <c r="I938" s="331"/>
      <c r="J938" s="339"/>
      <c r="K938" s="339"/>
      <c r="L938" s="339"/>
      <c r="M938" s="331"/>
      <c r="N938" s="303"/>
      <c r="O938" s="303"/>
      <c r="P938" s="303"/>
      <c r="Q938" s="303"/>
      <c r="R938" s="303"/>
      <c r="S938" s="303"/>
      <c r="T938" s="331"/>
      <c r="U938" s="331"/>
      <c r="V938" s="331"/>
      <c r="W938" s="331"/>
      <c r="X938" s="331"/>
      <c r="Y938" s="331"/>
      <c r="Z938" s="331"/>
    </row>
    <row r="939">
      <c r="A939" s="331"/>
      <c r="B939" s="331"/>
      <c r="C939" s="331"/>
      <c r="D939" s="331"/>
      <c r="E939" s="331"/>
      <c r="F939" s="331"/>
      <c r="G939" s="331"/>
      <c r="H939" s="331"/>
      <c r="I939" s="331"/>
      <c r="J939" s="339"/>
      <c r="K939" s="339"/>
      <c r="L939" s="339"/>
      <c r="M939" s="331"/>
      <c r="N939" s="303"/>
      <c r="O939" s="303"/>
      <c r="P939" s="303"/>
      <c r="Q939" s="303"/>
      <c r="R939" s="303"/>
      <c r="S939" s="303"/>
      <c r="T939" s="331"/>
      <c r="U939" s="331"/>
      <c r="V939" s="331"/>
      <c r="W939" s="331"/>
      <c r="X939" s="331"/>
      <c r="Y939" s="331"/>
      <c r="Z939" s="331"/>
    </row>
    <row r="940">
      <c r="A940" s="331"/>
      <c r="B940" s="331"/>
      <c r="C940" s="331"/>
      <c r="D940" s="331"/>
      <c r="E940" s="331"/>
      <c r="F940" s="331"/>
      <c r="G940" s="331"/>
      <c r="H940" s="331"/>
      <c r="I940" s="331"/>
      <c r="J940" s="339"/>
      <c r="K940" s="339"/>
      <c r="L940" s="339"/>
      <c r="M940" s="331"/>
      <c r="N940" s="303"/>
      <c r="O940" s="303"/>
      <c r="P940" s="303"/>
      <c r="Q940" s="303"/>
      <c r="R940" s="303"/>
      <c r="S940" s="303"/>
      <c r="T940" s="331"/>
      <c r="U940" s="331"/>
      <c r="V940" s="331"/>
      <c r="W940" s="331"/>
      <c r="X940" s="331"/>
      <c r="Y940" s="331"/>
      <c r="Z940" s="331"/>
    </row>
    <row r="941">
      <c r="A941" s="331"/>
      <c r="B941" s="331"/>
      <c r="C941" s="331"/>
      <c r="D941" s="331"/>
      <c r="E941" s="331"/>
      <c r="F941" s="331"/>
      <c r="G941" s="331"/>
      <c r="H941" s="331"/>
      <c r="I941" s="331"/>
      <c r="J941" s="339"/>
      <c r="K941" s="339"/>
      <c r="L941" s="339"/>
      <c r="M941" s="331"/>
      <c r="N941" s="303"/>
      <c r="O941" s="303"/>
      <c r="P941" s="303"/>
      <c r="Q941" s="303"/>
      <c r="R941" s="303"/>
      <c r="S941" s="303"/>
      <c r="T941" s="331"/>
      <c r="U941" s="331"/>
      <c r="V941" s="331"/>
      <c r="W941" s="331"/>
      <c r="X941" s="331"/>
      <c r="Y941" s="331"/>
      <c r="Z941" s="331"/>
    </row>
    <row r="942">
      <c r="A942" s="331"/>
      <c r="B942" s="331"/>
      <c r="C942" s="331"/>
      <c r="D942" s="331"/>
      <c r="E942" s="331"/>
      <c r="F942" s="331"/>
      <c r="G942" s="331"/>
      <c r="H942" s="331"/>
      <c r="I942" s="331"/>
      <c r="J942" s="339"/>
      <c r="K942" s="339"/>
      <c r="L942" s="339"/>
      <c r="M942" s="331"/>
      <c r="N942" s="303"/>
      <c r="O942" s="303"/>
      <c r="P942" s="303"/>
      <c r="Q942" s="303"/>
      <c r="R942" s="303"/>
      <c r="S942" s="303"/>
      <c r="T942" s="331"/>
      <c r="U942" s="331"/>
      <c r="V942" s="331"/>
      <c r="W942" s="331"/>
      <c r="X942" s="331"/>
      <c r="Y942" s="331"/>
      <c r="Z942" s="331"/>
    </row>
    <row r="943">
      <c r="A943" s="331"/>
      <c r="B943" s="331"/>
      <c r="C943" s="331"/>
      <c r="D943" s="331"/>
      <c r="E943" s="331"/>
      <c r="F943" s="331"/>
      <c r="G943" s="331"/>
      <c r="H943" s="331"/>
      <c r="I943" s="331"/>
      <c r="J943" s="339"/>
      <c r="K943" s="339"/>
      <c r="L943" s="339"/>
      <c r="M943" s="331"/>
      <c r="N943" s="303"/>
      <c r="O943" s="303"/>
      <c r="P943" s="303"/>
      <c r="Q943" s="303"/>
      <c r="R943" s="303"/>
      <c r="S943" s="303"/>
      <c r="T943" s="331"/>
      <c r="U943" s="331"/>
      <c r="V943" s="331"/>
      <c r="W943" s="331"/>
      <c r="X943" s="331"/>
      <c r="Y943" s="331"/>
      <c r="Z943" s="331"/>
    </row>
    <row r="944">
      <c r="A944" s="331"/>
      <c r="B944" s="331"/>
      <c r="C944" s="331"/>
      <c r="D944" s="331"/>
      <c r="E944" s="331"/>
      <c r="F944" s="331"/>
      <c r="G944" s="331"/>
      <c r="H944" s="331"/>
      <c r="I944" s="331"/>
      <c r="J944" s="339"/>
      <c r="K944" s="339"/>
      <c r="L944" s="339"/>
      <c r="M944" s="331"/>
      <c r="N944" s="303"/>
      <c r="O944" s="303"/>
      <c r="P944" s="303"/>
      <c r="Q944" s="303"/>
      <c r="R944" s="303"/>
      <c r="S944" s="303"/>
      <c r="T944" s="331"/>
      <c r="U944" s="331"/>
      <c r="V944" s="331"/>
      <c r="W944" s="331"/>
      <c r="X944" s="331"/>
      <c r="Y944" s="331"/>
      <c r="Z944" s="331"/>
    </row>
    <row r="945">
      <c r="A945" s="331"/>
      <c r="B945" s="331"/>
      <c r="C945" s="331"/>
      <c r="D945" s="331"/>
      <c r="E945" s="331"/>
      <c r="F945" s="331"/>
      <c r="G945" s="331"/>
      <c r="H945" s="331"/>
      <c r="I945" s="331"/>
      <c r="J945" s="339"/>
      <c r="K945" s="339"/>
      <c r="L945" s="339"/>
      <c r="M945" s="331"/>
      <c r="N945" s="303"/>
      <c r="O945" s="303"/>
      <c r="P945" s="303"/>
      <c r="Q945" s="303"/>
      <c r="R945" s="303"/>
      <c r="S945" s="303"/>
      <c r="T945" s="331"/>
      <c r="U945" s="331"/>
      <c r="V945" s="331"/>
      <c r="W945" s="331"/>
      <c r="X945" s="331"/>
      <c r="Y945" s="331"/>
      <c r="Z945" s="331"/>
    </row>
    <row r="946">
      <c r="A946" s="331"/>
      <c r="B946" s="331"/>
      <c r="C946" s="331"/>
      <c r="D946" s="331"/>
      <c r="E946" s="331"/>
      <c r="F946" s="331"/>
      <c r="G946" s="331"/>
      <c r="H946" s="331"/>
      <c r="I946" s="331"/>
      <c r="J946" s="339"/>
      <c r="K946" s="339"/>
      <c r="L946" s="339"/>
      <c r="M946" s="331"/>
      <c r="N946" s="303"/>
      <c r="O946" s="303"/>
      <c r="P946" s="303"/>
      <c r="Q946" s="303"/>
      <c r="R946" s="303"/>
      <c r="S946" s="303"/>
      <c r="T946" s="331"/>
      <c r="U946" s="331"/>
      <c r="V946" s="331"/>
      <c r="W946" s="331"/>
      <c r="X946" s="331"/>
      <c r="Y946" s="331"/>
      <c r="Z946" s="331"/>
    </row>
    <row r="947">
      <c r="A947" s="331"/>
      <c r="B947" s="331"/>
      <c r="C947" s="331"/>
      <c r="D947" s="331"/>
      <c r="E947" s="331"/>
      <c r="F947" s="331"/>
      <c r="G947" s="331"/>
      <c r="H947" s="331"/>
      <c r="I947" s="331"/>
      <c r="J947" s="339"/>
      <c r="K947" s="339"/>
      <c r="L947" s="339"/>
      <c r="M947" s="331"/>
      <c r="N947" s="303"/>
      <c r="O947" s="303"/>
      <c r="P947" s="303"/>
      <c r="Q947" s="303"/>
      <c r="R947" s="303"/>
      <c r="S947" s="303"/>
      <c r="T947" s="331"/>
      <c r="U947" s="331"/>
      <c r="V947" s="331"/>
      <c r="W947" s="331"/>
      <c r="X947" s="331"/>
      <c r="Y947" s="331"/>
      <c r="Z947" s="331"/>
    </row>
    <row r="948">
      <c r="A948" s="331"/>
      <c r="B948" s="331"/>
      <c r="C948" s="331"/>
      <c r="D948" s="331"/>
      <c r="E948" s="331"/>
      <c r="F948" s="331"/>
      <c r="G948" s="331"/>
      <c r="H948" s="331"/>
      <c r="I948" s="331"/>
      <c r="J948" s="339"/>
      <c r="K948" s="339"/>
      <c r="L948" s="339"/>
      <c r="M948" s="331"/>
      <c r="N948" s="303"/>
      <c r="O948" s="303"/>
      <c r="P948" s="303"/>
      <c r="Q948" s="303"/>
      <c r="R948" s="303"/>
      <c r="S948" s="303"/>
      <c r="T948" s="331"/>
      <c r="U948" s="331"/>
      <c r="V948" s="331"/>
      <c r="W948" s="331"/>
      <c r="X948" s="331"/>
      <c r="Y948" s="331"/>
      <c r="Z948" s="331"/>
    </row>
    <row r="949">
      <c r="A949" s="331"/>
      <c r="B949" s="331"/>
      <c r="C949" s="331"/>
      <c r="D949" s="331"/>
      <c r="E949" s="331"/>
      <c r="F949" s="331"/>
      <c r="G949" s="331"/>
      <c r="H949" s="331"/>
      <c r="I949" s="331"/>
      <c r="J949" s="339"/>
      <c r="K949" s="339"/>
      <c r="L949" s="339"/>
      <c r="M949" s="331"/>
      <c r="N949" s="303"/>
      <c r="O949" s="303"/>
      <c r="P949" s="303"/>
      <c r="Q949" s="303"/>
      <c r="R949" s="303"/>
      <c r="S949" s="303"/>
      <c r="T949" s="331"/>
      <c r="U949" s="331"/>
      <c r="V949" s="331"/>
      <c r="W949" s="331"/>
      <c r="X949" s="331"/>
      <c r="Y949" s="331"/>
      <c r="Z949" s="331"/>
    </row>
    <row r="950">
      <c r="A950" s="331"/>
      <c r="B950" s="331"/>
      <c r="C950" s="331"/>
      <c r="D950" s="331"/>
      <c r="E950" s="331"/>
      <c r="F950" s="331"/>
      <c r="G950" s="331"/>
      <c r="H950" s="331"/>
      <c r="I950" s="331"/>
      <c r="J950" s="339"/>
      <c r="K950" s="339"/>
      <c r="L950" s="339"/>
      <c r="M950" s="331"/>
      <c r="N950" s="303"/>
      <c r="O950" s="303"/>
      <c r="P950" s="303"/>
      <c r="Q950" s="303"/>
      <c r="R950" s="303"/>
      <c r="S950" s="303"/>
      <c r="T950" s="331"/>
      <c r="U950" s="331"/>
      <c r="V950" s="331"/>
      <c r="W950" s="331"/>
      <c r="X950" s="331"/>
      <c r="Y950" s="331"/>
      <c r="Z950" s="331"/>
    </row>
    <row r="951">
      <c r="A951" s="331"/>
      <c r="B951" s="331"/>
      <c r="C951" s="331"/>
      <c r="D951" s="331"/>
      <c r="E951" s="331"/>
      <c r="F951" s="331"/>
      <c r="G951" s="331"/>
      <c r="H951" s="331"/>
      <c r="I951" s="331"/>
      <c r="J951" s="339"/>
      <c r="K951" s="339"/>
      <c r="L951" s="339"/>
      <c r="M951" s="331"/>
      <c r="N951" s="303"/>
      <c r="O951" s="303"/>
      <c r="P951" s="303"/>
      <c r="Q951" s="303"/>
      <c r="R951" s="303"/>
      <c r="S951" s="303"/>
      <c r="T951" s="331"/>
      <c r="U951" s="331"/>
      <c r="V951" s="331"/>
      <c r="W951" s="331"/>
      <c r="X951" s="331"/>
      <c r="Y951" s="331"/>
      <c r="Z951" s="331"/>
    </row>
    <row r="952">
      <c r="A952" s="331"/>
      <c r="B952" s="331"/>
      <c r="C952" s="331"/>
      <c r="D952" s="331"/>
      <c r="E952" s="331"/>
      <c r="F952" s="331"/>
      <c r="G952" s="331"/>
      <c r="H952" s="331"/>
      <c r="I952" s="331"/>
      <c r="J952" s="339"/>
      <c r="K952" s="339"/>
      <c r="L952" s="339"/>
      <c r="M952" s="331"/>
      <c r="N952" s="303"/>
      <c r="O952" s="303"/>
      <c r="P952" s="303"/>
      <c r="Q952" s="303"/>
      <c r="R952" s="303"/>
      <c r="S952" s="303"/>
      <c r="T952" s="331"/>
      <c r="U952" s="331"/>
      <c r="V952" s="331"/>
      <c r="W952" s="331"/>
      <c r="X952" s="331"/>
      <c r="Y952" s="331"/>
      <c r="Z952" s="331"/>
    </row>
    <row r="953">
      <c r="A953" s="331"/>
      <c r="B953" s="331"/>
      <c r="C953" s="331"/>
      <c r="D953" s="331"/>
      <c r="E953" s="331"/>
      <c r="F953" s="331"/>
      <c r="G953" s="331"/>
      <c r="H953" s="331"/>
      <c r="I953" s="331"/>
      <c r="J953" s="339"/>
      <c r="K953" s="339"/>
      <c r="L953" s="339"/>
      <c r="M953" s="331"/>
      <c r="N953" s="303"/>
      <c r="O953" s="303"/>
      <c r="P953" s="303"/>
      <c r="Q953" s="303"/>
      <c r="R953" s="303"/>
      <c r="S953" s="303"/>
      <c r="T953" s="331"/>
      <c r="U953" s="331"/>
      <c r="V953" s="331"/>
      <c r="W953" s="331"/>
      <c r="X953" s="331"/>
      <c r="Y953" s="331"/>
      <c r="Z953" s="331"/>
    </row>
    <row r="954">
      <c r="A954" s="331"/>
      <c r="B954" s="331"/>
      <c r="C954" s="331"/>
      <c r="D954" s="331"/>
      <c r="E954" s="331"/>
      <c r="F954" s="331"/>
      <c r="G954" s="331"/>
      <c r="H954" s="331"/>
      <c r="I954" s="331"/>
      <c r="J954" s="339"/>
      <c r="K954" s="339"/>
      <c r="L954" s="339"/>
      <c r="M954" s="331"/>
      <c r="N954" s="303"/>
      <c r="O954" s="303"/>
      <c r="P954" s="303"/>
      <c r="Q954" s="303"/>
      <c r="R954" s="303"/>
      <c r="S954" s="303"/>
      <c r="T954" s="331"/>
      <c r="U954" s="331"/>
      <c r="V954" s="331"/>
      <c r="W954" s="331"/>
      <c r="X954" s="331"/>
      <c r="Y954" s="331"/>
      <c r="Z954" s="331"/>
    </row>
    <row r="955">
      <c r="A955" s="331"/>
      <c r="B955" s="331"/>
      <c r="C955" s="331"/>
      <c r="D955" s="331"/>
      <c r="E955" s="331"/>
      <c r="F955" s="331"/>
      <c r="G955" s="331"/>
      <c r="H955" s="331"/>
      <c r="I955" s="331"/>
      <c r="J955" s="339"/>
      <c r="K955" s="339"/>
      <c r="L955" s="339"/>
      <c r="M955" s="331"/>
      <c r="N955" s="303"/>
      <c r="O955" s="303"/>
      <c r="P955" s="303"/>
      <c r="Q955" s="303"/>
      <c r="R955" s="303"/>
      <c r="S955" s="303"/>
      <c r="T955" s="331"/>
      <c r="U955" s="331"/>
      <c r="V955" s="331"/>
      <c r="W955" s="331"/>
      <c r="X955" s="331"/>
      <c r="Y955" s="331"/>
      <c r="Z955" s="331"/>
    </row>
    <row r="956">
      <c r="A956" s="331"/>
      <c r="B956" s="331"/>
      <c r="C956" s="331"/>
      <c r="D956" s="331"/>
      <c r="E956" s="331"/>
      <c r="F956" s="331"/>
      <c r="G956" s="331"/>
      <c r="H956" s="331"/>
      <c r="I956" s="331"/>
      <c r="J956" s="339"/>
      <c r="K956" s="339"/>
      <c r="L956" s="339"/>
      <c r="M956" s="331"/>
      <c r="N956" s="303"/>
      <c r="O956" s="303"/>
      <c r="P956" s="303"/>
      <c r="Q956" s="303"/>
      <c r="R956" s="303"/>
      <c r="S956" s="303"/>
      <c r="T956" s="331"/>
      <c r="U956" s="331"/>
      <c r="V956" s="331"/>
      <c r="W956" s="331"/>
      <c r="X956" s="331"/>
      <c r="Y956" s="331"/>
      <c r="Z956" s="331"/>
    </row>
    <row r="957">
      <c r="A957" s="331"/>
      <c r="B957" s="331"/>
      <c r="C957" s="331"/>
      <c r="D957" s="331"/>
      <c r="E957" s="331"/>
      <c r="F957" s="331"/>
      <c r="G957" s="331"/>
      <c r="H957" s="331"/>
      <c r="I957" s="331"/>
      <c r="J957" s="339"/>
      <c r="K957" s="339"/>
      <c r="L957" s="339"/>
      <c r="M957" s="331"/>
      <c r="N957" s="303"/>
      <c r="O957" s="303"/>
      <c r="P957" s="303"/>
      <c r="Q957" s="303"/>
      <c r="R957" s="303"/>
      <c r="S957" s="303"/>
      <c r="T957" s="331"/>
      <c r="U957" s="331"/>
      <c r="V957" s="331"/>
      <c r="W957" s="331"/>
      <c r="X957" s="331"/>
      <c r="Y957" s="331"/>
      <c r="Z957" s="331"/>
    </row>
    <row r="958">
      <c r="A958" s="331"/>
      <c r="B958" s="331"/>
      <c r="C958" s="331"/>
      <c r="D958" s="331"/>
      <c r="E958" s="331"/>
      <c r="F958" s="331"/>
      <c r="G958" s="331"/>
      <c r="H958" s="331"/>
      <c r="I958" s="331"/>
      <c r="J958" s="339"/>
      <c r="K958" s="339"/>
      <c r="L958" s="339"/>
      <c r="M958" s="331"/>
      <c r="N958" s="303"/>
      <c r="O958" s="303"/>
      <c r="P958" s="303"/>
      <c r="Q958" s="303"/>
      <c r="R958" s="303"/>
      <c r="S958" s="303"/>
      <c r="T958" s="331"/>
      <c r="U958" s="331"/>
      <c r="V958" s="331"/>
      <c r="W958" s="331"/>
      <c r="X958" s="331"/>
      <c r="Y958" s="331"/>
      <c r="Z958" s="331"/>
    </row>
    <row r="959">
      <c r="A959" s="331"/>
      <c r="B959" s="331"/>
      <c r="C959" s="331"/>
      <c r="D959" s="331"/>
      <c r="E959" s="331"/>
      <c r="F959" s="331"/>
      <c r="G959" s="331"/>
      <c r="H959" s="331"/>
      <c r="I959" s="331"/>
      <c r="J959" s="339"/>
      <c r="K959" s="339"/>
      <c r="L959" s="339"/>
      <c r="M959" s="331"/>
      <c r="N959" s="303"/>
      <c r="O959" s="303"/>
      <c r="P959" s="303"/>
      <c r="Q959" s="303"/>
      <c r="R959" s="303"/>
      <c r="S959" s="303"/>
      <c r="T959" s="331"/>
      <c r="U959" s="331"/>
      <c r="V959" s="331"/>
      <c r="W959" s="331"/>
      <c r="X959" s="331"/>
      <c r="Y959" s="331"/>
      <c r="Z959" s="331"/>
    </row>
    <row r="960">
      <c r="A960" s="331"/>
      <c r="B960" s="331"/>
      <c r="C960" s="331"/>
      <c r="D960" s="331"/>
      <c r="E960" s="331"/>
      <c r="F960" s="331"/>
      <c r="G960" s="331"/>
      <c r="H960" s="331"/>
      <c r="I960" s="331"/>
      <c r="J960" s="339"/>
      <c r="K960" s="339"/>
      <c r="L960" s="339"/>
      <c r="M960" s="331"/>
      <c r="N960" s="303"/>
      <c r="O960" s="303"/>
      <c r="P960" s="303"/>
      <c r="Q960" s="303"/>
      <c r="R960" s="303"/>
      <c r="S960" s="303"/>
      <c r="T960" s="331"/>
      <c r="U960" s="331"/>
      <c r="V960" s="331"/>
      <c r="W960" s="331"/>
      <c r="X960" s="331"/>
      <c r="Y960" s="331"/>
      <c r="Z960" s="331"/>
    </row>
    <row r="961">
      <c r="A961" s="331"/>
      <c r="B961" s="331"/>
      <c r="C961" s="331"/>
      <c r="D961" s="331"/>
      <c r="E961" s="331"/>
      <c r="F961" s="331"/>
      <c r="G961" s="331"/>
      <c r="H961" s="331"/>
      <c r="I961" s="331"/>
      <c r="J961" s="339"/>
      <c r="K961" s="339"/>
      <c r="L961" s="339"/>
      <c r="M961" s="331"/>
      <c r="N961" s="303"/>
      <c r="O961" s="303"/>
      <c r="P961" s="303"/>
      <c r="Q961" s="303"/>
      <c r="R961" s="303"/>
      <c r="S961" s="303"/>
      <c r="T961" s="331"/>
      <c r="U961" s="331"/>
      <c r="V961" s="331"/>
      <c r="W961" s="331"/>
      <c r="X961" s="331"/>
      <c r="Y961" s="331"/>
      <c r="Z961" s="331"/>
    </row>
    <row r="962">
      <c r="A962" s="331"/>
      <c r="B962" s="331"/>
      <c r="C962" s="331"/>
      <c r="D962" s="331"/>
      <c r="E962" s="331"/>
      <c r="F962" s="331"/>
      <c r="G962" s="331"/>
      <c r="H962" s="331"/>
      <c r="I962" s="331"/>
      <c r="J962" s="339"/>
      <c r="K962" s="339"/>
      <c r="L962" s="339"/>
      <c r="M962" s="331"/>
      <c r="N962" s="303"/>
      <c r="O962" s="303"/>
      <c r="P962" s="303"/>
      <c r="Q962" s="303"/>
      <c r="R962" s="303"/>
      <c r="S962" s="303"/>
      <c r="T962" s="331"/>
      <c r="U962" s="331"/>
      <c r="V962" s="331"/>
      <c r="W962" s="331"/>
      <c r="X962" s="331"/>
      <c r="Y962" s="331"/>
      <c r="Z962" s="331"/>
    </row>
    <row r="963">
      <c r="A963" s="331"/>
      <c r="B963" s="331"/>
      <c r="C963" s="331"/>
      <c r="D963" s="331"/>
      <c r="E963" s="331"/>
      <c r="F963" s="331"/>
      <c r="G963" s="331"/>
      <c r="H963" s="331"/>
      <c r="I963" s="331"/>
      <c r="J963" s="339"/>
      <c r="K963" s="339"/>
      <c r="L963" s="339"/>
      <c r="M963" s="331"/>
      <c r="N963" s="303"/>
      <c r="O963" s="303"/>
      <c r="P963" s="303"/>
      <c r="Q963" s="303"/>
      <c r="R963" s="303"/>
      <c r="S963" s="303"/>
      <c r="T963" s="331"/>
      <c r="U963" s="331"/>
      <c r="V963" s="331"/>
      <c r="W963" s="331"/>
      <c r="X963" s="331"/>
      <c r="Y963" s="331"/>
      <c r="Z963" s="331"/>
    </row>
    <row r="964">
      <c r="A964" s="331"/>
      <c r="B964" s="331"/>
      <c r="C964" s="331"/>
      <c r="D964" s="331"/>
      <c r="E964" s="331"/>
      <c r="F964" s="331"/>
      <c r="G964" s="331"/>
      <c r="H964" s="331"/>
      <c r="I964" s="331"/>
      <c r="J964" s="339"/>
      <c r="K964" s="339"/>
      <c r="L964" s="339"/>
      <c r="M964" s="331"/>
      <c r="N964" s="303"/>
      <c r="O964" s="303"/>
      <c r="P964" s="303"/>
      <c r="Q964" s="303"/>
      <c r="R964" s="303"/>
      <c r="S964" s="303"/>
      <c r="T964" s="331"/>
      <c r="U964" s="331"/>
      <c r="V964" s="331"/>
      <c r="W964" s="331"/>
      <c r="X964" s="331"/>
      <c r="Y964" s="331"/>
      <c r="Z964" s="331"/>
    </row>
    <row r="965">
      <c r="A965" s="331"/>
      <c r="B965" s="331"/>
      <c r="C965" s="331"/>
      <c r="D965" s="331"/>
      <c r="E965" s="331"/>
      <c r="F965" s="331"/>
      <c r="G965" s="331"/>
      <c r="H965" s="331"/>
      <c r="I965" s="331"/>
      <c r="J965" s="339"/>
      <c r="K965" s="339"/>
      <c r="L965" s="339"/>
      <c r="M965" s="331"/>
      <c r="N965" s="303"/>
      <c r="O965" s="303"/>
      <c r="P965" s="303"/>
      <c r="Q965" s="303"/>
      <c r="R965" s="303"/>
      <c r="S965" s="303"/>
      <c r="T965" s="331"/>
      <c r="U965" s="331"/>
      <c r="V965" s="331"/>
      <c r="W965" s="331"/>
      <c r="X965" s="331"/>
      <c r="Y965" s="331"/>
      <c r="Z965" s="331"/>
    </row>
    <row r="966">
      <c r="A966" s="331"/>
      <c r="B966" s="331"/>
      <c r="C966" s="331"/>
      <c r="D966" s="331"/>
      <c r="E966" s="331"/>
      <c r="F966" s="331"/>
      <c r="G966" s="331"/>
      <c r="H966" s="331"/>
      <c r="I966" s="331"/>
      <c r="J966" s="339"/>
      <c r="K966" s="339"/>
      <c r="L966" s="339"/>
      <c r="M966" s="331"/>
      <c r="N966" s="303"/>
      <c r="O966" s="303"/>
      <c r="P966" s="303"/>
      <c r="Q966" s="303"/>
      <c r="R966" s="303"/>
      <c r="S966" s="303"/>
      <c r="T966" s="331"/>
      <c r="U966" s="331"/>
      <c r="V966" s="331"/>
      <c r="W966" s="331"/>
      <c r="X966" s="331"/>
      <c r="Y966" s="331"/>
      <c r="Z966" s="331"/>
    </row>
    <row r="967">
      <c r="A967" s="331"/>
      <c r="B967" s="331"/>
      <c r="C967" s="331"/>
      <c r="D967" s="331"/>
      <c r="E967" s="331"/>
      <c r="F967" s="331"/>
      <c r="G967" s="331"/>
      <c r="H967" s="331"/>
      <c r="I967" s="331"/>
      <c r="J967" s="339"/>
      <c r="K967" s="339"/>
      <c r="L967" s="339"/>
      <c r="M967" s="331"/>
      <c r="N967" s="303"/>
      <c r="O967" s="303"/>
      <c r="P967" s="303"/>
      <c r="Q967" s="303"/>
      <c r="R967" s="303"/>
      <c r="S967" s="303"/>
      <c r="T967" s="331"/>
      <c r="U967" s="331"/>
      <c r="V967" s="331"/>
      <c r="W967" s="331"/>
      <c r="X967" s="331"/>
      <c r="Y967" s="331"/>
      <c r="Z967" s="331"/>
    </row>
    <row r="968">
      <c r="A968" s="331"/>
      <c r="B968" s="331"/>
      <c r="C968" s="331"/>
      <c r="D968" s="331"/>
      <c r="E968" s="331"/>
      <c r="F968" s="331"/>
      <c r="G968" s="331"/>
      <c r="H968" s="331"/>
      <c r="I968" s="331"/>
      <c r="J968" s="339"/>
      <c r="K968" s="339"/>
      <c r="L968" s="339"/>
      <c r="M968" s="331"/>
      <c r="N968" s="303"/>
      <c r="O968" s="303"/>
      <c r="P968" s="303"/>
      <c r="Q968" s="303"/>
      <c r="R968" s="303"/>
      <c r="S968" s="303"/>
      <c r="T968" s="331"/>
      <c r="U968" s="331"/>
      <c r="V968" s="331"/>
      <c r="W968" s="331"/>
      <c r="X968" s="331"/>
      <c r="Y968" s="331"/>
      <c r="Z968" s="331"/>
    </row>
    <row r="969">
      <c r="A969" s="331"/>
      <c r="B969" s="331"/>
      <c r="C969" s="331"/>
      <c r="D969" s="331"/>
      <c r="E969" s="331"/>
      <c r="F969" s="331"/>
      <c r="G969" s="331"/>
      <c r="H969" s="331"/>
      <c r="I969" s="331"/>
      <c r="J969" s="339"/>
      <c r="K969" s="339"/>
      <c r="L969" s="339"/>
      <c r="M969" s="331"/>
      <c r="N969" s="303"/>
      <c r="O969" s="303"/>
      <c r="P969" s="303"/>
      <c r="Q969" s="303"/>
      <c r="R969" s="303"/>
      <c r="S969" s="303"/>
      <c r="T969" s="331"/>
      <c r="U969" s="331"/>
      <c r="V969" s="331"/>
      <c r="W969" s="331"/>
      <c r="X969" s="331"/>
      <c r="Y969" s="331"/>
      <c r="Z969" s="331"/>
    </row>
    <row r="970">
      <c r="A970" s="331"/>
      <c r="B970" s="331"/>
      <c r="C970" s="331"/>
      <c r="D970" s="331"/>
      <c r="E970" s="331"/>
      <c r="F970" s="331"/>
      <c r="G970" s="331"/>
      <c r="H970" s="331"/>
      <c r="I970" s="331"/>
      <c r="J970" s="339"/>
      <c r="K970" s="339"/>
      <c r="L970" s="339"/>
      <c r="M970" s="331"/>
      <c r="N970" s="303"/>
      <c r="O970" s="303"/>
      <c r="P970" s="303"/>
      <c r="Q970" s="303"/>
      <c r="R970" s="303"/>
      <c r="S970" s="303"/>
      <c r="T970" s="331"/>
      <c r="U970" s="331"/>
      <c r="V970" s="331"/>
      <c r="W970" s="331"/>
      <c r="X970" s="331"/>
      <c r="Y970" s="331"/>
      <c r="Z970" s="331"/>
    </row>
    <row r="971">
      <c r="A971" s="331"/>
      <c r="B971" s="331"/>
      <c r="C971" s="331"/>
      <c r="D971" s="331"/>
      <c r="E971" s="331"/>
      <c r="F971" s="331"/>
      <c r="G971" s="331"/>
      <c r="H971" s="331"/>
      <c r="I971" s="331"/>
      <c r="J971" s="339"/>
      <c r="K971" s="339"/>
      <c r="L971" s="339"/>
      <c r="M971" s="331"/>
      <c r="N971" s="303"/>
      <c r="O971" s="303"/>
      <c r="P971" s="303"/>
      <c r="Q971" s="303"/>
      <c r="R971" s="303"/>
      <c r="S971" s="303"/>
      <c r="T971" s="331"/>
      <c r="U971" s="331"/>
      <c r="V971" s="331"/>
      <c r="W971" s="331"/>
      <c r="X971" s="331"/>
      <c r="Y971" s="331"/>
      <c r="Z971" s="331"/>
    </row>
    <row r="972">
      <c r="A972" s="331"/>
      <c r="B972" s="331"/>
      <c r="C972" s="331"/>
      <c r="D972" s="331"/>
      <c r="E972" s="331"/>
      <c r="F972" s="331"/>
      <c r="G972" s="331"/>
      <c r="H972" s="331"/>
      <c r="I972" s="331"/>
      <c r="J972" s="339"/>
      <c r="K972" s="339"/>
      <c r="L972" s="339"/>
      <c r="M972" s="331"/>
      <c r="N972" s="303"/>
      <c r="O972" s="303"/>
      <c r="P972" s="303"/>
      <c r="Q972" s="303"/>
      <c r="R972" s="303"/>
      <c r="S972" s="303"/>
      <c r="T972" s="331"/>
      <c r="U972" s="331"/>
      <c r="V972" s="331"/>
      <c r="W972" s="331"/>
      <c r="X972" s="331"/>
      <c r="Y972" s="331"/>
      <c r="Z972" s="331"/>
    </row>
    <row r="973">
      <c r="A973" s="331"/>
      <c r="B973" s="331"/>
      <c r="C973" s="331"/>
      <c r="D973" s="331"/>
      <c r="E973" s="331"/>
      <c r="F973" s="331"/>
      <c r="G973" s="331"/>
      <c r="H973" s="331"/>
      <c r="I973" s="331"/>
      <c r="J973" s="339"/>
      <c r="K973" s="339"/>
      <c r="L973" s="339"/>
      <c r="M973" s="331"/>
      <c r="N973" s="303"/>
      <c r="O973" s="303"/>
      <c r="P973" s="303"/>
      <c r="Q973" s="303"/>
      <c r="R973" s="303"/>
      <c r="S973" s="303"/>
      <c r="T973" s="331"/>
      <c r="U973" s="331"/>
      <c r="V973" s="331"/>
      <c r="W973" s="331"/>
      <c r="X973" s="331"/>
      <c r="Y973" s="331"/>
      <c r="Z973" s="331"/>
    </row>
    <row r="974">
      <c r="A974" s="331"/>
      <c r="B974" s="331"/>
      <c r="C974" s="331"/>
      <c r="D974" s="331"/>
      <c r="E974" s="331"/>
      <c r="F974" s="331"/>
      <c r="G974" s="331"/>
      <c r="H974" s="331"/>
      <c r="I974" s="331"/>
      <c r="J974" s="339"/>
      <c r="K974" s="339"/>
      <c r="L974" s="339"/>
      <c r="M974" s="331"/>
      <c r="N974" s="303"/>
      <c r="O974" s="303"/>
      <c r="P974" s="303"/>
      <c r="Q974" s="303"/>
      <c r="R974" s="303"/>
      <c r="S974" s="303"/>
      <c r="T974" s="331"/>
      <c r="U974" s="331"/>
      <c r="V974" s="331"/>
      <c r="W974" s="331"/>
      <c r="X974" s="331"/>
      <c r="Y974" s="331"/>
      <c r="Z974" s="331"/>
    </row>
    <row r="975">
      <c r="A975" s="331"/>
      <c r="B975" s="331"/>
      <c r="C975" s="331"/>
      <c r="D975" s="331"/>
      <c r="E975" s="331"/>
      <c r="F975" s="331"/>
      <c r="G975" s="331"/>
      <c r="H975" s="331"/>
      <c r="I975" s="331"/>
      <c r="J975" s="339"/>
      <c r="K975" s="339"/>
      <c r="L975" s="339"/>
      <c r="M975" s="331"/>
      <c r="N975" s="303"/>
      <c r="O975" s="303"/>
      <c r="P975" s="303"/>
      <c r="Q975" s="303"/>
      <c r="R975" s="303"/>
      <c r="S975" s="303"/>
      <c r="T975" s="331"/>
      <c r="U975" s="331"/>
      <c r="V975" s="331"/>
      <c r="W975" s="331"/>
      <c r="X975" s="331"/>
      <c r="Y975" s="331"/>
      <c r="Z975" s="331"/>
    </row>
    <row r="976">
      <c r="A976" s="331"/>
      <c r="B976" s="331"/>
      <c r="C976" s="331"/>
      <c r="D976" s="331"/>
      <c r="E976" s="331"/>
      <c r="F976" s="331"/>
      <c r="G976" s="331"/>
      <c r="H976" s="331"/>
      <c r="I976" s="331"/>
      <c r="J976" s="339"/>
      <c r="K976" s="339"/>
      <c r="L976" s="339"/>
      <c r="M976" s="331"/>
      <c r="N976" s="303"/>
      <c r="O976" s="303"/>
      <c r="P976" s="303"/>
      <c r="Q976" s="303"/>
      <c r="R976" s="303"/>
      <c r="S976" s="303"/>
      <c r="T976" s="331"/>
      <c r="U976" s="331"/>
      <c r="V976" s="331"/>
      <c r="W976" s="331"/>
      <c r="X976" s="331"/>
      <c r="Y976" s="331"/>
      <c r="Z976" s="331"/>
    </row>
    <row r="977">
      <c r="A977" s="331"/>
      <c r="B977" s="331"/>
      <c r="C977" s="331"/>
      <c r="D977" s="331"/>
      <c r="E977" s="331"/>
      <c r="F977" s="331"/>
      <c r="G977" s="331"/>
      <c r="H977" s="331"/>
      <c r="I977" s="331"/>
      <c r="J977" s="339"/>
      <c r="K977" s="339"/>
      <c r="L977" s="339"/>
      <c r="M977" s="331"/>
      <c r="N977" s="303"/>
      <c r="O977" s="303"/>
      <c r="P977" s="303"/>
      <c r="Q977" s="303"/>
      <c r="R977" s="303"/>
      <c r="S977" s="303"/>
      <c r="T977" s="331"/>
      <c r="U977" s="331"/>
      <c r="V977" s="331"/>
      <c r="W977" s="331"/>
      <c r="X977" s="331"/>
      <c r="Y977" s="331"/>
      <c r="Z977" s="331"/>
    </row>
    <row r="978">
      <c r="A978" s="331"/>
      <c r="B978" s="331"/>
      <c r="C978" s="331"/>
      <c r="D978" s="331"/>
      <c r="E978" s="331"/>
      <c r="F978" s="331"/>
      <c r="G978" s="331"/>
      <c r="H978" s="331"/>
      <c r="I978" s="331"/>
      <c r="J978" s="339"/>
      <c r="K978" s="339"/>
      <c r="L978" s="339"/>
      <c r="M978" s="331"/>
      <c r="N978" s="303"/>
      <c r="O978" s="303"/>
      <c r="P978" s="303"/>
      <c r="Q978" s="303"/>
      <c r="R978" s="303"/>
      <c r="S978" s="303"/>
      <c r="T978" s="331"/>
      <c r="U978" s="331"/>
      <c r="V978" s="331"/>
      <c r="W978" s="331"/>
      <c r="X978" s="331"/>
      <c r="Y978" s="331"/>
      <c r="Z978" s="331"/>
    </row>
    <row r="979">
      <c r="A979" s="331"/>
      <c r="B979" s="331"/>
      <c r="C979" s="331"/>
      <c r="D979" s="331"/>
      <c r="E979" s="331"/>
      <c r="F979" s="331"/>
      <c r="G979" s="331"/>
      <c r="H979" s="331"/>
      <c r="I979" s="331"/>
      <c r="J979" s="339"/>
      <c r="K979" s="339"/>
      <c r="L979" s="339"/>
      <c r="M979" s="331"/>
      <c r="N979" s="303"/>
      <c r="O979" s="303"/>
      <c r="P979" s="303"/>
      <c r="Q979" s="303"/>
      <c r="R979" s="303"/>
      <c r="S979" s="303"/>
      <c r="T979" s="331"/>
      <c r="U979" s="331"/>
      <c r="V979" s="331"/>
      <c r="W979" s="331"/>
      <c r="X979" s="331"/>
      <c r="Y979" s="331"/>
      <c r="Z979" s="331"/>
    </row>
    <row r="980">
      <c r="A980" s="331"/>
      <c r="B980" s="331"/>
      <c r="C980" s="331"/>
      <c r="D980" s="331"/>
      <c r="E980" s="331"/>
      <c r="F980" s="331"/>
      <c r="G980" s="331"/>
      <c r="H980" s="331"/>
      <c r="I980" s="331"/>
      <c r="J980" s="339"/>
      <c r="K980" s="339"/>
      <c r="L980" s="339"/>
      <c r="M980" s="331"/>
      <c r="N980" s="303"/>
      <c r="O980" s="303"/>
      <c r="P980" s="303"/>
      <c r="Q980" s="303"/>
      <c r="R980" s="303"/>
      <c r="S980" s="303"/>
      <c r="T980" s="331"/>
      <c r="U980" s="331"/>
      <c r="V980" s="331"/>
      <c r="W980" s="331"/>
      <c r="X980" s="331"/>
      <c r="Y980" s="331"/>
      <c r="Z980" s="331"/>
    </row>
    <row r="981">
      <c r="A981" s="331"/>
      <c r="B981" s="331"/>
      <c r="C981" s="331"/>
      <c r="D981" s="331"/>
      <c r="E981" s="331"/>
      <c r="F981" s="331"/>
      <c r="G981" s="331"/>
      <c r="H981" s="331"/>
      <c r="I981" s="331"/>
      <c r="J981" s="339"/>
      <c r="K981" s="339"/>
      <c r="L981" s="339"/>
      <c r="M981" s="331"/>
      <c r="N981" s="303"/>
      <c r="O981" s="303"/>
      <c r="P981" s="303"/>
      <c r="Q981" s="303"/>
      <c r="R981" s="303"/>
      <c r="S981" s="303"/>
      <c r="T981" s="331"/>
      <c r="U981" s="331"/>
      <c r="V981" s="331"/>
      <c r="W981" s="331"/>
      <c r="X981" s="331"/>
      <c r="Y981" s="331"/>
      <c r="Z981" s="331"/>
    </row>
    <row r="982">
      <c r="A982" s="331"/>
      <c r="B982" s="331"/>
      <c r="C982" s="331"/>
      <c r="D982" s="331"/>
      <c r="E982" s="331"/>
      <c r="F982" s="331"/>
      <c r="G982" s="331"/>
      <c r="H982" s="331"/>
      <c r="I982" s="331"/>
      <c r="J982" s="339"/>
      <c r="K982" s="339"/>
      <c r="L982" s="339"/>
      <c r="M982" s="331"/>
      <c r="N982" s="303"/>
      <c r="O982" s="303"/>
      <c r="P982" s="303"/>
      <c r="Q982" s="303"/>
      <c r="R982" s="303"/>
      <c r="S982" s="303"/>
      <c r="T982" s="331"/>
      <c r="U982" s="331"/>
      <c r="V982" s="331"/>
      <c r="W982" s="331"/>
      <c r="X982" s="331"/>
      <c r="Y982" s="331"/>
      <c r="Z982" s="331"/>
    </row>
    <row r="983">
      <c r="A983" s="331"/>
      <c r="B983" s="331"/>
      <c r="C983" s="331"/>
      <c r="D983" s="331"/>
      <c r="E983" s="331"/>
      <c r="F983" s="331"/>
      <c r="G983" s="331"/>
      <c r="H983" s="331"/>
      <c r="I983" s="331"/>
      <c r="J983" s="339"/>
      <c r="K983" s="339"/>
      <c r="L983" s="339"/>
      <c r="M983" s="331"/>
      <c r="N983" s="303"/>
      <c r="O983" s="303"/>
      <c r="P983" s="303"/>
      <c r="Q983" s="303"/>
      <c r="R983" s="303"/>
      <c r="S983" s="303"/>
      <c r="T983" s="331"/>
      <c r="U983" s="331"/>
      <c r="V983" s="331"/>
      <c r="W983" s="331"/>
      <c r="X983" s="331"/>
      <c r="Y983" s="331"/>
      <c r="Z983" s="331"/>
    </row>
    <row r="984">
      <c r="A984" s="331"/>
      <c r="B984" s="331"/>
      <c r="C984" s="331"/>
      <c r="D984" s="331"/>
      <c r="E984" s="331"/>
      <c r="F984" s="331"/>
      <c r="G984" s="331"/>
      <c r="H984" s="331"/>
      <c r="I984" s="331"/>
      <c r="J984" s="339"/>
      <c r="K984" s="339"/>
      <c r="L984" s="339"/>
      <c r="M984" s="331"/>
      <c r="N984" s="303"/>
      <c r="O984" s="303"/>
      <c r="P984" s="303"/>
      <c r="Q984" s="303"/>
      <c r="R984" s="303"/>
      <c r="S984" s="303"/>
      <c r="T984" s="331"/>
      <c r="U984" s="331"/>
      <c r="V984" s="331"/>
      <c r="W984" s="331"/>
      <c r="X984" s="331"/>
      <c r="Y984" s="331"/>
      <c r="Z984" s="331"/>
    </row>
    <row r="985">
      <c r="A985" s="331"/>
      <c r="B985" s="331"/>
      <c r="C985" s="331"/>
      <c r="D985" s="331"/>
      <c r="E985" s="331"/>
      <c r="F985" s="331"/>
      <c r="G985" s="331"/>
      <c r="H985" s="331"/>
      <c r="I985" s="331"/>
      <c r="J985" s="339"/>
      <c r="K985" s="339"/>
      <c r="L985" s="339"/>
      <c r="M985" s="331"/>
      <c r="N985" s="303"/>
      <c r="O985" s="303"/>
      <c r="P985" s="303"/>
      <c r="Q985" s="303"/>
      <c r="R985" s="303"/>
      <c r="S985" s="303"/>
      <c r="T985" s="331"/>
      <c r="U985" s="331"/>
      <c r="V985" s="331"/>
      <c r="W985" s="331"/>
      <c r="X985" s="331"/>
      <c r="Y985" s="331"/>
      <c r="Z985" s="331"/>
    </row>
    <row r="986">
      <c r="A986" s="331"/>
      <c r="B986" s="331"/>
      <c r="C986" s="331"/>
      <c r="D986" s="331"/>
      <c r="E986" s="331"/>
      <c r="F986" s="331"/>
      <c r="G986" s="331"/>
      <c r="H986" s="331"/>
      <c r="I986" s="331"/>
      <c r="J986" s="339"/>
      <c r="K986" s="339"/>
      <c r="L986" s="339"/>
      <c r="M986" s="331"/>
      <c r="N986" s="303"/>
      <c r="O986" s="303"/>
      <c r="P986" s="303"/>
      <c r="Q986" s="303"/>
      <c r="R986" s="303"/>
      <c r="S986" s="303"/>
      <c r="T986" s="331"/>
      <c r="U986" s="331"/>
      <c r="V986" s="331"/>
      <c r="W986" s="331"/>
      <c r="X986" s="331"/>
      <c r="Y986" s="331"/>
      <c r="Z986" s="331"/>
    </row>
    <row r="987">
      <c r="A987" s="331"/>
      <c r="B987" s="331"/>
      <c r="C987" s="331"/>
      <c r="D987" s="331"/>
      <c r="E987" s="331"/>
      <c r="F987" s="331"/>
      <c r="G987" s="331"/>
      <c r="H987" s="331"/>
      <c r="I987" s="331"/>
      <c r="J987" s="339"/>
      <c r="K987" s="339"/>
      <c r="L987" s="339"/>
      <c r="M987" s="331"/>
      <c r="N987" s="303"/>
      <c r="O987" s="303"/>
      <c r="P987" s="303"/>
      <c r="Q987" s="303"/>
      <c r="R987" s="303"/>
      <c r="S987" s="303"/>
      <c r="T987" s="331"/>
      <c r="U987" s="331"/>
      <c r="V987" s="331"/>
      <c r="W987" s="331"/>
      <c r="X987" s="331"/>
      <c r="Y987" s="331"/>
      <c r="Z987" s="331"/>
    </row>
    <row r="988">
      <c r="A988" s="331"/>
      <c r="B988" s="331"/>
      <c r="C988" s="331"/>
      <c r="D988" s="331"/>
      <c r="E988" s="331"/>
      <c r="F988" s="331"/>
      <c r="G988" s="331"/>
      <c r="H988" s="331"/>
      <c r="I988" s="331"/>
      <c r="J988" s="339"/>
      <c r="K988" s="339"/>
      <c r="L988" s="339"/>
      <c r="M988" s="331"/>
      <c r="N988" s="303"/>
      <c r="O988" s="303"/>
      <c r="P988" s="303"/>
      <c r="Q988" s="303"/>
      <c r="R988" s="303"/>
      <c r="S988" s="303"/>
      <c r="T988" s="331"/>
      <c r="U988" s="331"/>
      <c r="V988" s="331"/>
      <c r="W988" s="331"/>
      <c r="X988" s="331"/>
      <c r="Y988" s="331"/>
      <c r="Z988" s="331"/>
    </row>
    <row r="989">
      <c r="A989" s="331"/>
      <c r="B989" s="331"/>
      <c r="C989" s="331"/>
      <c r="D989" s="331"/>
      <c r="E989" s="331"/>
      <c r="F989" s="331"/>
      <c r="G989" s="331"/>
      <c r="H989" s="331"/>
      <c r="I989" s="331"/>
      <c r="J989" s="339"/>
      <c r="K989" s="339"/>
      <c r="L989" s="339"/>
      <c r="M989" s="331"/>
      <c r="N989" s="303"/>
      <c r="O989" s="303"/>
      <c r="P989" s="303"/>
      <c r="Q989" s="303"/>
      <c r="R989" s="303"/>
      <c r="S989" s="303"/>
      <c r="T989" s="331"/>
      <c r="U989" s="331"/>
      <c r="V989" s="331"/>
      <c r="W989" s="331"/>
      <c r="X989" s="331"/>
      <c r="Y989" s="331"/>
      <c r="Z989" s="331"/>
    </row>
    <row r="990">
      <c r="A990" s="331"/>
      <c r="B990" s="331"/>
      <c r="C990" s="331"/>
      <c r="D990" s="331"/>
      <c r="E990" s="331"/>
      <c r="F990" s="331"/>
      <c r="G990" s="331"/>
      <c r="H990" s="331"/>
      <c r="I990" s="331"/>
      <c r="J990" s="339"/>
      <c r="K990" s="339"/>
      <c r="L990" s="339"/>
      <c r="M990" s="331"/>
      <c r="N990" s="303"/>
      <c r="O990" s="303"/>
      <c r="P990" s="303"/>
      <c r="Q990" s="303"/>
      <c r="R990" s="303"/>
      <c r="S990" s="303"/>
      <c r="T990" s="331"/>
      <c r="U990" s="331"/>
      <c r="V990" s="331"/>
      <c r="W990" s="331"/>
      <c r="X990" s="331"/>
      <c r="Y990" s="331"/>
      <c r="Z990" s="331"/>
    </row>
    <row r="991">
      <c r="A991" s="331"/>
      <c r="B991" s="331"/>
      <c r="C991" s="331"/>
      <c r="D991" s="331"/>
      <c r="E991" s="331"/>
      <c r="F991" s="331"/>
      <c r="G991" s="331"/>
      <c r="H991" s="331"/>
      <c r="I991" s="331"/>
      <c r="J991" s="339"/>
      <c r="K991" s="339"/>
      <c r="L991" s="339"/>
      <c r="M991" s="331"/>
      <c r="N991" s="303"/>
      <c r="O991" s="303"/>
      <c r="P991" s="303"/>
      <c r="Q991" s="303"/>
      <c r="R991" s="303"/>
      <c r="S991" s="303"/>
      <c r="T991" s="331"/>
      <c r="U991" s="331"/>
      <c r="V991" s="331"/>
      <c r="W991" s="331"/>
      <c r="X991" s="331"/>
      <c r="Y991" s="331"/>
      <c r="Z991" s="331"/>
    </row>
    <row r="992">
      <c r="A992" s="331"/>
      <c r="B992" s="331"/>
      <c r="C992" s="331"/>
      <c r="D992" s="331"/>
      <c r="E992" s="331"/>
      <c r="F992" s="331"/>
      <c r="G992" s="331"/>
      <c r="H992" s="331"/>
      <c r="I992" s="331"/>
      <c r="J992" s="339"/>
      <c r="K992" s="339"/>
      <c r="L992" s="339"/>
      <c r="M992" s="331"/>
      <c r="N992" s="303"/>
      <c r="O992" s="303"/>
      <c r="P992" s="303"/>
      <c r="Q992" s="303"/>
      <c r="R992" s="303"/>
      <c r="S992" s="303"/>
      <c r="T992" s="331"/>
      <c r="U992" s="331"/>
      <c r="V992" s="331"/>
      <c r="W992" s="331"/>
      <c r="X992" s="331"/>
      <c r="Y992" s="331"/>
      <c r="Z992" s="331"/>
    </row>
    <row r="993">
      <c r="A993" s="331"/>
      <c r="B993" s="331"/>
      <c r="C993" s="331"/>
      <c r="D993" s="331"/>
      <c r="E993" s="331"/>
      <c r="F993" s="331"/>
      <c r="G993" s="331"/>
      <c r="H993" s="331"/>
      <c r="I993" s="331"/>
      <c r="J993" s="339"/>
      <c r="K993" s="339"/>
      <c r="L993" s="339"/>
      <c r="M993" s="331"/>
      <c r="N993" s="303"/>
      <c r="O993" s="303"/>
      <c r="P993" s="303"/>
      <c r="Q993" s="303"/>
      <c r="R993" s="303"/>
      <c r="S993" s="303"/>
      <c r="T993" s="331"/>
      <c r="U993" s="331"/>
      <c r="V993" s="331"/>
      <c r="W993" s="331"/>
      <c r="X993" s="331"/>
      <c r="Y993" s="331"/>
      <c r="Z993" s="331"/>
    </row>
    <row r="994">
      <c r="A994" s="331"/>
      <c r="B994" s="331"/>
      <c r="C994" s="331"/>
      <c r="D994" s="331"/>
      <c r="E994" s="331"/>
      <c r="F994" s="331"/>
      <c r="G994" s="331"/>
      <c r="H994" s="331"/>
      <c r="I994" s="331"/>
      <c r="J994" s="339"/>
      <c r="K994" s="339"/>
      <c r="L994" s="339"/>
      <c r="M994" s="331"/>
      <c r="N994" s="303"/>
      <c r="O994" s="303"/>
      <c r="P994" s="303"/>
      <c r="Q994" s="303"/>
      <c r="R994" s="303"/>
      <c r="S994" s="303"/>
      <c r="T994" s="331"/>
      <c r="U994" s="331"/>
      <c r="V994" s="331"/>
      <c r="W994" s="331"/>
      <c r="X994" s="331"/>
      <c r="Y994" s="331"/>
      <c r="Z994" s="331"/>
    </row>
    <row r="995">
      <c r="A995" s="331"/>
      <c r="B995" s="331"/>
      <c r="C995" s="331"/>
      <c r="D995" s="331"/>
      <c r="E995" s="331"/>
      <c r="F995" s="331"/>
      <c r="G995" s="331"/>
      <c r="H995" s="331"/>
      <c r="I995" s="331"/>
      <c r="J995" s="339"/>
      <c r="K995" s="339"/>
      <c r="L995" s="339"/>
      <c r="M995" s="331"/>
      <c r="N995" s="303"/>
      <c r="O995" s="303"/>
      <c r="P995" s="303"/>
      <c r="Q995" s="303"/>
      <c r="R995" s="303"/>
      <c r="S995" s="303"/>
      <c r="T995" s="331"/>
      <c r="U995" s="331"/>
      <c r="V995" s="331"/>
      <c r="W995" s="331"/>
      <c r="X995" s="331"/>
      <c r="Y995" s="331"/>
      <c r="Z995" s="331"/>
    </row>
    <row r="996">
      <c r="A996" s="331"/>
      <c r="B996" s="331"/>
      <c r="C996" s="331"/>
      <c r="D996" s="331"/>
      <c r="E996" s="331"/>
      <c r="F996" s="331"/>
      <c r="G996" s="331"/>
      <c r="H996" s="331"/>
      <c r="I996" s="331"/>
      <c r="J996" s="339"/>
      <c r="K996" s="339"/>
      <c r="L996" s="339"/>
      <c r="M996" s="331"/>
      <c r="N996" s="303"/>
      <c r="O996" s="303"/>
      <c r="P996" s="303"/>
      <c r="Q996" s="303"/>
      <c r="R996" s="303"/>
      <c r="S996" s="303"/>
      <c r="T996" s="331"/>
      <c r="U996" s="331"/>
      <c r="V996" s="331"/>
      <c r="W996" s="331"/>
      <c r="X996" s="331"/>
      <c r="Y996" s="331"/>
      <c r="Z996" s="331"/>
    </row>
    <row r="997">
      <c r="A997" s="331"/>
      <c r="B997" s="331"/>
      <c r="C997" s="331"/>
      <c r="D997" s="331"/>
      <c r="E997" s="331"/>
      <c r="F997" s="331"/>
      <c r="G997" s="331"/>
      <c r="H997" s="331"/>
      <c r="I997" s="331"/>
      <c r="J997" s="339"/>
      <c r="K997" s="339"/>
      <c r="L997" s="339"/>
      <c r="M997" s="331"/>
      <c r="N997" s="303"/>
      <c r="O997" s="303"/>
      <c r="P997" s="303"/>
      <c r="Q997" s="303"/>
      <c r="R997" s="303"/>
      <c r="S997" s="303"/>
      <c r="T997" s="331"/>
      <c r="U997" s="331"/>
      <c r="V997" s="331"/>
      <c r="W997" s="331"/>
      <c r="X997" s="331"/>
      <c r="Y997" s="331"/>
      <c r="Z997" s="331"/>
    </row>
    <row r="998">
      <c r="A998" s="331"/>
      <c r="B998" s="331"/>
      <c r="C998" s="331"/>
      <c r="D998" s="331"/>
      <c r="E998" s="331"/>
      <c r="F998" s="331"/>
      <c r="G998" s="331"/>
      <c r="H998" s="331"/>
      <c r="I998" s="331"/>
      <c r="J998" s="339"/>
      <c r="K998" s="339"/>
      <c r="L998" s="339"/>
      <c r="M998" s="331"/>
      <c r="N998" s="303"/>
      <c r="O998" s="303"/>
      <c r="P998" s="303"/>
      <c r="Q998" s="303"/>
      <c r="R998" s="303"/>
      <c r="S998" s="303"/>
      <c r="T998" s="331"/>
      <c r="U998" s="331"/>
      <c r="V998" s="331"/>
      <c r="W998" s="331"/>
      <c r="X998" s="331"/>
      <c r="Y998" s="331"/>
      <c r="Z998" s="331"/>
    </row>
    <row r="999">
      <c r="A999" s="331"/>
      <c r="B999" s="331"/>
      <c r="C999" s="331"/>
      <c r="D999" s="331"/>
      <c r="E999" s="331"/>
      <c r="F999" s="331"/>
      <c r="G999" s="331"/>
      <c r="H999" s="331"/>
      <c r="I999" s="331"/>
      <c r="J999" s="339"/>
      <c r="K999" s="339"/>
      <c r="L999" s="339"/>
      <c r="M999" s="331"/>
      <c r="N999" s="303"/>
      <c r="O999" s="303"/>
      <c r="P999" s="303"/>
      <c r="Q999" s="303"/>
      <c r="R999" s="303"/>
      <c r="S999" s="303"/>
      <c r="T999" s="331"/>
      <c r="U999" s="331"/>
      <c r="V999" s="331"/>
      <c r="W999" s="331"/>
      <c r="X999" s="331"/>
      <c r="Y999" s="331"/>
      <c r="Z999" s="331"/>
    </row>
    <row r="1000">
      <c r="A1000" s="331"/>
      <c r="B1000" s="331"/>
      <c r="C1000" s="331"/>
      <c r="D1000" s="331"/>
      <c r="E1000" s="331"/>
      <c r="F1000" s="331"/>
      <c r="G1000" s="331"/>
      <c r="H1000" s="331"/>
      <c r="I1000" s="331"/>
      <c r="J1000" s="339"/>
      <c r="K1000" s="339"/>
      <c r="L1000" s="339"/>
      <c r="M1000" s="331"/>
      <c r="N1000" s="303"/>
      <c r="O1000" s="303"/>
      <c r="P1000" s="303"/>
      <c r="Q1000" s="303"/>
      <c r="R1000" s="303"/>
      <c r="S1000" s="303"/>
      <c r="T1000" s="331"/>
      <c r="U1000" s="331"/>
      <c r="V1000" s="331"/>
      <c r="W1000" s="331"/>
      <c r="X1000" s="331"/>
      <c r="Y1000" s="331"/>
      <c r="Z1000" s="331"/>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sheetData>
    <row r="1">
      <c r="A1" s="340" t="s">
        <v>4718</v>
      </c>
    </row>
    <row r="2">
      <c r="A2" s="341" t="s">
        <v>4719</v>
      </c>
    </row>
    <row r="3">
      <c r="A3" s="340" t="s">
        <v>4720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sheetData>
    <row r="1">
      <c r="A1" s="340" t="s">
        <v>4721</v>
      </c>
      <c r="B1" s="340" t="s">
        <v>4708</v>
      </c>
      <c r="C1" s="340" t="s">
        <v>4709</v>
      </c>
    </row>
    <row r="2">
      <c r="A2" s="340" t="s">
        <v>4722</v>
      </c>
      <c r="B2" s="340" t="s">
        <v>4723</v>
      </c>
      <c r="C2" s="340" t="s">
        <v>4724</v>
      </c>
      <c r="D2" s="340" t="s">
        <v>4725</v>
      </c>
    </row>
    <row r="3">
      <c r="A3" s="340" t="s">
        <v>4726</v>
      </c>
      <c r="B3" s="340" t="s">
        <v>2580</v>
      </c>
      <c r="C3" s="340" t="s">
        <v>4727</v>
      </c>
      <c r="D3" s="340" t="s">
        <v>4725</v>
      </c>
    </row>
    <row r="4">
      <c r="A4" s="340" t="s">
        <v>4728</v>
      </c>
      <c r="B4" s="340" t="s">
        <v>4729</v>
      </c>
      <c r="C4" s="340" t="s">
        <v>4730</v>
      </c>
      <c r="D4" s="340" t="s">
        <v>4725</v>
      </c>
    </row>
    <row r="5">
      <c r="A5" s="340" t="s">
        <v>4731</v>
      </c>
      <c r="B5" s="340" t="s">
        <v>4732</v>
      </c>
      <c r="C5" s="340" t="s">
        <v>1384</v>
      </c>
      <c r="D5" s="340" t="s">
        <v>4725</v>
      </c>
    </row>
    <row r="6">
      <c r="A6" s="340" t="s">
        <v>4733</v>
      </c>
      <c r="B6" s="340" t="s">
        <v>3424</v>
      </c>
      <c r="C6" s="340" t="s">
        <v>4734</v>
      </c>
      <c r="D6" s="340" t="s">
        <v>4725</v>
      </c>
    </row>
    <row r="7">
      <c r="A7" s="340" t="s">
        <v>4735</v>
      </c>
      <c r="B7" s="340" t="s">
        <v>1848</v>
      </c>
      <c r="C7" s="340" t="s">
        <v>4736</v>
      </c>
      <c r="D7" s="340" t="s">
        <v>4725</v>
      </c>
    </row>
    <row r="8">
      <c r="A8" s="340" t="s">
        <v>4737</v>
      </c>
      <c r="B8" s="340" t="s">
        <v>4738</v>
      </c>
      <c r="C8" s="340" t="s">
        <v>4739</v>
      </c>
      <c r="D8" s="340" t="s">
        <v>4725</v>
      </c>
    </row>
    <row r="9">
      <c r="A9" s="340" t="s">
        <v>4740</v>
      </c>
      <c r="B9" s="340" t="s">
        <v>4741</v>
      </c>
      <c r="C9" s="340" t="s">
        <v>4742</v>
      </c>
      <c r="D9" s="340" t="s">
        <v>4725</v>
      </c>
      <c r="G9" s="296" t="str">
        <f>IF(ISNA(VLOOKUP(AS257,SURP!A22:D70,4,FALSE)), "No", "Yes")</f>
        <v>No</v>
      </c>
    </row>
    <row r="10">
      <c r="A10" s="340" t="s">
        <v>4743</v>
      </c>
      <c r="B10" s="340" t="s">
        <v>4744</v>
      </c>
      <c r="C10" s="340" t="s">
        <v>4745</v>
      </c>
      <c r="D10" s="340" t="s">
        <v>4725</v>
      </c>
    </row>
    <row r="11">
      <c r="A11" s="340" t="s">
        <v>4746</v>
      </c>
      <c r="B11" s="340" t="s">
        <v>4747</v>
      </c>
      <c r="C11" s="340" t="s">
        <v>4748</v>
      </c>
      <c r="D11" s="340" t="s">
        <v>4725</v>
      </c>
    </row>
    <row r="12">
      <c r="A12" s="340" t="s">
        <v>4749</v>
      </c>
      <c r="B12" s="340" t="s">
        <v>4750</v>
      </c>
      <c r="C12" s="340" t="s">
        <v>4751</v>
      </c>
      <c r="D12" s="340" t="s">
        <v>4725</v>
      </c>
    </row>
    <row r="13">
      <c r="A13" s="340" t="s">
        <v>4752</v>
      </c>
      <c r="B13" s="340" t="s">
        <v>4753</v>
      </c>
      <c r="C13" s="340" t="s">
        <v>4754</v>
      </c>
      <c r="D13" s="340" t="s">
        <v>4725</v>
      </c>
    </row>
    <row r="14">
      <c r="A14" s="340" t="s">
        <v>4755</v>
      </c>
      <c r="B14" s="340" t="s">
        <v>2338</v>
      </c>
      <c r="C14" s="340" t="s">
        <v>3549</v>
      </c>
      <c r="D14" s="340" t="s">
        <v>4725</v>
      </c>
    </row>
    <row r="15">
      <c r="A15" s="340" t="s">
        <v>4756</v>
      </c>
      <c r="B15" s="340" t="s">
        <v>2746</v>
      </c>
      <c r="C15" s="340" t="s">
        <v>4757</v>
      </c>
      <c r="D15" s="340" t="s">
        <v>4725</v>
      </c>
    </row>
    <row r="16">
      <c r="A16" s="340" t="s">
        <v>4758</v>
      </c>
      <c r="B16" s="340" t="s">
        <v>1364</v>
      </c>
      <c r="C16" s="340" t="s">
        <v>4759</v>
      </c>
      <c r="D16" s="340" t="s">
        <v>4725</v>
      </c>
    </row>
    <row r="17">
      <c r="A17" s="340" t="s">
        <v>4760</v>
      </c>
      <c r="B17" s="340" t="s">
        <v>1985</v>
      </c>
      <c r="C17" s="340" t="s">
        <v>4761</v>
      </c>
      <c r="D17" s="340" t="s">
        <v>4725</v>
      </c>
    </row>
    <row r="18">
      <c r="A18" s="340" t="s">
        <v>4762</v>
      </c>
      <c r="B18" s="340" t="s">
        <v>4763</v>
      </c>
      <c r="C18" s="340" t="s">
        <v>1997</v>
      </c>
      <c r="D18" s="340" t="s">
        <v>4725</v>
      </c>
    </row>
    <row r="19">
      <c r="A19" s="340" t="s">
        <v>4764</v>
      </c>
      <c r="B19" s="340" t="s">
        <v>3728</v>
      </c>
      <c r="C19" s="340" t="s">
        <v>4765</v>
      </c>
      <c r="D19" s="340" t="s">
        <v>4725</v>
      </c>
    </row>
    <row r="20">
      <c r="A20" s="340" t="s">
        <v>4766</v>
      </c>
      <c r="B20" s="340" t="s">
        <v>1433</v>
      </c>
      <c r="C20" s="340" t="s">
        <v>4767</v>
      </c>
      <c r="D20" s="340" t="s">
        <v>4725</v>
      </c>
    </row>
    <row r="21">
      <c r="A21" s="340" t="s">
        <v>4768</v>
      </c>
      <c r="B21" s="340" t="s">
        <v>2752</v>
      </c>
      <c r="C21" s="340" t="s">
        <v>4769</v>
      </c>
      <c r="D21" s="340" t="s">
        <v>4725</v>
      </c>
    </row>
    <row r="22">
      <c r="A22" s="340" t="s">
        <v>4770</v>
      </c>
      <c r="B22" s="340" t="s">
        <v>4771</v>
      </c>
      <c r="C22" s="340" t="s">
        <v>4772</v>
      </c>
      <c r="D22" s="340" t="s">
        <v>4725</v>
      </c>
    </row>
    <row r="23">
      <c r="A23" s="340" t="s">
        <v>4773</v>
      </c>
      <c r="B23" s="340" t="s">
        <v>1651</v>
      </c>
      <c r="C23" s="340" t="s">
        <v>4774</v>
      </c>
      <c r="D23" s="340" t="s">
        <v>4725</v>
      </c>
    </row>
    <row r="24">
      <c r="A24" s="340" t="s">
        <v>4775</v>
      </c>
      <c r="B24" s="340" t="s">
        <v>4776</v>
      </c>
      <c r="C24" s="340" t="s">
        <v>4777</v>
      </c>
      <c r="D24" s="340" t="s">
        <v>4725</v>
      </c>
    </row>
    <row r="25">
      <c r="A25" s="340" t="s">
        <v>4778</v>
      </c>
      <c r="B25" s="340" t="s">
        <v>4779</v>
      </c>
      <c r="C25" s="340" t="s">
        <v>1169</v>
      </c>
      <c r="D25" s="340" t="s">
        <v>4725</v>
      </c>
    </row>
    <row r="26">
      <c r="A26" s="340" t="s">
        <v>4780</v>
      </c>
      <c r="B26" s="340" t="s">
        <v>1321</v>
      </c>
      <c r="C26" s="340" t="s">
        <v>4781</v>
      </c>
      <c r="D26" s="340" t="s">
        <v>4725</v>
      </c>
    </row>
    <row r="27">
      <c r="A27" s="340" t="s">
        <v>4782</v>
      </c>
      <c r="B27" s="340" t="s">
        <v>4783</v>
      </c>
      <c r="C27" s="340" t="s">
        <v>4784</v>
      </c>
      <c r="D27" s="340" t="s">
        <v>4725</v>
      </c>
    </row>
    <row r="28">
      <c r="A28" s="340" t="s">
        <v>4785</v>
      </c>
      <c r="B28" s="340" t="s">
        <v>4786</v>
      </c>
      <c r="C28" s="340" t="s">
        <v>4787</v>
      </c>
      <c r="D28" s="340" t="s">
        <v>4725</v>
      </c>
    </row>
    <row r="29">
      <c r="A29" s="340" t="s">
        <v>4788</v>
      </c>
      <c r="B29" s="340" t="s">
        <v>2120</v>
      </c>
      <c r="C29" s="340" t="s">
        <v>4789</v>
      </c>
      <c r="D29" s="340" t="s">
        <v>4725</v>
      </c>
    </row>
    <row r="30">
      <c r="A30" s="340" t="s">
        <v>4790</v>
      </c>
      <c r="B30" s="340" t="s">
        <v>1602</v>
      </c>
      <c r="C30" s="340" t="s">
        <v>4791</v>
      </c>
      <c r="D30" s="340" t="s">
        <v>4725</v>
      </c>
    </row>
    <row r="31">
      <c r="A31" s="340" t="s">
        <v>1421</v>
      </c>
      <c r="B31" s="340" t="s">
        <v>1419</v>
      </c>
      <c r="C31" s="340" t="s">
        <v>1420</v>
      </c>
      <c r="D31" s="340" t="s">
        <v>4725</v>
      </c>
    </row>
    <row r="32">
      <c r="A32" s="340" t="s">
        <v>4792</v>
      </c>
      <c r="B32" s="340" t="s">
        <v>4793</v>
      </c>
      <c r="C32" s="340" t="s">
        <v>4794</v>
      </c>
      <c r="D32" s="340" t="s">
        <v>4725</v>
      </c>
    </row>
    <row r="33">
      <c r="A33" s="340" t="s">
        <v>4795</v>
      </c>
      <c r="B33" s="340" t="s">
        <v>2553</v>
      </c>
      <c r="C33" s="340" t="s">
        <v>4796</v>
      </c>
      <c r="D33" s="340" t="s">
        <v>4725</v>
      </c>
    </row>
    <row r="34">
      <c r="A34" s="340" t="s">
        <v>4797</v>
      </c>
      <c r="B34" s="340" t="s">
        <v>4798</v>
      </c>
      <c r="C34" s="340" t="s">
        <v>4799</v>
      </c>
      <c r="D34" s="340" t="s">
        <v>4725</v>
      </c>
    </row>
    <row r="35">
      <c r="A35" s="340" t="s">
        <v>4800</v>
      </c>
      <c r="B35" s="340" t="s">
        <v>4801</v>
      </c>
      <c r="C35" s="340" t="s">
        <v>4802</v>
      </c>
      <c r="D35" s="340" t="s">
        <v>4725</v>
      </c>
    </row>
    <row r="36">
      <c r="A36" s="340" t="s">
        <v>4803</v>
      </c>
      <c r="B36" s="340" t="s">
        <v>4804</v>
      </c>
      <c r="C36" s="340" t="s">
        <v>4805</v>
      </c>
      <c r="D36" s="340" t="s">
        <v>4725</v>
      </c>
    </row>
    <row r="37">
      <c r="A37" s="340" t="s">
        <v>4806</v>
      </c>
      <c r="B37" s="340" t="s">
        <v>1882</v>
      </c>
      <c r="C37" s="340" t="s">
        <v>4807</v>
      </c>
      <c r="D37" s="340" t="s">
        <v>4725</v>
      </c>
    </row>
    <row r="38">
      <c r="A38" s="340" t="s">
        <v>4808</v>
      </c>
      <c r="B38" s="340" t="s">
        <v>4809</v>
      </c>
      <c r="C38" s="340" t="s">
        <v>4810</v>
      </c>
      <c r="D38" s="340" t="s">
        <v>4725</v>
      </c>
    </row>
    <row r="39">
      <c r="A39" s="340" t="s">
        <v>4811</v>
      </c>
      <c r="B39" s="340" t="s">
        <v>4812</v>
      </c>
      <c r="C39" s="340" t="s">
        <v>4813</v>
      </c>
      <c r="D39" s="340" t="s">
        <v>4725</v>
      </c>
    </row>
    <row r="40">
      <c r="A40" s="340" t="s">
        <v>4814</v>
      </c>
      <c r="B40" s="340" t="s">
        <v>4815</v>
      </c>
      <c r="C40" s="340" t="s">
        <v>4816</v>
      </c>
      <c r="D40" s="340" t="s">
        <v>4725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9" max="9" width="27.71"/>
    <col customWidth="1" min="10" max="10" width="25.57"/>
    <col customWidth="1" min="11" max="11" width="33.43"/>
  </cols>
  <sheetData>
    <row r="1">
      <c r="A1" s="342" t="s">
        <v>0</v>
      </c>
      <c r="B1" s="342" t="s">
        <v>21</v>
      </c>
      <c r="C1" s="342" t="s">
        <v>22</v>
      </c>
      <c r="D1" s="342" t="s">
        <v>23</v>
      </c>
      <c r="E1" s="342" t="s">
        <v>24</v>
      </c>
      <c r="F1" s="342" t="s">
        <v>25</v>
      </c>
      <c r="G1" s="342" t="s">
        <v>26</v>
      </c>
      <c r="H1" s="342" t="s">
        <v>50</v>
      </c>
      <c r="I1" s="342" t="s">
        <v>4817</v>
      </c>
      <c r="J1" s="343" t="s">
        <v>4818</v>
      </c>
      <c r="K1" s="344" t="s">
        <v>4818</v>
      </c>
    </row>
    <row r="2">
      <c r="A2" s="345">
        <v>7.0</v>
      </c>
      <c r="B2" s="346" t="s">
        <v>869</v>
      </c>
      <c r="C2" s="346" t="s">
        <v>4647</v>
      </c>
      <c r="D2" s="346" t="s">
        <v>4650</v>
      </c>
      <c r="E2" s="346" t="s">
        <v>869</v>
      </c>
      <c r="F2" s="346" t="s">
        <v>4653</v>
      </c>
      <c r="G2" s="346" t="s">
        <v>753</v>
      </c>
      <c r="H2" t="str">
        <f t="array" ref="H2:H50500">IF(ROW(I2:I50500)=1, "Advisor/Mentor Email", IF(ISNA(MATCH(I2:I50500, 'Copy of Form Responses'!A:A, 0)), "", VLOOKUP(I2:I50500, 'Copy of Form Responses'!A:B, 2, FALSE)))</f>
        <v>jmcgaugh@sdsu.edu</v>
      </c>
      <c r="I2" s="347" t="s">
        <v>4648</v>
      </c>
      <c r="J2" t="str">
        <f>IFERROR(__xludf.DUMMYFUNCTION("IFERROR(
    ARRAYFORMULA(
        JOIN(
            CHAR(10) &amp; CHAR(10),
            ""Comment: "" &amp; FILTER(
                'Scores Import DO NOT EDIT'!N:N, 
                'Scores Import DO NOT EDIT'!D:D = A2
            )
        )
    ), 
    ""No c"&amp;"omments yet""
)
"),"Comment: Tech and dress rehearsal are very important, but the film itself was pretty amazing
Comment: The student explained very clearly and gave us relevant information about her research behind the process. The video was understandable and meaningful 
"&amp;"
Comment: I really like the concept of ""organiced chaos""
Comment: Jessica connected extremely well with the audience. She was professional, informed and outgoing. She took us behind the scenes in managing the production of the video.")</f>
        <v>Comment: Tech and dress rehearsal are very important, but the film itself was pretty amazing
Comment: The student explained very clearly and gave us relevant information about her research behind the process. The video was understandable and meaningful 
Comment: I really like the concept of "organiced chaos"
Comment: Jessica connected extremely well with the audience. She was professional, informed and outgoing. She took us behind the scenes in managing the production of the video.</v>
      </c>
      <c r="K2" t="s">
        <v>4819</v>
      </c>
    </row>
    <row r="3">
      <c r="A3" s="345">
        <v>9.0</v>
      </c>
      <c r="B3" s="346" t="s">
        <v>4662</v>
      </c>
      <c r="C3" s="346" t="s">
        <v>4663</v>
      </c>
      <c r="D3" s="346" t="s">
        <v>4666</v>
      </c>
      <c r="E3" s="346" t="s">
        <v>1579</v>
      </c>
      <c r="F3" s="346" t="s">
        <v>4668</v>
      </c>
      <c r="G3" s="346" t="s">
        <v>753</v>
      </c>
      <c r="H3" s="346" t="s">
        <v>4669</v>
      </c>
      <c r="I3" s="347" t="s">
        <v>4664</v>
      </c>
      <c r="J3" t="str">
        <f>IFERROR(__xludf.DUMMYFUNCTION("IFERROR(
    ARRAYFORMULA(
        JOIN(
            CHAR(10) &amp; CHAR(10),
            ""Comment: "" &amp; FILTER(
                'Scores Import DO NOT EDIT'!N:N, 
                'Scores Import DO NOT EDIT'!D:D = A3
            )
        )
    ), 
    ""No c"&amp;"omments yet""
)
"),"No comments yet")</f>
        <v>No comments yet</v>
      </c>
      <c r="K3" t="s">
        <v>4820</v>
      </c>
    </row>
    <row r="4">
      <c r="A4" s="345">
        <v>10.0</v>
      </c>
      <c r="B4" s="346" t="s">
        <v>1549</v>
      </c>
      <c r="C4" s="346" t="s">
        <v>1841</v>
      </c>
      <c r="D4" s="346" t="s">
        <v>4672</v>
      </c>
      <c r="E4" s="346" t="s">
        <v>1067</v>
      </c>
      <c r="F4" s="346" t="s">
        <v>1068</v>
      </c>
      <c r="G4" s="346" t="s">
        <v>784</v>
      </c>
      <c r="H4" s="346" t="s">
        <v>1069</v>
      </c>
      <c r="I4" s="347" t="s">
        <v>4670</v>
      </c>
      <c r="J4" t="str">
        <f>IFERROR(__xludf.DUMMYFUNCTION("IFERROR(
    ARRAYFORMULA(
        JOIN(
            CHAR(10) &amp; CHAR(10),
            ""Comment: "" &amp; FILTER(
                'Scores Import DO NOT EDIT'!N:N, 
                'Scores Import DO NOT EDIT'!D:D = A4
            )
        )
    ), 
    ""No c"&amp;"omments yet""
)
"),"Comment: Like the dance speech. Maybe could be a good idea puting in a screen during the perfomance.
Comment: The presenter invited the audience to join them to experience the concept he was explaining about. He was really engaged and made people engage "&amp;"as well.")</f>
        <v>Comment: Like the dance speech. Maybe could be a good idea puting in a screen during the perfomance.
Comment: The presenter invited the audience to join them to experience the concept he was explaining about. He was really engaged and made people engage as well.</v>
      </c>
      <c r="K4" t="s">
        <v>4821</v>
      </c>
    </row>
    <row r="5">
      <c r="A5" s="345">
        <v>11.0</v>
      </c>
      <c r="B5" s="346" t="s">
        <v>746</v>
      </c>
      <c r="C5" s="346" t="s">
        <v>4677</v>
      </c>
      <c r="D5" s="346" t="s">
        <v>4822</v>
      </c>
      <c r="E5" s="346" t="s">
        <v>3345</v>
      </c>
      <c r="F5" s="346" t="s">
        <v>4684</v>
      </c>
      <c r="G5" s="346" t="s">
        <v>753</v>
      </c>
      <c r="H5" s="346" t="s">
        <v>4685</v>
      </c>
      <c r="I5" s="347" t="s">
        <v>4678</v>
      </c>
      <c r="J5" t="str">
        <f>IFERROR(__xludf.DUMMYFUNCTION("IFERROR(
    ARRAYFORMULA(
        JOIN(
            CHAR(10) &amp; CHAR(10),
            ""Comment: "" &amp; FILTER(
                'Scores Import DO NOT EDIT'!N:N, 
                'Scores Import DO NOT EDIT'!D:D = A5
            )
        )
    ), 
    ""No c"&amp;"omments yet""
)
"),"Comment: Students have a clear plan for sharing performance with a broader community and engaged the audience and through demonstrating different types of touch.  In addition, students explored emotions and sensations through dance. 
Comment: Congratulat"&amp;"ions for your great work and performance!
Comment: The performance was great and the students did a great job showing the audience what their techniques were and the way they defined things. For me, I enjoyed watching the students do the performance and "&amp;"the knowledge they shared with everyone.
Comment: Performance explored themes of desperation and desire that could be expanded.")</f>
        <v>Comment: Students have a clear plan for sharing performance with a broader community and engaged the audience and through demonstrating different types of touch.  In addition, students explored emotions and sensations through dance. 
Comment: Congratulations for your great work and performance!
Comment: The performance was great and the students did a great job showing the audience what their techniques were and the way they defined things. For me, I enjoyed watching the students do the performance and the knowledge they shared with everyone.
Comment: Performance explored themes of desperation and desire that could be expanded.</v>
      </c>
      <c r="K5" t="s">
        <v>4823</v>
      </c>
    </row>
    <row r="6">
      <c r="A6" s="345">
        <v>12.0</v>
      </c>
      <c r="B6" s="346" t="s">
        <v>4686</v>
      </c>
      <c r="C6" s="346" t="s">
        <v>4687</v>
      </c>
      <c r="D6" s="346" t="s">
        <v>4689</v>
      </c>
      <c r="E6" s="346" t="s">
        <v>869</v>
      </c>
      <c r="F6" s="346" t="s">
        <v>4693</v>
      </c>
      <c r="G6" s="346" t="s">
        <v>753</v>
      </c>
      <c r="H6" s="346" t="s">
        <v>4694</v>
      </c>
      <c r="I6" s="347" t="s">
        <v>4688</v>
      </c>
      <c r="J6" t="str">
        <f>IFERROR(__xludf.DUMMYFUNCTION("IFERROR(
    ARRAYFORMULA(
        JOIN(
            CHAR(10) &amp; CHAR(10),
            ""Comment: "" &amp; FILTER(
                'Scores Import DO NOT EDIT'!N:N, 
                'Scores Import DO NOT EDIT'!D:D = A6
            )
        )
    ), 
    ""No c"&amp;"omments yet""
)
"),"Comment: Students explored 4 contrasting movements and analyzed differences between dance as competition and dance as art. Through a series of demonstrations students explored each of the 4 movements and their self-realization process. 
Comment: The stud"&amp;"ents were very well organized and defined their movements in a simple manner. I liked how they explained things in the beginning then did their performance. Great choice of music and choice of outfits. Then they went into their evolution of their performa"&amp;"nce and worked out what they can improve. Great chemistry. Overall great performance. A few recommendations. One thing is to change the red from the background of the slides as it gets harder to see when the set lights are pointed at the screen. The secon"&amp;"d is to always thank the audience after they ask questions like “thank you for your question”,  “I appreciate you asking that question”, and “thank you for sharing that insight”. Overall great work again.
Comment: Great work!")</f>
        <v>Comment: Students explored 4 contrasting movements and analyzed differences between dance as competition and dance as art. Through a series of demonstrations students explored each of the 4 movements and their self-realization process. 
Comment: The students were very well organized and defined their movements in a simple manner. I liked how they explained things in the beginning then did their performance. Great choice of music and choice of outfits. Then they went into their evolution of their performance and worked out what they can improve. Great chemistry. Overall great performance. A few recommendations. One thing is to change the red from the background of the slides as it gets harder to see when the set lights are pointed at the screen. The second is to always thank the audience after they ask questions like “thank you for your question”,  “I appreciate you asking that question”, and “thank you for sharing that insight”. Overall great work again.
Comment: Great work!</v>
      </c>
      <c r="K6" t="s">
        <v>4824</v>
      </c>
    </row>
    <row r="7">
      <c r="A7" s="345">
        <v>13.0</v>
      </c>
      <c r="B7" s="346" t="s">
        <v>4695</v>
      </c>
      <c r="C7" s="346" t="s">
        <v>4696</v>
      </c>
      <c r="D7" s="346" t="s">
        <v>4699</v>
      </c>
      <c r="E7" s="346" t="s">
        <v>1808</v>
      </c>
      <c r="F7" s="346" t="s">
        <v>4693</v>
      </c>
      <c r="G7" s="346" t="s">
        <v>753</v>
      </c>
      <c r="H7" s="346" t="s">
        <v>4694</v>
      </c>
      <c r="I7" s="347" t="s">
        <v>4697</v>
      </c>
      <c r="J7" t="str">
        <f>IFERROR(__xludf.DUMMYFUNCTION("IFERROR(
    ARRAYFORMULA(
        JOIN(
            CHAR(10) &amp; CHAR(10),
            ""Comment: "" &amp; FILTER(
                'Scores Import DO NOT EDIT'!N:N, 
                'Scores Import DO NOT EDIT'!D:D = A7
            )
        )
    ), 
    ""No c"&amp;"omments yet""
)
"),"Comment: Student brilliantly engaged breaking and ballet and leveraged the music to shift between styles. Rooted her personal experiences into selections for movement. Student framed her research as an exploration of culture, movement and historical origi"&amp;"ns of breaking and ballet. A truly impactful and necessary performance for a much wider audience to see. 
Comment: Chasle performance piece was inspirational and poetic. She tied in her past to her dance experience at SDSU. Her history and technique conn"&amp;"ected well. I enjoyed her use of music and transition. Very elegant and profound performance. ")</f>
        <v>Comment: Student brilliantly engaged breaking and ballet and leveraged the music to shift between styles. Rooted her personal experiences into selections for movement. Student framed her research as an exploration of culture, movement and historical origins of breaking and ballet. A truly impactful and necessary performance for a much wider audience to see. 
Comment: Chasle performance piece was inspirational and poetic. She tied in her past to her dance experience at SDSU. Her history and technique connected well. I enjoyed her use of music and transition. Very elegant and profound performance. </v>
      </c>
      <c r="K7" t="s">
        <v>4825</v>
      </c>
    </row>
    <row r="8">
      <c r="A8" s="345">
        <v>14.0</v>
      </c>
      <c r="B8" s="346" t="s">
        <v>2636</v>
      </c>
      <c r="C8" s="346" t="s">
        <v>4703</v>
      </c>
      <c r="D8" s="346" t="s">
        <v>4705</v>
      </c>
      <c r="E8" s="346" t="s">
        <v>869</v>
      </c>
      <c r="F8" s="346" t="s">
        <v>4693</v>
      </c>
      <c r="G8" s="346" t="s">
        <v>753</v>
      </c>
      <c r="H8" s="346" t="s">
        <v>4694</v>
      </c>
      <c r="I8" s="347" t="s">
        <v>4704</v>
      </c>
      <c r="J8" t="str">
        <f>IFERROR(__xludf.DUMMYFUNCTION("IFERROR(
    ARRAYFORMULA(
        JOIN(
            CHAR(10) &amp; CHAR(10),
            ""Comment: "" &amp; FILTER(
                'Scores Import DO NOT EDIT'!N:N, 
                'Scores Import DO NOT EDIT'!D:D = A8
            )
        )
    ), 
    ""No c"&amp;"omments yet""
)
"),"Comment: Student is exploring the idea of being “in-between,” as an extension of their identity of being Mexican and American. Through the use of language, dance and conceptions of the “borderlands,” student is bridging the gap between these 2 divided sel"&amp;"ves. 
Comment: Alyssa did a wonderful connection of existing with her performance drawing on her Mexican and American background. She acknowledged her upbringing which I loved. It allowed me to understand her creative process. Her dance making was very i"&amp;"nteresting and mindful of her authenticity and individuality. I liked the reference of Borderlands. If it’s possible, I would like to see more research on literature. Qualities of moment was also informative. Not sure if music would fit but perhaps the pe"&amp;"rformance can evolve to have music. That’s just my thought and didnt change the performance. It was great with or without. Overall great work and thank you for sharing.")</f>
        <v>Comment: Student is exploring the idea of being “in-between,” as an extension of their identity of being Mexican and American. Through the use of language, dance and conceptions of the “borderlands,” student is bridging the gap between these 2 divided selves. 
Comment: Alyssa did a wonderful connection of existing with her performance drawing on her Mexican and American background. She acknowledged her upbringing which I loved. It allowed me to understand her creative process. Her dance making was very interesting and mindful of her authenticity and individuality. I liked the reference of Borderlands. If it’s possible, I would like to see more research on literature. Qualities of moment was also informative. Not sure if music would fit but perhaps the performance can evolve to have music. That’s just my thought and didnt change the performance. It was great with or without. Overall great work and thank you for sharing.</v>
      </c>
      <c r="K8" t="s">
        <v>4826</v>
      </c>
    </row>
    <row r="9">
      <c r="A9" s="345">
        <v>50.0</v>
      </c>
      <c r="B9" s="346" t="s">
        <v>4497</v>
      </c>
      <c r="C9" s="346" t="s">
        <v>4498</v>
      </c>
      <c r="D9" s="346" t="s">
        <v>4500</v>
      </c>
      <c r="E9" s="346" t="s">
        <v>2456</v>
      </c>
      <c r="F9" s="346" t="s">
        <v>4519</v>
      </c>
      <c r="G9" s="346" t="s">
        <v>1457</v>
      </c>
      <c r="H9" s="346" t="s">
        <v>4509</v>
      </c>
      <c r="I9" s="347" t="s">
        <v>4499</v>
      </c>
      <c r="J9" t="str">
        <f>IFERROR(__xludf.DUMMYFUNCTION("IFERROR(
    ARRAYFORMULA(
        JOIN(
            CHAR(10) &amp; CHAR(10),
            ""Comment: "" &amp; FILTER(
                'Scores Import DO NOT EDIT'!N:N, 
                'Scores Import DO NOT EDIT'!D:D = A9
            )
        )
    ), 
    ""No c"&amp;"omments yet""
)
"),"Comment: This is a a critical and important project to embark on. I hope to see the results at the conference next year! 
Comment: Great and important project. The use of the google survey will be so important! I look forward to seeing results 
Comment:"&amp;" I thought the topic was really important. I recommend slowing down a little. The slides were really great! 
Comment: I was curious to know how student researchers’ experiences (positionality) influenced the research design and question. The research que"&amp;"stion is strong and important. I’m unaware of recent academic studies that explore gentrification specifically in San Diego. With anonymous surveys, what will the group do if there is a low response rate that does not yield significant data? Will there be"&amp;" fieldwork that involves the communities currently most impacted by gentrification, and where in SD are those communities?")</f>
        <v>Comment: This is a a critical and important project to embark on. I hope to see the results at the conference next year! 
Comment: Great and important project. The use of the google survey will be so important! I look forward to seeing results 
Comment: I thought the topic was really important. I recommend slowing down a little. The slides were really great! 
Comment: I was curious to know how student researchers’ experiences (positionality) influenced the research design and question. The research question is strong and important. I’m unaware of recent academic studies that explore gentrification specifically in San Diego. With anonymous surveys, what will the group do if there is a low response rate that does not yield significant data? Will there be fieldwork that involves the communities currently most impacted by gentrification, and where in SD are those communities?</v>
      </c>
      <c r="K9" t="s">
        <v>4827</v>
      </c>
    </row>
    <row r="10">
      <c r="A10" s="345">
        <v>51.0</v>
      </c>
      <c r="B10" s="346" t="s">
        <v>3424</v>
      </c>
      <c r="C10" s="346" t="s">
        <v>4510</v>
      </c>
      <c r="D10" s="346" t="s">
        <v>4513</v>
      </c>
      <c r="E10" s="346" t="s">
        <v>3523</v>
      </c>
      <c r="F10" s="346" t="s">
        <v>4519</v>
      </c>
      <c r="G10" s="346" t="s">
        <v>777</v>
      </c>
      <c r="H10" s="346" t="s">
        <v>4520</v>
      </c>
      <c r="I10" s="347" t="s">
        <v>4511</v>
      </c>
      <c r="J10" t="str">
        <f>IFERROR(__xludf.DUMMYFUNCTION("IFERROR(
    ARRAYFORMULA(
        JOIN(
            CHAR(10) &amp; CHAR(10),
            ""Comment: "" &amp; FILTER(
                'Scores Import DO NOT EDIT'!N:N, 
                'Scores Import DO NOT EDIT'!D:D = A10
            )
        )
    ), 
    ""No "&amp;"comments yet""
)
"),"Comment: Great research project!
Comment: This is an important topic that matters! I’m exciting for you to do this work!
Comment: Interesting topic! I would love to learn how this affects their outcomes in athletic competition. 
Comment: Minor suggesti"&amp;"on is to face the audience when presenting rather than the screen. Would have loved to see some images of Griner and Williams alongside some of the text. This project with the case studies is a great way to further explore the cultural politics of sports "&amp;"as  they relate to the portrayal and representation of queerness and power (Serena represents power to me as a fan of her performances). There is a lot of great sports theory out there to further develop the project. Assessing discourse of sportscasters m"&amp;"ight help too for cultural analysis or racialized context. Really liked this approach to research. ")</f>
        <v>Comment: Great research project!
Comment: This is an important topic that matters! I’m exciting for you to do this work!
Comment: Interesting topic! I would love to learn how this affects their outcomes in athletic competition. 
Comment: Minor suggestion is to face the audience when presenting rather than the screen. Would have loved to see some images of Griner and Williams alongside some of the text. This project with the case studies is a great way to further explore the cultural politics of sports as  they relate to the portrayal and representation of queerness and power (Serena represents power to me as a fan of her performances). There is a lot of great sports theory out there to further develop the project. Assessing discourse of sportscasters might help too for cultural analysis or racialized context. Really liked this approach to research. </v>
      </c>
      <c r="K10" t="s">
        <v>4828</v>
      </c>
    </row>
    <row r="11">
      <c r="A11" s="345">
        <v>52.0</v>
      </c>
      <c r="B11" s="346" t="s">
        <v>4521</v>
      </c>
      <c r="C11" s="346" t="s">
        <v>4522</v>
      </c>
      <c r="D11" s="346" t="s">
        <v>4829</v>
      </c>
      <c r="E11" s="346" t="s">
        <v>4532</v>
      </c>
      <c r="F11" s="346" t="s">
        <v>861</v>
      </c>
      <c r="G11" s="346" t="s">
        <v>1457</v>
      </c>
      <c r="H11" s="346" t="s">
        <v>4533</v>
      </c>
      <c r="I11" s="347" t="s">
        <v>4523</v>
      </c>
      <c r="J11" t="str">
        <f>IFERROR(__xludf.DUMMYFUNCTION("IFERROR(
    ARRAYFORMULA(
        JOIN(
            CHAR(10) &amp; CHAR(10),
            ""Comment: "" &amp; FILTER(
                'Scores Import DO NOT EDIT'!N:N, 
                'Scores Import DO NOT EDIT'!D:D = A11
            )
        )
    ), 
    ""No "&amp;"comments yet""
)
"),"Comment: I am excited for you to keep exploring this question! This is important work! ")</f>
        <v>Comment: I am excited for you to keep exploring this question! This is important work! </v>
      </c>
      <c r="K11" t="s">
        <v>4830</v>
      </c>
    </row>
    <row r="12">
      <c r="A12" s="345">
        <v>53.0</v>
      </c>
      <c r="B12" s="346" t="s">
        <v>4534</v>
      </c>
      <c r="C12" s="346" t="s">
        <v>4535</v>
      </c>
      <c r="D12" s="346" t="s">
        <v>4537</v>
      </c>
      <c r="E12" s="346" t="s">
        <v>2456</v>
      </c>
      <c r="F12" s="346" t="s">
        <v>4519</v>
      </c>
      <c r="G12" s="346" t="s">
        <v>777</v>
      </c>
      <c r="H12" s="346" t="s">
        <v>4509</v>
      </c>
      <c r="I12" s="347" t="s">
        <v>4536</v>
      </c>
      <c r="J12" t="str">
        <f>IFERROR(__xludf.DUMMYFUNCTION("IFERROR(
    ARRAYFORMULA(
        JOIN(
            CHAR(10) &amp; CHAR(10),
            ""Comment: "" &amp; FILTER(
                'Scores Import DO NOT EDIT'!N:N, 
                'Scores Import DO NOT EDIT'!D:D = A12
            )
        )
    ), 
    ""No "&amp;"comments yet""
)
"),"Comment: Insightful project! 
Comment: Thank you for doing this important work! I am excited about the interviews that you are going to do! 
Comment: The slides were great. This is a really interesting topic. Would be interesting to see if this affected"&amp;" applications as well. 
Comment: I found the the simple transitions with the slides very helpful and that approach kept me intrigued with everything each speaker had to say. The historical context about Affirmative Action was excellent and helpful. Backg"&amp;"round on the research question was beautifully written. I wanted to know a little bit more about the quantitative approach. More time could have been spent unpacking the graph with important data. I am curious how the group will find research participants"&amp;" who graduated before 1998 or by 1999? I think an oral history-based approach would be fantastic and reveal important historical perspectives about the unaffordability of higher ed. The UC data was productive, and I wanted to know more about CSU stats too"&amp;".")</f>
        <v>Comment: Insightful project! 
Comment: Thank you for doing this important work! I am excited about the interviews that you are going to do! 
Comment: The slides were great. This is a really interesting topic. Would be interesting to see if this affected applications as well. 
Comment: I found the the simple transitions with the slides very helpful and that approach kept me intrigued with everything each speaker had to say. The historical context about Affirmative Action was excellent and helpful. Background on the research question was beautifully written. I wanted to know a little bit more about the quantitative approach. More time could have been spent unpacking the graph with important data. I am curious how the group will find research participants who graduated before 1998 or by 1999? I think an oral history-based approach would be fantastic and reveal important historical perspectives about the unaffordability of higher ed. The UC data was productive, and I wanted to know more about CSU stats too.</v>
      </c>
      <c r="K12" t="s">
        <v>4831</v>
      </c>
    </row>
    <row r="13">
      <c r="A13" s="345">
        <v>54.0</v>
      </c>
      <c r="B13" s="346" t="s">
        <v>3557</v>
      </c>
      <c r="C13" s="346" t="s">
        <v>3558</v>
      </c>
      <c r="D13" s="346" t="s">
        <v>3560</v>
      </c>
      <c r="E13" s="346" t="s">
        <v>4832</v>
      </c>
      <c r="F13" s="346" t="s">
        <v>795</v>
      </c>
      <c r="G13" s="348"/>
      <c r="H13" s="348" t="s">
        <v>796</v>
      </c>
      <c r="I13" s="347" t="s">
        <v>3559</v>
      </c>
      <c r="J13" t="str">
        <f>IFERROR(__xludf.DUMMYFUNCTION("IFERROR(
    ARRAYFORMULA(
        JOIN(
            CHAR(10) &amp; CHAR(10),
            ""Comment: "" &amp; FILTER(
                'Scores Import DO NOT EDIT'!N:N, 
                'Scores Import DO NOT EDIT'!D:D = A13
            )
        )
    ), 
    ""No "&amp;"comments yet""
)
"),"Comment: Great explanation of methods. More descriptions on examples of implications. Great job at discussing problem statement. 
Comment: 
Comment: Great organization and delivery of content. Great handling of the questions. Could improve if more thoug"&amp;"hts put on limitations of the study.
Comment: 1) Positive - Great at explaining to attendees what their research is about. Great at responding to inquiries.
2) Improvements - Expand Others. Consider geography/location in the study.")</f>
        <v>Comment: Great explanation of methods. More descriptions on examples of implications. Great job at discussing problem statement. 
Comment: 
Comment: Great organization and delivery of content. Great handling of the questions. Could improve if more thoughts put on limitations of the study.
Comment: 1) Positive - Great at explaining to attendees what their research is about. Great at responding to inquiries.
2) Improvements - Expand Others. Consider geography/location in the study.</v>
      </c>
      <c r="K13" t="s">
        <v>4833</v>
      </c>
    </row>
    <row r="14">
      <c r="A14" s="345">
        <v>55.0</v>
      </c>
      <c r="B14" s="346" t="s">
        <v>4544</v>
      </c>
      <c r="C14" s="346" t="s">
        <v>4545</v>
      </c>
      <c r="D14" s="346" t="s">
        <v>4834</v>
      </c>
      <c r="E14" s="346" t="s">
        <v>4555</v>
      </c>
      <c r="F14" s="346" t="s">
        <v>4556</v>
      </c>
      <c r="G14" s="346" t="s">
        <v>764</v>
      </c>
      <c r="H14" s="346" t="s">
        <v>4557</v>
      </c>
      <c r="I14" s="347" t="s">
        <v>4546</v>
      </c>
      <c r="J14" t="str">
        <f>IFERROR(__xludf.DUMMYFUNCTION("IFERROR(
    ARRAYFORMULA(
        JOIN(
            CHAR(10) &amp; CHAR(10),
            ""Comment: "" &amp; FILTER(
                'Scores Import DO NOT EDIT'!N:N, 
                'Scores Import DO NOT EDIT'!D:D = A14
            )
        )
    ), 
    ""No "&amp;"comments yet""
)
"),"Comment: ")</f>
        <v>Comment: </v>
      </c>
      <c r="K14" t="s">
        <v>4835</v>
      </c>
    </row>
    <row r="15">
      <c r="A15" s="345">
        <v>56.0</v>
      </c>
      <c r="B15" s="346" t="s">
        <v>4558</v>
      </c>
      <c r="C15" s="346" t="s">
        <v>4559</v>
      </c>
      <c r="D15" s="346" t="s">
        <v>4562</v>
      </c>
      <c r="E15" s="346" t="s">
        <v>2456</v>
      </c>
      <c r="F15" s="346" t="s">
        <v>4519</v>
      </c>
      <c r="G15" s="346" t="s">
        <v>777</v>
      </c>
      <c r="H15" s="346" t="s">
        <v>4509</v>
      </c>
      <c r="I15" s="347" t="s">
        <v>4560</v>
      </c>
      <c r="J15" t="str">
        <f>IFERROR(__xludf.DUMMYFUNCTION("IFERROR(
    ARRAYFORMULA(
        JOIN(
            CHAR(10) &amp; CHAR(10),
            ""Comment: "" &amp; FILTER(
                'Scores Import DO NOT EDIT'!N:N, 
                'Scores Import DO NOT EDIT'!D:D = A15
            )
        )
    ), 
    ""No "&amp;"comments yet""
)
"),"Comment: ")</f>
        <v>Comment: </v>
      </c>
      <c r="K15" t="s">
        <v>4835</v>
      </c>
    </row>
    <row r="16">
      <c r="A16" s="345">
        <v>57.0</v>
      </c>
      <c r="B16" s="346" t="s">
        <v>4568</v>
      </c>
      <c r="C16" s="346" t="s">
        <v>4569</v>
      </c>
      <c r="D16" s="346" t="s">
        <v>4571</v>
      </c>
      <c r="E16" s="346" t="s">
        <v>4578</v>
      </c>
      <c r="F16" s="346" t="s">
        <v>4836</v>
      </c>
      <c r="G16" s="346" t="s">
        <v>1457</v>
      </c>
      <c r="H16" s="346" t="s">
        <v>4580</v>
      </c>
      <c r="I16" s="347" t="s">
        <v>4570</v>
      </c>
      <c r="J16" t="str">
        <f>IFERROR(__xludf.DUMMYFUNCTION("IFERROR(
    ARRAYFORMULA(
        JOIN(
            CHAR(10) &amp; CHAR(10),
            ""Comment: "" &amp; FILTER(
                'Scores Import DO NOT EDIT'!N:N, 
                'Scores Import DO NOT EDIT'!D:D = A16
            )
        )
    ), 
    ""No "&amp;"comments yet""
)
"),"Comment: ")</f>
        <v>Comment: </v>
      </c>
      <c r="K16" t="s">
        <v>4835</v>
      </c>
    </row>
    <row r="17">
      <c r="A17" s="345">
        <v>58.0</v>
      </c>
      <c r="B17" s="346" t="s">
        <v>4581</v>
      </c>
      <c r="C17" s="346" t="s">
        <v>4566</v>
      </c>
      <c r="D17" s="346" t="s">
        <v>4583</v>
      </c>
      <c r="E17" s="346" t="s">
        <v>3523</v>
      </c>
      <c r="F17" s="346" t="s">
        <v>4519</v>
      </c>
      <c r="G17" s="346" t="s">
        <v>1457</v>
      </c>
      <c r="H17" s="346" t="s">
        <v>4509</v>
      </c>
      <c r="I17" s="347" t="s">
        <v>4509</v>
      </c>
      <c r="J17" t="str">
        <f>IFERROR(__xludf.DUMMYFUNCTION("IFERROR(
    ARRAYFORMULA(
        JOIN(
            CHAR(10) &amp; CHAR(10),
            ""Comment: "" &amp; FILTER(
                'Scores Import DO NOT EDIT'!N:N, 
                'Scores Import DO NOT EDIT'!D:D = A17
            )
        )
    ), 
    ""No "&amp;"comments yet""
)
"),"Comment: ")</f>
        <v>Comment: </v>
      </c>
      <c r="K17" t="s">
        <v>4835</v>
      </c>
    </row>
    <row r="18">
      <c r="A18" s="345">
        <v>59.0</v>
      </c>
      <c r="B18" s="346" t="s">
        <v>4227</v>
      </c>
      <c r="C18" s="346" t="s">
        <v>4228</v>
      </c>
      <c r="D18" s="346" t="s">
        <v>4230</v>
      </c>
      <c r="E18" s="346" t="s">
        <v>4232</v>
      </c>
      <c r="F18" s="346" t="s">
        <v>898</v>
      </c>
      <c r="G18" s="348"/>
      <c r="H18" s="348" t="s">
        <v>4837</v>
      </c>
      <c r="I18" s="347" t="s">
        <v>4229</v>
      </c>
      <c r="J18" t="str">
        <f>IFERROR(__xludf.DUMMYFUNCTION("IFERROR(
    ARRAYFORMULA(
        JOIN(
            CHAR(10) &amp; CHAR(10),
            ""Comment: "" &amp; FILTER(
                'Scores Import DO NOT EDIT'!N:N, 
                'Scores Import DO NOT EDIT'!D:D = A18
            )
        )
    ), 
    ""No "&amp;"comments yet""
)
"),"Comment: Wonderful presentation skills, thoughtful discussion of her research, excellent ideas for next steps!
Comment: Christaysha, thank you for sharing your project. I think it's really important to evaluate programs that are meant to enrich the lives"&amp;" of underrepresented, minoritized identities. It's even better when it's being evaluated by those who are actually in it. You're truly doing your peers a service by helping to evaluate and inform the program. 
I don't understand why the conference coordi"&amp;"nators placed you so far from the other education undergrads but that isn't on you. I had a hard time finding your poster. 
Looking forward to seeing what you accomplish in grad school")</f>
        <v>Comment: Wonderful presentation skills, thoughtful discussion of her research, excellent ideas for next steps!
Comment: Christaysha, thank you for sharing your project. I think it's really important to evaluate programs that are meant to enrich the lives of underrepresented, minoritized identities. It's even better when it's being evaluated by those who are actually in it. You're truly doing your peers a service by helping to evaluate and inform the program. 
I don't understand why the conference coordinators placed you so far from the other education undergrads but that isn't on you. I had a hard time finding your poster. 
Looking forward to seeing what you accomplish in grad school</v>
      </c>
      <c r="K18" t="s">
        <v>4838</v>
      </c>
    </row>
    <row r="19">
      <c r="A19" s="345">
        <v>100.0</v>
      </c>
      <c r="B19" s="346" t="s">
        <v>746</v>
      </c>
      <c r="C19" s="346" t="s">
        <v>747</v>
      </c>
      <c r="D19" s="346" t="s">
        <v>750</v>
      </c>
      <c r="E19" s="346" t="s">
        <v>754</v>
      </c>
      <c r="F19" s="346" t="s">
        <v>755</v>
      </c>
      <c r="G19" s="346" t="s">
        <v>753</v>
      </c>
      <c r="H19" s="346" t="s">
        <v>756</v>
      </c>
      <c r="I19" s="347" t="s">
        <v>748</v>
      </c>
      <c r="J19" t="str">
        <f>IFERROR(__xludf.DUMMYFUNCTION("IFERROR(
    ARRAYFORMULA(
        JOIN(
            CHAR(10) &amp; CHAR(10),
            ""Comment: "" &amp; FILTER(
                'Scores Import DO NOT EDIT'!N:N, 
                'Scores Import DO NOT EDIT'!D:D = A19
            )
        )
    ), 
    ""No "&amp;"comments yet""
)
"),"Comment: I would like to see statistical analysis even though there is a sample selection issue and the sample size appears to be very small.  Need to obtain better data in the future and analyze the data statistically.
Comment: 
Comment: 
Comment: Emi"&amp;"ly's research project is very timely and relevant. She also handled herself very well after a somewhat hectic setup with the computer; something like that would have probably rattled my nerves when I was her age. I admire the way she was able to go throug"&amp;"h her presentation without notes. However, I do wish she would have shown us some of the results (I would have liked to see some excerpts from the interview).")</f>
        <v>Comment: I would like to see statistical analysis even though there is a sample selection issue and the sample size appears to be very small.  Need to obtain better data in the future and analyze the data statistically.
Comment: 
Comment: 
Comment: Emily's research project is very timely and relevant. She also handled herself very well after a somewhat hectic setup with the computer; something like that would have probably rattled my nerves when I was her age. I admire the way she was able to go through her presentation without notes. However, I do wish she would have shown us some of the results (I would have liked to see some excerpts from the interview).</v>
      </c>
      <c r="K19" t="s">
        <v>4839</v>
      </c>
    </row>
    <row r="20">
      <c r="A20" s="345">
        <v>101.0</v>
      </c>
      <c r="B20" s="346" t="s">
        <v>758</v>
      </c>
      <c r="C20" s="346" t="s">
        <v>759</v>
      </c>
      <c r="D20" s="346" t="s">
        <v>762</v>
      </c>
      <c r="E20" s="346" t="s">
        <v>765</v>
      </c>
      <c r="F20" s="346" t="s">
        <v>766</v>
      </c>
      <c r="G20" s="346" t="s">
        <v>764</v>
      </c>
      <c r="H20" s="346" t="s">
        <v>767</v>
      </c>
      <c r="I20" s="347" t="s">
        <v>760</v>
      </c>
      <c r="J20" t="str">
        <f>IFERROR(__xludf.DUMMYFUNCTION("IFERROR(
    ARRAYFORMULA(
        JOIN(
            CHAR(10) &amp; CHAR(10),
            ""Comment: "" &amp; FILTER(
                'Scores Import DO NOT EDIT'!N:N, 
                'Scores Import DO NOT EDIT'!D:D = A20
            )
        )
    ), 
    ""No "&amp;"comments yet""
)
"),"Comment: I would like see a larger data set and see more control variables such as family situations and peers.
Comment: 
Comment: 
Comment: I though Shefali's presentation was quite interesting and very important especially for this politically climat"&amp;"e. I appreciate her ability to navigate her presentation without any assistance with notes. I did think some of the slides were a bit wordy (for example the slide on intersectional discrimination). A tool I learned for creating PowerPoints for class was t"&amp;"o limit the amount of words you use. It can be distracting as the audience is trying to read and listen to you at the same time. There was one question about where the population/demographic was from that she was comparing her participants in San Diego wi"&amp;"th; I would be pretty surprised that that information would not be included in the article and seems like important information to know for comparative analysis to greater enhance the significance of her findings.")</f>
        <v>Comment: I would like see a larger data set and see more control variables such as family situations and peers.
Comment: 
Comment: 
Comment: I though Shefali's presentation was quite interesting and very important especially for this politically climate. I appreciate her ability to navigate her presentation without any assistance with notes. I did think some of the slides were a bit wordy (for example the slide on intersectional discrimination). A tool I learned for creating PowerPoints for class was to limit the amount of words you use. It can be distracting as the audience is trying to read and listen to you at the same time. There was one question about where the population/demographic was from that she was comparing her participants in San Diego with; I would be pretty surprised that that information would not be included in the article and seems like important information to know for comparative analysis to greater enhance the significance of her findings.</v>
      </c>
      <c r="K20" t="s">
        <v>4840</v>
      </c>
    </row>
    <row r="21">
      <c r="A21" s="345">
        <v>102.0</v>
      </c>
      <c r="B21" s="346" t="s">
        <v>746</v>
      </c>
      <c r="C21" s="346" t="s">
        <v>768</v>
      </c>
      <c r="D21" s="346" t="s">
        <v>771</v>
      </c>
      <c r="E21" s="346" t="s">
        <v>774</v>
      </c>
      <c r="F21" s="346" t="s">
        <v>775</v>
      </c>
      <c r="G21" s="346" t="s">
        <v>777</v>
      </c>
      <c r="H21" s="346" t="s">
        <v>776</v>
      </c>
      <c r="I21" s="347" t="s">
        <v>769</v>
      </c>
      <c r="J21" t="str">
        <f>IFERROR(__xludf.DUMMYFUNCTION("IFERROR(
    ARRAYFORMULA(
        JOIN(
            CHAR(10) &amp; CHAR(10),
            ""Comment: "" &amp; FILTER(
                'Scores Import DO NOT EDIT'!N:N, 
                'Scores Import DO NOT EDIT'!D:D = A21
            )
        )
    ), 
    ""No "&amp;"comments yet""
)
"),"No comments yet")</f>
        <v>No comments yet</v>
      </c>
      <c r="K21" t="s">
        <v>4820</v>
      </c>
    </row>
    <row r="22">
      <c r="A22" s="345">
        <v>103.0</v>
      </c>
      <c r="B22" s="346" t="s">
        <v>778</v>
      </c>
      <c r="C22" s="346" t="s">
        <v>779</v>
      </c>
      <c r="D22" s="346" t="s">
        <v>782</v>
      </c>
      <c r="E22" s="346" t="s">
        <v>785</v>
      </c>
      <c r="F22" s="346" t="s">
        <v>786</v>
      </c>
      <c r="G22" s="346" t="s">
        <v>784</v>
      </c>
      <c r="H22" s="346" t="s">
        <v>787</v>
      </c>
      <c r="I22" s="347" t="s">
        <v>780</v>
      </c>
      <c r="J22" t="str">
        <f>IFERROR(__xludf.DUMMYFUNCTION("IFERROR(
    ARRAYFORMULA(
        JOIN(
            CHAR(10) &amp; CHAR(10),
            ""Comment: "" &amp; FILTER(
                'Scores Import DO NOT EDIT'!N:N, 
                'Scores Import DO NOT EDIT'!D:D = A22
            )
        )
    ), 
    ""No "&amp;"comments yet""
)
"),"Comment: I would like to see a more systematic literature review.  How many research articles did you consider, how did you choose them, and how did you synthesize the relevant research papers?  If you are familiar with your research, you should be able t"&amp;"o present without looking at your your phone.
Comment: 
Comment: Lack of emotional thought regarding language use. Notes should be on a page or rehearsed. 
Comment: Alisson's presentation was pretty interesting. I would have liked to know why India and"&amp;" South America were chosen. I do think the definition provided for slums could have been more expansive because most areas would be considered a ""slum"" based on the definition provided. She seemed a bit nervous and seemed to fumble between the notes on "&amp;"her slide and transitioning to not using notes. Also, there was a question about the half houses that she seemed to struggle to answer. Still, presenting as a third year undergraduate is impressive. ")</f>
        <v>Comment: I would like to see a more systematic literature review.  How many research articles did you consider, how did you choose them, and how did you synthesize the relevant research papers?  If you are familiar with your research, you should be able to present without looking at your your phone.
Comment: 
Comment: Lack of emotional thought regarding language use. Notes should be on a page or rehearsed. 
Comment: Alisson's presentation was pretty interesting. I would have liked to know why India and South America were chosen. I do think the definition provided for slums could have been more expansive because most areas would be considered a "slum" based on the definition provided. She seemed a bit nervous and seemed to fumble between the notes on her slide and transitioning to not using notes. Also, there was a question about the half houses that she seemed to struggle to answer. Still, presenting as a third year undergraduate is impressive. </v>
      </c>
      <c r="K22" t="s">
        <v>4841</v>
      </c>
    </row>
    <row r="23">
      <c r="A23" s="345">
        <v>104.0</v>
      </c>
      <c r="B23" s="346" t="s">
        <v>788</v>
      </c>
      <c r="C23" s="346" t="s">
        <v>789</v>
      </c>
      <c r="D23" s="346" t="s">
        <v>4842</v>
      </c>
      <c r="E23" s="346" t="s">
        <v>794</v>
      </c>
      <c r="F23" s="346" t="s">
        <v>795</v>
      </c>
      <c r="G23" s="346" t="s">
        <v>764</v>
      </c>
      <c r="H23" s="346" t="s">
        <v>796</v>
      </c>
      <c r="I23" s="347" t="s">
        <v>790</v>
      </c>
      <c r="J23" t="str">
        <f>IFERROR(__xludf.DUMMYFUNCTION("IFERROR(
    ARRAYFORMULA(
        JOIN(
            CHAR(10) &amp; CHAR(10),
            ""Comment: "" &amp; FILTER(
                'Scores Import DO NOT EDIT'!N:N, 
                'Scores Import DO NOT EDIT'!D:D = A23
            )
        )
    ), 
    ""No "&amp;"comments yet""
)
"),"Comment: I suggest that you speak to the audience not to the slide.  I would like to see more control variables in your findings such as family conditions, school life, and peers.
Comment: 
Comment: Take a breath and just relax. 
Comment: I thought Dav"&amp;"id's presentation was really interesting. However, he moved so fast through the slides that I had a hard time absorbing the information. So I think that was my biggest challenge with the presentation. But I found it to be interesting and important.")</f>
        <v>Comment: I suggest that you speak to the audience not to the slide.  I would like to see more control variables in your findings such as family conditions, school life, and peers.
Comment: 
Comment: Take a breath and just relax. 
Comment: I thought David's presentation was really interesting. However, he moved so fast through the slides that I had a hard time absorbing the information. So I think that was my biggest challenge with the presentation. But I found it to be interesting and important.</v>
      </c>
      <c r="K23" t="s">
        <v>4843</v>
      </c>
    </row>
    <row r="24">
      <c r="A24" s="345">
        <v>105.0</v>
      </c>
      <c r="B24" s="346" t="s">
        <v>746</v>
      </c>
      <c r="C24" s="346" t="s">
        <v>798</v>
      </c>
      <c r="D24" s="346" t="s">
        <v>801</v>
      </c>
      <c r="E24" s="346" t="s">
        <v>803</v>
      </c>
      <c r="F24" s="346" t="s">
        <v>804</v>
      </c>
      <c r="G24" s="346" t="s">
        <v>784</v>
      </c>
      <c r="H24" s="346" t="s">
        <v>805</v>
      </c>
      <c r="I24" s="347" t="s">
        <v>799</v>
      </c>
      <c r="J24" t="str">
        <f>IFERROR(__xludf.DUMMYFUNCTION("IFERROR(
    ARRAYFORMULA(
        JOIN(
            CHAR(10) &amp; CHAR(10),
            ""Comment: "" &amp; FILTER(
                'Scores Import DO NOT EDIT'!N:N, 
                'Scores Import DO NOT EDIT'!D:D = A24
            )
        )
    ), 
    ""No "&amp;"comments yet""
)
"),"Comment: I suggest that you collect more data with control variables even if this is a pilot study.
Comment: 
Comment: 
Comment: This is a timely project. I did think Emily spoke very fast which could just be her style of talking or nerves. I also wish"&amp;" that the color coded chart and the questions were on the slides with the results. I didn't really get a chance to absorb the results because the information was separated. I also wondered if her participants had a model or rubric for Chat GPT writing, wo"&amp;"uld this impact the results? To put it another way, would the average person be able to even provide descriptors of or the differences between AI vs. human writing? I think this is an important factor to consider for at least one or two of the questions s"&amp;"he asked her participants.")</f>
        <v>Comment: I suggest that you collect more data with control variables even if this is a pilot study.
Comment: 
Comment: 
Comment: This is a timely project. I did think Emily spoke very fast which could just be her style of talking or nerves. I also wish that the color coded chart and the questions were on the slides with the results. I didn't really get a chance to absorb the results because the information was separated. I also wondered if her participants had a model or rubric for Chat GPT writing, would this impact the results? To put it another way, would the average person be able to even provide descriptors of or the differences between AI vs. human writing? I think this is an important factor to consider for at least one or two of the questions she asked her participants.</v>
      </c>
      <c r="K24" t="s">
        <v>4844</v>
      </c>
    </row>
    <row r="25">
      <c r="A25" s="345">
        <v>106.0</v>
      </c>
      <c r="B25" s="346" t="s">
        <v>4845</v>
      </c>
      <c r="C25" s="346" t="s">
        <v>809</v>
      </c>
      <c r="D25" s="346" t="s">
        <v>812</v>
      </c>
      <c r="E25" s="346" t="s">
        <v>814</v>
      </c>
      <c r="F25" s="346" t="s">
        <v>815</v>
      </c>
      <c r="G25" s="346" t="s">
        <v>764</v>
      </c>
      <c r="H25" s="346" t="s">
        <v>816</v>
      </c>
      <c r="I25" s="347" t="s">
        <v>810</v>
      </c>
      <c r="J25" t="str">
        <f>IFERROR(__xludf.DUMMYFUNCTION("IFERROR(
    ARRAYFORMULA(
        JOIN(
            CHAR(10) &amp; CHAR(10),
            ""Comment: "" &amp; FILTER(
                'Scores Import DO NOT EDIT'!N:N, 
                'Scores Import DO NOT EDIT'!D:D = A25
            )
        )
    ), 
    ""No "&amp;"comments yet""
)
"),"Comment: Excellent speaker , challenged the audience and engaged . Suggestion is to clarify own contribution of work.
Comment: 
Comment: Excellent presentation, well organized slides, very good job explaining practical relevance of the project
Comment:"&amp;" Excellent Presentation Tanner, 
There were lots of abbreviations without introductions. For future presentations, Introduce abbreviations before the usage, this is really helpful for individuals who do not have ideas about the topic or field")</f>
        <v>Comment: Excellent speaker , challenged the audience and engaged . Suggestion is to clarify own contribution of work.
Comment: 
Comment: Excellent presentation, well organized slides, very good job explaining practical relevance of the project
Comment: Excellent Presentation Tanner, 
There were lots of abbreviations without introductions. For future presentations, Introduce abbreviations before the usage, this is really helpful for individuals who do not have ideas about the topic or field</v>
      </c>
      <c r="K25" t="s">
        <v>4846</v>
      </c>
    </row>
    <row r="26">
      <c r="A26" s="345">
        <v>107.0</v>
      </c>
      <c r="B26" s="346" t="s">
        <v>817</v>
      </c>
      <c r="C26" s="346" t="s">
        <v>818</v>
      </c>
      <c r="D26" s="346" t="s">
        <v>821</v>
      </c>
      <c r="E26" s="346" t="s">
        <v>823</v>
      </c>
      <c r="F26" s="346" t="s">
        <v>824</v>
      </c>
      <c r="G26" s="346" t="s">
        <v>764</v>
      </c>
      <c r="H26" s="346" t="s">
        <v>825</v>
      </c>
      <c r="I26" s="347" t="s">
        <v>819</v>
      </c>
      <c r="J26" t="str">
        <f>IFERROR(__xludf.DUMMYFUNCTION("IFERROR(
    ARRAYFORMULA(
        JOIN(
            CHAR(10) &amp; CHAR(10),
            ""Comment: "" &amp; FILTER(
                'Scores Import DO NOT EDIT'!N:N, 
                'Scores Import DO NOT EDIT'!D:D = A26
            )
        )
    ), 
    ""No "&amp;"comments yet""
)
"),"Comment: Passion of the student stands out! Providing the introductory background equipped the audience with the necessary tools to understand significance /methodology of research.
Comment: 
Comment: Great Presentation Erik - 
For future presentations,"&amp;" infuse more images and less words, try to use basic terminologies or give examples with real life scenario.  Great research work. 
Comment: Good work on this presentation. One suggestion for the future is to remember that your project has very compellin"&amp;"g human implications (internet is a human right!) -  begin with that as a hook to get people excited about your work. Nice job!")</f>
        <v>Comment: Passion of the student stands out! Providing the introductory background equipped the audience with the necessary tools to understand significance /methodology of research.
Comment: 
Comment: Great Presentation Erik - 
For future presentations, infuse more images and less words, try to use basic terminologies or give examples with real life scenario.  Great research work. 
Comment: Good work on this presentation. One suggestion for the future is to remember that your project has very compelling human implications (internet is a human right!) -  begin with that as a hook to get people excited about your work. Nice job!</v>
      </c>
      <c r="K26" t="s">
        <v>4847</v>
      </c>
    </row>
    <row r="27">
      <c r="A27" s="345">
        <v>108.0</v>
      </c>
      <c r="B27" s="346" t="s">
        <v>826</v>
      </c>
      <c r="C27" s="346" t="s">
        <v>827</v>
      </c>
      <c r="D27" s="346" t="s">
        <v>830</v>
      </c>
      <c r="E27" s="346" t="s">
        <v>832</v>
      </c>
      <c r="F27" s="346" t="s">
        <v>833</v>
      </c>
      <c r="G27" s="346" t="s">
        <v>773</v>
      </c>
      <c r="H27" s="346" t="s">
        <v>834</v>
      </c>
      <c r="I27" s="347" t="s">
        <v>828</v>
      </c>
      <c r="J27" t="str">
        <f>IFERROR(__xludf.DUMMYFUNCTION("IFERROR(
    ARRAYFORMULA(
        JOIN(
            CHAR(10) &amp; CHAR(10),
            ""Comment: "" &amp; FILTER(
                'Scores Import DO NOT EDIT'!N:N, 
                'Scores Import DO NOT EDIT'!D:D = A27
            )
        )
    ), 
    ""No "&amp;"comments yet""
)
"),"Comment: Very relevant work and intensive data collection and project activities. A suggestion could be on providing more specifics on how the quantitative results were measured.
Comment: 
Comment: Great job Alexi.
Notes: For subsequent presentation, ad"&amp;"d a link or QR code just incase people want to learn more about the research. 
Comment: Exceptional job on this presentation. Clear, well-organized slides, excellent and clear explanation of complex scientific concepts. Clear practical application of you"&amp;"r work. ")</f>
        <v>Comment: Very relevant work and intensive data collection and project activities. A suggestion could be on providing more specifics on how the quantitative results were measured.
Comment: 
Comment: Great job Alexi.
Notes: For subsequent presentation, add a link or QR code just incase people want to learn more about the research. 
Comment: Exceptional job on this presentation. Clear, well-organized slides, excellent and clear explanation of complex scientific concepts. Clear practical application of your work. </v>
      </c>
      <c r="K27" t="s">
        <v>4848</v>
      </c>
    </row>
    <row r="28">
      <c r="A28" s="345">
        <v>110.0</v>
      </c>
      <c r="B28" s="346" t="s">
        <v>835</v>
      </c>
      <c r="C28" s="346" t="s">
        <v>836</v>
      </c>
      <c r="D28" s="346" t="s">
        <v>839</v>
      </c>
      <c r="E28" s="346" t="s">
        <v>841</v>
      </c>
      <c r="F28" s="346" t="s">
        <v>842</v>
      </c>
      <c r="G28" s="346" t="s">
        <v>773</v>
      </c>
      <c r="H28" s="346" t="s">
        <v>843</v>
      </c>
      <c r="I28" s="347" t="s">
        <v>837</v>
      </c>
      <c r="J28" t="str">
        <f>IFERROR(__xludf.DUMMYFUNCTION("IFERROR(
    ARRAYFORMULA(
        JOIN(
            CHAR(10) &amp; CHAR(10),
            ""Comment: "" &amp; FILTER(
                'Scores Import DO NOT EDIT'!N:N, 
                'Scores Import DO NOT EDIT'!D:D = A28
            )
        )
    ), 
    ""No "&amp;"comments yet""
)
"),"Comment: 
Comment: Great job Paul.
Note: Make graphs less complex and easy to interpret by audience. 
Good work!
Comment: 
Comment: Good work! A suggestion could be in providing more background as well as future steps to provide the audience with more "&amp;"tools for understanding the methods and meaning of results.")</f>
        <v>Comment: 
Comment: Great job Paul.
Note: Make graphs less complex and easy to interpret by audience. 
Good work!
Comment: 
Comment: Good work! A suggestion could be in providing more background as well as future steps to provide the audience with more tools for understanding the methods and meaning of results.</v>
      </c>
      <c r="K28" t="s">
        <v>4849</v>
      </c>
    </row>
    <row r="29">
      <c r="A29" s="349">
        <v>111.0</v>
      </c>
      <c r="B29" s="346" t="s">
        <v>846</v>
      </c>
      <c r="C29" s="346" t="s">
        <v>847</v>
      </c>
      <c r="D29" s="348"/>
      <c r="E29" s="348"/>
      <c r="F29" s="348"/>
      <c r="G29" s="348"/>
      <c r="H29" s="348" t="s">
        <v>1931</v>
      </c>
      <c r="I29" s="347" t="s">
        <v>848</v>
      </c>
      <c r="J29" t="str">
        <f>IFERROR(__xludf.DUMMYFUNCTION("IFERROR(
    ARRAYFORMULA(
        JOIN(
            CHAR(10) &amp; CHAR(10),
            ""Comment: "" &amp; FILTER(
                'Scores Import DO NOT EDIT'!N:N, 
                'Scores Import DO NOT EDIT'!D:D = A29
            )
        )
    ), 
    ""No "&amp;"comments yet""
)
"),"No comments yet")</f>
        <v>No comments yet</v>
      </c>
      <c r="K29" t="s">
        <v>4820</v>
      </c>
    </row>
    <row r="30">
      <c r="A30" s="345">
        <v>112.0</v>
      </c>
      <c r="B30" s="346" t="s">
        <v>851</v>
      </c>
      <c r="C30" s="346" t="s">
        <v>852</v>
      </c>
      <c r="D30" s="346" t="s">
        <v>855</v>
      </c>
      <c r="E30" s="346" t="s">
        <v>857</v>
      </c>
      <c r="F30" s="346" t="s">
        <v>858</v>
      </c>
      <c r="G30" s="346" t="s">
        <v>784</v>
      </c>
      <c r="H30" s="346" t="s">
        <v>859</v>
      </c>
      <c r="I30" s="347" t="s">
        <v>853</v>
      </c>
      <c r="J30" t="str">
        <f>IFERROR(__xludf.DUMMYFUNCTION("IFERROR(
    ARRAYFORMULA(
        JOIN(
            CHAR(10) &amp; CHAR(10),
            ""Comment: "" &amp; FILTER(
                'Scores Import DO NOT EDIT'!N:N, 
                'Scores Import DO NOT EDIT'!D:D = A30
            )
        )
    ), 
    ""No "&amp;"comments yet""
)
"),"Comment: Great slides! I appreciated the fact that you only had talking points on the slides, not full sentences.
Comment: Presentation style was engaging; early stage project left much room for questions surrounding methodology
Comment: The idea is int"&amp;"eresting to follow by the audience and he did great job delivering the message clearly. 
Comment: Fascinating area of study. Grounding is excellent and you have every right to present with confidence even though early in the inquiry. I would also have be"&amp;"en interested in why this research is important to you.  ")</f>
        <v>Comment: Great slides! I appreciated the fact that you only had talking points on the slides, not full sentences.
Comment: Presentation style was engaging; early stage project left much room for questions surrounding methodology
Comment: The idea is interesting to follow by the audience and he did great job delivering the message clearly. 
Comment: Fascinating area of study. Grounding is excellent and you have every right to present with confidence even though early in the inquiry. I would also have been interested in why this research is important to you.  </v>
      </c>
      <c r="K30" t="s">
        <v>4850</v>
      </c>
    </row>
    <row r="31">
      <c r="A31" s="345">
        <v>113.0</v>
      </c>
      <c r="B31" s="346" t="s">
        <v>860</v>
      </c>
      <c r="C31" s="346" t="s">
        <v>861</v>
      </c>
      <c r="D31" s="346" t="s">
        <v>864</v>
      </c>
      <c r="E31" s="346" t="s">
        <v>866</v>
      </c>
      <c r="F31" s="346" t="s">
        <v>867</v>
      </c>
      <c r="G31" s="346" t="s">
        <v>764</v>
      </c>
      <c r="H31" s="346" t="s">
        <v>868</v>
      </c>
      <c r="I31" s="347" t="s">
        <v>862</v>
      </c>
      <c r="J31" t="str">
        <f>IFERROR(__xludf.DUMMYFUNCTION("IFERROR(
    ARRAYFORMULA(
        JOIN(
            CHAR(10) &amp; CHAR(10),
            ""Comment: "" &amp; FILTER(
                'Scores Import DO NOT EDIT'!N:N, 
                'Scores Import DO NOT EDIT'!D:D = A31
            )
        )
    ), 
    ""No "&amp;"comments yet""
)
"),"Comment: 
Comment: 
Comment: The topic helps a lot to get audience engaged with the interviewer. She did great job explaining and answering most questions. 
Comment: Great mastery of content and procedure - we were also interested in human subjects asp"&amp;"ects so learning more about enrollment and treatment would be interesting to highlight ")</f>
        <v>Comment: 
Comment: 
Comment: The topic helps a lot to get audience engaged with the interviewer. She did great job explaining and answering most questions. 
Comment: Great mastery of content and procedure - we were also interested in human subjects aspects so learning more about enrollment and treatment would be interesting to highlight </v>
      </c>
      <c r="K31" t="s">
        <v>4851</v>
      </c>
    </row>
    <row r="32">
      <c r="A32" s="345">
        <v>114.0</v>
      </c>
      <c r="B32" s="346" t="s">
        <v>869</v>
      </c>
      <c r="C32" s="346" t="s">
        <v>870</v>
      </c>
      <c r="D32" s="346" t="s">
        <v>4852</v>
      </c>
      <c r="E32" s="346" t="s">
        <v>875</v>
      </c>
      <c r="F32" s="346" t="s">
        <v>876</v>
      </c>
      <c r="G32" s="346" t="s">
        <v>753</v>
      </c>
      <c r="H32" s="346" t="s">
        <v>877</v>
      </c>
      <c r="I32" s="347" t="s">
        <v>871</v>
      </c>
      <c r="J32" t="str">
        <f>IFERROR(__xludf.DUMMYFUNCTION("IFERROR(
    ARRAYFORMULA(
        JOIN(
            CHAR(10) &amp; CHAR(10),
            ""Comment: "" &amp; FILTER(
                'Scores Import DO NOT EDIT'!N:N, 
                'Scores Import DO NOT EDIT'!D:D = A32
            )
        )
    ), 
    ""No "&amp;"comments yet""
)
"),"Comment: 
Comment: The topic drives from young inspiration that can be easily captured by many young people. She did great and almost 99% close to perfection on overall. 
Comment: Very poised and insightful. Great presence and confidence with subject ma"&amp;"tter 
Comment: Great presentation! A little rushed at times, but overall very clear")</f>
        <v>Comment: 
Comment: The topic drives from young inspiration that can be easily captured by many young people. She did great and almost 99% close to perfection on overall. 
Comment: Very poised and insightful. Great presence and confidence with subject matter 
Comment: Great presentation! A little rushed at times, but overall very clear</v>
      </c>
      <c r="K32" t="s">
        <v>4853</v>
      </c>
    </row>
    <row r="33">
      <c r="A33" s="345">
        <v>115.0</v>
      </c>
      <c r="B33" s="346" t="s">
        <v>1395</v>
      </c>
      <c r="C33" s="346" t="s">
        <v>879</v>
      </c>
      <c r="D33" s="346" t="s">
        <v>882</v>
      </c>
      <c r="E33" s="346" t="s">
        <v>884</v>
      </c>
      <c r="F33" s="346" t="s">
        <v>885</v>
      </c>
      <c r="G33" s="346" t="s">
        <v>764</v>
      </c>
      <c r="H33" s="346" t="s">
        <v>886</v>
      </c>
      <c r="I33" s="347" t="s">
        <v>880</v>
      </c>
      <c r="J33" t="str">
        <f>IFERROR(__xludf.DUMMYFUNCTION("IFERROR(
    ARRAYFORMULA(
        JOIN(
            CHAR(10) &amp; CHAR(10),
            ""Comment: "" &amp; FILTER(
                'Scores Import DO NOT EDIT'!N:N, 
                'Scores Import DO NOT EDIT'!D:D = A33
            )
        )
    ), 
    ""No "&amp;"comments yet""
)
"),"Comment: 
Comment: Being calm was her most significant accomplishment today. She was reading out of the screen most than often that lead to some lack of audience awareness. 
Comment: This was an excellent presentation on a much-needed topic. The only po"&amp;"tential area for improvement would be volume—it was hard to hear at times.
Comment: Important work! ")</f>
        <v>Comment: 
Comment: Being calm was her most significant accomplishment today. She was reading out of the screen most than often that lead to some lack of audience awareness. 
Comment: This was an excellent presentation on a much-needed topic. The only potential area for improvement would be volume—it was hard to hear at times.
Comment: Important work! </v>
      </c>
      <c r="K33" t="s">
        <v>4854</v>
      </c>
    </row>
    <row r="34">
      <c r="A34" s="345">
        <v>116.0</v>
      </c>
      <c r="B34" s="346" t="s">
        <v>887</v>
      </c>
      <c r="C34" s="346" t="s">
        <v>888</v>
      </c>
      <c r="D34" s="346" t="s">
        <v>4855</v>
      </c>
      <c r="E34" s="346" t="s">
        <v>1386</v>
      </c>
      <c r="F34" s="346" t="s">
        <v>898</v>
      </c>
      <c r="G34" s="346" t="s">
        <v>893</v>
      </c>
      <c r="H34" s="346" t="s">
        <v>899</v>
      </c>
      <c r="I34" s="347" t="s">
        <v>889</v>
      </c>
      <c r="J34" t="str">
        <f>IFERROR(__xludf.DUMMYFUNCTION("IFERROR(
    ARRAYFORMULA(
        JOIN(
            CHAR(10) &amp; CHAR(10),
            ""Comment: "" &amp; FILTER(
                'Scores Import DO NOT EDIT'!N:N, 
                'Scores Import DO NOT EDIT'!D:D = A34
            )
        )
    ), 
    ""No "&amp;"comments yet""
)
"),"Comment: 
Comment: Fabulous presence and exciting study 
Comment: 
Comment: Both are giving the best performance, engaging with their audience was world class. Well done ")</f>
        <v>Comment: 
Comment: Fabulous presence and exciting study 
Comment: 
Comment: Both are giving the best performance, engaging with their audience was world class. Well done </v>
      </c>
      <c r="K34" t="s">
        <v>4856</v>
      </c>
    </row>
    <row r="35">
      <c r="A35" s="345">
        <v>117.0</v>
      </c>
      <c r="B35" s="346" t="s">
        <v>909</v>
      </c>
      <c r="C35" s="346" t="s">
        <v>903</v>
      </c>
      <c r="D35" s="346" t="s">
        <v>906</v>
      </c>
      <c r="E35" s="346" t="s">
        <v>912</v>
      </c>
      <c r="F35" s="346" t="s">
        <v>913</v>
      </c>
      <c r="G35" s="346" t="s">
        <v>893</v>
      </c>
      <c r="H35" s="346" t="s">
        <v>914</v>
      </c>
      <c r="I35" s="347" t="s">
        <v>904</v>
      </c>
      <c r="J35" t="str">
        <f>IFERROR(__xludf.DUMMYFUNCTION("IFERROR(
    ARRAYFORMULA(
        JOIN(
            CHAR(10) &amp; CHAR(10),
            ""Comment: "" &amp; FILTER(
                'Scores Import DO NOT EDIT'!N:N, 
                'Scores Import DO NOT EDIT'!D:D = A35
            )
        )
    ), 
    ""No "&amp;"comments yet""
)
"),"Comment: Very knowledgeable of topic and clarity in presenting, would have liked to see more emphasis on the qualitative methods that they used and using more of the data they had collected. Great job in engaging with the questions that were asked. 
Comm"&amp;"ent: Great use of the Q&amp;A session. Demonstrated skill to answer questions.
Comment: Well organized and thoughtful approach to the research question. Well spoken and clearly presented and thank you for effort to understand and share these stories. Would l"&amp;"ove to see the data on the larger sample size. 
Comment: A very well presented study. Perhaps needs to expand survey subjects and refine demographics.")</f>
        <v>Comment: Very knowledgeable of topic and clarity in presenting, would have liked to see more emphasis on the qualitative methods that they used and using more of the data they had collected. Great job in engaging with the questions that were asked. 
Comment: Great use of the Q&amp;A session. Demonstrated skill to answer questions.
Comment: Well organized and thoughtful approach to the research question. Well spoken and clearly presented and thank you for effort to understand and share these stories. Would love to see the data on the larger sample size. 
Comment: A very well presented study. Perhaps needs to expand survey subjects and refine demographics.</v>
      </c>
      <c r="K35" t="s">
        <v>4857</v>
      </c>
    </row>
    <row r="36">
      <c r="A36" s="345">
        <v>118.0</v>
      </c>
      <c r="B36" s="346" t="s">
        <v>915</v>
      </c>
      <c r="C36" s="346" t="s">
        <v>916</v>
      </c>
      <c r="D36" s="346" t="s">
        <v>919</v>
      </c>
      <c r="E36" s="346" t="s">
        <v>884</v>
      </c>
      <c r="F36" s="346" t="s">
        <v>885</v>
      </c>
      <c r="G36" s="346" t="s">
        <v>764</v>
      </c>
      <c r="H36" s="346" t="s">
        <v>886</v>
      </c>
      <c r="I36" s="347" t="s">
        <v>917</v>
      </c>
      <c r="J36" t="str">
        <f>IFERROR(__xludf.DUMMYFUNCTION("IFERROR(
    ARRAYFORMULA(
        JOIN(
            CHAR(10) &amp; CHAR(10),
            ""Comment: "" &amp; FILTER(
                'Scores Import DO NOT EDIT'!N:N, 
                'Scores Import DO NOT EDIT'!D:D = A36
            )
        )
    ), 
    ""No "&amp;"comments yet""
)
"),"Comment: Enjoyed the originality of the research question and agree with the importance of the study. Presentation did seem a little disorganized and  need to rush the finish of her presentation. Would love to know more about the approach. 
Comment: Very"&amp;" clear presenter and calm presence. Interesting project and has a clear impact. Would have liked to see a firmer grasp on the project ie being able to answer questions with more information. 
Comment: Vocal volume, at times difficult to hear.
Comment: I"&amp;"nteresting study and would have really liked to learn more its future directions. ")</f>
        <v>Comment: Enjoyed the originality of the research question and agree with the importance of the study. Presentation did seem a little disorganized and  need to rush the finish of her presentation. Would love to know more about the approach. 
Comment: Very clear presenter and calm presence. Interesting project and has a clear impact. Would have liked to see a firmer grasp on the project ie being able to answer questions with more information. 
Comment: Vocal volume, at times difficult to hear.
Comment: Interesting study and would have really liked to learn more its future directions. </v>
      </c>
      <c r="K36" t="s">
        <v>4858</v>
      </c>
    </row>
    <row r="37">
      <c r="A37" s="345">
        <v>120.0</v>
      </c>
      <c r="B37" s="346" t="s">
        <v>921</v>
      </c>
      <c r="C37" s="346" t="s">
        <v>922</v>
      </c>
      <c r="D37" s="346" t="s">
        <v>4859</v>
      </c>
      <c r="E37" s="346" t="s">
        <v>927</v>
      </c>
      <c r="F37" s="346" t="s">
        <v>928</v>
      </c>
      <c r="G37" s="346" t="s">
        <v>784</v>
      </c>
      <c r="H37" s="346" t="s">
        <v>929</v>
      </c>
      <c r="I37" s="347" t="s">
        <v>923</v>
      </c>
      <c r="J37" t="str">
        <f>IFERROR(__xludf.DUMMYFUNCTION("IFERROR(
    ARRAYFORMULA(
        JOIN(
            CHAR(10) &amp; CHAR(10),
            ""Comment: "" &amp; FILTER(
                'Scores Import DO NOT EDIT'!N:N, 
                'Scores Import DO NOT EDIT'!D:D = A37
            )
        )
    ), 
    ""No "&amp;"comments yet""
)
"),"Comment: Solid presentation. Clear in the data and well laid out methodology. Would love to learn more about the recruiting methods. Statistical analysis done very well from the presentation. In addition to looking at non traditional co parenting relation"&amp;"ships, such as you mentioned (grandparents, etc.) I would be interested to see what this data shown on LGBTQ co-parenting dynamics.
Comment: Good job with bringing in additional information that was not included on the slides—it helped show their grasp o"&amp;"n the material and that they knew their project well. Suggestion would be to slow down a little and go through more of the results since there were a lot of numbers. 
Comment: 
Comment: Excellent responses to Q&amp;A. Recommend including less data as part o"&amp;"f slides. ")</f>
        <v>Comment: Solid presentation. Clear in the data and well laid out methodology. Would love to learn more about the recruiting methods. Statistical analysis done very well from the presentation. In addition to looking at non traditional co parenting relationships, such as you mentioned (grandparents, etc.) I would be interested to see what this data shown on LGBTQ co-parenting dynamics.
Comment: Good job with bringing in additional information that was not included on the slides—it helped show their grasp on the material and that they knew their project well. Suggestion would be to slow down a little and go through more of the results since there were a lot of numbers. 
Comment: 
Comment: Excellent responses to Q&amp;A. Recommend including less data as part of slides. </v>
      </c>
      <c r="K37" t="s">
        <v>4860</v>
      </c>
    </row>
    <row r="38">
      <c r="A38" s="345">
        <v>121.0</v>
      </c>
      <c r="B38" s="346" t="s">
        <v>930</v>
      </c>
      <c r="C38" s="346" t="s">
        <v>931</v>
      </c>
      <c r="D38" s="346" t="s">
        <v>934</v>
      </c>
      <c r="E38" s="346" t="s">
        <v>936</v>
      </c>
      <c r="F38" s="346" t="s">
        <v>937</v>
      </c>
      <c r="G38" s="346" t="s">
        <v>893</v>
      </c>
      <c r="H38" s="346" t="s">
        <v>938</v>
      </c>
      <c r="I38" s="347" t="s">
        <v>932</v>
      </c>
      <c r="J38" t="str">
        <f>IFERROR(__xludf.DUMMYFUNCTION("IFERROR(
    ARRAYFORMULA(
        JOIN(
            CHAR(10) &amp; CHAR(10),
            ""Comment: "" &amp; FILTER(
                'Scores Import DO NOT EDIT'!N:N, 
                'Scores Import DO NOT EDIT'!D:D = A38
            )
        )
    ), 
    ""No "&amp;"comments yet""
)
"),"Comment: Really interesting topic that could be very impactful. Speaker did a great job of being clear and answering questions thoroughly. There was some mishap with the PowerPoint but the presentation was easy to read for the most part and was easy to fo"&amp;"llow. 
Comment: Good presentation, apricated the further explanation on specific elements such as EMA and how you described Phase 2. While we most of us work in research, these elements can make the difference between understanding and ""getting lost"" i"&amp;"n presentation to those who don't live in research. 
Comment: Great research. Excellent presentation and ability to address Q&amp;A session 
Comment: Intervention model, continues to wrestle with ethical issues in terms of handling data collection from targ"&amp;"et age group.")</f>
        <v>Comment: Really interesting topic that could be very impactful. Speaker did a great job of being clear and answering questions thoroughly. There was some mishap with the PowerPoint but the presentation was easy to read for the most part and was easy to follow. 
Comment: Good presentation, apricated the further explanation on specific elements such as EMA and how you described Phase 2. While we most of us work in research, these elements can make the difference between understanding and "getting lost" in presentation to those who don't live in research. 
Comment: Great research. Excellent presentation and ability to address Q&amp;A session 
Comment: Intervention model, continues to wrestle with ethical issues in terms of handling data collection from target age group.</v>
      </c>
      <c r="K38" t="s">
        <v>4861</v>
      </c>
    </row>
    <row r="39">
      <c r="A39" s="345">
        <v>122.0</v>
      </c>
      <c r="B39" s="346" t="s">
        <v>912</v>
      </c>
      <c r="C39" s="346" t="s">
        <v>940</v>
      </c>
      <c r="D39" s="346" t="s">
        <v>4862</v>
      </c>
      <c r="E39" s="346" t="s">
        <v>945</v>
      </c>
      <c r="F39" s="346" t="s">
        <v>928</v>
      </c>
      <c r="G39" s="346" t="s">
        <v>784</v>
      </c>
      <c r="H39" s="346" t="s">
        <v>929</v>
      </c>
      <c r="I39" s="347" t="s">
        <v>941</v>
      </c>
      <c r="J39" t="str">
        <f>IFERROR(__xludf.DUMMYFUNCTION("IFERROR(
    ARRAYFORMULA(
        JOIN(
            CHAR(10) &amp; CHAR(10),
            ""Comment: "" &amp; FILTER(
                'Scores Import DO NOT EDIT'!N:N, 
                'Scores Import DO NOT EDIT'!D:D = A39
            )
        )
    ), 
    ""No "&amp;"comments yet""
)
"),"Comment: Interesting topic with seeing the difference between pre covid and post covid. Would like to see more or a discussion why this is important. The presenter was clearly knowledgeable about the topic and was able to answer questions well and showed "&amp;"their grasp on the literature. 
Comment: Good use of time. Encouraged to continue with this line of research.
Comment: 
Comment: Good presentation. The pace of the presentation seemed rushed. I would encourage you to slow your pace and clearly present "&amp;"the data. While the overall topic is great and important, but the data could be been explained a little clearer. ")</f>
        <v>Comment: Interesting topic with seeing the difference between pre covid and post covid. Would like to see more or a discussion why this is important. The presenter was clearly knowledgeable about the topic and was able to answer questions well and showed their grasp on the literature. 
Comment: Good use of time. Encouraged to continue with this line of research.
Comment: 
Comment: Good presentation. The pace of the presentation seemed rushed. I would encourage you to slow your pace and clearly present the data. While the overall topic is great and important, but the data could be been explained a little clearer. </v>
      </c>
      <c r="K39" t="s">
        <v>4863</v>
      </c>
    </row>
    <row r="40">
      <c r="A40" s="345">
        <v>123.0</v>
      </c>
      <c r="B40" s="346" t="s">
        <v>948</v>
      </c>
      <c r="C40" s="346" t="s">
        <v>949</v>
      </c>
      <c r="D40" s="346" t="s">
        <v>952</v>
      </c>
      <c r="E40" s="346" t="s">
        <v>2580</v>
      </c>
      <c r="F40" s="346" t="s">
        <v>955</v>
      </c>
      <c r="G40" s="346" t="s">
        <v>764</v>
      </c>
      <c r="H40" s="346" t="s">
        <v>956</v>
      </c>
      <c r="I40" s="347" t="s">
        <v>950</v>
      </c>
      <c r="J40" t="str">
        <f>IFERROR(__xludf.DUMMYFUNCTION("IFERROR(
    ARRAYFORMULA(
        JOIN(
            CHAR(10) &amp; CHAR(10),
            ""Comment: "" &amp; FILTER(
                'Scores Import DO NOT EDIT'!N:N, 
                'Scores Import DO NOT EDIT'!D:D = A40
            )
        )
    ), 
    ""No "&amp;"comments yet""
)
"),"Comment: 
Comment: 
Comment: Excellent presentation and response to questions!!!")</f>
        <v>Comment: 
Comment: 
Comment: Excellent presentation and response to questions!!!</v>
      </c>
      <c r="K40" t="s">
        <v>4864</v>
      </c>
      <c r="Y40" s="350"/>
      <c r="Z40" s="350"/>
      <c r="AA40" s="350"/>
      <c r="AB40" s="350"/>
      <c r="AC40" s="350"/>
      <c r="AD40" s="350"/>
      <c r="AE40" s="350"/>
      <c r="AF40" s="350"/>
      <c r="AG40" s="350"/>
      <c r="AH40" s="350"/>
      <c r="AI40" s="350"/>
      <c r="AJ40" s="350"/>
      <c r="AK40" s="350"/>
      <c r="AL40" s="350"/>
      <c r="AM40" s="350"/>
      <c r="AN40" s="350"/>
      <c r="AO40" s="350"/>
      <c r="AP40" s="350"/>
      <c r="AQ40" s="350"/>
      <c r="AR40" s="350"/>
      <c r="AS40" s="350"/>
      <c r="AT40" s="350"/>
      <c r="AU40" s="350"/>
      <c r="AV40" s="350"/>
      <c r="AW40" s="350"/>
      <c r="AX40" s="350"/>
      <c r="AY40" s="350"/>
      <c r="AZ40" s="350"/>
      <c r="BA40" s="350"/>
      <c r="BB40" s="350"/>
      <c r="BC40" s="350"/>
      <c r="BD40" s="350"/>
      <c r="BE40" s="350"/>
      <c r="BF40" s="350"/>
      <c r="BG40" s="350"/>
      <c r="BH40" s="350"/>
      <c r="BI40" s="350"/>
      <c r="BJ40" s="350"/>
      <c r="BK40" s="350"/>
      <c r="BL40" s="350"/>
      <c r="BM40" s="350"/>
    </row>
    <row r="41">
      <c r="A41" s="345">
        <v>124.0</v>
      </c>
      <c r="B41" s="346" t="s">
        <v>957</v>
      </c>
      <c r="C41" s="346" t="s">
        <v>958</v>
      </c>
      <c r="D41" s="346" t="s">
        <v>961</v>
      </c>
      <c r="E41" s="346" t="s">
        <v>963</v>
      </c>
      <c r="F41" s="346" t="s">
        <v>964</v>
      </c>
      <c r="G41" s="346" t="s">
        <v>764</v>
      </c>
      <c r="H41" s="346" t="s">
        <v>965</v>
      </c>
      <c r="I41" s="347" t="s">
        <v>959</v>
      </c>
      <c r="J41" t="str">
        <f>IFERROR(__xludf.DUMMYFUNCTION("IFERROR(
    ARRAYFORMULA(
        JOIN(
            CHAR(10) &amp; CHAR(10),
            ""Comment: "" &amp; FILTER(
                'Scores Import DO NOT EDIT'!N:N, 
                'Scores Import DO NOT EDIT'!D:D = A41
            )
        )
    ), 
    ""No "&amp;"comments yet""
)
"),"Comment: 
Comment: Nice presentation! When working with complex pathways that overlap it would be helpful to remind the audience of role of targeted steps. ")</f>
        <v>Comment: 
Comment: Nice presentation! When working with complex pathways that overlap it would be helpful to remind the audience of role of targeted steps. </v>
      </c>
      <c r="K41" t="s">
        <v>4865</v>
      </c>
    </row>
    <row r="42">
      <c r="A42" s="345">
        <v>125.0</v>
      </c>
      <c r="B42" s="346" t="s">
        <v>966</v>
      </c>
      <c r="C42" s="346" t="s">
        <v>967</v>
      </c>
      <c r="D42" s="346" t="s">
        <v>970</v>
      </c>
      <c r="E42" s="346" t="s">
        <v>972</v>
      </c>
      <c r="F42" s="346" t="s">
        <v>973</v>
      </c>
      <c r="G42" s="346" t="s">
        <v>764</v>
      </c>
      <c r="H42" s="346" t="s">
        <v>974</v>
      </c>
      <c r="I42" s="347" t="s">
        <v>968</v>
      </c>
      <c r="J42" t="str">
        <f>IFERROR(__xludf.DUMMYFUNCTION("IFERROR(
    ARRAYFORMULA(
        JOIN(
            CHAR(10) &amp; CHAR(10),
            ""Comment: "" &amp; FILTER(
                'Scores Import DO NOT EDIT'!N:N, 
                'Scores Import DO NOT EDIT'!D:D = A42
            )
        )
    ), 
    ""No "&amp;"comments yet""
)
"),"Comment: 
Comment: 
Comment: Very nice interaction with audience during Q&amp;A. Would be good to slow down a bit when discussing figures. ")</f>
        <v>Comment: 
Comment: 
Comment: Very nice interaction with audience during Q&amp;A. Would be good to slow down a bit when discussing figures. </v>
      </c>
      <c r="K42" t="s">
        <v>4866</v>
      </c>
    </row>
    <row r="43">
      <c r="A43" s="345">
        <v>126.0</v>
      </c>
      <c r="B43" s="346" t="s">
        <v>975</v>
      </c>
      <c r="C43" s="346" t="s">
        <v>976</v>
      </c>
      <c r="D43" s="346" t="s">
        <v>979</v>
      </c>
      <c r="E43" s="346" t="s">
        <v>981</v>
      </c>
      <c r="F43" s="346" t="s">
        <v>973</v>
      </c>
      <c r="G43" s="346" t="s">
        <v>764</v>
      </c>
      <c r="H43" s="346" t="s">
        <v>974</v>
      </c>
      <c r="I43" s="347" t="s">
        <v>977</v>
      </c>
      <c r="J43" t="str">
        <f>IFERROR(__xludf.DUMMYFUNCTION("IFERROR(
    ARRAYFORMULA(
        JOIN(
            CHAR(10) &amp; CHAR(10),
            ""Comment: "" &amp; FILTER(
                'Scores Import DO NOT EDIT'!N:N, 
                'Scores Import DO NOT EDIT'!D:D = A43
            )
        )
    ), 
    ""No "&amp;"comments yet""
)
"),"Comment: 
Comment: 
Comment: Nice enthusiasm and audience engagement. Would love to see how correlation coefficients relate to sps survival. ")</f>
        <v>Comment: 
Comment: 
Comment: Nice enthusiasm and audience engagement. Would love to see how correlation coefficients relate to sps survival. </v>
      </c>
      <c r="K43" t="s">
        <v>4867</v>
      </c>
    </row>
    <row r="44">
      <c r="A44" s="345">
        <v>127.0</v>
      </c>
      <c r="B44" s="346" t="s">
        <v>982</v>
      </c>
      <c r="C44" s="346" t="s">
        <v>983</v>
      </c>
      <c r="D44" s="346" t="s">
        <v>986</v>
      </c>
      <c r="E44" s="346" t="s">
        <v>988</v>
      </c>
      <c r="F44" s="346" t="s">
        <v>989</v>
      </c>
      <c r="G44" s="346" t="s">
        <v>773</v>
      </c>
      <c r="H44" s="346" t="s">
        <v>990</v>
      </c>
      <c r="I44" s="347" t="s">
        <v>984</v>
      </c>
      <c r="J44" t="str">
        <f>IFERROR(__xludf.DUMMYFUNCTION("IFERROR(
    ARRAYFORMULA(
        JOIN(
            CHAR(10) &amp; CHAR(10),
            ""Comment: "" &amp; FILTER(
                'Scores Import DO NOT EDIT'!N:N, 
                'Scores Import DO NOT EDIT'!D:D = A44
            )
        )
    ), 
    ""No "&amp;"comments yet""
)
"),"Comment: 
Comment: 
Comment: Important problem! Will be interesting to see results as they progress. Focused onsmall dips in methane in data analysis but are these data relevant?")</f>
        <v>Comment: 
Comment: 
Comment: Important problem! Will be interesting to see results as they progress. Focused onsmall dips in methane in data analysis but are these data relevant?</v>
      </c>
      <c r="K44" t="s">
        <v>4868</v>
      </c>
    </row>
    <row r="45">
      <c r="A45" s="345">
        <v>128.0</v>
      </c>
      <c r="B45" s="346" t="s">
        <v>991</v>
      </c>
      <c r="C45" s="346" t="s">
        <v>992</v>
      </c>
      <c r="D45" s="346" t="s">
        <v>995</v>
      </c>
      <c r="E45" s="346" t="s">
        <v>972</v>
      </c>
      <c r="F45" s="346" t="s">
        <v>973</v>
      </c>
      <c r="G45" s="346" t="s">
        <v>764</v>
      </c>
      <c r="H45" s="346" t="s">
        <v>974</v>
      </c>
      <c r="I45" s="347" t="s">
        <v>993</v>
      </c>
      <c r="J45" t="str">
        <f>IFERROR(__xludf.DUMMYFUNCTION("IFERROR(
    ARRAYFORMULA(
        JOIN(
            CHAR(10) &amp; CHAR(10),
            ""Comment: "" &amp; FILTER(
                'Scores Import DO NOT EDIT'!N:N, 
                'Scores Import DO NOT EDIT'!D:D = A45
            )
        )
    ), 
    ""No "&amp;"comments yet""
)
"),"Comment: 
Comment: Interesting problem. Lots of work required to address problem. 
Comment: ")</f>
        <v>Comment: 
Comment: Interesting problem. Lots of work required to address problem. 
Comment: </v>
      </c>
      <c r="K45" t="s">
        <v>4869</v>
      </c>
    </row>
    <row r="46">
      <c r="A46" s="345">
        <v>129.0</v>
      </c>
      <c r="B46" s="346" t="s">
        <v>912</v>
      </c>
      <c r="C46" s="346" t="s">
        <v>998</v>
      </c>
      <c r="D46" s="346" t="s">
        <v>1001</v>
      </c>
      <c r="E46" s="346" t="s">
        <v>846</v>
      </c>
      <c r="F46" s="346" t="s">
        <v>1007</v>
      </c>
      <c r="G46" s="346" t="s">
        <v>773</v>
      </c>
      <c r="H46" s="346" t="s">
        <v>1008</v>
      </c>
      <c r="I46" s="347" t="s">
        <v>999</v>
      </c>
      <c r="J46" t="str">
        <f>IFERROR(__xludf.DUMMYFUNCTION("IFERROR(
    ARRAYFORMULA(
        JOIN(
            CHAR(10) &amp; CHAR(10),
            ""Comment: "" &amp; FILTER(
                'Scores Import DO NOT EDIT'!N:N, 
                'Scores Import DO NOT EDIT'!D:D = A46
            )
        )
    ), 
    ""No "&amp;"comments yet""
)
"),"Comment: It would be great to not use prompt cards during presentations.
Comment: The presentation was given by 4students. The undergrads are not well prepared.
Comment: Oood approach on fundamental characterizations ")</f>
        <v>Comment: It would be great to not use prompt cards during presentations.
Comment: The presentation was given by 4students. The undergrads are not well prepared.
Comment: Oood approach on fundamental characterizations </v>
      </c>
      <c r="K46" t="s">
        <v>4870</v>
      </c>
    </row>
    <row r="47">
      <c r="A47" s="345">
        <v>130.0</v>
      </c>
      <c r="B47" s="346" t="s">
        <v>1009</v>
      </c>
      <c r="C47" s="346" t="s">
        <v>1010</v>
      </c>
      <c r="D47" s="346" t="s">
        <v>1013</v>
      </c>
      <c r="E47" s="346" t="s">
        <v>1015</v>
      </c>
      <c r="F47" s="346" t="s">
        <v>1016</v>
      </c>
      <c r="G47" s="346" t="s">
        <v>773</v>
      </c>
      <c r="H47" s="346" t="s">
        <v>1017</v>
      </c>
      <c r="I47" s="347" t="s">
        <v>1011</v>
      </c>
      <c r="J47" t="str">
        <f>IFERROR(__xludf.DUMMYFUNCTION("IFERROR(
    ARRAYFORMULA(
        JOIN(
            CHAR(10) &amp; CHAR(10),
            ""Comment: "" &amp; FILTER(
                'Scores Import DO NOT EDIT'!N:N, 
                'Scores Import DO NOT EDIT'!D:D = A47
            )
        )
    ), 
    ""No "&amp;"comments yet""
)
"),"Comment: The presentation is great, but it would be even better if less long sentences are used.
Comment: Great presentation. The slides are organized well. The students answer audience's questions confidently and thoughtfully.")</f>
        <v>Comment: The presentation is great, but it would be even better if less long sentences are used.
Comment: Great presentation. The slides are organized well. The students answer audience's questions confidently and thoughtfully.</v>
      </c>
      <c r="K47" t="s">
        <v>4871</v>
      </c>
    </row>
    <row r="48">
      <c r="A48" s="345">
        <v>131.0</v>
      </c>
      <c r="B48" s="346" t="s">
        <v>1018</v>
      </c>
      <c r="C48" s="346" t="s">
        <v>1019</v>
      </c>
      <c r="D48" s="346" t="s">
        <v>1022</v>
      </c>
      <c r="E48" s="346" t="s">
        <v>841</v>
      </c>
      <c r="F48" s="346" t="s">
        <v>842</v>
      </c>
      <c r="G48" s="346" t="s">
        <v>773</v>
      </c>
      <c r="H48" s="346" t="s">
        <v>843</v>
      </c>
      <c r="I48" s="347" t="s">
        <v>1020</v>
      </c>
      <c r="J48" t="str">
        <f>IFERROR(__xludf.DUMMYFUNCTION("IFERROR(
    ARRAYFORMULA(
        JOIN(
            CHAR(10) &amp; CHAR(10),
            ""Comment: "" &amp; FILTER(
                'Scores Import DO NOT EDIT'!N:N, 
                'Scores Import DO NOT EDIT'!D:D = A48
            )
        )
    ), 
    ""No "&amp;"comments yet""
)
"),"Comment: Great talk. The student is well prepared. The animation in the presentation is very helpful to illustrate results.
Comment: Great start of the presentation with a funny animation. Excellent presentation and results.
Comment: ")</f>
        <v>Comment: Great talk. The student is well prepared. The animation in the presentation is very helpful to illustrate results.
Comment: Great start of the presentation with a funny animation. Excellent presentation and results.
Comment: </v>
      </c>
      <c r="K48" t="s">
        <v>4872</v>
      </c>
    </row>
    <row r="49">
      <c r="A49" s="345">
        <v>132.0</v>
      </c>
      <c r="B49" s="346" t="s">
        <v>1024</v>
      </c>
      <c r="C49" s="346" t="s">
        <v>1025</v>
      </c>
      <c r="D49" s="346" t="s">
        <v>1028</v>
      </c>
      <c r="E49" s="346" t="s">
        <v>1015</v>
      </c>
      <c r="F49" s="346" t="s">
        <v>1016</v>
      </c>
      <c r="G49" s="346" t="s">
        <v>773</v>
      </c>
      <c r="H49" s="346" t="s">
        <v>1017</v>
      </c>
      <c r="I49" s="347" t="s">
        <v>1026</v>
      </c>
      <c r="J49" t="str">
        <f>IFERROR(__xludf.DUMMYFUNCTION("IFERROR(
    ARRAYFORMULA(
        JOIN(
            CHAR(10) &amp; CHAR(10),
            ""Comment: "" &amp; FILTER(
                'Scores Import DO NOT EDIT'!N:N, 
                'Scores Import DO NOT EDIT'!D:D = A49
            )
        )
    ), 
    ""No "&amp;"comments yet""
)
"),"Comment: The student should work with her advisor to practice presenting. I feel that the student can explain her slides, so no need to read the notes.
Comment: Nice presentation. It would be great if the presenter did not read the prompt notes during th"&amp;"e presentation. 
Comment: ")</f>
        <v>Comment: The student should work with her advisor to practice presenting. I feel that the student can explain her slides, so no need to read the notes.
Comment: Nice presentation. It would be great if the presenter did not read the prompt notes during the presentation. 
Comment: </v>
      </c>
      <c r="K49" t="s">
        <v>4873</v>
      </c>
    </row>
    <row r="50">
      <c r="A50" s="345">
        <v>133.0</v>
      </c>
      <c r="B50" s="346" t="s">
        <v>4874</v>
      </c>
      <c r="C50" s="346" t="s">
        <v>4875</v>
      </c>
      <c r="D50" s="346" t="s">
        <v>1034</v>
      </c>
      <c r="E50" s="346" t="s">
        <v>4876</v>
      </c>
      <c r="F50" s="346" t="s">
        <v>1007</v>
      </c>
      <c r="G50" s="346" t="s">
        <v>773</v>
      </c>
      <c r="H50" s="346" t="s">
        <v>1008</v>
      </c>
      <c r="I50" s="347" t="s">
        <v>1032</v>
      </c>
      <c r="J50" t="str">
        <f>IFERROR(__xludf.DUMMYFUNCTION("IFERROR(
    ARRAYFORMULA(
        JOIN(
            CHAR(10) &amp; CHAR(10),
            ""Comment: "" &amp; FILTER(
                'Scores Import DO NOT EDIT'!N:N, 
                'Scores Import DO NOT EDIT'!D:D = A50
            )
        )
    ), 
    ""No "&amp;"comments yet""
)
"),"Comment: Great presentation. Flash cards are great but it would be even better if they are not used extensively.  I like the ChatGPT generated images, like work.
Comment: 
Comment: ")</f>
        <v>Comment: Great presentation. Flash cards are great but it would be even better if they are not used extensively.  I like the ChatGPT generated images, like work.
Comment: 
Comment: </v>
      </c>
      <c r="K50" t="s">
        <v>4877</v>
      </c>
    </row>
    <row r="51">
      <c r="A51" s="345">
        <v>134.0</v>
      </c>
      <c r="B51" s="346" t="s">
        <v>1043</v>
      </c>
      <c r="C51" s="346" t="s">
        <v>1044</v>
      </c>
      <c r="D51" s="346" t="s">
        <v>4878</v>
      </c>
      <c r="E51" s="346" t="s">
        <v>832</v>
      </c>
      <c r="F51" s="346" t="s">
        <v>833</v>
      </c>
      <c r="G51" s="346" t="s">
        <v>773</v>
      </c>
      <c r="H51" s="346" t="s">
        <v>834</v>
      </c>
      <c r="I51" s="347" t="s">
        <v>1045</v>
      </c>
      <c r="J51" t="str">
        <f>IFERROR(__xludf.DUMMYFUNCTION("IFERROR(
    ARRAYFORMULA(
        JOIN(
            CHAR(10) &amp; CHAR(10),
            ""Comment: "" &amp; FILTER(
                'Scores Import DO NOT EDIT'!N:N, 
                'Scores Import DO NOT EDIT'!D:D = A51
            )
        )
    ), 
    ""No "&amp;"comments yet""
)
"),"Comment: Almost perfect presentation, Great job! 
Comment: The student well explained her research. Maybe another slide about future work
Comment: Very interesting to see how the environment affects various stuff to produce microplastics and other conta"&amp;"minants")</f>
        <v>Comment: Almost perfect presentation, Great job! 
Comment: The student well explained her research. Maybe another slide about future work
Comment: Very interesting to see how the environment affects various stuff to produce microplastics and other contaminants</v>
      </c>
      <c r="K51" t="s">
        <v>4879</v>
      </c>
    </row>
    <row r="52">
      <c r="A52" s="345">
        <v>135.0</v>
      </c>
      <c r="B52" s="346" t="s">
        <v>1051</v>
      </c>
      <c r="C52" s="346" t="s">
        <v>1052</v>
      </c>
      <c r="D52" s="346" t="s">
        <v>1055</v>
      </c>
      <c r="E52" s="346" t="s">
        <v>1057</v>
      </c>
      <c r="F52" s="346" t="s">
        <v>1058</v>
      </c>
      <c r="G52" s="346" t="s">
        <v>784</v>
      </c>
      <c r="H52" s="346" t="s">
        <v>1059</v>
      </c>
      <c r="I52" s="347" t="s">
        <v>1053</v>
      </c>
      <c r="J52" t="str">
        <f>IFERROR(__xludf.DUMMYFUNCTION("IFERROR(
    ARRAYFORMULA(
        JOIN(
            CHAR(10) &amp; CHAR(10),
            ""Comment: "" &amp; FILTER(
                'Scores Import DO NOT EDIT'!N:N, 
                'Scores Import DO NOT EDIT'!D:D = A52
            )
        )
    ), 
    ""No "&amp;"comments yet""
)
"),"Comment: 
Comment: Good job offering own definition
Organized well
Ethnographic work made arguments strong
Demographic may matter as many examples appear 'white'
Comment: Excellent and stimulating presentation! I would be curious to learn more about how"&amp;" you (and your interview subjects) interpret the “feelings” that are central to your analysis. 
Comment: 
Comment: ")</f>
        <v>Comment: 
Comment: Good job offering own definition
Organized well
Ethnographic work made arguments strong
Demographic may matter as many examples appear 'white'
Comment: Excellent and stimulating presentation! I would be curious to learn more about how you (and your interview subjects) interpret the “feelings” that are central to your analysis. 
Comment: 
Comment: </v>
      </c>
      <c r="K52" t="s">
        <v>4880</v>
      </c>
    </row>
    <row r="53">
      <c r="A53" s="345">
        <v>136.0</v>
      </c>
      <c r="B53" s="346" t="s">
        <v>1061</v>
      </c>
      <c r="C53" s="346" t="s">
        <v>1062</v>
      </c>
      <c r="D53" s="346" t="s">
        <v>1065</v>
      </c>
      <c r="E53" s="346" t="s">
        <v>1067</v>
      </c>
      <c r="F53" s="346" t="s">
        <v>1068</v>
      </c>
      <c r="G53" s="346" t="s">
        <v>784</v>
      </c>
      <c r="H53" s="346" t="s">
        <v>1069</v>
      </c>
      <c r="I53" s="347" t="s">
        <v>1063</v>
      </c>
      <c r="J53" t="str">
        <f>IFERROR(__xludf.DUMMYFUNCTION("IFERROR(
    ARRAYFORMULA(
        JOIN(
            CHAR(10) &amp; CHAR(10),
            ""Comment: "" &amp; FILTER(
                'Scores Import DO NOT EDIT'!N:N, 
                'Scores Import DO NOT EDIT'!D:D = A53
            )
        )
    ), 
    ""No "&amp;"comments yet""
)
"),"Comment: Good job!
Greater theoretical framework needed
Maybe just focus in-depth on two or three examples as presentation can perhaps veer toward an overview, too brief superficial analysis
Comment: 
Comment: 
Comment: Presenter read much of their ora"&amp;"l presentation from a cell phone giving me the impression that they did know their subject material or presentation all that well. 
Comment: ")</f>
        <v>Comment: Good job!
Greater theoretical framework needed
Maybe just focus in-depth on two or three examples as presentation can perhaps veer toward an overview, too brief superficial analysis
Comment: 
Comment: 
Comment: Presenter read much of their oral presentation from a cell phone giving me the impression that they did know their subject material or presentation all that well. 
Comment: </v>
      </c>
      <c r="K53" t="s">
        <v>4881</v>
      </c>
    </row>
    <row r="54">
      <c r="A54" s="345">
        <v>137.0</v>
      </c>
      <c r="B54" s="346" t="s">
        <v>1070</v>
      </c>
      <c r="C54" s="346" t="s">
        <v>1071</v>
      </c>
      <c r="D54" s="346" t="s">
        <v>1074</v>
      </c>
      <c r="E54" s="346" t="s">
        <v>4882</v>
      </c>
      <c r="F54" s="346" t="s">
        <v>1077</v>
      </c>
      <c r="G54" s="346" t="s">
        <v>784</v>
      </c>
      <c r="H54" s="346" t="s">
        <v>1078</v>
      </c>
      <c r="I54" s="347" t="s">
        <v>1072</v>
      </c>
      <c r="J54" t="str">
        <f>IFERROR(__xludf.DUMMYFUNCTION("IFERROR(
    ARRAYFORMULA(
        JOIN(
            CHAR(10) &amp; CHAR(10),
            ""Comment: "" &amp; FILTER(
                'Scores Import DO NOT EDIT'!N:N, 
                'Scores Import DO NOT EDIT'!D:D = A54
            )
        )
    ), 
    ""No "&amp;"comments yet""
)
"),"Comment: 
Comment: Great job!
What philosophy do you agree with that says the other is not known?  I assume this will be developed in article
Comment: Excellent presentation (and a little terrifying)! It would have been instructive to have presented alt"&amp;"ernate interpretations of the issue.
Comment: 
Comment: ")</f>
        <v>Comment: 
Comment: Great job!
What philosophy do you agree with that says the other is not known?  I assume this will be developed in article
Comment: Excellent presentation (and a little terrifying)! It would have been instructive to have presented alternate interpretations of the issue.
Comment: 
Comment: </v>
      </c>
      <c r="K54" t="s">
        <v>4883</v>
      </c>
    </row>
    <row r="55">
      <c r="A55" s="345">
        <v>138.0</v>
      </c>
      <c r="B55" s="346" t="s">
        <v>1079</v>
      </c>
      <c r="C55" s="346" t="s">
        <v>1080</v>
      </c>
      <c r="D55" s="346" t="s">
        <v>1083</v>
      </c>
      <c r="E55" s="346" t="s">
        <v>1085</v>
      </c>
      <c r="F55" s="346" t="s">
        <v>1086</v>
      </c>
      <c r="G55" s="346" t="s">
        <v>784</v>
      </c>
      <c r="H55" s="346" t="s">
        <v>1087</v>
      </c>
      <c r="I55" s="347" t="s">
        <v>1081</v>
      </c>
      <c r="J55" t="str">
        <f>IFERROR(__xludf.DUMMYFUNCTION("IFERROR(
    ARRAYFORMULA(
        JOIN(
            CHAR(10) &amp; CHAR(10),
            ""Comment: "" &amp; FILTER(
                'Scores Import DO NOT EDIT'!N:N, 
                'Scores Import DO NOT EDIT'!D:D = A55
            )
        )
    ), 
    ""No "&amp;"comments yet""
)
"),"Comment: Such an interesting topic! It would have been effective to include media examples of your own art and music.
Comment: Existentialism and art defined too broadly
Greater theoretical framework needed and connected to research (eg, not sure Existen"&amp;"tialism is the only path or best path)
Thoughtful life question is a big too large for a research question
Meditation, body mind issues need deeper exploration
Comment: 
Comment: 
Comment: Overall knowledge of subject material was good. ")</f>
        <v>Comment: Such an interesting topic! It would have been effective to include media examples of your own art and music.
Comment: Existentialism and art defined too broadly
Greater theoretical framework needed and connected to research (eg, not sure Existentialism is the only path or best path)
Thoughtful life question is a big too large for a research question
Meditation, body mind issues need deeper exploration
Comment: 
Comment: 
Comment: Overall knowledge of subject material was good. </v>
      </c>
      <c r="K55" t="s">
        <v>4884</v>
      </c>
    </row>
    <row r="56">
      <c r="A56" s="345">
        <v>139.0</v>
      </c>
      <c r="B56" s="346" t="s">
        <v>1089</v>
      </c>
      <c r="C56" s="346" t="s">
        <v>768</v>
      </c>
      <c r="D56" s="346" t="s">
        <v>1092</v>
      </c>
      <c r="E56" s="346" t="s">
        <v>1094</v>
      </c>
      <c r="F56" s="346" t="s">
        <v>1095</v>
      </c>
      <c r="G56" s="346" t="s">
        <v>784</v>
      </c>
      <c r="H56" s="346" t="s">
        <v>1096</v>
      </c>
      <c r="I56" s="347" t="s">
        <v>1090</v>
      </c>
      <c r="J56" t="str">
        <f>IFERROR(__xludf.DUMMYFUNCTION("IFERROR(
    ARRAYFORMULA(
        JOIN(
            CHAR(10) &amp; CHAR(10),
            ""Comment: "" &amp; FILTER(
                'Scores Import DO NOT EDIT'!N:N, 
                'Scores Import DO NOT EDIT'!D:D = A56
            )
        )
    ), 
    ""No "&amp;"comments yet""
)
"),"Comment: Good work on an interesting topic! I would like to have heard more about your own methods of data collection and anslysis.
Comment: 
Comment: Stronger theoretical framework needed
Clear argument but evidence needs to be centered (sometimes) on "&amp;"a community to make connections concrete
Comment: 
Comment: ")</f>
        <v>Comment: Good work on an interesting topic! I would like to have heard more about your own methods of data collection and anslysis.
Comment: 
Comment: Stronger theoretical framework needed
Clear argument but evidence needs to be centered (sometimes) on a community to make connections concrete
Comment: 
Comment: </v>
      </c>
      <c r="K56" t="s">
        <v>4885</v>
      </c>
    </row>
    <row r="57">
      <c r="A57" s="345">
        <v>140.0</v>
      </c>
      <c r="B57" s="346" t="s">
        <v>1097</v>
      </c>
      <c r="C57" s="346" t="s">
        <v>1098</v>
      </c>
      <c r="D57" s="346" t="s">
        <v>1100</v>
      </c>
      <c r="E57" s="346" t="s">
        <v>1102</v>
      </c>
      <c r="F57" s="346" t="s">
        <v>1103</v>
      </c>
      <c r="G57" s="346" t="s">
        <v>784</v>
      </c>
      <c r="H57" s="346" t="s">
        <v>1104</v>
      </c>
      <c r="I57" s="347" t="s">
        <v>1099</v>
      </c>
      <c r="J57" t="str">
        <f>IFERROR(__xludf.DUMMYFUNCTION("IFERROR(
    ARRAYFORMULA(
        JOIN(
            CHAR(10) &amp; CHAR(10),
            ""Comment: "" &amp; FILTER(
                'Scores Import DO NOT EDIT'!N:N, 
                'Scores Import DO NOT EDIT'!D:D = A57
            )
        )
    ), 
    ""No "&amp;"comments yet""
)
"),"Comment: Excellent presentation on such an interesting topic! I would like to have heard more about your own process of collecting and interpreting data from contemporary Philippine culture.
Comment: Clearer lit review needed
More theoretical insights ne"&amp;"eded
Comment: 
Comment: Interesting and clear 
Comment: Went long which indicated to me that presenter needs to pull their thoughts together to stay within time guidelines. ")</f>
        <v>Comment: Excellent presentation on such an interesting topic! I would like to have heard more about your own process of collecting and interpreting data from contemporary Philippine culture.
Comment: Clearer lit review needed
More theoretical insights needed
Comment: 
Comment: Interesting and clear 
Comment: Went long which indicated to me that presenter needs to pull their thoughts together to stay within time guidelines. </v>
      </c>
      <c r="K57" t="s">
        <v>4886</v>
      </c>
    </row>
    <row r="58">
      <c r="A58" s="345">
        <v>141.0</v>
      </c>
      <c r="B58" s="346" t="s">
        <v>4887</v>
      </c>
      <c r="C58" s="346" t="s">
        <v>1108</v>
      </c>
      <c r="D58" s="346" t="s">
        <v>1111</v>
      </c>
      <c r="E58" s="346" t="s">
        <v>3091</v>
      </c>
      <c r="F58" s="346" t="s">
        <v>1234</v>
      </c>
      <c r="G58" s="346" t="s">
        <v>893</v>
      </c>
      <c r="H58" s="346" t="s">
        <v>1119</v>
      </c>
      <c r="I58" s="347" t="s">
        <v>1109</v>
      </c>
      <c r="J58" t="str">
        <f>IFERROR(__xludf.DUMMYFUNCTION("IFERROR(
    ARRAYFORMULA(
        JOIN(
            CHAR(10) &amp; CHAR(10),
            ""Comment: "" &amp; FILTER(
                'Scores Import DO NOT EDIT'!N:N, 
                'Scores Import DO NOT EDIT'!D:D = A58
            )
        )
    ), 
    ""No "&amp;"comments yet""
)
"),"Comment: Important topic! Could you comment on the small sample size and whether the small cell responses  in some categories are meaningful?
Comment: Overall good, but small sample limited the meaning of frequencies. Could use clearer justification from"&amp;" the previous research literature (even if just a citation and mention the level of evidence from a presentation, such as ""Prior work shows x. In a systematic review/meta-analysis, etc.,....""). 
Comment: Excelente presentation. You should think of incr"&amp;"easing your sampling size.
Comment: Excellent presentation with great ppt. Well organized and succinct ppt. 
Comment: Students did an excellent job co-presenting the data on this important topic. They knew the data very well and slides were very clear. ")</f>
        <v>Comment: Important topic! Could you comment on the small sample size and whether the small cell responses  in some categories are meaningful?
Comment: Overall good, but small sample limited the meaning of frequencies. Could use clearer justification from the previous research literature (even if just a citation and mention the level of evidence from a presentation, such as "Prior work shows x. In a systematic review/meta-analysis, etc.,...."). 
Comment: Excelente presentation. You should think of increasing your sampling size.
Comment: Excellent presentation with great ppt. Well organized and succinct ppt. 
Comment: Students did an excellent job co-presenting the data on this important topic. They knew the data very well and slides were very clear. </v>
      </c>
      <c r="K58" t="s">
        <v>4888</v>
      </c>
    </row>
    <row r="59">
      <c r="A59" s="345">
        <v>142.0</v>
      </c>
      <c r="B59" s="346" t="s">
        <v>1120</v>
      </c>
      <c r="C59" s="346" t="s">
        <v>1121</v>
      </c>
      <c r="D59" s="346" t="s">
        <v>1124</v>
      </c>
      <c r="E59" s="346" t="s">
        <v>1126</v>
      </c>
      <c r="F59" s="346" t="s">
        <v>1127</v>
      </c>
      <c r="G59" s="346" t="s">
        <v>893</v>
      </c>
      <c r="H59" s="346" t="s">
        <v>1128</v>
      </c>
      <c r="I59" s="347" t="s">
        <v>1122</v>
      </c>
      <c r="J59" t="str">
        <f>IFERROR(__xludf.DUMMYFUNCTION("IFERROR(
    ARRAYFORMULA(
        JOIN(
            CHAR(10) &amp; CHAR(10),
            ""Comment: "" &amp; FILTER(
                'Scores Import DO NOT EDIT'!N:N, 
                'Scores Import DO NOT EDIT'!D:D = A59
            )
        )
    ), 
    ""No "&amp;"comments yet""
)
"),"Comment: Presentation could use citations for frequencies/statistic reported &amp; editing for capitalization. The presentation had a lot of information, but as the presenter moves on in career, shifting to more of a story-telling approach to presentations wi"&amp;"ll be a good skill to develop. Having so much information made it difficult to follow without the narrative piece (e.g., ""The take-home point is [x]."".
Comment: Great presentation on an important topic! Are there other measures of activity you might co"&amp;"nsider? How these vary over the course of a day? Unclear if activities by parents and children are happening concurrently?
Comment: The study design could be more in detail. 
Comment: Very nice presentation, keep up the good work. Think of all the sourc"&amp;"es of uncertainty in your methods and how to address them 
Comment: ")</f>
        <v>Comment: Presentation could use citations for frequencies/statistic reported &amp; editing for capitalization. The presentation had a lot of information, but as the presenter moves on in career, shifting to more of a story-telling approach to presentations will be a good skill to develop. Having so much information made it difficult to follow without the narrative piece (e.g., "The take-home point is [x].".
Comment: Great presentation on an important topic! Are there other measures of activity you might consider? How these vary over the course of a day? Unclear if activities by parents and children are happening concurrently?
Comment: The study design could be more in detail. 
Comment: Very nice presentation, keep up the good work. Think of all the sources of uncertainty in your methods and how to address them 
Comment: </v>
      </c>
      <c r="K59" t="s">
        <v>4889</v>
      </c>
    </row>
    <row r="60">
      <c r="A60" s="345">
        <v>143.0</v>
      </c>
      <c r="B60" s="346" t="s">
        <v>1129</v>
      </c>
      <c r="C60" s="346" t="s">
        <v>1130</v>
      </c>
      <c r="D60" s="346" t="s">
        <v>4890</v>
      </c>
      <c r="E60" s="346" t="s">
        <v>857</v>
      </c>
      <c r="F60" s="346" t="s">
        <v>858</v>
      </c>
      <c r="G60" s="346" t="s">
        <v>784</v>
      </c>
      <c r="H60" s="346" t="s">
        <v>859</v>
      </c>
      <c r="I60" s="347" t="s">
        <v>1131</v>
      </c>
      <c r="J60" t="str">
        <f>IFERROR(__xludf.DUMMYFUNCTION("IFERROR(
    ARRAYFORMULA(
        JOIN(
            CHAR(10) &amp; CHAR(10),
            ""Comment: "" &amp; FILTER(
                'Scores Import DO NOT EDIT'!N:N, 
                'Scores Import DO NOT EDIT'!D:D = A60
            )
        )
    ), 
    ""No "&amp;"comments yet""
)
"),"Comment: What is a key conclusion from this formative work?
Comment: Good learning from the presentation. Thank you!
Comment: Thanks for your presentation, keep up the good work. You may want to increase your data collection 
Comment: Had a strong fram"&amp;"ing of the nuances motivating the study, including cultural considerations, sociolinguistics considerations, and public health literature/information/tools. I strongly feel like this student (if no doing so already) should be applying to Fulbright, Ford F"&amp;"oundation, NIH, etc. I think this would hit well, and depending on how she shapes this type of work at the intersection of anthropology, public health, and perhaps clinical research (e.g., epidemiology, biomarkers), could potentially become a candidate fo"&amp;"r a MacArthur Award. I thought of Jason de Léon's Undocumented Migration Project when listening to her presentation.
Comment: ")</f>
        <v>Comment: What is a key conclusion from this formative work?
Comment: Good learning from the presentation. Thank you!
Comment: Thanks for your presentation, keep up the good work. You may want to increase your data collection 
Comment: Had a strong framing of the nuances motivating the study, including cultural considerations, sociolinguistics considerations, and public health literature/information/tools. I strongly feel like this student (if no doing so already) should be applying to Fulbright, Ford Foundation, NIH, etc. I think this would hit well, and depending on how she shapes this type of work at the intersection of anthropology, public health, and perhaps clinical research (e.g., epidemiology, biomarkers), could potentially become a candidate for a MacArthur Award. I thought of Jason de Léon's Undocumented Migration Project when listening to her presentation.
Comment: </v>
      </c>
      <c r="K60" t="s">
        <v>4891</v>
      </c>
    </row>
    <row r="61">
      <c r="A61" s="345">
        <v>144.0</v>
      </c>
      <c r="B61" s="346" t="s">
        <v>1135</v>
      </c>
      <c r="C61" s="346" t="s">
        <v>1136</v>
      </c>
      <c r="D61" s="346" t="s">
        <v>1139</v>
      </c>
      <c r="E61" s="346" t="s">
        <v>1141</v>
      </c>
      <c r="F61" s="346" t="s">
        <v>1142</v>
      </c>
      <c r="G61" s="346" t="s">
        <v>893</v>
      </c>
      <c r="H61" s="346" t="s">
        <v>1143</v>
      </c>
      <c r="I61" s="347" t="s">
        <v>1137</v>
      </c>
      <c r="J61" t="str">
        <f>IFERROR(__xludf.DUMMYFUNCTION("IFERROR(
    ARRAYFORMULA(
        JOIN(
            CHAR(10) &amp; CHAR(10),
            ""Comment: "" &amp; FILTER(
                'Scores Import DO NOT EDIT'!N:N, 
                'Scores Import DO NOT EDIT'!D:D = A61
            )
        )
    ), 
    ""No "&amp;"comments yet""
)
"),"Comment: What an important need to be addressed!  What types of activities are putting workers at highest risk?
Comment: Inspiring and heartbreaking information! Excellent job!
Comment: Very organized but talking speed could be slower - seemed like the "&amp;"presenter was very high energy, which may be less helpful for telling a story/creating a narrative. It might be nicer to decrease information in the talk to spend more time walking people through the research.
Comment: Very interesting and relevant work."&amp;" You need to better define your hypothesis and design your study
Comment: ")</f>
        <v>Comment: What an important need to be addressed!  What types of activities are putting workers at highest risk?
Comment: Inspiring and heartbreaking information! Excellent job!
Comment: Very organized but talking speed could be slower - seemed like the presenter was very high energy, which may be less helpful for telling a story/creating a narrative. It might be nicer to decrease information in the talk to spend more time walking people through the research.
Comment: Very interesting and relevant work. You need to better define your hypothesis and design your study
Comment: </v>
      </c>
      <c r="K61" t="s">
        <v>4892</v>
      </c>
    </row>
    <row r="62">
      <c r="A62" s="345">
        <v>145.0</v>
      </c>
      <c r="B62" s="346" t="s">
        <v>1144</v>
      </c>
      <c r="C62" s="346" t="s">
        <v>1145</v>
      </c>
      <c r="D62" s="346" t="s">
        <v>1148</v>
      </c>
      <c r="E62" s="346" t="s">
        <v>1150</v>
      </c>
      <c r="F62" s="346" t="s">
        <v>1151</v>
      </c>
      <c r="G62" s="346" t="s">
        <v>893</v>
      </c>
      <c r="H62" s="346" t="s">
        <v>1152</v>
      </c>
      <c r="I62" s="347" t="s">
        <v>1146</v>
      </c>
      <c r="J62" t="str">
        <f>IFERROR(__xludf.DUMMYFUNCTION("IFERROR(
    ARRAYFORMULA(
        JOIN(
            CHAR(10) &amp; CHAR(10),
            ""Comment: "" &amp; FILTER(
                'Scores Import DO NOT EDIT'!N:N, 
                'Scores Import DO NOT EDIT'!D:D = A62
            )
        )
    ), 
    ""No "&amp;"comments yet""
)
"),"Comment: Great job! It would be interesting to see a diaggregation by cancer types 
Comment: Too much information and description of methods for a 10-minute talk. A simpler statement would suffice (e.g., we used xxx methods to examine this question. Find"&amp;"ings showed...). No need to talk about p-value. Focus should be on story-telling - it seems like a very well-done and thorough project, but that gets lost in the explanation of methodological details. Probably the methodological details are relevant for d"&amp;"iscipline-specific technical talks, thesis defense, etc., but perhaps not this forum.
Comment: Very relevant work. Curious what you will find with the whole data. Identify the sources of uncertainty and how to reduce them.
Comment: 
Comment: ")</f>
        <v>Comment: Great job! It would be interesting to see a diaggregation by cancer types 
Comment: Too much information and description of methods for a 10-minute talk. A simpler statement would suffice (e.g., we used xxx methods to examine this question. Findings showed...). No need to talk about p-value. Focus should be on story-telling - it seems like a very well-done and thorough project, but that gets lost in the explanation of methodological details. Probably the methodological details are relevant for discipline-specific technical talks, thesis defense, etc., but perhaps not this forum.
Comment: Very relevant work. Curious what you will find with the whole data. Identify the sources of uncertainty and how to reduce them.
Comment: 
Comment: </v>
      </c>
      <c r="K62" t="s">
        <v>4893</v>
      </c>
    </row>
    <row r="63">
      <c r="A63" s="345">
        <v>146.0</v>
      </c>
      <c r="B63" s="346" t="s">
        <v>1153</v>
      </c>
      <c r="C63" s="346" t="s">
        <v>1154</v>
      </c>
      <c r="D63" s="346" t="s">
        <v>1157</v>
      </c>
      <c r="E63" s="346" t="s">
        <v>1159</v>
      </c>
      <c r="F63" s="346" t="s">
        <v>1160</v>
      </c>
      <c r="G63" s="346" t="s">
        <v>764</v>
      </c>
      <c r="H63" s="346" t="s">
        <v>1161</v>
      </c>
      <c r="I63" s="347" t="s">
        <v>1155</v>
      </c>
      <c r="J63" t="str">
        <f>IFERROR(__xludf.DUMMYFUNCTION("IFERROR(
    ARRAYFORMULA(
        JOIN(
            CHAR(10) &amp; CHAR(10),
            ""Comment: "" &amp; FILTER(
                'Scores Import DO NOT EDIT'!N:N, 
                'Scores Import DO NOT EDIT'!D:D = A63
            )
        )
    ), 
    ""No "&amp;"comments yet""
)
"),"Comment: Very interesting! What about more of a focus on taste vs smell?
Comment: Much of the delivery of the presentation was not as cohesive as the PPT itself or methods seemed to be. Using some summary statements for each slide or part would help guid"&amp;"e the narrative. The introductory slides could benefit from work for formatting and style for a scholarly presentation. One way to think about presenting a lot of information is with ""bookend"" sentences (e.g., Book-end: In this study, we were interested"&amp;" in x, because of y. [Prior work shows....] Book-end: This points to the importance of examining z.). Also, I would skip saying ""I didn't have time to add..."" - present it as a complete project and put the updated results under ""future directions"" or "&amp;"save it for Q+A in case someone asks about next steps.
Comment: Keep up the good work. 
Comment: ")</f>
        <v>Comment: Very interesting! What about more of a focus on taste vs smell?
Comment: Much of the delivery of the presentation was not as cohesive as the PPT itself or methods seemed to be. Using some summary statements for each slide or part would help guide the narrative. The introductory slides could benefit from work for formatting and style for a scholarly presentation. One way to think about presenting a lot of information is with "bookend" sentences (e.g., Book-end: In this study, we were interested in x, because of y. [Prior work shows....] Book-end: This points to the importance of examining z.). Also, I would skip saying "I didn't have time to add..." - present it as a complete project and put the updated results under "future directions" or save it for Q+A in case someone asks about next steps.
Comment: Keep up the good work. 
Comment: </v>
      </c>
      <c r="K63" t="s">
        <v>4894</v>
      </c>
    </row>
    <row r="64">
      <c r="A64" s="345">
        <v>147.0</v>
      </c>
      <c r="B64" s="346" t="s">
        <v>1163</v>
      </c>
      <c r="C64" s="346" t="s">
        <v>1164</v>
      </c>
      <c r="D64" s="346" t="s">
        <v>1166</v>
      </c>
      <c r="E64" s="346" t="s">
        <v>1168</v>
      </c>
      <c r="F64" s="346" t="s">
        <v>1169</v>
      </c>
      <c r="G64" s="346" t="s">
        <v>773</v>
      </c>
      <c r="H64" s="346" t="s">
        <v>1170</v>
      </c>
      <c r="I64" s="347" t="s">
        <v>1165</v>
      </c>
      <c r="J64" t="str">
        <f>IFERROR(__xludf.DUMMYFUNCTION("IFERROR(
    ARRAYFORMULA(
        JOIN(
            CHAR(10) &amp; CHAR(10),
            ""Comment: "" &amp; FILTER(
                'Scores Import DO NOT EDIT'!N:N, 
                'Scores Import DO NOT EDIT'!D:D = A64
            )
        )
    ), 
    ""No "&amp;"comments yet""
)
"),"Comment: Fairly good response to questions
Comment: ")</f>
        <v>Comment: Fairly good response to questions
Comment: </v>
      </c>
      <c r="K64" t="s">
        <v>4895</v>
      </c>
    </row>
    <row r="65">
      <c r="A65" s="345">
        <v>148.0</v>
      </c>
      <c r="B65" s="346" t="s">
        <v>1171</v>
      </c>
      <c r="C65" s="346" t="s">
        <v>1172</v>
      </c>
      <c r="D65" s="346" t="s">
        <v>1175</v>
      </c>
      <c r="E65" s="346" t="s">
        <v>1177</v>
      </c>
      <c r="F65" s="346" t="s">
        <v>1178</v>
      </c>
      <c r="G65" s="346" t="s">
        <v>773</v>
      </c>
      <c r="H65" s="346" t="s">
        <v>1179</v>
      </c>
      <c r="I65" s="347" t="s">
        <v>1173</v>
      </c>
      <c r="J65" t="str">
        <f>IFERROR(__xludf.DUMMYFUNCTION("IFERROR(
    ARRAYFORMULA(
        JOIN(
            CHAR(10) &amp; CHAR(10),
            ""Comment: "" &amp; FILTER(
                'Scores Import DO NOT EDIT'!N:N, 
                'Scores Import DO NOT EDIT'!D:D = A65
            )
        )
    ), 
    ""No "&amp;"comments yet""
)
"),"Comment: Excellent organization, and answering of questions, particularly for undergraduate student. Could slow down the presentation speed and still fit within time.")</f>
        <v>Comment: Excellent organization, and answering of questions, particularly for undergraduate student. Could slow down the presentation speed and still fit within time.</v>
      </c>
      <c r="K65" t="s">
        <v>4896</v>
      </c>
    </row>
    <row r="66">
      <c r="A66" s="345">
        <v>149.0</v>
      </c>
      <c r="B66" s="346" t="s">
        <v>1180</v>
      </c>
      <c r="C66" s="346" t="s">
        <v>1181</v>
      </c>
      <c r="D66" s="346" t="s">
        <v>1184</v>
      </c>
      <c r="E66" s="346" t="s">
        <v>1177</v>
      </c>
      <c r="F66" s="346" t="s">
        <v>1178</v>
      </c>
      <c r="G66" s="346" t="s">
        <v>773</v>
      </c>
      <c r="H66" s="346" t="s">
        <v>1179</v>
      </c>
      <c r="I66" s="347" t="s">
        <v>1182</v>
      </c>
      <c r="J66" t="str">
        <f>IFERROR(__xludf.DUMMYFUNCTION("IFERROR(
    ARRAYFORMULA(
        JOIN(
            CHAR(10) &amp; CHAR(10),
            ""Comment: "" &amp; FILTER(
                'Scores Import DO NOT EDIT'!N:N, 
                'Scores Import DO NOT EDIT'!D:D = A66
            )
        )
    ), 
    ""No "&amp;"comments yet""
)
"),"Comment: Solid presentation and content. ")</f>
        <v>Comment: Solid presentation and content. </v>
      </c>
      <c r="K66" t="s">
        <v>4897</v>
      </c>
    </row>
    <row r="67">
      <c r="A67" s="345">
        <v>150.0</v>
      </c>
      <c r="B67" s="346" t="s">
        <v>1187</v>
      </c>
      <c r="C67" s="346" t="s">
        <v>1188</v>
      </c>
      <c r="D67" s="346" t="s">
        <v>1190</v>
      </c>
      <c r="E67" s="346" t="s">
        <v>846</v>
      </c>
      <c r="F67" s="346" t="s">
        <v>1007</v>
      </c>
      <c r="G67" s="346" t="s">
        <v>773</v>
      </c>
      <c r="H67" s="346" t="s">
        <v>1008</v>
      </c>
      <c r="I67" s="347" t="s">
        <v>1189</v>
      </c>
      <c r="J67" t="str">
        <f>IFERROR(__xludf.DUMMYFUNCTION("IFERROR(
    ARRAYFORMULA(
        JOIN(
            CHAR(10) &amp; CHAR(10),
            ""Comment: "" &amp; FILTER(
                'Scores Import DO NOT EDIT'!N:N, 
                'Scores Import DO NOT EDIT'!D:D = A67
            )
        )
    ), 
    ""No "&amp;"comments yet""
)
"),"Comment: Very clear presentation with solid organization. Excellent graphics")</f>
        <v>Comment: Very clear presentation with solid organization. Excellent graphics</v>
      </c>
      <c r="K67" t="s">
        <v>4898</v>
      </c>
    </row>
    <row r="68">
      <c r="A68" s="345">
        <v>151.0</v>
      </c>
      <c r="B68" s="346" t="s">
        <v>861</v>
      </c>
      <c r="C68" s="346" t="s">
        <v>1192</v>
      </c>
      <c r="D68" s="346" t="s">
        <v>1195</v>
      </c>
      <c r="E68" s="346" t="s">
        <v>1197</v>
      </c>
      <c r="F68" s="346" t="s">
        <v>1198</v>
      </c>
      <c r="G68" s="346" t="s">
        <v>773</v>
      </c>
      <c r="H68" s="346" t="s">
        <v>1199</v>
      </c>
      <c r="I68" s="347" t="s">
        <v>1193</v>
      </c>
      <c r="J68" t="str">
        <f>IFERROR(__xludf.DUMMYFUNCTION("IFERROR(
    ARRAYFORMULA(
        JOIN(
            CHAR(10) &amp; CHAR(10),
            ""Comment: "" &amp; FILTER(
                'Scores Import DO NOT EDIT'!N:N, 
                'Scores Import DO NOT EDIT'!D:D = A68
            )
        )
    ), 
    ""No "&amp;"comments yet""
)
"),"No comments yet")</f>
        <v>No comments yet</v>
      </c>
      <c r="K68" t="s">
        <v>4820</v>
      </c>
    </row>
    <row r="69">
      <c r="A69" s="345">
        <v>152.0</v>
      </c>
      <c r="B69" s="346" t="s">
        <v>1200</v>
      </c>
      <c r="C69" s="346" t="s">
        <v>1201</v>
      </c>
      <c r="D69" s="346" t="s">
        <v>1204</v>
      </c>
      <c r="E69" s="346" t="s">
        <v>1209</v>
      </c>
      <c r="F69" s="346" t="s">
        <v>1210</v>
      </c>
      <c r="G69" s="346" t="s">
        <v>784</v>
      </c>
      <c r="H69" s="346" t="s">
        <v>1211</v>
      </c>
      <c r="I69" s="347" t="s">
        <v>1202</v>
      </c>
      <c r="J69" t="str">
        <f>IFERROR(__xludf.DUMMYFUNCTION("IFERROR(
    ARRAYFORMULA(
        JOIN(
            CHAR(10) &amp; CHAR(10),
            ""Comment: "" &amp; FILTER(
                'Scores Import DO NOT EDIT'!N:N, 
                'Scores Import DO NOT EDIT'!D:D = A69
            )
        )
    ), 
    ""No "&amp;"comments yet""
)
"),"Comment: Lot of material covered.")</f>
        <v>Comment: Lot of material covered.</v>
      </c>
      <c r="K69" t="s">
        <v>4899</v>
      </c>
    </row>
    <row r="70">
      <c r="A70" s="345">
        <v>153.0</v>
      </c>
      <c r="B70" s="346" t="s">
        <v>1213</v>
      </c>
      <c r="C70" s="346" t="s">
        <v>1214</v>
      </c>
      <c r="D70" s="346" t="s">
        <v>4900</v>
      </c>
      <c r="E70" s="346" t="s">
        <v>1159</v>
      </c>
      <c r="F70" s="346" t="s">
        <v>1160</v>
      </c>
      <c r="G70" s="346" t="s">
        <v>893</v>
      </c>
      <c r="H70" s="346" t="s">
        <v>1161</v>
      </c>
      <c r="I70" s="347" t="s">
        <v>1215</v>
      </c>
      <c r="J70" t="str">
        <f>IFERROR(__xludf.DUMMYFUNCTION("IFERROR(
    ARRAYFORMULA(
        JOIN(
            CHAR(10) &amp; CHAR(10),
            ""Comment: "" &amp; FILTER(
                'Scores Import DO NOT EDIT'!N:N, 
                'Scores Import DO NOT EDIT'!D:D = A70
            )
        )
    ), 
    ""No "&amp;"comments yet""
)
"),"Comment: Delivery is great, too many jargons used, broader implications not clear
Comment: It was great that you gave this talk with no notes and had no problem answering questions. Maybe work on condensing methods section to spend more time on results a"&amp;"nd discussion of significance.  The flowchart of experiments was good but highlighting your track would make it easier. 
Comment: Very poised and prepared.  Good grasp of methods and technology. Informative presentation 
Comment: Relaxed.  A little awkw"&amp;"ard at the beginn8ng. Definr GCOMS at first use. Nice power point. Time 'intensive' not 'extensive'. Knowedgeable.")</f>
        <v>Comment: Delivery is great, too many jargons used, broader implications not clear
Comment: It was great that you gave this talk with no notes and had no problem answering questions. Maybe work on condensing methods section to spend more time on results and discussion of significance.  The flowchart of experiments was good but highlighting your track would make it easier. 
Comment: Very poised and prepared.  Good grasp of methods and technology. Informative presentation 
Comment: Relaxed.  A little awkward at the beginn8ng. Definr GCOMS at first use. Nice power point. Time 'intensive' not 'extensive'. Knowedgeable.</v>
      </c>
      <c r="K70" t="s">
        <v>4901</v>
      </c>
    </row>
    <row r="71">
      <c r="A71" s="345">
        <v>154.0</v>
      </c>
      <c r="B71" s="346" t="s">
        <v>1220</v>
      </c>
      <c r="C71" s="346" t="s">
        <v>1221</v>
      </c>
      <c r="D71" s="346" t="s">
        <v>1224</v>
      </c>
      <c r="E71" s="346" t="s">
        <v>1159</v>
      </c>
      <c r="F71" s="346" t="s">
        <v>1160</v>
      </c>
      <c r="G71" s="346" t="s">
        <v>893</v>
      </c>
      <c r="H71" s="346" t="s">
        <v>1161</v>
      </c>
      <c r="I71" s="347" t="s">
        <v>1222</v>
      </c>
      <c r="J71" t="str">
        <f>IFERROR(__xludf.DUMMYFUNCTION("IFERROR(
    ARRAYFORMULA(
        JOIN(
            CHAR(10) &amp; CHAR(10),
            ""Comment: "" &amp; FILTER(
                'Scores Import DO NOT EDIT'!N:N, 
                'Scores Import DO NOT EDIT'!D:D = A71
            )
        )
    ), 
    ""No "&amp;"comments yet""
)
"),"Comment: Really impressed with how thoroughly you know your subject and work. You answered your questions with no problems and didn’t need notes, which is great. 
Comment: Excellent delivery, broader implications not clear
Comment: Enthusiastic about he"&amp;"r work, understands context of the research, does good job of acknowledging her co workers and professor.  
Comment: Great starting interest grabber. Engaging. Chef over research background shows.")</f>
        <v>Comment: Really impressed with how thoroughly you know your subject and work. You answered your questions with no problems and didn’t need notes, which is great. 
Comment: Excellent delivery, broader implications not clear
Comment: Enthusiastic about her work, understands context of the research, does good job of acknowledging her co workers and professor.  
Comment: Great starting interest grabber. Engaging. Chef over research background shows.</v>
      </c>
      <c r="K71" t="s">
        <v>4902</v>
      </c>
    </row>
    <row r="72">
      <c r="A72" s="345">
        <v>155.0</v>
      </c>
      <c r="B72" s="346" t="s">
        <v>1228</v>
      </c>
      <c r="C72" s="346" t="s">
        <v>1229</v>
      </c>
      <c r="D72" s="346" t="s">
        <v>1232</v>
      </c>
      <c r="E72" s="346" t="s">
        <v>3091</v>
      </c>
      <c r="F72" s="346" t="s">
        <v>1234</v>
      </c>
      <c r="G72" s="346" t="s">
        <v>893</v>
      </c>
      <c r="H72" s="346" t="s">
        <v>1119</v>
      </c>
      <c r="I72" s="347" t="s">
        <v>1230</v>
      </c>
      <c r="J72" t="str">
        <f>IFERROR(__xludf.DUMMYFUNCTION("IFERROR(
    ARRAYFORMULA(
        JOIN(
            CHAR(10) &amp; CHAR(10),
            ""Comment: "" &amp; FILTER(
                'Scores Import DO NOT EDIT'!N:N, 
                'Scores Import DO NOT EDIT'!D:D = A72
            )
        )
    ), 
    ""No "&amp;"comments yet""
)
"),"Comment: Slower pace of delivery suggested, addresses a social problem
Comment: It would improve your delivery and question response if you read some more general background on health literacy and concussions. No need to read every research article, but "&amp;"a few general reviews would help. You don’t always need to provide citations when answering questions, just do the best you can. Don’t be afraid to have an opinion. 
Comment: Good grasp of the topic.  Highly relevant project.  Statistical analysis is in "&amp;"very preliminary state but understanding seemed good for undergraduate 
Comment: Nice slides.  Did not explain rationale for improving health literacy.")</f>
        <v>Comment: Slower pace of delivery suggested, addresses a social problem
Comment: It would improve your delivery and question response if you read some more general background on health literacy and concussions. No need to read every research article, but a few general reviews would help. You don’t always need to provide citations when answering questions, just do the best you can. Don’t be afraid to have an opinion. 
Comment: Good grasp of the topic.  Highly relevant project.  Statistical analysis is in very preliminary state but understanding seemed good for undergraduate 
Comment: Nice slides.  Did not explain rationale for improving health literacy.</v>
      </c>
      <c r="K72" t="s">
        <v>4903</v>
      </c>
    </row>
    <row r="73">
      <c r="A73" s="345">
        <v>156.0</v>
      </c>
      <c r="B73" s="346" t="s">
        <v>1235</v>
      </c>
      <c r="C73" s="346" t="s">
        <v>1236</v>
      </c>
      <c r="D73" s="346" t="s">
        <v>1239</v>
      </c>
      <c r="E73" s="346" t="s">
        <v>912</v>
      </c>
      <c r="F73" s="346" t="s">
        <v>913</v>
      </c>
      <c r="G73" s="346" t="s">
        <v>893</v>
      </c>
      <c r="H73" s="346" t="s">
        <v>914</v>
      </c>
      <c r="I73" s="347" t="s">
        <v>1237</v>
      </c>
      <c r="J73" t="str">
        <f>IFERROR(__xludf.DUMMYFUNCTION("IFERROR(
    ARRAYFORMULA(
        JOIN(
            CHAR(10) &amp; CHAR(10),
            ""Comment: "" &amp; FILTER(
                'Scores Import DO NOT EDIT'!N:N, 
                'Scores Import DO NOT EDIT'!D:D = A73
            )
        )
    ), 
    ""No "&amp;"comments yet""
)
"),"Comment: Excellent delivery, Distribution of black on the left and red on the right may indicate bias, worth investigating further
Comment: Great comeback after technical issues. You could have taken more time to explain your full methodology and added m"&amp;"ore conclusions about what it means for athletes with red bars. Also, use two colours of red to distinguish right and left. 
Comment: Team  presentation.  Video presentation was very helpful to understanding of methods
Comment: Interesting and cool slid"&amp;"es on method. Interpretation with red bars unclear. Data= plural. So say these data not this data.")</f>
        <v>Comment: Excellent delivery, Distribution of black on the left and red on the right may indicate bias, worth investigating further
Comment: Great comeback after technical issues. You could have taken more time to explain your full methodology and added more conclusions about what it means for athletes with red bars. Also, use two colours of red to distinguish right and left. 
Comment: Team  presentation.  Video presentation was very helpful to understanding of methods
Comment: Interesting and cool slides on method. Interpretation with red bars unclear. Data= plural. So say these data not this data.</v>
      </c>
      <c r="K73" t="s">
        <v>4904</v>
      </c>
    </row>
    <row r="74">
      <c r="A74" s="345">
        <v>157.0</v>
      </c>
      <c r="B74" s="346" t="s">
        <v>1243</v>
      </c>
      <c r="C74" s="346" t="s">
        <v>1244</v>
      </c>
      <c r="D74" s="346" t="s">
        <v>4905</v>
      </c>
      <c r="E74" s="346" t="s">
        <v>912</v>
      </c>
      <c r="F74" s="346" t="s">
        <v>913</v>
      </c>
      <c r="G74" s="346" t="s">
        <v>893</v>
      </c>
      <c r="H74" s="346" t="s">
        <v>914</v>
      </c>
      <c r="I74" s="347" t="s">
        <v>1245</v>
      </c>
      <c r="J74" t="str">
        <f>IFERROR(__xludf.DUMMYFUNCTION("IFERROR(
    ARRAYFORMULA(
        JOIN(
            CHAR(10) &amp; CHAR(10),
            ""Comment: "" &amp; FILTER(
                'Scores Import DO NOT EDIT'!N:N, 
                'Scores Import DO NOT EDIT'!D:D = A74
            )
        )
    ), 
    ""No "&amp;"comments yet""
)
"),"Comment: Great presentation 
Comment: You were both clear and enthusiastic presenters. I think you need to be clear about what the results mean for the athletes and future work when presenting. 
Comment: Team
Comment: Risk factors interesting.  Serious"&amp;" but nervous. Confusing conclusions. Too small sample size to compare sex differences. Should give rationale at beginning. Jade answered all the questions. ")</f>
        <v>Comment: Great presentation 
Comment: You were both clear and enthusiastic presenters. I think you need to be clear about what the results mean for the athletes and future work when presenting. 
Comment: Team
Comment: Risk factors interesting.  Serious but nervous. Confusing conclusions. Too small sample size to compare sex differences. Should give rationale at beginning. Jade answered all the questions. </v>
      </c>
      <c r="K74" t="s">
        <v>4906</v>
      </c>
    </row>
    <row r="75">
      <c r="A75" s="345">
        <v>158.0</v>
      </c>
      <c r="B75" s="346" t="s">
        <v>1251</v>
      </c>
      <c r="C75" s="346" t="s">
        <v>1252</v>
      </c>
      <c r="D75" s="346" t="s">
        <v>1255</v>
      </c>
      <c r="E75" s="346" t="s">
        <v>1259</v>
      </c>
      <c r="F75" s="346" t="s">
        <v>1210</v>
      </c>
      <c r="G75" s="346" t="s">
        <v>777</v>
      </c>
      <c r="H75" s="346" t="s">
        <v>1211</v>
      </c>
      <c r="I75" s="347" t="s">
        <v>1253</v>
      </c>
      <c r="J75" t="str">
        <f>IFERROR(__xludf.DUMMYFUNCTION("IFERROR(
    ARRAYFORMULA(
        JOIN(
            CHAR(10) &amp; CHAR(10),
            ""Comment: "" &amp; FILTER(
                'Scores Import DO NOT EDIT'!N:N, 
                'Scores Import DO NOT EDIT'!D:D = A75
            )
        )
    ), 
    ""No "&amp;"comments yet""
)
"),"Comment: Great research topic, Improve presentation clarity, highlight only the key results, no need to show the whole table and graph
Comment: Support for community health interventions. Methods good start but need to teawe out the highky correlated var"&amp;"iables.
Comment: Team presentation.  too much data for time.  Bad data slide Need to simplify correlations round to 2 decimal point.  I would suggest focusing on heat graphs 
Comment: Please think about how slides will look when viewed at a larger size."&amp;" Your results tables and graphs were almost unreadable. We couldn’t see what the variables are. Maybe colour code the p values table so we could see what’s significance. Although your analysis is good, this really didn’t seem like a research project, just"&amp;" the presentation of data. ")</f>
        <v>Comment: Great research topic, Improve presentation clarity, highlight only the key results, no need to show the whole table and graph
Comment: Support for community health interventions. Methods good start but need to teawe out the highky correlated variables.
Comment: Team presentation.  too much data for time.  Bad data slide Need to simplify correlations round to 2 decimal point.  I would suggest focusing on heat graphs 
Comment: Please think about how slides will look when viewed at a larger size. Your results tables and graphs were almost unreadable. We couldn’t see what the variables are. Maybe colour code the p values table so we could see what’s significance. Although your analysis is good, this really didn’t seem like a research project, just the presentation of data. </v>
      </c>
      <c r="K75" t="s">
        <v>4907</v>
      </c>
    </row>
    <row r="76">
      <c r="A76" s="345">
        <v>159.0</v>
      </c>
      <c r="B76" s="346" t="s">
        <v>1261</v>
      </c>
      <c r="C76" s="346" t="s">
        <v>1262</v>
      </c>
      <c r="D76" s="346" t="s">
        <v>1264</v>
      </c>
      <c r="E76" s="346" t="s">
        <v>754</v>
      </c>
      <c r="F76" s="346" t="s">
        <v>1266</v>
      </c>
      <c r="G76" s="346" t="s">
        <v>753</v>
      </c>
      <c r="H76" s="346" t="s">
        <v>756</v>
      </c>
      <c r="I76" s="347" t="s">
        <v>1263</v>
      </c>
      <c r="J76" t="str">
        <f>IFERROR(__xludf.DUMMYFUNCTION("IFERROR(
    ARRAYFORMULA(
        JOIN(
            CHAR(10) &amp; CHAR(10),
            ""Comment: "" &amp; FILTER(
                'Scores Import DO NOT EDIT'!N:N, 
                'Scores Import DO NOT EDIT'!D:D = A76
            )
        )
    ), 
    ""No "&amp;"comments yet""
)
"),"Comment: I would like to see more evidence e.g. quote in the presentation to support the themes. Would also encourage the researcher to continue on this research and interview more participants. I believe this will generate insightful findings on this top"&amp;"ic!
Comment: You seemed to have excellent mastery of the content and theory that drove your project. You were well-versed, comfortable, and responded to questions with confidence. Great work!
Comment: Strong public speaker! great work. The n was very sm"&amp;"all; would have liked more discussion on the connection of the findings to the conceptual framework. 
Comment: The problem of 'n' in this research is a real obstacle. The subject matter appeared to be treated with requisite care and the presentation was "&amp;"very clear and smooth. ")</f>
        <v>Comment: I would like to see more evidence e.g. quote in the presentation to support the themes. Would also encourage the researcher to continue on this research and interview more participants. I believe this will generate insightful findings on this topic!
Comment: You seemed to have excellent mastery of the content and theory that drove your project. You were well-versed, comfortable, and responded to questions with confidence. Great work!
Comment: Strong public speaker! great work. The n was very small; would have liked more discussion on the connection of the findings to the conceptual framework. 
Comment: The problem of 'n' in this research is a real obstacle. The subject matter appeared to be treated with requisite care and the presentation was very clear and smooth. </v>
      </c>
      <c r="K76" t="s">
        <v>4908</v>
      </c>
    </row>
    <row r="77">
      <c r="A77" s="345">
        <v>160.0</v>
      </c>
      <c r="B77" s="346" t="s">
        <v>1267</v>
      </c>
      <c r="C77" s="346" t="s">
        <v>1268</v>
      </c>
      <c r="D77" s="346" t="s">
        <v>4909</v>
      </c>
      <c r="E77" s="346" t="s">
        <v>785</v>
      </c>
      <c r="F77" s="346" t="s">
        <v>786</v>
      </c>
      <c r="G77" s="346" t="s">
        <v>784</v>
      </c>
      <c r="H77" s="346" t="s">
        <v>787</v>
      </c>
      <c r="I77" s="347" t="s">
        <v>1269</v>
      </c>
      <c r="J77" t="str">
        <f>IFERROR(__xludf.DUMMYFUNCTION("IFERROR(
    ARRAYFORMULA(
        JOIN(
            CHAR(10) &amp; CHAR(10),
            ""Comment: "" &amp; FILTER(
                'Scores Import DO NOT EDIT'!N:N, 
                'Scores Import DO NOT EDIT'!D:D = A77
            )
        )
    ), 
    ""No "&amp;"comments yet""
)
"),"Comment: Excellent job. Your presentation was very interesting and you have a clear understanding of the intricacies of the topic.
Comment: Very interesting topic! I really liked the visuals/ppt provided. Would have liked to heard more about methods on s"&amp;"electing articles, number, how they were organized, analyzed etc, as well as more direct implication discussion. 
Comment: It's impressive to build upon research to see how trends and politics have changed over the course of your studies. 
Comment: I ca"&amp;"n see that the researcher is very motivated on researching this topic. The proposal of the flatline as an addition to the existing theory is innovative. I would encourage the researcher to continue this research with different and mixed research methods t"&amp;"o reveal more insights from different perspectives on this topic.")</f>
        <v>Comment: Excellent job. Your presentation was very interesting and you have a clear understanding of the intricacies of the topic.
Comment: Very interesting topic! I really liked the visuals/ppt provided. Would have liked to heard more about methods on selecting articles, number, how they were organized, analyzed etc, as well as more direct implication discussion. 
Comment: It's impressive to build upon research to see how trends and politics have changed over the course of your studies. 
Comment: I can see that the researcher is very motivated on researching this topic. The proposal of the flatline as an addition to the existing theory is innovative. I would encourage the researcher to continue this research with different and mixed research methods to reveal more insights from different perspectives on this topic.</v>
      </c>
      <c r="K77" t="s">
        <v>4910</v>
      </c>
    </row>
    <row r="78">
      <c r="A78" s="345">
        <v>161.0</v>
      </c>
      <c r="B78" s="346" t="s">
        <v>1273</v>
      </c>
      <c r="C78" s="346" t="s">
        <v>1274</v>
      </c>
      <c r="D78" s="346" t="s">
        <v>4911</v>
      </c>
      <c r="E78" s="346" t="s">
        <v>754</v>
      </c>
      <c r="F78" s="346" t="s">
        <v>755</v>
      </c>
      <c r="G78" s="346" t="s">
        <v>753</v>
      </c>
      <c r="H78" s="346" t="s">
        <v>756</v>
      </c>
      <c r="I78" s="347" t="s">
        <v>1275</v>
      </c>
      <c r="J78" t="str">
        <f>IFERROR(__xludf.DUMMYFUNCTION("IFERROR(
    ARRAYFORMULA(
        JOIN(
            CHAR(10) &amp; CHAR(10),
            ""Comment: "" &amp; FILTER(
                'Scores Import DO NOT EDIT'!N:N, 
                'Scores Import DO NOT EDIT'!D:D = A78
            )
        )
    ), 
    ""No "&amp;"comments yet""
)
"),"Comment: You did an excellent job sharing your research. The topic and the results are interesting and I enjoyed hearing the future directions that you identified based on your results.
Comment: This is a wonderful example of research that is begging for"&amp;" expansion and I hope you engage with it going forward. The extent research and the foundations of your project are very impressive, and will become even more so when you solve the sample size issues. 
Comment: This a very interesting research topic. I w"&amp;"ould encourage the researcher to continue this research project and think about how this research may bring new insights to the social ripple theory.
Comment: Thank you for your presentation and visuals- really helped tell the story. Would have liked to "&amp;"heard about how the researcher/student controlled for bias in the analysis. Controlling for bias was discussed in the data collection- but what about the analysis/findings. ")</f>
        <v>Comment: You did an excellent job sharing your research. The topic and the results are interesting and I enjoyed hearing the future directions that you identified based on your results.
Comment: This is a wonderful example of research that is begging for expansion and I hope you engage with it going forward. The extent research and the foundations of your project are very impressive, and will become even more so when you solve the sample size issues. 
Comment: This a very interesting research topic. I would encourage the researcher to continue this research project and think about how this research may bring new insights to the social ripple theory.
Comment: Thank you for your presentation and visuals- really helped tell the story. Would have liked to heard about how the researcher/student controlled for bias in the analysis. Controlling for bias was discussed in the data collection- but what about the analysis/findings. </v>
      </c>
      <c r="K78" t="s">
        <v>4912</v>
      </c>
    </row>
    <row r="79">
      <c r="A79" s="345">
        <v>162.0</v>
      </c>
      <c r="B79" s="346" t="s">
        <v>1278</v>
      </c>
      <c r="C79" s="346" t="s">
        <v>1279</v>
      </c>
      <c r="D79" s="346" t="s">
        <v>4913</v>
      </c>
      <c r="E79" s="346" t="s">
        <v>1284</v>
      </c>
      <c r="F79" s="346" t="s">
        <v>1285</v>
      </c>
      <c r="G79" s="346" t="s">
        <v>784</v>
      </c>
      <c r="H79" s="346" t="s">
        <v>1286</v>
      </c>
      <c r="I79" s="347" t="s">
        <v>1280</v>
      </c>
      <c r="J79" t="str">
        <f>IFERROR(__xludf.DUMMYFUNCTION("IFERROR(
    ARRAYFORMULA(
        JOIN(
            CHAR(10) &amp; CHAR(10),
            ""Comment: "" &amp; FILTER(
                'Scores Import DO NOT EDIT'!N:N, 
                'Scores Import DO NOT EDIT'!D:D = A79
            )
        )
    ), 
    ""No "&amp;"comments yet""
)
"),"Comment: Excellent work! You clearly understand the nuances of this issue and did a great job sharing your research and responding to questions.
Comment: Interesting topic- and really liked how connected to SDSU events/students. Would have liked to seen "&amp;"more discussion of recommendations (policy and program) that SDSU should do in addressing this issue. 
Comment: This was the best presentation I saw all morning. There was clearly a lot of work put into it and I enjoyed the professionalism and flow. The "&amp;"information was interesting and current and I hope you continue with it. 
Comment: I think this is a very interesting and important topic for research. I would encourage the researcher to continue this project and adopt different research methods to expl"&amp;"ore this topic.")</f>
        <v>Comment: Excellent work! You clearly understand the nuances of this issue and did a great job sharing your research and responding to questions.
Comment: Interesting topic- and really liked how connected to SDSU events/students. Would have liked to seen more discussion of recommendations (policy and program) that SDSU should do in addressing this issue. 
Comment: This was the best presentation I saw all morning. There was clearly a lot of work put into it and I enjoyed the professionalism and flow. The information was interesting and current and I hope you continue with it. 
Comment: I think this is a very interesting and important topic for research. I would encourage the researcher to continue this project and adopt different research methods to explore this topic.</v>
      </c>
      <c r="K79" t="s">
        <v>4914</v>
      </c>
    </row>
    <row r="80">
      <c r="A80" s="345">
        <v>163.0</v>
      </c>
      <c r="B80" s="346" t="s">
        <v>1287</v>
      </c>
      <c r="C80" s="346" t="s">
        <v>1288</v>
      </c>
      <c r="D80" s="346" t="s">
        <v>1291</v>
      </c>
      <c r="E80" s="346" t="s">
        <v>1293</v>
      </c>
      <c r="F80" s="346" t="s">
        <v>1294</v>
      </c>
      <c r="G80" s="346" t="s">
        <v>784</v>
      </c>
      <c r="H80" s="346" t="s">
        <v>1295</v>
      </c>
      <c r="I80" s="347" t="s">
        <v>1289</v>
      </c>
      <c r="J80" t="str">
        <f>IFERROR(__xludf.DUMMYFUNCTION("IFERROR(
    ARRAYFORMULA(
        JOIN(
            CHAR(10) &amp; CHAR(10),
            ""Comment: "" &amp; FILTER(
                'Scores Import DO NOT EDIT'!N:N, 
                'Scores Import DO NOT EDIT'!D:D = A80
            )
        )
    ), 
    ""No "&amp;"comments yet""
)
"),"Comment: Your topic was very interesting and you clarified your methodology when answering a questions; next time, be sure to include that in your presentation! Your passion for this area is very evident. Great work!
Comment: Helpful to have started with"&amp;" an agenda slide to set presentations goals. Note e.g.= for example; i.e.= in other words. I think should have used e.g. on one slide. Presentation went straight to results- what was the process/ how did student arrive at these findings. I found the visua"&amp;"ls /images on the PPT very helpful and informative! 
Comment: The information presented was all very interesting and it linked together very nicely. Seeing the spread maps and specific word influences was very helpful to engage with the research. The spe"&amp;"aking style was very frenetic and it took me out occasionally so maybe work on style in future presentations. 
Comment: ")</f>
        <v>Comment: Your topic was very interesting and you clarified your methodology when answering a questions; next time, be sure to include that in your presentation! Your passion for this area is very evident. Great work!
Comment: Helpful to have started with an agenda slide to set presentations goals. Note e.g.= for example; i.e.= in other words. I think should have used e.g. on one slide. Presentation went straight to results- what was the process/ how did student arrive at these findings. I found the visuals /images on the PPT very helpful and informative! 
Comment: The information presented was all very interesting and it linked together very nicely. Seeing the spread maps and specific word influences was very helpful to engage with the research. The speaking style was very frenetic and it took me out occasionally so maybe work on style in future presentations. 
Comment: </v>
      </c>
      <c r="K80" t="s">
        <v>4915</v>
      </c>
    </row>
    <row r="81">
      <c r="A81" s="345">
        <v>164.0</v>
      </c>
      <c r="B81" s="346" t="s">
        <v>1005</v>
      </c>
      <c r="C81" s="346" t="s">
        <v>1298</v>
      </c>
      <c r="D81" s="346" t="s">
        <v>1301</v>
      </c>
      <c r="E81" s="346" t="s">
        <v>1303</v>
      </c>
      <c r="F81" s="346" t="s">
        <v>1304</v>
      </c>
      <c r="G81" s="346" t="s">
        <v>784</v>
      </c>
      <c r="H81" s="346" t="s">
        <v>1305</v>
      </c>
      <c r="I81" s="347" t="s">
        <v>1299</v>
      </c>
      <c r="J81" t="str">
        <f>IFERROR(__xludf.DUMMYFUNCTION("IFERROR(
    ARRAYFORMULA(
        JOIN(
            CHAR(10) &amp; CHAR(10),
            ""Comment: "" &amp; FILTER(
                'Scores Import DO NOT EDIT'!N:N, 
                'Scores Import DO NOT EDIT'!D:D = A81
            )
        )
    ), 
    ""No "&amp;"comments yet""
)
"),"Comment: Great presentation of history context and finding a connection to the U.S to makes this relatable. Very clear voice.
Comment: The presentation was great! The presenter was so clear and well-spoken. Their passion for the study came across so clea"&amp;"rly and it was evident they put a lot of time into their work.  Next time it world be wonderful to hear what future directions the student envisions to further research this topic. 
Comment: ")</f>
        <v>Comment: Great presentation of history context and finding a connection to the U.S to makes this relatable. Very clear voice.
Comment: The presentation was great! The presenter was so clear and well-spoken. Their passion for the study came across so clearly and it was evident they put a lot of time into their work.  Next time it world be wonderful to hear what future directions the student envisions to further research this topic. 
Comment: </v>
      </c>
      <c r="K81" t="s">
        <v>4916</v>
      </c>
    </row>
    <row r="82">
      <c r="A82" s="345">
        <v>165.0</v>
      </c>
      <c r="B82" s="346" t="s">
        <v>1306</v>
      </c>
      <c r="C82" s="346" t="s">
        <v>1307</v>
      </c>
      <c r="D82" s="346" t="s">
        <v>4917</v>
      </c>
      <c r="E82" s="346" t="s">
        <v>1312</v>
      </c>
      <c r="F82" s="346" t="s">
        <v>1313</v>
      </c>
      <c r="G82" s="346" t="s">
        <v>784</v>
      </c>
      <c r="H82" s="346" t="s">
        <v>1314</v>
      </c>
      <c r="I82" s="347" t="s">
        <v>1308</v>
      </c>
      <c r="J82" t="str">
        <f>IFERROR(__xludf.DUMMYFUNCTION("IFERROR(
    ARRAYFORMULA(
        JOIN(
            CHAR(10) &amp; CHAR(10),
            ""Comment: "" &amp; FILTER(
                'Scores Import DO NOT EDIT'!N:N, 
                'Scores Import DO NOT EDIT'!D:D = A82
            )
        )
    ), 
    ""No "&amp;"comments yet""
)
"),"Comment: Great description of conocimiento and breaking it down for the audience. Interaction with audience was excellent.
Comment: If was a great presentation! The presenter had great stage presence and their passion for the project was very clear.  Giv"&amp;"en the wonderful cultural relevance of the study,  it would have been great to hear about the impact this work could have and how the student would envision using the platica methodology outside of their personal networks. 
Comment: Jenae's presentation "&amp;"was quite interesting. I appreciated the use of a culturally specific framework to approach her research. Wishing her the best of luck with grad school and hope to read her work in the future. Her last research question about love as a resource is really "&amp;"interesting.
Comment: ")</f>
        <v>Comment: Great description of conocimiento and breaking it down for the audience. Interaction with audience was excellent.
Comment: If was a great presentation! The presenter had great stage presence and their passion for the project was very clear.  Given the wonderful cultural relevance of the study,  it would have been great to hear about the impact this work could have and how the student would envision using the platica methodology outside of their personal networks. 
Comment: Jenae's presentation was quite interesting. I appreciated the use of a culturally specific framework to approach her research. Wishing her the best of luck with grad school and hope to read her work in the future. Her last research question about love as a resource is really interesting.
Comment: </v>
      </c>
      <c r="K82" t="s">
        <v>4918</v>
      </c>
    </row>
    <row r="83">
      <c r="A83" s="345">
        <v>167.0</v>
      </c>
      <c r="B83" s="346" t="s">
        <v>1315</v>
      </c>
      <c r="C83" s="346" t="s">
        <v>1316</v>
      </c>
      <c r="D83" s="346" t="s">
        <v>4919</v>
      </c>
      <c r="E83" s="346" t="s">
        <v>1323</v>
      </c>
      <c r="F83" s="346" t="s">
        <v>1324</v>
      </c>
      <c r="G83" s="346" t="s">
        <v>784</v>
      </c>
      <c r="H83" s="346" t="s">
        <v>1325</v>
      </c>
      <c r="I83" s="347" t="s">
        <v>1317</v>
      </c>
      <c r="J83" t="str">
        <f>IFERROR(__xludf.DUMMYFUNCTION("IFERROR(
    ARRAYFORMULA(
        JOIN(
            CHAR(10) &amp; CHAR(10),
            ""Comment: "" &amp; FILTER(
                'Scores Import DO NOT EDIT'!N:N, 
                'Scores Import DO NOT EDIT'!D:D = A83
            )
        )
    ), 
    ""No "&amp;"comments yet""
)
"),"Comment: Great explanation of presentation. Good use of walking up to the board to point at specifics parts of presentation and further explanation.  Really good use of mixed methods.
Comment: The methodology of this study was so impressive! And it was e"&amp;"vident the team put so much work into researching and producing results for the study. Would love the presenters to have had stronger engagement with the audience, as well as telling us how they would want these studies to give back to the community and t"&amp;"he environment.  
Comment: Very interesting and important topic.
Comment: ")</f>
        <v>Comment: Great explanation of presentation. Good use of walking up to the board to point at specifics parts of presentation and further explanation.  Really good use of mixed methods.
Comment: The methodology of this study was so impressive! And it was evident the team put so much work into researching and producing results for the study. Would love the presenters to have had stronger engagement with the audience, as well as telling us how they would want these studies to give back to the community and the environment.  
Comment: Very interesting and important topic.
Comment: </v>
      </c>
      <c r="K83" t="s">
        <v>4920</v>
      </c>
    </row>
    <row r="84">
      <c r="A84" s="345">
        <v>168.0</v>
      </c>
      <c r="B84" s="346" t="s">
        <v>746</v>
      </c>
      <c r="C84" s="346" t="s">
        <v>1326</v>
      </c>
      <c r="D84" s="346" t="s">
        <v>4921</v>
      </c>
      <c r="E84" s="346" t="s">
        <v>1332</v>
      </c>
      <c r="F84" s="346" t="s">
        <v>1333</v>
      </c>
      <c r="G84" s="346" t="s">
        <v>784</v>
      </c>
      <c r="H84" s="351" t="s">
        <v>1334</v>
      </c>
      <c r="I84" s="347" t="s">
        <v>1327</v>
      </c>
      <c r="J84" t="str">
        <f>IFERROR(__xludf.DUMMYFUNCTION("IFERROR(
    ARRAYFORMULA(
        JOIN(
            CHAR(10) &amp; CHAR(10),
            ""Comment: "" &amp; FILTER(
                'Scores Import DO NOT EDIT'!N:N, 
                'Scores Import DO NOT EDIT'!D:D = A84
            )
        )
    ), 
    ""No "&amp;"comments yet""
)
"),"Comment: Presenter seem like a natural. Great topic and had the audience think about the impact of feeding wildlife animals 
Comment: The study was so impressive and fascinating! The dedication, time and effort the student put into the study was so clear"&amp;".  The commitment to scientific integrity The student discussed was also great to hear. Next time, some kind of visual or what the data collection process or procedures look like writings be a really nice component to add too.
Comment: Emily was very poi"&amp;"sed during her presentation. Very fascinating work. Wishing her the best in her future endeavors.
Comment: ")</f>
        <v>Comment: Presenter seem like a natural. Great topic and had the audience think about the impact of feeding wildlife animals 
Comment: The study was so impressive and fascinating! The dedication, time and effort the student put into the study was so clear.  The commitment to scientific integrity The student discussed was also great to hear. Next time, some kind of visual or what the data collection process or procedures look like writings be a really nice component to add too.
Comment: Emily was very poised during her presentation. Very fascinating work. Wishing her the best in her future endeavors.
Comment: </v>
      </c>
      <c r="K84" t="s">
        <v>4922</v>
      </c>
    </row>
    <row r="85">
      <c r="A85" s="345">
        <v>169.0</v>
      </c>
      <c r="B85" s="346" t="s">
        <v>1335</v>
      </c>
      <c r="C85" s="346" t="s">
        <v>1336</v>
      </c>
      <c r="D85" s="346" t="s">
        <v>4923</v>
      </c>
      <c r="E85" s="346" t="s">
        <v>4149</v>
      </c>
      <c r="F85" s="346" t="s">
        <v>1342</v>
      </c>
      <c r="G85" s="346" t="s">
        <v>764</v>
      </c>
      <c r="H85" s="346" t="s">
        <v>1343</v>
      </c>
      <c r="I85" s="347" t="s">
        <v>1337</v>
      </c>
      <c r="J85" t="str">
        <f>IFERROR(__xludf.DUMMYFUNCTION("IFERROR(
    ARRAYFORMULA(
        JOIN(
            CHAR(10) &amp; CHAR(10),
            ""Comment: "" &amp; FILTER(
                'Scores Import DO NOT EDIT'!N:N, 
                'Scores Import DO NOT EDIT'!D:D = A85
            )
        )
    ), 
    ""No "&amp;"comments yet""
)
"),"Comment: Very nice presentation and very interesting research. 
Comment: Good use of space and visuals. Figures nicely presented. And good ability to field audience questions. 
Comment: 
Comment: Very good presentation. Keep the hard work. ")</f>
        <v>Comment: Very nice presentation and very interesting research. 
Comment: Good use of space and visuals. Figures nicely presented. And good ability to field audience questions. 
Comment: 
Comment: Very good presentation. Keep the hard work. </v>
      </c>
      <c r="K85" t="s">
        <v>4924</v>
      </c>
    </row>
    <row r="86">
      <c r="A86" s="345">
        <v>170.0</v>
      </c>
      <c r="B86" s="346" t="s">
        <v>1344</v>
      </c>
      <c r="C86" s="346" t="s">
        <v>1345</v>
      </c>
      <c r="D86" s="346" t="s">
        <v>1348</v>
      </c>
      <c r="E86" s="346" t="s">
        <v>972</v>
      </c>
      <c r="F86" s="346" t="s">
        <v>973</v>
      </c>
      <c r="G86" s="346" t="s">
        <v>764</v>
      </c>
      <c r="H86" s="346" t="s">
        <v>974</v>
      </c>
      <c r="I86" s="347" t="s">
        <v>1346</v>
      </c>
      <c r="J86" t="str">
        <f>IFERROR(__xludf.DUMMYFUNCTION("IFERROR(
    ARRAYFORMULA(
        JOIN(
            CHAR(10) &amp; CHAR(10),
            ""Comment: "" &amp; FILTER(
                'Scores Import DO NOT EDIT'!N:N, 
                'Scores Import DO NOT EDIT'!D:D = A86
            )
        )
    ), 
    ""No "&amp;"comments yet""
)
"),"Comment: Loads of enthusiasm for her research. Very interesting topic and nicely explained and delivered. 
Comment: Good presentation and good job fielding questions 
Comment: This topic is relevant because conect the plant cell biology and enviromental"&amp;" conditions. My suggestion for the future is just to improve more the methods technology ")</f>
        <v>Comment: Loads of enthusiasm for her research. Very interesting topic and nicely explained and delivered. 
Comment: Good presentation and good job fielding questions 
Comment: This topic is relevant because conect the plant cell biology and enviromental conditions. My suggestion for the future is just to improve more the methods technology </v>
      </c>
      <c r="K86" t="s">
        <v>4925</v>
      </c>
    </row>
    <row r="87">
      <c r="A87" s="345">
        <v>171.0</v>
      </c>
      <c r="B87" s="346" t="s">
        <v>1350</v>
      </c>
      <c r="C87" s="346" t="s">
        <v>1351</v>
      </c>
      <c r="D87" s="346" t="s">
        <v>1354</v>
      </c>
      <c r="E87" s="346" t="s">
        <v>1356</v>
      </c>
      <c r="F87" s="346" t="s">
        <v>1062</v>
      </c>
      <c r="G87" s="346" t="s">
        <v>764</v>
      </c>
      <c r="H87" s="346" t="s">
        <v>1357</v>
      </c>
      <c r="I87" s="347" t="s">
        <v>1352</v>
      </c>
      <c r="J87" t="str">
        <f>IFERROR(__xludf.DUMMYFUNCTION("IFERROR(
    ARRAYFORMULA(
        JOIN(
            CHAR(10) &amp; CHAR(10),
            ""Comment: "" &amp; FILTER(
                'Scores Import DO NOT EDIT'!N:N, 
                'Scores Import DO NOT EDIT'!D:D = A87
            )
        )
    ), 
    ""No "&amp;"comments yet""
)
"),"Comment: Great presentation - shows good understanding of the material presented — the figures are dense however and should spend a little more time going through them
Comment: Very interesting and novel topic. Well presented and organized. 
Comment: Gr"&amp;"eat research with advanced and power  techniques. I suggest more clarity in your scientific impact.")</f>
        <v>Comment: Great presentation - shows good understanding of the material presented — the figures are dense however and should spend a little more time going through them
Comment: Very interesting and novel topic. Well presented and organized. 
Comment: Great research with advanced and power  techniques. I suggest more clarity in your scientific impact.</v>
      </c>
      <c r="K87" t="s">
        <v>4926</v>
      </c>
    </row>
    <row r="88">
      <c r="A88" s="345">
        <v>172.0</v>
      </c>
      <c r="B88" s="346" t="s">
        <v>1358</v>
      </c>
      <c r="C88" s="346" t="s">
        <v>1359</v>
      </c>
      <c r="D88" s="346" t="s">
        <v>4927</v>
      </c>
      <c r="E88" s="346" t="s">
        <v>1364</v>
      </c>
      <c r="F88" s="346" t="s">
        <v>1365</v>
      </c>
      <c r="G88" s="346" t="s">
        <v>764</v>
      </c>
      <c r="H88" s="346" t="s">
        <v>1366</v>
      </c>
      <c r="I88" s="347" t="s">
        <v>1360</v>
      </c>
      <c r="J88" t="str">
        <f>IFERROR(__xludf.DUMMYFUNCTION("IFERROR(
    ARRAYFORMULA(
        JOIN(
            CHAR(10) &amp; CHAR(10),
            ""Comment: "" &amp; FILTER(
                'Scores Import DO NOT EDIT'!N:N, 
                'Scores Import DO NOT EDIT'!D:D = A88
            )
        )
    ), 
    ""No "&amp;"comments yet""
)
"),"Comment: N/a
Comment: Very in-depth research with important implications for drug discovery 
Nicely presented and informative 
Comment: Great presentation the graduate student is proficient in the research. My suggestion for the future is to show more t"&amp;"he impact of the result in others parasites and correlate some results in humans comparing the differences between the species.")</f>
        <v>Comment: N/a
Comment: Very in-depth research with important implications for drug discovery 
Nicely presented and informative 
Comment: Great presentation the graduate student is proficient in the research. My suggestion for the future is to show more the impact of the result in others parasites and correlate some results in humans comparing the differences between the species.</v>
      </c>
      <c r="K88" t="s">
        <v>4928</v>
      </c>
    </row>
    <row r="89">
      <c r="A89" s="345">
        <v>173.0</v>
      </c>
      <c r="B89" s="346" t="s">
        <v>1367</v>
      </c>
      <c r="C89" s="346" t="s">
        <v>1368</v>
      </c>
      <c r="D89" s="346" t="s">
        <v>1371</v>
      </c>
      <c r="E89" s="346" t="s">
        <v>1373</v>
      </c>
      <c r="F89" s="346" t="s">
        <v>1374</v>
      </c>
      <c r="G89" s="346" t="s">
        <v>1376</v>
      </c>
      <c r="H89" s="346" t="s">
        <v>1375</v>
      </c>
      <c r="I89" s="347" t="s">
        <v>1369</v>
      </c>
      <c r="J89" t="str">
        <f>IFERROR(__xludf.DUMMYFUNCTION("IFERROR(
    ARRAYFORMULA(
        JOIN(
            CHAR(10) &amp; CHAR(10),
            ""Comment: "" &amp; FILTER(
                'Scores Import DO NOT EDIT'!N:N, 
                'Scores Import DO NOT EDIT'!D:D = A89
            )
        )
    ), 
    ""No "&amp;"comments yet""
)
"),"Comment: Incredible work and research. Very nicely presented!!!
Comment: 
Comment: N/a")</f>
        <v>Comment: Incredible work and research. Very nicely presented!!!
Comment: 
Comment: N/a</v>
      </c>
      <c r="K89" t="s">
        <v>4929</v>
      </c>
    </row>
    <row r="90">
      <c r="A90" s="345">
        <v>174.0</v>
      </c>
      <c r="B90" s="346" t="s">
        <v>1378</v>
      </c>
      <c r="C90" s="346" t="s">
        <v>1379</v>
      </c>
      <c r="D90" s="346" t="s">
        <v>1382</v>
      </c>
      <c r="E90" s="346" t="s">
        <v>1089</v>
      </c>
      <c r="F90" s="346" t="s">
        <v>1384</v>
      </c>
      <c r="G90" s="346" t="s">
        <v>764</v>
      </c>
      <c r="H90" s="346" t="s">
        <v>1385</v>
      </c>
      <c r="I90" s="347" t="s">
        <v>1380</v>
      </c>
      <c r="J90" t="str">
        <f>IFERROR(__xludf.DUMMYFUNCTION("IFERROR(
    ARRAYFORMULA(
        JOIN(
            CHAR(10) &amp; CHAR(10),
            ""Comment: "" &amp; FILTER(
                'Scores Import DO NOT EDIT'!N:N, 
                'Scores Import DO NOT EDIT'!D:D = A90
            )
        )
    ), 
    ""No "&amp;"comments yet""
)
"),"Comment: Great Presentation Faith! you interacted with the audience which is great, Good job with your research. 
Comment: Very interesting work. Keep it up! Consider formulating a research hypothesis for your work ")</f>
        <v>Comment: Great Presentation Faith! you interacted with the audience which is great, Good job with your research. 
Comment: Very interesting work. Keep it up! Consider formulating a research hypothesis for your work </v>
      </c>
      <c r="K90" t="s">
        <v>4930</v>
      </c>
    </row>
    <row r="91">
      <c r="A91" s="345">
        <v>175.0</v>
      </c>
      <c r="B91" s="346" t="s">
        <v>1386</v>
      </c>
      <c r="C91" s="346" t="s">
        <v>1387</v>
      </c>
      <c r="D91" s="346" t="s">
        <v>1390</v>
      </c>
      <c r="E91" s="346" t="s">
        <v>1392</v>
      </c>
      <c r="F91" s="346" t="s">
        <v>1393</v>
      </c>
      <c r="G91" s="346" t="s">
        <v>764</v>
      </c>
      <c r="H91" s="346" t="s">
        <v>1394</v>
      </c>
      <c r="I91" s="347" t="s">
        <v>1388</v>
      </c>
      <c r="J91" t="str">
        <f>IFERROR(__xludf.DUMMYFUNCTION("IFERROR(
    ARRAYFORMULA(
        JOIN(
            CHAR(10) &amp; CHAR(10),
            ""Comment: "" &amp; FILTER(
                'Scores Import DO NOT EDIT'!N:N, 
                'Scores Import DO NOT EDIT'!D:D = A91
            )
        )
    ), 
    ""No "&amp;"comments yet""
)
"),"Comment: Great job Jennifer, 
Note: Be confident, you know your work. It is your research and you have done exceedingly well. 
Comment: Nice work, keep it up. You may want to deep into the theory of your work")</f>
        <v>Comment: Great job Jennifer, 
Note: Be confident, you know your work. It is your research and you have done exceedingly well. 
Comment: Nice work, keep it up. You may want to deep into the theory of your work</v>
      </c>
      <c r="K91" t="s">
        <v>4931</v>
      </c>
    </row>
    <row r="92">
      <c r="A92" s="345">
        <v>176.0</v>
      </c>
      <c r="B92" s="346" t="s">
        <v>1395</v>
      </c>
      <c r="C92" s="346" t="s">
        <v>1396</v>
      </c>
      <c r="D92" s="346" t="s">
        <v>1399</v>
      </c>
      <c r="E92" s="346" t="s">
        <v>1159</v>
      </c>
      <c r="F92" s="346" t="s">
        <v>1401</v>
      </c>
      <c r="G92" s="346" t="s">
        <v>764</v>
      </c>
      <c r="H92" s="346" t="s">
        <v>1402</v>
      </c>
      <c r="I92" s="347" t="s">
        <v>1397</v>
      </c>
      <c r="J92" t="str">
        <f>IFERROR(__xludf.DUMMYFUNCTION("IFERROR(
    ARRAYFORMULA(
        JOIN(
            CHAR(10) &amp; CHAR(10),
            ""Comment: "" &amp; FILTER(
                'Scores Import DO NOT EDIT'!N:N, 
                'Scores Import DO NOT EDIT'!D:D = A92
            )
        )
    ), 
    ""No "&amp;"comments yet""
)
"),"Comment: Great Job Melanie
Note: Try to engage with your listeners and audience(eye contact) and avoid reading from the device instead use bullet points to help remember chain of thoughts and also use your slides and or presentations as a guide. 
Introduc"&amp;"e terminologies- not everyone in the audience are conversant with some of the terminologies used because they are from different fields. 
Comment: Nice presentation, keep up the good work. I hope you enjoyed the research activities in your project")</f>
        <v>Comment: Great Job Melanie
Note: Try to engage with your listeners and audience(eye contact) and avoid reading from the device instead use bullet points to help remember chain of thoughts and also use your slides and or presentations as a guide. 
Introduce terminologies- not everyone in the audience are conversant with some of the terminologies used because they are from different fields. 
Comment: Nice presentation, keep up the good work. I hope you enjoyed the research activities in your project</v>
      </c>
      <c r="K92" t="s">
        <v>4932</v>
      </c>
    </row>
    <row r="93">
      <c r="A93" s="345">
        <v>177.0</v>
      </c>
      <c r="B93" s="346" t="s">
        <v>4933</v>
      </c>
      <c r="C93" s="346" t="s">
        <v>1404</v>
      </c>
      <c r="D93" s="346" t="s">
        <v>1407</v>
      </c>
      <c r="E93" s="346" t="s">
        <v>930</v>
      </c>
      <c r="F93" s="346" t="s">
        <v>1410</v>
      </c>
      <c r="G93" s="346" t="s">
        <v>764</v>
      </c>
      <c r="H93" s="346" t="s">
        <v>1411</v>
      </c>
      <c r="I93" s="347" t="s">
        <v>1405</v>
      </c>
      <c r="J93" t="str">
        <f>IFERROR(__xludf.DUMMYFUNCTION("IFERROR(
    ARRAYFORMULA(
        JOIN(
            CHAR(10) &amp; CHAR(10),
            ""Comment: "" &amp; FILTER(
                'Scores Import DO NOT EDIT'!N:N, 
                'Scores Import DO NOT EDIT'!D:D = A93
            )
        )
    ), 
    ""No "&amp;"comments yet""
)
"),"Comment: Great job Molly!
Your presentation skills are phenomenal, You interact with your audience and break down terminologies. Good job! I applaud your efforts
Comment: Great work, keep it up. Think about the future possibilities for applications")</f>
        <v>Comment: Great job Molly!
Your presentation skills are phenomenal, You interact with your audience and break down terminologies. Good job! I applaud your efforts
Comment: Great work, keep it up. Think about the future possibilities for applications</v>
      </c>
      <c r="K93" t="s">
        <v>4934</v>
      </c>
    </row>
    <row r="94">
      <c r="A94" s="345">
        <v>178.0</v>
      </c>
      <c r="B94" s="346" t="s">
        <v>1089</v>
      </c>
      <c r="C94" s="346" t="s">
        <v>4935</v>
      </c>
      <c r="D94" s="346" t="s">
        <v>1414</v>
      </c>
      <c r="E94" s="346" t="s">
        <v>1673</v>
      </c>
      <c r="F94" s="346" t="s">
        <v>1674</v>
      </c>
      <c r="G94" s="346" t="s">
        <v>764</v>
      </c>
      <c r="H94" s="346" t="s">
        <v>1418</v>
      </c>
      <c r="I94" s="347" t="s">
        <v>1413</v>
      </c>
      <c r="J94" t="str">
        <f>IFERROR(__xludf.DUMMYFUNCTION("IFERROR(
    ARRAYFORMULA(
        JOIN(
            CHAR(10) &amp; CHAR(10),
            ""Comment: "" &amp; FILTER(
                'Scores Import DO NOT EDIT'!N:N, 
                'Scores Import DO NOT EDIT'!D:D = A94
            )
        )
    ), 
    ""No "&amp;"comments yet""
)
"),"Comment: Excellent presentation. Confident delivery, showed mastery in addressing questions. Navigated us through a lot of data swiftly. 
Comment: Good Presentation. ")</f>
        <v>Comment: Excellent presentation. Confident delivery, showed mastery in addressing questions. Navigated us through a lot of data swiftly. 
Comment: Good Presentation. </v>
      </c>
      <c r="K94" t="s">
        <v>4936</v>
      </c>
    </row>
    <row r="95">
      <c r="A95" s="345">
        <v>179.0</v>
      </c>
      <c r="B95" s="346" t="s">
        <v>1419</v>
      </c>
      <c r="C95" s="346" t="s">
        <v>1420</v>
      </c>
      <c r="D95" s="346" t="s">
        <v>4937</v>
      </c>
      <c r="E95" s="346" t="s">
        <v>1425</v>
      </c>
      <c r="F95" s="346" t="s">
        <v>4938</v>
      </c>
      <c r="G95" s="347" t="s">
        <v>753</v>
      </c>
      <c r="H95" s="347" t="s">
        <v>1427</v>
      </c>
      <c r="I95" s="347" t="s">
        <v>1421</v>
      </c>
      <c r="J95" t="str">
        <f>IFERROR(__xludf.DUMMYFUNCTION("IFERROR(
    ARRAYFORMULA(
        JOIN(
            CHAR(10) &amp; CHAR(10),
            ""Comment: "" &amp; FILTER(
                'Scores Import DO NOT EDIT'!N:N, 
                'Scores Import DO NOT EDIT'!D:D = A95
            )
        )
    ), 
    ""No "&amp;"comments yet""
)
"),"Comment: An important and potentially lifesaving issue deserving of rigorous scholarship and attention. The presenter was clear, confident, calm, and capable. I learned a great deal and thoroughly enjoyed it!
Comment: Interesting topic. I appreciate  the"&amp;" clarity on what your recommendations would be on both the improvement of assessing homelessness and the availability of sanitation. ")</f>
        <v>Comment: An important and potentially lifesaving issue deserving of rigorous scholarship and attention. The presenter was clear, confident, calm, and capable. I learned a great deal and thoroughly enjoyed it!
Comment: Interesting topic. I appreciate  the clarity on what your recommendations would be on both the improvement of assessing homelessness and the availability of sanitation. </v>
      </c>
      <c r="K95" t="s">
        <v>4939</v>
      </c>
    </row>
    <row r="96">
      <c r="A96" s="345">
        <v>180.0</v>
      </c>
      <c r="B96" s="346" t="s">
        <v>1428</v>
      </c>
      <c r="C96" s="346" t="s">
        <v>1429</v>
      </c>
      <c r="D96" s="346" t="s">
        <v>1431</v>
      </c>
      <c r="E96" s="346" t="s">
        <v>1332</v>
      </c>
      <c r="F96" s="346" t="s">
        <v>1333</v>
      </c>
      <c r="G96" s="346" t="s">
        <v>784</v>
      </c>
      <c r="H96" s="346" t="s">
        <v>1334</v>
      </c>
      <c r="I96" s="347" t="s">
        <v>1430</v>
      </c>
      <c r="J96" t="str">
        <f>IFERROR(__xludf.DUMMYFUNCTION("IFERROR(
    ARRAYFORMULA(
        JOIN(
            CHAR(10) &amp; CHAR(10),
            ""Comment: "" &amp; FILTER(
                'Scores Import DO NOT EDIT'!N:N, 
                'Scores Import DO NOT EDIT'!D:D = A96
            )
        )
    ), 
    ""No "&amp;"comments yet""
)
"),"Comment: ")</f>
        <v>Comment: </v>
      </c>
      <c r="K96" t="s">
        <v>4835</v>
      </c>
    </row>
    <row r="97">
      <c r="A97" s="345">
        <v>181.0</v>
      </c>
      <c r="B97" s="346" t="s">
        <v>1433</v>
      </c>
      <c r="C97" s="346" t="s">
        <v>1434</v>
      </c>
      <c r="D97" s="346" t="s">
        <v>1437</v>
      </c>
      <c r="E97" s="346" t="s">
        <v>1439</v>
      </c>
      <c r="F97" s="346" t="s">
        <v>1440</v>
      </c>
      <c r="G97" s="346" t="s">
        <v>893</v>
      </c>
      <c r="H97" s="346" t="s">
        <v>1441</v>
      </c>
      <c r="I97" s="347" t="s">
        <v>1435</v>
      </c>
      <c r="J97" t="str">
        <f>IFERROR(__xludf.DUMMYFUNCTION("IFERROR(
    ARRAYFORMULA(
        JOIN(
            CHAR(10) &amp; CHAR(10),
            ""Comment: "" &amp; FILTER(
                'Scores Import DO NOT EDIT'!N:N, 
                'Scores Import DO NOT EDIT'!D:D = A97
            )
        )
    ), 
    ""No "&amp;"comments yet""
)
"),"Comment: The presenter is clearly knowledgeable about this subject domain and demonstrated understanding of a wide array of extant literature. Given the substantial corpus of work in this arena, it isn’t clear how original or impactful this particular stu"&amp;"dy is. This isn’t my field of expertise, so I can’t speak to those items. The lack of consent issue described sounds quite detrimental. Recognizing this was outside of the control of the presenter, I wonder if a second opportunity to present when she is f"&amp;"urther down the road would be beneficial. 
Comment: ")</f>
        <v>Comment: The presenter is clearly knowledgeable about this subject domain and demonstrated understanding of a wide array of extant literature. Given the substantial corpus of work in this arena, it isn’t clear how original or impactful this particular study is. This isn’t my field of expertise, so I can’t speak to those items. The lack of consent issue described sounds quite detrimental. Recognizing this was outside of the control of the presenter, I wonder if a second opportunity to present when she is further down the road would be beneficial. 
Comment: </v>
      </c>
      <c r="K97" t="s">
        <v>4940</v>
      </c>
    </row>
    <row r="98">
      <c r="A98" s="345">
        <v>182.0</v>
      </c>
      <c r="B98" s="346" t="s">
        <v>1442</v>
      </c>
      <c r="C98" s="346" t="s">
        <v>1443</v>
      </c>
      <c r="D98" s="346" t="s">
        <v>1446</v>
      </c>
      <c r="E98" s="346" t="s">
        <v>1448</v>
      </c>
      <c r="F98" s="346" t="s">
        <v>1449</v>
      </c>
      <c r="G98" s="346" t="s">
        <v>893</v>
      </c>
      <c r="H98" s="346" t="s">
        <v>1450</v>
      </c>
      <c r="I98" s="347" t="s">
        <v>1444</v>
      </c>
      <c r="J98" t="str">
        <f>IFERROR(__xludf.DUMMYFUNCTION("IFERROR(
    ARRAYFORMULA(
        JOIN(
            CHAR(10) &amp; CHAR(10),
            ""Comment: "" &amp; FILTER(
                'Scores Import DO NOT EDIT'!N:N, 
                'Scores Import DO NOT EDIT'!D:D = A98
            )
        )
    ), 
    ""No "&amp;"comments yet""
)
"),"Comment: Phenomenal presentation. She was extremely well prepared, clear and confident. Her study appears well constructed and meaningful. This was one of the very best presentations of the day. Well done!
Comment: Very good presentation. While this is n"&amp;"ot my field of study I was able to follow along very easily. 
")</f>
        <v>Comment: Phenomenal presentation. She was extremely well prepared, clear and confident. Her study appears well constructed and meaningful. This was one of the very best presentations of the day. Well done!
Comment: Very good presentation. While this is not my field of study I was able to follow along very easily. 
</v>
      </c>
      <c r="K98" t="s">
        <v>4941</v>
      </c>
    </row>
    <row r="99">
      <c r="A99" s="345">
        <v>183.0</v>
      </c>
      <c r="B99" s="346" t="s">
        <v>1451</v>
      </c>
      <c r="C99" s="346" t="s">
        <v>1452</v>
      </c>
      <c r="D99" s="346" t="s">
        <v>1455</v>
      </c>
      <c r="E99" s="346" t="s">
        <v>1460</v>
      </c>
      <c r="F99" s="346" t="s">
        <v>1461</v>
      </c>
      <c r="G99" s="346" t="s">
        <v>1457</v>
      </c>
      <c r="H99" s="346" t="s">
        <v>1462</v>
      </c>
      <c r="I99" s="347" t="s">
        <v>1453</v>
      </c>
      <c r="J99" t="str">
        <f>IFERROR(__xludf.DUMMYFUNCTION("IFERROR(
    ARRAYFORMULA(
        JOIN(
            CHAR(10) &amp; CHAR(10),
            ""Comment: "" &amp; FILTER(
                'Scores Import DO NOT EDIT'!N:N, 
                'Scores Import DO NOT EDIT'!D:D = A99
            )
        )
    ), 
    ""No "&amp;"comments yet""
)
"),"Comment: Great Presentation. Identifying a gap in the literature and finding a way to fill that gap. Well organized and clearly presented. ")</f>
        <v>Comment: Great Presentation. Identifying a gap in the literature and finding a way to fill that gap. Well organized and clearly presented. </v>
      </c>
      <c r="K99" t="s">
        <v>4942</v>
      </c>
    </row>
    <row r="100">
      <c r="A100" s="345">
        <v>184.0</v>
      </c>
      <c r="B100" s="346" t="s">
        <v>1463</v>
      </c>
      <c r="C100" s="346" t="s">
        <v>1464</v>
      </c>
      <c r="D100" s="346" t="s">
        <v>1467</v>
      </c>
      <c r="E100" s="346" t="s">
        <v>1469</v>
      </c>
      <c r="F100" s="346" t="s">
        <v>1470</v>
      </c>
      <c r="G100" s="346" t="s">
        <v>764</v>
      </c>
      <c r="H100" s="346" t="s">
        <v>1471</v>
      </c>
      <c r="I100" s="347" t="s">
        <v>1465</v>
      </c>
      <c r="J100" t="str">
        <f>IFERROR(__xludf.DUMMYFUNCTION("IFERROR(
    ARRAYFORMULA(
        JOIN(
            CHAR(10) &amp; CHAR(10),
            ""Comment: "" &amp; FILTER(
                'Scores Import DO NOT EDIT'!N:N, 
                'Scores Import DO NOT EDIT'!D:D = A100
            )
        )
    ), 
    ""No"&amp;" comments yet""
)
"),"Comment: Very interesting presentation. Look forward to results!
Comment: Overall an excellent talk. Might give a sentence upfront to clue audience that snakes will be the ultimate topic of research. Very poised and clear speaker. Look forward to your da"&amp;"ta analysis. 
Comment: 
Comment: Great job")</f>
        <v>Comment: Very interesting presentation. Look forward to results!
Comment: Overall an excellent talk. Might give a sentence upfront to clue audience that snakes will be the ultimate topic of research. Very poised and clear speaker. Look forward to your data analysis. 
Comment: 
Comment: Great job</v>
      </c>
      <c r="K100" t="s">
        <v>4943</v>
      </c>
    </row>
    <row r="101">
      <c r="A101" s="345">
        <v>185.0</v>
      </c>
      <c r="B101" s="346" t="s">
        <v>1472</v>
      </c>
      <c r="C101" s="346" t="s">
        <v>1473</v>
      </c>
      <c r="D101" s="346" t="s">
        <v>1475</v>
      </c>
      <c r="E101" s="346" t="s">
        <v>1332</v>
      </c>
      <c r="F101" s="346" t="s">
        <v>1333</v>
      </c>
      <c r="G101" s="346" t="s">
        <v>784</v>
      </c>
      <c r="H101" s="346" t="s">
        <v>1334</v>
      </c>
      <c r="I101" s="347" t="s">
        <v>1474</v>
      </c>
      <c r="J101" t="str">
        <f>IFERROR(__xludf.DUMMYFUNCTION("IFERROR(
    ARRAYFORMULA(
        JOIN(
            CHAR(10) &amp; CHAR(10),
            ""Comment: "" &amp; FILTER(
                'Scores Import DO NOT EDIT'!N:N, 
                'Scores Import DO NOT EDIT'!D:D = A101
            )
        )
    ), 
    ""No"&amp;" comments yet""
)
"),"Comment: Very nice talk with wonderful images. Larger size and reduced length of text might improve slides. A little more detail on how assessment was done would be helpful. Excellent ability to answer questions. 
Comment: Try to use slides for prompts i"&amp;"nstead of reading from computer. Interesting problem. 
Comment: 
Comment: ")</f>
        <v>Comment: Very nice talk with wonderful images. Larger size and reduced length of text might improve slides. A little more detail on how assessment was done would be helpful. Excellent ability to answer questions. 
Comment: Try to use slides for prompts instead of reading from computer. Interesting problem. 
Comment: 
Comment: </v>
      </c>
      <c r="K101" t="s">
        <v>4944</v>
      </c>
    </row>
    <row r="102">
      <c r="A102" s="345">
        <v>186.0</v>
      </c>
      <c r="B102" s="346" t="s">
        <v>1477</v>
      </c>
      <c r="C102" s="346" t="s">
        <v>1478</v>
      </c>
      <c r="D102" s="346" t="s">
        <v>1481</v>
      </c>
      <c r="E102" s="346" t="s">
        <v>1483</v>
      </c>
      <c r="F102" s="346" t="s">
        <v>1484</v>
      </c>
      <c r="G102" s="346" t="s">
        <v>764</v>
      </c>
      <c r="H102" s="346" t="s">
        <v>1485</v>
      </c>
      <c r="I102" s="347" t="s">
        <v>1479</v>
      </c>
      <c r="J102" t="str">
        <f>IFERROR(__xludf.DUMMYFUNCTION("IFERROR(
    ARRAYFORMULA(
        JOIN(
            CHAR(10) &amp; CHAR(10),
            ""Comment: "" &amp; FILTER(
                'Scores Import DO NOT EDIT'!N:N, 
                'Scores Import DO NOT EDIT'!D:D = A102
            )
        )
    ), 
    ""No"&amp;" comments yet""
)
"),"Comment: 
Comment: Very important problem. Surprising results. 
Comment: A lot of information for a short talk but very well presented and very interesting methodology. Would be good to think more deeply about the human implications and importance of th"&amp;"e overall conclusions. 
Comment: ")</f>
        <v>Comment: 
Comment: Very important problem. Surprising results. 
Comment: A lot of information for a short talk but very well presented and very interesting methodology. Would be good to think more deeply about the human implications and importance of the overall conclusions. 
Comment: </v>
      </c>
      <c r="K102" t="s">
        <v>4945</v>
      </c>
    </row>
    <row r="103">
      <c r="A103" s="345">
        <v>187.0</v>
      </c>
      <c r="B103" s="346" t="s">
        <v>1486</v>
      </c>
      <c r="C103" s="346" t="s">
        <v>1487</v>
      </c>
      <c r="D103" s="346" t="s">
        <v>1490</v>
      </c>
      <c r="E103" s="346" t="s">
        <v>1492</v>
      </c>
      <c r="F103" s="346" t="s">
        <v>1493</v>
      </c>
      <c r="G103" s="346" t="s">
        <v>764</v>
      </c>
      <c r="H103" s="346" t="s">
        <v>1494</v>
      </c>
      <c r="I103" s="347" t="s">
        <v>1488</v>
      </c>
      <c r="J103" t="str">
        <f>IFERROR(__xludf.DUMMYFUNCTION("IFERROR(
    ARRAYFORMULA(
        JOIN(
            CHAR(10) &amp; CHAR(10),
            ""Comment: "" &amp; FILTER(
                'Scores Import DO NOT EDIT'!N:N, 
                'Scores Import DO NOT EDIT'!D:D = A103
            )
        )
    ), 
    ""No"&amp;" comments yet""
)
"),"Comment: 
Comment: Nice presentation!
Comment: Very impressive understanding and work!
Comment: Seemed very intuitive with problem solving purification issues")</f>
        <v>Comment: 
Comment: Nice presentation!
Comment: Very impressive understanding and work!
Comment: Seemed very intuitive with problem solving purification issues</v>
      </c>
      <c r="K103" t="s">
        <v>4946</v>
      </c>
    </row>
    <row r="104">
      <c r="A104" s="349">
        <v>188.0</v>
      </c>
      <c r="B104" s="346" t="s">
        <v>1495</v>
      </c>
      <c r="C104" s="346" t="s">
        <v>1496</v>
      </c>
      <c r="D104" s="346" t="s">
        <v>1499</v>
      </c>
      <c r="E104" s="346" t="s">
        <v>788</v>
      </c>
      <c r="F104" s="346" t="s">
        <v>1501</v>
      </c>
      <c r="G104" s="346" t="s">
        <v>784</v>
      </c>
      <c r="H104" s="346" t="s">
        <v>1502</v>
      </c>
      <c r="I104" s="347" t="s">
        <v>1497</v>
      </c>
      <c r="J104" t="str">
        <f>IFERROR(__xludf.DUMMYFUNCTION("IFERROR(
    ARRAYFORMULA(
        JOIN(
            CHAR(10) &amp; CHAR(10),
            ""Comment: "" &amp; FILTER(
                'Scores Import DO NOT EDIT'!N:N, 
                'Scores Import DO NOT EDIT'!D:D = A104
            )
        )
    ), 
    ""No"&amp;" comments yet""
)
"),"No comments yet")</f>
        <v>No comments yet</v>
      </c>
      <c r="K104" t="s">
        <v>4820</v>
      </c>
    </row>
    <row r="105">
      <c r="A105" s="345">
        <v>189.0</v>
      </c>
      <c r="B105" s="346" t="s">
        <v>1503</v>
      </c>
      <c r="C105" s="346" t="s">
        <v>1504</v>
      </c>
      <c r="D105" s="346" t="s">
        <v>1507</v>
      </c>
      <c r="E105" s="346" t="s">
        <v>972</v>
      </c>
      <c r="F105" s="346" t="s">
        <v>973</v>
      </c>
      <c r="G105" s="346" t="s">
        <v>764</v>
      </c>
      <c r="H105" s="346" t="s">
        <v>974</v>
      </c>
      <c r="I105" s="347" t="s">
        <v>1505</v>
      </c>
      <c r="J105" t="str">
        <f>IFERROR(__xludf.DUMMYFUNCTION("IFERROR(
    ARRAYFORMULA(
        JOIN(
            CHAR(10) &amp; CHAR(10),
            ""Comment: "" &amp; FILTER(
                'Scores Import DO NOT EDIT'!N:N, 
                'Scores Import DO NOT EDIT'!D:D = A105
            )
        )
    ), 
    ""No"&amp;" comments yet""
)
"),"Comment: 
Comment: Very well done. Only issue was timing. Also doing stats ahead of time would have been helpful. 
Comment: 
Comment: ")</f>
        <v>Comment: 
Comment: Very well done. Only issue was timing. Also doing stats ahead of time would have been helpful. 
Comment: 
Comment: </v>
      </c>
      <c r="K105" t="s">
        <v>4947</v>
      </c>
    </row>
    <row r="106">
      <c r="A106" s="345">
        <v>190.0</v>
      </c>
      <c r="B106" s="346" t="s">
        <v>1510</v>
      </c>
      <c r="C106" s="346" t="s">
        <v>1511</v>
      </c>
      <c r="D106" s="346" t="s">
        <v>1513</v>
      </c>
      <c r="E106" s="346" t="s">
        <v>1067</v>
      </c>
      <c r="F106" s="346" t="s">
        <v>1068</v>
      </c>
      <c r="G106" s="346" t="s">
        <v>784</v>
      </c>
      <c r="H106" s="346" t="s">
        <v>1069</v>
      </c>
      <c r="I106" s="347" t="s">
        <v>1512</v>
      </c>
      <c r="J106" t="str">
        <f>IFERROR(__xludf.DUMMYFUNCTION("IFERROR(
    ARRAYFORMULA(
        JOIN(
            CHAR(10) &amp; CHAR(10),
            ""Comment: "" &amp; FILTER(
                'Scores Import DO NOT EDIT'!N:N, 
                'Scores Import DO NOT EDIT'!D:D = A106
            )
        )
    ), 
    ""No"&amp;" comments yet""
)
"),"Comment: Wow! Such an excellent research that uses crucial theoretical frameworks to understand the activism of Black women regarding their involvement in press in Canada. My suggestion is about structural organization. For future revisions, presenting th"&amp;"rough the stories of these women would strengthen the argument more and would help the flow of the presentation.
Comment: 
Comment: Outstanding presentation on such an important topic! I would like to have heard a bit more about the data you collected a"&amp;"nd analyzed during your Fulbright fellowship.
Comment: Excellent. Clear and presented within time limit.
Comment: Very comprehensive subject material which was delivered very seamlessly. ")</f>
        <v>Comment: Wow! Such an excellent research that uses crucial theoretical frameworks to understand the activism of Black women regarding their involvement in press in Canada. My suggestion is about structural organization. For future revisions, presenting through the stories of these women would strengthen the argument more and would help the flow of the presentation.
Comment: 
Comment: Outstanding presentation on such an important topic! I would like to have heard a bit more about the data you collected and analyzed during your Fulbright fellowship.
Comment: Excellent. Clear and presented within time limit.
Comment: Very comprehensive subject material which was delivered very seamlessly. </v>
      </c>
      <c r="K106" t="s">
        <v>4948</v>
      </c>
    </row>
    <row r="107">
      <c r="A107" s="345">
        <v>191.0</v>
      </c>
      <c r="B107" s="346" t="s">
        <v>1515</v>
      </c>
      <c r="C107" s="346" t="s">
        <v>1516</v>
      </c>
      <c r="D107" s="346" t="s">
        <v>1519</v>
      </c>
      <c r="E107" s="346" t="s">
        <v>1067</v>
      </c>
      <c r="F107" s="346" t="s">
        <v>1068</v>
      </c>
      <c r="G107" s="346" t="s">
        <v>784</v>
      </c>
      <c r="H107" s="346" t="s">
        <v>1069</v>
      </c>
      <c r="I107" s="347" t="s">
        <v>1517</v>
      </c>
      <c r="J107" t="str">
        <f>IFERROR(__xludf.DUMMYFUNCTION("IFERROR(
    ARRAYFORMULA(
        JOIN(
            CHAR(10) &amp; CHAR(10),
            ""Comment: "" &amp; FILTER(
                'Scores Import DO NOT EDIT'!N:N, 
                'Scores Import DO NOT EDIT'!D:D = A107
            )
        )
    ), 
    ""No"&amp;" comments yet""
)
"),"Comment: This is such an inspiring presentation that sheds light on some of the most pressing questions we experience. For future revisions, I would suggest spending less time on the background and more time on the actual research subject. 
Comment: 
Co"&amp;"mment: Such a fascinating topic! I would like to have heard more about how your study of Manea has impacted your own creative writing.
Comment: 
Comment: ")</f>
        <v>Comment: This is such an inspiring presentation that sheds light on some of the most pressing questions we experience. For future revisions, I would suggest spending less time on the background and more time on the actual research subject. 
Comment: 
Comment: Such a fascinating topic! I would like to have heard more about how your study of Manea has impacted your own creative writing.
Comment: 
Comment: </v>
      </c>
      <c r="K107" t="s">
        <v>4949</v>
      </c>
    </row>
    <row r="108">
      <c r="A108" s="345">
        <v>192.0</v>
      </c>
      <c r="B108" s="346" t="s">
        <v>1521</v>
      </c>
      <c r="C108" s="346" t="s">
        <v>1522</v>
      </c>
      <c r="D108" s="346" t="s">
        <v>1525</v>
      </c>
      <c r="E108" s="346" t="s">
        <v>1067</v>
      </c>
      <c r="F108" s="346" t="s">
        <v>1068</v>
      </c>
      <c r="G108" s="346" t="s">
        <v>784</v>
      </c>
      <c r="H108" s="346" t="s">
        <v>1069</v>
      </c>
      <c r="I108" s="347" t="s">
        <v>1523</v>
      </c>
      <c r="J108" t="str">
        <f>IFERROR(__xludf.DUMMYFUNCTION("IFERROR(
    ARRAYFORMULA(
        JOIN(
            CHAR(10) &amp; CHAR(10),
            ""Comment: "" &amp; FILTER(
                'Scores Import DO NOT EDIT'!N:N, 
                'Scores Import DO NOT EDIT'!D:D = A108
            )
        )
    ), 
    ""No"&amp;" comments yet""
)
"),"Comment: An exemplary scholarship that offers conceptual tools for future scholarship! A fantastic way of bringing together theory and stories. 
Comment: Excellent presentation on a stimulating topic! I would like to have heard a bit more about how your "&amp;"studies of embodiment theory impact your interpretation of other primary sources.
Comment: 
Comment: An interesting view of a leader and personality. Well presented.
Comment: Read from note cards which I felt took away from direct eye contact from targ"&amp;"et audience. ")</f>
        <v>Comment: An exemplary scholarship that offers conceptual tools for future scholarship! A fantastic way of bringing together theory and stories. 
Comment: Excellent presentation on a stimulating topic! I would like to have heard a bit more about how your studies of embodiment theory impact your interpretation of other primary sources.
Comment: 
Comment: An interesting view of a leader and personality. Well presented.
Comment: Read from note cards which I felt took away from direct eye contact from target audience. </v>
      </c>
      <c r="K108" t="s">
        <v>4950</v>
      </c>
    </row>
    <row r="109">
      <c r="A109" s="345">
        <v>193.0</v>
      </c>
      <c r="B109" s="346" t="s">
        <v>912</v>
      </c>
      <c r="C109" s="346" t="s">
        <v>1528</v>
      </c>
      <c r="D109" s="346" t="s">
        <v>1531</v>
      </c>
      <c r="E109" s="346" t="s">
        <v>1067</v>
      </c>
      <c r="F109" s="346" t="s">
        <v>1068</v>
      </c>
      <c r="G109" s="346" t="s">
        <v>784</v>
      </c>
      <c r="H109" s="346" t="s">
        <v>1069</v>
      </c>
      <c r="I109" s="347" t="s">
        <v>1529</v>
      </c>
      <c r="J109" t="str">
        <f>IFERROR(__xludf.DUMMYFUNCTION("IFERROR(
    ARRAYFORMULA(
        JOIN(
            CHAR(10) &amp; CHAR(10),
            ""Comment: "" &amp; FILTER(
                'Scores Import DO NOT EDIT'!N:N, 
                'Scores Import DO NOT EDIT'!D:D = A109
            )
        )
    ), 
    ""No"&amp;" comments yet""
)
"),"Comment: Excellent presentation on a fascinating topic!
Comment: 
Comment: I especially loved the clarity, the structure, and the interdisciplinary aspect of the presentation. Also, such a timely topic on a crucial subject! The presenter has a very deep"&amp;" understanding of their research subject. 
Comment: 
Comment: ")</f>
        <v>Comment: Excellent presentation on a fascinating topic!
Comment: 
Comment: I especially loved the clarity, the structure, and the interdisciplinary aspect of the presentation. Also, such a timely topic on a crucial subject! The presenter has a very deep understanding of their research subject. 
Comment: 
Comment: </v>
      </c>
      <c r="K109" t="s">
        <v>4951</v>
      </c>
    </row>
    <row r="110">
      <c r="A110" s="345">
        <v>194.0</v>
      </c>
      <c r="B110" s="346" t="s">
        <v>861</v>
      </c>
      <c r="C110" s="346" t="s">
        <v>1533</v>
      </c>
      <c r="D110" s="346" t="s">
        <v>1535</v>
      </c>
      <c r="E110" s="346" t="s">
        <v>1102</v>
      </c>
      <c r="F110" s="346" t="s">
        <v>1537</v>
      </c>
      <c r="G110" s="346" t="s">
        <v>784</v>
      </c>
      <c r="H110" s="346" t="s">
        <v>1104</v>
      </c>
      <c r="I110" s="347" t="s">
        <v>1534</v>
      </c>
      <c r="J110" t="str">
        <f>IFERROR(__xludf.DUMMYFUNCTION("IFERROR(
    ARRAYFORMULA(
        JOIN(
            CHAR(10) &amp; CHAR(10),
            ""Comment: "" &amp; FILTER(
                'Scores Import DO NOT EDIT'!N:N, 
                'Scores Import DO NOT EDIT'!D:D = A110
            )
        )
    ), 
    ""No"&amp;" comments yet""
)
"),"Comment: Compelling presentation!
Comment:  A very clear, timely, and sophisticated project! For future revisions, I would suggest a focus on the stories the presenter encountered in the archives (instead of pieces of information from these archives). Al"&amp;"so, engaging with theories in interdisciplinary fields such as ethnic studies and black studies would help the project a lot.
Comment: 
Comment: 
Comment: ")</f>
        <v>Comment: Compelling presentation!
Comment:  A very clear, timely, and sophisticated project! For future revisions, I would suggest a focus on the stories the presenter encountered in the archives (instead of pieces of information from these archives). Also, engaging with theories in interdisciplinary fields such as ethnic studies and black studies would help the project a lot.
Comment: 
Comment: 
Comment: </v>
      </c>
      <c r="K110" t="s">
        <v>4952</v>
      </c>
    </row>
    <row r="111">
      <c r="A111" s="345">
        <v>195.0</v>
      </c>
      <c r="B111" s="346" t="s">
        <v>1538</v>
      </c>
      <c r="C111" s="346" t="s">
        <v>1539</v>
      </c>
      <c r="D111" s="346" t="s">
        <v>1541</v>
      </c>
      <c r="E111" s="346" t="s">
        <v>1085</v>
      </c>
      <c r="F111" s="346" t="s">
        <v>1086</v>
      </c>
      <c r="G111" s="346" t="s">
        <v>784</v>
      </c>
      <c r="H111" s="346" t="s">
        <v>1087</v>
      </c>
      <c r="I111" s="347" t="s">
        <v>1540</v>
      </c>
      <c r="J111" t="str">
        <f>IFERROR(__xludf.DUMMYFUNCTION("IFERROR(
    ARRAYFORMULA(
        JOIN(
            CHAR(10) &amp; CHAR(10),
            ""Comment: "" &amp; FILTER(
                'Scores Import DO NOT EDIT'!N:N, 
                'Scores Import DO NOT EDIT'!D:D = A111
            )
        )
    ), 
    ""No"&amp;" comments yet""
)
"),"Comment: ")</f>
        <v>Comment: </v>
      </c>
      <c r="K111" t="s">
        <v>4835</v>
      </c>
    </row>
    <row r="112">
      <c r="A112" s="345">
        <v>196.0</v>
      </c>
      <c r="B112" s="346" t="s">
        <v>1473</v>
      </c>
      <c r="C112" s="346" t="s">
        <v>1544</v>
      </c>
      <c r="D112" s="346" t="s">
        <v>1547</v>
      </c>
      <c r="E112" s="346" t="s">
        <v>1549</v>
      </c>
      <c r="F112" s="346" t="s">
        <v>1550</v>
      </c>
      <c r="G112" s="346" t="s">
        <v>764</v>
      </c>
      <c r="H112" s="346" t="s">
        <v>1551</v>
      </c>
      <c r="I112" s="347" t="s">
        <v>1545</v>
      </c>
      <c r="J112" t="str">
        <f>IFERROR(__xludf.DUMMYFUNCTION("IFERROR(
    ARRAYFORMULA(
        JOIN(
            CHAR(10) &amp; CHAR(10),
            ""Comment: "" &amp; FILTER(
                'Scores Import DO NOT EDIT'!N:N, 
                'Scores Import DO NOT EDIT'!D:D = A112
            )
        )
    ), 
    ""No"&amp;" comments yet""
)
"),"Comment: Clear presentation and a great presenter.
Comment: 
Comment: Very knowledgeable! I think it could be helpful to know the audience (not all experts in this case), and don’t be afraid to simplify the topic where you can. Student was great at inte"&amp;"racting with the audience, answering questions, and the visuals in the presentation were fabulous! 
Comment: I really enjoyed the visualizations on your slides and the clarity of your language around some really interesting (but difficult) topics. I am n"&amp;"ot an expert in this whatsoever, but from what I can tell with my mathematics background, the methodology and execution is sound. You really sound like you know what you're talking about, so take that for what it's worth! If I were to change anything, I t"&amp;"hink the Mario lettering was a bit fuzzy and the meme with the blue head with the spinning thought/buffering image were an attempt at a break for humor or a quick laugh-- which is totally fine (I appreciate when things aren't taken TOO serious) but perhap"&amp;"s these two in particular could be updated. Great Job!! Keep up the great work! ")</f>
        <v>Comment: Clear presentation and a great presenter.
Comment: 
Comment: Very knowledgeable! I think it could be helpful to know the audience (not all experts in this case), and don’t be afraid to simplify the topic where you can. Student was great at interacting with the audience, answering questions, and the visuals in the presentation were fabulous! 
Comment: I really enjoyed the visualizations on your slides and the clarity of your language around some really interesting (but difficult) topics. I am not an expert in this whatsoever, but from what I can tell with my mathematics background, the methodology and execution is sound. You really sound like you know what you're talking about, so take that for what it's worth! If I were to change anything, I think the Mario lettering was a bit fuzzy and the meme with the blue head with the spinning thought/buffering image were an attempt at a break for humor or a quick laugh-- which is totally fine (I appreciate when things aren't taken TOO serious) but perhaps these two in particular could be updated. Great Job!! Keep up the great work! </v>
      </c>
      <c r="K112" t="s">
        <v>4953</v>
      </c>
    </row>
    <row r="113">
      <c r="A113" s="345">
        <v>197.0</v>
      </c>
      <c r="B113" s="346" t="s">
        <v>1552</v>
      </c>
      <c r="C113" s="346" t="s">
        <v>1553</v>
      </c>
      <c r="D113" s="346" t="s">
        <v>1556</v>
      </c>
      <c r="E113" s="346" t="s">
        <v>823</v>
      </c>
      <c r="F113" s="346" t="s">
        <v>824</v>
      </c>
      <c r="G113" s="346" t="s">
        <v>764</v>
      </c>
      <c r="H113" s="346" t="s">
        <v>825</v>
      </c>
      <c r="I113" s="347" t="s">
        <v>1554</v>
      </c>
      <c r="J113" t="str">
        <f>IFERROR(__xludf.DUMMYFUNCTION("IFERROR(
    ARRAYFORMULA(
        JOIN(
            CHAR(10) &amp; CHAR(10),
            ""Comment: "" &amp; FILTER(
                'Scores Import DO NOT EDIT'!N:N, 
                'Scores Import DO NOT EDIT'!D:D = A113
            )
        )
    ), 
    ""No"&amp;" comments yet""
)
"),"Comment: Enthusiastic presentations.  Could be improved with making some if the slides have more readable content. 
Comment: Really excellent job at explaining the concepts! 
Comment: 
Comment: Great talk, thanks! I thought you did a great job fielding"&amp;" some tough questions. You're poise and attitude throughout the talk were great. I am not an expert in this field, so it was good to have plain and understandable language around your methodology and the motivation for this work. I think including some of"&amp;" the limitations of these results near the end of the slides could be an interesting thought-provoking moment for the audience-- for example, this 2.7% of planets you found do not take any atmospheric conditions into account! So the real amount of habitab"&amp;"le planets is even less realistically. One note on your oral presentation skills is that you spoke clearly and I could understand you, but at times your voice was a bit low for the room we were in. This is an effect of the cement floors and undecorated wa"&amp;"lls. So speaking louder could be beneficial. Thanks and great job! Keep it up! ")</f>
        <v>Comment: Enthusiastic presentations.  Could be improved with making some if the slides have more readable content. 
Comment: Really excellent job at explaining the concepts! 
Comment: 
Comment: Great talk, thanks! I thought you did a great job fielding some tough questions. You're poise and attitude throughout the talk were great. I am not an expert in this field, so it was good to have plain and understandable language around your methodology and the motivation for this work. I think including some of the limitations of these results near the end of the slides could be an interesting thought-provoking moment for the audience-- for example, this 2.7% of planets you found do not take any atmospheric conditions into account! So the real amount of habitable planets is even less realistically. One note on your oral presentation skills is that you spoke clearly and I could understand you, but at times your voice was a bit low for the room we were in. This is an effect of the cement floors and undecorated walls. So speaking louder could be beneficial. Thanks and great job! Keep it up! </v>
      </c>
      <c r="K113" t="s">
        <v>4954</v>
      </c>
    </row>
    <row r="114">
      <c r="A114" s="345">
        <v>198.0</v>
      </c>
      <c r="B114" s="346" t="s">
        <v>788</v>
      </c>
      <c r="C114" s="346" t="s">
        <v>1558</v>
      </c>
      <c r="D114" s="346" t="s">
        <v>1561</v>
      </c>
      <c r="E114" s="346" t="s">
        <v>1563</v>
      </c>
      <c r="F114" s="346" t="s">
        <v>1564</v>
      </c>
      <c r="G114" s="346" t="s">
        <v>764</v>
      </c>
      <c r="H114" s="346" t="s">
        <v>1565</v>
      </c>
      <c r="I114" s="347" t="s">
        <v>1559</v>
      </c>
      <c r="J114" t="str">
        <f>IFERROR(__xludf.DUMMYFUNCTION("IFERROR(
    ARRAYFORMULA(
        JOIN(
            CHAR(10) &amp; CHAR(10),
            ""Comment: "" &amp; FILTER(
                'Scores Import DO NOT EDIT'!N:N, 
                'Scores Import DO NOT EDIT'!D:D = A114
            )
        )
    ), 
    ""No"&amp;" comments yet""
)
"),"Comment: The presentation could have been augmented by a more enthusiastic approach. 
Comment: 
Comment: Great talk, thank you! I found your slides very well organized and easy to follow and your speech was clear and understandable. The use of notecards"&amp;" for your presentation was fine in my case-- you had a lot of information to share in a short amount of time and you handled that well. You also did a great job fielding the questions in the room. My understanding of machine learning is not at an expert l"&amp;"evel, but your talk did not make me feel like I needed to know everything about it in order to understand the significance of your results. In the future, my one constructive comment would be to reduce the amount of text on the text-heavy slides. I found "&amp;"most of your slides to be nicely balanced but a few were relatively text-heavy and may be able to be cut down. Great job, keep it up! ")</f>
        <v>Comment: The presentation could have been augmented by a more enthusiastic approach. 
Comment: 
Comment: Great talk, thank you! I found your slides very well organized and easy to follow and your speech was clear and understandable. The use of notecards for your presentation was fine in my case-- you had a lot of information to share in a short amount of time and you handled that well. You also did a great job fielding the questions in the room. My understanding of machine learning is not at an expert level, but your talk did not make me feel like I needed to know everything about it in order to understand the significance of your results. In the future, my one constructive comment would be to reduce the amount of text on the text-heavy slides. I found most of your slides to be nicely balanced but a few were relatively text-heavy and may be able to be cut down. Great job, keep it up! </v>
      </c>
      <c r="K114" t="s">
        <v>4955</v>
      </c>
    </row>
    <row r="115">
      <c r="A115" s="345">
        <v>199.0</v>
      </c>
      <c r="B115" s="346" t="s">
        <v>1566</v>
      </c>
      <c r="C115" s="346" t="s">
        <v>1567</v>
      </c>
      <c r="D115" s="346" t="s">
        <v>1570</v>
      </c>
      <c r="E115" s="346" t="s">
        <v>1572</v>
      </c>
      <c r="F115" s="346" t="s">
        <v>1572</v>
      </c>
      <c r="G115" s="346" t="s">
        <v>777</v>
      </c>
      <c r="H115" s="346" t="s">
        <v>1568</v>
      </c>
      <c r="I115" s="347" t="s">
        <v>1568</v>
      </c>
      <c r="J115" t="str">
        <f>IFERROR(__xludf.DUMMYFUNCTION("IFERROR(
    ARRAYFORMULA(
        JOIN(
            CHAR(10) &amp; CHAR(10),
            ""Comment: "" &amp; FILTER(
                'Scores Import DO NOT EDIT'!N:N, 
                'Scores Import DO NOT EDIT'!D:D = A115
            )
        )
    ), 
    ""No"&amp;" comments yet""
)
"),"No comments yet")</f>
        <v>No comments yet</v>
      </c>
      <c r="K115" t="s">
        <v>4820</v>
      </c>
    </row>
    <row r="116">
      <c r="A116" s="345">
        <v>201.0</v>
      </c>
      <c r="B116" s="346" t="s">
        <v>1573</v>
      </c>
      <c r="C116" s="346" t="s">
        <v>1574</v>
      </c>
      <c r="D116" s="346" t="s">
        <v>1577</v>
      </c>
      <c r="E116" s="346" t="s">
        <v>823</v>
      </c>
      <c r="F116" s="346" t="s">
        <v>824</v>
      </c>
      <c r="G116" s="346" t="s">
        <v>764</v>
      </c>
      <c r="H116" s="346" t="s">
        <v>825</v>
      </c>
      <c r="I116" s="347" t="s">
        <v>1575</v>
      </c>
      <c r="J116" t="str">
        <f>IFERROR(__xludf.DUMMYFUNCTION("IFERROR(
    ARRAYFORMULA(
        JOIN(
            CHAR(10) &amp; CHAR(10),
            ""Comment: "" &amp; FILTER(
                'Scores Import DO NOT EDIT'!N:N, 
                'Scores Import DO NOT EDIT'!D:D = A116
            )
        )
    ), 
    ""No"&amp;" comments yet""
)
"),"Comment: 
Comment: Great Talk! I appreciate the clarity and straight-forward presentation of what is likely very difficult topics to discuss to folks who do not have experience in this field. I am not an expert, but my background in mathematics gives me "&amp;"some intuition around your use and understanding of the methodology you used. You spoke clearly and loudly, which was nice. Your slides were clean and not too text-heavy, which is also great. One comment I have about what I would change is to add some mor"&amp;"e about the significance or your motivation for wanting to solve this problem-- what does humanity gain out of solving this problem?  Keep up the good work! 
Comment: The student clearly understands their research topic very well! I think the presentatio"&amp;"n could include more visuals depicting the actual process of creating the templates (e.g., show overlaying). Additionally, the significance and implications could be stated more clearly. The student answered questions very well and should be proud of the "&amp;"work! ")</f>
        <v>Comment: 
Comment: Great Talk! I appreciate the clarity and straight-forward presentation of what is likely very difficult topics to discuss to folks who do not have experience in this field. I am not an expert, but my background in mathematics gives me some intuition around your use and understanding of the methodology you used. You spoke clearly and loudly, which was nice. Your slides were clean and not too text-heavy, which is also great. One comment I have about what I would change is to add some more about the significance or your motivation for wanting to solve this problem-- what does humanity gain out of solving this problem?  Keep up the good work! 
Comment: The student clearly understands their research topic very well! I think the presentation could include more visuals depicting the actual process of creating the templates (e.g., show overlaying). Additionally, the significance and implications could be stated more clearly. The student answered questions very well and should be proud of the work! </v>
      </c>
      <c r="K116" t="s">
        <v>4956</v>
      </c>
    </row>
    <row r="117">
      <c r="A117" s="345">
        <v>202.0</v>
      </c>
      <c r="B117" s="346" t="s">
        <v>1579</v>
      </c>
      <c r="C117" s="346" t="s">
        <v>1580</v>
      </c>
      <c r="D117" s="346" t="s">
        <v>1583</v>
      </c>
      <c r="E117" s="346" t="s">
        <v>1585</v>
      </c>
      <c r="F117" s="346" t="s">
        <v>1586</v>
      </c>
      <c r="G117" s="346" t="s">
        <v>764</v>
      </c>
      <c r="H117" s="346" t="s">
        <v>1587</v>
      </c>
      <c r="I117" s="347" t="s">
        <v>1581</v>
      </c>
      <c r="J117" t="str">
        <f>IFERROR(__xludf.DUMMYFUNCTION("IFERROR(
    ARRAYFORMULA(
        JOIN(
            CHAR(10) &amp; CHAR(10),
            ""Comment: "" &amp; FILTER(
                'Scores Import DO NOT EDIT'!N:N, 
                'Scores Import DO NOT EDIT'!D:D = A117
            )
        )
    ), 
    ""No"&amp;" comments yet""
)
"),"Comment: Good talk
Comment: Great talk overall! The intro section could be slower paced to include more background information on sperm function and the fertilization process. Also the zoo volunteer’s question answered the prior question about the goa"&amp;"l of the project so keep an eye out for useful info like that. 
Comment: Great work in the presentation. Be sure to be prepared for answering questions about why your work is important and the significance. 
Comment: Great detailed methodology, presente"&amp;"d clearly and easy to understand. Would like to know what the signification of the findings are in our society like helping for reproduction etc")</f>
        <v>Comment: Good talk
Comment: Great talk overall! The intro section could be slower paced to include more background information on sperm function and the fertilization process. Also the zoo volunteer’s question answered the prior question about the goal of the project so keep an eye out for useful info like that. 
Comment: Great work in the presentation. Be sure to be prepared for answering questions about why your work is important and the significance. 
Comment: Great detailed methodology, presented clearly and easy to understand. Would like to know what the signification of the findings are in our society like helping for reproduction etc</v>
      </c>
      <c r="K117" t="s">
        <v>4957</v>
      </c>
    </row>
    <row r="118">
      <c r="A118" s="345">
        <v>203.0</v>
      </c>
      <c r="B118" s="346" t="s">
        <v>1473</v>
      </c>
      <c r="C118" s="346" t="s">
        <v>1588</v>
      </c>
      <c r="D118" s="346" t="s">
        <v>1591</v>
      </c>
      <c r="E118" s="346" t="s">
        <v>1235</v>
      </c>
      <c r="F118" s="346" t="s">
        <v>1593</v>
      </c>
      <c r="G118" s="346" t="s">
        <v>777</v>
      </c>
      <c r="H118" s="346" t="s">
        <v>1594</v>
      </c>
      <c r="I118" s="347" t="s">
        <v>1589</v>
      </c>
      <c r="J118" t="str">
        <f>IFERROR(__xludf.DUMMYFUNCTION("IFERROR(
    ARRAYFORMULA(
        JOIN(
            CHAR(10) &amp; CHAR(10),
            ""Comment: "" &amp; FILTER(
                'Scores Import DO NOT EDIT'!N:N, 
                'Scores Import DO NOT EDIT'!D:D = A118
            )
        )
    ), 
    ""No"&amp;" comments yet""
)
"),"Comment: Great talk 
Comment: Your enthusiasm and presentation skills were great. There were several slides that were too crowded and the differences would be clearer if images were larger and separated. 
Comment: Good talk looking at the early developm"&amp;"ent of primate brains! The results were well explained pointing out the differences in growth measurements. There was a slip in describing the studied primates as new world monkeys though neither bonobos or macaques are in that group. 
Comment: Well done"&amp;", interesting findings on brain development and can see great significance to the field and human development in general.
Well presented and knowledgeable. Some slides can use laymen vocabulary instead to help those not in the field but not sure if that w"&amp;"as a requirement")</f>
        <v>Comment: Great talk 
Comment: Your enthusiasm and presentation skills were great. There were several slides that were too crowded and the differences would be clearer if images were larger and separated. 
Comment: Good talk looking at the early development of primate brains! The results were well explained pointing out the differences in growth measurements. There was a slip in describing the studied primates as new world monkeys though neither bonobos or macaques are in that group. 
Comment: Well done, interesting findings on brain development and can see great significance to the field and human development in general.
Well presented and knowledgeable. Some slides can use laymen vocabulary instead to help those not in the field but not sure if that was a requirement</v>
      </c>
      <c r="K118" t="s">
        <v>4958</v>
      </c>
    </row>
    <row r="119">
      <c r="A119" s="345">
        <v>204.0</v>
      </c>
      <c r="B119" s="346" t="s">
        <v>4959</v>
      </c>
      <c r="C119" s="346" t="s">
        <v>1596</v>
      </c>
      <c r="D119" s="346" t="s">
        <v>1599</v>
      </c>
      <c r="E119" s="346" t="s">
        <v>972</v>
      </c>
      <c r="F119" s="346" t="s">
        <v>973</v>
      </c>
      <c r="G119" s="346" t="s">
        <v>764</v>
      </c>
      <c r="H119" s="346" t="s">
        <v>974</v>
      </c>
      <c r="I119" s="347" t="s">
        <v>1597</v>
      </c>
      <c r="J119" t="str">
        <f>IFERROR(__xludf.DUMMYFUNCTION("IFERROR(
    ARRAYFORMULA(
        JOIN(
            CHAR(10) &amp; CHAR(10),
            ""Comment: "" &amp; FILTER(
                'Scores Import DO NOT EDIT'!N:N, 
                'Scores Import DO NOT EDIT'!D:D = A119
            )
        )
    ), 
    ""No"&amp;" comments yet""
)
"),"Comment: Great work. Solid preliminary work and results. 
Comment: Your work and presentation were excellent. The only thing I would suggest is putting the morphology of fungi after you clearly explain that the identification of the unknown fungi is the "&amp;"point. As an ecology person, I thought at first you were going to discuss the interactions between fungi and tree for nutrition more than systematics. 
Comment: Very clear and easy to follow, informative and very thorough methodology. Interesting to see "&amp;"how it all came together step by step explanation was great!  Maybe just as a slide on what thought result was and how it’s important to society in general
Comment: Excellent talk! The presentation is expertly paced with the points in the setup being rel"&amp;"evant in the results. The speech itself was also very engaging and the questions were all handled confidently. ")</f>
        <v>Comment: Great work. Solid preliminary work and results. 
Comment: Your work and presentation were excellent. The only thing I would suggest is putting the morphology of fungi after you clearly explain that the identification of the unknown fungi is the point. As an ecology person, I thought at first you were going to discuss the interactions between fungi and tree for nutrition more than systematics. 
Comment: Very clear and easy to follow, informative and very thorough methodology. Interesting to see how it all came together step by step explanation was great!  Maybe just as a slide on what thought result was and how it’s important to society in general
Comment: Excellent talk! The presentation is expertly paced with the points in the setup being relevant in the results. The speech itself was also very engaging and the questions were all handled confidently. </v>
      </c>
      <c r="K119" t="s">
        <v>4960</v>
      </c>
    </row>
    <row r="120">
      <c r="A120" s="345">
        <v>205.0</v>
      </c>
      <c r="B120" s="346" t="s">
        <v>1602</v>
      </c>
      <c r="C120" s="346" t="s">
        <v>1603</v>
      </c>
      <c r="D120" s="346" t="s">
        <v>4961</v>
      </c>
      <c r="E120" s="346" t="s">
        <v>1608</v>
      </c>
      <c r="F120" s="346" t="s">
        <v>1609</v>
      </c>
      <c r="G120" s="346" t="s">
        <v>784</v>
      </c>
      <c r="H120" s="346" t="s">
        <v>1610</v>
      </c>
      <c r="I120" s="347" t="s">
        <v>1604</v>
      </c>
      <c r="J120" t="str">
        <f>IFERROR(__xludf.DUMMYFUNCTION("IFERROR(
    ARRAYFORMULA(
        JOIN(
            CHAR(10) &amp; CHAR(10),
            ""Comment: "" &amp; FILTER(
                'Scores Import DO NOT EDIT'!N:N, 
                'Scores Import DO NOT EDIT'!D:D = A120
            )
        )
    ), 
    ""No"&amp;" comments yet""
)
"),"Comment: Pros - Good sample size (data source), solid research direction. 
Cons - Qualitative analysis plan is not clear (might not address to the hypothesis). I suggest to have solid questions - survey (rather then open ended questions) to make the best "&amp;"out of the scheduled talks from the farmers. 
Comment: Excellent presentation and I’m very impressed with the depth of your background knowledge on the topic and the various data sources needed for your research. 
Comment: Great presentation of the back"&amp;"ground and results so far. Good luck with the interviews in Brazil!
Comment: Great research, unique in its own right, and interesting for the field. Can see cross disciplinary collaborations 
Presented well with much energy and passion 
Would long to kno"&amp;"w more about results and significance of them in the future")</f>
        <v>Comment: Pros - Good sample size (data source), solid research direction. 
Cons - Qualitative analysis plan is not clear (might not address to the hypothesis). I suggest to have solid questions - survey (rather then open ended questions) to make the best out of the scheduled talks from the farmers. 
Comment: Excellent presentation and I’m very impressed with the depth of your background knowledge on the topic and the various data sources needed for your research. 
Comment: Great presentation of the background and results so far. Good luck with the interviews in Brazil!
Comment: Great research, unique in its own right, and interesting for the field. Can see cross disciplinary collaborations 
Presented well with much energy and passion 
Would long to know more about results and significance of them in the future</v>
      </c>
      <c r="K120" t="s">
        <v>4962</v>
      </c>
    </row>
    <row r="121">
      <c r="A121" s="345">
        <v>206.0</v>
      </c>
      <c r="B121" s="346" t="s">
        <v>1612</v>
      </c>
      <c r="C121" s="346" t="s">
        <v>1613</v>
      </c>
      <c r="D121" s="346" t="s">
        <v>1616</v>
      </c>
      <c r="E121" s="346" t="s">
        <v>1618</v>
      </c>
      <c r="F121" s="346" t="s">
        <v>1619</v>
      </c>
      <c r="G121" s="346" t="s">
        <v>777</v>
      </c>
      <c r="H121" s="346" t="s">
        <v>1620</v>
      </c>
      <c r="I121" s="347" t="s">
        <v>1614</v>
      </c>
      <c r="J121" t="str">
        <f>IFERROR(__xludf.DUMMYFUNCTION("IFERROR(
    ARRAYFORMULA(
        JOIN(
            CHAR(10) &amp; CHAR(10),
            ""Comment: "" &amp; FILTER(
                'Scores Import DO NOT EDIT'!N:N, 
                'Scores Import DO NOT EDIT'!D:D = A121
            )
        )
    ), 
    ""No"&amp;" comments yet""
)
"),"Comment: 
Comment: 
Comment: very interesting and important topic. I hope you can move this research stream forward and it seems that there is a lot that needs to be done in this space. 
There is also an opportunity to explore more structured analysis "&amp;"of interviews to develop themes ideas for best practice on how to support the victims. 
Overall, you did a fantastic  job with your presentation. Good luck with your research and studies 
Comment: What went well: 
-Clearly passionate about the topic and"&amp;" dedicated to her research
-Provided surprising statistics that caught my attention
-Acknowledged current events/context connecting her research to the movement at large (Mar. 8th)
Future Directions: 
I would be interested to learn about a global compari"&amp;"son of gendered violence in different cultural regions of the world (Asia, the Middle East, Africa, Pacific Islanders, European and those of European descent) ")</f>
        <v>Comment: 
Comment: 
Comment: very interesting and important topic. I hope you can move this research stream forward and it seems that there is a lot that needs to be done in this space. 
There is also an opportunity to explore more structured analysis of interviews to develop themes ideas for best practice on how to support the victims. 
Overall, you did a fantastic  job with your presentation. Good luck with your research and studies 
Comment: What went well: 
-Clearly passionate about the topic and dedicated to her research
-Provided surprising statistics that caught my attention
-Acknowledged current events/context connecting her research to the movement at large (Mar. 8th)
Future Directions: 
I would be interested to learn about a global comparison of gendered violence in different cultural regions of the world (Asia, the Middle East, Africa, Pacific Islanders, European and those of European descent) </v>
      </c>
      <c r="K121" t="s">
        <v>4963</v>
      </c>
    </row>
    <row r="122">
      <c r="A122" s="345">
        <v>207.0</v>
      </c>
      <c r="B122" s="346" t="s">
        <v>1278</v>
      </c>
      <c r="C122" s="346" t="s">
        <v>1622</v>
      </c>
      <c r="D122" s="346" t="s">
        <v>1625</v>
      </c>
      <c r="E122" s="346" t="s">
        <v>1627</v>
      </c>
      <c r="F122" s="346" t="s">
        <v>1628</v>
      </c>
      <c r="G122" s="346" t="s">
        <v>777</v>
      </c>
      <c r="H122" s="346" t="s">
        <v>1629</v>
      </c>
      <c r="I122" s="347" t="s">
        <v>1623</v>
      </c>
      <c r="J122" t="str">
        <f>IFERROR(__xludf.DUMMYFUNCTION("IFERROR(
    ARRAYFORMULA(
        JOIN(
            CHAR(10) &amp; CHAR(10),
            ""Comment: "" &amp; FILTER(
                'Scores Import DO NOT EDIT'!N:N, 
                'Scores Import DO NOT EDIT'!D:D = A122
            )
        )
    ), 
    ""No"&amp;" comments yet""
)
"),"Comment: 
Comment: 
Comment: This is an interesting topic, and you had an engaging and high-energy presentation which is a great plus. 
To increase the contribution of your research, you need to carefully think about what is new and exciting about your"&amp;" research? your research shows that customers have negative response to a product when the influencer offers a negative evaluation of a product, which is not really a novel discovery. 
Also, what does the term de-influencer really mean? Is this an influe"&amp;"ncer who always speaks negatively of products? most influencers post a mix of positive and negative reviews of products, so who is considered a de-influencer? There is some work left to show that the topic of your study is novel. 
Overall, it was a great"&amp;" presentation. Good luck with your research and studies.   
Comment: What went well: 
-Culturally relevant and interesting topic
-Appreciate her dedication to on-campus research
-Identified other applications for the deinfluencing concept
-Provided key t"&amp;"erm definitions
Suggestions: 
-At times too much emphasis on methodology
-Slide organization could be improved (flipping back and forth)")</f>
        <v>Comment: 
Comment: 
Comment: This is an interesting topic, and you had an engaging and high-energy presentation which is a great plus. 
To increase the contribution of your research, you need to carefully think about what is new and exciting about your research? your research shows that customers have negative response to a product when the influencer offers a negative evaluation of a product, which is not really a novel discovery. 
Also, what does the term de-influencer really mean? Is this an influencer who always speaks negatively of products? most influencers post a mix of positive and negative reviews of products, so who is considered a de-influencer? There is some work left to show that the topic of your study is novel. 
Overall, it was a great presentation. Good luck with your research and studies.   
Comment: What went well: 
-Culturally relevant and interesting topic
-Appreciate her dedication to on-campus research
-Identified other applications for the deinfluencing concept
-Provided key term definitions
Suggestions: 
-At times too much emphasis on methodology
-Slide organization could be improved (flipping back and forth)</v>
      </c>
      <c r="K122" t="s">
        <v>4964</v>
      </c>
    </row>
    <row r="123">
      <c r="A123" s="345">
        <v>208.0</v>
      </c>
      <c r="B123" s="346" t="s">
        <v>1630</v>
      </c>
      <c r="C123" s="346" t="s">
        <v>1631</v>
      </c>
      <c r="D123" s="346" t="s">
        <v>1634</v>
      </c>
      <c r="E123" s="346" t="s">
        <v>1636</v>
      </c>
      <c r="F123" s="346" t="s">
        <v>1637</v>
      </c>
      <c r="G123" s="346" t="s">
        <v>1457</v>
      </c>
      <c r="H123" s="346" t="s">
        <v>1638</v>
      </c>
      <c r="I123" s="347" t="s">
        <v>1632</v>
      </c>
      <c r="J123" t="str">
        <f>IFERROR(__xludf.DUMMYFUNCTION("IFERROR(
    ARRAYFORMULA(
        JOIN(
            CHAR(10) &amp; CHAR(10),
            ""Comment: "" &amp; FILTER(
                'Scores Import DO NOT EDIT'!N:N, 
                'Scores Import DO NOT EDIT'!D:D = A123
            )
        )
    ), 
    ""No"&amp;" comments yet""
)
"),"No comments yet")</f>
        <v>No comments yet</v>
      </c>
      <c r="K123" t="s">
        <v>4820</v>
      </c>
    </row>
    <row r="124">
      <c r="A124" s="345">
        <v>209.0</v>
      </c>
      <c r="B124" s="346" t="s">
        <v>1639</v>
      </c>
      <c r="C124" s="346" t="s">
        <v>1640</v>
      </c>
      <c r="D124" s="346" t="s">
        <v>4965</v>
      </c>
      <c r="E124" s="346" t="s">
        <v>1209</v>
      </c>
      <c r="F124" s="346" t="s">
        <v>1210</v>
      </c>
      <c r="G124" s="346" t="s">
        <v>784</v>
      </c>
      <c r="H124" s="346" t="s">
        <v>1211</v>
      </c>
      <c r="I124" s="347" t="s">
        <v>1641</v>
      </c>
      <c r="J124" t="str">
        <f>IFERROR(__xludf.DUMMYFUNCTION("IFERROR(
    ARRAYFORMULA(
        JOIN(
            CHAR(10) &amp; CHAR(10),
            ""Comment: "" &amp; FILTER(
                'Scores Import DO NOT EDIT'!N:N, 
                'Scores Import DO NOT EDIT'!D:D = A124
            )
        )
    ), 
    ""No"&amp;" comments yet""
)
"),"Comment: 
Comment: 
Comment: This is an interesting project, specially if you develop the app you mentioned it can have significant empirical/policy applications. 
Good luck with your research 
Comment: What went well: 
-Very original idea that has tr"&amp;"ue real world applications 
-Appreciated the imagined scenario at the end which had closure towards the end 
-Interesting use of her Big Data Analytics major and tackling societal problems
Future Directions: 
Maybe you could reach out to one of the small"&amp;"er cities in San Diego (for example La Mesa) and see what a smaller police force thinks of your idea. They may be more accessible. ")</f>
        <v>Comment: 
Comment: 
Comment: This is an interesting project, specially if you develop the app you mentioned it can have significant empirical/policy applications. 
Good luck with your research 
Comment: What went well: 
-Very original idea that has true real world applications 
-Appreciated the imagined scenario at the end which had closure towards the end 
-Interesting use of her Big Data Analytics major and tackling societal problems
Future Directions: 
Maybe you could reach out to one of the smaller cities in San Diego (for example La Mesa) and see what a smaller police force thinks of your idea. They may be more accessible. </v>
      </c>
      <c r="K124" t="s">
        <v>4966</v>
      </c>
    </row>
    <row r="125">
      <c r="A125" s="345">
        <v>210.0</v>
      </c>
      <c r="B125" s="346" t="s">
        <v>1645</v>
      </c>
      <c r="C125" s="346" t="s">
        <v>1646</v>
      </c>
      <c r="D125" s="346" t="s">
        <v>1649</v>
      </c>
      <c r="E125" s="346" t="s">
        <v>1651</v>
      </c>
      <c r="F125" s="346" t="s">
        <v>1652</v>
      </c>
      <c r="G125" s="346" t="s">
        <v>784</v>
      </c>
      <c r="H125" s="346" t="s">
        <v>1653</v>
      </c>
      <c r="I125" s="347" t="s">
        <v>1647</v>
      </c>
      <c r="J125" t="str">
        <f>IFERROR(__xludf.DUMMYFUNCTION("IFERROR(
    ARRAYFORMULA(
        JOIN(
            CHAR(10) &amp; CHAR(10),
            ""Comment: "" &amp; FILTER(
                'Scores Import DO NOT EDIT'!N:N, 
                'Scores Import DO NOT EDIT'!D:D = A125
            )
        )
    ), 
    ""No"&amp;" comments yet""
)
"),"No comments yet")</f>
        <v>No comments yet</v>
      </c>
      <c r="K125" t="s">
        <v>4820</v>
      </c>
    </row>
    <row r="126">
      <c r="A126" s="345">
        <v>211.0</v>
      </c>
      <c r="B126" s="346" t="s">
        <v>1655</v>
      </c>
      <c r="C126" s="346" t="s">
        <v>1656</v>
      </c>
      <c r="D126" s="346" t="s">
        <v>1659</v>
      </c>
      <c r="E126" s="346" t="s">
        <v>1662</v>
      </c>
      <c r="F126" s="346" t="s">
        <v>1663</v>
      </c>
      <c r="G126" s="346" t="s">
        <v>1661</v>
      </c>
      <c r="H126" s="346" t="s">
        <v>1664</v>
      </c>
      <c r="I126" s="347" t="s">
        <v>1657</v>
      </c>
      <c r="J126" t="str">
        <f>IFERROR(__xludf.DUMMYFUNCTION("IFERROR(
    ARRAYFORMULA(
        JOIN(
            CHAR(10) &amp; CHAR(10),
            ""Comment: "" &amp; FILTER(
                'Scores Import DO NOT EDIT'!N:N, 
                'Scores Import DO NOT EDIT'!D:D = A126
            )
        )
    ), 
    ""No"&amp;" comments yet""
)
"),"Comment: One tip for your job search, there are other factors to consider that are more important than the time of the application. you could consider the type of the job you're applying, industry, position, etc. That would be more helpful for you. 
Comm"&amp;"ent: What went well: 
It is apparent you have put a lot of thought into this topic
Interesting to look into one person's search for a job
Room for Improvement: 
Could be more research/theory based
Your presentation seemed a bit more casual than the other"&amp;" presenter's, I would suggest you adopt more professional phrasings (for example you laughed multiple times after discussing how you were rejected over and over). ")</f>
        <v>Comment: One tip for your job search, there are other factors to consider that are more important than the time of the application. you could consider the type of the job you're applying, industry, position, etc. That would be more helpful for you. 
Comment: What went well: 
It is apparent you have put a lot of thought into this topic
Interesting to look into one person's search for a job
Room for Improvement: 
Could be more research/theory based
Your presentation seemed a bit more casual than the other presenter's, I would suggest you adopt more professional phrasings (for example you laughed multiple times after discussing how you were rejected over and over). </v>
      </c>
      <c r="K126" t="s">
        <v>4967</v>
      </c>
    </row>
    <row r="127">
      <c r="A127" s="345">
        <v>212.0</v>
      </c>
      <c r="B127" s="346" t="s">
        <v>1667</v>
      </c>
      <c r="C127" s="346" t="s">
        <v>1668</v>
      </c>
      <c r="D127" s="346" t="s">
        <v>4968</v>
      </c>
      <c r="E127" s="346" t="s">
        <v>1673</v>
      </c>
      <c r="F127" s="346" t="s">
        <v>1674</v>
      </c>
      <c r="G127" s="346" t="s">
        <v>764</v>
      </c>
      <c r="H127" s="346" t="s">
        <v>1418</v>
      </c>
      <c r="I127" s="347" t="s">
        <v>1669</v>
      </c>
      <c r="J127" t="str">
        <f>IFERROR(__xludf.DUMMYFUNCTION("IFERROR(
    ARRAYFORMULA(
        JOIN(
            CHAR(10) &amp; CHAR(10),
            ""Comment: "" &amp; FILTER(
                'Scores Import DO NOT EDIT'!N:N, 
                'Scores Import DO NOT EDIT'!D:D = A127
            )
        )
    ), 
    ""No"&amp;" comments yet""
)
"),"Comment: Such an important area of work - we need more reliable assessments for Spanish speakers! Consider dissemination activities beyond academic audiences (conferences and publications), if you are not already. It may be helpful to define the psychomet"&amp;"ric terms (internal consistency, etc.) when presenting to audiences who may or may not be familiar with assessment. 
Comment: 
Comment: Nice presentation and data was presented very well. You can tell you passion from you presentation you interest in th"&amp;"e topic of study. The data was present nicely in the charts but you could have elaborated little more on the data. You moved through it quickly. Perhaps looking at you whole presentation and shifting focus from background to findings. Or try and use the f"&amp;"ull amount of time you are given. 
Comment: Diego had excellent presence and pacing during his presentation. The slides were clear and visually appealing. I particularly appreciated the inclusion of citations and the way he mixed English and Spanish word"&amp;"s in the explanation of vocabulary prompts. The research is interesting, and based on the background information provided, novel and important. He answered questions fully and with confidence. Well done!")</f>
        <v>Comment: Such an important area of work - we need more reliable assessments for Spanish speakers! Consider dissemination activities beyond academic audiences (conferences and publications), if you are not already. It may be helpful to define the psychometric terms (internal consistency, etc.) when presenting to audiences who may or may not be familiar with assessment. 
Comment: 
Comment: Nice presentation and data was presented very well. You can tell you passion from you presentation you interest in the topic of study. The data was present nicely in the charts but you could have elaborated little more on the data. You moved through it quickly. Perhaps looking at you whole presentation and shifting focus from background to findings. Or try and use the full amount of time you are given. 
Comment: Diego had excellent presence and pacing during his presentation. The slides were clear and visually appealing. I particularly appreciated the inclusion of citations and the way he mixed English and Spanish words in the explanation of vocabulary prompts. The research is interesting, and based on the background information provided, novel and important. He answered questions fully and with confidence. Well done!</v>
      </c>
      <c r="K127" t="s">
        <v>4969</v>
      </c>
    </row>
    <row r="128">
      <c r="A128" s="345">
        <v>213.0</v>
      </c>
      <c r="B128" s="346" t="s">
        <v>1675</v>
      </c>
      <c r="C128" s="346" t="s">
        <v>1676</v>
      </c>
      <c r="D128" s="346" t="s">
        <v>1679</v>
      </c>
      <c r="E128" s="346" t="s">
        <v>785</v>
      </c>
      <c r="F128" s="346" t="s">
        <v>786</v>
      </c>
      <c r="G128" s="346" t="s">
        <v>784</v>
      </c>
      <c r="H128" s="346" t="s">
        <v>1681</v>
      </c>
      <c r="I128" s="347" t="s">
        <v>1677</v>
      </c>
      <c r="J128" t="str">
        <f>IFERROR(__xludf.DUMMYFUNCTION("IFERROR(
    ARRAYFORMULA(
        JOIN(
            CHAR(10) &amp; CHAR(10),
            ""Comment: "" &amp; FILTER(
                'Scores Import DO NOT EDIT'!N:N, 
                'Scores Import DO NOT EDIT'!D:D = A128
            )
        )
    ), 
    ""No"&amp;" comments yet""
)
"),"Comment: 
Comment: Good Presentation. It is clear you passion for this topic and I would strongly encourage you to continue your focus on this subject matter. Thank you. Make sure you are referencing the data that you are drawing you background informati"&amp;"on from. If you don't it looks like you are just drawing these points in your opinion. It would have been nice to see visual with some of the date you mentioned regarding demographics. Still a little unclear on how you made you final conclusions. Make sur"&amp;"e to check for spelling errors on your slides.
Comment: I appreciated you sharing your personal connection to the topic and your highlighting of the differences between the traditional American narrative regarding conflict in Colombia and the facts in th"&amp;"e country. You have clearly delved deeply into this topic and your knowledge and passion are clear. It may be helpful to provide an explicit picture of your overall thesis or argument at the beginning of the presentation, and/or a roadmap of the topics yo"&amp;"u plan to cover in the talk and briefly how they connect. You covered so much important and complex content, and a bit more priming in terms of the structure and methods may help to communicate it more clearly.
Comment: Max demonstrated clear passion for"&amp;" his topic. His presentation did a nice job of providing context and background information. Citations would add credibility. What didn’t come through was the research methods/process that informed the conclusion he described, although he was able to talk"&amp;" about methods when asked in the Q&amp;A. Kudos to Max for presenting when feeling under the weather, but more energy, eye contact and clearer enunciation would improve the presentation. The topic is novel and more research is clearly needed to fully understa"&amp;"nd what is happening and what needs to be done to support the people of Columbia.")</f>
        <v>Comment: 
Comment: Good Presentation. It is clear you passion for this topic and I would strongly encourage you to continue your focus on this subject matter. Thank you. Make sure you are referencing the data that you are drawing you background information from. If you don't it looks like you are just drawing these points in your opinion. It would have been nice to see visual with some of the date you mentioned regarding demographics. Still a little unclear on how you made you final conclusions. Make sure to check for spelling errors on your slides.
Comment: I appreciated you sharing your personal connection to the topic and your highlighting of the differences between the traditional American narrative regarding conflict in Colombia and the facts in the country. You have clearly delved deeply into this topic and your knowledge and passion are clear. It may be helpful to provide an explicit picture of your overall thesis or argument at the beginning of the presentation, and/or a roadmap of the topics you plan to cover in the talk and briefly how they connect. You covered so much important and complex content, and a bit more priming in terms of the structure and methods may help to communicate it more clearly.
Comment: Max demonstrated clear passion for his topic. His presentation did a nice job of providing context and background information. Citations would add credibility. What didn’t come through was the research methods/process that informed the conclusion he described, although he was able to talk about methods when asked in the Q&amp;A. Kudos to Max for presenting when feeling under the weather, but more energy, eye contact and clearer enunciation would improve the presentation. The topic is novel and more research is clearly needed to fully understand what is happening and what needs to be done to support the people of Columbia.</v>
      </c>
      <c r="K128" t="s">
        <v>4970</v>
      </c>
    </row>
    <row r="129">
      <c r="A129" s="345">
        <v>214.0</v>
      </c>
      <c r="B129" s="346" t="s">
        <v>1682</v>
      </c>
      <c r="C129" s="346" t="s">
        <v>1683</v>
      </c>
      <c r="D129" s="346" t="s">
        <v>1686</v>
      </c>
      <c r="E129" s="346" t="s">
        <v>4971</v>
      </c>
      <c r="F129" s="346" t="s">
        <v>1689</v>
      </c>
      <c r="G129" s="346" t="s">
        <v>753</v>
      </c>
      <c r="H129" s="346" t="s">
        <v>1690</v>
      </c>
      <c r="I129" s="347" t="s">
        <v>1684</v>
      </c>
      <c r="J129" t="str">
        <f>IFERROR(__xludf.DUMMYFUNCTION("IFERROR(
    ARRAYFORMULA(
        JOIN(
            CHAR(10) &amp; CHAR(10),
            ""Comment: "" &amp; FILTER(
                'Scores Import DO NOT EDIT'!N:N, 
                'Scores Import DO NOT EDIT'!D:D = A129
            )
        )
    ), 
    ""No"&amp;" comments yet""
)
"),"No comments yet")</f>
        <v>No comments yet</v>
      </c>
      <c r="K129" t="s">
        <v>4820</v>
      </c>
    </row>
    <row r="130">
      <c r="A130" s="345">
        <v>215.0</v>
      </c>
      <c r="B130" s="346" t="s">
        <v>1089</v>
      </c>
      <c r="C130" s="346" t="s">
        <v>1691</v>
      </c>
      <c r="D130" s="346" t="s">
        <v>1694</v>
      </c>
      <c r="E130" s="346" t="s">
        <v>1332</v>
      </c>
      <c r="F130" s="346" t="s">
        <v>1333</v>
      </c>
      <c r="G130" s="346" t="s">
        <v>784</v>
      </c>
      <c r="H130" s="346" t="s">
        <v>1334</v>
      </c>
      <c r="I130" s="347" t="s">
        <v>1692</v>
      </c>
      <c r="J130" t="str">
        <f>IFERROR(__xludf.DUMMYFUNCTION("IFERROR(
    ARRAYFORMULA(
        JOIN(
            CHAR(10) &amp; CHAR(10),
            ""Comment: "" &amp; FILTER(
                'Scores Import DO NOT EDIT'!N:N, 
                'Scores Import DO NOT EDIT'!D:D = A130
            )
        )
    ), 
    ""No"&amp;" comments yet""
)
"),"Comment: Strong situating of the 'mini project' within the larger effort - it was very helpful in understanding your goal. The description of your methods was clear - I particularly appreciated the clear specification of the question in lay terms and when"&amp;" you made more informal statements regarding your content. 
Comment: Very good presentation. Your background premises for the presentation laid out very nicely. Laid out method clearly. Even with you preliminary data you drew logical and clear conclusion"&amp;"s. Thank you for sharing your experiences with us. 
Comment: 
Comment: Matthew did a phenomenal job communicating his research via the photos he chose to include, the information provided in the slides and the oral presentation. The photos in particular"&amp;" were not only compelling, but with Matthew’s explanations, they deepened the audience understanding of context. I recommend he include the year of publication in slide citations. I really appreciated the detailed methods, particularly related to data col"&amp;"lection. He also did an excellent job answering questions with clarity and confidence.")</f>
        <v>Comment: Strong situating of the 'mini project' within the larger effort - it was very helpful in understanding your goal. The description of your methods was clear - I particularly appreciated the clear specification of the question in lay terms and when you made more informal statements regarding your content. 
Comment: Very good presentation. Your background premises for the presentation laid out very nicely. Laid out method clearly. Even with you preliminary data you drew logical and clear conclusions. Thank you for sharing your experiences with us. 
Comment: 
Comment: Matthew did a phenomenal job communicating his research via the photos he chose to include, the information provided in the slides and the oral presentation. The photos in particular were not only compelling, but with Matthew’s explanations, they deepened the audience understanding of context. I recommend he include the year of publication in slide citations. I really appreciated the detailed methods, particularly related to data collection. He also did an excellent job answering questions with clarity and confidence.</v>
      </c>
      <c r="K130" t="s">
        <v>4972</v>
      </c>
    </row>
    <row r="131">
      <c r="A131" s="345">
        <v>216.0</v>
      </c>
      <c r="B131" s="346" t="s">
        <v>754</v>
      </c>
      <c r="C131" s="346" t="s">
        <v>1696</v>
      </c>
      <c r="D131" s="346" t="s">
        <v>1699</v>
      </c>
      <c r="E131" s="346" t="s">
        <v>1701</v>
      </c>
      <c r="F131" s="346" t="s">
        <v>1702</v>
      </c>
      <c r="G131" s="346" t="s">
        <v>784</v>
      </c>
      <c r="H131" s="346" t="s">
        <v>1703</v>
      </c>
      <c r="I131" s="347" t="s">
        <v>1697</v>
      </c>
      <c r="J131" t="str">
        <f>IFERROR(__xludf.DUMMYFUNCTION("IFERROR(
    ARRAYFORMULA(
        JOIN(
            CHAR(10) &amp; CHAR(10),
            ""Comment: "" &amp; FILTER(
                'Scores Import DO NOT EDIT'!N:N, 
                'Scores Import DO NOT EDIT'!D:D = A131
            )
        )
    ), 
    ""No"&amp;" comments yet""
)
"),"Comment: Fantastic presentation. Best of luck with your project!
Comment: What a wonderful presentation and important topic. I appreciated the clear structuring of themes in reviewing the literature; your thorough exploration of this complex topic was cl"&amp;"ear from your review of the content. Great job including dissemination in the conceptualization of the methodology, and in situating your approach within the global context of talking circles. 
Comment: Thank you for sharing your story and your passion f"&amp;"or this topic and study subject. I agree the clear connection and need for understanding this issue more. You clearly lay out the problem you are looking to tackle with your research. Lit Review appeared to include both text and research journal articles,"&amp;" a little unclear as to which is what. You communicated clearly the methodology and walked us through the frame work you intend to use. 
Comment: Tiffany provided clear information in her slides and oral presentation. I loved her interest in connecting t"&amp;"he past to the present, as a way to provide future-focused insights. The methodology was clearly explained and well thought out. I particularly commend the inclusion of a dissemination plan in her research outline. She did a nice job of engaging with the "&amp;"audience. I think the selection of participants will be critical and suggest she develop a criteria or other way to ensure a broad array of group representation.")</f>
        <v>Comment: Fantastic presentation. Best of luck with your project!
Comment: What a wonderful presentation and important topic. I appreciated the clear structuring of themes in reviewing the literature; your thorough exploration of this complex topic was clear from your review of the content. Great job including dissemination in the conceptualization of the methodology, and in situating your approach within the global context of talking circles. 
Comment: Thank you for sharing your story and your passion for this topic and study subject. I agree the clear connection and need for understanding this issue more. You clearly lay out the problem you are looking to tackle with your research. Lit Review appeared to include both text and research journal articles, a little unclear as to which is what. You communicated clearly the methodology and walked us through the frame work you intend to use. 
Comment: Tiffany provided clear information in her slides and oral presentation. I loved her interest in connecting the past to the present, as a way to provide future-focused insights. The methodology was clearly explained and well thought out. I particularly commend the inclusion of a dissemination plan in her research outline. She did a nice job of engaging with the audience. I think the selection of participants will be critical and suggest she develop a criteria or other way to ensure a broad array of group representation.</v>
      </c>
      <c r="K131" t="s">
        <v>4973</v>
      </c>
    </row>
    <row r="132">
      <c r="A132" s="345">
        <v>217.0</v>
      </c>
      <c r="B132" s="346" t="s">
        <v>1704</v>
      </c>
      <c r="C132" s="346" t="s">
        <v>1705</v>
      </c>
      <c r="D132" s="346" t="s">
        <v>1708</v>
      </c>
      <c r="E132" s="346" t="s">
        <v>1713</v>
      </c>
      <c r="F132" s="346" t="s">
        <v>1714</v>
      </c>
      <c r="G132" s="346" t="s">
        <v>893</v>
      </c>
      <c r="H132" s="346" t="s">
        <v>1715</v>
      </c>
      <c r="I132" s="347" t="s">
        <v>1706</v>
      </c>
      <c r="J132" t="str">
        <f>IFERROR(__xludf.DUMMYFUNCTION("IFERROR(
    ARRAYFORMULA(
        JOIN(
            CHAR(10) &amp; CHAR(10),
            ""Comment: "" &amp; FILTER(
                'Scores Import DO NOT EDIT'!N:N, 
                'Scores Import DO NOT EDIT'!D:D = A132
            )
        )
    ), 
    ""No"&amp;" comments yet""
)
"),"Comment: 
Comment: 
Comment: The work presented is timely and important. We need to find new sources of protein for the planet so Selene is on the leading edge of valuable research. Her presentation could have been organized a bit better as some of the "&amp;"slides had misaligned text. Most importantly, a full description of the methods was needed to explain the word clouds that she used. She finished early so there was plenty of time. That said, these questions came up in the Q&amp;A and she handled them very we"&amp;"ll!  
Comment: N/a")</f>
        <v>Comment: 
Comment: 
Comment: The work presented is timely and important. We need to find new sources of protein for the planet so Selene is on the leading edge of valuable research. Her presentation could have been organized a bit better as some of the slides had misaligned text. Most importantly, a full description of the methods was needed to explain the word clouds that she used. She finished early so there was plenty of time. That said, these questions came up in the Q&amp;A and she handled them very well!  
Comment: N/a</v>
      </c>
      <c r="K132" t="s">
        <v>4974</v>
      </c>
    </row>
    <row r="133">
      <c r="A133" s="345">
        <v>218.0</v>
      </c>
      <c r="B133" s="346" t="s">
        <v>1716</v>
      </c>
      <c r="C133" s="346" t="s">
        <v>1717</v>
      </c>
      <c r="D133" s="346" t="s">
        <v>1720</v>
      </c>
      <c r="E133" s="346" t="s">
        <v>1356</v>
      </c>
      <c r="F133" s="346" t="s">
        <v>1062</v>
      </c>
      <c r="G133" s="346" t="s">
        <v>764</v>
      </c>
      <c r="H133" s="346" t="s">
        <v>1357</v>
      </c>
      <c r="I133" s="347" t="s">
        <v>1718</v>
      </c>
      <c r="J133" t="str">
        <f>IFERROR(__xludf.DUMMYFUNCTION("IFERROR(
    ARRAYFORMULA(
        JOIN(
            CHAR(10) &amp; CHAR(10),
            ""Comment: "" &amp; FILTER(
                'Scores Import DO NOT EDIT'!N:N, 
                'Scores Import DO NOT EDIT'!D:D = A133
            )
        )
    ), 
    ""No"&amp;" comments yet""
)
"),"Comment: 
Comment: 
Comment: I was very impressed by the work being presented and Julio's enthusiasm spread to the audience. I really appreciated his ""Goals"" slide. It is always good to give the audience a clear sense of where things are going. The te"&amp;"xt on the slides with code was too small to read. Credit to Julio for calming speaking through the person who rudely opened the door and asked for directions during his talk!
Comment: ")</f>
        <v>Comment: 
Comment: 
Comment: I was very impressed by the work being presented and Julio's enthusiasm spread to the audience. I really appreciated his "Goals" slide. It is always good to give the audience a clear sense of where things are going. The text on the slides with code was too small to read. Credit to Julio for calming speaking through the person who rudely opened the door and asked for directions during his talk!
Comment: </v>
      </c>
      <c r="K133" t="s">
        <v>4975</v>
      </c>
    </row>
    <row r="134">
      <c r="A134" s="345">
        <v>219.0</v>
      </c>
      <c r="B134" s="346" t="s">
        <v>1722</v>
      </c>
      <c r="C134" s="346" t="s">
        <v>1723</v>
      </c>
      <c r="D134" s="346" t="s">
        <v>1726</v>
      </c>
      <c r="E134" s="346" t="s">
        <v>1492</v>
      </c>
      <c r="F134" s="346" t="s">
        <v>1493</v>
      </c>
      <c r="G134" s="346" t="s">
        <v>764</v>
      </c>
      <c r="H134" s="346" t="s">
        <v>1494</v>
      </c>
      <c r="I134" s="347" t="s">
        <v>1724</v>
      </c>
      <c r="J134" t="str">
        <f>IFERROR(__xludf.DUMMYFUNCTION("IFERROR(
    ARRAYFORMULA(
        JOIN(
            CHAR(10) &amp; CHAR(10),
            ""Comment: "" &amp; FILTER(
                'Scores Import DO NOT EDIT'!N:N, 
                'Scores Import DO NOT EDIT'!D:D = A134
            )
        )
    ), 
    ""No"&amp;" comments yet""
)
"),"Comment: 
Comment: 
Comment: A fantastic study. It is clear that a manuscript has been produced because Nicole's command of the information was evident. If there is one small critique, Nicole spoke a little too quickly and rushed over a few things. I th"&amp;"ink this may have been because many in the audience were also familiar with the study and she knew the material so well. For those of us that weren't, it was a challenge to follow in parts. Nonetheless, a fantastic job!")</f>
        <v>Comment: 
Comment: 
Comment: A fantastic study. It is clear that a manuscript has been produced because Nicole's command of the information was evident. If there is one small critique, Nicole spoke a little too quickly and rushed over a few things. I think this may have been because many in the audience were also familiar with the study and she knew the material so well. For those of us that weren't, it was a challenge to follow in parts. Nonetheless, a fantastic job!</v>
      </c>
      <c r="K134" t="s">
        <v>4976</v>
      </c>
    </row>
    <row r="135">
      <c r="A135" s="349">
        <v>220.0</v>
      </c>
      <c r="B135" s="346" t="s">
        <v>1728</v>
      </c>
      <c r="C135" s="346" t="s">
        <v>1729</v>
      </c>
      <c r="D135" s="346" t="s">
        <v>1731</v>
      </c>
      <c r="E135" s="346" t="s">
        <v>1733</v>
      </c>
      <c r="F135" s="346" t="s">
        <v>1734</v>
      </c>
      <c r="G135" s="346" t="s">
        <v>777</v>
      </c>
      <c r="H135" s="346" t="s">
        <v>1735</v>
      </c>
      <c r="I135" s="347" t="s">
        <v>1730</v>
      </c>
      <c r="J135" t="str">
        <f>IFERROR(__xludf.DUMMYFUNCTION("IFERROR(
    ARRAYFORMULA(
        JOIN(
            CHAR(10) &amp; CHAR(10),
            ""Comment: "" &amp; FILTER(
                'Scores Import DO NOT EDIT'!N:N, 
                'Scores Import DO NOT EDIT'!D:D = A135
            )
        )
    ), 
    ""No"&amp;" comments yet""
)
"),"No comments yet")</f>
        <v>No comments yet</v>
      </c>
      <c r="K135" t="s">
        <v>4820</v>
      </c>
    </row>
    <row r="136">
      <c r="A136" s="345">
        <v>221.0</v>
      </c>
      <c r="B136" s="346" t="s">
        <v>1736</v>
      </c>
      <c r="C136" s="346" t="s">
        <v>1737</v>
      </c>
      <c r="D136" s="346" t="s">
        <v>1740</v>
      </c>
      <c r="E136" s="346" t="s">
        <v>2580</v>
      </c>
      <c r="F136" s="346" t="s">
        <v>955</v>
      </c>
      <c r="G136" s="346" t="s">
        <v>764</v>
      </c>
      <c r="H136" s="346" t="s">
        <v>956</v>
      </c>
      <c r="I136" s="347" t="s">
        <v>1738</v>
      </c>
      <c r="J136" t="str">
        <f>IFERROR(__xludf.DUMMYFUNCTION("IFERROR(
    ARRAYFORMULA(
        JOIN(
            CHAR(10) &amp; CHAR(10),
            ""Comment: "" &amp; FILTER(
                'Scores Import DO NOT EDIT'!N:N, 
                'Scores Import DO NOT EDIT'!D:D = A136
            )
        )
    ), 
    ""No"&amp;" comments yet""
)
"),"Comment: 
Comment: An overall great presentation! First, the quality of the visuals on the slides was top notch. The slides were well organized and I really appreciated how Tatyana walked us through the materials and methods clearly. She also handled the"&amp;" Q&amp;A session very well. Well done!
Comment: 
Comment: ")</f>
        <v>Comment: 
Comment: An overall great presentation! First, the quality of the visuals on the slides was top notch. The slides were well organized and I really appreciated how Tatyana walked us through the materials and methods clearly. She also handled the Q&amp;A session very well. Well done!
Comment: 
Comment: </v>
      </c>
      <c r="K136" t="s">
        <v>4977</v>
      </c>
    </row>
    <row r="137">
      <c r="A137" s="345">
        <v>222.0</v>
      </c>
      <c r="B137" s="346" t="s">
        <v>1742</v>
      </c>
      <c r="C137" s="346" t="s">
        <v>1743</v>
      </c>
      <c r="D137" s="346" t="s">
        <v>1745</v>
      </c>
      <c r="E137" s="346" t="s">
        <v>4978</v>
      </c>
      <c r="F137" s="346" t="s">
        <v>1748</v>
      </c>
      <c r="G137" s="346" t="s">
        <v>1376</v>
      </c>
      <c r="H137" s="346" t="s">
        <v>1749</v>
      </c>
      <c r="I137" s="347" t="s">
        <v>1744</v>
      </c>
      <c r="J137" t="str">
        <f>IFERROR(__xludf.DUMMYFUNCTION("IFERROR(
    ARRAYFORMULA(
        JOIN(
            CHAR(10) &amp; CHAR(10),
            ""Comment: "" &amp; FILTER(
                'Scores Import DO NOT EDIT'!N:N, 
                'Scores Import DO NOT EDIT'!D:D = A137
            )
        )
    ), 
    ""No"&amp;" comments yet""
)
"),"Comment: 
Comment: Simply a great presentation about such important research. I really appreciated the introduction to ALS and how it affects the body to remind those of us who know what ALS is, but don't think about it on a day to day basis. This gave i"&amp;"t a very professional touch whereas others simply jumped into the technical details as if it were a class presentation. Chloe's delivery may have been a bit fast, but it did not detract from the overall message. I would have liked her to have walked us th"&amp;"rough the data plots in a little more detail to explain what each quadrant represented and how/why they differed. I know she was frustrated that she couldn't answer one of the questions more clearly, but these things happen and she handled it perfectly. W"&amp;"ell done!
Comment: ")</f>
        <v>Comment: 
Comment: Simply a great presentation about such important research. I really appreciated the introduction to ALS and how it affects the body to remind those of us who know what ALS is, but don't think about it on a day to day basis. This gave it a very professional touch whereas others simply jumped into the technical details as if it were a class presentation. Chloe's delivery may have been a bit fast, but it did not detract from the overall message. I would have liked her to have walked us through the data plots in a little more detail to explain what each quadrant represented and how/why they differed. I know she was frustrated that she couldn't answer one of the questions more clearly, but these things happen and she handled it perfectly. Well done!
Comment: </v>
      </c>
      <c r="K137" t="s">
        <v>4979</v>
      </c>
    </row>
    <row r="138">
      <c r="A138" s="345">
        <v>223.0</v>
      </c>
      <c r="B138" s="346" t="s">
        <v>1750</v>
      </c>
      <c r="C138" s="346" t="s">
        <v>1751</v>
      </c>
      <c r="D138" s="346" t="s">
        <v>1754</v>
      </c>
      <c r="E138" s="346" t="s">
        <v>1067</v>
      </c>
      <c r="F138" s="346" t="s">
        <v>1068</v>
      </c>
      <c r="G138" s="346" t="s">
        <v>784</v>
      </c>
      <c r="H138" s="346" t="s">
        <v>1069</v>
      </c>
      <c r="I138" s="347" t="s">
        <v>1752</v>
      </c>
      <c r="J138" t="str">
        <f>IFERROR(__xludf.DUMMYFUNCTION("IFERROR(
    ARRAYFORMULA(
        JOIN(
            CHAR(10) &amp; CHAR(10),
            ""Comment: "" &amp; FILTER(
                'Scores Import DO NOT EDIT'!N:N, 
                'Scores Import DO NOT EDIT'!D:D = A138
            )
        )
    ), 
    ""No"&amp;" comments yet""
)
"),"Comment: Very interesting topic, well presented with clear slides. Nice connections to theory throughout. 
Comment: Well-rehearsed, confident presentation style. Strong answers to audience questions. 
An extremely compelling topic with unique methodology"&amp;".
The argument/thesis got a little lost in theory -- most clear and compelling claim is that ""children are active in creating their reality."" Foreground that point, and everything else falls into place as evidence to support your claim. 
Before jumping "&amp;"into the theoretical analysis of each case, which was compelling, it would be great to hear more of a brief introduction of each case and where their stories came from.
It would also be great to hear more reflection on what is available to know about thes"&amp;"e children, given that their stories are refracted through social worker interpretations.
Through the questions and answers, I learned a lot more about the methodology that was very helpful.
Comment: ")</f>
        <v>Comment: Very interesting topic, well presented with clear slides. Nice connections to theory throughout. 
Comment: Well-rehearsed, confident presentation style. Strong answers to audience questions. 
An extremely compelling topic with unique methodology.
The argument/thesis got a little lost in theory -- most clear and compelling claim is that "children are active in creating their reality." Foreground that point, and everything else falls into place as evidence to support your claim. 
Before jumping into the theoretical analysis of each case, which was compelling, it would be great to hear more of a brief introduction of each case and where their stories came from.
It would also be great to hear more reflection on what is available to know about these children, given that their stories are refracted through social worker interpretations.
Through the questions and answers, I learned a lot more about the methodology that was very helpful.
Comment: </v>
      </c>
      <c r="K138" t="s">
        <v>4980</v>
      </c>
    </row>
    <row r="139">
      <c r="A139" s="345">
        <v>224.0</v>
      </c>
      <c r="B139" s="346" t="s">
        <v>1579</v>
      </c>
      <c r="C139" s="346" t="s">
        <v>1756</v>
      </c>
      <c r="D139" s="346" t="s">
        <v>1759</v>
      </c>
      <c r="E139" s="346" t="s">
        <v>1761</v>
      </c>
      <c r="F139" s="346" t="s">
        <v>1762</v>
      </c>
      <c r="G139" s="346" t="s">
        <v>753</v>
      </c>
      <c r="H139" s="346" t="s">
        <v>1763</v>
      </c>
      <c r="I139" s="347" t="s">
        <v>1757</v>
      </c>
      <c r="J139" t="str">
        <f>IFERROR(__xludf.DUMMYFUNCTION("IFERROR(
    ARRAYFORMULA(
        JOIN(
            CHAR(10) &amp; CHAR(10),
            ""Comment: "" &amp; FILTER(
                'Scores Import DO NOT EDIT'!N:N, 
                'Scores Import DO NOT EDIT'!D:D = A139
            )
        )
    ), 
    ""No"&amp;" comments yet""
)
"),"Comment: Very interesting topic and a good, clear presentation. The presenter conveyed his enthusiasm for the research topic. 
Comment: Well-rehearsed presentation, clearly this student has given many presentations before. 
Organized presentation with cl"&amp;"ear beginning, middle, and end.
Comfortable responses to audience questions.
This is a topic that many people are very interested and passionate in, it's a great path to go for a senior thesis. 
At least one concrete example from media treatment of women "&amp;"in sport would be very helpful to illustrate your model, otherwise the model is very abstract.
I encourage the student to revisit the idea that you can't challenge the ""facts"" about women's biology. In ""fact,"" there is a lot of scholarship that challe"&amp;"nges assumptions about women performing less well in sport than men. One point is that the average woman athlete is stronger, faster than the average man who is not an athlete. Professional women athletes can outperform the average guy on the street any d"&amp;"ay, but there are dominant discourses to the contrary. The question then becomes, how do messages about women and sport reinforce the assumption that women are less capable of athletics than men. 
Comment: ")</f>
        <v>Comment: Very interesting topic and a good, clear presentation. The presenter conveyed his enthusiasm for the research topic. 
Comment: Well-rehearsed presentation, clearly this student has given many presentations before. 
Organized presentation with clear beginning, middle, and end.
Comfortable responses to audience questions.
This is a topic that many people are very interested and passionate in, it's a great path to go for a senior thesis. 
At least one concrete example from media treatment of women in sport would be very helpful to illustrate your model, otherwise the model is very abstract.
I encourage the student to revisit the idea that you can't challenge the "facts" about women's biology. In "fact," there is a lot of scholarship that challenges assumptions about women performing less well in sport than men. One point is that the average woman athlete is stronger, faster than the average man who is not an athlete. Professional women athletes can outperform the average guy on the street any day, but there are dominant discourses to the contrary. The question then becomes, how do messages about women and sport reinforce the assumption that women are less capable of athletics than men. 
Comment: </v>
      </c>
      <c r="K139" t="s">
        <v>4981</v>
      </c>
    </row>
    <row r="140">
      <c r="A140" s="345">
        <v>225.0</v>
      </c>
      <c r="B140" s="346" t="s">
        <v>1764</v>
      </c>
      <c r="C140" s="346" t="s">
        <v>1765</v>
      </c>
      <c r="D140" s="346" t="s">
        <v>1768</v>
      </c>
      <c r="E140" s="346" t="s">
        <v>1770</v>
      </c>
      <c r="F140" s="346" t="s">
        <v>1771</v>
      </c>
      <c r="G140" s="346" t="s">
        <v>753</v>
      </c>
      <c r="H140" s="346" t="s">
        <v>1772</v>
      </c>
      <c r="I140" s="347" t="s">
        <v>1766</v>
      </c>
      <c r="J140" t="str">
        <f>IFERROR(__xludf.DUMMYFUNCTION("IFERROR(
    ARRAYFORMULA(
        JOIN(
            CHAR(10) &amp; CHAR(10),
            ""Comment: "" &amp; FILTER(
                'Scores Import DO NOT EDIT'!N:N, 
                'Scores Import DO NOT EDIT'!D:D = A140
            )
        )
    ), 
    ""No"&amp;" comments yet""
)
"),"Comment: Really interesting and important research. Beautiful slides. I encourage the presenter to share her study and findings with the museum. 
Comment: This was a really strong project, very clear methodology, and really original topic. 
Well-rehearse"&amp;"d and strongly organized presentation. 
Great job responding to audience questions.
Great abstract.
Impressed with inclusive language and the wide range of disabilities that were considered. 
Encourage the presenter to continue working on this topic, but "&amp;"to also consider community stakeholder involvement in determining museum accessiblity, as she mentioned during one the questions.
Comment: ")</f>
        <v>Comment: Really interesting and important research. Beautiful slides. I encourage the presenter to share her study and findings with the museum. 
Comment: This was a really strong project, very clear methodology, and really original topic. 
Well-rehearsed and strongly organized presentation. 
Great job responding to audience questions.
Great abstract.
Impressed with inclusive language and the wide range of disabilities that were considered. 
Encourage the presenter to continue working on this topic, but to also consider community stakeholder involvement in determining museum accessiblity, as she mentioned during one the questions.
Comment: </v>
      </c>
      <c r="K140" t="s">
        <v>4982</v>
      </c>
    </row>
    <row r="141">
      <c r="A141" s="345">
        <v>226.0</v>
      </c>
      <c r="B141" s="346" t="s">
        <v>4983</v>
      </c>
      <c r="C141" s="346" t="s">
        <v>1774</v>
      </c>
      <c r="D141" s="346" t="s">
        <v>4984</v>
      </c>
      <c r="E141" s="346" t="s">
        <v>1779</v>
      </c>
      <c r="F141" s="346" t="s">
        <v>1780</v>
      </c>
      <c r="G141" s="346" t="s">
        <v>784</v>
      </c>
      <c r="H141" s="346" t="s">
        <v>1781</v>
      </c>
      <c r="I141" s="347" t="s">
        <v>1775</v>
      </c>
      <c r="J141" t="str">
        <f>IFERROR(__xludf.DUMMYFUNCTION("IFERROR(
    ARRAYFORMULA(
        JOIN(
            CHAR(10) &amp; CHAR(10),
            ""Comment: "" &amp; FILTER(
                'Scores Import DO NOT EDIT'!N:N, 
                'Scores Import DO NOT EDIT'!D:D = A141
            )
        )
    ), 
    ""No"&amp;" comments yet""
)
"),"Comment: Really interesting and important topic. Very impressive for a 1st year student! I can't want to see where he goes with this and what he presents next year. 
Comment: A really interesting topic and compelling argument. It is still a bit underdeve"&amp;"loped at this point. With some further research, and thinking through the methodology, this will be a great research project. 
There was a slide at the beginning that suggested that the presenter was going to ""challenge the idea that incel culture is har"&amp;"mful/dangerous."" I had a cringe moment before the presenter moved on and I realized that is not exactly what they meant. Work to clarify the point, as I understand it, that you are arguing that it is not a mental health issue, it is an issue of misogyny."&amp;" 
Confident presentation and response to question. Clearly the presenter had done a lot of research and knew a lot about the topic. 
Comment: ")</f>
        <v>Comment: Really interesting and important topic. Very impressive for a 1st year student! I can't want to see where he goes with this and what he presents next year. 
Comment: A really interesting topic and compelling argument. It is still a bit underdeveloped at this point. With some further research, and thinking through the methodology, this will be a great research project. 
There was a slide at the beginning that suggested that the presenter was going to "challenge the idea that incel culture is harmful/dangerous." I had a cringe moment before the presenter moved on and I realized that is not exactly what they meant. Work to clarify the point, as I understand it, that you are arguing that it is not a mental health issue, it is an issue of misogyny. 
Confident presentation and response to question. Clearly the presenter had done a lot of research and knew a lot about the topic. 
Comment: </v>
      </c>
      <c r="K141" t="s">
        <v>4985</v>
      </c>
    </row>
    <row r="142">
      <c r="A142" s="345">
        <v>227.0</v>
      </c>
      <c r="B142" s="346" t="s">
        <v>1783</v>
      </c>
      <c r="C142" s="346" t="s">
        <v>1784</v>
      </c>
      <c r="D142" s="346" t="s">
        <v>1787</v>
      </c>
      <c r="E142" s="346" t="s">
        <v>1790</v>
      </c>
      <c r="F142" s="346" t="s">
        <v>2102</v>
      </c>
      <c r="G142" s="346" t="s">
        <v>1789</v>
      </c>
      <c r="H142" s="346" t="s">
        <v>1792</v>
      </c>
      <c r="I142" s="347" t="s">
        <v>1785</v>
      </c>
      <c r="J142" t="str">
        <f>IFERROR(__xludf.DUMMYFUNCTION("IFERROR(
    ARRAYFORMULA(
        JOIN(
            CHAR(10) &amp; CHAR(10),
            ""Comment: "" &amp; FILTER(
                'Scores Import DO NOT EDIT'!N:N, 
                'Scores Import DO NOT EDIT'!D:D = A142
            )
        )
    ), 
    ""No"&amp;" comments yet""
)
"),"Comment: Very interesting work and great presentation. The presenter conveyed her enthusiam for the author and the work. It would have been good to start with a framework that explained more the purpose of the analysis. A lot of things came out in the Q&amp;A"&amp;" that would have been great to include in the presentation. Wonderful work!
Comment: Well-rehearsed presentation on a topic that the student clearly has thought a lot about. 
However, the methodology of the research is very unclear. The presentation at t"&amp;"his point is like a book report, with the student having the beginnings of analysis and interpretation of the meaning of the book. I encourage the student to do some more thinking about what is the meaning of the novel, and how does the author convey that"&amp;" meaning through the symbols and other devices. 
Comment: ")</f>
        <v>Comment: Very interesting work and great presentation. The presenter conveyed her enthusiam for the author and the work. It would have been good to start with a framework that explained more the purpose of the analysis. A lot of things came out in the Q&amp;A that would have been great to include in the presentation. Wonderful work!
Comment: Well-rehearsed presentation on a topic that the student clearly has thought a lot about. 
However, the methodology of the research is very unclear. The presentation at this point is like a book report, with the student having the beginnings of analysis and interpretation of the meaning of the book. I encourage the student to do some more thinking about what is the meaning of the novel, and how does the author convey that meaning through the symbols and other devices. 
Comment: </v>
      </c>
      <c r="K142" t="s">
        <v>4986</v>
      </c>
    </row>
    <row r="143">
      <c r="A143" s="345">
        <v>228.0</v>
      </c>
      <c r="B143" s="346" t="s">
        <v>1793</v>
      </c>
      <c r="C143" s="346" t="s">
        <v>1794</v>
      </c>
      <c r="D143" s="346" t="s">
        <v>4987</v>
      </c>
      <c r="E143" s="346" t="s">
        <v>1799</v>
      </c>
      <c r="F143" s="346" t="s">
        <v>1800</v>
      </c>
      <c r="G143" s="346" t="s">
        <v>753</v>
      </c>
      <c r="H143" s="346" t="s">
        <v>1801</v>
      </c>
      <c r="I143" s="347" t="s">
        <v>1795</v>
      </c>
      <c r="J143" t="str">
        <f>IFERROR(__xludf.DUMMYFUNCTION("IFERROR(
    ARRAYFORMULA(
        JOIN(
            CHAR(10) &amp; CHAR(10),
            ""Comment: "" &amp; FILTER(
                'Scores Import DO NOT EDIT'!N:N, 
                'Scores Import DO NOT EDIT'!D:D = A143
            )
        )
    ), 
    ""No"&amp;" comments yet""
)
"),"Comment: This was the best presentation I saw at the symposium. Well rehearsed, with strong presence. Visually strong slideshow and the music was a nice multimedia addition. Strong organization with clear thesis and evidence to support. Close reading of o"&amp;"ne song as a method is very compelling. Being familiar with this history, I was impressed that I learned knew things and learned about how to teach this topic from a new angle. The student was even able to respond to a very specific question I asked. Grea"&amp;"t job.
Comment: ")</f>
        <v>Comment: This was the best presentation I saw at the symposium. Well rehearsed, with strong presence. Visually strong slideshow and the music was a nice multimedia addition. Strong organization with clear thesis and evidence to support. Close reading of one song as a method is very compelling. Being familiar with this history, I was impressed that I learned knew things and learned about how to teach this topic from a new angle. The student was even able to respond to a very specific question I asked. Great job.
Comment: </v>
      </c>
      <c r="K143" t="s">
        <v>4988</v>
      </c>
    </row>
    <row r="144">
      <c r="A144" s="345">
        <v>229.0</v>
      </c>
      <c r="B144" s="346" t="s">
        <v>1802</v>
      </c>
      <c r="C144" s="346" t="s">
        <v>1803</v>
      </c>
      <c r="D144" s="346" t="s">
        <v>1806</v>
      </c>
      <c r="E144" s="346" t="s">
        <v>1808</v>
      </c>
      <c r="F144" s="346" t="s">
        <v>1809</v>
      </c>
      <c r="G144" s="346" t="s">
        <v>784</v>
      </c>
      <c r="H144" s="346" t="s">
        <v>1810</v>
      </c>
      <c r="I144" s="347" t="s">
        <v>1804</v>
      </c>
      <c r="J144" t="str">
        <f>IFERROR(__xludf.DUMMYFUNCTION("IFERROR(
    ARRAYFORMULA(
        JOIN(
            CHAR(10) &amp; CHAR(10),
            ""Comment: "" &amp; FILTER(
                'Scores Import DO NOT EDIT'!N:N, 
                'Scores Import DO NOT EDIT'!D:D = A144
            )
        )
    ), 
    ""No"&amp;" comments yet""
)
"),"Comment: 
Comment: Thank you for the content warning prior to starting the presentation. having an agenda slide would have been helpful to set the tone of the presentation. More information on methods- recruitment strategies, n sought, planned analysis e"&amp;"tc. I understand do not have results yet to present, but helpful to have what the plan was.  How was the study funded? 
Comment: Presenter was able to present and communicate on a heavy topic to the audience. Presenter could improve on the presentation s"&amp;"tyle by standing in front on the audience instead of behind as desk to help remove any defenisve barrier with the audienece.")</f>
        <v>Comment: 
Comment: Thank you for the content warning prior to starting the presentation. having an agenda slide would have been helpful to set the tone of the presentation. More information on methods- recruitment strategies, n sought, planned analysis etc. I understand do not have results yet to present, but helpful to have what the plan was.  How was the study funded? 
Comment: Presenter was able to present and communicate on a heavy topic to the audience. Presenter could improve on the presentation style by standing in front on the audience instead of behind as desk to help remove any defenisve barrier with the audienece.</v>
      </c>
      <c r="K144" t="s">
        <v>4989</v>
      </c>
    </row>
    <row r="145">
      <c r="A145" s="345">
        <v>230.0</v>
      </c>
      <c r="B145" s="346" t="s">
        <v>1811</v>
      </c>
      <c r="C145" s="346" t="s">
        <v>1812</v>
      </c>
      <c r="D145" s="346" t="s">
        <v>4990</v>
      </c>
      <c r="E145" s="346" t="s">
        <v>754</v>
      </c>
      <c r="F145" s="346" t="s">
        <v>1266</v>
      </c>
      <c r="G145" s="346" t="s">
        <v>753</v>
      </c>
      <c r="H145" s="346" t="s">
        <v>756</v>
      </c>
      <c r="I145" s="347" t="s">
        <v>1813</v>
      </c>
      <c r="J145" t="str">
        <f>IFERROR(__xludf.DUMMYFUNCTION("IFERROR(
    ARRAYFORMULA(
        JOIN(
            CHAR(10) &amp; CHAR(10),
            ""Comment: "" &amp; FILTER(
                'Scores Import DO NOT EDIT'!N:N, 
                'Scores Import DO NOT EDIT'!D:D = A145
            )
        )
    ), 
    ""No"&amp;" comments yet""
)
"),"Comment: 
Comment: Great topic. Would have been helpful to present table of sample/participants etc. discussion on how programs like project rebound at SDSU could build upon these results. 
Comment: Presenter was great with the delivery of their present"&amp;"ation putting emphasis in the annunciation, tone, and mannerisms. The presenter could benefit from not relying too much on power point slides to create a deeper connection with the audience.")</f>
        <v>Comment: 
Comment: Great topic. Would have been helpful to present table of sample/participants etc. discussion on how programs like project rebound at SDSU could build upon these results. 
Comment: Presenter was great with the delivery of their presentation putting emphasis in the annunciation, tone, and mannerisms. The presenter could benefit from not relying too much on power point slides to create a deeper connection with the audience.</v>
      </c>
      <c r="K145" t="s">
        <v>4991</v>
      </c>
    </row>
    <row r="146">
      <c r="A146" s="345">
        <v>231.0</v>
      </c>
      <c r="B146" s="346" t="s">
        <v>1817</v>
      </c>
      <c r="C146" s="346" t="s">
        <v>1818</v>
      </c>
      <c r="D146" s="346" t="s">
        <v>1821</v>
      </c>
      <c r="E146" s="346" t="s">
        <v>1386</v>
      </c>
      <c r="F146" s="346" t="s">
        <v>1823</v>
      </c>
      <c r="G146" s="346" t="s">
        <v>893</v>
      </c>
      <c r="H146" s="346" t="s">
        <v>1824</v>
      </c>
      <c r="I146" s="347" t="s">
        <v>1819</v>
      </c>
      <c r="J146" t="str">
        <f>IFERROR(__xludf.DUMMYFUNCTION("IFERROR(
    ARRAYFORMULA(
        JOIN(
            CHAR(10) &amp; CHAR(10),
            ""Comment: "" &amp; FILTER(
                'Scores Import DO NOT EDIT'!N:N, 
                'Scores Import DO NOT EDIT'!D:D = A146
            )
        )
    ), 
    ""No"&amp;" comments yet""
)
"),"Comment: Appreciated the terms defined at the beginning of the presentation. Presenter certainly understood the material however looked at slides often. Not necessarily reading though. Really important work and well done focusing your time here. 
Comment"&amp;": Nicely done. Very interesting topic and love the community based research approach. 
Comment: 
Comment: Presenter did a great job with giving the audience context of the subject to allow a better understanding of the presented information. Presnter co"&amp;"uld benefit from slowing down and not rushing through the conclusion at the end.")</f>
        <v>Comment: Appreciated the terms defined at the beginning of the presentation. Presenter certainly understood the material however looked at slides often. Not necessarily reading though. Really important work and well done focusing your time here. 
Comment: Nicely done. Very interesting topic and love the community based research approach. 
Comment: 
Comment: Presenter did a great job with giving the audience context of the subject to allow a better understanding of the presented information. Presnter could benefit from slowing down and not rushing through the conclusion at the end.</v>
      </c>
      <c r="K146" t="s">
        <v>4992</v>
      </c>
    </row>
    <row r="147">
      <c r="A147" s="345">
        <v>232.0</v>
      </c>
      <c r="B147" s="346" t="s">
        <v>1825</v>
      </c>
      <c r="C147" s="346" t="s">
        <v>1826</v>
      </c>
      <c r="D147" s="346" t="s">
        <v>1829</v>
      </c>
      <c r="E147" s="346" t="s">
        <v>1425</v>
      </c>
      <c r="F147" s="346" t="s">
        <v>1831</v>
      </c>
      <c r="G147" s="346" t="s">
        <v>893</v>
      </c>
      <c r="H147" s="346" t="s">
        <v>1832</v>
      </c>
      <c r="I147" s="347" t="s">
        <v>1827</v>
      </c>
      <c r="J147" t="str">
        <f>IFERROR(__xludf.DUMMYFUNCTION("IFERROR(
    ARRAYFORMULA(
        JOIN(
            CHAR(10) &amp; CHAR(10),
            ""Comment: "" &amp; FILTER(
                'Scores Import DO NOT EDIT'!N:N, 
                'Scores Import DO NOT EDIT'!D:D = A147
            )
        )
    ), 
    ""No"&amp;" comments yet""
)
"),"Comment: Well practiced. Appreciated the audience participation in asking questions. Slides helped presentation, did not distract. Took a long time to get to research questions though. I would have like to see a much shorter introduction, although it did "&amp;"help the audience set the stage as to why the problems is a problem. Good job identifying limitations
Comment: Nicely done. Very interesting topic! Would have liked to seen more visual data represented on the means of knowledge and attitude. 
Comment: ")</f>
        <v>Comment: Well practiced. Appreciated the audience participation in asking questions. Slides helped presentation, did not distract. Took a long time to get to research questions though. I would have like to see a much shorter introduction, although it did help the audience set the stage as to why the problems is a problem. Good job identifying limitations
Comment: Nicely done. Very interesting topic! Would have liked to seen more visual data represented on the means of knowledge and attitude. 
Comment: </v>
      </c>
      <c r="K147" t="s">
        <v>4993</v>
      </c>
    </row>
    <row r="148">
      <c r="A148" s="345">
        <v>233.0</v>
      </c>
      <c r="B148" s="346" t="s">
        <v>1141</v>
      </c>
      <c r="C148" s="346" t="s">
        <v>1833</v>
      </c>
      <c r="D148" s="346" t="s">
        <v>1836</v>
      </c>
      <c r="E148" s="346" t="s">
        <v>1838</v>
      </c>
      <c r="F148" s="346" t="s">
        <v>1839</v>
      </c>
      <c r="G148" s="346" t="s">
        <v>893</v>
      </c>
      <c r="H148" s="346" t="s">
        <v>1840</v>
      </c>
      <c r="I148" s="347" t="s">
        <v>1834</v>
      </c>
      <c r="J148" t="str">
        <f>IFERROR(__xludf.DUMMYFUNCTION("IFERROR(
    ARRAYFORMULA(
        JOIN(
            CHAR(10) &amp; CHAR(10),
            ""Comment: "" &amp; FILTER(
                'Scores Import DO NOT EDIT'!N:N, 
                'Scores Import DO NOT EDIT'!D:D = A148
            )
        )
    ), 
    ""No"&amp;" comments yet""
)
"),"Comment: Very interesting study and you set up the foundational components well, especially for someone not in your field. Relied on notes a bit. Trust the work you’ve done so far, clear you know a lot on the topic. The pictures supported and helped me ke"&amp;"ep track which what was, very helpful. Well done answering our questions. 
Comment: ")</f>
        <v>Comment: Very interesting study and you set up the foundational components well, especially for someone not in your field. Relied on notes a bit. Trust the work you’ve done so far, clear you know a lot on the topic. The pictures supported and helped me keep track which what was, very helpful. Well done answering our questions. 
Comment: </v>
      </c>
      <c r="K148" t="s">
        <v>4994</v>
      </c>
    </row>
    <row r="149">
      <c r="A149" s="345">
        <v>234.0</v>
      </c>
      <c r="B149" s="346" t="s">
        <v>1089</v>
      </c>
      <c r="C149" s="346" t="s">
        <v>1841</v>
      </c>
      <c r="D149" s="346" t="s">
        <v>1844</v>
      </c>
      <c r="E149" s="346" t="s">
        <v>1848</v>
      </c>
      <c r="F149" s="346" t="s">
        <v>1849</v>
      </c>
      <c r="G149" s="346" t="s">
        <v>764</v>
      </c>
      <c r="H149" s="346" t="s">
        <v>1850</v>
      </c>
      <c r="I149" s="347" t="s">
        <v>1842</v>
      </c>
      <c r="J149" t="str">
        <f>IFERROR(__xludf.DUMMYFUNCTION("IFERROR(
    ARRAYFORMULA(
        JOIN(
            CHAR(10) &amp; CHAR(10),
            ""Comment: "" &amp; FILTER(
                'Scores Import DO NOT EDIT'!N:N, 
                'Scores Import DO NOT EDIT'!D:D = A149
            )
        )
    ), 
    ""No"&amp;" comments yet""
)
"),"Comment: Well done setting the stage for us. Divided the presentation well. Often relied on slides instead of eye contact with the audience. It is clear you both know and understand the project well, rely on that knowledge. Very interesting and necessary "&amp;"work. 
Comment: ")</f>
        <v>Comment: Well done setting the stage for us. Divided the presentation well. Often relied on slides instead of eye contact with the audience. It is clear you both know and understand the project well, rely on that knowledge. Very interesting and necessary work. 
Comment: </v>
      </c>
      <c r="K149" t="s">
        <v>4995</v>
      </c>
    </row>
    <row r="150">
      <c r="A150" s="349">
        <v>235.0</v>
      </c>
      <c r="B150" s="346" t="s">
        <v>1851</v>
      </c>
      <c r="C150" s="346" t="s">
        <v>1851</v>
      </c>
      <c r="D150" s="346" t="s">
        <v>1853</v>
      </c>
      <c r="E150" s="346" t="s">
        <v>2863</v>
      </c>
      <c r="F150" s="346" t="s">
        <v>1856</v>
      </c>
      <c r="G150" s="346" t="s">
        <v>764</v>
      </c>
      <c r="H150" s="346" t="s">
        <v>1857</v>
      </c>
      <c r="I150" s="347" t="s">
        <v>1852</v>
      </c>
      <c r="J150" t="str">
        <f>IFERROR(__xludf.DUMMYFUNCTION("IFERROR(
    ARRAYFORMULA(
        JOIN(
            CHAR(10) &amp; CHAR(10),
            ""Comment: "" &amp; FILTER(
                'Scores Import DO NOT EDIT'!N:N, 
                'Scores Import DO NOT EDIT'!D:D = A150
            )
        )
    ), 
    ""No"&amp;" comments yet""
)
"),"No comments yet")</f>
        <v>No comments yet</v>
      </c>
      <c r="K150" t="s">
        <v>4820</v>
      </c>
    </row>
    <row r="151">
      <c r="A151" s="345">
        <v>236.0</v>
      </c>
      <c r="B151" s="346" t="s">
        <v>1858</v>
      </c>
      <c r="C151" s="346" t="s">
        <v>1859</v>
      </c>
      <c r="D151" s="346" t="s">
        <v>1862</v>
      </c>
      <c r="E151" s="346" t="s">
        <v>1865</v>
      </c>
      <c r="F151" s="346" t="s">
        <v>1866</v>
      </c>
      <c r="G151" s="346" t="s">
        <v>764</v>
      </c>
      <c r="H151" s="346" t="s">
        <v>1867</v>
      </c>
      <c r="I151" s="347" t="s">
        <v>1860</v>
      </c>
      <c r="J151" t="str">
        <f>IFERROR(__xludf.DUMMYFUNCTION("IFERROR(
    ARRAYFORMULA(
        JOIN(
            CHAR(10) &amp; CHAR(10),
            ""Comment: "" &amp; FILTER(
                'Scores Import DO NOT EDIT'!N:N, 
                'Scores Import DO NOT EDIT'!D:D = A151
            )
        )
    ), 
    ""No"&amp;" comments yet""
)
"),"Comment: Great work, keep it up. Look for genetic interactions 
Comment: 
Comment: Thank you for a well presented research project. The two students showed a professional stance and spoke well. I was impressed with the knowledge of their fields. 
Comme"&amp;"nt: Nice personal story at start! Font on initial slide too small to read from audience. 
Comment: Both presenters were excellent. Very clear and also showed excellent knowledge of project. Might include human relevance upfront to generate interest.  ")</f>
        <v>Comment: Great work, keep it up. Look for genetic interactions 
Comment: 
Comment: Thank you for a well presented research project. The two students showed a professional stance and spoke well. I was impressed with the knowledge of their fields. 
Comment: Nice personal story at start! Font on initial slide too small to read from audience. 
Comment: Both presenters were excellent. Very clear and also showed excellent knowledge of project. Might include human relevance upfront to generate interest.  </v>
      </c>
      <c r="K151" t="s">
        <v>4996</v>
      </c>
    </row>
    <row r="152">
      <c r="A152" s="345">
        <v>237.0</v>
      </c>
      <c r="B152" s="346" t="s">
        <v>1868</v>
      </c>
      <c r="C152" s="346" t="s">
        <v>1869</v>
      </c>
      <c r="D152" s="346" t="s">
        <v>1872</v>
      </c>
      <c r="E152" s="346" t="s">
        <v>963</v>
      </c>
      <c r="F152" s="346" t="s">
        <v>964</v>
      </c>
      <c r="G152" s="346" t="s">
        <v>764</v>
      </c>
      <c r="H152" s="346" t="s">
        <v>965</v>
      </c>
      <c r="I152" s="347" t="s">
        <v>1870</v>
      </c>
      <c r="J152" t="str">
        <f>IFERROR(__xludf.DUMMYFUNCTION("IFERROR(
    ARRAYFORMULA(
        JOIN(
            CHAR(10) &amp; CHAR(10),
            ""Comment: "" &amp; FILTER(
                'Scores Import DO NOT EDIT'!N:N, 
                'Scores Import DO NOT EDIT'!D:D = A152
            )
        )
    ), 
    ""No"&amp;" comments yet""
)
"),"Comment: Great work! You may want to explore the use of ML
Comment: 
Comment: Great enthusiasm! Would be good to fully wait for audience question before answering.  
Comment: Very knowledgeable and well presented. Good effort at plant analogy. Still it"&amp;" was complex and perhaps less data and more focus would help the nonspecialist audience.  ")</f>
        <v>Comment: Great work! You may want to explore the use of ML
Comment: 
Comment: Great enthusiasm! Would be good to fully wait for audience question before answering.  
Comment: Very knowledgeable and well presented. Good effort at plant analogy. Still it was complex and perhaps less data and more focus would help the nonspecialist audience.  </v>
      </c>
      <c r="K152" t="s">
        <v>4997</v>
      </c>
    </row>
    <row r="153">
      <c r="A153" s="345">
        <v>238.0</v>
      </c>
      <c r="B153" s="346" t="s">
        <v>1875</v>
      </c>
      <c r="C153" s="346" t="s">
        <v>1876</v>
      </c>
      <c r="D153" s="346" t="s">
        <v>1879</v>
      </c>
      <c r="E153" s="346" t="s">
        <v>1881</v>
      </c>
      <c r="F153" s="346" t="s">
        <v>1866</v>
      </c>
      <c r="G153" s="346" t="s">
        <v>764</v>
      </c>
      <c r="H153" s="346" t="s">
        <v>1867</v>
      </c>
      <c r="I153" s="347" t="s">
        <v>1877</v>
      </c>
      <c r="J153" t="str">
        <f>IFERROR(__xludf.DUMMYFUNCTION("IFERROR(
    ARRAYFORMULA(
        JOIN(
            CHAR(10) &amp; CHAR(10),
            ""Comment: "" &amp; FILTER(
                'Scores Import DO NOT EDIT'!N:N, 
                'Scores Import DO NOT EDIT'!D:D = A153
            )
        )
    ), 
    ""No"&amp;" comments yet""
)
"),"Comment: 
Comment: Great work, think of the next steps in your research.
Comment: Small fonts on some slides. Nice presentation. 
Comment: Overall very nice talk. Need to explain some technical aspects for the non specialist audience, eg imaginal disc,"&amp;" UAS sequence. ")</f>
        <v>Comment: 
Comment: Great work, think of the next steps in your research.
Comment: Small fonts on some slides. Nice presentation. 
Comment: Overall very nice talk. Need to explain some technical aspects for the non specialist audience, eg imaginal disc, UAS sequence. </v>
      </c>
      <c r="K153" t="s">
        <v>4998</v>
      </c>
    </row>
    <row r="154">
      <c r="A154" s="345">
        <v>239.0</v>
      </c>
      <c r="B154" s="346" t="s">
        <v>1882</v>
      </c>
      <c r="C154" s="346" t="s">
        <v>1883</v>
      </c>
      <c r="D154" s="346" t="s">
        <v>1886</v>
      </c>
      <c r="E154" s="346" t="s">
        <v>972</v>
      </c>
      <c r="F154" s="346" t="s">
        <v>973</v>
      </c>
      <c r="G154" s="346" t="s">
        <v>764</v>
      </c>
      <c r="H154" s="346" t="s">
        <v>974</v>
      </c>
      <c r="I154" s="347" t="s">
        <v>1884</v>
      </c>
      <c r="J154" t="str">
        <f>IFERROR(__xludf.DUMMYFUNCTION("IFERROR(
    ARRAYFORMULA(
        JOIN(
            CHAR(10) &amp; CHAR(10),
            ""Comment: "" &amp; FILTER(
                'Scores Import DO NOT EDIT'!N:N, 
                'Scores Import DO NOT EDIT'!D:D = A154
            )
        )
    ), 
    ""No"&amp;" comments yet""
)
"),"Comment: Great work! You may want to increase your sampling size and see if the results change, particularly for genetic diversity 
Comment: 
Comment: Interesting question .  Some slide fonts are TOO small for audience to read! 
Comment: Generally well"&amp;" done and nice audience interaction. ")</f>
        <v>Comment: Great work! You may want to increase your sampling size and see if the results change, particularly for genetic diversity 
Comment: 
Comment: Interesting question .  Some slide fonts are TOO small for audience to read! 
Comment: Generally well done and nice audience interaction. </v>
      </c>
      <c r="K154" t="s">
        <v>4999</v>
      </c>
    </row>
    <row r="155">
      <c r="A155" s="345">
        <v>240.0</v>
      </c>
      <c r="B155" s="346" t="s">
        <v>1888</v>
      </c>
      <c r="C155" s="346" t="s">
        <v>1889</v>
      </c>
      <c r="D155" s="346" t="s">
        <v>1892</v>
      </c>
      <c r="E155" s="346" t="s">
        <v>1894</v>
      </c>
      <c r="F155" s="346" t="s">
        <v>1895</v>
      </c>
      <c r="G155" s="346" t="s">
        <v>764</v>
      </c>
      <c r="H155" s="346" t="s">
        <v>1896</v>
      </c>
      <c r="I155" s="347" t="s">
        <v>1890</v>
      </c>
      <c r="J155" t="str">
        <f>IFERROR(__xludf.DUMMYFUNCTION("IFERROR(
    ARRAYFORMULA(
        JOIN(
            CHAR(10) &amp; CHAR(10),
            ""Comment: "" &amp; FILTER(
                'Scores Import DO NOT EDIT'!N:N, 
                'Scores Import DO NOT EDIT'!D:D = A155
            )
        )
    ), 
    ""No"&amp;" comments yet""
)
"),"Comment: 
Comment: Great work, you may want to think on the next steps in your research 
Comment: 
Comment: Clearly knows the material and explains it very well. ")</f>
        <v>Comment: 
Comment: Great work, you may want to think on the next steps in your research 
Comment: 
Comment: Clearly knows the material and explains it very well. </v>
      </c>
      <c r="K155" t="s">
        <v>5000</v>
      </c>
    </row>
    <row r="156">
      <c r="A156" s="345">
        <v>241.0</v>
      </c>
      <c r="B156" s="346" t="s">
        <v>912</v>
      </c>
      <c r="C156" s="346" t="s">
        <v>940</v>
      </c>
      <c r="D156" s="346" t="s">
        <v>1897</v>
      </c>
      <c r="E156" s="346" t="s">
        <v>945</v>
      </c>
      <c r="F156" s="346" t="s">
        <v>928</v>
      </c>
      <c r="G156" s="346" t="s">
        <v>784</v>
      </c>
      <c r="H156" s="346" t="s">
        <v>929</v>
      </c>
      <c r="I156" s="347" t="s">
        <v>941</v>
      </c>
      <c r="J156" t="str">
        <f>IFERROR(__xludf.DUMMYFUNCTION("IFERROR(
    ARRAYFORMULA(
        JOIN(
            CHAR(10) &amp; CHAR(10),
            ""Comment: "" &amp; FILTER(
                'Scores Import DO NOT EDIT'!N:N, 
                'Scores Import DO NOT EDIT'!D:D = A156
            )
        )
    ), 
    ""No"&amp;" comments yet""
)
"),"Comment: ")</f>
        <v>Comment: </v>
      </c>
      <c r="K156" t="s">
        <v>4835</v>
      </c>
    </row>
    <row r="157">
      <c r="A157" s="345">
        <v>242.0</v>
      </c>
      <c r="B157" s="346" t="s">
        <v>930</v>
      </c>
      <c r="C157" s="346" t="s">
        <v>1900</v>
      </c>
      <c r="D157" s="346" t="s">
        <v>1903</v>
      </c>
      <c r="E157" s="346" t="s">
        <v>1067</v>
      </c>
      <c r="F157" s="346" t="s">
        <v>1068</v>
      </c>
      <c r="G157" s="346" t="s">
        <v>784</v>
      </c>
      <c r="H157" s="346" t="s">
        <v>1069</v>
      </c>
      <c r="I157" s="347" t="s">
        <v>1901</v>
      </c>
      <c r="J157" t="str">
        <f>IFERROR(__xludf.DUMMYFUNCTION("IFERROR(
    ARRAYFORMULA(
        JOIN(
            CHAR(10) &amp; CHAR(10),
            ""Comment: "" &amp; FILTER(
                'Scores Import DO NOT EDIT'!N:N, 
                'Scores Import DO NOT EDIT'!D:D = A157
            )
        )
    ), 
    ""No"&amp;" comments yet""
)
"),"Comment: Wow! An exemplary presentation that answered all important questions a listener may wonder: Why is this research important? How did the presenter conduct the research, and more…. The presenter did a fabulous job of captivating the audience’s atte"&amp;"ntion through a sophisticated approach to the interconnection between social conditions and music. 
Comment: 
Comment: Nice use of multimedia clips. Could have used a stronger argument about the significance of Wilson’s contributions. How would music to"&amp;"day be different without him? Why does it matter? 
Comment: Speaker was able to present with confidence and to elaborate on his knowledge base during audience interaction
Comment: ")</f>
        <v>Comment: Wow! An exemplary presentation that answered all important questions a listener may wonder: Why is this research important? How did the presenter conduct the research, and more…. The presenter did a fabulous job of captivating the audience’s attention through a sophisticated approach to the interconnection between social conditions and music. 
Comment: 
Comment: Nice use of multimedia clips. Could have used a stronger argument about the significance of Wilson’s contributions. How would music today be different without him? Why does it matter? 
Comment: Speaker was able to present with confidence and to elaborate on his knowledge base during audience interaction
Comment: </v>
      </c>
      <c r="K157" t="s">
        <v>5001</v>
      </c>
    </row>
    <row r="158">
      <c r="A158" s="345">
        <v>243.0</v>
      </c>
      <c r="B158" s="346" t="s">
        <v>1905</v>
      </c>
      <c r="C158" s="346" t="s">
        <v>1906</v>
      </c>
      <c r="D158" s="346" t="s">
        <v>1909</v>
      </c>
      <c r="E158" s="346" t="s">
        <v>1911</v>
      </c>
      <c r="F158" s="346" t="s">
        <v>1912</v>
      </c>
      <c r="G158" s="346" t="s">
        <v>784</v>
      </c>
      <c r="H158" s="346" t="s">
        <v>1913</v>
      </c>
      <c r="I158" s="347" t="s">
        <v>1907</v>
      </c>
      <c r="J158" t="str">
        <f>IFERROR(__xludf.DUMMYFUNCTION("IFERROR(
    ARRAYFORMULA(
        JOIN(
            CHAR(10) &amp; CHAR(10),
            ""Comment: "" &amp; FILTER(
                'Scores Import DO NOT EDIT'!N:N, 
                'Scores Import DO NOT EDIT'!D:D = A158
            )
        )
    ), 
    ""No"&amp;" comments yet""
)
"),"Comment: A very sophisticated presentation! I am truly impressed by theoretical richness of the project: “affect in action,” “affect accumulation,” and more. I have been reading about affect theory for the last few years, and I could say that the presente"&amp;"r has demonstrated a profound engagement with the previous scholarship! Truly amazing!
Comment: make text larger on slides please
Comment: Loved the recordings would have loved a live performance more! That would have more affect :) 
Comment: 
Comment"&amp;": ")</f>
        <v>Comment: A very sophisticated presentation! I am truly impressed by theoretical richness of the project: “affect in action,” “affect accumulation,” and more. I have been reading about affect theory for the last few years, and I could say that the presenter has demonstrated a profound engagement with the previous scholarship! Truly amazing!
Comment: make text larger on slides please
Comment: Loved the recordings would have loved a live performance more! That would have more affect :) 
Comment: 
Comment: </v>
      </c>
      <c r="K158" t="s">
        <v>5002</v>
      </c>
    </row>
    <row r="159">
      <c r="A159" s="345">
        <v>244.0</v>
      </c>
      <c r="B159" s="346" t="s">
        <v>1914</v>
      </c>
      <c r="C159" s="346" t="s">
        <v>5003</v>
      </c>
      <c r="D159" s="346" t="s">
        <v>1918</v>
      </c>
      <c r="E159" s="346" t="s">
        <v>1920</v>
      </c>
      <c r="F159" s="346" t="s">
        <v>1921</v>
      </c>
      <c r="G159" s="346" t="s">
        <v>784</v>
      </c>
      <c r="H159" s="346" t="s">
        <v>1922</v>
      </c>
      <c r="I159" s="347" t="s">
        <v>1916</v>
      </c>
      <c r="J159" t="str">
        <f>IFERROR(__xludf.DUMMYFUNCTION("IFERROR(
    ARRAYFORMULA(
        JOIN(
            CHAR(10) &amp; CHAR(10),
            ""Comment: "" &amp; FILTER(
                'Scores Import DO NOT EDIT'!N:N, 
                'Scores Import DO NOT EDIT'!D:D = A159
            )
        )
    ), 
    ""No"&amp;" comments yet""
)
"),"Comment: ")</f>
        <v>Comment: </v>
      </c>
      <c r="K159" t="s">
        <v>4835</v>
      </c>
    </row>
    <row r="160">
      <c r="A160" s="345">
        <v>245.0</v>
      </c>
      <c r="B160" s="346" t="s">
        <v>5004</v>
      </c>
      <c r="C160" s="346" t="s">
        <v>1924</v>
      </c>
      <c r="D160" s="346" t="s">
        <v>1927</v>
      </c>
      <c r="E160" s="346" t="s">
        <v>1929</v>
      </c>
      <c r="F160" s="346" t="s">
        <v>1930</v>
      </c>
      <c r="G160" s="346" t="s">
        <v>784</v>
      </c>
      <c r="H160" s="346" t="s">
        <v>1931</v>
      </c>
      <c r="I160" s="347" t="s">
        <v>1925</v>
      </c>
      <c r="J160" t="str">
        <f>IFERROR(__xludf.DUMMYFUNCTION("IFERROR(
    ARRAYFORMULA(
        JOIN(
            CHAR(10) &amp; CHAR(10),
            ""Comment: "" &amp; FILTER(
                'Scores Import DO NOT EDIT'!N:N, 
                'Scores Import DO NOT EDIT'!D:D = A160
            )
        )
    ), 
    ""No"&amp;" comments yet""
)
"),"Comment: A fabulous presentation about how different news outlets (English and Spanish) talk about women protesters (in Mexico city). This is very timely and crucial to ensure that news outlets recognize women’s agency. Also, the handouts that were distri"&amp;"buted before the presentation were very helpful. The presentation was very clear and well-organized. For future revisions, I would encourage spending more time to interpret the data.
Comment: 
Comment: Lots of different directions this research could go"&amp;" in. You should continue to build this body of work 
Comment: ")</f>
        <v>Comment: A fabulous presentation about how different news outlets (English and Spanish) talk about women protesters (in Mexico city). This is very timely and crucial to ensure that news outlets recognize women’s agency. Also, the handouts that were distributed before the presentation were very helpful. The presentation was very clear and well-organized. For future revisions, I would encourage spending more time to interpret the data.
Comment: 
Comment: Lots of different directions this research could go in. You should continue to build this body of work 
Comment: </v>
      </c>
      <c r="K160" t="s">
        <v>5005</v>
      </c>
    </row>
    <row r="161">
      <c r="A161" s="345">
        <v>246.0</v>
      </c>
      <c r="B161" s="346" t="s">
        <v>1932</v>
      </c>
      <c r="C161" s="346" t="s">
        <v>1933</v>
      </c>
      <c r="D161" s="346" t="s">
        <v>1936</v>
      </c>
      <c r="E161" s="346" t="s">
        <v>1938</v>
      </c>
      <c r="F161" s="346" t="s">
        <v>1939</v>
      </c>
      <c r="G161" s="346" t="s">
        <v>753</v>
      </c>
      <c r="H161" s="346" t="s">
        <v>1940</v>
      </c>
      <c r="I161" s="347" t="s">
        <v>1934</v>
      </c>
      <c r="J161" t="str">
        <f>IFERROR(__xludf.DUMMYFUNCTION("IFERROR(
    ARRAYFORMULA(
        JOIN(
            CHAR(10) &amp; CHAR(10),
            ""Comment: "" &amp; FILTER(
                'Scores Import DO NOT EDIT'!N:N, 
                'Scores Import DO NOT EDIT'!D:D = A161
            )
        )
    ), 
    ""No"&amp;" comments yet""
)
"),"Comment: You could write a whole book about how law and justice is represented on stage throughout American history. That would be fascinating 
Comment: very dramatic presentation!  very relevant topic
Comment: A very engaging and insightful presentatio"&amp;"n (a few images in the powerpoint would be good too). Also, spending a bit more time on different understandings of justice among different communities in melodramas would help as well. 
Comment: ")</f>
        <v>Comment: You could write a whole book about how law and justice is represented on stage throughout American history. That would be fascinating 
Comment: very dramatic presentation!  very relevant topic
Comment: A very engaging and insightful presentation (a few images in the powerpoint would be good too). Also, spending a bit more time on different understandings of justice among different communities in melodramas would help as well. 
Comment: </v>
      </c>
      <c r="K161" t="s">
        <v>5006</v>
      </c>
    </row>
    <row r="162">
      <c r="A162" s="345">
        <v>247.0</v>
      </c>
      <c r="B162" s="346" t="s">
        <v>1942</v>
      </c>
      <c r="C162" s="346" t="s">
        <v>1943</v>
      </c>
      <c r="D162" s="346" t="s">
        <v>1946</v>
      </c>
      <c r="E162" s="346" t="s">
        <v>1948</v>
      </c>
      <c r="F162" s="346" t="s">
        <v>1393</v>
      </c>
      <c r="G162" s="346" t="s">
        <v>764</v>
      </c>
      <c r="H162" s="346" t="s">
        <v>1394</v>
      </c>
      <c r="I162" s="347" t="s">
        <v>1944</v>
      </c>
      <c r="J162" t="str">
        <f>IFERROR(__xludf.DUMMYFUNCTION("IFERROR(
    ARRAYFORMULA(
        JOIN(
            CHAR(10) &amp; CHAR(10),
            ""Comment: "" &amp; FILTER(
                'Scores Import DO NOT EDIT'!N:N, 
                'Scores Import DO NOT EDIT'!D:D = A162
            )
        )
    ), 
    ""No"&amp;" comments yet""
)
"),"Comment: 
Comment: Interesting research, learned a good deal about quantum physics, fascinating about mass vs vibrations theory.  Well done, clear pwpt
For layman could have more laymen language 
Comment: Great talk, thank you! I found your presentation"&amp;" interesting and I felt like I learned something from it-- you are a good teacher too! This skill of being able to explain complex and dense topics in clear and understandable language to a crowd of folks who are not experts (like me) is very valuable. Yo"&amp;"ur work sounds important and you are clearly poised to continue succeeding in this field. One comment to improve the talk is to try to reduce the relatively text-heavy slides-- I know this is difficult to do when you are explaining so much background deta"&amp;"il in order to lend significance to your results, but it can be overwhelming to the audience when the slide has so much to read. Keep up the great work!  
Comment: Very good presenting style. Although the talk was a bit quick, it was easy to follow. The "&amp;"visuals were understandable. Suggest slowing down when speaking. Again, it was fast, but still able to follow.")</f>
        <v>Comment: 
Comment: Interesting research, learned a good deal about quantum physics, fascinating about mass vs vibrations theory.  Well done, clear pwpt
For layman could have more laymen language 
Comment: Great talk, thank you! I found your presentation interesting and I felt like I learned something from it-- you are a good teacher too! This skill of being able to explain complex and dense topics in clear and understandable language to a crowd of folks who are not experts (like me) is very valuable. Your work sounds important and you are clearly poised to continue succeeding in this field. One comment to improve the talk is to try to reduce the relatively text-heavy slides-- I know this is difficult to do when you are explaining so much background detail in order to lend significance to your results, but it can be overwhelming to the audience when the slide has so much to read. Keep up the great work!  
Comment: Very good presenting style. Although the talk was a bit quick, it was easy to follow. The visuals were understandable. Suggest slowing down when speaking. Again, it was fast, but still able to follow.</v>
      </c>
      <c r="K162" t="s">
        <v>5007</v>
      </c>
    </row>
    <row r="163">
      <c r="A163" s="345">
        <v>248.0</v>
      </c>
      <c r="B163" s="346" t="s">
        <v>1005</v>
      </c>
      <c r="C163" s="346" t="s">
        <v>1949</v>
      </c>
      <c r="D163" s="346" t="s">
        <v>1952</v>
      </c>
      <c r="E163" s="346" t="s">
        <v>823</v>
      </c>
      <c r="F163" s="346" t="s">
        <v>824</v>
      </c>
      <c r="G163" s="346" t="s">
        <v>764</v>
      </c>
      <c r="H163" s="346" t="s">
        <v>825</v>
      </c>
      <c r="I163" s="347" t="s">
        <v>1950</v>
      </c>
      <c r="J163" t="str">
        <f>IFERROR(__xludf.DUMMYFUNCTION("IFERROR(
    ARRAYFORMULA(
        JOIN(
            CHAR(10) &amp; CHAR(10),
            ""Comment: "" &amp; FILTER(
                'Scores Import DO NOT EDIT'!N:N, 
                'Scores Import DO NOT EDIT'!D:D = A163
            )
        )
    ), 
    ""No"&amp;" comments yet""
)
"),"Comment: 
Comment: Very unique and significant way to change up for how things are done and for to think outside of the box to create new ways to better the field. Great presentation
Comment: Great talk, thank you! I appreciated your ability to convey v"&amp;"ery complex information and methods to an audience who might not be experts (like me!). You spoke clearly and demonstrated a mastery of the knowledge needed for this research. You fielded the questions of the room really well, too! One comment I have to i"&amp;"mprove the audience's experience during your talks would be to attempt to reduce the text-heavy slides. I know this is difficult to do when you are trying to fit in a lot of background information and motivation in a 10 minute talk, but it can be overwhel"&amp;"ming to have so much text on certain slides-- as if we are supposed to read the details when the majority of what we are soaking in is what you are saying. If something flew by, there is always an opportunity for someone in the audience to ask more detail"&amp;"s about some particular aspect that was left off of a slide for the sake of visual aesthetic. Keep up the good work, it is wonderful to see you succeeding in this field and creating something that will help many other researchers (and eventually the entir"&amp;"e human race if we need to find an exoplanet to move to). 
Comment: The presentation was good and the presenter clearly knew her topic and research. Speak more clearly. That would go a long way to better understanding the complexity of the study. Also, m"&amp;"ake it very clear in the beginning that the whole of the study is done with created data, meaning artificially created (generated) data. And if the sampling for experiments also used created data, make sure that is clear as well.")</f>
        <v>Comment: 
Comment: Very unique and significant way to change up for how things are done and for to think outside of the box to create new ways to better the field. Great presentation
Comment: Great talk, thank you! I appreciated your ability to convey very complex information and methods to an audience who might not be experts (like me!). You spoke clearly and demonstrated a mastery of the knowledge needed for this research. You fielded the questions of the room really well, too! One comment I have to improve the audience's experience during your talks would be to attempt to reduce the text-heavy slides. I know this is difficult to do when you are trying to fit in a lot of background information and motivation in a 10 minute talk, but it can be overwhelming to have so much text on certain slides-- as if we are supposed to read the details when the majority of what we are soaking in is what you are saying. If something flew by, there is always an opportunity for someone in the audience to ask more details about some particular aspect that was left off of a slide for the sake of visual aesthetic. Keep up the good work, it is wonderful to see you succeeding in this field and creating something that will help many other researchers (and eventually the entire human race if we need to find an exoplanet to move to). 
Comment: The presentation was good and the presenter clearly knew her topic and research. Speak more clearly. That would go a long way to better understanding the complexity of the study. Also, make it very clear in the beginning that the whole of the study is done with created data, meaning artificially created (generated) data. And if the sampling for experiments also used created data, make sure that is clear as well.</v>
      </c>
      <c r="K163" t="s">
        <v>5008</v>
      </c>
    </row>
    <row r="164">
      <c r="A164" s="345">
        <v>249.0</v>
      </c>
      <c r="B164" s="346" t="s">
        <v>909</v>
      </c>
      <c r="C164" s="346" t="s">
        <v>1954</v>
      </c>
      <c r="D164" s="346" t="s">
        <v>5009</v>
      </c>
      <c r="E164" s="346" t="s">
        <v>1959</v>
      </c>
      <c r="F164" s="346" t="s">
        <v>1960</v>
      </c>
      <c r="G164" s="346" t="s">
        <v>764</v>
      </c>
      <c r="H164" s="346" t="s">
        <v>1961</v>
      </c>
      <c r="I164" s="347" t="s">
        <v>1955</v>
      </c>
      <c r="J164" t="str">
        <f>IFERROR(__xludf.DUMMYFUNCTION("IFERROR(
    ARRAYFORMULA(
        JOIN(
            CHAR(10) &amp; CHAR(10),
            ""Comment: "" &amp; FILTER(
                'Scores Import DO NOT EDIT'!N:N, 
                'Scores Import DO NOT EDIT'!D:D = A164
            )
        )
    ), 
    ""No"&amp;" comments yet""
)
"),"Comment: 
Comment: Fascinating findings, very good pwpt slides with great chart info. Not in the field so couldn’t understand some lingo.  Presenter spoke loud and clear, could use more eye contact and less “umms” but it don’t distract from the informati"&amp;"on
Comment: Great talk, thank you! I thought your presentation was clear, had the right amount of motivation, and you did a fine job at conveying complicated methods to an audience that mixed with experts and non-experts (like me!) 
I really appreciate "&amp;"the fact that you presented on data and work that actually did not result in ""a candidate"". The reason why this is important is because as researchers, we can often feel that presenting or publishing on work that didn't result in the big result we were "&amp;"looking for can feel disappointing-- but the result here is that you didn't find a candidate with the methods and data you used... there's nothing wrong with that! Disseminating these results ameliorates issues with ""grey literature"" and what is called "&amp;"""the file drawer problem"". The file drawer problem is essentially the idea that ""insignificant"" results are often not published because they don't have ""pizazz"" or they are not ""flashy"" and they are sent to a file drawer to live forever, unread. T"&amp;"he problem with this is that the lack of this data out there could imply to another researcher elsewhere interested in the same question to repeat the exact process to find similar results-- when they wouldn't have to if they had heard about this so-calle"&amp;"d ""insignificant"" result. 
Two comments I would have that might improve your talk is to reduce text-heavy slides and try not to allow yourself to fidget or repeat certain motions as much. I know it is nerve-wracking to be up there in front of professor"&amp;"s and others you don't know. Just for your information, if you did not notice yourself, I noticed a few motions/actions that you repeated several times potentially subconsciously-- adjusting your glasses, moving your hair, saying ""um"" and putting your h"&amp;"ands in and out of your pockets. I'm not saying this detracted from your talk all that much, but as a constructive criticism from someone who deals with anxiety in front of groups while public speaking, sometimes it is helpful to hear from someone what th"&amp;"ose motions were so that you might work on reducing them in the future. 
It was great to see you succeeding in this field and I want to motivate you to continue and build on the skills you already have-- keep up the great work!! 
Comment: The presentati"&amp;"on slides were put together well. The presenter knew the material and could readily respond to questions. Needs much better eye contact with the audience. Spent a great deal of time talking to the slides instead of the audience. Also spoke very quickly an"&amp;"d went very quickly through some key points in the methods and results.")</f>
        <v>Comment: 
Comment: Fascinating findings, very good pwpt slides with great chart info. Not in the field so couldn’t understand some lingo.  Presenter spoke loud and clear, could use more eye contact and less “umms” but it don’t distract from the information
Comment: Great talk, thank you! I thought your presentation was clear, had the right amount of motivation, and you did a fine job at conveying complicated methods to an audience that mixed with experts and non-experts (like me!) 
I really appreciate the fact that you presented on data and work that actually did not result in "a candidate". The reason why this is important is because as researchers, we can often feel that presenting or publishing on work that didn't result in the big result we were looking for can feel disappointing-- but the result here is that you didn't find a candidate with the methods and data you used... there's nothing wrong with that! Disseminating these results ameliorates issues with "grey literature" and what is called "the file drawer problem". The file drawer problem is essentially the idea that "insignificant" results are often not published because they don't have "pizazz" or they are not "flashy" and they are sent to a file drawer to live forever, unread. The problem with this is that the lack of this data out there could imply to another researcher elsewhere interested in the same question to repeat the exact process to find similar results-- when they wouldn't have to if they had heard about this so-called "insignificant" result. 
Two comments I would have that might improve your talk is to reduce text-heavy slides and try not to allow yourself to fidget or repeat certain motions as much. I know it is nerve-wracking to be up there in front of professors and others you don't know. Just for your information, if you did not notice yourself, I noticed a few motions/actions that you repeated several times potentially subconsciously-- adjusting your glasses, moving your hair, saying "um" and putting your hands in and out of your pockets. I'm not saying this detracted from your talk all that much, but as a constructive criticism from someone who deals with anxiety in front of groups while public speaking, sometimes it is helpful to hear from someone what those motions were so that you might work on reducing them in the future. 
It was great to see you succeeding in this field and I want to motivate you to continue and build on the skills you already have-- keep up the great work!! 
Comment: The presentation slides were put together well. The presenter knew the material and could readily respond to questions. Needs much better eye contact with the audience. Spent a great deal of time talking to the slides instead of the audience. Also spoke very quickly and went very quickly through some key points in the methods and results.</v>
      </c>
      <c r="K164" t="s">
        <v>5010</v>
      </c>
    </row>
    <row r="165">
      <c r="A165" s="345">
        <v>250.0</v>
      </c>
      <c r="B165" s="346" t="s">
        <v>1962</v>
      </c>
      <c r="C165" s="346" t="s">
        <v>1487</v>
      </c>
      <c r="D165" s="346" t="s">
        <v>1965</v>
      </c>
      <c r="E165" s="346" t="s">
        <v>1967</v>
      </c>
      <c r="F165" s="346" t="s">
        <v>1968</v>
      </c>
      <c r="G165" s="346" t="s">
        <v>784</v>
      </c>
      <c r="H165" s="346" t="s">
        <v>1969</v>
      </c>
      <c r="I165" s="347" t="s">
        <v>1963</v>
      </c>
      <c r="J165" t="str">
        <f>IFERROR(__xludf.DUMMYFUNCTION("IFERROR(
    ARRAYFORMULA(
        JOIN(
            CHAR(10) &amp; CHAR(10),
            ""Comment: "" &amp; FILTER(
                'Scores Import DO NOT EDIT'!N:N, 
                'Scores Import DO NOT EDIT'!D:D = A165
            )
        )
    ), 
    ""No"&amp;" comments yet""
)
"),"Comment: 
Comment: Very significant research to help first responders with forest fires in the future
Great charts and info on slides
Presenter spoke clearly, could more eye contact throughout the room versus one area only
Comment: Presenter answered qu"&amp;"estions very well. Needed to present to the whole room, not just one side of it. The presenter also needed to  project a little more. At times, she was difficult to hear. The organization of the slides was very good. 
Comment: Thanks for a great talk! I "&amp;"think you are not only a great researcher, but also a great teacher-- I learned something during your talk and that's more I can say for some others I saw today! I think this is important work because as I said in my comment/question after your talk, resu"&amp;"lts from your work can save lives when this type of fire event inevitably occurs again. Your talk was clear and understandable with lots of information to convey in a short time, and you did a great job of speaking to the audience that was a mix of expert"&amp;"s and non-experts (like me!) One thing I would comment on that might improve the experience of the audience in your talks is the reduction of text-heavy slides. This did not occur too often in your talk, but It can be overwhelming when there is a lot of t"&amp;"ext on a slide and it feels like we are meant to read all of it. In reality, it seems the audience soaks in a lot more of the information you are speaking rather than what we read on a slide. That being said, you can reduce the amount of detailed text inf"&amp;"ormation that is already being spoken and if anyone has any questions about it, there is always time for them to ask for clarification afterwards. It is a careful balance though, I know. It was great seeing you succeed in this field and I want to encourag"&amp;"e you to keep up the great work! 
Comment: Very nice presentation. She knew her  material and was able to respond appropriately to audience questions. Consider indicating the area (size) of the study, meaning, how many acres the study covers. Also, inclu"&amp;"de a little more detail on the process of differentiating between dead trees and new growth or live trees.")</f>
        <v>Comment: 
Comment: Very significant research to help first responders with forest fires in the future
Great charts and info on slides
Presenter spoke clearly, could more eye contact throughout the room versus one area only
Comment: Presenter answered questions very well. Needed to present to the whole room, not just one side of it. The presenter also needed to  project a little more. At times, she was difficult to hear. The organization of the slides was very good. 
Comment: Thanks for a great talk! I think you are not only a great researcher, but also a great teacher-- I learned something during your talk and that's more I can say for some others I saw today! I think this is important work because as I said in my comment/question after your talk, results from your work can save lives when this type of fire event inevitably occurs again. Your talk was clear and understandable with lots of information to convey in a short time, and you did a great job of speaking to the audience that was a mix of experts and non-experts (like me!) One thing I would comment on that might improve the experience of the audience in your talks is the reduction of text-heavy slides. This did not occur too often in your talk, but It can be overwhelming when there is a lot of text on a slide and it feels like we are meant to read all of it. In reality, it seems the audience soaks in a lot more of the information you are speaking rather than what we read on a slide. That being said, you can reduce the amount of detailed text information that is already being spoken and if anyone has any questions about it, there is always time for them to ask for clarification afterwards. It is a careful balance though, I know. It was great seeing you succeed in this field and I want to encourage you to keep up the great work! 
Comment: Very nice presentation. She knew her  material and was able to respond appropriately to audience questions. Consider indicating the area (size) of the study, meaning, how many acres the study covers. Also, include a little more detail on the process of differentiating between dead trees and new growth or live trees.</v>
      </c>
      <c r="K165" t="s">
        <v>5011</v>
      </c>
    </row>
    <row r="166">
      <c r="A166" s="345">
        <v>251.0</v>
      </c>
      <c r="B166" s="346" t="s">
        <v>1971</v>
      </c>
      <c r="C166" s="346" t="s">
        <v>1972</v>
      </c>
      <c r="D166" s="346" t="s">
        <v>1975</v>
      </c>
      <c r="E166" s="346" t="s">
        <v>832</v>
      </c>
      <c r="F166" s="346" t="s">
        <v>833</v>
      </c>
      <c r="G166" s="346" t="s">
        <v>773</v>
      </c>
      <c r="H166" s="346" t="s">
        <v>834</v>
      </c>
      <c r="I166" s="347" t="s">
        <v>1973</v>
      </c>
      <c r="J166" t="str">
        <f>IFERROR(__xludf.DUMMYFUNCTION("IFERROR(
    ARRAYFORMULA(
        JOIN(
            CHAR(10) &amp; CHAR(10),
            ""Comment: "" &amp; FILTER(
                'Scores Import DO NOT EDIT'!N:N, 
                'Scores Import DO NOT EDIT'!D:D = A166
            )
        )
    ), 
    ""No"&amp;" comments yet""
)
"),"Comment: Phenomenal presentation and very informative. 
Comment: ")</f>
        <v>Comment: Phenomenal presentation and very informative. 
Comment: </v>
      </c>
      <c r="K166" t="s">
        <v>5012</v>
      </c>
    </row>
    <row r="167">
      <c r="A167" s="345">
        <v>252.0</v>
      </c>
      <c r="B167" s="346" t="s">
        <v>1977</v>
      </c>
      <c r="C167" s="346" t="s">
        <v>1978</v>
      </c>
      <c r="D167" s="346" t="s">
        <v>5013</v>
      </c>
      <c r="E167" s="346" t="s">
        <v>1983</v>
      </c>
      <c r="F167" s="346" t="s">
        <v>1714</v>
      </c>
      <c r="G167" s="346" t="s">
        <v>773</v>
      </c>
      <c r="H167" s="346" t="s">
        <v>1984</v>
      </c>
      <c r="I167" s="347" t="s">
        <v>1979</v>
      </c>
      <c r="J167" t="str">
        <f>IFERROR(__xludf.DUMMYFUNCTION("IFERROR(
    ARRAYFORMULA(
        JOIN(
            CHAR(10) &amp; CHAR(10),
            ""Comment: "" &amp; FILTER(
                'Scores Import DO NOT EDIT'!N:N, 
                'Scores Import DO NOT EDIT'!D:D = A167
            )
        )
    ), 
    ""No"&amp;" comments yet""
)
"),"Comment: Someone needs to take a course in public speaking! Too many ""ahs"".")</f>
        <v>Comment: Someone needs to take a course in public speaking! Too many "ahs".</v>
      </c>
      <c r="K167" t="s">
        <v>5014</v>
      </c>
    </row>
    <row r="168">
      <c r="A168" s="345">
        <v>253.0</v>
      </c>
      <c r="B168" s="346" t="s">
        <v>1985</v>
      </c>
      <c r="C168" s="346" t="s">
        <v>1986</v>
      </c>
      <c r="D168" s="346" t="s">
        <v>1988</v>
      </c>
      <c r="E168" s="346" t="s">
        <v>1959</v>
      </c>
      <c r="F168" s="346" t="s">
        <v>1960</v>
      </c>
      <c r="G168" s="346" t="s">
        <v>764</v>
      </c>
      <c r="H168" s="346" t="s">
        <v>1961</v>
      </c>
      <c r="I168" s="347" t="s">
        <v>1987</v>
      </c>
      <c r="J168" t="str">
        <f>IFERROR(__xludf.DUMMYFUNCTION("IFERROR(
    ARRAYFORMULA(
        JOIN(
            CHAR(10) &amp; CHAR(10),
            ""Comment: "" &amp; FILTER(
                'Scores Import DO NOT EDIT'!N:N, 
                'Scores Import DO NOT EDIT'!D:D = A168
            )
        )
    ), 
    ""No"&amp;" comments yet""
)
"),"Comment: ")</f>
        <v>Comment: </v>
      </c>
      <c r="K168" t="s">
        <v>4835</v>
      </c>
    </row>
    <row r="169">
      <c r="A169" s="345">
        <v>254.0</v>
      </c>
      <c r="B169" s="346" t="s">
        <v>1015</v>
      </c>
      <c r="C169" s="346" t="s">
        <v>1990</v>
      </c>
      <c r="D169" s="346" t="s">
        <v>1993</v>
      </c>
      <c r="E169" s="346" t="s">
        <v>788</v>
      </c>
      <c r="F169" s="346" t="s">
        <v>1995</v>
      </c>
      <c r="G169" s="346" t="s">
        <v>764</v>
      </c>
      <c r="H169" s="346" t="s">
        <v>1996</v>
      </c>
      <c r="I169" s="347" t="s">
        <v>1991</v>
      </c>
      <c r="J169" t="str">
        <f>IFERROR(__xludf.DUMMYFUNCTION("IFERROR(
    ARRAYFORMULA(
        JOIN(
            CHAR(10) &amp; CHAR(10),
            ""Comment: "" &amp; FILTER(
                'Scores Import DO NOT EDIT'!N:N, 
                'Scores Import DO NOT EDIT'!D:D = A169
            )
        )
    ), 
    ""No"&amp;" comments yet""
)
"),"Comment: ")</f>
        <v>Comment: </v>
      </c>
      <c r="K169" t="s">
        <v>4835</v>
      </c>
    </row>
    <row r="170">
      <c r="A170" s="345">
        <v>255.0</v>
      </c>
      <c r="B170" s="346" t="s">
        <v>1997</v>
      </c>
      <c r="C170" s="346" t="s">
        <v>1998</v>
      </c>
      <c r="D170" s="346" t="s">
        <v>2001</v>
      </c>
      <c r="E170" s="346" t="s">
        <v>930</v>
      </c>
      <c r="F170" s="346" t="s">
        <v>1410</v>
      </c>
      <c r="G170" s="346" t="s">
        <v>764</v>
      </c>
      <c r="H170" s="346" t="s">
        <v>1411</v>
      </c>
      <c r="I170" s="347" t="s">
        <v>1999</v>
      </c>
      <c r="J170" t="str">
        <f>IFERROR(__xludf.DUMMYFUNCTION("IFERROR(
    ARRAYFORMULA(
        JOIN(
            CHAR(10) &amp; CHAR(10),
            ""Comment: "" &amp; FILTER(
                'Scores Import DO NOT EDIT'!N:N, 
                'Scores Import DO NOT EDIT'!D:D = A170
            )
        )
    ), 
    ""No"&amp;" comments yet""
)
"),"No comments yet")</f>
        <v>No comments yet</v>
      </c>
      <c r="K170" t="s">
        <v>4820</v>
      </c>
    </row>
    <row r="171">
      <c r="A171" s="345">
        <v>256.0</v>
      </c>
      <c r="B171" s="346" t="s">
        <v>2003</v>
      </c>
      <c r="C171" s="346" t="s">
        <v>2004</v>
      </c>
      <c r="D171" s="346" t="s">
        <v>2006</v>
      </c>
      <c r="E171" s="346" t="s">
        <v>1967</v>
      </c>
      <c r="F171" s="346" t="s">
        <v>2008</v>
      </c>
      <c r="G171" s="346" t="s">
        <v>764</v>
      </c>
      <c r="H171" s="346" t="s">
        <v>2009</v>
      </c>
      <c r="I171" s="347" t="s">
        <v>2005</v>
      </c>
      <c r="J171" t="str">
        <f>IFERROR(__xludf.DUMMYFUNCTION("IFERROR(
    ARRAYFORMULA(
        JOIN(
            CHAR(10) &amp; CHAR(10),
            ""Comment: "" &amp; FILTER(
                'Scores Import DO NOT EDIT'!N:N, 
                'Scores Import DO NOT EDIT'!D:D = A171
            )
        )
    ), 
    ""No"&amp;" comments yet""
)
"),"No comments yet")</f>
        <v>No comments yet</v>
      </c>
      <c r="K171" t="s">
        <v>4820</v>
      </c>
    </row>
    <row r="172">
      <c r="A172" s="345">
        <v>257.0</v>
      </c>
      <c r="B172" s="346" t="s">
        <v>2010</v>
      </c>
      <c r="C172" s="346" t="s">
        <v>2011</v>
      </c>
      <c r="D172" s="346" t="s">
        <v>2014</v>
      </c>
      <c r="E172" s="346" t="s">
        <v>2016</v>
      </c>
      <c r="F172" s="346" t="s">
        <v>2017</v>
      </c>
      <c r="G172" s="346" t="s">
        <v>773</v>
      </c>
      <c r="H172" s="346" t="s">
        <v>2018</v>
      </c>
      <c r="I172" s="347" t="s">
        <v>2012</v>
      </c>
      <c r="J172" t="str">
        <f>IFERROR(__xludf.DUMMYFUNCTION("IFERROR(
    ARRAYFORMULA(
        JOIN(
            CHAR(10) &amp; CHAR(10),
            ""Comment: "" &amp; FILTER(
                'Scores Import DO NOT EDIT'!N:N, 
                'Scores Import DO NOT EDIT'!D:D = A172
            )
        )
    ), 
    ""No"&amp;" comments yet""
)
"),"Comment: Her explanation was clear and the visual aids were very understandable 
Comment: Good work for identification of flaws in materials or structures 
Comment: Very clear and concise presentation. Work on more audience interaction to provide a more"&amp;" engaging presentation. Overall great job.")</f>
        <v>Comment: Her explanation was clear and the visual aids were very understandable 
Comment: Good work for identification of flaws in materials or structures 
Comment: Very clear and concise presentation. Work on more audience interaction to provide a more engaging presentation. Overall great job.</v>
      </c>
      <c r="K172" t="s">
        <v>5015</v>
      </c>
    </row>
    <row r="173">
      <c r="A173" s="345">
        <v>258.0</v>
      </c>
      <c r="B173" s="346" t="s">
        <v>2019</v>
      </c>
      <c r="C173" s="346" t="s">
        <v>5016</v>
      </c>
      <c r="D173" s="346" t="s">
        <v>5017</v>
      </c>
      <c r="E173" s="346" t="s">
        <v>1983</v>
      </c>
      <c r="F173" s="346" t="s">
        <v>1714</v>
      </c>
      <c r="G173" s="346" t="s">
        <v>773</v>
      </c>
      <c r="H173" s="346" t="s">
        <v>1984</v>
      </c>
      <c r="I173" s="347" t="s">
        <v>2021</v>
      </c>
      <c r="J173" t="str">
        <f>IFERROR(__xludf.DUMMYFUNCTION("IFERROR(
    ARRAYFORMULA(
        JOIN(
            CHAR(10) &amp; CHAR(10),
            ""Comment: "" &amp; FILTER(
                'Scores Import DO NOT EDIT'!N:N, 
                'Scores Import DO NOT EDIT'!D:D = A173
            )
        )
    ), 
    ""No"&amp;" comments yet""
)
"),"Comment: 
Comment: Good work for identifying the automozation process of any liquids or fluids 
Comment: Great presentation and explanations. I would maybe include real world examples of the atomization process for your future presentations especially f"&amp;"or audiences less familiar with the topic.")</f>
        <v>Comment: 
Comment: Good work for identifying the automozation process of any liquids or fluids 
Comment: Great presentation and explanations. I would maybe include real world examples of the atomization process for your future presentations especially for audiences less familiar with the topic.</v>
      </c>
      <c r="K173" t="s">
        <v>5018</v>
      </c>
    </row>
    <row r="174">
      <c r="A174" s="345">
        <v>259.0</v>
      </c>
      <c r="B174" s="346" t="s">
        <v>2025</v>
      </c>
      <c r="C174" s="346" t="s">
        <v>2026</v>
      </c>
      <c r="D174" s="346" t="s">
        <v>2029</v>
      </c>
      <c r="E174" s="346" t="s">
        <v>2031</v>
      </c>
      <c r="F174" s="346" t="s">
        <v>2032</v>
      </c>
      <c r="G174" s="346" t="s">
        <v>773</v>
      </c>
      <c r="H174" s="346" t="s">
        <v>2033</v>
      </c>
      <c r="I174" s="347" t="s">
        <v>2027</v>
      </c>
      <c r="J174" t="str">
        <f>IFERROR(__xludf.DUMMYFUNCTION("IFERROR(
    ARRAYFORMULA(
        JOIN(
            CHAR(10) &amp; CHAR(10),
            ""Comment: "" &amp; FILTER(
                'Scores Import DO NOT EDIT'!N:N, 
                'Scores Import DO NOT EDIT'!D:D = A174
            )
        )
    ), 
    ""No"&amp;" comments yet""
)
"),"Comment: This work is helpful to reduce the road accidents.
Comment: This project is very helpful for the society since there is projection to bring it up to real life scenarios 
Comment: Great job on the presentation. The pdf mode for presenting was sl"&amp;"ightly distracting and some things were difficult to see, but you described the research very well and it definitely seems like an interesting and necessary study.")</f>
        <v>Comment: This work is helpful to reduce the road accidents.
Comment: This project is very helpful for the society since there is projection to bring it up to real life scenarios 
Comment: Great job on the presentation. The pdf mode for presenting was slightly distracting and some things were difficult to see, but you described the research very well and it definitely seems like an interesting and necessary study.</v>
      </c>
      <c r="K174" t="s">
        <v>5019</v>
      </c>
    </row>
    <row r="175">
      <c r="A175" s="345">
        <v>260.0</v>
      </c>
      <c r="B175" s="346" t="s">
        <v>2034</v>
      </c>
      <c r="C175" s="346" t="s">
        <v>2035</v>
      </c>
      <c r="D175" s="346" t="s">
        <v>2038</v>
      </c>
      <c r="E175" s="346" t="s">
        <v>841</v>
      </c>
      <c r="F175" s="346" t="s">
        <v>842</v>
      </c>
      <c r="G175" s="346" t="s">
        <v>773</v>
      </c>
      <c r="H175" s="346" t="s">
        <v>843</v>
      </c>
      <c r="I175" s="347" t="s">
        <v>2036</v>
      </c>
      <c r="J175" t="str">
        <f>IFERROR(__xludf.DUMMYFUNCTION("IFERROR(
    ARRAYFORMULA(
        JOIN(
            CHAR(10) &amp; CHAR(10),
            ""Comment: "" &amp; FILTER(
                'Scores Import DO NOT EDIT'!N:N, 
                'Scores Import DO NOT EDIT'!D:D = A175
            )
        )
    ), 
    ""No"&amp;" comments yet""
)
"),"Comment: The explanation was clear and the distribution of data was proper. He answered all questions without hesitate 
Comment: Great work to manufacture any kund of nature inspire lattice structures.
Comment: Presentation was very well executed. Maybe"&amp;" include some research implications, like why your research will advance this field. ")</f>
        <v>Comment: The explanation was clear and the distribution of data was proper. He answered all questions without hesitate 
Comment: Great work to manufacture any kund of nature inspire lattice structures.
Comment: Presentation was very well executed. Maybe include some research implications, like why your research will advance this field. </v>
      </c>
      <c r="K175" t="s">
        <v>5020</v>
      </c>
    </row>
    <row r="176">
      <c r="A176" s="345">
        <v>261.0</v>
      </c>
      <c r="B176" s="346" t="s">
        <v>5021</v>
      </c>
      <c r="C176" s="346" t="s">
        <v>2041</v>
      </c>
      <c r="D176" s="346" t="s">
        <v>2044</v>
      </c>
      <c r="E176" s="346" t="s">
        <v>2046</v>
      </c>
      <c r="F176" s="346" t="s">
        <v>2047</v>
      </c>
      <c r="G176" s="346" t="s">
        <v>773</v>
      </c>
      <c r="H176" s="346" t="s">
        <v>2048</v>
      </c>
      <c r="I176" s="347" t="s">
        <v>2042</v>
      </c>
      <c r="J176" t="str">
        <f>IFERROR(__xludf.DUMMYFUNCTION("IFERROR(
    ARRAYFORMULA(
        JOIN(
            CHAR(10) &amp; CHAR(10),
            ""Comment: "" &amp; FILTER(
                'Scores Import DO NOT EDIT'!N:N, 
                'Scores Import DO NOT EDIT'!D:D = A176
            )
        )
    ), 
    ""No"&amp;" comments yet""
)
"),"Comment: The presenter did not manage the time well and overpassed the time limit. He needs to improve the way he organize and summarize the information.  Other than that, the topic was well explained and interesting 
Comment: Good presentation. Went a l"&amp;"ittle long so maybe work on conciseness when describing the different aspects of your project.
Comment: This work is helpful to design of CLT structures.")</f>
        <v>Comment: The presenter did not manage the time well and overpassed the time limit. He needs to improve the way he organize and summarize the information.  Other than that, the topic was well explained and interesting 
Comment: Good presentation. Went a little long so maybe work on conciseness when describing the different aspects of your project.
Comment: This work is helpful to design of CLT structures.</v>
      </c>
      <c r="K176" t="s">
        <v>5022</v>
      </c>
    </row>
    <row r="177">
      <c r="A177" s="345">
        <v>262.0</v>
      </c>
      <c r="B177" s="346" t="s">
        <v>2049</v>
      </c>
      <c r="C177" s="346" t="s">
        <v>2050</v>
      </c>
      <c r="D177" s="346" t="s">
        <v>2053</v>
      </c>
      <c r="E177" s="346" t="s">
        <v>841</v>
      </c>
      <c r="F177" s="346" t="s">
        <v>842</v>
      </c>
      <c r="G177" s="346" t="s">
        <v>773</v>
      </c>
      <c r="H177" s="346" t="s">
        <v>843</v>
      </c>
      <c r="I177" s="347" t="s">
        <v>2051</v>
      </c>
      <c r="J177" t="str">
        <f>IFERROR(__xludf.DUMMYFUNCTION("IFERROR(
    ARRAYFORMULA(
        JOIN(
            CHAR(10) &amp; CHAR(10),
            ""Comment: "" &amp; FILTER(
                'Scores Import DO NOT EDIT'!N:N, 
                'Scores Import DO NOT EDIT'!D:D = A177
            )
        )
    ), 
    ""No"&amp;" comments yet""
)
"),"Comment: Great presentation. Very cool project, maybe save the video for the end if you have time or make it shorter, but it was a cool video.
Comment: The presentation was clear and the materials used were helpful to make people understand the research."&amp;" 
Comment: Excellent manufacturing method to fabricate any complex fiber reinforced polymer composites which is most demanding materials in aerospace, automotive as well as any building materials. ")</f>
        <v>Comment: Great presentation. Very cool project, maybe save the video for the end if you have time or make it shorter, but it was a cool video.
Comment: The presentation was clear and the materials used were helpful to make people understand the research. 
Comment: Excellent manufacturing method to fabricate any complex fiber reinforced polymer composites which is most demanding materials in aerospace, automotive as well as any building materials. </v>
      </c>
      <c r="K177" t="s">
        <v>5023</v>
      </c>
    </row>
    <row r="178">
      <c r="A178" s="345">
        <v>263.0</v>
      </c>
      <c r="B178" s="346" t="s">
        <v>2056</v>
      </c>
      <c r="C178" s="346" t="s">
        <v>2057</v>
      </c>
      <c r="D178" s="346" t="s">
        <v>2060</v>
      </c>
      <c r="E178" s="346" t="s">
        <v>754</v>
      </c>
      <c r="F178" s="346" t="s">
        <v>755</v>
      </c>
      <c r="G178" s="347" t="s">
        <v>753</v>
      </c>
      <c r="H178" s="347" t="s">
        <v>756</v>
      </c>
      <c r="I178" s="347" t="s">
        <v>2058</v>
      </c>
      <c r="J178" t="str">
        <f>IFERROR(__xludf.DUMMYFUNCTION("IFERROR(
    ARRAYFORMULA(
        JOIN(
            CHAR(10) &amp; CHAR(10),
            ""Comment: "" &amp; FILTER(
                'Scores Import DO NOT EDIT'!N:N, 
                'Scores Import DO NOT EDIT'!D:D = A178
            )
        )
    ), 
    ""No"&amp;" comments yet""
)
"),"Comment: Thank you for your presentation. Nice work with laying out the problem in an engaging way. Very closely tied to the situation from personal experience. The passion for this issue come through in the presentation. Methods were outlined, but not ve"&amp;"ry clear on how you recruited participants. While some of conclusions may be drawn from the interviews and your experience, it is still unclear with data how this policy implementations has direct effect on negative outcomes on the youth. 
Comment: Great"&amp;" background description of research presentation. Work on more description of policy and more in depth of problem statement. You are passionate about your research. Great stuff.
Comment: ")</f>
        <v>Comment: Thank you for your presentation. Nice work with laying out the problem in an engaging way. Very closely tied to the situation from personal experience. The passion for this issue come through in the presentation. Methods were outlined, but not very clear on how you recruited participants. While some of conclusions may be drawn from the interviews and your experience, it is still unclear with data how this policy implementations has direct effect on negative outcomes on the youth. 
Comment: Great background description of research presentation. Work on more description of policy and more in depth of problem statement. You are passionate about your research. Great stuff.
Comment: </v>
      </c>
      <c r="K178" t="s">
        <v>5024</v>
      </c>
    </row>
    <row r="179">
      <c r="A179" s="345">
        <v>264.0</v>
      </c>
      <c r="B179" s="346" t="s">
        <v>1817</v>
      </c>
      <c r="C179" s="346" t="s">
        <v>2062</v>
      </c>
      <c r="D179" s="346" t="s">
        <v>2065</v>
      </c>
      <c r="E179" s="346" t="s">
        <v>1799</v>
      </c>
      <c r="F179" s="346" t="s">
        <v>1800</v>
      </c>
      <c r="G179" s="346" t="s">
        <v>753</v>
      </c>
      <c r="H179" s="346" t="s">
        <v>1801</v>
      </c>
      <c r="I179" s="347" t="s">
        <v>2063</v>
      </c>
      <c r="J179" t="str">
        <f>IFERROR(__xludf.DUMMYFUNCTION("IFERROR(
    ARRAYFORMULA(
        JOIN(
            CHAR(10) &amp; CHAR(10),
            ""Comment: "" &amp; FILTER(
                'Scores Import DO NOT EDIT'!N:N, 
                'Scores Import DO NOT EDIT'!D:D = A179
            )
        )
    ), 
    ""No"&amp;" comments yet""
)
"),"Comment:  interesting research.  Would like to see examples or the use of current life scenarios to support uour research. Great information shared. Great use of music and explaining what we listened to.  The breakdown of the audio was really interesting."&amp;" 
Comment: Good presentation. Very interesting attempting to explain the musical accomplishments of composer that is not living and wasn't around when current diagnosis exist. In laying out your talking points to those in the audience, you could have ded"&amp;"icated some time to explain the various terms and phrases that might not have knowledge in this area.  Very interesting conceptualization on viewing mental health. This further move to a holistic approach would appear not just have impact on music and men"&amp;"tal health, but mental health in general. 
Comment: ")</f>
        <v>Comment:  interesting research.  Would like to see examples or the use of current life scenarios to support uour research. Great information shared. Great use of music and explaining what we listened to.  The breakdown of the audio was really interesting. 
Comment: Good presentation. Very interesting attempting to explain the musical accomplishments of composer that is not living and wasn't around when current diagnosis exist. In laying out your talking points to those in the audience, you could have dedicated some time to explain the various terms and phrases that might not have knowledge in this area.  Very interesting conceptualization on viewing mental health. This further move to a holistic approach would appear not just have impact on music and mental health, but mental health in general. 
Comment: </v>
      </c>
      <c r="K179" t="s">
        <v>5025</v>
      </c>
    </row>
    <row r="180">
      <c r="A180" s="345">
        <v>265.0</v>
      </c>
      <c r="B180" s="346" t="s">
        <v>1696</v>
      </c>
      <c r="C180" s="346" t="s">
        <v>754</v>
      </c>
      <c r="D180" s="346" t="s">
        <v>2067</v>
      </c>
      <c r="E180" s="346" t="s">
        <v>2069</v>
      </c>
      <c r="F180" s="346" t="s">
        <v>2070</v>
      </c>
      <c r="G180" s="346" t="s">
        <v>784</v>
      </c>
      <c r="H180" s="346" t="s">
        <v>1703</v>
      </c>
      <c r="I180" s="347" t="s">
        <v>1697</v>
      </c>
      <c r="J180" t="str">
        <f>IFERROR(__xludf.DUMMYFUNCTION("IFERROR(
    ARRAYFORMULA(
        JOIN(
            CHAR(10) &amp; CHAR(10),
            ""Comment: "" &amp; FILTER(
                'Scores Import DO NOT EDIT'!N:N, 
                'Scores Import DO NOT EDIT'!D:D = A180
            )
        )
    ), 
    ""No"&amp;" comments yet""
)
"),"Comment: Great explanation of deodorizing, racial capitalism and the impact it had in the black community. This is great in that it shows how far the African American community has come from in the U.S
Comment: Thank you for your presentation. I highly i"&amp;"mportant subject matter that needs to be discussed. Appreciate the journey you took the group on to explain your topic, especially for those that might not know much about this topic other then what they hear in the news. I would encourage you to think ab"&amp;"out practical, on the ground, implications for this research and how it could benefit the community today.
Comment: ")</f>
        <v>Comment: Great explanation of deodorizing, racial capitalism and the impact it had in the black community. This is great in that it shows how far the African American community has come from in the U.S
Comment: Thank you for your presentation. I highly important subject matter that needs to be discussed. Appreciate the journey you took the group on to explain your topic, especially for those that might not know much about this topic other then what they hear in the news. I would encourage you to think about practical, on the ground, implications for this research and how it could benefit the community today.
Comment: </v>
      </c>
      <c r="K180" t="s">
        <v>5026</v>
      </c>
    </row>
    <row r="181">
      <c r="A181" s="345">
        <v>266.0</v>
      </c>
      <c r="B181" s="346" t="s">
        <v>1911</v>
      </c>
      <c r="C181" s="346" t="s">
        <v>2072</v>
      </c>
      <c r="D181" s="346" t="s">
        <v>2075</v>
      </c>
      <c r="E181" s="346" t="s">
        <v>2077</v>
      </c>
      <c r="F181" s="346" t="s">
        <v>2078</v>
      </c>
      <c r="G181" s="347" t="s">
        <v>1789</v>
      </c>
      <c r="H181" s="347" t="s">
        <v>2079</v>
      </c>
      <c r="I181" s="347" t="s">
        <v>2073</v>
      </c>
      <c r="J181" t="str">
        <f>IFERROR(__xludf.DUMMYFUNCTION("IFERROR(
    ARRAYFORMULA(
        JOIN(
            CHAR(10) &amp; CHAR(10),
            ""Comment: "" &amp; FILTER(
                'Scores Import DO NOT EDIT'!N:N, 
                'Scores Import DO NOT EDIT'!D:D = A181
            )
        )
    ), 
    ""No"&amp;" comments yet""
)
"),"Comment: ")</f>
        <v>Comment: </v>
      </c>
      <c r="K181" t="s">
        <v>4835</v>
      </c>
    </row>
    <row r="182">
      <c r="A182" s="345">
        <v>267.0</v>
      </c>
      <c r="B182" s="346" t="s">
        <v>1120</v>
      </c>
      <c r="C182" s="346" t="s">
        <v>5027</v>
      </c>
      <c r="D182" s="346" t="s">
        <v>5028</v>
      </c>
      <c r="E182" s="346" t="s">
        <v>754</v>
      </c>
      <c r="F182" s="346" t="s">
        <v>2086</v>
      </c>
      <c r="G182" s="346" t="s">
        <v>753</v>
      </c>
      <c r="H182" s="346" t="s">
        <v>756</v>
      </c>
      <c r="I182" s="347" t="s">
        <v>2081</v>
      </c>
      <c r="J182" t="str">
        <f>IFERROR(__xludf.DUMMYFUNCTION("IFERROR(
    ARRAYFORMULA(
        JOIN(
            CHAR(10) &amp; CHAR(10),
            ""Comment: "" &amp; FILTER(
                'Scores Import DO NOT EDIT'!N:N, 
                'Scores Import DO NOT EDIT'!D:D = A182
            )
        )
    ), 
    ""No"&amp;" comments yet""
)
"),"No comments yet")</f>
        <v>No comments yet</v>
      </c>
      <c r="K182" t="s">
        <v>4820</v>
      </c>
    </row>
    <row r="183">
      <c r="A183" s="345">
        <v>268.0</v>
      </c>
      <c r="B183" s="346" t="s">
        <v>927</v>
      </c>
      <c r="C183" s="346" t="s">
        <v>2087</v>
      </c>
      <c r="D183" s="346" t="s">
        <v>2090</v>
      </c>
      <c r="E183" s="346" t="s">
        <v>2092</v>
      </c>
      <c r="F183" s="346" t="s">
        <v>5029</v>
      </c>
      <c r="G183" s="346" t="s">
        <v>784</v>
      </c>
      <c r="H183" s="346" t="s">
        <v>2094</v>
      </c>
      <c r="I183" s="347" t="s">
        <v>2088</v>
      </c>
      <c r="J183" t="str">
        <f>IFERROR(__xludf.DUMMYFUNCTION("IFERROR(
    ARRAYFORMULA(
        JOIN(
            CHAR(10) &amp; CHAR(10),
            ""Comment: "" &amp; FILTER(
                'Scores Import DO NOT EDIT'!N:N, 
                'Scores Import DO NOT EDIT'!D:D = A183
            )
        )
    ), 
    ""No"&amp;" comments yet""
)
"),"Comment: Thank you for your presentation. Clearly showed how your research will impact the current subject matter. Additionally, I would encourage you to lay your thoughts out a little more plainly. Great data set and I would be interested in seeing where"&amp;" you take this data.
Comment: Great job, your presentation was thoroughly enjoyable and important. I appreciated the way you presented...I know you were trying to speak verbatim to what you may have practiced, but a lot of it came out as if you were just"&amp;" speaking to us so that we could understand. For visuals, I would recommend breaking them into additional slides, providing more bullet points and clarity with charts, etc. Great job!
Comment: ")</f>
        <v>Comment: Thank you for your presentation. Clearly showed how your research will impact the current subject matter. Additionally, I would encourage you to lay your thoughts out a little more plainly. Great data set and I would be interested in seeing where you take this data.
Comment: Great job, your presentation was thoroughly enjoyable and important. I appreciated the way you presented...I know you were trying to speak verbatim to what you may have practiced, but a lot of it came out as if you were just speaking to us so that we could understand. For visuals, I would recommend breaking them into additional slides, providing more bullet points and clarity with charts, etc. Great job!
Comment: </v>
      </c>
      <c r="K183" t="s">
        <v>5030</v>
      </c>
    </row>
    <row r="184">
      <c r="A184" s="345">
        <v>269.0</v>
      </c>
      <c r="B184" s="346" t="s">
        <v>2095</v>
      </c>
      <c r="C184" s="346" t="s">
        <v>2096</v>
      </c>
      <c r="D184" s="346" t="s">
        <v>2099</v>
      </c>
      <c r="E184" s="346" t="s">
        <v>2101</v>
      </c>
      <c r="F184" s="346" t="s">
        <v>2102</v>
      </c>
      <c r="G184" s="346" t="s">
        <v>1789</v>
      </c>
      <c r="H184" s="346" t="s">
        <v>1792</v>
      </c>
      <c r="I184" s="347" t="s">
        <v>2097</v>
      </c>
      <c r="J184" t="str">
        <f>IFERROR(__xludf.DUMMYFUNCTION("IFERROR(
    ARRAYFORMULA(
        JOIN(
            CHAR(10) &amp; CHAR(10),
            ""Comment: "" &amp; FILTER(
                'Scores Import DO NOT EDIT'!N:N, 
                'Scores Import DO NOT EDIT'!D:D = A184
            )
        )
    ), 
    ""No"&amp;" comments yet""
)
"),"Comment: Great presentation.Great oral presentation skills, you had a clear passion for this subject and a depth of knowledge about the subject area. Be aware that not everyone understands the topic or discipline as deeply as you do - you clearly have spe"&amp;"nt a lot of time with this subject but in a few spots, I had trouble following your arguments because I got stuck on some of the terms.
Excellent discussion with the audience, helped to understand a lot more of what you meant by some of the terms and wha"&amp;"t the implications of the scoping review are. Your discussion with the audience was really engaging.
Comment: Very complex and compelling meta analysis - handled impressively with presence and conviction - wish I’d had a glossary of terms! ")</f>
        <v>Comment: Great presentation.Great oral presentation skills, you had a clear passion for this subject and a depth of knowledge about the subject area. Be aware that not everyone understands the topic or discipline as deeply as you do - you clearly have spent a lot of time with this subject but in a few spots, I had trouble following your arguments because I got stuck on some of the terms.
Excellent discussion with the audience, helped to understand a lot more of what you meant by some of the terms and what the implications of the scoping review are. Your discussion with the audience was really engaging.
Comment: Very complex and compelling meta analysis - handled impressively with presence and conviction - wish I’d had a glossary of terms! </v>
      </c>
      <c r="K184" t="s">
        <v>5031</v>
      </c>
    </row>
    <row r="185">
      <c r="A185" s="345">
        <v>270.0</v>
      </c>
      <c r="B185" s="346" t="s">
        <v>2103</v>
      </c>
      <c r="C185" s="346" t="s">
        <v>2104</v>
      </c>
      <c r="D185" s="346" t="s">
        <v>2107</v>
      </c>
      <c r="E185" s="346" t="s">
        <v>2109</v>
      </c>
      <c r="F185" s="346" t="s">
        <v>2110</v>
      </c>
      <c r="G185" s="347" t="s">
        <v>1789</v>
      </c>
      <c r="H185" s="347" t="s">
        <v>2111</v>
      </c>
      <c r="I185" s="347" t="s">
        <v>2105</v>
      </c>
      <c r="J185" t="str">
        <f>IFERROR(__xludf.DUMMYFUNCTION("IFERROR(
    ARRAYFORMULA(
        JOIN(
            CHAR(10) &amp; CHAR(10),
            ""Comment: "" &amp; FILTER(
                'Scores Import DO NOT EDIT'!N:N, 
                'Scores Import DO NOT EDIT'!D:D = A185
            )
        )
    ), 
    ""No"&amp;" comments yet""
)
"),"Comment: 
Comment: Wonderful and inspiring ability to present with clarity and impact on a very timely and important topic. Hope more research is funded - 
Comment: Great presentation and very interesting topic. I appreciated the discussion of potential"&amp;" barriers to diagnoses and potential issues with using ACEs in research. 
A few things to think about - I think you know the material really well so just speak from the heart (you don't need the phone). A few of the slides had a lot of text on them so yo"&amp;"u could think about either providing more of a bullet point format or splitting on to two or more slides (e.g., slide about endo and about ACEs). Finally, try to identify the acronym for the audience the first time it's used  (e.g., EIC on your hypothesis"&amp;" slide). These are all minor, great job!")</f>
        <v>Comment: 
Comment: Wonderful and inspiring ability to present with clarity and impact on a very timely and important topic. Hope more research is funded - 
Comment: Great presentation and very interesting topic. I appreciated the discussion of potential barriers to diagnoses and potential issues with using ACEs in research. 
A few things to think about - I think you know the material really well so just speak from the heart (you don't need the phone). A few of the slides had a lot of text on them so you could think about either providing more of a bullet point format or splitting on to two or more slides (e.g., slide about endo and about ACEs). Finally, try to identify the acronym for the audience the first time it's used  (e.g., EIC on your hypothesis slide). These are all minor, great job!</v>
      </c>
      <c r="K185" t="s">
        <v>5032</v>
      </c>
    </row>
    <row r="186">
      <c r="A186" s="345">
        <v>271.0</v>
      </c>
      <c r="B186" s="346" t="s">
        <v>2733</v>
      </c>
      <c r="C186" s="346" t="s">
        <v>2113</v>
      </c>
      <c r="D186" s="346" t="s">
        <v>2116</v>
      </c>
      <c r="E186" s="346" t="s">
        <v>2120</v>
      </c>
      <c r="F186" s="346" t="s">
        <v>2121</v>
      </c>
      <c r="G186" s="346" t="s">
        <v>784</v>
      </c>
      <c r="H186" s="346" t="s">
        <v>2122</v>
      </c>
      <c r="I186" s="347" t="s">
        <v>2114</v>
      </c>
      <c r="J186" t="str">
        <f>IFERROR(__xludf.DUMMYFUNCTION("IFERROR(
    ARRAYFORMULA(
        JOIN(
            CHAR(10) &amp; CHAR(10),
            ""Comment: "" &amp; FILTER(
                'Scores Import DO NOT EDIT'!N:N, 
                'Scores Import DO NOT EDIT'!D:D = A186
            )
        )
    ), 
    ""No"&amp;" comments yet""
)
"),"Comment: 
Comment: Very interesting presentation. It was great to see the interaction between the presenters. Very dynamic presentation style. Interesting results and the methods were well-presented, especially related to your explanation of diphthongiza"&amp;"tion. A few technical issues (e.g., trying to play the specific prompts from the survey) but you both recovered well. Great interaction with the audience and you both answered the questions really well. Great job!
Comment: Very well done and important wo"&amp;"rk. Well presented as a team and with passion and clarity. ")</f>
        <v>Comment: 
Comment: Very interesting presentation. It was great to see the interaction between the presenters. Very dynamic presentation style. Interesting results and the methods were well-presented, especially related to your explanation of diphthongization. A few technical issues (e.g., trying to play the specific prompts from the survey) but you both recovered well. Great interaction with the audience and you both answered the questions really well. Great job!
Comment: Very well done and important work. Well presented as a team and with passion and clarity. </v>
      </c>
      <c r="K186" t="s">
        <v>5033</v>
      </c>
    </row>
    <row r="187">
      <c r="A187" s="345">
        <v>272.0</v>
      </c>
      <c r="B187" s="346" t="s">
        <v>5034</v>
      </c>
      <c r="C187" s="346" t="s">
        <v>2124</v>
      </c>
      <c r="D187" s="346" t="s">
        <v>2127</v>
      </c>
      <c r="E187" s="346" t="s">
        <v>5035</v>
      </c>
      <c r="F187" s="346" t="s">
        <v>5036</v>
      </c>
      <c r="G187" s="346" t="s">
        <v>893</v>
      </c>
      <c r="H187" s="346" t="s">
        <v>2133</v>
      </c>
      <c r="I187" s="347" t="s">
        <v>2125</v>
      </c>
      <c r="J187" t="str">
        <f>IFERROR(__xludf.DUMMYFUNCTION("IFERROR(
    ARRAYFORMULA(
        JOIN(
            CHAR(10) &amp; CHAR(10),
            ""Comment: "" &amp; FILTER(
                'Scores Import DO NOT EDIT'!N:N, 
                'Scores Import DO NOT EDIT'!D:D = A187
            )
        )
    ), 
    ""No"&amp;" comments yet""
)
"),"Comment: Great presentation style, clear that you know a lot about your subject. Be careful with the terms female and woman or male and man, they're not interchangeable (e.g., on your Results slide on BBB's impact on MH 1-3 month follow-up). 
Very intere"&amp;"sting results, especially related to libraries as a potential source of support for the target population. Excellent knowledge of statistics and literature related to the unhoused population in San Diego. Great work!")</f>
        <v>Comment: Great presentation style, clear that you know a lot about your subject. Be careful with the terms female and woman or male and man, they're not interchangeable (e.g., on your Results slide on BBB's impact on MH 1-3 month follow-up). 
Very interesting results, especially related to libraries as a potential source of support for the target population. Excellent knowledge of statistics and literature related to the unhoused population in San Diego. Great work!</v>
      </c>
      <c r="K187" t="s">
        <v>5037</v>
      </c>
    </row>
    <row r="188">
      <c r="A188" s="345">
        <v>273.0</v>
      </c>
      <c r="B188" s="346" t="s">
        <v>2134</v>
      </c>
      <c r="C188" s="346" t="s">
        <v>2135</v>
      </c>
      <c r="D188" s="346" t="s">
        <v>2138</v>
      </c>
      <c r="E188" s="346" t="s">
        <v>1473</v>
      </c>
      <c r="F188" s="346" t="s">
        <v>2140</v>
      </c>
      <c r="G188" s="346" t="s">
        <v>753</v>
      </c>
      <c r="H188" s="346" t="s">
        <v>2141</v>
      </c>
      <c r="I188" s="347" t="s">
        <v>2136</v>
      </c>
      <c r="J188" t="str">
        <f>IFERROR(__xludf.DUMMYFUNCTION("IFERROR(
    ARRAYFORMULA(
        JOIN(
            CHAR(10) &amp; CHAR(10),
            ""Comment: "" &amp; FILTER(
                'Scores Import DO NOT EDIT'!N:N, 
                'Scores Import DO NOT EDIT'!D:D = A188
            )
        )
    ), 
    ""No"&amp;" comments yet""
)
"),"Comment: Great presentation and very interesting topic, especially in the first year of your master's program! You seemed a bit nervous during the presentation, but you seemed to get more comfortable as you went through. Try practicing a little more ahead"&amp;" of time and maybe ask others for some potential questions from presenters so that you can practice responses. But overall, great job!")</f>
        <v>Comment: Great presentation and very interesting topic, especially in the first year of your master's program! You seemed a bit nervous during the presentation, but you seemed to get more comfortable as you went through. Try practicing a little more ahead of time and maybe ask others for some potential questions from presenters so that you can practice responses. But overall, great job!</v>
      </c>
      <c r="K188" t="s">
        <v>5038</v>
      </c>
    </row>
    <row r="189">
      <c r="A189" s="345">
        <v>274.0</v>
      </c>
      <c r="B189" s="346" t="s">
        <v>2142</v>
      </c>
      <c r="C189" s="346" t="s">
        <v>2143</v>
      </c>
      <c r="D189" s="346" t="s">
        <v>2146</v>
      </c>
      <c r="E189" s="346" t="s">
        <v>927</v>
      </c>
      <c r="F189" s="346" t="s">
        <v>928</v>
      </c>
      <c r="G189" s="346" t="s">
        <v>784</v>
      </c>
      <c r="H189" s="346" t="s">
        <v>929</v>
      </c>
      <c r="I189" s="347" t="s">
        <v>2144</v>
      </c>
      <c r="J189" t="str">
        <f>IFERROR(__xludf.DUMMYFUNCTION("IFERROR(
    ARRAYFORMULA(
        JOIN(
            CHAR(10) &amp; CHAR(10),
            ""Comment: "" &amp; FILTER(
                'Scores Import DO NOT EDIT'!N:N, 
                'Scores Import DO NOT EDIT'!D:D = A189
            )
        )
    ), 
    ""No"&amp;" comments yet""
)
"),"Comment: GREAT presentation! Clear knowledge and facility with research area, the data, methods, etc. Very strong presentation style. You showed a lot of passion for your subject and were prepared for audience questions. Excellent work.")</f>
        <v>Comment: GREAT presentation! Clear knowledge and facility with research area, the data, methods, etc. Very strong presentation style. You showed a lot of passion for your subject and were prepared for audience questions. Excellent work.</v>
      </c>
      <c r="K189" t="s">
        <v>5039</v>
      </c>
    </row>
    <row r="190">
      <c r="A190" s="345">
        <v>275.0</v>
      </c>
      <c r="B190" s="346" t="s">
        <v>2338</v>
      </c>
      <c r="C190" s="346" t="s">
        <v>2150</v>
      </c>
      <c r="D190" s="346" t="s">
        <v>2153</v>
      </c>
      <c r="E190" s="346" t="s">
        <v>2158</v>
      </c>
      <c r="F190" s="346" t="s">
        <v>2159</v>
      </c>
      <c r="G190" s="346" t="s">
        <v>753</v>
      </c>
      <c r="H190" s="346" t="s">
        <v>2160</v>
      </c>
      <c r="I190" s="347" t="s">
        <v>2151</v>
      </c>
      <c r="J190" t="str">
        <f>IFERROR(__xludf.DUMMYFUNCTION("IFERROR(
    ARRAYFORMULA(
        JOIN(
            CHAR(10) &amp; CHAR(10),
            ""Comment: "" &amp; FILTER(
                'Scores Import DO NOT EDIT'!N:N, 
                'Scores Import DO NOT EDIT'!D:D = A190
            )
        )
    ), 
    ""No"&amp;" comments yet""
)
"),"Comment: 
Comment: This was a very good presentation. Both presenters spoke to the audience and knew the material of their subject. The connection between brownfields and community perceptions of exposure to health hazards remained unclear. As mentioned "&amp;"during the presentation, if research continues, a Tagalog translator is a must. It is in this way a larger and more diverse sample size can be acheived for analysis.")</f>
        <v>Comment: 
Comment: This was a very good presentation. Both presenters spoke to the audience and knew the material of their subject. The connection between brownfields and community perceptions of exposure to health hazards remained unclear. As mentioned during the presentation, if research continues, a Tagalog translator is a must. It is in this way a larger and more diverse sample size can be acheived for analysis.</v>
      </c>
      <c r="K190" t="s">
        <v>5040</v>
      </c>
    </row>
    <row r="191">
      <c r="A191" s="345">
        <v>276.0</v>
      </c>
      <c r="B191" s="346" t="s">
        <v>2161</v>
      </c>
      <c r="C191" s="346" t="s">
        <v>2162</v>
      </c>
      <c r="D191" s="346" t="s">
        <v>2165</v>
      </c>
      <c r="E191" s="346" t="s">
        <v>754</v>
      </c>
      <c r="F191" s="346" t="s">
        <v>1266</v>
      </c>
      <c r="G191" s="346" t="s">
        <v>753</v>
      </c>
      <c r="H191" s="346" t="s">
        <v>756</v>
      </c>
      <c r="I191" s="347" t="s">
        <v>2163</v>
      </c>
      <c r="J191" t="str">
        <f>IFERROR(__xludf.DUMMYFUNCTION("IFERROR(
    ARRAYFORMULA(
        JOIN(
            CHAR(10) &amp; CHAR(10),
            ""Comment: "" &amp; FILTER(
                'Scores Import DO NOT EDIT'!N:N, 
                'Scores Import DO NOT EDIT'!D:D = A191
            )
        )
    ), 
    ""No"&amp;" comments yet""
)
"),"Comment: Powerpoints were too wordy but presentation was well-prepared.
Comment: An interesting topic. Beautiful presentation style, akin to teaching in a classroom. An important thing to note is the sample size. Eight is extremely small. To limit your s"&amp;"ample population to the tutor staff and not seek a larger campus latinx population to gather additional data on which to base your conclusion may be considered bias, especially if using the conclusion to support or promote action. Just a thought.")</f>
        <v>Comment: Powerpoints were too wordy but presentation was well-prepared.
Comment: An interesting topic. Beautiful presentation style, akin to teaching in a classroom. An important thing to note is the sample size. Eight is extremely small. To limit your sample population to the tutor staff and not seek a larger campus latinx population to gather additional data on which to base your conclusion may be considered bias, especially if using the conclusion to support or promote action. Just a thought.</v>
      </c>
      <c r="K191" t="s">
        <v>5041</v>
      </c>
    </row>
    <row r="192">
      <c r="A192" s="345">
        <v>277.0</v>
      </c>
      <c r="B192" s="346" t="s">
        <v>2167</v>
      </c>
      <c r="C192" s="346" t="s">
        <v>2168</v>
      </c>
      <c r="D192" s="346" t="s">
        <v>2171</v>
      </c>
      <c r="E192" s="346" t="s">
        <v>2173</v>
      </c>
      <c r="F192" s="346" t="s">
        <v>2174</v>
      </c>
      <c r="G192" s="346" t="s">
        <v>893</v>
      </c>
      <c r="H192" s="346" t="s">
        <v>2175</v>
      </c>
      <c r="I192" s="347" t="s">
        <v>2169</v>
      </c>
      <c r="J192" t="str">
        <f>IFERROR(__xludf.DUMMYFUNCTION("IFERROR(
    ARRAYFORMULA(
        JOIN(
            CHAR(10) &amp; CHAR(10),
            ""Comment: "" &amp; FILTER(
                'Scores Import DO NOT EDIT'!N:N, 
                'Scores Import DO NOT EDIT'!D:D = A192
            )
        )
    ), 
    ""No"&amp;" comments yet""
)
"),"Comment: More infographics may be helpful
Comment: He did quite well with answering questions. And the research topic is an interesting one.  Unfortunately, the delivery of the presentation was not as polished as it could have been. Perhaps slowing down "&amp;"while speaking and using less slides may have helped. He went too fast through the data slides and there were no legends on the maps to show what the color scale was representing. The answer of ""my biostatistician suggested it"" is not a good response to"&amp;" the decision to use backwards stepwise regression over another regression method. Try the others to give a more authoritative response to such a  question in the future.")</f>
        <v>Comment: More infographics may be helpful
Comment: He did quite well with answering questions. And the research topic is an interesting one.  Unfortunately, the delivery of the presentation was not as polished as it could have been. Perhaps slowing down while speaking and using less slides may have helped. He went too fast through the data slides and there were no legends on the maps to show what the color scale was representing. The answer of "my biostatistician suggested it" is not a good response to the decision to use backwards stepwise regression over another regression method. Try the others to give a more authoritative response to such a  question in the future.</v>
      </c>
      <c r="K192" t="s">
        <v>5042</v>
      </c>
    </row>
    <row r="193">
      <c r="A193" s="345">
        <v>278.0</v>
      </c>
      <c r="B193" s="346" t="s">
        <v>2176</v>
      </c>
      <c r="C193" s="346" t="s">
        <v>916</v>
      </c>
      <c r="D193" s="346" t="s">
        <v>2180</v>
      </c>
      <c r="E193" s="346" t="s">
        <v>788</v>
      </c>
      <c r="F193" s="346" t="s">
        <v>2182</v>
      </c>
      <c r="G193" s="346" t="s">
        <v>784</v>
      </c>
      <c r="H193" s="346" t="s">
        <v>2183</v>
      </c>
      <c r="I193" s="347" t="s">
        <v>2178</v>
      </c>
      <c r="J193" t="str">
        <f>IFERROR(__xludf.DUMMYFUNCTION("IFERROR(
    ARRAYFORMULA(
        JOIN(
            CHAR(10) &amp; CHAR(10),
            ""Comment: "" &amp; FILTER(
                'Scores Import DO NOT EDIT'!N:N, 
                'Scores Import DO NOT EDIT'!D:D = A193
            )
        )
    ), 
    ""No"&amp;" comments yet""
)
"),"Comment: Great knowledge. Delivery needs work
Comment: An interesting topic, especially given political events that coincided with the period of time being discussed. It was hugely  unfortunate that the presenter read her entire presentation instead of p"&amp;"resenting the study. After the first few minutes it became difficult to stay engaged. The slides would have  been more useful with a mapped visualization of the region  of which she was speaking. And just as important, speak louder. If the presentation is"&amp;" being read and the presenter is speaking softly, the audience becomes disinterested.")</f>
        <v>Comment: Great knowledge. Delivery needs work
Comment: An interesting topic, especially given political events that coincided with the period of time being discussed. It was hugely  unfortunate that the presenter read her entire presentation instead of presenting the study. After the first few minutes it became difficult to stay engaged. The slides would have  been more useful with a mapped visualization of the region  of which she was speaking. And just as important, speak louder. If the presentation is being read and the presenter is speaking softly, the audience becomes disinterested.</v>
      </c>
      <c r="K193" t="s">
        <v>5043</v>
      </c>
    </row>
    <row r="194">
      <c r="A194" s="345">
        <v>279.0</v>
      </c>
      <c r="B194" s="346" t="s">
        <v>2184</v>
      </c>
      <c r="C194" s="346" t="s">
        <v>1163</v>
      </c>
      <c r="D194" s="346" t="s">
        <v>2187</v>
      </c>
      <c r="E194" s="346" t="s">
        <v>1608</v>
      </c>
      <c r="F194" s="346" t="s">
        <v>1609</v>
      </c>
      <c r="G194" s="346" t="s">
        <v>784</v>
      </c>
      <c r="H194" s="346" t="s">
        <v>1610</v>
      </c>
      <c r="I194" s="347" t="s">
        <v>2185</v>
      </c>
      <c r="J194" t="str">
        <f>IFERROR(__xludf.DUMMYFUNCTION("IFERROR(
    ARRAYFORMULA(
        JOIN(
            CHAR(10) &amp; CHAR(10),
            ""Comment: "" &amp; FILTER(
                'Scores Import DO NOT EDIT'!N:N, 
                'Scores Import DO NOT EDIT'!D:D = A194
            )
        )
    ), 
    ""No"&amp;" comments yet""
)
"),"Comment: Excellent delivery and enthusiasm.
Comment: Very good presentation and an attention-grabbing topic, considering there is quite a bit of trash floating in our ocean waters. The organization of the slides had  a really good flow. Some things to co"&amp;"nsider: The riverbed is ""home"" to a large unsheltered population. As that was pointed to in the presentation, if it is not within the scope of the study,  make sure to indicate that fact. Meaning, if the intent of the study is only to identify those are"&amp;"as where trash is prevelant, make that very clear in the presentation. Also, make sure to present to the audience, not to the slides (or projector screen). It was evident that the content of the presentation was well rehearsed, which is great. Just make m"&amp;"ore eye contact with the audience. And the Q&amp;A session was quite well handled, including the questions that were clearly outside  the scope of the research.")</f>
        <v>Comment: Excellent delivery and enthusiasm.
Comment: Very good presentation and an attention-grabbing topic, considering there is quite a bit of trash floating in our ocean waters. The organization of the slides had  a really good flow. Some things to consider: The riverbed is "home" to a large unsheltered population. As that was pointed to in the presentation, if it is not within the scope of the study,  make sure to indicate that fact. Meaning, if the intent of the study is only to identify those areas where trash is prevelant, make that very clear in the presentation. Also, make sure to present to the audience, not to the slides (or projector screen). It was evident that the content of the presentation was well rehearsed, which is great. Just make more eye contact with the audience. And the Q&amp;A session was quite well handled, including the questions that were clearly outside  the scope of the research.</v>
      </c>
      <c r="K194" t="s">
        <v>5044</v>
      </c>
    </row>
    <row r="195">
      <c r="A195" s="345">
        <v>280.0</v>
      </c>
      <c r="B195" s="346" t="s">
        <v>2189</v>
      </c>
      <c r="C195" s="346" t="s">
        <v>2190</v>
      </c>
      <c r="D195" s="346" t="s">
        <v>2193</v>
      </c>
      <c r="E195" s="346" t="s">
        <v>2173</v>
      </c>
      <c r="F195" s="346" t="s">
        <v>2174</v>
      </c>
      <c r="G195" s="346" t="s">
        <v>893</v>
      </c>
      <c r="H195" s="346" t="s">
        <v>2195</v>
      </c>
      <c r="I195" s="347" t="s">
        <v>2191</v>
      </c>
      <c r="J195" t="str">
        <f>IFERROR(__xludf.DUMMYFUNCTION("IFERROR(
    ARRAYFORMULA(
        JOIN(
            CHAR(10) &amp; CHAR(10),
            ""Comment: "" &amp; FILTER(
                'Scores Import DO NOT EDIT'!N:N, 
                'Scores Import DO NOT EDIT'!D:D = A195
            )
        )
    ), 
    ""No"&amp;" comments yet""
)
"),"Comment: Very impressive presentation. The presenter did a great  job in conveying difficult health measurement concepts. And the slide with the examples of alcohol was helpful in understanding how the measurements (self-reported and otherwise) were quant"&amp;"ified. Excellent  job in the Q&amp;A portion of the presentation. A suggestion  would be to  expound a little more on the correlation between heavy drinking and HIV as it relates to an increase or decrease in treatment/symptoms/mortality rates. That would be "&amp;"interesting to see, given the  involvement of alcohol and the affected population. Again, impressive presentation.")</f>
        <v>Comment: Very impressive presentation. The presenter did a great  job in conveying difficult health measurement concepts. And the slide with the examples of alcohol was helpful in understanding how the measurements (self-reported and otherwise) were quantified. Excellent  job in the Q&amp;A portion of the presentation. A suggestion  would be to  expound a little more on the correlation between heavy drinking and HIV as it relates to an increase or decrease in treatment/symptoms/mortality rates. That would be interesting to see, given the  involvement of alcohol and the affected population. Again, impressive presentation.</v>
      </c>
      <c r="K195" t="s">
        <v>5045</v>
      </c>
    </row>
    <row r="196">
      <c r="A196" s="345">
        <v>281.0</v>
      </c>
      <c r="B196" s="346" t="s">
        <v>2197</v>
      </c>
      <c r="C196" s="346" t="s">
        <v>2198</v>
      </c>
      <c r="D196" s="346" t="s">
        <v>2201</v>
      </c>
      <c r="E196" s="346" t="s">
        <v>1770</v>
      </c>
      <c r="F196" s="346" t="s">
        <v>1771</v>
      </c>
      <c r="G196" s="346" t="s">
        <v>753</v>
      </c>
      <c r="H196" s="346" t="s">
        <v>1772</v>
      </c>
      <c r="I196" s="347" t="s">
        <v>2199</v>
      </c>
      <c r="J196" t="str">
        <f>IFERROR(__xludf.DUMMYFUNCTION("IFERROR(
    ARRAYFORMULA(
        JOIN(
            CHAR(10) &amp; CHAR(10),
            ""Comment: "" &amp; FILTER(
                'Scores Import DO NOT EDIT'!N:N, 
                'Scores Import DO NOT EDIT'!D:D = A196
            )
        )
    ), 
    ""No"&amp;" comments yet""
)
"),"Comment: ")</f>
        <v>Comment: </v>
      </c>
      <c r="K196" t="s">
        <v>4835</v>
      </c>
    </row>
    <row r="197">
      <c r="A197" s="345">
        <v>282.0</v>
      </c>
      <c r="B197" s="346" t="s">
        <v>2204</v>
      </c>
      <c r="C197" s="346" t="s">
        <v>2205</v>
      </c>
      <c r="D197" s="346" t="s">
        <v>2208</v>
      </c>
      <c r="E197" s="346" t="s">
        <v>1770</v>
      </c>
      <c r="F197" s="346" t="s">
        <v>1771</v>
      </c>
      <c r="G197" s="346" t="s">
        <v>753</v>
      </c>
      <c r="H197" s="346" t="s">
        <v>1772</v>
      </c>
      <c r="I197" s="347" t="s">
        <v>2206</v>
      </c>
      <c r="J197" t="str">
        <f>IFERROR(__xludf.DUMMYFUNCTION("IFERROR(
    ARRAYFORMULA(
        JOIN(
            CHAR(10) &amp; CHAR(10),
            ""Comment: "" &amp; FILTER(
                'Scores Import DO NOT EDIT'!N:N, 
                'Scores Import DO NOT EDIT'!D:D = A197
            )
        )
    ), 
    ""No"&amp;" comments yet""
)
"),"Comment: Fascinating story and connection to the artist. For such a visual treat I would have loved more to look at. More slides and more examples 
Comment: Great inclusion of different media and strong imagery. Reading off pretension was ok but speaking"&amp;" of it would make it more personable.  The photos taken were viceral")</f>
        <v>Comment: Fascinating story and connection to the artist. For such a visual treat I would have loved more to look at. More slides and more examples 
Comment: Great inclusion of different media and strong imagery. Reading off pretension was ok but speaking of it would make it more personable.  The photos taken were viceral</v>
      </c>
      <c r="K197" t="s">
        <v>5046</v>
      </c>
    </row>
    <row r="198">
      <c r="A198" s="345">
        <v>283.0</v>
      </c>
      <c r="B198" s="346" t="s">
        <v>1235</v>
      </c>
      <c r="C198" s="346" t="s">
        <v>2210</v>
      </c>
      <c r="D198" s="346" t="s">
        <v>2213</v>
      </c>
      <c r="E198" s="346" t="s">
        <v>1911</v>
      </c>
      <c r="F198" s="346" t="s">
        <v>1912</v>
      </c>
      <c r="G198" s="346" t="s">
        <v>753</v>
      </c>
      <c r="H198" s="346" t="s">
        <v>1913</v>
      </c>
      <c r="I198" s="347" t="s">
        <v>2211</v>
      </c>
      <c r="J198" t="str">
        <f>IFERROR(__xludf.DUMMYFUNCTION("IFERROR(
    ARRAYFORMULA(
        JOIN(
            CHAR(10) &amp; CHAR(10),
            ""Comment: "" &amp; FILTER(
                'Scores Import DO NOT EDIT'!N:N, 
                'Scores Import DO NOT EDIT'!D:D = A198
            )
        )
    ), 
    ""No"&amp;" comments yet""
)
"),"Comment: Interesting but very early in the research process. Would love to find what you uncover 
Comment: 
Comment: Interesting topic especially for the music but all other fields regarding gender conformity
One of the best presenters regarding public "&amp;"speaking and eye contact and clarity.  ")</f>
        <v>Comment: Interesting but very early in the research process. Would love to find what you uncover 
Comment: 
Comment: Interesting topic especially for the music but all other fields regarding gender conformity
One of the best presenters regarding public speaking and eye contact and clarity.  </v>
      </c>
      <c r="K198" t="s">
        <v>5047</v>
      </c>
    </row>
    <row r="199">
      <c r="A199" s="345">
        <v>284.0</v>
      </c>
      <c r="B199" s="346" t="s">
        <v>1712</v>
      </c>
      <c r="C199" s="346" t="s">
        <v>1728</v>
      </c>
      <c r="D199" s="346" t="s">
        <v>2217</v>
      </c>
      <c r="E199" s="346" t="s">
        <v>2219</v>
      </c>
      <c r="F199" s="346" t="s">
        <v>2220</v>
      </c>
      <c r="G199" s="346" t="s">
        <v>784</v>
      </c>
      <c r="H199" s="346" t="s">
        <v>2221</v>
      </c>
      <c r="I199" s="347" t="s">
        <v>2215</v>
      </c>
      <c r="J199" t="str">
        <f>IFERROR(__xludf.DUMMYFUNCTION("IFERROR(
    ARRAYFORMULA(
        JOIN(
            CHAR(10) &amp; CHAR(10),
            ""Comment: "" &amp; FILTER(
                'Scores Import DO NOT EDIT'!N:N, 
                'Scores Import DO NOT EDIT'!D:D = A199
            )
        )
    ), 
    ""No"&amp;" comments yet""
)
"),"Comment: Very articulate and thoughtful presentation. Would love to see this theory extended to Jim Henson’s body of work 
Comment: 
Comment: Unique research on the film, I will never watch it the same again! Great easy to file pwpt with pics. Presented"&amp;" well, loud clear good pace, and good eye contact. Easy to follow with sounds points on topic")</f>
        <v>Comment: Very articulate and thoughtful presentation. Would love to see this theory extended to Jim Henson’s body of work 
Comment: 
Comment: Unique research on the film, I will never watch it the same again! Great easy to file pwpt with pics. Presented well, loud clear good pace, and good eye contact. Easy to follow with sounds points on topic</v>
      </c>
      <c r="K199" t="s">
        <v>5048</v>
      </c>
    </row>
    <row r="200">
      <c r="A200" s="345">
        <v>285.0</v>
      </c>
      <c r="B200" s="346" t="s">
        <v>2222</v>
      </c>
      <c r="C200" s="346" t="s">
        <v>2223</v>
      </c>
      <c r="D200" s="346" t="s">
        <v>2226</v>
      </c>
      <c r="E200" s="346" t="s">
        <v>2228</v>
      </c>
      <c r="F200" s="346" t="s">
        <v>1333</v>
      </c>
      <c r="G200" s="346" t="s">
        <v>784</v>
      </c>
      <c r="H200" s="346" t="s">
        <v>1334</v>
      </c>
      <c r="I200" s="347" t="s">
        <v>2224</v>
      </c>
      <c r="J200" t="str">
        <f>IFERROR(__xludf.DUMMYFUNCTION("IFERROR(
    ARRAYFORMULA(
        JOIN(
            CHAR(10) &amp; CHAR(10),
            ""Comment: "" &amp; FILTER(
                'Scores Import DO NOT EDIT'!N:N, 
                'Scores Import DO NOT EDIT'!D:D = A200
            )
        )
    ), 
    ""No"&amp;" comments yet""
)
"),"Comment: Great monkey pictures. Well presented study that has a lot of potential for further research 
Comment: 
Comment: Research has significance on the effects with nature, will be great to continue use. Pwpt has great pics supporting presentation an"&amp;"d easy to follow. Presenter spoke at good pace with annunciation and easy to follow.  Very energetic and smiled which helped keep the audience interested")</f>
        <v>Comment: Great monkey pictures. Well presented study that has a lot of potential for further research 
Comment: 
Comment: Research has significance on the effects with nature, will be great to continue use. Pwpt has great pics supporting presentation and easy to follow. Presenter spoke at good pace with annunciation and easy to follow.  Very energetic and smiled which helped keep the audience interested</v>
      </c>
      <c r="K200" t="s">
        <v>5049</v>
      </c>
    </row>
    <row r="201">
      <c r="A201" s="349">
        <v>286.0</v>
      </c>
      <c r="B201" s="346" t="s">
        <v>2229</v>
      </c>
      <c r="C201" s="346" t="s">
        <v>2230</v>
      </c>
      <c r="D201" s="346" t="s">
        <v>2233</v>
      </c>
      <c r="E201" s="346" t="s">
        <v>823</v>
      </c>
      <c r="F201" s="346" t="s">
        <v>2236</v>
      </c>
      <c r="G201" s="346" t="s">
        <v>1457</v>
      </c>
      <c r="H201" s="346" t="s">
        <v>2237</v>
      </c>
      <c r="I201" s="347" t="s">
        <v>2231</v>
      </c>
      <c r="J201" t="str">
        <f>IFERROR(__xludf.DUMMYFUNCTION("IFERROR(
    ARRAYFORMULA(
        JOIN(
            CHAR(10) &amp; CHAR(10),
            ""Comment: "" &amp; FILTER(
                'Scores Import DO NOT EDIT'!N:N, 
                'Scores Import DO NOT EDIT'!D:D = A201
            )
        )
    ), 
    ""No"&amp;" comments yet""
)
"),"No comments yet")</f>
        <v>No comments yet</v>
      </c>
      <c r="K201" t="s">
        <v>4820</v>
      </c>
    </row>
    <row r="202">
      <c r="A202" s="345">
        <v>287.0</v>
      </c>
      <c r="B202" s="346" t="s">
        <v>875</v>
      </c>
      <c r="C202" s="346" t="s">
        <v>2238</v>
      </c>
      <c r="D202" s="346" t="s">
        <v>2241</v>
      </c>
      <c r="E202" s="346" t="s">
        <v>1293</v>
      </c>
      <c r="F202" s="346" t="s">
        <v>2243</v>
      </c>
      <c r="G202" s="346" t="s">
        <v>1457</v>
      </c>
      <c r="H202" s="346" t="s">
        <v>2244</v>
      </c>
      <c r="I202" s="347" t="s">
        <v>2239</v>
      </c>
      <c r="J202" t="str">
        <f>IFERROR(__xludf.DUMMYFUNCTION("IFERROR(
    ARRAYFORMULA(
        JOIN(
            CHAR(10) &amp; CHAR(10),
            ""Comment: "" &amp; FILTER(
                'Scores Import DO NOT EDIT'!N:N, 
                'Scores Import DO NOT EDIT'!D:D = A202
            )
        )
    ), 
    ""No"&amp;" comments yet""
)
"),"Comment: Professionally dressed and presenting skills were clearly at doctoral student level. Spoke at level appropriate to the audience. Topic especially significant today. Fielded questions with ease.
Comment: Great project.  Congratulations. You addre"&amp;"ss questions very competently. 
Comment: Catherine provided a clear explanation of a complex analysis through her oral presentation and her visual. I would have liked to have seen the full model written out, but I understand the focus on the significant "&amp;"variables. Her answers to questions were clear and demonstrated her command of and passion for the topic. I am thrilled with the research topic, as more research is needed on rural education!
Comment: This was very well organized and the researcher clear"&amp;"ly understands her materials and her methodology. She handled all of the questions well. It was a lot of information. She really understands her topic and how she conducted her research. It is unique that it focuses on rural first gen which we do not know"&amp;" as much about. It was hard to cover the whole dissertation in 10 minutes and might have been better to focus on one finding and expand upon it.")</f>
        <v>Comment: Professionally dressed and presenting skills were clearly at doctoral student level. Spoke at level appropriate to the audience. Topic especially significant today. Fielded questions with ease.
Comment: Great project.  Congratulations. You address questions very competently. 
Comment: Catherine provided a clear explanation of a complex analysis through her oral presentation and her visual. I would have liked to have seen the full model written out, but I understand the focus on the significant variables. Her answers to questions were clear and demonstrated her command of and passion for the topic. I am thrilled with the research topic, as more research is needed on rural education!
Comment: This was very well organized and the researcher clearly understands her materials and her methodology. She handled all of the questions well. It was a lot of information. She really understands her topic and how she conducted her research. It is unique that it focuses on rural first gen which we do not know as much about. It was hard to cover the whole dissertation in 10 minutes and might have been better to focus on one finding and expand upon it.</v>
      </c>
      <c r="K202" t="s">
        <v>5050</v>
      </c>
    </row>
    <row r="203">
      <c r="A203" s="345">
        <v>288.0</v>
      </c>
      <c r="B203" s="346" t="s">
        <v>1875</v>
      </c>
      <c r="C203" s="346" t="s">
        <v>2157</v>
      </c>
      <c r="D203" s="346" t="s">
        <v>5051</v>
      </c>
      <c r="E203" s="346" t="s">
        <v>2249</v>
      </c>
      <c r="F203" s="346" t="s">
        <v>2250</v>
      </c>
      <c r="G203" s="346" t="s">
        <v>1457</v>
      </c>
      <c r="H203" s="346" t="s">
        <v>1462</v>
      </c>
      <c r="I203" s="347" t="s">
        <v>2245</v>
      </c>
      <c r="J203" t="str">
        <f>IFERROR(__xludf.DUMMYFUNCTION("IFERROR(
    ARRAYFORMULA(
        JOIN(
            CHAR(10) &amp; CHAR(10),
            ""Comment: "" &amp; FILTER(
                'Scores Import DO NOT EDIT'!N:N, 
                'Scores Import DO NOT EDIT'!D:D = A203
            )
        )
    ), 
    ""No"&amp;" comments yet""
)
"),"Comment: Professional appearance and delivery. Rational for selecting research topic current and relevant with drive for inclusion. Content on point. Well done.
Comment: Elizabeth is exploring a very important topic. Her problem statement presentation wa"&amp;"s particularly compelling. Her visuals really helped to illustrate her ideas. I would love to see more synthesis across the literature before she shares her conclusions and implications so the audience can get a better sense of the gap she wants to addres"&amp;"s and her rationale for future directions
Comment: This was a tremendous presentation. Extremely clear and very well presented. Having STEM educators incorporate culturally relevant pedagogy is critically important but also I think she'll learn that ther"&amp;"e is more being done than she may realize.  Again - this was a lit review in a session with a lot of doctoral dissertations well on their way. So a wonderful wonderful presentation but very early on. Looking forward to seeing it further down the road!")</f>
        <v>Comment: Professional appearance and delivery. Rational for selecting research topic current and relevant with drive for inclusion. Content on point. Well done.
Comment: Elizabeth is exploring a very important topic. Her problem statement presentation was particularly compelling. Her visuals really helped to illustrate her ideas. I would love to see more synthesis across the literature before she shares her conclusions and implications so the audience can get a better sense of the gap she wants to address and her rationale for future directions
Comment: This was a tremendous presentation. Extremely clear and very well presented. Having STEM educators incorporate culturally relevant pedagogy is critically important but also I think she'll learn that there is more being done than she may realize.  Again - this was a lit review in a session with a lot of doctoral dissertations well on their way. So a wonderful wonderful presentation but very early on. Looking forward to seeing it further down the road!</v>
      </c>
      <c r="K203" t="s">
        <v>5052</v>
      </c>
    </row>
    <row r="204">
      <c r="A204" s="345">
        <v>289.0</v>
      </c>
      <c r="B204" s="346" t="s">
        <v>2251</v>
      </c>
      <c r="C204" s="346" t="s">
        <v>2252</v>
      </c>
      <c r="D204" s="346" t="s">
        <v>5053</v>
      </c>
      <c r="E204" s="346" t="s">
        <v>1848</v>
      </c>
      <c r="F204" s="346" t="s">
        <v>1849</v>
      </c>
      <c r="G204" s="346" t="s">
        <v>764</v>
      </c>
      <c r="H204" s="346" t="s">
        <v>1850</v>
      </c>
      <c r="I204" s="347" t="s">
        <v>2253</v>
      </c>
      <c r="J204" t="str">
        <f>IFERROR(__xludf.DUMMYFUNCTION("IFERROR(
    ARRAYFORMULA(
        JOIN(
            CHAR(10) &amp; CHAR(10),
            ""Comment: "" &amp; FILTER(
                'Scores Import DO NOT EDIT'!N:N, 
                'Scores Import DO NOT EDIT'!D:D = A204
            )
        )
    ), 
    ""No"&amp;" comments yet""
)
"),"Comment: Animated speaker started immediately involving the audience. Rationale for study great. 
Comment: Super creative project! I also had the same question about how to link the information gathered in your step one to the creation of math problems, "&amp;"but you clarified it. 
Comment: Absolutely brilliant idea and the presenter has an incredibly grasp of the theory and cutting edge theory. Very engaging presentation style. What was hard was to grasp where the research is going and I think that's because"&amp;" it's still in it's development stage and very grounded in its approach. So it was hard to get the ultimate impact. I think we got lost a bit and may have lost the potential of this potentially very very important work.
Comment: This was an outstanding p"&amp;"resentation of a very original research project. The visuals and presence were excellent. I loved the infusion of humor. What I particularly valued was the way that Gabriela unapologetically brought her authentic self into both her research and her presen"&amp;"tation. This authentic infusion of identity and research is needed to bring about meaningful change! The Q&amp;A conversation surfaced that the link between phases 1 &amp; 2 require more clarity. Great project")</f>
        <v>Comment: Animated speaker started immediately involving the audience. Rationale for study great. 
Comment: Super creative project! I also had the same question about how to link the information gathered in your step one to the creation of math problems, but you clarified it. 
Comment: Absolutely brilliant idea and the presenter has an incredibly grasp of the theory and cutting edge theory. Very engaging presentation style. What was hard was to grasp where the research is going and I think that's because it's still in it's development stage and very grounded in its approach. So it was hard to get the ultimate impact. I think we got lost a bit and may have lost the potential of this potentially very very important work.
Comment: This was an outstanding presentation of a very original research project. The visuals and presence were excellent. I loved the infusion of humor. What I particularly valued was the way that Gabriela unapologetically brought her authentic self into both her research and her presentation. This authentic infusion of identity and research is needed to bring about meaningful change! The Q&amp;A conversation surfaced that the link between phases 1 &amp; 2 require more clarity. Great project</v>
      </c>
      <c r="K204" t="s">
        <v>5054</v>
      </c>
    </row>
    <row r="205">
      <c r="A205" s="345">
        <v>290.0</v>
      </c>
      <c r="B205" s="346" t="s">
        <v>2259</v>
      </c>
      <c r="C205" s="346" t="s">
        <v>2260</v>
      </c>
      <c r="D205" s="346" t="s">
        <v>2263</v>
      </c>
      <c r="E205" s="346" t="s">
        <v>1848</v>
      </c>
      <c r="F205" s="346" t="s">
        <v>1849</v>
      </c>
      <c r="G205" s="346" t="s">
        <v>764</v>
      </c>
      <c r="H205" s="346" t="s">
        <v>1850</v>
      </c>
      <c r="I205" s="347" t="s">
        <v>2261</v>
      </c>
      <c r="J205" t="str">
        <f>IFERROR(__xludf.DUMMYFUNCTION("IFERROR(
    ARRAYFORMULA(
        JOIN(
            CHAR(10) &amp; CHAR(10),
            ""Comment: "" &amp; FILTER(
                'Scores Import DO NOT EDIT'!N:N, 
                'Scores Import DO NOT EDIT'!D:D = A205
            )
        )
    ), 
    ""No"&amp;" comments yet""
)
"),"Comment: Professional in appearance and delivery. Had more info than could be shared in 10 min. Great job.
Comment: Great project with fantastic potential to support math learning. I appreciate your finding about power imbalance as a reason for why NPM w"&amp;"orks. 
Comment: Solid work and solid presentation. We know a lot about near peer mentor programs and their efficacy but these are important elements. Similar to another presentation I think presenting the entirety of the work was problematic. This would "&amp;"have received excellents in some categories but the presenter had to rush (I was moderating and to be fair I was keeping a tight time limit). It's too much to present an entire dissertation in 10 minutes. But overall the presenter is well versed in this a"&amp;"rea and has a good understanding of the higher ed landscape.
Comment: Clearly identified gap.Slides clearly explained all important elements of the research project. One implication was regarding the importance of peer mentoring for an emerging Hispanic "&amp;"serving institution, and so more info on demographics of participants and those who used the program would have strengthened the presentation. Brinley was confident in her presentation and in audience interactions. Overall it was a very complete presentat"&amp;"ion and well designed study.")</f>
        <v>Comment: Professional in appearance and delivery. Had more info than could be shared in 10 min. Great job.
Comment: Great project with fantastic potential to support math learning. I appreciate your finding about power imbalance as a reason for why NPM works. 
Comment: Solid work and solid presentation. We know a lot about near peer mentor programs and their efficacy but these are important elements. Similar to another presentation I think presenting the entirety of the work was problematic. This would have received excellents in some categories but the presenter had to rush (I was moderating and to be fair I was keeping a tight time limit). It's too much to present an entire dissertation in 10 minutes. But overall the presenter is well versed in this area and has a good understanding of the higher ed landscape.
Comment: Clearly identified gap.Slides clearly explained all important elements of the research project. One implication was regarding the importance of peer mentoring for an emerging Hispanic serving institution, and so more info on demographics of participants and those who used the program would have strengthened the presentation. Brinley was confident in her presentation and in audience interactions. Overall it was a very complete presentation and well designed study.</v>
      </c>
      <c r="K205" t="s">
        <v>5055</v>
      </c>
    </row>
    <row r="206">
      <c r="A206" s="345">
        <v>291.0</v>
      </c>
      <c r="B206" s="346" t="s">
        <v>2265</v>
      </c>
      <c r="C206" s="346" t="s">
        <v>2266</v>
      </c>
      <c r="D206" s="346" t="s">
        <v>2269</v>
      </c>
      <c r="E206" s="346" t="s">
        <v>2271</v>
      </c>
      <c r="F206" s="346" t="s">
        <v>2272</v>
      </c>
      <c r="G206" s="346" t="s">
        <v>1376</v>
      </c>
      <c r="H206" s="346" t="s">
        <v>2273</v>
      </c>
      <c r="I206" s="347" t="s">
        <v>2267</v>
      </c>
      <c r="J206" t="str">
        <f>IFERROR(__xludf.DUMMYFUNCTION("IFERROR(
    ARRAYFORMULA(
        JOIN(
            CHAR(10) &amp; CHAR(10),
            ""Comment: "" &amp; FILTER(
                'Scores Import DO NOT EDIT'!N:N, 
                'Scores Import DO NOT EDIT'!D:D = A206
            )
        )
    ), 
    ""No"&amp;" comments yet""
)
"),"Comment: Animated speaker at enjoyable level. Speaking very rapidly to offset time limitation.  Study needs further work, very valuable.
Comment: Great project! So interesting that students did not believe they were doing real programming. You addressed "&amp;"questions and comments beautifully!
Comment: This was a great presentation but, again, the presenter had to rush and it really impacted his style. The work is very important -- to me it may have the most significance for reducing equity gaps of any of th"&amp;"e work I've seen lately. He was brought into someone else's class so I""m not sure how much of this is his idea, or hers; I wish I'd probed on that. It might make a difference in how I view it. But he really really understands his work and its implication"&amp;"s and I really liked what they're doing.
Comment: Austin brought a lot of energy to his end-of-the-day presentation. The slides were well designed and the topic is one that needs more exploration. The methods appear solid and the findings have exciting i"&amp;"mplications for equity in STEM. I’m particularly interested in his future research ideas of exploring student perceptions of the legitimacy of the class coding instruction. I wonder if student identity (as a non-coder) plays a role.")</f>
        <v>Comment: Animated speaker at enjoyable level. Speaking very rapidly to offset time limitation.  Study needs further work, very valuable.
Comment: Great project! So interesting that students did not believe they were doing real programming. You addressed questions and comments beautifully!
Comment: This was a great presentation but, again, the presenter had to rush and it really impacted his style. The work is very important -- to me it may have the most significance for reducing equity gaps of any of the work I've seen lately. He was brought into someone else's class so I"m not sure how much of this is his idea, or hers; I wish I'd probed on that. It might make a difference in how I view it. But he really really understands his work and its implications and I really liked what they're doing.
Comment: Austin brought a lot of energy to his end-of-the-day presentation. The slides were well designed and the topic is one that needs more exploration. The methods appear solid and the findings have exciting implications for equity in STEM. I’m particularly interested in his future research ideas of exploring student perceptions of the legitimacy of the class coding instruction. I wonder if student identity (as a non-coder) plays a role.</v>
      </c>
      <c r="K206" t="s">
        <v>5056</v>
      </c>
    </row>
    <row r="207">
      <c r="A207" s="345">
        <v>292.0</v>
      </c>
      <c r="B207" s="346" t="s">
        <v>1386</v>
      </c>
      <c r="C207" s="346" t="s">
        <v>2274</v>
      </c>
      <c r="D207" s="346" t="s">
        <v>2277</v>
      </c>
      <c r="E207" s="346" t="s">
        <v>1312</v>
      </c>
      <c r="F207" s="346" t="s">
        <v>1313</v>
      </c>
      <c r="G207" s="346" t="s">
        <v>784</v>
      </c>
      <c r="H207" s="346" t="s">
        <v>1314</v>
      </c>
      <c r="I207" s="347" t="s">
        <v>2275</v>
      </c>
      <c r="J207" t="str">
        <f>IFERROR(__xludf.DUMMYFUNCTION("IFERROR(
    ARRAYFORMULA(
        JOIN(
            CHAR(10) &amp; CHAR(10),
            ""Comment: "" &amp; FILTER(
                'Scores Import DO NOT EDIT'!N:N, 
                'Scores Import DO NOT EDIT'!D:D = A207
            )
        )
    ), 
    ""No"&amp;" comments yet""
)
"),"Comment: The presentation offered many ideas and methods for engagement, however, the presenter was trying to cram a lot of information into the presentation which led to a rushed feeling. Offering a bit more demographic information would be helpful to co"&amp;"ntextualize analysis and results. Clarifying the relationship between the music and the dialogue would help to clarify how others interpret the lyrics. 
Comment: 
Comment: 
Comment: The question of positionality is important but for a quick presentatio"&amp;"n should be much more concise, particularly as the rest of the information felt rushed. The presenter did not introduce the project by title, takes for granted that we will know who this artist is, and did not explain why they chose this artist (vs anothe"&amp;"r one), what lyrics were meaningful, or how they met the participating subjects. The idea of using music to heal is not new, but the particular feminist/Latinx methodology can certainly revitalize and alter perspectives on what healing is, and how it can "&amp;"be enacted in community settings. To that end, the student should showcase their own interventions more clearly. Particularly novel in this kind of approach is its function/place in academia (as I believe the student commented that the other participants "&amp;"were also grad students). Curious about how the one participant who was not Mexican/Mex-Am. experienced this engagement. In the Q&amp;A project became clearer.  This is undoubtedly an important perspective to have in US education, and I would have liked for a"&amp;" conclusion to address broader implications, ideas for broader applicability/practice.")</f>
        <v>Comment: The presentation offered many ideas and methods for engagement, however, the presenter was trying to cram a lot of information into the presentation which led to a rushed feeling. Offering a bit more demographic information would be helpful to contextualize analysis and results. Clarifying the relationship between the music and the dialogue would help to clarify how others interpret the lyrics. 
Comment: 
Comment: 
Comment: The question of positionality is important but for a quick presentation should be much more concise, particularly as the rest of the information felt rushed. The presenter did not introduce the project by title, takes for granted that we will know who this artist is, and did not explain why they chose this artist (vs another one), what lyrics were meaningful, or how they met the participating subjects. The idea of using music to heal is not new, but the particular feminist/Latinx methodology can certainly revitalize and alter perspectives on what healing is, and how it can be enacted in community settings. To that end, the student should showcase their own interventions more clearly. Particularly novel in this kind of approach is its function/place in academia (as I believe the student commented that the other participants were also grad students). Curious about how the one participant who was not Mexican/Mex-Am. experienced this engagement. In the Q&amp;A project became clearer.  This is undoubtedly an important perspective to have in US education, and I would have liked for a conclusion to address broader implications, ideas for broader applicability/practice.</v>
      </c>
      <c r="K207" t="s">
        <v>5057</v>
      </c>
    </row>
    <row r="208">
      <c r="A208" s="349">
        <v>293.0</v>
      </c>
      <c r="B208" s="346" t="s">
        <v>860</v>
      </c>
      <c r="C208" s="346" t="s">
        <v>2280</v>
      </c>
      <c r="D208" s="346" t="s">
        <v>5058</v>
      </c>
      <c r="E208" s="346" t="s">
        <v>2120</v>
      </c>
      <c r="F208" s="346" t="s">
        <v>2121</v>
      </c>
      <c r="G208" s="346" t="s">
        <v>784</v>
      </c>
      <c r="H208" s="346" t="s">
        <v>2122</v>
      </c>
      <c r="I208" s="347" t="s">
        <v>2281</v>
      </c>
      <c r="J208" t="str">
        <f>IFERROR(__xludf.DUMMYFUNCTION("IFERROR(
    ARRAYFORMULA(
        JOIN(
            CHAR(10) &amp; CHAR(10),
            ""Comment: "" &amp; FILTER(
                'Scores Import DO NOT EDIT'!N:N, 
                'Scores Import DO NOT EDIT'!D:D = A208
            )
        )
    ), 
    ""No"&amp;" comments yet""
)
"),"Comment: ")</f>
        <v>Comment: </v>
      </c>
      <c r="K208" t="s">
        <v>4835</v>
      </c>
    </row>
    <row r="209">
      <c r="A209" s="345">
        <v>294.0</v>
      </c>
      <c r="B209" s="346" t="s">
        <v>2288</v>
      </c>
      <c r="C209" s="346" t="s">
        <v>2289</v>
      </c>
      <c r="D209" s="346" t="s">
        <v>2292</v>
      </c>
      <c r="E209" s="346" t="s">
        <v>1938</v>
      </c>
      <c r="F209" s="346" t="s">
        <v>1939</v>
      </c>
      <c r="G209" s="346" t="s">
        <v>753</v>
      </c>
      <c r="H209" s="346" t="s">
        <v>1940</v>
      </c>
      <c r="I209" s="347" t="s">
        <v>2290</v>
      </c>
      <c r="J209" t="str">
        <f>IFERROR(__xludf.DUMMYFUNCTION("IFERROR(
    ARRAYFORMULA(
        JOIN(
            CHAR(10) &amp; CHAR(10),
            ""Comment: "" &amp; FILTER(
                'Scores Import DO NOT EDIT'!N:N, 
                'Scores Import DO NOT EDIT'!D:D = A209
            )
        )
    ), 
    ""No"&amp;" comments yet""
)
"),"Comment: 
Comment: The presentation maintained a clear focus and student has a sense of direction for research left to complete. It will be exciting to revisit the project upon completion to get a better understanding of the process of translation and pe"&amp;"rformance.
Comment: 
Comment: This was the mostly clearly organized presentation I attended. My only advice would be to have a clear explanation on whether the project has an original contribution to translation or theater studies, as it seemed to me to"&amp;" follow the conventions of translation practice. ")</f>
        <v>Comment: 
Comment: The presentation maintained a clear focus and student has a sense of direction for research left to complete. It will be exciting to revisit the project upon completion to get a better understanding of the process of translation and performance.
Comment: 
Comment: This was the mostly clearly organized presentation I attended. My only advice would be to have a clear explanation on whether the project has an original contribution to translation or theater studies, as it seemed to me to follow the conventions of translation practice. </v>
      </c>
      <c r="K209" t="s">
        <v>5059</v>
      </c>
    </row>
    <row r="210">
      <c r="A210" s="345">
        <v>295.0</v>
      </c>
      <c r="B210" s="346" t="s">
        <v>1177</v>
      </c>
      <c r="C210" s="346" t="s">
        <v>2294</v>
      </c>
      <c r="D210" s="346" t="s">
        <v>5060</v>
      </c>
      <c r="E210" s="346" t="s">
        <v>1938</v>
      </c>
      <c r="F210" s="346" t="s">
        <v>1939</v>
      </c>
      <c r="G210" s="346" t="s">
        <v>777</v>
      </c>
      <c r="H210" s="346" t="s">
        <v>1940</v>
      </c>
      <c r="I210" s="347" t="s">
        <v>2295</v>
      </c>
      <c r="J210" t="str">
        <f>IFERROR(__xludf.DUMMYFUNCTION("IFERROR(
    ARRAYFORMULA(
        JOIN(
            CHAR(10) &amp; CHAR(10),
            ""Comment: "" &amp; FILTER(
                'Scores Import DO NOT EDIT'!N:N, 
                'Scores Import DO NOT EDIT'!D:D = A210
            )
        )
    ), 
    ""No"&amp;" comments yet""
)
"),"Comment: Throughly engaging. 
Comment: The presentation engaged important ideas about how these plays helped form a cultural response to the foundations of American society. I would encourage the student to proofread the presentation slides and provide a"&amp;" bit more context to some of the characters presented. 
Comment: 
Comment: Certainly an interesting topic, but while the student is clear in explaining that they are drawing together work on melodrama and the new context of a changing motion of democrac"&amp;"y, it is unclear what their original contribution (even in the form of synthesis) might be. They began the presentation by alluding to the construction of a national identity, but since the previous presentations had been on Mexico, Japan, etc., and Blueb"&amp;"eard at least originated in Europe, I had no idea what country they were referring to until the presentation was halfway through. It is also meaningful that “national identity” is highly limited in their timeframe of interest to a few former colonies. Per"&amp;"haps some over-reliance on a single secondary source, and the student may benefit from doing their own primary source research. The student rushed through the most meaningful slides. 10 minutes is indeed short but we are here to learn and enjoy — please s"&amp;"low down so we can savor your thoughts and build our own understandings of them. Mentions middle class, I was also curious about working/lower/begging classes, any mention of enslaved groups, etc. ")</f>
        <v>Comment: Throughly engaging. 
Comment: The presentation engaged important ideas about how these plays helped form a cultural response to the foundations of American society. I would encourage the student to proofread the presentation slides and provide a bit more context to some of the characters presented. 
Comment: 
Comment: Certainly an interesting topic, but while the student is clear in explaining that they are drawing together work on melodrama and the new context of a changing motion of democracy, it is unclear what their original contribution (even in the form of synthesis) might be. They began the presentation by alluding to the construction of a national identity, but since the previous presentations had been on Mexico, Japan, etc., and Bluebeard at least originated in Europe, I had no idea what country they were referring to until the presentation was halfway through. It is also meaningful that “national identity” is highly limited in their timeframe of interest to a few former colonies. Perhaps some over-reliance on a single secondary source, and the student may benefit from doing their own primary source research. The student rushed through the most meaningful slides. 10 minutes is indeed short but we are here to learn and enjoy — please slow down so we can savor your thoughts and build our own understandings of them. Mentions middle class, I was also curious about working/lower/begging classes, any mention of enslaved groups, etc. </v>
      </c>
      <c r="K210" t="s">
        <v>5061</v>
      </c>
    </row>
    <row r="211">
      <c r="A211" s="345">
        <v>296.0</v>
      </c>
      <c r="B211" s="346" t="s">
        <v>2299</v>
      </c>
      <c r="C211" s="346" t="s">
        <v>2300</v>
      </c>
      <c r="D211" s="346" t="s">
        <v>2303</v>
      </c>
      <c r="E211" s="346" t="s">
        <v>2305</v>
      </c>
      <c r="F211" s="346" t="s">
        <v>2306</v>
      </c>
      <c r="G211" s="346" t="s">
        <v>784</v>
      </c>
      <c r="H211" s="346" t="s">
        <v>2307</v>
      </c>
      <c r="I211" s="347" t="s">
        <v>2301</v>
      </c>
      <c r="J211" t="str">
        <f>IFERROR(__xludf.DUMMYFUNCTION("IFERROR(
    ARRAYFORMULA(
        JOIN(
            CHAR(10) &amp; CHAR(10),
            ""Comment: "" &amp; FILTER(
                'Scores Import DO NOT EDIT'!N:N, 
                'Scores Import DO NOT EDIT'!D:D = A211
            )
        )
    ), 
    ""No"&amp;" comments yet""
)
"),"Comment: Presentation was clear and organized. It would be interesting to provide a bit more detail about selection of interviewees and how presenter is navigating notions of trauma. 
Comment: 
Comment: 
Comment: Excellent job at identifying an importa"&amp;"nt gap and potential significance. However, the question of IRB is a crucial one, as it can take years for IRB approval regarding human subjects and trauma. It would be horrible for the research to end up being unusable due to this problem. Phenomenal pre"&amp;"sentation style in terms of professionalism, organization, hook; however, please be louder. ")</f>
        <v>Comment: Presentation was clear and organized. It would be interesting to provide a bit more detail about selection of interviewees and how presenter is navigating notions of trauma. 
Comment: 
Comment: 
Comment: Excellent job at identifying an important gap and potential significance. However, the question of IRB is a crucial one, as it can take years for IRB approval regarding human subjects and trauma. It would be horrible for the research to end up being unusable due to this problem. Phenomenal presentation style in terms of professionalism, organization, hook; however, please be louder. </v>
      </c>
      <c r="K211" t="s">
        <v>5062</v>
      </c>
    </row>
    <row r="212">
      <c r="A212" s="345">
        <v>297.0</v>
      </c>
      <c r="B212" s="346" t="s">
        <v>2308</v>
      </c>
      <c r="C212" s="346" t="s">
        <v>2309</v>
      </c>
      <c r="D212" s="346" t="s">
        <v>2311</v>
      </c>
      <c r="E212" s="346" t="s">
        <v>1332</v>
      </c>
      <c r="F212" s="346" t="s">
        <v>1333</v>
      </c>
      <c r="G212" s="346" t="s">
        <v>784</v>
      </c>
      <c r="H212" s="346" t="s">
        <v>1334</v>
      </c>
      <c r="I212" s="347" t="s">
        <v>2310</v>
      </c>
      <c r="J212" t="str">
        <f>IFERROR(__xludf.DUMMYFUNCTION("IFERROR(
    ARRAYFORMULA(
        JOIN(
            CHAR(10) &amp; CHAR(10),
            ""Comment: "" &amp; FILTER(
                'Scores Import DO NOT EDIT'!N:N, 
                'Scores Import DO NOT EDIT'!D:D = A212
            )
        )
    ), 
    ""No"&amp;" comments yet""
)
"),"Comment: 
Comment: Presentation was well organized, clear and offered a clear action plan for supporting conservation efforts. It would be interesting for student to present some ideas/models for better presentation of signage. 
Comment: 
Comment: The "&amp;"research questions are interesting and important, as is the takeaway that signs should be more accessible and have a clearer call to action. However, I am unclear why so much research had to be done to make those claims. In the humanities, the final takea"&amp;"way from the project goes without saying. If there is something deeper here, it should be more clearly articulated. ")</f>
        <v>Comment: 
Comment: Presentation was well organized, clear and offered a clear action plan for supporting conservation efforts. It would be interesting for student to present some ideas/models for better presentation of signage. 
Comment: 
Comment: The research questions are interesting and important, as is the takeaway that signs should be more accessible and have a clearer call to action. However, I am unclear why so much research had to be done to make those claims. In the humanities, the final takeaway from the project goes without saying. If there is something deeper here, it should be more clearly articulated. </v>
      </c>
      <c r="K212" t="s">
        <v>5063</v>
      </c>
    </row>
    <row r="213">
      <c r="A213" s="345">
        <v>298.0</v>
      </c>
      <c r="B213" s="346" t="s">
        <v>1911</v>
      </c>
      <c r="C213" s="346" t="s">
        <v>2314</v>
      </c>
      <c r="D213" s="346" t="s">
        <v>2317</v>
      </c>
      <c r="E213" s="346" t="s">
        <v>2319</v>
      </c>
      <c r="F213" s="346" t="s">
        <v>2320</v>
      </c>
      <c r="G213" s="346" t="s">
        <v>784</v>
      </c>
      <c r="H213" s="346" t="s">
        <v>2321</v>
      </c>
      <c r="I213" s="347" t="s">
        <v>2315</v>
      </c>
      <c r="J213" t="str">
        <f>IFERROR(__xludf.DUMMYFUNCTION("IFERROR(
    ARRAYFORMULA(
        JOIN(
            CHAR(10) &amp; CHAR(10),
            ""Comment: "" &amp; FILTER(
                'Scores Import DO NOT EDIT'!N:N, 
                'Scores Import DO NOT EDIT'!D:D = A213
            )
        )
    ), 
    ""No"&amp;" comments yet""
)
"),"Comment: presenter was unable to present")</f>
        <v>Comment: presenter was unable to present</v>
      </c>
      <c r="K213" t="s">
        <v>5064</v>
      </c>
    </row>
    <row r="214">
      <c r="A214" s="345">
        <v>299.0</v>
      </c>
      <c r="B214" s="346" t="s">
        <v>2322</v>
      </c>
      <c r="C214" s="346" t="s">
        <v>2323</v>
      </c>
      <c r="D214" s="346" t="s">
        <v>2325</v>
      </c>
      <c r="E214" s="346" t="s">
        <v>1875</v>
      </c>
      <c r="F214" s="346" t="s">
        <v>2327</v>
      </c>
      <c r="G214" s="346" t="s">
        <v>784</v>
      </c>
      <c r="H214" s="346" t="s">
        <v>2328</v>
      </c>
      <c r="I214" s="347" t="s">
        <v>2324</v>
      </c>
      <c r="J214" t="str">
        <f>IFERROR(__xludf.DUMMYFUNCTION("IFERROR(
    ARRAYFORMULA(
        JOIN(
            CHAR(10) &amp; CHAR(10),
            ""Comment: "" &amp; FILTER(
                'Scores Import DO NOT EDIT'!N:N, 
                'Scores Import DO NOT EDIT'!D:D = A214
            )
        )
    ), 
    ""No"&amp;" comments yet""
)
"),"Comment: 
Comment: very nice: you use some terms like ""colorway"" that might want an explanation. Interesting presentation and question. The slides were very captivating and helped but also may have distracted us viewers. If you had more time, give time"&amp;" for audience to check out the slides and be sure to refer explicitly to this or that aspect of them. Overall, nice job.
Comment: 
Comment: Well-rehearsed and confident presentation. 
Clear research questions and methodology, but I would have liked to h"&amp;"ave a slide that matched what the presenter was saying.
Strongly grounded in academic literature.
Really interesting topic with lots of exciting examples.
Great response to questions, especially the question about methodology -- add your answer to that qu"&amp;"estion to your presentation. 
Many people are going to be very interested in this.
Think more about gender and race!")</f>
        <v>Comment: 
Comment: very nice: you use some terms like "colorway" that might want an explanation. Interesting presentation and question. The slides were very captivating and helped but also may have distracted us viewers. If you had more time, give time for audience to check out the slides and be sure to refer explicitly to this or that aspect of them. Overall, nice job.
Comment: 
Comment: Well-rehearsed and confident presentation. 
Clear research questions and methodology, but I would have liked to have a slide that matched what the presenter was saying.
Strongly grounded in academic literature.
Really interesting topic with lots of exciting examples.
Great response to questions, especially the question about methodology -- add your answer to that question to your presentation. 
Many people are going to be very interested in this.
Think more about gender and race!</v>
      </c>
      <c r="K214" t="s">
        <v>5065</v>
      </c>
    </row>
    <row r="215">
      <c r="A215" s="345">
        <v>300.0</v>
      </c>
      <c r="B215" s="346" t="s">
        <v>2329</v>
      </c>
      <c r="C215" s="346" t="s">
        <v>2330</v>
      </c>
      <c r="D215" s="346" t="s">
        <v>2333</v>
      </c>
      <c r="E215" s="346" t="s">
        <v>2335</v>
      </c>
      <c r="F215" s="346" t="s">
        <v>2336</v>
      </c>
      <c r="G215" s="346" t="s">
        <v>784</v>
      </c>
      <c r="H215" s="346" t="s">
        <v>2337</v>
      </c>
      <c r="I215" s="347" t="s">
        <v>2331</v>
      </c>
      <c r="J215" t="str">
        <f>IFERROR(__xludf.DUMMYFUNCTION("IFERROR(
    ARRAYFORMULA(
        JOIN(
            CHAR(10) &amp; CHAR(10),
            ""Comment: "" &amp; FILTER(
                'Scores Import DO NOT EDIT'!N:N, 
                'Scores Import DO NOT EDIT'!D:D = A215
            )
        )
    ), 
    ""No"&amp;" comments yet""
)
"),"Comment: 
Comment: I'd like to see a more explicit connection between slides and talk, e.g., with ""Indian Princess"" troupe, it was difficult for me to connect what was said with the images. Otherwise, the presentation was energetic and original. Thanks"&amp;".
Comment: 
Comment: Really interesting topic on one of my favorite movies. Compelling thesis with the application of decolonial concepts. The beginning was really strong -- making the case for why art matters! Over time, the points the presenter were m"&amp;"aking got a bit muddled, and I was a bit confused about how the presenter was applying the concepts of ""relationality"" and ""assimilation."" The presenter lost me a bit when she was equating Tupac with gang violence. I encourage the presenter to keep ho"&amp;"ning in on their main point and using evidence to back it up.")</f>
        <v>Comment: 
Comment: I'd like to see a more explicit connection between slides and talk, e.g., with "Indian Princess" troupe, it was difficult for me to connect what was said with the images. Otherwise, the presentation was energetic and original. Thanks.
Comment: 
Comment: Really interesting topic on one of my favorite movies. Compelling thesis with the application of decolonial concepts. The beginning was really strong -- making the case for why art matters! Over time, the points the presenter were making got a bit muddled, and I was a bit confused about how the presenter was applying the concepts of "relationality" and "assimilation." The presenter lost me a bit when she was equating Tupac with gang violence. I encourage the presenter to keep honing in on their main point and using evidence to back it up.</v>
      </c>
      <c r="K215" t="s">
        <v>5066</v>
      </c>
    </row>
    <row r="216">
      <c r="A216" s="345">
        <v>301.0</v>
      </c>
      <c r="B216" s="346" t="s">
        <v>2338</v>
      </c>
      <c r="C216" s="346" t="s">
        <v>2339</v>
      </c>
      <c r="D216" s="346" t="s">
        <v>2342</v>
      </c>
      <c r="E216" s="346" t="s">
        <v>1293</v>
      </c>
      <c r="F216" s="346" t="s">
        <v>1294</v>
      </c>
      <c r="G216" s="346" t="s">
        <v>784</v>
      </c>
      <c r="H216" s="346" t="s">
        <v>1295</v>
      </c>
      <c r="I216" s="347" t="s">
        <v>2340</v>
      </c>
      <c r="J216" t="str">
        <f>IFERROR(__xludf.DUMMYFUNCTION("IFERROR(
    ARRAYFORMULA(
        JOIN(
            CHAR(10) &amp; CHAR(10),
            ""Comment: "" &amp; FILTER(
                'Scores Import DO NOT EDIT'!N:N, 
                'Scores Import DO NOT EDIT'!D:D = A216
            )
        )
    ), 
    ""No"&amp;" comments yet""
)
"),"No comments yet")</f>
        <v>No comments yet</v>
      </c>
      <c r="K216" t="s">
        <v>4820</v>
      </c>
    </row>
    <row r="217">
      <c r="A217" s="345">
        <v>302.0</v>
      </c>
      <c r="B217" s="346" t="s">
        <v>788</v>
      </c>
      <c r="C217" s="346" t="s">
        <v>2345</v>
      </c>
      <c r="D217" s="346" t="s">
        <v>2348</v>
      </c>
      <c r="E217" s="346" t="s">
        <v>2350</v>
      </c>
      <c r="F217" s="346" t="s">
        <v>2351</v>
      </c>
      <c r="G217" s="346" t="s">
        <v>764</v>
      </c>
      <c r="H217" s="346" t="s">
        <v>2352</v>
      </c>
      <c r="I217" s="347" t="s">
        <v>2346</v>
      </c>
      <c r="J217" t="str">
        <f>IFERROR(__xludf.DUMMYFUNCTION("IFERROR(
    ARRAYFORMULA(
        JOIN(
            CHAR(10) &amp; CHAR(10),
            ""Comment: "" &amp; FILTER(
                'Scores Import DO NOT EDIT'!N:N, 
                'Scores Import DO NOT EDIT'!D:D = A217
            )
        )
    ), 
    ""No"&amp;" comments yet""
)
"),"Comment: 
Comment: Great presentation skills—projection and captivating the audience. I wish the research methodologies had been presented in a clearer fashion. 
Comment: The research contribution is poor. So the presenter should discuss their particula"&amp;"r contribution in the presentation.  ")</f>
        <v>Comment: 
Comment: Great presentation skills—projection and captivating the audience. I wish the research methodologies had been presented in a clearer fashion. 
Comment: The research contribution is poor. So the presenter should discuss their particular contribution in the presentation.  </v>
      </c>
      <c r="K217" t="s">
        <v>5067</v>
      </c>
    </row>
    <row r="218">
      <c r="A218" s="345">
        <v>303.0</v>
      </c>
      <c r="B218" s="346" t="s">
        <v>1651</v>
      </c>
      <c r="C218" s="346" t="s">
        <v>2353</v>
      </c>
      <c r="D218" s="346" t="s">
        <v>2356</v>
      </c>
      <c r="E218" s="346" t="s">
        <v>1392</v>
      </c>
      <c r="F218" s="346" t="s">
        <v>1393</v>
      </c>
      <c r="G218" s="346" t="s">
        <v>764</v>
      </c>
      <c r="H218" s="346" t="s">
        <v>1394</v>
      </c>
      <c r="I218" s="347" t="s">
        <v>2354</v>
      </c>
      <c r="J218" t="str">
        <f>IFERROR(__xludf.DUMMYFUNCTION("IFERROR(
    ARRAYFORMULA(
        JOIN(
            CHAR(10) &amp; CHAR(10),
            ""Comment: "" &amp; FILTER(
                'Scores Import DO NOT EDIT'!N:N, 
                'Scores Import DO NOT EDIT'!D:D = A218
            )
        )
    ), 
    ""No"&amp;" comments yet""
)
"),"Comment: 
Comment: The presentation is well but the candidate should discuss more about research works. 
Comment: I thought Ryan’s projection and eye contact were great. Presentation did feel a but rushed and I think the methodologies and information ab"&amp;"out next steps could have been further expanded upon. ")</f>
        <v>Comment: 
Comment: The presentation is well but the candidate should discuss more about research works. 
Comment: I thought Ryan’s projection and eye contact were great. Presentation did feel a but rushed and I think the methodologies and information about next steps could have been further expanded upon. </v>
      </c>
      <c r="K218" t="s">
        <v>5068</v>
      </c>
    </row>
    <row r="219">
      <c r="A219" s="345">
        <v>304.0</v>
      </c>
      <c r="B219" s="346" t="s">
        <v>1848</v>
      </c>
      <c r="C219" s="346" t="s">
        <v>2358</v>
      </c>
      <c r="D219" s="346" t="s">
        <v>2360</v>
      </c>
      <c r="E219" s="346" t="s">
        <v>5069</v>
      </c>
      <c r="F219" s="346" t="s">
        <v>2363</v>
      </c>
      <c r="G219" s="346" t="s">
        <v>773</v>
      </c>
      <c r="H219" s="346" t="s">
        <v>2364</v>
      </c>
      <c r="I219" s="347" t="s">
        <v>2359</v>
      </c>
      <c r="J219" t="str">
        <f>IFERROR(__xludf.DUMMYFUNCTION("IFERROR(
    ARRAYFORMULA(
        JOIN(
            CHAR(10) &amp; CHAR(10),
            ""Comment: "" &amp; FILTER(
                'Scores Import DO NOT EDIT'!N:N, 
                'Scores Import DO NOT EDIT'!D:D = A219
            )
        )
    ), 
    ""No"&amp;" comments yet""
)
"),"Comment: Excellent presenter and very engaging with audience. As someone not from a STEM background, I did find it quite difficult to follow. 
Comment: 
Comment: Good technique to manufacture conductive  thin film")</f>
        <v>Comment: Excellent presenter and very engaging with audience. As someone not from a STEM background, I did find it quite difficult to follow. 
Comment: 
Comment: Good technique to manufacture conductive  thin film</v>
      </c>
      <c r="K219" t="s">
        <v>5070</v>
      </c>
    </row>
    <row r="220">
      <c r="A220" s="345">
        <v>305.0</v>
      </c>
      <c r="B220" s="346" t="s">
        <v>1750</v>
      </c>
      <c r="C220" s="346" t="s">
        <v>2365</v>
      </c>
      <c r="D220" s="346" t="s">
        <v>2368</v>
      </c>
      <c r="E220" s="346" t="s">
        <v>788</v>
      </c>
      <c r="F220" s="346" t="s">
        <v>1995</v>
      </c>
      <c r="G220" s="346" t="s">
        <v>764</v>
      </c>
      <c r="H220" s="346" t="s">
        <v>2371</v>
      </c>
      <c r="I220" s="347" t="s">
        <v>2366</v>
      </c>
      <c r="J220" t="str">
        <f>IFERROR(__xludf.DUMMYFUNCTION("IFERROR(
    ARRAYFORMULA(
        JOIN(
            CHAR(10) &amp; CHAR(10),
            ""Comment: "" &amp; FILTER(
                'Scores Import DO NOT EDIT'!N:N, 
                'Scores Import DO NOT EDIT'!D:D = A220
            )
        )
    ), 
    ""No"&amp;" comments yet""
)
"),"No comments yet")</f>
        <v>No comments yet</v>
      </c>
      <c r="K220" t="s">
        <v>4820</v>
      </c>
    </row>
    <row r="221">
      <c r="A221" s="345">
        <v>306.0</v>
      </c>
      <c r="B221" s="346" t="s">
        <v>1015</v>
      </c>
      <c r="C221" s="346" t="s">
        <v>2372</v>
      </c>
      <c r="D221" s="346" t="s">
        <v>2375</v>
      </c>
      <c r="E221" s="346" t="s">
        <v>823</v>
      </c>
      <c r="F221" s="346" t="s">
        <v>824</v>
      </c>
      <c r="G221" s="346" t="s">
        <v>764</v>
      </c>
      <c r="H221" s="346" t="s">
        <v>825</v>
      </c>
      <c r="I221" s="347" t="s">
        <v>2373</v>
      </c>
      <c r="J221" t="str">
        <f>IFERROR(__xludf.DUMMYFUNCTION("IFERROR(
    ARRAYFORMULA(
        JOIN(
            CHAR(10) &amp; CHAR(10),
            ""Comment: "" &amp; FILTER(
                'Scores Import DO NOT EDIT'!N:N, 
                'Scores Import DO NOT EDIT'!D:D = A221
            )
        )
    ), 
    ""No"&amp;" comments yet""
)
"),"Comment: Very interesting topic and could tell he is passionate about his research. Presentation felt a bit rushed and I think methodologies could have been better explained. Great at answering audience questions—very knowledgable 
Comment: Good presenta"&amp;"tion ")</f>
        <v>Comment: Very interesting topic and could tell he is passionate about his research. Presentation felt a bit rushed and I think methodologies could have been better explained. Great at answering audience questions—very knowledgable 
Comment: Good presentation </v>
      </c>
      <c r="K221" t="s">
        <v>5071</v>
      </c>
    </row>
    <row r="222">
      <c r="A222" s="345">
        <v>307.0</v>
      </c>
      <c r="B222" s="346" t="s">
        <v>5072</v>
      </c>
      <c r="C222" s="346" t="s">
        <v>2379</v>
      </c>
      <c r="D222" s="346" t="s">
        <v>5073</v>
      </c>
      <c r="E222" s="346" t="s">
        <v>5074</v>
      </c>
      <c r="F222" s="346" t="s">
        <v>2385</v>
      </c>
      <c r="G222" s="346" t="s">
        <v>1457</v>
      </c>
      <c r="H222" s="346" t="s">
        <v>2386</v>
      </c>
      <c r="I222" s="347" t="s">
        <v>2380</v>
      </c>
      <c r="J222" t="str">
        <f>IFERROR(__xludf.DUMMYFUNCTION("IFERROR(
    ARRAYFORMULA(
        JOIN(
            CHAR(10) &amp; CHAR(10),
            ""Comment: "" &amp; FILTER(
                'Scores Import DO NOT EDIT'!N:N, 
                'Scores Import DO NOT EDIT'!D:D = A222
            )
        )
    ), 
    ""No"&amp;" comments yet""
)
"),"Comment: The research in this project was very relevant and impactful. The presentation was very clear in methodology, scope, and data. ")</f>
        <v>Comment: The research in this project was very relevant and impactful. The presentation was very clear in methodology, scope, and data. </v>
      </c>
      <c r="K222" t="s">
        <v>5075</v>
      </c>
    </row>
    <row r="223">
      <c r="A223" s="345">
        <v>308.0</v>
      </c>
      <c r="B223" s="346" t="s">
        <v>2387</v>
      </c>
      <c r="C223" s="346" t="s">
        <v>2388</v>
      </c>
      <c r="D223" s="346" t="s">
        <v>5076</v>
      </c>
      <c r="E223" s="346" t="s">
        <v>2398</v>
      </c>
      <c r="F223" s="346" t="s">
        <v>5077</v>
      </c>
      <c r="G223" s="346" t="s">
        <v>1457</v>
      </c>
      <c r="H223" s="346" t="s">
        <v>2400</v>
      </c>
      <c r="I223" s="347" t="s">
        <v>2389</v>
      </c>
      <c r="J223" t="str">
        <f>IFERROR(__xludf.DUMMYFUNCTION("IFERROR(
    ARRAYFORMULA(
        JOIN(
            CHAR(10) &amp; CHAR(10),
            ""Comment: "" &amp; FILTER(
                'Scores Import DO NOT EDIT'!N:N, 
                'Scores Import DO NOT EDIT'!D:D = A223
            )
        )
    ), 
    ""No"&amp;" comments yet""
)
"),"Comment: The research was interesting and valuable, but two of the four presenters seemed very disinterested especially during the Q&amp;A. Danielle led the Q&amp;A and the other presenters did not do much to aid her in answering audience questions. They relied a"&amp;" little too much on notecards but overall they still did a good job. ")</f>
        <v>Comment: The research was interesting and valuable, but two of the four presenters seemed very disinterested especially during the Q&amp;A. Danielle led the Q&amp;A and the other presenters did not do much to aid her in answering audience questions. They relied a little too much on notecards but overall they still did a good job. </v>
      </c>
      <c r="K223" t="s">
        <v>5078</v>
      </c>
    </row>
    <row r="224">
      <c r="A224" s="345">
        <v>309.0</v>
      </c>
      <c r="B224" s="346" t="s">
        <v>2401</v>
      </c>
      <c r="C224" s="346" t="s">
        <v>2252</v>
      </c>
      <c r="D224" s="346" t="s">
        <v>2404</v>
      </c>
      <c r="E224" s="346" t="s">
        <v>1460</v>
      </c>
      <c r="F224" s="346" t="s">
        <v>1461</v>
      </c>
      <c r="G224" s="346" t="s">
        <v>1457</v>
      </c>
      <c r="H224" s="346" t="s">
        <v>1462</v>
      </c>
      <c r="I224" s="347" t="s">
        <v>2402</v>
      </c>
      <c r="J224" t="str">
        <f>IFERROR(__xludf.DUMMYFUNCTION("IFERROR(
    ARRAYFORMULA(
        JOIN(
            CHAR(10) &amp; CHAR(10),
            ""Comment: "" &amp; FILTER(
                'Scores Import DO NOT EDIT'!N:N, 
                'Scores Import DO NOT EDIT'!D:D = A224
            )
        )
    ), 
    ""No"&amp;" comments yet""
)
"),"Comment: The research was relevant and well presented. The presenters were knowledgable but relied a little too heavily on their notecards. ")</f>
        <v>Comment: The research was relevant and well presented. The presenters were knowledgable but relied a little too heavily on their notecards. </v>
      </c>
      <c r="K224" t="s">
        <v>5079</v>
      </c>
    </row>
    <row r="225">
      <c r="A225" s="345">
        <v>310.0</v>
      </c>
      <c r="B225" s="346" t="s">
        <v>2408</v>
      </c>
      <c r="C225" s="346" t="s">
        <v>2409</v>
      </c>
      <c r="D225" s="346" t="s">
        <v>2412</v>
      </c>
      <c r="E225" s="346" t="s">
        <v>1779</v>
      </c>
      <c r="F225" s="346" t="s">
        <v>1780</v>
      </c>
      <c r="G225" s="346" t="s">
        <v>784</v>
      </c>
      <c r="H225" s="346" t="s">
        <v>1781</v>
      </c>
      <c r="I225" s="347" t="s">
        <v>2410</v>
      </c>
      <c r="J225" t="str">
        <f>IFERROR(__xludf.DUMMYFUNCTION("IFERROR(
    ARRAYFORMULA(
        JOIN(
            CHAR(10) &amp; CHAR(10),
            ""Comment: "" &amp; FILTER(
                'Scores Import DO NOT EDIT'!N:N, 
                'Scores Import DO NOT EDIT'!D:D = A225
            )
        )
    ), 
    ""No"&amp;" comments yet""
)
"),"Comment: Great presentation of a very timely topic. This presenter handled the Q&amp;A section especially well as some very tough questions were being asked. ")</f>
        <v>Comment: Great presentation of a very timely topic. This presenter handled the Q&amp;A section especially well as some very tough questions were being asked. </v>
      </c>
      <c r="K225" t="s">
        <v>5080</v>
      </c>
    </row>
    <row r="226">
      <c r="A226" s="349">
        <v>311.0</v>
      </c>
      <c r="B226" s="346" t="s">
        <v>2197</v>
      </c>
      <c r="C226" s="346" t="s">
        <v>2414</v>
      </c>
      <c r="D226" s="346" t="s">
        <v>2417</v>
      </c>
      <c r="E226" s="346" t="s">
        <v>2419</v>
      </c>
      <c r="F226" s="346" t="s">
        <v>5081</v>
      </c>
      <c r="G226" s="346" t="s">
        <v>893</v>
      </c>
      <c r="H226" s="346" t="s">
        <v>2421</v>
      </c>
      <c r="I226" s="347" t="s">
        <v>2415</v>
      </c>
      <c r="J226" t="str">
        <f>IFERROR(__xludf.DUMMYFUNCTION("IFERROR(
    ARRAYFORMULA(
        JOIN(
            CHAR(10) &amp; CHAR(10),
            ""Comment: "" &amp; FILTER(
                'Scores Import DO NOT EDIT'!N:N, 
                'Scores Import DO NOT EDIT'!D:D = A226
            )
        )
    ), 
    ""No"&amp;" comments yet""
)
"),"No comments yet")</f>
        <v>No comments yet</v>
      </c>
      <c r="K226" t="s">
        <v>4820</v>
      </c>
    </row>
    <row r="227">
      <c r="A227" s="345">
        <v>312.0</v>
      </c>
      <c r="B227" s="346" t="s">
        <v>2422</v>
      </c>
      <c r="C227" s="346" t="s">
        <v>2423</v>
      </c>
      <c r="D227" s="346" t="s">
        <v>2426</v>
      </c>
      <c r="E227" s="346" t="s">
        <v>5082</v>
      </c>
      <c r="F227" s="346" t="s">
        <v>2429</v>
      </c>
      <c r="G227" s="346" t="s">
        <v>784</v>
      </c>
      <c r="H227" s="346" t="s">
        <v>2430</v>
      </c>
      <c r="I227" s="347" t="s">
        <v>2424</v>
      </c>
      <c r="J227" t="str">
        <f>IFERROR(__xludf.DUMMYFUNCTION("IFERROR(
    ARRAYFORMULA(
        JOIN(
            CHAR(10) &amp; CHAR(10),
            ""Comment: "" &amp; FILTER(
                'Scores Import DO NOT EDIT'!N:N, 
                'Scores Import DO NOT EDIT'!D:D = A227
            )
        )
    ), 
    ""No"&amp;" comments yet""
)
"),"Comment: This was the best presentation of the panel. The presenter was very well organized, the PowerPoint was extremely well done, and she was extremely knowledgable of her subject. The way she visualized her data in the PowerPoint was especially insigh"&amp;"tful and engaging. ")</f>
        <v>Comment: This was the best presentation of the panel. The presenter was very well organized, the PowerPoint was extremely well done, and she was extremely knowledgable of her subject. The way she visualized her data in the PowerPoint was especially insightful and engaging. </v>
      </c>
      <c r="K227" t="s">
        <v>5083</v>
      </c>
    </row>
    <row r="228">
      <c r="A228" s="345">
        <v>318.0</v>
      </c>
      <c r="B228" s="346" t="s">
        <v>5084</v>
      </c>
      <c r="C228" s="346" t="s">
        <v>2434</v>
      </c>
      <c r="D228" s="346" t="s">
        <v>2437</v>
      </c>
      <c r="E228" s="346" t="s">
        <v>1141</v>
      </c>
      <c r="F228" s="346" t="s">
        <v>1142</v>
      </c>
      <c r="G228" s="346" t="s">
        <v>893</v>
      </c>
      <c r="H228" s="346" t="s">
        <v>1143</v>
      </c>
      <c r="I228" s="347" t="s">
        <v>2435</v>
      </c>
      <c r="J228" t="str">
        <f>IFERROR(__xludf.DUMMYFUNCTION("IFERROR(
    ARRAYFORMULA(
        JOIN(
            CHAR(10) &amp; CHAR(10),
            ""Comment: "" &amp; FILTER(
                'Scores Import DO NOT EDIT'!N:N, 
                'Scores Import DO NOT EDIT'!D:D = A228
            )
        )
    ), 
    ""No"&amp;" comments yet""
)
"),"Comment: Seemed very confident and passionate about their project. Exceptional delivery of content. Answered questions efficiently. Excellent job! 
Comment: Really clear presentation on an important topic!! Starts would have been nice to determine which "&amp;"results to pay more attention to, but great study!
Comment: This was an excellent presentation of a very interesting study. The presenters were poised, well versed in their topic, and answered questions confidently and clearly. 
Comment: Wonderful job o"&amp;"n the research itself as well as presenting it. This is important research! Thanks for caring and doing a nice job. Enjoyable to listen to, you had a good command of the information you shared. Well done!
Comment: This work is so necessary especially whe"&amp;"n thinking about accessibility. Overall, the findings were interesting and relevant. Great immediate interaction and acknowledgement of the audience. Thorough knowledge of the topic. Some advice for future presentations is to go through the methodology to"&amp;" highlight the reliability and validity of the research approach. Great job discussing future research and community engagement with the purpose of this project. ")</f>
        <v>Comment: Seemed very confident and passionate about their project. Exceptional delivery of content. Answered questions efficiently. Excellent job! 
Comment: Really clear presentation on an important topic!! Starts would have been nice to determine which results to pay more attention to, but great study!
Comment: This was an excellent presentation of a very interesting study. The presenters were poised, well versed in their topic, and answered questions confidently and clearly. 
Comment: Wonderful job on the research itself as well as presenting it. This is important research! Thanks for caring and doing a nice job. Enjoyable to listen to, you had a good command of the information you shared. Well done!
Comment: This work is so necessary especially when thinking about accessibility. Overall, the findings were interesting and relevant. Great immediate interaction and acknowledgement of the audience. Thorough knowledge of the topic. Some advice for future presentations is to go through the methodology to highlight the reliability and validity of the research approach. Great job discussing future research and community engagement with the purpose of this project. </v>
      </c>
      <c r="K228" t="s">
        <v>5085</v>
      </c>
    </row>
    <row r="229">
      <c r="A229" s="345">
        <v>319.0</v>
      </c>
      <c r="B229" s="346" t="s">
        <v>2441</v>
      </c>
      <c r="C229" s="346" t="s">
        <v>2442</v>
      </c>
      <c r="D229" s="346" t="s">
        <v>2444</v>
      </c>
      <c r="E229" s="346" t="s">
        <v>2446</v>
      </c>
      <c r="F229" s="346" t="s">
        <v>2447</v>
      </c>
      <c r="G229" s="346" t="s">
        <v>764</v>
      </c>
      <c r="H229" s="346" t="s">
        <v>2448</v>
      </c>
      <c r="I229" s="347" t="s">
        <v>2443</v>
      </c>
      <c r="J229" t="str">
        <f>IFERROR(__xludf.DUMMYFUNCTION("IFERROR(
    ARRAYFORMULA(
        JOIN(
            CHAR(10) &amp; CHAR(10),
            ""Comment: "" &amp; FILTER(
                'Scores Import DO NOT EDIT'!N:N, 
                'Scores Import DO NOT EDIT'!D:D = A229
            )
        )
    ), 
    ""No"&amp;" comments yet""
)
"),"Comment: 
Comment: Very interesting study on Adverse Childhood Experiences and their long term consequences. The poster was a bit busy word wise and the bar graphs lacked error bars, but otherwise very clear presentation!
Comment: Thus was a well done p"&amp;"resentation of an interesting study! The presenter did a nice job explaining the study and responding to questions. 
Comment: Wonderful job on the research itself as well as presenting it. This is important research! Thanks for caring and doing a nice jo"&amp;"b. Enjoyable to listen to, you had a good command of the information you shared. You addressed what I perceived as a potential limitation, which was the small variance in Shipley scores because of the audience (college students). Well done and good luck i"&amp;"n the future!")</f>
        <v>Comment: 
Comment: Very interesting study on Adverse Childhood Experiences and their long term consequences. The poster was a bit busy word wise and the bar graphs lacked error bars, but otherwise very clear presentation!
Comment: Thus was a well done presentation of an interesting study! The presenter did a nice job explaining the study and responding to questions. 
Comment: Wonderful job on the research itself as well as presenting it. This is important research! Thanks for caring and doing a nice job. Enjoyable to listen to, you had a good command of the information you shared. You addressed what I perceived as a potential limitation, which was the small variance in Shipley scores because of the audience (college students). Well done and good luck in the future!</v>
      </c>
      <c r="K229" t="s">
        <v>5086</v>
      </c>
    </row>
    <row r="230">
      <c r="A230" s="345">
        <v>320.0</v>
      </c>
      <c r="B230" s="346" t="s">
        <v>2271</v>
      </c>
      <c r="C230" s="346" t="s">
        <v>5087</v>
      </c>
      <c r="D230" s="346" t="s">
        <v>5088</v>
      </c>
      <c r="E230" s="346" t="s">
        <v>866</v>
      </c>
      <c r="F230" s="346" t="s">
        <v>867</v>
      </c>
      <c r="G230" s="346" t="s">
        <v>764</v>
      </c>
      <c r="H230" s="346" t="s">
        <v>868</v>
      </c>
      <c r="I230" s="347" t="s">
        <v>2451</v>
      </c>
      <c r="J230" t="str">
        <f>IFERROR(__xludf.DUMMYFUNCTION("IFERROR(
    ARRAYFORMULA(
        JOIN(
            CHAR(10) &amp; CHAR(10),
            ""Comment: "" &amp; FILTER(
                'Scores Import DO NOT EDIT'!N:N, 
                'Scores Import DO NOT EDIT'!D:D = A230
            )
        )
    ), 
    ""No"&amp;" comments yet""
)
"),"Comment: 
Comment: Interesting study on the effect of binge drinking on cognition. The presentation was a bit vague and colloquial, but good job otherwise.
Comment: Nice presentation of an interesting study. The methodology left me with some questions a"&amp;"bout how participant characteristics, such as recency of binge drinking, may influence outcomes; the presenter did a nice job handling questions about it. 
Comment: Wonderful job on the research itself as well as presenting it. This is important research"&amp;"! Thanks for caring and doing a great job. Enjoyable to listen to, you had a good command of the information you shared. I can see the potential for future research. Well done! Good luck in whatever you do after graduation!")</f>
        <v>Comment: 
Comment: Interesting study on the effect of binge drinking on cognition. The presentation was a bit vague and colloquial, but good job otherwise.
Comment: Nice presentation of an interesting study. The methodology left me with some questions about how participant characteristics, such as recency of binge drinking, may influence outcomes; the presenter did a nice job handling questions about it. 
Comment: Wonderful job on the research itself as well as presenting it. This is important research! Thanks for caring and doing a great job. Enjoyable to listen to, you had a good command of the information you shared. I can see the potential for future research. Well done! Good luck in whatever you do after graduation!</v>
      </c>
      <c r="K230" t="s">
        <v>5089</v>
      </c>
    </row>
    <row r="231">
      <c r="A231" s="345">
        <v>321.0</v>
      </c>
      <c r="B231" s="346" t="s">
        <v>2456</v>
      </c>
      <c r="C231" s="346" t="s">
        <v>2457</v>
      </c>
      <c r="D231" s="346" t="s">
        <v>2460</v>
      </c>
      <c r="E231" s="346" t="s">
        <v>2462</v>
      </c>
      <c r="F231" s="346" t="s">
        <v>2463</v>
      </c>
      <c r="G231" s="346" t="s">
        <v>764</v>
      </c>
      <c r="H231" s="346" t="s">
        <v>2464</v>
      </c>
      <c r="I231" s="347" t="s">
        <v>2458</v>
      </c>
      <c r="J231" t="str">
        <f>IFERROR(__xludf.DUMMYFUNCTION("IFERROR(
    ARRAYFORMULA(
        JOIN(
            CHAR(10) &amp; CHAR(10),
            ""Comment: "" &amp; FILTER(
                'Scores Import DO NOT EDIT'!N:N, 
                'Scores Import DO NOT EDIT'!D:D = A231
            )
        )
    ), 
    ""No"&amp;" comments yet""
)
"),"Comment: Did not seem as confident in her project but delivered content well. 
Comment: Interesting study on Hispanic,/Latine stroke survivors and sex differences. Many participants which is a big plus. It would have been nice to have more info on the pa"&amp;"rticipants if available, especially concerning risk factors for stroke. But great job overall!
Comment: Nice presentation on an interesting topic. The presenter engaged well with specific questions about the participants and how the minimal detail availa"&amp;"ble about them (e.g., presence of language disorder after stroke, site/side of lesion) may influence the ability to interpret the data. It would have been good for her to have a clearer understanding of, and ability to interpret, the research results (e.g"&amp;"., why the vegetable fluency task was the only one highlighted when there were several other results with seemingly significant results). Overall, though, a good presentation! 
Comment: Wonderful job on the research itself as well as presenting it. Thank"&amp;"s for caring and doing a great job. Enjoyable to listen to, you had a good command of the information you shared. If I can give constructive advice - it would be great if you speak a little louder. As females, we need to be encouraged to speak up, be prou"&amp;"d and confident of what we are saying/presenting. I will encourage you to know that you are saying important things and don’t hesitate to be a little louder. I can see the potential for future research. Well done! Good luck in whatever you do after gradua"&amp;"tion!")</f>
        <v>Comment: Did not seem as confident in her project but delivered content well. 
Comment: Interesting study on Hispanic,/Latine stroke survivors and sex differences. Many participants which is a big plus. It would have been nice to have more info on the participants if available, especially concerning risk factors for stroke. But great job overall!
Comment: Nice presentation on an interesting topic. The presenter engaged well with specific questions about the participants and how the minimal detail available about them (e.g., presence of language disorder after stroke, site/side of lesion) may influence the ability to interpret the data. It would have been good for her to have a clearer understanding of, and ability to interpret, the research results (e.g., why the vegetable fluency task was the only one highlighted when there were several other results with seemingly significant results). Overall, though, a good presentation! 
Comment: Wonderful job on the research itself as well as presenting it. Thanks for caring and doing a great job. Enjoyable to listen to, you had a good command of the information you shared. If I can give constructive advice - it would be great if you speak a little louder. As females, we need to be encouraged to speak up, be proud and confident of what we are saying/presenting. I will encourage you to know that you are saying important things and don’t hesitate to be a little louder. I can see the potential for future research. Well done! Good luck in whatever you do after graduation!</v>
      </c>
      <c r="K231" t="s">
        <v>5090</v>
      </c>
    </row>
    <row r="232">
      <c r="A232" s="345">
        <v>322.0</v>
      </c>
      <c r="B232" s="346" t="s">
        <v>2465</v>
      </c>
      <c r="C232" s="346" t="s">
        <v>2466</v>
      </c>
      <c r="D232" s="346" t="s">
        <v>2469</v>
      </c>
      <c r="E232" s="346" t="s">
        <v>2471</v>
      </c>
      <c r="F232" s="346" t="s">
        <v>2447</v>
      </c>
      <c r="G232" s="346" t="s">
        <v>764</v>
      </c>
      <c r="H232" s="346" t="s">
        <v>2448</v>
      </c>
      <c r="I232" s="347" t="s">
        <v>2467</v>
      </c>
      <c r="J232" t="str">
        <f>IFERROR(__xludf.DUMMYFUNCTION("IFERROR(
    ARRAYFORMULA(
        JOIN(
            CHAR(10) &amp; CHAR(10),
            ""Comment: "" &amp; FILTER(
                'Scores Import DO NOT EDIT'!N:N, 
                'Scores Import DO NOT EDIT'!D:D = A232
            )
        )
    ), 
    ""No"&amp;" comments yet""
)
"),"Comment: 
Comment: Excellent presentation on a very important topic: how the time spent in social media influences body image and satisfaction. Great presentation by a very knowledgeable and personable student. Has good future directions identified. 
Co"&amp;"mment: Wonderful job on the research itself as well as presenting it. This research is SO needed!! I want to shout it from the rooftops. Thanks for caring and doing a great job. Enjoyable to listen to, you had a good command of the information you shared."&amp;" I can see the potential for future research…in fact, I want to be told when you extend it and what your findings are. :-)  Well done! Good luck in whatever you do after graduation!
Comment: Nice job with a very interesting project! Presentation was clea"&amp;"r and well delivered. The presenter did fairly well responding to questions and considering factors that may have influenced outcomes. Well done! 
Comment: Great presentation, interaction, and engagement. The critical thinking and thoughts around future "&amp;"research were solid. Considerations for future would be to highlight previous literature a little more to discuss the gaps and contributions to scientific resarch and how this is significant, but overall, great job. ")</f>
        <v>Comment: 
Comment: Excellent presentation on a very important topic: how the time spent in social media influences body image and satisfaction. Great presentation by a very knowledgeable and personable student. Has good future directions identified. 
Comment: Wonderful job on the research itself as well as presenting it. This research is SO needed!! I want to shout it from the rooftops. Thanks for caring and doing a great job. Enjoyable to listen to, you had a good command of the information you shared. I can see the potential for future research…in fact, I want to be told when you extend it and what your findings are. :-)  Well done! Good luck in whatever you do after graduation!
Comment: Nice job with a very interesting project! Presentation was clear and well delivered. The presenter did fairly well responding to questions and considering factors that may have influenced outcomes. Well done! 
Comment: Great presentation, interaction, and engagement. The critical thinking and thoughts around future research were solid. Considerations for future would be to highlight previous literature a little more to discuss the gaps and contributions to scientific resarch and how this is significant, but overall, great job. </v>
      </c>
      <c r="K232" t="s">
        <v>5091</v>
      </c>
    </row>
    <row r="233">
      <c r="A233" s="345">
        <v>323.0</v>
      </c>
      <c r="B233" s="346" t="s">
        <v>1799</v>
      </c>
      <c r="C233" s="346" t="s">
        <v>2472</v>
      </c>
      <c r="D233" s="346" t="s">
        <v>5092</v>
      </c>
      <c r="E233" s="346" t="s">
        <v>2477</v>
      </c>
      <c r="F233" s="346" t="s">
        <v>2478</v>
      </c>
      <c r="G233" s="346" t="s">
        <v>893</v>
      </c>
      <c r="H233" s="346" t="s">
        <v>2479</v>
      </c>
      <c r="I233" s="347" t="s">
        <v>2473</v>
      </c>
      <c r="J233" t="str">
        <f>IFERROR(__xludf.DUMMYFUNCTION("IFERROR(
    ARRAYFORMULA(
        JOIN(
            CHAR(10) &amp; CHAR(10),
            ""Comment: "" &amp; FILTER(
                'Scores Import DO NOT EDIT'!N:N, 
                'Scores Import DO NOT EDIT'!D:D = A233
            )
        )
    ), 
    ""No"&amp;" comments yet""
)
"),"Comment: 
Comment: Excellent presentation about cerebral palsy and its effect on switch articulation. The methodology is impressive and uses optical motion capture to measure the movements of different articulators. There were no differences between the "&amp;"typically developing children and those with CP but the presented potential reasons made sense. Great job!!
Comment: Wonderful job on the research itself as well as presenting it. Thanks for caring and doing a great job. Enjoyable to listen to, you had a"&amp;" good command of the information you shared. I can see the potential for future research and love that you were able to vocalize what could be done in future data collections. Also good to see that you have an understanding of how this research can be use"&amp;"d to positively impact lives. Well done! Good luck in whatever you do after graduation!
Comment: Nice presentation on a complex project. The presenter answered most questions well and was confident in her presentation overall. ")</f>
        <v>Comment: 
Comment: Excellent presentation about cerebral palsy and its effect on switch articulation. The methodology is impressive and uses optical motion capture to measure the movements of different articulators. There were no differences between the typically developing children and those with CP but the presented potential reasons made sense. Great job!!
Comment: Wonderful job on the research itself as well as presenting it. Thanks for caring and doing a great job. Enjoyable to listen to, you had a good command of the information you shared. I can see the potential for future research and love that you were able to vocalize what could be done in future data collections. Also good to see that you have an understanding of how this research can be used to positively impact lives. Well done! Good luck in whatever you do after graduation!
Comment: Nice presentation on a complex project. The presenter answered most questions well and was confident in her presentation overall. </v>
      </c>
      <c r="K233" t="s">
        <v>5093</v>
      </c>
    </row>
    <row r="234">
      <c r="A234" s="345">
        <v>324.0</v>
      </c>
      <c r="B234" s="346" t="s">
        <v>2480</v>
      </c>
      <c r="C234" s="346" t="s">
        <v>2481</v>
      </c>
      <c r="D234" s="346" t="s">
        <v>2483</v>
      </c>
      <c r="E234" s="346" t="s">
        <v>5094</v>
      </c>
      <c r="F234" s="346" t="s">
        <v>2488</v>
      </c>
      <c r="G234" s="346" t="s">
        <v>784</v>
      </c>
      <c r="H234" s="346" t="s">
        <v>2489</v>
      </c>
      <c r="I234" s="347" t="s">
        <v>2482</v>
      </c>
      <c r="J234" t="str">
        <f>IFERROR(__xludf.DUMMYFUNCTION("IFERROR(
    ARRAYFORMULA(
        JOIN(
            CHAR(10) &amp; CHAR(10),
            ""Comment: "" &amp; FILTER(
                'Scores Import DO NOT EDIT'!N:N, 
                'Scores Import DO NOT EDIT'!D:D = A234
            )
        )
    ), 
    ""No"&amp;" comments yet""
)
"),"Comment: 
Comment: Wonderful job presenting the research. I can see that this is important research! Thanks for caring and doing a great job. Enjoyable to listen to, you had a good command of the information you shared. I can see the potential for future"&amp;" research and how it can free up resources down the line. Well done! Good luck in whatever you do after graduation!
Comment: Excellent presentation on very interesting work! 
Comment: Very interesting presentation and original work! Motivated and convin"&amp;"cing students. Great job!")</f>
        <v>Comment: 
Comment: Wonderful job presenting the research. I can see that this is important research! Thanks for caring and doing a great job. Enjoyable to listen to, you had a good command of the information you shared. I can see the potential for future research and how it can free up resources down the line. Well done! Good luck in whatever you do after graduation!
Comment: Excellent presentation on very interesting work! 
Comment: Very interesting presentation and original work! Motivated and convincing students. Great job!</v>
      </c>
      <c r="K234" t="s">
        <v>5095</v>
      </c>
    </row>
    <row r="235">
      <c r="A235" s="345">
        <v>325.0</v>
      </c>
      <c r="B235" s="346" t="s">
        <v>2490</v>
      </c>
      <c r="C235" s="346" t="s">
        <v>2491</v>
      </c>
      <c r="D235" s="346" t="s">
        <v>2494</v>
      </c>
      <c r="E235" s="346" t="s">
        <v>1177</v>
      </c>
      <c r="F235" s="346" t="s">
        <v>2496</v>
      </c>
      <c r="G235" s="346" t="s">
        <v>893</v>
      </c>
      <c r="H235" s="346" t="s">
        <v>2497</v>
      </c>
      <c r="I235" s="347" t="s">
        <v>2492</v>
      </c>
      <c r="J235" t="str">
        <f>IFERROR(__xludf.DUMMYFUNCTION("IFERROR(
    ARRAYFORMULA(
        JOIN(
            CHAR(10) &amp; CHAR(10),
            ""Comment: "" &amp; FILTER(
                'Scores Import DO NOT EDIT'!N:N, 
                'Scores Import DO NOT EDIT'!D:D = A235
            )
        )
    ), 
    ""No"&amp;" comments yet""
)
"),"Comment: This researcher was clearly well versed in the project and passionate about the work. She did a great job addressing questions and acknowledging areas for further research. I suggest speaking louder, particularly when facing the poster to be bett"&amp;"er heard in this noisy environment. 
Comment: Great presentation and the content was organized well
Comment: I think that the research is very interesting, and the methods are pretty solid. It would have been helpful to include graphs related to other I"&amp;"Vs (e.g., frequency of use), not just age
Comment: Presenter had strong communication skills and demonstrated a thorough understanding of the subject. ")</f>
        <v>Comment: This researcher was clearly well versed in the project and passionate about the work. She did a great job addressing questions and acknowledging areas for further research. I suggest speaking louder, particularly when facing the poster to be better heard in this noisy environment. 
Comment: Great presentation and the content was organized well
Comment: I think that the research is very interesting, and the methods are pretty solid. It would have been helpful to include graphs related to other IVs (e.g., frequency of use), not just age
Comment: Presenter had strong communication skills and demonstrated a thorough understanding of the subject. </v>
      </c>
      <c r="K235" t="s">
        <v>5096</v>
      </c>
    </row>
    <row r="236">
      <c r="A236" s="345">
        <v>326.0</v>
      </c>
      <c r="B236" s="346" t="s">
        <v>2498</v>
      </c>
      <c r="C236" s="346" t="s">
        <v>2499</v>
      </c>
      <c r="D236" s="346" t="s">
        <v>2502</v>
      </c>
      <c r="E236" s="346" t="s">
        <v>2506</v>
      </c>
      <c r="F236" s="346" t="s">
        <v>2507</v>
      </c>
      <c r="G236" s="347" t="s">
        <v>893</v>
      </c>
      <c r="H236" s="347" t="s">
        <v>2508</v>
      </c>
      <c r="I236" s="347" t="s">
        <v>2500</v>
      </c>
      <c r="J236" t="str">
        <f>IFERROR(__xludf.DUMMYFUNCTION("IFERROR(
    ARRAYFORMULA(
        JOIN(
            CHAR(10) &amp; CHAR(10),
            ""Comment: "" &amp; FILTER(
                'Scores Import DO NOT EDIT'!N:N, 
                'Scores Import DO NOT EDIT'!D:D = A236
            )
        )
    ), 
    ""No"&amp;" comments yet""
)
"),"Comment: Great energetic delivery, not reading from the poster as many others did. Confident and able to address questions. 
Comment: The content was presented well and I like that they had ideas about activate their findings, increased sample size would"&amp;" have helped but understandable given limitations of study period 
Comment: The purpose of the study is straightforward. The sample seems to be small. It would be better to employ a theoretical framework.
Comment: The presenter did a fantastic job clear"&amp;"ly discussing the project and had strong communication skills. Also appreciated the visual diagram of the findings. Suggestions to enhance the innovation of the work is to either tailor the work specifically to the SDSU community or consider investigating"&amp;" differences in racial groups. ")</f>
        <v>Comment: Great energetic delivery, not reading from the poster as many others did. Confident and able to address questions. 
Comment: The content was presented well and I like that they had ideas about activate their findings, increased sample size would have helped but understandable given limitations of study period 
Comment: The purpose of the study is straightforward. The sample seems to be small. It would be better to employ a theoretical framework.
Comment: The presenter did a fantastic job clearly discussing the project and had strong communication skills. Also appreciated the visual diagram of the findings. Suggestions to enhance the innovation of the work is to either tailor the work specifically to the SDSU community or consider investigating differences in racial groups. </v>
      </c>
      <c r="K236" t="s">
        <v>5097</v>
      </c>
    </row>
    <row r="237">
      <c r="A237" s="345">
        <v>327.0</v>
      </c>
      <c r="B237" s="346" t="s">
        <v>5098</v>
      </c>
      <c r="C237" s="346" t="s">
        <v>2510</v>
      </c>
      <c r="D237" s="346" t="s">
        <v>2512</v>
      </c>
      <c r="E237" s="346" t="s">
        <v>2350</v>
      </c>
      <c r="F237" s="346" t="s">
        <v>2514</v>
      </c>
      <c r="G237" s="346" t="s">
        <v>784</v>
      </c>
      <c r="H237" s="346" t="s">
        <v>2515</v>
      </c>
      <c r="I237" s="347" t="s">
        <v>2511</v>
      </c>
      <c r="J237" t="str">
        <f>IFERROR(__xludf.DUMMYFUNCTION("IFERROR(
    ARRAYFORMULA(
        JOIN(
            CHAR(10) &amp; CHAR(10),
            ""Comment: "" &amp; FILTER(
                'Scores Import DO NOT EDIT'!N:N, 
                'Scores Import DO NOT EDIT'!D:D = A237
            )
        )
    ), 
    ""No"&amp;" comments yet""
)
"),"Comment: Using social networks is an interesting lens through which to explore the efficacy of these protocols. This information could be highly beneficial to the communities who may have failed to include some of the most powerful participants shown to b"&amp;"e common among other communities. Adding some specific examples of who the blue squares represent would ease understandability of the poster. 
Comment: The presentation was very clear and engaging. The study seems to be original, and the methods were sol"&amp;"id. It would have been better to indicate a little more clearly why this study chose those actors (communities) among other variables
Comment: Presenter had strong presentation skills and demonstrated a thorough understanding on the subject. Suggestions "&amp;"for improvement include minimizing text included on poster. ")</f>
        <v>Comment: Using social networks is an interesting lens through which to explore the efficacy of these protocols. This information could be highly beneficial to the communities who may have failed to include some of the most powerful participants shown to be common among other communities. Adding some specific examples of who the blue squares represent would ease understandability of the poster. 
Comment: The presentation was very clear and engaging. The study seems to be original, and the methods were solid. It would have been better to indicate a little more clearly why this study chose those actors (communities) among other variables
Comment: Presenter had strong presentation skills and demonstrated a thorough understanding on the subject. Suggestions for improvement include minimizing text included on poster. </v>
      </c>
      <c r="K237" t="s">
        <v>5099</v>
      </c>
    </row>
    <row r="238">
      <c r="A238" s="345">
        <v>328.0</v>
      </c>
      <c r="B238" s="346" t="s">
        <v>1716</v>
      </c>
      <c r="C238" s="346" t="s">
        <v>2516</v>
      </c>
      <c r="D238" s="346" t="s">
        <v>2518</v>
      </c>
      <c r="E238" s="346" t="s">
        <v>2109</v>
      </c>
      <c r="F238" s="346" t="s">
        <v>2110</v>
      </c>
      <c r="G238" s="346" t="s">
        <v>1789</v>
      </c>
      <c r="H238" s="346" t="s">
        <v>2525</v>
      </c>
      <c r="I238" s="347" t="s">
        <v>2517</v>
      </c>
      <c r="J238" t="str">
        <f>IFERROR(__xludf.DUMMYFUNCTION("IFERROR(
    ARRAYFORMULA(
        JOIN(
            CHAR(10) &amp; CHAR(10),
            ""Comment: "" &amp; FILTER(
                'Scores Import DO NOT EDIT'!N:N, 
                'Scores Import DO NOT EDIT'!D:D = A238
            )
        )
    ), 
    ""No"&amp;" comments yet""
)
"),"Comment: I think that there’re some practical values of the study, but the theoretical values seem lacking. I would suggest to employ a theory or framework to explain the results. 
Comment: Very strong team that highlighted an important problem in imperi"&amp;"al county. They presented well as a team. I would have liked more on potential outcomes of this research as that was the smallest section on the poster instead of the large use of space to describe the patients. The balance of space could have been better"&amp;". 
Comment: Group of presenters did a great job explaining the study. Suggestions for improvement include reducing amount of text on posters and example quotes. ")</f>
        <v>Comment: I think that there’re some practical values of the study, but the theoretical values seem lacking. I would suggest to employ a theory or framework to explain the results. 
Comment: Very strong team that highlighted an important problem in imperial county. They presented well as a team. I would have liked more on potential outcomes of this research as that was the smallest section on the poster instead of the large use of space to describe the patients. The balance of space could have been better. 
Comment: Group of presenters did a great job explaining the study. Suggestions for improvement include reducing amount of text on posters and example quotes. </v>
      </c>
      <c r="K238" t="s">
        <v>5100</v>
      </c>
    </row>
    <row r="239">
      <c r="A239" s="349">
        <v>329.0</v>
      </c>
      <c r="B239" s="346" t="s">
        <v>2526</v>
      </c>
      <c r="C239" s="346" t="s">
        <v>2527</v>
      </c>
      <c r="D239" s="346" t="s">
        <v>2529</v>
      </c>
      <c r="E239" s="346" t="s">
        <v>2531</v>
      </c>
      <c r="F239" s="346" t="s">
        <v>2532</v>
      </c>
      <c r="G239" s="346" t="s">
        <v>1376</v>
      </c>
      <c r="H239" s="346" t="s">
        <v>2533</v>
      </c>
      <c r="I239" s="347" t="s">
        <v>2528</v>
      </c>
      <c r="J239" t="str">
        <f>IFERROR(__xludf.DUMMYFUNCTION("IFERROR(
    ARRAYFORMULA(
        JOIN(
            CHAR(10) &amp; CHAR(10),
            ""Comment: "" &amp; FILTER(
                'Scores Import DO NOT EDIT'!N:N, 
                'Scores Import DO NOT EDIT'!D:D = A239
            )
        )
    ), 
    ""No"&amp;" comments yet""
)
"),"Comment: ")</f>
        <v>Comment: </v>
      </c>
      <c r="K239" t="s">
        <v>4835</v>
      </c>
    </row>
    <row r="240">
      <c r="A240" s="345">
        <v>330.0</v>
      </c>
      <c r="B240" s="346" t="s">
        <v>2120</v>
      </c>
      <c r="C240" s="346" t="s">
        <v>2534</v>
      </c>
      <c r="D240" s="346" t="s">
        <v>2536</v>
      </c>
      <c r="E240" s="346" t="s">
        <v>2538</v>
      </c>
      <c r="F240" s="346" t="s">
        <v>2539</v>
      </c>
      <c r="G240" s="346" t="s">
        <v>764</v>
      </c>
      <c r="H240" s="346" t="s">
        <v>2540</v>
      </c>
      <c r="I240" s="347" t="s">
        <v>2535</v>
      </c>
      <c r="J240" t="str">
        <f>IFERROR(__xludf.DUMMYFUNCTION("IFERROR(
    ARRAYFORMULA(
        JOIN(
            CHAR(10) &amp; CHAR(10),
            ""Comment: "" &amp; FILTER(
                'Scores Import DO NOT EDIT'!N:N, 
                'Scores Import DO NOT EDIT'!D:D = A240
            )
        )
    ), 
    ""No"&amp;" comments yet""
)
"),"Comment: This research is out of my area of expertise, so I can’t opine as to its originality or impact. The presenter was knowledgeable and passionate about the topic. I enjoyed learning from her. 
Comment: The student was well versed in methods and fin"&amp;"dings to that came across well. I would have liked to hear more on the next steps of this research,  impacts of expanding this work and the implications of improved object recognition on society. 
Comment: This is an interesting study! However, as the st"&amp;"udy is in progress, I didn't find much theoretical value in it. The findings don't seem to be very original to me. I believe the study could be developed much more with a larger sample. 
Comment: Presenter demonstrated strong communications skills and un"&amp;"derstanding of the subject. ")</f>
        <v>Comment: This research is out of my area of expertise, so I can’t opine as to its originality or impact. The presenter was knowledgeable and passionate about the topic. I enjoyed learning from her. 
Comment: The student was well versed in methods and findings to that came across well. I would have liked to hear more on the next steps of this research,  impacts of expanding this work and the implications of improved object recognition on society. 
Comment: This is an interesting study! However, as the study is in progress, I didn't find much theoretical value in it. The findings don't seem to be very original to me. I believe the study could be developed much more with a larger sample. 
Comment: Presenter demonstrated strong communications skills and understanding of the subject. </v>
      </c>
      <c r="K240" t="s">
        <v>5101</v>
      </c>
    </row>
    <row r="241">
      <c r="A241" s="345">
        <v>331.0</v>
      </c>
      <c r="B241" s="346" t="s">
        <v>2541</v>
      </c>
      <c r="C241" s="346" t="s">
        <v>1728</v>
      </c>
      <c r="D241" s="346" t="s">
        <v>2544</v>
      </c>
      <c r="E241" s="346" t="s">
        <v>4186</v>
      </c>
      <c r="F241" s="346" t="s">
        <v>2230</v>
      </c>
      <c r="G241" s="346" t="s">
        <v>1457</v>
      </c>
      <c r="H241" s="346" t="s">
        <v>2552</v>
      </c>
      <c r="I241" s="347" t="s">
        <v>2542</v>
      </c>
      <c r="J241" t="str">
        <f>IFERROR(__xludf.DUMMYFUNCTION("IFERROR(
    ARRAYFORMULA(
        JOIN(
            CHAR(10) &amp; CHAR(10),
            ""Comment: "" &amp; FILTER(
                'Scores Import DO NOT EDIT'!N:N, 
                'Scores Import DO NOT EDIT'!D:D = A241
            )
        )
    ), 
    ""No"&amp;" comments yet""
)
"),"Comment: Even with the small sample size, which was recognized, the student was able to able to develop conclusions and potential next steps. I would propose to include on the poster what social media means in the context of the findings, which platforms "&amp;"were most important and why, given the  blanket term does not provide enough specificity for potential actions / interventions
Comment: The study is timely and interesting, but the sample seems to be too small, and the theoretical framework is lacking. T"&amp;"he study could be developed much more with a larger sample. 
Comment: Presenter did a great job explaining the study and methods used. ")</f>
        <v>Comment: Even with the small sample size, which was recognized, the student was able to able to develop conclusions and potential next steps. I would propose to include on the poster what social media means in the context of the findings, which platforms were most important and why, given the  blanket term does not provide enough specificity for potential actions / interventions
Comment: The study is timely and interesting, but the sample seems to be too small, and the theoretical framework is lacking. The study could be developed much more with a larger sample. 
Comment: Presenter did a great job explaining the study and methods used. </v>
      </c>
      <c r="K241" t="s">
        <v>5102</v>
      </c>
    </row>
    <row r="242">
      <c r="A242" s="345">
        <v>333.0</v>
      </c>
      <c r="B242" s="346" t="s">
        <v>2553</v>
      </c>
      <c r="C242" s="346" t="s">
        <v>2554</v>
      </c>
      <c r="D242" s="346" t="s">
        <v>5103</v>
      </c>
      <c r="E242" s="346" t="s">
        <v>963</v>
      </c>
      <c r="F242" s="346" t="s">
        <v>964</v>
      </c>
      <c r="G242" s="346" t="s">
        <v>764</v>
      </c>
      <c r="H242" s="346" t="s">
        <v>965</v>
      </c>
      <c r="I242" s="347" t="s">
        <v>2555</v>
      </c>
      <c r="J242" t="str">
        <f>IFERROR(__xludf.DUMMYFUNCTION("IFERROR(
    ARRAYFORMULA(
        JOIN(
            CHAR(10) &amp; CHAR(10),
            ""Comment: "" &amp; FILTER(
                'Scores Import DO NOT EDIT'!N:N, 
                'Scores Import DO NOT EDIT'!D:D = A242
            )
        )
    ), 
    ""No"&amp;" comments yet""
)
"),"Comment: Really good job!! Very well practiced. Both presenters clearly knew what they were doing. The work is obviously challenging and meaningful. Some minor areas for improvement with visual presentation (affiliations missing from some authors, graphic"&amp;" resolution, etc. ) but those are all very nitpicky. Loved it!
Comment: Great presentation with each presenter working off the other allowing good flow of the presentation 
Comment: 
Comment: Really nice presentation.  Great research topic.  Don't be s"&amp;"hy about engaging in conversations about your research questions, interpretation of results, implications, etc.  It is perfectly acceptable to pause and think over questions and sometimes the best answer is ""I don't know.""  If you try to hard to stay on"&amp;" a script then it really limits the opportunity for generating new ideas or observations.")</f>
        <v>Comment: Really good job!! Very well practiced. Both presenters clearly knew what they were doing. The work is obviously challenging and meaningful. Some minor areas for improvement with visual presentation (affiliations missing from some authors, graphic resolution, etc. ) but those are all very nitpicky. Loved it!
Comment: Great presentation with each presenter working off the other allowing good flow of the presentation 
Comment: 
Comment: Really nice presentation.  Great research topic.  Don't be shy about engaging in conversations about your research questions, interpretation of results, implications, etc.  It is perfectly acceptable to pause and think over questions and sometimes the best answer is "I don't know."  If you try to hard to stay on a script then it really limits the opportunity for generating new ideas or observations.</v>
      </c>
      <c r="K242" t="s">
        <v>5104</v>
      </c>
    </row>
    <row r="243">
      <c r="A243" s="345">
        <v>334.0</v>
      </c>
      <c r="B243" s="346" t="s">
        <v>2560</v>
      </c>
      <c r="C243" s="346" t="s">
        <v>2561</v>
      </c>
      <c r="D243" s="346" t="s">
        <v>2564</v>
      </c>
      <c r="E243" s="346" t="s">
        <v>1159</v>
      </c>
      <c r="F243" s="346" t="s">
        <v>1401</v>
      </c>
      <c r="G243" s="346" t="s">
        <v>764</v>
      </c>
      <c r="H243" s="346" t="s">
        <v>1402</v>
      </c>
      <c r="I243" s="347" t="s">
        <v>2562</v>
      </c>
      <c r="J243" t="str">
        <f>IFERROR(__xludf.DUMMYFUNCTION("IFERROR(
    ARRAYFORMULA(
        JOIN(
            CHAR(10) &amp; CHAR(10),
            ""Comment: "" &amp; FILTER(
                'Scores Import DO NOT EDIT'!N:N, 
                'Scores Import DO NOT EDIT'!D:D = A243
            )
        )
    ), 
    ""No"&amp;" comments yet""
)
"),"Comment: Really good job! Obviously important and very interesting. Clearly novel approach, with a ton of work. Some minor grammatical and clarity issues. 
Comment: Presenters excitement about the project was evident.  More details on methodology would b"&amp;"e interesting 
Comment: Really good ideas.  This could be communicated better.  When answering a question, make sure that you have introduced enough background so that your answer will be understood in the proper context.  Otherwise, your answers just le"&amp;"ad to more questions and things can get confusing.  The project is outstanding and the initial results seem very promising.")</f>
        <v>Comment: Really good job! Obviously important and very interesting. Clearly novel approach, with a ton of work. Some minor grammatical and clarity issues. 
Comment: Presenters excitement about the project was evident.  More details on methodology would be interesting 
Comment: Really good ideas.  This could be communicated better.  When answering a question, make sure that you have introduced enough background so that your answer will be understood in the proper context.  Otherwise, your answers just lead to more questions and things can get confusing.  The project is outstanding and the initial results seem very promising.</v>
      </c>
      <c r="K243" t="s">
        <v>5105</v>
      </c>
    </row>
    <row r="244">
      <c r="A244" s="345">
        <v>335.0</v>
      </c>
      <c r="B244" s="346" t="s">
        <v>2566</v>
      </c>
      <c r="C244" s="346" t="s">
        <v>2567</v>
      </c>
      <c r="D244" s="346" t="s">
        <v>2570</v>
      </c>
      <c r="E244" s="346" t="s">
        <v>1549</v>
      </c>
      <c r="F244" s="346" t="s">
        <v>2572</v>
      </c>
      <c r="G244" s="346" t="s">
        <v>764</v>
      </c>
      <c r="H244" s="346" t="s">
        <v>2573</v>
      </c>
      <c r="I244" s="347" t="s">
        <v>2568</v>
      </c>
      <c r="J244" t="str">
        <f>IFERROR(__xludf.DUMMYFUNCTION("IFERROR(
    ARRAYFORMULA(
        JOIN(
            CHAR(10) &amp; CHAR(10),
            ""Comment: "" &amp; FILTER(
                'Scores Import DO NOT EDIT'!N:N, 
                'Scores Import DO NOT EDIT'!D:D = A244
            )
        )
    ), 
    ""No"&amp;" comments yet""
)
"),"Comment: Excellent job! Really interesting research. Good job connecting with the audience - stories about getting samples from campus were great. Only suggestion for improvement is a bit slower presentation style, with a little more detail about the (ver"&amp;"y cool) difference between old school microscopy and flow cytometeru. But this is very minor.    Good luck with the MCAT !
Comment: This was a great poster and very clear and laid out beautifully and cleanly. In the future it would be helpful to provide "&amp;"a bit more background about the gene for which you are studying the mutation. Otherwise, great.
Comment: Enthusiasm and interest in the research experience was high.  
Comment: 
Comment: Nice job describing the project and the experiments.  The gross p"&amp;"henomenological observation (adherence of fluorescent bacteria in lavaged worms) could likely have many disparate causes so it is important to pay close attention to details.  And quantitation of the extent and quality of adherence is likely going to be n"&amp;"ecessary to make certain you understanding exactly what is changing in your mutant worms.  Great presentation and very good response to questions.")</f>
        <v>Comment: Excellent job! Really interesting research. Good job connecting with the audience - stories about getting samples from campus were great. Only suggestion for improvement is a bit slower presentation style, with a little more detail about the (very cool) difference between old school microscopy and flow cytometeru. But this is very minor.    Good luck with the MCAT !
Comment: This was a great poster and very clear and laid out beautifully and cleanly. In the future it would be helpful to provide a bit more background about the gene for which you are studying the mutation. Otherwise, great.
Comment: Enthusiasm and interest in the research experience was high.  
Comment: 
Comment: Nice job describing the project and the experiments.  The gross phenomenological observation (adherence of fluorescent bacteria in lavaged worms) could likely have many disparate causes so it is important to pay close attention to details.  And quantitation of the extent and quality of adherence is likely going to be necessary to make certain you understanding exactly what is changing in your mutant worms.  Great presentation and very good response to questions.</v>
      </c>
      <c r="K244" t="s">
        <v>5106</v>
      </c>
    </row>
    <row r="245">
      <c r="A245" s="345">
        <v>336.0</v>
      </c>
      <c r="B245" s="346" t="s">
        <v>1278</v>
      </c>
      <c r="C245" s="346" t="s">
        <v>2574</v>
      </c>
      <c r="D245" s="346" t="s">
        <v>2577</v>
      </c>
      <c r="E245" s="346" t="s">
        <v>2580</v>
      </c>
      <c r="F245" s="346" t="s">
        <v>2581</v>
      </c>
      <c r="G245" s="346" t="s">
        <v>764</v>
      </c>
      <c r="H245" s="346" t="s">
        <v>2582</v>
      </c>
      <c r="I245" s="347" t="s">
        <v>2575</v>
      </c>
      <c r="J245" t="str">
        <f>IFERROR(__xludf.DUMMYFUNCTION("IFERROR(
    ARRAYFORMULA(
        JOIN(
            CHAR(10) &amp; CHAR(10),
            ""Comment: "" &amp; FILTER(
                'Scores Import DO NOT EDIT'!N:N, 
                'Scores Import DO NOT EDIT'!D:D = A245
            )
        )
    ), 
    ""No"&amp;" comments yet""
)
"),"Comment: Great job! Super clear and comprehensible. Obviously meaningful for wildfires. Very cool results , well placed in context of expectations. Impressive amount of work - so many seeds to grow!
Comment: Presenters were infectiously enthusiastic abou"&amp;"t their work. This is an interesting problem to solve. In the future it would be helpful to show some potential solutions on the poster.
Comment: Presenters worked well together to share the information with the audience.  Interest in a very valuable pro"&amp;"ject need was well communicated 
Comment: 
Comment: Really nice job putting context to a relatively simple experiment.  Great job answering questions and thinking about the bigger picture, alternative explanations, and even potential evolutionary biolog"&amp;"y.  Good work!")</f>
        <v>Comment: Great job! Super clear and comprehensible. Obviously meaningful for wildfires. Very cool results , well placed in context of expectations. Impressive amount of work - so many seeds to grow!
Comment: Presenters were infectiously enthusiastic about their work. This is an interesting problem to solve. In the future it would be helpful to show some potential solutions on the poster.
Comment: Presenters worked well together to share the information with the audience.  Interest in a very valuable project need was well communicated 
Comment: 
Comment: Really nice job putting context to a relatively simple experiment.  Great job answering questions and thinking about the bigger picture, alternative explanations, and even potential evolutionary biology.  Good work!</v>
      </c>
      <c r="K245" t="s">
        <v>5107</v>
      </c>
    </row>
    <row r="246">
      <c r="A246" s="345">
        <v>337.0</v>
      </c>
      <c r="B246" s="346" t="s">
        <v>2584</v>
      </c>
      <c r="C246" s="346" t="s">
        <v>2585</v>
      </c>
      <c r="D246" s="346" t="s">
        <v>5108</v>
      </c>
      <c r="E246" s="346" t="s">
        <v>1585</v>
      </c>
      <c r="F246" s="346" t="s">
        <v>1586</v>
      </c>
      <c r="G246" s="346" t="s">
        <v>764</v>
      </c>
      <c r="H246" s="346" t="s">
        <v>1587</v>
      </c>
      <c r="I246" s="347" t="s">
        <v>2586</v>
      </c>
      <c r="J246" t="str">
        <f>IFERROR(__xludf.DUMMYFUNCTION("IFERROR(
    ARRAYFORMULA(
        JOIN(
            CHAR(10) &amp; CHAR(10),
            ""Comment: "" &amp; FILTER(
                'Scores Import DO NOT EDIT'!N:N, 
                'Scores Import DO NOT EDIT'!D:D = A246
            )
        )
    ), 
    ""No"&amp;" comments yet""
)
"),"Comment: Really good job! Clearly a ton of work. Main suggestion would be a bit more refinement of the hypothesis. Compelling stories about the power outage!
Comment: Cool project. Great microscopy work. It would be helpful in the future to have more bac"&amp;"kground and to have an idea of the future impact of the work.
Comment: 
Comment: Presenter was excited about the technical aspects of the EM.  Expansion on future goals or direction of the studies would have been valuable 
Comment: Just beautiful SEM i"&amp;"mages!  Great job!  Now is the time to begin thinking about how to turn these images into as many carefully, quantitative measures as are likely to help frame hypotheses that can be tested by controlled experiment.  This is where discoveries come from and"&amp;", with your excellent SEM technical abilities, you are well on track.")</f>
        <v>Comment: Really good job! Clearly a ton of work. Main suggestion would be a bit more refinement of the hypothesis. Compelling stories about the power outage!
Comment: Cool project. Great microscopy work. It would be helpful in the future to have more background and to have an idea of the future impact of the work.
Comment: 
Comment: Presenter was excited about the technical aspects of the EM.  Expansion on future goals or direction of the studies would have been valuable 
Comment: Just beautiful SEM images!  Great job!  Now is the time to begin thinking about how to turn these images into as many carefully, quantitative measures as are likely to help frame hypotheses that can be tested by controlled experiment.  This is where discoveries come from and, with your excellent SEM technical abilities, you are well on track.</v>
      </c>
      <c r="K246" t="s">
        <v>5109</v>
      </c>
    </row>
    <row r="247">
      <c r="A247" s="345">
        <v>338.0</v>
      </c>
      <c r="B247" s="346" t="s">
        <v>2590</v>
      </c>
      <c r="C247" s="346" t="s">
        <v>2591</v>
      </c>
      <c r="D247" s="346" t="s">
        <v>2594</v>
      </c>
      <c r="E247" s="346" t="s">
        <v>2596</v>
      </c>
      <c r="F247" s="346" t="s">
        <v>2597</v>
      </c>
      <c r="G247" s="346" t="s">
        <v>1376</v>
      </c>
      <c r="H247" s="346" t="s">
        <v>2598</v>
      </c>
      <c r="I247" s="347" t="s">
        <v>2592</v>
      </c>
      <c r="J247" t="str">
        <f>IFERROR(__xludf.DUMMYFUNCTION("IFERROR(
    ARRAYFORMULA(
        JOIN(
            CHAR(10) &amp; CHAR(10),
            ""Comment: "" &amp; FILTER(
                'Scores Import DO NOT EDIT'!N:N, 
                'Scores Import DO NOT EDIT'!D:D = A247
            )
        )
    ), 
    ""No"&amp;" comments yet""
)
"),"Comment: Excellent job! Really cool work. Crazy story about cells bleeding. Only minor suggestion is to make the font smaller and images larger - some of the pictures were cool, but a little hard to see. 
Comment: Fantastic issue to work on. Student has "&amp;"a good grasp of significance of work and is enthusiastic. Student needs to brush up on background knowledge of some simple basics of the genes they are discussing and how that impacts the work they are doing.
Comment: 
Comment: Enthusiasm and significan"&amp;"ce of the project was evident.  Motivation was reinforced by brief personal story.
Comment: Really, really nice job.  The presentation on the poster was very simple and easy to grasp.  Your discussion of the problem, the recent historical basis for the a"&amp;"pproach, the successes and limitations of its implementation, and future directions were outstanding.  It is clear you are personally invested in tackling this problem and that is what it is going to take.  Keep and open mind about other ways to activate "&amp;"Wnt signaling that might have fewer side effects than inhibition of GSK-3beta.")</f>
        <v>Comment: Excellent job! Really cool work. Crazy story about cells bleeding. Only minor suggestion is to make the font smaller and images larger - some of the pictures were cool, but a little hard to see. 
Comment: Fantastic issue to work on. Student has a good grasp of significance of work and is enthusiastic. Student needs to brush up on background knowledge of some simple basics of the genes they are discussing and how that impacts the work they are doing.
Comment: 
Comment: Enthusiasm and significance of the project was evident.  Motivation was reinforced by brief personal story.
Comment: Really, really nice job.  The presentation on the poster was very simple and easy to grasp.  Your discussion of the problem, the recent historical basis for the approach, the successes and limitations of its implementation, and future directions were outstanding.  It is clear you are personally invested in tackling this problem and that is what it is going to take.  Keep and open mind about other ways to activate Wnt signaling that might have fewer side effects than inhibition of GSK-3beta.</v>
      </c>
      <c r="K247" t="s">
        <v>5110</v>
      </c>
    </row>
    <row r="248">
      <c r="A248" s="345">
        <v>339.0</v>
      </c>
      <c r="B248" s="346" t="s">
        <v>2599</v>
      </c>
      <c r="C248" s="346" t="s">
        <v>1136</v>
      </c>
      <c r="D248" s="346" t="s">
        <v>2602</v>
      </c>
      <c r="E248" s="346" t="s">
        <v>1549</v>
      </c>
      <c r="F248" s="346" t="s">
        <v>2572</v>
      </c>
      <c r="G248" s="346" t="s">
        <v>764</v>
      </c>
      <c r="H248" s="346" t="s">
        <v>2573</v>
      </c>
      <c r="I248" s="347" t="s">
        <v>2600</v>
      </c>
      <c r="J248" t="str">
        <f>IFERROR(__xludf.DUMMYFUNCTION("IFERROR(
    ARRAYFORMULA(
        JOIN(
            CHAR(10) &amp; CHAR(10),
            ""Comment: "" &amp; FILTER(
                'Scores Import DO NOT EDIT'!N:N, 
                'Scores Import DO NOT EDIT'!D:D = A248
            )
        )
    ), 
    ""No"&amp;" comments yet""
)
"),"Comment: Great job! Sounds like a really rewarding workshop. Very cool new types of bacteria. Would loved to have seen a bit more about broader implications of research and hypotheses. 
Comment: Great idea for a project. Poster was geared more toward bas"&amp;"ic pedagogy rather than biological or agricultural sciences, so might be better in a different section. However, I love the idea of this program and student was very enthusiastic and well-spoken about the work they are doing. In the future, student should"&amp;" be advised that they can ask questions from judges to gauge level of knowledge to know what kind of background info to give to people coming up to poster. Hope this student keeps up the research!
Comment: Enthusiasm for the opportunity to pass on resear"&amp;"ch experience with high school students was clear.  Additional research experience on the project will be beneficial to this bright, enthusiastic student who hopes to continue with the research as her undergraduate career continues.
Comment: Really nice "&amp;"job describing the experience of engaging in sample acquisition for microbiological research studies in C. elegans roundworms.  It would be nice to see some original observations in the poster, which was really an overview of the whole program rather than"&amp;" results from your own investigations.  Keep up the work and don't hesitate to ask for opinions, advice, and help from your faculty and colleagues as you begin research work at SDSU!")</f>
        <v>Comment: Great job! Sounds like a really rewarding workshop. Very cool new types of bacteria. Would loved to have seen a bit more about broader implications of research and hypotheses. 
Comment: Great idea for a project. Poster was geared more toward basic pedagogy rather than biological or agricultural sciences, so might be better in a different section. However, I love the idea of this program and student was very enthusiastic and well-spoken about the work they are doing. In the future, student should be advised that they can ask questions from judges to gauge level of knowledge to know what kind of background info to give to people coming up to poster. Hope this student keeps up the research!
Comment: Enthusiasm for the opportunity to pass on research experience with high school students was clear.  Additional research experience on the project will be beneficial to this bright, enthusiastic student who hopes to continue with the research as her undergraduate career continues.
Comment: Really nice job describing the experience of engaging in sample acquisition for microbiological research studies in C. elegans roundworms.  It would be nice to see some original observations in the poster, which was really an overview of the whole program rather than results from your own investigations.  Keep up the work and don't hesitate to ask for opinions, advice, and help from your faculty and colleagues as you begin research work at SDSU!</v>
      </c>
      <c r="K248" t="s">
        <v>5111</v>
      </c>
    </row>
    <row r="249">
      <c r="A249" s="345">
        <v>340.0</v>
      </c>
      <c r="B249" s="346" t="s">
        <v>2605</v>
      </c>
      <c r="C249" s="346" t="s">
        <v>2606</v>
      </c>
      <c r="D249" s="346" t="s">
        <v>2609</v>
      </c>
      <c r="E249" s="346" t="s">
        <v>2611</v>
      </c>
      <c r="F249" s="346" t="s">
        <v>2612</v>
      </c>
      <c r="G249" s="346" t="s">
        <v>773</v>
      </c>
      <c r="H249" s="346" t="s">
        <v>2613</v>
      </c>
      <c r="I249" s="347" t="s">
        <v>2607</v>
      </c>
      <c r="J249" t="str">
        <f>IFERROR(__xludf.DUMMYFUNCTION("IFERROR(
    ARRAYFORMULA(
        JOIN(
            CHAR(10) &amp; CHAR(10),
            ""Comment: "" &amp; FILTER(
                'Scores Import DO NOT EDIT'!N:N, 
                'Scores Import DO NOT EDIT'!D:D = A249
            )
        )
    ), 
    ""No"&amp;" comments yet""
)
"),"Comment: Reading from iPad all the time
Comment: ")</f>
        <v>Comment: Reading from iPad all the time
Comment: </v>
      </c>
      <c r="K249" t="s">
        <v>5112</v>
      </c>
    </row>
    <row r="250">
      <c r="A250" s="345">
        <v>341.0</v>
      </c>
      <c r="B250" s="346" t="s">
        <v>2614</v>
      </c>
      <c r="C250" s="346" t="s">
        <v>2615</v>
      </c>
      <c r="D250" s="346" t="s">
        <v>5113</v>
      </c>
      <c r="E250" s="346" t="s">
        <v>832</v>
      </c>
      <c r="F250" s="346" t="s">
        <v>833</v>
      </c>
      <c r="G250" s="346" t="s">
        <v>773</v>
      </c>
      <c r="H250" s="346" t="s">
        <v>834</v>
      </c>
      <c r="I250" s="347" t="s">
        <v>2616</v>
      </c>
      <c r="J250" t="str">
        <f>IFERROR(__xludf.DUMMYFUNCTION("IFERROR(
    ARRAYFORMULA(
        JOIN(
            CHAR(10) &amp; CHAR(10),
            ""Comment: "" &amp; FILTER(
                'Scores Import DO NOT EDIT'!N:N, 
                'Scores Import DO NOT EDIT'!D:D = A250
            )
        )
    ), 
    ""No"&amp;" comments yet""
)
"),"Comment: Very impressive
Comment: ")</f>
        <v>Comment: Very impressive
Comment: </v>
      </c>
      <c r="K250" t="s">
        <v>5114</v>
      </c>
    </row>
    <row r="251">
      <c r="A251" s="345">
        <v>342.0</v>
      </c>
      <c r="B251" s="346" t="s">
        <v>927</v>
      </c>
      <c r="C251" s="346" t="s">
        <v>2621</v>
      </c>
      <c r="D251" s="346" t="s">
        <v>2624</v>
      </c>
      <c r="E251" s="346" t="s">
        <v>2626</v>
      </c>
      <c r="F251" s="346" t="s">
        <v>1178</v>
      </c>
      <c r="G251" s="346" t="s">
        <v>773</v>
      </c>
      <c r="H251" s="346" t="s">
        <v>1179</v>
      </c>
      <c r="I251" s="347" t="s">
        <v>2622</v>
      </c>
      <c r="J251" t="str">
        <f>IFERROR(__xludf.DUMMYFUNCTION("IFERROR(
    ARRAYFORMULA(
        JOIN(
            CHAR(10) &amp; CHAR(10),
            ""Comment: "" &amp; FILTER(
                'Scores Import DO NOT EDIT'!N:N, 
                'Scores Import DO NOT EDIT'!D:D = A251
            )
        )
    ), 
    ""No"&amp;" comments yet""
)
"),"Comment: 
Comment: ")</f>
        <v>Comment: 
Comment: </v>
      </c>
      <c r="K251" t="s">
        <v>5115</v>
      </c>
    </row>
    <row r="252">
      <c r="A252" s="345">
        <v>343.0</v>
      </c>
      <c r="B252" s="346" t="s">
        <v>2627</v>
      </c>
      <c r="C252" s="346" t="s">
        <v>2628</v>
      </c>
      <c r="D252" s="346" t="s">
        <v>2631</v>
      </c>
      <c r="E252" s="346" t="s">
        <v>2633</v>
      </c>
      <c r="F252" s="346" t="s">
        <v>2634</v>
      </c>
      <c r="G252" s="346" t="s">
        <v>764</v>
      </c>
      <c r="H252" s="346" t="s">
        <v>2635</v>
      </c>
      <c r="I252" s="347" t="s">
        <v>2629</v>
      </c>
      <c r="J252" t="str">
        <f>IFERROR(__xludf.DUMMYFUNCTION("IFERROR(
    ARRAYFORMULA(
        JOIN(
            CHAR(10) &amp; CHAR(10),
            ""Comment: "" &amp; FILTER(
                'Scores Import DO NOT EDIT'!N:N, 
                'Scores Import DO NOT EDIT'!D:D = A252
            )
        )
    ), 
    ""No"&amp;" comments yet""
)
"),"Comment: 
Comment: ")</f>
        <v>Comment: 
Comment: </v>
      </c>
      <c r="K252" t="s">
        <v>5115</v>
      </c>
    </row>
    <row r="253">
      <c r="A253" s="345">
        <v>344.0</v>
      </c>
      <c r="B253" s="346" t="s">
        <v>2636</v>
      </c>
      <c r="C253" s="346" t="s">
        <v>2637</v>
      </c>
      <c r="D253" s="346" t="s">
        <v>2640</v>
      </c>
      <c r="E253" s="346" t="s">
        <v>2046</v>
      </c>
      <c r="F253" s="346" t="s">
        <v>2047</v>
      </c>
      <c r="G253" s="346" t="s">
        <v>773</v>
      </c>
      <c r="H253" s="346" t="s">
        <v>2048</v>
      </c>
      <c r="I253" s="347" t="s">
        <v>2638</v>
      </c>
      <c r="J253" t="str">
        <f>IFERROR(__xludf.DUMMYFUNCTION("IFERROR(
    ARRAYFORMULA(
        JOIN(
            CHAR(10) &amp; CHAR(10),
            ""Comment: "" &amp; FILTER(
                'Scores Import DO NOT EDIT'!N:N, 
                'Scores Import DO NOT EDIT'!D:D = A253
            )
        )
    ), 
    ""No"&amp;" comments yet""
)
"),"Comment: 
Comment: ")</f>
        <v>Comment: 
Comment: </v>
      </c>
      <c r="K253" t="s">
        <v>5115</v>
      </c>
    </row>
    <row r="254">
      <c r="A254" s="345">
        <v>345.0</v>
      </c>
      <c r="B254" s="346" t="s">
        <v>2644</v>
      </c>
      <c r="C254" s="346" t="s">
        <v>2645</v>
      </c>
      <c r="D254" s="346" t="s">
        <v>2648</v>
      </c>
      <c r="E254" s="346" t="s">
        <v>912</v>
      </c>
      <c r="F254" s="346" t="s">
        <v>2650</v>
      </c>
      <c r="G254" s="346" t="s">
        <v>773</v>
      </c>
      <c r="H254" s="346" t="s">
        <v>2651</v>
      </c>
      <c r="I254" s="347" t="s">
        <v>2646</v>
      </c>
      <c r="J254" t="str">
        <f>IFERROR(__xludf.DUMMYFUNCTION("IFERROR(
    ARRAYFORMULA(
        JOIN(
            CHAR(10) &amp; CHAR(10),
            ""Comment: "" &amp; FILTER(
                'Scores Import DO NOT EDIT'!N:N, 
                'Scores Import DO NOT EDIT'!D:D = A254
            )
        )
    ), 
    ""No"&amp;" comments yet""
)
"),"Comment: 
Comment: ")</f>
        <v>Comment: 
Comment: </v>
      </c>
      <c r="K254" t="s">
        <v>5115</v>
      </c>
    </row>
    <row r="255">
      <c r="A255" s="345">
        <v>346.0</v>
      </c>
      <c r="B255" s="346" t="s">
        <v>835</v>
      </c>
      <c r="C255" s="346" t="s">
        <v>2653</v>
      </c>
      <c r="D255" s="346" t="s">
        <v>5116</v>
      </c>
      <c r="E255" s="346" t="s">
        <v>2658</v>
      </c>
      <c r="F255" s="346" t="s">
        <v>2017</v>
      </c>
      <c r="G255" s="346" t="s">
        <v>773</v>
      </c>
      <c r="H255" s="346" t="s">
        <v>5117</v>
      </c>
      <c r="I255" s="347" t="s">
        <v>2654</v>
      </c>
      <c r="J255" t="str">
        <f>IFERROR(__xludf.DUMMYFUNCTION("IFERROR(
    ARRAYFORMULA(
        JOIN(
            CHAR(10) &amp; CHAR(10),
            ""Comment: "" &amp; FILTER(
                'Scores Import DO NOT EDIT'!N:N, 
                'Scores Import DO NOT EDIT'!D:D = A255
            )
        )
    ), 
    ""No"&amp;" comments yet""
)
"),"Comment: Some of the technical definitions were not explained well by the presenter.
Comment: Interesting application that extends the current usage of the technology. The presentation was very well done.
Comment: Knew your process and experiment well. "&amp;"Great job conveying compelx, multilevel information.
Comment: Excellent job")</f>
        <v>Comment: Some of the technical definitions were not explained well by the presenter.
Comment: Interesting application that extends the current usage of the technology. The presentation was very well done.
Comment: Knew your process and experiment well. Great job conveying compelx, multilevel information.
Comment: Excellent job</v>
      </c>
      <c r="K255" t="s">
        <v>5118</v>
      </c>
    </row>
    <row r="256">
      <c r="A256" s="345">
        <v>347.0</v>
      </c>
      <c r="B256" s="346" t="s">
        <v>846</v>
      </c>
      <c r="C256" s="346" t="s">
        <v>2659</v>
      </c>
      <c r="D256" s="346" t="s">
        <v>2661</v>
      </c>
      <c r="E256" s="346" t="s">
        <v>2664</v>
      </c>
      <c r="F256" s="346" t="s">
        <v>2665</v>
      </c>
      <c r="G256" s="346" t="s">
        <v>764</v>
      </c>
      <c r="H256" s="346" t="s">
        <v>816</v>
      </c>
      <c r="I256" s="347" t="s">
        <v>2660</v>
      </c>
      <c r="J256" t="str">
        <f>IFERROR(__xludf.DUMMYFUNCTION("IFERROR(
    ARRAYFORMULA(
        JOIN(
            CHAR(10) &amp; CHAR(10),
            ""Comment: "" &amp; FILTER(
                'Scores Import DO NOT EDIT'!N:N, 
                'Scores Import DO NOT EDIT'!D:D = A256
            )
        )
    ), 
    ""No"&amp;" comments yet""
)
"),"Comment: Interesting application of quantum physics to a classical problems. The presenters had a good presentation about the topic matter.
Comment: Oral presentation need to be adequate for someone outside of the field. 
Comment: Great energy. Looking "&amp;"forward to applications of the science.
Comment: ")</f>
        <v>Comment: Interesting application of quantum physics to a classical problems. The presenters had a good presentation about the topic matter.
Comment: Oral presentation need to be adequate for someone outside of the field. 
Comment: Great energy. Looking forward to applications of the science.
Comment: </v>
      </c>
      <c r="K256" t="s">
        <v>5119</v>
      </c>
    </row>
    <row r="257">
      <c r="A257" s="345">
        <v>348.0</v>
      </c>
      <c r="B257" s="346" t="s">
        <v>1579</v>
      </c>
      <c r="C257" s="346" t="s">
        <v>2666</v>
      </c>
      <c r="D257" s="346" t="s">
        <v>2669</v>
      </c>
      <c r="E257" s="346" t="s">
        <v>2986</v>
      </c>
      <c r="F257" s="346" t="s">
        <v>3156</v>
      </c>
      <c r="G257" s="346" t="s">
        <v>773</v>
      </c>
      <c r="H257" s="346" t="s">
        <v>2673</v>
      </c>
      <c r="I257" s="347" t="s">
        <v>2667</v>
      </c>
      <c r="J257" t="str">
        <f>IFERROR(__xludf.DUMMYFUNCTION("IFERROR(
    ARRAYFORMULA(
        JOIN(
            CHAR(10) &amp; CHAR(10),
            ""Comment: "" &amp; FILTER(
                'Scores Import DO NOT EDIT'!N:N, 
                'Scores Import DO NOT EDIT'!D:D = A257
            )
        )
    ), 
    ""No"&amp;" comments yet""
)
"),"Comment: 
Comment: 
Comment: Interesting ML application with a lot of scaling up opportunities. Good amount of effort put in each step of the pipeline.
Comment: ")</f>
        <v>Comment: 
Comment: 
Comment: Interesting ML application with a lot of scaling up opportunities. Good amount of effort put in each step of the pipeline.
Comment: </v>
      </c>
      <c r="K257" t="s">
        <v>5120</v>
      </c>
    </row>
    <row r="258">
      <c r="A258" s="345">
        <v>349.0</v>
      </c>
      <c r="B258" s="346" t="s">
        <v>2674</v>
      </c>
      <c r="C258" s="346" t="s">
        <v>2675</v>
      </c>
      <c r="D258" s="346" t="s">
        <v>2678</v>
      </c>
      <c r="E258" s="346" t="s">
        <v>2046</v>
      </c>
      <c r="F258" s="346" t="s">
        <v>2047</v>
      </c>
      <c r="G258" s="346" t="s">
        <v>773</v>
      </c>
      <c r="H258" s="346" t="s">
        <v>2048</v>
      </c>
      <c r="I258" s="347" t="s">
        <v>2676</v>
      </c>
      <c r="J258" t="str">
        <f>IFERROR(__xludf.DUMMYFUNCTION("IFERROR(
    ARRAYFORMULA(
        JOIN(
            CHAR(10) &amp; CHAR(10),
            ""Comment: "" &amp; FILTER(
                'Scores Import DO NOT EDIT'!N:N, 
                'Scores Import DO NOT EDIT'!D:D = A258
            )
        )
    ), 
    ""No"&amp;" comments yet""
)
"),"Comment: Looking forward to the next steps.
Comment: Still not clear how fiber glass would improve tensile strength due to bending!
Comment: Interesting application to look at alternatives of the currently used methods. 
Comment: ")</f>
        <v>Comment: Looking forward to the next steps.
Comment: Still not clear how fiber glass would improve tensile strength due to bending!
Comment: Interesting application to look at alternatives of the currently used methods. 
Comment: </v>
      </c>
      <c r="K258" t="s">
        <v>5121</v>
      </c>
    </row>
    <row r="259">
      <c r="A259" s="345">
        <v>350.0</v>
      </c>
      <c r="B259" s="346" t="s">
        <v>2680</v>
      </c>
      <c r="C259" s="346" t="s">
        <v>2681</v>
      </c>
      <c r="D259" s="346" t="s">
        <v>2684</v>
      </c>
      <c r="E259" s="346" t="s">
        <v>2612</v>
      </c>
      <c r="F259" s="346" t="s">
        <v>5122</v>
      </c>
      <c r="G259" s="346" t="s">
        <v>773</v>
      </c>
      <c r="H259" s="346" t="s">
        <v>2613</v>
      </c>
      <c r="I259" s="347" t="s">
        <v>2682</v>
      </c>
      <c r="J259" t="str">
        <f>IFERROR(__xludf.DUMMYFUNCTION("IFERROR(
    ARRAYFORMULA(
        JOIN(
            CHAR(10) &amp; CHAR(10),
            ""Comment: "" &amp; FILTER(
                'Scores Import DO NOT EDIT'!N:N, 
                'Scores Import DO NOT EDIT'!D:D = A259
            )
        )
    ), 
    ""No"&amp;" comments yet""
)
"),"Comment: Should exhibit the definition of HF183:PMMoV!
Comment: 
Comment: Interesting project and extensive analysis was done to get the results. Nice work!
Comment: ")</f>
        <v>Comment: Should exhibit the definition of HF183:PMMoV!
Comment: 
Comment: Interesting project and extensive analysis was done to get the results. Nice work!
Comment: </v>
      </c>
      <c r="K259" t="s">
        <v>5123</v>
      </c>
    </row>
    <row r="260">
      <c r="A260" s="345">
        <v>351.0</v>
      </c>
      <c r="B260" s="346" t="s">
        <v>1538</v>
      </c>
      <c r="C260" s="346" t="s">
        <v>2690</v>
      </c>
      <c r="D260" s="346" t="s">
        <v>2692</v>
      </c>
      <c r="E260" s="346" t="s">
        <v>2694</v>
      </c>
      <c r="F260" s="346" t="s">
        <v>2695</v>
      </c>
      <c r="G260" s="346" t="s">
        <v>764</v>
      </c>
      <c r="H260" s="346" t="s">
        <v>2696</v>
      </c>
      <c r="I260" s="347" t="s">
        <v>2691</v>
      </c>
      <c r="J260" t="str">
        <f>IFERROR(__xludf.DUMMYFUNCTION("IFERROR(
    ARRAYFORMULA(
        JOIN(
            CHAR(10) &amp; CHAR(10),
            ""Comment: "" &amp; FILTER(
                'Scores Import DO NOT EDIT'!N:N, 
                'Scores Import DO NOT EDIT'!D:D = A260
            )
        )
    ), 
    ""No"&amp;" comments yet""
)
"),"Comment: 
Comment: 
Comment: Interesting project with real world applications. Nice use of wearables to extend medical data to the doctors. 
Comment: ")</f>
        <v>Comment: 
Comment: 
Comment: Interesting project with real world applications. Nice use of wearables to extend medical data to the doctors. 
Comment: </v>
      </c>
      <c r="K260" t="s">
        <v>5124</v>
      </c>
    </row>
    <row r="261">
      <c r="A261" s="345">
        <v>352.0</v>
      </c>
      <c r="B261" s="346" t="s">
        <v>2697</v>
      </c>
      <c r="C261" s="346" t="s">
        <v>2698</v>
      </c>
      <c r="D261" s="346" t="s">
        <v>2700</v>
      </c>
      <c r="E261" s="346" t="s">
        <v>832</v>
      </c>
      <c r="F261" s="346" t="s">
        <v>833</v>
      </c>
      <c r="G261" s="346" t="s">
        <v>773</v>
      </c>
      <c r="H261" s="346" t="s">
        <v>834</v>
      </c>
      <c r="I261" s="347" t="s">
        <v>2699</v>
      </c>
      <c r="J261" t="str">
        <f>IFERROR(__xludf.DUMMYFUNCTION("IFERROR(
    ARRAYFORMULA(
        JOIN(
            CHAR(10) &amp; CHAR(10),
            ""Comment: "" &amp; FILTER(
                'Scores Import DO NOT EDIT'!N:N, 
                'Scores Import DO NOT EDIT'!D:D = A261
            )
        )
    ), 
    ""No"&amp;" comments yet""
)
"),"Comment: Definitely follow up with the CDOM measurements. Great work.
Comment: Interesting project with potential real life usage. The use of charts to visualize was excellent for the poster. 
Comment: 
Comment: ")</f>
        <v>Comment: Definitely follow up with the CDOM measurements. Great work.
Comment: Interesting project with potential real life usage. The use of charts to visualize was excellent for the poster. 
Comment: 
Comment: </v>
      </c>
      <c r="K261" t="s">
        <v>5125</v>
      </c>
    </row>
    <row r="262">
      <c r="A262" s="345">
        <v>353.0</v>
      </c>
      <c r="B262" s="346" t="s">
        <v>2702</v>
      </c>
      <c r="C262" s="346" t="s">
        <v>2703</v>
      </c>
      <c r="D262" s="346" t="s">
        <v>2705</v>
      </c>
      <c r="E262" s="346" t="s">
        <v>841</v>
      </c>
      <c r="F262" s="346" t="s">
        <v>842</v>
      </c>
      <c r="G262" s="346" t="s">
        <v>773</v>
      </c>
      <c r="H262" s="346" t="s">
        <v>843</v>
      </c>
      <c r="I262" s="347" t="s">
        <v>2704</v>
      </c>
      <c r="J262" t="str">
        <f>IFERROR(__xludf.DUMMYFUNCTION("IFERROR(
    ARRAYFORMULA(
        JOIN(
            CHAR(10) &amp; CHAR(10),
            ""Comment: "" &amp; FILTER(
                'Scores Import DO NOT EDIT'!N:N, 
                'Scores Import DO NOT EDIT'!D:D = A262
            )
        )
    ), 
    ""No"&amp;" comments yet""
)
"),"Comment: Interesting and important project with a lot of potentials.
Comment: Excellent research work in terms of future naval research as well as social transportation systems.
Comment: The student has a lot of demos which attracts a lot of audience
C"&amp;"omment: Very well presented and clarified any language used in the field. Also had product for observers to test which no one else had.  Showed enthusiasm and energy.  The research wasn’t original but very significant to the many industries. Presenter als"&amp;"o very knowledgeable in subject.  Can work on streamlining presentation so flows smoothly but was still able to understand everything
Comment: Ansel asked my level of awareness with the subject then brought the presentation to that level. I didn't feel h"&amp;"e spoke down to me and was able to understand the content.
He was poised and comfortable presenting. He knew his Subject, it's application and future value of the research. He had hands on so we could actually test his project while there. 
His poster sha"&amp;"red equal space with graphics/pictures but the font was hard to read from 4ft.
Great job.")</f>
        <v>Comment: Interesting and important project with a lot of potentials.
Comment: Excellent research work in terms of future naval research as well as social transportation systems.
Comment: The student has a lot of demos which attracts a lot of audience
Comment: Very well presented and clarified any language used in the field. Also had product for observers to test which no one else had.  Showed enthusiasm and energy.  The research wasn’t original but very significant to the many industries. Presenter also very knowledgeable in subject.  Can work on streamlining presentation so flows smoothly but was still able to understand everything
Comment: Ansel asked my level of awareness with the subject then brought the presentation to that level. I didn't feel he spoke down to me and was able to understand the content.
He was poised and comfortable presenting. He knew his Subject, it's application and future value of the research. He had hands on so we could actually test his project while there. 
His poster shared equal space with graphics/pictures but the font was hard to read from 4ft.
Great job.</v>
      </c>
      <c r="K262" t="s">
        <v>5126</v>
      </c>
    </row>
    <row r="263">
      <c r="A263" s="345">
        <v>354.0</v>
      </c>
      <c r="B263" s="346" t="s">
        <v>2707</v>
      </c>
      <c r="C263" s="346" t="s">
        <v>2708</v>
      </c>
      <c r="D263" s="346" t="s">
        <v>2711</v>
      </c>
      <c r="E263" s="346" t="s">
        <v>1608</v>
      </c>
      <c r="F263" s="346" t="s">
        <v>1609</v>
      </c>
      <c r="G263" s="347" t="s">
        <v>784</v>
      </c>
      <c r="H263" s="347" t="s">
        <v>1610</v>
      </c>
      <c r="I263" s="347" t="s">
        <v>2709</v>
      </c>
      <c r="J263" t="str">
        <f>IFERROR(__xludf.DUMMYFUNCTION("IFERROR(
    ARRAYFORMULA(
        JOIN(
            CHAR(10) &amp; CHAR(10),
            ""Comment: "" &amp; FILTER(
                'Scores Import DO NOT EDIT'!N:N, 
                'Scores Import DO NOT EDIT'!D:D = A263
            )
        )
    ), 
    ""No"&amp;" comments yet""
)
"),"Comment: Good research objective 
Comment: Great presentation! Keep up the passion!
Comment: 
Comment: Organized and kept things simple. Knowledgeable background in field. Answered questions well. Hands on method a plus.  Presented basic info needed.  "&amp;"Could include pics of how the method works to remove sediments like the sizes and correlate them to water quality? But good for an undergrad
Comment: Callie was so soft spoken I had a hard time hearing everything. She was able to define what she had done"&amp;" but was weak on the future use of the info. Her poster was equal with graphics and verbiage and able to read at 4 ft distance. Her appearance was very professional.
Good start but needs to speak out to demonstrate full comfort with presentation.")</f>
        <v>Comment: Good research objective 
Comment: Great presentation! Keep up the passion!
Comment: 
Comment: Organized and kept things simple. Knowledgeable background in field. Answered questions well. Hands on method a plus.  Presented basic info needed.  Could include pics of how the method works to remove sediments like the sizes and correlate them to water quality? But good for an undergrad
Comment: Callie was so soft spoken I had a hard time hearing everything. She was able to define what she had done but was weak on the future use of the info. Her poster was equal with graphics and verbiage and able to read at 4 ft distance. Her appearance was very professional.
Good start but needs to speak out to demonstrate full comfort with presentation.</v>
      </c>
      <c r="K263" t="s">
        <v>5127</v>
      </c>
    </row>
    <row r="264">
      <c r="A264" s="345">
        <v>355.0</v>
      </c>
      <c r="B264" s="346" t="s">
        <v>2713</v>
      </c>
      <c r="C264" s="346" t="s">
        <v>2714</v>
      </c>
      <c r="D264" s="346" t="s">
        <v>2717</v>
      </c>
      <c r="E264" s="346" t="s">
        <v>2719</v>
      </c>
      <c r="F264" s="346" t="s">
        <v>2720</v>
      </c>
      <c r="G264" s="346" t="s">
        <v>764</v>
      </c>
      <c r="H264" s="346" t="s">
        <v>2721</v>
      </c>
      <c r="I264" s="347" t="s">
        <v>2715</v>
      </c>
      <c r="J264" t="str">
        <f>IFERROR(__xludf.DUMMYFUNCTION("IFERROR(
    ARRAYFORMULA(
        JOIN(
            CHAR(10) &amp; CHAR(10),
            ""Comment: "" &amp; FILTER(
                'Scores Import DO NOT EDIT'!N:N, 
                'Scores Import DO NOT EDIT'!D:D = A264
            )
        )
    ), 
    ""No"&amp;" comments yet""
)
"),"Comment: The candidate was not present during session ")</f>
        <v>Comment: The candidate was not present during session </v>
      </c>
      <c r="K264" t="s">
        <v>5128</v>
      </c>
    </row>
    <row r="265">
      <c r="A265" s="349">
        <v>356.0</v>
      </c>
      <c r="B265" s="346" t="s">
        <v>2722</v>
      </c>
      <c r="C265" s="346" t="s">
        <v>2723</v>
      </c>
      <c r="D265" s="346" t="s">
        <v>2725</v>
      </c>
      <c r="E265" s="346" t="s">
        <v>1159</v>
      </c>
      <c r="F265" s="346" t="s">
        <v>1401</v>
      </c>
      <c r="G265" s="346" t="s">
        <v>764</v>
      </c>
      <c r="H265" s="346" t="s">
        <v>1402</v>
      </c>
      <c r="I265" s="347" t="s">
        <v>2724</v>
      </c>
      <c r="J265" t="str">
        <f>IFERROR(__xludf.DUMMYFUNCTION("IFERROR(
    ARRAYFORMULA(
        JOIN(
            CHAR(10) &amp; CHAR(10),
            ""Comment: "" &amp; FILTER(
                'Scores Import DO NOT EDIT'!N:N, 
                'Scores Import DO NOT EDIT'!D:D = A265
            )
        )
    ), 
    ""No"&amp;" comments yet""
)
"),"No comments yet")</f>
        <v>No comments yet</v>
      </c>
      <c r="K265" t="s">
        <v>4820</v>
      </c>
    </row>
    <row r="266">
      <c r="A266" s="345">
        <v>357.0</v>
      </c>
      <c r="B266" s="346" t="s">
        <v>2727</v>
      </c>
      <c r="C266" s="346" t="s">
        <v>2728</v>
      </c>
      <c r="D266" s="346" t="s">
        <v>2731</v>
      </c>
      <c r="E266" s="346" t="s">
        <v>1967</v>
      </c>
      <c r="F266" s="346" t="s">
        <v>2008</v>
      </c>
      <c r="G266" s="346" t="s">
        <v>764</v>
      </c>
      <c r="H266" s="346" t="s">
        <v>2009</v>
      </c>
      <c r="I266" s="347" t="s">
        <v>2729</v>
      </c>
      <c r="J266" t="str">
        <f>IFERROR(__xludf.DUMMYFUNCTION("IFERROR(
    ARRAYFORMULA(
        JOIN(
            CHAR(10) &amp; CHAR(10),
            ""Comment: "" &amp; FILTER(
                'Scores Import DO NOT EDIT'!N:N, 
                'Scores Import DO NOT EDIT'!D:D = A266
            )
        )
    ), 
    ""No"&amp;" comments yet""
)
"),"Comment: Important for measuring effective temperature of red supergiants
Comment: Great presentation! Nice project!
Comment: Very good charts and organized poster, student is very knowledgeable with field, answered questions well.  Interesting topic. S"&amp;"uggest using lamen language when presenting. Or explain specific language used in the field
Comment: TiO should be TiO2, otherwise, she did an excellent job.
Comment: Beatriz was very energetic with her presentation. She knew her Subject but was weak on"&amp;" what importance it had for application in today's world. I questioned why she had selected it and she referred to a Beatles song and lost me. Her appearance was not as professional as this environment would encourage. Suggest more mentoring before next y"&amp;"ear's symposium.")</f>
        <v>Comment: Important for measuring effective temperature of red supergiants
Comment: Great presentation! Nice project!
Comment: Very good charts and organized poster, student is very knowledgeable with field, answered questions well.  Interesting topic. Suggest using lamen language when presenting. Or explain specific language used in the field
Comment: TiO should be TiO2, otherwise, she did an excellent job.
Comment: Beatriz was very energetic with her presentation. She knew her Subject but was weak on what importance it had for application in today's world. I questioned why she had selected it and she referred to a Beatles song and lost me. Her appearance was not as professional as this environment would encourage. Suggest more mentoring before next year's symposium.</v>
      </c>
      <c r="K266" t="s">
        <v>5129</v>
      </c>
    </row>
    <row r="267">
      <c r="A267" s="345">
        <v>358.0</v>
      </c>
      <c r="B267" s="346" t="s">
        <v>2733</v>
      </c>
      <c r="C267" s="346" t="s">
        <v>2734</v>
      </c>
      <c r="D267" s="346" t="s">
        <v>2737</v>
      </c>
      <c r="E267" s="346" t="s">
        <v>884</v>
      </c>
      <c r="F267" s="346" t="s">
        <v>885</v>
      </c>
      <c r="G267" s="346" t="s">
        <v>764</v>
      </c>
      <c r="H267" s="346" t="s">
        <v>886</v>
      </c>
      <c r="I267" s="347" t="s">
        <v>2735</v>
      </c>
      <c r="J267" t="str">
        <f>IFERROR(__xludf.DUMMYFUNCTION("IFERROR(
    ARRAYFORMULA(
        JOIN(
            CHAR(10) &amp; CHAR(10),
            ""Comment: "" &amp; FILTER(
                'Scores Import DO NOT EDIT'!N:N, 
                'Scores Import DO NOT EDIT'!D:D = A267
            )
        )
    ), 
    ""No"&amp;" comments yet""
)
"),"Comment: Presenter provided exceptional detail on challenges experienced in gathering resources 
Comment: It was clear that the presenter had a solid command of the material. My only piece of advice would be to reference the poster more when discussing t"&amp;"he intro/background info, but other than that, great job!!
Comment: 
Comment: Very organized presentation. The student was able to deliver the content clearly and logically. She was also excellent in the q&amp;a. Keep up with the good work. ")</f>
        <v>Comment: Presenter provided exceptional detail on challenges experienced in gathering resources 
Comment: It was clear that the presenter had a solid command of the material. My only piece of advice would be to reference the poster more when discussing the intro/background info, but other than that, great job!!
Comment: 
Comment: Very organized presentation. The student was able to deliver the content clearly and logically. She was also excellent in the q&amp;a. Keep up with the good work. </v>
      </c>
      <c r="K267" t="s">
        <v>5130</v>
      </c>
    </row>
    <row r="268">
      <c r="A268" s="345">
        <v>359.0</v>
      </c>
      <c r="B268" s="346" t="s">
        <v>1549</v>
      </c>
      <c r="C268" s="346" t="s">
        <v>2739</v>
      </c>
      <c r="D268" s="346" t="s">
        <v>5131</v>
      </c>
      <c r="E268" s="346" t="s">
        <v>2743</v>
      </c>
      <c r="F268" s="346" t="s">
        <v>2744</v>
      </c>
      <c r="G268" s="346" t="s">
        <v>764</v>
      </c>
      <c r="H268" s="346" t="s">
        <v>2745</v>
      </c>
      <c r="I268" s="347" t="s">
        <v>2740</v>
      </c>
      <c r="J268" t="str">
        <f>IFERROR(__xludf.DUMMYFUNCTION("IFERROR(
    ARRAYFORMULA(
        JOIN(
            CHAR(10) &amp; CHAR(10),
            ""Comment: "" &amp; FILTER(
                'Scores Import DO NOT EDIT'!N:N, 
                'Scores Import DO NOT EDIT'!D:D = A268
            )
        )
    ), 
    ""No"&amp;" comments yet""
)
"),"No comments yet")</f>
        <v>No comments yet</v>
      </c>
      <c r="K268" t="s">
        <v>4820</v>
      </c>
    </row>
    <row r="269">
      <c r="A269" s="345">
        <v>360.0</v>
      </c>
      <c r="B269" s="346" t="s">
        <v>2746</v>
      </c>
      <c r="C269" s="346" t="s">
        <v>2747</v>
      </c>
      <c r="D269" s="346" t="s">
        <v>2750</v>
      </c>
      <c r="E269" s="346" t="s">
        <v>2752</v>
      </c>
      <c r="F269" s="346" t="s">
        <v>2753</v>
      </c>
      <c r="G269" s="346" t="s">
        <v>893</v>
      </c>
      <c r="H269" s="346" t="s">
        <v>2754</v>
      </c>
      <c r="I269" s="347" t="s">
        <v>2748</v>
      </c>
      <c r="J269" t="str">
        <f>IFERROR(__xludf.DUMMYFUNCTION("IFERROR(
    ARRAYFORMULA(
        JOIN(
            CHAR(10) &amp; CHAR(10),
            ""Comment: "" &amp; FILTER(
                'Scores Import DO NOT EDIT'!N:N, 
                'Scores Import DO NOT EDIT'!D:D = A269
            )
        )
    ), 
    ""No"&amp;" comments yet""
)
"),"Comment: Great presentation and important work! I could tell the presenter was passionate about the research and was able to connect it to future goals. The only suggestion I have for improvement was in the results. They were a little hard to read and I w"&amp;"asn’t totally clear how it connected to research questions.
Comment: 
Comment: Job very well done. The student was able to present the content clearly and logically. The poster was very well organized and presented, so as the Q&amp;A session, keep up with t"&amp;"he good work.
Comment: ")</f>
        <v>Comment: Great presentation and important work! I could tell the presenter was passionate about the research and was able to connect it to future goals. The only suggestion I have for improvement was in the results. They were a little hard to read and I wasn’t totally clear how it connected to research questions.
Comment: 
Comment: Job very well done. The student was able to present the content clearly and logically. The poster was very well organized and presented, so as the Q&amp;A session, keep up with the good work.
Comment: </v>
      </c>
      <c r="K269" t="s">
        <v>5132</v>
      </c>
    </row>
    <row r="270">
      <c r="A270" s="345">
        <v>361.0</v>
      </c>
      <c r="B270" s="346" t="s">
        <v>2755</v>
      </c>
      <c r="C270" s="346" t="s">
        <v>1278</v>
      </c>
      <c r="D270" s="346" t="s">
        <v>2758</v>
      </c>
      <c r="E270" s="346" t="s">
        <v>2760</v>
      </c>
      <c r="F270" s="346" t="s">
        <v>4084</v>
      </c>
      <c r="G270" s="346" t="s">
        <v>893</v>
      </c>
      <c r="H270" s="346" t="s">
        <v>2762</v>
      </c>
      <c r="I270" s="347" t="s">
        <v>2756</v>
      </c>
      <c r="J270" t="str">
        <f>IFERROR(__xludf.DUMMYFUNCTION("IFERROR(
    ARRAYFORMULA(
        JOIN(
            CHAR(10) &amp; CHAR(10),
            ""Comment: "" &amp; FILTER(
                'Scores Import DO NOT EDIT'!N:N, 
                'Scores Import DO NOT EDIT'!D:D = A270
            )
        )
    ), 
    ""No"&amp;" comments yet""
)
"),"Comment: Really nice job organizing and presenting a large amount of data! My only suggestion is to focus on a few important metrics of interest as it is a lot to digest for a single poster, but again, the presenter did well managing the info!
Comment: 
"&amp;"
Comment: Job very well done. The student was able to present the content in a very enthusiastic manner which shows that she understands her content and research very well. Kudos to that. She was able to answer all the questions very well. One little thin"&amp;"g to pay attention to is the length of the presentation. The student is very passionate about her research and gives out a lot of detailed information during presentation, which could make the audience lose focus in the end. A more precise presentation wi"&amp;"th main points focused would make it perfect. 
Comment: ")</f>
        <v>Comment: Really nice job organizing and presenting a large amount of data! My only suggestion is to focus on a few important metrics of interest as it is a lot to digest for a single poster, but again, the presenter did well managing the info!
Comment: 
Comment: Job very well done. The student was able to present the content in a very enthusiastic manner which shows that she understands her content and research very well. Kudos to that. She was able to answer all the questions very well. One little thing to pay attention to is the length of the presentation. The student is very passionate about her research and gives out a lot of detailed information during presentation, which could make the audience lose focus in the end. A more precise presentation with main points focused would make it perfect. 
Comment: </v>
      </c>
      <c r="K270" t="s">
        <v>5133</v>
      </c>
    </row>
    <row r="271">
      <c r="A271" s="345">
        <v>362.0</v>
      </c>
      <c r="B271" s="346" t="s">
        <v>2763</v>
      </c>
      <c r="C271" s="346" t="s">
        <v>2764</v>
      </c>
      <c r="D271" s="346" t="s">
        <v>2767</v>
      </c>
      <c r="E271" s="346" t="s">
        <v>3232</v>
      </c>
      <c r="F271" s="346" t="s">
        <v>3233</v>
      </c>
      <c r="G271" s="346" t="s">
        <v>893</v>
      </c>
      <c r="H271" s="346" t="s">
        <v>2771</v>
      </c>
      <c r="I271" s="347" t="s">
        <v>2765</v>
      </c>
      <c r="J271" t="str">
        <f>IFERROR(__xludf.DUMMYFUNCTION("IFERROR(
    ARRAYFORMULA(
        JOIN(
            CHAR(10) &amp; CHAR(10),
            ""Comment: "" &amp; FILTER(
                'Scores Import DO NOT EDIT'!N:N, 
                'Scores Import DO NOT EDIT'!D:D = A271
            )
        )
    ), 
    ""No"&amp;" comments yet""
)
"),"Comment: Big kudos for having the student abstract info on the poster.  It was the only poster that had this info which is helpful for the judges. The graphics on the poster were clear and easy to understand given the topic. Very nicely done with the grap"&amp;"hic depicting the muscle contraction device!
Comment: Decent pitch but too much jargon and acronyms. Did a good job of explaining real world application 
Comment: 
Comment: The presenter had a great command of complicated material and presented it well"&amp;". My only suggestion would be to explain some of the more technical terms. Good job!
Comment: Drop very well done. The student was able to deliver the content in a very organized and clear manner which shows that he understands his research very well. Ke"&amp;"ep up with the good work.")</f>
        <v>Comment: Big kudos for having the student abstract info on the poster.  It was the only poster that had this info which is helpful for the judges. The graphics on the poster were clear and easy to understand given the topic. Very nicely done with the graphic depicting the muscle contraction device!
Comment: Decent pitch but too much jargon and acronyms. Did a good job of explaining real world application 
Comment: 
Comment: The presenter had a great command of complicated material and presented it well. My only suggestion would be to explain some of the more technical terms. Good job!
Comment: Drop very well done. The student was able to deliver the content in a very organized and clear manner which shows that he understands his research very well. Keep up with the good work.</v>
      </c>
      <c r="K271" t="s">
        <v>5134</v>
      </c>
    </row>
    <row r="272">
      <c r="A272" s="345">
        <v>363.0</v>
      </c>
      <c r="B272" s="346" t="s">
        <v>2772</v>
      </c>
      <c r="C272" s="346" t="s">
        <v>2773</v>
      </c>
      <c r="D272" s="346" t="s">
        <v>2776</v>
      </c>
      <c r="E272" s="346" t="s">
        <v>2778</v>
      </c>
      <c r="F272" s="346" t="s">
        <v>2779</v>
      </c>
      <c r="G272" s="347" t="s">
        <v>893</v>
      </c>
      <c r="H272" s="347" t="s">
        <v>2780</v>
      </c>
      <c r="I272" s="347" t="s">
        <v>2774</v>
      </c>
      <c r="J272" t="str">
        <f>IFERROR(__xludf.DUMMYFUNCTION("IFERROR(
    ARRAYFORMULA(
        JOIN(
            CHAR(10) &amp; CHAR(10),
            ""Comment: "" &amp; FILTER(
                'Scores Import DO NOT EDIT'!N:N, 
                'Scores Import DO NOT EDIT'!D:D = A272
            )
        )
    ), 
    ""No"&amp;" comments yet""
)
"),"Comment: Very interesting study and nice delivery of information! My suggestion is to connect the hypotheses a little more to the discussion and results.
Comment: 
Comment: The student generally presented her work well. But more work needs to be done to"&amp;" improve the fluency in presentation, and also work on the Q&amp;A session.
Comment: ")</f>
        <v>Comment: Very interesting study and nice delivery of information! My suggestion is to connect the hypotheses a little more to the discussion and results.
Comment: 
Comment: The student generally presented her work well. But more work needs to be done to improve the fluency in presentation, and also work on the Q&amp;A session.
Comment: </v>
      </c>
      <c r="K272" t="s">
        <v>5135</v>
      </c>
    </row>
    <row r="273">
      <c r="A273" s="345">
        <v>364.0</v>
      </c>
      <c r="B273" s="346" t="s">
        <v>3291</v>
      </c>
      <c r="C273" s="346" t="s">
        <v>2782</v>
      </c>
      <c r="D273" s="346" t="s">
        <v>2785</v>
      </c>
      <c r="E273" s="346" t="s">
        <v>2271</v>
      </c>
      <c r="F273" s="346" t="s">
        <v>4196</v>
      </c>
      <c r="G273" s="346" t="s">
        <v>893</v>
      </c>
      <c r="H273" s="346" t="s">
        <v>2790</v>
      </c>
      <c r="I273" s="347" t="s">
        <v>2783</v>
      </c>
      <c r="J273" t="str">
        <f>IFERROR(__xludf.DUMMYFUNCTION("IFERROR(
    ARRAYFORMULA(
        JOIN(
            CHAR(10) &amp; CHAR(10),
            ""Comment: "" &amp; FILTER(
                'Scores Import DO NOT EDIT'!N:N, 
                'Scores Import DO NOT EDIT'!D:D = A273
            )
        )
    ), 
    ""No"&amp;" comments yet""
)
"),"Comment: 
Comment: The presenters did an excellent job of explaining the importance of their work for bilingual language learners. My only suggestion would be to clarify what they plan to do with the information they learned from their study.
Comment: K"&amp;"eep up with the good work! 
Comment: The layout and presentation of the poster was good. The statistical data was easy to read and both presenters did an excellent job of describing what the data meant. ")</f>
        <v>Comment: 
Comment: The presenters did an excellent job of explaining the importance of their work for bilingual language learners. My only suggestion would be to clarify what they plan to do with the information they learned from their study.
Comment: Keep up with the good work! 
Comment: The layout and presentation of the poster was good. The statistical data was easy to read and both presenters did an excellent job of describing what the data meant. </v>
      </c>
      <c r="K273" t="s">
        <v>5136</v>
      </c>
    </row>
    <row r="274">
      <c r="A274" s="345">
        <v>365.0</v>
      </c>
      <c r="B274" s="346" t="s">
        <v>2791</v>
      </c>
      <c r="C274" s="346" t="s">
        <v>2792</v>
      </c>
      <c r="D274" s="346" t="s">
        <v>2795</v>
      </c>
      <c r="E274" s="346" t="s">
        <v>823</v>
      </c>
      <c r="F274" s="346" t="s">
        <v>2797</v>
      </c>
      <c r="G274" s="346" t="s">
        <v>764</v>
      </c>
      <c r="H274" s="346" t="s">
        <v>2798</v>
      </c>
      <c r="I274" s="347" t="s">
        <v>2793</v>
      </c>
      <c r="J274" t="str">
        <f>IFERROR(__xludf.DUMMYFUNCTION("IFERROR(
    ARRAYFORMULA(
        JOIN(
            CHAR(10) &amp; CHAR(10),
            ""Comment: "" &amp; FILTER(
                'Scores Import DO NOT EDIT'!N:N, 
                'Scores Import DO NOT EDIT'!D:D = A274
            )
        )
    ), 
    ""No"&amp;" comments yet""
)
"),"Comment: I interacted with a second author, but presentation was very clear and seemed like a good study. Well outside my area of expertise, but the presentation was clear enough for me to understand. 
Comment: Really interesting work and well presented!"&amp;"
Comment: Important research ")</f>
        <v>Comment: I interacted with a second author, but presentation was very clear and seemed like a good study. Well outside my area of expertise, but the presentation was clear enough for me to understand. 
Comment: Really interesting work and well presented!
Comment: Important research </v>
      </c>
      <c r="K274" t="s">
        <v>5137</v>
      </c>
    </row>
    <row r="275">
      <c r="A275" s="345">
        <v>366.0</v>
      </c>
      <c r="B275" s="346" t="s">
        <v>2799</v>
      </c>
      <c r="C275" s="346" t="s">
        <v>2800</v>
      </c>
      <c r="D275" s="346" t="s">
        <v>2802</v>
      </c>
      <c r="E275" s="346" t="s">
        <v>2804</v>
      </c>
      <c r="F275" s="346" t="s">
        <v>2805</v>
      </c>
      <c r="G275" s="346" t="s">
        <v>784</v>
      </c>
      <c r="H275" s="346" t="s">
        <v>2806</v>
      </c>
      <c r="I275" s="347" t="s">
        <v>2801</v>
      </c>
      <c r="J275" t="str">
        <f>IFERROR(__xludf.DUMMYFUNCTION("IFERROR(
    ARRAYFORMULA(
        JOIN(
            CHAR(10) &amp; CHAR(10),
            ""Comment: "" &amp; FILTER(
                'Scores Import DO NOT EDIT'!N:N, 
                'Scores Import DO NOT EDIT'!D:D = A275
            )
        )
    ), 
    ""No"&amp;" comments yet""
)
"),"No comments yet")</f>
        <v>No comments yet</v>
      </c>
      <c r="K275" t="s">
        <v>4820</v>
      </c>
    </row>
    <row r="276">
      <c r="A276" s="345">
        <v>367.0</v>
      </c>
      <c r="B276" s="346" t="s">
        <v>5138</v>
      </c>
      <c r="C276" s="346" t="s">
        <v>2808</v>
      </c>
      <c r="D276" s="346" t="s">
        <v>2811</v>
      </c>
      <c r="E276" s="346" t="s">
        <v>1673</v>
      </c>
      <c r="F276" s="346" t="s">
        <v>1674</v>
      </c>
      <c r="G276" s="346" t="s">
        <v>764</v>
      </c>
      <c r="H276" s="346" t="s">
        <v>1418</v>
      </c>
      <c r="I276" s="347" t="s">
        <v>2809</v>
      </c>
      <c r="J276" t="str">
        <f>IFERROR(__xludf.DUMMYFUNCTION("IFERROR(
    ARRAYFORMULA(
        JOIN(
            CHAR(10) &amp; CHAR(10),
            ""Comment: "" &amp; FILTER(
                'Scores Import DO NOT EDIT'!N:N, 
                'Scores Import DO NOT EDIT'!D:D = A276
            )
        )
    ), 
    ""No"&amp;" comments yet""
)
"),"Comment: We'll thought out ""next steps""
Comment: This was a really comprehensive and very interactive presentation. The study methods and results were very clearly communicated, and the q and a was exceptionally well handled. Excellent! 
Comment: Real"&amp;"ly excellent delivery of the poster and answering questions")</f>
        <v>Comment: We'll thought out "next steps"
Comment: This was a really comprehensive and very interactive presentation. The study methods and results were very clearly communicated, and the q and a was exceptionally well handled. Excellent! 
Comment: Really excellent delivery of the poster and answering questions</v>
      </c>
      <c r="K276" t="s">
        <v>5139</v>
      </c>
    </row>
    <row r="277">
      <c r="A277" s="345">
        <v>368.0</v>
      </c>
      <c r="B277" s="346" t="s">
        <v>1538</v>
      </c>
      <c r="C277" s="346" t="s">
        <v>2813</v>
      </c>
      <c r="D277" s="346" t="s">
        <v>5140</v>
      </c>
      <c r="E277" s="346" t="s">
        <v>2722</v>
      </c>
      <c r="F277" s="346" t="s">
        <v>2817</v>
      </c>
      <c r="G277" s="346" t="s">
        <v>764</v>
      </c>
      <c r="H277" s="346" t="s">
        <v>2818</v>
      </c>
      <c r="I277" s="347" t="s">
        <v>2814</v>
      </c>
      <c r="J277" t="str">
        <f>IFERROR(__xludf.DUMMYFUNCTION("IFERROR(
    ARRAYFORMULA(
        JOIN(
            CHAR(10) &amp; CHAR(10),
            ""Comment: "" &amp; FILTER(
                'Scores Import DO NOT EDIT'!N:N, 
                'Scores Import DO NOT EDIT'!D:D = A277
            )
        )
    ), 
    ""No"&amp;" comments yet""
)
"),"Comment: Interesting study looking at education and other health factors on cortical thickness and white matter density in areas of the brain associated with dementia. Referencing the poster while discussing the study would be helpful. Two figures present"&amp;"ed the same data which was a little confusing. More discussion in the intro (e.g., role of the brain area in dementia) and discussion (e.g., what do the results mean beyond that it was surprising) would be helpful in helping the listener fully grasp the s"&amp;"ignificance of the research study
Comment: Very important study, several threads for extended study.
Comment: A very clear presentation with some clear significance of the research communicated well. The results were a bit inconclusive, but a good sense"&amp;" of how to move forward. Well done! ")</f>
        <v>Comment: Interesting study looking at education and other health factors on cortical thickness and white matter density in areas of the brain associated with dementia. Referencing the poster while discussing the study would be helpful. Two figures presented the same data which was a little confusing. More discussion in the intro (e.g., role of the brain area in dementia) and discussion (e.g., what do the results mean beyond that it was surprising) would be helpful in helping the listener fully grasp the significance of the research study
Comment: Very important study, several threads for extended study.
Comment: A very clear presentation with some clear significance of the research communicated well. The results were a bit inconclusive, but a good sense of how to move forward. Well done! </v>
      </c>
      <c r="K277" t="s">
        <v>5141</v>
      </c>
    </row>
    <row r="278">
      <c r="A278" s="345">
        <v>369.0</v>
      </c>
      <c r="B278" s="346" t="s">
        <v>2819</v>
      </c>
      <c r="C278" s="346" t="s">
        <v>2820</v>
      </c>
      <c r="D278" s="346" t="s">
        <v>2823</v>
      </c>
      <c r="E278" s="346" t="s">
        <v>2825</v>
      </c>
      <c r="F278" s="346" t="s">
        <v>2826</v>
      </c>
      <c r="G278" s="346" t="s">
        <v>1457</v>
      </c>
      <c r="H278" s="346" t="s">
        <v>2827</v>
      </c>
      <c r="I278" s="347" t="s">
        <v>2821</v>
      </c>
      <c r="J278" t="str">
        <f>IFERROR(__xludf.DUMMYFUNCTION("IFERROR(
    ARRAYFORMULA(
        JOIN(
            CHAR(10) &amp; CHAR(10),
            ""Comment: "" &amp; FILTER(
                'Scores Import DO NOT EDIT'!N:N, 
                'Scores Import DO NOT EDIT'!D:D = A278
            )
        )
    ), 
    ""No"&amp;" comments yet""
)
"),"Comment: Very important topic, and a nice oral presentation of the work. Oral presentation did not make reference to the poster graphics, which could have helped put the pints across more clearly. Overall great job, however! 
Comment: Really interesting "&amp;"project to highlight the need to support the science education of ELLs. I would suggest spending some more time talk about the methods (e.g., nature of survey, how the interviews were structured, etc.) Nice delivery overall!
Comment: Knowledgeable and cl"&amp;"ear presence ")</f>
        <v>Comment: Very important topic, and a nice oral presentation of the work. Oral presentation did not make reference to the poster graphics, which could have helped put the pints across more clearly. Overall great job, however! 
Comment: Really interesting project to highlight the need to support the science education of ELLs. I would suggest spending some more time talk about the methods (e.g., nature of survey, how the interviews were structured, etc.) Nice delivery overall!
Comment: Knowledgeable and clear presence </v>
      </c>
      <c r="K278" t="s">
        <v>5142</v>
      </c>
    </row>
    <row r="279">
      <c r="A279" s="345">
        <v>370.0</v>
      </c>
      <c r="B279" s="346" t="s">
        <v>2828</v>
      </c>
      <c r="C279" s="346" t="s">
        <v>2829</v>
      </c>
      <c r="D279" s="346" t="s">
        <v>2832</v>
      </c>
      <c r="E279" s="346" t="s">
        <v>1425</v>
      </c>
      <c r="F279" s="346" t="s">
        <v>1831</v>
      </c>
      <c r="G279" s="346" t="s">
        <v>777</v>
      </c>
      <c r="H279" s="346" t="s">
        <v>1832</v>
      </c>
      <c r="I279" s="347" t="s">
        <v>2830</v>
      </c>
      <c r="J279" t="str">
        <f>IFERROR(__xludf.DUMMYFUNCTION("IFERROR(
    ARRAYFORMULA(
        JOIN(
            CHAR(10) &amp; CHAR(10),
            ""Comment: "" &amp; FILTER(
                'Scores Import DO NOT EDIT'!N:N, 
                'Scores Import DO NOT EDIT'!D:D = A279
            )
        )
    ), 
    ""No"&amp;" comments yet""
)
"),"Comment: I have to say that this was one of the most exceptional student presentations I've seen in a long while. Not only was the topic fascinating, but the personal experience of the researcher was brought to bear in a way that made the work really reso"&amp;"nate. Phenomenal job. 
Comment: Very personable, clearly has counseling proficiency 
Comment: Great project with clear impact on the community! I look forward to hearing how the follow up study goes")</f>
        <v>Comment: I have to say that this was one of the most exceptional student presentations I've seen in a long while. Not only was the topic fascinating, but the personal experience of the researcher was brought to bear in a way that made the work really resonate. Phenomenal job. 
Comment: Very personable, clearly has counseling proficiency 
Comment: Great project with clear impact on the community! I look forward to hearing how the follow up study goes</v>
      </c>
      <c r="K279" t="s">
        <v>5143</v>
      </c>
    </row>
    <row r="280">
      <c r="A280" s="345">
        <v>371.0</v>
      </c>
      <c r="B280" s="346" t="s">
        <v>1651</v>
      </c>
      <c r="C280" s="346" t="s">
        <v>2834</v>
      </c>
      <c r="D280" s="346" t="s">
        <v>2837</v>
      </c>
      <c r="E280" s="346" t="s">
        <v>746</v>
      </c>
      <c r="F280" s="346" t="s">
        <v>2843</v>
      </c>
      <c r="G280" s="346" t="s">
        <v>764</v>
      </c>
      <c r="H280" s="346" t="s">
        <v>2844</v>
      </c>
      <c r="I280" s="347" t="s">
        <v>2835</v>
      </c>
      <c r="J280" t="str">
        <f>IFERROR(__xludf.DUMMYFUNCTION("IFERROR(
    ARRAYFORMULA(
        JOIN(
            CHAR(10) &amp; CHAR(10),
            ""Comment: "" &amp; FILTER(
                'Scores Import DO NOT EDIT'!N:N, 
                'Scores Import DO NOT EDIT'!D:D = A280
            )
        )
    ), 
    ""No"&amp;" comments yet""
)
"),"No comments yet")</f>
        <v>No comments yet</v>
      </c>
      <c r="K280" t="s">
        <v>4820</v>
      </c>
    </row>
    <row r="281">
      <c r="A281" s="345">
        <v>372.0</v>
      </c>
      <c r="B281" s="346" t="s">
        <v>1817</v>
      </c>
      <c r="C281" s="346" t="s">
        <v>2845</v>
      </c>
      <c r="D281" s="346" t="s">
        <v>2848</v>
      </c>
      <c r="E281" s="346" t="s">
        <v>2850</v>
      </c>
      <c r="F281" s="346" t="s">
        <v>2851</v>
      </c>
      <c r="G281" s="346" t="s">
        <v>784</v>
      </c>
      <c r="H281" s="346" t="s">
        <v>2852</v>
      </c>
      <c r="I281" s="347" t="s">
        <v>2846</v>
      </c>
      <c r="J281" t="str">
        <f>IFERROR(__xludf.DUMMYFUNCTION("IFERROR(
    ARRAYFORMULA(
        JOIN(
            CHAR(10) &amp; CHAR(10),
            ""Comment: "" &amp; FILTER(
                'Scores Import DO NOT EDIT'!N:N, 
                'Scores Import DO NOT EDIT'!D:D = A281
            )
        )
    ), 
    ""No"&amp;" comments yet""
)
"),"Comment: Very confident delivery and important topic. A little difficult to understand methods as someone not familiar with the discipline. Poster was text heavy -- more graphical content would have been welcome. Good job overall! 
Comment: Really intere"&amp;"sting study! It would be helpful to note for the listener to talk about who was doing the reporting for all variables (control, Big 5j but that was clarifies well in the questions. Did a great job answering the questions!
Comment: Can't wait to read fina"&amp;"l paper!")</f>
        <v>Comment: Very confident delivery and important topic. A little difficult to understand methods as someone not familiar with the discipline. Poster was text heavy -- more graphical content would have been welcome. Good job overall! 
Comment: Really interesting study! It would be helpful to note for the listener to talk about who was doing the reporting for all variables (control, Big 5j but that was clarifies well in the questions. Did a great job answering the questions!
Comment: Can't wait to read final paper!</v>
      </c>
      <c r="K281" t="s">
        <v>5144</v>
      </c>
    </row>
    <row r="282">
      <c r="A282" s="349">
        <v>373.0</v>
      </c>
      <c r="B282" s="346" t="s">
        <v>2853</v>
      </c>
      <c r="C282" s="346" t="s">
        <v>2854</v>
      </c>
      <c r="D282" s="346" t="s">
        <v>2857</v>
      </c>
      <c r="E282" s="346" t="s">
        <v>1492</v>
      </c>
      <c r="F282" s="346" t="s">
        <v>1493</v>
      </c>
      <c r="G282" s="346" t="s">
        <v>764</v>
      </c>
      <c r="H282" s="346" t="s">
        <v>1494</v>
      </c>
      <c r="I282" s="347" t="s">
        <v>2855</v>
      </c>
      <c r="J282" t="str">
        <f>IFERROR(__xludf.DUMMYFUNCTION("IFERROR(
    ARRAYFORMULA(
        JOIN(
            CHAR(10) &amp; CHAR(10),
            ""Comment: "" &amp; FILTER(
                'Scores Import DO NOT EDIT'!N:N, 
                'Scores Import DO NOT EDIT'!D:D = A282
            )
        )
    ), 
    ""No"&amp;" comments yet""
)
"),"Comment: No poster")</f>
        <v>Comment: No poster</v>
      </c>
      <c r="K282" t="s">
        <v>5145</v>
      </c>
    </row>
    <row r="283">
      <c r="A283" s="345">
        <v>374.0</v>
      </c>
      <c r="B283" s="346" t="s">
        <v>2859</v>
      </c>
      <c r="C283" s="346" t="s">
        <v>1637</v>
      </c>
      <c r="D283" s="346" t="s">
        <v>2861</v>
      </c>
      <c r="E283" s="346" t="s">
        <v>2863</v>
      </c>
      <c r="F283" s="346" t="s">
        <v>1856</v>
      </c>
      <c r="G283" s="346" t="s">
        <v>764</v>
      </c>
      <c r="H283" s="346" t="s">
        <v>1857</v>
      </c>
      <c r="I283" s="347" t="s">
        <v>2860</v>
      </c>
      <c r="J283" t="str">
        <f>IFERROR(__xludf.DUMMYFUNCTION("IFERROR(
    ARRAYFORMULA(
        JOIN(
            CHAR(10) &amp; CHAR(10),
            ""Comment: "" &amp; FILTER(
                'Scores Import DO NOT EDIT'!N:N, 
                'Scores Import DO NOT EDIT'!D:D = A283
            )
        )
    ), 
    ""No"&amp;" comments yet""
)
"),"Comment: The organization of the poster and the methodologies are impressive. This is a very novel way to study evolutionary biology. The student did a great job explaining a topic that is not mainstream. Eager to hear more about the analysis of polyploid"&amp;"y in plants.
Comment: Excellent concise and clear explanations, her passion shows!! 
Comment: Wonderful enthusiasm for an exciting topic
Comment: This presenters did a great job explaining their work to a non plant biologist. Very clear and knowledgeab"&amp;"le ")</f>
        <v>Comment: The organization of the poster and the methodologies are impressive. This is a very novel way to study evolutionary biology. The student did a great job explaining a topic that is not mainstream. Eager to hear more about the analysis of polyploidy in plants.
Comment: Excellent concise and clear explanations, her passion shows!! 
Comment: Wonderful enthusiasm for an exciting topic
Comment: This presenters did a great job explaining their work to a non plant biologist. Very clear and knowledgeable </v>
      </c>
      <c r="K283" t="s">
        <v>5146</v>
      </c>
    </row>
    <row r="284">
      <c r="A284" s="345">
        <v>375.0</v>
      </c>
      <c r="B284" s="346" t="s">
        <v>2864</v>
      </c>
      <c r="C284" s="346" t="s">
        <v>2865</v>
      </c>
      <c r="D284" s="346" t="s">
        <v>5147</v>
      </c>
      <c r="E284" s="346" t="s">
        <v>3492</v>
      </c>
      <c r="F284" s="346" t="s">
        <v>1683</v>
      </c>
      <c r="G284" s="346" t="s">
        <v>764</v>
      </c>
      <c r="H284" s="346" t="s">
        <v>2873</v>
      </c>
      <c r="I284" s="347" t="s">
        <v>2866</v>
      </c>
      <c r="J284" t="str">
        <f>IFERROR(__xludf.DUMMYFUNCTION("IFERROR(
    ARRAYFORMULA(
        JOIN(
            CHAR(10) &amp; CHAR(10),
            ""Comment: "" &amp; FILTER(
                'Scores Import DO NOT EDIT'!N:N, 
                'Scores Import DO NOT EDIT'!D:D = A284
            )
        )
    ), 
    ""No"&amp;" comments yet""
)
"),"Comment: Organization of the work was great! When asked for clarification they were able to reiterate their point across. When asked for future directions and troubleshooting the presenters were knowledgeable. 
Comment: Very interesting work, great job!!"&amp;" My only suggestion would be identifying some big picture impacts of the work
Comment: Interesting topic but could have used some more background understanding to explain the relevance of the research
Comment: Very interesting research topic. The studen"&amp;"ts are gaining valuable research experience to study cancer triggers.  Very good job at explaining the significance and engaging the audience.")</f>
        <v>Comment: Organization of the work was great! When asked for clarification they were able to reiterate their point across. When asked for future directions and troubleshooting the presenters were knowledgeable. 
Comment: Very interesting work, great job!! My only suggestion would be identifying some big picture impacts of the work
Comment: Interesting topic but could have used some more background understanding to explain the relevance of the research
Comment: Very interesting research topic. The students are gaining valuable research experience to study cancer triggers.  Very good job at explaining the significance and engaging the audience.</v>
      </c>
      <c r="K284" t="s">
        <v>5148</v>
      </c>
    </row>
    <row r="285">
      <c r="A285" s="345">
        <v>376.0</v>
      </c>
      <c r="B285" s="346" t="s">
        <v>2874</v>
      </c>
      <c r="C285" s="346" t="s">
        <v>2875</v>
      </c>
      <c r="D285" s="346" t="s">
        <v>2878</v>
      </c>
      <c r="E285" s="346" t="s">
        <v>2882</v>
      </c>
      <c r="F285" s="346" t="s">
        <v>2883</v>
      </c>
      <c r="G285" s="346" t="s">
        <v>893</v>
      </c>
      <c r="H285" s="346" t="s">
        <v>2884</v>
      </c>
      <c r="I285" s="347" t="s">
        <v>2876</v>
      </c>
      <c r="J285" t="str">
        <f>IFERROR(__xludf.DUMMYFUNCTION("IFERROR(
    ARRAYFORMULA(
        JOIN(
            CHAR(10) &amp; CHAR(10),
            ""Comment: "" &amp; FILTER(
                'Scores Import DO NOT EDIT'!N:N, 
                'Scores Import DO NOT EDIT'!D:D = A285
            )
        )
    ), 
    ""No"&amp;" comments yet""
)
"),"Comment: Fabulous presentation and understanding of the research. Very impressed. 
Comment: Excellent job!! Very clear explanations and thoughtful answers to questions. Nice figures and flow of information on the poster!
Comment: The students delivered "&amp;"a very cohesive presentation. The methodology to study the toxicity of TCE is innovative and addresses the specific problem under conditions in the placenta. The experience of the students in the lab has been very productive for them and their PI. My main"&amp;" suggestion is to add metabolic data and analytical chemistry (e.g., LC) to fully characterize the toxicity and determine better DCVC concentrations.")</f>
        <v>Comment: Fabulous presentation and understanding of the research. Very impressed. 
Comment: Excellent job!! Very clear explanations and thoughtful answers to questions. Nice figures and flow of information on the poster!
Comment: The students delivered a very cohesive presentation. The methodology to study the toxicity of TCE is innovative and addresses the specific problem under conditions in the placenta. The experience of the students in the lab has been very productive for them and their PI. My main suggestion is to add metabolic data and analytical chemistry (e.g., LC) to fully characterize the toxicity and determine better DCVC concentrations.</v>
      </c>
      <c r="K285" t="s">
        <v>5149</v>
      </c>
    </row>
    <row r="286">
      <c r="A286" s="345">
        <v>377.0</v>
      </c>
      <c r="B286" s="346" t="s">
        <v>2885</v>
      </c>
      <c r="C286" s="346" t="s">
        <v>2886</v>
      </c>
      <c r="D286" s="346" t="s">
        <v>2889</v>
      </c>
      <c r="E286" s="346" t="s">
        <v>3492</v>
      </c>
      <c r="F286" s="346" t="s">
        <v>1683</v>
      </c>
      <c r="G286" s="346" t="s">
        <v>764</v>
      </c>
      <c r="H286" s="346" t="s">
        <v>2873</v>
      </c>
      <c r="I286" s="347" t="s">
        <v>2887</v>
      </c>
      <c r="J286" t="str">
        <f>IFERROR(__xludf.DUMMYFUNCTION("IFERROR(
    ARRAYFORMULA(
        JOIN(
            CHAR(10) &amp; CHAR(10),
            ""Comment: "" &amp; FILTER(
                'Scores Import DO NOT EDIT'!N:N, 
                'Scores Import DO NOT EDIT'!D:D = A286
            )
        )
    ), 
    ""No"&amp;" comments yet""
)
"),"Comment: This is a very significant topic to understand the triggers of cancer. The methodology is helping better understand the mechanism of dimerization. The student was clear with her results but needed to provide a little more engagement at the beginn"&amp;"ing of the presentation. She eventually picked up and was able to explain a very significant research project.
Comment: Very interesting work!! Great job!! My only suggestion would be adding a statement of big picture impacts of the work.
Comment: 
Com"&amp;"ment: Nice poster and presentation but needed a bit more work on understanding the background ")</f>
        <v>Comment: This is a very significant topic to understand the triggers of cancer. The methodology is helping better understand the mechanism of dimerization. The student was clear with her results but needed to provide a little more engagement at the beginning of the presentation. She eventually picked up and was able to explain a very significant research project.
Comment: Very interesting work!! Great job!! My only suggestion would be adding a statement of big picture impacts of the work.
Comment: 
Comment: Nice poster and presentation but needed a bit more work on understanding the background </v>
      </c>
      <c r="K286" t="s">
        <v>5150</v>
      </c>
    </row>
    <row r="287">
      <c r="A287" s="345">
        <v>378.0</v>
      </c>
      <c r="B287" s="346" t="s">
        <v>2891</v>
      </c>
      <c r="C287" s="346" t="s">
        <v>2892</v>
      </c>
      <c r="D287" s="346" t="s">
        <v>2894</v>
      </c>
      <c r="E287" s="346" t="s">
        <v>1356</v>
      </c>
      <c r="F287" s="346" t="s">
        <v>1062</v>
      </c>
      <c r="G287" s="346" t="s">
        <v>764</v>
      </c>
      <c r="H287" s="346" t="s">
        <v>1357</v>
      </c>
      <c r="I287" s="347" t="s">
        <v>1357</v>
      </c>
      <c r="J287" t="str">
        <f>IFERROR(__xludf.DUMMYFUNCTION("IFERROR(
    ARRAYFORMULA(
        JOIN(
            CHAR(10) &amp; CHAR(10),
            ""Comment: "" &amp; FILTER(
                'Scores Import DO NOT EDIT'!N:N, 
                'Scores Import DO NOT EDIT'!D:D = A287
            )
        )
    ), 
    ""No"&amp;" comments yet""
)
"),"Comment: Great job!! Very impressive and clear explanation of your workflow methodology! The figures could be a bit larger in font so they are easier to read.
Comment: Incredibly impressive performance from a HS student. Understood his research and backg"&amp;"round well. Great job. 
Comment: Presenter was very knowledgeable and very clear. ")</f>
        <v>Comment: Great job!! Very impressive and clear explanation of your workflow methodology! The figures could be a bit larger in font so they are easier to read.
Comment: Incredibly impressive performance from a HS student. Understood his research and background well. Great job. 
Comment: Presenter was very knowledgeable and very clear. </v>
      </c>
      <c r="K287" t="s">
        <v>5151</v>
      </c>
    </row>
    <row r="288">
      <c r="A288" s="345">
        <v>379.0</v>
      </c>
      <c r="B288" s="346" t="s">
        <v>5152</v>
      </c>
      <c r="C288" s="346" t="s">
        <v>2898</v>
      </c>
      <c r="D288" s="346" t="s">
        <v>2901</v>
      </c>
      <c r="E288" s="346" t="s">
        <v>1515</v>
      </c>
      <c r="F288" s="346" t="s">
        <v>1516</v>
      </c>
      <c r="G288" s="346" t="s">
        <v>764</v>
      </c>
      <c r="H288" s="346" t="s">
        <v>1517</v>
      </c>
      <c r="I288" s="347" t="s">
        <v>2899</v>
      </c>
      <c r="J288" t="str">
        <f>IFERROR(__xludf.DUMMYFUNCTION("IFERROR(
    ARRAYFORMULA(
        JOIN(
            CHAR(10) &amp; CHAR(10),
            ""Comment: "" &amp; FILTER(
                'Scores Import DO NOT EDIT'!N:N, 
                'Scores Import DO NOT EDIT'!D:D = A288
            )
        )
    ), 
    ""No"&amp;" comments yet""
)
"),"Comment: 
Comment: Very nice and clear presentation. 
Interesting work with good conclusions. 
Suggest to better understand the clinical treatment of PT with CF. 
Comment: Excellent job- such clear explanations of everything in a very important field!!
"&amp;"
Comment: The student is very passionate about the topic and effectively explained it's significance. The flow of the information was logical and well organized. The information from the DNA digestion gels will be nicely completed with LC data for example"&amp;".")</f>
        <v>Comment: 
Comment: Very nice and clear presentation. 
Interesting work with good conclusions. 
Suggest to better understand the clinical treatment of PT with CF. 
Comment: Excellent job- such clear explanations of everything in a very important field!!
Comment: The student is very passionate about the topic and effectively explained it's significance. The flow of the information was logical and well organized. The information from the DNA digestion gels will be nicely completed with LC data for example.</v>
      </c>
      <c r="K288" t="s">
        <v>5153</v>
      </c>
    </row>
    <row r="289">
      <c r="A289" s="345">
        <v>380.0</v>
      </c>
      <c r="B289" s="346" t="s">
        <v>2498</v>
      </c>
      <c r="C289" s="346" t="s">
        <v>2903</v>
      </c>
      <c r="D289" s="346" t="s">
        <v>2905</v>
      </c>
      <c r="E289" s="346" t="s">
        <v>963</v>
      </c>
      <c r="F289" s="346" t="s">
        <v>964</v>
      </c>
      <c r="G289" s="346" t="s">
        <v>764</v>
      </c>
      <c r="H289" s="346" t="s">
        <v>965</v>
      </c>
      <c r="I289" s="347" t="s">
        <v>2904</v>
      </c>
      <c r="J289" t="str">
        <f>IFERROR(__xludf.DUMMYFUNCTION("IFERROR(
    ARRAYFORMULA(
        JOIN(
            CHAR(10) &amp; CHAR(10),
            ""Comment: "" &amp; FILTER(
                'Scores Import DO NOT EDIT'!N:N, 
                'Scores Import DO NOT EDIT'!D:D = A289
            )
        )
    ), 
    ""No"&amp;" comments yet""
)
"),"Comment: Excellent poster and presentation! Beautiful figures and very clearly explained
Comment: Great work! Presenter had a great understanding of background rational and future directions 
Comment: High quality research and excellent understanding of"&amp;" topic. 
Very impressive presentation. 
Comment: Excellent work. This research is fully rounded and uses a variety of techniques to better understand the progression of ovarian cancer. The methodologies are accurate and innovative. The statistical analys"&amp;"is is well done and easy to follow. I wish the student to be very successful in her future doctoral studies.")</f>
        <v>Comment: Excellent poster and presentation! Beautiful figures and very clearly explained
Comment: Great work! Presenter had a great understanding of background rational and future directions 
Comment: High quality research and excellent understanding of topic. 
Very impressive presentation. 
Comment: Excellent work. This research is fully rounded and uses a variety of techniques to better understand the progression of ovarian cancer. The methodologies are accurate and innovative. The statistical analysis is well done and easy to follow. I wish the student to be very successful in her future doctoral studies.</v>
      </c>
      <c r="K289" t="s">
        <v>5154</v>
      </c>
    </row>
    <row r="290">
      <c r="A290" s="345">
        <v>381.0</v>
      </c>
      <c r="B290" s="346" t="s">
        <v>2907</v>
      </c>
      <c r="C290" s="346" t="s">
        <v>2908</v>
      </c>
      <c r="D290" s="346" t="s">
        <v>2911</v>
      </c>
      <c r="E290" s="346" t="s">
        <v>2913</v>
      </c>
      <c r="F290" s="346" t="s">
        <v>2914</v>
      </c>
      <c r="G290" s="346" t="s">
        <v>773</v>
      </c>
      <c r="H290" s="346" t="s">
        <v>2915</v>
      </c>
      <c r="I290" s="347" t="s">
        <v>2909</v>
      </c>
      <c r="J290" t="str">
        <f>IFERROR(__xludf.DUMMYFUNCTION("IFERROR(
    ARRAYFORMULA(
        JOIN(
            CHAR(10) &amp; CHAR(10),
            ""Comment: "" &amp; FILTER(
                'Scores Import DO NOT EDIT'!N:N, 
                'Scores Import DO NOT EDIT'!D:D = A290
            )
        )
    ), 
    ""No"&amp;" comments yet""
)
"),"Comment: 
Comment: You're a great presenter! Thank you for sharing about this project. You did a great job providing background and making the project understandable to a wide audience. You are clearly excited to conduct this research, and I look forward"&amp;" to your poster next year discussing the results!
Comment: 
Comment: Interesting research question and clear overall study design.  The connection between landscape type and surface material to be used in the laboratory needs clarification.
Comment: Gr"&amp;"eat job on the presentation. The student clearly had an understanding of the research from the small scale (was able to drill down into the technical details) to the large scale (was able to talk about the importance of the research and implications). Exc"&amp;"ellent delivery and interaction with audience. Only area that could have used some improvement is to better communicate the originality of the work and comparison to the state-of-the-art (for example, what has been found previously by other researchers an"&amp;"d why is this study needed?). Otherwise, excellent job!")</f>
        <v>Comment: 
Comment: You're a great presenter! Thank you for sharing about this project. You did a great job providing background and making the project understandable to a wide audience. You are clearly excited to conduct this research, and I look forward to your poster next year discussing the results!
Comment: 
Comment: Interesting research question and clear overall study design.  The connection between landscape type and surface material to be used in the laboratory needs clarification.
Comment: Great job on the presentation. The student clearly had an understanding of the research from the small scale (was able to drill down into the technical details) to the large scale (was able to talk about the importance of the research and implications). Excellent delivery and interaction with audience. Only area that could have used some improvement is to better communicate the originality of the work and comparison to the state-of-the-art (for example, what has been found previously by other researchers and why is this study needed?). Otherwise, excellent job!</v>
      </c>
      <c r="K290" t="s">
        <v>5155</v>
      </c>
    </row>
    <row r="291">
      <c r="A291" s="345">
        <v>382.0</v>
      </c>
      <c r="B291" s="346" t="s">
        <v>2916</v>
      </c>
      <c r="C291" s="346" t="s">
        <v>2917</v>
      </c>
      <c r="D291" s="346" t="s">
        <v>2919</v>
      </c>
      <c r="E291" s="346" t="s">
        <v>1168</v>
      </c>
      <c r="F291" s="346" t="s">
        <v>1169</v>
      </c>
      <c r="G291" s="346" t="s">
        <v>773</v>
      </c>
      <c r="H291" s="346" t="s">
        <v>1170</v>
      </c>
      <c r="I291" s="347" t="s">
        <v>2918</v>
      </c>
      <c r="J291" t="str">
        <f>IFERROR(__xludf.DUMMYFUNCTION("IFERROR(
    ARRAYFORMULA(
        JOIN(
            CHAR(10) &amp; CHAR(10),
            ""Comment: "" &amp; FILTER(
                'Scores Import DO NOT EDIT'!N:N, 
                'Scores Import DO NOT EDIT'!D:D = A291
            )
        )
    ), 
    ""No"&amp;" comments yet""
)
"),"Comment: You're clearly very passionate and knowledgeable about this work! You did a great job walking through every step of the project and poster. I would have appreciated more of an overview upfront: why is this work important on the big scale. The gra"&amp;"phics on your poster were perfect. Each time I was about to ask about something, I saw it was already illustrated right there. Great job!
Comment: Very cool experimental setup.  Good articulation of the purpose and rationale for the study.  They were a f"&amp;"ew too many graphs for a poster, and some of the comparisons between your and NASA results could be clarified.  Very interesting study, and impact could be greater by selecting some highlighted results.  Good job!
Comment: 
Comment: 
Comment: The stude"&amp;"nt did an exceptional job with the delivery of the research findings, and also did an excellent job explaining the originality of the research and benchmarking it against previous findings by NASA. The content was highly technical, but the presenter adequ"&amp;"ately explained concepts in a simpler way when asked. There was some room for improvement on the clarity of the presentation. There were a LOT of figures and it was a lot of information to process, many of the figure captions and legends had text with fon"&amp;"t size that was too small to be read. There may have been opportunities to combine multiple figures into one common figure that could have been made larger (like the figures that showed the student's results and the figures that showed NASA's previous res"&amp;"ults, they perhaps could have been plotted on a common figure to more easily see how the student's results compared to NASA's previous findings). Otherwise, the student did a great job and clearly had an in-depth understanding of the research methodology "&amp;"and fundamental engineering concepts.")</f>
        <v>Comment: You're clearly very passionate and knowledgeable about this work! You did a great job walking through every step of the project and poster. I would have appreciated more of an overview upfront: why is this work important on the big scale. The graphics on your poster were perfect. Each time I was about to ask about something, I saw it was already illustrated right there. Great job!
Comment: Very cool experimental setup.  Good articulation of the purpose and rationale for the study.  They were a few too many graphs for a poster, and some of the comparisons between your and NASA results could be clarified.  Very interesting study, and impact could be greater by selecting some highlighted results.  Good job!
Comment: 
Comment: 
Comment: The student did an exceptional job with the delivery of the research findings, and also did an excellent job explaining the originality of the research and benchmarking it against previous findings by NASA. The content was highly technical, but the presenter adequately explained concepts in a simpler way when asked. There was some room for improvement on the clarity of the presentation. There were a LOT of figures and it was a lot of information to process, many of the figure captions and legends had text with font size that was too small to be read. There may have been opportunities to combine multiple figures into one common figure that could have been made larger (like the figures that showed the student's results and the figures that showed NASA's previous results, they perhaps could have been plotted on a common figure to more easily see how the student's results compared to NASA's previous findings). Otherwise, the student did a great job and clearly had an in-depth understanding of the research methodology and fundamental engineering concepts.</v>
      </c>
      <c r="K291" t="s">
        <v>5156</v>
      </c>
    </row>
    <row r="292">
      <c r="A292" s="345">
        <v>383.0</v>
      </c>
      <c r="B292" s="346" t="s">
        <v>2921</v>
      </c>
      <c r="C292" s="346" t="s">
        <v>2922</v>
      </c>
      <c r="D292" s="346" t="s">
        <v>2925</v>
      </c>
      <c r="E292" s="346" t="s">
        <v>1168</v>
      </c>
      <c r="F292" s="346" t="s">
        <v>1169</v>
      </c>
      <c r="G292" s="346" t="s">
        <v>773</v>
      </c>
      <c r="H292" s="346" t="s">
        <v>1170</v>
      </c>
      <c r="I292" s="347" t="s">
        <v>2923</v>
      </c>
      <c r="J292" t="str">
        <f>IFERROR(__xludf.DUMMYFUNCTION("IFERROR(
    ARRAYFORMULA(
        JOIN(
            CHAR(10) &amp; CHAR(10),
            ""Comment: "" &amp; FILTER(
                'Scores Import DO NOT EDIT'!N:N, 
                'Scores Import DO NOT EDIT'!D:D = A292
            )
        )
    ), 
    ""No"&amp;" comments yet""
)
"),"Comment: Excellent combination of experimental and numerical methods.  The motivation is a bit unclear and only emerged after questioning. Stating a research question and hypotheses might help. Interesting and publishable research, just needs a bit of org"&amp;"anization for motivation and significance. 
Comment: 
Comment: 
Comment: Great job overall. The student adequately explained the importance of the research and related it to the previous work (development of a solar collector device and the need to pro"&amp;"vide some cooling for one of its components). When asked detailed and technical questions about the methodology, the student demonstrated excellent proficiency and understanding about what was done and how it was done and why. ")</f>
        <v>Comment: Excellent combination of experimental and numerical methods.  The motivation is a bit unclear and only emerged after questioning. Stating a research question and hypotheses might help. Interesting and publishable research, just needs a bit of organization for motivation and significance. 
Comment: 
Comment: 
Comment: Great job overall. The student adequately explained the importance of the research and related it to the previous work (development of a solar collector device and the need to provide some cooling for one of its components). When asked detailed and technical questions about the methodology, the student demonstrated excellent proficiency and understanding about what was done and how it was done and why. </v>
      </c>
      <c r="K292" t="s">
        <v>5157</v>
      </c>
    </row>
    <row r="293">
      <c r="A293" s="349">
        <v>384.0</v>
      </c>
      <c r="B293" s="346" t="s">
        <v>2927</v>
      </c>
      <c r="C293" s="346" t="s">
        <v>2928</v>
      </c>
      <c r="D293" s="346" t="s">
        <v>2931</v>
      </c>
      <c r="E293" s="346" t="s">
        <v>2913</v>
      </c>
      <c r="F293" s="346" t="s">
        <v>2914</v>
      </c>
      <c r="G293" s="346" t="s">
        <v>773</v>
      </c>
      <c r="H293" s="346" t="s">
        <v>2915</v>
      </c>
      <c r="I293" s="347" t="s">
        <v>2929</v>
      </c>
      <c r="J293" t="str">
        <f>IFERROR(__xludf.DUMMYFUNCTION("IFERROR(
    ARRAYFORMULA(
        JOIN(
            CHAR(10) &amp; CHAR(10),
            ""Comment: "" &amp; FILTER(
                'Scores Import DO NOT EDIT'!N:N, 
                'Scores Import DO NOT EDIT'!D:D = A293
            )
        )
    ), 
    ""No"&amp;" comments yet""
)
"),"No comments yet")</f>
        <v>No comments yet</v>
      </c>
      <c r="K293" t="s">
        <v>4820</v>
      </c>
    </row>
    <row r="294">
      <c r="A294" s="345">
        <v>385.0</v>
      </c>
      <c r="B294" s="346" t="s">
        <v>1120</v>
      </c>
      <c r="C294" s="346" t="s">
        <v>2933</v>
      </c>
      <c r="D294" s="346" t="s">
        <v>2936</v>
      </c>
      <c r="E294" s="346" t="s">
        <v>2913</v>
      </c>
      <c r="F294" s="346" t="s">
        <v>2914</v>
      </c>
      <c r="G294" s="346" t="s">
        <v>773</v>
      </c>
      <c r="H294" s="346" t="s">
        <v>2915</v>
      </c>
      <c r="I294" s="347" t="s">
        <v>2934</v>
      </c>
      <c r="J294" t="str">
        <f>IFERROR(__xludf.DUMMYFUNCTION("IFERROR(
    ARRAYFORMULA(
        JOIN(
            CHAR(10) &amp; CHAR(10),
            ""Comment: "" &amp; FILTER(
                'Scores Import DO NOT EDIT'!N:N, 
                'Scores Import DO NOT EDIT'!D:D = A294
            )
        )
    ), 
    ""No"&amp;" comments yet""
)
"),"Comment: 
Comment: 
Comment: Excellent research question Good motivation, good contrast to previous studies.  Excellent maps!  Methods need to be clarified and inventory of data (locations, times, hydrologic conditions) more systematically documented.  "&amp;"
Comment: Really, the presentation was excellent/exceptional in almost all aspects. The student demonstrated a detailed understanding of the research approach, significance, and originality. She interacted very well with the audience, and presented the m"&amp;"aterial in a way that was very clear, relatable and did not use excessive scientific jargon. The only area where I saw some room for improvement was the methodology. Clearly the research was in an earlier stage, so the main findings were not ready to pres"&amp;"ent yet, but also, I didn't hear much detail about the proposed processes that would be used to collect information and data to really address the research question. I understood that community water quality reports would be gathered to collect water qual"&amp;"ity data to answer the overall research question, but it was not clear if this was referring to consumer confidence reports or NPDES water quality reports, and more importantly it was not clear what the hypothesis was regarding how the fires would specifi"&amp;"cally affect water quality. I'm sure the reasoning was there, I just did not really hear it. Otherwise, the work was very well presented and the presenter did an outstanding job!")</f>
        <v>Comment: 
Comment: 
Comment: Excellent research question Good motivation, good contrast to previous studies.  Excellent maps!  Methods need to be clarified and inventory of data (locations, times, hydrologic conditions) more systematically documented.  
Comment: Really, the presentation was excellent/exceptional in almost all aspects. The student demonstrated a detailed understanding of the research approach, significance, and originality. She interacted very well with the audience, and presented the material in a way that was very clear, relatable and did not use excessive scientific jargon. The only area where I saw some room for improvement was the methodology. Clearly the research was in an earlier stage, so the main findings were not ready to present yet, but also, I didn't hear much detail about the proposed processes that would be used to collect information and data to really address the research question. I understood that community water quality reports would be gathered to collect water quality data to answer the overall research question, but it was not clear if this was referring to consumer confidence reports or NPDES water quality reports, and more importantly it was not clear what the hypothesis was regarding how the fires would specifically affect water quality. I'm sure the reasoning was there, I just did not really hear it. Otherwise, the work was very well presented and the presenter did an outstanding job!</v>
      </c>
      <c r="K294" t="s">
        <v>5158</v>
      </c>
    </row>
    <row r="295">
      <c r="A295" s="345">
        <v>386.0</v>
      </c>
      <c r="B295" s="346" t="s">
        <v>2938</v>
      </c>
      <c r="C295" s="346" t="s">
        <v>2939</v>
      </c>
      <c r="D295" s="346" t="s">
        <v>2942</v>
      </c>
      <c r="E295" s="346" t="s">
        <v>1608</v>
      </c>
      <c r="F295" s="346" t="s">
        <v>1609</v>
      </c>
      <c r="G295" s="346" t="s">
        <v>784</v>
      </c>
      <c r="H295" s="346" t="s">
        <v>2944</v>
      </c>
      <c r="I295" s="347" t="s">
        <v>2940</v>
      </c>
      <c r="J295" t="str">
        <f>IFERROR(__xludf.DUMMYFUNCTION("IFERROR(
    ARRAYFORMULA(
        JOIN(
            CHAR(10) &amp; CHAR(10),
            ""Comment: "" &amp; FILTER(
                'Scores Import DO NOT EDIT'!N:N, 
                'Scores Import DO NOT EDIT'!D:D = A295
            )
        )
    ), 
    ""No"&amp;" comments yet""
)
"),"Comment: Not present ")</f>
        <v>Comment: Not present </v>
      </c>
      <c r="K295" t="s">
        <v>5159</v>
      </c>
    </row>
    <row r="296">
      <c r="A296" s="345">
        <v>387.0</v>
      </c>
      <c r="B296" s="346" t="s">
        <v>930</v>
      </c>
      <c r="C296" s="346" t="s">
        <v>2946</v>
      </c>
      <c r="D296" s="346" t="s">
        <v>2948</v>
      </c>
      <c r="E296" s="346" t="s">
        <v>2950</v>
      </c>
      <c r="F296" s="346" t="s">
        <v>2951</v>
      </c>
      <c r="G296" s="346" t="s">
        <v>764</v>
      </c>
      <c r="H296" s="346" t="s">
        <v>2952</v>
      </c>
      <c r="I296" s="347" t="s">
        <v>2947</v>
      </c>
      <c r="J296" t="str">
        <f>IFERROR(__xludf.DUMMYFUNCTION("IFERROR(
    ARRAYFORMULA(
        JOIN(
            CHAR(10) &amp; CHAR(10),
            ""Comment: "" &amp; FILTER(
                'Scores Import DO NOT EDIT'!N:N, 
                'Scores Import DO NOT EDIT'!D:D = A296
            )
        )
    ), 
    ""No"&amp;" comments yet""
)
"),"Comment: This topic is very nuance so the ability to summarize in a digestible way was one of this presenter’s strengths. Granted given the complexity of the topic and how “far out” (in space), it was hard to follow the logistics of the poster but the org"&amp;"anization of the poster overall was very well put together. I think if I had some additional background or was in the related field, I would have appreciated this poster much more. 
Comment: Knowledgeable and clear explanation
Comment: 
Comment: As a 1"&amp;"st-year Master's student the Presenter distinguished themselves through a calm, coherent delivery of information -- confident where appropriate, but not afraid to indicate the boundaries of their knowledge.  As a poster presentation, the oral delivery was"&amp;" particularly strong, both to the expert and non-expert.  The poster itself presented the information well enough, although I would encourage the Presenter to consider including a bit more about the context of the work - what has been done in the field pr"&amp;"ior?")</f>
        <v>Comment: This topic is very nuance so the ability to summarize in a digestible way was one of this presenter’s strengths. Granted given the complexity of the topic and how “far out” (in space), it was hard to follow the logistics of the poster but the organization of the poster overall was very well put together. I think if I had some additional background or was in the related field, I would have appreciated this poster much more. 
Comment: Knowledgeable and clear explanation
Comment: 
Comment: As a 1st-year Master's student the Presenter distinguished themselves through a calm, coherent delivery of information -- confident where appropriate, but not afraid to indicate the boundaries of their knowledge.  As a poster presentation, the oral delivery was particularly strong, both to the expert and non-expert.  The poster itself presented the information well enough, although I would encourage the Presenter to consider including a bit more about the context of the work - what has been done in the field prior?</v>
      </c>
      <c r="K296" t="s">
        <v>5160</v>
      </c>
    </row>
    <row r="297">
      <c r="A297" s="345">
        <v>388.0</v>
      </c>
      <c r="B297" s="346" t="s">
        <v>2953</v>
      </c>
      <c r="C297" s="346" t="s">
        <v>2954</v>
      </c>
      <c r="D297" s="346" t="s">
        <v>2956</v>
      </c>
      <c r="E297" s="346" t="s">
        <v>2950</v>
      </c>
      <c r="F297" s="346" t="s">
        <v>2951</v>
      </c>
      <c r="G297" s="346" t="s">
        <v>764</v>
      </c>
      <c r="H297" s="346" t="s">
        <v>2952</v>
      </c>
      <c r="I297" s="347" t="s">
        <v>2955</v>
      </c>
      <c r="J297" t="str">
        <f>IFERROR(__xludf.DUMMYFUNCTION("IFERROR(
    ARRAYFORMULA(
        JOIN(
            CHAR(10) &amp; CHAR(10),
            ""Comment: "" &amp; FILTER(
                'Scores Import DO NOT EDIT'!N:N, 
                'Scores Import DO NOT EDIT'!D:D = A297
            )
        )
    ), 
    ""No"&amp;" comments yet""
)
"),"Comment: Poster had some nice summary text which was helpful because it established what the paragraph discussing hence easier to follow along. Speaker was clearly passionate about the topic which engaged me, but it got so specific I was having trouble to"&amp;"wards the end. Presenter was able to establish not why this necessarily effects our earth at the moment, but able to connect to the significance of the field overall especially with the modeling potential capabilities.
Comment: 
Comment: 
Comment: As a"&amp;" 1st year Master's student, the Presenter comported themselves well to queries from those visiting the poster, giving competent responses to a range of questions.  The poster itself concerned a quite technical field, focusing on the interface of computati"&amp;"onal modeling/theory and observations that is a challenge to present to the non-expert while avoiding discipline-specific language.  Presenter did a good job with this, although I would encourage some thinking about how to best convey such complex materia"&amp;"l; the poster itself presented a lot of information, perhaps a bit much to take in quickly.  Again, some thought on how to present only the most important/relevant material could make for better absorption by the more casual viewer.  But overall a very ni"&amp;"ce start on a complex topic!")</f>
        <v>Comment: Poster had some nice summary text which was helpful because it established what the paragraph discussing hence easier to follow along. Speaker was clearly passionate about the topic which engaged me, but it got so specific I was having trouble towards the end. Presenter was able to establish not why this necessarily effects our earth at the moment, but able to connect to the significance of the field overall especially with the modeling potential capabilities.
Comment: 
Comment: 
Comment: As a 1st year Master's student, the Presenter comported themselves well to queries from those visiting the poster, giving competent responses to a range of questions.  The poster itself concerned a quite technical field, focusing on the interface of computational modeling/theory and observations that is a challenge to present to the non-expert while avoiding discipline-specific language.  Presenter did a good job with this, although I would encourage some thinking about how to best convey such complex material; the poster itself presented a lot of information, perhaps a bit much to take in quickly.  Again, some thought on how to present only the most important/relevant material could make for better absorption by the more casual viewer.  But overall a very nice start on a complex topic!</v>
      </c>
      <c r="K297" t="s">
        <v>5161</v>
      </c>
    </row>
    <row r="298">
      <c r="A298" s="345">
        <v>389.0</v>
      </c>
      <c r="B298" s="346" t="s">
        <v>2958</v>
      </c>
      <c r="C298" s="346" t="s">
        <v>2959</v>
      </c>
      <c r="D298" s="346" t="s">
        <v>2962</v>
      </c>
      <c r="E298" s="346" t="s">
        <v>1894</v>
      </c>
      <c r="F298" s="346" t="s">
        <v>1895</v>
      </c>
      <c r="G298" s="346" t="s">
        <v>764</v>
      </c>
      <c r="H298" s="346" t="s">
        <v>1896</v>
      </c>
      <c r="I298" s="347" t="s">
        <v>2960</v>
      </c>
      <c r="J298" t="str">
        <f>IFERROR(__xludf.DUMMYFUNCTION("IFERROR(
    ARRAYFORMULA(
        JOIN(
            CHAR(10) &amp; CHAR(10),
            ""Comment: "" &amp; FILTER(
                'Scores Import DO NOT EDIT'!N:N, 
                'Scores Import DO NOT EDIT'!D:D = A298
            )
        )
    ), 
    ""No"&amp;" comments yet""
)
"),"Comment: This topic had a very descriptive title so grasping the essence of the topic at first was unclear, but the presenters gave a very clear summary of what “fluorescence based assay”, and “protein protein” meant. The center of the poster of images wa"&amp;"s not as clear to see of the workflow referred to the overall process or just the image above. 
Comment: 
Comment: 
Comment: Very technically challenging material to convey to the non-expert and I enjoyed interacting with both the Presenter, a Master's"&amp;" student, as well as the undergraduate student also involved in the work.  Both were able to discuss well the specific work they were doing on the project.  As a relative outsider to the field, I would encourage some more thought on the ""big picture"" of"&amp;" the research -- what ""problem"" is it trying to solve, how they are going about addressing it, and what the prognosis is at this point, since I struggled a bit in getting them to state this in broad terms that I could easily understand!  That said, it w"&amp;"as clear they were deeply invested in the work and were looking forward to additional pursuits with it, complicated stuff to be sure.  ")</f>
        <v>Comment: This topic had a very descriptive title so grasping the essence of the topic at first was unclear, but the presenters gave a very clear summary of what “fluorescence based assay”, and “protein protein” meant. The center of the poster of images was not as clear to see of the workflow referred to the overall process or just the image above. 
Comment: 
Comment: 
Comment: Very technically challenging material to convey to the non-expert and I enjoyed interacting with both the Presenter, a Master's student, as well as the undergraduate student also involved in the work.  Both were able to discuss well the specific work they were doing on the project.  As a relative outsider to the field, I would encourage some more thought on the "big picture" of the research -- what "problem" is it trying to solve, how they are going about addressing it, and what the prognosis is at this point, since I struggled a bit in getting them to state this in broad terms that I could easily understand!  That said, it was clear they were deeply invested in the work and were looking forward to additional pursuits with it, complicated stuff to be sure.  </v>
      </c>
      <c r="K298" t="s">
        <v>5162</v>
      </c>
    </row>
    <row r="299">
      <c r="A299" s="345">
        <v>390.0</v>
      </c>
      <c r="B299" s="346" t="s">
        <v>927</v>
      </c>
      <c r="C299" s="346" t="s">
        <v>2966</v>
      </c>
      <c r="D299" s="346" t="s">
        <v>2969</v>
      </c>
      <c r="E299" s="346" t="s">
        <v>2971</v>
      </c>
      <c r="F299" s="346" t="s">
        <v>2972</v>
      </c>
      <c r="G299" s="346" t="s">
        <v>764</v>
      </c>
      <c r="H299" s="346" t="s">
        <v>2973</v>
      </c>
      <c r="I299" s="347" t="s">
        <v>2967</v>
      </c>
      <c r="J299" t="str">
        <f>IFERROR(__xludf.DUMMYFUNCTION("IFERROR(
    ARRAYFORMULA(
        JOIN(
            CHAR(10) &amp; CHAR(10),
            ""Comment: "" &amp; FILTER(
                'Scores Import DO NOT EDIT'!N:N, 
                'Scores Import DO NOT EDIT'!D:D = A299
            )
        )
    ), 
    ""No"&amp;" comments yet""
)
"),"Comment: One of the clearest and interesting topics I visited today. The speaker was engaging and aware of the acronyms used so it did not feel like I had to keep interrupting to ask for clarification. While there were two different models, it was clear h"&amp;"ow they intertwined speaker was able to expand on the limits of both. Overall poster was clean, but my eyes gravitated to the images and the descriptions were not as clear unless you were following the speaker. Very impressed with the implications of what"&amp;" this means to potential HIV treatments especially the effects given accessibility to drugs/treatments that are not as available in other countries.
Comment: 
Comment: 
Comment: A really impressive presentation, especially to an ""outsider"" in the fie"&amp;"ld who learned  a fair amount about viral reservoirs through interaction with the Presenter!  The oral skills of the Presenter were evident and assisted in getting across the main points of the poster itself.  The work is quite interesting, and certainly "&amp;"seems significant as the lack of cure for HIV remains a longstanding problem.  One area I might suggest to look into a bit more is the background of the field -- what has been done before, and where precisely this new modeling work pushes that boundary?")</f>
        <v>Comment: One of the clearest and interesting topics I visited today. The speaker was engaging and aware of the acronyms used so it did not feel like I had to keep interrupting to ask for clarification. While there were two different models, it was clear how they intertwined speaker was able to expand on the limits of both. Overall poster was clean, but my eyes gravitated to the images and the descriptions were not as clear unless you were following the speaker. Very impressed with the implications of what this means to potential HIV treatments especially the effects given accessibility to drugs/treatments that are not as available in other countries.
Comment: 
Comment: 
Comment: A really impressive presentation, especially to an "outsider" in the field who learned  a fair amount about viral reservoirs through interaction with the Presenter!  The oral skills of the Presenter were evident and assisted in getting across the main points of the poster itself.  The work is quite interesting, and certainly seems significant as the lack of cure for HIV remains a longstanding problem.  One area I might suggest to look into a bit more is the background of the field -- what has been done before, and where precisely this new modeling work pushes that boundary?</v>
      </c>
      <c r="K299" t="s">
        <v>5163</v>
      </c>
    </row>
    <row r="300">
      <c r="A300" s="345">
        <v>391.0</v>
      </c>
      <c r="B300" s="346" t="s">
        <v>2974</v>
      </c>
      <c r="C300" s="346" t="s">
        <v>2975</v>
      </c>
      <c r="D300" s="346" t="s">
        <v>2977</v>
      </c>
      <c r="E300" s="346" t="s">
        <v>1433</v>
      </c>
      <c r="F300" s="346" t="s">
        <v>2979</v>
      </c>
      <c r="G300" s="346" t="s">
        <v>764</v>
      </c>
      <c r="H300" s="346" t="s">
        <v>2980</v>
      </c>
      <c r="I300" s="347" t="s">
        <v>2976</v>
      </c>
      <c r="J300" t="str">
        <f>IFERROR(__xludf.DUMMYFUNCTION("IFERROR(
    ARRAYFORMULA(
        JOIN(
            CHAR(10) &amp; CHAR(10),
            ""Comment: "" &amp; FILTER(
                'Scores Import DO NOT EDIT'!N:N, 
                'Scores Import DO NOT EDIT'!D:D = A300
            )
        )
    ), 
    ""No"&amp;" comments yet""
)
"),"Comment: Excellent interaction with the audience
Comment: 
Comment: Speaker gave very in-depth description of what a protostar is which established the bounds of the presentation. Very knowledgeable and able to translate into digestible jargon especiall"&amp;"y when asked for clarification. While the graphs looked simple to understand as there was not so much “noise” on it, it gave the impression of being oversimplified.
Comment: Well done poster presentation and oral interaction for a 1st-year Master's stude"&amp;"nt just starting work in a complex field.   Impressively pushing the limits of a computer code that wasn't specifically designed for the work the Presenter is attempting to carry out.  Presenter was clearly able to articulate thoughts well, despite some a"&amp;"pparent nerves (understandable!); one area to dig a bit more on is the background of the field (what has been done theoretically and observationally) to set the context of the current work.  To be sure, this is all in the very early stages of the Presente"&amp;"r's graduate work, and impressive to be presenting so early on.  I look forward to checking in again in a year!")</f>
        <v>Comment: Excellent interaction with the audience
Comment: 
Comment: Speaker gave very in-depth description of what a protostar is which established the bounds of the presentation. Very knowledgeable and able to translate into digestible jargon especially when asked for clarification. While the graphs looked simple to understand as there was not so much “noise” on it, it gave the impression of being oversimplified.
Comment: Well done poster presentation and oral interaction for a 1st-year Master's student just starting work in a complex field.   Impressively pushing the limits of a computer code that wasn't specifically designed for the work the Presenter is attempting to carry out.  Presenter was clearly able to articulate thoughts well, despite some apparent nerves (understandable!); one area to dig a bit more on is the background of the field (what has been done theoretically and observationally) to set the context of the current work.  To be sure, this is all in the very early stages of the Presenter's graduate work, and impressive to be presenting so early on.  I look forward to checking in again in a year!</v>
      </c>
      <c r="K300" t="s">
        <v>5164</v>
      </c>
    </row>
    <row r="301">
      <c r="A301" s="345">
        <v>392.0</v>
      </c>
      <c r="B301" s="346" t="s">
        <v>1723</v>
      </c>
      <c r="C301" s="346" t="s">
        <v>2981</v>
      </c>
      <c r="D301" s="346" t="s">
        <v>2984</v>
      </c>
      <c r="E301" s="346" t="s">
        <v>2986</v>
      </c>
      <c r="F301" s="346" t="s">
        <v>2987</v>
      </c>
      <c r="G301" s="346" t="s">
        <v>764</v>
      </c>
      <c r="H301" s="346" t="s">
        <v>2988</v>
      </c>
      <c r="I301" s="347" t="s">
        <v>2982</v>
      </c>
      <c r="J301" t="str">
        <f>IFERROR(__xludf.DUMMYFUNCTION("IFERROR(
    ARRAYFORMULA(
        JOIN(
            CHAR(10) &amp; CHAR(10),
            ""Comment: "" &amp; FILTER(
                'Scores Import DO NOT EDIT'!N:N, 
                'Scores Import DO NOT EDIT'!D:D = A301
            )
        )
    ), 
    ""No"&amp;" comments yet""
)
"),"No comments yet")</f>
        <v>No comments yet</v>
      </c>
      <c r="K301" t="s">
        <v>4820</v>
      </c>
    </row>
    <row r="302">
      <c r="A302" s="349">
        <v>393.0</v>
      </c>
      <c r="B302" s="346" t="s">
        <v>2553</v>
      </c>
      <c r="C302" s="346" t="s">
        <v>2990</v>
      </c>
      <c r="D302" s="346" t="s">
        <v>2993</v>
      </c>
      <c r="E302" s="346" t="s">
        <v>5165</v>
      </c>
      <c r="F302" s="346" t="s">
        <v>5166</v>
      </c>
      <c r="G302" s="346" t="s">
        <v>753</v>
      </c>
      <c r="H302" s="346" t="s">
        <v>3003</v>
      </c>
      <c r="I302" s="347" t="s">
        <v>2991</v>
      </c>
      <c r="J302" t="str">
        <f>IFERROR(__xludf.DUMMYFUNCTION("IFERROR(
    ARRAYFORMULA(
        JOIN(
            CHAR(10) &amp; CHAR(10),
            ""Comment: "" &amp; FILTER(
                'Scores Import DO NOT EDIT'!N:N, 
                'Scores Import DO NOT EDIT'!D:D = A302
            )
        )
    ), 
    ""No"&amp;" comments yet""
)
"),"No comments yet")</f>
        <v>No comments yet</v>
      </c>
      <c r="K302" t="s">
        <v>4820</v>
      </c>
    </row>
    <row r="303">
      <c r="A303" s="345">
        <v>394.0</v>
      </c>
      <c r="B303" s="346" t="s">
        <v>5167</v>
      </c>
      <c r="C303" s="346" t="s">
        <v>3005</v>
      </c>
      <c r="D303" s="346" t="s">
        <v>3008</v>
      </c>
      <c r="E303" s="346" t="s">
        <v>2462</v>
      </c>
      <c r="F303" s="346" t="s">
        <v>2463</v>
      </c>
      <c r="G303" s="346" t="s">
        <v>764</v>
      </c>
      <c r="H303" s="346" t="s">
        <v>2464</v>
      </c>
      <c r="I303" s="347" t="s">
        <v>3006</v>
      </c>
      <c r="J303" t="str">
        <f>IFERROR(__xludf.DUMMYFUNCTION("IFERROR(
    ARRAYFORMULA(
        JOIN(
            CHAR(10) &amp; CHAR(10),
            ""Comment: "" &amp; FILTER(
                'Scores Import DO NOT EDIT'!N:N, 
                'Scores Import DO NOT EDIT'!D:D = A303
            )
        )
    ), 
    ""No"&amp;" comments yet""
)
"),"Comment: The study design and the method seems clear. I wasn’t sure how much original the findings were. More discussion about the theoretical implications would be helpful. 
Comment: Very professional in presentation delivery! Encouraged to take more ti"&amp;"me describing methods including measures.")</f>
        <v>Comment: The study design and the method seems clear. I wasn’t sure how much original the findings were. More discussion about the theoretical implications would be helpful. 
Comment: Very professional in presentation delivery! Encouraged to take more time describing methods including measures.</v>
      </c>
      <c r="K303" t="s">
        <v>5168</v>
      </c>
    </row>
    <row r="304">
      <c r="A304" s="345">
        <v>395.0</v>
      </c>
      <c r="B304" s="346" t="s">
        <v>5169</v>
      </c>
      <c r="C304" s="346" t="s">
        <v>1169</v>
      </c>
      <c r="D304" s="346" t="s">
        <v>5170</v>
      </c>
      <c r="E304" s="346" t="s">
        <v>1848</v>
      </c>
      <c r="F304" s="346" t="s">
        <v>3282</v>
      </c>
      <c r="G304" s="346" t="s">
        <v>1457</v>
      </c>
      <c r="H304" s="346" t="s">
        <v>3016</v>
      </c>
      <c r="I304" s="347" t="s">
        <v>3011</v>
      </c>
      <c r="J304" t="str">
        <f>IFERROR(__xludf.DUMMYFUNCTION("IFERROR(
    ARRAYFORMULA(
        JOIN(
            CHAR(10) &amp; CHAR(10),
            ""Comment: "" &amp; FILTER(
                'Scores Import DO NOT EDIT'!N:N, 
                'Scores Import DO NOT EDIT'!D:D = A304
            )
        )
    ), 
    ""No"&amp;" comments yet""
)
"),"Comment: Great presentation! Encouraged to take more time to describe methods and participants.
Comment: The presenter was great delivering the research and interacting with the audiences. This study seems to be a good pilot study that requires additiona"&amp;"l experiment studies. The three themes were interesting and I suggest additional experiment studies based on the results.")</f>
        <v>Comment: Great presentation! Encouraged to take more time to describe methods and participants.
Comment: The presenter was great delivering the research and interacting with the audiences. This study seems to be a good pilot study that requires additional experiment studies. The three themes were interesting and I suggest additional experiment studies based on the results.</v>
      </c>
      <c r="K304" t="s">
        <v>5171</v>
      </c>
    </row>
    <row r="305">
      <c r="A305" s="345">
        <v>396.0</v>
      </c>
      <c r="B305" s="346" t="s">
        <v>3017</v>
      </c>
      <c r="C305" s="346" t="s">
        <v>3018</v>
      </c>
      <c r="D305" s="346" t="s">
        <v>3020</v>
      </c>
      <c r="E305" s="346" t="s">
        <v>2462</v>
      </c>
      <c r="F305" s="346" t="s">
        <v>2463</v>
      </c>
      <c r="G305" s="346" t="s">
        <v>764</v>
      </c>
      <c r="H305" s="346" t="s">
        <v>2464</v>
      </c>
      <c r="I305" s="347" t="s">
        <v>3019</v>
      </c>
      <c r="J305" t="str">
        <f>IFERROR(__xludf.DUMMYFUNCTION("IFERROR(
    ARRAYFORMULA(
        JOIN(
            CHAR(10) &amp; CHAR(10),
            ""Comment: "" &amp; FILTER(
                'Scores Import DO NOT EDIT'!N:N, 
                'Scores Import DO NOT EDIT'!D:D = A305
            )
        )
    ), 
    ""No"&amp;" comments yet""
)
"),"Comment: There were no presenters. The study seems well-designed.")</f>
        <v>Comment: There were no presenters. The study seems well-designed.</v>
      </c>
      <c r="K305" t="s">
        <v>5172</v>
      </c>
    </row>
    <row r="306">
      <c r="A306" s="345">
        <v>397.0</v>
      </c>
      <c r="B306" s="346" t="s">
        <v>5173</v>
      </c>
      <c r="C306" s="346" t="s">
        <v>3024</v>
      </c>
      <c r="D306" s="346" t="s">
        <v>3027</v>
      </c>
      <c r="E306" s="346" t="s">
        <v>2462</v>
      </c>
      <c r="F306" s="346" t="s">
        <v>2463</v>
      </c>
      <c r="G306" s="346" t="s">
        <v>764</v>
      </c>
      <c r="H306" s="346" t="s">
        <v>2464</v>
      </c>
      <c r="I306" s="347" t="s">
        <v>3025</v>
      </c>
      <c r="J306" t="str">
        <f>IFERROR(__xludf.DUMMYFUNCTION("IFERROR(
    ARRAYFORMULA(
        JOIN(
            CHAR(10) &amp; CHAR(10),
            ""Comment: "" &amp; FILTER(
                'Scores Import DO NOT EDIT'!N:N, 
                'Scores Import DO NOT EDIT'!D:D = A306
            )
        )
    ), 
    ""No"&amp;" comments yet""
)
"),"Comment: Excellent presentation!
Comment: The results were unexpected but the presenter explained well about the potential factors. Future studies with these factors would be meaningful.")</f>
        <v>Comment: Excellent presentation!
Comment: The results were unexpected but the presenter explained well about the potential factors. Future studies with these factors would be meaningful.</v>
      </c>
      <c r="K306" t="s">
        <v>5174</v>
      </c>
    </row>
    <row r="307">
      <c r="A307" s="345">
        <v>398.0</v>
      </c>
      <c r="B307" s="346" t="s">
        <v>3029</v>
      </c>
      <c r="C307" s="346" t="s">
        <v>3030</v>
      </c>
      <c r="D307" s="346" t="s">
        <v>3033</v>
      </c>
      <c r="E307" s="346" t="s">
        <v>1235</v>
      </c>
      <c r="F307" s="346" t="s">
        <v>3035</v>
      </c>
      <c r="G307" s="346" t="s">
        <v>1457</v>
      </c>
      <c r="H307" s="346" t="s">
        <v>3036</v>
      </c>
      <c r="I307" s="347" t="s">
        <v>3031</v>
      </c>
      <c r="J307" t="str">
        <f>IFERROR(__xludf.DUMMYFUNCTION("IFERROR(
    ARRAYFORMULA(
        JOIN(
            CHAR(10) &amp; CHAR(10),
            ""Comment: "" &amp; FILTER(
                'Scores Import DO NOT EDIT'!N:N, 
                'Scores Import DO NOT EDIT'!D:D = A307
            )
        )
    ), 
    ""No"&amp;" comments yet""
)
"),"Comment: The study includes only insignificant results, lacking implications or originality of the study. The study design and the methods were solid.
Comment: Well presented. Student encouraged to take more time describing study methods.")</f>
        <v>Comment: The study includes only insignificant results, lacking implications or originality of the study. The study design and the methods were solid.
Comment: Well presented. Student encouraged to take more time describing study methods.</v>
      </c>
      <c r="K307" t="s">
        <v>5175</v>
      </c>
    </row>
    <row r="308">
      <c r="A308" s="345">
        <v>399.0</v>
      </c>
      <c r="B308" s="346" t="s">
        <v>5176</v>
      </c>
      <c r="C308" s="346" t="s">
        <v>3038</v>
      </c>
      <c r="D308" s="346" t="s">
        <v>5177</v>
      </c>
      <c r="E308" s="346" t="s">
        <v>884</v>
      </c>
      <c r="F308" s="346" t="s">
        <v>885</v>
      </c>
      <c r="G308" s="346" t="s">
        <v>764</v>
      </c>
      <c r="H308" s="346" t="s">
        <v>886</v>
      </c>
      <c r="I308" s="347" t="s">
        <v>3039</v>
      </c>
      <c r="J308" t="str">
        <f>IFERROR(__xludf.DUMMYFUNCTION("IFERROR(
    ARRAYFORMULA(
        JOIN(
            CHAR(10) &amp; CHAR(10),
            ""Comment: "" &amp; FILTER(
                'Scores Import DO NOT EDIT'!N:N, 
                'Scores Import DO NOT EDIT'!D:D = A308
            )
        )
    ), 
    ""No"&amp;" comments yet""
)
"),"Comment: Great job with Q&amp;A! 
Comment: The study was well-design and the methods was solid. The findings were very interesting. I would love to see if there's any difference between zoom participants and in-person participants. ")</f>
        <v>Comment: Great job with Q&amp;A! 
Comment: The study was well-design and the methods was solid. The findings were very interesting. I would love to see if there's any difference between zoom participants and in-person participants. </v>
      </c>
      <c r="K308" t="s">
        <v>5178</v>
      </c>
    </row>
    <row r="309">
      <c r="A309" s="345">
        <v>400.0</v>
      </c>
      <c r="B309" s="346" t="s">
        <v>3044</v>
      </c>
      <c r="C309" s="346" t="s">
        <v>3045</v>
      </c>
      <c r="D309" s="346" t="s">
        <v>3048</v>
      </c>
      <c r="E309" s="346" t="s">
        <v>869</v>
      </c>
      <c r="F309" s="346" t="s">
        <v>3843</v>
      </c>
      <c r="G309" s="346" t="s">
        <v>764</v>
      </c>
      <c r="H309" s="346" t="s">
        <v>3052</v>
      </c>
      <c r="I309" s="347" t="s">
        <v>3046</v>
      </c>
      <c r="J309" t="str">
        <f>IFERROR(__xludf.DUMMYFUNCTION("IFERROR(
    ARRAYFORMULA(
        JOIN(
            CHAR(10) &amp; CHAR(10),
            ""Comment: "" &amp; FILTER(
                'Scores Import DO NOT EDIT'!N:N, 
                'Scores Import DO NOT EDIT'!D:D = A309
            )
        )
    ), 
    ""No"&amp;" comments yet""
)
"),"Comment: Great job with talking through the poster and showed a grasp on the material and literature and was able to speak to the limitations of the data. 
Comment: The data she is presenting is from 2016, so I suggested her to carry out future research "&amp;"showing the newst data and contrasting to this.
Comment: This was great research. Nice job on presenting it in an understandable way. You have good command of the findings and it seems you also can see the future potential and avenues for additional rese"&amp;"arch. It seems you also understand the limitations of the current data set and have ideas for how to overcome that in the future.  Thank you for caring and for doing a nice job! I hope the research experience was fulfilling. Good luck in your future caree"&amp;"r. 
Comment: ")</f>
        <v>Comment: Great job with talking through the poster and showed a grasp on the material and literature and was able to speak to the limitations of the data. 
Comment: The data she is presenting is from 2016, so I suggested her to carry out future research showing the newst data and contrasting to this.
Comment: This was great research. Nice job on presenting it in an understandable way. You have good command of the findings and it seems you also can see the future potential and avenues for additional research. It seems you also understand the limitations of the current data set and have ideas for how to overcome that in the future.  Thank you for caring and for doing a nice job! I hope the research experience was fulfilling. Good luck in your future career. 
Comment: </v>
      </c>
      <c r="K309" t="s">
        <v>5179</v>
      </c>
    </row>
    <row r="310">
      <c r="A310" s="345">
        <v>401.0</v>
      </c>
      <c r="B310" s="346" t="s">
        <v>3053</v>
      </c>
      <c r="C310" s="346" t="s">
        <v>3054</v>
      </c>
      <c r="D310" s="346" t="s">
        <v>3057</v>
      </c>
      <c r="E310" s="346" t="s">
        <v>3059</v>
      </c>
      <c r="F310" s="346" t="s">
        <v>3060</v>
      </c>
      <c r="G310" s="346" t="s">
        <v>764</v>
      </c>
      <c r="H310" s="346" t="s">
        <v>3052</v>
      </c>
      <c r="I310" s="347" t="s">
        <v>3055</v>
      </c>
      <c r="J310" t="str">
        <f>IFERROR(__xludf.DUMMYFUNCTION("IFERROR(
    ARRAYFORMULA(
        JOIN(
            CHAR(10) &amp; CHAR(10),
            ""Comment: "" &amp; FILTER(
                'Scores Import DO NOT EDIT'!N:N, 
                'Scores Import DO NOT EDIT'!D:D = A310
            )
        )
    ), 
    ""No"&amp;" comments yet""
)
"),"Comment: Interesting presentation and was able to speak on the lack of results and what relationships they were hoping to find. Operationalizing social support more could have been helpful. 
Comment: She understands her research and her objectives.  Her "&amp;"explanation was smooth and straightforward 
Comment: Presenter was exceptional. However, I was a bit confused with the data was collected in 2016-2017 rather than at an earlier year. Presenter seemed to be rehearsing a script and did not understand what "&amp;"the next steps with this data would be. ")</f>
        <v>Comment: Interesting presentation and was able to speak on the lack of results and what relationships they were hoping to find. Operationalizing social support more could have been helpful. 
Comment: She understands her research and her objectives.  Her explanation was smooth and straightforward 
Comment: Presenter was exceptional. However, I was a bit confused with the data was collected in 2016-2017 rather than at an earlier year. Presenter seemed to be rehearsing a script and did not understand what the next steps with this data would be. </v>
      </c>
      <c r="K310" t="s">
        <v>5180</v>
      </c>
    </row>
    <row r="311">
      <c r="A311" s="345">
        <v>402.0</v>
      </c>
      <c r="B311" s="346" t="s">
        <v>2480</v>
      </c>
      <c r="C311" s="346" t="s">
        <v>3061</v>
      </c>
      <c r="D311" s="346" t="s">
        <v>3063</v>
      </c>
      <c r="E311" s="346" t="s">
        <v>3066</v>
      </c>
      <c r="F311" s="346" t="s">
        <v>3067</v>
      </c>
      <c r="G311" s="346" t="s">
        <v>764</v>
      </c>
      <c r="H311" s="346" t="s">
        <v>3068</v>
      </c>
      <c r="I311" s="347" t="s">
        <v>3062</v>
      </c>
      <c r="J311" t="str">
        <f>IFERROR(__xludf.DUMMYFUNCTION("IFERROR(
    ARRAYFORMULA(
        JOIN(
            CHAR(10) &amp; CHAR(10),
            ""Comment: "" &amp; FILTER(
                'Scores Import DO NOT EDIT'!N:N, 
                'Scores Import DO NOT EDIT'!D:D = A311
            )
        )
    ), 
    ""No"&amp;" comments yet""
)
"),"Comment: Very knowledgeable about topic and methods used to answer the research question. Great job in communicating her findings and the importance of the work. 
Comment: The presenter is very interested in this research and her efforts are notable.  Sh"&amp;"e explained very clearly and well paced
Comment: This was cool research. Nice job on presenting it in an understandable way. You have good command of the findings and it seems you also can see the future potential and avenues for additional research. I l"&amp;"iked hearing your thoughts on how this research could be used to benefit relationships, counseling, etc. Thank you for caring and for doing a nice job! I hope the research experience was fulfilling. Good luck in your future career. 
Comment: ")</f>
        <v>Comment: Very knowledgeable about topic and methods used to answer the research question. Great job in communicating her findings and the importance of the work. 
Comment: The presenter is very interested in this research and her efforts are notable.  She explained very clearly and well paced
Comment: This was cool research. Nice job on presenting it in an understandable way. You have good command of the findings and it seems you also can see the future potential and avenues for additional research. I liked hearing your thoughts on how this research could be used to benefit relationships, counseling, etc. Thank you for caring and for doing a nice job! I hope the research experience was fulfilling. Good luck in your future career. 
Comment: </v>
      </c>
      <c r="K311" t="s">
        <v>5181</v>
      </c>
    </row>
    <row r="312">
      <c r="A312" s="345">
        <v>403.0</v>
      </c>
      <c r="B312" s="346" t="s">
        <v>869</v>
      </c>
      <c r="C312" s="346" t="s">
        <v>1116</v>
      </c>
      <c r="D312" s="346" t="s">
        <v>3071</v>
      </c>
      <c r="E312" s="346" t="s">
        <v>3074</v>
      </c>
      <c r="F312" s="346" t="s">
        <v>3075</v>
      </c>
      <c r="G312" s="346" t="s">
        <v>1457</v>
      </c>
      <c r="H312" s="346" t="s">
        <v>3076</v>
      </c>
      <c r="I312" s="347" t="s">
        <v>3069</v>
      </c>
      <c r="J312" t="str">
        <f>IFERROR(__xludf.DUMMYFUNCTION("IFERROR(
    ARRAYFORMULA(
        JOIN(
            CHAR(10) &amp; CHAR(10),
            ""Comment: "" &amp; FILTER(
                'Scores Import DO NOT EDIT'!N:N, 
                'Scores Import DO NOT EDIT'!D:D = A312
            )
        )
    ), 
    ""No"&amp;" comments yet""
)
"),"Comment: Good grasp on topic and acknowledge the limitations of the study. Great job with the methods and operationalizing their variables. 
Comment: This research can have a huge impact if the presenters keep it up and gather more information to support"&amp;" assumptions. Many latino children will benefit from it
Comment: There was a lot of reading from the poster. Would recommend looking at the audience more. 
Comment: This was great research. Nice job on presenting it in an understandable way. You have go"&amp;"od command of the findings and it seems you also can see the future potential and avenues for additional research. It seems you also understand the limitations of the current data set and have ideas for how to overcome that in the future. Thank you for ca"&amp;"ring and for doing a nice job! I hope the research experience was fulfilling. One piece of advice is to try to look at the person you’re presenting to, rather than to focus on the poster. It is a hard thing to do correctly….i still struggle sometimes, whe"&amp;"n lecturing. Trust your knowledge! :-) Good luck in your future career and enjoy!")</f>
        <v>Comment: Good grasp on topic and acknowledge the limitations of the study. Great job with the methods and operationalizing their variables. 
Comment: This research can have a huge impact if the presenters keep it up and gather more information to support assumptions. Many latino children will benefit from it
Comment: There was a lot of reading from the poster. Would recommend looking at the audience more. 
Comment: This was great research. Nice job on presenting it in an understandable way. You have good command of the findings and it seems you also can see the future potential and avenues for additional research. It seems you also understand the limitations of the current data set and have ideas for how to overcome that in the future. Thank you for caring and for doing a nice job! I hope the research experience was fulfilling. One piece of advice is to try to look at the person you’re presenting to, rather than to focus on the poster. It is a hard thing to do correctly….i still struggle sometimes, when lecturing. Trust your knowledge! :-) Good luck in your future career and enjoy!</v>
      </c>
      <c r="K312" t="s">
        <v>5182</v>
      </c>
    </row>
    <row r="313">
      <c r="A313" s="345">
        <v>404.0</v>
      </c>
      <c r="B313" s="346" t="s">
        <v>3077</v>
      </c>
      <c r="C313" s="346" t="s">
        <v>3078</v>
      </c>
      <c r="D313" s="346" t="s">
        <v>3081</v>
      </c>
      <c r="E313" s="346" t="s">
        <v>3083</v>
      </c>
      <c r="F313" s="346" t="s">
        <v>3084</v>
      </c>
      <c r="G313" s="346" t="s">
        <v>784</v>
      </c>
      <c r="H313" s="346" t="s">
        <v>3085</v>
      </c>
      <c r="I313" s="347" t="s">
        <v>3079</v>
      </c>
      <c r="J313" t="str">
        <f>IFERROR(__xludf.DUMMYFUNCTION("IFERROR(
    ARRAYFORMULA(
        JOIN(
            CHAR(10) &amp; CHAR(10),
            ""Comment: "" &amp; FILTER(
                'Scores Import DO NOT EDIT'!N:N, 
                'Scores Import DO NOT EDIT'!D:D = A313
            )
        )
    ), 
    ""No"&amp;" comments yet""
)
"),"Comment: Very innovative idea and something new! The two presenters had a clear grasp on the topic and answered all questions thoroughly and in depth. Would love to see how they could use past research in other areas of the country to inform future findin"&amp;"gs. 
Comment: This was great research. Nice job on presenting it in an understandable way. It is easy to see your passion for the project and you have a good feel for of the findings.  It seems you also can see the future potential and avenues for additi"&amp;"onal research. I fear (?) there are many examples of this and resulting stigma and further behaviors to be studied. Thanks for getting started on an important topic. Thank you for caring and for doing a nice job! I hope the research experience was fulfill"&amp;"ing. Good luck in your future career. 
Comment: Excellent poster and delivery of the content! My one suggestion is to lose the flashcards. You were very knowledgeable about the content on your poster, no need for flash cards. They were a bit distracting "&amp;"but not a deal breaker. 
Comment: Their research is very innovative and will benefit society if presented to the right audience.  They are very engaged en interested and the explanation was very digestible and clear")</f>
        <v>Comment: Very innovative idea and something new! The two presenters had a clear grasp on the topic and answered all questions thoroughly and in depth. Would love to see how they could use past research in other areas of the country to inform future findings. 
Comment: This was great research. Nice job on presenting it in an understandable way. It is easy to see your passion for the project and you have a good feel for of the findings.  It seems you also can see the future potential and avenues for additional research. I fear (?) there are many examples of this and resulting stigma and further behaviors to be studied. Thanks for getting started on an important topic. Thank you for caring and for doing a nice job! I hope the research experience was fulfilling. Good luck in your future career. 
Comment: Excellent poster and delivery of the content! My one suggestion is to lose the flashcards. You were very knowledgeable about the content on your poster, no need for flash cards. They were a bit distracting but not a deal breaker. 
Comment: Their research is very innovative and will benefit society if presented to the right audience.  They are very engaged en interested and the explanation was very digestible and clear</v>
      </c>
      <c r="K313" t="s">
        <v>5183</v>
      </c>
    </row>
    <row r="314">
      <c r="A314" s="345">
        <v>405.0</v>
      </c>
      <c r="B314" s="346" t="s">
        <v>3086</v>
      </c>
      <c r="C314" s="346" t="s">
        <v>916</v>
      </c>
      <c r="D314" s="346" t="s">
        <v>3089</v>
      </c>
      <c r="E314" s="346" t="s">
        <v>3091</v>
      </c>
      <c r="F314" s="346" t="s">
        <v>3092</v>
      </c>
      <c r="G314" s="346" t="s">
        <v>893</v>
      </c>
      <c r="H314" s="346" t="s">
        <v>1119</v>
      </c>
      <c r="I314" s="347" t="s">
        <v>3087</v>
      </c>
      <c r="J314" t="str">
        <f>IFERROR(__xludf.DUMMYFUNCTION("IFERROR(
    ARRAYFORMULA(
        JOIN(
            CHAR(10) &amp; CHAR(10),
            ""Comment: "" &amp; FILTER(
                'Scores Import DO NOT EDIT'!N:N, 
                'Scores Import DO NOT EDIT'!D:D = A314
            )
        )
    ), 
    ""No"&amp;" comments yet""
)
"),"Comment: Presenter was excited and passionate about the topic! Very knowledgeable and was able to speak to future directions and limitations. Had a strong grasp on the topic and lived experience that helped strengthen the presentation. 
Comment: She expl"&amp;"ained very clearly the research and looked highly interested in continuing working on it. 
Comment: 
Comment: This is such important research. Nice job on presenting it in very understandable way. I love the passion you have for the topic and it is grea"&amp;"t to hear your thoughts on how to further explore this. You have a solid understanding of the findings and it seems you also can see the future potential and avenues for additional research. Love that! Please keep exploring. Thank you for caring and for d"&amp;"oing a nice job! It seems the research experience was fulfilling. I urge you to reach out to that high school teacher and thank them. ;-) Good luck in your future career!!")</f>
        <v>Comment: Presenter was excited and passionate about the topic! Very knowledgeable and was able to speak to future directions and limitations. Had a strong grasp on the topic and lived experience that helped strengthen the presentation. 
Comment: She explained very clearly the research and looked highly interested in continuing working on it. 
Comment: 
Comment: This is such important research. Nice job on presenting it in very understandable way. I love the passion you have for the topic and it is great to hear your thoughts on how to further explore this. You have a solid understanding of the findings and it seems you also can see the future potential and avenues for additional research. Love that! Please keep exploring. Thank you for caring and for doing a nice job! It seems the research experience was fulfilling. I urge you to reach out to that high school teacher and thank them. ;-) Good luck in your future career!!</v>
      </c>
      <c r="K314" t="s">
        <v>5184</v>
      </c>
    </row>
    <row r="315">
      <c r="A315" s="345">
        <v>406.0</v>
      </c>
      <c r="B315" s="346" t="s">
        <v>3093</v>
      </c>
      <c r="C315" s="346" t="s">
        <v>3094</v>
      </c>
      <c r="D315" s="346" t="s">
        <v>3097</v>
      </c>
      <c r="E315" s="346" t="s">
        <v>3099</v>
      </c>
      <c r="F315" s="346" t="s">
        <v>1169</v>
      </c>
      <c r="G315" s="346" t="s">
        <v>764</v>
      </c>
      <c r="H315" s="346" t="s">
        <v>3100</v>
      </c>
      <c r="I315" s="347" t="s">
        <v>3095</v>
      </c>
      <c r="J315" t="str">
        <f>IFERROR(__xludf.DUMMYFUNCTION("IFERROR(
    ARRAYFORMULA(
        JOIN(
            CHAR(10) &amp; CHAR(10),
            ""Comment: "" &amp; FILTER(
                'Scores Import DO NOT EDIT'!N:N, 
                'Scores Import DO NOT EDIT'!D:D = A315
            )
        )
    ), 
    ""No"&amp;" comments yet""
)
"),"Comment: 
Comment: Interesting real world study of local water phenomenon impacts on marine species.  Students enthusiasm was clearly evident")</f>
        <v>Comment: 
Comment: Interesting real world study of local water phenomenon impacts on marine species.  Students enthusiasm was clearly evident</v>
      </c>
      <c r="K315" t="s">
        <v>5185</v>
      </c>
    </row>
    <row r="316">
      <c r="A316" s="345">
        <v>407.0</v>
      </c>
      <c r="B316" s="346" t="s">
        <v>1005</v>
      </c>
      <c r="C316" s="346" t="s">
        <v>3101</v>
      </c>
      <c r="D316" s="346" t="s">
        <v>3104</v>
      </c>
      <c r="E316" s="346" t="s">
        <v>2580</v>
      </c>
      <c r="F316" s="346" t="s">
        <v>2581</v>
      </c>
      <c r="G316" s="346" t="s">
        <v>764</v>
      </c>
      <c r="H316" s="346" t="s">
        <v>2582</v>
      </c>
      <c r="I316" s="347" t="s">
        <v>3102</v>
      </c>
      <c r="J316" t="str">
        <f>IFERROR(__xludf.DUMMYFUNCTION("IFERROR(
    ARRAYFORMULA(
        JOIN(
            CHAR(10) &amp; CHAR(10),
            ""Comment: "" &amp; FILTER(
                'Scores Import DO NOT EDIT'!N:N, 
                'Scores Import DO NOT EDIT'!D:D = A316
            )
        )
    ), 
    ""No"&amp;" comments yet""
)
"),"Comment: 
Comment: Great enthusiasm for the project was clearly evident.  Ability to draw significance of some of the measures may have been in impacted by Small sample size ")</f>
        <v>Comment: 
Comment: Great enthusiasm for the project was clearly evident.  Ability to draw significance of some of the measures may have been in impacted by Small sample size </v>
      </c>
      <c r="K316" t="s">
        <v>5186</v>
      </c>
    </row>
    <row r="317">
      <c r="A317" s="345">
        <v>408.0</v>
      </c>
      <c r="B317" s="346" t="s">
        <v>1549</v>
      </c>
      <c r="C317" s="346" t="s">
        <v>2739</v>
      </c>
      <c r="D317" s="346" t="s">
        <v>5131</v>
      </c>
      <c r="E317" s="346" t="s">
        <v>2743</v>
      </c>
      <c r="F317" s="346" t="s">
        <v>2744</v>
      </c>
      <c r="G317" s="346" t="s">
        <v>764</v>
      </c>
      <c r="H317" s="346" t="s">
        <v>2745</v>
      </c>
      <c r="I317" s="347" t="s">
        <v>2740</v>
      </c>
      <c r="J317" t="str">
        <f>IFERROR(__xludf.DUMMYFUNCTION("IFERROR(
    ARRAYFORMULA(
        JOIN(
            CHAR(10) &amp; CHAR(10),
            ""Comment: "" &amp; FILTER(
                'Scores Import DO NOT EDIT'!N:N, 
                'Scores Import DO NOT EDIT'!D:D = A317
            )
        )
    ), 
    ""No"&amp;" comments yet""
)
"),"Comment: 
Comment: Presenter was obviously enthusiastic about the research opportunity and project ")</f>
        <v>Comment: 
Comment: Presenter was obviously enthusiastic about the research opportunity and project </v>
      </c>
      <c r="K317" t="s">
        <v>5187</v>
      </c>
    </row>
    <row r="318">
      <c r="A318" s="345">
        <v>409.0</v>
      </c>
      <c r="B318" s="346" t="s">
        <v>3106</v>
      </c>
      <c r="C318" s="346" t="s">
        <v>3107</v>
      </c>
      <c r="D318" s="346" t="s">
        <v>3110</v>
      </c>
      <c r="E318" s="346" t="s">
        <v>2580</v>
      </c>
      <c r="F318" s="346" t="s">
        <v>955</v>
      </c>
      <c r="G318" s="346" t="s">
        <v>764</v>
      </c>
      <c r="H318" s="346" t="s">
        <v>956</v>
      </c>
      <c r="I318" s="347" t="s">
        <v>3108</v>
      </c>
      <c r="J318" t="str">
        <f>IFERROR(__xludf.DUMMYFUNCTION("IFERROR(
    ARRAYFORMULA(
        JOIN(
            CHAR(10) &amp; CHAR(10),
            ""Comment: "" &amp; FILTER(
                'Scores Import DO NOT EDIT'!N:N, 
                'Scores Import DO NOT EDIT'!D:D = A318
            )
        )
    ), 
    ""No"&amp;" comments yet""
)
"),"Comment: 
Comment: Project is in its early stages but presenter did an exceptional job of discussing the science and potential future directions")</f>
        <v>Comment: 
Comment: Project is in its early stages but presenter did an exceptional job of discussing the science and potential future directions</v>
      </c>
      <c r="K318" t="s">
        <v>5188</v>
      </c>
    </row>
    <row r="319">
      <c r="A319" s="345">
        <v>410.0</v>
      </c>
      <c r="B319" s="346" t="s">
        <v>3112</v>
      </c>
      <c r="C319" s="346" t="s">
        <v>3113</v>
      </c>
      <c r="D319" s="346" t="s">
        <v>3116</v>
      </c>
      <c r="E319" s="346" t="s">
        <v>1549</v>
      </c>
      <c r="F319" s="346" t="s">
        <v>2572</v>
      </c>
      <c r="G319" s="346" t="s">
        <v>764</v>
      </c>
      <c r="H319" s="346" t="s">
        <v>2573</v>
      </c>
      <c r="I319" s="347" t="s">
        <v>3114</v>
      </c>
      <c r="J319" t="str">
        <f>IFERROR(__xludf.DUMMYFUNCTION("IFERROR(
    ARRAYFORMULA(
        JOIN(
            CHAR(10) &amp; CHAR(10),
            ""Comment: "" &amp; FILTER(
                'Scores Import DO NOT EDIT'!N:N, 
                'Scores Import DO NOT EDIT'!D:D = A319
            )
        )
    ), 
    ""No"&amp;" comments yet""
)
"),"Comment: 
Comment: Presenter was very enthusiastic about the research and presentation ")</f>
        <v>Comment: 
Comment: Presenter was very enthusiastic about the research and presentation </v>
      </c>
      <c r="K319" t="s">
        <v>5189</v>
      </c>
    </row>
    <row r="320">
      <c r="A320" s="345">
        <v>411.0</v>
      </c>
      <c r="B320" s="346" t="s">
        <v>3118</v>
      </c>
      <c r="C320" s="346" t="s">
        <v>3119</v>
      </c>
      <c r="D320" s="346" t="s">
        <v>3122</v>
      </c>
      <c r="E320" s="346" t="s">
        <v>1515</v>
      </c>
      <c r="F320" s="346" t="s">
        <v>1516</v>
      </c>
      <c r="G320" s="346" t="s">
        <v>764</v>
      </c>
      <c r="H320" s="346" t="s">
        <v>1517</v>
      </c>
      <c r="I320" s="347" t="s">
        <v>3120</v>
      </c>
      <c r="J320" t="str">
        <f>IFERROR(__xludf.DUMMYFUNCTION("IFERROR(
    ARRAYFORMULA(
        JOIN(
            CHAR(10) &amp; CHAR(10),
            ""Comment: "" &amp; FILTER(
                'Scores Import DO NOT EDIT'!N:N, 
                'Scores Import DO NOT EDIT'!D:D = A320
            )
        )
    ), 
    ""No"&amp;" comments yet""
)
"),"Comment: 
Comment: Unique and exciting field of study with high potential for future impacts.  Presenter did a great job of explaining a complex subject ")</f>
        <v>Comment: 
Comment: Unique and exciting field of study with high potential for future impacts.  Presenter did a great job of explaining a complex subject </v>
      </c>
      <c r="K320" t="s">
        <v>5190</v>
      </c>
    </row>
    <row r="321">
      <c r="A321" s="345">
        <v>412.0</v>
      </c>
      <c r="B321" s="346" t="s">
        <v>1005</v>
      </c>
      <c r="C321" s="346" t="s">
        <v>3124</v>
      </c>
      <c r="D321" s="346" t="s">
        <v>3127</v>
      </c>
      <c r="E321" s="346" t="s">
        <v>1608</v>
      </c>
      <c r="F321" s="346" t="s">
        <v>1609</v>
      </c>
      <c r="G321" s="346" t="s">
        <v>784</v>
      </c>
      <c r="H321" s="346" t="s">
        <v>1610</v>
      </c>
      <c r="I321" s="347" t="s">
        <v>3125</v>
      </c>
      <c r="J321" t="str">
        <f>IFERROR(__xludf.DUMMYFUNCTION("IFERROR(
    ARRAYFORMULA(
        JOIN(
            CHAR(10) &amp; CHAR(10),
            ""Comment: "" &amp; FILTER(
                'Scores Import DO NOT EDIT'!N:N, 
                'Scores Import DO NOT EDIT'!D:D = A321
            )
        )
    ), 
    ""No"&amp;" comments yet""
)
"),"Comment: 
Comment: Enthusiasm for an impactful study was evident.  Motivation to move research into impactful public policy was appreciated ")</f>
        <v>Comment: 
Comment: Enthusiasm for an impactful study was evident.  Motivation to move research into impactful public policy was appreciated </v>
      </c>
      <c r="K321" t="s">
        <v>5191</v>
      </c>
    </row>
    <row r="322">
      <c r="A322" s="345">
        <v>413.0</v>
      </c>
      <c r="B322" s="346" t="s">
        <v>3129</v>
      </c>
      <c r="C322" s="346" t="s">
        <v>3130</v>
      </c>
      <c r="D322" s="346" t="s">
        <v>3133</v>
      </c>
      <c r="E322" s="346" t="s">
        <v>1799</v>
      </c>
      <c r="F322" s="346" t="s">
        <v>3135</v>
      </c>
      <c r="G322" s="346" t="s">
        <v>764</v>
      </c>
      <c r="H322" s="346" t="s">
        <v>3136</v>
      </c>
      <c r="I322" s="347" t="s">
        <v>3131</v>
      </c>
      <c r="J322" t="str">
        <f>IFERROR(__xludf.DUMMYFUNCTION("IFERROR(
    ARRAYFORMULA(
        JOIN(
            CHAR(10) &amp; CHAR(10),
            ""Comment: "" &amp; FILTER(
                'Scores Import DO NOT EDIT'!N:N, 
                'Scores Import DO NOT EDIT'!D:D = A322
            )
        )
    ), 
    ""No"&amp;" comments yet""
)
"),"Comment: 
Comment: Enthusiasm and interaction with audience was exceptional.  Presentation of a complex experiment was very well done")</f>
        <v>Comment: 
Comment: Enthusiasm and interaction with audience was exceptional.  Presentation of a complex experiment was very well done</v>
      </c>
      <c r="K322" t="s">
        <v>5192</v>
      </c>
    </row>
    <row r="323">
      <c r="A323" s="345">
        <v>414.0</v>
      </c>
      <c r="B323" s="346" t="s">
        <v>3137</v>
      </c>
      <c r="C323" s="346" t="s">
        <v>3138</v>
      </c>
      <c r="D323" s="346" t="s">
        <v>3141</v>
      </c>
      <c r="E323" s="346" t="s">
        <v>5193</v>
      </c>
      <c r="F323" s="346" t="s">
        <v>3144</v>
      </c>
      <c r="G323" s="346" t="s">
        <v>773</v>
      </c>
      <c r="H323" s="346" t="s">
        <v>3145</v>
      </c>
      <c r="I323" s="347" t="s">
        <v>3139</v>
      </c>
      <c r="J323" t="str">
        <f>IFERROR(__xludf.DUMMYFUNCTION("IFERROR(
    ARRAYFORMULA(
        JOIN(
            CHAR(10) &amp; CHAR(10),
            ""Comment: "" &amp; FILTER(
                'Scores Import DO NOT EDIT'!N:N, 
                'Scores Import DO NOT EDIT'!D:D = A323
            )
        )
    ), 
    ""No"&amp;" comments yet""
)
"),"No comments yet")</f>
        <v>No comments yet</v>
      </c>
      <c r="K323" t="s">
        <v>4820</v>
      </c>
    </row>
    <row r="324">
      <c r="A324" s="345">
        <v>415.0</v>
      </c>
      <c r="B324" s="346" t="s">
        <v>3146</v>
      </c>
      <c r="C324" s="346" t="s">
        <v>3147</v>
      </c>
      <c r="D324" s="346" t="s">
        <v>3149</v>
      </c>
      <c r="E324" s="346" t="s">
        <v>2350</v>
      </c>
      <c r="F324" s="346" t="s">
        <v>2351</v>
      </c>
      <c r="G324" s="346" t="s">
        <v>764</v>
      </c>
      <c r="H324" s="346" t="s">
        <v>2352</v>
      </c>
      <c r="I324" s="347" t="s">
        <v>3148</v>
      </c>
      <c r="J324" t="str">
        <f>IFERROR(__xludf.DUMMYFUNCTION("IFERROR(
    ARRAYFORMULA(
        JOIN(
            CHAR(10) &amp; CHAR(10),
            ""Comment: "" &amp; FILTER(
                'Scores Import DO NOT EDIT'!N:N, 
                'Scores Import DO NOT EDIT'!D:D = A324
            )
        )
    ), 
    ""No"&amp;" comments yet""
)
"),"Comment: The presenter did an excellent job, explaining her project and the usefulness of the research on student learning. She was very knowledgeable about the process and outcomes. She answered questions confidently. The poster itself was well organized"&amp;" and showed the significant parts of the project. She may have benefited by including a few more details on the methodology, but overall super job 
Comment: 
Comment: Interesting approach to revising the introductory courses and hopefully implemented at"&amp;" SDSU given the impact it could have for later classes. 
Comment: Presenter did a great job explaining the research, methods and next steps. I would have liked to have seen a visual representation on how each of the 27 questions were-  replaced, rewritte"&amp;"n, or modified, to have better clarity on the impact this analysis had on the overall structure of the assessment. ")</f>
        <v>Comment: The presenter did an excellent job, explaining her project and the usefulness of the research on student learning. She was very knowledgeable about the process and outcomes. She answered questions confidently. The poster itself was well organized and showed the significant parts of the project. She may have benefited by including a few more details on the methodology, but overall super job 
Comment: 
Comment: Interesting approach to revising the introductory courses and hopefully implemented at SDSU given the impact it could have for later classes. 
Comment: Presenter did a great job explaining the research, methods and next steps. I would have liked to have seen a visual representation on how each of the 27 questions were-  replaced, rewritten, or modified, to have better clarity on the impact this analysis had on the overall structure of the assessment. </v>
      </c>
      <c r="K324" t="s">
        <v>5194</v>
      </c>
    </row>
    <row r="325">
      <c r="A325" s="345">
        <v>416.0</v>
      </c>
      <c r="B325" s="346" t="s">
        <v>3151</v>
      </c>
      <c r="C325" s="346" t="s">
        <v>768</v>
      </c>
      <c r="D325" s="346" t="s">
        <v>3154</v>
      </c>
      <c r="E325" s="346" t="s">
        <v>2986</v>
      </c>
      <c r="F325" s="346" t="s">
        <v>3156</v>
      </c>
      <c r="G325" s="346" t="s">
        <v>773</v>
      </c>
      <c r="H325" s="346" t="s">
        <v>2673</v>
      </c>
      <c r="I325" s="347" t="s">
        <v>3152</v>
      </c>
      <c r="J325" t="str">
        <f>IFERROR(__xludf.DUMMYFUNCTION("IFERROR(
    ARRAYFORMULA(
        JOIN(
            CHAR(10) &amp; CHAR(10),
            ""Comment: "" &amp; FILTER(
                'Scores Import DO NOT EDIT'!N:N, 
                'Scores Import DO NOT EDIT'!D:D = A325
            )
        )
    ), 
    ""No"&amp;" comments yet""
)
"),"Comment: Information was presented clearly. High-level of enthusiasm. Very knowledgeable about the subject area. Was able to answer all of my questions. maybe needs more clarity on the inputs for the AI model. Great project!
Comment: Interesting experime"&amp;"nt to determine the accurate parameters for the printing process. Looks like a lot of effort was put in. 
Comment: 
Comment: The presenter did a great job of explaining what they found and the new method of keep consistent temperature in the bed, I thou"&amp;"ght the new heating element and the work that took could have been better highlighted on the paper instead of including the abstract. I really liked that the presenter focused on multidisciplinary collaboration as key takeaway. ")</f>
        <v>Comment: Information was presented clearly. High-level of enthusiasm. Very knowledgeable about the subject area. Was able to answer all of my questions. maybe needs more clarity on the inputs for the AI model. Great project!
Comment: Interesting experiment to determine the accurate parameters for the printing process. Looks like a lot of effort was put in. 
Comment: 
Comment: The presenter did a great job of explaining what they found and the new method of keep consistent temperature in the bed, I thought the new heating element and the work that took could have been better highlighted on the paper instead of including the abstract. I really liked that the presenter focused on multidisciplinary collaboration as key takeaway. </v>
      </c>
      <c r="K325" t="s">
        <v>5195</v>
      </c>
    </row>
    <row r="326">
      <c r="A326" s="345">
        <v>417.0</v>
      </c>
      <c r="B326" s="346" t="s">
        <v>1335</v>
      </c>
      <c r="C326" s="346" t="s">
        <v>3157</v>
      </c>
      <c r="D326" s="346" t="s">
        <v>3160</v>
      </c>
      <c r="E326" s="346" t="s">
        <v>2611</v>
      </c>
      <c r="F326" s="346" t="s">
        <v>2612</v>
      </c>
      <c r="G326" s="346" t="s">
        <v>773</v>
      </c>
      <c r="H326" s="346" t="s">
        <v>2613</v>
      </c>
      <c r="I326" s="347" t="s">
        <v>3158</v>
      </c>
      <c r="J326" t="str">
        <f>IFERROR(__xludf.DUMMYFUNCTION("IFERROR(
    ARRAYFORMULA(
        JOIN(
            CHAR(10) &amp; CHAR(10),
            ""Comment: "" &amp; FILTER(
                'Scores Import DO NOT EDIT'!N:N, 
                'Scores Import DO NOT EDIT'!D:D = A326
            )
        )
    ), 
    ""No"&amp;" comments yet""
)
"),"Comment: 
Comment: Incredible presentation. The presenter was extremely enthusiastic and knowledgeable. The impact of this research was well demonstrated and impactful. Future directions are laid out, and the practical application of this research is ver"&amp;"y evident. The poster itself was engaging and informative. Overall an excellent research project and presentation. Amazing job.
Comment: Interesting project and well presented across all the information in the poster. Nice work!
Comment: The presenter w"&amp;"as well versed in the experiment design and outcomes and could speak about every aspect of the project including building the acoustic and thermal testing equipment, which was a highlight. I would have liked a little more on potential next steps now that "&amp;"it was determined that mechanical process improved with percentage but thermal and acoustic did not. ")</f>
        <v>Comment: 
Comment: Incredible presentation. The presenter was extremely enthusiastic and knowledgeable. The impact of this research was well demonstrated and impactful. Future directions are laid out, and the practical application of this research is very evident. The poster itself was engaging and informative. Overall an excellent research project and presentation. Amazing job.
Comment: Interesting project and well presented across all the information in the poster. Nice work!
Comment: The presenter was well versed in the experiment design and outcomes and could speak about every aspect of the project including building the acoustic and thermal testing equipment, which was a highlight. I would have liked a little more on potential next steps now that it was determined that mechanical process improved with percentage but thermal and acoustic did not. </v>
      </c>
      <c r="K326" t="s">
        <v>5196</v>
      </c>
    </row>
    <row r="327">
      <c r="A327" s="345">
        <v>418.0</v>
      </c>
      <c r="B327" s="346" t="s">
        <v>3162</v>
      </c>
      <c r="C327" s="346" t="s">
        <v>3163</v>
      </c>
      <c r="D327" s="346" t="s">
        <v>3165</v>
      </c>
      <c r="E327" s="346" t="s">
        <v>912</v>
      </c>
      <c r="F327" s="346" t="s">
        <v>2650</v>
      </c>
      <c r="G327" s="346" t="s">
        <v>773</v>
      </c>
      <c r="H327" s="346" t="s">
        <v>2651</v>
      </c>
      <c r="I327" s="347" t="s">
        <v>3164</v>
      </c>
      <c r="J327" t="str">
        <f>IFERROR(__xludf.DUMMYFUNCTION("IFERROR(
    ARRAYFORMULA(
        JOIN(
            CHAR(10) &amp; CHAR(10),
            ""Comment: "" &amp; FILTER(
                'Scores Import DO NOT EDIT'!N:N, 
                'Scores Import DO NOT EDIT'!D:D = A327
            )
        )
    ), 
    ""No"&amp;" comments yet""
)
"),"Comment: Interesting work with a lot of information. The use of ML to gather more information on the subject was fascinating.
Comment: 
Comment: The presenters were very engaging and did a great job of exposing their roles and what they did in the proje"&amp;"ct. The poster was a bit busy and could have used more images and key points rather than full sentences, but they presenters made up for that with verbal highlights. I would have liked to have seen more detail on next steps and insights on the poster as t"&amp;"hose were sort of lost in small space at the bottom, but again presenters did a better job at verbally explaining that. 
Comment: The presenters were very knowledgeable. They were very enthusiastic and answered questions thoroughly. The topic was interes"&amp;"ting, and they were able to explain in layperson‘s terms, some of the technical aspects of their work. They demonstrated the applicability of their work, although that part could’ve been a bit more evident. Excellent work! ")</f>
        <v>Comment: Interesting work with a lot of information. The use of ML to gather more information on the subject was fascinating.
Comment: 
Comment: The presenters were very engaging and did a great job of exposing their roles and what they did in the project. The poster was a bit busy and could have used more images and key points rather than full sentences, but they presenters made up for that with verbal highlights. I would have liked to have seen more detail on next steps and insights on the poster as those were sort of lost in small space at the bottom, but again presenters did a better job at verbally explaining that. 
Comment: The presenters were very knowledgeable. They were very enthusiastic and answered questions thoroughly. The topic was interesting, and they were able to explain in layperson‘s terms, some of the technical aspects of their work. They demonstrated the applicability of their work, although that part could’ve been a bit more evident. Excellent work! </v>
      </c>
      <c r="K327" t="s">
        <v>5197</v>
      </c>
    </row>
    <row r="328">
      <c r="A328" s="349">
        <v>419.0</v>
      </c>
      <c r="B328" s="346" t="s">
        <v>3167</v>
      </c>
      <c r="C328" s="346" t="s">
        <v>3168</v>
      </c>
      <c r="D328" s="346" t="s">
        <v>3170</v>
      </c>
      <c r="E328" s="346" t="s">
        <v>912</v>
      </c>
      <c r="F328" s="346" t="s">
        <v>2650</v>
      </c>
      <c r="G328" s="346" t="s">
        <v>773</v>
      </c>
      <c r="H328" s="346" t="s">
        <v>2651</v>
      </c>
      <c r="I328" s="347" t="s">
        <v>3169</v>
      </c>
      <c r="J328" t="str">
        <f>IFERROR(__xludf.DUMMYFUNCTION("IFERROR(
    ARRAYFORMULA(
        JOIN(
            CHAR(10) &amp; CHAR(10),
            ""Comment: "" &amp; FILTER(
                'Scores Import DO NOT EDIT'!N:N, 
                'Scores Import DO NOT EDIT'!D:D = A328
            )
        )
    ), 
    ""No"&amp;" comments yet""
)
"),"No comments yet")</f>
        <v>No comments yet</v>
      </c>
      <c r="K328" t="s">
        <v>4820</v>
      </c>
    </row>
    <row r="329">
      <c r="A329" s="345">
        <v>420.0</v>
      </c>
      <c r="B329" s="346" t="s">
        <v>3172</v>
      </c>
      <c r="C329" s="346" t="s">
        <v>3173</v>
      </c>
      <c r="D329" s="346" t="s">
        <v>3175</v>
      </c>
      <c r="E329" s="346" t="s">
        <v>2913</v>
      </c>
      <c r="F329" s="346" t="s">
        <v>2914</v>
      </c>
      <c r="G329" s="346" t="s">
        <v>773</v>
      </c>
      <c r="H329" s="346" t="s">
        <v>2915</v>
      </c>
      <c r="I329" s="347" t="s">
        <v>3174</v>
      </c>
      <c r="J329" t="str">
        <f>IFERROR(__xludf.DUMMYFUNCTION("IFERROR(
    ARRAYFORMULA(
        JOIN(
            CHAR(10) &amp; CHAR(10),
            ""Comment: "" &amp; FILTER(
                'Scores Import DO NOT EDIT'!N:N, 
                'Scores Import DO NOT EDIT'!D:D = A329
            )
        )
    ), 
    ""No"&amp;" comments yet""
)
"),"Comment: 
Comment: 
Comment: 
Comment: Good work.")</f>
        <v>Comment: 
Comment: 
Comment: 
Comment: Good work.</v>
      </c>
      <c r="K329" t="s">
        <v>5198</v>
      </c>
    </row>
    <row r="330">
      <c r="A330" s="345">
        <v>421.0</v>
      </c>
      <c r="B330" s="346" t="s">
        <v>3177</v>
      </c>
      <c r="C330" s="346" t="s">
        <v>1136</v>
      </c>
      <c r="D330" s="346" t="s">
        <v>3179</v>
      </c>
      <c r="E330" s="346" t="s">
        <v>3182</v>
      </c>
      <c r="F330" s="346" t="s">
        <v>3183</v>
      </c>
      <c r="G330" s="346" t="s">
        <v>764</v>
      </c>
      <c r="H330" s="346" t="s">
        <v>3184</v>
      </c>
      <c r="I330" s="347" t="s">
        <v>3178</v>
      </c>
      <c r="J330" t="str">
        <f>IFERROR(__xludf.DUMMYFUNCTION("IFERROR(
    ARRAYFORMULA(
        JOIN(
            CHAR(10) &amp; CHAR(10),
            ""Comment: "" &amp; FILTER(
                'Scores Import DO NOT EDIT'!N:N, 
                'Scores Import DO NOT EDIT'!D:D = A330
            )
        )
    ), 
    ""No"&amp;" comments yet""
)
"),"Comment: Great tag team presentation.
Comment: 
Comment: 
Comment: Good work.")</f>
        <v>Comment: Great tag team presentation.
Comment: 
Comment: 
Comment: Good work.</v>
      </c>
      <c r="K330" t="s">
        <v>5199</v>
      </c>
    </row>
    <row r="331">
      <c r="A331" s="345">
        <v>422.0</v>
      </c>
      <c r="B331" s="346" t="s">
        <v>869</v>
      </c>
      <c r="C331" s="346" t="s">
        <v>3185</v>
      </c>
      <c r="D331" s="346" t="s">
        <v>3188</v>
      </c>
      <c r="E331" s="346" t="s">
        <v>3182</v>
      </c>
      <c r="F331" s="346" t="s">
        <v>3183</v>
      </c>
      <c r="G331" s="346" t="s">
        <v>764</v>
      </c>
      <c r="H331" s="346" t="s">
        <v>3184</v>
      </c>
      <c r="I331" s="347" t="s">
        <v>3186</v>
      </c>
      <c r="J331" t="str">
        <f>IFERROR(__xludf.DUMMYFUNCTION("IFERROR(
    ARRAYFORMULA(
        JOIN(
            CHAR(10) &amp; CHAR(10),
            ""Comment: "" &amp; FILTER(
                'Scores Import DO NOT EDIT'!N:N, 
                'Scores Import DO NOT EDIT'!D:D = A331
            )
        )
    ), 
    ""No"&amp;" comments yet""
)
"),"Comment: 
Comment: Very nice job discussing your experimental design and interpretation of results.  Also, very good thinking about changes to the experiment that might improve the ability to detect a signal.  Keep up the great work!")</f>
        <v>Comment: 
Comment: Very nice job discussing your experimental design and interpretation of results.  Also, very good thinking about changes to the experiment that might improve the ability to detect a signal.  Keep up the great work!</v>
      </c>
      <c r="K331" t="s">
        <v>5200</v>
      </c>
    </row>
    <row r="332">
      <c r="A332" s="349">
        <v>423.0</v>
      </c>
      <c r="B332" s="346" t="s">
        <v>3194</v>
      </c>
      <c r="C332" s="346" t="s">
        <v>3195</v>
      </c>
      <c r="D332" s="346" t="s">
        <v>3197</v>
      </c>
      <c r="E332" s="346" t="s">
        <v>1392</v>
      </c>
      <c r="F332" s="346" t="s">
        <v>1393</v>
      </c>
      <c r="G332" s="346" t="s">
        <v>764</v>
      </c>
      <c r="H332" s="346" t="s">
        <v>1394</v>
      </c>
      <c r="I332" s="347" t="s">
        <v>3196</v>
      </c>
      <c r="J332" t="str">
        <f>IFERROR(__xludf.DUMMYFUNCTION("IFERROR(
    ARRAYFORMULA(
        JOIN(
            CHAR(10) &amp; CHAR(10),
            ""Comment: "" &amp; FILTER(
                'Scores Import DO NOT EDIT'!N:N, 
                'Scores Import DO NOT EDIT'!D:D = A332
            )
        )
    ), 
    ""No"&amp;" comments yet""
)
"),"Comment: ")</f>
        <v>Comment: </v>
      </c>
      <c r="K332" t="s">
        <v>4835</v>
      </c>
    </row>
    <row r="333">
      <c r="A333" s="345">
        <v>424.0</v>
      </c>
      <c r="B333" s="346" t="s">
        <v>1293</v>
      </c>
      <c r="C333" s="346" t="s">
        <v>2881</v>
      </c>
      <c r="D333" s="346" t="s">
        <v>3201</v>
      </c>
      <c r="E333" s="346" t="s">
        <v>1492</v>
      </c>
      <c r="F333" s="346" t="s">
        <v>1493</v>
      </c>
      <c r="G333" s="346" t="s">
        <v>764</v>
      </c>
      <c r="H333" s="346" t="s">
        <v>1494</v>
      </c>
      <c r="I333" s="347" t="s">
        <v>3200</v>
      </c>
      <c r="J333" t="str">
        <f>IFERROR(__xludf.DUMMYFUNCTION("IFERROR(
    ARRAYFORMULA(
        JOIN(
            CHAR(10) &amp; CHAR(10),
            ""Comment: "" &amp; FILTER(
                'Scores Import DO NOT EDIT'!N:N, 
                'Scores Import DO NOT EDIT'!D:D = A333
            )
        )
    ), 
    ""No"&amp;" comments yet""
)
"),"Comment: Great Job
Comment: 
Comment: Instead of thinking about the consequence of introducing point mutations like random events, try to use the available protein structural information and particularly the chemical environment surrounding the proposed"&amp;" mutations to direct your modifications.  This might suggest additional changes at other sites or even whole regions (domains, subdomains, etc.) that could relatively easily be swapped between IDH2 and IDH1 to test the source of differences in their respe"&amp;"ctive activities.  Good looking poster.  Keep thinking about the bigger picture.")</f>
        <v>Comment: Great Job
Comment: 
Comment: Instead of thinking about the consequence of introducing point mutations like random events, try to use the available protein structural information and particularly the chemical environment surrounding the proposed mutations to direct your modifications.  This might suggest additional changes at other sites or even whole regions (domains, subdomains, etc.) that could relatively easily be swapped between IDH2 and IDH1 to test the source of differences in their respective activities.  Good looking poster.  Keep thinking about the bigger picture.</v>
      </c>
      <c r="K333" t="s">
        <v>5201</v>
      </c>
    </row>
    <row r="334">
      <c r="A334" s="345">
        <v>425.0</v>
      </c>
      <c r="B334" s="346" t="s">
        <v>3204</v>
      </c>
      <c r="C334" s="346" t="s">
        <v>3205</v>
      </c>
      <c r="D334" s="346" t="s">
        <v>5202</v>
      </c>
      <c r="E334" s="346" t="s">
        <v>1015</v>
      </c>
      <c r="F334" s="346" t="s">
        <v>1997</v>
      </c>
      <c r="G334" s="346" t="s">
        <v>764</v>
      </c>
      <c r="H334" s="346" t="s">
        <v>3210</v>
      </c>
      <c r="I334" s="347" t="s">
        <v>3206</v>
      </c>
      <c r="J334" t="str">
        <f>IFERROR(__xludf.DUMMYFUNCTION("IFERROR(
    ARRAYFORMULA(
        JOIN(
            CHAR(10) &amp; CHAR(10),
            ""Comment: "" &amp; FILTER(
                'Scores Import DO NOT EDIT'!N:N, 
                'Scores Import DO NOT EDIT'!D:D = A334
            )
        )
    ), 
    ""No"&amp;" comments yet""
)
"),"Comment: 
Comment: 
Comment: 
Comment: Excellent work.  Well organized and very well presented poster.  You have a good grasp of the problem and the significance of what you have measured.  You have also thought carefully about how this knowledge might"&amp;" be applied in astrobiology.  Really good work!")</f>
        <v>Comment: 
Comment: 
Comment: 
Comment: Excellent work.  Well organized and very well presented poster.  You have a good grasp of the problem and the significance of what you have measured.  You have also thought carefully about how this knowledge might be applied in astrobiology.  Really good work!</v>
      </c>
      <c r="K334" t="s">
        <v>5203</v>
      </c>
    </row>
    <row r="335">
      <c r="A335" s="345">
        <v>426.0</v>
      </c>
      <c r="B335" s="346" t="s">
        <v>1293</v>
      </c>
      <c r="C335" s="346" t="s">
        <v>3211</v>
      </c>
      <c r="D335" s="346" t="s">
        <v>3214</v>
      </c>
      <c r="E335" s="346" t="s">
        <v>2850</v>
      </c>
      <c r="F335" s="346" t="s">
        <v>3216</v>
      </c>
      <c r="G335" s="346" t="s">
        <v>764</v>
      </c>
      <c r="H335" s="346" t="s">
        <v>3217</v>
      </c>
      <c r="I335" s="347" t="s">
        <v>3212</v>
      </c>
      <c r="J335" t="str">
        <f>IFERROR(__xludf.DUMMYFUNCTION("IFERROR(
    ARRAYFORMULA(
        JOIN(
            CHAR(10) &amp; CHAR(10),
            ""Comment: "" &amp; FILTER(
                'Scores Import DO NOT EDIT'!N:N, 
                'Scores Import DO NOT EDIT'!D:D = A335
            )
        )
    ), 
    ""No"&amp;" comments yet""
)
"),"Comment: Great to see your work.
Comment: 
Comment: Really nice poster and very good presentation.  You have a firm grasp on the background that frames your current research study questions.  Keep an open mind and think about the greater significance of"&amp;" what you are observing beyond simply improving selectivity and affinity of this inhibitor class for this particularly kinase.")</f>
        <v>Comment: Great to see your work.
Comment: 
Comment: Really nice poster and very good presentation.  You have a firm grasp on the background that frames your current research study questions.  Keep an open mind and think about the greater significance of what you are observing beyond simply improving selectivity and affinity of this inhibitor class for this particularly kinase.</v>
      </c>
      <c r="K335" t="s">
        <v>5204</v>
      </c>
    </row>
    <row r="336">
      <c r="A336" s="345">
        <v>427.0</v>
      </c>
      <c r="B336" s="346" t="s">
        <v>895</v>
      </c>
      <c r="C336" s="346" t="s">
        <v>3219</v>
      </c>
      <c r="D336" s="346" t="s">
        <v>5205</v>
      </c>
      <c r="E336" s="346" t="s">
        <v>1177</v>
      </c>
      <c r="F336" s="346" t="s">
        <v>3304</v>
      </c>
      <c r="G336" s="346" t="s">
        <v>893</v>
      </c>
      <c r="H336" s="346" t="s">
        <v>3225</v>
      </c>
      <c r="I336" s="347" t="s">
        <v>3220</v>
      </c>
      <c r="J336" t="str">
        <f>IFERROR(__xludf.DUMMYFUNCTION("IFERROR(
    ARRAYFORMULA(
        JOIN(
            CHAR(10) &amp; CHAR(10),
            ""Comment: "" &amp; FILTER(
                'Scores Import DO NOT EDIT'!N:N, 
                'Scores Import DO NOT EDIT'!D:D = A336
            )
        )
    ), 
    ""No"&amp;" comments yet""
)
"),"Comment: This is a great project, and I look forward to seeing its end results. For further searching, I would recommend using MeSH terms to find more articles specific to your research.
Comment: 
Comment: The student did a really great job presenting t"&amp;"he information. I didn’t get a sense necessarily how the methods were done, but I could have asked additional questions to tease that information out on how exactly the findings were comprised in their narrative review. The student did a great job answeri"&amp;"ng my questions especially as it relates to patient care. ")</f>
        <v>Comment: This is a great project, and I look forward to seeing its end results. For further searching, I would recommend using MeSH terms to find more articles specific to your research.
Comment: 
Comment: The student did a really great job presenting the information. I didn’t get a sense necessarily how the methods were done, but I could have asked additional questions to tease that information out on how exactly the findings were comprised in their narrative review. The student did a great job answering my questions especially as it relates to patient care. </v>
      </c>
      <c r="K336" t="s">
        <v>5206</v>
      </c>
    </row>
    <row r="337">
      <c r="A337" s="345">
        <v>428.0</v>
      </c>
      <c r="B337" s="346" t="s">
        <v>3226</v>
      </c>
      <c r="C337" s="346" t="s">
        <v>3227</v>
      </c>
      <c r="D337" s="346" t="s">
        <v>3230</v>
      </c>
      <c r="E337" s="346" t="s">
        <v>3232</v>
      </c>
      <c r="F337" s="346" t="s">
        <v>3233</v>
      </c>
      <c r="G337" s="346" t="s">
        <v>764</v>
      </c>
      <c r="H337" s="346" t="s">
        <v>2771</v>
      </c>
      <c r="I337" s="347" t="s">
        <v>3228</v>
      </c>
      <c r="J337" t="str">
        <f>IFERROR(__xludf.DUMMYFUNCTION("IFERROR(
    ARRAYFORMULA(
        JOIN(
            CHAR(10) &amp; CHAR(10),
            ""Comment: "" &amp; FILTER(
                'Scores Import DO NOT EDIT'!N:N, 
                'Scores Import DO NOT EDIT'!D:D = A337
            )
        )
    ), 
    ""No"&amp;" comments yet""
)
"),"Comment: 
Comment: This is an important project that I am excited to see the final results of. For future posters, I would recommend using more white space and less text.
Comment: The presenter had a great summary of their work. Well organized that I co"&amp;"uld the presented information well. The student answered questions well, I think there could have been a little bit more thoughtfulness in answers, however it was still very proficient based on the students’ experience and background. ")</f>
        <v>Comment: 
Comment: This is an important project that I am excited to see the final results of. For future posters, I would recommend using more white space and less text.
Comment: The presenter had a great summary of their work. Well organized that I could the presented information well. The student answered questions well, I think there could have been a little bit more thoughtfulness in answers, however it was still very proficient based on the students’ experience and background. </v>
      </c>
      <c r="K337" t="s">
        <v>5207</v>
      </c>
    </row>
    <row r="338">
      <c r="A338" s="345">
        <v>429.0</v>
      </c>
      <c r="B338" s="346" t="s">
        <v>4180</v>
      </c>
      <c r="C338" s="346" t="s">
        <v>1711</v>
      </c>
      <c r="D338" s="346" t="s">
        <v>3236</v>
      </c>
      <c r="E338" s="346" t="s">
        <v>3238</v>
      </c>
      <c r="F338" s="346" t="s">
        <v>3239</v>
      </c>
      <c r="G338" s="346" t="s">
        <v>893</v>
      </c>
      <c r="H338" s="346" t="s">
        <v>3240</v>
      </c>
      <c r="I338" s="347" t="s">
        <v>3234</v>
      </c>
      <c r="J338" t="str">
        <f>IFERROR(__xludf.DUMMYFUNCTION("IFERROR(
    ARRAYFORMULA(
        JOIN(
            CHAR(10) &amp; CHAR(10),
            ""Comment: "" &amp; FILTER(
                'Scores Import DO NOT EDIT'!N:N, 
                'Scores Import DO NOT EDIT'!D:D = A338
            )
        )
    ), 
    ""No"&amp;" comments yet""
)
"),"Comment: 
Comment: This was well done. I look forward to seeing your future research.
Comment: I can tell that this student did a lot of work on this project. They did a great job describing the work and answering any follow up questions we had. I was s"&amp;"lightly distracted sometimes from the postural sway, but that is a very easy fix and minor compared to everything else the student did well. I think the expanded version of these results will be great. ")</f>
        <v>Comment: 
Comment: This was well done. I look forward to seeing your future research.
Comment: I can tell that this student did a lot of work on this project. They did a great job describing the work and answering any follow up questions we had. I was slightly distracted sometimes from the postural sway, but that is a very easy fix and minor compared to everything else the student did well. I think the expanded version of these results will be great. </v>
      </c>
      <c r="K338" t="s">
        <v>5208</v>
      </c>
    </row>
    <row r="339">
      <c r="A339" s="345">
        <v>430.0</v>
      </c>
      <c r="B339" s="346" t="s">
        <v>1015</v>
      </c>
      <c r="C339" s="346" t="s">
        <v>2881</v>
      </c>
      <c r="D339" s="346" t="s">
        <v>3243</v>
      </c>
      <c r="E339" s="346" t="s">
        <v>1177</v>
      </c>
      <c r="F339" s="346" t="s">
        <v>3304</v>
      </c>
      <c r="G339" s="346" t="s">
        <v>893</v>
      </c>
      <c r="H339" s="346" t="s">
        <v>3225</v>
      </c>
      <c r="I339" s="347" t="s">
        <v>3241</v>
      </c>
      <c r="J339" t="str">
        <f>IFERROR(__xludf.DUMMYFUNCTION("IFERROR(
    ARRAYFORMULA(
        JOIN(
            CHAR(10) &amp; CHAR(10),
            ""Comment: "" &amp; FILTER(
                'Scores Import DO NOT EDIT'!N:N, 
                'Scores Import DO NOT EDIT'!D:D = A339
            )
        )
    ), 
    ""No"&amp;" comments yet""
)
"),"No comments yet")</f>
        <v>No comments yet</v>
      </c>
      <c r="K339" t="s">
        <v>4820</v>
      </c>
    </row>
    <row r="340">
      <c r="A340" s="345">
        <v>431.0</v>
      </c>
      <c r="B340" s="346" t="s">
        <v>3247</v>
      </c>
      <c r="C340" s="346" t="s">
        <v>3248</v>
      </c>
      <c r="D340" s="346" t="s">
        <v>3250</v>
      </c>
      <c r="E340" s="346" t="s">
        <v>3252</v>
      </c>
      <c r="F340" s="346" t="s">
        <v>3253</v>
      </c>
      <c r="G340" s="346" t="s">
        <v>753</v>
      </c>
      <c r="H340" s="346" t="s">
        <v>3254</v>
      </c>
      <c r="I340" s="347" t="s">
        <v>3249</v>
      </c>
      <c r="J340" t="str">
        <f>IFERROR(__xludf.DUMMYFUNCTION("IFERROR(
    ARRAYFORMULA(
        JOIN(
            CHAR(10) &amp; CHAR(10),
            ""Comment: "" &amp; FILTER(
                'Scores Import DO NOT EDIT'!N:N, 
                'Scores Import DO NOT EDIT'!D:D = A340
            )
        )
    ), 
    ""No"&amp;" comments yet""
)
"),"Comment: 
Comment: You did a great job with presenting this research. I look forward to seeing your future research.
Comment: The students’ presentation was excellent. They did a great job describing their work and answering questions. I appreciated the"&amp;"ir insight too on what the next steps could be. ")</f>
        <v>Comment: 
Comment: You did a great job with presenting this research. I look forward to seeing your future research.
Comment: The students’ presentation was excellent. They did a great job describing their work and answering questions. I appreciated their insight too on what the next steps could be. </v>
      </c>
      <c r="K340" t="s">
        <v>5209</v>
      </c>
    </row>
    <row r="341">
      <c r="A341" s="345">
        <v>432.0</v>
      </c>
      <c r="B341" s="346" t="s">
        <v>3255</v>
      </c>
      <c r="C341" s="346" t="s">
        <v>1756</v>
      </c>
      <c r="D341" s="346" t="s">
        <v>5210</v>
      </c>
      <c r="E341" s="346" t="s">
        <v>3259</v>
      </c>
      <c r="F341" s="346" t="s">
        <v>3260</v>
      </c>
      <c r="G341" s="346" t="s">
        <v>893</v>
      </c>
      <c r="H341" s="346" t="s">
        <v>3261</v>
      </c>
      <c r="I341" s="347" t="s">
        <v>3256</v>
      </c>
      <c r="J341" t="str">
        <f>IFERROR(__xludf.DUMMYFUNCTION("IFERROR(
    ARRAYFORMULA(
        JOIN(
            CHAR(10) &amp; CHAR(10),
            ""Comment: "" &amp; FILTER(
                'Scores Import DO NOT EDIT'!N:N, 
                'Scores Import DO NOT EDIT'!D:D = A341
            )
        )
    ), 
    ""No"&amp;" comments yet""
)
"),"Comment: 
Comment: This is a really interesting project that has the potential to lead to policy change. I recommend speaking with a librarian to see if there are additional resources about chemical toxicity.
Comment: They student’s presentation was gre"&amp;"at. I would have like to understand a little more how this information matters, however, I could have asked that and it like is there I just missed it. The student did a well at answering my questions for practical implications of the information. ")</f>
        <v>Comment: 
Comment: This is a really interesting project that has the potential to lead to policy change. I recommend speaking with a librarian to see if there are additional resources about chemical toxicity.
Comment: They student’s presentation was great. I would have like to understand a little more how this information matters, however, I could have asked that and it like is there I just missed it. The student did a well at answering my questions for practical implications of the information. </v>
      </c>
      <c r="K341" t="s">
        <v>5211</v>
      </c>
    </row>
    <row r="342">
      <c r="A342" s="345">
        <v>433.0</v>
      </c>
      <c r="B342" s="346" t="s">
        <v>2772</v>
      </c>
      <c r="C342" s="346" t="s">
        <v>3262</v>
      </c>
      <c r="D342" s="346" t="s">
        <v>3264</v>
      </c>
      <c r="E342" s="346" t="s">
        <v>884</v>
      </c>
      <c r="F342" s="346" t="s">
        <v>885</v>
      </c>
      <c r="G342" s="346" t="s">
        <v>784</v>
      </c>
      <c r="H342" s="346" t="s">
        <v>886</v>
      </c>
      <c r="I342" s="347" t="s">
        <v>3263</v>
      </c>
      <c r="J342" t="str">
        <f>IFERROR(__xludf.DUMMYFUNCTION("IFERROR(
    ARRAYFORMULA(
        JOIN(
            CHAR(10) &amp; CHAR(10),
            ""Comment: "" &amp; FILTER(
                'Scores Import DO NOT EDIT'!N:N, 
                'Scores Import DO NOT EDIT'!D:D = A342
            )
        )
    ), 
    ""No"&amp;" comments yet""
)
"),"Comment: This is an important area of research, and I’m glad to see our students engaging in it. One thing to remember for future posters is color contrast; the white text on a light background was hard to read.
Comment: 
Comment: The student did a grea"&amp;"t job answering my questions. I appreciated their insight. I got a little confused during the methological presentation but when I asked my follow up questions the student answered them well. This topic was very interesting and I’m looking forward to this"&amp;" project making an impact. ")</f>
        <v>Comment: This is an important area of research, and I’m glad to see our students engaging in it. One thing to remember for future posters is color contrast; the white text on a light background was hard to read.
Comment: 
Comment: The student did a great job answering my questions. I appreciated their insight. I got a little confused during the methological presentation but when I asked my follow up questions the student answered them well. This topic was very interesting and I’m looking forward to this project making an impact. </v>
      </c>
      <c r="K342" t="s">
        <v>5212</v>
      </c>
    </row>
    <row r="343">
      <c r="A343" s="345">
        <v>434.0</v>
      </c>
      <c r="B343" s="346" t="s">
        <v>1712</v>
      </c>
      <c r="C343" s="346" t="s">
        <v>1116</v>
      </c>
      <c r="D343" s="346" t="s">
        <v>3269</v>
      </c>
      <c r="E343" s="346" t="s">
        <v>1159</v>
      </c>
      <c r="F343" s="346" t="s">
        <v>1160</v>
      </c>
      <c r="G343" s="346" t="s">
        <v>893</v>
      </c>
      <c r="H343" s="346" t="s">
        <v>1161</v>
      </c>
      <c r="I343" s="347" t="s">
        <v>3267</v>
      </c>
      <c r="J343" t="str">
        <f>IFERROR(__xludf.DUMMYFUNCTION("IFERROR(
    ARRAYFORMULA(
        JOIN(
            CHAR(10) &amp; CHAR(10),
            ""Comment: "" &amp; FILTER(
                'Scores Import DO NOT EDIT'!N:N, 
                'Scores Import DO NOT EDIT'!D:D = A343
            )
        )
    ), 
    ""No"&amp;" comments yet""
)
"),"Comment: Excellent knowledge of topic
Comment: Poster is very clear with a good balance of text and photos. Audience interaction was fine, yet didn’t always incorporate everyone who is listening. 
Comment: Group presented finding in an engaging way and "&amp;"had some good transitions prepared to move between divided parts. Presentation could perhaps benefit, visually, from making direct comparisons with existing product and also test the perceptions of the products in a comparative design.
Comment: good conc"&amp;"ept, excellent market research, creative
Comment: Unique idea - - - students were enthusiastic and well-informed; images were helpful; consider bullets/bolding for heavy text areas")</f>
        <v>Comment: Excellent knowledge of topic
Comment: Poster is very clear with a good balance of text and photos. Audience interaction was fine, yet didn’t always incorporate everyone who is listening. 
Comment: Group presented finding in an engaging way and had some good transitions prepared to move between divided parts. Presentation could perhaps benefit, visually, from making direct comparisons with existing product and also test the perceptions of the products in a comparative design.
Comment: good concept, excellent market research, creative
Comment: Unique idea - - - students were enthusiastic and well-informed; images were helpful; consider bullets/bolding for heavy text areas</v>
      </c>
      <c r="K343" t="s">
        <v>5213</v>
      </c>
    </row>
    <row r="344">
      <c r="A344" s="345">
        <v>435.0</v>
      </c>
      <c r="B344" s="346" t="s">
        <v>3275</v>
      </c>
      <c r="C344" s="346" t="s">
        <v>3276</v>
      </c>
      <c r="D344" s="346" t="s">
        <v>3279</v>
      </c>
      <c r="E344" s="346" t="s">
        <v>3281</v>
      </c>
      <c r="F344" s="346" t="s">
        <v>3282</v>
      </c>
      <c r="G344" s="346" t="s">
        <v>1457</v>
      </c>
      <c r="H344" s="346" t="s">
        <v>3016</v>
      </c>
      <c r="I344" s="347" t="s">
        <v>3277</v>
      </c>
      <c r="J344" t="str">
        <f>IFERROR(__xludf.DUMMYFUNCTION("IFERROR(
    ARRAYFORMULA(
        JOIN(
            CHAR(10) &amp; CHAR(10),
            ""Comment: "" &amp; FILTER(
                'Scores Import DO NOT EDIT'!N:N, 
                'Scores Import DO NOT EDIT'!D:D = A344
            )
        )
    ), 
    ""No"&amp;" comments yet""
)
"),"No comments yet")</f>
        <v>No comments yet</v>
      </c>
      <c r="K344" t="s">
        <v>4820</v>
      </c>
    </row>
    <row r="345">
      <c r="A345" s="345">
        <v>436.0</v>
      </c>
      <c r="B345" s="346" t="s">
        <v>746</v>
      </c>
      <c r="C345" s="346" t="s">
        <v>3284</v>
      </c>
      <c r="D345" s="346" t="s">
        <v>5214</v>
      </c>
      <c r="E345" s="346" t="s">
        <v>4057</v>
      </c>
      <c r="F345" s="346" t="s">
        <v>766</v>
      </c>
      <c r="G345" s="346" t="s">
        <v>764</v>
      </c>
      <c r="H345" s="346" t="s">
        <v>776</v>
      </c>
      <c r="I345" s="347" t="s">
        <v>3285</v>
      </c>
      <c r="J345" t="str">
        <f>IFERROR(__xludf.DUMMYFUNCTION("IFERROR(
    ARRAYFORMULA(
        JOIN(
            CHAR(10) &amp; CHAR(10),
            ""Comment: "" &amp; FILTER(
                'Scores Import DO NOT EDIT'!N:N, 
                'Scores Import DO NOT EDIT'!D:D = A345
            )
        )
    ), 
    ""No"&amp;" comments yet""
)
"),"Comment: Very clear responses to questions and good insights to limitations. Poster itself is very text heavy and hard to read. 
Comment: Had to prompt to present all aspects of research
Comment: Presenter had a great understanding of the topic and the "&amp;"methodology. Presenter knew a lot about the project and answered any questions really well. The presentation could have benefited from a more comprehensive approach to guide the audience through all the sections of the poster, and not just mostly limited "&amp;"to the background.
Comment: seems headed for journal publication with significant impact/importance
Comment: Student is truly committed to the project! Explained the benefits of the qualitative analyses well; great job answering questions. ")</f>
        <v>Comment: Very clear responses to questions and good insights to limitations. Poster itself is very text heavy and hard to read. 
Comment: Had to prompt to present all aspects of research
Comment: Presenter had a great understanding of the topic and the methodology. Presenter knew a lot about the project and answered any questions really well. The presentation could have benefited from a more comprehensive approach to guide the audience through all the sections of the poster, and not just mostly limited to the background.
Comment: seems headed for journal publication with significant impact/importance
Comment: Student is truly committed to the project! Explained the benefits of the qualitative analyses well; great job answering questions. </v>
      </c>
      <c r="K345" t="s">
        <v>5215</v>
      </c>
    </row>
    <row r="346">
      <c r="A346" s="345">
        <v>437.0</v>
      </c>
      <c r="B346" s="346" t="s">
        <v>3291</v>
      </c>
      <c r="C346" s="346" t="s">
        <v>3292</v>
      </c>
      <c r="D346" s="346" t="s">
        <v>3294</v>
      </c>
      <c r="E346" s="346" t="s">
        <v>912</v>
      </c>
      <c r="F346" s="346" t="s">
        <v>913</v>
      </c>
      <c r="G346" s="346" t="s">
        <v>893</v>
      </c>
      <c r="H346" s="346" t="s">
        <v>914</v>
      </c>
      <c r="I346" s="347" t="s">
        <v>3293</v>
      </c>
      <c r="J346" t="str">
        <f>IFERROR(__xludf.DUMMYFUNCTION("IFERROR(
    ARRAYFORMULA(
        JOIN(
            CHAR(10) &amp; CHAR(10),
            ""Comment: "" &amp; FILTER(
                'Scores Import DO NOT EDIT'!N:N, 
                'Scores Import DO NOT EDIT'!D:D = A346
            )
        )
    ), 
    ""No"&amp;" comments yet""
)
"),"Comment: Almost too much info was given when being walked through the poster. Not clear why left and right lumbar was looked at independently until questioned. Otherwise clear and good communication with audience. 
Comment: Presenters had a great present"&amp;"ation prepared and spoke eloquently about their project. They highlighted all the important details and have put a lot of thought into the interpretation of their findings. Students could have expanded more on what the implications should be, in terms of "&amp;"practical solutions/interventions, etc.
Comment: disproving hypothesis - a significant finding with culture, labor and environment impacts
Comment: Students truly understood the project! Enthusiasm for serving the Latino community was contagious. In the"&amp;" future, I would encourage them to be able to better articulate the health implications of the work.")</f>
        <v>Comment: Almost too much info was given when being walked through the poster. Not clear why left and right lumbar was looked at independently until questioned. Otherwise clear and good communication with audience. 
Comment: Presenters had a great presentation prepared and spoke eloquently about their project. They highlighted all the important details and have put a lot of thought into the interpretation of their findings. Students could have expanded more on what the implications should be, in terms of practical solutions/interventions, etc.
Comment: disproving hypothesis - a significant finding with culture, labor and environment impacts
Comment: Students truly understood the project! Enthusiasm for serving the Latino community was contagious. In the future, I would encourage them to be able to better articulate the health implications of the work.</v>
      </c>
      <c r="K346" t="s">
        <v>5216</v>
      </c>
    </row>
    <row r="347">
      <c r="A347" s="345">
        <v>438.0</v>
      </c>
      <c r="B347" s="346" t="s">
        <v>3298</v>
      </c>
      <c r="C347" s="346" t="s">
        <v>3299</v>
      </c>
      <c r="D347" s="346" t="s">
        <v>3302</v>
      </c>
      <c r="E347" s="346" t="s">
        <v>1177</v>
      </c>
      <c r="F347" s="346" t="s">
        <v>3304</v>
      </c>
      <c r="G347" s="346" t="s">
        <v>893</v>
      </c>
      <c r="H347" s="346" t="s">
        <v>3225</v>
      </c>
      <c r="I347" s="347" t="s">
        <v>3300</v>
      </c>
      <c r="J347" t="str">
        <f>IFERROR(__xludf.DUMMYFUNCTION("IFERROR(
    ARRAYFORMULA(
        JOIN(
            CHAR(10) &amp; CHAR(10),
            ""Comment: "" &amp; FILTER(
                'Scores Import DO NOT EDIT'!N:N, 
                'Scores Import DO NOT EDIT'!D:D = A347
            )
        )
    ), 
    ""No"&amp;" comments yet""
)
"),"Comment: Presenter was very knowledgeable and well spoken. Some information about methodology, like search strategy and exclusion process, but otherwise very comprehensive.
Comment: Your presentation was great, with lots of useful and important informati"&amp;"on shared. Moving forward, there’s a lot of poster space taken up with references which could be used to really emphasize the importance of this work. You handled questions well and interacted with those looking at your poster in a confident way. Nice job"&amp;"!
Comment: 
Comment: clear, concise, excellent poster and presentation
Comment: Wow! Student was so committed to the work and clearly linked the project to patient care. Great job answering the questions. One of the most enthusiastic and prepared prese"&amp;"nters.")</f>
        <v>Comment: Presenter was very knowledgeable and well spoken. Some information about methodology, like search strategy and exclusion process, but otherwise very comprehensive.
Comment: Your presentation was great, with lots of useful and important information shared. Moving forward, there’s a lot of poster space taken up with references which could be used to really emphasize the importance of this work. You handled questions well and interacted with those looking at your poster in a confident way. Nice job!
Comment: 
Comment: clear, concise, excellent poster and presentation
Comment: Wow! Student was so committed to the work and clearly linked the project to patient care. Great job answering the questions. One of the most enthusiastic and prepared presenters.</v>
      </c>
      <c r="K347" t="s">
        <v>5217</v>
      </c>
    </row>
    <row r="348">
      <c r="A348" s="345">
        <v>439.0</v>
      </c>
      <c r="B348" s="346" t="s">
        <v>2480</v>
      </c>
      <c r="C348" s="346" t="s">
        <v>3305</v>
      </c>
      <c r="D348" s="346" t="s">
        <v>3308</v>
      </c>
      <c r="E348" s="346" t="s">
        <v>3238</v>
      </c>
      <c r="F348" s="346" t="s">
        <v>3239</v>
      </c>
      <c r="G348" s="346" t="s">
        <v>764</v>
      </c>
      <c r="H348" s="346" t="s">
        <v>3240</v>
      </c>
      <c r="I348" s="347" t="s">
        <v>3306</v>
      </c>
      <c r="J348" t="str">
        <f>IFERROR(__xludf.DUMMYFUNCTION("IFERROR(
    ARRAYFORMULA(
        JOIN(
            CHAR(10) &amp; CHAR(10),
            ""Comment: "" &amp; FILTER(
                'Scores Import DO NOT EDIT'!N:N, 
                'Scores Import DO NOT EDIT'!D:D = A348
            )
        )
    ), 
    ""No"&amp;" comments yet""
)
"),"Comment: Presenter was very knowledgeable on the topic, had a very clear presentation prepared, and spoke passionately about the project. Student could further elaborate on practical implications of the findings.
Comment: Excellent conduct, clear interac"&amp;"tion with audience, seemed very confident and knowledgeable. Great job! Poster was very clear too.
Comment: Excellent knowledge, presentation and answers to questions 
Comment: impressive breadth of research, interesting concept with potentially importa"&amp;"nt outcomes
Comment: Presenter was prepared and had a natural, easy, humorous presentation style! ")</f>
        <v>Comment: Presenter was very knowledgeable on the topic, had a very clear presentation prepared, and spoke passionately about the project. Student could further elaborate on practical implications of the findings.
Comment: Excellent conduct, clear interaction with audience, seemed very confident and knowledgeable. Great job! Poster was very clear too.
Comment: Excellent knowledge, presentation and answers to questions 
Comment: impressive breadth of research, interesting concept with potentially important outcomes
Comment: Presenter was prepared and had a natural, easy, humorous presentation style! </v>
      </c>
      <c r="K348" t="s">
        <v>5218</v>
      </c>
    </row>
    <row r="349">
      <c r="A349" s="345">
        <v>440.0</v>
      </c>
      <c r="B349" s="346" t="s">
        <v>3312</v>
      </c>
      <c r="C349" s="346" t="s">
        <v>3313</v>
      </c>
      <c r="D349" s="346" t="s">
        <v>3316</v>
      </c>
      <c r="E349" s="346" t="s">
        <v>3318</v>
      </c>
      <c r="F349" s="346" t="s">
        <v>3319</v>
      </c>
      <c r="G349" s="346" t="s">
        <v>764</v>
      </c>
      <c r="H349" s="346" t="s">
        <v>3320</v>
      </c>
      <c r="I349" s="347" t="s">
        <v>3314</v>
      </c>
      <c r="J349" t="str">
        <f>IFERROR(__xludf.DUMMYFUNCTION("IFERROR(
    ARRAYFORMULA(
        JOIN(
            CHAR(10) &amp; CHAR(10),
            ""Comment: "" &amp; FILTER(
                'Scores Import DO NOT EDIT'!N:N, 
                'Scores Import DO NOT EDIT'!D:D = A349
            )
        )
    ), 
    ""No"&amp;" comments yet""
)
"),"Comment: 
Comment: Interesting, exciing, important study.  Ecourage additional research as presentor referenced; looking at mathmatics and biology variables.  Also recommend continued evaluation of influencing variables for self identity and the interpla"&amp;"y between the variables of efficacy, identity, and values.  
Comment: Great presentation of some advanced statistical methods dealing with an issue of high importance. Additional Information was needed to orient your listeners to what your different anal"&amp;"yses allow you to conclude. Excellent job with the Q&amp;A. I was hoping to see more practical implications discussed in the main presentation but they did come up in your answers to the questions. Great job! 
Comment: Presenter did a great job explaining th"&amp;"e project, statistical analysis, and translating the findings. ")</f>
        <v>Comment: 
Comment: Interesting, exciing, important study.  Ecourage additional research as presentor referenced; looking at mathmatics and biology variables.  Also recommend continued evaluation of influencing variables for self identity and the interplay between the variables of efficacy, identity, and values.  
Comment: Great presentation of some advanced statistical methods dealing with an issue of high importance. Additional Information was needed to orient your listeners to what your different analyses allow you to conclude. Excellent job with the Q&amp;A. I was hoping to see more practical implications discussed in the main presentation but they did come up in your answers to the questions. Great job! 
Comment: Presenter did a great job explaining the project, statistical analysis, and translating the findings. </v>
      </c>
      <c r="K349" t="s">
        <v>5219</v>
      </c>
    </row>
    <row r="350">
      <c r="A350" s="345">
        <v>441.0</v>
      </c>
      <c r="B350" s="346" t="s">
        <v>3321</v>
      </c>
      <c r="C350" s="346" t="s">
        <v>2109</v>
      </c>
      <c r="D350" s="346" t="s">
        <v>5220</v>
      </c>
      <c r="E350" s="346" t="s">
        <v>936</v>
      </c>
      <c r="F350" s="346" t="s">
        <v>937</v>
      </c>
      <c r="G350" s="346" t="s">
        <v>893</v>
      </c>
      <c r="H350" s="346" t="s">
        <v>938</v>
      </c>
      <c r="I350" s="347" t="s">
        <v>3322</v>
      </c>
      <c r="J350" t="str">
        <f>IFERROR(__xludf.DUMMYFUNCTION("IFERROR(
    ARRAYFORMULA(
        JOIN(
            CHAR(10) &amp; CHAR(10),
            ""Comment: "" &amp; FILTER(
                'Scores Import DO NOT EDIT'!N:N, 
                'Scores Import DO NOT EDIT'!D:D = A350
            )
        )
    ), 
    ""No"&amp;" comments yet""
)
"),"Comment: Clear reporting of an important project with a vulnerable population. A bit more background info was needed to feel confident about what the research question was addressing (what EMA means) but results and potential future direction were explain"&amp;"ed very clearly. Good job with Q&amp;A. 
Comment: 
Comment: Study very relavant and timely.  Exceedingly impressed with insights to strengthen research methods and focus of future studies.  Specifically, looking at the length and frequency of study, expandi"&amp;"ng questions to include broader set of stressors, and exploration of validity and reliability data collection instrument.  Excellent oral presentation.
Comment: Both presenters did a great job explaining the study and had strong communication skills. ")</f>
        <v>Comment: Clear reporting of an important project with a vulnerable population. A bit more background info was needed to feel confident about what the research question was addressing (what EMA means) but results and potential future direction were explained very clearly. Good job with Q&amp;A. 
Comment: 
Comment: Study very relavant and timely.  Exceedingly impressed with insights to strengthen research methods and focus of future studies.  Specifically, looking at the length and frequency of study, expanding questions to include broader set of stressors, and exploration of validity and reliability data collection instrument.  Excellent oral presentation.
Comment: Both presenters did a great job explaining the study and had strong communication skills. </v>
      </c>
      <c r="K350" t="s">
        <v>5221</v>
      </c>
    </row>
    <row r="351">
      <c r="A351" s="345">
        <v>442.0</v>
      </c>
      <c r="B351" s="346" t="s">
        <v>3328</v>
      </c>
      <c r="C351" s="346" t="s">
        <v>3329</v>
      </c>
      <c r="D351" s="346" t="s">
        <v>5222</v>
      </c>
      <c r="E351" s="346" t="s">
        <v>3344</v>
      </c>
      <c r="F351" s="346" t="s">
        <v>1103</v>
      </c>
      <c r="G351" s="346" t="s">
        <v>764</v>
      </c>
      <c r="H351" s="346" t="s">
        <v>3334</v>
      </c>
      <c r="I351" s="347" t="s">
        <v>3330</v>
      </c>
      <c r="J351" t="str">
        <f>IFERROR(__xludf.DUMMYFUNCTION("IFERROR(
    ARRAYFORMULA(
        JOIN(
            CHAR(10) &amp; CHAR(10),
            ""Comment: "" &amp; FILTER(
                'Scores Import DO NOT EDIT'!N:N, 
                'Scores Import DO NOT EDIT'!D:D = A351
            )
        )
    ), 
    ""No"&amp;" comments yet""
)
"),"Comment: 
Comment: Really great presentation on an important topic. Very clear that presenter was knowledgeable about the significance. More detail about the methodology and practical implications of the work would strengthen the presentation. Overall, g"&amp;"reat job! 
Comment: Continued resarch would be vaulable seeking greater insight into what creates individual bias.  Agree with researcher that methodologically adding a qualitative component to future study.  Exploration of existing research about skin b"&amp;"ias in african american populaton and learnings regarding intervention might be valuable.  Study very original.  
Comment: Presenter demonstrated strong communication skills and understanding of the subject.")</f>
        <v>Comment: 
Comment: Really great presentation on an important topic. Very clear that presenter was knowledgeable about the significance. More detail about the methodology and practical implications of the work would strengthen the presentation. Overall, great job! 
Comment: Continued resarch would be vaulable seeking greater insight into what creates individual bias.  Agree with researcher that methodologically adding a qualitative component to future study.  Exploration of existing research about skin bias in african american populaton and learnings regarding intervention might be valuable.  Study very original.  
Comment: Presenter demonstrated strong communication skills and understanding of the subject.</v>
      </c>
      <c r="K351" t="s">
        <v>5223</v>
      </c>
    </row>
    <row r="352">
      <c r="A352" s="345">
        <v>443.0</v>
      </c>
      <c r="B352" s="346" t="s">
        <v>3335</v>
      </c>
      <c r="C352" s="346" t="s">
        <v>3336</v>
      </c>
      <c r="D352" s="346" t="s">
        <v>3339</v>
      </c>
      <c r="E352" s="346" t="s">
        <v>3344</v>
      </c>
      <c r="F352" s="346" t="s">
        <v>1103</v>
      </c>
      <c r="G352" s="346" t="s">
        <v>764</v>
      </c>
      <c r="H352" s="346" t="s">
        <v>3334</v>
      </c>
      <c r="I352" s="347" t="s">
        <v>3337</v>
      </c>
      <c r="J352" t="str">
        <f>IFERROR(__xludf.DUMMYFUNCTION("IFERROR(
    ARRAYFORMULA(
        JOIN(
            CHAR(10) &amp; CHAR(10),
            ""Comment: "" &amp; FILTER(
                'Scores Import DO NOT EDIT'!N:N, 
                'Scores Import DO NOT EDIT'!D:D = A352
            )
        )
    ), 
    ""No"&amp;" comments yet""
)
"),"Comment: Very important work. Presenter had strong understanding of importance of work. Could improve on description of participants and methodology. Don’t forget to end with a strong statement of the importance of this work because it’s very important! 
"&amp;"
Comment: 
Comment: Superb, interesting resarch study.  Focus on arab/muslim population is very timely and less researched.  Continued study using alternate research methods recommended.  Using a qualitative method with semi structured interviews could p"&amp;"rove valuable.  Greater insights into drivers of explicit bias would be valuable.  Also encourage broad dissemination of research to create greater awareness and dialog.
Comment: Presenter did a great job explaining the study and methods used. ")</f>
        <v>Comment: Very important work. Presenter had strong understanding of importance of work. Could improve on description of participants and methodology. Don’t forget to end with a strong statement of the importance of this work because it’s very important! 
Comment: 
Comment: Superb, interesting resarch study.  Focus on arab/muslim population is very timely and less researched.  Continued study using alternate research methods recommended.  Using a qualitative method with semi structured interviews could prove valuable.  Greater insights into drivers of explicit bias would be valuable.  Also encourage broad dissemination of research to create greater awareness and dialog.
Comment: Presenter did a great job explaining the study and methods used. </v>
      </c>
      <c r="K352" t="s">
        <v>5224</v>
      </c>
    </row>
    <row r="353">
      <c r="A353" s="345">
        <v>444.0</v>
      </c>
      <c r="B353" s="346" t="s">
        <v>746</v>
      </c>
      <c r="C353" s="346" t="s">
        <v>3345</v>
      </c>
      <c r="D353" s="346" t="s">
        <v>3348</v>
      </c>
      <c r="E353" s="346" t="s">
        <v>746</v>
      </c>
      <c r="F353" s="346" t="s">
        <v>3350</v>
      </c>
      <c r="G353" s="346" t="s">
        <v>893</v>
      </c>
      <c r="H353" s="346" t="s">
        <v>3351</v>
      </c>
      <c r="I353" s="347" t="s">
        <v>3346</v>
      </c>
      <c r="J353" t="str">
        <f>IFERROR(__xludf.DUMMYFUNCTION("IFERROR(
    ARRAYFORMULA(
        JOIN(
            CHAR(10) &amp; CHAR(10),
            ""Comment: "" &amp; FILTER(
                'Scores Import DO NOT EDIT'!N:N, 
                'Scores Import DO NOT EDIT'!D:D = A353
            )
        )
    ), 
    ""No"&amp;" comments yet""
)
"),"Comment: Really nice presentation on an important topic. Lacking some detail about the methodology initially but did a great job responding to questions about the coding process. Very clear importance statement and conclusions about systems-level interven"&amp;"tions. Great job! 
Comment: 
Comment: Interesting study and well presented.  I think the significance of the study was somewhat limited as value/importance of sleep is well known.  However, foccus on marines exclusively new may be new but no ah ha momen"&amp;"ts noted in results.  Variables identified of influencers of impaired sleep  could produce the most fruit  if pursued.  Identified influencers appear to be outside of the control of research subjects.  That may be an of further study and significance.   
"&amp;"
Comment: Presenter had strong communication skills and demonstrated a clear understanding of the methods used. ")</f>
        <v>Comment: Really nice presentation on an important topic. Lacking some detail about the methodology initially but did a great job responding to questions about the coding process. Very clear importance statement and conclusions about systems-level interventions. Great job! 
Comment: 
Comment: Interesting study and well presented.  I think the significance of the study was somewhat limited as value/importance of sleep is well known.  However, foccus on marines exclusively new may be new but no ah ha moments noted in results.  Variables identified of influencers of impaired sleep  could produce the most fruit  if pursued.  Identified influencers appear to be outside of the control of research subjects.  That may be an of further study and significance.   
Comment: Presenter had strong communication skills and demonstrated a clear understanding of the methods used. </v>
      </c>
      <c r="K353" t="s">
        <v>5225</v>
      </c>
    </row>
    <row r="354">
      <c r="A354" s="345">
        <v>445.0</v>
      </c>
      <c r="B354" s="346" t="s">
        <v>5226</v>
      </c>
      <c r="C354" s="346" t="s">
        <v>3353</v>
      </c>
      <c r="D354" s="346" t="s">
        <v>3356</v>
      </c>
      <c r="E354" s="346" t="s">
        <v>3364</v>
      </c>
      <c r="F354" s="346" t="s">
        <v>3365</v>
      </c>
      <c r="G354" s="346" t="s">
        <v>1457</v>
      </c>
      <c r="H354" s="346" t="s">
        <v>3366</v>
      </c>
      <c r="I354" s="347" t="s">
        <v>3354</v>
      </c>
      <c r="J354" t="str">
        <f>IFERROR(__xludf.DUMMYFUNCTION("IFERROR(
    ARRAYFORMULA(
        JOIN(
            CHAR(10) &amp; CHAR(10),
            ""Comment: "" &amp; FILTER(
                'Scores Import DO NOT EDIT'!N:N, 
                'Scores Import DO NOT EDIT'!D:D = A354
            )
        )
    ), 
    ""No"&amp;" comments yet""
)
"),"Comment: Really great job by this team of women! They were very prepared although in the future I encourage them to favor un-memorized presentation without notecards. The significance of the topic was very clear and the methodology was well-described. The"&amp;"y handled questions well. Great job overall! 
Comment: 
Comment: Very relevant significant study.  Findings produce many opportunities for future research seeking greater insight to attribution of results and interventions.  From a methods perspective a"&amp;" more heterogenous participant population could be value added......although potentially difficult.  Also insight into the influence of multiple foster children influences on results could be interesting.  Presentation was a little more difficult to follo"&amp;"w.  Study variables may need a little more definition upfront.  
Comment: ")</f>
        <v>Comment: Really great job by this team of women! They were very prepared although in the future I encourage them to favor un-memorized presentation without notecards. The significance of the topic was very clear and the methodology was well-described. They handled questions well. Great job overall! 
Comment: 
Comment: Very relevant significant study.  Findings produce many opportunities for future research seeking greater insight to attribution of results and interventions.  From a methods perspective a more heterogenous participant population could be value added......although potentially difficult.  Also insight into the influence of multiple foster children influences on results could be interesting.  Presentation was a little more difficult to follow.  Study variables may need a little more definition upfront.  
Comment: </v>
      </c>
      <c r="K354" t="s">
        <v>5227</v>
      </c>
    </row>
    <row r="355">
      <c r="A355" s="345">
        <v>446.0</v>
      </c>
      <c r="B355" s="346" t="s">
        <v>3367</v>
      </c>
      <c r="C355" s="346" t="s">
        <v>3368</v>
      </c>
      <c r="D355" s="346" t="s">
        <v>3370</v>
      </c>
      <c r="E355" s="346" t="s">
        <v>1386</v>
      </c>
      <c r="F355" s="346" t="s">
        <v>861</v>
      </c>
      <c r="G355" s="346" t="s">
        <v>764</v>
      </c>
      <c r="H355" s="346" t="s">
        <v>3372</v>
      </c>
      <c r="I355" s="347" t="s">
        <v>3369</v>
      </c>
      <c r="J355" t="str">
        <f>IFERROR(__xludf.DUMMYFUNCTION("IFERROR(
    ARRAYFORMULA(
        JOIN(
            CHAR(10) &amp; CHAR(10),
            ""Comment: "" &amp; FILTER(
                'Scores Import DO NOT EDIT'!N:N, 
                'Scores Import DO NOT EDIT'!D:D = A355
            )
        )
    ), 
    ""No"&amp;" comments yet""
)
"),"Comment: 
Comment: This was a great poster packed full of information. I could tell the presenter really knew her topic and results well. Some of the results were presented really quickly and I think the listeners could have used additional explanation o"&amp;"f variables and graphs to understand conclusions. More I formation about practical implications of this work will strengthen the presentation. 
Comment: Unique, complex, innovative, significant study.  A complex study for presentation in such limited tim"&amp;"e.  Presentor did an excellent job displayed superior knowledge of study/content.  Well articulated future study opportunities.  No recommendations unfortunately except for more time for presentation.  A little like drinking from a fire hose and I know th"&amp;"e general topic but not the study intervention.  
Comment: Presenter demonstrated strong presentation skills and a deep understanding of the subject matter and complex methods used. ")</f>
        <v>Comment: 
Comment: This was a great poster packed full of information. I could tell the presenter really knew her topic and results well. Some of the results were presented really quickly and I think the listeners could have used additional explanation of variables and graphs to understand conclusions. More I formation about practical implications of this work will strengthen the presentation. 
Comment: Unique, complex, innovative, significant study.  A complex study for presentation in such limited time.  Presentor did an excellent job displayed superior knowledge of study/content.  Well articulated future study opportunities.  No recommendations unfortunately except for more time for presentation.  A little like drinking from a fire hose and I know the general topic but not the study intervention.  
Comment: Presenter demonstrated strong presentation skills and a deep understanding of the subject matter and complex methods used. </v>
      </c>
      <c r="K355" t="s">
        <v>5228</v>
      </c>
    </row>
    <row r="356">
      <c r="A356" s="345">
        <v>447.0</v>
      </c>
      <c r="B356" s="346" t="s">
        <v>3373</v>
      </c>
      <c r="C356" s="346" t="s">
        <v>3374</v>
      </c>
      <c r="D356" s="346" t="s">
        <v>3377</v>
      </c>
      <c r="E356" s="346" t="s">
        <v>2120</v>
      </c>
      <c r="F356" s="346" t="s">
        <v>2121</v>
      </c>
      <c r="G356" s="346" t="s">
        <v>784</v>
      </c>
      <c r="H356" s="346" t="s">
        <v>2122</v>
      </c>
      <c r="I356" s="347" t="s">
        <v>3375</v>
      </c>
      <c r="J356" t="str">
        <f>IFERROR(__xludf.DUMMYFUNCTION("IFERROR(
    ARRAYFORMULA(
        JOIN(
            CHAR(10) &amp; CHAR(10),
            ""Comment: "" &amp; FILTER(
                'Scores Import DO NOT EDIT'!N:N, 
                'Scores Import DO NOT EDIT'!D:D = A356
            )
        )
    ), 
    ""No"&amp;" comments yet""
)
"),"Comment: Strong presentation. Very interesting topic.  A little more discussion of the methodology and possible interpretations of the data was needed. 
Comment: 
Comment: Interesting study and very well presented.  Uncertain as to significance/impact o"&amp;"f the study a bit and how researchers will build on the findings or suggest utilization of findings.  Researcher identified potential value in future study to have a qualitative design for increased value which I agree with.  Also, more insight/assessment"&amp;" into regional cultural influences on findings may be valuable.  
Comment: ")</f>
        <v>Comment: Strong presentation. Very interesting topic.  A little more discussion of the methodology and possible interpretations of the data was needed. 
Comment: 
Comment: Interesting study and very well presented.  Uncertain as to significance/impact of the study a bit and how researchers will build on the findings or suggest utilization of findings.  Researcher identified potential value in future study to have a qualitative design for increased value which I agree with.  Also, more insight/assessment into regional cultural influences on findings may be valuable.  
Comment: </v>
      </c>
      <c r="K356" t="s">
        <v>5229</v>
      </c>
    </row>
    <row r="357">
      <c r="A357" s="345">
        <v>448.0</v>
      </c>
      <c r="B357" s="346" t="s">
        <v>3380</v>
      </c>
      <c r="C357" s="346" t="s">
        <v>3381</v>
      </c>
      <c r="D357" s="346" t="s">
        <v>3383</v>
      </c>
      <c r="E357" s="346" t="s">
        <v>2863</v>
      </c>
      <c r="F357" s="346" t="s">
        <v>1856</v>
      </c>
      <c r="G357" s="346" t="s">
        <v>764</v>
      </c>
      <c r="H357" s="346" t="s">
        <v>1857</v>
      </c>
      <c r="I357" s="347" t="s">
        <v>3382</v>
      </c>
      <c r="J357" t="str">
        <f>IFERROR(__xludf.DUMMYFUNCTION("IFERROR(
    ARRAYFORMULA(
        JOIN(
            CHAR(10) &amp; CHAR(10),
            ""Comment: "" &amp; FILTER(
                'Scores Import DO NOT EDIT'!N:N, 
                'Scores Import DO NOT EDIT'!D:D = A357
            )
        )
    ), 
    ""No"&amp;" comments yet""
)
"),"Comment: A beautiful job presenting and explaining th difficult concepts. The poster was well organized. Perhaps my only criticism is being on-time for the presentation time-frame. 
Comment: 
Comment: 
Comment: Original work that will have practical ap"&amp;"plications. The presenter is very natural and confident.")</f>
        <v>Comment: A beautiful job presenting and explaining th difficult concepts. The poster was well organized. Perhaps my only criticism is being on-time for the presentation time-frame. 
Comment: 
Comment: 
Comment: Original work that will have practical applications. The presenter is very natural and confident.</v>
      </c>
      <c r="K357" t="s">
        <v>5230</v>
      </c>
    </row>
    <row r="358">
      <c r="A358" s="345">
        <v>449.0</v>
      </c>
      <c r="B358" s="346" t="s">
        <v>2322</v>
      </c>
      <c r="C358" s="346" t="s">
        <v>3385</v>
      </c>
      <c r="D358" s="346" t="s">
        <v>3388</v>
      </c>
      <c r="E358" s="346" t="s">
        <v>1492</v>
      </c>
      <c r="F358" s="346" t="s">
        <v>1493</v>
      </c>
      <c r="G358" s="346" t="s">
        <v>764</v>
      </c>
      <c r="H358" s="346" t="s">
        <v>1494</v>
      </c>
      <c r="I358" s="347" t="s">
        <v>3386</v>
      </c>
      <c r="J358" t="str">
        <f>IFERROR(__xludf.DUMMYFUNCTION("IFERROR(
    ARRAYFORMULA(
        JOIN(
            CHAR(10) &amp; CHAR(10),
            ""Comment: "" &amp; FILTER(
                'Scores Import DO NOT EDIT'!N:N, 
                'Scores Import DO NOT EDIT'!D:D = A358
            )
        )
    ), 
    ""No"&amp;" comments yet""
)
"),"Comment: 
Comment: Great foundamental research on an important topic.
Comment: ")</f>
        <v>Comment: 
Comment: Great foundamental research on an important topic.
Comment: </v>
      </c>
      <c r="K358" t="s">
        <v>5231</v>
      </c>
    </row>
    <row r="359">
      <c r="A359" s="345">
        <v>450.0</v>
      </c>
      <c r="B359" s="346" t="s">
        <v>1425</v>
      </c>
      <c r="C359" s="346" t="s">
        <v>3390</v>
      </c>
      <c r="D359" s="346" t="s">
        <v>3393</v>
      </c>
      <c r="E359" s="346" t="s">
        <v>963</v>
      </c>
      <c r="F359" s="346" t="s">
        <v>964</v>
      </c>
      <c r="G359" s="346" t="s">
        <v>764</v>
      </c>
      <c r="H359" s="346" t="s">
        <v>965</v>
      </c>
      <c r="I359" s="347" t="s">
        <v>3391</v>
      </c>
      <c r="J359" t="str">
        <f>IFERROR(__xludf.DUMMYFUNCTION("IFERROR(
    ARRAYFORMULA(
        JOIN(
            CHAR(10) &amp; CHAR(10),
            ""Comment: "" &amp; FILTER(
                'Scores Import DO NOT EDIT'!N:N, 
                'Scores Import DO NOT EDIT'!D:D = A359
            )
        )
    ), 
    ""No"&amp;" comments yet""
)
"),"Comment: 
Comment: 
Comment: The poster was well laid out and the presentation was very good. Suggest the presenter take a moment to acknowledge someone with a head nod or something while waiting to ask questions.
Comment: Great work with a large amoun"&amp;"t of data. The poster is vell organized and very clear. The presenter is very natural and confident. I am very impressed with the amount of work done in the short period time.")</f>
        <v>Comment: 
Comment: 
Comment: The poster was well laid out and the presentation was very good. Suggest the presenter take a moment to acknowledge someone with a head nod or something while waiting to ask questions.
Comment: Great work with a large amount of data. The poster is vell organized and very clear. The presenter is very natural and confident. I am very impressed with the amount of work done in the short period time.</v>
      </c>
      <c r="K359" t="s">
        <v>5232</v>
      </c>
    </row>
    <row r="360">
      <c r="A360" s="345">
        <v>451.0</v>
      </c>
      <c r="B360" s="346" t="s">
        <v>3395</v>
      </c>
      <c r="C360" s="346" t="s">
        <v>3396</v>
      </c>
      <c r="D360" s="346" t="s">
        <v>3399</v>
      </c>
      <c r="E360" s="346" t="s">
        <v>2863</v>
      </c>
      <c r="F360" s="346" t="s">
        <v>1856</v>
      </c>
      <c r="G360" s="346" t="s">
        <v>764</v>
      </c>
      <c r="H360" s="346" t="s">
        <v>1857</v>
      </c>
      <c r="I360" s="347" t="s">
        <v>3397</v>
      </c>
      <c r="J360" t="str">
        <f>IFERROR(__xludf.DUMMYFUNCTION("IFERROR(
    ARRAYFORMULA(
        JOIN(
            CHAR(10) &amp; CHAR(10),
            ""Comment: "" &amp; FILTER(
                'Scores Import DO NOT EDIT'!N:N, 
                'Scores Import DO NOT EDIT'!D:D = A360
            )
        )
    ), 
    ""No"&amp;" comments yet""
)
"),"Comment: 
Comment: 
Comment: Very good job answering some difficult questions regarding methods. The only critque would be to maybe consider adding information about the  outliers in the data and possible effects (skewness, etc.)
Comment: It is a trend"&amp;"y topic to use deep learning. Great pioneering work.")</f>
        <v>Comment: 
Comment: 
Comment: Very good job answering some difficult questions regarding methods. The only critque would be to maybe consider adding information about the  outliers in the data and possible effects (skewness, etc.)
Comment: It is a trendy topic to use deep learning. Great pioneering work.</v>
      </c>
      <c r="K360" t="s">
        <v>5233</v>
      </c>
    </row>
    <row r="361">
      <c r="A361" s="345">
        <v>452.0</v>
      </c>
      <c r="B361" s="346" t="s">
        <v>1875</v>
      </c>
      <c r="C361" s="346" t="s">
        <v>3401</v>
      </c>
      <c r="D361" s="346" t="s">
        <v>3404</v>
      </c>
      <c r="E361" s="346" t="s">
        <v>3406</v>
      </c>
      <c r="F361" s="346" t="s">
        <v>1968</v>
      </c>
      <c r="G361" s="346" t="s">
        <v>784</v>
      </c>
      <c r="H361" s="346" t="s">
        <v>1969</v>
      </c>
      <c r="I361" s="347" t="s">
        <v>3402</v>
      </c>
      <c r="J361" t="str">
        <f>IFERROR(__xludf.DUMMYFUNCTION("IFERROR(
    ARRAYFORMULA(
        JOIN(
            CHAR(10) &amp; CHAR(10),
            ""Comment: "" &amp; FILTER(
                'Scores Import DO NOT EDIT'!N:N, 
                'Scores Import DO NOT EDIT'!D:D = A361
            )
        )
    ), 
    ""No"&amp;" comments yet""
)
"),"Comment: 
Comment: 
Comment: A noteably remarkable poster presentation. Wondering why she did not do this as an oral presentation. She definitely knew her material well beyond what was on the text on the poster and was able to answer challenging questio"&amp;"ns. One critique, would be to use a different color scheme to make it easier to differentiate between the text and the images. Other than that, wonderful work.
Comment: The presenter is confident and knows the topic well. The poster could be improved.")</f>
        <v>Comment: 
Comment: 
Comment: A noteably remarkable poster presentation. Wondering why she did not do this as an oral presentation. She definitely knew her material well beyond what was on the text on the poster and was able to answer challenging questions. One critique, would be to use a different color scheme to make it easier to differentiate between the text and the images. Other than that, wonderful work.
Comment: The presenter is confident and knows the topic well. The poster could be improved.</v>
      </c>
      <c r="K361" t="s">
        <v>5234</v>
      </c>
    </row>
    <row r="362">
      <c r="A362" s="345">
        <v>453.0</v>
      </c>
      <c r="B362" s="346" t="s">
        <v>5235</v>
      </c>
      <c r="C362" s="346" t="s">
        <v>3408</v>
      </c>
      <c r="D362" s="346" t="s">
        <v>3411</v>
      </c>
      <c r="E362" s="346" t="s">
        <v>1875</v>
      </c>
      <c r="F362" s="346" t="s">
        <v>5236</v>
      </c>
      <c r="G362" s="346" t="s">
        <v>764</v>
      </c>
      <c r="H362" s="346" t="s">
        <v>3415</v>
      </c>
      <c r="I362" s="347" t="s">
        <v>3409</v>
      </c>
      <c r="J362" t="str">
        <f>IFERROR(__xludf.DUMMYFUNCTION("IFERROR(
    ARRAYFORMULA(
        JOIN(
            CHAR(10) &amp; CHAR(10),
            ""Comment: "" &amp; FILTER(
                'Scores Import DO NOT EDIT'!N:N, 
                'Scores Import DO NOT EDIT'!D:D = A362
            )
        )
    ), 
    ""No"&amp;" comments yet""
)
"),"Comment: 
Comment: The presenter presented the topic clearly. The slides could be improved.
Comment: ")</f>
        <v>Comment: 
Comment: The presenter presented the topic clearly. The slides could be improved.
Comment: </v>
      </c>
      <c r="K362" t="s">
        <v>5237</v>
      </c>
    </row>
    <row r="363">
      <c r="A363" s="345">
        <v>454.0</v>
      </c>
      <c r="B363" s="346" t="s">
        <v>1868</v>
      </c>
      <c r="C363" s="346" t="s">
        <v>3416</v>
      </c>
      <c r="D363" s="346" t="s">
        <v>3419</v>
      </c>
      <c r="E363" s="346" t="s">
        <v>3421</v>
      </c>
      <c r="F363" s="346" t="s">
        <v>4170</v>
      </c>
      <c r="G363" s="346" t="s">
        <v>1376</v>
      </c>
      <c r="H363" s="346" t="s">
        <v>3423</v>
      </c>
      <c r="I363" s="347" t="s">
        <v>3417</v>
      </c>
      <c r="J363" t="str">
        <f>IFERROR(__xludf.DUMMYFUNCTION("IFERROR(
    ARRAYFORMULA(
        JOIN(
            CHAR(10) &amp; CHAR(10),
            ""Comment: "" &amp; FILTER(
                'Scores Import DO NOT EDIT'!N:N, 
                'Scores Import DO NOT EDIT'!D:D = A363
            )
        )
    ), 
    ""No"&amp;" comments yet""
)
"),"Comment: 
Comment: The flow cytomotry work is interesting. The project is at the beginning stage. 
Comment: 
Comment: Such a great subject and though the presentation of the material was longer than anticipated, he did a very good job. A conderation wo"&amp;"uld be to better illustrate the limitations of the findings, for example, the samples used were frozen and therefore may not have yielded the best results. Also, document the actual process  in the methods section, not the ideal process, unless it is show"&amp;"n in the further research section of the poster.")</f>
        <v>Comment: 
Comment: The flow cytomotry work is interesting. The project is at the beginning stage. 
Comment: 
Comment: Such a great subject and though the presentation of the material was longer than anticipated, he did a very good job. A conderation would be to better illustrate the limitations of the findings, for example, the samples used were frozen and therefore may not have yielded the best results. Also, document the actual process  in the methods section, not the ideal process, unless it is shown in the further research section of the poster.</v>
      </c>
      <c r="K363" t="s">
        <v>5238</v>
      </c>
    </row>
    <row r="364">
      <c r="A364" s="345">
        <v>455.0</v>
      </c>
      <c r="B364" s="346" t="s">
        <v>3424</v>
      </c>
      <c r="C364" s="346" t="s">
        <v>3425</v>
      </c>
      <c r="D364" s="346" t="s">
        <v>3428</v>
      </c>
      <c r="E364" s="346" t="s">
        <v>1967</v>
      </c>
      <c r="F364" s="346" t="s">
        <v>1968</v>
      </c>
      <c r="G364" s="346" t="s">
        <v>784</v>
      </c>
      <c r="H364" s="346" t="s">
        <v>1969</v>
      </c>
      <c r="I364" s="347" t="s">
        <v>3426</v>
      </c>
      <c r="J364" t="str">
        <f>IFERROR(__xludf.DUMMYFUNCTION("IFERROR(
    ARRAYFORMULA(
        JOIN(
            CHAR(10) &amp; CHAR(10),
            ""Comment: "" &amp; FILTER(
                'Scores Import DO NOT EDIT'!N:N, 
                'Scores Import DO NOT EDIT'!D:D = A364
            )
        )
    ), 
    ""No"&amp;" comments yet""
)
"),"Comment: 
Comment: 
Comment: Well designed poster. Very good at communicating the more complicated aspects of the subject. Good eye contact with audience. Would suggest making the poster a little bigger so the smaller images are larger and can be better"&amp;" identified.
Comment: The speaker is natural and professional. The poster layout/alignment could be improved.")</f>
        <v>Comment: 
Comment: 
Comment: Well designed poster. Very good at communicating the more complicated aspects of the subject. Good eye contact with audience. Would suggest making the poster a little bigger so the smaller images are larger and can be better identified.
Comment: The speaker is natural and professional. The poster layout/alignment could be improved.</v>
      </c>
      <c r="K364" t="s">
        <v>5239</v>
      </c>
    </row>
    <row r="365">
      <c r="A365" s="345">
        <v>456.0</v>
      </c>
      <c r="B365" s="346" t="s">
        <v>3430</v>
      </c>
      <c r="C365" s="346" t="s">
        <v>3431</v>
      </c>
      <c r="D365" s="346" t="s">
        <v>3434</v>
      </c>
      <c r="E365" s="346" t="s">
        <v>5240</v>
      </c>
      <c r="F365" s="346" t="s">
        <v>1160</v>
      </c>
      <c r="G365" s="346" t="s">
        <v>773</v>
      </c>
      <c r="H365" s="346" t="s">
        <v>3437</v>
      </c>
      <c r="I365" s="347" t="s">
        <v>3432</v>
      </c>
      <c r="J365" t="str">
        <f>IFERROR(__xludf.DUMMYFUNCTION("IFERROR(
    ARRAYFORMULA(
        JOIN(
            CHAR(10) &amp; CHAR(10),
            ""Comment: "" &amp; FILTER(
                'Scores Import DO NOT EDIT'!N:N, 
                'Scores Import DO NOT EDIT'!D:D = A365
            )
        )
    ), 
    ""No"&amp;" comments yet""
)
"),"Comment: 
Comment: Delivery was exceptional, Student demonstrated great expertise and enthusiasm. The work is important and it was well presented, it looks publication ready. 
Comment: 
Comment: ")</f>
        <v>Comment: 
Comment: Delivery was exceptional, Student demonstrated great expertise and enthusiasm. The work is important and it was well presented, it looks publication ready. 
Comment: 
Comment: </v>
      </c>
      <c r="K365" t="s">
        <v>5241</v>
      </c>
    </row>
    <row r="366">
      <c r="A366" s="345">
        <v>457.0</v>
      </c>
      <c r="B366" s="346" t="s">
        <v>3296</v>
      </c>
      <c r="C366" s="346" t="s">
        <v>3438</v>
      </c>
      <c r="D366" s="346" t="s">
        <v>3441</v>
      </c>
      <c r="E366" s="346" t="s">
        <v>1549</v>
      </c>
      <c r="F366" s="346" t="s">
        <v>3448</v>
      </c>
      <c r="G366" s="346" t="s">
        <v>764</v>
      </c>
      <c r="H366" s="346" t="s">
        <v>3449</v>
      </c>
      <c r="I366" s="347" t="s">
        <v>3439</v>
      </c>
      <c r="J366" t="str">
        <f>IFERROR(__xludf.DUMMYFUNCTION("IFERROR(
    ARRAYFORMULA(
        JOIN(
            CHAR(10) &amp; CHAR(10),
            ""Comment: "" &amp; FILTER(
                'Scores Import DO NOT EDIT'!N:N, 
                'Scores Import DO NOT EDIT'!D:D = A366
            )
        )
    ), 
    ""No"&amp;" comments yet""
)
"),"Comment: 
Comment: 
Comment: Students answered judges questions very well. The results and methodology could have been emphasized more, figures should be larger. 
Comment: ")</f>
        <v>Comment: 
Comment: 
Comment: Students answered judges questions very well. The results and methodology could have been emphasized more, figures should be larger. 
Comment: </v>
      </c>
      <c r="K366" t="s">
        <v>5242</v>
      </c>
    </row>
    <row r="367">
      <c r="A367" s="345">
        <v>458.0</v>
      </c>
      <c r="B367" s="346" t="s">
        <v>788</v>
      </c>
      <c r="C367" s="346" t="s">
        <v>3450</v>
      </c>
      <c r="D367" s="346" t="s">
        <v>3453</v>
      </c>
      <c r="E367" s="346" t="s">
        <v>3455</v>
      </c>
      <c r="F367" s="346" t="s">
        <v>3456</v>
      </c>
      <c r="G367" s="346" t="s">
        <v>1661</v>
      </c>
      <c r="H367" s="346" t="s">
        <v>3457</v>
      </c>
      <c r="I367" s="347" t="s">
        <v>3451</v>
      </c>
      <c r="J367" t="str">
        <f>IFERROR(__xludf.DUMMYFUNCTION("IFERROR(
    ARRAYFORMULA(
        JOIN(
            CHAR(10) &amp; CHAR(10),
            ""Comment: "" &amp; FILTER(
                'Scores Import DO NOT EDIT'!N:N, 
                'Scores Import DO NOT EDIT'!D:D = A367
            )
        )
    ), 
    ""No"&amp;" comments yet""
)
"),"Comment: Need more on results less on motivation 
Comment: Student had a great introduction and explanation of background and significance of the work. Wished the student would have emphasized the methodology of the research and mentioned more data point"&amp;"s collected and results of the survey (such as how many participants surveyed/how many responded/etc). 
Comment: ")</f>
        <v>Comment: Need more on results less on motivation 
Comment: Student had a great introduction and explanation of background and significance of the work. Wished the student would have emphasized the methodology of the research and mentioned more data points collected and results of the survey (such as how many participants surveyed/how many responded/etc). 
Comment: </v>
      </c>
      <c r="K367" t="s">
        <v>5243</v>
      </c>
    </row>
    <row r="368">
      <c r="A368" s="345">
        <v>459.0</v>
      </c>
      <c r="B368" s="346" t="s">
        <v>3458</v>
      </c>
      <c r="C368" s="346" t="s">
        <v>3459</v>
      </c>
      <c r="D368" s="346" t="s">
        <v>3461</v>
      </c>
      <c r="E368" s="346" t="s">
        <v>841</v>
      </c>
      <c r="F368" s="346" t="s">
        <v>842</v>
      </c>
      <c r="G368" s="346" t="s">
        <v>773</v>
      </c>
      <c r="H368" s="346" t="s">
        <v>843</v>
      </c>
      <c r="I368" s="347" t="s">
        <v>3460</v>
      </c>
      <c r="J368" t="str">
        <f>IFERROR(__xludf.DUMMYFUNCTION("IFERROR(
    ARRAYFORMULA(
        JOIN(
            CHAR(10) &amp; CHAR(10),
            ""Comment: "" &amp; FILTER(
                'Scores Import DO NOT EDIT'!N:N, 
                'Scores Import DO NOT EDIT'!D:D = A368
            )
        )
    ), 
    ""No"&amp;" comments yet""
)
"),"Comment: 
Comment: 
Comment: Student was very professional, described the significance methodology and results well. Would have been interesting to include more context via some literature review , ie how does the work compare to similar published work."&amp;" 
Comment: ")</f>
        <v>Comment: 
Comment: 
Comment: Student was very professional, described the significance methodology and results well. Would have been interesting to include more context via some literature review , ie how does the work compare to similar published work. 
Comment: </v>
      </c>
      <c r="K368" t="s">
        <v>5244</v>
      </c>
    </row>
    <row r="369">
      <c r="A369" s="345">
        <v>460.0</v>
      </c>
      <c r="B369" s="346" t="s">
        <v>1882</v>
      </c>
      <c r="C369" s="346" t="s">
        <v>3463</v>
      </c>
      <c r="D369" s="346" t="s">
        <v>5245</v>
      </c>
      <c r="E369" s="346" t="s">
        <v>832</v>
      </c>
      <c r="F369" s="346" t="s">
        <v>833</v>
      </c>
      <c r="G369" s="346" t="s">
        <v>773</v>
      </c>
      <c r="H369" s="346" t="s">
        <v>834</v>
      </c>
      <c r="I369" s="347" t="s">
        <v>3464</v>
      </c>
      <c r="J369" t="str">
        <f>IFERROR(__xludf.DUMMYFUNCTION("IFERROR(
    ARRAYFORMULA(
        JOIN(
            CHAR(10) &amp; CHAR(10),
            ""Comment: "" &amp; FILTER(
                'Scores Import DO NOT EDIT'!N:N, 
                'Scores Import DO NOT EDIT'!D:D = A369
            )
        )
    ), 
    ""No"&amp;" comments yet""
)
"),"Comment: 
Comment: 
Comment: Poster is well organized and unique to grab audience attention. Student demonstrates exceptional independent and critical thinking, has own ideas of what she would like to investigate next. 
Comment: ")</f>
        <v>Comment: 
Comment: 
Comment: Poster is well organized and unique to grab audience attention. Student demonstrates exceptional independent and critical thinking, has own ideas of what she would like to investigate next. 
Comment: </v>
      </c>
      <c r="K369" t="s">
        <v>5246</v>
      </c>
    </row>
    <row r="370">
      <c r="A370" s="345">
        <v>461.0</v>
      </c>
      <c r="B370" s="346" t="s">
        <v>3468</v>
      </c>
      <c r="C370" s="346" t="s">
        <v>3469</v>
      </c>
      <c r="D370" s="346" t="s">
        <v>3472</v>
      </c>
      <c r="E370" s="346" t="s">
        <v>1492</v>
      </c>
      <c r="F370" s="346" t="s">
        <v>1493</v>
      </c>
      <c r="G370" s="346" t="s">
        <v>764</v>
      </c>
      <c r="H370" s="346" t="s">
        <v>1494</v>
      </c>
      <c r="I370" s="347" t="s">
        <v>3470</v>
      </c>
      <c r="J370" t="str">
        <f>IFERROR(__xludf.DUMMYFUNCTION("IFERROR(
    ARRAYFORMULA(
        JOIN(
            CHAR(10) &amp; CHAR(10),
            ""Comment: "" &amp; FILTER(
                'Scores Import DO NOT EDIT'!N:N, 
                'Scores Import DO NOT EDIT'!D:D = A370
            )
        )
    ), 
    ""No"&amp;" comments yet""
)
"),"Comment: 
Comment: 
Comment: ")</f>
        <v>Comment: 
Comment: 
Comment: </v>
      </c>
      <c r="K370" t="s">
        <v>5247</v>
      </c>
    </row>
    <row r="371">
      <c r="A371" s="345">
        <v>462.0</v>
      </c>
      <c r="B371" s="346" t="s">
        <v>3474</v>
      </c>
      <c r="C371" s="346" t="s">
        <v>3475</v>
      </c>
      <c r="D371" s="346" t="s">
        <v>3477</v>
      </c>
      <c r="E371" s="346" t="s">
        <v>5248</v>
      </c>
      <c r="F371" s="346" t="s">
        <v>3484</v>
      </c>
      <c r="G371" s="346" t="s">
        <v>764</v>
      </c>
      <c r="H371" s="346" t="s">
        <v>3485</v>
      </c>
      <c r="I371" s="347" t="s">
        <v>3476</v>
      </c>
      <c r="J371" t="str">
        <f>IFERROR(__xludf.DUMMYFUNCTION("IFERROR(
    ARRAYFORMULA(
        JOIN(
            CHAR(10) &amp; CHAR(10),
            ""Comment: "" &amp; FILTER(
                'Scores Import DO NOT EDIT'!N:N, 
                'Scores Import DO NOT EDIT'!D:D = A371
            )
        )
    ), 
    ""No"&amp;" comments yet""
)
"),"Comment: 
Comment: 
Comment: ")</f>
        <v>Comment: 
Comment: 
Comment: </v>
      </c>
      <c r="K371" t="s">
        <v>5247</v>
      </c>
    </row>
    <row r="372">
      <c r="A372" s="345">
        <v>463.0</v>
      </c>
      <c r="B372" s="346" t="s">
        <v>3486</v>
      </c>
      <c r="C372" s="346" t="s">
        <v>3487</v>
      </c>
      <c r="D372" s="346" t="s">
        <v>3490</v>
      </c>
      <c r="E372" s="346" t="s">
        <v>3492</v>
      </c>
      <c r="F372" s="346" t="s">
        <v>1683</v>
      </c>
      <c r="G372" s="346" t="s">
        <v>764</v>
      </c>
      <c r="H372" s="346" t="s">
        <v>2873</v>
      </c>
      <c r="I372" s="347" t="s">
        <v>3488</v>
      </c>
      <c r="J372" t="str">
        <f>IFERROR(__xludf.DUMMYFUNCTION("IFERROR(
    ARRAYFORMULA(
        JOIN(
            CHAR(10) &amp; CHAR(10),
            ""Comment: "" &amp; FILTER(
                'Scores Import DO NOT EDIT'!N:N, 
                'Scores Import DO NOT EDIT'!D:D = A372
            )
        )
    ), 
    ""No"&amp;" comments yet""
)
"),"Comment: 
Comment: 
Comment: ")</f>
        <v>Comment: 
Comment: 
Comment: </v>
      </c>
      <c r="K372" t="s">
        <v>5247</v>
      </c>
    </row>
    <row r="373">
      <c r="A373" s="345">
        <v>464.0</v>
      </c>
      <c r="B373" s="346" t="s">
        <v>3493</v>
      </c>
      <c r="C373" s="346" t="s">
        <v>2871</v>
      </c>
      <c r="D373" s="346" t="s">
        <v>3496</v>
      </c>
      <c r="E373" s="346" t="s">
        <v>3492</v>
      </c>
      <c r="F373" s="346" t="s">
        <v>1683</v>
      </c>
      <c r="G373" s="346" t="s">
        <v>764</v>
      </c>
      <c r="H373" s="346" t="s">
        <v>2873</v>
      </c>
      <c r="I373" s="347" t="s">
        <v>3494</v>
      </c>
      <c r="J373" t="str">
        <f>IFERROR(__xludf.DUMMYFUNCTION("IFERROR(
    ARRAYFORMULA(
        JOIN(
            CHAR(10) &amp; CHAR(10),
            ""Comment: "" &amp; FILTER(
                'Scores Import DO NOT EDIT'!N:N, 
                'Scores Import DO NOT EDIT'!D:D = A373
            )
        )
    ), 
    ""No"&amp;" comments yet""
)
"),"Comment: 
Comment: 
Comment: ")</f>
        <v>Comment: 
Comment: 
Comment: </v>
      </c>
      <c r="K373" t="s">
        <v>5247</v>
      </c>
    </row>
    <row r="374">
      <c r="A374" s="345">
        <v>465.0</v>
      </c>
      <c r="B374" s="346" t="s">
        <v>3498</v>
      </c>
      <c r="C374" s="346" t="s">
        <v>2743</v>
      </c>
      <c r="D374" s="346" t="s">
        <v>3501</v>
      </c>
      <c r="E374" s="346" t="s">
        <v>2913</v>
      </c>
      <c r="F374" s="346" t="s">
        <v>2914</v>
      </c>
      <c r="G374" s="346" t="s">
        <v>773</v>
      </c>
      <c r="H374" s="346" t="s">
        <v>2915</v>
      </c>
      <c r="I374" s="347" t="s">
        <v>3499</v>
      </c>
      <c r="J374" t="str">
        <f>IFERROR(__xludf.DUMMYFUNCTION("IFERROR(
    ARRAYFORMULA(
        JOIN(
            CHAR(10) &amp; CHAR(10),
            ""Comment: "" &amp; FILTER(
                'Scores Import DO NOT EDIT'!N:N, 
                'Scores Import DO NOT EDIT'!D:D = A374
            )
        )
    ), 
    ""No"&amp;" comments yet""
)
"),"Comment: 
Comment: 
Comment: ")</f>
        <v>Comment: 
Comment: 
Comment: </v>
      </c>
      <c r="K374" t="s">
        <v>5247</v>
      </c>
    </row>
    <row r="375">
      <c r="A375" s="345">
        <v>466.0</v>
      </c>
      <c r="B375" s="346" t="s">
        <v>2531</v>
      </c>
      <c r="C375" s="346" t="s">
        <v>3505</v>
      </c>
      <c r="D375" s="346" t="s">
        <v>3507</v>
      </c>
      <c r="E375" s="346" t="s">
        <v>2850</v>
      </c>
      <c r="F375" s="346" t="s">
        <v>3216</v>
      </c>
      <c r="G375" s="346" t="s">
        <v>764</v>
      </c>
      <c r="H375" s="346" t="s">
        <v>3217</v>
      </c>
      <c r="I375" s="347" t="s">
        <v>3506</v>
      </c>
      <c r="J375" t="str">
        <f>IFERROR(__xludf.DUMMYFUNCTION("IFERROR(
    ARRAYFORMULA(
        JOIN(
            CHAR(10) &amp; CHAR(10),
            ""Comment: "" &amp; FILTER(
                'Scores Import DO NOT EDIT'!N:N, 
                'Scores Import DO NOT EDIT'!D:D = A375
            )
        )
    ), 
    ""No"&amp;" comments yet""
)
"),"Comment: 
Comment: 
Comment: ")</f>
        <v>Comment: 
Comment: 
Comment: </v>
      </c>
      <c r="K375" t="s">
        <v>5247</v>
      </c>
    </row>
    <row r="376">
      <c r="A376" s="345">
        <v>467.0</v>
      </c>
      <c r="B376" s="346" t="s">
        <v>3513</v>
      </c>
      <c r="C376" s="346" t="s">
        <v>3514</v>
      </c>
      <c r="D376" s="346" t="s">
        <v>3516</v>
      </c>
      <c r="E376" s="346" t="s">
        <v>3492</v>
      </c>
      <c r="F376" s="346" t="s">
        <v>1683</v>
      </c>
      <c r="G376" s="346" t="s">
        <v>764</v>
      </c>
      <c r="H376" s="346" t="s">
        <v>2873</v>
      </c>
      <c r="I376" s="347" t="s">
        <v>3515</v>
      </c>
      <c r="J376" t="str">
        <f>IFERROR(__xludf.DUMMYFUNCTION("IFERROR(
    ARRAYFORMULA(
        JOIN(
            CHAR(10) &amp; CHAR(10),
            ""Comment: "" &amp; FILTER(
                'Scores Import DO NOT EDIT'!N:N, 
                'Scores Import DO NOT EDIT'!D:D = A376
            )
        )
    ), 
    ""No"&amp;" comments yet""
)
"),"Comment: 
Comment: ")</f>
        <v>Comment: 
Comment: </v>
      </c>
      <c r="K376" t="s">
        <v>5115</v>
      </c>
    </row>
    <row r="377">
      <c r="A377" s="345">
        <v>468.0</v>
      </c>
      <c r="B377" s="346" t="s">
        <v>2350</v>
      </c>
      <c r="C377" s="346" t="s">
        <v>3518</v>
      </c>
      <c r="D377" s="346" t="s">
        <v>3521</v>
      </c>
      <c r="E377" s="346" t="s">
        <v>3523</v>
      </c>
      <c r="F377" s="346" t="s">
        <v>3524</v>
      </c>
      <c r="G377" s="346" t="s">
        <v>753</v>
      </c>
      <c r="H377" s="346" t="s">
        <v>3525</v>
      </c>
      <c r="I377" s="347" t="s">
        <v>3519</v>
      </c>
      <c r="J377" t="str">
        <f>IFERROR(__xludf.DUMMYFUNCTION("IFERROR(
    ARRAYFORMULA(
        JOIN(
            CHAR(10) &amp; CHAR(10),
            ""Comment: "" &amp; FILTER(
                'Scores Import DO NOT EDIT'!N:N, 
                'Scores Import DO NOT EDIT'!D:D = A377
            )
        )
    ), 
    ""No"&amp;" comments yet""
)
"),"Comment: Professional explanation and expressions about the poster. Knows clearly and sufficiently about the study to answer all my questions. Also possessed sense of humor :) There could be more explanation about the background of the study and the liter"&amp;"ature that indicated the necessity of the study. Look forward to the study being done on bugger and more diverse samples:)
Comment: 
Comment: 1) Positive - Glad to see students are interested/invested on how their peers are receiving support/services fr"&amp;"om academic advising 
2) Improvements - Responses only from COMM 103, which is a course for General Education Oral Communications requirement. Perhaps responses from other courses from one department, one College, etc. Also, share with Assistant Dean for "&amp;"Student Affairs in the College of Professional Studies and Fine Arts (PSFA) about this project since she oversees academic advising for her College
Comment: Very natural delivery. Great information on topic. More visuals on poster")</f>
        <v>Comment: Professional explanation and expressions about the poster. Knows clearly and sufficiently about the study to answer all my questions. Also possessed sense of humor :) There could be more explanation about the background of the study and the literature that indicated the necessity of the study. Look forward to the study being done on bugger and more diverse samples:)
Comment: 
Comment: 1) Positive - Glad to see students are interested/invested on how their peers are receiving support/services from academic advising 
2) Improvements - Responses only from COMM 103, which is a course for General Education Oral Communications requirement. Perhaps responses from other courses from one department, one College, etc. Also, share with Assistant Dean for Student Affairs in the College of Professional Studies and Fine Arts (PSFA) about this project since she oversees academic advising for her College
Comment: Very natural delivery. Great information on topic. More visuals on poster</v>
      </c>
      <c r="K377" t="s">
        <v>5249</v>
      </c>
    </row>
    <row r="378">
      <c r="A378" s="345">
        <v>469.0</v>
      </c>
      <c r="B378" s="346" t="s">
        <v>1463</v>
      </c>
      <c r="C378" s="346" t="s">
        <v>3526</v>
      </c>
      <c r="D378" s="346" t="s">
        <v>3528</v>
      </c>
      <c r="E378" s="346" t="s">
        <v>3530</v>
      </c>
      <c r="F378" s="346" t="s">
        <v>3531</v>
      </c>
      <c r="G378" s="346" t="s">
        <v>784</v>
      </c>
      <c r="H378" s="346" t="s">
        <v>3532</v>
      </c>
      <c r="I378" s="347" t="s">
        <v>3527</v>
      </c>
      <c r="J378" t="str">
        <f>IFERROR(__xludf.DUMMYFUNCTION("IFERROR(
    ARRAYFORMULA(
        JOIN(
            CHAR(10) &amp; CHAR(10),
            ""Comment: "" &amp; FILTER(
                'Scores Import DO NOT EDIT'!N:N, 
                'Scores Import DO NOT EDIT'!D:D = A378
            )
        )
    ), 
    ""No"&amp;" comments yet""
)
"),"Comment: 
Comment: Great info on sound baths. Need more visuals and pister would benefit from more visuals and less vocabulary or paragraphs. 
Comment: 1) Positive - Since practice self-care is one of the six SDSU's Successful Students, sound baths woul"&amp;"d be a great addition at SDSU. Hopefully, student's research would lead it to become a reality at SDSU
2) Improvements - More sample sizes. Would it be possible to include staff and faculty?")</f>
        <v>Comment: 
Comment: Great info on sound baths. Need more visuals and pister would benefit from more visuals and less vocabulary or paragraphs. 
Comment: 1) Positive - Since practice self-care is one of the six SDSU's Successful Students, sound baths would be a great addition at SDSU. Hopefully, student's research would lead it to become a reality at SDSU
2) Improvements - More sample sizes. Would it be possible to include staff and faculty?</v>
      </c>
      <c r="K378" t="s">
        <v>5250</v>
      </c>
    </row>
    <row r="379">
      <c r="A379" s="345">
        <v>470.0</v>
      </c>
      <c r="B379" s="346" t="s">
        <v>3533</v>
      </c>
      <c r="C379" s="346" t="s">
        <v>1553</v>
      </c>
      <c r="D379" s="346" t="s">
        <v>3535</v>
      </c>
      <c r="E379" s="346" t="s">
        <v>3066</v>
      </c>
      <c r="F379" s="346" t="s">
        <v>3067</v>
      </c>
      <c r="G379" s="346" t="s">
        <v>764</v>
      </c>
      <c r="H379" s="346" t="s">
        <v>3068</v>
      </c>
      <c r="I379" s="347" t="s">
        <v>3534</v>
      </c>
      <c r="J379" t="str">
        <f>IFERROR(__xludf.DUMMYFUNCTION("IFERROR(
    ARRAYFORMULA(
        JOIN(
            CHAR(10) &amp; CHAR(10),
            ""Comment: "" &amp; FILTER(
                'Scores Import DO NOT EDIT'!N:N, 
                'Scores Import DO NOT EDIT'!D:D = A379
            )
        )
    ), 
    ""No"&amp;" comments yet""
)
"),"Comment: Great breakdown of data and relating information to real life.
Comment: 
Comment: 1) Positive - Appreciate the student willingness to respond to all my inquiries in a positive tone.                                                               "&amp;"                                                                                                                                                                        
2) Improvements - Larger sample size. Since career readiness is a top priority for man"&amp;"y academic colleges, would love to see this study for it so Career Services, Career Management Center, etc. know how to improve or increase career readiness for SDSU students 
Comment: The delivery of content was great, and interaction with audience is v"&amp;"ery professional. Could be better if more thoughts on future direction are given.")</f>
        <v>Comment: Great breakdown of data and relating information to real life.
Comment: 
Comment: 1) Positive - Appreciate the student willingness to respond to all my inquiries in a positive tone.                                                                                                                                                                                                                                       
2) Improvements - Larger sample size. Since career readiness is a top priority for many academic colleges, would love to see this study for it so Career Services, Career Management Center, etc. know how to improve or increase career readiness for SDSU students 
Comment: The delivery of content was great, and interaction with audience is very professional. Could be better if more thoughts on future direction are given.</v>
      </c>
      <c r="K379" t="s">
        <v>5251</v>
      </c>
    </row>
    <row r="380">
      <c r="A380" s="345">
        <v>471.0</v>
      </c>
      <c r="B380" s="346" t="s">
        <v>3146</v>
      </c>
      <c r="C380" s="346" t="s">
        <v>3537</v>
      </c>
      <c r="D380" s="346" t="s">
        <v>3540</v>
      </c>
      <c r="E380" s="346" t="s">
        <v>866</v>
      </c>
      <c r="F380" s="346" t="s">
        <v>5252</v>
      </c>
      <c r="G380" s="346" t="s">
        <v>764</v>
      </c>
      <c r="H380" s="346" t="s">
        <v>868</v>
      </c>
      <c r="I380" s="347" t="s">
        <v>3538</v>
      </c>
      <c r="J380" t="str">
        <f>IFERROR(__xludf.DUMMYFUNCTION("IFERROR(
    ARRAYFORMULA(
        JOIN(
            CHAR(10) &amp; CHAR(10),
            ""Comment: "" &amp; FILTER(
                'Scores Import DO NOT EDIT'!N:N, 
                'Scores Import DO NOT EDIT'!D:D = A380
            )
        )
    ), 
    ""No"&amp;" comments yet""
)
"),"Comment: Interesting study and great delivery of the content. Showed sufficient understanding and knowledge about the methods and findings of the study. It would be great if more thoughts be put into considering the potential influence of the study and ho"&amp;"w to generalize the findings.
Comment: 
Comment: Great deliver of presentation. 
Comment: 1) Positive - Appreciate the student responding to my and another judge's inquiries with a positive tone. 
2) Improvements - Larger sample size. Curious about how"&amp;" identity plays a role.")</f>
        <v>Comment: Interesting study and great delivery of the content. Showed sufficient understanding and knowledge about the methods and findings of the study. It would be great if more thoughts be put into considering the potential influence of the study and how to generalize the findings.
Comment: 
Comment: Great deliver of presentation. 
Comment: 1) Positive - Appreciate the student responding to my and another judge's inquiries with a positive tone. 
2) Improvements - Larger sample size. Curious about how identity plays a role.</v>
      </c>
      <c r="K380" t="s">
        <v>5253</v>
      </c>
    </row>
    <row r="381">
      <c r="A381" s="345">
        <v>472.0</v>
      </c>
      <c r="B381" s="346" t="s">
        <v>3543</v>
      </c>
      <c r="C381" s="346" t="s">
        <v>3544</v>
      </c>
      <c r="D381" s="346" t="s">
        <v>3546</v>
      </c>
      <c r="E381" s="346" t="s">
        <v>3550</v>
      </c>
      <c r="F381" s="346" t="s">
        <v>3551</v>
      </c>
      <c r="G381" s="346" t="s">
        <v>764</v>
      </c>
      <c r="H381" s="346" t="s">
        <v>3552</v>
      </c>
      <c r="I381" s="347" t="s">
        <v>3545</v>
      </c>
      <c r="J381" t="str">
        <f>IFERROR(__xludf.DUMMYFUNCTION("IFERROR(
    ARRAYFORMULA(
        JOIN(
            CHAR(10) &amp; CHAR(10),
            ""Comment: "" &amp; FILTER(
                'Scores Import DO NOT EDIT'!N:N, 
                'Scores Import DO NOT EDIT'!D:D = A381
            )
        )
    ), 
    ""No"&amp;" comments yet""
)
"),"Comment: Great visuals and introduction of topic. 
Comment: 
Comment: 1) Positive - Great sample size. Appreciate the student responding to inquiries in a positive tone. 
2) Improvements - Collaboration is constantly being mentioned in a professional se"&amp;"tting. If possible, other disciplines. Or, STEM in various geographic locations
Comment: Great presentation and highly familiar with the contents and findings. But would be better if methodology and implications of the study are explained.")</f>
        <v>Comment: Great visuals and introduction of topic. 
Comment: 
Comment: 1) Positive - Great sample size. Appreciate the student responding to inquiries in a positive tone. 
2) Improvements - Collaboration is constantly being mentioned in a professional setting. If possible, other disciplines. Or, STEM in various geographic locations
Comment: Great presentation and highly familiar with the contents and findings. But would be better if methodology and implications of the study are explained.</v>
      </c>
      <c r="K381" t="s">
        <v>5254</v>
      </c>
    </row>
    <row r="382">
      <c r="A382" s="345">
        <v>473.0</v>
      </c>
      <c r="B382" s="346" t="s">
        <v>746</v>
      </c>
      <c r="C382" s="346" t="s">
        <v>3553</v>
      </c>
      <c r="D382" s="346" t="s">
        <v>3555</v>
      </c>
      <c r="E382" s="346" t="s">
        <v>1838</v>
      </c>
      <c r="F382" s="346" t="s">
        <v>1839</v>
      </c>
      <c r="G382" s="346" t="s">
        <v>893</v>
      </c>
      <c r="H382" s="346" t="s">
        <v>1840</v>
      </c>
      <c r="I382" s="347" t="s">
        <v>3554</v>
      </c>
      <c r="J382" t="str">
        <f>IFERROR(__xludf.DUMMYFUNCTION("IFERROR(
    ARRAYFORMULA(
        JOIN(
            CHAR(10) &amp; CHAR(10),
            ""Comment: "" &amp; FILTER(
                'Scores Import DO NOT EDIT'!N:N, 
                'Scores Import DO NOT EDIT'!D:D = A382
            )
        )
    ), 
    ""No"&amp;" comments yet""
)
"),"Comment: 
Comment: Great study and super meaningful! Presenters had informative presentations and thoughtful answers to my questions. Would be better if they had more knowledge of the statistics of the study. 
Comment: Great presentation. Great explanat"&amp;"ion of visuals. 
Comment: 1) Positive - Appreciate the students responding to inquiries in a positive tone. 
2) Improvements - Larger sample size. Expand outside of Southern California.")</f>
        <v>Comment: 
Comment: Great study and super meaningful! Presenters had informative presentations and thoughtful answers to my questions. Would be better if they had more knowledge of the statistics of the study. 
Comment: Great presentation. Great explanation of visuals. 
Comment: 1) Positive - Appreciate the students responding to inquiries in a positive tone. 
2) Improvements - Larger sample size. Expand outside of Southern California.</v>
      </c>
      <c r="K382" t="s">
        <v>5255</v>
      </c>
    </row>
    <row r="383">
      <c r="A383" s="345">
        <v>474.0</v>
      </c>
      <c r="B383" s="346" t="s">
        <v>3565</v>
      </c>
      <c r="C383" s="346" t="s">
        <v>3566</v>
      </c>
      <c r="D383" s="346" t="s">
        <v>3569</v>
      </c>
      <c r="E383" s="346" t="s">
        <v>3572</v>
      </c>
      <c r="F383" s="346" t="s">
        <v>3573</v>
      </c>
      <c r="G383" s="346" t="s">
        <v>1789</v>
      </c>
      <c r="H383" s="346" t="s">
        <v>3574</v>
      </c>
      <c r="I383" s="347" t="s">
        <v>3567</v>
      </c>
      <c r="J383" t="str">
        <f>IFERROR(__xludf.DUMMYFUNCTION("IFERROR(
    ARRAYFORMULA(
        JOIN(
            CHAR(10) &amp; CHAR(10),
            ""Comment: "" &amp; FILTER(
                'Scores Import DO NOT EDIT'!N:N, 
                'Scores Import DO NOT EDIT'!D:D = A383
            )
        )
    ), 
    ""No"&amp;" comments yet""
)
"),"Comment: The presenter did a great job, answering questions, and demonstrating her enthusiasm for the subject matter. The impact on the subjects in her research are twofold both to students and the community and she made that clear. As a second year stude"&amp;"nt, this presentation was excellent. As she continues her studies and research, I suspect that her research will become even more refined And I look forward to seeing 
Comment: Research question is very interesting and meaningful, directly applicable to "&amp;"real world situations. Presentation could be clearer especially to audiences with limited knowledge of nursing and SLEs.
Comment: The student was comfortable presenting and communicated well with the audience. While the project itself was notable, and th"&amp;"e goal of engaging student nurses in rural service learning opportunities would have a great impact on both the students and the communities, I was not able to get a good sense of the research methodology from the presentation. A sample of some of the que"&amp;"stions asked of people, or even a survey of the nurses to gauge their perceptions of the interaction with the communities would have been impactful in communicating the study impact. Interesting work though and an exciting idea to build on.
Comment: This"&amp;" was a great study presentation and such an important research area! I appreciated the student's openness to questions! I would have loved some figures or a highlight of the important themes of social determinants of health that were surveyed to draw atte"&amp;"ntion to the most important findings. 
Comment: try to do some further anlysis using OLS or Probit regression tools.")</f>
        <v>Comment: The presenter did a great job, answering questions, and demonstrating her enthusiasm for the subject matter. The impact on the subjects in her research are twofold both to students and the community and she made that clear. As a second year student, this presentation was excellent. As she continues her studies and research, I suspect that her research will become even more refined And I look forward to seeing 
Comment: Research question is very interesting and meaningful, directly applicable to real world situations. Presentation could be clearer especially to audiences with limited knowledge of nursing and SLEs.
Comment: The student was comfortable presenting and communicated well with the audience. While the project itself was notable, and the goal of engaging student nurses in rural service learning opportunities would have a great impact on both the students and the communities, I was not able to get a good sense of the research methodology from the presentation. A sample of some of the questions asked of people, or even a survey of the nurses to gauge their perceptions of the interaction with the communities would have been impactful in communicating the study impact. Interesting work though and an exciting idea to build on.
Comment: This was a great study presentation and such an important research area! I appreciated the student's openness to questions! I would have loved some figures or a highlight of the important themes of social determinants of health that were surveyed to draw attention to the most important findings. 
Comment: try to do some further anlysis using OLS or Probit regression tools.</v>
      </c>
      <c r="K383" t="s">
        <v>5256</v>
      </c>
    </row>
    <row r="384">
      <c r="A384" s="345">
        <v>475.0</v>
      </c>
      <c r="B384" s="346" t="s">
        <v>3575</v>
      </c>
      <c r="C384" s="346" t="s">
        <v>3576</v>
      </c>
      <c r="D384" s="346" t="s">
        <v>3579</v>
      </c>
      <c r="E384" s="346" t="s">
        <v>2251</v>
      </c>
      <c r="F384" s="346" t="s">
        <v>2423</v>
      </c>
      <c r="G384" s="346" t="s">
        <v>784</v>
      </c>
      <c r="H384" s="346" t="s">
        <v>3582</v>
      </c>
      <c r="I384" s="347" t="s">
        <v>3577</v>
      </c>
      <c r="J384" t="str">
        <f>IFERROR(__xludf.DUMMYFUNCTION("IFERROR(
    ARRAYFORMULA(
        JOIN(
            CHAR(10) &amp; CHAR(10),
            ""Comment: "" &amp; FILTER(
                'Scores Import DO NOT EDIT'!N:N, 
                'Scores Import DO NOT EDIT'!D:D = A384
            )
        )
    ), 
    ""No"&amp;" comments yet""
)
"),"Comment: The presenter was well prepared for questions. She explained her research project very clearly, and demonstrated the relationship and impact for the community. She was willing to discuss the drawbacks of some of the methodology, and the steps she"&amp;" would take to remedy these in the future. Her poster was engaging. Well organized, and thorough. Excellent work! 
Comment: 
Comment: The presenter was very comfortable engaging with the audience and presented the information very clearly. The poster it"&amp;"self was very clearly laid out and it was easy to understand the study methodology. The only critical feedback I might give is the reference to the small sample size, but the presenter was also well aware of this and the reasons for it. It was an interest"&amp;"ing international look at an international issue. Nicely done.
Comment: 
The presenter was really engaging and their passion for the study and their work was wonderfully clear! The poster was very informative and interesting but maybe just adding some of"&amp;" the most important figures to highlight the most crucial findings will help draw attention to those findings even more next time.  
Comment: Glad to see you do survey in two contries and survey around a quite broad demographics. Would like to see more r"&amp;"igorous analysis using statistical tools such as OLS or Probit regressions. ")</f>
        <v>Comment: The presenter was well prepared for questions. She explained her research project very clearly, and demonstrated the relationship and impact for the community. She was willing to discuss the drawbacks of some of the methodology, and the steps she would take to remedy these in the future. Her poster was engaging. Well organized, and thorough. Excellent work! 
Comment: 
Comment: The presenter was very comfortable engaging with the audience and presented the information very clearly. The poster itself was very clearly laid out and it was easy to understand the study methodology. The only critical feedback I might give is the reference to the small sample size, but the presenter was also well aware of this and the reasons for it. It was an interesting international look at an international issue. Nicely done.
Comment: 
The presenter was really engaging and their passion for the study and their work was wonderfully clear! The poster was very informative and interesting but maybe just adding some of the most important figures to highlight the most crucial findings will help draw attention to those findings even more next time.  
Comment: Glad to see you do survey in two contries and survey around a quite broad demographics. Would like to see more rigorous analysis using statistical tools such as OLS or Probit regressions. </v>
      </c>
      <c r="K384" t="s">
        <v>5257</v>
      </c>
    </row>
    <row r="385">
      <c r="A385" s="345">
        <v>476.0</v>
      </c>
      <c r="B385" s="346" t="s">
        <v>3583</v>
      </c>
      <c r="C385" s="346" t="s">
        <v>3584</v>
      </c>
      <c r="D385" s="346" t="s">
        <v>3586</v>
      </c>
      <c r="E385" s="346" t="s">
        <v>1332</v>
      </c>
      <c r="F385" s="346" t="s">
        <v>1333</v>
      </c>
      <c r="G385" s="346" t="s">
        <v>784</v>
      </c>
      <c r="H385" s="346" t="s">
        <v>1334</v>
      </c>
      <c r="I385" s="347" t="s">
        <v>3585</v>
      </c>
      <c r="J385" t="str">
        <f>IFERROR(__xludf.DUMMYFUNCTION("IFERROR(
    ARRAYFORMULA(
        JOIN(
            CHAR(10) &amp; CHAR(10),
            ""Comment: "" &amp; FILTER(
                'Scores Import DO NOT EDIT'!N:N, 
                'Scores Import DO NOT EDIT'!D:D = A385
            )
        )
    ), 
    ""No"&amp;" comments yet""
)
"),"Comment: The presenter was very enthusiastic about her research topic. She was knowledgeable about the topic had conducted a thorough literature review and shared her field observations in detail. Her poster was well organized and engaging. She explained "&amp;"how her research could be used to improve the community. a well designed and executed research project. 
Comment: Great presentation! Very clear and highly interactive!
Comment: The presenter was very comfortable engaging with the audience and communica"&amp;"ted the research methodology clearly. This is definitely research that could be built on and could be important in understanding how wildlife adjusts to human intervention. I think there where limitations outside of the researchers control that limited th"&amp;"e data able to be collected, but it was still very interesting. The researcher suggested ways the community surrounding the habitat could be engaged with, which I thought were great ideas for a follow up study. Very interesting work.
Comment: The student"&amp;"'s passion for the study and project was wonderful to see! And it was clear how they learned so much from having been involved in the study, as well as their motivation to do similarly important work in the future. Next time, I think highlighting why the "&amp;"methodology was chosen to answer their research question might help boost the poster's clarity. 
Comment: Very interesting topic. Would like see your next step:)")</f>
        <v>Comment: The presenter was very enthusiastic about her research topic. She was knowledgeable about the topic had conducted a thorough literature review and shared her field observations in detail. Her poster was well organized and engaging. She explained how her research could be used to improve the community. a well designed and executed research project. 
Comment: Great presentation! Very clear and highly interactive!
Comment: The presenter was very comfortable engaging with the audience and communicated the research methodology clearly. This is definitely research that could be built on and could be important in understanding how wildlife adjusts to human intervention. I think there where limitations outside of the researchers control that limited the data able to be collected, but it was still very interesting. The researcher suggested ways the community surrounding the habitat could be engaged with, which I thought were great ideas for a follow up study. Very interesting work.
Comment: The student's passion for the study and project was wonderful to see! And it was clear how they learned so much from having been involved in the study, as well as their motivation to do similarly important work in the future. Next time, I think highlighting why the methodology was chosen to answer their research question might help boost the poster's clarity. 
Comment: Very interesting topic. Would like see your next step:)</v>
      </c>
      <c r="K385" t="s">
        <v>5258</v>
      </c>
    </row>
    <row r="386">
      <c r="A386" s="349">
        <v>477.0</v>
      </c>
      <c r="B386" s="346" t="s">
        <v>3588</v>
      </c>
      <c r="C386" s="346" t="s">
        <v>3589</v>
      </c>
      <c r="D386" s="346" t="s">
        <v>3591</v>
      </c>
      <c r="E386" s="346" t="s">
        <v>866</v>
      </c>
      <c r="F386" s="346" t="s">
        <v>867</v>
      </c>
      <c r="G386" s="346" t="s">
        <v>764</v>
      </c>
      <c r="H386" s="346" t="s">
        <v>868</v>
      </c>
      <c r="I386" s="347" t="s">
        <v>3590</v>
      </c>
      <c r="J386" t="str">
        <f>IFERROR(__xludf.DUMMYFUNCTION("IFERROR(
    ARRAYFORMULA(
        JOIN(
            CHAR(10) &amp; CHAR(10),
            ""Comment: "" &amp; FILTER(
                'Scores Import DO NOT EDIT'!N:N, 
                'Scores Import DO NOT EDIT'!D:D = A386
            )
        )
    ), 
    ""No"&amp;" comments yet""
)
"),"No comments yet")</f>
        <v>No comments yet</v>
      </c>
      <c r="K386" t="s">
        <v>4820</v>
      </c>
    </row>
    <row r="387">
      <c r="A387" s="345">
        <v>478.0</v>
      </c>
      <c r="B387" s="346" t="s">
        <v>3594</v>
      </c>
      <c r="C387" s="346" t="s">
        <v>3246</v>
      </c>
      <c r="D387" s="346" t="s">
        <v>3596</v>
      </c>
      <c r="E387" s="346" t="s">
        <v>869</v>
      </c>
      <c r="F387" s="346" t="s">
        <v>3598</v>
      </c>
      <c r="G387" s="346" t="s">
        <v>764</v>
      </c>
      <c r="H387" s="346" t="s">
        <v>3599</v>
      </c>
      <c r="I387" s="347" t="s">
        <v>3595</v>
      </c>
      <c r="J387" t="str">
        <f>IFERROR(__xludf.DUMMYFUNCTION("IFERROR(
    ARRAYFORMULA(
        JOIN(
            CHAR(10) &amp; CHAR(10),
            ""Comment: "" &amp; FILTER(
                'Scores Import DO NOT EDIT'!N:N, 
                'Scores Import DO NOT EDIT'!D:D = A387
            )
        )
    ), 
    ""No"&amp;" comments yet""
)
"),"Comment: The presenter did a great job explaining the process in her research project. While the results did not show what she had theorized, she laid out the next steps for her research very clearly. Her poster was well organized, and she answered questi"&amp;"ons thoroughly.
Comment: The presenter was very comfortable engaging with the audience to deliver the research findings. This is very interesting study and the researcher had some very good ideas for how to expand on the population reached by engaging di"&amp;"fferent communities, and perhaps enhancing the instrument used to get at different data. I thought this was a great start on a larger initiative and I'd be very interested to see subsequent research based on this study. Very nicely done.
Comment: Clear p"&amp;"resentation and explanation of research questions and process! Could have better understanding of the methodology and the big picture of the research question, great work!
Comment: It was great talking with this student! It was evident how they've been t"&amp;"hinking critically about future directions for this work and how they would want to strengthen the methodology. Next time, adding more details explaining the tables and figures would further boost the poster! 
Comment: Overall, very good research as an u"&amp;"ndergraduate student. My suggestions :1) use other analysis tool (such as a simple OLS regression) instead of chi-square analysis. 2) try to enlarge your sample size. I look forward to your publication in the near future. ")</f>
        <v>Comment: The presenter did a great job explaining the process in her research project. While the results did not show what she had theorized, she laid out the next steps for her research very clearly. Her poster was well organized, and she answered questions thoroughly.
Comment: The presenter was very comfortable engaging with the audience to deliver the research findings. This is very interesting study and the researcher had some very good ideas for how to expand on the population reached by engaging different communities, and perhaps enhancing the instrument used to get at different data. I thought this was a great start on a larger initiative and I'd be very interested to see subsequent research based on this study. Very nicely done.
Comment: Clear presentation and explanation of research questions and process! Could have better understanding of the methodology and the big picture of the research question, great work!
Comment: It was great talking with this student! It was evident how they've been thinking critically about future directions for this work and how they would want to strengthen the methodology. Next time, adding more details explaining the tables and figures would further boost the poster! 
Comment: Overall, very good research as an undergraduate student. My suggestions :1) use other analysis tool (such as a simple OLS regression) instead of chi-square analysis. 2) try to enlarge your sample size. I look forward to your publication in the near future. </v>
      </c>
      <c r="K387" t="s">
        <v>5259</v>
      </c>
    </row>
    <row r="388">
      <c r="A388" s="345">
        <v>479.0</v>
      </c>
      <c r="B388" s="346" t="s">
        <v>3600</v>
      </c>
      <c r="C388" s="346" t="s">
        <v>2881</v>
      </c>
      <c r="D388" s="346" t="s">
        <v>3603</v>
      </c>
      <c r="E388" s="346" t="s">
        <v>3606</v>
      </c>
      <c r="F388" s="346" t="s">
        <v>2675</v>
      </c>
      <c r="G388" s="346" t="s">
        <v>1457</v>
      </c>
      <c r="H388" s="346" t="s">
        <v>3607</v>
      </c>
      <c r="I388" s="347" t="s">
        <v>3601</v>
      </c>
      <c r="J388" t="str">
        <f>IFERROR(__xludf.DUMMYFUNCTION("IFERROR(
    ARRAYFORMULA(
        JOIN(
            CHAR(10) &amp; CHAR(10),
            ""Comment: "" &amp; FILTER(
                'Scores Import DO NOT EDIT'!N:N, 
                'Scores Import DO NOT EDIT'!D:D = A388
            )
        )
    ), 
    ""No"&amp;" comments yet""
)
"),"Comment: The presenters shared their research question clearly to the audience. They explain technical terms, and summarized their research results well. They were engaging, knowledgeable and enthusiastic about their work. The results have a practical app"&amp;"lication and usefulness within higher education. Their poster was well organized and highlighted the aspects of the research. It would be great to know how they could put their research into action at San Diego State, or at any higher education institutio"&amp;"n. Great job!
Comment: I thought this was a very interesting project that was very nicely presented. All of the presenters were very comfortable engaging with the audience. Autoethnography seemed like a very interesting tool to reflect on the experiences"&amp;" as university students, and comparing the results with others a nice way to create understanding in a community. I would have liked to have seen more of the concepts that came out of these studies, but what was shared was very interesting. I was very eng"&amp;"aged by this idea and wonder if the researchers couldn't develop a guide for other students to engage in autoethnography themselves? I hope that the researchers will communicate their experieces more broadly to the university community, perhaps during the"&amp;" open strategic planning sessions? Very nicely done!
Comment: Impressive work! Great to hear about the passion and efforts of all presenters/authors, best of luck to your incoming presentation and publication opportunities!
Comment: I really appreciated"&amp;" talking with the presenters, their enthusiasm for the project was so evident! They were very knowledgeable about their methodology and the significance of it.  Next time, adding less text to their poster would help draw further attention to the importanc"&amp;"e of their work and findings. 
Comment: Sample only includes five observations. ")</f>
        <v>Comment: The presenters shared their research question clearly to the audience. They explain technical terms, and summarized their research results well. They were engaging, knowledgeable and enthusiastic about their work. The results have a practical application and usefulness within higher education. Their poster was well organized and highlighted the aspects of the research. It would be great to know how they could put their research into action at San Diego State, or at any higher education institution. Great job!
Comment: I thought this was a very interesting project that was very nicely presented. All of the presenters were very comfortable engaging with the audience. Autoethnography seemed like a very interesting tool to reflect on the experiences as university students, and comparing the results with others a nice way to create understanding in a community. I would have liked to have seen more of the concepts that came out of these studies, but what was shared was very interesting. I was very engaged by this idea and wonder if the researchers couldn't develop a guide for other students to engage in autoethnography themselves? I hope that the researchers will communicate their experieces more broadly to the university community, perhaps during the open strategic planning sessions? Very nicely done!
Comment: Impressive work! Great to hear about the passion and efforts of all presenters/authors, best of luck to your incoming presentation and publication opportunities!
Comment: I really appreciated talking with the presenters, their enthusiasm for the project was so evident! They were very knowledgeable about their methodology and the significance of it.  Next time, adding less text to their poster would help draw further attention to the importance of their work and findings. 
Comment: Sample only includes five observations. </v>
      </c>
      <c r="K388" t="s">
        <v>5260</v>
      </c>
    </row>
    <row r="389">
      <c r="A389" s="345">
        <v>480.0</v>
      </c>
      <c r="B389" s="346" t="s">
        <v>2338</v>
      </c>
      <c r="C389" s="346" t="s">
        <v>3608</v>
      </c>
      <c r="D389" s="346" t="s">
        <v>3611</v>
      </c>
      <c r="E389" s="346" t="s">
        <v>1235</v>
      </c>
      <c r="F389" s="346" t="s">
        <v>3035</v>
      </c>
      <c r="G389" s="346" t="s">
        <v>1457</v>
      </c>
      <c r="H389" s="346" t="s">
        <v>3036</v>
      </c>
      <c r="I389" s="347" t="s">
        <v>3609</v>
      </c>
      <c r="J389" t="str">
        <f>IFERROR(__xludf.DUMMYFUNCTION("IFERROR(
    ARRAYFORMULA(
        JOIN(
            CHAR(10) &amp; CHAR(10),
            ""Comment: "" &amp; FILTER(
                'Scores Import DO NOT EDIT'!N:N, 
                'Scores Import DO NOT EDIT'!D:D = A389
            )
        )
    ), 
    ""No"&amp;" comments yet""
)
"),"Comment: 
Comment: This research project was well organized and well presented. The presenter was very enthusiastic and motivated to make a difference. She answered all my questions thoroughly and had great ideas for further exploration. The poster told "&amp;"the story well, and was engaging and clear. There are ways that she could Improve the analysis and she was very open to exploring those opportunities. Excellent work. 
Comment: The presenter was very comfortable engaging with the audience to present thei"&amp;"r results. This was a very interesting thesis, and although the results weren't conclusive the researcher had some interesting ideas to expand on the concepts and reach other  populations. I think this would be interesting research to see applied to other"&amp;" communities in different areas of San Diego and beyond. Definitely research that can be expanded on. Nice work!
Comment: The student's passion and enthusiasm for the study came across so clearly! They had clearly spent time reflecting on the results of "&amp;"their study and how they could improve this work in the future.  Next time, it would be great to hear how their work could be applied in three clinical setting. 
Comment: For next step, I would recommend run a probit/logit regression to see whether your "&amp;"results are statistically significant. ")</f>
        <v>Comment: 
Comment: This research project was well organized and well presented. The presenter was very enthusiastic and motivated to make a difference. She answered all my questions thoroughly and had great ideas for further exploration. The poster told the story well, and was engaging and clear. There are ways that she could Improve the analysis and she was very open to exploring those opportunities. Excellent work. 
Comment: The presenter was very comfortable engaging with the audience to present their results. This was a very interesting thesis, and although the results weren't conclusive the researcher had some interesting ideas to expand on the concepts and reach other  populations. I think this would be interesting research to see applied to other communities in different areas of San Diego and beyond. Definitely research that can be expanded on. Nice work!
Comment: The student's passion and enthusiasm for the study came across so clearly! They had clearly spent time reflecting on the results of their study and how they could improve this work in the future.  Next time, it would be great to hear how their work could be applied in three clinical setting. 
Comment: For next step, I would recommend run a probit/logit regression to see whether your results are statistically significant. </v>
      </c>
      <c r="K389" t="s">
        <v>5261</v>
      </c>
    </row>
    <row r="390">
      <c r="A390" s="345">
        <v>481.0</v>
      </c>
      <c r="B390" s="346" t="s">
        <v>3614</v>
      </c>
      <c r="C390" s="346" t="s">
        <v>3615</v>
      </c>
      <c r="D390" s="346" t="s">
        <v>3618</v>
      </c>
      <c r="E390" s="346" t="s">
        <v>2580</v>
      </c>
      <c r="F390" s="346" t="s">
        <v>2581</v>
      </c>
      <c r="G390" s="346" t="s">
        <v>764</v>
      </c>
      <c r="H390" s="346" t="s">
        <v>2582</v>
      </c>
      <c r="I390" s="347" t="s">
        <v>3616</v>
      </c>
      <c r="J390" t="str">
        <f>IFERROR(__xludf.DUMMYFUNCTION("IFERROR(
    ARRAYFORMULA(
        JOIN(
            CHAR(10) &amp; CHAR(10),
            ""Comment: "" &amp; FILTER(
                'Scores Import DO NOT EDIT'!N:N, 
                'Scores Import DO NOT EDIT'!D:D = A390
            )
        )
    ), 
    ""No"&amp;" comments yet""
)
"),"Comment: 
Comment: A very clear and well-thought out poster, and very interesting work that has important implications 
Comment: ")</f>
        <v>Comment: 
Comment: A very clear and well-thought out poster, and very interesting work that has important implications 
Comment: </v>
      </c>
      <c r="K390" t="s">
        <v>5262</v>
      </c>
    </row>
    <row r="391">
      <c r="A391" s="345">
        <v>482.0</v>
      </c>
      <c r="B391" s="346" t="s">
        <v>3620</v>
      </c>
      <c r="C391" s="346" t="s">
        <v>3621</v>
      </c>
      <c r="D391" s="346" t="s">
        <v>3623</v>
      </c>
      <c r="E391" s="346" t="s">
        <v>3625</v>
      </c>
      <c r="F391" s="346" t="s">
        <v>3626</v>
      </c>
      <c r="G391" s="346" t="s">
        <v>893</v>
      </c>
      <c r="H391" s="346" t="s">
        <v>3627</v>
      </c>
      <c r="I391" s="347" t="s">
        <v>3622</v>
      </c>
      <c r="J391" t="str">
        <f>IFERROR(__xludf.DUMMYFUNCTION("IFERROR(
    ARRAYFORMULA(
        JOIN(
            CHAR(10) &amp; CHAR(10),
            ""Comment: "" &amp; FILTER(
                'Scores Import DO NOT EDIT'!N:N, 
                'Scores Import DO NOT EDIT'!D:D = A391
            )
        )
    ), 
    ""No"&amp;" comments yet""
)
"),"Comment: The poster was exceptional and delivered with great passion. I highly enjoyed listening to Elora’s explanation of the data and the important of understanding aquatic taxicological hazards. I judged the posters from 9am until now, 1pm, and this is"&amp;" the best delivery/presentation I have seen so far. Great job!   
Comment: Excellent presentation and great grasp of project and its implications 
Comment: ")</f>
        <v>Comment: The poster was exceptional and delivered with great passion. I highly enjoyed listening to Elora’s explanation of the data and the important of understanding aquatic taxicological hazards. I judged the posters from 9am until now, 1pm, and this is the best delivery/presentation I have seen so far. Great job!   
Comment: Excellent presentation and great grasp of project and its implications 
Comment: </v>
      </c>
      <c r="K391" t="s">
        <v>5263</v>
      </c>
    </row>
    <row r="392">
      <c r="A392" s="345">
        <v>483.0</v>
      </c>
      <c r="B392" s="346" t="s">
        <v>3628</v>
      </c>
      <c r="C392" s="346" t="s">
        <v>2157</v>
      </c>
      <c r="D392" s="346" t="s">
        <v>3630</v>
      </c>
      <c r="E392" s="346" t="s">
        <v>1799</v>
      </c>
      <c r="F392" s="346" t="s">
        <v>3135</v>
      </c>
      <c r="G392" s="346" t="s">
        <v>764</v>
      </c>
      <c r="H392" s="346" t="s">
        <v>3136</v>
      </c>
      <c r="I392" s="347" t="s">
        <v>3629</v>
      </c>
      <c r="J392" t="str">
        <f>IFERROR(__xludf.DUMMYFUNCTION("IFERROR(
    ARRAYFORMULA(
        JOIN(
            CHAR(10) &amp; CHAR(10),
            ""Comment: "" &amp; FILTER(
                'Scores Import DO NOT EDIT'!N:N, 
                'Scores Import DO NOT EDIT'!D:D = A392
            )
        )
    ), 
    ""No"&amp;" comments yet""
)
"),"Comment: 
Comment: The student is very knowledgeable and passionate about their work! They may consider reducing their poster presentation time (quite long), but I appreciated learning about all of their work!
Comment: ")</f>
        <v>Comment: 
Comment: The student is very knowledgeable and passionate about their work! They may consider reducing their poster presentation time (quite long), but I appreciated learning about all of their work!
Comment: </v>
      </c>
      <c r="K392" t="s">
        <v>5264</v>
      </c>
    </row>
    <row r="393">
      <c r="A393" s="345">
        <v>484.0</v>
      </c>
      <c r="B393" s="346" t="s">
        <v>3633</v>
      </c>
      <c r="C393" s="346" t="s">
        <v>3634</v>
      </c>
      <c r="D393" s="346" t="s">
        <v>3637</v>
      </c>
      <c r="E393" s="346" t="s">
        <v>963</v>
      </c>
      <c r="F393" s="346" t="s">
        <v>964</v>
      </c>
      <c r="G393" s="346" t="s">
        <v>764</v>
      </c>
      <c r="H393" s="346" t="s">
        <v>965</v>
      </c>
      <c r="I393" s="347" t="s">
        <v>3635</v>
      </c>
      <c r="J393" t="str">
        <f>IFERROR(__xludf.DUMMYFUNCTION("IFERROR(
    ARRAYFORMULA(
        JOIN(
            CHAR(10) &amp; CHAR(10),
            ""Comment: "" &amp; FILTER(
                'Scores Import DO NOT EDIT'!N:N, 
                'Scores Import DO NOT EDIT'!D:D = A393
            )
        )
    ), 
    ""No"&amp;" comments yet""
)
"),"Comment: 
Comment: The student very good at explaining the concepts of their work and the implications. They use a variety of techniques and can discuss the future directions of work 
Comment: ")</f>
        <v>Comment: 
Comment: The student very good at explaining the concepts of their work and the implications. They use a variety of techniques and can discuss the future directions of work 
Comment: </v>
      </c>
      <c r="K393" t="s">
        <v>5265</v>
      </c>
    </row>
    <row r="394">
      <c r="A394" s="345">
        <v>485.0</v>
      </c>
      <c r="B394" s="346" t="s">
        <v>3639</v>
      </c>
      <c r="C394" s="346" t="s">
        <v>3640</v>
      </c>
      <c r="D394" s="346" t="s">
        <v>3643</v>
      </c>
      <c r="E394" s="346" t="s">
        <v>3647</v>
      </c>
      <c r="F394" s="346" t="s">
        <v>3648</v>
      </c>
      <c r="G394" s="346" t="s">
        <v>764</v>
      </c>
      <c r="H394" s="346" t="s">
        <v>3649</v>
      </c>
      <c r="I394" s="347" t="s">
        <v>3641</v>
      </c>
      <c r="J394" t="str">
        <f>IFERROR(__xludf.DUMMYFUNCTION("IFERROR(
    ARRAYFORMULA(
        JOIN(
            CHAR(10) &amp; CHAR(10),
            ""Comment: "" &amp; FILTER(
                'Scores Import DO NOT EDIT'!N:N, 
                'Scores Import DO NOT EDIT'!D:D = A394
            )
        )
    ), 
    ""No"&amp;" comments yet""
)
"),"Comment: 
Comment: 
Comment: The students did a great job of presenting, although a bit more explanation on background could be helpful. They were knowledgeable about their work. ")</f>
        <v>Comment: 
Comment: 
Comment: The students did a great job of presenting, although a bit more explanation on background could be helpful. They were knowledgeable about their work. </v>
      </c>
      <c r="K394" t="s">
        <v>5266</v>
      </c>
    </row>
    <row r="395">
      <c r="A395" s="345">
        <v>486.0</v>
      </c>
      <c r="B395" s="346" t="s">
        <v>3650</v>
      </c>
      <c r="C395" s="346" t="s">
        <v>3651</v>
      </c>
      <c r="D395" s="346" t="s">
        <v>5267</v>
      </c>
      <c r="E395" s="346" t="s">
        <v>2633</v>
      </c>
      <c r="F395" s="346" t="s">
        <v>3656</v>
      </c>
      <c r="G395" s="346" t="s">
        <v>1376</v>
      </c>
      <c r="H395" s="346" t="s">
        <v>3657</v>
      </c>
      <c r="I395" s="347" t="s">
        <v>3652</v>
      </c>
      <c r="J395" t="str">
        <f>IFERROR(__xludf.DUMMYFUNCTION("IFERROR(
    ARRAYFORMULA(
        JOIN(
            CHAR(10) &amp; CHAR(10),
            ""Comment: "" &amp; FILTER(
                'Scores Import DO NOT EDIT'!N:N, 
                'Scores Import DO NOT EDIT'!D:D = A395
            )
        )
    ), 
    ""No"&amp;" comments yet""
)
"),"Comment: The student was knowledgeable about their subject, but the poster could contain further information and data. 
Comment: 
Comment: ")</f>
        <v>Comment: The student was knowledgeable about their subject, but the poster could contain further information and data. 
Comment: 
Comment: </v>
      </c>
      <c r="K395" t="s">
        <v>5268</v>
      </c>
    </row>
    <row r="396">
      <c r="A396" s="345">
        <v>487.0</v>
      </c>
      <c r="B396" s="346" t="s">
        <v>1905</v>
      </c>
      <c r="C396" s="346" t="s">
        <v>3658</v>
      </c>
      <c r="D396" s="346" t="s">
        <v>3661</v>
      </c>
      <c r="E396" s="346" t="s">
        <v>2863</v>
      </c>
      <c r="F396" s="346" t="s">
        <v>1856</v>
      </c>
      <c r="G396" s="346" t="s">
        <v>764</v>
      </c>
      <c r="H396" s="346" t="s">
        <v>1857</v>
      </c>
      <c r="I396" s="347" t="s">
        <v>3659</v>
      </c>
      <c r="J396" t="str">
        <f>IFERROR(__xludf.DUMMYFUNCTION("IFERROR(
    ARRAYFORMULA(
        JOIN(
            CHAR(10) &amp; CHAR(10),
            ""Comment: "" &amp; FILTER(
                'Scores Import DO NOT EDIT'!N:N, 
                'Scores Import DO NOT EDIT'!D:D = A396
            )
        )
    ), 
    ""No"&amp;" comments yet""
)
"),"No comments yet")</f>
        <v>No comments yet</v>
      </c>
      <c r="K396" t="s">
        <v>4820</v>
      </c>
    </row>
    <row r="397">
      <c r="A397" s="345">
        <v>488.0</v>
      </c>
      <c r="B397" s="346" t="s">
        <v>3572</v>
      </c>
      <c r="C397" s="346" t="s">
        <v>3665</v>
      </c>
      <c r="D397" s="346" t="s">
        <v>3667</v>
      </c>
      <c r="E397" s="346" t="s">
        <v>832</v>
      </c>
      <c r="F397" s="346" t="s">
        <v>833</v>
      </c>
      <c r="G397" s="346" t="s">
        <v>773</v>
      </c>
      <c r="H397" s="346" t="s">
        <v>834</v>
      </c>
      <c r="I397" s="347" t="s">
        <v>3666</v>
      </c>
      <c r="J397" t="str">
        <f>IFERROR(__xludf.DUMMYFUNCTION("IFERROR(
    ARRAYFORMULA(
        JOIN(
            CHAR(10) &amp; CHAR(10),
            ""Comment: "" &amp; FILTER(
                'Scores Import DO NOT EDIT'!N:N, 
                'Scores Import DO NOT EDIT'!D:D = A397
            )
        )
    ), 
    ""No"&amp;" comments yet""
)
"),"Comment: 
Comment: The student was very good at answering questions and addressing limitations or challenges in their research. The explanations were clear. Well done!
Comment: ")</f>
        <v>Comment: 
Comment: The student was very good at answering questions and addressing limitations or challenges in their research. The explanations were clear. Well done!
Comment: </v>
      </c>
      <c r="K397" t="s">
        <v>5269</v>
      </c>
    </row>
    <row r="398">
      <c r="A398" s="345">
        <v>489.0</v>
      </c>
      <c r="B398" s="346" t="s">
        <v>3670</v>
      </c>
      <c r="C398" s="346" t="s">
        <v>3671</v>
      </c>
      <c r="D398" s="346" t="s">
        <v>3674</v>
      </c>
      <c r="E398" s="346" t="s">
        <v>1492</v>
      </c>
      <c r="F398" s="346" t="s">
        <v>1493</v>
      </c>
      <c r="G398" s="346" t="s">
        <v>764</v>
      </c>
      <c r="H398" s="346" t="s">
        <v>1494</v>
      </c>
      <c r="I398" s="347" t="s">
        <v>3672</v>
      </c>
      <c r="J398" t="str">
        <f>IFERROR(__xludf.DUMMYFUNCTION("IFERROR(
    ARRAYFORMULA(
        JOIN(
            CHAR(10) &amp; CHAR(10),
            ""Comment: "" &amp; FILTER(
                'Scores Import DO NOT EDIT'!N:N, 
                'Scores Import DO NOT EDIT'!D:D = A398
            )
        )
    ), 
    ""No"&amp;" comments yet""
)
"),"Comment: Excellent presentation skills and ability to answer questions. Poster could have provided more clarity about the research methodology and why it was chosen. 
Comment: 
Comment: Regarding the research: if you are introducing a mutation as methio"&amp;"nine amino acid - which is a start codon - will that impact where a Transcription factor will attach and start the transcription.
Great work overall. 
Comment: Darius presented his work with confidence and brought the personal connection for his drive to"&amp;" do cancer research, that was great. However, it is also important to zoom into the problem at hand and understand the relevance of his research for broader and better insights. I remember he had a very vague and generic answer for why he chose this probl"&amp;"em, he addressed his interest and passion for Science, rather than focusing on the gap and significance of understanding IDH1 enzyme kinetics and functions. Overall, he appeared passionate for the work he is doing. 
Comment: Student had clear understandi"&amp;"ng of methodology and project goals and results. Student was clearly engaged with the topic and the findings and the bigger picture (therapeutic design). Only minor critique is to double check the figures (typos, titles).")</f>
        <v>Comment: Excellent presentation skills and ability to answer questions. Poster could have provided more clarity about the research methodology and why it was chosen. 
Comment: 
Comment: Regarding the research: if you are introducing a mutation as methionine amino acid - which is a start codon - will that impact where a Transcription factor will attach and start the transcription.
Great work overall. 
Comment: Darius presented his work with confidence and brought the personal connection for his drive to do cancer research, that was great. However, it is also important to zoom into the problem at hand and understand the relevance of his research for broader and better insights. I remember he had a very vague and generic answer for why he chose this problem, he addressed his interest and passion for Science, rather than focusing on the gap and significance of understanding IDH1 enzyme kinetics and functions. Overall, he appeared passionate for the work he is doing. 
Comment: Student had clear understanding of methodology and project goals and results. Student was clearly engaged with the topic and the findings and the bigger picture (therapeutic design). Only minor critique is to double check the figures (typos, titles).</v>
      </c>
      <c r="K398" t="s">
        <v>5270</v>
      </c>
    </row>
    <row r="399">
      <c r="A399" s="345">
        <v>490.0</v>
      </c>
      <c r="B399" s="346" t="s">
        <v>5271</v>
      </c>
      <c r="C399" s="346" t="s">
        <v>5272</v>
      </c>
      <c r="D399" s="346" t="s">
        <v>3680</v>
      </c>
      <c r="E399" s="346" t="s">
        <v>3682</v>
      </c>
      <c r="F399" s="346" t="s">
        <v>3683</v>
      </c>
      <c r="G399" s="346" t="s">
        <v>764</v>
      </c>
      <c r="H399" s="346" t="s">
        <v>3684</v>
      </c>
      <c r="I399" s="347" t="s">
        <v>3678</v>
      </c>
      <c r="J399" t="str">
        <f>IFERROR(__xludf.DUMMYFUNCTION("IFERROR(
    ARRAYFORMULA(
        JOIN(
            CHAR(10) &amp; CHAR(10),
            ""Comment: "" &amp; FILTER(
                'Scores Import DO NOT EDIT'!N:N, 
                'Scores Import DO NOT EDIT'!D:D = A399
            )
        )
    ), 
    ""No"&amp;" comments yet""
)
"),"Comment: Very exciting topic and research methodolgies. I wish the poster or presenter had given more background information and information on the importance of UNC-45 
Comment: 
Comment: Presentation could have been simplified. Applications of the wor"&amp;"k were unclear. Overall excellent work.
Comment: Interesting topic, student was very engaged and familiar with the project goals and future directions.
Comment: Esmeralda did a great job in explaining her experiments and the rationale for using mouse sa"&amp;"mples and need to use purified microtubules for understanding their organization when complexed with UNC-45. The results were very dramatic to miss. She also demonstrated a good knowledge of known literature on the forms of UNC45 in humans and flies. Howe"&amp;"ver, she was not very clear on how such results can impact biology or parts of it, and the bigger picture involved. I was also intrigued about altered fly behaviors if any, that she was not aware of whether known to lab or otherwise. ")</f>
        <v>Comment: Very exciting topic and research methodolgies. I wish the poster or presenter had given more background information and information on the importance of UNC-45 
Comment: 
Comment: Presentation could have been simplified. Applications of the work were unclear. Overall excellent work.
Comment: Interesting topic, student was very engaged and familiar with the project goals and future directions.
Comment: Esmeralda did a great job in explaining her experiments and the rationale for using mouse samples and need to use purified microtubules for understanding their organization when complexed with UNC-45. The results were very dramatic to miss. She also demonstrated a good knowledge of known literature on the forms of UNC45 in humans and flies. However, she was not very clear on how such results can impact biology or parts of it, and the bigger picture involved. I was also intrigued about altered fly behaviors if any, that she was not aware of whether known to lab or otherwise. </v>
      </c>
      <c r="K399" t="s">
        <v>5273</v>
      </c>
    </row>
    <row r="400">
      <c r="A400" s="345">
        <v>491.0</v>
      </c>
      <c r="B400" s="346" t="s">
        <v>1651</v>
      </c>
      <c r="C400" s="346" t="s">
        <v>3685</v>
      </c>
      <c r="D400" s="346" t="s">
        <v>3687</v>
      </c>
      <c r="E400" s="346" t="s">
        <v>832</v>
      </c>
      <c r="F400" s="346" t="s">
        <v>833</v>
      </c>
      <c r="G400" s="346" t="s">
        <v>773</v>
      </c>
      <c r="H400" s="346" t="s">
        <v>834</v>
      </c>
      <c r="I400" s="347" t="s">
        <v>3686</v>
      </c>
      <c r="J400" t="str">
        <f>IFERROR(__xludf.DUMMYFUNCTION("IFERROR(
    ARRAYFORMULA(
        JOIN(
            CHAR(10) &amp; CHAR(10),
            ""Comment: "" &amp; FILTER(
                'Scores Import DO NOT EDIT'!N:N, 
                'Scores Import DO NOT EDIT'!D:D = A400
            )
        )
    ), 
    ""No"&amp;" comments yet""
)
"),"Comment: I thought Ryan did a great job explaining, especially to someone not from a STEM background. He made an effort to understand what the audience’s level of understanding was before he presented. 
Comment: 
Comment: The work is very novel and has "&amp;"a wide array of applications. The methodology was little unclear. 
Comment: Excellent presentation, able to explain topic clearly and describe complex data to a layperson.
Comment: Ryan did a good job in explaining his research and the broad impact, and"&amp;" the relevance of the methods implemented. In general he appeared to understand the research process and possibilities. Also, he was very receptive to the Scientific and broader discussions. He was quick to understand how limiting concentrations of some c"&amp;"ompounds (Quinone, ~10 mg instead of 1000mg used for others), could be resulting in their inability to fluoresce, that they might fluoresce at higher concentrations. I enjoyed asking him where he would go to raise money for this study, and he was quick to"&amp;" answer to people who care. I think it would be nice for him to develop his awareness around sustainable business and how Tire manufactures might be interested in funding such research, if they function on sustainable business model.")</f>
        <v>Comment: I thought Ryan did a great job explaining, especially to someone not from a STEM background. He made an effort to understand what the audience’s level of understanding was before he presented. 
Comment: 
Comment: The work is very novel and has a wide array of applications. The methodology was little unclear. 
Comment: Excellent presentation, able to explain topic clearly and describe complex data to a layperson.
Comment: Ryan did a good job in explaining his research and the broad impact, and the relevance of the methods implemented. In general he appeared to understand the research process and possibilities. Also, he was very receptive to the Scientific and broader discussions. He was quick to understand how limiting concentrations of some compounds (Quinone, ~10 mg instead of 1000mg used for others), could be resulting in their inability to fluoresce, that they might fluoresce at higher concentrations. I enjoyed asking him where he would go to raise money for this study, and he was quick to answer to people who care. I think it would be nice for him to develop his awareness around sustainable business and how Tire manufactures might be interested in funding such research, if they function on sustainable business model.</v>
      </c>
      <c r="K400" t="s">
        <v>5274</v>
      </c>
    </row>
    <row r="401">
      <c r="A401" s="345">
        <v>492.0</v>
      </c>
      <c r="B401" s="346" t="s">
        <v>3689</v>
      </c>
      <c r="C401" s="346" t="s">
        <v>3690</v>
      </c>
      <c r="D401" s="346" t="s">
        <v>5275</v>
      </c>
      <c r="E401" s="346" t="s">
        <v>2752</v>
      </c>
      <c r="F401" s="346" t="s">
        <v>2753</v>
      </c>
      <c r="G401" s="346" t="s">
        <v>893</v>
      </c>
      <c r="H401" s="346" t="s">
        <v>2754</v>
      </c>
      <c r="I401" s="347" t="s">
        <v>3691</v>
      </c>
      <c r="J401" t="str">
        <f>IFERROR(__xludf.DUMMYFUNCTION("IFERROR(
    ARRAYFORMULA(
        JOIN(
            CHAR(10) &amp; CHAR(10),
            ""Comment: "" &amp; FILTER(
                'Scores Import DO NOT EDIT'!N:N, 
                'Scores Import DO NOT EDIT'!D:D = A401
            )
        )
    ), 
    ""No"&amp;" comments yet""
)
"),"No comments yet")</f>
        <v>No comments yet</v>
      </c>
      <c r="K401" t="s">
        <v>4820</v>
      </c>
    </row>
    <row r="402">
      <c r="A402" s="345">
        <v>494.0</v>
      </c>
      <c r="B402" s="346" t="s">
        <v>3696</v>
      </c>
      <c r="C402" s="346" t="s">
        <v>3697</v>
      </c>
      <c r="D402" s="346" t="s">
        <v>5276</v>
      </c>
      <c r="E402" s="346" t="s">
        <v>861</v>
      </c>
      <c r="F402" s="346" t="s">
        <v>3707</v>
      </c>
      <c r="G402" s="346" t="s">
        <v>764</v>
      </c>
      <c r="H402" s="346" t="s">
        <v>3708</v>
      </c>
      <c r="I402" s="347" t="s">
        <v>3698</v>
      </c>
      <c r="J402" t="str">
        <f>IFERROR(__xludf.DUMMYFUNCTION("IFERROR(
    ARRAYFORMULA(
        JOIN(
            CHAR(10) &amp; CHAR(10),
            ""Comment: "" &amp; FILTER(
                'Scores Import DO NOT EDIT'!N:N, 
                'Scores Import DO NOT EDIT'!D:D = A402
            )
        )
    ), 
    ""No"&amp;" comments yet""
)
"),"Comment: 
Comment: Alejandra was great at answering questions and simplifying her explanation for someone without a chemistry background. 
Comment: the significance of adding functional groups was not clear. The student could have dialed-down the methol"&amp;"ogy of isolating borate - it was harder to understand the approach.  
Comment: Excellent presentation, gauged audience familiarity with the topic before speaking. Clear and descriptive presentation despite complexity of topic.
Comment: Alahandra did a n"&amp;"ice job is explaining her research. I appreciate her asking me about my proficiency in Chemistry and was patient in answering all my questions, some were very basic due to lack of my own understanding of her subject. She explained the significance of her "&amp;"approach with great clarity, and how it is more efficient chemistry-wise. However, it would be nice for her to think on the broader implications of her research, like if she can think of existing drugs that would benefit from her research. ")</f>
        <v>Comment: 
Comment: Alejandra was great at answering questions and simplifying her explanation for someone without a chemistry background. 
Comment: the significance of adding functional groups was not clear. The student could have dialed-down the methology of isolating borate - it was harder to understand the approach.  
Comment: Excellent presentation, gauged audience familiarity with the topic before speaking. Clear and descriptive presentation despite complexity of topic.
Comment: Alahandra did a nice job is explaining her research. I appreciate her asking me about my proficiency in Chemistry and was patient in answering all my questions, some were very basic due to lack of my own understanding of her subject. She explained the significance of her approach with great clarity, and how it is more efficient chemistry-wise. However, it would be nice for her to think on the broader implications of her research, like if she can think of existing drugs that would benefit from her research. </v>
      </c>
      <c r="K402" t="s">
        <v>5277</v>
      </c>
    </row>
    <row r="403">
      <c r="A403" s="345">
        <v>495.0</v>
      </c>
      <c r="B403" s="346" t="s">
        <v>3709</v>
      </c>
      <c r="C403" s="346" t="s">
        <v>3710</v>
      </c>
      <c r="D403" s="346" t="s">
        <v>3713</v>
      </c>
      <c r="E403" s="346" t="s">
        <v>3715</v>
      </c>
      <c r="F403" s="346" t="s">
        <v>3716</v>
      </c>
      <c r="G403" s="346" t="s">
        <v>773</v>
      </c>
      <c r="H403" s="346" t="s">
        <v>3717</v>
      </c>
      <c r="I403" s="347" t="s">
        <v>3711</v>
      </c>
      <c r="J403" t="str">
        <f>IFERROR(__xludf.DUMMYFUNCTION("IFERROR(
    ARRAYFORMULA(
        JOIN(
            CHAR(10) &amp; CHAR(10),
            ""Comment: "" &amp; FILTER(
                'Scores Import DO NOT EDIT'!N:N, 
                'Scores Import DO NOT EDIT'!D:D = A403
            )
        )
    ), 
    ""No"&amp;" comments yet""
)
"),"Comment: 
Comment: Great job!
Note: sounded confident, explained in details and has an in depth knowledge. 
Comment: This is an interesting research. The poster is well organized. The presenter is very interactive and knowledgeable. 
Comment: 
Comment"&amp;": ")</f>
        <v>Comment: 
Comment: Great job!
Note: sounded confident, explained in details and has an in depth knowledge. 
Comment: This is an interesting research. The poster is well organized. The presenter is very interactive and knowledgeable. 
Comment: 
Comment: </v>
      </c>
      <c r="K403" t="s">
        <v>5278</v>
      </c>
    </row>
    <row r="404">
      <c r="A404" s="349">
        <v>497.0</v>
      </c>
      <c r="B404" s="346" t="s">
        <v>3181</v>
      </c>
      <c r="C404" s="346" t="s">
        <v>3718</v>
      </c>
      <c r="D404" s="346" t="s">
        <v>3720</v>
      </c>
      <c r="E404" s="346" t="s">
        <v>3182</v>
      </c>
      <c r="F404" s="346" t="s">
        <v>3183</v>
      </c>
      <c r="G404" s="346" t="s">
        <v>784</v>
      </c>
      <c r="H404" s="346" t="s">
        <v>3184</v>
      </c>
      <c r="I404" s="347" t="s">
        <v>3719</v>
      </c>
      <c r="J404" t="str">
        <f>IFERROR(__xludf.DUMMYFUNCTION("IFERROR(
    ARRAYFORMULA(
        JOIN(
            CHAR(10) &amp; CHAR(10),
            ""Comment: "" &amp; FILTER(
                'Scores Import DO NOT EDIT'!N:N, 
                'Scores Import DO NOT EDIT'!D:D = A404
            )
        )
    ), 
    ""No"&amp;" comments yet""
)
"),"No comments yet")</f>
        <v>No comments yet</v>
      </c>
      <c r="K404" t="s">
        <v>4820</v>
      </c>
    </row>
    <row r="405">
      <c r="A405" s="345">
        <v>498.0</v>
      </c>
      <c r="B405" s="346" t="s">
        <v>3722</v>
      </c>
      <c r="C405" s="346" t="s">
        <v>3723</v>
      </c>
      <c r="D405" s="346" t="s">
        <v>5279</v>
      </c>
      <c r="E405" s="346" t="s">
        <v>1159</v>
      </c>
      <c r="F405" s="346" t="s">
        <v>1401</v>
      </c>
      <c r="G405" s="346" t="s">
        <v>764</v>
      </c>
      <c r="H405" s="346" t="s">
        <v>3727</v>
      </c>
      <c r="I405" s="347" t="s">
        <v>3724</v>
      </c>
      <c r="J405" t="str">
        <f>IFERROR(__xludf.DUMMYFUNCTION("IFERROR(
    ARRAYFORMULA(
        JOIN(
            CHAR(10) &amp; CHAR(10),
            ""Comment: "" &amp; FILTER(
                'Scores Import DO NOT EDIT'!N:N, 
                'Scores Import DO NOT EDIT'!D:D = A405
            )
        )
    ), 
    ""No"&amp;" comments yet""
)
"),"Comment: Great job! 
Note: Great presentation and explaining of the research. 
Comment: 
Comment: Well organized. Great presenter very knowledgeable and very interactive with audience. 
Comment: 
Comment: ")</f>
        <v>Comment: Great job! 
Note: Great presentation and explaining of the research. 
Comment: 
Comment: Well organized. Great presenter very knowledgeable and very interactive with audience. 
Comment: 
Comment: </v>
      </c>
      <c r="K405" t="s">
        <v>5280</v>
      </c>
    </row>
    <row r="406">
      <c r="A406" s="345">
        <v>499.0</v>
      </c>
      <c r="B406" s="346" t="s">
        <v>3728</v>
      </c>
      <c r="C406" s="346" t="s">
        <v>3729</v>
      </c>
      <c r="D406" s="346" t="s">
        <v>3731</v>
      </c>
      <c r="E406" s="346" t="s">
        <v>1015</v>
      </c>
      <c r="F406" s="346" t="s">
        <v>1997</v>
      </c>
      <c r="G406" s="346" t="s">
        <v>764</v>
      </c>
      <c r="H406" s="346" t="s">
        <v>3210</v>
      </c>
      <c r="I406" s="347" t="s">
        <v>3730</v>
      </c>
      <c r="J406" t="str">
        <f>IFERROR(__xludf.DUMMYFUNCTION("IFERROR(
    ARRAYFORMULA(
        JOIN(
            CHAR(10) &amp; CHAR(10),
            ""Comment: "" &amp; FILTER(
                'Scores Import DO NOT EDIT'!N:N, 
                'Scores Import DO NOT EDIT'!D:D = A406
            )
        )
    ), 
    ""No"&amp;" comments yet""
)
"),"Comment: 
Comment: Great job Carly! I can’t wait to see the paper strips on the counters at the store! 
Comment: Great presentation. Poster well designed and organized. The presenter is very knowledgeable. Great interaction with the audience. 
Comment:"&amp;" 
Comment: ")</f>
        <v>Comment: 
Comment: Great job Carly! I can’t wait to see the paper strips on the counters at the store! 
Comment: Great presentation. Poster well designed and organized. The presenter is very knowledgeable. Great interaction with the audience. 
Comment: 
Comment: </v>
      </c>
      <c r="K406" t="s">
        <v>5281</v>
      </c>
    </row>
    <row r="407">
      <c r="A407" s="345">
        <v>500.0</v>
      </c>
      <c r="B407" s="346" t="s">
        <v>3733</v>
      </c>
      <c r="C407" s="346" t="s">
        <v>5282</v>
      </c>
      <c r="D407" s="346" t="s">
        <v>3737</v>
      </c>
      <c r="E407" s="346" t="s">
        <v>2913</v>
      </c>
      <c r="F407" s="346" t="s">
        <v>2914</v>
      </c>
      <c r="G407" s="346" t="s">
        <v>773</v>
      </c>
      <c r="H407" s="346" t="s">
        <v>2915</v>
      </c>
      <c r="I407" s="347" t="s">
        <v>3735</v>
      </c>
      <c r="J407" t="str">
        <f>IFERROR(__xludf.DUMMYFUNCTION("IFERROR(
    ARRAYFORMULA(
        JOIN(
            CHAR(10) &amp; CHAR(10),
            ""Comment: "" &amp; FILTER(
                'Scores Import DO NOT EDIT'!N:N, 
                'Scores Import DO NOT EDIT'!D:D = A407
            )
        )
    ), 
    ""No"&amp;" comments yet""
)
"),"Comment: Great job Shruti! 
Articulation and explanation were well done! 
Goodluck with the research! 
Comment: 
Comment: 
Comment: Very interesting research. The presenter is very knowledgeable, clear and professional. 
Comment: ")</f>
        <v>Comment: Great job Shruti! 
Articulation and explanation were well done! 
Goodluck with the research! 
Comment: 
Comment: 
Comment: Very interesting research. The presenter is very knowledgeable, clear and professional. 
Comment: </v>
      </c>
      <c r="K407" t="s">
        <v>5283</v>
      </c>
    </row>
    <row r="408">
      <c r="A408" s="345">
        <v>501.0</v>
      </c>
      <c r="B408" s="346" t="s">
        <v>3739</v>
      </c>
      <c r="C408" s="346" t="s">
        <v>3740</v>
      </c>
      <c r="D408" s="346" t="s">
        <v>3742</v>
      </c>
      <c r="E408" s="346" t="s">
        <v>788</v>
      </c>
      <c r="F408" s="346" t="s">
        <v>1995</v>
      </c>
      <c r="G408" s="346" t="s">
        <v>764</v>
      </c>
      <c r="H408" s="346" t="s">
        <v>1996</v>
      </c>
      <c r="I408" s="347" t="s">
        <v>3741</v>
      </c>
      <c r="J408" t="str">
        <f>IFERROR(__xludf.DUMMYFUNCTION("IFERROR(
    ARRAYFORMULA(
        JOIN(
            CHAR(10) &amp; CHAR(10),
            ""Comment: "" &amp; FILTER(
                'Scores Import DO NOT EDIT'!N:N, 
                'Scores Import DO NOT EDIT'!D:D = A408
            )
        )
    ), 
    ""No"&amp;" comments yet""
)
"),"Comment: Great job with the presentation.
Note: Sound confident in subsequent presentations.
Comment: 
Comment: Silver nano triangle may have photocatalysis potential
Comment: 
Comment: ")</f>
        <v>Comment: Great job with the presentation.
Note: Sound confident in subsequent presentations.
Comment: 
Comment: Silver nano triangle may have photocatalysis potential
Comment: 
Comment: </v>
      </c>
      <c r="K408" t="s">
        <v>5284</v>
      </c>
    </row>
    <row r="409">
      <c r="A409" s="345">
        <v>502.0</v>
      </c>
      <c r="B409" s="346" t="s">
        <v>1579</v>
      </c>
      <c r="C409" s="346" t="s">
        <v>3745</v>
      </c>
      <c r="D409" s="346" t="s">
        <v>3747</v>
      </c>
      <c r="E409" s="346" t="s">
        <v>1089</v>
      </c>
      <c r="F409" s="346" t="s">
        <v>1384</v>
      </c>
      <c r="G409" s="346" t="s">
        <v>764</v>
      </c>
      <c r="H409" s="346" t="s">
        <v>3751</v>
      </c>
      <c r="I409" s="347" t="s">
        <v>3746</v>
      </c>
      <c r="J409" t="str">
        <f>IFERROR(__xludf.DUMMYFUNCTION("IFERROR(
    ARRAYFORMULA(
        JOIN(
            CHAR(10) &amp; CHAR(10),
            ""Comment: "" &amp; FILTER(
                'Scores Import DO NOT EDIT'!N:N, 
                'Scores Import DO NOT EDIT'!D:D = A409
            )
        )
    ), 
    ""No"&amp;" comments yet""
)
"),"Comment: Both presenters were very excited to describe their research which sometimes interrupted the flow of each other’s points as it was borderline interrupting at times. Their passion in the topic and ability to explain the nuances in at an elementary"&amp;" level kept me engaged and eager to ask follow-up questions. While they did not delved into what the plots on their poster described, I felt like I did not need it to understand their research and importance. 
Comment: 
Comment: ")</f>
        <v>Comment: Both presenters were very excited to describe their research which sometimes interrupted the flow of each other’s points as it was borderline interrupting at times. Their passion in the topic and ability to explain the nuances in at an elementary level kept me engaged and eager to ask follow-up questions. While they did not delved into what the plots on their poster described, I felt like I did not need it to understand their research and importance. 
Comment: 
Comment: </v>
      </c>
      <c r="K409" t="s">
        <v>5285</v>
      </c>
    </row>
    <row r="410">
      <c r="A410" s="345">
        <v>503.0</v>
      </c>
      <c r="B410" s="346" t="s">
        <v>788</v>
      </c>
      <c r="C410" s="346" t="s">
        <v>3211</v>
      </c>
      <c r="D410" s="346" t="s">
        <v>3754</v>
      </c>
      <c r="E410" s="346" t="s">
        <v>3756</v>
      </c>
      <c r="F410" s="346" t="s">
        <v>3757</v>
      </c>
      <c r="G410" s="346" t="s">
        <v>764</v>
      </c>
      <c r="H410" s="346" t="s">
        <v>3758</v>
      </c>
      <c r="I410" s="347" t="s">
        <v>3752</v>
      </c>
      <c r="J410" t="str">
        <f>IFERROR(__xludf.DUMMYFUNCTION("IFERROR(
    ARRAYFORMULA(
        JOIN(
            CHAR(10) &amp; CHAR(10),
            ""Comment: "" &amp; FILTER(
                'Scores Import DO NOT EDIT'!N:N, 
                'Scores Import DO NOT EDIT'!D:D = A410
            )
        )
    ), 
    ""No"&amp;" comments yet""
)
"),"Comment: 
Comment: 
Comment: Unfortunately due to time constraints as this was closer to the end of the session the presentation felt rushed but I believe that may have been more associated to the fact everyone was cleaning up around us. That said, thei"&amp;"r cadence was consistent and able to really walk me through the rudimentales of the definition they were trying to establish. ")</f>
        <v>Comment: 
Comment: 
Comment: Unfortunately due to time constraints as this was closer to the end of the session the presentation felt rushed but I believe that may have been more associated to the fact everyone was cleaning up around us. That said, their cadence was consistent and able to really walk me through the rudimentales of the definition they were trying to establish. </v>
      </c>
      <c r="K410" t="s">
        <v>5286</v>
      </c>
    </row>
    <row r="411">
      <c r="A411" s="345">
        <v>504.0</v>
      </c>
      <c r="B411" s="346" t="s">
        <v>3759</v>
      </c>
      <c r="C411" s="346" t="s">
        <v>3760</v>
      </c>
      <c r="D411" s="346" t="s">
        <v>3763</v>
      </c>
      <c r="E411" s="346" t="s">
        <v>788</v>
      </c>
      <c r="F411" s="346" t="s">
        <v>1995</v>
      </c>
      <c r="G411" s="346" t="s">
        <v>764</v>
      </c>
      <c r="H411" s="346" t="s">
        <v>1996</v>
      </c>
      <c r="I411" s="347" t="s">
        <v>3761</v>
      </c>
      <c r="J411" t="str">
        <f>IFERROR(__xludf.DUMMYFUNCTION("IFERROR(
    ARRAYFORMULA(
        JOIN(
            CHAR(10) &amp; CHAR(10),
            ""Comment: "" &amp; FILTER(
                'Scores Import DO NOT EDIT'!N:N, 
                'Scores Import DO NOT EDIT'!D:D = A411
            )
        )
    ), 
    ""No"&amp;" comments yet""
)
"),"Comment: The presenter appeared very concise and intentional with their point in terms of how it connected overall to the methodology used and why. While I was not familiar with the terminology I was able to follow their explanation of their use of images"&amp;" and such. I do wish they were able to elaborate on their conclusion further and where they wanted to go further in their research.
Comment: 
Comment: ")</f>
        <v>Comment: The presenter appeared very concise and intentional with their point in terms of how it connected overall to the methodology used and why. While I was not familiar with the terminology I was able to follow their explanation of their use of images and such. I do wish they were able to elaborate on their conclusion further and where they wanted to go further in their research.
Comment: 
Comment: </v>
      </c>
      <c r="K411" t="s">
        <v>5287</v>
      </c>
    </row>
    <row r="412">
      <c r="A412" s="345">
        <v>505.0</v>
      </c>
      <c r="B412" s="346" t="s">
        <v>1675</v>
      </c>
      <c r="C412" s="346" t="s">
        <v>3765</v>
      </c>
      <c r="D412" s="346" t="s">
        <v>3768</v>
      </c>
      <c r="E412" s="346" t="s">
        <v>3770</v>
      </c>
      <c r="F412" s="346" t="s">
        <v>3216</v>
      </c>
      <c r="G412" s="346" t="s">
        <v>764</v>
      </c>
      <c r="H412" s="346" t="s">
        <v>3217</v>
      </c>
      <c r="I412" s="347" t="s">
        <v>3766</v>
      </c>
      <c r="J412" t="str">
        <f>IFERROR(__xludf.DUMMYFUNCTION("IFERROR(
    ARRAYFORMULA(
        JOIN(
            CHAR(10) &amp; CHAR(10),
            ""Comment: "" &amp; FILTER(
                'Scores Import DO NOT EDIT'!N:N, 
                'Scores Import DO NOT EDIT'!D:D = A412
            )
        )
    ), 
    ""No"&amp;" comments yet""
)
"),"Comment: 
Comment: The speaker naturally talked at as higher cadence so it became harder to understand as they delved further into their presentation. That being said, they gave themselves moments to elaborate on the “why” rather than just focusing on th"&amp;"e what which I followed very easily. Maintained good eye contact and was able to be proactive in where I needed further clarification.
Comment: ")</f>
        <v>Comment: 
Comment: The speaker naturally talked at as higher cadence so it became harder to understand as they delved further into their presentation. That being said, they gave themselves moments to elaborate on the “why” rather than just focusing on the what which I followed very easily. Maintained good eye contact and was able to be proactive in where I needed further clarification.
Comment: </v>
      </c>
      <c r="K412" t="s">
        <v>5288</v>
      </c>
    </row>
    <row r="413">
      <c r="A413" s="345">
        <v>506.0</v>
      </c>
      <c r="B413" s="346" t="s">
        <v>3771</v>
      </c>
      <c r="C413" s="346" t="s">
        <v>3772</v>
      </c>
      <c r="D413" s="346" t="s">
        <v>5289</v>
      </c>
      <c r="E413" s="346" t="s">
        <v>1608</v>
      </c>
      <c r="F413" s="346" t="s">
        <v>1609</v>
      </c>
      <c r="G413" s="346" t="s">
        <v>784</v>
      </c>
      <c r="H413" s="346" t="s">
        <v>1610</v>
      </c>
      <c r="I413" s="347" t="s">
        <v>3773</v>
      </c>
      <c r="J413" t="str">
        <f>IFERROR(__xludf.DUMMYFUNCTION("IFERROR(
    ARRAYFORMULA(
        JOIN(
            CHAR(10) &amp; CHAR(10),
            ""Comment: "" &amp; FILTER(
                'Scores Import DO NOT EDIT'!N:N, 
                'Scores Import DO NOT EDIT'!D:D = A413
            )
        )
    ), 
    ""No"&amp;" comments yet""
)
"),"Comment: 
Comment: Both presenters were able to ping pong between topics and the overall elevator pitch very smoothly. It did not feel choppy and they were able to elaborate on the “so what” of their research and where this can go further. They were hone"&amp;"st about their limitations and appeared well prepared. 
Comment: ")</f>
        <v>Comment: 
Comment: Both presenters were able to ping pong between topics and the overall elevator pitch very smoothly. It did not feel choppy and they were able to elaborate on the “so what” of their research and where this can go further. They were honest about their limitations and appeared well prepared. 
Comment: </v>
      </c>
      <c r="K413" t="s">
        <v>5290</v>
      </c>
    </row>
    <row r="414">
      <c r="A414" s="345">
        <v>507.0</v>
      </c>
      <c r="B414" s="346" t="s">
        <v>2636</v>
      </c>
      <c r="C414" s="346" t="s">
        <v>879</v>
      </c>
      <c r="D414" s="346" t="s">
        <v>3781</v>
      </c>
      <c r="E414" s="346" t="s">
        <v>3770</v>
      </c>
      <c r="F414" s="346" t="s">
        <v>3216</v>
      </c>
      <c r="G414" s="346" t="s">
        <v>764</v>
      </c>
      <c r="H414" s="346" t="s">
        <v>3784</v>
      </c>
      <c r="I414" s="347" t="s">
        <v>3779</v>
      </c>
      <c r="J414" t="str">
        <f>IFERROR(__xludf.DUMMYFUNCTION("IFERROR(
    ARRAYFORMULA(
        JOIN(
            CHAR(10) &amp; CHAR(10),
            ""Comment: "" &amp; FILTER(
                'Scores Import DO NOT EDIT'!N:N, 
                'Scores Import DO NOT EDIT'!D:D = A414
            )
        )
    ), 
    ""No"&amp;" comments yet""
)
"),"Comment: Great job presenting.
Comment: Will be helpful to add explanation rather than formulas with subtitles.
Comment: One of the most passionate and infectious presenters I saw today. Their ability to revert back to the so what and their previous poi"&amp;"nts was so well timed I felt like I was listening to a lecture. The images left room for them to speak to them rather than I just read the description. The flow was smooth, they did throw a few acronyms sporadically which left some of the previous stateme"&amp;"nts a bite more nuance to comprehend but it was said with so much confidence I did not distract from the overall point. Very well done, I would have stayed longer if I did not have more posters to visit.")</f>
        <v>Comment: Great job presenting.
Comment: Will be helpful to add explanation rather than formulas with subtitles.
Comment: One of the most passionate and infectious presenters I saw today. Their ability to revert back to the so what and their previous points was so well timed I felt like I was listening to a lecture. The images left room for them to speak to them rather than I just read the description. The flow was smooth, they did throw a few acronyms sporadically which left some of the previous statements a bite more nuance to comprehend but it was said with so much confidence I did not distract from the overall point. Very well done, I would have stayed longer if I did not have more posters to visit.</v>
      </c>
      <c r="K414" t="s">
        <v>5291</v>
      </c>
    </row>
    <row r="415">
      <c r="A415" s="345">
        <v>508.0</v>
      </c>
      <c r="B415" s="346" t="s">
        <v>2120</v>
      </c>
      <c r="C415" s="346" t="s">
        <v>3571</v>
      </c>
      <c r="D415" s="346" t="s">
        <v>3786</v>
      </c>
      <c r="E415" s="346" t="s">
        <v>3788</v>
      </c>
      <c r="F415" s="346" t="s">
        <v>3573</v>
      </c>
      <c r="G415" s="346" t="s">
        <v>1789</v>
      </c>
      <c r="H415" s="346" t="s">
        <v>3574</v>
      </c>
      <c r="I415" s="347" t="s">
        <v>3785</v>
      </c>
      <c r="J415" t="str">
        <f>IFERROR(__xludf.DUMMYFUNCTION("IFERROR(
    ARRAYFORMULA(
        JOIN(
            CHAR(10) &amp; CHAR(10),
            ""Comment: "" &amp; FILTER(
                'Scores Import DO NOT EDIT'!N:N, 
                'Scores Import DO NOT EDIT'!D:D = A415
            )
        )
    ), 
    ""No"&amp;" comments yet""
)
"),"Comment: This is a wonderful project with the potential for further research. I recommend using less text and more bullet points.
Comment: What went well: 
-Clear purpose/motivation/inspiration, 
-Passion for the project is clear
-was able to answer the "&amp;"questions I posed in a thoughtful manner
Suggestions: 
-Poster had a lot of text and could have been made more visually interesting with more images/symbols
Comment: Suggest collecting information about response rate to assess potential selection bias. "&amp;"Suggest adding figure titles in the poster.
Comment: Your study is very interesting but when describing the work don’t focus on the service learning work, unless in future you compare different service learning programs. You should focus on your work to "&amp;"look at student perceptions. Your work is interesting and important for the field. 
Comment: Very interesting findings and comprehension of information. Only critique would be of presentation of information on poster which was very text heavy, could pres"&amp;"ent findings using more visuals to make more clear to audience.")</f>
        <v>Comment: This is a wonderful project with the potential for further research. I recommend using less text and more bullet points.
Comment: What went well: 
-Clear purpose/motivation/inspiration, 
-Passion for the project is clear
-was able to answer the questions I posed in a thoughtful manner
Suggestions: 
-Poster had a lot of text and could have been made more visually interesting with more images/symbols
Comment: Suggest collecting information about response rate to assess potential selection bias. Suggest adding figure titles in the poster.
Comment: Your study is very interesting but when describing the work don’t focus on the service learning work, unless in future you compare different service learning programs. You should focus on your work to look at student perceptions. Your work is interesting and important for the field. 
Comment: Very interesting findings and comprehension of information. Only critique would be of presentation of information on poster which was very text heavy, could present findings using more visuals to make more clear to audience.</v>
      </c>
      <c r="K415" t="s">
        <v>5292</v>
      </c>
    </row>
    <row r="416">
      <c r="A416" s="345">
        <v>509.0</v>
      </c>
      <c r="B416" s="346" t="s">
        <v>3789</v>
      </c>
      <c r="C416" s="346" t="s">
        <v>3790</v>
      </c>
      <c r="D416" s="346" t="s">
        <v>3793</v>
      </c>
      <c r="E416" s="346" t="s">
        <v>3232</v>
      </c>
      <c r="F416" s="346" t="s">
        <v>3795</v>
      </c>
      <c r="G416" s="346" t="s">
        <v>893</v>
      </c>
      <c r="H416" s="346" t="s">
        <v>2771</v>
      </c>
      <c r="I416" s="347" t="s">
        <v>3791</v>
      </c>
      <c r="J416" t="str">
        <f>IFERROR(__xludf.DUMMYFUNCTION("IFERROR(
    ARRAYFORMULA(
        JOIN(
            CHAR(10) &amp; CHAR(10),
            ""Comment: "" &amp; FILTER(
                'Scores Import DO NOT EDIT'!N:N, 
                'Scores Import DO NOT EDIT'!D:D = A416
            )
        )
    ), 
    ""No"&amp;" comments yet""
)
"),"Comment: This is a well-designed research project. However, there was a lot of text on this poster, so I would remember to use more white space next time.
Comment: Organization and presentation  of data was excellent, research significance is clear and i"&amp;"t is clear that presenter is well-knowledge in his area of research. Minor suggestions would be poster and presentation used complex concepts/methodology that could be defined for an audience not in their field. 
Comment: What went well: 
-As someone who"&amp;"'s not usually in the scientific space, he did a great job of explaining his project in layman's terms
-He masterfully described his methodology and the step-by-step process
Suggestions: 
-I would make the connection between the tobacco disease sponsorsh"&amp;"ip clear from the start. 
Comment: Neat and clear poster with good figures. Interesting research topic.
Comment: Good explanation and answers. Don’t forget to discuss not being not future research ideas but also applications to humans")</f>
        <v>Comment: This is a well-designed research project. However, there was a lot of text on this poster, so I would remember to use more white space next time.
Comment: Organization and presentation  of data was excellent, research significance is clear and it is clear that presenter is well-knowledge in his area of research. Minor suggestions would be poster and presentation used complex concepts/methodology that could be defined for an audience not in their field. 
Comment: What went well: 
-As someone who's not usually in the scientific space, he did a great job of explaining his project in layman's terms
-He masterfully described his methodology and the step-by-step process
Suggestions: 
-I would make the connection between the tobacco disease sponsorship clear from the start. 
Comment: Neat and clear poster with good figures. Interesting research topic.
Comment: Good explanation and answers. Don’t forget to discuss not being not future research ideas but also applications to humans</v>
      </c>
      <c r="K416" t="s">
        <v>5293</v>
      </c>
    </row>
    <row r="417">
      <c r="A417" s="345">
        <v>510.0</v>
      </c>
      <c r="B417" s="346" t="s">
        <v>3588</v>
      </c>
      <c r="C417" s="346" t="s">
        <v>3796</v>
      </c>
      <c r="D417" s="346" t="s">
        <v>3799</v>
      </c>
      <c r="E417" s="346" t="s">
        <v>3232</v>
      </c>
      <c r="F417" s="346" t="s">
        <v>3233</v>
      </c>
      <c r="G417" s="346" t="s">
        <v>893</v>
      </c>
      <c r="H417" s="346" t="s">
        <v>2771</v>
      </c>
      <c r="I417" s="347" t="s">
        <v>3797</v>
      </c>
      <c r="J417" t="str">
        <f>IFERROR(__xludf.DUMMYFUNCTION("IFERROR(
    ARRAYFORMULA(
        JOIN(
            CHAR(10) &amp; CHAR(10),
            ""Comment: "" &amp; FILTER(
                'Scores Import DO NOT EDIT'!N:N, 
                'Scores Import DO NOT EDIT'!D:D = A417
            )
        )
    ), 
    ""No"&amp;" comments yet""
)
"),"Comment: This a well designed research project with good potential for expansion. I recommend using less text and more blank space on future posters.
Comment: Incredible breakdown of complex information and concepts. Very interesting findings and graphic"&amp;"s of muscle. Only suggestion would be to reduce text, was a lot of information and could use more visuals/space to further clarify methods.
Comment: The poster is clear and neat, and easy to follow. 
Comment: What went well: 
-Explanation of topic was c"&amp;"lear and concise 
-Appreciated the additional close up images provided of the muscle fibers, etc. which did not fit on the poster
-Clearly is passionate about the project  
Suggestions: 
-Mouse to human applications for research were not entirely clear 
"&amp;"
Comment: Really good overview and answers. Your knowledge and of the background research is good. ")</f>
        <v>Comment: This a well designed research project with good potential for expansion. I recommend using less text and more blank space on future posters.
Comment: Incredible breakdown of complex information and concepts. Very interesting findings and graphics of muscle. Only suggestion would be to reduce text, was a lot of information and could use more visuals/space to further clarify methods.
Comment: The poster is clear and neat, and easy to follow. 
Comment: What went well: 
-Explanation of topic was clear and concise 
-Appreciated the additional close up images provided of the muscle fibers, etc. which did not fit on the poster
-Clearly is passionate about the project  
Suggestions: 
-Mouse to human applications for research were not entirely clear 
Comment: Really good overview and answers. Your knowledge and of the background research is good. </v>
      </c>
      <c r="K417" t="s">
        <v>5294</v>
      </c>
    </row>
    <row r="418">
      <c r="A418" s="345">
        <v>512.0</v>
      </c>
      <c r="B418" s="346" t="s">
        <v>3801</v>
      </c>
      <c r="C418" s="346" t="s">
        <v>3802</v>
      </c>
      <c r="D418" s="346" t="s">
        <v>3805</v>
      </c>
      <c r="E418" s="346" t="s">
        <v>3811</v>
      </c>
      <c r="F418" s="346" t="s">
        <v>3312</v>
      </c>
      <c r="G418" s="346" t="s">
        <v>893</v>
      </c>
      <c r="H418" s="346" t="s">
        <v>3812</v>
      </c>
      <c r="I418" s="347" t="s">
        <v>3803</v>
      </c>
      <c r="J418" t="str">
        <f>IFERROR(__xludf.DUMMYFUNCTION("IFERROR(
    ARRAYFORMULA(
        JOIN(
            CHAR(10) &amp; CHAR(10),
            ""Comment: "" &amp; FILTER(
                'Scores Import DO NOT EDIT'!N:N, 
                'Scores Import DO NOT EDIT'!D:D = A418
            )
        )
    ), 
    ""No"&amp;" comments yet""
)
"),"Comment: This was a well-designed study. Your presentation was great and engaging. However, this poster had some text that was hard to read because of the colors that were chosen. With future posters, I recommend using a color contrast checker to ensure t"&amp;"hat text is easier to read.
Comment: What went well: 
-Amazing organization and coordination between the three presenters, the time and effort they put into their project really showed
-Defined key terms for me that I was unfamiliar with
-Answered all qu"&amp;"estions appropriately and enthusiastically
Suggestion: 
-The poster presentation was well laid out but could have used more images to make it more visually appealing 
Comment: Incredible presentation of research information, poster and presentation was "&amp;"clear and organized. Only critique was it was a relatively small sample size and a great number of interactions. Overall fantastic job!
Comment: Interesting topic. Clear presentation. Great interaction. Know the topic very well to address questions. 
Co"&amp;"mment: Great job working together on the overview and answering questions. Very interesting research  ")</f>
        <v>Comment: This was a well-designed study. Your presentation was great and engaging. However, this poster had some text that was hard to read because of the colors that were chosen. With future posters, I recommend using a color contrast checker to ensure that text is easier to read.
Comment: What went well: 
-Amazing organization and coordination between the three presenters, the time and effort they put into their project really showed
-Defined key terms for me that I was unfamiliar with
-Answered all questions appropriately and enthusiastically
Suggestion: 
-The poster presentation was well laid out but could have used more images to make it more visually appealing 
Comment: Incredible presentation of research information, poster and presentation was clear and organized. Only critique was it was a relatively small sample size and a great number of interactions. Overall fantastic job!
Comment: Interesting topic. Clear presentation. Great interaction. Know the topic very well to address questions. 
Comment: Great job working together on the overview and answering questions. Very interesting research  </v>
      </c>
      <c r="K418" t="s">
        <v>5295</v>
      </c>
    </row>
    <row r="419">
      <c r="A419" s="345">
        <v>513.0</v>
      </c>
      <c r="B419" s="346" t="s">
        <v>832</v>
      </c>
      <c r="C419" s="346" t="s">
        <v>3813</v>
      </c>
      <c r="D419" s="346" t="s">
        <v>3815</v>
      </c>
      <c r="E419" s="346" t="s">
        <v>3818</v>
      </c>
      <c r="F419" s="346" t="s">
        <v>3819</v>
      </c>
      <c r="G419" s="346" t="s">
        <v>893</v>
      </c>
      <c r="H419" s="346" t="s">
        <v>3820</v>
      </c>
      <c r="I419" s="347" t="s">
        <v>3814</v>
      </c>
      <c r="J419" t="str">
        <f>IFERROR(__xludf.DUMMYFUNCTION("IFERROR(
    ARRAYFORMULA(
        JOIN(
            CHAR(10) &amp; CHAR(10),
            ""Comment: "" &amp; FILTER(
                'Scores Import DO NOT EDIT'!N:N, 
                'Scores Import DO NOT EDIT'!D:D = A419
            )
        )
    ), 
    ""No"&amp;" comments yet""
)
"),"Comment: Excellent overview of data, graphs, and results! Presenters were very knowledgeable and interactive with audience. Minor suggestion of thinking of longer term significance and impact of findings and research. 
Comment: This was a well-designed p"&amp;"roject with the potential for future research. For future posters, I recommend using less text and more blank space to allow for greater reading ability.
Comment: What went well: 
-Fascinating topic and emerging field of study (ear plugs are becoming mor"&amp;"e prevalent)
-Enthusiasm and passion for their topic was palpable 
-Methods were followed and communicated well 
Suggestions: 
-Poster was a little text heavy and there didn't seem to be a center focal point 
Comment: Very interesting project. Passionat"&amp;"e what their work. Know well about this topic and can address audiences’ questions. Poster could have less words and can highlight the figures.
Comment: Good overview and answers. Good job working together. ")</f>
        <v>Comment: Excellent overview of data, graphs, and results! Presenters were very knowledgeable and interactive with audience. Minor suggestion of thinking of longer term significance and impact of findings and research. 
Comment: This was a well-designed project with the potential for future research. For future posters, I recommend using less text and more blank space to allow for greater reading ability.
Comment: What went well: 
-Fascinating topic and emerging field of study (ear plugs are becoming more prevalent)
-Enthusiasm and passion for their topic was palpable 
-Methods were followed and communicated well 
Suggestions: 
-Poster was a little text heavy and there didn't seem to be a center focal point 
Comment: Very interesting project. Passionate what their work. Know well about this topic and can address audiences’ questions. Poster could have less words and can highlight the figures.
Comment: Good overview and answers. Good job working together. </v>
      </c>
      <c r="K419" t="s">
        <v>5296</v>
      </c>
    </row>
    <row r="420">
      <c r="A420" s="345">
        <v>514.0</v>
      </c>
      <c r="B420" s="346" t="s">
        <v>3821</v>
      </c>
      <c r="C420" s="346" t="s">
        <v>4180</v>
      </c>
      <c r="D420" s="346" t="s">
        <v>3824</v>
      </c>
      <c r="E420" s="346" t="s">
        <v>1323</v>
      </c>
      <c r="F420" s="346" t="s">
        <v>1324</v>
      </c>
      <c r="G420" s="346" t="s">
        <v>784</v>
      </c>
      <c r="H420" s="346" t="s">
        <v>1325</v>
      </c>
      <c r="I420" s="347" t="s">
        <v>3822</v>
      </c>
      <c r="J420" t="str">
        <f>IFERROR(__xludf.DUMMYFUNCTION("IFERROR(
    ARRAYFORMULA(
        JOIN(
            CHAR(10) &amp; CHAR(10),
            ""Comment: "" &amp; FILTER(
                'Scores Import DO NOT EDIT'!N:N, 
                'Scores Import DO NOT EDIT'!D:D = A420
            )
        )
    ), 
    ""No"&amp;" comments yet""
)
"),"Comment: The presenters did a great job of highlighting how this research was inspired, and walked the viewer through their methodology and next steps. 
Comment: Color coding was helpful. The hand-drawn images distracted somewhat from the professionalism"&amp;" of the poster. 
Comment: interesting topic and well established dichotomy, some spelling/grammar errors on poster, topic is worthy of further research")</f>
        <v>Comment: The presenters did a great job of highlighting how this research was inspired, and walked the viewer through their methodology and next steps. 
Comment: Color coding was helpful. The hand-drawn images distracted somewhat from the professionalism of the poster. 
Comment: interesting topic and well established dichotomy, some spelling/grammar errors on poster, topic is worthy of further research</v>
      </c>
      <c r="K420" t="s">
        <v>5297</v>
      </c>
    </row>
    <row r="421">
      <c r="A421" s="345">
        <v>515.0</v>
      </c>
      <c r="B421" s="346" t="s">
        <v>3828</v>
      </c>
      <c r="C421" s="346" t="s">
        <v>3829</v>
      </c>
      <c r="D421" s="346" t="s">
        <v>3831</v>
      </c>
      <c r="E421" s="346" t="s">
        <v>3066</v>
      </c>
      <c r="F421" s="346" t="s">
        <v>3067</v>
      </c>
      <c r="G421" s="346" t="s">
        <v>764</v>
      </c>
      <c r="H421" s="346" t="s">
        <v>3068</v>
      </c>
      <c r="I421" s="347" t="s">
        <v>3830</v>
      </c>
      <c r="J421" t="str">
        <f>IFERROR(__xludf.DUMMYFUNCTION("IFERROR(
    ARRAYFORMULA(
        JOIN(
            CHAR(10) &amp; CHAR(10),
            ""Comment: "" &amp; FILTER(
                'Scores Import DO NOT EDIT'!N:N, 
                'Scores Import DO NOT EDIT'!D:D = A421
            )
        )
    ), 
    ""No"&amp;" comments yet""
)
"),"Comment: This was an interesting topic that involved exploration of the topic of burdensomeness. Student was engaging and passionate about the topic. One suggestion is to be sure to orient the viewer to the graphs/figures to clearly convey the key takeawa"&amp;"ys. Well done overall.
Comment: 
Comment: particularly difficult study design (complex), challenge to create benchmark, positive learnings and room for further exploration ")</f>
        <v>Comment: This was an interesting topic that involved exploration of the topic of burdensomeness. Student was engaging and passionate about the topic. One suggestion is to be sure to orient the viewer to the graphs/figures to clearly convey the key takeaways. Well done overall.
Comment: 
Comment: particularly difficult study design (complex), challenge to create benchmark, positive learnings and room for further exploration </v>
      </c>
      <c r="K421" t="s">
        <v>5298</v>
      </c>
    </row>
    <row r="422">
      <c r="A422" s="345">
        <v>516.0</v>
      </c>
      <c r="B422" s="346" t="s">
        <v>3833</v>
      </c>
      <c r="C422" s="346" t="s">
        <v>3834</v>
      </c>
      <c r="D422" s="346" t="s">
        <v>3836</v>
      </c>
      <c r="E422" s="346" t="s">
        <v>3550</v>
      </c>
      <c r="F422" s="346" t="s">
        <v>3551</v>
      </c>
      <c r="G422" s="346" t="s">
        <v>764</v>
      </c>
      <c r="H422" s="346" t="s">
        <v>3552</v>
      </c>
      <c r="I422" s="347" t="s">
        <v>3835</v>
      </c>
      <c r="J422" t="str">
        <f>IFERROR(__xludf.DUMMYFUNCTION("IFERROR(
    ARRAYFORMULA(
        JOIN(
            CHAR(10) &amp; CHAR(10),
            ""Comment: "" &amp; FILTER(
                'Scores Import DO NOT EDIT'!N:N, 
                'Scores Import DO NOT EDIT'!D:D = A422
            )
        )
    ), 
    ""No"&amp;" comments yet""
)
"),"Comment: This was such an interesting look at the environment in which research is conducted, and has wide-scale relevance. The poster was very well organized and easy to understand. One suggestion I have for the student is to be more confident in their p"&amp;"resentation. It is such great work and the student should be proud! 
Comment: well prepared and presented, clear takeaways, more on study design would have been helpful
Comment: Nice layout; facilitated quick comprehension of the topic &amp; findings")</f>
        <v>Comment: This was such an interesting look at the environment in which research is conducted, and has wide-scale relevance. The poster was very well organized and easy to understand. One suggestion I have for the student is to be more confident in their presentation. It is such great work and the student should be proud! 
Comment: well prepared and presented, clear takeaways, more on study design would have been helpful
Comment: Nice layout; facilitated quick comprehension of the topic &amp; findings</v>
      </c>
      <c r="K422" t="s">
        <v>5299</v>
      </c>
    </row>
    <row r="423">
      <c r="A423" s="345">
        <v>517.0</v>
      </c>
      <c r="B423" s="346" t="s">
        <v>2161</v>
      </c>
      <c r="C423" s="346" t="s">
        <v>3838</v>
      </c>
      <c r="D423" s="346" t="s">
        <v>3841</v>
      </c>
      <c r="E423" s="346" t="s">
        <v>869</v>
      </c>
      <c r="F423" s="346" t="s">
        <v>3843</v>
      </c>
      <c r="G423" s="346" t="s">
        <v>764</v>
      </c>
      <c r="H423" s="346" t="s">
        <v>3052</v>
      </c>
      <c r="I423" s="347" t="s">
        <v>3839</v>
      </c>
      <c r="J423" t="str">
        <f>IFERROR(__xludf.DUMMYFUNCTION("IFERROR(
    ARRAYFORMULA(
        JOIN(
            CHAR(10) &amp; CHAR(10),
            ""Comment: "" &amp; FILTER(
                'Scores Import DO NOT EDIT'!N:N, 
                'Scores Import DO NOT EDIT'!D:D = A423
            )
        )
    ), 
    ""No"&amp;" comments yet""
)
"),"Comment: This was an interesting look at a unique community. The student did a good job of walking through the rationale and methodology. They showed a strong understanding for limitations, strengths, and potential next steps.
Comment: clear understandin"&amp;"g of limitations of research and opportunities for next steps")</f>
        <v>Comment: This was an interesting look at a unique community. The student did a good job of walking through the rationale and methodology. They showed a strong understanding for limitations, strengths, and potential next steps.
Comment: clear understanding of limitations of research and opportunities for next steps</v>
      </c>
      <c r="K423" t="s">
        <v>5300</v>
      </c>
    </row>
    <row r="424">
      <c r="A424" s="345">
        <v>518.0</v>
      </c>
      <c r="B424" s="346" t="s">
        <v>1825</v>
      </c>
      <c r="C424" s="346" t="s">
        <v>3844</v>
      </c>
      <c r="D424" s="346" t="s">
        <v>3847</v>
      </c>
      <c r="E424" s="346" t="s">
        <v>3074</v>
      </c>
      <c r="F424" s="346" t="s">
        <v>3075</v>
      </c>
      <c r="G424" s="346" t="s">
        <v>1457</v>
      </c>
      <c r="H424" s="346" t="s">
        <v>3076</v>
      </c>
      <c r="I424" s="347" t="s">
        <v>3845</v>
      </c>
      <c r="J424" t="str">
        <f>IFERROR(__xludf.DUMMYFUNCTION("IFERROR(
    ARRAYFORMULA(
        JOIN(
            CHAR(10) &amp; CHAR(10),
            ""Comment: "" &amp; FILTER(
                'Scores Import DO NOT EDIT'!N:N, 
                'Scores Import DO NOT EDIT'!D:D = A424
            )
        )
    ), 
    ""No"&amp;" comments yet""
)
"),"Comment: This was an interesting concept looking at the delivery of a mental health intervention. The student demonstrated a passion and interest in the study topic, and noted the limitations and next steps for the study. One suggestion I have is to walk "&amp;"the viewer more slowly through the methodology, perhaps providing more background on the techniques measured (e.g., are these best practices, why were these included) to help give context to the results. Good work overall.
Comment: ")</f>
        <v>Comment: This was an interesting concept looking at the delivery of a mental health intervention. The student demonstrated a passion and interest in the study topic, and noted the limitations and next steps for the study. One suggestion I have is to walk the viewer more slowly through the methodology, perhaps providing more background on the techniques measured (e.g., are these best practices, why were these included) to help give context to the results. Good work overall.
Comment: </v>
      </c>
      <c r="K424" t="s">
        <v>5301</v>
      </c>
    </row>
    <row r="425">
      <c r="A425" s="345">
        <v>519.0</v>
      </c>
      <c r="B425" s="346" t="s">
        <v>3850</v>
      </c>
      <c r="C425" s="346" t="s">
        <v>3851</v>
      </c>
      <c r="D425" s="346" t="s">
        <v>3854</v>
      </c>
      <c r="E425" s="346" t="s">
        <v>3856</v>
      </c>
      <c r="F425" s="346" t="s">
        <v>3857</v>
      </c>
      <c r="G425" s="346" t="s">
        <v>753</v>
      </c>
      <c r="H425" s="346" t="s">
        <v>3858</v>
      </c>
      <c r="I425" s="347" t="s">
        <v>3852</v>
      </c>
      <c r="J425" t="str">
        <f>IFERROR(__xludf.DUMMYFUNCTION("IFERROR(
    ARRAYFORMULA(
        JOIN(
            CHAR(10) &amp; CHAR(10),
            ""Comment: "" &amp; FILTER(
                'Scores Import DO NOT EDIT'!N:N, 
                'Scores Import DO NOT EDIT'!D:D = A425
            )
        )
    ), 
    ""No"&amp;" comments yet""
)
"),"Comment: This was an interesting study, and the student had a strong grasp on ways to improve the methodology and next steps. One suggestion I have is on the visual representation - the poster was a bit text-heavy, so it was somewhat difficult to follow t"&amp;"he methodology and results and to know where to focus. Well done overall
Comment: excellent preparation and explanation, poster was well organized with relevant content - may consider bulleting/consolidating poster info, well executed, showed depth of kn"&amp;"owledge, impressive engagement with multi-disciplined approach.
Comment: There was a lot of text on the slide; suggest using bullet points &amp; reducing text amount. Would have been helpful to see a definition of brownfield. Nice job noting limitations.")</f>
        <v>Comment: This was an interesting study, and the student had a strong grasp on ways to improve the methodology and next steps. One suggestion I have is on the visual representation - the poster was a bit text-heavy, so it was somewhat difficult to follow the methodology and results and to know where to focus. Well done overall
Comment: excellent preparation and explanation, poster was well organized with relevant content - may consider bulleting/consolidating poster info, well executed, showed depth of knowledge, impressive engagement with multi-disciplined approach.
Comment: There was a lot of text on the slide; suggest using bullet points &amp; reducing text amount. Would have been helpful to see a definition of brownfield. Nice job noting limitations.</v>
      </c>
      <c r="K425" t="s">
        <v>5302</v>
      </c>
    </row>
    <row r="426">
      <c r="A426" s="345">
        <v>520.0</v>
      </c>
      <c r="B426" s="346" t="s">
        <v>3859</v>
      </c>
      <c r="C426" s="346" t="s">
        <v>3860</v>
      </c>
      <c r="D426" s="346" t="s">
        <v>3863</v>
      </c>
      <c r="E426" s="346" t="s">
        <v>1386</v>
      </c>
      <c r="F426" s="346" t="s">
        <v>1823</v>
      </c>
      <c r="G426" s="346" t="s">
        <v>893</v>
      </c>
      <c r="H426" s="346" t="s">
        <v>1824</v>
      </c>
      <c r="I426" s="347" t="s">
        <v>3861</v>
      </c>
      <c r="J426" t="str">
        <f>IFERROR(__xludf.DUMMYFUNCTION("IFERROR(
    ARRAYFORMULA(
        JOIN(
            CHAR(10) &amp; CHAR(10),
            ""Comment: "" &amp; FILTER(
                'Scores Import DO NOT EDIT'!N:N, 
                'Scores Import DO NOT EDIT'!D:D = A426
            )
        )
    ), 
    ""No"&amp;" comments yet""
)
"),"Comment: The student was engaging and knowledgeable, and was able to highlight key takeaways. The poster was well put together and easy to follow. 
Comment: polished presentation, clear identification of major factors, opportunity for identification of k"&amp;"ey takeaways and clear policy initiatives from further data analysis
Comment: Suggest using fewer colors; it was somewhat distracting. Nice job succinctly explaining key findings")</f>
        <v>Comment: The student was engaging and knowledgeable, and was able to highlight key takeaways. The poster was well put together and easy to follow. 
Comment: polished presentation, clear identification of major factors, opportunity for identification of key takeaways and clear policy initiatives from further data analysis
Comment: Suggest using fewer colors; it was somewhat distracting. Nice job succinctly explaining key findings</v>
      </c>
      <c r="K426" t="s">
        <v>5303</v>
      </c>
    </row>
    <row r="427">
      <c r="A427" s="345">
        <v>521.0</v>
      </c>
      <c r="B427" s="346" t="s">
        <v>3557</v>
      </c>
      <c r="C427" s="346" t="s">
        <v>3865</v>
      </c>
      <c r="D427" s="346" t="s">
        <v>5304</v>
      </c>
      <c r="E427" s="346" t="s">
        <v>1386</v>
      </c>
      <c r="F427" s="346" t="s">
        <v>861</v>
      </c>
      <c r="G427" s="346" t="s">
        <v>764</v>
      </c>
      <c r="H427" s="346" t="s">
        <v>3372</v>
      </c>
      <c r="I427" s="347" t="s">
        <v>3866</v>
      </c>
      <c r="J427" t="str">
        <f>IFERROR(__xludf.DUMMYFUNCTION("IFERROR(
    ARRAYFORMULA(
        JOIN(
            CHAR(10) &amp; CHAR(10),
            ""Comment: "" &amp; FILTER(
                'Scores Import DO NOT EDIT'!N:N, 
                'Scores Import DO NOT EDIT'!D:D = A427
            )
        )
    ), 
    ""No"&amp;" comments yet""
)
"),"Comment: I was very impressed by this student. It was clear they had a strong grasp of the concept, including rationale for this research, interpretation of the findings, and important next steps. They showed a genuine curiosity for this topic and a resea"&amp;"rch-minded approach to why they saw the results. Further, they did an excellent job of communicating these findings in a concise, clear, and engaging way. Very well done.
Comment: excellent methodology, clear presentation and explanation, good understand"&amp;"ing of opportunities for further analysis and modification of test for future experiments
Comment: ")</f>
        <v>Comment: I was very impressed by this student. It was clear they had a strong grasp of the concept, including rationale for this research, interpretation of the findings, and important next steps. They showed a genuine curiosity for this topic and a research-minded approach to why they saw the results. Further, they did an excellent job of communicating these findings in a concise, clear, and engaging way. Very well done.
Comment: excellent methodology, clear presentation and explanation, good understanding of opportunities for further analysis and modification of test for future experiments
Comment: </v>
      </c>
      <c r="K427" t="s">
        <v>5305</v>
      </c>
    </row>
    <row r="428">
      <c r="A428" s="345">
        <v>522.0</v>
      </c>
      <c r="B428" s="346" t="s">
        <v>3869</v>
      </c>
      <c r="C428" s="346" t="s">
        <v>3870</v>
      </c>
      <c r="D428" s="346" t="s">
        <v>3873</v>
      </c>
      <c r="E428" s="346" t="s">
        <v>3875</v>
      </c>
      <c r="F428" s="346" t="s">
        <v>3876</v>
      </c>
      <c r="G428" s="346" t="s">
        <v>764</v>
      </c>
      <c r="H428" s="346" t="s">
        <v>3877</v>
      </c>
      <c r="I428" s="347" t="s">
        <v>3871</v>
      </c>
      <c r="J428" t="str">
        <f>IFERROR(__xludf.DUMMYFUNCTION("IFERROR(
    ARRAYFORMULA(
        JOIN(
            CHAR(10) &amp; CHAR(10),
            ""Comment: "" &amp; FILTER(
                'Scores Import DO NOT EDIT'!N:N, 
                'Scores Import DO NOT EDIT'!D:D = A428
            )
        )
    ), 
    ""No"&amp;" comments yet""
)
"),"Comment: 
Comment: 
Comment: Great work in terms of cancer treatment ")</f>
        <v>Comment: 
Comment: 
Comment: Great work in terms of cancer treatment </v>
      </c>
      <c r="K428" t="s">
        <v>5306</v>
      </c>
    </row>
    <row r="429">
      <c r="A429" s="345">
        <v>523.0</v>
      </c>
      <c r="B429" s="346" t="s">
        <v>3878</v>
      </c>
      <c r="C429" s="346" t="s">
        <v>3879</v>
      </c>
      <c r="D429" s="346" t="s">
        <v>3882</v>
      </c>
      <c r="E429" s="346" t="s">
        <v>3492</v>
      </c>
      <c r="F429" s="346" t="s">
        <v>1683</v>
      </c>
      <c r="G429" s="346" t="s">
        <v>764</v>
      </c>
      <c r="H429" s="346" t="s">
        <v>2873</v>
      </c>
      <c r="I429" s="347" t="s">
        <v>3880</v>
      </c>
      <c r="J429" t="str">
        <f>IFERROR(__xludf.DUMMYFUNCTION("IFERROR(
    ARRAYFORMULA(
        JOIN(
            CHAR(10) &amp; CHAR(10),
            ""Comment: "" &amp; FILTER(
                'Scores Import DO NOT EDIT'!N:N, 
                'Scores Import DO NOT EDIT'!D:D = A429
            )
        )
    ), 
    ""No"&amp;" comments yet""
)
"),"Comment: 
Comment: 
Comment: ")</f>
        <v>Comment: 
Comment: 
Comment: </v>
      </c>
      <c r="K429" t="s">
        <v>5247</v>
      </c>
    </row>
    <row r="430">
      <c r="A430" s="345">
        <v>524.0</v>
      </c>
      <c r="B430" s="346" t="s">
        <v>3884</v>
      </c>
      <c r="C430" s="346" t="s">
        <v>1168</v>
      </c>
      <c r="D430" s="346" t="s">
        <v>5307</v>
      </c>
      <c r="E430" s="346" t="s">
        <v>3625</v>
      </c>
      <c r="F430" s="346" t="s">
        <v>3626</v>
      </c>
      <c r="G430" s="346" t="s">
        <v>893</v>
      </c>
      <c r="H430" s="346" t="s">
        <v>3627</v>
      </c>
      <c r="I430" s="347" t="s">
        <v>3885</v>
      </c>
      <c r="J430" t="str">
        <f>IFERROR(__xludf.DUMMYFUNCTION("IFERROR(
    ARRAYFORMULA(
        JOIN(
            CHAR(10) &amp; CHAR(10),
            ""Comment: "" &amp; FILTER(
                'Scores Import DO NOT EDIT'!N:N, 
                'Scores Import DO NOT EDIT'!D:D = A430
            )
        )
    ), 
    ""No"&amp;" comments yet""
)
"),"Comment: 
Comment: 
Comment: ")</f>
        <v>Comment: 
Comment: 
Comment: </v>
      </c>
      <c r="K430" t="s">
        <v>5247</v>
      </c>
    </row>
    <row r="431">
      <c r="A431" s="345">
        <v>525.0</v>
      </c>
      <c r="B431" s="346" t="s">
        <v>3889</v>
      </c>
      <c r="C431" s="346" t="s">
        <v>1683</v>
      </c>
      <c r="D431" s="346" t="s">
        <v>3892</v>
      </c>
      <c r="E431" s="346" t="s">
        <v>3259</v>
      </c>
      <c r="F431" s="346" t="s">
        <v>3260</v>
      </c>
      <c r="G431" s="346" t="s">
        <v>893</v>
      </c>
      <c r="H431" s="346" t="s">
        <v>3261</v>
      </c>
      <c r="I431" s="347" t="s">
        <v>3890</v>
      </c>
      <c r="J431" t="str">
        <f>IFERROR(__xludf.DUMMYFUNCTION("IFERROR(
    ARRAYFORMULA(
        JOIN(
            CHAR(10) &amp; CHAR(10),
            ""Comment: "" &amp; FILTER(
                'Scores Import DO NOT EDIT'!N:N, 
                'Scores Import DO NOT EDIT'!D:D = A431
            )
        )
    ), 
    ""No"&amp;" comments yet""
)
"),"Comment: 
Comment: 
Comment: ")</f>
        <v>Comment: 
Comment: 
Comment: </v>
      </c>
      <c r="K431" t="s">
        <v>5247</v>
      </c>
    </row>
    <row r="432">
      <c r="A432" s="345">
        <v>526.0</v>
      </c>
      <c r="B432" s="346" t="s">
        <v>3895</v>
      </c>
      <c r="C432" s="346" t="s">
        <v>3896</v>
      </c>
      <c r="D432" s="346" t="s">
        <v>3899</v>
      </c>
      <c r="E432" s="346" t="s">
        <v>2580</v>
      </c>
      <c r="F432" s="346" t="s">
        <v>955</v>
      </c>
      <c r="G432" s="346" t="s">
        <v>764</v>
      </c>
      <c r="H432" s="346" t="s">
        <v>956</v>
      </c>
      <c r="I432" s="347" t="s">
        <v>3897</v>
      </c>
      <c r="J432" t="str">
        <f>IFERROR(__xludf.DUMMYFUNCTION("IFERROR(
    ARRAYFORMULA(
        JOIN(
            CHAR(10) &amp; CHAR(10),
            ""Comment: "" &amp; FILTER(
                'Scores Import DO NOT EDIT'!N:N, 
                'Scores Import DO NOT EDIT'!D:D = A432
            )
        )
    ), 
    ""No"&amp;" comments yet""
)
"),"Comment: 
Comment: 
Comment: Excellent work")</f>
        <v>Comment: 
Comment: 
Comment: Excellent work</v>
      </c>
      <c r="K432" t="s">
        <v>5308</v>
      </c>
    </row>
    <row r="433">
      <c r="A433" s="345">
        <v>527.0</v>
      </c>
      <c r="B433" s="346" t="s">
        <v>3543</v>
      </c>
      <c r="C433" s="346" t="s">
        <v>3901</v>
      </c>
      <c r="D433" s="346" t="s">
        <v>3904</v>
      </c>
      <c r="E433" s="346" t="s">
        <v>875</v>
      </c>
      <c r="F433" s="346" t="s">
        <v>3906</v>
      </c>
      <c r="G433" s="346" t="s">
        <v>764</v>
      </c>
      <c r="H433" s="346" t="s">
        <v>3907</v>
      </c>
      <c r="I433" s="347" t="s">
        <v>3902</v>
      </c>
      <c r="J433" t="str">
        <f>IFERROR(__xludf.DUMMYFUNCTION("IFERROR(
    ARRAYFORMULA(
        JOIN(
            CHAR(10) &amp; CHAR(10),
            ""Comment: "" &amp; FILTER(
                'Scores Import DO NOT EDIT'!N:N, 
                'Scores Import DO NOT EDIT'!D:D = A433
            )
        )
    ), 
    ""No"&amp;" comments yet""
)
"),"Comment: 
Comment: Very creative approach 
Comment: ")</f>
        <v>Comment: 
Comment: Very creative approach 
Comment: </v>
      </c>
      <c r="K433" t="s">
        <v>5309</v>
      </c>
    </row>
    <row r="434">
      <c r="A434" s="345">
        <v>528.0</v>
      </c>
      <c r="B434" s="346" t="s">
        <v>3458</v>
      </c>
      <c r="C434" s="346" t="s">
        <v>3908</v>
      </c>
      <c r="D434" s="346" t="s">
        <v>5310</v>
      </c>
      <c r="E434" s="346" t="s">
        <v>1515</v>
      </c>
      <c r="F434" s="346" t="s">
        <v>1516</v>
      </c>
      <c r="G434" s="346" t="s">
        <v>764</v>
      </c>
      <c r="H434" s="346" t="s">
        <v>1517</v>
      </c>
      <c r="I434" s="347" t="s">
        <v>3909</v>
      </c>
      <c r="J434" t="str">
        <f>IFERROR(__xludf.DUMMYFUNCTION("IFERROR(
    ARRAYFORMULA(
        JOIN(
            CHAR(10) &amp; CHAR(10),
            ""Comment: "" &amp; FILTER(
                'Scores Import DO NOT EDIT'!N:N, 
                'Scores Import DO NOT EDIT'!D:D = A434
            )
        )
    ), 
    ""No"&amp;" comments yet""
)
"),"Comment: 
Comment: 
Comment: ")</f>
        <v>Comment: 
Comment: 
Comment: </v>
      </c>
      <c r="K434" t="s">
        <v>5247</v>
      </c>
    </row>
    <row r="435">
      <c r="A435" s="345">
        <v>529.0</v>
      </c>
      <c r="B435" s="346" t="s">
        <v>3913</v>
      </c>
      <c r="C435" s="346" t="s">
        <v>3914</v>
      </c>
      <c r="D435" s="346" t="s">
        <v>3917</v>
      </c>
      <c r="E435" s="346" t="s">
        <v>832</v>
      </c>
      <c r="F435" s="346" t="s">
        <v>833</v>
      </c>
      <c r="G435" s="346" t="s">
        <v>773</v>
      </c>
      <c r="H435" s="346" t="s">
        <v>834</v>
      </c>
      <c r="I435" s="347" t="s">
        <v>3915</v>
      </c>
      <c r="J435" t="str">
        <f>IFERROR(__xludf.DUMMYFUNCTION("IFERROR(
    ARRAYFORMULA(
        JOIN(
            CHAR(10) &amp; CHAR(10),
            ""Comment: "" &amp; FILTER(
                'Scores Import DO NOT EDIT'!N:N, 
                'Scores Import DO NOT EDIT'!D:D = A435
            )
        )
    ), 
    ""No"&amp;" comments yet""
)
"),"Comment: Interesting and relevant work! Great interaction with audience and explanations. Suggestions could be on the organization of the content of the poster.
Comment: 
Comment: Poster organization was good but wordy. Methodology was accepted but did "&amp;"not highlight the significance of the proposed method.")</f>
        <v>Comment: Interesting and relevant work! Great interaction with audience and explanations. Suggestions could be on the organization of the content of the poster.
Comment: 
Comment: Poster organization was good but wordy. Methodology was accepted but did not highlight the significance of the proposed method.</v>
      </c>
      <c r="K435" t="s">
        <v>5311</v>
      </c>
    </row>
    <row r="436">
      <c r="A436" s="345">
        <v>530.0</v>
      </c>
      <c r="B436" s="346" t="s">
        <v>3920</v>
      </c>
      <c r="C436" s="346" t="s">
        <v>3921</v>
      </c>
      <c r="D436" s="346" t="s">
        <v>5312</v>
      </c>
      <c r="E436" s="346" t="s">
        <v>3530</v>
      </c>
      <c r="F436" s="346" t="s">
        <v>3926</v>
      </c>
      <c r="G436" s="346" t="s">
        <v>773</v>
      </c>
      <c r="H436" s="346" t="s">
        <v>3927</v>
      </c>
      <c r="I436" s="347" t="s">
        <v>3922</v>
      </c>
      <c r="J436" t="str">
        <f>IFERROR(__xludf.DUMMYFUNCTION("IFERROR(
    ARRAYFORMULA(
        JOIN(
            CHAR(10) &amp; CHAR(10),
            ""Comment: "" &amp; FILTER(
                'Scores Import DO NOT EDIT'!N:N, 
                'Scores Import DO NOT EDIT'!D:D = A436
            )
        )
    ), 
    ""No"&amp;" comments yet""
)
"),"Comment: 
Comment: Very relevant work!  A suggestion could be to have less words/long paragraphs and more key words or plots/tables.
Comment: ")</f>
        <v>Comment: 
Comment: Very relevant work!  A suggestion could be to have less words/long paragraphs and more key words or plots/tables.
Comment: </v>
      </c>
      <c r="K436" t="s">
        <v>5313</v>
      </c>
    </row>
    <row r="437">
      <c r="A437" s="345">
        <v>531.0</v>
      </c>
      <c r="B437" s="346" t="s">
        <v>3928</v>
      </c>
      <c r="C437" s="346" t="s">
        <v>3929</v>
      </c>
      <c r="D437" s="346" t="s">
        <v>3932</v>
      </c>
      <c r="E437" s="346" t="s">
        <v>3530</v>
      </c>
      <c r="F437" s="346" t="s">
        <v>3926</v>
      </c>
      <c r="G437" s="346" t="s">
        <v>773</v>
      </c>
      <c r="H437" s="346" t="s">
        <v>3927</v>
      </c>
      <c r="I437" s="347" t="s">
        <v>3930</v>
      </c>
      <c r="J437" t="str">
        <f>IFERROR(__xludf.DUMMYFUNCTION("IFERROR(
    ARRAYFORMULA(
        JOIN(
            CHAR(10) &amp; CHAR(10),
            ""Comment: "" &amp; FILTER(
                'Scores Import DO NOT EDIT'!N:N, 
                'Scores Import DO NOT EDIT'!D:D = A437
            )
        )
    ), 
    ""No"&amp;" comments yet""
)
"),"Comment: 
Comment: My suggestion is to improve the visuals and add more quantitative details about your materials, methodology, results. Long paragraphs cannot usually be read by the audience . The work is interesting and we can appreciate it more with m"&amp;"ore plots/images/schemes than words.
Comment: ")</f>
        <v>Comment: 
Comment: My suggestion is to improve the visuals and add more quantitative details about your materials, methodology, results. Long paragraphs cannot usually be read by the audience . The work is interesting and we can appreciate it more with more plots/images/schemes than words.
Comment: </v>
      </c>
      <c r="K437" t="s">
        <v>5314</v>
      </c>
    </row>
    <row r="438">
      <c r="A438" s="345">
        <v>533.0</v>
      </c>
      <c r="B438" s="346" t="s">
        <v>5315</v>
      </c>
      <c r="C438" s="346" t="s">
        <v>3935</v>
      </c>
      <c r="D438" s="346" t="s">
        <v>3938</v>
      </c>
      <c r="E438" s="346" t="s">
        <v>846</v>
      </c>
      <c r="F438" s="346" t="s">
        <v>1007</v>
      </c>
      <c r="G438" s="346" t="s">
        <v>773</v>
      </c>
      <c r="H438" s="346" t="s">
        <v>1008</v>
      </c>
      <c r="I438" s="347" t="s">
        <v>3936</v>
      </c>
      <c r="J438" t="str">
        <f>IFERROR(__xludf.DUMMYFUNCTION("IFERROR(
    ARRAYFORMULA(
        JOIN(
            CHAR(10) &amp; CHAR(10),
            ""Comment: "" &amp; FILTER(
                'Scores Import DO NOT EDIT'!N:N, 
                'Scores Import DO NOT EDIT'!D:D = A438
            )
        )
    ), 
    ""No"&amp;" comments yet""
)
"),"Comment: 
Comment: 
Comment: The work is very relevant! Providing as much context and background information as possible would enable higher audience understanding.")</f>
        <v>Comment: 
Comment: 
Comment: The work is very relevant! Providing as much context and background information as possible would enable higher audience understanding.</v>
      </c>
      <c r="K438" t="s">
        <v>5316</v>
      </c>
    </row>
    <row r="439">
      <c r="A439" s="345">
        <v>534.0</v>
      </c>
      <c r="B439" s="346" t="s">
        <v>1911</v>
      </c>
      <c r="C439" s="346" t="s">
        <v>1933</v>
      </c>
      <c r="D439" s="346" t="s">
        <v>3944</v>
      </c>
      <c r="E439" s="346" t="s">
        <v>841</v>
      </c>
      <c r="F439" s="346" t="s">
        <v>842</v>
      </c>
      <c r="G439" s="346" t="s">
        <v>773</v>
      </c>
      <c r="H439" s="346" t="s">
        <v>843</v>
      </c>
      <c r="I439" s="347" t="s">
        <v>3943</v>
      </c>
      <c r="J439" t="str">
        <f>IFERROR(__xludf.DUMMYFUNCTION("IFERROR(
    ARRAYFORMULA(
        JOIN(
            CHAR(10) &amp; CHAR(10),
            ""Comment: "" &amp; FILTER(
                'Scores Import DO NOT EDIT'!N:N, 
                'Scores Import DO NOT EDIT'!D:D = A439
            )
        )
    ), 
    ""No"&amp;" comments yet""
)
"),"Comment: 
Comment: Excellent! 
Comment: ")</f>
        <v>Comment: 
Comment: Excellent! 
Comment: </v>
      </c>
      <c r="K439" t="s">
        <v>5317</v>
      </c>
    </row>
    <row r="440">
      <c r="A440" s="345">
        <v>535.0</v>
      </c>
      <c r="B440" s="346" t="s">
        <v>3946</v>
      </c>
      <c r="C440" s="346" t="s">
        <v>3947</v>
      </c>
      <c r="D440" s="346" t="s">
        <v>3950</v>
      </c>
      <c r="E440" s="346" t="s">
        <v>2173</v>
      </c>
      <c r="F440" s="346" t="s">
        <v>2174</v>
      </c>
      <c r="G440" s="346" t="s">
        <v>893</v>
      </c>
      <c r="H440" s="346" t="s">
        <v>2195</v>
      </c>
      <c r="I440" s="347" t="s">
        <v>3948</v>
      </c>
      <c r="J440" t="str">
        <f>IFERROR(__xludf.DUMMYFUNCTION("IFERROR(
    ARRAYFORMULA(
        JOIN(
            CHAR(10) &amp; CHAR(10),
            ""Comment: "" &amp; FILTER(
                'Scores Import DO NOT EDIT'!N:N, 
                'Scores Import DO NOT EDIT'!D:D = A440
            )
        )
    ), 
    ""No"&amp;" comments yet""
)
"),"Comment: 
Comment: Excellent study and you communicated your approach and findings in a clear, concise way. 
Comment: Excellent presentation of a fascinating study on an important topic! 
Comment: Did a fine job of explaining data that was gathered fro"&amp;"m project in Uganda.  Secondary data analysis so author did not have many choices. Seem to have done the best she could with very limited data.  She did have good ideas about other data that would be needed to improve this study.  However, given all the o"&amp;"ther problems of HIV care not sure that addition travel is too important (my opinion).  ")</f>
        <v>Comment: 
Comment: Excellent study and you communicated your approach and findings in a clear, concise way. 
Comment: Excellent presentation of a fascinating study on an important topic! 
Comment: Did a fine job of explaining data that was gathered from project in Uganda.  Secondary data analysis so author did not have many choices. Seem to have done the best she could with very limited data.  She did have good ideas about other data that would be needed to improve this study.  However, given all the other problems of HIV care not sure that addition travel is too important (my opinion).  </v>
      </c>
      <c r="K440" t="s">
        <v>5318</v>
      </c>
    </row>
    <row r="441">
      <c r="A441" s="345">
        <v>536.0</v>
      </c>
      <c r="B441" s="346" t="s">
        <v>5319</v>
      </c>
      <c r="C441" s="346" t="s">
        <v>3953</v>
      </c>
      <c r="D441" s="346" t="s">
        <v>5320</v>
      </c>
      <c r="E441" s="346" t="s">
        <v>5321</v>
      </c>
      <c r="F441" s="346" t="s">
        <v>3959</v>
      </c>
      <c r="G441" s="346" t="s">
        <v>764</v>
      </c>
      <c r="H441" s="346" t="s">
        <v>3960</v>
      </c>
      <c r="I441" s="347" t="s">
        <v>3954</v>
      </c>
      <c r="J441" t="str">
        <f>IFERROR(__xludf.DUMMYFUNCTION("IFERROR(
    ARRAYFORMULA(
        JOIN(
            CHAR(10) &amp; CHAR(10),
            ""Comment: "" &amp; FILTER(
                'Scores Import DO NOT EDIT'!N:N, 
                'Scores Import DO NOT EDIT'!D:D = A441
            )
        )
    ), 
    ""No"&amp;" comments yet""
)
"),"Comment: 
Comment: I was blown away by the sophisticated communication and your ability to explain something complicated at a level a novice can understand. Truly exceptional, and I wish you luck on the rest of your project. This was the best explanation"&amp;" of research I heard all day.
Comment: Excellent, clear presentation, appropriately targeted to the knowledge level of the listener. So interesting! 
Comment: This is complicated work and the author took a lot of time to explain her project and technolo"&amp;"gy.  Very basic research related to potential cancer treatments.  She seem to have a strong mastery of the technologies used in this complex study. ")</f>
        <v>Comment: 
Comment: I was blown away by the sophisticated communication and your ability to explain something complicated at a level a novice can understand. Truly exceptional, and I wish you luck on the rest of your project. This was the best explanation of research I heard all day.
Comment: Excellent, clear presentation, appropriately targeted to the knowledge level of the listener. So interesting! 
Comment: This is complicated work and the author took a lot of time to explain her project and technology.  Very basic research related to potential cancer treatments.  She seem to have a strong mastery of the technologies used in this complex study. </v>
      </c>
      <c r="K441" t="s">
        <v>5322</v>
      </c>
    </row>
    <row r="442">
      <c r="A442" s="345">
        <v>537.0</v>
      </c>
      <c r="B442" s="346" t="s">
        <v>2611</v>
      </c>
      <c r="C442" s="346" t="s">
        <v>3961</v>
      </c>
      <c r="D442" s="346" t="s">
        <v>3964</v>
      </c>
      <c r="E442" s="346" t="s">
        <v>1713</v>
      </c>
      <c r="F442" s="346" t="s">
        <v>1714</v>
      </c>
      <c r="G442" s="346" t="s">
        <v>764</v>
      </c>
      <c r="H442" s="346" t="s">
        <v>1715</v>
      </c>
      <c r="I442" s="347" t="s">
        <v>3962</v>
      </c>
      <c r="J442" t="str">
        <f>IFERROR(__xludf.DUMMYFUNCTION("IFERROR(
    ARRAYFORMULA(
        JOIN(
            CHAR(10) &amp; CHAR(10),
            ""Comment: "" &amp; FILTER(
                'Scores Import DO NOT EDIT'!N:N, 
                'Scores Import DO NOT EDIT'!D:D = A442
            )
        )
    ), 
    ""No"&amp;" comments yet""
)
"),"Comment: So interesting! This was a clear presentation on a topic I'd never thought about before. The present was mostly clear and I appreciated the clear responses to questions. Nicely done! 
Comment: The motivation behind your study was not super clear"&amp;", nor was why we should care about these findings. I think the work was well done, I love the poster visuals, but I was left thinking “so what?”. 
Comment: Interesting project for a student. It would have been good to have a photo of a chia plant and a l"&amp;"ittle more context to understand the relevance of the project.  I was able to get good explanations from the author just looking at the poster was not enough")</f>
        <v>Comment: So interesting! This was a clear presentation on a topic I'd never thought about before. The present was mostly clear and I appreciated the clear responses to questions. Nicely done! 
Comment: The motivation behind your study was not super clear, nor was why we should care about these findings. I think the work was well done, I love the poster visuals, but I was left thinking “so what?”. 
Comment: Interesting project for a student. It would have been good to have a photo of a chia plant and a little more context to understand the relevance of the project.  I was able to get good explanations from the author just looking at the poster was not enough</v>
      </c>
      <c r="K442" t="s">
        <v>5323</v>
      </c>
    </row>
    <row r="443">
      <c r="A443" s="345">
        <v>538.0</v>
      </c>
      <c r="B443" s="346" t="s">
        <v>3966</v>
      </c>
      <c r="C443" s="346" t="s">
        <v>2329</v>
      </c>
      <c r="D443" s="346" t="s">
        <v>3969</v>
      </c>
      <c r="E443" s="346" t="s">
        <v>3977</v>
      </c>
      <c r="F443" s="346" t="s">
        <v>1683</v>
      </c>
      <c r="G443" s="346" t="s">
        <v>893</v>
      </c>
      <c r="H443" s="346" t="s">
        <v>3978</v>
      </c>
      <c r="I443" s="347" t="s">
        <v>3967</v>
      </c>
      <c r="J443" t="str">
        <f>IFERROR(__xludf.DUMMYFUNCTION("IFERROR(
    ARRAYFORMULA(
        JOIN(
            CHAR(10) &amp; CHAR(10),
            ""Comment: "" &amp; FILTER(
                'Scores Import DO NOT EDIT'!N:N, 
                'Scores Import DO NOT EDIT'!D:D = A443
            )
        )
    ), 
    ""No"&amp;" comments yet""
)
"),"Comment: 
Comment: What a great topic to be investigating! The presentation was clear and enthusiastic. The presenters did well responding to questions, even when they were uncertain. Nicely done! 
Comment: My favorite part of your work is your expertis"&amp;"e as clinicians. What you’re doing is important and necessary, and while your poster could have been clearer for the “drive-by” observers, your knowledge and expertise shines in the verbal communication. Thanks for a great conversation!
Comment: MSN caps"&amp;"tone project.  The student communicated her literature synthesis well.  ")</f>
        <v>Comment: 
Comment: What a great topic to be investigating! The presentation was clear and enthusiastic. The presenters did well responding to questions, even when they were uncertain. Nicely done! 
Comment: My favorite part of your work is your expertise as clinicians. What you’re doing is important and necessary, and while your poster could have been clearer for the “drive-by” observers, your knowledge and expertise shines in the verbal communication. Thanks for a great conversation!
Comment: MSN capstone project.  The student communicated her literature synthesis well.  </v>
      </c>
      <c r="K443" t="s">
        <v>5324</v>
      </c>
    </row>
    <row r="444">
      <c r="A444" s="345">
        <v>539.0</v>
      </c>
      <c r="B444" s="346" t="s">
        <v>3979</v>
      </c>
      <c r="C444" s="346" t="s">
        <v>3980</v>
      </c>
      <c r="D444" s="346" t="s">
        <v>3983</v>
      </c>
      <c r="E444" s="346" t="s">
        <v>3985</v>
      </c>
      <c r="F444" s="346" t="s">
        <v>3986</v>
      </c>
      <c r="G444" s="346" t="s">
        <v>893</v>
      </c>
      <c r="H444" s="346" t="s">
        <v>3987</v>
      </c>
      <c r="I444" s="347" t="s">
        <v>3981</v>
      </c>
      <c r="J444" t="str">
        <f>IFERROR(__xludf.DUMMYFUNCTION("IFERROR(
    ARRAYFORMULA(
        JOIN(
            CHAR(10) &amp; CHAR(10),
            ""Comment: "" &amp; FILTER(
                'Scores Import DO NOT EDIT'!N:N, 
                'Scores Import DO NOT EDIT'!D:D = A444
            )
        )
    ), 
    ""No"&amp;" comments yet""
)
"),"Comment: 
Comment: Talk to the person rather than the poster. Your poster has a lot of text and not many visuals which can make it hard for people walking by to get the gist of what you’re presenting on.
Comment: This is an interesting idea. I know it w"&amp;"as hypothetical but it would be great to see data in the future to see if it works! 
Comment: This presented a proposal for an intervention.  It was produced as a one semester class project so difficult to compare to other thesis and capstone presentatio"&amp;"ns.  The project It seemed logical and relevant.  Quite good for a student in her second semester. ")</f>
        <v>Comment: 
Comment: Talk to the person rather than the poster. Your poster has a lot of text and not many visuals which can make it hard for people walking by to get the gist of what you’re presenting on.
Comment: This is an interesting idea. I know it was hypothetical but it would be great to see data in the future to see if it works! 
Comment: This presented a proposal for an intervention.  It was produced as a one semester class project so difficult to compare to other thesis and capstone presentations.  The project It seemed logical and relevant.  Quite good for a student in her second semester. </v>
      </c>
      <c r="K444" t="s">
        <v>5325</v>
      </c>
    </row>
    <row r="445">
      <c r="A445" s="345">
        <v>540.0</v>
      </c>
      <c r="B445" s="346" t="s">
        <v>3988</v>
      </c>
      <c r="C445" s="346" t="s">
        <v>3989</v>
      </c>
      <c r="D445" s="346" t="s">
        <v>3992</v>
      </c>
      <c r="E445" s="346" t="s">
        <v>3091</v>
      </c>
      <c r="F445" s="346" t="s">
        <v>1234</v>
      </c>
      <c r="G445" s="346" t="s">
        <v>893</v>
      </c>
      <c r="H445" s="346" t="s">
        <v>1119</v>
      </c>
      <c r="I445" s="347" t="s">
        <v>3990</v>
      </c>
      <c r="J445" t="str">
        <f>IFERROR(__xludf.DUMMYFUNCTION("IFERROR(
    ARRAYFORMULA(
        JOIN(
            CHAR(10) &amp; CHAR(10),
            ""Comment: "" &amp; FILTER(
                'Scores Import DO NOT EDIT'!N:N, 
                'Scores Import DO NOT EDIT'!D:D = A445
            )
        )
    ), 
    ""No"&amp;" comments yet""
)
"),"Comment: Loved the inclusion of gender instead of sex. Very clear presentation. Great awareness of limitations of participant population. And wonderful understanding of field and practice based context
Comment: Excellent presentation of important, intere"&amp;"sting work! 
Comment: 
Comment: Student seemed like she had a good grasp of all aspects of the research project which she was given.  Explained project will.  Not clear if she helped collect the data or just worked with a data set from the PI.  ")</f>
        <v>Comment: Loved the inclusion of gender instead of sex. Very clear presentation. Great awareness of limitations of participant population. And wonderful understanding of field and practice based context
Comment: Excellent presentation of important, interesting work! 
Comment: 
Comment: Student seemed like she had a good grasp of all aspects of the research project which she was given.  Explained project will.  Not clear if she helped collect the data or just worked with a data set from the PI.  </v>
      </c>
      <c r="K445" t="s">
        <v>5326</v>
      </c>
    </row>
    <row r="446">
      <c r="A446" s="345">
        <v>541.0</v>
      </c>
      <c r="B446" s="346" t="s">
        <v>3994</v>
      </c>
      <c r="C446" s="346" t="s">
        <v>3995</v>
      </c>
      <c r="D446" s="346" t="s">
        <v>3998</v>
      </c>
      <c r="E446" s="346" t="s">
        <v>3977</v>
      </c>
      <c r="F446" s="346" t="s">
        <v>1683</v>
      </c>
      <c r="G446" s="347" t="s">
        <v>893</v>
      </c>
      <c r="H446" s="347" t="s">
        <v>3978</v>
      </c>
      <c r="I446" s="347" t="s">
        <v>3996</v>
      </c>
      <c r="J446" t="str">
        <f>IFERROR(__xludf.DUMMYFUNCTION("IFERROR(
    ARRAYFORMULA(
        JOIN(
            CHAR(10) &amp; CHAR(10),
            ""Comment: "" &amp; FILTER(
                'Scores Import DO NOT EDIT'!N:N, 
                'Scores Import DO NOT EDIT'!D:D = A446
            )
        )
    ), 
    ""No"&amp;" comments yet""
)
"),"Comment: Great discussion about the importance of the work and the need. I also really appreciate the acknowledgement that ;figuring out the best way to present results is hard! Good job.
Comment: 
Comment: Excellent presentation on a really important t"&amp;"opic! 
Comment: Student did give job of explaining research and its relevance. It was her small project and she understood it limitations.  Very unlike many other presentations which are spin offs of established projects. ")</f>
        <v>Comment: Great discussion about the importance of the work and the need. I also really appreciate the acknowledgement that ;figuring out the best way to present results is hard! Good job.
Comment: 
Comment: Excellent presentation on a really important topic! 
Comment: Student did give job of explaining research and its relevance. It was her small project and she understood it limitations.  Very unlike many other presentations which are spin offs of established projects. </v>
      </c>
      <c r="K446" t="s">
        <v>5327</v>
      </c>
    </row>
    <row r="447">
      <c r="A447" s="345">
        <v>542.0</v>
      </c>
      <c r="B447" s="346" t="s">
        <v>1395</v>
      </c>
      <c r="C447" s="346" t="s">
        <v>4001</v>
      </c>
      <c r="D447" s="346" t="s">
        <v>4004</v>
      </c>
      <c r="E447" s="346" t="s">
        <v>4006</v>
      </c>
      <c r="F447" s="346" t="s">
        <v>4007</v>
      </c>
      <c r="G447" s="346" t="s">
        <v>893</v>
      </c>
      <c r="H447" s="346" t="s">
        <v>4008</v>
      </c>
      <c r="I447" s="347" t="s">
        <v>4002</v>
      </c>
      <c r="J447" t="str">
        <f>IFERROR(__xludf.DUMMYFUNCTION("IFERROR(
    ARRAYFORMULA(
        JOIN(
            CHAR(10) &amp; CHAR(10),
            ""Comment: "" &amp; FILTER(
                'Scores Import DO NOT EDIT'!N:N, 
                'Scores Import DO NOT EDIT'!D:D = A447
            )
        )
    ), 
    ""No"&amp;" comments yet""
)
"),"Comment: 
Comment: Excellent presentation of a really interesting program. 
Comment: Fine project evaluating an ongoing program that supports student live and health.  Student seem to have made good use of practical skills development in her MPH program"&amp;".  ")</f>
        <v>Comment: 
Comment: Excellent presentation of a really interesting program. 
Comment: Fine project evaluating an ongoing program that supports student live and health.  Student seem to have made good use of practical skills development in her MPH program.  </v>
      </c>
      <c r="K447" t="s">
        <v>5328</v>
      </c>
    </row>
    <row r="448">
      <c r="A448" s="345">
        <v>543.0</v>
      </c>
      <c r="B448" s="346" t="s">
        <v>4009</v>
      </c>
      <c r="C448" s="346" t="s">
        <v>4010</v>
      </c>
      <c r="D448" s="346" t="s">
        <v>4013</v>
      </c>
      <c r="E448" s="346" t="s">
        <v>4015</v>
      </c>
      <c r="F448" s="346" t="s">
        <v>4016</v>
      </c>
      <c r="G448" s="346" t="s">
        <v>784</v>
      </c>
      <c r="H448" s="346" t="s">
        <v>4017</v>
      </c>
      <c r="I448" s="347" t="s">
        <v>4011</v>
      </c>
      <c r="J448" t="str">
        <f>IFERROR(__xludf.DUMMYFUNCTION("IFERROR(
    ARRAYFORMULA(
        JOIN(
            CHAR(10) &amp; CHAR(10),
            ""Comment: "" &amp; FILTER(
                'Scores Import DO NOT EDIT'!N:N, 
                'Scores Import DO NOT EDIT'!D:D = A448
            )
        )
    ), 
    ""No"&amp;" comments yet""
)
"),"Comment: 
Comment: 
Comment: 
Comment: Really interesting and important work! Would love to see more interviews or focus groups. Maybe think more about how what success would look like, how can we respect these practices and educate people without them"&amp;" getting “white washed”
Comment: Fantastic and innovative research on an important and under researched area! Great interaction with audience and pictures were such an important touch! Only recommendation would be that poster should share more informatio"&amp;"n on focus group and interviews that were conducted. ")</f>
        <v>Comment: 
Comment: 
Comment: 
Comment: Really interesting and important work! Would love to see more interviews or focus groups. Maybe think more about how what success would look like, how can we respect these practices and educate people without them getting “white washed”
Comment: Fantastic and innovative research on an important and under researched area! Great interaction with audience and pictures were such an important touch! Only recommendation would be that poster should share more information on focus group and interviews that were conducted. </v>
      </c>
      <c r="K448" t="s">
        <v>5329</v>
      </c>
    </row>
    <row r="449">
      <c r="A449" s="345">
        <v>544.0</v>
      </c>
      <c r="B449" s="346" t="s">
        <v>4018</v>
      </c>
      <c r="C449" s="346" t="s">
        <v>2714</v>
      </c>
      <c r="D449" s="346" t="s">
        <v>4021</v>
      </c>
      <c r="E449" s="346" t="s">
        <v>1673</v>
      </c>
      <c r="F449" s="346" t="s">
        <v>1674</v>
      </c>
      <c r="G449" s="346" t="s">
        <v>764</v>
      </c>
      <c r="H449" s="346" t="s">
        <v>1418</v>
      </c>
      <c r="I449" s="347" t="s">
        <v>4020</v>
      </c>
      <c r="J449" t="str">
        <f>IFERROR(__xludf.DUMMYFUNCTION("IFERROR(
    ARRAYFORMULA(
        JOIN(
            CHAR(10) &amp; CHAR(10),
            ""Comment: "" &amp; FILTER(
                'Scores Import DO NOT EDIT'!N:N, 
                'Scores Import DO NOT EDIT'!D:D = A449
            )
        )
    ), 
    ""No"&amp;" comments yet""
)
"),"Comment: 
Comment: 
Comment: Presenter was very engaged with audience and went through graphic and results clearly. Great job breaking down a complex analysis in layman terms. Describing further the overall impact of the study would strengthen the prese"&amp;"ntation.
Comment: Your passion and investment shows! Good job! Would love a longitudinal study on how this impacts their development and language skills later on. ")</f>
        <v>Comment: 
Comment: 
Comment: Presenter was very engaged with audience and went through graphic and results clearly. Great job breaking down a complex analysis in layman terms. Describing further the overall impact of the study would strengthen the presentation.
Comment: Your passion and investment shows! Good job! Would love a longitudinal study on how this impacts their development and language skills later on. </v>
      </c>
      <c r="K449" t="s">
        <v>5330</v>
      </c>
    </row>
    <row r="450">
      <c r="A450" s="345">
        <v>545.0</v>
      </c>
      <c r="B450" s="346" t="s">
        <v>4023</v>
      </c>
      <c r="C450" s="346" t="s">
        <v>1419</v>
      </c>
      <c r="D450" s="346" t="s">
        <v>4026</v>
      </c>
      <c r="E450" s="346" t="s">
        <v>5331</v>
      </c>
      <c r="F450" s="346" t="s">
        <v>5332</v>
      </c>
      <c r="G450" s="346" t="s">
        <v>764</v>
      </c>
      <c r="H450" s="346" t="s">
        <v>4034</v>
      </c>
      <c r="I450" s="347" t="s">
        <v>4024</v>
      </c>
      <c r="J450" t="str">
        <f>IFERROR(__xludf.DUMMYFUNCTION("IFERROR(
    ARRAYFORMULA(
        JOIN(
            CHAR(10) &amp; CHAR(10),
            ""Comment: "" &amp; FILTER(
                'Scores Import DO NOT EDIT'!N:N, 
                'Scores Import DO NOT EDIT'!D:D = A450
            )
        )
    ), 
    ""No"&amp;" comments yet""
)
"),"Comment: 
Comment: 
Comment: 
Comment: Excellent presentation of research methods and background! Research significance of the LUNA-D study is very clear. Only a few inconsistencies with what student was presenting and study results on poster but was q"&amp;"uickly clarified!
Comment: Good job this is really important work! It sounds like you collected other data, maybe play with that a bit more to see if there are any differences (ex:age or gender). ")</f>
        <v>Comment: 
Comment: 
Comment: 
Comment: Excellent presentation of research methods and background! Research significance of the LUNA-D study is very clear. Only a few inconsistencies with what student was presenting and study results on poster but was quickly clarified!
Comment: Good job this is really important work! It sounds like you collected other data, maybe play with that a bit more to see if there are any differences (ex:age or gender). </v>
      </c>
      <c r="K450" t="s">
        <v>5333</v>
      </c>
    </row>
    <row r="451">
      <c r="A451" s="345">
        <v>546.0</v>
      </c>
      <c r="B451" s="346" t="s">
        <v>1284</v>
      </c>
      <c r="C451" s="346" t="s">
        <v>4035</v>
      </c>
      <c r="D451" s="346" t="s">
        <v>4038</v>
      </c>
      <c r="E451" s="346" t="s">
        <v>4040</v>
      </c>
      <c r="F451" s="346" t="s">
        <v>4041</v>
      </c>
      <c r="G451" s="346" t="s">
        <v>753</v>
      </c>
      <c r="H451" s="346" t="s">
        <v>4042</v>
      </c>
      <c r="I451" s="347" t="s">
        <v>4036</v>
      </c>
      <c r="J451" t="str">
        <f>IFERROR(__xludf.DUMMYFUNCTION("IFERROR(
    ARRAYFORMULA(
        JOIN(
            CHAR(10) &amp; CHAR(10),
            ""Comment: "" &amp; FILTER(
                'Scores Import DO NOT EDIT'!N:N, 
                'Scores Import DO NOT EDIT'!D:D = A451
            )
        )
    ), 
    ""No"&amp;" comments yet""
)
"),"Comment: 
Comment: Great job! This work is so practically important and your passion shows! I think it would be interesting to also interview other generations so you can get more of a sense of how things have shifted over time. 
Comment: 
Comment: 
C"&amp;"omment: Great display of visuals and presentation of findings and significance. Methods (e.g., types of interviews and qualitative framework that informed the study) would strengthen the poster presentation!")</f>
        <v>Comment: 
Comment: Great job! This work is so practically important and your passion shows! I think it would be interesting to also interview other generations so you can get more of a sense of how things have shifted over time. 
Comment: 
Comment: 
Comment: Great display of visuals and presentation of findings and significance. Methods (e.g., types of interviews and qualitative framework that informed the study) would strengthen the poster presentation!</v>
      </c>
      <c r="K451" t="s">
        <v>5334</v>
      </c>
    </row>
    <row r="452">
      <c r="A452" s="345">
        <v>547.0</v>
      </c>
      <c r="B452" s="346" t="s">
        <v>1875</v>
      </c>
      <c r="C452" s="346" t="s">
        <v>4043</v>
      </c>
      <c r="D452" s="346" t="s">
        <v>4045</v>
      </c>
      <c r="E452" s="346" t="s">
        <v>4050</v>
      </c>
      <c r="F452" s="346" t="s">
        <v>4051</v>
      </c>
      <c r="G452" s="346" t="s">
        <v>893</v>
      </c>
      <c r="H452" s="346" t="s">
        <v>4052</v>
      </c>
      <c r="I452" s="347" t="s">
        <v>4044</v>
      </c>
      <c r="J452" t="str">
        <f>IFERROR(__xludf.DUMMYFUNCTION("IFERROR(
    ARRAYFORMULA(
        JOIN(
            CHAR(10) &amp; CHAR(10),
            ""Comment: "" &amp; FILTER(
                'Scores Import DO NOT EDIT'!N:N, 
                'Scores Import DO NOT EDIT'!D:D = A452
            )
        )
    ), 
    ""No"&amp;" comments yet""
)
"),"Comment: 
Comment: 
Comment: Loved your poster! You are all clearly well informed and passionate! We chatted about ideas, but maybe look at letters from other languages for a nonverbal alternative.
Comment: Fantastic poster and presentation of findings"&amp;". Presenters were very knowledgeable about the research content matter and explained aphasia in a way that audience members could understand. 
Comment: ")</f>
        <v>Comment: 
Comment: 
Comment: Loved your poster! You are all clearly well informed and passionate! We chatted about ideas, but maybe look at letters from other languages for a nonverbal alternative.
Comment: Fantastic poster and presentation of findings. Presenters were very knowledgeable about the research content matter and explained aphasia in a way that audience members could understand. 
Comment: </v>
      </c>
      <c r="K452" t="s">
        <v>5335</v>
      </c>
    </row>
    <row r="453">
      <c r="A453" s="345">
        <v>548.0</v>
      </c>
      <c r="B453" s="346" t="s">
        <v>2338</v>
      </c>
      <c r="C453" s="346" t="s">
        <v>4053</v>
      </c>
      <c r="D453" s="346" t="s">
        <v>4055</v>
      </c>
      <c r="E453" s="346" t="s">
        <v>4057</v>
      </c>
      <c r="F453" s="346" t="s">
        <v>766</v>
      </c>
      <c r="G453" s="346" t="s">
        <v>764</v>
      </c>
      <c r="H453" s="346" t="s">
        <v>767</v>
      </c>
      <c r="I453" s="347" t="s">
        <v>4054</v>
      </c>
      <c r="J453" t="str">
        <f>IFERROR(__xludf.DUMMYFUNCTION("IFERROR(
    ARRAYFORMULA(
        JOIN(
            CHAR(10) &amp; CHAR(10),
            ""Comment: "" &amp; FILTER(
                'Scores Import DO NOT EDIT'!N:N, 
                'Scores Import DO NOT EDIT'!D:D = A453
            )
        )
    ), 
    ""No"&amp;" comments yet""
)
"),"Comment: Great overview of the research, presenter was clear and organized. It was also very clear that she was passionate about women’s health. Only recommendation would be to share more on the poster about the interview guide used and approach used to a"&amp;"nalyze the interviews.
Comment: 
Comment: 
Comment: 
Comment: Such important work! I would be curious to know why the doctors don’t offer Pap smears as part of routine care? If you can normalize it in the general population it won’t be so stigmatized "&amp;"in the HIV population")</f>
        <v>Comment: Great overview of the research, presenter was clear and organized. It was also very clear that she was passionate about women’s health. Only recommendation would be to share more on the poster about the interview guide used and approach used to analyze the interviews.
Comment: 
Comment: 
Comment: 
Comment: Such important work! I would be curious to know why the doctors don’t offer Pap smears as part of routine care? If you can normalize it in the general population it won’t be so stigmatized in the HIV population</v>
      </c>
      <c r="K453" t="s">
        <v>5336</v>
      </c>
    </row>
    <row r="454">
      <c r="A454" s="345">
        <v>549.0</v>
      </c>
      <c r="B454" s="346" t="s">
        <v>2913</v>
      </c>
      <c r="C454" s="346" t="s">
        <v>4058</v>
      </c>
      <c r="D454" s="346" t="s">
        <v>4060</v>
      </c>
      <c r="E454" s="346" t="s">
        <v>4062</v>
      </c>
      <c r="F454" s="346" t="s">
        <v>2987</v>
      </c>
      <c r="G454" s="346" t="s">
        <v>893</v>
      </c>
      <c r="H454" s="346" t="s">
        <v>4063</v>
      </c>
      <c r="I454" s="347" t="s">
        <v>4059</v>
      </c>
      <c r="J454" t="str">
        <f>IFERROR(__xludf.DUMMYFUNCTION("IFERROR(
    ARRAYFORMULA(
        JOIN(
            CHAR(10) &amp; CHAR(10),
            ""Comment: "" &amp; FILTER(
                'Scores Import DO NOT EDIT'!N:N, 
                'Scores Import DO NOT EDIT'!D:D = A454
            )
        )
    ), 
    ""No"&amp;" comments yet""
)
"),"Comment: 
Comment: 
Comment: 
Comment: Very relevant topic, presenters did a great job reviewing the content, visuals, and answering audience questions. Only suggestion was to simplify the findings/complex terms in layman terms for those who are not we"&amp;"ll-versed in this research. ")</f>
        <v>Comment: 
Comment: 
Comment: 
Comment: Very relevant topic, presenters did a great job reviewing the content, visuals, and answering audience questions. Only suggestion was to simplify the findings/complex terms in layman terms for those who are not well-versed in this research. </v>
      </c>
      <c r="K454" t="s">
        <v>5337</v>
      </c>
    </row>
    <row r="455">
      <c r="A455" s="345">
        <v>550.0</v>
      </c>
      <c r="B455" s="346" t="s">
        <v>4040</v>
      </c>
      <c r="C455" s="346" t="s">
        <v>4064</v>
      </c>
      <c r="D455" s="346" t="s">
        <v>4067</v>
      </c>
      <c r="E455" s="346" t="s">
        <v>1838</v>
      </c>
      <c r="F455" s="346" t="s">
        <v>1839</v>
      </c>
      <c r="G455" s="346" t="s">
        <v>893</v>
      </c>
      <c r="H455" s="346" t="s">
        <v>1840</v>
      </c>
      <c r="I455" s="347" t="s">
        <v>4065</v>
      </c>
      <c r="J455" t="str">
        <f>IFERROR(__xludf.DUMMYFUNCTION("IFERROR(
    ARRAYFORMULA(
        JOIN(
            CHAR(10) &amp; CHAR(10),
            ""Comment: "" &amp; FILTER(
                'Scores Import DO NOT EDIT'!N:N, 
                'Scores Import DO NOT EDIT'!D:D = A455
            )
        )
    ), 
    ""No"&amp;" comments yet""
)
"),"Comment: 
Comment: Very original! 
Comment: Great energy and clarity in the explanation of your research!
Comment: This was a fascinating study and the presenters did an amazing job explaining a lot of very complicated tasks. I was impressed by their a"&amp;"bility to think about next steps and implications of the work.
Comment: Students were very friendly, spoke loud enough to clearly hear in a crowded room, and were very well rehearsed which made the presentation very understandable despite being a somewha"&amp;"t difficult concept to explain about dual language speakers and cognition. Not super clear what the importance/impact of this research would be, could have been more clear there. ")</f>
        <v>Comment: 
Comment: Very original! 
Comment: Great energy and clarity in the explanation of your research!
Comment: This was a fascinating study and the presenters did an amazing job explaining a lot of very complicated tasks. I was impressed by their ability to think about next steps and implications of the work.
Comment: Students were very friendly, spoke loud enough to clearly hear in a crowded room, and were very well rehearsed which made the presentation very understandable despite being a somewhat difficult concept to explain about dual language speakers and cognition. Not super clear what the importance/impact of this research would be, could have been more clear there. </v>
      </c>
      <c r="K455" t="s">
        <v>5338</v>
      </c>
    </row>
    <row r="456">
      <c r="A456" s="345">
        <v>551.0</v>
      </c>
      <c r="B456" s="346" t="s">
        <v>4072</v>
      </c>
      <c r="C456" s="346" t="s">
        <v>4073</v>
      </c>
      <c r="D456" s="346" t="s">
        <v>4075</v>
      </c>
      <c r="E456" s="346" t="s">
        <v>774</v>
      </c>
      <c r="F456" s="346" t="s">
        <v>775</v>
      </c>
      <c r="G456" s="346" t="s">
        <v>753</v>
      </c>
      <c r="H456" s="346" t="s">
        <v>776</v>
      </c>
      <c r="I456" s="347" t="s">
        <v>4074</v>
      </c>
      <c r="J456" t="str">
        <f>IFERROR(__xludf.DUMMYFUNCTION("IFERROR(
    ARRAYFORMULA(
        JOIN(
            CHAR(10) &amp; CHAR(10),
            ""Comment: "" &amp; FILTER(
                'Scores Import DO NOT EDIT'!N:N, 
                'Scores Import DO NOT EDIT'!D:D = A456
            )
        )
    ), 
    ""No"&amp;" comments yet""
)
"),"No comments yet")</f>
        <v>No comments yet</v>
      </c>
      <c r="K456" t="s">
        <v>4820</v>
      </c>
    </row>
    <row r="457">
      <c r="A457" s="345">
        <v>552.0</v>
      </c>
      <c r="B457" s="346" t="s">
        <v>2644</v>
      </c>
      <c r="C457" s="346" t="s">
        <v>1116</v>
      </c>
      <c r="D457" s="346" t="s">
        <v>4082</v>
      </c>
      <c r="E457" s="346" t="s">
        <v>2760</v>
      </c>
      <c r="F457" s="346" t="s">
        <v>4084</v>
      </c>
      <c r="G457" s="346" t="s">
        <v>764</v>
      </c>
      <c r="H457" s="346" t="s">
        <v>2762</v>
      </c>
      <c r="I457" s="347" t="s">
        <v>4080</v>
      </c>
      <c r="J457" t="str">
        <f>IFERROR(__xludf.DUMMYFUNCTION("IFERROR(
    ARRAYFORMULA(
        JOIN(
            CHAR(10) &amp; CHAR(10),
            ""Comment: "" &amp; FILTER(
                'Scores Import DO NOT EDIT'!N:N, 
                'Scores Import DO NOT EDIT'!D:D = A457
            )
        )
    ), 
    ""No"&amp;" comments yet""
)
"),"Comment: 
Comment: 
Comment: 
Comment: This was a fascinating study and the presenting did an excellent job describing the methods used. I especially liked the inclusion of pictures as that helped me understand everything better.
Comment: Really inter"&amp;"esting study and methods for researching thirdhand smoke. Few participants in the study so far, but important implications for developing ways to potentially clean smoke residue from indoor settings. I learned about new research methods. Student did a goo"&amp;"d job at explaining the research in detail, but could have been more emotive/engaging.")</f>
        <v>Comment: 
Comment: 
Comment: 
Comment: This was a fascinating study and the presenting did an excellent job describing the methods used. I especially liked the inclusion of pictures as that helped me understand everything better.
Comment: Really interesting study and methods for researching thirdhand smoke. Few participants in the study so far, but important implications for developing ways to potentially clean smoke residue from indoor settings. I learned about new research methods. Student did a good job at explaining the research in detail, but could have been more emotive/engaging.</v>
      </c>
      <c r="K457" t="s">
        <v>5339</v>
      </c>
    </row>
    <row r="458">
      <c r="A458" s="345">
        <v>553.0</v>
      </c>
      <c r="B458" s="346" t="s">
        <v>4085</v>
      </c>
      <c r="C458" s="346" t="s">
        <v>4086</v>
      </c>
      <c r="D458" s="346" t="s">
        <v>4088</v>
      </c>
      <c r="E458" s="346" t="s">
        <v>4090</v>
      </c>
      <c r="F458" s="346" t="s">
        <v>4091</v>
      </c>
      <c r="G458" s="346" t="s">
        <v>764</v>
      </c>
      <c r="H458" s="346" t="s">
        <v>4092</v>
      </c>
      <c r="I458" s="347" t="s">
        <v>4087</v>
      </c>
      <c r="J458" t="str">
        <f>IFERROR(__xludf.DUMMYFUNCTION("IFERROR(
    ARRAYFORMULA(
        JOIN(
            CHAR(10) &amp; CHAR(10),
            ""Comment: "" &amp; FILTER(
                'Scores Import DO NOT EDIT'!N:N, 
                'Scores Import DO NOT EDIT'!D:D = A458
            )
        )
    ), 
    ""No"&amp;" comments yet""
)
"),"Comment: 
Comment: 
Comment: 
Comment: This was such a creative and interesting project! The presenter did an amazing job explaining it, and I love the pictures that were included. I was especially impressed by how the presenter answered questions and "&amp;"engaged with the audience.
Comment: Student did a great job describing the study, methods, and limitations. Very interesting methods and findings, but limitations preclude drawing definitive impactful results. Student was friendly and engaging and poster"&amp;" was clear.")</f>
        <v>Comment: 
Comment: 
Comment: 
Comment: This was such a creative and interesting project! The presenter did an amazing job explaining it, and I love the pictures that were included. I was especially impressed by how the presenter answered questions and engaged with the audience.
Comment: Student did a great job describing the study, methods, and limitations. Very interesting methods and findings, but limitations preclude drawing definitive impactful results. Student was friendly and engaging and poster was clear.</v>
      </c>
      <c r="K458" t="s">
        <v>5340</v>
      </c>
    </row>
    <row r="459">
      <c r="A459" s="345">
        <v>554.0</v>
      </c>
      <c r="B459" s="346" t="s">
        <v>4093</v>
      </c>
      <c r="C459" s="346" t="s">
        <v>4094</v>
      </c>
      <c r="D459" s="346" t="s">
        <v>4097</v>
      </c>
      <c r="E459" s="346" t="s">
        <v>1323</v>
      </c>
      <c r="F459" s="346" t="s">
        <v>1324</v>
      </c>
      <c r="G459" s="346" t="s">
        <v>784</v>
      </c>
      <c r="H459" s="346" t="s">
        <v>1325</v>
      </c>
      <c r="I459" s="347" t="s">
        <v>4095</v>
      </c>
      <c r="J459" t="str">
        <f>IFERROR(__xludf.DUMMYFUNCTION("IFERROR(
    ARRAYFORMULA(
        JOIN(
            CHAR(10) &amp; CHAR(10),
            ""Comment: "" &amp; FILTER(
                'Scores Import DO NOT EDIT'!N:N, 
                'Scores Import DO NOT EDIT'!D:D = A459
            )
        )
    ), 
    ""No"&amp;" comments yet""
)
"),"Comment: 
Comment: 
Comment: 
Comment: This was a fascinating project, and the presenters explained it extremely well. I appreciated how they included their hypotheses and expectations, and their theories about the reasons behind the results. I also lo"&amp;"ved the pictures!")</f>
        <v>Comment: 
Comment: 
Comment: 
Comment: This was a fascinating project, and the presenters explained it extremely well. I appreciated how they included their hypotheses and expectations, and their theories about the reasons behind the results. I also loved the pictures!</v>
      </c>
      <c r="K459" t="s">
        <v>5341</v>
      </c>
    </row>
    <row r="460">
      <c r="A460" s="345">
        <v>555.0</v>
      </c>
      <c r="B460" s="346" t="s">
        <v>4102</v>
      </c>
      <c r="C460" s="346" t="s">
        <v>4103</v>
      </c>
      <c r="D460" s="346" t="s">
        <v>4105</v>
      </c>
      <c r="E460" s="346" t="s">
        <v>2406</v>
      </c>
      <c r="F460" s="346" t="s">
        <v>4107</v>
      </c>
      <c r="G460" s="346" t="s">
        <v>777</v>
      </c>
      <c r="H460" s="346" t="s">
        <v>4108</v>
      </c>
      <c r="I460" s="347" t="s">
        <v>4104</v>
      </c>
      <c r="J460" t="str">
        <f>IFERROR(__xludf.DUMMYFUNCTION("IFERROR(
    ARRAYFORMULA(
        JOIN(
            CHAR(10) &amp; CHAR(10),
            ""Comment: "" &amp; FILTER(
                'Scores Import DO NOT EDIT'!N:N, 
                'Scores Import DO NOT EDIT'!D:D = A460
            )
        )
    ), 
    ""No"&amp;" comments yet""
)
"),"Comment: Student was enthusiastic about project. I would suggest a more substantial intervention rather than a hypothetical letter of support. Also, controlling for other variables like demographics or fraternity involvement. Perhaps qualitative inquiry w"&amp;"ould improve understanding of what level of support giving would have a more substantial impact on individual level beliefs (your outcomes). Great job and interesting hypothesis to test!
Comment: 
Comment: 
Comment: 
Comment: This was a really interes"&amp;"ting project. The presenter explained it very well, and did an excellent job exploring the next steps and why the findings are important.")</f>
        <v>Comment: Student was enthusiastic about project. I would suggest a more substantial intervention rather than a hypothetical letter of support. Also, controlling for other variables like demographics or fraternity involvement. Perhaps qualitative inquiry would improve understanding of what level of support giving would have a more substantial impact on individual level beliefs (your outcomes). Great job and interesting hypothesis to test!
Comment: 
Comment: 
Comment: 
Comment: This was a really interesting project. The presenter explained it very well, and did an excellent job exploring the next steps and why the findings are important.</v>
      </c>
      <c r="K460" t="s">
        <v>5342</v>
      </c>
    </row>
    <row r="461">
      <c r="A461" s="345">
        <v>556.0</v>
      </c>
      <c r="B461" s="346" t="s">
        <v>4109</v>
      </c>
      <c r="C461" s="346" t="s">
        <v>4110</v>
      </c>
      <c r="D461" s="346" t="s">
        <v>4113</v>
      </c>
      <c r="E461" s="346" t="s">
        <v>1323</v>
      </c>
      <c r="F461" s="346" t="s">
        <v>1324</v>
      </c>
      <c r="G461" s="346" t="s">
        <v>784</v>
      </c>
      <c r="H461" s="346" t="s">
        <v>1325</v>
      </c>
      <c r="I461" s="347" t="s">
        <v>4111</v>
      </c>
      <c r="J461" t="str">
        <f>IFERROR(__xludf.DUMMYFUNCTION("IFERROR(
    ARRAYFORMULA(
        JOIN(
            CHAR(10) &amp; CHAR(10),
            ""Comment: "" &amp; FILTER(
                'Scores Import DO NOT EDIT'!N:N, 
                'Scores Import DO NOT EDIT'!D:D = A461
            )
        )
    ), 
    ""No"&amp;" comments yet""
)
"),"Comment: 
Comment: 
Comment: 
Comment: This was an incredibly interesting project - I loved the use of publicly available data. The presenter explained the project very clearly, and I was impressed by their discussion of the issues. I also really liked"&amp;" the figures included.
Comment: Really important research with immediate, real-world implications on the enduring effects of redlining on community gardens. I would be interested to hear about the qualitative exploration student mentioned. Student seemed"&amp;" passionate about the research. Poster was too busy with words, suggest to reduce word count for overall poster clarity.")</f>
        <v>Comment: 
Comment: 
Comment: 
Comment: This was an incredibly interesting project - I loved the use of publicly available data. The presenter explained the project very clearly, and I was impressed by their discussion of the issues. I also really liked the figures included.
Comment: Really important research with immediate, real-world implications on the enduring effects of redlining on community gardens. I would be interested to hear about the qualitative exploration student mentioned. Student seemed passionate about the research. Poster was too busy with words, suggest to reduce word count for overall poster clarity.</v>
      </c>
      <c r="K461" t="s">
        <v>5343</v>
      </c>
    </row>
    <row r="462">
      <c r="A462" s="345">
        <v>557.0</v>
      </c>
      <c r="B462" s="346" t="s">
        <v>4115</v>
      </c>
      <c r="C462" s="346" t="s">
        <v>4116</v>
      </c>
      <c r="D462" s="346" t="s">
        <v>4119</v>
      </c>
      <c r="E462" s="346" t="s">
        <v>936</v>
      </c>
      <c r="F462" s="346" t="s">
        <v>937</v>
      </c>
      <c r="G462" s="346" t="s">
        <v>893</v>
      </c>
      <c r="H462" s="346" t="s">
        <v>938</v>
      </c>
      <c r="I462" s="347" t="s">
        <v>4117</v>
      </c>
      <c r="J462" t="str">
        <f>IFERROR(__xludf.DUMMYFUNCTION("IFERROR(
    ARRAYFORMULA(
        JOIN(
            CHAR(10) &amp; CHAR(10),
            ""Comment: "" &amp; FILTER(
                'Scores Import DO NOT EDIT'!N:N, 
                'Scores Import DO NOT EDIT'!D:D = A462
            )
        )
    ), 
    ""No"&amp;" comments yet""
)
"),"Comment: 
Comment: 
Comment: 
Comment: This project was really interesting. I really liked the figures that were included, as it conveyed the information clearly. The presenter did an excellent job explaining the next steps in the study.
Comment: Stud"&amp;"ent was an engaging presenter.  Research findings very, very preliminary but study sounds interesting and presenter still made the prelim findings seem somewhat interesting. Recruitment seems to be a struggle in this study but the research focus on lgbtq "&amp;"youth is important.")</f>
        <v>Comment: 
Comment: 
Comment: 
Comment: This project was really interesting. I really liked the figures that were included, as it conveyed the information clearly. The presenter did an excellent job explaining the next steps in the study.
Comment: Student was an engaging presenter.  Research findings very, very preliminary but study sounds interesting and presenter still made the prelim findings seem somewhat interesting. Recruitment seems to be a struggle in this study but the research focus on lgbtq youth is important.</v>
      </c>
      <c r="K462" t="s">
        <v>5344</v>
      </c>
    </row>
    <row r="463">
      <c r="A463" s="345">
        <v>558.0</v>
      </c>
      <c r="B463" s="346" t="s">
        <v>4122</v>
      </c>
      <c r="C463" s="346" t="s">
        <v>4123</v>
      </c>
      <c r="D463" s="346" t="s">
        <v>4126</v>
      </c>
      <c r="E463" s="346" t="s">
        <v>2580</v>
      </c>
      <c r="F463" s="346" t="s">
        <v>2581</v>
      </c>
      <c r="G463" s="346" t="s">
        <v>764</v>
      </c>
      <c r="H463" s="346" t="s">
        <v>2582</v>
      </c>
      <c r="I463" s="347" t="s">
        <v>4124</v>
      </c>
      <c r="J463" t="str">
        <f>IFERROR(__xludf.DUMMYFUNCTION("IFERROR(
    ARRAYFORMULA(
        JOIN(
            CHAR(10) &amp; CHAR(10),
            ""Comment: "" &amp; FILTER(
                'Scores Import DO NOT EDIT'!N:N, 
                'Scores Import DO NOT EDIT'!D:D = A463
            )
        )
    ), 
    ""No"&amp;" comments yet""
)
"),"Comment: Very interesting presentation on plant root exudate. 
Comment: 
Comment: Excellent presentation but was somewhat hard to hear in the noisy poster hall
Comment: Nice presentation. It was very loud, so you will have to get used to speaking loude"&amp;"r. ")</f>
        <v>Comment: Very interesting presentation on plant root exudate. 
Comment: 
Comment: Excellent presentation but was somewhat hard to hear in the noisy poster hall
Comment: Nice presentation. It was very loud, so you will have to get used to speaking louder. </v>
      </c>
      <c r="K463" t="s">
        <v>5345</v>
      </c>
    </row>
    <row r="464">
      <c r="A464" s="345">
        <v>559.0</v>
      </c>
      <c r="B464" s="346" t="s">
        <v>4129</v>
      </c>
      <c r="C464" s="346" t="s">
        <v>4130</v>
      </c>
      <c r="D464" s="346" t="s">
        <v>5346</v>
      </c>
      <c r="E464" s="346" t="s">
        <v>948</v>
      </c>
      <c r="F464" s="346" t="s">
        <v>949</v>
      </c>
      <c r="G464" s="346" t="s">
        <v>764</v>
      </c>
      <c r="H464" s="346" t="s">
        <v>950</v>
      </c>
      <c r="I464" s="347" t="s">
        <v>4131</v>
      </c>
      <c r="J464" t="str">
        <f>IFERROR(__xludf.DUMMYFUNCTION("IFERROR(
    ARRAYFORMULA(
        JOIN(
            CHAR(10) &amp; CHAR(10),
            ""Comment: "" &amp; FILTER(
                'Scores Import DO NOT EDIT'!N:N, 
                'Scores Import DO NOT EDIT'!D:D = A464
            )
        )
    ), 
    ""No"&amp;" comments yet""
)
"),"Comment: Very good presentation, clear and original idea. 
Comment: 
Comment: 
Comment: Great enthusiastic presentation.")</f>
        <v>Comment: Very good presentation, clear and original idea. 
Comment: 
Comment: 
Comment: Great enthusiastic presentation.</v>
      </c>
      <c r="K464" t="s">
        <v>5347</v>
      </c>
    </row>
    <row r="465">
      <c r="A465" s="345">
        <v>560.0</v>
      </c>
      <c r="B465" s="346" t="s">
        <v>3588</v>
      </c>
      <c r="C465" s="346" t="s">
        <v>4136</v>
      </c>
      <c r="D465" s="346" t="s">
        <v>4139</v>
      </c>
      <c r="E465" s="346" t="s">
        <v>4141</v>
      </c>
      <c r="F465" s="346" t="s">
        <v>4142</v>
      </c>
      <c r="G465" s="346" t="s">
        <v>764</v>
      </c>
      <c r="H465" s="346" t="s">
        <v>4143</v>
      </c>
      <c r="I465" s="347" t="s">
        <v>4137</v>
      </c>
      <c r="J465" t="str">
        <f>IFERROR(__xludf.DUMMYFUNCTION("IFERROR(
    ARRAYFORMULA(
        JOIN(
            CHAR(10) &amp; CHAR(10),
            ""Comment: "" &amp; FILTER(
                'Scores Import DO NOT EDIT'!N:N, 
                'Scores Import DO NOT EDIT'!D:D = A465
            )
        )
    ), 
    ""No"&amp;" comments yet""
)
"),"Comment: Excellent research and delivery of the presentation 
Comment: 
Comment: 
Comment: Nice presentation. Shorten abstract.")</f>
        <v>Comment: Excellent research and delivery of the presentation 
Comment: 
Comment: 
Comment: Nice presentation. Shorten abstract.</v>
      </c>
      <c r="K465" t="s">
        <v>5348</v>
      </c>
    </row>
    <row r="466">
      <c r="A466" s="345">
        <v>561.0</v>
      </c>
      <c r="B466" s="346" t="s">
        <v>3146</v>
      </c>
      <c r="C466" s="346" t="s">
        <v>4144</v>
      </c>
      <c r="D466" s="346" t="s">
        <v>5349</v>
      </c>
      <c r="E466" s="346" t="s">
        <v>4149</v>
      </c>
      <c r="F466" s="346" t="s">
        <v>1342</v>
      </c>
      <c r="G466" s="346" t="s">
        <v>764</v>
      </c>
      <c r="H466" s="346" t="s">
        <v>4150</v>
      </c>
      <c r="I466" s="347" t="s">
        <v>4145</v>
      </c>
      <c r="J466" t="str">
        <f>IFERROR(__xludf.DUMMYFUNCTION("IFERROR(
    ARRAYFORMULA(
        JOIN(
            CHAR(10) &amp; CHAR(10),
            ""Comment: "" &amp; FILTER(
                'Scores Import DO NOT EDIT'!N:N, 
                'Scores Import DO NOT EDIT'!D:D = A466
            )
        )
    ), 
    ""No"&amp;" comments yet""
)
"),"Comment: Great presentation of the research
Comment: 
Comment: 
Comment: Nice enthusiastic presentation. Need to slow down your presentation a little. ")</f>
        <v>Comment: Great presentation of the research
Comment: 
Comment: 
Comment: Nice enthusiastic presentation. Need to slow down your presentation a little. </v>
      </c>
      <c r="K466" t="s">
        <v>5350</v>
      </c>
    </row>
    <row r="467">
      <c r="A467" s="345">
        <v>562.0</v>
      </c>
      <c r="B467" s="346" t="s">
        <v>1722</v>
      </c>
      <c r="C467" s="346" t="s">
        <v>4151</v>
      </c>
      <c r="D467" s="346" t="s">
        <v>4153</v>
      </c>
      <c r="E467" s="346" t="s">
        <v>1356</v>
      </c>
      <c r="F467" s="346" t="s">
        <v>1062</v>
      </c>
      <c r="G467" s="346" t="s">
        <v>764</v>
      </c>
      <c r="H467" s="346" t="s">
        <v>1357</v>
      </c>
      <c r="I467" s="347" t="s">
        <v>4152</v>
      </c>
      <c r="J467" t="str">
        <f>IFERROR(__xludf.DUMMYFUNCTION("IFERROR(
    ARRAYFORMULA(
        JOIN(
            CHAR(10) &amp; CHAR(10),
            ""Comment: "" &amp; FILTER(
                'Scores Import DO NOT EDIT'!N:N, 
                'Scores Import DO NOT EDIT'!D:D = A467
            )
        )
    ), 
    ""No"&amp;" comments yet""
)
"),"Comment: 
Comment: 
Comment: Nice enthusiastic presentation. Be prepared to answer questions about the models in a little more depth. ")</f>
        <v>Comment: 
Comment: 
Comment: Nice enthusiastic presentation. Be prepared to answer questions about the models in a little more depth. </v>
      </c>
      <c r="K467" t="s">
        <v>5351</v>
      </c>
    </row>
    <row r="468">
      <c r="A468" s="345">
        <v>563.0</v>
      </c>
      <c r="B468" s="346" t="s">
        <v>4155</v>
      </c>
      <c r="C468" s="346" t="s">
        <v>4156</v>
      </c>
      <c r="D468" s="346" t="s">
        <v>4159</v>
      </c>
      <c r="E468" s="346" t="s">
        <v>2986</v>
      </c>
      <c r="F468" s="346" t="s">
        <v>4161</v>
      </c>
      <c r="G468" s="346" t="s">
        <v>764</v>
      </c>
      <c r="H468" s="346" t="s">
        <v>4162</v>
      </c>
      <c r="I468" s="347" t="s">
        <v>4157</v>
      </c>
      <c r="J468" t="str">
        <f>IFERROR(__xludf.DUMMYFUNCTION("IFERROR(
    ARRAYFORMULA(
        JOIN(
            CHAR(10) &amp; CHAR(10),
            ""Comment: "" &amp; FILTER(
                'Scores Import DO NOT EDIT'!N:N, 
                'Scores Import DO NOT EDIT'!D:D = A468
            )
        )
    ), 
    ""No"&amp;" comments yet""
)
"),"Comment: 
Comment: Nice enthusiastic presentation")</f>
        <v>Comment: 
Comment: Nice enthusiastic presentation</v>
      </c>
      <c r="K468" t="s">
        <v>5352</v>
      </c>
    </row>
    <row r="469">
      <c r="A469" s="345">
        <v>564.0</v>
      </c>
      <c r="B469" s="346" t="s">
        <v>4163</v>
      </c>
      <c r="C469" s="346" t="s">
        <v>4164</v>
      </c>
      <c r="D469" s="346" t="s">
        <v>4167</v>
      </c>
      <c r="E469" s="346" t="s">
        <v>3421</v>
      </c>
      <c r="F469" s="346" t="s">
        <v>4170</v>
      </c>
      <c r="G469" s="346" t="s">
        <v>777</v>
      </c>
      <c r="H469" s="346" t="s">
        <v>3423</v>
      </c>
      <c r="I469" s="347" t="s">
        <v>4165</v>
      </c>
      <c r="J469" t="str">
        <f>IFERROR(__xludf.DUMMYFUNCTION("IFERROR(
    ARRAYFORMULA(
        JOIN(
            CHAR(10) &amp; CHAR(10),
            ""Comment: "" &amp; FILTER(
                'Scores Import DO NOT EDIT'!N:N, 
                'Scores Import DO NOT EDIT'!D:D = A469
            )
        )
    ), 
    ""No"&amp;" comments yet""
)
"),"Comment: 
Comment: 
Comment: 
Comment: Nice presentation. Don't be shy about answering questions about the how the placental data is collected. ")</f>
        <v>Comment: 
Comment: 
Comment: 
Comment: Nice presentation. Don't be shy about answering questions about the how the placental data is collected. </v>
      </c>
      <c r="K469" t="s">
        <v>5353</v>
      </c>
    </row>
    <row r="470">
      <c r="A470" s="345">
        <v>565.0</v>
      </c>
      <c r="B470" s="346" t="s">
        <v>2864</v>
      </c>
      <c r="C470" s="346" t="s">
        <v>2813</v>
      </c>
      <c r="D470" s="346" t="s">
        <v>5354</v>
      </c>
      <c r="E470" s="346" t="s">
        <v>4177</v>
      </c>
      <c r="F470" s="346" t="s">
        <v>4178</v>
      </c>
      <c r="G470" s="346" t="s">
        <v>1457</v>
      </c>
      <c r="H470" s="346" t="s">
        <v>4179</v>
      </c>
      <c r="I470" s="347" t="s">
        <v>4171</v>
      </c>
      <c r="J470" t="str">
        <f>IFERROR(__xludf.DUMMYFUNCTION("IFERROR(
    ARRAYFORMULA(
        JOIN(
            CHAR(10) &amp; CHAR(10),
            ""Comment: "" &amp; FILTER(
                'Scores Import DO NOT EDIT'!N:N, 
                'Scores Import DO NOT EDIT'!D:D = A470
            )
        )
    ), 
    ""No"&amp;" comments yet""
)
"),"Comment: Incredibly thoughtful, great choice of photos to represent their experiences, well designed. Wonderful!!!
Comment: Thank you for sharing your stories, I believe that narrative storytelling is very important.
I’m wondering what types of setbacks "&amp;"or criticisms you’ve received. 
Unfortunately, I was unable to speak with you for too long today. 
Would love to see you at the SACNAS conference in Phoenix this year!
Keep telling your stories and sharing your ideas. 
You are both very good public speak"&amp;"ers. I didn’t have any feedback on the way you handle conversation. I’m impressed that you’ve just finished your first semester! Keep grabbing all the opportunities you can. 
I think the only suggestion for improvement I have is that you include some mor"&amp;"e qualitative analysis to inform your conclusions. 
I really enjoyed the photovoice autoethnography and believe decolonial methodologies are important. Keep boosting transfronterize voices. 
However, leaving out analysis can make it easier for people to u"&amp;"ndermine your idea or treat it as more of an art exhibit rather than a research project.")</f>
        <v>Comment: Incredibly thoughtful, great choice of photos to represent their experiences, well designed. Wonderful!!!
Comment: Thank you for sharing your stories, I believe that narrative storytelling is very important.
I’m wondering what types of setbacks or criticisms you’ve received. 
Unfortunately, I was unable to speak with you for too long today. 
Would love to see you at the SACNAS conference in Phoenix this year!
Keep telling your stories and sharing your ideas. 
You are both very good public speakers. I didn’t have any feedback on the way you handle conversation. I’m impressed that you’ve just finished your first semester! Keep grabbing all the opportunities you can. 
I think the only suggestion for improvement I have is that you include some more qualitative analysis to inform your conclusions. 
I really enjoyed the photovoice autoethnography and believe decolonial methodologies are important. Keep boosting transfronterize voices. 
However, leaving out analysis can make it easier for people to undermine your idea or treat it as more of an art exhibit rather than a research project.</v>
      </c>
      <c r="K470" t="s">
        <v>5355</v>
      </c>
    </row>
    <row r="471">
      <c r="A471" s="345">
        <v>566.0</v>
      </c>
      <c r="B471" s="346" t="s">
        <v>4180</v>
      </c>
      <c r="C471" s="346" t="s">
        <v>4181</v>
      </c>
      <c r="D471" s="346" t="s">
        <v>4184</v>
      </c>
      <c r="E471" s="346" t="s">
        <v>4186</v>
      </c>
      <c r="F471" s="346" t="s">
        <v>2230</v>
      </c>
      <c r="G471" s="346" t="s">
        <v>1457</v>
      </c>
      <c r="H471" s="346" t="s">
        <v>4188</v>
      </c>
      <c r="I471" s="347" t="s">
        <v>4182</v>
      </c>
      <c r="J471" t="str">
        <f>IFERROR(__xludf.DUMMYFUNCTION("IFERROR(
    ARRAYFORMULA(
        JOIN(
            CHAR(10) &amp; CHAR(10),
            ""Comment: "" &amp; FILTER(
                'Scores Import DO NOT EDIT'!N:N, 
                'Scores Import DO NOT EDIT'!D:D = A471
            )
        )
    ), 
    ""No"&amp;" comments yet""
)
"),"Comment: Well described study. I’m curious about the results. Serbia research is in process. 
Comment: Thank you for a great oral accompaniment to your poster presentation. 
It is a very well delivered project and very interesting to think about. 
I unde"&amp;"rstand that you were just working with the data you had available, so that's very impressive. I think the project would be enriched with the audio from both teachers or with other forms of qualitative data. However, I understand your limitations. Thank yo"&amp;"u for sharing. ")</f>
        <v>Comment: Well described study. I’m curious about the results. Serbia research is in process. 
Comment: Thank you for a great oral accompaniment to your poster presentation. 
It is a very well delivered project and very interesting to think about. 
I understand that you were just working with the data you had available, so that's very impressive. I think the project would be enriched with the audio from both teachers or with other forms of qualitative data. However, I understand your limitations. Thank you for sharing. </v>
      </c>
      <c r="K471" t="s">
        <v>5356</v>
      </c>
    </row>
    <row r="472">
      <c r="A472" s="345">
        <v>567.0</v>
      </c>
      <c r="B472" s="346" t="s">
        <v>4189</v>
      </c>
      <c r="C472" s="346" t="s">
        <v>4190</v>
      </c>
      <c r="D472" s="346" t="s">
        <v>4192</v>
      </c>
      <c r="E472" s="346" t="s">
        <v>2271</v>
      </c>
      <c r="F472" s="346" t="s">
        <v>4196</v>
      </c>
      <c r="G472" s="346" t="s">
        <v>893</v>
      </c>
      <c r="H472" s="346" t="s">
        <v>2790</v>
      </c>
      <c r="I472" s="347" t="s">
        <v>4191</v>
      </c>
      <c r="J472" t="str">
        <f>IFERROR(__xludf.DUMMYFUNCTION("IFERROR(
    ARRAYFORMULA(
        JOIN(
            CHAR(10) &amp; CHAR(10),
            ""Comment: "" &amp; FILTER(
                'Scores Import DO NOT EDIT'!N:N, 
                'Scores Import DO NOT EDIT'!D:D = A472
            )
        )
    ), 
    ""No"&amp;" comments yet""
)
"),"Comment: Impressive study with interesting findings! I deeply appreciated that the student researcher was able to explain the meaning of the odds ratios in terms of the findings. Well done!!
Comment: Great oral accompaniment to your poster presentation. "&amp;"
Kenia was very knowledgeable about research related to the project which was a plus!
")</f>
        <v>Comment: Impressive study with interesting findings! I deeply appreciated that the student researcher was able to explain the meaning of the odds ratios in terms of the findings. Well done!!
Comment: Great oral accompaniment to your poster presentation. 
Kenia was very knowledgeable about research related to the project which was a plus!
</v>
      </c>
      <c r="K472" t="s">
        <v>5357</v>
      </c>
    </row>
    <row r="473">
      <c r="A473" s="345">
        <v>568.0</v>
      </c>
      <c r="B473" s="346" t="s">
        <v>3181</v>
      </c>
      <c r="C473" s="346" t="s">
        <v>4197</v>
      </c>
      <c r="D473" s="346" t="s">
        <v>4199</v>
      </c>
      <c r="E473" s="346" t="s">
        <v>2350</v>
      </c>
      <c r="F473" s="346" t="s">
        <v>2351</v>
      </c>
      <c r="G473" s="346" t="s">
        <v>764</v>
      </c>
      <c r="H473" s="346" t="s">
        <v>2352</v>
      </c>
      <c r="I473" s="347" t="s">
        <v>4198</v>
      </c>
      <c r="J473" t="str">
        <f>IFERROR(__xludf.DUMMYFUNCTION("IFERROR(
    ARRAYFORMULA(
        JOIN(
            CHAR(10) &amp; CHAR(10),
            ""Comment: "" &amp; FILTER(
                'Scores Import DO NOT EDIT'!N:N, 
                'Scores Import DO NOT EDIT'!D:D = A473
            )
        )
    ), 
    ""No"&amp;" comments yet""
)
"),"Comment: Exceptional! Each student understood their role and the research. They articulated their ideas well!
Comment: Anna was very knowledgeable about the project and suggested areas for future improvement of the CS class that was observed. 
There is "&amp;"room for improvement of professionalism for the other project partners. It's hard to take you seriously as researchers if your behavior doesn't match the setting. Be respectful of others when they're speaking. It was hard to hear Anna through all the nois"&amp;"e. ")</f>
        <v>Comment: Exceptional! Each student understood their role and the research. They articulated their ideas well!
Comment: Anna was very knowledgeable about the project and suggested areas for future improvement of the CS class that was observed. 
There is room for improvement of professionalism for the other project partners. It's hard to take you seriously as researchers if your behavior doesn't match the setting. Be respectful of others when they're speaking. It was hard to hear Anna through all the noise. </v>
      </c>
      <c r="K473" t="s">
        <v>5358</v>
      </c>
    </row>
    <row r="474">
      <c r="A474" s="345">
        <v>569.0</v>
      </c>
      <c r="B474" s="346" t="s">
        <v>4204</v>
      </c>
      <c r="C474" s="346" t="s">
        <v>4205</v>
      </c>
      <c r="D474" s="346" t="s">
        <v>5359</v>
      </c>
      <c r="E474" s="346" t="s">
        <v>785</v>
      </c>
      <c r="F474" s="346" t="s">
        <v>786</v>
      </c>
      <c r="G474" s="346" t="s">
        <v>784</v>
      </c>
      <c r="H474" s="346" t="s">
        <v>787</v>
      </c>
      <c r="I474" s="347" t="s">
        <v>4206</v>
      </c>
      <c r="J474" t="str">
        <f>IFERROR(__xludf.DUMMYFUNCTION("IFERROR(
    ARRAYFORMULA(
        JOIN(
            CHAR(10) &amp; CHAR(10),
            ""Comment: "" &amp; FILTER(
                'Scores Import DO NOT EDIT'!N:N, 
                'Scores Import DO NOT EDIT'!D:D = A474
            )
        )
    ), 
    ""No"&amp;" comments yet""
)
"),"Comment: Whoa! So impressive! The researcher connected the need for security and education for girls and women to national security and international security. She inspired my interest in learning more. Excellent and insightful work. 
Comment: Wahida, th"&amp;"ank you so much for your project. 
I'm sure the work you did on it has already touched the lives of so many Afghan refugees. 
I don't have any suggestions for improvement as of yet. 
You identified so many areas that need work with just one short project."&amp;" There are opportunities for a multitude of future programs and more research.  
I'm looking forward to seeing more of your work in the future. ")</f>
        <v>Comment: Whoa! So impressive! The researcher connected the need for security and education for girls and women to national security and international security. She inspired my interest in learning more. Excellent and insightful work. 
Comment: Wahida, thank you so much for your project. 
I'm sure the work you did on it has already touched the lives of so many Afghan refugees. 
I don't have any suggestions for improvement as of yet. 
You identified so many areas that need work with just one short project. There are opportunities for a multitude of future programs and more research.  
I'm looking forward to seeing more of your work in the future. </v>
      </c>
      <c r="K474" t="s">
        <v>5360</v>
      </c>
    </row>
    <row r="475">
      <c r="A475" s="345">
        <v>570.0</v>
      </c>
      <c r="B475" s="346" t="s">
        <v>4212</v>
      </c>
      <c r="C475" s="346" t="s">
        <v>4213</v>
      </c>
      <c r="D475" s="346" t="s">
        <v>4216</v>
      </c>
      <c r="E475" s="346" t="s">
        <v>4186</v>
      </c>
      <c r="F475" s="346" t="s">
        <v>2230</v>
      </c>
      <c r="G475" s="346" t="s">
        <v>1457</v>
      </c>
      <c r="H475" s="346" t="s">
        <v>4188</v>
      </c>
      <c r="I475" s="347" t="s">
        <v>4214</v>
      </c>
      <c r="J475" t="str">
        <f>IFERROR(__xludf.DUMMYFUNCTION("IFERROR(
    ARRAYFORMULA(
        JOIN(
            CHAR(10) &amp; CHAR(10),
            ""Comment: "" &amp; FILTER(
                'Scores Import DO NOT EDIT'!N:N, 
                'Scores Import DO NOT EDIT'!D:D = A475
            )
        )
    ), 
    ""No"&amp;" comments yet""
)
"),"Comment: Great work! Really clear about the project, looking forward to hearing more. Great information on poster ")</f>
        <v>Comment: Great work! Really clear about the project, looking forward to hearing more. Great information on poster </v>
      </c>
      <c r="K475" t="s">
        <v>5361</v>
      </c>
    </row>
    <row r="476">
      <c r="A476" s="345">
        <v>571.0</v>
      </c>
      <c r="B476" s="346" t="s">
        <v>4218</v>
      </c>
      <c r="C476" s="346" t="s">
        <v>4219</v>
      </c>
      <c r="D476" s="346" t="s">
        <v>4222</v>
      </c>
      <c r="E476" s="346" t="s">
        <v>5362</v>
      </c>
      <c r="F476" s="346" t="s">
        <v>4225</v>
      </c>
      <c r="G476" s="346" t="s">
        <v>1457</v>
      </c>
      <c r="H476" s="346" t="s">
        <v>4226</v>
      </c>
      <c r="I476" s="347" t="s">
        <v>4220</v>
      </c>
      <c r="J476" t="str">
        <f>IFERROR(__xludf.DUMMYFUNCTION("IFERROR(
    ARRAYFORMULA(
        JOIN(
            CHAR(10) &amp; CHAR(10),
            ""Comment: "" &amp; FILTER(
                'Scores Import DO NOT EDIT'!N:N, 
                'Scores Import DO NOT EDIT'!D:D = A476
            )
        )
    ), 
    ""No"&amp;" comments yet""
)
"),"Comment: Excellent presentation. Well-organized poster. Might want to distinguish results that follow from data analysis from ideas that might address findings . Great work! 
Comment: Shaye, you're a terrific public speaker. Thank you for sharing your pr"&amp;"oject. 
")</f>
        <v>Comment: Excellent presentation. Well-organized poster. Might want to distinguish results that follow from data analysis from ideas that might address findings . Great work! 
Comment: Shaye, you're a terrific public speaker. Thank you for sharing your project. 
</v>
      </c>
      <c r="K476" t="s">
        <v>5363</v>
      </c>
    </row>
    <row r="477">
      <c r="A477" s="345">
        <v>572.0</v>
      </c>
      <c r="B477" s="346" t="s">
        <v>4233</v>
      </c>
      <c r="C477" s="346" t="s">
        <v>4234</v>
      </c>
      <c r="D477" s="346" t="s">
        <v>4237</v>
      </c>
      <c r="E477" s="346" t="s">
        <v>1126</v>
      </c>
      <c r="F477" s="346" t="s">
        <v>1127</v>
      </c>
      <c r="G477" s="346" t="s">
        <v>893</v>
      </c>
      <c r="H477" s="346" t="s">
        <v>1128</v>
      </c>
      <c r="I477" s="347" t="s">
        <v>4235</v>
      </c>
      <c r="J477" t="str">
        <f>IFERROR(__xludf.DUMMYFUNCTION("IFERROR(
    ARRAYFORMULA(
        JOIN(
            CHAR(10) &amp; CHAR(10),
            ""Comment: "" &amp; FILTER(
                'Scores Import DO NOT EDIT'!N:N, 
                'Scores Import DO NOT EDIT'!D:D = A477
            )
        )
    ), 
    ""No"&amp;" comments yet""
)
"),"Comment: 
Comment: Poster was very well organized and aesthetically pleasing. Presenter was very engaging and a great speaker. They also seemed passionate and I appreciated how they pointed out important areas for future research. 
Comment: Great work o"&amp;"verall. The student was passionate and knowledgeable about the topic. They had ideas for next steps and highlighted the relevance of this work. One suggestion I have is to take time in the beginning to orient the viewer to the overall goal of the study be"&amp;"fore going into results/methods. ")</f>
        <v>Comment: 
Comment: Poster was very well organized and aesthetically pleasing. Presenter was very engaging and a great speaker. They also seemed passionate and I appreciated how they pointed out important areas for future research. 
Comment: Great work overall. The student was passionate and knowledgeable about the topic. They had ideas for next steps and highlighted the relevance of this work. One suggestion I have is to take time in the beginning to orient the viewer to the overall goal of the study before going into results/methods. </v>
      </c>
      <c r="K477" t="s">
        <v>5364</v>
      </c>
    </row>
    <row r="478">
      <c r="A478" s="345">
        <v>573.0</v>
      </c>
      <c r="B478" s="346" t="s">
        <v>4239</v>
      </c>
      <c r="C478" s="346" t="s">
        <v>4240</v>
      </c>
      <c r="D478" s="346" t="s">
        <v>4243</v>
      </c>
      <c r="E478" s="346" t="s">
        <v>2722</v>
      </c>
      <c r="F478" s="346" t="s">
        <v>2817</v>
      </c>
      <c r="G478" s="346" t="s">
        <v>764</v>
      </c>
      <c r="H478" s="346" t="s">
        <v>2818</v>
      </c>
      <c r="I478" s="347" t="s">
        <v>4241</v>
      </c>
      <c r="J478" t="str">
        <f>IFERROR(__xludf.DUMMYFUNCTION("IFERROR(
    ARRAYFORMULA(
        JOIN(
            CHAR(10) &amp; CHAR(10),
            ""Comment: "" &amp; FILTER(
                'Scores Import DO NOT EDIT'!N:N, 
                'Scores Import DO NOT EDIT'!D:D = A478
            )
        )
    ), 
    ""No"&amp;" comments yet""
)
"),"Comment: Presenter had excellent presentation skills and did a nice job of explaining a topic that I was not familiar with. I would have liked more clarity on the sample and recruitment, though they answered my question about it well.
Comment: The studen"&amp;"t did a great job of clearly explaining the study, and highlighting the importance of this work and what was done. There was a strong understanding of the methodology and relevant next steps, limitations, etc. One suggestion I have is in the visual presen"&amp;"tation of this work. It was a bit text heavy, which could be overwhelming to viewers. Great work overall.")</f>
        <v>Comment: Presenter had excellent presentation skills and did a nice job of explaining a topic that I was not familiar with. I would have liked more clarity on the sample and recruitment, though they answered my question about it well.
Comment: The student did a great job of clearly explaining the study, and highlighting the importance of this work and what was done. There was a strong understanding of the methodology and relevant next steps, limitations, etc. One suggestion I have is in the visual presentation of this work. It was a bit text heavy, which could be overwhelming to viewers. Great work overall.</v>
      </c>
      <c r="K478" t="s">
        <v>5365</v>
      </c>
    </row>
    <row r="479">
      <c r="A479" s="345">
        <v>574.0</v>
      </c>
      <c r="B479" s="346" t="s">
        <v>4245</v>
      </c>
      <c r="C479" s="346" t="s">
        <v>4246</v>
      </c>
      <c r="D479" s="346" t="s">
        <v>4249</v>
      </c>
      <c r="E479" s="346" t="s">
        <v>4251</v>
      </c>
      <c r="F479" s="346" t="s">
        <v>4252</v>
      </c>
      <c r="G479" s="346" t="s">
        <v>784</v>
      </c>
      <c r="H479" s="346" t="s">
        <v>4253</v>
      </c>
      <c r="I479" s="347" t="s">
        <v>4247</v>
      </c>
      <c r="J479" t="str">
        <f>IFERROR(__xludf.DUMMYFUNCTION("IFERROR(
    ARRAYFORMULA(
        JOIN(
            CHAR(10) &amp; CHAR(10),
            ""Comment: "" &amp; FILTER(
                'Scores Import DO NOT EDIT'!N:N, 
                'Scores Import DO NOT EDIT'!D:D = A479
            )
        )
    ), 
    ""No"&amp;" comments yet""
)
"),"Comment: This research appears to have the capacity to lead to important policy changes. It also seems to inform how to conduct transborder research, which could be helpful for researchers across disciplines. The poster would have benefitted from bullet p"&amp;"oints instead of blocks of text. Additionally would have liked more details about the methodology (ie interview analysis).
Comment: Good work overall. The presenter had a passion for the project and was knowledgeable about the larger issue at hand. This "&amp;"work could be strengthened by creating a less text-heavy poster, as well as clearly guiding the viewer through each stage of the study, including methods, results, and conclusions. It was a bit difficult to follow at times just what was done and the speci"&amp;"fic results that were found.")</f>
        <v>Comment: This research appears to have the capacity to lead to important policy changes. It also seems to inform how to conduct transborder research, which could be helpful for researchers across disciplines. The poster would have benefitted from bullet points instead of blocks of text. Additionally would have liked more details about the methodology (ie interview analysis).
Comment: Good work overall. The presenter had a passion for the project and was knowledgeable about the larger issue at hand. This work could be strengthened by creating a less text-heavy poster, as well as clearly guiding the viewer through each stage of the study, including methods, results, and conclusions. It was a bit difficult to follow at times just what was done and the specific results that were found.</v>
      </c>
      <c r="K479" t="s">
        <v>5366</v>
      </c>
    </row>
    <row r="480">
      <c r="A480" s="345">
        <v>575.0</v>
      </c>
      <c r="B480" s="346" t="s">
        <v>5367</v>
      </c>
      <c r="C480" s="346" t="s">
        <v>5368</v>
      </c>
      <c r="D480" s="346" t="s">
        <v>4257</v>
      </c>
      <c r="E480" s="346" t="s">
        <v>884</v>
      </c>
      <c r="F480" s="346" t="s">
        <v>885</v>
      </c>
      <c r="G480" s="346" t="s">
        <v>784</v>
      </c>
      <c r="H480" s="346" t="s">
        <v>886</v>
      </c>
      <c r="I480" s="347" t="s">
        <v>4256</v>
      </c>
      <c r="J480" t="str">
        <f>IFERROR(__xludf.DUMMYFUNCTION("IFERROR(
    ARRAYFORMULA(
        JOIN(
            CHAR(10) &amp; CHAR(10),
            ""Comment: "" &amp; FILTER(
                'Scores Import DO NOT EDIT'!N:N, 
                'Scores Import DO NOT EDIT'!D:D = A480
            )
        )
    ), 
    ""No"&amp;" comments yet""
)
"),"Comment: This poster was very aesthetically pleasing and super organized! The presenter had great presentation skills and was very personable. They did a great job answering my questions and providing ideas for future research. I sometimes got a little lo"&amp;"st during the explanation of the study, so I would suggest trying to tell a more linear story from background to method to results to implications. But you did a really great job overall!
Comment: The presenter did a great job of clearly presenting the r"&amp;"esearch and walking the viewer through each stage of the study, including methods, results, and important next steps. The data were visually presented very well, clearly, and in an eye-catching way.")</f>
        <v>Comment: This poster was very aesthetically pleasing and super organized! The presenter had great presentation skills and was very personable. They did a great job answering my questions and providing ideas for future research. I sometimes got a little lost during the explanation of the study, so I would suggest trying to tell a more linear story from background to method to results to implications. But you did a really great job overall!
Comment: The presenter did a great job of clearly presenting the research and walking the viewer through each stage of the study, including methods, results, and important next steps. The data were visually presented very well, clearly, and in an eye-catching way.</v>
      </c>
      <c r="K480" t="s">
        <v>5369</v>
      </c>
    </row>
    <row r="481">
      <c r="A481" s="345">
        <v>576.0</v>
      </c>
      <c r="B481" s="346" t="s">
        <v>1153</v>
      </c>
      <c r="C481" s="346" t="s">
        <v>4259</v>
      </c>
      <c r="D481" s="346" t="s">
        <v>4261</v>
      </c>
      <c r="E481" s="346" t="s">
        <v>2743</v>
      </c>
      <c r="F481" s="346" t="s">
        <v>2744</v>
      </c>
      <c r="G481" s="346" t="s">
        <v>764</v>
      </c>
      <c r="H481" s="346" t="s">
        <v>2745</v>
      </c>
      <c r="I481" s="347" t="s">
        <v>4260</v>
      </c>
      <c r="J481" t="str">
        <f>IFERROR(__xludf.DUMMYFUNCTION("IFERROR(
    ARRAYFORMULA(
        JOIN(
            CHAR(10) &amp; CHAR(10),
            ""Comment: "" &amp; FILTER(
                'Scores Import DO NOT EDIT'!N:N, 
                'Scores Import DO NOT EDIT'!D:D = A481
            )
        )
    ), 
    ""No"&amp;" comments yet""
)
"),"Comment: Great work overall. The presenter did a great job of describing the methods and results, and paid particular attention to presenting these data in a clear and understandable way. One suggestion I have is to consider reducing the number of finding"&amp;"s that were presented. Although it was done well, the number of results could be a bit overwhelming for a non-expert to follow.
Comment: Presenter  did a fantastic job explaining really complex research. The poster also had mostly figures which was nice "&amp;"for looking at it. Given that the audience for this conference is quite broad, I would have appreciated more labels on the figures (eg even just “control” and “affected” would have helped orient me). Presenter did a nice job connecting basic science to ap"&amp;"plications in humans.")</f>
        <v>Comment: Great work overall. The presenter did a great job of describing the methods and results, and paid particular attention to presenting these data in a clear and understandable way. One suggestion I have is to consider reducing the number of findings that were presented. Although it was done well, the number of results could be a bit overwhelming for a non-expert to follow.
Comment: Presenter  did a fantastic job explaining really complex research. The poster also had mostly figures which was nice for looking at it. Given that the audience for this conference is quite broad, I would have appreciated more labels on the figures (eg even just “control” and “affected” would have helped orient me). Presenter did a nice job connecting basic science to applications in humans.</v>
      </c>
      <c r="K481" t="s">
        <v>5370</v>
      </c>
    </row>
    <row r="482">
      <c r="A482" s="345">
        <v>577.0</v>
      </c>
      <c r="B482" s="346" t="s">
        <v>4263</v>
      </c>
      <c r="C482" s="346" t="s">
        <v>2743</v>
      </c>
      <c r="D482" s="346" t="s">
        <v>4266</v>
      </c>
      <c r="E482" s="346" t="s">
        <v>3811</v>
      </c>
      <c r="F482" s="346" t="s">
        <v>4268</v>
      </c>
      <c r="G482" s="346" t="s">
        <v>1457</v>
      </c>
      <c r="H482" s="346" t="s">
        <v>4269</v>
      </c>
      <c r="I482" s="347" t="s">
        <v>4264</v>
      </c>
      <c r="J482" t="str">
        <f>IFERROR(__xludf.DUMMYFUNCTION("IFERROR(
    ARRAYFORMULA(
        JOIN(
            CHAR(10) &amp; CHAR(10),
            ""Comment: "" &amp; FILTER(
                'Scores Import DO NOT EDIT'!N:N, 
                'Scores Import DO NOT EDIT'!D:D = A482
            )
        )
    ), 
    ""No"&amp;" comments yet""
)
"),"Comment: Presenter was very personable and made me feel like their research was important. I was impressed with their plans for future research. I wished they had explained the data source and described the data/methods in their  original spiel. Great wor"&amp;"k!
Comment: Great work overall. The presenter did a great job of highlighting what was done and the significance of this work. It was also evident that the presenter was passionate about the study and had a clear idea about its significance and the next "&amp;"steps. One suggestion I have is to be cautious about use of causal language (e.g., impact), particularly in the study purpose, given that this was a cross-sectional study.")</f>
        <v>Comment: Presenter was very personable and made me feel like their research was important. I was impressed with their plans for future research. I wished they had explained the data source and described the data/methods in their  original spiel. Great work!
Comment: Great work overall. The presenter did a great job of highlighting what was done and the significance of this work. It was also evident that the presenter was passionate about the study and had a clear idea about its significance and the next steps. One suggestion I have is to be cautious about use of causal language (e.g., impact), particularly in the study purpose, given that this was a cross-sectional study.</v>
      </c>
      <c r="K482" t="s">
        <v>5371</v>
      </c>
    </row>
    <row r="483">
      <c r="A483" s="345">
        <v>578.0</v>
      </c>
      <c r="B483" s="346" t="s">
        <v>4270</v>
      </c>
      <c r="C483" s="346" t="s">
        <v>2300</v>
      </c>
      <c r="D483" s="346" t="s">
        <v>4272</v>
      </c>
      <c r="E483" s="346" t="s">
        <v>4274</v>
      </c>
      <c r="F483" s="346" t="s">
        <v>2805</v>
      </c>
      <c r="G483" s="346" t="s">
        <v>784</v>
      </c>
      <c r="H483" s="346" t="s">
        <v>2806</v>
      </c>
      <c r="I483" s="347" t="s">
        <v>4271</v>
      </c>
      <c r="J483" t="str">
        <f>IFERROR(__xludf.DUMMYFUNCTION("IFERROR(
    ARRAYFORMULA(
        JOIN(
            CHAR(10) &amp; CHAR(10),
            ""Comment: "" &amp; FILTER(
                'Scores Import DO NOT EDIT'!N:N, 
                'Scores Import DO NOT EDIT'!D:D = A483
            )
        )
    ), 
    ""No"&amp;" comments yet""
)
"),"No comments yet")</f>
        <v>No comments yet</v>
      </c>
      <c r="K483" t="s">
        <v>4820</v>
      </c>
    </row>
    <row r="484">
      <c r="A484" s="345">
        <v>579.0</v>
      </c>
      <c r="B484" s="346" t="s">
        <v>4275</v>
      </c>
      <c r="C484" s="346" t="s">
        <v>991</v>
      </c>
      <c r="D484" s="346" t="s">
        <v>4278</v>
      </c>
      <c r="E484" s="346" t="s">
        <v>963</v>
      </c>
      <c r="F484" s="346" t="s">
        <v>964</v>
      </c>
      <c r="G484" s="346" t="s">
        <v>764</v>
      </c>
      <c r="H484" s="346" t="s">
        <v>965</v>
      </c>
      <c r="I484" s="347" t="s">
        <v>4276</v>
      </c>
      <c r="J484" t="str">
        <f>IFERROR(__xludf.DUMMYFUNCTION("IFERROR(
    ARRAYFORMULA(
        JOIN(
            CHAR(10) &amp; CHAR(10),
            ""Comment: "" &amp; FILTER(
                'Scores Import DO NOT EDIT'!N:N, 
                'Scores Import DO NOT EDIT'!D:D = A484
            )
        )
    ), 
    ""No"&amp;" comments yet""
)
"),"Comment: 
Comment: Great presentation with so much enthusiasm in the project.  It would be beneficial to have images of the signaling pathways. 
Comment: Excellent job explaining the details and relating it to the bigger picture. Student had a lot of da"&amp;"ta for being early on in the PhD degree, had a great vision of what direction the research was going to go in the future. Suggestions for improvement: focus on describing the findings using less scientific jargon. Overall great job!
Comment: Clear unders"&amp;"tanding of underlying biological pathways and research tools. Able to articulate experimental results and future directions clearly.")</f>
        <v>Comment: 
Comment: Great presentation with so much enthusiasm in the project.  It would be beneficial to have images of the signaling pathways. 
Comment: Excellent job explaining the details and relating it to the bigger picture. Student had a lot of data for being early on in the PhD degree, had a great vision of what direction the research was going to go in the future. Suggestions for improvement: focus on describing the findings using less scientific jargon. Overall great job!
Comment: Clear understanding of underlying biological pathways and research tools. Able to articulate experimental results and future directions clearly.</v>
      </c>
      <c r="K484" t="s">
        <v>5372</v>
      </c>
    </row>
    <row r="485">
      <c r="A485" s="345">
        <v>580.0</v>
      </c>
      <c r="B485" s="346" t="s">
        <v>2120</v>
      </c>
      <c r="C485" s="346" t="s">
        <v>4280</v>
      </c>
      <c r="D485" s="346" t="s">
        <v>4282</v>
      </c>
      <c r="E485" s="346" t="s">
        <v>875</v>
      </c>
      <c r="F485" s="346" t="s">
        <v>3906</v>
      </c>
      <c r="G485" s="346" t="s">
        <v>764</v>
      </c>
      <c r="H485" s="346" t="s">
        <v>4284</v>
      </c>
      <c r="I485" s="347" t="s">
        <v>4281</v>
      </c>
      <c r="J485" t="str">
        <f>IFERROR(__xludf.DUMMYFUNCTION("IFERROR(
    ARRAYFORMULA(
        JOIN(
            CHAR(10) &amp; CHAR(10),
            ""Comment: "" &amp; FILTER(
                'Scores Import DO NOT EDIT'!N:N, 
                'Scores Import DO NOT EDIT'!D:D = A485
            )
        )
    ), 
    ""No"&amp;" comments yet""
)
"),"Comment: 
Comment: Project has great potential but need more evidence to affirm conclusions such as what are markers for inflammation 
Comment: Really interesting presentation, the presenter did a great job using terminology that was easy to understand,"&amp;" even for people outside of the presenter's discipline. She did a great job describing the current results (gut dimension measurements) and also explaining how the future sequencing data would complement that. In terms of delivery, the voice mannerisms, b"&amp;"ody language, and communication skills were all very effective, except the presenter was looking, talking, and focusing much more on one person in the audience and not the other (would have been better to focus equally on all members of the audience). How"&amp;"ever, overall this was a very good presentation!
Comment: ")</f>
        <v>Comment: 
Comment: Project has great potential but need more evidence to affirm conclusions such as what are markers for inflammation 
Comment: Really interesting presentation, the presenter did a great job using terminology that was easy to understand, even for people outside of the presenter's discipline. She did a great job describing the current results (gut dimension measurements) and also explaining how the future sequencing data would complement that. In terms of delivery, the voice mannerisms, body language, and communication skills were all very effective, except the presenter was looking, talking, and focusing much more on one person in the audience and not the other (would have been better to focus equally on all members of the audience). However, overall this was a very good presentation!
Comment: </v>
      </c>
      <c r="K485" t="s">
        <v>5373</v>
      </c>
    </row>
    <row r="486">
      <c r="A486" s="345">
        <v>581.0</v>
      </c>
      <c r="B486" s="346" t="s">
        <v>5374</v>
      </c>
      <c r="C486" s="346" t="s">
        <v>4286</v>
      </c>
      <c r="D486" s="346" t="s">
        <v>4289</v>
      </c>
      <c r="E486" s="346" t="s">
        <v>875</v>
      </c>
      <c r="F486" s="346" t="s">
        <v>3906</v>
      </c>
      <c r="G486" s="346" t="s">
        <v>764</v>
      </c>
      <c r="H486" s="346" t="s">
        <v>3907</v>
      </c>
      <c r="I486" s="347" t="s">
        <v>4287</v>
      </c>
      <c r="J486" t="str">
        <f>IFERROR(__xludf.DUMMYFUNCTION("IFERROR(
    ARRAYFORMULA(
        JOIN(
            CHAR(10) &amp; CHAR(10),
            ""Comment: "" &amp; FILTER(
                'Scores Import DO NOT EDIT'!N:N, 
                'Scores Import DO NOT EDIT'!D:D = A486
            )
        )
    ), 
    ""No"&amp;" comments yet""
)
"),"Comment: 
Comment: The presentation was excellent. Both presenters demonstrated an understanding of the research. The information presented was high quality and complete, the layout/composition of the poster really made sense. There was sufficient detail"&amp;" to explain the purpose, analysis or discussion of the project and results. Images and graphs were well labeled/described. Here are some suggestions for improvement: it's great that both presenters were able to dig down into the details, understand, and e"&amp;"xplain highly technical concepts, but I suggest also working on explaining the research in a way that avoids technical jargon and abbreviations as much as possible, especially if presenting to someone who is outside of the field.
Comment: ")</f>
        <v>Comment: 
Comment: The presentation was excellent. Both presenters demonstrated an understanding of the research. The information presented was high quality and complete, the layout/composition of the poster really made sense. There was sufficient detail to explain the purpose, analysis or discussion of the project and results. Images and graphs were well labeled/described. Here are some suggestions for improvement: it's great that both presenters were able to dig down into the details, understand, and explain highly technical concepts, but I suggest also working on explaining the research in a way that avoids technical jargon and abbreviations as much as possible, especially if presenting to someone who is outside of the field.
Comment: </v>
      </c>
      <c r="K486" t="s">
        <v>5375</v>
      </c>
    </row>
    <row r="487">
      <c r="A487" s="345">
        <v>582.0</v>
      </c>
      <c r="B487" s="346" t="s">
        <v>2271</v>
      </c>
      <c r="C487" s="346" t="s">
        <v>4294</v>
      </c>
      <c r="D487" s="346" t="s">
        <v>4297</v>
      </c>
      <c r="E487" s="346" t="s">
        <v>3259</v>
      </c>
      <c r="F487" s="346" t="s">
        <v>3260</v>
      </c>
      <c r="G487" s="346" t="s">
        <v>893</v>
      </c>
      <c r="H487" s="346" t="s">
        <v>3261</v>
      </c>
      <c r="I487" s="347" t="s">
        <v>4295</v>
      </c>
      <c r="J487" t="str">
        <f>IFERROR(__xludf.DUMMYFUNCTION("IFERROR(
    ARRAYFORMULA(
        JOIN(
            CHAR(10) &amp; CHAR(10),
            ""Comment: "" &amp; FILTER(
                'Scores Import DO NOT EDIT'!N:N, 
                'Scores Import DO NOT EDIT'!D:D = A487
            )
        )
    ), 
    ""No"&amp;" comments yet""
)
"),"Comment: 
Comment: 
Comment: The presentation was excellent. The presenter demonstrated a thorough understanding of the research. The information presented was of high quality and complete, the layout/composition of the poster really made sense. I liked"&amp;" how the presenter put the research on vaping devices (e-cigarettes and the newer vaping device) in context with past studies on conventional cigarettes. There was sufficient detail to explain the purpose, analysis or discussion of the project and results"&amp;". Images and graphs were well labeled/described. Here are some suggestions for improvement: I think it would have been effective to elaborate a bit more on what can be done for future work to mitigate the problem. However, overall, the presenter did a fab"&amp;"ulous job!
Comment: ")</f>
        <v>Comment: 
Comment: 
Comment: The presentation was excellent. The presenter demonstrated a thorough understanding of the research. The information presented was of high quality and complete, the layout/composition of the poster really made sense. I liked how the presenter put the research on vaping devices (e-cigarettes and the newer vaping device) in context with past studies on conventional cigarettes. There was sufficient detail to explain the purpose, analysis or discussion of the project and results. Images and graphs were well labeled/described. Here are some suggestions for improvement: I think it would have been effective to elaborate a bit more on what can be done for future work to mitigate the problem. However, overall, the presenter did a fabulous job!
Comment: </v>
      </c>
      <c r="K487" t="s">
        <v>5376</v>
      </c>
    </row>
    <row r="488">
      <c r="A488" s="349">
        <v>583.0</v>
      </c>
      <c r="B488" s="346" t="s">
        <v>1278</v>
      </c>
      <c r="C488" s="346" t="s">
        <v>1404</v>
      </c>
      <c r="D488" s="346" t="s">
        <v>4301</v>
      </c>
      <c r="E488" s="346" t="s">
        <v>4303</v>
      </c>
      <c r="F488" s="346" t="s">
        <v>4304</v>
      </c>
      <c r="G488" s="346" t="s">
        <v>764</v>
      </c>
      <c r="H488" s="346" t="s">
        <v>4305</v>
      </c>
      <c r="I488" s="347" t="s">
        <v>4299</v>
      </c>
      <c r="J488" t="str">
        <f>IFERROR(__xludf.DUMMYFUNCTION("IFERROR(
    ARRAYFORMULA(
        JOIN(
            CHAR(10) &amp; CHAR(10),
            ""Comment: "" &amp; FILTER(
                'Scores Import DO NOT EDIT'!N:N, 
                'Scores Import DO NOT EDIT'!D:D = A488
            )
        )
    ), 
    ""No"&amp;" comments yet""
)
"),"Comment: I loved the enthusiasm of the student and props for doing research on a disease that's has few supportive information.  
One suggestion,  is to say ""like"" less.")</f>
        <v>Comment: I loved the enthusiasm of the student and props for doing research on a disease that's has few supportive information.  
One suggestion,  is to say "like" less.</v>
      </c>
      <c r="K488" t="s">
        <v>5377</v>
      </c>
    </row>
    <row r="489">
      <c r="A489" s="345">
        <v>584.0</v>
      </c>
      <c r="B489" s="346" t="s">
        <v>4306</v>
      </c>
      <c r="C489" s="346" t="s">
        <v>4307</v>
      </c>
      <c r="D489" s="346" t="s">
        <v>4310</v>
      </c>
      <c r="E489" s="346" t="s">
        <v>972</v>
      </c>
      <c r="F489" s="346" t="s">
        <v>4312</v>
      </c>
      <c r="G489" s="346" t="s">
        <v>764</v>
      </c>
      <c r="H489" s="346" t="s">
        <v>974</v>
      </c>
      <c r="I489" s="347" t="s">
        <v>4308</v>
      </c>
      <c r="J489" t="str">
        <f>IFERROR(__xludf.DUMMYFUNCTION("IFERROR(
    ARRAYFORMULA(
        JOIN(
            CHAR(10) &amp; CHAR(10),
            ""Comment: "" &amp; FILTER(
                'Scores Import DO NOT EDIT'!N:N, 
                'Scores Import DO NOT EDIT'!D:D = A489
            )
        )
    ), 
    ""No"&amp;" comments yet""
)
"),"Comment: Great presentation and significance.  Love how pationate he is about his project 
Comment: 
Comment: Exceptional job on this presentation! The goal of the research was very clearly articulated, the presenter was also able to describe the cultur"&amp;"al importance of preserving the specific type of oak trees being studied, and he was also able to dive into the technical details regarding the methodology (sequencing). The interaction with the audience was exceptional, and the presenter also did a great"&amp;" job explaining future steps (e.g., if the pathogen was a fungus, then the plan would be to find resistant trees to propagate). If anything, I would have liked to hear a little bit more detail about how specifically resistant trees could be identified? Li"&amp;"ke how would you go about doing that? Seems like it might be a difficult task. However, great job on the research and on the presentation!
Comment: Excellent intersection between experimental work and preservation work. Great Q&amp;A session.")</f>
        <v>Comment: Great presentation and significance.  Love how pationate he is about his project 
Comment: 
Comment: Exceptional job on this presentation! The goal of the research was very clearly articulated, the presenter was also able to describe the cultural importance of preserving the specific type of oak trees being studied, and he was also able to dive into the technical details regarding the methodology (sequencing). The interaction with the audience was exceptional, and the presenter also did a great job explaining future steps (e.g., if the pathogen was a fungus, then the plan would be to find resistant trees to propagate). If anything, I would have liked to hear a little bit more detail about how specifically resistant trees could be identified? Like how would you go about doing that? Seems like it might be a difficult task. However, great job on the research and on the presentation!
Comment: Excellent intersection between experimental work and preservation work. Great Q&amp;A session.</v>
      </c>
      <c r="K489" t="s">
        <v>5378</v>
      </c>
    </row>
    <row r="490">
      <c r="A490" s="345">
        <v>585.0</v>
      </c>
      <c r="B490" s="346" t="s">
        <v>869</v>
      </c>
      <c r="C490" s="346" t="s">
        <v>1711</v>
      </c>
      <c r="D490" s="346" t="s">
        <v>5379</v>
      </c>
      <c r="E490" s="346" t="s">
        <v>4317</v>
      </c>
      <c r="F490" s="346" t="s">
        <v>2157</v>
      </c>
      <c r="G490" s="346" t="s">
        <v>1376</v>
      </c>
      <c r="H490" s="346" t="s">
        <v>4318</v>
      </c>
      <c r="I490" s="347" t="s">
        <v>4313</v>
      </c>
      <c r="J490" t="str">
        <f>IFERROR(__xludf.DUMMYFUNCTION("IFERROR(
    ARRAYFORMULA(
        JOIN(
            CHAR(10) &amp; CHAR(10),
            ""Comment: "" &amp; FILTER(
                'Scores Import DO NOT EDIT'!N:N, 
                'Scores Import DO NOT EDIT'!D:D = A490
            )
        )
    ), 
    ""No"&amp;" comments yet""
)
"),"Comment: 
Comment: The presentation was excellent. The presenter demonstrated a thorough understanding of the research. The information presented was of high quality and complete, the layout/composition of the poster really made sense. I liked how the pr"&amp;"esenter explained the purpose for the different experiments/analyses that were performed, like the first three analyses were for confirmation and then the fourth analysis (showing the images from the XY, XYY, XYYY, and XYYYY) was the one that addressed th"&amp;"e main objective of the research. There was sufficient detail to explain the purpose, analysis or discussion of the project and results. Images and graphs were well labeled/described. Here are some suggestions for improvement: it's great that the presente"&amp;"r was able to dig down real deep into the technical details. She clearly understood and was able to explain highly technical concepts. However, I suggest also working on explaining the research in a way that avoids technical jargon and abbreviations as mu"&amp;"ch as possible, and explains the research in terms that a layperson could also understand, especially if presenting to someone who is outside of the field. Nevertheless, this was an excellent presentation and very impressive work! Congratulations!
Commen"&amp;"t: ")</f>
        <v>Comment: 
Comment: The presentation was excellent. The presenter demonstrated a thorough understanding of the research. The information presented was of high quality and complete, the layout/composition of the poster really made sense. I liked how the presenter explained the purpose for the different experiments/analyses that were performed, like the first three analyses were for confirmation and then the fourth analysis (showing the images from the XY, XYY, XYYY, and XYYYY) was the one that addressed the main objective of the research. There was sufficient detail to explain the purpose, analysis or discussion of the project and results. Images and graphs were well labeled/described. Here are some suggestions for improvement: it's great that the presenter was able to dig down real deep into the technical details. She clearly understood and was able to explain highly technical concepts. However, I suggest also working on explaining the research in a way that avoids technical jargon and abbreviations as much as possible, and explains the research in terms that a layperson could also understand, especially if presenting to someone who is outside of the field. Nevertheless, this was an excellent presentation and very impressive work! Congratulations!
Comment: </v>
      </c>
      <c r="K490" t="s">
        <v>5380</v>
      </c>
    </row>
    <row r="491">
      <c r="A491" s="345">
        <v>586.0</v>
      </c>
      <c r="B491" s="346" t="s">
        <v>5381</v>
      </c>
      <c r="C491" s="346" t="s">
        <v>1504</v>
      </c>
      <c r="D491" s="346" t="s">
        <v>5382</v>
      </c>
      <c r="E491" s="346" t="s">
        <v>5383</v>
      </c>
      <c r="F491" s="346" t="s">
        <v>4325</v>
      </c>
      <c r="G491" s="346" t="s">
        <v>764</v>
      </c>
      <c r="H491" s="346" t="s">
        <v>4326</v>
      </c>
      <c r="I491" s="347" t="s">
        <v>4320</v>
      </c>
      <c r="J491" t="str">
        <f>IFERROR(__xludf.DUMMYFUNCTION("IFERROR(
    ARRAYFORMULA(
        JOIN(
            CHAR(10) &amp; CHAR(10),
            ""Comment: "" &amp; FILTER(
                'Scores Import DO NOT EDIT'!N:N, 
                'Scores Import DO NOT EDIT'!D:D = A491
            )
        )
    ), 
    ""No"&amp;" comments yet""
)
"),"Comment: 
Comment: Great project and potential but had trouble hearing the presentation.
Comment: The presentation was very good. The presenter demonstrated a very thorough understanding of the research. The information presented was of high quality and"&amp;" complete, the layout/composition of the poster really made sense. I liked how the presenter was able to answer questions about the fundamental purpose of the cells being studied. There was sufficient detail to explain the purpose, analysis or discussion "&amp;"of the project and results. Images and graphs were well labeled/described. Here are some suggestions for improvement: it's great that the presenter was able to dig down real deep into the technical details. She clearly understood and was able to explain h"&amp;"ighly technical concepts. However, I suggest also working on explaining the research in a way that avoids technical jargon and abbreviations as much as possible, and explains the research in terms that a layperson could also understand, especially if pres"&amp;"enting to someone who is outside of the field. Also, it may have just been me, but I had a very hard time hearing the presenter. Even after indicating that I was struggling to hear with body language, the volume and voice mannerisms of the presenter made "&amp;"it very hard for me to hear. Unfortunately, as a result, I was unable to really get a detailed grasp on what the major findings/implications were. Nevertheless, this was a very good presentation and impressive work! Congratulations!
Comment: ")</f>
        <v>Comment: 
Comment: Great project and potential but had trouble hearing the presentation.
Comment: The presentation was very good. The presenter demonstrated a very thorough understanding of the research. The information presented was of high quality and complete, the layout/composition of the poster really made sense. I liked how the presenter was able to answer questions about the fundamental purpose of the cells being studied. There was sufficient detail to explain the purpose, analysis or discussion of the project and results. Images and graphs were well labeled/described. Here are some suggestions for improvement: it's great that the presenter was able to dig down real deep into the technical details. She clearly understood and was able to explain highly technical concepts. However, I suggest also working on explaining the research in a way that avoids technical jargon and abbreviations as much as possible, and explains the research in terms that a layperson could also understand, especially if presenting to someone who is outside of the field. Also, it may have just been me, but I had a very hard time hearing the presenter. Even after indicating that I was struggling to hear with body language, the volume and voice mannerisms of the presenter made it very hard for me to hear. Unfortunately, as a result, I was unable to really get a detailed grasp on what the major findings/implications were. Nevertheless, this was a very good presentation and impressive work! Congratulations!
Comment: </v>
      </c>
      <c r="K491" t="s">
        <v>5384</v>
      </c>
    </row>
    <row r="492">
      <c r="A492" s="345">
        <v>587.0</v>
      </c>
      <c r="B492" s="346" t="s">
        <v>4327</v>
      </c>
      <c r="C492" s="346" t="s">
        <v>4328</v>
      </c>
      <c r="D492" s="346" t="s">
        <v>5385</v>
      </c>
      <c r="E492" s="346" t="s">
        <v>5386</v>
      </c>
      <c r="F492" s="346" t="s">
        <v>1062</v>
      </c>
      <c r="G492" s="346" t="s">
        <v>893</v>
      </c>
      <c r="H492" s="346" t="s">
        <v>4334</v>
      </c>
      <c r="I492" s="347" t="s">
        <v>4329</v>
      </c>
      <c r="J492" t="str">
        <f>IFERROR(__xludf.DUMMYFUNCTION("IFERROR(
    ARRAYFORMULA(
        JOIN(
            CHAR(10) &amp; CHAR(10),
            ""Comment: "" &amp; FILTER(
                'Scores Import DO NOT EDIT'!N:N, 
                'Scores Import DO NOT EDIT'!D:D = A492
            )
        )
    ), 
    ""No"&amp;" comments yet""
)
"),"Comment: This research project looks like it will generate interesting and useful results.
Comment: ")</f>
        <v>Comment: This research project looks like it will generate interesting and useful results.
Comment: </v>
      </c>
      <c r="K492" t="s">
        <v>5387</v>
      </c>
    </row>
    <row r="493">
      <c r="A493" s="345">
        <v>588.0</v>
      </c>
      <c r="B493" s="346" t="s">
        <v>2408</v>
      </c>
      <c r="C493" s="346" t="s">
        <v>1116</v>
      </c>
      <c r="D493" s="346" t="s">
        <v>4337</v>
      </c>
      <c r="E493" s="346" t="s">
        <v>1386</v>
      </c>
      <c r="F493" s="346" t="s">
        <v>1823</v>
      </c>
      <c r="G493" s="346" t="s">
        <v>893</v>
      </c>
      <c r="H493" s="346" t="s">
        <v>1824</v>
      </c>
      <c r="I493" s="347" t="s">
        <v>4335</v>
      </c>
      <c r="J493" t="str">
        <f>IFERROR(__xludf.DUMMYFUNCTION("IFERROR(
    ARRAYFORMULA(
        JOIN(
            CHAR(10) &amp; CHAR(10),
            ""Comment: "" &amp; FILTER(
                'Scores Import DO NOT EDIT'!N:N, 
                'Scores Import DO NOT EDIT'!D:D = A493
            )
        )
    ), 
    ""No"&amp;" comments yet""
)
"),"Comment: Great layout. Good grasp of the content and data. Although it would’ve been great to see me of how the data was presented and how the conclusions were drawn. Excellent at speaking. Overall A material. 
Comment: This was an excellent project. I a"&amp;"ppreciated the use of boxes to call out findings. 
Comment: ")</f>
        <v>Comment: Great layout. Good grasp of the content and data. Although it would’ve been great to see me of how the data was presented and how the conclusions were drawn. Excellent at speaking. Overall A material. 
Comment: This was an excellent project. I appreciated the use of boxes to call out findings. 
Comment: </v>
      </c>
      <c r="K493" t="s">
        <v>5388</v>
      </c>
    </row>
    <row r="494">
      <c r="A494" s="345">
        <v>589.0</v>
      </c>
      <c r="B494" s="346" t="s">
        <v>3167</v>
      </c>
      <c r="C494" s="346" t="s">
        <v>4339</v>
      </c>
      <c r="D494" s="346" t="s">
        <v>4342</v>
      </c>
      <c r="E494" s="346" t="s">
        <v>1483</v>
      </c>
      <c r="F494" s="346" t="s">
        <v>1484</v>
      </c>
      <c r="G494" s="346" t="s">
        <v>764</v>
      </c>
      <c r="H494" s="346" t="s">
        <v>4344</v>
      </c>
      <c r="I494" s="347" t="s">
        <v>4340</v>
      </c>
      <c r="J494" t="str">
        <f>IFERROR(__xludf.DUMMYFUNCTION("IFERROR(
    ARRAYFORMULA(
        JOIN(
            CHAR(10) &amp; CHAR(10),
            ""Comment: "" &amp; FILTER(
                'Scores Import DO NOT EDIT'!N:N, 
                'Scores Import DO NOT EDIT'!D:D = A494
            )
        )
    ), 
    ""No"&amp;" comments yet""
)
"),"Comment: Very interesting project. Unique. Potentially very beneficial to medicine in the future. Stood in front of the poster most of presentation making it difficult to see. Some of the graphs too small to read. 
Comment: This project is interesting an"&amp;"d has the potential for future research. For future posters, I would limit the number of graphs/data visualizations to allow for better clarity.
Comment: ")</f>
        <v>Comment: Very interesting project. Unique. Potentially very beneficial to medicine in the future. Stood in front of the poster most of presentation making it difficult to see. Some of the graphs too small to read. 
Comment: This project is interesting and has the potential for future research. For future posters, I would limit the number of graphs/data visualizations to allow for better clarity.
Comment: </v>
      </c>
      <c r="K494" t="s">
        <v>5389</v>
      </c>
    </row>
    <row r="495">
      <c r="A495" s="345">
        <v>590.0</v>
      </c>
      <c r="B495" s="346" t="s">
        <v>3481</v>
      </c>
      <c r="C495" s="346" t="s">
        <v>4345</v>
      </c>
      <c r="D495" s="346" t="s">
        <v>4348</v>
      </c>
      <c r="E495" s="346" t="s">
        <v>1150</v>
      </c>
      <c r="F495" s="346" t="s">
        <v>1151</v>
      </c>
      <c r="G495" s="346" t="s">
        <v>893</v>
      </c>
      <c r="H495" s="346" t="s">
        <v>1152</v>
      </c>
      <c r="I495" s="347" t="s">
        <v>4346</v>
      </c>
      <c r="J495" t="str">
        <f>IFERROR(__xludf.DUMMYFUNCTION("IFERROR(
    ARRAYFORMULA(
        JOIN(
            CHAR(10) &amp; CHAR(10),
            ""Comment: "" &amp; FILTER(
                'Scores Import DO NOT EDIT'!N:N, 
                'Scores Import DO NOT EDIT'!D:D = A495
            )
        )
    ), 
    ""No"&amp;" comments yet""
)
"),"Comment: Excellent presentation over all
Comment: This was a great presentation. The research methodology was also well done. For future posters, I recommend using more blank space and less text.
Comment: ")</f>
        <v>Comment: Excellent presentation over all
Comment: This was a great presentation. The research methodology was also well done. For future posters, I recommend using more blank space and less text.
Comment: </v>
      </c>
      <c r="K495" t="s">
        <v>5390</v>
      </c>
    </row>
    <row r="496">
      <c r="A496" s="345">
        <v>591.0</v>
      </c>
      <c r="B496" s="346" t="s">
        <v>4350</v>
      </c>
      <c r="C496" s="346" t="s">
        <v>3573</v>
      </c>
      <c r="D496" s="346" t="s">
        <v>4353</v>
      </c>
      <c r="E496" s="346" t="s">
        <v>3238</v>
      </c>
      <c r="F496" s="346" t="s">
        <v>3239</v>
      </c>
      <c r="G496" s="346" t="s">
        <v>893</v>
      </c>
      <c r="H496" s="346" t="s">
        <v>3240</v>
      </c>
      <c r="I496" s="347" t="s">
        <v>4351</v>
      </c>
      <c r="J496" t="str">
        <f>IFERROR(__xludf.DUMMYFUNCTION("IFERROR(
    ARRAYFORMULA(
        JOIN(
            CHAR(10) &amp; CHAR(10),
            ""Comment: "" &amp; FILTER(
                'Scores Import DO NOT EDIT'!N:N, 
                'Scores Import DO NOT EDIT'!D:D = A496
            )
        )
    ), 
    ""No"&amp;" comments yet""
)
"),"Comment: You did a really great job explaining your research project. I appreciated the use of visuals on your poster. However, it would be better to use less text on future posters.
Comment: 
Comment: Great infographics. Very engaging presenter. Willin"&amp;"g to answer my questions in depth. Was somewhat confused regarding totality of application purposes of the projects findings. Would like to see more regarding whether choline supplementation after birth could impact alcohol fetal syndrome (if you catch it"&amp;" too late, that the mother has been drinking). Overall, great. ")</f>
        <v>Comment: You did a really great job explaining your research project. I appreciated the use of visuals on your poster. However, it would be better to use less text on future posters.
Comment: 
Comment: Great infographics. Very engaging presenter. Willing to answer my questions in depth. Was somewhat confused regarding totality of application purposes of the projects findings. Would like to see more regarding whether choline supplementation after birth could impact alcohol fetal syndrome (if you catch it too late, that the mother has been drinking). Overall, great. </v>
      </c>
      <c r="K496" t="s">
        <v>5391</v>
      </c>
    </row>
    <row r="497">
      <c r="A497" s="345">
        <v>592.0</v>
      </c>
      <c r="B497" s="346" t="s">
        <v>4356</v>
      </c>
      <c r="C497" s="346" t="s">
        <v>4357</v>
      </c>
      <c r="D497" s="346" t="s">
        <v>4359</v>
      </c>
      <c r="E497" s="346" t="s">
        <v>4361</v>
      </c>
      <c r="F497" s="346" t="s">
        <v>4362</v>
      </c>
      <c r="G497" s="346" t="s">
        <v>764</v>
      </c>
      <c r="H497" s="346" t="s">
        <v>4363</v>
      </c>
      <c r="I497" s="347" t="s">
        <v>4358</v>
      </c>
      <c r="J497" t="str">
        <f>IFERROR(__xludf.DUMMYFUNCTION("IFERROR(
    ARRAYFORMULA(
        JOIN(
            CHAR(10) &amp; CHAR(10),
            ""Comment: "" &amp; FILTER(
                'Scores Import DO NOT EDIT'!N:N, 
                'Scores Import DO NOT EDIT'!D:D = A497
            )
        )
    ), 
    ""No"&amp;" comments yet""
)
"),"Comment: Great presentation with a great explanation of the project. The poster was very text-heavy, so it was difficult to understand it quickly. Using bullet points to convey key information may work better in the future.
Comment: ")</f>
        <v>Comment: Great presentation with a great explanation of the project. The poster was very text-heavy, so it was difficult to understand it quickly. Using bullet points to convey key information may work better in the future.
Comment: </v>
      </c>
      <c r="K497" t="s">
        <v>5392</v>
      </c>
    </row>
    <row r="498">
      <c r="A498" s="345">
        <v>593.0</v>
      </c>
      <c r="B498" s="346" t="s">
        <v>4364</v>
      </c>
      <c r="C498" s="346" t="s">
        <v>4365</v>
      </c>
      <c r="D498" s="346" t="s">
        <v>5393</v>
      </c>
      <c r="E498" s="346" t="s">
        <v>2251</v>
      </c>
      <c r="F498" s="346" t="s">
        <v>2423</v>
      </c>
      <c r="G498" s="346" t="s">
        <v>784</v>
      </c>
      <c r="H498" s="346" t="s">
        <v>3582</v>
      </c>
      <c r="I498" s="347" t="s">
        <v>4366</v>
      </c>
      <c r="J498" t="str">
        <f>IFERROR(__xludf.DUMMYFUNCTION("IFERROR(
    ARRAYFORMULA(
        JOIN(
            CHAR(10) &amp; CHAR(10),
            ""Comment: "" &amp; FILTER(
                'Scores Import DO NOT EDIT'!N:N, 
                'Scores Import DO NOT EDIT'!D:D = A498
            )
        )
    ), 
    ""No"&amp;" comments yet""
)
"),"Comment: This project is interesting and has the possibility to lead to future research and projects. However, the presentation delivery could be better structured.
Comment: 
Comment: Excellent idea for the future. Hope to see big things happen because "&amp;"of the research on this project!")</f>
        <v>Comment: This project is interesting and has the possibility to lead to future research and projects. However, the presentation delivery could be better structured.
Comment: 
Comment: Excellent idea for the future. Hope to see big things happen because of the research on this project!</v>
      </c>
      <c r="K498" t="s">
        <v>5394</v>
      </c>
    </row>
    <row r="499">
      <c r="A499" s="345">
        <v>594.0</v>
      </c>
      <c r="B499" s="346" t="s">
        <v>1005</v>
      </c>
      <c r="C499" s="346" t="s">
        <v>4370</v>
      </c>
      <c r="D499" s="346" t="s">
        <v>4373</v>
      </c>
      <c r="E499" s="346" t="s">
        <v>4377</v>
      </c>
      <c r="F499" s="346" t="s">
        <v>4378</v>
      </c>
      <c r="G499" s="346" t="s">
        <v>893</v>
      </c>
      <c r="H499" s="346" t="s">
        <v>4379</v>
      </c>
      <c r="I499" s="347" t="s">
        <v>4371</v>
      </c>
      <c r="J499" t="str">
        <f>IFERROR(__xludf.DUMMYFUNCTION("IFERROR(
    ARRAYFORMULA(
        JOIN(
            CHAR(10) &amp; CHAR(10),
            ""Comment: "" &amp; FILTER(
                'Scores Import DO NOT EDIT'!N:N, 
                'Scores Import DO NOT EDIT'!D:D = A499
            )
        )
    ), 
    ""No"&amp;" comments yet""
)
"),"Comment: You did great jobs presenting this research and engaging with the audience. However, the graphs/data visualizations were small, making them hard to read.
Comment: ")</f>
        <v>Comment: You did great jobs presenting this research and engaging with the audience. However, the graphs/data visualizations were small, making them hard to read.
Comment: </v>
      </c>
      <c r="K499" t="s">
        <v>5395</v>
      </c>
    </row>
    <row r="500">
      <c r="A500" s="345">
        <v>595.0</v>
      </c>
      <c r="B500" s="346" t="s">
        <v>4380</v>
      </c>
      <c r="C500" s="346" t="s">
        <v>4381</v>
      </c>
      <c r="D500" s="346" t="s">
        <v>4384</v>
      </c>
      <c r="E500" s="346" t="s">
        <v>3318</v>
      </c>
      <c r="F500" s="346" t="s">
        <v>3319</v>
      </c>
      <c r="G500" s="346" t="s">
        <v>764</v>
      </c>
      <c r="H500" s="346" t="s">
        <v>3320</v>
      </c>
      <c r="I500" s="347" t="s">
        <v>4382</v>
      </c>
      <c r="J500" t="str">
        <f>IFERROR(__xludf.DUMMYFUNCTION("IFERROR(
    ARRAYFORMULA(
        JOIN(
            CHAR(10) &amp; CHAR(10),
            ""Comment: "" &amp; FILTER(
                'Scores Import DO NOT EDIT'!N:N, 
                'Scores Import DO NOT EDIT'!D:D = A500
            )
        )
    ), 
    ""No"&amp;" comments yet""
)
"),"Comment: Your poster was beautiful! You did a great job representing and communicating a really complex topic. This work is really important, and I'm glad you had the opportunity to present it at S3!
Comment: Presenter was concise with summary of researc"&amp;"h and the visual was very strategic as it was confusing to look at which was the main point. They maintained well eye contact and was able to speak to challenges and areas the research did not surprise them. Their passion was  some volumes in the presenta"&amp;"tion itself which made it that much easier to follow
Comment: The presenter did a wonderful job! This was really clear and compelling. The presenter was very well prepared and communicated their research fantastically. The images were great. The presente"&amp;"r was engaged and it felt very natural; they clearly have thought about the work a lot and worked hard to prepare. The poster had a lot of information on it, which I recommend cutting down a bit to make a bit more accessible which would also allow the aud"&amp;"ience to focus on the presentation and what the presenter is saying. Very nicely done. 
Comment: Well spoken")</f>
        <v>Comment: Your poster was beautiful! You did a great job representing and communicating a really complex topic. This work is really important, and I'm glad you had the opportunity to present it at S3!
Comment: Presenter was concise with summary of research and the visual was very strategic as it was confusing to look at which was the main point. They maintained well eye contact and was able to speak to challenges and areas the research did not surprise them. Their passion was  some volumes in the presentation itself which made it that much easier to follow
Comment: The presenter did a wonderful job! This was really clear and compelling. The presenter was very well prepared and communicated their research fantastically. The images were great. The presenter was engaged and it felt very natural; they clearly have thought about the work a lot and worked hard to prepare. The poster had a lot of information on it, which I recommend cutting down a bit to make a bit more accessible which would also allow the audience to focus on the presentation and what the presenter is saying. Very nicely done. 
Comment: Well spoken</v>
      </c>
      <c r="K500" t="s">
        <v>5396</v>
      </c>
    </row>
    <row r="501">
      <c r="A501" s="345">
        <v>597.0</v>
      </c>
      <c r="B501" s="346" t="s">
        <v>4386</v>
      </c>
      <c r="C501" s="346" t="s">
        <v>4387</v>
      </c>
      <c r="D501" s="346" t="s">
        <v>4390</v>
      </c>
      <c r="E501" s="346" t="s">
        <v>4177</v>
      </c>
      <c r="F501" s="346" t="s">
        <v>4178</v>
      </c>
      <c r="G501" s="346" t="s">
        <v>1789</v>
      </c>
      <c r="H501" s="346" t="s">
        <v>4393</v>
      </c>
      <c r="I501" s="347" t="s">
        <v>4388</v>
      </c>
      <c r="J501" t="str">
        <f>IFERROR(__xludf.DUMMYFUNCTION("IFERROR(
    ARRAYFORMULA(
        JOIN(
            CHAR(10) &amp; CHAR(10),
            ""Comment: "" &amp; FILTER(
                'Scores Import DO NOT EDIT'!N:N, 
                'Scores Import DO NOT EDIT'!D:D = A501
            )
        )
    ), 
    ""No"&amp;" comments yet""
)
"),"Comment: The presenter did really well. They were passionate about their work and spoke with clarity and intention. They were very prepared for questions and had additional notes to help the audience members. The information on the poster was very well or"&amp;"ganized and had the perfect ration of empty space to important content. The presenter could benefit in the future about talking about future research or new questions to be explored. Very well done. 
Comment: This work is truly important and it's very cl"&amp;"ear you are passionate about this work. I think the poster itself could have been improved -- perhaps graphics, instead of words, could have been used for the frameworks. I'd also advise to summarize instead of directly read off the poster. More about how"&amp;" you got from your data to recommendations for educators could have also been useful to add or discuss.
Comment: Speaker was very concise and had a good flow and enunciation. Transitions were not as smooth, but it felt more like a conversation than a pre"&amp;"sentation which I did not mind. The so what’s could have been further elaborated on, but overall they established why this research is so important towards advancing the care and resources we provide to ELL students.
Comment: Important topic and its clea"&amp;"r the student is passionate about the subject and next steps")</f>
        <v>Comment: The presenter did really well. They were passionate about their work and spoke with clarity and intention. They were very prepared for questions and had additional notes to help the audience members. The information on the poster was very well organized and had the perfect ration of empty space to important content. The presenter could benefit in the future about talking about future research or new questions to be explored. Very well done. 
Comment: This work is truly important and it's very clear you are passionate about this work. I think the poster itself could have been improved -- perhaps graphics, instead of words, could have been used for the frameworks. I'd also advise to summarize instead of directly read off the poster. More about how you got from your data to recommendations for educators could have also been useful to add or discuss.
Comment: Speaker was very concise and had a good flow and enunciation. Transitions were not as smooth, but it felt more like a conversation than a presentation which I did not mind. The so what’s could have been further elaborated on, but overall they established why this research is so important towards advancing the care and resources we provide to ELL students.
Comment: Important topic and its clear the student is passionate about the subject and next steps</v>
      </c>
      <c r="K501" t="s">
        <v>5397</v>
      </c>
    </row>
    <row r="502">
      <c r="A502" s="345">
        <v>598.0</v>
      </c>
      <c r="B502" s="346" t="s">
        <v>2746</v>
      </c>
      <c r="C502" s="346" t="s">
        <v>4394</v>
      </c>
      <c r="D502" s="346" t="s">
        <v>5398</v>
      </c>
      <c r="E502" s="346" t="s">
        <v>4177</v>
      </c>
      <c r="F502" s="346" t="s">
        <v>4178</v>
      </c>
      <c r="G502" s="346" t="s">
        <v>1457</v>
      </c>
      <c r="H502" s="346" t="s">
        <v>4393</v>
      </c>
      <c r="I502" s="347" t="s">
        <v>4395</v>
      </c>
      <c r="J502" t="str">
        <f>IFERROR(__xludf.DUMMYFUNCTION("IFERROR(
    ARRAYFORMULA(
        JOIN(
            CHAR(10) &amp; CHAR(10),
            ""Comment: "" &amp; FILTER(
                'Scores Import DO NOT EDIT'!N:N, 
                'Scores Import DO NOT EDIT'!D:D = A502
            )
        )
    ), 
    ""No"&amp;" comments yet""
)
"),"No comments yet")</f>
        <v>No comments yet</v>
      </c>
      <c r="K502" t="s">
        <v>4820</v>
      </c>
    </row>
    <row r="503">
      <c r="A503" s="345">
        <v>599.0</v>
      </c>
      <c r="B503" s="346" t="s">
        <v>4399</v>
      </c>
      <c r="C503" s="346" t="s">
        <v>4400</v>
      </c>
      <c r="D503" s="346" t="s">
        <v>4402</v>
      </c>
      <c r="E503" s="346" t="s">
        <v>2251</v>
      </c>
      <c r="F503" s="346" t="s">
        <v>2423</v>
      </c>
      <c r="G503" s="346" t="s">
        <v>784</v>
      </c>
      <c r="H503" s="346" t="s">
        <v>3582</v>
      </c>
      <c r="I503" s="347" t="s">
        <v>4401</v>
      </c>
      <c r="J503" t="str">
        <f>IFERROR(__xludf.DUMMYFUNCTION("IFERROR(
    ARRAYFORMULA(
        JOIN(
            CHAR(10) &amp; CHAR(10),
            ""Comment: "" &amp; FILTER(
                'Scores Import DO NOT EDIT'!N:N, 
                'Scores Import DO NOT EDIT'!D:D = A503
            )
        )
    ), 
    ""No"&amp;" comments yet""
)
"),"Comment: Great job anticipating questions and filling in important information. Presenter was incredibly comfortable and confident. This was original research witty enormous potential for impact. I recommend figuring out ways to remove some content from t"&amp;"he poster so that there is more white space and it is less overwhelming for any observer. In other words, the presenter did such a good job presenting that some of the information/words on the poster weren’t as necessary. Very nicely done. 
Comment: Than"&amp;"ks for sharing your research at S3! I think the cause of addressing malnutrition is a noble pursuit. I'm concerned that the methods currently used do not adequately address the problem, and that a cute/fun app for NGOs and caregivers does not fit their ne"&amp;"eds. You presented the content well. There were some resolution issues with the images on your poster making them grainy, but I appreciated the balance of figures and text.
Comment: Given the severity of the topic the speaker was very in depth of the why"&amp;" and overall goal of the research. She was able to use visuals to point to the significance of malnutrition, but if there was more of an example of what nutrition meant than “no sugar” and other blanket statements. Their overall delivery was effective and"&amp;" concise.
Comment: Exceptional job! The student is passionate and knowledgeable about the topic and has clear next steps.")</f>
        <v>Comment: Great job anticipating questions and filling in important information. Presenter was incredibly comfortable and confident. This was original research witty enormous potential for impact. I recommend figuring out ways to remove some content from the poster so that there is more white space and it is less overwhelming for any observer. In other words, the presenter did such a good job presenting that some of the information/words on the poster weren’t as necessary. Very nicely done. 
Comment: Thanks for sharing your research at S3! I think the cause of addressing malnutrition is a noble pursuit. I'm concerned that the methods currently used do not adequately address the problem, and that a cute/fun app for NGOs and caregivers does not fit their needs. You presented the content well. There were some resolution issues with the images on your poster making them grainy, but I appreciated the balance of figures and text.
Comment: Given the severity of the topic the speaker was very in depth of the why and overall goal of the research. She was able to use visuals to point to the significance of malnutrition, but if there was more of an example of what nutrition meant than “no sugar” and other blanket statements. Their overall delivery was effective and concise.
Comment: Exceptional job! The student is passionate and knowledgeable about the topic and has clear next steps.</v>
      </c>
      <c r="K503" t="s">
        <v>5399</v>
      </c>
    </row>
    <row r="504">
      <c r="A504" s="345">
        <v>600.0</v>
      </c>
      <c r="B504" s="346" t="s">
        <v>4404</v>
      </c>
      <c r="C504" s="346" t="s">
        <v>4405</v>
      </c>
      <c r="D504" s="346" t="s">
        <v>4408</v>
      </c>
      <c r="E504" s="346" t="s">
        <v>774</v>
      </c>
      <c r="F504" s="346" t="s">
        <v>775</v>
      </c>
      <c r="G504" s="346" t="s">
        <v>777</v>
      </c>
      <c r="H504" s="346" t="s">
        <v>776</v>
      </c>
      <c r="I504" s="347" t="s">
        <v>4406</v>
      </c>
      <c r="J504" t="str">
        <f>IFERROR(__xludf.DUMMYFUNCTION("IFERROR(
    ARRAYFORMULA(
        JOIN(
            CHAR(10) &amp; CHAR(10),
            ""Comment: "" &amp; FILTER(
                'Scores Import DO NOT EDIT'!N:N, 
                'Scores Import DO NOT EDIT'!D:D = A504
            )
        )
    ), 
    ""No"&amp;" comments yet""
)
"),"Comment: 
Comment: 
Comment: 1) Positive - Very receptive of additional variables to consider as part of study
2) Improvements - Larger sample size. Additional comparisons such as what's the GPA, graduation rate, level of campus involvement, etc. betwee"&amp;"n commuter public transportation versus personal vehicle")</f>
        <v>Comment: 
Comment: 
Comment: 1) Positive - Very receptive of additional variables to consider as part of study
2) Improvements - Larger sample size. Additional comparisons such as what's the GPA, graduation rate, level of campus involvement, etc. between commuter public transportation versus personal vehicle</v>
      </c>
      <c r="K504" t="s">
        <v>5400</v>
      </c>
    </row>
    <row r="505">
      <c r="A505" s="345">
        <v>601.0</v>
      </c>
      <c r="B505" s="346" t="s">
        <v>4410</v>
      </c>
      <c r="C505" s="346" t="s">
        <v>4411</v>
      </c>
      <c r="D505" s="346" t="s">
        <v>4414</v>
      </c>
      <c r="E505" s="346" t="s">
        <v>4416</v>
      </c>
      <c r="F505" s="346" t="s">
        <v>4417</v>
      </c>
      <c r="G505" s="346" t="s">
        <v>1661</v>
      </c>
      <c r="H505" s="346" t="s">
        <v>4418</v>
      </c>
      <c r="I505" s="347" t="s">
        <v>4412</v>
      </c>
      <c r="J505" t="str">
        <f>IFERROR(__xludf.DUMMYFUNCTION("IFERROR(
    ARRAYFORMULA(
        JOIN(
            CHAR(10) &amp; CHAR(10),
            ""Comment: "" &amp; FILTER(
                'Scores Import DO NOT EDIT'!N:N, 
                'Scores Import DO NOT EDIT'!D:D = A505
            )
        )
    ), 
    ""No"&amp;" comments yet""
)
"),"Comment: 
Comment: 
Comment: 1) Positive - Expert subject matter. Thought of every possible scenario
2) Improvement - Ask attendee if they would prefer to know the research at a high or medium level. Some attendees love details; some want to be mindful "&amp;"of time and to ensure they review all assigned posters")</f>
        <v>Comment: 
Comment: 
Comment: 1) Positive - Expert subject matter. Thought of every possible scenario
2) Improvement - Ask attendee if they would prefer to know the research at a high or medium level. Some attendees love details; some want to be mindful of time and to ensure they review all assigned posters</v>
      </c>
      <c r="K505" t="s">
        <v>5401</v>
      </c>
    </row>
    <row r="506">
      <c r="A506" s="345">
        <v>602.0</v>
      </c>
      <c r="B506" s="346" t="s">
        <v>746</v>
      </c>
      <c r="C506" s="346" t="s">
        <v>3284</v>
      </c>
      <c r="D506" s="346" t="s">
        <v>4421</v>
      </c>
      <c r="E506" s="346" t="s">
        <v>774</v>
      </c>
      <c r="F506" s="346" t="s">
        <v>775</v>
      </c>
      <c r="G506" s="346" t="s">
        <v>777</v>
      </c>
      <c r="H506" s="346" t="s">
        <v>776</v>
      </c>
      <c r="I506" s="347" t="s">
        <v>3285</v>
      </c>
      <c r="J506" t="str">
        <f>IFERROR(__xludf.DUMMYFUNCTION("IFERROR(
    ARRAYFORMULA(
        JOIN(
            CHAR(10) &amp; CHAR(10),
            ""Comment: "" &amp; FILTER(
                'Scores Import DO NOT EDIT'!N:N, 
                'Scores Import DO NOT EDIT'!D:D = A506
            )
        )
    ), 
    ""No"&amp;" comments yet""
)
"),"Comment: 
Comment: 
Comment: 1) Positive - Appreciate student willingness to respond to inquiries in a positive tone. Student already knows what to do next with their project (i.e. statistics) and what services the forsee being provided to the unshelter"&amp;"ed population
2) Improvements - Larger sample size ")</f>
        <v>Comment: 
Comment: 
Comment: 1) Positive - Appreciate student willingness to respond to inquiries in a positive tone. Student already knows what to do next with their project (i.e. statistics) and what services the forsee being provided to the unsheltered population
2) Improvements - Larger sample size </v>
      </c>
      <c r="K506" t="s">
        <v>5402</v>
      </c>
    </row>
    <row r="507">
      <c r="A507" s="345">
        <v>603.0</v>
      </c>
      <c r="B507" s="346" t="s">
        <v>4423</v>
      </c>
      <c r="C507" s="346" t="s">
        <v>4203</v>
      </c>
      <c r="D507" s="346" t="s">
        <v>5403</v>
      </c>
      <c r="E507" s="346" t="s">
        <v>774</v>
      </c>
      <c r="F507" s="346" t="s">
        <v>775</v>
      </c>
      <c r="G507" s="346" t="s">
        <v>753</v>
      </c>
      <c r="H507" s="346" t="s">
        <v>776</v>
      </c>
      <c r="I507" s="347" t="s">
        <v>4424</v>
      </c>
      <c r="J507" t="str">
        <f>IFERROR(__xludf.DUMMYFUNCTION("IFERROR(
    ARRAYFORMULA(
        JOIN(
            CHAR(10) &amp; CHAR(10),
            ""Comment: "" &amp; FILTER(
                'Scores Import DO NOT EDIT'!N:N, 
                'Scores Import DO NOT EDIT'!D:D = A507
            )
        )
    ), 
    ""No"&amp;" comments yet""
)
"),"Comment: ")</f>
        <v>Comment: </v>
      </c>
      <c r="K507" t="s">
        <v>4835</v>
      </c>
    </row>
    <row r="508">
      <c r="A508" s="345">
        <v>604.0</v>
      </c>
      <c r="B508" s="346" t="s">
        <v>4057</v>
      </c>
      <c r="C508" s="346" t="s">
        <v>4428</v>
      </c>
      <c r="D508" s="346" t="s">
        <v>4431</v>
      </c>
      <c r="E508" s="346" t="s">
        <v>3509</v>
      </c>
      <c r="F508" s="346" t="s">
        <v>4433</v>
      </c>
      <c r="G508" s="347" t="s">
        <v>1661</v>
      </c>
      <c r="H508" s="347" t="s">
        <v>4434</v>
      </c>
      <c r="I508" s="347" t="s">
        <v>4429</v>
      </c>
      <c r="J508" t="str">
        <f>IFERROR(__xludf.DUMMYFUNCTION("IFERROR(
    ARRAYFORMULA(
        JOIN(
            CHAR(10) &amp; CHAR(10),
            ""Comment: "" &amp; FILTER(
                'Scores Import DO NOT EDIT'!N:N, 
                'Scores Import DO NOT EDIT'!D:D = A508
            )
        )
    ), 
    ""No"&amp;" comments yet""
)
"),"Comment: 
Comment: 1) Positive - Great project! Can't wait to see it become a reality
2) Improvements - Poster needs to have consistent aesthetics ")</f>
        <v>Comment: 
Comment: 1) Positive - Great project! Can't wait to see it become a reality
2) Improvements - Poster needs to have consistent aesthetics </v>
      </c>
      <c r="K508" t="s">
        <v>5404</v>
      </c>
    </row>
    <row r="509">
      <c r="A509" s="345">
        <v>605.0</v>
      </c>
      <c r="B509" s="346" t="s">
        <v>4435</v>
      </c>
      <c r="C509" s="346" t="s">
        <v>4436</v>
      </c>
      <c r="D509" s="346" t="s">
        <v>4438</v>
      </c>
      <c r="E509" s="346" t="s">
        <v>2986</v>
      </c>
      <c r="F509" s="346" t="s">
        <v>3183</v>
      </c>
      <c r="G509" s="346" t="s">
        <v>777</v>
      </c>
      <c r="H509" s="346" t="s">
        <v>4440</v>
      </c>
      <c r="I509" s="347" t="s">
        <v>4437</v>
      </c>
      <c r="J509" t="str">
        <f>IFERROR(__xludf.DUMMYFUNCTION("IFERROR(
    ARRAYFORMULA(
        JOIN(
            CHAR(10) &amp; CHAR(10),
            ""Comment: "" &amp; FILTER(
                'Scores Import DO NOT EDIT'!N:N, 
                'Scores Import DO NOT EDIT'!D:D = A509
            )
        )
    ), 
    ""No"&amp;" comments yet""
)
"),"Comment: 
Comment: 
Comment: 1) Positive - Allowed attendee to choose high, medium, etc. level of information to receive and process. Both presenters show their passion for the research and their hopes that their findings will be used as a solution
2) I"&amp;"mprovements - Hope they'll continue their passion of finding feasible solutions for disadvantaged communities in their current or future professional setting ")</f>
        <v>Comment: 
Comment: 
Comment: 1) Positive - Allowed attendee to choose high, medium, etc. level of information to receive and process. Both presenters show their passion for the research and their hopes that their findings will be used as a solution
2) Improvements - Hope they'll continue their passion of finding feasible solutions for disadvantaged communities in their current or future professional setting </v>
      </c>
      <c r="K509" t="s">
        <v>5405</v>
      </c>
    </row>
    <row r="510">
      <c r="A510" s="345">
        <v>606.0</v>
      </c>
      <c r="B510" s="346" t="s">
        <v>4442</v>
      </c>
      <c r="C510" s="346" t="s">
        <v>4443</v>
      </c>
      <c r="D510" s="346" t="s">
        <v>4446</v>
      </c>
      <c r="E510" s="346" t="s">
        <v>4448</v>
      </c>
      <c r="F510" s="346" t="s">
        <v>1313</v>
      </c>
      <c r="G510" s="346" t="s">
        <v>784</v>
      </c>
      <c r="H510" s="346" t="s">
        <v>1314</v>
      </c>
      <c r="I510" s="347" t="s">
        <v>4444</v>
      </c>
      <c r="J510" t="str">
        <f>IFERROR(__xludf.DUMMYFUNCTION("IFERROR(
    ARRAYFORMULA(
        JOIN(
            CHAR(10) &amp; CHAR(10),
            ""Comment: "" &amp; FILTER(
                'Scores Import DO NOT EDIT'!N:N, 
                'Scores Import DO NOT EDIT'!D:D = A510
            )
        )
    ), 
    ""No"&amp;" comments yet""
)
"),"Comment: Fascinating approach to understanding and exploring the trauma and trials of being undocumented in America. The explanation of the political equator was excellent. Participant was well-prepared. Organization of póster was effective, though the im"&amp;"ages disrupted the visual flow in their location. The coloring of the poster was beautiful and eye-catching. If the research is furthered in a doctoral setting, I think the methods can be developed to account for additional radical forms of auto-ethnograp"&amp;"hic approaches or even activist-based policies that aim to not only helped the undocumented population heal but also be legitimized and accepted.
Comment: 
Comment: What went well: 
-Clear that she is passionate about the subject and that it is very per"&amp;"sonal to her and her community
-Has clear actionable next steps for her thesis
-Appropriately answered questions and accepted suggestions
Suggestion: 
-There was a lot of text on the poster, I would deemphasize the text in lieu of larger images/bullet po"&amp;"ints
Comment: Thank you very much for your presentation! I appreciate how clearly and thoroughly you engage with Anzaldúa's work and also the third space of the borderlands. Your writing as exhibited on your poster was exquisite, balancing flow with fact"&amp;"; your presentation also held the balance between your passion for this work and the deep theoretical and scholarship you have done. 
I needed a bit more clarity as to how the figures of cosmology engaged with your research, do they offer a methodology, "&amp;"perspective, knowledge you would like to incorporate? Or do you see them as metaphor? Etc. 
As you continue with your project, I wonder how you might think through affect as you conduct interviews, what are the actual interviews telling you and is theory"&amp;" in conflict and complement with this? I also wonder how thinking through the particularities of the Tijuana/SD border can be done through looking at other borders or parts of the border? How does this part of the border differ not only in terms of number"&amp;", but perhaps the culture of the third space (the Pacific Ocean is also part of this border)? How also does the particular politics and laws of CA operate and enforce the border specifically? Does this differ in Texas, in New Mexico, what about along the "&amp;"Canadian border?  
Thank you again, wonderful job!")</f>
        <v>Comment: Fascinating approach to understanding and exploring the trauma and trials of being undocumented in America. The explanation of the political equator was excellent. Participant was well-prepared. Organization of póster was effective, though the images disrupted the visual flow in their location. The coloring of the poster was beautiful and eye-catching. If the research is furthered in a doctoral setting, I think the methods can be developed to account for additional radical forms of auto-ethnographic approaches or even activist-based policies that aim to not only helped the undocumented population heal but also be legitimized and accepted.
Comment: 
Comment: What went well: 
-Clear that she is passionate about the subject and that it is very personal to her and her community
-Has clear actionable next steps for her thesis
-Appropriately answered questions and accepted suggestions
Suggestion: 
-There was a lot of text on the poster, I would deemphasize the text in lieu of larger images/bullet points
Comment: Thank you very much for your presentation! I appreciate how clearly and thoroughly you engage with Anzaldúa's work and also the third space of the borderlands. Your writing as exhibited on your poster was exquisite, balancing flow with fact; your presentation also held the balance between your passion for this work and the deep theoretical and scholarship you have done. 
I needed a bit more clarity as to how the figures of cosmology engaged with your research, do they offer a methodology, perspective, knowledge you would like to incorporate? Or do you see them as metaphor? Etc. 
As you continue with your project, I wonder how you might think through affect as you conduct interviews, what are the actual interviews telling you and is theory in conflict and complement with this? I also wonder how thinking through the particularities of the Tijuana/SD border can be done through looking at other borders or parts of the border? How does this part of the border differ not only in terms of number, but perhaps the culture of the third space (the Pacific Ocean is also part of this border)? How also does the particular politics and laws of CA operate and enforce the border specifically? Does this differ in Texas, in New Mexico, what about along the Canadian border?  
Thank you again, wonderful job!</v>
      </c>
      <c r="K510" t="s">
        <v>5406</v>
      </c>
    </row>
    <row r="511">
      <c r="A511" s="349">
        <v>607.0</v>
      </c>
      <c r="B511" s="346" t="s">
        <v>4450</v>
      </c>
      <c r="C511" s="346" t="s">
        <v>4451</v>
      </c>
      <c r="D511" s="346" t="s">
        <v>4453</v>
      </c>
      <c r="E511" s="346" t="s">
        <v>1673</v>
      </c>
      <c r="F511" s="346" t="s">
        <v>4455</v>
      </c>
      <c r="G511" s="346" t="s">
        <v>784</v>
      </c>
      <c r="H511" s="346" t="s">
        <v>4456</v>
      </c>
      <c r="I511" s="347" t="s">
        <v>4452</v>
      </c>
      <c r="J511" t="str">
        <f>IFERROR(__xludf.DUMMYFUNCTION("IFERROR(
    ARRAYFORMULA(
        JOIN(
            CHAR(10) &amp; CHAR(10),
            ""Comment: "" &amp; FILTER(
                'Scores Import DO NOT EDIT'!N:N, 
                'Scores Import DO NOT EDIT'!D:D = A511
            )
        )
    ), 
    ""No"&amp;" comments yet""
)
"),"No comments yet")</f>
        <v>No comments yet</v>
      </c>
      <c r="K511" t="s">
        <v>4820</v>
      </c>
    </row>
    <row r="512">
      <c r="A512" s="345">
        <v>608.0</v>
      </c>
      <c r="B512" s="346" t="s">
        <v>5407</v>
      </c>
      <c r="C512" s="346" t="s">
        <v>998</v>
      </c>
      <c r="D512" s="346" t="s">
        <v>4459</v>
      </c>
      <c r="E512" s="346" t="s">
        <v>1848</v>
      </c>
      <c r="F512" s="346" t="s">
        <v>3282</v>
      </c>
      <c r="G512" s="346" t="s">
        <v>1457</v>
      </c>
      <c r="H512" s="346" t="s">
        <v>3016</v>
      </c>
      <c r="I512" s="347" t="s">
        <v>4458</v>
      </c>
      <c r="J512" t="str">
        <f>IFERROR(__xludf.DUMMYFUNCTION("IFERROR(
    ARRAYFORMULA(
        JOIN(
            CHAR(10) &amp; CHAR(10),
            ""Comment: "" &amp; FILTER(
                'Scores Import DO NOT EDIT'!N:N, 
                'Scores Import DO NOT EDIT'!D:D = A512
            )
        )
    ), 
    ""No"&amp;" comments yet""
)
"),"Comment: Excellent research poster with clear layout and easy-to-follow research method. Absolutely loved the figure 1 that organized and incorporated themes of disclosure, job loss, and accommodations. This was visually stimulating, generated productive "&amp;"questions, and represented some very telling qualitative data. I am curious how this knowledge can help inform better, more transparent corporate practices to help protect autistic employees from wrongful termination. It is astounding that nearly 74% of p"&amp;"articipants disclosed their disability but did not receive accommodations. The conclusions based on this data were logical and realistic in scope.
Comment: 
Comment: What went well: 
Very organized and had a clear path of discussion 
Well researched and"&amp;" interesting findings that are relevant to me as a supervisor
I appreciated how the concepts were mapped out visually
Suggestions: 
I think the gendered elements of the research should be further explored (why the disparity between 90M and 12F)
Comment:"&amp;" Thank you very much for your fantastic presentation! This subject is one in need of deep consideration, and you've done so with wonderful nuance. You had a excellent way of presenting your research. You are clearly deeply versed in it yet also invited th"&amp;"ose of us from the outside to understand the complexity and significance of your work. That you not only asked if people disclosed, but what they disclosed, demonstrates such a care to specificity and understanding that the details reveal how change is ne"&amp;"eded. 
In talking with you, you offered that (and I agree) that institutions need to do more to support accommodations and also cultivate an environment in which people feel safe to disclose information. I'm wondering if there is someplace you can articu"&amp;"late this more clearly, that is the need to hold institutions more accountable (I know that can be scary). 
You've done incredible work that already can have such impact in articulating the need for action; really excellent job!")</f>
        <v>Comment: Excellent research poster with clear layout and easy-to-follow research method. Absolutely loved the figure 1 that organized and incorporated themes of disclosure, job loss, and accommodations. This was visually stimulating, generated productive questions, and represented some very telling qualitative data. I am curious how this knowledge can help inform better, more transparent corporate practices to help protect autistic employees from wrongful termination. It is astounding that nearly 74% of participants disclosed their disability but did not receive accommodations. The conclusions based on this data were logical and realistic in scope.
Comment: 
Comment: What went well: 
Very organized and had a clear path of discussion 
Well researched and interesting findings that are relevant to me as a supervisor
I appreciated how the concepts were mapped out visually
Suggestions: 
I think the gendered elements of the research should be further explored (why the disparity between 90M and 12F)
Comment: Thank you very much for your fantastic presentation! This subject is one in need of deep consideration, and you've done so with wonderful nuance. You had a excellent way of presenting your research. You are clearly deeply versed in it yet also invited those of us from the outside to understand the complexity and significance of your work. That you not only asked if people disclosed, but what they disclosed, demonstrates such a care to specificity and understanding that the details reveal how change is needed. 
In talking with you, you offered that (and I agree) that institutions need to do more to support accommodations and also cultivate an environment in which people feel safe to disclose information. I'm wondering if there is someplace you can articulate this more clearly, that is the need to hold institutions more accountable (I know that can be scary). 
You've done incredible work that already can have such impact in articulating the need for action; really excellent job!</v>
      </c>
      <c r="K512" t="s">
        <v>5408</v>
      </c>
    </row>
    <row r="513">
      <c r="A513" s="345">
        <v>609.0</v>
      </c>
      <c r="B513" s="346" t="s">
        <v>4057</v>
      </c>
      <c r="C513" s="346" t="s">
        <v>4023</v>
      </c>
      <c r="D513" s="346" t="s">
        <v>5409</v>
      </c>
      <c r="E513" s="346" t="s">
        <v>2101</v>
      </c>
      <c r="F513" s="346" t="s">
        <v>2102</v>
      </c>
      <c r="G513" s="346" t="s">
        <v>1789</v>
      </c>
      <c r="H513" s="346" t="s">
        <v>1792</v>
      </c>
      <c r="I513" s="347" t="s">
        <v>4461</v>
      </c>
      <c r="J513" t="str">
        <f>IFERROR(__xludf.DUMMYFUNCTION("IFERROR(
    ARRAYFORMULA(
        JOIN(
            CHAR(10) &amp; CHAR(10),
            ""Comment: "" &amp; FILTER(
                'Scores Import DO NOT EDIT'!N:N, 
                'Scores Import DO NOT EDIT'!D:D = A513
            )
        )
    ), 
    ""No"&amp;" comments yet""
)
"),"Comment: What went well: 
-Appreciated the visuals and clean look of the poster
-Her passion for the subject was palpable
-I liked how she is using more recent books that turn boring old tomes into relatable novels for 21st century consumption
Suggestion"&amp;"s: 
-I would have liked to have seen a more deliberate comparison between the themes and motifs between the books and 1-2 sentences of summary for each novel
Comment: 
Comment: This presentation made me want to go out and buy Circe &amp; The Song of Achille"&amp;"s. I appreciated the content and organization of analysis. The literary techniques reminded me why books are so necessary and important. Talking with Kristen about her decision to select these two novels was enjoyable and helped me see people still read a"&amp;"nd analyze books. We had a productive conversation about the utility of social media in promoting books for youth as well. Perhaps the project could be extended in the future to account for past or comparable versions of Greek mythology to show how author"&amp;" Madeline Miller provided a contemporary twist with themes of feminism and the social politics of war. It is interesting visually how similar the aesthetics for both texts are. 
Comment: Thank you very much for your presentation! I appreciated how much d"&amp;"eep work you have done into this writer's oeuvre and how their particular books have impact. Your knowledge and passion for these books was so clear and yet you also demonstrated deep methodological and analytical work. I also appreciated how you see thes"&amp;"e books as a gateway for interest in education for those who perhaps might not be always so excited to read.  
I'm curious how you see the work you are doing extend beyond these books. To me your work seems to suggest we reconsider assumptions about what"&amp;" interests students and ask what it is fundamentally in literature that they can connect with. I'm curious if this is what you feel and how you see this focused analysis intervening in larger conversations. 
Thank you again for sharing. Wonderful job!
")</f>
        <v>Comment: What went well: 
-Appreciated the visuals and clean look of the poster
-Her passion for the subject was palpable
-I liked how she is using more recent books that turn boring old tomes into relatable novels for 21st century consumption
Suggestions: 
-I would have liked to have seen a more deliberate comparison between the themes and motifs between the books and 1-2 sentences of summary for each novel
Comment: 
Comment: This presentation made me want to go out and buy Circe &amp; The Song of Achilles. I appreciated the content and organization of analysis. The literary techniques reminded me why books are so necessary and important. Talking with Kristen about her decision to select these two novels was enjoyable and helped me see people still read and analyze books. We had a productive conversation about the utility of social media in promoting books for youth as well. Perhaps the project could be extended in the future to account for past or comparable versions of Greek mythology to show how author Madeline Miller provided a contemporary twist with themes of feminism and the social politics of war. It is interesting visually how similar the aesthetics for both texts are. 
Comment: Thank you very much for your presentation! I appreciated how much deep work you have done into this writer's oeuvre and how their particular books have impact. Your knowledge and passion for these books was so clear and yet you also demonstrated deep methodological and analytical work. I also appreciated how you see these books as a gateway for interest in education for those who perhaps might not be always so excited to read.  
I'm curious how you see the work you are doing extend beyond these books. To me your work seems to suggest we reconsider assumptions about what interests students and ask what it is fundamentally in literature that they can connect with. I'm curious if this is what you feel and how you see this focused analysis intervening in larger conversations. 
Thank you again for sharing. Wonderful job!
</v>
      </c>
      <c r="K513" t="s">
        <v>5410</v>
      </c>
    </row>
    <row r="514">
      <c r="A514" s="345">
        <v>610.0</v>
      </c>
      <c r="B514" s="346" t="s">
        <v>2414</v>
      </c>
      <c r="C514" s="346" t="s">
        <v>4466</v>
      </c>
      <c r="D514" s="346" t="s">
        <v>4469</v>
      </c>
      <c r="E514" s="346" t="s">
        <v>4472</v>
      </c>
      <c r="F514" s="346" t="s">
        <v>4473</v>
      </c>
      <c r="G514" s="346" t="s">
        <v>1376</v>
      </c>
      <c r="H514" s="346" t="s">
        <v>4474</v>
      </c>
      <c r="I514" s="347" t="s">
        <v>4467</v>
      </c>
      <c r="J514" t="str">
        <f>IFERROR(__xludf.DUMMYFUNCTION("IFERROR(
    ARRAYFORMULA(
        JOIN(
            CHAR(10) &amp; CHAR(10),
            ""Comment: "" &amp; FILTER(
                'Scores Import DO NOT EDIT'!N:N, 
                'Scores Import DO NOT EDIT'!D:D = A514
            )
        )
    ), 
    ""No"&amp;" comments yet""
)
"),"Comment: What went well: 
-Poster was visually appealing
-Topic is relevant to today's discourse on television and film inclusivity (made the Little Mermaid connection)
Suggestions: 
The intro went a little long and felt as though it was a lecture class "&amp;"rather than a discussion
Comment: 
Comment: Thank you very much for your presentation! Your topic is a really interesting and important testament to the complexity of visual and media culture. You both interrogated representation, and how circulation ca"&amp;"n enforce stereotype, trope, and hegemonies. I appreciated that you focused your research on one specific episode and highlighted particular moments in that episode to demonstrate your argument.
I needed a bit more clarity in regards to the relation betw"&amp;"een the Black Panther party and Julia. You discussed the idea of the writers of Julia trying to diminish the clout of the Black Panthers for white audiences through the objectification of a Black male character; through the spectacularization of his body."&amp;" I was intrigued by this and wanted to know more. Literature from dance studies and performance studies might offer you some interesting avenues to explore. 
Thank you again for sharing your work, wonderful job!")</f>
        <v>Comment: What went well: 
-Poster was visually appealing
-Topic is relevant to today's discourse on television and film inclusivity (made the Little Mermaid connection)
Suggestions: 
The intro went a little long and felt as though it was a lecture class rather than a discussion
Comment: 
Comment: Thank you very much for your presentation! Your topic is a really interesting and important testament to the complexity of visual and media culture. You both interrogated representation, and how circulation can enforce stereotype, trope, and hegemonies. I appreciated that you focused your research on one specific episode and highlighted particular moments in that episode to demonstrate your argument.
I needed a bit more clarity in regards to the relation between the Black Panther party and Julia. You discussed the idea of the writers of Julia trying to diminish the clout of the Black Panthers for white audiences through the objectification of a Black male character; through the spectacularization of his body. I was intrigued by this and wanted to know more. Literature from dance studies and performance studies might offer you some interesting avenues to explore. 
Thank you again for sharing your work, wonderful job!</v>
      </c>
      <c r="K514" t="s">
        <v>5411</v>
      </c>
    </row>
    <row r="515">
      <c r="A515" s="345">
        <v>611.0</v>
      </c>
      <c r="B515" s="346" t="s">
        <v>2406</v>
      </c>
      <c r="C515" s="346" t="s">
        <v>2252</v>
      </c>
      <c r="D515" s="346" t="s">
        <v>4478</v>
      </c>
      <c r="E515" s="346" t="s">
        <v>4350</v>
      </c>
      <c r="F515" s="346" t="s">
        <v>2447</v>
      </c>
      <c r="G515" s="346" t="s">
        <v>753</v>
      </c>
      <c r="H515" s="346" t="s">
        <v>4480</v>
      </c>
      <c r="I515" s="347" t="s">
        <v>4476</v>
      </c>
      <c r="J515" t="str">
        <f>IFERROR(__xludf.DUMMYFUNCTION("IFERROR(
    ARRAYFORMULA(
        JOIN(
            CHAR(10) &amp; CHAR(10),
            ""Comment: "" &amp; FILTER(
                'Scores Import DO NOT EDIT'!N:N, 
                'Scores Import DO NOT EDIT'!D:D = A515
            )
        )
    ), 
    ""No"&amp;" comments yet""
)
"),"Comment: Very well presented. She is only 21 and started this work ehe she was18. She wrote and produced the show. Very talented. Well-recognized in Union-Tribune, KUSI and KPBS, well-deserved, great job!
Comment: Writing a play at the intersection of pe"&amp;"rsonal family history and world history is a exceptional undertaking. I was immediately struck by Alexis' passion for the project, her originality, and er perseverance in actually getting something like this done from start to finish through interviewing "&amp;"family members, to workshopping the script, to putting it on with a cast of actors at the SD Fringe Festival. I was impressed by her willingness to self-reflect and respond to feedback when making revisions to turn the play from more of list of historical"&amp;" events to a story that the audience can relate to even if it is far from their own lived experience. I would encourage Alexis to question assumptions as she continues these endeavors, perhaps interrogating the meaning of ""American Dream"" and how it is "&amp;"perceived by many different communities, and whether it is something obtainable by some and not by others, and for what reasons. I was left really wanting to see the play and learn more about the history, which I think is the hallmark of successfully doin"&amp;"g what Alexis set out to do.")</f>
        <v>Comment: Very well presented. She is only 21 and started this work ehe she was18. She wrote and produced the show. Very talented. Well-recognized in Union-Tribune, KUSI and KPBS, well-deserved, great job!
Comment: Writing a play at the intersection of personal family history and world history is a exceptional undertaking. I was immediately struck by Alexis' passion for the project, her originality, and er perseverance in actually getting something like this done from start to finish through interviewing family members, to workshopping the script, to putting it on with a cast of actors at the SD Fringe Festival. I was impressed by her willingness to self-reflect and respond to feedback when making revisions to turn the play from more of list of historical events to a story that the audience can relate to even if it is far from their own lived experience. I would encourage Alexis to question assumptions as she continues these endeavors, perhaps interrogating the meaning of "American Dream" and how it is perceived by many different communities, and whether it is something obtainable by some and not by others, and for what reasons. I was left really wanting to see the play and learn more about the history, which I think is the hallmark of successfully doing what Alexis set out to do.</v>
      </c>
      <c r="K515" t="s">
        <v>5412</v>
      </c>
    </row>
    <row r="516">
      <c r="A516" s="345">
        <v>612.0</v>
      </c>
      <c r="B516" s="346" t="s">
        <v>5413</v>
      </c>
      <c r="C516" s="346" t="s">
        <v>4482</v>
      </c>
      <c r="D516" s="346" t="s">
        <v>4485</v>
      </c>
      <c r="E516" s="346" t="s">
        <v>4487</v>
      </c>
      <c r="F516" s="346" t="s">
        <v>4488</v>
      </c>
      <c r="G516" s="346" t="s">
        <v>753</v>
      </c>
      <c r="H516" s="346" t="s">
        <v>4489</v>
      </c>
      <c r="I516" s="347" t="s">
        <v>4483</v>
      </c>
      <c r="J516" t="str">
        <f>IFERROR(__xludf.DUMMYFUNCTION("IFERROR(
    ARRAYFORMULA(
        JOIN(
            CHAR(10) &amp; CHAR(10),
            ""Comment: "" &amp; FILTER(
                'Scores Import DO NOT EDIT'!N:N, 
                'Scores Import DO NOT EDIT'!D:D = A516
            )
        )
    ), 
    ""No"&amp;" comments yet""
)
"),"Comment: She did a great job in her poster presentation . In addition to the poster, she displayed a small scale of tranquil hub that helps to visualize het work. Looking forward to visiting her exhibition when she actually builds the unit. Nice job.
Com"&amp;"ment: Presenting a conceptual idea for a real installation to be used by students is a challenging undertaking, and I feel Kerry met the challenge with creativity. It can be difficult to put all of these pieces of the puzzle together. I did feel a lack of"&amp;" clarify in figuring out what the central objective with the visuals/objects/oral explanations alone, but reading the poster otself did a good job of clarifying that for me. I was impressed that Kerry drew on research in psychology and cited it even thoug"&amp;"h this isn't a science  paper. However, after reading the hypothesis and methods, I was left not really knowing how the data was collected or analyzed. Were surveys taken before and after? How did you come to the conclusion that everyone had an improvemen"&amp;"t? I think if you present a project in the way, laying out hypothesis, methods and results, readers will expect that some kind of scientific analysis of the data will take place, even if it is for an M.F
A. project. I did feel like a lot of energy went in"&amp;"to the project. I wasn't quite sure how the printed cards, though lovely, fit into the whole of the project. The collective artwork was quite beautiful and perhaps could be made more central to the presentation or aesthetic. There wasn't enough space and "&amp;"it felt like the decluttering chart was obscured the visuals on the right side, and space limitations should be taken into account when doing presentations such as these, though it was refreshing to see a ""poster"" presentation using the 3-dimensional sp"&amp;"ace rather than just being static on the wall. That made it more engaging. ")</f>
        <v>Comment: She did a great job in her poster presentation . In addition to the poster, she displayed a small scale of tranquil hub that helps to visualize het work. Looking forward to visiting her exhibition when she actually builds the unit. Nice job.
Comment: Presenting a conceptual idea for a real installation to be used by students is a challenging undertaking, and I feel Kerry met the challenge with creativity. It can be difficult to put all of these pieces of the puzzle together. I did feel a lack of clarify in figuring out what the central objective with the visuals/objects/oral explanations alone, but reading the poster otself did a good job of clarifying that for me. I was impressed that Kerry drew on research in psychology and cited it even though this isn't a science  paper. However, after reading the hypothesis and methods, I was left not really knowing how the data was collected or analyzed. Were surveys taken before and after? How did you come to the conclusion that everyone had an improvement? I think if you present a project in the way, laying out hypothesis, methods and results, readers will expect that some kind of scientific analysis of the data will take place, even if it is for an M.F
A. project. I did feel like a lot of energy went into the project. I wasn't quite sure how the printed cards, though lovely, fit into the whole of the project. The collective artwork was quite beautiful and perhaps could be made more central to the presentation or aesthetic. There wasn't enough space and it felt like the decluttering chart was obscured the visuals on the right side, and space limitations should be taken into account when doing presentations such as these, though it was refreshing to see a "poster" presentation using the 3-dimensional space rather than just being static on the wall. That made it more engaging. </v>
      </c>
      <c r="K516" t="s">
        <v>5414</v>
      </c>
    </row>
    <row r="517">
      <c r="A517" s="349">
        <v>613.0</v>
      </c>
      <c r="B517" s="346" t="s">
        <v>95</v>
      </c>
      <c r="C517" s="346" t="s">
        <v>4490</v>
      </c>
      <c r="D517" s="346" t="s">
        <v>4492</v>
      </c>
      <c r="E517" s="346" t="s">
        <v>1938</v>
      </c>
      <c r="F517" s="346" t="s">
        <v>1939</v>
      </c>
      <c r="G517" s="346" t="s">
        <v>753</v>
      </c>
      <c r="H517" s="346" t="s">
        <v>1940</v>
      </c>
      <c r="I517" s="347" t="s">
        <v>4491</v>
      </c>
      <c r="J517" t="str">
        <f>IFERROR(__xludf.DUMMYFUNCTION("IFERROR(
    ARRAYFORMULA(
        JOIN(
            CHAR(10) &amp; CHAR(10),
            ""Comment: "" &amp; FILTER(
                'Scores Import DO NOT EDIT'!N:N, 
                'Scores Import DO NOT EDIT'!D:D = A517
            )
        )
    ), 
    ""No"&amp;" comments yet""
)
"),"No comments yet")</f>
        <v>No comments yet</v>
      </c>
      <c r="K517" t="s">
        <v>4820</v>
      </c>
    </row>
    <row r="518">
      <c r="A518" s="345">
        <v>700.0</v>
      </c>
      <c r="B518" s="346" t="s">
        <v>4933</v>
      </c>
      <c r="C518" s="346" t="s">
        <v>1833</v>
      </c>
      <c r="D518" s="346" t="s">
        <v>4595</v>
      </c>
      <c r="E518" s="346" t="s">
        <v>5415</v>
      </c>
      <c r="F518" s="346" t="s">
        <v>4598</v>
      </c>
      <c r="G518" s="346" t="s">
        <v>753</v>
      </c>
      <c r="H518" s="346" t="s">
        <v>4599</v>
      </c>
      <c r="I518" s="347" t="s">
        <v>4593</v>
      </c>
      <c r="J518" t="str">
        <f>IFERROR(__xludf.DUMMYFUNCTION("IFERROR(
    ARRAYFORMULA(
        JOIN(
            CHAR(10) &amp; CHAR(10),
            ""Comment: "" &amp; FILTER(
                'Scores Import DO NOT EDIT'!N:N, 
                'Scores Import DO NOT EDIT'!D:D = A518
            )
        )
    ), 
    ""No"&amp;" comments yet""
)
"),"No comments yet")</f>
        <v>No comments yet</v>
      </c>
      <c r="K518" t="s">
        <v>4820</v>
      </c>
    </row>
    <row r="519">
      <c r="A519" s="345">
        <v>701.0</v>
      </c>
      <c r="B519" s="346" t="s">
        <v>5416</v>
      </c>
      <c r="C519" s="346" t="s">
        <v>4602</v>
      </c>
      <c r="D519" s="346" t="s">
        <v>4604</v>
      </c>
      <c r="E519" s="346" t="s">
        <v>5417</v>
      </c>
      <c r="F519" s="346" t="s">
        <v>4607</v>
      </c>
      <c r="G519" s="346" t="s">
        <v>784</v>
      </c>
      <c r="H519" s="346" t="s">
        <v>4608</v>
      </c>
      <c r="I519" s="347" t="s">
        <v>4603</v>
      </c>
      <c r="J519" t="str">
        <f>IFERROR(__xludf.DUMMYFUNCTION("IFERROR(
    ARRAYFORMULA(
        JOIN(
            CHAR(10) &amp; CHAR(10),
            ""Comment: "" &amp; FILTER(
                'Scores Import DO NOT EDIT'!N:N, 
                'Scores Import DO NOT EDIT'!D:D = A519
            )
        )
    ), 
    ""No"&amp;" comments yet""
)
"),"Comment: The combination of colors used are very emotional. Love it!
Comment: This was a unique presentation. Once we began interacting the presenter became much more comfortable, engaged, and clear. The work itself showcased her own digital work but thi"&amp;"s could have been enhanced. If possible I would have liked to have seen more background on the accompanying iPad. It also would have been useful to have, either on the iPad or an accompanying description on a small poster board, outlining the process. Ove"&amp;"rall a unique product that would have benefitted tremendously with some additions to the presentation.
Comment: Anisa provided an amazing exhibit about her grandmother’s artwork and how she went about creating the piece digitally. She points to the influ"&amp;"ence of her mother and grandmother, and how during the process, she developed a closer bond with her grandmother. Anisa spoke very clearly of her influences and her motivation, but she also provided the audience with a deeper and profound way of seeing he"&amp;"r art piece. She did an amazing job. 
Comment: Presenter's art work expressed personal connection with family. The connection with family and the evolution of the experience in crafting kinship through art was expressed. Would have liked to hear how this"&amp;" approach to creating digital art could be adapted as service to others seeking to connect with loved ones. ")</f>
        <v>Comment: The combination of colors used are very emotional. Love it!
Comment: This was a unique presentation. Once we began interacting the presenter became much more comfortable, engaged, and clear. The work itself showcased her own digital work but this could have been enhanced. If possible I would have liked to have seen more background on the accompanying iPad. It also would have been useful to have, either on the iPad or an accompanying description on a small poster board, outlining the process. Overall a unique product that would have benefitted tremendously with some additions to the presentation.
Comment: Anisa provided an amazing exhibit about her grandmother’s artwork and how she went about creating the piece digitally. She points to the influence of her mother and grandmother, and how during the process, she developed a closer bond with her grandmother. Anisa spoke very clearly of her influences and her motivation, but she also provided the audience with a deeper and profound way of seeing her art piece. She did an amazing job. 
Comment: Presenter's art work expressed personal connection with family. The connection with family and the evolution of the experience in crafting kinship through art was expressed. Would have liked to hear how this approach to creating digital art could be adapted as service to others seeking to connect with loved ones. </v>
      </c>
      <c r="K519" t="s">
        <v>5418</v>
      </c>
    </row>
    <row r="520">
      <c r="A520" s="345">
        <v>702.0</v>
      </c>
      <c r="B520" s="346" t="s">
        <v>4610</v>
      </c>
      <c r="C520" s="346" t="s">
        <v>4611</v>
      </c>
      <c r="D520" s="346" t="s">
        <v>4614</v>
      </c>
      <c r="E520" s="346" t="s">
        <v>4616</v>
      </c>
      <c r="F520" s="346" t="s">
        <v>4617</v>
      </c>
      <c r="G520" s="346" t="s">
        <v>753</v>
      </c>
      <c r="H520" s="346" t="s">
        <v>4618</v>
      </c>
      <c r="I520" s="347" t="s">
        <v>4612</v>
      </c>
      <c r="J520" t="str">
        <f>IFERROR(__xludf.DUMMYFUNCTION("IFERROR(
    ARRAYFORMULA(
        JOIN(
            CHAR(10) &amp; CHAR(10),
            ""Comment: "" &amp; FILTER(
                'Scores Import DO NOT EDIT'!N:N, 
                'Scores Import DO NOT EDIT'!D:D = A520
            )
        )
    ), 
    ""No"&amp;" comments yet""
)
"),"Comment: Congratulations! Love the concept!
Comment: Kieran showcased a wonderful exhibit relating to their work within National City and branding. Kieran was able to tie in their experiences of growing up in a similar community and piece together an art"&amp;"istic, thoughtful, and intricate exhibit. One that I believe will have a positive impact on the communities with National City and beyond. 
Comment: What an exceptional presentation and piece of work. Admittedly I have been involved in the overall projec"&amp;"t from which this graphic design was a part but I truly do not believe that impacts my scoring. The posters were beautifully designed, the artist was able to discuss every aspect of the work fully without prompting, and it is a blend of intellectual rigor"&amp;" and design that fits the needs of a community group. Kudos.
Comment: Presenter is a graphic design student whose exhibition work is active in the community of National City. The presenter's passion, planning, and staging were excellent. An explanation o"&amp;"f the design elements and rationale were offered, as well as successfully illustrating how the work carves a stake in the community and its people.")</f>
        <v>Comment: Congratulations! Love the concept!
Comment: Kieran showcased a wonderful exhibit relating to their work within National City and branding. Kieran was able to tie in their experiences of growing up in a similar community and piece together an artistic, thoughtful, and intricate exhibit. One that I believe will have a positive impact on the communities with National City and beyond. 
Comment: What an exceptional presentation and piece of work. Admittedly I have been involved in the overall project from which this graphic design was a part but I truly do not believe that impacts my scoring. The posters were beautifully designed, the artist was able to discuss every aspect of the work fully without prompting, and it is a blend of intellectual rigor and design that fits the needs of a community group. Kudos.
Comment: Presenter is a graphic design student whose exhibition work is active in the community of National City. The presenter's passion, planning, and staging were excellent. An explanation of the design elements and rationale were offered, as well as successfully illustrating how the work carves a stake in the community and its people.</v>
      </c>
      <c r="K520" t="s">
        <v>5419</v>
      </c>
    </row>
    <row r="521">
      <c r="A521" s="345">
        <v>703.0</v>
      </c>
      <c r="B521" s="346" t="s">
        <v>4006</v>
      </c>
      <c r="C521" s="346" t="s">
        <v>4620</v>
      </c>
      <c r="D521" s="346" t="s">
        <v>4623</v>
      </c>
      <c r="E521" s="346" t="s">
        <v>4625</v>
      </c>
      <c r="F521" s="346" t="s">
        <v>4626</v>
      </c>
      <c r="G521" s="346" t="s">
        <v>753</v>
      </c>
      <c r="H521" s="346" t="s">
        <v>4627</v>
      </c>
      <c r="I521" s="347" t="s">
        <v>4621</v>
      </c>
      <c r="J521" t="str">
        <f>IFERROR(__xludf.DUMMYFUNCTION("IFERROR(
    ARRAYFORMULA(
        JOIN(
            CHAR(10) &amp; CHAR(10),
            ""Comment: "" &amp; FILTER(
                'Scores Import DO NOT EDIT'!N:N, 
                'Scores Import DO NOT EDIT'!D:D = A521
            )
        )
    ), 
    ""No"&amp;" comments yet""
)
"),"Comment: Well presented. It was clear that the student had prepared and was excited about their research.
Comment: Presenter spoke with enthusiasm and was very knowledgeable of topic. 
Comment: it's amazing to learn about the wide variety of talents at "&amp;"SDSU")</f>
        <v>Comment: Well presented. It was clear that the student had prepared and was excited about their research.
Comment: Presenter spoke with enthusiasm and was very knowledgeable of topic. 
Comment: it's amazing to learn about the wide variety of talents at SDSU</v>
      </c>
      <c r="K521" t="s">
        <v>5420</v>
      </c>
    </row>
    <row r="522">
      <c r="A522" s="349">
        <v>704.0</v>
      </c>
      <c r="B522" s="346" t="s">
        <v>1284</v>
      </c>
      <c r="C522" s="346" t="s">
        <v>4628</v>
      </c>
      <c r="D522" s="346" t="s">
        <v>4631</v>
      </c>
      <c r="E522" s="346" t="s">
        <v>1630</v>
      </c>
      <c r="F522" s="346" t="s">
        <v>4633</v>
      </c>
      <c r="G522" s="346" t="s">
        <v>753</v>
      </c>
      <c r="H522" s="346" t="s">
        <v>4634</v>
      </c>
      <c r="I522" s="347" t="s">
        <v>4629</v>
      </c>
      <c r="J522" t="str">
        <f>IFERROR(__xludf.DUMMYFUNCTION("IFERROR(
    ARRAYFORMULA(
        JOIN(
            CHAR(10) &amp; CHAR(10),
            ""Comment: "" &amp; FILTER(
                'Scores Import DO NOT EDIT'!N:N, 
                'Scores Import DO NOT EDIT'!D:D = A522
            )
        )
    ), 
    ""No"&amp;" comments yet""
)
"),"No comments yet")</f>
        <v>No comments yet</v>
      </c>
      <c r="K522" t="s">
        <v>4820</v>
      </c>
    </row>
    <row r="523">
      <c r="A523" s="345">
        <v>705.0</v>
      </c>
      <c r="B523" s="346" t="s">
        <v>4635</v>
      </c>
      <c r="C523" s="346" t="s">
        <v>4636</v>
      </c>
      <c r="D523" s="346" t="s">
        <v>4639</v>
      </c>
      <c r="E523" s="346" t="s">
        <v>4641</v>
      </c>
      <c r="F523" s="346" t="s">
        <v>4642</v>
      </c>
      <c r="G523" s="346" t="s">
        <v>753</v>
      </c>
      <c r="H523" s="346" t="s">
        <v>4643</v>
      </c>
      <c r="I523" s="347" t="s">
        <v>4637</v>
      </c>
      <c r="J523" t="str">
        <f>IFERROR(__xludf.DUMMYFUNCTION("IFERROR(
    ARRAYFORMULA(
        JOIN(
            CHAR(10) &amp; CHAR(10),
            ""Comment: "" &amp; FILTER(
                'Scores Import DO NOT EDIT'!N:N, 
                'Scores Import DO NOT EDIT'!D:D = A523
            )
        )
    ), 
    ""No"&amp;" comments yet""
)
"),"Comment: Great exhibit presentation. Very knowledgeable and organized and was able to answer questions throughly.
Comment: The presentation was organized and clear. The presenter was enthusiastic and well prepared to interact with the judges. They answer"&amp;"ed all questions well.
Comment: Cutting edge art use ChatGPT")</f>
        <v>Comment: Great exhibit presentation. Very knowledgeable and organized and was able to answer questions throughly.
Comment: The presentation was organized and clear. The presenter was enthusiastic and well prepared to interact with the judges. They answered all questions well.
Comment: Cutting edge art use ChatGPT</v>
      </c>
      <c r="K523" t="s">
        <v>5421</v>
      </c>
    </row>
    <row r="524">
      <c r="A524" s="348"/>
      <c r="B524" s="348"/>
      <c r="C524" s="348"/>
      <c r="D524" s="348"/>
      <c r="E524" s="348"/>
      <c r="F524" s="348"/>
      <c r="G524" s="348"/>
      <c r="H524" s="348" t="s">
        <v>5117</v>
      </c>
      <c r="I524" s="348"/>
    </row>
    <row r="525">
      <c r="A525" s="348"/>
      <c r="B525" s="348"/>
      <c r="C525" s="348"/>
      <c r="D525" s="348"/>
      <c r="E525" s="348"/>
      <c r="F525" s="348"/>
      <c r="G525" s="348"/>
      <c r="H525" s="348" t="s">
        <v>5117</v>
      </c>
      <c r="I525" s="348"/>
    </row>
    <row r="526">
      <c r="A526" s="348"/>
      <c r="B526" s="348"/>
      <c r="C526" s="348"/>
      <c r="D526" s="348"/>
      <c r="E526" s="348"/>
      <c r="F526" s="348"/>
      <c r="G526" s="348"/>
      <c r="H526" s="348" t="s">
        <v>5117</v>
      </c>
      <c r="I526" s="348"/>
    </row>
    <row r="527">
      <c r="A527" s="348"/>
      <c r="B527" s="348"/>
      <c r="C527" s="348"/>
      <c r="D527" s="348"/>
      <c r="E527" s="348"/>
      <c r="F527" s="348"/>
      <c r="G527" s="348"/>
      <c r="H527" s="348" t="s">
        <v>5117</v>
      </c>
      <c r="I527" s="348"/>
    </row>
    <row r="528">
      <c r="A528" s="348"/>
      <c r="B528" s="348"/>
      <c r="C528" s="348"/>
      <c r="D528" s="348"/>
      <c r="E528" s="348"/>
      <c r="F528" s="348"/>
      <c r="G528" s="348"/>
      <c r="H528" s="348" t="s">
        <v>5117</v>
      </c>
      <c r="I528" s="348"/>
    </row>
    <row r="529">
      <c r="A529" s="348"/>
      <c r="B529" s="348"/>
      <c r="C529" s="348"/>
      <c r="D529" s="348"/>
      <c r="E529" s="348"/>
      <c r="F529" s="348"/>
      <c r="G529" s="348"/>
      <c r="H529" s="348" t="s">
        <v>5117</v>
      </c>
      <c r="I529" s="348"/>
    </row>
    <row r="530">
      <c r="A530" s="348"/>
      <c r="B530" s="348"/>
      <c r="C530" s="348"/>
      <c r="D530" s="348"/>
      <c r="E530" s="348"/>
      <c r="F530" s="348"/>
      <c r="G530" s="348"/>
      <c r="H530" s="348" t="s">
        <v>5117</v>
      </c>
      <c r="I530" s="348"/>
    </row>
    <row r="531">
      <c r="A531" s="348"/>
      <c r="B531" s="348"/>
      <c r="C531" s="348"/>
      <c r="D531" s="348"/>
      <c r="E531" s="348"/>
      <c r="F531" s="348"/>
      <c r="G531" s="348"/>
      <c r="H531" s="348" t="s">
        <v>5117</v>
      </c>
      <c r="I531" s="348"/>
    </row>
    <row r="532">
      <c r="A532" s="348"/>
      <c r="B532" s="348"/>
      <c r="C532" s="348"/>
      <c r="D532" s="348"/>
      <c r="E532" s="348"/>
      <c r="F532" s="348"/>
      <c r="G532" s="348"/>
      <c r="H532" s="348" t="s">
        <v>5117</v>
      </c>
      <c r="I532" s="348"/>
    </row>
    <row r="533">
      <c r="A533" s="348"/>
      <c r="B533" s="348"/>
      <c r="C533" s="348"/>
      <c r="D533" s="348"/>
      <c r="E533" s="348"/>
      <c r="F533" s="348"/>
      <c r="G533" s="348"/>
      <c r="H533" s="348" t="s">
        <v>5117</v>
      </c>
      <c r="I533" s="348"/>
    </row>
    <row r="534">
      <c r="A534" s="348"/>
      <c r="B534" s="348"/>
      <c r="C534" s="348"/>
      <c r="D534" s="348"/>
      <c r="E534" s="348"/>
      <c r="F534" s="348"/>
      <c r="G534" s="348"/>
      <c r="H534" s="348" t="s">
        <v>5117</v>
      </c>
      <c r="I534" s="348"/>
    </row>
    <row r="535">
      <c r="A535" s="348"/>
      <c r="B535" s="348"/>
      <c r="C535" s="348"/>
      <c r="D535" s="348"/>
      <c r="E535" s="348"/>
      <c r="F535" s="348"/>
      <c r="G535" s="348"/>
      <c r="H535" s="348" t="s">
        <v>5117</v>
      </c>
      <c r="I535" s="348"/>
    </row>
    <row r="536">
      <c r="A536" s="348"/>
      <c r="B536" s="348"/>
      <c r="C536" s="348"/>
      <c r="D536" s="348"/>
      <c r="E536" s="348"/>
      <c r="F536" s="348"/>
      <c r="G536" s="348"/>
      <c r="H536" s="348" t="s">
        <v>5117</v>
      </c>
      <c r="I536" s="348"/>
    </row>
    <row r="537">
      <c r="A537" s="348"/>
      <c r="B537" s="348"/>
      <c r="C537" s="348"/>
      <c r="D537" s="348"/>
      <c r="E537" s="348"/>
      <c r="F537" s="348"/>
      <c r="G537" s="348"/>
      <c r="H537" s="348" t="s">
        <v>5117</v>
      </c>
      <c r="I537" s="348"/>
    </row>
    <row r="538">
      <c r="A538" s="348"/>
      <c r="B538" s="348"/>
      <c r="C538" s="348"/>
      <c r="D538" s="348"/>
      <c r="E538" s="348"/>
      <c r="F538" s="348"/>
      <c r="G538" s="348"/>
      <c r="H538" s="348" t="s">
        <v>5117</v>
      </c>
      <c r="I538" s="348"/>
    </row>
    <row r="539">
      <c r="A539" s="348"/>
      <c r="B539" s="348"/>
      <c r="C539" s="348"/>
      <c r="D539" s="348"/>
      <c r="E539" s="348"/>
      <c r="F539" s="348"/>
      <c r="G539" s="348"/>
      <c r="H539" s="348" t="s">
        <v>5117</v>
      </c>
      <c r="I539" s="348"/>
    </row>
    <row r="540">
      <c r="A540" s="348"/>
      <c r="B540" s="348"/>
      <c r="C540" s="348"/>
      <c r="D540" s="348"/>
      <c r="E540" s="348"/>
      <c r="F540" s="348"/>
      <c r="G540" s="348"/>
      <c r="H540" s="348" t="s">
        <v>5117</v>
      </c>
      <c r="I540" s="348"/>
    </row>
    <row r="541">
      <c r="A541" s="348"/>
      <c r="B541" s="348"/>
      <c r="C541" s="348"/>
      <c r="D541" s="348"/>
      <c r="E541" s="348"/>
      <c r="F541" s="348"/>
      <c r="G541" s="348"/>
      <c r="H541" s="348" t="s">
        <v>5117</v>
      </c>
      <c r="I541" s="348"/>
    </row>
    <row r="542">
      <c r="A542" s="348"/>
      <c r="B542" s="348"/>
      <c r="C542" s="348"/>
      <c r="D542" s="348"/>
      <c r="E542" s="348"/>
      <c r="F542" s="348"/>
      <c r="G542" s="348"/>
      <c r="H542" s="348" t="s">
        <v>5117</v>
      </c>
      <c r="I542" s="348"/>
    </row>
    <row r="543">
      <c r="A543" s="348"/>
      <c r="B543" s="348"/>
      <c r="C543" s="348"/>
      <c r="D543" s="348"/>
      <c r="E543" s="348"/>
      <c r="F543" s="348"/>
      <c r="G543" s="348"/>
      <c r="H543" s="348" t="s">
        <v>5117</v>
      </c>
      <c r="I543" s="348"/>
    </row>
    <row r="544">
      <c r="A544" s="348"/>
      <c r="B544" s="348"/>
      <c r="C544" s="348"/>
      <c r="D544" s="348"/>
      <c r="E544" s="348"/>
      <c r="F544" s="348"/>
      <c r="G544" s="348"/>
      <c r="H544" s="348" t="s">
        <v>5117</v>
      </c>
      <c r="I544" s="348"/>
    </row>
    <row r="545">
      <c r="A545" s="348"/>
      <c r="B545" s="348"/>
      <c r="C545" s="348"/>
      <c r="D545" s="348"/>
      <c r="E545" s="348"/>
      <c r="F545" s="348"/>
      <c r="G545" s="348"/>
      <c r="H545" s="348" t="s">
        <v>5117</v>
      </c>
      <c r="I545" s="348"/>
    </row>
    <row r="546">
      <c r="A546" s="348"/>
      <c r="B546" s="348"/>
      <c r="C546" s="348"/>
      <c r="D546" s="348"/>
      <c r="E546" s="348"/>
      <c r="F546" s="348"/>
      <c r="G546" s="348"/>
      <c r="H546" s="348" t="s">
        <v>5117</v>
      </c>
      <c r="I546" s="348"/>
    </row>
    <row r="547">
      <c r="A547" s="348"/>
      <c r="B547" s="348"/>
      <c r="C547" s="348"/>
      <c r="D547" s="348"/>
      <c r="E547" s="348"/>
      <c r="F547" s="348"/>
      <c r="G547" s="348"/>
      <c r="H547" s="348" t="s">
        <v>5117</v>
      </c>
      <c r="I547" s="348"/>
    </row>
    <row r="548">
      <c r="A548" s="348"/>
      <c r="B548" s="348"/>
      <c r="C548" s="348"/>
      <c r="D548" s="348"/>
      <c r="E548" s="348"/>
      <c r="F548" s="348"/>
      <c r="G548" s="348"/>
      <c r="H548" s="348" t="s">
        <v>5117</v>
      </c>
      <c r="I548" s="348"/>
    </row>
    <row r="549">
      <c r="A549" s="348"/>
      <c r="B549" s="348"/>
      <c r="C549" s="348"/>
      <c r="D549" s="348"/>
      <c r="E549" s="348"/>
      <c r="F549" s="348"/>
      <c r="G549" s="348"/>
      <c r="H549" s="348" t="s">
        <v>5117</v>
      </c>
      <c r="I549" s="348"/>
    </row>
    <row r="550">
      <c r="A550" s="348"/>
      <c r="B550" s="348"/>
      <c r="C550" s="348"/>
      <c r="D550" s="348"/>
      <c r="E550" s="348"/>
      <c r="F550" s="348"/>
      <c r="G550" s="348"/>
      <c r="H550" s="348" t="s">
        <v>5117</v>
      </c>
      <c r="I550" s="348"/>
    </row>
    <row r="551">
      <c r="A551" s="348"/>
      <c r="B551" s="348"/>
      <c r="C551" s="348"/>
      <c r="D551" s="348"/>
      <c r="E551" s="348"/>
      <c r="F551" s="348"/>
      <c r="G551" s="348"/>
      <c r="H551" s="348" t="s">
        <v>5117</v>
      </c>
      <c r="I551" s="348"/>
    </row>
    <row r="552">
      <c r="A552" s="348"/>
      <c r="B552" s="348"/>
      <c r="C552" s="348"/>
      <c r="D552" s="348"/>
      <c r="E552" s="348"/>
      <c r="F552" s="348"/>
      <c r="G552" s="348"/>
      <c r="H552" s="348" t="s">
        <v>5117</v>
      </c>
      <c r="I552" s="348"/>
    </row>
    <row r="553">
      <c r="A553" s="348"/>
      <c r="B553" s="348"/>
      <c r="C553" s="348"/>
      <c r="D553" s="348"/>
      <c r="E553" s="348"/>
      <c r="F553" s="348"/>
      <c r="G553" s="348"/>
      <c r="H553" s="348" t="s">
        <v>5117</v>
      </c>
      <c r="I553" s="348"/>
    </row>
    <row r="554">
      <c r="A554" s="348"/>
      <c r="B554" s="348"/>
      <c r="C554" s="348"/>
      <c r="D554" s="348"/>
      <c r="E554" s="348"/>
      <c r="F554" s="348"/>
      <c r="G554" s="348"/>
      <c r="H554" s="348" t="s">
        <v>5117</v>
      </c>
      <c r="I554" s="348"/>
    </row>
    <row r="555">
      <c r="A555" s="348"/>
      <c r="B555" s="348"/>
      <c r="C555" s="348"/>
      <c r="D555" s="348"/>
      <c r="E555" s="348"/>
      <c r="F555" s="348"/>
      <c r="G555" s="348"/>
      <c r="H555" s="348" t="s">
        <v>5117</v>
      </c>
      <c r="I555" s="348"/>
    </row>
    <row r="556">
      <c r="A556" s="348"/>
      <c r="B556" s="348"/>
      <c r="C556" s="348"/>
      <c r="D556" s="348"/>
      <c r="E556" s="348"/>
      <c r="F556" s="348"/>
      <c r="G556" s="348"/>
      <c r="H556" s="348" t="s">
        <v>5117</v>
      </c>
      <c r="I556" s="348"/>
    </row>
    <row r="557">
      <c r="A557" s="348"/>
      <c r="B557" s="348"/>
      <c r="C557" s="348"/>
      <c r="D557" s="348"/>
      <c r="E557" s="348"/>
      <c r="F557" s="348"/>
      <c r="G557" s="348"/>
      <c r="H557" s="348" t="s">
        <v>5117</v>
      </c>
      <c r="I557" s="348"/>
    </row>
    <row r="558">
      <c r="A558" s="348"/>
      <c r="B558" s="348"/>
      <c r="C558" s="348"/>
      <c r="D558" s="348"/>
      <c r="E558" s="348"/>
      <c r="F558" s="348"/>
      <c r="G558" s="348"/>
      <c r="H558" s="348" t="s">
        <v>5117</v>
      </c>
      <c r="I558" s="348"/>
    </row>
    <row r="559">
      <c r="A559" s="348"/>
      <c r="B559" s="348"/>
      <c r="C559" s="348"/>
      <c r="D559" s="348"/>
      <c r="E559" s="348"/>
      <c r="F559" s="348"/>
      <c r="G559" s="348"/>
      <c r="H559" s="348" t="s">
        <v>5117</v>
      </c>
      <c r="I559" s="348"/>
    </row>
    <row r="560">
      <c r="A560" s="348"/>
      <c r="B560" s="348"/>
      <c r="C560" s="348"/>
      <c r="D560" s="348"/>
      <c r="E560" s="348"/>
      <c r="F560" s="348"/>
      <c r="G560" s="348"/>
      <c r="H560" s="348" t="s">
        <v>5117</v>
      </c>
      <c r="I560" s="348"/>
    </row>
    <row r="561">
      <c r="A561" s="348"/>
      <c r="B561" s="348"/>
      <c r="C561" s="348"/>
      <c r="D561" s="348"/>
      <c r="E561" s="348"/>
      <c r="F561" s="348"/>
      <c r="G561" s="348"/>
      <c r="H561" s="348" t="s">
        <v>5117</v>
      </c>
      <c r="I561" s="348"/>
    </row>
    <row r="562">
      <c r="A562" s="348"/>
      <c r="B562" s="348"/>
      <c r="C562" s="348"/>
      <c r="D562" s="348"/>
      <c r="E562" s="348"/>
      <c r="F562" s="348"/>
      <c r="G562" s="348"/>
      <c r="H562" s="348" t="s">
        <v>5117</v>
      </c>
      <c r="I562" s="348"/>
    </row>
    <row r="563">
      <c r="A563" s="348"/>
      <c r="B563" s="348"/>
      <c r="C563" s="348"/>
      <c r="D563" s="348"/>
      <c r="E563" s="348"/>
      <c r="F563" s="348"/>
      <c r="G563" s="348"/>
      <c r="H563" s="348" t="s">
        <v>5117</v>
      </c>
      <c r="I563" s="348"/>
    </row>
    <row r="564">
      <c r="A564" s="348"/>
      <c r="B564" s="348"/>
      <c r="C564" s="348"/>
      <c r="D564" s="348"/>
      <c r="E564" s="348"/>
      <c r="F564" s="348"/>
      <c r="G564" s="348"/>
      <c r="H564" s="348" t="s">
        <v>5117</v>
      </c>
      <c r="I564" s="348"/>
    </row>
    <row r="565">
      <c r="A565" s="348"/>
      <c r="B565" s="348"/>
      <c r="C565" s="348"/>
      <c r="D565" s="348"/>
      <c r="E565" s="348"/>
      <c r="F565" s="348"/>
      <c r="G565" s="348"/>
      <c r="H565" s="348" t="s">
        <v>5117</v>
      </c>
      <c r="I565" s="348"/>
    </row>
    <row r="566">
      <c r="A566" s="348"/>
      <c r="B566" s="348"/>
      <c r="C566" s="348"/>
      <c r="D566" s="348"/>
      <c r="E566" s="348"/>
      <c r="F566" s="348"/>
      <c r="G566" s="348"/>
      <c r="H566" s="348" t="s">
        <v>5117</v>
      </c>
      <c r="I566" s="348"/>
    </row>
    <row r="567">
      <c r="A567" s="348"/>
      <c r="B567" s="348"/>
      <c r="C567" s="348"/>
      <c r="D567" s="348"/>
      <c r="E567" s="348"/>
      <c r="F567" s="348"/>
      <c r="G567" s="348"/>
      <c r="H567" s="348" t="s">
        <v>5117</v>
      </c>
      <c r="I567" s="348"/>
    </row>
    <row r="568">
      <c r="A568" s="348"/>
      <c r="B568" s="348"/>
      <c r="C568" s="348"/>
      <c r="D568" s="348"/>
      <c r="E568" s="348"/>
      <c r="F568" s="348"/>
      <c r="G568" s="348"/>
      <c r="H568" s="348" t="s">
        <v>5117</v>
      </c>
      <c r="I568" s="348"/>
    </row>
    <row r="569">
      <c r="A569" s="348"/>
      <c r="B569" s="348"/>
      <c r="C569" s="348"/>
      <c r="D569" s="348"/>
      <c r="E569" s="348"/>
      <c r="F569" s="348"/>
      <c r="G569" s="348"/>
      <c r="H569" s="348" t="s">
        <v>5117</v>
      </c>
      <c r="I569" s="348"/>
    </row>
    <row r="570">
      <c r="A570" s="348"/>
      <c r="B570" s="348"/>
      <c r="C570" s="348"/>
      <c r="D570" s="348"/>
      <c r="E570" s="348"/>
      <c r="F570" s="348"/>
      <c r="G570" s="348"/>
      <c r="H570" s="348" t="s">
        <v>5117</v>
      </c>
      <c r="I570" s="348"/>
    </row>
    <row r="571">
      <c r="A571" s="348"/>
      <c r="B571" s="348"/>
      <c r="C571" s="348"/>
      <c r="D571" s="348"/>
      <c r="E571" s="348"/>
      <c r="F571" s="348"/>
      <c r="G571" s="348"/>
      <c r="H571" s="348" t="s">
        <v>5117</v>
      </c>
      <c r="I571" s="348"/>
    </row>
    <row r="572">
      <c r="A572" s="348"/>
      <c r="B572" s="348"/>
      <c r="C572" s="348"/>
      <c r="D572" s="348"/>
      <c r="E572" s="348"/>
      <c r="F572" s="348"/>
      <c r="G572" s="348"/>
      <c r="H572" s="348" t="s">
        <v>5117</v>
      </c>
      <c r="I572" s="348"/>
    </row>
    <row r="573">
      <c r="A573" s="348"/>
      <c r="B573" s="348"/>
      <c r="C573" s="348"/>
      <c r="D573" s="348"/>
      <c r="E573" s="348"/>
      <c r="F573" s="348"/>
      <c r="G573" s="348"/>
      <c r="H573" s="348" t="s">
        <v>5117</v>
      </c>
      <c r="I573" s="348"/>
    </row>
    <row r="574">
      <c r="A574" s="348"/>
      <c r="B574" s="348"/>
      <c r="C574" s="348"/>
      <c r="D574" s="348"/>
      <c r="E574" s="348"/>
      <c r="F574" s="348"/>
      <c r="G574" s="348"/>
      <c r="H574" s="348" t="s">
        <v>5117</v>
      </c>
      <c r="I574" s="348"/>
    </row>
    <row r="575">
      <c r="A575" s="348"/>
      <c r="B575" s="348"/>
      <c r="C575" s="348"/>
      <c r="D575" s="348"/>
      <c r="E575" s="348"/>
      <c r="F575" s="348"/>
      <c r="G575" s="348"/>
      <c r="H575" s="348" t="s">
        <v>5117</v>
      </c>
      <c r="I575" s="348"/>
    </row>
    <row r="576">
      <c r="A576" s="348"/>
      <c r="B576" s="348"/>
      <c r="C576" s="348"/>
      <c r="D576" s="348"/>
      <c r="E576" s="348"/>
      <c r="F576" s="348"/>
      <c r="G576" s="348"/>
      <c r="H576" s="348" t="s">
        <v>5117</v>
      </c>
      <c r="I576" s="348"/>
    </row>
    <row r="577">
      <c r="A577" s="348"/>
      <c r="B577" s="348"/>
      <c r="C577" s="348"/>
      <c r="D577" s="348"/>
      <c r="E577" s="348"/>
      <c r="F577" s="348"/>
      <c r="G577" s="348"/>
      <c r="H577" s="348" t="s">
        <v>5117</v>
      </c>
      <c r="I577" s="348"/>
    </row>
    <row r="578">
      <c r="A578" s="348"/>
      <c r="B578" s="348"/>
      <c r="C578" s="348"/>
      <c r="D578" s="348"/>
      <c r="E578" s="348"/>
      <c r="F578" s="348"/>
      <c r="G578" s="348"/>
      <c r="H578" s="348" t="s">
        <v>5117</v>
      </c>
      <c r="I578" s="348"/>
    </row>
    <row r="579">
      <c r="A579" s="348"/>
      <c r="B579" s="348"/>
      <c r="C579" s="348"/>
      <c r="D579" s="348"/>
      <c r="E579" s="348"/>
      <c r="F579" s="348"/>
      <c r="G579" s="348"/>
      <c r="H579" s="348" t="s">
        <v>5117</v>
      </c>
      <c r="I579" s="348"/>
    </row>
    <row r="580">
      <c r="A580" s="348"/>
      <c r="B580" s="348"/>
      <c r="C580" s="348"/>
      <c r="D580" s="348"/>
      <c r="E580" s="348"/>
      <c r="F580" s="348"/>
      <c r="G580" s="348"/>
      <c r="H580" s="348" t="s">
        <v>5117</v>
      </c>
      <c r="I580" s="348"/>
    </row>
    <row r="581">
      <c r="A581" s="348"/>
      <c r="B581" s="348"/>
      <c r="C581" s="348"/>
      <c r="D581" s="348"/>
      <c r="E581" s="348"/>
      <c r="F581" s="348"/>
      <c r="G581" s="348"/>
      <c r="H581" s="348" t="s">
        <v>5117</v>
      </c>
      <c r="I581" s="348"/>
    </row>
    <row r="582">
      <c r="A582" s="348"/>
      <c r="B582" s="348"/>
      <c r="C582" s="348"/>
      <c r="D582" s="348"/>
      <c r="E582" s="348"/>
      <c r="F582" s="348"/>
      <c r="G582" s="348"/>
      <c r="H582" s="348" t="s">
        <v>5117</v>
      </c>
      <c r="I582" s="348"/>
    </row>
    <row r="583">
      <c r="A583" s="348"/>
      <c r="B583" s="348"/>
      <c r="C583" s="348"/>
      <c r="D583" s="348"/>
      <c r="E583" s="348"/>
      <c r="F583" s="348"/>
      <c r="G583" s="348"/>
      <c r="H583" s="348" t="s">
        <v>5117</v>
      </c>
      <c r="I583" s="348"/>
    </row>
    <row r="584">
      <c r="A584" s="348"/>
      <c r="B584" s="348"/>
      <c r="C584" s="348"/>
      <c r="D584" s="348"/>
      <c r="E584" s="348"/>
      <c r="F584" s="348"/>
      <c r="G584" s="348"/>
      <c r="H584" s="348" t="s">
        <v>5117</v>
      </c>
      <c r="I584" s="348"/>
    </row>
    <row r="585">
      <c r="A585" s="348"/>
      <c r="B585" s="348"/>
      <c r="C585" s="348"/>
      <c r="D585" s="348"/>
      <c r="E585" s="348"/>
      <c r="F585" s="348"/>
      <c r="G585" s="348"/>
      <c r="H585" s="348" t="s">
        <v>5117</v>
      </c>
      <c r="I585" s="348"/>
    </row>
    <row r="586">
      <c r="A586" s="348"/>
      <c r="B586" s="348"/>
      <c r="C586" s="348"/>
      <c r="D586" s="348"/>
      <c r="E586" s="348"/>
      <c r="F586" s="348"/>
      <c r="G586" s="348"/>
      <c r="H586" s="348" t="s">
        <v>5117</v>
      </c>
      <c r="I586" s="348"/>
    </row>
    <row r="587">
      <c r="A587" s="348"/>
      <c r="B587" s="348"/>
      <c r="C587" s="348"/>
      <c r="D587" s="348"/>
      <c r="E587" s="348"/>
      <c r="F587" s="348"/>
      <c r="G587" s="348"/>
      <c r="H587" s="348" t="s">
        <v>5117</v>
      </c>
      <c r="I587" s="348"/>
    </row>
    <row r="588">
      <c r="A588" s="348"/>
      <c r="B588" s="348"/>
      <c r="C588" s="348"/>
      <c r="D588" s="348"/>
      <c r="E588" s="348"/>
      <c r="F588" s="348"/>
      <c r="G588" s="348"/>
      <c r="H588" s="348" t="s">
        <v>5117</v>
      </c>
      <c r="I588" s="348"/>
    </row>
    <row r="589">
      <c r="A589" s="348"/>
      <c r="B589" s="348"/>
      <c r="C589" s="348"/>
      <c r="D589" s="348"/>
      <c r="E589" s="348"/>
      <c r="F589" s="348"/>
      <c r="G589" s="348"/>
      <c r="H589" s="348" t="s">
        <v>5117</v>
      </c>
      <c r="I589" s="348"/>
    </row>
    <row r="590">
      <c r="A590" s="348"/>
      <c r="B590" s="348"/>
      <c r="C590" s="348"/>
      <c r="D590" s="348"/>
      <c r="E590" s="348"/>
      <c r="F590" s="348"/>
      <c r="G590" s="348"/>
      <c r="H590" s="348" t="s">
        <v>5117</v>
      </c>
      <c r="I590" s="348"/>
    </row>
    <row r="591">
      <c r="A591" s="348"/>
      <c r="B591" s="348"/>
      <c r="C591" s="348"/>
      <c r="D591" s="348"/>
      <c r="E591" s="348"/>
      <c r="F591" s="348"/>
      <c r="G591" s="348"/>
      <c r="H591" s="348" t="s">
        <v>5117</v>
      </c>
      <c r="I591" s="348"/>
    </row>
    <row r="592">
      <c r="A592" s="348"/>
      <c r="B592" s="348"/>
      <c r="C592" s="348"/>
      <c r="D592" s="348"/>
      <c r="E592" s="348"/>
      <c r="F592" s="348"/>
      <c r="G592" s="348"/>
      <c r="H592" s="348" t="s">
        <v>5117</v>
      </c>
      <c r="I592" s="348"/>
    </row>
    <row r="593">
      <c r="A593" s="348"/>
      <c r="B593" s="348"/>
      <c r="C593" s="348"/>
      <c r="D593" s="348"/>
      <c r="E593" s="348"/>
      <c r="F593" s="348"/>
      <c r="G593" s="348"/>
      <c r="H593" s="348" t="s">
        <v>5117</v>
      </c>
      <c r="I593" s="348"/>
    </row>
    <row r="594">
      <c r="A594" s="348"/>
      <c r="B594" s="348"/>
      <c r="C594" s="348"/>
      <c r="D594" s="348"/>
      <c r="E594" s="348"/>
      <c r="F594" s="348"/>
      <c r="G594" s="348"/>
      <c r="H594" s="348" t="s">
        <v>5117</v>
      </c>
      <c r="I594" s="348"/>
    </row>
    <row r="595">
      <c r="A595" s="348"/>
      <c r="B595" s="348"/>
      <c r="C595" s="348"/>
      <c r="D595" s="348"/>
      <c r="E595" s="348"/>
      <c r="F595" s="348"/>
      <c r="G595" s="348"/>
      <c r="H595" s="348" t="s">
        <v>5117</v>
      </c>
      <c r="I595" s="348"/>
    </row>
    <row r="596">
      <c r="A596" s="348"/>
      <c r="B596" s="348"/>
      <c r="C596" s="348"/>
      <c r="D596" s="348"/>
      <c r="E596" s="348"/>
      <c r="F596" s="348"/>
      <c r="G596" s="348"/>
      <c r="H596" s="348" t="s">
        <v>5117</v>
      </c>
      <c r="I596" s="348"/>
    </row>
    <row r="597">
      <c r="A597" s="348"/>
      <c r="B597" s="348"/>
      <c r="C597" s="348"/>
      <c r="D597" s="348"/>
      <c r="E597" s="348"/>
      <c r="F597" s="348"/>
      <c r="G597" s="348"/>
      <c r="H597" s="348" t="s">
        <v>5117</v>
      </c>
      <c r="I597" s="348"/>
    </row>
    <row r="598">
      <c r="A598" s="348"/>
      <c r="B598" s="348"/>
      <c r="C598" s="348"/>
      <c r="D598" s="348"/>
      <c r="E598" s="348"/>
      <c r="F598" s="348"/>
      <c r="G598" s="348"/>
      <c r="H598" s="348" t="s">
        <v>5117</v>
      </c>
      <c r="I598" s="348"/>
    </row>
    <row r="599">
      <c r="A599" s="348"/>
      <c r="B599" s="348"/>
      <c r="C599" s="348"/>
      <c r="D599" s="348"/>
      <c r="E599" s="348"/>
      <c r="F599" s="348"/>
      <c r="G599" s="348"/>
      <c r="H599" s="348" t="s">
        <v>5117</v>
      </c>
      <c r="I599" s="348"/>
    </row>
    <row r="600">
      <c r="A600" s="348"/>
      <c r="B600" s="348"/>
      <c r="C600" s="348"/>
      <c r="D600" s="348"/>
      <c r="E600" s="348"/>
      <c r="F600" s="348"/>
      <c r="G600" s="348"/>
      <c r="H600" s="348" t="s">
        <v>5117</v>
      </c>
      <c r="I600" s="348"/>
    </row>
    <row r="601">
      <c r="A601" s="348"/>
      <c r="B601" s="348"/>
      <c r="C601" s="348"/>
      <c r="D601" s="348"/>
      <c r="E601" s="348"/>
      <c r="F601" s="348"/>
      <c r="G601" s="348"/>
      <c r="H601" s="348" t="s">
        <v>5117</v>
      </c>
      <c r="I601" s="348"/>
    </row>
    <row r="602">
      <c r="A602" s="348"/>
      <c r="B602" s="348"/>
      <c r="C602" s="348"/>
      <c r="D602" s="348"/>
      <c r="E602" s="348"/>
      <c r="F602" s="348"/>
      <c r="G602" s="348"/>
      <c r="H602" s="348" t="s">
        <v>5117</v>
      </c>
      <c r="I602" s="348"/>
    </row>
    <row r="603">
      <c r="A603" s="348"/>
      <c r="B603" s="348"/>
      <c r="C603" s="348"/>
      <c r="D603" s="348"/>
      <c r="E603" s="348"/>
      <c r="F603" s="348"/>
      <c r="G603" s="348"/>
      <c r="H603" s="348" t="s">
        <v>5117</v>
      </c>
      <c r="I603" s="348"/>
    </row>
    <row r="604">
      <c r="A604" s="348"/>
      <c r="B604" s="348"/>
      <c r="C604" s="348"/>
      <c r="D604" s="348"/>
      <c r="E604" s="348"/>
      <c r="F604" s="348"/>
      <c r="G604" s="348"/>
      <c r="H604" s="348" t="s">
        <v>5117</v>
      </c>
      <c r="I604" s="348"/>
    </row>
    <row r="605">
      <c r="A605" s="348"/>
      <c r="B605" s="348"/>
      <c r="C605" s="348"/>
      <c r="D605" s="348"/>
      <c r="E605" s="348"/>
      <c r="F605" s="348"/>
      <c r="G605" s="348"/>
      <c r="H605" s="348" t="s">
        <v>5117</v>
      </c>
      <c r="I605" s="348"/>
    </row>
    <row r="606">
      <c r="A606" s="348"/>
      <c r="B606" s="348"/>
      <c r="C606" s="348"/>
      <c r="D606" s="348"/>
      <c r="E606" s="348"/>
      <c r="F606" s="348"/>
      <c r="G606" s="348"/>
      <c r="H606" s="348" t="s">
        <v>5117</v>
      </c>
      <c r="I606" s="348"/>
    </row>
    <row r="607">
      <c r="A607" s="348"/>
      <c r="B607" s="348"/>
      <c r="C607" s="348"/>
      <c r="D607" s="348"/>
      <c r="E607" s="348"/>
      <c r="F607" s="348"/>
      <c r="G607" s="348"/>
      <c r="H607" s="348" t="s">
        <v>5117</v>
      </c>
      <c r="I607" s="348"/>
    </row>
    <row r="608">
      <c r="A608" s="348"/>
      <c r="B608" s="348"/>
      <c r="C608" s="348"/>
      <c r="D608" s="348"/>
      <c r="E608" s="348"/>
      <c r="F608" s="348"/>
      <c r="G608" s="348"/>
      <c r="H608" s="348" t="s">
        <v>5117</v>
      </c>
      <c r="I608" s="348"/>
    </row>
    <row r="609">
      <c r="A609" s="348"/>
      <c r="B609" s="348"/>
      <c r="C609" s="348"/>
      <c r="D609" s="348"/>
      <c r="E609" s="348"/>
      <c r="F609" s="348"/>
      <c r="G609" s="348"/>
      <c r="H609" s="348" t="s">
        <v>5117</v>
      </c>
      <c r="I609" s="348"/>
    </row>
    <row r="610">
      <c r="A610" s="348"/>
      <c r="B610" s="348"/>
      <c r="C610" s="348"/>
      <c r="D610" s="348"/>
      <c r="E610" s="348"/>
      <c r="F610" s="348"/>
      <c r="G610" s="348"/>
      <c r="H610" s="348" t="s">
        <v>5117</v>
      </c>
      <c r="I610" s="348"/>
    </row>
    <row r="611">
      <c r="A611" s="348"/>
      <c r="B611" s="348"/>
      <c r="C611" s="348"/>
      <c r="D611" s="348"/>
      <c r="E611" s="348"/>
      <c r="F611" s="348"/>
      <c r="G611" s="348"/>
      <c r="H611" s="348" t="s">
        <v>5117</v>
      </c>
      <c r="I611" s="348"/>
    </row>
    <row r="612">
      <c r="A612" s="348"/>
      <c r="B612" s="348"/>
      <c r="C612" s="348"/>
      <c r="D612" s="348"/>
      <c r="E612" s="348"/>
      <c r="F612" s="348"/>
      <c r="G612" s="348"/>
      <c r="H612" s="348" t="s">
        <v>5117</v>
      </c>
      <c r="I612" s="348"/>
    </row>
    <row r="613">
      <c r="A613" s="348"/>
      <c r="B613" s="348"/>
      <c r="C613" s="348"/>
      <c r="D613" s="348"/>
      <c r="E613" s="348"/>
      <c r="F613" s="348"/>
      <c r="G613" s="348"/>
      <c r="H613" s="348" t="s">
        <v>5117</v>
      </c>
      <c r="I613" s="348"/>
    </row>
    <row r="614">
      <c r="A614" s="348"/>
      <c r="B614" s="348"/>
      <c r="C614" s="348"/>
      <c r="D614" s="348"/>
      <c r="E614" s="348"/>
      <c r="F614" s="348"/>
      <c r="G614" s="348"/>
      <c r="H614" s="348" t="s">
        <v>5117</v>
      </c>
      <c r="I614" s="348"/>
    </row>
    <row r="615">
      <c r="A615" s="348"/>
      <c r="B615" s="348"/>
      <c r="C615" s="348"/>
      <c r="D615" s="348"/>
      <c r="E615" s="348"/>
      <c r="F615" s="348"/>
      <c r="G615" s="348"/>
      <c r="H615" s="348" t="s">
        <v>5117</v>
      </c>
      <c r="I615" s="348"/>
    </row>
    <row r="616">
      <c r="A616" s="348"/>
      <c r="B616" s="348"/>
      <c r="C616" s="348"/>
      <c r="D616" s="348"/>
      <c r="E616" s="348"/>
      <c r="F616" s="348"/>
      <c r="G616" s="348"/>
      <c r="H616" s="348" t="s">
        <v>5117</v>
      </c>
      <c r="I616" s="348"/>
    </row>
    <row r="617">
      <c r="A617" s="348"/>
      <c r="B617" s="348"/>
      <c r="C617" s="348"/>
      <c r="D617" s="348"/>
      <c r="E617" s="348"/>
      <c r="F617" s="348"/>
      <c r="G617" s="348"/>
      <c r="H617" s="348" t="s">
        <v>5117</v>
      </c>
      <c r="I617" s="348"/>
    </row>
    <row r="618">
      <c r="A618" s="348"/>
      <c r="B618" s="348"/>
      <c r="C618" s="348"/>
      <c r="D618" s="348"/>
      <c r="E618" s="348"/>
      <c r="F618" s="348"/>
      <c r="G618" s="348"/>
      <c r="H618" s="348" t="s">
        <v>5117</v>
      </c>
      <c r="I618" s="348"/>
    </row>
    <row r="619">
      <c r="A619" s="348"/>
      <c r="B619" s="348"/>
      <c r="C619" s="348"/>
      <c r="D619" s="348"/>
      <c r="E619" s="348"/>
      <c r="F619" s="348"/>
      <c r="G619" s="348"/>
      <c r="H619" s="348" t="s">
        <v>5117</v>
      </c>
      <c r="I619" s="348"/>
    </row>
    <row r="620">
      <c r="A620" s="348"/>
      <c r="B620" s="348"/>
      <c r="C620" s="348"/>
      <c r="D620" s="348"/>
      <c r="E620" s="348"/>
      <c r="F620" s="348"/>
      <c r="G620" s="348"/>
      <c r="H620" s="348" t="s">
        <v>5117</v>
      </c>
      <c r="I620" s="348"/>
    </row>
    <row r="621">
      <c r="A621" s="348"/>
      <c r="B621" s="348"/>
      <c r="C621" s="348"/>
      <c r="D621" s="348"/>
      <c r="E621" s="348"/>
      <c r="F621" s="348"/>
      <c r="G621" s="348"/>
      <c r="H621" s="348" t="s">
        <v>5117</v>
      </c>
      <c r="I621" s="348"/>
    </row>
    <row r="622">
      <c r="A622" s="348"/>
      <c r="B622" s="348"/>
      <c r="C622" s="348"/>
      <c r="D622" s="348"/>
      <c r="E622" s="348"/>
      <c r="F622" s="348"/>
      <c r="G622" s="348"/>
      <c r="H622" s="348" t="s">
        <v>5117</v>
      </c>
      <c r="I622" s="348"/>
    </row>
    <row r="623">
      <c r="A623" s="348"/>
      <c r="B623" s="348"/>
      <c r="C623" s="348"/>
      <c r="D623" s="348"/>
      <c r="E623" s="348"/>
      <c r="F623" s="348"/>
      <c r="G623" s="348"/>
      <c r="H623" s="348" t="s">
        <v>5117</v>
      </c>
      <c r="I623" s="348"/>
    </row>
    <row r="624">
      <c r="A624" s="348"/>
      <c r="B624" s="348"/>
      <c r="C624" s="348"/>
      <c r="D624" s="348"/>
      <c r="E624" s="348"/>
      <c r="F624" s="348"/>
      <c r="G624" s="348"/>
      <c r="H624" s="348" t="s">
        <v>5117</v>
      </c>
      <c r="I624" s="348"/>
    </row>
    <row r="625">
      <c r="A625" s="348"/>
      <c r="B625" s="348"/>
      <c r="C625" s="348"/>
      <c r="D625" s="348"/>
      <c r="E625" s="348"/>
      <c r="F625" s="348"/>
      <c r="G625" s="348"/>
      <c r="H625" s="348" t="s">
        <v>5117</v>
      </c>
      <c r="I625" s="348"/>
    </row>
    <row r="626">
      <c r="A626" s="348"/>
      <c r="B626" s="348"/>
      <c r="C626" s="348"/>
      <c r="D626" s="348"/>
      <c r="E626" s="348"/>
      <c r="F626" s="348"/>
      <c r="G626" s="348"/>
      <c r="H626" s="348" t="s">
        <v>5117</v>
      </c>
      <c r="I626" s="348"/>
    </row>
    <row r="627">
      <c r="A627" s="348"/>
      <c r="B627" s="348"/>
      <c r="C627" s="348"/>
      <c r="D627" s="348"/>
      <c r="E627" s="348"/>
      <c r="F627" s="348"/>
      <c r="G627" s="348"/>
      <c r="H627" s="348" t="s">
        <v>5117</v>
      </c>
      <c r="I627" s="348"/>
    </row>
    <row r="628">
      <c r="A628" s="348"/>
      <c r="B628" s="348"/>
      <c r="C628" s="348"/>
      <c r="D628" s="348"/>
      <c r="E628" s="348"/>
      <c r="F628" s="348"/>
      <c r="G628" s="348"/>
      <c r="H628" s="348" t="s">
        <v>5117</v>
      </c>
      <c r="I628" s="348"/>
    </row>
    <row r="629">
      <c r="A629" s="348"/>
      <c r="B629" s="348"/>
      <c r="C629" s="348"/>
      <c r="D629" s="348"/>
      <c r="E629" s="348"/>
      <c r="F629" s="348"/>
      <c r="G629" s="348"/>
      <c r="H629" s="348" t="s">
        <v>5117</v>
      </c>
      <c r="I629" s="348"/>
    </row>
    <row r="630">
      <c r="A630" s="348"/>
      <c r="B630" s="348"/>
      <c r="C630" s="348"/>
      <c r="D630" s="348"/>
      <c r="E630" s="348"/>
      <c r="F630" s="348"/>
      <c r="G630" s="348"/>
      <c r="H630" s="348" t="s">
        <v>5117</v>
      </c>
      <c r="I630" s="348"/>
    </row>
    <row r="631">
      <c r="A631" s="348"/>
      <c r="B631" s="348"/>
      <c r="C631" s="348"/>
      <c r="D631" s="348"/>
      <c r="E631" s="348"/>
      <c r="F631" s="348"/>
      <c r="G631" s="348"/>
      <c r="H631" s="348" t="s">
        <v>5117</v>
      </c>
      <c r="I631" s="348"/>
    </row>
    <row r="632">
      <c r="A632" s="348"/>
      <c r="B632" s="348"/>
      <c r="C632" s="348"/>
      <c r="D632" s="348"/>
      <c r="E632" s="348"/>
      <c r="F632" s="348"/>
      <c r="G632" s="348"/>
      <c r="H632" s="348" t="s">
        <v>5117</v>
      </c>
      <c r="I632" s="348"/>
    </row>
    <row r="633">
      <c r="A633" s="348"/>
      <c r="B633" s="348"/>
      <c r="C633" s="348"/>
      <c r="D633" s="348"/>
      <c r="E633" s="348"/>
      <c r="F633" s="348"/>
      <c r="G633" s="348"/>
      <c r="H633" s="348" t="s">
        <v>5117</v>
      </c>
      <c r="I633" s="348"/>
    </row>
    <row r="634">
      <c r="A634" s="348"/>
      <c r="B634" s="348"/>
      <c r="C634" s="348"/>
      <c r="D634" s="348"/>
      <c r="E634" s="348"/>
      <c r="F634" s="348"/>
      <c r="G634" s="348"/>
      <c r="H634" s="348" t="s">
        <v>5117</v>
      </c>
      <c r="I634" s="348"/>
    </row>
    <row r="635">
      <c r="A635" s="348"/>
      <c r="B635" s="348"/>
      <c r="C635" s="348"/>
      <c r="D635" s="348"/>
      <c r="E635" s="348"/>
      <c r="F635" s="348"/>
      <c r="G635" s="348"/>
      <c r="H635" s="348" t="s">
        <v>5117</v>
      </c>
      <c r="I635" s="348"/>
    </row>
    <row r="636">
      <c r="A636" s="348"/>
      <c r="B636" s="348"/>
      <c r="C636" s="348"/>
      <c r="D636" s="348"/>
      <c r="E636" s="348"/>
      <c r="F636" s="348"/>
      <c r="G636" s="348"/>
      <c r="H636" s="348" t="s">
        <v>5117</v>
      </c>
      <c r="I636" s="348"/>
    </row>
    <row r="637">
      <c r="A637" s="348"/>
      <c r="B637" s="348"/>
      <c r="C637" s="348"/>
      <c r="D637" s="348"/>
      <c r="E637" s="348"/>
      <c r="F637" s="348"/>
      <c r="G637" s="348"/>
      <c r="H637" s="348" t="s">
        <v>5117</v>
      </c>
      <c r="I637" s="348"/>
    </row>
    <row r="638">
      <c r="A638" s="348"/>
      <c r="B638" s="348"/>
      <c r="C638" s="348"/>
      <c r="D638" s="348"/>
      <c r="E638" s="348"/>
      <c r="F638" s="348"/>
      <c r="G638" s="348"/>
      <c r="H638" s="348" t="s">
        <v>5117</v>
      </c>
      <c r="I638" s="348"/>
    </row>
    <row r="639">
      <c r="A639" s="348"/>
      <c r="B639" s="348"/>
      <c r="C639" s="348"/>
      <c r="D639" s="348"/>
      <c r="E639" s="348"/>
      <c r="F639" s="348"/>
      <c r="G639" s="348"/>
      <c r="H639" s="348" t="s">
        <v>5117</v>
      </c>
      <c r="I639" s="348"/>
    </row>
    <row r="640">
      <c r="A640" s="348"/>
      <c r="B640" s="348"/>
      <c r="C640" s="348"/>
      <c r="D640" s="348"/>
      <c r="E640" s="348"/>
      <c r="F640" s="348"/>
      <c r="G640" s="348"/>
      <c r="H640" s="348" t="s">
        <v>5117</v>
      </c>
      <c r="I640" s="348"/>
    </row>
    <row r="641">
      <c r="A641" s="348"/>
      <c r="B641" s="348"/>
      <c r="C641" s="348"/>
      <c r="D641" s="348"/>
      <c r="E641" s="348"/>
      <c r="F641" s="348"/>
      <c r="G641" s="348"/>
      <c r="H641" s="348" t="s">
        <v>5117</v>
      </c>
      <c r="I641" s="348"/>
    </row>
    <row r="642">
      <c r="A642" s="348"/>
      <c r="B642" s="348"/>
      <c r="C642" s="348"/>
      <c r="D642" s="348"/>
      <c r="E642" s="348"/>
      <c r="F642" s="348"/>
      <c r="G642" s="348"/>
      <c r="H642" s="348" t="s">
        <v>5117</v>
      </c>
      <c r="I642" s="348"/>
    </row>
    <row r="643">
      <c r="A643" s="348"/>
      <c r="B643" s="348"/>
      <c r="C643" s="348"/>
      <c r="D643" s="348"/>
      <c r="E643" s="348"/>
      <c r="F643" s="348"/>
      <c r="G643" s="348"/>
      <c r="H643" s="348" t="s">
        <v>5117</v>
      </c>
      <c r="I643" s="348"/>
    </row>
    <row r="644">
      <c r="A644" s="348"/>
      <c r="B644" s="348"/>
      <c r="C644" s="348"/>
      <c r="D644" s="348"/>
      <c r="E644" s="348"/>
      <c r="F644" s="348"/>
      <c r="G644" s="348"/>
      <c r="H644" s="348" t="s">
        <v>5117</v>
      </c>
      <c r="I644" s="348"/>
    </row>
    <row r="645">
      <c r="A645" s="348"/>
      <c r="B645" s="348"/>
      <c r="C645" s="348"/>
      <c r="D645" s="348"/>
      <c r="E645" s="348"/>
      <c r="F645" s="348"/>
      <c r="G645" s="348"/>
      <c r="H645" s="348" t="s">
        <v>5117</v>
      </c>
      <c r="I645" s="348"/>
    </row>
    <row r="646">
      <c r="A646" s="348"/>
      <c r="B646" s="348"/>
      <c r="C646" s="348"/>
      <c r="D646" s="348"/>
      <c r="E646" s="348"/>
      <c r="F646" s="348"/>
      <c r="G646" s="348"/>
      <c r="H646" s="348" t="s">
        <v>5117</v>
      </c>
      <c r="I646" s="348"/>
    </row>
    <row r="647">
      <c r="A647" s="348"/>
      <c r="B647" s="348"/>
      <c r="C647" s="348"/>
      <c r="D647" s="348"/>
      <c r="E647" s="348"/>
      <c r="F647" s="348"/>
      <c r="G647" s="348"/>
      <c r="H647" s="348" t="s">
        <v>5117</v>
      </c>
      <c r="I647" s="348"/>
    </row>
    <row r="648">
      <c r="A648" s="348"/>
      <c r="B648" s="348"/>
      <c r="C648" s="348"/>
      <c r="D648" s="348"/>
      <c r="E648" s="348"/>
      <c r="F648" s="348"/>
      <c r="G648" s="348"/>
      <c r="H648" s="348" t="s">
        <v>5117</v>
      </c>
      <c r="I648" s="348"/>
    </row>
    <row r="649">
      <c r="A649" s="348"/>
      <c r="B649" s="348"/>
      <c r="C649" s="348"/>
      <c r="D649" s="348"/>
      <c r="E649" s="348"/>
      <c r="F649" s="348"/>
      <c r="G649" s="348"/>
      <c r="H649" s="348" t="s">
        <v>5117</v>
      </c>
      <c r="I649" s="348"/>
    </row>
    <row r="650">
      <c r="A650" s="348"/>
      <c r="B650" s="348"/>
      <c r="C650" s="348"/>
      <c r="D650" s="348"/>
      <c r="E650" s="348"/>
      <c r="F650" s="348"/>
      <c r="G650" s="348"/>
      <c r="H650" s="348" t="s">
        <v>5117</v>
      </c>
      <c r="I650" s="348"/>
    </row>
    <row r="651">
      <c r="A651" s="348"/>
      <c r="B651" s="348"/>
      <c r="C651" s="348"/>
      <c r="D651" s="348"/>
      <c r="E651" s="348"/>
      <c r="F651" s="348"/>
      <c r="G651" s="348"/>
      <c r="H651" s="348" t="s">
        <v>5117</v>
      </c>
      <c r="I651" s="348"/>
    </row>
    <row r="652">
      <c r="A652" s="348"/>
      <c r="B652" s="348"/>
      <c r="C652" s="348"/>
      <c r="D652" s="348"/>
      <c r="E652" s="348"/>
      <c r="F652" s="348"/>
      <c r="G652" s="348"/>
      <c r="H652" s="348" t="s">
        <v>5117</v>
      </c>
      <c r="I652" s="348"/>
    </row>
    <row r="653">
      <c r="A653" s="348"/>
      <c r="B653" s="348"/>
      <c r="C653" s="348"/>
      <c r="D653" s="348"/>
      <c r="E653" s="348"/>
      <c r="F653" s="348"/>
      <c r="G653" s="348"/>
      <c r="H653" s="348" t="s">
        <v>5117</v>
      </c>
      <c r="I653" s="348"/>
    </row>
    <row r="654">
      <c r="A654" s="348"/>
      <c r="B654" s="348"/>
      <c r="C654" s="348"/>
      <c r="D654" s="348"/>
      <c r="E654" s="348"/>
      <c r="F654" s="348"/>
      <c r="G654" s="348"/>
      <c r="H654" s="348" t="s">
        <v>5117</v>
      </c>
      <c r="I654" s="348"/>
    </row>
    <row r="655">
      <c r="A655" s="348"/>
      <c r="B655" s="348"/>
      <c r="C655" s="348"/>
      <c r="D655" s="348"/>
      <c r="E655" s="348"/>
      <c r="F655" s="348"/>
      <c r="G655" s="348"/>
      <c r="H655" s="348" t="s">
        <v>5117</v>
      </c>
      <c r="I655" s="348"/>
    </row>
    <row r="656">
      <c r="A656" s="348"/>
      <c r="B656" s="348"/>
      <c r="C656" s="348"/>
      <c r="D656" s="348"/>
      <c r="E656" s="348"/>
      <c r="F656" s="348"/>
      <c r="G656" s="348"/>
      <c r="H656" s="348" t="s">
        <v>5117</v>
      </c>
      <c r="I656" s="348"/>
    </row>
    <row r="657">
      <c r="A657" s="348"/>
      <c r="B657" s="348"/>
      <c r="C657" s="348"/>
      <c r="D657" s="348"/>
      <c r="E657" s="348"/>
      <c r="F657" s="348"/>
      <c r="G657" s="348"/>
      <c r="H657" s="348" t="s">
        <v>5117</v>
      </c>
      <c r="I657" s="348"/>
    </row>
    <row r="658">
      <c r="A658" s="348"/>
      <c r="B658" s="348"/>
      <c r="C658" s="348"/>
      <c r="D658" s="348"/>
      <c r="E658" s="348"/>
      <c r="F658" s="348"/>
      <c r="G658" s="348"/>
      <c r="H658" s="348" t="s">
        <v>5117</v>
      </c>
      <c r="I658" s="348"/>
    </row>
    <row r="659">
      <c r="A659" s="348"/>
      <c r="B659" s="348"/>
      <c r="C659" s="348"/>
      <c r="D659" s="348"/>
      <c r="E659" s="348"/>
      <c r="F659" s="348"/>
      <c r="G659" s="348"/>
      <c r="H659" s="348" t="s">
        <v>5117</v>
      </c>
      <c r="I659" s="348"/>
    </row>
    <row r="660">
      <c r="A660" s="348"/>
      <c r="B660" s="348"/>
      <c r="C660" s="348"/>
      <c r="D660" s="348"/>
      <c r="E660" s="348"/>
      <c r="F660" s="348"/>
      <c r="G660" s="348"/>
      <c r="H660" s="348" t="s">
        <v>5117</v>
      </c>
      <c r="I660" s="348"/>
    </row>
    <row r="661">
      <c r="A661" s="348"/>
      <c r="B661" s="348"/>
      <c r="C661" s="348"/>
      <c r="D661" s="348"/>
      <c r="E661" s="348"/>
      <c r="F661" s="348"/>
      <c r="G661" s="348"/>
      <c r="H661" s="348" t="s">
        <v>5117</v>
      </c>
      <c r="I661" s="348"/>
    </row>
    <row r="662">
      <c r="A662" s="348"/>
      <c r="B662" s="348"/>
      <c r="C662" s="348"/>
      <c r="D662" s="348"/>
      <c r="E662" s="348"/>
      <c r="F662" s="348"/>
      <c r="G662" s="348"/>
      <c r="H662" s="348" t="s">
        <v>5117</v>
      </c>
      <c r="I662" s="348"/>
    </row>
    <row r="663">
      <c r="A663" s="348"/>
      <c r="B663" s="348"/>
      <c r="C663" s="348"/>
      <c r="D663" s="348"/>
      <c r="E663" s="348"/>
      <c r="F663" s="348"/>
      <c r="G663" s="348"/>
      <c r="H663" s="348" t="s">
        <v>5117</v>
      </c>
      <c r="I663" s="348"/>
    </row>
    <row r="664">
      <c r="A664" s="348"/>
      <c r="B664" s="348"/>
      <c r="C664" s="348"/>
      <c r="D664" s="348"/>
      <c r="E664" s="348"/>
      <c r="F664" s="348"/>
      <c r="G664" s="348"/>
      <c r="H664" s="348" t="s">
        <v>5117</v>
      </c>
      <c r="I664" s="348"/>
    </row>
    <row r="665">
      <c r="A665" s="348"/>
      <c r="B665" s="348"/>
      <c r="C665" s="348"/>
      <c r="D665" s="348"/>
      <c r="E665" s="348"/>
      <c r="F665" s="348"/>
      <c r="G665" s="348"/>
      <c r="H665" s="348" t="s">
        <v>5117</v>
      </c>
      <c r="I665" s="348"/>
    </row>
    <row r="666">
      <c r="A666" s="348"/>
      <c r="B666" s="348"/>
      <c r="C666" s="348"/>
      <c r="D666" s="348"/>
      <c r="E666" s="348"/>
      <c r="F666" s="348"/>
      <c r="G666" s="348"/>
      <c r="H666" s="348" t="s">
        <v>5117</v>
      </c>
      <c r="I666" s="348"/>
    </row>
    <row r="667">
      <c r="A667" s="348"/>
      <c r="B667" s="348"/>
      <c r="C667" s="348"/>
      <c r="D667" s="348"/>
      <c r="E667" s="348"/>
      <c r="F667" s="348"/>
      <c r="G667" s="348"/>
      <c r="H667" s="348" t="s">
        <v>5117</v>
      </c>
      <c r="I667" s="348"/>
    </row>
    <row r="668">
      <c r="A668" s="348"/>
      <c r="B668" s="348"/>
      <c r="C668" s="348"/>
      <c r="D668" s="348"/>
      <c r="E668" s="348"/>
      <c r="F668" s="348"/>
      <c r="G668" s="348"/>
      <c r="H668" s="348" t="s">
        <v>5117</v>
      </c>
      <c r="I668" s="348"/>
    </row>
    <row r="669">
      <c r="A669" s="348"/>
      <c r="B669" s="348"/>
      <c r="C669" s="348"/>
      <c r="D669" s="348"/>
      <c r="E669" s="348"/>
      <c r="F669" s="348"/>
      <c r="G669" s="348"/>
      <c r="H669" s="348" t="s">
        <v>5117</v>
      </c>
      <c r="I669" s="348"/>
    </row>
    <row r="670">
      <c r="A670" s="348"/>
      <c r="B670" s="348"/>
      <c r="C670" s="348"/>
      <c r="D670" s="348"/>
      <c r="E670" s="348"/>
      <c r="F670" s="348"/>
      <c r="G670" s="348"/>
      <c r="H670" s="348" t="s">
        <v>5117</v>
      </c>
      <c r="I670" s="348"/>
    </row>
    <row r="671">
      <c r="A671" s="348"/>
      <c r="B671" s="348"/>
      <c r="C671" s="348"/>
      <c r="D671" s="348"/>
      <c r="E671" s="348"/>
      <c r="F671" s="348"/>
      <c r="G671" s="348"/>
      <c r="H671" s="348" t="s">
        <v>5117</v>
      </c>
      <c r="I671" s="348"/>
    </row>
    <row r="672">
      <c r="A672" s="348"/>
      <c r="B672" s="348"/>
      <c r="C672" s="348"/>
      <c r="D672" s="348"/>
      <c r="E672" s="348"/>
      <c r="F672" s="348"/>
      <c r="G672" s="348"/>
      <c r="H672" s="348" t="s">
        <v>5117</v>
      </c>
      <c r="I672" s="348"/>
    </row>
    <row r="673">
      <c r="A673" s="348"/>
      <c r="B673" s="348"/>
      <c r="C673" s="348"/>
      <c r="D673" s="348"/>
      <c r="E673" s="348"/>
      <c r="F673" s="348"/>
      <c r="G673" s="348"/>
      <c r="H673" s="348" t="s">
        <v>5117</v>
      </c>
      <c r="I673" s="348"/>
    </row>
    <row r="674">
      <c r="A674" s="348"/>
      <c r="B674" s="348"/>
      <c r="C674" s="348"/>
      <c r="D674" s="348"/>
      <c r="E674" s="348"/>
      <c r="F674" s="348"/>
      <c r="G674" s="348"/>
      <c r="H674" s="348" t="s">
        <v>5117</v>
      </c>
      <c r="I674" s="348"/>
    </row>
    <row r="675">
      <c r="A675" s="348"/>
      <c r="B675" s="348"/>
      <c r="C675" s="348"/>
      <c r="D675" s="348"/>
      <c r="E675" s="348"/>
      <c r="F675" s="348"/>
      <c r="G675" s="348"/>
      <c r="H675" s="348" t="s">
        <v>5117</v>
      </c>
      <c r="I675" s="348"/>
    </row>
    <row r="676">
      <c r="A676" s="348"/>
      <c r="B676" s="348"/>
      <c r="C676" s="348"/>
      <c r="D676" s="348"/>
      <c r="E676" s="348"/>
      <c r="F676" s="348"/>
      <c r="G676" s="348"/>
      <c r="H676" s="348" t="s">
        <v>5117</v>
      </c>
      <c r="I676" s="348"/>
    </row>
    <row r="677">
      <c r="A677" s="348"/>
      <c r="B677" s="348"/>
      <c r="C677" s="348"/>
      <c r="D677" s="348"/>
      <c r="E677" s="348"/>
      <c r="F677" s="348"/>
      <c r="G677" s="348"/>
      <c r="H677" s="348" t="s">
        <v>5117</v>
      </c>
      <c r="I677" s="348"/>
    </row>
    <row r="678">
      <c r="A678" s="348"/>
      <c r="B678" s="348"/>
      <c r="C678" s="348"/>
      <c r="D678" s="348"/>
      <c r="E678" s="348"/>
      <c r="F678" s="348"/>
      <c r="G678" s="348"/>
      <c r="H678" s="348" t="s">
        <v>5117</v>
      </c>
      <c r="I678" s="348"/>
    </row>
    <row r="679">
      <c r="A679" s="348"/>
      <c r="B679" s="348"/>
      <c r="C679" s="348"/>
      <c r="D679" s="348"/>
      <c r="E679" s="348"/>
      <c r="F679" s="348"/>
      <c r="G679" s="348"/>
      <c r="H679" s="348" t="s">
        <v>5117</v>
      </c>
      <c r="I679" s="348"/>
    </row>
    <row r="680">
      <c r="A680" s="348"/>
      <c r="B680" s="348"/>
      <c r="C680" s="348"/>
      <c r="D680" s="348"/>
      <c r="E680" s="348"/>
      <c r="F680" s="348"/>
      <c r="G680" s="348"/>
      <c r="H680" s="348" t="s">
        <v>5117</v>
      </c>
      <c r="I680" s="348"/>
    </row>
    <row r="681">
      <c r="A681" s="348"/>
      <c r="B681" s="348"/>
      <c r="C681" s="348"/>
      <c r="D681" s="348"/>
      <c r="E681" s="348"/>
      <c r="F681" s="348"/>
      <c r="G681" s="348"/>
      <c r="H681" s="348" t="s">
        <v>5117</v>
      </c>
      <c r="I681" s="348"/>
    </row>
    <row r="682">
      <c r="A682" s="348"/>
      <c r="B682" s="348"/>
      <c r="C682" s="348"/>
      <c r="D682" s="348"/>
      <c r="E682" s="348"/>
      <c r="F682" s="348"/>
      <c r="G682" s="348"/>
      <c r="H682" s="348" t="s">
        <v>5117</v>
      </c>
      <c r="I682" s="348"/>
    </row>
    <row r="683">
      <c r="A683" s="348"/>
      <c r="B683" s="348"/>
      <c r="C683" s="348"/>
      <c r="D683" s="348"/>
      <c r="E683" s="348"/>
      <c r="F683" s="348"/>
      <c r="G683" s="348"/>
      <c r="H683" s="348" t="s">
        <v>5117</v>
      </c>
      <c r="I683" s="348"/>
    </row>
    <row r="684">
      <c r="A684" s="348"/>
      <c r="B684" s="348"/>
      <c r="C684" s="348"/>
      <c r="D684" s="348"/>
      <c r="E684" s="348"/>
      <c r="F684" s="348"/>
      <c r="G684" s="348"/>
      <c r="H684" s="348" t="s">
        <v>5117</v>
      </c>
      <c r="I684" s="348"/>
    </row>
    <row r="685">
      <c r="A685" s="348"/>
      <c r="B685" s="348"/>
      <c r="C685" s="348"/>
      <c r="D685" s="348"/>
      <c r="E685" s="348"/>
      <c r="F685" s="348"/>
      <c r="G685" s="348"/>
      <c r="H685" s="348" t="s">
        <v>5117</v>
      </c>
      <c r="I685" s="348"/>
    </row>
    <row r="686">
      <c r="A686" s="348"/>
      <c r="B686" s="348"/>
      <c r="C686" s="348"/>
      <c r="D686" s="348"/>
      <c r="E686" s="348"/>
      <c r="F686" s="348"/>
      <c r="G686" s="348"/>
      <c r="H686" s="348" t="s">
        <v>5117</v>
      </c>
      <c r="I686" s="348"/>
    </row>
    <row r="687">
      <c r="A687" s="348"/>
      <c r="B687" s="348"/>
      <c r="C687" s="348"/>
      <c r="D687" s="348"/>
      <c r="E687" s="348"/>
      <c r="F687" s="348"/>
      <c r="G687" s="348"/>
      <c r="H687" s="348" t="s">
        <v>5117</v>
      </c>
      <c r="I687" s="348"/>
    </row>
    <row r="688">
      <c r="A688" s="348"/>
      <c r="B688" s="348"/>
      <c r="C688" s="348"/>
      <c r="D688" s="348"/>
      <c r="E688" s="348"/>
      <c r="F688" s="348"/>
      <c r="G688" s="348"/>
      <c r="H688" s="348" t="s">
        <v>5117</v>
      </c>
      <c r="I688" s="348"/>
    </row>
    <row r="689">
      <c r="A689" s="348"/>
      <c r="B689" s="348"/>
      <c r="C689" s="348"/>
      <c r="D689" s="348"/>
      <c r="E689" s="348"/>
      <c r="F689" s="348"/>
      <c r="G689" s="348"/>
      <c r="H689" s="348" t="s">
        <v>5117</v>
      </c>
      <c r="I689" s="348"/>
    </row>
    <row r="690">
      <c r="A690" s="348"/>
      <c r="B690" s="348"/>
      <c r="C690" s="348"/>
      <c r="D690" s="348"/>
      <c r="E690" s="348"/>
      <c r="F690" s="348"/>
      <c r="G690" s="348"/>
      <c r="H690" s="348" t="s">
        <v>5117</v>
      </c>
      <c r="I690" s="348"/>
    </row>
    <row r="691">
      <c r="A691" s="348"/>
      <c r="B691" s="348"/>
      <c r="C691" s="348"/>
      <c r="D691" s="348"/>
      <c r="E691" s="348"/>
      <c r="F691" s="348"/>
      <c r="G691" s="348"/>
      <c r="H691" s="348" t="s">
        <v>5117</v>
      </c>
      <c r="I691" s="348"/>
    </row>
    <row r="692">
      <c r="A692" s="348"/>
      <c r="B692" s="348"/>
      <c r="C692" s="348"/>
      <c r="D692" s="348"/>
      <c r="E692" s="348"/>
      <c r="F692" s="348"/>
      <c r="G692" s="348"/>
      <c r="H692" s="348" t="s">
        <v>5117</v>
      </c>
      <c r="I692" s="348"/>
    </row>
    <row r="693">
      <c r="A693" s="348"/>
      <c r="B693" s="348"/>
      <c r="C693" s="348"/>
      <c r="D693" s="348"/>
      <c r="E693" s="348"/>
      <c r="F693" s="348"/>
      <c r="G693" s="348"/>
      <c r="H693" s="348" t="s">
        <v>5117</v>
      </c>
      <c r="I693" s="348"/>
    </row>
    <row r="694">
      <c r="A694" s="348"/>
      <c r="B694" s="348"/>
      <c r="C694" s="348"/>
      <c r="D694" s="348"/>
      <c r="E694" s="348"/>
      <c r="F694" s="348"/>
      <c r="G694" s="348"/>
      <c r="H694" s="348" t="s">
        <v>5117</v>
      </c>
      <c r="I694" s="348"/>
    </row>
    <row r="695">
      <c r="A695" s="348"/>
      <c r="B695" s="348"/>
      <c r="C695" s="348"/>
      <c r="D695" s="348"/>
      <c r="E695" s="348"/>
      <c r="F695" s="348"/>
      <c r="G695" s="348"/>
      <c r="H695" s="348" t="s">
        <v>5117</v>
      </c>
      <c r="I695" s="348"/>
    </row>
    <row r="696">
      <c r="A696" s="348"/>
      <c r="B696" s="348"/>
      <c r="C696" s="348"/>
      <c r="D696" s="348"/>
      <c r="E696" s="348"/>
      <c r="F696" s="348"/>
      <c r="G696" s="348"/>
      <c r="H696" s="348" t="s">
        <v>5117</v>
      </c>
      <c r="I696" s="348"/>
    </row>
    <row r="697">
      <c r="A697" s="348"/>
      <c r="B697" s="348"/>
      <c r="C697" s="348"/>
      <c r="D697" s="348"/>
      <c r="E697" s="348"/>
      <c r="F697" s="348"/>
      <c r="G697" s="348"/>
      <c r="H697" s="348" t="s">
        <v>5117</v>
      </c>
      <c r="I697" s="348"/>
    </row>
    <row r="698">
      <c r="A698" s="348"/>
      <c r="B698" s="348"/>
      <c r="C698" s="348"/>
      <c r="D698" s="348"/>
      <c r="E698" s="348"/>
      <c r="F698" s="348"/>
      <c r="G698" s="348"/>
      <c r="H698" s="348" t="s">
        <v>5117</v>
      </c>
      <c r="I698" s="348"/>
    </row>
    <row r="699">
      <c r="A699" s="348"/>
      <c r="B699" s="348"/>
      <c r="C699" s="348"/>
      <c r="D699" s="348"/>
      <c r="E699" s="348"/>
      <c r="F699" s="348"/>
      <c r="G699" s="348"/>
      <c r="H699" s="348" t="s">
        <v>5117</v>
      </c>
      <c r="I699" s="348"/>
    </row>
    <row r="700">
      <c r="A700" s="348"/>
      <c r="B700" s="348"/>
      <c r="C700" s="348"/>
      <c r="D700" s="348"/>
      <c r="E700" s="348"/>
      <c r="F700" s="348"/>
      <c r="G700" s="348"/>
      <c r="H700" s="348" t="s">
        <v>5117</v>
      </c>
      <c r="I700" s="348"/>
    </row>
    <row r="701">
      <c r="A701" s="348"/>
      <c r="B701" s="348"/>
      <c r="C701" s="348"/>
      <c r="D701" s="348"/>
      <c r="E701" s="348"/>
      <c r="F701" s="348"/>
      <c r="G701" s="348"/>
      <c r="H701" s="348" t="s">
        <v>5117</v>
      </c>
      <c r="I701" s="348"/>
    </row>
    <row r="702">
      <c r="A702" s="348"/>
      <c r="B702" s="348"/>
      <c r="C702" s="348"/>
      <c r="D702" s="348"/>
      <c r="E702" s="348"/>
      <c r="F702" s="348"/>
      <c r="G702" s="348"/>
      <c r="H702" s="348" t="s">
        <v>5117</v>
      </c>
      <c r="I702" s="348"/>
    </row>
    <row r="703">
      <c r="A703" s="348"/>
      <c r="B703" s="348"/>
      <c r="C703" s="348"/>
      <c r="D703" s="348"/>
      <c r="E703" s="348"/>
      <c r="F703" s="348"/>
      <c r="G703" s="348"/>
      <c r="H703" s="348" t="s">
        <v>5117</v>
      </c>
      <c r="I703" s="348"/>
    </row>
    <row r="704">
      <c r="A704" s="348"/>
      <c r="B704" s="348"/>
      <c r="C704" s="348"/>
      <c r="D704" s="348"/>
      <c r="E704" s="348"/>
      <c r="F704" s="348"/>
      <c r="G704" s="348"/>
      <c r="H704" s="348" t="s">
        <v>5117</v>
      </c>
      <c r="I704" s="348"/>
    </row>
    <row r="705">
      <c r="A705" s="348"/>
      <c r="B705" s="348"/>
      <c r="C705" s="348"/>
      <c r="D705" s="348"/>
      <c r="E705" s="348"/>
      <c r="F705" s="348"/>
      <c r="G705" s="348"/>
      <c r="H705" s="348" t="s">
        <v>5117</v>
      </c>
      <c r="I705" s="348"/>
    </row>
    <row r="706">
      <c r="A706" s="348"/>
      <c r="B706" s="348"/>
      <c r="C706" s="348"/>
      <c r="D706" s="348"/>
      <c r="E706" s="348"/>
      <c r="F706" s="348"/>
      <c r="G706" s="348"/>
      <c r="H706" s="348" t="s">
        <v>5117</v>
      </c>
      <c r="I706" s="348"/>
    </row>
    <row r="707">
      <c r="A707" s="348"/>
      <c r="B707" s="348"/>
      <c r="C707" s="348"/>
      <c r="D707" s="348"/>
      <c r="E707" s="348"/>
      <c r="F707" s="348"/>
      <c r="G707" s="348"/>
      <c r="H707" s="348" t="s">
        <v>5117</v>
      </c>
      <c r="I707" s="348"/>
    </row>
    <row r="708">
      <c r="A708" s="348"/>
      <c r="B708" s="348"/>
      <c r="C708" s="348"/>
      <c r="D708" s="348"/>
      <c r="E708" s="348"/>
      <c r="F708" s="348"/>
      <c r="G708" s="348"/>
      <c r="H708" s="348" t="s">
        <v>5117</v>
      </c>
      <c r="I708" s="348"/>
    </row>
    <row r="709">
      <c r="A709" s="348"/>
      <c r="B709" s="348"/>
      <c r="C709" s="348"/>
      <c r="D709" s="348"/>
      <c r="E709" s="348"/>
      <c r="F709" s="348"/>
      <c r="G709" s="348"/>
      <c r="H709" s="348" t="s">
        <v>5117</v>
      </c>
      <c r="I709" s="348"/>
    </row>
    <row r="710">
      <c r="A710" s="348"/>
      <c r="B710" s="348"/>
      <c r="C710" s="348"/>
      <c r="D710" s="348"/>
      <c r="E710" s="348"/>
      <c r="F710" s="348"/>
      <c r="G710" s="348"/>
      <c r="H710" s="348" t="s">
        <v>5117</v>
      </c>
      <c r="I710" s="348"/>
    </row>
    <row r="711">
      <c r="A711" s="348"/>
      <c r="B711" s="348"/>
      <c r="C711" s="348"/>
      <c r="D711" s="348"/>
      <c r="E711" s="348"/>
      <c r="F711" s="348"/>
      <c r="G711" s="348"/>
      <c r="H711" s="348" t="s">
        <v>5117</v>
      </c>
      <c r="I711" s="348"/>
    </row>
    <row r="712">
      <c r="A712" s="348"/>
      <c r="B712" s="348"/>
      <c r="C712" s="348"/>
      <c r="D712" s="348"/>
      <c r="E712" s="348"/>
      <c r="F712" s="348"/>
      <c r="G712" s="348"/>
      <c r="H712" s="348" t="s">
        <v>5117</v>
      </c>
      <c r="I712" s="348"/>
    </row>
    <row r="713">
      <c r="A713" s="348"/>
      <c r="B713" s="348"/>
      <c r="C713" s="348"/>
      <c r="D713" s="348"/>
      <c r="E713" s="348"/>
      <c r="F713" s="348"/>
      <c r="G713" s="348"/>
      <c r="H713" s="348" t="s">
        <v>5117</v>
      </c>
      <c r="I713" s="348"/>
    </row>
    <row r="714">
      <c r="A714" s="348"/>
      <c r="B714" s="348"/>
      <c r="C714" s="348"/>
      <c r="D714" s="348"/>
      <c r="E714" s="348"/>
      <c r="F714" s="348"/>
      <c r="G714" s="348"/>
      <c r="H714" s="348" t="s">
        <v>5117</v>
      </c>
      <c r="I714" s="348"/>
    </row>
    <row r="715">
      <c r="A715" s="348"/>
      <c r="B715" s="348"/>
      <c r="C715" s="348"/>
      <c r="D715" s="348"/>
      <c r="E715" s="348"/>
      <c r="F715" s="348"/>
      <c r="G715" s="348"/>
      <c r="H715" s="348" t="s">
        <v>5117</v>
      </c>
      <c r="I715" s="348"/>
    </row>
    <row r="716">
      <c r="A716" s="348"/>
      <c r="B716" s="348"/>
      <c r="C716" s="348"/>
      <c r="D716" s="348"/>
      <c r="E716" s="348"/>
      <c r="F716" s="348"/>
      <c r="G716" s="348"/>
      <c r="H716" s="348" t="s">
        <v>5117</v>
      </c>
      <c r="I716" s="348"/>
    </row>
    <row r="717">
      <c r="A717" s="348"/>
      <c r="B717" s="348"/>
      <c r="C717" s="348"/>
      <c r="D717" s="348"/>
      <c r="E717" s="348"/>
      <c r="F717" s="348"/>
      <c r="G717" s="348"/>
      <c r="H717" s="348" t="s">
        <v>5117</v>
      </c>
      <c r="I717" s="348"/>
    </row>
    <row r="718">
      <c r="A718" s="348"/>
      <c r="B718" s="348"/>
      <c r="C718" s="348"/>
      <c r="D718" s="348"/>
      <c r="E718" s="348"/>
      <c r="F718" s="348"/>
      <c r="G718" s="348"/>
      <c r="H718" s="348" t="s">
        <v>5117</v>
      </c>
      <c r="I718" s="348"/>
    </row>
    <row r="719">
      <c r="A719" s="348"/>
      <c r="B719" s="348"/>
      <c r="C719" s="348"/>
      <c r="D719" s="348"/>
      <c r="E719" s="348"/>
      <c r="F719" s="348"/>
      <c r="G719" s="348"/>
      <c r="H719" s="348" t="s">
        <v>5117</v>
      </c>
      <c r="I719" s="348"/>
    </row>
    <row r="720">
      <c r="A720" s="348"/>
      <c r="B720" s="348"/>
      <c r="C720" s="348"/>
      <c r="D720" s="348"/>
      <c r="E720" s="348"/>
      <c r="F720" s="348"/>
      <c r="G720" s="348"/>
      <c r="H720" s="348" t="s">
        <v>5117</v>
      </c>
      <c r="I720" s="348"/>
    </row>
    <row r="721">
      <c r="A721" s="348"/>
      <c r="B721" s="348"/>
      <c r="C721" s="348"/>
      <c r="D721" s="348"/>
      <c r="E721" s="348"/>
      <c r="F721" s="348"/>
      <c r="G721" s="348"/>
      <c r="H721" s="348" t="s">
        <v>5117</v>
      </c>
      <c r="I721" s="348"/>
    </row>
    <row r="722">
      <c r="A722" s="348"/>
      <c r="B722" s="348"/>
      <c r="C722" s="348"/>
      <c r="D722" s="348"/>
      <c r="E722" s="348"/>
      <c r="F722" s="348"/>
      <c r="G722" s="348"/>
      <c r="H722" s="348" t="s">
        <v>5117</v>
      </c>
      <c r="I722" s="348"/>
    </row>
    <row r="723">
      <c r="A723" s="348"/>
      <c r="B723" s="348"/>
      <c r="C723" s="348"/>
      <c r="D723" s="348"/>
      <c r="E723" s="348"/>
      <c r="F723" s="348"/>
      <c r="G723" s="348"/>
      <c r="H723" s="348" t="s">
        <v>5117</v>
      </c>
      <c r="I723" s="348"/>
    </row>
    <row r="724">
      <c r="A724" s="348"/>
      <c r="B724" s="348"/>
      <c r="C724" s="348"/>
      <c r="D724" s="348"/>
      <c r="E724" s="348"/>
      <c r="F724" s="348"/>
      <c r="G724" s="348"/>
      <c r="H724" s="348" t="s">
        <v>5117</v>
      </c>
      <c r="I724" s="348"/>
    </row>
    <row r="725">
      <c r="A725" s="348"/>
      <c r="B725" s="348"/>
      <c r="C725" s="348"/>
      <c r="D725" s="348"/>
      <c r="E725" s="348"/>
      <c r="F725" s="348"/>
      <c r="G725" s="348"/>
      <c r="H725" s="348" t="s">
        <v>5117</v>
      </c>
      <c r="I725" s="348"/>
    </row>
    <row r="726">
      <c r="A726" s="348"/>
      <c r="B726" s="348"/>
      <c r="C726" s="348"/>
      <c r="D726" s="348"/>
      <c r="E726" s="348"/>
      <c r="F726" s="348"/>
      <c r="G726" s="348"/>
      <c r="H726" s="348" t="s">
        <v>5117</v>
      </c>
      <c r="I726" s="348"/>
    </row>
    <row r="727">
      <c r="A727" s="348"/>
      <c r="B727" s="348"/>
      <c r="C727" s="348"/>
      <c r="D727" s="348"/>
      <c r="E727" s="348"/>
      <c r="F727" s="348"/>
      <c r="G727" s="348"/>
      <c r="H727" s="348" t="s">
        <v>5117</v>
      </c>
      <c r="I727" s="348"/>
    </row>
    <row r="728">
      <c r="A728" s="348"/>
      <c r="B728" s="348"/>
      <c r="C728" s="348"/>
      <c r="D728" s="348"/>
      <c r="E728" s="348"/>
      <c r="F728" s="348"/>
      <c r="G728" s="348"/>
      <c r="H728" s="348" t="s">
        <v>5117</v>
      </c>
      <c r="I728" s="348"/>
    </row>
    <row r="729">
      <c r="A729" s="348"/>
      <c r="B729" s="348"/>
      <c r="C729" s="348"/>
      <c r="D729" s="348"/>
      <c r="E729" s="348"/>
      <c r="F729" s="348"/>
      <c r="G729" s="348"/>
      <c r="H729" s="348" t="s">
        <v>5117</v>
      </c>
      <c r="I729" s="348"/>
    </row>
    <row r="730">
      <c r="A730" s="348"/>
      <c r="B730" s="348"/>
      <c r="C730" s="348"/>
      <c r="D730" s="348"/>
      <c r="E730" s="348"/>
      <c r="F730" s="348"/>
      <c r="G730" s="348"/>
      <c r="H730" s="348" t="s">
        <v>5117</v>
      </c>
      <c r="I730" s="348"/>
    </row>
    <row r="731">
      <c r="A731" s="348"/>
      <c r="B731" s="348"/>
      <c r="C731" s="348"/>
      <c r="D731" s="348"/>
      <c r="E731" s="348"/>
      <c r="F731" s="348"/>
      <c r="G731" s="348"/>
      <c r="H731" s="348" t="s">
        <v>5117</v>
      </c>
      <c r="I731" s="348"/>
    </row>
    <row r="732">
      <c r="A732" s="348"/>
      <c r="B732" s="348"/>
      <c r="C732" s="348"/>
      <c r="D732" s="348"/>
      <c r="E732" s="348"/>
      <c r="F732" s="348"/>
      <c r="G732" s="348"/>
      <c r="H732" s="348" t="s">
        <v>5117</v>
      </c>
      <c r="I732" s="348"/>
    </row>
    <row r="733">
      <c r="A733" s="348"/>
      <c r="B733" s="348"/>
      <c r="C733" s="348"/>
      <c r="D733" s="348"/>
      <c r="E733" s="348"/>
      <c r="F733" s="348"/>
      <c r="G733" s="348"/>
      <c r="H733" s="348" t="s">
        <v>5117</v>
      </c>
      <c r="I733" s="348"/>
    </row>
    <row r="734">
      <c r="A734" s="348"/>
      <c r="B734" s="348"/>
      <c r="C734" s="348"/>
      <c r="D734" s="348"/>
      <c r="E734" s="348"/>
      <c r="F734" s="348"/>
      <c r="G734" s="348"/>
      <c r="H734" s="348" t="s">
        <v>5117</v>
      </c>
      <c r="I734" s="348"/>
    </row>
    <row r="735">
      <c r="A735" s="348"/>
      <c r="B735" s="348"/>
      <c r="C735" s="348"/>
      <c r="D735" s="348"/>
      <c r="E735" s="348"/>
      <c r="F735" s="348"/>
      <c r="G735" s="348"/>
      <c r="H735" s="348" t="s">
        <v>5117</v>
      </c>
      <c r="I735" s="348"/>
    </row>
    <row r="736">
      <c r="A736" s="348"/>
      <c r="B736" s="348"/>
      <c r="C736" s="348"/>
      <c r="D736" s="348"/>
      <c r="E736" s="348"/>
      <c r="F736" s="348"/>
      <c r="G736" s="348"/>
      <c r="H736" s="348" t="s">
        <v>5117</v>
      </c>
      <c r="I736" s="348"/>
    </row>
    <row r="737">
      <c r="A737" s="348"/>
      <c r="B737" s="348"/>
      <c r="C737" s="348"/>
      <c r="D737" s="348"/>
      <c r="E737" s="348"/>
      <c r="F737" s="348"/>
      <c r="G737" s="348"/>
      <c r="H737" s="348" t="s">
        <v>5117</v>
      </c>
      <c r="I737" s="348"/>
    </row>
    <row r="738">
      <c r="A738" s="348"/>
      <c r="B738" s="348"/>
      <c r="C738" s="348"/>
      <c r="D738" s="348"/>
      <c r="E738" s="348"/>
      <c r="F738" s="348"/>
      <c r="G738" s="348"/>
      <c r="H738" s="348" t="s">
        <v>5117</v>
      </c>
      <c r="I738" s="348"/>
    </row>
    <row r="739">
      <c r="A739" s="348"/>
      <c r="B739" s="348"/>
      <c r="C739" s="348"/>
      <c r="D739" s="348"/>
      <c r="E739" s="348"/>
      <c r="F739" s="348"/>
      <c r="G739" s="348"/>
      <c r="H739" s="348" t="s">
        <v>5117</v>
      </c>
      <c r="I739" s="348"/>
    </row>
    <row r="740">
      <c r="A740" s="348"/>
      <c r="B740" s="348"/>
      <c r="C740" s="348"/>
      <c r="D740" s="348"/>
      <c r="E740" s="348"/>
      <c r="F740" s="348"/>
      <c r="G740" s="348"/>
      <c r="H740" s="348" t="s">
        <v>5117</v>
      </c>
      <c r="I740" s="348"/>
    </row>
    <row r="741">
      <c r="A741" s="348"/>
      <c r="B741" s="348"/>
      <c r="C741" s="348"/>
      <c r="D741" s="348"/>
      <c r="E741" s="348"/>
      <c r="F741" s="348"/>
      <c r="G741" s="348"/>
      <c r="H741" s="348" t="s">
        <v>5117</v>
      </c>
      <c r="I741" s="348"/>
    </row>
    <row r="742">
      <c r="A742" s="348"/>
      <c r="B742" s="348"/>
      <c r="C742" s="348"/>
      <c r="D742" s="348"/>
      <c r="E742" s="348"/>
      <c r="F742" s="348"/>
      <c r="G742" s="348"/>
      <c r="H742" s="348" t="s">
        <v>5117</v>
      </c>
      <c r="I742" s="348"/>
    </row>
    <row r="743">
      <c r="A743" s="348"/>
      <c r="B743" s="348"/>
      <c r="C743" s="348"/>
      <c r="D743" s="348"/>
      <c r="E743" s="348"/>
      <c r="F743" s="348"/>
      <c r="G743" s="348"/>
      <c r="H743" s="348" t="s">
        <v>5117</v>
      </c>
      <c r="I743" s="348"/>
    </row>
    <row r="744">
      <c r="A744" s="348"/>
      <c r="B744" s="348"/>
      <c r="C744" s="348"/>
      <c r="D744" s="348"/>
      <c r="E744" s="348"/>
      <c r="F744" s="348"/>
      <c r="G744" s="348"/>
      <c r="H744" s="348" t="s">
        <v>5117</v>
      </c>
      <c r="I744" s="348"/>
    </row>
    <row r="745">
      <c r="A745" s="348"/>
      <c r="B745" s="348"/>
      <c r="C745" s="348"/>
      <c r="D745" s="348"/>
      <c r="E745" s="348"/>
      <c r="F745" s="348"/>
      <c r="G745" s="348"/>
      <c r="H745" s="348" t="s">
        <v>5117</v>
      </c>
      <c r="I745" s="348"/>
    </row>
    <row r="746">
      <c r="A746" s="348"/>
      <c r="B746" s="348"/>
      <c r="C746" s="348"/>
      <c r="D746" s="348"/>
      <c r="E746" s="348"/>
      <c r="F746" s="348"/>
      <c r="G746" s="348"/>
      <c r="H746" s="348" t="s">
        <v>5117</v>
      </c>
      <c r="I746" s="348"/>
    </row>
    <row r="747">
      <c r="A747" s="348"/>
      <c r="B747" s="348"/>
      <c r="C747" s="348"/>
      <c r="D747" s="348"/>
      <c r="E747" s="348"/>
      <c r="F747" s="348"/>
      <c r="G747" s="348"/>
      <c r="H747" s="348" t="s">
        <v>5117</v>
      </c>
      <c r="I747" s="348"/>
    </row>
    <row r="748">
      <c r="A748" s="348"/>
      <c r="B748" s="348"/>
      <c r="C748" s="348"/>
      <c r="D748" s="348"/>
      <c r="E748" s="348"/>
      <c r="F748" s="348"/>
      <c r="G748" s="348"/>
      <c r="H748" s="348" t="s">
        <v>5117</v>
      </c>
      <c r="I748" s="348"/>
    </row>
    <row r="749">
      <c r="A749" s="348"/>
      <c r="B749" s="348"/>
      <c r="C749" s="348"/>
      <c r="D749" s="348"/>
      <c r="E749" s="348"/>
      <c r="F749" s="348"/>
      <c r="G749" s="348"/>
      <c r="H749" s="348" t="s">
        <v>5117</v>
      </c>
      <c r="I749" s="348"/>
    </row>
    <row r="750">
      <c r="A750" s="348"/>
      <c r="B750" s="348"/>
      <c r="C750" s="348"/>
      <c r="D750" s="348"/>
      <c r="E750" s="348"/>
      <c r="F750" s="348"/>
      <c r="G750" s="348"/>
      <c r="H750" s="348" t="s">
        <v>5117</v>
      </c>
      <c r="I750" s="348"/>
    </row>
    <row r="751">
      <c r="A751" s="348"/>
      <c r="B751" s="348"/>
      <c r="C751" s="348"/>
      <c r="D751" s="348"/>
      <c r="E751" s="348"/>
      <c r="F751" s="348"/>
      <c r="G751" s="348"/>
      <c r="H751" s="348" t="s">
        <v>5117</v>
      </c>
      <c r="I751" s="348"/>
    </row>
    <row r="752">
      <c r="A752" s="348"/>
      <c r="B752" s="348"/>
      <c r="C752" s="348"/>
      <c r="D752" s="348"/>
      <c r="E752" s="348"/>
      <c r="F752" s="348"/>
      <c r="G752" s="348"/>
      <c r="H752" s="348" t="s">
        <v>5117</v>
      </c>
      <c r="I752" s="348"/>
    </row>
    <row r="753">
      <c r="A753" s="348"/>
      <c r="B753" s="348"/>
      <c r="C753" s="348"/>
      <c r="D753" s="348"/>
      <c r="E753" s="348"/>
      <c r="F753" s="348"/>
      <c r="G753" s="348"/>
      <c r="H753" s="348" t="s">
        <v>5117</v>
      </c>
      <c r="I753" s="348"/>
    </row>
    <row r="754">
      <c r="A754" s="348"/>
      <c r="B754" s="348"/>
      <c r="C754" s="348"/>
      <c r="D754" s="348"/>
      <c r="E754" s="348"/>
      <c r="F754" s="348"/>
      <c r="G754" s="348"/>
      <c r="H754" s="348" t="s">
        <v>5117</v>
      </c>
      <c r="I754" s="348"/>
    </row>
    <row r="755">
      <c r="A755" s="348"/>
      <c r="B755" s="348"/>
      <c r="C755" s="348"/>
      <c r="D755" s="348"/>
      <c r="E755" s="348"/>
      <c r="F755" s="348"/>
      <c r="G755" s="348"/>
      <c r="H755" s="348" t="s">
        <v>5117</v>
      </c>
      <c r="I755" s="348"/>
    </row>
    <row r="756">
      <c r="A756" s="348"/>
      <c r="B756" s="348"/>
      <c r="C756" s="348"/>
      <c r="D756" s="348"/>
      <c r="E756" s="348"/>
      <c r="F756" s="348"/>
      <c r="G756" s="348"/>
      <c r="H756" s="348" t="s">
        <v>5117</v>
      </c>
      <c r="I756" s="348"/>
    </row>
    <row r="757">
      <c r="A757" s="348"/>
      <c r="B757" s="348"/>
      <c r="C757" s="348"/>
      <c r="D757" s="348"/>
      <c r="E757" s="348"/>
      <c r="F757" s="348"/>
      <c r="G757" s="348"/>
      <c r="H757" s="348" t="s">
        <v>5117</v>
      </c>
      <c r="I757" s="348"/>
    </row>
    <row r="758">
      <c r="A758" s="348"/>
      <c r="B758" s="348"/>
      <c r="C758" s="348"/>
      <c r="D758" s="348"/>
      <c r="E758" s="348"/>
      <c r="F758" s="348"/>
      <c r="G758" s="348"/>
      <c r="H758" s="348" t="s">
        <v>5117</v>
      </c>
      <c r="I758" s="348"/>
    </row>
    <row r="759">
      <c r="A759" s="348"/>
      <c r="B759" s="348"/>
      <c r="C759" s="348"/>
      <c r="D759" s="348"/>
      <c r="E759" s="348"/>
      <c r="F759" s="348"/>
      <c r="G759" s="348"/>
      <c r="H759" s="348" t="s">
        <v>5117</v>
      </c>
      <c r="I759" s="348"/>
    </row>
    <row r="760">
      <c r="A760" s="348"/>
      <c r="B760" s="348"/>
      <c r="C760" s="348"/>
      <c r="D760" s="348"/>
      <c r="E760" s="348"/>
      <c r="F760" s="348"/>
      <c r="G760" s="348"/>
      <c r="H760" s="348" t="s">
        <v>5117</v>
      </c>
      <c r="I760" s="348"/>
    </row>
    <row r="761">
      <c r="A761" s="348"/>
      <c r="B761" s="348"/>
      <c r="C761" s="348"/>
      <c r="D761" s="348"/>
      <c r="E761" s="348"/>
      <c r="F761" s="348"/>
      <c r="G761" s="348"/>
      <c r="H761" s="348" t="s">
        <v>5117</v>
      </c>
      <c r="I761" s="348"/>
    </row>
    <row r="762">
      <c r="A762" s="348"/>
      <c r="B762" s="348"/>
      <c r="C762" s="348"/>
      <c r="D762" s="348"/>
      <c r="E762" s="348"/>
      <c r="F762" s="348"/>
      <c r="G762" s="348"/>
      <c r="H762" s="348" t="s">
        <v>5117</v>
      </c>
      <c r="I762" s="348"/>
    </row>
    <row r="763">
      <c r="A763" s="348"/>
      <c r="B763" s="348"/>
      <c r="C763" s="348"/>
      <c r="D763" s="348"/>
      <c r="E763" s="348"/>
      <c r="F763" s="348"/>
      <c r="G763" s="348"/>
      <c r="H763" s="348" t="s">
        <v>5117</v>
      </c>
      <c r="I763" s="348"/>
    </row>
    <row r="764">
      <c r="A764" s="348"/>
      <c r="B764" s="348"/>
      <c r="C764" s="348"/>
      <c r="D764" s="348"/>
      <c r="E764" s="348"/>
      <c r="F764" s="348"/>
      <c r="G764" s="348"/>
      <c r="H764" s="348" t="s">
        <v>5117</v>
      </c>
      <c r="I764" s="348"/>
    </row>
    <row r="765">
      <c r="A765" s="348"/>
      <c r="B765" s="348"/>
      <c r="C765" s="348"/>
      <c r="D765" s="348"/>
      <c r="E765" s="348"/>
      <c r="F765" s="348"/>
      <c r="G765" s="348"/>
      <c r="H765" s="348" t="s">
        <v>5117</v>
      </c>
      <c r="I765" s="348"/>
    </row>
    <row r="766">
      <c r="A766" s="348"/>
      <c r="B766" s="348"/>
      <c r="C766" s="348"/>
      <c r="D766" s="348"/>
      <c r="E766" s="348"/>
      <c r="F766" s="348"/>
      <c r="G766" s="348"/>
      <c r="H766" s="348" t="s">
        <v>5117</v>
      </c>
      <c r="I766" s="348"/>
    </row>
    <row r="767">
      <c r="A767" s="348"/>
      <c r="B767" s="348"/>
      <c r="C767" s="348"/>
      <c r="D767" s="348"/>
      <c r="E767" s="348"/>
      <c r="F767" s="348"/>
      <c r="G767" s="348"/>
      <c r="H767" s="348" t="s">
        <v>5117</v>
      </c>
      <c r="I767" s="348"/>
    </row>
    <row r="768">
      <c r="A768" s="348"/>
      <c r="B768" s="348"/>
      <c r="C768" s="348"/>
      <c r="D768" s="348"/>
      <c r="E768" s="348"/>
      <c r="F768" s="348"/>
      <c r="G768" s="348"/>
      <c r="H768" s="348" t="s">
        <v>5117</v>
      </c>
      <c r="I768" s="348"/>
    </row>
    <row r="769">
      <c r="A769" s="348"/>
      <c r="B769" s="348"/>
      <c r="C769" s="348"/>
      <c r="D769" s="348"/>
      <c r="E769" s="348"/>
      <c r="F769" s="348"/>
      <c r="G769" s="348"/>
      <c r="H769" s="348" t="s">
        <v>5117</v>
      </c>
      <c r="I769" s="348"/>
    </row>
    <row r="770">
      <c r="A770" s="348"/>
      <c r="B770" s="348"/>
      <c r="C770" s="348"/>
      <c r="D770" s="348"/>
      <c r="E770" s="348"/>
      <c r="F770" s="348"/>
      <c r="G770" s="348"/>
      <c r="H770" s="348" t="s">
        <v>5117</v>
      </c>
      <c r="I770" s="348"/>
    </row>
    <row r="771">
      <c r="A771" s="348"/>
      <c r="B771" s="348"/>
      <c r="C771" s="348"/>
      <c r="D771" s="348"/>
      <c r="E771" s="348"/>
      <c r="F771" s="348"/>
      <c r="G771" s="348"/>
      <c r="H771" s="348" t="s">
        <v>5117</v>
      </c>
      <c r="I771" s="348"/>
    </row>
    <row r="772">
      <c r="A772" s="348"/>
      <c r="B772" s="348"/>
      <c r="C772" s="348"/>
      <c r="D772" s="348"/>
      <c r="E772" s="348"/>
      <c r="F772" s="348"/>
      <c r="G772" s="348"/>
      <c r="H772" s="348" t="s">
        <v>5117</v>
      </c>
      <c r="I772" s="348"/>
    </row>
    <row r="773">
      <c r="A773" s="348"/>
      <c r="B773" s="348"/>
      <c r="C773" s="348"/>
      <c r="D773" s="348"/>
      <c r="E773" s="348"/>
      <c r="F773" s="348"/>
      <c r="G773" s="348"/>
      <c r="H773" s="348" t="s">
        <v>5117</v>
      </c>
      <c r="I773" s="348"/>
    </row>
    <row r="774">
      <c r="A774" s="348"/>
      <c r="B774" s="348"/>
      <c r="C774" s="348"/>
      <c r="D774" s="348"/>
      <c r="E774" s="348"/>
      <c r="F774" s="348"/>
      <c r="G774" s="348"/>
      <c r="H774" s="348" t="s">
        <v>5117</v>
      </c>
      <c r="I774" s="348"/>
    </row>
    <row r="775">
      <c r="A775" s="348"/>
      <c r="B775" s="348"/>
      <c r="C775" s="348"/>
      <c r="D775" s="348"/>
      <c r="E775" s="348"/>
      <c r="F775" s="348"/>
      <c r="G775" s="348"/>
      <c r="H775" s="348" t="s">
        <v>5117</v>
      </c>
      <c r="I775" s="348"/>
    </row>
    <row r="776">
      <c r="A776" s="348"/>
      <c r="B776" s="348"/>
      <c r="C776" s="348"/>
      <c r="D776" s="348"/>
      <c r="E776" s="348"/>
      <c r="F776" s="348"/>
      <c r="G776" s="348"/>
      <c r="H776" s="348" t="s">
        <v>5117</v>
      </c>
      <c r="I776" s="348"/>
    </row>
    <row r="777">
      <c r="A777" s="348"/>
      <c r="B777" s="348"/>
      <c r="C777" s="348"/>
      <c r="D777" s="348"/>
      <c r="E777" s="348"/>
      <c r="F777" s="348"/>
      <c r="G777" s="348"/>
      <c r="H777" s="348" t="s">
        <v>5117</v>
      </c>
      <c r="I777" s="348"/>
    </row>
    <row r="778">
      <c r="A778" s="348"/>
      <c r="B778" s="348"/>
      <c r="C778" s="348"/>
      <c r="D778" s="348"/>
      <c r="E778" s="348"/>
      <c r="F778" s="348"/>
      <c r="G778" s="348"/>
      <c r="H778" s="348" t="s">
        <v>5117</v>
      </c>
      <c r="I778" s="348"/>
    </row>
    <row r="779">
      <c r="A779" s="348"/>
      <c r="B779" s="348"/>
      <c r="C779" s="348"/>
      <c r="D779" s="348"/>
      <c r="E779" s="348"/>
      <c r="F779" s="348"/>
      <c r="G779" s="348"/>
      <c r="H779" s="348" t="s">
        <v>5117</v>
      </c>
      <c r="I779" s="348"/>
    </row>
    <row r="780">
      <c r="A780" s="348"/>
      <c r="B780" s="348"/>
      <c r="C780" s="348"/>
      <c r="D780" s="348"/>
      <c r="E780" s="348"/>
      <c r="F780" s="348"/>
      <c r="G780" s="348"/>
      <c r="H780" s="348" t="s">
        <v>5117</v>
      </c>
      <c r="I780" s="348"/>
    </row>
    <row r="781">
      <c r="A781" s="348"/>
      <c r="B781" s="348"/>
      <c r="C781" s="348"/>
      <c r="D781" s="348"/>
      <c r="E781" s="348"/>
      <c r="F781" s="348"/>
      <c r="G781" s="348"/>
      <c r="H781" s="348" t="s">
        <v>5117</v>
      </c>
      <c r="I781" s="348"/>
    </row>
    <row r="782">
      <c r="A782" s="348"/>
      <c r="B782" s="348"/>
      <c r="C782" s="348"/>
      <c r="D782" s="348"/>
      <c r="E782" s="348"/>
      <c r="F782" s="348"/>
      <c r="G782" s="348"/>
      <c r="H782" s="348" t="s">
        <v>5117</v>
      </c>
      <c r="I782" s="348"/>
    </row>
    <row r="783">
      <c r="A783" s="348"/>
      <c r="B783" s="348"/>
      <c r="C783" s="348"/>
      <c r="D783" s="348"/>
      <c r="E783" s="348"/>
      <c r="F783" s="348"/>
      <c r="G783" s="348"/>
      <c r="H783" s="348" t="s">
        <v>5117</v>
      </c>
      <c r="I783" s="348"/>
    </row>
    <row r="784">
      <c r="A784" s="348"/>
      <c r="B784" s="348"/>
      <c r="C784" s="348"/>
      <c r="D784" s="348"/>
      <c r="E784" s="348"/>
      <c r="F784" s="348"/>
      <c r="G784" s="348"/>
      <c r="H784" s="348" t="s">
        <v>5117</v>
      </c>
      <c r="I784" s="348"/>
    </row>
    <row r="785">
      <c r="A785" s="348"/>
      <c r="B785" s="348"/>
      <c r="C785" s="348"/>
      <c r="D785" s="348"/>
      <c r="E785" s="348"/>
      <c r="F785" s="348"/>
      <c r="G785" s="348"/>
      <c r="H785" s="348" t="s">
        <v>5117</v>
      </c>
      <c r="I785" s="348"/>
    </row>
    <row r="786">
      <c r="A786" s="348"/>
      <c r="B786" s="348"/>
      <c r="C786" s="348"/>
      <c r="D786" s="348"/>
      <c r="E786" s="348"/>
      <c r="F786" s="348"/>
      <c r="G786" s="348"/>
      <c r="H786" s="348" t="s">
        <v>5117</v>
      </c>
      <c r="I786" s="348"/>
    </row>
    <row r="787">
      <c r="A787" s="348"/>
      <c r="B787" s="348"/>
      <c r="C787" s="348"/>
      <c r="D787" s="348"/>
      <c r="E787" s="348"/>
      <c r="F787" s="348"/>
      <c r="G787" s="348"/>
      <c r="H787" s="348" t="s">
        <v>5117</v>
      </c>
      <c r="I787" s="348"/>
    </row>
    <row r="788">
      <c r="A788" s="348"/>
      <c r="B788" s="348"/>
      <c r="C788" s="348"/>
      <c r="D788" s="348"/>
      <c r="E788" s="348"/>
      <c r="F788" s="348"/>
      <c r="G788" s="348"/>
      <c r="H788" s="348" t="s">
        <v>5117</v>
      </c>
      <c r="I788" s="348"/>
    </row>
    <row r="789">
      <c r="A789" s="348"/>
      <c r="B789" s="348"/>
      <c r="C789" s="348"/>
      <c r="D789" s="348"/>
      <c r="E789" s="348"/>
      <c r="F789" s="348"/>
      <c r="G789" s="348"/>
      <c r="H789" s="348" t="s">
        <v>5117</v>
      </c>
      <c r="I789" s="348"/>
    </row>
    <row r="790">
      <c r="A790" s="348"/>
      <c r="B790" s="348"/>
      <c r="C790" s="348"/>
      <c r="D790" s="348"/>
      <c r="E790" s="348"/>
      <c r="F790" s="348"/>
      <c r="G790" s="348"/>
      <c r="H790" s="348" t="s">
        <v>5117</v>
      </c>
      <c r="I790" s="348"/>
    </row>
    <row r="791">
      <c r="A791" s="348"/>
      <c r="B791" s="348"/>
      <c r="C791" s="348"/>
      <c r="D791" s="348"/>
      <c r="E791" s="348"/>
      <c r="F791" s="348"/>
      <c r="G791" s="348"/>
      <c r="H791" s="348" t="s">
        <v>5117</v>
      </c>
      <c r="I791" s="348"/>
    </row>
    <row r="792">
      <c r="A792" s="348"/>
      <c r="B792" s="348"/>
      <c r="C792" s="348"/>
      <c r="D792" s="348"/>
      <c r="E792" s="348"/>
      <c r="F792" s="348"/>
      <c r="G792" s="348"/>
      <c r="H792" s="348" t="s">
        <v>5117</v>
      </c>
      <c r="I792" s="348"/>
    </row>
    <row r="793">
      <c r="A793" s="348"/>
      <c r="B793" s="348"/>
      <c r="C793" s="348"/>
      <c r="D793" s="348"/>
      <c r="E793" s="348"/>
      <c r="F793" s="348"/>
      <c r="G793" s="348"/>
      <c r="H793" s="348" t="s">
        <v>5117</v>
      </c>
      <c r="I793" s="348"/>
    </row>
    <row r="794">
      <c r="A794" s="348"/>
      <c r="B794" s="348"/>
      <c r="C794" s="348"/>
      <c r="D794" s="348"/>
      <c r="E794" s="348"/>
      <c r="F794" s="348"/>
      <c r="G794" s="348"/>
      <c r="H794" s="348" t="s">
        <v>5117</v>
      </c>
      <c r="I794" s="348"/>
    </row>
    <row r="795">
      <c r="A795" s="348"/>
      <c r="B795" s="348"/>
      <c r="C795" s="348"/>
      <c r="D795" s="348"/>
      <c r="E795" s="348"/>
      <c r="F795" s="348"/>
      <c r="G795" s="348"/>
      <c r="H795" s="348" t="s">
        <v>5117</v>
      </c>
      <c r="I795" s="348"/>
    </row>
    <row r="796">
      <c r="A796" s="348"/>
      <c r="B796" s="348"/>
      <c r="C796" s="348"/>
      <c r="D796" s="348"/>
      <c r="E796" s="348"/>
      <c r="F796" s="348"/>
      <c r="G796" s="348"/>
      <c r="H796" s="348" t="s">
        <v>5117</v>
      </c>
      <c r="I796" s="348"/>
    </row>
    <row r="797">
      <c r="A797" s="348"/>
      <c r="B797" s="348"/>
      <c r="C797" s="348"/>
      <c r="D797" s="348"/>
      <c r="E797" s="348"/>
      <c r="F797" s="348"/>
      <c r="G797" s="348"/>
      <c r="H797" s="348" t="s">
        <v>5117</v>
      </c>
      <c r="I797" s="348"/>
    </row>
    <row r="798">
      <c r="A798" s="348"/>
      <c r="B798" s="348"/>
      <c r="C798" s="348"/>
      <c r="D798" s="348"/>
      <c r="E798" s="348"/>
      <c r="F798" s="348"/>
      <c r="G798" s="348"/>
      <c r="H798" s="348" t="s">
        <v>5117</v>
      </c>
      <c r="I798" s="348"/>
    </row>
    <row r="799">
      <c r="A799" s="348"/>
      <c r="B799" s="348"/>
      <c r="C799" s="348"/>
      <c r="D799" s="348"/>
      <c r="E799" s="348"/>
      <c r="F799" s="348"/>
      <c r="G799" s="348"/>
      <c r="H799" s="348" t="s">
        <v>5117</v>
      </c>
      <c r="I799" s="348"/>
    </row>
    <row r="800">
      <c r="A800" s="348"/>
      <c r="B800" s="348"/>
      <c r="C800" s="348"/>
      <c r="D800" s="348"/>
      <c r="E800" s="348"/>
      <c r="F800" s="348"/>
      <c r="G800" s="348"/>
      <c r="H800" s="348" t="s">
        <v>5117</v>
      </c>
      <c r="I800" s="348"/>
    </row>
    <row r="801">
      <c r="A801" s="348"/>
      <c r="B801" s="348"/>
      <c r="C801" s="348"/>
      <c r="D801" s="348"/>
      <c r="E801" s="348"/>
      <c r="F801" s="348"/>
      <c r="G801" s="348"/>
      <c r="H801" s="348" t="s">
        <v>5117</v>
      </c>
      <c r="I801" s="348"/>
    </row>
    <row r="802">
      <c r="A802" s="348"/>
      <c r="B802" s="348"/>
      <c r="C802" s="348"/>
      <c r="D802" s="348"/>
      <c r="E802" s="348"/>
      <c r="F802" s="348"/>
      <c r="G802" s="348"/>
      <c r="H802" s="348" t="s">
        <v>5117</v>
      </c>
      <c r="I802" s="348"/>
    </row>
    <row r="803">
      <c r="A803" s="348"/>
      <c r="B803" s="348"/>
      <c r="C803" s="348"/>
      <c r="D803" s="348"/>
      <c r="E803" s="348"/>
      <c r="F803" s="348"/>
      <c r="G803" s="348"/>
      <c r="H803" s="348" t="s">
        <v>5117</v>
      </c>
      <c r="I803" s="348"/>
    </row>
    <row r="804">
      <c r="A804" s="348"/>
      <c r="B804" s="348"/>
      <c r="C804" s="348"/>
      <c r="D804" s="348"/>
      <c r="E804" s="348"/>
      <c r="F804" s="348"/>
      <c r="G804" s="348"/>
      <c r="H804" s="348" t="s">
        <v>5117</v>
      </c>
      <c r="I804" s="348"/>
    </row>
    <row r="805">
      <c r="A805" s="348"/>
      <c r="B805" s="348"/>
      <c r="C805" s="348"/>
      <c r="D805" s="348"/>
      <c r="E805" s="348"/>
      <c r="F805" s="348"/>
      <c r="G805" s="348"/>
      <c r="H805" s="348" t="s">
        <v>5117</v>
      </c>
      <c r="I805" s="348"/>
    </row>
    <row r="806">
      <c r="A806" s="348"/>
      <c r="B806" s="348"/>
      <c r="C806" s="348"/>
      <c r="D806" s="348"/>
      <c r="E806" s="348"/>
      <c r="F806" s="348"/>
      <c r="G806" s="348"/>
      <c r="H806" s="348" t="s">
        <v>5117</v>
      </c>
      <c r="I806" s="348"/>
    </row>
    <row r="807">
      <c r="A807" s="348"/>
      <c r="B807" s="348"/>
      <c r="C807" s="348"/>
      <c r="D807" s="348"/>
      <c r="E807" s="348"/>
      <c r="F807" s="348"/>
      <c r="G807" s="348"/>
      <c r="H807" s="348" t="s">
        <v>5117</v>
      </c>
      <c r="I807" s="348"/>
    </row>
    <row r="808">
      <c r="A808" s="348"/>
      <c r="B808" s="348"/>
      <c r="C808" s="348"/>
      <c r="D808" s="348"/>
      <c r="E808" s="348"/>
      <c r="F808" s="348"/>
      <c r="G808" s="348"/>
      <c r="H808" s="348" t="s">
        <v>5117</v>
      </c>
      <c r="I808" s="348"/>
    </row>
    <row r="809">
      <c r="A809" s="348"/>
      <c r="B809" s="348"/>
      <c r="C809" s="348"/>
      <c r="D809" s="348"/>
      <c r="E809" s="348"/>
      <c r="F809" s="348"/>
      <c r="G809" s="348"/>
      <c r="H809" s="348" t="s">
        <v>5117</v>
      </c>
      <c r="I809" s="348"/>
    </row>
    <row r="810">
      <c r="A810" s="348"/>
      <c r="B810" s="348"/>
      <c r="C810" s="348"/>
      <c r="D810" s="348"/>
      <c r="E810" s="348"/>
      <c r="F810" s="348"/>
      <c r="G810" s="348"/>
      <c r="H810" s="348" t="s">
        <v>5117</v>
      </c>
      <c r="I810" s="348"/>
    </row>
    <row r="811">
      <c r="A811" s="348"/>
      <c r="B811" s="348"/>
      <c r="C811" s="348"/>
      <c r="D811" s="348"/>
      <c r="E811" s="348"/>
      <c r="F811" s="348"/>
      <c r="G811" s="348"/>
      <c r="H811" s="348" t="s">
        <v>5117</v>
      </c>
      <c r="I811" s="348"/>
    </row>
    <row r="812">
      <c r="A812" s="348"/>
      <c r="B812" s="348"/>
      <c r="C812" s="348"/>
      <c r="D812" s="348"/>
      <c r="E812" s="348"/>
      <c r="F812" s="348"/>
      <c r="G812" s="348"/>
      <c r="H812" s="348" t="s">
        <v>5117</v>
      </c>
      <c r="I812" s="348"/>
    </row>
    <row r="813">
      <c r="A813" s="348"/>
      <c r="B813" s="348"/>
      <c r="C813" s="348"/>
      <c r="D813" s="348"/>
      <c r="E813" s="348"/>
      <c r="F813" s="348"/>
      <c r="G813" s="348"/>
      <c r="H813" s="348" t="s">
        <v>5117</v>
      </c>
      <c r="I813" s="348"/>
    </row>
    <row r="814">
      <c r="A814" s="348"/>
      <c r="B814" s="348"/>
      <c r="C814" s="348"/>
      <c r="D814" s="348"/>
      <c r="E814" s="348"/>
      <c r="F814" s="348"/>
      <c r="G814" s="348"/>
      <c r="H814" s="348" t="s">
        <v>5117</v>
      </c>
      <c r="I814" s="348"/>
    </row>
    <row r="815">
      <c r="A815" s="348"/>
      <c r="B815" s="348"/>
      <c r="C815" s="348"/>
      <c r="D815" s="348"/>
      <c r="E815" s="348"/>
      <c r="F815" s="348"/>
      <c r="G815" s="348"/>
      <c r="H815" s="348" t="s">
        <v>5117</v>
      </c>
      <c r="I815" s="348"/>
    </row>
    <row r="816">
      <c r="A816" s="348"/>
      <c r="B816" s="348"/>
      <c r="C816" s="348"/>
      <c r="D816" s="348"/>
      <c r="E816" s="348"/>
      <c r="F816" s="348"/>
      <c r="G816" s="348"/>
      <c r="H816" s="348" t="s">
        <v>5117</v>
      </c>
      <c r="I816" s="348"/>
    </row>
    <row r="817">
      <c r="A817" s="348"/>
      <c r="B817" s="348"/>
      <c r="C817" s="348"/>
      <c r="D817" s="348"/>
      <c r="E817" s="348"/>
      <c r="F817" s="348"/>
      <c r="G817" s="348"/>
      <c r="H817" s="348" t="s">
        <v>5117</v>
      </c>
      <c r="I817" s="348"/>
    </row>
    <row r="818">
      <c r="A818" s="348"/>
      <c r="B818" s="348"/>
      <c r="C818" s="348"/>
      <c r="D818" s="348"/>
      <c r="E818" s="348"/>
      <c r="F818" s="348"/>
      <c r="G818" s="348"/>
      <c r="H818" s="348" t="s">
        <v>5117</v>
      </c>
      <c r="I818" s="348"/>
    </row>
    <row r="819">
      <c r="A819" s="348"/>
      <c r="B819" s="348"/>
      <c r="C819" s="348"/>
      <c r="D819" s="348"/>
      <c r="E819" s="348"/>
      <c r="F819" s="348"/>
      <c r="G819" s="348"/>
      <c r="H819" s="348" t="s">
        <v>5117</v>
      </c>
      <c r="I819" s="348"/>
    </row>
    <row r="820">
      <c r="A820" s="348"/>
      <c r="B820" s="348"/>
      <c r="C820" s="348"/>
      <c r="D820" s="348"/>
      <c r="E820" s="348"/>
      <c r="F820" s="348"/>
      <c r="G820" s="348"/>
      <c r="H820" s="348" t="s">
        <v>5117</v>
      </c>
      <c r="I820" s="348"/>
    </row>
    <row r="821">
      <c r="A821" s="348"/>
      <c r="B821" s="348"/>
      <c r="C821" s="348"/>
      <c r="D821" s="348"/>
      <c r="E821" s="348"/>
      <c r="F821" s="348"/>
      <c r="G821" s="348"/>
      <c r="H821" s="348" t="s">
        <v>5117</v>
      </c>
      <c r="I821" s="348"/>
    </row>
    <row r="822">
      <c r="A822" s="348"/>
      <c r="B822" s="348"/>
      <c r="C822" s="348"/>
      <c r="D822" s="348"/>
      <c r="E822" s="348"/>
      <c r="F822" s="348"/>
      <c r="G822" s="348"/>
      <c r="H822" s="348" t="s">
        <v>5117</v>
      </c>
      <c r="I822" s="348"/>
    </row>
    <row r="823">
      <c r="A823" s="348"/>
      <c r="B823" s="348"/>
      <c r="C823" s="348"/>
      <c r="D823" s="348"/>
      <c r="E823" s="348"/>
      <c r="F823" s="348"/>
      <c r="G823" s="348"/>
      <c r="H823" s="348" t="s">
        <v>5117</v>
      </c>
      <c r="I823" s="348"/>
    </row>
    <row r="824">
      <c r="A824" s="348"/>
      <c r="B824" s="348"/>
      <c r="C824" s="348"/>
      <c r="D824" s="348"/>
      <c r="E824" s="348"/>
      <c r="F824" s="348"/>
      <c r="G824" s="348"/>
      <c r="H824" s="348" t="s">
        <v>5117</v>
      </c>
      <c r="I824" s="348"/>
    </row>
    <row r="825">
      <c r="A825" s="348"/>
      <c r="B825" s="348"/>
      <c r="C825" s="348"/>
      <c r="D825" s="348"/>
      <c r="E825" s="348"/>
      <c r="F825" s="348"/>
      <c r="G825" s="348"/>
      <c r="H825" s="348" t="s">
        <v>5117</v>
      </c>
      <c r="I825" s="348"/>
    </row>
    <row r="826">
      <c r="A826" s="348"/>
      <c r="B826" s="348"/>
      <c r="C826" s="348"/>
      <c r="D826" s="348"/>
      <c r="E826" s="348"/>
      <c r="F826" s="348"/>
      <c r="G826" s="348"/>
      <c r="H826" s="348" t="s">
        <v>5117</v>
      </c>
      <c r="I826" s="348"/>
    </row>
    <row r="827">
      <c r="A827" s="348"/>
      <c r="B827" s="348"/>
      <c r="C827" s="348"/>
      <c r="D827" s="348"/>
      <c r="E827" s="348"/>
      <c r="F827" s="348"/>
      <c r="G827" s="348"/>
      <c r="H827" s="348" t="s">
        <v>5117</v>
      </c>
      <c r="I827" s="348"/>
    </row>
    <row r="828">
      <c r="A828" s="348"/>
      <c r="B828" s="348"/>
      <c r="C828" s="348"/>
      <c r="D828" s="348"/>
      <c r="E828" s="348"/>
      <c r="F828" s="348"/>
      <c r="G828" s="348"/>
      <c r="H828" s="348" t="s">
        <v>5117</v>
      </c>
      <c r="I828" s="348"/>
    </row>
    <row r="829">
      <c r="A829" s="348"/>
      <c r="B829" s="348"/>
      <c r="C829" s="348"/>
      <c r="D829" s="348"/>
      <c r="E829" s="348"/>
      <c r="F829" s="348"/>
      <c r="G829" s="348"/>
      <c r="H829" s="348" t="s">
        <v>5117</v>
      </c>
      <c r="I829" s="348"/>
    </row>
    <row r="830">
      <c r="A830" s="348"/>
      <c r="B830" s="348"/>
      <c r="C830" s="348"/>
      <c r="D830" s="348"/>
      <c r="E830" s="348"/>
      <c r="F830" s="348"/>
      <c r="G830" s="348"/>
      <c r="H830" s="348" t="s">
        <v>5117</v>
      </c>
      <c r="I830" s="348"/>
    </row>
    <row r="831">
      <c r="A831" s="348"/>
      <c r="B831" s="348"/>
      <c r="C831" s="348"/>
      <c r="D831" s="348"/>
      <c r="E831" s="348"/>
      <c r="F831" s="348"/>
      <c r="G831" s="348"/>
      <c r="H831" s="348" t="s">
        <v>5117</v>
      </c>
      <c r="I831" s="348"/>
    </row>
    <row r="832">
      <c r="A832" s="348"/>
      <c r="B832" s="348"/>
      <c r="C832" s="348"/>
      <c r="D832" s="348"/>
      <c r="E832" s="348"/>
      <c r="F832" s="348"/>
      <c r="G832" s="348"/>
      <c r="H832" s="348" t="s">
        <v>5117</v>
      </c>
      <c r="I832" s="348"/>
    </row>
    <row r="833">
      <c r="A833" s="348"/>
      <c r="B833" s="348"/>
      <c r="C833" s="348"/>
      <c r="D833" s="348"/>
      <c r="E833" s="348"/>
      <c r="F833" s="348"/>
      <c r="G833" s="348"/>
      <c r="H833" s="348" t="s">
        <v>5117</v>
      </c>
      <c r="I833" s="348"/>
    </row>
    <row r="834">
      <c r="A834" s="348"/>
      <c r="B834" s="348"/>
      <c r="C834" s="348"/>
      <c r="D834" s="348"/>
      <c r="E834" s="348"/>
      <c r="F834" s="348"/>
      <c r="G834" s="348"/>
      <c r="H834" s="348" t="s">
        <v>5117</v>
      </c>
      <c r="I834" s="348"/>
    </row>
    <row r="835">
      <c r="A835" s="348"/>
      <c r="B835" s="348"/>
      <c r="C835" s="348"/>
      <c r="D835" s="348"/>
      <c r="E835" s="348"/>
      <c r="F835" s="348"/>
      <c r="G835" s="348"/>
      <c r="H835" s="348" t="s">
        <v>5117</v>
      </c>
      <c r="I835" s="348"/>
    </row>
    <row r="836">
      <c r="A836" s="348"/>
      <c r="B836" s="348"/>
      <c r="C836" s="348"/>
      <c r="D836" s="348"/>
      <c r="E836" s="348"/>
      <c r="F836" s="348"/>
      <c r="G836" s="348"/>
      <c r="H836" s="348" t="s">
        <v>5117</v>
      </c>
      <c r="I836" s="348"/>
    </row>
    <row r="837">
      <c r="A837" s="348"/>
      <c r="B837" s="348"/>
      <c r="C837" s="348"/>
      <c r="D837" s="348"/>
      <c r="E837" s="348"/>
      <c r="F837" s="348"/>
      <c r="G837" s="348"/>
      <c r="H837" s="348" t="s">
        <v>5117</v>
      </c>
      <c r="I837" s="348"/>
    </row>
    <row r="838">
      <c r="A838" s="348"/>
      <c r="B838" s="348"/>
      <c r="C838" s="348"/>
      <c r="D838" s="348"/>
      <c r="E838" s="348"/>
      <c r="F838" s="348"/>
      <c r="G838" s="348"/>
      <c r="H838" s="348" t="s">
        <v>5117</v>
      </c>
      <c r="I838" s="348"/>
    </row>
    <row r="839">
      <c r="A839" s="348"/>
      <c r="B839" s="348"/>
      <c r="C839" s="348"/>
      <c r="D839" s="348"/>
      <c r="E839" s="348"/>
      <c r="F839" s="348"/>
      <c r="G839" s="348"/>
      <c r="H839" s="348" t="s">
        <v>5117</v>
      </c>
      <c r="I839" s="348"/>
    </row>
    <row r="840">
      <c r="A840" s="348"/>
      <c r="B840" s="348"/>
      <c r="C840" s="348"/>
      <c r="D840" s="348"/>
      <c r="E840" s="348"/>
      <c r="F840" s="348"/>
      <c r="G840" s="348"/>
      <c r="H840" s="348" t="s">
        <v>5117</v>
      </c>
      <c r="I840" s="348"/>
    </row>
    <row r="841">
      <c r="A841" s="348"/>
      <c r="B841" s="348"/>
      <c r="C841" s="348"/>
      <c r="D841" s="348"/>
      <c r="E841" s="348"/>
      <c r="F841" s="348"/>
      <c r="G841" s="348"/>
      <c r="H841" s="348" t="s">
        <v>5117</v>
      </c>
      <c r="I841" s="348"/>
    </row>
    <row r="842">
      <c r="A842" s="348"/>
      <c r="B842" s="348"/>
      <c r="C842" s="348"/>
      <c r="D842" s="348"/>
      <c r="E842" s="348"/>
      <c r="F842" s="348"/>
      <c r="G842" s="348"/>
      <c r="H842" s="348" t="s">
        <v>5117</v>
      </c>
      <c r="I842" s="348"/>
    </row>
    <row r="843">
      <c r="A843" s="348"/>
      <c r="B843" s="348"/>
      <c r="C843" s="348"/>
      <c r="D843" s="348"/>
      <c r="E843" s="348"/>
      <c r="F843" s="348"/>
      <c r="G843" s="348"/>
      <c r="H843" s="348" t="s">
        <v>5117</v>
      </c>
      <c r="I843" s="348"/>
    </row>
    <row r="844">
      <c r="A844" s="348"/>
      <c r="B844" s="348"/>
      <c r="C844" s="348"/>
      <c r="D844" s="348"/>
      <c r="E844" s="348"/>
      <c r="F844" s="348"/>
      <c r="G844" s="348"/>
      <c r="H844" s="348" t="s">
        <v>5117</v>
      </c>
      <c r="I844" s="348"/>
    </row>
    <row r="845">
      <c r="A845" s="348"/>
      <c r="B845" s="348"/>
      <c r="C845" s="348"/>
      <c r="D845" s="348"/>
      <c r="E845" s="348"/>
      <c r="F845" s="348"/>
      <c r="G845" s="348"/>
      <c r="H845" s="348" t="s">
        <v>5117</v>
      </c>
      <c r="I845" s="348"/>
    </row>
    <row r="846">
      <c r="A846" s="348"/>
      <c r="B846" s="348"/>
      <c r="C846" s="348"/>
      <c r="D846" s="348"/>
      <c r="E846" s="348"/>
      <c r="F846" s="348"/>
      <c r="G846" s="348"/>
      <c r="H846" s="348" t="s">
        <v>5117</v>
      </c>
      <c r="I846" s="348"/>
    </row>
    <row r="847">
      <c r="A847" s="348"/>
      <c r="B847" s="348"/>
      <c r="C847" s="348"/>
      <c r="D847" s="348"/>
      <c r="E847" s="348"/>
      <c r="F847" s="348"/>
      <c r="G847" s="348"/>
      <c r="H847" s="348" t="s">
        <v>5117</v>
      </c>
      <c r="I847" s="348"/>
    </row>
    <row r="848">
      <c r="A848" s="348"/>
      <c r="B848" s="348"/>
      <c r="C848" s="348"/>
      <c r="D848" s="348"/>
      <c r="E848" s="348"/>
      <c r="F848" s="348"/>
      <c r="G848" s="348"/>
      <c r="H848" s="348" t="s">
        <v>5117</v>
      </c>
      <c r="I848" s="348"/>
    </row>
    <row r="849">
      <c r="A849" s="348"/>
      <c r="B849" s="348"/>
      <c r="C849" s="348"/>
      <c r="D849" s="348"/>
      <c r="E849" s="348"/>
      <c r="F849" s="348"/>
      <c r="G849" s="348"/>
      <c r="H849" s="348" t="s">
        <v>5117</v>
      </c>
      <c r="I849" s="348"/>
    </row>
    <row r="850">
      <c r="A850" s="348"/>
      <c r="B850" s="348"/>
      <c r="C850" s="348"/>
      <c r="D850" s="348"/>
      <c r="E850" s="348"/>
      <c r="F850" s="348"/>
      <c r="G850" s="348"/>
      <c r="H850" s="348" t="s">
        <v>5117</v>
      </c>
      <c r="I850" s="348"/>
    </row>
    <row r="851">
      <c r="A851" s="348"/>
      <c r="B851" s="348"/>
      <c r="C851" s="348"/>
      <c r="D851" s="348"/>
      <c r="E851" s="348"/>
      <c r="F851" s="348"/>
      <c r="G851" s="348"/>
      <c r="H851" s="348" t="s">
        <v>5117</v>
      </c>
      <c r="I851" s="348"/>
    </row>
    <row r="852">
      <c r="A852" s="348"/>
      <c r="B852" s="348"/>
      <c r="C852" s="348"/>
      <c r="D852" s="348"/>
      <c r="E852" s="348"/>
      <c r="F852" s="348"/>
      <c r="G852" s="348"/>
      <c r="H852" s="348" t="s">
        <v>5117</v>
      </c>
      <c r="I852" s="348"/>
    </row>
    <row r="853">
      <c r="A853" s="348"/>
      <c r="B853" s="348"/>
      <c r="C853" s="348"/>
      <c r="D853" s="348"/>
      <c r="E853" s="348"/>
      <c r="F853" s="348"/>
      <c r="G853" s="348"/>
      <c r="H853" s="348" t="s">
        <v>5117</v>
      </c>
      <c r="I853" s="348"/>
    </row>
    <row r="854">
      <c r="A854" s="348"/>
      <c r="B854" s="348"/>
      <c r="C854" s="348"/>
      <c r="D854" s="348"/>
      <c r="E854" s="348"/>
      <c r="F854" s="348"/>
      <c r="G854" s="348"/>
      <c r="H854" s="348" t="s">
        <v>5117</v>
      </c>
      <c r="I854" s="348"/>
    </row>
    <row r="855">
      <c r="A855" s="348"/>
      <c r="B855" s="348"/>
      <c r="C855" s="348"/>
      <c r="D855" s="348"/>
      <c r="E855" s="348"/>
      <c r="F855" s="348"/>
      <c r="G855" s="348"/>
      <c r="H855" s="348" t="s">
        <v>5117</v>
      </c>
      <c r="I855" s="348"/>
    </row>
    <row r="856">
      <c r="A856" s="348"/>
      <c r="B856" s="348"/>
      <c r="C856" s="348"/>
      <c r="D856" s="348"/>
      <c r="E856" s="348"/>
      <c r="F856" s="348"/>
      <c r="G856" s="348"/>
      <c r="H856" s="348" t="s">
        <v>5117</v>
      </c>
      <c r="I856" s="348"/>
    </row>
    <row r="857">
      <c r="A857" s="348"/>
      <c r="B857" s="348"/>
      <c r="C857" s="348"/>
      <c r="D857" s="348"/>
      <c r="E857" s="348"/>
      <c r="F857" s="348"/>
      <c r="G857" s="348"/>
      <c r="H857" s="348" t="s">
        <v>5117</v>
      </c>
      <c r="I857" s="348"/>
    </row>
    <row r="858">
      <c r="A858" s="348"/>
      <c r="B858" s="348"/>
      <c r="C858" s="348"/>
      <c r="D858" s="348"/>
      <c r="E858" s="348"/>
      <c r="F858" s="348"/>
      <c r="G858" s="348"/>
      <c r="H858" s="348" t="s">
        <v>5117</v>
      </c>
      <c r="I858" s="348"/>
    </row>
    <row r="859">
      <c r="A859" s="348"/>
      <c r="B859" s="348"/>
      <c r="C859" s="348"/>
      <c r="D859" s="348"/>
      <c r="E859" s="348"/>
      <c r="F859" s="348"/>
      <c r="G859" s="348"/>
      <c r="H859" s="348" t="s">
        <v>5117</v>
      </c>
      <c r="I859" s="348"/>
    </row>
    <row r="860">
      <c r="A860" s="348"/>
      <c r="B860" s="348"/>
      <c r="C860" s="348"/>
      <c r="D860" s="348"/>
      <c r="E860" s="348"/>
      <c r="F860" s="348"/>
      <c r="G860" s="348"/>
      <c r="H860" s="348" t="s">
        <v>5117</v>
      </c>
      <c r="I860" s="348"/>
    </row>
    <row r="861">
      <c r="A861" s="348"/>
      <c r="B861" s="348"/>
      <c r="C861" s="348"/>
      <c r="D861" s="348"/>
      <c r="E861" s="348"/>
      <c r="F861" s="348"/>
      <c r="G861" s="348"/>
      <c r="H861" s="348" t="s">
        <v>5117</v>
      </c>
      <c r="I861" s="348"/>
    </row>
    <row r="862">
      <c r="A862" s="348"/>
      <c r="B862" s="348"/>
      <c r="C862" s="348"/>
      <c r="D862" s="348"/>
      <c r="E862" s="348"/>
      <c r="F862" s="348"/>
      <c r="G862" s="348"/>
      <c r="H862" s="348" t="s">
        <v>5117</v>
      </c>
      <c r="I862" s="348"/>
    </row>
    <row r="863">
      <c r="A863" s="348"/>
      <c r="B863" s="348"/>
      <c r="C863" s="348"/>
      <c r="D863" s="348"/>
      <c r="E863" s="348"/>
      <c r="F863" s="348"/>
      <c r="G863" s="348"/>
      <c r="H863" s="348" t="s">
        <v>5117</v>
      </c>
      <c r="I863" s="348"/>
    </row>
    <row r="864">
      <c r="A864" s="348"/>
      <c r="B864" s="348"/>
      <c r="C864" s="348"/>
      <c r="D864" s="348"/>
      <c r="E864" s="348"/>
      <c r="F864" s="348"/>
      <c r="G864" s="348"/>
      <c r="H864" s="348" t="s">
        <v>5117</v>
      </c>
      <c r="I864" s="348"/>
    </row>
    <row r="865">
      <c r="A865" s="348"/>
      <c r="B865" s="348"/>
      <c r="C865" s="348"/>
      <c r="D865" s="348"/>
      <c r="E865" s="348"/>
      <c r="F865" s="348"/>
      <c r="G865" s="348"/>
      <c r="H865" s="348" t="s">
        <v>5117</v>
      </c>
      <c r="I865" s="348"/>
    </row>
    <row r="866">
      <c r="A866" s="348"/>
      <c r="B866" s="348"/>
      <c r="C866" s="348"/>
      <c r="D866" s="348"/>
      <c r="E866" s="348"/>
      <c r="F866" s="348"/>
      <c r="G866" s="348"/>
      <c r="H866" s="348" t="s">
        <v>5117</v>
      </c>
      <c r="I866" s="348"/>
    </row>
    <row r="867">
      <c r="A867" s="348"/>
      <c r="B867" s="348"/>
      <c r="C867" s="348"/>
      <c r="D867" s="348"/>
      <c r="E867" s="348"/>
      <c r="F867" s="348"/>
      <c r="G867" s="348"/>
      <c r="H867" s="348" t="s">
        <v>5117</v>
      </c>
      <c r="I867" s="348"/>
    </row>
    <row r="868">
      <c r="A868" s="348"/>
      <c r="B868" s="348"/>
      <c r="C868" s="348"/>
      <c r="D868" s="348"/>
      <c r="E868" s="348"/>
      <c r="F868" s="348"/>
      <c r="G868" s="348"/>
      <c r="H868" s="348" t="s">
        <v>5117</v>
      </c>
      <c r="I868" s="348"/>
    </row>
    <row r="869">
      <c r="A869" s="348"/>
      <c r="B869" s="348"/>
      <c r="C869" s="348"/>
      <c r="D869" s="348"/>
      <c r="E869" s="348"/>
      <c r="F869" s="348"/>
      <c r="G869" s="348"/>
      <c r="H869" s="348" t="s">
        <v>5117</v>
      </c>
      <c r="I869" s="348"/>
    </row>
    <row r="870">
      <c r="A870" s="348"/>
      <c r="B870" s="348"/>
      <c r="C870" s="348"/>
      <c r="D870" s="348"/>
      <c r="E870" s="348"/>
      <c r="F870" s="348"/>
      <c r="G870" s="348"/>
      <c r="H870" s="348" t="s">
        <v>5117</v>
      </c>
      <c r="I870" s="348"/>
    </row>
    <row r="871">
      <c r="A871" s="348"/>
      <c r="B871" s="348"/>
      <c r="C871" s="348"/>
      <c r="D871" s="348"/>
      <c r="E871" s="348"/>
      <c r="F871" s="348"/>
      <c r="G871" s="348"/>
      <c r="H871" s="348" t="s">
        <v>5117</v>
      </c>
      <c r="I871" s="348"/>
    </row>
    <row r="872">
      <c r="A872" s="348"/>
      <c r="B872" s="348"/>
      <c r="C872" s="348"/>
      <c r="D872" s="348"/>
      <c r="E872" s="348"/>
      <c r="F872" s="348"/>
      <c r="G872" s="348"/>
      <c r="H872" s="348" t="s">
        <v>5117</v>
      </c>
      <c r="I872" s="348"/>
    </row>
    <row r="873">
      <c r="A873" s="348"/>
      <c r="B873" s="348"/>
      <c r="C873" s="348"/>
      <c r="D873" s="348"/>
      <c r="E873" s="348"/>
      <c r="F873" s="348"/>
      <c r="G873" s="348"/>
      <c r="H873" s="348" t="s">
        <v>5117</v>
      </c>
      <c r="I873" s="348"/>
    </row>
    <row r="874">
      <c r="A874" s="348"/>
      <c r="B874" s="348"/>
      <c r="C874" s="348"/>
      <c r="D874" s="348"/>
      <c r="E874" s="348"/>
      <c r="F874" s="348"/>
      <c r="G874" s="348"/>
      <c r="H874" s="348" t="s">
        <v>5117</v>
      </c>
      <c r="I874" s="348"/>
    </row>
    <row r="875">
      <c r="A875" s="348"/>
      <c r="B875" s="348"/>
      <c r="C875" s="348"/>
      <c r="D875" s="348"/>
      <c r="E875" s="348"/>
      <c r="F875" s="348"/>
      <c r="G875" s="348"/>
      <c r="H875" s="348" t="s">
        <v>5117</v>
      </c>
      <c r="I875" s="348"/>
    </row>
    <row r="876">
      <c r="A876" s="348"/>
      <c r="B876" s="348"/>
      <c r="C876" s="348"/>
      <c r="D876" s="348"/>
      <c r="E876" s="348"/>
      <c r="F876" s="348"/>
      <c r="G876" s="348"/>
      <c r="H876" s="348" t="s">
        <v>5117</v>
      </c>
      <c r="I876" s="348"/>
    </row>
    <row r="877">
      <c r="A877" s="348"/>
      <c r="B877" s="348"/>
      <c r="C877" s="348"/>
      <c r="D877" s="348"/>
      <c r="E877" s="348"/>
      <c r="F877" s="348"/>
      <c r="G877" s="348"/>
      <c r="H877" s="348" t="s">
        <v>5117</v>
      </c>
      <c r="I877" s="348"/>
    </row>
    <row r="878">
      <c r="A878" s="348"/>
      <c r="B878" s="348"/>
      <c r="C878" s="348"/>
      <c r="D878" s="348"/>
      <c r="E878" s="348"/>
      <c r="F878" s="348"/>
      <c r="G878" s="348"/>
      <c r="H878" s="348" t="s">
        <v>5117</v>
      </c>
      <c r="I878" s="348"/>
    </row>
    <row r="879">
      <c r="A879" s="348"/>
      <c r="B879" s="348"/>
      <c r="C879" s="348"/>
      <c r="D879" s="348"/>
      <c r="E879" s="348"/>
      <c r="F879" s="348"/>
      <c r="G879" s="348"/>
      <c r="H879" s="348" t="s">
        <v>5117</v>
      </c>
      <c r="I879" s="348"/>
    </row>
    <row r="880">
      <c r="A880" s="348"/>
      <c r="B880" s="348"/>
      <c r="C880" s="348"/>
      <c r="D880" s="348"/>
      <c r="E880" s="348"/>
      <c r="F880" s="348"/>
      <c r="G880" s="348"/>
      <c r="H880" s="348" t="s">
        <v>5117</v>
      </c>
      <c r="I880" s="348"/>
    </row>
    <row r="881">
      <c r="A881" s="348"/>
      <c r="B881" s="348"/>
      <c r="C881" s="348"/>
      <c r="D881" s="348"/>
      <c r="E881" s="348"/>
      <c r="F881" s="348"/>
      <c r="G881" s="348"/>
      <c r="H881" s="348" t="s">
        <v>5117</v>
      </c>
      <c r="I881" s="348"/>
    </row>
    <row r="882">
      <c r="A882" s="348"/>
      <c r="B882" s="348"/>
      <c r="C882" s="348"/>
      <c r="D882" s="348"/>
      <c r="E882" s="348"/>
      <c r="F882" s="348"/>
      <c r="G882" s="348"/>
      <c r="H882" s="348" t="s">
        <v>5117</v>
      </c>
      <c r="I882" s="348"/>
    </row>
    <row r="883">
      <c r="A883" s="348"/>
      <c r="B883" s="348"/>
      <c r="C883" s="348"/>
      <c r="D883" s="348"/>
      <c r="E883" s="348"/>
      <c r="F883" s="348"/>
      <c r="G883" s="348"/>
      <c r="H883" s="348" t="s">
        <v>5117</v>
      </c>
      <c r="I883" s="348"/>
    </row>
    <row r="884">
      <c r="A884" s="348"/>
      <c r="B884" s="348"/>
      <c r="C884" s="348"/>
      <c r="D884" s="348"/>
      <c r="E884" s="348"/>
      <c r="F884" s="348"/>
      <c r="G884" s="348"/>
      <c r="H884" s="348" t="s">
        <v>5117</v>
      </c>
      <c r="I884" s="348"/>
    </row>
    <row r="885">
      <c r="A885" s="348"/>
      <c r="B885" s="348"/>
      <c r="C885" s="348"/>
      <c r="D885" s="348"/>
      <c r="E885" s="348"/>
      <c r="F885" s="348"/>
      <c r="G885" s="348"/>
      <c r="H885" s="348" t="s">
        <v>5117</v>
      </c>
      <c r="I885" s="348"/>
    </row>
    <row r="886">
      <c r="A886" s="348"/>
      <c r="B886" s="348"/>
      <c r="C886" s="348"/>
      <c r="D886" s="348"/>
      <c r="E886" s="348"/>
      <c r="F886" s="348"/>
      <c r="G886" s="348"/>
      <c r="H886" s="348" t="s">
        <v>5117</v>
      </c>
      <c r="I886" s="348"/>
    </row>
    <row r="887">
      <c r="A887" s="348"/>
      <c r="B887" s="348"/>
      <c r="C887" s="348"/>
      <c r="D887" s="348"/>
      <c r="E887" s="348"/>
      <c r="F887" s="348"/>
      <c r="G887" s="348"/>
      <c r="H887" s="348" t="s">
        <v>5117</v>
      </c>
      <c r="I887" s="348"/>
    </row>
    <row r="888">
      <c r="A888" s="348"/>
      <c r="B888" s="348"/>
      <c r="C888" s="348"/>
      <c r="D888" s="348"/>
      <c r="E888" s="348"/>
      <c r="F888" s="348"/>
      <c r="G888" s="348"/>
      <c r="H888" s="348" t="s">
        <v>5117</v>
      </c>
      <c r="I888" s="348"/>
    </row>
    <row r="889">
      <c r="A889" s="348"/>
      <c r="B889" s="348"/>
      <c r="C889" s="348"/>
      <c r="D889" s="348"/>
      <c r="E889" s="348"/>
      <c r="F889" s="348"/>
      <c r="G889" s="348"/>
      <c r="H889" s="348" t="s">
        <v>5117</v>
      </c>
      <c r="I889" s="348"/>
    </row>
    <row r="890">
      <c r="A890" s="348"/>
      <c r="B890" s="348"/>
      <c r="C890" s="348"/>
      <c r="D890" s="348"/>
      <c r="E890" s="348"/>
      <c r="F890" s="348"/>
      <c r="G890" s="348"/>
      <c r="H890" s="348" t="s">
        <v>5117</v>
      </c>
      <c r="I890" s="348"/>
    </row>
    <row r="891">
      <c r="A891" s="348"/>
      <c r="B891" s="348"/>
      <c r="C891" s="348"/>
      <c r="D891" s="348"/>
      <c r="E891" s="348"/>
      <c r="F891" s="348"/>
      <c r="G891" s="348"/>
      <c r="H891" s="348" t="s">
        <v>5117</v>
      </c>
      <c r="I891" s="348"/>
    </row>
    <row r="892">
      <c r="A892" s="348"/>
      <c r="B892" s="348"/>
      <c r="C892" s="348"/>
      <c r="D892" s="348"/>
      <c r="E892" s="348"/>
      <c r="F892" s="348"/>
      <c r="G892" s="348"/>
      <c r="H892" s="348" t="s">
        <v>5117</v>
      </c>
      <c r="I892" s="348"/>
    </row>
    <row r="893">
      <c r="A893" s="348"/>
      <c r="B893" s="348"/>
      <c r="C893" s="348"/>
      <c r="D893" s="348"/>
      <c r="E893" s="348"/>
      <c r="F893" s="348"/>
      <c r="G893" s="348"/>
      <c r="H893" s="348" t="s">
        <v>5117</v>
      </c>
      <c r="I893" s="348"/>
    </row>
    <row r="894">
      <c r="A894" s="348"/>
      <c r="B894" s="348"/>
      <c r="C894" s="348"/>
      <c r="D894" s="348"/>
      <c r="E894" s="348"/>
      <c r="F894" s="348"/>
      <c r="G894" s="348"/>
      <c r="H894" s="348" t="s">
        <v>5117</v>
      </c>
      <c r="I894" s="348"/>
    </row>
    <row r="895">
      <c r="A895" s="348"/>
      <c r="B895" s="348"/>
      <c r="C895" s="348"/>
      <c r="D895" s="348"/>
      <c r="E895" s="348"/>
      <c r="F895" s="348"/>
      <c r="G895" s="348"/>
      <c r="H895" s="348" t="s">
        <v>5117</v>
      </c>
      <c r="I895" s="348"/>
    </row>
    <row r="896">
      <c r="A896" s="348"/>
      <c r="B896" s="348"/>
      <c r="C896" s="348"/>
      <c r="D896" s="348"/>
      <c r="E896" s="348"/>
      <c r="F896" s="348"/>
      <c r="G896" s="348"/>
      <c r="H896" s="348" t="s">
        <v>5117</v>
      </c>
      <c r="I896" s="348"/>
    </row>
    <row r="897">
      <c r="A897" s="348"/>
      <c r="B897" s="348"/>
      <c r="C897" s="348"/>
      <c r="D897" s="348"/>
      <c r="E897" s="348"/>
      <c r="F897" s="348"/>
      <c r="G897" s="348"/>
      <c r="H897" s="348" t="s">
        <v>5117</v>
      </c>
      <c r="I897" s="348"/>
    </row>
    <row r="898">
      <c r="A898" s="348"/>
      <c r="B898" s="348"/>
      <c r="C898" s="348"/>
      <c r="D898" s="348"/>
      <c r="E898" s="348"/>
      <c r="F898" s="348"/>
      <c r="G898" s="348"/>
      <c r="H898" s="348" t="s">
        <v>5117</v>
      </c>
      <c r="I898" s="348"/>
    </row>
    <row r="899">
      <c r="A899" s="348"/>
      <c r="B899" s="348"/>
      <c r="C899" s="348"/>
      <c r="D899" s="348"/>
      <c r="E899" s="348"/>
      <c r="F899" s="348"/>
      <c r="G899" s="348"/>
      <c r="H899" s="348" t="s">
        <v>5117</v>
      </c>
      <c r="I899" s="348"/>
    </row>
    <row r="900">
      <c r="A900" s="348"/>
      <c r="B900" s="348"/>
      <c r="C900" s="348"/>
      <c r="D900" s="348"/>
      <c r="E900" s="348"/>
      <c r="F900" s="348"/>
      <c r="G900" s="348"/>
      <c r="H900" s="348" t="s">
        <v>5117</v>
      </c>
      <c r="I900" s="348"/>
    </row>
    <row r="901">
      <c r="A901" s="348"/>
      <c r="B901" s="348"/>
      <c r="C901" s="348"/>
      <c r="D901" s="348"/>
      <c r="E901" s="348"/>
      <c r="F901" s="348"/>
      <c r="G901" s="348"/>
      <c r="H901" s="348" t="s">
        <v>5117</v>
      </c>
      <c r="I901" s="348"/>
    </row>
    <row r="902">
      <c r="A902" s="348"/>
      <c r="B902" s="348"/>
      <c r="C902" s="348"/>
      <c r="D902" s="348"/>
      <c r="E902" s="348"/>
      <c r="F902" s="348"/>
      <c r="G902" s="348"/>
      <c r="H902" s="348" t="s">
        <v>5117</v>
      </c>
      <c r="I902" s="348"/>
    </row>
    <row r="903">
      <c r="A903" s="348"/>
      <c r="B903" s="348"/>
      <c r="C903" s="348"/>
      <c r="D903" s="348"/>
      <c r="E903" s="348"/>
      <c r="F903" s="348"/>
      <c r="G903" s="348"/>
      <c r="H903" s="348" t="s">
        <v>5117</v>
      </c>
      <c r="I903" s="348"/>
    </row>
    <row r="904">
      <c r="A904" s="348"/>
      <c r="B904" s="348"/>
      <c r="C904" s="348"/>
      <c r="D904" s="348"/>
      <c r="E904" s="348"/>
      <c r="F904" s="348"/>
      <c r="G904" s="348"/>
      <c r="H904" s="348" t="s">
        <v>5117</v>
      </c>
      <c r="I904" s="348"/>
    </row>
    <row r="905">
      <c r="A905" s="348"/>
      <c r="B905" s="348"/>
      <c r="C905" s="348"/>
      <c r="D905" s="348"/>
      <c r="E905" s="348"/>
      <c r="F905" s="348"/>
      <c r="G905" s="348"/>
      <c r="H905" s="348" t="s">
        <v>5117</v>
      </c>
      <c r="I905" s="348"/>
    </row>
    <row r="906">
      <c r="A906" s="348"/>
      <c r="B906" s="348"/>
      <c r="C906" s="348"/>
      <c r="D906" s="348"/>
      <c r="E906" s="348"/>
      <c r="F906" s="348"/>
      <c r="G906" s="348"/>
      <c r="H906" s="348" t="s">
        <v>5117</v>
      </c>
      <c r="I906" s="348"/>
    </row>
    <row r="907">
      <c r="A907" s="348"/>
      <c r="B907" s="348"/>
      <c r="C907" s="348"/>
      <c r="D907" s="348"/>
      <c r="E907" s="348"/>
      <c r="F907" s="348"/>
      <c r="G907" s="348"/>
      <c r="H907" s="348" t="s">
        <v>5117</v>
      </c>
      <c r="I907" s="348"/>
    </row>
    <row r="908">
      <c r="A908" s="348"/>
      <c r="B908" s="348"/>
      <c r="C908" s="348"/>
      <c r="D908" s="348"/>
      <c r="E908" s="348"/>
      <c r="F908" s="348"/>
      <c r="G908" s="348"/>
      <c r="H908" s="348" t="s">
        <v>5117</v>
      </c>
      <c r="I908" s="348"/>
    </row>
    <row r="909">
      <c r="A909" s="348"/>
      <c r="B909" s="348"/>
      <c r="C909" s="348"/>
      <c r="D909" s="348"/>
      <c r="E909" s="348"/>
      <c r="F909" s="348"/>
      <c r="G909" s="348"/>
      <c r="H909" s="348" t="s">
        <v>5117</v>
      </c>
      <c r="I909" s="348"/>
    </row>
    <row r="910">
      <c r="A910" s="348"/>
      <c r="B910" s="348"/>
      <c r="C910" s="348"/>
      <c r="D910" s="348"/>
      <c r="E910" s="348"/>
      <c r="F910" s="348"/>
      <c r="G910" s="348"/>
      <c r="H910" s="348" t="s">
        <v>5117</v>
      </c>
      <c r="I910" s="348"/>
    </row>
    <row r="911">
      <c r="A911" s="348"/>
      <c r="B911" s="348"/>
      <c r="C911" s="348"/>
      <c r="D911" s="348"/>
      <c r="E911" s="348"/>
      <c r="F911" s="348"/>
      <c r="G911" s="348"/>
      <c r="H911" s="348" t="s">
        <v>5117</v>
      </c>
      <c r="I911" s="348"/>
    </row>
    <row r="912">
      <c r="A912" s="348"/>
      <c r="B912" s="348"/>
      <c r="C912" s="348"/>
      <c r="D912" s="348"/>
      <c r="E912" s="348"/>
      <c r="F912" s="348"/>
      <c r="G912" s="348"/>
      <c r="H912" s="348" t="s">
        <v>5117</v>
      </c>
      <c r="I912" s="348"/>
    </row>
    <row r="913">
      <c r="A913" s="348"/>
      <c r="B913" s="348"/>
      <c r="C913" s="348"/>
      <c r="D913" s="348"/>
      <c r="E913" s="348"/>
      <c r="F913" s="348"/>
      <c r="G913" s="348"/>
      <c r="H913" s="348" t="s">
        <v>5117</v>
      </c>
      <c r="I913" s="348"/>
    </row>
    <row r="914">
      <c r="A914" s="348"/>
      <c r="B914" s="348"/>
      <c r="C914" s="348"/>
      <c r="D914" s="348"/>
      <c r="E914" s="348"/>
      <c r="F914" s="348"/>
      <c r="G914" s="348"/>
      <c r="H914" s="348" t="s">
        <v>5117</v>
      </c>
      <c r="I914" s="348"/>
    </row>
    <row r="915">
      <c r="A915" s="348"/>
      <c r="B915" s="348"/>
      <c r="C915" s="348"/>
      <c r="D915" s="348"/>
      <c r="E915" s="348"/>
      <c r="F915" s="348"/>
      <c r="G915" s="348"/>
      <c r="H915" s="348" t="s">
        <v>5117</v>
      </c>
      <c r="I915" s="348"/>
    </row>
    <row r="916">
      <c r="A916" s="348"/>
      <c r="B916" s="348"/>
      <c r="C916" s="348"/>
      <c r="D916" s="348"/>
      <c r="E916" s="348"/>
      <c r="F916" s="348"/>
      <c r="G916" s="348"/>
      <c r="H916" s="348" t="s">
        <v>5117</v>
      </c>
      <c r="I916" s="348"/>
    </row>
    <row r="917">
      <c r="A917" s="348"/>
      <c r="B917" s="348"/>
      <c r="C917" s="348"/>
      <c r="D917" s="348"/>
      <c r="E917" s="348"/>
      <c r="F917" s="348"/>
      <c r="G917" s="348"/>
      <c r="H917" s="348" t="s">
        <v>5117</v>
      </c>
      <c r="I917" s="348"/>
    </row>
    <row r="918">
      <c r="A918" s="348"/>
      <c r="B918" s="348"/>
      <c r="C918" s="348"/>
      <c r="D918" s="348"/>
      <c r="E918" s="348"/>
      <c r="F918" s="348"/>
      <c r="G918" s="348"/>
      <c r="H918" s="348" t="s">
        <v>5117</v>
      </c>
      <c r="I918" s="348"/>
    </row>
    <row r="919">
      <c r="A919" s="348"/>
      <c r="B919" s="348"/>
      <c r="C919" s="348"/>
      <c r="D919" s="348"/>
      <c r="E919" s="348"/>
      <c r="F919" s="348"/>
      <c r="G919" s="348"/>
      <c r="H919" s="348" t="s">
        <v>5117</v>
      </c>
      <c r="I919" s="348"/>
    </row>
    <row r="920">
      <c r="A920" s="348"/>
      <c r="B920" s="348"/>
      <c r="C920" s="348"/>
      <c r="D920" s="348"/>
      <c r="E920" s="348"/>
      <c r="F920" s="348"/>
      <c r="G920" s="348"/>
      <c r="H920" s="348" t="s">
        <v>5117</v>
      </c>
      <c r="I920" s="348"/>
    </row>
    <row r="921">
      <c r="A921" s="348"/>
      <c r="B921" s="348"/>
      <c r="C921" s="348"/>
      <c r="D921" s="348"/>
      <c r="E921" s="348"/>
      <c r="F921" s="348"/>
      <c r="G921" s="348"/>
      <c r="H921" s="348" t="s">
        <v>5117</v>
      </c>
      <c r="I921" s="348"/>
    </row>
    <row r="922">
      <c r="A922" s="348"/>
      <c r="B922" s="348"/>
      <c r="C922" s="348"/>
      <c r="D922" s="348"/>
      <c r="E922" s="348"/>
      <c r="F922" s="348"/>
      <c r="G922" s="348"/>
      <c r="H922" s="348" t="s">
        <v>5117</v>
      </c>
      <c r="I922" s="348"/>
    </row>
    <row r="923">
      <c r="A923" s="348"/>
      <c r="B923" s="348"/>
      <c r="C923" s="348"/>
      <c r="D923" s="348"/>
      <c r="E923" s="348"/>
      <c r="F923" s="348"/>
      <c r="G923" s="348"/>
      <c r="H923" s="348" t="s">
        <v>5117</v>
      </c>
      <c r="I923" s="348"/>
    </row>
    <row r="924">
      <c r="A924" s="348"/>
      <c r="B924" s="348"/>
      <c r="C924" s="348"/>
      <c r="D924" s="348"/>
      <c r="E924" s="348"/>
      <c r="F924" s="348"/>
      <c r="G924" s="348"/>
      <c r="H924" s="348" t="s">
        <v>5117</v>
      </c>
      <c r="I924" s="348"/>
    </row>
    <row r="925">
      <c r="A925" s="348"/>
      <c r="B925" s="348"/>
      <c r="C925" s="348"/>
      <c r="D925" s="348"/>
      <c r="E925" s="348"/>
      <c r="F925" s="348"/>
      <c r="G925" s="348"/>
      <c r="H925" s="348" t="s">
        <v>5117</v>
      </c>
      <c r="I925" s="348"/>
    </row>
    <row r="926">
      <c r="A926" s="348"/>
      <c r="B926" s="348"/>
      <c r="C926" s="348"/>
      <c r="D926" s="348"/>
      <c r="E926" s="348"/>
      <c r="F926" s="348"/>
      <c r="G926" s="348"/>
      <c r="H926" s="348" t="s">
        <v>5117</v>
      </c>
      <c r="I926" s="348"/>
    </row>
    <row r="927">
      <c r="A927" s="348"/>
      <c r="B927" s="348"/>
      <c r="C927" s="348"/>
      <c r="D927" s="348"/>
      <c r="E927" s="348"/>
      <c r="F927" s="348"/>
      <c r="G927" s="348"/>
      <c r="H927" s="348" t="s">
        <v>5117</v>
      </c>
      <c r="I927" s="348"/>
    </row>
    <row r="928">
      <c r="A928" s="348"/>
      <c r="B928" s="348"/>
      <c r="C928" s="348"/>
      <c r="D928" s="348"/>
      <c r="E928" s="348"/>
      <c r="F928" s="348"/>
      <c r="G928" s="348"/>
      <c r="H928" s="348" t="s">
        <v>5117</v>
      </c>
      <c r="I928" s="348"/>
    </row>
    <row r="929">
      <c r="A929" s="348"/>
      <c r="B929" s="348"/>
      <c r="C929" s="348"/>
      <c r="D929" s="348"/>
      <c r="E929" s="348"/>
      <c r="F929" s="348"/>
      <c r="G929" s="348"/>
      <c r="H929" s="348" t="s">
        <v>5117</v>
      </c>
      <c r="I929" s="348"/>
    </row>
    <row r="930">
      <c r="A930" s="348"/>
      <c r="B930" s="348"/>
      <c r="C930" s="348"/>
      <c r="D930" s="348"/>
      <c r="E930" s="348"/>
      <c r="F930" s="348"/>
      <c r="G930" s="348"/>
      <c r="H930" s="348" t="s">
        <v>5117</v>
      </c>
      <c r="I930" s="348"/>
    </row>
    <row r="931">
      <c r="A931" s="348"/>
      <c r="B931" s="348"/>
      <c r="C931" s="348"/>
      <c r="D931" s="348"/>
      <c r="E931" s="348"/>
      <c r="F931" s="348"/>
      <c r="G931" s="348"/>
      <c r="H931" s="348" t="s">
        <v>5117</v>
      </c>
      <c r="I931" s="348"/>
    </row>
    <row r="932">
      <c r="A932" s="348"/>
      <c r="B932" s="348"/>
      <c r="C932" s="348"/>
      <c r="D932" s="348"/>
      <c r="E932" s="348"/>
      <c r="F932" s="348"/>
      <c r="G932" s="348"/>
      <c r="H932" s="348" t="s">
        <v>5117</v>
      </c>
      <c r="I932" s="348"/>
    </row>
    <row r="933">
      <c r="A933" s="348"/>
      <c r="B933" s="348"/>
      <c r="C933" s="348"/>
      <c r="D933" s="348"/>
      <c r="E933" s="348"/>
      <c r="F933" s="348"/>
      <c r="G933" s="348"/>
      <c r="H933" s="348" t="s">
        <v>5117</v>
      </c>
      <c r="I933" s="348"/>
    </row>
    <row r="934">
      <c r="A934" s="348"/>
      <c r="B934" s="348"/>
      <c r="C934" s="348"/>
      <c r="D934" s="348"/>
      <c r="E934" s="348"/>
      <c r="F934" s="348"/>
      <c r="G934" s="348"/>
      <c r="H934" s="348" t="s">
        <v>5117</v>
      </c>
      <c r="I934" s="348"/>
    </row>
    <row r="935">
      <c r="A935" s="348"/>
      <c r="B935" s="348"/>
      <c r="C935" s="348"/>
      <c r="D935" s="348"/>
      <c r="E935" s="348"/>
      <c r="F935" s="348"/>
      <c r="G935" s="348"/>
      <c r="H935" s="348" t="s">
        <v>5117</v>
      </c>
      <c r="I935" s="348"/>
    </row>
    <row r="936">
      <c r="A936" s="348"/>
      <c r="B936" s="348"/>
      <c r="C936" s="348"/>
      <c r="D936" s="348"/>
      <c r="E936" s="348"/>
      <c r="F936" s="348"/>
      <c r="G936" s="348"/>
      <c r="H936" s="348" t="s">
        <v>5117</v>
      </c>
      <c r="I936" s="348"/>
    </row>
    <row r="937">
      <c r="A937" s="348"/>
      <c r="B937" s="348"/>
      <c r="C937" s="348"/>
      <c r="D937" s="348"/>
      <c r="E937" s="348"/>
      <c r="F937" s="348"/>
      <c r="G937" s="348"/>
      <c r="H937" s="348" t="s">
        <v>5117</v>
      </c>
      <c r="I937" s="348"/>
    </row>
    <row r="938">
      <c r="A938" s="348"/>
      <c r="B938" s="348"/>
      <c r="C938" s="348"/>
      <c r="D938" s="348"/>
      <c r="E938" s="348"/>
      <c r="F938" s="348"/>
      <c r="G938" s="348"/>
      <c r="H938" s="348" t="s">
        <v>5117</v>
      </c>
      <c r="I938" s="348"/>
    </row>
    <row r="939">
      <c r="A939" s="348"/>
      <c r="B939" s="348"/>
      <c r="C939" s="348"/>
      <c r="D939" s="348"/>
      <c r="E939" s="348"/>
      <c r="F939" s="348"/>
      <c r="G939" s="348"/>
      <c r="H939" s="348" t="s">
        <v>5117</v>
      </c>
      <c r="I939" s="348"/>
    </row>
    <row r="940">
      <c r="A940" s="348"/>
      <c r="B940" s="348"/>
      <c r="C940" s="348"/>
      <c r="D940" s="348"/>
      <c r="E940" s="348"/>
      <c r="F940" s="348"/>
      <c r="G940" s="348"/>
      <c r="H940" s="348" t="s">
        <v>5117</v>
      </c>
      <c r="I940" s="348"/>
    </row>
    <row r="941">
      <c r="A941" s="348"/>
      <c r="B941" s="348"/>
      <c r="C941" s="348"/>
      <c r="D941" s="348"/>
      <c r="E941" s="348"/>
      <c r="F941" s="348"/>
      <c r="G941" s="348"/>
      <c r="H941" s="348" t="s">
        <v>5117</v>
      </c>
      <c r="I941" s="348"/>
    </row>
    <row r="942">
      <c r="A942" s="348"/>
      <c r="B942" s="348"/>
      <c r="C942" s="348"/>
      <c r="D942" s="348"/>
      <c r="E942" s="348"/>
      <c r="F942" s="348"/>
      <c r="G942" s="348"/>
      <c r="H942" s="348" t="s">
        <v>5117</v>
      </c>
      <c r="I942" s="348"/>
    </row>
    <row r="943">
      <c r="A943" s="348"/>
      <c r="B943" s="348"/>
      <c r="C943" s="348"/>
      <c r="D943" s="348"/>
      <c r="E943" s="348"/>
      <c r="F943" s="348"/>
      <c r="G943" s="348"/>
      <c r="H943" s="348" t="s">
        <v>5117</v>
      </c>
      <c r="I943" s="348"/>
    </row>
    <row r="944">
      <c r="A944" s="348"/>
      <c r="B944" s="348"/>
      <c r="C944" s="348"/>
      <c r="D944" s="348"/>
      <c r="E944" s="348"/>
      <c r="F944" s="348"/>
      <c r="G944" s="348"/>
      <c r="H944" s="348" t="s">
        <v>5117</v>
      </c>
      <c r="I944" s="348"/>
    </row>
    <row r="945">
      <c r="A945" s="348"/>
      <c r="B945" s="348"/>
      <c r="C945" s="348"/>
      <c r="D945" s="348"/>
      <c r="E945" s="348"/>
      <c r="F945" s="348"/>
      <c r="G945" s="348"/>
      <c r="H945" s="348" t="s">
        <v>5117</v>
      </c>
      <c r="I945" s="348"/>
    </row>
    <row r="946">
      <c r="A946" s="348"/>
      <c r="B946" s="348"/>
      <c r="C946" s="348"/>
      <c r="D946" s="348"/>
      <c r="E946" s="348"/>
      <c r="F946" s="348"/>
      <c r="G946" s="348"/>
      <c r="H946" s="348" t="s">
        <v>5117</v>
      </c>
      <c r="I946" s="348"/>
    </row>
    <row r="947">
      <c r="A947" s="348"/>
      <c r="B947" s="348"/>
      <c r="C947" s="348"/>
      <c r="D947" s="348"/>
      <c r="E947" s="348"/>
      <c r="F947" s="348"/>
      <c r="G947" s="348"/>
      <c r="H947" s="348" t="s">
        <v>5117</v>
      </c>
      <c r="I947" s="348"/>
    </row>
    <row r="948">
      <c r="A948" s="348"/>
      <c r="B948" s="348"/>
      <c r="C948" s="348"/>
      <c r="D948" s="348"/>
      <c r="E948" s="348"/>
      <c r="F948" s="348"/>
      <c r="G948" s="348"/>
      <c r="H948" s="348" t="s">
        <v>5117</v>
      </c>
      <c r="I948" s="348"/>
    </row>
    <row r="949">
      <c r="A949" s="348"/>
      <c r="B949" s="348"/>
      <c r="C949" s="348"/>
      <c r="D949" s="348"/>
      <c r="E949" s="348"/>
      <c r="F949" s="348"/>
      <c r="G949" s="348"/>
      <c r="H949" s="348" t="s">
        <v>5117</v>
      </c>
      <c r="I949" s="348"/>
    </row>
    <row r="950">
      <c r="A950" s="348"/>
      <c r="B950" s="348"/>
      <c r="C950" s="348"/>
      <c r="D950" s="348"/>
      <c r="E950" s="348"/>
      <c r="F950" s="348"/>
      <c r="G950" s="348"/>
      <c r="H950" s="348" t="s">
        <v>5117</v>
      </c>
      <c r="I950" s="348"/>
    </row>
    <row r="951">
      <c r="A951" s="348"/>
      <c r="B951" s="348"/>
      <c r="C951" s="348"/>
      <c r="D951" s="348"/>
      <c r="E951" s="348"/>
      <c r="F951" s="348"/>
      <c r="G951" s="348"/>
      <c r="H951" s="348" t="s">
        <v>5117</v>
      </c>
      <c r="I951" s="348"/>
    </row>
    <row r="952">
      <c r="A952" s="348"/>
      <c r="B952" s="348"/>
      <c r="C952" s="348"/>
      <c r="D952" s="348"/>
      <c r="E952" s="348"/>
      <c r="F952" s="348"/>
      <c r="G952" s="348"/>
      <c r="H952" s="348" t="s">
        <v>5117</v>
      </c>
      <c r="I952" s="348"/>
    </row>
    <row r="953">
      <c r="A953" s="348"/>
      <c r="B953" s="348"/>
      <c r="C953" s="348"/>
      <c r="D953" s="348"/>
      <c r="E953" s="348"/>
      <c r="F953" s="348"/>
      <c r="G953" s="348"/>
      <c r="H953" s="348" t="s">
        <v>5117</v>
      </c>
      <c r="I953" s="348"/>
    </row>
    <row r="954">
      <c r="A954" s="348"/>
      <c r="B954" s="348"/>
      <c r="C954" s="348"/>
      <c r="D954" s="348"/>
      <c r="E954" s="348"/>
      <c r="F954" s="348"/>
      <c r="G954" s="348"/>
      <c r="H954" s="348" t="s">
        <v>5117</v>
      </c>
      <c r="I954" s="348"/>
    </row>
    <row r="955">
      <c r="A955" s="348"/>
      <c r="B955" s="348"/>
      <c r="C955" s="348"/>
      <c r="D955" s="348"/>
      <c r="E955" s="348"/>
      <c r="F955" s="348"/>
      <c r="G955" s="348"/>
      <c r="H955" s="348" t="s">
        <v>5117</v>
      </c>
      <c r="I955" s="348"/>
    </row>
    <row r="956">
      <c r="A956" s="348"/>
      <c r="B956" s="348"/>
      <c r="C956" s="348"/>
      <c r="D956" s="348"/>
      <c r="E956" s="348"/>
      <c r="F956" s="348"/>
      <c r="G956" s="348"/>
      <c r="H956" s="348" t="s">
        <v>5117</v>
      </c>
      <c r="I956" s="348"/>
    </row>
    <row r="957">
      <c r="A957" s="348"/>
      <c r="B957" s="348"/>
      <c r="C957" s="348"/>
      <c r="D957" s="348"/>
      <c r="E957" s="348"/>
      <c r="F957" s="348"/>
      <c r="G957" s="348"/>
      <c r="H957" s="348" t="s">
        <v>5117</v>
      </c>
      <c r="I957" s="348"/>
    </row>
    <row r="958">
      <c r="A958" s="348"/>
      <c r="B958" s="348"/>
      <c r="C958" s="348"/>
      <c r="D958" s="348"/>
      <c r="E958" s="348"/>
      <c r="F958" s="348"/>
      <c r="G958" s="348"/>
      <c r="H958" s="348" t="s">
        <v>5117</v>
      </c>
      <c r="I958" s="348"/>
    </row>
    <row r="959">
      <c r="A959" s="348"/>
      <c r="B959" s="348"/>
      <c r="C959" s="348"/>
      <c r="D959" s="348"/>
      <c r="E959" s="348"/>
      <c r="F959" s="348"/>
      <c r="G959" s="348"/>
      <c r="H959" s="348" t="s">
        <v>5117</v>
      </c>
      <c r="I959" s="348"/>
    </row>
    <row r="960">
      <c r="A960" s="348"/>
      <c r="B960" s="348"/>
      <c r="C960" s="348"/>
      <c r="D960" s="348"/>
      <c r="E960" s="348"/>
      <c r="F960" s="348"/>
      <c r="G960" s="348"/>
      <c r="H960" s="348" t="s">
        <v>5117</v>
      </c>
      <c r="I960" s="348"/>
    </row>
    <row r="961">
      <c r="A961" s="348"/>
      <c r="B961" s="348"/>
      <c r="C961" s="348"/>
      <c r="D961" s="348"/>
      <c r="E961" s="348"/>
      <c r="F961" s="348"/>
      <c r="G961" s="348"/>
      <c r="H961" s="348" t="s">
        <v>5117</v>
      </c>
      <c r="I961" s="348"/>
    </row>
    <row r="962">
      <c r="A962" s="348"/>
      <c r="B962" s="348"/>
      <c r="C962" s="348"/>
      <c r="D962" s="348"/>
      <c r="E962" s="348"/>
      <c r="F962" s="348"/>
      <c r="G962" s="348"/>
      <c r="H962" s="348" t="s">
        <v>5117</v>
      </c>
      <c r="I962" s="348"/>
    </row>
    <row r="963">
      <c r="A963" s="348"/>
      <c r="B963" s="348"/>
      <c r="C963" s="348"/>
      <c r="D963" s="348"/>
      <c r="E963" s="348"/>
      <c r="F963" s="348"/>
      <c r="G963" s="348"/>
      <c r="H963" s="348" t="s">
        <v>5117</v>
      </c>
      <c r="I963" s="348"/>
    </row>
    <row r="964">
      <c r="A964" s="348"/>
      <c r="B964" s="348"/>
      <c r="C964" s="348"/>
      <c r="D964" s="348"/>
      <c r="E964" s="348"/>
      <c r="F964" s="348"/>
      <c r="G964" s="348"/>
      <c r="H964" s="348" t="s">
        <v>5117</v>
      </c>
      <c r="I964" s="348"/>
    </row>
    <row r="965">
      <c r="A965" s="348"/>
      <c r="B965" s="348"/>
      <c r="C965" s="348"/>
      <c r="D965" s="348"/>
      <c r="E965" s="348"/>
      <c r="F965" s="348"/>
      <c r="G965" s="348"/>
      <c r="H965" s="348" t="s">
        <v>5117</v>
      </c>
      <c r="I965" s="348"/>
    </row>
    <row r="966">
      <c r="A966" s="348"/>
      <c r="B966" s="348"/>
      <c r="C966" s="348"/>
      <c r="D966" s="348"/>
      <c r="E966" s="348"/>
      <c r="F966" s="348"/>
      <c r="G966" s="348"/>
      <c r="H966" s="348" t="s">
        <v>5117</v>
      </c>
      <c r="I966" s="348"/>
    </row>
    <row r="967">
      <c r="A967" s="348"/>
      <c r="B967" s="348"/>
      <c r="C967" s="348"/>
      <c r="D967" s="348"/>
      <c r="E967" s="348"/>
      <c r="F967" s="348"/>
      <c r="G967" s="348"/>
      <c r="H967" s="348" t="s">
        <v>5117</v>
      </c>
      <c r="I967" s="348"/>
    </row>
    <row r="968">
      <c r="A968" s="348"/>
      <c r="B968" s="348"/>
      <c r="C968" s="348"/>
      <c r="D968" s="348"/>
      <c r="E968" s="348"/>
      <c r="F968" s="348"/>
      <c r="G968" s="348"/>
      <c r="H968" s="348" t="s">
        <v>5117</v>
      </c>
      <c r="I968" s="348"/>
    </row>
    <row r="969">
      <c r="A969" s="348"/>
      <c r="B969" s="348"/>
      <c r="C969" s="348"/>
      <c r="D969" s="348"/>
      <c r="E969" s="348"/>
      <c r="F969" s="348"/>
      <c r="G969" s="348"/>
      <c r="H969" s="348" t="s">
        <v>5117</v>
      </c>
      <c r="I969" s="348"/>
    </row>
    <row r="970">
      <c r="A970" s="348"/>
      <c r="B970" s="348"/>
      <c r="C970" s="348"/>
      <c r="D970" s="348"/>
      <c r="E970" s="348"/>
      <c r="F970" s="348"/>
      <c r="G970" s="348"/>
      <c r="H970" s="348" t="s">
        <v>5117</v>
      </c>
      <c r="I970" s="348"/>
    </row>
    <row r="971">
      <c r="A971" s="348"/>
      <c r="B971" s="348"/>
      <c r="C971" s="348"/>
      <c r="D971" s="348"/>
      <c r="E971" s="348"/>
      <c r="F971" s="348"/>
      <c r="G971" s="348"/>
      <c r="H971" s="348" t="s">
        <v>5117</v>
      </c>
      <c r="I971" s="348"/>
    </row>
    <row r="972">
      <c r="A972" s="348"/>
      <c r="B972" s="348"/>
      <c r="C972" s="348"/>
      <c r="D972" s="348"/>
      <c r="E972" s="348"/>
      <c r="F972" s="348"/>
      <c r="G972" s="348"/>
      <c r="H972" s="348" t="s">
        <v>5117</v>
      </c>
      <c r="I972" s="348"/>
    </row>
    <row r="973">
      <c r="A973" s="348"/>
      <c r="B973" s="348"/>
      <c r="C973" s="348"/>
      <c r="D973" s="348"/>
      <c r="E973" s="348"/>
      <c r="F973" s="348"/>
      <c r="G973" s="348"/>
      <c r="H973" s="348" t="s">
        <v>5117</v>
      </c>
      <c r="I973" s="348"/>
    </row>
    <row r="974">
      <c r="A974" s="348"/>
      <c r="B974" s="348"/>
      <c r="C974" s="348"/>
      <c r="D974" s="348"/>
      <c r="E974" s="348"/>
      <c r="F974" s="348"/>
      <c r="G974" s="348"/>
      <c r="H974" s="348" t="s">
        <v>5117</v>
      </c>
      <c r="I974" s="348"/>
    </row>
    <row r="975">
      <c r="A975" s="348"/>
      <c r="B975" s="348"/>
      <c r="C975" s="348"/>
      <c r="D975" s="348"/>
      <c r="E975" s="348"/>
      <c r="F975" s="348"/>
      <c r="G975" s="348"/>
      <c r="H975" s="348" t="s">
        <v>5117</v>
      </c>
      <c r="I975" s="348"/>
    </row>
    <row r="976">
      <c r="A976" s="348"/>
      <c r="B976" s="348"/>
      <c r="C976" s="348"/>
      <c r="D976" s="348"/>
      <c r="E976" s="348"/>
      <c r="F976" s="348"/>
      <c r="G976" s="348"/>
      <c r="H976" s="348" t="s">
        <v>5117</v>
      </c>
      <c r="I976" s="348"/>
    </row>
    <row r="977">
      <c r="A977" s="348"/>
      <c r="B977" s="348"/>
      <c r="C977" s="348"/>
      <c r="D977" s="348"/>
      <c r="E977" s="348"/>
      <c r="F977" s="348"/>
      <c r="G977" s="348"/>
      <c r="H977" s="348" t="s">
        <v>5117</v>
      </c>
      <c r="I977" s="348"/>
    </row>
    <row r="978">
      <c r="A978" s="348"/>
      <c r="B978" s="348"/>
      <c r="C978" s="348"/>
      <c r="D978" s="348"/>
      <c r="E978" s="348"/>
      <c r="F978" s="348"/>
      <c r="G978" s="348"/>
      <c r="H978" s="348" t="s">
        <v>5117</v>
      </c>
      <c r="I978" s="348"/>
    </row>
    <row r="979">
      <c r="A979" s="348"/>
      <c r="B979" s="348"/>
      <c r="C979" s="348"/>
      <c r="D979" s="348"/>
      <c r="E979" s="348"/>
      <c r="F979" s="348"/>
      <c r="G979" s="348"/>
      <c r="H979" s="348" t="s">
        <v>5117</v>
      </c>
      <c r="I979" s="348"/>
    </row>
    <row r="980">
      <c r="A980" s="348"/>
      <c r="B980" s="348"/>
      <c r="C980" s="348"/>
      <c r="D980" s="348"/>
      <c r="E980" s="348"/>
      <c r="F980" s="348"/>
      <c r="G980" s="348"/>
      <c r="H980" s="348" t="s">
        <v>5117</v>
      </c>
      <c r="I980" s="348"/>
    </row>
    <row r="981">
      <c r="A981" s="348"/>
      <c r="B981" s="348"/>
      <c r="C981" s="348"/>
      <c r="D981" s="348"/>
      <c r="E981" s="348"/>
      <c r="F981" s="348"/>
      <c r="G981" s="348"/>
      <c r="H981" s="348" t="s">
        <v>5117</v>
      </c>
      <c r="I981" s="348"/>
    </row>
    <row r="982">
      <c r="A982" s="348"/>
      <c r="B982" s="348"/>
      <c r="C982" s="348"/>
      <c r="D982" s="348"/>
      <c r="E982" s="348"/>
      <c r="F982" s="348"/>
      <c r="G982" s="348"/>
      <c r="H982" s="348" t="s">
        <v>5117</v>
      </c>
      <c r="I982" s="348"/>
    </row>
    <row r="983">
      <c r="A983" s="348"/>
      <c r="B983" s="348"/>
      <c r="C983" s="348"/>
      <c r="D983" s="348"/>
      <c r="E983" s="348"/>
      <c r="F983" s="348"/>
      <c r="G983" s="348"/>
      <c r="H983" s="348" t="s">
        <v>5117</v>
      </c>
      <c r="I983" s="348"/>
    </row>
    <row r="984">
      <c r="A984" s="348"/>
      <c r="B984" s="348"/>
      <c r="C984" s="348"/>
      <c r="D984" s="348"/>
      <c r="E984" s="348"/>
      <c r="F984" s="348"/>
      <c r="G984" s="348"/>
      <c r="H984" s="348" t="s">
        <v>5117</v>
      </c>
      <c r="I984" s="348"/>
    </row>
    <row r="985">
      <c r="A985" s="348"/>
      <c r="B985" s="348"/>
      <c r="C985" s="348"/>
      <c r="D985" s="348"/>
      <c r="E985" s="348"/>
      <c r="F985" s="348"/>
      <c r="G985" s="348"/>
      <c r="H985" s="348" t="s">
        <v>5117</v>
      </c>
      <c r="I985" s="348"/>
    </row>
    <row r="986">
      <c r="A986" s="348"/>
      <c r="B986" s="348"/>
      <c r="C986" s="348"/>
      <c r="D986" s="348"/>
      <c r="E986" s="348"/>
      <c r="F986" s="348"/>
      <c r="G986" s="348"/>
      <c r="H986" s="348" t="s">
        <v>5117</v>
      </c>
      <c r="I986" s="348"/>
    </row>
    <row r="987">
      <c r="A987" s="348"/>
      <c r="B987" s="348"/>
      <c r="C987" s="348"/>
      <c r="D987" s="348"/>
      <c r="E987" s="348"/>
      <c r="F987" s="348"/>
      <c r="G987" s="348"/>
      <c r="H987" s="348" t="s">
        <v>5117</v>
      </c>
      <c r="I987" s="348"/>
    </row>
    <row r="988">
      <c r="A988" s="348"/>
      <c r="B988" s="348"/>
      <c r="C988" s="348"/>
      <c r="D988" s="348"/>
      <c r="E988" s="348"/>
      <c r="F988" s="348"/>
      <c r="G988" s="348"/>
      <c r="H988" s="348" t="s">
        <v>5117</v>
      </c>
      <c r="I988" s="348"/>
    </row>
    <row r="989">
      <c r="A989" s="348"/>
      <c r="B989" s="348"/>
      <c r="C989" s="348"/>
      <c r="D989" s="348"/>
      <c r="E989" s="348"/>
      <c r="F989" s="348"/>
      <c r="G989" s="348"/>
      <c r="H989" s="348" t="s">
        <v>5117</v>
      </c>
      <c r="I989" s="348"/>
    </row>
    <row r="990">
      <c r="A990" s="348"/>
      <c r="B990" s="348"/>
      <c r="C990" s="348"/>
      <c r="D990" s="348"/>
      <c r="E990" s="348"/>
      <c r="F990" s="348"/>
      <c r="G990" s="348"/>
      <c r="H990" s="348" t="s">
        <v>5117</v>
      </c>
      <c r="I990" s="348"/>
    </row>
    <row r="991">
      <c r="A991" s="348"/>
      <c r="B991" s="348"/>
      <c r="C991" s="348"/>
      <c r="D991" s="348"/>
      <c r="E991" s="348"/>
      <c r="F991" s="348"/>
      <c r="G991" s="348"/>
      <c r="H991" s="348" t="s">
        <v>5117</v>
      </c>
      <c r="I991" s="348"/>
    </row>
    <row r="992">
      <c r="A992" s="348"/>
      <c r="B992" s="348"/>
      <c r="C992" s="348"/>
      <c r="D992" s="348"/>
      <c r="E992" s="348"/>
      <c r="F992" s="348"/>
      <c r="G992" s="348"/>
      <c r="H992" s="348" t="s">
        <v>5117</v>
      </c>
      <c r="I992" s="348"/>
    </row>
    <row r="993">
      <c r="A993" s="348"/>
      <c r="B993" s="348"/>
      <c r="C993" s="348"/>
      <c r="D993" s="348"/>
      <c r="E993" s="348"/>
      <c r="F993" s="348"/>
      <c r="G993" s="348"/>
      <c r="H993" s="348" t="s">
        <v>5117</v>
      </c>
      <c r="I993" s="348"/>
    </row>
    <row r="994">
      <c r="A994" s="348"/>
      <c r="B994" s="348"/>
      <c r="C994" s="348"/>
      <c r="D994" s="348"/>
      <c r="E994" s="348"/>
      <c r="F994" s="348"/>
      <c r="G994" s="348"/>
      <c r="H994" s="348" t="s">
        <v>5117</v>
      </c>
      <c r="I994" s="348"/>
    </row>
    <row r="995">
      <c r="A995" s="348"/>
      <c r="B995" s="348"/>
      <c r="C995" s="348"/>
      <c r="D995" s="348"/>
      <c r="E995" s="348"/>
      <c r="F995" s="348"/>
      <c r="G995" s="348"/>
      <c r="H995" s="348" t="s">
        <v>5117</v>
      </c>
      <c r="I995" s="348"/>
    </row>
    <row r="996">
      <c r="H996" t="s">
        <v>5117</v>
      </c>
    </row>
    <row r="997">
      <c r="H997" t="s">
        <v>5117</v>
      </c>
    </row>
    <row r="998">
      <c r="H998" t="s">
        <v>5117</v>
      </c>
    </row>
    <row r="999">
      <c r="H999" t="s">
        <v>5117</v>
      </c>
    </row>
    <row r="1000">
      <c r="H1000" t="s">
        <v>5117</v>
      </c>
    </row>
    <row r="1001">
      <c r="H1001" t="s">
        <v>5117</v>
      </c>
    </row>
    <row r="1002">
      <c r="H1002" t="s">
        <v>5117</v>
      </c>
    </row>
    <row r="1003">
      <c r="H1003" t="s">
        <v>5117</v>
      </c>
    </row>
    <row r="1004">
      <c r="H1004" t="s">
        <v>5117</v>
      </c>
    </row>
    <row r="1005">
      <c r="H1005" t="s">
        <v>5117</v>
      </c>
    </row>
    <row r="1006">
      <c r="H1006" t="s">
        <v>5117</v>
      </c>
    </row>
    <row r="1007">
      <c r="H1007" t="s">
        <v>5117</v>
      </c>
    </row>
    <row r="1008">
      <c r="H1008" t="s">
        <v>5117</v>
      </c>
    </row>
    <row r="1009">
      <c r="H1009" t="s">
        <v>5117</v>
      </c>
    </row>
    <row r="1010">
      <c r="H1010" t="s">
        <v>5117</v>
      </c>
    </row>
    <row r="1011">
      <c r="H1011" t="s">
        <v>5117</v>
      </c>
    </row>
    <row r="1012">
      <c r="H1012" t="s">
        <v>5117</v>
      </c>
    </row>
    <row r="1013">
      <c r="H1013" t="s">
        <v>5117</v>
      </c>
    </row>
    <row r="1014">
      <c r="H1014" t="s">
        <v>5117</v>
      </c>
    </row>
    <row r="1015">
      <c r="H1015" t="s">
        <v>5117</v>
      </c>
    </row>
    <row r="1016">
      <c r="H1016" t="s">
        <v>5117</v>
      </c>
    </row>
    <row r="1017">
      <c r="H1017" t="s">
        <v>5117</v>
      </c>
    </row>
    <row r="1018">
      <c r="H1018" t="s">
        <v>5117</v>
      </c>
    </row>
    <row r="1019">
      <c r="H1019" t="s">
        <v>5117</v>
      </c>
    </row>
    <row r="1020">
      <c r="H1020" t="s">
        <v>5117</v>
      </c>
    </row>
    <row r="1021">
      <c r="H1021" t="s">
        <v>5117</v>
      </c>
    </row>
    <row r="1022">
      <c r="H1022" t="s">
        <v>5117</v>
      </c>
    </row>
    <row r="1023">
      <c r="H1023" t="s">
        <v>5117</v>
      </c>
    </row>
    <row r="1024">
      <c r="H1024" t="s">
        <v>5117</v>
      </c>
    </row>
    <row r="1025">
      <c r="H1025" t="s">
        <v>5117</v>
      </c>
    </row>
    <row r="1026">
      <c r="H1026" t="s">
        <v>5117</v>
      </c>
    </row>
    <row r="1027">
      <c r="H1027" t="s">
        <v>5117</v>
      </c>
    </row>
    <row r="1028">
      <c r="H1028" t="s">
        <v>5117</v>
      </c>
    </row>
    <row r="1029">
      <c r="H1029" t="s">
        <v>5117</v>
      </c>
    </row>
    <row r="1030">
      <c r="H1030" t="s">
        <v>5117</v>
      </c>
    </row>
    <row r="1031">
      <c r="H1031" t="s">
        <v>5117</v>
      </c>
    </row>
    <row r="1032">
      <c r="H1032" t="s">
        <v>5117</v>
      </c>
    </row>
    <row r="1033">
      <c r="H1033" t="s">
        <v>5117</v>
      </c>
    </row>
    <row r="1034">
      <c r="H1034" t="s">
        <v>5117</v>
      </c>
    </row>
    <row r="1035">
      <c r="H1035" t="s">
        <v>5117</v>
      </c>
    </row>
    <row r="1036">
      <c r="H1036" t="s">
        <v>5117</v>
      </c>
    </row>
    <row r="1037">
      <c r="H1037" t="s">
        <v>5117</v>
      </c>
    </row>
    <row r="1038">
      <c r="H1038" t="s">
        <v>5117</v>
      </c>
    </row>
    <row r="1039">
      <c r="H1039" t="s">
        <v>5117</v>
      </c>
    </row>
    <row r="1040">
      <c r="H1040" t="s">
        <v>5117</v>
      </c>
    </row>
    <row r="1041">
      <c r="H1041" t="s">
        <v>5117</v>
      </c>
    </row>
    <row r="1042">
      <c r="H1042" t="s">
        <v>5117</v>
      </c>
    </row>
    <row r="1043">
      <c r="H1043" t="s">
        <v>5117</v>
      </c>
    </row>
    <row r="1044">
      <c r="H1044" t="s">
        <v>5117</v>
      </c>
    </row>
    <row r="1045">
      <c r="H1045" t="s">
        <v>5117</v>
      </c>
    </row>
    <row r="1046">
      <c r="H1046" t="s">
        <v>5117</v>
      </c>
    </row>
    <row r="1047">
      <c r="H1047" t="s">
        <v>5117</v>
      </c>
    </row>
    <row r="1048">
      <c r="H1048" t="s">
        <v>5117</v>
      </c>
    </row>
    <row r="1049">
      <c r="H1049" t="s">
        <v>5117</v>
      </c>
    </row>
    <row r="1050">
      <c r="H1050" t="s">
        <v>5117</v>
      </c>
    </row>
    <row r="1051">
      <c r="H1051" t="s">
        <v>5117</v>
      </c>
    </row>
    <row r="1052">
      <c r="H1052" t="s">
        <v>5117</v>
      </c>
    </row>
    <row r="1053">
      <c r="H1053" t="s">
        <v>5117</v>
      </c>
    </row>
    <row r="1054">
      <c r="H1054" t="s">
        <v>5117</v>
      </c>
    </row>
    <row r="1055">
      <c r="H1055" t="s">
        <v>5117</v>
      </c>
    </row>
    <row r="1056">
      <c r="H1056" t="s">
        <v>5117</v>
      </c>
    </row>
    <row r="1057">
      <c r="H1057" t="s">
        <v>5117</v>
      </c>
    </row>
    <row r="1058">
      <c r="H1058" t="s">
        <v>5117</v>
      </c>
    </row>
    <row r="1059">
      <c r="H1059" t="s">
        <v>5117</v>
      </c>
    </row>
    <row r="1060">
      <c r="H1060" t="s">
        <v>5117</v>
      </c>
    </row>
    <row r="1061">
      <c r="H1061" t="s">
        <v>5117</v>
      </c>
    </row>
    <row r="1062">
      <c r="H1062" t="s">
        <v>5117</v>
      </c>
    </row>
    <row r="1063">
      <c r="H1063" t="s">
        <v>5117</v>
      </c>
    </row>
    <row r="1064">
      <c r="H1064" t="s">
        <v>5117</v>
      </c>
    </row>
    <row r="1065">
      <c r="H1065" t="s">
        <v>5117</v>
      </c>
    </row>
    <row r="1066">
      <c r="H1066" t="s">
        <v>5117</v>
      </c>
    </row>
    <row r="1067">
      <c r="H1067" t="s">
        <v>5117</v>
      </c>
    </row>
    <row r="1068">
      <c r="H1068" t="s">
        <v>5117</v>
      </c>
    </row>
    <row r="1069">
      <c r="H1069" t="s">
        <v>5117</v>
      </c>
    </row>
    <row r="1070">
      <c r="H1070" t="s">
        <v>5117</v>
      </c>
    </row>
    <row r="1071">
      <c r="H1071" t="s">
        <v>5117</v>
      </c>
    </row>
    <row r="1072">
      <c r="H1072" t="s">
        <v>5117</v>
      </c>
    </row>
    <row r="1073">
      <c r="H1073" t="s">
        <v>5117</v>
      </c>
    </row>
    <row r="1074">
      <c r="H1074" t="s">
        <v>5117</v>
      </c>
    </row>
    <row r="1075">
      <c r="H1075" t="s">
        <v>5117</v>
      </c>
    </row>
    <row r="1076">
      <c r="H1076" t="s">
        <v>5117</v>
      </c>
    </row>
    <row r="1077">
      <c r="H1077" t="s">
        <v>5117</v>
      </c>
    </row>
    <row r="1078">
      <c r="H1078" t="s">
        <v>5117</v>
      </c>
    </row>
    <row r="1079">
      <c r="H1079" t="s">
        <v>5117</v>
      </c>
    </row>
    <row r="1080">
      <c r="H1080" t="s">
        <v>5117</v>
      </c>
    </row>
    <row r="1081">
      <c r="H1081" t="s">
        <v>5117</v>
      </c>
    </row>
    <row r="1082">
      <c r="H1082" t="s">
        <v>5117</v>
      </c>
    </row>
    <row r="1083">
      <c r="H1083" t="s">
        <v>5117</v>
      </c>
    </row>
    <row r="1084">
      <c r="H1084" t="s">
        <v>5117</v>
      </c>
    </row>
    <row r="1085">
      <c r="H1085" t="s">
        <v>5117</v>
      </c>
    </row>
    <row r="1086">
      <c r="H1086" t="s">
        <v>5117</v>
      </c>
    </row>
    <row r="1087">
      <c r="H1087" t="s">
        <v>5117</v>
      </c>
    </row>
    <row r="1088">
      <c r="H1088" t="s">
        <v>5117</v>
      </c>
    </row>
    <row r="1089">
      <c r="H1089" t="s">
        <v>5117</v>
      </c>
    </row>
    <row r="1090">
      <c r="H1090" t="s">
        <v>5117</v>
      </c>
    </row>
    <row r="1091">
      <c r="H1091" t="s">
        <v>5117</v>
      </c>
    </row>
    <row r="1092">
      <c r="H1092" t="s">
        <v>5117</v>
      </c>
    </row>
    <row r="1093">
      <c r="H1093" t="s">
        <v>5117</v>
      </c>
    </row>
    <row r="1094">
      <c r="H1094" t="s">
        <v>5117</v>
      </c>
    </row>
    <row r="1095">
      <c r="H1095" t="s">
        <v>5117</v>
      </c>
    </row>
    <row r="1096">
      <c r="H1096" t="s">
        <v>5117</v>
      </c>
    </row>
    <row r="1097">
      <c r="H1097" t="s">
        <v>5117</v>
      </c>
    </row>
    <row r="1098">
      <c r="H1098" t="s">
        <v>5117</v>
      </c>
    </row>
    <row r="1099">
      <c r="H1099" t="s">
        <v>5117</v>
      </c>
    </row>
    <row r="1100">
      <c r="H1100" t="s">
        <v>5117</v>
      </c>
    </row>
    <row r="1101">
      <c r="H1101" t="s">
        <v>5117</v>
      </c>
    </row>
    <row r="1102">
      <c r="H1102" t="s">
        <v>5117</v>
      </c>
    </row>
    <row r="1103">
      <c r="H1103" t="s">
        <v>5117</v>
      </c>
    </row>
    <row r="1104">
      <c r="H1104" t="s">
        <v>5117</v>
      </c>
    </row>
    <row r="1105">
      <c r="H1105" t="s">
        <v>5117</v>
      </c>
    </row>
    <row r="1106">
      <c r="H1106" t="s">
        <v>5117</v>
      </c>
    </row>
    <row r="1107">
      <c r="H1107" t="s">
        <v>5117</v>
      </c>
    </row>
    <row r="1108">
      <c r="H1108" t="s">
        <v>5117</v>
      </c>
    </row>
    <row r="1109">
      <c r="H1109" t="s">
        <v>5117</v>
      </c>
    </row>
    <row r="1110">
      <c r="H1110" t="s">
        <v>5117</v>
      </c>
    </row>
    <row r="1111">
      <c r="H1111" t="s">
        <v>5117</v>
      </c>
    </row>
    <row r="1112">
      <c r="H1112" t="s">
        <v>5117</v>
      </c>
    </row>
    <row r="1113">
      <c r="H1113" t="s">
        <v>5117</v>
      </c>
    </row>
    <row r="1114">
      <c r="H1114" t="s">
        <v>5117</v>
      </c>
    </row>
    <row r="1115">
      <c r="H1115" t="s">
        <v>5117</v>
      </c>
    </row>
    <row r="1116">
      <c r="H1116" t="s">
        <v>5117</v>
      </c>
    </row>
    <row r="1117">
      <c r="H1117" t="s">
        <v>5117</v>
      </c>
    </row>
    <row r="1118">
      <c r="H1118" t="s">
        <v>5117</v>
      </c>
    </row>
    <row r="1119">
      <c r="H1119" t="s">
        <v>5117</v>
      </c>
    </row>
    <row r="1120">
      <c r="H1120" t="s">
        <v>5117</v>
      </c>
    </row>
    <row r="1121">
      <c r="H1121" t="s">
        <v>5117</v>
      </c>
    </row>
    <row r="1122">
      <c r="H1122" t="s">
        <v>5117</v>
      </c>
    </row>
    <row r="1123">
      <c r="H1123" t="s">
        <v>5117</v>
      </c>
    </row>
    <row r="1124">
      <c r="H1124" t="s">
        <v>5117</v>
      </c>
    </row>
    <row r="1125">
      <c r="H1125" t="s">
        <v>5117</v>
      </c>
    </row>
    <row r="1126">
      <c r="H1126" t="s">
        <v>5117</v>
      </c>
    </row>
    <row r="1127">
      <c r="H1127" t="s">
        <v>5117</v>
      </c>
    </row>
    <row r="1128">
      <c r="H1128" t="s">
        <v>5117</v>
      </c>
    </row>
    <row r="1129">
      <c r="H1129" t="s">
        <v>5117</v>
      </c>
    </row>
    <row r="1130">
      <c r="H1130" t="s">
        <v>5117</v>
      </c>
    </row>
    <row r="1131">
      <c r="H1131" t="s">
        <v>5117</v>
      </c>
    </row>
    <row r="1132">
      <c r="H1132" t="s">
        <v>5117</v>
      </c>
    </row>
    <row r="1133">
      <c r="H1133" t="s">
        <v>5117</v>
      </c>
    </row>
    <row r="1134">
      <c r="H1134" t="s">
        <v>5117</v>
      </c>
    </row>
    <row r="1135">
      <c r="H1135" t="s">
        <v>5117</v>
      </c>
    </row>
    <row r="1136">
      <c r="H1136" t="s">
        <v>5117</v>
      </c>
    </row>
    <row r="1137">
      <c r="H1137" t="s">
        <v>5117</v>
      </c>
    </row>
    <row r="1138">
      <c r="H1138" t="s">
        <v>5117</v>
      </c>
    </row>
    <row r="1139">
      <c r="H1139" t="s">
        <v>5117</v>
      </c>
    </row>
    <row r="1140">
      <c r="H1140" t="s">
        <v>5117</v>
      </c>
    </row>
    <row r="1141">
      <c r="H1141" t="s">
        <v>5117</v>
      </c>
    </row>
    <row r="1142">
      <c r="H1142" t="s">
        <v>5117</v>
      </c>
    </row>
    <row r="1143">
      <c r="H1143" t="s">
        <v>5117</v>
      </c>
    </row>
    <row r="1144">
      <c r="H1144" t="s">
        <v>5117</v>
      </c>
    </row>
    <row r="1145">
      <c r="H1145" t="s">
        <v>5117</v>
      </c>
    </row>
    <row r="1146">
      <c r="H1146" t="s">
        <v>5117</v>
      </c>
    </row>
    <row r="1147">
      <c r="H1147" t="s">
        <v>5117</v>
      </c>
    </row>
    <row r="1148">
      <c r="H1148" t="s">
        <v>5117</v>
      </c>
    </row>
    <row r="1149">
      <c r="H1149" t="s">
        <v>5117</v>
      </c>
    </row>
    <row r="1150">
      <c r="H1150" t="s">
        <v>5117</v>
      </c>
    </row>
    <row r="1151">
      <c r="H1151" t="s">
        <v>5117</v>
      </c>
    </row>
    <row r="1152">
      <c r="H1152" t="s">
        <v>5117</v>
      </c>
    </row>
    <row r="1153">
      <c r="H1153" t="s">
        <v>5117</v>
      </c>
    </row>
    <row r="1154">
      <c r="H1154" t="s">
        <v>5117</v>
      </c>
    </row>
    <row r="1155">
      <c r="H1155" t="s">
        <v>5117</v>
      </c>
    </row>
    <row r="1156">
      <c r="H1156" t="s">
        <v>5117</v>
      </c>
    </row>
    <row r="1157">
      <c r="H1157" t="s">
        <v>5117</v>
      </c>
    </row>
    <row r="1158">
      <c r="H1158" t="s">
        <v>5117</v>
      </c>
    </row>
    <row r="1159">
      <c r="H1159" t="s">
        <v>5117</v>
      </c>
    </row>
    <row r="1160">
      <c r="H1160" t="s">
        <v>5117</v>
      </c>
    </row>
    <row r="1161">
      <c r="H1161" t="s">
        <v>5117</v>
      </c>
    </row>
    <row r="1162">
      <c r="H1162" t="s">
        <v>5117</v>
      </c>
    </row>
    <row r="1163">
      <c r="H1163" t="s">
        <v>5117</v>
      </c>
    </row>
    <row r="1164">
      <c r="H1164" t="s">
        <v>5117</v>
      </c>
    </row>
    <row r="1165">
      <c r="H1165" t="s">
        <v>5117</v>
      </c>
    </row>
    <row r="1166">
      <c r="H1166" t="s">
        <v>5117</v>
      </c>
    </row>
    <row r="1167">
      <c r="H1167" t="s">
        <v>5117</v>
      </c>
    </row>
    <row r="1168">
      <c r="H1168" t="s">
        <v>5117</v>
      </c>
    </row>
    <row r="1169">
      <c r="H1169" t="s">
        <v>5117</v>
      </c>
    </row>
    <row r="1170">
      <c r="H1170" t="s">
        <v>5117</v>
      </c>
    </row>
    <row r="1171">
      <c r="H1171" t="s">
        <v>5117</v>
      </c>
    </row>
    <row r="1172">
      <c r="H1172" t="s">
        <v>5117</v>
      </c>
    </row>
    <row r="1173">
      <c r="H1173" t="s">
        <v>5117</v>
      </c>
    </row>
    <row r="1174">
      <c r="H1174" t="s">
        <v>5117</v>
      </c>
    </row>
    <row r="1175">
      <c r="H1175" t="s">
        <v>5117</v>
      </c>
    </row>
    <row r="1176">
      <c r="H1176" t="s">
        <v>5117</v>
      </c>
    </row>
    <row r="1177">
      <c r="H1177" t="s">
        <v>5117</v>
      </c>
    </row>
    <row r="1178">
      <c r="H1178" t="s">
        <v>5117</v>
      </c>
    </row>
    <row r="1179">
      <c r="H1179" t="s">
        <v>5117</v>
      </c>
    </row>
    <row r="1180">
      <c r="H1180" t="s">
        <v>5117</v>
      </c>
    </row>
    <row r="1181">
      <c r="H1181" t="s">
        <v>5117</v>
      </c>
    </row>
    <row r="1182">
      <c r="H1182" t="s">
        <v>5117</v>
      </c>
    </row>
    <row r="1183">
      <c r="H1183" t="s">
        <v>5117</v>
      </c>
    </row>
    <row r="1184">
      <c r="H1184" t="s">
        <v>5117</v>
      </c>
    </row>
    <row r="1185">
      <c r="H1185" t="s">
        <v>5117</v>
      </c>
    </row>
    <row r="1186">
      <c r="H1186" t="s">
        <v>5117</v>
      </c>
    </row>
    <row r="1187">
      <c r="H1187" t="s">
        <v>5117</v>
      </c>
    </row>
    <row r="1188">
      <c r="H1188" t="s">
        <v>5117</v>
      </c>
    </row>
    <row r="1189">
      <c r="H1189" t="s">
        <v>5117</v>
      </c>
    </row>
    <row r="1190">
      <c r="H1190" t="s">
        <v>5117</v>
      </c>
    </row>
    <row r="1191">
      <c r="H1191" t="s">
        <v>5117</v>
      </c>
    </row>
    <row r="1192">
      <c r="H1192" t="s">
        <v>5117</v>
      </c>
    </row>
    <row r="1193">
      <c r="H1193" t="s">
        <v>5117</v>
      </c>
    </row>
    <row r="1194">
      <c r="H1194" t="s">
        <v>5117</v>
      </c>
    </row>
    <row r="1195">
      <c r="H1195" t="s">
        <v>5117</v>
      </c>
    </row>
    <row r="1196">
      <c r="H1196" t="s">
        <v>5117</v>
      </c>
    </row>
    <row r="1197">
      <c r="H1197" t="s">
        <v>5117</v>
      </c>
    </row>
    <row r="1198">
      <c r="H1198" t="s">
        <v>5117</v>
      </c>
    </row>
    <row r="1199">
      <c r="H1199" t="s">
        <v>5117</v>
      </c>
    </row>
    <row r="1200">
      <c r="H1200" t="s">
        <v>5117</v>
      </c>
    </row>
    <row r="1201">
      <c r="H1201" t="s">
        <v>5117</v>
      </c>
    </row>
    <row r="1202">
      <c r="H1202" t="s">
        <v>5117</v>
      </c>
    </row>
    <row r="1203">
      <c r="H1203" t="s">
        <v>5117</v>
      </c>
    </row>
    <row r="1204">
      <c r="H1204" t="s">
        <v>5117</v>
      </c>
    </row>
    <row r="1205">
      <c r="H1205" t="s">
        <v>5117</v>
      </c>
    </row>
    <row r="1206">
      <c r="H1206" t="s">
        <v>5117</v>
      </c>
    </row>
    <row r="1207">
      <c r="H1207" t="s">
        <v>5117</v>
      </c>
    </row>
    <row r="1208">
      <c r="H1208" t="s">
        <v>5117</v>
      </c>
    </row>
    <row r="1209">
      <c r="H1209" t="s">
        <v>5117</v>
      </c>
    </row>
    <row r="1210">
      <c r="H1210" t="s">
        <v>5117</v>
      </c>
    </row>
    <row r="1211">
      <c r="H1211" t="s">
        <v>5117</v>
      </c>
    </row>
    <row r="1212">
      <c r="H1212" t="s">
        <v>5117</v>
      </c>
    </row>
    <row r="1213">
      <c r="H1213" t="s">
        <v>5117</v>
      </c>
    </row>
    <row r="1214">
      <c r="H1214" t="s">
        <v>5117</v>
      </c>
    </row>
    <row r="1215">
      <c r="H1215" t="s">
        <v>5117</v>
      </c>
    </row>
    <row r="1216">
      <c r="H1216" t="s">
        <v>5117</v>
      </c>
    </row>
    <row r="1217">
      <c r="H1217" t="s">
        <v>5117</v>
      </c>
    </row>
    <row r="1218">
      <c r="H1218" t="s">
        <v>5117</v>
      </c>
    </row>
    <row r="1219">
      <c r="H1219" t="s">
        <v>5117</v>
      </c>
    </row>
    <row r="1220">
      <c r="H1220" t="s">
        <v>5117</v>
      </c>
    </row>
    <row r="1221">
      <c r="H1221" t="s">
        <v>5117</v>
      </c>
    </row>
    <row r="1222">
      <c r="H1222" t="s">
        <v>5117</v>
      </c>
    </row>
    <row r="1223">
      <c r="H1223" t="s">
        <v>5117</v>
      </c>
    </row>
    <row r="1224">
      <c r="H1224" t="s">
        <v>5117</v>
      </c>
    </row>
    <row r="1225">
      <c r="H1225" t="s">
        <v>5117</v>
      </c>
    </row>
    <row r="1226">
      <c r="H1226" t="s">
        <v>5117</v>
      </c>
    </row>
    <row r="1227">
      <c r="H1227" t="s">
        <v>5117</v>
      </c>
    </row>
    <row r="1228">
      <c r="H1228" t="s">
        <v>5117</v>
      </c>
    </row>
    <row r="1229">
      <c r="H1229" t="s">
        <v>5117</v>
      </c>
    </row>
    <row r="1230">
      <c r="H1230" t="s">
        <v>5117</v>
      </c>
    </row>
    <row r="1231">
      <c r="H1231" t="s">
        <v>5117</v>
      </c>
    </row>
    <row r="1232">
      <c r="H1232" t="s">
        <v>5117</v>
      </c>
    </row>
    <row r="1233">
      <c r="H1233" t="s">
        <v>5117</v>
      </c>
    </row>
    <row r="1234">
      <c r="H1234" t="s">
        <v>5117</v>
      </c>
    </row>
    <row r="1235">
      <c r="H1235" t="s">
        <v>5117</v>
      </c>
    </row>
    <row r="1236">
      <c r="H1236" t="s">
        <v>5117</v>
      </c>
    </row>
    <row r="1237">
      <c r="H1237" t="s">
        <v>5117</v>
      </c>
    </row>
    <row r="1238">
      <c r="H1238" t="s">
        <v>5117</v>
      </c>
    </row>
    <row r="1239">
      <c r="H1239" t="s">
        <v>5117</v>
      </c>
    </row>
    <row r="1240">
      <c r="H1240" t="s">
        <v>5117</v>
      </c>
    </row>
    <row r="1241">
      <c r="H1241" t="s">
        <v>5117</v>
      </c>
    </row>
    <row r="1242">
      <c r="H1242" t="s">
        <v>5117</v>
      </c>
    </row>
    <row r="1243">
      <c r="H1243" t="s">
        <v>5117</v>
      </c>
    </row>
    <row r="1244">
      <c r="H1244" t="s">
        <v>5117</v>
      </c>
    </row>
    <row r="1245">
      <c r="H1245" t="s">
        <v>5117</v>
      </c>
    </row>
    <row r="1246">
      <c r="H1246" t="s">
        <v>5117</v>
      </c>
    </row>
    <row r="1247">
      <c r="H1247" t="s">
        <v>5117</v>
      </c>
    </row>
    <row r="1248">
      <c r="H1248" t="s">
        <v>5117</v>
      </c>
    </row>
    <row r="1249">
      <c r="H1249" t="s">
        <v>5117</v>
      </c>
    </row>
    <row r="1250">
      <c r="H1250" t="s">
        <v>5117</v>
      </c>
    </row>
    <row r="1251">
      <c r="H1251" t="s">
        <v>5117</v>
      </c>
    </row>
    <row r="1252">
      <c r="H1252" t="s">
        <v>5117</v>
      </c>
    </row>
    <row r="1253">
      <c r="H1253" t="s">
        <v>5117</v>
      </c>
    </row>
    <row r="1254">
      <c r="H1254" t="s">
        <v>5117</v>
      </c>
    </row>
    <row r="1255">
      <c r="H1255" t="s">
        <v>5117</v>
      </c>
    </row>
    <row r="1256">
      <c r="H1256" t="s">
        <v>5117</v>
      </c>
    </row>
    <row r="1257">
      <c r="H1257" t="s">
        <v>5117</v>
      </c>
    </row>
    <row r="1258">
      <c r="H1258" t="s">
        <v>5117</v>
      </c>
    </row>
    <row r="1259">
      <c r="H1259" t="s">
        <v>5117</v>
      </c>
    </row>
    <row r="1260">
      <c r="H1260" t="s">
        <v>5117</v>
      </c>
    </row>
    <row r="1261">
      <c r="H1261" t="s">
        <v>5117</v>
      </c>
    </row>
    <row r="1262">
      <c r="H1262" t="s">
        <v>5117</v>
      </c>
    </row>
    <row r="1263">
      <c r="H1263" t="s">
        <v>5117</v>
      </c>
    </row>
    <row r="1264">
      <c r="H1264" t="s">
        <v>5117</v>
      </c>
    </row>
    <row r="1265">
      <c r="H1265" t="s">
        <v>5117</v>
      </c>
    </row>
    <row r="1266">
      <c r="H1266" t="s">
        <v>5117</v>
      </c>
    </row>
    <row r="1267">
      <c r="H1267" t="s">
        <v>5117</v>
      </c>
    </row>
    <row r="1268">
      <c r="H1268" t="s">
        <v>5117</v>
      </c>
    </row>
    <row r="1269">
      <c r="H1269" t="s">
        <v>5117</v>
      </c>
    </row>
    <row r="1270">
      <c r="H1270" t="s">
        <v>5117</v>
      </c>
    </row>
    <row r="1271">
      <c r="H1271" t="s">
        <v>5117</v>
      </c>
    </row>
    <row r="1272">
      <c r="H1272" t="s">
        <v>5117</v>
      </c>
    </row>
    <row r="1273">
      <c r="H1273" t="s">
        <v>5117</v>
      </c>
    </row>
    <row r="1274">
      <c r="H1274" t="s">
        <v>5117</v>
      </c>
    </row>
    <row r="1275">
      <c r="H1275" t="s">
        <v>5117</v>
      </c>
    </row>
    <row r="1276">
      <c r="H1276" t="s">
        <v>5117</v>
      </c>
    </row>
    <row r="1277">
      <c r="H1277" t="s">
        <v>5117</v>
      </c>
    </row>
    <row r="1278">
      <c r="H1278" t="s">
        <v>5117</v>
      </c>
    </row>
    <row r="1279">
      <c r="H1279" t="s">
        <v>5117</v>
      </c>
    </row>
    <row r="1280">
      <c r="H1280" t="s">
        <v>5117</v>
      </c>
    </row>
    <row r="1281">
      <c r="H1281" t="s">
        <v>5117</v>
      </c>
    </row>
    <row r="1282">
      <c r="H1282" t="s">
        <v>5117</v>
      </c>
    </row>
    <row r="1283">
      <c r="H1283" t="s">
        <v>5117</v>
      </c>
    </row>
    <row r="1284">
      <c r="H1284" t="s">
        <v>5117</v>
      </c>
    </row>
    <row r="1285">
      <c r="H1285" t="s">
        <v>5117</v>
      </c>
    </row>
    <row r="1286">
      <c r="H1286" t="s">
        <v>5117</v>
      </c>
    </row>
    <row r="1287">
      <c r="H1287" t="s">
        <v>5117</v>
      </c>
    </row>
    <row r="1288">
      <c r="H1288" t="s">
        <v>5117</v>
      </c>
    </row>
    <row r="1289">
      <c r="H1289" t="s">
        <v>5117</v>
      </c>
    </row>
    <row r="1290">
      <c r="H1290" t="s">
        <v>5117</v>
      </c>
    </row>
    <row r="1291">
      <c r="H1291" t="s">
        <v>5117</v>
      </c>
    </row>
    <row r="1292">
      <c r="H1292" t="s">
        <v>5117</v>
      </c>
    </row>
    <row r="1293">
      <c r="H1293" t="s">
        <v>5117</v>
      </c>
    </row>
    <row r="1294">
      <c r="H1294" t="s">
        <v>5117</v>
      </c>
    </row>
    <row r="1295">
      <c r="H1295" t="s">
        <v>5117</v>
      </c>
    </row>
    <row r="1296">
      <c r="H1296" t="s">
        <v>5117</v>
      </c>
    </row>
    <row r="1297">
      <c r="H1297" t="s">
        <v>5117</v>
      </c>
    </row>
    <row r="1298">
      <c r="H1298" t="s">
        <v>5117</v>
      </c>
    </row>
    <row r="1299">
      <c r="H1299" t="s">
        <v>5117</v>
      </c>
    </row>
    <row r="1300">
      <c r="H1300" t="s">
        <v>5117</v>
      </c>
    </row>
    <row r="1301">
      <c r="H1301" t="s">
        <v>5117</v>
      </c>
    </row>
    <row r="1302">
      <c r="H1302" t="s">
        <v>5117</v>
      </c>
    </row>
    <row r="1303">
      <c r="H1303" t="s">
        <v>5117</v>
      </c>
    </row>
    <row r="1304">
      <c r="H1304" t="s">
        <v>5117</v>
      </c>
    </row>
    <row r="1305">
      <c r="H1305" t="s">
        <v>5117</v>
      </c>
    </row>
    <row r="1306">
      <c r="H1306" t="s">
        <v>5117</v>
      </c>
    </row>
    <row r="1307">
      <c r="H1307" t="s">
        <v>5117</v>
      </c>
    </row>
    <row r="1308">
      <c r="H1308" t="s">
        <v>5117</v>
      </c>
    </row>
    <row r="1309">
      <c r="H1309" t="s">
        <v>5117</v>
      </c>
    </row>
    <row r="1310">
      <c r="H1310" t="s">
        <v>5117</v>
      </c>
    </row>
    <row r="1311">
      <c r="H1311" t="s">
        <v>5117</v>
      </c>
    </row>
    <row r="1312">
      <c r="H1312" t="s">
        <v>5117</v>
      </c>
    </row>
    <row r="1313">
      <c r="H1313" t="s">
        <v>5117</v>
      </c>
    </row>
    <row r="1314">
      <c r="H1314" t="s">
        <v>5117</v>
      </c>
    </row>
    <row r="1315">
      <c r="H1315" t="s">
        <v>5117</v>
      </c>
    </row>
    <row r="1316">
      <c r="H1316" t="s">
        <v>5117</v>
      </c>
    </row>
    <row r="1317">
      <c r="H1317" t="s">
        <v>5117</v>
      </c>
    </row>
    <row r="1318">
      <c r="H1318" t="s">
        <v>5117</v>
      </c>
    </row>
    <row r="1319">
      <c r="H1319" t="s">
        <v>5117</v>
      </c>
    </row>
    <row r="1320">
      <c r="H1320" t="s">
        <v>5117</v>
      </c>
    </row>
    <row r="1321">
      <c r="H1321" t="s">
        <v>5117</v>
      </c>
    </row>
    <row r="1322">
      <c r="H1322" t="s">
        <v>5117</v>
      </c>
    </row>
    <row r="1323">
      <c r="H1323" t="s">
        <v>5117</v>
      </c>
    </row>
    <row r="1324">
      <c r="H1324" t="s">
        <v>5117</v>
      </c>
    </row>
    <row r="1325">
      <c r="H1325" t="s">
        <v>5117</v>
      </c>
    </row>
    <row r="1326">
      <c r="H1326" t="s">
        <v>5117</v>
      </c>
    </row>
    <row r="1327">
      <c r="H1327" t="s">
        <v>5117</v>
      </c>
    </row>
    <row r="1328">
      <c r="H1328" t="s">
        <v>5117</v>
      </c>
    </row>
    <row r="1329">
      <c r="H1329" t="s">
        <v>5117</v>
      </c>
    </row>
    <row r="1330">
      <c r="H1330" t="s">
        <v>5117</v>
      </c>
    </row>
    <row r="1331">
      <c r="H1331" t="s">
        <v>5117</v>
      </c>
    </row>
    <row r="1332">
      <c r="H1332" t="s">
        <v>5117</v>
      </c>
    </row>
    <row r="1333">
      <c r="H1333" t="s">
        <v>5117</v>
      </c>
    </row>
    <row r="1334">
      <c r="H1334" t="s">
        <v>5117</v>
      </c>
    </row>
    <row r="1335">
      <c r="H1335" t="s">
        <v>5117</v>
      </c>
    </row>
    <row r="1336">
      <c r="H1336" t="s">
        <v>5117</v>
      </c>
    </row>
    <row r="1337">
      <c r="H1337" t="s">
        <v>5117</v>
      </c>
    </row>
    <row r="1338">
      <c r="H1338" t="s">
        <v>5117</v>
      </c>
    </row>
    <row r="1339">
      <c r="H1339" t="s">
        <v>5117</v>
      </c>
    </row>
    <row r="1340">
      <c r="H1340" t="s">
        <v>5117</v>
      </c>
    </row>
    <row r="1341">
      <c r="H1341" t="s">
        <v>5117</v>
      </c>
    </row>
    <row r="1342">
      <c r="H1342" t="s">
        <v>5117</v>
      </c>
    </row>
    <row r="1343">
      <c r="H1343" t="s">
        <v>5117</v>
      </c>
    </row>
    <row r="1344">
      <c r="H1344" t="s">
        <v>5117</v>
      </c>
    </row>
    <row r="1345">
      <c r="H1345" t="s">
        <v>5117</v>
      </c>
    </row>
    <row r="1346">
      <c r="H1346" t="s">
        <v>5117</v>
      </c>
    </row>
    <row r="1347">
      <c r="H1347" t="s">
        <v>5117</v>
      </c>
    </row>
    <row r="1348">
      <c r="H1348" t="s">
        <v>5117</v>
      </c>
    </row>
    <row r="1349">
      <c r="H1349" t="s">
        <v>5117</v>
      </c>
    </row>
    <row r="1350">
      <c r="H1350" t="s">
        <v>5117</v>
      </c>
    </row>
    <row r="1351">
      <c r="H1351" t="s">
        <v>5117</v>
      </c>
    </row>
    <row r="1352">
      <c r="H1352" t="s">
        <v>5117</v>
      </c>
    </row>
    <row r="1353">
      <c r="H1353" t="s">
        <v>5117</v>
      </c>
    </row>
    <row r="1354">
      <c r="H1354" t="s">
        <v>5117</v>
      </c>
    </row>
    <row r="1355">
      <c r="H1355" t="s">
        <v>5117</v>
      </c>
    </row>
    <row r="1356">
      <c r="H1356" t="s">
        <v>5117</v>
      </c>
    </row>
    <row r="1357">
      <c r="H1357" t="s">
        <v>5117</v>
      </c>
    </row>
    <row r="1358">
      <c r="H1358" t="s">
        <v>5117</v>
      </c>
    </row>
    <row r="1359">
      <c r="H1359" t="s">
        <v>5117</v>
      </c>
    </row>
    <row r="1360">
      <c r="H1360" t="s">
        <v>5117</v>
      </c>
    </row>
    <row r="1361">
      <c r="H1361" t="s">
        <v>5117</v>
      </c>
    </row>
    <row r="1362">
      <c r="H1362" t="s">
        <v>5117</v>
      </c>
    </row>
    <row r="1363">
      <c r="H1363" t="s">
        <v>5117</v>
      </c>
    </row>
    <row r="1364">
      <c r="H1364" t="s">
        <v>5117</v>
      </c>
    </row>
    <row r="1365">
      <c r="H1365" t="s">
        <v>5117</v>
      </c>
    </row>
    <row r="1366">
      <c r="H1366" t="s">
        <v>5117</v>
      </c>
    </row>
    <row r="1367">
      <c r="H1367" t="s">
        <v>5117</v>
      </c>
    </row>
    <row r="1368">
      <c r="H1368" t="s">
        <v>5117</v>
      </c>
    </row>
    <row r="1369">
      <c r="H1369" t="s">
        <v>5117</v>
      </c>
    </row>
    <row r="1370">
      <c r="H1370" t="s">
        <v>5117</v>
      </c>
    </row>
    <row r="1371">
      <c r="H1371" t="s">
        <v>5117</v>
      </c>
    </row>
    <row r="1372">
      <c r="H1372" t="s">
        <v>5117</v>
      </c>
    </row>
    <row r="1373">
      <c r="H1373" t="s">
        <v>5117</v>
      </c>
    </row>
    <row r="1374">
      <c r="H1374" t="s">
        <v>5117</v>
      </c>
    </row>
    <row r="1375">
      <c r="H1375" t="s">
        <v>5117</v>
      </c>
    </row>
    <row r="1376">
      <c r="H1376" t="s">
        <v>5117</v>
      </c>
    </row>
    <row r="1377">
      <c r="H1377" t="s">
        <v>5117</v>
      </c>
    </row>
    <row r="1378">
      <c r="H1378" t="s">
        <v>5117</v>
      </c>
    </row>
    <row r="1379">
      <c r="H1379" t="s">
        <v>5117</v>
      </c>
    </row>
    <row r="1380">
      <c r="H1380" t="s">
        <v>5117</v>
      </c>
    </row>
    <row r="1381">
      <c r="H1381" t="s">
        <v>5117</v>
      </c>
    </row>
    <row r="1382">
      <c r="H1382" t="s">
        <v>5117</v>
      </c>
    </row>
    <row r="1383">
      <c r="H1383" t="s">
        <v>5117</v>
      </c>
    </row>
    <row r="1384">
      <c r="H1384" t="s">
        <v>5117</v>
      </c>
    </row>
    <row r="1385">
      <c r="H1385" t="s">
        <v>5117</v>
      </c>
    </row>
    <row r="1386">
      <c r="H1386" t="s">
        <v>5117</v>
      </c>
    </row>
    <row r="1387">
      <c r="H1387" t="s">
        <v>5117</v>
      </c>
    </row>
    <row r="1388">
      <c r="H1388" t="s">
        <v>5117</v>
      </c>
    </row>
    <row r="1389">
      <c r="H1389" t="s">
        <v>5117</v>
      </c>
    </row>
    <row r="1390">
      <c r="H1390" t="s">
        <v>5117</v>
      </c>
    </row>
    <row r="1391">
      <c r="H1391" t="s">
        <v>5117</v>
      </c>
    </row>
    <row r="1392">
      <c r="H1392" t="s">
        <v>5117</v>
      </c>
    </row>
    <row r="1393">
      <c r="H1393" t="s">
        <v>5117</v>
      </c>
    </row>
    <row r="1394">
      <c r="H1394" t="s">
        <v>5117</v>
      </c>
    </row>
    <row r="1395">
      <c r="H1395" t="s">
        <v>5117</v>
      </c>
    </row>
    <row r="1396">
      <c r="H1396" t="s">
        <v>5117</v>
      </c>
    </row>
    <row r="1397">
      <c r="H1397" t="s">
        <v>5117</v>
      </c>
    </row>
    <row r="1398">
      <c r="H1398" t="s">
        <v>5117</v>
      </c>
    </row>
    <row r="1399">
      <c r="H1399" t="s">
        <v>5117</v>
      </c>
    </row>
    <row r="1400">
      <c r="H1400" t="s">
        <v>5117</v>
      </c>
    </row>
    <row r="1401">
      <c r="H1401" t="s">
        <v>5117</v>
      </c>
    </row>
    <row r="1402">
      <c r="H1402" t="s">
        <v>5117</v>
      </c>
    </row>
    <row r="1403">
      <c r="H1403" t="s">
        <v>5117</v>
      </c>
    </row>
    <row r="1404">
      <c r="H1404" t="s">
        <v>5117</v>
      </c>
    </row>
    <row r="1405">
      <c r="H1405" t="s">
        <v>5117</v>
      </c>
    </row>
    <row r="1406">
      <c r="H1406" t="s">
        <v>5117</v>
      </c>
    </row>
    <row r="1407">
      <c r="H1407" t="s">
        <v>5117</v>
      </c>
    </row>
    <row r="1408">
      <c r="H1408" t="s">
        <v>5117</v>
      </c>
    </row>
    <row r="1409">
      <c r="H1409" t="s">
        <v>5117</v>
      </c>
    </row>
    <row r="1410">
      <c r="H1410" t="s">
        <v>5117</v>
      </c>
    </row>
    <row r="1411">
      <c r="H1411" t="s">
        <v>5117</v>
      </c>
    </row>
    <row r="1412">
      <c r="H1412" t="s">
        <v>5117</v>
      </c>
    </row>
    <row r="1413">
      <c r="H1413" t="s">
        <v>5117</v>
      </c>
    </row>
    <row r="1414">
      <c r="H1414" t="s">
        <v>5117</v>
      </c>
    </row>
    <row r="1415">
      <c r="H1415" t="s">
        <v>5117</v>
      </c>
    </row>
    <row r="1416">
      <c r="H1416" t="s">
        <v>5117</v>
      </c>
    </row>
    <row r="1417">
      <c r="H1417" t="s">
        <v>5117</v>
      </c>
    </row>
    <row r="1418">
      <c r="H1418" t="s">
        <v>5117</v>
      </c>
    </row>
    <row r="1419">
      <c r="H1419" t="s">
        <v>5117</v>
      </c>
    </row>
    <row r="1420">
      <c r="H1420" t="s">
        <v>5117</v>
      </c>
    </row>
    <row r="1421">
      <c r="H1421" t="s">
        <v>5117</v>
      </c>
    </row>
    <row r="1422">
      <c r="H1422" t="s">
        <v>5117</v>
      </c>
    </row>
    <row r="1423">
      <c r="H1423" t="s">
        <v>5117</v>
      </c>
    </row>
    <row r="1424">
      <c r="H1424" t="s">
        <v>5117</v>
      </c>
    </row>
    <row r="1425">
      <c r="H1425" t="s">
        <v>5117</v>
      </c>
    </row>
    <row r="1426">
      <c r="H1426" t="s">
        <v>5117</v>
      </c>
    </row>
    <row r="1427">
      <c r="H1427" t="s">
        <v>5117</v>
      </c>
    </row>
    <row r="1428">
      <c r="H1428" t="s">
        <v>5117</v>
      </c>
    </row>
    <row r="1429">
      <c r="H1429" t="s">
        <v>5117</v>
      </c>
    </row>
    <row r="1430">
      <c r="H1430" t="s">
        <v>5117</v>
      </c>
    </row>
    <row r="1431">
      <c r="H1431" t="s">
        <v>5117</v>
      </c>
    </row>
    <row r="1432">
      <c r="H1432" t="s">
        <v>5117</v>
      </c>
    </row>
    <row r="1433">
      <c r="H1433" t="s">
        <v>5117</v>
      </c>
    </row>
    <row r="1434">
      <c r="H1434" t="s">
        <v>5117</v>
      </c>
    </row>
    <row r="1435">
      <c r="H1435" t="s">
        <v>5117</v>
      </c>
    </row>
    <row r="1436">
      <c r="H1436" t="s">
        <v>5117</v>
      </c>
    </row>
    <row r="1437">
      <c r="H1437" t="s">
        <v>5117</v>
      </c>
    </row>
    <row r="1438">
      <c r="H1438" t="s">
        <v>5117</v>
      </c>
    </row>
    <row r="1439">
      <c r="H1439" t="s">
        <v>5117</v>
      </c>
    </row>
    <row r="1440">
      <c r="H1440" t="s">
        <v>5117</v>
      </c>
    </row>
    <row r="1441">
      <c r="H1441" t="s">
        <v>5117</v>
      </c>
    </row>
    <row r="1442">
      <c r="H1442" t="s">
        <v>5117</v>
      </c>
    </row>
    <row r="1443">
      <c r="H1443" t="s">
        <v>5117</v>
      </c>
    </row>
    <row r="1444">
      <c r="H1444" t="s">
        <v>5117</v>
      </c>
    </row>
    <row r="1445">
      <c r="H1445" t="s">
        <v>5117</v>
      </c>
    </row>
    <row r="1446">
      <c r="H1446" t="s">
        <v>5117</v>
      </c>
    </row>
    <row r="1447">
      <c r="H1447" t="s">
        <v>5117</v>
      </c>
    </row>
    <row r="1448">
      <c r="H1448" t="s">
        <v>5117</v>
      </c>
    </row>
    <row r="1449">
      <c r="H1449" t="s">
        <v>5117</v>
      </c>
    </row>
    <row r="1450">
      <c r="H1450" t="s">
        <v>5117</v>
      </c>
    </row>
    <row r="1451">
      <c r="H1451" t="s">
        <v>5117</v>
      </c>
    </row>
    <row r="1452">
      <c r="H1452" t="s">
        <v>5117</v>
      </c>
    </row>
    <row r="1453">
      <c r="H1453" t="s">
        <v>5117</v>
      </c>
    </row>
    <row r="1454">
      <c r="H1454" t="s">
        <v>5117</v>
      </c>
    </row>
    <row r="1455">
      <c r="H1455" t="s">
        <v>5117</v>
      </c>
    </row>
    <row r="1456">
      <c r="H1456" t="s">
        <v>5117</v>
      </c>
    </row>
    <row r="1457">
      <c r="H1457" t="s">
        <v>5117</v>
      </c>
    </row>
    <row r="1458">
      <c r="H1458" t="s">
        <v>5117</v>
      </c>
    </row>
    <row r="1459">
      <c r="H1459" t="s">
        <v>5117</v>
      </c>
    </row>
    <row r="1460">
      <c r="H1460" t="s">
        <v>5117</v>
      </c>
    </row>
    <row r="1461">
      <c r="H1461" t="s">
        <v>5117</v>
      </c>
    </row>
    <row r="1462">
      <c r="H1462" t="s">
        <v>5117</v>
      </c>
    </row>
    <row r="1463">
      <c r="H1463" t="s">
        <v>5117</v>
      </c>
    </row>
    <row r="1464">
      <c r="H1464" t="s">
        <v>5117</v>
      </c>
    </row>
    <row r="1465">
      <c r="H1465" t="s">
        <v>5117</v>
      </c>
    </row>
    <row r="1466">
      <c r="H1466" t="s">
        <v>5117</v>
      </c>
    </row>
    <row r="1467">
      <c r="H1467" t="s">
        <v>5117</v>
      </c>
    </row>
    <row r="1468">
      <c r="H1468" t="s">
        <v>5117</v>
      </c>
    </row>
    <row r="1469">
      <c r="H1469" t="s">
        <v>5117</v>
      </c>
    </row>
    <row r="1470">
      <c r="H1470" t="s">
        <v>5117</v>
      </c>
    </row>
    <row r="1471">
      <c r="H1471" t="s">
        <v>5117</v>
      </c>
    </row>
    <row r="1472">
      <c r="H1472" t="s">
        <v>5117</v>
      </c>
    </row>
    <row r="1473">
      <c r="H1473" t="s">
        <v>5117</v>
      </c>
    </row>
    <row r="1474">
      <c r="H1474" t="s">
        <v>5117</v>
      </c>
    </row>
    <row r="1475">
      <c r="H1475" t="s">
        <v>5117</v>
      </c>
    </row>
    <row r="1476">
      <c r="H1476" t="s">
        <v>5117</v>
      </c>
    </row>
    <row r="1477">
      <c r="H1477" t="s">
        <v>5117</v>
      </c>
    </row>
    <row r="1478">
      <c r="H1478" t="s">
        <v>5117</v>
      </c>
    </row>
    <row r="1479">
      <c r="H1479" t="s">
        <v>5117</v>
      </c>
    </row>
    <row r="1480">
      <c r="H1480" t="s">
        <v>5117</v>
      </c>
    </row>
    <row r="1481">
      <c r="H1481" t="s">
        <v>5117</v>
      </c>
    </row>
    <row r="1482">
      <c r="H1482" t="s">
        <v>5117</v>
      </c>
    </row>
    <row r="1483">
      <c r="H1483" t="s">
        <v>5117</v>
      </c>
    </row>
    <row r="1484">
      <c r="H1484" t="s">
        <v>5117</v>
      </c>
    </row>
    <row r="1485">
      <c r="H1485" t="s">
        <v>5117</v>
      </c>
    </row>
    <row r="1486">
      <c r="H1486" t="s">
        <v>5117</v>
      </c>
    </row>
    <row r="1487">
      <c r="H1487" t="s">
        <v>5117</v>
      </c>
    </row>
    <row r="1488">
      <c r="H1488" t="s">
        <v>5117</v>
      </c>
    </row>
    <row r="1489">
      <c r="H1489" t="s">
        <v>5117</v>
      </c>
    </row>
    <row r="1490">
      <c r="H1490" t="s">
        <v>5117</v>
      </c>
    </row>
    <row r="1491">
      <c r="H1491" t="s">
        <v>5117</v>
      </c>
    </row>
    <row r="1492">
      <c r="H1492" t="s">
        <v>5117</v>
      </c>
    </row>
    <row r="1493">
      <c r="H1493" t="s">
        <v>5117</v>
      </c>
    </row>
    <row r="1494">
      <c r="H1494" t="s">
        <v>5117</v>
      </c>
    </row>
    <row r="1495">
      <c r="H1495" t="s">
        <v>5117</v>
      </c>
    </row>
    <row r="1496">
      <c r="H1496" t="s">
        <v>5117</v>
      </c>
    </row>
    <row r="1497">
      <c r="H1497" t="s">
        <v>5117</v>
      </c>
    </row>
    <row r="1498">
      <c r="H1498" t="s">
        <v>5117</v>
      </c>
    </row>
    <row r="1499">
      <c r="H1499" t="s">
        <v>5117</v>
      </c>
    </row>
    <row r="1500">
      <c r="H1500" t="s">
        <v>5117</v>
      </c>
    </row>
    <row r="1501">
      <c r="H1501" t="s">
        <v>5117</v>
      </c>
    </row>
    <row r="1502">
      <c r="H1502" t="s">
        <v>5117</v>
      </c>
    </row>
    <row r="1503">
      <c r="H1503" t="s">
        <v>5117</v>
      </c>
    </row>
    <row r="1504">
      <c r="H1504" t="s">
        <v>5117</v>
      </c>
    </row>
    <row r="1505">
      <c r="H1505" t="s">
        <v>5117</v>
      </c>
    </row>
    <row r="1506">
      <c r="H1506" t="s">
        <v>5117</v>
      </c>
    </row>
    <row r="1507">
      <c r="H1507" t="s">
        <v>5117</v>
      </c>
    </row>
    <row r="1508">
      <c r="H1508" t="s">
        <v>5117</v>
      </c>
    </row>
    <row r="1509">
      <c r="H1509" t="s">
        <v>5117</v>
      </c>
    </row>
    <row r="1510">
      <c r="H1510" t="s">
        <v>5117</v>
      </c>
    </row>
    <row r="1511">
      <c r="H1511" t="s">
        <v>5117</v>
      </c>
    </row>
    <row r="1512">
      <c r="H1512" t="s">
        <v>5117</v>
      </c>
    </row>
    <row r="1513">
      <c r="H1513" t="s">
        <v>5117</v>
      </c>
    </row>
    <row r="1514">
      <c r="H1514" t="s">
        <v>5117</v>
      </c>
    </row>
    <row r="1515">
      <c r="H1515" t="s">
        <v>5117</v>
      </c>
    </row>
    <row r="1516">
      <c r="H1516" t="s">
        <v>5117</v>
      </c>
    </row>
    <row r="1517">
      <c r="H1517" t="s">
        <v>5117</v>
      </c>
    </row>
    <row r="1518">
      <c r="H1518" t="s">
        <v>5117</v>
      </c>
    </row>
    <row r="1519">
      <c r="H1519" t="s">
        <v>5117</v>
      </c>
    </row>
    <row r="1520">
      <c r="H1520" t="s">
        <v>5117</v>
      </c>
    </row>
    <row r="1521">
      <c r="H1521" t="s">
        <v>5117</v>
      </c>
    </row>
    <row r="1522">
      <c r="H1522" t="s">
        <v>5117</v>
      </c>
    </row>
    <row r="1523">
      <c r="H1523" t="s">
        <v>5117</v>
      </c>
    </row>
    <row r="1524">
      <c r="H1524" t="s">
        <v>5117</v>
      </c>
    </row>
    <row r="1525">
      <c r="H1525" t="s">
        <v>5117</v>
      </c>
    </row>
    <row r="1526">
      <c r="H1526" t="s">
        <v>5117</v>
      </c>
    </row>
    <row r="1527">
      <c r="H1527" t="s">
        <v>5117</v>
      </c>
    </row>
    <row r="1528">
      <c r="H1528" t="s">
        <v>5117</v>
      </c>
    </row>
    <row r="1529">
      <c r="H1529" t="s">
        <v>5117</v>
      </c>
    </row>
    <row r="1530">
      <c r="H1530" t="s">
        <v>5117</v>
      </c>
    </row>
    <row r="1531">
      <c r="H1531" t="s">
        <v>5117</v>
      </c>
    </row>
    <row r="1532">
      <c r="H1532" t="s">
        <v>5117</v>
      </c>
    </row>
    <row r="1533">
      <c r="H1533" t="s">
        <v>5117</v>
      </c>
    </row>
    <row r="1534">
      <c r="H1534" t="s">
        <v>5117</v>
      </c>
    </row>
    <row r="1535">
      <c r="H1535" t="s">
        <v>5117</v>
      </c>
    </row>
    <row r="1536">
      <c r="H1536" t="s">
        <v>5117</v>
      </c>
    </row>
    <row r="1537">
      <c r="H1537" t="s">
        <v>5117</v>
      </c>
    </row>
    <row r="1538">
      <c r="H1538" t="s">
        <v>5117</v>
      </c>
    </row>
    <row r="1539">
      <c r="H1539" t="s">
        <v>5117</v>
      </c>
    </row>
    <row r="1540">
      <c r="H1540" t="s">
        <v>5117</v>
      </c>
    </row>
    <row r="1541">
      <c r="H1541" t="s">
        <v>5117</v>
      </c>
    </row>
    <row r="1542">
      <c r="H1542" t="s">
        <v>5117</v>
      </c>
    </row>
    <row r="1543">
      <c r="H1543" t="s">
        <v>5117</v>
      </c>
    </row>
    <row r="1544">
      <c r="H1544" t="s">
        <v>5117</v>
      </c>
    </row>
    <row r="1545">
      <c r="H1545" t="s">
        <v>5117</v>
      </c>
    </row>
    <row r="1546">
      <c r="H1546" t="s">
        <v>5117</v>
      </c>
    </row>
    <row r="1547">
      <c r="H1547" t="s">
        <v>5117</v>
      </c>
    </row>
    <row r="1548">
      <c r="H1548" t="s">
        <v>5117</v>
      </c>
    </row>
    <row r="1549">
      <c r="H1549" t="s">
        <v>5117</v>
      </c>
    </row>
    <row r="1550">
      <c r="H1550" t="s">
        <v>5117</v>
      </c>
    </row>
    <row r="1551">
      <c r="H1551" t="s">
        <v>5117</v>
      </c>
    </row>
    <row r="1552">
      <c r="H1552" t="s">
        <v>5117</v>
      </c>
    </row>
    <row r="1553">
      <c r="H1553" t="s">
        <v>5117</v>
      </c>
    </row>
    <row r="1554">
      <c r="H1554" t="s">
        <v>5117</v>
      </c>
    </row>
    <row r="1555">
      <c r="H1555" t="s">
        <v>5117</v>
      </c>
    </row>
    <row r="1556">
      <c r="H1556" t="s">
        <v>5117</v>
      </c>
    </row>
    <row r="1557">
      <c r="H1557" t="s">
        <v>5117</v>
      </c>
    </row>
    <row r="1558">
      <c r="H1558" t="s">
        <v>5117</v>
      </c>
    </row>
    <row r="1559">
      <c r="H1559" t="s">
        <v>5117</v>
      </c>
    </row>
    <row r="1560">
      <c r="H1560" t="s">
        <v>5117</v>
      </c>
    </row>
    <row r="1561">
      <c r="H1561" t="s">
        <v>5117</v>
      </c>
    </row>
    <row r="1562">
      <c r="H1562" t="s">
        <v>5117</v>
      </c>
    </row>
    <row r="1563">
      <c r="H1563" t="s">
        <v>5117</v>
      </c>
    </row>
    <row r="1564">
      <c r="H1564" t="s">
        <v>5117</v>
      </c>
    </row>
    <row r="1565">
      <c r="H1565" t="s">
        <v>5117</v>
      </c>
    </row>
    <row r="1566">
      <c r="H1566" t="s">
        <v>5117</v>
      </c>
    </row>
    <row r="1567">
      <c r="H1567" t="s">
        <v>5117</v>
      </c>
    </row>
    <row r="1568">
      <c r="H1568" t="s">
        <v>5117</v>
      </c>
    </row>
    <row r="1569">
      <c r="H1569" t="s">
        <v>5117</v>
      </c>
    </row>
    <row r="1570">
      <c r="H1570" t="s">
        <v>5117</v>
      </c>
    </row>
    <row r="1571">
      <c r="H1571" t="s">
        <v>5117</v>
      </c>
    </row>
    <row r="1572">
      <c r="H1572" t="s">
        <v>5117</v>
      </c>
    </row>
    <row r="1573">
      <c r="H1573" t="s">
        <v>5117</v>
      </c>
    </row>
    <row r="1574">
      <c r="H1574" t="s">
        <v>5117</v>
      </c>
    </row>
    <row r="1575">
      <c r="H1575" t="s">
        <v>5117</v>
      </c>
    </row>
    <row r="1576">
      <c r="H1576" t="s">
        <v>5117</v>
      </c>
    </row>
    <row r="1577">
      <c r="H1577" t="s">
        <v>5117</v>
      </c>
    </row>
    <row r="1578">
      <c r="H1578" t="s">
        <v>5117</v>
      </c>
    </row>
    <row r="1579">
      <c r="H1579" t="s">
        <v>5117</v>
      </c>
    </row>
    <row r="1580">
      <c r="H1580" t="s">
        <v>5117</v>
      </c>
    </row>
    <row r="1581">
      <c r="H1581" t="s">
        <v>5117</v>
      </c>
    </row>
    <row r="1582">
      <c r="H1582" t="s">
        <v>5117</v>
      </c>
    </row>
    <row r="1583">
      <c r="H1583" t="s">
        <v>5117</v>
      </c>
    </row>
    <row r="1584">
      <c r="H1584" t="s">
        <v>5117</v>
      </c>
    </row>
    <row r="1585">
      <c r="H1585" t="s">
        <v>5117</v>
      </c>
    </row>
    <row r="1586">
      <c r="H1586" t="s">
        <v>5117</v>
      </c>
    </row>
    <row r="1587">
      <c r="H1587" t="s">
        <v>5117</v>
      </c>
    </row>
    <row r="1588">
      <c r="H1588" t="s">
        <v>5117</v>
      </c>
    </row>
    <row r="1589">
      <c r="H1589" t="s">
        <v>5117</v>
      </c>
    </row>
    <row r="1590">
      <c r="H1590" t="s">
        <v>5117</v>
      </c>
    </row>
    <row r="1591">
      <c r="H1591" t="s">
        <v>5117</v>
      </c>
    </row>
    <row r="1592">
      <c r="H1592" t="s">
        <v>5117</v>
      </c>
    </row>
    <row r="1593">
      <c r="H1593" t="s">
        <v>5117</v>
      </c>
    </row>
    <row r="1594">
      <c r="H1594" t="s">
        <v>5117</v>
      </c>
    </row>
    <row r="1595">
      <c r="H1595" t="s">
        <v>5117</v>
      </c>
    </row>
    <row r="1596">
      <c r="H1596" t="s">
        <v>5117</v>
      </c>
    </row>
    <row r="1597">
      <c r="H1597" t="s">
        <v>5117</v>
      </c>
    </row>
    <row r="1598">
      <c r="H1598" t="s">
        <v>5117</v>
      </c>
    </row>
    <row r="1599">
      <c r="H1599" t="s">
        <v>5117</v>
      </c>
    </row>
    <row r="1600">
      <c r="H1600" t="s">
        <v>5117</v>
      </c>
    </row>
    <row r="1601">
      <c r="H1601" t="s">
        <v>5117</v>
      </c>
    </row>
    <row r="1602">
      <c r="H1602" t="s">
        <v>5117</v>
      </c>
    </row>
    <row r="1603">
      <c r="H1603" t="s">
        <v>5117</v>
      </c>
    </row>
    <row r="1604">
      <c r="H1604" t="s">
        <v>5117</v>
      </c>
    </row>
    <row r="1605">
      <c r="H1605" t="s">
        <v>5117</v>
      </c>
    </row>
    <row r="1606">
      <c r="H1606" t="s">
        <v>5117</v>
      </c>
    </row>
    <row r="1607">
      <c r="H1607" t="s">
        <v>5117</v>
      </c>
    </row>
    <row r="1608">
      <c r="H1608" t="s">
        <v>5117</v>
      </c>
    </row>
    <row r="1609">
      <c r="H1609" t="s">
        <v>5117</v>
      </c>
    </row>
    <row r="1610">
      <c r="H1610" t="s">
        <v>5117</v>
      </c>
    </row>
    <row r="1611">
      <c r="H1611" t="s">
        <v>5117</v>
      </c>
    </row>
    <row r="1612">
      <c r="H1612" t="s">
        <v>5117</v>
      </c>
    </row>
    <row r="1613">
      <c r="H1613" t="s">
        <v>5117</v>
      </c>
    </row>
    <row r="1614">
      <c r="H1614" t="s">
        <v>5117</v>
      </c>
    </row>
    <row r="1615">
      <c r="H1615" t="s">
        <v>5117</v>
      </c>
    </row>
    <row r="1616">
      <c r="H1616" t="s">
        <v>5117</v>
      </c>
    </row>
    <row r="1617">
      <c r="H1617" t="s">
        <v>5117</v>
      </c>
    </row>
    <row r="1618">
      <c r="H1618" t="s">
        <v>5117</v>
      </c>
    </row>
    <row r="1619">
      <c r="H1619" t="s">
        <v>5117</v>
      </c>
    </row>
    <row r="1620">
      <c r="H1620" t="s">
        <v>5117</v>
      </c>
    </row>
    <row r="1621">
      <c r="H1621" t="s">
        <v>5117</v>
      </c>
    </row>
    <row r="1622">
      <c r="H1622" t="s">
        <v>5117</v>
      </c>
    </row>
    <row r="1623">
      <c r="H1623" t="s">
        <v>5117</v>
      </c>
    </row>
    <row r="1624">
      <c r="H1624" t="s">
        <v>5117</v>
      </c>
    </row>
    <row r="1625">
      <c r="H1625" t="s">
        <v>5117</v>
      </c>
    </row>
    <row r="1626">
      <c r="H1626" t="s">
        <v>5117</v>
      </c>
    </row>
    <row r="1627">
      <c r="H1627" t="s">
        <v>5117</v>
      </c>
    </row>
    <row r="1628">
      <c r="H1628" t="s">
        <v>5117</v>
      </c>
    </row>
    <row r="1629">
      <c r="H1629" t="s">
        <v>5117</v>
      </c>
    </row>
    <row r="1630">
      <c r="H1630" t="s">
        <v>5117</v>
      </c>
    </row>
    <row r="1631">
      <c r="H1631" t="s">
        <v>5117</v>
      </c>
    </row>
    <row r="1632">
      <c r="H1632" t="s">
        <v>5117</v>
      </c>
    </row>
    <row r="1633">
      <c r="H1633" t="s">
        <v>5117</v>
      </c>
    </row>
    <row r="1634">
      <c r="H1634" t="s">
        <v>5117</v>
      </c>
    </row>
    <row r="1635">
      <c r="H1635" t="s">
        <v>5117</v>
      </c>
    </row>
    <row r="1636">
      <c r="H1636" t="s">
        <v>5117</v>
      </c>
    </row>
    <row r="1637">
      <c r="H1637" t="s">
        <v>5117</v>
      </c>
    </row>
    <row r="1638">
      <c r="H1638" t="s">
        <v>5117</v>
      </c>
    </row>
    <row r="1639">
      <c r="H1639" t="s">
        <v>5117</v>
      </c>
    </row>
    <row r="1640">
      <c r="H1640" t="s">
        <v>5117</v>
      </c>
    </row>
    <row r="1641">
      <c r="H1641" t="s">
        <v>5117</v>
      </c>
    </row>
    <row r="1642">
      <c r="H1642" t="s">
        <v>5117</v>
      </c>
    </row>
    <row r="1643">
      <c r="H1643" t="s">
        <v>5117</v>
      </c>
    </row>
    <row r="1644">
      <c r="H1644" t="s">
        <v>5117</v>
      </c>
    </row>
    <row r="1645">
      <c r="H1645" t="s">
        <v>5117</v>
      </c>
    </row>
    <row r="1646">
      <c r="H1646" t="s">
        <v>5117</v>
      </c>
    </row>
    <row r="1647">
      <c r="H1647" t="s">
        <v>5117</v>
      </c>
    </row>
    <row r="1648">
      <c r="H1648" t="s">
        <v>5117</v>
      </c>
    </row>
    <row r="1649">
      <c r="H1649" t="s">
        <v>5117</v>
      </c>
    </row>
    <row r="1650">
      <c r="H1650" t="s">
        <v>5117</v>
      </c>
    </row>
    <row r="1651">
      <c r="H1651" t="s">
        <v>5117</v>
      </c>
    </row>
    <row r="1652">
      <c r="H1652" t="s">
        <v>5117</v>
      </c>
    </row>
    <row r="1653">
      <c r="H1653" t="s">
        <v>5117</v>
      </c>
    </row>
    <row r="1654">
      <c r="H1654" t="s">
        <v>5117</v>
      </c>
    </row>
    <row r="1655">
      <c r="H1655" t="s">
        <v>5117</v>
      </c>
    </row>
    <row r="1656">
      <c r="H1656" t="s">
        <v>5117</v>
      </c>
    </row>
    <row r="1657">
      <c r="H1657" t="s">
        <v>5117</v>
      </c>
    </row>
    <row r="1658">
      <c r="H1658" t="s">
        <v>5117</v>
      </c>
    </row>
    <row r="1659">
      <c r="H1659" t="s">
        <v>5117</v>
      </c>
    </row>
    <row r="1660">
      <c r="H1660" t="s">
        <v>5117</v>
      </c>
    </row>
    <row r="1661">
      <c r="H1661" t="s">
        <v>5117</v>
      </c>
    </row>
    <row r="1662">
      <c r="H1662" t="s">
        <v>5117</v>
      </c>
    </row>
    <row r="1663">
      <c r="H1663" t="s">
        <v>5117</v>
      </c>
    </row>
    <row r="1664">
      <c r="H1664" t="s">
        <v>5117</v>
      </c>
    </row>
    <row r="1665">
      <c r="H1665" t="s">
        <v>5117</v>
      </c>
    </row>
    <row r="1666">
      <c r="H1666" t="s">
        <v>5117</v>
      </c>
    </row>
    <row r="1667">
      <c r="H1667" t="s">
        <v>5117</v>
      </c>
    </row>
    <row r="1668">
      <c r="H1668" t="s">
        <v>5117</v>
      </c>
    </row>
    <row r="1669">
      <c r="H1669" t="s">
        <v>5117</v>
      </c>
    </row>
    <row r="1670">
      <c r="H1670" t="s">
        <v>5117</v>
      </c>
    </row>
    <row r="1671">
      <c r="H1671" t="s">
        <v>5117</v>
      </c>
    </row>
    <row r="1672">
      <c r="H1672" t="s">
        <v>5117</v>
      </c>
    </row>
    <row r="1673">
      <c r="H1673" t="s">
        <v>5117</v>
      </c>
    </row>
    <row r="1674">
      <c r="H1674" t="s">
        <v>5117</v>
      </c>
    </row>
    <row r="1675">
      <c r="H1675" t="s">
        <v>5117</v>
      </c>
    </row>
    <row r="1676">
      <c r="H1676" t="s">
        <v>5117</v>
      </c>
    </row>
    <row r="1677">
      <c r="H1677" t="s">
        <v>5117</v>
      </c>
    </row>
    <row r="1678">
      <c r="H1678" t="s">
        <v>5117</v>
      </c>
    </row>
    <row r="1679">
      <c r="H1679" t="s">
        <v>5117</v>
      </c>
    </row>
    <row r="1680">
      <c r="H1680" t="s">
        <v>5117</v>
      </c>
    </row>
    <row r="1681">
      <c r="H1681" t="s">
        <v>5117</v>
      </c>
    </row>
    <row r="1682">
      <c r="H1682" t="s">
        <v>5117</v>
      </c>
    </row>
    <row r="1683">
      <c r="H1683" t="s">
        <v>5117</v>
      </c>
    </row>
    <row r="1684">
      <c r="H1684" t="s">
        <v>5117</v>
      </c>
    </row>
    <row r="1685">
      <c r="H1685" t="s">
        <v>5117</v>
      </c>
    </row>
    <row r="1686">
      <c r="H1686" t="s">
        <v>5117</v>
      </c>
    </row>
    <row r="1687">
      <c r="H1687" t="s">
        <v>5117</v>
      </c>
    </row>
    <row r="1688">
      <c r="H1688" t="s">
        <v>5117</v>
      </c>
    </row>
    <row r="1689">
      <c r="H1689" t="s">
        <v>5117</v>
      </c>
    </row>
    <row r="1690">
      <c r="H1690" t="s">
        <v>5117</v>
      </c>
    </row>
    <row r="1691">
      <c r="H1691" t="s">
        <v>5117</v>
      </c>
    </row>
    <row r="1692">
      <c r="H1692" t="s">
        <v>5117</v>
      </c>
    </row>
    <row r="1693">
      <c r="H1693" t="s">
        <v>5117</v>
      </c>
    </row>
    <row r="1694">
      <c r="H1694" t="s">
        <v>5117</v>
      </c>
    </row>
    <row r="1695">
      <c r="H1695" t="s">
        <v>5117</v>
      </c>
    </row>
    <row r="1696">
      <c r="H1696" t="s">
        <v>5117</v>
      </c>
    </row>
    <row r="1697">
      <c r="H1697" t="s">
        <v>5117</v>
      </c>
    </row>
    <row r="1698">
      <c r="H1698" t="s">
        <v>5117</v>
      </c>
    </row>
    <row r="1699">
      <c r="H1699" t="s">
        <v>5117</v>
      </c>
    </row>
    <row r="1700">
      <c r="H1700" t="s">
        <v>5117</v>
      </c>
    </row>
    <row r="1701">
      <c r="H1701" t="s">
        <v>5117</v>
      </c>
    </row>
    <row r="1702">
      <c r="H1702" t="s">
        <v>5117</v>
      </c>
    </row>
    <row r="1703">
      <c r="H1703" t="s">
        <v>5117</v>
      </c>
    </row>
    <row r="1704">
      <c r="H1704" t="s">
        <v>5117</v>
      </c>
    </row>
    <row r="1705">
      <c r="H1705" t="s">
        <v>5117</v>
      </c>
    </row>
    <row r="1706">
      <c r="H1706" t="s">
        <v>5117</v>
      </c>
    </row>
    <row r="1707">
      <c r="H1707" t="s">
        <v>5117</v>
      </c>
    </row>
    <row r="1708">
      <c r="H1708" t="s">
        <v>5117</v>
      </c>
    </row>
    <row r="1709">
      <c r="H1709" t="s">
        <v>5117</v>
      </c>
    </row>
    <row r="1710">
      <c r="H1710" t="s">
        <v>5117</v>
      </c>
    </row>
    <row r="1711">
      <c r="H1711" t="s">
        <v>5117</v>
      </c>
    </row>
    <row r="1712">
      <c r="H1712" t="s">
        <v>5117</v>
      </c>
    </row>
    <row r="1713">
      <c r="H1713" t="s">
        <v>5117</v>
      </c>
    </row>
    <row r="1714">
      <c r="H1714" t="s">
        <v>5117</v>
      </c>
    </row>
    <row r="1715">
      <c r="H1715" t="s">
        <v>5117</v>
      </c>
    </row>
    <row r="1716">
      <c r="H1716" t="s">
        <v>5117</v>
      </c>
    </row>
    <row r="1717">
      <c r="H1717" t="s">
        <v>5117</v>
      </c>
    </row>
    <row r="1718">
      <c r="H1718" t="s">
        <v>5117</v>
      </c>
    </row>
    <row r="1719">
      <c r="H1719" t="s">
        <v>5117</v>
      </c>
    </row>
    <row r="1720">
      <c r="H1720" t="s">
        <v>5117</v>
      </c>
    </row>
    <row r="1721">
      <c r="H1721" t="s">
        <v>5117</v>
      </c>
    </row>
    <row r="1722">
      <c r="H1722" t="s">
        <v>5117</v>
      </c>
    </row>
    <row r="1723">
      <c r="H1723" t="s">
        <v>5117</v>
      </c>
    </row>
    <row r="1724">
      <c r="H1724" t="s">
        <v>5117</v>
      </c>
    </row>
    <row r="1725">
      <c r="H1725" t="s">
        <v>5117</v>
      </c>
    </row>
    <row r="1726">
      <c r="H1726" t="s">
        <v>5117</v>
      </c>
    </row>
    <row r="1727">
      <c r="H1727" t="s">
        <v>5117</v>
      </c>
    </row>
    <row r="1728">
      <c r="H1728" t="s">
        <v>5117</v>
      </c>
    </row>
    <row r="1729">
      <c r="H1729" t="s">
        <v>5117</v>
      </c>
    </row>
    <row r="1730">
      <c r="H1730" t="s">
        <v>5117</v>
      </c>
    </row>
    <row r="1731">
      <c r="H1731" t="s">
        <v>5117</v>
      </c>
    </row>
    <row r="1732">
      <c r="H1732" t="s">
        <v>5117</v>
      </c>
    </row>
    <row r="1733">
      <c r="H1733" t="s">
        <v>5117</v>
      </c>
    </row>
    <row r="1734">
      <c r="H1734" t="s">
        <v>5117</v>
      </c>
    </row>
    <row r="1735">
      <c r="H1735" t="s">
        <v>5117</v>
      </c>
    </row>
    <row r="1736">
      <c r="H1736" t="s">
        <v>5117</v>
      </c>
    </row>
    <row r="1737">
      <c r="H1737" t="s">
        <v>5117</v>
      </c>
    </row>
    <row r="1738">
      <c r="H1738" t="s">
        <v>5117</v>
      </c>
    </row>
    <row r="1739">
      <c r="H1739" t="s">
        <v>5117</v>
      </c>
    </row>
    <row r="1740">
      <c r="H1740" t="s">
        <v>5117</v>
      </c>
    </row>
    <row r="1741">
      <c r="H1741" t="s">
        <v>5117</v>
      </c>
    </row>
    <row r="1742">
      <c r="H1742" t="s">
        <v>5117</v>
      </c>
    </row>
    <row r="1743">
      <c r="H1743" t="s">
        <v>5117</v>
      </c>
    </row>
    <row r="1744">
      <c r="H1744" t="s">
        <v>5117</v>
      </c>
    </row>
    <row r="1745">
      <c r="H1745" t="s">
        <v>5117</v>
      </c>
    </row>
    <row r="1746">
      <c r="H1746" t="s">
        <v>5117</v>
      </c>
    </row>
    <row r="1747">
      <c r="H1747" t="s">
        <v>5117</v>
      </c>
    </row>
    <row r="1748">
      <c r="H1748" t="s">
        <v>5117</v>
      </c>
    </row>
    <row r="1749">
      <c r="H1749" t="s">
        <v>5117</v>
      </c>
    </row>
    <row r="1750">
      <c r="H1750" t="s">
        <v>5117</v>
      </c>
    </row>
    <row r="1751">
      <c r="H1751" t="s">
        <v>5117</v>
      </c>
    </row>
    <row r="1752">
      <c r="H1752" t="s">
        <v>5117</v>
      </c>
    </row>
    <row r="1753">
      <c r="H1753" t="s">
        <v>5117</v>
      </c>
    </row>
    <row r="1754">
      <c r="H1754" t="s">
        <v>5117</v>
      </c>
    </row>
    <row r="1755">
      <c r="H1755" t="s">
        <v>5117</v>
      </c>
    </row>
    <row r="1756">
      <c r="H1756" t="s">
        <v>5117</v>
      </c>
    </row>
    <row r="1757">
      <c r="H1757" t="s">
        <v>5117</v>
      </c>
    </row>
    <row r="1758">
      <c r="H1758" t="s">
        <v>5117</v>
      </c>
    </row>
    <row r="1759">
      <c r="H1759" t="s">
        <v>5117</v>
      </c>
    </row>
    <row r="1760">
      <c r="H1760" t="s">
        <v>5117</v>
      </c>
    </row>
    <row r="1761">
      <c r="H1761" t="s">
        <v>5117</v>
      </c>
    </row>
    <row r="1762">
      <c r="H1762" t="s">
        <v>5117</v>
      </c>
    </row>
    <row r="1763">
      <c r="H1763" t="s">
        <v>5117</v>
      </c>
    </row>
    <row r="1764">
      <c r="H1764" t="s">
        <v>5117</v>
      </c>
    </row>
    <row r="1765">
      <c r="H1765" t="s">
        <v>5117</v>
      </c>
    </row>
    <row r="1766">
      <c r="H1766" t="s">
        <v>5117</v>
      </c>
    </row>
    <row r="1767">
      <c r="H1767" t="s">
        <v>5117</v>
      </c>
    </row>
    <row r="1768">
      <c r="H1768" t="s">
        <v>5117</v>
      </c>
    </row>
    <row r="1769">
      <c r="H1769" t="s">
        <v>5117</v>
      </c>
    </row>
    <row r="1770">
      <c r="H1770" t="s">
        <v>5117</v>
      </c>
    </row>
    <row r="1771">
      <c r="H1771" t="s">
        <v>5117</v>
      </c>
    </row>
    <row r="1772">
      <c r="H1772" t="s">
        <v>5117</v>
      </c>
    </row>
    <row r="1773">
      <c r="H1773" t="s">
        <v>5117</v>
      </c>
    </row>
    <row r="1774">
      <c r="H1774" t="s">
        <v>5117</v>
      </c>
    </row>
    <row r="1775">
      <c r="H1775" t="s">
        <v>5117</v>
      </c>
    </row>
    <row r="1776">
      <c r="H1776" t="s">
        <v>5117</v>
      </c>
    </row>
    <row r="1777">
      <c r="H1777" t="s">
        <v>5117</v>
      </c>
    </row>
    <row r="1778">
      <c r="H1778" t="s">
        <v>5117</v>
      </c>
    </row>
    <row r="1779">
      <c r="H1779" t="s">
        <v>5117</v>
      </c>
    </row>
    <row r="1780">
      <c r="H1780" t="s">
        <v>5117</v>
      </c>
    </row>
    <row r="1781">
      <c r="H1781" t="s">
        <v>5117</v>
      </c>
    </row>
    <row r="1782">
      <c r="H1782" t="s">
        <v>5117</v>
      </c>
    </row>
    <row r="1783">
      <c r="H1783" t="s">
        <v>5117</v>
      </c>
    </row>
    <row r="1784">
      <c r="H1784" t="s">
        <v>5117</v>
      </c>
    </row>
    <row r="1785">
      <c r="H1785" t="s">
        <v>5117</v>
      </c>
    </row>
    <row r="1786">
      <c r="H1786" t="s">
        <v>5117</v>
      </c>
    </row>
    <row r="1787">
      <c r="H1787" t="s">
        <v>5117</v>
      </c>
    </row>
    <row r="1788">
      <c r="H1788" t="s">
        <v>5117</v>
      </c>
    </row>
    <row r="1789">
      <c r="H1789" t="s">
        <v>5117</v>
      </c>
    </row>
    <row r="1790">
      <c r="H1790" t="s">
        <v>5117</v>
      </c>
    </row>
    <row r="1791">
      <c r="H1791" t="s">
        <v>5117</v>
      </c>
    </row>
    <row r="1792">
      <c r="H1792" t="s">
        <v>5117</v>
      </c>
    </row>
    <row r="1793">
      <c r="H1793" t="s">
        <v>5117</v>
      </c>
    </row>
    <row r="1794">
      <c r="H1794" t="s">
        <v>5117</v>
      </c>
    </row>
    <row r="1795">
      <c r="H1795" t="s">
        <v>5117</v>
      </c>
    </row>
    <row r="1796">
      <c r="H1796" t="s">
        <v>5117</v>
      </c>
    </row>
    <row r="1797">
      <c r="H1797" t="s">
        <v>5117</v>
      </c>
    </row>
    <row r="1798">
      <c r="H1798" t="s">
        <v>5117</v>
      </c>
    </row>
    <row r="1799">
      <c r="H1799" t="s">
        <v>5117</v>
      </c>
    </row>
    <row r="1800">
      <c r="H1800" t="s">
        <v>5117</v>
      </c>
    </row>
    <row r="1801">
      <c r="H1801" t="s">
        <v>5117</v>
      </c>
    </row>
    <row r="1802">
      <c r="H1802" t="s">
        <v>5117</v>
      </c>
    </row>
    <row r="1803">
      <c r="H1803" t="s">
        <v>5117</v>
      </c>
    </row>
    <row r="1804">
      <c r="H1804" t="s">
        <v>5117</v>
      </c>
    </row>
    <row r="1805">
      <c r="H1805" t="s">
        <v>5117</v>
      </c>
    </row>
    <row r="1806">
      <c r="H1806" t="s">
        <v>5117</v>
      </c>
    </row>
    <row r="1807">
      <c r="H1807" t="s">
        <v>5117</v>
      </c>
    </row>
    <row r="1808">
      <c r="H1808" t="s">
        <v>5117</v>
      </c>
    </row>
    <row r="1809">
      <c r="H1809" t="s">
        <v>5117</v>
      </c>
    </row>
    <row r="1810">
      <c r="H1810" t="s">
        <v>5117</v>
      </c>
    </row>
    <row r="1811">
      <c r="H1811" t="s">
        <v>5117</v>
      </c>
    </row>
    <row r="1812">
      <c r="H1812" t="s">
        <v>5117</v>
      </c>
    </row>
    <row r="1813">
      <c r="H1813" t="s">
        <v>5117</v>
      </c>
    </row>
    <row r="1814">
      <c r="H1814" t="s">
        <v>5117</v>
      </c>
    </row>
    <row r="1815">
      <c r="H1815" t="s">
        <v>5117</v>
      </c>
    </row>
    <row r="1816">
      <c r="H1816" t="s">
        <v>5117</v>
      </c>
    </row>
    <row r="1817">
      <c r="H1817" t="s">
        <v>5117</v>
      </c>
    </row>
    <row r="1818">
      <c r="H1818" t="s">
        <v>5117</v>
      </c>
    </row>
    <row r="1819">
      <c r="H1819" t="s">
        <v>5117</v>
      </c>
    </row>
    <row r="1820">
      <c r="H1820" t="s">
        <v>5117</v>
      </c>
    </row>
    <row r="1821">
      <c r="H1821" t="s">
        <v>5117</v>
      </c>
    </row>
    <row r="1822">
      <c r="H1822" t="s">
        <v>5117</v>
      </c>
    </row>
    <row r="1823">
      <c r="H1823" t="s">
        <v>5117</v>
      </c>
    </row>
    <row r="1824">
      <c r="H1824" t="s">
        <v>5117</v>
      </c>
    </row>
    <row r="1825">
      <c r="H1825" t="s">
        <v>5117</v>
      </c>
    </row>
    <row r="1826">
      <c r="H1826" t="s">
        <v>5117</v>
      </c>
    </row>
    <row r="1827">
      <c r="H1827" t="s">
        <v>5117</v>
      </c>
    </row>
    <row r="1828">
      <c r="H1828" t="s">
        <v>5117</v>
      </c>
    </row>
    <row r="1829">
      <c r="H1829" t="s">
        <v>5117</v>
      </c>
    </row>
    <row r="1830">
      <c r="H1830" t="s">
        <v>5117</v>
      </c>
    </row>
    <row r="1831">
      <c r="H1831" t="s">
        <v>5117</v>
      </c>
    </row>
    <row r="1832">
      <c r="H1832" t="s">
        <v>5117</v>
      </c>
    </row>
    <row r="1833">
      <c r="H1833" t="s">
        <v>5117</v>
      </c>
    </row>
    <row r="1834">
      <c r="H1834" t="s">
        <v>5117</v>
      </c>
    </row>
    <row r="1835">
      <c r="H1835" t="s">
        <v>5117</v>
      </c>
    </row>
    <row r="1836">
      <c r="H1836" t="s">
        <v>5117</v>
      </c>
    </row>
    <row r="1837">
      <c r="H1837" t="s">
        <v>5117</v>
      </c>
    </row>
    <row r="1838">
      <c r="H1838" t="s">
        <v>5117</v>
      </c>
    </row>
    <row r="1839">
      <c r="H1839" t="s">
        <v>5117</v>
      </c>
    </row>
    <row r="1840">
      <c r="H1840" t="s">
        <v>5117</v>
      </c>
    </row>
    <row r="1841">
      <c r="H1841" t="s">
        <v>5117</v>
      </c>
    </row>
    <row r="1842">
      <c r="H1842" t="s">
        <v>5117</v>
      </c>
    </row>
    <row r="1843">
      <c r="H1843" t="s">
        <v>5117</v>
      </c>
    </row>
    <row r="1844">
      <c r="H1844" t="s">
        <v>5117</v>
      </c>
    </row>
    <row r="1845">
      <c r="H1845" t="s">
        <v>5117</v>
      </c>
    </row>
    <row r="1846">
      <c r="H1846" t="s">
        <v>5117</v>
      </c>
    </row>
    <row r="1847">
      <c r="H1847" t="s">
        <v>5117</v>
      </c>
    </row>
    <row r="1848">
      <c r="H1848" t="s">
        <v>5117</v>
      </c>
    </row>
    <row r="1849">
      <c r="H1849" t="s">
        <v>5117</v>
      </c>
    </row>
    <row r="1850">
      <c r="H1850" t="s">
        <v>5117</v>
      </c>
    </row>
    <row r="1851">
      <c r="H1851" t="s">
        <v>5117</v>
      </c>
    </row>
    <row r="1852">
      <c r="H1852" t="s">
        <v>5117</v>
      </c>
    </row>
    <row r="1853">
      <c r="H1853" t="s">
        <v>5117</v>
      </c>
    </row>
    <row r="1854">
      <c r="H1854" t="s">
        <v>5117</v>
      </c>
    </row>
    <row r="1855">
      <c r="H1855" t="s">
        <v>5117</v>
      </c>
    </row>
    <row r="1856">
      <c r="H1856" t="s">
        <v>5117</v>
      </c>
    </row>
    <row r="1857">
      <c r="H1857" t="s">
        <v>5117</v>
      </c>
    </row>
    <row r="1858">
      <c r="H1858" t="s">
        <v>5117</v>
      </c>
    </row>
    <row r="1859">
      <c r="H1859" t="s">
        <v>5117</v>
      </c>
    </row>
    <row r="1860">
      <c r="H1860" t="s">
        <v>5117</v>
      </c>
    </row>
    <row r="1861">
      <c r="H1861" t="s">
        <v>5117</v>
      </c>
    </row>
    <row r="1862">
      <c r="H1862" t="s">
        <v>5117</v>
      </c>
    </row>
    <row r="1863">
      <c r="H1863" t="s">
        <v>5117</v>
      </c>
    </row>
    <row r="1864">
      <c r="H1864" t="s">
        <v>5117</v>
      </c>
    </row>
    <row r="1865">
      <c r="H1865" t="s">
        <v>5117</v>
      </c>
    </row>
    <row r="1866">
      <c r="H1866" t="s">
        <v>5117</v>
      </c>
    </row>
    <row r="1867">
      <c r="H1867" t="s">
        <v>5117</v>
      </c>
    </row>
    <row r="1868">
      <c r="H1868" t="s">
        <v>5117</v>
      </c>
    </row>
    <row r="1869">
      <c r="H1869" t="s">
        <v>5117</v>
      </c>
    </row>
    <row r="1870">
      <c r="H1870" t="s">
        <v>5117</v>
      </c>
    </row>
    <row r="1871">
      <c r="H1871" t="s">
        <v>5117</v>
      </c>
    </row>
    <row r="1872">
      <c r="H1872" t="s">
        <v>5117</v>
      </c>
    </row>
    <row r="1873">
      <c r="H1873" t="s">
        <v>5117</v>
      </c>
    </row>
    <row r="1874">
      <c r="H1874" t="s">
        <v>5117</v>
      </c>
    </row>
    <row r="1875">
      <c r="H1875" t="s">
        <v>5117</v>
      </c>
    </row>
    <row r="1876">
      <c r="H1876" t="s">
        <v>5117</v>
      </c>
    </row>
    <row r="1877">
      <c r="H1877" t="s">
        <v>5117</v>
      </c>
    </row>
    <row r="1878">
      <c r="H1878" t="s">
        <v>5117</v>
      </c>
    </row>
    <row r="1879">
      <c r="H1879" t="s">
        <v>5117</v>
      </c>
    </row>
    <row r="1880">
      <c r="H1880" t="s">
        <v>5117</v>
      </c>
    </row>
    <row r="1881">
      <c r="H1881" t="s">
        <v>5117</v>
      </c>
    </row>
    <row r="1882">
      <c r="H1882" t="s">
        <v>5117</v>
      </c>
    </row>
    <row r="1883">
      <c r="H1883" t="s">
        <v>5117</v>
      </c>
    </row>
    <row r="1884">
      <c r="H1884" t="s">
        <v>5117</v>
      </c>
    </row>
    <row r="1885">
      <c r="H1885" t="s">
        <v>5117</v>
      </c>
    </row>
    <row r="1886">
      <c r="H1886" t="s">
        <v>5117</v>
      </c>
    </row>
    <row r="1887">
      <c r="H1887" t="s">
        <v>5117</v>
      </c>
    </row>
    <row r="1888">
      <c r="H1888" t="s">
        <v>5117</v>
      </c>
    </row>
    <row r="1889">
      <c r="H1889" t="s">
        <v>5117</v>
      </c>
    </row>
    <row r="1890">
      <c r="H1890" t="s">
        <v>5117</v>
      </c>
    </row>
    <row r="1891">
      <c r="H1891" t="s">
        <v>5117</v>
      </c>
    </row>
    <row r="1892">
      <c r="H1892" t="s">
        <v>5117</v>
      </c>
    </row>
    <row r="1893">
      <c r="H1893" t="s">
        <v>5117</v>
      </c>
    </row>
    <row r="1894">
      <c r="H1894" t="s">
        <v>5117</v>
      </c>
    </row>
    <row r="1895">
      <c r="H1895" t="s">
        <v>5117</v>
      </c>
    </row>
    <row r="1896">
      <c r="H1896" t="s">
        <v>5117</v>
      </c>
    </row>
    <row r="1897">
      <c r="H1897" t="s">
        <v>5117</v>
      </c>
    </row>
    <row r="1898">
      <c r="H1898" t="s">
        <v>5117</v>
      </c>
    </row>
    <row r="1899">
      <c r="H1899" t="s">
        <v>5117</v>
      </c>
    </row>
    <row r="1900">
      <c r="H1900" t="s">
        <v>5117</v>
      </c>
    </row>
    <row r="1901">
      <c r="H1901" t="s">
        <v>5117</v>
      </c>
    </row>
    <row r="1902">
      <c r="H1902" t="s">
        <v>5117</v>
      </c>
    </row>
    <row r="1903">
      <c r="H1903" t="s">
        <v>5117</v>
      </c>
    </row>
    <row r="1904">
      <c r="H1904" t="s">
        <v>5117</v>
      </c>
    </row>
    <row r="1905">
      <c r="H1905" t="s">
        <v>5117</v>
      </c>
    </row>
    <row r="1906">
      <c r="H1906" t="s">
        <v>5117</v>
      </c>
    </row>
    <row r="1907">
      <c r="H1907" t="s">
        <v>5117</v>
      </c>
    </row>
    <row r="1908">
      <c r="H1908" t="s">
        <v>5117</v>
      </c>
    </row>
    <row r="1909">
      <c r="H1909" t="s">
        <v>5117</v>
      </c>
    </row>
    <row r="1910">
      <c r="H1910" t="s">
        <v>5117</v>
      </c>
    </row>
    <row r="1911">
      <c r="H1911" t="s">
        <v>5117</v>
      </c>
    </row>
    <row r="1912">
      <c r="H1912" t="s">
        <v>5117</v>
      </c>
    </row>
    <row r="1913">
      <c r="H1913" t="s">
        <v>5117</v>
      </c>
    </row>
    <row r="1914">
      <c r="H1914" t="s">
        <v>5117</v>
      </c>
    </row>
    <row r="1915">
      <c r="H1915" t="s">
        <v>5117</v>
      </c>
    </row>
    <row r="1916">
      <c r="H1916" t="s">
        <v>5117</v>
      </c>
    </row>
    <row r="1917">
      <c r="H1917" t="s">
        <v>5117</v>
      </c>
    </row>
    <row r="1918">
      <c r="H1918" t="s">
        <v>5117</v>
      </c>
    </row>
    <row r="1919">
      <c r="H1919" t="s">
        <v>5117</v>
      </c>
    </row>
    <row r="1920">
      <c r="H1920" t="s">
        <v>5117</v>
      </c>
    </row>
    <row r="1921">
      <c r="H1921" t="s">
        <v>5117</v>
      </c>
    </row>
    <row r="1922">
      <c r="H1922" t="s">
        <v>5117</v>
      </c>
    </row>
    <row r="1923">
      <c r="H1923" t="s">
        <v>5117</v>
      </c>
    </row>
    <row r="1924">
      <c r="H1924" t="s">
        <v>5117</v>
      </c>
    </row>
    <row r="1925">
      <c r="H1925" t="s">
        <v>5117</v>
      </c>
    </row>
    <row r="1926">
      <c r="H1926" t="s">
        <v>5117</v>
      </c>
    </row>
    <row r="1927">
      <c r="H1927" t="s">
        <v>5117</v>
      </c>
    </row>
    <row r="1928">
      <c r="H1928" t="s">
        <v>5117</v>
      </c>
    </row>
    <row r="1929">
      <c r="H1929" t="s">
        <v>5117</v>
      </c>
    </row>
    <row r="1930">
      <c r="H1930" t="s">
        <v>5117</v>
      </c>
    </row>
    <row r="1931">
      <c r="H1931" t="s">
        <v>5117</v>
      </c>
    </row>
    <row r="1932">
      <c r="H1932" t="s">
        <v>5117</v>
      </c>
    </row>
    <row r="1933">
      <c r="H1933" t="s">
        <v>5117</v>
      </c>
    </row>
    <row r="1934">
      <c r="H1934" t="s">
        <v>5117</v>
      </c>
    </row>
    <row r="1935">
      <c r="H1935" t="s">
        <v>5117</v>
      </c>
    </row>
    <row r="1936">
      <c r="H1936" t="s">
        <v>5117</v>
      </c>
    </row>
    <row r="1937">
      <c r="H1937" t="s">
        <v>5117</v>
      </c>
    </row>
    <row r="1938">
      <c r="H1938" t="s">
        <v>5117</v>
      </c>
    </row>
    <row r="1939">
      <c r="H1939" t="s">
        <v>5117</v>
      </c>
    </row>
    <row r="1940">
      <c r="H1940" t="s">
        <v>5117</v>
      </c>
    </row>
    <row r="1941">
      <c r="H1941" t="s">
        <v>5117</v>
      </c>
    </row>
    <row r="1942">
      <c r="H1942" t="s">
        <v>5117</v>
      </c>
    </row>
    <row r="1943">
      <c r="H1943" t="s">
        <v>5117</v>
      </c>
    </row>
    <row r="1944">
      <c r="H1944" t="s">
        <v>5117</v>
      </c>
    </row>
    <row r="1945">
      <c r="H1945" t="s">
        <v>5117</v>
      </c>
    </row>
    <row r="1946">
      <c r="H1946" t="s">
        <v>5117</v>
      </c>
    </row>
    <row r="1947">
      <c r="H1947" t="s">
        <v>5117</v>
      </c>
    </row>
    <row r="1948">
      <c r="H1948" t="s">
        <v>5117</v>
      </c>
    </row>
    <row r="1949">
      <c r="H1949" t="s">
        <v>5117</v>
      </c>
    </row>
    <row r="1950">
      <c r="H1950" t="s">
        <v>5117</v>
      </c>
    </row>
    <row r="1951">
      <c r="H1951" t="s">
        <v>5117</v>
      </c>
    </row>
    <row r="1952">
      <c r="H1952" t="s">
        <v>5117</v>
      </c>
    </row>
    <row r="1953">
      <c r="H1953" t="s">
        <v>5117</v>
      </c>
    </row>
    <row r="1954">
      <c r="H1954" t="s">
        <v>5117</v>
      </c>
    </row>
    <row r="1955">
      <c r="H1955" t="s">
        <v>5117</v>
      </c>
    </row>
    <row r="1956">
      <c r="H1956" t="s">
        <v>5117</v>
      </c>
    </row>
    <row r="1957">
      <c r="H1957" t="s">
        <v>5117</v>
      </c>
    </row>
    <row r="1958">
      <c r="H1958" t="s">
        <v>5117</v>
      </c>
    </row>
    <row r="1959">
      <c r="H1959" t="s">
        <v>5117</v>
      </c>
    </row>
    <row r="1960">
      <c r="H1960" t="s">
        <v>5117</v>
      </c>
    </row>
    <row r="1961">
      <c r="H1961" t="s">
        <v>5117</v>
      </c>
    </row>
    <row r="1962">
      <c r="H1962" t="s">
        <v>5117</v>
      </c>
    </row>
    <row r="1963">
      <c r="H1963" t="s">
        <v>5117</v>
      </c>
    </row>
    <row r="1964">
      <c r="H1964" t="s">
        <v>5117</v>
      </c>
    </row>
    <row r="1965">
      <c r="H1965" t="s">
        <v>5117</v>
      </c>
    </row>
    <row r="1966">
      <c r="H1966" t="s">
        <v>5117</v>
      </c>
    </row>
    <row r="1967">
      <c r="H1967" t="s">
        <v>5117</v>
      </c>
    </row>
    <row r="1968">
      <c r="H1968" t="s">
        <v>5117</v>
      </c>
    </row>
    <row r="1969">
      <c r="H1969" t="s">
        <v>5117</v>
      </c>
    </row>
    <row r="1970">
      <c r="H1970" t="s">
        <v>5117</v>
      </c>
    </row>
    <row r="1971">
      <c r="H1971" t="s">
        <v>5117</v>
      </c>
    </row>
    <row r="1972">
      <c r="H1972" t="s">
        <v>5117</v>
      </c>
    </row>
    <row r="1973">
      <c r="H1973" t="s">
        <v>5117</v>
      </c>
    </row>
    <row r="1974">
      <c r="H1974" t="s">
        <v>5117</v>
      </c>
    </row>
    <row r="1975">
      <c r="H1975" t="s">
        <v>5117</v>
      </c>
    </row>
    <row r="1976">
      <c r="H1976" t="s">
        <v>5117</v>
      </c>
    </row>
    <row r="1977">
      <c r="H1977" t="s">
        <v>5117</v>
      </c>
    </row>
    <row r="1978">
      <c r="H1978" t="s">
        <v>5117</v>
      </c>
    </row>
    <row r="1979">
      <c r="H1979" t="s">
        <v>5117</v>
      </c>
    </row>
    <row r="1980">
      <c r="H1980" t="s">
        <v>5117</v>
      </c>
    </row>
    <row r="1981">
      <c r="H1981" t="s">
        <v>5117</v>
      </c>
    </row>
    <row r="1982">
      <c r="H1982" t="s">
        <v>5117</v>
      </c>
    </row>
    <row r="1983">
      <c r="H1983" t="s">
        <v>5117</v>
      </c>
    </row>
    <row r="1984">
      <c r="H1984" t="s">
        <v>5117</v>
      </c>
    </row>
    <row r="1985">
      <c r="H1985" t="s">
        <v>5117</v>
      </c>
    </row>
    <row r="1986">
      <c r="H1986" t="s">
        <v>5117</v>
      </c>
    </row>
    <row r="1987">
      <c r="H1987" t="s">
        <v>5117</v>
      </c>
    </row>
    <row r="1988">
      <c r="H1988" t="s">
        <v>5117</v>
      </c>
    </row>
    <row r="1989">
      <c r="H1989" t="s">
        <v>5117</v>
      </c>
    </row>
    <row r="1990">
      <c r="H1990" t="s">
        <v>5117</v>
      </c>
    </row>
    <row r="1991">
      <c r="H1991" t="s">
        <v>5117</v>
      </c>
    </row>
    <row r="1992">
      <c r="H1992" t="s">
        <v>5117</v>
      </c>
    </row>
    <row r="1993">
      <c r="H1993" t="s">
        <v>5117</v>
      </c>
    </row>
    <row r="1994">
      <c r="H1994" t="s">
        <v>5117</v>
      </c>
    </row>
    <row r="1995">
      <c r="H1995" t="s">
        <v>5117</v>
      </c>
    </row>
    <row r="1996">
      <c r="H1996" t="s">
        <v>5117</v>
      </c>
    </row>
    <row r="1997">
      <c r="H1997" t="s">
        <v>5117</v>
      </c>
    </row>
    <row r="1998">
      <c r="H1998" t="s">
        <v>5117</v>
      </c>
    </row>
    <row r="1999">
      <c r="H1999" t="s">
        <v>5117</v>
      </c>
    </row>
    <row r="2000">
      <c r="H2000" t="s">
        <v>5117</v>
      </c>
    </row>
    <row r="2001">
      <c r="H2001" t="s">
        <v>5117</v>
      </c>
    </row>
    <row r="2002">
      <c r="H2002" t="s">
        <v>5117</v>
      </c>
    </row>
    <row r="2003">
      <c r="H2003" t="s">
        <v>5117</v>
      </c>
    </row>
    <row r="2004">
      <c r="H2004" t="s">
        <v>5117</v>
      </c>
    </row>
    <row r="2005">
      <c r="H2005" t="s">
        <v>5117</v>
      </c>
    </row>
    <row r="2006">
      <c r="H2006" t="s">
        <v>5117</v>
      </c>
    </row>
    <row r="2007">
      <c r="H2007" t="s">
        <v>5117</v>
      </c>
    </row>
    <row r="2008">
      <c r="H2008" t="s">
        <v>5117</v>
      </c>
    </row>
    <row r="2009">
      <c r="H2009" t="s">
        <v>5117</v>
      </c>
    </row>
    <row r="2010">
      <c r="H2010" t="s">
        <v>5117</v>
      </c>
    </row>
    <row r="2011">
      <c r="H2011" t="s">
        <v>5117</v>
      </c>
    </row>
    <row r="2012">
      <c r="H2012" t="s">
        <v>5117</v>
      </c>
    </row>
    <row r="2013">
      <c r="H2013" t="s">
        <v>5117</v>
      </c>
    </row>
    <row r="2014">
      <c r="H2014" t="s">
        <v>5117</v>
      </c>
    </row>
    <row r="2015">
      <c r="H2015" t="s">
        <v>5117</v>
      </c>
    </row>
    <row r="2016">
      <c r="H2016" t="s">
        <v>5117</v>
      </c>
    </row>
    <row r="2017">
      <c r="H2017" t="s">
        <v>5117</v>
      </c>
    </row>
    <row r="2018">
      <c r="H2018" t="s">
        <v>5117</v>
      </c>
    </row>
    <row r="2019">
      <c r="H2019" t="s">
        <v>5117</v>
      </c>
    </row>
    <row r="2020">
      <c r="H2020" t="s">
        <v>5117</v>
      </c>
    </row>
    <row r="2021">
      <c r="H2021" t="s">
        <v>5117</v>
      </c>
    </row>
    <row r="2022">
      <c r="H2022" t="s">
        <v>5117</v>
      </c>
    </row>
    <row r="2023">
      <c r="H2023" t="s">
        <v>5117</v>
      </c>
    </row>
    <row r="2024">
      <c r="H2024" t="s">
        <v>5117</v>
      </c>
    </row>
    <row r="2025">
      <c r="H2025" t="s">
        <v>5117</v>
      </c>
    </row>
    <row r="2026">
      <c r="H2026" t="s">
        <v>5117</v>
      </c>
    </row>
    <row r="2027">
      <c r="H2027" t="s">
        <v>5117</v>
      </c>
    </row>
    <row r="2028">
      <c r="H2028" t="s">
        <v>5117</v>
      </c>
    </row>
    <row r="2029">
      <c r="H2029" t="s">
        <v>5117</v>
      </c>
    </row>
    <row r="2030">
      <c r="H2030" t="s">
        <v>5117</v>
      </c>
    </row>
    <row r="2031">
      <c r="H2031" t="s">
        <v>5117</v>
      </c>
    </row>
    <row r="2032">
      <c r="H2032" t="s">
        <v>5117</v>
      </c>
    </row>
    <row r="2033">
      <c r="H2033" t="s">
        <v>5117</v>
      </c>
    </row>
    <row r="2034">
      <c r="H2034" t="s">
        <v>5117</v>
      </c>
    </row>
    <row r="2035">
      <c r="H2035" t="s">
        <v>5117</v>
      </c>
    </row>
    <row r="2036">
      <c r="H2036" t="s">
        <v>5117</v>
      </c>
    </row>
    <row r="2037">
      <c r="H2037" t="s">
        <v>5117</v>
      </c>
    </row>
    <row r="2038">
      <c r="H2038" t="s">
        <v>5117</v>
      </c>
    </row>
    <row r="2039">
      <c r="H2039" t="s">
        <v>5117</v>
      </c>
    </row>
    <row r="2040">
      <c r="H2040" t="s">
        <v>5117</v>
      </c>
    </row>
    <row r="2041">
      <c r="H2041" t="s">
        <v>5117</v>
      </c>
    </row>
    <row r="2042">
      <c r="H2042" t="s">
        <v>5117</v>
      </c>
    </row>
    <row r="2043">
      <c r="H2043" t="s">
        <v>5117</v>
      </c>
    </row>
    <row r="2044">
      <c r="H2044" t="s">
        <v>5117</v>
      </c>
    </row>
    <row r="2045">
      <c r="H2045" t="s">
        <v>5117</v>
      </c>
    </row>
    <row r="2046">
      <c r="H2046" t="s">
        <v>5117</v>
      </c>
    </row>
    <row r="2047">
      <c r="H2047" t="s">
        <v>5117</v>
      </c>
    </row>
    <row r="2048">
      <c r="H2048" t="s">
        <v>5117</v>
      </c>
    </row>
    <row r="2049">
      <c r="H2049" t="s">
        <v>5117</v>
      </c>
    </row>
    <row r="2050">
      <c r="H2050" t="s">
        <v>5117</v>
      </c>
    </row>
    <row r="2051">
      <c r="H2051" t="s">
        <v>5117</v>
      </c>
    </row>
    <row r="2052">
      <c r="H2052" t="s">
        <v>5117</v>
      </c>
    </row>
    <row r="2053">
      <c r="H2053" t="s">
        <v>5117</v>
      </c>
    </row>
    <row r="2054">
      <c r="H2054" t="s">
        <v>5117</v>
      </c>
    </row>
    <row r="2055">
      <c r="H2055" t="s">
        <v>5117</v>
      </c>
    </row>
    <row r="2056">
      <c r="H2056" t="s">
        <v>5117</v>
      </c>
    </row>
    <row r="2057">
      <c r="H2057" t="s">
        <v>5117</v>
      </c>
    </row>
    <row r="2058">
      <c r="H2058" t="s">
        <v>5117</v>
      </c>
    </row>
    <row r="2059">
      <c r="H2059" t="s">
        <v>5117</v>
      </c>
    </row>
    <row r="2060">
      <c r="H2060" t="s">
        <v>5117</v>
      </c>
    </row>
    <row r="2061">
      <c r="H2061" t="s">
        <v>5117</v>
      </c>
    </row>
    <row r="2062">
      <c r="H2062" t="s">
        <v>5117</v>
      </c>
    </row>
    <row r="2063">
      <c r="H2063" t="s">
        <v>5117</v>
      </c>
    </row>
    <row r="2064">
      <c r="H2064" t="s">
        <v>5117</v>
      </c>
    </row>
    <row r="2065">
      <c r="H2065" t="s">
        <v>5117</v>
      </c>
    </row>
    <row r="2066">
      <c r="H2066" t="s">
        <v>5117</v>
      </c>
    </row>
    <row r="2067">
      <c r="H2067" t="s">
        <v>5117</v>
      </c>
    </row>
    <row r="2068">
      <c r="H2068" t="s">
        <v>5117</v>
      </c>
    </row>
    <row r="2069">
      <c r="H2069" t="s">
        <v>5117</v>
      </c>
    </row>
    <row r="2070">
      <c r="H2070" t="s">
        <v>5117</v>
      </c>
    </row>
    <row r="2071">
      <c r="H2071" t="s">
        <v>5117</v>
      </c>
    </row>
    <row r="2072">
      <c r="H2072" t="s">
        <v>5117</v>
      </c>
    </row>
    <row r="2073">
      <c r="H2073" t="s">
        <v>5117</v>
      </c>
    </row>
    <row r="2074">
      <c r="H2074" t="s">
        <v>5117</v>
      </c>
    </row>
    <row r="2075">
      <c r="H2075" t="s">
        <v>5117</v>
      </c>
    </row>
    <row r="2076">
      <c r="H2076" t="s">
        <v>5117</v>
      </c>
    </row>
    <row r="2077">
      <c r="H2077" t="s">
        <v>5117</v>
      </c>
    </row>
    <row r="2078">
      <c r="H2078" t="s">
        <v>5117</v>
      </c>
    </row>
    <row r="2079">
      <c r="H2079" t="s">
        <v>5117</v>
      </c>
    </row>
    <row r="2080">
      <c r="H2080" t="s">
        <v>5117</v>
      </c>
    </row>
    <row r="2081">
      <c r="H2081" t="s">
        <v>5117</v>
      </c>
    </row>
    <row r="2082">
      <c r="H2082" t="s">
        <v>5117</v>
      </c>
    </row>
    <row r="2083">
      <c r="H2083" t="s">
        <v>5117</v>
      </c>
    </row>
    <row r="2084">
      <c r="H2084" t="s">
        <v>5117</v>
      </c>
    </row>
    <row r="2085">
      <c r="H2085" t="s">
        <v>5117</v>
      </c>
    </row>
    <row r="2086">
      <c r="H2086" t="s">
        <v>5117</v>
      </c>
    </row>
    <row r="2087">
      <c r="H2087" t="s">
        <v>5117</v>
      </c>
    </row>
    <row r="2088">
      <c r="H2088" t="s">
        <v>5117</v>
      </c>
    </row>
    <row r="2089">
      <c r="H2089" t="s">
        <v>5117</v>
      </c>
    </row>
    <row r="2090">
      <c r="H2090" t="s">
        <v>5117</v>
      </c>
    </row>
    <row r="2091">
      <c r="H2091" t="s">
        <v>5117</v>
      </c>
    </row>
    <row r="2092">
      <c r="H2092" t="s">
        <v>5117</v>
      </c>
    </row>
    <row r="2093">
      <c r="H2093" t="s">
        <v>5117</v>
      </c>
    </row>
    <row r="2094">
      <c r="H2094" t="s">
        <v>5117</v>
      </c>
    </row>
    <row r="2095">
      <c r="H2095" t="s">
        <v>5117</v>
      </c>
    </row>
    <row r="2096">
      <c r="H2096" t="s">
        <v>5117</v>
      </c>
    </row>
    <row r="2097">
      <c r="H2097" t="s">
        <v>5117</v>
      </c>
    </row>
    <row r="2098">
      <c r="H2098" t="s">
        <v>5117</v>
      </c>
    </row>
    <row r="2099">
      <c r="H2099" t="s">
        <v>5117</v>
      </c>
    </row>
    <row r="2100">
      <c r="H2100" t="s">
        <v>5117</v>
      </c>
    </row>
    <row r="2101">
      <c r="H2101" t="s">
        <v>5117</v>
      </c>
    </row>
    <row r="2102">
      <c r="H2102" t="s">
        <v>5117</v>
      </c>
    </row>
    <row r="2103">
      <c r="H2103" t="s">
        <v>5117</v>
      </c>
    </row>
    <row r="2104">
      <c r="H2104" t="s">
        <v>5117</v>
      </c>
    </row>
    <row r="2105">
      <c r="H2105" t="s">
        <v>5117</v>
      </c>
    </row>
    <row r="2106">
      <c r="H2106" t="s">
        <v>5117</v>
      </c>
    </row>
    <row r="2107">
      <c r="H2107" t="s">
        <v>5117</v>
      </c>
    </row>
    <row r="2108">
      <c r="H2108" t="s">
        <v>5117</v>
      </c>
    </row>
    <row r="2109">
      <c r="H2109" t="s">
        <v>5117</v>
      </c>
    </row>
    <row r="2110">
      <c r="H2110" t="s">
        <v>5117</v>
      </c>
    </row>
    <row r="2111">
      <c r="H2111" t="s">
        <v>5117</v>
      </c>
    </row>
    <row r="2112">
      <c r="H2112" t="s">
        <v>5117</v>
      </c>
    </row>
    <row r="2113">
      <c r="H2113" t="s">
        <v>5117</v>
      </c>
    </row>
    <row r="2114">
      <c r="H2114" t="s">
        <v>5117</v>
      </c>
    </row>
    <row r="2115">
      <c r="H2115" t="s">
        <v>5117</v>
      </c>
    </row>
    <row r="2116">
      <c r="H2116" t="s">
        <v>5117</v>
      </c>
    </row>
    <row r="2117">
      <c r="H2117" t="s">
        <v>5117</v>
      </c>
    </row>
    <row r="2118">
      <c r="H2118" t="s">
        <v>5117</v>
      </c>
    </row>
    <row r="2119">
      <c r="H2119" t="s">
        <v>5117</v>
      </c>
    </row>
    <row r="2120">
      <c r="H2120" t="s">
        <v>5117</v>
      </c>
    </row>
    <row r="2121">
      <c r="H2121" t="s">
        <v>5117</v>
      </c>
    </row>
    <row r="2122">
      <c r="H2122" t="s">
        <v>5117</v>
      </c>
    </row>
    <row r="2123">
      <c r="H2123" t="s">
        <v>5117</v>
      </c>
    </row>
    <row r="2124">
      <c r="H2124" t="s">
        <v>5117</v>
      </c>
    </row>
    <row r="2125">
      <c r="H2125" t="s">
        <v>5117</v>
      </c>
    </row>
    <row r="2126">
      <c r="H2126" t="s">
        <v>5117</v>
      </c>
    </row>
    <row r="2127">
      <c r="H2127" t="s">
        <v>5117</v>
      </c>
    </row>
    <row r="2128">
      <c r="H2128" t="s">
        <v>5117</v>
      </c>
    </row>
    <row r="2129">
      <c r="H2129" t="s">
        <v>5117</v>
      </c>
    </row>
    <row r="2130">
      <c r="H2130" t="s">
        <v>5117</v>
      </c>
    </row>
    <row r="2131">
      <c r="H2131" t="s">
        <v>5117</v>
      </c>
    </row>
    <row r="2132">
      <c r="H2132" t="s">
        <v>5117</v>
      </c>
    </row>
    <row r="2133">
      <c r="H2133" t="s">
        <v>5117</v>
      </c>
    </row>
    <row r="2134">
      <c r="H2134" t="s">
        <v>5117</v>
      </c>
    </row>
    <row r="2135">
      <c r="H2135" t="s">
        <v>5117</v>
      </c>
    </row>
    <row r="2136">
      <c r="H2136" t="s">
        <v>5117</v>
      </c>
    </row>
    <row r="2137">
      <c r="H2137" t="s">
        <v>5117</v>
      </c>
    </row>
    <row r="2138">
      <c r="H2138" t="s">
        <v>5117</v>
      </c>
    </row>
    <row r="2139">
      <c r="H2139" t="s">
        <v>5117</v>
      </c>
    </row>
    <row r="2140">
      <c r="H2140" t="s">
        <v>5117</v>
      </c>
    </row>
    <row r="2141">
      <c r="H2141" t="s">
        <v>5117</v>
      </c>
    </row>
    <row r="2142">
      <c r="H2142" t="s">
        <v>5117</v>
      </c>
    </row>
    <row r="2143">
      <c r="H2143" t="s">
        <v>5117</v>
      </c>
    </row>
    <row r="2144">
      <c r="H2144" t="s">
        <v>5117</v>
      </c>
    </row>
    <row r="2145">
      <c r="H2145" t="s">
        <v>5117</v>
      </c>
    </row>
    <row r="2146">
      <c r="H2146" t="s">
        <v>5117</v>
      </c>
    </row>
    <row r="2147">
      <c r="H2147" t="s">
        <v>5117</v>
      </c>
    </row>
    <row r="2148">
      <c r="H2148" t="s">
        <v>5117</v>
      </c>
    </row>
    <row r="2149">
      <c r="H2149" t="s">
        <v>5117</v>
      </c>
    </row>
    <row r="2150">
      <c r="H2150" t="s">
        <v>5117</v>
      </c>
    </row>
    <row r="2151">
      <c r="H2151" t="s">
        <v>5117</v>
      </c>
    </row>
    <row r="2152">
      <c r="H2152" t="s">
        <v>5117</v>
      </c>
    </row>
    <row r="2153">
      <c r="H2153" t="s">
        <v>5117</v>
      </c>
    </row>
    <row r="2154">
      <c r="H2154" t="s">
        <v>5117</v>
      </c>
    </row>
    <row r="2155">
      <c r="H2155" t="s">
        <v>5117</v>
      </c>
    </row>
    <row r="2156">
      <c r="H2156" t="s">
        <v>5117</v>
      </c>
    </row>
    <row r="2157">
      <c r="H2157" t="s">
        <v>5117</v>
      </c>
    </row>
    <row r="2158">
      <c r="H2158" t="s">
        <v>5117</v>
      </c>
    </row>
    <row r="2159">
      <c r="H2159" t="s">
        <v>5117</v>
      </c>
    </row>
    <row r="2160">
      <c r="H2160" t="s">
        <v>5117</v>
      </c>
    </row>
    <row r="2161">
      <c r="H2161" t="s">
        <v>5117</v>
      </c>
    </row>
    <row r="2162">
      <c r="H2162" t="s">
        <v>5117</v>
      </c>
    </row>
    <row r="2163">
      <c r="H2163" t="s">
        <v>5117</v>
      </c>
    </row>
    <row r="2164">
      <c r="H2164" t="s">
        <v>5117</v>
      </c>
    </row>
    <row r="2165">
      <c r="H2165" t="s">
        <v>5117</v>
      </c>
    </row>
    <row r="2166">
      <c r="H2166" t="s">
        <v>5117</v>
      </c>
    </row>
    <row r="2167">
      <c r="H2167" t="s">
        <v>5117</v>
      </c>
    </row>
    <row r="2168">
      <c r="H2168" t="s">
        <v>5117</v>
      </c>
    </row>
    <row r="2169">
      <c r="H2169" t="s">
        <v>5117</v>
      </c>
    </row>
    <row r="2170">
      <c r="H2170" t="s">
        <v>5117</v>
      </c>
    </row>
    <row r="2171">
      <c r="H2171" t="s">
        <v>5117</v>
      </c>
    </row>
    <row r="2172">
      <c r="H2172" t="s">
        <v>5117</v>
      </c>
    </row>
    <row r="2173">
      <c r="H2173" t="s">
        <v>5117</v>
      </c>
    </row>
    <row r="2174">
      <c r="H2174" t="s">
        <v>5117</v>
      </c>
    </row>
    <row r="2175">
      <c r="H2175" t="s">
        <v>5117</v>
      </c>
    </row>
    <row r="2176">
      <c r="H2176" t="s">
        <v>5117</v>
      </c>
    </row>
    <row r="2177">
      <c r="H2177" t="s">
        <v>5117</v>
      </c>
    </row>
    <row r="2178">
      <c r="H2178" t="s">
        <v>5117</v>
      </c>
    </row>
    <row r="2179">
      <c r="H2179" t="s">
        <v>5117</v>
      </c>
    </row>
    <row r="2180">
      <c r="H2180" t="s">
        <v>5117</v>
      </c>
    </row>
    <row r="2181">
      <c r="H2181" t="s">
        <v>5117</v>
      </c>
    </row>
    <row r="2182">
      <c r="H2182" t="s">
        <v>5117</v>
      </c>
    </row>
    <row r="2183">
      <c r="H2183" t="s">
        <v>5117</v>
      </c>
    </row>
    <row r="2184">
      <c r="H2184" t="s">
        <v>5117</v>
      </c>
    </row>
    <row r="2185">
      <c r="H2185" t="s">
        <v>5117</v>
      </c>
    </row>
    <row r="2186">
      <c r="H2186" t="s">
        <v>5117</v>
      </c>
    </row>
    <row r="2187">
      <c r="H2187" t="s">
        <v>5117</v>
      </c>
    </row>
    <row r="2188">
      <c r="H2188" t="s">
        <v>5117</v>
      </c>
    </row>
    <row r="2189">
      <c r="H2189" t="s">
        <v>5117</v>
      </c>
    </row>
    <row r="2190">
      <c r="H2190" t="s">
        <v>5117</v>
      </c>
    </row>
    <row r="2191">
      <c r="H2191" t="s">
        <v>5117</v>
      </c>
    </row>
    <row r="2192">
      <c r="H2192" t="s">
        <v>5117</v>
      </c>
    </row>
    <row r="2193">
      <c r="H2193" t="s">
        <v>5117</v>
      </c>
    </row>
    <row r="2194">
      <c r="H2194" t="s">
        <v>5117</v>
      </c>
    </row>
    <row r="2195">
      <c r="H2195" t="s">
        <v>5117</v>
      </c>
    </row>
    <row r="2196">
      <c r="H2196" t="s">
        <v>5117</v>
      </c>
    </row>
    <row r="2197">
      <c r="H2197" t="s">
        <v>5117</v>
      </c>
    </row>
    <row r="2198">
      <c r="H2198" t="s">
        <v>5117</v>
      </c>
    </row>
    <row r="2199">
      <c r="H2199" t="s">
        <v>5117</v>
      </c>
    </row>
    <row r="2200">
      <c r="H2200" t="s">
        <v>5117</v>
      </c>
    </row>
    <row r="2201">
      <c r="H2201" t="s">
        <v>5117</v>
      </c>
    </row>
    <row r="2202">
      <c r="H2202" t="s">
        <v>5117</v>
      </c>
    </row>
    <row r="2203">
      <c r="H2203" t="s">
        <v>5117</v>
      </c>
    </row>
    <row r="2204">
      <c r="H2204" t="s">
        <v>5117</v>
      </c>
    </row>
    <row r="2205">
      <c r="H2205" t="s">
        <v>5117</v>
      </c>
    </row>
    <row r="2206">
      <c r="H2206" t="s">
        <v>5117</v>
      </c>
    </row>
    <row r="2207">
      <c r="H2207" t="s">
        <v>5117</v>
      </c>
    </row>
    <row r="2208">
      <c r="H2208" t="s">
        <v>5117</v>
      </c>
    </row>
    <row r="2209">
      <c r="H2209" t="s">
        <v>5117</v>
      </c>
    </row>
    <row r="2210">
      <c r="H2210" t="s">
        <v>5117</v>
      </c>
    </row>
    <row r="2211">
      <c r="H2211" t="s">
        <v>5117</v>
      </c>
    </row>
    <row r="2212">
      <c r="H2212" t="s">
        <v>5117</v>
      </c>
    </row>
    <row r="2213">
      <c r="H2213" t="s">
        <v>5117</v>
      </c>
    </row>
    <row r="2214">
      <c r="H2214" t="s">
        <v>5117</v>
      </c>
    </row>
    <row r="2215">
      <c r="H2215" t="s">
        <v>5117</v>
      </c>
    </row>
    <row r="2216">
      <c r="H2216" t="s">
        <v>5117</v>
      </c>
    </row>
    <row r="2217">
      <c r="H2217" t="s">
        <v>5117</v>
      </c>
    </row>
    <row r="2218">
      <c r="H2218" t="s">
        <v>5117</v>
      </c>
    </row>
    <row r="2219">
      <c r="H2219" t="s">
        <v>5117</v>
      </c>
    </row>
    <row r="2220">
      <c r="H2220" t="s">
        <v>5117</v>
      </c>
    </row>
    <row r="2221">
      <c r="H2221" t="s">
        <v>5117</v>
      </c>
    </row>
    <row r="2222">
      <c r="H2222" t="s">
        <v>5117</v>
      </c>
    </row>
    <row r="2223">
      <c r="H2223" t="s">
        <v>5117</v>
      </c>
    </row>
    <row r="2224">
      <c r="H2224" t="s">
        <v>5117</v>
      </c>
    </row>
    <row r="2225">
      <c r="H2225" t="s">
        <v>5117</v>
      </c>
    </row>
    <row r="2226">
      <c r="H2226" t="s">
        <v>5117</v>
      </c>
    </row>
    <row r="2227">
      <c r="H2227" t="s">
        <v>5117</v>
      </c>
    </row>
    <row r="2228">
      <c r="H2228" t="s">
        <v>5117</v>
      </c>
    </row>
    <row r="2229">
      <c r="H2229" t="s">
        <v>5117</v>
      </c>
    </row>
    <row r="2230">
      <c r="H2230" t="s">
        <v>5117</v>
      </c>
    </row>
    <row r="2231">
      <c r="H2231" t="s">
        <v>5117</v>
      </c>
    </row>
    <row r="2232">
      <c r="H2232" t="s">
        <v>5117</v>
      </c>
    </row>
    <row r="2233">
      <c r="H2233" t="s">
        <v>5117</v>
      </c>
    </row>
    <row r="2234">
      <c r="H2234" t="s">
        <v>5117</v>
      </c>
    </row>
    <row r="2235">
      <c r="H2235" t="s">
        <v>5117</v>
      </c>
    </row>
    <row r="2236">
      <c r="H2236" t="s">
        <v>5117</v>
      </c>
    </row>
    <row r="2237">
      <c r="H2237" t="s">
        <v>5117</v>
      </c>
    </row>
    <row r="2238">
      <c r="H2238" t="s">
        <v>5117</v>
      </c>
    </row>
    <row r="2239">
      <c r="H2239" t="s">
        <v>5117</v>
      </c>
    </row>
    <row r="2240">
      <c r="H2240" t="s">
        <v>5117</v>
      </c>
    </row>
    <row r="2241">
      <c r="H2241" t="s">
        <v>5117</v>
      </c>
    </row>
    <row r="2242">
      <c r="H2242" t="s">
        <v>5117</v>
      </c>
    </row>
    <row r="2243">
      <c r="H2243" t="s">
        <v>5117</v>
      </c>
    </row>
    <row r="2244">
      <c r="H2244" t="s">
        <v>5117</v>
      </c>
    </row>
    <row r="2245">
      <c r="H2245" t="s">
        <v>5117</v>
      </c>
    </row>
    <row r="2246">
      <c r="H2246" t="s">
        <v>5117</v>
      </c>
    </row>
    <row r="2247">
      <c r="H2247" t="s">
        <v>5117</v>
      </c>
    </row>
    <row r="2248">
      <c r="H2248" t="s">
        <v>5117</v>
      </c>
    </row>
    <row r="2249">
      <c r="H2249" t="s">
        <v>5117</v>
      </c>
    </row>
    <row r="2250">
      <c r="H2250" t="s">
        <v>5117</v>
      </c>
    </row>
    <row r="2251">
      <c r="H2251" t="s">
        <v>5117</v>
      </c>
    </row>
    <row r="2252">
      <c r="H2252" t="s">
        <v>5117</v>
      </c>
    </row>
    <row r="2253">
      <c r="H2253" t="s">
        <v>5117</v>
      </c>
    </row>
    <row r="2254">
      <c r="H2254" t="s">
        <v>5117</v>
      </c>
    </row>
    <row r="2255">
      <c r="H2255" t="s">
        <v>5117</v>
      </c>
    </row>
    <row r="2256">
      <c r="H2256" t="s">
        <v>5117</v>
      </c>
    </row>
    <row r="2257">
      <c r="H2257" t="s">
        <v>5117</v>
      </c>
    </row>
    <row r="2258">
      <c r="H2258" t="s">
        <v>5117</v>
      </c>
    </row>
    <row r="2259">
      <c r="H2259" t="s">
        <v>5117</v>
      </c>
    </row>
    <row r="2260">
      <c r="H2260" t="s">
        <v>5117</v>
      </c>
    </row>
    <row r="2261">
      <c r="H2261" t="s">
        <v>5117</v>
      </c>
    </row>
    <row r="2262">
      <c r="H2262" t="s">
        <v>5117</v>
      </c>
    </row>
    <row r="2263">
      <c r="H2263" t="s">
        <v>5117</v>
      </c>
    </row>
    <row r="2264">
      <c r="H2264" t="s">
        <v>5117</v>
      </c>
    </row>
    <row r="2265">
      <c r="H2265" t="s">
        <v>5117</v>
      </c>
    </row>
    <row r="2266">
      <c r="H2266" t="s">
        <v>5117</v>
      </c>
    </row>
    <row r="2267">
      <c r="H2267" t="s">
        <v>5117</v>
      </c>
    </row>
    <row r="2268">
      <c r="H2268" t="s">
        <v>5117</v>
      </c>
    </row>
    <row r="2269">
      <c r="H2269" t="s">
        <v>5117</v>
      </c>
    </row>
    <row r="2270">
      <c r="H2270" t="s">
        <v>5117</v>
      </c>
    </row>
    <row r="2271">
      <c r="H2271" t="s">
        <v>5117</v>
      </c>
    </row>
    <row r="2272">
      <c r="H2272" t="s">
        <v>5117</v>
      </c>
    </row>
    <row r="2273">
      <c r="H2273" t="s">
        <v>5117</v>
      </c>
    </row>
    <row r="2274">
      <c r="H2274" t="s">
        <v>5117</v>
      </c>
    </row>
    <row r="2275">
      <c r="H2275" t="s">
        <v>5117</v>
      </c>
    </row>
    <row r="2276">
      <c r="H2276" t="s">
        <v>5117</v>
      </c>
    </row>
    <row r="2277">
      <c r="H2277" t="s">
        <v>5117</v>
      </c>
    </row>
    <row r="2278">
      <c r="H2278" t="s">
        <v>5117</v>
      </c>
    </row>
    <row r="2279">
      <c r="H2279" t="s">
        <v>5117</v>
      </c>
    </row>
    <row r="2280">
      <c r="H2280" t="s">
        <v>5117</v>
      </c>
    </row>
    <row r="2281">
      <c r="H2281" t="s">
        <v>5117</v>
      </c>
    </row>
    <row r="2282">
      <c r="H2282" t="s">
        <v>5117</v>
      </c>
    </row>
    <row r="2283">
      <c r="H2283" t="s">
        <v>5117</v>
      </c>
    </row>
    <row r="2284">
      <c r="H2284" t="s">
        <v>5117</v>
      </c>
    </row>
    <row r="2285">
      <c r="H2285" t="s">
        <v>5117</v>
      </c>
    </row>
    <row r="2286">
      <c r="H2286" t="s">
        <v>5117</v>
      </c>
    </row>
    <row r="2287">
      <c r="H2287" t="s">
        <v>5117</v>
      </c>
    </row>
    <row r="2288">
      <c r="H2288" t="s">
        <v>5117</v>
      </c>
    </row>
    <row r="2289">
      <c r="H2289" t="s">
        <v>5117</v>
      </c>
    </row>
    <row r="2290">
      <c r="H2290" t="s">
        <v>5117</v>
      </c>
    </row>
    <row r="2291">
      <c r="H2291" t="s">
        <v>5117</v>
      </c>
    </row>
    <row r="2292">
      <c r="H2292" t="s">
        <v>5117</v>
      </c>
    </row>
    <row r="2293">
      <c r="H2293" t="s">
        <v>5117</v>
      </c>
    </row>
    <row r="2294">
      <c r="H2294" t="s">
        <v>5117</v>
      </c>
    </row>
    <row r="2295">
      <c r="H2295" t="s">
        <v>5117</v>
      </c>
    </row>
    <row r="2296">
      <c r="H2296" t="s">
        <v>5117</v>
      </c>
    </row>
    <row r="2297">
      <c r="H2297" t="s">
        <v>5117</v>
      </c>
    </row>
    <row r="2298">
      <c r="H2298" t="s">
        <v>5117</v>
      </c>
    </row>
    <row r="2299">
      <c r="H2299" t="s">
        <v>5117</v>
      </c>
    </row>
    <row r="2300">
      <c r="H2300" t="s">
        <v>5117</v>
      </c>
    </row>
    <row r="2301">
      <c r="H2301" t="s">
        <v>5117</v>
      </c>
    </row>
    <row r="2302">
      <c r="H2302" t="s">
        <v>5117</v>
      </c>
    </row>
    <row r="2303">
      <c r="H2303" t="s">
        <v>5117</v>
      </c>
    </row>
    <row r="2304">
      <c r="H2304" t="s">
        <v>5117</v>
      </c>
    </row>
    <row r="2305">
      <c r="H2305" t="s">
        <v>5117</v>
      </c>
    </row>
    <row r="2306">
      <c r="H2306" t="s">
        <v>5117</v>
      </c>
    </row>
    <row r="2307">
      <c r="H2307" t="s">
        <v>5117</v>
      </c>
    </row>
    <row r="2308">
      <c r="H2308" t="s">
        <v>5117</v>
      </c>
    </row>
    <row r="2309">
      <c r="H2309" t="s">
        <v>5117</v>
      </c>
    </row>
    <row r="2310">
      <c r="H2310" t="s">
        <v>5117</v>
      </c>
    </row>
    <row r="2311">
      <c r="H2311" t="s">
        <v>5117</v>
      </c>
    </row>
    <row r="2312">
      <c r="H2312" t="s">
        <v>5117</v>
      </c>
    </row>
    <row r="2313">
      <c r="H2313" t="s">
        <v>5117</v>
      </c>
    </row>
    <row r="2314">
      <c r="H2314" t="s">
        <v>5117</v>
      </c>
    </row>
    <row r="2315">
      <c r="H2315" t="s">
        <v>5117</v>
      </c>
    </row>
    <row r="2316">
      <c r="H2316" t="s">
        <v>5117</v>
      </c>
    </row>
    <row r="2317">
      <c r="H2317" t="s">
        <v>5117</v>
      </c>
    </row>
    <row r="2318">
      <c r="H2318" t="s">
        <v>5117</v>
      </c>
    </row>
    <row r="2319">
      <c r="H2319" t="s">
        <v>5117</v>
      </c>
    </row>
    <row r="2320">
      <c r="H2320" t="s">
        <v>5117</v>
      </c>
    </row>
    <row r="2321">
      <c r="H2321" t="s">
        <v>5117</v>
      </c>
    </row>
    <row r="2322">
      <c r="H2322" t="s">
        <v>5117</v>
      </c>
    </row>
    <row r="2323">
      <c r="H2323" t="s">
        <v>5117</v>
      </c>
    </row>
    <row r="2324">
      <c r="H2324" t="s">
        <v>5117</v>
      </c>
    </row>
    <row r="2325">
      <c r="H2325" t="s">
        <v>5117</v>
      </c>
    </row>
    <row r="2326">
      <c r="H2326" t="s">
        <v>5117</v>
      </c>
    </row>
    <row r="2327">
      <c r="H2327" t="s">
        <v>5117</v>
      </c>
    </row>
    <row r="2328">
      <c r="H2328" t="s">
        <v>5117</v>
      </c>
    </row>
    <row r="2329">
      <c r="H2329" t="s">
        <v>5117</v>
      </c>
    </row>
    <row r="2330">
      <c r="H2330" t="s">
        <v>5117</v>
      </c>
    </row>
    <row r="2331">
      <c r="H2331" t="s">
        <v>5117</v>
      </c>
    </row>
    <row r="2332">
      <c r="H2332" t="s">
        <v>5117</v>
      </c>
    </row>
    <row r="2333">
      <c r="H2333" t="s">
        <v>5117</v>
      </c>
    </row>
    <row r="2334">
      <c r="H2334" t="s">
        <v>5117</v>
      </c>
    </row>
    <row r="2335">
      <c r="H2335" t="s">
        <v>5117</v>
      </c>
    </row>
    <row r="2336">
      <c r="H2336" t="s">
        <v>5117</v>
      </c>
    </row>
    <row r="2337">
      <c r="H2337" t="s">
        <v>5117</v>
      </c>
    </row>
    <row r="2338">
      <c r="H2338" t="s">
        <v>5117</v>
      </c>
    </row>
    <row r="2339">
      <c r="H2339" t="s">
        <v>5117</v>
      </c>
    </row>
    <row r="2340">
      <c r="H2340" t="s">
        <v>5117</v>
      </c>
    </row>
    <row r="2341">
      <c r="H2341" t="s">
        <v>5117</v>
      </c>
    </row>
    <row r="2342">
      <c r="H2342" t="s">
        <v>5117</v>
      </c>
    </row>
    <row r="2343">
      <c r="H2343" t="s">
        <v>5117</v>
      </c>
    </row>
    <row r="2344">
      <c r="H2344" t="s">
        <v>5117</v>
      </c>
    </row>
    <row r="2345">
      <c r="H2345" t="s">
        <v>5117</v>
      </c>
    </row>
    <row r="2346">
      <c r="H2346" t="s">
        <v>5117</v>
      </c>
    </row>
    <row r="2347">
      <c r="H2347" t="s">
        <v>5117</v>
      </c>
    </row>
    <row r="2348">
      <c r="H2348" t="s">
        <v>5117</v>
      </c>
    </row>
    <row r="2349">
      <c r="H2349" t="s">
        <v>5117</v>
      </c>
    </row>
    <row r="2350">
      <c r="H2350" t="s">
        <v>5117</v>
      </c>
    </row>
    <row r="2351">
      <c r="H2351" t="s">
        <v>5117</v>
      </c>
    </row>
    <row r="2352">
      <c r="H2352" t="s">
        <v>5117</v>
      </c>
    </row>
    <row r="2353">
      <c r="H2353" t="s">
        <v>5117</v>
      </c>
    </row>
    <row r="2354">
      <c r="H2354" t="s">
        <v>5117</v>
      </c>
    </row>
    <row r="2355">
      <c r="H2355" t="s">
        <v>5117</v>
      </c>
    </row>
    <row r="2356">
      <c r="H2356" t="s">
        <v>5117</v>
      </c>
    </row>
    <row r="2357">
      <c r="H2357" t="s">
        <v>5117</v>
      </c>
    </row>
    <row r="2358">
      <c r="H2358" t="s">
        <v>5117</v>
      </c>
    </row>
    <row r="2359">
      <c r="H2359" t="s">
        <v>5117</v>
      </c>
    </row>
    <row r="2360">
      <c r="H2360" t="s">
        <v>5117</v>
      </c>
    </row>
    <row r="2361">
      <c r="H2361" t="s">
        <v>5117</v>
      </c>
    </row>
    <row r="2362">
      <c r="H2362" t="s">
        <v>5117</v>
      </c>
    </row>
    <row r="2363">
      <c r="H2363" t="s">
        <v>5117</v>
      </c>
    </row>
    <row r="2364">
      <c r="H2364" t="s">
        <v>5117</v>
      </c>
    </row>
    <row r="2365">
      <c r="H2365" t="s">
        <v>5117</v>
      </c>
    </row>
    <row r="2366">
      <c r="H2366" t="s">
        <v>5117</v>
      </c>
    </row>
    <row r="2367">
      <c r="H2367" t="s">
        <v>5117</v>
      </c>
    </row>
    <row r="2368">
      <c r="H2368" t="s">
        <v>5117</v>
      </c>
    </row>
    <row r="2369">
      <c r="H2369" t="s">
        <v>5117</v>
      </c>
    </row>
    <row r="2370">
      <c r="H2370" t="s">
        <v>5117</v>
      </c>
    </row>
    <row r="2371">
      <c r="H2371" t="s">
        <v>5117</v>
      </c>
    </row>
    <row r="2372">
      <c r="H2372" t="s">
        <v>5117</v>
      </c>
    </row>
    <row r="2373">
      <c r="H2373" t="s">
        <v>5117</v>
      </c>
    </row>
    <row r="2374">
      <c r="H2374" t="s">
        <v>5117</v>
      </c>
    </row>
    <row r="2375">
      <c r="H2375" t="s">
        <v>5117</v>
      </c>
    </row>
    <row r="2376">
      <c r="H2376" t="s">
        <v>5117</v>
      </c>
    </row>
    <row r="2377">
      <c r="H2377" t="s">
        <v>5117</v>
      </c>
    </row>
    <row r="2378">
      <c r="H2378" t="s">
        <v>5117</v>
      </c>
    </row>
    <row r="2379">
      <c r="H2379" t="s">
        <v>5117</v>
      </c>
    </row>
    <row r="2380">
      <c r="H2380" t="s">
        <v>5117</v>
      </c>
    </row>
    <row r="2381">
      <c r="H2381" t="s">
        <v>5117</v>
      </c>
    </row>
    <row r="2382">
      <c r="H2382" t="s">
        <v>5117</v>
      </c>
    </row>
    <row r="2383">
      <c r="H2383" t="s">
        <v>5117</v>
      </c>
    </row>
    <row r="2384">
      <c r="H2384" t="s">
        <v>5117</v>
      </c>
    </row>
    <row r="2385">
      <c r="H2385" t="s">
        <v>5117</v>
      </c>
    </row>
    <row r="2386">
      <c r="H2386" t="s">
        <v>5117</v>
      </c>
    </row>
    <row r="2387">
      <c r="H2387" t="s">
        <v>5117</v>
      </c>
    </row>
    <row r="2388">
      <c r="H2388" t="s">
        <v>5117</v>
      </c>
    </row>
    <row r="2389">
      <c r="H2389" t="s">
        <v>5117</v>
      </c>
    </row>
    <row r="2390">
      <c r="H2390" t="s">
        <v>5117</v>
      </c>
    </row>
    <row r="2391">
      <c r="H2391" t="s">
        <v>5117</v>
      </c>
    </row>
    <row r="2392">
      <c r="H2392" t="s">
        <v>5117</v>
      </c>
    </row>
    <row r="2393">
      <c r="H2393" t="s">
        <v>5117</v>
      </c>
    </row>
    <row r="2394">
      <c r="H2394" t="s">
        <v>5117</v>
      </c>
    </row>
    <row r="2395">
      <c r="H2395" t="s">
        <v>5117</v>
      </c>
    </row>
    <row r="2396">
      <c r="H2396" t="s">
        <v>5117</v>
      </c>
    </row>
    <row r="2397">
      <c r="H2397" t="s">
        <v>5117</v>
      </c>
    </row>
    <row r="2398">
      <c r="H2398" t="s">
        <v>5117</v>
      </c>
    </row>
    <row r="2399">
      <c r="H2399" t="s">
        <v>5117</v>
      </c>
    </row>
    <row r="2400">
      <c r="H2400" t="s">
        <v>5117</v>
      </c>
    </row>
    <row r="2401">
      <c r="H2401" t="s">
        <v>5117</v>
      </c>
    </row>
    <row r="2402">
      <c r="H2402" t="s">
        <v>5117</v>
      </c>
    </row>
    <row r="2403">
      <c r="H2403" t="s">
        <v>5117</v>
      </c>
    </row>
    <row r="2404">
      <c r="H2404" t="s">
        <v>5117</v>
      </c>
    </row>
    <row r="2405">
      <c r="H2405" t="s">
        <v>5117</v>
      </c>
    </row>
    <row r="2406">
      <c r="H2406" t="s">
        <v>5117</v>
      </c>
    </row>
    <row r="2407">
      <c r="H2407" t="s">
        <v>5117</v>
      </c>
    </row>
    <row r="2408">
      <c r="H2408" t="s">
        <v>5117</v>
      </c>
    </row>
    <row r="2409">
      <c r="H2409" t="s">
        <v>5117</v>
      </c>
    </row>
    <row r="2410">
      <c r="H2410" t="s">
        <v>5117</v>
      </c>
    </row>
    <row r="2411">
      <c r="H2411" t="s">
        <v>5117</v>
      </c>
    </row>
    <row r="2412">
      <c r="H2412" t="s">
        <v>5117</v>
      </c>
    </row>
    <row r="2413">
      <c r="H2413" t="s">
        <v>5117</v>
      </c>
    </row>
    <row r="2414">
      <c r="H2414" t="s">
        <v>5117</v>
      </c>
    </row>
    <row r="2415">
      <c r="H2415" t="s">
        <v>5117</v>
      </c>
    </row>
    <row r="2416">
      <c r="H2416" t="s">
        <v>5117</v>
      </c>
    </row>
    <row r="2417">
      <c r="H2417" t="s">
        <v>5117</v>
      </c>
    </row>
    <row r="2418">
      <c r="H2418" t="s">
        <v>5117</v>
      </c>
    </row>
    <row r="2419">
      <c r="H2419" t="s">
        <v>5117</v>
      </c>
    </row>
    <row r="2420">
      <c r="H2420" t="s">
        <v>5117</v>
      </c>
    </row>
    <row r="2421">
      <c r="H2421" t="s">
        <v>5117</v>
      </c>
    </row>
    <row r="2422">
      <c r="H2422" t="s">
        <v>5117</v>
      </c>
    </row>
    <row r="2423">
      <c r="H2423" t="s">
        <v>5117</v>
      </c>
    </row>
    <row r="2424">
      <c r="H2424" t="s">
        <v>5117</v>
      </c>
    </row>
    <row r="2425">
      <c r="H2425" t="s">
        <v>5117</v>
      </c>
    </row>
    <row r="2426">
      <c r="H2426" t="s">
        <v>5117</v>
      </c>
    </row>
    <row r="2427">
      <c r="H2427" t="s">
        <v>5117</v>
      </c>
    </row>
    <row r="2428">
      <c r="H2428" t="s">
        <v>5117</v>
      </c>
    </row>
    <row r="2429">
      <c r="H2429" t="s">
        <v>5117</v>
      </c>
    </row>
    <row r="2430">
      <c r="H2430" t="s">
        <v>5117</v>
      </c>
    </row>
    <row r="2431">
      <c r="H2431" t="s">
        <v>5117</v>
      </c>
    </row>
    <row r="2432">
      <c r="H2432" t="s">
        <v>5117</v>
      </c>
    </row>
    <row r="2433">
      <c r="H2433" t="s">
        <v>5117</v>
      </c>
    </row>
    <row r="2434">
      <c r="H2434" t="s">
        <v>5117</v>
      </c>
    </row>
    <row r="2435">
      <c r="H2435" t="s">
        <v>5117</v>
      </c>
    </row>
    <row r="2436">
      <c r="H2436" t="s">
        <v>5117</v>
      </c>
    </row>
    <row r="2437">
      <c r="H2437" t="s">
        <v>5117</v>
      </c>
    </row>
    <row r="2438">
      <c r="H2438" t="s">
        <v>5117</v>
      </c>
    </row>
    <row r="2439">
      <c r="H2439" t="s">
        <v>5117</v>
      </c>
    </row>
    <row r="2440">
      <c r="H2440" t="s">
        <v>5117</v>
      </c>
    </row>
    <row r="2441">
      <c r="H2441" t="s">
        <v>5117</v>
      </c>
    </row>
    <row r="2442">
      <c r="H2442" t="s">
        <v>5117</v>
      </c>
    </row>
    <row r="2443">
      <c r="H2443" t="s">
        <v>5117</v>
      </c>
    </row>
    <row r="2444">
      <c r="H2444" t="s">
        <v>5117</v>
      </c>
    </row>
    <row r="2445">
      <c r="H2445" t="s">
        <v>5117</v>
      </c>
    </row>
    <row r="2446">
      <c r="H2446" t="s">
        <v>5117</v>
      </c>
    </row>
    <row r="2447">
      <c r="H2447" t="s">
        <v>5117</v>
      </c>
    </row>
    <row r="2448">
      <c r="H2448" t="s">
        <v>5117</v>
      </c>
    </row>
    <row r="2449">
      <c r="H2449" t="s">
        <v>5117</v>
      </c>
    </row>
    <row r="2450">
      <c r="H2450" t="s">
        <v>5117</v>
      </c>
    </row>
    <row r="2451">
      <c r="H2451" t="s">
        <v>5117</v>
      </c>
    </row>
    <row r="2452">
      <c r="H2452" t="s">
        <v>5117</v>
      </c>
    </row>
    <row r="2453">
      <c r="H2453" t="s">
        <v>5117</v>
      </c>
    </row>
    <row r="2454">
      <c r="H2454" t="s">
        <v>5117</v>
      </c>
    </row>
    <row r="2455">
      <c r="H2455" t="s">
        <v>5117</v>
      </c>
    </row>
    <row r="2456">
      <c r="H2456" t="s">
        <v>5117</v>
      </c>
    </row>
    <row r="2457">
      <c r="H2457" t="s">
        <v>5117</v>
      </c>
    </row>
    <row r="2458">
      <c r="H2458" t="s">
        <v>5117</v>
      </c>
    </row>
    <row r="2459">
      <c r="H2459" t="s">
        <v>5117</v>
      </c>
    </row>
    <row r="2460">
      <c r="H2460" t="s">
        <v>5117</v>
      </c>
    </row>
    <row r="2461">
      <c r="H2461" t="s">
        <v>5117</v>
      </c>
    </row>
    <row r="2462">
      <c r="H2462" t="s">
        <v>5117</v>
      </c>
    </row>
    <row r="2463">
      <c r="H2463" t="s">
        <v>5117</v>
      </c>
    </row>
    <row r="2464">
      <c r="H2464" t="s">
        <v>5117</v>
      </c>
    </row>
    <row r="2465">
      <c r="H2465" t="s">
        <v>5117</v>
      </c>
    </row>
    <row r="2466">
      <c r="H2466" t="s">
        <v>5117</v>
      </c>
    </row>
    <row r="2467">
      <c r="H2467" t="s">
        <v>5117</v>
      </c>
    </row>
    <row r="2468">
      <c r="H2468" t="s">
        <v>5117</v>
      </c>
    </row>
    <row r="2469">
      <c r="H2469" t="s">
        <v>5117</v>
      </c>
    </row>
    <row r="2470">
      <c r="H2470" t="s">
        <v>5117</v>
      </c>
    </row>
    <row r="2471">
      <c r="H2471" t="s">
        <v>5117</v>
      </c>
    </row>
    <row r="2472">
      <c r="H2472" t="s">
        <v>5117</v>
      </c>
    </row>
    <row r="2473">
      <c r="H2473" t="s">
        <v>5117</v>
      </c>
    </row>
    <row r="2474">
      <c r="H2474" t="s">
        <v>5117</v>
      </c>
    </row>
    <row r="2475">
      <c r="H2475" t="s">
        <v>5117</v>
      </c>
    </row>
    <row r="2476">
      <c r="H2476" t="s">
        <v>5117</v>
      </c>
    </row>
    <row r="2477">
      <c r="H2477" t="s">
        <v>5117</v>
      </c>
    </row>
    <row r="2478">
      <c r="H2478" t="s">
        <v>5117</v>
      </c>
    </row>
    <row r="2479">
      <c r="H2479" t="s">
        <v>5117</v>
      </c>
    </row>
    <row r="2480">
      <c r="H2480" t="s">
        <v>5117</v>
      </c>
    </row>
    <row r="2481">
      <c r="H2481" t="s">
        <v>5117</v>
      </c>
    </row>
    <row r="2482">
      <c r="H2482" t="s">
        <v>5117</v>
      </c>
    </row>
    <row r="2483">
      <c r="H2483" t="s">
        <v>5117</v>
      </c>
    </row>
    <row r="2484">
      <c r="H2484" t="s">
        <v>5117</v>
      </c>
    </row>
    <row r="2485">
      <c r="H2485" t="s">
        <v>5117</v>
      </c>
    </row>
    <row r="2486">
      <c r="H2486" t="s">
        <v>5117</v>
      </c>
    </row>
    <row r="2487">
      <c r="H2487" t="s">
        <v>5117</v>
      </c>
    </row>
    <row r="2488">
      <c r="H2488" t="s">
        <v>5117</v>
      </c>
    </row>
    <row r="2489">
      <c r="H2489" t="s">
        <v>5117</v>
      </c>
    </row>
    <row r="2490">
      <c r="H2490" t="s">
        <v>5117</v>
      </c>
    </row>
    <row r="2491">
      <c r="H2491" t="s">
        <v>5117</v>
      </c>
    </row>
    <row r="2492">
      <c r="H2492" t="s">
        <v>5117</v>
      </c>
    </row>
    <row r="2493">
      <c r="H2493" t="s">
        <v>5117</v>
      </c>
    </row>
    <row r="2494">
      <c r="H2494" t="s">
        <v>5117</v>
      </c>
    </row>
    <row r="2495">
      <c r="H2495" t="s">
        <v>5117</v>
      </c>
    </row>
    <row r="2496">
      <c r="H2496" t="s">
        <v>5117</v>
      </c>
    </row>
    <row r="2497">
      <c r="H2497" t="s">
        <v>5117</v>
      </c>
    </row>
    <row r="2498">
      <c r="H2498" t="s">
        <v>5117</v>
      </c>
    </row>
    <row r="2499">
      <c r="H2499" t="s">
        <v>5117</v>
      </c>
    </row>
    <row r="2500">
      <c r="H2500" t="s">
        <v>5117</v>
      </c>
    </row>
    <row r="2501">
      <c r="H2501" t="s">
        <v>5117</v>
      </c>
    </row>
    <row r="2502">
      <c r="H2502" t="s">
        <v>5117</v>
      </c>
    </row>
    <row r="2503">
      <c r="H2503" t="s">
        <v>5117</v>
      </c>
    </row>
    <row r="2504">
      <c r="H2504" t="s">
        <v>5117</v>
      </c>
    </row>
    <row r="2505">
      <c r="H2505" t="s">
        <v>5117</v>
      </c>
    </row>
    <row r="2506">
      <c r="H2506" t="s">
        <v>5117</v>
      </c>
    </row>
    <row r="2507">
      <c r="H2507" t="s">
        <v>5117</v>
      </c>
    </row>
    <row r="2508">
      <c r="H2508" t="s">
        <v>5117</v>
      </c>
    </row>
    <row r="2509">
      <c r="H2509" t="s">
        <v>5117</v>
      </c>
    </row>
    <row r="2510">
      <c r="H2510" t="s">
        <v>5117</v>
      </c>
    </row>
    <row r="2511">
      <c r="H2511" t="s">
        <v>5117</v>
      </c>
    </row>
    <row r="2512">
      <c r="H2512" t="s">
        <v>5117</v>
      </c>
    </row>
    <row r="2513">
      <c r="H2513" t="s">
        <v>5117</v>
      </c>
    </row>
    <row r="2514">
      <c r="H2514" t="s">
        <v>5117</v>
      </c>
    </row>
    <row r="2515">
      <c r="H2515" t="s">
        <v>5117</v>
      </c>
    </row>
    <row r="2516">
      <c r="H2516" t="s">
        <v>5117</v>
      </c>
    </row>
    <row r="2517">
      <c r="H2517" t="s">
        <v>5117</v>
      </c>
    </row>
    <row r="2518">
      <c r="H2518" t="s">
        <v>5117</v>
      </c>
    </row>
    <row r="2519">
      <c r="H2519" t="s">
        <v>5117</v>
      </c>
    </row>
    <row r="2520">
      <c r="H2520" t="s">
        <v>5117</v>
      </c>
    </row>
    <row r="2521">
      <c r="H2521" t="s">
        <v>5117</v>
      </c>
    </row>
    <row r="2522">
      <c r="H2522" t="s">
        <v>5117</v>
      </c>
    </row>
    <row r="2523">
      <c r="H2523" t="s">
        <v>5117</v>
      </c>
    </row>
    <row r="2524">
      <c r="H2524" t="s">
        <v>5117</v>
      </c>
    </row>
    <row r="2525">
      <c r="H2525" t="s">
        <v>5117</v>
      </c>
    </row>
    <row r="2526">
      <c r="H2526" t="s">
        <v>5117</v>
      </c>
    </row>
    <row r="2527">
      <c r="H2527" t="s">
        <v>5117</v>
      </c>
    </row>
    <row r="2528">
      <c r="H2528" t="s">
        <v>5117</v>
      </c>
    </row>
    <row r="2529">
      <c r="H2529" t="s">
        <v>5117</v>
      </c>
    </row>
    <row r="2530">
      <c r="H2530" t="s">
        <v>5117</v>
      </c>
    </row>
    <row r="2531">
      <c r="H2531" t="s">
        <v>5117</v>
      </c>
    </row>
    <row r="2532">
      <c r="H2532" t="s">
        <v>5117</v>
      </c>
    </row>
    <row r="2533">
      <c r="H2533" t="s">
        <v>5117</v>
      </c>
    </row>
    <row r="2534">
      <c r="H2534" t="s">
        <v>5117</v>
      </c>
    </row>
    <row r="2535">
      <c r="H2535" t="s">
        <v>5117</v>
      </c>
    </row>
    <row r="2536">
      <c r="H2536" t="s">
        <v>5117</v>
      </c>
    </row>
    <row r="2537">
      <c r="H2537" t="s">
        <v>5117</v>
      </c>
    </row>
    <row r="2538">
      <c r="H2538" t="s">
        <v>5117</v>
      </c>
    </row>
    <row r="2539">
      <c r="H2539" t="s">
        <v>5117</v>
      </c>
    </row>
    <row r="2540">
      <c r="H2540" t="s">
        <v>5117</v>
      </c>
    </row>
    <row r="2541">
      <c r="H2541" t="s">
        <v>5117</v>
      </c>
    </row>
    <row r="2542">
      <c r="H2542" t="s">
        <v>5117</v>
      </c>
    </row>
    <row r="2543">
      <c r="H2543" t="s">
        <v>5117</v>
      </c>
    </row>
    <row r="2544">
      <c r="H2544" t="s">
        <v>5117</v>
      </c>
    </row>
    <row r="2545">
      <c r="H2545" t="s">
        <v>5117</v>
      </c>
    </row>
    <row r="2546">
      <c r="H2546" t="s">
        <v>5117</v>
      </c>
    </row>
    <row r="2547">
      <c r="H2547" t="s">
        <v>5117</v>
      </c>
    </row>
    <row r="2548">
      <c r="H2548" t="s">
        <v>5117</v>
      </c>
    </row>
    <row r="2549">
      <c r="H2549" t="s">
        <v>5117</v>
      </c>
    </row>
    <row r="2550">
      <c r="H2550" t="s">
        <v>5117</v>
      </c>
    </row>
    <row r="2551">
      <c r="H2551" t="s">
        <v>5117</v>
      </c>
    </row>
    <row r="2552">
      <c r="H2552" t="s">
        <v>5117</v>
      </c>
    </row>
    <row r="2553">
      <c r="H2553" t="s">
        <v>5117</v>
      </c>
    </row>
    <row r="2554">
      <c r="H2554" t="s">
        <v>5117</v>
      </c>
    </row>
    <row r="2555">
      <c r="H2555" t="s">
        <v>5117</v>
      </c>
    </row>
    <row r="2556">
      <c r="H2556" t="s">
        <v>5117</v>
      </c>
    </row>
    <row r="2557">
      <c r="H2557" t="s">
        <v>5117</v>
      </c>
    </row>
    <row r="2558">
      <c r="H2558" t="s">
        <v>5117</v>
      </c>
    </row>
    <row r="2559">
      <c r="H2559" t="s">
        <v>5117</v>
      </c>
    </row>
    <row r="2560">
      <c r="H2560" t="s">
        <v>5117</v>
      </c>
    </row>
    <row r="2561">
      <c r="H2561" t="s">
        <v>5117</v>
      </c>
    </row>
    <row r="2562">
      <c r="H2562" t="s">
        <v>5117</v>
      </c>
    </row>
    <row r="2563">
      <c r="H2563" t="s">
        <v>5117</v>
      </c>
    </row>
    <row r="2564">
      <c r="H2564" t="s">
        <v>5117</v>
      </c>
    </row>
    <row r="2565">
      <c r="H2565" t="s">
        <v>5117</v>
      </c>
    </row>
    <row r="2566">
      <c r="H2566" t="s">
        <v>5117</v>
      </c>
    </row>
    <row r="2567">
      <c r="H2567" t="s">
        <v>5117</v>
      </c>
    </row>
    <row r="2568">
      <c r="H2568" t="s">
        <v>5117</v>
      </c>
    </row>
    <row r="2569">
      <c r="H2569" t="s">
        <v>5117</v>
      </c>
    </row>
    <row r="2570">
      <c r="H2570" t="s">
        <v>5117</v>
      </c>
    </row>
    <row r="2571">
      <c r="H2571" t="s">
        <v>5117</v>
      </c>
    </row>
    <row r="2572">
      <c r="H2572" t="s">
        <v>5117</v>
      </c>
    </row>
    <row r="2573">
      <c r="H2573" t="s">
        <v>5117</v>
      </c>
    </row>
    <row r="2574">
      <c r="H2574" t="s">
        <v>5117</v>
      </c>
    </row>
    <row r="2575">
      <c r="H2575" t="s">
        <v>5117</v>
      </c>
    </row>
    <row r="2576">
      <c r="H2576" t="s">
        <v>5117</v>
      </c>
    </row>
    <row r="2577">
      <c r="H2577" t="s">
        <v>5117</v>
      </c>
    </row>
    <row r="2578">
      <c r="H2578" t="s">
        <v>5117</v>
      </c>
    </row>
    <row r="2579">
      <c r="H2579" t="s">
        <v>5117</v>
      </c>
    </row>
    <row r="2580">
      <c r="H2580" t="s">
        <v>5117</v>
      </c>
    </row>
    <row r="2581">
      <c r="H2581" t="s">
        <v>5117</v>
      </c>
    </row>
    <row r="2582">
      <c r="H2582" t="s">
        <v>5117</v>
      </c>
    </row>
    <row r="2583">
      <c r="H2583" t="s">
        <v>5117</v>
      </c>
    </row>
    <row r="2584">
      <c r="H2584" t="s">
        <v>5117</v>
      </c>
    </row>
    <row r="2585">
      <c r="H2585" t="s">
        <v>5117</v>
      </c>
    </row>
    <row r="2586">
      <c r="H2586" t="s">
        <v>5117</v>
      </c>
    </row>
    <row r="2587">
      <c r="H2587" t="s">
        <v>5117</v>
      </c>
    </row>
    <row r="2588">
      <c r="H2588" t="s">
        <v>5117</v>
      </c>
    </row>
    <row r="2589">
      <c r="H2589" t="s">
        <v>5117</v>
      </c>
    </row>
    <row r="2590">
      <c r="H2590" t="s">
        <v>5117</v>
      </c>
    </row>
    <row r="2591">
      <c r="H2591" t="s">
        <v>5117</v>
      </c>
    </row>
    <row r="2592">
      <c r="H2592" t="s">
        <v>5117</v>
      </c>
    </row>
    <row r="2593">
      <c r="H2593" t="s">
        <v>5117</v>
      </c>
    </row>
    <row r="2594">
      <c r="H2594" t="s">
        <v>5117</v>
      </c>
    </row>
    <row r="2595">
      <c r="H2595" t="s">
        <v>5117</v>
      </c>
    </row>
    <row r="2596">
      <c r="H2596" t="s">
        <v>5117</v>
      </c>
    </row>
    <row r="2597">
      <c r="H2597" t="s">
        <v>5117</v>
      </c>
    </row>
    <row r="2598">
      <c r="H2598" t="s">
        <v>5117</v>
      </c>
    </row>
    <row r="2599">
      <c r="H2599" t="s">
        <v>5117</v>
      </c>
    </row>
    <row r="2600">
      <c r="H2600" t="s">
        <v>5117</v>
      </c>
    </row>
    <row r="2601">
      <c r="H2601" t="s">
        <v>5117</v>
      </c>
    </row>
    <row r="2602">
      <c r="H2602" t="s">
        <v>5117</v>
      </c>
    </row>
    <row r="2603">
      <c r="H2603" t="s">
        <v>5117</v>
      </c>
    </row>
    <row r="2604">
      <c r="H2604" t="s">
        <v>5117</v>
      </c>
    </row>
    <row r="2605">
      <c r="H2605" t="s">
        <v>5117</v>
      </c>
    </row>
    <row r="2606">
      <c r="H2606" t="s">
        <v>5117</v>
      </c>
    </row>
    <row r="2607">
      <c r="H2607" t="s">
        <v>5117</v>
      </c>
    </row>
    <row r="2608">
      <c r="H2608" t="s">
        <v>5117</v>
      </c>
    </row>
    <row r="2609">
      <c r="H2609" t="s">
        <v>5117</v>
      </c>
    </row>
    <row r="2610">
      <c r="H2610" t="s">
        <v>5117</v>
      </c>
    </row>
    <row r="2611">
      <c r="H2611" t="s">
        <v>5117</v>
      </c>
    </row>
    <row r="2612">
      <c r="H2612" t="s">
        <v>5117</v>
      </c>
    </row>
    <row r="2613">
      <c r="H2613" t="s">
        <v>5117</v>
      </c>
    </row>
    <row r="2614">
      <c r="H2614" t="s">
        <v>5117</v>
      </c>
    </row>
    <row r="2615">
      <c r="H2615" t="s">
        <v>5117</v>
      </c>
    </row>
    <row r="2616">
      <c r="H2616" t="s">
        <v>5117</v>
      </c>
    </row>
    <row r="2617">
      <c r="H2617" t="s">
        <v>5117</v>
      </c>
    </row>
    <row r="2618">
      <c r="H2618" t="s">
        <v>5117</v>
      </c>
    </row>
    <row r="2619">
      <c r="H2619" t="s">
        <v>5117</v>
      </c>
    </row>
    <row r="2620">
      <c r="H2620" t="s">
        <v>5117</v>
      </c>
    </row>
    <row r="2621">
      <c r="H2621" t="s">
        <v>5117</v>
      </c>
    </row>
    <row r="2622">
      <c r="H2622" t="s">
        <v>5117</v>
      </c>
    </row>
    <row r="2623">
      <c r="H2623" t="s">
        <v>5117</v>
      </c>
    </row>
    <row r="2624">
      <c r="H2624" t="s">
        <v>5117</v>
      </c>
    </row>
    <row r="2625">
      <c r="H2625" t="s">
        <v>5117</v>
      </c>
    </row>
    <row r="2626">
      <c r="H2626" t="s">
        <v>5117</v>
      </c>
    </row>
    <row r="2627">
      <c r="H2627" t="s">
        <v>5117</v>
      </c>
    </row>
    <row r="2628">
      <c r="H2628" t="s">
        <v>5117</v>
      </c>
    </row>
    <row r="2629">
      <c r="H2629" t="s">
        <v>5117</v>
      </c>
    </row>
    <row r="2630">
      <c r="H2630" t="s">
        <v>5117</v>
      </c>
    </row>
    <row r="2631">
      <c r="H2631" t="s">
        <v>5117</v>
      </c>
    </row>
    <row r="2632">
      <c r="H2632" t="s">
        <v>5117</v>
      </c>
    </row>
    <row r="2633">
      <c r="H2633" t="s">
        <v>5117</v>
      </c>
    </row>
    <row r="2634">
      <c r="H2634" t="s">
        <v>5117</v>
      </c>
    </row>
    <row r="2635">
      <c r="H2635" t="s">
        <v>5117</v>
      </c>
    </row>
    <row r="2636">
      <c r="H2636" t="s">
        <v>5117</v>
      </c>
    </row>
    <row r="2637">
      <c r="H2637" t="s">
        <v>5117</v>
      </c>
    </row>
    <row r="2638">
      <c r="H2638" t="s">
        <v>5117</v>
      </c>
    </row>
    <row r="2639">
      <c r="H2639" t="s">
        <v>5117</v>
      </c>
    </row>
    <row r="2640">
      <c r="H2640" t="s">
        <v>5117</v>
      </c>
    </row>
    <row r="2641">
      <c r="H2641" t="s">
        <v>5117</v>
      </c>
    </row>
    <row r="2642">
      <c r="H2642" t="s">
        <v>5117</v>
      </c>
    </row>
    <row r="2643">
      <c r="H2643" t="s">
        <v>5117</v>
      </c>
    </row>
    <row r="2644">
      <c r="H2644" t="s">
        <v>5117</v>
      </c>
    </row>
    <row r="2645">
      <c r="H2645" t="s">
        <v>5117</v>
      </c>
    </row>
    <row r="2646">
      <c r="H2646" t="s">
        <v>5117</v>
      </c>
    </row>
    <row r="2647">
      <c r="H2647" t="s">
        <v>5117</v>
      </c>
    </row>
    <row r="2648">
      <c r="H2648" t="s">
        <v>5117</v>
      </c>
    </row>
    <row r="2649">
      <c r="H2649" t="s">
        <v>5117</v>
      </c>
    </row>
    <row r="2650">
      <c r="H2650" t="s">
        <v>5117</v>
      </c>
    </row>
    <row r="2651">
      <c r="H2651" t="s">
        <v>5117</v>
      </c>
    </row>
    <row r="2652">
      <c r="H2652" t="s">
        <v>5117</v>
      </c>
    </row>
    <row r="2653">
      <c r="H2653" t="s">
        <v>5117</v>
      </c>
    </row>
    <row r="2654">
      <c r="H2654" t="s">
        <v>5117</v>
      </c>
    </row>
    <row r="2655">
      <c r="H2655" t="s">
        <v>5117</v>
      </c>
    </row>
    <row r="2656">
      <c r="H2656" t="s">
        <v>5117</v>
      </c>
    </row>
    <row r="2657">
      <c r="H2657" t="s">
        <v>5117</v>
      </c>
    </row>
    <row r="2658">
      <c r="H2658" t="s">
        <v>5117</v>
      </c>
    </row>
    <row r="2659">
      <c r="H2659" t="s">
        <v>5117</v>
      </c>
    </row>
    <row r="2660">
      <c r="H2660" t="s">
        <v>5117</v>
      </c>
    </row>
    <row r="2661">
      <c r="H2661" t="s">
        <v>5117</v>
      </c>
    </row>
    <row r="2662">
      <c r="H2662" t="s">
        <v>5117</v>
      </c>
    </row>
    <row r="2663">
      <c r="H2663" t="s">
        <v>5117</v>
      </c>
    </row>
    <row r="2664">
      <c r="H2664" t="s">
        <v>5117</v>
      </c>
    </row>
    <row r="2665">
      <c r="H2665" t="s">
        <v>5117</v>
      </c>
    </row>
    <row r="2666">
      <c r="H2666" t="s">
        <v>5117</v>
      </c>
    </row>
    <row r="2667">
      <c r="H2667" t="s">
        <v>5117</v>
      </c>
    </row>
    <row r="2668">
      <c r="H2668" t="s">
        <v>5117</v>
      </c>
    </row>
    <row r="2669">
      <c r="H2669" t="s">
        <v>5117</v>
      </c>
    </row>
    <row r="2670">
      <c r="H2670" t="s">
        <v>5117</v>
      </c>
    </row>
    <row r="2671">
      <c r="H2671" t="s">
        <v>5117</v>
      </c>
    </row>
    <row r="2672">
      <c r="H2672" t="s">
        <v>5117</v>
      </c>
    </row>
    <row r="2673">
      <c r="H2673" t="s">
        <v>5117</v>
      </c>
    </row>
    <row r="2674">
      <c r="H2674" t="s">
        <v>5117</v>
      </c>
    </row>
    <row r="2675">
      <c r="H2675" t="s">
        <v>5117</v>
      </c>
    </row>
    <row r="2676">
      <c r="H2676" t="s">
        <v>5117</v>
      </c>
    </row>
    <row r="2677">
      <c r="H2677" t="s">
        <v>5117</v>
      </c>
    </row>
    <row r="2678">
      <c r="H2678" t="s">
        <v>5117</v>
      </c>
    </row>
    <row r="2679">
      <c r="H2679" t="s">
        <v>5117</v>
      </c>
    </row>
    <row r="2680">
      <c r="H2680" t="s">
        <v>5117</v>
      </c>
    </row>
    <row r="2681">
      <c r="H2681" t="s">
        <v>5117</v>
      </c>
    </row>
    <row r="2682">
      <c r="H2682" t="s">
        <v>5117</v>
      </c>
    </row>
    <row r="2683">
      <c r="H2683" t="s">
        <v>5117</v>
      </c>
    </row>
    <row r="2684">
      <c r="H2684" t="s">
        <v>5117</v>
      </c>
    </row>
    <row r="2685">
      <c r="H2685" t="s">
        <v>5117</v>
      </c>
    </row>
    <row r="2686">
      <c r="H2686" t="s">
        <v>5117</v>
      </c>
    </row>
    <row r="2687">
      <c r="H2687" t="s">
        <v>5117</v>
      </c>
    </row>
    <row r="2688">
      <c r="H2688" t="s">
        <v>5117</v>
      </c>
    </row>
    <row r="2689">
      <c r="H2689" t="s">
        <v>5117</v>
      </c>
    </row>
    <row r="2690">
      <c r="H2690" t="s">
        <v>5117</v>
      </c>
    </row>
    <row r="2691">
      <c r="H2691" t="s">
        <v>5117</v>
      </c>
    </row>
    <row r="2692">
      <c r="H2692" t="s">
        <v>5117</v>
      </c>
    </row>
    <row r="2693">
      <c r="H2693" t="s">
        <v>5117</v>
      </c>
    </row>
    <row r="2694">
      <c r="H2694" t="s">
        <v>5117</v>
      </c>
    </row>
    <row r="2695">
      <c r="H2695" t="s">
        <v>5117</v>
      </c>
    </row>
    <row r="2696">
      <c r="H2696" t="s">
        <v>5117</v>
      </c>
    </row>
    <row r="2697">
      <c r="H2697" t="s">
        <v>5117</v>
      </c>
    </row>
    <row r="2698">
      <c r="H2698" t="s">
        <v>5117</v>
      </c>
    </row>
    <row r="2699">
      <c r="H2699" t="s">
        <v>5117</v>
      </c>
    </row>
    <row r="2700">
      <c r="H2700" t="s">
        <v>5117</v>
      </c>
    </row>
    <row r="2701">
      <c r="H2701" t="s">
        <v>5117</v>
      </c>
    </row>
    <row r="2702">
      <c r="H2702" t="s">
        <v>5117</v>
      </c>
    </row>
    <row r="2703">
      <c r="H2703" t="s">
        <v>5117</v>
      </c>
    </row>
    <row r="2704">
      <c r="H2704" t="s">
        <v>5117</v>
      </c>
    </row>
    <row r="2705">
      <c r="H2705" t="s">
        <v>5117</v>
      </c>
    </row>
    <row r="2706">
      <c r="H2706" t="s">
        <v>5117</v>
      </c>
    </row>
    <row r="2707">
      <c r="H2707" t="s">
        <v>5117</v>
      </c>
    </row>
    <row r="2708">
      <c r="H2708" t="s">
        <v>5117</v>
      </c>
    </row>
    <row r="2709">
      <c r="H2709" t="s">
        <v>5117</v>
      </c>
    </row>
    <row r="2710">
      <c r="H2710" t="s">
        <v>5117</v>
      </c>
    </row>
    <row r="2711">
      <c r="H2711" t="s">
        <v>5117</v>
      </c>
    </row>
    <row r="2712">
      <c r="H2712" t="s">
        <v>5117</v>
      </c>
    </row>
    <row r="2713">
      <c r="H2713" t="s">
        <v>5117</v>
      </c>
    </row>
    <row r="2714">
      <c r="H2714" t="s">
        <v>5117</v>
      </c>
    </row>
    <row r="2715">
      <c r="H2715" t="s">
        <v>5117</v>
      </c>
    </row>
    <row r="2716">
      <c r="H2716" t="s">
        <v>5117</v>
      </c>
    </row>
    <row r="2717">
      <c r="H2717" t="s">
        <v>5117</v>
      </c>
    </row>
    <row r="2718">
      <c r="H2718" t="s">
        <v>5117</v>
      </c>
    </row>
    <row r="2719">
      <c r="H2719" t="s">
        <v>5117</v>
      </c>
    </row>
    <row r="2720">
      <c r="H2720" t="s">
        <v>5117</v>
      </c>
    </row>
    <row r="2721">
      <c r="H2721" t="s">
        <v>5117</v>
      </c>
    </row>
    <row r="2722">
      <c r="H2722" t="s">
        <v>5117</v>
      </c>
    </row>
    <row r="2723">
      <c r="H2723" t="s">
        <v>5117</v>
      </c>
    </row>
    <row r="2724">
      <c r="H2724" t="s">
        <v>5117</v>
      </c>
    </row>
    <row r="2725">
      <c r="H2725" t="s">
        <v>5117</v>
      </c>
    </row>
    <row r="2726">
      <c r="H2726" t="s">
        <v>5117</v>
      </c>
    </row>
    <row r="2727">
      <c r="H2727" t="s">
        <v>5117</v>
      </c>
    </row>
    <row r="2728">
      <c r="H2728" t="s">
        <v>5117</v>
      </c>
    </row>
    <row r="2729">
      <c r="H2729" t="s">
        <v>5117</v>
      </c>
    </row>
    <row r="2730">
      <c r="H2730" t="s">
        <v>5117</v>
      </c>
    </row>
    <row r="2731">
      <c r="H2731" t="s">
        <v>5117</v>
      </c>
    </row>
    <row r="2732">
      <c r="H2732" t="s">
        <v>5117</v>
      </c>
    </row>
    <row r="2733">
      <c r="H2733" t="s">
        <v>5117</v>
      </c>
    </row>
    <row r="2734">
      <c r="H2734" t="s">
        <v>5117</v>
      </c>
    </row>
    <row r="2735">
      <c r="H2735" t="s">
        <v>5117</v>
      </c>
    </row>
    <row r="2736">
      <c r="H2736" t="s">
        <v>5117</v>
      </c>
    </row>
    <row r="2737">
      <c r="H2737" t="s">
        <v>5117</v>
      </c>
    </row>
    <row r="2738">
      <c r="H2738" t="s">
        <v>5117</v>
      </c>
    </row>
    <row r="2739">
      <c r="H2739" t="s">
        <v>5117</v>
      </c>
    </row>
    <row r="2740">
      <c r="H2740" t="s">
        <v>5117</v>
      </c>
    </row>
    <row r="2741">
      <c r="H2741" t="s">
        <v>5117</v>
      </c>
    </row>
    <row r="2742">
      <c r="H2742" t="s">
        <v>5117</v>
      </c>
    </row>
    <row r="2743">
      <c r="H2743" t="s">
        <v>5117</v>
      </c>
    </row>
    <row r="2744">
      <c r="H2744" t="s">
        <v>5117</v>
      </c>
    </row>
    <row r="2745">
      <c r="H2745" t="s">
        <v>5117</v>
      </c>
    </row>
    <row r="2746">
      <c r="H2746" t="s">
        <v>5117</v>
      </c>
    </row>
    <row r="2747">
      <c r="H2747" t="s">
        <v>5117</v>
      </c>
    </row>
    <row r="2748">
      <c r="H2748" t="s">
        <v>5117</v>
      </c>
    </row>
    <row r="2749">
      <c r="H2749" t="s">
        <v>5117</v>
      </c>
    </row>
    <row r="2750">
      <c r="H2750" t="s">
        <v>5117</v>
      </c>
    </row>
    <row r="2751">
      <c r="H2751" t="s">
        <v>5117</v>
      </c>
    </row>
    <row r="2752">
      <c r="H2752" t="s">
        <v>5117</v>
      </c>
    </row>
    <row r="2753">
      <c r="H2753" t="s">
        <v>5117</v>
      </c>
    </row>
    <row r="2754">
      <c r="H2754" t="s">
        <v>5117</v>
      </c>
    </row>
    <row r="2755">
      <c r="H2755" t="s">
        <v>5117</v>
      </c>
    </row>
    <row r="2756">
      <c r="H2756" t="s">
        <v>5117</v>
      </c>
    </row>
    <row r="2757">
      <c r="H2757" t="s">
        <v>5117</v>
      </c>
    </row>
    <row r="2758">
      <c r="H2758" t="s">
        <v>5117</v>
      </c>
    </row>
    <row r="2759">
      <c r="H2759" t="s">
        <v>5117</v>
      </c>
    </row>
    <row r="2760">
      <c r="H2760" t="s">
        <v>5117</v>
      </c>
    </row>
    <row r="2761">
      <c r="H2761" t="s">
        <v>5117</v>
      </c>
    </row>
    <row r="2762">
      <c r="H2762" t="s">
        <v>5117</v>
      </c>
    </row>
    <row r="2763">
      <c r="H2763" t="s">
        <v>5117</v>
      </c>
    </row>
    <row r="2764">
      <c r="H2764" t="s">
        <v>5117</v>
      </c>
    </row>
    <row r="2765">
      <c r="H2765" t="s">
        <v>5117</v>
      </c>
    </row>
    <row r="2766">
      <c r="H2766" t="s">
        <v>5117</v>
      </c>
    </row>
    <row r="2767">
      <c r="H2767" t="s">
        <v>5117</v>
      </c>
    </row>
    <row r="2768">
      <c r="H2768" t="s">
        <v>5117</v>
      </c>
    </row>
    <row r="2769">
      <c r="H2769" t="s">
        <v>5117</v>
      </c>
    </row>
    <row r="2770">
      <c r="H2770" t="s">
        <v>5117</v>
      </c>
    </row>
    <row r="2771">
      <c r="H2771" t="s">
        <v>5117</v>
      </c>
    </row>
    <row r="2772">
      <c r="H2772" t="s">
        <v>5117</v>
      </c>
    </row>
    <row r="2773">
      <c r="H2773" t="s">
        <v>5117</v>
      </c>
    </row>
    <row r="2774">
      <c r="H2774" t="s">
        <v>5117</v>
      </c>
    </row>
    <row r="2775">
      <c r="H2775" t="s">
        <v>5117</v>
      </c>
    </row>
    <row r="2776">
      <c r="H2776" t="s">
        <v>5117</v>
      </c>
    </row>
    <row r="2777">
      <c r="H2777" t="s">
        <v>5117</v>
      </c>
    </row>
    <row r="2778">
      <c r="H2778" t="s">
        <v>5117</v>
      </c>
    </row>
    <row r="2779">
      <c r="H2779" t="s">
        <v>5117</v>
      </c>
    </row>
    <row r="2780">
      <c r="H2780" t="s">
        <v>5117</v>
      </c>
    </row>
    <row r="2781">
      <c r="H2781" t="s">
        <v>5117</v>
      </c>
    </row>
    <row r="2782">
      <c r="H2782" t="s">
        <v>5117</v>
      </c>
    </row>
    <row r="2783">
      <c r="H2783" t="s">
        <v>5117</v>
      </c>
    </row>
    <row r="2784">
      <c r="H2784" t="s">
        <v>5117</v>
      </c>
    </row>
    <row r="2785">
      <c r="H2785" t="s">
        <v>5117</v>
      </c>
    </row>
    <row r="2786">
      <c r="H2786" t="s">
        <v>5117</v>
      </c>
    </row>
    <row r="2787">
      <c r="H2787" t="s">
        <v>5117</v>
      </c>
    </row>
    <row r="2788">
      <c r="H2788" t="s">
        <v>5117</v>
      </c>
    </row>
    <row r="2789">
      <c r="H2789" t="s">
        <v>5117</v>
      </c>
    </row>
    <row r="2790">
      <c r="H2790" t="s">
        <v>5117</v>
      </c>
    </row>
    <row r="2791">
      <c r="H2791" t="s">
        <v>5117</v>
      </c>
    </row>
    <row r="2792">
      <c r="H2792" t="s">
        <v>5117</v>
      </c>
    </row>
    <row r="2793">
      <c r="H2793" t="s">
        <v>5117</v>
      </c>
    </row>
    <row r="2794">
      <c r="H2794" t="s">
        <v>5117</v>
      </c>
    </row>
    <row r="2795">
      <c r="H2795" t="s">
        <v>5117</v>
      </c>
    </row>
    <row r="2796">
      <c r="H2796" t="s">
        <v>5117</v>
      </c>
    </row>
    <row r="2797">
      <c r="H2797" t="s">
        <v>5117</v>
      </c>
    </row>
    <row r="2798">
      <c r="H2798" t="s">
        <v>5117</v>
      </c>
    </row>
    <row r="2799">
      <c r="H2799" t="s">
        <v>5117</v>
      </c>
    </row>
    <row r="2800">
      <c r="H2800" t="s">
        <v>5117</v>
      </c>
    </row>
    <row r="2801">
      <c r="H2801" t="s">
        <v>5117</v>
      </c>
    </row>
    <row r="2802">
      <c r="H2802" t="s">
        <v>5117</v>
      </c>
    </row>
    <row r="2803">
      <c r="H2803" t="s">
        <v>5117</v>
      </c>
    </row>
    <row r="2804">
      <c r="H2804" t="s">
        <v>5117</v>
      </c>
    </row>
    <row r="2805">
      <c r="H2805" t="s">
        <v>5117</v>
      </c>
    </row>
    <row r="2806">
      <c r="H2806" t="s">
        <v>5117</v>
      </c>
    </row>
    <row r="2807">
      <c r="H2807" t="s">
        <v>5117</v>
      </c>
    </row>
    <row r="2808">
      <c r="H2808" t="s">
        <v>5117</v>
      </c>
    </row>
    <row r="2809">
      <c r="H2809" t="s">
        <v>5117</v>
      </c>
    </row>
    <row r="2810">
      <c r="H2810" t="s">
        <v>5117</v>
      </c>
    </row>
    <row r="2811">
      <c r="H2811" t="s">
        <v>5117</v>
      </c>
    </row>
    <row r="2812">
      <c r="H2812" t="s">
        <v>5117</v>
      </c>
    </row>
    <row r="2813">
      <c r="H2813" t="s">
        <v>5117</v>
      </c>
    </row>
    <row r="2814">
      <c r="H2814" t="s">
        <v>5117</v>
      </c>
    </row>
    <row r="2815">
      <c r="H2815" t="s">
        <v>5117</v>
      </c>
    </row>
    <row r="2816">
      <c r="H2816" t="s">
        <v>5117</v>
      </c>
    </row>
    <row r="2817">
      <c r="H2817" t="s">
        <v>5117</v>
      </c>
    </row>
    <row r="2818">
      <c r="H2818" t="s">
        <v>5117</v>
      </c>
    </row>
    <row r="2819">
      <c r="H2819" t="s">
        <v>5117</v>
      </c>
    </row>
    <row r="2820">
      <c r="H2820" t="s">
        <v>5117</v>
      </c>
    </row>
    <row r="2821">
      <c r="H2821" t="s">
        <v>5117</v>
      </c>
    </row>
    <row r="2822">
      <c r="H2822" t="s">
        <v>5117</v>
      </c>
    </row>
    <row r="2823">
      <c r="H2823" t="s">
        <v>5117</v>
      </c>
    </row>
    <row r="2824">
      <c r="H2824" t="s">
        <v>5117</v>
      </c>
    </row>
    <row r="2825">
      <c r="H2825" t="s">
        <v>5117</v>
      </c>
    </row>
    <row r="2826">
      <c r="H2826" t="s">
        <v>5117</v>
      </c>
    </row>
    <row r="2827">
      <c r="H2827" t="s">
        <v>5117</v>
      </c>
    </row>
    <row r="2828">
      <c r="H2828" t="s">
        <v>5117</v>
      </c>
    </row>
    <row r="2829">
      <c r="H2829" t="s">
        <v>5117</v>
      </c>
    </row>
    <row r="2830">
      <c r="H2830" t="s">
        <v>5117</v>
      </c>
    </row>
    <row r="2831">
      <c r="H2831" t="s">
        <v>5117</v>
      </c>
    </row>
    <row r="2832">
      <c r="H2832" t="s">
        <v>5117</v>
      </c>
    </row>
    <row r="2833">
      <c r="H2833" t="s">
        <v>5117</v>
      </c>
    </row>
    <row r="2834">
      <c r="H2834" t="s">
        <v>5117</v>
      </c>
    </row>
    <row r="2835">
      <c r="H2835" t="s">
        <v>5117</v>
      </c>
    </row>
    <row r="2836">
      <c r="H2836" t="s">
        <v>5117</v>
      </c>
    </row>
    <row r="2837">
      <c r="H2837" t="s">
        <v>5117</v>
      </c>
    </row>
    <row r="2838">
      <c r="H2838" t="s">
        <v>5117</v>
      </c>
    </row>
    <row r="2839">
      <c r="H2839" t="s">
        <v>5117</v>
      </c>
    </row>
    <row r="2840">
      <c r="H2840" t="s">
        <v>5117</v>
      </c>
    </row>
    <row r="2841">
      <c r="H2841" t="s">
        <v>5117</v>
      </c>
    </row>
    <row r="2842">
      <c r="H2842" t="s">
        <v>5117</v>
      </c>
    </row>
    <row r="2843">
      <c r="H2843" t="s">
        <v>5117</v>
      </c>
    </row>
    <row r="2844">
      <c r="H2844" t="s">
        <v>5117</v>
      </c>
    </row>
    <row r="2845">
      <c r="H2845" t="s">
        <v>5117</v>
      </c>
    </row>
    <row r="2846">
      <c r="H2846" t="s">
        <v>5117</v>
      </c>
    </row>
    <row r="2847">
      <c r="H2847" t="s">
        <v>5117</v>
      </c>
    </row>
    <row r="2848">
      <c r="H2848" t="s">
        <v>5117</v>
      </c>
    </row>
    <row r="2849">
      <c r="H2849" t="s">
        <v>5117</v>
      </c>
    </row>
    <row r="2850">
      <c r="H2850" t="s">
        <v>5117</v>
      </c>
    </row>
    <row r="2851">
      <c r="H2851" t="s">
        <v>5117</v>
      </c>
    </row>
    <row r="2852">
      <c r="H2852" t="s">
        <v>5117</v>
      </c>
    </row>
    <row r="2853">
      <c r="H2853" t="s">
        <v>5117</v>
      </c>
    </row>
    <row r="2854">
      <c r="H2854" t="s">
        <v>5117</v>
      </c>
    </row>
    <row r="2855">
      <c r="H2855" t="s">
        <v>5117</v>
      </c>
    </row>
    <row r="2856">
      <c r="H2856" t="s">
        <v>5117</v>
      </c>
    </row>
    <row r="2857">
      <c r="H2857" t="s">
        <v>5117</v>
      </c>
    </row>
    <row r="2858">
      <c r="H2858" t="s">
        <v>5117</v>
      </c>
    </row>
    <row r="2859">
      <c r="H2859" t="s">
        <v>5117</v>
      </c>
    </row>
    <row r="2860">
      <c r="H2860" t="s">
        <v>5117</v>
      </c>
    </row>
    <row r="2861">
      <c r="H2861" t="s">
        <v>5117</v>
      </c>
    </row>
    <row r="2862">
      <c r="H2862" t="s">
        <v>5117</v>
      </c>
    </row>
    <row r="2863">
      <c r="H2863" t="s">
        <v>5117</v>
      </c>
    </row>
    <row r="2864">
      <c r="H2864" t="s">
        <v>5117</v>
      </c>
    </row>
    <row r="2865">
      <c r="H2865" t="s">
        <v>5117</v>
      </c>
    </row>
    <row r="2866">
      <c r="H2866" t="s">
        <v>5117</v>
      </c>
    </row>
    <row r="2867">
      <c r="H2867" t="s">
        <v>5117</v>
      </c>
    </row>
    <row r="2868">
      <c r="H2868" t="s">
        <v>5117</v>
      </c>
    </row>
    <row r="2869">
      <c r="H2869" t="s">
        <v>5117</v>
      </c>
    </row>
    <row r="2870">
      <c r="H2870" t="s">
        <v>5117</v>
      </c>
    </row>
    <row r="2871">
      <c r="H2871" t="s">
        <v>5117</v>
      </c>
    </row>
    <row r="2872">
      <c r="H2872" t="s">
        <v>5117</v>
      </c>
    </row>
    <row r="2873">
      <c r="H2873" t="s">
        <v>5117</v>
      </c>
    </row>
    <row r="2874">
      <c r="H2874" t="s">
        <v>5117</v>
      </c>
    </row>
    <row r="2875">
      <c r="H2875" t="s">
        <v>5117</v>
      </c>
    </row>
    <row r="2876">
      <c r="H2876" t="s">
        <v>5117</v>
      </c>
    </row>
    <row r="2877">
      <c r="H2877" t="s">
        <v>5117</v>
      </c>
    </row>
    <row r="2878">
      <c r="H2878" t="s">
        <v>5117</v>
      </c>
    </row>
    <row r="2879">
      <c r="H2879" t="s">
        <v>5117</v>
      </c>
    </row>
    <row r="2880">
      <c r="H2880" t="s">
        <v>5117</v>
      </c>
    </row>
    <row r="2881">
      <c r="H2881" t="s">
        <v>5117</v>
      </c>
    </row>
    <row r="2882">
      <c r="H2882" t="s">
        <v>5117</v>
      </c>
    </row>
    <row r="2883">
      <c r="H2883" t="s">
        <v>5117</v>
      </c>
    </row>
    <row r="2884">
      <c r="H2884" t="s">
        <v>5117</v>
      </c>
    </row>
    <row r="2885">
      <c r="H2885" t="s">
        <v>5117</v>
      </c>
    </row>
    <row r="2886">
      <c r="H2886" t="s">
        <v>5117</v>
      </c>
    </row>
    <row r="2887">
      <c r="H2887" t="s">
        <v>5117</v>
      </c>
    </row>
    <row r="2888">
      <c r="H2888" t="s">
        <v>5117</v>
      </c>
    </row>
    <row r="2889">
      <c r="H2889" t="s">
        <v>5117</v>
      </c>
    </row>
    <row r="2890">
      <c r="H2890" t="s">
        <v>5117</v>
      </c>
    </row>
    <row r="2891">
      <c r="H2891" t="s">
        <v>5117</v>
      </c>
    </row>
    <row r="2892">
      <c r="H2892" t="s">
        <v>5117</v>
      </c>
    </row>
    <row r="2893">
      <c r="H2893" t="s">
        <v>5117</v>
      </c>
    </row>
    <row r="2894">
      <c r="H2894" t="s">
        <v>5117</v>
      </c>
    </row>
    <row r="2895">
      <c r="H2895" t="s">
        <v>5117</v>
      </c>
    </row>
    <row r="2896">
      <c r="H2896" t="s">
        <v>5117</v>
      </c>
    </row>
    <row r="2897">
      <c r="H2897" t="s">
        <v>5117</v>
      </c>
    </row>
    <row r="2898">
      <c r="H2898" t="s">
        <v>5117</v>
      </c>
    </row>
    <row r="2899">
      <c r="H2899" t="s">
        <v>5117</v>
      </c>
    </row>
    <row r="2900">
      <c r="H2900" t="s">
        <v>5117</v>
      </c>
    </row>
    <row r="2901">
      <c r="H2901" t="s">
        <v>5117</v>
      </c>
    </row>
    <row r="2902">
      <c r="H2902" t="s">
        <v>5117</v>
      </c>
    </row>
    <row r="2903">
      <c r="H2903" t="s">
        <v>5117</v>
      </c>
    </row>
    <row r="2904">
      <c r="H2904" t="s">
        <v>5117</v>
      </c>
    </row>
    <row r="2905">
      <c r="H2905" t="s">
        <v>5117</v>
      </c>
    </row>
    <row r="2906">
      <c r="H2906" t="s">
        <v>5117</v>
      </c>
    </row>
    <row r="2907">
      <c r="H2907" t="s">
        <v>5117</v>
      </c>
    </row>
    <row r="2908">
      <c r="H2908" t="s">
        <v>5117</v>
      </c>
    </row>
    <row r="2909">
      <c r="H2909" t="s">
        <v>5117</v>
      </c>
    </row>
    <row r="2910">
      <c r="H2910" t="s">
        <v>5117</v>
      </c>
    </row>
    <row r="2911">
      <c r="H2911" t="s">
        <v>5117</v>
      </c>
    </row>
    <row r="2912">
      <c r="H2912" t="s">
        <v>5117</v>
      </c>
    </row>
    <row r="2913">
      <c r="H2913" t="s">
        <v>5117</v>
      </c>
    </row>
    <row r="2914">
      <c r="H2914" t="s">
        <v>5117</v>
      </c>
    </row>
    <row r="2915">
      <c r="H2915" t="s">
        <v>5117</v>
      </c>
    </row>
    <row r="2916">
      <c r="H2916" t="s">
        <v>5117</v>
      </c>
    </row>
    <row r="2917">
      <c r="H2917" t="s">
        <v>5117</v>
      </c>
    </row>
    <row r="2918">
      <c r="H2918" t="s">
        <v>5117</v>
      </c>
    </row>
    <row r="2919">
      <c r="H2919" t="s">
        <v>5117</v>
      </c>
    </row>
    <row r="2920">
      <c r="H2920" t="s">
        <v>5117</v>
      </c>
    </row>
    <row r="2921">
      <c r="H2921" t="s">
        <v>5117</v>
      </c>
    </row>
    <row r="2922">
      <c r="H2922" t="s">
        <v>5117</v>
      </c>
    </row>
    <row r="2923">
      <c r="H2923" t="s">
        <v>5117</v>
      </c>
    </row>
    <row r="2924">
      <c r="H2924" t="s">
        <v>5117</v>
      </c>
    </row>
    <row r="2925">
      <c r="H2925" t="s">
        <v>5117</v>
      </c>
    </row>
    <row r="2926">
      <c r="H2926" t="s">
        <v>5117</v>
      </c>
    </row>
    <row r="2927">
      <c r="H2927" t="s">
        <v>5117</v>
      </c>
    </row>
    <row r="2928">
      <c r="H2928" t="s">
        <v>5117</v>
      </c>
    </row>
    <row r="2929">
      <c r="H2929" t="s">
        <v>5117</v>
      </c>
    </row>
    <row r="2930">
      <c r="H2930" t="s">
        <v>5117</v>
      </c>
    </row>
    <row r="2931">
      <c r="H2931" t="s">
        <v>5117</v>
      </c>
    </row>
    <row r="2932">
      <c r="H2932" t="s">
        <v>5117</v>
      </c>
    </row>
    <row r="2933">
      <c r="H2933" t="s">
        <v>5117</v>
      </c>
    </row>
    <row r="2934">
      <c r="H2934" t="s">
        <v>5117</v>
      </c>
    </row>
    <row r="2935">
      <c r="H2935" t="s">
        <v>5117</v>
      </c>
    </row>
    <row r="2936">
      <c r="H2936" t="s">
        <v>5117</v>
      </c>
    </row>
    <row r="2937">
      <c r="H2937" t="s">
        <v>5117</v>
      </c>
    </row>
    <row r="2938">
      <c r="H2938" t="s">
        <v>5117</v>
      </c>
    </row>
    <row r="2939">
      <c r="H2939" t="s">
        <v>5117</v>
      </c>
    </row>
    <row r="2940">
      <c r="H2940" t="s">
        <v>5117</v>
      </c>
    </row>
    <row r="2941">
      <c r="H2941" t="s">
        <v>5117</v>
      </c>
    </row>
    <row r="2942">
      <c r="H2942" t="s">
        <v>5117</v>
      </c>
    </row>
    <row r="2943">
      <c r="H2943" t="s">
        <v>5117</v>
      </c>
    </row>
    <row r="2944">
      <c r="H2944" t="s">
        <v>5117</v>
      </c>
    </row>
    <row r="2945">
      <c r="H2945" t="s">
        <v>5117</v>
      </c>
    </row>
    <row r="2946">
      <c r="H2946" t="s">
        <v>5117</v>
      </c>
    </row>
    <row r="2947">
      <c r="H2947" t="s">
        <v>5117</v>
      </c>
    </row>
    <row r="2948">
      <c r="H2948" t="s">
        <v>5117</v>
      </c>
    </row>
    <row r="2949">
      <c r="H2949" t="s">
        <v>5117</v>
      </c>
    </row>
    <row r="2950">
      <c r="H2950" t="s">
        <v>5117</v>
      </c>
    </row>
    <row r="2951">
      <c r="H2951" t="s">
        <v>5117</v>
      </c>
    </row>
    <row r="2952">
      <c r="H2952" t="s">
        <v>5117</v>
      </c>
    </row>
    <row r="2953">
      <c r="H2953" t="s">
        <v>5117</v>
      </c>
    </row>
    <row r="2954">
      <c r="H2954" t="s">
        <v>5117</v>
      </c>
    </row>
    <row r="2955">
      <c r="H2955" t="s">
        <v>5117</v>
      </c>
    </row>
    <row r="2956">
      <c r="H2956" t="s">
        <v>5117</v>
      </c>
    </row>
    <row r="2957">
      <c r="H2957" t="s">
        <v>5117</v>
      </c>
    </row>
    <row r="2958">
      <c r="H2958" t="s">
        <v>5117</v>
      </c>
    </row>
    <row r="2959">
      <c r="H2959" t="s">
        <v>5117</v>
      </c>
    </row>
    <row r="2960">
      <c r="H2960" t="s">
        <v>5117</v>
      </c>
    </row>
    <row r="2961">
      <c r="H2961" t="s">
        <v>5117</v>
      </c>
    </row>
    <row r="2962">
      <c r="H2962" t="s">
        <v>5117</v>
      </c>
    </row>
    <row r="2963">
      <c r="H2963" t="s">
        <v>5117</v>
      </c>
    </row>
    <row r="2964">
      <c r="H2964" t="s">
        <v>5117</v>
      </c>
    </row>
    <row r="2965">
      <c r="H2965" t="s">
        <v>5117</v>
      </c>
    </row>
    <row r="2966">
      <c r="H2966" t="s">
        <v>5117</v>
      </c>
    </row>
    <row r="2967">
      <c r="H2967" t="s">
        <v>5117</v>
      </c>
    </row>
    <row r="2968">
      <c r="H2968" t="s">
        <v>5117</v>
      </c>
    </row>
    <row r="2969">
      <c r="H2969" t="s">
        <v>5117</v>
      </c>
    </row>
    <row r="2970">
      <c r="H2970" t="s">
        <v>5117</v>
      </c>
    </row>
    <row r="2971">
      <c r="H2971" t="s">
        <v>5117</v>
      </c>
    </row>
    <row r="2972">
      <c r="H2972" t="s">
        <v>5117</v>
      </c>
    </row>
    <row r="2973">
      <c r="H2973" t="s">
        <v>5117</v>
      </c>
    </row>
    <row r="2974">
      <c r="H2974" t="s">
        <v>5117</v>
      </c>
    </row>
    <row r="2975">
      <c r="H2975" t="s">
        <v>5117</v>
      </c>
    </row>
    <row r="2976">
      <c r="H2976" t="s">
        <v>5117</v>
      </c>
    </row>
    <row r="2977">
      <c r="H2977" t="s">
        <v>5117</v>
      </c>
    </row>
    <row r="2978">
      <c r="H2978" t="s">
        <v>5117</v>
      </c>
    </row>
    <row r="2979">
      <c r="H2979" t="s">
        <v>5117</v>
      </c>
    </row>
    <row r="2980">
      <c r="H2980" t="s">
        <v>5117</v>
      </c>
    </row>
    <row r="2981">
      <c r="H2981" t="s">
        <v>5117</v>
      </c>
    </row>
    <row r="2982">
      <c r="H2982" t="s">
        <v>5117</v>
      </c>
    </row>
    <row r="2983">
      <c r="H2983" t="s">
        <v>5117</v>
      </c>
    </row>
    <row r="2984">
      <c r="H2984" t="s">
        <v>5117</v>
      </c>
    </row>
    <row r="2985">
      <c r="H2985" t="s">
        <v>5117</v>
      </c>
    </row>
    <row r="2986">
      <c r="H2986" t="s">
        <v>5117</v>
      </c>
    </row>
    <row r="2987">
      <c r="H2987" t="s">
        <v>5117</v>
      </c>
    </row>
    <row r="2988">
      <c r="H2988" t="s">
        <v>5117</v>
      </c>
    </row>
    <row r="2989">
      <c r="H2989" t="s">
        <v>5117</v>
      </c>
    </row>
    <row r="2990">
      <c r="H2990" t="s">
        <v>5117</v>
      </c>
    </row>
    <row r="2991">
      <c r="H2991" t="s">
        <v>5117</v>
      </c>
    </row>
    <row r="2992">
      <c r="H2992" t="s">
        <v>5117</v>
      </c>
    </row>
    <row r="2993">
      <c r="H2993" t="s">
        <v>5117</v>
      </c>
    </row>
    <row r="2994">
      <c r="H2994" t="s">
        <v>5117</v>
      </c>
    </row>
    <row r="2995">
      <c r="H2995" t="s">
        <v>5117</v>
      </c>
    </row>
    <row r="2996">
      <c r="H2996" t="s">
        <v>5117</v>
      </c>
    </row>
    <row r="2997">
      <c r="H2997" t="s">
        <v>5117</v>
      </c>
    </row>
    <row r="2998">
      <c r="H2998" t="s">
        <v>5117</v>
      </c>
    </row>
    <row r="2999">
      <c r="H2999" t="s">
        <v>5117</v>
      </c>
    </row>
    <row r="3000">
      <c r="H3000" t="s">
        <v>5117</v>
      </c>
    </row>
    <row r="3001">
      <c r="H3001" t="s">
        <v>5117</v>
      </c>
    </row>
    <row r="3002">
      <c r="H3002" t="s">
        <v>5117</v>
      </c>
    </row>
    <row r="3003">
      <c r="H3003" t="s">
        <v>5117</v>
      </c>
    </row>
    <row r="3004">
      <c r="H3004" t="s">
        <v>5117</v>
      </c>
    </row>
    <row r="3005">
      <c r="H3005" t="s">
        <v>5117</v>
      </c>
    </row>
    <row r="3006">
      <c r="H3006" t="s">
        <v>5117</v>
      </c>
    </row>
    <row r="3007">
      <c r="H3007" t="s">
        <v>5117</v>
      </c>
    </row>
    <row r="3008">
      <c r="H3008" t="s">
        <v>5117</v>
      </c>
    </row>
    <row r="3009">
      <c r="H3009" t="s">
        <v>5117</v>
      </c>
    </row>
    <row r="3010">
      <c r="H3010" t="s">
        <v>5117</v>
      </c>
    </row>
    <row r="3011">
      <c r="H3011" t="s">
        <v>5117</v>
      </c>
    </row>
    <row r="3012">
      <c r="H3012" t="s">
        <v>5117</v>
      </c>
    </row>
    <row r="3013">
      <c r="H3013" t="s">
        <v>5117</v>
      </c>
    </row>
    <row r="3014">
      <c r="H3014" t="s">
        <v>5117</v>
      </c>
    </row>
    <row r="3015">
      <c r="H3015" t="s">
        <v>5117</v>
      </c>
    </row>
    <row r="3016">
      <c r="H3016" t="s">
        <v>5117</v>
      </c>
    </row>
    <row r="3017">
      <c r="H3017" t="s">
        <v>5117</v>
      </c>
    </row>
    <row r="3018">
      <c r="H3018" t="s">
        <v>5117</v>
      </c>
    </row>
    <row r="3019">
      <c r="H3019" t="s">
        <v>5117</v>
      </c>
    </row>
    <row r="3020">
      <c r="H3020" t="s">
        <v>5117</v>
      </c>
    </row>
    <row r="3021">
      <c r="H3021" t="s">
        <v>5117</v>
      </c>
    </row>
    <row r="3022">
      <c r="H3022" t="s">
        <v>5117</v>
      </c>
    </row>
    <row r="3023">
      <c r="H3023" t="s">
        <v>5117</v>
      </c>
    </row>
    <row r="3024">
      <c r="H3024" t="s">
        <v>5117</v>
      </c>
    </row>
    <row r="3025">
      <c r="H3025" t="s">
        <v>5117</v>
      </c>
    </row>
    <row r="3026">
      <c r="H3026" t="s">
        <v>5117</v>
      </c>
    </row>
    <row r="3027">
      <c r="H3027" t="s">
        <v>5117</v>
      </c>
    </row>
    <row r="3028">
      <c r="H3028" t="s">
        <v>5117</v>
      </c>
    </row>
    <row r="3029">
      <c r="H3029" t="s">
        <v>5117</v>
      </c>
    </row>
    <row r="3030">
      <c r="H3030" t="s">
        <v>5117</v>
      </c>
    </row>
    <row r="3031">
      <c r="H3031" t="s">
        <v>5117</v>
      </c>
    </row>
    <row r="3032">
      <c r="H3032" t="s">
        <v>5117</v>
      </c>
    </row>
    <row r="3033">
      <c r="H3033" t="s">
        <v>5117</v>
      </c>
    </row>
    <row r="3034">
      <c r="H3034" t="s">
        <v>5117</v>
      </c>
    </row>
    <row r="3035">
      <c r="H3035" t="s">
        <v>5117</v>
      </c>
    </row>
    <row r="3036">
      <c r="H3036" t="s">
        <v>5117</v>
      </c>
    </row>
    <row r="3037">
      <c r="H3037" t="s">
        <v>5117</v>
      </c>
    </row>
    <row r="3038">
      <c r="H3038" t="s">
        <v>5117</v>
      </c>
    </row>
    <row r="3039">
      <c r="H3039" t="s">
        <v>5117</v>
      </c>
    </row>
    <row r="3040">
      <c r="H3040" t="s">
        <v>5117</v>
      </c>
    </row>
    <row r="3041">
      <c r="H3041" t="s">
        <v>5117</v>
      </c>
    </row>
    <row r="3042">
      <c r="H3042" t="s">
        <v>5117</v>
      </c>
    </row>
    <row r="3043">
      <c r="H3043" t="s">
        <v>5117</v>
      </c>
    </row>
    <row r="3044">
      <c r="H3044" t="s">
        <v>5117</v>
      </c>
    </row>
    <row r="3045">
      <c r="H3045" t="s">
        <v>5117</v>
      </c>
    </row>
    <row r="3046">
      <c r="H3046" t="s">
        <v>5117</v>
      </c>
    </row>
    <row r="3047">
      <c r="H3047" t="s">
        <v>5117</v>
      </c>
    </row>
    <row r="3048">
      <c r="H3048" t="s">
        <v>5117</v>
      </c>
    </row>
    <row r="3049">
      <c r="H3049" t="s">
        <v>5117</v>
      </c>
    </row>
    <row r="3050">
      <c r="H3050" t="s">
        <v>5117</v>
      </c>
    </row>
    <row r="3051">
      <c r="H3051" t="s">
        <v>5117</v>
      </c>
    </row>
    <row r="3052">
      <c r="H3052" t="s">
        <v>5117</v>
      </c>
    </row>
    <row r="3053">
      <c r="H3053" t="s">
        <v>5117</v>
      </c>
    </row>
    <row r="3054">
      <c r="H3054" t="s">
        <v>5117</v>
      </c>
    </row>
    <row r="3055">
      <c r="H3055" t="s">
        <v>5117</v>
      </c>
    </row>
    <row r="3056">
      <c r="H3056" t="s">
        <v>5117</v>
      </c>
    </row>
    <row r="3057">
      <c r="H3057" t="s">
        <v>5117</v>
      </c>
    </row>
    <row r="3058">
      <c r="H3058" t="s">
        <v>5117</v>
      </c>
    </row>
    <row r="3059">
      <c r="H3059" t="s">
        <v>5117</v>
      </c>
    </row>
    <row r="3060">
      <c r="H3060" t="s">
        <v>5117</v>
      </c>
    </row>
    <row r="3061">
      <c r="H3061" t="s">
        <v>5117</v>
      </c>
    </row>
    <row r="3062">
      <c r="H3062" t="s">
        <v>5117</v>
      </c>
    </row>
    <row r="3063">
      <c r="H3063" t="s">
        <v>5117</v>
      </c>
    </row>
    <row r="3064">
      <c r="H3064" t="s">
        <v>5117</v>
      </c>
    </row>
    <row r="3065">
      <c r="H3065" t="s">
        <v>5117</v>
      </c>
    </row>
    <row r="3066">
      <c r="H3066" t="s">
        <v>5117</v>
      </c>
    </row>
    <row r="3067">
      <c r="H3067" t="s">
        <v>5117</v>
      </c>
    </row>
    <row r="3068">
      <c r="H3068" t="s">
        <v>5117</v>
      </c>
    </row>
    <row r="3069">
      <c r="H3069" t="s">
        <v>5117</v>
      </c>
    </row>
    <row r="3070">
      <c r="H3070" t="s">
        <v>5117</v>
      </c>
    </row>
    <row r="3071">
      <c r="H3071" t="s">
        <v>5117</v>
      </c>
    </row>
    <row r="3072">
      <c r="H3072" t="s">
        <v>5117</v>
      </c>
    </row>
    <row r="3073">
      <c r="H3073" t="s">
        <v>5117</v>
      </c>
    </row>
    <row r="3074">
      <c r="H3074" t="s">
        <v>5117</v>
      </c>
    </row>
    <row r="3075">
      <c r="H3075" t="s">
        <v>5117</v>
      </c>
    </row>
    <row r="3076">
      <c r="H3076" t="s">
        <v>5117</v>
      </c>
    </row>
    <row r="3077">
      <c r="H3077" t="s">
        <v>5117</v>
      </c>
    </row>
    <row r="3078">
      <c r="H3078" t="s">
        <v>5117</v>
      </c>
    </row>
    <row r="3079">
      <c r="H3079" t="s">
        <v>5117</v>
      </c>
    </row>
    <row r="3080">
      <c r="H3080" t="s">
        <v>5117</v>
      </c>
    </row>
    <row r="3081">
      <c r="H3081" t="s">
        <v>5117</v>
      </c>
    </row>
    <row r="3082">
      <c r="H3082" t="s">
        <v>5117</v>
      </c>
    </row>
    <row r="3083">
      <c r="H3083" t="s">
        <v>5117</v>
      </c>
    </row>
    <row r="3084">
      <c r="H3084" t="s">
        <v>5117</v>
      </c>
    </row>
    <row r="3085">
      <c r="H3085" t="s">
        <v>5117</v>
      </c>
    </row>
    <row r="3086">
      <c r="H3086" t="s">
        <v>5117</v>
      </c>
    </row>
    <row r="3087">
      <c r="H3087" t="s">
        <v>5117</v>
      </c>
    </row>
    <row r="3088">
      <c r="H3088" t="s">
        <v>5117</v>
      </c>
    </row>
    <row r="3089">
      <c r="H3089" t="s">
        <v>5117</v>
      </c>
    </row>
    <row r="3090">
      <c r="H3090" t="s">
        <v>5117</v>
      </c>
    </row>
    <row r="3091">
      <c r="H3091" t="s">
        <v>5117</v>
      </c>
    </row>
    <row r="3092">
      <c r="H3092" t="s">
        <v>5117</v>
      </c>
    </row>
    <row r="3093">
      <c r="H3093" t="s">
        <v>5117</v>
      </c>
    </row>
    <row r="3094">
      <c r="H3094" t="s">
        <v>5117</v>
      </c>
    </row>
    <row r="3095">
      <c r="H3095" t="s">
        <v>5117</v>
      </c>
    </row>
    <row r="3096">
      <c r="H3096" t="s">
        <v>5117</v>
      </c>
    </row>
    <row r="3097">
      <c r="H3097" t="s">
        <v>5117</v>
      </c>
    </row>
    <row r="3098">
      <c r="H3098" t="s">
        <v>5117</v>
      </c>
    </row>
    <row r="3099">
      <c r="H3099" t="s">
        <v>5117</v>
      </c>
    </row>
    <row r="3100">
      <c r="H3100" t="s">
        <v>5117</v>
      </c>
    </row>
    <row r="3101">
      <c r="H3101" t="s">
        <v>5117</v>
      </c>
    </row>
    <row r="3102">
      <c r="H3102" t="s">
        <v>5117</v>
      </c>
    </row>
    <row r="3103">
      <c r="H3103" t="s">
        <v>5117</v>
      </c>
    </row>
    <row r="3104">
      <c r="H3104" t="s">
        <v>5117</v>
      </c>
    </row>
    <row r="3105">
      <c r="H3105" t="s">
        <v>5117</v>
      </c>
    </row>
    <row r="3106">
      <c r="H3106" t="s">
        <v>5117</v>
      </c>
    </row>
    <row r="3107">
      <c r="H3107" t="s">
        <v>5117</v>
      </c>
    </row>
    <row r="3108">
      <c r="H3108" t="s">
        <v>5117</v>
      </c>
    </row>
    <row r="3109">
      <c r="H3109" t="s">
        <v>5117</v>
      </c>
    </row>
    <row r="3110">
      <c r="H3110" t="s">
        <v>5117</v>
      </c>
    </row>
    <row r="3111">
      <c r="H3111" t="s">
        <v>5117</v>
      </c>
    </row>
    <row r="3112">
      <c r="H3112" t="s">
        <v>5117</v>
      </c>
    </row>
    <row r="3113">
      <c r="H3113" t="s">
        <v>5117</v>
      </c>
    </row>
    <row r="3114">
      <c r="H3114" t="s">
        <v>5117</v>
      </c>
    </row>
    <row r="3115">
      <c r="H3115" t="s">
        <v>5117</v>
      </c>
    </row>
    <row r="3116">
      <c r="H3116" t="s">
        <v>5117</v>
      </c>
    </row>
    <row r="3117">
      <c r="H3117" t="s">
        <v>5117</v>
      </c>
    </row>
    <row r="3118">
      <c r="H3118" t="s">
        <v>5117</v>
      </c>
    </row>
    <row r="3119">
      <c r="H3119" t="s">
        <v>5117</v>
      </c>
    </row>
    <row r="3120">
      <c r="H3120" t="s">
        <v>5117</v>
      </c>
    </row>
    <row r="3121">
      <c r="H3121" t="s">
        <v>5117</v>
      </c>
    </row>
    <row r="3122">
      <c r="H3122" t="s">
        <v>5117</v>
      </c>
    </row>
    <row r="3123">
      <c r="H3123" t="s">
        <v>5117</v>
      </c>
    </row>
    <row r="3124">
      <c r="H3124" t="s">
        <v>5117</v>
      </c>
    </row>
    <row r="3125">
      <c r="H3125" t="s">
        <v>5117</v>
      </c>
    </row>
    <row r="3126">
      <c r="H3126" t="s">
        <v>5117</v>
      </c>
    </row>
    <row r="3127">
      <c r="H3127" t="s">
        <v>5117</v>
      </c>
    </row>
    <row r="3128">
      <c r="H3128" t="s">
        <v>5117</v>
      </c>
    </row>
    <row r="3129">
      <c r="H3129" t="s">
        <v>5117</v>
      </c>
    </row>
    <row r="3130">
      <c r="H3130" t="s">
        <v>5117</v>
      </c>
    </row>
    <row r="3131">
      <c r="H3131" t="s">
        <v>5117</v>
      </c>
    </row>
    <row r="3132">
      <c r="H3132" t="s">
        <v>5117</v>
      </c>
    </row>
    <row r="3133">
      <c r="H3133" t="s">
        <v>5117</v>
      </c>
    </row>
    <row r="3134">
      <c r="H3134" t="s">
        <v>5117</v>
      </c>
    </row>
    <row r="3135">
      <c r="H3135" t="s">
        <v>5117</v>
      </c>
    </row>
    <row r="3136">
      <c r="H3136" t="s">
        <v>5117</v>
      </c>
    </row>
    <row r="3137">
      <c r="H3137" t="s">
        <v>5117</v>
      </c>
    </row>
    <row r="3138">
      <c r="H3138" t="s">
        <v>5117</v>
      </c>
    </row>
    <row r="3139">
      <c r="H3139" t="s">
        <v>5117</v>
      </c>
    </row>
    <row r="3140">
      <c r="H3140" t="s">
        <v>5117</v>
      </c>
    </row>
    <row r="3141">
      <c r="H3141" t="s">
        <v>5117</v>
      </c>
    </row>
    <row r="3142">
      <c r="H3142" t="s">
        <v>5117</v>
      </c>
    </row>
    <row r="3143">
      <c r="H3143" t="s">
        <v>5117</v>
      </c>
    </row>
    <row r="3144">
      <c r="H3144" t="s">
        <v>5117</v>
      </c>
    </row>
    <row r="3145">
      <c r="H3145" t="s">
        <v>5117</v>
      </c>
    </row>
    <row r="3146">
      <c r="H3146" t="s">
        <v>5117</v>
      </c>
    </row>
    <row r="3147">
      <c r="H3147" t="s">
        <v>5117</v>
      </c>
    </row>
    <row r="3148">
      <c r="H3148" t="s">
        <v>5117</v>
      </c>
    </row>
    <row r="3149">
      <c r="H3149" t="s">
        <v>5117</v>
      </c>
    </row>
    <row r="3150">
      <c r="H3150" t="s">
        <v>5117</v>
      </c>
    </row>
    <row r="3151">
      <c r="H3151" t="s">
        <v>5117</v>
      </c>
    </row>
    <row r="3152">
      <c r="H3152" t="s">
        <v>5117</v>
      </c>
    </row>
    <row r="3153">
      <c r="H3153" t="s">
        <v>5117</v>
      </c>
    </row>
    <row r="3154">
      <c r="H3154" t="s">
        <v>5117</v>
      </c>
    </row>
    <row r="3155">
      <c r="H3155" t="s">
        <v>5117</v>
      </c>
    </row>
    <row r="3156">
      <c r="H3156" t="s">
        <v>5117</v>
      </c>
    </row>
    <row r="3157">
      <c r="H3157" t="s">
        <v>5117</v>
      </c>
    </row>
    <row r="3158">
      <c r="H3158" t="s">
        <v>5117</v>
      </c>
    </row>
    <row r="3159">
      <c r="H3159" t="s">
        <v>5117</v>
      </c>
    </row>
    <row r="3160">
      <c r="H3160" t="s">
        <v>5117</v>
      </c>
    </row>
    <row r="3161">
      <c r="H3161" t="s">
        <v>5117</v>
      </c>
    </row>
    <row r="3162">
      <c r="H3162" t="s">
        <v>5117</v>
      </c>
    </row>
    <row r="3163">
      <c r="H3163" t="s">
        <v>5117</v>
      </c>
    </row>
    <row r="3164">
      <c r="H3164" t="s">
        <v>5117</v>
      </c>
    </row>
    <row r="3165">
      <c r="H3165" t="s">
        <v>5117</v>
      </c>
    </row>
    <row r="3166">
      <c r="H3166" t="s">
        <v>5117</v>
      </c>
    </row>
    <row r="3167">
      <c r="H3167" t="s">
        <v>5117</v>
      </c>
    </row>
    <row r="3168">
      <c r="H3168" t="s">
        <v>5117</v>
      </c>
    </row>
    <row r="3169">
      <c r="H3169" t="s">
        <v>5117</v>
      </c>
    </row>
    <row r="3170">
      <c r="H3170" t="s">
        <v>5117</v>
      </c>
    </row>
    <row r="3171">
      <c r="H3171" t="s">
        <v>5117</v>
      </c>
    </row>
    <row r="3172">
      <c r="H3172" t="s">
        <v>5117</v>
      </c>
    </row>
    <row r="3173">
      <c r="H3173" t="s">
        <v>5117</v>
      </c>
    </row>
    <row r="3174">
      <c r="H3174" t="s">
        <v>5117</v>
      </c>
    </row>
    <row r="3175">
      <c r="H3175" t="s">
        <v>5117</v>
      </c>
    </row>
    <row r="3176">
      <c r="H3176" t="s">
        <v>5117</v>
      </c>
    </row>
    <row r="3177">
      <c r="H3177" t="s">
        <v>5117</v>
      </c>
    </row>
    <row r="3178">
      <c r="H3178" t="s">
        <v>5117</v>
      </c>
    </row>
    <row r="3179">
      <c r="H3179" t="s">
        <v>5117</v>
      </c>
    </row>
    <row r="3180">
      <c r="H3180" t="s">
        <v>5117</v>
      </c>
    </row>
    <row r="3181">
      <c r="H3181" t="s">
        <v>5117</v>
      </c>
    </row>
    <row r="3182">
      <c r="H3182" t="s">
        <v>5117</v>
      </c>
    </row>
    <row r="3183">
      <c r="H3183" t="s">
        <v>5117</v>
      </c>
    </row>
    <row r="3184">
      <c r="H3184" t="s">
        <v>5117</v>
      </c>
    </row>
    <row r="3185">
      <c r="H3185" t="s">
        <v>5117</v>
      </c>
    </row>
    <row r="3186">
      <c r="H3186" t="s">
        <v>5117</v>
      </c>
    </row>
    <row r="3187">
      <c r="H3187" t="s">
        <v>5117</v>
      </c>
    </row>
    <row r="3188">
      <c r="H3188" t="s">
        <v>5117</v>
      </c>
    </row>
    <row r="3189">
      <c r="H3189" t="s">
        <v>5117</v>
      </c>
    </row>
    <row r="3190">
      <c r="H3190" t="s">
        <v>5117</v>
      </c>
    </row>
    <row r="3191">
      <c r="H3191" t="s">
        <v>5117</v>
      </c>
    </row>
    <row r="3192">
      <c r="H3192" t="s">
        <v>5117</v>
      </c>
    </row>
    <row r="3193">
      <c r="H3193" t="s">
        <v>5117</v>
      </c>
    </row>
    <row r="3194">
      <c r="H3194" t="s">
        <v>5117</v>
      </c>
    </row>
    <row r="3195">
      <c r="H3195" t="s">
        <v>5117</v>
      </c>
    </row>
    <row r="3196">
      <c r="H3196" t="s">
        <v>5117</v>
      </c>
    </row>
    <row r="3197">
      <c r="H3197" t="s">
        <v>5117</v>
      </c>
    </row>
    <row r="3198">
      <c r="H3198" t="s">
        <v>5117</v>
      </c>
    </row>
    <row r="3199">
      <c r="H3199" t="s">
        <v>5117</v>
      </c>
    </row>
    <row r="3200">
      <c r="H3200" t="s">
        <v>5117</v>
      </c>
    </row>
    <row r="3201">
      <c r="H3201" t="s">
        <v>5117</v>
      </c>
    </row>
    <row r="3202">
      <c r="H3202" t="s">
        <v>5117</v>
      </c>
    </row>
    <row r="3203">
      <c r="H3203" t="s">
        <v>5117</v>
      </c>
    </row>
    <row r="3204">
      <c r="H3204" t="s">
        <v>5117</v>
      </c>
    </row>
    <row r="3205">
      <c r="H3205" t="s">
        <v>5117</v>
      </c>
    </row>
    <row r="3206">
      <c r="H3206" t="s">
        <v>5117</v>
      </c>
    </row>
    <row r="3207">
      <c r="H3207" t="s">
        <v>5117</v>
      </c>
    </row>
    <row r="3208">
      <c r="H3208" t="s">
        <v>5117</v>
      </c>
    </row>
    <row r="3209">
      <c r="H3209" t="s">
        <v>5117</v>
      </c>
    </row>
    <row r="3210">
      <c r="H3210" t="s">
        <v>5117</v>
      </c>
    </row>
    <row r="3211">
      <c r="H3211" t="s">
        <v>5117</v>
      </c>
    </row>
    <row r="3212">
      <c r="H3212" t="s">
        <v>5117</v>
      </c>
    </row>
    <row r="3213">
      <c r="H3213" t="s">
        <v>5117</v>
      </c>
    </row>
    <row r="3214">
      <c r="H3214" t="s">
        <v>5117</v>
      </c>
    </row>
    <row r="3215">
      <c r="H3215" t="s">
        <v>5117</v>
      </c>
    </row>
    <row r="3216">
      <c r="H3216" t="s">
        <v>5117</v>
      </c>
    </row>
    <row r="3217">
      <c r="H3217" t="s">
        <v>5117</v>
      </c>
    </row>
    <row r="3218">
      <c r="H3218" t="s">
        <v>5117</v>
      </c>
    </row>
    <row r="3219">
      <c r="H3219" t="s">
        <v>5117</v>
      </c>
    </row>
    <row r="3220">
      <c r="H3220" t="s">
        <v>5117</v>
      </c>
    </row>
    <row r="3221">
      <c r="H3221" t="s">
        <v>5117</v>
      </c>
    </row>
    <row r="3222">
      <c r="H3222" t="s">
        <v>5117</v>
      </c>
    </row>
    <row r="3223">
      <c r="H3223" t="s">
        <v>5117</v>
      </c>
    </row>
    <row r="3224">
      <c r="H3224" t="s">
        <v>5117</v>
      </c>
    </row>
    <row r="3225">
      <c r="H3225" t="s">
        <v>5117</v>
      </c>
    </row>
    <row r="3226">
      <c r="H3226" t="s">
        <v>5117</v>
      </c>
    </row>
    <row r="3227">
      <c r="H3227" t="s">
        <v>5117</v>
      </c>
    </row>
    <row r="3228">
      <c r="H3228" t="s">
        <v>5117</v>
      </c>
    </row>
    <row r="3229">
      <c r="H3229" t="s">
        <v>5117</v>
      </c>
    </row>
    <row r="3230">
      <c r="H3230" t="s">
        <v>5117</v>
      </c>
    </row>
    <row r="3231">
      <c r="H3231" t="s">
        <v>5117</v>
      </c>
    </row>
    <row r="3232">
      <c r="H3232" t="s">
        <v>5117</v>
      </c>
    </row>
    <row r="3233">
      <c r="H3233" t="s">
        <v>5117</v>
      </c>
    </row>
    <row r="3234">
      <c r="H3234" t="s">
        <v>5117</v>
      </c>
    </row>
    <row r="3235">
      <c r="H3235" t="s">
        <v>5117</v>
      </c>
    </row>
    <row r="3236">
      <c r="H3236" t="s">
        <v>5117</v>
      </c>
    </row>
    <row r="3237">
      <c r="H3237" t="s">
        <v>5117</v>
      </c>
    </row>
    <row r="3238">
      <c r="H3238" t="s">
        <v>5117</v>
      </c>
    </row>
    <row r="3239">
      <c r="H3239" t="s">
        <v>5117</v>
      </c>
    </row>
    <row r="3240">
      <c r="H3240" t="s">
        <v>5117</v>
      </c>
    </row>
    <row r="3241">
      <c r="H3241" t="s">
        <v>5117</v>
      </c>
    </row>
    <row r="3242">
      <c r="H3242" t="s">
        <v>5117</v>
      </c>
    </row>
    <row r="3243">
      <c r="H3243" t="s">
        <v>5117</v>
      </c>
    </row>
    <row r="3244">
      <c r="H3244" t="s">
        <v>5117</v>
      </c>
    </row>
    <row r="3245">
      <c r="H3245" t="s">
        <v>5117</v>
      </c>
    </row>
    <row r="3246">
      <c r="H3246" t="s">
        <v>5117</v>
      </c>
    </row>
    <row r="3247">
      <c r="H3247" t="s">
        <v>5117</v>
      </c>
    </row>
    <row r="3248">
      <c r="H3248" t="s">
        <v>5117</v>
      </c>
    </row>
    <row r="3249">
      <c r="H3249" t="s">
        <v>5117</v>
      </c>
    </row>
    <row r="3250">
      <c r="H3250" t="s">
        <v>5117</v>
      </c>
    </row>
    <row r="3251">
      <c r="H3251" t="s">
        <v>5117</v>
      </c>
    </row>
    <row r="3252">
      <c r="H3252" t="s">
        <v>5117</v>
      </c>
    </row>
    <row r="3253">
      <c r="H3253" t="s">
        <v>5117</v>
      </c>
    </row>
    <row r="3254">
      <c r="H3254" t="s">
        <v>5117</v>
      </c>
    </row>
    <row r="3255">
      <c r="H3255" t="s">
        <v>5117</v>
      </c>
    </row>
    <row r="3256">
      <c r="H3256" t="s">
        <v>5117</v>
      </c>
    </row>
    <row r="3257">
      <c r="H3257" t="s">
        <v>5117</v>
      </c>
    </row>
    <row r="3258">
      <c r="H3258" t="s">
        <v>5117</v>
      </c>
    </row>
    <row r="3259">
      <c r="H3259" t="s">
        <v>5117</v>
      </c>
    </row>
    <row r="3260">
      <c r="H3260" t="s">
        <v>5117</v>
      </c>
    </row>
    <row r="3261">
      <c r="H3261" t="s">
        <v>5117</v>
      </c>
    </row>
    <row r="3262">
      <c r="H3262" t="s">
        <v>5117</v>
      </c>
    </row>
    <row r="3263">
      <c r="H3263" t="s">
        <v>5117</v>
      </c>
    </row>
    <row r="3264">
      <c r="H3264" t="s">
        <v>5117</v>
      </c>
    </row>
    <row r="3265">
      <c r="H3265" t="s">
        <v>5117</v>
      </c>
    </row>
    <row r="3266">
      <c r="H3266" t="s">
        <v>5117</v>
      </c>
    </row>
    <row r="3267">
      <c r="H3267" t="s">
        <v>5117</v>
      </c>
    </row>
    <row r="3268">
      <c r="H3268" t="s">
        <v>5117</v>
      </c>
    </row>
    <row r="3269">
      <c r="H3269" t="s">
        <v>5117</v>
      </c>
    </row>
    <row r="3270">
      <c r="H3270" t="s">
        <v>5117</v>
      </c>
    </row>
    <row r="3271">
      <c r="H3271" t="s">
        <v>5117</v>
      </c>
    </row>
    <row r="3272">
      <c r="H3272" t="s">
        <v>5117</v>
      </c>
    </row>
    <row r="3273">
      <c r="H3273" t="s">
        <v>5117</v>
      </c>
    </row>
    <row r="3274">
      <c r="H3274" t="s">
        <v>5117</v>
      </c>
    </row>
    <row r="3275">
      <c r="H3275" t="s">
        <v>5117</v>
      </c>
    </row>
    <row r="3276">
      <c r="H3276" t="s">
        <v>5117</v>
      </c>
    </row>
    <row r="3277">
      <c r="H3277" t="s">
        <v>5117</v>
      </c>
    </row>
    <row r="3278">
      <c r="H3278" t="s">
        <v>5117</v>
      </c>
    </row>
    <row r="3279">
      <c r="H3279" t="s">
        <v>5117</v>
      </c>
    </row>
    <row r="3280">
      <c r="H3280" t="s">
        <v>5117</v>
      </c>
    </row>
    <row r="3281">
      <c r="H3281" t="s">
        <v>5117</v>
      </c>
    </row>
    <row r="3282">
      <c r="H3282" t="s">
        <v>5117</v>
      </c>
    </row>
    <row r="3283">
      <c r="H3283" t="s">
        <v>5117</v>
      </c>
    </row>
    <row r="3284">
      <c r="H3284" t="s">
        <v>5117</v>
      </c>
    </row>
    <row r="3285">
      <c r="H3285" t="s">
        <v>5117</v>
      </c>
    </row>
    <row r="3286">
      <c r="H3286" t="s">
        <v>5117</v>
      </c>
    </row>
    <row r="3287">
      <c r="H3287" t="s">
        <v>5117</v>
      </c>
    </row>
    <row r="3288">
      <c r="H3288" t="s">
        <v>5117</v>
      </c>
    </row>
    <row r="3289">
      <c r="H3289" t="s">
        <v>5117</v>
      </c>
    </row>
    <row r="3290">
      <c r="H3290" t="s">
        <v>5117</v>
      </c>
    </row>
    <row r="3291">
      <c r="H3291" t="s">
        <v>5117</v>
      </c>
    </row>
    <row r="3292">
      <c r="H3292" t="s">
        <v>5117</v>
      </c>
    </row>
    <row r="3293">
      <c r="H3293" t="s">
        <v>5117</v>
      </c>
    </row>
    <row r="3294">
      <c r="H3294" t="s">
        <v>5117</v>
      </c>
    </row>
    <row r="3295">
      <c r="H3295" t="s">
        <v>5117</v>
      </c>
    </row>
    <row r="3296">
      <c r="H3296" t="s">
        <v>5117</v>
      </c>
    </row>
    <row r="3297">
      <c r="H3297" t="s">
        <v>5117</v>
      </c>
    </row>
    <row r="3298">
      <c r="H3298" t="s">
        <v>5117</v>
      </c>
    </row>
    <row r="3299">
      <c r="H3299" t="s">
        <v>5117</v>
      </c>
    </row>
    <row r="3300">
      <c r="H3300" t="s">
        <v>5117</v>
      </c>
    </row>
    <row r="3301">
      <c r="H3301" t="s">
        <v>5117</v>
      </c>
    </row>
    <row r="3302">
      <c r="H3302" t="s">
        <v>5117</v>
      </c>
    </row>
    <row r="3303">
      <c r="H3303" t="s">
        <v>5117</v>
      </c>
    </row>
    <row r="3304">
      <c r="H3304" t="s">
        <v>5117</v>
      </c>
    </row>
    <row r="3305">
      <c r="H3305" t="s">
        <v>5117</v>
      </c>
    </row>
    <row r="3306">
      <c r="H3306" t="s">
        <v>5117</v>
      </c>
    </row>
    <row r="3307">
      <c r="H3307" t="s">
        <v>5117</v>
      </c>
    </row>
    <row r="3308">
      <c r="H3308" t="s">
        <v>5117</v>
      </c>
    </row>
    <row r="3309">
      <c r="H3309" t="s">
        <v>5117</v>
      </c>
    </row>
    <row r="3310">
      <c r="H3310" t="s">
        <v>5117</v>
      </c>
    </row>
    <row r="3311">
      <c r="H3311" t="s">
        <v>5117</v>
      </c>
    </row>
    <row r="3312">
      <c r="H3312" t="s">
        <v>5117</v>
      </c>
    </row>
    <row r="3313">
      <c r="H3313" t="s">
        <v>5117</v>
      </c>
    </row>
    <row r="3314">
      <c r="H3314" t="s">
        <v>5117</v>
      </c>
    </row>
    <row r="3315">
      <c r="H3315" t="s">
        <v>5117</v>
      </c>
    </row>
    <row r="3316">
      <c r="H3316" t="s">
        <v>5117</v>
      </c>
    </row>
    <row r="3317">
      <c r="H3317" t="s">
        <v>5117</v>
      </c>
    </row>
    <row r="3318">
      <c r="H3318" t="s">
        <v>5117</v>
      </c>
    </row>
    <row r="3319">
      <c r="H3319" t="s">
        <v>5117</v>
      </c>
    </row>
    <row r="3320">
      <c r="H3320" t="s">
        <v>5117</v>
      </c>
    </row>
    <row r="3321">
      <c r="H3321" t="s">
        <v>5117</v>
      </c>
    </row>
    <row r="3322">
      <c r="H3322" t="s">
        <v>5117</v>
      </c>
    </row>
    <row r="3323">
      <c r="H3323" t="s">
        <v>5117</v>
      </c>
    </row>
    <row r="3324">
      <c r="H3324" t="s">
        <v>5117</v>
      </c>
    </row>
    <row r="3325">
      <c r="H3325" t="s">
        <v>5117</v>
      </c>
    </row>
    <row r="3326">
      <c r="H3326" t="s">
        <v>5117</v>
      </c>
    </row>
    <row r="3327">
      <c r="H3327" t="s">
        <v>5117</v>
      </c>
    </row>
    <row r="3328">
      <c r="H3328" t="s">
        <v>5117</v>
      </c>
    </row>
    <row r="3329">
      <c r="H3329" t="s">
        <v>5117</v>
      </c>
    </row>
    <row r="3330">
      <c r="H3330" t="s">
        <v>5117</v>
      </c>
    </row>
    <row r="3331">
      <c r="H3331" t="s">
        <v>5117</v>
      </c>
    </row>
    <row r="3332">
      <c r="H3332" t="s">
        <v>5117</v>
      </c>
    </row>
    <row r="3333">
      <c r="H3333" t="s">
        <v>5117</v>
      </c>
    </row>
    <row r="3334">
      <c r="H3334" t="s">
        <v>5117</v>
      </c>
    </row>
    <row r="3335">
      <c r="H3335" t="s">
        <v>5117</v>
      </c>
    </row>
    <row r="3336">
      <c r="H3336" t="s">
        <v>5117</v>
      </c>
    </row>
    <row r="3337">
      <c r="H3337" t="s">
        <v>5117</v>
      </c>
    </row>
    <row r="3338">
      <c r="H3338" t="s">
        <v>5117</v>
      </c>
    </row>
    <row r="3339">
      <c r="H3339" t="s">
        <v>5117</v>
      </c>
    </row>
    <row r="3340">
      <c r="H3340" t="s">
        <v>5117</v>
      </c>
    </row>
    <row r="3341">
      <c r="H3341" t="s">
        <v>5117</v>
      </c>
    </row>
    <row r="3342">
      <c r="H3342" t="s">
        <v>5117</v>
      </c>
    </row>
    <row r="3343">
      <c r="H3343" t="s">
        <v>5117</v>
      </c>
    </row>
    <row r="3344">
      <c r="H3344" t="s">
        <v>5117</v>
      </c>
    </row>
    <row r="3345">
      <c r="H3345" t="s">
        <v>5117</v>
      </c>
    </row>
    <row r="3346">
      <c r="H3346" t="s">
        <v>5117</v>
      </c>
    </row>
    <row r="3347">
      <c r="H3347" t="s">
        <v>5117</v>
      </c>
    </row>
    <row r="3348">
      <c r="H3348" t="s">
        <v>5117</v>
      </c>
    </row>
    <row r="3349">
      <c r="H3349" t="s">
        <v>5117</v>
      </c>
    </row>
    <row r="3350">
      <c r="H3350" t="s">
        <v>5117</v>
      </c>
    </row>
    <row r="3351">
      <c r="H3351" t="s">
        <v>5117</v>
      </c>
    </row>
    <row r="3352">
      <c r="H3352" t="s">
        <v>5117</v>
      </c>
    </row>
    <row r="3353">
      <c r="H3353" t="s">
        <v>5117</v>
      </c>
    </row>
    <row r="3354">
      <c r="H3354" t="s">
        <v>5117</v>
      </c>
    </row>
    <row r="3355">
      <c r="H3355" t="s">
        <v>5117</v>
      </c>
    </row>
    <row r="3356">
      <c r="H3356" t="s">
        <v>5117</v>
      </c>
    </row>
    <row r="3357">
      <c r="H3357" t="s">
        <v>5117</v>
      </c>
    </row>
    <row r="3358">
      <c r="H3358" t="s">
        <v>5117</v>
      </c>
    </row>
    <row r="3359">
      <c r="H3359" t="s">
        <v>5117</v>
      </c>
    </row>
    <row r="3360">
      <c r="H3360" t="s">
        <v>5117</v>
      </c>
    </row>
    <row r="3361">
      <c r="H3361" t="s">
        <v>5117</v>
      </c>
    </row>
    <row r="3362">
      <c r="H3362" t="s">
        <v>5117</v>
      </c>
    </row>
    <row r="3363">
      <c r="H3363" t="s">
        <v>5117</v>
      </c>
    </row>
    <row r="3364">
      <c r="H3364" t="s">
        <v>5117</v>
      </c>
    </row>
    <row r="3365">
      <c r="H3365" t="s">
        <v>5117</v>
      </c>
    </row>
    <row r="3366">
      <c r="H3366" t="s">
        <v>5117</v>
      </c>
    </row>
    <row r="3367">
      <c r="H3367" t="s">
        <v>5117</v>
      </c>
    </row>
    <row r="3368">
      <c r="H3368" t="s">
        <v>5117</v>
      </c>
    </row>
    <row r="3369">
      <c r="H3369" t="s">
        <v>5117</v>
      </c>
    </row>
    <row r="3370">
      <c r="H3370" t="s">
        <v>5117</v>
      </c>
    </row>
    <row r="3371">
      <c r="H3371" t="s">
        <v>5117</v>
      </c>
    </row>
    <row r="3372">
      <c r="H3372" t="s">
        <v>5117</v>
      </c>
    </row>
    <row r="3373">
      <c r="H3373" t="s">
        <v>5117</v>
      </c>
    </row>
    <row r="3374">
      <c r="H3374" t="s">
        <v>5117</v>
      </c>
    </row>
    <row r="3375">
      <c r="H3375" t="s">
        <v>5117</v>
      </c>
    </row>
    <row r="3376">
      <c r="H3376" t="s">
        <v>5117</v>
      </c>
    </row>
    <row r="3377">
      <c r="H3377" t="s">
        <v>5117</v>
      </c>
    </row>
    <row r="3378">
      <c r="H3378" t="s">
        <v>5117</v>
      </c>
    </row>
    <row r="3379">
      <c r="H3379" t="s">
        <v>5117</v>
      </c>
    </row>
    <row r="3380">
      <c r="H3380" t="s">
        <v>5117</v>
      </c>
    </row>
    <row r="3381">
      <c r="H3381" t="s">
        <v>5117</v>
      </c>
    </row>
    <row r="3382">
      <c r="H3382" t="s">
        <v>5117</v>
      </c>
    </row>
    <row r="3383">
      <c r="H3383" t="s">
        <v>5117</v>
      </c>
    </row>
    <row r="3384">
      <c r="H3384" t="s">
        <v>5117</v>
      </c>
    </row>
    <row r="3385">
      <c r="H3385" t="s">
        <v>5117</v>
      </c>
    </row>
    <row r="3386">
      <c r="H3386" t="s">
        <v>5117</v>
      </c>
    </row>
    <row r="3387">
      <c r="H3387" t="s">
        <v>5117</v>
      </c>
    </row>
    <row r="3388">
      <c r="H3388" t="s">
        <v>5117</v>
      </c>
    </row>
    <row r="3389">
      <c r="H3389" t="s">
        <v>5117</v>
      </c>
    </row>
    <row r="3390">
      <c r="H3390" t="s">
        <v>5117</v>
      </c>
    </row>
    <row r="3391">
      <c r="H3391" t="s">
        <v>5117</v>
      </c>
    </row>
    <row r="3392">
      <c r="H3392" t="s">
        <v>5117</v>
      </c>
    </row>
    <row r="3393">
      <c r="H3393" t="s">
        <v>5117</v>
      </c>
    </row>
    <row r="3394">
      <c r="H3394" t="s">
        <v>5117</v>
      </c>
    </row>
    <row r="3395">
      <c r="H3395" t="s">
        <v>5117</v>
      </c>
    </row>
    <row r="3396">
      <c r="H3396" t="s">
        <v>5117</v>
      </c>
    </row>
    <row r="3397">
      <c r="H3397" t="s">
        <v>5117</v>
      </c>
    </row>
    <row r="3398">
      <c r="H3398" t="s">
        <v>5117</v>
      </c>
    </row>
    <row r="3399">
      <c r="H3399" t="s">
        <v>5117</v>
      </c>
    </row>
    <row r="3400">
      <c r="H3400" t="s">
        <v>5117</v>
      </c>
    </row>
    <row r="3401">
      <c r="H3401" t="s">
        <v>5117</v>
      </c>
    </row>
    <row r="3402">
      <c r="H3402" t="s">
        <v>5117</v>
      </c>
    </row>
    <row r="3403">
      <c r="H3403" t="s">
        <v>5117</v>
      </c>
    </row>
    <row r="3404">
      <c r="H3404" t="s">
        <v>5117</v>
      </c>
    </row>
    <row r="3405">
      <c r="H3405" t="s">
        <v>5117</v>
      </c>
    </row>
    <row r="3406">
      <c r="H3406" t="s">
        <v>5117</v>
      </c>
    </row>
    <row r="3407">
      <c r="H3407" t="s">
        <v>5117</v>
      </c>
    </row>
    <row r="3408">
      <c r="H3408" t="s">
        <v>5117</v>
      </c>
    </row>
    <row r="3409">
      <c r="H3409" t="s">
        <v>5117</v>
      </c>
    </row>
    <row r="3410">
      <c r="H3410" t="s">
        <v>5117</v>
      </c>
    </row>
    <row r="3411">
      <c r="H3411" t="s">
        <v>5117</v>
      </c>
    </row>
    <row r="3412">
      <c r="H3412" t="s">
        <v>5117</v>
      </c>
    </row>
    <row r="3413">
      <c r="H3413" t="s">
        <v>5117</v>
      </c>
    </row>
    <row r="3414">
      <c r="H3414" t="s">
        <v>5117</v>
      </c>
    </row>
    <row r="3415">
      <c r="H3415" t="s">
        <v>5117</v>
      </c>
    </row>
    <row r="3416">
      <c r="H3416" t="s">
        <v>5117</v>
      </c>
    </row>
    <row r="3417">
      <c r="H3417" t="s">
        <v>5117</v>
      </c>
    </row>
    <row r="3418">
      <c r="H3418" t="s">
        <v>5117</v>
      </c>
    </row>
    <row r="3419">
      <c r="H3419" t="s">
        <v>5117</v>
      </c>
    </row>
    <row r="3420">
      <c r="H3420" t="s">
        <v>5117</v>
      </c>
    </row>
    <row r="3421">
      <c r="H3421" t="s">
        <v>5117</v>
      </c>
    </row>
    <row r="3422">
      <c r="H3422" t="s">
        <v>5117</v>
      </c>
    </row>
    <row r="3423">
      <c r="H3423" t="s">
        <v>5117</v>
      </c>
    </row>
    <row r="3424">
      <c r="H3424" t="s">
        <v>5117</v>
      </c>
    </row>
    <row r="3425">
      <c r="H3425" t="s">
        <v>5117</v>
      </c>
    </row>
    <row r="3426">
      <c r="H3426" t="s">
        <v>5117</v>
      </c>
    </row>
    <row r="3427">
      <c r="H3427" t="s">
        <v>5117</v>
      </c>
    </row>
    <row r="3428">
      <c r="H3428" t="s">
        <v>5117</v>
      </c>
    </row>
    <row r="3429">
      <c r="H3429" t="s">
        <v>5117</v>
      </c>
    </row>
    <row r="3430">
      <c r="H3430" t="s">
        <v>5117</v>
      </c>
    </row>
    <row r="3431">
      <c r="H3431" t="s">
        <v>5117</v>
      </c>
    </row>
    <row r="3432">
      <c r="H3432" t="s">
        <v>5117</v>
      </c>
    </row>
    <row r="3433">
      <c r="H3433" t="s">
        <v>5117</v>
      </c>
    </row>
    <row r="3434">
      <c r="H3434" t="s">
        <v>5117</v>
      </c>
    </row>
    <row r="3435">
      <c r="H3435" t="s">
        <v>5117</v>
      </c>
    </row>
    <row r="3436">
      <c r="H3436" t="s">
        <v>5117</v>
      </c>
    </row>
    <row r="3437">
      <c r="H3437" t="s">
        <v>5117</v>
      </c>
    </row>
    <row r="3438">
      <c r="H3438" t="s">
        <v>5117</v>
      </c>
    </row>
    <row r="3439">
      <c r="H3439" t="s">
        <v>5117</v>
      </c>
    </row>
    <row r="3440">
      <c r="H3440" t="s">
        <v>5117</v>
      </c>
    </row>
    <row r="3441">
      <c r="H3441" t="s">
        <v>5117</v>
      </c>
    </row>
    <row r="3442">
      <c r="H3442" t="s">
        <v>5117</v>
      </c>
    </row>
    <row r="3443">
      <c r="H3443" t="s">
        <v>5117</v>
      </c>
    </row>
    <row r="3444">
      <c r="H3444" t="s">
        <v>5117</v>
      </c>
    </row>
    <row r="3445">
      <c r="H3445" t="s">
        <v>5117</v>
      </c>
    </row>
    <row r="3446">
      <c r="H3446" t="s">
        <v>5117</v>
      </c>
    </row>
    <row r="3447">
      <c r="H3447" t="s">
        <v>5117</v>
      </c>
    </row>
    <row r="3448">
      <c r="H3448" t="s">
        <v>5117</v>
      </c>
    </row>
    <row r="3449">
      <c r="H3449" t="s">
        <v>5117</v>
      </c>
    </row>
    <row r="3450">
      <c r="H3450" t="s">
        <v>5117</v>
      </c>
    </row>
    <row r="3451">
      <c r="H3451" t="s">
        <v>5117</v>
      </c>
    </row>
    <row r="3452">
      <c r="H3452" t="s">
        <v>5117</v>
      </c>
    </row>
    <row r="3453">
      <c r="H3453" t="s">
        <v>5117</v>
      </c>
    </row>
    <row r="3454">
      <c r="H3454" t="s">
        <v>5117</v>
      </c>
    </row>
    <row r="3455">
      <c r="H3455" t="s">
        <v>5117</v>
      </c>
    </row>
    <row r="3456">
      <c r="H3456" t="s">
        <v>5117</v>
      </c>
    </row>
    <row r="3457">
      <c r="H3457" t="s">
        <v>5117</v>
      </c>
    </row>
    <row r="3458">
      <c r="H3458" t="s">
        <v>5117</v>
      </c>
    </row>
    <row r="3459">
      <c r="H3459" t="s">
        <v>5117</v>
      </c>
    </row>
    <row r="3460">
      <c r="H3460" t="s">
        <v>5117</v>
      </c>
    </row>
    <row r="3461">
      <c r="H3461" t="s">
        <v>5117</v>
      </c>
    </row>
    <row r="3462">
      <c r="H3462" t="s">
        <v>5117</v>
      </c>
    </row>
    <row r="3463">
      <c r="H3463" t="s">
        <v>5117</v>
      </c>
    </row>
    <row r="3464">
      <c r="H3464" t="s">
        <v>5117</v>
      </c>
    </row>
    <row r="3465">
      <c r="H3465" t="s">
        <v>5117</v>
      </c>
    </row>
    <row r="3466">
      <c r="H3466" t="s">
        <v>5117</v>
      </c>
    </row>
    <row r="3467">
      <c r="H3467" t="s">
        <v>5117</v>
      </c>
    </row>
    <row r="3468">
      <c r="H3468" t="s">
        <v>5117</v>
      </c>
    </row>
    <row r="3469">
      <c r="H3469" t="s">
        <v>5117</v>
      </c>
    </row>
    <row r="3470">
      <c r="H3470" t="s">
        <v>5117</v>
      </c>
    </row>
    <row r="3471">
      <c r="H3471" t="s">
        <v>5117</v>
      </c>
    </row>
    <row r="3472">
      <c r="H3472" t="s">
        <v>5117</v>
      </c>
    </row>
    <row r="3473">
      <c r="H3473" t="s">
        <v>5117</v>
      </c>
    </row>
    <row r="3474">
      <c r="H3474" t="s">
        <v>5117</v>
      </c>
    </row>
    <row r="3475">
      <c r="H3475" t="s">
        <v>5117</v>
      </c>
    </row>
    <row r="3476">
      <c r="H3476" t="s">
        <v>5117</v>
      </c>
    </row>
    <row r="3477">
      <c r="H3477" t="s">
        <v>5117</v>
      </c>
    </row>
    <row r="3478">
      <c r="H3478" t="s">
        <v>5117</v>
      </c>
    </row>
    <row r="3479">
      <c r="H3479" t="s">
        <v>5117</v>
      </c>
    </row>
    <row r="3480">
      <c r="H3480" t="s">
        <v>5117</v>
      </c>
    </row>
    <row r="3481">
      <c r="H3481" t="s">
        <v>5117</v>
      </c>
    </row>
    <row r="3482">
      <c r="H3482" t="s">
        <v>5117</v>
      </c>
    </row>
    <row r="3483">
      <c r="H3483" t="s">
        <v>5117</v>
      </c>
    </row>
    <row r="3484">
      <c r="H3484" t="s">
        <v>5117</v>
      </c>
    </row>
    <row r="3485">
      <c r="H3485" t="s">
        <v>5117</v>
      </c>
    </row>
    <row r="3486">
      <c r="H3486" t="s">
        <v>5117</v>
      </c>
    </row>
    <row r="3487">
      <c r="H3487" t="s">
        <v>5117</v>
      </c>
    </row>
    <row r="3488">
      <c r="H3488" t="s">
        <v>5117</v>
      </c>
    </row>
    <row r="3489">
      <c r="H3489" t="s">
        <v>5117</v>
      </c>
    </row>
    <row r="3490">
      <c r="H3490" t="s">
        <v>5117</v>
      </c>
    </row>
    <row r="3491">
      <c r="H3491" t="s">
        <v>5117</v>
      </c>
    </row>
    <row r="3492">
      <c r="H3492" t="s">
        <v>5117</v>
      </c>
    </row>
    <row r="3493">
      <c r="H3493" t="s">
        <v>5117</v>
      </c>
    </row>
    <row r="3494">
      <c r="H3494" t="s">
        <v>5117</v>
      </c>
    </row>
    <row r="3495">
      <c r="H3495" t="s">
        <v>5117</v>
      </c>
    </row>
    <row r="3496">
      <c r="H3496" t="s">
        <v>5117</v>
      </c>
    </row>
    <row r="3497">
      <c r="H3497" t="s">
        <v>5117</v>
      </c>
    </row>
    <row r="3498">
      <c r="H3498" t="s">
        <v>5117</v>
      </c>
    </row>
    <row r="3499">
      <c r="H3499" t="s">
        <v>5117</v>
      </c>
    </row>
    <row r="3500">
      <c r="H3500" t="s">
        <v>5117</v>
      </c>
    </row>
    <row r="3501">
      <c r="H3501" t="s">
        <v>5117</v>
      </c>
    </row>
    <row r="3502">
      <c r="H3502" t="s">
        <v>5117</v>
      </c>
    </row>
    <row r="3503">
      <c r="H3503" t="s">
        <v>5117</v>
      </c>
    </row>
    <row r="3504">
      <c r="H3504" t="s">
        <v>5117</v>
      </c>
    </row>
    <row r="3505">
      <c r="H3505" t="s">
        <v>5117</v>
      </c>
    </row>
    <row r="3506">
      <c r="H3506" t="s">
        <v>5117</v>
      </c>
    </row>
    <row r="3507">
      <c r="H3507" t="s">
        <v>5117</v>
      </c>
    </row>
    <row r="3508">
      <c r="H3508" t="s">
        <v>5117</v>
      </c>
    </row>
    <row r="3509">
      <c r="H3509" t="s">
        <v>5117</v>
      </c>
    </row>
    <row r="3510">
      <c r="H3510" t="s">
        <v>5117</v>
      </c>
    </row>
    <row r="3511">
      <c r="H3511" t="s">
        <v>5117</v>
      </c>
    </row>
    <row r="3512">
      <c r="H3512" t="s">
        <v>5117</v>
      </c>
    </row>
    <row r="3513">
      <c r="H3513" t="s">
        <v>5117</v>
      </c>
    </row>
    <row r="3514">
      <c r="H3514" t="s">
        <v>5117</v>
      </c>
    </row>
    <row r="3515">
      <c r="H3515" t="s">
        <v>5117</v>
      </c>
    </row>
    <row r="3516">
      <c r="H3516" t="s">
        <v>5117</v>
      </c>
    </row>
    <row r="3517">
      <c r="H3517" t="s">
        <v>5117</v>
      </c>
    </row>
    <row r="3518">
      <c r="H3518" t="s">
        <v>5117</v>
      </c>
    </row>
    <row r="3519">
      <c r="H3519" t="s">
        <v>5117</v>
      </c>
    </row>
    <row r="3520">
      <c r="H3520" t="s">
        <v>5117</v>
      </c>
    </row>
    <row r="3521">
      <c r="H3521" t="s">
        <v>5117</v>
      </c>
    </row>
    <row r="3522">
      <c r="H3522" t="s">
        <v>5117</v>
      </c>
    </row>
    <row r="3523">
      <c r="H3523" t="s">
        <v>5117</v>
      </c>
    </row>
    <row r="3524">
      <c r="H3524" t="s">
        <v>5117</v>
      </c>
    </row>
    <row r="3525">
      <c r="H3525" t="s">
        <v>5117</v>
      </c>
    </row>
    <row r="3526">
      <c r="H3526" t="s">
        <v>5117</v>
      </c>
    </row>
    <row r="3527">
      <c r="H3527" t="s">
        <v>5117</v>
      </c>
    </row>
    <row r="3528">
      <c r="H3528" t="s">
        <v>5117</v>
      </c>
    </row>
    <row r="3529">
      <c r="H3529" t="s">
        <v>5117</v>
      </c>
    </row>
    <row r="3530">
      <c r="H3530" t="s">
        <v>5117</v>
      </c>
    </row>
    <row r="3531">
      <c r="H3531" t="s">
        <v>5117</v>
      </c>
    </row>
    <row r="3532">
      <c r="H3532" t="s">
        <v>5117</v>
      </c>
    </row>
    <row r="3533">
      <c r="H3533" t="s">
        <v>5117</v>
      </c>
    </row>
    <row r="3534">
      <c r="H3534" t="s">
        <v>5117</v>
      </c>
    </row>
    <row r="3535">
      <c r="H3535" t="s">
        <v>5117</v>
      </c>
    </row>
    <row r="3536">
      <c r="H3536" t="s">
        <v>5117</v>
      </c>
    </row>
    <row r="3537">
      <c r="H3537" t="s">
        <v>5117</v>
      </c>
    </row>
    <row r="3538">
      <c r="H3538" t="s">
        <v>5117</v>
      </c>
    </row>
    <row r="3539">
      <c r="H3539" t="s">
        <v>5117</v>
      </c>
    </row>
    <row r="3540">
      <c r="H3540" t="s">
        <v>5117</v>
      </c>
    </row>
    <row r="3541">
      <c r="H3541" t="s">
        <v>5117</v>
      </c>
    </row>
    <row r="3542">
      <c r="H3542" t="s">
        <v>5117</v>
      </c>
    </row>
    <row r="3543">
      <c r="H3543" t="s">
        <v>5117</v>
      </c>
    </row>
    <row r="3544">
      <c r="H3544" t="s">
        <v>5117</v>
      </c>
    </row>
    <row r="3545">
      <c r="H3545" t="s">
        <v>5117</v>
      </c>
    </row>
    <row r="3546">
      <c r="H3546" t="s">
        <v>5117</v>
      </c>
    </row>
    <row r="3547">
      <c r="H3547" t="s">
        <v>5117</v>
      </c>
    </row>
    <row r="3548">
      <c r="H3548" t="s">
        <v>5117</v>
      </c>
    </row>
    <row r="3549">
      <c r="H3549" t="s">
        <v>5117</v>
      </c>
    </row>
    <row r="3550">
      <c r="H3550" t="s">
        <v>5117</v>
      </c>
    </row>
    <row r="3551">
      <c r="H3551" t="s">
        <v>5117</v>
      </c>
    </row>
    <row r="3552">
      <c r="H3552" t="s">
        <v>5117</v>
      </c>
    </row>
    <row r="3553">
      <c r="H3553" t="s">
        <v>5117</v>
      </c>
    </row>
    <row r="3554">
      <c r="H3554" t="s">
        <v>5117</v>
      </c>
    </row>
    <row r="3555">
      <c r="H3555" t="s">
        <v>5117</v>
      </c>
    </row>
    <row r="3556">
      <c r="H3556" t="s">
        <v>5117</v>
      </c>
    </row>
    <row r="3557">
      <c r="H3557" t="s">
        <v>5117</v>
      </c>
    </row>
    <row r="3558">
      <c r="H3558" t="s">
        <v>5117</v>
      </c>
    </row>
    <row r="3559">
      <c r="H3559" t="s">
        <v>5117</v>
      </c>
    </row>
    <row r="3560">
      <c r="H3560" t="s">
        <v>5117</v>
      </c>
    </row>
    <row r="3561">
      <c r="H3561" t="s">
        <v>5117</v>
      </c>
    </row>
    <row r="3562">
      <c r="H3562" t="s">
        <v>5117</v>
      </c>
    </row>
    <row r="3563">
      <c r="H3563" t="s">
        <v>5117</v>
      </c>
    </row>
    <row r="3564">
      <c r="H3564" t="s">
        <v>5117</v>
      </c>
    </row>
    <row r="3565">
      <c r="H3565" t="s">
        <v>5117</v>
      </c>
    </row>
    <row r="3566">
      <c r="H3566" t="s">
        <v>5117</v>
      </c>
    </row>
    <row r="3567">
      <c r="H3567" t="s">
        <v>5117</v>
      </c>
    </row>
    <row r="3568">
      <c r="H3568" t="s">
        <v>5117</v>
      </c>
    </row>
    <row r="3569">
      <c r="H3569" t="s">
        <v>5117</v>
      </c>
    </row>
    <row r="3570">
      <c r="H3570" t="s">
        <v>5117</v>
      </c>
    </row>
    <row r="3571">
      <c r="H3571" t="s">
        <v>5117</v>
      </c>
    </row>
    <row r="3572">
      <c r="H3572" t="s">
        <v>5117</v>
      </c>
    </row>
    <row r="3573">
      <c r="H3573" t="s">
        <v>5117</v>
      </c>
    </row>
    <row r="3574">
      <c r="H3574" t="s">
        <v>5117</v>
      </c>
    </row>
    <row r="3575">
      <c r="H3575" t="s">
        <v>5117</v>
      </c>
    </row>
    <row r="3576">
      <c r="H3576" t="s">
        <v>5117</v>
      </c>
    </row>
    <row r="3577">
      <c r="H3577" t="s">
        <v>5117</v>
      </c>
    </row>
    <row r="3578">
      <c r="H3578" t="s">
        <v>5117</v>
      </c>
    </row>
    <row r="3579">
      <c r="H3579" t="s">
        <v>5117</v>
      </c>
    </row>
    <row r="3580">
      <c r="H3580" t="s">
        <v>5117</v>
      </c>
    </row>
    <row r="3581">
      <c r="H3581" t="s">
        <v>5117</v>
      </c>
    </row>
    <row r="3582">
      <c r="H3582" t="s">
        <v>5117</v>
      </c>
    </row>
    <row r="3583">
      <c r="H3583" t="s">
        <v>5117</v>
      </c>
    </row>
    <row r="3584">
      <c r="H3584" t="s">
        <v>5117</v>
      </c>
    </row>
    <row r="3585">
      <c r="H3585" t="s">
        <v>5117</v>
      </c>
    </row>
    <row r="3586">
      <c r="H3586" t="s">
        <v>5117</v>
      </c>
    </row>
    <row r="3587">
      <c r="H3587" t="s">
        <v>5117</v>
      </c>
    </row>
    <row r="3588">
      <c r="H3588" t="s">
        <v>5117</v>
      </c>
    </row>
    <row r="3589">
      <c r="H3589" t="s">
        <v>5117</v>
      </c>
    </row>
    <row r="3590">
      <c r="H3590" t="s">
        <v>5117</v>
      </c>
    </row>
    <row r="3591">
      <c r="H3591" t="s">
        <v>5117</v>
      </c>
    </row>
    <row r="3592">
      <c r="H3592" t="s">
        <v>5117</v>
      </c>
    </row>
    <row r="3593">
      <c r="H3593" t="s">
        <v>5117</v>
      </c>
    </row>
    <row r="3594">
      <c r="H3594" t="s">
        <v>5117</v>
      </c>
    </row>
    <row r="3595">
      <c r="H3595" t="s">
        <v>5117</v>
      </c>
    </row>
    <row r="3596">
      <c r="H3596" t="s">
        <v>5117</v>
      </c>
    </row>
    <row r="3597">
      <c r="H3597" t="s">
        <v>5117</v>
      </c>
    </row>
    <row r="3598">
      <c r="H3598" t="s">
        <v>5117</v>
      </c>
    </row>
    <row r="3599">
      <c r="H3599" t="s">
        <v>5117</v>
      </c>
    </row>
    <row r="3600">
      <c r="H3600" t="s">
        <v>5117</v>
      </c>
    </row>
    <row r="3601">
      <c r="H3601" t="s">
        <v>5117</v>
      </c>
    </row>
    <row r="3602">
      <c r="H3602" t="s">
        <v>5117</v>
      </c>
    </row>
    <row r="3603">
      <c r="H3603" t="s">
        <v>5117</v>
      </c>
    </row>
    <row r="3604">
      <c r="H3604" t="s">
        <v>5117</v>
      </c>
    </row>
    <row r="3605">
      <c r="H3605" t="s">
        <v>5117</v>
      </c>
    </row>
    <row r="3606">
      <c r="H3606" t="s">
        <v>5117</v>
      </c>
    </row>
    <row r="3607">
      <c r="H3607" t="s">
        <v>5117</v>
      </c>
    </row>
    <row r="3608">
      <c r="H3608" t="s">
        <v>5117</v>
      </c>
    </row>
    <row r="3609">
      <c r="H3609" t="s">
        <v>5117</v>
      </c>
    </row>
    <row r="3610">
      <c r="H3610" t="s">
        <v>5117</v>
      </c>
    </row>
    <row r="3611">
      <c r="H3611" t="s">
        <v>5117</v>
      </c>
    </row>
    <row r="3612">
      <c r="H3612" t="s">
        <v>5117</v>
      </c>
    </row>
    <row r="3613">
      <c r="H3613" t="s">
        <v>5117</v>
      </c>
    </row>
    <row r="3614">
      <c r="H3614" t="s">
        <v>5117</v>
      </c>
    </row>
    <row r="3615">
      <c r="H3615" t="s">
        <v>5117</v>
      </c>
    </row>
    <row r="3616">
      <c r="H3616" t="s">
        <v>5117</v>
      </c>
    </row>
    <row r="3617">
      <c r="H3617" t="s">
        <v>5117</v>
      </c>
    </row>
    <row r="3618">
      <c r="H3618" t="s">
        <v>5117</v>
      </c>
    </row>
    <row r="3619">
      <c r="H3619" t="s">
        <v>5117</v>
      </c>
    </row>
    <row r="3620">
      <c r="H3620" t="s">
        <v>5117</v>
      </c>
    </row>
    <row r="3621">
      <c r="H3621" t="s">
        <v>5117</v>
      </c>
    </row>
    <row r="3622">
      <c r="H3622" t="s">
        <v>5117</v>
      </c>
    </row>
    <row r="3623">
      <c r="H3623" t="s">
        <v>5117</v>
      </c>
    </row>
    <row r="3624">
      <c r="H3624" t="s">
        <v>5117</v>
      </c>
    </row>
    <row r="3625">
      <c r="H3625" t="s">
        <v>5117</v>
      </c>
    </row>
    <row r="3626">
      <c r="H3626" t="s">
        <v>5117</v>
      </c>
    </row>
    <row r="3627">
      <c r="H3627" t="s">
        <v>5117</v>
      </c>
    </row>
    <row r="3628">
      <c r="H3628" t="s">
        <v>5117</v>
      </c>
    </row>
    <row r="3629">
      <c r="H3629" t="s">
        <v>5117</v>
      </c>
    </row>
    <row r="3630">
      <c r="H3630" t="s">
        <v>5117</v>
      </c>
    </row>
    <row r="3631">
      <c r="H3631" t="s">
        <v>5117</v>
      </c>
    </row>
    <row r="3632">
      <c r="H3632" t="s">
        <v>5117</v>
      </c>
    </row>
    <row r="3633">
      <c r="H3633" t="s">
        <v>5117</v>
      </c>
    </row>
    <row r="3634">
      <c r="H3634" t="s">
        <v>5117</v>
      </c>
    </row>
    <row r="3635">
      <c r="H3635" t="s">
        <v>5117</v>
      </c>
    </row>
    <row r="3636">
      <c r="H3636" t="s">
        <v>5117</v>
      </c>
    </row>
    <row r="3637">
      <c r="H3637" t="s">
        <v>5117</v>
      </c>
    </row>
    <row r="3638">
      <c r="H3638" t="s">
        <v>5117</v>
      </c>
    </row>
    <row r="3639">
      <c r="H3639" t="s">
        <v>5117</v>
      </c>
    </row>
    <row r="3640">
      <c r="H3640" t="s">
        <v>5117</v>
      </c>
    </row>
    <row r="3641">
      <c r="H3641" t="s">
        <v>5117</v>
      </c>
    </row>
    <row r="3642">
      <c r="H3642" t="s">
        <v>5117</v>
      </c>
    </row>
    <row r="3643">
      <c r="H3643" t="s">
        <v>5117</v>
      </c>
    </row>
    <row r="3644">
      <c r="H3644" t="s">
        <v>5117</v>
      </c>
    </row>
    <row r="3645">
      <c r="H3645" t="s">
        <v>5117</v>
      </c>
    </row>
    <row r="3646">
      <c r="H3646" t="s">
        <v>5117</v>
      </c>
    </row>
    <row r="3647">
      <c r="H3647" t="s">
        <v>5117</v>
      </c>
    </row>
    <row r="3648">
      <c r="H3648" t="s">
        <v>5117</v>
      </c>
    </row>
    <row r="3649">
      <c r="H3649" t="s">
        <v>5117</v>
      </c>
    </row>
    <row r="3650">
      <c r="H3650" t="s">
        <v>5117</v>
      </c>
    </row>
    <row r="3651">
      <c r="H3651" t="s">
        <v>5117</v>
      </c>
    </row>
    <row r="3652">
      <c r="H3652" t="s">
        <v>5117</v>
      </c>
    </row>
    <row r="3653">
      <c r="H3653" t="s">
        <v>5117</v>
      </c>
    </row>
    <row r="3654">
      <c r="H3654" t="s">
        <v>5117</v>
      </c>
    </row>
    <row r="3655">
      <c r="H3655" t="s">
        <v>5117</v>
      </c>
    </row>
    <row r="3656">
      <c r="H3656" t="s">
        <v>5117</v>
      </c>
    </row>
    <row r="3657">
      <c r="H3657" t="s">
        <v>5117</v>
      </c>
    </row>
    <row r="3658">
      <c r="H3658" t="s">
        <v>5117</v>
      </c>
    </row>
    <row r="3659">
      <c r="H3659" t="s">
        <v>5117</v>
      </c>
    </row>
    <row r="3660">
      <c r="H3660" t="s">
        <v>5117</v>
      </c>
    </row>
    <row r="3661">
      <c r="H3661" t="s">
        <v>5117</v>
      </c>
    </row>
    <row r="3662">
      <c r="H3662" t="s">
        <v>5117</v>
      </c>
    </row>
    <row r="3663">
      <c r="H3663" t="s">
        <v>5117</v>
      </c>
    </row>
    <row r="3664">
      <c r="H3664" t="s">
        <v>5117</v>
      </c>
    </row>
    <row r="3665">
      <c r="H3665" t="s">
        <v>5117</v>
      </c>
    </row>
    <row r="3666">
      <c r="H3666" t="s">
        <v>5117</v>
      </c>
    </row>
    <row r="3667">
      <c r="H3667" t="s">
        <v>5117</v>
      </c>
    </row>
    <row r="3668">
      <c r="H3668" t="s">
        <v>5117</v>
      </c>
    </row>
    <row r="3669">
      <c r="H3669" t="s">
        <v>5117</v>
      </c>
    </row>
    <row r="3670">
      <c r="H3670" t="s">
        <v>5117</v>
      </c>
    </row>
    <row r="3671">
      <c r="H3671" t="s">
        <v>5117</v>
      </c>
    </row>
    <row r="3672">
      <c r="H3672" t="s">
        <v>5117</v>
      </c>
    </row>
    <row r="3673">
      <c r="H3673" t="s">
        <v>5117</v>
      </c>
    </row>
    <row r="3674">
      <c r="H3674" t="s">
        <v>5117</v>
      </c>
    </row>
    <row r="3675">
      <c r="H3675" t="s">
        <v>5117</v>
      </c>
    </row>
    <row r="3676">
      <c r="H3676" t="s">
        <v>5117</v>
      </c>
    </row>
    <row r="3677">
      <c r="H3677" t="s">
        <v>5117</v>
      </c>
    </row>
    <row r="3678">
      <c r="H3678" t="s">
        <v>5117</v>
      </c>
    </row>
    <row r="3679">
      <c r="H3679" t="s">
        <v>5117</v>
      </c>
    </row>
    <row r="3680">
      <c r="H3680" t="s">
        <v>5117</v>
      </c>
    </row>
    <row r="3681">
      <c r="H3681" t="s">
        <v>5117</v>
      </c>
    </row>
    <row r="3682">
      <c r="H3682" t="s">
        <v>5117</v>
      </c>
    </row>
    <row r="3683">
      <c r="H3683" t="s">
        <v>5117</v>
      </c>
    </row>
    <row r="3684">
      <c r="H3684" t="s">
        <v>5117</v>
      </c>
    </row>
    <row r="3685">
      <c r="H3685" t="s">
        <v>5117</v>
      </c>
    </row>
    <row r="3686">
      <c r="H3686" t="s">
        <v>5117</v>
      </c>
    </row>
    <row r="3687">
      <c r="H3687" t="s">
        <v>5117</v>
      </c>
    </row>
    <row r="3688">
      <c r="H3688" t="s">
        <v>5117</v>
      </c>
    </row>
    <row r="3689">
      <c r="H3689" t="s">
        <v>5117</v>
      </c>
    </row>
    <row r="3690">
      <c r="H3690" t="s">
        <v>5117</v>
      </c>
    </row>
    <row r="3691">
      <c r="H3691" t="s">
        <v>5117</v>
      </c>
    </row>
    <row r="3692">
      <c r="H3692" t="s">
        <v>5117</v>
      </c>
    </row>
    <row r="3693">
      <c r="H3693" t="s">
        <v>5117</v>
      </c>
    </row>
    <row r="3694">
      <c r="H3694" t="s">
        <v>5117</v>
      </c>
    </row>
    <row r="3695">
      <c r="H3695" t="s">
        <v>5117</v>
      </c>
    </row>
    <row r="3696">
      <c r="H3696" t="s">
        <v>5117</v>
      </c>
    </row>
    <row r="3697">
      <c r="H3697" t="s">
        <v>5117</v>
      </c>
    </row>
    <row r="3698">
      <c r="H3698" t="s">
        <v>5117</v>
      </c>
    </row>
    <row r="3699">
      <c r="H3699" t="s">
        <v>5117</v>
      </c>
    </row>
    <row r="3700">
      <c r="H3700" t="s">
        <v>5117</v>
      </c>
    </row>
    <row r="3701">
      <c r="H3701" t="s">
        <v>5117</v>
      </c>
    </row>
    <row r="3702">
      <c r="H3702" t="s">
        <v>5117</v>
      </c>
    </row>
    <row r="3703">
      <c r="H3703" t="s">
        <v>5117</v>
      </c>
    </row>
    <row r="3704">
      <c r="H3704" t="s">
        <v>5117</v>
      </c>
    </row>
    <row r="3705">
      <c r="H3705" t="s">
        <v>5117</v>
      </c>
    </row>
    <row r="3706">
      <c r="H3706" t="s">
        <v>5117</v>
      </c>
    </row>
    <row r="3707">
      <c r="H3707" t="s">
        <v>5117</v>
      </c>
    </row>
    <row r="3708">
      <c r="H3708" t="s">
        <v>5117</v>
      </c>
    </row>
    <row r="3709">
      <c r="H3709" t="s">
        <v>5117</v>
      </c>
    </row>
    <row r="3710">
      <c r="H3710" t="s">
        <v>5117</v>
      </c>
    </row>
    <row r="3711">
      <c r="H3711" t="s">
        <v>5117</v>
      </c>
    </row>
    <row r="3712">
      <c r="H3712" t="s">
        <v>5117</v>
      </c>
    </row>
    <row r="3713">
      <c r="H3713" t="s">
        <v>5117</v>
      </c>
    </row>
    <row r="3714">
      <c r="H3714" t="s">
        <v>5117</v>
      </c>
    </row>
    <row r="3715">
      <c r="H3715" t="s">
        <v>5117</v>
      </c>
    </row>
    <row r="3716">
      <c r="H3716" t="s">
        <v>5117</v>
      </c>
    </row>
    <row r="3717">
      <c r="H3717" t="s">
        <v>5117</v>
      </c>
    </row>
    <row r="3718">
      <c r="H3718" t="s">
        <v>5117</v>
      </c>
    </row>
    <row r="3719">
      <c r="H3719" t="s">
        <v>5117</v>
      </c>
    </row>
    <row r="3720">
      <c r="H3720" t="s">
        <v>5117</v>
      </c>
    </row>
    <row r="3721">
      <c r="H3721" t="s">
        <v>5117</v>
      </c>
    </row>
    <row r="3722">
      <c r="H3722" t="s">
        <v>5117</v>
      </c>
    </row>
    <row r="3723">
      <c r="H3723" t="s">
        <v>5117</v>
      </c>
    </row>
    <row r="3724">
      <c r="H3724" t="s">
        <v>5117</v>
      </c>
    </row>
    <row r="3725">
      <c r="H3725" t="s">
        <v>5117</v>
      </c>
    </row>
    <row r="3726">
      <c r="H3726" t="s">
        <v>5117</v>
      </c>
    </row>
    <row r="3727">
      <c r="H3727" t="s">
        <v>5117</v>
      </c>
    </row>
    <row r="3728">
      <c r="H3728" t="s">
        <v>5117</v>
      </c>
    </row>
    <row r="3729">
      <c r="H3729" t="s">
        <v>5117</v>
      </c>
    </row>
    <row r="3730">
      <c r="H3730" t="s">
        <v>5117</v>
      </c>
    </row>
    <row r="3731">
      <c r="H3731" t="s">
        <v>5117</v>
      </c>
    </row>
    <row r="3732">
      <c r="H3732" t="s">
        <v>5117</v>
      </c>
    </row>
    <row r="3733">
      <c r="H3733" t="s">
        <v>5117</v>
      </c>
    </row>
    <row r="3734">
      <c r="H3734" t="s">
        <v>5117</v>
      </c>
    </row>
    <row r="3735">
      <c r="H3735" t="s">
        <v>5117</v>
      </c>
    </row>
    <row r="3736">
      <c r="H3736" t="s">
        <v>5117</v>
      </c>
    </row>
    <row r="3737">
      <c r="H3737" t="s">
        <v>5117</v>
      </c>
    </row>
    <row r="3738">
      <c r="H3738" t="s">
        <v>5117</v>
      </c>
    </row>
    <row r="3739">
      <c r="H3739" t="s">
        <v>5117</v>
      </c>
    </row>
    <row r="3740">
      <c r="H3740" t="s">
        <v>5117</v>
      </c>
    </row>
    <row r="3741">
      <c r="H3741" t="s">
        <v>5117</v>
      </c>
    </row>
    <row r="3742">
      <c r="H3742" t="s">
        <v>5117</v>
      </c>
    </row>
    <row r="3743">
      <c r="H3743" t="s">
        <v>5117</v>
      </c>
    </row>
    <row r="3744">
      <c r="H3744" t="s">
        <v>5117</v>
      </c>
    </row>
    <row r="3745">
      <c r="H3745" t="s">
        <v>5117</v>
      </c>
    </row>
    <row r="3746">
      <c r="H3746" t="s">
        <v>5117</v>
      </c>
    </row>
    <row r="3747">
      <c r="H3747" t="s">
        <v>5117</v>
      </c>
    </row>
    <row r="3748">
      <c r="H3748" t="s">
        <v>5117</v>
      </c>
    </row>
    <row r="3749">
      <c r="H3749" t="s">
        <v>5117</v>
      </c>
    </row>
    <row r="3750">
      <c r="H3750" t="s">
        <v>5117</v>
      </c>
    </row>
    <row r="3751">
      <c r="H3751" t="s">
        <v>5117</v>
      </c>
    </row>
    <row r="3752">
      <c r="H3752" t="s">
        <v>5117</v>
      </c>
    </row>
    <row r="3753">
      <c r="H3753" t="s">
        <v>5117</v>
      </c>
    </row>
    <row r="3754">
      <c r="H3754" t="s">
        <v>5117</v>
      </c>
    </row>
    <row r="3755">
      <c r="H3755" t="s">
        <v>5117</v>
      </c>
    </row>
    <row r="3756">
      <c r="H3756" t="s">
        <v>5117</v>
      </c>
    </row>
    <row r="3757">
      <c r="H3757" t="s">
        <v>5117</v>
      </c>
    </row>
    <row r="3758">
      <c r="H3758" t="s">
        <v>5117</v>
      </c>
    </row>
    <row r="3759">
      <c r="H3759" t="s">
        <v>5117</v>
      </c>
    </row>
    <row r="3760">
      <c r="H3760" t="s">
        <v>5117</v>
      </c>
    </row>
    <row r="3761">
      <c r="H3761" t="s">
        <v>5117</v>
      </c>
    </row>
    <row r="3762">
      <c r="H3762" t="s">
        <v>5117</v>
      </c>
    </row>
    <row r="3763">
      <c r="H3763" t="s">
        <v>5117</v>
      </c>
    </row>
    <row r="3764">
      <c r="H3764" t="s">
        <v>5117</v>
      </c>
    </row>
    <row r="3765">
      <c r="H3765" t="s">
        <v>5117</v>
      </c>
    </row>
    <row r="3766">
      <c r="H3766" t="s">
        <v>5117</v>
      </c>
    </row>
    <row r="3767">
      <c r="H3767" t="s">
        <v>5117</v>
      </c>
    </row>
    <row r="3768">
      <c r="H3768" t="s">
        <v>5117</v>
      </c>
    </row>
    <row r="3769">
      <c r="H3769" t="s">
        <v>5117</v>
      </c>
    </row>
    <row r="3770">
      <c r="H3770" t="s">
        <v>5117</v>
      </c>
    </row>
    <row r="3771">
      <c r="H3771" t="s">
        <v>5117</v>
      </c>
    </row>
    <row r="3772">
      <c r="H3772" t="s">
        <v>5117</v>
      </c>
    </row>
    <row r="3773">
      <c r="H3773" t="s">
        <v>5117</v>
      </c>
    </row>
    <row r="3774">
      <c r="H3774" t="s">
        <v>5117</v>
      </c>
    </row>
    <row r="3775">
      <c r="H3775" t="s">
        <v>5117</v>
      </c>
    </row>
    <row r="3776">
      <c r="H3776" t="s">
        <v>5117</v>
      </c>
    </row>
    <row r="3777">
      <c r="H3777" t="s">
        <v>5117</v>
      </c>
    </row>
    <row r="3778">
      <c r="H3778" t="s">
        <v>5117</v>
      </c>
    </row>
    <row r="3779">
      <c r="H3779" t="s">
        <v>5117</v>
      </c>
    </row>
    <row r="3780">
      <c r="H3780" t="s">
        <v>5117</v>
      </c>
    </row>
    <row r="3781">
      <c r="H3781" t="s">
        <v>5117</v>
      </c>
    </row>
    <row r="3782">
      <c r="H3782" t="s">
        <v>5117</v>
      </c>
    </row>
    <row r="3783">
      <c r="H3783" t="s">
        <v>5117</v>
      </c>
    </row>
    <row r="3784">
      <c r="H3784" t="s">
        <v>5117</v>
      </c>
    </row>
    <row r="3785">
      <c r="H3785" t="s">
        <v>5117</v>
      </c>
    </row>
    <row r="3786">
      <c r="H3786" t="s">
        <v>5117</v>
      </c>
    </row>
    <row r="3787">
      <c r="H3787" t="s">
        <v>5117</v>
      </c>
    </row>
    <row r="3788">
      <c r="H3788" t="s">
        <v>5117</v>
      </c>
    </row>
    <row r="3789">
      <c r="H3789" t="s">
        <v>5117</v>
      </c>
    </row>
    <row r="3790">
      <c r="H3790" t="s">
        <v>5117</v>
      </c>
    </row>
    <row r="3791">
      <c r="H3791" t="s">
        <v>5117</v>
      </c>
    </row>
    <row r="3792">
      <c r="H3792" t="s">
        <v>5117</v>
      </c>
    </row>
    <row r="3793">
      <c r="H3793" t="s">
        <v>5117</v>
      </c>
    </row>
    <row r="3794">
      <c r="H3794" t="s">
        <v>5117</v>
      </c>
    </row>
    <row r="3795">
      <c r="H3795" t="s">
        <v>5117</v>
      </c>
    </row>
    <row r="3796">
      <c r="H3796" t="s">
        <v>5117</v>
      </c>
    </row>
    <row r="3797">
      <c r="H3797" t="s">
        <v>5117</v>
      </c>
    </row>
    <row r="3798">
      <c r="H3798" t="s">
        <v>5117</v>
      </c>
    </row>
    <row r="3799">
      <c r="H3799" t="s">
        <v>5117</v>
      </c>
    </row>
    <row r="3800">
      <c r="H3800" t="s">
        <v>5117</v>
      </c>
    </row>
    <row r="3801">
      <c r="H3801" t="s">
        <v>5117</v>
      </c>
    </row>
    <row r="3802">
      <c r="H3802" t="s">
        <v>5117</v>
      </c>
    </row>
    <row r="3803">
      <c r="H3803" t="s">
        <v>5117</v>
      </c>
    </row>
    <row r="3804">
      <c r="H3804" t="s">
        <v>5117</v>
      </c>
    </row>
    <row r="3805">
      <c r="H3805" t="s">
        <v>5117</v>
      </c>
    </row>
    <row r="3806">
      <c r="H3806" t="s">
        <v>5117</v>
      </c>
    </row>
    <row r="3807">
      <c r="H3807" t="s">
        <v>5117</v>
      </c>
    </row>
    <row r="3808">
      <c r="H3808" t="s">
        <v>5117</v>
      </c>
    </row>
    <row r="3809">
      <c r="H3809" t="s">
        <v>5117</v>
      </c>
    </row>
    <row r="3810">
      <c r="H3810" t="s">
        <v>5117</v>
      </c>
    </row>
    <row r="3811">
      <c r="H3811" t="s">
        <v>5117</v>
      </c>
    </row>
    <row r="3812">
      <c r="H3812" t="s">
        <v>5117</v>
      </c>
    </row>
    <row r="3813">
      <c r="H3813" t="s">
        <v>5117</v>
      </c>
    </row>
    <row r="3814">
      <c r="H3814" t="s">
        <v>5117</v>
      </c>
    </row>
    <row r="3815">
      <c r="H3815" t="s">
        <v>5117</v>
      </c>
    </row>
    <row r="3816">
      <c r="H3816" t="s">
        <v>5117</v>
      </c>
    </row>
    <row r="3817">
      <c r="H3817" t="s">
        <v>5117</v>
      </c>
    </row>
    <row r="3818">
      <c r="H3818" t="s">
        <v>5117</v>
      </c>
    </row>
    <row r="3819">
      <c r="H3819" t="s">
        <v>5117</v>
      </c>
    </row>
    <row r="3820">
      <c r="H3820" t="s">
        <v>5117</v>
      </c>
    </row>
    <row r="3821">
      <c r="H3821" t="s">
        <v>5117</v>
      </c>
    </row>
    <row r="3822">
      <c r="H3822" t="s">
        <v>5117</v>
      </c>
    </row>
    <row r="3823">
      <c r="H3823" t="s">
        <v>5117</v>
      </c>
    </row>
    <row r="3824">
      <c r="H3824" t="s">
        <v>5117</v>
      </c>
    </row>
    <row r="3825">
      <c r="H3825" t="s">
        <v>5117</v>
      </c>
    </row>
    <row r="3826">
      <c r="H3826" t="s">
        <v>5117</v>
      </c>
    </row>
    <row r="3827">
      <c r="H3827" t="s">
        <v>5117</v>
      </c>
    </row>
    <row r="3828">
      <c r="H3828" t="s">
        <v>5117</v>
      </c>
    </row>
    <row r="3829">
      <c r="H3829" t="s">
        <v>5117</v>
      </c>
    </row>
    <row r="3830">
      <c r="H3830" t="s">
        <v>5117</v>
      </c>
    </row>
    <row r="3831">
      <c r="H3831" t="s">
        <v>5117</v>
      </c>
    </row>
    <row r="3832">
      <c r="H3832" t="s">
        <v>5117</v>
      </c>
    </row>
    <row r="3833">
      <c r="H3833" t="s">
        <v>5117</v>
      </c>
    </row>
    <row r="3834">
      <c r="H3834" t="s">
        <v>5117</v>
      </c>
    </row>
    <row r="3835">
      <c r="H3835" t="s">
        <v>5117</v>
      </c>
    </row>
    <row r="3836">
      <c r="H3836" t="s">
        <v>5117</v>
      </c>
    </row>
    <row r="3837">
      <c r="H3837" t="s">
        <v>5117</v>
      </c>
    </row>
    <row r="3838">
      <c r="H3838" t="s">
        <v>5117</v>
      </c>
    </row>
    <row r="3839">
      <c r="H3839" t="s">
        <v>5117</v>
      </c>
    </row>
    <row r="3840">
      <c r="H3840" t="s">
        <v>5117</v>
      </c>
    </row>
    <row r="3841">
      <c r="H3841" t="s">
        <v>5117</v>
      </c>
    </row>
    <row r="3842">
      <c r="H3842" t="s">
        <v>5117</v>
      </c>
    </row>
    <row r="3843">
      <c r="H3843" t="s">
        <v>5117</v>
      </c>
    </row>
    <row r="3844">
      <c r="H3844" t="s">
        <v>5117</v>
      </c>
    </row>
    <row r="3845">
      <c r="H3845" t="s">
        <v>5117</v>
      </c>
    </row>
    <row r="3846">
      <c r="H3846" t="s">
        <v>5117</v>
      </c>
    </row>
    <row r="3847">
      <c r="H3847" t="s">
        <v>5117</v>
      </c>
    </row>
    <row r="3848">
      <c r="H3848" t="s">
        <v>5117</v>
      </c>
    </row>
    <row r="3849">
      <c r="H3849" t="s">
        <v>5117</v>
      </c>
    </row>
    <row r="3850">
      <c r="H3850" t="s">
        <v>5117</v>
      </c>
    </row>
    <row r="3851">
      <c r="H3851" t="s">
        <v>5117</v>
      </c>
    </row>
    <row r="3852">
      <c r="H3852" t="s">
        <v>5117</v>
      </c>
    </row>
    <row r="3853">
      <c r="H3853" t="s">
        <v>5117</v>
      </c>
    </row>
    <row r="3854">
      <c r="H3854" t="s">
        <v>5117</v>
      </c>
    </row>
    <row r="3855">
      <c r="H3855" t="s">
        <v>5117</v>
      </c>
    </row>
    <row r="3856">
      <c r="H3856" t="s">
        <v>5117</v>
      </c>
    </row>
    <row r="3857">
      <c r="H3857" t="s">
        <v>5117</v>
      </c>
    </row>
    <row r="3858">
      <c r="H3858" t="s">
        <v>5117</v>
      </c>
    </row>
    <row r="3859">
      <c r="H3859" t="s">
        <v>5117</v>
      </c>
    </row>
    <row r="3860">
      <c r="H3860" t="s">
        <v>5117</v>
      </c>
    </row>
    <row r="3861">
      <c r="H3861" t="s">
        <v>5117</v>
      </c>
    </row>
    <row r="3862">
      <c r="H3862" t="s">
        <v>5117</v>
      </c>
    </row>
    <row r="3863">
      <c r="H3863" t="s">
        <v>5117</v>
      </c>
    </row>
    <row r="3864">
      <c r="H3864" t="s">
        <v>5117</v>
      </c>
    </row>
    <row r="3865">
      <c r="H3865" t="s">
        <v>5117</v>
      </c>
    </row>
    <row r="3866">
      <c r="H3866" t="s">
        <v>5117</v>
      </c>
    </row>
    <row r="3867">
      <c r="H3867" t="s">
        <v>5117</v>
      </c>
    </row>
    <row r="3868">
      <c r="H3868" t="s">
        <v>5117</v>
      </c>
    </row>
    <row r="3869">
      <c r="H3869" t="s">
        <v>5117</v>
      </c>
    </row>
    <row r="3870">
      <c r="H3870" t="s">
        <v>5117</v>
      </c>
    </row>
    <row r="3871">
      <c r="H3871" t="s">
        <v>5117</v>
      </c>
    </row>
    <row r="3872">
      <c r="H3872" t="s">
        <v>5117</v>
      </c>
    </row>
    <row r="3873">
      <c r="H3873" t="s">
        <v>5117</v>
      </c>
    </row>
    <row r="3874">
      <c r="H3874" t="s">
        <v>5117</v>
      </c>
    </row>
    <row r="3875">
      <c r="H3875" t="s">
        <v>5117</v>
      </c>
    </row>
    <row r="3876">
      <c r="H3876" t="s">
        <v>5117</v>
      </c>
    </row>
    <row r="3877">
      <c r="H3877" t="s">
        <v>5117</v>
      </c>
    </row>
    <row r="3878">
      <c r="H3878" t="s">
        <v>5117</v>
      </c>
    </row>
    <row r="3879">
      <c r="H3879" t="s">
        <v>5117</v>
      </c>
    </row>
    <row r="3880">
      <c r="H3880" t="s">
        <v>5117</v>
      </c>
    </row>
    <row r="3881">
      <c r="H3881" t="s">
        <v>5117</v>
      </c>
    </row>
    <row r="3882">
      <c r="H3882" t="s">
        <v>5117</v>
      </c>
    </row>
    <row r="3883">
      <c r="H3883" t="s">
        <v>5117</v>
      </c>
    </row>
    <row r="3884">
      <c r="H3884" t="s">
        <v>5117</v>
      </c>
    </row>
    <row r="3885">
      <c r="H3885" t="s">
        <v>5117</v>
      </c>
    </row>
    <row r="3886">
      <c r="H3886" t="s">
        <v>5117</v>
      </c>
    </row>
    <row r="3887">
      <c r="H3887" t="s">
        <v>5117</v>
      </c>
    </row>
    <row r="3888">
      <c r="H3888" t="s">
        <v>5117</v>
      </c>
    </row>
    <row r="3889">
      <c r="H3889" t="s">
        <v>5117</v>
      </c>
    </row>
    <row r="3890">
      <c r="H3890" t="s">
        <v>5117</v>
      </c>
    </row>
    <row r="3891">
      <c r="H3891" t="s">
        <v>5117</v>
      </c>
    </row>
    <row r="3892">
      <c r="H3892" t="s">
        <v>5117</v>
      </c>
    </row>
    <row r="3893">
      <c r="H3893" t="s">
        <v>5117</v>
      </c>
    </row>
    <row r="3894">
      <c r="H3894" t="s">
        <v>5117</v>
      </c>
    </row>
    <row r="3895">
      <c r="H3895" t="s">
        <v>5117</v>
      </c>
    </row>
    <row r="3896">
      <c r="H3896" t="s">
        <v>5117</v>
      </c>
    </row>
    <row r="3897">
      <c r="H3897" t="s">
        <v>5117</v>
      </c>
    </row>
    <row r="3898">
      <c r="H3898" t="s">
        <v>5117</v>
      </c>
    </row>
    <row r="3899">
      <c r="H3899" t="s">
        <v>5117</v>
      </c>
    </row>
    <row r="3900">
      <c r="H3900" t="s">
        <v>5117</v>
      </c>
    </row>
    <row r="3901">
      <c r="H3901" t="s">
        <v>5117</v>
      </c>
    </row>
    <row r="3902">
      <c r="H3902" t="s">
        <v>5117</v>
      </c>
    </row>
    <row r="3903">
      <c r="H3903" t="s">
        <v>5117</v>
      </c>
    </row>
    <row r="3904">
      <c r="H3904" t="s">
        <v>5117</v>
      </c>
    </row>
    <row r="3905">
      <c r="H3905" t="s">
        <v>5117</v>
      </c>
    </row>
    <row r="3906">
      <c r="H3906" t="s">
        <v>5117</v>
      </c>
    </row>
    <row r="3907">
      <c r="H3907" t="s">
        <v>5117</v>
      </c>
    </row>
    <row r="3908">
      <c r="H3908" t="s">
        <v>5117</v>
      </c>
    </row>
    <row r="3909">
      <c r="H3909" t="s">
        <v>5117</v>
      </c>
    </row>
    <row r="3910">
      <c r="H3910" t="s">
        <v>5117</v>
      </c>
    </row>
    <row r="3911">
      <c r="H3911" t="s">
        <v>5117</v>
      </c>
    </row>
    <row r="3912">
      <c r="H3912" t="s">
        <v>5117</v>
      </c>
    </row>
    <row r="3913">
      <c r="H3913" t="s">
        <v>5117</v>
      </c>
    </row>
    <row r="3914">
      <c r="H3914" t="s">
        <v>5117</v>
      </c>
    </row>
    <row r="3915">
      <c r="H3915" t="s">
        <v>5117</v>
      </c>
    </row>
    <row r="3916">
      <c r="H3916" t="s">
        <v>5117</v>
      </c>
    </row>
    <row r="3917">
      <c r="H3917" t="s">
        <v>5117</v>
      </c>
    </row>
    <row r="3918">
      <c r="H3918" t="s">
        <v>5117</v>
      </c>
    </row>
    <row r="3919">
      <c r="H3919" t="s">
        <v>5117</v>
      </c>
    </row>
    <row r="3920">
      <c r="H3920" t="s">
        <v>5117</v>
      </c>
    </row>
    <row r="3921">
      <c r="H3921" t="s">
        <v>5117</v>
      </c>
    </row>
    <row r="3922">
      <c r="H3922" t="s">
        <v>5117</v>
      </c>
    </row>
    <row r="3923">
      <c r="H3923" t="s">
        <v>5117</v>
      </c>
    </row>
    <row r="3924">
      <c r="H3924" t="s">
        <v>5117</v>
      </c>
    </row>
    <row r="3925">
      <c r="H3925" t="s">
        <v>5117</v>
      </c>
    </row>
    <row r="3926">
      <c r="H3926" t="s">
        <v>5117</v>
      </c>
    </row>
    <row r="3927">
      <c r="H3927" t="s">
        <v>5117</v>
      </c>
    </row>
    <row r="3928">
      <c r="H3928" t="s">
        <v>5117</v>
      </c>
    </row>
    <row r="3929">
      <c r="H3929" t="s">
        <v>5117</v>
      </c>
    </row>
    <row r="3930">
      <c r="H3930" t="s">
        <v>5117</v>
      </c>
    </row>
    <row r="3931">
      <c r="H3931" t="s">
        <v>5117</v>
      </c>
    </row>
    <row r="3932">
      <c r="H3932" t="s">
        <v>5117</v>
      </c>
    </row>
    <row r="3933">
      <c r="H3933" t="s">
        <v>5117</v>
      </c>
    </row>
    <row r="3934">
      <c r="H3934" t="s">
        <v>5117</v>
      </c>
    </row>
    <row r="3935">
      <c r="H3935" t="s">
        <v>5117</v>
      </c>
    </row>
    <row r="3936">
      <c r="H3936" t="s">
        <v>5117</v>
      </c>
    </row>
    <row r="3937">
      <c r="H3937" t="s">
        <v>5117</v>
      </c>
    </row>
    <row r="3938">
      <c r="H3938" t="s">
        <v>5117</v>
      </c>
    </row>
    <row r="3939">
      <c r="H3939" t="s">
        <v>5117</v>
      </c>
    </row>
    <row r="3940">
      <c r="H3940" t="s">
        <v>5117</v>
      </c>
    </row>
    <row r="3941">
      <c r="H3941" t="s">
        <v>5117</v>
      </c>
    </row>
    <row r="3942">
      <c r="H3942" t="s">
        <v>5117</v>
      </c>
    </row>
    <row r="3943">
      <c r="H3943" t="s">
        <v>5117</v>
      </c>
    </row>
    <row r="3944">
      <c r="H3944" t="s">
        <v>5117</v>
      </c>
    </row>
    <row r="3945">
      <c r="H3945" t="s">
        <v>5117</v>
      </c>
    </row>
    <row r="3946">
      <c r="H3946" t="s">
        <v>5117</v>
      </c>
    </row>
    <row r="3947">
      <c r="H3947" t="s">
        <v>5117</v>
      </c>
    </row>
    <row r="3948">
      <c r="H3948" t="s">
        <v>5117</v>
      </c>
    </row>
    <row r="3949">
      <c r="H3949" t="s">
        <v>5117</v>
      </c>
    </row>
    <row r="3950">
      <c r="H3950" t="s">
        <v>5117</v>
      </c>
    </row>
    <row r="3951">
      <c r="H3951" t="s">
        <v>5117</v>
      </c>
    </row>
    <row r="3952">
      <c r="H3952" t="s">
        <v>5117</v>
      </c>
    </row>
    <row r="3953">
      <c r="H3953" t="s">
        <v>5117</v>
      </c>
    </row>
    <row r="3954">
      <c r="H3954" t="s">
        <v>5117</v>
      </c>
    </row>
    <row r="3955">
      <c r="H3955" t="s">
        <v>5117</v>
      </c>
    </row>
    <row r="3956">
      <c r="H3956" t="s">
        <v>5117</v>
      </c>
    </row>
    <row r="3957">
      <c r="H3957" t="s">
        <v>5117</v>
      </c>
    </row>
    <row r="3958">
      <c r="H3958" t="s">
        <v>5117</v>
      </c>
    </row>
    <row r="3959">
      <c r="H3959" t="s">
        <v>5117</v>
      </c>
    </row>
    <row r="3960">
      <c r="H3960" t="s">
        <v>5117</v>
      </c>
    </row>
    <row r="3961">
      <c r="H3961" t="s">
        <v>5117</v>
      </c>
    </row>
    <row r="3962">
      <c r="H3962" t="s">
        <v>5117</v>
      </c>
    </row>
    <row r="3963">
      <c r="H3963" t="s">
        <v>5117</v>
      </c>
    </row>
    <row r="3964">
      <c r="H3964" t="s">
        <v>5117</v>
      </c>
    </row>
    <row r="3965">
      <c r="H3965" t="s">
        <v>5117</v>
      </c>
    </row>
    <row r="3966">
      <c r="H3966" t="s">
        <v>5117</v>
      </c>
    </row>
    <row r="3967">
      <c r="H3967" t="s">
        <v>5117</v>
      </c>
    </row>
    <row r="3968">
      <c r="H3968" t="s">
        <v>5117</v>
      </c>
    </row>
    <row r="3969">
      <c r="H3969" t="s">
        <v>5117</v>
      </c>
    </row>
    <row r="3970">
      <c r="H3970" t="s">
        <v>5117</v>
      </c>
    </row>
    <row r="3971">
      <c r="H3971" t="s">
        <v>5117</v>
      </c>
    </row>
    <row r="3972">
      <c r="H3972" t="s">
        <v>5117</v>
      </c>
    </row>
    <row r="3973">
      <c r="H3973" t="s">
        <v>5117</v>
      </c>
    </row>
    <row r="3974">
      <c r="H3974" t="s">
        <v>5117</v>
      </c>
    </row>
    <row r="3975">
      <c r="H3975" t="s">
        <v>5117</v>
      </c>
    </row>
    <row r="3976">
      <c r="H3976" t="s">
        <v>5117</v>
      </c>
    </row>
    <row r="3977">
      <c r="H3977" t="s">
        <v>5117</v>
      </c>
    </row>
    <row r="3978">
      <c r="H3978" t="s">
        <v>5117</v>
      </c>
    </row>
    <row r="3979">
      <c r="H3979" t="s">
        <v>5117</v>
      </c>
    </row>
    <row r="3980">
      <c r="H3980" t="s">
        <v>5117</v>
      </c>
    </row>
    <row r="3981">
      <c r="H3981" t="s">
        <v>5117</v>
      </c>
    </row>
    <row r="3982">
      <c r="H3982" t="s">
        <v>5117</v>
      </c>
    </row>
    <row r="3983">
      <c r="H3983" t="s">
        <v>5117</v>
      </c>
    </row>
    <row r="3984">
      <c r="H3984" t="s">
        <v>5117</v>
      </c>
    </row>
    <row r="3985">
      <c r="H3985" t="s">
        <v>5117</v>
      </c>
    </row>
    <row r="3986">
      <c r="H3986" t="s">
        <v>5117</v>
      </c>
    </row>
    <row r="3987">
      <c r="H3987" t="s">
        <v>5117</v>
      </c>
    </row>
    <row r="3988">
      <c r="H3988" t="s">
        <v>5117</v>
      </c>
    </row>
    <row r="3989">
      <c r="H3989" t="s">
        <v>5117</v>
      </c>
    </row>
    <row r="3990">
      <c r="H3990" t="s">
        <v>5117</v>
      </c>
    </row>
    <row r="3991">
      <c r="H3991" t="s">
        <v>5117</v>
      </c>
    </row>
    <row r="3992">
      <c r="H3992" t="s">
        <v>5117</v>
      </c>
    </row>
    <row r="3993">
      <c r="H3993" t="s">
        <v>5117</v>
      </c>
    </row>
    <row r="3994">
      <c r="H3994" t="s">
        <v>5117</v>
      </c>
    </row>
    <row r="3995">
      <c r="H3995" t="s">
        <v>5117</v>
      </c>
    </row>
    <row r="3996">
      <c r="H3996" t="s">
        <v>5117</v>
      </c>
    </row>
    <row r="3997">
      <c r="H3997" t="s">
        <v>5117</v>
      </c>
    </row>
    <row r="3998">
      <c r="H3998" t="s">
        <v>5117</v>
      </c>
    </row>
    <row r="3999">
      <c r="H3999" t="s">
        <v>5117</v>
      </c>
    </row>
    <row r="4000">
      <c r="H4000" t="s">
        <v>5117</v>
      </c>
    </row>
    <row r="4001">
      <c r="H4001" t="s">
        <v>5117</v>
      </c>
    </row>
    <row r="4002">
      <c r="H4002" t="s">
        <v>5117</v>
      </c>
    </row>
    <row r="4003">
      <c r="H4003" t="s">
        <v>5117</v>
      </c>
    </row>
    <row r="4004">
      <c r="H4004" t="s">
        <v>5117</v>
      </c>
    </row>
    <row r="4005">
      <c r="H4005" t="s">
        <v>5117</v>
      </c>
    </row>
    <row r="4006">
      <c r="H4006" t="s">
        <v>5117</v>
      </c>
    </row>
    <row r="4007">
      <c r="H4007" t="s">
        <v>5117</v>
      </c>
    </row>
    <row r="4008">
      <c r="H4008" t="s">
        <v>5117</v>
      </c>
    </row>
    <row r="4009">
      <c r="H4009" t="s">
        <v>5117</v>
      </c>
    </row>
    <row r="4010">
      <c r="H4010" t="s">
        <v>5117</v>
      </c>
    </row>
    <row r="4011">
      <c r="H4011" t="s">
        <v>5117</v>
      </c>
    </row>
    <row r="4012">
      <c r="H4012" t="s">
        <v>5117</v>
      </c>
    </row>
    <row r="4013">
      <c r="H4013" t="s">
        <v>5117</v>
      </c>
    </row>
    <row r="4014">
      <c r="H4014" t="s">
        <v>5117</v>
      </c>
    </row>
    <row r="4015">
      <c r="H4015" t="s">
        <v>5117</v>
      </c>
    </row>
    <row r="4016">
      <c r="H4016" t="s">
        <v>5117</v>
      </c>
    </row>
    <row r="4017">
      <c r="H4017" t="s">
        <v>5117</v>
      </c>
    </row>
    <row r="4018">
      <c r="H4018" t="s">
        <v>5117</v>
      </c>
    </row>
    <row r="4019">
      <c r="H4019" t="s">
        <v>5117</v>
      </c>
    </row>
    <row r="4020">
      <c r="H4020" t="s">
        <v>5117</v>
      </c>
    </row>
    <row r="4021">
      <c r="H4021" t="s">
        <v>5117</v>
      </c>
    </row>
    <row r="4022">
      <c r="H4022" t="s">
        <v>5117</v>
      </c>
    </row>
    <row r="4023">
      <c r="H4023" t="s">
        <v>5117</v>
      </c>
    </row>
    <row r="4024">
      <c r="H4024" t="s">
        <v>5117</v>
      </c>
    </row>
    <row r="4025">
      <c r="H4025" t="s">
        <v>5117</v>
      </c>
    </row>
    <row r="4026">
      <c r="H4026" t="s">
        <v>5117</v>
      </c>
    </row>
    <row r="4027">
      <c r="H4027" t="s">
        <v>5117</v>
      </c>
    </row>
    <row r="4028">
      <c r="H4028" t="s">
        <v>5117</v>
      </c>
    </row>
    <row r="4029">
      <c r="H4029" t="s">
        <v>5117</v>
      </c>
    </row>
    <row r="4030">
      <c r="H4030" t="s">
        <v>5117</v>
      </c>
    </row>
    <row r="4031">
      <c r="H4031" t="s">
        <v>5117</v>
      </c>
    </row>
    <row r="4032">
      <c r="H4032" t="s">
        <v>5117</v>
      </c>
    </row>
    <row r="4033">
      <c r="H4033" t="s">
        <v>5117</v>
      </c>
    </row>
    <row r="4034">
      <c r="H4034" t="s">
        <v>5117</v>
      </c>
    </row>
    <row r="4035">
      <c r="H4035" t="s">
        <v>5117</v>
      </c>
    </row>
    <row r="4036">
      <c r="H4036" t="s">
        <v>5117</v>
      </c>
    </row>
    <row r="4037">
      <c r="H4037" t="s">
        <v>5117</v>
      </c>
    </row>
    <row r="4038">
      <c r="H4038" t="s">
        <v>5117</v>
      </c>
    </row>
    <row r="4039">
      <c r="H4039" t="s">
        <v>5117</v>
      </c>
    </row>
    <row r="4040">
      <c r="H4040" t="s">
        <v>5117</v>
      </c>
    </row>
    <row r="4041">
      <c r="H4041" t="s">
        <v>5117</v>
      </c>
    </row>
    <row r="4042">
      <c r="H4042" t="s">
        <v>5117</v>
      </c>
    </row>
    <row r="4043">
      <c r="H4043" t="s">
        <v>5117</v>
      </c>
    </row>
    <row r="4044">
      <c r="H4044" t="s">
        <v>5117</v>
      </c>
    </row>
    <row r="4045">
      <c r="H4045" t="s">
        <v>5117</v>
      </c>
    </row>
    <row r="4046">
      <c r="H4046" t="s">
        <v>5117</v>
      </c>
    </row>
    <row r="4047">
      <c r="H4047" t="s">
        <v>5117</v>
      </c>
    </row>
    <row r="4048">
      <c r="H4048" t="s">
        <v>5117</v>
      </c>
    </row>
    <row r="4049">
      <c r="H4049" t="s">
        <v>5117</v>
      </c>
    </row>
    <row r="4050">
      <c r="H4050" t="s">
        <v>5117</v>
      </c>
    </row>
    <row r="4051">
      <c r="H4051" t="s">
        <v>5117</v>
      </c>
    </row>
    <row r="4052">
      <c r="H4052" t="s">
        <v>5117</v>
      </c>
    </row>
    <row r="4053">
      <c r="H4053" t="s">
        <v>5117</v>
      </c>
    </row>
    <row r="4054">
      <c r="H4054" t="s">
        <v>5117</v>
      </c>
    </row>
    <row r="4055">
      <c r="H4055" t="s">
        <v>5117</v>
      </c>
    </row>
    <row r="4056">
      <c r="H4056" t="s">
        <v>5117</v>
      </c>
    </row>
    <row r="4057">
      <c r="H4057" t="s">
        <v>5117</v>
      </c>
    </row>
    <row r="4058">
      <c r="H4058" t="s">
        <v>5117</v>
      </c>
    </row>
    <row r="4059">
      <c r="H4059" t="s">
        <v>5117</v>
      </c>
    </row>
    <row r="4060">
      <c r="H4060" t="s">
        <v>5117</v>
      </c>
    </row>
    <row r="4061">
      <c r="H4061" t="s">
        <v>5117</v>
      </c>
    </row>
    <row r="4062">
      <c r="H4062" t="s">
        <v>5117</v>
      </c>
    </row>
    <row r="4063">
      <c r="H4063" t="s">
        <v>5117</v>
      </c>
    </row>
    <row r="4064">
      <c r="H4064" t="s">
        <v>5117</v>
      </c>
    </row>
    <row r="4065">
      <c r="H4065" t="s">
        <v>5117</v>
      </c>
    </row>
    <row r="4066">
      <c r="H4066" t="s">
        <v>5117</v>
      </c>
    </row>
    <row r="4067">
      <c r="H4067" t="s">
        <v>5117</v>
      </c>
    </row>
    <row r="4068">
      <c r="H4068" t="s">
        <v>5117</v>
      </c>
    </row>
    <row r="4069">
      <c r="H4069" t="s">
        <v>5117</v>
      </c>
    </row>
    <row r="4070">
      <c r="H4070" t="s">
        <v>5117</v>
      </c>
    </row>
    <row r="4071">
      <c r="H4071" t="s">
        <v>5117</v>
      </c>
    </row>
    <row r="4072">
      <c r="H4072" t="s">
        <v>5117</v>
      </c>
    </row>
    <row r="4073">
      <c r="H4073" t="s">
        <v>5117</v>
      </c>
    </row>
    <row r="4074">
      <c r="H4074" t="s">
        <v>5117</v>
      </c>
    </row>
    <row r="4075">
      <c r="H4075" t="s">
        <v>5117</v>
      </c>
    </row>
    <row r="4076">
      <c r="H4076" t="s">
        <v>5117</v>
      </c>
    </row>
    <row r="4077">
      <c r="H4077" t="s">
        <v>5117</v>
      </c>
    </row>
    <row r="4078">
      <c r="H4078" t="s">
        <v>5117</v>
      </c>
    </row>
    <row r="4079">
      <c r="H4079" t="s">
        <v>5117</v>
      </c>
    </row>
    <row r="4080">
      <c r="H4080" t="s">
        <v>5117</v>
      </c>
    </row>
    <row r="4081">
      <c r="H4081" t="s">
        <v>5117</v>
      </c>
    </row>
    <row r="4082">
      <c r="H4082" t="s">
        <v>5117</v>
      </c>
    </row>
    <row r="4083">
      <c r="H4083" t="s">
        <v>5117</v>
      </c>
    </row>
    <row r="4084">
      <c r="H4084" t="s">
        <v>5117</v>
      </c>
    </row>
    <row r="4085">
      <c r="H4085" t="s">
        <v>5117</v>
      </c>
    </row>
    <row r="4086">
      <c r="H4086" t="s">
        <v>5117</v>
      </c>
    </row>
    <row r="4087">
      <c r="H4087" t="s">
        <v>5117</v>
      </c>
    </row>
    <row r="4088">
      <c r="H4088" t="s">
        <v>5117</v>
      </c>
    </row>
    <row r="4089">
      <c r="H4089" t="s">
        <v>5117</v>
      </c>
    </row>
    <row r="4090">
      <c r="H4090" t="s">
        <v>5117</v>
      </c>
    </row>
    <row r="4091">
      <c r="H4091" t="s">
        <v>5117</v>
      </c>
    </row>
    <row r="4092">
      <c r="H4092" t="s">
        <v>5117</v>
      </c>
    </row>
    <row r="4093">
      <c r="H4093" t="s">
        <v>5117</v>
      </c>
    </row>
    <row r="4094">
      <c r="H4094" t="s">
        <v>5117</v>
      </c>
    </row>
    <row r="4095">
      <c r="H4095" t="s">
        <v>5117</v>
      </c>
    </row>
    <row r="4096">
      <c r="H4096" t="s">
        <v>5117</v>
      </c>
    </row>
    <row r="4097">
      <c r="H4097" t="s">
        <v>5117</v>
      </c>
    </row>
    <row r="4098">
      <c r="H4098" t="s">
        <v>5117</v>
      </c>
    </row>
    <row r="4099">
      <c r="H4099" t="s">
        <v>5117</v>
      </c>
    </row>
    <row r="4100">
      <c r="H4100" t="s">
        <v>5117</v>
      </c>
    </row>
    <row r="4101">
      <c r="H4101" t="s">
        <v>5117</v>
      </c>
    </row>
    <row r="4102">
      <c r="H4102" t="s">
        <v>5117</v>
      </c>
    </row>
    <row r="4103">
      <c r="H4103" t="s">
        <v>5117</v>
      </c>
    </row>
    <row r="4104">
      <c r="H4104" t="s">
        <v>5117</v>
      </c>
    </row>
    <row r="4105">
      <c r="H4105" t="s">
        <v>5117</v>
      </c>
    </row>
    <row r="4106">
      <c r="H4106" t="s">
        <v>5117</v>
      </c>
    </row>
    <row r="4107">
      <c r="H4107" t="s">
        <v>5117</v>
      </c>
    </row>
    <row r="4108">
      <c r="H4108" t="s">
        <v>5117</v>
      </c>
    </row>
    <row r="4109">
      <c r="H4109" t="s">
        <v>5117</v>
      </c>
    </row>
    <row r="4110">
      <c r="H4110" t="s">
        <v>5117</v>
      </c>
    </row>
    <row r="4111">
      <c r="H4111" t="s">
        <v>5117</v>
      </c>
    </row>
    <row r="4112">
      <c r="H4112" t="s">
        <v>5117</v>
      </c>
    </row>
    <row r="4113">
      <c r="H4113" t="s">
        <v>5117</v>
      </c>
    </row>
    <row r="4114">
      <c r="H4114" t="s">
        <v>5117</v>
      </c>
    </row>
    <row r="4115">
      <c r="H4115" t="s">
        <v>5117</v>
      </c>
    </row>
    <row r="4116">
      <c r="H4116" t="s">
        <v>5117</v>
      </c>
    </row>
    <row r="4117">
      <c r="H4117" t="s">
        <v>5117</v>
      </c>
    </row>
    <row r="4118">
      <c r="H4118" t="s">
        <v>5117</v>
      </c>
    </row>
    <row r="4119">
      <c r="H4119" t="s">
        <v>5117</v>
      </c>
    </row>
    <row r="4120">
      <c r="H4120" t="s">
        <v>5117</v>
      </c>
    </row>
    <row r="4121">
      <c r="H4121" t="s">
        <v>5117</v>
      </c>
    </row>
    <row r="4122">
      <c r="H4122" t="s">
        <v>5117</v>
      </c>
    </row>
    <row r="4123">
      <c r="H4123" t="s">
        <v>5117</v>
      </c>
    </row>
    <row r="4124">
      <c r="H4124" t="s">
        <v>5117</v>
      </c>
    </row>
    <row r="4125">
      <c r="H4125" t="s">
        <v>5117</v>
      </c>
    </row>
    <row r="4126">
      <c r="H4126" t="s">
        <v>5117</v>
      </c>
    </row>
    <row r="4127">
      <c r="H4127" t="s">
        <v>5117</v>
      </c>
    </row>
    <row r="4128">
      <c r="H4128" t="s">
        <v>5117</v>
      </c>
    </row>
    <row r="4129">
      <c r="H4129" t="s">
        <v>5117</v>
      </c>
    </row>
    <row r="4130">
      <c r="H4130" t="s">
        <v>5117</v>
      </c>
    </row>
    <row r="4131">
      <c r="H4131" t="s">
        <v>5117</v>
      </c>
    </row>
    <row r="4132">
      <c r="H4132" t="s">
        <v>5117</v>
      </c>
    </row>
    <row r="4133">
      <c r="H4133" t="s">
        <v>5117</v>
      </c>
    </row>
    <row r="4134">
      <c r="H4134" t="s">
        <v>5117</v>
      </c>
    </row>
    <row r="4135">
      <c r="H4135" t="s">
        <v>5117</v>
      </c>
    </row>
    <row r="4136">
      <c r="H4136" t="s">
        <v>5117</v>
      </c>
    </row>
    <row r="4137">
      <c r="H4137" t="s">
        <v>5117</v>
      </c>
    </row>
    <row r="4138">
      <c r="H4138" t="s">
        <v>5117</v>
      </c>
    </row>
    <row r="4139">
      <c r="H4139" t="s">
        <v>5117</v>
      </c>
    </row>
    <row r="4140">
      <c r="H4140" t="s">
        <v>5117</v>
      </c>
    </row>
    <row r="4141">
      <c r="H4141" t="s">
        <v>5117</v>
      </c>
    </row>
    <row r="4142">
      <c r="H4142" t="s">
        <v>5117</v>
      </c>
    </row>
    <row r="4143">
      <c r="H4143" t="s">
        <v>5117</v>
      </c>
    </row>
    <row r="4144">
      <c r="H4144" t="s">
        <v>5117</v>
      </c>
    </row>
    <row r="4145">
      <c r="H4145" t="s">
        <v>5117</v>
      </c>
    </row>
    <row r="4146">
      <c r="H4146" t="s">
        <v>5117</v>
      </c>
    </row>
    <row r="4147">
      <c r="H4147" t="s">
        <v>5117</v>
      </c>
    </row>
    <row r="4148">
      <c r="H4148" t="s">
        <v>5117</v>
      </c>
    </row>
    <row r="4149">
      <c r="H4149" t="s">
        <v>5117</v>
      </c>
    </row>
    <row r="4150">
      <c r="H4150" t="s">
        <v>5117</v>
      </c>
    </row>
    <row r="4151">
      <c r="H4151" t="s">
        <v>5117</v>
      </c>
    </row>
    <row r="4152">
      <c r="H4152" t="s">
        <v>5117</v>
      </c>
    </row>
    <row r="4153">
      <c r="H4153" t="s">
        <v>5117</v>
      </c>
    </row>
    <row r="4154">
      <c r="H4154" t="s">
        <v>5117</v>
      </c>
    </row>
    <row r="4155">
      <c r="H4155" t="s">
        <v>5117</v>
      </c>
    </row>
    <row r="4156">
      <c r="H4156" t="s">
        <v>5117</v>
      </c>
    </row>
    <row r="4157">
      <c r="H4157" t="s">
        <v>5117</v>
      </c>
    </row>
    <row r="4158">
      <c r="H4158" t="s">
        <v>5117</v>
      </c>
    </row>
    <row r="4159">
      <c r="H4159" t="s">
        <v>5117</v>
      </c>
    </row>
    <row r="4160">
      <c r="H4160" t="s">
        <v>5117</v>
      </c>
    </row>
    <row r="4161">
      <c r="H4161" t="s">
        <v>5117</v>
      </c>
    </row>
    <row r="4162">
      <c r="H4162" t="s">
        <v>5117</v>
      </c>
    </row>
    <row r="4163">
      <c r="H4163" t="s">
        <v>5117</v>
      </c>
    </row>
    <row r="4164">
      <c r="H4164" t="s">
        <v>5117</v>
      </c>
    </row>
    <row r="4165">
      <c r="H4165" t="s">
        <v>5117</v>
      </c>
    </row>
    <row r="4166">
      <c r="H4166" t="s">
        <v>5117</v>
      </c>
    </row>
    <row r="4167">
      <c r="H4167" t="s">
        <v>5117</v>
      </c>
    </row>
    <row r="4168">
      <c r="H4168" t="s">
        <v>5117</v>
      </c>
    </row>
    <row r="4169">
      <c r="H4169" t="s">
        <v>5117</v>
      </c>
    </row>
    <row r="4170">
      <c r="H4170" t="s">
        <v>5117</v>
      </c>
    </row>
    <row r="4171">
      <c r="H4171" t="s">
        <v>5117</v>
      </c>
    </row>
    <row r="4172">
      <c r="H4172" t="s">
        <v>5117</v>
      </c>
    </row>
    <row r="4173">
      <c r="H4173" t="s">
        <v>5117</v>
      </c>
    </row>
    <row r="4174">
      <c r="H4174" t="s">
        <v>5117</v>
      </c>
    </row>
    <row r="4175">
      <c r="H4175" t="s">
        <v>5117</v>
      </c>
    </row>
    <row r="4176">
      <c r="H4176" t="s">
        <v>5117</v>
      </c>
    </row>
    <row r="4177">
      <c r="H4177" t="s">
        <v>5117</v>
      </c>
    </row>
    <row r="4178">
      <c r="H4178" t="s">
        <v>5117</v>
      </c>
    </row>
    <row r="4179">
      <c r="H4179" t="s">
        <v>5117</v>
      </c>
    </row>
    <row r="4180">
      <c r="H4180" t="s">
        <v>5117</v>
      </c>
    </row>
    <row r="4181">
      <c r="H4181" t="s">
        <v>5117</v>
      </c>
    </row>
    <row r="4182">
      <c r="H4182" t="s">
        <v>5117</v>
      </c>
    </row>
    <row r="4183">
      <c r="H4183" t="s">
        <v>5117</v>
      </c>
    </row>
    <row r="4184">
      <c r="H4184" t="s">
        <v>5117</v>
      </c>
    </row>
    <row r="4185">
      <c r="H4185" t="s">
        <v>5117</v>
      </c>
    </row>
    <row r="4186">
      <c r="H4186" t="s">
        <v>5117</v>
      </c>
    </row>
    <row r="4187">
      <c r="H4187" t="s">
        <v>5117</v>
      </c>
    </row>
    <row r="4188">
      <c r="H4188" t="s">
        <v>5117</v>
      </c>
    </row>
    <row r="4189">
      <c r="H4189" t="s">
        <v>5117</v>
      </c>
    </row>
    <row r="4190">
      <c r="H4190" t="s">
        <v>5117</v>
      </c>
    </row>
    <row r="4191">
      <c r="H4191" t="s">
        <v>5117</v>
      </c>
    </row>
    <row r="4192">
      <c r="H4192" t="s">
        <v>5117</v>
      </c>
    </row>
    <row r="4193">
      <c r="H4193" t="s">
        <v>5117</v>
      </c>
    </row>
    <row r="4194">
      <c r="H4194" t="s">
        <v>5117</v>
      </c>
    </row>
    <row r="4195">
      <c r="H4195" t="s">
        <v>5117</v>
      </c>
    </row>
    <row r="4196">
      <c r="H4196" t="s">
        <v>5117</v>
      </c>
    </row>
    <row r="4197">
      <c r="H4197" t="s">
        <v>5117</v>
      </c>
    </row>
    <row r="4198">
      <c r="H4198" t="s">
        <v>5117</v>
      </c>
    </row>
    <row r="4199">
      <c r="H4199" t="s">
        <v>5117</v>
      </c>
    </row>
    <row r="4200">
      <c r="H4200" t="s">
        <v>5117</v>
      </c>
    </row>
    <row r="4201">
      <c r="H4201" t="s">
        <v>5117</v>
      </c>
    </row>
    <row r="4202">
      <c r="H4202" t="s">
        <v>5117</v>
      </c>
    </row>
    <row r="4203">
      <c r="H4203" t="s">
        <v>5117</v>
      </c>
    </row>
    <row r="4204">
      <c r="H4204" t="s">
        <v>5117</v>
      </c>
    </row>
    <row r="4205">
      <c r="H4205" t="s">
        <v>5117</v>
      </c>
    </row>
    <row r="4206">
      <c r="H4206" t="s">
        <v>5117</v>
      </c>
    </row>
    <row r="4207">
      <c r="H4207" t="s">
        <v>5117</v>
      </c>
    </row>
    <row r="4208">
      <c r="H4208" t="s">
        <v>5117</v>
      </c>
    </row>
    <row r="4209">
      <c r="H4209" t="s">
        <v>5117</v>
      </c>
    </row>
    <row r="4210">
      <c r="H4210" t="s">
        <v>5117</v>
      </c>
    </row>
    <row r="4211">
      <c r="H4211" t="s">
        <v>5117</v>
      </c>
    </row>
    <row r="4212">
      <c r="H4212" t="s">
        <v>5117</v>
      </c>
    </row>
    <row r="4213">
      <c r="H4213" t="s">
        <v>5117</v>
      </c>
    </row>
    <row r="4214">
      <c r="H4214" t="s">
        <v>5117</v>
      </c>
    </row>
    <row r="4215">
      <c r="H4215" t="s">
        <v>5117</v>
      </c>
    </row>
    <row r="4216">
      <c r="H4216" t="s">
        <v>5117</v>
      </c>
    </row>
    <row r="4217">
      <c r="H4217" t="s">
        <v>5117</v>
      </c>
    </row>
    <row r="4218">
      <c r="H4218" t="s">
        <v>5117</v>
      </c>
    </row>
    <row r="4219">
      <c r="H4219" t="s">
        <v>5117</v>
      </c>
    </row>
    <row r="4220">
      <c r="H4220" t="s">
        <v>5117</v>
      </c>
    </row>
    <row r="4221">
      <c r="H4221" t="s">
        <v>5117</v>
      </c>
    </row>
    <row r="4222">
      <c r="H4222" t="s">
        <v>5117</v>
      </c>
    </row>
    <row r="4223">
      <c r="H4223" t="s">
        <v>5117</v>
      </c>
    </row>
    <row r="4224">
      <c r="H4224" t="s">
        <v>5117</v>
      </c>
    </row>
    <row r="4225">
      <c r="H4225" t="s">
        <v>5117</v>
      </c>
    </row>
    <row r="4226">
      <c r="H4226" t="s">
        <v>5117</v>
      </c>
    </row>
    <row r="4227">
      <c r="H4227" t="s">
        <v>5117</v>
      </c>
    </row>
    <row r="4228">
      <c r="H4228" t="s">
        <v>5117</v>
      </c>
    </row>
    <row r="4229">
      <c r="H4229" t="s">
        <v>5117</v>
      </c>
    </row>
    <row r="4230">
      <c r="H4230" t="s">
        <v>5117</v>
      </c>
    </row>
    <row r="4231">
      <c r="H4231" t="s">
        <v>5117</v>
      </c>
    </row>
    <row r="4232">
      <c r="H4232" t="s">
        <v>5117</v>
      </c>
    </row>
    <row r="4233">
      <c r="H4233" t="s">
        <v>5117</v>
      </c>
    </row>
    <row r="4234">
      <c r="H4234" t="s">
        <v>5117</v>
      </c>
    </row>
    <row r="4235">
      <c r="H4235" t="s">
        <v>5117</v>
      </c>
    </row>
    <row r="4236">
      <c r="H4236" t="s">
        <v>5117</v>
      </c>
    </row>
    <row r="4237">
      <c r="H4237" t="s">
        <v>5117</v>
      </c>
    </row>
    <row r="4238">
      <c r="H4238" t="s">
        <v>5117</v>
      </c>
    </row>
    <row r="4239">
      <c r="H4239" t="s">
        <v>5117</v>
      </c>
    </row>
    <row r="4240">
      <c r="H4240" t="s">
        <v>5117</v>
      </c>
    </row>
    <row r="4241">
      <c r="H4241" t="s">
        <v>5117</v>
      </c>
    </row>
    <row r="4242">
      <c r="H4242" t="s">
        <v>5117</v>
      </c>
    </row>
    <row r="4243">
      <c r="H4243" t="s">
        <v>5117</v>
      </c>
    </row>
    <row r="4244">
      <c r="H4244" t="s">
        <v>5117</v>
      </c>
    </row>
    <row r="4245">
      <c r="H4245" t="s">
        <v>5117</v>
      </c>
    </row>
    <row r="4246">
      <c r="H4246" t="s">
        <v>5117</v>
      </c>
    </row>
    <row r="4247">
      <c r="H4247" t="s">
        <v>5117</v>
      </c>
    </row>
    <row r="4248">
      <c r="H4248" t="s">
        <v>5117</v>
      </c>
    </row>
    <row r="4249">
      <c r="H4249" t="s">
        <v>5117</v>
      </c>
    </row>
    <row r="4250">
      <c r="H4250" t="s">
        <v>5117</v>
      </c>
    </row>
    <row r="4251">
      <c r="H4251" t="s">
        <v>5117</v>
      </c>
    </row>
    <row r="4252">
      <c r="H4252" t="s">
        <v>5117</v>
      </c>
    </row>
    <row r="4253">
      <c r="H4253" t="s">
        <v>5117</v>
      </c>
    </row>
    <row r="4254">
      <c r="H4254" t="s">
        <v>5117</v>
      </c>
    </row>
    <row r="4255">
      <c r="H4255" t="s">
        <v>5117</v>
      </c>
    </row>
    <row r="4256">
      <c r="H4256" t="s">
        <v>5117</v>
      </c>
    </row>
    <row r="4257">
      <c r="H4257" t="s">
        <v>5117</v>
      </c>
    </row>
    <row r="4258">
      <c r="H4258" t="s">
        <v>5117</v>
      </c>
    </row>
    <row r="4259">
      <c r="H4259" t="s">
        <v>5117</v>
      </c>
    </row>
    <row r="4260">
      <c r="H4260" t="s">
        <v>5117</v>
      </c>
    </row>
    <row r="4261">
      <c r="H4261" t="s">
        <v>5117</v>
      </c>
    </row>
    <row r="4262">
      <c r="H4262" t="s">
        <v>5117</v>
      </c>
    </row>
    <row r="4263">
      <c r="H4263" t="s">
        <v>5117</v>
      </c>
    </row>
    <row r="4264">
      <c r="H4264" t="s">
        <v>5117</v>
      </c>
    </row>
    <row r="4265">
      <c r="H4265" t="s">
        <v>5117</v>
      </c>
    </row>
    <row r="4266">
      <c r="H4266" t="s">
        <v>5117</v>
      </c>
    </row>
    <row r="4267">
      <c r="H4267" t="s">
        <v>5117</v>
      </c>
    </row>
    <row r="4268">
      <c r="H4268" t="s">
        <v>5117</v>
      </c>
    </row>
    <row r="4269">
      <c r="H4269" t="s">
        <v>5117</v>
      </c>
    </row>
    <row r="4270">
      <c r="H4270" t="s">
        <v>5117</v>
      </c>
    </row>
    <row r="4271">
      <c r="H4271" t="s">
        <v>5117</v>
      </c>
    </row>
    <row r="4272">
      <c r="H4272" t="s">
        <v>5117</v>
      </c>
    </row>
    <row r="4273">
      <c r="H4273" t="s">
        <v>5117</v>
      </c>
    </row>
    <row r="4274">
      <c r="H4274" t="s">
        <v>5117</v>
      </c>
    </row>
    <row r="4275">
      <c r="H4275" t="s">
        <v>5117</v>
      </c>
    </row>
    <row r="4276">
      <c r="H4276" t="s">
        <v>5117</v>
      </c>
    </row>
    <row r="4277">
      <c r="H4277" t="s">
        <v>5117</v>
      </c>
    </row>
    <row r="4278">
      <c r="H4278" t="s">
        <v>5117</v>
      </c>
    </row>
    <row r="4279">
      <c r="H4279" t="s">
        <v>5117</v>
      </c>
    </row>
    <row r="4280">
      <c r="H4280" t="s">
        <v>5117</v>
      </c>
    </row>
    <row r="4281">
      <c r="H4281" t="s">
        <v>5117</v>
      </c>
    </row>
    <row r="4282">
      <c r="H4282" t="s">
        <v>5117</v>
      </c>
    </row>
    <row r="4283">
      <c r="H4283" t="s">
        <v>5117</v>
      </c>
    </row>
    <row r="4284">
      <c r="H4284" t="s">
        <v>5117</v>
      </c>
    </row>
    <row r="4285">
      <c r="H4285" t="s">
        <v>5117</v>
      </c>
    </row>
    <row r="4286">
      <c r="H4286" t="s">
        <v>5117</v>
      </c>
    </row>
    <row r="4287">
      <c r="H4287" t="s">
        <v>5117</v>
      </c>
    </row>
    <row r="4288">
      <c r="H4288" t="s">
        <v>5117</v>
      </c>
    </row>
    <row r="4289">
      <c r="H4289" t="s">
        <v>5117</v>
      </c>
    </row>
    <row r="4290">
      <c r="H4290" t="s">
        <v>5117</v>
      </c>
    </row>
    <row r="4291">
      <c r="H4291" t="s">
        <v>5117</v>
      </c>
    </row>
    <row r="4292">
      <c r="H4292" t="s">
        <v>5117</v>
      </c>
    </row>
    <row r="4293">
      <c r="H4293" t="s">
        <v>5117</v>
      </c>
    </row>
    <row r="4294">
      <c r="H4294" t="s">
        <v>5117</v>
      </c>
    </row>
    <row r="4295">
      <c r="H4295" t="s">
        <v>5117</v>
      </c>
    </row>
    <row r="4296">
      <c r="H4296" t="s">
        <v>5117</v>
      </c>
    </row>
    <row r="4297">
      <c r="H4297" t="s">
        <v>5117</v>
      </c>
    </row>
    <row r="4298">
      <c r="H4298" t="s">
        <v>5117</v>
      </c>
    </row>
    <row r="4299">
      <c r="H4299" t="s">
        <v>5117</v>
      </c>
    </row>
    <row r="4300">
      <c r="H4300" t="s">
        <v>5117</v>
      </c>
    </row>
    <row r="4301">
      <c r="H4301" t="s">
        <v>5117</v>
      </c>
    </row>
    <row r="4302">
      <c r="H4302" t="s">
        <v>5117</v>
      </c>
    </row>
    <row r="4303">
      <c r="H4303" t="s">
        <v>5117</v>
      </c>
    </row>
    <row r="4304">
      <c r="H4304" t="s">
        <v>5117</v>
      </c>
    </row>
    <row r="4305">
      <c r="H4305" t="s">
        <v>5117</v>
      </c>
    </row>
    <row r="4306">
      <c r="H4306" t="s">
        <v>5117</v>
      </c>
    </row>
    <row r="4307">
      <c r="H4307" t="s">
        <v>5117</v>
      </c>
    </row>
    <row r="4308">
      <c r="H4308" t="s">
        <v>5117</v>
      </c>
    </row>
    <row r="4309">
      <c r="H4309" t="s">
        <v>5117</v>
      </c>
    </row>
    <row r="4310">
      <c r="H4310" t="s">
        <v>5117</v>
      </c>
    </row>
    <row r="4311">
      <c r="H4311" t="s">
        <v>5117</v>
      </c>
    </row>
    <row r="4312">
      <c r="H4312" t="s">
        <v>5117</v>
      </c>
    </row>
    <row r="4313">
      <c r="H4313" t="s">
        <v>5117</v>
      </c>
    </row>
    <row r="4314">
      <c r="H4314" t="s">
        <v>5117</v>
      </c>
    </row>
    <row r="4315">
      <c r="H4315" t="s">
        <v>5117</v>
      </c>
    </row>
    <row r="4316">
      <c r="H4316" t="s">
        <v>5117</v>
      </c>
    </row>
    <row r="4317">
      <c r="H4317" t="s">
        <v>5117</v>
      </c>
    </row>
    <row r="4318">
      <c r="H4318" t="s">
        <v>5117</v>
      </c>
    </row>
    <row r="4319">
      <c r="H4319" t="s">
        <v>5117</v>
      </c>
    </row>
    <row r="4320">
      <c r="H4320" t="s">
        <v>5117</v>
      </c>
    </row>
    <row r="4321">
      <c r="H4321" t="s">
        <v>5117</v>
      </c>
    </row>
    <row r="4322">
      <c r="H4322" t="s">
        <v>5117</v>
      </c>
    </row>
    <row r="4323">
      <c r="H4323" t="s">
        <v>5117</v>
      </c>
    </row>
    <row r="4324">
      <c r="H4324" t="s">
        <v>5117</v>
      </c>
    </row>
    <row r="4325">
      <c r="H4325" t="s">
        <v>5117</v>
      </c>
    </row>
    <row r="4326">
      <c r="H4326" t="s">
        <v>5117</v>
      </c>
    </row>
    <row r="4327">
      <c r="H4327" t="s">
        <v>5117</v>
      </c>
    </row>
    <row r="4328">
      <c r="H4328" t="s">
        <v>5117</v>
      </c>
    </row>
    <row r="4329">
      <c r="H4329" t="s">
        <v>5117</v>
      </c>
    </row>
    <row r="4330">
      <c r="H4330" t="s">
        <v>5117</v>
      </c>
    </row>
    <row r="4331">
      <c r="H4331" t="s">
        <v>5117</v>
      </c>
    </row>
    <row r="4332">
      <c r="H4332" t="s">
        <v>5117</v>
      </c>
    </row>
    <row r="4333">
      <c r="H4333" t="s">
        <v>5117</v>
      </c>
    </row>
    <row r="4334">
      <c r="H4334" t="s">
        <v>5117</v>
      </c>
    </row>
    <row r="4335">
      <c r="H4335" t="s">
        <v>5117</v>
      </c>
    </row>
    <row r="4336">
      <c r="H4336" t="s">
        <v>5117</v>
      </c>
    </row>
    <row r="4337">
      <c r="H4337" t="s">
        <v>5117</v>
      </c>
    </row>
    <row r="4338">
      <c r="H4338" t="s">
        <v>5117</v>
      </c>
    </row>
    <row r="4339">
      <c r="H4339" t="s">
        <v>5117</v>
      </c>
    </row>
    <row r="4340">
      <c r="H4340" t="s">
        <v>5117</v>
      </c>
    </row>
    <row r="4341">
      <c r="H4341" t="s">
        <v>5117</v>
      </c>
    </row>
    <row r="4342">
      <c r="H4342" t="s">
        <v>5117</v>
      </c>
    </row>
    <row r="4343">
      <c r="H4343" t="s">
        <v>5117</v>
      </c>
    </row>
    <row r="4344">
      <c r="H4344" t="s">
        <v>5117</v>
      </c>
    </row>
    <row r="4345">
      <c r="H4345" t="s">
        <v>5117</v>
      </c>
    </row>
    <row r="4346">
      <c r="H4346" t="s">
        <v>5117</v>
      </c>
    </row>
    <row r="4347">
      <c r="H4347" t="s">
        <v>5117</v>
      </c>
    </row>
    <row r="4348">
      <c r="H4348" t="s">
        <v>5117</v>
      </c>
    </row>
    <row r="4349">
      <c r="H4349" t="s">
        <v>5117</v>
      </c>
    </row>
    <row r="4350">
      <c r="H4350" t="s">
        <v>5117</v>
      </c>
    </row>
    <row r="4351">
      <c r="H4351" t="s">
        <v>5117</v>
      </c>
    </row>
    <row r="4352">
      <c r="H4352" t="s">
        <v>5117</v>
      </c>
    </row>
    <row r="4353">
      <c r="H4353" t="s">
        <v>5117</v>
      </c>
    </row>
    <row r="4354">
      <c r="H4354" t="s">
        <v>5117</v>
      </c>
    </row>
    <row r="4355">
      <c r="H4355" t="s">
        <v>5117</v>
      </c>
    </row>
    <row r="4356">
      <c r="H4356" t="s">
        <v>5117</v>
      </c>
    </row>
    <row r="4357">
      <c r="H4357" t="s">
        <v>5117</v>
      </c>
    </row>
    <row r="4358">
      <c r="H4358" t="s">
        <v>5117</v>
      </c>
    </row>
    <row r="4359">
      <c r="H4359" t="s">
        <v>5117</v>
      </c>
    </row>
    <row r="4360">
      <c r="H4360" t="s">
        <v>5117</v>
      </c>
    </row>
    <row r="4361">
      <c r="H4361" t="s">
        <v>5117</v>
      </c>
    </row>
    <row r="4362">
      <c r="H4362" t="s">
        <v>5117</v>
      </c>
    </row>
    <row r="4363">
      <c r="H4363" t="s">
        <v>5117</v>
      </c>
    </row>
    <row r="4364">
      <c r="H4364" t="s">
        <v>5117</v>
      </c>
    </row>
    <row r="4365">
      <c r="H4365" t="s">
        <v>5117</v>
      </c>
    </row>
    <row r="4366">
      <c r="H4366" t="s">
        <v>5117</v>
      </c>
    </row>
    <row r="4367">
      <c r="H4367" t="s">
        <v>5117</v>
      </c>
    </row>
    <row r="4368">
      <c r="H4368" t="s">
        <v>5117</v>
      </c>
    </row>
    <row r="4369">
      <c r="H4369" t="s">
        <v>5117</v>
      </c>
    </row>
    <row r="4370">
      <c r="H4370" t="s">
        <v>5117</v>
      </c>
    </row>
    <row r="4371">
      <c r="H4371" t="s">
        <v>5117</v>
      </c>
    </row>
    <row r="4372">
      <c r="H4372" t="s">
        <v>5117</v>
      </c>
    </row>
    <row r="4373">
      <c r="H4373" t="s">
        <v>5117</v>
      </c>
    </row>
    <row r="4374">
      <c r="H4374" t="s">
        <v>5117</v>
      </c>
    </row>
    <row r="4375">
      <c r="H4375" t="s">
        <v>5117</v>
      </c>
    </row>
    <row r="4376">
      <c r="H4376" t="s">
        <v>5117</v>
      </c>
    </row>
    <row r="4377">
      <c r="H4377" t="s">
        <v>5117</v>
      </c>
    </row>
    <row r="4378">
      <c r="H4378" t="s">
        <v>5117</v>
      </c>
    </row>
    <row r="4379">
      <c r="H4379" t="s">
        <v>5117</v>
      </c>
    </row>
    <row r="4380">
      <c r="H4380" t="s">
        <v>5117</v>
      </c>
    </row>
    <row r="4381">
      <c r="H4381" t="s">
        <v>5117</v>
      </c>
    </row>
    <row r="4382">
      <c r="H4382" t="s">
        <v>5117</v>
      </c>
    </row>
    <row r="4383">
      <c r="H4383" t="s">
        <v>5117</v>
      </c>
    </row>
    <row r="4384">
      <c r="H4384" t="s">
        <v>5117</v>
      </c>
    </row>
    <row r="4385">
      <c r="H4385" t="s">
        <v>5117</v>
      </c>
    </row>
    <row r="4386">
      <c r="H4386" t="s">
        <v>5117</v>
      </c>
    </row>
    <row r="4387">
      <c r="H4387" t="s">
        <v>5117</v>
      </c>
    </row>
    <row r="4388">
      <c r="H4388" t="s">
        <v>5117</v>
      </c>
    </row>
    <row r="4389">
      <c r="H4389" t="s">
        <v>5117</v>
      </c>
    </row>
    <row r="4390">
      <c r="H4390" t="s">
        <v>5117</v>
      </c>
    </row>
    <row r="4391">
      <c r="H4391" t="s">
        <v>5117</v>
      </c>
    </row>
    <row r="4392">
      <c r="H4392" t="s">
        <v>5117</v>
      </c>
    </row>
    <row r="4393">
      <c r="H4393" t="s">
        <v>5117</v>
      </c>
    </row>
    <row r="4394">
      <c r="H4394" t="s">
        <v>5117</v>
      </c>
    </row>
    <row r="4395">
      <c r="H4395" t="s">
        <v>5117</v>
      </c>
    </row>
    <row r="4396">
      <c r="H4396" t="s">
        <v>5117</v>
      </c>
    </row>
    <row r="4397">
      <c r="H4397" t="s">
        <v>5117</v>
      </c>
    </row>
    <row r="4398">
      <c r="H4398" t="s">
        <v>5117</v>
      </c>
    </row>
    <row r="4399">
      <c r="H4399" t="s">
        <v>5117</v>
      </c>
    </row>
    <row r="4400">
      <c r="H4400" t="s">
        <v>5117</v>
      </c>
    </row>
    <row r="4401">
      <c r="H4401" t="s">
        <v>5117</v>
      </c>
    </row>
    <row r="4402">
      <c r="H4402" t="s">
        <v>5117</v>
      </c>
    </row>
    <row r="4403">
      <c r="H4403" t="s">
        <v>5117</v>
      </c>
    </row>
    <row r="4404">
      <c r="H4404" t="s">
        <v>5117</v>
      </c>
    </row>
    <row r="4405">
      <c r="H4405" t="s">
        <v>5117</v>
      </c>
    </row>
    <row r="4406">
      <c r="H4406" t="s">
        <v>5117</v>
      </c>
    </row>
    <row r="4407">
      <c r="H4407" t="s">
        <v>5117</v>
      </c>
    </row>
    <row r="4408">
      <c r="H4408" t="s">
        <v>5117</v>
      </c>
    </row>
    <row r="4409">
      <c r="H4409" t="s">
        <v>5117</v>
      </c>
    </row>
    <row r="4410">
      <c r="H4410" t="s">
        <v>5117</v>
      </c>
    </row>
    <row r="4411">
      <c r="H4411" t="s">
        <v>5117</v>
      </c>
    </row>
    <row r="4412">
      <c r="H4412" t="s">
        <v>5117</v>
      </c>
    </row>
    <row r="4413">
      <c r="H4413" t="s">
        <v>5117</v>
      </c>
    </row>
    <row r="4414">
      <c r="H4414" t="s">
        <v>5117</v>
      </c>
    </row>
    <row r="4415">
      <c r="H4415" t="s">
        <v>5117</v>
      </c>
    </row>
    <row r="4416">
      <c r="H4416" t="s">
        <v>5117</v>
      </c>
    </row>
    <row r="4417">
      <c r="H4417" t="s">
        <v>5117</v>
      </c>
    </row>
    <row r="4418">
      <c r="H4418" t="s">
        <v>5117</v>
      </c>
    </row>
    <row r="4419">
      <c r="H4419" t="s">
        <v>5117</v>
      </c>
    </row>
    <row r="4420">
      <c r="H4420" t="s">
        <v>5117</v>
      </c>
    </row>
    <row r="4421">
      <c r="H4421" t="s">
        <v>5117</v>
      </c>
    </row>
    <row r="4422">
      <c r="H4422" t="s">
        <v>5117</v>
      </c>
    </row>
    <row r="4423">
      <c r="H4423" t="s">
        <v>5117</v>
      </c>
    </row>
    <row r="4424">
      <c r="H4424" t="s">
        <v>5117</v>
      </c>
    </row>
    <row r="4425">
      <c r="H4425" t="s">
        <v>5117</v>
      </c>
    </row>
    <row r="4426">
      <c r="H4426" t="s">
        <v>5117</v>
      </c>
    </row>
    <row r="4427">
      <c r="H4427" t="s">
        <v>5117</v>
      </c>
    </row>
    <row r="4428">
      <c r="H4428" t="s">
        <v>5117</v>
      </c>
    </row>
    <row r="4429">
      <c r="H4429" t="s">
        <v>5117</v>
      </c>
    </row>
    <row r="4430">
      <c r="H4430" t="s">
        <v>5117</v>
      </c>
    </row>
    <row r="4431">
      <c r="H4431" t="s">
        <v>5117</v>
      </c>
    </row>
    <row r="4432">
      <c r="H4432" t="s">
        <v>5117</v>
      </c>
    </row>
    <row r="4433">
      <c r="H4433" t="s">
        <v>5117</v>
      </c>
    </row>
    <row r="4434">
      <c r="H4434" t="s">
        <v>5117</v>
      </c>
    </row>
    <row r="4435">
      <c r="H4435" t="s">
        <v>5117</v>
      </c>
    </row>
    <row r="4436">
      <c r="H4436" t="s">
        <v>5117</v>
      </c>
    </row>
    <row r="4437">
      <c r="H4437" t="s">
        <v>5117</v>
      </c>
    </row>
    <row r="4438">
      <c r="H4438" t="s">
        <v>5117</v>
      </c>
    </row>
    <row r="4439">
      <c r="H4439" t="s">
        <v>5117</v>
      </c>
    </row>
    <row r="4440">
      <c r="H4440" t="s">
        <v>5117</v>
      </c>
    </row>
    <row r="4441">
      <c r="H4441" t="s">
        <v>5117</v>
      </c>
    </row>
    <row r="4442">
      <c r="H4442" t="s">
        <v>5117</v>
      </c>
    </row>
    <row r="4443">
      <c r="H4443" t="s">
        <v>5117</v>
      </c>
    </row>
    <row r="4444">
      <c r="H4444" t="s">
        <v>5117</v>
      </c>
    </row>
    <row r="4445">
      <c r="H4445" t="s">
        <v>5117</v>
      </c>
    </row>
    <row r="4446">
      <c r="H4446" t="s">
        <v>5117</v>
      </c>
    </row>
    <row r="4447">
      <c r="H4447" t="s">
        <v>5117</v>
      </c>
    </row>
    <row r="4448">
      <c r="H4448" t="s">
        <v>5117</v>
      </c>
    </row>
    <row r="4449">
      <c r="H4449" t="s">
        <v>5117</v>
      </c>
    </row>
    <row r="4450">
      <c r="H4450" t="s">
        <v>5117</v>
      </c>
    </row>
    <row r="4451">
      <c r="H4451" t="s">
        <v>5117</v>
      </c>
    </row>
    <row r="4452">
      <c r="H4452" t="s">
        <v>5117</v>
      </c>
    </row>
    <row r="4453">
      <c r="H4453" t="s">
        <v>5117</v>
      </c>
    </row>
    <row r="4454">
      <c r="H4454" t="s">
        <v>5117</v>
      </c>
    </row>
    <row r="4455">
      <c r="H4455" t="s">
        <v>5117</v>
      </c>
    </row>
    <row r="4456">
      <c r="H4456" t="s">
        <v>5117</v>
      </c>
    </row>
    <row r="4457">
      <c r="H4457" t="s">
        <v>5117</v>
      </c>
    </row>
    <row r="4458">
      <c r="H4458" t="s">
        <v>5117</v>
      </c>
    </row>
    <row r="4459">
      <c r="H4459" t="s">
        <v>5117</v>
      </c>
    </row>
    <row r="4460">
      <c r="H4460" t="s">
        <v>5117</v>
      </c>
    </row>
    <row r="4461">
      <c r="H4461" t="s">
        <v>5117</v>
      </c>
    </row>
    <row r="4462">
      <c r="H4462" t="s">
        <v>5117</v>
      </c>
    </row>
    <row r="4463">
      <c r="H4463" t="s">
        <v>5117</v>
      </c>
    </row>
    <row r="4464">
      <c r="H4464" t="s">
        <v>5117</v>
      </c>
    </row>
    <row r="4465">
      <c r="H4465" t="s">
        <v>5117</v>
      </c>
    </row>
    <row r="4466">
      <c r="H4466" t="s">
        <v>5117</v>
      </c>
    </row>
    <row r="4467">
      <c r="H4467" t="s">
        <v>5117</v>
      </c>
    </row>
    <row r="4468">
      <c r="H4468" t="s">
        <v>5117</v>
      </c>
    </row>
    <row r="4469">
      <c r="H4469" t="s">
        <v>5117</v>
      </c>
    </row>
    <row r="4470">
      <c r="H4470" t="s">
        <v>5117</v>
      </c>
    </row>
    <row r="4471">
      <c r="H4471" t="s">
        <v>5117</v>
      </c>
    </row>
    <row r="4472">
      <c r="H4472" t="s">
        <v>5117</v>
      </c>
    </row>
    <row r="4473">
      <c r="H4473" t="s">
        <v>5117</v>
      </c>
    </row>
    <row r="4474">
      <c r="H4474" t="s">
        <v>5117</v>
      </c>
    </row>
    <row r="4475">
      <c r="H4475" t="s">
        <v>5117</v>
      </c>
    </row>
    <row r="4476">
      <c r="H4476" t="s">
        <v>5117</v>
      </c>
    </row>
    <row r="4477">
      <c r="H4477" t="s">
        <v>5117</v>
      </c>
    </row>
    <row r="4478">
      <c r="H4478" t="s">
        <v>5117</v>
      </c>
    </row>
    <row r="4479">
      <c r="H4479" t="s">
        <v>5117</v>
      </c>
    </row>
    <row r="4480">
      <c r="H4480" t="s">
        <v>5117</v>
      </c>
    </row>
    <row r="4481">
      <c r="H4481" t="s">
        <v>5117</v>
      </c>
    </row>
    <row r="4482">
      <c r="H4482" t="s">
        <v>5117</v>
      </c>
    </row>
    <row r="4483">
      <c r="H4483" t="s">
        <v>5117</v>
      </c>
    </row>
    <row r="4484">
      <c r="H4484" t="s">
        <v>5117</v>
      </c>
    </row>
    <row r="4485">
      <c r="H4485" t="s">
        <v>5117</v>
      </c>
    </row>
    <row r="4486">
      <c r="H4486" t="s">
        <v>5117</v>
      </c>
    </row>
    <row r="4487">
      <c r="H4487" t="s">
        <v>5117</v>
      </c>
    </row>
    <row r="4488">
      <c r="H4488" t="s">
        <v>5117</v>
      </c>
    </row>
    <row r="4489">
      <c r="H4489" t="s">
        <v>5117</v>
      </c>
    </row>
    <row r="4490">
      <c r="H4490" t="s">
        <v>5117</v>
      </c>
    </row>
    <row r="4491">
      <c r="H4491" t="s">
        <v>5117</v>
      </c>
    </row>
    <row r="4492">
      <c r="H4492" t="s">
        <v>5117</v>
      </c>
    </row>
    <row r="4493">
      <c r="H4493" t="s">
        <v>5117</v>
      </c>
    </row>
    <row r="4494">
      <c r="H4494" t="s">
        <v>5117</v>
      </c>
    </row>
    <row r="4495">
      <c r="H4495" t="s">
        <v>5117</v>
      </c>
    </row>
    <row r="4496">
      <c r="H4496" t="s">
        <v>5117</v>
      </c>
    </row>
    <row r="4497">
      <c r="H4497" t="s">
        <v>5117</v>
      </c>
    </row>
    <row r="4498">
      <c r="H4498" t="s">
        <v>5117</v>
      </c>
    </row>
    <row r="4499">
      <c r="H4499" t="s">
        <v>5117</v>
      </c>
    </row>
    <row r="4500">
      <c r="H4500" t="s">
        <v>5117</v>
      </c>
    </row>
    <row r="4501">
      <c r="H4501" t="s">
        <v>5117</v>
      </c>
    </row>
    <row r="4502">
      <c r="H4502" t="s">
        <v>5117</v>
      </c>
    </row>
    <row r="4503">
      <c r="H4503" t="s">
        <v>5117</v>
      </c>
    </row>
    <row r="4504">
      <c r="H4504" t="s">
        <v>5117</v>
      </c>
    </row>
    <row r="4505">
      <c r="H4505" t="s">
        <v>5117</v>
      </c>
    </row>
    <row r="4506">
      <c r="H4506" t="s">
        <v>5117</v>
      </c>
    </row>
    <row r="4507">
      <c r="H4507" t="s">
        <v>5117</v>
      </c>
    </row>
    <row r="4508">
      <c r="H4508" t="s">
        <v>5117</v>
      </c>
    </row>
    <row r="4509">
      <c r="H4509" t="s">
        <v>5117</v>
      </c>
    </row>
    <row r="4510">
      <c r="H4510" t="s">
        <v>5117</v>
      </c>
    </row>
    <row r="4511">
      <c r="H4511" t="s">
        <v>5117</v>
      </c>
    </row>
    <row r="4512">
      <c r="H4512" t="s">
        <v>5117</v>
      </c>
    </row>
    <row r="4513">
      <c r="H4513" t="s">
        <v>5117</v>
      </c>
    </row>
    <row r="4514">
      <c r="H4514" t="s">
        <v>5117</v>
      </c>
    </row>
    <row r="4515">
      <c r="H4515" t="s">
        <v>5117</v>
      </c>
    </row>
    <row r="4516">
      <c r="H4516" t="s">
        <v>5117</v>
      </c>
    </row>
    <row r="4517">
      <c r="H4517" t="s">
        <v>5117</v>
      </c>
    </row>
    <row r="4518">
      <c r="H4518" t="s">
        <v>5117</v>
      </c>
    </row>
    <row r="4519">
      <c r="H4519" t="s">
        <v>5117</v>
      </c>
    </row>
    <row r="4520">
      <c r="H4520" t="s">
        <v>5117</v>
      </c>
    </row>
    <row r="4521">
      <c r="H4521" t="s">
        <v>5117</v>
      </c>
    </row>
    <row r="4522">
      <c r="H4522" t="s">
        <v>5117</v>
      </c>
    </row>
    <row r="4523">
      <c r="H4523" t="s">
        <v>5117</v>
      </c>
    </row>
    <row r="4524">
      <c r="H4524" t="s">
        <v>5117</v>
      </c>
    </row>
    <row r="4525">
      <c r="H4525" t="s">
        <v>5117</v>
      </c>
    </row>
    <row r="4526">
      <c r="H4526" t="s">
        <v>5117</v>
      </c>
    </row>
    <row r="4527">
      <c r="H4527" t="s">
        <v>5117</v>
      </c>
    </row>
    <row r="4528">
      <c r="H4528" t="s">
        <v>5117</v>
      </c>
    </row>
    <row r="4529">
      <c r="H4529" t="s">
        <v>5117</v>
      </c>
    </row>
    <row r="4530">
      <c r="H4530" t="s">
        <v>5117</v>
      </c>
    </row>
    <row r="4531">
      <c r="H4531" t="s">
        <v>5117</v>
      </c>
    </row>
    <row r="4532">
      <c r="H4532" t="s">
        <v>5117</v>
      </c>
    </row>
    <row r="4533">
      <c r="H4533" t="s">
        <v>5117</v>
      </c>
    </row>
    <row r="4534">
      <c r="H4534" t="s">
        <v>5117</v>
      </c>
    </row>
    <row r="4535">
      <c r="H4535" t="s">
        <v>5117</v>
      </c>
    </row>
    <row r="4536">
      <c r="H4536" t="s">
        <v>5117</v>
      </c>
    </row>
    <row r="4537">
      <c r="H4537" t="s">
        <v>5117</v>
      </c>
    </row>
    <row r="4538">
      <c r="H4538" t="s">
        <v>5117</v>
      </c>
    </row>
    <row r="4539">
      <c r="H4539" t="s">
        <v>5117</v>
      </c>
    </row>
    <row r="4540">
      <c r="H4540" t="s">
        <v>5117</v>
      </c>
    </row>
    <row r="4541">
      <c r="H4541" t="s">
        <v>5117</v>
      </c>
    </row>
    <row r="4542">
      <c r="H4542" t="s">
        <v>5117</v>
      </c>
    </row>
    <row r="4543">
      <c r="H4543" t="s">
        <v>5117</v>
      </c>
    </row>
    <row r="4544">
      <c r="H4544" t="s">
        <v>5117</v>
      </c>
    </row>
    <row r="4545">
      <c r="H4545" t="s">
        <v>5117</v>
      </c>
    </row>
    <row r="4546">
      <c r="H4546" t="s">
        <v>5117</v>
      </c>
    </row>
    <row r="4547">
      <c r="H4547" t="s">
        <v>5117</v>
      </c>
    </row>
    <row r="4548">
      <c r="H4548" t="s">
        <v>5117</v>
      </c>
    </row>
    <row r="4549">
      <c r="H4549" t="s">
        <v>5117</v>
      </c>
    </row>
    <row r="4550">
      <c r="H4550" t="s">
        <v>5117</v>
      </c>
    </row>
    <row r="4551">
      <c r="H4551" t="s">
        <v>5117</v>
      </c>
    </row>
    <row r="4552">
      <c r="H4552" t="s">
        <v>5117</v>
      </c>
    </row>
    <row r="4553">
      <c r="H4553" t="s">
        <v>5117</v>
      </c>
    </row>
    <row r="4554">
      <c r="H4554" t="s">
        <v>5117</v>
      </c>
    </row>
    <row r="4555">
      <c r="H4555" t="s">
        <v>5117</v>
      </c>
    </row>
    <row r="4556">
      <c r="H4556" t="s">
        <v>5117</v>
      </c>
    </row>
    <row r="4557">
      <c r="H4557" t="s">
        <v>5117</v>
      </c>
    </row>
    <row r="4558">
      <c r="H4558" t="s">
        <v>5117</v>
      </c>
    </row>
    <row r="4559">
      <c r="H4559" t="s">
        <v>5117</v>
      </c>
    </row>
    <row r="4560">
      <c r="H4560" t="s">
        <v>5117</v>
      </c>
    </row>
    <row r="4561">
      <c r="H4561" t="s">
        <v>5117</v>
      </c>
    </row>
    <row r="4562">
      <c r="H4562" t="s">
        <v>5117</v>
      </c>
    </row>
    <row r="4563">
      <c r="H4563" t="s">
        <v>5117</v>
      </c>
    </row>
    <row r="4564">
      <c r="H4564" t="s">
        <v>5117</v>
      </c>
    </row>
    <row r="4565">
      <c r="H4565" t="s">
        <v>5117</v>
      </c>
    </row>
    <row r="4566">
      <c r="H4566" t="s">
        <v>5117</v>
      </c>
    </row>
    <row r="4567">
      <c r="H4567" t="s">
        <v>5117</v>
      </c>
    </row>
    <row r="4568">
      <c r="H4568" t="s">
        <v>5117</v>
      </c>
    </row>
    <row r="4569">
      <c r="H4569" t="s">
        <v>5117</v>
      </c>
    </row>
    <row r="4570">
      <c r="H4570" t="s">
        <v>5117</v>
      </c>
    </row>
    <row r="4571">
      <c r="H4571" t="s">
        <v>5117</v>
      </c>
    </row>
    <row r="4572">
      <c r="H4572" t="s">
        <v>5117</v>
      </c>
    </row>
    <row r="4573">
      <c r="H4573" t="s">
        <v>5117</v>
      </c>
    </row>
    <row r="4574">
      <c r="H4574" t="s">
        <v>5117</v>
      </c>
    </row>
    <row r="4575">
      <c r="H4575" t="s">
        <v>5117</v>
      </c>
    </row>
    <row r="4576">
      <c r="H4576" t="s">
        <v>5117</v>
      </c>
    </row>
    <row r="4577">
      <c r="H4577" t="s">
        <v>5117</v>
      </c>
    </row>
    <row r="4578">
      <c r="H4578" t="s">
        <v>5117</v>
      </c>
    </row>
    <row r="4579">
      <c r="H4579" t="s">
        <v>5117</v>
      </c>
    </row>
    <row r="4580">
      <c r="H4580" t="s">
        <v>5117</v>
      </c>
    </row>
    <row r="4581">
      <c r="H4581" t="s">
        <v>5117</v>
      </c>
    </row>
    <row r="4582">
      <c r="H4582" t="s">
        <v>5117</v>
      </c>
    </row>
    <row r="4583">
      <c r="H4583" t="s">
        <v>5117</v>
      </c>
    </row>
    <row r="4584">
      <c r="H4584" t="s">
        <v>5117</v>
      </c>
    </row>
    <row r="4585">
      <c r="H4585" t="s">
        <v>5117</v>
      </c>
    </row>
    <row r="4586">
      <c r="H4586" t="s">
        <v>5117</v>
      </c>
    </row>
    <row r="4587">
      <c r="H4587" t="s">
        <v>5117</v>
      </c>
    </row>
    <row r="4588">
      <c r="H4588" t="s">
        <v>5117</v>
      </c>
    </row>
    <row r="4589">
      <c r="H4589" t="s">
        <v>5117</v>
      </c>
    </row>
    <row r="4590">
      <c r="H4590" t="s">
        <v>5117</v>
      </c>
    </row>
    <row r="4591">
      <c r="H4591" t="s">
        <v>5117</v>
      </c>
    </row>
    <row r="4592">
      <c r="H4592" t="s">
        <v>5117</v>
      </c>
    </row>
    <row r="4593">
      <c r="H4593" t="s">
        <v>5117</v>
      </c>
    </row>
    <row r="4594">
      <c r="H4594" t="s">
        <v>5117</v>
      </c>
    </row>
    <row r="4595">
      <c r="H4595" t="s">
        <v>5117</v>
      </c>
    </row>
    <row r="4596">
      <c r="H4596" t="s">
        <v>5117</v>
      </c>
    </row>
    <row r="4597">
      <c r="H4597" t="s">
        <v>5117</v>
      </c>
    </row>
    <row r="4598">
      <c r="H4598" t="s">
        <v>5117</v>
      </c>
    </row>
    <row r="4599">
      <c r="H4599" t="s">
        <v>5117</v>
      </c>
    </row>
    <row r="4600">
      <c r="H4600" t="s">
        <v>5117</v>
      </c>
    </row>
    <row r="4601">
      <c r="H4601" t="s">
        <v>5117</v>
      </c>
    </row>
    <row r="4602">
      <c r="H4602" t="s">
        <v>5117</v>
      </c>
    </row>
    <row r="4603">
      <c r="H4603" t="s">
        <v>5117</v>
      </c>
    </row>
    <row r="4604">
      <c r="H4604" t="s">
        <v>5117</v>
      </c>
    </row>
    <row r="4605">
      <c r="H4605" t="s">
        <v>5117</v>
      </c>
    </row>
    <row r="4606">
      <c r="H4606" t="s">
        <v>5117</v>
      </c>
    </row>
    <row r="4607">
      <c r="H4607" t="s">
        <v>5117</v>
      </c>
    </row>
    <row r="4608">
      <c r="H4608" t="s">
        <v>5117</v>
      </c>
    </row>
    <row r="4609">
      <c r="H4609" t="s">
        <v>5117</v>
      </c>
    </row>
    <row r="4610">
      <c r="H4610" t="s">
        <v>5117</v>
      </c>
    </row>
    <row r="4611">
      <c r="H4611" t="s">
        <v>5117</v>
      </c>
    </row>
    <row r="4612">
      <c r="H4612" t="s">
        <v>5117</v>
      </c>
    </row>
    <row r="4613">
      <c r="H4613" t="s">
        <v>5117</v>
      </c>
    </row>
    <row r="4614">
      <c r="H4614" t="s">
        <v>5117</v>
      </c>
    </row>
    <row r="4615">
      <c r="H4615" t="s">
        <v>5117</v>
      </c>
    </row>
    <row r="4616">
      <c r="H4616" t="s">
        <v>5117</v>
      </c>
    </row>
    <row r="4617">
      <c r="H4617" t="s">
        <v>5117</v>
      </c>
    </row>
    <row r="4618">
      <c r="H4618" t="s">
        <v>5117</v>
      </c>
    </row>
    <row r="4619">
      <c r="H4619" t="s">
        <v>5117</v>
      </c>
    </row>
    <row r="4620">
      <c r="H4620" t="s">
        <v>5117</v>
      </c>
    </row>
    <row r="4621">
      <c r="H4621" t="s">
        <v>5117</v>
      </c>
    </row>
    <row r="4622">
      <c r="H4622" t="s">
        <v>5117</v>
      </c>
    </row>
    <row r="4623">
      <c r="H4623" t="s">
        <v>5117</v>
      </c>
    </row>
    <row r="4624">
      <c r="H4624" t="s">
        <v>5117</v>
      </c>
    </row>
    <row r="4625">
      <c r="H4625" t="s">
        <v>5117</v>
      </c>
    </row>
    <row r="4626">
      <c r="H4626" t="s">
        <v>5117</v>
      </c>
    </row>
    <row r="4627">
      <c r="H4627" t="s">
        <v>5117</v>
      </c>
    </row>
    <row r="4628">
      <c r="H4628" t="s">
        <v>5117</v>
      </c>
    </row>
    <row r="4629">
      <c r="H4629" t="s">
        <v>5117</v>
      </c>
    </row>
    <row r="4630">
      <c r="H4630" t="s">
        <v>5117</v>
      </c>
    </row>
    <row r="4631">
      <c r="H4631" t="s">
        <v>5117</v>
      </c>
    </row>
    <row r="4632">
      <c r="H4632" t="s">
        <v>5117</v>
      </c>
    </row>
    <row r="4633">
      <c r="H4633" t="s">
        <v>5117</v>
      </c>
    </row>
    <row r="4634">
      <c r="H4634" t="s">
        <v>5117</v>
      </c>
    </row>
    <row r="4635">
      <c r="H4635" t="s">
        <v>5117</v>
      </c>
    </row>
    <row r="4636">
      <c r="H4636" t="s">
        <v>5117</v>
      </c>
    </row>
    <row r="4637">
      <c r="H4637" t="s">
        <v>5117</v>
      </c>
    </row>
    <row r="4638">
      <c r="H4638" t="s">
        <v>5117</v>
      </c>
    </row>
    <row r="4639">
      <c r="H4639" t="s">
        <v>5117</v>
      </c>
    </row>
    <row r="4640">
      <c r="H4640" t="s">
        <v>5117</v>
      </c>
    </row>
    <row r="4641">
      <c r="H4641" t="s">
        <v>5117</v>
      </c>
    </row>
    <row r="4642">
      <c r="H4642" t="s">
        <v>5117</v>
      </c>
    </row>
    <row r="4643">
      <c r="H4643" t="s">
        <v>5117</v>
      </c>
    </row>
    <row r="4644">
      <c r="H4644" t="s">
        <v>5117</v>
      </c>
    </row>
    <row r="4645">
      <c r="H4645" t="s">
        <v>5117</v>
      </c>
    </row>
    <row r="4646">
      <c r="H4646" t="s">
        <v>5117</v>
      </c>
    </row>
    <row r="4647">
      <c r="H4647" t="s">
        <v>5117</v>
      </c>
    </row>
    <row r="4648">
      <c r="H4648" t="s">
        <v>5117</v>
      </c>
    </row>
    <row r="4649">
      <c r="H4649" t="s">
        <v>5117</v>
      </c>
    </row>
    <row r="4650">
      <c r="H4650" t="s">
        <v>5117</v>
      </c>
    </row>
    <row r="4651">
      <c r="H4651" t="s">
        <v>5117</v>
      </c>
    </row>
    <row r="4652">
      <c r="H4652" t="s">
        <v>5117</v>
      </c>
    </row>
    <row r="4653">
      <c r="H4653" t="s">
        <v>5117</v>
      </c>
    </row>
    <row r="4654">
      <c r="H4654" t="s">
        <v>5117</v>
      </c>
    </row>
    <row r="4655">
      <c r="H4655" t="s">
        <v>5117</v>
      </c>
    </row>
    <row r="4656">
      <c r="H4656" t="s">
        <v>5117</v>
      </c>
    </row>
    <row r="4657">
      <c r="H4657" t="s">
        <v>5117</v>
      </c>
    </row>
    <row r="4658">
      <c r="H4658" t="s">
        <v>5117</v>
      </c>
    </row>
    <row r="4659">
      <c r="H4659" t="s">
        <v>5117</v>
      </c>
    </row>
    <row r="4660">
      <c r="H4660" t="s">
        <v>5117</v>
      </c>
    </row>
    <row r="4661">
      <c r="H4661" t="s">
        <v>5117</v>
      </c>
    </row>
    <row r="4662">
      <c r="H4662" t="s">
        <v>5117</v>
      </c>
    </row>
    <row r="4663">
      <c r="H4663" t="s">
        <v>5117</v>
      </c>
    </row>
    <row r="4664">
      <c r="H4664" t="s">
        <v>5117</v>
      </c>
    </row>
    <row r="4665">
      <c r="H4665" t="s">
        <v>5117</v>
      </c>
    </row>
    <row r="4666">
      <c r="H4666" t="s">
        <v>5117</v>
      </c>
    </row>
    <row r="4667">
      <c r="H4667" t="s">
        <v>5117</v>
      </c>
    </row>
    <row r="4668">
      <c r="H4668" t="s">
        <v>5117</v>
      </c>
    </row>
    <row r="4669">
      <c r="H4669" t="s">
        <v>5117</v>
      </c>
    </row>
    <row r="4670">
      <c r="H4670" t="s">
        <v>5117</v>
      </c>
    </row>
    <row r="4671">
      <c r="H4671" t="s">
        <v>5117</v>
      </c>
    </row>
    <row r="4672">
      <c r="H4672" t="s">
        <v>5117</v>
      </c>
    </row>
    <row r="4673">
      <c r="H4673" t="s">
        <v>5117</v>
      </c>
    </row>
    <row r="4674">
      <c r="H4674" t="s">
        <v>5117</v>
      </c>
    </row>
    <row r="4675">
      <c r="H4675" t="s">
        <v>5117</v>
      </c>
    </row>
    <row r="4676">
      <c r="H4676" t="s">
        <v>5117</v>
      </c>
    </row>
    <row r="4677">
      <c r="H4677" t="s">
        <v>5117</v>
      </c>
    </row>
    <row r="4678">
      <c r="H4678" t="s">
        <v>5117</v>
      </c>
    </row>
    <row r="4679">
      <c r="H4679" t="s">
        <v>5117</v>
      </c>
    </row>
    <row r="4680">
      <c r="H4680" t="s">
        <v>5117</v>
      </c>
    </row>
    <row r="4681">
      <c r="H4681" t="s">
        <v>5117</v>
      </c>
    </row>
    <row r="4682">
      <c r="H4682" t="s">
        <v>5117</v>
      </c>
    </row>
    <row r="4683">
      <c r="H4683" t="s">
        <v>5117</v>
      </c>
    </row>
    <row r="4684">
      <c r="H4684" t="s">
        <v>5117</v>
      </c>
    </row>
    <row r="4685">
      <c r="H4685" t="s">
        <v>5117</v>
      </c>
    </row>
    <row r="4686">
      <c r="H4686" t="s">
        <v>5117</v>
      </c>
    </row>
    <row r="4687">
      <c r="H4687" t="s">
        <v>5117</v>
      </c>
    </row>
    <row r="4688">
      <c r="H4688" t="s">
        <v>5117</v>
      </c>
    </row>
    <row r="4689">
      <c r="H4689" t="s">
        <v>5117</v>
      </c>
    </row>
    <row r="4690">
      <c r="H4690" t="s">
        <v>5117</v>
      </c>
    </row>
    <row r="4691">
      <c r="H4691" t="s">
        <v>5117</v>
      </c>
    </row>
    <row r="4692">
      <c r="H4692" t="s">
        <v>5117</v>
      </c>
    </row>
    <row r="4693">
      <c r="H4693" t="s">
        <v>5117</v>
      </c>
    </row>
    <row r="4694">
      <c r="H4694" t="s">
        <v>5117</v>
      </c>
    </row>
    <row r="4695">
      <c r="H4695" t="s">
        <v>5117</v>
      </c>
    </row>
    <row r="4696">
      <c r="H4696" t="s">
        <v>5117</v>
      </c>
    </row>
    <row r="4697">
      <c r="H4697" t="s">
        <v>5117</v>
      </c>
    </row>
    <row r="4698">
      <c r="H4698" t="s">
        <v>5117</v>
      </c>
    </row>
    <row r="4699">
      <c r="H4699" t="s">
        <v>5117</v>
      </c>
    </row>
    <row r="4700">
      <c r="H4700" t="s">
        <v>5117</v>
      </c>
    </row>
    <row r="4701">
      <c r="H4701" t="s">
        <v>5117</v>
      </c>
    </row>
    <row r="4702">
      <c r="H4702" t="s">
        <v>5117</v>
      </c>
    </row>
    <row r="4703">
      <c r="H4703" t="s">
        <v>5117</v>
      </c>
    </row>
    <row r="4704">
      <c r="H4704" t="s">
        <v>5117</v>
      </c>
    </row>
    <row r="4705">
      <c r="H4705" t="s">
        <v>5117</v>
      </c>
    </row>
    <row r="4706">
      <c r="H4706" t="s">
        <v>5117</v>
      </c>
    </row>
    <row r="4707">
      <c r="H4707" t="s">
        <v>5117</v>
      </c>
    </row>
    <row r="4708">
      <c r="H4708" t="s">
        <v>5117</v>
      </c>
    </row>
    <row r="4709">
      <c r="H4709" t="s">
        <v>5117</v>
      </c>
    </row>
    <row r="4710">
      <c r="H4710" t="s">
        <v>5117</v>
      </c>
    </row>
    <row r="4711">
      <c r="H4711" t="s">
        <v>5117</v>
      </c>
    </row>
    <row r="4712">
      <c r="H4712" t="s">
        <v>5117</v>
      </c>
    </row>
    <row r="4713">
      <c r="H4713" t="s">
        <v>5117</v>
      </c>
    </row>
    <row r="4714">
      <c r="H4714" t="s">
        <v>5117</v>
      </c>
    </row>
    <row r="4715">
      <c r="H4715" t="s">
        <v>5117</v>
      </c>
    </row>
    <row r="4716">
      <c r="H4716" t="s">
        <v>5117</v>
      </c>
    </row>
    <row r="4717">
      <c r="H4717" t="s">
        <v>5117</v>
      </c>
    </row>
    <row r="4718">
      <c r="H4718" t="s">
        <v>5117</v>
      </c>
    </row>
    <row r="4719">
      <c r="H4719" t="s">
        <v>5117</v>
      </c>
    </row>
    <row r="4720">
      <c r="H4720" t="s">
        <v>5117</v>
      </c>
    </row>
    <row r="4721">
      <c r="H4721" t="s">
        <v>5117</v>
      </c>
    </row>
    <row r="4722">
      <c r="H4722" t="s">
        <v>5117</v>
      </c>
    </row>
    <row r="4723">
      <c r="H4723" t="s">
        <v>5117</v>
      </c>
    </row>
    <row r="4724">
      <c r="H4724" t="s">
        <v>5117</v>
      </c>
    </row>
    <row r="4725">
      <c r="H4725" t="s">
        <v>5117</v>
      </c>
    </row>
    <row r="4726">
      <c r="H4726" t="s">
        <v>5117</v>
      </c>
    </row>
    <row r="4727">
      <c r="H4727" t="s">
        <v>5117</v>
      </c>
    </row>
    <row r="4728">
      <c r="H4728" t="s">
        <v>5117</v>
      </c>
    </row>
    <row r="4729">
      <c r="H4729" t="s">
        <v>5117</v>
      </c>
    </row>
    <row r="4730">
      <c r="H4730" t="s">
        <v>5117</v>
      </c>
    </row>
    <row r="4731">
      <c r="H4731" t="s">
        <v>5117</v>
      </c>
    </row>
    <row r="4732">
      <c r="H4732" t="s">
        <v>5117</v>
      </c>
    </row>
    <row r="4733">
      <c r="H4733" t="s">
        <v>5117</v>
      </c>
    </row>
    <row r="4734">
      <c r="H4734" t="s">
        <v>5117</v>
      </c>
    </row>
    <row r="4735">
      <c r="H4735" t="s">
        <v>5117</v>
      </c>
    </row>
    <row r="4736">
      <c r="H4736" t="s">
        <v>5117</v>
      </c>
    </row>
    <row r="4737">
      <c r="H4737" t="s">
        <v>5117</v>
      </c>
    </row>
    <row r="4738">
      <c r="H4738" t="s">
        <v>5117</v>
      </c>
    </row>
    <row r="4739">
      <c r="H4739" t="s">
        <v>5117</v>
      </c>
    </row>
    <row r="4740">
      <c r="H4740" t="s">
        <v>5117</v>
      </c>
    </row>
    <row r="4741">
      <c r="H4741" t="s">
        <v>5117</v>
      </c>
    </row>
    <row r="4742">
      <c r="H4742" t="s">
        <v>5117</v>
      </c>
    </row>
    <row r="4743">
      <c r="H4743" t="s">
        <v>5117</v>
      </c>
    </row>
    <row r="4744">
      <c r="H4744" t="s">
        <v>5117</v>
      </c>
    </row>
    <row r="4745">
      <c r="H4745" t="s">
        <v>5117</v>
      </c>
    </row>
    <row r="4746">
      <c r="H4746" t="s">
        <v>5117</v>
      </c>
    </row>
    <row r="4747">
      <c r="H4747" t="s">
        <v>5117</v>
      </c>
    </row>
    <row r="4748">
      <c r="H4748" t="s">
        <v>5117</v>
      </c>
    </row>
    <row r="4749">
      <c r="H4749" t="s">
        <v>5117</v>
      </c>
    </row>
    <row r="4750">
      <c r="H4750" t="s">
        <v>5117</v>
      </c>
    </row>
    <row r="4751">
      <c r="H4751" t="s">
        <v>5117</v>
      </c>
    </row>
    <row r="4752">
      <c r="H4752" t="s">
        <v>5117</v>
      </c>
    </row>
    <row r="4753">
      <c r="H4753" t="s">
        <v>5117</v>
      </c>
    </row>
    <row r="4754">
      <c r="H4754" t="s">
        <v>5117</v>
      </c>
    </row>
    <row r="4755">
      <c r="H4755" t="s">
        <v>5117</v>
      </c>
    </row>
    <row r="4756">
      <c r="H4756" t="s">
        <v>5117</v>
      </c>
    </row>
    <row r="4757">
      <c r="H4757" t="s">
        <v>5117</v>
      </c>
    </row>
    <row r="4758">
      <c r="H4758" t="s">
        <v>5117</v>
      </c>
    </row>
    <row r="4759">
      <c r="H4759" t="s">
        <v>5117</v>
      </c>
    </row>
    <row r="4760">
      <c r="H4760" t="s">
        <v>5117</v>
      </c>
    </row>
    <row r="4761">
      <c r="H4761" t="s">
        <v>5117</v>
      </c>
    </row>
    <row r="4762">
      <c r="H4762" t="s">
        <v>5117</v>
      </c>
    </row>
    <row r="4763">
      <c r="H4763" t="s">
        <v>5117</v>
      </c>
    </row>
    <row r="4764">
      <c r="H4764" t="s">
        <v>5117</v>
      </c>
    </row>
    <row r="4765">
      <c r="H4765" t="s">
        <v>5117</v>
      </c>
    </row>
    <row r="4766">
      <c r="H4766" t="s">
        <v>5117</v>
      </c>
    </row>
    <row r="4767">
      <c r="H4767" t="s">
        <v>5117</v>
      </c>
    </row>
    <row r="4768">
      <c r="H4768" t="s">
        <v>5117</v>
      </c>
    </row>
    <row r="4769">
      <c r="H4769" t="s">
        <v>5117</v>
      </c>
    </row>
    <row r="4770">
      <c r="H4770" t="s">
        <v>5117</v>
      </c>
    </row>
    <row r="4771">
      <c r="H4771" t="s">
        <v>5117</v>
      </c>
    </row>
    <row r="4772">
      <c r="H4772" t="s">
        <v>5117</v>
      </c>
    </row>
    <row r="4773">
      <c r="H4773" t="s">
        <v>5117</v>
      </c>
    </row>
    <row r="4774">
      <c r="H4774" t="s">
        <v>5117</v>
      </c>
    </row>
    <row r="4775">
      <c r="H4775" t="s">
        <v>5117</v>
      </c>
    </row>
    <row r="4776">
      <c r="H4776" t="s">
        <v>5117</v>
      </c>
    </row>
    <row r="4777">
      <c r="H4777" t="s">
        <v>5117</v>
      </c>
    </row>
    <row r="4778">
      <c r="H4778" t="s">
        <v>5117</v>
      </c>
    </row>
    <row r="4779">
      <c r="H4779" t="s">
        <v>5117</v>
      </c>
    </row>
    <row r="4780">
      <c r="H4780" t="s">
        <v>5117</v>
      </c>
    </row>
    <row r="4781">
      <c r="H4781" t="s">
        <v>5117</v>
      </c>
    </row>
    <row r="4782">
      <c r="H4782" t="s">
        <v>5117</v>
      </c>
    </row>
    <row r="4783">
      <c r="H4783" t="s">
        <v>5117</v>
      </c>
    </row>
    <row r="4784">
      <c r="H4784" t="s">
        <v>5117</v>
      </c>
    </row>
    <row r="4785">
      <c r="H4785" t="s">
        <v>5117</v>
      </c>
    </row>
    <row r="4786">
      <c r="H4786" t="s">
        <v>5117</v>
      </c>
    </row>
    <row r="4787">
      <c r="H4787" t="s">
        <v>5117</v>
      </c>
    </row>
    <row r="4788">
      <c r="H4788" t="s">
        <v>5117</v>
      </c>
    </row>
    <row r="4789">
      <c r="H4789" t="s">
        <v>5117</v>
      </c>
    </row>
    <row r="4790">
      <c r="H4790" t="s">
        <v>5117</v>
      </c>
    </row>
    <row r="4791">
      <c r="H4791" t="s">
        <v>5117</v>
      </c>
    </row>
    <row r="4792">
      <c r="H4792" t="s">
        <v>5117</v>
      </c>
    </row>
    <row r="4793">
      <c r="H4793" t="s">
        <v>5117</v>
      </c>
    </row>
    <row r="4794">
      <c r="H4794" t="s">
        <v>5117</v>
      </c>
    </row>
    <row r="4795">
      <c r="H4795" t="s">
        <v>5117</v>
      </c>
    </row>
    <row r="4796">
      <c r="H4796" t="s">
        <v>5117</v>
      </c>
    </row>
    <row r="4797">
      <c r="H4797" t="s">
        <v>5117</v>
      </c>
    </row>
    <row r="4798">
      <c r="H4798" t="s">
        <v>5117</v>
      </c>
    </row>
    <row r="4799">
      <c r="H4799" t="s">
        <v>5117</v>
      </c>
    </row>
    <row r="4800">
      <c r="H4800" t="s">
        <v>5117</v>
      </c>
    </row>
    <row r="4801">
      <c r="H4801" t="s">
        <v>5117</v>
      </c>
    </row>
    <row r="4802">
      <c r="H4802" t="s">
        <v>5117</v>
      </c>
    </row>
    <row r="4803">
      <c r="H4803" t="s">
        <v>5117</v>
      </c>
    </row>
    <row r="4804">
      <c r="H4804" t="s">
        <v>5117</v>
      </c>
    </row>
    <row r="4805">
      <c r="H4805" t="s">
        <v>5117</v>
      </c>
    </row>
    <row r="4806">
      <c r="H4806" t="s">
        <v>5117</v>
      </c>
    </row>
    <row r="4807">
      <c r="H4807" t="s">
        <v>5117</v>
      </c>
    </row>
    <row r="4808">
      <c r="H4808" t="s">
        <v>5117</v>
      </c>
    </row>
    <row r="4809">
      <c r="H4809" t="s">
        <v>5117</v>
      </c>
    </row>
    <row r="4810">
      <c r="H4810" t="s">
        <v>5117</v>
      </c>
    </row>
    <row r="4811">
      <c r="H4811" t="s">
        <v>5117</v>
      </c>
    </row>
    <row r="4812">
      <c r="H4812" t="s">
        <v>5117</v>
      </c>
    </row>
    <row r="4813">
      <c r="H4813" t="s">
        <v>5117</v>
      </c>
    </row>
    <row r="4814">
      <c r="H4814" t="s">
        <v>5117</v>
      </c>
    </row>
    <row r="4815">
      <c r="H4815" t="s">
        <v>5117</v>
      </c>
    </row>
    <row r="4816">
      <c r="H4816" t="s">
        <v>5117</v>
      </c>
    </row>
    <row r="4817">
      <c r="H4817" t="s">
        <v>5117</v>
      </c>
    </row>
    <row r="4818">
      <c r="H4818" t="s">
        <v>5117</v>
      </c>
    </row>
    <row r="4819">
      <c r="H4819" t="s">
        <v>5117</v>
      </c>
    </row>
    <row r="4820">
      <c r="H4820" t="s">
        <v>5117</v>
      </c>
    </row>
    <row r="4821">
      <c r="H4821" t="s">
        <v>5117</v>
      </c>
    </row>
    <row r="4822">
      <c r="H4822" t="s">
        <v>5117</v>
      </c>
    </row>
    <row r="4823">
      <c r="H4823" t="s">
        <v>5117</v>
      </c>
    </row>
    <row r="4824">
      <c r="H4824" t="s">
        <v>5117</v>
      </c>
    </row>
    <row r="4825">
      <c r="H4825" t="s">
        <v>5117</v>
      </c>
    </row>
    <row r="4826">
      <c r="H4826" t="s">
        <v>5117</v>
      </c>
    </row>
    <row r="4827">
      <c r="H4827" t="s">
        <v>5117</v>
      </c>
    </row>
    <row r="4828">
      <c r="H4828" t="s">
        <v>5117</v>
      </c>
    </row>
    <row r="4829">
      <c r="H4829" t="s">
        <v>5117</v>
      </c>
    </row>
    <row r="4830">
      <c r="H4830" t="s">
        <v>5117</v>
      </c>
    </row>
    <row r="4831">
      <c r="H4831" t="s">
        <v>5117</v>
      </c>
    </row>
    <row r="4832">
      <c r="H4832" t="s">
        <v>5117</v>
      </c>
    </row>
    <row r="4833">
      <c r="H4833" t="s">
        <v>5117</v>
      </c>
    </row>
    <row r="4834">
      <c r="H4834" t="s">
        <v>5117</v>
      </c>
    </row>
    <row r="4835">
      <c r="H4835" t="s">
        <v>5117</v>
      </c>
    </row>
    <row r="4836">
      <c r="H4836" t="s">
        <v>5117</v>
      </c>
    </row>
    <row r="4837">
      <c r="H4837" t="s">
        <v>5117</v>
      </c>
    </row>
    <row r="4838">
      <c r="H4838" t="s">
        <v>5117</v>
      </c>
    </row>
    <row r="4839">
      <c r="H4839" t="s">
        <v>5117</v>
      </c>
    </row>
    <row r="4840">
      <c r="H4840" t="s">
        <v>5117</v>
      </c>
    </row>
    <row r="4841">
      <c r="H4841" t="s">
        <v>5117</v>
      </c>
    </row>
    <row r="4842">
      <c r="H4842" t="s">
        <v>5117</v>
      </c>
    </row>
    <row r="4843">
      <c r="H4843" t="s">
        <v>5117</v>
      </c>
    </row>
    <row r="4844">
      <c r="H4844" t="s">
        <v>5117</v>
      </c>
    </row>
    <row r="4845">
      <c r="H4845" t="s">
        <v>5117</v>
      </c>
    </row>
    <row r="4846">
      <c r="H4846" t="s">
        <v>5117</v>
      </c>
    </row>
    <row r="4847">
      <c r="H4847" t="s">
        <v>5117</v>
      </c>
    </row>
    <row r="4848">
      <c r="H4848" t="s">
        <v>5117</v>
      </c>
    </row>
    <row r="4849">
      <c r="H4849" t="s">
        <v>5117</v>
      </c>
    </row>
    <row r="4850">
      <c r="H4850" t="s">
        <v>5117</v>
      </c>
    </row>
    <row r="4851">
      <c r="H4851" t="s">
        <v>5117</v>
      </c>
    </row>
    <row r="4852">
      <c r="H4852" t="s">
        <v>5117</v>
      </c>
    </row>
    <row r="4853">
      <c r="H4853" t="s">
        <v>5117</v>
      </c>
    </row>
    <row r="4854">
      <c r="H4854" t="s">
        <v>5117</v>
      </c>
    </row>
    <row r="4855">
      <c r="H4855" t="s">
        <v>5117</v>
      </c>
    </row>
    <row r="4856">
      <c r="H4856" t="s">
        <v>5117</v>
      </c>
    </row>
    <row r="4857">
      <c r="H4857" t="s">
        <v>5117</v>
      </c>
    </row>
    <row r="4858">
      <c r="H4858" t="s">
        <v>5117</v>
      </c>
    </row>
    <row r="4859">
      <c r="H4859" t="s">
        <v>5117</v>
      </c>
    </row>
    <row r="4860">
      <c r="H4860" t="s">
        <v>5117</v>
      </c>
    </row>
    <row r="4861">
      <c r="H4861" t="s">
        <v>5117</v>
      </c>
    </row>
    <row r="4862">
      <c r="H4862" t="s">
        <v>5117</v>
      </c>
    </row>
    <row r="4863">
      <c r="H4863" t="s">
        <v>5117</v>
      </c>
    </row>
    <row r="4864">
      <c r="H4864" t="s">
        <v>5117</v>
      </c>
    </row>
    <row r="4865">
      <c r="H4865" t="s">
        <v>5117</v>
      </c>
    </row>
    <row r="4866">
      <c r="H4866" t="s">
        <v>5117</v>
      </c>
    </row>
    <row r="4867">
      <c r="H4867" t="s">
        <v>5117</v>
      </c>
    </row>
    <row r="4868">
      <c r="H4868" t="s">
        <v>5117</v>
      </c>
    </row>
    <row r="4869">
      <c r="H4869" t="s">
        <v>5117</v>
      </c>
    </row>
    <row r="4870">
      <c r="H4870" t="s">
        <v>5117</v>
      </c>
    </row>
    <row r="4871">
      <c r="H4871" t="s">
        <v>5117</v>
      </c>
    </row>
    <row r="4872">
      <c r="H4872" t="s">
        <v>5117</v>
      </c>
    </row>
    <row r="4873">
      <c r="H4873" t="s">
        <v>5117</v>
      </c>
    </row>
    <row r="4874">
      <c r="H4874" t="s">
        <v>5117</v>
      </c>
    </row>
    <row r="4875">
      <c r="H4875" t="s">
        <v>5117</v>
      </c>
    </row>
    <row r="4876">
      <c r="H4876" t="s">
        <v>5117</v>
      </c>
    </row>
    <row r="4877">
      <c r="H4877" t="s">
        <v>5117</v>
      </c>
    </row>
    <row r="4878">
      <c r="H4878" t="s">
        <v>5117</v>
      </c>
    </row>
    <row r="4879">
      <c r="H4879" t="s">
        <v>5117</v>
      </c>
    </row>
    <row r="4880">
      <c r="H4880" t="s">
        <v>5117</v>
      </c>
    </row>
    <row r="4881">
      <c r="H4881" t="s">
        <v>5117</v>
      </c>
    </row>
    <row r="4882">
      <c r="H4882" t="s">
        <v>5117</v>
      </c>
    </row>
    <row r="4883">
      <c r="H4883" t="s">
        <v>5117</v>
      </c>
    </row>
    <row r="4884">
      <c r="H4884" t="s">
        <v>5117</v>
      </c>
    </row>
    <row r="4885">
      <c r="H4885" t="s">
        <v>5117</v>
      </c>
    </row>
    <row r="4886">
      <c r="H4886" t="s">
        <v>5117</v>
      </c>
    </row>
    <row r="4887">
      <c r="H4887" t="s">
        <v>5117</v>
      </c>
    </row>
    <row r="4888">
      <c r="H4888" t="s">
        <v>5117</v>
      </c>
    </row>
    <row r="4889">
      <c r="H4889" t="s">
        <v>5117</v>
      </c>
    </row>
    <row r="4890">
      <c r="H4890" t="s">
        <v>5117</v>
      </c>
    </row>
    <row r="4891">
      <c r="H4891" t="s">
        <v>5117</v>
      </c>
    </row>
    <row r="4892">
      <c r="H4892" t="s">
        <v>5117</v>
      </c>
    </row>
    <row r="4893">
      <c r="H4893" t="s">
        <v>5117</v>
      </c>
    </row>
    <row r="4894">
      <c r="H4894" t="s">
        <v>5117</v>
      </c>
    </row>
    <row r="4895">
      <c r="H4895" t="s">
        <v>5117</v>
      </c>
    </row>
    <row r="4896">
      <c r="H4896" t="s">
        <v>5117</v>
      </c>
    </row>
    <row r="4897">
      <c r="H4897" t="s">
        <v>5117</v>
      </c>
    </row>
    <row r="4898">
      <c r="H4898" t="s">
        <v>5117</v>
      </c>
    </row>
    <row r="4899">
      <c r="H4899" t="s">
        <v>5117</v>
      </c>
    </row>
    <row r="4900">
      <c r="H4900" t="s">
        <v>5117</v>
      </c>
    </row>
    <row r="4901">
      <c r="H4901" t="s">
        <v>5117</v>
      </c>
    </row>
    <row r="4902">
      <c r="H4902" t="s">
        <v>5117</v>
      </c>
    </row>
    <row r="4903">
      <c r="H4903" t="s">
        <v>5117</v>
      </c>
    </row>
    <row r="4904">
      <c r="H4904" t="s">
        <v>5117</v>
      </c>
    </row>
    <row r="4905">
      <c r="H4905" t="s">
        <v>5117</v>
      </c>
    </row>
    <row r="4906">
      <c r="H4906" t="s">
        <v>5117</v>
      </c>
    </row>
    <row r="4907">
      <c r="H4907" t="s">
        <v>5117</v>
      </c>
    </row>
    <row r="4908">
      <c r="H4908" t="s">
        <v>5117</v>
      </c>
    </row>
    <row r="4909">
      <c r="H4909" t="s">
        <v>5117</v>
      </c>
    </row>
    <row r="4910">
      <c r="H4910" t="s">
        <v>5117</v>
      </c>
    </row>
    <row r="4911">
      <c r="H4911" t="s">
        <v>5117</v>
      </c>
    </row>
    <row r="4912">
      <c r="H4912" t="s">
        <v>5117</v>
      </c>
    </row>
    <row r="4913">
      <c r="H4913" t="s">
        <v>5117</v>
      </c>
    </row>
    <row r="4914">
      <c r="H4914" t="s">
        <v>5117</v>
      </c>
    </row>
    <row r="4915">
      <c r="H4915" t="s">
        <v>5117</v>
      </c>
    </row>
    <row r="4916">
      <c r="H4916" t="s">
        <v>5117</v>
      </c>
    </row>
    <row r="4917">
      <c r="H4917" t="s">
        <v>5117</v>
      </c>
    </row>
    <row r="4918">
      <c r="H4918" t="s">
        <v>5117</v>
      </c>
    </row>
    <row r="4919">
      <c r="H4919" t="s">
        <v>5117</v>
      </c>
    </row>
    <row r="4920">
      <c r="H4920" t="s">
        <v>5117</v>
      </c>
    </row>
    <row r="4921">
      <c r="H4921" t="s">
        <v>5117</v>
      </c>
    </row>
    <row r="4922">
      <c r="H4922" t="s">
        <v>5117</v>
      </c>
    </row>
    <row r="4923">
      <c r="H4923" t="s">
        <v>5117</v>
      </c>
    </row>
    <row r="4924">
      <c r="H4924" t="s">
        <v>5117</v>
      </c>
    </row>
    <row r="4925">
      <c r="H4925" t="s">
        <v>5117</v>
      </c>
    </row>
    <row r="4926">
      <c r="H4926" t="s">
        <v>5117</v>
      </c>
    </row>
    <row r="4927">
      <c r="H4927" t="s">
        <v>5117</v>
      </c>
    </row>
    <row r="4928">
      <c r="H4928" t="s">
        <v>5117</v>
      </c>
    </row>
    <row r="4929">
      <c r="H4929" t="s">
        <v>5117</v>
      </c>
    </row>
    <row r="4930">
      <c r="H4930" t="s">
        <v>5117</v>
      </c>
    </row>
    <row r="4931">
      <c r="H4931" t="s">
        <v>5117</v>
      </c>
    </row>
    <row r="4932">
      <c r="H4932" t="s">
        <v>5117</v>
      </c>
    </row>
    <row r="4933">
      <c r="H4933" t="s">
        <v>5117</v>
      </c>
    </row>
    <row r="4934">
      <c r="H4934" t="s">
        <v>5117</v>
      </c>
    </row>
    <row r="4935">
      <c r="H4935" t="s">
        <v>5117</v>
      </c>
    </row>
    <row r="4936">
      <c r="H4936" t="s">
        <v>5117</v>
      </c>
    </row>
    <row r="4937">
      <c r="H4937" t="s">
        <v>5117</v>
      </c>
    </row>
    <row r="4938">
      <c r="H4938" t="s">
        <v>5117</v>
      </c>
    </row>
    <row r="4939">
      <c r="H4939" t="s">
        <v>5117</v>
      </c>
    </row>
    <row r="4940">
      <c r="H4940" t="s">
        <v>5117</v>
      </c>
    </row>
    <row r="4941">
      <c r="H4941" t="s">
        <v>5117</v>
      </c>
    </row>
    <row r="4942">
      <c r="H4942" t="s">
        <v>5117</v>
      </c>
    </row>
    <row r="4943">
      <c r="H4943" t="s">
        <v>5117</v>
      </c>
    </row>
    <row r="4944">
      <c r="H4944" t="s">
        <v>5117</v>
      </c>
    </row>
    <row r="4945">
      <c r="H4945" t="s">
        <v>5117</v>
      </c>
    </row>
    <row r="4946">
      <c r="H4946" t="s">
        <v>5117</v>
      </c>
    </row>
    <row r="4947">
      <c r="H4947" t="s">
        <v>5117</v>
      </c>
    </row>
    <row r="4948">
      <c r="H4948" t="s">
        <v>5117</v>
      </c>
    </row>
    <row r="4949">
      <c r="H4949" t="s">
        <v>5117</v>
      </c>
    </row>
    <row r="4950">
      <c r="H4950" t="s">
        <v>5117</v>
      </c>
    </row>
    <row r="4951">
      <c r="H4951" t="s">
        <v>5117</v>
      </c>
    </row>
    <row r="4952">
      <c r="H4952" t="s">
        <v>5117</v>
      </c>
    </row>
    <row r="4953">
      <c r="H4953" t="s">
        <v>5117</v>
      </c>
    </row>
    <row r="4954">
      <c r="H4954" t="s">
        <v>5117</v>
      </c>
    </row>
    <row r="4955">
      <c r="H4955" t="s">
        <v>5117</v>
      </c>
    </row>
    <row r="4956">
      <c r="H4956" t="s">
        <v>5117</v>
      </c>
    </row>
    <row r="4957">
      <c r="H4957" t="s">
        <v>5117</v>
      </c>
    </row>
    <row r="4958">
      <c r="H4958" t="s">
        <v>5117</v>
      </c>
    </row>
    <row r="4959">
      <c r="H4959" t="s">
        <v>5117</v>
      </c>
    </row>
    <row r="4960">
      <c r="H4960" t="s">
        <v>5117</v>
      </c>
    </row>
    <row r="4961">
      <c r="H4961" t="s">
        <v>5117</v>
      </c>
    </row>
    <row r="4962">
      <c r="H4962" t="s">
        <v>5117</v>
      </c>
    </row>
    <row r="4963">
      <c r="H4963" t="s">
        <v>5117</v>
      </c>
    </row>
    <row r="4964">
      <c r="H4964" t="s">
        <v>5117</v>
      </c>
    </row>
    <row r="4965">
      <c r="H4965" t="s">
        <v>5117</v>
      </c>
    </row>
    <row r="4966">
      <c r="H4966" t="s">
        <v>5117</v>
      </c>
    </row>
    <row r="4967">
      <c r="H4967" t="s">
        <v>5117</v>
      </c>
    </row>
    <row r="4968">
      <c r="H4968" t="s">
        <v>5117</v>
      </c>
    </row>
    <row r="4969">
      <c r="H4969" t="s">
        <v>5117</v>
      </c>
    </row>
    <row r="4970">
      <c r="H4970" t="s">
        <v>5117</v>
      </c>
    </row>
    <row r="4971">
      <c r="H4971" t="s">
        <v>5117</v>
      </c>
    </row>
    <row r="4972">
      <c r="H4972" t="s">
        <v>5117</v>
      </c>
    </row>
    <row r="4973">
      <c r="H4973" t="s">
        <v>5117</v>
      </c>
    </row>
    <row r="4974">
      <c r="H4974" t="s">
        <v>5117</v>
      </c>
    </row>
    <row r="4975">
      <c r="H4975" t="s">
        <v>5117</v>
      </c>
    </row>
    <row r="4976">
      <c r="H4976" t="s">
        <v>5117</v>
      </c>
    </row>
    <row r="4977">
      <c r="H4977" t="s">
        <v>5117</v>
      </c>
    </row>
    <row r="4978">
      <c r="H4978" t="s">
        <v>5117</v>
      </c>
    </row>
    <row r="4979">
      <c r="H4979" t="s">
        <v>5117</v>
      </c>
    </row>
    <row r="4980">
      <c r="H4980" t="s">
        <v>5117</v>
      </c>
    </row>
    <row r="4981">
      <c r="H4981" t="s">
        <v>5117</v>
      </c>
    </row>
    <row r="4982">
      <c r="H4982" t="s">
        <v>5117</v>
      </c>
    </row>
    <row r="4983">
      <c r="H4983" t="s">
        <v>5117</v>
      </c>
    </row>
    <row r="4984">
      <c r="H4984" t="s">
        <v>5117</v>
      </c>
    </row>
    <row r="4985">
      <c r="H4985" t="s">
        <v>5117</v>
      </c>
    </row>
    <row r="4986">
      <c r="H4986" t="s">
        <v>5117</v>
      </c>
    </row>
    <row r="4987">
      <c r="H4987" t="s">
        <v>5117</v>
      </c>
    </row>
    <row r="4988">
      <c r="H4988" t="s">
        <v>5117</v>
      </c>
    </row>
    <row r="4989">
      <c r="H4989" t="s">
        <v>5117</v>
      </c>
    </row>
    <row r="4990">
      <c r="H4990" t="s">
        <v>5117</v>
      </c>
    </row>
    <row r="4991">
      <c r="H4991" t="s">
        <v>5117</v>
      </c>
    </row>
    <row r="4992">
      <c r="H4992" t="s">
        <v>5117</v>
      </c>
    </row>
    <row r="4993">
      <c r="H4993" t="s">
        <v>5117</v>
      </c>
    </row>
    <row r="4994">
      <c r="H4994" t="s">
        <v>5117</v>
      </c>
    </row>
    <row r="4995">
      <c r="H4995" t="s">
        <v>5117</v>
      </c>
    </row>
    <row r="4996">
      <c r="H4996" t="s">
        <v>5117</v>
      </c>
    </row>
    <row r="4997">
      <c r="H4997" t="s">
        <v>5117</v>
      </c>
    </row>
    <row r="4998">
      <c r="H4998" t="s">
        <v>5117</v>
      </c>
    </row>
    <row r="4999">
      <c r="H4999" t="s">
        <v>5117</v>
      </c>
    </row>
    <row r="5000">
      <c r="H5000" t="s">
        <v>5117</v>
      </c>
    </row>
    <row r="5001">
      <c r="H5001" t="s">
        <v>5117</v>
      </c>
    </row>
    <row r="5002">
      <c r="H5002" t="s">
        <v>5117</v>
      </c>
    </row>
    <row r="5003">
      <c r="H5003" t="s">
        <v>5117</v>
      </c>
    </row>
    <row r="5004">
      <c r="H5004" t="s">
        <v>5117</v>
      </c>
    </row>
    <row r="5005">
      <c r="H5005" t="s">
        <v>5117</v>
      </c>
    </row>
    <row r="5006">
      <c r="H5006" t="s">
        <v>5117</v>
      </c>
    </row>
    <row r="5007">
      <c r="H5007" t="s">
        <v>5117</v>
      </c>
    </row>
    <row r="5008">
      <c r="H5008" t="s">
        <v>5117</v>
      </c>
    </row>
    <row r="5009">
      <c r="H5009" t="s">
        <v>5117</v>
      </c>
    </row>
    <row r="5010">
      <c r="H5010" t="s">
        <v>5117</v>
      </c>
    </row>
    <row r="5011">
      <c r="H5011" t="s">
        <v>5117</v>
      </c>
    </row>
    <row r="5012">
      <c r="H5012" t="s">
        <v>5117</v>
      </c>
    </row>
    <row r="5013">
      <c r="H5013" t="s">
        <v>5117</v>
      </c>
    </row>
    <row r="5014">
      <c r="H5014" t="s">
        <v>5117</v>
      </c>
    </row>
    <row r="5015">
      <c r="H5015" t="s">
        <v>5117</v>
      </c>
    </row>
    <row r="5016">
      <c r="H5016" t="s">
        <v>5117</v>
      </c>
    </row>
    <row r="5017">
      <c r="H5017" t="s">
        <v>5117</v>
      </c>
    </row>
    <row r="5018">
      <c r="H5018" t="s">
        <v>5117</v>
      </c>
    </row>
    <row r="5019">
      <c r="H5019" t="s">
        <v>5117</v>
      </c>
    </row>
    <row r="5020">
      <c r="H5020" t="s">
        <v>5117</v>
      </c>
    </row>
    <row r="5021">
      <c r="H5021" t="s">
        <v>5117</v>
      </c>
    </row>
    <row r="5022">
      <c r="H5022" t="s">
        <v>5117</v>
      </c>
    </row>
    <row r="5023">
      <c r="H5023" t="s">
        <v>5117</v>
      </c>
    </row>
    <row r="5024">
      <c r="H5024" t="s">
        <v>5117</v>
      </c>
    </row>
    <row r="5025">
      <c r="H5025" t="s">
        <v>5117</v>
      </c>
    </row>
    <row r="5026">
      <c r="H5026" t="s">
        <v>5117</v>
      </c>
    </row>
    <row r="5027">
      <c r="H5027" t="s">
        <v>5117</v>
      </c>
    </row>
    <row r="5028">
      <c r="H5028" t="s">
        <v>5117</v>
      </c>
    </row>
    <row r="5029">
      <c r="H5029" t="s">
        <v>5117</v>
      </c>
    </row>
    <row r="5030">
      <c r="H5030" t="s">
        <v>5117</v>
      </c>
    </row>
    <row r="5031">
      <c r="H5031" t="s">
        <v>5117</v>
      </c>
    </row>
    <row r="5032">
      <c r="H5032" t="s">
        <v>5117</v>
      </c>
    </row>
    <row r="5033">
      <c r="H5033" t="s">
        <v>5117</v>
      </c>
    </row>
    <row r="5034">
      <c r="H5034" t="s">
        <v>5117</v>
      </c>
    </row>
    <row r="5035">
      <c r="H5035" t="s">
        <v>5117</v>
      </c>
    </row>
    <row r="5036">
      <c r="H5036" t="s">
        <v>5117</v>
      </c>
    </row>
    <row r="5037">
      <c r="H5037" t="s">
        <v>5117</v>
      </c>
    </row>
    <row r="5038">
      <c r="H5038" t="s">
        <v>5117</v>
      </c>
    </row>
    <row r="5039">
      <c r="H5039" t="s">
        <v>5117</v>
      </c>
    </row>
    <row r="5040">
      <c r="H5040" t="s">
        <v>5117</v>
      </c>
    </row>
    <row r="5041">
      <c r="H5041" t="s">
        <v>5117</v>
      </c>
    </row>
    <row r="5042">
      <c r="H5042" t="s">
        <v>5117</v>
      </c>
    </row>
    <row r="5043">
      <c r="H5043" t="s">
        <v>5117</v>
      </c>
    </row>
    <row r="5044">
      <c r="H5044" t="s">
        <v>5117</v>
      </c>
    </row>
    <row r="5045">
      <c r="H5045" t="s">
        <v>5117</v>
      </c>
    </row>
    <row r="5046">
      <c r="H5046" t="s">
        <v>5117</v>
      </c>
    </row>
    <row r="5047">
      <c r="H5047" t="s">
        <v>5117</v>
      </c>
    </row>
    <row r="5048">
      <c r="H5048" t="s">
        <v>5117</v>
      </c>
    </row>
    <row r="5049">
      <c r="H5049" t="s">
        <v>5117</v>
      </c>
    </row>
    <row r="5050">
      <c r="H5050" t="s">
        <v>5117</v>
      </c>
    </row>
    <row r="5051">
      <c r="H5051" t="s">
        <v>5117</v>
      </c>
    </row>
    <row r="5052">
      <c r="H5052" t="s">
        <v>5117</v>
      </c>
    </row>
    <row r="5053">
      <c r="H5053" t="s">
        <v>5117</v>
      </c>
    </row>
    <row r="5054">
      <c r="H5054" t="s">
        <v>5117</v>
      </c>
    </row>
    <row r="5055">
      <c r="H5055" t="s">
        <v>5117</v>
      </c>
    </row>
    <row r="5056">
      <c r="H5056" t="s">
        <v>5117</v>
      </c>
    </row>
    <row r="5057">
      <c r="H5057" t="s">
        <v>5117</v>
      </c>
    </row>
    <row r="5058">
      <c r="H5058" t="s">
        <v>5117</v>
      </c>
    </row>
    <row r="5059">
      <c r="H5059" t="s">
        <v>5117</v>
      </c>
    </row>
    <row r="5060">
      <c r="H5060" t="s">
        <v>5117</v>
      </c>
    </row>
    <row r="5061">
      <c r="H5061" t="s">
        <v>5117</v>
      </c>
    </row>
    <row r="5062">
      <c r="H5062" t="s">
        <v>5117</v>
      </c>
    </row>
    <row r="5063">
      <c r="H5063" t="s">
        <v>5117</v>
      </c>
    </row>
    <row r="5064">
      <c r="H5064" t="s">
        <v>5117</v>
      </c>
    </row>
    <row r="5065">
      <c r="H5065" t="s">
        <v>5117</v>
      </c>
    </row>
    <row r="5066">
      <c r="H5066" t="s">
        <v>5117</v>
      </c>
    </row>
    <row r="5067">
      <c r="H5067" t="s">
        <v>5117</v>
      </c>
    </row>
    <row r="5068">
      <c r="H5068" t="s">
        <v>5117</v>
      </c>
    </row>
    <row r="5069">
      <c r="H5069" t="s">
        <v>5117</v>
      </c>
    </row>
    <row r="5070">
      <c r="H5070" t="s">
        <v>5117</v>
      </c>
    </row>
    <row r="5071">
      <c r="H5071" t="s">
        <v>5117</v>
      </c>
    </row>
    <row r="5072">
      <c r="H5072" t="s">
        <v>5117</v>
      </c>
    </row>
    <row r="5073">
      <c r="H5073" t="s">
        <v>5117</v>
      </c>
    </row>
    <row r="5074">
      <c r="H5074" t="s">
        <v>5117</v>
      </c>
    </row>
    <row r="5075">
      <c r="H5075" t="s">
        <v>5117</v>
      </c>
    </row>
    <row r="5076">
      <c r="H5076" t="s">
        <v>5117</v>
      </c>
    </row>
    <row r="5077">
      <c r="H5077" t="s">
        <v>5117</v>
      </c>
    </row>
    <row r="5078">
      <c r="H5078" t="s">
        <v>5117</v>
      </c>
    </row>
    <row r="5079">
      <c r="H5079" t="s">
        <v>5117</v>
      </c>
    </row>
    <row r="5080">
      <c r="H5080" t="s">
        <v>5117</v>
      </c>
    </row>
    <row r="5081">
      <c r="H5081" t="s">
        <v>5117</v>
      </c>
    </row>
    <row r="5082">
      <c r="H5082" t="s">
        <v>5117</v>
      </c>
    </row>
    <row r="5083">
      <c r="H5083" t="s">
        <v>5117</v>
      </c>
    </row>
    <row r="5084">
      <c r="H5084" t="s">
        <v>5117</v>
      </c>
    </row>
    <row r="5085">
      <c r="H5085" t="s">
        <v>5117</v>
      </c>
    </row>
    <row r="5086">
      <c r="H5086" t="s">
        <v>5117</v>
      </c>
    </row>
    <row r="5087">
      <c r="H5087" t="s">
        <v>5117</v>
      </c>
    </row>
    <row r="5088">
      <c r="H5088" t="s">
        <v>5117</v>
      </c>
    </row>
    <row r="5089">
      <c r="H5089" t="s">
        <v>5117</v>
      </c>
    </row>
    <row r="5090">
      <c r="H5090" t="s">
        <v>5117</v>
      </c>
    </row>
    <row r="5091">
      <c r="H5091" t="s">
        <v>5117</v>
      </c>
    </row>
    <row r="5092">
      <c r="H5092" t="s">
        <v>5117</v>
      </c>
    </row>
    <row r="5093">
      <c r="H5093" t="s">
        <v>5117</v>
      </c>
    </row>
    <row r="5094">
      <c r="H5094" t="s">
        <v>5117</v>
      </c>
    </row>
    <row r="5095">
      <c r="H5095" t="s">
        <v>5117</v>
      </c>
    </row>
    <row r="5096">
      <c r="H5096" t="s">
        <v>5117</v>
      </c>
    </row>
    <row r="5097">
      <c r="H5097" t="s">
        <v>5117</v>
      </c>
    </row>
    <row r="5098">
      <c r="H5098" t="s">
        <v>5117</v>
      </c>
    </row>
    <row r="5099">
      <c r="H5099" t="s">
        <v>5117</v>
      </c>
    </row>
    <row r="5100">
      <c r="H5100" t="s">
        <v>5117</v>
      </c>
    </row>
    <row r="5101">
      <c r="H5101" t="s">
        <v>5117</v>
      </c>
    </row>
    <row r="5102">
      <c r="H5102" t="s">
        <v>5117</v>
      </c>
    </row>
    <row r="5103">
      <c r="H5103" t="s">
        <v>5117</v>
      </c>
    </row>
    <row r="5104">
      <c r="H5104" t="s">
        <v>5117</v>
      </c>
    </row>
    <row r="5105">
      <c r="H5105" t="s">
        <v>5117</v>
      </c>
    </row>
    <row r="5106">
      <c r="H5106" t="s">
        <v>5117</v>
      </c>
    </row>
    <row r="5107">
      <c r="H5107" t="s">
        <v>5117</v>
      </c>
    </row>
    <row r="5108">
      <c r="H5108" t="s">
        <v>5117</v>
      </c>
    </row>
    <row r="5109">
      <c r="H5109" t="s">
        <v>5117</v>
      </c>
    </row>
    <row r="5110">
      <c r="H5110" t="s">
        <v>5117</v>
      </c>
    </row>
    <row r="5111">
      <c r="H5111" t="s">
        <v>5117</v>
      </c>
    </row>
    <row r="5112">
      <c r="H5112" t="s">
        <v>5117</v>
      </c>
    </row>
    <row r="5113">
      <c r="H5113" t="s">
        <v>5117</v>
      </c>
    </row>
    <row r="5114">
      <c r="H5114" t="s">
        <v>5117</v>
      </c>
    </row>
    <row r="5115">
      <c r="H5115" t="s">
        <v>5117</v>
      </c>
    </row>
    <row r="5116">
      <c r="H5116" t="s">
        <v>5117</v>
      </c>
    </row>
    <row r="5117">
      <c r="H5117" t="s">
        <v>5117</v>
      </c>
    </row>
    <row r="5118">
      <c r="H5118" t="s">
        <v>5117</v>
      </c>
    </row>
    <row r="5119">
      <c r="H5119" t="s">
        <v>5117</v>
      </c>
    </row>
    <row r="5120">
      <c r="H5120" t="s">
        <v>5117</v>
      </c>
    </row>
    <row r="5121">
      <c r="H5121" t="s">
        <v>5117</v>
      </c>
    </row>
    <row r="5122">
      <c r="H5122" t="s">
        <v>5117</v>
      </c>
    </row>
    <row r="5123">
      <c r="H5123" t="s">
        <v>5117</v>
      </c>
    </row>
    <row r="5124">
      <c r="H5124" t="s">
        <v>5117</v>
      </c>
    </row>
    <row r="5125">
      <c r="H5125" t="s">
        <v>5117</v>
      </c>
    </row>
    <row r="5126">
      <c r="H5126" t="s">
        <v>5117</v>
      </c>
    </row>
    <row r="5127">
      <c r="H5127" t="s">
        <v>5117</v>
      </c>
    </row>
    <row r="5128">
      <c r="H5128" t="s">
        <v>5117</v>
      </c>
    </row>
    <row r="5129">
      <c r="H5129" t="s">
        <v>5117</v>
      </c>
    </row>
    <row r="5130">
      <c r="H5130" t="s">
        <v>5117</v>
      </c>
    </row>
    <row r="5131">
      <c r="H5131" t="s">
        <v>5117</v>
      </c>
    </row>
    <row r="5132">
      <c r="H5132" t="s">
        <v>5117</v>
      </c>
    </row>
    <row r="5133">
      <c r="H5133" t="s">
        <v>5117</v>
      </c>
    </row>
    <row r="5134">
      <c r="H5134" t="s">
        <v>5117</v>
      </c>
    </row>
    <row r="5135">
      <c r="H5135" t="s">
        <v>5117</v>
      </c>
    </row>
    <row r="5136">
      <c r="H5136" t="s">
        <v>5117</v>
      </c>
    </row>
    <row r="5137">
      <c r="H5137" t="s">
        <v>5117</v>
      </c>
    </row>
    <row r="5138">
      <c r="H5138" t="s">
        <v>5117</v>
      </c>
    </row>
    <row r="5139">
      <c r="H5139" t="s">
        <v>5117</v>
      </c>
    </row>
    <row r="5140">
      <c r="H5140" t="s">
        <v>5117</v>
      </c>
    </row>
    <row r="5141">
      <c r="H5141" t="s">
        <v>5117</v>
      </c>
    </row>
    <row r="5142">
      <c r="H5142" t="s">
        <v>5117</v>
      </c>
    </row>
    <row r="5143">
      <c r="H5143" t="s">
        <v>5117</v>
      </c>
    </row>
    <row r="5144">
      <c r="H5144" t="s">
        <v>5117</v>
      </c>
    </row>
    <row r="5145">
      <c r="H5145" t="s">
        <v>5117</v>
      </c>
    </row>
    <row r="5146">
      <c r="H5146" t="s">
        <v>5117</v>
      </c>
    </row>
    <row r="5147">
      <c r="H5147" t="s">
        <v>5117</v>
      </c>
    </row>
    <row r="5148">
      <c r="H5148" t="s">
        <v>5117</v>
      </c>
    </row>
    <row r="5149">
      <c r="H5149" t="s">
        <v>5117</v>
      </c>
    </row>
    <row r="5150">
      <c r="H5150" t="s">
        <v>5117</v>
      </c>
    </row>
    <row r="5151">
      <c r="H5151" t="s">
        <v>5117</v>
      </c>
    </row>
    <row r="5152">
      <c r="H5152" t="s">
        <v>5117</v>
      </c>
    </row>
    <row r="5153">
      <c r="H5153" t="s">
        <v>5117</v>
      </c>
    </row>
    <row r="5154">
      <c r="H5154" t="s">
        <v>5117</v>
      </c>
    </row>
    <row r="5155">
      <c r="H5155" t="s">
        <v>5117</v>
      </c>
    </row>
    <row r="5156">
      <c r="H5156" t="s">
        <v>5117</v>
      </c>
    </row>
    <row r="5157">
      <c r="H5157" t="s">
        <v>5117</v>
      </c>
    </row>
    <row r="5158">
      <c r="H5158" t="s">
        <v>5117</v>
      </c>
    </row>
    <row r="5159">
      <c r="H5159" t="s">
        <v>5117</v>
      </c>
    </row>
    <row r="5160">
      <c r="H5160" t="s">
        <v>5117</v>
      </c>
    </row>
    <row r="5161">
      <c r="H5161" t="s">
        <v>5117</v>
      </c>
    </row>
    <row r="5162">
      <c r="H5162" t="s">
        <v>5117</v>
      </c>
    </row>
    <row r="5163">
      <c r="H5163" t="s">
        <v>5117</v>
      </c>
    </row>
    <row r="5164">
      <c r="H5164" t="s">
        <v>5117</v>
      </c>
    </row>
    <row r="5165">
      <c r="H5165" t="s">
        <v>5117</v>
      </c>
    </row>
    <row r="5166">
      <c r="H5166" t="s">
        <v>5117</v>
      </c>
    </row>
    <row r="5167">
      <c r="H5167" t="s">
        <v>5117</v>
      </c>
    </row>
    <row r="5168">
      <c r="H5168" t="s">
        <v>5117</v>
      </c>
    </row>
    <row r="5169">
      <c r="H5169" t="s">
        <v>5117</v>
      </c>
    </row>
    <row r="5170">
      <c r="H5170" t="s">
        <v>5117</v>
      </c>
    </row>
    <row r="5171">
      <c r="H5171" t="s">
        <v>5117</v>
      </c>
    </row>
    <row r="5172">
      <c r="H5172" t="s">
        <v>5117</v>
      </c>
    </row>
    <row r="5173">
      <c r="H5173" t="s">
        <v>5117</v>
      </c>
    </row>
    <row r="5174">
      <c r="H5174" t="s">
        <v>5117</v>
      </c>
    </row>
    <row r="5175">
      <c r="H5175" t="s">
        <v>5117</v>
      </c>
    </row>
    <row r="5176">
      <c r="H5176" t="s">
        <v>5117</v>
      </c>
    </row>
    <row r="5177">
      <c r="H5177" t="s">
        <v>5117</v>
      </c>
    </row>
    <row r="5178">
      <c r="H5178" t="s">
        <v>5117</v>
      </c>
    </row>
    <row r="5179">
      <c r="H5179" t="s">
        <v>5117</v>
      </c>
    </row>
    <row r="5180">
      <c r="H5180" t="s">
        <v>5117</v>
      </c>
    </row>
    <row r="5181">
      <c r="H5181" t="s">
        <v>5117</v>
      </c>
    </row>
    <row r="5182">
      <c r="H5182" t="s">
        <v>5117</v>
      </c>
    </row>
    <row r="5183">
      <c r="H5183" t="s">
        <v>5117</v>
      </c>
    </row>
    <row r="5184">
      <c r="H5184" t="s">
        <v>5117</v>
      </c>
    </row>
    <row r="5185">
      <c r="H5185" t="s">
        <v>5117</v>
      </c>
    </row>
    <row r="5186">
      <c r="H5186" t="s">
        <v>5117</v>
      </c>
    </row>
    <row r="5187">
      <c r="H5187" t="s">
        <v>5117</v>
      </c>
    </row>
    <row r="5188">
      <c r="H5188" t="s">
        <v>5117</v>
      </c>
    </row>
    <row r="5189">
      <c r="H5189" t="s">
        <v>5117</v>
      </c>
    </row>
    <row r="5190">
      <c r="H5190" t="s">
        <v>5117</v>
      </c>
    </row>
    <row r="5191">
      <c r="H5191" t="s">
        <v>5117</v>
      </c>
    </row>
    <row r="5192">
      <c r="H5192" t="s">
        <v>5117</v>
      </c>
    </row>
    <row r="5193">
      <c r="H5193" t="s">
        <v>5117</v>
      </c>
    </row>
    <row r="5194">
      <c r="H5194" t="s">
        <v>5117</v>
      </c>
    </row>
    <row r="5195">
      <c r="H5195" t="s">
        <v>5117</v>
      </c>
    </row>
    <row r="5196">
      <c r="H5196" t="s">
        <v>5117</v>
      </c>
    </row>
    <row r="5197">
      <c r="H5197" t="s">
        <v>5117</v>
      </c>
    </row>
    <row r="5198">
      <c r="H5198" t="s">
        <v>5117</v>
      </c>
    </row>
    <row r="5199">
      <c r="H5199" t="s">
        <v>5117</v>
      </c>
    </row>
    <row r="5200">
      <c r="H5200" t="s">
        <v>5117</v>
      </c>
    </row>
    <row r="5201">
      <c r="H5201" t="s">
        <v>5117</v>
      </c>
    </row>
    <row r="5202">
      <c r="H5202" t="s">
        <v>5117</v>
      </c>
    </row>
    <row r="5203">
      <c r="H5203" t="s">
        <v>5117</v>
      </c>
    </row>
    <row r="5204">
      <c r="H5204" t="s">
        <v>5117</v>
      </c>
    </row>
    <row r="5205">
      <c r="H5205" t="s">
        <v>5117</v>
      </c>
    </row>
    <row r="5206">
      <c r="H5206" t="s">
        <v>5117</v>
      </c>
    </row>
    <row r="5207">
      <c r="H5207" t="s">
        <v>5117</v>
      </c>
    </row>
    <row r="5208">
      <c r="H5208" t="s">
        <v>5117</v>
      </c>
    </row>
    <row r="5209">
      <c r="H5209" t="s">
        <v>5117</v>
      </c>
    </row>
    <row r="5210">
      <c r="H5210" t="s">
        <v>5117</v>
      </c>
    </row>
    <row r="5211">
      <c r="H5211" t="s">
        <v>5117</v>
      </c>
    </row>
    <row r="5212">
      <c r="H5212" t="s">
        <v>5117</v>
      </c>
    </row>
    <row r="5213">
      <c r="H5213" t="s">
        <v>5117</v>
      </c>
    </row>
    <row r="5214">
      <c r="H5214" t="s">
        <v>5117</v>
      </c>
    </row>
    <row r="5215">
      <c r="H5215" t="s">
        <v>5117</v>
      </c>
    </row>
    <row r="5216">
      <c r="H5216" t="s">
        <v>5117</v>
      </c>
    </row>
    <row r="5217">
      <c r="H5217" t="s">
        <v>5117</v>
      </c>
    </row>
    <row r="5218">
      <c r="H5218" t="s">
        <v>5117</v>
      </c>
    </row>
    <row r="5219">
      <c r="H5219" t="s">
        <v>5117</v>
      </c>
    </row>
    <row r="5220">
      <c r="H5220" t="s">
        <v>5117</v>
      </c>
    </row>
    <row r="5221">
      <c r="H5221" t="s">
        <v>5117</v>
      </c>
    </row>
    <row r="5222">
      <c r="H5222" t="s">
        <v>5117</v>
      </c>
    </row>
    <row r="5223">
      <c r="H5223" t="s">
        <v>5117</v>
      </c>
    </row>
    <row r="5224">
      <c r="H5224" t="s">
        <v>5117</v>
      </c>
    </row>
    <row r="5225">
      <c r="H5225" t="s">
        <v>5117</v>
      </c>
    </row>
    <row r="5226">
      <c r="H5226" t="s">
        <v>5117</v>
      </c>
    </row>
    <row r="5227">
      <c r="H5227" t="s">
        <v>5117</v>
      </c>
    </row>
    <row r="5228">
      <c r="H5228" t="s">
        <v>5117</v>
      </c>
    </row>
    <row r="5229">
      <c r="H5229" t="s">
        <v>5117</v>
      </c>
    </row>
    <row r="5230">
      <c r="H5230" t="s">
        <v>5117</v>
      </c>
    </row>
    <row r="5231">
      <c r="H5231" t="s">
        <v>5117</v>
      </c>
    </row>
    <row r="5232">
      <c r="H5232" t="s">
        <v>5117</v>
      </c>
    </row>
    <row r="5233">
      <c r="H5233" t="s">
        <v>5117</v>
      </c>
    </row>
    <row r="5234">
      <c r="H5234" t="s">
        <v>5117</v>
      </c>
    </row>
    <row r="5235">
      <c r="H5235" t="s">
        <v>5117</v>
      </c>
    </row>
    <row r="5236">
      <c r="H5236" t="s">
        <v>5117</v>
      </c>
    </row>
    <row r="5237">
      <c r="H5237" t="s">
        <v>5117</v>
      </c>
    </row>
    <row r="5238">
      <c r="H5238" t="s">
        <v>5117</v>
      </c>
    </row>
    <row r="5239">
      <c r="H5239" t="s">
        <v>5117</v>
      </c>
    </row>
    <row r="5240">
      <c r="H5240" t="s">
        <v>5117</v>
      </c>
    </row>
    <row r="5241">
      <c r="H5241" t="s">
        <v>5117</v>
      </c>
    </row>
    <row r="5242">
      <c r="H5242" t="s">
        <v>5117</v>
      </c>
    </row>
    <row r="5243">
      <c r="H5243" t="s">
        <v>5117</v>
      </c>
    </row>
    <row r="5244">
      <c r="H5244" t="s">
        <v>5117</v>
      </c>
    </row>
    <row r="5245">
      <c r="H5245" t="s">
        <v>5117</v>
      </c>
    </row>
    <row r="5246">
      <c r="H5246" t="s">
        <v>5117</v>
      </c>
    </row>
    <row r="5247">
      <c r="H5247" t="s">
        <v>5117</v>
      </c>
    </row>
    <row r="5248">
      <c r="H5248" t="s">
        <v>5117</v>
      </c>
    </row>
    <row r="5249">
      <c r="H5249" t="s">
        <v>5117</v>
      </c>
    </row>
    <row r="5250">
      <c r="H5250" t="s">
        <v>5117</v>
      </c>
    </row>
    <row r="5251">
      <c r="H5251" t="s">
        <v>5117</v>
      </c>
    </row>
    <row r="5252">
      <c r="H5252" t="s">
        <v>5117</v>
      </c>
    </row>
    <row r="5253">
      <c r="H5253" t="s">
        <v>5117</v>
      </c>
    </row>
    <row r="5254">
      <c r="H5254" t="s">
        <v>5117</v>
      </c>
    </row>
    <row r="5255">
      <c r="H5255" t="s">
        <v>5117</v>
      </c>
    </row>
    <row r="5256">
      <c r="H5256" t="s">
        <v>5117</v>
      </c>
    </row>
    <row r="5257">
      <c r="H5257" t="s">
        <v>5117</v>
      </c>
    </row>
    <row r="5258">
      <c r="H5258" t="s">
        <v>5117</v>
      </c>
    </row>
    <row r="5259">
      <c r="H5259" t="s">
        <v>5117</v>
      </c>
    </row>
    <row r="5260">
      <c r="H5260" t="s">
        <v>5117</v>
      </c>
    </row>
    <row r="5261">
      <c r="H5261" t="s">
        <v>5117</v>
      </c>
    </row>
    <row r="5262">
      <c r="H5262" t="s">
        <v>5117</v>
      </c>
    </row>
    <row r="5263">
      <c r="H5263" t="s">
        <v>5117</v>
      </c>
    </row>
    <row r="5264">
      <c r="H5264" t="s">
        <v>5117</v>
      </c>
    </row>
    <row r="5265">
      <c r="H5265" t="s">
        <v>5117</v>
      </c>
    </row>
    <row r="5266">
      <c r="H5266" t="s">
        <v>5117</v>
      </c>
    </row>
    <row r="5267">
      <c r="H5267" t="s">
        <v>5117</v>
      </c>
    </row>
    <row r="5268">
      <c r="H5268" t="s">
        <v>5117</v>
      </c>
    </row>
    <row r="5269">
      <c r="H5269" t="s">
        <v>5117</v>
      </c>
    </row>
    <row r="5270">
      <c r="H5270" t="s">
        <v>5117</v>
      </c>
    </row>
    <row r="5271">
      <c r="H5271" t="s">
        <v>5117</v>
      </c>
    </row>
    <row r="5272">
      <c r="H5272" t="s">
        <v>5117</v>
      </c>
    </row>
    <row r="5273">
      <c r="H5273" t="s">
        <v>5117</v>
      </c>
    </row>
    <row r="5274">
      <c r="H5274" t="s">
        <v>5117</v>
      </c>
    </row>
    <row r="5275">
      <c r="H5275" t="s">
        <v>5117</v>
      </c>
    </row>
    <row r="5276">
      <c r="H5276" t="s">
        <v>5117</v>
      </c>
    </row>
    <row r="5277">
      <c r="H5277" t="s">
        <v>5117</v>
      </c>
    </row>
    <row r="5278">
      <c r="H5278" t="s">
        <v>5117</v>
      </c>
    </row>
    <row r="5279">
      <c r="H5279" t="s">
        <v>5117</v>
      </c>
    </row>
    <row r="5280">
      <c r="H5280" t="s">
        <v>5117</v>
      </c>
    </row>
    <row r="5281">
      <c r="H5281" t="s">
        <v>5117</v>
      </c>
    </row>
    <row r="5282">
      <c r="H5282" t="s">
        <v>5117</v>
      </c>
    </row>
    <row r="5283">
      <c r="H5283" t="s">
        <v>5117</v>
      </c>
    </row>
    <row r="5284">
      <c r="H5284" t="s">
        <v>5117</v>
      </c>
    </row>
    <row r="5285">
      <c r="H5285" t="s">
        <v>5117</v>
      </c>
    </row>
    <row r="5286">
      <c r="H5286" t="s">
        <v>5117</v>
      </c>
    </row>
    <row r="5287">
      <c r="H5287" t="s">
        <v>5117</v>
      </c>
    </row>
    <row r="5288">
      <c r="H5288" t="s">
        <v>5117</v>
      </c>
    </row>
    <row r="5289">
      <c r="H5289" t="s">
        <v>5117</v>
      </c>
    </row>
    <row r="5290">
      <c r="H5290" t="s">
        <v>5117</v>
      </c>
    </row>
    <row r="5291">
      <c r="H5291" t="s">
        <v>5117</v>
      </c>
    </row>
    <row r="5292">
      <c r="H5292" t="s">
        <v>5117</v>
      </c>
    </row>
    <row r="5293">
      <c r="H5293" t="s">
        <v>5117</v>
      </c>
    </row>
    <row r="5294">
      <c r="H5294" t="s">
        <v>5117</v>
      </c>
    </row>
    <row r="5295">
      <c r="H5295" t="s">
        <v>5117</v>
      </c>
    </row>
    <row r="5296">
      <c r="H5296" t="s">
        <v>5117</v>
      </c>
    </row>
    <row r="5297">
      <c r="H5297" t="s">
        <v>5117</v>
      </c>
    </row>
    <row r="5298">
      <c r="H5298" t="s">
        <v>5117</v>
      </c>
    </row>
    <row r="5299">
      <c r="H5299" t="s">
        <v>5117</v>
      </c>
    </row>
    <row r="5300">
      <c r="H5300" t="s">
        <v>5117</v>
      </c>
    </row>
    <row r="5301">
      <c r="H5301" t="s">
        <v>5117</v>
      </c>
    </row>
    <row r="5302">
      <c r="H5302" t="s">
        <v>5117</v>
      </c>
    </row>
    <row r="5303">
      <c r="H5303" t="s">
        <v>5117</v>
      </c>
    </row>
    <row r="5304">
      <c r="H5304" t="s">
        <v>5117</v>
      </c>
    </row>
    <row r="5305">
      <c r="H5305" t="s">
        <v>5117</v>
      </c>
    </row>
    <row r="5306">
      <c r="H5306" t="s">
        <v>5117</v>
      </c>
    </row>
    <row r="5307">
      <c r="H5307" t="s">
        <v>5117</v>
      </c>
    </row>
    <row r="5308">
      <c r="H5308" t="s">
        <v>5117</v>
      </c>
    </row>
    <row r="5309">
      <c r="H5309" t="s">
        <v>5117</v>
      </c>
    </row>
    <row r="5310">
      <c r="H5310" t="s">
        <v>5117</v>
      </c>
    </row>
    <row r="5311">
      <c r="H5311" t="s">
        <v>5117</v>
      </c>
    </row>
    <row r="5312">
      <c r="H5312" t="s">
        <v>5117</v>
      </c>
    </row>
    <row r="5313">
      <c r="H5313" t="s">
        <v>5117</v>
      </c>
    </row>
    <row r="5314">
      <c r="H5314" t="s">
        <v>5117</v>
      </c>
    </row>
    <row r="5315">
      <c r="H5315" t="s">
        <v>5117</v>
      </c>
    </row>
    <row r="5316">
      <c r="H5316" t="s">
        <v>5117</v>
      </c>
    </row>
    <row r="5317">
      <c r="H5317" t="s">
        <v>5117</v>
      </c>
    </row>
    <row r="5318">
      <c r="H5318" t="s">
        <v>5117</v>
      </c>
    </row>
    <row r="5319">
      <c r="H5319" t="s">
        <v>5117</v>
      </c>
    </row>
    <row r="5320">
      <c r="H5320" t="s">
        <v>5117</v>
      </c>
    </row>
    <row r="5321">
      <c r="H5321" t="s">
        <v>5117</v>
      </c>
    </row>
    <row r="5322">
      <c r="H5322" t="s">
        <v>5117</v>
      </c>
    </row>
    <row r="5323">
      <c r="H5323" t="s">
        <v>5117</v>
      </c>
    </row>
    <row r="5324">
      <c r="H5324" t="s">
        <v>5117</v>
      </c>
    </row>
    <row r="5325">
      <c r="H5325" t="s">
        <v>5117</v>
      </c>
    </row>
    <row r="5326">
      <c r="H5326" t="s">
        <v>5117</v>
      </c>
    </row>
    <row r="5327">
      <c r="H5327" t="s">
        <v>5117</v>
      </c>
    </row>
    <row r="5328">
      <c r="H5328" t="s">
        <v>5117</v>
      </c>
    </row>
    <row r="5329">
      <c r="H5329" t="s">
        <v>5117</v>
      </c>
    </row>
    <row r="5330">
      <c r="H5330" t="s">
        <v>5117</v>
      </c>
    </row>
    <row r="5331">
      <c r="H5331" t="s">
        <v>5117</v>
      </c>
    </row>
    <row r="5332">
      <c r="H5332" t="s">
        <v>5117</v>
      </c>
    </row>
    <row r="5333">
      <c r="H5333" t="s">
        <v>5117</v>
      </c>
    </row>
    <row r="5334">
      <c r="H5334" t="s">
        <v>5117</v>
      </c>
    </row>
    <row r="5335">
      <c r="H5335" t="s">
        <v>5117</v>
      </c>
    </row>
    <row r="5336">
      <c r="H5336" t="s">
        <v>5117</v>
      </c>
    </row>
    <row r="5337">
      <c r="H5337" t="s">
        <v>5117</v>
      </c>
    </row>
    <row r="5338">
      <c r="H5338" t="s">
        <v>5117</v>
      </c>
    </row>
    <row r="5339">
      <c r="H5339" t="s">
        <v>5117</v>
      </c>
    </row>
    <row r="5340">
      <c r="H5340" t="s">
        <v>5117</v>
      </c>
    </row>
    <row r="5341">
      <c r="H5341" t="s">
        <v>5117</v>
      </c>
    </row>
    <row r="5342">
      <c r="H5342" t="s">
        <v>5117</v>
      </c>
    </row>
    <row r="5343">
      <c r="H5343" t="s">
        <v>5117</v>
      </c>
    </row>
    <row r="5344">
      <c r="H5344" t="s">
        <v>5117</v>
      </c>
    </row>
    <row r="5345">
      <c r="H5345" t="s">
        <v>5117</v>
      </c>
    </row>
    <row r="5346">
      <c r="H5346" t="s">
        <v>5117</v>
      </c>
    </row>
    <row r="5347">
      <c r="H5347" t="s">
        <v>5117</v>
      </c>
    </row>
    <row r="5348">
      <c r="H5348" t="s">
        <v>5117</v>
      </c>
    </row>
    <row r="5349">
      <c r="H5349" t="s">
        <v>5117</v>
      </c>
    </row>
    <row r="5350">
      <c r="H5350" t="s">
        <v>5117</v>
      </c>
    </row>
    <row r="5351">
      <c r="H5351" t="s">
        <v>5117</v>
      </c>
    </row>
    <row r="5352">
      <c r="H5352" t="s">
        <v>5117</v>
      </c>
    </row>
    <row r="5353">
      <c r="H5353" t="s">
        <v>5117</v>
      </c>
    </row>
    <row r="5354">
      <c r="H5354" t="s">
        <v>5117</v>
      </c>
    </row>
    <row r="5355">
      <c r="H5355" t="s">
        <v>5117</v>
      </c>
    </row>
    <row r="5356">
      <c r="H5356" t="s">
        <v>5117</v>
      </c>
    </row>
    <row r="5357">
      <c r="H5357" t="s">
        <v>5117</v>
      </c>
    </row>
    <row r="5358">
      <c r="H5358" t="s">
        <v>5117</v>
      </c>
    </row>
    <row r="5359">
      <c r="H5359" t="s">
        <v>5117</v>
      </c>
    </row>
    <row r="5360">
      <c r="H5360" t="s">
        <v>5117</v>
      </c>
    </row>
    <row r="5361">
      <c r="H5361" t="s">
        <v>5117</v>
      </c>
    </row>
    <row r="5362">
      <c r="H5362" t="s">
        <v>5117</v>
      </c>
    </row>
    <row r="5363">
      <c r="H5363" t="s">
        <v>5117</v>
      </c>
    </row>
    <row r="5364">
      <c r="H5364" t="s">
        <v>5117</v>
      </c>
    </row>
    <row r="5365">
      <c r="H5365" t="s">
        <v>5117</v>
      </c>
    </row>
    <row r="5366">
      <c r="H5366" t="s">
        <v>5117</v>
      </c>
    </row>
    <row r="5367">
      <c r="H5367" t="s">
        <v>5117</v>
      </c>
    </row>
    <row r="5368">
      <c r="H5368" t="s">
        <v>5117</v>
      </c>
    </row>
    <row r="5369">
      <c r="H5369" t="s">
        <v>5117</v>
      </c>
    </row>
    <row r="5370">
      <c r="H5370" t="s">
        <v>5117</v>
      </c>
    </row>
    <row r="5371">
      <c r="H5371" t="s">
        <v>5117</v>
      </c>
    </row>
    <row r="5372">
      <c r="H5372" t="s">
        <v>5117</v>
      </c>
    </row>
    <row r="5373">
      <c r="H5373" t="s">
        <v>5117</v>
      </c>
    </row>
    <row r="5374">
      <c r="H5374" t="s">
        <v>5117</v>
      </c>
    </row>
    <row r="5375">
      <c r="H5375" t="s">
        <v>5117</v>
      </c>
    </row>
    <row r="5376">
      <c r="H5376" t="s">
        <v>5117</v>
      </c>
    </row>
    <row r="5377">
      <c r="H5377" t="s">
        <v>5117</v>
      </c>
    </row>
    <row r="5378">
      <c r="H5378" t="s">
        <v>5117</v>
      </c>
    </row>
    <row r="5379">
      <c r="H5379" t="s">
        <v>5117</v>
      </c>
    </row>
    <row r="5380">
      <c r="H5380" t="s">
        <v>5117</v>
      </c>
    </row>
    <row r="5381">
      <c r="H5381" t="s">
        <v>5117</v>
      </c>
    </row>
    <row r="5382">
      <c r="H5382" t="s">
        <v>5117</v>
      </c>
    </row>
    <row r="5383">
      <c r="H5383" t="s">
        <v>5117</v>
      </c>
    </row>
    <row r="5384">
      <c r="H5384" t="s">
        <v>5117</v>
      </c>
    </row>
    <row r="5385">
      <c r="H5385" t="s">
        <v>5117</v>
      </c>
    </row>
    <row r="5386">
      <c r="H5386" t="s">
        <v>5117</v>
      </c>
    </row>
    <row r="5387">
      <c r="H5387" t="s">
        <v>5117</v>
      </c>
    </row>
    <row r="5388">
      <c r="H5388" t="s">
        <v>5117</v>
      </c>
    </row>
    <row r="5389">
      <c r="H5389" t="s">
        <v>5117</v>
      </c>
    </row>
    <row r="5390">
      <c r="H5390" t="s">
        <v>5117</v>
      </c>
    </row>
    <row r="5391">
      <c r="H5391" t="s">
        <v>5117</v>
      </c>
    </row>
    <row r="5392">
      <c r="H5392" t="s">
        <v>5117</v>
      </c>
    </row>
    <row r="5393">
      <c r="H5393" t="s">
        <v>5117</v>
      </c>
    </row>
    <row r="5394">
      <c r="H5394" t="s">
        <v>5117</v>
      </c>
    </row>
    <row r="5395">
      <c r="H5395" t="s">
        <v>5117</v>
      </c>
    </row>
    <row r="5396">
      <c r="H5396" t="s">
        <v>5117</v>
      </c>
    </row>
    <row r="5397">
      <c r="H5397" t="s">
        <v>5117</v>
      </c>
    </row>
    <row r="5398">
      <c r="H5398" t="s">
        <v>5117</v>
      </c>
    </row>
    <row r="5399">
      <c r="H5399" t="s">
        <v>5117</v>
      </c>
    </row>
    <row r="5400">
      <c r="H5400" t="s">
        <v>5117</v>
      </c>
    </row>
    <row r="5401">
      <c r="H5401" t="s">
        <v>5117</v>
      </c>
    </row>
    <row r="5402">
      <c r="H5402" t="s">
        <v>5117</v>
      </c>
    </row>
    <row r="5403">
      <c r="H5403" t="s">
        <v>5117</v>
      </c>
    </row>
    <row r="5404">
      <c r="H5404" t="s">
        <v>5117</v>
      </c>
    </row>
    <row r="5405">
      <c r="H5405" t="s">
        <v>5117</v>
      </c>
    </row>
    <row r="5406">
      <c r="H5406" t="s">
        <v>5117</v>
      </c>
    </row>
    <row r="5407">
      <c r="H5407" t="s">
        <v>5117</v>
      </c>
    </row>
    <row r="5408">
      <c r="H5408" t="s">
        <v>5117</v>
      </c>
    </row>
    <row r="5409">
      <c r="H5409" t="s">
        <v>5117</v>
      </c>
    </row>
    <row r="5410">
      <c r="H5410" t="s">
        <v>5117</v>
      </c>
    </row>
    <row r="5411">
      <c r="H5411" t="s">
        <v>5117</v>
      </c>
    </row>
    <row r="5412">
      <c r="H5412" t="s">
        <v>5117</v>
      </c>
    </row>
    <row r="5413">
      <c r="H5413" t="s">
        <v>5117</v>
      </c>
    </row>
    <row r="5414">
      <c r="H5414" t="s">
        <v>5117</v>
      </c>
    </row>
    <row r="5415">
      <c r="H5415" t="s">
        <v>5117</v>
      </c>
    </row>
    <row r="5416">
      <c r="H5416" t="s">
        <v>5117</v>
      </c>
    </row>
    <row r="5417">
      <c r="H5417" t="s">
        <v>5117</v>
      </c>
    </row>
    <row r="5418">
      <c r="H5418" t="s">
        <v>5117</v>
      </c>
    </row>
    <row r="5419">
      <c r="H5419" t="s">
        <v>5117</v>
      </c>
    </row>
    <row r="5420">
      <c r="H5420" t="s">
        <v>5117</v>
      </c>
    </row>
    <row r="5421">
      <c r="H5421" t="s">
        <v>5117</v>
      </c>
    </row>
    <row r="5422">
      <c r="H5422" t="s">
        <v>5117</v>
      </c>
    </row>
    <row r="5423">
      <c r="H5423" t="s">
        <v>5117</v>
      </c>
    </row>
    <row r="5424">
      <c r="H5424" t="s">
        <v>5117</v>
      </c>
    </row>
    <row r="5425">
      <c r="H5425" t="s">
        <v>5117</v>
      </c>
    </row>
    <row r="5426">
      <c r="H5426" t="s">
        <v>5117</v>
      </c>
    </row>
    <row r="5427">
      <c r="H5427" t="s">
        <v>5117</v>
      </c>
    </row>
    <row r="5428">
      <c r="H5428" t="s">
        <v>5117</v>
      </c>
    </row>
    <row r="5429">
      <c r="H5429" t="s">
        <v>5117</v>
      </c>
    </row>
    <row r="5430">
      <c r="H5430" t="s">
        <v>5117</v>
      </c>
    </row>
    <row r="5431">
      <c r="H5431" t="s">
        <v>5117</v>
      </c>
    </row>
    <row r="5432">
      <c r="H5432" t="s">
        <v>5117</v>
      </c>
    </row>
    <row r="5433">
      <c r="H5433" t="s">
        <v>5117</v>
      </c>
    </row>
    <row r="5434">
      <c r="H5434" t="s">
        <v>5117</v>
      </c>
    </row>
    <row r="5435">
      <c r="H5435" t="s">
        <v>5117</v>
      </c>
    </row>
    <row r="5436">
      <c r="H5436" t="s">
        <v>5117</v>
      </c>
    </row>
    <row r="5437">
      <c r="H5437" t="s">
        <v>5117</v>
      </c>
    </row>
    <row r="5438">
      <c r="H5438" t="s">
        <v>5117</v>
      </c>
    </row>
    <row r="5439">
      <c r="H5439" t="s">
        <v>5117</v>
      </c>
    </row>
    <row r="5440">
      <c r="H5440" t="s">
        <v>5117</v>
      </c>
    </row>
    <row r="5441">
      <c r="H5441" t="s">
        <v>5117</v>
      </c>
    </row>
    <row r="5442">
      <c r="H5442" t="s">
        <v>5117</v>
      </c>
    </row>
    <row r="5443">
      <c r="H5443" t="s">
        <v>5117</v>
      </c>
    </row>
    <row r="5444">
      <c r="H5444" t="s">
        <v>5117</v>
      </c>
    </row>
    <row r="5445">
      <c r="H5445" t="s">
        <v>5117</v>
      </c>
    </row>
    <row r="5446">
      <c r="H5446" t="s">
        <v>5117</v>
      </c>
    </row>
    <row r="5447">
      <c r="H5447" t="s">
        <v>5117</v>
      </c>
    </row>
    <row r="5448">
      <c r="H5448" t="s">
        <v>5117</v>
      </c>
    </row>
    <row r="5449">
      <c r="H5449" t="s">
        <v>5117</v>
      </c>
    </row>
    <row r="5450">
      <c r="H5450" t="s">
        <v>5117</v>
      </c>
    </row>
    <row r="5451">
      <c r="H5451" t="s">
        <v>5117</v>
      </c>
    </row>
    <row r="5452">
      <c r="H5452" t="s">
        <v>5117</v>
      </c>
    </row>
    <row r="5453">
      <c r="H5453" t="s">
        <v>5117</v>
      </c>
    </row>
    <row r="5454">
      <c r="H5454" t="s">
        <v>5117</v>
      </c>
    </row>
    <row r="5455">
      <c r="H5455" t="s">
        <v>5117</v>
      </c>
    </row>
    <row r="5456">
      <c r="H5456" t="s">
        <v>5117</v>
      </c>
    </row>
    <row r="5457">
      <c r="H5457" t="s">
        <v>5117</v>
      </c>
    </row>
    <row r="5458">
      <c r="H5458" t="s">
        <v>5117</v>
      </c>
    </row>
    <row r="5459">
      <c r="H5459" t="s">
        <v>5117</v>
      </c>
    </row>
    <row r="5460">
      <c r="H5460" t="s">
        <v>5117</v>
      </c>
    </row>
    <row r="5461">
      <c r="H5461" t="s">
        <v>5117</v>
      </c>
    </row>
    <row r="5462">
      <c r="H5462" t="s">
        <v>5117</v>
      </c>
    </row>
    <row r="5463">
      <c r="H5463" t="s">
        <v>5117</v>
      </c>
    </row>
    <row r="5464">
      <c r="H5464" t="s">
        <v>5117</v>
      </c>
    </row>
    <row r="5465">
      <c r="H5465" t="s">
        <v>5117</v>
      </c>
    </row>
    <row r="5466">
      <c r="H5466" t="s">
        <v>5117</v>
      </c>
    </row>
    <row r="5467">
      <c r="H5467" t="s">
        <v>5117</v>
      </c>
    </row>
    <row r="5468">
      <c r="H5468" t="s">
        <v>5117</v>
      </c>
    </row>
    <row r="5469">
      <c r="H5469" t="s">
        <v>5117</v>
      </c>
    </row>
    <row r="5470">
      <c r="H5470" t="s">
        <v>5117</v>
      </c>
    </row>
    <row r="5471">
      <c r="H5471" t="s">
        <v>5117</v>
      </c>
    </row>
    <row r="5472">
      <c r="H5472" t="s">
        <v>5117</v>
      </c>
    </row>
    <row r="5473">
      <c r="H5473" t="s">
        <v>5117</v>
      </c>
    </row>
    <row r="5474">
      <c r="H5474" t="s">
        <v>5117</v>
      </c>
    </row>
    <row r="5475">
      <c r="H5475" t="s">
        <v>5117</v>
      </c>
    </row>
    <row r="5476">
      <c r="H5476" t="s">
        <v>5117</v>
      </c>
    </row>
    <row r="5477">
      <c r="H5477" t="s">
        <v>5117</v>
      </c>
    </row>
    <row r="5478">
      <c r="H5478" t="s">
        <v>5117</v>
      </c>
    </row>
    <row r="5479">
      <c r="H5479" t="s">
        <v>5117</v>
      </c>
    </row>
    <row r="5480">
      <c r="H5480" t="s">
        <v>5117</v>
      </c>
    </row>
    <row r="5481">
      <c r="H5481" t="s">
        <v>5117</v>
      </c>
    </row>
    <row r="5482">
      <c r="H5482" t="s">
        <v>5117</v>
      </c>
    </row>
    <row r="5483">
      <c r="H5483" t="s">
        <v>5117</v>
      </c>
    </row>
    <row r="5484">
      <c r="H5484" t="s">
        <v>5117</v>
      </c>
    </row>
    <row r="5485">
      <c r="H5485" t="s">
        <v>5117</v>
      </c>
    </row>
    <row r="5486">
      <c r="H5486" t="s">
        <v>5117</v>
      </c>
    </row>
    <row r="5487">
      <c r="H5487" t="s">
        <v>5117</v>
      </c>
    </row>
    <row r="5488">
      <c r="H5488" t="s">
        <v>5117</v>
      </c>
    </row>
    <row r="5489">
      <c r="H5489" t="s">
        <v>5117</v>
      </c>
    </row>
    <row r="5490">
      <c r="H5490" t="s">
        <v>5117</v>
      </c>
    </row>
    <row r="5491">
      <c r="H5491" t="s">
        <v>5117</v>
      </c>
    </row>
    <row r="5492">
      <c r="H5492" t="s">
        <v>5117</v>
      </c>
    </row>
    <row r="5493">
      <c r="H5493" t="s">
        <v>5117</v>
      </c>
    </row>
    <row r="5494">
      <c r="H5494" t="s">
        <v>5117</v>
      </c>
    </row>
    <row r="5495">
      <c r="H5495" t="s">
        <v>5117</v>
      </c>
    </row>
    <row r="5496">
      <c r="H5496" t="s">
        <v>5117</v>
      </c>
    </row>
    <row r="5497">
      <c r="H5497" t="s">
        <v>5117</v>
      </c>
    </row>
    <row r="5498">
      <c r="H5498" t="s">
        <v>5117</v>
      </c>
    </row>
    <row r="5499">
      <c r="H5499" t="s">
        <v>5117</v>
      </c>
    </row>
    <row r="5500">
      <c r="H5500" t="s">
        <v>5117</v>
      </c>
    </row>
    <row r="5501">
      <c r="H5501" t="s">
        <v>5117</v>
      </c>
    </row>
    <row r="5502">
      <c r="H5502" t="s">
        <v>5117</v>
      </c>
    </row>
    <row r="5503">
      <c r="H5503" t="s">
        <v>5117</v>
      </c>
    </row>
    <row r="5504">
      <c r="H5504" t="s">
        <v>5117</v>
      </c>
    </row>
    <row r="5505">
      <c r="H5505" t="s">
        <v>5117</v>
      </c>
    </row>
    <row r="5506">
      <c r="H5506" t="s">
        <v>5117</v>
      </c>
    </row>
    <row r="5507">
      <c r="H5507" t="s">
        <v>5117</v>
      </c>
    </row>
    <row r="5508">
      <c r="H5508" t="s">
        <v>5117</v>
      </c>
    </row>
    <row r="5509">
      <c r="H5509" t="s">
        <v>5117</v>
      </c>
    </row>
    <row r="5510">
      <c r="H5510" t="s">
        <v>5117</v>
      </c>
    </row>
    <row r="5511">
      <c r="H5511" t="s">
        <v>5117</v>
      </c>
    </row>
    <row r="5512">
      <c r="H5512" t="s">
        <v>5117</v>
      </c>
    </row>
    <row r="5513">
      <c r="H5513" t="s">
        <v>5117</v>
      </c>
    </row>
    <row r="5514">
      <c r="H5514" t="s">
        <v>5117</v>
      </c>
    </row>
    <row r="5515">
      <c r="H5515" t="s">
        <v>5117</v>
      </c>
    </row>
    <row r="5516">
      <c r="H5516" t="s">
        <v>5117</v>
      </c>
    </row>
    <row r="5517">
      <c r="H5517" t="s">
        <v>5117</v>
      </c>
    </row>
    <row r="5518">
      <c r="H5518" t="s">
        <v>5117</v>
      </c>
    </row>
    <row r="5519">
      <c r="H5519" t="s">
        <v>5117</v>
      </c>
    </row>
    <row r="5520">
      <c r="H5520" t="s">
        <v>5117</v>
      </c>
    </row>
    <row r="5521">
      <c r="H5521" t="s">
        <v>5117</v>
      </c>
    </row>
    <row r="5522">
      <c r="H5522" t="s">
        <v>5117</v>
      </c>
    </row>
    <row r="5523">
      <c r="H5523" t="s">
        <v>5117</v>
      </c>
    </row>
    <row r="5524">
      <c r="H5524" t="s">
        <v>5117</v>
      </c>
    </row>
    <row r="5525">
      <c r="H5525" t="s">
        <v>5117</v>
      </c>
    </row>
    <row r="5526">
      <c r="H5526" t="s">
        <v>5117</v>
      </c>
    </row>
    <row r="5527">
      <c r="H5527" t="s">
        <v>5117</v>
      </c>
    </row>
    <row r="5528">
      <c r="H5528" t="s">
        <v>5117</v>
      </c>
    </row>
    <row r="5529">
      <c r="H5529" t="s">
        <v>5117</v>
      </c>
    </row>
    <row r="5530">
      <c r="H5530" t="s">
        <v>5117</v>
      </c>
    </row>
    <row r="5531">
      <c r="H5531" t="s">
        <v>5117</v>
      </c>
    </row>
    <row r="5532">
      <c r="H5532" t="s">
        <v>5117</v>
      </c>
    </row>
    <row r="5533">
      <c r="H5533" t="s">
        <v>5117</v>
      </c>
    </row>
    <row r="5534">
      <c r="H5534" t="s">
        <v>5117</v>
      </c>
    </row>
    <row r="5535">
      <c r="H5535" t="s">
        <v>5117</v>
      </c>
    </row>
    <row r="5536">
      <c r="H5536" t="s">
        <v>5117</v>
      </c>
    </row>
    <row r="5537">
      <c r="H5537" t="s">
        <v>5117</v>
      </c>
    </row>
    <row r="5538">
      <c r="H5538" t="s">
        <v>5117</v>
      </c>
    </row>
    <row r="5539">
      <c r="H5539" t="s">
        <v>5117</v>
      </c>
    </row>
    <row r="5540">
      <c r="H5540" t="s">
        <v>5117</v>
      </c>
    </row>
    <row r="5541">
      <c r="H5541" t="s">
        <v>5117</v>
      </c>
    </row>
    <row r="5542">
      <c r="H5542" t="s">
        <v>5117</v>
      </c>
    </row>
    <row r="5543">
      <c r="H5543" t="s">
        <v>5117</v>
      </c>
    </row>
    <row r="5544">
      <c r="H5544" t="s">
        <v>5117</v>
      </c>
    </row>
    <row r="5545">
      <c r="H5545" t="s">
        <v>5117</v>
      </c>
    </row>
    <row r="5546">
      <c r="H5546" t="s">
        <v>5117</v>
      </c>
    </row>
    <row r="5547">
      <c r="H5547" t="s">
        <v>5117</v>
      </c>
    </row>
    <row r="5548">
      <c r="H5548" t="s">
        <v>5117</v>
      </c>
    </row>
    <row r="5549">
      <c r="H5549" t="s">
        <v>5117</v>
      </c>
    </row>
    <row r="5550">
      <c r="H5550" t="s">
        <v>5117</v>
      </c>
    </row>
    <row r="5551">
      <c r="H5551" t="s">
        <v>5117</v>
      </c>
    </row>
    <row r="5552">
      <c r="H5552" t="s">
        <v>5117</v>
      </c>
    </row>
    <row r="5553">
      <c r="H5553" t="s">
        <v>5117</v>
      </c>
    </row>
    <row r="5554">
      <c r="H5554" t="s">
        <v>5117</v>
      </c>
    </row>
    <row r="5555">
      <c r="H5555" t="s">
        <v>5117</v>
      </c>
    </row>
    <row r="5556">
      <c r="H5556" t="s">
        <v>5117</v>
      </c>
    </row>
    <row r="5557">
      <c r="H5557" t="s">
        <v>5117</v>
      </c>
    </row>
    <row r="5558">
      <c r="H5558" t="s">
        <v>5117</v>
      </c>
    </row>
    <row r="5559">
      <c r="H5559" t="s">
        <v>5117</v>
      </c>
    </row>
    <row r="5560">
      <c r="H5560" t="s">
        <v>5117</v>
      </c>
    </row>
    <row r="5561">
      <c r="H5561" t="s">
        <v>5117</v>
      </c>
    </row>
    <row r="5562">
      <c r="H5562" t="s">
        <v>5117</v>
      </c>
    </row>
    <row r="5563">
      <c r="H5563" t="s">
        <v>5117</v>
      </c>
    </row>
    <row r="5564">
      <c r="H5564" t="s">
        <v>5117</v>
      </c>
    </row>
    <row r="5565">
      <c r="H5565" t="s">
        <v>5117</v>
      </c>
    </row>
    <row r="5566">
      <c r="H5566" t="s">
        <v>5117</v>
      </c>
    </row>
    <row r="5567">
      <c r="H5567" t="s">
        <v>5117</v>
      </c>
    </row>
    <row r="5568">
      <c r="H5568" t="s">
        <v>5117</v>
      </c>
    </row>
    <row r="5569">
      <c r="H5569" t="s">
        <v>5117</v>
      </c>
    </row>
    <row r="5570">
      <c r="H5570" t="s">
        <v>5117</v>
      </c>
    </row>
    <row r="5571">
      <c r="H5571" t="s">
        <v>5117</v>
      </c>
    </row>
    <row r="5572">
      <c r="H5572" t="s">
        <v>5117</v>
      </c>
    </row>
    <row r="5573">
      <c r="H5573" t="s">
        <v>5117</v>
      </c>
    </row>
    <row r="5574">
      <c r="H5574" t="s">
        <v>5117</v>
      </c>
    </row>
    <row r="5575">
      <c r="H5575" t="s">
        <v>5117</v>
      </c>
    </row>
    <row r="5576">
      <c r="H5576" t="s">
        <v>5117</v>
      </c>
    </row>
    <row r="5577">
      <c r="H5577" t="s">
        <v>5117</v>
      </c>
    </row>
    <row r="5578">
      <c r="H5578" t="s">
        <v>5117</v>
      </c>
    </row>
    <row r="5579">
      <c r="H5579" t="s">
        <v>5117</v>
      </c>
    </row>
    <row r="5580">
      <c r="H5580" t="s">
        <v>5117</v>
      </c>
    </row>
    <row r="5581">
      <c r="H5581" t="s">
        <v>5117</v>
      </c>
    </row>
    <row r="5582">
      <c r="H5582" t="s">
        <v>5117</v>
      </c>
    </row>
    <row r="5583">
      <c r="H5583" t="s">
        <v>5117</v>
      </c>
    </row>
    <row r="5584">
      <c r="H5584" t="s">
        <v>5117</v>
      </c>
    </row>
    <row r="5585">
      <c r="H5585" t="s">
        <v>5117</v>
      </c>
    </row>
    <row r="5586">
      <c r="H5586" t="s">
        <v>5117</v>
      </c>
    </row>
    <row r="5587">
      <c r="H5587" t="s">
        <v>5117</v>
      </c>
    </row>
    <row r="5588">
      <c r="H5588" t="s">
        <v>5117</v>
      </c>
    </row>
    <row r="5589">
      <c r="H5589" t="s">
        <v>5117</v>
      </c>
    </row>
    <row r="5590">
      <c r="H5590" t="s">
        <v>5117</v>
      </c>
    </row>
    <row r="5591">
      <c r="H5591" t="s">
        <v>5117</v>
      </c>
    </row>
    <row r="5592">
      <c r="H5592" t="s">
        <v>5117</v>
      </c>
    </row>
    <row r="5593">
      <c r="H5593" t="s">
        <v>5117</v>
      </c>
    </row>
    <row r="5594">
      <c r="H5594" t="s">
        <v>5117</v>
      </c>
    </row>
    <row r="5595">
      <c r="H5595" t="s">
        <v>5117</v>
      </c>
    </row>
    <row r="5596">
      <c r="H5596" t="s">
        <v>5117</v>
      </c>
    </row>
    <row r="5597">
      <c r="H5597" t="s">
        <v>5117</v>
      </c>
    </row>
    <row r="5598">
      <c r="H5598" t="s">
        <v>5117</v>
      </c>
    </row>
    <row r="5599">
      <c r="H5599" t="s">
        <v>5117</v>
      </c>
    </row>
    <row r="5600">
      <c r="H5600" t="s">
        <v>5117</v>
      </c>
    </row>
    <row r="5601">
      <c r="H5601" t="s">
        <v>5117</v>
      </c>
    </row>
    <row r="5602">
      <c r="H5602" t="s">
        <v>5117</v>
      </c>
    </row>
    <row r="5603">
      <c r="H5603" t="s">
        <v>5117</v>
      </c>
    </row>
    <row r="5604">
      <c r="H5604" t="s">
        <v>5117</v>
      </c>
    </row>
    <row r="5605">
      <c r="H5605" t="s">
        <v>5117</v>
      </c>
    </row>
    <row r="5606">
      <c r="H5606" t="s">
        <v>5117</v>
      </c>
    </row>
    <row r="5607">
      <c r="H5607" t="s">
        <v>5117</v>
      </c>
    </row>
    <row r="5608">
      <c r="H5608" t="s">
        <v>5117</v>
      </c>
    </row>
    <row r="5609">
      <c r="H5609" t="s">
        <v>5117</v>
      </c>
    </row>
    <row r="5610">
      <c r="H5610" t="s">
        <v>5117</v>
      </c>
    </row>
    <row r="5611">
      <c r="H5611" t="s">
        <v>5117</v>
      </c>
    </row>
    <row r="5612">
      <c r="H5612" t="s">
        <v>5117</v>
      </c>
    </row>
    <row r="5613">
      <c r="H5613" t="s">
        <v>5117</v>
      </c>
    </row>
    <row r="5614">
      <c r="H5614" t="s">
        <v>5117</v>
      </c>
    </row>
    <row r="5615">
      <c r="H5615" t="s">
        <v>5117</v>
      </c>
    </row>
    <row r="5616">
      <c r="H5616" t="s">
        <v>5117</v>
      </c>
    </row>
    <row r="5617">
      <c r="H5617" t="s">
        <v>5117</v>
      </c>
    </row>
    <row r="5618">
      <c r="H5618" t="s">
        <v>5117</v>
      </c>
    </row>
    <row r="5619">
      <c r="H5619" t="s">
        <v>5117</v>
      </c>
    </row>
    <row r="5620">
      <c r="H5620" t="s">
        <v>5117</v>
      </c>
    </row>
    <row r="5621">
      <c r="H5621" t="s">
        <v>5117</v>
      </c>
    </row>
    <row r="5622">
      <c r="H5622" t="s">
        <v>5117</v>
      </c>
    </row>
    <row r="5623">
      <c r="H5623" t="s">
        <v>5117</v>
      </c>
    </row>
    <row r="5624">
      <c r="H5624" t="s">
        <v>5117</v>
      </c>
    </row>
    <row r="5625">
      <c r="H5625" t="s">
        <v>5117</v>
      </c>
    </row>
    <row r="5626">
      <c r="H5626" t="s">
        <v>5117</v>
      </c>
    </row>
    <row r="5627">
      <c r="H5627" t="s">
        <v>5117</v>
      </c>
    </row>
    <row r="5628">
      <c r="H5628" t="s">
        <v>5117</v>
      </c>
    </row>
    <row r="5629">
      <c r="H5629" t="s">
        <v>5117</v>
      </c>
    </row>
    <row r="5630">
      <c r="H5630" t="s">
        <v>5117</v>
      </c>
    </row>
    <row r="5631">
      <c r="H5631" t="s">
        <v>5117</v>
      </c>
    </row>
    <row r="5632">
      <c r="H5632" t="s">
        <v>5117</v>
      </c>
    </row>
    <row r="5633">
      <c r="H5633" t="s">
        <v>5117</v>
      </c>
    </row>
    <row r="5634">
      <c r="H5634" t="s">
        <v>5117</v>
      </c>
    </row>
    <row r="5635">
      <c r="H5635" t="s">
        <v>5117</v>
      </c>
    </row>
    <row r="5636">
      <c r="H5636" t="s">
        <v>5117</v>
      </c>
    </row>
    <row r="5637">
      <c r="H5637" t="s">
        <v>5117</v>
      </c>
    </row>
    <row r="5638">
      <c r="H5638" t="s">
        <v>5117</v>
      </c>
    </row>
    <row r="5639">
      <c r="H5639" t="s">
        <v>5117</v>
      </c>
    </row>
    <row r="5640">
      <c r="H5640" t="s">
        <v>5117</v>
      </c>
    </row>
    <row r="5641">
      <c r="H5641" t="s">
        <v>5117</v>
      </c>
    </row>
    <row r="5642">
      <c r="H5642" t="s">
        <v>5117</v>
      </c>
    </row>
    <row r="5643">
      <c r="H5643" t="s">
        <v>5117</v>
      </c>
    </row>
    <row r="5644">
      <c r="H5644" t="s">
        <v>5117</v>
      </c>
    </row>
    <row r="5645">
      <c r="H5645" t="s">
        <v>5117</v>
      </c>
    </row>
    <row r="5646">
      <c r="H5646" t="s">
        <v>5117</v>
      </c>
    </row>
    <row r="5647">
      <c r="H5647" t="s">
        <v>5117</v>
      </c>
    </row>
    <row r="5648">
      <c r="H5648" t="s">
        <v>5117</v>
      </c>
    </row>
    <row r="5649">
      <c r="H5649" t="s">
        <v>5117</v>
      </c>
    </row>
    <row r="5650">
      <c r="H5650" t="s">
        <v>5117</v>
      </c>
    </row>
    <row r="5651">
      <c r="H5651" t="s">
        <v>5117</v>
      </c>
    </row>
    <row r="5652">
      <c r="H5652" t="s">
        <v>5117</v>
      </c>
    </row>
    <row r="5653">
      <c r="H5653" t="s">
        <v>5117</v>
      </c>
    </row>
    <row r="5654">
      <c r="H5654" t="s">
        <v>5117</v>
      </c>
    </row>
    <row r="5655">
      <c r="H5655" t="s">
        <v>5117</v>
      </c>
    </row>
    <row r="5656">
      <c r="H5656" t="s">
        <v>5117</v>
      </c>
    </row>
    <row r="5657">
      <c r="H5657" t="s">
        <v>5117</v>
      </c>
    </row>
    <row r="5658">
      <c r="H5658" t="s">
        <v>5117</v>
      </c>
    </row>
    <row r="5659">
      <c r="H5659" t="s">
        <v>5117</v>
      </c>
    </row>
    <row r="5660">
      <c r="H5660" t="s">
        <v>5117</v>
      </c>
    </row>
    <row r="5661">
      <c r="H5661" t="s">
        <v>5117</v>
      </c>
    </row>
    <row r="5662">
      <c r="H5662" t="s">
        <v>5117</v>
      </c>
    </row>
    <row r="5663">
      <c r="H5663" t="s">
        <v>5117</v>
      </c>
    </row>
    <row r="5664">
      <c r="H5664" t="s">
        <v>5117</v>
      </c>
    </row>
    <row r="5665">
      <c r="H5665" t="s">
        <v>5117</v>
      </c>
    </row>
    <row r="5666">
      <c r="H5666" t="s">
        <v>5117</v>
      </c>
    </row>
    <row r="5667">
      <c r="H5667" t="s">
        <v>5117</v>
      </c>
    </row>
    <row r="5668">
      <c r="H5668" t="s">
        <v>5117</v>
      </c>
    </row>
    <row r="5669">
      <c r="H5669" t="s">
        <v>5117</v>
      </c>
    </row>
    <row r="5670">
      <c r="H5670" t="s">
        <v>5117</v>
      </c>
    </row>
    <row r="5671">
      <c r="H5671" t="s">
        <v>5117</v>
      </c>
    </row>
    <row r="5672">
      <c r="H5672" t="s">
        <v>5117</v>
      </c>
    </row>
    <row r="5673">
      <c r="H5673" t="s">
        <v>5117</v>
      </c>
    </row>
    <row r="5674">
      <c r="H5674" t="s">
        <v>5117</v>
      </c>
    </row>
    <row r="5675">
      <c r="H5675" t="s">
        <v>5117</v>
      </c>
    </row>
    <row r="5676">
      <c r="H5676" t="s">
        <v>5117</v>
      </c>
    </row>
    <row r="5677">
      <c r="H5677" t="s">
        <v>5117</v>
      </c>
    </row>
    <row r="5678">
      <c r="H5678" t="s">
        <v>5117</v>
      </c>
    </row>
    <row r="5679">
      <c r="H5679" t="s">
        <v>5117</v>
      </c>
    </row>
    <row r="5680">
      <c r="H5680" t="s">
        <v>5117</v>
      </c>
    </row>
    <row r="5681">
      <c r="H5681" t="s">
        <v>5117</v>
      </c>
    </row>
    <row r="5682">
      <c r="H5682" t="s">
        <v>5117</v>
      </c>
    </row>
    <row r="5683">
      <c r="H5683" t="s">
        <v>5117</v>
      </c>
    </row>
    <row r="5684">
      <c r="H5684" t="s">
        <v>5117</v>
      </c>
    </row>
    <row r="5685">
      <c r="H5685" t="s">
        <v>5117</v>
      </c>
    </row>
    <row r="5686">
      <c r="H5686" t="s">
        <v>5117</v>
      </c>
    </row>
    <row r="5687">
      <c r="H5687" t="s">
        <v>5117</v>
      </c>
    </row>
    <row r="5688">
      <c r="H5688" t="s">
        <v>5117</v>
      </c>
    </row>
    <row r="5689">
      <c r="H5689" t="s">
        <v>5117</v>
      </c>
    </row>
    <row r="5690">
      <c r="H5690" t="s">
        <v>5117</v>
      </c>
    </row>
    <row r="5691">
      <c r="H5691" t="s">
        <v>5117</v>
      </c>
    </row>
    <row r="5692">
      <c r="H5692" t="s">
        <v>5117</v>
      </c>
    </row>
    <row r="5693">
      <c r="H5693" t="s">
        <v>5117</v>
      </c>
    </row>
    <row r="5694">
      <c r="H5694" t="s">
        <v>5117</v>
      </c>
    </row>
    <row r="5695">
      <c r="H5695" t="s">
        <v>5117</v>
      </c>
    </row>
    <row r="5696">
      <c r="H5696" t="s">
        <v>5117</v>
      </c>
    </row>
    <row r="5697">
      <c r="H5697" t="s">
        <v>5117</v>
      </c>
    </row>
    <row r="5698">
      <c r="H5698" t="s">
        <v>5117</v>
      </c>
    </row>
    <row r="5699">
      <c r="H5699" t="s">
        <v>5117</v>
      </c>
    </row>
    <row r="5700">
      <c r="H5700" t="s">
        <v>5117</v>
      </c>
    </row>
    <row r="5701">
      <c r="H5701" t="s">
        <v>5117</v>
      </c>
    </row>
    <row r="5702">
      <c r="H5702" t="s">
        <v>5117</v>
      </c>
    </row>
    <row r="5703">
      <c r="H5703" t="s">
        <v>5117</v>
      </c>
    </row>
    <row r="5704">
      <c r="H5704" t="s">
        <v>5117</v>
      </c>
    </row>
    <row r="5705">
      <c r="H5705" t="s">
        <v>5117</v>
      </c>
    </row>
    <row r="5706">
      <c r="H5706" t="s">
        <v>5117</v>
      </c>
    </row>
    <row r="5707">
      <c r="H5707" t="s">
        <v>5117</v>
      </c>
    </row>
    <row r="5708">
      <c r="H5708" t="s">
        <v>5117</v>
      </c>
    </row>
    <row r="5709">
      <c r="H5709" t="s">
        <v>5117</v>
      </c>
    </row>
    <row r="5710">
      <c r="H5710" t="s">
        <v>5117</v>
      </c>
    </row>
    <row r="5711">
      <c r="H5711" t="s">
        <v>5117</v>
      </c>
    </row>
    <row r="5712">
      <c r="H5712" t="s">
        <v>5117</v>
      </c>
    </row>
    <row r="5713">
      <c r="H5713" t="s">
        <v>5117</v>
      </c>
    </row>
    <row r="5714">
      <c r="H5714" t="s">
        <v>5117</v>
      </c>
    </row>
    <row r="5715">
      <c r="H5715" t="s">
        <v>5117</v>
      </c>
    </row>
    <row r="5716">
      <c r="H5716" t="s">
        <v>5117</v>
      </c>
    </row>
    <row r="5717">
      <c r="H5717" t="s">
        <v>5117</v>
      </c>
    </row>
    <row r="5718">
      <c r="H5718" t="s">
        <v>5117</v>
      </c>
    </row>
    <row r="5719">
      <c r="H5719" t="s">
        <v>5117</v>
      </c>
    </row>
    <row r="5720">
      <c r="H5720" t="s">
        <v>5117</v>
      </c>
    </row>
    <row r="5721">
      <c r="H5721" t="s">
        <v>5117</v>
      </c>
    </row>
    <row r="5722">
      <c r="H5722" t="s">
        <v>5117</v>
      </c>
    </row>
    <row r="5723">
      <c r="H5723" t="s">
        <v>5117</v>
      </c>
    </row>
    <row r="5724">
      <c r="H5724" t="s">
        <v>5117</v>
      </c>
    </row>
    <row r="5725">
      <c r="H5725" t="s">
        <v>5117</v>
      </c>
    </row>
    <row r="5726">
      <c r="H5726" t="s">
        <v>5117</v>
      </c>
    </row>
    <row r="5727">
      <c r="H5727" t="s">
        <v>5117</v>
      </c>
    </row>
    <row r="5728">
      <c r="H5728" t="s">
        <v>5117</v>
      </c>
    </row>
    <row r="5729">
      <c r="H5729" t="s">
        <v>5117</v>
      </c>
    </row>
    <row r="5730">
      <c r="H5730" t="s">
        <v>5117</v>
      </c>
    </row>
    <row r="5731">
      <c r="H5731" t="s">
        <v>5117</v>
      </c>
    </row>
    <row r="5732">
      <c r="H5732" t="s">
        <v>5117</v>
      </c>
    </row>
    <row r="5733">
      <c r="H5733" t="s">
        <v>5117</v>
      </c>
    </row>
    <row r="5734">
      <c r="H5734" t="s">
        <v>5117</v>
      </c>
    </row>
    <row r="5735">
      <c r="H5735" t="s">
        <v>5117</v>
      </c>
    </row>
    <row r="5736">
      <c r="H5736" t="s">
        <v>5117</v>
      </c>
    </row>
    <row r="5737">
      <c r="H5737" t="s">
        <v>5117</v>
      </c>
    </row>
    <row r="5738">
      <c r="H5738" t="s">
        <v>5117</v>
      </c>
    </row>
    <row r="5739">
      <c r="H5739" t="s">
        <v>5117</v>
      </c>
    </row>
    <row r="5740">
      <c r="H5740" t="s">
        <v>5117</v>
      </c>
    </row>
    <row r="5741">
      <c r="H5741" t="s">
        <v>5117</v>
      </c>
    </row>
    <row r="5742">
      <c r="H5742" t="s">
        <v>5117</v>
      </c>
    </row>
    <row r="5743">
      <c r="H5743" t="s">
        <v>5117</v>
      </c>
    </row>
    <row r="5744">
      <c r="H5744" t="s">
        <v>5117</v>
      </c>
    </row>
    <row r="5745">
      <c r="H5745" t="s">
        <v>5117</v>
      </c>
    </row>
    <row r="5746">
      <c r="H5746" t="s">
        <v>5117</v>
      </c>
    </row>
    <row r="5747">
      <c r="H5747" t="s">
        <v>5117</v>
      </c>
    </row>
    <row r="5748">
      <c r="H5748" t="s">
        <v>5117</v>
      </c>
    </row>
    <row r="5749">
      <c r="H5749" t="s">
        <v>5117</v>
      </c>
    </row>
    <row r="5750">
      <c r="H5750" t="s">
        <v>5117</v>
      </c>
    </row>
    <row r="5751">
      <c r="H5751" t="s">
        <v>5117</v>
      </c>
    </row>
    <row r="5752">
      <c r="H5752" t="s">
        <v>5117</v>
      </c>
    </row>
    <row r="5753">
      <c r="H5753" t="s">
        <v>5117</v>
      </c>
    </row>
    <row r="5754">
      <c r="H5754" t="s">
        <v>5117</v>
      </c>
    </row>
    <row r="5755">
      <c r="H5755" t="s">
        <v>5117</v>
      </c>
    </row>
    <row r="5756">
      <c r="H5756" t="s">
        <v>5117</v>
      </c>
    </row>
    <row r="5757">
      <c r="H5757" t="s">
        <v>5117</v>
      </c>
    </row>
    <row r="5758">
      <c r="H5758" t="s">
        <v>5117</v>
      </c>
    </row>
    <row r="5759">
      <c r="H5759" t="s">
        <v>5117</v>
      </c>
    </row>
    <row r="5760">
      <c r="H5760" t="s">
        <v>5117</v>
      </c>
    </row>
    <row r="5761">
      <c r="H5761" t="s">
        <v>5117</v>
      </c>
    </row>
    <row r="5762">
      <c r="H5762" t="s">
        <v>5117</v>
      </c>
    </row>
    <row r="5763">
      <c r="H5763" t="s">
        <v>5117</v>
      </c>
    </row>
    <row r="5764">
      <c r="H5764" t="s">
        <v>5117</v>
      </c>
    </row>
    <row r="5765">
      <c r="H5765" t="s">
        <v>5117</v>
      </c>
    </row>
    <row r="5766">
      <c r="H5766" t="s">
        <v>5117</v>
      </c>
    </row>
    <row r="5767">
      <c r="H5767" t="s">
        <v>5117</v>
      </c>
    </row>
    <row r="5768">
      <c r="H5768" t="s">
        <v>5117</v>
      </c>
    </row>
    <row r="5769">
      <c r="H5769" t="s">
        <v>5117</v>
      </c>
    </row>
    <row r="5770">
      <c r="H5770" t="s">
        <v>5117</v>
      </c>
    </row>
    <row r="5771">
      <c r="H5771" t="s">
        <v>5117</v>
      </c>
    </row>
    <row r="5772">
      <c r="H5772" t="s">
        <v>5117</v>
      </c>
    </row>
    <row r="5773">
      <c r="H5773" t="s">
        <v>5117</v>
      </c>
    </row>
    <row r="5774">
      <c r="H5774" t="s">
        <v>5117</v>
      </c>
    </row>
    <row r="5775">
      <c r="H5775" t="s">
        <v>5117</v>
      </c>
    </row>
    <row r="5776">
      <c r="H5776" t="s">
        <v>5117</v>
      </c>
    </row>
    <row r="5777">
      <c r="H5777" t="s">
        <v>5117</v>
      </c>
    </row>
    <row r="5778">
      <c r="H5778" t="s">
        <v>5117</v>
      </c>
    </row>
    <row r="5779">
      <c r="H5779" t="s">
        <v>5117</v>
      </c>
    </row>
    <row r="5780">
      <c r="H5780" t="s">
        <v>5117</v>
      </c>
    </row>
    <row r="5781">
      <c r="H5781" t="s">
        <v>5117</v>
      </c>
    </row>
    <row r="5782">
      <c r="H5782" t="s">
        <v>5117</v>
      </c>
    </row>
    <row r="5783">
      <c r="H5783" t="s">
        <v>5117</v>
      </c>
    </row>
    <row r="5784">
      <c r="H5784" t="s">
        <v>5117</v>
      </c>
    </row>
    <row r="5785">
      <c r="H5785" t="s">
        <v>5117</v>
      </c>
    </row>
    <row r="5786">
      <c r="H5786" t="s">
        <v>5117</v>
      </c>
    </row>
    <row r="5787">
      <c r="H5787" t="s">
        <v>5117</v>
      </c>
    </row>
    <row r="5788">
      <c r="H5788" t="s">
        <v>5117</v>
      </c>
    </row>
    <row r="5789">
      <c r="H5789" t="s">
        <v>5117</v>
      </c>
    </row>
    <row r="5790">
      <c r="H5790" t="s">
        <v>5117</v>
      </c>
    </row>
    <row r="5791">
      <c r="H5791" t="s">
        <v>5117</v>
      </c>
    </row>
    <row r="5792">
      <c r="H5792" t="s">
        <v>5117</v>
      </c>
    </row>
    <row r="5793">
      <c r="H5793" t="s">
        <v>5117</v>
      </c>
    </row>
    <row r="5794">
      <c r="H5794" t="s">
        <v>5117</v>
      </c>
    </row>
    <row r="5795">
      <c r="H5795" t="s">
        <v>5117</v>
      </c>
    </row>
    <row r="5796">
      <c r="H5796" t="s">
        <v>5117</v>
      </c>
    </row>
    <row r="5797">
      <c r="H5797" t="s">
        <v>5117</v>
      </c>
    </row>
    <row r="5798">
      <c r="H5798" t="s">
        <v>5117</v>
      </c>
    </row>
    <row r="5799">
      <c r="H5799" t="s">
        <v>5117</v>
      </c>
    </row>
    <row r="5800">
      <c r="H5800" t="s">
        <v>5117</v>
      </c>
    </row>
    <row r="5801">
      <c r="H5801" t="s">
        <v>5117</v>
      </c>
    </row>
    <row r="5802">
      <c r="H5802" t="s">
        <v>5117</v>
      </c>
    </row>
    <row r="5803">
      <c r="H5803" t="s">
        <v>5117</v>
      </c>
    </row>
    <row r="5804">
      <c r="H5804" t="s">
        <v>5117</v>
      </c>
    </row>
    <row r="5805">
      <c r="H5805" t="s">
        <v>5117</v>
      </c>
    </row>
    <row r="5806">
      <c r="H5806" t="s">
        <v>5117</v>
      </c>
    </row>
    <row r="5807">
      <c r="H5807" t="s">
        <v>5117</v>
      </c>
    </row>
    <row r="5808">
      <c r="H5808" t="s">
        <v>5117</v>
      </c>
    </row>
    <row r="5809">
      <c r="H5809" t="s">
        <v>5117</v>
      </c>
    </row>
    <row r="5810">
      <c r="H5810" t="s">
        <v>5117</v>
      </c>
    </row>
    <row r="5811">
      <c r="H5811" t="s">
        <v>5117</v>
      </c>
    </row>
    <row r="5812">
      <c r="H5812" t="s">
        <v>5117</v>
      </c>
    </row>
    <row r="5813">
      <c r="H5813" t="s">
        <v>5117</v>
      </c>
    </row>
    <row r="5814">
      <c r="H5814" t="s">
        <v>5117</v>
      </c>
    </row>
    <row r="5815">
      <c r="H5815" t="s">
        <v>5117</v>
      </c>
    </row>
    <row r="5816">
      <c r="H5816" t="s">
        <v>5117</v>
      </c>
    </row>
    <row r="5817">
      <c r="H5817" t="s">
        <v>5117</v>
      </c>
    </row>
    <row r="5818">
      <c r="H5818" t="s">
        <v>5117</v>
      </c>
    </row>
    <row r="5819">
      <c r="H5819" t="s">
        <v>5117</v>
      </c>
    </row>
    <row r="5820">
      <c r="H5820" t="s">
        <v>5117</v>
      </c>
    </row>
    <row r="5821">
      <c r="H5821" t="s">
        <v>5117</v>
      </c>
    </row>
    <row r="5822">
      <c r="H5822" t="s">
        <v>5117</v>
      </c>
    </row>
    <row r="5823">
      <c r="H5823" t="s">
        <v>5117</v>
      </c>
    </row>
    <row r="5824">
      <c r="H5824" t="s">
        <v>5117</v>
      </c>
    </row>
    <row r="5825">
      <c r="H5825" t="s">
        <v>5117</v>
      </c>
    </row>
    <row r="5826">
      <c r="H5826" t="s">
        <v>5117</v>
      </c>
    </row>
    <row r="5827">
      <c r="H5827" t="s">
        <v>5117</v>
      </c>
    </row>
    <row r="5828">
      <c r="H5828" t="s">
        <v>5117</v>
      </c>
    </row>
    <row r="5829">
      <c r="H5829" t="s">
        <v>5117</v>
      </c>
    </row>
    <row r="5830">
      <c r="H5830" t="s">
        <v>5117</v>
      </c>
    </row>
    <row r="5831">
      <c r="H5831" t="s">
        <v>5117</v>
      </c>
    </row>
    <row r="5832">
      <c r="H5832" t="s">
        <v>5117</v>
      </c>
    </row>
    <row r="5833">
      <c r="H5833" t="s">
        <v>5117</v>
      </c>
    </row>
    <row r="5834">
      <c r="H5834" t="s">
        <v>5117</v>
      </c>
    </row>
    <row r="5835">
      <c r="H5835" t="s">
        <v>5117</v>
      </c>
    </row>
    <row r="5836">
      <c r="H5836" t="s">
        <v>5117</v>
      </c>
    </row>
    <row r="5837">
      <c r="H5837" t="s">
        <v>5117</v>
      </c>
    </row>
    <row r="5838">
      <c r="H5838" t="s">
        <v>5117</v>
      </c>
    </row>
    <row r="5839">
      <c r="H5839" t="s">
        <v>5117</v>
      </c>
    </row>
    <row r="5840">
      <c r="H5840" t="s">
        <v>5117</v>
      </c>
    </row>
    <row r="5841">
      <c r="H5841" t="s">
        <v>5117</v>
      </c>
    </row>
    <row r="5842">
      <c r="H5842" t="s">
        <v>5117</v>
      </c>
    </row>
    <row r="5843">
      <c r="H5843" t="s">
        <v>5117</v>
      </c>
    </row>
    <row r="5844">
      <c r="H5844" t="s">
        <v>5117</v>
      </c>
    </row>
    <row r="5845">
      <c r="H5845" t="s">
        <v>5117</v>
      </c>
    </row>
    <row r="5846">
      <c r="H5846" t="s">
        <v>5117</v>
      </c>
    </row>
    <row r="5847">
      <c r="H5847" t="s">
        <v>5117</v>
      </c>
    </row>
    <row r="5848">
      <c r="H5848" t="s">
        <v>5117</v>
      </c>
    </row>
    <row r="5849">
      <c r="H5849" t="s">
        <v>5117</v>
      </c>
    </row>
    <row r="5850">
      <c r="H5850" t="s">
        <v>5117</v>
      </c>
    </row>
    <row r="5851">
      <c r="H5851" t="s">
        <v>5117</v>
      </c>
    </row>
    <row r="5852">
      <c r="H5852" t="s">
        <v>5117</v>
      </c>
    </row>
    <row r="5853">
      <c r="H5853" t="s">
        <v>5117</v>
      </c>
    </row>
    <row r="5854">
      <c r="H5854" t="s">
        <v>5117</v>
      </c>
    </row>
    <row r="5855">
      <c r="H5855" t="s">
        <v>5117</v>
      </c>
    </row>
    <row r="5856">
      <c r="H5856" t="s">
        <v>5117</v>
      </c>
    </row>
    <row r="5857">
      <c r="H5857" t="s">
        <v>5117</v>
      </c>
    </row>
    <row r="5858">
      <c r="H5858" t="s">
        <v>5117</v>
      </c>
    </row>
    <row r="5859">
      <c r="H5859" t="s">
        <v>5117</v>
      </c>
    </row>
    <row r="5860">
      <c r="H5860" t="s">
        <v>5117</v>
      </c>
    </row>
    <row r="5861">
      <c r="H5861" t="s">
        <v>5117</v>
      </c>
    </row>
    <row r="5862">
      <c r="H5862" t="s">
        <v>5117</v>
      </c>
    </row>
    <row r="5863">
      <c r="H5863" t="s">
        <v>5117</v>
      </c>
    </row>
    <row r="5864">
      <c r="H5864" t="s">
        <v>5117</v>
      </c>
    </row>
    <row r="5865">
      <c r="H5865" t="s">
        <v>5117</v>
      </c>
    </row>
    <row r="5866">
      <c r="H5866" t="s">
        <v>5117</v>
      </c>
    </row>
    <row r="5867">
      <c r="H5867" t="s">
        <v>5117</v>
      </c>
    </row>
    <row r="5868">
      <c r="H5868" t="s">
        <v>5117</v>
      </c>
    </row>
    <row r="5869">
      <c r="H5869" t="s">
        <v>5117</v>
      </c>
    </row>
    <row r="5870">
      <c r="H5870" t="s">
        <v>5117</v>
      </c>
    </row>
    <row r="5871">
      <c r="H5871" t="s">
        <v>5117</v>
      </c>
    </row>
    <row r="5872">
      <c r="H5872" t="s">
        <v>5117</v>
      </c>
    </row>
    <row r="5873">
      <c r="H5873" t="s">
        <v>5117</v>
      </c>
    </row>
    <row r="5874">
      <c r="H5874" t="s">
        <v>5117</v>
      </c>
    </row>
    <row r="5875">
      <c r="H5875" t="s">
        <v>5117</v>
      </c>
    </row>
    <row r="5876">
      <c r="H5876" t="s">
        <v>5117</v>
      </c>
    </row>
    <row r="5877">
      <c r="H5877" t="s">
        <v>5117</v>
      </c>
    </row>
    <row r="5878">
      <c r="H5878" t="s">
        <v>5117</v>
      </c>
    </row>
    <row r="5879">
      <c r="H5879" t="s">
        <v>5117</v>
      </c>
    </row>
    <row r="5880">
      <c r="H5880" t="s">
        <v>5117</v>
      </c>
    </row>
    <row r="5881">
      <c r="H5881" t="s">
        <v>5117</v>
      </c>
    </row>
    <row r="5882">
      <c r="H5882" t="s">
        <v>5117</v>
      </c>
    </row>
    <row r="5883">
      <c r="H5883" t="s">
        <v>5117</v>
      </c>
    </row>
    <row r="5884">
      <c r="H5884" t="s">
        <v>5117</v>
      </c>
    </row>
    <row r="5885">
      <c r="H5885" t="s">
        <v>5117</v>
      </c>
    </row>
    <row r="5886">
      <c r="H5886" t="s">
        <v>5117</v>
      </c>
    </row>
    <row r="5887">
      <c r="H5887" t="s">
        <v>5117</v>
      </c>
    </row>
    <row r="5888">
      <c r="H5888" t="s">
        <v>5117</v>
      </c>
    </row>
    <row r="5889">
      <c r="H5889" t="s">
        <v>5117</v>
      </c>
    </row>
    <row r="5890">
      <c r="H5890" t="s">
        <v>5117</v>
      </c>
    </row>
    <row r="5891">
      <c r="H5891" t="s">
        <v>5117</v>
      </c>
    </row>
    <row r="5892">
      <c r="H5892" t="s">
        <v>5117</v>
      </c>
    </row>
    <row r="5893">
      <c r="H5893" t="s">
        <v>5117</v>
      </c>
    </row>
    <row r="5894">
      <c r="H5894" t="s">
        <v>5117</v>
      </c>
    </row>
    <row r="5895">
      <c r="H5895" t="s">
        <v>5117</v>
      </c>
    </row>
    <row r="5896">
      <c r="H5896" t="s">
        <v>5117</v>
      </c>
    </row>
    <row r="5897">
      <c r="H5897" t="s">
        <v>5117</v>
      </c>
    </row>
    <row r="5898">
      <c r="H5898" t="s">
        <v>5117</v>
      </c>
    </row>
    <row r="5899">
      <c r="H5899" t="s">
        <v>5117</v>
      </c>
    </row>
    <row r="5900">
      <c r="H5900" t="s">
        <v>5117</v>
      </c>
    </row>
    <row r="5901">
      <c r="H5901" t="s">
        <v>5117</v>
      </c>
    </row>
    <row r="5902">
      <c r="H5902" t="s">
        <v>5117</v>
      </c>
    </row>
    <row r="5903">
      <c r="H5903" t="s">
        <v>5117</v>
      </c>
    </row>
    <row r="5904">
      <c r="H5904" t="s">
        <v>5117</v>
      </c>
    </row>
    <row r="5905">
      <c r="H5905" t="s">
        <v>5117</v>
      </c>
    </row>
    <row r="5906">
      <c r="H5906" t="s">
        <v>5117</v>
      </c>
    </row>
    <row r="5907">
      <c r="H5907" t="s">
        <v>5117</v>
      </c>
    </row>
    <row r="5908">
      <c r="H5908" t="s">
        <v>5117</v>
      </c>
    </row>
    <row r="5909">
      <c r="H5909" t="s">
        <v>5117</v>
      </c>
    </row>
    <row r="5910">
      <c r="H5910" t="s">
        <v>5117</v>
      </c>
    </row>
    <row r="5911">
      <c r="H5911" t="s">
        <v>5117</v>
      </c>
    </row>
    <row r="5912">
      <c r="H5912" t="s">
        <v>5117</v>
      </c>
    </row>
    <row r="5913">
      <c r="H5913" t="s">
        <v>5117</v>
      </c>
    </row>
    <row r="5914">
      <c r="H5914" t="s">
        <v>5117</v>
      </c>
    </row>
    <row r="5915">
      <c r="H5915" t="s">
        <v>5117</v>
      </c>
    </row>
    <row r="5916">
      <c r="H5916" t="s">
        <v>5117</v>
      </c>
    </row>
    <row r="5917">
      <c r="H5917" t="s">
        <v>5117</v>
      </c>
    </row>
    <row r="5918">
      <c r="H5918" t="s">
        <v>5117</v>
      </c>
    </row>
    <row r="5919">
      <c r="H5919" t="s">
        <v>5117</v>
      </c>
    </row>
    <row r="5920">
      <c r="H5920" t="s">
        <v>5117</v>
      </c>
    </row>
    <row r="5921">
      <c r="H5921" t="s">
        <v>5117</v>
      </c>
    </row>
    <row r="5922">
      <c r="H5922" t="s">
        <v>5117</v>
      </c>
    </row>
    <row r="5923">
      <c r="H5923" t="s">
        <v>5117</v>
      </c>
    </row>
    <row r="5924">
      <c r="H5924" t="s">
        <v>5117</v>
      </c>
    </row>
    <row r="5925">
      <c r="H5925" t="s">
        <v>5117</v>
      </c>
    </row>
    <row r="5926">
      <c r="H5926" t="s">
        <v>5117</v>
      </c>
    </row>
    <row r="5927">
      <c r="H5927" t="s">
        <v>5117</v>
      </c>
    </row>
    <row r="5928">
      <c r="H5928" t="s">
        <v>5117</v>
      </c>
    </row>
    <row r="5929">
      <c r="H5929" t="s">
        <v>5117</v>
      </c>
    </row>
    <row r="5930">
      <c r="H5930" t="s">
        <v>5117</v>
      </c>
    </row>
    <row r="5931">
      <c r="H5931" t="s">
        <v>5117</v>
      </c>
    </row>
    <row r="5932">
      <c r="H5932" t="s">
        <v>5117</v>
      </c>
    </row>
    <row r="5933">
      <c r="H5933" t="s">
        <v>5117</v>
      </c>
    </row>
    <row r="5934">
      <c r="H5934" t="s">
        <v>5117</v>
      </c>
    </row>
    <row r="5935">
      <c r="H5935" t="s">
        <v>5117</v>
      </c>
    </row>
    <row r="5936">
      <c r="H5936" t="s">
        <v>5117</v>
      </c>
    </row>
    <row r="5937">
      <c r="H5937" t="s">
        <v>5117</v>
      </c>
    </row>
    <row r="5938">
      <c r="H5938" t="s">
        <v>5117</v>
      </c>
    </row>
    <row r="5939">
      <c r="H5939" t="s">
        <v>5117</v>
      </c>
    </row>
    <row r="5940">
      <c r="H5940" t="s">
        <v>5117</v>
      </c>
    </row>
    <row r="5941">
      <c r="H5941" t="s">
        <v>5117</v>
      </c>
    </row>
    <row r="5942">
      <c r="H5942" t="s">
        <v>5117</v>
      </c>
    </row>
    <row r="5943">
      <c r="H5943" t="s">
        <v>5117</v>
      </c>
    </row>
    <row r="5944">
      <c r="H5944" t="s">
        <v>5117</v>
      </c>
    </row>
    <row r="5945">
      <c r="H5945" t="s">
        <v>5117</v>
      </c>
    </row>
    <row r="5946">
      <c r="H5946" t="s">
        <v>5117</v>
      </c>
    </row>
    <row r="5947">
      <c r="H5947" t="s">
        <v>5117</v>
      </c>
    </row>
    <row r="5948">
      <c r="H5948" t="s">
        <v>5117</v>
      </c>
    </row>
    <row r="5949">
      <c r="H5949" t="s">
        <v>5117</v>
      </c>
    </row>
    <row r="5950">
      <c r="H5950" t="s">
        <v>5117</v>
      </c>
    </row>
    <row r="5951">
      <c r="H5951" t="s">
        <v>5117</v>
      </c>
    </row>
    <row r="5952">
      <c r="H5952" t="s">
        <v>5117</v>
      </c>
    </row>
    <row r="5953">
      <c r="H5953" t="s">
        <v>5117</v>
      </c>
    </row>
    <row r="5954">
      <c r="H5954" t="s">
        <v>5117</v>
      </c>
    </row>
    <row r="5955">
      <c r="H5955" t="s">
        <v>5117</v>
      </c>
    </row>
    <row r="5956">
      <c r="H5956" t="s">
        <v>5117</v>
      </c>
    </row>
    <row r="5957">
      <c r="H5957" t="s">
        <v>5117</v>
      </c>
    </row>
    <row r="5958">
      <c r="H5958" t="s">
        <v>5117</v>
      </c>
    </row>
    <row r="5959">
      <c r="H5959" t="s">
        <v>5117</v>
      </c>
    </row>
    <row r="5960">
      <c r="H5960" t="s">
        <v>5117</v>
      </c>
    </row>
    <row r="5961">
      <c r="H5961" t="s">
        <v>5117</v>
      </c>
    </row>
    <row r="5962">
      <c r="H5962" t="s">
        <v>5117</v>
      </c>
    </row>
    <row r="5963">
      <c r="H5963" t="s">
        <v>5117</v>
      </c>
    </row>
    <row r="5964">
      <c r="H5964" t="s">
        <v>5117</v>
      </c>
    </row>
    <row r="5965">
      <c r="H5965" t="s">
        <v>5117</v>
      </c>
    </row>
    <row r="5966">
      <c r="H5966" t="s">
        <v>5117</v>
      </c>
    </row>
    <row r="5967">
      <c r="H5967" t="s">
        <v>5117</v>
      </c>
    </row>
    <row r="5968">
      <c r="H5968" t="s">
        <v>5117</v>
      </c>
    </row>
    <row r="5969">
      <c r="H5969" t="s">
        <v>5117</v>
      </c>
    </row>
    <row r="5970">
      <c r="H5970" t="s">
        <v>5117</v>
      </c>
    </row>
    <row r="5971">
      <c r="H5971" t="s">
        <v>5117</v>
      </c>
    </row>
    <row r="5972">
      <c r="H5972" t="s">
        <v>5117</v>
      </c>
    </row>
    <row r="5973">
      <c r="H5973" t="s">
        <v>5117</v>
      </c>
    </row>
    <row r="5974">
      <c r="H5974" t="s">
        <v>5117</v>
      </c>
    </row>
    <row r="5975">
      <c r="H5975" t="s">
        <v>5117</v>
      </c>
    </row>
    <row r="5976">
      <c r="H5976" t="s">
        <v>5117</v>
      </c>
    </row>
    <row r="5977">
      <c r="H5977" t="s">
        <v>5117</v>
      </c>
    </row>
    <row r="5978">
      <c r="H5978" t="s">
        <v>5117</v>
      </c>
    </row>
    <row r="5979">
      <c r="H5979" t="s">
        <v>5117</v>
      </c>
    </row>
    <row r="5980">
      <c r="H5980" t="s">
        <v>5117</v>
      </c>
    </row>
    <row r="5981">
      <c r="H5981" t="s">
        <v>5117</v>
      </c>
    </row>
    <row r="5982">
      <c r="H5982" t="s">
        <v>5117</v>
      </c>
    </row>
    <row r="5983">
      <c r="H5983" t="s">
        <v>5117</v>
      </c>
    </row>
    <row r="5984">
      <c r="H5984" t="s">
        <v>5117</v>
      </c>
    </row>
    <row r="5985">
      <c r="H5985" t="s">
        <v>5117</v>
      </c>
    </row>
    <row r="5986">
      <c r="H5986" t="s">
        <v>5117</v>
      </c>
    </row>
    <row r="5987">
      <c r="H5987" t="s">
        <v>5117</v>
      </c>
    </row>
    <row r="5988">
      <c r="H5988" t="s">
        <v>5117</v>
      </c>
    </row>
    <row r="5989">
      <c r="H5989" t="s">
        <v>5117</v>
      </c>
    </row>
    <row r="5990">
      <c r="H5990" t="s">
        <v>5117</v>
      </c>
    </row>
    <row r="5991">
      <c r="H5991" t="s">
        <v>5117</v>
      </c>
    </row>
    <row r="5992">
      <c r="H5992" t="s">
        <v>5117</v>
      </c>
    </row>
    <row r="5993">
      <c r="H5993" t="s">
        <v>5117</v>
      </c>
    </row>
    <row r="5994">
      <c r="H5994" t="s">
        <v>5117</v>
      </c>
    </row>
    <row r="5995">
      <c r="H5995" t="s">
        <v>5117</v>
      </c>
    </row>
    <row r="5996">
      <c r="H5996" t="s">
        <v>5117</v>
      </c>
    </row>
    <row r="5997">
      <c r="H5997" t="s">
        <v>5117</v>
      </c>
    </row>
    <row r="5998">
      <c r="H5998" t="s">
        <v>5117</v>
      </c>
    </row>
    <row r="5999">
      <c r="H5999" t="s">
        <v>5117</v>
      </c>
    </row>
    <row r="6000">
      <c r="H6000" t="s">
        <v>5117</v>
      </c>
    </row>
    <row r="6001">
      <c r="H6001" t="s">
        <v>5117</v>
      </c>
    </row>
    <row r="6002">
      <c r="H6002" t="s">
        <v>5117</v>
      </c>
    </row>
    <row r="6003">
      <c r="H6003" t="s">
        <v>5117</v>
      </c>
    </row>
    <row r="6004">
      <c r="H6004" t="s">
        <v>5117</v>
      </c>
    </row>
    <row r="6005">
      <c r="H6005" t="s">
        <v>5117</v>
      </c>
    </row>
    <row r="6006">
      <c r="H6006" t="s">
        <v>5117</v>
      </c>
    </row>
    <row r="6007">
      <c r="H6007" t="s">
        <v>5117</v>
      </c>
    </row>
    <row r="6008">
      <c r="H6008" t="s">
        <v>5117</v>
      </c>
    </row>
    <row r="6009">
      <c r="H6009" t="s">
        <v>5117</v>
      </c>
    </row>
    <row r="6010">
      <c r="H6010" t="s">
        <v>5117</v>
      </c>
    </row>
    <row r="6011">
      <c r="H6011" t="s">
        <v>5117</v>
      </c>
    </row>
    <row r="6012">
      <c r="H6012" t="s">
        <v>5117</v>
      </c>
    </row>
    <row r="6013">
      <c r="H6013" t="s">
        <v>5117</v>
      </c>
    </row>
    <row r="6014">
      <c r="H6014" t="s">
        <v>5117</v>
      </c>
    </row>
    <row r="6015">
      <c r="H6015" t="s">
        <v>5117</v>
      </c>
    </row>
    <row r="6016">
      <c r="H6016" t="s">
        <v>5117</v>
      </c>
    </row>
    <row r="6017">
      <c r="H6017" t="s">
        <v>5117</v>
      </c>
    </row>
    <row r="6018">
      <c r="H6018" t="s">
        <v>5117</v>
      </c>
    </row>
    <row r="6019">
      <c r="H6019" t="s">
        <v>5117</v>
      </c>
    </row>
    <row r="6020">
      <c r="H6020" t="s">
        <v>5117</v>
      </c>
    </row>
    <row r="6021">
      <c r="H6021" t="s">
        <v>5117</v>
      </c>
    </row>
    <row r="6022">
      <c r="H6022" t="s">
        <v>5117</v>
      </c>
    </row>
    <row r="6023">
      <c r="H6023" t="s">
        <v>5117</v>
      </c>
    </row>
    <row r="6024">
      <c r="H6024" t="s">
        <v>5117</v>
      </c>
    </row>
    <row r="6025">
      <c r="H6025" t="s">
        <v>5117</v>
      </c>
    </row>
    <row r="6026">
      <c r="H6026" t="s">
        <v>5117</v>
      </c>
    </row>
    <row r="6027">
      <c r="H6027" t="s">
        <v>5117</v>
      </c>
    </row>
    <row r="6028">
      <c r="H6028" t="s">
        <v>5117</v>
      </c>
    </row>
    <row r="6029">
      <c r="H6029" t="s">
        <v>5117</v>
      </c>
    </row>
    <row r="6030">
      <c r="H6030" t="s">
        <v>5117</v>
      </c>
    </row>
    <row r="6031">
      <c r="H6031" t="s">
        <v>5117</v>
      </c>
    </row>
    <row r="6032">
      <c r="H6032" t="s">
        <v>5117</v>
      </c>
    </row>
    <row r="6033">
      <c r="H6033" t="s">
        <v>5117</v>
      </c>
    </row>
    <row r="6034">
      <c r="H6034" t="s">
        <v>5117</v>
      </c>
    </row>
    <row r="6035">
      <c r="H6035" t="s">
        <v>5117</v>
      </c>
    </row>
    <row r="6036">
      <c r="H6036" t="s">
        <v>5117</v>
      </c>
    </row>
    <row r="6037">
      <c r="H6037" t="s">
        <v>5117</v>
      </c>
    </row>
    <row r="6038">
      <c r="H6038" t="s">
        <v>5117</v>
      </c>
    </row>
    <row r="6039">
      <c r="H6039" t="s">
        <v>5117</v>
      </c>
    </row>
    <row r="6040">
      <c r="H6040" t="s">
        <v>5117</v>
      </c>
    </row>
    <row r="6041">
      <c r="H6041" t="s">
        <v>5117</v>
      </c>
    </row>
    <row r="6042">
      <c r="H6042" t="s">
        <v>5117</v>
      </c>
    </row>
    <row r="6043">
      <c r="H6043" t="s">
        <v>5117</v>
      </c>
    </row>
    <row r="6044">
      <c r="H6044" t="s">
        <v>5117</v>
      </c>
    </row>
    <row r="6045">
      <c r="H6045" t="s">
        <v>5117</v>
      </c>
    </row>
    <row r="6046">
      <c r="H6046" t="s">
        <v>5117</v>
      </c>
    </row>
    <row r="6047">
      <c r="H6047" t="s">
        <v>5117</v>
      </c>
    </row>
    <row r="6048">
      <c r="H6048" t="s">
        <v>5117</v>
      </c>
    </row>
    <row r="6049">
      <c r="H6049" t="s">
        <v>5117</v>
      </c>
    </row>
    <row r="6050">
      <c r="H6050" t="s">
        <v>5117</v>
      </c>
    </row>
    <row r="6051">
      <c r="H6051" t="s">
        <v>5117</v>
      </c>
    </row>
    <row r="6052">
      <c r="H6052" t="s">
        <v>5117</v>
      </c>
    </row>
    <row r="6053">
      <c r="H6053" t="s">
        <v>5117</v>
      </c>
    </row>
    <row r="6054">
      <c r="H6054" t="s">
        <v>5117</v>
      </c>
    </row>
    <row r="6055">
      <c r="H6055" t="s">
        <v>5117</v>
      </c>
    </row>
    <row r="6056">
      <c r="H6056" t="s">
        <v>5117</v>
      </c>
    </row>
    <row r="6057">
      <c r="H6057" t="s">
        <v>5117</v>
      </c>
    </row>
    <row r="6058">
      <c r="H6058" t="s">
        <v>5117</v>
      </c>
    </row>
    <row r="6059">
      <c r="H6059" t="s">
        <v>5117</v>
      </c>
    </row>
    <row r="6060">
      <c r="H6060" t="s">
        <v>5117</v>
      </c>
    </row>
    <row r="6061">
      <c r="H6061" t="s">
        <v>5117</v>
      </c>
    </row>
    <row r="6062">
      <c r="H6062" t="s">
        <v>5117</v>
      </c>
    </row>
    <row r="6063">
      <c r="H6063" t="s">
        <v>5117</v>
      </c>
    </row>
    <row r="6064">
      <c r="H6064" t="s">
        <v>5117</v>
      </c>
    </row>
    <row r="6065">
      <c r="H6065" t="s">
        <v>5117</v>
      </c>
    </row>
    <row r="6066">
      <c r="H6066" t="s">
        <v>5117</v>
      </c>
    </row>
    <row r="6067">
      <c r="H6067" t="s">
        <v>5117</v>
      </c>
    </row>
    <row r="6068">
      <c r="H6068" t="s">
        <v>5117</v>
      </c>
    </row>
    <row r="6069">
      <c r="H6069" t="s">
        <v>5117</v>
      </c>
    </row>
    <row r="6070">
      <c r="H6070" t="s">
        <v>5117</v>
      </c>
    </row>
    <row r="6071">
      <c r="H6071" t="s">
        <v>5117</v>
      </c>
    </row>
    <row r="6072">
      <c r="H6072" t="s">
        <v>5117</v>
      </c>
    </row>
    <row r="6073">
      <c r="H6073" t="s">
        <v>5117</v>
      </c>
    </row>
    <row r="6074">
      <c r="H6074" t="s">
        <v>5117</v>
      </c>
    </row>
    <row r="6075">
      <c r="H6075" t="s">
        <v>5117</v>
      </c>
    </row>
    <row r="6076">
      <c r="H6076" t="s">
        <v>5117</v>
      </c>
    </row>
    <row r="6077">
      <c r="H6077" t="s">
        <v>5117</v>
      </c>
    </row>
    <row r="6078">
      <c r="H6078" t="s">
        <v>5117</v>
      </c>
    </row>
    <row r="6079">
      <c r="H6079" t="s">
        <v>5117</v>
      </c>
    </row>
    <row r="6080">
      <c r="H6080" t="s">
        <v>5117</v>
      </c>
    </row>
    <row r="6081">
      <c r="H6081" t="s">
        <v>5117</v>
      </c>
    </row>
    <row r="6082">
      <c r="H6082" t="s">
        <v>5117</v>
      </c>
    </row>
    <row r="6083">
      <c r="H6083" t="s">
        <v>5117</v>
      </c>
    </row>
    <row r="6084">
      <c r="H6084" t="s">
        <v>5117</v>
      </c>
    </row>
    <row r="6085">
      <c r="H6085" t="s">
        <v>5117</v>
      </c>
    </row>
    <row r="6086">
      <c r="H6086" t="s">
        <v>5117</v>
      </c>
    </row>
    <row r="6087">
      <c r="H6087" t="s">
        <v>5117</v>
      </c>
    </row>
    <row r="6088">
      <c r="H6088" t="s">
        <v>5117</v>
      </c>
    </row>
    <row r="6089">
      <c r="H6089" t="s">
        <v>5117</v>
      </c>
    </row>
    <row r="6090">
      <c r="H6090" t="s">
        <v>5117</v>
      </c>
    </row>
    <row r="6091">
      <c r="H6091" t="s">
        <v>5117</v>
      </c>
    </row>
    <row r="6092">
      <c r="H6092" t="s">
        <v>5117</v>
      </c>
    </row>
    <row r="6093">
      <c r="H6093" t="s">
        <v>5117</v>
      </c>
    </row>
    <row r="6094">
      <c r="H6094" t="s">
        <v>5117</v>
      </c>
    </row>
    <row r="6095">
      <c r="H6095" t="s">
        <v>5117</v>
      </c>
    </row>
    <row r="6096">
      <c r="H6096" t="s">
        <v>5117</v>
      </c>
    </row>
    <row r="6097">
      <c r="H6097" t="s">
        <v>5117</v>
      </c>
    </row>
    <row r="6098">
      <c r="H6098" t="s">
        <v>5117</v>
      </c>
    </row>
    <row r="6099">
      <c r="H6099" t="s">
        <v>5117</v>
      </c>
    </row>
    <row r="6100">
      <c r="H6100" t="s">
        <v>5117</v>
      </c>
    </row>
    <row r="6101">
      <c r="H6101" t="s">
        <v>5117</v>
      </c>
    </row>
    <row r="6102">
      <c r="H6102" t="s">
        <v>5117</v>
      </c>
    </row>
    <row r="6103">
      <c r="H6103" t="s">
        <v>5117</v>
      </c>
    </row>
    <row r="6104">
      <c r="H6104" t="s">
        <v>5117</v>
      </c>
    </row>
    <row r="6105">
      <c r="H6105" t="s">
        <v>5117</v>
      </c>
    </row>
    <row r="6106">
      <c r="H6106" t="s">
        <v>5117</v>
      </c>
    </row>
    <row r="6107">
      <c r="H6107" t="s">
        <v>5117</v>
      </c>
    </row>
    <row r="6108">
      <c r="H6108" t="s">
        <v>5117</v>
      </c>
    </row>
    <row r="6109">
      <c r="H6109" t="s">
        <v>5117</v>
      </c>
    </row>
    <row r="6110">
      <c r="H6110" t="s">
        <v>5117</v>
      </c>
    </row>
    <row r="6111">
      <c r="H6111" t="s">
        <v>5117</v>
      </c>
    </row>
    <row r="6112">
      <c r="H6112" t="s">
        <v>5117</v>
      </c>
    </row>
    <row r="6113">
      <c r="H6113" t="s">
        <v>5117</v>
      </c>
    </row>
    <row r="6114">
      <c r="H6114" t="s">
        <v>5117</v>
      </c>
    </row>
    <row r="6115">
      <c r="H6115" t="s">
        <v>5117</v>
      </c>
    </row>
    <row r="6116">
      <c r="H6116" t="s">
        <v>5117</v>
      </c>
    </row>
    <row r="6117">
      <c r="H6117" t="s">
        <v>5117</v>
      </c>
    </row>
    <row r="6118">
      <c r="H6118" t="s">
        <v>5117</v>
      </c>
    </row>
    <row r="6119">
      <c r="H6119" t="s">
        <v>5117</v>
      </c>
    </row>
    <row r="6120">
      <c r="H6120" t="s">
        <v>5117</v>
      </c>
    </row>
    <row r="6121">
      <c r="H6121" t="s">
        <v>5117</v>
      </c>
    </row>
    <row r="6122">
      <c r="H6122" t="s">
        <v>5117</v>
      </c>
    </row>
    <row r="6123">
      <c r="H6123" t="s">
        <v>5117</v>
      </c>
    </row>
    <row r="6124">
      <c r="H6124" t="s">
        <v>5117</v>
      </c>
    </row>
    <row r="6125">
      <c r="H6125" t="s">
        <v>5117</v>
      </c>
    </row>
    <row r="6126">
      <c r="H6126" t="s">
        <v>5117</v>
      </c>
    </row>
    <row r="6127">
      <c r="H6127" t="s">
        <v>5117</v>
      </c>
    </row>
    <row r="6128">
      <c r="H6128" t="s">
        <v>5117</v>
      </c>
    </row>
    <row r="6129">
      <c r="H6129" t="s">
        <v>5117</v>
      </c>
    </row>
    <row r="6130">
      <c r="H6130" t="s">
        <v>5117</v>
      </c>
    </row>
    <row r="6131">
      <c r="H6131" t="s">
        <v>5117</v>
      </c>
    </row>
    <row r="6132">
      <c r="H6132" t="s">
        <v>5117</v>
      </c>
    </row>
    <row r="6133">
      <c r="H6133" t="s">
        <v>5117</v>
      </c>
    </row>
    <row r="6134">
      <c r="H6134" t="s">
        <v>5117</v>
      </c>
    </row>
    <row r="6135">
      <c r="H6135" t="s">
        <v>5117</v>
      </c>
    </row>
    <row r="6136">
      <c r="H6136" t="s">
        <v>5117</v>
      </c>
    </row>
    <row r="6137">
      <c r="H6137" t="s">
        <v>5117</v>
      </c>
    </row>
    <row r="6138">
      <c r="H6138" t="s">
        <v>5117</v>
      </c>
    </row>
    <row r="6139">
      <c r="H6139" t="s">
        <v>5117</v>
      </c>
    </row>
    <row r="6140">
      <c r="H6140" t="s">
        <v>5117</v>
      </c>
    </row>
    <row r="6141">
      <c r="H6141" t="s">
        <v>5117</v>
      </c>
    </row>
    <row r="6142">
      <c r="H6142" t="s">
        <v>5117</v>
      </c>
    </row>
    <row r="6143">
      <c r="H6143" t="s">
        <v>5117</v>
      </c>
    </row>
    <row r="6144">
      <c r="H6144" t="s">
        <v>5117</v>
      </c>
    </row>
    <row r="6145">
      <c r="H6145" t="s">
        <v>5117</v>
      </c>
    </row>
    <row r="6146">
      <c r="H6146" t="s">
        <v>5117</v>
      </c>
    </row>
    <row r="6147">
      <c r="H6147" t="s">
        <v>5117</v>
      </c>
    </row>
    <row r="6148">
      <c r="H6148" t="s">
        <v>5117</v>
      </c>
    </row>
    <row r="6149">
      <c r="H6149" t="s">
        <v>5117</v>
      </c>
    </row>
    <row r="6150">
      <c r="H6150" t="s">
        <v>5117</v>
      </c>
    </row>
    <row r="6151">
      <c r="H6151" t="s">
        <v>5117</v>
      </c>
    </row>
    <row r="6152">
      <c r="H6152" t="s">
        <v>5117</v>
      </c>
    </row>
    <row r="6153">
      <c r="H6153" t="s">
        <v>5117</v>
      </c>
    </row>
    <row r="6154">
      <c r="H6154" t="s">
        <v>5117</v>
      </c>
    </row>
    <row r="6155">
      <c r="H6155" t="s">
        <v>5117</v>
      </c>
    </row>
    <row r="6156">
      <c r="H6156" t="s">
        <v>5117</v>
      </c>
    </row>
    <row r="6157">
      <c r="H6157" t="s">
        <v>5117</v>
      </c>
    </row>
    <row r="6158">
      <c r="H6158" t="s">
        <v>5117</v>
      </c>
    </row>
    <row r="6159">
      <c r="H6159" t="s">
        <v>5117</v>
      </c>
    </row>
    <row r="6160">
      <c r="H6160" t="s">
        <v>5117</v>
      </c>
    </row>
    <row r="6161">
      <c r="H6161" t="s">
        <v>5117</v>
      </c>
    </row>
    <row r="6162">
      <c r="H6162" t="s">
        <v>5117</v>
      </c>
    </row>
    <row r="6163">
      <c r="H6163" t="s">
        <v>5117</v>
      </c>
    </row>
    <row r="6164">
      <c r="H6164" t="s">
        <v>5117</v>
      </c>
    </row>
    <row r="6165">
      <c r="H6165" t="s">
        <v>5117</v>
      </c>
    </row>
    <row r="6166">
      <c r="H6166" t="s">
        <v>5117</v>
      </c>
    </row>
    <row r="6167">
      <c r="H6167" t="s">
        <v>5117</v>
      </c>
    </row>
    <row r="6168">
      <c r="H6168" t="s">
        <v>5117</v>
      </c>
    </row>
    <row r="6169">
      <c r="H6169" t="s">
        <v>5117</v>
      </c>
    </row>
    <row r="6170">
      <c r="H6170" t="s">
        <v>5117</v>
      </c>
    </row>
    <row r="6171">
      <c r="H6171" t="s">
        <v>5117</v>
      </c>
    </row>
    <row r="6172">
      <c r="H6172" t="s">
        <v>5117</v>
      </c>
    </row>
    <row r="6173">
      <c r="H6173" t="s">
        <v>5117</v>
      </c>
    </row>
    <row r="6174">
      <c r="H6174" t="s">
        <v>5117</v>
      </c>
    </row>
    <row r="6175">
      <c r="H6175" t="s">
        <v>5117</v>
      </c>
    </row>
    <row r="6176">
      <c r="H6176" t="s">
        <v>5117</v>
      </c>
    </row>
    <row r="6177">
      <c r="H6177" t="s">
        <v>5117</v>
      </c>
    </row>
    <row r="6178">
      <c r="H6178" t="s">
        <v>5117</v>
      </c>
    </row>
    <row r="6179">
      <c r="H6179" t="s">
        <v>5117</v>
      </c>
    </row>
    <row r="6180">
      <c r="H6180" t="s">
        <v>5117</v>
      </c>
    </row>
    <row r="6181">
      <c r="H6181" t="s">
        <v>5117</v>
      </c>
    </row>
    <row r="6182">
      <c r="H6182" t="s">
        <v>5117</v>
      </c>
    </row>
    <row r="6183">
      <c r="H6183" t="s">
        <v>5117</v>
      </c>
    </row>
    <row r="6184">
      <c r="H6184" t="s">
        <v>5117</v>
      </c>
    </row>
    <row r="6185">
      <c r="H6185" t="s">
        <v>5117</v>
      </c>
    </row>
    <row r="6186">
      <c r="H6186" t="s">
        <v>5117</v>
      </c>
    </row>
    <row r="6187">
      <c r="H6187" t="s">
        <v>5117</v>
      </c>
    </row>
    <row r="6188">
      <c r="H6188" t="s">
        <v>5117</v>
      </c>
    </row>
    <row r="6189">
      <c r="H6189" t="s">
        <v>5117</v>
      </c>
    </row>
    <row r="6190">
      <c r="H6190" t="s">
        <v>5117</v>
      </c>
    </row>
    <row r="6191">
      <c r="H6191" t="s">
        <v>5117</v>
      </c>
    </row>
    <row r="6192">
      <c r="H6192" t="s">
        <v>5117</v>
      </c>
    </row>
    <row r="6193">
      <c r="H6193" t="s">
        <v>5117</v>
      </c>
    </row>
    <row r="6194">
      <c r="H6194" t="s">
        <v>5117</v>
      </c>
    </row>
    <row r="6195">
      <c r="H6195" t="s">
        <v>5117</v>
      </c>
    </row>
    <row r="6196">
      <c r="H6196" t="s">
        <v>5117</v>
      </c>
    </row>
    <row r="6197">
      <c r="H6197" t="s">
        <v>5117</v>
      </c>
    </row>
    <row r="6198">
      <c r="H6198" t="s">
        <v>5117</v>
      </c>
    </row>
    <row r="6199">
      <c r="H6199" t="s">
        <v>5117</v>
      </c>
    </row>
    <row r="6200">
      <c r="H6200" t="s">
        <v>5117</v>
      </c>
    </row>
    <row r="6201">
      <c r="H6201" t="s">
        <v>5117</v>
      </c>
    </row>
    <row r="6202">
      <c r="H6202" t="s">
        <v>5117</v>
      </c>
    </row>
    <row r="6203">
      <c r="H6203" t="s">
        <v>5117</v>
      </c>
    </row>
    <row r="6204">
      <c r="H6204" t="s">
        <v>5117</v>
      </c>
    </row>
    <row r="6205">
      <c r="H6205" t="s">
        <v>5117</v>
      </c>
    </row>
    <row r="6206">
      <c r="H6206" t="s">
        <v>5117</v>
      </c>
    </row>
    <row r="6207">
      <c r="H6207" t="s">
        <v>5117</v>
      </c>
    </row>
    <row r="6208">
      <c r="H6208" t="s">
        <v>5117</v>
      </c>
    </row>
    <row r="6209">
      <c r="H6209" t="s">
        <v>5117</v>
      </c>
    </row>
    <row r="6210">
      <c r="H6210" t="s">
        <v>5117</v>
      </c>
    </row>
    <row r="6211">
      <c r="H6211" t="s">
        <v>5117</v>
      </c>
    </row>
    <row r="6212">
      <c r="H6212" t="s">
        <v>5117</v>
      </c>
    </row>
    <row r="6213">
      <c r="H6213" t="s">
        <v>5117</v>
      </c>
    </row>
    <row r="6214">
      <c r="H6214" t="s">
        <v>5117</v>
      </c>
    </row>
    <row r="6215">
      <c r="H6215" t="s">
        <v>5117</v>
      </c>
    </row>
    <row r="6216">
      <c r="H6216" t="s">
        <v>5117</v>
      </c>
    </row>
    <row r="6217">
      <c r="H6217" t="s">
        <v>5117</v>
      </c>
    </row>
    <row r="6218">
      <c r="H6218" t="s">
        <v>5117</v>
      </c>
    </row>
    <row r="6219">
      <c r="H6219" t="s">
        <v>5117</v>
      </c>
    </row>
    <row r="6220">
      <c r="H6220" t="s">
        <v>5117</v>
      </c>
    </row>
    <row r="6221">
      <c r="H6221" t="s">
        <v>5117</v>
      </c>
    </row>
    <row r="6222">
      <c r="H6222" t="s">
        <v>5117</v>
      </c>
    </row>
    <row r="6223">
      <c r="H6223" t="s">
        <v>5117</v>
      </c>
    </row>
    <row r="6224">
      <c r="H6224" t="s">
        <v>5117</v>
      </c>
    </row>
    <row r="6225">
      <c r="H6225" t="s">
        <v>5117</v>
      </c>
    </row>
    <row r="6226">
      <c r="H6226" t="s">
        <v>5117</v>
      </c>
    </row>
    <row r="6227">
      <c r="H6227" t="s">
        <v>5117</v>
      </c>
    </row>
    <row r="6228">
      <c r="H6228" t="s">
        <v>5117</v>
      </c>
    </row>
    <row r="6229">
      <c r="H6229" t="s">
        <v>5117</v>
      </c>
    </row>
    <row r="6230">
      <c r="H6230" t="s">
        <v>5117</v>
      </c>
    </row>
    <row r="6231">
      <c r="H6231" t="s">
        <v>5117</v>
      </c>
    </row>
    <row r="6232">
      <c r="H6232" t="s">
        <v>5117</v>
      </c>
    </row>
    <row r="6233">
      <c r="H6233" t="s">
        <v>5117</v>
      </c>
    </row>
    <row r="6234">
      <c r="H6234" t="s">
        <v>5117</v>
      </c>
    </row>
    <row r="6235">
      <c r="H6235" t="s">
        <v>5117</v>
      </c>
    </row>
    <row r="6236">
      <c r="H6236" t="s">
        <v>5117</v>
      </c>
    </row>
    <row r="6237">
      <c r="H6237" t="s">
        <v>5117</v>
      </c>
    </row>
    <row r="6238">
      <c r="H6238" t="s">
        <v>5117</v>
      </c>
    </row>
    <row r="6239">
      <c r="H6239" t="s">
        <v>5117</v>
      </c>
    </row>
    <row r="6240">
      <c r="H6240" t="s">
        <v>5117</v>
      </c>
    </row>
    <row r="6241">
      <c r="H6241" t="s">
        <v>5117</v>
      </c>
    </row>
    <row r="6242">
      <c r="H6242" t="s">
        <v>5117</v>
      </c>
    </row>
    <row r="6243">
      <c r="H6243" t="s">
        <v>5117</v>
      </c>
    </row>
    <row r="6244">
      <c r="H6244" t="s">
        <v>5117</v>
      </c>
    </row>
    <row r="6245">
      <c r="H6245" t="s">
        <v>5117</v>
      </c>
    </row>
    <row r="6246">
      <c r="H6246" t="s">
        <v>5117</v>
      </c>
    </row>
    <row r="6247">
      <c r="H6247" t="s">
        <v>5117</v>
      </c>
    </row>
    <row r="6248">
      <c r="H6248" t="s">
        <v>5117</v>
      </c>
    </row>
    <row r="6249">
      <c r="H6249" t="s">
        <v>5117</v>
      </c>
    </row>
    <row r="6250">
      <c r="H6250" t="s">
        <v>5117</v>
      </c>
    </row>
    <row r="6251">
      <c r="H6251" t="s">
        <v>5117</v>
      </c>
    </row>
    <row r="6252">
      <c r="H6252" t="s">
        <v>5117</v>
      </c>
    </row>
    <row r="6253">
      <c r="H6253" t="s">
        <v>5117</v>
      </c>
    </row>
    <row r="6254">
      <c r="H6254" t="s">
        <v>5117</v>
      </c>
    </row>
    <row r="6255">
      <c r="H6255" t="s">
        <v>5117</v>
      </c>
    </row>
    <row r="6256">
      <c r="H6256" t="s">
        <v>5117</v>
      </c>
    </row>
    <row r="6257">
      <c r="H6257" t="s">
        <v>5117</v>
      </c>
    </row>
    <row r="6258">
      <c r="H6258" t="s">
        <v>5117</v>
      </c>
    </row>
    <row r="6259">
      <c r="H6259" t="s">
        <v>5117</v>
      </c>
    </row>
    <row r="6260">
      <c r="H6260" t="s">
        <v>5117</v>
      </c>
    </row>
    <row r="6261">
      <c r="H6261" t="s">
        <v>5117</v>
      </c>
    </row>
    <row r="6262">
      <c r="H6262" t="s">
        <v>5117</v>
      </c>
    </row>
    <row r="6263">
      <c r="H6263" t="s">
        <v>5117</v>
      </c>
    </row>
    <row r="6264">
      <c r="H6264" t="s">
        <v>5117</v>
      </c>
    </row>
    <row r="6265">
      <c r="H6265" t="s">
        <v>5117</v>
      </c>
    </row>
    <row r="6266">
      <c r="H6266" t="s">
        <v>5117</v>
      </c>
    </row>
    <row r="6267">
      <c r="H6267" t="s">
        <v>5117</v>
      </c>
    </row>
    <row r="6268">
      <c r="H6268" t="s">
        <v>5117</v>
      </c>
    </row>
    <row r="6269">
      <c r="H6269" t="s">
        <v>5117</v>
      </c>
    </row>
    <row r="6270">
      <c r="H6270" t="s">
        <v>5117</v>
      </c>
    </row>
    <row r="6271">
      <c r="H6271" t="s">
        <v>5117</v>
      </c>
    </row>
    <row r="6272">
      <c r="H6272" t="s">
        <v>5117</v>
      </c>
    </row>
    <row r="6273">
      <c r="H6273" t="s">
        <v>5117</v>
      </c>
    </row>
    <row r="6274">
      <c r="H6274" t="s">
        <v>5117</v>
      </c>
    </row>
    <row r="6275">
      <c r="H6275" t="s">
        <v>5117</v>
      </c>
    </row>
    <row r="6276">
      <c r="H6276" t="s">
        <v>5117</v>
      </c>
    </row>
    <row r="6277">
      <c r="H6277" t="s">
        <v>5117</v>
      </c>
    </row>
    <row r="6278">
      <c r="H6278" t="s">
        <v>5117</v>
      </c>
    </row>
    <row r="6279">
      <c r="H6279" t="s">
        <v>5117</v>
      </c>
    </row>
    <row r="6280">
      <c r="H6280" t="s">
        <v>5117</v>
      </c>
    </row>
    <row r="6281">
      <c r="H6281" t="s">
        <v>5117</v>
      </c>
    </row>
    <row r="6282">
      <c r="H6282" t="s">
        <v>5117</v>
      </c>
    </row>
    <row r="6283">
      <c r="H6283" t="s">
        <v>5117</v>
      </c>
    </row>
    <row r="6284">
      <c r="H6284" t="s">
        <v>5117</v>
      </c>
    </row>
    <row r="6285">
      <c r="H6285" t="s">
        <v>5117</v>
      </c>
    </row>
    <row r="6286">
      <c r="H6286" t="s">
        <v>5117</v>
      </c>
    </row>
    <row r="6287">
      <c r="H6287" t="s">
        <v>5117</v>
      </c>
    </row>
    <row r="6288">
      <c r="H6288" t="s">
        <v>5117</v>
      </c>
    </row>
    <row r="6289">
      <c r="H6289" t="s">
        <v>5117</v>
      </c>
    </row>
    <row r="6290">
      <c r="H6290" t="s">
        <v>5117</v>
      </c>
    </row>
    <row r="6291">
      <c r="H6291" t="s">
        <v>5117</v>
      </c>
    </row>
    <row r="6292">
      <c r="H6292" t="s">
        <v>5117</v>
      </c>
    </row>
    <row r="6293">
      <c r="H6293" t="s">
        <v>5117</v>
      </c>
    </row>
    <row r="6294">
      <c r="H6294" t="s">
        <v>5117</v>
      </c>
    </row>
    <row r="6295">
      <c r="H6295" t="s">
        <v>5117</v>
      </c>
    </row>
    <row r="6296">
      <c r="H6296" t="s">
        <v>5117</v>
      </c>
    </row>
    <row r="6297">
      <c r="H6297" t="s">
        <v>5117</v>
      </c>
    </row>
    <row r="6298">
      <c r="H6298" t="s">
        <v>5117</v>
      </c>
    </row>
    <row r="6299">
      <c r="H6299" t="s">
        <v>5117</v>
      </c>
    </row>
    <row r="6300">
      <c r="H6300" t="s">
        <v>5117</v>
      </c>
    </row>
    <row r="6301">
      <c r="H6301" t="s">
        <v>5117</v>
      </c>
    </row>
    <row r="6302">
      <c r="H6302" t="s">
        <v>5117</v>
      </c>
    </row>
    <row r="6303">
      <c r="H6303" t="s">
        <v>5117</v>
      </c>
    </row>
    <row r="6304">
      <c r="H6304" t="s">
        <v>5117</v>
      </c>
    </row>
    <row r="6305">
      <c r="H6305" t="s">
        <v>5117</v>
      </c>
    </row>
    <row r="6306">
      <c r="H6306" t="s">
        <v>5117</v>
      </c>
    </row>
    <row r="6307">
      <c r="H6307" t="s">
        <v>5117</v>
      </c>
    </row>
    <row r="6308">
      <c r="H6308" t="s">
        <v>5117</v>
      </c>
    </row>
    <row r="6309">
      <c r="H6309" t="s">
        <v>5117</v>
      </c>
    </row>
    <row r="6310">
      <c r="H6310" t="s">
        <v>5117</v>
      </c>
    </row>
    <row r="6311">
      <c r="H6311" t="s">
        <v>5117</v>
      </c>
    </row>
    <row r="6312">
      <c r="H6312" t="s">
        <v>5117</v>
      </c>
    </row>
    <row r="6313">
      <c r="H6313" t="s">
        <v>5117</v>
      </c>
    </row>
    <row r="6314">
      <c r="H6314" t="s">
        <v>5117</v>
      </c>
    </row>
    <row r="6315">
      <c r="H6315" t="s">
        <v>5117</v>
      </c>
    </row>
    <row r="6316">
      <c r="H6316" t="s">
        <v>5117</v>
      </c>
    </row>
    <row r="6317">
      <c r="H6317" t="s">
        <v>5117</v>
      </c>
    </row>
    <row r="6318">
      <c r="H6318" t="s">
        <v>5117</v>
      </c>
    </row>
    <row r="6319">
      <c r="H6319" t="s">
        <v>5117</v>
      </c>
    </row>
    <row r="6320">
      <c r="H6320" t="s">
        <v>5117</v>
      </c>
    </row>
    <row r="6321">
      <c r="H6321" t="s">
        <v>5117</v>
      </c>
    </row>
    <row r="6322">
      <c r="H6322" t="s">
        <v>5117</v>
      </c>
    </row>
    <row r="6323">
      <c r="H6323" t="s">
        <v>5117</v>
      </c>
    </row>
    <row r="6324">
      <c r="H6324" t="s">
        <v>5117</v>
      </c>
    </row>
    <row r="6325">
      <c r="H6325" t="s">
        <v>5117</v>
      </c>
    </row>
    <row r="6326">
      <c r="H6326" t="s">
        <v>5117</v>
      </c>
    </row>
    <row r="6327">
      <c r="H6327" t="s">
        <v>5117</v>
      </c>
    </row>
    <row r="6328">
      <c r="H6328" t="s">
        <v>5117</v>
      </c>
    </row>
    <row r="6329">
      <c r="H6329" t="s">
        <v>5117</v>
      </c>
    </row>
    <row r="6330">
      <c r="H6330" t="s">
        <v>5117</v>
      </c>
    </row>
    <row r="6331">
      <c r="H6331" t="s">
        <v>5117</v>
      </c>
    </row>
    <row r="6332">
      <c r="H6332" t="s">
        <v>5117</v>
      </c>
    </row>
    <row r="6333">
      <c r="H6333" t="s">
        <v>5117</v>
      </c>
    </row>
    <row r="6334">
      <c r="H6334" t="s">
        <v>5117</v>
      </c>
    </row>
    <row r="6335">
      <c r="H6335" t="s">
        <v>5117</v>
      </c>
    </row>
    <row r="6336">
      <c r="H6336" t="s">
        <v>5117</v>
      </c>
    </row>
    <row r="6337">
      <c r="H6337" t="s">
        <v>5117</v>
      </c>
    </row>
    <row r="6338">
      <c r="H6338" t="s">
        <v>5117</v>
      </c>
    </row>
    <row r="6339">
      <c r="H6339" t="s">
        <v>5117</v>
      </c>
    </row>
    <row r="6340">
      <c r="H6340" t="s">
        <v>5117</v>
      </c>
    </row>
    <row r="6341">
      <c r="H6341" t="s">
        <v>5117</v>
      </c>
    </row>
    <row r="6342">
      <c r="H6342" t="s">
        <v>5117</v>
      </c>
    </row>
    <row r="6343">
      <c r="H6343" t="s">
        <v>5117</v>
      </c>
    </row>
    <row r="6344">
      <c r="H6344" t="s">
        <v>5117</v>
      </c>
    </row>
    <row r="6345">
      <c r="H6345" t="s">
        <v>5117</v>
      </c>
    </row>
    <row r="6346">
      <c r="H6346" t="s">
        <v>5117</v>
      </c>
    </row>
    <row r="6347">
      <c r="H6347" t="s">
        <v>5117</v>
      </c>
    </row>
    <row r="6348">
      <c r="H6348" t="s">
        <v>5117</v>
      </c>
    </row>
    <row r="6349">
      <c r="H6349" t="s">
        <v>5117</v>
      </c>
    </row>
    <row r="6350">
      <c r="H6350" t="s">
        <v>5117</v>
      </c>
    </row>
    <row r="6351">
      <c r="H6351" t="s">
        <v>5117</v>
      </c>
    </row>
    <row r="6352">
      <c r="H6352" t="s">
        <v>5117</v>
      </c>
    </row>
    <row r="6353">
      <c r="H6353" t="s">
        <v>5117</v>
      </c>
    </row>
    <row r="6354">
      <c r="H6354" t="s">
        <v>5117</v>
      </c>
    </row>
    <row r="6355">
      <c r="H6355" t="s">
        <v>5117</v>
      </c>
    </row>
    <row r="6356">
      <c r="H6356" t="s">
        <v>5117</v>
      </c>
    </row>
    <row r="6357">
      <c r="H6357" t="s">
        <v>5117</v>
      </c>
    </row>
    <row r="6358">
      <c r="H6358" t="s">
        <v>5117</v>
      </c>
    </row>
    <row r="6359">
      <c r="H6359" t="s">
        <v>5117</v>
      </c>
    </row>
    <row r="6360">
      <c r="H6360" t="s">
        <v>5117</v>
      </c>
    </row>
    <row r="6361">
      <c r="H6361" t="s">
        <v>5117</v>
      </c>
    </row>
    <row r="6362">
      <c r="H6362" t="s">
        <v>5117</v>
      </c>
    </row>
    <row r="6363">
      <c r="H6363" t="s">
        <v>5117</v>
      </c>
    </row>
    <row r="6364">
      <c r="H6364" t="s">
        <v>5117</v>
      </c>
    </row>
    <row r="6365">
      <c r="H6365" t="s">
        <v>5117</v>
      </c>
    </row>
    <row r="6366">
      <c r="H6366" t="s">
        <v>5117</v>
      </c>
    </row>
    <row r="6367">
      <c r="H6367" t="s">
        <v>5117</v>
      </c>
    </row>
    <row r="6368">
      <c r="H6368" t="s">
        <v>5117</v>
      </c>
    </row>
    <row r="6369">
      <c r="H6369" t="s">
        <v>5117</v>
      </c>
    </row>
    <row r="6370">
      <c r="H6370" t="s">
        <v>5117</v>
      </c>
    </row>
    <row r="6371">
      <c r="H6371" t="s">
        <v>5117</v>
      </c>
    </row>
    <row r="6372">
      <c r="H6372" t="s">
        <v>5117</v>
      </c>
    </row>
    <row r="6373">
      <c r="H6373" t="s">
        <v>5117</v>
      </c>
    </row>
    <row r="6374">
      <c r="H6374" t="s">
        <v>5117</v>
      </c>
    </row>
    <row r="6375">
      <c r="H6375" t="s">
        <v>5117</v>
      </c>
    </row>
    <row r="6376">
      <c r="H6376" t="s">
        <v>5117</v>
      </c>
    </row>
    <row r="6377">
      <c r="H6377" t="s">
        <v>5117</v>
      </c>
    </row>
    <row r="6378">
      <c r="H6378" t="s">
        <v>5117</v>
      </c>
    </row>
    <row r="6379">
      <c r="H6379" t="s">
        <v>5117</v>
      </c>
    </row>
    <row r="6380">
      <c r="H6380" t="s">
        <v>5117</v>
      </c>
    </row>
    <row r="6381">
      <c r="H6381" t="s">
        <v>5117</v>
      </c>
    </row>
    <row r="6382">
      <c r="H6382" t="s">
        <v>5117</v>
      </c>
    </row>
    <row r="6383">
      <c r="H6383" t="s">
        <v>5117</v>
      </c>
    </row>
    <row r="6384">
      <c r="H6384" t="s">
        <v>5117</v>
      </c>
    </row>
    <row r="6385">
      <c r="H6385" t="s">
        <v>5117</v>
      </c>
    </row>
    <row r="6386">
      <c r="H6386" t="s">
        <v>5117</v>
      </c>
    </row>
    <row r="6387">
      <c r="H6387" t="s">
        <v>5117</v>
      </c>
    </row>
    <row r="6388">
      <c r="H6388" t="s">
        <v>5117</v>
      </c>
    </row>
    <row r="6389">
      <c r="H6389" t="s">
        <v>5117</v>
      </c>
    </row>
    <row r="6390">
      <c r="H6390" t="s">
        <v>5117</v>
      </c>
    </row>
    <row r="6391">
      <c r="H6391" t="s">
        <v>5117</v>
      </c>
    </row>
    <row r="6392">
      <c r="H6392" t="s">
        <v>5117</v>
      </c>
    </row>
    <row r="6393">
      <c r="H6393" t="s">
        <v>5117</v>
      </c>
    </row>
    <row r="6394">
      <c r="H6394" t="s">
        <v>5117</v>
      </c>
    </row>
    <row r="6395">
      <c r="H6395" t="s">
        <v>5117</v>
      </c>
    </row>
    <row r="6396">
      <c r="H6396" t="s">
        <v>5117</v>
      </c>
    </row>
    <row r="6397">
      <c r="H6397" t="s">
        <v>5117</v>
      </c>
    </row>
    <row r="6398">
      <c r="H6398" t="s">
        <v>5117</v>
      </c>
    </row>
    <row r="6399">
      <c r="H6399" t="s">
        <v>5117</v>
      </c>
    </row>
    <row r="6400">
      <c r="H6400" t="s">
        <v>5117</v>
      </c>
    </row>
    <row r="6401">
      <c r="H6401" t="s">
        <v>5117</v>
      </c>
    </row>
    <row r="6402">
      <c r="H6402" t="s">
        <v>5117</v>
      </c>
    </row>
    <row r="6403">
      <c r="H6403" t="s">
        <v>5117</v>
      </c>
    </row>
    <row r="6404">
      <c r="H6404" t="s">
        <v>5117</v>
      </c>
    </row>
    <row r="6405">
      <c r="H6405" t="s">
        <v>5117</v>
      </c>
    </row>
    <row r="6406">
      <c r="H6406" t="s">
        <v>5117</v>
      </c>
    </row>
    <row r="6407">
      <c r="H6407" t="s">
        <v>5117</v>
      </c>
    </row>
    <row r="6408">
      <c r="H6408" t="s">
        <v>5117</v>
      </c>
    </row>
    <row r="6409">
      <c r="H6409" t="s">
        <v>5117</v>
      </c>
    </row>
    <row r="6410">
      <c r="H6410" t="s">
        <v>5117</v>
      </c>
    </row>
    <row r="6411">
      <c r="H6411" t="s">
        <v>5117</v>
      </c>
    </row>
    <row r="6412">
      <c r="H6412" t="s">
        <v>5117</v>
      </c>
    </row>
    <row r="6413">
      <c r="H6413" t="s">
        <v>5117</v>
      </c>
    </row>
    <row r="6414">
      <c r="H6414" t="s">
        <v>5117</v>
      </c>
    </row>
    <row r="6415">
      <c r="H6415" t="s">
        <v>5117</v>
      </c>
    </row>
    <row r="6416">
      <c r="H6416" t="s">
        <v>5117</v>
      </c>
    </row>
    <row r="6417">
      <c r="H6417" t="s">
        <v>5117</v>
      </c>
    </row>
    <row r="6418">
      <c r="H6418" t="s">
        <v>5117</v>
      </c>
    </row>
    <row r="6419">
      <c r="H6419" t="s">
        <v>5117</v>
      </c>
    </row>
    <row r="6420">
      <c r="H6420" t="s">
        <v>5117</v>
      </c>
    </row>
    <row r="6421">
      <c r="H6421" t="s">
        <v>5117</v>
      </c>
    </row>
    <row r="6422">
      <c r="H6422" t="s">
        <v>5117</v>
      </c>
    </row>
    <row r="6423">
      <c r="H6423" t="s">
        <v>5117</v>
      </c>
    </row>
    <row r="6424">
      <c r="H6424" t="s">
        <v>5117</v>
      </c>
    </row>
    <row r="6425">
      <c r="H6425" t="s">
        <v>5117</v>
      </c>
    </row>
    <row r="6426">
      <c r="H6426" t="s">
        <v>5117</v>
      </c>
    </row>
    <row r="6427">
      <c r="H6427" t="s">
        <v>5117</v>
      </c>
    </row>
    <row r="6428">
      <c r="H6428" t="s">
        <v>5117</v>
      </c>
    </row>
    <row r="6429">
      <c r="H6429" t="s">
        <v>5117</v>
      </c>
    </row>
    <row r="6430">
      <c r="H6430" t="s">
        <v>5117</v>
      </c>
    </row>
    <row r="6431">
      <c r="H6431" t="s">
        <v>5117</v>
      </c>
    </row>
    <row r="6432">
      <c r="H6432" t="s">
        <v>5117</v>
      </c>
    </row>
    <row r="6433">
      <c r="H6433" t="s">
        <v>5117</v>
      </c>
    </row>
    <row r="6434">
      <c r="H6434" t="s">
        <v>5117</v>
      </c>
    </row>
    <row r="6435">
      <c r="H6435" t="s">
        <v>5117</v>
      </c>
    </row>
    <row r="6436">
      <c r="H6436" t="s">
        <v>5117</v>
      </c>
    </row>
    <row r="6437">
      <c r="H6437" t="s">
        <v>5117</v>
      </c>
    </row>
    <row r="6438">
      <c r="H6438" t="s">
        <v>5117</v>
      </c>
    </row>
    <row r="6439">
      <c r="H6439" t="s">
        <v>5117</v>
      </c>
    </row>
    <row r="6440">
      <c r="H6440" t="s">
        <v>5117</v>
      </c>
    </row>
    <row r="6441">
      <c r="H6441" t="s">
        <v>5117</v>
      </c>
    </row>
    <row r="6442">
      <c r="H6442" t="s">
        <v>5117</v>
      </c>
    </row>
    <row r="6443">
      <c r="H6443" t="s">
        <v>5117</v>
      </c>
    </row>
    <row r="6444">
      <c r="H6444" t="s">
        <v>5117</v>
      </c>
    </row>
    <row r="6445">
      <c r="H6445" t="s">
        <v>5117</v>
      </c>
    </row>
    <row r="6446">
      <c r="H6446" t="s">
        <v>5117</v>
      </c>
    </row>
    <row r="6447">
      <c r="H6447" t="s">
        <v>5117</v>
      </c>
    </row>
    <row r="6448">
      <c r="H6448" t="s">
        <v>5117</v>
      </c>
    </row>
    <row r="6449">
      <c r="H6449" t="s">
        <v>5117</v>
      </c>
    </row>
    <row r="6450">
      <c r="H6450" t="s">
        <v>5117</v>
      </c>
    </row>
    <row r="6451">
      <c r="H6451" t="s">
        <v>5117</v>
      </c>
    </row>
    <row r="6452">
      <c r="H6452" t="s">
        <v>5117</v>
      </c>
    </row>
    <row r="6453">
      <c r="H6453" t="s">
        <v>5117</v>
      </c>
    </row>
    <row r="6454">
      <c r="H6454" t="s">
        <v>5117</v>
      </c>
    </row>
    <row r="6455">
      <c r="H6455" t="s">
        <v>5117</v>
      </c>
    </row>
    <row r="6456">
      <c r="H6456" t="s">
        <v>5117</v>
      </c>
    </row>
    <row r="6457">
      <c r="H6457" t="s">
        <v>5117</v>
      </c>
    </row>
    <row r="6458">
      <c r="H6458" t="s">
        <v>5117</v>
      </c>
    </row>
    <row r="6459">
      <c r="H6459" t="s">
        <v>5117</v>
      </c>
    </row>
    <row r="6460">
      <c r="H6460" t="s">
        <v>5117</v>
      </c>
    </row>
    <row r="6461">
      <c r="H6461" t="s">
        <v>5117</v>
      </c>
    </row>
    <row r="6462">
      <c r="H6462" t="s">
        <v>5117</v>
      </c>
    </row>
    <row r="6463">
      <c r="H6463" t="s">
        <v>5117</v>
      </c>
    </row>
    <row r="6464">
      <c r="H6464" t="s">
        <v>5117</v>
      </c>
    </row>
    <row r="6465">
      <c r="H6465" t="s">
        <v>5117</v>
      </c>
    </row>
    <row r="6466">
      <c r="H6466" t="s">
        <v>5117</v>
      </c>
    </row>
    <row r="6467">
      <c r="H6467" t="s">
        <v>5117</v>
      </c>
    </row>
    <row r="6468">
      <c r="H6468" t="s">
        <v>5117</v>
      </c>
    </row>
    <row r="6469">
      <c r="H6469" t="s">
        <v>5117</v>
      </c>
    </row>
    <row r="6470">
      <c r="H6470" t="s">
        <v>5117</v>
      </c>
    </row>
    <row r="6471">
      <c r="H6471" t="s">
        <v>5117</v>
      </c>
    </row>
    <row r="6472">
      <c r="H6472" t="s">
        <v>5117</v>
      </c>
    </row>
    <row r="6473">
      <c r="H6473" t="s">
        <v>5117</v>
      </c>
    </row>
    <row r="6474">
      <c r="H6474" t="s">
        <v>5117</v>
      </c>
    </row>
    <row r="6475">
      <c r="H6475" t="s">
        <v>5117</v>
      </c>
    </row>
    <row r="6476">
      <c r="H6476" t="s">
        <v>5117</v>
      </c>
    </row>
    <row r="6477">
      <c r="H6477" t="s">
        <v>5117</v>
      </c>
    </row>
    <row r="6478">
      <c r="H6478" t="s">
        <v>5117</v>
      </c>
    </row>
    <row r="6479">
      <c r="H6479" t="s">
        <v>5117</v>
      </c>
    </row>
    <row r="6480">
      <c r="H6480" t="s">
        <v>5117</v>
      </c>
    </row>
    <row r="6481">
      <c r="H6481" t="s">
        <v>5117</v>
      </c>
    </row>
    <row r="6482">
      <c r="H6482" t="s">
        <v>5117</v>
      </c>
    </row>
    <row r="6483">
      <c r="H6483" t="s">
        <v>5117</v>
      </c>
    </row>
    <row r="6484">
      <c r="H6484" t="s">
        <v>5117</v>
      </c>
    </row>
    <row r="6485">
      <c r="H6485" t="s">
        <v>5117</v>
      </c>
    </row>
    <row r="6486">
      <c r="H6486" t="s">
        <v>5117</v>
      </c>
    </row>
    <row r="6487">
      <c r="H6487" t="s">
        <v>5117</v>
      </c>
    </row>
    <row r="6488">
      <c r="H6488" t="s">
        <v>5117</v>
      </c>
    </row>
    <row r="6489">
      <c r="H6489" t="s">
        <v>5117</v>
      </c>
    </row>
    <row r="6490">
      <c r="H6490" t="s">
        <v>5117</v>
      </c>
    </row>
    <row r="6491">
      <c r="H6491" t="s">
        <v>5117</v>
      </c>
    </row>
    <row r="6492">
      <c r="H6492" t="s">
        <v>5117</v>
      </c>
    </row>
    <row r="6493">
      <c r="H6493" t="s">
        <v>5117</v>
      </c>
    </row>
    <row r="6494">
      <c r="H6494" t="s">
        <v>5117</v>
      </c>
    </row>
    <row r="6495">
      <c r="H6495" t="s">
        <v>5117</v>
      </c>
    </row>
    <row r="6496">
      <c r="H6496" t="s">
        <v>5117</v>
      </c>
    </row>
    <row r="6497">
      <c r="H6497" t="s">
        <v>5117</v>
      </c>
    </row>
    <row r="6498">
      <c r="H6498" t="s">
        <v>5117</v>
      </c>
    </row>
    <row r="6499">
      <c r="H6499" t="s">
        <v>5117</v>
      </c>
    </row>
    <row r="6500">
      <c r="H6500" t="s">
        <v>5117</v>
      </c>
    </row>
    <row r="6501">
      <c r="H6501" t="s">
        <v>5117</v>
      </c>
    </row>
    <row r="6502">
      <c r="H6502" t="s">
        <v>5117</v>
      </c>
    </row>
    <row r="6503">
      <c r="H6503" t="s">
        <v>5117</v>
      </c>
    </row>
    <row r="6504">
      <c r="H6504" t="s">
        <v>5117</v>
      </c>
    </row>
    <row r="6505">
      <c r="H6505" t="s">
        <v>5117</v>
      </c>
    </row>
    <row r="6506">
      <c r="H6506" t="s">
        <v>5117</v>
      </c>
    </row>
    <row r="6507">
      <c r="H6507" t="s">
        <v>5117</v>
      </c>
    </row>
    <row r="6508">
      <c r="H6508" t="s">
        <v>5117</v>
      </c>
    </row>
    <row r="6509">
      <c r="H6509" t="s">
        <v>5117</v>
      </c>
    </row>
    <row r="6510">
      <c r="H6510" t="s">
        <v>5117</v>
      </c>
    </row>
    <row r="6511">
      <c r="H6511" t="s">
        <v>5117</v>
      </c>
    </row>
    <row r="6512">
      <c r="H6512" t="s">
        <v>5117</v>
      </c>
    </row>
    <row r="6513">
      <c r="H6513" t="s">
        <v>5117</v>
      </c>
    </row>
    <row r="6514">
      <c r="H6514" t="s">
        <v>5117</v>
      </c>
    </row>
    <row r="6515">
      <c r="H6515" t="s">
        <v>5117</v>
      </c>
    </row>
    <row r="6516">
      <c r="H6516" t="s">
        <v>5117</v>
      </c>
    </row>
    <row r="6517">
      <c r="H6517" t="s">
        <v>5117</v>
      </c>
    </row>
    <row r="6518">
      <c r="H6518" t="s">
        <v>5117</v>
      </c>
    </row>
    <row r="6519">
      <c r="H6519" t="s">
        <v>5117</v>
      </c>
    </row>
    <row r="6520">
      <c r="H6520" t="s">
        <v>5117</v>
      </c>
    </row>
    <row r="6521">
      <c r="H6521" t="s">
        <v>5117</v>
      </c>
    </row>
    <row r="6522">
      <c r="H6522" t="s">
        <v>5117</v>
      </c>
    </row>
    <row r="6523">
      <c r="H6523" t="s">
        <v>5117</v>
      </c>
    </row>
    <row r="6524">
      <c r="H6524" t="s">
        <v>5117</v>
      </c>
    </row>
    <row r="6525">
      <c r="H6525" t="s">
        <v>5117</v>
      </c>
    </row>
    <row r="6526">
      <c r="H6526" t="s">
        <v>5117</v>
      </c>
    </row>
    <row r="6527">
      <c r="H6527" t="s">
        <v>5117</v>
      </c>
    </row>
    <row r="6528">
      <c r="H6528" t="s">
        <v>5117</v>
      </c>
    </row>
    <row r="6529">
      <c r="H6529" t="s">
        <v>5117</v>
      </c>
    </row>
    <row r="6530">
      <c r="H6530" t="s">
        <v>5117</v>
      </c>
    </row>
    <row r="6531">
      <c r="H6531" t="s">
        <v>5117</v>
      </c>
    </row>
    <row r="6532">
      <c r="H6532" t="s">
        <v>5117</v>
      </c>
    </row>
    <row r="6533">
      <c r="H6533" t="s">
        <v>5117</v>
      </c>
    </row>
    <row r="6534">
      <c r="H6534" t="s">
        <v>5117</v>
      </c>
    </row>
    <row r="6535">
      <c r="H6535" t="s">
        <v>5117</v>
      </c>
    </row>
    <row r="6536">
      <c r="H6536" t="s">
        <v>5117</v>
      </c>
    </row>
    <row r="6537">
      <c r="H6537" t="s">
        <v>5117</v>
      </c>
    </row>
    <row r="6538">
      <c r="H6538" t="s">
        <v>5117</v>
      </c>
    </row>
    <row r="6539">
      <c r="H6539" t="s">
        <v>5117</v>
      </c>
    </row>
    <row r="6540">
      <c r="H6540" t="s">
        <v>5117</v>
      </c>
    </row>
    <row r="6541">
      <c r="H6541" t="s">
        <v>5117</v>
      </c>
    </row>
    <row r="6542">
      <c r="H6542" t="s">
        <v>5117</v>
      </c>
    </row>
    <row r="6543">
      <c r="H6543" t="s">
        <v>5117</v>
      </c>
    </row>
    <row r="6544">
      <c r="H6544" t="s">
        <v>5117</v>
      </c>
    </row>
    <row r="6545">
      <c r="H6545" t="s">
        <v>5117</v>
      </c>
    </row>
    <row r="6546">
      <c r="H6546" t="s">
        <v>5117</v>
      </c>
    </row>
    <row r="6547">
      <c r="H6547" t="s">
        <v>5117</v>
      </c>
    </row>
    <row r="6548">
      <c r="H6548" t="s">
        <v>5117</v>
      </c>
    </row>
    <row r="6549">
      <c r="H6549" t="s">
        <v>5117</v>
      </c>
    </row>
    <row r="6550">
      <c r="H6550" t="s">
        <v>5117</v>
      </c>
    </row>
    <row r="6551">
      <c r="H6551" t="s">
        <v>5117</v>
      </c>
    </row>
    <row r="6552">
      <c r="H6552" t="s">
        <v>5117</v>
      </c>
    </row>
    <row r="6553">
      <c r="H6553" t="s">
        <v>5117</v>
      </c>
    </row>
    <row r="6554">
      <c r="H6554" t="s">
        <v>5117</v>
      </c>
    </row>
    <row r="6555">
      <c r="H6555" t="s">
        <v>5117</v>
      </c>
    </row>
    <row r="6556">
      <c r="H6556" t="s">
        <v>5117</v>
      </c>
    </row>
    <row r="6557">
      <c r="H6557" t="s">
        <v>5117</v>
      </c>
    </row>
    <row r="6558">
      <c r="H6558" t="s">
        <v>5117</v>
      </c>
    </row>
    <row r="6559">
      <c r="H6559" t="s">
        <v>5117</v>
      </c>
    </row>
    <row r="6560">
      <c r="H6560" t="s">
        <v>5117</v>
      </c>
    </row>
    <row r="6561">
      <c r="H6561" t="s">
        <v>5117</v>
      </c>
    </row>
    <row r="6562">
      <c r="H6562" t="s">
        <v>5117</v>
      </c>
    </row>
    <row r="6563">
      <c r="H6563" t="s">
        <v>5117</v>
      </c>
    </row>
    <row r="6564">
      <c r="H6564" t="s">
        <v>5117</v>
      </c>
    </row>
    <row r="6565">
      <c r="H6565" t="s">
        <v>5117</v>
      </c>
    </row>
    <row r="6566">
      <c r="H6566" t="s">
        <v>5117</v>
      </c>
    </row>
    <row r="6567">
      <c r="H6567" t="s">
        <v>5117</v>
      </c>
    </row>
    <row r="6568">
      <c r="H6568" t="s">
        <v>5117</v>
      </c>
    </row>
    <row r="6569">
      <c r="H6569" t="s">
        <v>5117</v>
      </c>
    </row>
    <row r="6570">
      <c r="H6570" t="s">
        <v>5117</v>
      </c>
    </row>
    <row r="6571">
      <c r="H6571" t="s">
        <v>5117</v>
      </c>
    </row>
    <row r="6572">
      <c r="H6572" t="s">
        <v>5117</v>
      </c>
    </row>
    <row r="6573">
      <c r="H6573" t="s">
        <v>5117</v>
      </c>
    </row>
    <row r="6574">
      <c r="H6574" t="s">
        <v>5117</v>
      </c>
    </row>
    <row r="6575">
      <c r="H6575" t="s">
        <v>5117</v>
      </c>
    </row>
    <row r="6576">
      <c r="H6576" t="s">
        <v>5117</v>
      </c>
    </row>
    <row r="6577">
      <c r="H6577" t="s">
        <v>5117</v>
      </c>
    </row>
    <row r="6578">
      <c r="H6578" t="s">
        <v>5117</v>
      </c>
    </row>
    <row r="6579">
      <c r="H6579" t="s">
        <v>5117</v>
      </c>
    </row>
    <row r="6580">
      <c r="H6580" t="s">
        <v>5117</v>
      </c>
    </row>
    <row r="6581">
      <c r="H6581" t="s">
        <v>5117</v>
      </c>
    </row>
    <row r="6582">
      <c r="H6582" t="s">
        <v>5117</v>
      </c>
    </row>
    <row r="6583">
      <c r="H6583" t="s">
        <v>5117</v>
      </c>
    </row>
    <row r="6584">
      <c r="H6584" t="s">
        <v>5117</v>
      </c>
    </row>
    <row r="6585">
      <c r="H6585" t="s">
        <v>5117</v>
      </c>
    </row>
    <row r="6586">
      <c r="H6586" t="s">
        <v>5117</v>
      </c>
    </row>
    <row r="6587">
      <c r="H6587" t="s">
        <v>5117</v>
      </c>
    </row>
    <row r="6588">
      <c r="H6588" t="s">
        <v>5117</v>
      </c>
    </row>
    <row r="6589">
      <c r="H6589" t="s">
        <v>5117</v>
      </c>
    </row>
    <row r="6590">
      <c r="H6590" t="s">
        <v>5117</v>
      </c>
    </row>
    <row r="6591">
      <c r="H6591" t="s">
        <v>5117</v>
      </c>
    </row>
    <row r="6592">
      <c r="H6592" t="s">
        <v>5117</v>
      </c>
    </row>
    <row r="6593">
      <c r="H6593" t="s">
        <v>5117</v>
      </c>
    </row>
    <row r="6594">
      <c r="H6594" t="s">
        <v>5117</v>
      </c>
    </row>
    <row r="6595">
      <c r="H6595" t="s">
        <v>5117</v>
      </c>
    </row>
    <row r="6596">
      <c r="H6596" t="s">
        <v>5117</v>
      </c>
    </row>
    <row r="6597">
      <c r="H6597" t="s">
        <v>5117</v>
      </c>
    </row>
    <row r="6598">
      <c r="H6598" t="s">
        <v>5117</v>
      </c>
    </row>
    <row r="6599">
      <c r="H6599" t="s">
        <v>5117</v>
      </c>
    </row>
    <row r="6600">
      <c r="H6600" t="s">
        <v>5117</v>
      </c>
    </row>
    <row r="6601">
      <c r="H6601" t="s">
        <v>5117</v>
      </c>
    </row>
    <row r="6602">
      <c r="H6602" t="s">
        <v>5117</v>
      </c>
    </row>
    <row r="6603">
      <c r="H6603" t="s">
        <v>5117</v>
      </c>
    </row>
    <row r="6604">
      <c r="H6604" t="s">
        <v>5117</v>
      </c>
    </row>
    <row r="6605">
      <c r="H6605" t="s">
        <v>5117</v>
      </c>
    </row>
    <row r="6606">
      <c r="H6606" t="s">
        <v>5117</v>
      </c>
    </row>
    <row r="6607">
      <c r="H6607" t="s">
        <v>5117</v>
      </c>
    </row>
    <row r="6608">
      <c r="H6608" t="s">
        <v>5117</v>
      </c>
    </row>
    <row r="6609">
      <c r="H6609" t="s">
        <v>5117</v>
      </c>
    </row>
    <row r="6610">
      <c r="H6610" t="s">
        <v>5117</v>
      </c>
    </row>
    <row r="6611">
      <c r="H6611" t="s">
        <v>5117</v>
      </c>
    </row>
    <row r="6612">
      <c r="H6612" t="s">
        <v>5117</v>
      </c>
    </row>
    <row r="6613">
      <c r="H6613" t="s">
        <v>5117</v>
      </c>
    </row>
    <row r="6614">
      <c r="H6614" t="s">
        <v>5117</v>
      </c>
    </row>
    <row r="6615">
      <c r="H6615" t="s">
        <v>5117</v>
      </c>
    </row>
    <row r="6616">
      <c r="H6616" t="s">
        <v>5117</v>
      </c>
    </row>
    <row r="6617">
      <c r="H6617" t="s">
        <v>5117</v>
      </c>
    </row>
    <row r="6618">
      <c r="H6618" t="s">
        <v>5117</v>
      </c>
    </row>
    <row r="6619">
      <c r="H6619" t="s">
        <v>5117</v>
      </c>
    </row>
    <row r="6620">
      <c r="H6620" t="s">
        <v>5117</v>
      </c>
    </row>
    <row r="6621">
      <c r="H6621" t="s">
        <v>5117</v>
      </c>
    </row>
    <row r="6622">
      <c r="H6622" t="s">
        <v>5117</v>
      </c>
    </row>
    <row r="6623">
      <c r="H6623" t="s">
        <v>5117</v>
      </c>
    </row>
    <row r="6624">
      <c r="H6624" t="s">
        <v>5117</v>
      </c>
    </row>
    <row r="6625">
      <c r="H6625" t="s">
        <v>5117</v>
      </c>
    </row>
    <row r="6626">
      <c r="H6626" t="s">
        <v>5117</v>
      </c>
    </row>
    <row r="6627">
      <c r="H6627" t="s">
        <v>5117</v>
      </c>
    </row>
    <row r="6628">
      <c r="H6628" t="s">
        <v>5117</v>
      </c>
    </row>
    <row r="6629">
      <c r="H6629" t="s">
        <v>5117</v>
      </c>
    </row>
    <row r="6630">
      <c r="H6630" t="s">
        <v>5117</v>
      </c>
    </row>
    <row r="6631">
      <c r="H6631" t="s">
        <v>5117</v>
      </c>
    </row>
    <row r="6632">
      <c r="H6632" t="s">
        <v>5117</v>
      </c>
    </row>
    <row r="6633">
      <c r="H6633" t="s">
        <v>5117</v>
      </c>
    </row>
    <row r="6634">
      <c r="H6634" t="s">
        <v>5117</v>
      </c>
    </row>
    <row r="6635">
      <c r="H6635" t="s">
        <v>5117</v>
      </c>
    </row>
    <row r="6636">
      <c r="H6636" t="s">
        <v>5117</v>
      </c>
    </row>
    <row r="6637">
      <c r="H6637" t="s">
        <v>5117</v>
      </c>
    </row>
    <row r="6638">
      <c r="H6638" t="s">
        <v>5117</v>
      </c>
    </row>
    <row r="6639">
      <c r="H6639" t="s">
        <v>5117</v>
      </c>
    </row>
    <row r="6640">
      <c r="H6640" t="s">
        <v>5117</v>
      </c>
    </row>
    <row r="6641">
      <c r="H6641" t="s">
        <v>5117</v>
      </c>
    </row>
    <row r="6642">
      <c r="H6642" t="s">
        <v>5117</v>
      </c>
    </row>
    <row r="6643">
      <c r="H6643" t="s">
        <v>5117</v>
      </c>
    </row>
    <row r="6644">
      <c r="H6644" t="s">
        <v>5117</v>
      </c>
    </row>
    <row r="6645">
      <c r="H6645" t="s">
        <v>5117</v>
      </c>
    </row>
    <row r="6646">
      <c r="H6646" t="s">
        <v>5117</v>
      </c>
    </row>
    <row r="6647">
      <c r="H6647" t="s">
        <v>5117</v>
      </c>
    </row>
    <row r="6648">
      <c r="H6648" t="s">
        <v>5117</v>
      </c>
    </row>
    <row r="6649">
      <c r="H6649" t="s">
        <v>5117</v>
      </c>
    </row>
    <row r="6650">
      <c r="H6650" t="s">
        <v>5117</v>
      </c>
    </row>
    <row r="6651">
      <c r="H6651" t="s">
        <v>5117</v>
      </c>
    </row>
    <row r="6652">
      <c r="H6652" t="s">
        <v>5117</v>
      </c>
    </row>
    <row r="6653">
      <c r="H6653" t="s">
        <v>5117</v>
      </c>
    </row>
    <row r="6654">
      <c r="H6654" t="s">
        <v>5117</v>
      </c>
    </row>
    <row r="6655">
      <c r="H6655" t="s">
        <v>5117</v>
      </c>
    </row>
    <row r="6656">
      <c r="H6656" t="s">
        <v>5117</v>
      </c>
    </row>
    <row r="6657">
      <c r="H6657" t="s">
        <v>5117</v>
      </c>
    </row>
    <row r="6658">
      <c r="H6658" t="s">
        <v>5117</v>
      </c>
    </row>
    <row r="6659">
      <c r="H6659" t="s">
        <v>5117</v>
      </c>
    </row>
    <row r="6660">
      <c r="H6660" t="s">
        <v>5117</v>
      </c>
    </row>
    <row r="6661">
      <c r="H6661" t="s">
        <v>5117</v>
      </c>
    </row>
    <row r="6662">
      <c r="H6662" t="s">
        <v>5117</v>
      </c>
    </row>
    <row r="6663">
      <c r="H6663" t="s">
        <v>5117</v>
      </c>
    </row>
    <row r="6664">
      <c r="H6664" t="s">
        <v>5117</v>
      </c>
    </row>
    <row r="6665">
      <c r="H6665" t="s">
        <v>5117</v>
      </c>
    </row>
    <row r="6666">
      <c r="H6666" t="s">
        <v>5117</v>
      </c>
    </row>
    <row r="6667">
      <c r="H6667" t="s">
        <v>5117</v>
      </c>
    </row>
    <row r="6668">
      <c r="H6668" t="s">
        <v>5117</v>
      </c>
    </row>
    <row r="6669">
      <c r="H6669" t="s">
        <v>5117</v>
      </c>
    </row>
    <row r="6670">
      <c r="H6670" t="s">
        <v>5117</v>
      </c>
    </row>
    <row r="6671">
      <c r="H6671" t="s">
        <v>5117</v>
      </c>
    </row>
    <row r="6672">
      <c r="H6672" t="s">
        <v>5117</v>
      </c>
    </row>
    <row r="6673">
      <c r="H6673" t="s">
        <v>5117</v>
      </c>
    </row>
    <row r="6674">
      <c r="H6674" t="s">
        <v>5117</v>
      </c>
    </row>
    <row r="6675">
      <c r="H6675" t="s">
        <v>5117</v>
      </c>
    </row>
    <row r="6676">
      <c r="H6676" t="s">
        <v>5117</v>
      </c>
    </row>
    <row r="6677">
      <c r="H6677" t="s">
        <v>5117</v>
      </c>
    </row>
    <row r="6678">
      <c r="H6678" t="s">
        <v>5117</v>
      </c>
    </row>
    <row r="6679">
      <c r="H6679" t="s">
        <v>5117</v>
      </c>
    </row>
    <row r="6680">
      <c r="H6680" t="s">
        <v>5117</v>
      </c>
    </row>
    <row r="6681">
      <c r="H6681" t="s">
        <v>5117</v>
      </c>
    </row>
    <row r="6682">
      <c r="H6682" t="s">
        <v>5117</v>
      </c>
    </row>
    <row r="6683">
      <c r="H6683" t="s">
        <v>5117</v>
      </c>
    </row>
    <row r="6684">
      <c r="H6684" t="s">
        <v>5117</v>
      </c>
    </row>
    <row r="6685">
      <c r="H6685" t="s">
        <v>5117</v>
      </c>
    </row>
    <row r="6686">
      <c r="H6686" t="s">
        <v>5117</v>
      </c>
    </row>
    <row r="6687">
      <c r="H6687" t="s">
        <v>5117</v>
      </c>
    </row>
    <row r="6688">
      <c r="H6688" t="s">
        <v>5117</v>
      </c>
    </row>
    <row r="6689">
      <c r="H6689" t="s">
        <v>5117</v>
      </c>
    </row>
    <row r="6690">
      <c r="H6690" t="s">
        <v>5117</v>
      </c>
    </row>
    <row r="6691">
      <c r="H6691" t="s">
        <v>5117</v>
      </c>
    </row>
    <row r="6692">
      <c r="H6692" t="s">
        <v>5117</v>
      </c>
    </row>
    <row r="6693">
      <c r="H6693" t="s">
        <v>5117</v>
      </c>
    </row>
    <row r="6694">
      <c r="H6694" t="s">
        <v>5117</v>
      </c>
    </row>
    <row r="6695">
      <c r="H6695" t="s">
        <v>5117</v>
      </c>
    </row>
    <row r="6696">
      <c r="H6696" t="s">
        <v>5117</v>
      </c>
    </row>
    <row r="6697">
      <c r="H6697" t="s">
        <v>5117</v>
      </c>
    </row>
    <row r="6698">
      <c r="H6698" t="s">
        <v>5117</v>
      </c>
    </row>
    <row r="6699">
      <c r="H6699" t="s">
        <v>5117</v>
      </c>
    </row>
    <row r="6700">
      <c r="H6700" t="s">
        <v>5117</v>
      </c>
    </row>
    <row r="6701">
      <c r="H6701" t="s">
        <v>5117</v>
      </c>
    </row>
    <row r="6702">
      <c r="H6702" t="s">
        <v>5117</v>
      </c>
    </row>
    <row r="6703">
      <c r="H6703" t="s">
        <v>5117</v>
      </c>
    </row>
    <row r="6704">
      <c r="H6704" t="s">
        <v>5117</v>
      </c>
    </row>
    <row r="6705">
      <c r="H6705" t="s">
        <v>5117</v>
      </c>
    </row>
    <row r="6706">
      <c r="H6706" t="s">
        <v>5117</v>
      </c>
    </row>
    <row r="6707">
      <c r="H6707" t="s">
        <v>5117</v>
      </c>
    </row>
    <row r="6708">
      <c r="H6708" t="s">
        <v>5117</v>
      </c>
    </row>
    <row r="6709">
      <c r="H6709" t="s">
        <v>5117</v>
      </c>
    </row>
    <row r="6710">
      <c r="H6710" t="s">
        <v>5117</v>
      </c>
    </row>
    <row r="6711">
      <c r="H6711" t="s">
        <v>5117</v>
      </c>
    </row>
    <row r="6712">
      <c r="H6712" t="s">
        <v>5117</v>
      </c>
    </row>
    <row r="6713">
      <c r="H6713" t="s">
        <v>5117</v>
      </c>
    </row>
    <row r="6714">
      <c r="H6714" t="s">
        <v>5117</v>
      </c>
    </row>
    <row r="6715">
      <c r="H6715" t="s">
        <v>5117</v>
      </c>
    </row>
    <row r="6716">
      <c r="H6716" t="s">
        <v>5117</v>
      </c>
    </row>
    <row r="6717">
      <c r="H6717" t="s">
        <v>5117</v>
      </c>
    </row>
    <row r="6718">
      <c r="H6718" t="s">
        <v>5117</v>
      </c>
    </row>
    <row r="6719">
      <c r="H6719" t="s">
        <v>5117</v>
      </c>
    </row>
    <row r="6720">
      <c r="H6720" t="s">
        <v>5117</v>
      </c>
    </row>
    <row r="6721">
      <c r="H6721" t="s">
        <v>5117</v>
      </c>
    </row>
    <row r="6722">
      <c r="H6722" t="s">
        <v>5117</v>
      </c>
    </row>
    <row r="6723">
      <c r="H6723" t="s">
        <v>5117</v>
      </c>
    </row>
    <row r="6724">
      <c r="H6724" t="s">
        <v>5117</v>
      </c>
    </row>
    <row r="6725">
      <c r="H6725" t="s">
        <v>5117</v>
      </c>
    </row>
    <row r="6726">
      <c r="H6726" t="s">
        <v>5117</v>
      </c>
    </row>
    <row r="6727">
      <c r="H6727" t="s">
        <v>5117</v>
      </c>
    </row>
    <row r="6728">
      <c r="H6728" t="s">
        <v>5117</v>
      </c>
    </row>
    <row r="6729">
      <c r="H6729" t="s">
        <v>5117</v>
      </c>
    </row>
    <row r="6730">
      <c r="H6730" t="s">
        <v>5117</v>
      </c>
    </row>
    <row r="6731">
      <c r="H6731" t="s">
        <v>5117</v>
      </c>
    </row>
    <row r="6732">
      <c r="H6732" t="s">
        <v>5117</v>
      </c>
    </row>
    <row r="6733">
      <c r="H6733" t="s">
        <v>5117</v>
      </c>
    </row>
    <row r="6734">
      <c r="H6734" t="s">
        <v>5117</v>
      </c>
    </row>
    <row r="6735">
      <c r="H6735" t="s">
        <v>5117</v>
      </c>
    </row>
    <row r="6736">
      <c r="H6736" t="s">
        <v>5117</v>
      </c>
    </row>
    <row r="6737">
      <c r="H6737" t="s">
        <v>5117</v>
      </c>
    </row>
    <row r="6738">
      <c r="H6738" t="s">
        <v>5117</v>
      </c>
    </row>
    <row r="6739">
      <c r="H6739" t="s">
        <v>5117</v>
      </c>
    </row>
    <row r="6740">
      <c r="H6740" t="s">
        <v>5117</v>
      </c>
    </row>
    <row r="6741">
      <c r="H6741" t="s">
        <v>5117</v>
      </c>
    </row>
    <row r="6742">
      <c r="H6742" t="s">
        <v>5117</v>
      </c>
    </row>
    <row r="6743">
      <c r="H6743" t="s">
        <v>5117</v>
      </c>
    </row>
    <row r="6744">
      <c r="H6744" t="s">
        <v>5117</v>
      </c>
    </row>
    <row r="6745">
      <c r="H6745" t="s">
        <v>5117</v>
      </c>
    </row>
    <row r="6746">
      <c r="H6746" t="s">
        <v>5117</v>
      </c>
    </row>
    <row r="6747">
      <c r="H6747" t="s">
        <v>5117</v>
      </c>
    </row>
    <row r="6748">
      <c r="H6748" t="s">
        <v>5117</v>
      </c>
    </row>
    <row r="6749">
      <c r="H6749" t="s">
        <v>5117</v>
      </c>
    </row>
    <row r="6750">
      <c r="H6750" t="s">
        <v>5117</v>
      </c>
    </row>
    <row r="6751">
      <c r="H6751" t="s">
        <v>5117</v>
      </c>
    </row>
    <row r="6752">
      <c r="H6752" t="s">
        <v>5117</v>
      </c>
    </row>
    <row r="6753">
      <c r="H6753" t="s">
        <v>5117</v>
      </c>
    </row>
    <row r="6754">
      <c r="H6754" t="s">
        <v>5117</v>
      </c>
    </row>
    <row r="6755">
      <c r="H6755" t="s">
        <v>5117</v>
      </c>
    </row>
    <row r="6756">
      <c r="H6756" t="s">
        <v>5117</v>
      </c>
    </row>
    <row r="6757">
      <c r="H6757" t="s">
        <v>5117</v>
      </c>
    </row>
    <row r="6758">
      <c r="H6758" t="s">
        <v>5117</v>
      </c>
    </row>
    <row r="6759">
      <c r="H6759" t="s">
        <v>5117</v>
      </c>
    </row>
    <row r="6760">
      <c r="H6760" t="s">
        <v>5117</v>
      </c>
    </row>
    <row r="6761">
      <c r="H6761" t="s">
        <v>5117</v>
      </c>
    </row>
    <row r="6762">
      <c r="H6762" t="s">
        <v>5117</v>
      </c>
    </row>
    <row r="6763">
      <c r="H6763" t="s">
        <v>5117</v>
      </c>
    </row>
    <row r="6764">
      <c r="H6764" t="s">
        <v>5117</v>
      </c>
    </row>
    <row r="6765">
      <c r="H6765" t="s">
        <v>5117</v>
      </c>
    </row>
    <row r="6766">
      <c r="H6766" t="s">
        <v>5117</v>
      </c>
    </row>
    <row r="6767">
      <c r="H6767" t="s">
        <v>5117</v>
      </c>
    </row>
    <row r="6768">
      <c r="H6768" t="s">
        <v>5117</v>
      </c>
    </row>
    <row r="6769">
      <c r="H6769" t="s">
        <v>5117</v>
      </c>
    </row>
    <row r="6770">
      <c r="H6770" t="s">
        <v>5117</v>
      </c>
    </row>
    <row r="6771">
      <c r="H6771" t="s">
        <v>5117</v>
      </c>
    </row>
    <row r="6772">
      <c r="H6772" t="s">
        <v>5117</v>
      </c>
    </row>
    <row r="6773">
      <c r="H6773" t="s">
        <v>5117</v>
      </c>
    </row>
    <row r="6774">
      <c r="H6774" t="s">
        <v>5117</v>
      </c>
    </row>
    <row r="6775">
      <c r="H6775" t="s">
        <v>5117</v>
      </c>
    </row>
    <row r="6776">
      <c r="H6776" t="s">
        <v>5117</v>
      </c>
    </row>
    <row r="6777">
      <c r="H6777" t="s">
        <v>5117</v>
      </c>
    </row>
    <row r="6778">
      <c r="H6778" t="s">
        <v>5117</v>
      </c>
    </row>
    <row r="6779">
      <c r="H6779" t="s">
        <v>5117</v>
      </c>
    </row>
    <row r="6780">
      <c r="H6780" t="s">
        <v>5117</v>
      </c>
    </row>
    <row r="6781">
      <c r="H6781" t="s">
        <v>5117</v>
      </c>
    </row>
    <row r="6782">
      <c r="H6782" t="s">
        <v>5117</v>
      </c>
    </row>
    <row r="6783">
      <c r="H6783" t="s">
        <v>5117</v>
      </c>
    </row>
    <row r="6784">
      <c r="H6784" t="s">
        <v>5117</v>
      </c>
    </row>
    <row r="6785">
      <c r="H6785" t="s">
        <v>5117</v>
      </c>
    </row>
    <row r="6786">
      <c r="H6786" t="s">
        <v>5117</v>
      </c>
    </row>
    <row r="6787">
      <c r="H6787" t="s">
        <v>5117</v>
      </c>
    </row>
    <row r="6788">
      <c r="H6788" t="s">
        <v>5117</v>
      </c>
    </row>
    <row r="6789">
      <c r="H6789" t="s">
        <v>5117</v>
      </c>
    </row>
    <row r="6790">
      <c r="H6790" t="s">
        <v>5117</v>
      </c>
    </row>
    <row r="6791">
      <c r="H6791" t="s">
        <v>5117</v>
      </c>
    </row>
    <row r="6792">
      <c r="H6792" t="s">
        <v>5117</v>
      </c>
    </row>
    <row r="6793">
      <c r="H6793" t="s">
        <v>5117</v>
      </c>
    </row>
    <row r="6794">
      <c r="H6794" t="s">
        <v>5117</v>
      </c>
    </row>
    <row r="6795">
      <c r="H6795" t="s">
        <v>5117</v>
      </c>
    </row>
    <row r="6796">
      <c r="H6796" t="s">
        <v>5117</v>
      </c>
    </row>
    <row r="6797">
      <c r="H6797" t="s">
        <v>5117</v>
      </c>
    </row>
    <row r="6798">
      <c r="H6798" t="s">
        <v>5117</v>
      </c>
    </row>
    <row r="6799">
      <c r="H6799" t="s">
        <v>5117</v>
      </c>
    </row>
    <row r="6800">
      <c r="H6800" t="s">
        <v>5117</v>
      </c>
    </row>
    <row r="6801">
      <c r="H6801" t="s">
        <v>5117</v>
      </c>
    </row>
    <row r="6802">
      <c r="H6802" t="s">
        <v>5117</v>
      </c>
    </row>
    <row r="6803">
      <c r="H6803" t="s">
        <v>5117</v>
      </c>
    </row>
    <row r="6804">
      <c r="H6804" t="s">
        <v>5117</v>
      </c>
    </row>
    <row r="6805">
      <c r="H6805" t="s">
        <v>5117</v>
      </c>
    </row>
    <row r="6806">
      <c r="H6806" t="s">
        <v>5117</v>
      </c>
    </row>
    <row r="6807">
      <c r="H6807" t="s">
        <v>5117</v>
      </c>
    </row>
    <row r="6808">
      <c r="H6808" t="s">
        <v>5117</v>
      </c>
    </row>
    <row r="6809">
      <c r="H6809" t="s">
        <v>5117</v>
      </c>
    </row>
    <row r="6810">
      <c r="H6810" t="s">
        <v>5117</v>
      </c>
    </row>
    <row r="6811">
      <c r="H6811" t="s">
        <v>5117</v>
      </c>
    </row>
    <row r="6812">
      <c r="H6812" t="s">
        <v>5117</v>
      </c>
    </row>
    <row r="6813">
      <c r="H6813" t="s">
        <v>5117</v>
      </c>
    </row>
    <row r="6814">
      <c r="H6814" t="s">
        <v>5117</v>
      </c>
    </row>
    <row r="6815">
      <c r="H6815" t="s">
        <v>5117</v>
      </c>
    </row>
    <row r="6816">
      <c r="H6816" t="s">
        <v>5117</v>
      </c>
    </row>
    <row r="6817">
      <c r="H6817" t="s">
        <v>5117</v>
      </c>
    </row>
    <row r="6818">
      <c r="H6818" t="s">
        <v>5117</v>
      </c>
    </row>
    <row r="6819">
      <c r="H6819" t="s">
        <v>5117</v>
      </c>
    </row>
    <row r="6820">
      <c r="H6820" t="s">
        <v>5117</v>
      </c>
    </row>
    <row r="6821">
      <c r="H6821" t="s">
        <v>5117</v>
      </c>
    </row>
    <row r="6822">
      <c r="H6822" t="s">
        <v>5117</v>
      </c>
    </row>
    <row r="6823">
      <c r="H6823" t="s">
        <v>5117</v>
      </c>
    </row>
    <row r="6824">
      <c r="H6824" t="s">
        <v>5117</v>
      </c>
    </row>
    <row r="6825">
      <c r="H6825" t="s">
        <v>5117</v>
      </c>
    </row>
    <row r="6826">
      <c r="H6826" t="s">
        <v>5117</v>
      </c>
    </row>
    <row r="6827">
      <c r="H6827" t="s">
        <v>5117</v>
      </c>
    </row>
    <row r="6828">
      <c r="H6828" t="s">
        <v>5117</v>
      </c>
    </row>
    <row r="6829">
      <c r="H6829" t="s">
        <v>5117</v>
      </c>
    </row>
    <row r="6830">
      <c r="H6830" t="s">
        <v>5117</v>
      </c>
    </row>
    <row r="6831">
      <c r="H6831" t="s">
        <v>5117</v>
      </c>
    </row>
    <row r="6832">
      <c r="H6832" t="s">
        <v>5117</v>
      </c>
    </row>
    <row r="6833">
      <c r="H6833" t="s">
        <v>5117</v>
      </c>
    </row>
    <row r="6834">
      <c r="H6834" t="s">
        <v>5117</v>
      </c>
    </row>
    <row r="6835">
      <c r="H6835" t="s">
        <v>5117</v>
      </c>
    </row>
    <row r="6836">
      <c r="H6836" t="s">
        <v>5117</v>
      </c>
    </row>
    <row r="6837">
      <c r="H6837" t="s">
        <v>5117</v>
      </c>
    </row>
    <row r="6838">
      <c r="H6838" t="s">
        <v>5117</v>
      </c>
    </row>
    <row r="6839">
      <c r="H6839" t="s">
        <v>5117</v>
      </c>
    </row>
    <row r="6840">
      <c r="H6840" t="s">
        <v>5117</v>
      </c>
    </row>
    <row r="6841">
      <c r="H6841" t="s">
        <v>5117</v>
      </c>
    </row>
    <row r="6842">
      <c r="H6842" t="s">
        <v>5117</v>
      </c>
    </row>
    <row r="6843">
      <c r="H6843" t="s">
        <v>5117</v>
      </c>
    </row>
    <row r="6844">
      <c r="H6844" t="s">
        <v>5117</v>
      </c>
    </row>
    <row r="6845">
      <c r="H6845" t="s">
        <v>5117</v>
      </c>
    </row>
    <row r="6846">
      <c r="H6846" t="s">
        <v>5117</v>
      </c>
    </row>
    <row r="6847">
      <c r="H6847" t="s">
        <v>5117</v>
      </c>
    </row>
    <row r="6848">
      <c r="H6848" t="s">
        <v>5117</v>
      </c>
    </row>
    <row r="6849">
      <c r="H6849" t="s">
        <v>5117</v>
      </c>
    </row>
    <row r="6850">
      <c r="H6850" t="s">
        <v>5117</v>
      </c>
    </row>
    <row r="6851">
      <c r="H6851" t="s">
        <v>5117</v>
      </c>
    </row>
    <row r="6852">
      <c r="H6852" t="s">
        <v>5117</v>
      </c>
    </row>
    <row r="6853">
      <c r="H6853" t="s">
        <v>5117</v>
      </c>
    </row>
    <row r="6854">
      <c r="H6854" t="s">
        <v>5117</v>
      </c>
    </row>
    <row r="6855">
      <c r="H6855" t="s">
        <v>5117</v>
      </c>
    </row>
    <row r="6856">
      <c r="H6856" t="s">
        <v>5117</v>
      </c>
    </row>
    <row r="6857">
      <c r="H6857" t="s">
        <v>5117</v>
      </c>
    </row>
    <row r="6858">
      <c r="H6858" t="s">
        <v>5117</v>
      </c>
    </row>
    <row r="6859">
      <c r="H6859" t="s">
        <v>5117</v>
      </c>
    </row>
    <row r="6860">
      <c r="H6860" t="s">
        <v>5117</v>
      </c>
    </row>
    <row r="6861">
      <c r="H6861" t="s">
        <v>5117</v>
      </c>
    </row>
    <row r="6862">
      <c r="H6862" t="s">
        <v>5117</v>
      </c>
    </row>
    <row r="6863">
      <c r="H6863" t="s">
        <v>5117</v>
      </c>
    </row>
    <row r="6864">
      <c r="H6864" t="s">
        <v>5117</v>
      </c>
    </row>
    <row r="6865">
      <c r="H6865" t="s">
        <v>5117</v>
      </c>
    </row>
    <row r="6866">
      <c r="H6866" t="s">
        <v>5117</v>
      </c>
    </row>
    <row r="6867">
      <c r="H6867" t="s">
        <v>5117</v>
      </c>
    </row>
    <row r="6868">
      <c r="H6868" t="s">
        <v>5117</v>
      </c>
    </row>
    <row r="6869">
      <c r="H6869" t="s">
        <v>5117</v>
      </c>
    </row>
    <row r="6870">
      <c r="H6870" t="s">
        <v>5117</v>
      </c>
    </row>
    <row r="6871">
      <c r="H6871" t="s">
        <v>5117</v>
      </c>
    </row>
    <row r="6872">
      <c r="H6872" t="s">
        <v>5117</v>
      </c>
    </row>
    <row r="6873">
      <c r="H6873" t="s">
        <v>5117</v>
      </c>
    </row>
    <row r="6874">
      <c r="H6874" t="s">
        <v>5117</v>
      </c>
    </row>
    <row r="6875">
      <c r="H6875" t="s">
        <v>5117</v>
      </c>
    </row>
    <row r="6876">
      <c r="H6876" t="s">
        <v>5117</v>
      </c>
    </row>
    <row r="6877">
      <c r="H6877" t="s">
        <v>5117</v>
      </c>
    </row>
    <row r="6878">
      <c r="H6878" t="s">
        <v>5117</v>
      </c>
    </row>
    <row r="6879">
      <c r="H6879" t="s">
        <v>5117</v>
      </c>
    </row>
    <row r="6880">
      <c r="H6880" t="s">
        <v>5117</v>
      </c>
    </row>
    <row r="6881">
      <c r="H6881" t="s">
        <v>5117</v>
      </c>
    </row>
    <row r="6882">
      <c r="H6882" t="s">
        <v>5117</v>
      </c>
    </row>
    <row r="6883">
      <c r="H6883" t="s">
        <v>5117</v>
      </c>
    </row>
    <row r="6884">
      <c r="H6884" t="s">
        <v>5117</v>
      </c>
    </row>
    <row r="6885">
      <c r="H6885" t="s">
        <v>5117</v>
      </c>
    </row>
    <row r="6886">
      <c r="H6886" t="s">
        <v>5117</v>
      </c>
    </row>
    <row r="6887">
      <c r="H6887" t="s">
        <v>5117</v>
      </c>
    </row>
    <row r="6888">
      <c r="H6888" t="s">
        <v>5117</v>
      </c>
    </row>
    <row r="6889">
      <c r="H6889" t="s">
        <v>5117</v>
      </c>
    </row>
    <row r="6890">
      <c r="H6890" t="s">
        <v>5117</v>
      </c>
    </row>
    <row r="6891">
      <c r="H6891" t="s">
        <v>5117</v>
      </c>
    </row>
    <row r="6892">
      <c r="H6892" t="s">
        <v>5117</v>
      </c>
    </row>
    <row r="6893">
      <c r="H6893" t="s">
        <v>5117</v>
      </c>
    </row>
    <row r="6894">
      <c r="H6894" t="s">
        <v>5117</v>
      </c>
    </row>
    <row r="6895">
      <c r="H6895" t="s">
        <v>5117</v>
      </c>
    </row>
    <row r="6896">
      <c r="H6896" t="s">
        <v>5117</v>
      </c>
    </row>
    <row r="6897">
      <c r="H6897" t="s">
        <v>5117</v>
      </c>
    </row>
    <row r="6898">
      <c r="H6898" t="s">
        <v>5117</v>
      </c>
    </row>
    <row r="6899">
      <c r="H6899" t="s">
        <v>5117</v>
      </c>
    </row>
    <row r="6900">
      <c r="H6900" t="s">
        <v>5117</v>
      </c>
    </row>
    <row r="6901">
      <c r="H6901" t="s">
        <v>5117</v>
      </c>
    </row>
    <row r="6902">
      <c r="H6902" t="s">
        <v>5117</v>
      </c>
    </row>
    <row r="6903">
      <c r="H6903" t="s">
        <v>5117</v>
      </c>
    </row>
    <row r="6904">
      <c r="H6904" t="s">
        <v>5117</v>
      </c>
    </row>
    <row r="6905">
      <c r="H6905" t="s">
        <v>5117</v>
      </c>
    </row>
    <row r="6906">
      <c r="H6906" t="s">
        <v>5117</v>
      </c>
    </row>
    <row r="6907">
      <c r="H6907" t="s">
        <v>5117</v>
      </c>
    </row>
    <row r="6908">
      <c r="H6908" t="s">
        <v>5117</v>
      </c>
    </row>
    <row r="6909">
      <c r="H6909" t="s">
        <v>5117</v>
      </c>
    </row>
    <row r="6910">
      <c r="H6910" t="s">
        <v>5117</v>
      </c>
    </row>
    <row r="6911">
      <c r="H6911" t="s">
        <v>5117</v>
      </c>
    </row>
    <row r="6912">
      <c r="H6912" t="s">
        <v>5117</v>
      </c>
    </row>
    <row r="6913">
      <c r="H6913" t="s">
        <v>5117</v>
      </c>
    </row>
    <row r="6914">
      <c r="H6914" t="s">
        <v>5117</v>
      </c>
    </row>
    <row r="6915">
      <c r="H6915" t="s">
        <v>5117</v>
      </c>
    </row>
    <row r="6916">
      <c r="H6916" t="s">
        <v>5117</v>
      </c>
    </row>
    <row r="6917">
      <c r="H6917" t="s">
        <v>5117</v>
      </c>
    </row>
    <row r="6918">
      <c r="H6918" t="s">
        <v>5117</v>
      </c>
    </row>
    <row r="6919">
      <c r="H6919" t="s">
        <v>5117</v>
      </c>
    </row>
    <row r="6920">
      <c r="H6920" t="s">
        <v>5117</v>
      </c>
    </row>
    <row r="6921">
      <c r="H6921" t="s">
        <v>5117</v>
      </c>
    </row>
    <row r="6922">
      <c r="H6922" t="s">
        <v>5117</v>
      </c>
    </row>
    <row r="6923">
      <c r="H6923" t="s">
        <v>5117</v>
      </c>
    </row>
    <row r="6924">
      <c r="H6924" t="s">
        <v>5117</v>
      </c>
    </row>
    <row r="6925">
      <c r="H6925" t="s">
        <v>5117</v>
      </c>
    </row>
    <row r="6926">
      <c r="H6926" t="s">
        <v>5117</v>
      </c>
    </row>
    <row r="6927">
      <c r="H6927" t="s">
        <v>5117</v>
      </c>
    </row>
    <row r="6928">
      <c r="H6928" t="s">
        <v>5117</v>
      </c>
    </row>
    <row r="6929">
      <c r="H6929" t="s">
        <v>5117</v>
      </c>
    </row>
    <row r="6930">
      <c r="H6930" t="s">
        <v>5117</v>
      </c>
    </row>
    <row r="6931">
      <c r="H6931" t="s">
        <v>5117</v>
      </c>
    </row>
    <row r="6932">
      <c r="H6932" t="s">
        <v>5117</v>
      </c>
    </row>
    <row r="6933">
      <c r="H6933" t="s">
        <v>5117</v>
      </c>
    </row>
    <row r="6934">
      <c r="H6934" t="s">
        <v>5117</v>
      </c>
    </row>
    <row r="6935">
      <c r="H6935" t="s">
        <v>5117</v>
      </c>
    </row>
    <row r="6936">
      <c r="H6936" t="s">
        <v>5117</v>
      </c>
    </row>
    <row r="6937">
      <c r="H6937" t="s">
        <v>5117</v>
      </c>
    </row>
    <row r="6938">
      <c r="H6938" t="s">
        <v>5117</v>
      </c>
    </row>
    <row r="6939">
      <c r="H6939" t="s">
        <v>5117</v>
      </c>
    </row>
    <row r="6940">
      <c r="H6940" t="s">
        <v>5117</v>
      </c>
    </row>
    <row r="6941">
      <c r="H6941" t="s">
        <v>5117</v>
      </c>
    </row>
    <row r="6942">
      <c r="H6942" t="s">
        <v>5117</v>
      </c>
    </row>
    <row r="6943">
      <c r="H6943" t="s">
        <v>5117</v>
      </c>
    </row>
    <row r="6944">
      <c r="H6944" t="s">
        <v>5117</v>
      </c>
    </row>
    <row r="6945">
      <c r="H6945" t="s">
        <v>5117</v>
      </c>
    </row>
    <row r="6946">
      <c r="H6946" t="s">
        <v>5117</v>
      </c>
    </row>
    <row r="6947">
      <c r="H6947" t="s">
        <v>5117</v>
      </c>
    </row>
    <row r="6948">
      <c r="H6948" t="s">
        <v>5117</v>
      </c>
    </row>
    <row r="6949">
      <c r="H6949" t="s">
        <v>5117</v>
      </c>
    </row>
    <row r="6950">
      <c r="H6950" t="s">
        <v>5117</v>
      </c>
    </row>
    <row r="6951">
      <c r="H6951" t="s">
        <v>5117</v>
      </c>
    </row>
    <row r="6952">
      <c r="H6952" t="s">
        <v>5117</v>
      </c>
    </row>
    <row r="6953">
      <c r="H6953" t="s">
        <v>5117</v>
      </c>
    </row>
    <row r="6954">
      <c r="H6954" t="s">
        <v>5117</v>
      </c>
    </row>
    <row r="6955">
      <c r="H6955" t="s">
        <v>5117</v>
      </c>
    </row>
    <row r="6956">
      <c r="H6956" t="s">
        <v>5117</v>
      </c>
    </row>
    <row r="6957">
      <c r="H6957" t="s">
        <v>5117</v>
      </c>
    </row>
    <row r="6958">
      <c r="H6958" t="s">
        <v>5117</v>
      </c>
    </row>
    <row r="6959">
      <c r="H6959" t="s">
        <v>5117</v>
      </c>
    </row>
    <row r="6960">
      <c r="H6960" t="s">
        <v>5117</v>
      </c>
    </row>
    <row r="6961">
      <c r="H6961" t="s">
        <v>5117</v>
      </c>
    </row>
    <row r="6962">
      <c r="H6962" t="s">
        <v>5117</v>
      </c>
    </row>
    <row r="6963">
      <c r="H6963" t="s">
        <v>5117</v>
      </c>
    </row>
    <row r="6964">
      <c r="H6964" t="s">
        <v>5117</v>
      </c>
    </row>
    <row r="6965">
      <c r="H6965" t="s">
        <v>5117</v>
      </c>
    </row>
    <row r="6966">
      <c r="H6966" t="s">
        <v>5117</v>
      </c>
    </row>
    <row r="6967">
      <c r="H6967" t="s">
        <v>5117</v>
      </c>
    </row>
    <row r="6968">
      <c r="H6968" t="s">
        <v>5117</v>
      </c>
    </row>
    <row r="6969">
      <c r="H6969" t="s">
        <v>5117</v>
      </c>
    </row>
    <row r="6970">
      <c r="H6970" t="s">
        <v>5117</v>
      </c>
    </row>
    <row r="6971">
      <c r="H6971" t="s">
        <v>5117</v>
      </c>
    </row>
    <row r="6972">
      <c r="H6972" t="s">
        <v>5117</v>
      </c>
    </row>
    <row r="6973">
      <c r="H6973" t="s">
        <v>5117</v>
      </c>
    </row>
    <row r="6974">
      <c r="H6974" t="s">
        <v>5117</v>
      </c>
    </row>
    <row r="6975">
      <c r="H6975" t="s">
        <v>5117</v>
      </c>
    </row>
    <row r="6976">
      <c r="H6976" t="s">
        <v>5117</v>
      </c>
    </row>
    <row r="6977">
      <c r="H6977" t="s">
        <v>5117</v>
      </c>
    </row>
    <row r="6978">
      <c r="H6978" t="s">
        <v>5117</v>
      </c>
    </row>
    <row r="6979">
      <c r="H6979" t="s">
        <v>5117</v>
      </c>
    </row>
    <row r="6980">
      <c r="H6980" t="s">
        <v>5117</v>
      </c>
    </row>
    <row r="6981">
      <c r="H6981" t="s">
        <v>5117</v>
      </c>
    </row>
    <row r="6982">
      <c r="H6982" t="s">
        <v>5117</v>
      </c>
    </row>
    <row r="6983">
      <c r="H6983" t="s">
        <v>5117</v>
      </c>
    </row>
    <row r="6984">
      <c r="H6984" t="s">
        <v>5117</v>
      </c>
    </row>
    <row r="6985">
      <c r="H6985" t="s">
        <v>5117</v>
      </c>
    </row>
    <row r="6986">
      <c r="H6986" t="s">
        <v>5117</v>
      </c>
    </row>
    <row r="6987">
      <c r="H6987" t="s">
        <v>5117</v>
      </c>
    </row>
    <row r="6988">
      <c r="H6988" t="s">
        <v>5117</v>
      </c>
    </row>
    <row r="6989">
      <c r="H6989" t="s">
        <v>5117</v>
      </c>
    </row>
    <row r="6990">
      <c r="H6990" t="s">
        <v>5117</v>
      </c>
    </row>
    <row r="6991">
      <c r="H6991" t="s">
        <v>5117</v>
      </c>
    </row>
    <row r="6992">
      <c r="H6992" t="s">
        <v>5117</v>
      </c>
    </row>
    <row r="6993">
      <c r="H6993" t="s">
        <v>5117</v>
      </c>
    </row>
    <row r="6994">
      <c r="H6994" t="s">
        <v>5117</v>
      </c>
    </row>
    <row r="6995">
      <c r="H6995" t="s">
        <v>5117</v>
      </c>
    </row>
    <row r="6996">
      <c r="H6996" t="s">
        <v>5117</v>
      </c>
    </row>
    <row r="6997">
      <c r="H6997" t="s">
        <v>5117</v>
      </c>
    </row>
    <row r="6998">
      <c r="H6998" t="s">
        <v>5117</v>
      </c>
    </row>
    <row r="6999">
      <c r="H6999" t="s">
        <v>5117</v>
      </c>
    </row>
    <row r="7000">
      <c r="H7000" t="s">
        <v>5117</v>
      </c>
    </row>
    <row r="7001">
      <c r="H7001" t="s">
        <v>5117</v>
      </c>
    </row>
    <row r="7002">
      <c r="H7002" t="s">
        <v>5117</v>
      </c>
    </row>
    <row r="7003">
      <c r="H7003" t="s">
        <v>5117</v>
      </c>
    </row>
    <row r="7004">
      <c r="H7004" t="s">
        <v>5117</v>
      </c>
    </row>
    <row r="7005">
      <c r="H7005" t="s">
        <v>5117</v>
      </c>
    </row>
    <row r="7006">
      <c r="H7006" t="s">
        <v>5117</v>
      </c>
    </row>
    <row r="7007">
      <c r="H7007" t="s">
        <v>5117</v>
      </c>
    </row>
    <row r="7008">
      <c r="H7008" t="s">
        <v>5117</v>
      </c>
    </row>
    <row r="7009">
      <c r="H7009" t="s">
        <v>5117</v>
      </c>
    </row>
    <row r="7010">
      <c r="H7010" t="s">
        <v>5117</v>
      </c>
    </row>
    <row r="7011">
      <c r="H7011" t="s">
        <v>5117</v>
      </c>
    </row>
    <row r="7012">
      <c r="H7012" t="s">
        <v>5117</v>
      </c>
    </row>
    <row r="7013">
      <c r="H7013" t="s">
        <v>5117</v>
      </c>
    </row>
    <row r="7014">
      <c r="H7014" t="s">
        <v>5117</v>
      </c>
    </row>
    <row r="7015">
      <c r="H7015" t="s">
        <v>5117</v>
      </c>
    </row>
    <row r="7016">
      <c r="H7016" t="s">
        <v>5117</v>
      </c>
    </row>
    <row r="7017">
      <c r="H7017" t="s">
        <v>5117</v>
      </c>
    </row>
    <row r="7018">
      <c r="H7018" t="s">
        <v>5117</v>
      </c>
    </row>
    <row r="7019">
      <c r="H7019" t="s">
        <v>5117</v>
      </c>
    </row>
    <row r="7020">
      <c r="H7020" t="s">
        <v>5117</v>
      </c>
    </row>
    <row r="7021">
      <c r="H7021" t="s">
        <v>5117</v>
      </c>
    </row>
    <row r="7022">
      <c r="H7022" t="s">
        <v>5117</v>
      </c>
    </row>
    <row r="7023">
      <c r="H7023" t="s">
        <v>5117</v>
      </c>
    </row>
    <row r="7024">
      <c r="H7024" t="s">
        <v>5117</v>
      </c>
    </row>
    <row r="7025">
      <c r="H7025" t="s">
        <v>5117</v>
      </c>
    </row>
    <row r="7026">
      <c r="H7026" t="s">
        <v>5117</v>
      </c>
    </row>
    <row r="7027">
      <c r="H7027" t="s">
        <v>5117</v>
      </c>
    </row>
    <row r="7028">
      <c r="H7028" t="s">
        <v>5117</v>
      </c>
    </row>
    <row r="7029">
      <c r="H7029" t="s">
        <v>5117</v>
      </c>
    </row>
    <row r="7030">
      <c r="H7030" t="s">
        <v>5117</v>
      </c>
    </row>
    <row r="7031">
      <c r="H7031" t="s">
        <v>5117</v>
      </c>
    </row>
    <row r="7032">
      <c r="H7032" t="s">
        <v>5117</v>
      </c>
    </row>
    <row r="7033">
      <c r="H7033" t="s">
        <v>5117</v>
      </c>
    </row>
    <row r="7034">
      <c r="H7034" t="s">
        <v>5117</v>
      </c>
    </row>
    <row r="7035">
      <c r="H7035" t="s">
        <v>5117</v>
      </c>
    </row>
    <row r="7036">
      <c r="H7036" t="s">
        <v>5117</v>
      </c>
    </row>
    <row r="7037">
      <c r="H7037" t="s">
        <v>5117</v>
      </c>
    </row>
    <row r="7038">
      <c r="H7038" t="s">
        <v>5117</v>
      </c>
    </row>
    <row r="7039">
      <c r="H7039" t="s">
        <v>5117</v>
      </c>
    </row>
    <row r="7040">
      <c r="H7040" t="s">
        <v>5117</v>
      </c>
    </row>
    <row r="7041">
      <c r="H7041" t="s">
        <v>5117</v>
      </c>
    </row>
    <row r="7042">
      <c r="H7042" t="s">
        <v>5117</v>
      </c>
    </row>
    <row r="7043">
      <c r="H7043" t="s">
        <v>5117</v>
      </c>
    </row>
    <row r="7044">
      <c r="H7044" t="s">
        <v>5117</v>
      </c>
    </row>
    <row r="7045">
      <c r="H7045" t="s">
        <v>5117</v>
      </c>
    </row>
    <row r="7046">
      <c r="H7046" t="s">
        <v>5117</v>
      </c>
    </row>
    <row r="7047">
      <c r="H7047" t="s">
        <v>5117</v>
      </c>
    </row>
    <row r="7048">
      <c r="H7048" t="s">
        <v>5117</v>
      </c>
    </row>
    <row r="7049">
      <c r="H7049" t="s">
        <v>5117</v>
      </c>
    </row>
    <row r="7050">
      <c r="H7050" t="s">
        <v>5117</v>
      </c>
    </row>
    <row r="7051">
      <c r="H7051" t="s">
        <v>5117</v>
      </c>
    </row>
    <row r="7052">
      <c r="H7052" t="s">
        <v>5117</v>
      </c>
    </row>
    <row r="7053">
      <c r="H7053" t="s">
        <v>5117</v>
      </c>
    </row>
    <row r="7054">
      <c r="H7054" t="s">
        <v>5117</v>
      </c>
    </row>
    <row r="7055">
      <c r="H7055" t="s">
        <v>5117</v>
      </c>
    </row>
    <row r="7056">
      <c r="H7056" t="s">
        <v>5117</v>
      </c>
    </row>
    <row r="7057">
      <c r="H7057" t="s">
        <v>5117</v>
      </c>
    </row>
    <row r="7058">
      <c r="H7058" t="s">
        <v>5117</v>
      </c>
    </row>
    <row r="7059">
      <c r="H7059" t="s">
        <v>5117</v>
      </c>
    </row>
    <row r="7060">
      <c r="H7060" t="s">
        <v>5117</v>
      </c>
    </row>
    <row r="7061">
      <c r="H7061" t="s">
        <v>5117</v>
      </c>
    </row>
    <row r="7062">
      <c r="H7062" t="s">
        <v>5117</v>
      </c>
    </row>
    <row r="7063">
      <c r="H7063" t="s">
        <v>5117</v>
      </c>
    </row>
    <row r="7064">
      <c r="H7064" t="s">
        <v>5117</v>
      </c>
    </row>
    <row r="7065">
      <c r="H7065" t="s">
        <v>5117</v>
      </c>
    </row>
    <row r="7066">
      <c r="H7066" t="s">
        <v>5117</v>
      </c>
    </row>
    <row r="7067">
      <c r="H7067" t="s">
        <v>5117</v>
      </c>
    </row>
    <row r="7068">
      <c r="H7068" t="s">
        <v>5117</v>
      </c>
    </row>
    <row r="7069">
      <c r="H7069" t="s">
        <v>5117</v>
      </c>
    </row>
    <row r="7070">
      <c r="H7070" t="s">
        <v>5117</v>
      </c>
    </row>
    <row r="7071">
      <c r="H7071" t="s">
        <v>5117</v>
      </c>
    </row>
    <row r="7072">
      <c r="H7072" t="s">
        <v>5117</v>
      </c>
    </row>
    <row r="7073">
      <c r="H7073" t="s">
        <v>5117</v>
      </c>
    </row>
    <row r="7074">
      <c r="H7074" t="s">
        <v>5117</v>
      </c>
    </row>
    <row r="7075">
      <c r="H7075" t="s">
        <v>5117</v>
      </c>
    </row>
    <row r="7076">
      <c r="H7076" t="s">
        <v>5117</v>
      </c>
    </row>
    <row r="7077">
      <c r="H7077" t="s">
        <v>5117</v>
      </c>
    </row>
    <row r="7078">
      <c r="H7078" t="s">
        <v>5117</v>
      </c>
    </row>
    <row r="7079">
      <c r="H7079" t="s">
        <v>5117</v>
      </c>
    </row>
    <row r="7080">
      <c r="H7080" t="s">
        <v>5117</v>
      </c>
    </row>
    <row r="7081">
      <c r="H7081" t="s">
        <v>5117</v>
      </c>
    </row>
    <row r="7082">
      <c r="H7082" t="s">
        <v>5117</v>
      </c>
    </row>
    <row r="7083">
      <c r="H7083" t="s">
        <v>5117</v>
      </c>
    </row>
    <row r="7084">
      <c r="H7084" t="s">
        <v>5117</v>
      </c>
    </row>
    <row r="7085">
      <c r="H7085" t="s">
        <v>5117</v>
      </c>
    </row>
    <row r="7086">
      <c r="H7086" t="s">
        <v>5117</v>
      </c>
    </row>
    <row r="7087">
      <c r="H7087" t="s">
        <v>5117</v>
      </c>
    </row>
    <row r="7088">
      <c r="H7088" t="s">
        <v>5117</v>
      </c>
    </row>
    <row r="7089">
      <c r="H7089" t="s">
        <v>5117</v>
      </c>
    </row>
    <row r="7090">
      <c r="H7090" t="s">
        <v>5117</v>
      </c>
    </row>
    <row r="7091">
      <c r="H7091" t="s">
        <v>5117</v>
      </c>
    </row>
    <row r="7092">
      <c r="H7092" t="s">
        <v>5117</v>
      </c>
    </row>
    <row r="7093">
      <c r="H7093" t="s">
        <v>5117</v>
      </c>
    </row>
    <row r="7094">
      <c r="H7094" t="s">
        <v>5117</v>
      </c>
    </row>
    <row r="7095">
      <c r="H7095" t="s">
        <v>5117</v>
      </c>
    </row>
    <row r="7096">
      <c r="H7096" t="s">
        <v>5117</v>
      </c>
    </row>
    <row r="7097">
      <c r="H7097" t="s">
        <v>5117</v>
      </c>
    </row>
    <row r="7098">
      <c r="H7098" t="s">
        <v>5117</v>
      </c>
    </row>
    <row r="7099">
      <c r="H7099" t="s">
        <v>5117</v>
      </c>
    </row>
    <row r="7100">
      <c r="H7100" t="s">
        <v>5117</v>
      </c>
    </row>
    <row r="7101">
      <c r="H7101" t="s">
        <v>5117</v>
      </c>
    </row>
    <row r="7102">
      <c r="H7102" t="s">
        <v>5117</v>
      </c>
    </row>
    <row r="7103">
      <c r="H7103" t="s">
        <v>5117</v>
      </c>
    </row>
    <row r="7104">
      <c r="H7104" t="s">
        <v>5117</v>
      </c>
    </row>
    <row r="7105">
      <c r="H7105" t="s">
        <v>5117</v>
      </c>
    </row>
    <row r="7106">
      <c r="H7106" t="s">
        <v>5117</v>
      </c>
    </row>
    <row r="7107">
      <c r="H7107" t="s">
        <v>5117</v>
      </c>
    </row>
    <row r="7108">
      <c r="H7108" t="s">
        <v>5117</v>
      </c>
    </row>
    <row r="7109">
      <c r="H7109" t="s">
        <v>5117</v>
      </c>
    </row>
    <row r="7110">
      <c r="H7110" t="s">
        <v>5117</v>
      </c>
    </row>
    <row r="7111">
      <c r="H7111" t="s">
        <v>5117</v>
      </c>
    </row>
    <row r="7112">
      <c r="H7112" t="s">
        <v>5117</v>
      </c>
    </row>
    <row r="7113">
      <c r="H7113" t="s">
        <v>5117</v>
      </c>
    </row>
    <row r="7114">
      <c r="H7114" t="s">
        <v>5117</v>
      </c>
    </row>
    <row r="7115">
      <c r="H7115" t="s">
        <v>5117</v>
      </c>
    </row>
    <row r="7116">
      <c r="H7116" t="s">
        <v>5117</v>
      </c>
    </row>
    <row r="7117">
      <c r="H7117" t="s">
        <v>5117</v>
      </c>
    </row>
    <row r="7118">
      <c r="H7118" t="s">
        <v>5117</v>
      </c>
    </row>
    <row r="7119">
      <c r="H7119" t="s">
        <v>5117</v>
      </c>
    </row>
    <row r="7120">
      <c r="H7120" t="s">
        <v>5117</v>
      </c>
    </row>
    <row r="7121">
      <c r="H7121" t="s">
        <v>5117</v>
      </c>
    </row>
    <row r="7122">
      <c r="H7122" t="s">
        <v>5117</v>
      </c>
    </row>
    <row r="7123">
      <c r="H7123" t="s">
        <v>5117</v>
      </c>
    </row>
    <row r="7124">
      <c r="H7124" t="s">
        <v>5117</v>
      </c>
    </row>
    <row r="7125">
      <c r="H7125" t="s">
        <v>5117</v>
      </c>
    </row>
    <row r="7126">
      <c r="H7126" t="s">
        <v>5117</v>
      </c>
    </row>
    <row r="7127">
      <c r="H7127" t="s">
        <v>5117</v>
      </c>
    </row>
    <row r="7128">
      <c r="H7128" t="s">
        <v>5117</v>
      </c>
    </row>
    <row r="7129">
      <c r="H7129" t="s">
        <v>5117</v>
      </c>
    </row>
    <row r="7130">
      <c r="H7130" t="s">
        <v>5117</v>
      </c>
    </row>
    <row r="7131">
      <c r="H7131" t="s">
        <v>5117</v>
      </c>
    </row>
    <row r="7132">
      <c r="H7132" t="s">
        <v>5117</v>
      </c>
    </row>
    <row r="7133">
      <c r="H7133" t="s">
        <v>5117</v>
      </c>
    </row>
    <row r="7134">
      <c r="H7134" t="s">
        <v>5117</v>
      </c>
    </row>
    <row r="7135">
      <c r="H7135" t="s">
        <v>5117</v>
      </c>
    </row>
    <row r="7136">
      <c r="H7136" t="s">
        <v>5117</v>
      </c>
    </row>
    <row r="7137">
      <c r="H7137" t="s">
        <v>5117</v>
      </c>
    </row>
    <row r="7138">
      <c r="H7138" t="s">
        <v>5117</v>
      </c>
    </row>
    <row r="7139">
      <c r="H7139" t="s">
        <v>5117</v>
      </c>
    </row>
    <row r="7140">
      <c r="H7140" t="s">
        <v>5117</v>
      </c>
    </row>
    <row r="7141">
      <c r="H7141" t="s">
        <v>5117</v>
      </c>
    </row>
    <row r="7142">
      <c r="H7142" t="s">
        <v>5117</v>
      </c>
    </row>
    <row r="7143">
      <c r="H7143" t="s">
        <v>5117</v>
      </c>
    </row>
    <row r="7144">
      <c r="H7144" t="s">
        <v>5117</v>
      </c>
    </row>
    <row r="7145">
      <c r="H7145" t="s">
        <v>5117</v>
      </c>
    </row>
    <row r="7146">
      <c r="H7146" t="s">
        <v>5117</v>
      </c>
    </row>
    <row r="7147">
      <c r="H7147" t="s">
        <v>5117</v>
      </c>
    </row>
    <row r="7148">
      <c r="H7148" t="s">
        <v>5117</v>
      </c>
    </row>
    <row r="7149">
      <c r="H7149" t="s">
        <v>5117</v>
      </c>
    </row>
    <row r="7150">
      <c r="H7150" t="s">
        <v>5117</v>
      </c>
    </row>
    <row r="7151">
      <c r="H7151" t="s">
        <v>5117</v>
      </c>
    </row>
    <row r="7152">
      <c r="H7152" t="s">
        <v>5117</v>
      </c>
    </row>
    <row r="7153">
      <c r="H7153" t="s">
        <v>5117</v>
      </c>
    </row>
    <row r="7154">
      <c r="H7154" t="s">
        <v>5117</v>
      </c>
    </row>
    <row r="7155">
      <c r="H7155" t="s">
        <v>5117</v>
      </c>
    </row>
    <row r="7156">
      <c r="H7156" t="s">
        <v>5117</v>
      </c>
    </row>
    <row r="7157">
      <c r="H7157" t="s">
        <v>5117</v>
      </c>
    </row>
    <row r="7158">
      <c r="H7158" t="s">
        <v>5117</v>
      </c>
    </row>
    <row r="7159">
      <c r="H7159" t="s">
        <v>5117</v>
      </c>
    </row>
    <row r="7160">
      <c r="H7160" t="s">
        <v>5117</v>
      </c>
    </row>
    <row r="7161">
      <c r="H7161" t="s">
        <v>5117</v>
      </c>
    </row>
    <row r="7162">
      <c r="H7162" t="s">
        <v>5117</v>
      </c>
    </row>
    <row r="7163">
      <c r="H7163" t="s">
        <v>5117</v>
      </c>
    </row>
    <row r="7164">
      <c r="H7164" t="s">
        <v>5117</v>
      </c>
    </row>
    <row r="7165">
      <c r="H7165" t="s">
        <v>5117</v>
      </c>
    </row>
    <row r="7166">
      <c r="H7166" t="s">
        <v>5117</v>
      </c>
    </row>
    <row r="7167">
      <c r="H7167" t="s">
        <v>5117</v>
      </c>
    </row>
    <row r="7168">
      <c r="H7168" t="s">
        <v>5117</v>
      </c>
    </row>
    <row r="7169">
      <c r="H7169" t="s">
        <v>5117</v>
      </c>
    </row>
    <row r="7170">
      <c r="H7170" t="s">
        <v>5117</v>
      </c>
    </row>
    <row r="7171">
      <c r="H7171" t="s">
        <v>5117</v>
      </c>
    </row>
    <row r="7172">
      <c r="H7172" t="s">
        <v>5117</v>
      </c>
    </row>
    <row r="7173">
      <c r="H7173" t="s">
        <v>5117</v>
      </c>
    </row>
    <row r="7174">
      <c r="H7174" t="s">
        <v>5117</v>
      </c>
    </row>
    <row r="7175">
      <c r="H7175" t="s">
        <v>5117</v>
      </c>
    </row>
    <row r="7176">
      <c r="H7176" t="s">
        <v>5117</v>
      </c>
    </row>
    <row r="7177">
      <c r="H7177" t="s">
        <v>5117</v>
      </c>
    </row>
    <row r="7178">
      <c r="H7178" t="s">
        <v>5117</v>
      </c>
    </row>
    <row r="7179">
      <c r="H7179" t="s">
        <v>5117</v>
      </c>
    </row>
    <row r="7180">
      <c r="H7180" t="s">
        <v>5117</v>
      </c>
    </row>
    <row r="7181">
      <c r="H7181" t="s">
        <v>5117</v>
      </c>
    </row>
    <row r="7182">
      <c r="H7182" t="s">
        <v>5117</v>
      </c>
    </row>
    <row r="7183">
      <c r="H7183" t="s">
        <v>5117</v>
      </c>
    </row>
    <row r="7184">
      <c r="H7184" t="s">
        <v>5117</v>
      </c>
    </row>
    <row r="7185">
      <c r="H7185" t="s">
        <v>5117</v>
      </c>
    </row>
    <row r="7186">
      <c r="H7186" t="s">
        <v>5117</v>
      </c>
    </row>
    <row r="7187">
      <c r="H7187" t="s">
        <v>5117</v>
      </c>
    </row>
    <row r="7188">
      <c r="H7188" t="s">
        <v>5117</v>
      </c>
    </row>
    <row r="7189">
      <c r="H7189" t="s">
        <v>5117</v>
      </c>
    </row>
    <row r="7190">
      <c r="H7190" t="s">
        <v>5117</v>
      </c>
    </row>
    <row r="7191">
      <c r="H7191" t="s">
        <v>5117</v>
      </c>
    </row>
    <row r="7192">
      <c r="H7192" t="s">
        <v>5117</v>
      </c>
    </row>
    <row r="7193">
      <c r="H7193" t="s">
        <v>5117</v>
      </c>
    </row>
    <row r="7194">
      <c r="H7194" t="s">
        <v>5117</v>
      </c>
    </row>
    <row r="7195">
      <c r="H7195" t="s">
        <v>5117</v>
      </c>
    </row>
    <row r="7196">
      <c r="H7196" t="s">
        <v>5117</v>
      </c>
    </row>
    <row r="7197">
      <c r="H7197" t="s">
        <v>5117</v>
      </c>
    </row>
    <row r="7198">
      <c r="H7198" t="s">
        <v>5117</v>
      </c>
    </row>
    <row r="7199">
      <c r="H7199" t="s">
        <v>5117</v>
      </c>
    </row>
    <row r="7200">
      <c r="H7200" t="s">
        <v>5117</v>
      </c>
    </row>
    <row r="7201">
      <c r="H7201" t="s">
        <v>5117</v>
      </c>
    </row>
    <row r="7202">
      <c r="H7202" t="s">
        <v>5117</v>
      </c>
    </row>
    <row r="7203">
      <c r="H7203" t="s">
        <v>5117</v>
      </c>
    </row>
    <row r="7204">
      <c r="H7204" t="s">
        <v>5117</v>
      </c>
    </row>
    <row r="7205">
      <c r="H7205" t="s">
        <v>5117</v>
      </c>
    </row>
    <row r="7206">
      <c r="H7206" t="s">
        <v>5117</v>
      </c>
    </row>
    <row r="7207">
      <c r="H7207" t="s">
        <v>5117</v>
      </c>
    </row>
    <row r="7208">
      <c r="H7208" t="s">
        <v>5117</v>
      </c>
    </row>
    <row r="7209">
      <c r="H7209" t="s">
        <v>5117</v>
      </c>
    </row>
    <row r="7210">
      <c r="H7210" t="s">
        <v>5117</v>
      </c>
    </row>
    <row r="7211">
      <c r="H7211" t="s">
        <v>5117</v>
      </c>
    </row>
    <row r="7212">
      <c r="H7212" t="s">
        <v>5117</v>
      </c>
    </row>
    <row r="7213">
      <c r="H7213" t="s">
        <v>5117</v>
      </c>
    </row>
    <row r="7214">
      <c r="H7214" t="s">
        <v>5117</v>
      </c>
    </row>
    <row r="7215">
      <c r="H7215" t="s">
        <v>5117</v>
      </c>
    </row>
    <row r="7216">
      <c r="H7216" t="s">
        <v>5117</v>
      </c>
    </row>
    <row r="7217">
      <c r="H7217" t="s">
        <v>5117</v>
      </c>
    </row>
    <row r="7218">
      <c r="H7218" t="s">
        <v>5117</v>
      </c>
    </row>
    <row r="7219">
      <c r="H7219" t="s">
        <v>5117</v>
      </c>
    </row>
    <row r="7220">
      <c r="H7220" t="s">
        <v>5117</v>
      </c>
    </row>
    <row r="7221">
      <c r="H7221" t="s">
        <v>5117</v>
      </c>
    </row>
    <row r="7222">
      <c r="H7222" t="s">
        <v>5117</v>
      </c>
    </row>
    <row r="7223">
      <c r="H7223" t="s">
        <v>5117</v>
      </c>
    </row>
    <row r="7224">
      <c r="H7224" t="s">
        <v>5117</v>
      </c>
    </row>
    <row r="7225">
      <c r="H7225" t="s">
        <v>5117</v>
      </c>
    </row>
    <row r="7226">
      <c r="H7226" t="s">
        <v>5117</v>
      </c>
    </row>
    <row r="7227">
      <c r="H7227" t="s">
        <v>5117</v>
      </c>
    </row>
    <row r="7228">
      <c r="H7228" t="s">
        <v>5117</v>
      </c>
    </row>
    <row r="7229">
      <c r="H7229" t="s">
        <v>5117</v>
      </c>
    </row>
    <row r="7230">
      <c r="H7230" t="s">
        <v>5117</v>
      </c>
    </row>
    <row r="7231">
      <c r="H7231" t="s">
        <v>5117</v>
      </c>
    </row>
    <row r="7232">
      <c r="H7232" t="s">
        <v>5117</v>
      </c>
    </row>
    <row r="7233">
      <c r="H7233" t="s">
        <v>5117</v>
      </c>
    </row>
    <row r="7234">
      <c r="H7234" t="s">
        <v>5117</v>
      </c>
    </row>
    <row r="7235">
      <c r="H7235" t="s">
        <v>5117</v>
      </c>
    </row>
    <row r="7236">
      <c r="H7236" t="s">
        <v>5117</v>
      </c>
    </row>
    <row r="7237">
      <c r="H7237" t="s">
        <v>5117</v>
      </c>
    </row>
    <row r="7238">
      <c r="H7238" t="s">
        <v>5117</v>
      </c>
    </row>
    <row r="7239">
      <c r="H7239" t="s">
        <v>5117</v>
      </c>
    </row>
    <row r="7240">
      <c r="H7240" t="s">
        <v>5117</v>
      </c>
    </row>
    <row r="7241">
      <c r="H7241" t="s">
        <v>5117</v>
      </c>
    </row>
    <row r="7242">
      <c r="H7242" t="s">
        <v>5117</v>
      </c>
    </row>
    <row r="7243">
      <c r="H7243" t="s">
        <v>5117</v>
      </c>
    </row>
    <row r="7244">
      <c r="H7244" t="s">
        <v>5117</v>
      </c>
    </row>
    <row r="7245">
      <c r="H7245" t="s">
        <v>5117</v>
      </c>
    </row>
    <row r="7246">
      <c r="H7246" t="s">
        <v>5117</v>
      </c>
    </row>
    <row r="7247">
      <c r="H7247" t="s">
        <v>5117</v>
      </c>
    </row>
    <row r="7248">
      <c r="H7248" t="s">
        <v>5117</v>
      </c>
    </row>
    <row r="7249">
      <c r="H7249" t="s">
        <v>5117</v>
      </c>
    </row>
    <row r="7250">
      <c r="H7250" t="s">
        <v>5117</v>
      </c>
    </row>
    <row r="7251">
      <c r="H7251" t="s">
        <v>5117</v>
      </c>
    </row>
    <row r="7252">
      <c r="H7252" t="s">
        <v>5117</v>
      </c>
    </row>
    <row r="7253">
      <c r="H7253" t="s">
        <v>5117</v>
      </c>
    </row>
    <row r="7254">
      <c r="H7254" t="s">
        <v>5117</v>
      </c>
    </row>
    <row r="7255">
      <c r="H7255" t="s">
        <v>5117</v>
      </c>
    </row>
    <row r="7256">
      <c r="H7256" t="s">
        <v>5117</v>
      </c>
    </row>
    <row r="7257">
      <c r="H7257" t="s">
        <v>5117</v>
      </c>
    </row>
    <row r="7258">
      <c r="H7258" t="s">
        <v>5117</v>
      </c>
    </row>
    <row r="7259">
      <c r="H7259" t="s">
        <v>5117</v>
      </c>
    </row>
    <row r="7260">
      <c r="H7260" t="s">
        <v>5117</v>
      </c>
    </row>
    <row r="7261">
      <c r="H7261" t="s">
        <v>5117</v>
      </c>
    </row>
    <row r="7262">
      <c r="H7262" t="s">
        <v>5117</v>
      </c>
    </row>
    <row r="7263">
      <c r="H7263" t="s">
        <v>5117</v>
      </c>
    </row>
    <row r="7264">
      <c r="H7264" t="s">
        <v>5117</v>
      </c>
    </row>
    <row r="7265">
      <c r="H7265" t="s">
        <v>5117</v>
      </c>
    </row>
    <row r="7266">
      <c r="H7266" t="s">
        <v>5117</v>
      </c>
    </row>
    <row r="7267">
      <c r="H7267" t="s">
        <v>5117</v>
      </c>
    </row>
    <row r="7268">
      <c r="H7268" t="s">
        <v>5117</v>
      </c>
    </row>
    <row r="7269">
      <c r="H7269" t="s">
        <v>5117</v>
      </c>
    </row>
    <row r="7270">
      <c r="H7270" t="s">
        <v>5117</v>
      </c>
    </row>
    <row r="7271">
      <c r="H7271" t="s">
        <v>5117</v>
      </c>
    </row>
    <row r="7272">
      <c r="H7272" t="s">
        <v>5117</v>
      </c>
    </row>
    <row r="7273">
      <c r="H7273" t="s">
        <v>5117</v>
      </c>
    </row>
    <row r="7274">
      <c r="H7274" t="s">
        <v>5117</v>
      </c>
    </row>
    <row r="7275">
      <c r="H7275" t="s">
        <v>5117</v>
      </c>
    </row>
    <row r="7276">
      <c r="H7276" t="s">
        <v>5117</v>
      </c>
    </row>
    <row r="7277">
      <c r="H7277" t="s">
        <v>5117</v>
      </c>
    </row>
    <row r="7278">
      <c r="H7278" t="s">
        <v>5117</v>
      </c>
    </row>
    <row r="7279">
      <c r="H7279" t="s">
        <v>5117</v>
      </c>
    </row>
    <row r="7280">
      <c r="H7280" t="s">
        <v>5117</v>
      </c>
    </row>
    <row r="7281">
      <c r="H7281" t="s">
        <v>5117</v>
      </c>
    </row>
    <row r="7282">
      <c r="H7282" t="s">
        <v>5117</v>
      </c>
    </row>
    <row r="7283">
      <c r="H7283" t="s">
        <v>5117</v>
      </c>
    </row>
    <row r="7284">
      <c r="H7284" t="s">
        <v>5117</v>
      </c>
    </row>
    <row r="7285">
      <c r="H7285" t="s">
        <v>5117</v>
      </c>
    </row>
    <row r="7286">
      <c r="H7286" t="s">
        <v>5117</v>
      </c>
    </row>
    <row r="7287">
      <c r="H7287" t="s">
        <v>5117</v>
      </c>
    </row>
    <row r="7288">
      <c r="H7288" t="s">
        <v>5117</v>
      </c>
    </row>
    <row r="7289">
      <c r="H7289" t="s">
        <v>5117</v>
      </c>
    </row>
    <row r="7290">
      <c r="H7290" t="s">
        <v>5117</v>
      </c>
    </row>
    <row r="7291">
      <c r="H7291" t="s">
        <v>5117</v>
      </c>
    </row>
    <row r="7292">
      <c r="H7292" t="s">
        <v>5117</v>
      </c>
    </row>
    <row r="7293">
      <c r="H7293" t="s">
        <v>5117</v>
      </c>
    </row>
    <row r="7294">
      <c r="H7294" t="s">
        <v>5117</v>
      </c>
    </row>
    <row r="7295">
      <c r="H7295" t="s">
        <v>5117</v>
      </c>
    </row>
    <row r="7296">
      <c r="H7296" t="s">
        <v>5117</v>
      </c>
    </row>
    <row r="7297">
      <c r="H7297" t="s">
        <v>5117</v>
      </c>
    </row>
    <row r="7298">
      <c r="H7298" t="s">
        <v>5117</v>
      </c>
    </row>
    <row r="7299">
      <c r="H7299" t="s">
        <v>5117</v>
      </c>
    </row>
    <row r="7300">
      <c r="H7300" t="s">
        <v>5117</v>
      </c>
    </row>
    <row r="7301">
      <c r="H7301" t="s">
        <v>5117</v>
      </c>
    </row>
    <row r="7302">
      <c r="H7302" t="s">
        <v>5117</v>
      </c>
    </row>
    <row r="7303">
      <c r="H7303" t="s">
        <v>5117</v>
      </c>
    </row>
    <row r="7304">
      <c r="H7304" t="s">
        <v>5117</v>
      </c>
    </row>
    <row r="7305">
      <c r="H7305" t="s">
        <v>5117</v>
      </c>
    </row>
    <row r="7306">
      <c r="H7306" t="s">
        <v>5117</v>
      </c>
    </row>
    <row r="7307">
      <c r="H7307" t="s">
        <v>5117</v>
      </c>
    </row>
    <row r="7308">
      <c r="H7308" t="s">
        <v>5117</v>
      </c>
    </row>
    <row r="7309">
      <c r="H7309" t="s">
        <v>5117</v>
      </c>
    </row>
    <row r="7310">
      <c r="H7310" t="s">
        <v>5117</v>
      </c>
    </row>
    <row r="7311">
      <c r="H7311" t="s">
        <v>5117</v>
      </c>
    </row>
    <row r="7312">
      <c r="H7312" t="s">
        <v>5117</v>
      </c>
    </row>
    <row r="7313">
      <c r="H7313" t="s">
        <v>5117</v>
      </c>
    </row>
    <row r="7314">
      <c r="H7314" t="s">
        <v>5117</v>
      </c>
    </row>
    <row r="7315">
      <c r="H7315" t="s">
        <v>5117</v>
      </c>
    </row>
    <row r="7316">
      <c r="H7316" t="s">
        <v>5117</v>
      </c>
    </row>
    <row r="7317">
      <c r="H7317" t="s">
        <v>5117</v>
      </c>
    </row>
    <row r="7318">
      <c r="H7318" t="s">
        <v>5117</v>
      </c>
    </row>
    <row r="7319">
      <c r="H7319" t="s">
        <v>5117</v>
      </c>
    </row>
    <row r="7320">
      <c r="H7320" t="s">
        <v>5117</v>
      </c>
    </row>
    <row r="7321">
      <c r="H7321" t="s">
        <v>5117</v>
      </c>
    </row>
    <row r="7322">
      <c r="H7322" t="s">
        <v>5117</v>
      </c>
    </row>
    <row r="7323">
      <c r="H7323" t="s">
        <v>5117</v>
      </c>
    </row>
    <row r="7324">
      <c r="H7324" t="s">
        <v>5117</v>
      </c>
    </row>
    <row r="7325">
      <c r="H7325" t="s">
        <v>5117</v>
      </c>
    </row>
    <row r="7326">
      <c r="H7326" t="s">
        <v>5117</v>
      </c>
    </row>
    <row r="7327">
      <c r="H7327" t="s">
        <v>5117</v>
      </c>
    </row>
    <row r="7328">
      <c r="H7328" t="s">
        <v>5117</v>
      </c>
    </row>
    <row r="7329">
      <c r="H7329" t="s">
        <v>5117</v>
      </c>
    </row>
    <row r="7330">
      <c r="H7330" t="s">
        <v>5117</v>
      </c>
    </row>
    <row r="7331">
      <c r="H7331" t="s">
        <v>5117</v>
      </c>
    </row>
    <row r="7332">
      <c r="H7332" t="s">
        <v>5117</v>
      </c>
    </row>
    <row r="7333">
      <c r="H7333" t="s">
        <v>5117</v>
      </c>
    </row>
    <row r="7334">
      <c r="H7334" t="s">
        <v>5117</v>
      </c>
    </row>
    <row r="7335">
      <c r="H7335" t="s">
        <v>5117</v>
      </c>
    </row>
    <row r="7336">
      <c r="H7336" t="s">
        <v>5117</v>
      </c>
    </row>
    <row r="7337">
      <c r="H7337" t="s">
        <v>5117</v>
      </c>
    </row>
    <row r="7338">
      <c r="H7338" t="s">
        <v>5117</v>
      </c>
    </row>
    <row r="7339">
      <c r="H7339" t="s">
        <v>5117</v>
      </c>
    </row>
    <row r="7340">
      <c r="H7340" t="s">
        <v>5117</v>
      </c>
    </row>
    <row r="7341">
      <c r="H7341" t="s">
        <v>5117</v>
      </c>
    </row>
    <row r="7342">
      <c r="H7342" t="s">
        <v>5117</v>
      </c>
    </row>
    <row r="7343">
      <c r="H7343" t="s">
        <v>5117</v>
      </c>
    </row>
    <row r="7344">
      <c r="H7344" t="s">
        <v>5117</v>
      </c>
    </row>
    <row r="7345">
      <c r="H7345" t="s">
        <v>5117</v>
      </c>
    </row>
    <row r="7346">
      <c r="H7346" t="s">
        <v>5117</v>
      </c>
    </row>
    <row r="7347">
      <c r="H7347" t="s">
        <v>5117</v>
      </c>
    </row>
    <row r="7348">
      <c r="H7348" t="s">
        <v>5117</v>
      </c>
    </row>
    <row r="7349">
      <c r="H7349" t="s">
        <v>5117</v>
      </c>
    </row>
    <row r="7350">
      <c r="H7350" t="s">
        <v>5117</v>
      </c>
    </row>
    <row r="7351">
      <c r="H7351" t="s">
        <v>5117</v>
      </c>
    </row>
    <row r="7352">
      <c r="H7352" t="s">
        <v>5117</v>
      </c>
    </row>
    <row r="7353">
      <c r="H7353" t="s">
        <v>5117</v>
      </c>
    </row>
    <row r="7354">
      <c r="H7354" t="s">
        <v>5117</v>
      </c>
    </row>
    <row r="7355">
      <c r="H7355" t="s">
        <v>5117</v>
      </c>
    </row>
    <row r="7356">
      <c r="H7356" t="s">
        <v>5117</v>
      </c>
    </row>
    <row r="7357">
      <c r="H7357" t="s">
        <v>5117</v>
      </c>
    </row>
    <row r="7358">
      <c r="H7358" t="s">
        <v>5117</v>
      </c>
    </row>
    <row r="7359">
      <c r="H7359" t="s">
        <v>5117</v>
      </c>
    </row>
    <row r="7360">
      <c r="H7360" t="s">
        <v>5117</v>
      </c>
    </row>
    <row r="7361">
      <c r="H7361" t="s">
        <v>5117</v>
      </c>
    </row>
    <row r="7362">
      <c r="H7362" t="s">
        <v>5117</v>
      </c>
    </row>
    <row r="7363">
      <c r="H7363" t="s">
        <v>5117</v>
      </c>
    </row>
    <row r="7364">
      <c r="H7364" t="s">
        <v>5117</v>
      </c>
    </row>
    <row r="7365">
      <c r="H7365" t="s">
        <v>5117</v>
      </c>
    </row>
    <row r="7366">
      <c r="H7366" t="s">
        <v>5117</v>
      </c>
    </row>
    <row r="7367">
      <c r="H7367" t="s">
        <v>5117</v>
      </c>
    </row>
    <row r="7368">
      <c r="H7368" t="s">
        <v>5117</v>
      </c>
    </row>
    <row r="7369">
      <c r="H7369" t="s">
        <v>5117</v>
      </c>
    </row>
    <row r="7370">
      <c r="H7370" t="s">
        <v>5117</v>
      </c>
    </row>
    <row r="7371">
      <c r="H7371" t="s">
        <v>5117</v>
      </c>
    </row>
    <row r="7372">
      <c r="H7372" t="s">
        <v>5117</v>
      </c>
    </row>
    <row r="7373">
      <c r="H7373" t="s">
        <v>5117</v>
      </c>
    </row>
    <row r="7374">
      <c r="H7374" t="s">
        <v>5117</v>
      </c>
    </row>
    <row r="7375">
      <c r="H7375" t="s">
        <v>5117</v>
      </c>
    </row>
    <row r="7376">
      <c r="H7376" t="s">
        <v>5117</v>
      </c>
    </row>
    <row r="7377">
      <c r="H7377" t="s">
        <v>5117</v>
      </c>
    </row>
    <row r="7378">
      <c r="H7378" t="s">
        <v>5117</v>
      </c>
    </row>
    <row r="7379">
      <c r="H7379" t="s">
        <v>5117</v>
      </c>
    </row>
    <row r="7380">
      <c r="H7380" t="s">
        <v>5117</v>
      </c>
    </row>
    <row r="7381">
      <c r="H7381" t="s">
        <v>5117</v>
      </c>
    </row>
    <row r="7382">
      <c r="H7382" t="s">
        <v>5117</v>
      </c>
    </row>
    <row r="7383">
      <c r="H7383" t="s">
        <v>5117</v>
      </c>
    </row>
    <row r="7384">
      <c r="H7384" t="s">
        <v>5117</v>
      </c>
    </row>
    <row r="7385">
      <c r="H7385" t="s">
        <v>5117</v>
      </c>
    </row>
    <row r="7386">
      <c r="H7386" t="s">
        <v>5117</v>
      </c>
    </row>
    <row r="7387">
      <c r="H7387" t="s">
        <v>5117</v>
      </c>
    </row>
    <row r="7388">
      <c r="H7388" t="s">
        <v>5117</v>
      </c>
    </row>
    <row r="7389">
      <c r="H7389" t="s">
        <v>5117</v>
      </c>
    </row>
    <row r="7390">
      <c r="H7390" t="s">
        <v>5117</v>
      </c>
    </row>
    <row r="7391">
      <c r="H7391" t="s">
        <v>5117</v>
      </c>
    </row>
    <row r="7392">
      <c r="H7392" t="s">
        <v>5117</v>
      </c>
    </row>
    <row r="7393">
      <c r="H7393" t="s">
        <v>5117</v>
      </c>
    </row>
    <row r="7394">
      <c r="H7394" t="s">
        <v>5117</v>
      </c>
    </row>
    <row r="7395">
      <c r="H7395" t="s">
        <v>5117</v>
      </c>
    </row>
    <row r="7396">
      <c r="H7396" t="s">
        <v>5117</v>
      </c>
    </row>
    <row r="7397">
      <c r="H7397" t="s">
        <v>5117</v>
      </c>
    </row>
    <row r="7398">
      <c r="H7398" t="s">
        <v>5117</v>
      </c>
    </row>
    <row r="7399">
      <c r="H7399" t="s">
        <v>5117</v>
      </c>
    </row>
    <row r="7400">
      <c r="H7400" t="s">
        <v>5117</v>
      </c>
    </row>
    <row r="7401">
      <c r="H7401" t="s">
        <v>5117</v>
      </c>
    </row>
    <row r="7402">
      <c r="H7402" t="s">
        <v>5117</v>
      </c>
    </row>
    <row r="7403">
      <c r="H7403" t="s">
        <v>5117</v>
      </c>
    </row>
    <row r="7404">
      <c r="H7404" t="s">
        <v>5117</v>
      </c>
    </row>
    <row r="7405">
      <c r="H7405" t="s">
        <v>5117</v>
      </c>
    </row>
    <row r="7406">
      <c r="H7406" t="s">
        <v>5117</v>
      </c>
    </row>
    <row r="7407">
      <c r="H7407" t="s">
        <v>5117</v>
      </c>
    </row>
    <row r="7408">
      <c r="H7408" t="s">
        <v>5117</v>
      </c>
    </row>
    <row r="7409">
      <c r="H7409" t="s">
        <v>5117</v>
      </c>
    </row>
    <row r="7410">
      <c r="H7410" t="s">
        <v>5117</v>
      </c>
    </row>
    <row r="7411">
      <c r="H7411" t="s">
        <v>5117</v>
      </c>
    </row>
    <row r="7412">
      <c r="H7412" t="s">
        <v>5117</v>
      </c>
    </row>
    <row r="7413">
      <c r="H7413" t="s">
        <v>5117</v>
      </c>
    </row>
    <row r="7414">
      <c r="H7414" t="s">
        <v>5117</v>
      </c>
    </row>
    <row r="7415">
      <c r="H7415" t="s">
        <v>5117</v>
      </c>
    </row>
    <row r="7416">
      <c r="H7416" t="s">
        <v>5117</v>
      </c>
    </row>
    <row r="7417">
      <c r="H7417" t="s">
        <v>5117</v>
      </c>
    </row>
    <row r="7418">
      <c r="H7418" t="s">
        <v>5117</v>
      </c>
    </row>
    <row r="7419">
      <c r="H7419" t="s">
        <v>5117</v>
      </c>
    </row>
    <row r="7420">
      <c r="H7420" t="s">
        <v>5117</v>
      </c>
    </row>
    <row r="7421">
      <c r="H7421" t="s">
        <v>5117</v>
      </c>
    </row>
    <row r="7422">
      <c r="H7422" t="s">
        <v>5117</v>
      </c>
    </row>
    <row r="7423">
      <c r="H7423" t="s">
        <v>5117</v>
      </c>
    </row>
    <row r="7424">
      <c r="H7424" t="s">
        <v>5117</v>
      </c>
    </row>
    <row r="7425">
      <c r="H7425" t="s">
        <v>5117</v>
      </c>
    </row>
    <row r="7426">
      <c r="H7426" t="s">
        <v>5117</v>
      </c>
    </row>
    <row r="7427">
      <c r="H7427" t="s">
        <v>5117</v>
      </c>
    </row>
    <row r="7428">
      <c r="H7428" t="s">
        <v>5117</v>
      </c>
    </row>
    <row r="7429">
      <c r="H7429" t="s">
        <v>5117</v>
      </c>
    </row>
    <row r="7430">
      <c r="H7430" t="s">
        <v>5117</v>
      </c>
    </row>
    <row r="7431">
      <c r="H7431" t="s">
        <v>5117</v>
      </c>
    </row>
    <row r="7432">
      <c r="H7432" t="s">
        <v>5117</v>
      </c>
    </row>
    <row r="7433">
      <c r="H7433" t="s">
        <v>5117</v>
      </c>
    </row>
    <row r="7434">
      <c r="H7434" t="s">
        <v>5117</v>
      </c>
    </row>
    <row r="7435">
      <c r="H7435" t="s">
        <v>5117</v>
      </c>
    </row>
    <row r="7436">
      <c r="H7436" t="s">
        <v>5117</v>
      </c>
    </row>
    <row r="7437">
      <c r="H7437" t="s">
        <v>5117</v>
      </c>
    </row>
    <row r="7438">
      <c r="H7438" t="s">
        <v>5117</v>
      </c>
    </row>
    <row r="7439">
      <c r="H7439" t="s">
        <v>5117</v>
      </c>
    </row>
    <row r="7440">
      <c r="H7440" t="s">
        <v>5117</v>
      </c>
    </row>
    <row r="7441">
      <c r="H7441" t="s">
        <v>5117</v>
      </c>
    </row>
    <row r="7442">
      <c r="H7442" t="s">
        <v>5117</v>
      </c>
    </row>
    <row r="7443">
      <c r="H7443" t="s">
        <v>5117</v>
      </c>
    </row>
    <row r="7444">
      <c r="H7444" t="s">
        <v>5117</v>
      </c>
    </row>
    <row r="7445">
      <c r="H7445" t="s">
        <v>5117</v>
      </c>
    </row>
    <row r="7446">
      <c r="H7446" t="s">
        <v>5117</v>
      </c>
    </row>
    <row r="7447">
      <c r="H7447" t="s">
        <v>5117</v>
      </c>
    </row>
    <row r="7448">
      <c r="H7448" t="s">
        <v>5117</v>
      </c>
    </row>
    <row r="7449">
      <c r="H7449" t="s">
        <v>5117</v>
      </c>
    </row>
    <row r="7450">
      <c r="H7450" t="s">
        <v>5117</v>
      </c>
    </row>
    <row r="7451">
      <c r="H7451" t="s">
        <v>5117</v>
      </c>
    </row>
    <row r="7452">
      <c r="H7452" t="s">
        <v>5117</v>
      </c>
    </row>
    <row r="7453">
      <c r="H7453" t="s">
        <v>5117</v>
      </c>
    </row>
    <row r="7454">
      <c r="H7454" t="s">
        <v>5117</v>
      </c>
    </row>
    <row r="7455">
      <c r="H7455" t="s">
        <v>5117</v>
      </c>
    </row>
    <row r="7456">
      <c r="H7456" t="s">
        <v>5117</v>
      </c>
    </row>
    <row r="7457">
      <c r="H7457" t="s">
        <v>5117</v>
      </c>
    </row>
    <row r="7458">
      <c r="H7458" t="s">
        <v>5117</v>
      </c>
    </row>
    <row r="7459">
      <c r="H7459" t="s">
        <v>5117</v>
      </c>
    </row>
    <row r="7460">
      <c r="H7460" t="s">
        <v>5117</v>
      </c>
    </row>
    <row r="7461">
      <c r="H7461" t="s">
        <v>5117</v>
      </c>
    </row>
    <row r="7462">
      <c r="H7462" t="s">
        <v>5117</v>
      </c>
    </row>
    <row r="7463">
      <c r="H7463" t="s">
        <v>5117</v>
      </c>
    </row>
    <row r="7464">
      <c r="H7464" t="s">
        <v>5117</v>
      </c>
    </row>
    <row r="7465">
      <c r="H7465" t="s">
        <v>5117</v>
      </c>
    </row>
    <row r="7466">
      <c r="H7466" t="s">
        <v>5117</v>
      </c>
    </row>
    <row r="7467">
      <c r="H7467" t="s">
        <v>5117</v>
      </c>
    </row>
    <row r="7468">
      <c r="H7468" t="s">
        <v>5117</v>
      </c>
    </row>
    <row r="7469">
      <c r="H7469" t="s">
        <v>5117</v>
      </c>
    </row>
    <row r="7470">
      <c r="H7470" t="s">
        <v>5117</v>
      </c>
    </row>
    <row r="7471">
      <c r="H7471" t="s">
        <v>5117</v>
      </c>
    </row>
    <row r="7472">
      <c r="H7472" t="s">
        <v>5117</v>
      </c>
    </row>
    <row r="7473">
      <c r="H7473" t="s">
        <v>5117</v>
      </c>
    </row>
    <row r="7474">
      <c r="H7474" t="s">
        <v>5117</v>
      </c>
    </row>
    <row r="7475">
      <c r="H7475" t="s">
        <v>5117</v>
      </c>
    </row>
    <row r="7476">
      <c r="H7476" t="s">
        <v>5117</v>
      </c>
    </row>
    <row r="7477">
      <c r="H7477" t="s">
        <v>5117</v>
      </c>
    </row>
    <row r="7478">
      <c r="H7478" t="s">
        <v>5117</v>
      </c>
    </row>
    <row r="7479">
      <c r="H7479" t="s">
        <v>5117</v>
      </c>
    </row>
    <row r="7480">
      <c r="H7480" t="s">
        <v>5117</v>
      </c>
    </row>
    <row r="7481">
      <c r="H7481" t="s">
        <v>5117</v>
      </c>
    </row>
    <row r="7482">
      <c r="H7482" t="s">
        <v>5117</v>
      </c>
    </row>
    <row r="7483">
      <c r="H7483" t="s">
        <v>5117</v>
      </c>
    </row>
    <row r="7484">
      <c r="H7484" t="s">
        <v>5117</v>
      </c>
    </row>
    <row r="7485">
      <c r="H7485" t="s">
        <v>5117</v>
      </c>
    </row>
    <row r="7486">
      <c r="H7486" t="s">
        <v>5117</v>
      </c>
    </row>
    <row r="7487">
      <c r="H7487" t="s">
        <v>5117</v>
      </c>
    </row>
    <row r="7488">
      <c r="H7488" t="s">
        <v>5117</v>
      </c>
    </row>
    <row r="7489">
      <c r="H7489" t="s">
        <v>5117</v>
      </c>
    </row>
    <row r="7490">
      <c r="H7490" t="s">
        <v>5117</v>
      </c>
    </row>
    <row r="7491">
      <c r="H7491" t="s">
        <v>5117</v>
      </c>
    </row>
    <row r="7492">
      <c r="H7492" t="s">
        <v>5117</v>
      </c>
    </row>
    <row r="7493">
      <c r="H7493" t="s">
        <v>5117</v>
      </c>
    </row>
    <row r="7494">
      <c r="H7494" t="s">
        <v>5117</v>
      </c>
    </row>
    <row r="7495">
      <c r="H7495" t="s">
        <v>5117</v>
      </c>
    </row>
    <row r="7496">
      <c r="H7496" t="s">
        <v>5117</v>
      </c>
    </row>
    <row r="7497">
      <c r="H7497" t="s">
        <v>5117</v>
      </c>
    </row>
    <row r="7498">
      <c r="H7498" t="s">
        <v>5117</v>
      </c>
    </row>
    <row r="7499">
      <c r="H7499" t="s">
        <v>5117</v>
      </c>
    </row>
    <row r="7500">
      <c r="H7500" t="s">
        <v>5117</v>
      </c>
    </row>
    <row r="7501">
      <c r="H7501" t="s">
        <v>5117</v>
      </c>
    </row>
    <row r="7502">
      <c r="H7502" t="s">
        <v>5117</v>
      </c>
    </row>
    <row r="7503">
      <c r="H7503" t="s">
        <v>5117</v>
      </c>
    </row>
    <row r="7504">
      <c r="H7504" t="s">
        <v>5117</v>
      </c>
    </row>
    <row r="7505">
      <c r="H7505" t="s">
        <v>5117</v>
      </c>
    </row>
    <row r="7506">
      <c r="H7506" t="s">
        <v>5117</v>
      </c>
    </row>
    <row r="7507">
      <c r="H7507" t="s">
        <v>5117</v>
      </c>
    </row>
    <row r="7508">
      <c r="H7508" t="s">
        <v>5117</v>
      </c>
    </row>
    <row r="7509">
      <c r="H7509" t="s">
        <v>5117</v>
      </c>
    </row>
    <row r="7510">
      <c r="H7510" t="s">
        <v>5117</v>
      </c>
    </row>
    <row r="7511">
      <c r="H7511" t="s">
        <v>5117</v>
      </c>
    </row>
    <row r="7512">
      <c r="H7512" t="s">
        <v>5117</v>
      </c>
    </row>
    <row r="7513">
      <c r="H7513" t="s">
        <v>5117</v>
      </c>
    </row>
    <row r="7514">
      <c r="H7514" t="s">
        <v>5117</v>
      </c>
    </row>
    <row r="7515">
      <c r="H7515" t="s">
        <v>5117</v>
      </c>
    </row>
    <row r="7516">
      <c r="H7516" t="s">
        <v>5117</v>
      </c>
    </row>
    <row r="7517">
      <c r="H7517" t="s">
        <v>5117</v>
      </c>
    </row>
    <row r="7518">
      <c r="H7518" t="s">
        <v>5117</v>
      </c>
    </row>
    <row r="7519">
      <c r="H7519" t="s">
        <v>5117</v>
      </c>
    </row>
    <row r="7520">
      <c r="H7520" t="s">
        <v>5117</v>
      </c>
    </row>
    <row r="7521">
      <c r="H7521" t="s">
        <v>5117</v>
      </c>
    </row>
    <row r="7522">
      <c r="H7522" t="s">
        <v>5117</v>
      </c>
    </row>
    <row r="7523">
      <c r="H7523" t="s">
        <v>5117</v>
      </c>
    </row>
    <row r="7524">
      <c r="H7524" t="s">
        <v>5117</v>
      </c>
    </row>
    <row r="7525">
      <c r="H7525" t="s">
        <v>5117</v>
      </c>
    </row>
    <row r="7526">
      <c r="H7526" t="s">
        <v>5117</v>
      </c>
    </row>
    <row r="7527">
      <c r="H7527" t="s">
        <v>5117</v>
      </c>
    </row>
    <row r="7528">
      <c r="H7528" t="s">
        <v>5117</v>
      </c>
    </row>
    <row r="7529">
      <c r="H7529" t="s">
        <v>5117</v>
      </c>
    </row>
    <row r="7530">
      <c r="H7530" t="s">
        <v>5117</v>
      </c>
    </row>
    <row r="7531">
      <c r="H7531" t="s">
        <v>5117</v>
      </c>
    </row>
    <row r="7532">
      <c r="H7532" t="s">
        <v>5117</v>
      </c>
    </row>
    <row r="7533">
      <c r="H7533" t="s">
        <v>5117</v>
      </c>
    </row>
    <row r="7534">
      <c r="H7534" t="s">
        <v>5117</v>
      </c>
    </row>
    <row r="7535">
      <c r="H7535" t="s">
        <v>5117</v>
      </c>
    </row>
    <row r="7536">
      <c r="H7536" t="s">
        <v>5117</v>
      </c>
    </row>
    <row r="7537">
      <c r="H7537" t="s">
        <v>5117</v>
      </c>
    </row>
    <row r="7538">
      <c r="H7538" t="s">
        <v>5117</v>
      </c>
    </row>
    <row r="7539">
      <c r="H7539" t="s">
        <v>5117</v>
      </c>
    </row>
    <row r="7540">
      <c r="H7540" t="s">
        <v>5117</v>
      </c>
    </row>
    <row r="7541">
      <c r="H7541" t="s">
        <v>5117</v>
      </c>
    </row>
    <row r="7542">
      <c r="H7542" t="s">
        <v>5117</v>
      </c>
    </row>
    <row r="7543">
      <c r="H7543" t="s">
        <v>5117</v>
      </c>
    </row>
    <row r="7544">
      <c r="H7544" t="s">
        <v>5117</v>
      </c>
    </row>
    <row r="7545">
      <c r="H7545" t="s">
        <v>5117</v>
      </c>
    </row>
    <row r="7546">
      <c r="H7546" t="s">
        <v>5117</v>
      </c>
    </row>
    <row r="7547">
      <c r="H7547" t="s">
        <v>5117</v>
      </c>
    </row>
    <row r="7548">
      <c r="H7548" t="s">
        <v>5117</v>
      </c>
    </row>
    <row r="7549">
      <c r="H7549" t="s">
        <v>5117</v>
      </c>
    </row>
    <row r="7550">
      <c r="H7550" t="s">
        <v>5117</v>
      </c>
    </row>
    <row r="7551">
      <c r="H7551" t="s">
        <v>5117</v>
      </c>
    </row>
    <row r="7552">
      <c r="H7552" t="s">
        <v>5117</v>
      </c>
    </row>
    <row r="7553">
      <c r="H7553" t="s">
        <v>5117</v>
      </c>
    </row>
    <row r="7554">
      <c r="H7554" t="s">
        <v>5117</v>
      </c>
    </row>
    <row r="7555">
      <c r="H7555" t="s">
        <v>5117</v>
      </c>
    </row>
    <row r="7556">
      <c r="H7556" t="s">
        <v>5117</v>
      </c>
    </row>
    <row r="7557">
      <c r="H7557" t="s">
        <v>5117</v>
      </c>
    </row>
    <row r="7558">
      <c r="H7558" t="s">
        <v>5117</v>
      </c>
    </row>
    <row r="7559">
      <c r="H7559" t="s">
        <v>5117</v>
      </c>
    </row>
    <row r="7560">
      <c r="H7560" t="s">
        <v>5117</v>
      </c>
    </row>
    <row r="7561">
      <c r="H7561" t="s">
        <v>5117</v>
      </c>
    </row>
    <row r="7562">
      <c r="H7562" t="s">
        <v>5117</v>
      </c>
    </row>
    <row r="7563">
      <c r="H7563" t="s">
        <v>5117</v>
      </c>
    </row>
    <row r="7564">
      <c r="H7564" t="s">
        <v>5117</v>
      </c>
    </row>
    <row r="7565">
      <c r="H7565" t="s">
        <v>5117</v>
      </c>
    </row>
    <row r="7566">
      <c r="H7566" t="s">
        <v>5117</v>
      </c>
    </row>
    <row r="7567">
      <c r="H7567" t="s">
        <v>5117</v>
      </c>
    </row>
    <row r="7568">
      <c r="H7568" t="s">
        <v>5117</v>
      </c>
    </row>
    <row r="7569">
      <c r="H7569" t="s">
        <v>5117</v>
      </c>
    </row>
    <row r="7570">
      <c r="H7570" t="s">
        <v>5117</v>
      </c>
    </row>
    <row r="7571">
      <c r="H7571" t="s">
        <v>5117</v>
      </c>
    </row>
    <row r="7572">
      <c r="H7572" t="s">
        <v>5117</v>
      </c>
    </row>
    <row r="7573">
      <c r="H7573" t="s">
        <v>5117</v>
      </c>
    </row>
    <row r="7574">
      <c r="H7574" t="s">
        <v>5117</v>
      </c>
    </row>
    <row r="7575">
      <c r="H7575" t="s">
        <v>5117</v>
      </c>
    </row>
    <row r="7576">
      <c r="H7576" t="s">
        <v>5117</v>
      </c>
    </row>
    <row r="7577">
      <c r="H7577" t="s">
        <v>5117</v>
      </c>
    </row>
    <row r="7578">
      <c r="H7578" t="s">
        <v>5117</v>
      </c>
    </row>
    <row r="7579">
      <c r="H7579" t="s">
        <v>5117</v>
      </c>
    </row>
    <row r="7580">
      <c r="H7580" t="s">
        <v>5117</v>
      </c>
    </row>
    <row r="7581">
      <c r="H7581" t="s">
        <v>5117</v>
      </c>
    </row>
    <row r="7582">
      <c r="H7582" t="s">
        <v>5117</v>
      </c>
    </row>
    <row r="7583">
      <c r="H7583" t="s">
        <v>5117</v>
      </c>
    </row>
    <row r="7584">
      <c r="H7584" t="s">
        <v>5117</v>
      </c>
    </row>
    <row r="7585">
      <c r="H7585" t="s">
        <v>5117</v>
      </c>
    </row>
    <row r="7586">
      <c r="H7586" t="s">
        <v>5117</v>
      </c>
    </row>
    <row r="7587">
      <c r="H7587" t="s">
        <v>5117</v>
      </c>
    </row>
    <row r="7588">
      <c r="H7588" t="s">
        <v>5117</v>
      </c>
    </row>
    <row r="7589">
      <c r="H7589" t="s">
        <v>5117</v>
      </c>
    </row>
    <row r="7590">
      <c r="H7590" t="s">
        <v>5117</v>
      </c>
    </row>
    <row r="7591">
      <c r="H7591" t="s">
        <v>5117</v>
      </c>
    </row>
    <row r="7592">
      <c r="H7592" t="s">
        <v>5117</v>
      </c>
    </row>
    <row r="7593">
      <c r="H7593" t="s">
        <v>5117</v>
      </c>
    </row>
    <row r="7594">
      <c r="H7594" t="s">
        <v>5117</v>
      </c>
    </row>
    <row r="7595">
      <c r="H7595" t="s">
        <v>5117</v>
      </c>
    </row>
    <row r="7596">
      <c r="H7596" t="s">
        <v>5117</v>
      </c>
    </row>
    <row r="7597">
      <c r="H7597" t="s">
        <v>5117</v>
      </c>
    </row>
    <row r="7598">
      <c r="H7598" t="s">
        <v>5117</v>
      </c>
    </row>
    <row r="7599">
      <c r="H7599" t="s">
        <v>5117</v>
      </c>
    </row>
    <row r="7600">
      <c r="H7600" t="s">
        <v>5117</v>
      </c>
    </row>
    <row r="7601">
      <c r="H7601" t="s">
        <v>5117</v>
      </c>
    </row>
    <row r="7602">
      <c r="H7602" t="s">
        <v>5117</v>
      </c>
    </row>
    <row r="7603">
      <c r="H7603" t="s">
        <v>5117</v>
      </c>
    </row>
    <row r="7604">
      <c r="H7604" t="s">
        <v>5117</v>
      </c>
    </row>
    <row r="7605">
      <c r="H7605" t="s">
        <v>5117</v>
      </c>
    </row>
    <row r="7606">
      <c r="H7606" t="s">
        <v>5117</v>
      </c>
    </row>
    <row r="7607">
      <c r="H7607" t="s">
        <v>5117</v>
      </c>
    </row>
    <row r="7608">
      <c r="H7608" t="s">
        <v>5117</v>
      </c>
    </row>
    <row r="7609">
      <c r="H7609" t="s">
        <v>5117</v>
      </c>
    </row>
    <row r="7610">
      <c r="H7610" t="s">
        <v>5117</v>
      </c>
    </row>
    <row r="7611">
      <c r="H7611" t="s">
        <v>5117</v>
      </c>
    </row>
    <row r="7612">
      <c r="H7612" t="s">
        <v>5117</v>
      </c>
    </row>
    <row r="7613">
      <c r="H7613" t="s">
        <v>5117</v>
      </c>
    </row>
    <row r="7614">
      <c r="H7614" t="s">
        <v>5117</v>
      </c>
    </row>
    <row r="7615">
      <c r="H7615" t="s">
        <v>5117</v>
      </c>
    </row>
    <row r="7616">
      <c r="H7616" t="s">
        <v>5117</v>
      </c>
    </row>
    <row r="7617">
      <c r="H7617" t="s">
        <v>5117</v>
      </c>
    </row>
    <row r="7618">
      <c r="H7618" t="s">
        <v>5117</v>
      </c>
    </row>
    <row r="7619">
      <c r="H7619" t="s">
        <v>5117</v>
      </c>
    </row>
    <row r="7620">
      <c r="H7620" t="s">
        <v>5117</v>
      </c>
    </row>
    <row r="7621">
      <c r="H7621" t="s">
        <v>5117</v>
      </c>
    </row>
    <row r="7622">
      <c r="H7622" t="s">
        <v>5117</v>
      </c>
    </row>
    <row r="7623">
      <c r="H7623" t="s">
        <v>5117</v>
      </c>
    </row>
    <row r="7624">
      <c r="H7624" t="s">
        <v>5117</v>
      </c>
    </row>
    <row r="7625">
      <c r="H7625" t="s">
        <v>5117</v>
      </c>
    </row>
    <row r="7626">
      <c r="H7626" t="s">
        <v>5117</v>
      </c>
    </row>
    <row r="7627">
      <c r="H7627" t="s">
        <v>5117</v>
      </c>
    </row>
    <row r="7628">
      <c r="H7628" t="s">
        <v>5117</v>
      </c>
    </row>
    <row r="7629">
      <c r="H7629" t="s">
        <v>5117</v>
      </c>
    </row>
    <row r="7630">
      <c r="H7630" t="s">
        <v>5117</v>
      </c>
    </row>
    <row r="7631">
      <c r="H7631" t="s">
        <v>5117</v>
      </c>
    </row>
    <row r="7632">
      <c r="H7632" t="s">
        <v>5117</v>
      </c>
    </row>
    <row r="7633">
      <c r="H7633" t="s">
        <v>5117</v>
      </c>
    </row>
    <row r="7634">
      <c r="H7634" t="s">
        <v>5117</v>
      </c>
    </row>
    <row r="7635">
      <c r="H7635" t="s">
        <v>5117</v>
      </c>
    </row>
    <row r="7636">
      <c r="H7636" t="s">
        <v>5117</v>
      </c>
    </row>
    <row r="7637">
      <c r="H7637" t="s">
        <v>5117</v>
      </c>
    </row>
    <row r="7638">
      <c r="H7638" t="s">
        <v>5117</v>
      </c>
    </row>
    <row r="7639">
      <c r="H7639" t="s">
        <v>5117</v>
      </c>
    </row>
    <row r="7640">
      <c r="H7640" t="s">
        <v>5117</v>
      </c>
    </row>
    <row r="7641">
      <c r="H7641" t="s">
        <v>5117</v>
      </c>
    </row>
    <row r="7642">
      <c r="H7642" t="s">
        <v>5117</v>
      </c>
    </row>
    <row r="7643">
      <c r="H7643" t="s">
        <v>5117</v>
      </c>
    </row>
    <row r="7644">
      <c r="H7644" t="s">
        <v>5117</v>
      </c>
    </row>
    <row r="7645">
      <c r="H7645" t="s">
        <v>5117</v>
      </c>
    </row>
    <row r="7646">
      <c r="H7646" t="s">
        <v>5117</v>
      </c>
    </row>
    <row r="7647">
      <c r="H7647" t="s">
        <v>5117</v>
      </c>
    </row>
    <row r="7648">
      <c r="H7648" t="s">
        <v>5117</v>
      </c>
    </row>
    <row r="7649">
      <c r="H7649" t="s">
        <v>5117</v>
      </c>
    </row>
    <row r="7650">
      <c r="H7650" t="s">
        <v>5117</v>
      </c>
    </row>
    <row r="7651">
      <c r="H7651" t="s">
        <v>5117</v>
      </c>
    </row>
    <row r="7652">
      <c r="H7652" t="s">
        <v>5117</v>
      </c>
    </row>
    <row r="7653">
      <c r="H7653" t="s">
        <v>5117</v>
      </c>
    </row>
    <row r="7654">
      <c r="H7654" t="s">
        <v>5117</v>
      </c>
    </row>
    <row r="7655">
      <c r="H7655" t="s">
        <v>5117</v>
      </c>
    </row>
    <row r="7656">
      <c r="H7656" t="s">
        <v>5117</v>
      </c>
    </row>
    <row r="7657">
      <c r="H7657" t="s">
        <v>5117</v>
      </c>
    </row>
    <row r="7658">
      <c r="H7658" t="s">
        <v>5117</v>
      </c>
    </row>
    <row r="7659">
      <c r="H7659" t="s">
        <v>5117</v>
      </c>
    </row>
    <row r="7660">
      <c r="H7660" t="s">
        <v>5117</v>
      </c>
    </row>
    <row r="7661">
      <c r="H7661" t="s">
        <v>5117</v>
      </c>
    </row>
    <row r="7662">
      <c r="H7662" t="s">
        <v>5117</v>
      </c>
    </row>
    <row r="7663">
      <c r="H7663" t="s">
        <v>5117</v>
      </c>
    </row>
    <row r="7664">
      <c r="H7664" t="s">
        <v>5117</v>
      </c>
    </row>
    <row r="7665">
      <c r="H7665" t="s">
        <v>5117</v>
      </c>
    </row>
    <row r="7666">
      <c r="H7666" t="s">
        <v>5117</v>
      </c>
    </row>
    <row r="7667">
      <c r="H7667" t="s">
        <v>5117</v>
      </c>
    </row>
    <row r="7668">
      <c r="H7668" t="s">
        <v>5117</v>
      </c>
    </row>
    <row r="7669">
      <c r="H7669" t="s">
        <v>5117</v>
      </c>
    </row>
    <row r="7670">
      <c r="H7670" t="s">
        <v>5117</v>
      </c>
    </row>
    <row r="7671">
      <c r="H7671" t="s">
        <v>5117</v>
      </c>
    </row>
    <row r="7672">
      <c r="H7672" t="s">
        <v>5117</v>
      </c>
    </row>
    <row r="7673">
      <c r="H7673" t="s">
        <v>5117</v>
      </c>
    </row>
    <row r="7674">
      <c r="H7674" t="s">
        <v>5117</v>
      </c>
    </row>
    <row r="7675">
      <c r="H7675" t="s">
        <v>5117</v>
      </c>
    </row>
    <row r="7676">
      <c r="H7676" t="s">
        <v>5117</v>
      </c>
    </row>
    <row r="7677">
      <c r="H7677" t="s">
        <v>5117</v>
      </c>
    </row>
    <row r="7678">
      <c r="H7678" t="s">
        <v>5117</v>
      </c>
    </row>
    <row r="7679">
      <c r="H7679" t="s">
        <v>5117</v>
      </c>
    </row>
    <row r="7680">
      <c r="H7680" t="s">
        <v>5117</v>
      </c>
    </row>
    <row r="7681">
      <c r="H7681" t="s">
        <v>5117</v>
      </c>
    </row>
    <row r="7682">
      <c r="H7682" t="s">
        <v>5117</v>
      </c>
    </row>
    <row r="7683">
      <c r="H7683" t="s">
        <v>5117</v>
      </c>
    </row>
    <row r="7684">
      <c r="H7684" t="s">
        <v>5117</v>
      </c>
    </row>
    <row r="7685">
      <c r="H7685" t="s">
        <v>5117</v>
      </c>
    </row>
    <row r="7686">
      <c r="H7686" t="s">
        <v>5117</v>
      </c>
    </row>
    <row r="7687">
      <c r="H7687" t="s">
        <v>5117</v>
      </c>
    </row>
    <row r="7688">
      <c r="H7688" t="s">
        <v>5117</v>
      </c>
    </row>
    <row r="7689">
      <c r="H7689" t="s">
        <v>5117</v>
      </c>
    </row>
    <row r="7690">
      <c r="H7690" t="s">
        <v>5117</v>
      </c>
    </row>
    <row r="7691">
      <c r="H7691" t="s">
        <v>5117</v>
      </c>
    </row>
    <row r="7692">
      <c r="H7692" t="s">
        <v>5117</v>
      </c>
    </row>
    <row r="7693">
      <c r="H7693" t="s">
        <v>5117</v>
      </c>
    </row>
    <row r="7694">
      <c r="H7694" t="s">
        <v>5117</v>
      </c>
    </row>
    <row r="7695">
      <c r="H7695" t="s">
        <v>5117</v>
      </c>
    </row>
    <row r="7696">
      <c r="H7696" t="s">
        <v>5117</v>
      </c>
    </row>
    <row r="7697">
      <c r="H7697" t="s">
        <v>5117</v>
      </c>
    </row>
    <row r="7698">
      <c r="H7698" t="s">
        <v>5117</v>
      </c>
    </row>
    <row r="7699">
      <c r="H7699" t="s">
        <v>5117</v>
      </c>
    </row>
    <row r="7700">
      <c r="H7700" t="s">
        <v>5117</v>
      </c>
    </row>
    <row r="7701">
      <c r="H7701" t="s">
        <v>5117</v>
      </c>
    </row>
    <row r="7702">
      <c r="H7702" t="s">
        <v>5117</v>
      </c>
    </row>
    <row r="7703">
      <c r="H7703" t="s">
        <v>5117</v>
      </c>
    </row>
    <row r="7704">
      <c r="H7704" t="s">
        <v>5117</v>
      </c>
    </row>
    <row r="7705">
      <c r="H7705" t="s">
        <v>5117</v>
      </c>
    </row>
    <row r="7706">
      <c r="H7706" t="s">
        <v>5117</v>
      </c>
    </row>
    <row r="7707">
      <c r="H7707" t="s">
        <v>5117</v>
      </c>
    </row>
    <row r="7708">
      <c r="H7708" t="s">
        <v>5117</v>
      </c>
    </row>
    <row r="7709">
      <c r="H7709" t="s">
        <v>5117</v>
      </c>
    </row>
    <row r="7710">
      <c r="H7710" t="s">
        <v>5117</v>
      </c>
    </row>
    <row r="7711">
      <c r="H7711" t="s">
        <v>5117</v>
      </c>
    </row>
    <row r="7712">
      <c r="H7712" t="s">
        <v>5117</v>
      </c>
    </row>
    <row r="7713">
      <c r="H7713" t="s">
        <v>5117</v>
      </c>
    </row>
    <row r="7714">
      <c r="H7714" t="s">
        <v>5117</v>
      </c>
    </row>
    <row r="7715">
      <c r="H7715" t="s">
        <v>5117</v>
      </c>
    </row>
    <row r="7716">
      <c r="H7716" t="s">
        <v>5117</v>
      </c>
    </row>
    <row r="7717">
      <c r="H7717" t="s">
        <v>5117</v>
      </c>
    </row>
    <row r="7718">
      <c r="H7718" t="s">
        <v>5117</v>
      </c>
    </row>
    <row r="7719">
      <c r="H7719" t="s">
        <v>5117</v>
      </c>
    </row>
    <row r="7720">
      <c r="H7720" t="s">
        <v>5117</v>
      </c>
    </row>
    <row r="7721">
      <c r="H7721" t="s">
        <v>5117</v>
      </c>
    </row>
    <row r="7722">
      <c r="H7722" t="s">
        <v>5117</v>
      </c>
    </row>
    <row r="7723">
      <c r="H7723" t="s">
        <v>5117</v>
      </c>
    </row>
    <row r="7724">
      <c r="H7724" t="s">
        <v>5117</v>
      </c>
    </row>
    <row r="7725">
      <c r="H7725" t="s">
        <v>5117</v>
      </c>
    </row>
    <row r="7726">
      <c r="H7726" t="s">
        <v>5117</v>
      </c>
    </row>
    <row r="7727">
      <c r="H7727" t="s">
        <v>5117</v>
      </c>
    </row>
    <row r="7728">
      <c r="H7728" t="s">
        <v>5117</v>
      </c>
    </row>
    <row r="7729">
      <c r="H7729" t="s">
        <v>5117</v>
      </c>
    </row>
    <row r="7730">
      <c r="H7730" t="s">
        <v>5117</v>
      </c>
    </row>
    <row r="7731">
      <c r="H7731" t="s">
        <v>5117</v>
      </c>
    </row>
    <row r="7732">
      <c r="H7732" t="s">
        <v>5117</v>
      </c>
    </row>
    <row r="7733">
      <c r="H7733" t="s">
        <v>5117</v>
      </c>
    </row>
    <row r="7734">
      <c r="H7734" t="s">
        <v>5117</v>
      </c>
    </row>
    <row r="7735">
      <c r="H7735" t="s">
        <v>5117</v>
      </c>
    </row>
    <row r="7736">
      <c r="H7736" t="s">
        <v>5117</v>
      </c>
    </row>
    <row r="7737">
      <c r="H7737" t="s">
        <v>5117</v>
      </c>
    </row>
    <row r="7738">
      <c r="H7738" t="s">
        <v>5117</v>
      </c>
    </row>
    <row r="7739">
      <c r="H7739" t="s">
        <v>5117</v>
      </c>
    </row>
    <row r="7740">
      <c r="H7740" t="s">
        <v>5117</v>
      </c>
    </row>
    <row r="7741">
      <c r="H7741" t="s">
        <v>5117</v>
      </c>
    </row>
    <row r="7742">
      <c r="H7742" t="s">
        <v>5117</v>
      </c>
    </row>
    <row r="7743">
      <c r="H7743" t="s">
        <v>5117</v>
      </c>
    </row>
    <row r="7744">
      <c r="H7744" t="s">
        <v>5117</v>
      </c>
    </row>
    <row r="7745">
      <c r="H7745" t="s">
        <v>5117</v>
      </c>
    </row>
    <row r="7746">
      <c r="H7746" t="s">
        <v>5117</v>
      </c>
    </row>
    <row r="7747">
      <c r="H7747" t="s">
        <v>5117</v>
      </c>
    </row>
    <row r="7748">
      <c r="H7748" t="s">
        <v>5117</v>
      </c>
    </row>
    <row r="7749">
      <c r="H7749" t="s">
        <v>5117</v>
      </c>
    </row>
    <row r="7750">
      <c r="H7750" t="s">
        <v>5117</v>
      </c>
    </row>
    <row r="7751">
      <c r="H7751" t="s">
        <v>5117</v>
      </c>
    </row>
    <row r="7752">
      <c r="H7752" t="s">
        <v>5117</v>
      </c>
    </row>
    <row r="7753">
      <c r="H7753" t="s">
        <v>5117</v>
      </c>
    </row>
    <row r="7754">
      <c r="H7754" t="s">
        <v>5117</v>
      </c>
    </row>
    <row r="7755">
      <c r="H7755" t="s">
        <v>5117</v>
      </c>
    </row>
    <row r="7756">
      <c r="H7756" t="s">
        <v>5117</v>
      </c>
    </row>
    <row r="7757">
      <c r="H7757" t="s">
        <v>5117</v>
      </c>
    </row>
    <row r="7758">
      <c r="H7758" t="s">
        <v>5117</v>
      </c>
    </row>
    <row r="7759">
      <c r="H7759" t="s">
        <v>5117</v>
      </c>
    </row>
    <row r="7760">
      <c r="H7760" t="s">
        <v>5117</v>
      </c>
    </row>
    <row r="7761">
      <c r="H7761" t="s">
        <v>5117</v>
      </c>
    </row>
    <row r="7762">
      <c r="H7762" t="s">
        <v>5117</v>
      </c>
    </row>
    <row r="7763">
      <c r="H7763" t="s">
        <v>5117</v>
      </c>
    </row>
    <row r="7764">
      <c r="H7764" t="s">
        <v>5117</v>
      </c>
    </row>
    <row r="7765">
      <c r="H7765" t="s">
        <v>5117</v>
      </c>
    </row>
    <row r="7766">
      <c r="H7766" t="s">
        <v>5117</v>
      </c>
    </row>
    <row r="7767">
      <c r="H7767" t="s">
        <v>5117</v>
      </c>
    </row>
    <row r="7768">
      <c r="H7768" t="s">
        <v>5117</v>
      </c>
    </row>
    <row r="7769">
      <c r="H7769" t="s">
        <v>5117</v>
      </c>
    </row>
    <row r="7770">
      <c r="H7770" t="s">
        <v>5117</v>
      </c>
    </row>
    <row r="7771">
      <c r="H7771" t="s">
        <v>5117</v>
      </c>
    </row>
    <row r="7772">
      <c r="H7772" t="s">
        <v>5117</v>
      </c>
    </row>
    <row r="7773">
      <c r="H7773" t="s">
        <v>5117</v>
      </c>
    </row>
    <row r="7774">
      <c r="H7774" t="s">
        <v>5117</v>
      </c>
    </row>
    <row r="7775">
      <c r="H7775" t="s">
        <v>5117</v>
      </c>
    </row>
    <row r="7776">
      <c r="H7776" t="s">
        <v>5117</v>
      </c>
    </row>
    <row r="7777">
      <c r="H7777" t="s">
        <v>5117</v>
      </c>
    </row>
    <row r="7778">
      <c r="H7778" t="s">
        <v>5117</v>
      </c>
    </row>
    <row r="7779">
      <c r="H7779" t="s">
        <v>5117</v>
      </c>
    </row>
    <row r="7780">
      <c r="H7780" t="s">
        <v>5117</v>
      </c>
    </row>
    <row r="7781">
      <c r="H7781" t="s">
        <v>5117</v>
      </c>
    </row>
    <row r="7782">
      <c r="H7782" t="s">
        <v>5117</v>
      </c>
    </row>
    <row r="7783">
      <c r="H7783" t="s">
        <v>5117</v>
      </c>
    </row>
    <row r="7784">
      <c r="H7784" t="s">
        <v>5117</v>
      </c>
    </row>
    <row r="7785">
      <c r="H7785" t="s">
        <v>5117</v>
      </c>
    </row>
    <row r="7786">
      <c r="H7786" t="s">
        <v>5117</v>
      </c>
    </row>
    <row r="7787">
      <c r="H7787" t="s">
        <v>5117</v>
      </c>
    </row>
    <row r="7788">
      <c r="H7788" t="s">
        <v>5117</v>
      </c>
    </row>
    <row r="7789">
      <c r="H7789" t="s">
        <v>5117</v>
      </c>
    </row>
    <row r="7790">
      <c r="H7790" t="s">
        <v>5117</v>
      </c>
    </row>
    <row r="7791">
      <c r="H7791" t="s">
        <v>5117</v>
      </c>
    </row>
    <row r="7792">
      <c r="H7792" t="s">
        <v>5117</v>
      </c>
    </row>
    <row r="7793">
      <c r="H7793" t="s">
        <v>5117</v>
      </c>
    </row>
    <row r="7794">
      <c r="H7794" t="s">
        <v>5117</v>
      </c>
    </row>
    <row r="7795">
      <c r="H7795" t="s">
        <v>5117</v>
      </c>
    </row>
    <row r="7796">
      <c r="H7796" t="s">
        <v>5117</v>
      </c>
    </row>
    <row r="7797">
      <c r="H7797" t="s">
        <v>5117</v>
      </c>
    </row>
    <row r="7798">
      <c r="H7798" t="s">
        <v>5117</v>
      </c>
    </row>
    <row r="7799">
      <c r="H7799" t="s">
        <v>5117</v>
      </c>
    </row>
    <row r="7800">
      <c r="H7800" t="s">
        <v>5117</v>
      </c>
    </row>
    <row r="7801">
      <c r="H7801" t="s">
        <v>5117</v>
      </c>
    </row>
    <row r="7802">
      <c r="H7802" t="s">
        <v>5117</v>
      </c>
    </row>
    <row r="7803">
      <c r="H7803" t="s">
        <v>5117</v>
      </c>
    </row>
    <row r="7804">
      <c r="H7804" t="s">
        <v>5117</v>
      </c>
    </row>
    <row r="7805">
      <c r="H7805" t="s">
        <v>5117</v>
      </c>
    </row>
    <row r="7806">
      <c r="H7806" t="s">
        <v>5117</v>
      </c>
    </row>
    <row r="7807">
      <c r="H7807" t="s">
        <v>5117</v>
      </c>
    </row>
    <row r="7808">
      <c r="H7808" t="s">
        <v>5117</v>
      </c>
    </row>
    <row r="7809">
      <c r="H7809" t="s">
        <v>5117</v>
      </c>
    </row>
    <row r="7810">
      <c r="H7810" t="s">
        <v>5117</v>
      </c>
    </row>
    <row r="7811">
      <c r="H7811" t="s">
        <v>5117</v>
      </c>
    </row>
    <row r="7812">
      <c r="H7812" t="s">
        <v>5117</v>
      </c>
    </row>
    <row r="7813">
      <c r="H7813" t="s">
        <v>5117</v>
      </c>
    </row>
    <row r="7814">
      <c r="H7814" t="s">
        <v>5117</v>
      </c>
    </row>
    <row r="7815">
      <c r="H7815" t="s">
        <v>5117</v>
      </c>
    </row>
    <row r="7816">
      <c r="H7816" t="s">
        <v>5117</v>
      </c>
    </row>
    <row r="7817">
      <c r="H7817" t="s">
        <v>5117</v>
      </c>
    </row>
    <row r="7818">
      <c r="H7818" t="s">
        <v>5117</v>
      </c>
    </row>
    <row r="7819">
      <c r="H7819" t="s">
        <v>5117</v>
      </c>
    </row>
    <row r="7820">
      <c r="H7820" t="s">
        <v>5117</v>
      </c>
    </row>
    <row r="7821">
      <c r="H7821" t="s">
        <v>5117</v>
      </c>
    </row>
    <row r="7822">
      <c r="H7822" t="s">
        <v>5117</v>
      </c>
    </row>
    <row r="7823">
      <c r="H7823" t="s">
        <v>5117</v>
      </c>
    </row>
    <row r="7824">
      <c r="H7824" t="s">
        <v>5117</v>
      </c>
    </row>
    <row r="7825">
      <c r="H7825" t="s">
        <v>5117</v>
      </c>
    </row>
    <row r="7826">
      <c r="H7826" t="s">
        <v>5117</v>
      </c>
    </row>
    <row r="7827">
      <c r="H7827" t="s">
        <v>5117</v>
      </c>
    </row>
    <row r="7828">
      <c r="H7828" t="s">
        <v>5117</v>
      </c>
    </row>
    <row r="7829">
      <c r="H7829" t="s">
        <v>5117</v>
      </c>
    </row>
    <row r="7830">
      <c r="H7830" t="s">
        <v>5117</v>
      </c>
    </row>
    <row r="7831">
      <c r="H7831" t="s">
        <v>5117</v>
      </c>
    </row>
    <row r="7832">
      <c r="H7832" t="s">
        <v>5117</v>
      </c>
    </row>
    <row r="7833">
      <c r="H7833" t="s">
        <v>5117</v>
      </c>
    </row>
    <row r="7834">
      <c r="H7834" t="s">
        <v>5117</v>
      </c>
    </row>
    <row r="7835">
      <c r="H7835" t="s">
        <v>5117</v>
      </c>
    </row>
    <row r="7836">
      <c r="H7836" t="s">
        <v>5117</v>
      </c>
    </row>
    <row r="7837">
      <c r="H7837" t="s">
        <v>5117</v>
      </c>
    </row>
    <row r="7838">
      <c r="H7838" t="s">
        <v>5117</v>
      </c>
    </row>
    <row r="7839">
      <c r="H7839" t="s">
        <v>5117</v>
      </c>
    </row>
    <row r="7840">
      <c r="H7840" t="s">
        <v>5117</v>
      </c>
    </row>
    <row r="7841">
      <c r="H7841" t="s">
        <v>5117</v>
      </c>
    </row>
    <row r="7842">
      <c r="H7842" t="s">
        <v>5117</v>
      </c>
    </row>
    <row r="7843">
      <c r="H7843" t="s">
        <v>5117</v>
      </c>
    </row>
    <row r="7844">
      <c r="H7844" t="s">
        <v>5117</v>
      </c>
    </row>
    <row r="7845">
      <c r="H7845" t="s">
        <v>5117</v>
      </c>
    </row>
    <row r="7846">
      <c r="H7846" t="s">
        <v>5117</v>
      </c>
    </row>
    <row r="7847">
      <c r="H7847" t="s">
        <v>5117</v>
      </c>
    </row>
    <row r="7848">
      <c r="H7848" t="s">
        <v>5117</v>
      </c>
    </row>
    <row r="7849">
      <c r="H7849" t="s">
        <v>5117</v>
      </c>
    </row>
    <row r="7850">
      <c r="H7850" t="s">
        <v>5117</v>
      </c>
    </row>
    <row r="7851">
      <c r="H7851" t="s">
        <v>5117</v>
      </c>
    </row>
    <row r="7852">
      <c r="H7852" t="s">
        <v>5117</v>
      </c>
    </row>
    <row r="7853">
      <c r="H7853" t="s">
        <v>5117</v>
      </c>
    </row>
    <row r="7854">
      <c r="H7854" t="s">
        <v>5117</v>
      </c>
    </row>
    <row r="7855">
      <c r="H7855" t="s">
        <v>5117</v>
      </c>
    </row>
    <row r="7856">
      <c r="H7856" t="s">
        <v>5117</v>
      </c>
    </row>
    <row r="7857">
      <c r="H7857" t="s">
        <v>5117</v>
      </c>
    </row>
    <row r="7858">
      <c r="H7858" t="s">
        <v>5117</v>
      </c>
    </row>
    <row r="7859">
      <c r="H7859" t="s">
        <v>5117</v>
      </c>
    </row>
    <row r="7860">
      <c r="H7860" t="s">
        <v>5117</v>
      </c>
    </row>
    <row r="7861">
      <c r="H7861" t="s">
        <v>5117</v>
      </c>
    </row>
    <row r="7862">
      <c r="H7862" t="s">
        <v>5117</v>
      </c>
    </row>
    <row r="7863">
      <c r="H7863" t="s">
        <v>5117</v>
      </c>
    </row>
    <row r="7864">
      <c r="H7864" t="s">
        <v>5117</v>
      </c>
    </row>
    <row r="7865">
      <c r="H7865" t="s">
        <v>5117</v>
      </c>
    </row>
    <row r="7866">
      <c r="H7866" t="s">
        <v>5117</v>
      </c>
    </row>
    <row r="7867">
      <c r="H7867" t="s">
        <v>5117</v>
      </c>
    </row>
    <row r="7868">
      <c r="H7868" t="s">
        <v>5117</v>
      </c>
    </row>
    <row r="7869">
      <c r="H7869" t="s">
        <v>5117</v>
      </c>
    </row>
    <row r="7870">
      <c r="H7870" t="s">
        <v>5117</v>
      </c>
    </row>
    <row r="7871">
      <c r="H7871" t="s">
        <v>5117</v>
      </c>
    </row>
    <row r="7872">
      <c r="H7872" t="s">
        <v>5117</v>
      </c>
    </row>
    <row r="7873">
      <c r="H7873" t="s">
        <v>5117</v>
      </c>
    </row>
    <row r="7874">
      <c r="H7874" t="s">
        <v>5117</v>
      </c>
    </row>
    <row r="7875">
      <c r="H7875" t="s">
        <v>5117</v>
      </c>
    </row>
    <row r="7876">
      <c r="H7876" t="s">
        <v>5117</v>
      </c>
    </row>
    <row r="7877">
      <c r="H7877" t="s">
        <v>5117</v>
      </c>
    </row>
    <row r="7878">
      <c r="H7878" t="s">
        <v>5117</v>
      </c>
    </row>
    <row r="7879">
      <c r="H7879" t="s">
        <v>5117</v>
      </c>
    </row>
    <row r="7880">
      <c r="H7880" t="s">
        <v>5117</v>
      </c>
    </row>
    <row r="7881">
      <c r="H7881" t="s">
        <v>5117</v>
      </c>
    </row>
    <row r="7882">
      <c r="H7882" t="s">
        <v>5117</v>
      </c>
    </row>
    <row r="7883">
      <c r="H7883" t="s">
        <v>5117</v>
      </c>
    </row>
    <row r="7884">
      <c r="H7884" t="s">
        <v>5117</v>
      </c>
    </row>
    <row r="7885">
      <c r="H7885" t="s">
        <v>5117</v>
      </c>
    </row>
    <row r="7886">
      <c r="H7886" t="s">
        <v>5117</v>
      </c>
    </row>
    <row r="7887">
      <c r="H7887" t="s">
        <v>5117</v>
      </c>
    </row>
    <row r="7888">
      <c r="H7888" t="s">
        <v>5117</v>
      </c>
    </row>
    <row r="7889">
      <c r="H7889" t="s">
        <v>5117</v>
      </c>
    </row>
    <row r="7890">
      <c r="H7890" t="s">
        <v>5117</v>
      </c>
    </row>
    <row r="7891">
      <c r="H7891" t="s">
        <v>5117</v>
      </c>
    </row>
    <row r="7892">
      <c r="H7892" t="s">
        <v>5117</v>
      </c>
    </row>
    <row r="7893">
      <c r="H7893" t="s">
        <v>5117</v>
      </c>
    </row>
    <row r="7894">
      <c r="H7894" t="s">
        <v>5117</v>
      </c>
    </row>
    <row r="7895">
      <c r="H7895" t="s">
        <v>5117</v>
      </c>
    </row>
    <row r="7896">
      <c r="H7896" t="s">
        <v>5117</v>
      </c>
    </row>
    <row r="7897">
      <c r="H7897" t="s">
        <v>5117</v>
      </c>
    </row>
    <row r="7898">
      <c r="H7898" t="s">
        <v>5117</v>
      </c>
    </row>
    <row r="7899">
      <c r="H7899" t="s">
        <v>5117</v>
      </c>
    </row>
    <row r="7900">
      <c r="H7900" t="s">
        <v>5117</v>
      </c>
    </row>
    <row r="7901">
      <c r="H7901" t="s">
        <v>5117</v>
      </c>
    </row>
    <row r="7902">
      <c r="H7902" t="s">
        <v>5117</v>
      </c>
    </row>
    <row r="7903">
      <c r="H7903" t="s">
        <v>5117</v>
      </c>
    </row>
    <row r="7904">
      <c r="H7904" t="s">
        <v>5117</v>
      </c>
    </row>
    <row r="7905">
      <c r="H7905" t="s">
        <v>5117</v>
      </c>
    </row>
    <row r="7906">
      <c r="H7906" t="s">
        <v>5117</v>
      </c>
    </row>
    <row r="7907">
      <c r="H7907" t="s">
        <v>5117</v>
      </c>
    </row>
    <row r="7908">
      <c r="H7908" t="s">
        <v>5117</v>
      </c>
    </row>
    <row r="7909">
      <c r="H7909" t="s">
        <v>5117</v>
      </c>
    </row>
    <row r="7910">
      <c r="H7910" t="s">
        <v>5117</v>
      </c>
    </row>
    <row r="7911">
      <c r="H7911" t="s">
        <v>5117</v>
      </c>
    </row>
    <row r="7912">
      <c r="H7912" t="s">
        <v>5117</v>
      </c>
    </row>
    <row r="7913">
      <c r="H7913" t="s">
        <v>5117</v>
      </c>
    </row>
    <row r="7914">
      <c r="H7914" t="s">
        <v>5117</v>
      </c>
    </row>
    <row r="7915">
      <c r="H7915" t="s">
        <v>5117</v>
      </c>
    </row>
    <row r="7916">
      <c r="H7916" t="s">
        <v>5117</v>
      </c>
    </row>
    <row r="7917">
      <c r="H7917" t="s">
        <v>5117</v>
      </c>
    </row>
    <row r="7918">
      <c r="H7918" t="s">
        <v>5117</v>
      </c>
    </row>
    <row r="7919">
      <c r="H7919" t="s">
        <v>5117</v>
      </c>
    </row>
    <row r="7920">
      <c r="H7920" t="s">
        <v>5117</v>
      </c>
    </row>
    <row r="7921">
      <c r="H7921" t="s">
        <v>5117</v>
      </c>
    </row>
    <row r="7922">
      <c r="H7922" t="s">
        <v>5117</v>
      </c>
    </row>
    <row r="7923">
      <c r="H7923" t="s">
        <v>5117</v>
      </c>
    </row>
    <row r="7924">
      <c r="H7924" t="s">
        <v>5117</v>
      </c>
    </row>
    <row r="7925">
      <c r="H7925" t="s">
        <v>5117</v>
      </c>
    </row>
    <row r="7926">
      <c r="H7926" t="s">
        <v>5117</v>
      </c>
    </row>
    <row r="7927">
      <c r="H7927" t="s">
        <v>5117</v>
      </c>
    </row>
    <row r="7928">
      <c r="H7928" t="s">
        <v>5117</v>
      </c>
    </row>
    <row r="7929">
      <c r="H7929" t="s">
        <v>5117</v>
      </c>
    </row>
    <row r="7930">
      <c r="H7930" t="s">
        <v>5117</v>
      </c>
    </row>
    <row r="7931">
      <c r="H7931" t="s">
        <v>5117</v>
      </c>
    </row>
    <row r="7932">
      <c r="H7932" t="s">
        <v>5117</v>
      </c>
    </row>
    <row r="7933">
      <c r="H7933" t="s">
        <v>5117</v>
      </c>
    </row>
    <row r="7934">
      <c r="H7934" t="s">
        <v>5117</v>
      </c>
    </row>
    <row r="7935">
      <c r="H7935" t="s">
        <v>5117</v>
      </c>
    </row>
    <row r="7936">
      <c r="H7936" t="s">
        <v>5117</v>
      </c>
    </row>
    <row r="7937">
      <c r="H7937" t="s">
        <v>5117</v>
      </c>
    </row>
    <row r="7938">
      <c r="H7938" t="s">
        <v>5117</v>
      </c>
    </row>
    <row r="7939">
      <c r="H7939" t="s">
        <v>5117</v>
      </c>
    </row>
    <row r="7940">
      <c r="H7940" t="s">
        <v>5117</v>
      </c>
    </row>
    <row r="7941">
      <c r="H7941" t="s">
        <v>5117</v>
      </c>
    </row>
    <row r="7942">
      <c r="H7942" t="s">
        <v>5117</v>
      </c>
    </row>
    <row r="7943">
      <c r="H7943" t="s">
        <v>5117</v>
      </c>
    </row>
    <row r="7944">
      <c r="H7944" t="s">
        <v>5117</v>
      </c>
    </row>
    <row r="7945">
      <c r="H7945" t="s">
        <v>5117</v>
      </c>
    </row>
    <row r="7946">
      <c r="H7946" t="s">
        <v>5117</v>
      </c>
    </row>
    <row r="7947">
      <c r="H7947" t="s">
        <v>5117</v>
      </c>
    </row>
    <row r="7948">
      <c r="H7948" t="s">
        <v>5117</v>
      </c>
    </row>
    <row r="7949">
      <c r="H7949" t="s">
        <v>5117</v>
      </c>
    </row>
    <row r="7950">
      <c r="H7950" t="s">
        <v>5117</v>
      </c>
    </row>
    <row r="7951">
      <c r="H7951" t="s">
        <v>5117</v>
      </c>
    </row>
    <row r="7952">
      <c r="H7952" t="s">
        <v>5117</v>
      </c>
    </row>
    <row r="7953">
      <c r="H7953" t="s">
        <v>5117</v>
      </c>
    </row>
    <row r="7954">
      <c r="H7954" t="s">
        <v>5117</v>
      </c>
    </row>
    <row r="7955">
      <c r="H7955" t="s">
        <v>5117</v>
      </c>
    </row>
    <row r="7956">
      <c r="H7956" t="s">
        <v>5117</v>
      </c>
    </row>
    <row r="7957">
      <c r="H7957" t="s">
        <v>5117</v>
      </c>
    </row>
    <row r="7958">
      <c r="H7958" t="s">
        <v>5117</v>
      </c>
    </row>
    <row r="7959">
      <c r="H7959" t="s">
        <v>5117</v>
      </c>
    </row>
    <row r="7960">
      <c r="H7960" t="s">
        <v>5117</v>
      </c>
    </row>
    <row r="7961">
      <c r="H7961" t="s">
        <v>5117</v>
      </c>
    </row>
    <row r="7962">
      <c r="H7962" t="s">
        <v>5117</v>
      </c>
    </row>
    <row r="7963">
      <c r="H7963" t="s">
        <v>5117</v>
      </c>
    </row>
    <row r="7964">
      <c r="H7964" t="s">
        <v>5117</v>
      </c>
    </row>
    <row r="7965">
      <c r="H7965" t="s">
        <v>5117</v>
      </c>
    </row>
    <row r="7966">
      <c r="H7966" t="s">
        <v>5117</v>
      </c>
    </row>
    <row r="7967">
      <c r="H7967" t="s">
        <v>5117</v>
      </c>
    </row>
    <row r="7968">
      <c r="H7968" t="s">
        <v>5117</v>
      </c>
    </row>
    <row r="7969">
      <c r="H7969" t="s">
        <v>5117</v>
      </c>
    </row>
    <row r="7970">
      <c r="H7970" t="s">
        <v>5117</v>
      </c>
    </row>
    <row r="7971">
      <c r="H7971" t="s">
        <v>5117</v>
      </c>
    </row>
    <row r="7972">
      <c r="H7972" t="s">
        <v>5117</v>
      </c>
    </row>
    <row r="7973">
      <c r="H7973" t="s">
        <v>5117</v>
      </c>
    </row>
    <row r="7974">
      <c r="H7974" t="s">
        <v>5117</v>
      </c>
    </row>
    <row r="7975">
      <c r="H7975" t="s">
        <v>5117</v>
      </c>
    </row>
    <row r="7976">
      <c r="H7976" t="s">
        <v>5117</v>
      </c>
    </row>
    <row r="7977">
      <c r="H7977" t="s">
        <v>5117</v>
      </c>
    </row>
    <row r="7978">
      <c r="H7978" t="s">
        <v>5117</v>
      </c>
    </row>
    <row r="7979">
      <c r="H7979" t="s">
        <v>5117</v>
      </c>
    </row>
    <row r="7980">
      <c r="H7980" t="s">
        <v>5117</v>
      </c>
    </row>
    <row r="7981">
      <c r="H7981" t="s">
        <v>5117</v>
      </c>
    </row>
    <row r="7982">
      <c r="H7982" t="s">
        <v>5117</v>
      </c>
    </row>
    <row r="7983">
      <c r="H7983" t="s">
        <v>5117</v>
      </c>
    </row>
    <row r="7984">
      <c r="H7984" t="s">
        <v>5117</v>
      </c>
    </row>
    <row r="7985">
      <c r="H7985" t="s">
        <v>5117</v>
      </c>
    </row>
    <row r="7986">
      <c r="H7986" t="s">
        <v>5117</v>
      </c>
    </row>
    <row r="7987">
      <c r="H7987" t="s">
        <v>5117</v>
      </c>
    </row>
    <row r="7988">
      <c r="H7988" t="s">
        <v>5117</v>
      </c>
    </row>
    <row r="7989">
      <c r="H7989" t="s">
        <v>5117</v>
      </c>
    </row>
    <row r="7990">
      <c r="H7990" t="s">
        <v>5117</v>
      </c>
    </row>
    <row r="7991">
      <c r="H7991" t="s">
        <v>5117</v>
      </c>
    </row>
    <row r="7992">
      <c r="H7992" t="s">
        <v>5117</v>
      </c>
    </row>
    <row r="7993">
      <c r="H7993" t="s">
        <v>5117</v>
      </c>
    </row>
    <row r="7994">
      <c r="H7994" t="s">
        <v>5117</v>
      </c>
    </row>
    <row r="7995">
      <c r="H7995" t="s">
        <v>5117</v>
      </c>
    </row>
    <row r="7996">
      <c r="H7996" t="s">
        <v>5117</v>
      </c>
    </row>
    <row r="7997">
      <c r="H7997" t="s">
        <v>5117</v>
      </c>
    </row>
    <row r="7998">
      <c r="H7998" t="s">
        <v>5117</v>
      </c>
    </row>
    <row r="7999">
      <c r="H7999" t="s">
        <v>5117</v>
      </c>
    </row>
    <row r="8000">
      <c r="H8000" t="s">
        <v>5117</v>
      </c>
    </row>
    <row r="8001">
      <c r="H8001" t="s">
        <v>5117</v>
      </c>
    </row>
    <row r="8002">
      <c r="H8002" t="s">
        <v>5117</v>
      </c>
    </row>
    <row r="8003">
      <c r="H8003" t="s">
        <v>5117</v>
      </c>
    </row>
    <row r="8004">
      <c r="H8004" t="s">
        <v>5117</v>
      </c>
    </row>
    <row r="8005">
      <c r="H8005" t="s">
        <v>5117</v>
      </c>
    </row>
    <row r="8006">
      <c r="H8006" t="s">
        <v>5117</v>
      </c>
    </row>
    <row r="8007">
      <c r="H8007" t="s">
        <v>5117</v>
      </c>
    </row>
    <row r="8008">
      <c r="H8008" t="s">
        <v>5117</v>
      </c>
    </row>
    <row r="8009">
      <c r="H8009" t="s">
        <v>5117</v>
      </c>
    </row>
    <row r="8010">
      <c r="H8010" t="s">
        <v>5117</v>
      </c>
    </row>
    <row r="8011">
      <c r="H8011" t="s">
        <v>5117</v>
      </c>
    </row>
    <row r="8012">
      <c r="H8012" t="s">
        <v>5117</v>
      </c>
    </row>
    <row r="8013">
      <c r="H8013" t="s">
        <v>5117</v>
      </c>
    </row>
    <row r="8014">
      <c r="H8014" t="s">
        <v>5117</v>
      </c>
    </row>
    <row r="8015">
      <c r="H8015" t="s">
        <v>5117</v>
      </c>
    </row>
    <row r="8016">
      <c r="H8016" t="s">
        <v>5117</v>
      </c>
    </row>
    <row r="8017">
      <c r="H8017" t="s">
        <v>5117</v>
      </c>
    </row>
    <row r="8018">
      <c r="H8018" t="s">
        <v>5117</v>
      </c>
    </row>
    <row r="8019">
      <c r="H8019" t="s">
        <v>5117</v>
      </c>
    </row>
    <row r="8020">
      <c r="H8020" t="s">
        <v>5117</v>
      </c>
    </row>
    <row r="8021">
      <c r="H8021" t="s">
        <v>5117</v>
      </c>
    </row>
    <row r="8022">
      <c r="H8022" t="s">
        <v>5117</v>
      </c>
    </row>
    <row r="8023">
      <c r="H8023" t="s">
        <v>5117</v>
      </c>
    </row>
    <row r="8024">
      <c r="H8024" t="s">
        <v>5117</v>
      </c>
    </row>
    <row r="8025">
      <c r="H8025" t="s">
        <v>5117</v>
      </c>
    </row>
    <row r="8026">
      <c r="H8026" t="s">
        <v>5117</v>
      </c>
    </row>
    <row r="8027">
      <c r="H8027" t="s">
        <v>5117</v>
      </c>
    </row>
    <row r="8028">
      <c r="H8028" t="s">
        <v>5117</v>
      </c>
    </row>
    <row r="8029">
      <c r="H8029" t="s">
        <v>5117</v>
      </c>
    </row>
    <row r="8030">
      <c r="H8030" t="s">
        <v>5117</v>
      </c>
    </row>
    <row r="8031">
      <c r="H8031" t="s">
        <v>5117</v>
      </c>
    </row>
    <row r="8032">
      <c r="H8032" t="s">
        <v>5117</v>
      </c>
    </row>
    <row r="8033">
      <c r="H8033" t="s">
        <v>5117</v>
      </c>
    </row>
    <row r="8034">
      <c r="H8034" t="s">
        <v>5117</v>
      </c>
    </row>
    <row r="8035">
      <c r="H8035" t="s">
        <v>5117</v>
      </c>
    </row>
    <row r="8036">
      <c r="H8036" t="s">
        <v>5117</v>
      </c>
    </row>
    <row r="8037">
      <c r="H8037" t="s">
        <v>5117</v>
      </c>
    </row>
    <row r="8038">
      <c r="H8038" t="s">
        <v>5117</v>
      </c>
    </row>
    <row r="8039">
      <c r="H8039" t="s">
        <v>5117</v>
      </c>
    </row>
    <row r="8040">
      <c r="H8040" t="s">
        <v>5117</v>
      </c>
    </row>
    <row r="8041">
      <c r="H8041" t="s">
        <v>5117</v>
      </c>
    </row>
    <row r="8042">
      <c r="H8042" t="s">
        <v>5117</v>
      </c>
    </row>
    <row r="8043">
      <c r="H8043" t="s">
        <v>5117</v>
      </c>
    </row>
    <row r="8044">
      <c r="H8044" t="s">
        <v>5117</v>
      </c>
    </row>
    <row r="8045">
      <c r="H8045" t="s">
        <v>5117</v>
      </c>
    </row>
    <row r="8046">
      <c r="H8046" t="s">
        <v>5117</v>
      </c>
    </row>
    <row r="8047">
      <c r="H8047" t="s">
        <v>5117</v>
      </c>
    </row>
    <row r="8048">
      <c r="H8048" t="s">
        <v>5117</v>
      </c>
    </row>
    <row r="8049">
      <c r="H8049" t="s">
        <v>5117</v>
      </c>
    </row>
    <row r="8050">
      <c r="H8050" t="s">
        <v>5117</v>
      </c>
    </row>
    <row r="8051">
      <c r="H8051" t="s">
        <v>5117</v>
      </c>
    </row>
    <row r="8052">
      <c r="H8052" t="s">
        <v>5117</v>
      </c>
    </row>
    <row r="8053">
      <c r="H8053" t="s">
        <v>5117</v>
      </c>
    </row>
    <row r="8054">
      <c r="H8054" t="s">
        <v>5117</v>
      </c>
    </row>
    <row r="8055">
      <c r="H8055" t="s">
        <v>5117</v>
      </c>
    </row>
    <row r="8056">
      <c r="H8056" t="s">
        <v>5117</v>
      </c>
    </row>
    <row r="8057">
      <c r="H8057" t="s">
        <v>5117</v>
      </c>
    </row>
    <row r="8058">
      <c r="H8058" t="s">
        <v>5117</v>
      </c>
    </row>
    <row r="8059">
      <c r="H8059" t="s">
        <v>5117</v>
      </c>
    </row>
    <row r="8060">
      <c r="H8060" t="s">
        <v>5117</v>
      </c>
    </row>
    <row r="8061">
      <c r="H8061" t="s">
        <v>5117</v>
      </c>
    </row>
    <row r="8062">
      <c r="H8062" t="s">
        <v>5117</v>
      </c>
    </row>
    <row r="8063">
      <c r="H8063" t="s">
        <v>5117</v>
      </c>
    </row>
    <row r="8064">
      <c r="H8064" t="s">
        <v>5117</v>
      </c>
    </row>
    <row r="8065">
      <c r="H8065" t="s">
        <v>5117</v>
      </c>
    </row>
    <row r="8066">
      <c r="H8066" t="s">
        <v>5117</v>
      </c>
    </row>
    <row r="8067">
      <c r="H8067" t="s">
        <v>5117</v>
      </c>
    </row>
    <row r="8068">
      <c r="H8068" t="s">
        <v>5117</v>
      </c>
    </row>
    <row r="8069">
      <c r="H8069" t="s">
        <v>5117</v>
      </c>
    </row>
    <row r="8070">
      <c r="H8070" t="s">
        <v>5117</v>
      </c>
    </row>
    <row r="8071">
      <c r="H8071" t="s">
        <v>5117</v>
      </c>
    </row>
    <row r="8072">
      <c r="H8072" t="s">
        <v>5117</v>
      </c>
    </row>
    <row r="8073">
      <c r="H8073" t="s">
        <v>5117</v>
      </c>
    </row>
    <row r="8074">
      <c r="H8074" t="s">
        <v>5117</v>
      </c>
    </row>
    <row r="8075">
      <c r="H8075" t="s">
        <v>5117</v>
      </c>
    </row>
    <row r="8076">
      <c r="H8076" t="s">
        <v>5117</v>
      </c>
    </row>
    <row r="8077">
      <c r="H8077" t="s">
        <v>5117</v>
      </c>
    </row>
    <row r="8078">
      <c r="H8078" t="s">
        <v>5117</v>
      </c>
    </row>
    <row r="8079">
      <c r="H8079" t="s">
        <v>5117</v>
      </c>
    </row>
    <row r="8080">
      <c r="H8080" t="s">
        <v>5117</v>
      </c>
    </row>
    <row r="8081">
      <c r="H8081" t="s">
        <v>5117</v>
      </c>
    </row>
    <row r="8082">
      <c r="H8082" t="s">
        <v>5117</v>
      </c>
    </row>
    <row r="8083">
      <c r="H8083" t="s">
        <v>5117</v>
      </c>
    </row>
    <row r="8084">
      <c r="H8084" t="s">
        <v>5117</v>
      </c>
    </row>
    <row r="8085">
      <c r="H8085" t="s">
        <v>5117</v>
      </c>
    </row>
    <row r="8086">
      <c r="H8086" t="s">
        <v>5117</v>
      </c>
    </row>
    <row r="8087">
      <c r="H8087" t="s">
        <v>5117</v>
      </c>
    </row>
    <row r="8088">
      <c r="H8088" t="s">
        <v>5117</v>
      </c>
    </row>
    <row r="8089">
      <c r="H8089" t="s">
        <v>5117</v>
      </c>
    </row>
    <row r="8090">
      <c r="H8090" t="s">
        <v>5117</v>
      </c>
    </row>
    <row r="8091">
      <c r="H8091" t="s">
        <v>5117</v>
      </c>
    </row>
    <row r="8092">
      <c r="H8092" t="s">
        <v>5117</v>
      </c>
    </row>
    <row r="8093">
      <c r="H8093" t="s">
        <v>5117</v>
      </c>
    </row>
    <row r="8094">
      <c r="H8094" t="s">
        <v>5117</v>
      </c>
    </row>
    <row r="8095">
      <c r="H8095" t="s">
        <v>5117</v>
      </c>
    </row>
    <row r="8096">
      <c r="H8096" t="s">
        <v>5117</v>
      </c>
    </row>
    <row r="8097">
      <c r="H8097" t="s">
        <v>5117</v>
      </c>
    </row>
    <row r="8098">
      <c r="H8098" t="s">
        <v>5117</v>
      </c>
    </row>
    <row r="8099">
      <c r="H8099" t="s">
        <v>5117</v>
      </c>
    </row>
    <row r="8100">
      <c r="H8100" t="s">
        <v>5117</v>
      </c>
    </row>
    <row r="8101">
      <c r="H8101" t="s">
        <v>5117</v>
      </c>
    </row>
    <row r="8102">
      <c r="H8102" t="s">
        <v>5117</v>
      </c>
    </row>
    <row r="8103">
      <c r="H8103" t="s">
        <v>5117</v>
      </c>
    </row>
    <row r="8104">
      <c r="H8104" t="s">
        <v>5117</v>
      </c>
    </row>
    <row r="8105">
      <c r="H8105" t="s">
        <v>5117</v>
      </c>
    </row>
    <row r="8106">
      <c r="H8106" t="s">
        <v>5117</v>
      </c>
    </row>
    <row r="8107">
      <c r="H8107" t="s">
        <v>5117</v>
      </c>
    </row>
    <row r="8108">
      <c r="H8108" t="s">
        <v>5117</v>
      </c>
    </row>
    <row r="8109">
      <c r="H8109" t="s">
        <v>5117</v>
      </c>
    </row>
    <row r="8110">
      <c r="H8110" t="s">
        <v>5117</v>
      </c>
    </row>
    <row r="8111">
      <c r="H8111" t="s">
        <v>5117</v>
      </c>
    </row>
    <row r="8112">
      <c r="H8112" t="s">
        <v>5117</v>
      </c>
    </row>
    <row r="8113">
      <c r="H8113" t="s">
        <v>5117</v>
      </c>
    </row>
    <row r="8114">
      <c r="H8114" t="s">
        <v>5117</v>
      </c>
    </row>
    <row r="8115">
      <c r="H8115" t="s">
        <v>5117</v>
      </c>
    </row>
    <row r="8116">
      <c r="H8116" t="s">
        <v>5117</v>
      </c>
    </row>
    <row r="8117">
      <c r="H8117" t="s">
        <v>5117</v>
      </c>
    </row>
    <row r="8118">
      <c r="H8118" t="s">
        <v>5117</v>
      </c>
    </row>
    <row r="8119">
      <c r="H8119" t="s">
        <v>5117</v>
      </c>
    </row>
    <row r="8120">
      <c r="H8120" t="s">
        <v>5117</v>
      </c>
    </row>
    <row r="8121">
      <c r="H8121" t="s">
        <v>5117</v>
      </c>
    </row>
    <row r="8122">
      <c r="H8122" t="s">
        <v>5117</v>
      </c>
    </row>
    <row r="8123">
      <c r="H8123" t="s">
        <v>5117</v>
      </c>
    </row>
    <row r="8124">
      <c r="H8124" t="s">
        <v>5117</v>
      </c>
    </row>
    <row r="8125">
      <c r="H8125" t="s">
        <v>5117</v>
      </c>
    </row>
    <row r="8126">
      <c r="H8126" t="s">
        <v>5117</v>
      </c>
    </row>
    <row r="8127">
      <c r="H8127" t="s">
        <v>5117</v>
      </c>
    </row>
    <row r="8128">
      <c r="H8128" t="s">
        <v>5117</v>
      </c>
    </row>
    <row r="8129">
      <c r="H8129" t="s">
        <v>5117</v>
      </c>
    </row>
    <row r="8130">
      <c r="H8130" t="s">
        <v>5117</v>
      </c>
    </row>
    <row r="8131">
      <c r="H8131" t="s">
        <v>5117</v>
      </c>
    </row>
    <row r="8132">
      <c r="H8132" t="s">
        <v>5117</v>
      </c>
    </row>
    <row r="8133">
      <c r="H8133" t="s">
        <v>5117</v>
      </c>
    </row>
    <row r="8134">
      <c r="H8134" t="s">
        <v>5117</v>
      </c>
    </row>
    <row r="8135">
      <c r="H8135" t="s">
        <v>5117</v>
      </c>
    </row>
    <row r="8136">
      <c r="H8136" t="s">
        <v>5117</v>
      </c>
    </row>
    <row r="8137">
      <c r="H8137" t="s">
        <v>5117</v>
      </c>
    </row>
    <row r="8138">
      <c r="H8138" t="s">
        <v>5117</v>
      </c>
    </row>
    <row r="8139">
      <c r="H8139" t="s">
        <v>5117</v>
      </c>
    </row>
    <row r="8140">
      <c r="H8140" t="s">
        <v>5117</v>
      </c>
    </row>
    <row r="8141">
      <c r="H8141" t="s">
        <v>5117</v>
      </c>
    </row>
    <row r="8142">
      <c r="H8142" t="s">
        <v>5117</v>
      </c>
    </row>
    <row r="8143">
      <c r="H8143" t="s">
        <v>5117</v>
      </c>
    </row>
    <row r="8144">
      <c r="H8144" t="s">
        <v>5117</v>
      </c>
    </row>
    <row r="8145">
      <c r="H8145" t="s">
        <v>5117</v>
      </c>
    </row>
    <row r="8146">
      <c r="H8146" t="s">
        <v>5117</v>
      </c>
    </row>
    <row r="8147">
      <c r="H8147" t="s">
        <v>5117</v>
      </c>
    </row>
    <row r="8148">
      <c r="H8148" t="s">
        <v>5117</v>
      </c>
    </row>
    <row r="8149">
      <c r="H8149" t="s">
        <v>5117</v>
      </c>
    </row>
    <row r="8150">
      <c r="H8150" t="s">
        <v>5117</v>
      </c>
    </row>
    <row r="8151">
      <c r="H8151" t="s">
        <v>5117</v>
      </c>
    </row>
    <row r="8152">
      <c r="H8152" t="s">
        <v>5117</v>
      </c>
    </row>
    <row r="8153">
      <c r="H8153" t="s">
        <v>5117</v>
      </c>
    </row>
    <row r="8154">
      <c r="H8154" t="s">
        <v>5117</v>
      </c>
    </row>
    <row r="8155">
      <c r="H8155" t="s">
        <v>5117</v>
      </c>
    </row>
    <row r="8156">
      <c r="H8156" t="s">
        <v>5117</v>
      </c>
    </row>
    <row r="8157">
      <c r="H8157" t="s">
        <v>5117</v>
      </c>
    </row>
    <row r="8158">
      <c r="H8158" t="s">
        <v>5117</v>
      </c>
    </row>
    <row r="8159">
      <c r="H8159" t="s">
        <v>5117</v>
      </c>
    </row>
    <row r="8160">
      <c r="H8160" t="s">
        <v>5117</v>
      </c>
    </row>
    <row r="8161">
      <c r="H8161" t="s">
        <v>5117</v>
      </c>
    </row>
    <row r="8162">
      <c r="H8162" t="s">
        <v>5117</v>
      </c>
    </row>
    <row r="8163">
      <c r="H8163" t="s">
        <v>5117</v>
      </c>
    </row>
    <row r="8164">
      <c r="H8164" t="s">
        <v>5117</v>
      </c>
    </row>
    <row r="8165">
      <c r="H8165" t="s">
        <v>5117</v>
      </c>
    </row>
    <row r="8166">
      <c r="H8166" t="s">
        <v>5117</v>
      </c>
    </row>
    <row r="8167">
      <c r="H8167" t="s">
        <v>5117</v>
      </c>
    </row>
    <row r="8168">
      <c r="H8168" t="s">
        <v>5117</v>
      </c>
    </row>
    <row r="8169">
      <c r="H8169" t="s">
        <v>5117</v>
      </c>
    </row>
    <row r="8170">
      <c r="H8170" t="s">
        <v>5117</v>
      </c>
    </row>
    <row r="8171">
      <c r="H8171" t="s">
        <v>5117</v>
      </c>
    </row>
    <row r="8172">
      <c r="H8172" t="s">
        <v>5117</v>
      </c>
    </row>
    <row r="8173">
      <c r="H8173" t="s">
        <v>5117</v>
      </c>
    </row>
    <row r="8174">
      <c r="H8174" t="s">
        <v>5117</v>
      </c>
    </row>
    <row r="8175">
      <c r="H8175" t="s">
        <v>5117</v>
      </c>
    </row>
    <row r="8176">
      <c r="H8176" t="s">
        <v>5117</v>
      </c>
    </row>
    <row r="8177">
      <c r="H8177" t="s">
        <v>5117</v>
      </c>
    </row>
    <row r="8178">
      <c r="H8178" t="s">
        <v>5117</v>
      </c>
    </row>
    <row r="8179">
      <c r="H8179" t="s">
        <v>5117</v>
      </c>
    </row>
    <row r="8180">
      <c r="H8180" t="s">
        <v>5117</v>
      </c>
    </row>
    <row r="8181">
      <c r="H8181" t="s">
        <v>5117</v>
      </c>
    </row>
    <row r="8182">
      <c r="H8182" t="s">
        <v>5117</v>
      </c>
    </row>
    <row r="8183">
      <c r="H8183" t="s">
        <v>5117</v>
      </c>
    </row>
    <row r="8184">
      <c r="H8184" t="s">
        <v>5117</v>
      </c>
    </row>
    <row r="8185">
      <c r="H8185" t="s">
        <v>5117</v>
      </c>
    </row>
    <row r="8186">
      <c r="H8186" t="s">
        <v>5117</v>
      </c>
    </row>
    <row r="8187">
      <c r="H8187" t="s">
        <v>5117</v>
      </c>
    </row>
    <row r="8188">
      <c r="H8188" t="s">
        <v>5117</v>
      </c>
    </row>
    <row r="8189">
      <c r="H8189" t="s">
        <v>5117</v>
      </c>
    </row>
    <row r="8190">
      <c r="H8190" t="s">
        <v>5117</v>
      </c>
    </row>
    <row r="8191">
      <c r="H8191" t="s">
        <v>5117</v>
      </c>
    </row>
    <row r="8192">
      <c r="H8192" t="s">
        <v>5117</v>
      </c>
    </row>
    <row r="8193">
      <c r="H8193" t="s">
        <v>5117</v>
      </c>
    </row>
    <row r="8194">
      <c r="H8194" t="s">
        <v>5117</v>
      </c>
    </row>
    <row r="8195">
      <c r="H8195" t="s">
        <v>5117</v>
      </c>
    </row>
    <row r="8196">
      <c r="H8196" t="s">
        <v>5117</v>
      </c>
    </row>
    <row r="8197">
      <c r="H8197" t="s">
        <v>5117</v>
      </c>
    </row>
    <row r="8198">
      <c r="H8198" t="s">
        <v>5117</v>
      </c>
    </row>
    <row r="8199">
      <c r="H8199" t="s">
        <v>5117</v>
      </c>
    </row>
    <row r="8200">
      <c r="H8200" t="s">
        <v>5117</v>
      </c>
    </row>
    <row r="8201">
      <c r="H8201" t="s">
        <v>5117</v>
      </c>
    </row>
    <row r="8202">
      <c r="H8202" t="s">
        <v>5117</v>
      </c>
    </row>
    <row r="8203">
      <c r="H8203" t="s">
        <v>5117</v>
      </c>
    </row>
    <row r="8204">
      <c r="H8204" t="s">
        <v>5117</v>
      </c>
    </row>
    <row r="8205">
      <c r="H8205" t="s">
        <v>5117</v>
      </c>
    </row>
    <row r="8206">
      <c r="H8206" t="s">
        <v>5117</v>
      </c>
    </row>
    <row r="8207">
      <c r="H8207" t="s">
        <v>5117</v>
      </c>
    </row>
    <row r="8208">
      <c r="H8208" t="s">
        <v>5117</v>
      </c>
    </row>
    <row r="8209">
      <c r="H8209" t="s">
        <v>5117</v>
      </c>
    </row>
    <row r="8210">
      <c r="H8210" t="s">
        <v>5117</v>
      </c>
    </row>
    <row r="8211">
      <c r="H8211" t="s">
        <v>5117</v>
      </c>
    </row>
    <row r="8212">
      <c r="H8212" t="s">
        <v>5117</v>
      </c>
    </row>
    <row r="8213">
      <c r="H8213" t="s">
        <v>5117</v>
      </c>
    </row>
    <row r="8214">
      <c r="H8214" t="s">
        <v>5117</v>
      </c>
    </row>
    <row r="8215">
      <c r="H8215" t="s">
        <v>5117</v>
      </c>
    </row>
    <row r="8216">
      <c r="H8216" t="s">
        <v>5117</v>
      </c>
    </row>
    <row r="8217">
      <c r="H8217" t="s">
        <v>5117</v>
      </c>
    </row>
    <row r="8218">
      <c r="H8218" t="s">
        <v>5117</v>
      </c>
    </row>
    <row r="8219">
      <c r="H8219" t="s">
        <v>5117</v>
      </c>
    </row>
    <row r="8220">
      <c r="H8220" t="s">
        <v>5117</v>
      </c>
    </row>
    <row r="8221">
      <c r="H8221" t="s">
        <v>5117</v>
      </c>
    </row>
    <row r="8222">
      <c r="H8222" t="s">
        <v>5117</v>
      </c>
    </row>
    <row r="8223">
      <c r="H8223" t="s">
        <v>5117</v>
      </c>
    </row>
    <row r="8224">
      <c r="H8224" t="s">
        <v>5117</v>
      </c>
    </row>
    <row r="8225">
      <c r="H8225" t="s">
        <v>5117</v>
      </c>
    </row>
    <row r="8226">
      <c r="H8226" t="s">
        <v>5117</v>
      </c>
    </row>
    <row r="8227">
      <c r="H8227" t="s">
        <v>5117</v>
      </c>
    </row>
    <row r="8228">
      <c r="H8228" t="s">
        <v>5117</v>
      </c>
    </row>
    <row r="8229">
      <c r="H8229" t="s">
        <v>5117</v>
      </c>
    </row>
    <row r="8230">
      <c r="H8230" t="s">
        <v>5117</v>
      </c>
    </row>
    <row r="8231">
      <c r="H8231" t="s">
        <v>5117</v>
      </c>
    </row>
    <row r="8232">
      <c r="H8232" t="s">
        <v>5117</v>
      </c>
    </row>
    <row r="8233">
      <c r="H8233" t="s">
        <v>5117</v>
      </c>
    </row>
    <row r="8234">
      <c r="H8234" t="s">
        <v>5117</v>
      </c>
    </row>
    <row r="8235">
      <c r="H8235" t="s">
        <v>5117</v>
      </c>
    </row>
    <row r="8236">
      <c r="H8236" t="s">
        <v>5117</v>
      </c>
    </row>
    <row r="8237">
      <c r="H8237" t="s">
        <v>5117</v>
      </c>
    </row>
    <row r="8238">
      <c r="H8238" t="s">
        <v>5117</v>
      </c>
    </row>
    <row r="8239">
      <c r="H8239" t="s">
        <v>5117</v>
      </c>
    </row>
    <row r="8240">
      <c r="H8240" t="s">
        <v>5117</v>
      </c>
    </row>
    <row r="8241">
      <c r="H8241" t="s">
        <v>5117</v>
      </c>
    </row>
    <row r="8242">
      <c r="H8242" t="s">
        <v>5117</v>
      </c>
    </row>
    <row r="8243">
      <c r="H8243" t="s">
        <v>5117</v>
      </c>
    </row>
    <row r="8244">
      <c r="H8244" t="s">
        <v>5117</v>
      </c>
    </row>
    <row r="8245">
      <c r="H8245" t="s">
        <v>5117</v>
      </c>
    </row>
    <row r="8246">
      <c r="H8246" t="s">
        <v>5117</v>
      </c>
    </row>
    <row r="8247">
      <c r="H8247" t="s">
        <v>5117</v>
      </c>
    </row>
    <row r="8248">
      <c r="H8248" t="s">
        <v>5117</v>
      </c>
    </row>
    <row r="8249">
      <c r="H8249" t="s">
        <v>5117</v>
      </c>
    </row>
    <row r="8250">
      <c r="H8250" t="s">
        <v>5117</v>
      </c>
    </row>
    <row r="8251">
      <c r="H8251" t="s">
        <v>5117</v>
      </c>
    </row>
    <row r="8252">
      <c r="H8252" t="s">
        <v>5117</v>
      </c>
    </row>
    <row r="8253">
      <c r="H8253" t="s">
        <v>5117</v>
      </c>
    </row>
    <row r="8254">
      <c r="H8254" t="s">
        <v>5117</v>
      </c>
    </row>
    <row r="8255">
      <c r="H8255" t="s">
        <v>5117</v>
      </c>
    </row>
    <row r="8256">
      <c r="H8256" t="s">
        <v>5117</v>
      </c>
    </row>
    <row r="8257">
      <c r="H8257" t="s">
        <v>5117</v>
      </c>
    </row>
    <row r="8258">
      <c r="H8258" t="s">
        <v>5117</v>
      </c>
    </row>
    <row r="8259">
      <c r="H8259" t="s">
        <v>5117</v>
      </c>
    </row>
    <row r="8260">
      <c r="H8260" t="s">
        <v>5117</v>
      </c>
    </row>
    <row r="8261">
      <c r="H8261" t="s">
        <v>5117</v>
      </c>
    </row>
    <row r="8262">
      <c r="H8262" t="s">
        <v>5117</v>
      </c>
    </row>
    <row r="8263">
      <c r="H8263" t="s">
        <v>5117</v>
      </c>
    </row>
    <row r="8264">
      <c r="H8264" t="s">
        <v>5117</v>
      </c>
    </row>
    <row r="8265">
      <c r="H8265" t="s">
        <v>5117</v>
      </c>
    </row>
    <row r="8266">
      <c r="H8266" t="s">
        <v>5117</v>
      </c>
    </row>
    <row r="8267">
      <c r="H8267" t="s">
        <v>5117</v>
      </c>
    </row>
    <row r="8268">
      <c r="H8268" t="s">
        <v>5117</v>
      </c>
    </row>
    <row r="8269">
      <c r="H8269" t="s">
        <v>5117</v>
      </c>
    </row>
    <row r="8270">
      <c r="H8270" t="s">
        <v>5117</v>
      </c>
    </row>
    <row r="8271">
      <c r="H8271" t="s">
        <v>5117</v>
      </c>
    </row>
    <row r="8272">
      <c r="H8272" t="s">
        <v>5117</v>
      </c>
    </row>
    <row r="8273">
      <c r="H8273" t="s">
        <v>5117</v>
      </c>
    </row>
    <row r="8274">
      <c r="H8274" t="s">
        <v>5117</v>
      </c>
    </row>
    <row r="8275">
      <c r="H8275" t="s">
        <v>5117</v>
      </c>
    </row>
    <row r="8276">
      <c r="H8276" t="s">
        <v>5117</v>
      </c>
    </row>
    <row r="8277">
      <c r="H8277" t="s">
        <v>5117</v>
      </c>
    </row>
    <row r="8278">
      <c r="H8278" t="s">
        <v>5117</v>
      </c>
    </row>
    <row r="8279">
      <c r="H8279" t="s">
        <v>5117</v>
      </c>
    </row>
    <row r="8280">
      <c r="H8280" t="s">
        <v>5117</v>
      </c>
    </row>
    <row r="8281">
      <c r="H8281" t="s">
        <v>5117</v>
      </c>
    </row>
    <row r="8282">
      <c r="H8282" t="s">
        <v>5117</v>
      </c>
    </row>
    <row r="8283">
      <c r="H8283" t="s">
        <v>5117</v>
      </c>
    </row>
    <row r="8284">
      <c r="H8284" t="s">
        <v>5117</v>
      </c>
    </row>
    <row r="8285">
      <c r="H8285" t="s">
        <v>5117</v>
      </c>
    </row>
    <row r="8286">
      <c r="H8286" t="s">
        <v>5117</v>
      </c>
    </row>
    <row r="8287">
      <c r="H8287" t="s">
        <v>5117</v>
      </c>
    </row>
    <row r="8288">
      <c r="H8288" t="s">
        <v>5117</v>
      </c>
    </row>
    <row r="8289">
      <c r="H8289" t="s">
        <v>5117</v>
      </c>
    </row>
    <row r="8290">
      <c r="H8290" t="s">
        <v>5117</v>
      </c>
    </row>
    <row r="8291">
      <c r="H8291" t="s">
        <v>5117</v>
      </c>
    </row>
    <row r="8292">
      <c r="H8292" t="s">
        <v>5117</v>
      </c>
    </row>
    <row r="8293">
      <c r="H8293" t="s">
        <v>5117</v>
      </c>
    </row>
    <row r="8294">
      <c r="H8294" t="s">
        <v>5117</v>
      </c>
    </row>
    <row r="8295">
      <c r="H8295" t="s">
        <v>5117</v>
      </c>
    </row>
    <row r="8296">
      <c r="H8296" t="s">
        <v>5117</v>
      </c>
    </row>
    <row r="8297">
      <c r="H8297" t="s">
        <v>5117</v>
      </c>
    </row>
    <row r="8298">
      <c r="H8298" t="s">
        <v>5117</v>
      </c>
    </row>
    <row r="8299">
      <c r="H8299" t="s">
        <v>5117</v>
      </c>
    </row>
    <row r="8300">
      <c r="H8300" t="s">
        <v>5117</v>
      </c>
    </row>
    <row r="8301">
      <c r="H8301" t="s">
        <v>5117</v>
      </c>
    </row>
    <row r="8302">
      <c r="H8302" t="s">
        <v>5117</v>
      </c>
    </row>
    <row r="8303">
      <c r="H8303" t="s">
        <v>5117</v>
      </c>
    </row>
    <row r="8304">
      <c r="H8304" t="s">
        <v>5117</v>
      </c>
    </row>
    <row r="8305">
      <c r="H8305" t="s">
        <v>5117</v>
      </c>
    </row>
    <row r="8306">
      <c r="H8306" t="s">
        <v>5117</v>
      </c>
    </row>
    <row r="8307">
      <c r="H8307" t="s">
        <v>5117</v>
      </c>
    </row>
    <row r="8308">
      <c r="H8308" t="s">
        <v>5117</v>
      </c>
    </row>
    <row r="8309">
      <c r="H8309" t="s">
        <v>5117</v>
      </c>
    </row>
    <row r="8310">
      <c r="H8310" t="s">
        <v>5117</v>
      </c>
    </row>
    <row r="8311">
      <c r="H8311" t="s">
        <v>5117</v>
      </c>
    </row>
    <row r="8312">
      <c r="H8312" t="s">
        <v>5117</v>
      </c>
    </row>
    <row r="8313">
      <c r="H8313" t="s">
        <v>5117</v>
      </c>
    </row>
    <row r="8314">
      <c r="H8314" t="s">
        <v>5117</v>
      </c>
    </row>
    <row r="8315">
      <c r="H8315" t="s">
        <v>5117</v>
      </c>
    </row>
    <row r="8316">
      <c r="H8316" t="s">
        <v>5117</v>
      </c>
    </row>
    <row r="8317">
      <c r="H8317" t="s">
        <v>5117</v>
      </c>
    </row>
    <row r="8318">
      <c r="H8318" t="s">
        <v>5117</v>
      </c>
    </row>
    <row r="8319">
      <c r="H8319" t="s">
        <v>5117</v>
      </c>
    </row>
    <row r="8320">
      <c r="H8320" t="s">
        <v>5117</v>
      </c>
    </row>
    <row r="8321">
      <c r="H8321" t="s">
        <v>5117</v>
      </c>
    </row>
    <row r="8322">
      <c r="H8322" t="s">
        <v>5117</v>
      </c>
    </row>
    <row r="8323">
      <c r="H8323" t="s">
        <v>5117</v>
      </c>
    </row>
    <row r="8324">
      <c r="H8324" t="s">
        <v>5117</v>
      </c>
    </row>
    <row r="8325">
      <c r="H8325" t="s">
        <v>5117</v>
      </c>
    </row>
    <row r="8326">
      <c r="H8326" t="s">
        <v>5117</v>
      </c>
    </row>
    <row r="8327">
      <c r="H8327" t="s">
        <v>5117</v>
      </c>
    </row>
    <row r="8328">
      <c r="H8328" t="s">
        <v>5117</v>
      </c>
    </row>
    <row r="8329">
      <c r="H8329" t="s">
        <v>5117</v>
      </c>
    </row>
    <row r="8330">
      <c r="H8330" t="s">
        <v>5117</v>
      </c>
    </row>
    <row r="8331">
      <c r="H8331" t="s">
        <v>5117</v>
      </c>
    </row>
    <row r="8332">
      <c r="H8332" t="s">
        <v>5117</v>
      </c>
    </row>
    <row r="8333">
      <c r="H8333" t="s">
        <v>5117</v>
      </c>
    </row>
    <row r="8334">
      <c r="H8334" t="s">
        <v>5117</v>
      </c>
    </row>
    <row r="8335">
      <c r="H8335" t="s">
        <v>5117</v>
      </c>
    </row>
    <row r="8336">
      <c r="H8336" t="s">
        <v>5117</v>
      </c>
    </row>
    <row r="8337">
      <c r="H8337" t="s">
        <v>5117</v>
      </c>
    </row>
    <row r="8338">
      <c r="H8338" t="s">
        <v>5117</v>
      </c>
    </row>
    <row r="8339">
      <c r="H8339" t="s">
        <v>5117</v>
      </c>
    </row>
    <row r="8340">
      <c r="H8340" t="s">
        <v>5117</v>
      </c>
    </row>
    <row r="8341">
      <c r="H8341" t="s">
        <v>5117</v>
      </c>
    </row>
    <row r="8342">
      <c r="H8342" t="s">
        <v>5117</v>
      </c>
    </row>
    <row r="8343">
      <c r="H8343" t="s">
        <v>5117</v>
      </c>
    </row>
    <row r="8344">
      <c r="H8344" t="s">
        <v>5117</v>
      </c>
    </row>
    <row r="8345">
      <c r="H8345" t="s">
        <v>5117</v>
      </c>
    </row>
    <row r="8346">
      <c r="H8346" t="s">
        <v>5117</v>
      </c>
    </row>
    <row r="8347">
      <c r="H8347" t="s">
        <v>5117</v>
      </c>
    </row>
    <row r="8348">
      <c r="H8348" t="s">
        <v>5117</v>
      </c>
    </row>
    <row r="8349">
      <c r="H8349" t="s">
        <v>5117</v>
      </c>
    </row>
    <row r="8350">
      <c r="H8350" t="s">
        <v>5117</v>
      </c>
    </row>
    <row r="8351">
      <c r="H8351" t="s">
        <v>5117</v>
      </c>
    </row>
    <row r="8352">
      <c r="H8352" t="s">
        <v>5117</v>
      </c>
    </row>
    <row r="8353">
      <c r="H8353" t="s">
        <v>5117</v>
      </c>
    </row>
    <row r="8354">
      <c r="H8354" t="s">
        <v>5117</v>
      </c>
    </row>
    <row r="8355">
      <c r="H8355" t="s">
        <v>5117</v>
      </c>
    </row>
    <row r="8356">
      <c r="H8356" t="s">
        <v>5117</v>
      </c>
    </row>
    <row r="8357">
      <c r="H8357" t="s">
        <v>5117</v>
      </c>
    </row>
    <row r="8358">
      <c r="H8358" t="s">
        <v>5117</v>
      </c>
    </row>
    <row r="8359">
      <c r="H8359" t="s">
        <v>5117</v>
      </c>
    </row>
    <row r="8360">
      <c r="H8360" t="s">
        <v>5117</v>
      </c>
    </row>
    <row r="8361">
      <c r="H8361" t="s">
        <v>5117</v>
      </c>
    </row>
    <row r="8362">
      <c r="H8362" t="s">
        <v>5117</v>
      </c>
    </row>
    <row r="8363">
      <c r="H8363" t="s">
        <v>5117</v>
      </c>
    </row>
    <row r="8364">
      <c r="H8364" t="s">
        <v>5117</v>
      </c>
    </row>
    <row r="8365">
      <c r="H8365" t="s">
        <v>5117</v>
      </c>
    </row>
    <row r="8366">
      <c r="H8366" t="s">
        <v>5117</v>
      </c>
    </row>
    <row r="8367">
      <c r="H8367" t="s">
        <v>5117</v>
      </c>
    </row>
    <row r="8368">
      <c r="H8368" t="s">
        <v>5117</v>
      </c>
    </row>
    <row r="8369">
      <c r="H8369" t="s">
        <v>5117</v>
      </c>
    </row>
    <row r="8370">
      <c r="H8370" t="s">
        <v>5117</v>
      </c>
    </row>
    <row r="8371">
      <c r="H8371" t="s">
        <v>5117</v>
      </c>
    </row>
    <row r="8372">
      <c r="H8372" t="s">
        <v>5117</v>
      </c>
    </row>
    <row r="8373">
      <c r="H8373" t="s">
        <v>5117</v>
      </c>
    </row>
    <row r="8374">
      <c r="H8374" t="s">
        <v>5117</v>
      </c>
    </row>
    <row r="8375">
      <c r="H8375" t="s">
        <v>5117</v>
      </c>
    </row>
    <row r="8376">
      <c r="H8376" t="s">
        <v>5117</v>
      </c>
    </row>
    <row r="8377">
      <c r="H8377" t="s">
        <v>5117</v>
      </c>
    </row>
    <row r="8378">
      <c r="H8378" t="s">
        <v>5117</v>
      </c>
    </row>
    <row r="8379">
      <c r="H8379" t="s">
        <v>5117</v>
      </c>
    </row>
    <row r="8380">
      <c r="H8380" t="s">
        <v>5117</v>
      </c>
    </row>
    <row r="8381">
      <c r="H8381" t="s">
        <v>5117</v>
      </c>
    </row>
    <row r="8382">
      <c r="H8382" t="s">
        <v>5117</v>
      </c>
    </row>
    <row r="8383">
      <c r="H8383" t="s">
        <v>5117</v>
      </c>
    </row>
    <row r="8384">
      <c r="H8384" t="s">
        <v>5117</v>
      </c>
    </row>
    <row r="8385">
      <c r="H8385" t="s">
        <v>5117</v>
      </c>
    </row>
    <row r="8386">
      <c r="H8386" t="s">
        <v>5117</v>
      </c>
    </row>
    <row r="8387">
      <c r="H8387" t="s">
        <v>5117</v>
      </c>
    </row>
    <row r="8388">
      <c r="H8388" t="s">
        <v>5117</v>
      </c>
    </row>
    <row r="8389">
      <c r="H8389" t="s">
        <v>5117</v>
      </c>
    </row>
    <row r="8390">
      <c r="H8390" t="s">
        <v>5117</v>
      </c>
    </row>
    <row r="8391">
      <c r="H8391" t="s">
        <v>5117</v>
      </c>
    </row>
    <row r="8392">
      <c r="H8392" t="s">
        <v>5117</v>
      </c>
    </row>
    <row r="8393">
      <c r="H8393" t="s">
        <v>5117</v>
      </c>
    </row>
    <row r="8394">
      <c r="H8394" t="s">
        <v>5117</v>
      </c>
    </row>
    <row r="8395">
      <c r="H8395" t="s">
        <v>5117</v>
      </c>
    </row>
    <row r="8396">
      <c r="H8396" t="s">
        <v>5117</v>
      </c>
    </row>
    <row r="8397">
      <c r="H8397" t="s">
        <v>5117</v>
      </c>
    </row>
    <row r="8398">
      <c r="H8398" t="s">
        <v>5117</v>
      </c>
    </row>
    <row r="8399">
      <c r="H8399" t="s">
        <v>5117</v>
      </c>
    </row>
    <row r="8400">
      <c r="H8400" t="s">
        <v>5117</v>
      </c>
    </row>
    <row r="8401">
      <c r="H8401" t="s">
        <v>5117</v>
      </c>
    </row>
    <row r="8402">
      <c r="H8402" t="s">
        <v>5117</v>
      </c>
    </row>
    <row r="8403">
      <c r="H8403" t="s">
        <v>5117</v>
      </c>
    </row>
    <row r="8404">
      <c r="H8404" t="s">
        <v>5117</v>
      </c>
    </row>
    <row r="8405">
      <c r="H8405" t="s">
        <v>5117</v>
      </c>
    </row>
    <row r="8406">
      <c r="H8406" t="s">
        <v>5117</v>
      </c>
    </row>
    <row r="8407">
      <c r="H8407" t="s">
        <v>5117</v>
      </c>
    </row>
    <row r="8408">
      <c r="H8408" t="s">
        <v>5117</v>
      </c>
    </row>
    <row r="8409">
      <c r="H8409" t="s">
        <v>5117</v>
      </c>
    </row>
    <row r="8410">
      <c r="H8410" t="s">
        <v>5117</v>
      </c>
    </row>
    <row r="8411">
      <c r="H8411" t="s">
        <v>5117</v>
      </c>
    </row>
    <row r="8412">
      <c r="H8412" t="s">
        <v>5117</v>
      </c>
    </row>
    <row r="8413">
      <c r="H8413" t="s">
        <v>5117</v>
      </c>
    </row>
    <row r="8414">
      <c r="H8414" t="s">
        <v>5117</v>
      </c>
    </row>
    <row r="8415">
      <c r="H8415" t="s">
        <v>5117</v>
      </c>
    </row>
    <row r="8416">
      <c r="H8416" t="s">
        <v>5117</v>
      </c>
    </row>
    <row r="8417">
      <c r="H8417" t="s">
        <v>5117</v>
      </c>
    </row>
    <row r="8418">
      <c r="H8418" t="s">
        <v>5117</v>
      </c>
    </row>
    <row r="8419">
      <c r="H8419" t="s">
        <v>5117</v>
      </c>
    </row>
    <row r="8420">
      <c r="H8420" t="s">
        <v>5117</v>
      </c>
    </row>
    <row r="8421">
      <c r="H8421" t="s">
        <v>5117</v>
      </c>
    </row>
    <row r="8422">
      <c r="H8422" t="s">
        <v>5117</v>
      </c>
    </row>
    <row r="8423">
      <c r="H8423" t="s">
        <v>5117</v>
      </c>
    </row>
    <row r="8424">
      <c r="H8424" t="s">
        <v>5117</v>
      </c>
    </row>
    <row r="8425">
      <c r="H8425" t="s">
        <v>5117</v>
      </c>
    </row>
    <row r="8426">
      <c r="H8426" t="s">
        <v>5117</v>
      </c>
    </row>
    <row r="8427">
      <c r="H8427" t="s">
        <v>5117</v>
      </c>
    </row>
    <row r="8428">
      <c r="H8428" t="s">
        <v>5117</v>
      </c>
    </row>
    <row r="8429">
      <c r="H8429" t="s">
        <v>5117</v>
      </c>
    </row>
    <row r="8430">
      <c r="H8430" t="s">
        <v>5117</v>
      </c>
    </row>
    <row r="8431">
      <c r="H8431" t="s">
        <v>5117</v>
      </c>
    </row>
    <row r="8432">
      <c r="H8432" t="s">
        <v>5117</v>
      </c>
    </row>
    <row r="8433">
      <c r="H8433" t="s">
        <v>5117</v>
      </c>
    </row>
    <row r="8434">
      <c r="H8434" t="s">
        <v>5117</v>
      </c>
    </row>
    <row r="8435">
      <c r="H8435" t="s">
        <v>5117</v>
      </c>
    </row>
    <row r="8436">
      <c r="H8436" t="s">
        <v>5117</v>
      </c>
    </row>
    <row r="8437">
      <c r="H8437" t="s">
        <v>5117</v>
      </c>
    </row>
    <row r="8438">
      <c r="H8438" t="s">
        <v>5117</v>
      </c>
    </row>
    <row r="8439">
      <c r="H8439" t="s">
        <v>5117</v>
      </c>
    </row>
    <row r="8440">
      <c r="H8440" t="s">
        <v>5117</v>
      </c>
    </row>
    <row r="8441">
      <c r="H8441" t="s">
        <v>5117</v>
      </c>
    </row>
    <row r="8442">
      <c r="H8442" t="s">
        <v>5117</v>
      </c>
    </row>
    <row r="8443">
      <c r="H8443" t="s">
        <v>5117</v>
      </c>
    </row>
    <row r="8444">
      <c r="H8444" t="s">
        <v>5117</v>
      </c>
    </row>
    <row r="8445">
      <c r="H8445" t="s">
        <v>5117</v>
      </c>
    </row>
    <row r="8446">
      <c r="H8446" t="s">
        <v>5117</v>
      </c>
    </row>
    <row r="8447">
      <c r="H8447" t="s">
        <v>5117</v>
      </c>
    </row>
    <row r="8448">
      <c r="H8448" t="s">
        <v>5117</v>
      </c>
    </row>
    <row r="8449">
      <c r="H8449" t="s">
        <v>5117</v>
      </c>
    </row>
    <row r="8450">
      <c r="H8450" t="s">
        <v>5117</v>
      </c>
    </row>
    <row r="8451">
      <c r="H8451" t="s">
        <v>5117</v>
      </c>
    </row>
    <row r="8452">
      <c r="H8452" t="s">
        <v>5117</v>
      </c>
    </row>
    <row r="8453">
      <c r="H8453" t="s">
        <v>5117</v>
      </c>
    </row>
    <row r="8454">
      <c r="H8454" t="s">
        <v>5117</v>
      </c>
    </row>
    <row r="8455">
      <c r="H8455" t="s">
        <v>5117</v>
      </c>
    </row>
    <row r="8456">
      <c r="H8456" t="s">
        <v>5117</v>
      </c>
    </row>
    <row r="8457">
      <c r="H8457" t="s">
        <v>5117</v>
      </c>
    </row>
    <row r="8458">
      <c r="H8458" t="s">
        <v>5117</v>
      </c>
    </row>
    <row r="8459">
      <c r="H8459" t="s">
        <v>5117</v>
      </c>
    </row>
    <row r="8460">
      <c r="H8460" t="s">
        <v>5117</v>
      </c>
    </row>
    <row r="8461">
      <c r="H8461" t="s">
        <v>5117</v>
      </c>
    </row>
    <row r="8462">
      <c r="H8462" t="s">
        <v>5117</v>
      </c>
    </row>
    <row r="8463">
      <c r="H8463" t="s">
        <v>5117</v>
      </c>
    </row>
    <row r="8464">
      <c r="H8464" t="s">
        <v>5117</v>
      </c>
    </row>
    <row r="8465">
      <c r="H8465" t="s">
        <v>5117</v>
      </c>
    </row>
    <row r="8466">
      <c r="H8466" t="s">
        <v>5117</v>
      </c>
    </row>
    <row r="8467">
      <c r="H8467" t="s">
        <v>5117</v>
      </c>
    </row>
    <row r="8468">
      <c r="H8468" t="s">
        <v>5117</v>
      </c>
    </row>
    <row r="8469">
      <c r="H8469" t="s">
        <v>5117</v>
      </c>
    </row>
    <row r="8470">
      <c r="H8470" t="s">
        <v>5117</v>
      </c>
    </row>
    <row r="8471">
      <c r="H8471" t="s">
        <v>5117</v>
      </c>
    </row>
    <row r="8472">
      <c r="H8472" t="s">
        <v>5117</v>
      </c>
    </row>
    <row r="8473">
      <c r="H8473" t="s">
        <v>5117</v>
      </c>
    </row>
    <row r="8474">
      <c r="H8474" t="s">
        <v>5117</v>
      </c>
    </row>
    <row r="8475">
      <c r="H8475" t="s">
        <v>5117</v>
      </c>
    </row>
    <row r="8476">
      <c r="H8476" t="s">
        <v>5117</v>
      </c>
    </row>
    <row r="8477">
      <c r="H8477" t="s">
        <v>5117</v>
      </c>
    </row>
    <row r="8478">
      <c r="H8478" t="s">
        <v>5117</v>
      </c>
    </row>
    <row r="8479">
      <c r="H8479" t="s">
        <v>5117</v>
      </c>
    </row>
    <row r="8480">
      <c r="H8480" t="s">
        <v>5117</v>
      </c>
    </row>
    <row r="8481">
      <c r="H8481" t="s">
        <v>5117</v>
      </c>
    </row>
    <row r="8482">
      <c r="H8482" t="s">
        <v>5117</v>
      </c>
    </row>
    <row r="8483">
      <c r="H8483" t="s">
        <v>5117</v>
      </c>
    </row>
    <row r="8484">
      <c r="H8484" t="s">
        <v>5117</v>
      </c>
    </row>
    <row r="8485">
      <c r="H8485" t="s">
        <v>5117</v>
      </c>
    </row>
    <row r="8486">
      <c r="H8486" t="s">
        <v>5117</v>
      </c>
    </row>
    <row r="8487">
      <c r="H8487" t="s">
        <v>5117</v>
      </c>
    </row>
    <row r="8488">
      <c r="H8488" t="s">
        <v>5117</v>
      </c>
    </row>
    <row r="8489">
      <c r="H8489" t="s">
        <v>5117</v>
      </c>
    </row>
    <row r="8490">
      <c r="H8490" t="s">
        <v>5117</v>
      </c>
    </row>
    <row r="8491">
      <c r="H8491" t="s">
        <v>5117</v>
      </c>
    </row>
    <row r="8492">
      <c r="H8492" t="s">
        <v>5117</v>
      </c>
    </row>
    <row r="8493">
      <c r="H8493" t="s">
        <v>5117</v>
      </c>
    </row>
    <row r="8494">
      <c r="H8494" t="s">
        <v>5117</v>
      </c>
    </row>
    <row r="8495">
      <c r="H8495" t="s">
        <v>5117</v>
      </c>
    </row>
    <row r="8496">
      <c r="H8496" t="s">
        <v>5117</v>
      </c>
    </row>
    <row r="8497">
      <c r="H8497" t="s">
        <v>5117</v>
      </c>
    </row>
    <row r="8498">
      <c r="H8498" t="s">
        <v>5117</v>
      </c>
    </row>
    <row r="8499">
      <c r="H8499" t="s">
        <v>5117</v>
      </c>
    </row>
    <row r="8500">
      <c r="H8500" t="s">
        <v>5117</v>
      </c>
    </row>
    <row r="8501">
      <c r="H8501" t="s">
        <v>5117</v>
      </c>
    </row>
    <row r="8502">
      <c r="H8502" t="s">
        <v>5117</v>
      </c>
    </row>
    <row r="8503">
      <c r="H8503" t="s">
        <v>5117</v>
      </c>
    </row>
    <row r="8504">
      <c r="H8504" t="s">
        <v>5117</v>
      </c>
    </row>
    <row r="8505">
      <c r="H8505" t="s">
        <v>5117</v>
      </c>
    </row>
    <row r="8506">
      <c r="H8506" t="s">
        <v>5117</v>
      </c>
    </row>
    <row r="8507">
      <c r="H8507" t="s">
        <v>5117</v>
      </c>
    </row>
    <row r="8508">
      <c r="H8508" t="s">
        <v>5117</v>
      </c>
    </row>
    <row r="8509">
      <c r="H8509" t="s">
        <v>5117</v>
      </c>
    </row>
    <row r="8510">
      <c r="H8510" t="s">
        <v>5117</v>
      </c>
    </row>
    <row r="8511">
      <c r="H8511" t="s">
        <v>5117</v>
      </c>
    </row>
    <row r="8512">
      <c r="H8512" t="s">
        <v>5117</v>
      </c>
    </row>
    <row r="8513">
      <c r="H8513" t="s">
        <v>5117</v>
      </c>
    </row>
    <row r="8514">
      <c r="H8514" t="s">
        <v>5117</v>
      </c>
    </row>
    <row r="8515">
      <c r="H8515" t="s">
        <v>5117</v>
      </c>
    </row>
    <row r="8516">
      <c r="H8516" t="s">
        <v>5117</v>
      </c>
    </row>
    <row r="8517">
      <c r="H8517" t="s">
        <v>5117</v>
      </c>
    </row>
    <row r="8518">
      <c r="H8518" t="s">
        <v>5117</v>
      </c>
    </row>
    <row r="8519">
      <c r="H8519" t="s">
        <v>5117</v>
      </c>
    </row>
    <row r="8520">
      <c r="H8520" t="s">
        <v>5117</v>
      </c>
    </row>
    <row r="8521">
      <c r="H8521" t="s">
        <v>5117</v>
      </c>
    </row>
    <row r="8522">
      <c r="H8522" t="s">
        <v>5117</v>
      </c>
    </row>
    <row r="8523">
      <c r="H8523" t="s">
        <v>5117</v>
      </c>
    </row>
    <row r="8524">
      <c r="H8524" t="s">
        <v>5117</v>
      </c>
    </row>
    <row r="8525">
      <c r="H8525" t="s">
        <v>5117</v>
      </c>
    </row>
    <row r="8526">
      <c r="H8526" t="s">
        <v>5117</v>
      </c>
    </row>
    <row r="8527">
      <c r="H8527" t="s">
        <v>5117</v>
      </c>
    </row>
    <row r="8528">
      <c r="H8528" t="s">
        <v>5117</v>
      </c>
    </row>
    <row r="8529">
      <c r="H8529" t="s">
        <v>5117</v>
      </c>
    </row>
    <row r="8530">
      <c r="H8530" t="s">
        <v>5117</v>
      </c>
    </row>
    <row r="8531">
      <c r="H8531" t="s">
        <v>5117</v>
      </c>
    </row>
    <row r="8532">
      <c r="H8532" t="s">
        <v>5117</v>
      </c>
    </row>
    <row r="8533">
      <c r="H8533" t="s">
        <v>5117</v>
      </c>
    </row>
    <row r="8534">
      <c r="H8534" t="s">
        <v>5117</v>
      </c>
    </row>
    <row r="8535">
      <c r="H8535" t="s">
        <v>5117</v>
      </c>
    </row>
    <row r="8536">
      <c r="H8536" t="s">
        <v>5117</v>
      </c>
    </row>
    <row r="8537">
      <c r="H8537" t="s">
        <v>5117</v>
      </c>
    </row>
    <row r="8538">
      <c r="H8538" t="s">
        <v>5117</v>
      </c>
    </row>
    <row r="8539">
      <c r="H8539" t="s">
        <v>5117</v>
      </c>
    </row>
    <row r="8540">
      <c r="H8540" t="s">
        <v>5117</v>
      </c>
    </row>
    <row r="8541">
      <c r="H8541" t="s">
        <v>5117</v>
      </c>
    </row>
    <row r="8542">
      <c r="H8542" t="s">
        <v>5117</v>
      </c>
    </row>
    <row r="8543">
      <c r="H8543" t="s">
        <v>5117</v>
      </c>
    </row>
    <row r="8544">
      <c r="H8544" t="s">
        <v>5117</v>
      </c>
    </row>
    <row r="8545">
      <c r="H8545" t="s">
        <v>5117</v>
      </c>
    </row>
    <row r="8546">
      <c r="H8546" t="s">
        <v>5117</v>
      </c>
    </row>
    <row r="8547">
      <c r="H8547" t="s">
        <v>5117</v>
      </c>
    </row>
    <row r="8548">
      <c r="H8548" t="s">
        <v>5117</v>
      </c>
    </row>
    <row r="8549">
      <c r="H8549" t="s">
        <v>5117</v>
      </c>
    </row>
    <row r="8550">
      <c r="H8550" t="s">
        <v>5117</v>
      </c>
    </row>
    <row r="8551">
      <c r="H8551" t="s">
        <v>5117</v>
      </c>
    </row>
    <row r="8552">
      <c r="H8552" t="s">
        <v>5117</v>
      </c>
    </row>
    <row r="8553">
      <c r="H8553" t="s">
        <v>5117</v>
      </c>
    </row>
    <row r="8554">
      <c r="H8554" t="s">
        <v>5117</v>
      </c>
    </row>
    <row r="8555">
      <c r="H8555" t="s">
        <v>5117</v>
      </c>
    </row>
    <row r="8556">
      <c r="H8556" t="s">
        <v>5117</v>
      </c>
    </row>
    <row r="8557">
      <c r="H8557" t="s">
        <v>5117</v>
      </c>
    </row>
    <row r="8558">
      <c r="H8558" t="s">
        <v>5117</v>
      </c>
    </row>
    <row r="8559">
      <c r="H8559" t="s">
        <v>5117</v>
      </c>
    </row>
    <row r="8560">
      <c r="H8560" t="s">
        <v>5117</v>
      </c>
    </row>
    <row r="8561">
      <c r="H8561" t="s">
        <v>5117</v>
      </c>
    </row>
    <row r="8562">
      <c r="H8562" t="s">
        <v>5117</v>
      </c>
    </row>
    <row r="8563">
      <c r="H8563" t="s">
        <v>5117</v>
      </c>
    </row>
    <row r="8564">
      <c r="H8564" t="s">
        <v>5117</v>
      </c>
    </row>
    <row r="8565">
      <c r="H8565" t="s">
        <v>5117</v>
      </c>
    </row>
    <row r="8566">
      <c r="H8566" t="s">
        <v>5117</v>
      </c>
    </row>
    <row r="8567">
      <c r="H8567" t="s">
        <v>5117</v>
      </c>
    </row>
    <row r="8568">
      <c r="H8568" t="s">
        <v>5117</v>
      </c>
    </row>
    <row r="8569">
      <c r="H8569" t="s">
        <v>5117</v>
      </c>
    </row>
    <row r="8570">
      <c r="H8570" t="s">
        <v>5117</v>
      </c>
    </row>
    <row r="8571">
      <c r="H8571" t="s">
        <v>5117</v>
      </c>
    </row>
    <row r="8572">
      <c r="H8572" t="s">
        <v>5117</v>
      </c>
    </row>
    <row r="8573">
      <c r="H8573" t="s">
        <v>5117</v>
      </c>
    </row>
    <row r="8574">
      <c r="H8574" t="s">
        <v>5117</v>
      </c>
    </row>
    <row r="8575">
      <c r="H8575" t="s">
        <v>5117</v>
      </c>
    </row>
    <row r="8576">
      <c r="H8576" t="s">
        <v>5117</v>
      </c>
    </row>
    <row r="8577">
      <c r="H8577" t="s">
        <v>5117</v>
      </c>
    </row>
    <row r="8578">
      <c r="H8578" t="s">
        <v>5117</v>
      </c>
    </row>
    <row r="8579">
      <c r="H8579" t="s">
        <v>5117</v>
      </c>
    </row>
    <row r="8580">
      <c r="H8580" t="s">
        <v>5117</v>
      </c>
    </row>
    <row r="8581">
      <c r="H8581" t="s">
        <v>5117</v>
      </c>
    </row>
    <row r="8582">
      <c r="H8582" t="s">
        <v>5117</v>
      </c>
    </row>
    <row r="8583">
      <c r="H8583" t="s">
        <v>5117</v>
      </c>
    </row>
    <row r="8584">
      <c r="H8584" t="s">
        <v>5117</v>
      </c>
    </row>
    <row r="8585">
      <c r="H8585" t="s">
        <v>5117</v>
      </c>
    </row>
    <row r="8586">
      <c r="H8586" t="s">
        <v>5117</v>
      </c>
    </row>
    <row r="8587">
      <c r="H8587" t="s">
        <v>5117</v>
      </c>
    </row>
    <row r="8588">
      <c r="H8588" t="s">
        <v>5117</v>
      </c>
    </row>
    <row r="8589">
      <c r="H8589" t="s">
        <v>5117</v>
      </c>
    </row>
    <row r="8590">
      <c r="H8590" t="s">
        <v>5117</v>
      </c>
    </row>
    <row r="8591">
      <c r="H8591" t="s">
        <v>5117</v>
      </c>
    </row>
    <row r="8592">
      <c r="H8592" t="s">
        <v>5117</v>
      </c>
    </row>
    <row r="8593">
      <c r="H8593" t="s">
        <v>5117</v>
      </c>
    </row>
    <row r="8594">
      <c r="H8594" t="s">
        <v>5117</v>
      </c>
    </row>
    <row r="8595">
      <c r="H8595" t="s">
        <v>5117</v>
      </c>
    </row>
    <row r="8596">
      <c r="H8596" t="s">
        <v>5117</v>
      </c>
    </row>
    <row r="8597">
      <c r="H8597" t="s">
        <v>5117</v>
      </c>
    </row>
    <row r="8598">
      <c r="H8598" t="s">
        <v>5117</v>
      </c>
    </row>
    <row r="8599">
      <c r="H8599" t="s">
        <v>5117</v>
      </c>
    </row>
    <row r="8600">
      <c r="H8600" t="s">
        <v>5117</v>
      </c>
    </row>
    <row r="8601">
      <c r="H8601" t="s">
        <v>5117</v>
      </c>
    </row>
    <row r="8602">
      <c r="H8602" t="s">
        <v>5117</v>
      </c>
    </row>
    <row r="8603">
      <c r="H8603" t="s">
        <v>5117</v>
      </c>
    </row>
    <row r="8604">
      <c r="H8604" t="s">
        <v>5117</v>
      </c>
    </row>
    <row r="8605">
      <c r="H8605" t="s">
        <v>5117</v>
      </c>
    </row>
    <row r="8606">
      <c r="H8606" t="s">
        <v>5117</v>
      </c>
    </row>
    <row r="8607">
      <c r="H8607" t="s">
        <v>5117</v>
      </c>
    </row>
    <row r="8608">
      <c r="H8608" t="s">
        <v>5117</v>
      </c>
    </row>
    <row r="8609">
      <c r="H8609" t="s">
        <v>5117</v>
      </c>
    </row>
    <row r="8610">
      <c r="H8610" t="s">
        <v>5117</v>
      </c>
    </row>
    <row r="8611">
      <c r="H8611" t="s">
        <v>5117</v>
      </c>
    </row>
    <row r="8612">
      <c r="H8612" t="s">
        <v>5117</v>
      </c>
    </row>
    <row r="8613">
      <c r="H8613" t="s">
        <v>5117</v>
      </c>
    </row>
    <row r="8614">
      <c r="H8614" t="s">
        <v>5117</v>
      </c>
    </row>
    <row r="8615">
      <c r="H8615" t="s">
        <v>5117</v>
      </c>
    </row>
    <row r="8616">
      <c r="H8616" t="s">
        <v>5117</v>
      </c>
    </row>
    <row r="8617">
      <c r="H8617" t="s">
        <v>5117</v>
      </c>
    </row>
    <row r="8618">
      <c r="H8618" t="s">
        <v>5117</v>
      </c>
    </row>
    <row r="8619">
      <c r="H8619" t="s">
        <v>5117</v>
      </c>
    </row>
    <row r="8620">
      <c r="H8620" t="s">
        <v>5117</v>
      </c>
    </row>
    <row r="8621">
      <c r="H8621" t="s">
        <v>5117</v>
      </c>
    </row>
    <row r="8622">
      <c r="H8622" t="s">
        <v>5117</v>
      </c>
    </row>
    <row r="8623">
      <c r="H8623" t="s">
        <v>5117</v>
      </c>
    </row>
    <row r="8624">
      <c r="H8624" t="s">
        <v>5117</v>
      </c>
    </row>
    <row r="8625">
      <c r="H8625" t="s">
        <v>5117</v>
      </c>
    </row>
    <row r="8626">
      <c r="H8626" t="s">
        <v>5117</v>
      </c>
    </row>
    <row r="8627">
      <c r="H8627" t="s">
        <v>5117</v>
      </c>
    </row>
    <row r="8628">
      <c r="H8628" t="s">
        <v>5117</v>
      </c>
    </row>
    <row r="8629">
      <c r="H8629" t="s">
        <v>5117</v>
      </c>
    </row>
    <row r="8630">
      <c r="H8630" t="s">
        <v>5117</v>
      </c>
    </row>
    <row r="8631">
      <c r="H8631" t="s">
        <v>5117</v>
      </c>
    </row>
    <row r="8632">
      <c r="H8632" t="s">
        <v>5117</v>
      </c>
    </row>
    <row r="8633">
      <c r="H8633" t="s">
        <v>5117</v>
      </c>
    </row>
    <row r="8634">
      <c r="H8634" t="s">
        <v>5117</v>
      </c>
    </row>
    <row r="8635">
      <c r="H8635" t="s">
        <v>5117</v>
      </c>
    </row>
    <row r="8636">
      <c r="H8636" t="s">
        <v>5117</v>
      </c>
    </row>
    <row r="8637">
      <c r="H8637" t="s">
        <v>5117</v>
      </c>
    </row>
    <row r="8638">
      <c r="H8638" t="s">
        <v>5117</v>
      </c>
    </row>
    <row r="8639">
      <c r="H8639" t="s">
        <v>5117</v>
      </c>
    </row>
    <row r="8640">
      <c r="H8640" t="s">
        <v>5117</v>
      </c>
    </row>
    <row r="8641">
      <c r="H8641" t="s">
        <v>5117</v>
      </c>
    </row>
    <row r="8642">
      <c r="H8642" t="s">
        <v>5117</v>
      </c>
    </row>
    <row r="8643">
      <c r="H8643" t="s">
        <v>5117</v>
      </c>
    </row>
    <row r="8644">
      <c r="H8644" t="s">
        <v>5117</v>
      </c>
    </row>
    <row r="8645">
      <c r="H8645" t="s">
        <v>5117</v>
      </c>
    </row>
    <row r="8646">
      <c r="H8646" t="s">
        <v>5117</v>
      </c>
    </row>
    <row r="8647">
      <c r="H8647" t="s">
        <v>5117</v>
      </c>
    </row>
    <row r="8648">
      <c r="H8648" t="s">
        <v>5117</v>
      </c>
    </row>
    <row r="8649">
      <c r="H8649" t="s">
        <v>5117</v>
      </c>
    </row>
    <row r="8650">
      <c r="H8650" t="s">
        <v>5117</v>
      </c>
    </row>
    <row r="8651">
      <c r="H8651" t="s">
        <v>5117</v>
      </c>
    </row>
    <row r="8652">
      <c r="H8652" t="s">
        <v>5117</v>
      </c>
    </row>
    <row r="8653">
      <c r="H8653" t="s">
        <v>5117</v>
      </c>
    </row>
    <row r="8654">
      <c r="H8654" t="s">
        <v>5117</v>
      </c>
    </row>
    <row r="8655">
      <c r="H8655" t="s">
        <v>5117</v>
      </c>
    </row>
    <row r="8656">
      <c r="H8656" t="s">
        <v>5117</v>
      </c>
    </row>
    <row r="8657">
      <c r="H8657" t="s">
        <v>5117</v>
      </c>
    </row>
    <row r="8658">
      <c r="H8658" t="s">
        <v>5117</v>
      </c>
    </row>
    <row r="8659">
      <c r="H8659" t="s">
        <v>5117</v>
      </c>
    </row>
    <row r="8660">
      <c r="H8660" t="s">
        <v>5117</v>
      </c>
    </row>
    <row r="8661">
      <c r="H8661" t="s">
        <v>5117</v>
      </c>
    </row>
    <row r="8662">
      <c r="H8662" t="s">
        <v>5117</v>
      </c>
    </row>
    <row r="8663">
      <c r="H8663" t="s">
        <v>5117</v>
      </c>
    </row>
    <row r="8664">
      <c r="H8664" t="s">
        <v>5117</v>
      </c>
    </row>
    <row r="8665">
      <c r="H8665" t="s">
        <v>5117</v>
      </c>
    </row>
    <row r="8666">
      <c r="H8666" t="s">
        <v>5117</v>
      </c>
    </row>
    <row r="8667">
      <c r="H8667" t="s">
        <v>5117</v>
      </c>
    </row>
    <row r="8668">
      <c r="H8668" t="s">
        <v>5117</v>
      </c>
    </row>
    <row r="8669">
      <c r="H8669" t="s">
        <v>5117</v>
      </c>
    </row>
    <row r="8670">
      <c r="H8670" t="s">
        <v>5117</v>
      </c>
    </row>
    <row r="8671">
      <c r="H8671" t="s">
        <v>5117</v>
      </c>
    </row>
    <row r="8672">
      <c r="H8672" t="s">
        <v>5117</v>
      </c>
    </row>
    <row r="8673">
      <c r="H8673" t="s">
        <v>5117</v>
      </c>
    </row>
    <row r="8674">
      <c r="H8674" t="s">
        <v>5117</v>
      </c>
    </row>
    <row r="8675">
      <c r="H8675" t="s">
        <v>5117</v>
      </c>
    </row>
    <row r="8676">
      <c r="H8676" t="s">
        <v>5117</v>
      </c>
    </row>
    <row r="8677">
      <c r="H8677" t="s">
        <v>5117</v>
      </c>
    </row>
    <row r="8678">
      <c r="H8678" t="s">
        <v>5117</v>
      </c>
    </row>
    <row r="8679">
      <c r="H8679" t="s">
        <v>5117</v>
      </c>
    </row>
    <row r="8680">
      <c r="H8680" t="s">
        <v>5117</v>
      </c>
    </row>
    <row r="8681">
      <c r="H8681" t="s">
        <v>5117</v>
      </c>
    </row>
    <row r="8682">
      <c r="H8682" t="s">
        <v>5117</v>
      </c>
    </row>
    <row r="8683">
      <c r="H8683" t="s">
        <v>5117</v>
      </c>
    </row>
    <row r="8684">
      <c r="H8684" t="s">
        <v>5117</v>
      </c>
    </row>
    <row r="8685">
      <c r="H8685" t="s">
        <v>5117</v>
      </c>
    </row>
    <row r="8686">
      <c r="H8686" t="s">
        <v>5117</v>
      </c>
    </row>
    <row r="8687">
      <c r="H8687" t="s">
        <v>5117</v>
      </c>
    </row>
    <row r="8688">
      <c r="H8688" t="s">
        <v>5117</v>
      </c>
    </row>
    <row r="8689">
      <c r="H8689" t="s">
        <v>5117</v>
      </c>
    </row>
    <row r="8690">
      <c r="H8690" t="s">
        <v>5117</v>
      </c>
    </row>
    <row r="8691">
      <c r="H8691" t="s">
        <v>5117</v>
      </c>
    </row>
    <row r="8692">
      <c r="H8692" t="s">
        <v>5117</v>
      </c>
    </row>
    <row r="8693">
      <c r="H8693" t="s">
        <v>5117</v>
      </c>
    </row>
    <row r="8694">
      <c r="H8694" t="s">
        <v>5117</v>
      </c>
    </row>
    <row r="8695">
      <c r="H8695" t="s">
        <v>5117</v>
      </c>
    </row>
    <row r="8696">
      <c r="H8696" t="s">
        <v>5117</v>
      </c>
    </row>
    <row r="8697">
      <c r="H8697" t="s">
        <v>5117</v>
      </c>
    </row>
    <row r="8698">
      <c r="H8698" t="s">
        <v>5117</v>
      </c>
    </row>
    <row r="8699">
      <c r="H8699" t="s">
        <v>5117</v>
      </c>
    </row>
    <row r="8700">
      <c r="H8700" t="s">
        <v>5117</v>
      </c>
    </row>
    <row r="8701">
      <c r="H8701" t="s">
        <v>5117</v>
      </c>
    </row>
    <row r="8702">
      <c r="H8702" t="s">
        <v>5117</v>
      </c>
    </row>
    <row r="8703">
      <c r="H8703" t="s">
        <v>5117</v>
      </c>
    </row>
    <row r="8704">
      <c r="H8704" t="s">
        <v>5117</v>
      </c>
    </row>
    <row r="8705">
      <c r="H8705" t="s">
        <v>5117</v>
      </c>
    </row>
    <row r="8706">
      <c r="H8706" t="s">
        <v>5117</v>
      </c>
    </row>
    <row r="8707">
      <c r="H8707" t="s">
        <v>5117</v>
      </c>
    </row>
    <row r="8708">
      <c r="H8708" t="s">
        <v>5117</v>
      </c>
    </row>
    <row r="8709">
      <c r="H8709" t="s">
        <v>5117</v>
      </c>
    </row>
    <row r="8710">
      <c r="H8710" t="s">
        <v>5117</v>
      </c>
    </row>
    <row r="8711">
      <c r="H8711" t="s">
        <v>5117</v>
      </c>
    </row>
    <row r="8712">
      <c r="H8712" t="s">
        <v>5117</v>
      </c>
    </row>
    <row r="8713">
      <c r="H8713" t="s">
        <v>5117</v>
      </c>
    </row>
    <row r="8714">
      <c r="H8714" t="s">
        <v>5117</v>
      </c>
    </row>
    <row r="8715">
      <c r="H8715" t="s">
        <v>5117</v>
      </c>
    </row>
    <row r="8716">
      <c r="H8716" t="s">
        <v>5117</v>
      </c>
    </row>
    <row r="8717">
      <c r="H8717" t="s">
        <v>5117</v>
      </c>
    </row>
    <row r="8718">
      <c r="H8718" t="s">
        <v>5117</v>
      </c>
    </row>
    <row r="8719">
      <c r="H8719" t="s">
        <v>5117</v>
      </c>
    </row>
    <row r="8720">
      <c r="H8720" t="s">
        <v>5117</v>
      </c>
    </row>
    <row r="8721">
      <c r="H8721" t="s">
        <v>5117</v>
      </c>
    </row>
    <row r="8722">
      <c r="H8722" t="s">
        <v>5117</v>
      </c>
    </row>
    <row r="8723">
      <c r="H8723" t="s">
        <v>5117</v>
      </c>
    </row>
    <row r="8724">
      <c r="H8724" t="s">
        <v>5117</v>
      </c>
    </row>
    <row r="8725">
      <c r="H8725" t="s">
        <v>5117</v>
      </c>
    </row>
    <row r="8726">
      <c r="H8726" t="s">
        <v>5117</v>
      </c>
    </row>
    <row r="8727">
      <c r="H8727" t="s">
        <v>5117</v>
      </c>
    </row>
    <row r="8728">
      <c r="H8728" t="s">
        <v>5117</v>
      </c>
    </row>
    <row r="8729">
      <c r="H8729" t="s">
        <v>5117</v>
      </c>
    </row>
    <row r="8730">
      <c r="H8730" t="s">
        <v>5117</v>
      </c>
    </row>
    <row r="8731">
      <c r="H8731" t="s">
        <v>5117</v>
      </c>
    </row>
    <row r="8732">
      <c r="H8732" t="s">
        <v>5117</v>
      </c>
    </row>
    <row r="8733">
      <c r="H8733" t="s">
        <v>5117</v>
      </c>
    </row>
    <row r="8734">
      <c r="H8734" t="s">
        <v>5117</v>
      </c>
    </row>
    <row r="8735">
      <c r="H8735" t="s">
        <v>5117</v>
      </c>
    </row>
    <row r="8736">
      <c r="H8736" t="s">
        <v>5117</v>
      </c>
    </row>
    <row r="8737">
      <c r="H8737" t="s">
        <v>5117</v>
      </c>
    </row>
    <row r="8738">
      <c r="H8738" t="s">
        <v>5117</v>
      </c>
    </row>
    <row r="8739">
      <c r="H8739" t="s">
        <v>5117</v>
      </c>
    </row>
    <row r="8740">
      <c r="H8740" t="s">
        <v>5117</v>
      </c>
    </row>
    <row r="8741">
      <c r="H8741" t="s">
        <v>5117</v>
      </c>
    </row>
    <row r="8742">
      <c r="H8742" t="s">
        <v>5117</v>
      </c>
    </row>
    <row r="8743">
      <c r="H8743" t="s">
        <v>5117</v>
      </c>
    </row>
    <row r="8744">
      <c r="H8744" t="s">
        <v>5117</v>
      </c>
    </row>
    <row r="8745">
      <c r="H8745" t="s">
        <v>5117</v>
      </c>
    </row>
    <row r="8746">
      <c r="H8746" t="s">
        <v>5117</v>
      </c>
    </row>
    <row r="8747">
      <c r="H8747" t="s">
        <v>5117</v>
      </c>
    </row>
    <row r="8748">
      <c r="H8748" t="s">
        <v>5117</v>
      </c>
    </row>
    <row r="8749">
      <c r="H8749" t="s">
        <v>5117</v>
      </c>
    </row>
    <row r="8750">
      <c r="H8750" t="s">
        <v>5117</v>
      </c>
    </row>
    <row r="8751">
      <c r="H8751" t="s">
        <v>5117</v>
      </c>
    </row>
    <row r="8752">
      <c r="H8752" t="s">
        <v>5117</v>
      </c>
    </row>
    <row r="8753">
      <c r="H8753" t="s">
        <v>5117</v>
      </c>
    </row>
    <row r="8754">
      <c r="H8754" t="s">
        <v>5117</v>
      </c>
    </row>
    <row r="8755">
      <c r="H8755" t="s">
        <v>5117</v>
      </c>
    </row>
    <row r="8756">
      <c r="H8756" t="s">
        <v>5117</v>
      </c>
    </row>
    <row r="8757">
      <c r="H8757" t="s">
        <v>5117</v>
      </c>
    </row>
    <row r="8758">
      <c r="H8758" t="s">
        <v>5117</v>
      </c>
    </row>
    <row r="8759">
      <c r="H8759" t="s">
        <v>5117</v>
      </c>
    </row>
    <row r="8760">
      <c r="H8760" t="s">
        <v>5117</v>
      </c>
    </row>
    <row r="8761">
      <c r="H8761" t="s">
        <v>5117</v>
      </c>
    </row>
    <row r="8762">
      <c r="H8762" t="s">
        <v>5117</v>
      </c>
    </row>
    <row r="8763">
      <c r="H8763" t="s">
        <v>5117</v>
      </c>
    </row>
    <row r="8764">
      <c r="H8764" t="s">
        <v>5117</v>
      </c>
    </row>
    <row r="8765">
      <c r="H8765" t="s">
        <v>5117</v>
      </c>
    </row>
    <row r="8766">
      <c r="H8766" t="s">
        <v>5117</v>
      </c>
    </row>
    <row r="8767">
      <c r="H8767" t="s">
        <v>5117</v>
      </c>
    </row>
    <row r="8768">
      <c r="H8768" t="s">
        <v>5117</v>
      </c>
    </row>
    <row r="8769">
      <c r="H8769" t="s">
        <v>5117</v>
      </c>
    </row>
    <row r="8770">
      <c r="H8770" t="s">
        <v>5117</v>
      </c>
    </row>
    <row r="8771">
      <c r="H8771" t="s">
        <v>5117</v>
      </c>
    </row>
    <row r="8772">
      <c r="H8772" t="s">
        <v>5117</v>
      </c>
    </row>
    <row r="8773">
      <c r="H8773" t="s">
        <v>5117</v>
      </c>
    </row>
    <row r="8774">
      <c r="H8774" t="s">
        <v>5117</v>
      </c>
    </row>
    <row r="8775">
      <c r="H8775" t="s">
        <v>5117</v>
      </c>
    </row>
    <row r="8776">
      <c r="H8776" t="s">
        <v>5117</v>
      </c>
    </row>
    <row r="8777">
      <c r="H8777" t="s">
        <v>5117</v>
      </c>
    </row>
    <row r="8778">
      <c r="H8778" t="s">
        <v>5117</v>
      </c>
    </row>
    <row r="8779">
      <c r="H8779" t="s">
        <v>5117</v>
      </c>
    </row>
    <row r="8780">
      <c r="H8780" t="s">
        <v>5117</v>
      </c>
    </row>
    <row r="8781">
      <c r="H8781" t="s">
        <v>5117</v>
      </c>
    </row>
    <row r="8782">
      <c r="H8782" t="s">
        <v>5117</v>
      </c>
    </row>
    <row r="8783">
      <c r="H8783" t="s">
        <v>5117</v>
      </c>
    </row>
    <row r="8784">
      <c r="H8784" t="s">
        <v>5117</v>
      </c>
    </row>
    <row r="8785">
      <c r="H8785" t="s">
        <v>5117</v>
      </c>
    </row>
    <row r="8786">
      <c r="H8786" t="s">
        <v>5117</v>
      </c>
    </row>
    <row r="8787">
      <c r="H8787" t="s">
        <v>5117</v>
      </c>
    </row>
    <row r="8788">
      <c r="H8788" t="s">
        <v>5117</v>
      </c>
    </row>
    <row r="8789">
      <c r="H8789" t="s">
        <v>5117</v>
      </c>
    </row>
    <row r="8790">
      <c r="H8790" t="s">
        <v>5117</v>
      </c>
    </row>
    <row r="8791">
      <c r="H8791" t="s">
        <v>5117</v>
      </c>
    </row>
    <row r="8792">
      <c r="H8792" t="s">
        <v>5117</v>
      </c>
    </row>
    <row r="8793">
      <c r="H8793" t="s">
        <v>5117</v>
      </c>
    </row>
    <row r="8794">
      <c r="H8794" t="s">
        <v>5117</v>
      </c>
    </row>
    <row r="8795">
      <c r="H8795" t="s">
        <v>5117</v>
      </c>
    </row>
    <row r="8796">
      <c r="H8796" t="s">
        <v>5117</v>
      </c>
    </row>
    <row r="8797">
      <c r="H8797" t="s">
        <v>5117</v>
      </c>
    </row>
    <row r="8798">
      <c r="H8798" t="s">
        <v>5117</v>
      </c>
    </row>
    <row r="8799">
      <c r="H8799" t="s">
        <v>5117</v>
      </c>
    </row>
    <row r="8800">
      <c r="H8800" t="s">
        <v>5117</v>
      </c>
    </row>
    <row r="8801">
      <c r="H8801" t="s">
        <v>5117</v>
      </c>
    </row>
    <row r="8802">
      <c r="H8802" t="s">
        <v>5117</v>
      </c>
    </row>
    <row r="8803">
      <c r="H8803" t="s">
        <v>5117</v>
      </c>
    </row>
    <row r="8804">
      <c r="H8804" t="s">
        <v>5117</v>
      </c>
    </row>
    <row r="8805">
      <c r="H8805" t="s">
        <v>5117</v>
      </c>
    </row>
    <row r="8806">
      <c r="H8806" t="s">
        <v>5117</v>
      </c>
    </row>
    <row r="8807">
      <c r="H8807" t="s">
        <v>5117</v>
      </c>
    </row>
    <row r="8808">
      <c r="H8808" t="s">
        <v>5117</v>
      </c>
    </row>
    <row r="8809">
      <c r="H8809" t="s">
        <v>5117</v>
      </c>
    </row>
    <row r="8810">
      <c r="H8810" t="s">
        <v>5117</v>
      </c>
    </row>
    <row r="8811">
      <c r="H8811" t="s">
        <v>5117</v>
      </c>
    </row>
    <row r="8812">
      <c r="H8812" t="s">
        <v>5117</v>
      </c>
    </row>
    <row r="8813">
      <c r="H8813" t="s">
        <v>5117</v>
      </c>
    </row>
    <row r="8814">
      <c r="H8814" t="s">
        <v>5117</v>
      </c>
    </row>
    <row r="8815">
      <c r="H8815" t="s">
        <v>5117</v>
      </c>
    </row>
    <row r="8816">
      <c r="H8816" t="s">
        <v>5117</v>
      </c>
    </row>
    <row r="8817">
      <c r="H8817" t="s">
        <v>5117</v>
      </c>
    </row>
    <row r="8818">
      <c r="H8818" t="s">
        <v>5117</v>
      </c>
    </row>
    <row r="8819">
      <c r="H8819" t="s">
        <v>5117</v>
      </c>
    </row>
    <row r="8820">
      <c r="H8820" t="s">
        <v>5117</v>
      </c>
    </row>
    <row r="8821">
      <c r="H8821" t="s">
        <v>5117</v>
      </c>
    </row>
    <row r="8822">
      <c r="H8822" t="s">
        <v>5117</v>
      </c>
    </row>
    <row r="8823">
      <c r="H8823" t="s">
        <v>5117</v>
      </c>
    </row>
    <row r="8824">
      <c r="H8824" t="s">
        <v>5117</v>
      </c>
    </row>
    <row r="8825">
      <c r="H8825" t="s">
        <v>5117</v>
      </c>
    </row>
    <row r="8826">
      <c r="H8826" t="s">
        <v>5117</v>
      </c>
    </row>
    <row r="8827">
      <c r="H8827" t="s">
        <v>5117</v>
      </c>
    </row>
    <row r="8828">
      <c r="H8828" t="s">
        <v>5117</v>
      </c>
    </row>
    <row r="8829">
      <c r="H8829" t="s">
        <v>5117</v>
      </c>
    </row>
    <row r="8830">
      <c r="H8830" t="s">
        <v>5117</v>
      </c>
    </row>
    <row r="8831">
      <c r="H8831" t="s">
        <v>5117</v>
      </c>
    </row>
    <row r="8832">
      <c r="H8832" t="s">
        <v>5117</v>
      </c>
    </row>
    <row r="8833">
      <c r="H8833" t="s">
        <v>5117</v>
      </c>
    </row>
    <row r="8834">
      <c r="H8834" t="s">
        <v>5117</v>
      </c>
    </row>
    <row r="8835">
      <c r="H8835" t="s">
        <v>5117</v>
      </c>
    </row>
    <row r="8836">
      <c r="H8836" t="s">
        <v>5117</v>
      </c>
    </row>
    <row r="8837">
      <c r="H8837" t="s">
        <v>5117</v>
      </c>
    </row>
    <row r="8838">
      <c r="H8838" t="s">
        <v>5117</v>
      </c>
    </row>
    <row r="8839">
      <c r="H8839" t="s">
        <v>5117</v>
      </c>
    </row>
    <row r="8840">
      <c r="H8840" t="s">
        <v>5117</v>
      </c>
    </row>
    <row r="8841">
      <c r="H8841" t="s">
        <v>5117</v>
      </c>
    </row>
    <row r="8842">
      <c r="H8842" t="s">
        <v>5117</v>
      </c>
    </row>
    <row r="8843">
      <c r="H8843" t="s">
        <v>5117</v>
      </c>
    </row>
    <row r="8844">
      <c r="H8844" t="s">
        <v>5117</v>
      </c>
    </row>
    <row r="8845">
      <c r="H8845" t="s">
        <v>5117</v>
      </c>
    </row>
    <row r="8846">
      <c r="H8846" t="s">
        <v>5117</v>
      </c>
    </row>
    <row r="8847">
      <c r="H8847" t="s">
        <v>5117</v>
      </c>
    </row>
    <row r="8848">
      <c r="H8848" t="s">
        <v>5117</v>
      </c>
    </row>
    <row r="8849">
      <c r="H8849" t="s">
        <v>5117</v>
      </c>
    </row>
    <row r="8850">
      <c r="H8850" t="s">
        <v>5117</v>
      </c>
    </row>
    <row r="8851">
      <c r="H8851" t="s">
        <v>5117</v>
      </c>
    </row>
    <row r="8852">
      <c r="H8852" t="s">
        <v>5117</v>
      </c>
    </row>
    <row r="8853">
      <c r="H8853" t="s">
        <v>5117</v>
      </c>
    </row>
    <row r="8854">
      <c r="H8854" t="s">
        <v>5117</v>
      </c>
    </row>
    <row r="8855">
      <c r="H8855" t="s">
        <v>5117</v>
      </c>
    </row>
    <row r="8856">
      <c r="H8856" t="s">
        <v>5117</v>
      </c>
    </row>
    <row r="8857">
      <c r="H8857" t="s">
        <v>5117</v>
      </c>
    </row>
    <row r="8858">
      <c r="H8858" t="s">
        <v>5117</v>
      </c>
    </row>
    <row r="8859">
      <c r="H8859" t="s">
        <v>5117</v>
      </c>
    </row>
    <row r="8860">
      <c r="H8860" t="s">
        <v>5117</v>
      </c>
    </row>
    <row r="8861">
      <c r="H8861" t="s">
        <v>5117</v>
      </c>
    </row>
    <row r="8862">
      <c r="H8862" t="s">
        <v>5117</v>
      </c>
    </row>
    <row r="8863">
      <c r="H8863" t="s">
        <v>5117</v>
      </c>
    </row>
    <row r="8864">
      <c r="H8864" t="s">
        <v>5117</v>
      </c>
    </row>
    <row r="8865">
      <c r="H8865" t="s">
        <v>5117</v>
      </c>
    </row>
    <row r="8866">
      <c r="H8866" t="s">
        <v>5117</v>
      </c>
    </row>
    <row r="8867">
      <c r="H8867" t="s">
        <v>5117</v>
      </c>
    </row>
    <row r="8868">
      <c r="H8868" t="s">
        <v>5117</v>
      </c>
    </row>
    <row r="8869">
      <c r="H8869" t="s">
        <v>5117</v>
      </c>
    </row>
    <row r="8870">
      <c r="H8870" t="s">
        <v>5117</v>
      </c>
    </row>
    <row r="8871">
      <c r="H8871" t="s">
        <v>5117</v>
      </c>
    </row>
    <row r="8872">
      <c r="H8872" t="s">
        <v>5117</v>
      </c>
    </row>
    <row r="8873">
      <c r="H8873" t="s">
        <v>5117</v>
      </c>
    </row>
    <row r="8874">
      <c r="H8874" t="s">
        <v>5117</v>
      </c>
    </row>
    <row r="8875">
      <c r="H8875" t="s">
        <v>5117</v>
      </c>
    </row>
    <row r="8876">
      <c r="H8876" t="s">
        <v>5117</v>
      </c>
    </row>
    <row r="8877">
      <c r="H8877" t="s">
        <v>5117</v>
      </c>
    </row>
    <row r="8878">
      <c r="H8878" t="s">
        <v>5117</v>
      </c>
    </row>
    <row r="8879">
      <c r="H8879" t="s">
        <v>5117</v>
      </c>
    </row>
    <row r="8880">
      <c r="H8880" t="s">
        <v>5117</v>
      </c>
    </row>
    <row r="8881">
      <c r="H8881" t="s">
        <v>5117</v>
      </c>
    </row>
    <row r="8882">
      <c r="H8882" t="s">
        <v>5117</v>
      </c>
    </row>
    <row r="8883">
      <c r="H8883" t="s">
        <v>5117</v>
      </c>
    </row>
    <row r="8884">
      <c r="H8884" t="s">
        <v>5117</v>
      </c>
    </row>
    <row r="8885">
      <c r="H8885" t="s">
        <v>5117</v>
      </c>
    </row>
    <row r="8886">
      <c r="H8886" t="s">
        <v>5117</v>
      </c>
    </row>
    <row r="8887">
      <c r="H8887" t="s">
        <v>5117</v>
      </c>
    </row>
    <row r="8888">
      <c r="H8888" t="s">
        <v>5117</v>
      </c>
    </row>
    <row r="8889">
      <c r="H8889" t="s">
        <v>5117</v>
      </c>
    </row>
    <row r="8890">
      <c r="H8890" t="s">
        <v>5117</v>
      </c>
    </row>
    <row r="8891">
      <c r="H8891" t="s">
        <v>5117</v>
      </c>
    </row>
    <row r="8892">
      <c r="H8892" t="s">
        <v>5117</v>
      </c>
    </row>
    <row r="8893">
      <c r="H8893" t="s">
        <v>5117</v>
      </c>
    </row>
    <row r="8894">
      <c r="H8894" t="s">
        <v>5117</v>
      </c>
    </row>
    <row r="8895">
      <c r="H8895" t="s">
        <v>5117</v>
      </c>
    </row>
    <row r="8896">
      <c r="H8896" t="s">
        <v>5117</v>
      </c>
    </row>
    <row r="8897">
      <c r="H8897" t="s">
        <v>5117</v>
      </c>
    </row>
    <row r="8898">
      <c r="H8898" t="s">
        <v>5117</v>
      </c>
    </row>
    <row r="8899">
      <c r="H8899" t="s">
        <v>5117</v>
      </c>
    </row>
    <row r="8900">
      <c r="H8900" t="s">
        <v>5117</v>
      </c>
    </row>
    <row r="8901">
      <c r="H8901" t="s">
        <v>5117</v>
      </c>
    </row>
    <row r="8902">
      <c r="H8902" t="s">
        <v>5117</v>
      </c>
    </row>
    <row r="8903">
      <c r="H8903" t="s">
        <v>5117</v>
      </c>
    </row>
    <row r="8904">
      <c r="H8904" t="s">
        <v>5117</v>
      </c>
    </row>
    <row r="8905">
      <c r="H8905" t="s">
        <v>5117</v>
      </c>
    </row>
    <row r="8906">
      <c r="H8906" t="s">
        <v>5117</v>
      </c>
    </row>
    <row r="8907">
      <c r="H8907" t="s">
        <v>5117</v>
      </c>
    </row>
    <row r="8908">
      <c r="H8908" t="s">
        <v>5117</v>
      </c>
    </row>
    <row r="8909">
      <c r="H8909" t="s">
        <v>5117</v>
      </c>
    </row>
    <row r="8910">
      <c r="H8910" t="s">
        <v>5117</v>
      </c>
    </row>
    <row r="8911">
      <c r="H8911" t="s">
        <v>5117</v>
      </c>
    </row>
    <row r="8912">
      <c r="H8912" t="s">
        <v>5117</v>
      </c>
    </row>
    <row r="8913">
      <c r="H8913" t="s">
        <v>5117</v>
      </c>
    </row>
    <row r="8914">
      <c r="H8914" t="s">
        <v>5117</v>
      </c>
    </row>
    <row r="8915">
      <c r="H8915" t="s">
        <v>5117</v>
      </c>
    </row>
    <row r="8916">
      <c r="H8916" t="s">
        <v>5117</v>
      </c>
    </row>
    <row r="8917">
      <c r="H8917" t="s">
        <v>5117</v>
      </c>
    </row>
    <row r="8918">
      <c r="H8918" t="s">
        <v>5117</v>
      </c>
    </row>
    <row r="8919">
      <c r="H8919" t="s">
        <v>5117</v>
      </c>
    </row>
    <row r="8920">
      <c r="H8920" t="s">
        <v>5117</v>
      </c>
    </row>
    <row r="8921">
      <c r="H8921" t="s">
        <v>5117</v>
      </c>
    </row>
    <row r="8922">
      <c r="H8922" t="s">
        <v>5117</v>
      </c>
    </row>
    <row r="8923">
      <c r="H8923" t="s">
        <v>5117</v>
      </c>
    </row>
    <row r="8924">
      <c r="H8924" t="s">
        <v>5117</v>
      </c>
    </row>
    <row r="8925">
      <c r="H8925" t="s">
        <v>5117</v>
      </c>
    </row>
    <row r="8926">
      <c r="H8926" t="s">
        <v>5117</v>
      </c>
    </row>
    <row r="8927">
      <c r="H8927" t="s">
        <v>5117</v>
      </c>
    </row>
    <row r="8928">
      <c r="H8928" t="s">
        <v>5117</v>
      </c>
    </row>
    <row r="8929">
      <c r="H8929" t="s">
        <v>5117</v>
      </c>
    </row>
    <row r="8930">
      <c r="H8930" t="s">
        <v>5117</v>
      </c>
    </row>
    <row r="8931">
      <c r="H8931" t="s">
        <v>5117</v>
      </c>
    </row>
    <row r="8932">
      <c r="H8932" t="s">
        <v>5117</v>
      </c>
    </row>
    <row r="8933">
      <c r="H8933" t="s">
        <v>5117</v>
      </c>
    </row>
    <row r="8934">
      <c r="H8934" t="s">
        <v>5117</v>
      </c>
    </row>
    <row r="8935">
      <c r="H8935" t="s">
        <v>5117</v>
      </c>
    </row>
    <row r="8936">
      <c r="H8936" t="s">
        <v>5117</v>
      </c>
    </row>
    <row r="8937">
      <c r="H8937" t="s">
        <v>5117</v>
      </c>
    </row>
    <row r="8938">
      <c r="H8938" t="s">
        <v>5117</v>
      </c>
    </row>
    <row r="8939">
      <c r="H8939" t="s">
        <v>5117</v>
      </c>
    </row>
    <row r="8940">
      <c r="H8940" t="s">
        <v>5117</v>
      </c>
    </row>
    <row r="8941">
      <c r="H8941" t="s">
        <v>5117</v>
      </c>
    </row>
    <row r="8942">
      <c r="H8942" t="s">
        <v>5117</v>
      </c>
    </row>
    <row r="8943">
      <c r="H8943" t="s">
        <v>5117</v>
      </c>
    </row>
    <row r="8944">
      <c r="H8944" t="s">
        <v>5117</v>
      </c>
    </row>
    <row r="8945">
      <c r="H8945" t="s">
        <v>5117</v>
      </c>
    </row>
    <row r="8946">
      <c r="H8946" t="s">
        <v>5117</v>
      </c>
    </row>
    <row r="8947">
      <c r="H8947" t="s">
        <v>5117</v>
      </c>
    </row>
    <row r="8948">
      <c r="H8948" t="s">
        <v>5117</v>
      </c>
    </row>
    <row r="8949">
      <c r="H8949" t="s">
        <v>5117</v>
      </c>
    </row>
    <row r="8950">
      <c r="H8950" t="s">
        <v>5117</v>
      </c>
    </row>
    <row r="8951">
      <c r="H8951" t="s">
        <v>5117</v>
      </c>
    </row>
    <row r="8952">
      <c r="H8952" t="s">
        <v>5117</v>
      </c>
    </row>
    <row r="8953">
      <c r="H8953" t="s">
        <v>5117</v>
      </c>
    </row>
    <row r="8954">
      <c r="H8954" t="s">
        <v>5117</v>
      </c>
    </row>
    <row r="8955">
      <c r="H8955" t="s">
        <v>5117</v>
      </c>
    </row>
    <row r="8956">
      <c r="H8956" t="s">
        <v>5117</v>
      </c>
    </row>
    <row r="8957">
      <c r="H8957" t="s">
        <v>5117</v>
      </c>
    </row>
    <row r="8958">
      <c r="H8958" t="s">
        <v>5117</v>
      </c>
    </row>
    <row r="8959">
      <c r="H8959" t="s">
        <v>5117</v>
      </c>
    </row>
    <row r="8960">
      <c r="H8960" t="s">
        <v>5117</v>
      </c>
    </row>
    <row r="8961">
      <c r="H8961" t="s">
        <v>5117</v>
      </c>
    </row>
    <row r="8962">
      <c r="H8962" t="s">
        <v>5117</v>
      </c>
    </row>
    <row r="8963">
      <c r="H8963" t="s">
        <v>5117</v>
      </c>
    </row>
    <row r="8964">
      <c r="H8964" t="s">
        <v>5117</v>
      </c>
    </row>
    <row r="8965">
      <c r="H8965" t="s">
        <v>5117</v>
      </c>
    </row>
    <row r="8966">
      <c r="H8966" t="s">
        <v>5117</v>
      </c>
    </row>
    <row r="8967">
      <c r="H8967" t="s">
        <v>5117</v>
      </c>
    </row>
    <row r="8968">
      <c r="H8968" t="s">
        <v>5117</v>
      </c>
    </row>
    <row r="8969">
      <c r="H8969" t="s">
        <v>5117</v>
      </c>
    </row>
    <row r="8970">
      <c r="H8970" t="s">
        <v>5117</v>
      </c>
    </row>
    <row r="8971">
      <c r="H8971" t="s">
        <v>5117</v>
      </c>
    </row>
    <row r="8972">
      <c r="H8972" t="s">
        <v>5117</v>
      </c>
    </row>
    <row r="8973">
      <c r="H8973" t="s">
        <v>5117</v>
      </c>
    </row>
    <row r="8974">
      <c r="H8974" t="s">
        <v>5117</v>
      </c>
    </row>
    <row r="8975">
      <c r="H8975" t="s">
        <v>5117</v>
      </c>
    </row>
    <row r="8976">
      <c r="H8976" t="s">
        <v>5117</v>
      </c>
    </row>
    <row r="8977">
      <c r="H8977" t="s">
        <v>5117</v>
      </c>
    </row>
    <row r="8978">
      <c r="H8978" t="s">
        <v>5117</v>
      </c>
    </row>
    <row r="8979">
      <c r="H8979" t="s">
        <v>5117</v>
      </c>
    </row>
    <row r="8980">
      <c r="H8980" t="s">
        <v>5117</v>
      </c>
    </row>
    <row r="8981">
      <c r="H8981" t="s">
        <v>5117</v>
      </c>
    </row>
    <row r="8982">
      <c r="H8982" t="s">
        <v>5117</v>
      </c>
    </row>
    <row r="8983">
      <c r="H8983" t="s">
        <v>5117</v>
      </c>
    </row>
    <row r="8984">
      <c r="H8984" t="s">
        <v>5117</v>
      </c>
    </row>
    <row r="8985">
      <c r="H8985" t="s">
        <v>5117</v>
      </c>
    </row>
    <row r="8986">
      <c r="H8986" t="s">
        <v>5117</v>
      </c>
    </row>
    <row r="8987">
      <c r="H8987" t="s">
        <v>5117</v>
      </c>
    </row>
    <row r="8988">
      <c r="H8988" t="s">
        <v>5117</v>
      </c>
    </row>
    <row r="8989">
      <c r="H8989" t="s">
        <v>5117</v>
      </c>
    </row>
    <row r="8990">
      <c r="H8990" t="s">
        <v>5117</v>
      </c>
    </row>
    <row r="8991">
      <c r="H8991" t="s">
        <v>5117</v>
      </c>
    </row>
    <row r="8992">
      <c r="H8992" t="s">
        <v>5117</v>
      </c>
    </row>
    <row r="8993">
      <c r="H8993" t="s">
        <v>5117</v>
      </c>
    </row>
    <row r="8994">
      <c r="H8994" t="s">
        <v>5117</v>
      </c>
    </row>
    <row r="8995">
      <c r="H8995" t="s">
        <v>5117</v>
      </c>
    </row>
    <row r="8996">
      <c r="H8996" t="s">
        <v>5117</v>
      </c>
    </row>
    <row r="8997">
      <c r="H8997" t="s">
        <v>5117</v>
      </c>
    </row>
    <row r="8998">
      <c r="H8998" t="s">
        <v>5117</v>
      </c>
    </row>
    <row r="8999">
      <c r="H8999" t="s">
        <v>5117</v>
      </c>
    </row>
    <row r="9000">
      <c r="H9000" t="s">
        <v>5117</v>
      </c>
    </row>
    <row r="9001">
      <c r="H9001" t="s">
        <v>5117</v>
      </c>
    </row>
    <row r="9002">
      <c r="H9002" t="s">
        <v>5117</v>
      </c>
    </row>
    <row r="9003">
      <c r="H9003" t="s">
        <v>5117</v>
      </c>
    </row>
    <row r="9004">
      <c r="H9004" t="s">
        <v>5117</v>
      </c>
    </row>
    <row r="9005">
      <c r="H9005" t="s">
        <v>5117</v>
      </c>
    </row>
    <row r="9006">
      <c r="H9006" t="s">
        <v>5117</v>
      </c>
    </row>
    <row r="9007">
      <c r="H9007" t="s">
        <v>5117</v>
      </c>
    </row>
    <row r="9008">
      <c r="H9008" t="s">
        <v>5117</v>
      </c>
    </row>
    <row r="9009">
      <c r="H9009" t="s">
        <v>5117</v>
      </c>
    </row>
    <row r="9010">
      <c r="H9010" t="s">
        <v>5117</v>
      </c>
    </row>
    <row r="9011">
      <c r="H9011" t="s">
        <v>5117</v>
      </c>
    </row>
    <row r="9012">
      <c r="H9012" t="s">
        <v>5117</v>
      </c>
    </row>
    <row r="9013">
      <c r="H9013" t="s">
        <v>5117</v>
      </c>
    </row>
    <row r="9014">
      <c r="H9014" t="s">
        <v>5117</v>
      </c>
    </row>
    <row r="9015">
      <c r="H9015" t="s">
        <v>5117</v>
      </c>
    </row>
    <row r="9016">
      <c r="H9016" t="s">
        <v>5117</v>
      </c>
    </row>
    <row r="9017">
      <c r="H9017" t="s">
        <v>5117</v>
      </c>
    </row>
    <row r="9018">
      <c r="H9018" t="s">
        <v>5117</v>
      </c>
    </row>
    <row r="9019">
      <c r="H9019" t="s">
        <v>5117</v>
      </c>
    </row>
    <row r="9020">
      <c r="H9020" t="s">
        <v>5117</v>
      </c>
    </row>
    <row r="9021">
      <c r="H9021" t="s">
        <v>5117</v>
      </c>
    </row>
    <row r="9022">
      <c r="H9022" t="s">
        <v>5117</v>
      </c>
    </row>
    <row r="9023">
      <c r="H9023" t="s">
        <v>5117</v>
      </c>
    </row>
    <row r="9024">
      <c r="H9024" t="s">
        <v>5117</v>
      </c>
    </row>
    <row r="9025">
      <c r="H9025" t="s">
        <v>5117</v>
      </c>
    </row>
    <row r="9026">
      <c r="H9026" t="s">
        <v>5117</v>
      </c>
    </row>
    <row r="9027">
      <c r="H9027" t="s">
        <v>5117</v>
      </c>
    </row>
    <row r="9028">
      <c r="H9028" t="s">
        <v>5117</v>
      </c>
    </row>
    <row r="9029">
      <c r="H9029" t="s">
        <v>5117</v>
      </c>
    </row>
    <row r="9030">
      <c r="H9030" t="s">
        <v>5117</v>
      </c>
    </row>
    <row r="9031">
      <c r="H9031" t="s">
        <v>5117</v>
      </c>
    </row>
    <row r="9032">
      <c r="H9032" t="s">
        <v>5117</v>
      </c>
    </row>
    <row r="9033">
      <c r="H9033" t="s">
        <v>5117</v>
      </c>
    </row>
    <row r="9034">
      <c r="H9034" t="s">
        <v>5117</v>
      </c>
    </row>
    <row r="9035">
      <c r="H9035" t="s">
        <v>5117</v>
      </c>
    </row>
    <row r="9036">
      <c r="H9036" t="s">
        <v>5117</v>
      </c>
    </row>
    <row r="9037">
      <c r="H9037" t="s">
        <v>5117</v>
      </c>
    </row>
    <row r="9038">
      <c r="H9038" t="s">
        <v>5117</v>
      </c>
    </row>
    <row r="9039">
      <c r="H9039" t="s">
        <v>5117</v>
      </c>
    </row>
    <row r="9040">
      <c r="H9040" t="s">
        <v>5117</v>
      </c>
    </row>
    <row r="9041">
      <c r="H9041" t="s">
        <v>5117</v>
      </c>
    </row>
    <row r="9042">
      <c r="H9042" t="s">
        <v>5117</v>
      </c>
    </row>
    <row r="9043">
      <c r="H9043" t="s">
        <v>5117</v>
      </c>
    </row>
    <row r="9044">
      <c r="H9044" t="s">
        <v>5117</v>
      </c>
    </row>
    <row r="9045">
      <c r="H9045" t="s">
        <v>5117</v>
      </c>
    </row>
    <row r="9046">
      <c r="H9046" t="s">
        <v>5117</v>
      </c>
    </row>
    <row r="9047">
      <c r="H9047" t="s">
        <v>5117</v>
      </c>
    </row>
    <row r="9048">
      <c r="H9048" t="s">
        <v>5117</v>
      </c>
    </row>
    <row r="9049">
      <c r="H9049" t="s">
        <v>5117</v>
      </c>
    </row>
    <row r="9050">
      <c r="H9050" t="s">
        <v>5117</v>
      </c>
    </row>
    <row r="9051">
      <c r="H9051" t="s">
        <v>5117</v>
      </c>
    </row>
    <row r="9052">
      <c r="H9052" t="s">
        <v>5117</v>
      </c>
    </row>
    <row r="9053">
      <c r="H9053" t="s">
        <v>5117</v>
      </c>
    </row>
    <row r="9054">
      <c r="H9054" t="s">
        <v>5117</v>
      </c>
    </row>
    <row r="9055">
      <c r="H9055" t="s">
        <v>5117</v>
      </c>
    </row>
    <row r="9056">
      <c r="H9056" t="s">
        <v>5117</v>
      </c>
    </row>
    <row r="9057">
      <c r="H9057" t="s">
        <v>5117</v>
      </c>
    </row>
    <row r="9058">
      <c r="H9058" t="s">
        <v>5117</v>
      </c>
    </row>
    <row r="9059">
      <c r="H9059" t="s">
        <v>5117</v>
      </c>
    </row>
    <row r="9060">
      <c r="H9060" t="s">
        <v>5117</v>
      </c>
    </row>
    <row r="9061">
      <c r="H9061" t="s">
        <v>5117</v>
      </c>
    </row>
    <row r="9062">
      <c r="H9062" t="s">
        <v>5117</v>
      </c>
    </row>
    <row r="9063">
      <c r="H9063" t="s">
        <v>5117</v>
      </c>
    </row>
    <row r="9064">
      <c r="H9064" t="s">
        <v>5117</v>
      </c>
    </row>
    <row r="9065">
      <c r="H9065" t="s">
        <v>5117</v>
      </c>
    </row>
    <row r="9066">
      <c r="H9066" t="s">
        <v>5117</v>
      </c>
    </row>
    <row r="9067">
      <c r="H9067" t="s">
        <v>5117</v>
      </c>
    </row>
    <row r="9068">
      <c r="H9068" t="s">
        <v>5117</v>
      </c>
    </row>
    <row r="9069">
      <c r="H9069" t="s">
        <v>5117</v>
      </c>
    </row>
    <row r="9070">
      <c r="H9070" t="s">
        <v>5117</v>
      </c>
    </row>
    <row r="9071">
      <c r="H9071" t="s">
        <v>5117</v>
      </c>
    </row>
    <row r="9072">
      <c r="H9072" t="s">
        <v>5117</v>
      </c>
    </row>
    <row r="9073">
      <c r="H9073" t="s">
        <v>5117</v>
      </c>
    </row>
    <row r="9074">
      <c r="H9074" t="s">
        <v>5117</v>
      </c>
    </row>
    <row r="9075">
      <c r="H9075" t="s">
        <v>5117</v>
      </c>
    </row>
    <row r="9076">
      <c r="H9076" t="s">
        <v>5117</v>
      </c>
    </row>
    <row r="9077">
      <c r="H9077" t="s">
        <v>5117</v>
      </c>
    </row>
    <row r="9078">
      <c r="H9078" t="s">
        <v>5117</v>
      </c>
    </row>
    <row r="9079">
      <c r="H9079" t="s">
        <v>5117</v>
      </c>
    </row>
    <row r="9080">
      <c r="H9080" t="s">
        <v>5117</v>
      </c>
    </row>
    <row r="9081">
      <c r="H9081" t="s">
        <v>5117</v>
      </c>
    </row>
    <row r="9082">
      <c r="H9082" t="s">
        <v>5117</v>
      </c>
    </row>
    <row r="9083">
      <c r="H9083" t="s">
        <v>5117</v>
      </c>
    </row>
    <row r="9084">
      <c r="H9084" t="s">
        <v>5117</v>
      </c>
    </row>
    <row r="9085">
      <c r="H9085" t="s">
        <v>5117</v>
      </c>
    </row>
    <row r="9086">
      <c r="H9086" t="s">
        <v>5117</v>
      </c>
    </row>
    <row r="9087">
      <c r="H9087" t="s">
        <v>5117</v>
      </c>
    </row>
    <row r="9088">
      <c r="H9088" t="s">
        <v>5117</v>
      </c>
    </row>
    <row r="9089">
      <c r="H9089" t="s">
        <v>5117</v>
      </c>
    </row>
    <row r="9090">
      <c r="H9090" t="s">
        <v>5117</v>
      </c>
    </row>
    <row r="9091">
      <c r="H9091" t="s">
        <v>5117</v>
      </c>
    </row>
    <row r="9092">
      <c r="H9092" t="s">
        <v>5117</v>
      </c>
    </row>
    <row r="9093">
      <c r="H9093" t="s">
        <v>5117</v>
      </c>
    </row>
    <row r="9094">
      <c r="H9094" t="s">
        <v>5117</v>
      </c>
    </row>
    <row r="9095">
      <c r="H9095" t="s">
        <v>5117</v>
      </c>
    </row>
    <row r="9096">
      <c r="H9096" t="s">
        <v>5117</v>
      </c>
    </row>
    <row r="9097">
      <c r="H9097" t="s">
        <v>5117</v>
      </c>
    </row>
    <row r="9098">
      <c r="H9098" t="s">
        <v>5117</v>
      </c>
    </row>
    <row r="9099">
      <c r="H9099" t="s">
        <v>5117</v>
      </c>
    </row>
    <row r="9100">
      <c r="H9100" t="s">
        <v>5117</v>
      </c>
    </row>
    <row r="9101">
      <c r="H9101" t="s">
        <v>5117</v>
      </c>
    </row>
    <row r="9102">
      <c r="H9102" t="s">
        <v>5117</v>
      </c>
    </row>
    <row r="9103">
      <c r="H9103" t="s">
        <v>5117</v>
      </c>
    </row>
    <row r="9104">
      <c r="H9104" t="s">
        <v>5117</v>
      </c>
    </row>
    <row r="9105">
      <c r="H9105" t="s">
        <v>5117</v>
      </c>
    </row>
    <row r="9106">
      <c r="H9106" t="s">
        <v>5117</v>
      </c>
    </row>
    <row r="9107">
      <c r="H9107" t="s">
        <v>5117</v>
      </c>
    </row>
    <row r="9108">
      <c r="H9108" t="s">
        <v>5117</v>
      </c>
    </row>
    <row r="9109">
      <c r="H9109" t="s">
        <v>5117</v>
      </c>
    </row>
    <row r="9110">
      <c r="H9110" t="s">
        <v>5117</v>
      </c>
    </row>
    <row r="9111">
      <c r="H9111" t="s">
        <v>5117</v>
      </c>
    </row>
    <row r="9112">
      <c r="H9112" t="s">
        <v>5117</v>
      </c>
    </row>
    <row r="9113">
      <c r="H9113" t="s">
        <v>5117</v>
      </c>
    </row>
    <row r="9114">
      <c r="H9114" t="s">
        <v>5117</v>
      </c>
    </row>
    <row r="9115">
      <c r="H9115" t="s">
        <v>5117</v>
      </c>
    </row>
    <row r="9116">
      <c r="H9116" t="s">
        <v>5117</v>
      </c>
    </row>
    <row r="9117">
      <c r="H9117" t="s">
        <v>5117</v>
      </c>
    </row>
    <row r="9118">
      <c r="H9118" t="s">
        <v>5117</v>
      </c>
    </row>
    <row r="9119">
      <c r="H9119" t="s">
        <v>5117</v>
      </c>
    </row>
    <row r="9120">
      <c r="H9120" t="s">
        <v>5117</v>
      </c>
    </row>
    <row r="9121">
      <c r="H9121" t="s">
        <v>5117</v>
      </c>
    </row>
    <row r="9122">
      <c r="H9122" t="s">
        <v>5117</v>
      </c>
    </row>
    <row r="9123">
      <c r="H9123" t="s">
        <v>5117</v>
      </c>
    </row>
    <row r="9124">
      <c r="H9124" t="s">
        <v>5117</v>
      </c>
    </row>
    <row r="9125">
      <c r="H9125" t="s">
        <v>5117</v>
      </c>
    </row>
    <row r="9126">
      <c r="H9126" t="s">
        <v>5117</v>
      </c>
    </row>
    <row r="9127">
      <c r="H9127" t="s">
        <v>5117</v>
      </c>
    </row>
    <row r="9128">
      <c r="H9128" t="s">
        <v>5117</v>
      </c>
    </row>
    <row r="9129">
      <c r="H9129" t="s">
        <v>5117</v>
      </c>
    </row>
    <row r="9130">
      <c r="H9130" t="s">
        <v>5117</v>
      </c>
    </row>
    <row r="9131">
      <c r="H9131" t="s">
        <v>5117</v>
      </c>
    </row>
    <row r="9132">
      <c r="H9132" t="s">
        <v>5117</v>
      </c>
    </row>
    <row r="9133">
      <c r="H9133" t="s">
        <v>5117</v>
      </c>
    </row>
    <row r="9134">
      <c r="H9134" t="s">
        <v>5117</v>
      </c>
    </row>
    <row r="9135">
      <c r="H9135" t="s">
        <v>5117</v>
      </c>
    </row>
    <row r="9136">
      <c r="H9136" t="s">
        <v>5117</v>
      </c>
    </row>
    <row r="9137">
      <c r="H9137" t="s">
        <v>5117</v>
      </c>
    </row>
    <row r="9138">
      <c r="H9138" t="s">
        <v>5117</v>
      </c>
    </row>
    <row r="9139">
      <c r="H9139" t="s">
        <v>5117</v>
      </c>
    </row>
    <row r="9140">
      <c r="H9140" t="s">
        <v>5117</v>
      </c>
    </row>
    <row r="9141">
      <c r="H9141" t="s">
        <v>5117</v>
      </c>
    </row>
    <row r="9142">
      <c r="H9142" t="s">
        <v>5117</v>
      </c>
    </row>
    <row r="9143">
      <c r="H9143" t="s">
        <v>5117</v>
      </c>
    </row>
    <row r="9144">
      <c r="H9144" t="s">
        <v>5117</v>
      </c>
    </row>
    <row r="9145">
      <c r="H9145" t="s">
        <v>5117</v>
      </c>
    </row>
    <row r="9146">
      <c r="H9146" t="s">
        <v>5117</v>
      </c>
    </row>
    <row r="9147">
      <c r="H9147" t="s">
        <v>5117</v>
      </c>
    </row>
    <row r="9148">
      <c r="H9148" t="s">
        <v>5117</v>
      </c>
    </row>
    <row r="9149">
      <c r="H9149" t="s">
        <v>5117</v>
      </c>
    </row>
    <row r="9150">
      <c r="H9150" t="s">
        <v>5117</v>
      </c>
    </row>
    <row r="9151">
      <c r="H9151" t="s">
        <v>5117</v>
      </c>
    </row>
    <row r="9152">
      <c r="H9152" t="s">
        <v>5117</v>
      </c>
    </row>
    <row r="9153">
      <c r="H9153" t="s">
        <v>5117</v>
      </c>
    </row>
    <row r="9154">
      <c r="H9154" t="s">
        <v>5117</v>
      </c>
    </row>
    <row r="9155">
      <c r="H9155" t="s">
        <v>5117</v>
      </c>
    </row>
    <row r="9156">
      <c r="H9156" t="s">
        <v>5117</v>
      </c>
    </row>
    <row r="9157">
      <c r="H9157" t="s">
        <v>5117</v>
      </c>
    </row>
    <row r="9158">
      <c r="H9158" t="s">
        <v>5117</v>
      </c>
    </row>
    <row r="9159">
      <c r="H9159" t="s">
        <v>5117</v>
      </c>
    </row>
    <row r="9160">
      <c r="H9160" t="s">
        <v>5117</v>
      </c>
    </row>
    <row r="9161">
      <c r="H9161" t="s">
        <v>5117</v>
      </c>
    </row>
    <row r="9162">
      <c r="H9162" t="s">
        <v>5117</v>
      </c>
    </row>
    <row r="9163">
      <c r="H9163" t="s">
        <v>5117</v>
      </c>
    </row>
    <row r="9164">
      <c r="H9164" t="s">
        <v>5117</v>
      </c>
    </row>
    <row r="9165">
      <c r="H9165" t="s">
        <v>5117</v>
      </c>
    </row>
    <row r="9166">
      <c r="H9166" t="s">
        <v>5117</v>
      </c>
    </row>
    <row r="9167">
      <c r="H9167" t="s">
        <v>5117</v>
      </c>
    </row>
    <row r="9168">
      <c r="H9168" t="s">
        <v>5117</v>
      </c>
    </row>
    <row r="9169">
      <c r="H9169" t="s">
        <v>5117</v>
      </c>
    </row>
    <row r="9170">
      <c r="H9170" t="s">
        <v>5117</v>
      </c>
    </row>
    <row r="9171">
      <c r="H9171" t="s">
        <v>5117</v>
      </c>
    </row>
    <row r="9172">
      <c r="H9172" t="s">
        <v>5117</v>
      </c>
    </row>
    <row r="9173">
      <c r="H9173" t="s">
        <v>5117</v>
      </c>
    </row>
    <row r="9174">
      <c r="H9174" t="s">
        <v>5117</v>
      </c>
    </row>
    <row r="9175">
      <c r="H9175" t="s">
        <v>5117</v>
      </c>
    </row>
    <row r="9176">
      <c r="H9176" t="s">
        <v>5117</v>
      </c>
    </row>
    <row r="9177">
      <c r="H9177" t="s">
        <v>5117</v>
      </c>
    </row>
    <row r="9178">
      <c r="H9178" t="s">
        <v>5117</v>
      </c>
    </row>
    <row r="9179">
      <c r="H9179" t="s">
        <v>5117</v>
      </c>
    </row>
    <row r="9180">
      <c r="H9180" t="s">
        <v>5117</v>
      </c>
    </row>
    <row r="9181">
      <c r="H9181" t="s">
        <v>5117</v>
      </c>
    </row>
    <row r="9182">
      <c r="H9182" t="s">
        <v>5117</v>
      </c>
    </row>
    <row r="9183">
      <c r="H9183" t="s">
        <v>5117</v>
      </c>
    </row>
    <row r="9184">
      <c r="H9184" t="s">
        <v>5117</v>
      </c>
    </row>
    <row r="9185">
      <c r="H9185" t="s">
        <v>5117</v>
      </c>
    </row>
    <row r="9186">
      <c r="H9186" t="s">
        <v>5117</v>
      </c>
    </row>
    <row r="9187">
      <c r="H9187" t="s">
        <v>5117</v>
      </c>
    </row>
    <row r="9188">
      <c r="H9188" t="s">
        <v>5117</v>
      </c>
    </row>
    <row r="9189">
      <c r="H9189" t="s">
        <v>5117</v>
      </c>
    </row>
    <row r="9190">
      <c r="H9190" t="s">
        <v>5117</v>
      </c>
    </row>
    <row r="9191">
      <c r="H9191" t="s">
        <v>5117</v>
      </c>
    </row>
    <row r="9192">
      <c r="H9192" t="s">
        <v>5117</v>
      </c>
    </row>
    <row r="9193">
      <c r="H9193" t="s">
        <v>5117</v>
      </c>
    </row>
    <row r="9194">
      <c r="H9194" t="s">
        <v>5117</v>
      </c>
    </row>
    <row r="9195">
      <c r="H9195" t="s">
        <v>5117</v>
      </c>
    </row>
    <row r="9196">
      <c r="H9196" t="s">
        <v>5117</v>
      </c>
    </row>
    <row r="9197">
      <c r="H9197" t="s">
        <v>5117</v>
      </c>
    </row>
    <row r="9198">
      <c r="H9198" t="s">
        <v>5117</v>
      </c>
    </row>
    <row r="9199">
      <c r="H9199" t="s">
        <v>5117</v>
      </c>
    </row>
    <row r="9200">
      <c r="H9200" t="s">
        <v>5117</v>
      </c>
    </row>
    <row r="9201">
      <c r="H9201" t="s">
        <v>5117</v>
      </c>
    </row>
    <row r="9202">
      <c r="H9202" t="s">
        <v>5117</v>
      </c>
    </row>
    <row r="9203">
      <c r="H9203" t="s">
        <v>5117</v>
      </c>
    </row>
    <row r="9204">
      <c r="H9204" t="s">
        <v>5117</v>
      </c>
    </row>
    <row r="9205">
      <c r="H9205" t="s">
        <v>5117</v>
      </c>
    </row>
    <row r="9206">
      <c r="H9206" t="s">
        <v>5117</v>
      </c>
    </row>
    <row r="9207">
      <c r="H9207" t="s">
        <v>5117</v>
      </c>
    </row>
    <row r="9208">
      <c r="H9208" t="s">
        <v>5117</v>
      </c>
    </row>
    <row r="9209">
      <c r="H9209" t="s">
        <v>5117</v>
      </c>
    </row>
    <row r="9210">
      <c r="H9210" t="s">
        <v>5117</v>
      </c>
    </row>
    <row r="9211">
      <c r="H9211" t="s">
        <v>5117</v>
      </c>
    </row>
    <row r="9212">
      <c r="H9212" t="s">
        <v>5117</v>
      </c>
    </row>
    <row r="9213">
      <c r="H9213" t="s">
        <v>5117</v>
      </c>
    </row>
    <row r="9214">
      <c r="H9214" t="s">
        <v>5117</v>
      </c>
    </row>
    <row r="9215">
      <c r="H9215" t="s">
        <v>5117</v>
      </c>
    </row>
    <row r="9216">
      <c r="H9216" t="s">
        <v>5117</v>
      </c>
    </row>
    <row r="9217">
      <c r="H9217" t="s">
        <v>5117</v>
      </c>
    </row>
    <row r="9218">
      <c r="H9218" t="s">
        <v>5117</v>
      </c>
    </row>
    <row r="9219">
      <c r="H9219" t="s">
        <v>5117</v>
      </c>
    </row>
    <row r="9220">
      <c r="H9220" t="s">
        <v>5117</v>
      </c>
    </row>
    <row r="9221">
      <c r="H9221" t="s">
        <v>5117</v>
      </c>
    </row>
    <row r="9222">
      <c r="H9222" t="s">
        <v>5117</v>
      </c>
    </row>
    <row r="9223">
      <c r="H9223" t="s">
        <v>5117</v>
      </c>
    </row>
    <row r="9224">
      <c r="H9224" t="s">
        <v>5117</v>
      </c>
    </row>
    <row r="9225">
      <c r="H9225" t="s">
        <v>5117</v>
      </c>
    </row>
    <row r="9226">
      <c r="H9226" t="s">
        <v>5117</v>
      </c>
    </row>
    <row r="9227">
      <c r="H9227" t="s">
        <v>5117</v>
      </c>
    </row>
    <row r="9228">
      <c r="H9228" t="s">
        <v>5117</v>
      </c>
    </row>
    <row r="9229">
      <c r="H9229" t="s">
        <v>5117</v>
      </c>
    </row>
    <row r="9230">
      <c r="H9230" t="s">
        <v>5117</v>
      </c>
    </row>
    <row r="9231">
      <c r="H9231" t="s">
        <v>5117</v>
      </c>
    </row>
    <row r="9232">
      <c r="H9232" t="s">
        <v>5117</v>
      </c>
    </row>
    <row r="9233">
      <c r="H9233" t="s">
        <v>5117</v>
      </c>
    </row>
    <row r="9234">
      <c r="H9234" t="s">
        <v>5117</v>
      </c>
    </row>
    <row r="9235">
      <c r="H9235" t="s">
        <v>5117</v>
      </c>
    </row>
    <row r="9236">
      <c r="H9236" t="s">
        <v>5117</v>
      </c>
    </row>
    <row r="9237">
      <c r="H9237" t="s">
        <v>5117</v>
      </c>
    </row>
    <row r="9238">
      <c r="H9238" t="s">
        <v>5117</v>
      </c>
    </row>
    <row r="9239">
      <c r="H9239" t="s">
        <v>5117</v>
      </c>
    </row>
    <row r="9240">
      <c r="H9240" t="s">
        <v>5117</v>
      </c>
    </row>
    <row r="9241">
      <c r="H9241" t="s">
        <v>5117</v>
      </c>
    </row>
    <row r="9242">
      <c r="H9242" t="s">
        <v>5117</v>
      </c>
    </row>
    <row r="9243">
      <c r="H9243" t="s">
        <v>5117</v>
      </c>
    </row>
    <row r="9244">
      <c r="H9244" t="s">
        <v>5117</v>
      </c>
    </row>
    <row r="9245">
      <c r="H9245" t="s">
        <v>5117</v>
      </c>
    </row>
    <row r="9246">
      <c r="H9246" t="s">
        <v>5117</v>
      </c>
    </row>
    <row r="9247">
      <c r="H9247" t="s">
        <v>5117</v>
      </c>
    </row>
    <row r="9248">
      <c r="H9248" t="s">
        <v>5117</v>
      </c>
    </row>
    <row r="9249">
      <c r="H9249" t="s">
        <v>5117</v>
      </c>
    </row>
    <row r="9250">
      <c r="H9250" t="s">
        <v>5117</v>
      </c>
    </row>
    <row r="9251">
      <c r="H9251" t="s">
        <v>5117</v>
      </c>
    </row>
    <row r="9252">
      <c r="H9252" t="s">
        <v>5117</v>
      </c>
    </row>
    <row r="9253">
      <c r="H9253" t="s">
        <v>5117</v>
      </c>
    </row>
    <row r="9254">
      <c r="H9254" t="s">
        <v>5117</v>
      </c>
    </row>
    <row r="9255">
      <c r="H9255" t="s">
        <v>5117</v>
      </c>
    </row>
    <row r="9256">
      <c r="H9256" t="s">
        <v>5117</v>
      </c>
    </row>
    <row r="9257">
      <c r="H9257" t="s">
        <v>5117</v>
      </c>
    </row>
    <row r="9258">
      <c r="H9258" t="s">
        <v>5117</v>
      </c>
    </row>
    <row r="9259">
      <c r="H9259" t="s">
        <v>5117</v>
      </c>
    </row>
    <row r="9260">
      <c r="H9260" t="s">
        <v>5117</v>
      </c>
    </row>
    <row r="9261">
      <c r="H9261" t="s">
        <v>5117</v>
      </c>
    </row>
    <row r="9262">
      <c r="H9262" t="s">
        <v>5117</v>
      </c>
    </row>
    <row r="9263">
      <c r="H9263" t="s">
        <v>5117</v>
      </c>
    </row>
    <row r="9264">
      <c r="H9264" t="s">
        <v>5117</v>
      </c>
    </row>
    <row r="9265">
      <c r="H9265" t="s">
        <v>5117</v>
      </c>
    </row>
    <row r="9266">
      <c r="H9266" t="s">
        <v>5117</v>
      </c>
    </row>
    <row r="9267">
      <c r="H9267" t="s">
        <v>5117</v>
      </c>
    </row>
    <row r="9268">
      <c r="H9268" t="s">
        <v>5117</v>
      </c>
    </row>
    <row r="9269">
      <c r="H9269" t="s">
        <v>5117</v>
      </c>
    </row>
    <row r="9270">
      <c r="H9270" t="s">
        <v>5117</v>
      </c>
    </row>
    <row r="9271">
      <c r="H9271" t="s">
        <v>5117</v>
      </c>
    </row>
    <row r="9272">
      <c r="H9272" t="s">
        <v>5117</v>
      </c>
    </row>
    <row r="9273">
      <c r="H9273" t="s">
        <v>5117</v>
      </c>
    </row>
    <row r="9274">
      <c r="H9274" t="s">
        <v>5117</v>
      </c>
    </row>
    <row r="9275">
      <c r="H9275" t="s">
        <v>5117</v>
      </c>
    </row>
    <row r="9276">
      <c r="H9276" t="s">
        <v>5117</v>
      </c>
    </row>
    <row r="9277">
      <c r="H9277" t="s">
        <v>5117</v>
      </c>
    </row>
    <row r="9278">
      <c r="H9278" t="s">
        <v>5117</v>
      </c>
    </row>
    <row r="9279">
      <c r="H9279" t="s">
        <v>5117</v>
      </c>
    </row>
    <row r="9280">
      <c r="H9280" t="s">
        <v>5117</v>
      </c>
    </row>
    <row r="9281">
      <c r="H9281" t="s">
        <v>5117</v>
      </c>
    </row>
    <row r="9282">
      <c r="H9282" t="s">
        <v>5117</v>
      </c>
    </row>
    <row r="9283">
      <c r="H9283" t="s">
        <v>5117</v>
      </c>
    </row>
    <row r="9284">
      <c r="H9284" t="s">
        <v>5117</v>
      </c>
    </row>
    <row r="9285">
      <c r="H9285" t="s">
        <v>5117</v>
      </c>
    </row>
    <row r="9286">
      <c r="H9286" t="s">
        <v>5117</v>
      </c>
    </row>
    <row r="9287">
      <c r="H9287" t="s">
        <v>5117</v>
      </c>
    </row>
    <row r="9288">
      <c r="H9288" t="s">
        <v>5117</v>
      </c>
    </row>
    <row r="9289">
      <c r="H9289" t="s">
        <v>5117</v>
      </c>
    </row>
    <row r="9290">
      <c r="H9290" t="s">
        <v>5117</v>
      </c>
    </row>
    <row r="9291">
      <c r="H9291" t="s">
        <v>5117</v>
      </c>
    </row>
    <row r="9292">
      <c r="H9292" t="s">
        <v>5117</v>
      </c>
    </row>
    <row r="9293">
      <c r="H9293" t="s">
        <v>5117</v>
      </c>
    </row>
    <row r="9294">
      <c r="H9294" t="s">
        <v>5117</v>
      </c>
    </row>
    <row r="9295">
      <c r="H9295" t="s">
        <v>5117</v>
      </c>
    </row>
    <row r="9296">
      <c r="H9296" t="s">
        <v>5117</v>
      </c>
    </row>
    <row r="9297">
      <c r="H9297" t="s">
        <v>5117</v>
      </c>
    </row>
    <row r="9298">
      <c r="H9298" t="s">
        <v>5117</v>
      </c>
    </row>
    <row r="9299">
      <c r="H9299" t="s">
        <v>5117</v>
      </c>
    </row>
    <row r="9300">
      <c r="H9300" t="s">
        <v>5117</v>
      </c>
    </row>
    <row r="9301">
      <c r="H9301" t="s">
        <v>5117</v>
      </c>
    </row>
    <row r="9302">
      <c r="H9302" t="s">
        <v>5117</v>
      </c>
    </row>
    <row r="9303">
      <c r="H9303" t="s">
        <v>5117</v>
      </c>
    </row>
    <row r="9304">
      <c r="H9304" t="s">
        <v>5117</v>
      </c>
    </row>
    <row r="9305">
      <c r="H9305" t="s">
        <v>5117</v>
      </c>
    </row>
    <row r="9306">
      <c r="H9306" t="s">
        <v>5117</v>
      </c>
    </row>
    <row r="9307">
      <c r="H9307" t="s">
        <v>5117</v>
      </c>
    </row>
    <row r="9308">
      <c r="H9308" t="s">
        <v>5117</v>
      </c>
    </row>
    <row r="9309">
      <c r="H9309" t="s">
        <v>5117</v>
      </c>
    </row>
    <row r="9310">
      <c r="H9310" t="s">
        <v>5117</v>
      </c>
    </row>
    <row r="9311">
      <c r="H9311" t="s">
        <v>5117</v>
      </c>
    </row>
    <row r="9312">
      <c r="H9312" t="s">
        <v>5117</v>
      </c>
    </row>
    <row r="9313">
      <c r="H9313" t="s">
        <v>5117</v>
      </c>
    </row>
    <row r="9314">
      <c r="H9314" t="s">
        <v>5117</v>
      </c>
    </row>
    <row r="9315">
      <c r="H9315" t="s">
        <v>5117</v>
      </c>
    </row>
    <row r="9316">
      <c r="H9316" t="s">
        <v>5117</v>
      </c>
    </row>
    <row r="9317">
      <c r="H9317" t="s">
        <v>5117</v>
      </c>
    </row>
    <row r="9318">
      <c r="H9318" t="s">
        <v>5117</v>
      </c>
    </row>
    <row r="9319">
      <c r="H9319" t="s">
        <v>5117</v>
      </c>
    </row>
    <row r="9320">
      <c r="H9320" t="s">
        <v>5117</v>
      </c>
    </row>
    <row r="9321">
      <c r="H9321" t="s">
        <v>5117</v>
      </c>
    </row>
    <row r="9322">
      <c r="H9322" t="s">
        <v>5117</v>
      </c>
    </row>
    <row r="9323">
      <c r="H9323" t="s">
        <v>5117</v>
      </c>
    </row>
    <row r="9324">
      <c r="H9324" t="s">
        <v>5117</v>
      </c>
    </row>
    <row r="9325">
      <c r="H9325" t="s">
        <v>5117</v>
      </c>
    </row>
    <row r="9326">
      <c r="H9326" t="s">
        <v>5117</v>
      </c>
    </row>
    <row r="9327">
      <c r="H9327" t="s">
        <v>5117</v>
      </c>
    </row>
    <row r="9328">
      <c r="H9328" t="s">
        <v>5117</v>
      </c>
    </row>
    <row r="9329">
      <c r="H9329" t="s">
        <v>5117</v>
      </c>
    </row>
    <row r="9330">
      <c r="H9330" t="s">
        <v>5117</v>
      </c>
    </row>
    <row r="9331">
      <c r="H9331" t="s">
        <v>5117</v>
      </c>
    </row>
    <row r="9332">
      <c r="H9332" t="s">
        <v>5117</v>
      </c>
    </row>
    <row r="9333">
      <c r="H9333" t="s">
        <v>5117</v>
      </c>
    </row>
    <row r="9334">
      <c r="H9334" t="s">
        <v>5117</v>
      </c>
    </row>
    <row r="9335">
      <c r="H9335" t="s">
        <v>5117</v>
      </c>
    </row>
    <row r="9336">
      <c r="H9336" t="s">
        <v>5117</v>
      </c>
    </row>
    <row r="9337">
      <c r="H9337" t="s">
        <v>5117</v>
      </c>
    </row>
    <row r="9338">
      <c r="H9338" t="s">
        <v>5117</v>
      </c>
    </row>
    <row r="9339">
      <c r="H9339" t="s">
        <v>5117</v>
      </c>
    </row>
    <row r="9340">
      <c r="H9340" t="s">
        <v>5117</v>
      </c>
    </row>
    <row r="9341">
      <c r="H9341" t="s">
        <v>5117</v>
      </c>
    </row>
    <row r="9342">
      <c r="H9342" t="s">
        <v>5117</v>
      </c>
    </row>
    <row r="9343">
      <c r="H9343" t="s">
        <v>5117</v>
      </c>
    </row>
    <row r="9344">
      <c r="H9344" t="s">
        <v>5117</v>
      </c>
    </row>
    <row r="9345">
      <c r="H9345" t="s">
        <v>5117</v>
      </c>
    </row>
    <row r="9346">
      <c r="H9346" t="s">
        <v>5117</v>
      </c>
    </row>
    <row r="9347">
      <c r="H9347" t="s">
        <v>5117</v>
      </c>
    </row>
    <row r="9348">
      <c r="H9348" t="s">
        <v>5117</v>
      </c>
    </row>
    <row r="9349">
      <c r="H9349" t="s">
        <v>5117</v>
      </c>
    </row>
    <row r="9350">
      <c r="H9350" t="s">
        <v>5117</v>
      </c>
    </row>
    <row r="9351">
      <c r="H9351" t="s">
        <v>5117</v>
      </c>
    </row>
    <row r="9352">
      <c r="H9352" t="s">
        <v>5117</v>
      </c>
    </row>
    <row r="9353">
      <c r="H9353" t="s">
        <v>5117</v>
      </c>
    </row>
    <row r="9354">
      <c r="H9354" t="s">
        <v>5117</v>
      </c>
    </row>
    <row r="9355">
      <c r="H9355" t="s">
        <v>5117</v>
      </c>
    </row>
    <row r="9356">
      <c r="H9356" t="s">
        <v>5117</v>
      </c>
    </row>
    <row r="9357">
      <c r="H9357" t="s">
        <v>5117</v>
      </c>
    </row>
    <row r="9358">
      <c r="H9358" t="s">
        <v>5117</v>
      </c>
    </row>
    <row r="9359">
      <c r="H9359" t="s">
        <v>5117</v>
      </c>
    </row>
    <row r="9360">
      <c r="H9360" t="s">
        <v>5117</v>
      </c>
    </row>
    <row r="9361">
      <c r="H9361" t="s">
        <v>5117</v>
      </c>
    </row>
    <row r="9362">
      <c r="H9362" t="s">
        <v>5117</v>
      </c>
    </row>
    <row r="9363">
      <c r="H9363" t="s">
        <v>5117</v>
      </c>
    </row>
    <row r="9364">
      <c r="H9364" t="s">
        <v>5117</v>
      </c>
    </row>
    <row r="9365">
      <c r="H9365" t="s">
        <v>5117</v>
      </c>
    </row>
    <row r="9366">
      <c r="H9366" t="s">
        <v>5117</v>
      </c>
    </row>
    <row r="9367">
      <c r="H9367" t="s">
        <v>5117</v>
      </c>
    </row>
    <row r="9368">
      <c r="H9368" t="s">
        <v>5117</v>
      </c>
    </row>
    <row r="9369">
      <c r="H9369" t="s">
        <v>5117</v>
      </c>
    </row>
    <row r="9370">
      <c r="H9370" t="s">
        <v>5117</v>
      </c>
    </row>
    <row r="9371">
      <c r="H9371" t="s">
        <v>5117</v>
      </c>
    </row>
    <row r="9372">
      <c r="H9372" t="s">
        <v>5117</v>
      </c>
    </row>
    <row r="9373">
      <c r="H9373" t="s">
        <v>5117</v>
      </c>
    </row>
    <row r="9374">
      <c r="H9374" t="s">
        <v>5117</v>
      </c>
    </row>
    <row r="9375">
      <c r="H9375" t="s">
        <v>5117</v>
      </c>
    </row>
    <row r="9376">
      <c r="H9376" t="s">
        <v>5117</v>
      </c>
    </row>
    <row r="9377">
      <c r="H9377" t="s">
        <v>5117</v>
      </c>
    </row>
    <row r="9378">
      <c r="H9378" t="s">
        <v>5117</v>
      </c>
    </row>
    <row r="9379">
      <c r="H9379" t="s">
        <v>5117</v>
      </c>
    </row>
    <row r="9380">
      <c r="H9380" t="s">
        <v>5117</v>
      </c>
    </row>
    <row r="9381">
      <c r="H9381" t="s">
        <v>5117</v>
      </c>
    </row>
    <row r="9382">
      <c r="H9382" t="s">
        <v>5117</v>
      </c>
    </row>
    <row r="9383">
      <c r="H9383" t="s">
        <v>5117</v>
      </c>
    </row>
    <row r="9384">
      <c r="H9384" t="s">
        <v>5117</v>
      </c>
    </row>
    <row r="9385">
      <c r="H9385" t="s">
        <v>5117</v>
      </c>
    </row>
    <row r="9386">
      <c r="H9386" t="s">
        <v>5117</v>
      </c>
    </row>
    <row r="9387">
      <c r="H9387" t="s">
        <v>5117</v>
      </c>
    </row>
    <row r="9388">
      <c r="H9388" t="s">
        <v>5117</v>
      </c>
    </row>
    <row r="9389">
      <c r="H9389" t="s">
        <v>5117</v>
      </c>
    </row>
    <row r="9390">
      <c r="H9390" t="s">
        <v>5117</v>
      </c>
    </row>
    <row r="9391">
      <c r="H9391" t="s">
        <v>5117</v>
      </c>
    </row>
    <row r="9392">
      <c r="H9392" t="s">
        <v>5117</v>
      </c>
    </row>
    <row r="9393">
      <c r="H9393" t="s">
        <v>5117</v>
      </c>
    </row>
    <row r="9394">
      <c r="H9394" t="s">
        <v>5117</v>
      </c>
    </row>
    <row r="9395">
      <c r="H9395" t="s">
        <v>5117</v>
      </c>
    </row>
    <row r="9396">
      <c r="H9396" t="s">
        <v>5117</v>
      </c>
    </row>
    <row r="9397">
      <c r="H9397" t="s">
        <v>5117</v>
      </c>
    </row>
    <row r="9398">
      <c r="H9398" t="s">
        <v>5117</v>
      </c>
    </row>
    <row r="9399">
      <c r="H9399" t="s">
        <v>5117</v>
      </c>
    </row>
    <row r="9400">
      <c r="H9400" t="s">
        <v>5117</v>
      </c>
    </row>
    <row r="9401">
      <c r="H9401" t="s">
        <v>5117</v>
      </c>
    </row>
    <row r="9402">
      <c r="H9402" t="s">
        <v>5117</v>
      </c>
    </row>
    <row r="9403">
      <c r="H9403" t="s">
        <v>5117</v>
      </c>
    </row>
    <row r="9404">
      <c r="H9404" t="s">
        <v>5117</v>
      </c>
    </row>
    <row r="9405">
      <c r="H9405" t="s">
        <v>5117</v>
      </c>
    </row>
    <row r="9406">
      <c r="H9406" t="s">
        <v>5117</v>
      </c>
    </row>
    <row r="9407">
      <c r="H9407" t="s">
        <v>5117</v>
      </c>
    </row>
    <row r="9408">
      <c r="H9408" t="s">
        <v>5117</v>
      </c>
    </row>
    <row r="9409">
      <c r="H9409" t="s">
        <v>5117</v>
      </c>
    </row>
    <row r="9410">
      <c r="H9410" t="s">
        <v>5117</v>
      </c>
    </row>
    <row r="9411">
      <c r="H9411" t="s">
        <v>5117</v>
      </c>
    </row>
    <row r="9412">
      <c r="H9412" t="s">
        <v>5117</v>
      </c>
    </row>
    <row r="9413">
      <c r="H9413" t="s">
        <v>5117</v>
      </c>
    </row>
    <row r="9414">
      <c r="H9414" t="s">
        <v>5117</v>
      </c>
    </row>
    <row r="9415">
      <c r="H9415" t="s">
        <v>5117</v>
      </c>
    </row>
    <row r="9416">
      <c r="H9416" t="s">
        <v>5117</v>
      </c>
    </row>
    <row r="9417">
      <c r="H9417" t="s">
        <v>5117</v>
      </c>
    </row>
    <row r="9418">
      <c r="H9418" t="s">
        <v>5117</v>
      </c>
    </row>
    <row r="9419">
      <c r="H9419" t="s">
        <v>5117</v>
      </c>
    </row>
    <row r="9420">
      <c r="H9420" t="s">
        <v>5117</v>
      </c>
    </row>
    <row r="9421">
      <c r="H9421" t="s">
        <v>5117</v>
      </c>
    </row>
    <row r="9422">
      <c r="H9422" t="s">
        <v>5117</v>
      </c>
    </row>
    <row r="9423">
      <c r="H9423" t="s">
        <v>5117</v>
      </c>
    </row>
    <row r="9424">
      <c r="H9424" t="s">
        <v>5117</v>
      </c>
    </row>
    <row r="9425">
      <c r="H9425" t="s">
        <v>5117</v>
      </c>
    </row>
    <row r="9426">
      <c r="H9426" t="s">
        <v>5117</v>
      </c>
    </row>
    <row r="9427">
      <c r="H9427" t="s">
        <v>5117</v>
      </c>
    </row>
    <row r="9428">
      <c r="H9428" t="s">
        <v>5117</v>
      </c>
    </row>
    <row r="9429">
      <c r="H9429" t="s">
        <v>5117</v>
      </c>
    </row>
    <row r="9430">
      <c r="H9430" t="s">
        <v>5117</v>
      </c>
    </row>
    <row r="9431">
      <c r="H9431" t="s">
        <v>5117</v>
      </c>
    </row>
    <row r="9432">
      <c r="H9432" t="s">
        <v>5117</v>
      </c>
    </row>
    <row r="9433">
      <c r="H9433" t="s">
        <v>5117</v>
      </c>
    </row>
    <row r="9434">
      <c r="H9434" t="s">
        <v>5117</v>
      </c>
    </row>
    <row r="9435">
      <c r="H9435" t="s">
        <v>5117</v>
      </c>
    </row>
    <row r="9436">
      <c r="H9436" t="s">
        <v>5117</v>
      </c>
    </row>
    <row r="9437">
      <c r="H9437" t="s">
        <v>5117</v>
      </c>
    </row>
    <row r="9438">
      <c r="H9438" t="s">
        <v>5117</v>
      </c>
    </row>
    <row r="9439">
      <c r="H9439" t="s">
        <v>5117</v>
      </c>
    </row>
    <row r="9440">
      <c r="H9440" t="s">
        <v>5117</v>
      </c>
    </row>
    <row r="9441">
      <c r="H9441" t="s">
        <v>5117</v>
      </c>
    </row>
    <row r="9442">
      <c r="H9442" t="s">
        <v>5117</v>
      </c>
    </row>
    <row r="9443">
      <c r="H9443" t="s">
        <v>5117</v>
      </c>
    </row>
    <row r="9444">
      <c r="H9444" t="s">
        <v>5117</v>
      </c>
    </row>
    <row r="9445">
      <c r="H9445" t="s">
        <v>5117</v>
      </c>
    </row>
    <row r="9446">
      <c r="H9446" t="s">
        <v>5117</v>
      </c>
    </row>
    <row r="9447">
      <c r="H9447" t="s">
        <v>5117</v>
      </c>
    </row>
    <row r="9448">
      <c r="H9448" t="s">
        <v>5117</v>
      </c>
    </row>
    <row r="9449">
      <c r="H9449" t="s">
        <v>5117</v>
      </c>
    </row>
    <row r="9450">
      <c r="H9450" t="s">
        <v>5117</v>
      </c>
    </row>
    <row r="9451">
      <c r="H9451" t="s">
        <v>5117</v>
      </c>
    </row>
    <row r="9452">
      <c r="H9452" t="s">
        <v>5117</v>
      </c>
    </row>
    <row r="9453">
      <c r="H9453" t="s">
        <v>5117</v>
      </c>
    </row>
    <row r="9454">
      <c r="H9454" t="s">
        <v>5117</v>
      </c>
    </row>
    <row r="9455">
      <c r="H9455" t="s">
        <v>5117</v>
      </c>
    </row>
    <row r="9456">
      <c r="H9456" t="s">
        <v>5117</v>
      </c>
    </row>
    <row r="9457">
      <c r="H9457" t="s">
        <v>5117</v>
      </c>
    </row>
    <row r="9458">
      <c r="H9458" t="s">
        <v>5117</v>
      </c>
    </row>
    <row r="9459">
      <c r="H9459" t="s">
        <v>5117</v>
      </c>
    </row>
    <row r="9460">
      <c r="H9460" t="s">
        <v>5117</v>
      </c>
    </row>
    <row r="9461">
      <c r="H9461" t="s">
        <v>5117</v>
      </c>
    </row>
    <row r="9462">
      <c r="H9462" t="s">
        <v>5117</v>
      </c>
    </row>
    <row r="9463">
      <c r="H9463" t="s">
        <v>5117</v>
      </c>
    </row>
    <row r="9464">
      <c r="H9464" t="s">
        <v>5117</v>
      </c>
    </row>
    <row r="9465">
      <c r="H9465" t="s">
        <v>5117</v>
      </c>
    </row>
    <row r="9466">
      <c r="H9466" t="s">
        <v>5117</v>
      </c>
    </row>
    <row r="9467">
      <c r="H9467" t="s">
        <v>5117</v>
      </c>
    </row>
    <row r="9468">
      <c r="H9468" t="s">
        <v>5117</v>
      </c>
    </row>
    <row r="9469">
      <c r="H9469" t="s">
        <v>5117</v>
      </c>
    </row>
    <row r="9470">
      <c r="H9470" t="s">
        <v>5117</v>
      </c>
    </row>
    <row r="9471">
      <c r="H9471" t="s">
        <v>5117</v>
      </c>
    </row>
    <row r="9472">
      <c r="H9472" t="s">
        <v>5117</v>
      </c>
    </row>
    <row r="9473">
      <c r="H9473" t="s">
        <v>5117</v>
      </c>
    </row>
    <row r="9474">
      <c r="H9474" t="s">
        <v>5117</v>
      </c>
    </row>
    <row r="9475">
      <c r="H9475" t="s">
        <v>5117</v>
      </c>
    </row>
    <row r="9476">
      <c r="H9476" t="s">
        <v>5117</v>
      </c>
    </row>
    <row r="9477">
      <c r="H9477" t="s">
        <v>5117</v>
      </c>
    </row>
    <row r="9478">
      <c r="H9478" t="s">
        <v>5117</v>
      </c>
    </row>
    <row r="9479">
      <c r="H9479" t="s">
        <v>5117</v>
      </c>
    </row>
    <row r="9480">
      <c r="H9480" t="s">
        <v>5117</v>
      </c>
    </row>
    <row r="9481">
      <c r="H9481" t="s">
        <v>5117</v>
      </c>
    </row>
    <row r="9482">
      <c r="H9482" t="s">
        <v>5117</v>
      </c>
    </row>
    <row r="9483">
      <c r="H9483" t="s">
        <v>5117</v>
      </c>
    </row>
    <row r="9484">
      <c r="H9484" t="s">
        <v>5117</v>
      </c>
    </row>
    <row r="9485">
      <c r="H9485" t="s">
        <v>5117</v>
      </c>
    </row>
    <row r="9486">
      <c r="H9486" t="s">
        <v>5117</v>
      </c>
    </row>
    <row r="9487">
      <c r="H9487" t="s">
        <v>5117</v>
      </c>
    </row>
    <row r="9488">
      <c r="H9488" t="s">
        <v>5117</v>
      </c>
    </row>
    <row r="9489">
      <c r="H9489" t="s">
        <v>5117</v>
      </c>
    </row>
    <row r="9490">
      <c r="H9490" t="s">
        <v>5117</v>
      </c>
    </row>
    <row r="9491">
      <c r="H9491" t="s">
        <v>5117</v>
      </c>
    </row>
    <row r="9492">
      <c r="H9492" t="s">
        <v>5117</v>
      </c>
    </row>
    <row r="9493">
      <c r="H9493" t="s">
        <v>5117</v>
      </c>
    </row>
    <row r="9494">
      <c r="H9494" t="s">
        <v>5117</v>
      </c>
    </row>
    <row r="9495">
      <c r="H9495" t="s">
        <v>5117</v>
      </c>
    </row>
    <row r="9496">
      <c r="H9496" t="s">
        <v>5117</v>
      </c>
    </row>
    <row r="9497">
      <c r="H9497" t="s">
        <v>5117</v>
      </c>
    </row>
    <row r="9498">
      <c r="H9498" t="s">
        <v>5117</v>
      </c>
    </row>
    <row r="9499">
      <c r="H9499" t="s">
        <v>5117</v>
      </c>
    </row>
    <row r="9500">
      <c r="H9500" t="s">
        <v>5117</v>
      </c>
    </row>
    <row r="9501">
      <c r="H9501" t="s">
        <v>5117</v>
      </c>
    </row>
    <row r="9502">
      <c r="H9502" t="s">
        <v>5117</v>
      </c>
    </row>
    <row r="9503">
      <c r="H9503" t="s">
        <v>5117</v>
      </c>
    </row>
    <row r="9504">
      <c r="H9504" t="s">
        <v>5117</v>
      </c>
    </row>
    <row r="9505">
      <c r="H9505" t="s">
        <v>5117</v>
      </c>
    </row>
    <row r="9506">
      <c r="H9506" t="s">
        <v>5117</v>
      </c>
    </row>
    <row r="9507">
      <c r="H9507" t="s">
        <v>5117</v>
      </c>
    </row>
    <row r="9508">
      <c r="H9508" t="s">
        <v>5117</v>
      </c>
    </row>
    <row r="9509">
      <c r="H9509" t="s">
        <v>5117</v>
      </c>
    </row>
    <row r="9510">
      <c r="H9510" t="s">
        <v>5117</v>
      </c>
    </row>
    <row r="9511">
      <c r="H9511" t="s">
        <v>5117</v>
      </c>
    </row>
    <row r="9512">
      <c r="H9512" t="s">
        <v>5117</v>
      </c>
    </row>
    <row r="9513">
      <c r="H9513" t="s">
        <v>5117</v>
      </c>
    </row>
    <row r="9514">
      <c r="H9514" t="s">
        <v>5117</v>
      </c>
    </row>
    <row r="9515">
      <c r="H9515" t="s">
        <v>5117</v>
      </c>
    </row>
    <row r="9516">
      <c r="H9516" t="s">
        <v>5117</v>
      </c>
    </row>
    <row r="9517">
      <c r="H9517" t="s">
        <v>5117</v>
      </c>
    </row>
    <row r="9518">
      <c r="H9518" t="s">
        <v>5117</v>
      </c>
    </row>
    <row r="9519">
      <c r="H9519" t="s">
        <v>5117</v>
      </c>
    </row>
    <row r="9520">
      <c r="H9520" t="s">
        <v>5117</v>
      </c>
    </row>
    <row r="9521">
      <c r="H9521" t="s">
        <v>5117</v>
      </c>
    </row>
    <row r="9522">
      <c r="H9522" t="s">
        <v>5117</v>
      </c>
    </row>
    <row r="9523">
      <c r="H9523" t="s">
        <v>5117</v>
      </c>
    </row>
    <row r="9524">
      <c r="H9524" t="s">
        <v>5117</v>
      </c>
    </row>
    <row r="9525">
      <c r="H9525" t="s">
        <v>5117</v>
      </c>
    </row>
    <row r="9526">
      <c r="H9526" t="s">
        <v>5117</v>
      </c>
    </row>
    <row r="9527">
      <c r="H9527" t="s">
        <v>5117</v>
      </c>
    </row>
    <row r="9528">
      <c r="H9528" t="s">
        <v>5117</v>
      </c>
    </row>
    <row r="9529">
      <c r="H9529" t="s">
        <v>5117</v>
      </c>
    </row>
    <row r="9530">
      <c r="H9530" t="s">
        <v>5117</v>
      </c>
    </row>
    <row r="9531">
      <c r="H9531" t="s">
        <v>5117</v>
      </c>
    </row>
    <row r="9532">
      <c r="H9532" t="s">
        <v>5117</v>
      </c>
    </row>
    <row r="9533">
      <c r="H9533" t="s">
        <v>5117</v>
      </c>
    </row>
    <row r="9534">
      <c r="H9534" t="s">
        <v>5117</v>
      </c>
    </row>
    <row r="9535">
      <c r="H9535" t="s">
        <v>5117</v>
      </c>
    </row>
    <row r="9536">
      <c r="H9536" t="s">
        <v>5117</v>
      </c>
    </row>
    <row r="9537">
      <c r="H9537" t="s">
        <v>5117</v>
      </c>
    </row>
    <row r="9538">
      <c r="H9538" t="s">
        <v>5117</v>
      </c>
    </row>
    <row r="9539">
      <c r="H9539" t="s">
        <v>5117</v>
      </c>
    </row>
    <row r="9540">
      <c r="H9540" t="s">
        <v>5117</v>
      </c>
    </row>
    <row r="9541">
      <c r="H9541" t="s">
        <v>5117</v>
      </c>
    </row>
    <row r="9542">
      <c r="H9542" t="s">
        <v>5117</v>
      </c>
    </row>
    <row r="9543">
      <c r="H9543" t="s">
        <v>5117</v>
      </c>
    </row>
    <row r="9544">
      <c r="H9544" t="s">
        <v>5117</v>
      </c>
    </row>
    <row r="9545">
      <c r="H9545" t="s">
        <v>5117</v>
      </c>
    </row>
    <row r="9546">
      <c r="H9546" t="s">
        <v>5117</v>
      </c>
    </row>
    <row r="9547">
      <c r="H9547" t="s">
        <v>5117</v>
      </c>
    </row>
    <row r="9548">
      <c r="H9548" t="s">
        <v>5117</v>
      </c>
    </row>
    <row r="9549">
      <c r="H9549" t="s">
        <v>5117</v>
      </c>
    </row>
    <row r="9550">
      <c r="H9550" t="s">
        <v>5117</v>
      </c>
    </row>
    <row r="9551">
      <c r="H9551" t="s">
        <v>5117</v>
      </c>
    </row>
    <row r="9552">
      <c r="H9552" t="s">
        <v>5117</v>
      </c>
    </row>
    <row r="9553">
      <c r="H9553" t="s">
        <v>5117</v>
      </c>
    </row>
    <row r="9554">
      <c r="H9554" t="s">
        <v>5117</v>
      </c>
    </row>
    <row r="9555">
      <c r="H9555" t="s">
        <v>5117</v>
      </c>
    </row>
    <row r="9556">
      <c r="H9556" t="s">
        <v>5117</v>
      </c>
    </row>
    <row r="9557">
      <c r="H9557" t="s">
        <v>5117</v>
      </c>
    </row>
    <row r="9558">
      <c r="H9558" t="s">
        <v>5117</v>
      </c>
    </row>
    <row r="9559">
      <c r="H9559" t="s">
        <v>5117</v>
      </c>
    </row>
    <row r="9560">
      <c r="H9560" t="s">
        <v>5117</v>
      </c>
    </row>
    <row r="9561">
      <c r="H9561" t="s">
        <v>5117</v>
      </c>
    </row>
    <row r="9562">
      <c r="H9562" t="s">
        <v>5117</v>
      </c>
    </row>
    <row r="9563">
      <c r="H9563" t="s">
        <v>5117</v>
      </c>
    </row>
    <row r="9564">
      <c r="H9564" t="s">
        <v>5117</v>
      </c>
    </row>
    <row r="9565">
      <c r="H9565" t="s">
        <v>5117</v>
      </c>
    </row>
    <row r="9566">
      <c r="H9566" t="s">
        <v>5117</v>
      </c>
    </row>
    <row r="9567">
      <c r="H9567" t="s">
        <v>5117</v>
      </c>
    </row>
    <row r="9568">
      <c r="H9568" t="s">
        <v>5117</v>
      </c>
    </row>
    <row r="9569">
      <c r="H9569" t="s">
        <v>5117</v>
      </c>
    </row>
    <row r="9570">
      <c r="H9570" t="s">
        <v>5117</v>
      </c>
    </row>
    <row r="9571">
      <c r="H9571" t="s">
        <v>5117</v>
      </c>
    </row>
    <row r="9572">
      <c r="H9572" t="s">
        <v>5117</v>
      </c>
    </row>
    <row r="9573">
      <c r="H9573" t="s">
        <v>5117</v>
      </c>
    </row>
    <row r="9574">
      <c r="H9574" t="s">
        <v>5117</v>
      </c>
    </row>
    <row r="9575">
      <c r="H9575" t="s">
        <v>5117</v>
      </c>
    </row>
    <row r="9576">
      <c r="H9576" t="s">
        <v>5117</v>
      </c>
    </row>
    <row r="9577">
      <c r="H9577" t="s">
        <v>5117</v>
      </c>
    </row>
    <row r="9578">
      <c r="H9578" t="s">
        <v>5117</v>
      </c>
    </row>
    <row r="9579">
      <c r="H9579" t="s">
        <v>5117</v>
      </c>
    </row>
    <row r="9580">
      <c r="H9580" t="s">
        <v>5117</v>
      </c>
    </row>
    <row r="9581">
      <c r="H9581" t="s">
        <v>5117</v>
      </c>
    </row>
    <row r="9582">
      <c r="H9582" t="s">
        <v>5117</v>
      </c>
    </row>
    <row r="9583">
      <c r="H9583" t="s">
        <v>5117</v>
      </c>
    </row>
    <row r="9584">
      <c r="H9584" t="s">
        <v>5117</v>
      </c>
    </row>
    <row r="9585">
      <c r="H9585" t="s">
        <v>5117</v>
      </c>
    </row>
    <row r="9586">
      <c r="H9586" t="s">
        <v>5117</v>
      </c>
    </row>
    <row r="9587">
      <c r="H9587" t="s">
        <v>5117</v>
      </c>
    </row>
    <row r="9588">
      <c r="H9588" t="s">
        <v>5117</v>
      </c>
    </row>
    <row r="9589">
      <c r="H9589" t="s">
        <v>5117</v>
      </c>
    </row>
    <row r="9590">
      <c r="H9590" t="s">
        <v>5117</v>
      </c>
    </row>
    <row r="9591">
      <c r="H9591" t="s">
        <v>5117</v>
      </c>
    </row>
    <row r="9592">
      <c r="H9592" t="s">
        <v>5117</v>
      </c>
    </row>
    <row r="9593">
      <c r="H9593" t="s">
        <v>5117</v>
      </c>
    </row>
    <row r="9594">
      <c r="H9594" t="s">
        <v>5117</v>
      </c>
    </row>
    <row r="9595">
      <c r="H9595" t="s">
        <v>5117</v>
      </c>
    </row>
    <row r="9596">
      <c r="H9596" t="s">
        <v>5117</v>
      </c>
    </row>
    <row r="9597">
      <c r="H9597" t="s">
        <v>5117</v>
      </c>
    </row>
    <row r="9598">
      <c r="H9598" t="s">
        <v>5117</v>
      </c>
    </row>
    <row r="9599">
      <c r="H9599" t="s">
        <v>5117</v>
      </c>
    </row>
    <row r="9600">
      <c r="H9600" t="s">
        <v>5117</v>
      </c>
    </row>
    <row r="9601">
      <c r="H9601" t="s">
        <v>5117</v>
      </c>
    </row>
    <row r="9602">
      <c r="H9602" t="s">
        <v>5117</v>
      </c>
    </row>
    <row r="9603">
      <c r="H9603" t="s">
        <v>5117</v>
      </c>
    </row>
    <row r="9604">
      <c r="H9604" t="s">
        <v>5117</v>
      </c>
    </row>
    <row r="9605">
      <c r="H9605" t="s">
        <v>5117</v>
      </c>
    </row>
    <row r="9606">
      <c r="H9606" t="s">
        <v>5117</v>
      </c>
    </row>
    <row r="9607">
      <c r="H9607" t="s">
        <v>5117</v>
      </c>
    </row>
    <row r="9608">
      <c r="H9608" t="s">
        <v>5117</v>
      </c>
    </row>
    <row r="9609">
      <c r="H9609" t="s">
        <v>5117</v>
      </c>
    </row>
    <row r="9610">
      <c r="H9610" t="s">
        <v>5117</v>
      </c>
    </row>
    <row r="9611">
      <c r="H9611" t="s">
        <v>5117</v>
      </c>
    </row>
    <row r="9612">
      <c r="H9612" t="s">
        <v>5117</v>
      </c>
    </row>
    <row r="9613">
      <c r="H9613" t="s">
        <v>5117</v>
      </c>
    </row>
    <row r="9614">
      <c r="H9614" t="s">
        <v>5117</v>
      </c>
    </row>
    <row r="9615">
      <c r="H9615" t="s">
        <v>5117</v>
      </c>
    </row>
    <row r="9616">
      <c r="H9616" t="s">
        <v>5117</v>
      </c>
    </row>
    <row r="9617">
      <c r="H9617" t="s">
        <v>5117</v>
      </c>
    </row>
    <row r="9618">
      <c r="H9618" t="s">
        <v>5117</v>
      </c>
    </row>
    <row r="9619">
      <c r="H9619" t="s">
        <v>5117</v>
      </c>
    </row>
    <row r="9620">
      <c r="H9620" t="s">
        <v>5117</v>
      </c>
    </row>
    <row r="9621">
      <c r="H9621" t="s">
        <v>5117</v>
      </c>
    </row>
    <row r="9622">
      <c r="H9622" t="s">
        <v>5117</v>
      </c>
    </row>
    <row r="9623">
      <c r="H9623" t="s">
        <v>5117</v>
      </c>
    </row>
    <row r="9624">
      <c r="H9624" t="s">
        <v>5117</v>
      </c>
    </row>
    <row r="9625">
      <c r="H9625" t="s">
        <v>5117</v>
      </c>
    </row>
    <row r="9626">
      <c r="H9626" t="s">
        <v>5117</v>
      </c>
    </row>
    <row r="9627">
      <c r="H9627" t="s">
        <v>5117</v>
      </c>
    </row>
    <row r="9628">
      <c r="H9628" t="s">
        <v>5117</v>
      </c>
    </row>
    <row r="9629">
      <c r="H9629" t="s">
        <v>5117</v>
      </c>
    </row>
    <row r="9630">
      <c r="H9630" t="s">
        <v>5117</v>
      </c>
    </row>
    <row r="9631">
      <c r="H9631" t="s">
        <v>5117</v>
      </c>
    </row>
    <row r="9632">
      <c r="H9632" t="s">
        <v>5117</v>
      </c>
    </row>
    <row r="9633">
      <c r="H9633" t="s">
        <v>5117</v>
      </c>
    </row>
    <row r="9634">
      <c r="H9634" t="s">
        <v>5117</v>
      </c>
    </row>
    <row r="9635">
      <c r="H9635" t="s">
        <v>5117</v>
      </c>
    </row>
    <row r="9636">
      <c r="H9636" t="s">
        <v>5117</v>
      </c>
    </row>
    <row r="9637">
      <c r="H9637" t="s">
        <v>5117</v>
      </c>
    </row>
    <row r="9638">
      <c r="H9638" t="s">
        <v>5117</v>
      </c>
    </row>
    <row r="9639">
      <c r="H9639" t="s">
        <v>5117</v>
      </c>
    </row>
    <row r="9640">
      <c r="H9640" t="s">
        <v>5117</v>
      </c>
    </row>
    <row r="9641">
      <c r="H9641" t="s">
        <v>5117</v>
      </c>
    </row>
    <row r="9642">
      <c r="H9642" t="s">
        <v>5117</v>
      </c>
    </row>
    <row r="9643">
      <c r="H9643" t="s">
        <v>5117</v>
      </c>
    </row>
    <row r="9644">
      <c r="H9644" t="s">
        <v>5117</v>
      </c>
    </row>
    <row r="9645">
      <c r="H9645" t="s">
        <v>5117</v>
      </c>
    </row>
    <row r="9646">
      <c r="H9646" t="s">
        <v>5117</v>
      </c>
    </row>
    <row r="9647">
      <c r="H9647" t="s">
        <v>5117</v>
      </c>
    </row>
    <row r="9648">
      <c r="H9648" t="s">
        <v>5117</v>
      </c>
    </row>
    <row r="9649">
      <c r="H9649" t="s">
        <v>5117</v>
      </c>
    </row>
    <row r="9650">
      <c r="H9650" t="s">
        <v>5117</v>
      </c>
    </row>
    <row r="9651">
      <c r="H9651" t="s">
        <v>5117</v>
      </c>
    </row>
    <row r="9652">
      <c r="H9652" t="s">
        <v>5117</v>
      </c>
    </row>
    <row r="9653">
      <c r="H9653" t="s">
        <v>5117</v>
      </c>
    </row>
    <row r="9654">
      <c r="H9654" t="s">
        <v>5117</v>
      </c>
    </row>
    <row r="9655">
      <c r="H9655" t="s">
        <v>5117</v>
      </c>
    </row>
    <row r="9656">
      <c r="H9656" t="s">
        <v>5117</v>
      </c>
    </row>
    <row r="9657">
      <c r="H9657" t="s">
        <v>5117</v>
      </c>
    </row>
    <row r="9658">
      <c r="H9658" t="s">
        <v>5117</v>
      </c>
    </row>
    <row r="9659">
      <c r="H9659" t="s">
        <v>5117</v>
      </c>
    </row>
    <row r="9660">
      <c r="H9660" t="s">
        <v>5117</v>
      </c>
    </row>
    <row r="9661">
      <c r="H9661" t="s">
        <v>5117</v>
      </c>
    </row>
    <row r="9662">
      <c r="H9662" t="s">
        <v>5117</v>
      </c>
    </row>
    <row r="9663">
      <c r="H9663" t="s">
        <v>5117</v>
      </c>
    </row>
    <row r="9664">
      <c r="H9664" t="s">
        <v>5117</v>
      </c>
    </row>
    <row r="9665">
      <c r="H9665" t="s">
        <v>5117</v>
      </c>
    </row>
    <row r="9666">
      <c r="H9666" t="s">
        <v>5117</v>
      </c>
    </row>
    <row r="9667">
      <c r="H9667" t="s">
        <v>5117</v>
      </c>
    </row>
    <row r="9668">
      <c r="H9668" t="s">
        <v>5117</v>
      </c>
    </row>
    <row r="9669">
      <c r="H9669" t="s">
        <v>5117</v>
      </c>
    </row>
    <row r="9670">
      <c r="H9670" t="s">
        <v>5117</v>
      </c>
    </row>
    <row r="9671">
      <c r="H9671" t="s">
        <v>5117</v>
      </c>
    </row>
    <row r="9672">
      <c r="H9672" t="s">
        <v>5117</v>
      </c>
    </row>
    <row r="9673">
      <c r="H9673" t="s">
        <v>5117</v>
      </c>
    </row>
    <row r="9674">
      <c r="H9674" t="s">
        <v>5117</v>
      </c>
    </row>
    <row r="9675">
      <c r="H9675" t="s">
        <v>5117</v>
      </c>
    </row>
    <row r="9676">
      <c r="H9676" t="s">
        <v>5117</v>
      </c>
    </row>
    <row r="9677">
      <c r="H9677" t="s">
        <v>5117</v>
      </c>
    </row>
    <row r="9678">
      <c r="H9678" t="s">
        <v>5117</v>
      </c>
    </row>
    <row r="9679">
      <c r="H9679" t="s">
        <v>5117</v>
      </c>
    </row>
    <row r="9680">
      <c r="H9680" t="s">
        <v>5117</v>
      </c>
    </row>
    <row r="9681">
      <c r="H9681" t="s">
        <v>5117</v>
      </c>
    </row>
    <row r="9682">
      <c r="H9682" t="s">
        <v>5117</v>
      </c>
    </row>
    <row r="9683">
      <c r="H9683" t="s">
        <v>5117</v>
      </c>
    </row>
    <row r="9684">
      <c r="H9684" t="s">
        <v>5117</v>
      </c>
    </row>
    <row r="9685">
      <c r="H9685" t="s">
        <v>5117</v>
      </c>
    </row>
    <row r="9686">
      <c r="H9686" t="s">
        <v>5117</v>
      </c>
    </row>
    <row r="9687">
      <c r="H9687" t="s">
        <v>5117</v>
      </c>
    </row>
    <row r="9688">
      <c r="H9688" t="s">
        <v>5117</v>
      </c>
    </row>
    <row r="9689">
      <c r="H9689" t="s">
        <v>5117</v>
      </c>
    </row>
    <row r="9690">
      <c r="H9690" t="s">
        <v>5117</v>
      </c>
    </row>
    <row r="9691">
      <c r="H9691" t="s">
        <v>5117</v>
      </c>
    </row>
    <row r="9692">
      <c r="H9692" t="s">
        <v>5117</v>
      </c>
    </row>
    <row r="9693">
      <c r="H9693" t="s">
        <v>5117</v>
      </c>
    </row>
    <row r="9694">
      <c r="H9694" t="s">
        <v>5117</v>
      </c>
    </row>
    <row r="9695">
      <c r="H9695" t="s">
        <v>5117</v>
      </c>
    </row>
    <row r="9696">
      <c r="H9696" t="s">
        <v>5117</v>
      </c>
    </row>
    <row r="9697">
      <c r="H9697" t="s">
        <v>5117</v>
      </c>
    </row>
    <row r="9698">
      <c r="H9698" t="s">
        <v>5117</v>
      </c>
    </row>
    <row r="9699">
      <c r="H9699" t="s">
        <v>5117</v>
      </c>
    </row>
    <row r="9700">
      <c r="H9700" t="s">
        <v>5117</v>
      </c>
    </row>
    <row r="9701">
      <c r="H9701" t="s">
        <v>5117</v>
      </c>
    </row>
    <row r="9702">
      <c r="H9702" t="s">
        <v>5117</v>
      </c>
    </row>
    <row r="9703">
      <c r="H9703" t="s">
        <v>5117</v>
      </c>
    </row>
    <row r="9704">
      <c r="H9704" t="s">
        <v>5117</v>
      </c>
    </row>
    <row r="9705">
      <c r="H9705" t="s">
        <v>5117</v>
      </c>
    </row>
    <row r="9706">
      <c r="H9706" t="s">
        <v>5117</v>
      </c>
    </row>
    <row r="9707">
      <c r="H9707" t="s">
        <v>5117</v>
      </c>
    </row>
    <row r="9708">
      <c r="H9708" t="s">
        <v>5117</v>
      </c>
    </row>
    <row r="9709">
      <c r="H9709" t="s">
        <v>5117</v>
      </c>
    </row>
    <row r="9710">
      <c r="H9710" t="s">
        <v>5117</v>
      </c>
    </row>
    <row r="9711">
      <c r="H9711" t="s">
        <v>5117</v>
      </c>
    </row>
    <row r="9712">
      <c r="H9712" t="s">
        <v>5117</v>
      </c>
    </row>
    <row r="9713">
      <c r="H9713" t="s">
        <v>5117</v>
      </c>
    </row>
    <row r="9714">
      <c r="H9714" t="s">
        <v>5117</v>
      </c>
    </row>
    <row r="9715">
      <c r="H9715" t="s">
        <v>5117</v>
      </c>
    </row>
    <row r="9716">
      <c r="H9716" t="s">
        <v>5117</v>
      </c>
    </row>
    <row r="9717">
      <c r="H9717" t="s">
        <v>5117</v>
      </c>
    </row>
    <row r="9718">
      <c r="H9718" t="s">
        <v>5117</v>
      </c>
    </row>
    <row r="9719">
      <c r="H9719" t="s">
        <v>5117</v>
      </c>
    </row>
    <row r="9720">
      <c r="H9720" t="s">
        <v>5117</v>
      </c>
    </row>
    <row r="9721">
      <c r="H9721" t="s">
        <v>5117</v>
      </c>
    </row>
    <row r="9722">
      <c r="H9722" t="s">
        <v>5117</v>
      </c>
    </row>
    <row r="9723">
      <c r="H9723" t="s">
        <v>5117</v>
      </c>
    </row>
    <row r="9724">
      <c r="H9724" t="s">
        <v>5117</v>
      </c>
    </row>
    <row r="9725">
      <c r="H9725" t="s">
        <v>5117</v>
      </c>
    </row>
    <row r="9726">
      <c r="H9726" t="s">
        <v>5117</v>
      </c>
    </row>
    <row r="9727">
      <c r="H9727" t="s">
        <v>5117</v>
      </c>
    </row>
    <row r="9728">
      <c r="H9728" t="s">
        <v>5117</v>
      </c>
    </row>
    <row r="9729">
      <c r="H9729" t="s">
        <v>5117</v>
      </c>
    </row>
    <row r="9730">
      <c r="H9730" t="s">
        <v>5117</v>
      </c>
    </row>
    <row r="9731">
      <c r="H9731" t="s">
        <v>5117</v>
      </c>
    </row>
    <row r="9732">
      <c r="H9732" t="s">
        <v>5117</v>
      </c>
    </row>
    <row r="9733">
      <c r="H9733" t="s">
        <v>5117</v>
      </c>
    </row>
    <row r="9734">
      <c r="H9734" t="s">
        <v>5117</v>
      </c>
    </row>
    <row r="9735">
      <c r="H9735" t="s">
        <v>5117</v>
      </c>
    </row>
    <row r="9736">
      <c r="H9736" t="s">
        <v>5117</v>
      </c>
    </row>
    <row r="9737">
      <c r="H9737" t="s">
        <v>5117</v>
      </c>
    </row>
    <row r="9738">
      <c r="H9738" t="s">
        <v>5117</v>
      </c>
    </row>
    <row r="9739">
      <c r="H9739" t="s">
        <v>5117</v>
      </c>
    </row>
    <row r="9740">
      <c r="H9740" t="s">
        <v>5117</v>
      </c>
    </row>
    <row r="9741">
      <c r="H9741" t="s">
        <v>5117</v>
      </c>
    </row>
    <row r="9742">
      <c r="H9742" t="s">
        <v>5117</v>
      </c>
    </row>
    <row r="9743">
      <c r="H9743" t="s">
        <v>5117</v>
      </c>
    </row>
    <row r="9744">
      <c r="H9744" t="s">
        <v>5117</v>
      </c>
    </row>
    <row r="9745">
      <c r="H9745" t="s">
        <v>5117</v>
      </c>
    </row>
    <row r="9746">
      <c r="H9746" t="s">
        <v>5117</v>
      </c>
    </row>
    <row r="9747">
      <c r="H9747" t="s">
        <v>5117</v>
      </c>
    </row>
    <row r="9748">
      <c r="H9748" t="s">
        <v>5117</v>
      </c>
    </row>
    <row r="9749">
      <c r="H9749" t="s">
        <v>5117</v>
      </c>
    </row>
    <row r="9750">
      <c r="H9750" t="s">
        <v>5117</v>
      </c>
    </row>
    <row r="9751">
      <c r="H9751" t="s">
        <v>5117</v>
      </c>
    </row>
    <row r="9752">
      <c r="H9752" t="s">
        <v>5117</v>
      </c>
    </row>
    <row r="9753">
      <c r="H9753" t="s">
        <v>5117</v>
      </c>
    </row>
    <row r="9754">
      <c r="H9754" t="s">
        <v>5117</v>
      </c>
    </row>
    <row r="9755">
      <c r="H9755" t="s">
        <v>5117</v>
      </c>
    </row>
    <row r="9756">
      <c r="H9756" t="s">
        <v>5117</v>
      </c>
    </row>
    <row r="9757">
      <c r="H9757" t="s">
        <v>5117</v>
      </c>
    </row>
    <row r="9758">
      <c r="H9758" t="s">
        <v>5117</v>
      </c>
    </row>
    <row r="9759">
      <c r="H9759" t="s">
        <v>5117</v>
      </c>
    </row>
    <row r="9760">
      <c r="H9760" t="s">
        <v>5117</v>
      </c>
    </row>
    <row r="9761">
      <c r="H9761" t="s">
        <v>5117</v>
      </c>
    </row>
    <row r="9762">
      <c r="H9762" t="s">
        <v>5117</v>
      </c>
    </row>
    <row r="9763">
      <c r="H9763" t="s">
        <v>5117</v>
      </c>
    </row>
    <row r="9764">
      <c r="H9764" t="s">
        <v>5117</v>
      </c>
    </row>
    <row r="9765">
      <c r="H9765" t="s">
        <v>5117</v>
      </c>
    </row>
    <row r="9766">
      <c r="H9766" t="s">
        <v>5117</v>
      </c>
    </row>
    <row r="9767">
      <c r="H9767" t="s">
        <v>5117</v>
      </c>
    </row>
    <row r="9768">
      <c r="H9768" t="s">
        <v>5117</v>
      </c>
    </row>
    <row r="9769">
      <c r="H9769" t="s">
        <v>5117</v>
      </c>
    </row>
    <row r="9770">
      <c r="H9770" t="s">
        <v>5117</v>
      </c>
    </row>
    <row r="9771">
      <c r="H9771" t="s">
        <v>5117</v>
      </c>
    </row>
    <row r="9772">
      <c r="H9772" t="s">
        <v>5117</v>
      </c>
    </row>
    <row r="9773">
      <c r="H9773" t="s">
        <v>5117</v>
      </c>
    </row>
    <row r="9774">
      <c r="H9774" t="s">
        <v>5117</v>
      </c>
    </row>
    <row r="9775">
      <c r="H9775" t="s">
        <v>5117</v>
      </c>
    </row>
    <row r="9776">
      <c r="H9776" t="s">
        <v>5117</v>
      </c>
    </row>
    <row r="9777">
      <c r="H9777" t="s">
        <v>5117</v>
      </c>
    </row>
    <row r="9778">
      <c r="H9778" t="s">
        <v>5117</v>
      </c>
    </row>
    <row r="9779">
      <c r="H9779" t="s">
        <v>5117</v>
      </c>
    </row>
    <row r="9780">
      <c r="H9780" t="s">
        <v>5117</v>
      </c>
    </row>
    <row r="9781">
      <c r="H9781" t="s">
        <v>5117</v>
      </c>
    </row>
    <row r="9782">
      <c r="H9782" t="s">
        <v>5117</v>
      </c>
    </row>
    <row r="9783">
      <c r="H9783" t="s">
        <v>5117</v>
      </c>
    </row>
    <row r="9784">
      <c r="H9784" t="s">
        <v>5117</v>
      </c>
    </row>
    <row r="9785">
      <c r="H9785" t="s">
        <v>5117</v>
      </c>
    </row>
    <row r="9786">
      <c r="H9786" t="s">
        <v>5117</v>
      </c>
    </row>
    <row r="9787">
      <c r="H9787" t="s">
        <v>5117</v>
      </c>
    </row>
    <row r="9788">
      <c r="H9788" t="s">
        <v>5117</v>
      </c>
    </row>
    <row r="9789">
      <c r="H9789" t="s">
        <v>5117</v>
      </c>
    </row>
    <row r="9790">
      <c r="H9790" t="s">
        <v>5117</v>
      </c>
    </row>
    <row r="9791">
      <c r="H9791" t="s">
        <v>5117</v>
      </c>
    </row>
    <row r="9792">
      <c r="H9792" t="s">
        <v>5117</v>
      </c>
    </row>
    <row r="9793">
      <c r="H9793" t="s">
        <v>5117</v>
      </c>
    </row>
    <row r="9794">
      <c r="H9794" t="s">
        <v>5117</v>
      </c>
    </row>
    <row r="9795">
      <c r="H9795" t="s">
        <v>5117</v>
      </c>
    </row>
    <row r="9796">
      <c r="H9796" t="s">
        <v>5117</v>
      </c>
    </row>
    <row r="9797">
      <c r="H9797" t="s">
        <v>5117</v>
      </c>
    </row>
    <row r="9798">
      <c r="H9798" t="s">
        <v>5117</v>
      </c>
    </row>
    <row r="9799">
      <c r="H9799" t="s">
        <v>5117</v>
      </c>
    </row>
    <row r="9800">
      <c r="H9800" t="s">
        <v>5117</v>
      </c>
    </row>
    <row r="9801">
      <c r="H9801" t="s">
        <v>5117</v>
      </c>
    </row>
    <row r="9802">
      <c r="H9802" t="s">
        <v>5117</v>
      </c>
    </row>
    <row r="9803">
      <c r="H9803" t="s">
        <v>5117</v>
      </c>
    </row>
    <row r="9804">
      <c r="H9804" t="s">
        <v>5117</v>
      </c>
    </row>
    <row r="9805">
      <c r="H9805" t="s">
        <v>5117</v>
      </c>
    </row>
    <row r="9806">
      <c r="H9806" t="s">
        <v>5117</v>
      </c>
    </row>
    <row r="9807">
      <c r="H9807" t="s">
        <v>5117</v>
      </c>
    </row>
    <row r="9808">
      <c r="H9808" t="s">
        <v>5117</v>
      </c>
    </row>
    <row r="9809">
      <c r="H9809" t="s">
        <v>5117</v>
      </c>
    </row>
    <row r="9810">
      <c r="H9810" t="s">
        <v>5117</v>
      </c>
    </row>
    <row r="9811">
      <c r="H9811" t="s">
        <v>5117</v>
      </c>
    </row>
    <row r="9812">
      <c r="H9812" t="s">
        <v>5117</v>
      </c>
    </row>
    <row r="9813">
      <c r="H9813" t="s">
        <v>5117</v>
      </c>
    </row>
    <row r="9814">
      <c r="H9814" t="s">
        <v>5117</v>
      </c>
    </row>
    <row r="9815">
      <c r="H9815" t="s">
        <v>5117</v>
      </c>
    </row>
    <row r="9816">
      <c r="H9816" t="s">
        <v>5117</v>
      </c>
    </row>
    <row r="9817">
      <c r="H9817" t="s">
        <v>5117</v>
      </c>
    </row>
    <row r="9818">
      <c r="H9818" t="s">
        <v>5117</v>
      </c>
    </row>
    <row r="9819">
      <c r="H9819" t="s">
        <v>5117</v>
      </c>
    </row>
    <row r="9820">
      <c r="H9820" t="s">
        <v>5117</v>
      </c>
    </row>
    <row r="9821">
      <c r="H9821" t="s">
        <v>5117</v>
      </c>
    </row>
    <row r="9822">
      <c r="H9822" t="s">
        <v>5117</v>
      </c>
    </row>
    <row r="9823">
      <c r="H9823" t="s">
        <v>5117</v>
      </c>
    </row>
    <row r="9824">
      <c r="H9824" t="s">
        <v>5117</v>
      </c>
    </row>
    <row r="9825">
      <c r="H9825" t="s">
        <v>5117</v>
      </c>
    </row>
    <row r="9826">
      <c r="H9826" t="s">
        <v>5117</v>
      </c>
    </row>
    <row r="9827">
      <c r="H9827" t="s">
        <v>5117</v>
      </c>
    </row>
    <row r="9828">
      <c r="H9828" t="s">
        <v>5117</v>
      </c>
    </row>
    <row r="9829">
      <c r="H9829" t="s">
        <v>5117</v>
      </c>
    </row>
    <row r="9830">
      <c r="H9830" t="s">
        <v>5117</v>
      </c>
    </row>
    <row r="9831">
      <c r="H9831" t="s">
        <v>5117</v>
      </c>
    </row>
    <row r="9832">
      <c r="H9832" t="s">
        <v>5117</v>
      </c>
    </row>
    <row r="9833">
      <c r="H9833" t="s">
        <v>5117</v>
      </c>
    </row>
    <row r="9834">
      <c r="H9834" t="s">
        <v>5117</v>
      </c>
    </row>
    <row r="9835">
      <c r="H9835" t="s">
        <v>5117</v>
      </c>
    </row>
    <row r="9836">
      <c r="H9836" t="s">
        <v>5117</v>
      </c>
    </row>
    <row r="9837">
      <c r="H9837" t="s">
        <v>5117</v>
      </c>
    </row>
    <row r="9838">
      <c r="H9838" t="s">
        <v>5117</v>
      </c>
    </row>
    <row r="9839">
      <c r="H9839" t="s">
        <v>5117</v>
      </c>
    </row>
    <row r="9840">
      <c r="H9840" t="s">
        <v>5117</v>
      </c>
    </row>
    <row r="9841">
      <c r="H9841" t="s">
        <v>5117</v>
      </c>
    </row>
    <row r="9842">
      <c r="H9842" t="s">
        <v>5117</v>
      </c>
    </row>
    <row r="9843">
      <c r="H9843" t="s">
        <v>5117</v>
      </c>
    </row>
    <row r="9844">
      <c r="H9844" t="s">
        <v>5117</v>
      </c>
    </row>
    <row r="9845">
      <c r="H9845" t="s">
        <v>5117</v>
      </c>
    </row>
    <row r="9846">
      <c r="H9846" t="s">
        <v>5117</v>
      </c>
    </row>
    <row r="9847">
      <c r="H9847" t="s">
        <v>5117</v>
      </c>
    </row>
    <row r="9848">
      <c r="H9848" t="s">
        <v>5117</v>
      </c>
    </row>
    <row r="9849">
      <c r="H9849" t="s">
        <v>5117</v>
      </c>
    </row>
    <row r="9850">
      <c r="H9850" t="s">
        <v>5117</v>
      </c>
    </row>
    <row r="9851">
      <c r="H9851" t="s">
        <v>5117</v>
      </c>
    </row>
    <row r="9852">
      <c r="H9852" t="s">
        <v>5117</v>
      </c>
    </row>
    <row r="9853">
      <c r="H9853" t="s">
        <v>5117</v>
      </c>
    </row>
    <row r="9854">
      <c r="H9854" t="s">
        <v>5117</v>
      </c>
    </row>
    <row r="9855">
      <c r="H9855" t="s">
        <v>5117</v>
      </c>
    </row>
    <row r="9856">
      <c r="H9856" t="s">
        <v>5117</v>
      </c>
    </row>
    <row r="9857">
      <c r="H9857" t="s">
        <v>5117</v>
      </c>
    </row>
    <row r="9858">
      <c r="H9858" t="s">
        <v>5117</v>
      </c>
    </row>
    <row r="9859">
      <c r="H9859" t="s">
        <v>5117</v>
      </c>
    </row>
    <row r="9860">
      <c r="H9860" t="s">
        <v>5117</v>
      </c>
    </row>
    <row r="9861">
      <c r="H9861" t="s">
        <v>5117</v>
      </c>
    </row>
    <row r="9862">
      <c r="H9862" t="s">
        <v>5117</v>
      </c>
    </row>
    <row r="9863">
      <c r="H9863" t="s">
        <v>5117</v>
      </c>
    </row>
    <row r="9864">
      <c r="H9864" t="s">
        <v>5117</v>
      </c>
    </row>
    <row r="9865">
      <c r="H9865" t="s">
        <v>5117</v>
      </c>
    </row>
    <row r="9866">
      <c r="H9866" t="s">
        <v>5117</v>
      </c>
    </row>
    <row r="9867">
      <c r="H9867" t="s">
        <v>5117</v>
      </c>
    </row>
    <row r="9868">
      <c r="H9868" t="s">
        <v>5117</v>
      </c>
    </row>
    <row r="9869">
      <c r="H9869" t="s">
        <v>5117</v>
      </c>
    </row>
    <row r="9870">
      <c r="H9870" t="s">
        <v>5117</v>
      </c>
    </row>
    <row r="9871">
      <c r="H9871" t="s">
        <v>5117</v>
      </c>
    </row>
    <row r="9872">
      <c r="H9872" t="s">
        <v>5117</v>
      </c>
    </row>
    <row r="9873">
      <c r="H9873" t="s">
        <v>5117</v>
      </c>
    </row>
    <row r="9874">
      <c r="H9874" t="s">
        <v>5117</v>
      </c>
    </row>
    <row r="9875">
      <c r="H9875" t="s">
        <v>5117</v>
      </c>
    </row>
    <row r="9876">
      <c r="H9876" t="s">
        <v>5117</v>
      </c>
    </row>
    <row r="9877">
      <c r="H9877" t="s">
        <v>5117</v>
      </c>
    </row>
    <row r="9878">
      <c r="H9878" t="s">
        <v>5117</v>
      </c>
    </row>
    <row r="9879">
      <c r="H9879" t="s">
        <v>5117</v>
      </c>
    </row>
    <row r="9880">
      <c r="H9880" t="s">
        <v>5117</v>
      </c>
    </row>
    <row r="9881">
      <c r="H9881" t="s">
        <v>5117</v>
      </c>
    </row>
    <row r="9882">
      <c r="H9882" t="s">
        <v>5117</v>
      </c>
    </row>
    <row r="9883">
      <c r="H9883" t="s">
        <v>5117</v>
      </c>
    </row>
    <row r="9884">
      <c r="H9884" t="s">
        <v>5117</v>
      </c>
    </row>
    <row r="9885">
      <c r="H9885" t="s">
        <v>5117</v>
      </c>
    </row>
    <row r="9886">
      <c r="H9886" t="s">
        <v>5117</v>
      </c>
    </row>
    <row r="9887">
      <c r="H9887" t="s">
        <v>5117</v>
      </c>
    </row>
    <row r="9888">
      <c r="H9888" t="s">
        <v>5117</v>
      </c>
    </row>
    <row r="9889">
      <c r="H9889" t="s">
        <v>5117</v>
      </c>
    </row>
    <row r="9890">
      <c r="H9890" t="s">
        <v>5117</v>
      </c>
    </row>
    <row r="9891">
      <c r="H9891" t="s">
        <v>5117</v>
      </c>
    </row>
    <row r="9892">
      <c r="H9892" t="s">
        <v>5117</v>
      </c>
    </row>
    <row r="9893">
      <c r="H9893" t="s">
        <v>5117</v>
      </c>
    </row>
    <row r="9894">
      <c r="H9894" t="s">
        <v>5117</v>
      </c>
    </row>
    <row r="9895">
      <c r="H9895" t="s">
        <v>5117</v>
      </c>
    </row>
    <row r="9896">
      <c r="H9896" t="s">
        <v>5117</v>
      </c>
    </row>
    <row r="9897">
      <c r="H9897" t="s">
        <v>5117</v>
      </c>
    </row>
    <row r="9898">
      <c r="H9898" t="s">
        <v>5117</v>
      </c>
    </row>
    <row r="9899">
      <c r="H9899" t="s">
        <v>5117</v>
      </c>
    </row>
    <row r="9900">
      <c r="H9900" t="s">
        <v>5117</v>
      </c>
    </row>
    <row r="9901">
      <c r="H9901" t="s">
        <v>5117</v>
      </c>
    </row>
    <row r="9902">
      <c r="H9902" t="s">
        <v>5117</v>
      </c>
    </row>
    <row r="9903">
      <c r="H9903" t="s">
        <v>5117</v>
      </c>
    </row>
    <row r="9904">
      <c r="H9904" t="s">
        <v>5117</v>
      </c>
    </row>
    <row r="9905">
      <c r="H9905" t="s">
        <v>5117</v>
      </c>
    </row>
    <row r="9906">
      <c r="H9906" t="s">
        <v>5117</v>
      </c>
    </row>
    <row r="9907">
      <c r="H9907" t="s">
        <v>5117</v>
      </c>
    </row>
    <row r="9908">
      <c r="H9908" t="s">
        <v>5117</v>
      </c>
    </row>
    <row r="9909">
      <c r="H9909" t="s">
        <v>5117</v>
      </c>
    </row>
    <row r="9910">
      <c r="H9910" t="s">
        <v>5117</v>
      </c>
    </row>
    <row r="9911">
      <c r="H9911" t="s">
        <v>5117</v>
      </c>
    </row>
    <row r="9912">
      <c r="H9912" t="s">
        <v>5117</v>
      </c>
    </row>
    <row r="9913">
      <c r="H9913" t="s">
        <v>5117</v>
      </c>
    </row>
    <row r="9914">
      <c r="H9914" t="s">
        <v>5117</v>
      </c>
    </row>
    <row r="9915">
      <c r="H9915" t="s">
        <v>5117</v>
      </c>
    </row>
    <row r="9916">
      <c r="H9916" t="s">
        <v>5117</v>
      </c>
    </row>
    <row r="9917">
      <c r="H9917" t="s">
        <v>5117</v>
      </c>
    </row>
    <row r="9918">
      <c r="H9918" t="s">
        <v>5117</v>
      </c>
    </row>
    <row r="9919">
      <c r="H9919" t="s">
        <v>5117</v>
      </c>
    </row>
    <row r="9920">
      <c r="H9920" t="s">
        <v>5117</v>
      </c>
    </row>
    <row r="9921">
      <c r="H9921" t="s">
        <v>5117</v>
      </c>
    </row>
    <row r="9922">
      <c r="H9922" t="s">
        <v>5117</v>
      </c>
    </row>
    <row r="9923">
      <c r="H9923" t="s">
        <v>5117</v>
      </c>
    </row>
    <row r="9924">
      <c r="H9924" t="s">
        <v>5117</v>
      </c>
    </row>
    <row r="9925">
      <c r="H9925" t="s">
        <v>5117</v>
      </c>
    </row>
    <row r="9926">
      <c r="H9926" t="s">
        <v>5117</v>
      </c>
    </row>
    <row r="9927">
      <c r="H9927" t="s">
        <v>5117</v>
      </c>
    </row>
    <row r="9928">
      <c r="H9928" t="s">
        <v>5117</v>
      </c>
    </row>
    <row r="9929">
      <c r="H9929" t="s">
        <v>5117</v>
      </c>
    </row>
    <row r="9930">
      <c r="H9930" t="s">
        <v>5117</v>
      </c>
    </row>
    <row r="9931">
      <c r="H9931" t="s">
        <v>5117</v>
      </c>
    </row>
    <row r="9932">
      <c r="H9932" t="s">
        <v>5117</v>
      </c>
    </row>
    <row r="9933">
      <c r="H9933" t="s">
        <v>5117</v>
      </c>
    </row>
    <row r="9934">
      <c r="H9934" t="s">
        <v>5117</v>
      </c>
    </row>
    <row r="9935">
      <c r="H9935" t="s">
        <v>5117</v>
      </c>
    </row>
    <row r="9936">
      <c r="H9936" t="s">
        <v>5117</v>
      </c>
    </row>
    <row r="9937">
      <c r="H9937" t="s">
        <v>5117</v>
      </c>
    </row>
    <row r="9938">
      <c r="H9938" t="s">
        <v>5117</v>
      </c>
    </row>
    <row r="9939">
      <c r="H9939" t="s">
        <v>5117</v>
      </c>
    </row>
    <row r="9940">
      <c r="H9940" t="s">
        <v>5117</v>
      </c>
    </row>
    <row r="9941">
      <c r="H9941" t="s">
        <v>5117</v>
      </c>
    </row>
    <row r="9942">
      <c r="H9942" t="s">
        <v>5117</v>
      </c>
    </row>
    <row r="9943">
      <c r="H9943" t="s">
        <v>5117</v>
      </c>
    </row>
    <row r="9944">
      <c r="H9944" t="s">
        <v>5117</v>
      </c>
    </row>
    <row r="9945">
      <c r="H9945" t="s">
        <v>5117</v>
      </c>
    </row>
    <row r="9946">
      <c r="H9946" t="s">
        <v>5117</v>
      </c>
    </row>
    <row r="9947">
      <c r="H9947" t="s">
        <v>5117</v>
      </c>
    </row>
    <row r="9948">
      <c r="H9948" t="s">
        <v>5117</v>
      </c>
    </row>
    <row r="9949">
      <c r="H9949" t="s">
        <v>5117</v>
      </c>
    </row>
    <row r="9950">
      <c r="H9950" t="s">
        <v>5117</v>
      </c>
    </row>
    <row r="9951">
      <c r="H9951" t="s">
        <v>5117</v>
      </c>
    </row>
    <row r="9952">
      <c r="H9952" t="s">
        <v>5117</v>
      </c>
    </row>
    <row r="9953">
      <c r="H9953" t="s">
        <v>5117</v>
      </c>
    </row>
    <row r="9954">
      <c r="H9954" t="s">
        <v>5117</v>
      </c>
    </row>
    <row r="9955">
      <c r="H9955" t="s">
        <v>5117</v>
      </c>
    </row>
    <row r="9956">
      <c r="H9956" t="s">
        <v>5117</v>
      </c>
    </row>
    <row r="9957">
      <c r="H9957" t="s">
        <v>5117</v>
      </c>
    </row>
    <row r="9958">
      <c r="H9958" t="s">
        <v>5117</v>
      </c>
    </row>
    <row r="9959">
      <c r="H9959" t="s">
        <v>5117</v>
      </c>
    </row>
    <row r="9960">
      <c r="H9960" t="s">
        <v>5117</v>
      </c>
    </row>
    <row r="9961">
      <c r="H9961" t="s">
        <v>5117</v>
      </c>
    </row>
    <row r="9962">
      <c r="H9962" t="s">
        <v>5117</v>
      </c>
    </row>
    <row r="9963">
      <c r="H9963" t="s">
        <v>5117</v>
      </c>
    </row>
    <row r="9964">
      <c r="H9964" t="s">
        <v>5117</v>
      </c>
    </row>
    <row r="9965">
      <c r="H9965" t="s">
        <v>5117</v>
      </c>
    </row>
    <row r="9966">
      <c r="H9966" t="s">
        <v>5117</v>
      </c>
    </row>
    <row r="9967">
      <c r="H9967" t="s">
        <v>5117</v>
      </c>
    </row>
    <row r="9968">
      <c r="H9968" t="s">
        <v>5117</v>
      </c>
    </row>
    <row r="9969">
      <c r="H9969" t="s">
        <v>5117</v>
      </c>
    </row>
    <row r="9970">
      <c r="H9970" t="s">
        <v>5117</v>
      </c>
    </row>
    <row r="9971">
      <c r="H9971" t="s">
        <v>5117</v>
      </c>
    </row>
    <row r="9972">
      <c r="H9972" t="s">
        <v>5117</v>
      </c>
    </row>
    <row r="9973">
      <c r="H9973" t="s">
        <v>5117</v>
      </c>
    </row>
    <row r="9974">
      <c r="H9974" t="s">
        <v>5117</v>
      </c>
    </row>
    <row r="9975">
      <c r="H9975" t="s">
        <v>5117</v>
      </c>
    </row>
    <row r="9976">
      <c r="H9976" t="s">
        <v>5117</v>
      </c>
    </row>
    <row r="9977">
      <c r="H9977" t="s">
        <v>5117</v>
      </c>
    </row>
    <row r="9978">
      <c r="H9978" t="s">
        <v>5117</v>
      </c>
    </row>
    <row r="9979">
      <c r="H9979" t="s">
        <v>5117</v>
      </c>
    </row>
    <row r="9980">
      <c r="H9980" t="s">
        <v>5117</v>
      </c>
    </row>
    <row r="9981">
      <c r="H9981" t="s">
        <v>5117</v>
      </c>
    </row>
    <row r="9982">
      <c r="H9982" t="s">
        <v>5117</v>
      </c>
    </row>
    <row r="9983">
      <c r="H9983" t="s">
        <v>5117</v>
      </c>
    </row>
    <row r="9984">
      <c r="H9984" t="s">
        <v>5117</v>
      </c>
    </row>
    <row r="9985">
      <c r="H9985" t="s">
        <v>5117</v>
      </c>
    </row>
    <row r="9986">
      <c r="H9986" t="s">
        <v>5117</v>
      </c>
    </row>
    <row r="9987">
      <c r="H9987" t="s">
        <v>5117</v>
      </c>
    </row>
    <row r="9988">
      <c r="H9988" t="s">
        <v>5117</v>
      </c>
    </row>
    <row r="9989">
      <c r="H9989" t="s">
        <v>5117</v>
      </c>
    </row>
    <row r="9990">
      <c r="H9990" t="s">
        <v>5117</v>
      </c>
    </row>
    <row r="9991">
      <c r="H9991" t="s">
        <v>5117</v>
      </c>
    </row>
    <row r="9992">
      <c r="H9992" t="s">
        <v>5117</v>
      </c>
    </row>
    <row r="9993">
      <c r="H9993" t="s">
        <v>5117</v>
      </c>
    </row>
    <row r="9994">
      <c r="H9994" t="s">
        <v>5117</v>
      </c>
    </row>
    <row r="9995">
      <c r="H9995" t="s">
        <v>5117</v>
      </c>
    </row>
    <row r="9996">
      <c r="H9996" t="s">
        <v>5117</v>
      </c>
    </row>
    <row r="9997">
      <c r="H9997" t="s">
        <v>5117</v>
      </c>
    </row>
    <row r="9998">
      <c r="H9998" t="s">
        <v>5117</v>
      </c>
    </row>
    <row r="9999">
      <c r="H9999" t="s">
        <v>5117</v>
      </c>
    </row>
    <row r="10000">
      <c r="H10000" t="s">
        <v>5117</v>
      </c>
    </row>
    <row r="10001">
      <c r="H10001" t="s">
        <v>5117</v>
      </c>
    </row>
    <row r="10002">
      <c r="H10002" t="s">
        <v>5117</v>
      </c>
    </row>
    <row r="10003">
      <c r="H10003" t="s">
        <v>5117</v>
      </c>
    </row>
    <row r="10004">
      <c r="H10004" t="s">
        <v>5117</v>
      </c>
    </row>
    <row r="10005">
      <c r="H10005" t="s">
        <v>5117</v>
      </c>
    </row>
    <row r="10006">
      <c r="H10006" t="s">
        <v>5117</v>
      </c>
    </row>
    <row r="10007">
      <c r="H10007" t="s">
        <v>5117</v>
      </c>
    </row>
    <row r="10008">
      <c r="H10008" t="s">
        <v>5117</v>
      </c>
    </row>
    <row r="10009">
      <c r="H10009" t="s">
        <v>5117</v>
      </c>
    </row>
    <row r="10010">
      <c r="H10010" t="s">
        <v>5117</v>
      </c>
    </row>
    <row r="10011">
      <c r="H10011" t="s">
        <v>5117</v>
      </c>
    </row>
    <row r="10012">
      <c r="H10012" t="s">
        <v>5117</v>
      </c>
    </row>
    <row r="10013">
      <c r="H10013" t="s">
        <v>5117</v>
      </c>
    </row>
    <row r="10014">
      <c r="H10014" t="s">
        <v>5117</v>
      </c>
    </row>
    <row r="10015">
      <c r="H10015" t="s">
        <v>5117</v>
      </c>
    </row>
    <row r="10016">
      <c r="H10016" t="s">
        <v>5117</v>
      </c>
    </row>
    <row r="10017">
      <c r="H10017" t="s">
        <v>5117</v>
      </c>
    </row>
    <row r="10018">
      <c r="H10018" t="s">
        <v>5117</v>
      </c>
    </row>
    <row r="10019">
      <c r="H10019" t="s">
        <v>5117</v>
      </c>
    </row>
    <row r="10020">
      <c r="H10020" t="s">
        <v>5117</v>
      </c>
    </row>
    <row r="10021">
      <c r="H10021" t="s">
        <v>5117</v>
      </c>
    </row>
    <row r="10022">
      <c r="H10022" t="s">
        <v>5117</v>
      </c>
    </row>
    <row r="10023">
      <c r="H10023" t="s">
        <v>5117</v>
      </c>
    </row>
    <row r="10024">
      <c r="H10024" t="s">
        <v>5117</v>
      </c>
    </row>
    <row r="10025">
      <c r="H10025" t="s">
        <v>5117</v>
      </c>
    </row>
    <row r="10026">
      <c r="H10026" t="s">
        <v>5117</v>
      </c>
    </row>
    <row r="10027">
      <c r="H10027" t="s">
        <v>5117</v>
      </c>
    </row>
    <row r="10028">
      <c r="H10028" t="s">
        <v>5117</v>
      </c>
    </row>
    <row r="10029">
      <c r="H10029" t="s">
        <v>5117</v>
      </c>
    </row>
    <row r="10030">
      <c r="H10030" t="s">
        <v>5117</v>
      </c>
    </row>
    <row r="10031">
      <c r="H10031" t="s">
        <v>5117</v>
      </c>
    </row>
    <row r="10032">
      <c r="H10032" t="s">
        <v>5117</v>
      </c>
    </row>
    <row r="10033">
      <c r="H10033" t="s">
        <v>5117</v>
      </c>
    </row>
    <row r="10034">
      <c r="H10034" t="s">
        <v>5117</v>
      </c>
    </row>
    <row r="10035">
      <c r="H10035" t="s">
        <v>5117</v>
      </c>
    </row>
    <row r="10036">
      <c r="H10036" t="s">
        <v>5117</v>
      </c>
    </row>
    <row r="10037">
      <c r="H10037" t="s">
        <v>5117</v>
      </c>
    </row>
    <row r="10038">
      <c r="H10038" t="s">
        <v>5117</v>
      </c>
    </row>
    <row r="10039">
      <c r="H10039" t="s">
        <v>5117</v>
      </c>
    </row>
    <row r="10040">
      <c r="H10040" t="s">
        <v>5117</v>
      </c>
    </row>
    <row r="10041">
      <c r="H10041" t="s">
        <v>5117</v>
      </c>
    </row>
    <row r="10042">
      <c r="H10042" t="s">
        <v>5117</v>
      </c>
    </row>
    <row r="10043">
      <c r="H10043" t="s">
        <v>5117</v>
      </c>
    </row>
    <row r="10044">
      <c r="H10044" t="s">
        <v>5117</v>
      </c>
    </row>
    <row r="10045">
      <c r="H10045" t="s">
        <v>5117</v>
      </c>
    </row>
    <row r="10046">
      <c r="H10046" t="s">
        <v>5117</v>
      </c>
    </row>
    <row r="10047">
      <c r="H10047" t="s">
        <v>5117</v>
      </c>
    </row>
    <row r="10048">
      <c r="H10048" t="s">
        <v>5117</v>
      </c>
    </row>
    <row r="10049">
      <c r="H10049" t="s">
        <v>5117</v>
      </c>
    </row>
    <row r="10050">
      <c r="H10050" t="s">
        <v>5117</v>
      </c>
    </row>
    <row r="10051">
      <c r="H10051" t="s">
        <v>5117</v>
      </c>
    </row>
    <row r="10052">
      <c r="H10052" t="s">
        <v>5117</v>
      </c>
    </row>
    <row r="10053">
      <c r="H10053" t="s">
        <v>5117</v>
      </c>
    </row>
    <row r="10054">
      <c r="H10054" t="s">
        <v>5117</v>
      </c>
    </row>
    <row r="10055">
      <c r="H10055" t="s">
        <v>5117</v>
      </c>
    </row>
    <row r="10056">
      <c r="H10056" t="s">
        <v>5117</v>
      </c>
    </row>
    <row r="10057">
      <c r="H10057" t="s">
        <v>5117</v>
      </c>
    </row>
    <row r="10058">
      <c r="H10058" t="s">
        <v>5117</v>
      </c>
    </row>
    <row r="10059">
      <c r="H10059" t="s">
        <v>5117</v>
      </c>
    </row>
    <row r="10060">
      <c r="H10060" t="s">
        <v>5117</v>
      </c>
    </row>
    <row r="10061">
      <c r="H10061" t="s">
        <v>5117</v>
      </c>
    </row>
    <row r="10062">
      <c r="H10062" t="s">
        <v>5117</v>
      </c>
    </row>
    <row r="10063">
      <c r="H10063" t="s">
        <v>5117</v>
      </c>
    </row>
    <row r="10064">
      <c r="H10064" t="s">
        <v>5117</v>
      </c>
    </row>
    <row r="10065">
      <c r="H10065" t="s">
        <v>5117</v>
      </c>
    </row>
    <row r="10066">
      <c r="H10066" t="s">
        <v>5117</v>
      </c>
    </row>
    <row r="10067">
      <c r="H10067" t="s">
        <v>5117</v>
      </c>
    </row>
    <row r="10068">
      <c r="H10068" t="s">
        <v>5117</v>
      </c>
    </row>
    <row r="10069">
      <c r="H10069" t="s">
        <v>5117</v>
      </c>
    </row>
    <row r="10070">
      <c r="H10070" t="s">
        <v>5117</v>
      </c>
    </row>
    <row r="10071">
      <c r="H10071" t="s">
        <v>5117</v>
      </c>
    </row>
    <row r="10072">
      <c r="H10072" t="s">
        <v>5117</v>
      </c>
    </row>
    <row r="10073">
      <c r="H10073" t="s">
        <v>5117</v>
      </c>
    </row>
    <row r="10074">
      <c r="H10074" t="s">
        <v>5117</v>
      </c>
    </row>
    <row r="10075">
      <c r="H10075" t="s">
        <v>5117</v>
      </c>
    </row>
    <row r="10076">
      <c r="H10076" t="s">
        <v>5117</v>
      </c>
    </row>
    <row r="10077">
      <c r="H10077" t="s">
        <v>5117</v>
      </c>
    </row>
    <row r="10078">
      <c r="H10078" t="s">
        <v>5117</v>
      </c>
    </row>
    <row r="10079">
      <c r="H10079" t="s">
        <v>5117</v>
      </c>
    </row>
    <row r="10080">
      <c r="H10080" t="s">
        <v>5117</v>
      </c>
    </row>
    <row r="10081">
      <c r="H10081" t="s">
        <v>5117</v>
      </c>
    </row>
    <row r="10082">
      <c r="H10082" t="s">
        <v>5117</v>
      </c>
    </row>
    <row r="10083">
      <c r="H10083" t="s">
        <v>5117</v>
      </c>
    </row>
    <row r="10084">
      <c r="H10084" t="s">
        <v>5117</v>
      </c>
    </row>
    <row r="10085">
      <c r="H10085" t="s">
        <v>5117</v>
      </c>
    </row>
    <row r="10086">
      <c r="H10086" t="s">
        <v>5117</v>
      </c>
    </row>
    <row r="10087">
      <c r="H10087" t="s">
        <v>5117</v>
      </c>
    </row>
    <row r="10088">
      <c r="H10088" t="s">
        <v>5117</v>
      </c>
    </row>
    <row r="10089">
      <c r="H10089" t="s">
        <v>5117</v>
      </c>
    </row>
    <row r="10090">
      <c r="H10090" t="s">
        <v>5117</v>
      </c>
    </row>
    <row r="10091">
      <c r="H10091" t="s">
        <v>5117</v>
      </c>
    </row>
    <row r="10092">
      <c r="H10092" t="s">
        <v>5117</v>
      </c>
    </row>
    <row r="10093">
      <c r="H10093" t="s">
        <v>5117</v>
      </c>
    </row>
    <row r="10094">
      <c r="H10094" t="s">
        <v>5117</v>
      </c>
    </row>
    <row r="10095">
      <c r="H10095" t="s">
        <v>5117</v>
      </c>
    </row>
    <row r="10096">
      <c r="H10096" t="s">
        <v>5117</v>
      </c>
    </row>
    <row r="10097">
      <c r="H10097" t="s">
        <v>5117</v>
      </c>
    </row>
    <row r="10098">
      <c r="H10098" t="s">
        <v>5117</v>
      </c>
    </row>
    <row r="10099">
      <c r="H10099" t="s">
        <v>5117</v>
      </c>
    </row>
    <row r="10100">
      <c r="H10100" t="s">
        <v>5117</v>
      </c>
    </row>
    <row r="10101">
      <c r="H10101" t="s">
        <v>5117</v>
      </c>
    </row>
    <row r="10102">
      <c r="H10102" t="s">
        <v>5117</v>
      </c>
    </row>
    <row r="10103">
      <c r="H10103" t="s">
        <v>5117</v>
      </c>
    </row>
    <row r="10104">
      <c r="H10104" t="s">
        <v>5117</v>
      </c>
    </row>
    <row r="10105">
      <c r="H10105" t="s">
        <v>5117</v>
      </c>
    </row>
    <row r="10106">
      <c r="H10106" t="s">
        <v>5117</v>
      </c>
    </row>
    <row r="10107">
      <c r="H10107" t="s">
        <v>5117</v>
      </c>
    </row>
    <row r="10108">
      <c r="H10108" t="s">
        <v>5117</v>
      </c>
    </row>
    <row r="10109">
      <c r="H10109" t="s">
        <v>5117</v>
      </c>
    </row>
    <row r="10110">
      <c r="H10110" t="s">
        <v>5117</v>
      </c>
    </row>
    <row r="10111">
      <c r="H10111" t="s">
        <v>5117</v>
      </c>
    </row>
    <row r="10112">
      <c r="H10112" t="s">
        <v>5117</v>
      </c>
    </row>
    <row r="10113">
      <c r="H10113" t="s">
        <v>5117</v>
      </c>
    </row>
    <row r="10114">
      <c r="H10114" t="s">
        <v>5117</v>
      </c>
    </row>
    <row r="10115">
      <c r="H10115" t="s">
        <v>5117</v>
      </c>
    </row>
    <row r="10116">
      <c r="H10116" t="s">
        <v>5117</v>
      </c>
    </row>
    <row r="10117">
      <c r="H10117" t="s">
        <v>5117</v>
      </c>
    </row>
    <row r="10118">
      <c r="H10118" t="s">
        <v>5117</v>
      </c>
    </row>
    <row r="10119">
      <c r="H10119" t="s">
        <v>5117</v>
      </c>
    </row>
    <row r="10120">
      <c r="H10120" t="s">
        <v>5117</v>
      </c>
    </row>
    <row r="10121">
      <c r="H10121" t="s">
        <v>5117</v>
      </c>
    </row>
    <row r="10122">
      <c r="H10122" t="s">
        <v>5117</v>
      </c>
    </row>
    <row r="10123">
      <c r="H10123" t="s">
        <v>5117</v>
      </c>
    </row>
    <row r="10124">
      <c r="H10124" t="s">
        <v>5117</v>
      </c>
    </row>
    <row r="10125">
      <c r="H10125" t="s">
        <v>5117</v>
      </c>
    </row>
    <row r="10126">
      <c r="H10126" t="s">
        <v>5117</v>
      </c>
    </row>
    <row r="10127">
      <c r="H10127" t="s">
        <v>5117</v>
      </c>
    </row>
    <row r="10128">
      <c r="H10128" t="s">
        <v>5117</v>
      </c>
    </row>
    <row r="10129">
      <c r="H10129" t="s">
        <v>5117</v>
      </c>
    </row>
    <row r="10130">
      <c r="H10130" t="s">
        <v>5117</v>
      </c>
    </row>
    <row r="10131">
      <c r="H10131" t="s">
        <v>5117</v>
      </c>
    </row>
    <row r="10132">
      <c r="H10132" t="s">
        <v>5117</v>
      </c>
    </row>
    <row r="10133">
      <c r="H10133" t="s">
        <v>5117</v>
      </c>
    </row>
    <row r="10134">
      <c r="H10134" t="s">
        <v>5117</v>
      </c>
    </row>
    <row r="10135">
      <c r="H10135" t="s">
        <v>5117</v>
      </c>
    </row>
    <row r="10136">
      <c r="H10136" t="s">
        <v>5117</v>
      </c>
    </row>
    <row r="10137">
      <c r="H10137" t="s">
        <v>5117</v>
      </c>
    </row>
    <row r="10138">
      <c r="H10138" t="s">
        <v>5117</v>
      </c>
    </row>
    <row r="10139">
      <c r="H10139" t="s">
        <v>5117</v>
      </c>
    </row>
    <row r="10140">
      <c r="H10140" t="s">
        <v>5117</v>
      </c>
    </row>
    <row r="10141">
      <c r="H10141" t="s">
        <v>5117</v>
      </c>
    </row>
    <row r="10142">
      <c r="H10142" t="s">
        <v>5117</v>
      </c>
    </row>
    <row r="10143">
      <c r="H10143" t="s">
        <v>5117</v>
      </c>
    </row>
    <row r="10144">
      <c r="H10144" t="s">
        <v>5117</v>
      </c>
    </row>
    <row r="10145">
      <c r="H10145" t="s">
        <v>5117</v>
      </c>
    </row>
    <row r="10146">
      <c r="H10146" t="s">
        <v>5117</v>
      </c>
    </row>
    <row r="10147">
      <c r="H10147" t="s">
        <v>5117</v>
      </c>
    </row>
    <row r="10148">
      <c r="H10148" t="s">
        <v>5117</v>
      </c>
    </row>
    <row r="10149">
      <c r="H10149" t="s">
        <v>5117</v>
      </c>
    </row>
    <row r="10150">
      <c r="H10150" t="s">
        <v>5117</v>
      </c>
    </row>
    <row r="10151">
      <c r="H10151" t="s">
        <v>5117</v>
      </c>
    </row>
    <row r="10152">
      <c r="H10152" t="s">
        <v>5117</v>
      </c>
    </row>
    <row r="10153">
      <c r="H10153" t="s">
        <v>5117</v>
      </c>
    </row>
    <row r="10154">
      <c r="H10154" t="s">
        <v>5117</v>
      </c>
    </row>
    <row r="10155">
      <c r="H10155" t="s">
        <v>5117</v>
      </c>
    </row>
    <row r="10156">
      <c r="H10156" t="s">
        <v>5117</v>
      </c>
    </row>
    <row r="10157">
      <c r="H10157" t="s">
        <v>5117</v>
      </c>
    </row>
    <row r="10158">
      <c r="H10158" t="s">
        <v>5117</v>
      </c>
    </row>
    <row r="10159">
      <c r="H10159" t="s">
        <v>5117</v>
      </c>
    </row>
    <row r="10160">
      <c r="H10160" t="s">
        <v>5117</v>
      </c>
    </row>
    <row r="10161">
      <c r="H10161" t="s">
        <v>5117</v>
      </c>
    </row>
    <row r="10162">
      <c r="H10162" t="s">
        <v>5117</v>
      </c>
    </row>
    <row r="10163">
      <c r="H10163" t="s">
        <v>5117</v>
      </c>
    </row>
    <row r="10164">
      <c r="H10164" t="s">
        <v>5117</v>
      </c>
    </row>
    <row r="10165">
      <c r="H10165" t="s">
        <v>5117</v>
      </c>
    </row>
    <row r="10166">
      <c r="H10166" t="s">
        <v>5117</v>
      </c>
    </row>
    <row r="10167">
      <c r="H10167" t="s">
        <v>5117</v>
      </c>
    </row>
    <row r="10168">
      <c r="H10168" t="s">
        <v>5117</v>
      </c>
    </row>
    <row r="10169">
      <c r="H10169" t="s">
        <v>5117</v>
      </c>
    </row>
    <row r="10170">
      <c r="H10170" t="s">
        <v>5117</v>
      </c>
    </row>
    <row r="10171">
      <c r="H10171" t="s">
        <v>5117</v>
      </c>
    </row>
    <row r="10172">
      <c r="H10172" t="s">
        <v>5117</v>
      </c>
    </row>
    <row r="10173">
      <c r="H10173" t="s">
        <v>5117</v>
      </c>
    </row>
    <row r="10174">
      <c r="H10174" t="s">
        <v>5117</v>
      </c>
    </row>
    <row r="10175">
      <c r="H10175" t="s">
        <v>5117</v>
      </c>
    </row>
    <row r="10176">
      <c r="H10176" t="s">
        <v>5117</v>
      </c>
    </row>
    <row r="10177">
      <c r="H10177" t="s">
        <v>5117</v>
      </c>
    </row>
    <row r="10178">
      <c r="H10178" t="s">
        <v>5117</v>
      </c>
    </row>
    <row r="10179">
      <c r="H10179" t="s">
        <v>5117</v>
      </c>
    </row>
    <row r="10180">
      <c r="H10180" t="s">
        <v>5117</v>
      </c>
    </row>
    <row r="10181">
      <c r="H10181" t="s">
        <v>5117</v>
      </c>
    </row>
    <row r="10182">
      <c r="H10182" t="s">
        <v>5117</v>
      </c>
    </row>
    <row r="10183">
      <c r="H10183" t="s">
        <v>5117</v>
      </c>
    </row>
    <row r="10184">
      <c r="H10184" t="s">
        <v>5117</v>
      </c>
    </row>
    <row r="10185">
      <c r="H10185" t="s">
        <v>5117</v>
      </c>
    </row>
    <row r="10186">
      <c r="H10186" t="s">
        <v>5117</v>
      </c>
    </row>
    <row r="10187">
      <c r="H10187" t="s">
        <v>5117</v>
      </c>
    </row>
    <row r="10188">
      <c r="H10188" t="s">
        <v>5117</v>
      </c>
    </row>
    <row r="10189">
      <c r="H10189" t="s">
        <v>5117</v>
      </c>
    </row>
    <row r="10190">
      <c r="H10190" t="s">
        <v>5117</v>
      </c>
    </row>
    <row r="10191">
      <c r="H10191" t="s">
        <v>5117</v>
      </c>
    </row>
    <row r="10192">
      <c r="H10192" t="s">
        <v>5117</v>
      </c>
    </row>
    <row r="10193">
      <c r="H10193" t="s">
        <v>5117</v>
      </c>
    </row>
    <row r="10194">
      <c r="H10194" t="s">
        <v>5117</v>
      </c>
    </row>
    <row r="10195">
      <c r="H10195" t="s">
        <v>5117</v>
      </c>
    </row>
    <row r="10196">
      <c r="H10196" t="s">
        <v>5117</v>
      </c>
    </row>
    <row r="10197">
      <c r="H10197" t="s">
        <v>5117</v>
      </c>
    </row>
    <row r="10198">
      <c r="H10198" t="s">
        <v>5117</v>
      </c>
    </row>
    <row r="10199">
      <c r="H10199" t="s">
        <v>5117</v>
      </c>
    </row>
    <row r="10200">
      <c r="H10200" t="s">
        <v>5117</v>
      </c>
    </row>
    <row r="10201">
      <c r="H10201" t="s">
        <v>5117</v>
      </c>
    </row>
    <row r="10202">
      <c r="H10202" t="s">
        <v>5117</v>
      </c>
    </row>
    <row r="10203">
      <c r="H10203" t="s">
        <v>5117</v>
      </c>
    </row>
    <row r="10204">
      <c r="H10204" t="s">
        <v>5117</v>
      </c>
    </row>
    <row r="10205">
      <c r="H10205" t="s">
        <v>5117</v>
      </c>
    </row>
    <row r="10206">
      <c r="H10206" t="s">
        <v>5117</v>
      </c>
    </row>
    <row r="10207">
      <c r="H10207" t="s">
        <v>5117</v>
      </c>
    </row>
    <row r="10208">
      <c r="H10208" t="s">
        <v>5117</v>
      </c>
    </row>
    <row r="10209">
      <c r="H10209" t="s">
        <v>5117</v>
      </c>
    </row>
    <row r="10210">
      <c r="H10210" t="s">
        <v>5117</v>
      </c>
    </row>
    <row r="10211">
      <c r="H10211" t="s">
        <v>5117</v>
      </c>
    </row>
    <row r="10212">
      <c r="H10212" t="s">
        <v>5117</v>
      </c>
    </row>
    <row r="10213">
      <c r="H10213" t="s">
        <v>5117</v>
      </c>
    </row>
    <row r="10214">
      <c r="H10214" t="s">
        <v>5117</v>
      </c>
    </row>
    <row r="10215">
      <c r="H10215" t="s">
        <v>5117</v>
      </c>
    </row>
    <row r="10216">
      <c r="H10216" t="s">
        <v>5117</v>
      </c>
    </row>
    <row r="10217">
      <c r="H10217" t="s">
        <v>5117</v>
      </c>
    </row>
    <row r="10218">
      <c r="H10218" t="s">
        <v>5117</v>
      </c>
    </row>
    <row r="10219">
      <c r="H10219" t="s">
        <v>5117</v>
      </c>
    </row>
    <row r="10220">
      <c r="H10220" t="s">
        <v>5117</v>
      </c>
    </row>
    <row r="10221">
      <c r="H10221" t="s">
        <v>5117</v>
      </c>
    </row>
    <row r="10222">
      <c r="H10222" t="s">
        <v>5117</v>
      </c>
    </row>
    <row r="10223">
      <c r="H10223" t="s">
        <v>5117</v>
      </c>
    </row>
    <row r="10224">
      <c r="H10224" t="s">
        <v>5117</v>
      </c>
    </row>
    <row r="10225">
      <c r="H10225" t="s">
        <v>5117</v>
      </c>
    </row>
    <row r="10226">
      <c r="H10226" t="s">
        <v>5117</v>
      </c>
    </row>
    <row r="10227">
      <c r="H10227" t="s">
        <v>5117</v>
      </c>
    </row>
    <row r="10228">
      <c r="H10228" t="s">
        <v>5117</v>
      </c>
    </row>
    <row r="10229">
      <c r="H10229" t="s">
        <v>5117</v>
      </c>
    </row>
    <row r="10230">
      <c r="H10230" t="s">
        <v>5117</v>
      </c>
    </row>
    <row r="10231">
      <c r="H10231" t="s">
        <v>5117</v>
      </c>
    </row>
    <row r="10232">
      <c r="H10232" t="s">
        <v>5117</v>
      </c>
    </row>
    <row r="10233">
      <c r="H10233" t="s">
        <v>5117</v>
      </c>
    </row>
    <row r="10234">
      <c r="H10234" t="s">
        <v>5117</v>
      </c>
    </row>
    <row r="10235">
      <c r="H10235" t="s">
        <v>5117</v>
      </c>
    </row>
    <row r="10236">
      <c r="H10236" t="s">
        <v>5117</v>
      </c>
    </row>
    <row r="10237">
      <c r="H10237" t="s">
        <v>5117</v>
      </c>
    </row>
    <row r="10238">
      <c r="H10238" t="s">
        <v>5117</v>
      </c>
    </row>
    <row r="10239">
      <c r="H10239" t="s">
        <v>5117</v>
      </c>
    </row>
    <row r="10240">
      <c r="H10240" t="s">
        <v>5117</v>
      </c>
    </row>
    <row r="10241">
      <c r="H10241" t="s">
        <v>5117</v>
      </c>
    </row>
    <row r="10242">
      <c r="H10242" t="s">
        <v>5117</v>
      </c>
    </row>
    <row r="10243">
      <c r="H10243" t="s">
        <v>5117</v>
      </c>
    </row>
    <row r="10244">
      <c r="H10244" t="s">
        <v>5117</v>
      </c>
    </row>
    <row r="10245">
      <c r="H10245" t="s">
        <v>5117</v>
      </c>
    </row>
    <row r="10246">
      <c r="H10246" t="s">
        <v>5117</v>
      </c>
    </row>
    <row r="10247">
      <c r="H10247" t="s">
        <v>5117</v>
      </c>
    </row>
    <row r="10248">
      <c r="H10248" t="s">
        <v>5117</v>
      </c>
    </row>
    <row r="10249">
      <c r="H10249" t="s">
        <v>5117</v>
      </c>
    </row>
    <row r="10250">
      <c r="H10250" t="s">
        <v>5117</v>
      </c>
    </row>
    <row r="10251">
      <c r="H10251" t="s">
        <v>5117</v>
      </c>
    </row>
    <row r="10252">
      <c r="H10252" t="s">
        <v>5117</v>
      </c>
    </row>
    <row r="10253">
      <c r="H10253" t="s">
        <v>5117</v>
      </c>
    </row>
    <row r="10254">
      <c r="H10254" t="s">
        <v>5117</v>
      </c>
    </row>
    <row r="10255">
      <c r="H10255" t="s">
        <v>5117</v>
      </c>
    </row>
    <row r="10256">
      <c r="H10256" t="s">
        <v>5117</v>
      </c>
    </row>
    <row r="10257">
      <c r="H10257" t="s">
        <v>5117</v>
      </c>
    </row>
    <row r="10258">
      <c r="H10258" t="s">
        <v>5117</v>
      </c>
    </row>
    <row r="10259">
      <c r="H10259" t="s">
        <v>5117</v>
      </c>
    </row>
    <row r="10260">
      <c r="H10260" t="s">
        <v>5117</v>
      </c>
    </row>
    <row r="10261">
      <c r="H10261" t="s">
        <v>5117</v>
      </c>
    </row>
    <row r="10262">
      <c r="H10262" t="s">
        <v>5117</v>
      </c>
    </row>
    <row r="10263">
      <c r="H10263" t="s">
        <v>5117</v>
      </c>
    </row>
    <row r="10264">
      <c r="H10264" t="s">
        <v>5117</v>
      </c>
    </row>
    <row r="10265">
      <c r="H10265" t="s">
        <v>5117</v>
      </c>
    </row>
    <row r="10266">
      <c r="H10266" t="s">
        <v>5117</v>
      </c>
    </row>
    <row r="10267">
      <c r="H10267" t="s">
        <v>5117</v>
      </c>
    </row>
    <row r="10268">
      <c r="H10268" t="s">
        <v>5117</v>
      </c>
    </row>
    <row r="10269">
      <c r="H10269" t="s">
        <v>5117</v>
      </c>
    </row>
    <row r="10270">
      <c r="H10270" t="s">
        <v>5117</v>
      </c>
    </row>
    <row r="10271">
      <c r="H10271" t="s">
        <v>5117</v>
      </c>
    </row>
    <row r="10272">
      <c r="H10272" t="s">
        <v>5117</v>
      </c>
    </row>
    <row r="10273">
      <c r="H10273" t="s">
        <v>5117</v>
      </c>
    </row>
    <row r="10274">
      <c r="H10274" t="s">
        <v>5117</v>
      </c>
    </row>
    <row r="10275">
      <c r="H10275" t="s">
        <v>5117</v>
      </c>
    </row>
    <row r="10276">
      <c r="H10276" t="s">
        <v>5117</v>
      </c>
    </row>
    <row r="10277">
      <c r="H10277" t="s">
        <v>5117</v>
      </c>
    </row>
    <row r="10278">
      <c r="H10278" t="s">
        <v>5117</v>
      </c>
    </row>
    <row r="10279">
      <c r="H10279" t="s">
        <v>5117</v>
      </c>
    </row>
    <row r="10280">
      <c r="H10280" t="s">
        <v>5117</v>
      </c>
    </row>
    <row r="10281">
      <c r="H10281" t="s">
        <v>5117</v>
      </c>
    </row>
    <row r="10282">
      <c r="H10282" t="s">
        <v>5117</v>
      </c>
    </row>
    <row r="10283">
      <c r="H10283" t="s">
        <v>5117</v>
      </c>
    </row>
    <row r="10284">
      <c r="H10284" t="s">
        <v>5117</v>
      </c>
    </row>
    <row r="10285">
      <c r="H10285" t="s">
        <v>5117</v>
      </c>
    </row>
    <row r="10286">
      <c r="H10286" t="s">
        <v>5117</v>
      </c>
    </row>
    <row r="10287">
      <c r="H10287" t="s">
        <v>5117</v>
      </c>
    </row>
    <row r="10288">
      <c r="H10288" t="s">
        <v>5117</v>
      </c>
    </row>
    <row r="10289">
      <c r="H10289" t="s">
        <v>5117</v>
      </c>
    </row>
    <row r="10290">
      <c r="H10290" t="s">
        <v>5117</v>
      </c>
    </row>
    <row r="10291">
      <c r="H10291" t="s">
        <v>5117</v>
      </c>
    </row>
    <row r="10292">
      <c r="H10292" t="s">
        <v>5117</v>
      </c>
    </row>
    <row r="10293">
      <c r="H10293" t="s">
        <v>5117</v>
      </c>
    </row>
    <row r="10294">
      <c r="H10294" t="s">
        <v>5117</v>
      </c>
    </row>
    <row r="10295">
      <c r="H10295" t="s">
        <v>5117</v>
      </c>
    </row>
    <row r="10296">
      <c r="H10296" t="s">
        <v>5117</v>
      </c>
    </row>
    <row r="10297">
      <c r="H10297" t="s">
        <v>5117</v>
      </c>
    </row>
    <row r="10298">
      <c r="H10298" t="s">
        <v>5117</v>
      </c>
    </row>
    <row r="10299">
      <c r="H10299" t="s">
        <v>5117</v>
      </c>
    </row>
    <row r="10300">
      <c r="H10300" t="s">
        <v>5117</v>
      </c>
    </row>
    <row r="10301">
      <c r="H10301" t="s">
        <v>5117</v>
      </c>
    </row>
    <row r="10302">
      <c r="H10302" t="s">
        <v>5117</v>
      </c>
    </row>
    <row r="10303">
      <c r="H10303" t="s">
        <v>5117</v>
      </c>
    </row>
    <row r="10304">
      <c r="H10304" t="s">
        <v>5117</v>
      </c>
    </row>
    <row r="10305">
      <c r="H10305" t="s">
        <v>5117</v>
      </c>
    </row>
    <row r="10306">
      <c r="H10306" t="s">
        <v>5117</v>
      </c>
    </row>
    <row r="10307">
      <c r="H10307" t="s">
        <v>5117</v>
      </c>
    </row>
    <row r="10308">
      <c r="H10308" t="s">
        <v>5117</v>
      </c>
    </row>
    <row r="10309">
      <c r="H10309" t="s">
        <v>5117</v>
      </c>
    </row>
    <row r="10310">
      <c r="H10310" t="s">
        <v>5117</v>
      </c>
    </row>
    <row r="10311">
      <c r="H10311" t="s">
        <v>5117</v>
      </c>
    </row>
    <row r="10312">
      <c r="H10312" t="s">
        <v>5117</v>
      </c>
    </row>
    <row r="10313">
      <c r="H10313" t="s">
        <v>5117</v>
      </c>
    </row>
    <row r="10314">
      <c r="H10314" t="s">
        <v>5117</v>
      </c>
    </row>
    <row r="10315">
      <c r="H10315" t="s">
        <v>5117</v>
      </c>
    </row>
    <row r="10316">
      <c r="H10316" t="s">
        <v>5117</v>
      </c>
    </row>
    <row r="10317">
      <c r="H10317" t="s">
        <v>5117</v>
      </c>
    </row>
    <row r="10318">
      <c r="H10318" t="s">
        <v>5117</v>
      </c>
    </row>
    <row r="10319">
      <c r="H10319" t="s">
        <v>5117</v>
      </c>
    </row>
    <row r="10320">
      <c r="H10320" t="s">
        <v>5117</v>
      </c>
    </row>
    <row r="10321">
      <c r="H10321" t="s">
        <v>5117</v>
      </c>
    </row>
    <row r="10322">
      <c r="H10322" t="s">
        <v>5117</v>
      </c>
    </row>
    <row r="10323">
      <c r="H10323" t="s">
        <v>5117</v>
      </c>
    </row>
    <row r="10324">
      <c r="H10324" t="s">
        <v>5117</v>
      </c>
    </row>
    <row r="10325">
      <c r="H10325" t="s">
        <v>5117</v>
      </c>
    </row>
    <row r="10326">
      <c r="H10326" t="s">
        <v>5117</v>
      </c>
    </row>
    <row r="10327">
      <c r="H10327" t="s">
        <v>5117</v>
      </c>
    </row>
    <row r="10328">
      <c r="H10328" t="s">
        <v>5117</v>
      </c>
    </row>
    <row r="10329">
      <c r="H10329" t="s">
        <v>5117</v>
      </c>
    </row>
    <row r="10330">
      <c r="H10330" t="s">
        <v>5117</v>
      </c>
    </row>
    <row r="10331">
      <c r="H10331" t="s">
        <v>5117</v>
      </c>
    </row>
    <row r="10332">
      <c r="H10332" t="s">
        <v>5117</v>
      </c>
    </row>
    <row r="10333">
      <c r="H10333" t="s">
        <v>5117</v>
      </c>
    </row>
    <row r="10334">
      <c r="H10334" t="s">
        <v>5117</v>
      </c>
    </row>
    <row r="10335">
      <c r="H10335" t="s">
        <v>5117</v>
      </c>
    </row>
    <row r="10336">
      <c r="H10336" t="s">
        <v>5117</v>
      </c>
    </row>
    <row r="10337">
      <c r="H10337" t="s">
        <v>5117</v>
      </c>
    </row>
    <row r="10338">
      <c r="H10338" t="s">
        <v>5117</v>
      </c>
    </row>
    <row r="10339">
      <c r="H10339" t="s">
        <v>5117</v>
      </c>
    </row>
    <row r="10340">
      <c r="H10340" t="s">
        <v>5117</v>
      </c>
    </row>
    <row r="10341">
      <c r="H10341" t="s">
        <v>5117</v>
      </c>
    </row>
    <row r="10342">
      <c r="H10342" t="s">
        <v>5117</v>
      </c>
    </row>
    <row r="10343">
      <c r="H10343" t="s">
        <v>5117</v>
      </c>
    </row>
    <row r="10344">
      <c r="H10344" t="s">
        <v>5117</v>
      </c>
    </row>
    <row r="10345">
      <c r="H10345" t="s">
        <v>5117</v>
      </c>
    </row>
    <row r="10346">
      <c r="H10346" t="s">
        <v>5117</v>
      </c>
    </row>
    <row r="10347">
      <c r="H10347" t="s">
        <v>5117</v>
      </c>
    </row>
    <row r="10348">
      <c r="H10348" t="s">
        <v>5117</v>
      </c>
    </row>
    <row r="10349">
      <c r="H10349" t="s">
        <v>5117</v>
      </c>
    </row>
    <row r="10350">
      <c r="H10350" t="s">
        <v>5117</v>
      </c>
    </row>
    <row r="10351">
      <c r="H10351" t="s">
        <v>5117</v>
      </c>
    </row>
    <row r="10352">
      <c r="H10352" t="s">
        <v>5117</v>
      </c>
    </row>
    <row r="10353">
      <c r="H10353" t="s">
        <v>5117</v>
      </c>
    </row>
    <row r="10354">
      <c r="H10354" t="s">
        <v>5117</v>
      </c>
    </row>
    <row r="10355">
      <c r="H10355" t="s">
        <v>5117</v>
      </c>
    </row>
    <row r="10356">
      <c r="H10356" t="s">
        <v>5117</v>
      </c>
    </row>
    <row r="10357">
      <c r="H10357" t="s">
        <v>5117</v>
      </c>
    </row>
    <row r="10358">
      <c r="H10358" t="s">
        <v>5117</v>
      </c>
    </row>
    <row r="10359">
      <c r="H10359" t="s">
        <v>5117</v>
      </c>
    </row>
    <row r="10360">
      <c r="H10360" t="s">
        <v>5117</v>
      </c>
    </row>
    <row r="10361">
      <c r="H10361" t="s">
        <v>5117</v>
      </c>
    </row>
    <row r="10362">
      <c r="H10362" t="s">
        <v>5117</v>
      </c>
    </row>
    <row r="10363">
      <c r="H10363" t="s">
        <v>5117</v>
      </c>
    </row>
    <row r="10364">
      <c r="H10364" t="s">
        <v>5117</v>
      </c>
    </row>
    <row r="10365">
      <c r="H10365" t="s">
        <v>5117</v>
      </c>
    </row>
    <row r="10366">
      <c r="H10366" t="s">
        <v>5117</v>
      </c>
    </row>
    <row r="10367">
      <c r="H10367" t="s">
        <v>5117</v>
      </c>
    </row>
    <row r="10368">
      <c r="H10368" t="s">
        <v>5117</v>
      </c>
    </row>
    <row r="10369">
      <c r="H10369" t="s">
        <v>5117</v>
      </c>
    </row>
    <row r="10370">
      <c r="H10370" t="s">
        <v>5117</v>
      </c>
    </row>
    <row r="10371">
      <c r="H10371" t="s">
        <v>5117</v>
      </c>
    </row>
    <row r="10372">
      <c r="H10372" t="s">
        <v>5117</v>
      </c>
    </row>
    <row r="10373">
      <c r="H10373" t="s">
        <v>5117</v>
      </c>
    </row>
    <row r="10374">
      <c r="H10374" t="s">
        <v>5117</v>
      </c>
    </row>
    <row r="10375">
      <c r="H10375" t="s">
        <v>5117</v>
      </c>
    </row>
    <row r="10376">
      <c r="H10376" t="s">
        <v>5117</v>
      </c>
    </row>
    <row r="10377">
      <c r="H10377" t="s">
        <v>5117</v>
      </c>
    </row>
    <row r="10378">
      <c r="H10378" t="s">
        <v>5117</v>
      </c>
    </row>
    <row r="10379">
      <c r="H10379" t="s">
        <v>5117</v>
      </c>
    </row>
    <row r="10380">
      <c r="H10380" t="s">
        <v>5117</v>
      </c>
    </row>
    <row r="10381">
      <c r="H10381" t="s">
        <v>5117</v>
      </c>
    </row>
    <row r="10382">
      <c r="H10382" t="s">
        <v>5117</v>
      </c>
    </row>
    <row r="10383">
      <c r="H10383" t="s">
        <v>5117</v>
      </c>
    </row>
    <row r="10384">
      <c r="H10384" t="s">
        <v>5117</v>
      </c>
    </row>
    <row r="10385">
      <c r="H10385" t="s">
        <v>5117</v>
      </c>
    </row>
    <row r="10386">
      <c r="H10386" t="s">
        <v>5117</v>
      </c>
    </row>
    <row r="10387">
      <c r="H10387" t="s">
        <v>5117</v>
      </c>
    </row>
    <row r="10388">
      <c r="H10388" t="s">
        <v>5117</v>
      </c>
    </row>
    <row r="10389">
      <c r="H10389" t="s">
        <v>5117</v>
      </c>
    </row>
    <row r="10390">
      <c r="H10390" t="s">
        <v>5117</v>
      </c>
    </row>
    <row r="10391">
      <c r="H10391" t="s">
        <v>5117</v>
      </c>
    </row>
    <row r="10392">
      <c r="H10392" t="s">
        <v>5117</v>
      </c>
    </row>
    <row r="10393">
      <c r="H10393" t="s">
        <v>5117</v>
      </c>
    </row>
    <row r="10394">
      <c r="H10394" t="s">
        <v>5117</v>
      </c>
    </row>
    <row r="10395">
      <c r="H10395" t="s">
        <v>5117</v>
      </c>
    </row>
    <row r="10396">
      <c r="H10396" t="s">
        <v>5117</v>
      </c>
    </row>
    <row r="10397">
      <c r="H10397" t="s">
        <v>5117</v>
      </c>
    </row>
    <row r="10398">
      <c r="H10398" t="s">
        <v>5117</v>
      </c>
    </row>
    <row r="10399">
      <c r="H10399" t="s">
        <v>5117</v>
      </c>
    </row>
    <row r="10400">
      <c r="H10400" t="s">
        <v>5117</v>
      </c>
    </row>
    <row r="10401">
      <c r="H10401" t="s">
        <v>5117</v>
      </c>
    </row>
    <row r="10402">
      <c r="H10402" t="s">
        <v>5117</v>
      </c>
    </row>
    <row r="10403">
      <c r="H10403" t="s">
        <v>5117</v>
      </c>
    </row>
    <row r="10404">
      <c r="H10404" t="s">
        <v>5117</v>
      </c>
    </row>
    <row r="10405">
      <c r="H10405" t="s">
        <v>5117</v>
      </c>
    </row>
    <row r="10406">
      <c r="H10406" t="s">
        <v>5117</v>
      </c>
    </row>
    <row r="10407">
      <c r="H10407" t="s">
        <v>5117</v>
      </c>
    </row>
    <row r="10408">
      <c r="H10408" t="s">
        <v>5117</v>
      </c>
    </row>
    <row r="10409">
      <c r="H10409" t="s">
        <v>5117</v>
      </c>
    </row>
    <row r="10410">
      <c r="H10410" t="s">
        <v>5117</v>
      </c>
    </row>
    <row r="10411">
      <c r="H10411" t="s">
        <v>5117</v>
      </c>
    </row>
    <row r="10412">
      <c r="H10412" t="s">
        <v>5117</v>
      </c>
    </row>
    <row r="10413">
      <c r="H10413" t="s">
        <v>5117</v>
      </c>
    </row>
    <row r="10414">
      <c r="H10414" t="s">
        <v>5117</v>
      </c>
    </row>
    <row r="10415">
      <c r="H10415" t="s">
        <v>5117</v>
      </c>
    </row>
    <row r="10416">
      <c r="H10416" t="s">
        <v>5117</v>
      </c>
    </row>
    <row r="10417">
      <c r="H10417" t="s">
        <v>5117</v>
      </c>
    </row>
    <row r="10418">
      <c r="H10418" t="s">
        <v>5117</v>
      </c>
    </row>
    <row r="10419">
      <c r="H10419" t="s">
        <v>5117</v>
      </c>
    </row>
    <row r="10420">
      <c r="H10420" t="s">
        <v>5117</v>
      </c>
    </row>
    <row r="10421">
      <c r="H10421" t="s">
        <v>5117</v>
      </c>
    </row>
    <row r="10422">
      <c r="H10422" t="s">
        <v>5117</v>
      </c>
    </row>
    <row r="10423">
      <c r="H10423" t="s">
        <v>5117</v>
      </c>
    </row>
    <row r="10424">
      <c r="H10424" t="s">
        <v>5117</v>
      </c>
    </row>
    <row r="10425">
      <c r="H10425" t="s">
        <v>5117</v>
      </c>
    </row>
    <row r="10426">
      <c r="H10426" t="s">
        <v>5117</v>
      </c>
    </row>
    <row r="10427">
      <c r="H10427" t="s">
        <v>5117</v>
      </c>
    </row>
    <row r="10428">
      <c r="H10428" t="s">
        <v>5117</v>
      </c>
    </row>
    <row r="10429">
      <c r="H10429" t="s">
        <v>5117</v>
      </c>
    </row>
    <row r="10430">
      <c r="H10430" t="s">
        <v>5117</v>
      </c>
    </row>
    <row r="10431">
      <c r="H10431" t="s">
        <v>5117</v>
      </c>
    </row>
    <row r="10432">
      <c r="H10432" t="s">
        <v>5117</v>
      </c>
    </row>
    <row r="10433">
      <c r="H10433" t="s">
        <v>5117</v>
      </c>
    </row>
    <row r="10434">
      <c r="H10434" t="s">
        <v>5117</v>
      </c>
    </row>
    <row r="10435">
      <c r="H10435" t="s">
        <v>5117</v>
      </c>
    </row>
    <row r="10436">
      <c r="H10436" t="s">
        <v>5117</v>
      </c>
    </row>
    <row r="10437">
      <c r="H10437" t="s">
        <v>5117</v>
      </c>
    </row>
    <row r="10438">
      <c r="H10438" t="s">
        <v>5117</v>
      </c>
    </row>
    <row r="10439">
      <c r="H10439" t="s">
        <v>5117</v>
      </c>
    </row>
    <row r="10440">
      <c r="H10440" t="s">
        <v>5117</v>
      </c>
    </row>
    <row r="10441">
      <c r="H10441" t="s">
        <v>5117</v>
      </c>
    </row>
    <row r="10442">
      <c r="H10442" t="s">
        <v>5117</v>
      </c>
    </row>
    <row r="10443">
      <c r="H10443" t="s">
        <v>5117</v>
      </c>
    </row>
    <row r="10444">
      <c r="H10444" t="s">
        <v>5117</v>
      </c>
    </row>
    <row r="10445">
      <c r="H10445" t="s">
        <v>5117</v>
      </c>
    </row>
    <row r="10446">
      <c r="H10446" t="s">
        <v>5117</v>
      </c>
    </row>
    <row r="10447">
      <c r="H10447" t="s">
        <v>5117</v>
      </c>
    </row>
    <row r="10448">
      <c r="H10448" t="s">
        <v>5117</v>
      </c>
    </row>
    <row r="10449">
      <c r="H10449" t="s">
        <v>5117</v>
      </c>
    </row>
    <row r="10450">
      <c r="H10450" t="s">
        <v>5117</v>
      </c>
    </row>
    <row r="10451">
      <c r="H10451" t="s">
        <v>5117</v>
      </c>
    </row>
    <row r="10452">
      <c r="H10452" t="s">
        <v>5117</v>
      </c>
    </row>
    <row r="10453">
      <c r="H10453" t="s">
        <v>5117</v>
      </c>
    </row>
    <row r="10454">
      <c r="H10454" t="s">
        <v>5117</v>
      </c>
    </row>
    <row r="10455">
      <c r="H10455" t="s">
        <v>5117</v>
      </c>
    </row>
    <row r="10456">
      <c r="H10456" t="s">
        <v>5117</v>
      </c>
    </row>
    <row r="10457">
      <c r="H10457" t="s">
        <v>5117</v>
      </c>
    </row>
    <row r="10458">
      <c r="H10458" t="s">
        <v>5117</v>
      </c>
    </row>
    <row r="10459">
      <c r="H10459" t="s">
        <v>5117</v>
      </c>
    </row>
    <row r="10460">
      <c r="H10460" t="s">
        <v>5117</v>
      </c>
    </row>
    <row r="10461">
      <c r="H10461" t="s">
        <v>5117</v>
      </c>
    </row>
    <row r="10462">
      <c r="H10462" t="s">
        <v>5117</v>
      </c>
    </row>
    <row r="10463">
      <c r="H10463" t="s">
        <v>5117</v>
      </c>
    </row>
    <row r="10464">
      <c r="H10464" t="s">
        <v>5117</v>
      </c>
    </row>
    <row r="10465">
      <c r="H10465" t="s">
        <v>5117</v>
      </c>
    </row>
    <row r="10466">
      <c r="H10466" t="s">
        <v>5117</v>
      </c>
    </row>
    <row r="10467">
      <c r="H10467" t="s">
        <v>5117</v>
      </c>
    </row>
    <row r="10468">
      <c r="H10468" t="s">
        <v>5117</v>
      </c>
    </row>
    <row r="10469">
      <c r="H10469" t="s">
        <v>5117</v>
      </c>
    </row>
    <row r="10470">
      <c r="H10470" t="s">
        <v>5117</v>
      </c>
    </row>
    <row r="10471">
      <c r="H10471" t="s">
        <v>5117</v>
      </c>
    </row>
    <row r="10472">
      <c r="H10472" t="s">
        <v>5117</v>
      </c>
    </row>
    <row r="10473">
      <c r="H10473" t="s">
        <v>5117</v>
      </c>
    </row>
    <row r="10474">
      <c r="H10474" t="s">
        <v>5117</v>
      </c>
    </row>
    <row r="10475">
      <c r="H10475" t="s">
        <v>5117</v>
      </c>
    </row>
    <row r="10476">
      <c r="H10476" t="s">
        <v>5117</v>
      </c>
    </row>
    <row r="10477">
      <c r="H10477" t="s">
        <v>5117</v>
      </c>
    </row>
    <row r="10478">
      <c r="H10478" t="s">
        <v>5117</v>
      </c>
    </row>
    <row r="10479">
      <c r="H10479" t="s">
        <v>5117</v>
      </c>
    </row>
    <row r="10480">
      <c r="H10480" t="s">
        <v>5117</v>
      </c>
    </row>
    <row r="10481">
      <c r="H10481" t="s">
        <v>5117</v>
      </c>
    </row>
    <row r="10482">
      <c r="H10482" t="s">
        <v>5117</v>
      </c>
    </row>
    <row r="10483">
      <c r="H10483" t="s">
        <v>5117</v>
      </c>
    </row>
    <row r="10484">
      <c r="H10484" t="s">
        <v>5117</v>
      </c>
    </row>
    <row r="10485">
      <c r="H10485" t="s">
        <v>5117</v>
      </c>
    </row>
    <row r="10486">
      <c r="H10486" t="s">
        <v>5117</v>
      </c>
    </row>
    <row r="10487">
      <c r="H10487" t="s">
        <v>5117</v>
      </c>
    </row>
    <row r="10488">
      <c r="H10488" t="s">
        <v>5117</v>
      </c>
    </row>
    <row r="10489">
      <c r="H10489" t="s">
        <v>5117</v>
      </c>
    </row>
    <row r="10490">
      <c r="H10490" t="s">
        <v>5117</v>
      </c>
    </row>
    <row r="10491">
      <c r="H10491" t="s">
        <v>5117</v>
      </c>
    </row>
    <row r="10492">
      <c r="H10492" t="s">
        <v>5117</v>
      </c>
    </row>
    <row r="10493">
      <c r="H10493" t="s">
        <v>5117</v>
      </c>
    </row>
    <row r="10494">
      <c r="H10494" t="s">
        <v>5117</v>
      </c>
    </row>
    <row r="10495">
      <c r="H10495" t="s">
        <v>5117</v>
      </c>
    </row>
    <row r="10496">
      <c r="H10496" t="s">
        <v>5117</v>
      </c>
    </row>
    <row r="10497">
      <c r="H10497" t="s">
        <v>5117</v>
      </c>
    </row>
    <row r="10498">
      <c r="H10498" t="s">
        <v>5117</v>
      </c>
    </row>
    <row r="10499">
      <c r="H10499" t="s">
        <v>5117</v>
      </c>
    </row>
    <row r="10500">
      <c r="H10500" t="s">
        <v>5117</v>
      </c>
    </row>
    <row r="10501">
      <c r="H10501" t="s">
        <v>5117</v>
      </c>
    </row>
    <row r="10502">
      <c r="H10502" t="s">
        <v>5117</v>
      </c>
    </row>
    <row r="10503">
      <c r="H10503" t="s">
        <v>5117</v>
      </c>
    </row>
    <row r="10504">
      <c r="H10504" t="s">
        <v>5117</v>
      </c>
    </row>
    <row r="10505">
      <c r="H10505" t="s">
        <v>5117</v>
      </c>
    </row>
    <row r="10506">
      <c r="H10506" t="s">
        <v>5117</v>
      </c>
    </row>
    <row r="10507">
      <c r="H10507" t="s">
        <v>5117</v>
      </c>
    </row>
    <row r="10508">
      <c r="H10508" t="s">
        <v>5117</v>
      </c>
    </row>
    <row r="10509">
      <c r="H10509" t="s">
        <v>5117</v>
      </c>
    </row>
    <row r="10510">
      <c r="H10510" t="s">
        <v>5117</v>
      </c>
    </row>
    <row r="10511">
      <c r="H10511" t="s">
        <v>5117</v>
      </c>
    </row>
    <row r="10512">
      <c r="H10512" t="s">
        <v>5117</v>
      </c>
    </row>
    <row r="10513">
      <c r="H10513" t="s">
        <v>5117</v>
      </c>
    </row>
    <row r="10514">
      <c r="H10514" t="s">
        <v>5117</v>
      </c>
    </row>
    <row r="10515">
      <c r="H10515" t="s">
        <v>5117</v>
      </c>
    </row>
    <row r="10516">
      <c r="H10516" t="s">
        <v>5117</v>
      </c>
    </row>
    <row r="10517">
      <c r="H10517" t="s">
        <v>5117</v>
      </c>
    </row>
    <row r="10518">
      <c r="H10518" t="s">
        <v>5117</v>
      </c>
    </row>
    <row r="10519">
      <c r="H10519" t="s">
        <v>5117</v>
      </c>
    </row>
    <row r="10520">
      <c r="H10520" t="s">
        <v>5117</v>
      </c>
    </row>
    <row r="10521">
      <c r="H10521" t="s">
        <v>5117</v>
      </c>
    </row>
    <row r="10522">
      <c r="H10522" t="s">
        <v>5117</v>
      </c>
    </row>
    <row r="10523">
      <c r="H10523" t="s">
        <v>5117</v>
      </c>
    </row>
    <row r="10524">
      <c r="H10524" t="s">
        <v>5117</v>
      </c>
    </row>
    <row r="10525">
      <c r="H10525" t="s">
        <v>5117</v>
      </c>
    </row>
    <row r="10526">
      <c r="H10526" t="s">
        <v>5117</v>
      </c>
    </row>
    <row r="10527">
      <c r="H10527" t="s">
        <v>5117</v>
      </c>
    </row>
    <row r="10528">
      <c r="H10528" t="s">
        <v>5117</v>
      </c>
    </row>
    <row r="10529">
      <c r="H10529" t="s">
        <v>5117</v>
      </c>
    </row>
    <row r="10530">
      <c r="H10530" t="s">
        <v>5117</v>
      </c>
    </row>
    <row r="10531">
      <c r="H10531" t="s">
        <v>5117</v>
      </c>
    </row>
    <row r="10532">
      <c r="H10532" t="s">
        <v>5117</v>
      </c>
    </row>
    <row r="10533">
      <c r="H10533" t="s">
        <v>5117</v>
      </c>
    </row>
    <row r="10534">
      <c r="H10534" t="s">
        <v>5117</v>
      </c>
    </row>
    <row r="10535">
      <c r="H10535" t="s">
        <v>5117</v>
      </c>
    </row>
    <row r="10536">
      <c r="H10536" t="s">
        <v>5117</v>
      </c>
    </row>
    <row r="10537">
      <c r="H10537" t="s">
        <v>5117</v>
      </c>
    </row>
    <row r="10538">
      <c r="H10538" t="s">
        <v>5117</v>
      </c>
    </row>
    <row r="10539">
      <c r="H10539" t="s">
        <v>5117</v>
      </c>
    </row>
    <row r="10540">
      <c r="H10540" t="s">
        <v>5117</v>
      </c>
    </row>
    <row r="10541">
      <c r="H10541" t="s">
        <v>5117</v>
      </c>
    </row>
    <row r="10542">
      <c r="H10542" t="s">
        <v>5117</v>
      </c>
    </row>
    <row r="10543">
      <c r="H10543" t="s">
        <v>5117</v>
      </c>
    </row>
    <row r="10544">
      <c r="H10544" t="s">
        <v>5117</v>
      </c>
    </row>
    <row r="10545">
      <c r="H10545" t="s">
        <v>5117</v>
      </c>
    </row>
    <row r="10546">
      <c r="H10546" t="s">
        <v>5117</v>
      </c>
    </row>
    <row r="10547">
      <c r="H10547" t="s">
        <v>5117</v>
      </c>
    </row>
    <row r="10548">
      <c r="H10548" t="s">
        <v>5117</v>
      </c>
    </row>
    <row r="10549">
      <c r="H10549" t="s">
        <v>5117</v>
      </c>
    </row>
    <row r="10550">
      <c r="H10550" t="s">
        <v>5117</v>
      </c>
    </row>
    <row r="10551">
      <c r="H10551" t="s">
        <v>5117</v>
      </c>
    </row>
    <row r="10552">
      <c r="H10552" t="s">
        <v>5117</v>
      </c>
    </row>
    <row r="10553">
      <c r="H10553" t="s">
        <v>5117</v>
      </c>
    </row>
    <row r="10554">
      <c r="H10554" t="s">
        <v>5117</v>
      </c>
    </row>
    <row r="10555">
      <c r="H10555" t="s">
        <v>5117</v>
      </c>
    </row>
    <row r="10556">
      <c r="H10556" t="s">
        <v>5117</v>
      </c>
    </row>
    <row r="10557">
      <c r="H10557" t="s">
        <v>5117</v>
      </c>
    </row>
    <row r="10558">
      <c r="H10558" t="s">
        <v>5117</v>
      </c>
    </row>
    <row r="10559">
      <c r="H10559" t="s">
        <v>5117</v>
      </c>
    </row>
    <row r="10560">
      <c r="H10560" t="s">
        <v>5117</v>
      </c>
    </row>
    <row r="10561">
      <c r="H10561" t="s">
        <v>5117</v>
      </c>
    </row>
    <row r="10562">
      <c r="H10562" t="s">
        <v>5117</v>
      </c>
    </row>
    <row r="10563">
      <c r="H10563" t="s">
        <v>5117</v>
      </c>
    </row>
    <row r="10564">
      <c r="H10564" t="s">
        <v>5117</v>
      </c>
    </row>
    <row r="10565">
      <c r="H10565" t="s">
        <v>5117</v>
      </c>
    </row>
    <row r="10566">
      <c r="H10566" t="s">
        <v>5117</v>
      </c>
    </row>
    <row r="10567">
      <c r="H10567" t="s">
        <v>5117</v>
      </c>
    </row>
    <row r="10568">
      <c r="H10568" t="s">
        <v>5117</v>
      </c>
    </row>
    <row r="10569">
      <c r="H10569" t="s">
        <v>5117</v>
      </c>
    </row>
    <row r="10570">
      <c r="H10570" t="s">
        <v>5117</v>
      </c>
    </row>
    <row r="10571">
      <c r="H10571" t="s">
        <v>5117</v>
      </c>
    </row>
    <row r="10572">
      <c r="H10572" t="s">
        <v>5117</v>
      </c>
    </row>
    <row r="10573">
      <c r="H10573" t="s">
        <v>5117</v>
      </c>
    </row>
    <row r="10574">
      <c r="H10574" t="s">
        <v>5117</v>
      </c>
    </row>
    <row r="10575">
      <c r="H10575" t="s">
        <v>5117</v>
      </c>
    </row>
    <row r="10576">
      <c r="H10576" t="s">
        <v>5117</v>
      </c>
    </row>
    <row r="10577">
      <c r="H10577" t="s">
        <v>5117</v>
      </c>
    </row>
    <row r="10578">
      <c r="H10578" t="s">
        <v>5117</v>
      </c>
    </row>
    <row r="10579">
      <c r="H10579" t="s">
        <v>5117</v>
      </c>
    </row>
    <row r="10580">
      <c r="H10580" t="s">
        <v>5117</v>
      </c>
    </row>
    <row r="10581">
      <c r="H10581" t="s">
        <v>5117</v>
      </c>
    </row>
    <row r="10582">
      <c r="H10582" t="s">
        <v>5117</v>
      </c>
    </row>
    <row r="10583">
      <c r="H10583" t="s">
        <v>5117</v>
      </c>
    </row>
    <row r="10584">
      <c r="H10584" t="s">
        <v>5117</v>
      </c>
    </row>
    <row r="10585">
      <c r="H10585" t="s">
        <v>5117</v>
      </c>
    </row>
    <row r="10586">
      <c r="H10586" t="s">
        <v>5117</v>
      </c>
    </row>
    <row r="10587">
      <c r="H10587" t="s">
        <v>5117</v>
      </c>
    </row>
    <row r="10588">
      <c r="H10588" t="s">
        <v>5117</v>
      </c>
    </row>
    <row r="10589">
      <c r="H10589" t="s">
        <v>5117</v>
      </c>
    </row>
    <row r="10590">
      <c r="H10590" t="s">
        <v>5117</v>
      </c>
    </row>
    <row r="10591">
      <c r="H10591" t="s">
        <v>5117</v>
      </c>
    </row>
    <row r="10592">
      <c r="H10592" t="s">
        <v>5117</v>
      </c>
    </row>
    <row r="10593">
      <c r="H10593" t="s">
        <v>5117</v>
      </c>
    </row>
    <row r="10594">
      <c r="H10594" t="s">
        <v>5117</v>
      </c>
    </row>
    <row r="10595">
      <c r="H10595" t="s">
        <v>5117</v>
      </c>
    </row>
    <row r="10596">
      <c r="H10596" t="s">
        <v>5117</v>
      </c>
    </row>
    <row r="10597">
      <c r="H10597" t="s">
        <v>5117</v>
      </c>
    </row>
    <row r="10598">
      <c r="H10598" t="s">
        <v>5117</v>
      </c>
    </row>
    <row r="10599">
      <c r="H10599" t="s">
        <v>5117</v>
      </c>
    </row>
    <row r="10600">
      <c r="H10600" t="s">
        <v>5117</v>
      </c>
    </row>
    <row r="10601">
      <c r="H10601" t="s">
        <v>5117</v>
      </c>
    </row>
    <row r="10602">
      <c r="H10602" t="s">
        <v>5117</v>
      </c>
    </row>
    <row r="10603">
      <c r="H10603" t="s">
        <v>5117</v>
      </c>
    </row>
    <row r="10604">
      <c r="H10604" t="s">
        <v>5117</v>
      </c>
    </row>
    <row r="10605">
      <c r="H10605" t="s">
        <v>5117</v>
      </c>
    </row>
    <row r="10606">
      <c r="H10606" t="s">
        <v>5117</v>
      </c>
    </row>
    <row r="10607">
      <c r="H10607" t="s">
        <v>5117</v>
      </c>
    </row>
    <row r="10608">
      <c r="H10608" t="s">
        <v>5117</v>
      </c>
    </row>
    <row r="10609">
      <c r="H10609" t="s">
        <v>5117</v>
      </c>
    </row>
    <row r="10610">
      <c r="H10610" t="s">
        <v>5117</v>
      </c>
    </row>
    <row r="10611">
      <c r="H10611" t="s">
        <v>5117</v>
      </c>
    </row>
    <row r="10612">
      <c r="H10612" t="s">
        <v>5117</v>
      </c>
    </row>
    <row r="10613">
      <c r="H10613" t="s">
        <v>5117</v>
      </c>
    </row>
    <row r="10614">
      <c r="H10614" t="s">
        <v>5117</v>
      </c>
    </row>
    <row r="10615">
      <c r="H10615" t="s">
        <v>5117</v>
      </c>
    </row>
    <row r="10616">
      <c r="H10616" t="s">
        <v>5117</v>
      </c>
    </row>
    <row r="10617">
      <c r="H10617" t="s">
        <v>5117</v>
      </c>
    </row>
    <row r="10618">
      <c r="H10618" t="s">
        <v>5117</v>
      </c>
    </row>
    <row r="10619">
      <c r="H10619" t="s">
        <v>5117</v>
      </c>
    </row>
    <row r="10620">
      <c r="H10620" t="s">
        <v>5117</v>
      </c>
    </row>
    <row r="10621">
      <c r="H10621" t="s">
        <v>5117</v>
      </c>
    </row>
    <row r="10622">
      <c r="H10622" t="s">
        <v>5117</v>
      </c>
    </row>
    <row r="10623">
      <c r="H10623" t="s">
        <v>5117</v>
      </c>
    </row>
    <row r="10624">
      <c r="H10624" t="s">
        <v>5117</v>
      </c>
    </row>
    <row r="10625">
      <c r="H10625" t="s">
        <v>5117</v>
      </c>
    </row>
    <row r="10626">
      <c r="H10626" t="s">
        <v>5117</v>
      </c>
    </row>
    <row r="10627">
      <c r="H10627" t="s">
        <v>5117</v>
      </c>
    </row>
    <row r="10628">
      <c r="H10628" t="s">
        <v>5117</v>
      </c>
    </row>
    <row r="10629">
      <c r="H10629" t="s">
        <v>5117</v>
      </c>
    </row>
    <row r="10630">
      <c r="H10630" t="s">
        <v>5117</v>
      </c>
    </row>
    <row r="10631">
      <c r="H10631" t="s">
        <v>5117</v>
      </c>
    </row>
    <row r="10632">
      <c r="H10632" t="s">
        <v>5117</v>
      </c>
    </row>
    <row r="10633">
      <c r="H10633" t="s">
        <v>5117</v>
      </c>
    </row>
    <row r="10634">
      <c r="H10634" t="s">
        <v>5117</v>
      </c>
    </row>
    <row r="10635">
      <c r="H10635" t="s">
        <v>5117</v>
      </c>
    </row>
    <row r="10636">
      <c r="H10636" t="s">
        <v>5117</v>
      </c>
    </row>
    <row r="10637">
      <c r="H10637" t="s">
        <v>5117</v>
      </c>
    </row>
    <row r="10638">
      <c r="H10638" t="s">
        <v>5117</v>
      </c>
    </row>
    <row r="10639">
      <c r="H10639" t="s">
        <v>5117</v>
      </c>
    </row>
    <row r="10640">
      <c r="H10640" t="s">
        <v>5117</v>
      </c>
    </row>
    <row r="10641">
      <c r="H10641" t="s">
        <v>5117</v>
      </c>
    </row>
    <row r="10642">
      <c r="H10642" t="s">
        <v>5117</v>
      </c>
    </row>
    <row r="10643">
      <c r="H10643" t="s">
        <v>5117</v>
      </c>
    </row>
    <row r="10644">
      <c r="H10644" t="s">
        <v>5117</v>
      </c>
    </row>
    <row r="10645">
      <c r="H10645" t="s">
        <v>5117</v>
      </c>
    </row>
    <row r="10646">
      <c r="H10646" t="s">
        <v>5117</v>
      </c>
    </row>
    <row r="10647">
      <c r="H10647" t="s">
        <v>5117</v>
      </c>
    </row>
    <row r="10648">
      <c r="H10648" t="s">
        <v>5117</v>
      </c>
    </row>
    <row r="10649">
      <c r="H10649" t="s">
        <v>5117</v>
      </c>
    </row>
    <row r="10650">
      <c r="H10650" t="s">
        <v>5117</v>
      </c>
    </row>
    <row r="10651">
      <c r="H10651" t="s">
        <v>5117</v>
      </c>
    </row>
    <row r="10652">
      <c r="H10652" t="s">
        <v>5117</v>
      </c>
    </row>
    <row r="10653">
      <c r="H10653" t="s">
        <v>5117</v>
      </c>
    </row>
    <row r="10654">
      <c r="H10654" t="s">
        <v>5117</v>
      </c>
    </row>
    <row r="10655">
      <c r="H10655" t="s">
        <v>5117</v>
      </c>
    </row>
    <row r="10656">
      <c r="H10656" t="s">
        <v>5117</v>
      </c>
    </row>
    <row r="10657">
      <c r="H10657" t="s">
        <v>5117</v>
      </c>
    </row>
    <row r="10658">
      <c r="H10658" t="s">
        <v>5117</v>
      </c>
    </row>
    <row r="10659">
      <c r="H10659" t="s">
        <v>5117</v>
      </c>
    </row>
    <row r="10660">
      <c r="H10660" t="s">
        <v>5117</v>
      </c>
    </row>
    <row r="10661">
      <c r="H10661" t="s">
        <v>5117</v>
      </c>
    </row>
    <row r="10662">
      <c r="H10662" t="s">
        <v>5117</v>
      </c>
    </row>
    <row r="10663">
      <c r="H10663" t="s">
        <v>5117</v>
      </c>
    </row>
    <row r="10664">
      <c r="H10664" t="s">
        <v>5117</v>
      </c>
    </row>
    <row r="10665">
      <c r="H10665" t="s">
        <v>5117</v>
      </c>
    </row>
    <row r="10666">
      <c r="H10666" t="s">
        <v>5117</v>
      </c>
    </row>
    <row r="10667">
      <c r="H10667" t="s">
        <v>5117</v>
      </c>
    </row>
    <row r="10668">
      <c r="H10668" t="s">
        <v>5117</v>
      </c>
    </row>
    <row r="10669">
      <c r="H10669" t="s">
        <v>5117</v>
      </c>
    </row>
    <row r="10670">
      <c r="H10670" t="s">
        <v>5117</v>
      </c>
    </row>
    <row r="10671">
      <c r="H10671" t="s">
        <v>5117</v>
      </c>
    </row>
    <row r="10672">
      <c r="H10672" t="s">
        <v>5117</v>
      </c>
    </row>
    <row r="10673">
      <c r="H10673" t="s">
        <v>5117</v>
      </c>
    </row>
    <row r="10674">
      <c r="H10674" t="s">
        <v>5117</v>
      </c>
    </row>
    <row r="10675">
      <c r="H10675" t="s">
        <v>5117</v>
      </c>
    </row>
    <row r="10676">
      <c r="H10676" t="s">
        <v>5117</v>
      </c>
    </row>
    <row r="10677">
      <c r="H10677" t="s">
        <v>5117</v>
      </c>
    </row>
    <row r="10678">
      <c r="H10678" t="s">
        <v>5117</v>
      </c>
    </row>
    <row r="10679">
      <c r="H10679" t="s">
        <v>5117</v>
      </c>
    </row>
    <row r="10680">
      <c r="H10680" t="s">
        <v>5117</v>
      </c>
    </row>
    <row r="10681">
      <c r="H10681" t="s">
        <v>5117</v>
      </c>
    </row>
    <row r="10682">
      <c r="H10682" t="s">
        <v>5117</v>
      </c>
    </row>
    <row r="10683">
      <c r="H10683" t="s">
        <v>5117</v>
      </c>
    </row>
    <row r="10684">
      <c r="H10684" t="s">
        <v>5117</v>
      </c>
    </row>
    <row r="10685">
      <c r="H10685" t="s">
        <v>5117</v>
      </c>
    </row>
    <row r="10686">
      <c r="H10686" t="s">
        <v>5117</v>
      </c>
    </row>
    <row r="10687">
      <c r="H10687" t="s">
        <v>5117</v>
      </c>
    </row>
    <row r="10688">
      <c r="H10688" t="s">
        <v>5117</v>
      </c>
    </row>
    <row r="10689">
      <c r="H10689" t="s">
        <v>5117</v>
      </c>
    </row>
    <row r="10690">
      <c r="H10690" t="s">
        <v>5117</v>
      </c>
    </row>
    <row r="10691">
      <c r="H10691" t="s">
        <v>5117</v>
      </c>
    </row>
    <row r="10692">
      <c r="H10692" t="s">
        <v>5117</v>
      </c>
    </row>
    <row r="10693">
      <c r="H10693" t="s">
        <v>5117</v>
      </c>
    </row>
    <row r="10694">
      <c r="H10694" t="s">
        <v>5117</v>
      </c>
    </row>
    <row r="10695">
      <c r="H10695" t="s">
        <v>5117</v>
      </c>
    </row>
    <row r="10696">
      <c r="H10696" t="s">
        <v>5117</v>
      </c>
    </row>
    <row r="10697">
      <c r="H10697" t="s">
        <v>5117</v>
      </c>
    </row>
    <row r="10698">
      <c r="H10698" t="s">
        <v>5117</v>
      </c>
    </row>
    <row r="10699">
      <c r="H10699" t="s">
        <v>5117</v>
      </c>
    </row>
    <row r="10700">
      <c r="H10700" t="s">
        <v>5117</v>
      </c>
    </row>
    <row r="10701">
      <c r="H10701" t="s">
        <v>5117</v>
      </c>
    </row>
    <row r="10702">
      <c r="H10702" t="s">
        <v>5117</v>
      </c>
    </row>
    <row r="10703">
      <c r="H10703" t="s">
        <v>5117</v>
      </c>
    </row>
    <row r="10704">
      <c r="H10704" t="s">
        <v>5117</v>
      </c>
    </row>
    <row r="10705">
      <c r="H10705" t="s">
        <v>5117</v>
      </c>
    </row>
    <row r="10706">
      <c r="H10706" t="s">
        <v>5117</v>
      </c>
    </row>
    <row r="10707">
      <c r="H10707" t="s">
        <v>5117</v>
      </c>
    </row>
    <row r="10708">
      <c r="H10708" t="s">
        <v>5117</v>
      </c>
    </row>
    <row r="10709">
      <c r="H10709" t="s">
        <v>5117</v>
      </c>
    </row>
    <row r="10710">
      <c r="H10710" t="s">
        <v>5117</v>
      </c>
    </row>
    <row r="10711">
      <c r="H10711" t="s">
        <v>5117</v>
      </c>
    </row>
    <row r="10712">
      <c r="H10712" t="s">
        <v>5117</v>
      </c>
    </row>
    <row r="10713">
      <c r="H10713" t="s">
        <v>5117</v>
      </c>
    </row>
    <row r="10714">
      <c r="H10714" t="s">
        <v>5117</v>
      </c>
    </row>
    <row r="10715">
      <c r="H10715" t="s">
        <v>5117</v>
      </c>
    </row>
    <row r="10716">
      <c r="H10716" t="s">
        <v>5117</v>
      </c>
    </row>
    <row r="10717">
      <c r="H10717" t="s">
        <v>5117</v>
      </c>
    </row>
    <row r="10718">
      <c r="H10718" t="s">
        <v>5117</v>
      </c>
    </row>
    <row r="10719">
      <c r="H10719" t="s">
        <v>5117</v>
      </c>
    </row>
    <row r="10720">
      <c r="H10720" t="s">
        <v>5117</v>
      </c>
    </row>
    <row r="10721">
      <c r="H10721" t="s">
        <v>5117</v>
      </c>
    </row>
    <row r="10722">
      <c r="H10722" t="s">
        <v>5117</v>
      </c>
    </row>
    <row r="10723">
      <c r="H10723" t="s">
        <v>5117</v>
      </c>
    </row>
    <row r="10724">
      <c r="H10724" t="s">
        <v>5117</v>
      </c>
    </row>
    <row r="10725">
      <c r="H10725" t="s">
        <v>5117</v>
      </c>
    </row>
    <row r="10726">
      <c r="H10726" t="s">
        <v>5117</v>
      </c>
    </row>
    <row r="10727">
      <c r="H10727" t="s">
        <v>5117</v>
      </c>
    </row>
    <row r="10728">
      <c r="H10728" t="s">
        <v>5117</v>
      </c>
    </row>
    <row r="10729">
      <c r="H10729" t="s">
        <v>5117</v>
      </c>
    </row>
    <row r="10730">
      <c r="H10730" t="s">
        <v>5117</v>
      </c>
    </row>
    <row r="10731">
      <c r="H10731" t="s">
        <v>5117</v>
      </c>
    </row>
    <row r="10732">
      <c r="H10732" t="s">
        <v>5117</v>
      </c>
    </row>
    <row r="10733">
      <c r="H10733" t="s">
        <v>5117</v>
      </c>
    </row>
    <row r="10734">
      <c r="H10734" t="s">
        <v>5117</v>
      </c>
    </row>
    <row r="10735">
      <c r="H10735" t="s">
        <v>5117</v>
      </c>
    </row>
    <row r="10736">
      <c r="H10736" t="s">
        <v>5117</v>
      </c>
    </row>
    <row r="10737">
      <c r="H10737" t="s">
        <v>5117</v>
      </c>
    </row>
    <row r="10738">
      <c r="H10738" t="s">
        <v>5117</v>
      </c>
    </row>
    <row r="10739">
      <c r="H10739" t="s">
        <v>5117</v>
      </c>
    </row>
    <row r="10740">
      <c r="H10740" t="s">
        <v>5117</v>
      </c>
    </row>
    <row r="10741">
      <c r="H10741" t="s">
        <v>5117</v>
      </c>
    </row>
    <row r="10742">
      <c r="H10742" t="s">
        <v>5117</v>
      </c>
    </row>
    <row r="10743">
      <c r="H10743" t="s">
        <v>5117</v>
      </c>
    </row>
    <row r="10744">
      <c r="H10744" t="s">
        <v>5117</v>
      </c>
    </row>
    <row r="10745">
      <c r="H10745" t="s">
        <v>5117</v>
      </c>
    </row>
    <row r="10746">
      <c r="H10746" t="s">
        <v>5117</v>
      </c>
    </row>
    <row r="10747">
      <c r="H10747" t="s">
        <v>5117</v>
      </c>
    </row>
    <row r="10748">
      <c r="H10748" t="s">
        <v>5117</v>
      </c>
    </row>
    <row r="10749">
      <c r="H10749" t="s">
        <v>5117</v>
      </c>
    </row>
    <row r="10750">
      <c r="H10750" t="s">
        <v>5117</v>
      </c>
    </row>
    <row r="10751">
      <c r="H10751" t="s">
        <v>5117</v>
      </c>
    </row>
    <row r="10752">
      <c r="H10752" t="s">
        <v>5117</v>
      </c>
    </row>
    <row r="10753">
      <c r="H10753" t="s">
        <v>5117</v>
      </c>
    </row>
    <row r="10754">
      <c r="H10754" t="s">
        <v>5117</v>
      </c>
    </row>
    <row r="10755">
      <c r="H10755" t="s">
        <v>5117</v>
      </c>
    </row>
    <row r="10756">
      <c r="H10756" t="s">
        <v>5117</v>
      </c>
    </row>
    <row r="10757">
      <c r="H10757" t="s">
        <v>5117</v>
      </c>
    </row>
    <row r="10758">
      <c r="H10758" t="s">
        <v>5117</v>
      </c>
    </row>
    <row r="10759">
      <c r="H10759" t="s">
        <v>5117</v>
      </c>
    </row>
    <row r="10760">
      <c r="H10760" t="s">
        <v>5117</v>
      </c>
    </row>
    <row r="10761">
      <c r="H10761" t="s">
        <v>5117</v>
      </c>
    </row>
    <row r="10762">
      <c r="H10762" t="s">
        <v>5117</v>
      </c>
    </row>
    <row r="10763">
      <c r="H10763" t="s">
        <v>5117</v>
      </c>
    </row>
    <row r="10764">
      <c r="H10764" t="s">
        <v>5117</v>
      </c>
    </row>
    <row r="10765">
      <c r="H10765" t="s">
        <v>5117</v>
      </c>
    </row>
    <row r="10766">
      <c r="H10766" t="s">
        <v>5117</v>
      </c>
    </row>
    <row r="10767">
      <c r="H10767" t="s">
        <v>5117</v>
      </c>
    </row>
    <row r="10768">
      <c r="H10768" t="s">
        <v>5117</v>
      </c>
    </row>
    <row r="10769">
      <c r="H10769" t="s">
        <v>5117</v>
      </c>
    </row>
    <row r="10770">
      <c r="H10770" t="s">
        <v>5117</v>
      </c>
    </row>
    <row r="10771">
      <c r="H10771" t="s">
        <v>5117</v>
      </c>
    </row>
    <row r="10772">
      <c r="H10772" t="s">
        <v>5117</v>
      </c>
    </row>
    <row r="10773">
      <c r="H10773" t="s">
        <v>5117</v>
      </c>
    </row>
    <row r="10774">
      <c r="H10774" t="s">
        <v>5117</v>
      </c>
    </row>
    <row r="10775">
      <c r="H10775" t="s">
        <v>5117</v>
      </c>
    </row>
    <row r="10776">
      <c r="H10776" t="s">
        <v>5117</v>
      </c>
    </row>
    <row r="10777">
      <c r="H10777" t="s">
        <v>5117</v>
      </c>
    </row>
    <row r="10778">
      <c r="H10778" t="s">
        <v>5117</v>
      </c>
    </row>
    <row r="10779">
      <c r="H10779" t="s">
        <v>5117</v>
      </c>
    </row>
    <row r="10780">
      <c r="H10780" t="s">
        <v>5117</v>
      </c>
    </row>
    <row r="10781">
      <c r="H10781" t="s">
        <v>5117</v>
      </c>
    </row>
    <row r="10782">
      <c r="H10782" t="s">
        <v>5117</v>
      </c>
    </row>
    <row r="10783">
      <c r="H10783" t="s">
        <v>5117</v>
      </c>
    </row>
    <row r="10784">
      <c r="H10784" t="s">
        <v>5117</v>
      </c>
    </row>
    <row r="10785">
      <c r="H10785" t="s">
        <v>5117</v>
      </c>
    </row>
    <row r="10786">
      <c r="H10786" t="s">
        <v>5117</v>
      </c>
    </row>
    <row r="10787">
      <c r="H10787" t="s">
        <v>5117</v>
      </c>
    </row>
    <row r="10788">
      <c r="H10788" t="s">
        <v>5117</v>
      </c>
    </row>
    <row r="10789">
      <c r="H10789" t="s">
        <v>5117</v>
      </c>
    </row>
    <row r="10790">
      <c r="H10790" t="s">
        <v>5117</v>
      </c>
    </row>
    <row r="10791">
      <c r="H10791" t="s">
        <v>5117</v>
      </c>
    </row>
    <row r="10792">
      <c r="H10792" t="s">
        <v>5117</v>
      </c>
    </row>
    <row r="10793">
      <c r="H10793" t="s">
        <v>5117</v>
      </c>
    </row>
    <row r="10794">
      <c r="H10794" t="s">
        <v>5117</v>
      </c>
    </row>
    <row r="10795">
      <c r="H10795" t="s">
        <v>5117</v>
      </c>
    </row>
    <row r="10796">
      <c r="H10796" t="s">
        <v>5117</v>
      </c>
    </row>
    <row r="10797">
      <c r="H10797" t="s">
        <v>5117</v>
      </c>
    </row>
    <row r="10798">
      <c r="H10798" t="s">
        <v>5117</v>
      </c>
    </row>
    <row r="10799">
      <c r="H10799" t="s">
        <v>5117</v>
      </c>
    </row>
    <row r="10800">
      <c r="H10800" t="s">
        <v>5117</v>
      </c>
    </row>
    <row r="10801">
      <c r="H10801" t="s">
        <v>5117</v>
      </c>
    </row>
    <row r="10802">
      <c r="H10802" t="s">
        <v>5117</v>
      </c>
    </row>
    <row r="10803">
      <c r="H10803" t="s">
        <v>5117</v>
      </c>
    </row>
    <row r="10804">
      <c r="H10804" t="s">
        <v>5117</v>
      </c>
    </row>
    <row r="10805">
      <c r="H10805" t="s">
        <v>5117</v>
      </c>
    </row>
    <row r="10806">
      <c r="H10806" t="s">
        <v>5117</v>
      </c>
    </row>
    <row r="10807">
      <c r="H10807" t="s">
        <v>5117</v>
      </c>
    </row>
    <row r="10808">
      <c r="H10808" t="s">
        <v>5117</v>
      </c>
    </row>
    <row r="10809">
      <c r="H10809" t="s">
        <v>5117</v>
      </c>
    </row>
    <row r="10810">
      <c r="H10810" t="s">
        <v>5117</v>
      </c>
    </row>
    <row r="10811">
      <c r="H10811" t="s">
        <v>5117</v>
      </c>
    </row>
    <row r="10812">
      <c r="H10812" t="s">
        <v>5117</v>
      </c>
    </row>
    <row r="10813">
      <c r="H10813" t="s">
        <v>5117</v>
      </c>
    </row>
    <row r="10814">
      <c r="H10814" t="s">
        <v>5117</v>
      </c>
    </row>
    <row r="10815">
      <c r="H10815" t="s">
        <v>5117</v>
      </c>
    </row>
    <row r="10816">
      <c r="H10816" t="s">
        <v>5117</v>
      </c>
    </row>
    <row r="10817">
      <c r="H10817" t="s">
        <v>5117</v>
      </c>
    </row>
    <row r="10818">
      <c r="H10818" t="s">
        <v>5117</v>
      </c>
    </row>
    <row r="10819">
      <c r="H10819" t="s">
        <v>5117</v>
      </c>
    </row>
    <row r="10820">
      <c r="H10820" t="s">
        <v>5117</v>
      </c>
    </row>
    <row r="10821">
      <c r="H10821" t="s">
        <v>5117</v>
      </c>
    </row>
    <row r="10822">
      <c r="H10822" t="s">
        <v>5117</v>
      </c>
    </row>
    <row r="10823">
      <c r="H10823" t="s">
        <v>5117</v>
      </c>
    </row>
    <row r="10824">
      <c r="H10824" t="s">
        <v>5117</v>
      </c>
    </row>
    <row r="10825">
      <c r="H10825" t="s">
        <v>5117</v>
      </c>
    </row>
    <row r="10826">
      <c r="H10826" t="s">
        <v>5117</v>
      </c>
    </row>
    <row r="10827">
      <c r="H10827" t="s">
        <v>5117</v>
      </c>
    </row>
    <row r="10828">
      <c r="H10828" t="s">
        <v>5117</v>
      </c>
    </row>
    <row r="10829">
      <c r="H10829" t="s">
        <v>5117</v>
      </c>
    </row>
    <row r="10830">
      <c r="H10830" t="s">
        <v>5117</v>
      </c>
    </row>
    <row r="10831">
      <c r="H10831" t="s">
        <v>5117</v>
      </c>
    </row>
    <row r="10832">
      <c r="H10832" t="s">
        <v>5117</v>
      </c>
    </row>
    <row r="10833">
      <c r="H10833" t="s">
        <v>5117</v>
      </c>
    </row>
    <row r="10834">
      <c r="H10834" t="s">
        <v>5117</v>
      </c>
    </row>
    <row r="10835">
      <c r="H10835" t="s">
        <v>5117</v>
      </c>
    </row>
    <row r="10836">
      <c r="H10836" t="s">
        <v>5117</v>
      </c>
    </row>
    <row r="10837">
      <c r="H10837" t="s">
        <v>5117</v>
      </c>
    </row>
    <row r="10838">
      <c r="H10838" t="s">
        <v>5117</v>
      </c>
    </row>
    <row r="10839">
      <c r="H10839" t="s">
        <v>5117</v>
      </c>
    </row>
    <row r="10840">
      <c r="H10840" t="s">
        <v>5117</v>
      </c>
    </row>
    <row r="10841">
      <c r="H10841" t="s">
        <v>5117</v>
      </c>
    </row>
    <row r="10842">
      <c r="H10842" t="s">
        <v>5117</v>
      </c>
    </row>
    <row r="10843">
      <c r="H10843" t="s">
        <v>5117</v>
      </c>
    </row>
    <row r="10844">
      <c r="H10844" t="s">
        <v>5117</v>
      </c>
    </row>
    <row r="10845">
      <c r="H10845" t="s">
        <v>5117</v>
      </c>
    </row>
    <row r="10846">
      <c r="H10846" t="s">
        <v>5117</v>
      </c>
    </row>
    <row r="10847">
      <c r="H10847" t="s">
        <v>5117</v>
      </c>
    </row>
    <row r="10848">
      <c r="H10848" t="s">
        <v>5117</v>
      </c>
    </row>
    <row r="10849">
      <c r="H10849" t="s">
        <v>5117</v>
      </c>
    </row>
    <row r="10850">
      <c r="H10850" t="s">
        <v>5117</v>
      </c>
    </row>
    <row r="10851">
      <c r="H10851" t="s">
        <v>5117</v>
      </c>
    </row>
    <row r="10852">
      <c r="H10852" t="s">
        <v>5117</v>
      </c>
    </row>
    <row r="10853">
      <c r="H10853" t="s">
        <v>5117</v>
      </c>
    </row>
    <row r="10854">
      <c r="H10854" t="s">
        <v>5117</v>
      </c>
    </row>
    <row r="10855">
      <c r="H10855" t="s">
        <v>5117</v>
      </c>
    </row>
    <row r="10856">
      <c r="H10856" t="s">
        <v>5117</v>
      </c>
    </row>
    <row r="10857">
      <c r="H10857" t="s">
        <v>5117</v>
      </c>
    </row>
    <row r="10858">
      <c r="H10858" t="s">
        <v>5117</v>
      </c>
    </row>
    <row r="10859">
      <c r="H10859" t="s">
        <v>5117</v>
      </c>
    </row>
    <row r="10860">
      <c r="H10860" t="s">
        <v>5117</v>
      </c>
    </row>
    <row r="10861">
      <c r="H10861" t="s">
        <v>5117</v>
      </c>
    </row>
    <row r="10862">
      <c r="H10862" t="s">
        <v>5117</v>
      </c>
    </row>
    <row r="10863">
      <c r="H10863" t="s">
        <v>5117</v>
      </c>
    </row>
    <row r="10864">
      <c r="H10864" t="s">
        <v>5117</v>
      </c>
    </row>
    <row r="10865">
      <c r="H10865" t="s">
        <v>5117</v>
      </c>
    </row>
    <row r="10866">
      <c r="H10866" t="s">
        <v>5117</v>
      </c>
    </row>
    <row r="10867">
      <c r="H10867" t="s">
        <v>5117</v>
      </c>
    </row>
    <row r="10868">
      <c r="H10868" t="s">
        <v>5117</v>
      </c>
    </row>
    <row r="10869">
      <c r="H10869" t="s">
        <v>5117</v>
      </c>
    </row>
    <row r="10870">
      <c r="H10870" t="s">
        <v>5117</v>
      </c>
    </row>
    <row r="10871">
      <c r="H10871" t="s">
        <v>5117</v>
      </c>
    </row>
    <row r="10872">
      <c r="H10872" t="s">
        <v>5117</v>
      </c>
    </row>
    <row r="10873">
      <c r="H10873" t="s">
        <v>5117</v>
      </c>
    </row>
    <row r="10874">
      <c r="H10874" t="s">
        <v>5117</v>
      </c>
    </row>
    <row r="10875">
      <c r="H10875" t="s">
        <v>5117</v>
      </c>
    </row>
    <row r="10876">
      <c r="H10876" t="s">
        <v>5117</v>
      </c>
    </row>
    <row r="10877">
      <c r="H10877" t="s">
        <v>5117</v>
      </c>
    </row>
    <row r="10878">
      <c r="H10878" t="s">
        <v>5117</v>
      </c>
    </row>
    <row r="10879">
      <c r="H10879" t="s">
        <v>5117</v>
      </c>
    </row>
    <row r="10880">
      <c r="H10880" t="s">
        <v>5117</v>
      </c>
    </row>
    <row r="10881">
      <c r="H10881" t="s">
        <v>5117</v>
      </c>
    </row>
    <row r="10882">
      <c r="H10882" t="s">
        <v>5117</v>
      </c>
    </row>
    <row r="10883">
      <c r="H10883" t="s">
        <v>5117</v>
      </c>
    </row>
    <row r="10884">
      <c r="H10884" t="s">
        <v>5117</v>
      </c>
    </row>
    <row r="10885">
      <c r="H10885" t="s">
        <v>5117</v>
      </c>
    </row>
    <row r="10886">
      <c r="H10886" t="s">
        <v>5117</v>
      </c>
    </row>
    <row r="10887">
      <c r="H10887" t="s">
        <v>5117</v>
      </c>
    </row>
    <row r="10888">
      <c r="H10888" t="s">
        <v>5117</v>
      </c>
    </row>
    <row r="10889">
      <c r="H10889" t="s">
        <v>5117</v>
      </c>
    </row>
    <row r="10890">
      <c r="H10890" t="s">
        <v>5117</v>
      </c>
    </row>
    <row r="10891">
      <c r="H10891" t="s">
        <v>5117</v>
      </c>
    </row>
    <row r="10892">
      <c r="H10892" t="s">
        <v>5117</v>
      </c>
    </row>
    <row r="10893">
      <c r="H10893" t="s">
        <v>5117</v>
      </c>
    </row>
    <row r="10894">
      <c r="H10894" t="s">
        <v>5117</v>
      </c>
    </row>
    <row r="10895">
      <c r="H10895" t="s">
        <v>5117</v>
      </c>
    </row>
    <row r="10896">
      <c r="H10896" t="s">
        <v>5117</v>
      </c>
    </row>
    <row r="10897">
      <c r="H10897" t="s">
        <v>5117</v>
      </c>
    </row>
    <row r="10898">
      <c r="H10898" t="s">
        <v>5117</v>
      </c>
    </row>
    <row r="10899">
      <c r="H10899" t="s">
        <v>5117</v>
      </c>
    </row>
    <row r="10900">
      <c r="H10900" t="s">
        <v>5117</v>
      </c>
    </row>
    <row r="10901">
      <c r="H10901" t="s">
        <v>5117</v>
      </c>
    </row>
    <row r="10902">
      <c r="H10902" t="s">
        <v>5117</v>
      </c>
    </row>
    <row r="10903">
      <c r="H10903" t="s">
        <v>5117</v>
      </c>
    </row>
    <row r="10904">
      <c r="H10904" t="s">
        <v>5117</v>
      </c>
    </row>
    <row r="10905">
      <c r="H10905" t="s">
        <v>5117</v>
      </c>
    </row>
    <row r="10906">
      <c r="H10906" t="s">
        <v>5117</v>
      </c>
    </row>
    <row r="10907">
      <c r="H10907" t="s">
        <v>5117</v>
      </c>
    </row>
    <row r="10908">
      <c r="H10908" t="s">
        <v>5117</v>
      </c>
    </row>
    <row r="10909">
      <c r="H10909" t="s">
        <v>5117</v>
      </c>
    </row>
    <row r="10910">
      <c r="H10910" t="s">
        <v>5117</v>
      </c>
    </row>
    <row r="10911">
      <c r="H10911" t="s">
        <v>5117</v>
      </c>
    </row>
    <row r="10912">
      <c r="H10912" t="s">
        <v>5117</v>
      </c>
    </row>
    <row r="10913">
      <c r="H10913" t="s">
        <v>5117</v>
      </c>
    </row>
    <row r="10914">
      <c r="H10914" t="s">
        <v>5117</v>
      </c>
    </row>
    <row r="10915">
      <c r="H10915" t="s">
        <v>5117</v>
      </c>
    </row>
    <row r="10916">
      <c r="H10916" t="s">
        <v>5117</v>
      </c>
    </row>
    <row r="10917">
      <c r="H10917" t="s">
        <v>5117</v>
      </c>
    </row>
    <row r="10918">
      <c r="H10918" t="s">
        <v>5117</v>
      </c>
    </row>
    <row r="10919">
      <c r="H10919" t="s">
        <v>5117</v>
      </c>
    </row>
    <row r="10920">
      <c r="H10920" t="s">
        <v>5117</v>
      </c>
    </row>
    <row r="10921">
      <c r="H10921" t="s">
        <v>5117</v>
      </c>
    </row>
    <row r="10922">
      <c r="H10922" t="s">
        <v>5117</v>
      </c>
    </row>
    <row r="10923">
      <c r="H10923" t="s">
        <v>5117</v>
      </c>
    </row>
    <row r="10924">
      <c r="H10924" t="s">
        <v>5117</v>
      </c>
    </row>
    <row r="10925">
      <c r="H10925" t="s">
        <v>5117</v>
      </c>
    </row>
    <row r="10926">
      <c r="H10926" t="s">
        <v>5117</v>
      </c>
    </row>
    <row r="10927">
      <c r="H10927" t="s">
        <v>5117</v>
      </c>
    </row>
    <row r="10928">
      <c r="H10928" t="s">
        <v>5117</v>
      </c>
    </row>
    <row r="10929">
      <c r="H10929" t="s">
        <v>5117</v>
      </c>
    </row>
    <row r="10930">
      <c r="H10930" t="s">
        <v>5117</v>
      </c>
    </row>
    <row r="10931">
      <c r="H10931" t="s">
        <v>5117</v>
      </c>
    </row>
    <row r="10932">
      <c r="H10932" t="s">
        <v>5117</v>
      </c>
    </row>
    <row r="10933">
      <c r="H10933" t="s">
        <v>5117</v>
      </c>
    </row>
    <row r="10934">
      <c r="H10934" t="s">
        <v>5117</v>
      </c>
    </row>
    <row r="10935">
      <c r="H10935" t="s">
        <v>5117</v>
      </c>
    </row>
    <row r="10936">
      <c r="H10936" t="s">
        <v>5117</v>
      </c>
    </row>
    <row r="10937">
      <c r="H10937" t="s">
        <v>5117</v>
      </c>
    </row>
    <row r="10938">
      <c r="H10938" t="s">
        <v>5117</v>
      </c>
    </row>
    <row r="10939">
      <c r="H10939" t="s">
        <v>5117</v>
      </c>
    </row>
    <row r="10940">
      <c r="H10940" t="s">
        <v>5117</v>
      </c>
    </row>
    <row r="10941">
      <c r="H10941" t="s">
        <v>5117</v>
      </c>
    </row>
    <row r="10942">
      <c r="H10942" t="s">
        <v>5117</v>
      </c>
    </row>
    <row r="10943">
      <c r="H10943" t="s">
        <v>5117</v>
      </c>
    </row>
    <row r="10944">
      <c r="H10944" t="s">
        <v>5117</v>
      </c>
    </row>
    <row r="10945">
      <c r="H10945" t="s">
        <v>5117</v>
      </c>
    </row>
    <row r="10946">
      <c r="H10946" t="s">
        <v>5117</v>
      </c>
    </row>
    <row r="10947">
      <c r="H10947" t="s">
        <v>5117</v>
      </c>
    </row>
    <row r="10948">
      <c r="H10948" t="s">
        <v>5117</v>
      </c>
    </row>
    <row r="10949">
      <c r="H10949" t="s">
        <v>5117</v>
      </c>
    </row>
    <row r="10950">
      <c r="H10950" t="s">
        <v>5117</v>
      </c>
    </row>
    <row r="10951">
      <c r="H10951" t="s">
        <v>5117</v>
      </c>
    </row>
    <row r="10952">
      <c r="H10952" t="s">
        <v>5117</v>
      </c>
    </row>
    <row r="10953">
      <c r="H10953" t="s">
        <v>5117</v>
      </c>
    </row>
    <row r="10954">
      <c r="H10954" t="s">
        <v>5117</v>
      </c>
    </row>
    <row r="10955">
      <c r="H10955" t="s">
        <v>5117</v>
      </c>
    </row>
    <row r="10956">
      <c r="H10956" t="s">
        <v>5117</v>
      </c>
    </row>
    <row r="10957">
      <c r="H10957" t="s">
        <v>5117</v>
      </c>
    </row>
    <row r="10958">
      <c r="H10958" t="s">
        <v>5117</v>
      </c>
    </row>
    <row r="10959">
      <c r="H10959" t="s">
        <v>5117</v>
      </c>
    </row>
    <row r="10960">
      <c r="H10960" t="s">
        <v>5117</v>
      </c>
    </row>
    <row r="10961">
      <c r="H10961" t="s">
        <v>5117</v>
      </c>
    </row>
    <row r="10962">
      <c r="H10962" t="s">
        <v>5117</v>
      </c>
    </row>
    <row r="10963">
      <c r="H10963" t="s">
        <v>5117</v>
      </c>
    </row>
    <row r="10964">
      <c r="H10964" t="s">
        <v>5117</v>
      </c>
    </row>
    <row r="10965">
      <c r="H10965" t="s">
        <v>5117</v>
      </c>
    </row>
    <row r="10966">
      <c r="H10966" t="s">
        <v>5117</v>
      </c>
    </row>
    <row r="10967">
      <c r="H10967" t="s">
        <v>5117</v>
      </c>
    </row>
    <row r="10968">
      <c r="H10968" t="s">
        <v>5117</v>
      </c>
    </row>
    <row r="10969">
      <c r="H10969" t="s">
        <v>5117</v>
      </c>
    </row>
    <row r="10970">
      <c r="H10970" t="s">
        <v>5117</v>
      </c>
    </row>
    <row r="10971">
      <c r="H10971" t="s">
        <v>5117</v>
      </c>
    </row>
    <row r="10972">
      <c r="H10972" t="s">
        <v>5117</v>
      </c>
    </row>
    <row r="10973">
      <c r="H10973" t="s">
        <v>5117</v>
      </c>
    </row>
    <row r="10974">
      <c r="H10974" t="s">
        <v>5117</v>
      </c>
    </row>
    <row r="10975">
      <c r="H10975" t="s">
        <v>5117</v>
      </c>
    </row>
    <row r="10976">
      <c r="H10976" t="s">
        <v>5117</v>
      </c>
    </row>
    <row r="10977">
      <c r="H10977" t="s">
        <v>5117</v>
      </c>
    </row>
    <row r="10978">
      <c r="H10978" t="s">
        <v>5117</v>
      </c>
    </row>
    <row r="10979">
      <c r="H10979" t="s">
        <v>5117</v>
      </c>
    </row>
    <row r="10980">
      <c r="H10980" t="s">
        <v>5117</v>
      </c>
    </row>
    <row r="10981">
      <c r="H10981" t="s">
        <v>5117</v>
      </c>
    </row>
    <row r="10982">
      <c r="H10982" t="s">
        <v>5117</v>
      </c>
    </row>
    <row r="10983">
      <c r="H10983" t="s">
        <v>5117</v>
      </c>
    </row>
    <row r="10984">
      <c r="H10984" t="s">
        <v>5117</v>
      </c>
    </row>
    <row r="10985">
      <c r="H10985" t="s">
        <v>5117</v>
      </c>
    </row>
    <row r="10986">
      <c r="H10986" t="s">
        <v>5117</v>
      </c>
    </row>
    <row r="10987">
      <c r="H10987" t="s">
        <v>5117</v>
      </c>
    </row>
    <row r="10988">
      <c r="H10988" t="s">
        <v>5117</v>
      </c>
    </row>
    <row r="10989">
      <c r="H10989" t="s">
        <v>5117</v>
      </c>
    </row>
    <row r="10990">
      <c r="H10990" t="s">
        <v>5117</v>
      </c>
    </row>
    <row r="10991">
      <c r="H10991" t="s">
        <v>5117</v>
      </c>
    </row>
    <row r="10992">
      <c r="H10992" t="s">
        <v>5117</v>
      </c>
    </row>
    <row r="10993">
      <c r="H10993" t="s">
        <v>5117</v>
      </c>
    </row>
    <row r="10994">
      <c r="H10994" t="s">
        <v>5117</v>
      </c>
    </row>
    <row r="10995">
      <c r="H10995" t="s">
        <v>5117</v>
      </c>
    </row>
    <row r="10996">
      <c r="H10996" t="s">
        <v>5117</v>
      </c>
    </row>
    <row r="10997">
      <c r="H10997" t="s">
        <v>5117</v>
      </c>
    </row>
    <row r="10998">
      <c r="H10998" t="s">
        <v>5117</v>
      </c>
    </row>
    <row r="10999">
      <c r="H10999" t="s">
        <v>5117</v>
      </c>
    </row>
    <row r="11000">
      <c r="H11000" t="s">
        <v>5117</v>
      </c>
    </row>
    <row r="11001">
      <c r="H11001" t="s">
        <v>5117</v>
      </c>
    </row>
    <row r="11002">
      <c r="H11002" t="s">
        <v>5117</v>
      </c>
    </row>
    <row r="11003">
      <c r="H11003" t="s">
        <v>5117</v>
      </c>
    </row>
    <row r="11004">
      <c r="H11004" t="s">
        <v>5117</v>
      </c>
    </row>
    <row r="11005">
      <c r="H11005" t="s">
        <v>5117</v>
      </c>
    </row>
    <row r="11006">
      <c r="H11006" t="s">
        <v>5117</v>
      </c>
    </row>
    <row r="11007">
      <c r="H11007" t="s">
        <v>5117</v>
      </c>
    </row>
    <row r="11008">
      <c r="H11008" t="s">
        <v>5117</v>
      </c>
    </row>
    <row r="11009">
      <c r="H11009" t="s">
        <v>5117</v>
      </c>
    </row>
    <row r="11010">
      <c r="H11010" t="s">
        <v>5117</v>
      </c>
    </row>
    <row r="11011">
      <c r="H11011" t="s">
        <v>5117</v>
      </c>
    </row>
    <row r="11012">
      <c r="H11012" t="s">
        <v>5117</v>
      </c>
    </row>
    <row r="11013">
      <c r="H11013" t="s">
        <v>5117</v>
      </c>
    </row>
    <row r="11014">
      <c r="H11014" t="s">
        <v>5117</v>
      </c>
    </row>
    <row r="11015">
      <c r="H11015" t="s">
        <v>5117</v>
      </c>
    </row>
    <row r="11016">
      <c r="H11016" t="s">
        <v>5117</v>
      </c>
    </row>
    <row r="11017">
      <c r="H11017" t="s">
        <v>5117</v>
      </c>
    </row>
    <row r="11018">
      <c r="H11018" t="s">
        <v>5117</v>
      </c>
    </row>
    <row r="11019">
      <c r="H11019" t="s">
        <v>5117</v>
      </c>
    </row>
    <row r="11020">
      <c r="H11020" t="s">
        <v>5117</v>
      </c>
    </row>
    <row r="11021">
      <c r="H11021" t="s">
        <v>5117</v>
      </c>
    </row>
    <row r="11022">
      <c r="H11022" t="s">
        <v>5117</v>
      </c>
    </row>
    <row r="11023">
      <c r="H11023" t="s">
        <v>5117</v>
      </c>
    </row>
    <row r="11024">
      <c r="H11024" t="s">
        <v>5117</v>
      </c>
    </row>
    <row r="11025">
      <c r="H11025" t="s">
        <v>5117</v>
      </c>
    </row>
    <row r="11026">
      <c r="H11026" t="s">
        <v>5117</v>
      </c>
    </row>
    <row r="11027">
      <c r="H11027" t="s">
        <v>5117</v>
      </c>
    </row>
    <row r="11028">
      <c r="H11028" t="s">
        <v>5117</v>
      </c>
    </row>
    <row r="11029">
      <c r="H11029" t="s">
        <v>5117</v>
      </c>
    </row>
    <row r="11030">
      <c r="H11030" t="s">
        <v>5117</v>
      </c>
    </row>
    <row r="11031">
      <c r="H11031" t="s">
        <v>5117</v>
      </c>
    </row>
    <row r="11032">
      <c r="H11032" t="s">
        <v>5117</v>
      </c>
    </row>
    <row r="11033">
      <c r="H11033" t="s">
        <v>5117</v>
      </c>
    </row>
    <row r="11034">
      <c r="H11034" t="s">
        <v>5117</v>
      </c>
    </row>
    <row r="11035">
      <c r="H11035" t="s">
        <v>5117</v>
      </c>
    </row>
    <row r="11036">
      <c r="H11036" t="s">
        <v>5117</v>
      </c>
    </row>
    <row r="11037">
      <c r="H11037" t="s">
        <v>5117</v>
      </c>
    </row>
    <row r="11038">
      <c r="H11038" t="s">
        <v>5117</v>
      </c>
    </row>
    <row r="11039">
      <c r="H11039" t="s">
        <v>5117</v>
      </c>
    </row>
    <row r="11040">
      <c r="H11040" t="s">
        <v>5117</v>
      </c>
    </row>
    <row r="11041">
      <c r="H11041" t="s">
        <v>5117</v>
      </c>
    </row>
    <row r="11042">
      <c r="H11042" t="s">
        <v>5117</v>
      </c>
    </row>
    <row r="11043">
      <c r="H11043" t="s">
        <v>5117</v>
      </c>
    </row>
    <row r="11044">
      <c r="H11044" t="s">
        <v>5117</v>
      </c>
    </row>
    <row r="11045">
      <c r="H11045" t="s">
        <v>5117</v>
      </c>
    </row>
    <row r="11046">
      <c r="H11046" t="s">
        <v>5117</v>
      </c>
    </row>
    <row r="11047">
      <c r="H11047" t="s">
        <v>5117</v>
      </c>
    </row>
    <row r="11048">
      <c r="H11048" t="s">
        <v>5117</v>
      </c>
    </row>
    <row r="11049">
      <c r="H11049" t="s">
        <v>5117</v>
      </c>
    </row>
    <row r="11050">
      <c r="H11050" t="s">
        <v>5117</v>
      </c>
    </row>
    <row r="11051">
      <c r="H11051" t="s">
        <v>5117</v>
      </c>
    </row>
    <row r="11052">
      <c r="H11052" t="s">
        <v>5117</v>
      </c>
    </row>
    <row r="11053">
      <c r="H11053" t="s">
        <v>5117</v>
      </c>
    </row>
    <row r="11054">
      <c r="H11054" t="s">
        <v>5117</v>
      </c>
    </row>
    <row r="11055">
      <c r="H11055" t="s">
        <v>5117</v>
      </c>
    </row>
    <row r="11056">
      <c r="H11056" t="s">
        <v>5117</v>
      </c>
    </row>
    <row r="11057">
      <c r="H11057" t="s">
        <v>5117</v>
      </c>
    </row>
    <row r="11058">
      <c r="H11058" t="s">
        <v>5117</v>
      </c>
    </row>
    <row r="11059">
      <c r="H11059" t="s">
        <v>5117</v>
      </c>
    </row>
    <row r="11060">
      <c r="H11060" t="s">
        <v>5117</v>
      </c>
    </row>
    <row r="11061">
      <c r="H11061" t="s">
        <v>5117</v>
      </c>
    </row>
    <row r="11062">
      <c r="H11062" t="s">
        <v>5117</v>
      </c>
    </row>
    <row r="11063">
      <c r="H11063" t="s">
        <v>5117</v>
      </c>
    </row>
    <row r="11064">
      <c r="H11064" t="s">
        <v>5117</v>
      </c>
    </row>
    <row r="11065">
      <c r="H11065" t="s">
        <v>5117</v>
      </c>
    </row>
    <row r="11066">
      <c r="H11066" t="s">
        <v>5117</v>
      </c>
    </row>
    <row r="11067">
      <c r="H11067" t="s">
        <v>5117</v>
      </c>
    </row>
    <row r="11068">
      <c r="H11068" t="s">
        <v>5117</v>
      </c>
    </row>
    <row r="11069">
      <c r="H11069" t="s">
        <v>5117</v>
      </c>
    </row>
    <row r="11070">
      <c r="H11070" t="s">
        <v>5117</v>
      </c>
    </row>
    <row r="11071">
      <c r="H11071" t="s">
        <v>5117</v>
      </c>
    </row>
    <row r="11072">
      <c r="H11072" t="s">
        <v>5117</v>
      </c>
    </row>
    <row r="11073">
      <c r="H11073" t="s">
        <v>5117</v>
      </c>
    </row>
    <row r="11074">
      <c r="H11074" t="s">
        <v>5117</v>
      </c>
    </row>
    <row r="11075">
      <c r="H11075" t="s">
        <v>5117</v>
      </c>
    </row>
    <row r="11076">
      <c r="H11076" t="s">
        <v>5117</v>
      </c>
    </row>
    <row r="11077">
      <c r="H11077" t="s">
        <v>5117</v>
      </c>
    </row>
    <row r="11078">
      <c r="H11078" t="s">
        <v>5117</v>
      </c>
    </row>
    <row r="11079">
      <c r="H11079" t="s">
        <v>5117</v>
      </c>
    </row>
    <row r="11080">
      <c r="H11080" t="s">
        <v>5117</v>
      </c>
    </row>
    <row r="11081">
      <c r="H11081" t="s">
        <v>5117</v>
      </c>
    </row>
    <row r="11082">
      <c r="H11082" t="s">
        <v>5117</v>
      </c>
    </row>
    <row r="11083">
      <c r="H11083" t="s">
        <v>5117</v>
      </c>
    </row>
    <row r="11084">
      <c r="H11084" t="s">
        <v>5117</v>
      </c>
    </row>
    <row r="11085">
      <c r="H11085" t="s">
        <v>5117</v>
      </c>
    </row>
    <row r="11086">
      <c r="H11086" t="s">
        <v>5117</v>
      </c>
    </row>
    <row r="11087">
      <c r="H11087" t="s">
        <v>5117</v>
      </c>
    </row>
    <row r="11088">
      <c r="H11088" t="s">
        <v>5117</v>
      </c>
    </row>
    <row r="11089">
      <c r="H11089" t="s">
        <v>5117</v>
      </c>
    </row>
    <row r="11090">
      <c r="H11090" t="s">
        <v>5117</v>
      </c>
    </row>
    <row r="11091">
      <c r="H11091" t="s">
        <v>5117</v>
      </c>
    </row>
    <row r="11092">
      <c r="H11092" t="s">
        <v>5117</v>
      </c>
    </row>
    <row r="11093">
      <c r="H11093" t="s">
        <v>5117</v>
      </c>
    </row>
    <row r="11094">
      <c r="H11094" t="s">
        <v>5117</v>
      </c>
    </row>
    <row r="11095">
      <c r="H11095" t="s">
        <v>5117</v>
      </c>
    </row>
    <row r="11096">
      <c r="H11096" t="s">
        <v>5117</v>
      </c>
    </row>
    <row r="11097">
      <c r="H11097" t="s">
        <v>5117</v>
      </c>
    </row>
    <row r="11098">
      <c r="H11098" t="s">
        <v>5117</v>
      </c>
    </row>
    <row r="11099">
      <c r="H11099" t="s">
        <v>5117</v>
      </c>
    </row>
    <row r="11100">
      <c r="H11100" t="s">
        <v>5117</v>
      </c>
    </row>
    <row r="11101">
      <c r="H11101" t="s">
        <v>5117</v>
      </c>
    </row>
    <row r="11102">
      <c r="H11102" t="s">
        <v>5117</v>
      </c>
    </row>
    <row r="11103">
      <c r="H11103" t="s">
        <v>5117</v>
      </c>
    </row>
    <row r="11104">
      <c r="H11104" t="s">
        <v>5117</v>
      </c>
    </row>
    <row r="11105">
      <c r="H11105" t="s">
        <v>5117</v>
      </c>
    </row>
    <row r="11106">
      <c r="H11106" t="s">
        <v>5117</v>
      </c>
    </row>
    <row r="11107">
      <c r="H11107" t="s">
        <v>5117</v>
      </c>
    </row>
    <row r="11108">
      <c r="H11108" t="s">
        <v>5117</v>
      </c>
    </row>
    <row r="11109">
      <c r="H11109" t="s">
        <v>5117</v>
      </c>
    </row>
    <row r="11110">
      <c r="H11110" t="s">
        <v>5117</v>
      </c>
    </row>
    <row r="11111">
      <c r="H11111" t="s">
        <v>5117</v>
      </c>
    </row>
    <row r="11112">
      <c r="H11112" t="s">
        <v>5117</v>
      </c>
    </row>
    <row r="11113">
      <c r="H11113" t="s">
        <v>5117</v>
      </c>
    </row>
    <row r="11114">
      <c r="H11114" t="s">
        <v>5117</v>
      </c>
    </row>
    <row r="11115">
      <c r="H11115" t="s">
        <v>5117</v>
      </c>
    </row>
    <row r="11116">
      <c r="H11116" t="s">
        <v>5117</v>
      </c>
    </row>
    <row r="11117">
      <c r="H11117" t="s">
        <v>5117</v>
      </c>
    </row>
    <row r="11118">
      <c r="H11118" t="s">
        <v>5117</v>
      </c>
    </row>
    <row r="11119">
      <c r="H11119" t="s">
        <v>5117</v>
      </c>
    </row>
    <row r="11120">
      <c r="H11120" t="s">
        <v>5117</v>
      </c>
    </row>
    <row r="11121">
      <c r="H11121" t="s">
        <v>5117</v>
      </c>
    </row>
    <row r="11122">
      <c r="H11122" t="s">
        <v>5117</v>
      </c>
    </row>
    <row r="11123">
      <c r="H11123" t="s">
        <v>5117</v>
      </c>
    </row>
    <row r="11124">
      <c r="H11124" t="s">
        <v>5117</v>
      </c>
    </row>
    <row r="11125">
      <c r="H11125" t="s">
        <v>5117</v>
      </c>
    </row>
    <row r="11126">
      <c r="H11126" t="s">
        <v>5117</v>
      </c>
    </row>
    <row r="11127">
      <c r="H11127" t="s">
        <v>5117</v>
      </c>
    </row>
    <row r="11128">
      <c r="H11128" t="s">
        <v>5117</v>
      </c>
    </row>
    <row r="11129">
      <c r="H11129" t="s">
        <v>5117</v>
      </c>
    </row>
    <row r="11130">
      <c r="H11130" t="s">
        <v>5117</v>
      </c>
    </row>
    <row r="11131">
      <c r="H11131" t="s">
        <v>5117</v>
      </c>
    </row>
    <row r="11132">
      <c r="H11132" t="s">
        <v>5117</v>
      </c>
    </row>
    <row r="11133">
      <c r="H11133" t="s">
        <v>5117</v>
      </c>
    </row>
    <row r="11134">
      <c r="H11134" t="s">
        <v>5117</v>
      </c>
    </row>
    <row r="11135">
      <c r="H11135" t="s">
        <v>5117</v>
      </c>
    </row>
    <row r="11136">
      <c r="H11136" t="s">
        <v>5117</v>
      </c>
    </row>
    <row r="11137">
      <c r="H11137" t="s">
        <v>5117</v>
      </c>
    </row>
    <row r="11138">
      <c r="H11138" t="s">
        <v>5117</v>
      </c>
    </row>
    <row r="11139">
      <c r="H11139" t="s">
        <v>5117</v>
      </c>
    </row>
    <row r="11140">
      <c r="H11140" t="s">
        <v>5117</v>
      </c>
    </row>
    <row r="11141">
      <c r="H11141" t="s">
        <v>5117</v>
      </c>
    </row>
    <row r="11142">
      <c r="H11142" t="s">
        <v>5117</v>
      </c>
    </row>
    <row r="11143">
      <c r="H11143" t="s">
        <v>5117</v>
      </c>
    </row>
    <row r="11144">
      <c r="H11144" t="s">
        <v>5117</v>
      </c>
    </row>
    <row r="11145">
      <c r="H11145" t="s">
        <v>5117</v>
      </c>
    </row>
    <row r="11146">
      <c r="H11146" t="s">
        <v>5117</v>
      </c>
    </row>
    <row r="11147">
      <c r="H11147" t="s">
        <v>5117</v>
      </c>
    </row>
    <row r="11148">
      <c r="H11148" t="s">
        <v>5117</v>
      </c>
    </row>
    <row r="11149">
      <c r="H11149" t="s">
        <v>5117</v>
      </c>
    </row>
    <row r="11150">
      <c r="H11150" t="s">
        <v>5117</v>
      </c>
    </row>
    <row r="11151">
      <c r="H11151" t="s">
        <v>5117</v>
      </c>
    </row>
    <row r="11152">
      <c r="H11152" t="s">
        <v>5117</v>
      </c>
    </row>
    <row r="11153">
      <c r="H11153" t="s">
        <v>5117</v>
      </c>
    </row>
    <row r="11154">
      <c r="H11154" t="s">
        <v>5117</v>
      </c>
    </row>
    <row r="11155">
      <c r="H11155" t="s">
        <v>5117</v>
      </c>
    </row>
    <row r="11156">
      <c r="H11156" t="s">
        <v>5117</v>
      </c>
    </row>
    <row r="11157">
      <c r="H11157" t="s">
        <v>5117</v>
      </c>
    </row>
    <row r="11158">
      <c r="H11158" t="s">
        <v>5117</v>
      </c>
    </row>
    <row r="11159">
      <c r="H11159" t="s">
        <v>5117</v>
      </c>
    </row>
    <row r="11160">
      <c r="H11160" t="s">
        <v>5117</v>
      </c>
    </row>
    <row r="11161">
      <c r="H11161" t="s">
        <v>5117</v>
      </c>
    </row>
    <row r="11162">
      <c r="H11162" t="s">
        <v>5117</v>
      </c>
    </row>
    <row r="11163">
      <c r="H11163" t="s">
        <v>5117</v>
      </c>
    </row>
    <row r="11164">
      <c r="H11164" t="s">
        <v>5117</v>
      </c>
    </row>
    <row r="11165">
      <c r="H11165" t="s">
        <v>5117</v>
      </c>
    </row>
    <row r="11166">
      <c r="H11166" t="s">
        <v>5117</v>
      </c>
    </row>
    <row r="11167">
      <c r="H11167" t="s">
        <v>5117</v>
      </c>
    </row>
    <row r="11168">
      <c r="H11168" t="s">
        <v>5117</v>
      </c>
    </row>
    <row r="11169">
      <c r="H11169" t="s">
        <v>5117</v>
      </c>
    </row>
    <row r="11170">
      <c r="H11170" t="s">
        <v>5117</v>
      </c>
    </row>
    <row r="11171">
      <c r="H11171" t="s">
        <v>5117</v>
      </c>
    </row>
    <row r="11172">
      <c r="H11172" t="s">
        <v>5117</v>
      </c>
    </row>
    <row r="11173">
      <c r="H11173" t="s">
        <v>5117</v>
      </c>
    </row>
    <row r="11174">
      <c r="H11174" t="s">
        <v>5117</v>
      </c>
    </row>
    <row r="11175">
      <c r="H11175" t="s">
        <v>5117</v>
      </c>
    </row>
    <row r="11176">
      <c r="H11176" t="s">
        <v>5117</v>
      </c>
    </row>
    <row r="11177">
      <c r="H11177" t="s">
        <v>5117</v>
      </c>
    </row>
    <row r="11178">
      <c r="H11178" t="s">
        <v>5117</v>
      </c>
    </row>
    <row r="11179">
      <c r="H11179" t="s">
        <v>5117</v>
      </c>
    </row>
    <row r="11180">
      <c r="H11180" t="s">
        <v>5117</v>
      </c>
    </row>
    <row r="11181">
      <c r="H11181" t="s">
        <v>5117</v>
      </c>
    </row>
    <row r="11182">
      <c r="H11182" t="s">
        <v>5117</v>
      </c>
    </row>
    <row r="11183">
      <c r="H11183" t="s">
        <v>5117</v>
      </c>
    </row>
    <row r="11184">
      <c r="H11184" t="s">
        <v>5117</v>
      </c>
    </row>
    <row r="11185">
      <c r="H11185" t="s">
        <v>5117</v>
      </c>
    </row>
    <row r="11186">
      <c r="H11186" t="s">
        <v>5117</v>
      </c>
    </row>
    <row r="11187">
      <c r="H11187" t="s">
        <v>5117</v>
      </c>
    </row>
    <row r="11188">
      <c r="H11188" t="s">
        <v>5117</v>
      </c>
    </row>
    <row r="11189">
      <c r="H11189" t="s">
        <v>5117</v>
      </c>
    </row>
    <row r="11190">
      <c r="H11190" t="s">
        <v>5117</v>
      </c>
    </row>
    <row r="11191">
      <c r="H11191" t="s">
        <v>5117</v>
      </c>
    </row>
    <row r="11192">
      <c r="H11192" t="s">
        <v>5117</v>
      </c>
    </row>
    <row r="11193">
      <c r="H11193" t="s">
        <v>5117</v>
      </c>
    </row>
    <row r="11194">
      <c r="H11194" t="s">
        <v>5117</v>
      </c>
    </row>
    <row r="11195">
      <c r="H11195" t="s">
        <v>5117</v>
      </c>
    </row>
    <row r="11196">
      <c r="H11196" t="s">
        <v>5117</v>
      </c>
    </row>
    <row r="11197">
      <c r="H11197" t="s">
        <v>5117</v>
      </c>
    </row>
    <row r="11198">
      <c r="H11198" t="s">
        <v>5117</v>
      </c>
    </row>
    <row r="11199">
      <c r="H11199" t="s">
        <v>5117</v>
      </c>
    </row>
    <row r="11200">
      <c r="H11200" t="s">
        <v>5117</v>
      </c>
    </row>
    <row r="11201">
      <c r="H11201" t="s">
        <v>5117</v>
      </c>
    </row>
    <row r="11202">
      <c r="H11202" t="s">
        <v>5117</v>
      </c>
    </row>
    <row r="11203">
      <c r="H11203" t="s">
        <v>5117</v>
      </c>
    </row>
    <row r="11204">
      <c r="H11204" t="s">
        <v>5117</v>
      </c>
    </row>
    <row r="11205">
      <c r="H11205" t="s">
        <v>5117</v>
      </c>
    </row>
    <row r="11206">
      <c r="H11206" t="s">
        <v>5117</v>
      </c>
    </row>
    <row r="11207">
      <c r="H11207" t="s">
        <v>5117</v>
      </c>
    </row>
    <row r="11208">
      <c r="H11208" t="s">
        <v>5117</v>
      </c>
    </row>
    <row r="11209">
      <c r="H11209" t="s">
        <v>5117</v>
      </c>
    </row>
    <row r="11210">
      <c r="H11210" t="s">
        <v>5117</v>
      </c>
    </row>
    <row r="11211">
      <c r="H11211" t="s">
        <v>5117</v>
      </c>
    </row>
    <row r="11212">
      <c r="H11212" t="s">
        <v>5117</v>
      </c>
    </row>
    <row r="11213">
      <c r="H11213" t="s">
        <v>5117</v>
      </c>
    </row>
    <row r="11214">
      <c r="H11214" t="s">
        <v>5117</v>
      </c>
    </row>
    <row r="11215">
      <c r="H11215" t="s">
        <v>5117</v>
      </c>
    </row>
    <row r="11216">
      <c r="H11216" t="s">
        <v>5117</v>
      </c>
    </row>
    <row r="11217">
      <c r="H11217" t="s">
        <v>5117</v>
      </c>
    </row>
    <row r="11218">
      <c r="H11218" t="s">
        <v>5117</v>
      </c>
    </row>
    <row r="11219">
      <c r="H11219" t="s">
        <v>5117</v>
      </c>
    </row>
    <row r="11220">
      <c r="H11220" t="s">
        <v>5117</v>
      </c>
    </row>
    <row r="11221">
      <c r="H11221" t="s">
        <v>5117</v>
      </c>
    </row>
    <row r="11222">
      <c r="H11222" t="s">
        <v>5117</v>
      </c>
    </row>
    <row r="11223">
      <c r="H11223" t="s">
        <v>5117</v>
      </c>
    </row>
    <row r="11224">
      <c r="H11224" t="s">
        <v>5117</v>
      </c>
    </row>
    <row r="11225">
      <c r="H11225" t="s">
        <v>5117</v>
      </c>
    </row>
    <row r="11226">
      <c r="H11226" t="s">
        <v>5117</v>
      </c>
    </row>
    <row r="11227">
      <c r="H11227" t="s">
        <v>5117</v>
      </c>
    </row>
    <row r="11228">
      <c r="H11228" t="s">
        <v>5117</v>
      </c>
    </row>
    <row r="11229">
      <c r="H11229" t="s">
        <v>5117</v>
      </c>
    </row>
    <row r="11230">
      <c r="H11230" t="s">
        <v>5117</v>
      </c>
    </row>
    <row r="11231">
      <c r="H11231" t="s">
        <v>5117</v>
      </c>
    </row>
    <row r="11232">
      <c r="H11232" t="s">
        <v>5117</v>
      </c>
    </row>
    <row r="11233">
      <c r="H11233" t="s">
        <v>5117</v>
      </c>
    </row>
    <row r="11234">
      <c r="H11234" t="s">
        <v>5117</v>
      </c>
    </row>
    <row r="11235">
      <c r="H11235" t="s">
        <v>5117</v>
      </c>
    </row>
    <row r="11236">
      <c r="H11236" t="s">
        <v>5117</v>
      </c>
    </row>
    <row r="11237">
      <c r="H11237" t="s">
        <v>5117</v>
      </c>
    </row>
    <row r="11238">
      <c r="H11238" t="s">
        <v>5117</v>
      </c>
    </row>
    <row r="11239">
      <c r="H11239" t="s">
        <v>5117</v>
      </c>
    </row>
    <row r="11240">
      <c r="H11240" t="s">
        <v>5117</v>
      </c>
    </row>
    <row r="11241">
      <c r="H11241" t="s">
        <v>5117</v>
      </c>
    </row>
    <row r="11242">
      <c r="H11242" t="s">
        <v>5117</v>
      </c>
    </row>
    <row r="11243">
      <c r="H11243" t="s">
        <v>5117</v>
      </c>
    </row>
    <row r="11244">
      <c r="H11244" t="s">
        <v>5117</v>
      </c>
    </row>
    <row r="11245">
      <c r="H11245" t="s">
        <v>5117</v>
      </c>
    </row>
    <row r="11246">
      <c r="H11246" t="s">
        <v>5117</v>
      </c>
    </row>
    <row r="11247">
      <c r="H11247" t="s">
        <v>5117</v>
      </c>
    </row>
    <row r="11248">
      <c r="H11248" t="s">
        <v>5117</v>
      </c>
    </row>
    <row r="11249">
      <c r="H11249" t="s">
        <v>5117</v>
      </c>
    </row>
    <row r="11250">
      <c r="H11250" t="s">
        <v>5117</v>
      </c>
    </row>
    <row r="11251">
      <c r="H11251" t="s">
        <v>5117</v>
      </c>
    </row>
    <row r="11252">
      <c r="H11252" t="s">
        <v>5117</v>
      </c>
    </row>
    <row r="11253">
      <c r="H11253" t="s">
        <v>5117</v>
      </c>
    </row>
    <row r="11254">
      <c r="H11254" t="s">
        <v>5117</v>
      </c>
    </row>
    <row r="11255">
      <c r="H11255" t="s">
        <v>5117</v>
      </c>
    </row>
    <row r="11256">
      <c r="H11256" t="s">
        <v>5117</v>
      </c>
    </row>
    <row r="11257">
      <c r="H11257" t="s">
        <v>5117</v>
      </c>
    </row>
    <row r="11258">
      <c r="H11258" t="s">
        <v>5117</v>
      </c>
    </row>
    <row r="11259">
      <c r="H11259" t="s">
        <v>5117</v>
      </c>
    </row>
    <row r="11260">
      <c r="H11260" t="s">
        <v>5117</v>
      </c>
    </row>
    <row r="11261">
      <c r="H11261" t="s">
        <v>5117</v>
      </c>
    </row>
    <row r="11262">
      <c r="H11262" t="s">
        <v>5117</v>
      </c>
    </row>
    <row r="11263">
      <c r="H11263" t="s">
        <v>5117</v>
      </c>
    </row>
    <row r="11264">
      <c r="H11264" t="s">
        <v>5117</v>
      </c>
    </row>
    <row r="11265">
      <c r="H11265" t="s">
        <v>5117</v>
      </c>
    </row>
    <row r="11266">
      <c r="H11266" t="s">
        <v>5117</v>
      </c>
    </row>
    <row r="11267">
      <c r="H11267" t="s">
        <v>5117</v>
      </c>
    </row>
    <row r="11268">
      <c r="H11268" t="s">
        <v>5117</v>
      </c>
    </row>
    <row r="11269">
      <c r="H11269" t="s">
        <v>5117</v>
      </c>
    </row>
    <row r="11270">
      <c r="H11270" t="s">
        <v>5117</v>
      </c>
    </row>
    <row r="11271">
      <c r="H11271" t="s">
        <v>5117</v>
      </c>
    </row>
    <row r="11272">
      <c r="H11272" t="s">
        <v>5117</v>
      </c>
    </row>
    <row r="11273">
      <c r="H11273" t="s">
        <v>5117</v>
      </c>
    </row>
    <row r="11274">
      <c r="H11274" t="s">
        <v>5117</v>
      </c>
    </row>
    <row r="11275">
      <c r="H11275" t="s">
        <v>5117</v>
      </c>
    </row>
    <row r="11276">
      <c r="H11276" t="s">
        <v>5117</v>
      </c>
    </row>
    <row r="11277">
      <c r="H11277" t="s">
        <v>5117</v>
      </c>
    </row>
    <row r="11278">
      <c r="H11278" t="s">
        <v>5117</v>
      </c>
    </row>
    <row r="11279">
      <c r="H11279" t="s">
        <v>5117</v>
      </c>
    </row>
    <row r="11280">
      <c r="H11280" t="s">
        <v>5117</v>
      </c>
    </row>
    <row r="11281">
      <c r="H11281" t="s">
        <v>5117</v>
      </c>
    </row>
    <row r="11282">
      <c r="H11282" t="s">
        <v>5117</v>
      </c>
    </row>
    <row r="11283">
      <c r="H11283" t="s">
        <v>5117</v>
      </c>
    </row>
    <row r="11284">
      <c r="H11284" t="s">
        <v>5117</v>
      </c>
    </row>
    <row r="11285">
      <c r="H11285" t="s">
        <v>5117</v>
      </c>
    </row>
    <row r="11286">
      <c r="H11286" t="s">
        <v>5117</v>
      </c>
    </row>
    <row r="11287">
      <c r="H11287" t="s">
        <v>5117</v>
      </c>
    </row>
    <row r="11288">
      <c r="H11288" t="s">
        <v>5117</v>
      </c>
    </row>
    <row r="11289">
      <c r="H11289" t="s">
        <v>5117</v>
      </c>
    </row>
    <row r="11290">
      <c r="H11290" t="s">
        <v>5117</v>
      </c>
    </row>
    <row r="11291">
      <c r="H11291" t="s">
        <v>5117</v>
      </c>
    </row>
    <row r="11292">
      <c r="H11292" t="s">
        <v>5117</v>
      </c>
    </row>
    <row r="11293">
      <c r="H11293" t="s">
        <v>5117</v>
      </c>
    </row>
    <row r="11294">
      <c r="H11294" t="s">
        <v>5117</v>
      </c>
    </row>
    <row r="11295">
      <c r="H11295" t="s">
        <v>5117</v>
      </c>
    </row>
    <row r="11296">
      <c r="H11296" t="s">
        <v>5117</v>
      </c>
    </row>
    <row r="11297">
      <c r="H11297" t="s">
        <v>5117</v>
      </c>
    </row>
    <row r="11298">
      <c r="H11298" t="s">
        <v>5117</v>
      </c>
    </row>
    <row r="11299">
      <c r="H11299" t="s">
        <v>5117</v>
      </c>
    </row>
    <row r="11300">
      <c r="H11300" t="s">
        <v>5117</v>
      </c>
    </row>
    <row r="11301">
      <c r="H11301" t="s">
        <v>5117</v>
      </c>
    </row>
    <row r="11302">
      <c r="H11302" t="s">
        <v>5117</v>
      </c>
    </row>
    <row r="11303">
      <c r="H11303" t="s">
        <v>5117</v>
      </c>
    </row>
    <row r="11304">
      <c r="H11304" t="s">
        <v>5117</v>
      </c>
    </row>
    <row r="11305">
      <c r="H11305" t="s">
        <v>5117</v>
      </c>
    </row>
    <row r="11306">
      <c r="H11306" t="s">
        <v>5117</v>
      </c>
    </row>
    <row r="11307">
      <c r="H11307" t="s">
        <v>5117</v>
      </c>
    </row>
    <row r="11308">
      <c r="H11308" t="s">
        <v>5117</v>
      </c>
    </row>
    <row r="11309">
      <c r="H11309" t="s">
        <v>5117</v>
      </c>
    </row>
    <row r="11310">
      <c r="H11310" t="s">
        <v>5117</v>
      </c>
    </row>
    <row r="11311">
      <c r="H11311" t="s">
        <v>5117</v>
      </c>
    </row>
    <row r="11312">
      <c r="H11312" t="s">
        <v>5117</v>
      </c>
    </row>
    <row r="11313">
      <c r="H11313" t="s">
        <v>5117</v>
      </c>
    </row>
    <row r="11314">
      <c r="H11314" t="s">
        <v>5117</v>
      </c>
    </row>
    <row r="11315">
      <c r="H11315" t="s">
        <v>5117</v>
      </c>
    </row>
    <row r="11316">
      <c r="H11316" t="s">
        <v>5117</v>
      </c>
    </row>
    <row r="11317">
      <c r="H11317" t="s">
        <v>5117</v>
      </c>
    </row>
    <row r="11318">
      <c r="H11318" t="s">
        <v>5117</v>
      </c>
    </row>
    <row r="11319">
      <c r="H11319" t="s">
        <v>5117</v>
      </c>
    </row>
    <row r="11320">
      <c r="H11320" t="s">
        <v>5117</v>
      </c>
    </row>
    <row r="11321">
      <c r="H11321" t="s">
        <v>5117</v>
      </c>
    </row>
    <row r="11322">
      <c r="H11322" t="s">
        <v>5117</v>
      </c>
    </row>
    <row r="11323">
      <c r="H11323" t="s">
        <v>5117</v>
      </c>
    </row>
    <row r="11324">
      <c r="H11324" t="s">
        <v>5117</v>
      </c>
    </row>
    <row r="11325">
      <c r="H11325" t="s">
        <v>5117</v>
      </c>
    </row>
    <row r="11326">
      <c r="H11326" t="s">
        <v>5117</v>
      </c>
    </row>
    <row r="11327">
      <c r="H11327" t="s">
        <v>5117</v>
      </c>
    </row>
    <row r="11328">
      <c r="H11328" t="s">
        <v>5117</v>
      </c>
    </row>
    <row r="11329">
      <c r="H11329" t="s">
        <v>5117</v>
      </c>
    </row>
    <row r="11330">
      <c r="H11330" t="s">
        <v>5117</v>
      </c>
    </row>
    <row r="11331">
      <c r="H11331" t="s">
        <v>5117</v>
      </c>
    </row>
    <row r="11332">
      <c r="H11332" t="s">
        <v>5117</v>
      </c>
    </row>
    <row r="11333">
      <c r="H11333" t="s">
        <v>5117</v>
      </c>
    </row>
    <row r="11334">
      <c r="H11334" t="s">
        <v>5117</v>
      </c>
    </row>
    <row r="11335">
      <c r="H11335" t="s">
        <v>5117</v>
      </c>
    </row>
    <row r="11336">
      <c r="H11336" t="s">
        <v>5117</v>
      </c>
    </row>
    <row r="11337">
      <c r="H11337" t="s">
        <v>5117</v>
      </c>
    </row>
    <row r="11338">
      <c r="H11338" t="s">
        <v>5117</v>
      </c>
    </row>
    <row r="11339">
      <c r="H11339" t="s">
        <v>5117</v>
      </c>
    </row>
    <row r="11340">
      <c r="H11340" t="s">
        <v>5117</v>
      </c>
    </row>
    <row r="11341">
      <c r="H11341" t="s">
        <v>5117</v>
      </c>
    </row>
    <row r="11342">
      <c r="H11342" t="s">
        <v>5117</v>
      </c>
    </row>
    <row r="11343">
      <c r="H11343" t="s">
        <v>5117</v>
      </c>
    </row>
    <row r="11344">
      <c r="H11344" t="s">
        <v>5117</v>
      </c>
    </row>
    <row r="11345">
      <c r="H11345" t="s">
        <v>5117</v>
      </c>
    </row>
    <row r="11346">
      <c r="H11346" t="s">
        <v>5117</v>
      </c>
    </row>
    <row r="11347">
      <c r="H11347" t="s">
        <v>5117</v>
      </c>
    </row>
    <row r="11348">
      <c r="H11348" t="s">
        <v>5117</v>
      </c>
    </row>
    <row r="11349">
      <c r="H11349" t="s">
        <v>5117</v>
      </c>
    </row>
    <row r="11350">
      <c r="H11350" t="s">
        <v>5117</v>
      </c>
    </row>
    <row r="11351">
      <c r="H11351" t="s">
        <v>5117</v>
      </c>
    </row>
    <row r="11352">
      <c r="H11352" t="s">
        <v>5117</v>
      </c>
    </row>
    <row r="11353">
      <c r="H11353" t="s">
        <v>5117</v>
      </c>
    </row>
    <row r="11354">
      <c r="H11354" t="s">
        <v>5117</v>
      </c>
    </row>
    <row r="11355">
      <c r="H11355" t="s">
        <v>5117</v>
      </c>
    </row>
    <row r="11356">
      <c r="H11356" t="s">
        <v>5117</v>
      </c>
    </row>
    <row r="11357">
      <c r="H11357" t="s">
        <v>5117</v>
      </c>
    </row>
    <row r="11358">
      <c r="H11358" t="s">
        <v>5117</v>
      </c>
    </row>
    <row r="11359">
      <c r="H11359" t="s">
        <v>5117</v>
      </c>
    </row>
    <row r="11360">
      <c r="H11360" t="s">
        <v>5117</v>
      </c>
    </row>
    <row r="11361">
      <c r="H11361" t="s">
        <v>5117</v>
      </c>
    </row>
    <row r="11362">
      <c r="H11362" t="s">
        <v>5117</v>
      </c>
    </row>
    <row r="11363">
      <c r="H11363" t="s">
        <v>5117</v>
      </c>
    </row>
    <row r="11364">
      <c r="H11364" t="s">
        <v>5117</v>
      </c>
    </row>
    <row r="11365">
      <c r="H11365" t="s">
        <v>5117</v>
      </c>
    </row>
    <row r="11366">
      <c r="H11366" t="s">
        <v>5117</v>
      </c>
    </row>
    <row r="11367">
      <c r="H11367" t="s">
        <v>5117</v>
      </c>
    </row>
    <row r="11368">
      <c r="H11368" t="s">
        <v>5117</v>
      </c>
    </row>
    <row r="11369">
      <c r="H11369" t="s">
        <v>5117</v>
      </c>
    </row>
    <row r="11370">
      <c r="H11370" t="s">
        <v>5117</v>
      </c>
    </row>
    <row r="11371">
      <c r="H11371" t="s">
        <v>5117</v>
      </c>
    </row>
    <row r="11372">
      <c r="H11372" t="s">
        <v>5117</v>
      </c>
    </row>
    <row r="11373">
      <c r="H11373" t="s">
        <v>5117</v>
      </c>
    </row>
    <row r="11374">
      <c r="H11374" t="s">
        <v>5117</v>
      </c>
    </row>
    <row r="11375">
      <c r="H11375" t="s">
        <v>5117</v>
      </c>
    </row>
    <row r="11376">
      <c r="H11376" t="s">
        <v>5117</v>
      </c>
    </row>
    <row r="11377">
      <c r="H11377" t="s">
        <v>5117</v>
      </c>
    </row>
    <row r="11378">
      <c r="H11378" t="s">
        <v>5117</v>
      </c>
    </row>
    <row r="11379">
      <c r="H11379" t="s">
        <v>5117</v>
      </c>
    </row>
    <row r="11380">
      <c r="H11380" t="s">
        <v>5117</v>
      </c>
    </row>
    <row r="11381">
      <c r="H11381" t="s">
        <v>5117</v>
      </c>
    </row>
    <row r="11382">
      <c r="H11382" t="s">
        <v>5117</v>
      </c>
    </row>
    <row r="11383">
      <c r="H11383" t="s">
        <v>5117</v>
      </c>
    </row>
    <row r="11384">
      <c r="H11384" t="s">
        <v>5117</v>
      </c>
    </row>
    <row r="11385">
      <c r="H11385" t="s">
        <v>5117</v>
      </c>
    </row>
    <row r="11386">
      <c r="H11386" t="s">
        <v>5117</v>
      </c>
    </row>
    <row r="11387">
      <c r="H11387" t="s">
        <v>5117</v>
      </c>
    </row>
    <row r="11388">
      <c r="H11388" t="s">
        <v>5117</v>
      </c>
    </row>
    <row r="11389">
      <c r="H11389" t="s">
        <v>5117</v>
      </c>
    </row>
    <row r="11390">
      <c r="H11390" t="s">
        <v>5117</v>
      </c>
    </row>
    <row r="11391">
      <c r="H11391" t="s">
        <v>5117</v>
      </c>
    </row>
    <row r="11392">
      <c r="H11392" t="s">
        <v>5117</v>
      </c>
    </row>
    <row r="11393">
      <c r="H11393" t="s">
        <v>5117</v>
      </c>
    </row>
    <row r="11394">
      <c r="H11394" t="s">
        <v>5117</v>
      </c>
    </row>
    <row r="11395">
      <c r="H11395" t="s">
        <v>5117</v>
      </c>
    </row>
    <row r="11396">
      <c r="H11396" t="s">
        <v>5117</v>
      </c>
    </row>
    <row r="11397">
      <c r="H11397" t="s">
        <v>5117</v>
      </c>
    </row>
    <row r="11398">
      <c r="H11398" t="s">
        <v>5117</v>
      </c>
    </row>
    <row r="11399">
      <c r="H11399" t="s">
        <v>5117</v>
      </c>
    </row>
    <row r="11400">
      <c r="H11400" t="s">
        <v>5117</v>
      </c>
    </row>
    <row r="11401">
      <c r="H11401" t="s">
        <v>5117</v>
      </c>
    </row>
    <row r="11402">
      <c r="H11402" t="s">
        <v>5117</v>
      </c>
    </row>
    <row r="11403">
      <c r="H11403" t="s">
        <v>5117</v>
      </c>
    </row>
    <row r="11404">
      <c r="H11404" t="s">
        <v>5117</v>
      </c>
    </row>
    <row r="11405">
      <c r="H11405" t="s">
        <v>5117</v>
      </c>
    </row>
    <row r="11406">
      <c r="H11406" t="s">
        <v>5117</v>
      </c>
    </row>
    <row r="11407">
      <c r="H11407" t="s">
        <v>5117</v>
      </c>
    </row>
    <row r="11408">
      <c r="H11408" t="s">
        <v>5117</v>
      </c>
    </row>
    <row r="11409">
      <c r="H11409" t="s">
        <v>5117</v>
      </c>
    </row>
    <row r="11410">
      <c r="H11410" t="s">
        <v>5117</v>
      </c>
    </row>
    <row r="11411">
      <c r="H11411" t="s">
        <v>5117</v>
      </c>
    </row>
    <row r="11412">
      <c r="H11412" t="s">
        <v>5117</v>
      </c>
    </row>
    <row r="11413">
      <c r="H11413" t="s">
        <v>5117</v>
      </c>
    </row>
    <row r="11414">
      <c r="H11414" t="s">
        <v>5117</v>
      </c>
    </row>
    <row r="11415">
      <c r="H11415" t="s">
        <v>5117</v>
      </c>
    </row>
    <row r="11416">
      <c r="H11416" t="s">
        <v>5117</v>
      </c>
    </row>
    <row r="11417">
      <c r="H11417" t="s">
        <v>5117</v>
      </c>
    </row>
    <row r="11418">
      <c r="H11418" t="s">
        <v>5117</v>
      </c>
    </row>
    <row r="11419">
      <c r="H11419" t="s">
        <v>5117</v>
      </c>
    </row>
    <row r="11420">
      <c r="H11420" t="s">
        <v>5117</v>
      </c>
    </row>
    <row r="11421">
      <c r="H11421" t="s">
        <v>5117</v>
      </c>
    </row>
    <row r="11422">
      <c r="H11422" t="s">
        <v>5117</v>
      </c>
    </row>
    <row r="11423">
      <c r="H11423" t="s">
        <v>5117</v>
      </c>
    </row>
    <row r="11424">
      <c r="H11424" t="s">
        <v>5117</v>
      </c>
    </row>
    <row r="11425">
      <c r="H11425" t="s">
        <v>5117</v>
      </c>
    </row>
    <row r="11426">
      <c r="H11426" t="s">
        <v>5117</v>
      </c>
    </row>
    <row r="11427">
      <c r="H11427" t="s">
        <v>5117</v>
      </c>
    </row>
    <row r="11428">
      <c r="H11428" t="s">
        <v>5117</v>
      </c>
    </row>
    <row r="11429">
      <c r="H11429" t="s">
        <v>5117</v>
      </c>
    </row>
    <row r="11430">
      <c r="H11430" t="s">
        <v>5117</v>
      </c>
    </row>
    <row r="11431">
      <c r="H11431" t="s">
        <v>5117</v>
      </c>
    </row>
    <row r="11432">
      <c r="H11432" t="s">
        <v>5117</v>
      </c>
    </row>
    <row r="11433">
      <c r="H11433" t="s">
        <v>5117</v>
      </c>
    </row>
    <row r="11434">
      <c r="H11434" t="s">
        <v>5117</v>
      </c>
    </row>
    <row r="11435">
      <c r="H11435" t="s">
        <v>5117</v>
      </c>
    </row>
    <row r="11436">
      <c r="H11436" t="s">
        <v>5117</v>
      </c>
    </row>
    <row r="11437">
      <c r="H11437" t="s">
        <v>5117</v>
      </c>
    </row>
    <row r="11438">
      <c r="H11438" t="s">
        <v>5117</v>
      </c>
    </row>
    <row r="11439">
      <c r="H11439" t="s">
        <v>5117</v>
      </c>
    </row>
    <row r="11440">
      <c r="H11440" t="s">
        <v>5117</v>
      </c>
    </row>
    <row r="11441">
      <c r="H11441" t="s">
        <v>5117</v>
      </c>
    </row>
    <row r="11442">
      <c r="H11442" t="s">
        <v>5117</v>
      </c>
    </row>
    <row r="11443">
      <c r="H11443" t="s">
        <v>5117</v>
      </c>
    </row>
    <row r="11444">
      <c r="H11444" t="s">
        <v>5117</v>
      </c>
    </row>
    <row r="11445">
      <c r="H11445" t="s">
        <v>5117</v>
      </c>
    </row>
    <row r="11446">
      <c r="H11446" t="s">
        <v>5117</v>
      </c>
    </row>
    <row r="11447">
      <c r="H11447" t="s">
        <v>5117</v>
      </c>
    </row>
    <row r="11448">
      <c r="H11448" t="s">
        <v>5117</v>
      </c>
    </row>
    <row r="11449">
      <c r="H11449" t="s">
        <v>5117</v>
      </c>
    </row>
    <row r="11450">
      <c r="H11450" t="s">
        <v>5117</v>
      </c>
    </row>
    <row r="11451">
      <c r="H11451" t="s">
        <v>5117</v>
      </c>
    </row>
    <row r="11452">
      <c r="H11452" t="s">
        <v>5117</v>
      </c>
    </row>
    <row r="11453">
      <c r="H11453" t="s">
        <v>5117</v>
      </c>
    </row>
    <row r="11454">
      <c r="H11454" t="s">
        <v>5117</v>
      </c>
    </row>
    <row r="11455">
      <c r="H11455" t="s">
        <v>5117</v>
      </c>
    </row>
    <row r="11456">
      <c r="H11456" t="s">
        <v>5117</v>
      </c>
    </row>
    <row r="11457">
      <c r="H11457" t="s">
        <v>5117</v>
      </c>
    </row>
    <row r="11458">
      <c r="H11458" t="s">
        <v>5117</v>
      </c>
    </row>
    <row r="11459">
      <c r="H11459" t="s">
        <v>5117</v>
      </c>
    </row>
    <row r="11460">
      <c r="H11460" t="s">
        <v>5117</v>
      </c>
    </row>
    <row r="11461">
      <c r="H11461" t="s">
        <v>5117</v>
      </c>
    </row>
    <row r="11462">
      <c r="H11462" t="s">
        <v>5117</v>
      </c>
    </row>
    <row r="11463">
      <c r="H11463" t="s">
        <v>5117</v>
      </c>
    </row>
    <row r="11464">
      <c r="H11464" t="s">
        <v>5117</v>
      </c>
    </row>
    <row r="11465">
      <c r="H11465" t="s">
        <v>5117</v>
      </c>
    </row>
    <row r="11466">
      <c r="H11466" t="s">
        <v>5117</v>
      </c>
    </row>
    <row r="11467">
      <c r="H11467" t="s">
        <v>5117</v>
      </c>
    </row>
    <row r="11468">
      <c r="H11468" t="s">
        <v>5117</v>
      </c>
    </row>
    <row r="11469">
      <c r="H11469" t="s">
        <v>5117</v>
      </c>
    </row>
    <row r="11470">
      <c r="H11470" t="s">
        <v>5117</v>
      </c>
    </row>
    <row r="11471">
      <c r="H11471" t="s">
        <v>5117</v>
      </c>
    </row>
    <row r="11472">
      <c r="H11472" t="s">
        <v>5117</v>
      </c>
    </row>
    <row r="11473">
      <c r="H11473" t="s">
        <v>5117</v>
      </c>
    </row>
    <row r="11474">
      <c r="H11474" t="s">
        <v>5117</v>
      </c>
    </row>
    <row r="11475">
      <c r="H11475" t="s">
        <v>5117</v>
      </c>
    </row>
    <row r="11476">
      <c r="H11476" t="s">
        <v>5117</v>
      </c>
    </row>
    <row r="11477">
      <c r="H11477" t="s">
        <v>5117</v>
      </c>
    </row>
    <row r="11478">
      <c r="H11478" t="s">
        <v>5117</v>
      </c>
    </row>
    <row r="11479">
      <c r="H11479" t="s">
        <v>5117</v>
      </c>
    </row>
    <row r="11480">
      <c r="H11480" t="s">
        <v>5117</v>
      </c>
    </row>
    <row r="11481">
      <c r="H11481" t="s">
        <v>5117</v>
      </c>
    </row>
    <row r="11482">
      <c r="H11482" t="s">
        <v>5117</v>
      </c>
    </row>
    <row r="11483">
      <c r="H11483" t="s">
        <v>5117</v>
      </c>
    </row>
    <row r="11484">
      <c r="H11484" t="s">
        <v>5117</v>
      </c>
    </row>
    <row r="11485">
      <c r="H11485" t="s">
        <v>5117</v>
      </c>
    </row>
    <row r="11486">
      <c r="H11486" t="s">
        <v>5117</v>
      </c>
    </row>
    <row r="11487">
      <c r="H11487" t="s">
        <v>5117</v>
      </c>
    </row>
    <row r="11488">
      <c r="H11488" t="s">
        <v>5117</v>
      </c>
    </row>
    <row r="11489">
      <c r="H11489" t="s">
        <v>5117</v>
      </c>
    </row>
    <row r="11490">
      <c r="H11490" t="s">
        <v>5117</v>
      </c>
    </row>
    <row r="11491">
      <c r="H11491" t="s">
        <v>5117</v>
      </c>
    </row>
    <row r="11492">
      <c r="H11492" t="s">
        <v>5117</v>
      </c>
    </row>
    <row r="11493">
      <c r="H11493" t="s">
        <v>5117</v>
      </c>
    </row>
    <row r="11494">
      <c r="H11494" t="s">
        <v>5117</v>
      </c>
    </row>
    <row r="11495">
      <c r="H11495" t="s">
        <v>5117</v>
      </c>
    </row>
    <row r="11496">
      <c r="H11496" t="s">
        <v>5117</v>
      </c>
    </row>
    <row r="11497">
      <c r="H11497" t="s">
        <v>5117</v>
      </c>
    </row>
    <row r="11498">
      <c r="H11498" t="s">
        <v>5117</v>
      </c>
    </row>
    <row r="11499">
      <c r="H11499" t="s">
        <v>5117</v>
      </c>
    </row>
    <row r="11500">
      <c r="H11500" t="s">
        <v>5117</v>
      </c>
    </row>
    <row r="11501">
      <c r="H11501" t="s">
        <v>5117</v>
      </c>
    </row>
    <row r="11502">
      <c r="H11502" t="s">
        <v>5117</v>
      </c>
    </row>
    <row r="11503">
      <c r="H11503" t="s">
        <v>5117</v>
      </c>
    </row>
    <row r="11504">
      <c r="H11504" t="s">
        <v>5117</v>
      </c>
    </row>
    <row r="11505">
      <c r="H11505" t="s">
        <v>5117</v>
      </c>
    </row>
    <row r="11506">
      <c r="H11506" t="s">
        <v>5117</v>
      </c>
    </row>
    <row r="11507">
      <c r="H11507" t="s">
        <v>5117</v>
      </c>
    </row>
    <row r="11508">
      <c r="H11508" t="s">
        <v>5117</v>
      </c>
    </row>
    <row r="11509">
      <c r="H11509" t="s">
        <v>5117</v>
      </c>
    </row>
    <row r="11510">
      <c r="H11510" t="s">
        <v>5117</v>
      </c>
    </row>
    <row r="11511">
      <c r="H11511" t="s">
        <v>5117</v>
      </c>
    </row>
    <row r="11512">
      <c r="H11512" t="s">
        <v>5117</v>
      </c>
    </row>
    <row r="11513">
      <c r="H11513" t="s">
        <v>5117</v>
      </c>
    </row>
    <row r="11514">
      <c r="H11514" t="s">
        <v>5117</v>
      </c>
    </row>
    <row r="11515">
      <c r="H11515" t="s">
        <v>5117</v>
      </c>
    </row>
    <row r="11516">
      <c r="H11516" t="s">
        <v>5117</v>
      </c>
    </row>
    <row r="11517">
      <c r="H11517" t="s">
        <v>5117</v>
      </c>
    </row>
    <row r="11518">
      <c r="H11518" t="s">
        <v>5117</v>
      </c>
    </row>
    <row r="11519">
      <c r="H11519" t="s">
        <v>5117</v>
      </c>
    </row>
    <row r="11520">
      <c r="H11520" t="s">
        <v>5117</v>
      </c>
    </row>
    <row r="11521">
      <c r="H11521" t="s">
        <v>5117</v>
      </c>
    </row>
    <row r="11522">
      <c r="H11522" t="s">
        <v>5117</v>
      </c>
    </row>
    <row r="11523">
      <c r="H11523" t="s">
        <v>5117</v>
      </c>
    </row>
    <row r="11524">
      <c r="H11524" t="s">
        <v>5117</v>
      </c>
    </row>
    <row r="11525">
      <c r="H11525" t="s">
        <v>5117</v>
      </c>
    </row>
    <row r="11526">
      <c r="H11526" t="s">
        <v>5117</v>
      </c>
    </row>
    <row r="11527">
      <c r="H11527" t="s">
        <v>5117</v>
      </c>
    </row>
    <row r="11528">
      <c r="H11528" t="s">
        <v>5117</v>
      </c>
    </row>
    <row r="11529">
      <c r="H11529" t="s">
        <v>5117</v>
      </c>
    </row>
    <row r="11530">
      <c r="H11530" t="s">
        <v>5117</v>
      </c>
    </row>
    <row r="11531">
      <c r="H11531" t="s">
        <v>5117</v>
      </c>
    </row>
    <row r="11532">
      <c r="H11532" t="s">
        <v>5117</v>
      </c>
    </row>
    <row r="11533">
      <c r="H11533" t="s">
        <v>5117</v>
      </c>
    </row>
    <row r="11534">
      <c r="H11534" t="s">
        <v>5117</v>
      </c>
    </row>
    <row r="11535">
      <c r="H11535" t="s">
        <v>5117</v>
      </c>
    </row>
    <row r="11536">
      <c r="H11536" t="s">
        <v>5117</v>
      </c>
    </row>
    <row r="11537">
      <c r="H11537" t="s">
        <v>5117</v>
      </c>
    </row>
    <row r="11538">
      <c r="H11538" t="s">
        <v>5117</v>
      </c>
    </row>
    <row r="11539">
      <c r="H11539" t="s">
        <v>5117</v>
      </c>
    </row>
    <row r="11540">
      <c r="H11540" t="s">
        <v>5117</v>
      </c>
    </row>
    <row r="11541">
      <c r="H11541" t="s">
        <v>5117</v>
      </c>
    </row>
    <row r="11542">
      <c r="H11542" t="s">
        <v>5117</v>
      </c>
    </row>
    <row r="11543">
      <c r="H11543" t="s">
        <v>5117</v>
      </c>
    </row>
    <row r="11544">
      <c r="H11544" t="s">
        <v>5117</v>
      </c>
    </row>
    <row r="11545">
      <c r="H11545" t="s">
        <v>5117</v>
      </c>
    </row>
    <row r="11546">
      <c r="H11546" t="s">
        <v>5117</v>
      </c>
    </row>
    <row r="11547">
      <c r="H11547" t="s">
        <v>5117</v>
      </c>
    </row>
    <row r="11548">
      <c r="H11548" t="s">
        <v>5117</v>
      </c>
    </row>
    <row r="11549">
      <c r="H11549" t="s">
        <v>5117</v>
      </c>
    </row>
    <row r="11550">
      <c r="H11550" t="s">
        <v>5117</v>
      </c>
    </row>
    <row r="11551">
      <c r="H11551" t="s">
        <v>5117</v>
      </c>
    </row>
    <row r="11552">
      <c r="H11552" t="s">
        <v>5117</v>
      </c>
    </row>
    <row r="11553">
      <c r="H11553" t="s">
        <v>5117</v>
      </c>
    </row>
    <row r="11554">
      <c r="H11554" t="s">
        <v>5117</v>
      </c>
    </row>
    <row r="11555">
      <c r="H11555" t="s">
        <v>5117</v>
      </c>
    </row>
    <row r="11556">
      <c r="H11556" t="s">
        <v>5117</v>
      </c>
    </row>
    <row r="11557">
      <c r="H11557" t="s">
        <v>5117</v>
      </c>
    </row>
    <row r="11558">
      <c r="H11558" t="s">
        <v>5117</v>
      </c>
    </row>
    <row r="11559">
      <c r="H11559" t="s">
        <v>5117</v>
      </c>
    </row>
    <row r="11560">
      <c r="H11560" t="s">
        <v>5117</v>
      </c>
    </row>
    <row r="11561">
      <c r="H11561" t="s">
        <v>5117</v>
      </c>
    </row>
    <row r="11562">
      <c r="H11562" t="s">
        <v>5117</v>
      </c>
    </row>
    <row r="11563">
      <c r="H11563" t="s">
        <v>5117</v>
      </c>
    </row>
    <row r="11564">
      <c r="H11564" t="s">
        <v>5117</v>
      </c>
    </row>
    <row r="11565">
      <c r="H11565" t="s">
        <v>5117</v>
      </c>
    </row>
    <row r="11566">
      <c r="H11566" t="s">
        <v>5117</v>
      </c>
    </row>
    <row r="11567">
      <c r="H11567" t="s">
        <v>5117</v>
      </c>
    </row>
    <row r="11568">
      <c r="H11568" t="s">
        <v>5117</v>
      </c>
    </row>
    <row r="11569">
      <c r="H11569" t="s">
        <v>5117</v>
      </c>
    </row>
    <row r="11570">
      <c r="H11570" t="s">
        <v>5117</v>
      </c>
    </row>
    <row r="11571">
      <c r="H11571" t="s">
        <v>5117</v>
      </c>
    </row>
    <row r="11572">
      <c r="H11572" t="s">
        <v>5117</v>
      </c>
    </row>
    <row r="11573">
      <c r="H11573" t="s">
        <v>5117</v>
      </c>
    </row>
    <row r="11574">
      <c r="H11574" t="s">
        <v>5117</v>
      </c>
    </row>
    <row r="11575">
      <c r="H11575" t="s">
        <v>5117</v>
      </c>
    </row>
    <row r="11576">
      <c r="H11576" t="s">
        <v>5117</v>
      </c>
    </row>
    <row r="11577">
      <c r="H11577" t="s">
        <v>5117</v>
      </c>
    </row>
    <row r="11578">
      <c r="H11578" t="s">
        <v>5117</v>
      </c>
    </row>
    <row r="11579">
      <c r="H11579" t="s">
        <v>5117</v>
      </c>
    </row>
    <row r="11580">
      <c r="H11580" t="s">
        <v>5117</v>
      </c>
    </row>
    <row r="11581">
      <c r="H11581" t="s">
        <v>5117</v>
      </c>
    </row>
    <row r="11582">
      <c r="H11582" t="s">
        <v>5117</v>
      </c>
    </row>
    <row r="11583">
      <c r="H11583" t="s">
        <v>5117</v>
      </c>
    </row>
    <row r="11584">
      <c r="H11584" t="s">
        <v>5117</v>
      </c>
    </row>
    <row r="11585">
      <c r="H11585" t="s">
        <v>5117</v>
      </c>
    </row>
    <row r="11586">
      <c r="H11586" t="s">
        <v>5117</v>
      </c>
    </row>
    <row r="11587">
      <c r="H11587" t="s">
        <v>5117</v>
      </c>
    </row>
    <row r="11588">
      <c r="H11588" t="s">
        <v>5117</v>
      </c>
    </row>
    <row r="11589">
      <c r="H11589" t="s">
        <v>5117</v>
      </c>
    </row>
    <row r="11590">
      <c r="H11590" t="s">
        <v>5117</v>
      </c>
    </row>
    <row r="11591">
      <c r="H11591" t="s">
        <v>5117</v>
      </c>
    </row>
    <row r="11592">
      <c r="H11592" t="s">
        <v>5117</v>
      </c>
    </row>
    <row r="11593">
      <c r="H11593" t="s">
        <v>5117</v>
      </c>
    </row>
    <row r="11594">
      <c r="H11594" t="s">
        <v>5117</v>
      </c>
    </row>
    <row r="11595">
      <c r="H11595" t="s">
        <v>5117</v>
      </c>
    </row>
    <row r="11596">
      <c r="H11596" t="s">
        <v>5117</v>
      </c>
    </row>
    <row r="11597">
      <c r="H11597" t="s">
        <v>5117</v>
      </c>
    </row>
    <row r="11598">
      <c r="H11598" t="s">
        <v>5117</v>
      </c>
    </row>
    <row r="11599">
      <c r="H11599" t="s">
        <v>5117</v>
      </c>
    </row>
    <row r="11600">
      <c r="H11600" t="s">
        <v>5117</v>
      </c>
    </row>
    <row r="11601">
      <c r="H11601" t="s">
        <v>5117</v>
      </c>
    </row>
    <row r="11602">
      <c r="H11602" t="s">
        <v>5117</v>
      </c>
    </row>
    <row r="11603">
      <c r="H11603" t="s">
        <v>5117</v>
      </c>
    </row>
    <row r="11604">
      <c r="H11604" t="s">
        <v>5117</v>
      </c>
    </row>
    <row r="11605">
      <c r="H11605" t="s">
        <v>5117</v>
      </c>
    </row>
    <row r="11606">
      <c r="H11606" t="s">
        <v>5117</v>
      </c>
    </row>
    <row r="11607">
      <c r="H11607" t="s">
        <v>5117</v>
      </c>
    </row>
    <row r="11608">
      <c r="H11608" t="s">
        <v>5117</v>
      </c>
    </row>
    <row r="11609">
      <c r="H11609" t="s">
        <v>5117</v>
      </c>
    </row>
    <row r="11610">
      <c r="H11610" t="s">
        <v>5117</v>
      </c>
    </row>
    <row r="11611">
      <c r="H11611" t="s">
        <v>5117</v>
      </c>
    </row>
    <row r="11612">
      <c r="H11612" t="s">
        <v>5117</v>
      </c>
    </row>
    <row r="11613">
      <c r="H11613" t="s">
        <v>5117</v>
      </c>
    </row>
    <row r="11614">
      <c r="H11614" t="s">
        <v>5117</v>
      </c>
    </row>
    <row r="11615">
      <c r="H11615" t="s">
        <v>5117</v>
      </c>
    </row>
    <row r="11616">
      <c r="H11616" t="s">
        <v>5117</v>
      </c>
    </row>
    <row r="11617">
      <c r="H11617" t="s">
        <v>5117</v>
      </c>
    </row>
    <row r="11618">
      <c r="H11618" t="s">
        <v>5117</v>
      </c>
    </row>
    <row r="11619">
      <c r="H11619" t="s">
        <v>5117</v>
      </c>
    </row>
    <row r="11620">
      <c r="H11620" t="s">
        <v>5117</v>
      </c>
    </row>
    <row r="11621">
      <c r="H11621" t="s">
        <v>5117</v>
      </c>
    </row>
    <row r="11622">
      <c r="H11622" t="s">
        <v>5117</v>
      </c>
    </row>
    <row r="11623">
      <c r="H11623" t="s">
        <v>5117</v>
      </c>
    </row>
    <row r="11624">
      <c r="H11624" t="s">
        <v>5117</v>
      </c>
    </row>
    <row r="11625">
      <c r="H11625" t="s">
        <v>5117</v>
      </c>
    </row>
    <row r="11626">
      <c r="H11626" t="s">
        <v>5117</v>
      </c>
    </row>
    <row r="11627">
      <c r="H11627" t="s">
        <v>5117</v>
      </c>
    </row>
    <row r="11628">
      <c r="H11628" t="s">
        <v>5117</v>
      </c>
    </row>
    <row r="11629">
      <c r="H11629" t="s">
        <v>5117</v>
      </c>
    </row>
    <row r="11630">
      <c r="H11630" t="s">
        <v>5117</v>
      </c>
    </row>
    <row r="11631">
      <c r="H11631" t="s">
        <v>5117</v>
      </c>
    </row>
    <row r="11632">
      <c r="H11632" t="s">
        <v>5117</v>
      </c>
    </row>
    <row r="11633">
      <c r="H11633" t="s">
        <v>5117</v>
      </c>
    </row>
    <row r="11634">
      <c r="H11634" t="s">
        <v>5117</v>
      </c>
    </row>
    <row r="11635">
      <c r="H11635" t="s">
        <v>5117</v>
      </c>
    </row>
    <row r="11636">
      <c r="H11636" t="s">
        <v>5117</v>
      </c>
    </row>
    <row r="11637">
      <c r="H11637" t="s">
        <v>5117</v>
      </c>
    </row>
    <row r="11638">
      <c r="H11638" t="s">
        <v>5117</v>
      </c>
    </row>
    <row r="11639">
      <c r="H11639" t="s">
        <v>5117</v>
      </c>
    </row>
    <row r="11640">
      <c r="H11640" t="s">
        <v>5117</v>
      </c>
    </row>
    <row r="11641">
      <c r="H11641" t="s">
        <v>5117</v>
      </c>
    </row>
    <row r="11642">
      <c r="H11642" t="s">
        <v>5117</v>
      </c>
    </row>
    <row r="11643">
      <c r="H11643" t="s">
        <v>5117</v>
      </c>
    </row>
    <row r="11644">
      <c r="H11644" t="s">
        <v>5117</v>
      </c>
    </row>
    <row r="11645">
      <c r="H11645" t="s">
        <v>5117</v>
      </c>
    </row>
    <row r="11646">
      <c r="H11646" t="s">
        <v>5117</v>
      </c>
    </row>
    <row r="11647">
      <c r="H11647" t="s">
        <v>5117</v>
      </c>
    </row>
    <row r="11648">
      <c r="H11648" t="s">
        <v>5117</v>
      </c>
    </row>
    <row r="11649">
      <c r="H11649" t="s">
        <v>5117</v>
      </c>
    </row>
    <row r="11650">
      <c r="H11650" t="s">
        <v>5117</v>
      </c>
    </row>
    <row r="11651">
      <c r="H11651" t="s">
        <v>5117</v>
      </c>
    </row>
    <row r="11652">
      <c r="H11652" t="s">
        <v>5117</v>
      </c>
    </row>
    <row r="11653">
      <c r="H11653" t="s">
        <v>5117</v>
      </c>
    </row>
    <row r="11654">
      <c r="H11654" t="s">
        <v>5117</v>
      </c>
    </row>
    <row r="11655">
      <c r="H11655" t="s">
        <v>5117</v>
      </c>
    </row>
    <row r="11656">
      <c r="H11656" t="s">
        <v>5117</v>
      </c>
    </row>
    <row r="11657">
      <c r="H11657" t="s">
        <v>5117</v>
      </c>
    </row>
    <row r="11658">
      <c r="H11658" t="s">
        <v>5117</v>
      </c>
    </row>
    <row r="11659">
      <c r="H11659" t="s">
        <v>5117</v>
      </c>
    </row>
    <row r="11660">
      <c r="H11660" t="s">
        <v>5117</v>
      </c>
    </row>
    <row r="11661">
      <c r="H11661" t="s">
        <v>5117</v>
      </c>
    </row>
    <row r="11662">
      <c r="H11662" t="s">
        <v>5117</v>
      </c>
    </row>
    <row r="11663">
      <c r="H11663" t="s">
        <v>5117</v>
      </c>
    </row>
    <row r="11664">
      <c r="H11664" t="s">
        <v>5117</v>
      </c>
    </row>
    <row r="11665">
      <c r="H11665" t="s">
        <v>5117</v>
      </c>
    </row>
    <row r="11666">
      <c r="H11666" t="s">
        <v>5117</v>
      </c>
    </row>
    <row r="11667">
      <c r="H11667" t="s">
        <v>5117</v>
      </c>
    </row>
    <row r="11668">
      <c r="H11668" t="s">
        <v>5117</v>
      </c>
    </row>
    <row r="11669">
      <c r="H11669" t="s">
        <v>5117</v>
      </c>
    </row>
    <row r="11670">
      <c r="H11670" t="s">
        <v>5117</v>
      </c>
    </row>
    <row r="11671">
      <c r="H11671" t="s">
        <v>5117</v>
      </c>
    </row>
    <row r="11672">
      <c r="H11672" t="s">
        <v>5117</v>
      </c>
    </row>
    <row r="11673">
      <c r="H11673" t="s">
        <v>5117</v>
      </c>
    </row>
    <row r="11674">
      <c r="H11674" t="s">
        <v>5117</v>
      </c>
    </row>
    <row r="11675">
      <c r="H11675" t="s">
        <v>5117</v>
      </c>
    </row>
    <row r="11676">
      <c r="H11676" t="s">
        <v>5117</v>
      </c>
    </row>
    <row r="11677">
      <c r="H11677" t="s">
        <v>5117</v>
      </c>
    </row>
    <row r="11678">
      <c r="H11678" t="s">
        <v>5117</v>
      </c>
    </row>
    <row r="11679">
      <c r="H11679" t="s">
        <v>5117</v>
      </c>
    </row>
    <row r="11680">
      <c r="H11680" t="s">
        <v>5117</v>
      </c>
    </row>
    <row r="11681">
      <c r="H11681" t="s">
        <v>5117</v>
      </c>
    </row>
    <row r="11682">
      <c r="H11682" t="s">
        <v>5117</v>
      </c>
    </row>
    <row r="11683">
      <c r="H11683" t="s">
        <v>5117</v>
      </c>
    </row>
    <row r="11684">
      <c r="H11684" t="s">
        <v>5117</v>
      </c>
    </row>
    <row r="11685">
      <c r="H11685" t="s">
        <v>5117</v>
      </c>
    </row>
    <row r="11686">
      <c r="H11686" t="s">
        <v>5117</v>
      </c>
    </row>
    <row r="11687">
      <c r="H11687" t="s">
        <v>5117</v>
      </c>
    </row>
    <row r="11688">
      <c r="H11688" t="s">
        <v>5117</v>
      </c>
    </row>
    <row r="11689">
      <c r="H11689" t="s">
        <v>5117</v>
      </c>
    </row>
    <row r="11690">
      <c r="H11690" t="s">
        <v>5117</v>
      </c>
    </row>
    <row r="11691">
      <c r="H11691" t="s">
        <v>5117</v>
      </c>
    </row>
    <row r="11692">
      <c r="H11692" t="s">
        <v>5117</v>
      </c>
    </row>
    <row r="11693">
      <c r="H11693" t="s">
        <v>5117</v>
      </c>
    </row>
    <row r="11694">
      <c r="H11694" t="s">
        <v>5117</v>
      </c>
    </row>
    <row r="11695">
      <c r="H11695" t="s">
        <v>5117</v>
      </c>
    </row>
    <row r="11696">
      <c r="H11696" t="s">
        <v>5117</v>
      </c>
    </row>
    <row r="11697">
      <c r="H11697" t="s">
        <v>5117</v>
      </c>
    </row>
    <row r="11698">
      <c r="H11698" t="s">
        <v>5117</v>
      </c>
    </row>
    <row r="11699">
      <c r="H11699" t="s">
        <v>5117</v>
      </c>
    </row>
    <row r="11700">
      <c r="H11700" t="s">
        <v>5117</v>
      </c>
    </row>
    <row r="11701">
      <c r="H11701" t="s">
        <v>5117</v>
      </c>
    </row>
    <row r="11702">
      <c r="H11702" t="s">
        <v>5117</v>
      </c>
    </row>
    <row r="11703">
      <c r="H11703" t="s">
        <v>5117</v>
      </c>
    </row>
    <row r="11704">
      <c r="H11704" t="s">
        <v>5117</v>
      </c>
    </row>
    <row r="11705">
      <c r="H11705" t="s">
        <v>5117</v>
      </c>
    </row>
    <row r="11706">
      <c r="H11706" t="s">
        <v>5117</v>
      </c>
    </row>
    <row r="11707">
      <c r="H11707" t="s">
        <v>5117</v>
      </c>
    </row>
    <row r="11708">
      <c r="H11708" t="s">
        <v>5117</v>
      </c>
    </row>
    <row r="11709">
      <c r="H11709" t="s">
        <v>5117</v>
      </c>
    </row>
    <row r="11710">
      <c r="H11710" t="s">
        <v>5117</v>
      </c>
    </row>
    <row r="11711">
      <c r="H11711" t="s">
        <v>5117</v>
      </c>
    </row>
    <row r="11712">
      <c r="H11712" t="s">
        <v>5117</v>
      </c>
    </row>
    <row r="11713">
      <c r="H11713" t="s">
        <v>5117</v>
      </c>
    </row>
    <row r="11714">
      <c r="H11714" t="s">
        <v>5117</v>
      </c>
    </row>
    <row r="11715">
      <c r="H11715" t="s">
        <v>5117</v>
      </c>
    </row>
    <row r="11716">
      <c r="H11716" t="s">
        <v>5117</v>
      </c>
    </row>
    <row r="11717">
      <c r="H11717" t="s">
        <v>5117</v>
      </c>
    </row>
    <row r="11718">
      <c r="H11718" t="s">
        <v>5117</v>
      </c>
    </row>
    <row r="11719">
      <c r="H11719" t="s">
        <v>5117</v>
      </c>
    </row>
    <row r="11720">
      <c r="H11720" t="s">
        <v>5117</v>
      </c>
    </row>
    <row r="11721">
      <c r="H11721" t="s">
        <v>5117</v>
      </c>
    </row>
    <row r="11722">
      <c r="H11722" t="s">
        <v>5117</v>
      </c>
    </row>
    <row r="11723">
      <c r="H11723" t="s">
        <v>5117</v>
      </c>
    </row>
    <row r="11724">
      <c r="H11724" t="s">
        <v>5117</v>
      </c>
    </row>
    <row r="11725">
      <c r="H11725" t="s">
        <v>5117</v>
      </c>
    </row>
    <row r="11726">
      <c r="H11726" t="s">
        <v>5117</v>
      </c>
    </row>
    <row r="11727">
      <c r="H11727" t="s">
        <v>5117</v>
      </c>
    </row>
    <row r="11728">
      <c r="H11728" t="s">
        <v>5117</v>
      </c>
    </row>
    <row r="11729">
      <c r="H11729" t="s">
        <v>5117</v>
      </c>
    </row>
    <row r="11730">
      <c r="H11730" t="s">
        <v>5117</v>
      </c>
    </row>
    <row r="11731">
      <c r="H11731" t="s">
        <v>5117</v>
      </c>
    </row>
    <row r="11732">
      <c r="H11732" t="s">
        <v>5117</v>
      </c>
    </row>
    <row r="11733">
      <c r="H11733" t="s">
        <v>5117</v>
      </c>
    </row>
    <row r="11734">
      <c r="H11734" t="s">
        <v>5117</v>
      </c>
    </row>
    <row r="11735">
      <c r="H11735" t="s">
        <v>5117</v>
      </c>
    </row>
    <row r="11736">
      <c r="H11736" t="s">
        <v>5117</v>
      </c>
    </row>
    <row r="11737">
      <c r="H11737" t="s">
        <v>5117</v>
      </c>
    </row>
    <row r="11738">
      <c r="H11738" t="s">
        <v>5117</v>
      </c>
    </row>
    <row r="11739">
      <c r="H11739" t="s">
        <v>5117</v>
      </c>
    </row>
    <row r="11740">
      <c r="H11740" t="s">
        <v>5117</v>
      </c>
    </row>
    <row r="11741">
      <c r="H11741" t="s">
        <v>5117</v>
      </c>
    </row>
    <row r="11742">
      <c r="H11742" t="s">
        <v>5117</v>
      </c>
    </row>
    <row r="11743">
      <c r="H11743" t="s">
        <v>5117</v>
      </c>
    </row>
    <row r="11744">
      <c r="H11744" t="s">
        <v>5117</v>
      </c>
    </row>
    <row r="11745">
      <c r="H11745" t="s">
        <v>5117</v>
      </c>
    </row>
    <row r="11746">
      <c r="H11746" t="s">
        <v>5117</v>
      </c>
    </row>
    <row r="11747">
      <c r="H11747" t="s">
        <v>5117</v>
      </c>
    </row>
    <row r="11748">
      <c r="H11748" t="s">
        <v>5117</v>
      </c>
    </row>
    <row r="11749">
      <c r="H11749" t="s">
        <v>5117</v>
      </c>
    </row>
    <row r="11750">
      <c r="H11750" t="s">
        <v>5117</v>
      </c>
    </row>
    <row r="11751">
      <c r="H11751" t="s">
        <v>5117</v>
      </c>
    </row>
    <row r="11752">
      <c r="H11752" t="s">
        <v>5117</v>
      </c>
    </row>
    <row r="11753">
      <c r="H11753" t="s">
        <v>5117</v>
      </c>
    </row>
    <row r="11754">
      <c r="H11754" t="s">
        <v>5117</v>
      </c>
    </row>
    <row r="11755">
      <c r="H11755" t="s">
        <v>5117</v>
      </c>
    </row>
    <row r="11756">
      <c r="H11756" t="s">
        <v>5117</v>
      </c>
    </row>
    <row r="11757">
      <c r="H11757" t="s">
        <v>5117</v>
      </c>
    </row>
    <row r="11758">
      <c r="H11758" t="s">
        <v>5117</v>
      </c>
    </row>
    <row r="11759">
      <c r="H11759" t="s">
        <v>5117</v>
      </c>
    </row>
    <row r="11760">
      <c r="H11760" t="s">
        <v>5117</v>
      </c>
    </row>
    <row r="11761">
      <c r="H11761" t="s">
        <v>5117</v>
      </c>
    </row>
    <row r="11762">
      <c r="H11762" t="s">
        <v>5117</v>
      </c>
    </row>
    <row r="11763">
      <c r="H11763" t="s">
        <v>5117</v>
      </c>
    </row>
    <row r="11764">
      <c r="H11764" t="s">
        <v>5117</v>
      </c>
    </row>
    <row r="11765">
      <c r="H11765" t="s">
        <v>5117</v>
      </c>
    </row>
    <row r="11766">
      <c r="H11766" t="s">
        <v>5117</v>
      </c>
    </row>
    <row r="11767">
      <c r="H11767" t="s">
        <v>5117</v>
      </c>
    </row>
    <row r="11768">
      <c r="H11768" t="s">
        <v>5117</v>
      </c>
    </row>
    <row r="11769">
      <c r="H11769" t="s">
        <v>5117</v>
      </c>
    </row>
    <row r="11770">
      <c r="H11770" t="s">
        <v>5117</v>
      </c>
    </row>
    <row r="11771">
      <c r="H11771" t="s">
        <v>5117</v>
      </c>
    </row>
    <row r="11772">
      <c r="H11772" t="s">
        <v>5117</v>
      </c>
    </row>
    <row r="11773">
      <c r="H11773" t="s">
        <v>5117</v>
      </c>
    </row>
    <row r="11774">
      <c r="H11774" t="s">
        <v>5117</v>
      </c>
    </row>
    <row r="11775">
      <c r="H11775" t="s">
        <v>5117</v>
      </c>
    </row>
    <row r="11776">
      <c r="H11776" t="s">
        <v>5117</v>
      </c>
    </row>
    <row r="11777">
      <c r="H11777" t="s">
        <v>5117</v>
      </c>
    </row>
    <row r="11778">
      <c r="H11778" t="s">
        <v>5117</v>
      </c>
    </row>
    <row r="11779">
      <c r="H11779" t="s">
        <v>5117</v>
      </c>
    </row>
    <row r="11780">
      <c r="H11780" t="s">
        <v>5117</v>
      </c>
    </row>
    <row r="11781">
      <c r="H11781" t="s">
        <v>5117</v>
      </c>
    </row>
    <row r="11782">
      <c r="H11782" t="s">
        <v>5117</v>
      </c>
    </row>
    <row r="11783">
      <c r="H11783" t="s">
        <v>5117</v>
      </c>
    </row>
    <row r="11784">
      <c r="H11784" t="s">
        <v>5117</v>
      </c>
    </row>
    <row r="11785">
      <c r="H11785" t="s">
        <v>5117</v>
      </c>
    </row>
    <row r="11786">
      <c r="H11786" t="s">
        <v>5117</v>
      </c>
    </row>
    <row r="11787">
      <c r="H11787" t="s">
        <v>5117</v>
      </c>
    </row>
    <row r="11788">
      <c r="H11788" t="s">
        <v>5117</v>
      </c>
    </row>
    <row r="11789">
      <c r="H11789" t="s">
        <v>5117</v>
      </c>
    </row>
    <row r="11790">
      <c r="H11790" t="s">
        <v>5117</v>
      </c>
    </row>
    <row r="11791">
      <c r="H11791" t="s">
        <v>5117</v>
      </c>
    </row>
    <row r="11792">
      <c r="H11792" t="s">
        <v>5117</v>
      </c>
    </row>
    <row r="11793">
      <c r="H11793" t="s">
        <v>5117</v>
      </c>
    </row>
    <row r="11794">
      <c r="H11794" t="s">
        <v>5117</v>
      </c>
    </row>
    <row r="11795">
      <c r="H11795" t="s">
        <v>5117</v>
      </c>
    </row>
    <row r="11796">
      <c r="H11796" t="s">
        <v>5117</v>
      </c>
    </row>
    <row r="11797">
      <c r="H11797" t="s">
        <v>5117</v>
      </c>
    </row>
    <row r="11798">
      <c r="H11798" t="s">
        <v>5117</v>
      </c>
    </row>
    <row r="11799">
      <c r="H11799" t="s">
        <v>5117</v>
      </c>
    </row>
    <row r="11800">
      <c r="H11800" t="s">
        <v>5117</v>
      </c>
    </row>
    <row r="11801">
      <c r="H11801" t="s">
        <v>5117</v>
      </c>
    </row>
    <row r="11802">
      <c r="H11802" t="s">
        <v>5117</v>
      </c>
    </row>
    <row r="11803">
      <c r="H11803" t="s">
        <v>5117</v>
      </c>
    </row>
    <row r="11804">
      <c r="H11804" t="s">
        <v>5117</v>
      </c>
    </row>
    <row r="11805">
      <c r="H11805" t="s">
        <v>5117</v>
      </c>
    </row>
    <row r="11806">
      <c r="H11806" t="s">
        <v>5117</v>
      </c>
    </row>
    <row r="11807">
      <c r="H11807" t="s">
        <v>5117</v>
      </c>
    </row>
    <row r="11808">
      <c r="H11808" t="s">
        <v>5117</v>
      </c>
    </row>
    <row r="11809">
      <c r="H11809" t="s">
        <v>5117</v>
      </c>
    </row>
    <row r="11810">
      <c r="H11810" t="s">
        <v>5117</v>
      </c>
    </row>
    <row r="11811">
      <c r="H11811" t="s">
        <v>5117</v>
      </c>
    </row>
    <row r="11812">
      <c r="H11812" t="s">
        <v>5117</v>
      </c>
    </row>
    <row r="11813">
      <c r="H11813" t="s">
        <v>5117</v>
      </c>
    </row>
    <row r="11814">
      <c r="H11814" t="s">
        <v>5117</v>
      </c>
    </row>
    <row r="11815">
      <c r="H11815" t="s">
        <v>5117</v>
      </c>
    </row>
    <row r="11816">
      <c r="H11816" t="s">
        <v>5117</v>
      </c>
    </row>
    <row r="11817">
      <c r="H11817" t="s">
        <v>5117</v>
      </c>
    </row>
    <row r="11818">
      <c r="H11818" t="s">
        <v>5117</v>
      </c>
    </row>
    <row r="11819">
      <c r="H11819" t="s">
        <v>5117</v>
      </c>
    </row>
    <row r="11820">
      <c r="H11820" t="s">
        <v>5117</v>
      </c>
    </row>
    <row r="11821">
      <c r="H11821" t="s">
        <v>5117</v>
      </c>
    </row>
    <row r="11822">
      <c r="H11822" t="s">
        <v>5117</v>
      </c>
    </row>
    <row r="11823">
      <c r="H11823" t="s">
        <v>5117</v>
      </c>
    </row>
    <row r="11824">
      <c r="H11824" t="s">
        <v>5117</v>
      </c>
    </row>
    <row r="11825">
      <c r="H11825" t="s">
        <v>5117</v>
      </c>
    </row>
    <row r="11826">
      <c r="H11826" t="s">
        <v>5117</v>
      </c>
    </row>
    <row r="11827">
      <c r="H11827" t="s">
        <v>5117</v>
      </c>
    </row>
    <row r="11828">
      <c r="H11828" t="s">
        <v>5117</v>
      </c>
    </row>
    <row r="11829">
      <c r="H11829" t="s">
        <v>5117</v>
      </c>
    </row>
    <row r="11830">
      <c r="H11830" t="s">
        <v>5117</v>
      </c>
    </row>
    <row r="11831">
      <c r="H11831" t="s">
        <v>5117</v>
      </c>
    </row>
    <row r="11832">
      <c r="H11832" t="s">
        <v>5117</v>
      </c>
    </row>
    <row r="11833">
      <c r="H11833" t="s">
        <v>5117</v>
      </c>
    </row>
    <row r="11834">
      <c r="H11834" t="s">
        <v>5117</v>
      </c>
    </row>
    <row r="11835">
      <c r="H11835" t="s">
        <v>5117</v>
      </c>
    </row>
    <row r="11836">
      <c r="H11836" t="s">
        <v>5117</v>
      </c>
    </row>
    <row r="11837">
      <c r="H11837" t="s">
        <v>5117</v>
      </c>
    </row>
    <row r="11838">
      <c r="H11838" t="s">
        <v>5117</v>
      </c>
    </row>
    <row r="11839">
      <c r="H11839" t="s">
        <v>5117</v>
      </c>
    </row>
    <row r="11840">
      <c r="H11840" t="s">
        <v>5117</v>
      </c>
    </row>
    <row r="11841">
      <c r="H11841" t="s">
        <v>5117</v>
      </c>
    </row>
    <row r="11842">
      <c r="H11842" t="s">
        <v>5117</v>
      </c>
    </row>
    <row r="11843">
      <c r="H11843" t="s">
        <v>5117</v>
      </c>
    </row>
    <row r="11844">
      <c r="H11844" t="s">
        <v>5117</v>
      </c>
    </row>
    <row r="11845">
      <c r="H11845" t="s">
        <v>5117</v>
      </c>
    </row>
    <row r="11846">
      <c r="H11846" t="s">
        <v>5117</v>
      </c>
    </row>
    <row r="11847">
      <c r="H11847" t="s">
        <v>5117</v>
      </c>
    </row>
    <row r="11848">
      <c r="H11848" t="s">
        <v>5117</v>
      </c>
    </row>
    <row r="11849">
      <c r="H11849" t="s">
        <v>5117</v>
      </c>
    </row>
    <row r="11850">
      <c r="H11850" t="s">
        <v>5117</v>
      </c>
    </row>
    <row r="11851">
      <c r="H11851" t="s">
        <v>5117</v>
      </c>
    </row>
    <row r="11852">
      <c r="H11852" t="s">
        <v>5117</v>
      </c>
    </row>
    <row r="11853">
      <c r="H11853" t="s">
        <v>5117</v>
      </c>
    </row>
    <row r="11854">
      <c r="H11854" t="s">
        <v>5117</v>
      </c>
    </row>
    <row r="11855">
      <c r="H11855" t="s">
        <v>5117</v>
      </c>
    </row>
    <row r="11856">
      <c r="H11856" t="s">
        <v>5117</v>
      </c>
    </row>
    <row r="11857">
      <c r="H11857" t="s">
        <v>5117</v>
      </c>
    </row>
    <row r="11858">
      <c r="H11858" t="s">
        <v>5117</v>
      </c>
    </row>
    <row r="11859">
      <c r="H11859" t="s">
        <v>5117</v>
      </c>
    </row>
    <row r="11860">
      <c r="H11860" t="s">
        <v>5117</v>
      </c>
    </row>
    <row r="11861">
      <c r="H11861" t="s">
        <v>5117</v>
      </c>
    </row>
    <row r="11862">
      <c r="H11862" t="s">
        <v>5117</v>
      </c>
    </row>
    <row r="11863">
      <c r="H11863" t="s">
        <v>5117</v>
      </c>
    </row>
    <row r="11864">
      <c r="H11864" t="s">
        <v>5117</v>
      </c>
    </row>
    <row r="11865">
      <c r="H11865" t="s">
        <v>5117</v>
      </c>
    </row>
    <row r="11866">
      <c r="H11866" t="s">
        <v>5117</v>
      </c>
    </row>
    <row r="11867">
      <c r="H11867" t="s">
        <v>5117</v>
      </c>
    </row>
    <row r="11868">
      <c r="H11868" t="s">
        <v>5117</v>
      </c>
    </row>
    <row r="11869">
      <c r="H11869" t="s">
        <v>5117</v>
      </c>
    </row>
    <row r="11870">
      <c r="H11870" t="s">
        <v>5117</v>
      </c>
    </row>
    <row r="11871">
      <c r="H11871" t="s">
        <v>5117</v>
      </c>
    </row>
    <row r="11872">
      <c r="H11872" t="s">
        <v>5117</v>
      </c>
    </row>
    <row r="11873">
      <c r="H11873" t="s">
        <v>5117</v>
      </c>
    </row>
    <row r="11874">
      <c r="H11874" t="s">
        <v>5117</v>
      </c>
    </row>
    <row r="11875">
      <c r="H11875" t="s">
        <v>5117</v>
      </c>
    </row>
    <row r="11876">
      <c r="H11876" t="s">
        <v>5117</v>
      </c>
    </row>
    <row r="11877">
      <c r="H11877" t="s">
        <v>5117</v>
      </c>
    </row>
    <row r="11878">
      <c r="H11878" t="s">
        <v>5117</v>
      </c>
    </row>
    <row r="11879">
      <c r="H11879" t="s">
        <v>5117</v>
      </c>
    </row>
    <row r="11880">
      <c r="H11880" t="s">
        <v>5117</v>
      </c>
    </row>
    <row r="11881">
      <c r="H11881" t="s">
        <v>5117</v>
      </c>
    </row>
    <row r="11882">
      <c r="H11882" t="s">
        <v>5117</v>
      </c>
    </row>
    <row r="11883">
      <c r="H11883" t="s">
        <v>5117</v>
      </c>
    </row>
    <row r="11884">
      <c r="H11884" t="s">
        <v>5117</v>
      </c>
    </row>
    <row r="11885">
      <c r="H11885" t="s">
        <v>5117</v>
      </c>
    </row>
    <row r="11886">
      <c r="H11886" t="s">
        <v>5117</v>
      </c>
    </row>
    <row r="11887">
      <c r="H11887" t="s">
        <v>5117</v>
      </c>
    </row>
    <row r="11888">
      <c r="H11888" t="s">
        <v>5117</v>
      </c>
    </row>
    <row r="11889">
      <c r="H11889" t="s">
        <v>5117</v>
      </c>
    </row>
    <row r="11890">
      <c r="H11890" t="s">
        <v>5117</v>
      </c>
    </row>
    <row r="11891">
      <c r="H11891" t="s">
        <v>5117</v>
      </c>
    </row>
    <row r="11892">
      <c r="H11892" t="s">
        <v>5117</v>
      </c>
    </row>
    <row r="11893">
      <c r="H11893" t="s">
        <v>5117</v>
      </c>
    </row>
    <row r="11894">
      <c r="H11894" t="s">
        <v>5117</v>
      </c>
    </row>
    <row r="11895">
      <c r="H11895" t="s">
        <v>5117</v>
      </c>
    </row>
    <row r="11896">
      <c r="H11896" t="s">
        <v>5117</v>
      </c>
    </row>
    <row r="11897">
      <c r="H11897" t="s">
        <v>5117</v>
      </c>
    </row>
    <row r="11898">
      <c r="H11898" t="s">
        <v>5117</v>
      </c>
    </row>
    <row r="11899">
      <c r="H11899" t="s">
        <v>5117</v>
      </c>
    </row>
    <row r="11900">
      <c r="H11900" t="s">
        <v>5117</v>
      </c>
    </row>
    <row r="11901">
      <c r="H11901" t="s">
        <v>5117</v>
      </c>
    </row>
    <row r="11902">
      <c r="H11902" t="s">
        <v>5117</v>
      </c>
    </row>
    <row r="11903">
      <c r="H11903" t="s">
        <v>5117</v>
      </c>
    </row>
    <row r="11904">
      <c r="H11904" t="s">
        <v>5117</v>
      </c>
    </row>
    <row r="11905">
      <c r="H11905" t="s">
        <v>5117</v>
      </c>
    </row>
    <row r="11906">
      <c r="H11906" t="s">
        <v>5117</v>
      </c>
    </row>
    <row r="11907">
      <c r="H11907" t="s">
        <v>5117</v>
      </c>
    </row>
    <row r="11908">
      <c r="H11908" t="s">
        <v>5117</v>
      </c>
    </row>
    <row r="11909">
      <c r="H11909" t="s">
        <v>5117</v>
      </c>
    </row>
    <row r="11910">
      <c r="H11910" t="s">
        <v>5117</v>
      </c>
    </row>
    <row r="11911">
      <c r="H11911" t="s">
        <v>5117</v>
      </c>
    </row>
    <row r="11912">
      <c r="H11912" t="s">
        <v>5117</v>
      </c>
    </row>
    <row r="11913">
      <c r="H11913" t="s">
        <v>5117</v>
      </c>
    </row>
    <row r="11914">
      <c r="H11914" t="s">
        <v>5117</v>
      </c>
    </row>
    <row r="11915">
      <c r="H11915" t="s">
        <v>5117</v>
      </c>
    </row>
    <row r="11916">
      <c r="H11916" t="s">
        <v>5117</v>
      </c>
    </row>
    <row r="11917">
      <c r="H11917" t="s">
        <v>5117</v>
      </c>
    </row>
    <row r="11918">
      <c r="H11918" t="s">
        <v>5117</v>
      </c>
    </row>
    <row r="11919">
      <c r="H11919" t="s">
        <v>5117</v>
      </c>
    </row>
    <row r="11920">
      <c r="H11920" t="s">
        <v>5117</v>
      </c>
    </row>
    <row r="11921">
      <c r="H11921" t="s">
        <v>5117</v>
      </c>
    </row>
    <row r="11922">
      <c r="H11922" t="s">
        <v>5117</v>
      </c>
    </row>
    <row r="11923">
      <c r="H11923" t="s">
        <v>5117</v>
      </c>
    </row>
    <row r="11924">
      <c r="H11924" t="s">
        <v>5117</v>
      </c>
    </row>
    <row r="11925">
      <c r="H11925" t="s">
        <v>5117</v>
      </c>
    </row>
    <row r="11926">
      <c r="H11926" t="s">
        <v>5117</v>
      </c>
    </row>
    <row r="11927">
      <c r="H11927" t="s">
        <v>5117</v>
      </c>
    </row>
    <row r="11928">
      <c r="H11928" t="s">
        <v>5117</v>
      </c>
    </row>
    <row r="11929">
      <c r="H11929" t="s">
        <v>5117</v>
      </c>
    </row>
    <row r="11930">
      <c r="H11930" t="s">
        <v>5117</v>
      </c>
    </row>
    <row r="11931">
      <c r="H11931" t="s">
        <v>5117</v>
      </c>
    </row>
    <row r="11932">
      <c r="H11932" t="s">
        <v>5117</v>
      </c>
    </row>
    <row r="11933">
      <c r="H11933" t="s">
        <v>5117</v>
      </c>
    </row>
    <row r="11934">
      <c r="H11934" t="s">
        <v>5117</v>
      </c>
    </row>
    <row r="11935">
      <c r="H11935" t="s">
        <v>5117</v>
      </c>
    </row>
    <row r="11936">
      <c r="H11936" t="s">
        <v>5117</v>
      </c>
    </row>
    <row r="11937">
      <c r="H11937" t="s">
        <v>5117</v>
      </c>
    </row>
    <row r="11938">
      <c r="H11938" t="s">
        <v>5117</v>
      </c>
    </row>
    <row r="11939">
      <c r="H11939" t="s">
        <v>5117</v>
      </c>
    </row>
    <row r="11940">
      <c r="H11940" t="s">
        <v>5117</v>
      </c>
    </row>
    <row r="11941">
      <c r="H11941" t="s">
        <v>5117</v>
      </c>
    </row>
    <row r="11942">
      <c r="H11942" t="s">
        <v>5117</v>
      </c>
    </row>
    <row r="11943">
      <c r="H11943" t="s">
        <v>5117</v>
      </c>
    </row>
    <row r="11944">
      <c r="H11944" t="s">
        <v>5117</v>
      </c>
    </row>
    <row r="11945">
      <c r="H11945" t="s">
        <v>5117</v>
      </c>
    </row>
    <row r="11946">
      <c r="H11946" t="s">
        <v>5117</v>
      </c>
    </row>
    <row r="11947">
      <c r="H11947" t="s">
        <v>5117</v>
      </c>
    </row>
    <row r="11948">
      <c r="H11948" t="s">
        <v>5117</v>
      </c>
    </row>
    <row r="11949">
      <c r="H11949" t="s">
        <v>5117</v>
      </c>
    </row>
    <row r="11950">
      <c r="H11950" t="s">
        <v>5117</v>
      </c>
    </row>
    <row r="11951">
      <c r="H11951" t="s">
        <v>5117</v>
      </c>
    </row>
    <row r="11952">
      <c r="H11952" t="s">
        <v>5117</v>
      </c>
    </row>
    <row r="11953">
      <c r="H11953" t="s">
        <v>5117</v>
      </c>
    </row>
    <row r="11954">
      <c r="H11954" t="s">
        <v>5117</v>
      </c>
    </row>
    <row r="11955">
      <c r="H11955" t="s">
        <v>5117</v>
      </c>
    </row>
    <row r="11956">
      <c r="H11956" t="s">
        <v>5117</v>
      </c>
    </row>
    <row r="11957">
      <c r="H11957" t="s">
        <v>5117</v>
      </c>
    </row>
    <row r="11958">
      <c r="H11958" t="s">
        <v>5117</v>
      </c>
    </row>
    <row r="11959">
      <c r="H11959" t="s">
        <v>5117</v>
      </c>
    </row>
    <row r="11960">
      <c r="H11960" t="s">
        <v>5117</v>
      </c>
    </row>
    <row r="11961">
      <c r="H11961" t="s">
        <v>5117</v>
      </c>
    </row>
    <row r="11962">
      <c r="H11962" t="s">
        <v>5117</v>
      </c>
    </row>
    <row r="11963">
      <c r="H11963" t="s">
        <v>5117</v>
      </c>
    </row>
    <row r="11964">
      <c r="H11964" t="s">
        <v>5117</v>
      </c>
    </row>
    <row r="11965">
      <c r="H11965" t="s">
        <v>5117</v>
      </c>
    </row>
    <row r="11966">
      <c r="H11966" t="s">
        <v>5117</v>
      </c>
    </row>
    <row r="11967">
      <c r="H11967" t="s">
        <v>5117</v>
      </c>
    </row>
    <row r="11968">
      <c r="H11968" t="s">
        <v>5117</v>
      </c>
    </row>
    <row r="11969">
      <c r="H11969" t="s">
        <v>5117</v>
      </c>
    </row>
    <row r="11970">
      <c r="H11970" t="s">
        <v>5117</v>
      </c>
    </row>
    <row r="11971">
      <c r="H11971" t="s">
        <v>5117</v>
      </c>
    </row>
    <row r="11972">
      <c r="H11972" t="s">
        <v>5117</v>
      </c>
    </row>
    <row r="11973">
      <c r="H11973" t="s">
        <v>5117</v>
      </c>
    </row>
    <row r="11974">
      <c r="H11974" t="s">
        <v>5117</v>
      </c>
    </row>
    <row r="11975">
      <c r="H11975" t="s">
        <v>5117</v>
      </c>
    </row>
    <row r="11976">
      <c r="H11976" t="s">
        <v>5117</v>
      </c>
    </row>
    <row r="11977">
      <c r="H11977" t="s">
        <v>5117</v>
      </c>
    </row>
    <row r="11978">
      <c r="H11978" t="s">
        <v>5117</v>
      </c>
    </row>
    <row r="11979">
      <c r="H11979" t="s">
        <v>5117</v>
      </c>
    </row>
    <row r="11980">
      <c r="H11980" t="s">
        <v>5117</v>
      </c>
    </row>
    <row r="11981">
      <c r="H11981" t="s">
        <v>5117</v>
      </c>
    </row>
    <row r="11982">
      <c r="H11982" t="s">
        <v>5117</v>
      </c>
    </row>
    <row r="11983">
      <c r="H11983" t="s">
        <v>5117</v>
      </c>
    </row>
    <row r="11984">
      <c r="H11984" t="s">
        <v>5117</v>
      </c>
    </row>
    <row r="11985">
      <c r="H11985" t="s">
        <v>5117</v>
      </c>
    </row>
    <row r="11986">
      <c r="H11986" t="s">
        <v>5117</v>
      </c>
    </row>
    <row r="11987">
      <c r="H11987" t="s">
        <v>5117</v>
      </c>
    </row>
    <row r="11988">
      <c r="H11988" t="s">
        <v>5117</v>
      </c>
    </row>
    <row r="11989">
      <c r="H11989" t="s">
        <v>5117</v>
      </c>
    </row>
    <row r="11990">
      <c r="H11990" t="s">
        <v>5117</v>
      </c>
    </row>
    <row r="11991">
      <c r="H11991" t="s">
        <v>5117</v>
      </c>
    </row>
    <row r="11992">
      <c r="H11992" t="s">
        <v>5117</v>
      </c>
    </row>
    <row r="11993">
      <c r="H11993" t="s">
        <v>5117</v>
      </c>
    </row>
    <row r="11994">
      <c r="H11994" t="s">
        <v>5117</v>
      </c>
    </row>
    <row r="11995">
      <c r="H11995" t="s">
        <v>5117</v>
      </c>
    </row>
    <row r="11996">
      <c r="H11996" t="s">
        <v>5117</v>
      </c>
    </row>
    <row r="11997">
      <c r="H11997" t="s">
        <v>5117</v>
      </c>
    </row>
    <row r="11998">
      <c r="H11998" t="s">
        <v>5117</v>
      </c>
    </row>
    <row r="11999">
      <c r="H11999" t="s">
        <v>5117</v>
      </c>
    </row>
    <row r="12000">
      <c r="H12000" t="s">
        <v>5117</v>
      </c>
    </row>
    <row r="12001">
      <c r="H12001" t="s">
        <v>5117</v>
      </c>
    </row>
    <row r="12002">
      <c r="H12002" t="s">
        <v>5117</v>
      </c>
    </row>
    <row r="12003">
      <c r="H12003" t="s">
        <v>5117</v>
      </c>
    </row>
    <row r="12004">
      <c r="H12004" t="s">
        <v>5117</v>
      </c>
    </row>
    <row r="12005">
      <c r="H12005" t="s">
        <v>5117</v>
      </c>
    </row>
    <row r="12006">
      <c r="H12006" t="s">
        <v>5117</v>
      </c>
    </row>
    <row r="12007">
      <c r="H12007" t="s">
        <v>5117</v>
      </c>
    </row>
    <row r="12008">
      <c r="H12008" t="s">
        <v>5117</v>
      </c>
    </row>
    <row r="12009">
      <c r="H12009" t="s">
        <v>5117</v>
      </c>
    </row>
    <row r="12010">
      <c r="H12010" t="s">
        <v>5117</v>
      </c>
    </row>
    <row r="12011">
      <c r="H12011" t="s">
        <v>5117</v>
      </c>
    </row>
    <row r="12012">
      <c r="H12012" t="s">
        <v>5117</v>
      </c>
    </row>
    <row r="12013">
      <c r="H12013" t="s">
        <v>5117</v>
      </c>
    </row>
    <row r="12014">
      <c r="H12014" t="s">
        <v>5117</v>
      </c>
    </row>
    <row r="12015">
      <c r="H12015" t="s">
        <v>5117</v>
      </c>
    </row>
    <row r="12016">
      <c r="H12016" t="s">
        <v>5117</v>
      </c>
    </row>
    <row r="12017">
      <c r="H12017" t="s">
        <v>5117</v>
      </c>
    </row>
    <row r="12018">
      <c r="H12018" t="s">
        <v>5117</v>
      </c>
    </row>
    <row r="12019">
      <c r="H12019" t="s">
        <v>5117</v>
      </c>
    </row>
    <row r="12020">
      <c r="H12020" t="s">
        <v>5117</v>
      </c>
    </row>
    <row r="12021">
      <c r="H12021" t="s">
        <v>5117</v>
      </c>
    </row>
    <row r="12022">
      <c r="H12022" t="s">
        <v>5117</v>
      </c>
    </row>
    <row r="12023">
      <c r="H12023" t="s">
        <v>5117</v>
      </c>
    </row>
    <row r="12024">
      <c r="H12024" t="s">
        <v>5117</v>
      </c>
    </row>
    <row r="12025">
      <c r="H12025" t="s">
        <v>5117</v>
      </c>
    </row>
    <row r="12026">
      <c r="H12026" t="s">
        <v>5117</v>
      </c>
    </row>
    <row r="12027">
      <c r="H12027" t="s">
        <v>5117</v>
      </c>
    </row>
    <row r="12028">
      <c r="H12028" t="s">
        <v>5117</v>
      </c>
    </row>
    <row r="12029">
      <c r="H12029" t="s">
        <v>5117</v>
      </c>
    </row>
    <row r="12030">
      <c r="H12030" t="s">
        <v>5117</v>
      </c>
    </row>
    <row r="12031">
      <c r="H12031" t="s">
        <v>5117</v>
      </c>
    </row>
    <row r="12032">
      <c r="H12032" t="s">
        <v>5117</v>
      </c>
    </row>
    <row r="12033">
      <c r="H12033" t="s">
        <v>5117</v>
      </c>
    </row>
    <row r="12034">
      <c r="H12034" t="s">
        <v>5117</v>
      </c>
    </row>
    <row r="12035">
      <c r="H12035" t="s">
        <v>5117</v>
      </c>
    </row>
    <row r="12036">
      <c r="H12036" t="s">
        <v>5117</v>
      </c>
    </row>
    <row r="12037">
      <c r="H12037" t="s">
        <v>5117</v>
      </c>
    </row>
    <row r="12038">
      <c r="H12038" t="s">
        <v>5117</v>
      </c>
    </row>
    <row r="12039">
      <c r="H12039" t="s">
        <v>5117</v>
      </c>
    </row>
    <row r="12040">
      <c r="H12040" t="s">
        <v>5117</v>
      </c>
    </row>
    <row r="12041">
      <c r="H12041" t="s">
        <v>5117</v>
      </c>
    </row>
    <row r="12042">
      <c r="H12042" t="s">
        <v>5117</v>
      </c>
    </row>
    <row r="12043">
      <c r="H12043" t="s">
        <v>5117</v>
      </c>
    </row>
    <row r="12044">
      <c r="H12044" t="s">
        <v>5117</v>
      </c>
    </row>
    <row r="12045">
      <c r="H12045" t="s">
        <v>5117</v>
      </c>
    </row>
    <row r="12046">
      <c r="H12046" t="s">
        <v>5117</v>
      </c>
    </row>
    <row r="12047">
      <c r="H12047" t="s">
        <v>5117</v>
      </c>
    </row>
    <row r="12048">
      <c r="H12048" t="s">
        <v>5117</v>
      </c>
    </row>
    <row r="12049">
      <c r="H12049" t="s">
        <v>5117</v>
      </c>
    </row>
    <row r="12050">
      <c r="H12050" t="s">
        <v>5117</v>
      </c>
    </row>
    <row r="12051">
      <c r="H12051" t="s">
        <v>5117</v>
      </c>
    </row>
    <row r="12052">
      <c r="H12052" t="s">
        <v>5117</v>
      </c>
    </row>
    <row r="12053">
      <c r="H12053" t="s">
        <v>5117</v>
      </c>
    </row>
    <row r="12054">
      <c r="H12054" t="s">
        <v>5117</v>
      </c>
    </row>
    <row r="12055">
      <c r="H12055" t="s">
        <v>5117</v>
      </c>
    </row>
    <row r="12056">
      <c r="H12056" t="s">
        <v>5117</v>
      </c>
    </row>
    <row r="12057">
      <c r="H12057" t="s">
        <v>5117</v>
      </c>
    </row>
    <row r="12058">
      <c r="H12058" t="s">
        <v>5117</v>
      </c>
    </row>
    <row r="12059">
      <c r="H12059" t="s">
        <v>5117</v>
      </c>
    </row>
    <row r="12060">
      <c r="H12060" t="s">
        <v>5117</v>
      </c>
    </row>
    <row r="12061">
      <c r="H12061" t="s">
        <v>5117</v>
      </c>
    </row>
    <row r="12062">
      <c r="H12062" t="s">
        <v>5117</v>
      </c>
    </row>
    <row r="12063">
      <c r="H12063" t="s">
        <v>5117</v>
      </c>
    </row>
    <row r="12064">
      <c r="H12064" t="s">
        <v>5117</v>
      </c>
    </row>
    <row r="12065">
      <c r="H12065" t="s">
        <v>5117</v>
      </c>
    </row>
    <row r="12066">
      <c r="H12066" t="s">
        <v>5117</v>
      </c>
    </row>
    <row r="12067">
      <c r="H12067" t="s">
        <v>5117</v>
      </c>
    </row>
    <row r="12068">
      <c r="H12068" t="s">
        <v>5117</v>
      </c>
    </row>
    <row r="12069">
      <c r="H12069" t="s">
        <v>5117</v>
      </c>
    </row>
    <row r="12070">
      <c r="H12070" t="s">
        <v>5117</v>
      </c>
    </row>
    <row r="12071">
      <c r="H12071" t="s">
        <v>5117</v>
      </c>
    </row>
    <row r="12072">
      <c r="H12072" t="s">
        <v>5117</v>
      </c>
    </row>
    <row r="12073">
      <c r="H12073" t="s">
        <v>5117</v>
      </c>
    </row>
    <row r="12074">
      <c r="H12074" t="s">
        <v>5117</v>
      </c>
    </row>
    <row r="12075">
      <c r="H12075" t="s">
        <v>5117</v>
      </c>
    </row>
    <row r="12076">
      <c r="H12076" t="s">
        <v>5117</v>
      </c>
    </row>
    <row r="12077">
      <c r="H12077" t="s">
        <v>5117</v>
      </c>
    </row>
    <row r="12078">
      <c r="H12078" t="s">
        <v>5117</v>
      </c>
    </row>
    <row r="12079">
      <c r="H12079" t="s">
        <v>5117</v>
      </c>
    </row>
    <row r="12080">
      <c r="H12080" t="s">
        <v>5117</v>
      </c>
    </row>
    <row r="12081">
      <c r="H12081" t="s">
        <v>5117</v>
      </c>
    </row>
    <row r="12082">
      <c r="H12082" t="s">
        <v>5117</v>
      </c>
    </row>
    <row r="12083">
      <c r="H12083" t="s">
        <v>5117</v>
      </c>
    </row>
    <row r="12084">
      <c r="H12084" t="s">
        <v>5117</v>
      </c>
    </row>
    <row r="12085">
      <c r="H12085" t="s">
        <v>5117</v>
      </c>
    </row>
    <row r="12086">
      <c r="H12086" t="s">
        <v>5117</v>
      </c>
    </row>
    <row r="12087">
      <c r="H12087" t="s">
        <v>5117</v>
      </c>
    </row>
    <row r="12088">
      <c r="H12088" t="s">
        <v>5117</v>
      </c>
    </row>
    <row r="12089">
      <c r="H12089" t="s">
        <v>5117</v>
      </c>
    </row>
    <row r="12090">
      <c r="H12090" t="s">
        <v>5117</v>
      </c>
    </row>
    <row r="12091">
      <c r="H12091" t="s">
        <v>5117</v>
      </c>
    </row>
    <row r="12092">
      <c r="H12092" t="s">
        <v>5117</v>
      </c>
    </row>
    <row r="12093">
      <c r="H12093" t="s">
        <v>5117</v>
      </c>
    </row>
    <row r="12094">
      <c r="H12094" t="s">
        <v>5117</v>
      </c>
    </row>
    <row r="12095">
      <c r="H12095" t="s">
        <v>5117</v>
      </c>
    </row>
    <row r="12096">
      <c r="H12096" t="s">
        <v>5117</v>
      </c>
    </row>
    <row r="12097">
      <c r="H12097" t="s">
        <v>5117</v>
      </c>
    </row>
    <row r="12098">
      <c r="H12098" t="s">
        <v>5117</v>
      </c>
    </row>
    <row r="12099">
      <c r="H12099" t="s">
        <v>5117</v>
      </c>
    </row>
    <row r="12100">
      <c r="H12100" t="s">
        <v>5117</v>
      </c>
    </row>
    <row r="12101">
      <c r="H12101" t="s">
        <v>5117</v>
      </c>
    </row>
    <row r="12102">
      <c r="H12102" t="s">
        <v>5117</v>
      </c>
    </row>
    <row r="12103">
      <c r="H12103" t="s">
        <v>5117</v>
      </c>
    </row>
    <row r="12104">
      <c r="H12104" t="s">
        <v>5117</v>
      </c>
    </row>
    <row r="12105">
      <c r="H12105" t="s">
        <v>5117</v>
      </c>
    </row>
    <row r="12106">
      <c r="H12106" t="s">
        <v>5117</v>
      </c>
    </row>
    <row r="12107">
      <c r="H12107" t="s">
        <v>5117</v>
      </c>
    </row>
    <row r="12108">
      <c r="H12108" t="s">
        <v>5117</v>
      </c>
    </row>
    <row r="12109">
      <c r="H12109" t="s">
        <v>5117</v>
      </c>
    </row>
    <row r="12110">
      <c r="H12110" t="s">
        <v>5117</v>
      </c>
    </row>
    <row r="12111">
      <c r="H12111" t="s">
        <v>5117</v>
      </c>
    </row>
    <row r="12112">
      <c r="H12112" t="s">
        <v>5117</v>
      </c>
    </row>
    <row r="12113">
      <c r="H12113" t="s">
        <v>5117</v>
      </c>
    </row>
    <row r="12114">
      <c r="H12114" t="s">
        <v>5117</v>
      </c>
    </row>
    <row r="12115">
      <c r="H12115" t="s">
        <v>5117</v>
      </c>
    </row>
    <row r="12116">
      <c r="H12116" t="s">
        <v>5117</v>
      </c>
    </row>
    <row r="12117">
      <c r="H12117" t="s">
        <v>5117</v>
      </c>
    </row>
    <row r="12118">
      <c r="H12118" t="s">
        <v>5117</v>
      </c>
    </row>
    <row r="12119">
      <c r="H12119" t="s">
        <v>5117</v>
      </c>
    </row>
    <row r="12120">
      <c r="H12120" t="s">
        <v>5117</v>
      </c>
    </row>
    <row r="12121">
      <c r="H12121" t="s">
        <v>5117</v>
      </c>
    </row>
    <row r="12122">
      <c r="H12122" t="s">
        <v>5117</v>
      </c>
    </row>
    <row r="12123">
      <c r="H12123" t="s">
        <v>5117</v>
      </c>
    </row>
    <row r="12124">
      <c r="H12124" t="s">
        <v>5117</v>
      </c>
    </row>
    <row r="12125">
      <c r="H12125" t="s">
        <v>5117</v>
      </c>
    </row>
    <row r="12126">
      <c r="H12126" t="s">
        <v>5117</v>
      </c>
    </row>
    <row r="12127">
      <c r="H12127" t="s">
        <v>5117</v>
      </c>
    </row>
    <row r="12128">
      <c r="H12128" t="s">
        <v>5117</v>
      </c>
    </row>
    <row r="12129">
      <c r="H12129" t="s">
        <v>5117</v>
      </c>
    </row>
    <row r="12130">
      <c r="H12130" t="s">
        <v>5117</v>
      </c>
    </row>
    <row r="12131">
      <c r="H12131" t="s">
        <v>5117</v>
      </c>
    </row>
    <row r="12132">
      <c r="H12132" t="s">
        <v>5117</v>
      </c>
    </row>
    <row r="12133">
      <c r="H12133" t="s">
        <v>5117</v>
      </c>
    </row>
    <row r="12134">
      <c r="H12134" t="s">
        <v>5117</v>
      </c>
    </row>
    <row r="12135">
      <c r="H12135" t="s">
        <v>5117</v>
      </c>
    </row>
    <row r="12136">
      <c r="H12136" t="s">
        <v>5117</v>
      </c>
    </row>
    <row r="12137">
      <c r="H12137" t="s">
        <v>5117</v>
      </c>
    </row>
    <row r="12138">
      <c r="H12138" t="s">
        <v>5117</v>
      </c>
    </row>
    <row r="12139">
      <c r="H12139" t="s">
        <v>5117</v>
      </c>
    </row>
    <row r="12140">
      <c r="H12140" t="s">
        <v>5117</v>
      </c>
    </row>
    <row r="12141">
      <c r="H12141" t="s">
        <v>5117</v>
      </c>
    </row>
    <row r="12142">
      <c r="H12142" t="s">
        <v>5117</v>
      </c>
    </row>
    <row r="12143">
      <c r="H12143" t="s">
        <v>5117</v>
      </c>
    </row>
    <row r="12144">
      <c r="H12144" t="s">
        <v>5117</v>
      </c>
    </row>
    <row r="12145">
      <c r="H12145" t="s">
        <v>5117</v>
      </c>
    </row>
    <row r="12146">
      <c r="H12146" t="s">
        <v>5117</v>
      </c>
    </row>
    <row r="12147">
      <c r="H12147" t="s">
        <v>5117</v>
      </c>
    </row>
    <row r="12148">
      <c r="H12148" t="s">
        <v>5117</v>
      </c>
    </row>
    <row r="12149">
      <c r="H12149" t="s">
        <v>5117</v>
      </c>
    </row>
    <row r="12150">
      <c r="H12150" t="s">
        <v>5117</v>
      </c>
    </row>
    <row r="12151">
      <c r="H12151" t="s">
        <v>5117</v>
      </c>
    </row>
    <row r="12152">
      <c r="H12152" t="s">
        <v>5117</v>
      </c>
    </row>
    <row r="12153">
      <c r="H12153" t="s">
        <v>5117</v>
      </c>
    </row>
    <row r="12154">
      <c r="H12154" t="s">
        <v>5117</v>
      </c>
    </row>
    <row r="12155">
      <c r="H12155" t="s">
        <v>5117</v>
      </c>
    </row>
    <row r="12156">
      <c r="H12156" t="s">
        <v>5117</v>
      </c>
    </row>
    <row r="12157">
      <c r="H12157" t="s">
        <v>5117</v>
      </c>
    </row>
    <row r="12158">
      <c r="H12158" t="s">
        <v>5117</v>
      </c>
    </row>
    <row r="12159">
      <c r="H12159" t="s">
        <v>5117</v>
      </c>
    </row>
    <row r="12160">
      <c r="H12160" t="s">
        <v>5117</v>
      </c>
    </row>
    <row r="12161">
      <c r="H12161" t="s">
        <v>5117</v>
      </c>
    </row>
    <row r="12162">
      <c r="H12162" t="s">
        <v>5117</v>
      </c>
    </row>
    <row r="12163">
      <c r="H12163" t="s">
        <v>5117</v>
      </c>
    </row>
    <row r="12164">
      <c r="H12164" t="s">
        <v>5117</v>
      </c>
    </row>
    <row r="12165">
      <c r="H12165" t="s">
        <v>5117</v>
      </c>
    </row>
    <row r="12166">
      <c r="H12166" t="s">
        <v>5117</v>
      </c>
    </row>
    <row r="12167">
      <c r="H12167" t="s">
        <v>5117</v>
      </c>
    </row>
    <row r="12168">
      <c r="H12168" t="s">
        <v>5117</v>
      </c>
    </row>
    <row r="12169">
      <c r="H12169" t="s">
        <v>5117</v>
      </c>
    </row>
    <row r="12170">
      <c r="H12170" t="s">
        <v>5117</v>
      </c>
    </row>
    <row r="12171">
      <c r="H12171" t="s">
        <v>5117</v>
      </c>
    </row>
    <row r="12172">
      <c r="H12172" t="s">
        <v>5117</v>
      </c>
    </row>
    <row r="12173">
      <c r="H12173" t="s">
        <v>5117</v>
      </c>
    </row>
    <row r="12174">
      <c r="H12174" t="s">
        <v>5117</v>
      </c>
    </row>
    <row r="12175">
      <c r="H12175" t="s">
        <v>5117</v>
      </c>
    </row>
    <row r="12176">
      <c r="H12176" t="s">
        <v>5117</v>
      </c>
    </row>
    <row r="12177">
      <c r="H12177" t="s">
        <v>5117</v>
      </c>
    </row>
    <row r="12178">
      <c r="H12178" t="s">
        <v>5117</v>
      </c>
    </row>
    <row r="12179">
      <c r="H12179" t="s">
        <v>5117</v>
      </c>
    </row>
    <row r="12180">
      <c r="H12180" t="s">
        <v>5117</v>
      </c>
    </row>
    <row r="12181">
      <c r="H12181" t="s">
        <v>5117</v>
      </c>
    </row>
    <row r="12182">
      <c r="H12182" t="s">
        <v>5117</v>
      </c>
    </row>
    <row r="12183">
      <c r="H12183" t="s">
        <v>5117</v>
      </c>
    </row>
    <row r="12184">
      <c r="H12184" t="s">
        <v>5117</v>
      </c>
    </row>
    <row r="12185">
      <c r="H12185" t="s">
        <v>5117</v>
      </c>
    </row>
    <row r="12186">
      <c r="H12186" t="s">
        <v>5117</v>
      </c>
    </row>
    <row r="12187">
      <c r="H12187" t="s">
        <v>5117</v>
      </c>
    </row>
    <row r="12188">
      <c r="H12188" t="s">
        <v>5117</v>
      </c>
    </row>
    <row r="12189">
      <c r="H12189" t="s">
        <v>5117</v>
      </c>
    </row>
    <row r="12190">
      <c r="H12190" t="s">
        <v>5117</v>
      </c>
    </row>
    <row r="12191">
      <c r="H12191" t="s">
        <v>5117</v>
      </c>
    </row>
    <row r="12192">
      <c r="H12192" t="s">
        <v>5117</v>
      </c>
    </row>
    <row r="12193">
      <c r="H12193" t="s">
        <v>5117</v>
      </c>
    </row>
    <row r="12194">
      <c r="H12194" t="s">
        <v>5117</v>
      </c>
    </row>
    <row r="12195">
      <c r="H12195" t="s">
        <v>5117</v>
      </c>
    </row>
    <row r="12196">
      <c r="H12196" t="s">
        <v>5117</v>
      </c>
    </row>
    <row r="12197">
      <c r="H12197" t="s">
        <v>5117</v>
      </c>
    </row>
    <row r="12198">
      <c r="H12198" t="s">
        <v>5117</v>
      </c>
    </row>
    <row r="12199">
      <c r="H12199" t="s">
        <v>5117</v>
      </c>
    </row>
    <row r="12200">
      <c r="H12200" t="s">
        <v>5117</v>
      </c>
    </row>
    <row r="12201">
      <c r="H12201" t="s">
        <v>5117</v>
      </c>
    </row>
    <row r="12202">
      <c r="H12202" t="s">
        <v>5117</v>
      </c>
    </row>
    <row r="12203">
      <c r="H12203" t="s">
        <v>5117</v>
      </c>
    </row>
    <row r="12204">
      <c r="H12204" t="s">
        <v>5117</v>
      </c>
    </row>
    <row r="12205">
      <c r="H12205" t="s">
        <v>5117</v>
      </c>
    </row>
    <row r="12206">
      <c r="H12206" t="s">
        <v>5117</v>
      </c>
    </row>
    <row r="12207">
      <c r="H12207" t="s">
        <v>5117</v>
      </c>
    </row>
    <row r="12208">
      <c r="H12208" t="s">
        <v>5117</v>
      </c>
    </row>
    <row r="12209">
      <c r="H12209" t="s">
        <v>5117</v>
      </c>
    </row>
    <row r="12210">
      <c r="H12210" t="s">
        <v>5117</v>
      </c>
    </row>
    <row r="12211">
      <c r="H12211" t="s">
        <v>5117</v>
      </c>
    </row>
    <row r="12212">
      <c r="H12212" t="s">
        <v>5117</v>
      </c>
    </row>
    <row r="12213">
      <c r="H12213" t="s">
        <v>5117</v>
      </c>
    </row>
    <row r="12214">
      <c r="H12214" t="s">
        <v>5117</v>
      </c>
    </row>
    <row r="12215">
      <c r="H12215" t="s">
        <v>5117</v>
      </c>
    </row>
    <row r="12216">
      <c r="H12216" t="s">
        <v>5117</v>
      </c>
    </row>
    <row r="12217">
      <c r="H12217" t="s">
        <v>5117</v>
      </c>
    </row>
    <row r="12218">
      <c r="H12218" t="s">
        <v>5117</v>
      </c>
    </row>
    <row r="12219">
      <c r="H12219" t="s">
        <v>5117</v>
      </c>
    </row>
    <row r="12220">
      <c r="H12220" t="s">
        <v>5117</v>
      </c>
    </row>
    <row r="12221">
      <c r="H12221" t="s">
        <v>5117</v>
      </c>
    </row>
    <row r="12222">
      <c r="H12222" t="s">
        <v>5117</v>
      </c>
    </row>
    <row r="12223">
      <c r="H12223" t="s">
        <v>5117</v>
      </c>
    </row>
    <row r="12224">
      <c r="H12224" t="s">
        <v>5117</v>
      </c>
    </row>
    <row r="12225">
      <c r="H12225" t="s">
        <v>5117</v>
      </c>
    </row>
    <row r="12226">
      <c r="H12226" t="s">
        <v>5117</v>
      </c>
    </row>
    <row r="12227">
      <c r="H12227" t="s">
        <v>5117</v>
      </c>
    </row>
    <row r="12228">
      <c r="H12228" t="s">
        <v>5117</v>
      </c>
    </row>
    <row r="12229">
      <c r="H12229" t="s">
        <v>5117</v>
      </c>
    </row>
    <row r="12230">
      <c r="H12230" t="s">
        <v>5117</v>
      </c>
    </row>
    <row r="12231">
      <c r="H12231" t="s">
        <v>5117</v>
      </c>
    </row>
    <row r="12232">
      <c r="H12232" t="s">
        <v>5117</v>
      </c>
    </row>
    <row r="12233">
      <c r="H12233" t="s">
        <v>5117</v>
      </c>
    </row>
    <row r="12234">
      <c r="H12234" t="s">
        <v>5117</v>
      </c>
    </row>
    <row r="12235">
      <c r="H12235" t="s">
        <v>5117</v>
      </c>
    </row>
    <row r="12236">
      <c r="H12236" t="s">
        <v>5117</v>
      </c>
    </row>
    <row r="12237">
      <c r="H12237" t="s">
        <v>5117</v>
      </c>
    </row>
    <row r="12238">
      <c r="H12238" t="s">
        <v>5117</v>
      </c>
    </row>
    <row r="12239">
      <c r="H12239" t="s">
        <v>5117</v>
      </c>
    </row>
    <row r="12240">
      <c r="H12240" t="s">
        <v>5117</v>
      </c>
    </row>
    <row r="12241">
      <c r="H12241" t="s">
        <v>5117</v>
      </c>
    </row>
    <row r="12242">
      <c r="H12242" t="s">
        <v>5117</v>
      </c>
    </row>
    <row r="12243">
      <c r="H12243" t="s">
        <v>5117</v>
      </c>
    </row>
    <row r="12244">
      <c r="H12244" t="s">
        <v>5117</v>
      </c>
    </row>
    <row r="12245">
      <c r="H12245" t="s">
        <v>5117</v>
      </c>
    </row>
    <row r="12246">
      <c r="H12246" t="s">
        <v>5117</v>
      </c>
    </row>
    <row r="12247">
      <c r="H12247" t="s">
        <v>5117</v>
      </c>
    </row>
    <row r="12248">
      <c r="H12248" t="s">
        <v>5117</v>
      </c>
    </row>
    <row r="12249">
      <c r="H12249" t="s">
        <v>5117</v>
      </c>
    </row>
    <row r="12250">
      <c r="H12250" t="s">
        <v>5117</v>
      </c>
    </row>
    <row r="12251">
      <c r="H12251" t="s">
        <v>5117</v>
      </c>
    </row>
    <row r="12252">
      <c r="H12252" t="s">
        <v>5117</v>
      </c>
    </row>
    <row r="12253">
      <c r="H12253" t="s">
        <v>5117</v>
      </c>
    </row>
    <row r="12254">
      <c r="H12254" t="s">
        <v>5117</v>
      </c>
    </row>
    <row r="12255">
      <c r="H12255" t="s">
        <v>5117</v>
      </c>
    </row>
    <row r="12256">
      <c r="H12256" t="s">
        <v>5117</v>
      </c>
    </row>
    <row r="12257">
      <c r="H12257" t="s">
        <v>5117</v>
      </c>
    </row>
    <row r="12258">
      <c r="H12258" t="s">
        <v>5117</v>
      </c>
    </row>
    <row r="12259">
      <c r="H12259" t="s">
        <v>5117</v>
      </c>
    </row>
    <row r="12260">
      <c r="H12260" t="s">
        <v>5117</v>
      </c>
    </row>
    <row r="12261">
      <c r="H12261" t="s">
        <v>5117</v>
      </c>
    </row>
    <row r="12262">
      <c r="H12262" t="s">
        <v>5117</v>
      </c>
    </row>
    <row r="12263">
      <c r="H12263" t="s">
        <v>5117</v>
      </c>
    </row>
    <row r="12264">
      <c r="H12264" t="s">
        <v>5117</v>
      </c>
    </row>
    <row r="12265">
      <c r="H12265" t="s">
        <v>5117</v>
      </c>
    </row>
    <row r="12266">
      <c r="H12266" t="s">
        <v>5117</v>
      </c>
    </row>
    <row r="12267">
      <c r="H12267" t="s">
        <v>5117</v>
      </c>
    </row>
    <row r="12268">
      <c r="H12268" t="s">
        <v>5117</v>
      </c>
    </row>
    <row r="12269">
      <c r="H12269" t="s">
        <v>5117</v>
      </c>
    </row>
    <row r="12270">
      <c r="H12270" t="s">
        <v>5117</v>
      </c>
    </row>
    <row r="12271">
      <c r="H12271" t="s">
        <v>5117</v>
      </c>
    </row>
    <row r="12272">
      <c r="H12272" t="s">
        <v>5117</v>
      </c>
    </row>
    <row r="12273">
      <c r="H12273" t="s">
        <v>5117</v>
      </c>
    </row>
    <row r="12274">
      <c r="H12274" t="s">
        <v>5117</v>
      </c>
    </row>
    <row r="12275">
      <c r="H12275" t="s">
        <v>5117</v>
      </c>
    </row>
    <row r="12276">
      <c r="H12276" t="s">
        <v>5117</v>
      </c>
    </row>
    <row r="12277">
      <c r="H12277" t="s">
        <v>5117</v>
      </c>
    </row>
    <row r="12278">
      <c r="H12278" t="s">
        <v>5117</v>
      </c>
    </row>
    <row r="12279">
      <c r="H12279" t="s">
        <v>5117</v>
      </c>
    </row>
    <row r="12280">
      <c r="H12280" t="s">
        <v>5117</v>
      </c>
    </row>
    <row r="12281">
      <c r="H12281" t="s">
        <v>5117</v>
      </c>
    </row>
    <row r="12282">
      <c r="H12282" t="s">
        <v>5117</v>
      </c>
    </row>
    <row r="12283">
      <c r="H12283" t="s">
        <v>5117</v>
      </c>
    </row>
    <row r="12284">
      <c r="H12284" t="s">
        <v>5117</v>
      </c>
    </row>
    <row r="12285">
      <c r="H12285" t="s">
        <v>5117</v>
      </c>
    </row>
    <row r="12286">
      <c r="H12286" t="s">
        <v>5117</v>
      </c>
    </row>
    <row r="12287">
      <c r="H12287" t="s">
        <v>5117</v>
      </c>
    </row>
    <row r="12288">
      <c r="H12288" t="s">
        <v>5117</v>
      </c>
    </row>
    <row r="12289">
      <c r="H12289" t="s">
        <v>5117</v>
      </c>
    </row>
    <row r="12290">
      <c r="H12290" t="s">
        <v>5117</v>
      </c>
    </row>
    <row r="12291">
      <c r="H12291" t="s">
        <v>5117</v>
      </c>
    </row>
    <row r="12292">
      <c r="H12292" t="s">
        <v>5117</v>
      </c>
    </row>
    <row r="12293">
      <c r="H12293" t="s">
        <v>5117</v>
      </c>
    </row>
    <row r="12294">
      <c r="H12294" t="s">
        <v>5117</v>
      </c>
    </row>
    <row r="12295">
      <c r="H12295" t="s">
        <v>5117</v>
      </c>
    </row>
    <row r="12296">
      <c r="H12296" t="s">
        <v>5117</v>
      </c>
    </row>
    <row r="12297">
      <c r="H12297" t="s">
        <v>5117</v>
      </c>
    </row>
    <row r="12298">
      <c r="H12298" t="s">
        <v>5117</v>
      </c>
    </row>
    <row r="12299">
      <c r="H12299" t="s">
        <v>5117</v>
      </c>
    </row>
    <row r="12300">
      <c r="H12300" t="s">
        <v>5117</v>
      </c>
    </row>
    <row r="12301">
      <c r="H12301" t="s">
        <v>5117</v>
      </c>
    </row>
    <row r="12302">
      <c r="H12302" t="s">
        <v>5117</v>
      </c>
    </row>
    <row r="12303">
      <c r="H12303" t="s">
        <v>5117</v>
      </c>
    </row>
    <row r="12304">
      <c r="H12304" t="s">
        <v>5117</v>
      </c>
    </row>
    <row r="12305">
      <c r="H12305" t="s">
        <v>5117</v>
      </c>
    </row>
    <row r="12306">
      <c r="H12306" t="s">
        <v>5117</v>
      </c>
    </row>
    <row r="12307">
      <c r="H12307" t="s">
        <v>5117</v>
      </c>
    </row>
    <row r="12308">
      <c r="H12308" t="s">
        <v>5117</v>
      </c>
    </row>
    <row r="12309">
      <c r="H12309" t="s">
        <v>5117</v>
      </c>
    </row>
    <row r="12310">
      <c r="H12310" t="s">
        <v>5117</v>
      </c>
    </row>
    <row r="12311">
      <c r="H12311" t="s">
        <v>5117</v>
      </c>
    </row>
    <row r="12312">
      <c r="H12312" t="s">
        <v>5117</v>
      </c>
    </row>
    <row r="12313">
      <c r="H12313" t="s">
        <v>5117</v>
      </c>
    </row>
    <row r="12314">
      <c r="H12314" t="s">
        <v>5117</v>
      </c>
    </row>
    <row r="12315">
      <c r="H12315" t="s">
        <v>5117</v>
      </c>
    </row>
    <row r="12316">
      <c r="H12316" t="s">
        <v>5117</v>
      </c>
    </row>
    <row r="12317">
      <c r="H12317" t="s">
        <v>5117</v>
      </c>
    </row>
    <row r="12318">
      <c r="H12318" t="s">
        <v>5117</v>
      </c>
    </row>
    <row r="12319">
      <c r="H12319" t="s">
        <v>5117</v>
      </c>
    </row>
    <row r="12320">
      <c r="H12320" t="s">
        <v>5117</v>
      </c>
    </row>
    <row r="12321">
      <c r="H12321" t="s">
        <v>5117</v>
      </c>
    </row>
    <row r="12322">
      <c r="H12322" t="s">
        <v>5117</v>
      </c>
    </row>
    <row r="12323">
      <c r="H12323" t="s">
        <v>5117</v>
      </c>
    </row>
    <row r="12324">
      <c r="H12324" t="s">
        <v>5117</v>
      </c>
    </row>
    <row r="12325">
      <c r="H12325" t="s">
        <v>5117</v>
      </c>
    </row>
    <row r="12326">
      <c r="H12326" t="s">
        <v>5117</v>
      </c>
    </row>
    <row r="12327">
      <c r="H12327" t="s">
        <v>5117</v>
      </c>
    </row>
    <row r="12328">
      <c r="H12328" t="s">
        <v>5117</v>
      </c>
    </row>
    <row r="12329">
      <c r="H12329" t="s">
        <v>5117</v>
      </c>
    </row>
    <row r="12330">
      <c r="H12330" t="s">
        <v>5117</v>
      </c>
    </row>
    <row r="12331">
      <c r="H12331" t="s">
        <v>5117</v>
      </c>
    </row>
    <row r="12332">
      <c r="H12332" t="s">
        <v>5117</v>
      </c>
    </row>
    <row r="12333">
      <c r="H12333" t="s">
        <v>5117</v>
      </c>
    </row>
    <row r="12334">
      <c r="H12334" t="s">
        <v>5117</v>
      </c>
    </row>
    <row r="12335">
      <c r="H12335" t="s">
        <v>5117</v>
      </c>
    </row>
    <row r="12336">
      <c r="H12336" t="s">
        <v>5117</v>
      </c>
    </row>
    <row r="12337">
      <c r="H12337" t="s">
        <v>5117</v>
      </c>
    </row>
    <row r="12338">
      <c r="H12338" t="s">
        <v>5117</v>
      </c>
    </row>
    <row r="12339">
      <c r="H12339" t="s">
        <v>5117</v>
      </c>
    </row>
    <row r="12340">
      <c r="H12340" t="s">
        <v>5117</v>
      </c>
    </row>
    <row r="12341">
      <c r="H12341" t="s">
        <v>5117</v>
      </c>
    </row>
    <row r="12342">
      <c r="H12342" t="s">
        <v>5117</v>
      </c>
    </row>
    <row r="12343">
      <c r="H12343" t="s">
        <v>5117</v>
      </c>
    </row>
    <row r="12344">
      <c r="H12344" t="s">
        <v>5117</v>
      </c>
    </row>
    <row r="12345">
      <c r="H12345" t="s">
        <v>5117</v>
      </c>
    </row>
    <row r="12346">
      <c r="H12346" t="s">
        <v>5117</v>
      </c>
    </row>
    <row r="12347">
      <c r="H12347" t="s">
        <v>5117</v>
      </c>
    </row>
    <row r="12348">
      <c r="H12348" t="s">
        <v>5117</v>
      </c>
    </row>
    <row r="12349">
      <c r="H12349" t="s">
        <v>5117</v>
      </c>
    </row>
    <row r="12350">
      <c r="H12350" t="s">
        <v>5117</v>
      </c>
    </row>
    <row r="12351">
      <c r="H12351" t="s">
        <v>5117</v>
      </c>
    </row>
    <row r="12352">
      <c r="H12352" t="s">
        <v>5117</v>
      </c>
    </row>
    <row r="12353">
      <c r="H12353" t="s">
        <v>5117</v>
      </c>
    </row>
    <row r="12354">
      <c r="H12354" t="s">
        <v>5117</v>
      </c>
    </row>
    <row r="12355">
      <c r="H12355" t="s">
        <v>5117</v>
      </c>
    </row>
    <row r="12356">
      <c r="H12356" t="s">
        <v>5117</v>
      </c>
    </row>
    <row r="12357">
      <c r="H12357" t="s">
        <v>5117</v>
      </c>
    </row>
    <row r="12358">
      <c r="H12358" t="s">
        <v>5117</v>
      </c>
    </row>
    <row r="12359">
      <c r="H12359" t="s">
        <v>5117</v>
      </c>
    </row>
    <row r="12360">
      <c r="H12360" t="s">
        <v>5117</v>
      </c>
    </row>
    <row r="12361">
      <c r="H12361" t="s">
        <v>5117</v>
      </c>
    </row>
    <row r="12362">
      <c r="H12362" t="s">
        <v>5117</v>
      </c>
    </row>
    <row r="12363">
      <c r="H12363" t="s">
        <v>5117</v>
      </c>
    </row>
    <row r="12364">
      <c r="H12364" t="s">
        <v>5117</v>
      </c>
    </row>
    <row r="12365">
      <c r="H12365" t="s">
        <v>5117</v>
      </c>
    </row>
    <row r="12366">
      <c r="H12366" t="s">
        <v>5117</v>
      </c>
    </row>
    <row r="12367">
      <c r="H12367" t="s">
        <v>5117</v>
      </c>
    </row>
    <row r="12368">
      <c r="H12368" t="s">
        <v>5117</v>
      </c>
    </row>
    <row r="12369">
      <c r="H12369" t="s">
        <v>5117</v>
      </c>
    </row>
    <row r="12370">
      <c r="H12370" t="s">
        <v>5117</v>
      </c>
    </row>
    <row r="12371">
      <c r="H12371" t="s">
        <v>5117</v>
      </c>
    </row>
    <row r="12372">
      <c r="H12372" t="s">
        <v>5117</v>
      </c>
    </row>
    <row r="12373">
      <c r="H12373" t="s">
        <v>5117</v>
      </c>
    </row>
    <row r="12374">
      <c r="H12374" t="s">
        <v>5117</v>
      </c>
    </row>
    <row r="12375">
      <c r="H12375" t="s">
        <v>5117</v>
      </c>
    </row>
    <row r="12376">
      <c r="H12376" t="s">
        <v>5117</v>
      </c>
    </row>
    <row r="12377">
      <c r="H12377" t="s">
        <v>5117</v>
      </c>
    </row>
    <row r="12378">
      <c r="H12378" t="s">
        <v>5117</v>
      </c>
    </row>
    <row r="12379">
      <c r="H12379" t="s">
        <v>5117</v>
      </c>
    </row>
    <row r="12380">
      <c r="H12380" t="s">
        <v>5117</v>
      </c>
    </row>
    <row r="12381">
      <c r="H12381" t="s">
        <v>5117</v>
      </c>
    </row>
    <row r="12382">
      <c r="H12382" t="s">
        <v>5117</v>
      </c>
    </row>
    <row r="12383">
      <c r="H12383" t="s">
        <v>5117</v>
      </c>
    </row>
    <row r="12384">
      <c r="H12384" t="s">
        <v>5117</v>
      </c>
    </row>
    <row r="12385">
      <c r="H12385" t="s">
        <v>5117</v>
      </c>
    </row>
    <row r="12386">
      <c r="H12386" t="s">
        <v>5117</v>
      </c>
    </row>
    <row r="12387">
      <c r="H12387" t="s">
        <v>5117</v>
      </c>
    </row>
    <row r="12388">
      <c r="H12388" t="s">
        <v>5117</v>
      </c>
    </row>
    <row r="12389">
      <c r="H12389" t="s">
        <v>5117</v>
      </c>
    </row>
    <row r="12390">
      <c r="H12390" t="s">
        <v>5117</v>
      </c>
    </row>
    <row r="12391">
      <c r="H12391" t="s">
        <v>5117</v>
      </c>
    </row>
    <row r="12392">
      <c r="H12392" t="s">
        <v>5117</v>
      </c>
    </row>
    <row r="12393">
      <c r="H12393" t="s">
        <v>5117</v>
      </c>
    </row>
    <row r="12394">
      <c r="H12394" t="s">
        <v>5117</v>
      </c>
    </row>
    <row r="12395">
      <c r="H12395" t="s">
        <v>5117</v>
      </c>
    </row>
    <row r="12396">
      <c r="H12396" t="s">
        <v>5117</v>
      </c>
    </row>
    <row r="12397">
      <c r="H12397" t="s">
        <v>5117</v>
      </c>
    </row>
    <row r="12398">
      <c r="H12398" t="s">
        <v>5117</v>
      </c>
    </row>
    <row r="12399">
      <c r="H12399" t="s">
        <v>5117</v>
      </c>
    </row>
    <row r="12400">
      <c r="H12400" t="s">
        <v>5117</v>
      </c>
    </row>
    <row r="12401">
      <c r="H12401" t="s">
        <v>5117</v>
      </c>
    </row>
    <row r="12402">
      <c r="H12402" t="s">
        <v>5117</v>
      </c>
    </row>
    <row r="12403">
      <c r="H12403" t="s">
        <v>5117</v>
      </c>
    </row>
    <row r="12404">
      <c r="H12404" t="s">
        <v>5117</v>
      </c>
    </row>
    <row r="12405">
      <c r="H12405" t="s">
        <v>5117</v>
      </c>
    </row>
    <row r="12406">
      <c r="H12406" t="s">
        <v>5117</v>
      </c>
    </row>
    <row r="12407">
      <c r="H12407" t="s">
        <v>5117</v>
      </c>
    </row>
    <row r="12408">
      <c r="H12408" t="s">
        <v>5117</v>
      </c>
    </row>
    <row r="12409">
      <c r="H12409" t="s">
        <v>5117</v>
      </c>
    </row>
    <row r="12410">
      <c r="H12410" t="s">
        <v>5117</v>
      </c>
    </row>
    <row r="12411">
      <c r="H12411" t="s">
        <v>5117</v>
      </c>
    </row>
    <row r="12412">
      <c r="H12412" t="s">
        <v>5117</v>
      </c>
    </row>
    <row r="12413">
      <c r="H12413" t="s">
        <v>5117</v>
      </c>
    </row>
    <row r="12414">
      <c r="H12414" t="s">
        <v>5117</v>
      </c>
    </row>
    <row r="12415">
      <c r="H12415" t="s">
        <v>5117</v>
      </c>
    </row>
    <row r="12416">
      <c r="H12416" t="s">
        <v>5117</v>
      </c>
    </row>
    <row r="12417">
      <c r="H12417" t="s">
        <v>5117</v>
      </c>
    </row>
    <row r="12418">
      <c r="H12418" t="s">
        <v>5117</v>
      </c>
    </row>
    <row r="12419">
      <c r="H12419" t="s">
        <v>5117</v>
      </c>
    </row>
    <row r="12420">
      <c r="H12420" t="s">
        <v>5117</v>
      </c>
    </row>
    <row r="12421">
      <c r="H12421" t="s">
        <v>5117</v>
      </c>
    </row>
    <row r="12422">
      <c r="H12422" t="s">
        <v>5117</v>
      </c>
    </row>
    <row r="12423">
      <c r="H12423" t="s">
        <v>5117</v>
      </c>
    </row>
    <row r="12424">
      <c r="H12424" t="s">
        <v>5117</v>
      </c>
    </row>
    <row r="12425">
      <c r="H12425" t="s">
        <v>5117</v>
      </c>
    </row>
    <row r="12426">
      <c r="H12426" t="s">
        <v>5117</v>
      </c>
    </row>
    <row r="12427">
      <c r="H12427" t="s">
        <v>5117</v>
      </c>
    </row>
    <row r="12428">
      <c r="H12428" t="s">
        <v>5117</v>
      </c>
    </row>
    <row r="12429">
      <c r="H12429" t="s">
        <v>5117</v>
      </c>
    </row>
    <row r="12430">
      <c r="H12430" t="s">
        <v>5117</v>
      </c>
    </row>
    <row r="12431">
      <c r="H12431" t="s">
        <v>5117</v>
      </c>
    </row>
    <row r="12432">
      <c r="H12432" t="s">
        <v>5117</v>
      </c>
    </row>
    <row r="12433">
      <c r="H12433" t="s">
        <v>5117</v>
      </c>
    </row>
    <row r="12434">
      <c r="H12434" t="s">
        <v>5117</v>
      </c>
    </row>
    <row r="12435">
      <c r="H12435" t="s">
        <v>5117</v>
      </c>
    </row>
    <row r="12436">
      <c r="H12436" t="s">
        <v>5117</v>
      </c>
    </row>
    <row r="12437">
      <c r="H12437" t="s">
        <v>5117</v>
      </c>
    </row>
    <row r="12438">
      <c r="H12438" t="s">
        <v>5117</v>
      </c>
    </row>
    <row r="12439">
      <c r="H12439" t="s">
        <v>5117</v>
      </c>
    </row>
    <row r="12440">
      <c r="H12440" t="s">
        <v>5117</v>
      </c>
    </row>
    <row r="12441">
      <c r="H12441" t="s">
        <v>5117</v>
      </c>
    </row>
    <row r="12442">
      <c r="H12442" t="s">
        <v>5117</v>
      </c>
    </row>
    <row r="12443">
      <c r="H12443" t="s">
        <v>5117</v>
      </c>
    </row>
    <row r="12444">
      <c r="H12444" t="s">
        <v>5117</v>
      </c>
    </row>
    <row r="12445">
      <c r="H12445" t="s">
        <v>5117</v>
      </c>
    </row>
    <row r="12446">
      <c r="H12446" t="s">
        <v>5117</v>
      </c>
    </row>
    <row r="12447">
      <c r="H12447" t="s">
        <v>5117</v>
      </c>
    </row>
    <row r="12448">
      <c r="H12448" t="s">
        <v>5117</v>
      </c>
    </row>
    <row r="12449">
      <c r="H12449" t="s">
        <v>5117</v>
      </c>
    </row>
    <row r="12450">
      <c r="H12450" t="s">
        <v>5117</v>
      </c>
    </row>
    <row r="12451">
      <c r="H12451" t="s">
        <v>5117</v>
      </c>
    </row>
    <row r="12452">
      <c r="H12452" t="s">
        <v>5117</v>
      </c>
    </row>
    <row r="12453">
      <c r="H12453" t="s">
        <v>5117</v>
      </c>
    </row>
    <row r="12454">
      <c r="H12454" t="s">
        <v>5117</v>
      </c>
    </row>
    <row r="12455">
      <c r="H12455" t="s">
        <v>5117</v>
      </c>
    </row>
    <row r="12456">
      <c r="H12456" t="s">
        <v>5117</v>
      </c>
    </row>
    <row r="12457">
      <c r="H12457" t="s">
        <v>5117</v>
      </c>
    </row>
    <row r="12458">
      <c r="H12458" t="s">
        <v>5117</v>
      </c>
    </row>
    <row r="12459">
      <c r="H12459" t="s">
        <v>5117</v>
      </c>
    </row>
    <row r="12460">
      <c r="H12460" t="s">
        <v>5117</v>
      </c>
    </row>
    <row r="12461">
      <c r="H12461" t="s">
        <v>5117</v>
      </c>
    </row>
    <row r="12462">
      <c r="H12462" t="s">
        <v>5117</v>
      </c>
    </row>
    <row r="12463">
      <c r="H12463" t="s">
        <v>5117</v>
      </c>
    </row>
    <row r="12464">
      <c r="H12464" t="s">
        <v>5117</v>
      </c>
    </row>
    <row r="12465">
      <c r="H12465" t="s">
        <v>5117</v>
      </c>
    </row>
    <row r="12466">
      <c r="H12466" t="s">
        <v>5117</v>
      </c>
    </row>
    <row r="12467">
      <c r="H12467" t="s">
        <v>5117</v>
      </c>
    </row>
    <row r="12468">
      <c r="H12468" t="s">
        <v>5117</v>
      </c>
    </row>
    <row r="12469">
      <c r="H12469" t="s">
        <v>5117</v>
      </c>
    </row>
    <row r="12470">
      <c r="H12470" t="s">
        <v>5117</v>
      </c>
    </row>
    <row r="12471">
      <c r="H12471" t="s">
        <v>5117</v>
      </c>
    </row>
    <row r="12472">
      <c r="H12472" t="s">
        <v>5117</v>
      </c>
    </row>
    <row r="12473">
      <c r="H12473" t="s">
        <v>5117</v>
      </c>
    </row>
    <row r="12474">
      <c r="H12474" t="s">
        <v>5117</v>
      </c>
    </row>
    <row r="12475">
      <c r="H12475" t="s">
        <v>5117</v>
      </c>
    </row>
    <row r="12476">
      <c r="H12476" t="s">
        <v>5117</v>
      </c>
    </row>
    <row r="12477">
      <c r="H12477" t="s">
        <v>5117</v>
      </c>
    </row>
    <row r="12478">
      <c r="H12478" t="s">
        <v>5117</v>
      </c>
    </row>
    <row r="12479">
      <c r="H12479" t="s">
        <v>5117</v>
      </c>
    </row>
    <row r="12480">
      <c r="H12480" t="s">
        <v>5117</v>
      </c>
    </row>
    <row r="12481">
      <c r="H12481" t="s">
        <v>5117</v>
      </c>
    </row>
    <row r="12482">
      <c r="H12482" t="s">
        <v>5117</v>
      </c>
    </row>
    <row r="12483">
      <c r="H12483" t="s">
        <v>5117</v>
      </c>
    </row>
    <row r="12484">
      <c r="H12484" t="s">
        <v>5117</v>
      </c>
    </row>
    <row r="12485">
      <c r="H12485" t="s">
        <v>5117</v>
      </c>
    </row>
    <row r="12486">
      <c r="H12486" t="s">
        <v>5117</v>
      </c>
    </row>
    <row r="12487">
      <c r="H12487" t="s">
        <v>5117</v>
      </c>
    </row>
    <row r="12488">
      <c r="H12488" t="s">
        <v>5117</v>
      </c>
    </row>
    <row r="12489">
      <c r="H12489" t="s">
        <v>5117</v>
      </c>
    </row>
    <row r="12490">
      <c r="H12490" t="s">
        <v>5117</v>
      </c>
    </row>
    <row r="12491">
      <c r="H12491" t="s">
        <v>5117</v>
      </c>
    </row>
    <row r="12492">
      <c r="H12492" t="s">
        <v>5117</v>
      </c>
    </row>
    <row r="12493">
      <c r="H12493" t="s">
        <v>5117</v>
      </c>
    </row>
    <row r="12494">
      <c r="H12494" t="s">
        <v>5117</v>
      </c>
    </row>
    <row r="12495">
      <c r="H12495" t="s">
        <v>5117</v>
      </c>
    </row>
    <row r="12496">
      <c r="H12496" t="s">
        <v>5117</v>
      </c>
    </row>
    <row r="12497">
      <c r="H12497" t="s">
        <v>5117</v>
      </c>
    </row>
    <row r="12498">
      <c r="H12498" t="s">
        <v>5117</v>
      </c>
    </row>
    <row r="12499">
      <c r="H12499" t="s">
        <v>5117</v>
      </c>
    </row>
    <row r="12500">
      <c r="H12500" t="s">
        <v>5117</v>
      </c>
    </row>
    <row r="12501">
      <c r="H12501" t="s">
        <v>5117</v>
      </c>
    </row>
    <row r="12502">
      <c r="H12502" t="s">
        <v>5117</v>
      </c>
    </row>
    <row r="12503">
      <c r="H12503" t="s">
        <v>5117</v>
      </c>
    </row>
    <row r="12504">
      <c r="H12504" t="s">
        <v>5117</v>
      </c>
    </row>
    <row r="12505">
      <c r="H12505" t="s">
        <v>5117</v>
      </c>
    </row>
    <row r="12506">
      <c r="H12506" t="s">
        <v>5117</v>
      </c>
    </row>
    <row r="12507">
      <c r="H12507" t="s">
        <v>5117</v>
      </c>
    </row>
    <row r="12508">
      <c r="H12508" t="s">
        <v>5117</v>
      </c>
    </row>
    <row r="12509">
      <c r="H12509" t="s">
        <v>5117</v>
      </c>
    </row>
    <row r="12510">
      <c r="H12510" t="s">
        <v>5117</v>
      </c>
    </row>
    <row r="12511">
      <c r="H12511" t="s">
        <v>5117</v>
      </c>
    </row>
    <row r="12512">
      <c r="H12512" t="s">
        <v>5117</v>
      </c>
    </row>
    <row r="12513">
      <c r="H12513" t="s">
        <v>5117</v>
      </c>
    </row>
    <row r="12514">
      <c r="H12514" t="s">
        <v>5117</v>
      </c>
    </row>
    <row r="12515">
      <c r="H12515" t="s">
        <v>5117</v>
      </c>
    </row>
    <row r="12516">
      <c r="H12516" t="s">
        <v>5117</v>
      </c>
    </row>
    <row r="12517">
      <c r="H12517" t="s">
        <v>5117</v>
      </c>
    </row>
    <row r="12518">
      <c r="H12518" t="s">
        <v>5117</v>
      </c>
    </row>
    <row r="12519">
      <c r="H12519" t="s">
        <v>5117</v>
      </c>
    </row>
    <row r="12520">
      <c r="H12520" t="s">
        <v>5117</v>
      </c>
    </row>
    <row r="12521">
      <c r="H12521" t="s">
        <v>5117</v>
      </c>
    </row>
    <row r="12522">
      <c r="H12522" t="s">
        <v>5117</v>
      </c>
    </row>
    <row r="12523">
      <c r="H12523" t="s">
        <v>5117</v>
      </c>
    </row>
    <row r="12524">
      <c r="H12524" t="s">
        <v>5117</v>
      </c>
    </row>
    <row r="12525">
      <c r="H12525" t="s">
        <v>5117</v>
      </c>
    </row>
    <row r="12526">
      <c r="H12526" t="s">
        <v>5117</v>
      </c>
    </row>
    <row r="12527">
      <c r="H12527" t="s">
        <v>5117</v>
      </c>
    </row>
    <row r="12528">
      <c r="H12528" t="s">
        <v>5117</v>
      </c>
    </row>
    <row r="12529">
      <c r="H12529" t="s">
        <v>5117</v>
      </c>
    </row>
    <row r="12530">
      <c r="H12530" t="s">
        <v>5117</v>
      </c>
    </row>
    <row r="12531">
      <c r="H12531" t="s">
        <v>5117</v>
      </c>
    </row>
    <row r="12532">
      <c r="H12532" t="s">
        <v>5117</v>
      </c>
    </row>
    <row r="12533">
      <c r="H12533" t="s">
        <v>5117</v>
      </c>
    </row>
    <row r="12534">
      <c r="H12534" t="s">
        <v>5117</v>
      </c>
    </row>
    <row r="12535">
      <c r="H12535" t="s">
        <v>5117</v>
      </c>
    </row>
    <row r="12536">
      <c r="H12536" t="s">
        <v>5117</v>
      </c>
    </row>
    <row r="12537">
      <c r="H12537" t="s">
        <v>5117</v>
      </c>
    </row>
    <row r="12538">
      <c r="H12538" t="s">
        <v>5117</v>
      </c>
    </row>
    <row r="12539">
      <c r="H12539" t="s">
        <v>5117</v>
      </c>
    </row>
    <row r="12540">
      <c r="H12540" t="s">
        <v>5117</v>
      </c>
    </row>
    <row r="12541">
      <c r="H12541" t="s">
        <v>5117</v>
      </c>
    </row>
    <row r="12542">
      <c r="H12542" t="s">
        <v>5117</v>
      </c>
    </row>
    <row r="12543">
      <c r="H12543" t="s">
        <v>5117</v>
      </c>
    </row>
    <row r="12544">
      <c r="H12544" t="s">
        <v>5117</v>
      </c>
    </row>
    <row r="12545">
      <c r="H12545" t="s">
        <v>5117</v>
      </c>
    </row>
    <row r="12546">
      <c r="H12546" t="s">
        <v>5117</v>
      </c>
    </row>
    <row r="12547">
      <c r="H12547" t="s">
        <v>5117</v>
      </c>
    </row>
    <row r="12548">
      <c r="H12548" t="s">
        <v>5117</v>
      </c>
    </row>
    <row r="12549">
      <c r="H12549" t="s">
        <v>5117</v>
      </c>
    </row>
    <row r="12550">
      <c r="H12550" t="s">
        <v>5117</v>
      </c>
    </row>
    <row r="12551">
      <c r="H12551" t="s">
        <v>5117</v>
      </c>
    </row>
    <row r="12552">
      <c r="H12552" t="s">
        <v>5117</v>
      </c>
    </row>
    <row r="12553">
      <c r="H12553" t="s">
        <v>5117</v>
      </c>
    </row>
    <row r="12554">
      <c r="H12554" t="s">
        <v>5117</v>
      </c>
    </row>
    <row r="12555">
      <c r="H12555" t="s">
        <v>5117</v>
      </c>
    </row>
    <row r="12556">
      <c r="H12556" t="s">
        <v>5117</v>
      </c>
    </row>
    <row r="12557">
      <c r="H12557" t="s">
        <v>5117</v>
      </c>
    </row>
    <row r="12558">
      <c r="H12558" t="s">
        <v>5117</v>
      </c>
    </row>
    <row r="12559">
      <c r="H12559" t="s">
        <v>5117</v>
      </c>
    </row>
    <row r="12560">
      <c r="H12560" t="s">
        <v>5117</v>
      </c>
    </row>
    <row r="12561">
      <c r="H12561" t="s">
        <v>5117</v>
      </c>
    </row>
    <row r="12562">
      <c r="H12562" t="s">
        <v>5117</v>
      </c>
    </row>
    <row r="12563">
      <c r="H12563" t="s">
        <v>5117</v>
      </c>
    </row>
    <row r="12564">
      <c r="H12564" t="s">
        <v>5117</v>
      </c>
    </row>
    <row r="12565">
      <c r="H12565" t="s">
        <v>5117</v>
      </c>
    </row>
    <row r="12566">
      <c r="H12566" t="s">
        <v>5117</v>
      </c>
    </row>
    <row r="12567">
      <c r="H12567" t="s">
        <v>5117</v>
      </c>
    </row>
    <row r="12568">
      <c r="H12568" t="s">
        <v>5117</v>
      </c>
    </row>
    <row r="12569">
      <c r="H12569" t="s">
        <v>5117</v>
      </c>
    </row>
    <row r="12570">
      <c r="H12570" t="s">
        <v>5117</v>
      </c>
    </row>
    <row r="12571">
      <c r="H12571" t="s">
        <v>5117</v>
      </c>
    </row>
    <row r="12572">
      <c r="H12572" t="s">
        <v>5117</v>
      </c>
    </row>
    <row r="12573">
      <c r="H12573" t="s">
        <v>5117</v>
      </c>
    </row>
    <row r="12574">
      <c r="H12574" t="s">
        <v>5117</v>
      </c>
    </row>
    <row r="12575">
      <c r="H12575" t="s">
        <v>5117</v>
      </c>
    </row>
    <row r="12576">
      <c r="H12576" t="s">
        <v>5117</v>
      </c>
    </row>
    <row r="12577">
      <c r="H12577" t="s">
        <v>5117</v>
      </c>
    </row>
    <row r="12578">
      <c r="H12578" t="s">
        <v>5117</v>
      </c>
    </row>
    <row r="12579">
      <c r="H12579" t="s">
        <v>5117</v>
      </c>
    </row>
    <row r="12580">
      <c r="H12580" t="s">
        <v>5117</v>
      </c>
    </row>
    <row r="12581">
      <c r="H12581" t="s">
        <v>5117</v>
      </c>
    </row>
    <row r="12582">
      <c r="H12582" t="s">
        <v>5117</v>
      </c>
    </row>
    <row r="12583">
      <c r="H12583" t="s">
        <v>5117</v>
      </c>
    </row>
    <row r="12584">
      <c r="H12584" t="s">
        <v>5117</v>
      </c>
    </row>
    <row r="12585">
      <c r="H12585" t="s">
        <v>5117</v>
      </c>
    </row>
    <row r="12586">
      <c r="H12586" t="s">
        <v>5117</v>
      </c>
    </row>
    <row r="12587">
      <c r="H12587" t="s">
        <v>5117</v>
      </c>
    </row>
    <row r="12588">
      <c r="H12588" t="s">
        <v>5117</v>
      </c>
    </row>
    <row r="12589">
      <c r="H12589" t="s">
        <v>5117</v>
      </c>
    </row>
    <row r="12590">
      <c r="H12590" t="s">
        <v>5117</v>
      </c>
    </row>
    <row r="12591">
      <c r="H12591" t="s">
        <v>5117</v>
      </c>
    </row>
    <row r="12592">
      <c r="H12592" t="s">
        <v>5117</v>
      </c>
    </row>
    <row r="12593">
      <c r="H12593" t="s">
        <v>5117</v>
      </c>
    </row>
    <row r="12594">
      <c r="H12594" t="s">
        <v>5117</v>
      </c>
    </row>
    <row r="12595">
      <c r="H12595" t="s">
        <v>5117</v>
      </c>
    </row>
    <row r="12596">
      <c r="H12596" t="s">
        <v>5117</v>
      </c>
    </row>
    <row r="12597">
      <c r="H12597" t="s">
        <v>5117</v>
      </c>
    </row>
    <row r="12598">
      <c r="H12598" t="s">
        <v>5117</v>
      </c>
    </row>
    <row r="12599">
      <c r="H12599" t="s">
        <v>5117</v>
      </c>
    </row>
    <row r="12600">
      <c r="H12600" t="s">
        <v>5117</v>
      </c>
    </row>
    <row r="12601">
      <c r="H12601" t="s">
        <v>5117</v>
      </c>
    </row>
    <row r="12602">
      <c r="H12602" t="s">
        <v>5117</v>
      </c>
    </row>
    <row r="12603">
      <c r="H12603" t="s">
        <v>5117</v>
      </c>
    </row>
    <row r="12604">
      <c r="H12604" t="s">
        <v>5117</v>
      </c>
    </row>
    <row r="12605">
      <c r="H12605" t="s">
        <v>5117</v>
      </c>
    </row>
    <row r="12606">
      <c r="H12606" t="s">
        <v>5117</v>
      </c>
    </row>
    <row r="12607">
      <c r="H12607" t="s">
        <v>5117</v>
      </c>
    </row>
    <row r="12608">
      <c r="H12608" t="s">
        <v>5117</v>
      </c>
    </row>
    <row r="12609">
      <c r="H12609" t="s">
        <v>5117</v>
      </c>
    </row>
    <row r="12610">
      <c r="H12610" t="s">
        <v>5117</v>
      </c>
    </row>
    <row r="12611">
      <c r="H12611" t="s">
        <v>5117</v>
      </c>
    </row>
    <row r="12612">
      <c r="H12612" t="s">
        <v>5117</v>
      </c>
    </row>
    <row r="12613">
      <c r="H12613" t="s">
        <v>5117</v>
      </c>
    </row>
    <row r="12614">
      <c r="H12614" t="s">
        <v>5117</v>
      </c>
    </row>
    <row r="12615">
      <c r="H12615" t="s">
        <v>5117</v>
      </c>
    </row>
    <row r="12616">
      <c r="H12616" t="s">
        <v>5117</v>
      </c>
    </row>
    <row r="12617">
      <c r="H12617" t="s">
        <v>5117</v>
      </c>
    </row>
    <row r="12618">
      <c r="H12618" t="s">
        <v>5117</v>
      </c>
    </row>
    <row r="12619">
      <c r="H12619" t="s">
        <v>5117</v>
      </c>
    </row>
    <row r="12620">
      <c r="H12620" t="s">
        <v>5117</v>
      </c>
    </row>
    <row r="12621">
      <c r="H12621" t="s">
        <v>5117</v>
      </c>
    </row>
    <row r="12622">
      <c r="H12622" t="s">
        <v>5117</v>
      </c>
    </row>
    <row r="12623">
      <c r="H12623" t="s">
        <v>5117</v>
      </c>
    </row>
    <row r="12624">
      <c r="H12624" t="s">
        <v>5117</v>
      </c>
    </row>
    <row r="12625">
      <c r="H12625" t="s">
        <v>5117</v>
      </c>
    </row>
    <row r="12626">
      <c r="H12626" t="s">
        <v>5117</v>
      </c>
    </row>
    <row r="12627">
      <c r="H12627" t="s">
        <v>5117</v>
      </c>
    </row>
    <row r="12628">
      <c r="H12628" t="s">
        <v>5117</v>
      </c>
    </row>
    <row r="12629">
      <c r="H12629" t="s">
        <v>5117</v>
      </c>
    </row>
    <row r="12630">
      <c r="H12630" t="s">
        <v>5117</v>
      </c>
    </row>
    <row r="12631">
      <c r="H12631" t="s">
        <v>5117</v>
      </c>
    </row>
    <row r="12632">
      <c r="H12632" t="s">
        <v>5117</v>
      </c>
    </row>
    <row r="12633">
      <c r="H12633" t="s">
        <v>5117</v>
      </c>
    </row>
    <row r="12634">
      <c r="H12634" t="s">
        <v>5117</v>
      </c>
    </row>
    <row r="12635">
      <c r="H12635" t="s">
        <v>5117</v>
      </c>
    </row>
    <row r="12636">
      <c r="H12636" t="s">
        <v>5117</v>
      </c>
    </row>
    <row r="12637">
      <c r="H12637" t="s">
        <v>5117</v>
      </c>
    </row>
    <row r="12638">
      <c r="H12638" t="s">
        <v>5117</v>
      </c>
    </row>
    <row r="12639">
      <c r="H12639" t="s">
        <v>5117</v>
      </c>
    </row>
    <row r="12640">
      <c r="H12640" t="s">
        <v>5117</v>
      </c>
    </row>
    <row r="12641">
      <c r="H12641" t="s">
        <v>5117</v>
      </c>
    </row>
    <row r="12642">
      <c r="H12642" t="s">
        <v>5117</v>
      </c>
    </row>
    <row r="12643">
      <c r="H12643" t="s">
        <v>5117</v>
      </c>
    </row>
    <row r="12644">
      <c r="H12644" t="s">
        <v>5117</v>
      </c>
    </row>
    <row r="12645">
      <c r="H12645" t="s">
        <v>5117</v>
      </c>
    </row>
    <row r="12646">
      <c r="H12646" t="s">
        <v>5117</v>
      </c>
    </row>
    <row r="12647">
      <c r="H12647" t="s">
        <v>5117</v>
      </c>
    </row>
    <row r="12648">
      <c r="H12648" t="s">
        <v>5117</v>
      </c>
    </row>
    <row r="12649">
      <c r="H12649" t="s">
        <v>5117</v>
      </c>
    </row>
    <row r="12650">
      <c r="H12650" t="s">
        <v>5117</v>
      </c>
    </row>
    <row r="12651">
      <c r="H12651" t="s">
        <v>5117</v>
      </c>
    </row>
    <row r="12652">
      <c r="H12652" t="s">
        <v>5117</v>
      </c>
    </row>
    <row r="12653">
      <c r="H12653" t="s">
        <v>5117</v>
      </c>
    </row>
    <row r="12654">
      <c r="H12654" t="s">
        <v>5117</v>
      </c>
    </row>
    <row r="12655">
      <c r="H12655" t="s">
        <v>5117</v>
      </c>
    </row>
    <row r="12656">
      <c r="H12656" t="s">
        <v>5117</v>
      </c>
    </row>
    <row r="12657">
      <c r="H12657" t="s">
        <v>5117</v>
      </c>
    </row>
    <row r="12658">
      <c r="H12658" t="s">
        <v>5117</v>
      </c>
    </row>
    <row r="12659">
      <c r="H12659" t="s">
        <v>5117</v>
      </c>
    </row>
    <row r="12660">
      <c r="H12660" t="s">
        <v>5117</v>
      </c>
    </row>
    <row r="12661">
      <c r="H12661" t="s">
        <v>5117</v>
      </c>
    </row>
    <row r="12662">
      <c r="H12662" t="s">
        <v>5117</v>
      </c>
    </row>
    <row r="12663">
      <c r="H12663" t="s">
        <v>5117</v>
      </c>
    </row>
    <row r="12664">
      <c r="H12664" t="s">
        <v>5117</v>
      </c>
    </row>
    <row r="12665">
      <c r="H12665" t="s">
        <v>5117</v>
      </c>
    </row>
    <row r="12666">
      <c r="H12666" t="s">
        <v>5117</v>
      </c>
    </row>
    <row r="12667">
      <c r="H12667" t="s">
        <v>5117</v>
      </c>
    </row>
    <row r="12668">
      <c r="H12668" t="s">
        <v>5117</v>
      </c>
    </row>
    <row r="12669">
      <c r="H12669" t="s">
        <v>5117</v>
      </c>
    </row>
    <row r="12670">
      <c r="H12670" t="s">
        <v>5117</v>
      </c>
    </row>
    <row r="12671">
      <c r="H12671" t="s">
        <v>5117</v>
      </c>
    </row>
    <row r="12672">
      <c r="H12672" t="s">
        <v>5117</v>
      </c>
    </row>
    <row r="12673">
      <c r="H12673" t="s">
        <v>5117</v>
      </c>
    </row>
    <row r="12674">
      <c r="H12674" t="s">
        <v>5117</v>
      </c>
    </row>
    <row r="12675">
      <c r="H12675" t="s">
        <v>5117</v>
      </c>
    </row>
    <row r="12676">
      <c r="H12676" t="s">
        <v>5117</v>
      </c>
    </row>
    <row r="12677">
      <c r="H12677" t="s">
        <v>5117</v>
      </c>
    </row>
    <row r="12678">
      <c r="H12678" t="s">
        <v>5117</v>
      </c>
    </row>
    <row r="12679">
      <c r="H12679" t="s">
        <v>5117</v>
      </c>
    </row>
    <row r="12680">
      <c r="H12680" t="s">
        <v>5117</v>
      </c>
    </row>
    <row r="12681">
      <c r="H12681" t="s">
        <v>5117</v>
      </c>
    </row>
    <row r="12682">
      <c r="H12682" t="s">
        <v>5117</v>
      </c>
    </row>
    <row r="12683">
      <c r="H12683" t="s">
        <v>5117</v>
      </c>
    </row>
    <row r="12684">
      <c r="H12684" t="s">
        <v>5117</v>
      </c>
    </row>
    <row r="12685">
      <c r="H12685" t="s">
        <v>5117</v>
      </c>
    </row>
    <row r="12686">
      <c r="H12686" t="s">
        <v>5117</v>
      </c>
    </row>
    <row r="12687">
      <c r="H12687" t="s">
        <v>5117</v>
      </c>
    </row>
    <row r="12688">
      <c r="H12688" t="s">
        <v>5117</v>
      </c>
    </row>
    <row r="12689">
      <c r="H12689" t="s">
        <v>5117</v>
      </c>
    </row>
    <row r="12690">
      <c r="H12690" t="s">
        <v>5117</v>
      </c>
    </row>
    <row r="12691">
      <c r="H12691" t="s">
        <v>5117</v>
      </c>
    </row>
    <row r="12692">
      <c r="H12692" t="s">
        <v>5117</v>
      </c>
    </row>
    <row r="12693">
      <c r="H12693" t="s">
        <v>5117</v>
      </c>
    </row>
    <row r="12694">
      <c r="H12694" t="s">
        <v>5117</v>
      </c>
    </row>
    <row r="12695">
      <c r="H12695" t="s">
        <v>5117</v>
      </c>
    </row>
    <row r="12696">
      <c r="H12696" t="s">
        <v>5117</v>
      </c>
    </row>
    <row r="12697">
      <c r="H12697" t="s">
        <v>5117</v>
      </c>
    </row>
    <row r="12698">
      <c r="H12698" t="s">
        <v>5117</v>
      </c>
    </row>
    <row r="12699">
      <c r="H12699" t="s">
        <v>5117</v>
      </c>
    </row>
    <row r="12700">
      <c r="H12700" t="s">
        <v>5117</v>
      </c>
    </row>
    <row r="12701">
      <c r="H12701" t="s">
        <v>5117</v>
      </c>
    </row>
    <row r="12702">
      <c r="H12702" t="s">
        <v>5117</v>
      </c>
    </row>
    <row r="12703">
      <c r="H12703" t="s">
        <v>5117</v>
      </c>
    </row>
    <row r="12704">
      <c r="H12704" t="s">
        <v>5117</v>
      </c>
    </row>
    <row r="12705">
      <c r="H12705" t="s">
        <v>5117</v>
      </c>
    </row>
    <row r="12706">
      <c r="H12706" t="s">
        <v>5117</v>
      </c>
    </row>
    <row r="12707">
      <c r="H12707" t="s">
        <v>5117</v>
      </c>
    </row>
    <row r="12708">
      <c r="H12708" t="s">
        <v>5117</v>
      </c>
    </row>
    <row r="12709">
      <c r="H12709" t="s">
        <v>5117</v>
      </c>
    </row>
    <row r="12710">
      <c r="H12710" t="s">
        <v>5117</v>
      </c>
    </row>
    <row r="12711">
      <c r="H12711" t="s">
        <v>5117</v>
      </c>
    </row>
    <row r="12712">
      <c r="H12712" t="s">
        <v>5117</v>
      </c>
    </row>
    <row r="12713">
      <c r="H12713" t="s">
        <v>5117</v>
      </c>
    </row>
    <row r="12714">
      <c r="H12714" t="s">
        <v>5117</v>
      </c>
    </row>
    <row r="12715">
      <c r="H12715" t="s">
        <v>5117</v>
      </c>
    </row>
    <row r="12716">
      <c r="H12716" t="s">
        <v>5117</v>
      </c>
    </row>
    <row r="12717">
      <c r="H12717" t="s">
        <v>5117</v>
      </c>
    </row>
    <row r="12718">
      <c r="H12718" t="s">
        <v>5117</v>
      </c>
    </row>
    <row r="12719">
      <c r="H12719" t="s">
        <v>5117</v>
      </c>
    </row>
    <row r="12720">
      <c r="H12720" t="s">
        <v>5117</v>
      </c>
    </row>
    <row r="12721">
      <c r="H12721" t="s">
        <v>5117</v>
      </c>
    </row>
    <row r="12722">
      <c r="H12722" t="s">
        <v>5117</v>
      </c>
    </row>
    <row r="12723">
      <c r="H12723" t="s">
        <v>5117</v>
      </c>
    </row>
    <row r="12724">
      <c r="H12724" t="s">
        <v>5117</v>
      </c>
    </row>
    <row r="12725">
      <c r="H12725" t="s">
        <v>5117</v>
      </c>
    </row>
    <row r="12726">
      <c r="H12726" t="s">
        <v>5117</v>
      </c>
    </row>
    <row r="12727">
      <c r="H12727" t="s">
        <v>5117</v>
      </c>
    </row>
    <row r="12728">
      <c r="H12728" t="s">
        <v>5117</v>
      </c>
    </row>
    <row r="12729">
      <c r="H12729" t="s">
        <v>5117</v>
      </c>
    </row>
    <row r="12730">
      <c r="H12730" t="s">
        <v>5117</v>
      </c>
    </row>
    <row r="12731">
      <c r="H12731" t="s">
        <v>5117</v>
      </c>
    </row>
    <row r="12732">
      <c r="H12732" t="s">
        <v>5117</v>
      </c>
    </row>
    <row r="12733">
      <c r="H12733" t="s">
        <v>5117</v>
      </c>
    </row>
    <row r="12734">
      <c r="H12734" t="s">
        <v>5117</v>
      </c>
    </row>
    <row r="12735">
      <c r="H12735" t="s">
        <v>5117</v>
      </c>
    </row>
    <row r="12736">
      <c r="H12736" t="s">
        <v>5117</v>
      </c>
    </row>
    <row r="12737">
      <c r="H12737" t="s">
        <v>5117</v>
      </c>
    </row>
    <row r="12738">
      <c r="H12738" t="s">
        <v>5117</v>
      </c>
    </row>
    <row r="12739">
      <c r="H12739" t="s">
        <v>5117</v>
      </c>
    </row>
    <row r="12740">
      <c r="H12740" t="s">
        <v>5117</v>
      </c>
    </row>
    <row r="12741">
      <c r="H12741" t="s">
        <v>5117</v>
      </c>
    </row>
    <row r="12742">
      <c r="H12742" t="s">
        <v>5117</v>
      </c>
    </row>
    <row r="12743">
      <c r="H12743" t="s">
        <v>5117</v>
      </c>
    </row>
    <row r="12744">
      <c r="H12744" t="s">
        <v>5117</v>
      </c>
    </row>
    <row r="12745">
      <c r="H12745" t="s">
        <v>5117</v>
      </c>
    </row>
    <row r="12746">
      <c r="H12746" t="s">
        <v>5117</v>
      </c>
    </row>
    <row r="12747">
      <c r="H12747" t="s">
        <v>5117</v>
      </c>
    </row>
    <row r="12748">
      <c r="H12748" t="s">
        <v>5117</v>
      </c>
    </row>
    <row r="12749">
      <c r="H12749" t="s">
        <v>5117</v>
      </c>
    </row>
    <row r="12750">
      <c r="H12750" t="s">
        <v>5117</v>
      </c>
    </row>
    <row r="12751">
      <c r="H12751" t="s">
        <v>5117</v>
      </c>
    </row>
    <row r="12752">
      <c r="H12752" t="s">
        <v>5117</v>
      </c>
    </row>
    <row r="12753">
      <c r="H12753" t="s">
        <v>5117</v>
      </c>
    </row>
    <row r="12754">
      <c r="H12754" t="s">
        <v>5117</v>
      </c>
    </row>
    <row r="12755">
      <c r="H12755" t="s">
        <v>5117</v>
      </c>
    </row>
    <row r="12756">
      <c r="H12756" t="s">
        <v>5117</v>
      </c>
    </row>
    <row r="12757">
      <c r="H12757" t="s">
        <v>5117</v>
      </c>
    </row>
    <row r="12758">
      <c r="H12758" t="s">
        <v>5117</v>
      </c>
    </row>
    <row r="12759">
      <c r="H12759" t="s">
        <v>5117</v>
      </c>
    </row>
    <row r="12760">
      <c r="H12760" t="s">
        <v>5117</v>
      </c>
    </row>
    <row r="12761">
      <c r="H12761" t="s">
        <v>5117</v>
      </c>
    </row>
    <row r="12762">
      <c r="H12762" t="s">
        <v>5117</v>
      </c>
    </row>
    <row r="12763">
      <c r="H12763" t="s">
        <v>5117</v>
      </c>
    </row>
    <row r="12764">
      <c r="H12764" t="s">
        <v>5117</v>
      </c>
    </row>
    <row r="12765">
      <c r="H12765" t="s">
        <v>5117</v>
      </c>
    </row>
    <row r="12766">
      <c r="H12766" t="s">
        <v>5117</v>
      </c>
    </row>
    <row r="12767">
      <c r="H12767" t="s">
        <v>5117</v>
      </c>
    </row>
    <row r="12768">
      <c r="H12768" t="s">
        <v>5117</v>
      </c>
    </row>
    <row r="12769">
      <c r="H12769" t="s">
        <v>5117</v>
      </c>
    </row>
    <row r="12770">
      <c r="H12770" t="s">
        <v>5117</v>
      </c>
    </row>
    <row r="12771">
      <c r="H12771" t="s">
        <v>5117</v>
      </c>
    </row>
    <row r="12772">
      <c r="H12772" t="s">
        <v>5117</v>
      </c>
    </row>
    <row r="12773">
      <c r="H12773" t="s">
        <v>5117</v>
      </c>
    </row>
    <row r="12774">
      <c r="H12774" t="s">
        <v>5117</v>
      </c>
    </row>
    <row r="12775">
      <c r="H12775" t="s">
        <v>5117</v>
      </c>
    </row>
    <row r="12776">
      <c r="H12776" t="s">
        <v>5117</v>
      </c>
    </row>
    <row r="12777">
      <c r="H12777" t="s">
        <v>5117</v>
      </c>
    </row>
    <row r="12778">
      <c r="H12778" t="s">
        <v>5117</v>
      </c>
    </row>
    <row r="12779">
      <c r="H12779" t="s">
        <v>5117</v>
      </c>
    </row>
    <row r="12780">
      <c r="H12780" t="s">
        <v>5117</v>
      </c>
    </row>
    <row r="12781">
      <c r="H12781" t="s">
        <v>5117</v>
      </c>
    </row>
    <row r="12782">
      <c r="H12782" t="s">
        <v>5117</v>
      </c>
    </row>
    <row r="12783">
      <c r="H12783" t="s">
        <v>5117</v>
      </c>
    </row>
    <row r="12784">
      <c r="H12784" t="s">
        <v>5117</v>
      </c>
    </row>
    <row r="12785">
      <c r="H12785" t="s">
        <v>5117</v>
      </c>
    </row>
    <row r="12786">
      <c r="H12786" t="s">
        <v>5117</v>
      </c>
    </row>
    <row r="12787">
      <c r="H12787" t="s">
        <v>5117</v>
      </c>
    </row>
    <row r="12788">
      <c r="H12788" t="s">
        <v>5117</v>
      </c>
    </row>
    <row r="12789">
      <c r="H12789" t="s">
        <v>5117</v>
      </c>
    </row>
    <row r="12790">
      <c r="H12790" t="s">
        <v>5117</v>
      </c>
    </row>
    <row r="12791">
      <c r="H12791" t="s">
        <v>5117</v>
      </c>
    </row>
    <row r="12792">
      <c r="H12792" t="s">
        <v>5117</v>
      </c>
    </row>
    <row r="12793">
      <c r="H12793" t="s">
        <v>5117</v>
      </c>
    </row>
    <row r="12794">
      <c r="H12794" t="s">
        <v>5117</v>
      </c>
    </row>
    <row r="12795">
      <c r="H12795" t="s">
        <v>5117</v>
      </c>
    </row>
    <row r="12796">
      <c r="H12796" t="s">
        <v>5117</v>
      </c>
    </row>
    <row r="12797">
      <c r="H12797" t="s">
        <v>5117</v>
      </c>
    </row>
    <row r="12798">
      <c r="H12798" t="s">
        <v>5117</v>
      </c>
    </row>
    <row r="12799">
      <c r="H12799" t="s">
        <v>5117</v>
      </c>
    </row>
    <row r="12800">
      <c r="H12800" t="s">
        <v>5117</v>
      </c>
    </row>
    <row r="12801">
      <c r="H12801" t="s">
        <v>5117</v>
      </c>
    </row>
    <row r="12802">
      <c r="H12802" t="s">
        <v>5117</v>
      </c>
    </row>
    <row r="12803">
      <c r="H12803" t="s">
        <v>5117</v>
      </c>
    </row>
    <row r="12804">
      <c r="H12804" t="s">
        <v>5117</v>
      </c>
    </row>
    <row r="12805">
      <c r="H12805" t="s">
        <v>5117</v>
      </c>
    </row>
    <row r="12806">
      <c r="H12806" t="s">
        <v>5117</v>
      </c>
    </row>
    <row r="12807">
      <c r="H12807" t="s">
        <v>5117</v>
      </c>
    </row>
    <row r="12808">
      <c r="H12808" t="s">
        <v>5117</v>
      </c>
    </row>
    <row r="12809">
      <c r="H12809" t="s">
        <v>5117</v>
      </c>
    </row>
    <row r="12810">
      <c r="H12810" t="s">
        <v>5117</v>
      </c>
    </row>
    <row r="12811">
      <c r="H12811" t="s">
        <v>5117</v>
      </c>
    </row>
    <row r="12812">
      <c r="H12812" t="s">
        <v>5117</v>
      </c>
    </row>
    <row r="12813">
      <c r="H12813" t="s">
        <v>5117</v>
      </c>
    </row>
    <row r="12814">
      <c r="H12814" t="s">
        <v>5117</v>
      </c>
    </row>
    <row r="12815">
      <c r="H12815" t="s">
        <v>5117</v>
      </c>
    </row>
    <row r="12816">
      <c r="H12816" t="s">
        <v>5117</v>
      </c>
    </row>
    <row r="12817">
      <c r="H12817" t="s">
        <v>5117</v>
      </c>
    </row>
    <row r="12818">
      <c r="H12818" t="s">
        <v>5117</v>
      </c>
    </row>
    <row r="12819">
      <c r="H12819" t="s">
        <v>5117</v>
      </c>
    </row>
    <row r="12820">
      <c r="H12820" t="s">
        <v>5117</v>
      </c>
    </row>
    <row r="12821">
      <c r="H12821" t="s">
        <v>5117</v>
      </c>
    </row>
    <row r="12822">
      <c r="H12822" t="s">
        <v>5117</v>
      </c>
    </row>
    <row r="12823">
      <c r="H12823" t="s">
        <v>5117</v>
      </c>
    </row>
    <row r="12824">
      <c r="H12824" t="s">
        <v>5117</v>
      </c>
    </row>
    <row r="12825">
      <c r="H12825" t="s">
        <v>5117</v>
      </c>
    </row>
    <row r="12826">
      <c r="H12826" t="s">
        <v>5117</v>
      </c>
    </row>
    <row r="12827">
      <c r="H12827" t="s">
        <v>5117</v>
      </c>
    </row>
    <row r="12828">
      <c r="H12828" t="s">
        <v>5117</v>
      </c>
    </row>
    <row r="12829">
      <c r="H12829" t="s">
        <v>5117</v>
      </c>
    </row>
    <row r="12830">
      <c r="H12830" t="s">
        <v>5117</v>
      </c>
    </row>
    <row r="12831">
      <c r="H12831" t="s">
        <v>5117</v>
      </c>
    </row>
    <row r="12832">
      <c r="H12832" t="s">
        <v>5117</v>
      </c>
    </row>
    <row r="12833">
      <c r="H12833" t="s">
        <v>5117</v>
      </c>
    </row>
    <row r="12834">
      <c r="H12834" t="s">
        <v>5117</v>
      </c>
    </row>
    <row r="12835">
      <c r="H12835" t="s">
        <v>5117</v>
      </c>
    </row>
    <row r="12836">
      <c r="H12836" t="s">
        <v>5117</v>
      </c>
    </row>
    <row r="12837">
      <c r="H12837" t="s">
        <v>5117</v>
      </c>
    </row>
    <row r="12838">
      <c r="H12838" t="s">
        <v>5117</v>
      </c>
    </row>
    <row r="12839">
      <c r="H12839" t="s">
        <v>5117</v>
      </c>
    </row>
    <row r="12840">
      <c r="H12840" t="s">
        <v>5117</v>
      </c>
    </row>
    <row r="12841">
      <c r="H12841" t="s">
        <v>5117</v>
      </c>
    </row>
    <row r="12842">
      <c r="H12842" t="s">
        <v>5117</v>
      </c>
    </row>
    <row r="12843">
      <c r="H12843" t="s">
        <v>5117</v>
      </c>
    </row>
    <row r="12844">
      <c r="H12844" t="s">
        <v>5117</v>
      </c>
    </row>
    <row r="12845">
      <c r="H12845" t="s">
        <v>5117</v>
      </c>
    </row>
    <row r="12846">
      <c r="H12846" t="s">
        <v>5117</v>
      </c>
    </row>
    <row r="12847">
      <c r="H12847" t="s">
        <v>5117</v>
      </c>
    </row>
    <row r="12848">
      <c r="H12848" t="s">
        <v>5117</v>
      </c>
    </row>
    <row r="12849">
      <c r="H12849" t="s">
        <v>5117</v>
      </c>
    </row>
    <row r="12850">
      <c r="H12850" t="s">
        <v>5117</v>
      </c>
    </row>
    <row r="12851">
      <c r="H12851" t="s">
        <v>5117</v>
      </c>
    </row>
    <row r="12852">
      <c r="H12852" t="s">
        <v>5117</v>
      </c>
    </row>
    <row r="12853">
      <c r="H12853" t="s">
        <v>5117</v>
      </c>
    </row>
    <row r="12854">
      <c r="H12854" t="s">
        <v>5117</v>
      </c>
    </row>
    <row r="12855">
      <c r="H12855" t="s">
        <v>5117</v>
      </c>
    </row>
    <row r="12856">
      <c r="H12856" t="s">
        <v>5117</v>
      </c>
    </row>
    <row r="12857">
      <c r="H12857" t="s">
        <v>5117</v>
      </c>
    </row>
    <row r="12858">
      <c r="H12858" t="s">
        <v>5117</v>
      </c>
    </row>
    <row r="12859">
      <c r="H12859" t="s">
        <v>5117</v>
      </c>
    </row>
    <row r="12860">
      <c r="H12860" t="s">
        <v>5117</v>
      </c>
    </row>
    <row r="12861">
      <c r="H12861" t="s">
        <v>5117</v>
      </c>
    </row>
    <row r="12862">
      <c r="H12862" t="s">
        <v>5117</v>
      </c>
    </row>
    <row r="12863">
      <c r="H12863" t="s">
        <v>5117</v>
      </c>
    </row>
    <row r="12864">
      <c r="H12864" t="s">
        <v>5117</v>
      </c>
    </row>
    <row r="12865">
      <c r="H12865" t="s">
        <v>5117</v>
      </c>
    </row>
    <row r="12866">
      <c r="H12866" t="s">
        <v>5117</v>
      </c>
    </row>
    <row r="12867">
      <c r="H12867" t="s">
        <v>5117</v>
      </c>
    </row>
    <row r="12868">
      <c r="H12868" t="s">
        <v>5117</v>
      </c>
    </row>
    <row r="12869">
      <c r="H12869" t="s">
        <v>5117</v>
      </c>
    </row>
    <row r="12870">
      <c r="H12870" t="s">
        <v>5117</v>
      </c>
    </row>
    <row r="12871">
      <c r="H12871" t="s">
        <v>5117</v>
      </c>
    </row>
    <row r="12872">
      <c r="H12872" t="s">
        <v>5117</v>
      </c>
    </row>
    <row r="12873">
      <c r="H12873" t="s">
        <v>5117</v>
      </c>
    </row>
    <row r="12874">
      <c r="H12874" t="s">
        <v>5117</v>
      </c>
    </row>
    <row r="12875">
      <c r="H12875" t="s">
        <v>5117</v>
      </c>
    </row>
    <row r="12876">
      <c r="H12876" t="s">
        <v>5117</v>
      </c>
    </row>
    <row r="12877">
      <c r="H12877" t="s">
        <v>5117</v>
      </c>
    </row>
    <row r="12878">
      <c r="H12878" t="s">
        <v>5117</v>
      </c>
    </row>
    <row r="12879">
      <c r="H12879" t="s">
        <v>5117</v>
      </c>
    </row>
    <row r="12880">
      <c r="H12880" t="s">
        <v>5117</v>
      </c>
    </row>
    <row r="12881">
      <c r="H12881" t="s">
        <v>5117</v>
      </c>
    </row>
    <row r="12882">
      <c r="H12882" t="s">
        <v>5117</v>
      </c>
    </row>
    <row r="12883">
      <c r="H12883" t="s">
        <v>5117</v>
      </c>
    </row>
    <row r="12884">
      <c r="H12884" t="s">
        <v>5117</v>
      </c>
    </row>
    <row r="12885">
      <c r="H12885" t="s">
        <v>5117</v>
      </c>
    </row>
    <row r="12886">
      <c r="H12886" t="s">
        <v>5117</v>
      </c>
    </row>
    <row r="12887">
      <c r="H12887" t="s">
        <v>5117</v>
      </c>
    </row>
    <row r="12888">
      <c r="H12888" t="s">
        <v>5117</v>
      </c>
    </row>
    <row r="12889">
      <c r="H12889" t="s">
        <v>5117</v>
      </c>
    </row>
    <row r="12890">
      <c r="H12890" t="s">
        <v>5117</v>
      </c>
    </row>
    <row r="12891">
      <c r="H12891" t="s">
        <v>5117</v>
      </c>
    </row>
    <row r="12892">
      <c r="H12892" t="s">
        <v>5117</v>
      </c>
    </row>
    <row r="12893">
      <c r="H12893" t="s">
        <v>5117</v>
      </c>
    </row>
    <row r="12894">
      <c r="H12894" t="s">
        <v>5117</v>
      </c>
    </row>
    <row r="12895">
      <c r="H12895" t="s">
        <v>5117</v>
      </c>
    </row>
    <row r="12896">
      <c r="H12896" t="s">
        <v>5117</v>
      </c>
    </row>
    <row r="12897">
      <c r="H12897" t="s">
        <v>5117</v>
      </c>
    </row>
    <row r="12898">
      <c r="H12898" t="s">
        <v>5117</v>
      </c>
    </row>
    <row r="12899">
      <c r="H12899" t="s">
        <v>5117</v>
      </c>
    </row>
    <row r="12900">
      <c r="H12900" t="s">
        <v>5117</v>
      </c>
    </row>
    <row r="12901">
      <c r="H12901" t="s">
        <v>5117</v>
      </c>
    </row>
    <row r="12902">
      <c r="H12902" t="s">
        <v>5117</v>
      </c>
    </row>
    <row r="12903">
      <c r="H12903" t="s">
        <v>5117</v>
      </c>
    </row>
    <row r="12904">
      <c r="H12904" t="s">
        <v>5117</v>
      </c>
    </row>
    <row r="12905">
      <c r="H12905" t="s">
        <v>5117</v>
      </c>
    </row>
    <row r="12906">
      <c r="H12906" t="s">
        <v>5117</v>
      </c>
    </row>
    <row r="12907">
      <c r="H12907" t="s">
        <v>5117</v>
      </c>
    </row>
    <row r="12908">
      <c r="H12908" t="s">
        <v>5117</v>
      </c>
    </row>
    <row r="12909">
      <c r="H12909" t="s">
        <v>5117</v>
      </c>
    </row>
    <row r="12910">
      <c r="H12910" t="s">
        <v>5117</v>
      </c>
    </row>
    <row r="12911">
      <c r="H12911" t="s">
        <v>5117</v>
      </c>
    </row>
    <row r="12912">
      <c r="H12912" t="s">
        <v>5117</v>
      </c>
    </row>
    <row r="12913">
      <c r="H12913" t="s">
        <v>5117</v>
      </c>
    </row>
    <row r="12914">
      <c r="H12914" t="s">
        <v>5117</v>
      </c>
    </row>
    <row r="12915">
      <c r="H12915" t="s">
        <v>5117</v>
      </c>
    </row>
    <row r="12916">
      <c r="H12916" t="s">
        <v>5117</v>
      </c>
    </row>
    <row r="12917">
      <c r="H12917" t="s">
        <v>5117</v>
      </c>
    </row>
    <row r="12918">
      <c r="H12918" t="s">
        <v>5117</v>
      </c>
    </row>
    <row r="12919">
      <c r="H12919" t="s">
        <v>5117</v>
      </c>
    </row>
    <row r="12920">
      <c r="H12920" t="s">
        <v>5117</v>
      </c>
    </row>
    <row r="12921">
      <c r="H12921" t="s">
        <v>5117</v>
      </c>
    </row>
    <row r="12922">
      <c r="H12922" t="s">
        <v>5117</v>
      </c>
    </row>
    <row r="12923">
      <c r="H12923" t="s">
        <v>5117</v>
      </c>
    </row>
    <row r="12924">
      <c r="H12924" t="s">
        <v>5117</v>
      </c>
    </row>
    <row r="12925">
      <c r="H12925" t="s">
        <v>5117</v>
      </c>
    </row>
    <row r="12926">
      <c r="H12926" t="s">
        <v>5117</v>
      </c>
    </row>
    <row r="12927">
      <c r="H12927" t="s">
        <v>5117</v>
      </c>
    </row>
    <row r="12928">
      <c r="H12928" t="s">
        <v>5117</v>
      </c>
    </row>
    <row r="12929">
      <c r="H12929" t="s">
        <v>5117</v>
      </c>
    </row>
    <row r="12930">
      <c r="H12930" t="s">
        <v>5117</v>
      </c>
    </row>
    <row r="12931">
      <c r="H12931" t="s">
        <v>5117</v>
      </c>
    </row>
    <row r="12932">
      <c r="H12932" t="s">
        <v>5117</v>
      </c>
    </row>
    <row r="12933">
      <c r="H12933" t="s">
        <v>5117</v>
      </c>
    </row>
    <row r="12934">
      <c r="H12934" t="s">
        <v>5117</v>
      </c>
    </row>
    <row r="12935">
      <c r="H12935" t="s">
        <v>5117</v>
      </c>
    </row>
    <row r="12936">
      <c r="H12936" t="s">
        <v>5117</v>
      </c>
    </row>
    <row r="12937">
      <c r="H12937" t="s">
        <v>5117</v>
      </c>
    </row>
    <row r="12938">
      <c r="H12938" t="s">
        <v>5117</v>
      </c>
    </row>
    <row r="12939">
      <c r="H12939" t="s">
        <v>5117</v>
      </c>
    </row>
    <row r="12940">
      <c r="H12940" t="s">
        <v>5117</v>
      </c>
    </row>
    <row r="12941">
      <c r="H12941" t="s">
        <v>5117</v>
      </c>
    </row>
    <row r="12942">
      <c r="H12942" t="s">
        <v>5117</v>
      </c>
    </row>
    <row r="12943">
      <c r="H12943" t="s">
        <v>5117</v>
      </c>
    </row>
    <row r="12944">
      <c r="H12944" t="s">
        <v>5117</v>
      </c>
    </row>
    <row r="12945">
      <c r="H12945" t="s">
        <v>5117</v>
      </c>
    </row>
    <row r="12946">
      <c r="H12946" t="s">
        <v>5117</v>
      </c>
    </row>
    <row r="12947">
      <c r="H12947" t="s">
        <v>5117</v>
      </c>
    </row>
    <row r="12948">
      <c r="H12948" t="s">
        <v>5117</v>
      </c>
    </row>
    <row r="12949">
      <c r="H12949" t="s">
        <v>5117</v>
      </c>
    </row>
    <row r="12950">
      <c r="H12950" t="s">
        <v>5117</v>
      </c>
    </row>
    <row r="12951">
      <c r="H12951" t="s">
        <v>5117</v>
      </c>
    </row>
    <row r="12952">
      <c r="H12952" t="s">
        <v>5117</v>
      </c>
    </row>
    <row r="12953">
      <c r="H12953" t="s">
        <v>5117</v>
      </c>
    </row>
    <row r="12954">
      <c r="H12954" t="s">
        <v>5117</v>
      </c>
    </row>
    <row r="12955">
      <c r="H12955" t="s">
        <v>5117</v>
      </c>
    </row>
    <row r="12956">
      <c r="H12956" t="s">
        <v>5117</v>
      </c>
    </row>
    <row r="12957">
      <c r="H12957" t="s">
        <v>5117</v>
      </c>
    </row>
    <row r="12958">
      <c r="H12958" t="s">
        <v>5117</v>
      </c>
    </row>
    <row r="12959">
      <c r="H12959" t="s">
        <v>5117</v>
      </c>
    </row>
    <row r="12960">
      <c r="H12960" t="s">
        <v>5117</v>
      </c>
    </row>
    <row r="12961">
      <c r="H12961" t="s">
        <v>5117</v>
      </c>
    </row>
    <row r="12962">
      <c r="H12962" t="s">
        <v>5117</v>
      </c>
    </row>
    <row r="12963">
      <c r="H12963" t="s">
        <v>5117</v>
      </c>
    </row>
    <row r="12964">
      <c r="H12964" t="s">
        <v>5117</v>
      </c>
    </row>
    <row r="12965">
      <c r="H12965" t="s">
        <v>5117</v>
      </c>
    </row>
    <row r="12966">
      <c r="H12966" t="s">
        <v>5117</v>
      </c>
    </row>
    <row r="12967">
      <c r="H12967" t="s">
        <v>5117</v>
      </c>
    </row>
    <row r="12968">
      <c r="H12968" t="s">
        <v>5117</v>
      </c>
    </row>
    <row r="12969">
      <c r="H12969" t="s">
        <v>5117</v>
      </c>
    </row>
    <row r="12970">
      <c r="H12970" t="s">
        <v>5117</v>
      </c>
    </row>
    <row r="12971">
      <c r="H12971" t="s">
        <v>5117</v>
      </c>
    </row>
    <row r="12972">
      <c r="H12972" t="s">
        <v>5117</v>
      </c>
    </row>
    <row r="12973">
      <c r="H12973" t="s">
        <v>5117</v>
      </c>
    </row>
    <row r="12974">
      <c r="H12974" t="s">
        <v>5117</v>
      </c>
    </row>
    <row r="12975">
      <c r="H12975" t="s">
        <v>5117</v>
      </c>
    </row>
    <row r="12976">
      <c r="H12976" t="s">
        <v>5117</v>
      </c>
    </row>
    <row r="12977">
      <c r="H12977" t="s">
        <v>5117</v>
      </c>
    </row>
    <row r="12978">
      <c r="H12978" t="s">
        <v>5117</v>
      </c>
    </row>
    <row r="12979">
      <c r="H12979" t="s">
        <v>5117</v>
      </c>
    </row>
    <row r="12980">
      <c r="H12980" t="s">
        <v>5117</v>
      </c>
    </row>
    <row r="12981">
      <c r="H12981" t="s">
        <v>5117</v>
      </c>
    </row>
    <row r="12982">
      <c r="H12982" t="s">
        <v>5117</v>
      </c>
    </row>
    <row r="12983">
      <c r="H12983" t="s">
        <v>5117</v>
      </c>
    </row>
    <row r="12984">
      <c r="H12984" t="s">
        <v>5117</v>
      </c>
    </row>
    <row r="12985">
      <c r="H12985" t="s">
        <v>5117</v>
      </c>
    </row>
    <row r="12986">
      <c r="H12986" t="s">
        <v>5117</v>
      </c>
    </row>
    <row r="12987">
      <c r="H12987" t="s">
        <v>5117</v>
      </c>
    </row>
    <row r="12988">
      <c r="H12988" t="s">
        <v>5117</v>
      </c>
    </row>
    <row r="12989">
      <c r="H12989" t="s">
        <v>5117</v>
      </c>
    </row>
    <row r="12990">
      <c r="H12990" t="s">
        <v>5117</v>
      </c>
    </row>
    <row r="12991">
      <c r="H12991" t="s">
        <v>5117</v>
      </c>
    </row>
    <row r="12992">
      <c r="H12992" t="s">
        <v>5117</v>
      </c>
    </row>
    <row r="12993">
      <c r="H12993" t="s">
        <v>5117</v>
      </c>
    </row>
    <row r="12994">
      <c r="H12994" t="s">
        <v>5117</v>
      </c>
    </row>
    <row r="12995">
      <c r="H12995" t="s">
        <v>5117</v>
      </c>
    </row>
    <row r="12996">
      <c r="H12996" t="s">
        <v>5117</v>
      </c>
    </row>
    <row r="12997">
      <c r="H12997" t="s">
        <v>5117</v>
      </c>
    </row>
    <row r="12998">
      <c r="H12998" t="s">
        <v>5117</v>
      </c>
    </row>
    <row r="12999">
      <c r="H12999" t="s">
        <v>5117</v>
      </c>
    </row>
    <row r="13000">
      <c r="H13000" t="s">
        <v>5117</v>
      </c>
    </row>
    <row r="13001">
      <c r="H13001" t="s">
        <v>5117</v>
      </c>
    </row>
    <row r="13002">
      <c r="H13002" t="s">
        <v>5117</v>
      </c>
    </row>
    <row r="13003">
      <c r="H13003" t="s">
        <v>5117</v>
      </c>
    </row>
    <row r="13004">
      <c r="H13004" t="s">
        <v>5117</v>
      </c>
    </row>
    <row r="13005">
      <c r="H13005" t="s">
        <v>5117</v>
      </c>
    </row>
    <row r="13006">
      <c r="H13006" t="s">
        <v>5117</v>
      </c>
    </row>
    <row r="13007">
      <c r="H13007" t="s">
        <v>5117</v>
      </c>
    </row>
    <row r="13008">
      <c r="H13008" t="s">
        <v>5117</v>
      </c>
    </row>
    <row r="13009">
      <c r="H13009" t="s">
        <v>5117</v>
      </c>
    </row>
    <row r="13010">
      <c r="H13010" t="s">
        <v>5117</v>
      </c>
    </row>
    <row r="13011">
      <c r="H13011" t="s">
        <v>5117</v>
      </c>
    </row>
    <row r="13012">
      <c r="H13012" t="s">
        <v>5117</v>
      </c>
    </row>
    <row r="13013">
      <c r="H13013" t="s">
        <v>5117</v>
      </c>
    </row>
    <row r="13014">
      <c r="H13014" t="s">
        <v>5117</v>
      </c>
    </row>
    <row r="13015">
      <c r="H13015" t="s">
        <v>5117</v>
      </c>
    </row>
    <row r="13016">
      <c r="H13016" t="s">
        <v>5117</v>
      </c>
    </row>
    <row r="13017">
      <c r="H13017" t="s">
        <v>5117</v>
      </c>
    </row>
    <row r="13018">
      <c r="H13018" t="s">
        <v>5117</v>
      </c>
    </row>
    <row r="13019">
      <c r="H13019" t="s">
        <v>5117</v>
      </c>
    </row>
    <row r="13020">
      <c r="H13020" t="s">
        <v>5117</v>
      </c>
    </row>
    <row r="13021">
      <c r="H13021" t="s">
        <v>5117</v>
      </c>
    </row>
    <row r="13022">
      <c r="H13022" t="s">
        <v>5117</v>
      </c>
    </row>
    <row r="13023">
      <c r="H13023" t="s">
        <v>5117</v>
      </c>
    </row>
    <row r="13024">
      <c r="H13024" t="s">
        <v>5117</v>
      </c>
    </row>
    <row r="13025">
      <c r="H13025" t="s">
        <v>5117</v>
      </c>
    </row>
    <row r="13026">
      <c r="H13026" t="s">
        <v>5117</v>
      </c>
    </row>
    <row r="13027">
      <c r="H13027" t="s">
        <v>5117</v>
      </c>
    </row>
    <row r="13028">
      <c r="H13028" t="s">
        <v>5117</v>
      </c>
    </row>
    <row r="13029">
      <c r="H13029" t="s">
        <v>5117</v>
      </c>
    </row>
    <row r="13030">
      <c r="H13030" t="s">
        <v>5117</v>
      </c>
    </row>
    <row r="13031">
      <c r="H13031" t="s">
        <v>5117</v>
      </c>
    </row>
    <row r="13032">
      <c r="H13032" t="s">
        <v>5117</v>
      </c>
    </row>
    <row r="13033">
      <c r="H13033" t="s">
        <v>5117</v>
      </c>
    </row>
    <row r="13034">
      <c r="H13034" t="s">
        <v>5117</v>
      </c>
    </row>
    <row r="13035">
      <c r="H13035" t="s">
        <v>5117</v>
      </c>
    </row>
    <row r="13036">
      <c r="H13036" t="s">
        <v>5117</v>
      </c>
    </row>
    <row r="13037">
      <c r="H13037" t="s">
        <v>5117</v>
      </c>
    </row>
    <row r="13038">
      <c r="H13038" t="s">
        <v>5117</v>
      </c>
    </row>
    <row r="13039">
      <c r="H13039" t="s">
        <v>5117</v>
      </c>
    </row>
    <row r="13040">
      <c r="H13040" t="s">
        <v>5117</v>
      </c>
    </row>
    <row r="13041">
      <c r="H13041" t="s">
        <v>5117</v>
      </c>
    </row>
    <row r="13042">
      <c r="H13042" t="s">
        <v>5117</v>
      </c>
    </row>
    <row r="13043">
      <c r="H13043" t="s">
        <v>5117</v>
      </c>
    </row>
    <row r="13044">
      <c r="H13044" t="s">
        <v>5117</v>
      </c>
    </row>
    <row r="13045">
      <c r="H13045" t="s">
        <v>5117</v>
      </c>
    </row>
    <row r="13046">
      <c r="H13046" t="s">
        <v>5117</v>
      </c>
    </row>
    <row r="13047">
      <c r="H13047" t="s">
        <v>5117</v>
      </c>
    </row>
    <row r="13048">
      <c r="H13048" t="s">
        <v>5117</v>
      </c>
    </row>
    <row r="13049">
      <c r="H13049" t="s">
        <v>5117</v>
      </c>
    </row>
    <row r="13050">
      <c r="H13050" t="s">
        <v>5117</v>
      </c>
    </row>
    <row r="13051">
      <c r="H13051" t="s">
        <v>5117</v>
      </c>
    </row>
    <row r="13052">
      <c r="H13052" t="s">
        <v>5117</v>
      </c>
    </row>
    <row r="13053">
      <c r="H13053" t="s">
        <v>5117</v>
      </c>
    </row>
    <row r="13054">
      <c r="H13054" t="s">
        <v>5117</v>
      </c>
    </row>
    <row r="13055">
      <c r="H13055" t="s">
        <v>5117</v>
      </c>
    </row>
    <row r="13056">
      <c r="H13056" t="s">
        <v>5117</v>
      </c>
    </row>
    <row r="13057">
      <c r="H13057" t="s">
        <v>5117</v>
      </c>
    </row>
    <row r="13058">
      <c r="H13058" t="s">
        <v>5117</v>
      </c>
    </row>
    <row r="13059">
      <c r="H13059" t="s">
        <v>5117</v>
      </c>
    </row>
    <row r="13060">
      <c r="H13060" t="s">
        <v>5117</v>
      </c>
    </row>
    <row r="13061">
      <c r="H13061" t="s">
        <v>5117</v>
      </c>
    </row>
    <row r="13062">
      <c r="H13062" t="s">
        <v>5117</v>
      </c>
    </row>
    <row r="13063">
      <c r="H13063" t="s">
        <v>5117</v>
      </c>
    </row>
    <row r="13064">
      <c r="H13064" t="s">
        <v>5117</v>
      </c>
    </row>
    <row r="13065">
      <c r="H13065" t="s">
        <v>5117</v>
      </c>
    </row>
    <row r="13066">
      <c r="H13066" t="s">
        <v>5117</v>
      </c>
    </row>
    <row r="13067">
      <c r="H13067" t="s">
        <v>5117</v>
      </c>
    </row>
    <row r="13068">
      <c r="H13068" t="s">
        <v>5117</v>
      </c>
    </row>
    <row r="13069">
      <c r="H13069" t="s">
        <v>5117</v>
      </c>
    </row>
    <row r="13070">
      <c r="H13070" t="s">
        <v>5117</v>
      </c>
    </row>
    <row r="13071">
      <c r="H13071" t="s">
        <v>5117</v>
      </c>
    </row>
    <row r="13072">
      <c r="H13072" t="s">
        <v>5117</v>
      </c>
    </row>
    <row r="13073">
      <c r="H13073" t="s">
        <v>5117</v>
      </c>
    </row>
    <row r="13074">
      <c r="H13074" t="s">
        <v>5117</v>
      </c>
    </row>
    <row r="13075">
      <c r="H13075" t="s">
        <v>5117</v>
      </c>
    </row>
    <row r="13076">
      <c r="H13076" t="s">
        <v>5117</v>
      </c>
    </row>
    <row r="13077">
      <c r="H13077" t="s">
        <v>5117</v>
      </c>
    </row>
    <row r="13078">
      <c r="H13078" t="s">
        <v>5117</v>
      </c>
    </row>
    <row r="13079">
      <c r="H13079" t="s">
        <v>5117</v>
      </c>
    </row>
    <row r="13080">
      <c r="H13080" t="s">
        <v>5117</v>
      </c>
    </row>
    <row r="13081">
      <c r="H13081" t="s">
        <v>5117</v>
      </c>
    </row>
    <row r="13082">
      <c r="H13082" t="s">
        <v>5117</v>
      </c>
    </row>
    <row r="13083">
      <c r="H13083" t="s">
        <v>5117</v>
      </c>
    </row>
    <row r="13084">
      <c r="H13084" t="s">
        <v>5117</v>
      </c>
    </row>
    <row r="13085">
      <c r="H13085" t="s">
        <v>5117</v>
      </c>
    </row>
    <row r="13086">
      <c r="H13086" t="s">
        <v>5117</v>
      </c>
    </row>
    <row r="13087">
      <c r="H13087" t="s">
        <v>5117</v>
      </c>
    </row>
    <row r="13088">
      <c r="H13088" t="s">
        <v>5117</v>
      </c>
    </row>
    <row r="13089">
      <c r="H13089" t="s">
        <v>5117</v>
      </c>
    </row>
    <row r="13090">
      <c r="H13090" t="s">
        <v>5117</v>
      </c>
    </row>
    <row r="13091">
      <c r="H13091" t="s">
        <v>5117</v>
      </c>
    </row>
    <row r="13092">
      <c r="H13092" t="s">
        <v>5117</v>
      </c>
    </row>
    <row r="13093">
      <c r="H13093" t="s">
        <v>5117</v>
      </c>
    </row>
    <row r="13094">
      <c r="H13094" t="s">
        <v>5117</v>
      </c>
    </row>
    <row r="13095">
      <c r="H13095" t="s">
        <v>5117</v>
      </c>
    </row>
    <row r="13096">
      <c r="H13096" t="s">
        <v>5117</v>
      </c>
    </row>
    <row r="13097">
      <c r="H13097" t="s">
        <v>5117</v>
      </c>
    </row>
    <row r="13098">
      <c r="H13098" t="s">
        <v>5117</v>
      </c>
    </row>
    <row r="13099">
      <c r="H13099" t="s">
        <v>5117</v>
      </c>
    </row>
    <row r="13100">
      <c r="H13100" t="s">
        <v>5117</v>
      </c>
    </row>
    <row r="13101">
      <c r="H13101" t="s">
        <v>5117</v>
      </c>
    </row>
    <row r="13102">
      <c r="H13102" t="s">
        <v>5117</v>
      </c>
    </row>
    <row r="13103">
      <c r="H13103" t="s">
        <v>5117</v>
      </c>
    </row>
    <row r="13104">
      <c r="H13104" t="s">
        <v>5117</v>
      </c>
    </row>
    <row r="13105">
      <c r="H13105" t="s">
        <v>5117</v>
      </c>
    </row>
    <row r="13106">
      <c r="H13106" t="s">
        <v>5117</v>
      </c>
    </row>
    <row r="13107">
      <c r="H13107" t="s">
        <v>5117</v>
      </c>
    </row>
    <row r="13108">
      <c r="H13108" t="s">
        <v>5117</v>
      </c>
    </row>
    <row r="13109">
      <c r="H13109" t="s">
        <v>5117</v>
      </c>
    </row>
    <row r="13110">
      <c r="H13110" t="s">
        <v>5117</v>
      </c>
    </row>
    <row r="13111">
      <c r="H13111" t="s">
        <v>5117</v>
      </c>
    </row>
    <row r="13112">
      <c r="H13112" t="s">
        <v>5117</v>
      </c>
    </row>
    <row r="13113">
      <c r="H13113" t="s">
        <v>5117</v>
      </c>
    </row>
    <row r="13114">
      <c r="H13114" t="s">
        <v>5117</v>
      </c>
    </row>
    <row r="13115">
      <c r="H13115" t="s">
        <v>5117</v>
      </c>
    </row>
    <row r="13116">
      <c r="H13116" t="s">
        <v>5117</v>
      </c>
    </row>
    <row r="13117">
      <c r="H13117" t="s">
        <v>5117</v>
      </c>
    </row>
    <row r="13118">
      <c r="H13118" t="s">
        <v>5117</v>
      </c>
    </row>
    <row r="13119">
      <c r="H13119" t="s">
        <v>5117</v>
      </c>
    </row>
    <row r="13120">
      <c r="H13120" t="s">
        <v>5117</v>
      </c>
    </row>
    <row r="13121">
      <c r="H13121" t="s">
        <v>5117</v>
      </c>
    </row>
    <row r="13122">
      <c r="H13122" t="s">
        <v>5117</v>
      </c>
    </row>
    <row r="13123">
      <c r="H13123" t="s">
        <v>5117</v>
      </c>
    </row>
    <row r="13124">
      <c r="H13124" t="s">
        <v>5117</v>
      </c>
    </row>
    <row r="13125">
      <c r="H13125" t="s">
        <v>5117</v>
      </c>
    </row>
    <row r="13126">
      <c r="H13126" t="s">
        <v>5117</v>
      </c>
    </row>
    <row r="13127">
      <c r="H13127" t="s">
        <v>5117</v>
      </c>
    </row>
    <row r="13128">
      <c r="H13128" t="s">
        <v>5117</v>
      </c>
    </row>
    <row r="13129">
      <c r="H13129" t="s">
        <v>5117</v>
      </c>
    </row>
    <row r="13130">
      <c r="H13130" t="s">
        <v>5117</v>
      </c>
    </row>
    <row r="13131">
      <c r="H13131" t="s">
        <v>5117</v>
      </c>
    </row>
    <row r="13132">
      <c r="H13132" t="s">
        <v>5117</v>
      </c>
    </row>
    <row r="13133">
      <c r="H13133" t="s">
        <v>5117</v>
      </c>
    </row>
    <row r="13134">
      <c r="H13134" t="s">
        <v>5117</v>
      </c>
    </row>
    <row r="13135">
      <c r="H13135" t="s">
        <v>5117</v>
      </c>
    </row>
    <row r="13136">
      <c r="H13136" t="s">
        <v>5117</v>
      </c>
    </row>
    <row r="13137">
      <c r="H13137" t="s">
        <v>5117</v>
      </c>
    </row>
    <row r="13138">
      <c r="H13138" t="s">
        <v>5117</v>
      </c>
    </row>
    <row r="13139">
      <c r="H13139" t="s">
        <v>5117</v>
      </c>
    </row>
    <row r="13140">
      <c r="H13140" t="s">
        <v>5117</v>
      </c>
    </row>
    <row r="13141">
      <c r="H13141" t="s">
        <v>5117</v>
      </c>
    </row>
    <row r="13142">
      <c r="H13142" t="s">
        <v>5117</v>
      </c>
    </row>
    <row r="13143">
      <c r="H13143" t="s">
        <v>5117</v>
      </c>
    </row>
    <row r="13144">
      <c r="H13144" t="s">
        <v>5117</v>
      </c>
    </row>
    <row r="13145">
      <c r="H13145" t="s">
        <v>5117</v>
      </c>
    </row>
    <row r="13146">
      <c r="H13146" t="s">
        <v>5117</v>
      </c>
    </row>
    <row r="13147">
      <c r="H13147" t="s">
        <v>5117</v>
      </c>
    </row>
    <row r="13148">
      <c r="H13148" t="s">
        <v>5117</v>
      </c>
    </row>
    <row r="13149">
      <c r="H13149" t="s">
        <v>5117</v>
      </c>
    </row>
    <row r="13150">
      <c r="H13150" t="s">
        <v>5117</v>
      </c>
    </row>
    <row r="13151">
      <c r="H13151" t="s">
        <v>5117</v>
      </c>
    </row>
    <row r="13152">
      <c r="H13152" t="s">
        <v>5117</v>
      </c>
    </row>
    <row r="13153">
      <c r="H13153" t="s">
        <v>5117</v>
      </c>
    </row>
    <row r="13154">
      <c r="H13154" t="s">
        <v>5117</v>
      </c>
    </row>
    <row r="13155">
      <c r="H13155" t="s">
        <v>5117</v>
      </c>
    </row>
    <row r="13156">
      <c r="H13156" t="s">
        <v>5117</v>
      </c>
    </row>
    <row r="13157">
      <c r="H13157" t="s">
        <v>5117</v>
      </c>
    </row>
    <row r="13158">
      <c r="H13158" t="s">
        <v>5117</v>
      </c>
    </row>
    <row r="13159">
      <c r="H13159" t="s">
        <v>5117</v>
      </c>
    </row>
    <row r="13160">
      <c r="H13160" t="s">
        <v>5117</v>
      </c>
    </row>
    <row r="13161">
      <c r="H13161" t="s">
        <v>5117</v>
      </c>
    </row>
    <row r="13162">
      <c r="H13162" t="s">
        <v>5117</v>
      </c>
    </row>
    <row r="13163">
      <c r="H13163" t="s">
        <v>5117</v>
      </c>
    </row>
    <row r="13164">
      <c r="H13164" t="s">
        <v>5117</v>
      </c>
    </row>
    <row r="13165">
      <c r="H13165" t="s">
        <v>5117</v>
      </c>
    </row>
    <row r="13166">
      <c r="H13166" t="s">
        <v>5117</v>
      </c>
    </row>
    <row r="13167">
      <c r="H13167" t="s">
        <v>5117</v>
      </c>
    </row>
    <row r="13168">
      <c r="H13168" t="s">
        <v>5117</v>
      </c>
    </row>
    <row r="13169">
      <c r="H13169" t="s">
        <v>5117</v>
      </c>
    </row>
    <row r="13170">
      <c r="H13170" t="s">
        <v>5117</v>
      </c>
    </row>
    <row r="13171">
      <c r="H13171" t="s">
        <v>5117</v>
      </c>
    </row>
    <row r="13172">
      <c r="H13172" t="s">
        <v>5117</v>
      </c>
    </row>
    <row r="13173">
      <c r="H13173" t="s">
        <v>5117</v>
      </c>
    </row>
    <row r="13174">
      <c r="H13174" t="s">
        <v>5117</v>
      </c>
    </row>
    <row r="13175">
      <c r="H13175" t="s">
        <v>5117</v>
      </c>
    </row>
    <row r="13176">
      <c r="H13176" t="s">
        <v>5117</v>
      </c>
    </row>
    <row r="13177">
      <c r="H13177" t="s">
        <v>5117</v>
      </c>
    </row>
    <row r="13178">
      <c r="H13178" t="s">
        <v>5117</v>
      </c>
    </row>
    <row r="13179">
      <c r="H13179" t="s">
        <v>5117</v>
      </c>
    </row>
    <row r="13180">
      <c r="H13180" t="s">
        <v>5117</v>
      </c>
    </row>
    <row r="13181">
      <c r="H13181" t="s">
        <v>5117</v>
      </c>
    </row>
    <row r="13182">
      <c r="H13182" t="s">
        <v>5117</v>
      </c>
    </row>
    <row r="13183">
      <c r="H13183" t="s">
        <v>5117</v>
      </c>
    </row>
    <row r="13184">
      <c r="H13184" t="s">
        <v>5117</v>
      </c>
    </row>
    <row r="13185">
      <c r="H13185" t="s">
        <v>5117</v>
      </c>
    </row>
    <row r="13186">
      <c r="H13186" t="s">
        <v>5117</v>
      </c>
    </row>
    <row r="13187">
      <c r="H13187" t="s">
        <v>5117</v>
      </c>
    </row>
    <row r="13188">
      <c r="H13188" t="s">
        <v>5117</v>
      </c>
    </row>
    <row r="13189">
      <c r="H13189" t="s">
        <v>5117</v>
      </c>
    </row>
    <row r="13190">
      <c r="H13190" t="s">
        <v>5117</v>
      </c>
    </row>
    <row r="13191">
      <c r="H13191" t="s">
        <v>5117</v>
      </c>
    </row>
    <row r="13192">
      <c r="H13192" t="s">
        <v>5117</v>
      </c>
    </row>
    <row r="13193">
      <c r="H13193" t="s">
        <v>5117</v>
      </c>
    </row>
    <row r="13194">
      <c r="H13194" t="s">
        <v>5117</v>
      </c>
    </row>
    <row r="13195">
      <c r="H13195" t="s">
        <v>5117</v>
      </c>
    </row>
    <row r="13196">
      <c r="H13196" t="s">
        <v>5117</v>
      </c>
    </row>
    <row r="13197">
      <c r="H13197" t="s">
        <v>5117</v>
      </c>
    </row>
    <row r="13198">
      <c r="H13198" t="s">
        <v>5117</v>
      </c>
    </row>
    <row r="13199">
      <c r="H13199" t="s">
        <v>5117</v>
      </c>
    </row>
    <row r="13200">
      <c r="H13200" t="s">
        <v>5117</v>
      </c>
    </row>
    <row r="13201">
      <c r="H13201" t="s">
        <v>5117</v>
      </c>
    </row>
    <row r="13202">
      <c r="H13202" t="s">
        <v>5117</v>
      </c>
    </row>
    <row r="13203">
      <c r="H13203" t="s">
        <v>5117</v>
      </c>
    </row>
    <row r="13204">
      <c r="H13204" t="s">
        <v>5117</v>
      </c>
    </row>
    <row r="13205">
      <c r="H13205" t="s">
        <v>5117</v>
      </c>
    </row>
    <row r="13206">
      <c r="H13206" t="s">
        <v>5117</v>
      </c>
    </row>
    <row r="13207">
      <c r="H13207" t="s">
        <v>5117</v>
      </c>
    </row>
    <row r="13208">
      <c r="H13208" t="s">
        <v>5117</v>
      </c>
    </row>
    <row r="13209">
      <c r="H13209" t="s">
        <v>5117</v>
      </c>
    </row>
    <row r="13210">
      <c r="H13210" t="s">
        <v>5117</v>
      </c>
    </row>
    <row r="13211">
      <c r="H13211" t="s">
        <v>5117</v>
      </c>
    </row>
    <row r="13212">
      <c r="H13212" t="s">
        <v>5117</v>
      </c>
    </row>
    <row r="13213">
      <c r="H13213" t="s">
        <v>5117</v>
      </c>
    </row>
    <row r="13214">
      <c r="H13214" t="s">
        <v>5117</v>
      </c>
    </row>
    <row r="13215">
      <c r="H13215" t="s">
        <v>5117</v>
      </c>
    </row>
    <row r="13216">
      <c r="H13216" t="s">
        <v>5117</v>
      </c>
    </row>
    <row r="13217">
      <c r="H13217" t="s">
        <v>5117</v>
      </c>
    </row>
    <row r="13218">
      <c r="H13218" t="s">
        <v>5117</v>
      </c>
    </row>
    <row r="13219">
      <c r="H13219" t="s">
        <v>5117</v>
      </c>
    </row>
    <row r="13220">
      <c r="H13220" t="s">
        <v>5117</v>
      </c>
    </row>
    <row r="13221">
      <c r="H13221" t="s">
        <v>5117</v>
      </c>
    </row>
    <row r="13222">
      <c r="H13222" t="s">
        <v>5117</v>
      </c>
    </row>
    <row r="13223">
      <c r="H13223" t="s">
        <v>5117</v>
      </c>
    </row>
    <row r="13224">
      <c r="H13224" t="s">
        <v>5117</v>
      </c>
    </row>
    <row r="13225">
      <c r="H13225" t="s">
        <v>5117</v>
      </c>
    </row>
    <row r="13226">
      <c r="H13226" t="s">
        <v>5117</v>
      </c>
    </row>
    <row r="13227">
      <c r="H13227" t="s">
        <v>5117</v>
      </c>
    </row>
    <row r="13228">
      <c r="H13228" t="s">
        <v>5117</v>
      </c>
    </row>
    <row r="13229">
      <c r="H13229" t="s">
        <v>5117</v>
      </c>
    </row>
    <row r="13230">
      <c r="H13230" t="s">
        <v>5117</v>
      </c>
    </row>
    <row r="13231">
      <c r="H13231" t="s">
        <v>5117</v>
      </c>
    </row>
    <row r="13232">
      <c r="H13232" t="s">
        <v>5117</v>
      </c>
    </row>
    <row r="13233">
      <c r="H13233" t="s">
        <v>5117</v>
      </c>
    </row>
    <row r="13234">
      <c r="H13234" t="s">
        <v>5117</v>
      </c>
    </row>
    <row r="13235">
      <c r="H13235" t="s">
        <v>5117</v>
      </c>
    </row>
    <row r="13236">
      <c r="H13236" t="s">
        <v>5117</v>
      </c>
    </row>
    <row r="13237">
      <c r="H13237" t="s">
        <v>5117</v>
      </c>
    </row>
    <row r="13238">
      <c r="H13238" t="s">
        <v>5117</v>
      </c>
    </row>
    <row r="13239">
      <c r="H13239" t="s">
        <v>5117</v>
      </c>
    </row>
    <row r="13240">
      <c r="H13240" t="s">
        <v>5117</v>
      </c>
    </row>
    <row r="13241">
      <c r="H13241" t="s">
        <v>5117</v>
      </c>
    </row>
    <row r="13242">
      <c r="H13242" t="s">
        <v>5117</v>
      </c>
    </row>
    <row r="13243">
      <c r="H13243" t="s">
        <v>5117</v>
      </c>
    </row>
    <row r="13244">
      <c r="H13244" t="s">
        <v>5117</v>
      </c>
    </row>
    <row r="13245">
      <c r="H13245" t="s">
        <v>5117</v>
      </c>
    </row>
    <row r="13246">
      <c r="H13246" t="s">
        <v>5117</v>
      </c>
    </row>
    <row r="13247">
      <c r="H13247" t="s">
        <v>5117</v>
      </c>
    </row>
    <row r="13248">
      <c r="H13248" t="s">
        <v>5117</v>
      </c>
    </row>
    <row r="13249">
      <c r="H13249" t="s">
        <v>5117</v>
      </c>
    </row>
    <row r="13250">
      <c r="H13250" t="s">
        <v>5117</v>
      </c>
    </row>
    <row r="13251">
      <c r="H13251" t="s">
        <v>5117</v>
      </c>
    </row>
    <row r="13252">
      <c r="H13252" t="s">
        <v>5117</v>
      </c>
    </row>
    <row r="13253">
      <c r="H13253" t="s">
        <v>5117</v>
      </c>
    </row>
    <row r="13254">
      <c r="H13254" t="s">
        <v>5117</v>
      </c>
    </row>
    <row r="13255">
      <c r="H13255" t="s">
        <v>5117</v>
      </c>
    </row>
    <row r="13256">
      <c r="H13256" t="s">
        <v>5117</v>
      </c>
    </row>
    <row r="13257">
      <c r="H13257" t="s">
        <v>5117</v>
      </c>
    </row>
    <row r="13258">
      <c r="H13258" t="s">
        <v>5117</v>
      </c>
    </row>
    <row r="13259">
      <c r="H13259" t="s">
        <v>5117</v>
      </c>
    </row>
    <row r="13260">
      <c r="H13260" t="s">
        <v>5117</v>
      </c>
    </row>
    <row r="13261">
      <c r="H13261" t="s">
        <v>5117</v>
      </c>
    </row>
    <row r="13262">
      <c r="H13262" t="s">
        <v>5117</v>
      </c>
    </row>
    <row r="13263">
      <c r="H13263" t="s">
        <v>5117</v>
      </c>
    </row>
    <row r="13264">
      <c r="H13264" t="s">
        <v>5117</v>
      </c>
    </row>
    <row r="13265">
      <c r="H13265" t="s">
        <v>5117</v>
      </c>
    </row>
    <row r="13266">
      <c r="H13266" t="s">
        <v>5117</v>
      </c>
    </row>
    <row r="13267">
      <c r="H13267" t="s">
        <v>5117</v>
      </c>
    </row>
    <row r="13268">
      <c r="H13268" t="s">
        <v>5117</v>
      </c>
    </row>
    <row r="13269">
      <c r="H13269" t="s">
        <v>5117</v>
      </c>
    </row>
    <row r="13270">
      <c r="H13270" t="s">
        <v>5117</v>
      </c>
    </row>
    <row r="13271">
      <c r="H13271" t="s">
        <v>5117</v>
      </c>
    </row>
    <row r="13272">
      <c r="H13272" t="s">
        <v>5117</v>
      </c>
    </row>
    <row r="13273">
      <c r="H13273" t="s">
        <v>5117</v>
      </c>
    </row>
    <row r="13274">
      <c r="H13274" t="s">
        <v>5117</v>
      </c>
    </row>
    <row r="13275">
      <c r="H13275" t="s">
        <v>5117</v>
      </c>
    </row>
    <row r="13276">
      <c r="H13276" t="s">
        <v>5117</v>
      </c>
    </row>
    <row r="13277">
      <c r="H13277" t="s">
        <v>5117</v>
      </c>
    </row>
    <row r="13278">
      <c r="H13278" t="s">
        <v>5117</v>
      </c>
    </row>
    <row r="13279">
      <c r="H13279" t="s">
        <v>5117</v>
      </c>
    </row>
    <row r="13280">
      <c r="H13280" t="s">
        <v>5117</v>
      </c>
    </row>
    <row r="13281">
      <c r="H13281" t="s">
        <v>5117</v>
      </c>
    </row>
    <row r="13282">
      <c r="H13282" t="s">
        <v>5117</v>
      </c>
    </row>
    <row r="13283">
      <c r="H13283" t="s">
        <v>5117</v>
      </c>
    </row>
    <row r="13284">
      <c r="H13284" t="s">
        <v>5117</v>
      </c>
    </row>
    <row r="13285">
      <c r="H13285" t="s">
        <v>5117</v>
      </c>
    </row>
    <row r="13286">
      <c r="H13286" t="s">
        <v>5117</v>
      </c>
    </row>
    <row r="13287">
      <c r="H13287" t="s">
        <v>5117</v>
      </c>
    </row>
    <row r="13288">
      <c r="H13288" t="s">
        <v>5117</v>
      </c>
    </row>
    <row r="13289">
      <c r="H13289" t="s">
        <v>5117</v>
      </c>
    </row>
    <row r="13290">
      <c r="H13290" t="s">
        <v>5117</v>
      </c>
    </row>
    <row r="13291">
      <c r="H13291" t="s">
        <v>5117</v>
      </c>
    </row>
    <row r="13292">
      <c r="H13292" t="s">
        <v>5117</v>
      </c>
    </row>
    <row r="13293">
      <c r="H13293" t="s">
        <v>5117</v>
      </c>
    </row>
    <row r="13294">
      <c r="H13294" t="s">
        <v>5117</v>
      </c>
    </row>
    <row r="13295">
      <c r="H13295" t="s">
        <v>5117</v>
      </c>
    </row>
    <row r="13296">
      <c r="H13296" t="s">
        <v>5117</v>
      </c>
    </row>
    <row r="13297">
      <c r="H13297" t="s">
        <v>5117</v>
      </c>
    </row>
    <row r="13298">
      <c r="H13298" t="s">
        <v>5117</v>
      </c>
    </row>
    <row r="13299">
      <c r="H13299" t="s">
        <v>5117</v>
      </c>
    </row>
    <row r="13300">
      <c r="H13300" t="s">
        <v>5117</v>
      </c>
    </row>
    <row r="13301">
      <c r="H13301" t="s">
        <v>5117</v>
      </c>
    </row>
    <row r="13302">
      <c r="H13302" t="s">
        <v>5117</v>
      </c>
    </row>
    <row r="13303">
      <c r="H13303" t="s">
        <v>5117</v>
      </c>
    </row>
    <row r="13304">
      <c r="H13304" t="s">
        <v>5117</v>
      </c>
    </row>
    <row r="13305">
      <c r="H13305" t="s">
        <v>5117</v>
      </c>
    </row>
    <row r="13306">
      <c r="H13306" t="s">
        <v>5117</v>
      </c>
    </row>
    <row r="13307">
      <c r="H13307" t="s">
        <v>5117</v>
      </c>
    </row>
    <row r="13308">
      <c r="H13308" t="s">
        <v>5117</v>
      </c>
    </row>
    <row r="13309">
      <c r="H13309" t="s">
        <v>5117</v>
      </c>
    </row>
    <row r="13310">
      <c r="H13310" t="s">
        <v>5117</v>
      </c>
    </row>
    <row r="13311">
      <c r="H13311" t="s">
        <v>5117</v>
      </c>
    </row>
    <row r="13312">
      <c r="H13312" t="s">
        <v>5117</v>
      </c>
    </row>
    <row r="13313">
      <c r="H13313" t="s">
        <v>5117</v>
      </c>
    </row>
    <row r="13314">
      <c r="H13314" t="s">
        <v>5117</v>
      </c>
    </row>
    <row r="13315">
      <c r="H13315" t="s">
        <v>5117</v>
      </c>
    </row>
    <row r="13316">
      <c r="H13316" t="s">
        <v>5117</v>
      </c>
    </row>
    <row r="13317">
      <c r="H13317" t="s">
        <v>5117</v>
      </c>
    </row>
    <row r="13318">
      <c r="H13318" t="s">
        <v>5117</v>
      </c>
    </row>
    <row r="13319">
      <c r="H13319" t="s">
        <v>5117</v>
      </c>
    </row>
    <row r="13320">
      <c r="H13320" t="s">
        <v>5117</v>
      </c>
    </row>
    <row r="13321">
      <c r="H13321" t="s">
        <v>5117</v>
      </c>
    </row>
    <row r="13322">
      <c r="H13322" t="s">
        <v>5117</v>
      </c>
    </row>
    <row r="13323">
      <c r="H13323" t="s">
        <v>5117</v>
      </c>
    </row>
    <row r="13324">
      <c r="H13324" t="s">
        <v>5117</v>
      </c>
    </row>
    <row r="13325">
      <c r="H13325" t="s">
        <v>5117</v>
      </c>
    </row>
    <row r="13326">
      <c r="H13326" t="s">
        <v>5117</v>
      </c>
    </row>
    <row r="13327">
      <c r="H13327" t="s">
        <v>5117</v>
      </c>
    </row>
    <row r="13328">
      <c r="H13328" t="s">
        <v>5117</v>
      </c>
    </row>
    <row r="13329">
      <c r="H13329" t="s">
        <v>5117</v>
      </c>
    </row>
    <row r="13330">
      <c r="H13330" t="s">
        <v>5117</v>
      </c>
    </row>
    <row r="13331">
      <c r="H13331" t="s">
        <v>5117</v>
      </c>
    </row>
    <row r="13332">
      <c r="H13332" t="s">
        <v>5117</v>
      </c>
    </row>
    <row r="13333">
      <c r="H13333" t="s">
        <v>5117</v>
      </c>
    </row>
    <row r="13334">
      <c r="H13334" t="s">
        <v>5117</v>
      </c>
    </row>
    <row r="13335">
      <c r="H13335" t="s">
        <v>5117</v>
      </c>
    </row>
    <row r="13336">
      <c r="H13336" t="s">
        <v>5117</v>
      </c>
    </row>
    <row r="13337">
      <c r="H13337" t="s">
        <v>5117</v>
      </c>
    </row>
    <row r="13338">
      <c r="H13338" t="s">
        <v>5117</v>
      </c>
    </row>
    <row r="13339">
      <c r="H13339" t="s">
        <v>5117</v>
      </c>
    </row>
    <row r="13340">
      <c r="H13340" t="s">
        <v>5117</v>
      </c>
    </row>
    <row r="13341">
      <c r="H13341" t="s">
        <v>5117</v>
      </c>
    </row>
    <row r="13342">
      <c r="H13342" t="s">
        <v>5117</v>
      </c>
    </row>
    <row r="13343">
      <c r="H13343" t="s">
        <v>5117</v>
      </c>
    </row>
    <row r="13344">
      <c r="H13344" t="s">
        <v>5117</v>
      </c>
    </row>
    <row r="13345">
      <c r="H13345" t="s">
        <v>5117</v>
      </c>
    </row>
    <row r="13346">
      <c r="H13346" t="s">
        <v>5117</v>
      </c>
    </row>
    <row r="13347">
      <c r="H13347" t="s">
        <v>5117</v>
      </c>
    </row>
    <row r="13348">
      <c r="H13348" t="s">
        <v>5117</v>
      </c>
    </row>
    <row r="13349">
      <c r="H13349" t="s">
        <v>5117</v>
      </c>
    </row>
    <row r="13350">
      <c r="H13350" t="s">
        <v>5117</v>
      </c>
    </row>
    <row r="13351">
      <c r="H13351" t="s">
        <v>5117</v>
      </c>
    </row>
    <row r="13352">
      <c r="H13352" t="s">
        <v>5117</v>
      </c>
    </row>
    <row r="13353">
      <c r="H13353" t="s">
        <v>5117</v>
      </c>
    </row>
    <row r="13354">
      <c r="H13354" t="s">
        <v>5117</v>
      </c>
    </row>
    <row r="13355">
      <c r="H13355" t="s">
        <v>5117</v>
      </c>
    </row>
    <row r="13356">
      <c r="H13356" t="s">
        <v>5117</v>
      </c>
    </row>
    <row r="13357">
      <c r="H13357" t="s">
        <v>5117</v>
      </c>
    </row>
    <row r="13358">
      <c r="H13358" t="s">
        <v>5117</v>
      </c>
    </row>
    <row r="13359">
      <c r="H13359" t="s">
        <v>5117</v>
      </c>
    </row>
    <row r="13360">
      <c r="H13360" t="s">
        <v>5117</v>
      </c>
    </row>
    <row r="13361">
      <c r="H13361" t="s">
        <v>5117</v>
      </c>
    </row>
    <row r="13362">
      <c r="H13362" t="s">
        <v>5117</v>
      </c>
    </row>
    <row r="13363">
      <c r="H13363" t="s">
        <v>5117</v>
      </c>
    </row>
    <row r="13364">
      <c r="H13364" t="s">
        <v>5117</v>
      </c>
    </row>
    <row r="13365">
      <c r="H13365" t="s">
        <v>5117</v>
      </c>
    </row>
    <row r="13366">
      <c r="H13366" t="s">
        <v>5117</v>
      </c>
    </row>
    <row r="13367">
      <c r="H13367" t="s">
        <v>5117</v>
      </c>
    </row>
    <row r="13368">
      <c r="H13368" t="s">
        <v>5117</v>
      </c>
    </row>
    <row r="13369">
      <c r="H13369" t="s">
        <v>5117</v>
      </c>
    </row>
    <row r="13370">
      <c r="H13370" t="s">
        <v>5117</v>
      </c>
    </row>
    <row r="13371">
      <c r="H13371" t="s">
        <v>5117</v>
      </c>
    </row>
    <row r="13372">
      <c r="H13372" t="s">
        <v>5117</v>
      </c>
    </row>
    <row r="13373">
      <c r="H13373" t="s">
        <v>5117</v>
      </c>
    </row>
    <row r="13374">
      <c r="H13374" t="s">
        <v>5117</v>
      </c>
    </row>
    <row r="13375">
      <c r="H13375" t="s">
        <v>5117</v>
      </c>
    </row>
    <row r="13376">
      <c r="H13376" t="s">
        <v>5117</v>
      </c>
    </row>
    <row r="13377">
      <c r="H13377" t="s">
        <v>5117</v>
      </c>
    </row>
    <row r="13378">
      <c r="H13378" t="s">
        <v>5117</v>
      </c>
    </row>
    <row r="13379">
      <c r="H13379" t="s">
        <v>5117</v>
      </c>
    </row>
    <row r="13380">
      <c r="H13380" t="s">
        <v>5117</v>
      </c>
    </row>
    <row r="13381">
      <c r="H13381" t="s">
        <v>5117</v>
      </c>
    </row>
    <row r="13382">
      <c r="H13382" t="s">
        <v>5117</v>
      </c>
    </row>
    <row r="13383">
      <c r="H13383" t="s">
        <v>5117</v>
      </c>
    </row>
    <row r="13384">
      <c r="H13384" t="s">
        <v>5117</v>
      </c>
    </row>
    <row r="13385">
      <c r="H13385" t="s">
        <v>5117</v>
      </c>
    </row>
    <row r="13386">
      <c r="H13386" t="s">
        <v>5117</v>
      </c>
    </row>
    <row r="13387">
      <c r="H13387" t="s">
        <v>5117</v>
      </c>
    </row>
    <row r="13388">
      <c r="H13388" t="s">
        <v>5117</v>
      </c>
    </row>
    <row r="13389">
      <c r="H13389" t="s">
        <v>5117</v>
      </c>
    </row>
    <row r="13390">
      <c r="H13390" t="s">
        <v>5117</v>
      </c>
    </row>
    <row r="13391">
      <c r="H13391" t="s">
        <v>5117</v>
      </c>
    </row>
    <row r="13392">
      <c r="H13392" t="s">
        <v>5117</v>
      </c>
    </row>
    <row r="13393">
      <c r="H13393" t="s">
        <v>5117</v>
      </c>
    </row>
    <row r="13394">
      <c r="H13394" t="s">
        <v>5117</v>
      </c>
    </row>
    <row r="13395">
      <c r="H13395" t="s">
        <v>5117</v>
      </c>
    </row>
    <row r="13396">
      <c r="H13396" t="s">
        <v>5117</v>
      </c>
    </row>
    <row r="13397">
      <c r="H13397" t="s">
        <v>5117</v>
      </c>
    </row>
    <row r="13398">
      <c r="H13398" t="s">
        <v>5117</v>
      </c>
    </row>
    <row r="13399">
      <c r="H13399" t="s">
        <v>5117</v>
      </c>
    </row>
    <row r="13400">
      <c r="H13400" t="s">
        <v>5117</v>
      </c>
    </row>
    <row r="13401">
      <c r="H13401" t="s">
        <v>5117</v>
      </c>
    </row>
    <row r="13402">
      <c r="H13402" t="s">
        <v>5117</v>
      </c>
    </row>
    <row r="13403">
      <c r="H13403" t="s">
        <v>5117</v>
      </c>
    </row>
    <row r="13404">
      <c r="H13404" t="s">
        <v>5117</v>
      </c>
    </row>
    <row r="13405">
      <c r="H13405" t="s">
        <v>5117</v>
      </c>
    </row>
    <row r="13406">
      <c r="H13406" t="s">
        <v>5117</v>
      </c>
    </row>
    <row r="13407">
      <c r="H13407" t="s">
        <v>5117</v>
      </c>
    </row>
    <row r="13408">
      <c r="H13408" t="s">
        <v>5117</v>
      </c>
    </row>
    <row r="13409">
      <c r="H13409" t="s">
        <v>5117</v>
      </c>
    </row>
    <row r="13410">
      <c r="H13410" t="s">
        <v>5117</v>
      </c>
    </row>
    <row r="13411">
      <c r="H13411" t="s">
        <v>5117</v>
      </c>
    </row>
    <row r="13412">
      <c r="H13412" t="s">
        <v>5117</v>
      </c>
    </row>
    <row r="13413">
      <c r="H13413" t="s">
        <v>5117</v>
      </c>
    </row>
    <row r="13414">
      <c r="H13414" t="s">
        <v>5117</v>
      </c>
    </row>
    <row r="13415">
      <c r="H13415" t="s">
        <v>5117</v>
      </c>
    </row>
    <row r="13416">
      <c r="H13416" t="s">
        <v>5117</v>
      </c>
    </row>
    <row r="13417">
      <c r="H13417" t="s">
        <v>5117</v>
      </c>
    </row>
    <row r="13418">
      <c r="H13418" t="s">
        <v>5117</v>
      </c>
    </row>
    <row r="13419">
      <c r="H13419" t="s">
        <v>5117</v>
      </c>
    </row>
    <row r="13420">
      <c r="H13420" t="s">
        <v>5117</v>
      </c>
    </row>
    <row r="13421">
      <c r="H13421" t="s">
        <v>5117</v>
      </c>
    </row>
    <row r="13422">
      <c r="H13422" t="s">
        <v>5117</v>
      </c>
    </row>
    <row r="13423">
      <c r="H13423" t="s">
        <v>5117</v>
      </c>
    </row>
    <row r="13424">
      <c r="H13424" t="s">
        <v>5117</v>
      </c>
    </row>
    <row r="13425">
      <c r="H13425" t="s">
        <v>5117</v>
      </c>
    </row>
    <row r="13426">
      <c r="H13426" t="s">
        <v>5117</v>
      </c>
    </row>
    <row r="13427">
      <c r="H13427" t="s">
        <v>5117</v>
      </c>
    </row>
    <row r="13428">
      <c r="H13428" t="s">
        <v>5117</v>
      </c>
    </row>
    <row r="13429">
      <c r="H13429" t="s">
        <v>5117</v>
      </c>
    </row>
    <row r="13430">
      <c r="H13430" t="s">
        <v>5117</v>
      </c>
    </row>
    <row r="13431">
      <c r="H13431" t="s">
        <v>5117</v>
      </c>
    </row>
    <row r="13432">
      <c r="H13432" t="s">
        <v>5117</v>
      </c>
    </row>
    <row r="13433">
      <c r="H13433" t="s">
        <v>5117</v>
      </c>
    </row>
    <row r="13434">
      <c r="H13434" t="s">
        <v>5117</v>
      </c>
    </row>
    <row r="13435">
      <c r="H13435" t="s">
        <v>5117</v>
      </c>
    </row>
    <row r="13436">
      <c r="H13436" t="s">
        <v>5117</v>
      </c>
    </row>
    <row r="13437">
      <c r="H13437" t="s">
        <v>5117</v>
      </c>
    </row>
    <row r="13438">
      <c r="H13438" t="s">
        <v>5117</v>
      </c>
    </row>
    <row r="13439">
      <c r="H13439" t="s">
        <v>5117</v>
      </c>
    </row>
    <row r="13440">
      <c r="H13440" t="s">
        <v>5117</v>
      </c>
    </row>
    <row r="13441">
      <c r="H13441" t="s">
        <v>5117</v>
      </c>
    </row>
    <row r="13442">
      <c r="H13442" t="s">
        <v>5117</v>
      </c>
    </row>
    <row r="13443">
      <c r="H13443" t="s">
        <v>5117</v>
      </c>
    </row>
    <row r="13444">
      <c r="H13444" t="s">
        <v>5117</v>
      </c>
    </row>
    <row r="13445">
      <c r="H13445" t="s">
        <v>5117</v>
      </c>
    </row>
    <row r="13446">
      <c r="H13446" t="s">
        <v>5117</v>
      </c>
    </row>
    <row r="13447">
      <c r="H13447" t="s">
        <v>5117</v>
      </c>
    </row>
    <row r="13448">
      <c r="H13448" t="s">
        <v>5117</v>
      </c>
    </row>
    <row r="13449">
      <c r="H13449" t="s">
        <v>5117</v>
      </c>
    </row>
    <row r="13450">
      <c r="H13450" t="s">
        <v>5117</v>
      </c>
    </row>
    <row r="13451">
      <c r="H13451" t="s">
        <v>5117</v>
      </c>
    </row>
    <row r="13452">
      <c r="H13452" t="s">
        <v>5117</v>
      </c>
    </row>
    <row r="13453">
      <c r="H13453" t="s">
        <v>5117</v>
      </c>
    </row>
    <row r="13454">
      <c r="H13454" t="s">
        <v>5117</v>
      </c>
    </row>
    <row r="13455">
      <c r="H13455" t="s">
        <v>5117</v>
      </c>
    </row>
    <row r="13456">
      <c r="H13456" t="s">
        <v>5117</v>
      </c>
    </row>
    <row r="13457">
      <c r="H13457" t="s">
        <v>5117</v>
      </c>
    </row>
    <row r="13458">
      <c r="H13458" t="s">
        <v>5117</v>
      </c>
    </row>
    <row r="13459">
      <c r="H13459" t="s">
        <v>5117</v>
      </c>
    </row>
    <row r="13460">
      <c r="H13460" t="s">
        <v>5117</v>
      </c>
    </row>
    <row r="13461">
      <c r="H13461" t="s">
        <v>5117</v>
      </c>
    </row>
    <row r="13462">
      <c r="H13462" t="s">
        <v>5117</v>
      </c>
    </row>
    <row r="13463">
      <c r="H13463" t="s">
        <v>5117</v>
      </c>
    </row>
    <row r="13464">
      <c r="H13464" t="s">
        <v>5117</v>
      </c>
    </row>
    <row r="13465">
      <c r="H13465" t="s">
        <v>5117</v>
      </c>
    </row>
    <row r="13466">
      <c r="H13466" t="s">
        <v>5117</v>
      </c>
    </row>
    <row r="13467">
      <c r="H13467" t="s">
        <v>5117</v>
      </c>
    </row>
    <row r="13468">
      <c r="H13468" t="s">
        <v>5117</v>
      </c>
    </row>
    <row r="13469">
      <c r="H13469" t="s">
        <v>5117</v>
      </c>
    </row>
    <row r="13470">
      <c r="H13470" t="s">
        <v>5117</v>
      </c>
    </row>
    <row r="13471">
      <c r="H13471" t="s">
        <v>5117</v>
      </c>
    </row>
    <row r="13472">
      <c r="H13472" t="s">
        <v>5117</v>
      </c>
    </row>
    <row r="13473">
      <c r="H13473" t="s">
        <v>5117</v>
      </c>
    </row>
    <row r="13474">
      <c r="H13474" t="s">
        <v>5117</v>
      </c>
    </row>
    <row r="13475">
      <c r="H13475" t="s">
        <v>5117</v>
      </c>
    </row>
    <row r="13476">
      <c r="H13476" t="s">
        <v>5117</v>
      </c>
    </row>
    <row r="13477">
      <c r="H13477" t="s">
        <v>5117</v>
      </c>
    </row>
    <row r="13478">
      <c r="H13478" t="s">
        <v>5117</v>
      </c>
    </row>
    <row r="13479">
      <c r="H13479" t="s">
        <v>5117</v>
      </c>
    </row>
    <row r="13480">
      <c r="H13480" t="s">
        <v>5117</v>
      </c>
    </row>
    <row r="13481">
      <c r="H13481" t="s">
        <v>5117</v>
      </c>
    </row>
    <row r="13482">
      <c r="H13482" t="s">
        <v>5117</v>
      </c>
    </row>
    <row r="13483">
      <c r="H13483" t="s">
        <v>5117</v>
      </c>
    </row>
    <row r="13484">
      <c r="H13484" t="s">
        <v>5117</v>
      </c>
    </row>
    <row r="13485">
      <c r="H13485" t="s">
        <v>5117</v>
      </c>
    </row>
    <row r="13486">
      <c r="H13486" t="s">
        <v>5117</v>
      </c>
    </row>
    <row r="13487">
      <c r="H13487" t="s">
        <v>5117</v>
      </c>
    </row>
    <row r="13488">
      <c r="H13488" t="s">
        <v>5117</v>
      </c>
    </row>
    <row r="13489">
      <c r="H13489" t="s">
        <v>5117</v>
      </c>
    </row>
    <row r="13490">
      <c r="H13490" t="s">
        <v>5117</v>
      </c>
    </row>
    <row r="13491">
      <c r="H13491" t="s">
        <v>5117</v>
      </c>
    </row>
    <row r="13492">
      <c r="H13492" t="s">
        <v>5117</v>
      </c>
    </row>
    <row r="13493">
      <c r="H13493" t="s">
        <v>5117</v>
      </c>
    </row>
    <row r="13494">
      <c r="H13494" t="s">
        <v>5117</v>
      </c>
    </row>
    <row r="13495">
      <c r="H13495" t="s">
        <v>5117</v>
      </c>
    </row>
    <row r="13496">
      <c r="H13496" t="s">
        <v>5117</v>
      </c>
    </row>
    <row r="13497">
      <c r="H13497" t="s">
        <v>5117</v>
      </c>
    </row>
    <row r="13498">
      <c r="H13498" t="s">
        <v>5117</v>
      </c>
    </row>
    <row r="13499">
      <c r="H13499" t="s">
        <v>5117</v>
      </c>
    </row>
    <row r="13500">
      <c r="H13500" t="s">
        <v>5117</v>
      </c>
    </row>
    <row r="13501">
      <c r="H13501" t="s">
        <v>5117</v>
      </c>
    </row>
    <row r="13502">
      <c r="H13502" t="s">
        <v>5117</v>
      </c>
    </row>
    <row r="13503">
      <c r="H13503" t="s">
        <v>5117</v>
      </c>
    </row>
    <row r="13504">
      <c r="H13504" t="s">
        <v>5117</v>
      </c>
    </row>
    <row r="13505">
      <c r="H13505" t="s">
        <v>5117</v>
      </c>
    </row>
    <row r="13506">
      <c r="H13506" t="s">
        <v>5117</v>
      </c>
    </row>
    <row r="13507">
      <c r="H13507" t="s">
        <v>5117</v>
      </c>
    </row>
    <row r="13508">
      <c r="H13508" t="s">
        <v>5117</v>
      </c>
    </row>
    <row r="13509">
      <c r="H13509" t="s">
        <v>5117</v>
      </c>
    </row>
    <row r="13510">
      <c r="H13510" t="s">
        <v>5117</v>
      </c>
    </row>
    <row r="13511">
      <c r="H13511" t="s">
        <v>5117</v>
      </c>
    </row>
    <row r="13512">
      <c r="H13512" t="s">
        <v>5117</v>
      </c>
    </row>
    <row r="13513">
      <c r="H13513" t="s">
        <v>5117</v>
      </c>
    </row>
    <row r="13514">
      <c r="H13514" t="s">
        <v>5117</v>
      </c>
    </row>
    <row r="13515">
      <c r="H13515" t="s">
        <v>5117</v>
      </c>
    </row>
    <row r="13516">
      <c r="H13516" t="s">
        <v>5117</v>
      </c>
    </row>
    <row r="13517">
      <c r="H13517" t="s">
        <v>5117</v>
      </c>
    </row>
    <row r="13518">
      <c r="H13518" t="s">
        <v>5117</v>
      </c>
    </row>
    <row r="13519">
      <c r="H13519" t="s">
        <v>5117</v>
      </c>
    </row>
    <row r="13520">
      <c r="H13520" t="s">
        <v>5117</v>
      </c>
    </row>
    <row r="13521">
      <c r="H13521" t="s">
        <v>5117</v>
      </c>
    </row>
    <row r="13522">
      <c r="H13522" t="s">
        <v>5117</v>
      </c>
    </row>
    <row r="13523">
      <c r="H13523" t="s">
        <v>5117</v>
      </c>
    </row>
    <row r="13524">
      <c r="H13524" t="s">
        <v>5117</v>
      </c>
    </row>
    <row r="13525">
      <c r="H13525" t="s">
        <v>5117</v>
      </c>
    </row>
    <row r="13526">
      <c r="H13526" t="s">
        <v>5117</v>
      </c>
    </row>
    <row r="13527">
      <c r="H13527" t="s">
        <v>5117</v>
      </c>
    </row>
    <row r="13528">
      <c r="H13528" t="s">
        <v>5117</v>
      </c>
    </row>
    <row r="13529">
      <c r="H13529" t="s">
        <v>5117</v>
      </c>
    </row>
    <row r="13530">
      <c r="H13530" t="s">
        <v>5117</v>
      </c>
    </row>
    <row r="13531">
      <c r="H13531" t="s">
        <v>5117</v>
      </c>
    </row>
    <row r="13532">
      <c r="H13532" t="s">
        <v>5117</v>
      </c>
    </row>
    <row r="13533">
      <c r="H13533" t="s">
        <v>5117</v>
      </c>
    </row>
    <row r="13534">
      <c r="H13534" t="s">
        <v>5117</v>
      </c>
    </row>
    <row r="13535">
      <c r="H13535" t="s">
        <v>5117</v>
      </c>
    </row>
    <row r="13536">
      <c r="H13536" t="s">
        <v>5117</v>
      </c>
    </row>
    <row r="13537">
      <c r="H13537" t="s">
        <v>5117</v>
      </c>
    </row>
    <row r="13538">
      <c r="H13538" t="s">
        <v>5117</v>
      </c>
    </row>
    <row r="13539">
      <c r="H13539" t="s">
        <v>5117</v>
      </c>
    </row>
    <row r="13540">
      <c r="H13540" t="s">
        <v>5117</v>
      </c>
    </row>
    <row r="13541">
      <c r="H13541" t="s">
        <v>5117</v>
      </c>
    </row>
    <row r="13542">
      <c r="H13542" t="s">
        <v>5117</v>
      </c>
    </row>
    <row r="13543">
      <c r="H13543" t="s">
        <v>5117</v>
      </c>
    </row>
    <row r="13544">
      <c r="H13544" t="s">
        <v>5117</v>
      </c>
    </row>
    <row r="13545">
      <c r="H13545" t="s">
        <v>5117</v>
      </c>
    </row>
    <row r="13546">
      <c r="H13546" t="s">
        <v>5117</v>
      </c>
    </row>
    <row r="13547">
      <c r="H13547" t="s">
        <v>5117</v>
      </c>
    </row>
    <row r="13548">
      <c r="H13548" t="s">
        <v>5117</v>
      </c>
    </row>
    <row r="13549">
      <c r="H13549" t="s">
        <v>5117</v>
      </c>
    </row>
    <row r="13550">
      <c r="H13550" t="s">
        <v>5117</v>
      </c>
    </row>
    <row r="13551">
      <c r="H13551" t="s">
        <v>5117</v>
      </c>
    </row>
    <row r="13552">
      <c r="H13552" t="s">
        <v>5117</v>
      </c>
    </row>
    <row r="13553">
      <c r="H13553" t="s">
        <v>5117</v>
      </c>
    </row>
    <row r="13554">
      <c r="H13554" t="s">
        <v>5117</v>
      </c>
    </row>
    <row r="13555">
      <c r="H13555" t="s">
        <v>5117</v>
      </c>
    </row>
    <row r="13556">
      <c r="H13556" t="s">
        <v>5117</v>
      </c>
    </row>
    <row r="13557">
      <c r="H13557" t="s">
        <v>5117</v>
      </c>
    </row>
    <row r="13558">
      <c r="H13558" t="s">
        <v>5117</v>
      </c>
    </row>
    <row r="13559">
      <c r="H13559" t="s">
        <v>5117</v>
      </c>
    </row>
    <row r="13560">
      <c r="H13560" t="s">
        <v>5117</v>
      </c>
    </row>
    <row r="13561">
      <c r="H13561" t="s">
        <v>5117</v>
      </c>
    </row>
    <row r="13562">
      <c r="H13562" t="s">
        <v>5117</v>
      </c>
    </row>
    <row r="13563">
      <c r="H13563" t="s">
        <v>5117</v>
      </c>
    </row>
    <row r="13564">
      <c r="H13564" t="s">
        <v>5117</v>
      </c>
    </row>
    <row r="13565">
      <c r="H13565" t="s">
        <v>5117</v>
      </c>
    </row>
    <row r="13566">
      <c r="H13566" t="s">
        <v>5117</v>
      </c>
    </row>
    <row r="13567">
      <c r="H13567" t="s">
        <v>5117</v>
      </c>
    </row>
    <row r="13568">
      <c r="H13568" t="s">
        <v>5117</v>
      </c>
    </row>
    <row r="13569">
      <c r="H13569" t="s">
        <v>5117</v>
      </c>
    </row>
    <row r="13570">
      <c r="H13570" t="s">
        <v>5117</v>
      </c>
    </row>
    <row r="13571">
      <c r="H13571" t="s">
        <v>5117</v>
      </c>
    </row>
    <row r="13572">
      <c r="H13572" t="s">
        <v>5117</v>
      </c>
    </row>
    <row r="13573">
      <c r="H13573" t="s">
        <v>5117</v>
      </c>
    </row>
    <row r="13574">
      <c r="H13574" t="s">
        <v>5117</v>
      </c>
    </row>
    <row r="13575">
      <c r="H13575" t="s">
        <v>5117</v>
      </c>
    </row>
    <row r="13576">
      <c r="H13576" t="s">
        <v>5117</v>
      </c>
    </row>
    <row r="13577">
      <c r="H13577" t="s">
        <v>5117</v>
      </c>
    </row>
    <row r="13578">
      <c r="H13578" t="s">
        <v>5117</v>
      </c>
    </row>
    <row r="13579">
      <c r="H13579" t="s">
        <v>5117</v>
      </c>
    </row>
    <row r="13580">
      <c r="H13580" t="s">
        <v>5117</v>
      </c>
    </row>
    <row r="13581">
      <c r="H13581" t="s">
        <v>5117</v>
      </c>
    </row>
    <row r="13582">
      <c r="H13582" t="s">
        <v>5117</v>
      </c>
    </row>
    <row r="13583">
      <c r="H13583" t="s">
        <v>5117</v>
      </c>
    </row>
    <row r="13584">
      <c r="H13584" t="s">
        <v>5117</v>
      </c>
    </row>
    <row r="13585">
      <c r="H13585" t="s">
        <v>5117</v>
      </c>
    </row>
    <row r="13586">
      <c r="H13586" t="s">
        <v>5117</v>
      </c>
    </row>
    <row r="13587">
      <c r="H13587" t="s">
        <v>5117</v>
      </c>
    </row>
    <row r="13588">
      <c r="H13588" t="s">
        <v>5117</v>
      </c>
    </row>
    <row r="13589">
      <c r="H13589" t="s">
        <v>5117</v>
      </c>
    </row>
    <row r="13590">
      <c r="H13590" t="s">
        <v>5117</v>
      </c>
    </row>
    <row r="13591">
      <c r="H13591" t="s">
        <v>5117</v>
      </c>
    </row>
    <row r="13592">
      <c r="H13592" t="s">
        <v>5117</v>
      </c>
    </row>
    <row r="13593">
      <c r="H13593" t="s">
        <v>5117</v>
      </c>
    </row>
    <row r="13594">
      <c r="H13594" t="s">
        <v>5117</v>
      </c>
    </row>
    <row r="13595">
      <c r="H13595" t="s">
        <v>5117</v>
      </c>
    </row>
    <row r="13596">
      <c r="H13596" t="s">
        <v>5117</v>
      </c>
    </row>
    <row r="13597">
      <c r="H13597" t="s">
        <v>5117</v>
      </c>
    </row>
    <row r="13598">
      <c r="H13598" t="s">
        <v>5117</v>
      </c>
    </row>
    <row r="13599">
      <c r="H13599" t="s">
        <v>5117</v>
      </c>
    </row>
    <row r="13600">
      <c r="H13600" t="s">
        <v>5117</v>
      </c>
    </row>
    <row r="13601">
      <c r="H13601" t="s">
        <v>5117</v>
      </c>
    </row>
    <row r="13602">
      <c r="H13602" t="s">
        <v>5117</v>
      </c>
    </row>
    <row r="13603">
      <c r="H13603" t="s">
        <v>5117</v>
      </c>
    </row>
    <row r="13604">
      <c r="H13604" t="s">
        <v>5117</v>
      </c>
    </row>
    <row r="13605">
      <c r="H13605" t="s">
        <v>5117</v>
      </c>
    </row>
    <row r="13606">
      <c r="H13606" t="s">
        <v>5117</v>
      </c>
    </row>
    <row r="13607">
      <c r="H13607" t="s">
        <v>5117</v>
      </c>
    </row>
    <row r="13608">
      <c r="H13608" t="s">
        <v>5117</v>
      </c>
    </row>
    <row r="13609">
      <c r="H13609" t="s">
        <v>5117</v>
      </c>
    </row>
    <row r="13610">
      <c r="H13610" t="s">
        <v>5117</v>
      </c>
    </row>
    <row r="13611">
      <c r="H13611" t="s">
        <v>5117</v>
      </c>
    </row>
    <row r="13612">
      <c r="H13612" t="s">
        <v>5117</v>
      </c>
    </row>
    <row r="13613">
      <c r="H13613" t="s">
        <v>5117</v>
      </c>
    </row>
    <row r="13614">
      <c r="H13614" t="s">
        <v>5117</v>
      </c>
    </row>
    <row r="13615">
      <c r="H13615" t="s">
        <v>5117</v>
      </c>
    </row>
    <row r="13616">
      <c r="H13616" t="s">
        <v>5117</v>
      </c>
    </row>
    <row r="13617">
      <c r="H13617" t="s">
        <v>5117</v>
      </c>
    </row>
    <row r="13618">
      <c r="H13618" t="s">
        <v>5117</v>
      </c>
    </row>
    <row r="13619">
      <c r="H13619" t="s">
        <v>5117</v>
      </c>
    </row>
    <row r="13620">
      <c r="H13620" t="s">
        <v>5117</v>
      </c>
    </row>
    <row r="13621">
      <c r="H13621" t="s">
        <v>5117</v>
      </c>
    </row>
    <row r="13622">
      <c r="H13622" t="s">
        <v>5117</v>
      </c>
    </row>
    <row r="13623">
      <c r="H13623" t="s">
        <v>5117</v>
      </c>
    </row>
    <row r="13624">
      <c r="H13624" t="s">
        <v>5117</v>
      </c>
    </row>
    <row r="13625">
      <c r="H13625" t="s">
        <v>5117</v>
      </c>
    </row>
    <row r="13626">
      <c r="H13626" t="s">
        <v>5117</v>
      </c>
    </row>
    <row r="13627">
      <c r="H13627" t="s">
        <v>5117</v>
      </c>
    </row>
    <row r="13628">
      <c r="H13628" t="s">
        <v>5117</v>
      </c>
    </row>
    <row r="13629">
      <c r="H13629" t="s">
        <v>5117</v>
      </c>
    </row>
    <row r="13630">
      <c r="H13630" t="s">
        <v>5117</v>
      </c>
    </row>
    <row r="13631">
      <c r="H13631" t="s">
        <v>5117</v>
      </c>
    </row>
    <row r="13632">
      <c r="H13632" t="s">
        <v>5117</v>
      </c>
    </row>
    <row r="13633">
      <c r="H13633" t="s">
        <v>5117</v>
      </c>
    </row>
    <row r="13634">
      <c r="H13634" t="s">
        <v>5117</v>
      </c>
    </row>
    <row r="13635">
      <c r="H13635" t="s">
        <v>5117</v>
      </c>
    </row>
    <row r="13636">
      <c r="H13636" t="s">
        <v>5117</v>
      </c>
    </row>
    <row r="13637">
      <c r="H13637" t="s">
        <v>5117</v>
      </c>
    </row>
    <row r="13638">
      <c r="H13638" t="s">
        <v>5117</v>
      </c>
    </row>
    <row r="13639">
      <c r="H13639" t="s">
        <v>5117</v>
      </c>
    </row>
    <row r="13640">
      <c r="H13640" t="s">
        <v>5117</v>
      </c>
    </row>
    <row r="13641">
      <c r="H13641" t="s">
        <v>5117</v>
      </c>
    </row>
    <row r="13642">
      <c r="H13642" t="s">
        <v>5117</v>
      </c>
    </row>
    <row r="13643">
      <c r="H13643" t="s">
        <v>5117</v>
      </c>
    </row>
    <row r="13644">
      <c r="H13644" t="s">
        <v>5117</v>
      </c>
    </row>
    <row r="13645">
      <c r="H13645" t="s">
        <v>5117</v>
      </c>
    </row>
    <row r="13646">
      <c r="H13646" t="s">
        <v>5117</v>
      </c>
    </row>
    <row r="13647">
      <c r="H13647" t="s">
        <v>5117</v>
      </c>
    </row>
    <row r="13648">
      <c r="H13648" t="s">
        <v>5117</v>
      </c>
    </row>
    <row r="13649">
      <c r="H13649" t="s">
        <v>5117</v>
      </c>
    </row>
    <row r="13650">
      <c r="H13650" t="s">
        <v>5117</v>
      </c>
    </row>
    <row r="13651">
      <c r="H13651" t="s">
        <v>5117</v>
      </c>
    </row>
    <row r="13652">
      <c r="H13652" t="s">
        <v>5117</v>
      </c>
    </row>
    <row r="13653">
      <c r="H13653" t="s">
        <v>5117</v>
      </c>
    </row>
    <row r="13654">
      <c r="H13654" t="s">
        <v>5117</v>
      </c>
    </row>
    <row r="13655">
      <c r="H13655" t="s">
        <v>5117</v>
      </c>
    </row>
    <row r="13656">
      <c r="H13656" t="s">
        <v>5117</v>
      </c>
    </row>
    <row r="13657">
      <c r="H13657" t="s">
        <v>5117</v>
      </c>
    </row>
    <row r="13658">
      <c r="H13658" t="s">
        <v>5117</v>
      </c>
    </row>
    <row r="13659">
      <c r="H13659" t="s">
        <v>5117</v>
      </c>
    </row>
    <row r="13660">
      <c r="H13660" t="s">
        <v>5117</v>
      </c>
    </row>
    <row r="13661">
      <c r="H13661" t="s">
        <v>5117</v>
      </c>
    </row>
    <row r="13662">
      <c r="H13662" t="s">
        <v>5117</v>
      </c>
    </row>
    <row r="13663">
      <c r="H13663" t="s">
        <v>5117</v>
      </c>
    </row>
    <row r="13664">
      <c r="H13664" t="s">
        <v>5117</v>
      </c>
    </row>
    <row r="13665">
      <c r="H13665" t="s">
        <v>5117</v>
      </c>
    </row>
    <row r="13666">
      <c r="H13666" t="s">
        <v>5117</v>
      </c>
    </row>
    <row r="13667">
      <c r="H13667" t="s">
        <v>5117</v>
      </c>
    </row>
    <row r="13668">
      <c r="H13668" t="s">
        <v>5117</v>
      </c>
    </row>
    <row r="13669">
      <c r="H13669" t="s">
        <v>5117</v>
      </c>
    </row>
    <row r="13670">
      <c r="H13670" t="s">
        <v>5117</v>
      </c>
    </row>
    <row r="13671">
      <c r="H13671" t="s">
        <v>5117</v>
      </c>
    </row>
    <row r="13672">
      <c r="H13672" t="s">
        <v>5117</v>
      </c>
    </row>
    <row r="13673">
      <c r="H13673" t="s">
        <v>5117</v>
      </c>
    </row>
    <row r="13674">
      <c r="H13674" t="s">
        <v>5117</v>
      </c>
    </row>
    <row r="13675">
      <c r="H13675" t="s">
        <v>5117</v>
      </c>
    </row>
    <row r="13676">
      <c r="H13676" t="s">
        <v>5117</v>
      </c>
    </row>
    <row r="13677">
      <c r="H13677" t="s">
        <v>5117</v>
      </c>
    </row>
    <row r="13678">
      <c r="H13678" t="s">
        <v>5117</v>
      </c>
    </row>
    <row r="13679">
      <c r="H13679" t="s">
        <v>5117</v>
      </c>
    </row>
    <row r="13680">
      <c r="H13680" t="s">
        <v>5117</v>
      </c>
    </row>
    <row r="13681">
      <c r="H13681" t="s">
        <v>5117</v>
      </c>
    </row>
    <row r="13682">
      <c r="H13682" t="s">
        <v>5117</v>
      </c>
    </row>
    <row r="13683">
      <c r="H13683" t="s">
        <v>5117</v>
      </c>
    </row>
    <row r="13684">
      <c r="H13684" t="s">
        <v>5117</v>
      </c>
    </row>
    <row r="13685">
      <c r="H13685" t="s">
        <v>5117</v>
      </c>
    </row>
    <row r="13686">
      <c r="H13686" t="s">
        <v>5117</v>
      </c>
    </row>
    <row r="13687">
      <c r="H13687" t="s">
        <v>5117</v>
      </c>
    </row>
    <row r="13688">
      <c r="H13688" t="s">
        <v>5117</v>
      </c>
    </row>
    <row r="13689">
      <c r="H13689" t="s">
        <v>5117</v>
      </c>
    </row>
    <row r="13690">
      <c r="H13690" t="s">
        <v>5117</v>
      </c>
    </row>
    <row r="13691">
      <c r="H13691" t="s">
        <v>5117</v>
      </c>
    </row>
    <row r="13692">
      <c r="H13692" t="s">
        <v>5117</v>
      </c>
    </row>
    <row r="13693">
      <c r="H13693" t="s">
        <v>5117</v>
      </c>
    </row>
    <row r="13694">
      <c r="H13694" t="s">
        <v>5117</v>
      </c>
    </row>
    <row r="13695">
      <c r="H13695" t="s">
        <v>5117</v>
      </c>
    </row>
    <row r="13696">
      <c r="H13696" t="s">
        <v>5117</v>
      </c>
    </row>
    <row r="13697">
      <c r="H13697" t="s">
        <v>5117</v>
      </c>
    </row>
    <row r="13698">
      <c r="H13698" t="s">
        <v>5117</v>
      </c>
    </row>
    <row r="13699">
      <c r="H13699" t="s">
        <v>5117</v>
      </c>
    </row>
    <row r="13700">
      <c r="H13700" t="s">
        <v>5117</v>
      </c>
    </row>
    <row r="13701">
      <c r="H13701" t="s">
        <v>5117</v>
      </c>
    </row>
    <row r="13702">
      <c r="H13702" t="s">
        <v>5117</v>
      </c>
    </row>
    <row r="13703">
      <c r="H13703" t="s">
        <v>5117</v>
      </c>
    </row>
    <row r="13704">
      <c r="H13704" t="s">
        <v>5117</v>
      </c>
    </row>
    <row r="13705">
      <c r="H13705" t="s">
        <v>5117</v>
      </c>
    </row>
    <row r="13706">
      <c r="H13706" t="s">
        <v>5117</v>
      </c>
    </row>
    <row r="13707">
      <c r="H13707" t="s">
        <v>5117</v>
      </c>
    </row>
    <row r="13708">
      <c r="H13708" t="s">
        <v>5117</v>
      </c>
    </row>
    <row r="13709">
      <c r="H13709" t="s">
        <v>5117</v>
      </c>
    </row>
    <row r="13710">
      <c r="H13710" t="s">
        <v>5117</v>
      </c>
    </row>
    <row r="13711">
      <c r="H13711" t="s">
        <v>5117</v>
      </c>
    </row>
    <row r="13712">
      <c r="H13712" t="s">
        <v>5117</v>
      </c>
    </row>
    <row r="13713">
      <c r="H13713" t="s">
        <v>5117</v>
      </c>
    </row>
    <row r="13714">
      <c r="H13714" t="s">
        <v>5117</v>
      </c>
    </row>
    <row r="13715">
      <c r="H13715" t="s">
        <v>5117</v>
      </c>
    </row>
    <row r="13716">
      <c r="H13716" t="s">
        <v>5117</v>
      </c>
    </row>
    <row r="13717">
      <c r="H13717" t="s">
        <v>5117</v>
      </c>
    </row>
    <row r="13718">
      <c r="H13718" t="s">
        <v>5117</v>
      </c>
    </row>
    <row r="13719">
      <c r="H13719" t="s">
        <v>5117</v>
      </c>
    </row>
    <row r="13720">
      <c r="H13720" t="s">
        <v>5117</v>
      </c>
    </row>
    <row r="13721">
      <c r="H13721" t="s">
        <v>5117</v>
      </c>
    </row>
    <row r="13722">
      <c r="H13722" t="s">
        <v>5117</v>
      </c>
    </row>
    <row r="13723">
      <c r="H13723" t="s">
        <v>5117</v>
      </c>
    </row>
    <row r="13724">
      <c r="H13724" t="s">
        <v>5117</v>
      </c>
    </row>
    <row r="13725">
      <c r="H13725" t="s">
        <v>5117</v>
      </c>
    </row>
    <row r="13726">
      <c r="H13726" t="s">
        <v>5117</v>
      </c>
    </row>
    <row r="13727">
      <c r="H13727" t="s">
        <v>5117</v>
      </c>
    </row>
    <row r="13728">
      <c r="H13728" t="s">
        <v>5117</v>
      </c>
    </row>
    <row r="13729">
      <c r="H13729" t="s">
        <v>5117</v>
      </c>
    </row>
    <row r="13730">
      <c r="H13730" t="s">
        <v>5117</v>
      </c>
    </row>
    <row r="13731">
      <c r="H13731" t="s">
        <v>5117</v>
      </c>
    </row>
    <row r="13732">
      <c r="H13732" t="s">
        <v>5117</v>
      </c>
    </row>
    <row r="13733">
      <c r="H13733" t="s">
        <v>5117</v>
      </c>
    </row>
    <row r="13734">
      <c r="H13734" t="s">
        <v>5117</v>
      </c>
    </row>
    <row r="13735">
      <c r="H13735" t="s">
        <v>5117</v>
      </c>
    </row>
    <row r="13736">
      <c r="H13736" t="s">
        <v>5117</v>
      </c>
    </row>
    <row r="13737">
      <c r="H13737" t="s">
        <v>5117</v>
      </c>
    </row>
    <row r="13738">
      <c r="H13738" t="s">
        <v>5117</v>
      </c>
    </row>
    <row r="13739">
      <c r="H13739" t="s">
        <v>5117</v>
      </c>
    </row>
    <row r="13740">
      <c r="H13740" t="s">
        <v>5117</v>
      </c>
    </row>
    <row r="13741">
      <c r="H13741" t="s">
        <v>5117</v>
      </c>
    </row>
    <row r="13742">
      <c r="H13742" t="s">
        <v>5117</v>
      </c>
    </row>
    <row r="13743">
      <c r="H13743" t="s">
        <v>5117</v>
      </c>
    </row>
    <row r="13744">
      <c r="H13744" t="s">
        <v>5117</v>
      </c>
    </row>
    <row r="13745">
      <c r="H13745" t="s">
        <v>5117</v>
      </c>
    </row>
    <row r="13746">
      <c r="H13746" t="s">
        <v>5117</v>
      </c>
    </row>
    <row r="13747">
      <c r="H13747" t="s">
        <v>5117</v>
      </c>
    </row>
    <row r="13748">
      <c r="H13748" t="s">
        <v>5117</v>
      </c>
    </row>
    <row r="13749">
      <c r="H13749" t="s">
        <v>5117</v>
      </c>
    </row>
    <row r="13750">
      <c r="H13750" t="s">
        <v>5117</v>
      </c>
    </row>
    <row r="13751">
      <c r="H13751" t="s">
        <v>5117</v>
      </c>
    </row>
    <row r="13752">
      <c r="H13752" t="s">
        <v>5117</v>
      </c>
    </row>
    <row r="13753">
      <c r="H13753" t="s">
        <v>5117</v>
      </c>
    </row>
    <row r="13754">
      <c r="H13754" t="s">
        <v>5117</v>
      </c>
    </row>
    <row r="13755">
      <c r="H13755" t="s">
        <v>5117</v>
      </c>
    </row>
    <row r="13756">
      <c r="H13756" t="s">
        <v>5117</v>
      </c>
    </row>
    <row r="13757">
      <c r="H13757" t="s">
        <v>5117</v>
      </c>
    </row>
    <row r="13758">
      <c r="H13758" t="s">
        <v>5117</v>
      </c>
    </row>
    <row r="13759">
      <c r="H13759" t="s">
        <v>5117</v>
      </c>
    </row>
    <row r="13760">
      <c r="H13760" t="s">
        <v>5117</v>
      </c>
    </row>
    <row r="13761">
      <c r="H13761" t="s">
        <v>5117</v>
      </c>
    </row>
    <row r="13762">
      <c r="H13762" t="s">
        <v>5117</v>
      </c>
    </row>
    <row r="13763">
      <c r="H13763" t="s">
        <v>5117</v>
      </c>
    </row>
    <row r="13764">
      <c r="H13764" t="s">
        <v>5117</v>
      </c>
    </row>
    <row r="13765">
      <c r="H13765" t="s">
        <v>5117</v>
      </c>
    </row>
    <row r="13766">
      <c r="H13766" t="s">
        <v>5117</v>
      </c>
    </row>
    <row r="13767">
      <c r="H13767" t="s">
        <v>5117</v>
      </c>
    </row>
    <row r="13768">
      <c r="H13768" t="s">
        <v>5117</v>
      </c>
    </row>
    <row r="13769">
      <c r="H13769" t="s">
        <v>5117</v>
      </c>
    </row>
    <row r="13770">
      <c r="H13770" t="s">
        <v>5117</v>
      </c>
    </row>
    <row r="13771">
      <c r="H13771" t="s">
        <v>5117</v>
      </c>
    </row>
    <row r="13772">
      <c r="H13772" t="s">
        <v>5117</v>
      </c>
    </row>
    <row r="13773">
      <c r="H13773" t="s">
        <v>5117</v>
      </c>
    </row>
    <row r="13774">
      <c r="H13774" t="s">
        <v>5117</v>
      </c>
    </row>
    <row r="13775">
      <c r="H13775" t="s">
        <v>5117</v>
      </c>
    </row>
    <row r="13776">
      <c r="H13776" t="s">
        <v>5117</v>
      </c>
    </row>
    <row r="13777">
      <c r="H13777" t="s">
        <v>5117</v>
      </c>
    </row>
    <row r="13778">
      <c r="H13778" t="s">
        <v>5117</v>
      </c>
    </row>
    <row r="13779">
      <c r="H13779" t="s">
        <v>5117</v>
      </c>
    </row>
    <row r="13780">
      <c r="H13780" t="s">
        <v>5117</v>
      </c>
    </row>
    <row r="13781">
      <c r="H13781" t="s">
        <v>5117</v>
      </c>
    </row>
    <row r="13782">
      <c r="H13782" t="s">
        <v>5117</v>
      </c>
    </row>
    <row r="13783">
      <c r="H13783" t="s">
        <v>5117</v>
      </c>
    </row>
    <row r="13784">
      <c r="H13784" t="s">
        <v>5117</v>
      </c>
    </row>
    <row r="13785">
      <c r="H13785" t="s">
        <v>5117</v>
      </c>
    </row>
    <row r="13786">
      <c r="H13786" t="s">
        <v>5117</v>
      </c>
    </row>
    <row r="13787">
      <c r="H13787" t="s">
        <v>5117</v>
      </c>
    </row>
    <row r="13788">
      <c r="H13788" t="s">
        <v>5117</v>
      </c>
    </row>
    <row r="13789">
      <c r="H13789" t="s">
        <v>5117</v>
      </c>
    </row>
    <row r="13790">
      <c r="H13790" t="s">
        <v>5117</v>
      </c>
    </row>
    <row r="13791">
      <c r="H13791" t="s">
        <v>5117</v>
      </c>
    </row>
    <row r="13792">
      <c r="H13792" t="s">
        <v>5117</v>
      </c>
    </row>
    <row r="13793">
      <c r="H13793" t="s">
        <v>5117</v>
      </c>
    </row>
    <row r="13794">
      <c r="H13794" t="s">
        <v>5117</v>
      </c>
    </row>
    <row r="13795">
      <c r="H13795" t="s">
        <v>5117</v>
      </c>
    </row>
    <row r="13796">
      <c r="H13796" t="s">
        <v>5117</v>
      </c>
    </row>
    <row r="13797">
      <c r="H13797" t="s">
        <v>5117</v>
      </c>
    </row>
    <row r="13798">
      <c r="H13798" t="s">
        <v>5117</v>
      </c>
    </row>
    <row r="13799">
      <c r="H13799" t="s">
        <v>5117</v>
      </c>
    </row>
    <row r="13800">
      <c r="H13800" t="s">
        <v>5117</v>
      </c>
    </row>
    <row r="13801">
      <c r="H13801" t="s">
        <v>5117</v>
      </c>
    </row>
    <row r="13802">
      <c r="H13802" t="s">
        <v>5117</v>
      </c>
    </row>
    <row r="13803">
      <c r="H13803" t="s">
        <v>5117</v>
      </c>
    </row>
    <row r="13804">
      <c r="H13804" t="s">
        <v>5117</v>
      </c>
    </row>
    <row r="13805">
      <c r="H13805" t="s">
        <v>5117</v>
      </c>
    </row>
    <row r="13806">
      <c r="H13806" t="s">
        <v>5117</v>
      </c>
    </row>
    <row r="13807">
      <c r="H13807" t="s">
        <v>5117</v>
      </c>
    </row>
    <row r="13808">
      <c r="H13808" t="s">
        <v>5117</v>
      </c>
    </row>
    <row r="13809">
      <c r="H13809" t="s">
        <v>5117</v>
      </c>
    </row>
    <row r="13810">
      <c r="H13810" t="s">
        <v>5117</v>
      </c>
    </row>
    <row r="13811">
      <c r="H13811" t="s">
        <v>5117</v>
      </c>
    </row>
    <row r="13812">
      <c r="H13812" t="s">
        <v>5117</v>
      </c>
    </row>
    <row r="13813">
      <c r="H13813" t="s">
        <v>5117</v>
      </c>
    </row>
    <row r="13814">
      <c r="H13814" t="s">
        <v>5117</v>
      </c>
    </row>
    <row r="13815">
      <c r="H13815" t="s">
        <v>5117</v>
      </c>
    </row>
    <row r="13816">
      <c r="H13816" t="s">
        <v>5117</v>
      </c>
    </row>
    <row r="13817">
      <c r="H13817" t="s">
        <v>5117</v>
      </c>
    </row>
    <row r="13818">
      <c r="H13818" t="s">
        <v>5117</v>
      </c>
    </row>
    <row r="13819">
      <c r="H13819" t="s">
        <v>5117</v>
      </c>
    </row>
    <row r="13820">
      <c r="H13820" t="s">
        <v>5117</v>
      </c>
    </row>
    <row r="13821">
      <c r="H13821" t="s">
        <v>5117</v>
      </c>
    </row>
    <row r="13822">
      <c r="H13822" t="s">
        <v>5117</v>
      </c>
    </row>
    <row r="13823">
      <c r="H13823" t="s">
        <v>5117</v>
      </c>
    </row>
    <row r="13824">
      <c r="H13824" t="s">
        <v>5117</v>
      </c>
    </row>
    <row r="13825">
      <c r="H13825" t="s">
        <v>5117</v>
      </c>
    </row>
    <row r="13826">
      <c r="H13826" t="s">
        <v>5117</v>
      </c>
    </row>
    <row r="13827">
      <c r="H13827" t="s">
        <v>5117</v>
      </c>
    </row>
    <row r="13828">
      <c r="H13828" t="s">
        <v>5117</v>
      </c>
    </row>
    <row r="13829">
      <c r="H13829" t="s">
        <v>5117</v>
      </c>
    </row>
    <row r="13830">
      <c r="H13830" t="s">
        <v>5117</v>
      </c>
    </row>
    <row r="13831">
      <c r="H13831" t="s">
        <v>5117</v>
      </c>
    </row>
    <row r="13832">
      <c r="H13832" t="s">
        <v>5117</v>
      </c>
    </row>
    <row r="13833">
      <c r="H13833" t="s">
        <v>5117</v>
      </c>
    </row>
    <row r="13834">
      <c r="H13834" t="s">
        <v>5117</v>
      </c>
    </row>
    <row r="13835">
      <c r="H13835" t="s">
        <v>5117</v>
      </c>
    </row>
    <row r="13836">
      <c r="H13836" t="s">
        <v>5117</v>
      </c>
    </row>
    <row r="13837">
      <c r="H13837" t="s">
        <v>5117</v>
      </c>
    </row>
    <row r="13838">
      <c r="H13838" t="s">
        <v>5117</v>
      </c>
    </row>
    <row r="13839">
      <c r="H13839" t="s">
        <v>5117</v>
      </c>
    </row>
    <row r="13840">
      <c r="H13840" t="s">
        <v>5117</v>
      </c>
    </row>
    <row r="13841">
      <c r="H13841" t="s">
        <v>5117</v>
      </c>
    </row>
    <row r="13842">
      <c r="H13842" t="s">
        <v>5117</v>
      </c>
    </row>
    <row r="13843">
      <c r="H13843" t="s">
        <v>5117</v>
      </c>
    </row>
    <row r="13844">
      <c r="H13844" t="s">
        <v>5117</v>
      </c>
    </row>
    <row r="13845">
      <c r="H13845" t="s">
        <v>5117</v>
      </c>
    </row>
    <row r="13846">
      <c r="H13846" t="s">
        <v>5117</v>
      </c>
    </row>
    <row r="13847">
      <c r="H13847" t="s">
        <v>5117</v>
      </c>
    </row>
    <row r="13848">
      <c r="H13848" t="s">
        <v>5117</v>
      </c>
    </row>
    <row r="13849">
      <c r="H13849" t="s">
        <v>5117</v>
      </c>
    </row>
    <row r="13850">
      <c r="H13850" t="s">
        <v>5117</v>
      </c>
    </row>
    <row r="13851">
      <c r="H13851" t="s">
        <v>5117</v>
      </c>
    </row>
    <row r="13852">
      <c r="H13852" t="s">
        <v>5117</v>
      </c>
    </row>
    <row r="13853">
      <c r="H13853" t="s">
        <v>5117</v>
      </c>
    </row>
    <row r="13854">
      <c r="H13854" t="s">
        <v>5117</v>
      </c>
    </row>
    <row r="13855">
      <c r="H13855" t="s">
        <v>5117</v>
      </c>
    </row>
    <row r="13856">
      <c r="H13856" t="s">
        <v>5117</v>
      </c>
    </row>
    <row r="13857">
      <c r="H13857" t="s">
        <v>5117</v>
      </c>
    </row>
    <row r="13858">
      <c r="H13858" t="s">
        <v>5117</v>
      </c>
    </row>
    <row r="13859">
      <c r="H13859" t="s">
        <v>5117</v>
      </c>
    </row>
    <row r="13860">
      <c r="H13860" t="s">
        <v>5117</v>
      </c>
    </row>
    <row r="13861">
      <c r="H13861" t="s">
        <v>5117</v>
      </c>
    </row>
    <row r="13862">
      <c r="H13862" t="s">
        <v>5117</v>
      </c>
    </row>
    <row r="13863">
      <c r="H13863" t="s">
        <v>5117</v>
      </c>
    </row>
    <row r="13864">
      <c r="H13864" t="s">
        <v>5117</v>
      </c>
    </row>
    <row r="13865">
      <c r="H13865" t="s">
        <v>5117</v>
      </c>
    </row>
    <row r="13866">
      <c r="H13866" t="s">
        <v>5117</v>
      </c>
    </row>
    <row r="13867">
      <c r="H13867" t="s">
        <v>5117</v>
      </c>
    </row>
    <row r="13868">
      <c r="H13868" t="s">
        <v>5117</v>
      </c>
    </row>
    <row r="13869">
      <c r="H13869" t="s">
        <v>5117</v>
      </c>
    </row>
    <row r="13870">
      <c r="H13870" t="s">
        <v>5117</v>
      </c>
    </row>
    <row r="13871">
      <c r="H13871" t="s">
        <v>5117</v>
      </c>
    </row>
    <row r="13872">
      <c r="H13872" t="s">
        <v>5117</v>
      </c>
    </row>
    <row r="13873">
      <c r="H13873" t="s">
        <v>5117</v>
      </c>
    </row>
    <row r="13874">
      <c r="H13874" t="s">
        <v>5117</v>
      </c>
    </row>
    <row r="13875">
      <c r="H13875" t="s">
        <v>5117</v>
      </c>
    </row>
    <row r="13876">
      <c r="H13876" t="s">
        <v>5117</v>
      </c>
    </row>
    <row r="13877">
      <c r="H13877" t="s">
        <v>5117</v>
      </c>
    </row>
    <row r="13878">
      <c r="H13878" t="s">
        <v>5117</v>
      </c>
    </row>
    <row r="13879">
      <c r="H13879" t="s">
        <v>5117</v>
      </c>
    </row>
    <row r="13880">
      <c r="H13880" t="s">
        <v>5117</v>
      </c>
    </row>
    <row r="13881">
      <c r="H13881" t="s">
        <v>5117</v>
      </c>
    </row>
    <row r="13882">
      <c r="H13882" t="s">
        <v>5117</v>
      </c>
    </row>
    <row r="13883">
      <c r="H13883" t="s">
        <v>5117</v>
      </c>
    </row>
    <row r="13884">
      <c r="H13884" t="s">
        <v>5117</v>
      </c>
    </row>
    <row r="13885">
      <c r="H13885" t="s">
        <v>5117</v>
      </c>
    </row>
    <row r="13886">
      <c r="H13886" t="s">
        <v>5117</v>
      </c>
    </row>
    <row r="13887">
      <c r="H13887" t="s">
        <v>5117</v>
      </c>
    </row>
    <row r="13888">
      <c r="H13888" t="s">
        <v>5117</v>
      </c>
    </row>
    <row r="13889">
      <c r="H13889" t="s">
        <v>5117</v>
      </c>
    </row>
    <row r="13890">
      <c r="H13890" t="s">
        <v>5117</v>
      </c>
    </row>
    <row r="13891">
      <c r="H13891" t="s">
        <v>5117</v>
      </c>
    </row>
    <row r="13892">
      <c r="H13892" t="s">
        <v>5117</v>
      </c>
    </row>
    <row r="13893">
      <c r="H13893" t="s">
        <v>5117</v>
      </c>
    </row>
    <row r="13894">
      <c r="H13894" t="s">
        <v>5117</v>
      </c>
    </row>
    <row r="13895">
      <c r="H13895" t="s">
        <v>5117</v>
      </c>
    </row>
    <row r="13896">
      <c r="H13896" t="s">
        <v>5117</v>
      </c>
    </row>
    <row r="13897">
      <c r="H13897" t="s">
        <v>5117</v>
      </c>
    </row>
    <row r="13898">
      <c r="H13898" t="s">
        <v>5117</v>
      </c>
    </row>
    <row r="13899">
      <c r="H13899" t="s">
        <v>5117</v>
      </c>
    </row>
    <row r="13900">
      <c r="H13900" t="s">
        <v>5117</v>
      </c>
    </row>
    <row r="13901">
      <c r="H13901" t="s">
        <v>5117</v>
      </c>
    </row>
    <row r="13902">
      <c r="H13902" t="s">
        <v>5117</v>
      </c>
    </row>
    <row r="13903">
      <c r="H13903" t="s">
        <v>5117</v>
      </c>
    </row>
    <row r="13904">
      <c r="H13904" t="s">
        <v>5117</v>
      </c>
    </row>
    <row r="13905">
      <c r="H13905" t="s">
        <v>5117</v>
      </c>
    </row>
    <row r="13906">
      <c r="H13906" t="s">
        <v>5117</v>
      </c>
    </row>
    <row r="13907">
      <c r="H13907" t="s">
        <v>5117</v>
      </c>
    </row>
    <row r="13908">
      <c r="H13908" t="s">
        <v>5117</v>
      </c>
    </row>
    <row r="13909">
      <c r="H13909" t="s">
        <v>5117</v>
      </c>
    </row>
    <row r="13910">
      <c r="H13910" t="s">
        <v>5117</v>
      </c>
    </row>
    <row r="13911">
      <c r="H13911" t="s">
        <v>5117</v>
      </c>
    </row>
    <row r="13912">
      <c r="H13912" t="s">
        <v>5117</v>
      </c>
    </row>
    <row r="13913">
      <c r="H13913" t="s">
        <v>5117</v>
      </c>
    </row>
    <row r="13914">
      <c r="H13914" t="s">
        <v>5117</v>
      </c>
    </row>
    <row r="13915">
      <c r="H13915" t="s">
        <v>5117</v>
      </c>
    </row>
    <row r="13916">
      <c r="H13916" t="s">
        <v>5117</v>
      </c>
    </row>
    <row r="13917">
      <c r="H13917" t="s">
        <v>5117</v>
      </c>
    </row>
    <row r="13918">
      <c r="H13918" t="s">
        <v>5117</v>
      </c>
    </row>
    <row r="13919">
      <c r="H13919" t="s">
        <v>5117</v>
      </c>
    </row>
    <row r="13920">
      <c r="H13920" t="s">
        <v>5117</v>
      </c>
    </row>
    <row r="13921">
      <c r="H13921" t="s">
        <v>5117</v>
      </c>
    </row>
    <row r="13922">
      <c r="H13922" t="s">
        <v>5117</v>
      </c>
    </row>
    <row r="13923">
      <c r="H13923" t="s">
        <v>5117</v>
      </c>
    </row>
    <row r="13924">
      <c r="H13924" t="s">
        <v>5117</v>
      </c>
    </row>
    <row r="13925">
      <c r="H13925" t="s">
        <v>5117</v>
      </c>
    </row>
    <row r="13926">
      <c r="H13926" t="s">
        <v>5117</v>
      </c>
    </row>
    <row r="13927">
      <c r="H13927" t="s">
        <v>5117</v>
      </c>
    </row>
    <row r="13928">
      <c r="H13928" t="s">
        <v>5117</v>
      </c>
    </row>
    <row r="13929">
      <c r="H13929" t="s">
        <v>5117</v>
      </c>
    </row>
    <row r="13930">
      <c r="H13930" t="s">
        <v>5117</v>
      </c>
    </row>
    <row r="13931">
      <c r="H13931" t="s">
        <v>5117</v>
      </c>
    </row>
    <row r="13932">
      <c r="H13932" t="s">
        <v>5117</v>
      </c>
    </row>
    <row r="13933">
      <c r="H13933" t="s">
        <v>5117</v>
      </c>
    </row>
    <row r="13934">
      <c r="H13934" t="s">
        <v>5117</v>
      </c>
    </row>
    <row r="13935">
      <c r="H13935" t="s">
        <v>5117</v>
      </c>
    </row>
    <row r="13936">
      <c r="H13936" t="s">
        <v>5117</v>
      </c>
    </row>
    <row r="13937">
      <c r="H13937" t="s">
        <v>5117</v>
      </c>
    </row>
    <row r="13938">
      <c r="H13938" t="s">
        <v>5117</v>
      </c>
    </row>
    <row r="13939">
      <c r="H13939" t="s">
        <v>5117</v>
      </c>
    </row>
    <row r="13940">
      <c r="H13940" t="s">
        <v>5117</v>
      </c>
    </row>
    <row r="13941">
      <c r="H13941" t="s">
        <v>5117</v>
      </c>
    </row>
    <row r="13942">
      <c r="H13942" t="s">
        <v>5117</v>
      </c>
    </row>
    <row r="13943">
      <c r="H13943" t="s">
        <v>5117</v>
      </c>
    </row>
    <row r="13944">
      <c r="H13944" t="s">
        <v>5117</v>
      </c>
    </row>
    <row r="13945">
      <c r="H13945" t="s">
        <v>5117</v>
      </c>
    </row>
    <row r="13946">
      <c r="H13946" t="s">
        <v>5117</v>
      </c>
    </row>
    <row r="13947">
      <c r="H13947" t="s">
        <v>5117</v>
      </c>
    </row>
    <row r="13948">
      <c r="H13948" t="s">
        <v>5117</v>
      </c>
    </row>
    <row r="13949">
      <c r="H13949" t="s">
        <v>5117</v>
      </c>
    </row>
    <row r="13950">
      <c r="H13950" t="s">
        <v>5117</v>
      </c>
    </row>
    <row r="13951">
      <c r="H13951" t="s">
        <v>5117</v>
      </c>
    </row>
    <row r="13952">
      <c r="H13952" t="s">
        <v>5117</v>
      </c>
    </row>
    <row r="13953">
      <c r="H13953" t="s">
        <v>5117</v>
      </c>
    </row>
    <row r="13954">
      <c r="H13954" t="s">
        <v>5117</v>
      </c>
    </row>
    <row r="13955">
      <c r="H13955" t="s">
        <v>5117</v>
      </c>
    </row>
    <row r="13956">
      <c r="H13956" t="s">
        <v>5117</v>
      </c>
    </row>
    <row r="13957">
      <c r="H13957" t="s">
        <v>5117</v>
      </c>
    </row>
    <row r="13958">
      <c r="H13958" t="s">
        <v>5117</v>
      </c>
    </row>
    <row r="13959">
      <c r="H13959" t="s">
        <v>5117</v>
      </c>
    </row>
    <row r="13960">
      <c r="H13960" t="s">
        <v>5117</v>
      </c>
    </row>
    <row r="13961">
      <c r="H13961" t="s">
        <v>5117</v>
      </c>
    </row>
    <row r="13962">
      <c r="H13962" t="s">
        <v>5117</v>
      </c>
    </row>
    <row r="13963">
      <c r="H13963" t="s">
        <v>5117</v>
      </c>
    </row>
    <row r="13964">
      <c r="H13964" t="s">
        <v>5117</v>
      </c>
    </row>
    <row r="13965">
      <c r="H13965" t="s">
        <v>5117</v>
      </c>
    </row>
    <row r="13966">
      <c r="H13966" t="s">
        <v>5117</v>
      </c>
    </row>
    <row r="13967">
      <c r="H13967" t="s">
        <v>5117</v>
      </c>
    </row>
    <row r="13968">
      <c r="H13968" t="s">
        <v>5117</v>
      </c>
    </row>
    <row r="13969">
      <c r="H13969" t="s">
        <v>5117</v>
      </c>
    </row>
    <row r="13970">
      <c r="H13970" t="s">
        <v>5117</v>
      </c>
    </row>
    <row r="13971">
      <c r="H13971" t="s">
        <v>5117</v>
      </c>
    </row>
    <row r="13972">
      <c r="H13972" t="s">
        <v>5117</v>
      </c>
    </row>
    <row r="13973">
      <c r="H13973" t="s">
        <v>5117</v>
      </c>
    </row>
    <row r="13974">
      <c r="H13974" t="s">
        <v>5117</v>
      </c>
    </row>
    <row r="13975">
      <c r="H13975" t="s">
        <v>5117</v>
      </c>
    </row>
    <row r="13976">
      <c r="H13976" t="s">
        <v>5117</v>
      </c>
    </row>
    <row r="13977">
      <c r="H13977" t="s">
        <v>5117</v>
      </c>
    </row>
    <row r="13978">
      <c r="H13978" t="s">
        <v>5117</v>
      </c>
    </row>
    <row r="13979">
      <c r="H13979" t="s">
        <v>5117</v>
      </c>
    </row>
    <row r="13980">
      <c r="H13980" t="s">
        <v>5117</v>
      </c>
    </row>
    <row r="13981">
      <c r="H13981" t="s">
        <v>5117</v>
      </c>
    </row>
    <row r="13982">
      <c r="H13982" t="s">
        <v>5117</v>
      </c>
    </row>
    <row r="13983">
      <c r="H13983" t="s">
        <v>5117</v>
      </c>
    </row>
    <row r="13984">
      <c r="H13984" t="s">
        <v>5117</v>
      </c>
    </row>
    <row r="13985">
      <c r="H13985" t="s">
        <v>5117</v>
      </c>
    </row>
    <row r="13986">
      <c r="H13986" t="s">
        <v>5117</v>
      </c>
    </row>
    <row r="13987">
      <c r="H13987" t="s">
        <v>5117</v>
      </c>
    </row>
    <row r="13988">
      <c r="H13988" t="s">
        <v>5117</v>
      </c>
    </row>
    <row r="13989">
      <c r="H13989" t="s">
        <v>5117</v>
      </c>
    </row>
    <row r="13990">
      <c r="H13990" t="s">
        <v>5117</v>
      </c>
    </row>
    <row r="13991">
      <c r="H13991" t="s">
        <v>5117</v>
      </c>
    </row>
    <row r="13992">
      <c r="H13992" t="s">
        <v>5117</v>
      </c>
    </row>
    <row r="13993">
      <c r="H13993" t="s">
        <v>5117</v>
      </c>
    </row>
    <row r="13994">
      <c r="H13994" t="s">
        <v>5117</v>
      </c>
    </row>
    <row r="13995">
      <c r="H13995" t="s">
        <v>5117</v>
      </c>
    </row>
    <row r="13996">
      <c r="H13996" t="s">
        <v>5117</v>
      </c>
    </row>
    <row r="13997">
      <c r="H13997" t="s">
        <v>5117</v>
      </c>
    </row>
    <row r="13998">
      <c r="H13998" t="s">
        <v>5117</v>
      </c>
    </row>
    <row r="13999">
      <c r="H13999" t="s">
        <v>5117</v>
      </c>
    </row>
    <row r="14000">
      <c r="H14000" t="s">
        <v>5117</v>
      </c>
    </row>
    <row r="14001">
      <c r="H14001" t="s">
        <v>5117</v>
      </c>
    </row>
    <row r="14002">
      <c r="H14002" t="s">
        <v>5117</v>
      </c>
    </row>
    <row r="14003">
      <c r="H14003" t="s">
        <v>5117</v>
      </c>
    </row>
    <row r="14004">
      <c r="H14004" t="s">
        <v>5117</v>
      </c>
    </row>
    <row r="14005">
      <c r="H14005" t="s">
        <v>5117</v>
      </c>
    </row>
    <row r="14006">
      <c r="H14006" t="s">
        <v>5117</v>
      </c>
    </row>
    <row r="14007">
      <c r="H14007" t="s">
        <v>5117</v>
      </c>
    </row>
    <row r="14008">
      <c r="H14008" t="s">
        <v>5117</v>
      </c>
    </row>
    <row r="14009">
      <c r="H14009" t="s">
        <v>5117</v>
      </c>
    </row>
    <row r="14010">
      <c r="H14010" t="s">
        <v>5117</v>
      </c>
    </row>
    <row r="14011">
      <c r="H14011" t="s">
        <v>5117</v>
      </c>
    </row>
    <row r="14012">
      <c r="H14012" t="s">
        <v>5117</v>
      </c>
    </row>
    <row r="14013">
      <c r="H14013" t="s">
        <v>5117</v>
      </c>
    </row>
    <row r="14014">
      <c r="H14014" t="s">
        <v>5117</v>
      </c>
    </row>
    <row r="14015">
      <c r="H14015" t="s">
        <v>5117</v>
      </c>
    </row>
    <row r="14016">
      <c r="H14016" t="s">
        <v>5117</v>
      </c>
    </row>
    <row r="14017">
      <c r="H14017" t="s">
        <v>5117</v>
      </c>
    </row>
    <row r="14018">
      <c r="H14018" t="s">
        <v>5117</v>
      </c>
    </row>
    <row r="14019">
      <c r="H14019" t="s">
        <v>5117</v>
      </c>
    </row>
    <row r="14020">
      <c r="H14020" t="s">
        <v>5117</v>
      </c>
    </row>
    <row r="14021">
      <c r="H14021" t="s">
        <v>5117</v>
      </c>
    </row>
    <row r="14022">
      <c r="H14022" t="s">
        <v>5117</v>
      </c>
    </row>
    <row r="14023">
      <c r="H14023" t="s">
        <v>5117</v>
      </c>
    </row>
    <row r="14024">
      <c r="H14024" t="s">
        <v>5117</v>
      </c>
    </row>
    <row r="14025">
      <c r="H14025" t="s">
        <v>5117</v>
      </c>
    </row>
    <row r="14026">
      <c r="H14026" t="s">
        <v>5117</v>
      </c>
    </row>
    <row r="14027">
      <c r="H14027" t="s">
        <v>5117</v>
      </c>
    </row>
    <row r="14028">
      <c r="H14028" t="s">
        <v>5117</v>
      </c>
    </row>
    <row r="14029">
      <c r="H14029" t="s">
        <v>5117</v>
      </c>
    </row>
    <row r="14030">
      <c r="H14030" t="s">
        <v>5117</v>
      </c>
    </row>
    <row r="14031">
      <c r="H14031" t="s">
        <v>5117</v>
      </c>
    </row>
    <row r="14032">
      <c r="H14032" t="s">
        <v>5117</v>
      </c>
    </row>
    <row r="14033">
      <c r="H14033" t="s">
        <v>5117</v>
      </c>
    </row>
    <row r="14034">
      <c r="H14034" t="s">
        <v>5117</v>
      </c>
    </row>
    <row r="14035">
      <c r="H14035" t="s">
        <v>5117</v>
      </c>
    </row>
    <row r="14036">
      <c r="H14036" t="s">
        <v>5117</v>
      </c>
    </row>
    <row r="14037">
      <c r="H14037" t="s">
        <v>5117</v>
      </c>
    </row>
    <row r="14038">
      <c r="H14038" t="s">
        <v>5117</v>
      </c>
    </row>
    <row r="14039">
      <c r="H14039" t="s">
        <v>5117</v>
      </c>
    </row>
    <row r="14040">
      <c r="H14040" t="s">
        <v>5117</v>
      </c>
    </row>
    <row r="14041">
      <c r="H14041" t="s">
        <v>5117</v>
      </c>
    </row>
    <row r="14042">
      <c r="H14042" t="s">
        <v>5117</v>
      </c>
    </row>
    <row r="14043">
      <c r="H14043" t="s">
        <v>5117</v>
      </c>
    </row>
    <row r="14044">
      <c r="H14044" t="s">
        <v>5117</v>
      </c>
    </row>
    <row r="14045">
      <c r="H14045" t="s">
        <v>5117</v>
      </c>
    </row>
    <row r="14046">
      <c r="H14046" t="s">
        <v>5117</v>
      </c>
    </row>
    <row r="14047">
      <c r="H14047" t="s">
        <v>5117</v>
      </c>
    </row>
    <row r="14048">
      <c r="H14048" t="s">
        <v>5117</v>
      </c>
    </row>
    <row r="14049">
      <c r="H14049" t="s">
        <v>5117</v>
      </c>
    </row>
    <row r="14050">
      <c r="H14050" t="s">
        <v>5117</v>
      </c>
    </row>
    <row r="14051">
      <c r="H14051" t="s">
        <v>5117</v>
      </c>
    </row>
    <row r="14052">
      <c r="H14052" t="s">
        <v>5117</v>
      </c>
    </row>
    <row r="14053">
      <c r="H14053" t="s">
        <v>5117</v>
      </c>
    </row>
    <row r="14054">
      <c r="H14054" t="s">
        <v>5117</v>
      </c>
    </row>
    <row r="14055">
      <c r="H14055" t="s">
        <v>5117</v>
      </c>
    </row>
    <row r="14056">
      <c r="H14056" t="s">
        <v>5117</v>
      </c>
    </row>
    <row r="14057">
      <c r="H14057" t="s">
        <v>5117</v>
      </c>
    </row>
    <row r="14058">
      <c r="H14058" t="s">
        <v>5117</v>
      </c>
    </row>
    <row r="14059">
      <c r="H14059" t="s">
        <v>5117</v>
      </c>
    </row>
    <row r="14060">
      <c r="H14060" t="s">
        <v>5117</v>
      </c>
    </row>
    <row r="14061">
      <c r="H14061" t="s">
        <v>5117</v>
      </c>
    </row>
    <row r="14062">
      <c r="H14062" t="s">
        <v>5117</v>
      </c>
    </row>
    <row r="14063">
      <c r="H14063" t="s">
        <v>5117</v>
      </c>
    </row>
    <row r="14064">
      <c r="H14064" t="s">
        <v>5117</v>
      </c>
    </row>
    <row r="14065">
      <c r="H14065" t="s">
        <v>5117</v>
      </c>
    </row>
    <row r="14066">
      <c r="H14066" t="s">
        <v>5117</v>
      </c>
    </row>
    <row r="14067">
      <c r="H14067" t="s">
        <v>5117</v>
      </c>
    </row>
    <row r="14068">
      <c r="H14068" t="s">
        <v>5117</v>
      </c>
    </row>
    <row r="14069">
      <c r="H14069" t="s">
        <v>5117</v>
      </c>
    </row>
    <row r="14070">
      <c r="H14070" t="s">
        <v>5117</v>
      </c>
    </row>
    <row r="14071">
      <c r="H14071" t="s">
        <v>5117</v>
      </c>
    </row>
    <row r="14072">
      <c r="H14072" t="s">
        <v>5117</v>
      </c>
    </row>
    <row r="14073">
      <c r="H14073" t="s">
        <v>5117</v>
      </c>
    </row>
    <row r="14074">
      <c r="H14074" t="s">
        <v>5117</v>
      </c>
    </row>
    <row r="14075">
      <c r="H14075" t="s">
        <v>5117</v>
      </c>
    </row>
    <row r="14076">
      <c r="H14076" t="s">
        <v>5117</v>
      </c>
    </row>
    <row r="14077">
      <c r="H14077" t="s">
        <v>5117</v>
      </c>
    </row>
    <row r="14078">
      <c r="H14078" t="s">
        <v>5117</v>
      </c>
    </row>
    <row r="14079">
      <c r="H14079" t="s">
        <v>5117</v>
      </c>
    </row>
    <row r="14080">
      <c r="H14080" t="s">
        <v>5117</v>
      </c>
    </row>
    <row r="14081">
      <c r="H14081" t="s">
        <v>5117</v>
      </c>
    </row>
    <row r="14082">
      <c r="H14082" t="s">
        <v>5117</v>
      </c>
    </row>
    <row r="14083">
      <c r="H14083" t="s">
        <v>5117</v>
      </c>
    </row>
    <row r="14084">
      <c r="H14084" t="s">
        <v>5117</v>
      </c>
    </row>
    <row r="14085">
      <c r="H14085" t="s">
        <v>5117</v>
      </c>
    </row>
    <row r="14086">
      <c r="H14086" t="s">
        <v>5117</v>
      </c>
    </row>
    <row r="14087">
      <c r="H14087" t="s">
        <v>5117</v>
      </c>
    </row>
    <row r="14088">
      <c r="H14088" t="s">
        <v>5117</v>
      </c>
    </row>
    <row r="14089">
      <c r="H14089" t="s">
        <v>5117</v>
      </c>
    </row>
    <row r="14090">
      <c r="H14090" t="s">
        <v>5117</v>
      </c>
    </row>
    <row r="14091">
      <c r="H14091" t="s">
        <v>5117</v>
      </c>
    </row>
    <row r="14092">
      <c r="H14092" t="s">
        <v>5117</v>
      </c>
    </row>
    <row r="14093">
      <c r="H14093" t="s">
        <v>5117</v>
      </c>
    </row>
    <row r="14094">
      <c r="H14094" t="s">
        <v>5117</v>
      </c>
    </row>
    <row r="14095">
      <c r="H14095" t="s">
        <v>5117</v>
      </c>
    </row>
    <row r="14096">
      <c r="H14096" t="s">
        <v>5117</v>
      </c>
    </row>
    <row r="14097">
      <c r="H14097" t="s">
        <v>5117</v>
      </c>
    </row>
    <row r="14098">
      <c r="H14098" t="s">
        <v>5117</v>
      </c>
    </row>
    <row r="14099">
      <c r="H14099" t="s">
        <v>5117</v>
      </c>
    </row>
    <row r="14100">
      <c r="H14100" t="s">
        <v>5117</v>
      </c>
    </row>
    <row r="14101">
      <c r="H14101" t="s">
        <v>5117</v>
      </c>
    </row>
    <row r="14102">
      <c r="H14102" t="s">
        <v>5117</v>
      </c>
    </row>
    <row r="14103">
      <c r="H14103" t="s">
        <v>5117</v>
      </c>
    </row>
    <row r="14104">
      <c r="H14104" t="s">
        <v>5117</v>
      </c>
    </row>
    <row r="14105">
      <c r="H14105" t="s">
        <v>5117</v>
      </c>
    </row>
    <row r="14106">
      <c r="H14106" t="s">
        <v>5117</v>
      </c>
    </row>
    <row r="14107">
      <c r="H14107" t="s">
        <v>5117</v>
      </c>
    </row>
    <row r="14108">
      <c r="H14108" t="s">
        <v>5117</v>
      </c>
    </row>
    <row r="14109">
      <c r="H14109" t="s">
        <v>5117</v>
      </c>
    </row>
    <row r="14110">
      <c r="H14110" t="s">
        <v>5117</v>
      </c>
    </row>
    <row r="14111">
      <c r="H14111" t="s">
        <v>5117</v>
      </c>
    </row>
    <row r="14112">
      <c r="H14112" t="s">
        <v>5117</v>
      </c>
    </row>
    <row r="14113">
      <c r="H14113" t="s">
        <v>5117</v>
      </c>
    </row>
    <row r="14114">
      <c r="H14114" t="s">
        <v>5117</v>
      </c>
    </row>
    <row r="14115">
      <c r="H14115" t="s">
        <v>5117</v>
      </c>
    </row>
    <row r="14116">
      <c r="H14116" t="s">
        <v>5117</v>
      </c>
    </row>
    <row r="14117">
      <c r="H14117" t="s">
        <v>5117</v>
      </c>
    </row>
    <row r="14118">
      <c r="H14118" t="s">
        <v>5117</v>
      </c>
    </row>
    <row r="14119">
      <c r="H14119" t="s">
        <v>5117</v>
      </c>
    </row>
    <row r="14120">
      <c r="H14120" t="s">
        <v>5117</v>
      </c>
    </row>
    <row r="14121">
      <c r="H14121" t="s">
        <v>5117</v>
      </c>
    </row>
    <row r="14122">
      <c r="H14122" t="s">
        <v>5117</v>
      </c>
    </row>
    <row r="14123">
      <c r="H14123" t="s">
        <v>5117</v>
      </c>
    </row>
    <row r="14124">
      <c r="H14124" t="s">
        <v>5117</v>
      </c>
    </row>
    <row r="14125">
      <c r="H14125" t="s">
        <v>5117</v>
      </c>
    </row>
    <row r="14126">
      <c r="H14126" t="s">
        <v>5117</v>
      </c>
    </row>
    <row r="14127">
      <c r="H14127" t="s">
        <v>5117</v>
      </c>
    </row>
    <row r="14128">
      <c r="H14128" t="s">
        <v>5117</v>
      </c>
    </row>
    <row r="14129">
      <c r="H14129" t="s">
        <v>5117</v>
      </c>
    </row>
    <row r="14130">
      <c r="H14130" t="s">
        <v>5117</v>
      </c>
    </row>
    <row r="14131">
      <c r="H14131" t="s">
        <v>5117</v>
      </c>
    </row>
    <row r="14132">
      <c r="H14132" t="s">
        <v>5117</v>
      </c>
    </row>
    <row r="14133">
      <c r="H14133" t="s">
        <v>5117</v>
      </c>
    </row>
    <row r="14134">
      <c r="H14134" t="s">
        <v>5117</v>
      </c>
    </row>
    <row r="14135">
      <c r="H14135" t="s">
        <v>5117</v>
      </c>
    </row>
    <row r="14136">
      <c r="H14136" t="s">
        <v>5117</v>
      </c>
    </row>
    <row r="14137">
      <c r="H14137" t="s">
        <v>5117</v>
      </c>
    </row>
    <row r="14138">
      <c r="H14138" t="s">
        <v>5117</v>
      </c>
    </row>
    <row r="14139">
      <c r="H14139" t="s">
        <v>5117</v>
      </c>
    </row>
    <row r="14140">
      <c r="H14140" t="s">
        <v>5117</v>
      </c>
    </row>
    <row r="14141">
      <c r="H14141" t="s">
        <v>5117</v>
      </c>
    </row>
    <row r="14142">
      <c r="H14142" t="s">
        <v>5117</v>
      </c>
    </row>
    <row r="14143">
      <c r="H14143" t="s">
        <v>5117</v>
      </c>
    </row>
    <row r="14144">
      <c r="H14144" t="s">
        <v>5117</v>
      </c>
    </row>
    <row r="14145">
      <c r="H14145" t="s">
        <v>5117</v>
      </c>
    </row>
    <row r="14146">
      <c r="H14146" t="s">
        <v>5117</v>
      </c>
    </row>
    <row r="14147">
      <c r="H14147" t="s">
        <v>5117</v>
      </c>
    </row>
    <row r="14148">
      <c r="H14148" t="s">
        <v>5117</v>
      </c>
    </row>
    <row r="14149">
      <c r="H14149" t="s">
        <v>5117</v>
      </c>
    </row>
    <row r="14150">
      <c r="H14150" t="s">
        <v>5117</v>
      </c>
    </row>
    <row r="14151">
      <c r="H14151" t="s">
        <v>5117</v>
      </c>
    </row>
    <row r="14152">
      <c r="H14152" t="s">
        <v>5117</v>
      </c>
    </row>
    <row r="14153">
      <c r="H14153" t="s">
        <v>5117</v>
      </c>
    </row>
    <row r="14154">
      <c r="H14154" t="s">
        <v>5117</v>
      </c>
    </row>
    <row r="14155">
      <c r="H14155" t="s">
        <v>5117</v>
      </c>
    </row>
    <row r="14156">
      <c r="H14156" t="s">
        <v>5117</v>
      </c>
    </row>
    <row r="14157">
      <c r="H14157" t="s">
        <v>5117</v>
      </c>
    </row>
    <row r="14158">
      <c r="H14158" t="s">
        <v>5117</v>
      </c>
    </row>
    <row r="14159">
      <c r="H14159" t="s">
        <v>5117</v>
      </c>
    </row>
    <row r="14160">
      <c r="H14160" t="s">
        <v>5117</v>
      </c>
    </row>
    <row r="14161">
      <c r="H14161" t="s">
        <v>5117</v>
      </c>
    </row>
    <row r="14162">
      <c r="H14162" t="s">
        <v>5117</v>
      </c>
    </row>
    <row r="14163">
      <c r="H14163" t="s">
        <v>5117</v>
      </c>
    </row>
    <row r="14164">
      <c r="H14164" t="s">
        <v>5117</v>
      </c>
    </row>
    <row r="14165">
      <c r="H14165" t="s">
        <v>5117</v>
      </c>
    </row>
    <row r="14166">
      <c r="H14166" t="s">
        <v>5117</v>
      </c>
    </row>
    <row r="14167">
      <c r="H14167" t="s">
        <v>5117</v>
      </c>
    </row>
    <row r="14168">
      <c r="H14168" t="s">
        <v>5117</v>
      </c>
    </row>
    <row r="14169">
      <c r="H14169" t="s">
        <v>5117</v>
      </c>
    </row>
    <row r="14170">
      <c r="H14170" t="s">
        <v>5117</v>
      </c>
    </row>
    <row r="14171">
      <c r="H14171" t="s">
        <v>5117</v>
      </c>
    </row>
    <row r="14172">
      <c r="H14172" t="s">
        <v>5117</v>
      </c>
    </row>
    <row r="14173">
      <c r="H14173" t="s">
        <v>5117</v>
      </c>
    </row>
    <row r="14174">
      <c r="H14174" t="s">
        <v>5117</v>
      </c>
    </row>
    <row r="14175">
      <c r="H14175" t="s">
        <v>5117</v>
      </c>
    </row>
    <row r="14176">
      <c r="H14176" t="s">
        <v>5117</v>
      </c>
    </row>
    <row r="14177">
      <c r="H14177" t="s">
        <v>5117</v>
      </c>
    </row>
    <row r="14178">
      <c r="H14178" t="s">
        <v>5117</v>
      </c>
    </row>
    <row r="14179">
      <c r="H14179" t="s">
        <v>5117</v>
      </c>
    </row>
    <row r="14180">
      <c r="H14180" t="s">
        <v>5117</v>
      </c>
    </row>
    <row r="14181">
      <c r="H14181" t="s">
        <v>5117</v>
      </c>
    </row>
    <row r="14182">
      <c r="H14182" t="s">
        <v>5117</v>
      </c>
    </row>
    <row r="14183">
      <c r="H14183" t="s">
        <v>5117</v>
      </c>
    </row>
    <row r="14184">
      <c r="H14184" t="s">
        <v>5117</v>
      </c>
    </row>
    <row r="14185">
      <c r="H14185" t="s">
        <v>5117</v>
      </c>
    </row>
    <row r="14186">
      <c r="H14186" t="s">
        <v>5117</v>
      </c>
    </row>
    <row r="14187">
      <c r="H14187" t="s">
        <v>5117</v>
      </c>
    </row>
    <row r="14188">
      <c r="H14188" t="s">
        <v>5117</v>
      </c>
    </row>
    <row r="14189">
      <c r="H14189" t="s">
        <v>5117</v>
      </c>
    </row>
    <row r="14190">
      <c r="H14190" t="s">
        <v>5117</v>
      </c>
    </row>
    <row r="14191">
      <c r="H14191" t="s">
        <v>5117</v>
      </c>
    </row>
    <row r="14192">
      <c r="H14192" t="s">
        <v>5117</v>
      </c>
    </row>
    <row r="14193">
      <c r="H14193" t="s">
        <v>5117</v>
      </c>
    </row>
    <row r="14194">
      <c r="H14194" t="s">
        <v>5117</v>
      </c>
    </row>
    <row r="14195">
      <c r="H14195" t="s">
        <v>5117</v>
      </c>
    </row>
    <row r="14196">
      <c r="H14196" t="s">
        <v>5117</v>
      </c>
    </row>
    <row r="14197">
      <c r="H14197" t="s">
        <v>5117</v>
      </c>
    </row>
    <row r="14198">
      <c r="H14198" t="s">
        <v>5117</v>
      </c>
    </row>
    <row r="14199">
      <c r="H14199" t="s">
        <v>5117</v>
      </c>
    </row>
    <row r="14200">
      <c r="H14200" t="s">
        <v>5117</v>
      </c>
    </row>
    <row r="14201">
      <c r="H14201" t="s">
        <v>5117</v>
      </c>
    </row>
    <row r="14202">
      <c r="H14202" t="s">
        <v>5117</v>
      </c>
    </row>
    <row r="14203">
      <c r="H14203" t="s">
        <v>5117</v>
      </c>
    </row>
    <row r="14204">
      <c r="H14204" t="s">
        <v>5117</v>
      </c>
    </row>
    <row r="14205">
      <c r="H14205" t="s">
        <v>5117</v>
      </c>
    </row>
    <row r="14206">
      <c r="H14206" t="s">
        <v>5117</v>
      </c>
    </row>
    <row r="14207">
      <c r="H14207" t="s">
        <v>5117</v>
      </c>
    </row>
    <row r="14208">
      <c r="H14208" t="s">
        <v>5117</v>
      </c>
    </row>
    <row r="14209">
      <c r="H14209" t="s">
        <v>5117</v>
      </c>
    </row>
    <row r="14210">
      <c r="H14210" t="s">
        <v>5117</v>
      </c>
    </row>
    <row r="14211">
      <c r="H14211" t="s">
        <v>5117</v>
      </c>
    </row>
    <row r="14212">
      <c r="H14212" t="s">
        <v>5117</v>
      </c>
    </row>
    <row r="14213">
      <c r="H14213" t="s">
        <v>5117</v>
      </c>
    </row>
    <row r="14214">
      <c r="H14214" t="s">
        <v>5117</v>
      </c>
    </row>
    <row r="14215">
      <c r="H14215" t="s">
        <v>5117</v>
      </c>
    </row>
    <row r="14216">
      <c r="H14216" t="s">
        <v>5117</v>
      </c>
    </row>
    <row r="14217">
      <c r="H14217" t="s">
        <v>5117</v>
      </c>
    </row>
    <row r="14218">
      <c r="H14218" t="s">
        <v>5117</v>
      </c>
    </row>
    <row r="14219">
      <c r="H14219" t="s">
        <v>5117</v>
      </c>
    </row>
    <row r="14220">
      <c r="H14220" t="s">
        <v>5117</v>
      </c>
    </row>
    <row r="14221">
      <c r="H14221" t="s">
        <v>5117</v>
      </c>
    </row>
    <row r="14222">
      <c r="H14222" t="s">
        <v>5117</v>
      </c>
    </row>
    <row r="14223">
      <c r="H14223" t="s">
        <v>5117</v>
      </c>
    </row>
    <row r="14224">
      <c r="H14224" t="s">
        <v>5117</v>
      </c>
    </row>
    <row r="14225">
      <c r="H14225" t="s">
        <v>5117</v>
      </c>
    </row>
    <row r="14226">
      <c r="H14226" t="s">
        <v>5117</v>
      </c>
    </row>
    <row r="14227">
      <c r="H14227" t="s">
        <v>5117</v>
      </c>
    </row>
    <row r="14228">
      <c r="H14228" t="s">
        <v>5117</v>
      </c>
    </row>
    <row r="14229">
      <c r="H14229" t="s">
        <v>5117</v>
      </c>
    </row>
    <row r="14230">
      <c r="H14230" t="s">
        <v>5117</v>
      </c>
    </row>
    <row r="14231">
      <c r="H14231" t="s">
        <v>5117</v>
      </c>
    </row>
    <row r="14232">
      <c r="H14232" t="s">
        <v>5117</v>
      </c>
    </row>
    <row r="14233">
      <c r="H14233" t="s">
        <v>5117</v>
      </c>
    </row>
    <row r="14234">
      <c r="H14234" t="s">
        <v>5117</v>
      </c>
    </row>
    <row r="14235">
      <c r="H14235" t="s">
        <v>5117</v>
      </c>
    </row>
    <row r="14236">
      <c r="H14236" t="s">
        <v>5117</v>
      </c>
    </row>
    <row r="14237">
      <c r="H14237" t="s">
        <v>5117</v>
      </c>
    </row>
    <row r="14238">
      <c r="H14238" t="s">
        <v>5117</v>
      </c>
    </row>
    <row r="14239">
      <c r="H14239" t="s">
        <v>5117</v>
      </c>
    </row>
    <row r="14240">
      <c r="H14240" t="s">
        <v>5117</v>
      </c>
    </row>
    <row r="14241">
      <c r="H14241" t="s">
        <v>5117</v>
      </c>
    </row>
    <row r="14242">
      <c r="H14242" t="s">
        <v>5117</v>
      </c>
    </row>
    <row r="14243">
      <c r="H14243" t="s">
        <v>5117</v>
      </c>
    </row>
    <row r="14244">
      <c r="H14244" t="s">
        <v>5117</v>
      </c>
    </row>
    <row r="14245">
      <c r="H14245" t="s">
        <v>5117</v>
      </c>
    </row>
    <row r="14246">
      <c r="H14246" t="s">
        <v>5117</v>
      </c>
    </row>
    <row r="14247">
      <c r="H14247" t="s">
        <v>5117</v>
      </c>
    </row>
    <row r="14248">
      <c r="H14248" t="s">
        <v>5117</v>
      </c>
    </row>
    <row r="14249">
      <c r="H14249" t="s">
        <v>5117</v>
      </c>
    </row>
    <row r="14250">
      <c r="H14250" t="s">
        <v>5117</v>
      </c>
    </row>
    <row r="14251">
      <c r="H14251" t="s">
        <v>5117</v>
      </c>
    </row>
    <row r="14252">
      <c r="H14252" t="s">
        <v>5117</v>
      </c>
    </row>
    <row r="14253">
      <c r="H14253" t="s">
        <v>5117</v>
      </c>
    </row>
    <row r="14254">
      <c r="H14254" t="s">
        <v>5117</v>
      </c>
    </row>
    <row r="14255">
      <c r="H14255" t="s">
        <v>5117</v>
      </c>
    </row>
    <row r="14256">
      <c r="H14256" t="s">
        <v>5117</v>
      </c>
    </row>
    <row r="14257">
      <c r="H14257" t="s">
        <v>5117</v>
      </c>
    </row>
    <row r="14258">
      <c r="H14258" t="s">
        <v>5117</v>
      </c>
    </row>
    <row r="14259">
      <c r="H14259" t="s">
        <v>5117</v>
      </c>
    </row>
    <row r="14260">
      <c r="H14260" t="s">
        <v>5117</v>
      </c>
    </row>
    <row r="14261">
      <c r="H14261" t="s">
        <v>5117</v>
      </c>
    </row>
    <row r="14262">
      <c r="H14262" t="s">
        <v>5117</v>
      </c>
    </row>
    <row r="14263">
      <c r="H14263" t="s">
        <v>5117</v>
      </c>
    </row>
    <row r="14264">
      <c r="H14264" t="s">
        <v>5117</v>
      </c>
    </row>
    <row r="14265">
      <c r="H14265" t="s">
        <v>5117</v>
      </c>
    </row>
    <row r="14266">
      <c r="H14266" t="s">
        <v>5117</v>
      </c>
    </row>
    <row r="14267">
      <c r="H14267" t="s">
        <v>5117</v>
      </c>
    </row>
    <row r="14268">
      <c r="H14268" t="s">
        <v>5117</v>
      </c>
    </row>
    <row r="14269">
      <c r="H14269" t="s">
        <v>5117</v>
      </c>
    </row>
    <row r="14270">
      <c r="H14270" t="s">
        <v>5117</v>
      </c>
    </row>
    <row r="14271">
      <c r="H14271" t="s">
        <v>5117</v>
      </c>
    </row>
    <row r="14272">
      <c r="H14272" t="s">
        <v>5117</v>
      </c>
    </row>
    <row r="14273">
      <c r="H14273" t="s">
        <v>5117</v>
      </c>
    </row>
    <row r="14274">
      <c r="H14274" t="s">
        <v>5117</v>
      </c>
    </row>
    <row r="14275">
      <c r="H14275" t="s">
        <v>5117</v>
      </c>
    </row>
    <row r="14276">
      <c r="H14276" t="s">
        <v>5117</v>
      </c>
    </row>
    <row r="14277">
      <c r="H14277" t="s">
        <v>5117</v>
      </c>
    </row>
    <row r="14278">
      <c r="H14278" t="s">
        <v>5117</v>
      </c>
    </row>
    <row r="14279">
      <c r="H14279" t="s">
        <v>5117</v>
      </c>
    </row>
    <row r="14280">
      <c r="H14280" t="s">
        <v>5117</v>
      </c>
    </row>
    <row r="14281">
      <c r="H14281" t="s">
        <v>5117</v>
      </c>
    </row>
    <row r="14282">
      <c r="H14282" t="s">
        <v>5117</v>
      </c>
    </row>
    <row r="14283">
      <c r="H14283" t="s">
        <v>5117</v>
      </c>
    </row>
    <row r="14284">
      <c r="H14284" t="s">
        <v>5117</v>
      </c>
    </row>
    <row r="14285">
      <c r="H14285" t="s">
        <v>5117</v>
      </c>
    </row>
    <row r="14286">
      <c r="H14286" t="s">
        <v>5117</v>
      </c>
    </row>
    <row r="14287">
      <c r="H14287" t="s">
        <v>5117</v>
      </c>
    </row>
    <row r="14288">
      <c r="H14288" t="s">
        <v>5117</v>
      </c>
    </row>
    <row r="14289">
      <c r="H14289" t="s">
        <v>5117</v>
      </c>
    </row>
    <row r="14290">
      <c r="H14290" t="s">
        <v>5117</v>
      </c>
    </row>
    <row r="14291">
      <c r="H14291" t="s">
        <v>5117</v>
      </c>
    </row>
    <row r="14292">
      <c r="H14292" t="s">
        <v>5117</v>
      </c>
    </row>
    <row r="14293">
      <c r="H14293" t="s">
        <v>5117</v>
      </c>
    </row>
    <row r="14294">
      <c r="H14294" t="s">
        <v>5117</v>
      </c>
    </row>
    <row r="14295">
      <c r="H14295" t="s">
        <v>5117</v>
      </c>
    </row>
    <row r="14296">
      <c r="H14296" t="s">
        <v>5117</v>
      </c>
    </row>
    <row r="14297">
      <c r="H14297" t="s">
        <v>5117</v>
      </c>
    </row>
    <row r="14298">
      <c r="H14298" t="s">
        <v>5117</v>
      </c>
    </row>
    <row r="14299">
      <c r="H14299" t="s">
        <v>5117</v>
      </c>
    </row>
    <row r="14300">
      <c r="H14300" t="s">
        <v>5117</v>
      </c>
    </row>
    <row r="14301">
      <c r="H14301" t="s">
        <v>5117</v>
      </c>
    </row>
    <row r="14302">
      <c r="H14302" t="s">
        <v>5117</v>
      </c>
    </row>
    <row r="14303">
      <c r="H14303" t="s">
        <v>5117</v>
      </c>
    </row>
    <row r="14304">
      <c r="H14304" t="s">
        <v>5117</v>
      </c>
    </row>
    <row r="14305">
      <c r="H14305" t="s">
        <v>5117</v>
      </c>
    </row>
    <row r="14306">
      <c r="H14306" t="s">
        <v>5117</v>
      </c>
    </row>
    <row r="14307">
      <c r="H14307" t="s">
        <v>5117</v>
      </c>
    </row>
    <row r="14308">
      <c r="H14308" t="s">
        <v>5117</v>
      </c>
    </row>
    <row r="14309">
      <c r="H14309" t="s">
        <v>5117</v>
      </c>
    </row>
    <row r="14310">
      <c r="H14310" t="s">
        <v>5117</v>
      </c>
    </row>
    <row r="14311">
      <c r="H14311" t="s">
        <v>5117</v>
      </c>
    </row>
    <row r="14312">
      <c r="H14312" t="s">
        <v>5117</v>
      </c>
    </row>
    <row r="14313">
      <c r="H14313" t="s">
        <v>5117</v>
      </c>
    </row>
    <row r="14314">
      <c r="H14314" t="s">
        <v>5117</v>
      </c>
    </row>
    <row r="14315">
      <c r="H14315" t="s">
        <v>5117</v>
      </c>
    </row>
    <row r="14316">
      <c r="H14316" t="s">
        <v>5117</v>
      </c>
    </row>
    <row r="14317">
      <c r="H14317" t="s">
        <v>5117</v>
      </c>
    </row>
    <row r="14318">
      <c r="H14318" t="s">
        <v>5117</v>
      </c>
    </row>
    <row r="14319">
      <c r="H14319" t="s">
        <v>5117</v>
      </c>
    </row>
    <row r="14320">
      <c r="H14320" t="s">
        <v>5117</v>
      </c>
    </row>
    <row r="14321">
      <c r="H14321" t="s">
        <v>5117</v>
      </c>
    </row>
    <row r="14322">
      <c r="H14322" t="s">
        <v>5117</v>
      </c>
    </row>
    <row r="14323">
      <c r="H14323" t="s">
        <v>5117</v>
      </c>
    </row>
    <row r="14324">
      <c r="H14324" t="s">
        <v>5117</v>
      </c>
    </row>
    <row r="14325">
      <c r="H14325" t="s">
        <v>5117</v>
      </c>
    </row>
    <row r="14326">
      <c r="H14326" t="s">
        <v>5117</v>
      </c>
    </row>
    <row r="14327">
      <c r="H14327" t="s">
        <v>5117</v>
      </c>
    </row>
    <row r="14328">
      <c r="H14328" t="s">
        <v>5117</v>
      </c>
    </row>
    <row r="14329">
      <c r="H14329" t="s">
        <v>5117</v>
      </c>
    </row>
    <row r="14330">
      <c r="H14330" t="s">
        <v>5117</v>
      </c>
    </row>
    <row r="14331">
      <c r="H14331" t="s">
        <v>5117</v>
      </c>
    </row>
    <row r="14332">
      <c r="H14332" t="s">
        <v>5117</v>
      </c>
    </row>
    <row r="14333">
      <c r="H14333" t="s">
        <v>5117</v>
      </c>
    </row>
    <row r="14334">
      <c r="H14334" t="s">
        <v>5117</v>
      </c>
    </row>
    <row r="14335">
      <c r="H14335" t="s">
        <v>5117</v>
      </c>
    </row>
    <row r="14336">
      <c r="H14336" t="s">
        <v>5117</v>
      </c>
    </row>
    <row r="14337">
      <c r="H14337" t="s">
        <v>5117</v>
      </c>
    </row>
    <row r="14338">
      <c r="H14338" t="s">
        <v>5117</v>
      </c>
    </row>
    <row r="14339">
      <c r="H14339" t="s">
        <v>5117</v>
      </c>
    </row>
    <row r="14340">
      <c r="H14340" t="s">
        <v>5117</v>
      </c>
    </row>
    <row r="14341">
      <c r="H14341" t="s">
        <v>5117</v>
      </c>
    </row>
    <row r="14342">
      <c r="H14342" t="s">
        <v>5117</v>
      </c>
    </row>
    <row r="14343">
      <c r="H14343" t="s">
        <v>5117</v>
      </c>
    </row>
    <row r="14344">
      <c r="H14344" t="s">
        <v>5117</v>
      </c>
    </row>
    <row r="14345">
      <c r="H14345" t="s">
        <v>5117</v>
      </c>
    </row>
    <row r="14346">
      <c r="H14346" t="s">
        <v>5117</v>
      </c>
    </row>
    <row r="14347">
      <c r="H14347" t="s">
        <v>5117</v>
      </c>
    </row>
    <row r="14348">
      <c r="H14348" t="s">
        <v>5117</v>
      </c>
    </row>
    <row r="14349">
      <c r="H14349" t="s">
        <v>5117</v>
      </c>
    </row>
    <row r="14350">
      <c r="H14350" t="s">
        <v>5117</v>
      </c>
    </row>
    <row r="14351">
      <c r="H14351" t="s">
        <v>5117</v>
      </c>
    </row>
    <row r="14352">
      <c r="H14352" t="s">
        <v>5117</v>
      </c>
    </row>
    <row r="14353">
      <c r="H14353" t="s">
        <v>5117</v>
      </c>
    </row>
    <row r="14354">
      <c r="H14354" t="s">
        <v>5117</v>
      </c>
    </row>
    <row r="14355">
      <c r="H14355" t="s">
        <v>5117</v>
      </c>
    </row>
    <row r="14356">
      <c r="H14356" t="s">
        <v>5117</v>
      </c>
    </row>
    <row r="14357">
      <c r="H14357" t="s">
        <v>5117</v>
      </c>
    </row>
    <row r="14358">
      <c r="H14358" t="s">
        <v>5117</v>
      </c>
    </row>
    <row r="14359">
      <c r="H14359" t="s">
        <v>5117</v>
      </c>
    </row>
    <row r="14360">
      <c r="H14360" t="s">
        <v>5117</v>
      </c>
    </row>
    <row r="14361">
      <c r="H14361" t="s">
        <v>5117</v>
      </c>
    </row>
    <row r="14362">
      <c r="H14362" t="s">
        <v>5117</v>
      </c>
    </row>
    <row r="14363">
      <c r="H14363" t="s">
        <v>5117</v>
      </c>
    </row>
    <row r="14364">
      <c r="H14364" t="s">
        <v>5117</v>
      </c>
    </row>
    <row r="14365">
      <c r="H14365" t="s">
        <v>5117</v>
      </c>
    </row>
    <row r="14366">
      <c r="H14366" t="s">
        <v>5117</v>
      </c>
    </row>
    <row r="14367">
      <c r="H14367" t="s">
        <v>5117</v>
      </c>
    </row>
    <row r="14368">
      <c r="H14368" t="s">
        <v>5117</v>
      </c>
    </row>
    <row r="14369">
      <c r="H14369" t="s">
        <v>5117</v>
      </c>
    </row>
    <row r="14370">
      <c r="H14370" t="s">
        <v>5117</v>
      </c>
    </row>
    <row r="14371">
      <c r="H14371" t="s">
        <v>5117</v>
      </c>
    </row>
    <row r="14372">
      <c r="H14372" t="s">
        <v>5117</v>
      </c>
    </row>
    <row r="14373">
      <c r="H14373" t="s">
        <v>5117</v>
      </c>
    </row>
    <row r="14374">
      <c r="H14374" t="s">
        <v>5117</v>
      </c>
    </row>
    <row r="14375">
      <c r="H14375" t="s">
        <v>5117</v>
      </c>
    </row>
    <row r="14376">
      <c r="H14376" t="s">
        <v>5117</v>
      </c>
    </row>
    <row r="14377">
      <c r="H14377" t="s">
        <v>5117</v>
      </c>
    </row>
    <row r="14378">
      <c r="H14378" t="s">
        <v>5117</v>
      </c>
    </row>
    <row r="14379">
      <c r="H14379" t="s">
        <v>5117</v>
      </c>
    </row>
    <row r="14380">
      <c r="H14380" t="s">
        <v>5117</v>
      </c>
    </row>
    <row r="14381">
      <c r="H14381" t="s">
        <v>5117</v>
      </c>
    </row>
    <row r="14382">
      <c r="H14382" t="s">
        <v>5117</v>
      </c>
    </row>
    <row r="14383">
      <c r="H14383" t="s">
        <v>5117</v>
      </c>
    </row>
    <row r="14384">
      <c r="H14384" t="s">
        <v>5117</v>
      </c>
    </row>
    <row r="14385">
      <c r="H14385" t="s">
        <v>5117</v>
      </c>
    </row>
    <row r="14386">
      <c r="H14386" t="s">
        <v>5117</v>
      </c>
    </row>
    <row r="14387">
      <c r="H14387" t="s">
        <v>5117</v>
      </c>
    </row>
    <row r="14388">
      <c r="H14388" t="s">
        <v>5117</v>
      </c>
    </row>
    <row r="14389">
      <c r="H14389" t="s">
        <v>5117</v>
      </c>
    </row>
    <row r="14390">
      <c r="H14390" t="s">
        <v>5117</v>
      </c>
    </row>
    <row r="14391">
      <c r="H14391" t="s">
        <v>5117</v>
      </c>
    </row>
    <row r="14392">
      <c r="H14392" t="s">
        <v>5117</v>
      </c>
    </row>
    <row r="14393">
      <c r="H14393" t="s">
        <v>5117</v>
      </c>
    </row>
    <row r="14394">
      <c r="H14394" t="s">
        <v>5117</v>
      </c>
    </row>
    <row r="14395">
      <c r="H14395" t="s">
        <v>5117</v>
      </c>
    </row>
    <row r="14396">
      <c r="H14396" t="s">
        <v>5117</v>
      </c>
    </row>
    <row r="14397">
      <c r="H14397" t="s">
        <v>5117</v>
      </c>
    </row>
    <row r="14398">
      <c r="H14398" t="s">
        <v>5117</v>
      </c>
    </row>
    <row r="14399">
      <c r="H14399" t="s">
        <v>5117</v>
      </c>
    </row>
    <row r="14400">
      <c r="H14400" t="s">
        <v>5117</v>
      </c>
    </row>
    <row r="14401">
      <c r="H14401" t="s">
        <v>5117</v>
      </c>
    </row>
    <row r="14402">
      <c r="H14402" t="s">
        <v>5117</v>
      </c>
    </row>
    <row r="14403">
      <c r="H14403" t="s">
        <v>5117</v>
      </c>
    </row>
    <row r="14404">
      <c r="H14404" t="s">
        <v>5117</v>
      </c>
    </row>
    <row r="14405">
      <c r="H14405" t="s">
        <v>5117</v>
      </c>
    </row>
    <row r="14406">
      <c r="H14406" t="s">
        <v>5117</v>
      </c>
    </row>
    <row r="14407">
      <c r="H14407" t="s">
        <v>5117</v>
      </c>
    </row>
    <row r="14408">
      <c r="H14408" t="s">
        <v>5117</v>
      </c>
    </row>
    <row r="14409">
      <c r="H14409" t="s">
        <v>5117</v>
      </c>
    </row>
    <row r="14410">
      <c r="H14410" t="s">
        <v>5117</v>
      </c>
    </row>
    <row r="14411">
      <c r="H14411" t="s">
        <v>5117</v>
      </c>
    </row>
    <row r="14412">
      <c r="H14412" t="s">
        <v>5117</v>
      </c>
    </row>
    <row r="14413">
      <c r="H14413" t="s">
        <v>5117</v>
      </c>
    </row>
    <row r="14414">
      <c r="H14414" t="s">
        <v>5117</v>
      </c>
    </row>
    <row r="14415">
      <c r="H14415" t="s">
        <v>5117</v>
      </c>
    </row>
    <row r="14416">
      <c r="H14416" t="s">
        <v>5117</v>
      </c>
    </row>
    <row r="14417">
      <c r="H14417" t="s">
        <v>5117</v>
      </c>
    </row>
    <row r="14418">
      <c r="H14418" t="s">
        <v>5117</v>
      </c>
    </row>
    <row r="14419">
      <c r="H14419" t="s">
        <v>5117</v>
      </c>
    </row>
    <row r="14420">
      <c r="H14420" t="s">
        <v>5117</v>
      </c>
    </row>
    <row r="14421">
      <c r="H14421" t="s">
        <v>5117</v>
      </c>
    </row>
    <row r="14422">
      <c r="H14422" t="s">
        <v>5117</v>
      </c>
    </row>
    <row r="14423">
      <c r="H14423" t="s">
        <v>5117</v>
      </c>
    </row>
    <row r="14424">
      <c r="H14424" t="s">
        <v>5117</v>
      </c>
    </row>
    <row r="14425">
      <c r="H14425" t="s">
        <v>5117</v>
      </c>
    </row>
    <row r="14426">
      <c r="H14426" t="s">
        <v>5117</v>
      </c>
    </row>
    <row r="14427">
      <c r="H14427" t="s">
        <v>5117</v>
      </c>
    </row>
    <row r="14428">
      <c r="H14428" t="s">
        <v>5117</v>
      </c>
    </row>
    <row r="14429">
      <c r="H14429" t="s">
        <v>5117</v>
      </c>
    </row>
    <row r="14430">
      <c r="H14430" t="s">
        <v>5117</v>
      </c>
    </row>
    <row r="14431">
      <c r="H14431" t="s">
        <v>5117</v>
      </c>
    </row>
    <row r="14432">
      <c r="H14432" t="s">
        <v>5117</v>
      </c>
    </row>
    <row r="14433">
      <c r="H14433" t="s">
        <v>5117</v>
      </c>
    </row>
    <row r="14434">
      <c r="H14434" t="s">
        <v>5117</v>
      </c>
    </row>
    <row r="14435">
      <c r="H14435" t="s">
        <v>5117</v>
      </c>
    </row>
    <row r="14436">
      <c r="H14436" t="s">
        <v>5117</v>
      </c>
    </row>
    <row r="14437">
      <c r="H14437" t="s">
        <v>5117</v>
      </c>
    </row>
    <row r="14438">
      <c r="H14438" t="s">
        <v>5117</v>
      </c>
    </row>
    <row r="14439">
      <c r="H14439" t="s">
        <v>5117</v>
      </c>
    </row>
    <row r="14440">
      <c r="H14440" t="s">
        <v>5117</v>
      </c>
    </row>
    <row r="14441">
      <c r="H14441" t="s">
        <v>5117</v>
      </c>
    </row>
    <row r="14442">
      <c r="H14442" t="s">
        <v>5117</v>
      </c>
    </row>
    <row r="14443">
      <c r="H14443" t="s">
        <v>5117</v>
      </c>
    </row>
    <row r="14444">
      <c r="H14444" t="s">
        <v>5117</v>
      </c>
    </row>
    <row r="14445">
      <c r="H14445" t="s">
        <v>5117</v>
      </c>
    </row>
    <row r="14446">
      <c r="H14446" t="s">
        <v>5117</v>
      </c>
    </row>
    <row r="14447">
      <c r="H14447" t="s">
        <v>5117</v>
      </c>
    </row>
    <row r="14448">
      <c r="H14448" t="s">
        <v>5117</v>
      </c>
    </row>
    <row r="14449">
      <c r="H14449" t="s">
        <v>5117</v>
      </c>
    </row>
    <row r="14450">
      <c r="H14450" t="s">
        <v>5117</v>
      </c>
    </row>
    <row r="14451">
      <c r="H14451" t="s">
        <v>5117</v>
      </c>
    </row>
    <row r="14452">
      <c r="H14452" t="s">
        <v>5117</v>
      </c>
    </row>
    <row r="14453">
      <c r="H14453" t="s">
        <v>5117</v>
      </c>
    </row>
    <row r="14454">
      <c r="H14454" t="s">
        <v>5117</v>
      </c>
    </row>
    <row r="14455">
      <c r="H14455" t="s">
        <v>5117</v>
      </c>
    </row>
    <row r="14456">
      <c r="H14456" t="s">
        <v>5117</v>
      </c>
    </row>
    <row r="14457">
      <c r="H14457" t="s">
        <v>5117</v>
      </c>
    </row>
    <row r="14458">
      <c r="H14458" t="s">
        <v>5117</v>
      </c>
    </row>
    <row r="14459">
      <c r="H14459" t="s">
        <v>5117</v>
      </c>
    </row>
    <row r="14460">
      <c r="H14460" t="s">
        <v>5117</v>
      </c>
    </row>
    <row r="14461">
      <c r="H14461" t="s">
        <v>5117</v>
      </c>
    </row>
    <row r="14462">
      <c r="H14462" t="s">
        <v>5117</v>
      </c>
    </row>
    <row r="14463">
      <c r="H14463" t="s">
        <v>5117</v>
      </c>
    </row>
    <row r="14464">
      <c r="H14464" t="s">
        <v>5117</v>
      </c>
    </row>
    <row r="14465">
      <c r="H14465" t="s">
        <v>5117</v>
      </c>
    </row>
    <row r="14466">
      <c r="H14466" t="s">
        <v>5117</v>
      </c>
    </row>
    <row r="14467">
      <c r="H14467" t="s">
        <v>5117</v>
      </c>
    </row>
    <row r="14468">
      <c r="H14468" t="s">
        <v>5117</v>
      </c>
    </row>
    <row r="14469">
      <c r="H14469" t="s">
        <v>5117</v>
      </c>
    </row>
    <row r="14470">
      <c r="H14470" t="s">
        <v>5117</v>
      </c>
    </row>
    <row r="14471">
      <c r="H14471" t="s">
        <v>5117</v>
      </c>
    </row>
    <row r="14472">
      <c r="H14472" t="s">
        <v>5117</v>
      </c>
    </row>
    <row r="14473">
      <c r="H14473" t="s">
        <v>5117</v>
      </c>
    </row>
    <row r="14474">
      <c r="H14474" t="s">
        <v>5117</v>
      </c>
    </row>
    <row r="14475">
      <c r="H14475" t="s">
        <v>5117</v>
      </c>
    </row>
    <row r="14476">
      <c r="H14476" t="s">
        <v>5117</v>
      </c>
    </row>
    <row r="14477">
      <c r="H14477" t="s">
        <v>5117</v>
      </c>
    </row>
    <row r="14478">
      <c r="H14478" t="s">
        <v>5117</v>
      </c>
    </row>
    <row r="14479">
      <c r="H14479" t="s">
        <v>5117</v>
      </c>
    </row>
    <row r="14480">
      <c r="H14480" t="s">
        <v>5117</v>
      </c>
    </row>
    <row r="14481">
      <c r="H14481" t="s">
        <v>5117</v>
      </c>
    </row>
    <row r="14482">
      <c r="H14482" t="s">
        <v>5117</v>
      </c>
    </row>
    <row r="14483">
      <c r="H14483" t="s">
        <v>5117</v>
      </c>
    </row>
    <row r="14484">
      <c r="H14484" t="s">
        <v>5117</v>
      </c>
    </row>
    <row r="14485">
      <c r="H14485" t="s">
        <v>5117</v>
      </c>
    </row>
    <row r="14486">
      <c r="H14486" t="s">
        <v>5117</v>
      </c>
    </row>
    <row r="14487">
      <c r="H14487" t="s">
        <v>5117</v>
      </c>
    </row>
    <row r="14488">
      <c r="H14488" t="s">
        <v>5117</v>
      </c>
    </row>
    <row r="14489">
      <c r="H14489" t="s">
        <v>5117</v>
      </c>
    </row>
    <row r="14490">
      <c r="H14490" t="s">
        <v>5117</v>
      </c>
    </row>
    <row r="14491">
      <c r="H14491" t="s">
        <v>5117</v>
      </c>
    </row>
    <row r="14492">
      <c r="H14492" t="s">
        <v>5117</v>
      </c>
    </row>
    <row r="14493">
      <c r="H14493" t="s">
        <v>5117</v>
      </c>
    </row>
    <row r="14494">
      <c r="H14494" t="s">
        <v>5117</v>
      </c>
    </row>
    <row r="14495">
      <c r="H14495" t="s">
        <v>5117</v>
      </c>
    </row>
    <row r="14496">
      <c r="H14496" t="s">
        <v>5117</v>
      </c>
    </row>
    <row r="14497">
      <c r="H14497" t="s">
        <v>5117</v>
      </c>
    </row>
    <row r="14498">
      <c r="H14498" t="s">
        <v>5117</v>
      </c>
    </row>
    <row r="14499">
      <c r="H14499" t="s">
        <v>5117</v>
      </c>
    </row>
    <row r="14500">
      <c r="H14500" t="s">
        <v>5117</v>
      </c>
    </row>
    <row r="14501">
      <c r="H14501" t="s">
        <v>5117</v>
      </c>
    </row>
    <row r="14502">
      <c r="H14502" t="s">
        <v>5117</v>
      </c>
    </row>
    <row r="14503">
      <c r="H14503" t="s">
        <v>5117</v>
      </c>
    </row>
    <row r="14504">
      <c r="H14504" t="s">
        <v>5117</v>
      </c>
    </row>
    <row r="14505">
      <c r="H14505" t="s">
        <v>5117</v>
      </c>
    </row>
    <row r="14506">
      <c r="H14506" t="s">
        <v>5117</v>
      </c>
    </row>
    <row r="14507">
      <c r="H14507" t="s">
        <v>5117</v>
      </c>
    </row>
    <row r="14508">
      <c r="H14508" t="s">
        <v>5117</v>
      </c>
    </row>
    <row r="14509">
      <c r="H14509" t="s">
        <v>5117</v>
      </c>
    </row>
    <row r="14510">
      <c r="H14510" t="s">
        <v>5117</v>
      </c>
    </row>
    <row r="14511">
      <c r="H14511" t="s">
        <v>5117</v>
      </c>
    </row>
    <row r="14512">
      <c r="H14512" t="s">
        <v>5117</v>
      </c>
    </row>
    <row r="14513">
      <c r="H14513" t="s">
        <v>5117</v>
      </c>
    </row>
    <row r="14514">
      <c r="H14514" t="s">
        <v>5117</v>
      </c>
    </row>
    <row r="14515">
      <c r="H14515" t="s">
        <v>5117</v>
      </c>
    </row>
    <row r="14516">
      <c r="H14516" t="s">
        <v>5117</v>
      </c>
    </row>
    <row r="14517">
      <c r="H14517" t="s">
        <v>5117</v>
      </c>
    </row>
    <row r="14518">
      <c r="H14518" t="s">
        <v>5117</v>
      </c>
    </row>
    <row r="14519">
      <c r="H14519" t="s">
        <v>5117</v>
      </c>
    </row>
    <row r="14520">
      <c r="H14520" t="s">
        <v>5117</v>
      </c>
    </row>
    <row r="14521">
      <c r="H14521" t="s">
        <v>5117</v>
      </c>
    </row>
    <row r="14522">
      <c r="H14522" t="s">
        <v>5117</v>
      </c>
    </row>
    <row r="14523">
      <c r="H14523" t="s">
        <v>5117</v>
      </c>
    </row>
    <row r="14524">
      <c r="H14524" t="s">
        <v>5117</v>
      </c>
    </row>
    <row r="14525">
      <c r="H14525" t="s">
        <v>5117</v>
      </c>
    </row>
    <row r="14526">
      <c r="H14526" t="s">
        <v>5117</v>
      </c>
    </row>
    <row r="14527">
      <c r="H14527" t="s">
        <v>5117</v>
      </c>
    </row>
    <row r="14528">
      <c r="H14528" t="s">
        <v>5117</v>
      </c>
    </row>
    <row r="14529">
      <c r="H14529" t="s">
        <v>5117</v>
      </c>
    </row>
    <row r="14530">
      <c r="H14530" t="s">
        <v>5117</v>
      </c>
    </row>
    <row r="14531">
      <c r="H14531" t="s">
        <v>5117</v>
      </c>
    </row>
    <row r="14532">
      <c r="H14532" t="s">
        <v>5117</v>
      </c>
    </row>
    <row r="14533">
      <c r="H14533" t="s">
        <v>5117</v>
      </c>
    </row>
    <row r="14534">
      <c r="H14534" t="s">
        <v>5117</v>
      </c>
    </row>
    <row r="14535">
      <c r="H14535" t="s">
        <v>5117</v>
      </c>
    </row>
    <row r="14536">
      <c r="H14536" t="s">
        <v>5117</v>
      </c>
    </row>
    <row r="14537">
      <c r="H14537" t="s">
        <v>5117</v>
      </c>
    </row>
    <row r="14538">
      <c r="H14538" t="s">
        <v>5117</v>
      </c>
    </row>
    <row r="14539">
      <c r="H14539" t="s">
        <v>5117</v>
      </c>
    </row>
    <row r="14540">
      <c r="H14540" t="s">
        <v>5117</v>
      </c>
    </row>
    <row r="14541">
      <c r="H14541" t="s">
        <v>5117</v>
      </c>
    </row>
    <row r="14542">
      <c r="H14542" t="s">
        <v>5117</v>
      </c>
    </row>
    <row r="14543">
      <c r="H14543" t="s">
        <v>5117</v>
      </c>
    </row>
    <row r="14544">
      <c r="H14544" t="s">
        <v>5117</v>
      </c>
    </row>
    <row r="14545">
      <c r="H14545" t="s">
        <v>5117</v>
      </c>
    </row>
    <row r="14546">
      <c r="H14546" t="s">
        <v>5117</v>
      </c>
    </row>
    <row r="14547">
      <c r="H14547" t="s">
        <v>5117</v>
      </c>
    </row>
    <row r="14548">
      <c r="H14548" t="s">
        <v>5117</v>
      </c>
    </row>
    <row r="14549">
      <c r="H14549" t="s">
        <v>5117</v>
      </c>
    </row>
    <row r="14550">
      <c r="H14550" t="s">
        <v>5117</v>
      </c>
    </row>
    <row r="14551">
      <c r="H14551" t="s">
        <v>5117</v>
      </c>
    </row>
    <row r="14552">
      <c r="H14552" t="s">
        <v>5117</v>
      </c>
    </row>
    <row r="14553">
      <c r="H14553" t="s">
        <v>5117</v>
      </c>
    </row>
    <row r="14554">
      <c r="H14554" t="s">
        <v>5117</v>
      </c>
    </row>
    <row r="14555">
      <c r="H14555" t="s">
        <v>5117</v>
      </c>
    </row>
    <row r="14556">
      <c r="H14556" t="s">
        <v>5117</v>
      </c>
    </row>
    <row r="14557">
      <c r="H14557" t="s">
        <v>5117</v>
      </c>
    </row>
    <row r="14558">
      <c r="H14558" t="s">
        <v>5117</v>
      </c>
    </row>
    <row r="14559">
      <c r="H14559" t="s">
        <v>5117</v>
      </c>
    </row>
    <row r="14560">
      <c r="H14560" t="s">
        <v>5117</v>
      </c>
    </row>
    <row r="14561">
      <c r="H14561" t="s">
        <v>5117</v>
      </c>
    </row>
    <row r="14562">
      <c r="H14562" t="s">
        <v>5117</v>
      </c>
    </row>
    <row r="14563">
      <c r="H14563" t="s">
        <v>5117</v>
      </c>
    </row>
    <row r="14564">
      <c r="H14564" t="s">
        <v>5117</v>
      </c>
    </row>
    <row r="14565">
      <c r="H14565" t="s">
        <v>5117</v>
      </c>
    </row>
    <row r="14566">
      <c r="H14566" t="s">
        <v>5117</v>
      </c>
    </row>
    <row r="14567">
      <c r="H14567" t="s">
        <v>5117</v>
      </c>
    </row>
    <row r="14568">
      <c r="H14568" t="s">
        <v>5117</v>
      </c>
    </row>
    <row r="14569">
      <c r="H14569" t="s">
        <v>5117</v>
      </c>
    </row>
    <row r="14570">
      <c r="H14570" t="s">
        <v>5117</v>
      </c>
    </row>
    <row r="14571">
      <c r="H14571" t="s">
        <v>5117</v>
      </c>
    </row>
    <row r="14572">
      <c r="H14572" t="s">
        <v>5117</v>
      </c>
    </row>
    <row r="14573">
      <c r="H14573" t="s">
        <v>5117</v>
      </c>
    </row>
    <row r="14574">
      <c r="H14574" t="s">
        <v>5117</v>
      </c>
    </row>
    <row r="14575">
      <c r="H14575" t="s">
        <v>5117</v>
      </c>
    </row>
    <row r="14576">
      <c r="H14576" t="s">
        <v>5117</v>
      </c>
    </row>
    <row r="14577">
      <c r="H14577" t="s">
        <v>5117</v>
      </c>
    </row>
    <row r="14578">
      <c r="H14578" t="s">
        <v>5117</v>
      </c>
    </row>
    <row r="14579">
      <c r="H14579" t="s">
        <v>5117</v>
      </c>
    </row>
    <row r="14580">
      <c r="H14580" t="s">
        <v>5117</v>
      </c>
    </row>
    <row r="14581">
      <c r="H14581" t="s">
        <v>5117</v>
      </c>
    </row>
    <row r="14582">
      <c r="H14582" t="s">
        <v>5117</v>
      </c>
    </row>
    <row r="14583">
      <c r="H14583" t="s">
        <v>5117</v>
      </c>
    </row>
    <row r="14584">
      <c r="H14584" t="s">
        <v>5117</v>
      </c>
    </row>
    <row r="14585">
      <c r="H14585" t="s">
        <v>5117</v>
      </c>
    </row>
    <row r="14586">
      <c r="H14586" t="s">
        <v>5117</v>
      </c>
    </row>
    <row r="14587">
      <c r="H14587" t="s">
        <v>5117</v>
      </c>
    </row>
    <row r="14588">
      <c r="H14588" t="s">
        <v>5117</v>
      </c>
    </row>
    <row r="14589">
      <c r="H14589" t="s">
        <v>5117</v>
      </c>
    </row>
    <row r="14590">
      <c r="H14590" t="s">
        <v>5117</v>
      </c>
    </row>
    <row r="14591">
      <c r="H14591" t="s">
        <v>5117</v>
      </c>
    </row>
    <row r="14592">
      <c r="H14592" t="s">
        <v>5117</v>
      </c>
    </row>
    <row r="14593">
      <c r="H14593" t="s">
        <v>5117</v>
      </c>
    </row>
    <row r="14594">
      <c r="H14594" t="s">
        <v>5117</v>
      </c>
    </row>
    <row r="14595">
      <c r="H14595" t="s">
        <v>5117</v>
      </c>
    </row>
    <row r="14596">
      <c r="H14596" t="s">
        <v>5117</v>
      </c>
    </row>
    <row r="14597">
      <c r="H14597" t="s">
        <v>5117</v>
      </c>
    </row>
    <row r="14598">
      <c r="H14598" t="s">
        <v>5117</v>
      </c>
    </row>
    <row r="14599">
      <c r="H14599" t="s">
        <v>5117</v>
      </c>
    </row>
    <row r="14600">
      <c r="H14600" t="s">
        <v>5117</v>
      </c>
    </row>
    <row r="14601">
      <c r="H14601" t="s">
        <v>5117</v>
      </c>
    </row>
    <row r="14602">
      <c r="H14602" t="s">
        <v>5117</v>
      </c>
    </row>
    <row r="14603">
      <c r="H14603" t="s">
        <v>5117</v>
      </c>
    </row>
    <row r="14604">
      <c r="H14604" t="s">
        <v>5117</v>
      </c>
    </row>
    <row r="14605">
      <c r="H14605" t="s">
        <v>5117</v>
      </c>
    </row>
    <row r="14606">
      <c r="H14606" t="s">
        <v>5117</v>
      </c>
    </row>
    <row r="14607">
      <c r="H14607" t="s">
        <v>5117</v>
      </c>
    </row>
    <row r="14608">
      <c r="H14608" t="s">
        <v>5117</v>
      </c>
    </row>
    <row r="14609">
      <c r="H14609" t="s">
        <v>5117</v>
      </c>
    </row>
    <row r="14610">
      <c r="H14610" t="s">
        <v>5117</v>
      </c>
    </row>
    <row r="14611">
      <c r="H14611" t="s">
        <v>5117</v>
      </c>
    </row>
    <row r="14612">
      <c r="H14612" t="s">
        <v>5117</v>
      </c>
    </row>
    <row r="14613">
      <c r="H14613" t="s">
        <v>5117</v>
      </c>
    </row>
    <row r="14614">
      <c r="H14614" t="s">
        <v>5117</v>
      </c>
    </row>
    <row r="14615">
      <c r="H14615" t="s">
        <v>5117</v>
      </c>
    </row>
    <row r="14616">
      <c r="H14616" t="s">
        <v>5117</v>
      </c>
    </row>
    <row r="14617">
      <c r="H14617" t="s">
        <v>5117</v>
      </c>
    </row>
    <row r="14618">
      <c r="H14618" t="s">
        <v>5117</v>
      </c>
    </row>
    <row r="14619">
      <c r="H14619" t="s">
        <v>5117</v>
      </c>
    </row>
    <row r="14620">
      <c r="H14620" t="s">
        <v>5117</v>
      </c>
    </row>
    <row r="14621">
      <c r="H14621" t="s">
        <v>5117</v>
      </c>
    </row>
    <row r="14622">
      <c r="H14622" t="s">
        <v>5117</v>
      </c>
    </row>
    <row r="14623">
      <c r="H14623" t="s">
        <v>5117</v>
      </c>
    </row>
    <row r="14624">
      <c r="H14624" t="s">
        <v>5117</v>
      </c>
    </row>
    <row r="14625">
      <c r="H14625" t="s">
        <v>5117</v>
      </c>
    </row>
    <row r="14626">
      <c r="H14626" t="s">
        <v>5117</v>
      </c>
    </row>
    <row r="14627">
      <c r="H14627" t="s">
        <v>5117</v>
      </c>
    </row>
    <row r="14628">
      <c r="H14628" t="s">
        <v>5117</v>
      </c>
    </row>
    <row r="14629">
      <c r="H14629" t="s">
        <v>5117</v>
      </c>
    </row>
    <row r="14630">
      <c r="H14630" t="s">
        <v>5117</v>
      </c>
    </row>
    <row r="14631">
      <c r="H14631" t="s">
        <v>5117</v>
      </c>
    </row>
    <row r="14632">
      <c r="H14632" t="s">
        <v>5117</v>
      </c>
    </row>
    <row r="14633">
      <c r="H14633" t="s">
        <v>5117</v>
      </c>
    </row>
    <row r="14634">
      <c r="H14634" t="s">
        <v>5117</v>
      </c>
    </row>
    <row r="14635">
      <c r="H14635" t="s">
        <v>5117</v>
      </c>
    </row>
    <row r="14636">
      <c r="H14636" t="s">
        <v>5117</v>
      </c>
    </row>
    <row r="14637">
      <c r="H14637" t="s">
        <v>5117</v>
      </c>
    </row>
    <row r="14638">
      <c r="H14638" t="s">
        <v>5117</v>
      </c>
    </row>
    <row r="14639">
      <c r="H14639" t="s">
        <v>5117</v>
      </c>
    </row>
    <row r="14640">
      <c r="H14640" t="s">
        <v>5117</v>
      </c>
    </row>
    <row r="14641">
      <c r="H14641" t="s">
        <v>5117</v>
      </c>
    </row>
    <row r="14642">
      <c r="H14642" t="s">
        <v>5117</v>
      </c>
    </row>
    <row r="14643">
      <c r="H14643" t="s">
        <v>5117</v>
      </c>
    </row>
    <row r="14644">
      <c r="H14644" t="s">
        <v>5117</v>
      </c>
    </row>
    <row r="14645">
      <c r="H14645" t="s">
        <v>5117</v>
      </c>
    </row>
    <row r="14646">
      <c r="H14646" t="s">
        <v>5117</v>
      </c>
    </row>
    <row r="14647">
      <c r="H14647" t="s">
        <v>5117</v>
      </c>
    </row>
    <row r="14648">
      <c r="H14648" t="s">
        <v>5117</v>
      </c>
    </row>
    <row r="14649">
      <c r="H14649" t="s">
        <v>5117</v>
      </c>
    </row>
    <row r="14650">
      <c r="H14650" t="s">
        <v>5117</v>
      </c>
    </row>
    <row r="14651">
      <c r="H14651" t="s">
        <v>5117</v>
      </c>
    </row>
    <row r="14652">
      <c r="H14652" t="s">
        <v>5117</v>
      </c>
    </row>
    <row r="14653">
      <c r="H14653" t="s">
        <v>5117</v>
      </c>
    </row>
    <row r="14654">
      <c r="H14654" t="s">
        <v>5117</v>
      </c>
    </row>
    <row r="14655">
      <c r="H14655" t="s">
        <v>5117</v>
      </c>
    </row>
    <row r="14656">
      <c r="H14656" t="s">
        <v>5117</v>
      </c>
    </row>
    <row r="14657">
      <c r="H14657" t="s">
        <v>5117</v>
      </c>
    </row>
    <row r="14658">
      <c r="H14658" t="s">
        <v>5117</v>
      </c>
    </row>
    <row r="14659">
      <c r="H14659" t="s">
        <v>5117</v>
      </c>
    </row>
    <row r="14660">
      <c r="H14660" t="s">
        <v>5117</v>
      </c>
    </row>
    <row r="14661">
      <c r="H14661" t="s">
        <v>5117</v>
      </c>
    </row>
    <row r="14662">
      <c r="H14662" t="s">
        <v>5117</v>
      </c>
    </row>
    <row r="14663">
      <c r="H14663" t="s">
        <v>5117</v>
      </c>
    </row>
    <row r="14664">
      <c r="H14664" t="s">
        <v>5117</v>
      </c>
    </row>
    <row r="14665">
      <c r="H14665" t="s">
        <v>5117</v>
      </c>
    </row>
    <row r="14666">
      <c r="H14666" t="s">
        <v>5117</v>
      </c>
    </row>
    <row r="14667">
      <c r="H14667" t="s">
        <v>5117</v>
      </c>
    </row>
    <row r="14668">
      <c r="H14668" t="s">
        <v>5117</v>
      </c>
    </row>
    <row r="14669">
      <c r="H14669" t="s">
        <v>5117</v>
      </c>
    </row>
    <row r="14670">
      <c r="H14670" t="s">
        <v>5117</v>
      </c>
    </row>
    <row r="14671">
      <c r="H14671" t="s">
        <v>5117</v>
      </c>
    </row>
    <row r="14672">
      <c r="H14672" t="s">
        <v>5117</v>
      </c>
    </row>
    <row r="14673">
      <c r="H14673" t="s">
        <v>5117</v>
      </c>
    </row>
    <row r="14674">
      <c r="H14674" t="s">
        <v>5117</v>
      </c>
    </row>
    <row r="14675">
      <c r="H14675" t="s">
        <v>5117</v>
      </c>
    </row>
    <row r="14676">
      <c r="H14676" t="s">
        <v>5117</v>
      </c>
    </row>
    <row r="14677">
      <c r="H14677" t="s">
        <v>5117</v>
      </c>
    </row>
    <row r="14678">
      <c r="H14678" t="s">
        <v>5117</v>
      </c>
    </row>
    <row r="14679">
      <c r="H14679" t="s">
        <v>5117</v>
      </c>
    </row>
    <row r="14680">
      <c r="H14680" t="s">
        <v>5117</v>
      </c>
    </row>
    <row r="14681">
      <c r="H14681" t="s">
        <v>5117</v>
      </c>
    </row>
    <row r="14682">
      <c r="H14682" t="s">
        <v>5117</v>
      </c>
    </row>
    <row r="14683">
      <c r="H14683" t="s">
        <v>5117</v>
      </c>
    </row>
    <row r="14684">
      <c r="H14684" t="s">
        <v>5117</v>
      </c>
    </row>
    <row r="14685">
      <c r="H14685" t="s">
        <v>5117</v>
      </c>
    </row>
    <row r="14686">
      <c r="H14686" t="s">
        <v>5117</v>
      </c>
    </row>
    <row r="14687">
      <c r="H14687" t="s">
        <v>5117</v>
      </c>
    </row>
    <row r="14688">
      <c r="H14688" t="s">
        <v>5117</v>
      </c>
    </row>
    <row r="14689">
      <c r="H14689" t="s">
        <v>5117</v>
      </c>
    </row>
    <row r="14690">
      <c r="H14690" t="s">
        <v>5117</v>
      </c>
    </row>
    <row r="14691">
      <c r="H14691" t="s">
        <v>5117</v>
      </c>
    </row>
    <row r="14692">
      <c r="H14692" t="s">
        <v>5117</v>
      </c>
    </row>
    <row r="14693">
      <c r="H14693" t="s">
        <v>5117</v>
      </c>
    </row>
    <row r="14694">
      <c r="H14694" t="s">
        <v>5117</v>
      </c>
    </row>
    <row r="14695">
      <c r="H14695" t="s">
        <v>5117</v>
      </c>
    </row>
    <row r="14696">
      <c r="H14696" t="s">
        <v>5117</v>
      </c>
    </row>
    <row r="14697">
      <c r="H14697" t="s">
        <v>5117</v>
      </c>
    </row>
    <row r="14698">
      <c r="H14698" t="s">
        <v>5117</v>
      </c>
    </row>
    <row r="14699">
      <c r="H14699" t="s">
        <v>5117</v>
      </c>
    </row>
    <row r="14700">
      <c r="H14700" t="s">
        <v>5117</v>
      </c>
    </row>
    <row r="14701">
      <c r="H14701" t="s">
        <v>5117</v>
      </c>
    </row>
    <row r="14702">
      <c r="H14702" t="s">
        <v>5117</v>
      </c>
    </row>
    <row r="14703">
      <c r="H14703" t="s">
        <v>5117</v>
      </c>
    </row>
    <row r="14704">
      <c r="H14704" t="s">
        <v>5117</v>
      </c>
    </row>
    <row r="14705">
      <c r="H14705" t="s">
        <v>5117</v>
      </c>
    </row>
    <row r="14706">
      <c r="H14706" t="s">
        <v>5117</v>
      </c>
    </row>
    <row r="14707">
      <c r="H14707" t="s">
        <v>5117</v>
      </c>
    </row>
    <row r="14708">
      <c r="H14708" t="s">
        <v>5117</v>
      </c>
    </row>
    <row r="14709">
      <c r="H14709" t="s">
        <v>5117</v>
      </c>
    </row>
    <row r="14710">
      <c r="H14710" t="s">
        <v>5117</v>
      </c>
    </row>
    <row r="14711">
      <c r="H14711" t="s">
        <v>5117</v>
      </c>
    </row>
    <row r="14712">
      <c r="H14712" t="s">
        <v>5117</v>
      </c>
    </row>
    <row r="14713">
      <c r="H14713" t="s">
        <v>5117</v>
      </c>
    </row>
    <row r="14714">
      <c r="H14714" t="s">
        <v>5117</v>
      </c>
    </row>
    <row r="14715">
      <c r="H14715" t="s">
        <v>5117</v>
      </c>
    </row>
    <row r="14716">
      <c r="H14716" t="s">
        <v>5117</v>
      </c>
    </row>
    <row r="14717">
      <c r="H14717" t="s">
        <v>5117</v>
      </c>
    </row>
    <row r="14718">
      <c r="H14718" t="s">
        <v>5117</v>
      </c>
    </row>
    <row r="14719">
      <c r="H14719" t="s">
        <v>5117</v>
      </c>
    </row>
    <row r="14720">
      <c r="H14720" t="s">
        <v>5117</v>
      </c>
    </row>
    <row r="14721">
      <c r="H14721" t="s">
        <v>5117</v>
      </c>
    </row>
    <row r="14722">
      <c r="H14722" t="s">
        <v>5117</v>
      </c>
    </row>
    <row r="14723">
      <c r="H14723" t="s">
        <v>5117</v>
      </c>
    </row>
    <row r="14724">
      <c r="H14724" t="s">
        <v>5117</v>
      </c>
    </row>
    <row r="14725">
      <c r="H14725" t="s">
        <v>5117</v>
      </c>
    </row>
    <row r="14726">
      <c r="H14726" t="s">
        <v>5117</v>
      </c>
    </row>
    <row r="14727">
      <c r="H14727" t="s">
        <v>5117</v>
      </c>
    </row>
    <row r="14728">
      <c r="H14728" t="s">
        <v>5117</v>
      </c>
    </row>
    <row r="14729">
      <c r="H14729" t="s">
        <v>5117</v>
      </c>
    </row>
    <row r="14730">
      <c r="H14730" t="s">
        <v>5117</v>
      </c>
    </row>
    <row r="14731">
      <c r="H14731" t="s">
        <v>5117</v>
      </c>
    </row>
    <row r="14732">
      <c r="H14732" t="s">
        <v>5117</v>
      </c>
    </row>
    <row r="14733">
      <c r="H14733" t="s">
        <v>5117</v>
      </c>
    </row>
    <row r="14734">
      <c r="H14734" t="s">
        <v>5117</v>
      </c>
    </row>
    <row r="14735">
      <c r="H14735" t="s">
        <v>5117</v>
      </c>
    </row>
    <row r="14736">
      <c r="H14736" t="s">
        <v>5117</v>
      </c>
    </row>
    <row r="14737">
      <c r="H14737" t="s">
        <v>5117</v>
      </c>
    </row>
    <row r="14738">
      <c r="H14738" t="s">
        <v>5117</v>
      </c>
    </row>
    <row r="14739">
      <c r="H14739" t="s">
        <v>5117</v>
      </c>
    </row>
    <row r="14740">
      <c r="H14740" t="s">
        <v>5117</v>
      </c>
    </row>
    <row r="14741">
      <c r="H14741" t="s">
        <v>5117</v>
      </c>
    </row>
    <row r="14742">
      <c r="H14742" t="s">
        <v>5117</v>
      </c>
    </row>
    <row r="14743">
      <c r="H14743" t="s">
        <v>5117</v>
      </c>
    </row>
    <row r="14744">
      <c r="H14744" t="s">
        <v>5117</v>
      </c>
    </row>
    <row r="14745">
      <c r="H14745" t="s">
        <v>5117</v>
      </c>
    </row>
    <row r="14746">
      <c r="H14746" t="s">
        <v>5117</v>
      </c>
    </row>
    <row r="14747">
      <c r="H14747" t="s">
        <v>5117</v>
      </c>
    </row>
    <row r="14748">
      <c r="H14748" t="s">
        <v>5117</v>
      </c>
    </row>
    <row r="14749">
      <c r="H14749" t="s">
        <v>5117</v>
      </c>
    </row>
    <row r="14750">
      <c r="H14750" t="s">
        <v>5117</v>
      </c>
    </row>
    <row r="14751">
      <c r="H14751" t="s">
        <v>5117</v>
      </c>
    </row>
    <row r="14752">
      <c r="H14752" t="s">
        <v>5117</v>
      </c>
    </row>
    <row r="14753">
      <c r="H14753" t="s">
        <v>5117</v>
      </c>
    </row>
    <row r="14754">
      <c r="H14754" t="s">
        <v>5117</v>
      </c>
    </row>
    <row r="14755">
      <c r="H14755" t="s">
        <v>5117</v>
      </c>
    </row>
    <row r="14756">
      <c r="H14756" t="s">
        <v>5117</v>
      </c>
    </row>
    <row r="14757">
      <c r="H14757" t="s">
        <v>5117</v>
      </c>
    </row>
    <row r="14758">
      <c r="H14758" t="s">
        <v>5117</v>
      </c>
    </row>
    <row r="14759">
      <c r="H14759" t="s">
        <v>5117</v>
      </c>
    </row>
    <row r="14760">
      <c r="H14760" t="s">
        <v>5117</v>
      </c>
    </row>
    <row r="14761">
      <c r="H14761" t="s">
        <v>5117</v>
      </c>
    </row>
    <row r="14762">
      <c r="H14762" t="s">
        <v>5117</v>
      </c>
    </row>
    <row r="14763">
      <c r="H14763" t="s">
        <v>5117</v>
      </c>
    </row>
    <row r="14764">
      <c r="H14764" t="s">
        <v>5117</v>
      </c>
    </row>
    <row r="14765">
      <c r="H14765" t="s">
        <v>5117</v>
      </c>
    </row>
    <row r="14766">
      <c r="H14766" t="s">
        <v>5117</v>
      </c>
    </row>
    <row r="14767">
      <c r="H14767" t="s">
        <v>5117</v>
      </c>
    </row>
    <row r="14768">
      <c r="H14768" t="s">
        <v>5117</v>
      </c>
    </row>
    <row r="14769">
      <c r="H14769" t="s">
        <v>5117</v>
      </c>
    </row>
    <row r="14770">
      <c r="H14770" t="s">
        <v>5117</v>
      </c>
    </row>
    <row r="14771">
      <c r="H14771" t="s">
        <v>5117</v>
      </c>
    </row>
    <row r="14772">
      <c r="H14772" t="s">
        <v>5117</v>
      </c>
    </row>
    <row r="14773">
      <c r="H14773" t="s">
        <v>5117</v>
      </c>
    </row>
    <row r="14774">
      <c r="H14774" t="s">
        <v>5117</v>
      </c>
    </row>
    <row r="14775">
      <c r="H14775" t="s">
        <v>5117</v>
      </c>
    </row>
    <row r="14776">
      <c r="H14776" t="s">
        <v>5117</v>
      </c>
    </row>
    <row r="14777">
      <c r="H14777" t="s">
        <v>5117</v>
      </c>
    </row>
    <row r="14778">
      <c r="H14778" t="s">
        <v>5117</v>
      </c>
    </row>
    <row r="14779">
      <c r="H14779" t="s">
        <v>5117</v>
      </c>
    </row>
    <row r="14780">
      <c r="H14780" t="s">
        <v>5117</v>
      </c>
    </row>
    <row r="14781">
      <c r="H14781" t="s">
        <v>5117</v>
      </c>
    </row>
    <row r="14782">
      <c r="H14782" t="s">
        <v>5117</v>
      </c>
    </row>
    <row r="14783">
      <c r="H14783" t="s">
        <v>5117</v>
      </c>
    </row>
    <row r="14784">
      <c r="H14784" t="s">
        <v>5117</v>
      </c>
    </row>
    <row r="14785">
      <c r="H14785" t="s">
        <v>5117</v>
      </c>
    </row>
    <row r="14786">
      <c r="H14786" t="s">
        <v>5117</v>
      </c>
    </row>
    <row r="14787">
      <c r="H14787" t="s">
        <v>5117</v>
      </c>
    </row>
    <row r="14788">
      <c r="H14788" t="s">
        <v>5117</v>
      </c>
    </row>
    <row r="14789">
      <c r="H14789" t="s">
        <v>5117</v>
      </c>
    </row>
    <row r="14790">
      <c r="H14790" t="s">
        <v>5117</v>
      </c>
    </row>
    <row r="14791">
      <c r="H14791" t="s">
        <v>5117</v>
      </c>
    </row>
    <row r="14792">
      <c r="H14792" t="s">
        <v>5117</v>
      </c>
    </row>
    <row r="14793">
      <c r="H14793" t="s">
        <v>5117</v>
      </c>
    </row>
    <row r="14794">
      <c r="H14794" t="s">
        <v>5117</v>
      </c>
    </row>
    <row r="14795">
      <c r="H14795" t="s">
        <v>5117</v>
      </c>
    </row>
    <row r="14796">
      <c r="H14796" t="s">
        <v>5117</v>
      </c>
    </row>
    <row r="14797">
      <c r="H14797" t="s">
        <v>5117</v>
      </c>
    </row>
    <row r="14798">
      <c r="H14798" t="s">
        <v>5117</v>
      </c>
    </row>
    <row r="14799">
      <c r="H14799" t="s">
        <v>5117</v>
      </c>
    </row>
    <row r="14800">
      <c r="H14800" t="s">
        <v>5117</v>
      </c>
    </row>
    <row r="14801">
      <c r="H14801" t="s">
        <v>5117</v>
      </c>
    </row>
    <row r="14802">
      <c r="H14802" t="s">
        <v>5117</v>
      </c>
    </row>
    <row r="14803">
      <c r="H14803" t="s">
        <v>5117</v>
      </c>
    </row>
    <row r="14804">
      <c r="H14804" t="s">
        <v>5117</v>
      </c>
    </row>
    <row r="14805">
      <c r="H14805" t="s">
        <v>5117</v>
      </c>
    </row>
    <row r="14806">
      <c r="H14806" t="s">
        <v>5117</v>
      </c>
    </row>
    <row r="14807">
      <c r="H14807" t="s">
        <v>5117</v>
      </c>
    </row>
    <row r="14808">
      <c r="H14808" t="s">
        <v>5117</v>
      </c>
    </row>
    <row r="14809">
      <c r="H14809" t="s">
        <v>5117</v>
      </c>
    </row>
    <row r="14810">
      <c r="H14810" t="s">
        <v>5117</v>
      </c>
    </row>
    <row r="14811">
      <c r="H14811" t="s">
        <v>5117</v>
      </c>
    </row>
    <row r="14812">
      <c r="H14812" t="s">
        <v>5117</v>
      </c>
    </row>
    <row r="14813">
      <c r="H14813" t="s">
        <v>5117</v>
      </c>
    </row>
    <row r="14814">
      <c r="H14814" t="s">
        <v>5117</v>
      </c>
    </row>
    <row r="14815">
      <c r="H14815" t="s">
        <v>5117</v>
      </c>
    </row>
    <row r="14816">
      <c r="H14816" t="s">
        <v>5117</v>
      </c>
    </row>
    <row r="14817">
      <c r="H14817" t="s">
        <v>5117</v>
      </c>
    </row>
    <row r="14818">
      <c r="H14818" t="s">
        <v>5117</v>
      </c>
    </row>
    <row r="14819">
      <c r="H14819" t="s">
        <v>5117</v>
      </c>
    </row>
    <row r="14820">
      <c r="H14820" t="s">
        <v>5117</v>
      </c>
    </row>
    <row r="14821">
      <c r="H14821" t="s">
        <v>5117</v>
      </c>
    </row>
    <row r="14822">
      <c r="H14822" t="s">
        <v>5117</v>
      </c>
    </row>
    <row r="14823">
      <c r="H14823" t="s">
        <v>5117</v>
      </c>
    </row>
    <row r="14824">
      <c r="H14824" t="s">
        <v>5117</v>
      </c>
    </row>
    <row r="14825">
      <c r="H14825" t="s">
        <v>5117</v>
      </c>
    </row>
    <row r="14826">
      <c r="H14826" t="s">
        <v>5117</v>
      </c>
    </row>
    <row r="14827">
      <c r="H14827" t="s">
        <v>5117</v>
      </c>
    </row>
    <row r="14828">
      <c r="H14828" t="s">
        <v>5117</v>
      </c>
    </row>
    <row r="14829">
      <c r="H14829" t="s">
        <v>5117</v>
      </c>
    </row>
    <row r="14830">
      <c r="H14830" t="s">
        <v>5117</v>
      </c>
    </row>
    <row r="14831">
      <c r="H14831" t="s">
        <v>5117</v>
      </c>
    </row>
    <row r="14832">
      <c r="H14832" t="s">
        <v>5117</v>
      </c>
    </row>
    <row r="14833">
      <c r="H14833" t="s">
        <v>5117</v>
      </c>
    </row>
    <row r="14834">
      <c r="H14834" t="s">
        <v>5117</v>
      </c>
    </row>
    <row r="14835">
      <c r="H14835" t="s">
        <v>5117</v>
      </c>
    </row>
    <row r="14836">
      <c r="H14836" t="s">
        <v>5117</v>
      </c>
    </row>
    <row r="14837">
      <c r="H14837" t="s">
        <v>5117</v>
      </c>
    </row>
    <row r="14838">
      <c r="H14838" t="s">
        <v>5117</v>
      </c>
    </row>
    <row r="14839">
      <c r="H14839" t="s">
        <v>5117</v>
      </c>
    </row>
    <row r="14840">
      <c r="H14840" t="s">
        <v>5117</v>
      </c>
    </row>
    <row r="14841">
      <c r="H14841" t="s">
        <v>5117</v>
      </c>
    </row>
    <row r="14842">
      <c r="H14842" t="s">
        <v>5117</v>
      </c>
    </row>
    <row r="14843">
      <c r="H14843" t="s">
        <v>5117</v>
      </c>
    </row>
    <row r="14844">
      <c r="H14844" t="s">
        <v>5117</v>
      </c>
    </row>
    <row r="14845">
      <c r="H14845" t="s">
        <v>5117</v>
      </c>
    </row>
    <row r="14846">
      <c r="H14846" t="s">
        <v>5117</v>
      </c>
    </row>
    <row r="14847">
      <c r="H14847" t="s">
        <v>5117</v>
      </c>
    </row>
    <row r="14848">
      <c r="H14848" t="s">
        <v>5117</v>
      </c>
    </row>
    <row r="14849">
      <c r="H14849" t="s">
        <v>5117</v>
      </c>
    </row>
    <row r="14850">
      <c r="H14850" t="s">
        <v>5117</v>
      </c>
    </row>
    <row r="14851">
      <c r="H14851" t="s">
        <v>5117</v>
      </c>
    </row>
    <row r="14852">
      <c r="H14852" t="s">
        <v>5117</v>
      </c>
    </row>
    <row r="14853">
      <c r="H14853" t="s">
        <v>5117</v>
      </c>
    </row>
    <row r="14854">
      <c r="H14854" t="s">
        <v>5117</v>
      </c>
    </row>
    <row r="14855">
      <c r="H14855" t="s">
        <v>5117</v>
      </c>
    </row>
    <row r="14856">
      <c r="H14856" t="s">
        <v>5117</v>
      </c>
    </row>
    <row r="14857">
      <c r="H14857" t="s">
        <v>5117</v>
      </c>
    </row>
    <row r="14858">
      <c r="H14858" t="s">
        <v>5117</v>
      </c>
    </row>
    <row r="14859">
      <c r="H14859" t="s">
        <v>5117</v>
      </c>
    </row>
    <row r="14860">
      <c r="H14860" t="s">
        <v>5117</v>
      </c>
    </row>
    <row r="14861">
      <c r="H14861" t="s">
        <v>5117</v>
      </c>
    </row>
    <row r="14862">
      <c r="H14862" t="s">
        <v>5117</v>
      </c>
    </row>
    <row r="14863">
      <c r="H14863" t="s">
        <v>5117</v>
      </c>
    </row>
    <row r="14864">
      <c r="H14864" t="s">
        <v>5117</v>
      </c>
    </row>
    <row r="14865">
      <c r="H14865" t="s">
        <v>5117</v>
      </c>
    </row>
    <row r="14866">
      <c r="H14866" t="s">
        <v>5117</v>
      </c>
    </row>
    <row r="14867">
      <c r="H14867" t="s">
        <v>5117</v>
      </c>
    </row>
    <row r="14868">
      <c r="H14868" t="s">
        <v>5117</v>
      </c>
    </row>
    <row r="14869">
      <c r="H14869" t="s">
        <v>5117</v>
      </c>
    </row>
    <row r="14870">
      <c r="H14870" t="s">
        <v>5117</v>
      </c>
    </row>
    <row r="14871">
      <c r="H14871" t="s">
        <v>5117</v>
      </c>
    </row>
    <row r="14872">
      <c r="H14872" t="s">
        <v>5117</v>
      </c>
    </row>
    <row r="14873">
      <c r="H14873" t="s">
        <v>5117</v>
      </c>
    </row>
    <row r="14874">
      <c r="H14874" t="s">
        <v>5117</v>
      </c>
    </row>
    <row r="14875">
      <c r="H14875" t="s">
        <v>5117</v>
      </c>
    </row>
    <row r="14876">
      <c r="H14876" t="s">
        <v>5117</v>
      </c>
    </row>
    <row r="14877">
      <c r="H14877" t="s">
        <v>5117</v>
      </c>
    </row>
    <row r="14878">
      <c r="H14878" t="s">
        <v>5117</v>
      </c>
    </row>
    <row r="14879">
      <c r="H14879" t="s">
        <v>5117</v>
      </c>
    </row>
    <row r="14880">
      <c r="H14880" t="s">
        <v>5117</v>
      </c>
    </row>
    <row r="14881">
      <c r="H14881" t="s">
        <v>5117</v>
      </c>
    </row>
    <row r="14882">
      <c r="H14882" t="s">
        <v>5117</v>
      </c>
    </row>
    <row r="14883">
      <c r="H14883" t="s">
        <v>5117</v>
      </c>
    </row>
    <row r="14884">
      <c r="H14884" t="s">
        <v>5117</v>
      </c>
    </row>
    <row r="14885">
      <c r="H14885" t="s">
        <v>5117</v>
      </c>
    </row>
    <row r="14886">
      <c r="H14886" t="s">
        <v>5117</v>
      </c>
    </row>
    <row r="14887">
      <c r="H14887" t="s">
        <v>5117</v>
      </c>
    </row>
    <row r="14888">
      <c r="H14888" t="s">
        <v>5117</v>
      </c>
    </row>
    <row r="14889">
      <c r="H14889" t="s">
        <v>5117</v>
      </c>
    </row>
    <row r="14890">
      <c r="H14890" t="s">
        <v>5117</v>
      </c>
    </row>
    <row r="14891">
      <c r="H14891" t="s">
        <v>5117</v>
      </c>
    </row>
    <row r="14892">
      <c r="H14892" t="s">
        <v>5117</v>
      </c>
    </row>
    <row r="14893">
      <c r="H14893" t="s">
        <v>5117</v>
      </c>
    </row>
    <row r="14894">
      <c r="H14894" t="s">
        <v>5117</v>
      </c>
    </row>
    <row r="14895">
      <c r="H14895" t="s">
        <v>5117</v>
      </c>
    </row>
    <row r="14896">
      <c r="H14896" t="s">
        <v>5117</v>
      </c>
    </row>
    <row r="14897">
      <c r="H14897" t="s">
        <v>5117</v>
      </c>
    </row>
    <row r="14898">
      <c r="H14898" t="s">
        <v>5117</v>
      </c>
    </row>
    <row r="14899">
      <c r="H14899" t="s">
        <v>5117</v>
      </c>
    </row>
    <row r="14900">
      <c r="H14900" t="s">
        <v>5117</v>
      </c>
    </row>
    <row r="14901">
      <c r="H14901" t="s">
        <v>5117</v>
      </c>
    </row>
    <row r="14902">
      <c r="H14902" t="s">
        <v>5117</v>
      </c>
    </row>
    <row r="14903">
      <c r="H14903" t="s">
        <v>5117</v>
      </c>
    </row>
    <row r="14904">
      <c r="H14904" t="s">
        <v>5117</v>
      </c>
    </row>
    <row r="14905">
      <c r="H14905" t="s">
        <v>5117</v>
      </c>
    </row>
    <row r="14906">
      <c r="H14906" t="s">
        <v>5117</v>
      </c>
    </row>
    <row r="14907">
      <c r="H14907" t="s">
        <v>5117</v>
      </c>
    </row>
    <row r="14908">
      <c r="H14908" t="s">
        <v>5117</v>
      </c>
    </row>
    <row r="14909">
      <c r="H14909" t="s">
        <v>5117</v>
      </c>
    </row>
    <row r="14910">
      <c r="H14910" t="s">
        <v>5117</v>
      </c>
    </row>
    <row r="14911">
      <c r="H14911" t="s">
        <v>5117</v>
      </c>
    </row>
    <row r="14912">
      <c r="H14912" t="s">
        <v>5117</v>
      </c>
    </row>
    <row r="14913">
      <c r="H14913" t="s">
        <v>5117</v>
      </c>
    </row>
    <row r="14914">
      <c r="H14914" t="s">
        <v>5117</v>
      </c>
    </row>
    <row r="14915">
      <c r="H14915" t="s">
        <v>5117</v>
      </c>
    </row>
    <row r="14916">
      <c r="H14916" t="s">
        <v>5117</v>
      </c>
    </row>
    <row r="14917">
      <c r="H14917" t="s">
        <v>5117</v>
      </c>
    </row>
    <row r="14918">
      <c r="H14918" t="s">
        <v>5117</v>
      </c>
    </row>
    <row r="14919">
      <c r="H14919" t="s">
        <v>5117</v>
      </c>
    </row>
    <row r="14920">
      <c r="H14920" t="s">
        <v>5117</v>
      </c>
    </row>
    <row r="14921">
      <c r="H14921" t="s">
        <v>5117</v>
      </c>
    </row>
    <row r="14922">
      <c r="H14922" t="s">
        <v>5117</v>
      </c>
    </row>
    <row r="14923">
      <c r="H14923" t="s">
        <v>5117</v>
      </c>
    </row>
    <row r="14924">
      <c r="H14924" t="s">
        <v>5117</v>
      </c>
    </row>
    <row r="14925">
      <c r="H14925" t="s">
        <v>5117</v>
      </c>
    </row>
    <row r="14926">
      <c r="H14926" t="s">
        <v>5117</v>
      </c>
    </row>
    <row r="14927">
      <c r="H14927" t="s">
        <v>5117</v>
      </c>
    </row>
    <row r="14928">
      <c r="H14928" t="s">
        <v>5117</v>
      </c>
    </row>
    <row r="14929">
      <c r="H14929" t="s">
        <v>5117</v>
      </c>
    </row>
    <row r="14930">
      <c r="H14930" t="s">
        <v>5117</v>
      </c>
    </row>
    <row r="14931">
      <c r="H14931" t="s">
        <v>5117</v>
      </c>
    </row>
    <row r="14932">
      <c r="H14932" t="s">
        <v>5117</v>
      </c>
    </row>
    <row r="14933">
      <c r="H14933" t="s">
        <v>5117</v>
      </c>
    </row>
    <row r="14934">
      <c r="H14934" t="s">
        <v>5117</v>
      </c>
    </row>
    <row r="14935">
      <c r="H14935" t="s">
        <v>5117</v>
      </c>
    </row>
    <row r="14936">
      <c r="H14936" t="s">
        <v>5117</v>
      </c>
    </row>
    <row r="14937">
      <c r="H14937" t="s">
        <v>5117</v>
      </c>
    </row>
    <row r="14938">
      <c r="H14938" t="s">
        <v>5117</v>
      </c>
    </row>
    <row r="14939">
      <c r="H14939" t="s">
        <v>5117</v>
      </c>
    </row>
    <row r="14940">
      <c r="H14940" t="s">
        <v>5117</v>
      </c>
    </row>
    <row r="14941">
      <c r="H14941" t="s">
        <v>5117</v>
      </c>
    </row>
    <row r="14942">
      <c r="H14942" t="s">
        <v>5117</v>
      </c>
    </row>
    <row r="14943">
      <c r="H14943" t="s">
        <v>5117</v>
      </c>
    </row>
    <row r="14944">
      <c r="H14944" t="s">
        <v>5117</v>
      </c>
    </row>
    <row r="14945">
      <c r="H14945" t="s">
        <v>5117</v>
      </c>
    </row>
    <row r="14946">
      <c r="H14946" t="s">
        <v>5117</v>
      </c>
    </row>
    <row r="14947">
      <c r="H14947" t="s">
        <v>5117</v>
      </c>
    </row>
    <row r="14948">
      <c r="H14948" t="s">
        <v>5117</v>
      </c>
    </row>
    <row r="14949">
      <c r="H14949" t="s">
        <v>5117</v>
      </c>
    </row>
    <row r="14950">
      <c r="H14950" t="s">
        <v>5117</v>
      </c>
    </row>
    <row r="14951">
      <c r="H14951" t="s">
        <v>5117</v>
      </c>
    </row>
    <row r="14952">
      <c r="H14952" t="s">
        <v>5117</v>
      </c>
    </row>
    <row r="14953">
      <c r="H14953" t="s">
        <v>5117</v>
      </c>
    </row>
    <row r="14954">
      <c r="H14954" t="s">
        <v>5117</v>
      </c>
    </row>
    <row r="14955">
      <c r="H14955" t="s">
        <v>5117</v>
      </c>
    </row>
    <row r="14956">
      <c r="H14956" t="s">
        <v>5117</v>
      </c>
    </row>
    <row r="14957">
      <c r="H14957" t="s">
        <v>5117</v>
      </c>
    </row>
    <row r="14958">
      <c r="H14958" t="s">
        <v>5117</v>
      </c>
    </row>
    <row r="14959">
      <c r="H14959" t="s">
        <v>5117</v>
      </c>
    </row>
    <row r="14960">
      <c r="H14960" t="s">
        <v>5117</v>
      </c>
    </row>
    <row r="14961">
      <c r="H14961" t="s">
        <v>5117</v>
      </c>
    </row>
    <row r="14962">
      <c r="H14962" t="s">
        <v>5117</v>
      </c>
    </row>
    <row r="14963">
      <c r="H14963" t="s">
        <v>5117</v>
      </c>
    </row>
    <row r="14964">
      <c r="H14964" t="s">
        <v>5117</v>
      </c>
    </row>
    <row r="14965">
      <c r="H14965" t="s">
        <v>5117</v>
      </c>
    </row>
    <row r="14966">
      <c r="H14966" t="s">
        <v>5117</v>
      </c>
    </row>
    <row r="14967">
      <c r="H14967" t="s">
        <v>5117</v>
      </c>
    </row>
    <row r="14968">
      <c r="H14968" t="s">
        <v>5117</v>
      </c>
    </row>
    <row r="14969">
      <c r="H14969" t="s">
        <v>5117</v>
      </c>
    </row>
    <row r="14970">
      <c r="H14970" t="s">
        <v>5117</v>
      </c>
    </row>
    <row r="14971">
      <c r="H14971" t="s">
        <v>5117</v>
      </c>
    </row>
    <row r="14972">
      <c r="H14972" t="s">
        <v>5117</v>
      </c>
    </row>
    <row r="14973">
      <c r="H14973" t="s">
        <v>5117</v>
      </c>
    </row>
    <row r="14974">
      <c r="H14974" t="s">
        <v>5117</v>
      </c>
    </row>
    <row r="14975">
      <c r="H14975" t="s">
        <v>5117</v>
      </c>
    </row>
    <row r="14976">
      <c r="H14976" t="s">
        <v>5117</v>
      </c>
    </row>
    <row r="14977">
      <c r="H14977" t="s">
        <v>5117</v>
      </c>
    </row>
    <row r="14978">
      <c r="H14978" t="s">
        <v>5117</v>
      </c>
    </row>
    <row r="14979">
      <c r="H14979" t="s">
        <v>5117</v>
      </c>
    </row>
    <row r="14980">
      <c r="H14980" t="s">
        <v>5117</v>
      </c>
    </row>
    <row r="14981">
      <c r="H14981" t="s">
        <v>5117</v>
      </c>
    </row>
    <row r="14982">
      <c r="H14982" t="s">
        <v>5117</v>
      </c>
    </row>
    <row r="14983">
      <c r="H14983" t="s">
        <v>5117</v>
      </c>
    </row>
    <row r="14984">
      <c r="H14984" t="s">
        <v>5117</v>
      </c>
    </row>
    <row r="14985">
      <c r="H14985" t="s">
        <v>5117</v>
      </c>
    </row>
    <row r="14986">
      <c r="H14986" t="s">
        <v>5117</v>
      </c>
    </row>
    <row r="14987">
      <c r="H14987" t="s">
        <v>5117</v>
      </c>
    </row>
    <row r="14988">
      <c r="H14988" t="s">
        <v>5117</v>
      </c>
    </row>
    <row r="14989">
      <c r="H14989" t="s">
        <v>5117</v>
      </c>
    </row>
    <row r="14990">
      <c r="H14990" t="s">
        <v>5117</v>
      </c>
    </row>
    <row r="14991">
      <c r="H14991" t="s">
        <v>5117</v>
      </c>
    </row>
    <row r="14992">
      <c r="H14992" t="s">
        <v>5117</v>
      </c>
    </row>
    <row r="14993">
      <c r="H14993" t="s">
        <v>5117</v>
      </c>
    </row>
    <row r="14994">
      <c r="H14994" t="s">
        <v>5117</v>
      </c>
    </row>
    <row r="14995">
      <c r="H14995" t="s">
        <v>5117</v>
      </c>
    </row>
    <row r="14996">
      <c r="H14996" t="s">
        <v>5117</v>
      </c>
    </row>
    <row r="14997">
      <c r="H14997" t="s">
        <v>5117</v>
      </c>
    </row>
    <row r="14998">
      <c r="H14998" t="s">
        <v>5117</v>
      </c>
    </row>
    <row r="14999">
      <c r="H14999" t="s">
        <v>5117</v>
      </c>
    </row>
    <row r="15000">
      <c r="H15000" t="s">
        <v>5117</v>
      </c>
    </row>
    <row r="15001">
      <c r="H15001" t="s">
        <v>5117</v>
      </c>
    </row>
    <row r="15002">
      <c r="H15002" t="s">
        <v>5117</v>
      </c>
    </row>
    <row r="15003">
      <c r="H15003" t="s">
        <v>5117</v>
      </c>
    </row>
    <row r="15004">
      <c r="H15004" t="s">
        <v>5117</v>
      </c>
    </row>
    <row r="15005">
      <c r="H15005" t="s">
        <v>5117</v>
      </c>
    </row>
    <row r="15006">
      <c r="H15006" t="s">
        <v>5117</v>
      </c>
    </row>
    <row r="15007">
      <c r="H15007" t="s">
        <v>5117</v>
      </c>
    </row>
    <row r="15008">
      <c r="H15008" t="s">
        <v>5117</v>
      </c>
    </row>
    <row r="15009">
      <c r="H15009" t="s">
        <v>5117</v>
      </c>
    </row>
    <row r="15010">
      <c r="H15010" t="s">
        <v>5117</v>
      </c>
    </row>
    <row r="15011">
      <c r="H15011" t="s">
        <v>5117</v>
      </c>
    </row>
    <row r="15012">
      <c r="H15012" t="s">
        <v>5117</v>
      </c>
    </row>
    <row r="15013">
      <c r="H15013" t="s">
        <v>5117</v>
      </c>
    </row>
    <row r="15014">
      <c r="H15014" t="s">
        <v>5117</v>
      </c>
    </row>
    <row r="15015">
      <c r="H15015" t="s">
        <v>5117</v>
      </c>
    </row>
    <row r="15016">
      <c r="H15016" t="s">
        <v>5117</v>
      </c>
    </row>
    <row r="15017">
      <c r="H15017" t="s">
        <v>5117</v>
      </c>
    </row>
    <row r="15018">
      <c r="H15018" t="s">
        <v>5117</v>
      </c>
    </row>
    <row r="15019">
      <c r="H15019" t="s">
        <v>5117</v>
      </c>
    </row>
    <row r="15020">
      <c r="H15020" t="s">
        <v>5117</v>
      </c>
    </row>
    <row r="15021">
      <c r="H15021" t="s">
        <v>5117</v>
      </c>
    </row>
    <row r="15022">
      <c r="H15022" t="s">
        <v>5117</v>
      </c>
    </row>
    <row r="15023">
      <c r="H15023" t="s">
        <v>5117</v>
      </c>
    </row>
    <row r="15024">
      <c r="H15024" t="s">
        <v>5117</v>
      </c>
    </row>
    <row r="15025">
      <c r="H15025" t="s">
        <v>5117</v>
      </c>
    </row>
    <row r="15026">
      <c r="H15026" t="s">
        <v>5117</v>
      </c>
    </row>
    <row r="15027">
      <c r="H15027" t="s">
        <v>5117</v>
      </c>
    </row>
    <row r="15028">
      <c r="H15028" t="s">
        <v>5117</v>
      </c>
    </row>
    <row r="15029">
      <c r="H15029" t="s">
        <v>5117</v>
      </c>
    </row>
    <row r="15030">
      <c r="H15030" t="s">
        <v>5117</v>
      </c>
    </row>
    <row r="15031">
      <c r="H15031" t="s">
        <v>5117</v>
      </c>
    </row>
    <row r="15032">
      <c r="H15032" t="s">
        <v>5117</v>
      </c>
    </row>
    <row r="15033">
      <c r="H15033" t="s">
        <v>5117</v>
      </c>
    </row>
    <row r="15034">
      <c r="H15034" t="s">
        <v>5117</v>
      </c>
    </row>
    <row r="15035">
      <c r="H15035" t="s">
        <v>5117</v>
      </c>
    </row>
    <row r="15036">
      <c r="H15036" t="s">
        <v>5117</v>
      </c>
    </row>
    <row r="15037">
      <c r="H15037" t="s">
        <v>5117</v>
      </c>
    </row>
    <row r="15038">
      <c r="H15038" t="s">
        <v>5117</v>
      </c>
    </row>
    <row r="15039">
      <c r="H15039" t="s">
        <v>5117</v>
      </c>
    </row>
    <row r="15040">
      <c r="H15040" t="s">
        <v>5117</v>
      </c>
    </row>
    <row r="15041">
      <c r="H15041" t="s">
        <v>5117</v>
      </c>
    </row>
    <row r="15042">
      <c r="H15042" t="s">
        <v>5117</v>
      </c>
    </row>
    <row r="15043">
      <c r="H15043" t="s">
        <v>5117</v>
      </c>
    </row>
    <row r="15044">
      <c r="H15044" t="s">
        <v>5117</v>
      </c>
    </row>
    <row r="15045">
      <c r="H15045" t="s">
        <v>5117</v>
      </c>
    </row>
    <row r="15046">
      <c r="H15046" t="s">
        <v>5117</v>
      </c>
    </row>
    <row r="15047">
      <c r="H15047" t="s">
        <v>5117</v>
      </c>
    </row>
    <row r="15048">
      <c r="H15048" t="s">
        <v>5117</v>
      </c>
    </row>
    <row r="15049">
      <c r="H15049" t="s">
        <v>5117</v>
      </c>
    </row>
    <row r="15050">
      <c r="H15050" t="s">
        <v>5117</v>
      </c>
    </row>
    <row r="15051">
      <c r="H15051" t="s">
        <v>5117</v>
      </c>
    </row>
    <row r="15052">
      <c r="H15052" t="s">
        <v>5117</v>
      </c>
    </row>
    <row r="15053">
      <c r="H15053" t="s">
        <v>5117</v>
      </c>
    </row>
    <row r="15054">
      <c r="H15054" t="s">
        <v>5117</v>
      </c>
    </row>
    <row r="15055">
      <c r="H15055" t="s">
        <v>5117</v>
      </c>
    </row>
    <row r="15056">
      <c r="H15056" t="s">
        <v>5117</v>
      </c>
    </row>
    <row r="15057">
      <c r="H15057" t="s">
        <v>5117</v>
      </c>
    </row>
    <row r="15058">
      <c r="H15058" t="s">
        <v>5117</v>
      </c>
    </row>
    <row r="15059">
      <c r="H15059" t="s">
        <v>5117</v>
      </c>
    </row>
    <row r="15060">
      <c r="H15060" t="s">
        <v>5117</v>
      </c>
    </row>
    <row r="15061">
      <c r="H15061" t="s">
        <v>5117</v>
      </c>
    </row>
    <row r="15062">
      <c r="H15062" t="s">
        <v>5117</v>
      </c>
    </row>
    <row r="15063">
      <c r="H15063" t="s">
        <v>5117</v>
      </c>
    </row>
    <row r="15064">
      <c r="H15064" t="s">
        <v>5117</v>
      </c>
    </row>
    <row r="15065">
      <c r="H15065" t="s">
        <v>5117</v>
      </c>
    </row>
    <row r="15066">
      <c r="H15066" t="s">
        <v>5117</v>
      </c>
    </row>
    <row r="15067">
      <c r="H15067" t="s">
        <v>5117</v>
      </c>
    </row>
    <row r="15068">
      <c r="H15068" t="s">
        <v>5117</v>
      </c>
    </row>
    <row r="15069">
      <c r="H15069" t="s">
        <v>5117</v>
      </c>
    </row>
    <row r="15070">
      <c r="H15070" t="s">
        <v>5117</v>
      </c>
    </row>
    <row r="15071">
      <c r="H15071" t="s">
        <v>5117</v>
      </c>
    </row>
    <row r="15072">
      <c r="H15072" t="s">
        <v>5117</v>
      </c>
    </row>
    <row r="15073">
      <c r="H15073" t="s">
        <v>5117</v>
      </c>
    </row>
    <row r="15074">
      <c r="H15074" t="s">
        <v>5117</v>
      </c>
    </row>
    <row r="15075">
      <c r="H15075" t="s">
        <v>5117</v>
      </c>
    </row>
    <row r="15076">
      <c r="H15076" t="s">
        <v>5117</v>
      </c>
    </row>
    <row r="15077">
      <c r="H15077" t="s">
        <v>5117</v>
      </c>
    </row>
    <row r="15078">
      <c r="H15078" t="s">
        <v>5117</v>
      </c>
    </row>
    <row r="15079">
      <c r="H15079" t="s">
        <v>5117</v>
      </c>
    </row>
    <row r="15080">
      <c r="H15080" t="s">
        <v>5117</v>
      </c>
    </row>
    <row r="15081">
      <c r="H15081" t="s">
        <v>5117</v>
      </c>
    </row>
    <row r="15082">
      <c r="H15082" t="s">
        <v>5117</v>
      </c>
    </row>
    <row r="15083">
      <c r="H15083" t="s">
        <v>5117</v>
      </c>
    </row>
    <row r="15084">
      <c r="H15084" t="s">
        <v>5117</v>
      </c>
    </row>
    <row r="15085">
      <c r="H15085" t="s">
        <v>5117</v>
      </c>
    </row>
    <row r="15086">
      <c r="H15086" t="s">
        <v>5117</v>
      </c>
    </row>
    <row r="15087">
      <c r="H15087" t="s">
        <v>5117</v>
      </c>
    </row>
    <row r="15088">
      <c r="H15088" t="s">
        <v>5117</v>
      </c>
    </row>
    <row r="15089">
      <c r="H15089" t="s">
        <v>5117</v>
      </c>
    </row>
    <row r="15090">
      <c r="H15090" t="s">
        <v>5117</v>
      </c>
    </row>
    <row r="15091">
      <c r="H15091" t="s">
        <v>5117</v>
      </c>
    </row>
    <row r="15092">
      <c r="H15092" t="s">
        <v>5117</v>
      </c>
    </row>
    <row r="15093">
      <c r="H15093" t="s">
        <v>5117</v>
      </c>
    </row>
    <row r="15094">
      <c r="H15094" t="s">
        <v>5117</v>
      </c>
    </row>
    <row r="15095">
      <c r="H15095" t="s">
        <v>5117</v>
      </c>
    </row>
    <row r="15096">
      <c r="H15096" t="s">
        <v>5117</v>
      </c>
    </row>
    <row r="15097">
      <c r="H15097" t="s">
        <v>5117</v>
      </c>
    </row>
    <row r="15098">
      <c r="H15098" t="s">
        <v>5117</v>
      </c>
    </row>
    <row r="15099">
      <c r="H15099" t="s">
        <v>5117</v>
      </c>
    </row>
    <row r="15100">
      <c r="H15100" t="s">
        <v>5117</v>
      </c>
    </row>
    <row r="15101">
      <c r="H15101" t="s">
        <v>5117</v>
      </c>
    </row>
    <row r="15102">
      <c r="H15102" t="s">
        <v>5117</v>
      </c>
    </row>
    <row r="15103">
      <c r="H15103" t="s">
        <v>5117</v>
      </c>
    </row>
    <row r="15104">
      <c r="H15104" t="s">
        <v>5117</v>
      </c>
    </row>
    <row r="15105">
      <c r="H15105" t="s">
        <v>5117</v>
      </c>
    </row>
    <row r="15106">
      <c r="H15106" t="s">
        <v>5117</v>
      </c>
    </row>
    <row r="15107">
      <c r="H15107" t="s">
        <v>5117</v>
      </c>
    </row>
    <row r="15108">
      <c r="H15108" t="s">
        <v>5117</v>
      </c>
    </row>
    <row r="15109">
      <c r="H15109" t="s">
        <v>5117</v>
      </c>
    </row>
    <row r="15110">
      <c r="H15110" t="s">
        <v>5117</v>
      </c>
    </row>
    <row r="15111">
      <c r="H15111" t="s">
        <v>5117</v>
      </c>
    </row>
    <row r="15112">
      <c r="H15112" t="s">
        <v>5117</v>
      </c>
    </row>
    <row r="15113">
      <c r="H15113" t="s">
        <v>5117</v>
      </c>
    </row>
    <row r="15114">
      <c r="H15114" t="s">
        <v>5117</v>
      </c>
    </row>
    <row r="15115">
      <c r="H15115" t="s">
        <v>5117</v>
      </c>
    </row>
    <row r="15116">
      <c r="H15116" t="s">
        <v>5117</v>
      </c>
    </row>
    <row r="15117">
      <c r="H15117" t="s">
        <v>5117</v>
      </c>
    </row>
    <row r="15118">
      <c r="H15118" t="s">
        <v>5117</v>
      </c>
    </row>
    <row r="15119">
      <c r="H15119" t="s">
        <v>5117</v>
      </c>
    </row>
    <row r="15120">
      <c r="H15120" t="s">
        <v>5117</v>
      </c>
    </row>
    <row r="15121">
      <c r="H15121" t="s">
        <v>5117</v>
      </c>
    </row>
    <row r="15122">
      <c r="H15122" t="s">
        <v>5117</v>
      </c>
    </row>
    <row r="15123">
      <c r="H15123" t="s">
        <v>5117</v>
      </c>
    </row>
    <row r="15124">
      <c r="H15124" t="s">
        <v>5117</v>
      </c>
    </row>
    <row r="15125">
      <c r="H15125" t="s">
        <v>5117</v>
      </c>
    </row>
    <row r="15126">
      <c r="H15126" t="s">
        <v>5117</v>
      </c>
    </row>
    <row r="15127">
      <c r="H15127" t="s">
        <v>5117</v>
      </c>
    </row>
    <row r="15128">
      <c r="H15128" t="s">
        <v>5117</v>
      </c>
    </row>
    <row r="15129">
      <c r="H15129" t="s">
        <v>5117</v>
      </c>
    </row>
    <row r="15130">
      <c r="H15130" t="s">
        <v>5117</v>
      </c>
    </row>
    <row r="15131">
      <c r="H15131" t="s">
        <v>5117</v>
      </c>
    </row>
    <row r="15132">
      <c r="H15132" t="s">
        <v>5117</v>
      </c>
    </row>
    <row r="15133">
      <c r="H15133" t="s">
        <v>5117</v>
      </c>
    </row>
    <row r="15134">
      <c r="H15134" t="s">
        <v>5117</v>
      </c>
    </row>
    <row r="15135">
      <c r="H15135" t="s">
        <v>5117</v>
      </c>
    </row>
    <row r="15136">
      <c r="H15136" t="s">
        <v>5117</v>
      </c>
    </row>
    <row r="15137">
      <c r="H15137" t="s">
        <v>5117</v>
      </c>
    </row>
    <row r="15138">
      <c r="H15138" t="s">
        <v>5117</v>
      </c>
    </row>
    <row r="15139">
      <c r="H15139" t="s">
        <v>5117</v>
      </c>
    </row>
    <row r="15140">
      <c r="H15140" t="s">
        <v>5117</v>
      </c>
    </row>
    <row r="15141">
      <c r="H15141" t="s">
        <v>5117</v>
      </c>
    </row>
    <row r="15142">
      <c r="H15142" t="s">
        <v>5117</v>
      </c>
    </row>
    <row r="15143">
      <c r="H15143" t="s">
        <v>5117</v>
      </c>
    </row>
    <row r="15144">
      <c r="H15144" t="s">
        <v>5117</v>
      </c>
    </row>
    <row r="15145">
      <c r="H15145" t="s">
        <v>5117</v>
      </c>
    </row>
    <row r="15146">
      <c r="H15146" t="s">
        <v>5117</v>
      </c>
    </row>
    <row r="15147">
      <c r="H15147" t="s">
        <v>5117</v>
      </c>
    </row>
    <row r="15148">
      <c r="H15148" t="s">
        <v>5117</v>
      </c>
    </row>
    <row r="15149">
      <c r="H15149" t="s">
        <v>5117</v>
      </c>
    </row>
    <row r="15150">
      <c r="H15150" t="s">
        <v>5117</v>
      </c>
    </row>
    <row r="15151">
      <c r="H15151" t="s">
        <v>5117</v>
      </c>
    </row>
    <row r="15152">
      <c r="H15152" t="s">
        <v>5117</v>
      </c>
    </row>
    <row r="15153">
      <c r="H15153" t="s">
        <v>5117</v>
      </c>
    </row>
    <row r="15154">
      <c r="H15154" t="s">
        <v>5117</v>
      </c>
    </row>
    <row r="15155">
      <c r="H15155" t="s">
        <v>5117</v>
      </c>
    </row>
    <row r="15156">
      <c r="H15156" t="s">
        <v>5117</v>
      </c>
    </row>
    <row r="15157">
      <c r="H15157" t="s">
        <v>5117</v>
      </c>
    </row>
    <row r="15158">
      <c r="H15158" t="s">
        <v>5117</v>
      </c>
    </row>
    <row r="15159">
      <c r="H15159" t="s">
        <v>5117</v>
      </c>
    </row>
    <row r="15160">
      <c r="H15160" t="s">
        <v>5117</v>
      </c>
    </row>
    <row r="15161">
      <c r="H15161" t="s">
        <v>5117</v>
      </c>
    </row>
    <row r="15162">
      <c r="H15162" t="s">
        <v>5117</v>
      </c>
    </row>
    <row r="15163">
      <c r="H15163" t="s">
        <v>5117</v>
      </c>
    </row>
    <row r="15164">
      <c r="H15164" t="s">
        <v>5117</v>
      </c>
    </row>
    <row r="15165">
      <c r="H15165" t="s">
        <v>5117</v>
      </c>
    </row>
    <row r="15166">
      <c r="H15166" t="s">
        <v>5117</v>
      </c>
    </row>
    <row r="15167">
      <c r="H15167" t="s">
        <v>5117</v>
      </c>
    </row>
    <row r="15168">
      <c r="H15168" t="s">
        <v>5117</v>
      </c>
    </row>
    <row r="15169">
      <c r="H15169" t="s">
        <v>5117</v>
      </c>
    </row>
    <row r="15170">
      <c r="H15170" t="s">
        <v>5117</v>
      </c>
    </row>
    <row r="15171">
      <c r="H15171" t="s">
        <v>5117</v>
      </c>
    </row>
    <row r="15172">
      <c r="H15172" t="s">
        <v>5117</v>
      </c>
    </row>
    <row r="15173">
      <c r="H15173" t="s">
        <v>5117</v>
      </c>
    </row>
    <row r="15174">
      <c r="H15174" t="s">
        <v>5117</v>
      </c>
    </row>
    <row r="15175">
      <c r="H15175" t="s">
        <v>5117</v>
      </c>
    </row>
    <row r="15176">
      <c r="H15176" t="s">
        <v>5117</v>
      </c>
    </row>
    <row r="15177">
      <c r="H15177" t="s">
        <v>5117</v>
      </c>
    </row>
    <row r="15178">
      <c r="H15178" t="s">
        <v>5117</v>
      </c>
    </row>
    <row r="15179">
      <c r="H15179" t="s">
        <v>5117</v>
      </c>
    </row>
    <row r="15180">
      <c r="H15180" t="s">
        <v>5117</v>
      </c>
    </row>
    <row r="15181">
      <c r="H15181" t="s">
        <v>5117</v>
      </c>
    </row>
    <row r="15182">
      <c r="H15182" t="s">
        <v>5117</v>
      </c>
    </row>
    <row r="15183">
      <c r="H15183" t="s">
        <v>5117</v>
      </c>
    </row>
    <row r="15184">
      <c r="H15184" t="s">
        <v>5117</v>
      </c>
    </row>
    <row r="15185">
      <c r="H15185" t="s">
        <v>5117</v>
      </c>
    </row>
    <row r="15186">
      <c r="H15186" t="s">
        <v>5117</v>
      </c>
    </row>
    <row r="15187">
      <c r="H15187" t="s">
        <v>5117</v>
      </c>
    </row>
    <row r="15188">
      <c r="H15188" t="s">
        <v>5117</v>
      </c>
    </row>
    <row r="15189">
      <c r="H15189" t="s">
        <v>5117</v>
      </c>
    </row>
    <row r="15190">
      <c r="H15190" t="s">
        <v>5117</v>
      </c>
    </row>
    <row r="15191">
      <c r="H15191" t="s">
        <v>5117</v>
      </c>
    </row>
    <row r="15192">
      <c r="H15192" t="s">
        <v>5117</v>
      </c>
    </row>
    <row r="15193">
      <c r="H15193" t="s">
        <v>5117</v>
      </c>
    </row>
    <row r="15194">
      <c r="H15194" t="s">
        <v>5117</v>
      </c>
    </row>
    <row r="15195">
      <c r="H15195" t="s">
        <v>5117</v>
      </c>
    </row>
    <row r="15196">
      <c r="H15196" t="s">
        <v>5117</v>
      </c>
    </row>
    <row r="15197">
      <c r="H15197" t="s">
        <v>5117</v>
      </c>
    </row>
    <row r="15198">
      <c r="H15198" t="s">
        <v>5117</v>
      </c>
    </row>
    <row r="15199">
      <c r="H15199" t="s">
        <v>5117</v>
      </c>
    </row>
    <row r="15200">
      <c r="H15200" t="s">
        <v>5117</v>
      </c>
    </row>
    <row r="15201">
      <c r="H15201" t="s">
        <v>5117</v>
      </c>
    </row>
    <row r="15202">
      <c r="H15202" t="s">
        <v>5117</v>
      </c>
    </row>
    <row r="15203">
      <c r="H15203" t="s">
        <v>5117</v>
      </c>
    </row>
    <row r="15204">
      <c r="H15204" t="s">
        <v>5117</v>
      </c>
    </row>
    <row r="15205">
      <c r="H15205" t="s">
        <v>5117</v>
      </c>
    </row>
    <row r="15206">
      <c r="H15206" t="s">
        <v>5117</v>
      </c>
    </row>
    <row r="15207">
      <c r="H15207" t="s">
        <v>5117</v>
      </c>
    </row>
    <row r="15208">
      <c r="H15208" t="s">
        <v>5117</v>
      </c>
    </row>
    <row r="15209">
      <c r="H15209" t="s">
        <v>5117</v>
      </c>
    </row>
    <row r="15210">
      <c r="H15210" t="s">
        <v>5117</v>
      </c>
    </row>
    <row r="15211">
      <c r="H15211" t="s">
        <v>5117</v>
      </c>
    </row>
    <row r="15212">
      <c r="H15212" t="s">
        <v>5117</v>
      </c>
    </row>
    <row r="15213">
      <c r="H15213" t="s">
        <v>5117</v>
      </c>
    </row>
    <row r="15214">
      <c r="H15214" t="s">
        <v>5117</v>
      </c>
    </row>
    <row r="15215">
      <c r="H15215" t="s">
        <v>5117</v>
      </c>
    </row>
    <row r="15216">
      <c r="H15216" t="s">
        <v>5117</v>
      </c>
    </row>
    <row r="15217">
      <c r="H15217" t="s">
        <v>5117</v>
      </c>
    </row>
    <row r="15218">
      <c r="H15218" t="s">
        <v>5117</v>
      </c>
    </row>
    <row r="15219">
      <c r="H15219" t="s">
        <v>5117</v>
      </c>
    </row>
    <row r="15220">
      <c r="H15220" t="s">
        <v>5117</v>
      </c>
    </row>
    <row r="15221">
      <c r="H15221" t="s">
        <v>5117</v>
      </c>
    </row>
    <row r="15222">
      <c r="H15222" t="s">
        <v>5117</v>
      </c>
    </row>
    <row r="15223">
      <c r="H15223" t="s">
        <v>5117</v>
      </c>
    </row>
    <row r="15224">
      <c r="H15224" t="s">
        <v>5117</v>
      </c>
    </row>
    <row r="15225">
      <c r="H15225" t="s">
        <v>5117</v>
      </c>
    </row>
    <row r="15226">
      <c r="H15226" t="s">
        <v>5117</v>
      </c>
    </row>
    <row r="15227">
      <c r="H15227" t="s">
        <v>5117</v>
      </c>
    </row>
    <row r="15228">
      <c r="H15228" t="s">
        <v>5117</v>
      </c>
    </row>
    <row r="15229">
      <c r="H15229" t="s">
        <v>5117</v>
      </c>
    </row>
    <row r="15230">
      <c r="H15230" t="s">
        <v>5117</v>
      </c>
    </row>
    <row r="15231">
      <c r="H15231" t="s">
        <v>5117</v>
      </c>
    </row>
    <row r="15232">
      <c r="H15232" t="s">
        <v>5117</v>
      </c>
    </row>
    <row r="15233">
      <c r="H15233" t="s">
        <v>5117</v>
      </c>
    </row>
    <row r="15234">
      <c r="H15234" t="s">
        <v>5117</v>
      </c>
    </row>
    <row r="15235">
      <c r="H15235" t="s">
        <v>5117</v>
      </c>
    </row>
    <row r="15236">
      <c r="H15236" t="s">
        <v>5117</v>
      </c>
    </row>
    <row r="15237">
      <c r="H15237" t="s">
        <v>5117</v>
      </c>
    </row>
    <row r="15238">
      <c r="H15238" t="s">
        <v>5117</v>
      </c>
    </row>
    <row r="15239">
      <c r="H15239" t="s">
        <v>5117</v>
      </c>
    </row>
    <row r="15240">
      <c r="H15240" t="s">
        <v>5117</v>
      </c>
    </row>
    <row r="15241">
      <c r="H15241" t="s">
        <v>5117</v>
      </c>
    </row>
    <row r="15242">
      <c r="H15242" t="s">
        <v>5117</v>
      </c>
    </row>
    <row r="15243">
      <c r="H15243" t="s">
        <v>5117</v>
      </c>
    </row>
    <row r="15244">
      <c r="H15244" t="s">
        <v>5117</v>
      </c>
    </row>
    <row r="15245">
      <c r="H15245" t="s">
        <v>5117</v>
      </c>
    </row>
    <row r="15246">
      <c r="H15246" t="s">
        <v>5117</v>
      </c>
    </row>
    <row r="15247">
      <c r="H15247" t="s">
        <v>5117</v>
      </c>
    </row>
    <row r="15248">
      <c r="H15248" t="s">
        <v>5117</v>
      </c>
    </row>
    <row r="15249">
      <c r="H15249" t="s">
        <v>5117</v>
      </c>
    </row>
    <row r="15250">
      <c r="H15250" t="s">
        <v>5117</v>
      </c>
    </row>
    <row r="15251">
      <c r="H15251" t="s">
        <v>5117</v>
      </c>
    </row>
    <row r="15252">
      <c r="H15252" t="s">
        <v>5117</v>
      </c>
    </row>
    <row r="15253">
      <c r="H15253" t="s">
        <v>5117</v>
      </c>
    </row>
    <row r="15254">
      <c r="H15254" t="s">
        <v>5117</v>
      </c>
    </row>
    <row r="15255">
      <c r="H15255" t="s">
        <v>5117</v>
      </c>
    </row>
    <row r="15256">
      <c r="H15256" t="s">
        <v>5117</v>
      </c>
    </row>
    <row r="15257">
      <c r="H15257" t="s">
        <v>5117</v>
      </c>
    </row>
    <row r="15258">
      <c r="H15258" t="s">
        <v>5117</v>
      </c>
    </row>
    <row r="15259">
      <c r="H15259" t="s">
        <v>5117</v>
      </c>
    </row>
    <row r="15260">
      <c r="H15260" t="s">
        <v>5117</v>
      </c>
    </row>
    <row r="15261">
      <c r="H15261" t="s">
        <v>5117</v>
      </c>
    </row>
    <row r="15262">
      <c r="H15262" t="s">
        <v>5117</v>
      </c>
    </row>
    <row r="15263">
      <c r="H15263" t="s">
        <v>5117</v>
      </c>
    </row>
    <row r="15264">
      <c r="H15264" t="s">
        <v>5117</v>
      </c>
    </row>
    <row r="15265">
      <c r="H15265" t="s">
        <v>5117</v>
      </c>
    </row>
    <row r="15266">
      <c r="H15266" t="s">
        <v>5117</v>
      </c>
    </row>
    <row r="15267">
      <c r="H15267" t="s">
        <v>5117</v>
      </c>
    </row>
    <row r="15268">
      <c r="H15268" t="s">
        <v>5117</v>
      </c>
    </row>
    <row r="15269">
      <c r="H15269" t="s">
        <v>5117</v>
      </c>
    </row>
    <row r="15270">
      <c r="H15270" t="s">
        <v>5117</v>
      </c>
    </row>
    <row r="15271">
      <c r="H15271" t="s">
        <v>5117</v>
      </c>
    </row>
    <row r="15272">
      <c r="H15272" t="s">
        <v>5117</v>
      </c>
    </row>
    <row r="15273">
      <c r="H15273" t="s">
        <v>5117</v>
      </c>
    </row>
    <row r="15274">
      <c r="H15274" t="s">
        <v>5117</v>
      </c>
    </row>
    <row r="15275">
      <c r="H15275" t="s">
        <v>5117</v>
      </c>
    </row>
    <row r="15276">
      <c r="H15276" t="s">
        <v>5117</v>
      </c>
    </row>
    <row r="15277">
      <c r="H15277" t="s">
        <v>5117</v>
      </c>
    </row>
    <row r="15278">
      <c r="H15278" t="s">
        <v>5117</v>
      </c>
    </row>
    <row r="15279">
      <c r="H15279" t="s">
        <v>5117</v>
      </c>
    </row>
    <row r="15280">
      <c r="H15280" t="s">
        <v>5117</v>
      </c>
    </row>
    <row r="15281">
      <c r="H15281" t="s">
        <v>5117</v>
      </c>
    </row>
    <row r="15282">
      <c r="H15282" t="s">
        <v>5117</v>
      </c>
    </row>
    <row r="15283">
      <c r="H15283" t="s">
        <v>5117</v>
      </c>
    </row>
    <row r="15284">
      <c r="H15284" t="s">
        <v>5117</v>
      </c>
    </row>
    <row r="15285">
      <c r="H15285" t="s">
        <v>5117</v>
      </c>
    </row>
    <row r="15286">
      <c r="H15286" t="s">
        <v>5117</v>
      </c>
    </row>
    <row r="15287">
      <c r="H15287" t="s">
        <v>5117</v>
      </c>
    </row>
    <row r="15288">
      <c r="H15288" t="s">
        <v>5117</v>
      </c>
    </row>
    <row r="15289">
      <c r="H15289" t="s">
        <v>5117</v>
      </c>
    </row>
    <row r="15290">
      <c r="H15290" t="s">
        <v>5117</v>
      </c>
    </row>
    <row r="15291">
      <c r="H15291" t="s">
        <v>5117</v>
      </c>
    </row>
    <row r="15292">
      <c r="H15292" t="s">
        <v>5117</v>
      </c>
    </row>
    <row r="15293">
      <c r="H15293" t="s">
        <v>5117</v>
      </c>
    </row>
    <row r="15294">
      <c r="H15294" t="s">
        <v>5117</v>
      </c>
    </row>
    <row r="15295">
      <c r="H15295" t="s">
        <v>5117</v>
      </c>
    </row>
    <row r="15296">
      <c r="H15296" t="s">
        <v>5117</v>
      </c>
    </row>
    <row r="15297">
      <c r="H15297" t="s">
        <v>5117</v>
      </c>
    </row>
    <row r="15298">
      <c r="H15298" t="s">
        <v>5117</v>
      </c>
    </row>
    <row r="15299">
      <c r="H15299" t="s">
        <v>5117</v>
      </c>
    </row>
    <row r="15300">
      <c r="H15300" t="s">
        <v>5117</v>
      </c>
    </row>
    <row r="15301">
      <c r="H15301" t="s">
        <v>5117</v>
      </c>
    </row>
    <row r="15302">
      <c r="H15302" t="s">
        <v>5117</v>
      </c>
    </row>
    <row r="15303">
      <c r="H15303" t="s">
        <v>5117</v>
      </c>
    </row>
    <row r="15304">
      <c r="H15304" t="s">
        <v>5117</v>
      </c>
    </row>
    <row r="15305">
      <c r="H15305" t="s">
        <v>5117</v>
      </c>
    </row>
    <row r="15306">
      <c r="H15306" t="s">
        <v>5117</v>
      </c>
    </row>
    <row r="15307">
      <c r="H15307" t="s">
        <v>5117</v>
      </c>
    </row>
    <row r="15308">
      <c r="H15308" t="s">
        <v>5117</v>
      </c>
    </row>
    <row r="15309">
      <c r="H15309" t="s">
        <v>5117</v>
      </c>
    </row>
    <row r="15310">
      <c r="H15310" t="s">
        <v>5117</v>
      </c>
    </row>
    <row r="15311">
      <c r="H15311" t="s">
        <v>5117</v>
      </c>
    </row>
    <row r="15312">
      <c r="H15312" t="s">
        <v>5117</v>
      </c>
    </row>
    <row r="15313">
      <c r="H15313" t="s">
        <v>5117</v>
      </c>
    </row>
    <row r="15314">
      <c r="H15314" t="s">
        <v>5117</v>
      </c>
    </row>
    <row r="15315">
      <c r="H15315" t="s">
        <v>5117</v>
      </c>
    </row>
    <row r="15316">
      <c r="H15316" t="s">
        <v>5117</v>
      </c>
    </row>
    <row r="15317">
      <c r="H15317" t="s">
        <v>5117</v>
      </c>
    </row>
    <row r="15318">
      <c r="H15318" t="s">
        <v>5117</v>
      </c>
    </row>
    <row r="15319">
      <c r="H15319" t="s">
        <v>5117</v>
      </c>
    </row>
    <row r="15320">
      <c r="H15320" t="s">
        <v>5117</v>
      </c>
    </row>
    <row r="15321">
      <c r="H15321" t="s">
        <v>5117</v>
      </c>
    </row>
    <row r="15322">
      <c r="H15322" t="s">
        <v>5117</v>
      </c>
    </row>
    <row r="15323">
      <c r="H15323" t="s">
        <v>5117</v>
      </c>
    </row>
    <row r="15324">
      <c r="H15324" t="s">
        <v>5117</v>
      </c>
    </row>
    <row r="15325">
      <c r="H15325" t="s">
        <v>5117</v>
      </c>
    </row>
    <row r="15326">
      <c r="H15326" t="s">
        <v>5117</v>
      </c>
    </row>
    <row r="15327">
      <c r="H15327" t="s">
        <v>5117</v>
      </c>
    </row>
    <row r="15328">
      <c r="H15328" t="s">
        <v>5117</v>
      </c>
    </row>
    <row r="15329">
      <c r="H15329" t="s">
        <v>5117</v>
      </c>
    </row>
    <row r="15330">
      <c r="H15330" t="s">
        <v>5117</v>
      </c>
    </row>
    <row r="15331">
      <c r="H15331" t="s">
        <v>5117</v>
      </c>
    </row>
    <row r="15332">
      <c r="H15332" t="s">
        <v>5117</v>
      </c>
    </row>
    <row r="15333">
      <c r="H15333" t="s">
        <v>5117</v>
      </c>
    </row>
    <row r="15334">
      <c r="H15334" t="s">
        <v>5117</v>
      </c>
    </row>
    <row r="15335">
      <c r="H15335" t="s">
        <v>5117</v>
      </c>
    </row>
    <row r="15336">
      <c r="H15336" t="s">
        <v>5117</v>
      </c>
    </row>
    <row r="15337">
      <c r="H15337" t="s">
        <v>5117</v>
      </c>
    </row>
    <row r="15338">
      <c r="H15338" t="s">
        <v>5117</v>
      </c>
    </row>
    <row r="15339">
      <c r="H15339" t="s">
        <v>5117</v>
      </c>
    </row>
    <row r="15340">
      <c r="H15340" t="s">
        <v>5117</v>
      </c>
    </row>
    <row r="15341">
      <c r="H15341" t="s">
        <v>5117</v>
      </c>
    </row>
    <row r="15342">
      <c r="H15342" t="s">
        <v>5117</v>
      </c>
    </row>
    <row r="15343">
      <c r="H15343" t="s">
        <v>5117</v>
      </c>
    </row>
    <row r="15344">
      <c r="H15344" t="s">
        <v>5117</v>
      </c>
    </row>
    <row r="15345">
      <c r="H15345" t="s">
        <v>5117</v>
      </c>
    </row>
    <row r="15346">
      <c r="H15346" t="s">
        <v>5117</v>
      </c>
    </row>
    <row r="15347">
      <c r="H15347" t="s">
        <v>5117</v>
      </c>
    </row>
    <row r="15348">
      <c r="H15348" t="s">
        <v>5117</v>
      </c>
    </row>
    <row r="15349">
      <c r="H15349" t="s">
        <v>5117</v>
      </c>
    </row>
    <row r="15350">
      <c r="H15350" t="s">
        <v>5117</v>
      </c>
    </row>
    <row r="15351">
      <c r="H15351" t="s">
        <v>5117</v>
      </c>
    </row>
    <row r="15352">
      <c r="H15352" t="s">
        <v>5117</v>
      </c>
    </row>
    <row r="15353">
      <c r="H15353" t="s">
        <v>5117</v>
      </c>
    </row>
    <row r="15354">
      <c r="H15354" t="s">
        <v>5117</v>
      </c>
    </row>
    <row r="15355">
      <c r="H15355" t="s">
        <v>5117</v>
      </c>
    </row>
    <row r="15356">
      <c r="H15356" t="s">
        <v>5117</v>
      </c>
    </row>
    <row r="15357">
      <c r="H15357" t="s">
        <v>5117</v>
      </c>
    </row>
    <row r="15358">
      <c r="H15358" t="s">
        <v>5117</v>
      </c>
    </row>
    <row r="15359">
      <c r="H15359" t="s">
        <v>5117</v>
      </c>
    </row>
    <row r="15360">
      <c r="H15360" t="s">
        <v>5117</v>
      </c>
    </row>
    <row r="15361">
      <c r="H15361" t="s">
        <v>5117</v>
      </c>
    </row>
    <row r="15362">
      <c r="H15362" t="s">
        <v>5117</v>
      </c>
    </row>
    <row r="15363">
      <c r="H15363" t="s">
        <v>5117</v>
      </c>
    </row>
    <row r="15364">
      <c r="H15364" t="s">
        <v>5117</v>
      </c>
    </row>
    <row r="15365">
      <c r="H15365" t="s">
        <v>5117</v>
      </c>
    </row>
    <row r="15366">
      <c r="H15366" t="s">
        <v>5117</v>
      </c>
    </row>
    <row r="15367">
      <c r="H15367" t="s">
        <v>5117</v>
      </c>
    </row>
    <row r="15368">
      <c r="H15368" t="s">
        <v>5117</v>
      </c>
    </row>
    <row r="15369">
      <c r="H15369" t="s">
        <v>5117</v>
      </c>
    </row>
    <row r="15370">
      <c r="H15370" t="s">
        <v>5117</v>
      </c>
    </row>
    <row r="15371">
      <c r="H15371" t="s">
        <v>5117</v>
      </c>
    </row>
    <row r="15372">
      <c r="H15372" t="s">
        <v>5117</v>
      </c>
    </row>
    <row r="15373">
      <c r="H15373" t="s">
        <v>5117</v>
      </c>
    </row>
    <row r="15374">
      <c r="H15374" t="s">
        <v>5117</v>
      </c>
    </row>
    <row r="15375">
      <c r="H15375" t="s">
        <v>5117</v>
      </c>
    </row>
    <row r="15376">
      <c r="H15376" t="s">
        <v>5117</v>
      </c>
    </row>
    <row r="15377">
      <c r="H15377" t="s">
        <v>5117</v>
      </c>
    </row>
    <row r="15378">
      <c r="H15378" t="s">
        <v>5117</v>
      </c>
    </row>
    <row r="15379">
      <c r="H15379" t="s">
        <v>5117</v>
      </c>
    </row>
    <row r="15380">
      <c r="H15380" t="s">
        <v>5117</v>
      </c>
    </row>
    <row r="15381">
      <c r="H15381" t="s">
        <v>5117</v>
      </c>
    </row>
    <row r="15382">
      <c r="H15382" t="s">
        <v>5117</v>
      </c>
    </row>
    <row r="15383">
      <c r="H15383" t="s">
        <v>5117</v>
      </c>
    </row>
    <row r="15384">
      <c r="H15384" t="s">
        <v>5117</v>
      </c>
    </row>
    <row r="15385">
      <c r="H15385" t="s">
        <v>5117</v>
      </c>
    </row>
    <row r="15386">
      <c r="H15386" t="s">
        <v>5117</v>
      </c>
    </row>
    <row r="15387">
      <c r="H15387" t="s">
        <v>5117</v>
      </c>
    </row>
    <row r="15388">
      <c r="H15388" t="s">
        <v>5117</v>
      </c>
    </row>
    <row r="15389">
      <c r="H15389" t="s">
        <v>5117</v>
      </c>
    </row>
    <row r="15390">
      <c r="H15390" t="s">
        <v>5117</v>
      </c>
    </row>
    <row r="15391">
      <c r="H15391" t="s">
        <v>5117</v>
      </c>
    </row>
    <row r="15392">
      <c r="H15392" t="s">
        <v>5117</v>
      </c>
    </row>
    <row r="15393">
      <c r="H15393" t="s">
        <v>5117</v>
      </c>
    </row>
    <row r="15394">
      <c r="H15394" t="s">
        <v>5117</v>
      </c>
    </row>
    <row r="15395">
      <c r="H15395" t="s">
        <v>5117</v>
      </c>
    </row>
    <row r="15396">
      <c r="H15396" t="s">
        <v>5117</v>
      </c>
    </row>
    <row r="15397">
      <c r="H15397" t="s">
        <v>5117</v>
      </c>
    </row>
    <row r="15398">
      <c r="H15398" t="s">
        <v>5117</v>
      </c>
    </row>
    <row r="15399">
      <c r="H15399" t="s">
        <v>5117</v>
      </c>
    </row>
    <row r="15400">
      <c r="H15400" t="s">
        <v>5117</v>
      </c>
    </row>
    <row r="15401">
      <c r="H15401" t="s">
        <v>5117</v>
      </c>
    </row>
    <row r="15402">
      <c r="H15402" t="s">
        <v>5117</v>
      </c>
    </row>
    <row r="15403">
      <c r="H15403" t="s">
        <v>5117</v>
      </c>
    </row>
    <row r="15404">
      <c r="H15404" t="s">
        <v>5117</v>
      </c>
    </row>
    <row r="15405">
      <c r="H15405" t="s">
        <v>5117</v>
      </c>
    </row>
    <row r="15406">
      <c r="H15406" t="s">
        <v>5117</v>
      </c>
    </row>
    <row r="15407">
      <c r="H15407" t="s">
        <v>5117</v>
      </c>
    </row>
    <row r="15408">
      <c r="H15408" t="s">
        <v>5117</v>
      </c>
    </row>
    <row r="15409">
      <c r="H15409" t="s">
        <v>5117</v>
      </c>
    </row>
    <row r="15410">
      <c r="H15410" t="s">
        <v>5117</v>
      </c>
    </row>
    <row r="15411">
      <c r="H15411" t="s">
        <v>5117</v>
      </c>
    </row>
    <row r="15412">
      <c r="H15412" t="s">
        <v>5117</v>
      </c>
    </row>
    <row r="15413">
      <c r="H15413" t="s">
        <v>5117</v>
      </c>
    </row>
    <row r="15414">
      <c r="H15414" t="s">
        <v>5117</v>
      </c>
    </row>
    <row r="15415">
      <c r="H15415" t="s">
        <v>5117</v>
      </c>
    </row>
    <row r="15416">
      <c r="H15416" t="s">
        <v>5117</v>
      </c>
    </row>
    <row r="15417">
      <c r="H15417" t="s">
        <v>5117</v>
      </c>
    </row>
    <row r="15418">
      <c r="H15418" t="s">
        <v>5117</v>
      </c>
    </row>
    <row r="15419">
      <c r="H15419" t="s">
        <v>5117</v>
      </c>
    </row>
    <row r="15420">
      <c r="H15420" t="s">
        <v>5117</v>
      </c>
    </row>
    <row r="15421">
      <c r="H15421" t="s">
        <v>5117</v>
      </c>
    </row>
    <row r="15422">
      <c r="H15422" t="s">
        <v>5117</v>
      </c>
    </row>
    <row r="15423">
      <c r="H15423" t="s">
        <v>5117</v>
      </c>
    </row>
    <row r="15424">
      <c r="H15424" t="s">
        <v>5117</v>
      </c>
    </row>
    <row r="15425">
      <c r="H15425" t="s">
        <v>5117</v>
      </c>
    </row>
    <row r="15426">
      <c r="H15426" t="s">
        <v>5117</v>
      </c>
    </row>
    <row r="15427">
      <c r="H15427" t="s">
        <v>5117</v>
      </c>
    </row>
    <row r="15428">
      <c r="H15428" t="s">
        <v>5117</v>
      </c>
    </row>
    <row r="15429">
      <c r="H15429" t="s">
        <v>5117</v>
      </c>
    </row>
    <row r="15430">
      <c r="H15430" t="s">
        <v>5117</v>
      </c>
    </row>
    <row r="15431">
      <c r="H15431" t="s">
        <v>5117</v>
      </c>
    </row>
    <row r="15432">
      <c r="H15432" t="s">
        <v>5117</v>
      </c>
    </row>
    <row r="15433">
      <c r="H15433" t="s">
        <v>5117</v>
      </c>
    </row>
    <row r="15434">
      <c r="H15434" t="s">
        <v>5117</v>
      </c>
    </row>
    <row r="15435">
      <c r="H15435" t="s">
        <v>5117</v>
      </c>
    </row>
    <row r="15436">
      <c r="H15436" t="s">
        <v>5117</v>
      </c>
    </row>
    <row r="15437">
      <c r="H15437" t="s">
        <v>5117</v>
      </c>
    </row>
    <row r="15438">
      <c r="H15438" t="s">
        <v>5117</v>
      </c>
    </row>
    <row r="15439">
      <c r="H15439" t="s">
        <v>5117</v>
      </c>
    </row>
    <row r="15440">
      <c r="H15440" t="s">
        <v>5117</v>
      </c>
    </row>
    <row r="15441">
      <c r="H15441" t="s">
        <v>5117</v>
      </c>
    </row>
    <row r="15442">
      <c r="H15442" t="s">
        <v>5117</v>
      </c>
    </row>
    <row r="15443">
      <c r="H15443" t="s">
        <v>5117</v>
      </c>
    </row>
    <row r="15444">
      <c r="H15444" t="s">
        <v>5117</v>
      </c>
    </row>
    <row r="15445">
      <c r="H15445" t="s">
        <v>5117</v>
      </c>
    </row>
    <row r="15446">
      <c r="H15446" t="s">
        <v>5117</v>
      </c>
    </row>
    <row r="15447">
      <c r="H15447" t="s">
        <v>5117</v>
      </c>
    </row>
    <row r="15448">
      <c r="H15448" t="s">
        <v>5117</v>
      </c>
    </row>
    <row r="15449">
      <c r="H15449" t="s">
        <v>5117</v>
      </c>
    </row>
    <row r="15450">
      <c r="H15450" t="s">
        <v>5117</v>
      </c>
    </row>
    <row r="15451">
      <c r="H15451" t="s">
        <v>5117</v>
      </c>
    </row>
    <row r="15452">
      <c r="H15452" t="s">
        <v>5117</v>
      </c>
    </row>
    <row r="15453">
      <c r="H15453" t="s">
        <v>5117</v>
      </c>
    </row>
    <row r="15454">
      <c r="H15454" t="s">
        <v>5117</v>
      </c>
    </row>
    <row r="15455">
      <c r="H15455" t="s">
        <v>5117</v>
      </c>
    </row>
    <row r="15456">
      <c r="H15456" t="s">
        <v>5117</v>
      </c>
    </row>
    <row r="15457">
      <c r="H15457" t="s">
        <v>5117</v>
      </c>
    </row>
    <row r="15458">
      <c r="H15458" t="s">
        <v>5117</v>
      </c>
    </row>
    <row r="15459">
      <c r="H15459" t="s">
        <v>5117</v>
      </c>
    </row>
    <row r="15460">
      <c r="H15460" t="s">
        <v>5117</v>
      </c>
    </row>
    <row r="15461">
      <c r="H15461" t="s">
        <v>5117</v>
      </c>
    </row>
    <row r="15462">
      <c r="H15462" t="s">
        <v>5117</v>
      </c>
    </row>
    <row r="15463">
      <c r="H15463" t="s">
        <v>5117</v>
      </c>
    </row>
    <row r="15464">
      <c r="H15464" t="s">
        <v>5117</v>
      </c>
    </row>
    <row r="15465">
      <c r="H15465" t="s">
        <v>5117</v>
      </c>
    </row>
    <row r="15466">
      <c r="H15466" t="s">
        <v>5117</v>
      </c>
    </row>
    <row r="15467">
      <c r="H15467" t="s">
        <v>5117</v>
      </c>
    </row>
    <row r="15468">
      <c r="H15468" t="s">
        <v>5117</v>
      </c>
    </row>
    <row r="15469">
      <c r="H15469" t="s">
        <v>5117</v>
      </c>
    </row>
    <row r="15470">
      <c r="H15470" t="s">
        <v>5117</v>
      </c>
    </row>
    <row r="15471">
      <c r="H15471" t="s">
        <v>5117</v>
      </c>
    </row>
    <row r="15472">
      <c r="H15472" t="s">
        <v>5117</v>
      </c>
    </row>
    <row r="15473">
      <c r="H15473" t="s">
        <v>5117</v>
      </c>
    </row>
    <row r="15474">
      <c r="H15474" t="s">
        <v>5117</v>
      </c>
    </row>
    <row r="15475">
      <c r="H15475" t="s">
        <v>5117</v>
      </c>
    </row>
    <row r="15476">
      <c r="H15476" t="s">
        <v>5117</v>
      </c>
    </row>
    <row r="15477">
      <c r="H15477" t="s">
        <v>5117</v>
      </c>
    </row>
    <row r="15478">
      <c r="H15478" t="s">
        <v>5117</v>
      </c>
    </row>
    <row r="15479">
      <c r="H15479" t="s">
        <v>5117</v>
      </c>
    </row>
    <row r="15480">
      <c r="H15480" t="s">
        <v>5117</v>
      </c>
    </row>
    <row r="15481">
      <c r="H15481" t="s">
        <v>5117</v>
      </c>
    </row>
    <row r="15482">
      <c r="H15482" t="s">
        <v>5117</v>
      </c>
    </row>
    <row r="15483">
      <c r="H15483" t="s">
        <v>5117</v>
      </c>
    </row>
    <row r="15484">
      <c r="H15484" t="s">
        <v>5117</v>
      </c>
    </row>
    <row r="15485">
      <c r="H15485" t="s">
        <v>5117</v>
      </c>
    </row>
    <row r="15486">
      <c r="H15486" t="s">
        <v>5117</v>
      </c>
    </row>
    <row r="15487">
      <c r="H15487" t="s">
        <v>5117</v>
      </c>
    </row>
    <row r="15488">
      <c r="H15488" t="s">
        <v>5117</v>
      </c>
    </row>
    <row r="15489">
      <c r="H15489" t="s">
        <v>5117</v>
      </c>
    </row>
    <row r="15490">
      <c r="H15490" t="s">
        <v>5117</v>
      </c>
    </row>
    <row r="15491">
      <c r="H15491" t="s">
        <v>5117</v>
      </c>
    </row>
    <row r="15492">
      <c r="H15492" t="s">
        <v>5117</v>
      </c>
    </row>
    <row r="15493">
      <c r="H15493" t="s">
        <v>5117</v>
      </c>
    </row>
    <row r="15494">
      <c r="H15494" t="s">
        <v>5117</v>
      </c>
    </row>
    <row r="15495">
      <c r="H15495" t="s">
        <v>5117</v>
      </c>
    </row>
    <row r="15496">
      <c r="H15496" t="s">
        <v>5117</v>
      </c>
    </row>
    <row r="15497">
      <c r="H15497" t="s">
        <v>5117</v>
      </c>
    </row>
    <row r="15498">
      <c r="H15498" t="s">
        <v>5117</v>
      </c>
    </row>
    <row r="15499">
      <c r="H15499" t="s">
        <v>5117</v>
      </c>
    </row>
    <row r="15500">
      <c r="H15500" t="s">
        <v>5117</v>
      </c>
    </row>
    <row r="15501">
      <c r="H15501" t="s">
        <v>5117</v>
      </c>
    </row>
    <row r="15502">
      <c r="H15502" t="s">
        <v>5117</v>
      </c>
    </row>
    <row r="15503">
      <c r="H15503" t="s">
        <v>5117</v>
      </c>
    </row>
    <row r="15504">
      <c r="H15504" t="s">
        <v>5117</v>
      </c>
    </row>
    <row r="15505">
      <c r="H15505" t="s">
        <v>5117</v>
      </c>
    </row>
    <row r="15506">
      <c r="H15506" t="s">
        <v>5117</v>
      </c>
    </row>
    <row r="15507">
      <c r="H15507" t="s">
        <v>5117</v>
      </c>
    </row>
    <row r="15508">
      <c r="H15508" t="s">
        <v>5117</v>
      </c>
    </row>
    <row r="15509">
      <c r="H15509" t="s">
        <v>5117</v>
      </c>
    </row>
    <row r="15510">
      <c r="H15510" t="s">
        <v>5117</v>
      </c>
    </row>
    <row r="15511">
      <c r="H15511" t="s">
        <v>5117</v>
      </c>
    </row>
    <row r="15512">
      <c r="H15512" t="s">
        <v>5117</v>
      </c>
    </row>
    <row r="15513">
      <c r="H15513" t="s">
        <v>5117</v>
      </c>
    </row>
    <row r="15514">
      <c r="H15514" t="s">
        <v>5117</v>
      </c>
    </row>
    <row r="15515">
      <c r="H15515" t="s">
        <v>5117</v>
      </c>
    </row>
    <row r="15516">
      <c r="H15516" t="s">
        <v>5117</v>
      </c>
    </row>
    <row r="15517">
      <c r="H15517" t="s">
        <v>5117</v>
      </c>
    </row>
    <row r="15518">
      <c r="H15518" t="s">
        <v>5117</v>
      </c>
    </row>
    <row r="15519">
      <c r="H15519" t="s">
        <v>5117</v>
      </c>
    </row>
    <row r="15520">
      <c r="H15520" t="s">
        <v>5117</v>
      </c>
    </row>
    <row r="15521">
      <c r="H15521" t="s">
        <v>5117</v>
      </c>
    </row>
    <row r="15522">
      <c r="H15522" t="s">
        <v>5117</v>
      </c>
    </row>
    <row r="15523">
      <c r="H15523" t="s">
        <v>5117</v>
      </c>
    </row>
    <row r="15524">
      <c r="H15524" t="s">
        <v>5117</v>
      </c>
    </row>
    <row r="15525">
      <c r="H15525" t="s">
        <v>5117</v>
      </c>
    </row>
    <row r="15526">
      <c r="H15526" t="s">
        <v>5117</v>
      </c>
    </row>
    <row r="15527">
      <c r="H15527" t="s">
        <v>5117</v>
      </c>
    </row>
    <row r="15528">
      <c r="H15528" t="s">
        <v>5117</v>
      </c>
    </row>
    <row r="15529">
      <c r="H15529" t="s">
        <v>5117</v>
      </c>
    </row>
    <row r="15530">
      <c r="H15530" t="s">
        <v>5117</v>
      </c>
    </row>
    <row r="15531">
      <c r="H15531" t="s">
        <v>5117</v>
      </c>
    </row>
    <row r="15532">
      <c r="H15532" t="s">
        <v>5117</v>
      </c>
    </row>
    <row r="15533">
      <c r="H15533" t="s">
        <v>5117</v>
      </c>
    </row>
    <row r="15534">
      <c r="H15534" t="s">
        <v>5117</v>
      </c>
    </row>
    <row r="15535">
      <c r="H15535" t="s">
        <v>5117</v>
      </c>
    </row>
    <row r="15536">
      <c r="H15536" t="s">
        <v>5117</v>
      </c>
    </row>
    <row r="15537">
      <c r="H15537" t="s">
        <v>5117</v>
      </c>
    </row>
    <row r="15538">
      <c r="H15538" t="s">
        <v>5117</v>
      </c>
    </row>
    <row r="15539">
      <c r="H15539" t="s">
        <v>5117</v>
      </c>
    </row>
    <row r="15540">
      <c r="H15540" t="s">
        <v>5117</v>
      </c>
    </row>
    <row r="15541">
      <c r="H15541" t="s">
        <v>5117</v>
      </c>
    </row>
    <row r="15542">
      <c r="H15542" t="s">
        <v>5117</v>
      </c>
    </row>
    <row r="15543">
      <c r="H15543" t="s">
        <v>5117</v>
      </c>
    </row>
    <row r="15544">
      <c r="H15544" t="s">
        <v>5117</v>
      </c>
    </row>
    <row r="15545">
      <c r="H15545" t="s">
        <v>5117</v>
      </c>
    </row>
    <row r="15546">
      <c r="H15546" t="s">
        <v>5117</v>
      </c>
    </row>
    <row r="15547">
      <c r="H15547" t="s">
        <v>5117</v>
      </c>
    </row>
    <row r="15548">
      <c r="H15548" t="s">
        <v>5117</v>
      </c>
    </row>
    <row r="15549">
      <c r="H15549" t="s">
        <v>5117</v>
      </c>
    </row>
    <row r="15550">
      <c r="H15550" t="s">
        <v>5117</v>
      </c>
    </row>
    <row r="15551">
      <c r="H15551" t="s">
        <v>5117</v>
      </c>
    </row>
    <row r="15552">
      <c r="H15552" t="s">
        <v>5117</v>
      </c>
    </row>
    <row r="15553">
      <c r="H15553" t="s">
        <v>5117</v>
      </c>
    </row>
    <row r="15554">
      <c r="H15554" t="s">
        <v>5117</v>
      </c>
    </row>
    <row r="15555">
      <c r="H15555" t="s">
        <v>5117</v>
      </c>
    </row>
    <row r="15556">
      <c r="H15556" t="s">
        <v>5117</v>
      </c>
    </row>
    <row r="15557">
      <c r="H15557" t="s">
        <v>5117</v>
      </c>
    </row>
    <row r="15558">
      <c r="H15558" t="s">
        <v>5117</v>
      </c>
    </row>
    <row r="15559">
      <c r="H15559" t="s">
        <v>5117</v>
      </c>
    </row>
    <row r="15560">
      <c r="H15560" t="s">
        <v>5117</v>
      </c>
    </row>
    <row r="15561">
      <c r="H15561" t="s">
        <v>5117</v>
      </c>
    </row>
    <row r="15562">
      <c r="H15562" t="s">
        <v>5117</v>
      </c>
    </row>
    <row r="15563">
      <c r="H15563" t="s">
        <v>5117</v>
      </c>
    </row>
    <row r="15564">
      <c r="H15564" t="s">
        <v>5117</v>
      </c>
    </row>
    <row r="15565">
      <c r="H15565" t="s">
        <v>5117</v>
      </c>
    </row>
    <row r="15566">
      <c r="H15566" t="s">
        <v>5117</v>
      </c>
    </row>
    <row r="15567">
      <c r="H15567" t="s">
        <v>5117</v>
      </c>
    </row>
    <row r="15568">
      <c r="H15568" t="s">
        <v>5117</v>
      </c>
    </row>
    <row r="15569">
      <c r="H15569" t="s">
        <v>5117</v>
      </c>
    </row>
    <row r="15570">
      <c r="H15570" t="s">
        <v>5117</v>
      </c>
    </row>
    <row r="15571">
      <c r="H15571" t="s">
        <v>5117</v>
      </c>
    </row>
    <row r="15572">
      <c r="H15572" t="s">
        <v>5117</v>
      </c>
    </row>
    <row r="15573">
      <c r="H15573" t="s">
        <v>5117</v>
      </c>
    </row>
    <row r="15574">
      <c r="H15574" t="s">
        <v>5117</v>
      </c>
    </row>
    <row r="15575">
      <c r="H15575" t="s">
        <v>5117</v>
      </c>
    </row>
    <row r="15576">
      <c r="H15576" t="s">
        <v>5117</v>
      </c>
    </row>
    <row r="15577">
      <c r="H15577" t="s">
        <v>5117</v>
      </c>
    </row>
    <row r="15578">
      <c r="H15578" t="s">
        <v>5117</v>
      </c>
    </row>
    <row r="15579">
      <c r="H15579" t="s">
        <v>5117</v>
      </c>
    </row>
    <row r="15580">
      <c r="H15580" t="s">
        <v>5117</v>
      </c>
    </row>
    <row r="15581">
      <c r="H15581" t="s">
        <v>5117</v>
      </c>
    </row>
    <row r="15582">
      <c r="H15582" t="s">
        <v>5117</v>
      </c>
    </row>
    <row r="15583">
      <c r="H15583" t="s">
        <v>5117</v>
      </c>
    </row>
    <row r="15584">
      <c r="H15584" t="s">
        <v>5117</v>
      </c>
    </row>
    <row r="15585">
      <c r="H15585" t="s">
        <v>5117</v>
      </c>
    </row>
    <row r="15586">
      <c r="H15586" t="s">
        <v>5117</v>
      </c>
    </row>
    <row r="15587">
      <c r="H15587" t="s">
        <v>5117</v>
      </c>
    </row>
    <row r="15588">
      <c r="H15588" t="s">
        <v>5117</v>
      </c>
    </row>
    <row r="15589">
      <c r="H15589" t="s">
        <v>5117</v>
      </c>
    </row>
    <row r="15590">
      <c r="H15590" t="s">
        <v>5117</v>
      </c>
    </row>
    <row r="15591">
      <c r="H15591" t="s">
        <v>5117</v>
      </c>
    </row>
    <row r="15592">
      <c r="H15592" t="s">
        <v>5117</v>
      </c>
    </row>
    <row r="15593">
      <c r="H15593" t="s">
        <v>5117</v>
      </c>
    </row>
    <row r="15594">
      <c r="H15594" t="s">
        <v>5117</v>
      </c>
    </row>
    <row r="15595">
      <c r="H15595" t="s">
        <v>5117</v>
      </c>
    </row>
    <row r="15596">
      <c r="H15596" t="s">
        <v>5117</v>
      </c>
    </row>
    <row r="15597">
      <c r="H15597" t="s">
        <v>5117</v>
      </c>
    </row>
    <row r="15598">
      <c r="H15598" t="s">
        <v>5117</v>
      </c>
    </row>
    <row r="15599">
      <c r="H15599" t="s">
        <v>5117</v>
      </c>
    </row>
    <row r="15600">
      <c r="H15600" t="s">
        <v>5117</v>
      </c>
    </row>
    <row r="15601">
      <c r="H15601" t="s">
        <v>5117</v>
      </c>
    </row>
    <row r="15602">
      <c r="H15602" t="s">
        <v>5117</v>
      </c>
    </row>
    <row r="15603">
      <c r="H15603" t="s">
        <v>5117</v>
      </c>
    </row>
    <row r="15604">
      <c r="H15604" t="s">
        <v>5117</v>
      </c>
    </row>
    <row r="15605">
      <c r="H15605" t="s">
        <v>5117</v>
      </c>
    </row>
    <row r="15606">
      <c r="H15606" t="s">
        <v>5117</v>
      </c>
    </row>
    <row r="15607">
      <c r="H15607" t="s">
        <v>5117</v>
      </c>
    </row>
    <row r="15608">
      <c r="H15608" t="s">
        <v>5117</v>
      </c>
    </row>
    <row r="15609">
      <c r="H15609" t="s">
        <v>5117</v>
      </c>
    </row>
    <row r="15610">
      <c r="H15610" t="s">
        <v>5117</v>
      </c>
    </row>
    <row r="15611">
      <c r="H15611" t="s">
        <v>5117</v>
      </c>
    </row>
    <row r="15612">
      <c r="H15612" t="s">
        <v>5117</v>
      </c>
    </row>
    <row r="15613">
      <c r="H15613" t="s">
        <v>5117</v>
      </c>
    </row>
    <row r="15614">
      <c r="H15614" t="s">
        <v>5117</v>
      </c>
    </row>
    <row r="15615">
      <c r="H15615" t="s">
        <v>5117</v>
      </c>
    </row>
    <row r="15616">
      <c r="H15616" t="s">
        <v>5117</v>
      </c>
    </row>
    <row r="15617">
      <c r="H15617" t="s">
        <v>5117</v>
      </c>
    </row>
    <row r="15618">
      <c r="H15618" t="s">
        <v>5117</v>
      </c>
    </row>
    <row r="15619">
      <c r="H15619" t="s">
        <v>5117</v>
      </c>
    </row>
    <row r="15620">
      <c r="H15620" t="s">
        <v>5117</v>
      </c>
    </row>
    <row r="15621">
      <c r="H15621" t="s">
        <v>5117</v>
      </c>
    </row>
    <row r="15622">
      <c r="H15622" t="s">
        <v>5117</v>
      </c>
    </row>
    <row r="15623">
      <c r="H15623" t="s">
        <v>5117</v>
      </c>
    </row>
    <row r="15624">
      <c r="H15624" t="s">
        <v>5117</v>
      </c>
    </row>
    <row r="15625">
      <c r="H15625" t="s">
        <v>5117</v>
      </c>
    </row>
    <row r="15626">
      <c r="H15626" t="s">
        <v>5117</v>
      </c>
    </row>
    <row r="15627">
      <c r="H15627" t="s">
        <v>5117</v>
      </c>
    </row>
    <row r="15628">
      <c r="H15628" t="s">
        <v>5117</v>
      </c>
    </row>
    <row r="15629">
      <c r="H15629" t="s">
        <v>5117</v>
      </c>
    </row>
    <row r="15630">
      <c r="H15630" t="s">
        <v>5117</v>
      </c>
    </row>
    <row r="15631">
      <c r="H15631" t="s">
        <v>5117</v>
      </c>
    </row>
    <row r="15632">
      <c r="H15632" t="s">
        <v>5117</v>
      </c>
    </row>
    <row r="15633">
      <c r="H15633" t="s">
        <v>5117</v>
      </c>
    </row>
    <row r="15634">
      <c r="H15634" t="s">
        <v>5117</v>
      </c>
    </row>
    <row r="15635">
      <c r="H15635" t="s">
        <v>5117</v>
      </c>
    </row>
    <row r="15636">
      <c r="H15636" t="s">
        <v>5117</v>
      </c>
    </row>
    <row r="15637">
      <c r="H15637" t="s">
        <v>5117</v>
      </c>
    </row>
    <row r="15638">
      <c r="H15638" t="s">
        <v>5117</v>
      </c>
    </row>
    <row r="15639">
      <c r="H15639" t="s">
        <v>5117</v>
      </c>
    </row>
    <row r="15640">
      <c r="H15640" t="s">
        <v>5117</v>
      </c>
    </row>
    <row r="15641">
      <c r="H15641" t="s">
        <v>5117</v>
      </c>
    </row>
    <row r="15642">
      <c r="H15642" t="s">
        <v>5117</v>
      </c>
    </row>
    <row r="15643">
      <c r="H15643" t="s">
        <v>5117</v>
      </c>
    </row>
    <row r="15644">
      <c r="H15644" t="s">
        <v>5117</v>
      </c>
    </row>
    <row r="15645">
      <c r="H15645" t="s">
        <v>5117</v>
      </c>
    </row>
    <row r="15646">
      <c r="H15646" t="s">
        <v>5117</v>
      </c>
    </row>
    <row r="15647">
      <c r="H15647" t="s">
        <v>5117</v>
      </c>
    </row>
    <row r="15648">
      <c r="H15648" t="s">
        <v>5117</v>
      </c>
    </row>
    <row r="15649">
      <c r="H15649" t="s">
        <v>5117</v>
      </c>
    </row>
    <row r="15650">
      <c r="H15650" t="s">
        <v>5117</v>
      </c>
    </row>
    <row r="15651">
      <c r="H15651" t="s">
        <v>5117</v>
      </c>
    </row>
    <row r="15652">
      <c r="H15652" t="s">
        <v>5117</v>
      </c>
    </row>
    <row r="15653">
      <c r="H15653" t="s">
        <v>5117</v>
      </c>
    </row>
    <row r="15654">
      <c r="H15654" t="s">
        <v>5117</v>
      </c>
    </row>
    <row r="15655">
      <c r="H15655" t="s">
        <v>5117</v>
      </c>
    </row>
    <row r="15656">
      <c r="H15656" t="s">
        <v>5117</v>
      </c>
    </row>
    <row r="15657">
      <c r="H15657" t="s">
        <v>5117</v>
      </c>
    </row>
    <row r="15658">
      <c r="H15658" t="s">
        <v>5117</v>
      </c>
    </row>
    <row r="15659">
      <c r="H15659" t="s">
        <v>5117</v>
      </c>
    </row>
    <row r="15660">
      <c r="H15660" t="s">
        <v>5117</v>
      </c>
    </row>
    <row r="15661">
      <c r="H15661" t="s">
        <v>5117</v>
      </c>
    </row>
    <row r="15662">
      <c r="H15662" t="s">
        <v>5117</v>
      </c>
    </row>
    <row r="15663">
      <c r="H15663" t="s">
        <v>5117</v>
      </c>
    </row>
    <row r="15664">
      <c r="H15664" t="s">
        <v>5117</v>
      </c>
    </row>
    <row r="15665">
      <c r="H15665" t="s">
        <v>5117</v>
      </c>
    </row>
    <row r="15666">
      <c r="H15666" t="s">
        <v>5117</v>
      </c>
    </row>
    <row r="15667">
      <c r="H15667" t="s">
        <v>5117</v>
      </c>
    </row>
    <row r="15668">
      <c r="H15668" t="s">
        <v>5117</v>
      </c>
    </row>
    <row r="15669">
      <c r="H15669" t="s">
        <v>5117</v>
      </c>
    </row>
    <row r="15670">
      <c r="H15670" t="s">
        <v>5117</v>
      </c>
    </row>
    <row r="15671">
      <c r="H15671" t="s">
        <v>5117</v>
      </c>
    </row>
    <row r="15672">
      <c r="H15672" t="s">
        <v>5117</v>
      </c>
    </row>
    <row r="15673">
      <c r="H15673" t="s">
        <v>5117</v>
      </c>
    </row>
    <row r="15674">
      <c r="H15674" t="s">
        <v>5117</v>
      </c>
    </row>
    <row r="15675">
      <c r="H15675" t="s">
        <v>5117</v>
      </c>
    </row>
    <row r="15676">
      <c r="H15676" t="s">
        <v>5117</v>
      </c>
    </row>
    <row r="15677">
      <c r="H15677" t="s">
        <v>5117</v>
      </c>
    </row>
    <row r="15678">
      <c r="H15678" t="s">
        <v>5117</v>
      </c>
    </row>
    <row r="15679">
      <c r="H15679" t="s">
        <v>5117</v>
      </c>
    </row>
    <row r="15680">
      <c r="H15680" t="s">
        <v>5117</v>
      </c>
    </row>
    <row r="15681">
      <c r="H15681" t="s">
        <v>5117</v>
      </c>
    </row>
    <row r="15682">
      <c r="H15682" t="s">
        <v>5117</v>
      </c>
    </row>
    <row r="15683">
      <c r="H15683" t="s">
        <v>5117</v>
      </c>
    </row>
    <row r="15684">
      <c r="H15684" t="s">
        <v>5117</v>
      </c>
    </row>
    <row r="15685">
      <c r="H15685" t="s">
        <v>5117</v>
      </c>
    </row>
    <row r="15686">
      <c r="H15686" t="s">
        <v>5117</v>
      </c>
    </row>
    <row r="15687">
      <c r="H15687" t="s">
        <v>5117</v>
      </c>
    </row>
    <row r="15688">
      <c r="H15688" t="s">
        <v>5117</v>
      </c>
    </row>
    <row r="15689">
      <c r="H15689" t="s">
        <v>5117</v>
      </c>
    </row>
    <row r="15690">
      <c r="H15690" t="s">
        <v>5117</v>
      </c>
    </row>
    <row r="15691">
      <c r="H15691" t="s">
        <v>5117</v>
      </c>
    </row>
    <row r="15692">
      <c r="H15692" t="s">
        <v>5117</v>
      </c>
    </row>
    <row r="15693">
      <c r="H15693" t="s">
        <v>5117</v>
      </c>
    </row>
    <row r="15694">
      <c r="H15694" t="s">
        <v>5117</v>
      </c>
    </row>
    <row r="15695">
      <c r="H15695" t="s">
        <v>5117</v>
      </c>
    </row>
    <row r="15696">
      <c r="H15696" t="s">
        <v>5117</v>
      </c>
    </row>
    <row r="15697">
      <c r="H15697" t="s">
        <v>5117</v>
      </c>
    </row>
    <row r="15698">
      <c r="H15698" t="s">
        <v>5117</v>
      </c>
    </row>
    <row r="15699">
      <c r="H15699" t="s">
        <v>5117</v>
      </c>
    </row>
    <row r="15700">
      <c r="H15700" t="s">
        <v>5117</v>
      </c>
    </row>
    <row r="15701">
      <c r="H15701" t="s">
        <v>5117</v>
      </c>
    </row>
    <row r="15702">
      <c r="H15702" t="s">
        <v>5117</v>
      </c>
    </row>
    <row r="15703">
      <c r="H15703" t="s">
        <v>5117</v>
      </c>
    </row>
    <row r="15704">
      <c r="H15704" t="s">
        <v>5117</v>
      </c>
    </row>
    <row r="15705">
      <c r="H15705" t="s">
        <v>5117</v>
      </c>
    </row>
    <row r="15706">
      <c r="H15706" t="s">
        <v>5117</v>
      </c>
    </row>
    <row r="15707">
      <c r="H15707" t="s">
        <v>5117</v>
      </c>
    </row>
    <row r="15708">
      <c r="H15708" t="s">
        <v>5117</v>
      </c>
    </row>
    <row r="15709">
      <c r="H15709" t="s">
        <v>5117</v>
      </c>
    </row>
    <row r="15710">
      <c r="H15710" t="s">
        <v>5117</v>
      </c>
    </row>
    <row r="15711">
      <c r="H15711" t="s">
        <v>5117</v>
      </c>
    </row>
    <row r="15712">
      <c r="H15712" t="s">
        <v>5117</v>
      </c>
    </row>
    <row r="15713">
      <c r="H15713" t="s">
        <v>5117</v>
      </c>
    </row>
    <row r="15714">
      <c r="H15714" t="s">
        <v>5117</v>
      </c>
    </row>
    <row r="15715">
      <c r="H15715" t="s">
        <v>5117</v>
      </c>
    </row>
    <row r="15716">
      <c r="H15716" t="s">
        <v>5117</v>
      </c>
    </row>
    <row r="15717">
      <c r="H15717" t="s">
        <v>5117</v>
      </c>
    </row>
    <row r="15718">
      <c r="H15718" t="s">
        <v>5117</v>
      </c>
    </row>
    <row r="15719">
      <c r="H15719" t="s">
        <v>5117</v>
      </c>
    </row>
    <row r="15720">
      <c r="H15720" t="s">
        <v>5117</v>
      </c>
    </row>
    <row r="15721">
      <c r="H15721" t="s">
        <v>5117</v>
      </c>
    </row>
    <row r="15722">
      <c r="H15722" t="s">
        <v>5117</v>
      </c>
    </row>
    <row r="15723">
      <c r="H15723" t="s">
        <v>5117</v>
      </c>
    </row>
    <row r="15724">
      <c r="H15724" t="s">
        <v>5117</v>
      </c>
    </row>
    <row r="15725">
      <c r="H15725" t="s">
        <v>5117</v>
      </c>
    </row>
    <row r="15726">
      <c r="H15726" t="s">
        <v>5117</v>
      </c>
    </row>
    <row r="15727">
      <c r="H15727" t="s">
        <v>5117</v>
      </c>
    </row>
    <row r="15728">
      <c r="H15728" t="s">
        <v>5117</v>
      </c>
    </row>
    <row r="15729">
      <c r="H15729" t="s">
        <v>5117</v>
      </c>
    </row>
    <row r="15730">
      <c r="H15730" t="s">
        <v>5117</v>
      </c>
    </row>
    <row r="15731">
      <c r="H15731" t="s">
        <v>5117</v>
      </c>
    </row>
    <row r="15732">
      <c r="H15732" t="s">
        <v>5117</v>
      </c>
    </row>
    <row r="15733">
      <c r="H15733" t="s">
        <v>5117</v>
      </c>
    </row>
    <row r="15734">
      <c r="H15734" t="s">
        <v>5117</v>
      </c>
    </row>
    <row r="15735">
      <c r="H15735" t="s">
        <v>5117</v>
      </c>
    </row>
    <row r="15736">
      <c r="H15736" t="s">
        <v>5117</v>
      </c>
    </row>
    <row r="15737">
      <c r="H15737" t="s">
        <v>5117</v>
      </c>
    </row>
    <row r="15738">
      <c r="H15738" t="s">
        <v>5117</v>
      </c>
    </row>
    <row r="15739">
      <c r="H15739" t="s">
        <v>5117</v>
      </c>
    </row>
    <row r="15740">
      <c r="H15740" t="s">
        <v>5117</v>
      </c>
    </row>
    <row r="15741">
      <c r="H15741" t="s">
        <v>5117</v>
      </c>
    </row>
    <row r="15742">
      <c r="H15742" t="s">
        <v>5117</v>
      </c>
    </row>
    <row r="15743">
      <c r="H15743" t="s">
        <v>5117</v>
      </c>
    </row>
    <row r="15744">
      <c r="H15744" t="s">
        <v>5117</v>
      </c>
    </row>
    <row r="15745">
      <c r="H15745" t="s">
        <v>5117</v>
      </c>
    </row>
    <row r="15746">
      <c r="H15746" t="s">
        <v>5117</v>
      </c>
    </row>
    <row r="15747">
      <c r="H15747" t="s">
        <v>5117</v>
      </c>
    </row>
    <row r="15748">
      <c r="H15748" t="s">
        <v>5117</v>
      </c>
    </row>
    <row r="15749">
      <c r="H15749" t="s">
        <v>5117</v>
      </c>
    </row>
    <row r="15750">
      <c r="H15750" t="s">
        <v>5117</v>
      </c>
    </row>
    <row r="15751">
      <c r="H15751" t="s">
        <v>5117</v>
      </c>
    </row>
    <row r="15752">
      <c r="H15752" t="s">
        <v>5117</v>
      </c>
    </row>
    <row r="15753">
      <c r="H15753" t="s">
        <v>5117</v>
      </c>
    </row>
    <row r="15754">
      <c r="H15754" t="s">
        <v>5117</v>
      </c>
    </row>
    <row r="15755">
      <c r="H15755" t="s">
        <v>5117</v>
      </c>
    </row>
    <row r="15756">
      <c r="H15756" t="s">
        <v>5117</v>
      </c>
    </row>
    <row r="15757">
      <c r="H15757" t="s">
        <v>5117</v>
      </c>
    </row>
    <row r="15758">
      <c r="H15758" t="s">
        <v>5117</v>
      </c>
    </row>
    <row r="15759">
      <c r="H15759" t="s">
        <v>5117</v>
      </c>
    </row>
    <row r="15760">
      <c r="H15760" t="s">
        <v>5117</v>
      </c>
    </row>
    <row r="15761">
      <c r="H15761" t="s">
        <v>5117</v>
      </c>
    </row>
    <row r="15762">
      <c r="H15762" t="s">
        <v>5117</v>
      </c>
    </row>
    <row r="15763">
      <c r="H15763" t="s">
        <v>5117</v>
      </c>
    </row>
    <row r="15764">
      <c r="H15764" t="s">
        <v>5117</v>
      </c>
    </row>
    <row r="15765">
      <c r="H15765" t="s">
        <v>5117</v>
      </c>
    </row>
    <row r="15766">
      <c r="H15766" t="s">
        <v>5117</v>
      </c>
    </row>
    <row r="15767">
      <c r="H15767" t="s">
        <v>5117</v>
      </c>
    </row>
    <row r="15768">
      <c r="H15768" t="s">
        <v>5117</v>
      </c>
    </row>
    <row r="15769">
      <c r="H15769" t="s">
        <v>5117</v>
      </c>
    </row>
    <row r="15770">
      <c r="H15770" t="s">
        <v>5117</v>
      </c>
    </row>
    <row r="15771">
      <c r="H15771" t="s">
        <v>5117</v>
      </c>
    </row>
    <row r="15772">
      <c r="H15772" t="s">
        <v>5117</v>
      </c>
    </row>
    <row r="15773">
      <c r="H15773" t="s">
        <v>5117</v>
      </c>
    </row>
    <row r="15774">
      <c r="H15774" t="s">
        <v>5117</v>
      </c>
    </row>
    <row r="15775">
      <c r="H15775" t="s">
        <v>5117</v>
      </c>
    </row>
    <row r="15776">
      <c r="H15776" t="s">
        <v>5117</v>
      </c>
    </row>
    <row r="15777">
      <c r="H15777" t="s">
        <v>5117</v>
      </c>
    </row>
    <row r="15778">
      <c r="H15778" t="s">
        <v>5117</v>
      </c>
    </row>
    <row r="15779">
      <c r="H15779" t="s">
        <v>5117</v>
      </c>
    </row>
    <row r="15780">
      <c r="H15780" t="s">
        <v>5117</v>
      </c>
    </row>
    <row r="15781">
      <c r="H15781" t="s">
        <v>5117</v>
      </c>
    </row>
    <row r="15782">
      <c r="H15782" t="s">
        <v>5117</v>
      </c>
    </row>
    <row r="15783">
      <c r="H15783" t="s">
        <v>5117</v>
      </c>
    </row>
    <row r="15784">
      <c r="H15784" t="s">
        <v>5117</v>
      </c>
    </row>
    <row r="15785">
      <c r="H15785" t="s">
        <v>5117</v>
      </c>
    </row>
    <row r="15786">
      <c r="H15786" t="s">
        <v>5117</v>
      </c>
    </row>
    <row r="15787">
      <c r="H15787" t="s">
        <v>5117</v>
      </c>
    </row>
    <row r="15788">
      <c r="H15788" t="s">
        <v>5117</v>
      </c>
    </row>
    <row r="15789">
      <c r="H15789" t="s">
        <v>5117</v>
      </c>
    </row>
    <row r="15790">
      <c r="H15790" t="s">
        <v>5117</v>
      </c>
    </row>
    <row r="15791">
      <c r="H15791" t="s">
        <v>5117</v>
      </c>
    </row>
    <row r="15792">
      <c r="H15792" t="s">
        <v>5117</v>
      </c>
    </row>
    <row r="15793">
      <c r="H15793" t="s">
        <v>5117</v>
      </c>
    </row>
    <row r="15794">
      <c r="H15794" t="s">
        <v>5117</v>
      </c>
    </row>
    <row r="15795">
      <c r="H15795" t="s">
        <v>5117</v>
      </c>
    </row>
    <row r="15796">
      <c r="H15796" t="s">
        <v>5117</v>
      </c>
    </row>
    <row r="15797">
      <c r="H15797" t="s">
        <v>5117</v>
      </c>
    </row>
    <row r="15798">
      <c r="H15798" t="s">
        <v>5117</v>
      </c>
    </row>
    <row r="15799">
      <c r="H15799" t="s">
        <v>5117</v>
      </c>
    </row>
    <row r="15800">
      <c r="H15800" t="s">
        <v>5117</v>
      </c>
    </row>
    <row r="15801">
      <c r="H15801" t="s">
        <v>5117</v>
      </c>
    </row>
    <row r="15802">
      <c r="H15802" t="s">
        <v>5117</v>
      </c>
    </row>
    <row r="15803">
      <c r="H15803" t="s">
        <v>5117</v>
      </c>
    </row>
    <row r="15804">
      <c r="H15804" t="s">
        <v>5117</v>
      </c>
    </row>
    <row r="15805">
      <c r="H15805" t="s">
        <v>5117</v>
      </c>
    </row>
    <row r="15806">
      <c r="H15806" t="s">
        <v>5117</v>
      </c>
    </row>
    <row r="15807">
      <c r="H15807" t="s">
        <v>5117</v>
      </c>
    </row>
    <row r="15808">
      <c r="H15808" t="s">
        <v>5117</v>
      </c>
    </row>
    <row r="15809">
      <c r="H15809" t="s">
        <v>5117</v>
      </c>
    </row>
    <row r="15810">
      <c r="H15810" t="s">
        <v>5117</v>
      </c>
    </row>
    <row r="15811">
      <c r="H15811" t="s">
        <v>5117</v>
      </c>
    </row>
    <row r="15812">
      <c r="H15812" t="s">
        <v>5117</v>
      </c>
    </row>
    <row r="15813">
      <c r="H15813" t="s">
        <v>5117</v>
      </c>
    </row>
    <row r="15814">
      <c r="H15814" t="s">
        <v>5117</v>
      </c>
    </row>
    <row r="15815">
      <c r="H15815" t="s">
        <v>5117</v>
      </c>
    </row>
    <row r="15816">
      <c r="H15816" t="s">
        <v>5117</v>
      </c>
    </row>
    <row r="15817">
      <c r="H15817" t="s">
        <v>5117</v>
      </c>
    </row>
    <row r="15818">
      <c r="H15818" t="s">
        <v>5117</v>
      </c>
    </row>
    <row r="15819">
      <c r="H15819" t="s">
        <v>5117</v>
      </c>
    </row>
    <row r="15820">
      <c r="H15820" t="s">
        <v>5117</v>
      </c>
    </row>
    <row r="15821">
      <c r="H15821" t="s">
        <v>5117</v>
      </c>
    </row>
    <row r="15822">
      <c r="H15822" t="s">
        <v>5117</v>
      </c>
    </row>
    <row r="15823">
      <c r="H15823" t="s">
        <v>5117</v>
      </c>
    </row>
    <row r="15824">
      <c r="H15824" t="s">
        <v>5117</v>
      </c>
    </row>
    <row r="15825">
      <c r="H15825" t="s">
        <v>5117</v>
      </c>
    </row>
    <row r="15826">
      <c r="H15826" t="s">
        <v>5117</v>
      </c>
    </row>
    <row r="15827">
      <c r="H15827" t="s">
        <v>5117</v>
      </c>
    </row>
    <row r="15828">
      <c r="H15828" t="s">
        <v>5117</v>
      </c>
    </row>
    <row r="15829">
      <c r="H15829" t="s">
        <v>5117</v>
      </c>
    </row>
    <row r="15830">
      <c r="H15830" t="s">
        <v>5117</v>
      </c>
    </row>
    <row r="15831">
      <c r="H15831" t="s">
        <v>5117</v>
      </c>
    </row>
    <row r="15832">
      <c r="H15832" t="s">
        <v>5117</v>
      </c>
    </row>
    <row r="15833">
      <c r="H15833" t="s">
        <v>5117</v>
      </c>
    </row>
    <row r="15834">
      <c r="H15834" t="s">
        <v>5117</v>
      </c>
    </row>
    <row r="15835">
      <c r="H15835" t="s">
        <v>5117</v>
      </c>
    </row>
    <row r="15836">
      <c r="H15836" t="s">
        <v>5117</v>
      </c>
    </row>
    <row r="15837">
      <c r="H15837" t="s">
        <v>5117</v>
      </c>
    </row>
    <row r="15838">
      <c r="H15838" t="s">
        <v>5117</v>
      </c>
    </row>
    <row r="15839">
      <c r="H15839" t="s">
        <v>5117</v>
      </c>
    </row>
    <row r="15840">
      <c r="H15840" t="s">
        <v>5117</v>
      </c>
    </row>
    <row r="15841">
      <c r="H15841" t="s">
        <v>5117</v>
      </c>
    </row>
    <row r="15842">
      <c r="H15842" t="s">
        <v>5117</v>
      </c>
    </row>
    <row r="15843">
      <c r="H15843" t="s">
        <v>5117</v>
      </c>
    </row>
    <row r="15844">
      <c r="H15844" t="s">
        <v>5117</v>
      </c>
    </row>
    <row r="15845">
      <c r="H15845" t="s">
        <v>5117</v>
      </c>
    </row>
    <row r="15846">
      <c r="H15846" t="s">
        <v>5117</v>
      </c>
    </row>
    <row r="15847">
      <c r="H15847" t="s">
        <v>5117</v>
      </c>
    </row>
    <row r="15848">
      <c r="H15848" t="s">
        <v>5117</v>
      </c>
    </row>
    <row r="15849">
      <c r="H15849" t="s">
        <v>5117</v>
      </c>
    </row>
    <row r="15850">
      <c r="H15850" t="s">
        <v>5117</v>
      </c>
    </row>
    <row r="15851">
      <c r="H15851" t="s">
        <v>5117</v>
      </c>
    </row>
    <row r="15852">
      <c r="H15852" t="s">
        <v>5117</v>
      </c>
    </row>
    <row r="15853">
      <c r="H15853" t="s">
        <v>5117</v>
      </c>
    </row>
    <row r="15854">
      <c r="H15854" t="s">
        <v>5117</v>
      </c>
    </row>
    <row r="15855">
      <c r="H15855" t="s">
        <v>5117</v>
      </c>
    </row>
    <row r="15856">
      <c r="H15856" t="s">
        <v>5117</v>
      </c>
    </row>
    <row r="15857">
      <c r="H15857" t="s">
        <v>5117</v>
      </c>
    </row>
    <row r="15858">
      <c r="H15858" t="s">
        <v>5117</v>
      </c>
    </row>
    <row r="15859">
      <c r="H15859" t="s">
        <v>5117</v>
      </c>
    </row>
    <row r="15860">
      <c r="H15860" t="s">
        <v>5117</v>
      </c>
    </row>
    <row r="15861">
      <c r="H15861" t="s">
        <v>5117</v>
      </c>
    </row>
    <row r="15862">
      <c r="H15862" t="s">
        <v>5117</v>
      </c>
    </row>
    <row r="15863">
      <c r="H15863" t="s">
        <v>5117</v>
      </c>
    </row>
    <row r="15864">
      <c r="H15864" t="s">
        <v>5117</v>
      </c>
    </row>
    <row r="15865">
      <c r="H15865" t="s">
        <v>5117</v>
      </c>
    </row>
    <row r="15866">
      <c r="H15866" t="s">
        <v>5117</v>
      </c>
    </row>
    <row r="15867">
      <c r="H15867" t="s">
        <v>5117</v>
      </c>
    </row>
    <row r="15868">
      <c r="H15868" t="s">
        <v>5117</v>
      </c>
    </row>
    <row r="15869">
      <c r="H15869" t="s">
        <v>5117</v>
      </c>
    </row>
    <row r="15870">
      <c r="H15870" t="s">
        <v>5117</v>
      </c>
    </row>
    <row r="15871">
      <c r="H15871" t="s">
        <v>5117</v>
      </c>
    </row>
    <row r="15872">
      <c r="H15872" t="s">
        <v>5117</v>
      </c>
    </row>
    <row r="15873">
      <c r="H15873" t="s">
        <v>5117</v>
      </c>
    </row>
    <row r="15874">
      <c r="H15874" t="s">
        <v>5117</v>
      </c>
    </row>
    <row r="15875">
      <c r="H15875" t="s">
        <v>5117</v>
      </c>
    </row>
    <row r="15876">
      <c r="H15876" t="s">
        <v>5117</v>
      </c>
    </row>
    <row r="15877">
      <c r="H15877" t="s">
        <v>5117</v>
      </c>
    </row>
    <row r="15878">
      <c r="H15878" t="s">
        <v>5117</v>
      </c>
    </row>
    <row r="15879">
      <c r="H15879" t="s">
        <v>5117</v>
      </c>
    </row>
    <row r="15880">
      <c r="H15880" t="s">
        <v>5117</v>
      </c>
    </row>
    <row r="15881">
      <c r="H15881" t="s">
        <v>5117</v>
      </c>
    </row>
    <row r="15882">
      <c r="H15882" t="s">
        <v>5117</v>
      </c>
    </row>
    <row r="15883">
      <c r="H15883" t="s">
        <v>5117</v>
      </c>
    </row>
    <row r="15884">
      <c r="H15884" t="s">
        <v>5117</v>
      </c>
    </row>
    <row r="15885">
      <c r="H15885" t="s">
        <v>5117</v>
      </c>
    </row>
    <row r="15886">
      <c r="H15886" t="s">
        <v>5117</v>
      </c>
    </row>
    <row r="15887">
      <c r="H15887" t="s">
        <v>5117</v>
      </c>
    </row>
    <row r="15888">
      <c r="H15888" t="s">
        <v>5117</v>
      </c>
    </row>
    <row r="15889">
      <c r="H15889" t="s">
        <v>5117</v>
      </c>
    </row>
    <row r="15890">
      <c r="H15890" t="s">
        <v>5117</v>
      </c>
    </row>
    <row r="15891">
      <c r="H15891" t="s">
        <v>5117</v>
      </c>
    </row>
    <row r="15892">
      <c r="H15892" t="s">
        <v>5117</v>
      </c>
    </row>
    <row r="15893">
      <c r="H15893" t="s">
        <v>5117</v>
      </c>
    </row>
    <row r="15894">
      <c r="H15894" t="s">
        <v>5117</v>
      </c>
    </row>
    <row r="15895">
      <c r="H15895" t="s">
        <v>5117</v>
      </c>
    </row>
    <row r="15896">
      <c r="H15896" t="s">
        <v>5117</v>
      </c>
    </row>
    <row r="15897">
      <c r="H15897" t="s">
        <v>5117</v>
      </c>
    </row>
    <row r="15898">
      <c r="H15898" t="s">
        <v>5117</v>
      </c>
    </row>
    <row r="15899">
      <c r="H15899" t="s">
        <v>5117</v>
      </c>
    </row>
    <row r="15900">
      <c r="H15900" t="s">
        <v>5117</v>
      </c>
    </row>
    <row r="15901">
      <c r="H15901" t="s">
        <v>5117</v>
      </c>
    </row>
    <row r="15902">
      <c r="H15902" t="s">
        <v>5117</v>
      </c>
    </row>
    <row r="15903">
      <c r="H15903" t="s">
        <v>5117</v>
      </c>
    </row>
    <row r="15904">
      <c r="H15904" t="s">
        <v>5117</v>
      </c>
    </row>
    <row r="15905">
      <c r="H15905" t="s">
        <v>5117</v>
      </c>
    </row>
    <row r="15906">
      <c r="H15906" t="s">
        <v>5117</v>
      </c>
    </row>
    <row r="15907">
      <c r="H15907" t="s">
        <v>5117</v>
      </c>
    </row>
    <row r="15908">
      <c r="H15908" t="s">
        <v>5117</v>
      </c>
    </row>
    <row r="15909">
      <c r="H15909" t="s">
        <v>5117</v>
      </c>
    </row>
    <row r="15910">
      <c r="H15910" t="s">
        <v>5117</v>
      </c>
    </row>
    <row r="15911">
      <c r="H15911" t="s">
        <v>5117</v>
      </c>
    </row>
    <row r="15912">
      <c r="H15912" t="s">
        <v>5117</v>
      </c>
    </row>
    <row r="15913">
      <c r="H15913" t="s">
        <v>5117</v>
      </c>
    </row>
    <row r="15914">
      <c r="H15914" t="s">
        <v>5117</v>
      </c>
    </row>
    <row r="15915">
      <c r="H15915" t="s">
        <v>5117</v>
      </c>
    </row>
    <row r="15916">
      <c r="H15916" t="s">
        <v>5117</v>
      </c>
    </row>
    <row r="15917">
      <c r="H15917" t="s">
        <v>5117</v>
      </c>
    </row>
    <row r="15918">
      <c r="H15918" t="s">
        <v>5117</v>
      </c>
    </row>
    <row r="15919">
      <c r="H15919" t="s">
        <v>5117</v>
      </c>
    </row>
    <row r="15920">
      <c r="H15920" t="s">
        <v>5117</v>
      </c>
    </row>
    <row r="15921">
      <c r="H15921" t="s">
        <v>5117</v>
      </c>
    </row>
    <row r="15922">
      <c r="H15922" t="s">
        <v>5117</v>
      </c>
    </row>
    <row r="15923">
      <c r="H15923" t="s">
        <v>5117</v>
      </c>
    </row>
    <row r="15924">
      <c r="H15924" t="s">
        <v>5117</v>
      </c>
    </row>
    <row r="15925">
      <c r="H15925" t="s">
        <v>5117</v>
      </c>
    </row>
    <row r="15926">
      <c r="H15926" t="s">
        <v>5117</v>
      </c>
    </row>
    <row r="15927">
      <c r="H15927" t="s">
        <v>5117</v>
      </c>
    </row>
    <row r="15928">
      <c r="H15928" t="s">
        <v>5117</v>
      </c>
    </row>
    <row r="15929">
      <c r="H15929" t="s">
        <v>5117</v>
      </c>
    </row>
    <row r="15930">
      <c r="H15930" t="s">
        <v>5117</v>
      </c>
    </row>
    <row r="15931">
      <c r="H15931" t="s">
        <v>5117</v>
      </c>
    </row>
    <row r="15932">
      <c r="H15932" t="s">
        <v>5117</v>
      </c>
    </row>
    <row r="15933">
      <c r="H15933" t="s">
        <v>5117</v>
      </c>
    </row>
    <row r="15934">
      <c r="H15934" t="s">
        <v>5117</v>
      </c>
    </row>
    <row r="15935">
      <c r="H15935" t="s">
        <v>5117</v>
      </c>
    </row>
    <row r="15936">
      <c r="H15936" t="s">
        <v>5117</v>
      </c>
    </row>
    <row r="15937">
      <c r="H15937" t="s">
        <v>5117</v>
      </c>
    </row>
    <row r="15938">
      <c r="H15938" t="s">
        <v>5117</v>
      </c>
    </row>
    <row r="15939">
      <c r="H15939" t="s">
        <v>5117</v>
      </c>
    </row>
    <row r="15940">
      <c r="H15940" t="s">
        <v>5117</v>
      </c>
    </row>
    <row r="15941">
      <c r="H15941" t="s">
        <v>5117</v>
      </c>
    </row>
    <row r="15942">
      <c r="H15942" t="s">
        <v>5117</v>
      </c>
    </row>
    <row r="15943">
      <c r="H15943" t="s">
        <v>5117</v>
      </c>
    </row>
    <row r="15944">
      <c r="H15944" t="s">
        <v>5117</v>
      </c>
    </row>
    <row r="15945">
      <c r="H15945" t="s">
        <v>5117</v>
      </c>
    </row>
    <row r="15946">
      <c r="H15946" t="s">
        <v>5117</v>
      </c>
    </row>
    <row r="15947">
      <c r="H15947" t="s">
        <v>5117</v>
      </c>
    </row>
    <row r="15948">
      <c r="H15948" t="s">
        <v>5117</v>
      </c>
    </row>
    <row r="15949">
      <c r="H15949" t="s">
        <v>5117</v>
      </c>
    </row>
    <row r="15950">
      <c r="H15950" t="s">
        <v>5117</v>
      </c>
    </row>
    <row r="15951">
      <c r="H15951" t="s">
        <v>5117</v>
      </c>
    </row>
    <row r="15952">
      <c r="H15952" t="s">
        <v>5117</v>
      </c>
    </row>
    <row r="15953">
      <c r="H15953" t="s">
        <v>5117</v>
      </c>
    </row>
    <row r="15954">
      <c r="H15954" t="s">
        <v>5117</v>
      </c>
    </row>
    <row r="15955">
      <c r="H15955" t="s">
        <v>5117</v>
      </c>
    </row>
    <row r="15956">
      <c r="H15956" t="s">
        <v>5117</v>
      </c>
    </row>
    <row r="15957">
      <c r="H15957" t="s">
        <v>5117</v>
      </c>
    </row>
    <row r="15958">
      <c r="H15958" t="s">
        <v>5117</v>
      </c>
    </row>
    <row r="15959">
      <c r="H15959" t="s">
        <v>5117</v>
      </c>
    </row>
    <row r="15960">
      <c r="H15960" t="s">
        <v>5117</v>
      </c>
    </row>
    <row r="15961">
      <c r="H15961" t="s">
        <v>5117</v>
      </c>
    </row>
    <row r="15962">
      <c r="H15962" t="s">
        <v>5117</v>
      </c>
    </row>
    <row r="15963">
      <c r="H15963" t="s">
        <v>5117</v>
      </c>
    </row>
    <row r="15964">
      <c r="H15964" t="s">
        <v>5117</v>
      </c>
    </row>
    <row r="15965">
      <c r="H15965" t="s">
        <v>5117</v>
      </c>
    </row>
    <row r="15966">
      <c r="H15966" t="s">
        <v>5117</v>
      </c>
    </row>
    <row r="15967">
      <c r="H15967" t="s">
        <v>5117</v>
      </c>
    </row>
    <row r="15968">
      <c r="H15968" t="s">
        <v>5117</v>
      </c>
    </row>
    <row r="15969">
      <c r="H15969" t="s">
        <v>5117</v>
      </c>
    </row>
    <row r="15970">
      <c r="H15970" t="s">
        <v>5117</v>
      </c>
    </row>
    <row r="15971">
      <c r="H15971" t="s">
        <v>5117</v>
      </c>
    </row>
    <row r="15972">
      <c r="H15972" t="s">
        <v>5117</v>
      </c>
    </row>
    <row r="15973">
      <c r="H15973" t="s">
        <v>5117</v>
      </c>
    </row>
    <row r="15974">
      <c r="H15974" t="s">
        <v>5117</v>
      </c>
    </row>
    <row r="15975">
      <c r="H15975" t="s">
        <v>5117</v>
      </c>
    </row>
    <row r="15976">
      <c r="H15976" t="s">
        <v>5117</v>
      </c>
    </row>
    <row r="15977">
      <c r="H15977" t="s">
        <v>5117</v>
      </c>
    </row>
    <row r="15978">
      <c r="H15978" t="s">
        <v>5117</v>
      </c>
    </row>
    <row r="15979">
      <c r="H15979" t="s">
        <v>5117</v>
      </c>
    </row>
    <row r="15980">
      <c r="H15980" t="s">
        <v>5117</v>
      </c>
    </row>
    <row r="15981">
      <c r="H15981" t="s">
        <v>5117</v>
      </c>
    </row>
    <row r="15982">
      <c r="H15982" t="s">
        <v>5117</v>
      </c>
    </row>
    <row r="15983">
      <c r="H15983" t="s">
        <v>5117</v>
      </c>
    </row>
    <row r="15984">
      <c r="H15984" t="s">
        <v>5117</v>
      </c>
    </row>
    <row r="15985">
      <c r="H15985" t="s">
        <v>5117</v>
      </c>
    </row>
    <row r="15986">
      <c r="H15986" t="s">
        <v>5117</v>
      </c>
    </row>
    <row r="15987">
      <c r="H15987" t="s">
        <v>5117</v>
      </c>
    </row>
    <row r="15988">
      <c r="H15988" t="s">
        <v>5117</v>
      </c>
    </row>
    <row r="15989">
      <c r="H15989" t="s">
        <v>5117</v>
      </c>
    </row>
    <row r="15990">
      <c r="H15990" t="s">
        <v>5117</v>
      </c>
    </row>
    <row r="15991">
      <c r="H15991" t="s">
        <v>5117</v>
      </c>
    </row>
    <row r="15992">
      <c r="H15992" t="s">
        <v>5117</v>
      </c>
    </row>
    <row r="15993">
      <c r="H15993" t="s">
        <v>5117</v>
      </c>
    </row>
    <row r="15994">
      <c r="H15994" t="s">
        <v>5117</v>
      </c>
    </row>
    <row r="15995">
      <c r="H15995" t="s">
        <v>5117</v>
      </c>
    </row>
    <row r="15996">
      <c r="H15996" t="s">
        <v>5117</v>
      </c>
    </row>
    <row r="15997">
      <c r="H15997" t="s">
        <v>5117</v>
      </c>
    </row>
    <row r="15998">
      <c r="H15998" t="s">
        <v>5117</v>
      </c>
    </row>
    <row r="15999">
      <c r="H15999" t="s">
        <v>5117</v>
      </c>
    </row>
    <row r="16000">
      <c r="H16000" t="s">
        <v>5117</v>
      </c>
    </row>
    <row r="16001">
      <c r="H16001" t="s">
        <v>5117</v>
      </c>
    </row>
    <row r="16002">
      <c r="H16002" t="s">
        <v>5117</v>
      </c>
    </row>
    <row r="16003">
      <c r="H16003" t="s">
        <v>5117</v>
      </c>
    </row>
    <row r="16004">
      <c r="H16004" t="s">
        <v>5117</v>
      </c>
    </row>
    <row r="16005">
      <c r="H16005" t="s">
        <v>5117</v>
      </c>
    </row>
    <row r="16006">
      <c r="H16006" t="s">
        <v>5117</v>
      </c>
    </row>
    <row r="16007">
      <c r="H16007" t="s">
        <v>5117</v>
      </c>
    </row>
    <row r="16008">
      <c r="H16008" t="s">
        <v>5117</v>
      </c>
    </row>
    <row r="16009">
      <c r="H16009" t="s">
        <v>5117</v>
      </c>
    </row>
    <row r="16010">
      <c r="H16010" t="s">
        <v>5117</v>
      </c>
    </row>
    <row r="16011">
      <c r="H16011" t="s">
        <v>5117</v>
      </c>
    </row>
    <row r="16012">
      <c r="H16012" t="s">
        <v>5117</v>
      </c>
    </row>
    <row r="16013">
      <c r="H16013" t="s">
        <v>5117</v>
      </c>
    </row>
    <row r="16014">
      <c r="H16014" t="s">
        <v>5117</v>
      </c>
    </row>
    <row r="16015">
      <c r="H16015" t="s">
        <v>5117</v>
      </c>
    </row>
    <row r="16016">
      <c r="H16016" t="s">
        <v>5117</v>
      </c>
    </row>
    <row r="16017">
      <c r="H16017" t="s">
        <v>5117</v>
      </c>
    </row>
    <row r="16018">
      <c r="H16018" t="s">
        <v>5117</v>
      </c>
    </row>
    <row r="16019">
      <c r="H16019" t="s">
        <v>5117</v>
      </c>
    </row>
    <row r="16020">
      <c r="H16020" t="s">
        <v>5117</v>
      </c>
    </row>
    <row r="16021">
      <c r="H16021" t="s">
        <v>5117</v>
      </c>
    </row>
    <row r="16022">
      <c r="H16022" t="s">
        <v>5117</v>
      </c>
    </row>
    <row r="16023">
      <c r="H16023" t="s">
        <v>5117</v>
      </c>
    </row>
    <row r="16024">
      <c r="H16024" t="s">
        <v>5117</v>
      </c>
    </row>
    <row r="16025">
      <c r="H16025" t="s">
        <v>5117</v>
      </c>
    </row>
    <row r="16026">
      <c r="H16026" t="s">
        <v>5117</v>
      </c>
    </row>
    <row r="16027">
      <c r="H16027" t="s">
        <v>5117</v>
      </c>
    </row>
    <row r="16028">
      <c r="H16028" t="s">
        <v>5117</v>
      </c>
    </row>
    <row r="16029">
      <c r="H16029" t="s">
        <v>5117</v>
      </c>
    </row>
    <row r="16030">
      <c r="H16030" t="s">
        <v>5117</v>
      </c>
    </row>
    <row r="16031">
      <c r="H16031" t="s">
        <v>5117</v>
      </c>
    </row>
    <row r="16032">
      <c r="H16032" t="s">
        <v>5117</v>
      </c>
    </row>
    <row r="16033">
      <c r="H16033" t="s">
        <v>5117</v>
      </c>
    </row>
    <row r="16034">
      <c r="H16034" t="s">
        <v>5117</v>
      </c>
    </row>
    <row r="16035">
      <c r="H16035" t="s">
        <v>5117</v>
      </c>
    </row>
    <row r="16036">
      <c r="H16036" t="s">
        <v>5117</v>
      </c>
    </row>
    <row r="16037">
      <c r="H16037" t="s">
        <v>5117</v>
      </c>
    </row>
    <row r="16038">
      <c r="H16038" t="s">
        <v>5117</v>
      </c>
    </row>
    <row r="16039">
      <c r="H16039" t="s">
        <v>5117</v>
      </c>
    </row>
    <row r="16040">
      <c r="H16040" t="s">
        <v>5117</v>
      </c>
    </row>
    <row r="16041">
      <c r="H16041" t="s">
        <v>5117</v>
      </c>
    </row>
    <row r="16042">
      <c r="H16042" t="s">
        <v>5117</v>
      </c>
    </row>
    <row r="16043">
      <c r="H16043" t="s">
        <v>5117</v>
      </c>
    </row>
    <row r="16044">
      <c r="H16044" t="s">
        <v>5117</v>
      </c>
    </row>
    <row r="16045">
      <c r="H16045" t="s">
        <v>5117</v>
      </c>
    </row>
    <row r="16046">
      <c r="H16046" t="s">
        <v>5117</v>
      </c>
    </row>
    <row r="16047">
      <c r="H16047" t="s">
        <v>5117</v>
      </c>
    </row>
    <row r="16048">
      <c r="H16048" t="s">
        <v>5117</v>
      </c>
    </row>
    <row r="16049">
      <c r="H16049" t="s">
        <v>5117</v>
      </c>
    </row>
    <row r="16050">
      <c r="H16050" t="s">
        <v>5117</v>
      </c>
    </row>
    <row r="16051">
      <c r="H16051" t="s">
        <v>5117</v>
      </c>
    </row>
    <row r="16052">
      <c r="H16052" t="s">
        <v>5117</v>
      </c>
    </row>
    <row r="16053">
      <c r="H16053" t="s">
        <v>5117</v>
      </c>
    </row>
    <row r="16054">
      <c r="H16054" t="s">
        <v>5117</v>
      </c>
    </row>
    <row r="16055">
      <c r="H16055" t="s">
        <v>5117</v>
      </c>
    </row>
    <row r="16056">
      <c r="H16056" t="s">
        <v>5117</v>
      </c>
    </row>
    <row r="16057">
      <c r="H16057" t="s">
        <v>5117</v>
      </c>
    </row>
    <row r="16058">
      <c r="H16058" t="s">
        <v>5117</v>
      </c>
    </row>
    <row r="16059">
      <c r="H16059" t="s">
        <v>5117</v>
      </c>
    </row>
    <row r="16060">
      <c r="H16060" t="s">
        <v>5117</v>
      </c>
    </row>
    <row r="16061">
      <c r="H16061" t="s">
        <v>5117</v>
      </c>
    </row>
    <row r="16062">
      <c r="H16062" t="s">
        <v>5117</v>
      </c>
    </row>
    <row r="16063">
      <c r="H16063" t="s">
        <v>5117</v>
      </c>
    </row>
    <row r="16064">
      <c r="H16064" t="s">
        <v>5117</v>
      </c>
    </row>
    <row r="16065">
      <c r="H16065" t="s">
        <v>5117</v>
      </c>
    </row>
    <row r="16066">
      <c r="H16066" t="s">
        <v>5117</v>
      </c>
    </row>
    <row r="16067">
      <c r="H16067" t="s">
        <v>5117</v>
      </c>
    </row>
    <row r="16068">
      <c r="H16068" t="s">
        <v>5117</v>
      </c>
    </row>
    <row r="16069">
      <c r="H16069" t="s">
        <v>5117</v>
      </c>
    </row>
    <row r="16070">
      <c r="H16070" t="s">
        <v>5117</v>
      </c>
    </row>
    <row r="16071">
      <c r="H16071" t="s">
        <v>5117</v>
      </c>
    </row>
    <row r="16072">
      <c r="H16072" t="s">
        <v>5117</v>
      </c>
    </row>
    <row r="16073">
      <c r="H16073" t="s">
        <v>5117</v>
      </c>
    </row>
    <row r="16074">
      <c r="H16074" t="s">
        <v>5117</v>
      </c>
    </row>
    <row r="16075">
      <c r="H16075" t="s">
        <v>5117</v>
      </c>
    </row>
    <row r="16076">
      <c r="H16076" t="s">
        <v>5117</v>
      </c>
    </row>
    <row r="16077">
      <c r="H16077" t="s">
        <v>5117</v>
      </c>
    </row>
    <row r="16078">
      <c r="H16078" t="s">
        <v>5117</v>
      </c>
    </row>
    <row r="16079">
      <c r="H16079" t="s">
        <v>5117</v>
      </c>
    </row>
    <row r="16080">
      <c r="H16080" t="s">
        <v>5117</v>
      </c>
    </row>
    <row r="16081">
      <c r="H16081" t="s">
        <v>5117</v>
      </c>
    </row>
    <row r="16082">
      <c r="H16082" t="s">
        <v>5117</v>
      </c>
    </row>
    <row r="16083">
      <c r="H16083" t="s">
        <v>5117</v>
      </c>
    </row>
    <row r="16084">
      <c r="H16084" t="s">
        <v>5117</v>
      </c>
    </row>
    <row r="16085">
      <c r="H16085" t="s">
        <v>5117</v>
      </c>
    </row>
    <row r="16086">
      <c r="H16086" t="s">
        <v>5117</v>
      </c>
    </row>
    <row r="16087">
      <c r="H16087" t="s">
        <v>5117</v>
      </c>
    </row>
    <row r="16088">
      <c r="H16088" t="s">
        <v>5117</v>
      </c>
    </row>
    <row r="16089">
      <c r="H16089" t="s">
        <v>5117</v>
      </c>
    </row>
    <row r="16090">
      <c r="H16090" t="s">
        <v>5117</v>
      </c>
    </row>
    <row r="16091">
      <c r="H16091" t="s">
        <v>5117</v>
      </c>
    </row>
    <row r="16092">
      <c r="H16092" t="s">
        <v>5117</v>
      </c>
    </row>
    <row r="16093">
      <c r="H16093" t="s">
        <v>5117</v>
      </c>
    </row>
    <row r="16094">
      <c r="H16094" t="s">
        <v>5117</v>
      </c>
    </row>
    <row r="16095">
      <c r="H16095" t="s">
        <v>5117</v>
      </c>
    </row>
    <row r="16096">
      <c r="H16096" t="s">
        <v>5117</v>
      </c>
    </row>
    <row r="16097">
      <c r="H16097" t="s">
        <v>5117</v>
      </c>
    </row>
    <row r="16098">
      <c r="H16098" t="s">
        <v>5117</v>
      </c>
    </row>
    <row r="16099">
      <c r="H16099" t="s">
        <v>5117</v>
      </c>
    </row>
    <row r="16100">
      <c r="H16100" t="s">
        <v>5117</v>
      </c>
    </row>
    <row r="16101">
      <c r="H16101" t="s">
        <v>5117</v>
      </c>
    </row>
    <row r="16102">
      <c r="H16102" t="s">
        <v>5117</v>
      </c>
    </row>
    <row r="16103">
      <c r="H16103" t="s">
        <v>5117</v>
      </c>
    </row>
    <row r="16104">
      <c r="H16104" t="s">
        <v>5117</v>
      </c>
    </row>
    <row r="16105">
      <c r="H16105" t="s">
        <v>5117</v>
      </c>
    </row>
    <row r="16106">
      <c r="H16106" t="s">
        <v>5117</v>
      </c>
    </row>
    <row r="16107">
      <c r="H16107" t="s">
        <v>5117</v>
      </c>
    </row>
    <row r="16108">
      <c r="H16108" t="s">
        <v>5117</v>
      </c>
    </row>
    <row r="16109">
      <c r="H16109" t="s">
        <v>5117</v>
      </c>
    </row>
    <row r="16110">
      <c r="H16110" t="s">
        <v>5117</v>
      </c>
    </row>
    <row r="16111">
      <c r="H16111" t="s">
        <v>5117</v>
      </c>
    </row>
    <row r="16112">
      <c r="H16112" t="s">
        <v>5117</v>
      </c>
    </row>
    <row r="16113">
      <c r="H16113" t="s">
        <v>5117</v>
      </c>
    </row>
    <row r="16114">
      <c r="H16114" t="s">
        <v>5117</v>
      </c>
    </row>
    <row r="16115">
      <c r="H16115" t="s">
        <v>5117</v>
      </c>
    </row>
    <row r="16116">
      <c r="H16116" t="s">
        <v>5117</v>
      </c>
    </row>
    <row r="16117">
      <c r="H16117" t="s">
        <v>5117</v>
      </c>
    </row>
    <row r="16118">
      <c r="H16118" t="s">
        <v>5117</v>
      </c>
    </row>
    <row r="16119">
      <c r="H16119" t="s">
        <v>5117</v>
      </c>
    </row>
    <row r="16120">
      <c r="H16120" t="s">
        <v>5117</v>
      </c>
    </row>
    <row r="16121">
      <c r="H16121" t="s">
        <v>5117</v>
      </c>
    </row>
    <row r="16122">
      <c r="H16122" t="s">
        <v>5117</v>
      </c>
    </row>
    <row r="16123">
      <c r="H16123" t="s">
        <v>5117</v>
      </c>
    </row>
    <row r="16124">
      <c r="H16124" t="s">
        <v>5117</v>
      </c>
    </row>
    <row r="16125">
      <c r="H16125" t="s">
        <v>5117</v>
      </c>
    </row>
    <row r="16126">
      <c r="H16126" t="s">
        <v>5117</v>
      </c>
    </row>
    <row r="16127">
      <c r="H16127" t="s">
        <v>5117</v>
      </c>
    </row>
    <row r="16128">
      <c r="H16128" t="s">
        <v>5117</v>
      </c>
    </row>
    <row r="16129">
      <c r="H16129" t="s">
        <v>5117</v>
      </c>
    </row>
    <row r="16130">
      <c r="H16130" t="s">
        <v>5117</v>
      </c>
    </row>
    <row r="16131">
      <c r="H16131" t="s">
        <v>5117</v>
      </c>
    </row>
    <row r="16132">
      <c r="H16132" t="s">
        <v>5117</v>
      </c>
    </row>
    <row r="16133">
      <c r="H16133" t="s">
        <v>5117</v>
      </c>
    </row>
    <row r="16134">
      <c r="H16134" t="s">
        <v>5117</v>
      </c>
    </row>
    <row r="16135">
      <c r="H16135" t="s">
        <v>5117</v>
      </c>
    </row>
    <row r="16136">
      <c r="H16136" t="s">
        <v>5117</v>
      </c>
    </row>
    <row r="16137">
      <c r="H16137" t="s">
        <v>5117</v>
      </c>
    </row>
    <row r="16138">
      <c r="H16138" t="s">
        <v>5117</v>
      </c>
    </row>
    <row r="16139">
      <c r="H16139" t="s">
        <v>5117</v>
      </c>
    </row>
    <row r="16140">
      <c r="H16140" t="s">
        <v>5117</v>
      </c>
    </row>
    <row r="16141">
      <c r="H16141" t="s">
        <v>5117</v>
      </c>
    </row>
    <row r="16142">
      <c r="H16142" t="s">
        <v>5117</v>
      </c>
    </row>
    <row r="16143">
      <c r="H16143" t="s">
        <v>5117</v>
      </c>
    </row>
    <row r="16144">
      <c r="H16144" t="s">
        <v>5117</v>
      </c>
    </row>
    <row r="16145">
      <c r="H16145" t="s">
        <v>5117</v>
      </c>
    </row>
    <row r="16146">
      <c r="H16146" t="s">
        <v>5117</v>
      </c>
    </row>
    <row r="16147">
      <c r="H16147" t="s">
        <v>5117</v>
      </c>
    </row>
    <row r="16148">
      <c r="H16148" t="s">
        <v>5117</v>
      </c>
    </row>
    <row r="16149">
      <c r="H16149" t="s">
        <v>5117</v>
      </c>
    </row>
    <row r="16150">
      <c r="H16150" t="s">
        <v>5117</v>
      </c>
    </row>
    <row r="16151">
      <c r="H16151" t="s">
        <v>5117</v>
      </c>
    </row>
    <row r="16152">
      <c r="H16152" t="s">
        <v>5117</v>
      </c>
    </row>
    <row r="16153">
      <c r="H16153" t="s">
        <v>5117</v>
      </c>
    </row>
    <row r="16154">
      <c r="H16154" t="s">
        <v>5117</v>
      </c>
    </row>
    <row r="16155">
      <c r="H16155" t="s">
        <v>5117</v>
      </c>
    </row>
    <row r="16156">
      <c r="H16156" t="s">
        <v>5117</v>
      </c>
    </row>
    <row r="16157">
      <c r="H16157" t="s">
        <v>5117</v>
      </c>
    </row>
    <row r="16158">
      <c r="H16158" t="s">
        <v>5117</v>
      </c>
    </row>
    <row r="16159">
      <c r="H16159" t="s">
        <v>5117</v>
      </c>
    </row>
    <row r="16160">
      <c r="H16160" t="s">
        <v>5117</v>
      </c>
    </row>
    <row r="16161">
      <c r="H16161" t="s">
        <v>5117</v>
      </c>
    </row>
    <row r="16162">
      <c r="H16162" t="s">
        <v>5117</v>
      </c>
    </row>
    <row r="16163">
      <c r="H16163" t="s">
        <v>5117</v>
      </c>
    </row>
    <row r="16164">
      <c r="H16164" t="s">
        <v>5117</v>
      </c>
    </row>
    <row r="16165">
      <c r="H16165" t="s">
        <v>5117</v>
      </c>
    </row>
    <row r="16166">
      <c r="H16166" t="s">
        <v>5117</v>
      </c>
    </row>
    <row r="16167">
      <c r="H16167" t="s">
        <v>5117</v>
      </c>
    </row>
    <row r="16168">
      <c r="H16168" t="s">
        <v>5117</v>
      </c>
    </row>
    <row r="16169">
      <c r="H16169" t="s">
        <v>5117</v>
      </c>
    </row>
    <row r="16170">
      <c r="H16170" t="s">
        <v>5117</v>
      </c>
    </row>
    <row r="16171">
      <c r="H16171" t="s">
        <v>5117</v>
      </c>
    </row>
    <row r="16172">
      <c r="H16172" t="s">
        <v>5117</v>
      </c>
    </row>
    <row r="16173">
      <c r="H16173" t="s">
        <v>5117</v>
      </c>
    </row>
    <row r="16174">
      <c r="H16174" t="s">
        <v>5117</v>
      </c>
    </row>
    <row r="16175">
      <c r="H16175" t="s">
        <v>5117</v>
      </c>
    </row>
    <row r="16176">
      <c r="H16176" t="s">
        <v>5117</v>
      </c>
    </row>
    <row r="16177">
      <c r="H16177" t="s">
        <v>5117</v>
      </c>
    </row>
    <row r="16178">
      <c r="H16178" t="s">
        <v>5117</v>
      </c>
    </row>
    <row r="16179">
      <c r="H16179" t="s">
        <v>5117</v>
      </c>
    </row>
    <row r="16180">
      <c r="H16180" t="s">
        <v>5117</v>
      </c>
    </row>
    <row r="16181">
      <c r="H16181" t="s">
        <v>5117</v>
      </c>
    </row>
    <row r="16182">
      <c r="H16182" t="s">
        <v>5117</v>
      </c>
    </row>
    <row r="16183">
      <c r="H16183" t="s">
        <v>5117</v>
      </c>
    </row>
    <row r="16184">
      <c r="H16184" t="s">
        <v>5117</v>
      </c>
    </row>
    <row r="16185">
      <c r="H16185" t="s">
        <v>5117</v>
      </c>
    </row>
    <row r="16186">
      <c r="H16186" t="s">
        <v>5117</v>
      </c>
    </row>
    <row r="16187">
      <c r="H16187" t="s">
        <v>5117</v>
      </c>
    </row>
    <row r="16188">
      <c r="H16188" t="s">
        <v>5117</v>
      </c>
    </row>
    <row r="16189">
      <c r="H16189" t="s">
        <v>5117</v>
      </c>
    </row>
    <row r="16190">
      <c r="H16190" t="s">
        <v>5117</v>
      </c>
    </row>
    <row r="16191">
      <c r="H16191" t="s">
        <v>5117</v>
      </c>
    </row>
    <row r="16192">
      <c r="H16192" t="s">
        <v>5117</v>
      </c>
    </row>
    <row r="16193">
      <c r="H16193" t="s">
        <v>5117</v>
      </c>
    </row>
    <row r="16194">
      <c r="H16194" t="s">
        <v>5117</v>
      </c>
    </row>
    <row r="16195">
      <c r="H16195" t="s">
        <v>5117</v>
      </c>
    </row>
    <row r="16196">
      <c r="H16196" t="s">
        <v>5117</v>
      </c>
    </row>
    <row r="16197">
      <c r="H16197" t="s">
        <v>5117</v>
      </c>
    </row>
    <row r="16198">
      <c r="H16198" t="s">
        <v>5117</v>
      </c>
    </row>
    <row r="16199">
      <c r="H16199" t="s">
        <v>5117</v>
      </c>
    </row>
    <row r="16200">
      <c r="H16200" t="s">
        <v>5117</v>
      </c>
    </row>
    <row r="16201">
      <c r="H16201" t="s">
        <v>5117</v>
      </c>
    </row>
    <row r="16202">
      <c r="H16202" t="s">
        <v>5117</v>
      </c>
    </row>
    <row r="16203">
      <c r="H16203" t="s">
        <v>5117</v>
      </c>
    </row>
    <row r="16204">
      <c r="H16204" t="s">
        <v>5117</v>
      </c>
    </row>
    <row r="16205">
      <c r="H16205" t="s">
        <v>5117</v>
      </c>
    </row>
    <row r="16206">
      <c r="H16206" t="s">
        <v>5117</v>
      </c>
    </row>
    <row r="16207">
      <c r="H16207" t="s">
        <v>5117</v>
      </c>
    </row>
    <row r="16208">
      <c r="H16208" t="s">
        <v>5117</v>
      </c>
    </row>
    <row r="16209">
      <c r="H16209" t="s">
        <v>5117</v>
      </c>
    </row>
    <row r="16210">
      <c r="H16210" t="s">
        <v>5117</v>
      </c>
    </row>
    <row r="16211">
      <c r="H16211" t="s">
        <v>5117</v>
      </c>
    </row>
    <row r="16212">
      <c r="H16212" t="s">
        <v>5117</v>
      </c>
    </row>
    <row r="16213">
      <c r="H16213" t="s">
        <v>5117</v>
      </c>
    </row>
    <row r="16214">
      <c r="H16214" t="s">
        <v>5117</v>
      </c>
    </row>
    <row r="16215">
      <c r="H16215" t="s">
        <v>5117</v>
      </c>
    </row>
    <row r="16216">
      <c r="H16216" t="s">
        <v>5117</v>
      </c>
    </row>
    <row r="16217">
      <c r="H16217" t="s">
        <v>5117</v>
      </c>
    </row>
    <row r="16218">
      <c r="H16218" t="s">
        <v>5117</v>
      </c>
    </row>
    <row r="16219">
      <c r="H16219" t="s">
        <v>5117</v>
      </c>
    </row>
    <row r="16220">
      <c r="H16220" t="s">
        <v>5117</v>
      </c>
    </row>
    <row r="16221">
      <c r="H16221" t="s">
        <v>5117</v>
      </c>
    </row>
    <row r="16222">
      <c r="H16222" t="s">
        <v>5117</v>
      </c>
    </row>
    <row r="16223">
      <c r="H16223" t="s">
        <v>5117</v>
      </c>
    </row>
    <row r="16224">
      <c r="H16224" t="s">
        <v>5117</v>
      </c>
    </row>
    <row r="16225">
      <c r="H16225" t="s">
        <v>5117</v>
      </c>
    </row>
    <row r="16226">
      <c r="H16226" t="s">
        <v>5117</v>
      </c>
    </row>
    <row r="16227">
      <c r="H16227" t="s">
        <v>5117</v>
      </c>
    </row>
    <row r="16228">
      <c r="H16228" t="s">
        <v>5117</v>
      </c>
    </row>
    <row r="16229">
      <c r="H16229" t="s">
        <v>5117</v>
      </c>
    </row>
    <row r="16230">
      <c r="H16230" t="s">
        <v>5117</v>
      </c>
    </row>
    <row r="16231">
      <c r="H16231" t="s">
        <v>5117</v>
      </c>
    </row>
    <row r="16232">
      <c r="H16232" t="s">
        <v>5117</v>
      </c>
    </row>
    <row r="16233">
      <c r="H16233" t="s">
        <v>5117</v>
      </c>
    </row>
    <row r="16234">
      <c r="H16234" t="s">
        <v>5117</v>
      </c>
    </row>
    <row r="16235">
      <c r="H16235" t="s">
        <v>5117</v>
      </c>
    </row>
    <row r="16236">
      <c r="H16236" t="s">
        <v>5117</v>
      </c>
    </row>
    <row r="16237">
      <c r="H16237" t="s">
        <v>5117</v>
      </c>
    </row>
    <row r="16238">
      <c r="H16238" t="s">
        <v>5117</v>
      </c>
    </row>
    <row r="16239">
      <c r="H16239" t="s">
        <v>5117</v>
      </c>
    </row>
    <row r="16240">
      <c r="H16240" t="s">
        <v>5117</v>
      </c>
    </row>
    <row r="16241">
      <c r="H16241" t="s">
        <v>5117</v>
      </c>
    </row>
    <row r="16242">
      <c r="H16242" t="s">
        <v>5117</v>
      </c>
    </row>
    <row r="16243">
      <c r="H16243" t="s">
        <v>5117</v>
      </c>
    </row>
    <row r="16244">
      <c r="H16244" t="s">
        <v>5117</v>
      </c>
    </row>
    <row r="16245">
      <c r="H16245" t="s">
        <v>5117</v>
      </c>
    </row>
    <row r="16246">
      <c r="H16246" t="s">
        <v>5117</v>
      </c>
    </row>
    <row r="16247">
      <c r="H16247" t="s">
        <v>5117</v>
      </c>
    </row>
    <row r="16248">
      <c r="H16248" t="s">
        <v>5117</v>
      </c>
    </row>
    <row r="16249">
      <c r="H16249" t="s">
        <v>5117</v>
      </c>
    </row>
    <row r="16250">
      <c r="H16250" t="s">
        <v>5117</v>
      </c>
    </row>
    <row r="16251">
      <c r="H16251" t="s">
        <v>5117</v>
      </c>
    </row>
    <row r="16252">
      <c r="H16252" t="s">
        <v>5117</v>
      </c>
    </row>
    <row r="16253">
      <c r="H16253" t="s">
        <v>5117</v>
      </c>
    </row>
    <row r="16254">
      <c r="H16254" t="s">
        <v>5117</v>
      </c>
    </row>
    <row r="16255">
      <c r="H16255" t="s">
        <v>5117</v>
      </c>
    </row>
    <row r="16256">
      <c r="H16256" t="s">
        <v>5117</v>
      </c>
    </row>
    <row r="16257">
      <c r="H16257" t="s">
        <v>5117</v>
      </c>
    </row>
    <row r="16258">
      <c r="H16258" t="s">
        <v>5117</v>
      </c>
    </row>
    <row r="16259">
      <c r="H16259" t="s">
        <v>5117</v>
      </c>
    </row>
    <row r="16260">
      <c r="H16260" t="s">
        <v>5117</v>
      </c>
    </row>
    <row r="16261">
      <c r="H16261" t="s">
        <v>5117</v>
      </c>
    </row>
    <row r="16262">
      <c r="H16262" t="s">
        <v>5117</v>
      </c>
    </row>
    <row r="16263">
      <c r="H16263" t="s">
        <v>5117</v>
      </c>
    </row>
    <row r="16264">
      <c r="H16264" t="s">
        <v>5117</v>
      </c>
    </row>
    <row r="16265">
      <c r="H16265" t="s">
        <v>5117</v>
      </c>
    </row>
    <row r="16266">
      <c r="H16266" t="s">
        <v>5117</v>
      </c>
    </row>
    <row r="16267">
      <c r="H16267" t="s">
        <v>5117</v>
      </c>
    </row>
    <row r="16268">
      <c r="H16268" t="s">
        <v>5117</v>
      </c>
    </row>
    <row r="16269">
      <c r="H16269" t="s">
        <v>5117</v>
      </c>
    </row>
    <row r="16270">
      <c r="H16270" t="s">
        <v>5117</v>
      </c>
    </row>
    <row r="16271">
      <c r="H16271" t="s">
        <v>5117</v>
      </c>
    </row>
    <row r="16272">
      <c r="H16272" t="s">
        <v>5117</v>
      </c>
    </row>
    <row r="16273">
      <c r="H16273" t="s">
        <v>5117</v>
      </c>
    </row>
    <row r="16274">
      <c r="H16274" t="s">
        <v>5117</v>
      </c>
    </row>
    <row r="16275">
      <c r="H16275" t="s">
        <v>5117</v>
      </c>
    </row>
    <row r="16276">
      <c r="H16276" t="s">
        <v>5117</v>
      </c>
    </row>
    <row r="16277">
      <c r="H16277" t="s">
        <v>5117</v>
      </c>
    </row>
    <row r="16278">
      <c r="H16278" t="s">
        <v>5117</v>
      </c>
    </row>
    <row r="16279">
      <c r="H16279" t="s">
        <v>5117</v>
      </c>
    </row>
    <row r="16280">
      <c r="H16280" t="s">
        <v>5117</v>
      </c>
    </row>
    <row r="16281">
      <c r="H16281" t="s">
        <v>5117</v>
      </c>
    </row>
    <row r="16282">
      <c r="H16282" t="s">
        <v>5117</v>
      </c>
    </row>
    <row r="16283">
      <c r="H16283" t="s">
        <v>5117</v>
      </c>
    </row>
    <row r="16284">
      <c r="H16284" t="s">
        <v>5117</v>
      </c>
    </row>
    <row r="16285">
      <c r="H16285" t="s">
        <v>5117</v>
      </c>
    </row>
    <row r="16286">
      <c r="H16286" t="s">
        <v>5117</v>
      </c>
    </row>
    <row r="16287">
      <c r="H16287" t="s">
        <v>5117</v>
      </c>
    </row>
    <row r="16288">
      <c r="H16288" t="s">
        <v>5117</v>
      </c>
    </row>
    <row r="16289">
      <c r="H16289" t="s">
        <v>5117</v>
      </c>
    </row>
    <row r="16290">
      <c r="H16290" t="s">
        <v>5117</v>
      </c>
    </row>
    <row r="16291">
      <c r="H16291" t="s">
        <v>5117</v>
      </c>
    </row>
    <row r="16292">
      <c r="H16292" t="s">
        <v>5117</v>
      </c>
    </row>
    <row r="16293">
      <c r="H16293" t="s">
        <v>5117</v>
      </c>
    </row>
    <row r="16294">
      <c r="H16294" t="s">
        <v>5117</v>
      </c>
    </row>
    <row r="16295">
      <c r="H16295" t="s">
        <v>5117</v>
      </c>
    </row>
    <row r="16296">
      <c r="H16296" t="s">
        <v>5117</v>
      </c>
    </row>
    <row r="16297">
      <c r="H16297" t="s">
        <v>5117</v>
      </c>
    </row>
    <row r="16298">
      <c r="H16298" t="s">
        <v>5117</v>
      </c>
    </row>
    <row r="16299">
      <c r="H16299" t="s">
        <v>5117</v>
      </c>
    </row>
    <row r="16300">
      <c r="H16300" t="s">
        <v>5117</v>
      </c>
    </row>
    <row r="16301">
      <c r="H16301" t="s">
        <v>5117</v>
      </c>
    </row>
    <row r="16302">
      <c r="H16302" t="s">
        <v>5117</v>
      </c>
    </row>
    <row r="16303">
      <c r="H16303" t="s">
        <v>5117</v>
      </c>
    </row>
    <row r="16304">
      <c r="H16304" t="s">
        <v>5117</v>
      </c>
    </row>
    <row r="16305">
      <c r="H16305" t="s">
        <v>5117</v>
      </c>
    </row>
    <row r="16306">
      <c r="H16306" t="s">
        <v>5117</v>
      </c>
    </row>
    <row r="16307">
      <c r="H16307" t="s">
        <v>5117</v>
      </c>
    </row>
    <row r="16308">
      <c r="H16308" t="s">
        <v>5117</v>
      </c>
    </row>
    <row r="16309">
      <c r="H16309" t="s">
        <v>5117</v>
      </c>
    </row>
    <row r="16310">
      <c r="H16310" t="s">
        <v>5117</v>
      </c>
    </row>
    <row r="16311">
      <c r="H16311" t="s">
        <v>5117</v>
      </c>
    </row>
    <row r="16312">
      <c r="H16312" t="s">
        <v>5117</v>
      </c>
    </row>
    <row r="16313">
      <c r="H16313" t="s">
        <v>5117</v>
      </c>
    </row>
    <row r="16314">
      <c r="H16314" t="s">
        <v>5117</v>
      </c>
    </row>
    <row r="16315">
      <c r="H16315" t="s">
        <v>5117</v>
      </c>
    </row>
    <row r="16316">
      <c r="H16316" t="s">
        <v>5117</v>
      </c>
    </row>
    <row r="16317">
      <c r="H16317" t="s">
        <v>5117</v>
      </c>
    </row>
    <row r="16318">
      <c r="H16318" t="s">
        <v>5117</v>
      </c>
    </row>
    <row r="16319">
      <c r="H16319" t="s">
        <v>5117</v>
      </c>
    </row>
    <row r="16320">
      <c r="H16320" t="s">
        <v>5117</v>
      </c>
    </row>
    <row r="16321">
      <c r="H16321" t="s">
        <v>5117</v>
      </c>
    </row>
    <row r="16322">
      <c r="H16322" t="s">
        <v>5117</v>
      </c>
    </row>
    <row r="16323">
      <c r="H16323" t="s">
        <v>5117</v>
      </c>
    </row>
    <row r="16324">
      <c r="H16324" t="s">
        <v>5117</v>
      </c>
    </row>
    <row r="16325">
      <c r="H16325" t="s">
        <v>5117</v>
      </c>
    </row>
    <row r="16326">
      <c r="H16326" t="s">
        <v>5117</v>
      </c>
    </row>
    <row r="16327">
      <c r="H16327" t="s">
        <v>5117</v>
      </c>
    </row>
    <row r="16328">
      <c r="H16328" t="s">
        <v>5117</v>
      </c>
    </row>
    <row r="16329">
      <c r="H16329" t="s">
        <v>5117</v>
      </c>
    </row>
    <row r="16330">
      <c r="H16330" t="s">
        <v>5117</v>
      </c>
    </row>
    <row r="16331">
      <c r="H16331" t="s">
        <v>5117</v>
      </c>
    </row>
    <row r="16332">
      <c r="H16332" t="s">
        <v>5117</v>
      </c>
    </row>
    <row r="16333">
      <c r="H16333" t="s">
        <v>5117</v>
      </c>
    </row>
    <row r="16334">
      <c r="H16334" t="s">
        <v>5117</v>
      </c>
    </row>
    <row r="16335">
      <c r="H16335" t="s">
        <v>5117</v>
      </c>
    </row>
    <row r="16336">
      <c r="H16336" t="s">
        <v>5117</v>
      </c>
    </row>
    <row r="16337">
      <c r="H16337" t="s">
        <v>5117</v>
      </c>
    </row>
    <row r="16338">
      <c r="H16338" t="s">
        <v>5117</v>
      </c>
    </row>
    <row r="16339">
      <c r="H16339" t="s">
        <v>5117</v>
      </c>
    </row>
    <row r="16340">
      <c r="H16340" t="s">
        <v>5117</v>
      </c>
    </row>
    <row r="16341">
      <c r="H16341" t="s">
        <v>5117</v>
      </c>
    </row>
    <row r="16342">
      <c r="H16342" t="s">
        <v>5117</v>
      </c>
    </row>
    <row r="16343">
      <c r="H16343" t="s">
        <v>5117</v>
      </c>
    </row>
    <row r="16344">
      <c r="H16344" t="s">
        <v>5117</v>
      </c>
    </row>
    <row r="16345">
      <c r="H16345" t="s">
        <v>5117</v>
      </c>
    </row>
    <row r="16346">
      <c r="H16346" t="s">
        <v>5117</v>
      </c>
    </row>
    <row r="16347">
      <c r="H16347" t="s">
        <v>5117</v>
      </c>
    </row>
    <row r="16348">
      <c r="H16348" t="s">
        <v>5117</v>
      </c>
    </row>
    <row r="16349">
      <c r="H16349" t="s">
        <v>5117</v>
      </c>
    </row>
    <row r="16350">
      <c r="H16350" t="s">
        <v>5117</v>
      </c>
    </row>
    <row r="16351">
      <c r="H16351" t="s">
        <v>5117</v>
      </c>
    </row>
    <row r="16352">
      <c r="H16352" t="s">
        <v>5117</v>
      </c>
    </row>
    <row r="16353">
      <c r="H16353" t="s">
        <v>5117</v>
      </c>
    </row>
    <row r="16354">
      <c r="H16354" t="s">
        <v>5117</v>
      </c>
    </row>
    <row r="16355">
      <c r="H16355" t="s">
        <v>5117</v>
      </c>
    </row>
    <row r="16356">
      <c r="H16356" t="s">
        <v>5117</v>
      </c>
    </row>
    <row r="16357">
      <c r="H16357" t="s">
        <v>5117</v>
      </c>
    </row>
    <row r="16358">
      <c r="H16358" t="s">
        <v>5117</v>
      </c>
    </row>
    <row r="16359">
      <c r="H16359" t="s">
        <v>5117</v>
      </c>
    </row>
    <row r="16360">
      <c r="H16360" t="s">
        <v>5117</v>
      </c>
    </row>
    <row r="16361">
      <c r="H16361" t="s">
        <v>5117</v>
      </c>
    </row>
    <row r="16362">
      <c r="H16362" t="s">
        <v>5117</v>
      </c>
    </row>
    <row r="16363">
      <c r="H16363" t="s">
        <v>5117</v>
      </c>
    </row>
    <row r="16364">
      <c r="H16364" t="s">
        <v>5117</v>
      </c>
    </row>
    <row r="16365">
      <c r="H16365" t="s">
        <v>5117</v>
      </c>
    </row>
    <row r="16366">
      <c r="H16366" t="s">
        <v>5117</v>
      </c>
    </row>
    <row r="16367">
      <c r="H16367" t="s">
        <v>5117</v>
      </c>
    </row>
    <row r="16368">
      <c r="H16368" t="s">
        <v>5117</v>
      </c>
    </row>
    <row r="16369">
      <c r="H16369" t="s">
        <v>5117</v>
      </c>
    </row>
    <row r="16370">
      <c r="H16370" t="s">
        <v>5117</v>
      </c>
    </row>
    <row r="16371">
      <c r="H16371" t="s">
        <v>5117</v>
      </c>
    </row>
    <row r="16372">
      <c r="H16372" t="s">
        <v>5117</v>
      </c>
    </row>
    <row r="16373">
      <c r="H16373" t="s">
        <v>5117</v>
      </c>
    </row>
    <row r="16374">
      <c r="H16374" t="s">
        <v>5117</v>
      </c>
    </row>
    <row r="16375">
      <c r="H16375" t="s">
        <v>5117</v>
      </c>
    </row>
    <row r="16376">
      <c r="H16376" t="s">
        <v>5117</v>
      </c>
    </row>
    <row r="16377">
      <c r="H16377" t="s">
        <v>5117</v>
      </c>
    </row>
    <row r="16378">
      <c r="H16378" t="s">
        <v>5117</v>
      </c>
    </row>
    <row r="16379">
      <c r="H16379" t="s">
        <v>5117</v>
      </c>
    </row>
    <row r="16380">
      <c r="H16380" t="s">
        <v>5117</v>
      </c>
    </row>
    <row r="16381">
      <c r="H16381" t="s">
        <v>5117</v>
      </c>
    </row>
    <row r="16382">
      <c r="H16382" t="s">
        <v>5117</v>
      </c>
    </row>
    <row r="16383">
      <c r="H16383" t="s">
        <v>5117</v>
      </c>
    </row>
    <row r="16384">
      <c r="H16384" t="s">
        <v>5117</v>
      </c>
    </row>
    <row r="16385">
      <c r="H16385" t="s">
        <v>5117</v>
      </c>
    </row>
    <row r="16386">
      <c r="H16386" t="s">
        <v>5117</v>
      </c>
    </row>
    <row r="16387">
      <c r="H16387" t="s">
        <v>5117</v>
      </c>
    </row>
    <row r="16388">
      <c r="H16388" t="s">
        <v>5117</v>
      </c>
    </row>
    <row r="16389">
      <c r="H16389" t="s">
        <v>5117</v>
      </c>
    </row>
    <row r="16390">
      <c r="H16390" t="s">
        <v>5117</v>
      </c>
    </row>
    <row r="16391">
      <c r="H16391" t="s">
        <v>5117</v>
      </c>
    </row>
    <row r="16392">
      <c r="H16392" t="s">
        <v>5117</v>
      </c>
    </row>
    <row r="16393">
      <c r="H16393" t="s">
        <v>5117</v>
      </c>
    </row>
    <row r="16394">
      <c r="H16394" t="s">
        <v>5117</v>
      </c>
    </row>
    <row r="16395">
      <c r="H16395" t="s">
        <v>5117</v>
      </c>
    </row>
    <row r="16396">
      <c r="H16396" t="s">
        <v>5117</v>
      </c>
    </row>
    <row r="16397">
      <c r="H16397" t="s">
        <v>5117</v>
      </c>
    </row>
    <row r="16398">
      <c r="H16398" t="s">
        <v>5117</v>
      </c>
    </row>
    <row r="16399">
      <c r="H16399" t="s">
        <v>5117</v>
      </c>
    </row>
    <row r="16400">
      <c r="H16400" t="s">
        <v>5117</v>
      </c>
    </row>
    <row r="16401">
      <c r="H16401" t="s">
        <v>5117</v>
      </c>
    </row>
    <row r="16402">
      <c r="H16402" t="s">
        <v>5117</v>
      </c>
    </row>
    <row r="16403">
      <c r="H16403" t="s">
        <v>5117</v>
      </c>
    </row>
    <row r="16404">
      <c r="H16404" t="s">
        <v>5117</v>
      </c>
    </row>
    <row r="16405">
      <c r="H16405" t="s">
        <v>5117</v>
      </c>
    </row>
    <row r="16406">
      <c r="H16406" t="s">
        <v>5117</v>
      </c>
    </row>
    <row r="16407">
      <c r="H16407" t="s">
        <v>5117</v>
      </c>
    </row>
    <row r="16408">
      <c r="H16408" t="s">
        <v>5117</v>
      </c>
    </row>
    <row r="16409">
      <c r="H16409" t="s">
        <v>5117</v>
      </c>
    </row>
    <row r="16410">
      <c r="H16410" t="s">
        <v>5117</v>
      </c>
    </row>
    <row r="16411">
      <c r="H16411" t="s">
        <v>5117</v>
      </c>
    </row>
    <row r="16412">
      <c r="H16412" t="s">
        <v>5117</v>
      </c>
    </row>
    <row r="16413">
      <c r="H16413" t="s">
        <v>5117</v>
      </c>
    </row>
    <row r="16414">
      <c r="H16414" t="s">
        <v>5117</v>
      </c>
    </row>
    <row r="16415">
      <c r="H16415" t="s">
        <v>5117</v>
      </c>
    </row>
    <row r="16416">
      <c r="H16416" t="s">
        <v>5117</v>
      </c>
    </row>
    <row r="16417">
      <c r="H16417" t="s">
        <v>5117</v>
      </c>
    </row>
    <row r="16418">
      <c r="H16418" t="s">
        <v>5117</v>
      </c>
    </row>
    <row r="16419">
      <c r="H16419" t="s">
        <v>5117</v>
      </c>
    </row>
    <row r="16420">
      <c r="H16420" t="s">
        <v>5117</v>
      </c>
    </row>
    <row r="16421">
      <c r="H16421" t="s">
        <v>5117</v>
      </c>
    </row>
    <row r="16422">
      <c r="H16422" t="s">
        <v>5117</v>
      </c>
    </row>
    <row r="16423">
      <c r="H16423" t="s">
        <v>5117</v>
      </c>
    </row>
    <row r="16424">
      <c r="H16424" t="s">
        <v>5117</v>
      </c>
    </row>
    <row r="16425">
      <c r="H16425" t="s">
        <v>5117</v>
      </c>
    </row>
    <row r="16426">
      <c r="H16426" t="s">
        <v>5117</v>
      </c>
    </row>
    <row r="16427">
      <c r="H16427" t="s">
        <v>5117</v>
      </c>
    </row>
    <row r="16428">
      <c r="H16428" t="s">
        <v>5117</v>
      </c>
    </row>
    <row r="16429">
      <c r="H16429" t="s">
        <v>5117</v>
      </c>
    </row>
    <row r="16430">
      <c r="H16430" t="s">
        <v>5117</v>
      </c>
    </row>
    <row r="16431">
      <c r="H16431" t="s">
        <v>5117</v>
      </c>
    </row>
    <row r="16432">
      <c r="H16432" t="s">
        <v>5117</v>
      </c>
    </row>
    <row r="16433">
      <c r="H16433" t="s">
        <v>5117</v>
      </c>
    </row>
    <row r="16434">
      <c r="H16434" t="s">
        <v>5117</v>
      </c>
    </row>
    <row r="16435">
      <c r="H16435" t="s">
        <v>5117</v>
      </c>
    </row>
    <row r="16436">
      <c r="H16436" t="s">
        <v>5117</v>
      </c>
    </row>
    <row r="16437">
      <c r="H16437" t="s">
        <v>5117</v>
      </c>
    </row>
    <row r="16438">
      <c r="H16438" t="s">
        <v>5117</v>
      </c>
    </row>
    <row r="16439">
      <c r="H16439" t="s">
        <v>5117</v>
      </c>
    </row>
    <row r="16440">
      <c r="H16440" t="s">
        <v>5117</v>
      </c>
    </row>
    <row r="16441">
      <c r="H16441" t="s">
        <v>5117</v>
      </c>
    </row>
    <row r="16442">
      <c r="H16442" t="s">
        <v>5117</v>
      </c>
    </row>
    <row r="16443">
      <c r="H16443" t="s">
        <v>5117</v>
      </c>
    </row>
    <row r="16444">
      <c r="H16444" t="s">
        <v>5117</v>
      </c>
    </row>
    <row r="16445">
      <c r="H16445" t="s">
        <v>5117</v>
      </c>
    </row>
    <row r="16446">
      <c r="H16446" t="s">
        <v>5117</v>
      </c>
    </row>
    <row r="16447">
      <c r="H16447" t="s">
        <v>5117</v>
      </c>
    </row>
    <row r="16448">
      <c r="H16448" t="s">
        <v>5117</v>
      </c>
    </row>
    <row r="16449">
      <c r="H16449" t="s">
        <v>5117</v>
      </c>
    </row>
    <row r="16450">
      <c r="H16450" t="s">
        <v>5117</v>
      </c>
    </row>
    <row r="16451">
      <c r="H16451" t="s">
        <v>5117</v>
      </c>
    </row>
    <row r="16452">
      <c r="H16452" t="s">
        <v>5117</v>
      </c>
    </row>
    <row r="16453">
      <c r="H16453" t="s">
        <v>5117</v>
      </c>
    </row>
    <row r="16454">
      <c r="H16454" t="s">
        <v>5117</v>
      </c>
    </row>
    <row r="16455">
      <c r="H16455" t="s">
        <v>5117</v>
      </c>
    </row>
    <row r="16456">
      <c r="H16456" t="s">
        <v>5117</v>
      </c>
    </row>
    <row r="16457">
      <c r="H16457" t="s">
        <v>5117</v>
      </c>
    </row>
    <row r="16458">
      <c r="H16458" t="s">
        <v>5117</v>
      </c>
    </row>
    <row r="16459">
      <c r="H16459" t="s">
        <v>5117</v>
      </c>
    </row>
    <row r="16460">
      <c r="H16460" t="s">
        <v>5117</v>
      </c>
    </row>
    <row r="16461">
      <c r="H16461" t="s">
        <v>5117</v>
      </c>
    </row>
    <row r="16462">
      <c r="H16462" t="s">
        <v>5117</v>
      </c>
    </row>
    <row r="16463">
      <c r="H16463" t="s">
        <v>5117</v>
      </c>
    </row>
    <row r="16464">
      <c r="H16464" t="s">
        <v>5117</v>
      </c>
    </row>
    <row r="16465">
      <c r="H16465" t="s">
        <v>5117</v>
      </c>
    </row>
    <row r="16466">
      <c r="H16466" t="s">
        <v>5117</v>
      </c>
    </row>
    <row r="16467">
      <c r="H16467" t="s">
        <v>5117</v>
      </c>
    </row>
    <row r="16468">
      <c r="H16468" t="s">
        <v>5117</v>
      </c>
    </row>
    <row r="16469">
      <c r="H16469" t="s">
        <v>5117</v>
      </c>
    </row>
    <row r="16470">
      <c r="H16470" t="s">
        <v>5117</v>
      </c>
    </row>
    <row r="16471">
      <c r="H16471" t="s">
        <v>5117</v>
      </c>
    </row>
    <row r="16472">
      <c r="H16472" t="s">
        <v>5117</v>
      </c>
    </row>
    <row r="16473">
      <c r="H16473" t="s">
        <v>5117</v>
      </c>
    </row>
    <row r="16474">
      <c r="H16474" t="s">
        <v>5117</v>
      </c>
    </row>
    <row r="16475">
      <c r="H16475" t="s">
        <v>5117</v>
      </c>
    </row>
    <row r="16476">
      <c r="H16476" t="s">
        <v>5117</v>
      </c>
    </row>
    <row r="16477">
      <c r="H16477" t="s">
        <v>5117</v>
      </c>
    </row>
    <row r="16478">
      <c r="H16478" t="s">
        <v>5117</v>
      </c>
    </row>
    <row r="16479">
      <c r="H16479" t="s">
        <v>5117</v>
      </c>
    </row>
    <row r="16480">
      <c r="H16480" t="s">
        <v>5117</v>
      </c>
    </row>
    <row r="16481">
      <c r="H16481" t="s">
        <v>5117</v>
      </c>
    </row>
    <row r="16482">
      <c r="H16482" t="s">
        <v>5117</v>
      </c>
    </row>
    <row r="16483">
      <c r="H16483" t="s">
        <v>5117</v>
      </c>
    </row>
    <row r="16484">
      <c r="H16484" t="s">
        <v>5117</v>
      </c>
    </row>
    <row r="16485">
      <c r="H16485" t="s">
        <v>5117</v>
      </c>
    </row>
    <row r="16486">
      <c r="H16486" t="s">
        <v>5117</v>
      </c>
    </row>
    <row r="16487">
      <c r="H16487" t="s">
        <v>5117</v>
      </c>
    </row>
    <row r="16488">
      <c r="H16488" t="s">
        <v>5117</v>
      </c>
    </row>
    <row r="16489">
      <c r="H16489" t="s">
        <v>5117</v>
      </c>
    </row>
    <row r="16490">
      <c r="H16490" t="s">
        <v>5117</v>
      </c>
    </row>
    <row r="16491">
      <c r="H16491" t="s">
        <v>5117</v>
      </c>
    </row>
    <row r="16492">
      <c r="H16492" t="s">
        <v>5117</v>
      </c>
    </row>
    <row r="16493">
      <c r="H16493" t="s">
        <v>5117</v>
      </c>
    </row>
    <row r="16494">
      <c r="H16494" t="s">
        <v>5117</v>
      </c>
    </row>
    <row r="16495">
      <c r="H16495" t="s">
        <v>5117</v>
      </c>
    </row>
    <row r="16496">
      <c r="H16496" t="s">
        <v>5117</v>
      </c>
    </row>
    <row r="16497">
      <c r="H16497" t="s">
        <v>5117</v>
      </c>
    </row>
    <row r="16498">
      <c r="H16498" t="s">
        <v>5117</v>
      </c>
    </row>
    <row r="16499">
      <c r="H16499" t="s">
        <v>5117</v>
      </c>
    </row>
    <row r="16500">
      <c r="H16500" t="s">
        <v>5117</v>
      </c>
    </row>
    <row r="16501">
      <c r="H16501" t="s">
        <v>5117</v>
      </c>
    </row>
    <row r="16502">
      <c r="H16502" t="s">
        <v>5117</v>
      </c>
    </row>
    <row r="16503">
      <c r="H16503" t="s">
        <v>5117</v>
      </c>
    </row>
    <row r="16504">
      <c r="H16504" t="s">
        <v>5117</v>
      </c>
    </row>
    <row r="16505">
      <c r="H16505" t="s">
        <v>5117</v>
      </c>
    </row>
    <row r="16506">
      <c r="H16506" t="s">
        <v>5117</v>
      </c>
    </row>
    <row r="16507">
      <c r="H16507" t="s">
        <v>5117</v>
      </c>
    </row>
    <row r="16508">
      <c r="H16508" t="s">
        <v>5117</v>
      </c>
    </row>
    <row r="16509">
      <c r="H16509" t="s">
        <v>5117</v>
      </c>
    </row>
    <row r="16510">
      <c r="H16510" t="s">
        <v>5117</v>
      </c>
    </row>
    <row r="16511">
      <c r="H16511" t="s">
        <v>5117</v>
      </c>
    </row>
    <row r="16512">
      <c r="H16512" t="s">
        <v>5117</v>
      </c>
    </row>
    <row r="16513">
      <c r="H16513" t="s">
        <v>5117</v>
      </c>
    </row>
    <row r="16514">
      <c r="H16514" t="s">
        <v>5117</v>
      </c>
    </row>
    <row r="16515">
      <c r="H16515" t="s">
        <v>5117</v>
      </c>
    </row>
    <row r="16516">
      <c r="H16516" t="s">
        <v>5117</v>
      </c>
    </row>
    <row r="16517">
      <c r="H16517" t="s">
        <v>5117</v>
      </c>
    </row>
    <row r="16518">
      <c r="H16518" t="s">
        <v>5117</v>
      </c>
    </row>
    <row r="16519">
      <c r="H16519" t="s">
        <v>5117</v>
      </c>
    </row>
    <row r="16520">
      <c r="H16520" t="s">
        <v>5117</v>
      </c>
    </row>
    <row r="16521">
      <c r="H16521" t="s">
        <v>5117</v>
      </c>
    </row>
    <row r="16522">
      <c r="H16522" t="s">
        <v>5117</v>
      </c>
    </row>
    <row r="16523">
      <c r="H16523" t="s">
        <v>5117</v>
      </c>
    </row>
    <row r="16524">
      <c r="H16524" t="s">
        <v>5117</v>
      </c>
    </row>
    <row r="16525">
      <c r="H16525" t="s">
        <v>5117</v>
      </c>
    </row>
    <row r="16526">
      <c r="H16526" t="s">
        <v>5117</v>
      </c>
    </row>
    <row r="16527">
      <c r="H16527" t="s">
        <v>5117</v>
      </c>
    </row>
    <row r="16528">
      <c r="H16528" t="s">
        <v>5117</v>
      </c>
    </row>
    <row r="16529">
      <c r="H16529" t="s">
        <v>5117</v>
      </c>
    </row>
    <row r="16530">
      <c r="H16530" t="s">
        <v>5117</v>
      </c>
    </row>
    <row r="16531">
      <c r="H16531" t="s">
        <v>5117</v>
      </c>
    </row>
    <row r="16532">
      <c r="H16532" t="s">
        <v>5117</v>
      </c>
    </row>
    <row r="16533">
      <c r="H16533" t="s">
        <v>5117</v>
      </c>
    </row>
    <row r="16534">
      <c r="H16534" t="s">
        <v>5117</v>
      </c>
    </row>
    <row r="16535">
      <c r="H16535" t="s">
        <v>5117</v>
      </c>
    </row>
    <row r="16536">
      <c r="H16536" t="s">
        <v>5117</v>
      </c>
    </row>
    <row r="16537">
      <c r="H16537" t="s">
        <v>5117</v>
      </c>
    </row>
    <row r="16538">
      <c r="H16538" t="s">
        <v>5117</v>
      </c>
    </row>
    <row r="16539">
      <c r="H16539" t="s">
        <v>5117</v>
      </c>
    </row>
    <row r="16540">
      <c r="H16540" t="s">
        <v>5117</v>
      </c>
    </row>
    <row r="16541">
      <c r="H16541" t="s">
        <v>5117</v>
      </c>
    </row>
    <row r="16542">
      <c r="H16542" t="s">
        <v>5117</v>
      </c>
    </row>
    <row r="16543">
      <c r="H16543" t="s">
        <v>5117</v>
      </c>
    </row>
    <row r="16544">
      <c r="H16544" t="s">
        <v>5117</v>
      </c>
    </row>
    <row r="16545">
      <c r="H16545" t="s">
        <v>5117</v>
      </c>
    </row>
    <row r="16546">
      <c r="H16546" t="s">
        <v>5117</v>
      </c>
    </row>
    <row r="16547">
      <c r="H16547" t="s">
        <v>5117</v>
      </c>
    </row>
    <row r="16548">
      <c r="H16548" t="s">
        <v>5117</v>
      </c>
    </row>
    <row r="16549">
      <c r="H16549" t="s">
        <v>5117</v>
      </c>
    </row>
    <row r="16550">
      <c r="H16550" t="s">
        <v>5117</v>
      </c>
    </row>
    <row r="16551">
      <c r="H16551" t="s">
        <v>5117</v>
      </c>
    </row>
    <row r="16552">
      <c r="H16552" t="s">
        <v>5117</v>
      </c>
    </row>
    <row r="16553">
      <c r="H16553" t="s">
        <v>5117</v>
      </c>
    </row>
    <row r="16554">
      <c r="H16554" t="s">
        <v>5117</v>
      </c>
    </row>
    <row r="16555">
      <c r="H16555" t="s">
        <v>5117</v>
      </c>
    </row>
    <row r="16556">
      <c r="H16556" t="s">
        <v>5117</v>
      </c>
    </row>
    <row r="16557">
      <c r="H16557" t="s">
        <v>5117</v>
      </c>
    </row>
    <row r="16558">
      <c r="H16558" t="s">
        <v>5117</v>
      </c>
    </row>
    <row r="16559">
      <c r="H16559" t="s">
        <v>5117</v>
      </c>
    </row>
    <row r="16560">
      <c r="H16560" t="s">
        <v>5117</v>
      </c>
    </row>
    <row r="16561">
      <c r="H16561" t="s">
        <v>5117</v>
      </c>
    </row>
    <row r="16562">
      <c r="H16562" t="s">
        <v>5117</v>
      </c>
    </row>
    <row r="16563">
      <c r="H16563" t="s">
        <v>5117</v>
      </c>
    </row>
    <row r="16564">
      <c r="H16564" t="s">
        <v>5117</v>
      </c>
    </row>
    <row r="16565">
      <c r="H16565" t="s">
        <v>5117</v>
      </c>
    </row>
    <row r="16566">
      <c r="H16566" t="s">
        <v>5117</v>
      </c>
    </row>
    <row r="16567">
      <c r="H16567" t="s">
        <v>5117</v>
      </c>
    </row>
    <row r="16568">
      <c r="H16568" t="s">
        <v>5117</v>
      </c>
    </row>
    <row r="16569">
      <c r="H16569" t="s">
        <v>5117</v>
      </c>
    </row>
    <row r="16570">
      <c r="H16570" t="s">
        <v>5117</v>
      </c>
    </row>
    <row r="16571">
      <c r="H16571" t="s">
        <v>5117</v>
      </c>
    </row>
    <row r="16572">
      <c r="H16572" t="s">
        <v>5117</v>
      </c>
    </row>
    <row r="16573">
      <c r="H16573" t="s">
        <v>5117</v>
      </c>
    </row>
    <row r="16574">
      <c r="H16574" t="s">
        <v>5117</v>
      </c>
    </row>
    <row r="16575">
      <c r="H16575" t="s">
        <v>5117</v>
      </c>
    </row>
    <row r="16576">
      <c r="H16576" t="s">
        <v>5117</v>
      </c>
    </row>
    <row r="16577">
      <c r="H16577" t="s">
        <v>5117</v>
      </c>
    </row>
    <row r="16578">
      <c r="H16578" t="s">
        <v>5117</v>
      </c>
    </row>
    <row r="16579">
      <c r="H16579" t="s">
        <v>5117</v>
      </c>
    </row>
    <row r="16580">
      <c r="H16580" t="s">
        <v>5117</v>
      </c>
    </row>
    <row r="16581">
      <c r="H16581" t="s">
        <v>5117</v>
      </c>
    </row>
    <row r="16582">
      <c r="H16582" t="s">
        <v>5117</v>
      </c>
    </row>
    <row r="16583">
      <c r="H16583" t="s">
        <v>5117</v>
      </c>
    </row>
    <row r="16584">
      <c r="H16584" t="s">
        <v>5117</v>
      </c>
    </row>
    <row r="16585">
      <c r="H16585" t="s">
        <v>5117</v>
      </c>
    </row>
    <row r="16586">
      <c r="H16586" t="s">
        <v>5117</v>
      </c>
    </row>
    <row r="16587">
      <c r="H16587" t="s">
        <v>5117</v>
      </c>
    </row>
    <row r="16588">
      <c r="H16588" t="s">
        <v>5117</v>
      </c>
    </row>
    <row r="16589">
      <c r="H16589" t="s">
        <v>5117</v>
      </c>
    </row>
    <row r="16590">
      <c r="H16590" t="s">
        <v>5117</v>
      </c>
    </row>
    <row r="16591">
      <c r="H16591" t="s">
        <v>5117</v>
      </c>
    </row>
    <row r="16592">
      <c r="H16592" t="s">
        <v>5117</v>
      </c>
    </row>
    <row r="16593">
      <c r="H16593" t="s">
        <v>5117</v>
      </c>
    </row>
    <row r="16594">
      <c r="H16594" t="s">
        <v>5117</v>
      </c>
    </row>
    <row r="16595">
      <c r="H16595" t="s">
        <v>5117</v>
      </c>
    </row>
    <row r="16596">
      <c r="H16596" t="s">
        <v>5117</v>
      </c>
    </row>
    <row r="16597">
      <c r="H16597" t="s">
        <v>5117</v>
      </c>
    </row>
    <row r="16598">
      <c r="H16598" t="s">
        <v>5117</v>
      </c>
    </row>
    <row r="16599">
      <c r="H16599" t="s">
        <v>5117</v>
      </c>
    </row>
    <row r="16600">
      <c r="H16600" t="s">
        <v>5117</v>
      </c>
    </row>
    <row r="16601">
      <c r="H16601" t="s">
        <v>5117</v>
      </c>
    </row>
    <row r="16602">
      <c r="H16602" t="s">
        <v>5117</v>
      </c>
    </row>
    <row r="16603">
      <c r="H16603" t="s">
        <v>5117</v>
      </c>
    </row>
    <row r="16604">
      <c r="H16604" t="s">
        <v>5117</v>
      </c>
    </row>
    <row r="16605">
      <c r="H16605" t="s">
        <v>5117</v>
      </c>
    </row>
    <row r="16606">
      <c r="H16606" t="s">
        <v>5117</v>
      </c>
    </row>
    <row r="16607">
      <c r="H16607" t="s">
        <v>5117</v>
      </c>
    </row>
    <row r="16608">
      <c r="H16608" t="s">
        <v>5117</v>
      </c>
    </row>
    <row r="16609">
      <c r="H16609" t="s">
        <v>5117</v>
      </c>
    </row>
    <row r="16610">
      <c r="H16610" t="s">
        <v>5117</v>
      </c>
    </row>
    <row r="16611">
      <c r="H16611" t="s">
        <v>5117</v>
      </c>
    </row>
    <row r="16612">
      <c r="H16612" t="s">
        <v>5117</v>
      </c>
    </row>
    <row r="16613">
      <c r="H16613" t="s">
        <v>5117</v>
      </c>
    </row>
    <row r="16614">
      <c r="H16614" t="s">
        <v>5117</v>
      </c>
    </row>
    <row r="16615">
      <c r="H16615" t="s">
        <v>5117</v>
      </c>
    </row>
    <row r="16616">
      <c r="H16616" t="s">
        <v>5117</v>
      </c>
    </row>
    <row r="16617">
      <c r="H16617" t="s">
        <v>5117</v>
      </c>
    </row>
    <row r="16618">
      <c r="H16618" t="s">
        <v>5117</v>
      </c>
    </row>
    <row r="16619">
      <c r="H16619" t="s">
        <v>5117</v>
      </c>
    </row>
    <row r="16620">
      <c r="H16620" t="s">
        <v>5117</v>
      </c>
    </row>
    <row r="16621">
      <c r="H16621" t="s">
        <v>5117</v>
      </c>
    </row>
    <row r="16622">
      <c r="H16622" t="s">
        <v>5117</v>
      </c>
    </row>
    <row r="16623">
      <c r="H16623" t="s">
        <v>5117</v>
      </c>
    </row>
    <row r="16624">
      <c r="H16624" t="s">
        <v>5117</v>
      </c>
    </row>
    <row r="16625">
      <c r="H16625" t="s">
        <v>5117</v>
      </c>
    </row>
    <row r="16626">
      <c r="H16626" t="s">
        <v>5117</v>
      </c>
    </row>
    <row r="16627">
      <c r="H16627" t="s">
        <v>5117</v>
      </c>
    </row>
    <row r="16628">
      <c r="H16628" t="s">
        <v>5117</v>
      </c>
    </row>
    <row r="16629">
      <c r="H16629" t="s">
        <v>5117</v>
      </c>
    </row>
    <row r="16630">
      <c r="H16630" t="s">
        <v>5117</v>
      </c>
    </row>
    <row r="16631">
      <c r="H16631" t="s">
        <v>5117</v>
      </c>
    </row>
    <row r="16632">
      <c r="H16632" t="s">
        <v>5117</v>
      </c>
    </row>
    <row r="16633">
      <c r="H16633" t="s">
        <v>5117</v>
      </c>
    </row>
    <row r="16634">
      <c r="H16634" t="s">
        <v>5117</v>
      </c>
    </row>
    <row r="16635">
      <c r="H16635" t="s">
        <v>5117</v>
      </c>
    </row>
    <row r="16636">
      <c r="H16636" t="s">
        <v>5117</v>
      </c>
    </row>
    <row r="16637">
      <c r="H16637" t="s">
        <v>5117</v>
      </c>
    </row>
    <row r="16638">
      <c r="H16638" t="s">
        <v>5117</v>
      </c>
    </row>
    <row r="16639">
      <c r="H16639" t="s">
        <v>5117</v>
      </c>
    </row>
    <row r="16640">
      <c r="H16640" t="s">
        <v>5117</v>
      </c>
    </row>
    <row r="16641">
      <c r="H16641" t="s">
        <v>5117</v>
      </c>
    </row>
    <row r="16642">
      <c r="H16642" t="s">
        <v>5117</v>
      </c>
    </row>
    <row r="16643">
      <c r="H16643" t="s">
        <v>5117</v>
      </c>
    </row>
    <row r="16644">
      <c r="H16644" t="s">
        <v>5117</v>
      </c>
    </row>
    <row r="16645">
      <c r="H16645" t="s">
        <v>5117</v>
      </c>
    </row>
    <row r="16646">
      <c r="H16646" t="s">
        <v>5117</v>
      </c>
    </row>
    <row r="16647">
      <c r="H16647" t="s">
        <v>5117</v>
      </c>
    </row>
    <row r="16648">
      <c r="H16648" t="s">
        <v>5117</v>
      </c>
    </row>
    <row r="16649">
      <c r="H16649" t="s">
        <v>5117</v>
      </c>
    </row>
    <row r="16650">
      <c r="H16650" t="s">
        <v>5117</v>
      </c>
    </row>
    <row r="16651">
      <c r="H16651" t="s">
        <v>5117</v>
      </c>
    </row>
    <row r="16652">
      <c r="H16652" t="s">
        <v>5117</v>
      </c>
    </row>
    <row r="16653">
      <c r="H16653" t="s">
        <v>5117</v>
      </c>
    </row>
    <row r="16654">
      <c r="H16654" t="s">
        <v>5117</v>
      </c>
    </row>
    <row r="16655">
      <c r="H16655" t="s">
        <v>5117</v>
      </c>
    </row>
    <row r="16656">
      <c r="H16656" t="s">
        <v>5117</v>
      </c>
    </row>
    <row r="16657">
      <c r="H16657" t="s">
        <v>5117</v>
      </c>
    </row>
    <row r="16658">
      <c r="H16658" t="s">
        <v>5117</v>
      </c>
    </row>
    <row r="16659">
      <c r="H16659" t="s">
        <v>5117</v>
      </c>
    </row>
    <row r="16660">
      <c r="H16660" t="s">
        <v>5117</v>
      </c>
    </row>
    <row r="16661">
      <c r="H16661" t="s">
        <v>5117</v>
      </c>
    </row>
    <row r="16662">
      <c r="H16662" t="s">
        <v>5117</v>
      </c>
    </row>
    <row r="16663">
      <c r="H16663" t="s">
        <v>5117</v>
      </c>
    </row>
    <row r="16664">
      <c r="H16664" t="s">
        <v>5117</v>
      </c>
    </row>
    <row r="16665">
      <c r="H16665" t="s">
        <v>5117</v>
      </c>
    </row>
    <row r="16666">
      <c r="H16666" t="s">
        <v>5117</v>
      </c>
    </row>
    <row r="16667">
      <c r="H16667" t="s">
        <v>5117</v>
      </c>
    </row>
    <row r="16668">
      <c r="H16668" t="s">
        <v>5117</v>
      </c>
    </row>
    <row r="16669">
      <c r="H16669" t="s">
        <v>5117</v>
      </c>
    </row>
    <row r="16670">
      <c r="H16670" t="s">
        <v>5117</v>
      </c>
    </row>
    <row r="16671">
      <c r="H16671" t="s">
        <v>5117</v>
      </c>
    </row>
    <row r="16672">
      <c r="H16672" t="s">
        <v>5117</v>
      </c>
    </row>
    <row r="16673">
      <c r="H16673" t="s">
        <v>5117</v>
      </c>
    </row>
    <row r="16674">
      <c r="H16674" t="s">
        <v>5117</v>
      </c>
    </row>
    <row r="16675">
      <c r="H16675" t="s">
        <v>5117</v>
      </c>
    </row>
    <row r="16676">
      <c r="H16676" t="s">
        <v>5117</v>
      </c>
    </row>
    <row r="16677">
      <c r="H16677" t="s">
        <v>5117</v>
      </c>
    </row>
    <row r="16678">
      <c r="H16678" t="s">
        <v>5117</v>
      </c>
    </row>
    <row r="16679">
      <c r="H16679" t="s">
        <v>5117</v>
      </c>
    </row>
    <row r="16680">
      <c r="H16680" t="s">
        <v>5117</v>
      </c>
    </row>
    <row r="16681">
      <c r="H16681" t="s">
        <v>5117</v>
      </c>
    </row>
    <row r="16682">
      <c r="H16682" t="s">
        <v>5117</v>
      </c>
    </row>
    <row r="16683">
      <c r="H16683" t="s">
        <v>5117</v>
      </c>
    </row>
    <row r="16684">
      <c r="H16684" t="s">
        <v>5117</v>
      </c>
    </row>
    <row r="16685">
      <c r="H16685" t="s">
        <v>5117</v>
      </c>
    </row>
    <row r="16686">
      <c r="H16686" t="s">
        <v>5117</v>
      </c>
    </row>
    <row r="16687">
      <c r="H16687" t="s">
        <v>5117</v>
      </c>
    </row>
    <row r="16688">
      <c r="H16688" t="s">
        <v>5117</v>
      </c>
    </row>
    <row r="16689">
      <c r="H16689" t="s">
        <v>5117</v>
      </c>
    </row>
    <row r="16690">
      <c r="H16690" t="s">
        <v>5117</v>
      </c>
    </row>
    <row r="16691">
      <c r="H16691" t="s">
        <v>5117</v>
      </c>
    </row>
    <row r="16692">
      <c r="H16692" t="s">
        <v>5117</v>
      </c>
    </row>
    <row r="16693">
      <c r="H16693" t="s">
        <v>5117</v>
      </c>
    </row>
    <row r="16694">
      <c r="H16694" t="s">
        <v>5117</v>
      </c>
    </row>
    <row r="16695">
      <c r="H16695" t="s">
        <v>5117</v>
      </c>
    </row>
    <row r="16696">
      <c r="H16696" t="s">
        <v>5117</v>
      </c>
    </row>
    <row r="16697">
      <c r="H16697" t="s">
        <v>5117</v>
      </c>
    </row>
    <row r="16698">
      <c r="H16698" t="s">
        <v>5117</v>
      </c>
    </row>
    <row r="16699">
      <c r="H16699" t="s">
        <v>5117</v>
      </c>
    </row>
    <row r="16700">
      <c r="H16700" t="s">
        <v>5117</v>
      </c>
    </row>
    <row r="16701">
      <c r="H16701" t="s">
        <v>5117</v>
      </c>
    </row>
    <row r="16702">
      <c r="H16702" t="s">
        <v>5117</v>
      </c>
    </row>
    <row r="16703">
      <c r="H16703" t="s">
        <v>5117</v>
      </c>
    </row>
    <row r="16704">
      <c r="H16704" t="s">
        <v>5117</v>
      </c>
    </row>
    <row r="16705">
      <c r="H16705" t="s">
        <v>5117</v>
      </c>
    </row>
    <row r="16706">
      <c r="H16706" t="s">
        <v>5117</v>
      </c>
    </row>
    <row r="16707">
      <c r="H16707" t="s">
        <v>5117</v>
      </c>
    </row>
    <row r="16708">
      <c r="H16708" t="s">
        <v>5117</v>
      </c>
    </row>
    <row r="16709">
      <c r="H16709" t="s">
        <v>5117</v>
      </c>
    </row>
    <row r="16710">
      <c r="H16710" t="s">
        <v>5117</v>
      </c>
    </row>
    <row r="16711">
      <c r="H16711" t="s">
        <v>5117</v>
      </c>
    </row>
    <row r="16712">
      <c r="H16712" t="s">
        <v>5117</v>
      </c>
    </row>
    <row r="16713">
      <c r="H16713" t="s">
        <v>5117</v>
      </c>
    </row>
    <row r="16714">
      <c r="H16714" t="s">
        <v>5117</v>
      </c>
    </row>
    <row r="16715">
      <c r="H16715" t="s">
        <v>5117</v>
      </c>
    </row>
    <row r="16716">
      <c r="H16716" t="s">
        <v>5117</v>
      </c>
    </row>
    <row r="16717">
      <c r="H16717" t="s">
        <v>5117</v>
      </c>
    </row>
    <row r="16718">
      <c r="H16718" t="s">
        <v>5117</v>
      </c>
    </row>
    <row r="16719">
      <c r="H16719" t="s">
        <v>5117</v>
      </c>
    </row>
    <row r="16720">
      <c r="H16720" t="s">
        <v>5117</v>
      </c>
    </row>
    <row r="16721">
      <c r="H16721" t="s">
        <v>5117</v>
      </c>
    </row>
    <row r="16722">
      <c r="H16722" t="s">
        <v>5117</v>
      </c>
    </row>
    <row r="16723">
      <c r="H16723" t="s">
        <v>5117</v>
      </c>
    </row>
    <row r="16724">
      <c r="H16724" t="s">
        <v>5117</v>
      </c>
    </row>
    <row r="16725">
      <c r="H16725" t="s">
        <v>5117</v>
      </c>
    </row>
    <row r="16726">
      <c r="H16726" t="s">
        <v>5117</v>
      </c>
    </row>
    <row r="16727">
      <c r="H16727" t="s">
        <v>5117</v>
      </c>
    </row>
    <row r="16728">
      <c r="H16728" t="s">
        <v>5117</v>
      </c>
    </row>
    <row r="16729">
      <c r="H16729" t="s">
        <v>5117</v>
      </c>
    </row>
    <row r="16730">
      <c r="H16730" t="s">
        <v>5117</v>
      </c>
    </row>
    <row r="16731">
      <c r="H16731" t="s">
        <v>5117</v>
      </c>
    </row>
    <row r="16732">
      <c r="H16732" t="s">
        <v>5117</v>
      </c>
    </row>
    <row r="16733">
      <c r="H16733" t="s">
        <v>5117</v>
      </c>
    </row>
    <row r="16734">
      <c r="H16734" t="s">
        <v>5117</v>
      </c>
    </row>
    <row r="16735">
      <c r="H16735" t="s">
        <v>5117</v>
      </c>
    </row>
    <row r="16736">
      <c r="H16736" t="s">
        <v>5117</v>
      </c>
    </row>
    <row r="16737">
      <c r="H16737" t="s">
        <v>5117</v>
      </c>
    </row>
    <row r="16738">
      <c r="H16738" t="s">
        <v>5117</v>
      </c>
    </row>
    <row r="16739">
      <c r="H16739" t="s">
        <v>5117</v>
      </c>
    </row>
    <row r="16740">
      <c r="H16740" t="s">
        <v>5117</v>
      </c>
    </row>
    <row r="16741">
      <c r="H16741" t="s">
        <v>5117</v>
      </c>
    </row>
    <row r="16742">
      <c r="H16742" t="s">
        <v>5117</v>
      </c>
    </row>
    <row r="16743">
      <c r="H16743" t="s">
        <v>5117</v>
      </c>
    </row>
    <row r="16744">
      <c r="H16744" t="s">
        <v>5117</v>
      </c>
    </row>
    <row r="16745">
      <c r="H16745" t="s">
        <v>5117</v>
      </c>
    </row>
    <row r="16746">
      <c r="H16746" t="s">
        <v>5117</v>
      </c>
    </row>
    <row r="16747">
      <c r="H16747" t="s">
        <v>5117</v>
      </c>
    </row>
    <row r="16748">
      <c r="H16748" t="s">
        <v>5117</v>
      </c>
    </row>
    <row r="16749">
      <c r="H16749" t="s">
        <v>5117</v>
      </c>
    </row>
    <row r="16750">
      <c r="H16750" t="s">
        <v>5117</v>
      </c>
    </row>
    <row r="16751">
      <c r="H16751" t="s">
        <v>5117</v>
      </c>
    </row>
    <row r="16752">
      <c r="H16752" t="s">
        <v>5117</v>
      </c>
    </row>
    <row r="16753">
      <c r="H16753" t="s">
        <v>5117</v>
      </c>
    </row>
    <row r="16754">
      <c r="H16754" t="s">
        <v>5117</v>
      </c>
    </row>
    <row r="16755">
      <c r="H16755" t="s">
        <v>5117</v>
      </c>
    </row>
    <row r="16756">
      <c r="H16756" t="s">
        <v>5117</v>
      </c>
    </row>
    <row r="16757">
      <c r="H16757" t="s">
        <v>5117</v>
      </c>
    </row>
    <row r="16758">
      <c r="H16758" t="s">
        <v>5117</v>
      </c>
    </row>
    <row r="16759">
      <c r="H16759" t="s">
        <v>5117</v>
      </c>
    </row>
    <row r="16760">
      <c r="H16760" t="s">
        <v>5117</v>
      </c>
    </row>
    <row r="16761">
      <c r="H16761" t="s">
        <v>5117</v>
      </c>
    </row>
    <row r="16762">
      <c r="H16762" t="s">
        <v>5117</v>
      </c>
    </row>
    <row r="16763">
      <c r="H16763" t="s">
        <v>5117</v>
      </c>
    </row>
    <row r="16764">
      <c r="H16764" t="s">
        <v>5117</v>
      </c>
    </row>
    <row r="16765">
      <c r="H16765" t="s">
        <v>5117</v>
      </c>
    </row>
    <row r="16766">
      <c r="H16766" t="s">
        <v>5117</v>
      </c>
    </row>
    <row r="16767">
      <c r="H16767" t="s">
        <v>5117</v>
      </c>
    </row>
    <row r="16768">
      <c r="H16768" t="s">
        <v>5117</v>
      </c>
    </row>
    <row r="16769">
      <c r="H16769" t="s">
        <v>5117</v>
      </c>
    </row>
    <row r="16770">
      <c r="H16770" t="s">
        <v>5117</v>
      </c>
    </row>
    <row r="16771">
      <c r="H16771" t="s">
        <v>5117</v>
      </c>
    </row>
    <row r="16772">
      <c r="H16772" t="s">
        <v>5117</v>
      </c>
    </row>
    <row r="16773">
      <c r="H16773" t="s">
        <v>5117</v>
      </c>
    </row>
    <row r="16774">
      <c r="H16774" t="s">
        <v>5117</v>
      </c>
    </row>
    <row r="16775">
      <c r="H16775" t="s">
        <v>5117</v>
      </c>
    </row>
    <row r="16776">
      <c r="H16776" t="s">
        <v>5117</v>
      </c>
    </row>
    <row r="16777">
      <c r="H16777" t="s">
        <v>5117</v>
      </c>
    </row>
    <row r="16778">
      <c r="H16778" t="s">
        <v>5117</v>
      </c>
    </row>
    <row r="16779">
      <c r="H16779" t="s">
        <v>5117</v>
      </c>
    </row>
    <row r="16780">
      <c r="H16780" t="s">
        <v>5117</v>
      </c>
    </row>
    <row r="16781">
      <c r="H16781" t="s">
        <v>5117</v>
      </c>
    </row>
    <row r="16782">
      <c r="H16782" t="s">
        <v>5117</v>
      </c>
    </row>
    <row r="16783">
      <c r="H16783" t="s">
        <v>5117</v>
      </c>
    </row>
    <row r="16784">
      <c r="H16784" t="s">
        <v>5117</v>
      </c>
    </row>
    <row r="16785">
      <c r="H16785" t="s">
        <v>5117</v>
      </c>
    </row>
    <row r="16786">
      <c r="H16786" t="s">
        <v>5117</v>
      </c>
    </row>
    <row r="16787">
      <c r="H16787" t="s">
        <v>5117</v>
      </c>
    </row>
    <row r="16788">
      <c r="H16788" t="s">
        <v>5117</v>
      </c>
    </row>
    <row r="16789">
      <c r="H16789" t="s">
        <v>5117</v>
      </c>
    </row>
    <row r="16790">
      <c r="H16790" t="s">
        <v>5117</v>
      </c>
    </row>
    <row r="16791">
      <c r="H16791" t="s">
        <v>5117</v>
      </c>
    </row>
    <row r="16792">
      <c r="H16792" t="s">
        <v>5117</v>
      </c>
    </row>
    <row r="16793">
      <c r="H16793" t="s">
        <v>5117</v>
      </c>
    </row>
    <row r="16794">
      <c r="H16794" t="s">
        <v>5117</v>
      </c>
    </row>
    <row r="16795">
      <c r="H16795" t="s">
        <v>5117</v>
      </c>
    </row>
    <row r="16796">
      <c r="H16796" t="s">
        <v>5117</v>
      </c>
    </row>
    <row r="16797">
      <c r="H16797" t="s">
        <v>5117</v>
      </c>
    </row>
    <row r="16798">
      <c r="H16798" t="s">
        <v>5117</v>
      </c>
    </row>
    <row r="16799">
      <c r="H16799" t="s">
        <v>5117</v>
      </c>
    </row>
    <row r="16800">
      <c r="H16800" t="s">
        <v>5117</v>
      </c>
    </row>
    <row r="16801">
      <c r="H16801" t="s">
        <v>5117</v>
      </c>
    </row>
    <row r="16802">
      <c r="H16802" t="s">
        <v>5117</v>
      </c>
    </row>
    <row r="16803">
      <c r="H16803" t="s">
        <v>5117</v>
      </c>
    </row>
    <row r="16804">
      <c r="H16804" t="s">
        <v>5117</v>
      </c>
    </row>
    <row r="16805">
      <c r="H16805" t="s">
        <v>5117</v>
      </c>
    </row>
    <row r="16806">
      <c r="H16806" t="s">
        <v>5117</v>
      </c>
    </row>
    <row r="16807">
      <c r="H16807" t="s">
        <v>5117</v>
      </c>
    </row>
    <row r="16808">
      <c r="H16808" t="s">
        <v>5117</v>
      </c>
    </row>
    <row r="16809">
      <c r="H16809" t="s">
        <v>5117</v>
      </c>
    </row>
    <row r="16810">
      <c r="H16810" t="s">
        <v>5117</v>
      </c>
    </row>
    <row r="16811">
      <c r="H16811" t="s">
        <v>5117</v>
      </c>
    </row>
    <row r="16812">
      <c r="H16812" t="s">
        <v>5117</v>
      </c>
    </row>
    <row r="16813">
      <c r="H16813" t="s">
        <v>5117</v>
      </c>
    </row>
    <row r="16814">
      <c r="H16814" t="s">
        <v>5117</v>
      </c>
    </row>
    <row r="16815">
      <c r="H16815" t="s">
        <v>5117</v>
      </c>
    </row>
    <row r="16816">
      <c r="H16816" t="s">
        <v>5117</v>
      </c>
    </row>
    <row r="16817">
      <c r="H16817" t="s">
        <v>5117</v>
      </c>
    </row>
    <row r="16818">
      <c r="H16818" t="s">
        <v>5117</v>
      </c>
    </row>
    <row r="16819">
      <c r="H16819" t="s">
        <v>5117</v>
      </c>
    </row>
    <row r="16820">
      <c r="H16820" t="s">
        <v>5117</v>
      </c>
    </row>
    <row r="16821">
      <c r="H16821" t="s">
        <v>5117</v>
      </c>
    </row>
    <row r="16822">
      <c r="H16822" t="s">
        <v>5117</v>
      </c>
    </row>
    <row r="16823">
      <c r="H16823" t="s">
        <v>5117</v>
      </c>
    </row>
    <row r="16824">
      <c r="H16824" t="s">
        <v>5117</v>
      </c>
    </row>
    <row r="16825">
      <c r="H16825" t="s">
        <v>5117</v>
      </c>
    </row>
    <row r="16826">
      <c r="H16826" t="s">
        <v>5117</v>
      </c>
    </row>
    <row r="16827">
      <c r="H16827" t="s">
        <v>5117</v>
      </c>
    </row>
    <row r="16828">
      <c r="H16828" t="s">
        <v>5117</v>
      </c>
    </row>
    <row r="16829">
      <c r="H16829" t="s">
        <v>5117</v>
      </c>
    </row>
    <row r="16830">
      <c r="H16830" t="s">
        <v>5117</v>
      </c>
    </row>
    <row r="16831">
      <c r="H16831" t="s">
        <v>5117</v>
      </c>
    </row>
    <row r="16832">
      <c r="H16832" t="s">
        <v>5117</v>
      </c>
    </row>
    <row r="16833">
      <c r="H16833" t="s">
        <v>5117</v>
      </c>
    </row>
    <row r="16834">
      <c r="H16834" t="s">
        <v>5117</v>
      </c>
    </row>
    <row r="16835">
      <c r="H16835" t="s">
        <v>5117</v>
      </c>
    </row>
    <row r="16836">
      <c r="H16836" t="s">
        <v>5117</v>
      </c>
    </row>
    <row r="16837">
      <c r="H16837" t="s">
        <v>5117</v>
      </c>
    </row>
    <row r="16838">
      <c r="H16838" t="s">
        <v>5117</v>
      </c>
    </row>
    <row r="16839">
      <c r="H16839" t="s">
        <v>5117</v>
      </c>
    </row>
    <row r="16840">
      <c r="H16840" t="s">
        <v>5117</v>
      </c>
    </row>
    <row r="16841">
      <c r="H16841" t="s">
        <v>5117</v>
      </c>
    </row>
    <row r="16842">
      <c r="H16842" t="s">
        <v>5117</v>
      </c>
    </row>
    <row r="16843">
      <c r="H16843" t="s">
        <v>5117</v>
      </c>
    </row>
    <row r="16844">
      <c r="H16844" t="s">
        <v>5117</v>
      </c>
    </row>
    <row r="16845">
      <c r="H16845" t="s">
        <v>5117</v>
      </c>
    </row>
    <row r="16846">
      <c r="H16846" t="s">
        <v>5117</v>
      </c>
    </row>
    <row r="16847">
      <c r="H16847" t="s">
        <v>5117</v>
      </c>
    </row>
    <row r="16848">
      <c r="H16848" t="s">
        <v>5117</v>
      </c>
    </row>
    <row r="16849">
      <c r="H16849" t="s">
        <v>5117</v>
      </c>
    </row>
    <row r="16850">
      <c r="H16850" t="s">
        <v>5117</v>
      </c>
    </row>
    <row r="16851">
      <c r="H16851" t="s">
        <v>5117</v>
      </c>
    </row>
    <row r="16852">
      <c r="H16852" t="s">
        <v>5117</v>
      </c>
    </row>
    <row r="16853">
      <c r="H16853" t="s">
        <v>5117</v>
      </c>
    </row>
    <row r="16854">
      <c r="H16854" t="s">
        <v>5117</v>
      </c>
    </row>
    <row r="16855">
      <c r="H16855" t="s">
        <v>5117</v>
      </c>
    </row>
    <row r="16856">
      <c r="H16856" t="s">
        <v>5117</v>
      </c>
    </row>
    <row r="16857">
      <c r="H16857" t="s">
        <v>5117</v>
      </c>
    </row>
    <row r="16858">
      <c r="H16858" t="s">
        <v>5117</v>
      </c>
    </row>
    <row r="16859">
      <c r="H16859" t="s">
        <v>5117</v>
      </c>
    </row>
    <row r="16860">
      <c r="H16860" t="s">
        <v>5117</v>
      </c>
    </row>
    <row r="16861">
      <c r="H16861" t="s">
        <v>5117</v>
      </c>
    </row>
    <row r="16862">
      <c r="H16862" t="s">
        <v>5117</v>
      </c>
    </row>
    <row r="16863">
      <c r="H16863" t="s">
        <v>5117</v>
      </c>
    </row>
    <row r="16864">
      <c r="H16864" t="s">
        <v>5117</v>
      </c>
    </row>
    <row r="16865">
      <c r="H16865" t="s">
        <v>5117</v>
      </c>
    </row>
    <row r="16866">
      <c r="H16866" t="s">
        <v>5117</v>
      </c>
    </row>
    <row r="16867">
      <c r="H16867" t="s">
        <v>5117</v>
      </c>
    </row>
    <row r="16868">
      <c r="H16868" t="s">
        <v>5117</v>
      </c>
    </row>
    <row r="16869">
      <c r="H16869" t="s">
        <v>5117</v>
      </c>
    </row>
    <row r="16870">
      <c r="H16870" t="s">
        <v>5117</v>
      </c>
    </row>
    <row r="16871">
      <c r="H16871" t="s">
        <v>5117</v>
      </c>
    </row>
    <row r="16872">
      <c r="H16872" t="s">
        <v>5117</v>
      </c>
    </row>
    <row r="16873">
      <c r="H16873" t="s">
        <v>5117</v>
      </c>
    </row>
    <row r="16874">
      <c r="H16874" t="s">
        <v>5117</v>
      </c>
    </row>
    <row r="16875">
      <c r="H16875" t="s">
        <v>5117</v>
      </c>
    </row>
    <row r="16876">
      <c r="H16876" t="s">
        <v>5117</v>
      </c>
    </row>
    <row r="16877">
      <c r="H16877" t="s">
        <v>5117</v>
      </c>
    </row>
    <row r="16878">
      <c r="H16878" t="s">
        <v>5117</v>
      </c>
    </row>
    <row r="16879">
      <c r="H16879" t="s">
        <v>5117</v>
      </c>
    </row>
    <row r="16880">
      <c r="H16880" t="s">
        <v>5117</v>
      </c>
    </row>
    <row r="16881">
      <c r="H16881" t="s">
        <v>5117</v>
      </c>
    </row>
    <row r="16882">
      <c r="H16882" t="s">
        <v>5117</v>
      </c>
    </row>
    <row r="16883">
      <c r="H16883" t="s">
        <v>5117</v>
      </c>
    </row>
    <row r="16884">
      <c r="H16884" t="s">
        <v>5117</v>
      </c>
    </row>
    <row r="16885">
      <c r="H16885" t="s">
        <v>5117</v>
      </c>
    </row>
    <row r="16886">
      <c r="H16886" t="s">
        <v>5117</v>
      </c>
    </row>
    <row r="16887">
      <c r="H16887" t="s">
        <v>5117</v>
      </c>
    </row>
    <row r="16888">
      <c r="H16888" t="s">
        <v>5117</v>
      </c>
    </row>
    <row r="16889">
      <c r="H16889" t="s">
        <v>5117</v>
      </c>
    </row>
    <row r="16890">
      <c r="H16890" t="s">
        <v>5117</v>
      </c>
    </row>
    <row r="16891">
      <c r="H16891" t="s">
        <v>5117</v>
      </c>
    </row>
    <row r="16892">
      <c r="H16892" t="s">
        <v>5117</v>
      </c>
    </row>
    <row r="16893">
      <c r="H16893" t="s">
        <v>5117</v>
      </c>
    </row>
    <row r="16894">
      <c r="H16894" t="s">
        <v>5117</v>
      </c>
    </row>
    <row r="16895">
      <c r="H16895" t="s">
        <v>5117</v>
      </c>
    </row>
    <row r="16896">
      <c r="H16896" t="s">
        <v>5117</v>
      </c>
    </row>
    <row r="16897">
      <c r="H16897" t="s">
        <v>5117</v>
      </c>
    </row>
    <row r="16898">
      <c r="H16898" t="s">
        <v>5117</v>
      </c>
    </row>
    <row r="16899">
      <c r="H16899" t="s">
        <v>5117</v>
      </c>
    </row>
    <row r="16900">
      <c r="H16900" t="s">
        <v>5117</v>
      </c>
    </row>
    <row r="16901">
      <c r="H16901" t="s">
        <v>5117</v>
      </c>
    </row>
    <row r="16902">
      <c r="H16902" t="s">
        <v>5117</v>
      </c>
    </row>
    <row r="16903">
      <c r="H16903" t="s">
        <v>5117</v>
      </c>
    </row>
    <row r="16904">
      <c r="H16904" t="s">
        <v>5117</v>
      </c>
    </row>
    <row r="16905">
      <c r="H16905" t="s">
        <v>5117</v>
      </c>
    </row>
    <row r="16906">
      <c r="H16906" t="s">
        <v>5117</v>
      </c>
    </row>
    <row r="16907">
      <c r="H16907" t="s">
        <v>5117</v>
      </c>
    </row>
    <row r="16908">
      <c r="H16908" t="s">
        <v>5117</v>
      </c>
    </row>
    <row r="16909">
      <c r="H16909" t="s">
        <v>5117</v>
      </c>
    </row>
    <row r="16910">
      <c r="H16910" t="s">
        <v>5117</v>
      </c>
    </row>
    <row r="16911">
      <c r="H16911" t="s">
        <v>5117</v>
      </c>
    </row>
    <row r="16912">
      <c r="H16912" t="s">
        <v>5117</v>
      </c>
    </row>
    <row r="16913">
      <c r="H16913" t="s">
        <v>5117</v>
      </c>
    </row>
    <row r="16914">
      <c r="H16914" t="s">
        <v>5117</v>
      </c>
    </row>
    <row r="16915">
      <c r="H16915" t="s">
        <v>5117</v>
      </c>
    </row>
    <row r="16916">
      <c r="H16916" t="s">
        <v>5117</v>
      </c>
    </row>
    <row r="16917">
      <c r="H16917" t="s">
        <v>5117</v>
      </c>
    </row>
    <row r="16918">
      <c r="H16918" t="s">
        <v>5117</v>
      </c>
    </row>
    <row r="16919">
      <c r="H16919" t="s">
        <v>5117</v>
      </c>
    </row>
    <row r="16920">
      <c r="H16920" t="s">
        <v>5117</v>
      </c>
    </row>
    <row r="16921">
      <c r="H16921" t="s">
        <v>5117</v>
      </c>
    </row>
    <row r="16922">
      <c r="H16922" t="s">
        <v>5117</v>
      </c>
    </row>
    <row r="16923">
      <c r="H16923" t="s">
        <v>5117</v>
      </c>
    </row>
    <row r="16924">
      <c r="H16924" t="s">
        <v>5117</v>
      </c>
    </row>
    <row r="16925">
      <c r="H16925" t="s">
        <v>5117</v>
      </c>
    </row>
    <row r="16926">
      <c r="H16926" t="s">
        <v>5117</v>
      </c>
    </row>
    <row r="16927">
      <c r="H16927" t="s">
        <v>5117</v>
      </c>
    </row>
    <row r="16928">
      <c r="H16928" t="s">
        <v>5117</v>
      </c>
    </row>
    <row r="16929">
      <c r="H16929" t="s">
        <v>5117</v>
      </c>
    </row>
    <row r="16930">
      <c r="H16930" t="s">
        <v>5117</v>
      </c>
    </row>
    <row r="16931">
      <c r="H16931" t="s">
        <v>5117</v>
      </c>
    </row>
    <row r="16932">
      <c r="H16932" t="s">
        <v>5117</v>
      </c>
    </row>
    <row r="16933">
      <c r="H16933" t="s">
        <v>5117</v>
      </c>
    </row>
    <row r="16934">
      <c r="H16934" t="s">
        <v>5117</v>
      </c>
    </row>
    <row r="16935">
      <c r="H16935" t="s">
        <v>5117</v>
      </c>
    </row>
    <row r="16936">
      <c r="H16936" t="s">
        <v>5117</v>
      </c>
    </row>
    <row r="16937">
      <c r="H16937" t="s">
        <v>5117</v>
      </c>
    </row>
    <row r="16938">
      <c r="H16938" t="s">
        <v>5117</v>
      </c>
    </row>
    <row r="16939">
      <c r="H16939" t="s">
        <v>5117</v>
      </c>
    </row>
    <row r="16940">
      <c r="H16940" t="s">
        <v>5117</v>
      </c>
    </row>
    <row r="16941">
      <c r="H16941" t="s">
        <v>5117</v>
      </c>
    </row>
    <row r="16942">
      <c r="H16942" t="s">
        <v>5117</v>
      </c>
    </row>
    <row r="16943">
      <c r="H16943" t="s">
        <v>5117</v>
      </c>
    </row>
    <row r="16944">
      <c r="H16944" t="s">
        <v>5117</v>
      </c>
    </row>
    <row r="16945">
      <c r="H16945" t="s">
        <v>5117</v>
      </c>
    </row>
    <row r="16946">
      <c r="H16946" t="s">
        <v>5117</v>
      </c>
    </row>
    <row r="16947">
      <c r="H16947" t="s">
        <v>5117</v>
      </c>
    </row>
    <row r="16948">
      <c r="H16948" t="s">
        <v>5117</v>
      </c>
    </row>
    <row r="16949">
      <c r="H16949" t="s">
        <v>5117</v>
      </c>
    </row>
    <row r="16950">
      <c r="H16950" t="s">
        <v>5117</v>
      </c>
    </row>
    <row r="16951">
      <c r="H16951" t="s">
        <v>5117</v>
      </c>
    </row>
    <row r="16952">
      <c r="H16952" t="s">
        <v>5117</v>
      </c>
    </row>
    <row r="16953">
      <c r="H16953" t="s">
        <v>5117</v>
      </c>
    </row>
    <row r="16954">
      <c r="H16954" t="s">
        <v>5117</v>
      </c>
    </row>
    <row r="16955">
      <c r="H16955" t="s">
        <v>5117</v>
      </c>
    </row>
    <row r="16956">
      <c r="H16956" t="s">
        <v>5117</v>
      </c>
    </row>
    <row r="16957">
      <c r="H16957" t="s">
        <v>5117</v>
      </c>
    </row>
    <row r="16958">
      <c r="H16958" t="s">
        <v>5117</v>
      </c>
    </row>
    <row r="16959">
      <c r="H16959" t="s">
        <v>5117</v>
      </c>
    </row>
    <row r="16960">
      <c r="H16960" t="s">
        <v>5117</v>
      </c>
    </row>
    <row r="16961">
      <c r="H16961" t="s">
        <v>5117</v>
      </c>
    </row>
    <row r="16962">
      <c r="H16962" t="s">
        <v>5117</v>
      </c>
    </row>
    <row r="16963">
      <c r="H16963" t="s">
        <v>5117</v>
      </c>
    </row>
    <row r="16964">
      <c r="H16964" t="s">
        <v>5117</v>
      </c>
    </row>
    <row r="16965">
      <c r="H16965" t="s">
        <v>5117</v>
      </c>
    </row>
    <row r="16966">
      <c r="H16966" t="s">
        <v>5117</v>
      </c>
    </row>
    <row r="16967">
      <c r="H16967" t="s">
        <v>5117</v>
      </c>
    </row>
    <row r="16968">
      <c r="H16968" t="s">
        <v>5117</v>
      </c>
    </row>
    <row r="16969">
      <c r="H16969" t="s">
        <v>5117</v>
      </c>
    </row>
    <row r="16970">
      <c r="H16970" t="s">
        <v>5117</v>
      </c>
    </row>
    <row r="16971">
      <c r="H16971" t="s">
        <v>5117</v>
      </c>
    </row>
    <row r="16972">
      <c r="H16972" t="s">
        <v>5117</v>
      </c>
    </row>
    <row r="16973">
      <c r="H16973" t="s">
        <v>5117</v>
      </c>
    </row>
    <row r="16974">
      <c r="H16974" t="s">
        <v>5117</v>
      </c>
    </row>
    <row r="16975">
      <c r="H16975" t="s">
        <v>5117</v>
      </c>
    </row>
    <row r="16976">
      <c r="H16976" t="s">
        <v>5117</v>
      </c>
    </row>
    <row r="16977">
      <c r="H16977" t="s">
        <v>5117</v>
      </c>
    </row>
    <row r="16978">
      <c r="H16978" t="s">
        <v>5117</v>
      </c>
    </row>
    <row r="16979">
      <c r="H16979" t="s">
        <v>5117</v>
      </c>
    </row>
    <row r="16980">
      <c r="H16980" t="s">
        <v>5117</v>
      </c>
    </row>
    <row r="16981">
      <c r="H16981" t="s">
        <v>5117</v>
      </c>
    </row>
    <row r="16982">
      <c r="H16982" t="s">
        <v>5117</v>
      </c>
    </row>
    <row r="16983">
      <c r="H16983" t="s">
        <v>5117</v>
      </c>
    </row>
    <row r="16984">
      <c r="H16984" t="s">
        <v>5117</v>
      </c>
    </row>
    <row r="16985">
      <c r="H16985" t="s">
        <v>5117</v>
      </c>
    </row>
    <row r="16986">
      <c r="H16986" t="s">
        <v>5117</v>
      </c>
    </row>
    <row r="16987">
      <c r="H16987" t="s">
        <v>5117</v>
      </c>
    </row>
    <row r="16988">
      <c r="H16988" t="s">
        <v>5117</v>
      </c>
    </row>
    <row r="16989">
      <c r="H16989" t="s">
        <v>5117</v>
      </c>
    </row>
    <row r="16990">
      <c r="H16990" t="s">
        <v>5117</v>
      </c>
    </row>
    <row r="16991">
      <c r="H16991" t="s">
        <v>5117</v>
      </c>
    </row>
    <row r="16992">
      <c r="H16992" t="s">
        <v>5117</v>
      </c>
    </row>
    <row r="16993">
      <c r="H16993" t="s">
        <v>5117</v>
      </c>
    </row>
    <row r="16994">
      <c r="H16994" t="s">
        <v>5117</v>
      </c>
    </row>
    <row r="16995">
      <c r="H16995" t="s">
        <v>5117</v>
      </c>
    </row>
    <row r="16996">
      <c r="H16996" t="s">
        <v>5117</v>
      </c>
    </row>
    <row r="16997">
      <c r="H16997" t="s">
        <v>5117</v>
      </c>
    </row>
    <row r="16998">
      <c r="H16998" t="s">
        <v>5117</v>
      </c>
    </row>
    <row r="16999">
      <c r="H16999" t="s">
        <v>5117</v>
      </c>
    </row>
    <row r="17000">
      <c r="H17000" t="s">
        <v>5117</v>
      </c>
    </row>
    <row r="17001">
      <c r="H17001" t="s">
        <v>5117</v>
      </c>
    </row>
    <row r="17002">
      <c r="H17002" t="s">
        <v>5117</v>
      </c>
    </row>
    <row r="17003">
      <c r="H17003" t="s">
        <v>5117</v>
      </c>
    </row>
    <row r="17004">
      <c r="H17004" t="s">
        <v>5117</v>
      </c>
    </row>
    <row r="17005">
      <c r="H17005" t="s">
        <v>5117</v>
      </c>
    </row>
    <row r="17006">
      <c r="H17006" t="s">
        <v>5117</v>
      </c>
    </row>
    <row r="17007">
      <c r="H17007" t="s">
        <v>5117</v>
      </c>
    </row>
    <row r="17008">
      <c r="H17008" t="s">
        <v>5117</v>
      </c>
    </row>
    <row r="17009">
      <c r="H17009" t="s">
        <v>5117</v>
      </c>
    </row>
    <row r="17010">
      <c r="H17010" t="s">
        <v>5117</v>
      </c>
    </row>
    <row r="17011">
      <c r="H17011" t="s">
        <v>5117</v>
      </c>
    </row>
    <row r="17012">
      <c r="H17012" t="s">
        <v>5117</v>
      </c>
    </row>
    <row r="17013">
      <c r="H17013" t="s">
        <v>5117</v>
      </c>
    </row>
    <row r="17014">
      <c r="H17014" t="s">
        <v>5117</v>
      </c>
    </row>
    <row r="17015">
      <c r="H17015" t="s">
        <v>5117</v>
      </c>
    </row>
    <row r="17016">
      <c r="H17016" t="s">
        <v>5117</v>
      </c>
    </row>
    <row r="17017">
      <c r="H17017" t="s">
        <v>5117</v>
      </c>
    </row>
    <row r="17018">
      <c r="H17018" t="s">
        <v>5117</v>
      </c>
    </row>
    <row r="17019">
      <c r="H17019" t="s">
        <v>5117</v>
      </c>
    </row>
    <row r="17020">
      <c r="H17020" t="s">
        <v>5117</v>
      </c>
    </row>
    <row r="17021">
      <c r="H17021" t="s">
        <v>5117</v>
      </c>
    </row>
    <row r="17022">
      <c r="H17022" t="s">
        <v>5117</v>
      </c>
    </row>
    <row r="17023">
      <c r="H17023" t="s">
        <v>5117</v>
      </c>
    </row>
    <row r="17024">
      <c r="H17024" t="s">
        <v>5117</v>
      </c>
    </row>
    <row r="17025">
      <c r="H17025" t="s">
        <v>5117</v>
      </c>
    </row>
    <row r="17026">
      <c r="H17026" t="s">
        <v>5117</v>
      </c>
    </row>
    <row r="17027">
      <c r="H17027" t="s">
        <v>5117</v>
      </c>
    </row>
    <row r="17028">
      <c r="H17028" t="s">
        <v>5117</v>
      </c>
    </row>
    <row r="17029">
      <c r="H17029" t="s">
        <v>5117</v>
      </c>
    </row>
    <row r="17030">
      <c r="H17030" t="s">
        <v>5117</v>
      </c>
    </row>
    <row r="17031">
      <c r="H17031" t="s">
        <v>5117</v>
      </c>
    </row>
    <row r="17032">
      <c r="H17032" t="s">
        <v>5117</v>
      </c>
    </row>
    <row r="17033">
      <c r="H17033" t="s">
        <v>5117</v>
      </c>
    </row>
    <row r="17034">
      <c r="H17034" t="s">
        <v>5117</v>
      </c>
    </row>
    <row r="17035">
      <c r="H17035" t="s">
        <v>5117</v>
      </c>
    </row>
    <row r="17036">
      <c r="H17036" t="s">
        <v>5117</v>
      </c>
    </row>
    <row r="17037">
      <c r="H17037" t="s">
        <v>5117</v>
      </c>
    </row>
    <row r="17038">
      <c r="H17038" t="s">
        <v>5117</v>
      </c>
    </row>
    <row r="17039">
      <c r="H17039" t="s">
        <v>5117</v>
      </c>
    </row>
    <row r="17040">
      <c r="H17040" t="s">
        <v>5117</v>
      </c>
    </row>
    <row r="17041">
      <c r="H17041" t="s">
        <v>5117</v>
      </c>
    </row>
    <row r="17042">
      <c r="H17042" t="s">
        <v>5117</v>
      </c>
    </row>
    <row r="17043">
      <c r="H17043" t="s">
        <v>5117</v>
      </c>
    </row>
    <row r="17044">
      <c r="H17044" t="s">
        <v>5117</v>
      </c>
    </row>
    <row r="17045">
      <c r="H17045" t="s">
        <v>5117</v>
      </c>
    </row>
    <row r="17046">
      <c r="H17046" t="s">
        <v>5117</v>
      </c>
    </row>
    <row r="17047">
      <c r="H17047" t="s">
        <v>5117</v>
      </c>
    </row>
    <row r="17048">
      <c r="H17048" t="s">
        <v>5117</v>
      </c>
    </row>
    <row r="17049">
      <c r="H17049" t="s">
        <v>5117</v>
      </c>
    </row>
    <row r="17050">
      <c r="H17050" t="s">
        <v>5117</v>
      </c>
    </row>
    <row r="17051">
      <c r="H17051" t="s">
        <v>5117</v>
      </c>
    </row>
    <row r="17052">
      <c r="H17052" t="s">
        <v>5117</v>
      </c>
    </row>
    <row r="17053">
      <c r="H17053" t="s">
        <v>5117</v>
      </c>
    </row>
    <row r="17054">
      <c r="H17054" t="s">
        <v>5117</v>
      </c>
    </row>
    <row r="17055">
      <c r="H17055" t="s">
        <v>5117</v>
      </c>
    </row>
    <row r="17056">
      <c r="H17056" t="s">
        <v>5117</v>
      </c>
    </row>
    <row r="17057">
      <c r="H17057" t="s">
        <v>5117</v>
      </c>
    </row>
    <row r="17058">
      <c r="H17058" t="s">
        <v>5117</v>
      </c>
    </row>
    <row r="17059">
      <c r="H17059" t="s">
        <v>5117</v>
      </c>
    </row>
    <row r="17060">
      <c r="H17060" t="s">
        <v>5117</v>
      </c>
    </row>
    <row r="17061">
      <c r="H17061" t="s">
        <v>5117</v>
      </c>
    </row>
    <row r="17062">
      <c r="H17062" t="s">
        <v>5117</v>
      </c>
    </row>
    <row r="17063">
      <c r="H17063" t="s">
        <v>5117</v>
      </c>
    </row>
    <row r="17064">
      <c r="H17064" t="s">
        <v>5117</v>
      </c>
    </row>
    <row r="17065">
      <c r="H17065" t="s">
        <v>5117</v>
      </c>
    </row>
    <row r="17066">
      <c r="H17066" t="s">
        <v>5117</v>
      </c>
    </row>
    <row r="17067">
      <c r="H17067" t="s">
        <v>5117</v>
      </c>
    </row>
    <row r="17068">
      <c r="H17068" t="s">
        <v>5117</v>
      </c>
    </row>
    <row r="17069">
      <c r="H17069" t="s">
        <v>5117</v>
      </c>
    </row>
    <row r="17070">
      <c r="H17070" t="s">
        <v>5117</v>
      </c>
    </row>
    <row r="17071">
      <c r="H17071" t="s">
        <v>5117</v>
      </c>
    </row>
    <row r="17072">
      <c r="H17072" t="s">
        <v>5117</v>
      </c>
    </row>
    <row r="17073">
      <c r="H17073" t="s">
        <v>5117</v>
      </c>
    </row>
    <row r="17074">
      <c r="H17074" t="s">
        <v>5117</v>
      </c>
    </row>
    <row r="17075">
      <c r="H17075" t="s">
        <v>5117</v>
      </c>
    </row>
    <row r="17076">
      <c r="H17076" t="s">
        <v>5117</v>
      </c>
    </row>
    <row r="17077">
      <c r="H17077" t="s">
        <v>5117</v>
      </c>
    </row>
    <row r="17078">
      <c r="H17078" t="s">
        <v>5117</v>
      </c>
    </row>
    <row r="17079">
      <c r="H17079" t="s">
        <v>5117</v>
      </c>
    </row>
    <row r="17080">
      <c r="H17080" t="s">
        <v>5117</v>
      </c>
    </row>
    <row r="17081">
      <c r="H17081" t="s">
        <v>5117</v>
      </c>
    </row>
    <row r="17082">
      <c r="H17082" t="s">
        <v>5117</v>
      </c>
    </row>
    <row r="17083">
      <c r="H17083" t="s">
        <v>5117</v>
      </c>
    </row>
    <row r="17084">
      <c r="H17084" t="s">
        <v>5117</v>
      </c>
    </row>
    <row r="17085">
      <c r="H17085" t="s">
        <v>5117</v>
      </c>
    </row>
    <row r="17086">
      <c r="H17086" t="s">
        <v>5117</v>
      </c>
    </row>
    <row r="17087">
      <c r="H17087" t="s">
        <v>5117</v>
      </c>
    </row>
    <row r="17088">
      <c r="H17088" t="s">
        <v>5117</v>
      </c>
    </row>
    <row r="17089">
      <c r="H17089" t="s">
        <v>5117</v>
      </c>
    </row>
    <row r="17090">
      <c r="H17090" t="s">
        <v>5117</v>
      </c>
    </row>
    <row r="17091">
      <c r="H17091" t="s">
        <v>5117</v>
      </c>
    </row>
    <row r="17092">
      <c r="H17092" t="s">
        <v>5117</v>
      </c>
    </row>
    <row r="17093">
      <c r="H17093" t="s">
        <v>5117</v>
      </c>
    </row>
    <row r="17094">
      <c r="H17094" t="s">
        <v>5117</v>
      </c>
    </row>
    <row r="17095">
      <c r="H17095" t="s">
        <v>5117</v>
      </c>
    </row>
    <row r="17096">
      <c r="H17096" t="s">
        <v>5117</v>
      </c>
    </row>
    <row r="17097">
      <c r="H17097" t="s">
        <v>5117</v>
      </c>
    </row>
    <row r="17098">
      <c r="H17098" t="s">
        <v>5117</v>
      </c>
    </row>
    <row r="17099">
      <c r="H17099" t="s">
        <v>5117</v>
      </c>
    </row>
    <row r="17100">
      <c r="H17100" t="s">
        <v>5117</v>
      </c>
    </row>
    <row r="17101">
      <c r="H17101" t="s">
        <v>5117</v>
      </c>
    </row>
    <row r="17102">
      <c r="H17102" t="s">
        <v>5117</v>
      </c>
    </row>
    <row r="17103">
      <c r="H17103" t="s">
        <v>5117</v>
      </c>
    </row>
    <row r="17104">
      <c r="H17104" t="s">
        <v>5117</v>
      </c>
    </row>
    <row r="17105">
      <c r="H17105" t="s">
        <v>5117</v>
      </c>
    </row>
    <row r="17106">
      <c r="H17106" t="s">
        <v>5117</v>
      </c>
    </row>
    <row r="17107">
      <c r="H17107" t="s">
        <v>5117</v>
      </c>
    </row>
    <row r="17108">
      <c r="H17108" t="s">
        <v>5117</v>
      </c>
    </row>
    <row r="17109">
      <c r="H17109" t="s">
        <v>5117</v>
      </c>
    </row>
    <row r="17110">
      <c r="H17110" t="s">
        <v>5117</v>
      </c>
    </row>
    <row r="17111">
      <c r="H17111" t="s">
        <v>5117</v>
      </c>
    </row>
    <row r="17112">
      <c r="H17112" t="s">
        <v>5117</v>
      </c>
    </row>
    <row r="17113">
      <c r="H17113" t="s">
        <v>5117</v>
      </c>
    </row>
    <row r="17114">
      <c r="H17114" t="s">
        <v>5117</v>
      </c>
    </row>
    <row r="17115">
      <c r="H17115" t="s">
        <v>5117</v>
      </c>
    </row>
    <row r="17116">
      <c r="H17116" t="s">
        <v>5117</v>
      </c>
    </row>
    <row r="17117">
      <c r="H17117" t="s">
        <v>5117</v>
      </c>
    </row>
    <row r="17118">
      <c r="H17118" t="s">
        <v>5117</v>
      </c>
    </row>
    <row r="17119">
      <c r="H17119" t="s">
        <v>5117</v>
      </c>
    </row>
    <row r="17120">
      <c r="H17120" t="s">
        <v>5117</v>
      </c>
    </row>
    <row r="17121">
      <c r="H17121" t="s">
        <v>5117</v>
      </c>
    </row>
    <row r="17122">
      <c r="H17122" t="s">
        <v>5117</v>
      </c>
    </row>
    <row r="17123">
      <c r="H17123" t="s">
        <v>5117</v>
      </c>
    </row>
    <row r="17124">
      <c r="H17124" t="s">
        <v>5117</v>
      </c>
    </row>
    <row r="17125">
      <c r="H17125" t="s">
        <v>5117</v>
      </c>
    </row>
    <row r="17126">
      <c r="H17126" t="s">
        <v>5117</v>
      </c>
    </row>
    <row r="17127">
      <c r="H17127" t="s">
        <v>5117</v>
      </c>
    </row>
    <row r="17128">
      <c r="H17128" t="s">
        <v>5117</v>
      </c>
    </row>
    <row r="17129">
      <c r="H17129" t="s">
        <v>5117</v>
      </c>
    </row>
    <row r="17130">
      <c r="H17130" t="s">
        <v>5117</v>
      </c>
    </row>
    <row r="17131">
      <c r="H17131" t="s">
        <v>5117</v>
      </c>
    </row>
    <row r="17132">
      <c r="H17132" t="s">
        <v>5117</v>
      </c>
    </row>
    <row r="17133">
      <c r="H17133" t="s">
        <v>5117</v>
      </c>
    </row>
    <row r="17134">
      <c r="H17134" t="s">
        <v>5117</v>
      </c>
    </row>
    <row r="17135">
      <c r="H17135" t="s">
        <v>5117</v>
      </c>
    </row>
    <row r="17136">
      <c r="H17136" t="s">
        <v>5117</v>
      </c>
    </row>
    <row r="17137">
      <c r="H17137" t="s">
        <v>5117</v>
      </c>
    </row>
    <row r="17138">
      <c r="H17138" t="s">
        <v>5117</v>
      </c>
    </row>
    <row r="17139">
      <c r="H17139" t="s">
        <v>5117</v>
      </c>
    </row>
    <row r="17140">
      <c r="H17140" t="s">
        <v>5117</v>
      </c>
    </row>
    <row r="17141">
      <c r="H17141" t="s">
        <v>5117</v>
      </c>
    </row>
    <row r="17142">
      <c r="H17142" t="s">
        <v>5117</v>
      </c>
    </row>
    <row r="17143">
      <c r="H17143" t="s">
        <v>5117</v>
      </c>
    </row>
    <row r="17144">
      <c r="H17144" t="s">
        <v>5117</v>
      </c>
    </row>
    <row r="17145">
      <c r="H17145" t="s">
        <v>5117</v>
      </c>
    </row>
    <row r="17146">
      <c r="H17146" t="s">
        <v>5117</v>
      </c>
    </row>
    <row r="17147">
      <c r="H17147" t="s">
        <v>5117</v>
      </c>
    </row>
    <row r="17148">
      <c r="H17148" t="s">
        <v>5117</v>
      </c>
    </row>
    <row r="17149">
      <c r="H17149" t="s">
        <v>5117</v>
      </c>
    </row>
    <row r="17150">
      <c r="H17150" t="s">
        <v>5117</v>
      </c>
    </row>
    <row r="17151">
      <c r="H17151" t="s">
        <v>5117</v>
      </c>
    </row>
    <row r="17152">
      <c r="H17152" t="s">
        <v>5117</v>
      </c>
    </row>
    <row r="17153">
      <c r="H17153" t="s">
        <v>5117</v>
      </c>
    </row>
    <row r="17154">
      <c r="H17154" t="s">
        <v>5117</v>
      </c>
    </row>
    <row r="17155">
      <c r="H17155" t="s">
        <v>5117</v>
      </c>
    </row>
    <row r="17156">
      <c r="H17156" t="s">
        <v>5117</v>
      </c>
    </row>
    <row r="17157">
      <c r="H17157" t="s">
        <v>5117</v>
      </c>
    </row>
    <row r="17158">
      <c r="H17158" t="s">
        <v>5117</v>
      </c>
    </row>
    <row r="17159">
      <c r="H17159" t="s">
        <v>5117</v>
      </c>
    </row>
    <row r="17160">
      <c r="H17160" t="s">
        <v>5117</v>
      </c>
    </row>
    <row r="17161">
      <c r="H17161" t="s">
        <v>5117</v>
      </c>
    </row>
    <row r="17162">
      <c r="H17162" t="s">
        <v>5117</v>
      </c>
    </row>
    <row r="17163">
      <c r="H17163" t="s">
        <v>5117</v>
      </c>
    </row>
    <row r="17164">
      <c r="H17164" t="s">
        <v>5117</v>
      </c>
    </row>
    <row r="17165">
      <c r="H17165" t="s">
        <v>5117</v>
      </c>
    </row>
    <row r="17166">
      <c r="H17166" t="s">
        <v>5117</v>
      </c>
    </row>
    <row r="17167">
      <c r="H17167" t="s">
        <v>5117</v>
      </c>
    </row>
    <row r="17168">
      <c r="H17168" t="s">
        <v>5117</v>
      </c>
    </row>
    <row r="17169">
      <c r="H17169" t="s">
        <v>5117</v>
      </c>
    </row>
    <row r="17170">
      <c r="H17170" t="s">
        <v>5117</v>
      </c>
    </row>
    <row r="17171">
      <c r="H17171" t="s">
        <v>5117</v>
      </c>
    </row>
    <row r="17172">
      <c r="H17172" t="s">
        <v>5117</v>
      </c>
    </row>
    <row r="17173">
      <c r="H17173" t="s">
        <v>5117</v>
      </c>
    </row>
    <row r="17174">
      <c r="H17174" t="s">
        <v>5117</v>
      </c>
    </row>
    <row r="17175">
      <c r="H17175" t="s">
        <v>5117</v>
      </c>
    </row>
    <row r="17176">
      <c r="H17176" t="s">
        <v>5117</v>
      </c>
    </row>
    <row r="17177">
      <c r="H17177" t="s">
        <v>5117</v>
      </c>
    </row>
    <row r="17178">
      <c r="H17178" t="s">
        <v>5117</v>
      </c>
    </row>
    <row r="17179">
      <c r="H17179" t="s">
        <v>5117</v>
      </c>
    </row>
    <row r="17180">
      <c r="H17180" t="s">
        <v>5117</v>
      </c>
    </row>
    <row r="17181">
      <c r="H17181" t="s">
        <v>5117</v>
      </c>
    </row>
    <row r="17182">
      <c r="H17182" t="s">
        <v>5117</v>
      </c>
    </row>
    <row r="17183">
      <c r="H17183" t="s">
        <v>5117</v>
      </c>
    </row>
    <row r="17184">
      <c r="H17184" t="s">
        <v>5117</v>
      </c>
    </row>
    <row r="17185">
      <c r="H17185" t="s">
        <v>5117</v>
      </c>
    </row>
    <row r="17186">
      <c r="H17186" t="s">
        <v>5117</v>
      </c>
    </row>
    <row r="17187">
      <c r="H17187" t="s">
        <v>5117</v>
      </c>
    </row>
    <row r="17188">
      <c r="H17188" t="s">
        <v>5117</v>
      </c>
    </row>
    <row r="17189">
      <c r="H17189" t="s">
        <v>5117</v>
      </c>
    </row>
    <row r="17190">
      <c r="H17190" t="s">
        <v>5117</v>
      </c>
    </row>
    <row r="17191">
      <c r="H17191" t="s">
        <v>5117</v>
      </c>
    </row>
    <row r="17192">
      <c r="H17192" t="s">
        <v>5117</v>
      </c>
    </row>
    <row r="17193">
      <c r="H17193" t="s">
        <v>5117</v>
      </c>
    </row>
    <row r="17194">
      <c r="H17194" t="s">
        <v>5117</v>
      </c>
    </row>
    <row r="17195">
      <c r="H17195" t="s">
        <v>5117</v>
      </c>
    </row>
    <row r="17196">
      <c r="H17196" t="s">
        <v>5117</v>
      </c>
    </row>
    <row r="17197">
      <c r="H17197" t="s">
        <v>5117</v>
      </c>
    </row>
    <row r="17198">
      <c r="H17198" t="s">
        <v>5117</v>
      </c>
    </row>
    <row r="17199">
      <c r="H17199" t="s">
        <v>5117</v>
      </c>
    </row>
    <row r="17200">
      <c r="H17200" t="s">
        <v>5117</v>
      </c>
    </row>
    <row r="17201">
      <c r="H17201" t="s">
        <v>5117</v>
      </c>
    </row>
    <row r="17202">
      <c r="H17202" t="s">
        <v>5117</v>
      </c>
    </row>
    <row r="17203">
      <c r="H17203" t="s">
        <v>5117</v>
      </c>
    </row>
    <row r="17204">
      <c r="H17204" t="s">
        <v>5117</v>
      </c>
    </row>
    <row r="17205">
      <c r="H17205" t="s">
        <v>5117</v>
      </c>
    </row>
    <row r="17206">
      <c r="H17206" t="s">
        <v>5117</v>
      </c>
    </row>
    <row r="17207">
      <c r="H17207" t="s">
        <v>5117</v>
      </c>
    </row>
    <row r="17208">
      <c r="H17208" t="s">
        <v>5117</v>
      </c>
    </row>
    <row r="17209">
      <c r="H17209" t="s">
        <v>5117</v>
      </c>
    </row>
    <row r="17210">
      <c r="H17210" t="s">
        <v>5117</v>
      </c>
    </row>
    <row r="17211">
      <c r="H17211" t="s">
        <v>5117</v>
      </c>
    </row>
    <row r="17212">
      <c r="H17212" t="s">
        <v>5117</v>
      </c>
    </row>
    <row r="17213">
      <c r="H17213" t="s">
        <v>5117</v>
      </c>
    </row>
    <row r="17214">
      <c r="H17214" t="s">
        <v>5117</v>
      </c>
    </row>
    <row r="17215">
      <c r="H17215" t="s">
        <v>5117</v>
      </c>
    </row>
    <row r="17216">
      <c r="H17216" t="s">
        <v>5117</v>
      </c>
    </row>
    <row r="17217">
      <c r="H17217" t="s">
        <v>5117</v>
      </c>
    </row>
    <row r="17218">
      <c r="H17218" t="s">
        <v>5117</v>
      </c>
    </row>
    <row r="17219">
      <c r="H17219" t="s">
        <v>5117</v>
      </c>
    </row>
    <row r="17220">
      <c r="H17220" t="s">
        <v>5117</v>
      </c>
    </row>
    <row r="17221">
      <c r="H17221" t="s">
        <v>5117</v>
      </c>
    </row>
    <row r="17222">
      <c r="H17222" t="s">
        <v>5117</v>
      </c>
    </row>
    <row r="17223">
      <c r="H17223" t="s">
        <v>5117</v>
      </c>
    </row>
    <row r="17224">
      <c r="H17224" t="s">
        <v>5117</v>
      </c>
    </row>
    <row r="17225">
      <c r="H17225" t="s">
        <v>5117</v>
      </c>
    </row>
    <row r="17226">
      <c r="H17226" t="s">
        <v>5117</v>
      </c>
    </row>
    <row r="17227">
      <c r="H17227" t="s">
        <v>5117</v>
      </c>
    </row>
    <row r="17228">
      <c r="H17228" t="s">
        <v>5117</v>
      </c>
    </row>
    <row r="17229">
      <c r="H17229" t="s">
        <v>5117</v>
      </c>
    </row>
    <row r="17230">
      <c r="H17230" t="s">
        <v>5117</v>
      </c>
    </row>
    <row r="17231">
      <c r="H17231" t="s">
        <v>5117</v>
      </c>
    </row>
    <row r="17232">
      <c r="H17232" t="s">
        <v>5117</v>
      </c>
    </row>
    <row r="17233">
      <c r="H17233" t="s">
        <v>5117</v>
      </c>
    </row>
    <row r="17234">
      <c r="H17234" t="s">
        <v>5117</v>
      </c>
    </row>
    <row r="17235">
      <c r="H17235" t="s">
        <v>5117</v>
      </c>
    </row>
    <row r="17236">
      <c r="H17236" t="s">
        <v>5117</v>
      </c>
    </row>
    <row r="17237">
      <c r="H17237" t="s">
        <v>5117</v>
      </c>
    </row>
    <row r="17238">
      <c r="H17238" t="s">
        <v>5117</v>
      </c>
    </row>
    <row r="17239">
      <c r="H17239" t="s">
        <v>5117</v>
      </c>
    </row>
    <row r="17240">
      <c r="H17240" t="s">
        <v>5117</v>
      </c>
    </row>
    <row r="17241">
      <c r="H17241" t="s">
        <v>5117</v>
      </c>
    </row>
    <row r="17242">
      <c r="H17242" t="s">
        <v>5117</v>
      </c>
    </row>
    <row r="17243">
      <c r="H17243" t="s">
        <v>5117</v>
      </c>
    </row>
    <row r="17244">
      <c r="H17244" t="s">
        <v>5117</v>
      </c>
    </row>
    <row r="17245">
      <c r="H17245" t="s">
        <v>5117</v>
      </c>
    </row>
    <row r="17246">
      <c r="H17246" t="s">
        <v>5117</v>
      </c>
    </row>
    <row r="17247">
      <c r="H17247" t="s">
        <v>5117</v>
      </c>
    </row>
    <row r="17248">
      <c r="H17248" t="s">
        <v>5117</v>
      </c>
    </row>
    <row r="17249">
      <c r="H17249" t="s">
        <v>5117</v>
      </c>
    </row>
    <row r="17250">
      <c r="H17250" t="s">
        <v>5117</v>
      </c>
    </row>
    <row r="17251">
      <c r="H17251" t="s">
        <v>5117</v>
      </c>
    </row>
    <row r="17252">
      <c r="H17252" t="s">
        <v>5117</v>
      </c>
    </row>
    <row r="17253">
      <c r="H17253" t="s">
        <v>5117</v>
      </c>
    </row>
    <row r="17254">
      <c r="H17254" t="s">
        <v>5117</v>
      </c>
    </row>
    <row r="17255">
      <c r="H17255" t="s">
        <v>5117</v>
      </c>
    </row>
    <row r="17256">
      <c r="H17256" t="s">
        <v>5117</v>
      </c>
    </row>
    <row r="17257">
      <c r="H17257" t="s">
        <v>5117</v>
      </c>
    </row>
    <row r="17258">
      <c r="H17258" t="s">
        <v>5117</v>
      </c>
    </row>
    <row r="17259">
      <c r="H17259" t="s">
        <v>5117</v>
      </c>
    </row>
    <row r="17260">
      <c r="H17260" t="s">
        <v>5117</v>
      </c>
    </row>
    <row r="17261">
      <c r="H17261" t="s">
        <v>5117</v>
      </c>
    </row>
    <row r="17262">
      <c r="H17262" t="s">
        <v>5117</v>
      </c>
    </row>
    <row r="17263">
      <c r="H17263" t="s">
        <v>5117</v>
      </c>
    </row>
    <row r="17264">
      <c r="H17264" t="s">
        <v>5117</v>
      </c>
    </row>
    <row r="17265">
      <c r="H17265" t="s">
        <v>5117</v>
      </c>
    </row>
    <row r="17266">
      <c r="H17266" t="s">
        <v>5117</v>
      </c>
    </row>
    <row r="17267">
      <c r="H17267" t="s">
        <v>5117</v>
      </c>
    </row>
    <row r="17268">
      <c r="H17268" t="s">
        <v>5117</v>
      </c>
    </row>
    <row r="17269">
      <c r="H17269" t="s">
        <v>5117</v>
      </c>
    </row>
    <row r="17270">
      <c r="H17270" t="s">
        <v>5117</v>
      </c>
    </row>
    <row r="17271">
      <c r="H17271" t="s">
        <v>5117</v>
      </c>
    </row>
    <row r="17272">
      <c r="H17272" t="s">
        <v>5117</v>
      </c>
    </row>
    <row r="17273">
      <c r="H17273" t="s">
        <v>5117</v>
      </c>
    </row>
    <row r="17274">
      <c r="H17274" t="s">
        <v>5117</v>
      </c>
    </row>
    <row r="17275">
      <c r="H17275" t="s">
        <v>5117</v>
      </c>
    </row>
    <row r="17276">
      <c r="H17276" t="s">
        <v>5117</v>
      </c>
    </row>
    <row r="17277">
      <c r="H17277" t="s">
        <v>5117</v>
      </c>
    </row>
    <row r="17278">
      <c r="H17278" t="s">
        <v>5117</v>
      </c>
    </row>
    <row r="17279">
      <c r="H17279" t="s">
        <v>5117</v>
      </c>
    </row>
    <row r="17280">
      <c r="H17280" t="s">
        <v>5117</v>
      </c>
    </row>
    <row r="17281">
      <c r="H17281" t="s">
        <v>5117</v>
      </c>
    </row>
    <row r="17282">
      <c r="H17282" t="s">
        <v>5117</v>
      </c>
    </row>
    <row r="17283">
      <c r="H17283" t="s">
        <v>5117</v>
      </c>
    </row>
    <row r="17284">
      <c r="H17284" t="s">
        <v>5117</v>
      </c>
    </row>
    <row r="17285">
      <c r="H17285" t="s">
        <v>5117</v>
      </c>
    </row>
    <row r="17286">
      <c r="H17286" t="s">
        <v>5117</v>
      </c>
    </row>
    <row r="17287">
      <c r="H17287" t="s">
        <v>5117</v>
      </c>
    </row>
    <row r="17288">
      <c r="H17288" t="s">
        <v>5117</v>
      </c>
    </row>
    <row r="17289">
      <c r="H17289" t="s">
        <v>5117</v>
      </c>
    </row>
    <row r="17290">
      <c r="H17290" t="s">
        <v>5117</v>
      </c>
    </row>
    <row r="17291">
      <c r="H17291" t="s">
        <v>5117</v>
      </c>
    </row>
    <row r="17292">
      <c r="H17292" t="s">
        <v>5117</v>
      </c>
    </row>
    <row r="17293">
      <c r="H17293" t="s">
        <v>5117</v>
      </c>
    </row>
    <row r="17294">
      <c r="H17294" t="s">
        <v>5117</v>
      </c>
    </row>
    <row r="17295">
      <c r="H17295" t="s">
        <v>5117</v>
      </c>
    </row>
    <row r="17296">
      <c r="H17296" t="s">
        <v>5117</v>
      </c>
    </row>
    <row r="17297">
      <c r="H17297" t="s">
        <v>5117</v>
      </c>
    </row>
    <row r="17298">
      <c r="H17298" t="s">
        <v>5117</v>
      </c>
    </row>
    <row r="17299">
      <c r="H17299" t="s">
        <v>5117</v>
      </c>
    </row>
    <row r="17300">
      <c r="H17300" t="s">
        <v>5117</v>
      </c>
    </row>
    <row r="17301">
      <c r="H17301" t="s">
        <v>5117</v>
      </c>
    </row>
    <row r="17302">
      <c r="H17302" t="s">
        <v>5117</v>
      </c>
    </row>
    <row r="17303">
      <c r="H17303" t="s">
        <v>5117</v>
      </c>
    </row>
    <row r="17304">
      <c r="H17304" t="s">
        <v>5117</v>
      </c>
    </row>
    <row r="17305">
      <c r="H17305" t="s">
        <v>5117</v>
      </c>
    </row>
    <row r="17306">
      <c r="H17306" t="s">
        <v>5117</v>
      </c>
    </row>
    <row r="17307">
      <c r="H17307" t="s">
        <v>5117</v>
      </c>
    </row>
    <row r="17308">
      <c r="H17308" t="s">
        <v>5117</v>
      </c>
    </row>
    <row r="17309">
      <c r="H17309" t="s">
        <v>5117</v>
      </c>
    </row>
    <row r="17310">
      <c r="H17310" t="s">
        <v>5117</v>
      </c>
    </row>
    <row r="17311">
      <c r="H17311" t="s">
        <v>5117</v>
      </c>
    </row>
    <row r="17312">
      <c r="H17312" t="s">
        <v>5117</v>
      </c>
    </row>
    <row r="17313">
      <c r="H17313" t="s">
        <v>5117</v>
      </c>
    </row>
    <row r="17314">
      <c r="H17314" t="s">
        <v>5117</v>
      </c>
    </row>
    <row r="17315">
      <c r="H17315" t="s">
        <v>5117</v>
      </c>
    </row>
    <row r="17316">
      <c r="H17316" t="s">
        <v>5117</v>
      </c>
    </row>
    <row r="17317">
      <c r="H17317" t="s">
        <v>5117</v>
      </c>
    </row>
    <row r="17318">
      <c r="H17318" t="s">
        <v>5117</v>
      </c>
    </row>
    <row r="17319">
      <c r="H17319" t="s">
        <v>5117</v>
      </c>
    </row>
    <row r="17320">
      <c r="H17320" t="s">
        <v>5117</v>
      </c>
    </row>
    <row r="17321">
      <c r="H17321" t="s">
        <v>5117</v>
      </c>
    </row>
    <row r="17322">
      <c r="H17322" t="s">
        <v>5117</v>
      </c>
    </row>
    <row r="17323">
      <c r="H17323" t="s">
        <v>5117</v>
      </c>
    </row>
    <row r="17324">
      <c r="H17324" t="s">
        <v>5117</v>
      </c>
    </row>
    <row r="17325">
      <c r="H17325" t="s">
        <v>5117</v>
      </c>
    </row>
    <row r="17326">
      <c r="H17326" t="s">
        <v>5117</v>
      </c>
    </row>
    <row r="17327">
      <c r="H17327" t="s">
        <v>5117</v>
      </c>
    </row>
    <row r="17328">
      <c r="H17328" t="s">
        <v>5117</v>
      </c>
    </row>
    <row r="17329">
      <c r="H17329" t="s">
        <v>5117</v>
      </c>
    </row>
    <row r="17330">
      <c r="H17330" t="s">
        <v>5117</v>
      </c>
    </row>
    <row r="17331">
      <c r="H17331" t="s">
        <v>5117</v>
      </c>
    </row>
    <row r="17332">
      <c r="H17332" t="s">
        <v>5117</v>
      </c>
    </row>
    <row r="17333">
      <c r="H17333" t="s">
        <v>5117</v>
      </c>
    </row>
    <row r="17334">
      <c r="H17334" t="s">
        <v>5117</v>
      </c>
    </row>
    <row r="17335">
      <c r="H17335" t="s">
        <v>5117</v>
      </c>
    </row>
    <row r="17336">
      <c r="H17336" t="s">
        <v>5117</v>
      </c>
    </row>
    <row r="17337">
      <c r="H17337" t="s">
        <v>5117</v>
      </c>
    </row>
    <row r="17338">
      <c r="H17338" t="s">
        <v>5117</v>
      </c>
    </row>
    <row r="17339">
      <c r="H17339" t="s">
        <v>5117</v>
      </c>
    </row>
    <row r="17340">
      <c r="H17340" t="s">
        <v>5117</v>
      </c>
    </row>
    <row r="17341">
      <c r="H17341" t="s">
        <v>5117</v>
      </c>
    </row>
    <row r="17342">
      <c r="H17342" t="s">
        <v>5117</v>
      </c>
    </row>
    <row r="17343">
      <c r="H17343" t="s">
        <v>5117</v>
      </c>
    </row>
    <row r="17344">
      <c r="H17344" t="s">
        <v>5117</v>
      </c>
    </row>
    <row r="17345">
      <c r="H17345" t="s">
        <v>5117</v>
      </c>
    </row>
    <row r="17346">
      <c r="H17346" t="s">
        <v>5117</v>
      </c>
    </row>
    <row r="17347">
      <c r="H17347" t="s">
        <v>5117</v>
      </c>
    </row>
    <row r="17348">
      <c r="H17348" t="s">
        <v>5117</v>
      </c>
    </row>
    <row r="17349">
      <c r="H17349" t="s">
        <v>5117</v>
      </c>
    </row>
    <row r="17350">
      <c r="H17350" t="s">
        <v>5117</v>
      </c>
    </row>
    <row r="17351">
      <c r="H17351" t="s">
        <v>5117</v>
      </c>
    </row>
    <row r="17352">
      <c r="H17352" t="s">
        <v>5117</v>
      </c>
    </row>
    <row r="17353">
      <c r="H17353" t="s">
        <v>5117</v>
      </c>
    </row>
    <row r="17354">
      <c r="H17354" t="s">
        <v>5117</v>
      </c>
    </row>
    <row r="17355">
      <c r="H17355" t="s">
        <v>5117</v>
      </c>
    </row>
    <row r="17356">
      <c r="H17356" t="s">
        <v>5117</v>
      </c>
    </row>
    <row r="17357">
      <c r="H17357" t="s">
        <v>5117</v>
      </c>
    </row>
    <row r="17358">
      <c r="H17358" t="s">
        <v>5117</v>
      </c>
    </row>
    <row r="17359">
      <c r="H17359" t="s">
        <v>5117</v>
      </c>
    </row>
    <row r="17360">
      <c r="H17360" t="s">
        <v>5117</v>
      </c>
    </row>
    <row r="17361">
      <c r="H17361" t="s">
        <v>5117</v>
      </c>
    </row>
    <row r="17362">
      <c r="H17362" t="s">
        <v>5117</v>
      </c>
    </row>
    <row r="17363">
      <c r="H17363" t="s">
        <v>5117</v>
      </c>
    </row>
    <row r="17364">
      <c r="H17364" t="s">
        <v>5117</v>
      </c>
    </row>
    <row r="17365">
      <c r="H17365" t="s">
        <v>5117</v>
      </c>
    </row>
    <row r="17366">
      <c r="H17366" t="s">
        <v>5117</v>
      </c>
    </row>
    <row r="17367">
      <c r="H17367" t="s">
        <v>5117</v>
      </c>
    </row>
    <row r="17368">
      <c r="H17368" t="s">
        <v>5117</v>
      </c>
    </row>
    <row r="17369">
      <c r="H17369" t="s">
        <v>5117</v>
      </c>
    </row>
    <row r="17370">
      <c r="H17370" t="s">
        <v>5117</v>
      </c>
    </row>
    <row r="17371">
      <c r="H17371" t="s">
        <v>5117</v>
      </c>
    </row>
    <row r="17372">
      <c r="H17372" t="s">
        <v>5117</v>
      </c>
    </row>
    <row r="17373">
      <c r="H17373" t="s">
        <v>5117</v>
      </c>
    </row>
    <row r="17374">
      <c r="H17374" t="s">
        <v>5117</v>
      </c>
    </row>
    <row r="17375">
      <c r="H17375" t="s">
        <v>5117</v>
      </c>
    </row>
    <row r="17376">
      <c r="H17376" t="s">
        <v>5117</v>
      </c>
    </row>
    <row r="17377">
      <c r="H17377" t="s">
        <v>5117</v>
      </c>
    </row>
    <row r="17378">
      <c r="H17378" t="s">
        <v>5117</v>
      </c>
    </row>
    <row r="17379">
      <c r="H17379" t="s">
        <v>5117</v>
      </c>
    </row>
    <row r="17380">
      <c r="H17380" t="s">
        <v>5117</v>
      </c>
    </row>
    <row r="17381">
      <c r="H17381" t="s">
        <v>5117</v>
      </c>
    </row>
    <row r="17382">
      <c r="H17382" t="s">
        <v>5117</v>
      </c>
    </row>
    <row r="17383">
      <c r="H17383" t="s">
        <v>5117</v>
      </c>
    </row>
    <row r="17384">
      <c r="H17384" t="s">
        <v>5117</v>
      </c>
    </row>
    <row r="17385">
      <c r="H17385" t="s">
        <v>5117</v>
      </c>
    </row>
    <row r="17386">
      <c r="H17386" t="s">
        <v>5117</v>
      </c>
    </row>
    <row r="17387">
      <c r="H17387" t="s">
        <v>5117</v>
      </c>
    </row>
    <row r="17388">
      <c r="H17388" t="s">
        <v>5117</v>
      </c>
    </row>
    <row r="17389">
      <c r="H17389" t="s">
        <v>5117</v>
      </c>
    </row>
    <row r="17390">
      <c r="H17390" t="s">
        <v>5117</v>
      </c>
    </row>
    <row r="17391">
      <c r="H17391" t="s">
        <v>5117</v>
      </c>
    </row>
    <row r="17392">
      <c r="H17392" t="s">
        <v>5117</v>
      </c>
    </row>
    <row r="17393">
      <c r="H17393" t="s">
        <v>5117</v>
      </c>
    </row>
    <row r="17394">
      <c r="H17394" t="s">
        <v>5117</v>
      </c>
    </row>
    <row r="17395">
      <c r="H17395" t="s">
        <v>5117</v>
      </c>
    </row>
    <row r="17396">
      <c r="H17396" t="s">
        <v>5117</v>
      </c>
    </row>
    <row r="17397">
      <c r="H17397" t="s">
        <v>5117</v>
      </c>
    </row>
    <row r="17398">
      <c r="H17398" t="s">
        <v>5117</v>
      </c>
    </row>
    <row r="17399">
      <c r="H17399" t="s">
        <v>5117</v>
      </c>
    </row>
    <row r="17400">
      <c r="H17400" t="s">
        <v>5117</v>
      </c>
    </row>
    <row r="17401">
      <c r="H17401" t="s">
        <v>5117</v>
      </c>
    </row>
    <row r="17402">
      <c r="H17402" t="s">
        <v>5117</v>
      </c>
    </row>
    <row r="17403">
      <c r="H17403" t="s">
        <v>5117</v>
      </c>
    </row>
    <row r="17404">
      <c r="H17404" t="s">
        <v>5117</v>
      </c>
    </row>
    <row r="17405">
      <c r="H17405" t="s">
        <v>5117</v>
      </c>
    </row>
    <row r="17406">
      <c r="H17406" t="s">
        <v>5117</v>
      </c>
    </row>
    <row r="17407">
      <c r="H17407" t="s">
        <v>5117</v>
      </c>
    </row>
    <row r="17408">
      <c r="H17408" t="s">
        <v>5117</v>
      </c>
    </row>
    <row r="17409">
      <c r="H17409" t="s">
        <v>5117</v>
      </c>
    </row>
    <row r="17410">
      <c r="H17410" t="s">
        <v>5117</v>
      </c>
    </row>
    <row r="17411">
      <c r="H17411" t="s">
        <v>5117</v>
      </c>
    </row>
    <row r="17412">
      <c r="H17412" t="s">
        <v>5117</v>
      </c>
    </row>
    <row r="17413">
      <c r="H17413" t="s">
        <v>5117</v>
      </c>
    </row>
    <row r="17414">
      <c r="H17414" t="s">
        <v>5117</v>
      </c>
    </row>
    <row r="17415">
      <c r="H17415" t="s">
        <v>5117</v>
      </c>
    </row>
    <row r="17416">
      <c r="H17416" t="s">
        <v>5117</v>
      </c>
    </row>
    <row r="17417">
      <c r="H17417" t="s">
        <v>5117</v>
      </c>
    </row>
    <row r="17418">
      <c r="H17418" t="s">
        <v>5117</v>
      </c>
    </row>
    <row r="17419">
      <c r="H17419" t="s">
        <v>5117</v>
      </c>
    </row>
    <row r="17420">
      <c r="H17420" t="s">
        <v>5117</v>
      </c>
    </row>
    <row r="17421">
      <c r="H17421" t="s">
        <v>5117</v>
      </c>
    </row>
    <row r="17422">
      <c r="H17422" t="s">
        <v>5117</v>
      </c>
    </row>
    <row r="17423">
      <c r="H17423" t="s">
        <v>5117</v>
      </c>
    </row>
    <row r="17424">
      <c r="H17424" t="s">
        <v>5117</v>
      </c>
    </row>
    <row r="17425">
      <c r="H17425" t="s">
        <v>5117</v>
      </c>
    </row>
    <row r="17426">
      <c r="H17426" t="s">
        <v>5117</v>
      </c>
    </row>
    <row r="17427">
      <c r="H17427" t="s">
        <v>5117</v>
      </c>
    </row>
    <row r="17428">
      <c r="H17428" t="s">
        <v>5117</v>
      </c>
    </row>
    <row r="17429">
      <c r="H17429" t="s">
        <v>5117</v>
      </c>
    </row>
    <row r="17430">
      <c r="H17430" t="s">
        <v>5117</v>
      </c>
    </row>
    <row r="17431">
      <c r="H17431" t="s">
        <v>5117</v>
      </c>
    </row>
    <row r="17432">
      <c r="H17432" t="s">
        <v>5117</v>
      </c>
    </row>
    <row r="17433">
      <c r="H17433" t="s">
        <v>5117</v>
      </c>
    </row>
    <row r="17434">
      <c r="H17434" t="s">
        <v>5117</v>
      </c>
    </row>
    <row r="17435">
      <c r="H17435" t="s">
        <v>5117</v>
      </c>
    </row>
    <row r="17436">
      <c r="H17436" t="s">
        <v>5117</v>
      </c>
    </row>
    <row r="17437">
      <c r="H17437" t="s">
        <v>5117</v>
      </c>
    </row>
    <row r="17438">
      <c r="H17438" t="s">
        <v>5117</v>
      </c>
    </row>
    <row r="17439">
      <c r="H17439" t="s">
        <v>5117</v>
      </c>
    </row>
    <row r="17440">
      <c r="H17440" t="s">
        <v>5117</v>
      </c>
    </row>
    <row r="17441">
      <c r="H17441" t="s">
        <v>5117</v>
      </c>
    </row>
    <row r="17442">
      <c r="H17442" t="s">
        <v>5117</v>
      </c>
    </row>
    <row r="17443">
      <c r="H17443" t="s">
        <v>5117</v>
      </c>
    </row>
    <row r="17444">
      <c r="H17444" t="s">
        <v>5117</v>
      </c>
    </row>
    <row r="17445">
      <c r="H17445" t="s">
        <v>5117</v>
      </c>
    </row>
    <row r="17446">
      <c r="H17446" t="s">
        <v>5117</v>
      </c>
    </row>
    <row r="17447">
      <c r="H17447" t="s">
        <v>5117</v>
      </c>
    </row>
    <row r="17448">
      <c r="H17448" t="s">
        <v>5117</v>
      </c>
    </row>
    <row r="17449">
      <c r="H17449" t="s">
        <v>5117</v>
      </c>
    </row>
    <row r="17450">
      <c r="H17450" t="s">
        <v>5117</v>
      </c>
    </row>
    <row r="17451">
      <c r="H17451" t="s">
        <v>5117</v>
      </c>
    </row>
    <row r="17452">
      <c r="H17452" t="s">
        <v>5117</v>
      </c>
    </row>
    <row r="17453">
      <c r="H17453" t="s">
        <v>5117</v>
      </c>
    </row>
    <row r="17454">
      <c r="H17454" t="s">
        <v>5117</v>
      </c>
    </row>
    <row r="17455">
      <c r="H17455" t="s">
        <v>5117</v>
      </c>
    </row>
    <row r="17456">
      <c r="H17456" t="s">
        <v>5117</v>
      </c>
    </row>
    <row r="17457">
      <c r="H17457" t="s">
        <v>5117</v>
      </c>
    </row>
    <row r="17458">
      <c r="H17458" t="s">
        <v>5117</v>
      </c>
    </row>
    <row r="17459">
      <c r="H17459" t="s">
        <v>5117</v>
      </c>
    </row>
    <row r="17460">
      <c r="H17460" t="s">
        <v>5117</v>
      </c>
    </row>
    <row r="17461">
      <c r="H17461" t="s">
        <v>5117</v>
      </c>
    </row>
    <row r="17462">
      <c r="H17462" t="s">
        <v>5117</v>
      </c>
    </row>
    <row r="17463">
      <c r="H17463" t="s">
        <v>5117</v>
      </c>
    </row>
    <row r="17464">
      <c r="H17464" t="s">
        <v>5117</v>
      </c>
    </row>
    <row r="17465">
      <c r="H17465" t="s">
        <v>5117</v>
      </c>
    </row>
    <row r="17466">
      <c r="H17466" t="s">
        <v>5117</v>
      </c>
    </row>
    <row r="17467">
      <c r="H17467" t="s">
        <v>5117</v>
      </c>
    </row>
    <row r="17468">
      <c r="H17468" t="s">
        <v>5117</v>
      </c>
    </row>
    <row r="17469">
      <c r="H17469" t="s">
        <v>5117</v>
      </c>
    </row>
    <row r="17470">
      <c r="H17470" t="s">
        <v>5117</v>
      </c>
    </row>
    <row r="17471">
      <c r="H17471" t="s">
        <v>5117</v>
      </c>
    </row>
    <row r="17472">
      <c r="H17472" t="s">
        <v>5117</v>
      </c>
    </row>
    <row r="17473">
      <c r="H17473" t="s">
        <v>5117</v>
      </c>
    </row>
    <row r="17474">
      <c r="H17474" t="s">
        <v>5117</v>
      </c>
    </row>
    <row r="17475">
      <c r="H17475" t="s">
        <v>5117</v>
      </c>
    </row>
    <row r="17476">
      <c r="H17476" t="s">
        <v>5117</v>
      </c>
    </row>
    <row r="17477">
      <c r="H17477" t="s">
        <v>5117</v>
      </c>
    </row>
    <row r="17478">
      <c r="H17478" t="s">
        <v>5117</v>
      </c>
    </row>
    <row r="17479">
      <c r="H17479" t="s">
        <v>5117</v>
      </c>
    </row>
    <row r="17480">
      <c r="H17480" t="s">
        <v>5117</v>
      </c>
    </row>
    <row r="17481">
      <c r="H17481" t="s">
        <v>5117</v>
      </c>
    </row>
    <row r="17482">
      <c r="H17482" t="s">
        <v>5117</v>
      </c>
    </row>
    <row r="17483">
      <c r="H17483" t="s">
        <v>5117</v>
      </c>
    </row>
    <row r="17484">
      <c r="H17484" t="s">
        <v>5117</v>
      </c>
    </row>
    <row r="17485">
      <c r="H17485" t="s">
        <v>5117</v>
      </c>
    </row>
    <row r="17486">
      <c r="H17486" t="s">
        <v>5117</v>
      </c>
    </row>
    <row r="17487">
      <c r="H17487" t="s">
        <v>5117</v>
      </c>
    </row>
    <row r="17488">
      <c r="H17488" t="s">
        <v>5117</v>
      </c>
    </row>
    <row r="17489">
      <c r="H17489" t="s">
        <v>5117</v>
      </c>
    </row>
    <row r="17490">
      <c r="H17490" t="s">
        <v>5117</v>
      </c>
    </row>
    <row r="17491">
      <c r="H17491" t="s">
        <v>5117</v>
      </c>
    </row>
    <row r="17492">
      <c r="H17492" t="s">
        <v>5117</v>
      </c>
    </row>
    <row r="17493">
      <c r="H17493" t="s">
        <v>5117</v>
      </c>
    </row>
    <row r="17494">
      <c r="H17494" t="s">
        <v>5117</v>
      </c>
    </row>
    <row r="17495">
      <c r="H17495" t="s">
        <v>5117</v>
      </c>
    </row>
    <row r="17496">
      <c r="H17496" t="s">
        <v>5117</v>
      </c>
    </row>
    <row r="17497">
      <c r="H17497" t="s">
        <v>5117</v>
      </c>
    </row>
    <row r="17498">
      <c r="H17498" t="s">
        <v>5117</v>
      </c>
    </row>
    <row r="17499">
      <c r="H17499" t="s">
        <v>5117</v>
      </c>
    </row>
    <row r="17500">
      <c r="H17500" t="s">
        <v>5117</v>
      </c>
    </row>
    <row r="17501">
      <c r="H17501" t="s">
        <v>5117</v>
      </c>
    </row>
    <row r="17502">
      <c r="H17502" t="s">
        <v>5117</v>
      </c>
    </row>
    <row r="17503">
      <c r="H17503" t="s">
        <v>5117</v>
      </c>
    </row>
    <row r="17504">
      <c r="H17504" t="s">
        <v>5117</v>
      </c>
    </row>
    <row r="17505">
      <c r="H17505" t="s">
        <v>5117</v>
      </c>
    </row>
    <row r="17506">
      <c r="H17506" t="s">
        <v>5117</v>
      </c>
    </row>
    <row r="17507">
      <c r="H17507" t="s">
        <v>5117</v>
      </c>
    </row>
    <row r="17508">
      <c r="H17508" t="s">
        <v>5117</v>
      </c>
    </row>
    <row r="17509">
      <c r="H17509" t="s">
        <v>5117</v>
      </c>
    </row>
    <row r="17510">
      <c r="H17510" t="s">
        <v>5117</v>
      </c>
    </row>
    <row r="17511">
      <c r="H17511" t="s">
        <v>5117</v>
      </c>
    </row>
    <row r="17512">
      <c r="H17512" t="s">
        <v>5117</v>
      </c>
    </row>
    <row r="17513">
      <c r="H17513" t="s">
        <v>5117</v>
      </c>
    </row>
    <row r="17514">
      <c r="H17514" t="s">
        <v>5117</v>
      </c>
    </row>
    <row r="17515">
      <c r="H17515" t="s">
        <v>5117</v>
      </c>
    </row>
    <row r="17516">
      <c r="H17516" t="s">
        <v>5117</v>
      </c>
    </row>
    <row r="17517">
      <c r="H17517" t="s">
        <v>5117</v>
      </c>
    </row>
    <row r="17518">
      <c r="H17518" t="s">
        <v>5117</v>
      </c>
    </row>
    <row r="17519">
      <c r="H17519" t="s">
        <v>5117</v>
      </c>
    </row>
    <row r="17520">
      <c r="H17520" t="s">
        <v>5117</v>
      </c>
    </row>
    <row r="17521">
      <c r="H17521" t="s">
        <v>5117</v>
      </c>
    </row>
    <row r="17522">
      <c r="H17522" t="s">
        <v>5117</v>
      </c>
    </row>
    <row r="17523">
      <c r="H17523" t="s">
        <v>5117</v>
      </c>
    </row>
    <row r="17524">
      <c r="H17524" t="s">
        <v>5117</v>
      </c>
    </row>
    <row r="17525">
      <c r="H17525" t="s">
        <v>5117</v>
      </c>
    </row>
    <row r="17526">
      <c r="H17526" t="s">
        <v>5117</v>
      </c>
    </row>
    <row r="17527">
      <c r="H17527" t="s">
        <v>5117</v>
      </c>
    </row>
    <row r="17528">
      <c r="H17528" t="s">
        <v>5117</v>
      </c>
    </row>
    <row r="17529">
      <c r="H17529" t="s">
        <v>5117</v>
      </c>
    </row>
    <row r="17530">
      <c r="H17530" t="s">
        <v>5117</v>
      </c>
    </row>
    <row r="17531">
      <c r="H17531" t="s">
        <v>5117</v>
      </c>
    </row>
    <row r="17532">
      <c r="H17532" t="s">
        <v>5117</v>
      </c>
    </row>
    <row r="17533">
      <c r="H17533" t="s">
        <v>5117</v>
      </c>
    </row>
    <row r="17534">
      <c r="H17534" t="s">
        <v>5117</v>
      </c>
    </row>
    <row r="17535">
      <c r="H17535" t="s">
        <v>5117</v>
      </c>
    </row>
    <row r="17536">
      <c r="H17536" t="s">
        <v>5117</v>
      </c>
    </row>
    <row r="17537">
      <c r="H17537" t="s">
        <v>5117</v>
      </c>
    </row>
    <row r="17538">
      <c r="H17538" t="s">
        <v>5117</v>
      </c>
    </row>
    <row r="17539">
      <c r="H17539" t="s">
        <v>5117</v>
      </c>
    </row>
    <row r="17540">
      <c r="H17540" t="s">
        <v>5117</v>
      </c>
    </row>
    <row r="17541">
      <c r="H17541" t="s">
        <v>5117</v>
      </c>
    </row>
    <row r="17542">
      <c r="H17542" t="s">
        <v>5117</v>
      </c>
    </row>
    <row r="17543">
      <c r="H17543" t="s">
        <v>5117</v>
      </c>
    </row>
    <row r="17544">
      <c r="H17544" t="s">
        <v>5117</v>
      </c>
    </row>
    <row r="17545">
      <c r="H17545" t="s">
        <v>5117</v>
      </c>
    </row>
    <row r="17546">
      <c r="H17546" t="s">
        <v>5117</v>
      </c>
    </row>
    <row r="17547">
      <c r="H17547" t="s">
        <v>5117</v>
      </c>
    </row>
    <row r="17548">
      <c r="H17548" t="s">
        <v>5117</v>
      </c>
    </row>
    <row r="17549">
      <c r="H17549" t="s">
        <v>5117</v>
      </c>
    </row>
    <row r="17550">
      <c r="H17550" t="s">
        <v>5117</v>
      </c>
    </row>
    <row r="17551">
      <c r="H17551" t="s">
        <v>5117</v>
      </c>
    </row>
    <row r="17552">
      <c r="H17552" t="s">
        <v>5117</v>
      </c>
    </row>
    <row r="17553">
      <c r="H17553" t="s">
        <v>5117</v>
      </c>
    </row>
    <row r="17554">
      <c r="H17554" t="s">
        <v>5117</v>
      </c>
    </row>
    <row r="17555">
      <c r="H17555" t="s">
        <v>5117</v>
      </c>
    </row>
    <row r="17556">
      <c r="H17556" t="s">
        <v>5117</v>
      </c>
    </row>
    <row r="17557">
      <c r="H17557" t="s">
        <v>5117</v>
      </c>
    </row>
    <row r="17558">
      <c r="H17558" t="s">
        <v>5117</v>
      </c>
    </row>
    <row r="17559">
      <c r="H17559" t="s">
        <v>5117</v>
      </c>
    </row>
    <row r="17560">
      <c r="H17560" t="s">
        <v>5117</v>
      </c>
    </row>
    <row r="17561">
      <c r="H17561" t="s">
        <v>5117</v>
      </c>
    </row>
    <row r="17562">
      <c r="H17562" t="s">
        <v>5117</v>
      </c>
    </row>
    <row r="17563">
      <c r="H17563" t="s">
        <v>5117</v>
      </c>
    </row>
    <row r="17564">
      <c r="H17564" t="s">
        <v>5117</v>
      </c>
    </row>
    <row r="17565">
      <c r="H17565" t="s">
        <v>5117</v>
      </c>
    </row>
    <row r="17566">
      <c r="H17566" t="s">
        <v>5117</v>
      </c>
    </row>
    <row r="17567">
      <c r="H17567" t="s">
        <v>5117</v>
      </c>
    </row>
    <row r="17568">
      <c r="H17568" t="s">
        <v>5117</v>
      </c>
    </row>
    <row r="17569">
      <c r="H17569" t="s">
        <v>5117</v>
      </c>
    </row>
    <row r="17570">
      <c r="H17570" t="s">
        <v>5117</v>
      </c>
    </row>
    <row r="17571">
      <c r="H17571" t="s">
        <v>5117</v>
      </c>
    </row>
    <row r="17572">
      <c r="H17572" t="s">
        <v>5117</v>
      </c>
    </row>
    <row r="17573">
      <c r="H17573" t="s">
        <v>5117</v>
      </c>
    </row>
    <row r="17574">
      <c r="H17574" t="s">
        <v>5117</v>
      </c>
    </row>
    <row r="17575">
      <c r="H17575" t="s">
        <v>5117</v>
      </c>
    </row>
    <row r="17576">
      <c r="H17576" t="s">
        <v>5117</v>
      </c>
    </row>
    <row r="17577">
      <c r="H17577" t="s">
        <v>5117</v>
      </c>
    </row>
    <row r="17578">
      <c r="H17578" t="s">
        <v>5117</v>
      </c>
    </row>
    <row r="17579">
      <c r="H17579" t="s">
        <v>5117</v>
      </c>
    </row>
    <row r="17580">
      <c r="H17580" t="s">
        <v>5117</v>
      </c>
    </row>
    <row r="17581">
      <c r="H17581" t="s">
        <v>5117</v>
      </c>
    </row>
    <row r="17582">
      <c r="H17582" t="s">
        <v>5117</v>
      </c>
    </row>
    <row r="17583">
      <c r="H17583" t="s">
        <v>5117</v>
      </c>
    </row>
    <row r="17584">
      <c r="H17584" t="s">
        <v>5117</v>
      </c>
    </row>
    <row r="17585">
      <c r="H17585" t="s">
        <v>5117</v>
      </c>
    </row>
    <row r="17586">
      <c r="H17586" t="s">
        <v>5117</v>
      </c>
    </row>
    <row r="17587">
      <c r="H17587" t="s">
        <v>5117</v>
      </c>
    </row>
    <row r="17588">
      <c r="H17588" t="s">
        <v>5117</v>
      </c>
    </row>
    <row r="17589">
      <c r="H17589" t="s">
        <v>5117</v>
      </c>
    </row>
    <row r="17590">
      <c r="H17590" t="s">
        <v>5117</v>
      </c>
    </row>
    <row r="17591">
      <c r="H17591" t="s">
        <v>5117</v>
      </c>
    </row>
    <row r="17592">
      <c r="H17592" t="s">
        <v>5117</v>
      </c>
    </row>
    <row r="17593">
      <c r="H17593" t="s">
        <v>5117</v>
      </c>
    </row>
    <row r="17594">
      <c r="H17594" t="s">
        <v>5117</v>
      </c>
    </row>
    <row r="17595">
      <c r="H17595" t="s">
        <v>5117</v>
      </c>
    </row>
    <row r="17596">
      <c r="H17596" t="s">
        <v>5117</v>
      </c>
    </row>
    <row r="17597">
      <c r="H17597" t="s">
        <v>5117</v>
      </c>
    </row>
    <row r="17598">
      <c r="H17598" t="s">
        <v>5117</v>
      </c>
    </row>
    <row r="17599">
      <c r="H17599" t="s">
        <v>5117</v>
      </c>
    </row>
    <row r="17600">
      <c r="H17600" t="s">
        <v>5117</v>
      </c>
    </row>
    <row r="17601">
      <c r="H17601" t="s">
        <v>5117</v>
      </c>
    </row>
    <row r="17602">
      <c r="H17602" t="s">
        <v>5117</v>
      </c>
    </row>
    <row r="17603">
      <c r="H17603" t="s">
        <v>5117</v>
      </c>
    </row>
    <row r="17604">
      <c r="H17604" t="s">
        <v>5117</v>
      </c>
    </row>
    <row r="17605">
      <c r="H17605" t="s">
        <v>5117</v>
      </c>
    </row>
    <row r="17606">
      <c r="H17606" t="s">
        <v>5117</v>
      </c>
    </row>
    <row r="17607">
      <c r="H17607" t="s">
        <v>5117</v>
      </c>
    </row>
    <row r="17608">
      <c r="H17608" t="s">
        <v>5117</v>
      </c>
    </row>
    <row r="17609">
      <c r="H17609" t="s">
        <v>5117</v>
      </c>
    </row>
    <row r="17610">
      <c r="H17610" t="s">
        <v>5117</v>
      </c>
    </row>
    <row r="17611">
      <c r="H17611" t="s">
        <v>5117</v>
      </c>
    </row>
    <row r="17612">
      <c r="H17612" t="s">
        <v>5117</v>
      </c>
    </row>
    <row r="17613">
      <c r="H17613" t="s">
        <v>5117</v>
      </c>
    </row>
    <row r="17614">
      <c r="H17614" t="s">
        <v>5117</v>
      </c>
    </row>
    <row r="17615">
      <c r="H17615" t="s">
        <v>5117</v>
      </c>
    </row>
    <row r="17616">
      <c r="H17616" t="s">
        <v>5117</v>
      </c>
    </row>
    <row r="17617">
      <c r="H17617" t="s">
        <v>5117</v>
      </c>
    </row>
    <row r="17618">
      <c r="H17618" t="s">
        <v>5117</v>
      </c>
    </row>
    <row r="17619">
      <c r="H17619" t="s">
        <v>5117</v>
      </c>
    </row>
    <row r="17620">
      <c r="H17620" t="s">
        <v>5117</v>
      </c>
    </row>
    <row r="17621">
      <c r="H17621" t="s">
        <v>5117</v>
      </c>
    </row>
    <row r="17622">
      <c r="H17622" t="s">
        <v>5117</v>
      </c>
    </row>
    <row r="17623">
      <c r="H17623" t="s">
        <v>5117</v>
      </c>
    </row>
    <row r="17624">
      <c r="H17624" t="s">
        <v>5117</v>
      </c>
    </row>
    <row r="17625">
      <c r="H17625" t="s">
        <v>5117</v>
      </c>
    </row>
    <row r="17626">
      <c r="H17626" t="s">
        <v>5117</v>
      </c>
    </row>
    <row r="17627">
      <c r="H17627" t="s">
        <v>5117</v>
      </c>
    </row>
    <row r="17628">
      <c r="H17628" t="s">
        <v>5117</v>
      </c>
    </row>
    <row r="17629">
      <c r="H17629" t="s">
        <v>5117</v>
      </c>
    </row>
    <row r="17630">
      <c r="H17630" t="s">
        <v>5117</v>
      </c>
    </row>
    <row r="17631">
      <c r="H17631" t="s">
        <v>5117</v>
      </c>
    </row>
    <row r="17632">
      <c r="H17632" t="s">
        <v>5117</v>
      </c>
    </row>
    <row r="17633">
      <c r="H17633" t="s">
        <v>5117</v>
      </c>
    </row>
    <row r="17634">
      <c r="H17634" t="s">
        <v>5117</v>
      </c>
    </row>
    <row r="17635">
      <c r="H17635" t="s">
        <v>5117</v>
      </c>
    </row>
    <row r="17636">
      <c r="H17636" t="s">
        <v>5117</v>
      </c>
    </row>
    <row r="17637">
      <c r="H17637" t="s">
        <v>5117</v>
      </c>
    </row>
    <row r="17638">
      <c r="H17638" t="s">
        <v>5117</v>
      </c>
    </row>
    <row r="17639">
      <c r="H17639" t="s">
        <v>5117</v>
      </c>
    </row>
    <row r="17640">
      <c r="H17640" t="s">
        <v>5117</v>
      </c>
    </row>
    <row r="17641">
      <c r="H17641" t="s">
        <v>5117</v>
      </c>
    </row>
    <row r="17642">
      <c r="H17642" t="s">
        <v>5117</v>
      </c>
    </row>
    <row r="17643">
      <c r="H17643" t="s">
        <v>5117</v>
      </c>
    </row>
    <row r="17644">
      <c r="H17644" t="s">
        <v>5117</v>
      </c>
    </row>
    <row r="17645">
      <c r="H17645" t="s">
        <v>5117</v>
      </c>
    </row>
    <row r="17646">
      <c r="H17646" t="s">
        <v>5117</v>
      </c>
    </row>
    <row r="17647">
      <c r="H17647" t="s">
        <v>5117</v>
      </c>
    </row>
    <row r="17648">
      <c r="H17648" t="s">
        <v>5117</v>
      </c>
    </row>
    <row r="17649">
      <c r="H17649" t="s">
        <v>5117</v>
      </c>
    </row>
    <row r="17650">
      <c r="H17650" t="s">
        <v>5117</v>
      </c>
    </row>
    <row r="17651">
      <c r="H17651" t="s">
        <v>5117</v>
      </c>
    </row>
    <row r="17652">
      <c r="H17652" t="s">
        <v>5117</v>
      </c>
    </row>
    <row r="17653">
      <c r="H17653" t="s">
        <v>5117</v>
      </c>
    </row>
    <row r="17654">
      <c r="H17654" t="s">
        <v>5117</v>
      </c>
    </row>
    <row r="17655">
      <c r="H17655" t="s">
        <v>5117</v>
      </c>
    </row>
    <row r="17656">
      <c r="H17656" t="s">
        <v>5117</v>
      </c>
    </row>
    <row r="17657">
      <c r="H17657" t="s">
        <v>5117</v>
      </c>
    </row>
    <row r="17658">
      <c r="H17658" t="s">
        <v>5117</v>
      </c>
    </row>
    <row r="17659">
      <c r="H17659" t="s">
        <v>5117</v>
      </c>
    </row>
    <row r="17660">
      <c r="H17660" t="s">
        <v>5117</v>
      </c>
    </row>
    <row r="17661">
      <c r="H17661" t="s">
        <v>5117</v>
      </c>
    </row>
    <row r="17662">
      <c r="H17662" t="s">
        <v>5117</v>
      </c>
    </row>
    <row r="17663">
      <c r="H17663" t="s">
        <v>5117</v>
      </c>
    </row>
    <row r="17664">
      <c r="H17664" t="s">
        <v>5117</v>
      </c>
    </row>
    <row r="17665">
      <c r="H17665" t="s">
        <v>5117</v>
      </c>
    </row>
    <row r="17666">
      <c r="H17666" t="s">
        <v>5117</v>
      </c>
    </row>
    <row r="17667">
      <c r="H17667" t="s">
        <v>5117</v>
      </c>
    </row>
    <row r="17668">
      <c r="H17668" t="s">
        <v>5117</v>
      </c>
    </row>
    <row r="17669">
      <c r="H17669" t="s">
        <v>5117</v>
      </c>
    </row>
    <row r="17670">
      <c r="H17670" t="s">
        <v>5117</v>
      </c>
    </row>
    <row r="17671">
      <c r="H17671" t="s">
        <v>5117</v>
      </c>
    </row>
    <row r="17672">
      <c r="H17672" t="s">
        <v>5117</v>
      </c>
    </row>
    <row r="17673">
      <c r="H17673" t="s">
        <v>5117</v>
      </c>
    </row>
    <row r="17674">
      <c r="H17674" t="s">
        <v>5117</v>
      </c>
    </row>
    <row r="17675">
      <c r="H17675" t="s">
        <v>5117</v>
      </c>
    </row>
    <row r="17676">
      <c r="H17676" t="s">
        <v>5117</v>
      </c>
    </row>
    <row r="17677">
      <c r="H17677" t="s">
        <v>5117</v>
      </c>
    </row>
    <row r="17678">
      <c r="H17678" t="s">
        <v>5117</v>
      </c>
    </row>
    <row r="17679">
      <c r="H17679" t="s">
        <v>5117</v>
      </c>
    </row>
    <row r="17680">
      <c r="H17680" t="s">
        <v>5117</v>
      </c>
    </row>
    <row r="17681">
      <c r="H17681" t="s">
        <v>5117</v>
      </c>
    </row>
    <row r="17682">
      <c r="H17682" t="s">
        <v>5117</v>
      </c>
    </row>
    <row r="17683">
      <c r="H17683" t="s">
        <v>5117</v>
      </c>
    </row>
    <row r="17684">
      <c r="H17684" t="s">
        <v>5117</v>
      </c>
    </row>
    <row r="17685">
      <c r="H17685" t="s">
        <v>5117</v>
      </c>
    </row>
    <row r="17686">
      <c r="H17686" t="s">
        <v>5117</v>
      </c>
    </row>
    <row r="17687">
      <c r="H17687" t="s">
        <v>5117</v>
      </c>
    </row>
    <row r="17688">
      <c r="H17688" t="s">
        <v>5117</v>
      </c>
    </row>
    <row r="17689">
      <c r="H17689" t="s">
        <v>5117</v>
      </c>
    </row>
    <row r="17690">
      <c r="H17690" t="s">
        <v>5117</v>
      </c>
    </row>
    <row r="17691">
      <c r="H17691" t="s">
        <v>5117</v>
      </c>
    </row>
    <row r="17692">
      <c r="H17692" t="s">
        <v>5117</v>
      </c>
    </row>
    <row r="17693">
      <c r="H17693" t="s">
        <v>5117</v>
      </c>
    </row>
    <row r="17694">
      <c r="H17694" t="s">
        <v>5117</v>
      </c>
    </row>
    <row r="17695">
      <c r="H17695" t="s">
        <v>5117</v>
      </c>
    </row>
    <row r="17696">
      <c r="H17696" t="s">
        <v>5117</v>
      </c>
    </row>
    <row r="17697">
      <c r="H17697" t="s">
        <v>5117</v>
      </c>
    </row>
    <row r="17698">
      <c r="H17698" t="s">
        <v>5117</v>
      </c>
    </row>
    <row r="17699">
      <c r="H17699" t="s">
        <v>5117</v>
      </c>
    </row>
    <row r="17700">
      <c r="H17700" t="s">
        <v>5117</v>
      </c>
    </row>
    <row r="17701">
      <c r="H17701" t="s">
        <v>5117</v>
      </c>
    </row>
    <row r="17702">
      <c r="H17702" t="s">
        <v>5117</v>
      </c>
    </row>
    <row r="17703">
      <c r="H17703" t="s">
        <v>5117</v>
      </c>
    </row>
    <row r="17704">
      <c r="H17704" t="s">
        <v>5117</v>
      </c>
    </row>
    <row r="17705">
      <c r="H17705" t="s">
        <v>5117</v>
      </c>
    </row>
    <row r="17706">
      <c r="H17706" t="s">
        <v>5117</v>
      </c>
    </row>
    <row r="17707">
      <c r="H17707" t="s">
        <v>5117</v>
      </c>
    </row>
    <row r="17708">
      <c r="H17708" t="s">
        <v>5117</v>
      </c>
    </row>
    <row r="17709">
      <c r="H17709" t="s">
        <v>5117</v>
      </c>
    </row>
    <row r="17710">
      <c r="H17710" t="s">
        <v>5117</v>
      </c>
    </row>
    <row r="17711">
      <c r="H17711" t="s">
        <v>5117</v>
      </c>
    </row>
    <row r="17712">
      <c r="H17712" t="s">
        <v>5117</v>
      </c>
    </row>
    <row r="17713">
      <c r="H17713" t="s">
        <v>5117</v>
      </c>
    </row>
    <row r="17714">
      <c r="H17714" t="s">
        <v>5117</v>
      </c>
    </row>
    <row r="17715">
      <c r="H17715" t="s">
        <v>5117</v>
      </c>
    </row>
    <row r="17716">
      <c r="H17716" t="s">
        <v>5117</v>
      </c>
    </row>
    <row r="17717">
      <c r="H17717" t="s">
        <v>5117</v>
      </c>
    </row>
    <row r="17718">
      <c r="H17718" t="s">
        <v>5117</v>
      </c>
    </row>
    <row r="17719">
      <c r="H17719" t="s">
        <v>5117</v>
      </c>
    </row>
    <row r="17720">
      <c r="H17720" t="s">
        <v>5117</v>
      </c>
    </row>
    <row r="17721">
      <c r="H17721" t="s">
        <v>5117</v>
      </c>
    </row>
    <row r="17722">
      <c r="H17722" t="s">
        <v>5117</v>
      </c>
    </row>
    <row r="17723">
      <c r="H17723" t="s">
        <v>5117</v>
      </c>
    </row>
    <row r="17724">
      <c r="H17724" t="s">
        <v>5117</v>
      </c>
    </row>
    <row r="17725">
      <c r="H17725" t="s">
        <v>5117</v>
      </c>
    </row>
    <row r="17726">
      <c r="H17726" t="s">
        <v>5117</v>
      </c>
    </row>
    <row r="17727">
      <c r="H17727" t="s">
        <v>5117</v>
      </c>
    </row>
    <row r="17728">
      <c r="H17728" t="s">
        <v>5117</v>
      </c>
    </row>
    <row r="17729">
      <c r="H17729" t="s">
        <v>5117</v>
      </c>
    </row>
    <row r="17730">
      <c r="H17730" t="s">
        <v>5117</v>
      </c>
    </row>
    <row r="17731">
      <c r="H17731" t="s">
        <v>5117</v>
      </c>
    </row>
    <row r="17732">
      <c r="H17732" t="s">
        <v>5117</v>
      </c>
    </row>
    <row r="17733">
      <c r="H17733" t="s">
        <v>5117</v>
      </c>
    </row>
    <row r="17734">
      <c r="H17734" t="s">
        <v>5117</v>
      </c>
    </row>
    <row r="17735">
      <c r="H17735" t="s">
        <v>5117</v>
      </c>
    </row>
    <row r="17736">
      <c r="H17736" t="s">
        <v>5117</v>
      </c>
    </row>
    <row r="17737">
      <c r="H17737" t="s">
        <v>5117</v>
      </c>
    </row>
    <row r="17738">
      <c r="H17738" t="s">
        <v>5117</v>
      </c>
    </row>
    <row r="17739">
      <c r="H17739" t="s">
        <v>5117</v>
      </c>
    </row>
    <row r="17740">
      <c r="H17740" t="s">
        <v>5117</v>
      </c>
    </row>
    <row r="17741">
      <c r="H17741" t="s">
        <v>5117</v>
      </c>
    </row>
    <row r="17742">
      <c r="H17742" t="s">
        <v>5117</v>
      </c>
    </row>
    <row r="17743">
      <c r="H17743" t="s">
        <v>5117</v>
      </c>
    </row>
    <row r="17744">
      <c r="H17744" t="s">
        <v>5117</v>
      </c>
    </row>
    <row r="17745">
      <c r="H17745" t="s">
        <v>5117</v>
      </c>
    </row>
    <row r="17746">
      <c r="H17746" t="s">
        <v>5117</v>
      </c>
    </row>
    <row r="17747">
      <c r="H17747" t="s">
        <v>5117</v>
      </c>
    </row>
    <row r="17748">
      <c r="H17748" t="s">
        <v>5117</v>
      </c>
    </row>
    <row r="17749">
      <c r="H17749" t="s">
        <v>5117</v>
      </c>
    </row>
    <row r="17750">
      <c r="H17750" t="s">
        <v>5117</v>
      </c>
    </row>
    <row r="17751">
      <c r="H17751" t="s">
        <v>5117</v>
      </c>
    </row>
    <row r="17752">
      <c r="H17752" t="s">
        <v>5117</v>
      </c>
    </row>
    <row r="17753">
      <c r="H17753" t="s">
        <v>5117</v>
      </c>
    </row>
    <row r="17754">
      <c r="H17754" t="s">
        <v>5117</v>
      </c>
    </row>
    <row r="17755">
      <c r="H17755" t="s">
        <v>5117</v>
      </c>
    </row>
    <row r="17756">
      <c r="H17756" t="s">
        <v>5117</v>
      </c>
    </row>
    <row r="17757">
      <c r="H17757" t="s">
        <v>5117</v>
      </c>
    </row>
    <row r="17758">
      <c r="H17758" t="s">
        <v>5117</v>
      </c>
    </row>
    <row r="17759">
      <c r="H17759" t="s">
        <v>5117</v>
      </c>
    </row>
    <row r="17760">
      <c r="H17760" t="s">
        <v>5117</v>
      </c>
    </row>
    <row r="17761">
      <c r="H17761" t="s">
        <v>5117</v>
      </c>
    </row>
    <row r="17762">
      <c r="H17762" t="s">
        <v>5117</v>
      </c>
    </row>
    <row r="17763">
      <c r="H17763" t="s">
        <v>5117</v>
      </c>
    </row>
    <row r="17764">
      <c r="H17764" t="s">
        <v>5117</v>
      </c>
    </row>
    <row r="17765">
      <c r="H17765" t="s">
        <v>5117</v>
      </c>
    </row>
    <row r="17766">
      <c r="H17766" t="s">
        <v>5117</v>
      </c>
    </row>
    <row r="17767">
      <c r="H17767" t="s">
        <v>5117</v>
      </c>
    </row>
    <row r="17768">
      <c r="H17768" t="s">
        <v>5117</v>
      </c>
    </row>
    <row r="17769">
      <c r="H17769" t="s">
        <v>5117</v>
      </c>
    </row>
    <row r="17770">
      <c r="H17770" t="s">
        <v>5117</v>
      </c>
    </row>
    <row r="17771">
      <c r="H17771" t="s">
        <v>5117</v>
      </c>
    </row>
    <row r="17772">
      <c r="H17772" t="s">
        <v>5117</v>
      </c>
    </row>
    <row r="17773">
      <c r="H17773" t="s">
        <v>5117</v>
      </c>
    </row>
    <row r="17774">
      <c r="H17774" t="s">
        <v>5117</v>
      </c>
    </row>
    <row r="17775">
      <c r="H17775" t="s">
        <v>5117</v>
      </c>
    </row>
    <row r="17776">
      <c r="H17776" t="s">
        <v>5117</v>
      </c>
    </row>
    <row r="17777">
      <c r="H17777" t="s">
        <v>5117</v>
      </c>
    </row>
    <row r="17778">
      <c r="H17778" t="s">
        <v>5117</v>
      </c>
    </row>
    <row r="17779">
      <c r="H17779" t="s">
        <v>5117</v>
      </c>
    </row>
    <row r="17780">
      <c r="H17780" t="s">
        <v>5117</v>
      </c>
    </row>
    <row r="17781">
      <c r="H17781" t="s">
        <v>5117</v>
      </c>
    </row>
    <row r="17782">
      <c r="H17782" t="s">
        <v>5117</v>
      </c>
    </row>
    <row r="17783">
      <c r="H17783" t="s">
        <v>5117</v>
      </c>
    </row>
    <row r="17784">
      <c r="H17784" t="s">
        <v>5117</v>
      </c>
    </row>
    <row r="17785">
      <c r="H17785" t="s">
        <v>5117</v>
      </c>
    </row>
    <row r="17786">
      <c r="H17786" t="s">
        <v>5117</v>
      </c>
    </row>
    <row r="17787">
      <c r="H17787" t="s">
        <v>5117</v>
      </c>
    </row>
    <row r="17788">
      <c r="H17788" t="s">
        <v>5117</v>
      </c>
    </row>
    <row r="17789">
      <c r="H17789" t="s">
        <v>5117</v>
      </c>
    </row>
    <row r="17790">
      <c r="H17790" t="s">
        <v>5117</v>
      </c>
    </row>
    <row r="17791">
      <c r="H17791" t="s">
        <v>5117</v>
      </c>
    </row>
    <row r="17792">
      <c r="H17792" t="s">
        <v>5117</v>
      </c>
    </row>
    <row r="17793">
      <c r="H17793" t="s">
        <v>5117</v>
      </c>
    </row>
    <row r="17794">
      <c r="H17794" t="s">
        <v>5117</v>
      </c>
    </row>
    <row r="17795">
      <c r="H17795" t="s">
        <v>5117</v>
      </c>
    </row>
    <row r="17796">
      <c r="H17796" t="s">
        <v>5117</v>
      </c>
    </row>
    <row r="17797">
      <c r="H17797" t="s">
        <v>5117</v>
      </c>
    </row>
    <row r="17798">
      <c r="H17798" t="s">
        <v>5117</v>
      </c>
    </row>
    <row r="17799">
      <c r="H17799" t="s">
        <v>5117</v>
      </c>
    </row>
    <row r="17800">
      <c r="H17800" t="s">
        <v>5117</v>
      </c>
    </row>
    <row r="17801">
      <c r="H17801" t="s">
        <v>5117</v>
      </c>
    </row>
    <row r="17802">
      <c r="H17802" t="s">
        <v>5117</v>
      </c>
    </row>
    <row r="17803">
      <c r="H17803" t="s">
        <v>5117</v>
      </c>
    </row>
    <row r="17804">
      <c r="H17804" t="s">
        <v>5117</v>
      </c>
    </row>
    <row r="17805">
      <c r="H17805" t="s">
        <v>5117</v>
      </c>
    </row>
    <row r="17806">
      <c r="H17806" t="s">
        <v>5117</v>
      </c>
    </row>
    <row r="17807">
      <c r="H17807" t="s">
        <v>5117</v>
      </c>
    </row>
    <row r="17808">
      <c r="H17808" t="s">
        <v>5117</v>
      </c>
    </row>
    <row r="17809">
      <c r="H17809" t="s">
        <v>5117</v>
      </c>
    </row>
    <row r="17810">
      <c r="H17810" t="s">
        <v>5117</v>
      </c>
    </row>
    <row r="17811">
      <c r="H17811" t="s">
        <v>5117</v>
      </c>
    </row>
    <row r="17812">
      <c r="H17812" t="s">
        <v>5117</v>
      </c>
    </row>
    <row r="17813">
      <c r="H17813" t="s">
        <v>5117</v>
      </c>
    </row>
    <row r="17814">
      <c r="H17814" t="s">
        <v>5117</v>
      </c>
    </row>
    <row r="17815">
      <c r="H17815" t="s">
        <v>5117</v>
      </c>
    </row>
    <row r="17816">
      <c r="H17816" t="s">
        <v>5117</v>
      </c>
    </row>
    <row r="17817">
      <c r="H17817" t="s">
        <v>5117</v>
      </c>
    </row>
    <row r="17818">
      <c r="H17818" t="s">
        <v>5117</v>
      </c>
    </row>
    <row r="17819">
      <c r="H17819" t="s">
        <v>5117</v>
      </c>
    </row>
    <row r="17820">
      <c r="H17820" t="s">
        <v>5117</v>
      </c>
    </row>
    <row r="17821">
      <c r="H17821" t="s">
        <v>5117</v>
      </c>
    </row>
    <row r="17822">
      <c r="H17822" t="s">
        <v>5117</v>
      </c>
    </row>
    <row r="17823">
      <c r="H17823" t="s">
        <v>5117</v>
      </c>
    </row>
    <row r="17824">
      <c r="H17824" t="s">
        <v>5117</v>
      </c>
    </row>
    <row r="17825">
      <c r="H17825" t="s">
        <v>5117</v>
      </c>
    </row>
    <row r="17826">
      <c r="H17826" t="s">
        <v>5117</v>
      </c>
    </row>
    <row r="17827">
      <c r="H17827" t="s">
        <v>5117</v>
      </c>
    </row>
    <row r="17828">
      <c r="H17828" t="s">
        <v>5117</v>
      </c>
    </row>
    <row r="17829">
      <c r="H17829" t="s">
        <v>5117</v>
      </c>
    </row>
    <row r="17830">
      <c r="H17830" t="s">
        <v>5117</v>
      </c>
    </row>
    <row r="17831">
      <c r="H17831" t="s">
        <v>5117</v>
      </c>
    </row>
    <row r="17832">
      <c r="H17832" t="s">
        <v>5117</v>
      </c>
    </row>
    <row r="17833">
      <c r="H17833" t="s">
        <v>5117</v>
      </c>
    </row>
    <row r="17834">
      <c r="H17834" t="s">
        <v>5117</v>
      </c>
    </row>
    <row r="17835">
      <c r="H17835" t="s">
        <v>5117</v>
      </c>
    </row>
    <row r="17836">
      <c r="H17836" t="s">
        <v>5117</v>
      </c>
    </row>
    <row r="17837">
      <c r="H17837" t="s">
        <v>5117</v>
      </c>
    </row>
    <row r="17838">
      <c r="H17838" t="s">
        <v>5117</v>
      </c>
    </row>
    <row r="17839">
      <c r="H17839" t="s">
        <v>5117</v>
      </c>
    </row>
    <row r="17840">
      <c r="H17840" t="s">
        <v>5117</v>
      </c>
    </row>
    <row r="17841">
      <c r="H17841" t="s">
        <v>5117</v>
      </c>
    </row>
    <row r="17842">
      <c r="H17842" t="s">
        <v>5117</v>
      </c>
    </row>
    <row r="17843">
      <c r="H17843" t="s">
        <v>5117</v>
      </c>
    </row>
    <row r="17844">
      <c r="H17844" t="s">
        <v>5117</v>
      </c>
    </row>
    <row r="17845">
      <c r="H17845" t="s">
        <v>5117</v>
      </c>
    </row>
    <row r="17846">
      <c r="H17846" t="s">
        <v>5117</v>
      </c>
    </row>
    <row r="17847">
      <c r="H17847" t="s">
        <v>5117</v>
      </c>
    </row>
    <row r="17848">
      <c r="H17848" t="s">
        <v>5117</v>
      </c>
    </row>
    <row r="17849">
      <c r="H17849" t="s">
        <v>5117</v>
      </c>
    </row>
    <row r="17850">
      <c r="H17850" t="s">
        <v>5117</v>
      </c>
    </row>
    <row r="17851">
      <c r="H17851" t="s">
        <v>5117</v>
      </c>
    </row>
    <row r="17852">
      <c r="H17852" t="s">
        <v>5117</v>
      </c>
    </row>
    <row r="17853">
      <c r="H17853" t="s">
        <v>5117</v>
      </c>
    </row>
    <row r="17854">
      <c r="H17854" t="s">
        <v>5117</v>
      </c>
    </row>
    <row r="17855">
      <c r="H17855" t="s">
        <v>5117</v>
      </c>
    </row>
    <row r="17856">
      <c r="H17856" t="s">
        <v>5117</v>
      </c>
    </row>
    <row r="17857">
      <c r="H17857" t="s">
        <v>5117</v>
      </c>
    </row>
    <row r="17858">
      <c r="H17858" t="s">
        <v>5117</v>
      </c>
    </row>
    <row r="17859">
      <c r="H17859" t="s">
        <v>5117</v>
      </c>
    </row>
    <row r="17860">
      <c r="H17860" t="s">
        <v>5117</v>
      </c>
    </row>
    <row r="17861">
      <c r="H17861" t="s">
        <v>5117</v>
      </c>
    </row>
    <row r="17862">
      <c r="H17862" t="s">
        <v>5117</v>
      </c>
    </row>
    <row r="17863">
      <c r="H17863" t="s">
        <v>5117</v>
      </c>
    </row>
    <row r="17864">
      <c r="H17864" t="s">
        <v>5117</v>
      </c>
    </row>
    <row r="17865">
      <c r="H17865" t="s">
        <v>5117</v>
      </c>
    </row>
    <row r="17866">
      <c r="H17866" t="s">
        <v>5117</v>
      </c>
    </row>
    <row r="17867">
      <c r="H17867" t="s">
        <v>5117</v>
      </c>
    </row>
    <row r="17868">
      <c r="H17868" t="s">
        <v>5117</v>
      </c>
    </row>
    <row r="17869">
      <c r="H17869" t="s">
        <v>5117</v>
      </c>
    </row>
    <row r="17870">
      <c r="H17870" t="s">
        <v>5117</v>
      </c>
    </row>
    <row r="17871">
      <c r="H17871" t="s">
        <v>5117</v>
      </c>
    </row>
    <row r="17872">
      <c r="H17872" t="s">
        <v>5117</v>
      </c>
    </row>
    <row r="17873">
      <c r="H17873" t="s">
        <v>5117</v>
      </c>
    </row>
    <row r="17874">
      <c r="H17874" t="s">
        <v>5117</v>
      </c>
    </row>
    <row r="17875">
      <c r="H17875" t="s">
        <v>5117</v>
      </c>
    </row>
    <row r="17876">
      <c r="H17876" t="s">
        <v>5117</v>
      </c>
    </row>
    <row r="17877">
      <c r="H17877" t="s">
        <v>5117</v>
      </c>
    </row>
    <row r="17878">
      <c r="H17878" t="s">
        <v>5117</v>
      </c>
    </row>
    <row r="17879">
      <c r="H17879" t="s">
        <v>5117</v>
      </c>
    </row>
    <row r="17880">
      <c r="H17880" t="s">
        <v>5117</v>
      </c>
    </row>
    <row r="17881">
      <c r="H17881" t="s">
        <v>5117</v>
      </c>
    </row>
    <row r="17882">
      <c r="H17882" t="s">
        <v>5117</v>
      </c>
    </row>
    <row r="17883">
      <c r="H17883" t="s">
        <v>5117</v>
      </c>
    </row>
    <row r="17884">
      <c r="H17884" t="s">
        <v>5117</v>
      </c>
    </row>
    <row r="17885">
      <c r="H17885" t="s">
        <v>5117</v>
      </c>
    </row>
    <row r="17886">
      <c r="H17886" t="s">
        <v>5117</v>
      </c>
    </row>
    <row r="17887">
      <c r="H17887" t="s">
        <v>5117</v>
      </c>
    </row>
    <row r="17888">
      <c r="H17888" t="s">
        <v>5117</v>
      </c>
    </row>
    <row r="17889">
      <c r="H17889" t="s">
        <v>5117</v>
      </c>
    </row>
    <row r="17890">
      <c r="H17890" t="s">
        <v>5117</v>
      </c>
    </row>
    <row r="17891">
      <c r="H17891" t="s">
        <v>5117</v>
      </c>
    </row>
    <row r="17892">
      <c r="H17892" t="s">
        <v>5117</v>
      </c>
    </row>
    <row r="17893">
      <c r="H17893" t="s">
        <v>5117</v>
      </c>
    </row>
    <row r="17894">
      <c r="H17894" t="s">
        <v>5117</v>
      </c>
    </row>
    <row r="17895">
      <c r="H17895" t="s">
        <v>5117</v>
      </c>
    </row>
    <row r="17896">
      <c r="H17896" t="s">
        <v>5117</v>
      </c>
    </row>
    <row r="17897">
      <c r="H17897" t="s">
        <v>5117</v>
      </c>
    </row>
    <row r="17898">
      <c r="H17898" t="s">
        <v>5117</v>
      </c>
    </row>
    <row r="17899">
      <c r="H17899" t="s">
        <v>5117</v>
      </c>
    </row>
    <row r="17900">
      <c r="H17900" t="s">
        <v>5117</v>
      </c>
    </row>
    <row r="17901">
      <c r="H17901" t="s">
        <v>5117</v>
      </c>
    </row>
    <row r="17902">
      <c r="H17902" t="s">
        <v>5117</v>
      </c>
    </row>
    <row r="17903">
      <c r="H17903" t="s">
        <v>5117</v>
      </c>
    </row>
    <row r="17904">
      <c r="H17904" t="s">
        <v>5117</v>
      </c>
    </row>
    <row r="17905">
      <c r="H17905" t="s">
        <v>5117</v>
      </c>
    </row>
    <row r="17906">
      <c r="H17906" t="s">
        <v>5117</v>
      </c>
    </row>
    <row r="17907">
      <c r="H17907" t="s">
        <v>5117</v>
      </c>
    </row>
    <row r="17908">
      <c r="H17908" t="s">
        <v>5117</v>
      </c>
    </row>
    <row r="17909">
      <c r="H17909" t="s">
        <v>5117</v>
      </c>
    </row>
    <row r="17910">
      <c r="H17910" t="s">
        <v>5117</v>
      </c>
    </row>
    <row r="17911">
      <c r="H17911" t="s">
        <v>5117</v>
      </c>
    </row>
    <row r="17912">
      <c r="H17912" t="s">
        <v>5117</v>
      </c>
    </row>
    <row r="17913">
      <c r="H17913" t="s">
        <v>5117</v>
      </c>
    </row>
    <row r="17914">
      <c r="H17914" t="s">
        <v>5117</v>
      </c>
    </row>
    <row r="17915">
      <c r="H17915" t="s">
        <v>5117</v>
      </c>
    </row>
    <row r="17916">
      <c r="H17916" t="s">
        <v>5117</v>
      </c>
    </row>
    <row r="17917">
      <c r="H17917" t="s">
        <v>5117</v>
      </c>
    </row>
    <row r="17918">
      <c r="H17918" t="s">
        <v>5117</v>
      </c>
    </row>
    <row r="17919">
      <c r="H17919" t="s">
        <v>5117</v>
      </c>
    </row>
    <row r="17920">
      <c r="H17920" t="s">
        <v>5117</v>
      </c>
    </row>
    <row r="17921">
      <c r="H17921" t="s">
        <v>5117</v>
      </c>
    </row>
    <row r="17922">
      <c r="H17922" t="s">
        <v>5117</v>
      </c>
    </row>
    <row r="17923">
      <c r="H17923" t="s">
        <v>5117</v>
      </c>
    </row>
    <row r="17924">
      <c r="H17924" t="s">
        <v>5117</v>
      </c>
    </row>
    <row r="17925">
      <c r="H17925" t="s">
        <v>5117</v>
      </c>
    </row>
    <row r="17926">
      <c r="H17926" t="s">
        <v>5117</v>
      </c>
    </row>
    <row r="17927">
      <c r="H17927" t="s">
        <v>5117</v>
      </c>
    </row>
    <row r="17928">
      <c r="H17928" t="s">
        <v>5117</v>
      </c>
    </row>
    <row r="17929">
      <c r="H17929" t="s">
        <v>5117</v>
      </c>
    </row>
    <row r="17930">
      <c r="H17930" t="s">
        <v>5117</v>
      </c>
    </row>
    <row r="17931">
      <c r="H17931" t="s">
        <v>5117</v>
      </c>
    </row>
    <row r="17932">
      <c r="H17932" t="s">
        <v>5117</v>
      </c>
    </row>
    <row r="17933">
      <c r="H17933" t="s">
        <v>5117</v>
      </c>
    </row>
    <row r="17934">
      <c r="H17934" t="s">
        <v>5117</v>
      </c>
    </row>
    <row r="17935">
      <c r="H17935" t="s">
        <v>5117</v>
      </c>
    </row>
    <row r="17936">
      <c r="H17936" t="s">
        <v>5117</v>
      </c>
    </row>
    <row r="17937">
      <c r="H17937" t="s">
        <v>5117</v>
      </c>
    </row>
    <row r="17938">
      <c r="H17938" t="s">
        <v>5117</v>
      </c>
    </row>
    <row r="17939">
      <c r="H17939" t="s">
        <v>5117</v>
      </c>
    </row>
    <row r="17940">
      <c r="H17940" t="s">
        <v>5117</v>
      </c>
    </row>
    <row r="17941">
      <c r="H17941" t="s">
        <v>5117</v>
      </c>
    </row>
    <row r="17942">
      <c r="H17942" t="s">
        <v>5117</v>
      </c>
    </row>
    <row r="17943">
      <c r="H17943" t="s">
        <v>5117</v>
      </c>
    </row>
    <row r="17944">
      <c r="H17944" t="s">
        <v>5117</v>
      </c>
    </row>
    <row r="17945">
      <c r="H17945" t="s">
        <v>5117</v>
      </c>
    </row>
    <row r="17946">
      <c r="H17946" t="s">
        <v>5117</v>
      </c>
    </row>
    <row r="17947">
      <c r="H17947" t="s">
        <v>5117</v>
      </c>
    </row>
    <row r="17948">
      <c r="H17948" t="s">
        <v>5117</v>
      </c>
    </row>
    <row r="17949">
      <c r="H17949" t="s">
        <v>5117</v>
      </c>
    </row>
    <row r="17950">
      <c r="H17950" t="s">
        <v>5117</v>
      </c>
    </row>
    <row r="17951">
      <c r="H17951" t="s">
        <v>5117</v>
      </c>
    </row>
    <row r="17952">
      <c r="H17952" t="s">
        <v>5117</v>
      </c>
    </row>
    <row r="17953">
      <c r="H17953" t="s">
        <v>5117</v>
      </c>
    </row>
    <row r="17954">
      <c r="H17954" t="s">
        <v>5117</v>
      </c>
    </row>
    <row r="17955">
      <c r="H17955" t="s">
        <v>5117</v>
      </c>
    </row>
    <row r="17956">
      <c r="H17956" t="s">
        <v>5117</v>
      </c>
    </row>
    <row r="17957">
      <c r="H17957" t="s">
        <v>5117</v>
      </c>
    </row>
    <row r="17958">
      <c r="H17958" t="s">
        <v>5117</v>
      </c>
    </row>
    <row r="17959">
      <c r="H17959" t="s">
        <v>5117</v>
      </c>
    </row>
    <row r="17960">
      <c r="H17960" t="s">
        <v>5117</v>
      </c>
    </row>
    <row r="17961">
      <c r="H17961" t="s">
        <v>5117</v>
      </c>
    </row>
    <row r="17962">
      <c r="H17962" t="s">
        <v>5117</v>
      </c>
    </row>
    <row r="17963">
      <c r="H17963" t="s">
        <v>5117</v>
      </c>
    </row>
    <row r="17964">
      <c r="H17964" t="s">
        <v>5117</v>
      </c>
    </row>
    <row r="17965">
      <c r="H17965" t="s">
        <v>5117</v>
      </c>
    </row>
    <row r="17966">
      <c r="H17966" t="s">
        <v>5117</v>
      </c>
    </row>
    <row r="17967">
      <c r="H17967" t="s">
        <v>5117</v>
      </c>
    </row>
    <row r="17968">
      <c r="H17968" t="s">
        <v>5117</v>
      </c>
    </row>
    <row r="17969">
      <c r="H17969" t="s">
        <v>5117</v>
      </c>
    </row>
    <row r="17970">
      <c r="H17970" t="s">
        <v>5117</v>
      </c>
    </row>
    <row r="17971">
      <c r="H17971" t="s">
        <v>5117</v>
      </c>
    </row>
    <row r="17972">
      <c r="H17972" t="s">
        <v>5117</v>
      </c>
    </row>
    <row r="17973">
      <c r="H17973" t="s">
        <v>5117</v>
      </c>
    </row>
    <row r="17974">
      <c r="H17974" t="s">
        <v>5117</v>
      </c>
    </row>
    <row r="17975">
      <c r="H17975" t="s">
        <v>5117</v>
      </c>
    </row>
    <row r="17976">
      <c r="H17976" t="s">
        <v>5117</v>
      </c>
    </row>
    <row r="17977">
      <c r="H17977" t="s">
        <v>5117</v>
      </c>
    </row>
    <row r="17978">
      <c r="H17978" t="s">
        <v>5117</v>
      </c>
    </row>
    <row r="17979">
      <c r="H17979" t="s">
        <v>5117</v>
      </c>
    </row>
    <row r="17980">
      <c r="H17980" t="s">
        <v>5117</v>
      </c>
    </row>
    <row r="17981">
      <c r="H17981" t="s">
        <v>5117</v>
      </c>
    </row>
    <row r="17982">
      <c r="H17982" t="s">
        <v>5117</v>
      </c>
    </row>
    <row r="17983">
      <c r="H17983" t="s">
        <v>5117</v>
      </c>
    </row>
    <row r="17984">
      <c r="H17984" t="s">
        <v>5117</v>
      </c>
    </row>
    <row r="17985">
      <c r="H17985" t="s">
        <v>5117</v>
      </c>
    </row>
    <row r="17986">
      <c r="H17986" t="s">
        <v>5117</v>
      </c>
    </row>
    <row r="17987">
      <c r="H17987" t="s">
        <v>5117</v>
      </c>
    </row>
    <row r="17988">
      <c r="H17988" t="s">
        <v>5117</v>
      </c>
    </row>
    <row r="17989">
      <c r="H17989" t="s">
        <v>5117</v>
      </c>
    </row>
    <row r="17990">
      <c r="H17990" t="s">
        <v>5117</v>
      </c>
    </row>
    <row r="17991">
      <c r="H17991" t="s">
        <v>5117</v>
      </c>
    </row>
    <row r="17992">
      <c r="H17992" t="s">
        <v>5117</v>
      </c>
    </row>
    <row r="17993">
      <c r="H17993" t="s">
        <v>5117</v>
      </c>
    </row>
    <row r="17994">
      <c r="H17994" t="s">
        <v>5117</v>
      </c>
    </row>
    <row r="17995">
      <c r="H17995" t="s">
        <v>5117</v>
      </c>
    </row>
    <row r="17996">
      <c r="H17996" t="s">
        <v>5117</v>
      </c>
    </row>
    <row r="17997">
      <c r="H17997" t="s">
        <v>5117</v>
      </c>
    </row>
    <row r="17998">
      <c r="H17998" t="s">
        <v>5117</v>
      </c>
    </row>
    <row r="17999">
      <c r="H17999" t="s">
        <v>5117</v>
      </c>
    </row>
    <row r="18000">
      <c r="H18000" t="s">
        <v>5117</v>
      </c>
    </row>
    <row r="18001">
      <c r="H18001" t="s">
        <v>5117</v>
      </c>
    </row>
    <row r="18002">
      <c r="H18002" t="s">
        <v>5117</v>
      </c>
    </row>
    <row r="18003">
      <c r="H18003" t="s">
        <v>5117</v>
      </c>
    </row>
    <row r="18004">
      <c r="H18004" t="s">
        <v>5117</v>
      </c>
    </row>
    <row r="18005">
      <c r="H18005" t="s">
        <v>5117</v>
      </c>
    </row>
    <row r="18006">
      <c r="H18006" t="s">
        <v>5117</v>
      </c>
    </row>
    <row r="18007">
      <c r="H18007" t="s">
        <v>5117</v>
      </c>
    </row>
    <row r="18008">
      <c r="H18008" t="s">
        <v>5117</v>
      </c>
    </row>
    <row r="18009">
      <c r="H18009" t="s">
        <v>5117</v>
      </c>
    </row>
    <row r="18010">
      <c r="H18010" t="s">
        <v>5117</v>
      </c>
    </row>
    <row r="18011">
      <c r="H18011" t="s">
        <v>5117</v>
      </c>
    </row>
    <row r="18012">
      <c r="H18012" t="s">
        <v>5117</v>
      </c>
    </row>
    <row r="18013">
      <c r="H18013" t="s">
        <v>5117</v>
      </c>
    </row>
    <row r="18014">
      <c r="H18014" t="s">
        <v>5117</v>
      </c>
    </row>
    <row r="18015">
      <c r="H18015" t="s">
        <v>5117</v>
      </c>
    </row>
    <row r="18016">
      <c r="H18016" t="s">
        <v>5117</v>
      </c>
    </row>
    <row r="18017">
      <c r="H18017" t="s">
        <v>5117</v>
      </c>
    </row>
    <row r="18018">
      <c r="H18018" t="s">
        <v>5117</v>
      </c>
    </row>
    <row r="18019">
      <c r="H18019" t="s">
        <v>5117</v>
      </c>
    </row>
    <row r="18020">
      <c r="H18020" t="s">
        <v>5117</v>
      </c>
    </row>
    <row r="18021">
      <c r="H18021" t="s">
        <v>5117</v>
      </c>
    </row>
    <row r="18022">
      <c r="H18022" t="s">
        <v>5117</v>
      </c>
    </row>
    <row r="18023">
      <c r="H18023" t="s">
        <v>5117</v>
      </c>
    </row>
    <row r="18024">
      <c r="H18024" t="s">
        <v>5117</v>
      </c>
    </row>
    <row r="18025">
      <c r="H18025" t="s">
        <v>5117</v>
      </c>
    </row>
    <row r="18026">
      <c r="H18026" t="s">
        <v>5117</v>
      </c>
    </row>
    <row r="18027">
      <c r="H18027" t="s">
        <v>5117</v>
      </c>
    </row>
    <row r="18028">
      <c r="H18028" t="s">
        <v>5117</v>
      </c>
    </row>
    <row r="18029">
      <c r="H18029" t="s">
        <v>5117</v>
      </c>
    </row>
    <row r="18030">
      <c r="H18030" t="s">
        <v>5117</v>
      </c>
    </row>
    <row r="18031">
      <c r="H18031" t="s">
        <v>5117</v>
      </c>
    </row>
    <row r="18032">
      <c r="H18032" t="s">
        <v>5117</v>
      </c>
    </row>
    <row r="18033">
      <c r="H18033" t="s">
        <v>5117</v>
      </c>
    </row>
    <row r="18034">
      <c r="H18034" t="s">
        <v>5117</v>
      </c>
    </row>
    <row r="18035">
      <c r="H18035" t="s">
        <v>5117</v>
      </c>
    </row>
    <row r="18036">
      <c r="H18036" t="s">
        <v>5117</v>
      </c>
    </row>
    <row r="18037">
      <c r="H18037" t="s">
        <v>5117</v>
      </c>
    </row>
    <row r="18038">
      <c r="H18038" t="s">
        <v>5117</v>
      </c>
    </row>
    <row r="18039">
      <c r="H18039" t="s">
        <v>5117</v>
      </c>
    </row>
    <row r="18040">
      <c r="H18040" t="s">
        <v>5117</v>
      </c>
    </row>
    <row r="18041">
      <c r="H18041" t="s">
        <v>5117</v>
      </c>
    </row>
    <row r="18042">
      <c r="H18042" t="s">
        <v>5117</v>
      </c>
    </row>
    <row r="18043">
      <c r="H18043" t="s">
        <v>5117</v>
      </c>
    </row>
    <row r="18044">
      <c r="H18044" t="s">
        <v>5117</v>
      </c>
    </row>
    <row r="18045">
      <c r="H18045" t="s">
        <v>5117</v>
      </c>
    </row>
    <row r="18046">
      <c r="H18046" t="s">
        <v>5117</v>
      </c>
    </row>
    <row r="18047">
      <c r="H18047" t="s">
        <v>5117</v>
      </c>
    </row>
    <row r="18048">
      <c r="H18048" t="s">
        <v>5117</v>
      </c>
    </row>
    <row r="18049">
      <c r="H18049" t="s">
        <v>5117</v>
      </c>
    </row>
    <row r="18050">
      <c r="H18050" t="s">
        <v>5117</v>
      </c>
    </row>
    <row r="18051">
      <c r="H18051" t="s">
        <v>5117</v>
      </c>
    </row>
    <row r="18052">
      <c r="H18052" t="s">
        <v>5117</v>
      </c>
    </row>
    <row r="18053">
      <c r="H18053" t="s">
        <v>5117</v>
      </c>
    </row>
    <row r="18054">
      <c r="H18054" t="s">
        <v>5117</v>
      </c>
    </row>
    <row r="18055">
      <c r="H18055" t="s">
        <v>5117</v>
      </c>
    </row>
    <row r="18056">
      <c r="H18056" t="s">
        <v>5117</v>
      </c>
    </row>
    <row r="18057">
      <c r="H18057" t="s">
        <v>5117</v>
      </c>
    </row>
    <row r="18058">
      <c r="H18058" t="s">
        <v>5117</v>
      </c>
    </row>
    <row r="18059">
      <c r="H18059" t="s">
        <v>5117</v>
      </c>
    </row>
    <row r="18060">
      <c r="H18060" t="s">
        <v>5117</v>
      </c>
    </row>
    <row r="18061">
      <c r="H18061" t="s">
        <v>5117</v>
      </c>
    </row>
    <row r="18062">
      <c r="H18062" t="s">
        <v>5117</v>
      </c>
    </row>
    <row r="18063">
      <c r="H18063" t="s">
        <v>5117</v>
      </c>
    </row>
    <row r="18064">
      <c r="H18064" t="s">
        <v>5117</v>
      </c>
    </row>
    <row r="18065">
      <c r="H18065" t="s">
        <v>5117</v>
      </c>
    </row>
    <row r="18066">
      <c r="H18066" t="s">
        <v>5117</v>
      </c>
    </row>
    <row r="18067">
      <c r="H18067" t="s">
        <v>5117</v>
      </c>
    </row>
    <row r="18068">
      <c r="H18068" t="s">
        <v>5117</v>
      </c>
    </row>
    <row r="18069">
      <c r="H18069" t="s">
        <v>5117</v>
      </c>
    </row>
    <row r="18070">
      <c r="H18070" t="s">
        <v>5117</v>
      </c>
    </row>
    <row r="18071">
      <c r="H18071" t="s">
        <v>5117</v>
      </c>
    </row>
    <row r="18072">
      <c r="H18072" t="s">
        <v>5117</v>
      </c>
    </row>
    <row r="18073">
      <c r="H18073" t="s">
        <v>5117</v>
      </c>
    </row>
    <row r="18074">
      <c r="H18074" t="s">
        <v>5117</v>
      </c>
    </row>
    <row r="18075">
      <c r="H18075" t="s">
        <v>5117</v>
      </c>
    </row>
    <row r="18076">
      <c r="H18076" t="s">
        <v>5117</v>
      </c>
    </row>
    <row r="18077">
      <c r="H18077" t="s">
        <v>5117</v>
      </c>
    </row>
    <row r="18078">
      <c r="H18078" t="s">
        <v>5117</v>
      </c>
    </row>
    <row r="18079">
      <c r="H18079" t="s">
        <v>5117</v>
      </c>
    </row>
    <row r="18080">
      <c r="H18080" t="s">
        <v>5117</v>
      </c>
    </row>
    <row r="18081">
      <c r="H18081" t="s">
        <v>5117</v>
      </c>
    </row>
    <row r="18082">
      <c r="H18082" t="s">
        <v>5117</v>
      </c>
    </row>
    <row r="18083">
      <c r="H18083" t="s">
        <v>5117</v>
      </c>
    </row>
    <row r="18084">
      <c r="H18084" t="s">
        <v>5117</v>
      </c>
    </row>
    <row r="18085">
      <c r="H18085" t="s">
        <v>5117</v>
      </c>
    </row>
    <row r="18086">
      <c r="H18086" t="s">
        <v>5117</v>
      </c>
    </row>
    <row r="18087">
      <c r="H18087" t="s">
        <v>5117</v>
      </c>
    </row>
    <row r="18088">
      <c r="H18088" t="s">
        <v>5117</v>
      </c>
    </row>
    <row r="18089">
      <c r="H18089" t="s">
        <v>5117</v>
      </c>
    </row>
    <row r="18090">
      <c r="H18090" t="s">
        <v>5117</v>
      </c>
    </row>
    <row r="18091">
      <c r="H18091" t="s">
        <v>5117</v>
      </c>
    </row>
    <row r="18092">
      <c r="H18092" t="s">
        <v>5117</v>
      </c>
    </row>
    <row r="18093">
      <c r="H18093" t="s">
        <v>5117</v>
      </c>
    </row>
    <row r="18094">
      <c r="H18094" t="s">
        <v>5117</v>
      </c>
    </row>
    <row r="18095">
      <c r="H18095" t="s">
        <v>5117</v>
      </c>
    </row>
    <row r="18096">
      <c r="H18096" t="s">
        <v>5117</v>
      </c>
    </row>
    <row r="18097">
      <c r="H18097" t="s">
        <v>5117</v>
      </c>
    </row>
    <row r="18098">
      <c r="H18098" t="s">
        <v>5117</v>
      </c>
    </row>
    <row r="18099">
      <c r="H18099" t="s">
        <v>5117</v>
      </c>
    </row>
    <row r="18100">
      <c r="H18100" t="s">
        <v>5117</v>
      </c>
    </row>
    <row r="18101">
      <c r="H18101" t="s">
        <v>5117</v>
      </c>
    </row>
    <row r="18102">
      <c r="H18102" t="s">
        <v>5117</v>
      </c>
    </row>
    <row r="18103">
      <c r="H18103" t="s">
        <v>5117</v>
      </c>
    </row>
    <row r="18104">
      <c r="H18104" t="s">
        <v>5117</v>
      </c>
    </row>
    <row r="18105">
      <c r="H18105" t="s">
        <v>5117</v>
      </c>
    </row>
    <row r="18106">
      <c r="H18106" t="s">
        <v>5117</v>
      </c>
    </row>
    <row r="18107">
      <c r="H18107" t="s">
        <v>5117</v>
      </c>
    </row>
    <row r="18108">
      <c r="H18108" t="s">
        <v>5117</v>
      </c>
    </row>
    <row r="18109">
      <c r="H18109" t="s">
        <v>5117</v>
      </c>
    </row>
    <row r="18110">
      <c r="H18110" t="s">
        <v>5117</v>
      </c>
    </row>
    <row r="18111">
      <c r="H18111" t="s">
        <v>5117</v>
      </c>
    </row>
    <row r="18112">
      <c r="H18112" t="s">
        <v>5117</v>
      </c>
    </row>
    <row r="18113">
      <c r="H18113" t="s">
        <v>5117</v>
      </c>
    </row>
    <row r="18114">
      <c r="H18114" t="s">
        <v>5117</v>
      </c>
    </row>
    <row r="18115">
      <c r="H18115" t="s">
        <v>5117</v>
      </c>
    </row>
    <row r="18116">
      <c r="H18116" t="s">
        <v>5117</v>
      </c>
    </row>
    <row r="18117">
      <c r="H18117" t="s">
        <v>5117</v>
      </c>
    </row>
    <row r="18118">
      <c r="H18118" t="s">
        <v>5117</v>
      </c>
    </row>
    <row r="18119">
      <c r="H18119" t="s">
        <v>5117</v>
      </c>
    </row>
    <row r="18120">
      <c r="H18120" t="s">
        <v>5117</v>
      </c>
    </row>
    <row r="18121">
      <c r="H18121" t="s">
        <v>5117</v>
      </c>
    </row>
    <row r="18122">
      <c r="H18122" t="s">
        <v>5117</v>
      </c>
    </row>
    <row r="18123">
      <c r="H18123" t="s">
        <v>5117</v>
      </c>
    </row>
    <row r="18124">
      <c r="H18124" t="s">
        <v>5117</v>
      </c>
    </row>
    <row r="18125">
      <c r="H18125" t="s">
        <v>5117</v>
      </c>
    </row>
    <row r="18126">
      <c r="H18126" t="s">
        <v>5117</v>
      </c>
    </row>
    <row r="18127">
      <c r="H18127" t="s">
        <v>5117</v>
      </c>
    </row>
    <row r="18128">
      <c r="H18128" t="s">
        <v>5117</v>
      </c>
    </row>
    <row r="18129">
      <c r="H18129" t="s">
        <v>5117</v>
      </c>
    </row>
    <row r="18130">
      <c r="H18130" t="s">
        <v>5117</v>
      </c>
    </row>
    <row r="18131">
      <c r="H18131" t="s">
        <v>5117</v>
      </c>
    </row>
    <row r="18132">
      <c r="H18132" t="s">
        <v>5117</v>
      </c>
    </row>
    <row r="18133">
      <c r="H18133" t="s">
        <v>5117</v>
      </c>
    </row>
    <row r="18134">
      <c r="H18134" t="s">
        <v>5117</v>
      </c>
    </row>
    <row r="18135">
      <c r="H18135" t="s">
        <v>5117</v>
      </c>
    </row>
    <row r="18136">
      <c r="H18136" t="s">
        <v>5117</v>
      </c>
    </row>
    <row r="18137">
      <c r="H18137" t="s">
        <v>5117</v>
      </c>
    </row>
    <row r="18138">
      <c r="H18138" t="s">
        <v>5117</v>
      </c>
    </row>
    <row r="18139">
      <c r="H18139" t="s">
        <v>5117</v>
      </c>
    </row>
    <row r="18140">
      <c r="H18140" t="s">
        <v>5117</v>
      </c>
    </row>
    <row r="18141">
      <c r="H18141" t="s">
        <v>5117</v>
      </c>
    </row>
    <row r="18142">
      <c r="H18142" t="s">
        <v>5117</v>
      </c>
    </row>
    <row r="18143">
      <c r="H18143" t="s">
        <v>5117</v>
      </c>
    </row>
    <row r="18144">
      <c r="H18144" t="s">
        <v>5117</v>
      </c>
    </row>
    <row r="18145">
      <c r="H18145" t="s">
        <v>5117</v>
      </c>
    </row>
    <row r="18146">
      <c r="H18146" t="s">
        <v>5117</v>
      </c>
    </row>
    <row r="18147">
      <c r="H18147" t="s">
        <v>5117</v>
      </c>
    </row>
    <row r="18148">
      <c r="H18148" t="s">
        <v>5117</v>
      </c>
    </row>
    <row r="18149">
      <c r="H18149" t="s">
        <v>5117</v>
      </c>
    </row>
    <row r="18150">
      <c r="H18150" t="s">
        <v>5117</v>
      </c>
    </row>
    <row r="18151">
      <c r="H18151" t="s">
        <v>5117</v>
      </c>
    </row>
    <row r="18152">
      <c r="H18152" t="s">
        <v>5117</v>
      </c>
    </row>
    <row r="18153">
      <c r="H18153" t="s">
        <v>5117</v>
      </c>
    </row>
    <row r="18154">
      <c r="H18154" t="s">
        <v>5117</v>
      </c>
    </row>
    <row r="18155">
      <c r="H18155" t="s">
        <v>5117</v>
      </c>
    </row>
    <row r="18156">
      <c r="H18156" t="s">
        <v>5117</v>
      </c>
    </row>
    <row r="18157">
      <c r="H18157" t="s">
        <v>5117</v>
      </c>
    </row>
    <row r="18158">
      <c r="H18158" t="s">
        <v>5117</v>
      </c>
    </row>
    <row r="18159">
      <c r="H18159" t="s">
        <v>5117</v>
      </c>
    </row>
    <row r="18160">
      <c r="H18160" t="s">
        <v>5117</v>
      </c>
    </row>
    <row r="18161">
      <c r="H18161" t="s">
        <v>5117</v>
      </c>
    </row>
    <row r="18162">
      <c r="H18162" t="s">
        <v>5117</v>
      </c>
    </row>
    <row r="18163">
      <c r="H18163" t="s">
        <v>5117</v>
      </c>
    </row>
    <row r="18164">
      <c r="H18164" t="s">
        <v>5117</v>
      </c>
    </row>
    <row r="18165">
      <c r="H18165" t="s">
        <v>5117</v>
      </c>
    </row>
    <row r="18166">
      <c r="H18166" t="s">
        <v>5117</v>
      </c>
    </row>
    <row r="18167">
      <c r="H18167" t="s">
        <v>5117</v>
      </c>
    </row>
    <row r="18168">
      <c r="H18168" t="s">
        <v>5117</v>
      </c>
    </row>
    <row r="18169">
      <c r="H18169" t="s">
        <v>5117</v>
      </c>
    </row>
    <row r="18170">
      <c r="H18170" t="s">
        <v>5117</v>
      </c>
    </row>
    <row r="18171">
      <c r="H18171" t="s">
        <v>5117</v>
      </c>
    </row>
    <row r="18172">
      <c r="H18172" t="s">
        <v>5117</v>
      </c>
    </row>
    <row r="18173">
      <c r="H18173" t="s">
        <v>5117</v>
      </c>
    </row>
    <row r="18174">
      <c r="H18174" t="s">
        <v>5117</v>
      </c>
    </row>
    <row r="18175">
      <c r="H18175" t="s">
        <v>5117</v>
      </c>
    </row>
    <row r="18176">
      <c r="H18176" t="s">
        <v>5117</v>
      </c>
    </row>
    <row r="18177">
      <c r="H18177" t="s">
        <v>5117</v>
      </c>
    </row>
    <row r="18178">
      <c r="H18178" t="s">
        <v>5117</v>
      </c>
    </row>
    <row r="18179">
      <c r="H18179" t="s">
        <v>5117</v>
      </c>
    </row>
    <row r="18180">
      <c r="H18180" t="s">
        <v>5117</v>
      </c>
    </row>
    <row r="18181">
      <c r="H18181" t="s">
        <v>5117</v>
      </c>
    </row>
    <row r="18182">
      <c r="H18182" t="s">
        <v>5117</v>
      </c>
    </row>
    <row r="18183">
      <c r="H18183" t="s">
        <v>5117</v>
      </c>
    </row>
    <row r="18184">
      <c r="H18184" t="s">
        <v>5117</v>
      </c>
    </row>
    <row r="18185">
      <c r="H18185" t="s">
        <v>5117</v>
      </c>
    </row>
    <row r="18186">
      <c r="H18186" t="s">
        <v>5117</v>
      </c>
    </row>
    <row r="18187">
      <c r="H18187" t="s">
        <v>5117</v>
      </c>
    </row>
    <row r="18188">
      <c r="H18188" t="s">
        <v>5117</v>
      </c>
    </row>
    <row r="18189">
      <c r="H18189" t="s">
        <v>5117</v>
      </c>
    </row>
    <row r="18190">
      <c r="H18190" t="s">
        <v>5117</v>
      </c>
    </row>
    <row r="18191">
      <c r="H18191" t="s">
        <v>5117</v>
      </c>
    </row>
    <row r="18192">
      <c r="H18192" t="s">
        <v>5117</v>
      </c>
    </row>
    <row r="18193">
      <c r="H18193" t="s">
        <v>5117</v>
      </c>
    </row>
    <row r="18194">
      <c r="H18194" t="s">
        <v>5117</v>
      </c>
    </row>
    <row r="18195">
      <c r="H18195" t="s">
        <v>5117</v>
      </c>
    </row>
    <row r="18196">
      <c r="H18196" t="s">
        <v>5117</v>
      </c>
    </row>
    <row r="18197">
      <c r="H18197" t="s">
        <v>5117</v>
      </c>
    </row>
    <row r="18198">
      <c r="H18198" t="s">
        <v>5117</v>
      </c>
    </row>
    <row r="18199">
      <c r="H18199" t="s">
        <v>5117</v>
      </c>
    </row>
    <row r="18200">
      <c r="H18200" t="s">
        <v>5117</v>
      </c>
    </row>
    <row r="18201">
      <c r="H18201" t="s">
        <v>5117</v>
      </c>
    </row>
    <row r="18202">
      <c r="H18202" t="s">
        <v>5117</v>
      </c>
    </row>
    <row r="18203">
      <c r="H18203" t="s">
        <v>5117</v>
      </c>
    </row>
    <row r="18204">
      <c r="H18204" t="s">
        <v>5117</v>
      </c>
    </row>
    <row r="18205">
      <c r="H18205" t="s">
        <v>5117</v>
      </c>
    </row>
    <row r="18206">
      <c r="H18206" t="s">
        <v>5117</v>
      </c>
    </row>
    <row r="18207">
      <c r="H18207" t="s">
        <v>5117</v>
      </c>
    </row>
    <row r="18208">
      <c r="H18208" t="s">
        <v>5117</v>
      </c>
    </row>
    <row r="18209">
      <c r="H18209" t="s">
        <v>5117</v>
      </c>
    </row>
    <row r="18210">
      <c r="H18210" t="s">
        <v>5117</v>
      </c>
    </row>
    <row r="18211">
      <c r="H18211" t="s">
        <v>5117</v>
      </c>
    </row>
    <row r="18212">
      <c r="H18212" t="s">
        <v>5117</v>
      </c>
    </row>
    <row r="18213">
      <c r="H18213" t="s">
        <v>5117</v>
      </c>
    </row>
    <row r="18214">
      <c r="H18214" t="s">
        <v>5117</v>
      </c>
    </row>
    <row r="18215">
      <c r="H18215" t="s">
        <v>5117</v>
      </c>
    </row>
    <row r="18216">
      <c r="H18216" t="s">
        <v>5117</v>
      </c>
    </row>
    <row r="18217">
      <c r="H18217" t="s">
        <v>5117</v>
      </c>
    </row>
    <row r="18218">
      <c r="H18218" t="s">
        <v>5117</v>
      </c>
    </row>
    <row r="18219">
      <c r="H18219" t="s">
        <v>5117</v>
      </c>
    </row>
    <row r="18220">
      <c r="H18220" t="s">
        <v>5117</v>
      </c>
    </row>
    <row r="18221">
      <c r="H18221" t="s">
        <v>5117</v>
      </c>
    </row>
    <row r="18222">
      <c r="H18222" t="s">
        <v>5117</v>
      </c>
    </row>
    <row r="18223">
      <c r="H18223" t="s">
        <v>5117</v>
      </c>
    </row>
    <row r="18224">
      <c r="H18224" t="s">
        <v>5117</v>
      </c>
    </row>
    <row r="18225">
      <c r="H18225" t="s">
        <v>5117</v>
      </c>
    </row>
    <row r="18226">
      <c r="H18226" t="s">
        <v>5117</v>
      </c>
    </row>
    <row r="18227">
      <c r="H18227" t="s">
        <v>5117</v>
      </c>
    </row>
    <row r="18228">
      <c r="H18228" t="s">
        <v>5117</v>
      </c>
    </row>
    <row r="18229">
      <c r="H18229" t="s">
        <v>5117</v>
      </c>
    </row>
    <row r="18230">
      <c r="H18230" t="s">
        <v>5117</v>
      </c>
    </row>
    <row r="18231">
      <c r="H18231" t="s">
        <v>5117</v>
      </c>
    </row>
    <row r="18232">
      <c r="H18232" t="s">
        <v>5117</v>
      </c>
    </row>
    <row r="18233">
      <c r="H18233" t="s">
        <v>5117</v>
      </c>
    </row>
    <row r="18234">
      <c r="H18234" t="s">
        <v>5117</v>
      </c>
    </row>
    <row r="18235">
      <c r="H18235" t="s">
        <v>5117</v>
      </c>
    </row>
    <row r="18236">
      <c r="H18236" t="s">
        <v>5117</v>
      </c>
    </row>
    <row r="18237">
      <c r="H18237" t="s">
        <v>5117</v>
      </c>
    </row>
    <row r="18238">
      <c r="H18238" t="s">
        <v>5117</v>
      </c>
    </row>
    <row r="18239">
      <c r="H18239" t="s">
        <v>5117</v>
      </c>
    </row>
    <row r="18240">
      <c r="H18240" t="s">
        <v>5117</v>
      </c>
    </row>
    <row r="18241">
      <c r="H18241" t="s">
        <v>5117</v>
      </c>
    </row>
    <row r="18242">
      <c r="H18242" t="s">
        <v>5117</v>
      </c>
    </row>
    <row r="18243">
      <c r="H18243" t="s">
        <v>5117</v>
      </c>
    </row>
    <row r="18244">
      <c r="H18244" t="s">
        <v>5117</v>
      </c>
    </row>
    <row r="18245">
      <c r="H18245" t="s">
        <v>5117</v>
      </c>
    </row>
    <row r="18246">
      <c r="H18246" t="s">
        <v>5117</v>
      </c>
    </row>
    <row r="18247">
      <c r="H18247" t="s">
        <v>5117</v>
      </c>
    </row>
    <row r="18248">
      <c r="H18248" t="s">
        <v>5117</v>
      </c>
    </row>
    <row r="18249">
      <c r="H18249" t="s">
        <v>5117</v>
      </c>
    </row>
    <row r="18250">
      <c r="H18250" t="s">
        <v>5117</v>
      </c>
    </row>
    <row r="18251">
      <c r="H18251" t="s">
        <v>5117</v>
      </c>
    </row>
    <row r="18252">
      <c r="H18252" t="s">
        <v>5117</v>
      </c>
    </row>
    <row r="18253">
      <c r="H18253" t="s">
        <v>5117</v>
      </c>
    </row>
    <row r="18254">
      <c r="H18254" t="s">
        <v>5117</v>
      </c>
    </row>
    <row r="18255">
      <c r="H18255" t="s">
        <v>5117</v>
      </c>
    </row>
    <row r="18256">
      <c r="H18256" t="s">
        <v>5117</v>
      </c>
    </row>
    <row r="18257">
      <c r="H18257" t="s">
        <v>5117</v>
      </c>
    </row>
    <row r="18258">
      <c r="H18258" t="s">
        <v>5117</v>
      </c>
    </row>
    <row r="18259">
      <c r="H18259" t="s">
        <v>5117</v>
      </c>
    </row>
    <row r="18260">
      <c r="H18260" t="s">
        <v>5117</v>
      </c>
    </row>
    <row r="18261">
      <c r="H18261" t="s">
        <v>5117</v>
      </c>
    </row>
    <row r="18262">
      <c r="H18262" t="s">
        <v>5117</v>
      </c>
    </row>
    <row r="18263">
      <c r="H18263" t="s">
        <v>5117</v>
      </c>
    </row>
    <row r="18264">
      <c r="H18264" t="s">
        <v>5117</v>
      </c>
    </row>
    <row r="18265">
      <c r="H18265" t="s">
        <v>5117</v>
      </c>
    </row>
    <row r="18266">
      <c r="H18266" t="s">
        <v>5117</v>
      </c>
    </row>
    <row r="18267">
      <c r="H18267" t="s">
        <v>5117</v>
      </c>
    </row>
    <row r="18268">
      <c r="H18268" t="s">
        <v>5117</v>
      </c>
    </row>
    <row r="18269">
      <c r="H18269" t="s">
        <v>5117</v>
      </c>
    </row>
    <row r="18270">
      <c r="H18270" t="s">
        <v>5117</v>
      </c>
    </row>
    <row r="18271">
      <c r="H18271" t="s">
        <v>5117</v>
      </c>
    </row>
    <row r="18272">
      <c r="H18272" t="s">
        <v>5117</v>
      </c>
    </row>
    <row r="18273">
      <c r="H18273" t="s">
        <v>5117</v>
      </c>
    </row>
    <row r="18274">
      <c r="H18274" t="s">
        <v>5117</v>
      </c>
    </row>
    <row r="18275">
      <c r="H18275" t="s">
        <v>5117</v>
      </c>
    </row>
    <row r="18276">
      <c r="H18276" t="s">
        <v>5117</v>
      </c>
    </row>
    <row r="18277">
      <c r="H18277" t="s">
        <v>5117</v>
      </c>
    </row>
    <row r="18278">
      <c r="H18278" t="s">
        <v>5117</v>
      </c>
    </row>
    <row r="18279">
      <c r="H18279" t="s">
        <v>5117</v>
      </c>
    </row>
    <row r="18280">
      <c r="H18280" t="s">
        <v>5117</v>
      </c>
    </row>
    <row r="18281">
      <c r="H18281" t="s">
        <v>5117</v>
      </c>
    </row>
    <row r="18282">
      <c r="H18282" t="s">
        <v>5117</v>
      </c>
    </row>
    <row r="18283">
      <c r="H18283" t="s">
        <v>5117</v>
      </c>
    </row>
    <row r="18284">
      <c r="H18284" t="s">
        <v>5117</v>
      </c>
    </row>
    <row r="18285">
      <c r="H18285" t="s">
        <v>5117</v>
      </c>
    </row>
    <row r="18286">
      <c r="H18286" t="s">
        <v>5117</v>
      </c>
    </row>
    <row r="18287">
      <c r="H18287" t="s">
        <v>5117</v>
      </c>
    </row>
    <row r="18288">
      <c r="H18288" t="s">
        <v>5117</v>
      </c>
    </row>
    <row r="18289">
      <c r="H18289" t="s">
        <v>5117</v>
      </c>
    </row>
    <row r="18290">
      <c r="H18290" t="s">
        <v>5117</v>
      </c>
    </row>
    <row r="18291">
      <c r="H18291" t="s">
        <v>5117</v>
      </c>
    </row>
    <row r="18292">
      <c r="H18292" t="s">
        <v>5117</v>
      </c>
    </row>
    <row r="18293">
      <c r="H18293" t="s">
        <v>5117</v>
      </c>
    </row>
    <row r="18294">
      <c r="H18294" t="s">
        <v>5117</v>
      </c>
    </row>
    <row r="18295">
      <c r="H18295" t="s">
        <v>5117</v>
      </c>
    </row>
    <row r="18296">
      <c r="H18296" t="s">
        <v>5117</v>
      </c>
    </row>
    <row r="18297">
      <c r="H18297" t="s">
        <v>5117</v>
      </c>
    </row>
    <row r="18298">
      <c r="H18298" t="s">
        <v>5117</v>
      </c>
    </row>
    <row r="18299">
      <c r="H18299" t="s">
        <v>5117</v>
      </c>
    </row>
    <row r="18300">
      <c r="H18300" t="s">
        <v>5117</v>
      </c>
    </row>
    <row r="18301">
      <c r="H18301" t="s">
        <v>5117</v>
      </c>
    </row>
    <row r="18302">
      <c r="H18302" t="s">
        <v>5117</v>
      </c>
    </row>
    <row r="18303">
      <c r="H18303" t="s">
        <v>5117</v>
      </c>
    </row>
    <row r="18304">
      <c r="H18304" t="s">
        <v>5117</v>
      </c>
    </row>
    <row r="18305">
      <c r="H18305" t="s">
        <v>5117</v>
      </c>
    </row>
    <row r="18306">
      <c r="H18306" t="s">
        <v>5117</v>
      </c>
    </row>
    <row r="18307">
      <c r="H18307" t="s">
        <v>5117</v>
      </c>
    </row>
    <row r="18308">
      <c r="H18308" t="s">
        <v>5117</v>
      </c>
    </row>
    <row r="18309">
      <c r="H18309" t="s">
        <v>5117</v>
      </c>
    </row>
    <row r="18310">
      <c r="H18310" t="s">
        <v>5117</v>
      </c>
    </row>
    <row r="18311">
      <c r="H18311" t="s">
        <v>5117</v>
      </c>
    </row>
    <row r="18312">
      <c r="H18312" t="s">
        <v>5117</v>
      </c>
    </row>
    <row r="18313">
      <c r="H18313" t="s">
        <v>5117</v>
      </c>
    </row>
    <row r="18314">
      <c r="H18314" t="s">
        <v>5117</v>
      </c>
    </row>
    <row r="18315">
      <c r="H18315" t="s">
        <v>5117</v>
      </c>
    </row>
    <row r="18316">
      <c r="H18316" t="s">
        <v>5117</v>
      </c>
    </row>
    <row r="18317">
      <c r="H18317" t="s">
        <v>5117</v>
      </c>
    </row>
    <row r="18318">
      <c r="H18318" t="s">
        <v>5117</v>
      </c>
    </row>
    <row r="18319">
      <c r="H18319" t="s">
        <v>5117</v>
      </c>
    </row>
    <row r="18320">
      <c r="H18320" t="s">
        <v>5117</v>
      </c>
    </row>
    <row r="18321">
      <c r="H18321" t="s">
        <v>5117</v>
      </c>
    </row>
    <row r="18322">
      <c r="H18322" t="s">
        <v>5117</v>
      </c>
    </row>
    <row r="18323">
      <c r="H18323" t="s">
        <v>5117</v>
      </c>
    </row>
    <row r="18324">
      <c r="H18324" t="s">
        <v>5117</v>
      </c>
    </row>
    <row r="18325">
      <c r="H18325" t="s">
        <v>5117</v>
      </c>
    </row>
    <row r="18326">
      <c r="H18326" t="s">
        <v>5117</v>
      </c>
    </row>
    <row r="18327">
      <c r="H18327" t="s">
        <v>5117</v>
      </c>
    </row>
    <row r="18328">
      <c r="H18328" t="s">
        <v>5117</v>
      </c>
    </row>
    <row r="18329">
      <c r="H18329" t="s">
        <v>5117</v>
      </c>
    </row>
    <row r="18330">
      <c r="H18330" t="s">
        <v>5117</v>
      </c>
    </row>
    <row r="18331">
      <c r="H18331" t="s">
        <v>5117</v>
      </c>
    </row>
    <row r="18332">
      <c r="H18332" t="s">
        <v>5117</v>
      </c>
    </row>
    <row r="18333">
      <c r="H18333" t="s">
        <v>5117</v>
      </c>
    </row>
    <row r="18334">
      <c r="H18334" t="s">
        <v>5117</v>
      </c>
    </row>
    <row r="18335">
      <c r="H18335" t="s">
        <v>5117</v>
      </c>
    </row>
    <row r="18336">
      <c r="H18336" t="s">
        <v>5117</v>
      </c>
    </row>
    <row r="18337">
      <c r="H18337" t="s">
        <v>5117</v>
      </c>
    </row>
    <row r="18338">
      <c r="H18338" t="s">
        <v>5117</v>
      </c>
    </row>
    <row r="18339">
      <c r="H18339" t="s">
        <v>5117</v>
      </c>
    </row>
    <row r="18340">
      <c r="H18340" t="s">
        <v>5117</v>
      </c>
    </row>
    <row r="18341">
      <c r="H18341" t="s">
        <v>5117</v>
      </c>
    </row>
    <row r="18342">
      <c r="H18342" t="s">
        <v>5117</v>
      </c>
    </row>
    <row r="18343">
      <c r="H18343" t="s">
        <v>5117</v>
      </c>
    </row>
    <row r="18344">
      <c r="H18344" t="s">
        <v>5117</v>
      </c>
    </row>
    <row r="18345">
      <c r="H18345" t="s">
        <v>5117</v>
      </c>
    </row>
    <row r="18346">
      <c r="H18346" t="s">
        <v>5117</v>
      </c>
    </row>
    <row r="18347">
      <c r="H18347" t="s">
        <v>5117</v>
      </c>
    </row>
    <row r="18348">
      <c r="H18348" t="s">
        <v>5117</v>
      </c>
    </row>
    <row r="18349">
      <c r="H18349" t="s">
        <v>5117</v>
      </c>
    </row>
    <row r="18350">
      <c r="H18350" t="s">
        <v>5117</v>
      </c>
    </row>
    <row r="18351">
      <c r="H18351" t="s">
        <v>5117</v>
      </c>
    </row>
    <row r="18352">
      <c r="H18352" t="s">
        <v>5117</v>
      </c>
    </row>
    <row r="18353">
      <c r="H18353" t="s">
        <v>5117</v>
      </c>
    </row>
    <row r="18354">
      <c r="H18354" t="s">
        <v>5117</v>
      </c>
    </row>
    <row r="18355">
      <c r="H18355" t="s">
        <v>5117</v>
      </c>
    </row>
    <row r="18356">
      <c r="H18356" t="s">
        <v>5117</v>
      </c>
    </row>
    <row r="18357">
      <c r="H18357" t="s">
        <v>5117</v>
      </c>
    </row>
    <row r="18358">
      <c r="H18358" t="s">
        <v>5117</v>
      </c>
    </row>
    <row r="18359">
      <c r="H18359" t="s">
        <v>5117</v>
      </c>
    </row>
    <row r="18360">
      <c r="H18360" t="s">
        <v>5117</v>
      </c>
    </row>
    <row r="18361">
      <c r="H18361" t="s">
        <v>5117</v>
      </c>
    </row>
    <row r="18362">
      <c r="H18362" t="s">
        <v>5117</v>
      </c>
    </row>
    <row r="18363">
      <c r="H18363" t="s">
        <v>5117</v>
      </c>
    </row>
    <row r="18364">
      <c r="H18364" t="s">
        <v>5117</v>
      </c>
    </row>
    <row r="18365">
      <c r="H18365" t="s">
        <v>5117</v>
      </c>
    </row>
    <row r="18366">
      <c r="H18366" t="s">
        <v>5117</v>
      </c>
    </row>
    <row r="18367">
      <c r="H18367" t="s">
        <v>5117</v>
      </c>
    </row>
    <row r="18368">
      <c r="H18368" t="s">
        <v>5117</v>
      </c>
    </row>
    <row r="18369">
      <c r="H18369" t="s">
        <v>5117</v>
      </c>
    </row>
    <row r="18370">
      <c r="H18370" t="s">
        <v>5117</v>
      </c>
    </row>
    <row r="18371">
      <c r="H18371" t="s">
        <v>5117</v>
      </c>
    </row>
    <row r="18372">
      <c r="H18372" t="s">
        <v>5117</v>
      </c>
    </row>
    <row r="18373">
      <c r="H18373" t="s">
        <v>5117</v>
      </c>
    </row>
    <row r="18374">
      <c r="H18374" t="s">
        <v>5117</v>
      </c>
    </row>
    <row r="18375">
      <c r="H18375" t="s">
        <v>5117</v>
      </c>
    </row>
    <row r="18376">
      <c r="H18376" t="s">
        <v>5117</v>
      </c>
    </row>
    <row r="18377">
      <c r="H18377" t="s">
        <v>5117</v>
      </c>
    </row>
    <row r="18378">
      <c r="H18378" t="s">
        <v>5117</v>
      </c>
    </row>
    <row r="18379">
      <c r="H18379" t="s">
        <v>5117</v>
      </c>
    </row>
    <row r="18380">
      <c r="H18380" t="s">
        <v>5117</v>
      </c>
    </row>
    <row r="18381">
      <c r="H18381" t="s">
        <v>5117</v>
      </c>
    </row>
    <row r="18382">
      <c r="H18382" t="s">
        <v>5117</v>
      </c>
    </row>
    <row r="18383">
      <c r="H18383" t="s">
        <v>5117</v>
      </c>
    </row>
    <row r="18384">
      <c r="H18384" t="s">
        <v>5117</v>
      </c>
    </row>
    <row r="18385">
      <c r="H18385" t="s">
        <v>5117</v>
      </c>
    </row>
    <row r="18386">
      <c r="H18386" t="s">
        <v>5117</v>
      </c>
    </row>
    <row r="18387">
      <c r="H18387" t="s">
        <v>5117</v>
      </c>
    </row>
    <row r="18388">
      <c r="H18388" t="s">
        <v>5117</v>
      </c>
    </row>
    <row r="18389">
      <c r="H18389" t="s">
        <v>5117</v>
      </c>
    </row>
    <row r="18390">
      <c r="H18390" t="s">
        <v>5117</v>
      </c>
    </row>
    <row r="18391">
      <c r="H18391" t="s">
        <v>5117</v>
      </c>
    </row>
    <row r="18392">
      <c r="H18392" t="s">
        <v>5117</v>
      </c>
    </row>
    <row r="18393">
      <c r="H18393" t="s">
        <v>5117</v>
      </c>
    </row>
    <row r="18394">
      <c r="H18394" t="s">
        <v>5117</v>
      </c>
    </row>
    <row r="18395">
      <c r="H18395" t="s">
        <v>5117</v>
      </c>
    </row>
    <row r="18396">
      <c r="H18396" t="s">
        <v>5117</v>
      </c>
    </row>
    <row r="18397">
      <c r="H18397" t="s">
        <v>5117</v>
      </c>
    </row>
    <row r="18398">
      <c r="H18398" t="s">
        <v>5117</v>
      </c>
    </row>
    <row r="18399">
      <c r="H18399" t="s">
        <v>5117</v>
      </c>
    </row>
    <row r="18400">
      <c r="H18400" t="s">
        <v>5117</v>
      </c>
    </row>
    <row r="18401">
      <c r="H18401" t="s">
        <v>5117</v>
      </c>
    </row>
    <row r="18402">
      <c r="H18402" t="s">
        <v>5117</v>
      </c>
    </row>
    <row r="18403">
      <c r="H18403" t="s">
        <v>5117</v>
      </c>
    </row>
    <row r="18404">
      <c r="H18404" t="s">
        <v>5117</v>
      </c>
    </row>
    <row r="18405">
      <c r="H18405" t="s">
        <v>5117</v>
      </c>
    </row>
    <row r="18406">
      <c r="H18406" t="s">
        <v>5117</v>
      </c>
    </row>
    <row r="18407">
      <c r="H18407" t="s">
        <v>5117</v>
      </c>
    </row>
    <row r="18408">
      <c r="H18408" t="s">
        <v>5117</v>
      </c>
    </row>
    <row r="18409">
      <c r="H18409" t="s">
        <v>5117</v>
      </c>
    </row>
    <row r="18410">
      <c r="H18410" t="s">
        <v>5117</v>
      </c>
    </row>
    <row r="18411">
      <c r="H18411" t="s">
        <v>5117</v>
      </c>
    </row>
    <row r="18412">
      <c r="H18412" t="s">
        <v>5117</v>
      </c>
    </row>
    <row r="18413">
      <c r="H18413" t="s">
        <v>5117</v>
      </c>
    </row>
    <row r="18414">
      <c r="H18414" t="s">
        <v>5117</v>
      </c>
    </row>
    <row r="18415">
      <c r="H18415" t="s">
        <v>5117</v>
      </c>
    </row>
    <row r="18416">
      <c r="H18416" t="s">
        <v>5117</v>
      </c>
    </row>
    <row r="18417">
      <c r="H18417" t="s">
        <v>5117</v>
      </c>
    </row>
    <row r="18418">
      <c r="H18418" t="s">
        <v>5117</v>
      </c>
    </row>
    <row r="18419">
      <c r="H18419" t="s">
        <v>5117</v>
      </c>
    </row>
    <row r="18420">
      <c r="H18420" t="s">
        <v>5117</v>
      </c>
    </row>
    <row r="18421">
      <c r="H18421" t="s">
        <v>5117</v>
      </c>
    </row>
    <row r="18422">
      <c r="H18422" t="s">
        <v>5117</v>
      </c>
    </row>
    <row r="18423">
      <c r="H18423" t="s">
        <v>5117</v>
      </c>
    </row>
    <row r="18424">
      <c r="H18424" t="s">
        <v>5117</v>
      </c>
    </row>
    <row r="18425">
      <c r="H18425" t="s">
        <v>5117</v>
      </c>
    </row>
    <row r="18426">
      <c r="H18426" t="s">
        <v>5117</v>
      </c>
    </row>
    <row r="18427">
      <c r="H18427" t="s">
        <v>5117</v>
      </c>
    </row>
    <row r="18428">
      <c r="H18428" t="s">
        <v>5117</v>
      </c>
    </row>
    <row r="18429">
      <c r="H18429" t="s">
        <v>5117</v>
      </c>
    </row>
    <row r="18430">
      <c r="H18430" t="s">
        <v>5117</v>
      </c>
    </row>
    <row r="18431">
      <c r="H18431" t="s">
        <v>5117</v>
      </c>
    </row>
    <row r="18432">
      <c r="H18432" t="s">
        <v>5117</v>
      </c>
    </row>
    <row r="18433">
      <c r="H18433" t="s">
        <v>5117</v>
      </c>
    </row>
    <row r="18434">
      <c r="H18434" t="s">
        <v>5117</v>
      </c>
    </row>
    <row r="18435">
      <c r="H18435" t="s">
        <v>5117</v>
      </c>
    </row>
    <row r="18436">
      <c r="H18436" t="s">
        <v>5117</v>
      </c>
    </row>
    <row r="18437">
      <c r="H18437" t="s">
        <v>5117</v>
      </c>
    </row>
    <row r="18438">
      <c r="H18438" t="s">
        <v>5117</v>
      </c>
    </row>
    <row r="18439">
      <c r="H18439" t="s">
        <v>5117</v>
      </c>
    </row>
    <row r="18440">
      <c r="H18440" t="s">
        <v>5117</v>
      </c>
    </row>
    <row r="18441">
      <c r="H18441" t="s">
        <v>5117</v>
      </c>
    </row>
    <row r="18442">
      <c r="H18442" t="s">
        <v>5117</v>
      </c>
    </row>
    <row r="18443">
      <c r="H18443" t="s">
        <v>5117</v>
      </c>
    </row>
    <row r="18444">
      <c r="H18444" t="s">
        <v>5117</v>
      </c>
    </row>
    <row r="18445">
      <c r="H18445" t="s">
        <v>5117</v>
      </c>
    </row>
    <row r="18446">
      <c r="H18446" t="s">
        <v>5117</v>
      </c>
    </row>
    <row r="18447">
      <c r="H18447" t="s">
        <v>5117</v>
      </c>
    </row>
    <row r="18448">
      <c r="H18448" t="s">
        <v>5117</v>
      </c>
    </row>
    <row r="18449">
      <c r="H18449" t="s">
        <v>5117</v>
      </c>
    </row>
    <row r="18450">
      <c r="H18450" t="s">
        <v>5117</v>
      </c>
    </row>
    <row r="18451">
      <c r="H18451" t="s">
        <v>5117</v>
      </c>
    </row>
    <row r="18452">
      <c r="H18452" t="s">
        <v>5117</v>
      </c>
    </row>
    <row r="18453">
      <c r="H18453" t="s">
        <v>5117</v>
      </c>
    </row>
    <row r="18454">
      <c r="H18454" t="s">
        <v>5117</v>
      </c>
    </row>
    <row r="18455">
      <c r="H18455" t="s">
        <v>5117</v>
      </c>
    </row>
    <row r="18456">
      <c r="H18456" t="s">
        <v>5117</v>
      </c>
    </row>
    <row r="18457">
      <c r="H18457" t="s">
        <v>5117</v>
      </c>
    </row>
    <row r="18458">
      <c r="H18458" t="s">
        <v>5117</v>
      </c>
    </row>
    <row r="18459">
      <c r="H18459" t="s">
        <v>5117</v>
      </c>
    </row>
    <row r="18460">
      <c r="H18460" t="s">
        <v>5117</v>
      </c>
    </row>
    <row r="18461">
      <c r="H18461" t="s">
        <v>5117</v>
      </c>
    </row>
    <row r="18462">
      <c r="H18462" t="s">
        <v>5117</v>
      </c>
    </row>
    <row r="18463">
      <c r="H18463" t="s">
        <v>5117</v>
      </c>
    </row>
    <row r="18464">
      <c r="H18464" t="s">
        <v>5117</v>
      </c>
    </row>
    <row r="18465">
      <c r="H18465" t="s">
        <v>5117</v>
      </c>
    </row>
    <row r="18466">
      <c r="H18466" t="s">
        <v>5117</v>
      </c>
    </row>
    <row r="18467">
      <c r="H18467" t="s">
        <v>5117</v>
      </c>
    </row>
    <row r="18468">
      <c r="H18468" t="s">
        <v>5117</v>
      </c>
    </row>
    <row r="18469">
      <c r="H18469" t="s">
        <v>5117</v>
      </c>
    </row>
    <row r="18470">
      <c r="H18470" t="s">
        <v>5117</v>
      </c>
    </row>
    <row r="18471">
      <c r="H18471" t="s">
        <v>5117</v>
      </c>
    </row>
    <row r="18472">
      <c r="H18472" t="s">
        <v>5117</v>
      </c>
    </row>
    <row r="18473">
      <c r="H18473" t="s">
        <v>5117</v>
      </c>
    </row>
    <row r="18474">
      <c r="H18474" t="s">
        <v>5117</v>
      </c>
    </row>
    <row r="18475">
      <c r="H18475" t="s">
        <v>5117</v>
      </c>
    </row>
    <row r="18476">
      <c r="H18476" t="s">
        <v>5117</v>
      </c>
    </row>
    <row r="18477">
      <c r="H18477" t="s">
        <v>5117</v>
      </c>
    </row>
    <row r="18478">
      <c r="H18478" t="s">
        <v>5117</v>
      </c>
    </row>
    <row r="18479">
      <c r="H18479" t="s">
        <v>5117</v>
      </c>
    </row>
    <row r="18480">
      <c r="H18480" t="s">
        <v>5117</v>
      </c>
    </row>
    <row r="18481">
      <c r="H18481" t="s">
        <v>5117</v>
      </c>
    </row>
    <row r="18482">
      <c r="H18482" t="s">
        <v>5117</v>
      </c>
    </row>
    <row r="18483">
      <c r="H18483" t="s">
        <v>5117</v>
      </c>
    </row>
    <row r="18484">
      <c r="H18484" t="s">
        <v>5117</v>
      </c>
    </row>
    <row r="18485">
      <c r="H18485" t="s">
        <v>5117</v>
      </c>
    </row>
    <row r="18486">
      <c r="H18486" t="s">
        <v>5117</v>
      </c>
    </row>
    <row r="18487">
      <c r="H18487" t="s">
        <v>5117</v>
      </c>
    </row>
    <row r="18488">
      <c r="H18488" t="s">
        <v>5117</v>
      </c>
    </row>
    <row r="18489">
      <c r="H18489" t="s">
        <v>5117</v>
      </c>
    </row>
    <row r="18490">
      <c r="H18490" t="s">
        <v>5117</v>
      </c>
    </row>
    <row r="18491">
      <c r="H18491" t="s">
        <v>5117</v>
      </c>
    </row>
    <row r="18492">
      <c r="H18492" t="s">
        <v>5117</v>
      </c>
    </row>
    <row r="18493">
      <c r="H18493" t="s">
        <v>5117</v>
      </c>
    </row>
    <row r="18494">
      <c r="H18494" t="s">
        <v>5117</v>
      </c>
    </row>
    <row r="18495">
      <c r="H18495" t="s">
        <v>5117</v>
      </c>
    </row>
    <row r="18496">
      <c r="H18496" t="s">
        <v>5117</v>
      </c>
    </row>
    <row r="18497">
      <c r="H18497" t="s">
        <v>5117</v>
      </c>
    </row>
    <row r="18498">
      <c r="H18498" t="s">
        <v>5117</v>
      </c>
    </row>
    <row r="18499">
      <c r="H18499" t="s">
        <v>5117</v>
      </c>
    </row>
    <row r="18500">
      <c r="H18500" t="s">
        <v>5117</v>
      </c>
    </row>
    <row r="18501">
      <c r="H18501" t="s">
        <v>5117</v>
      </c>
    </row>
    <row r="18502">
      <c r="H18502" t="s">
        <v>5117</v>
      </c>
    </row>
    <row r="18503">
      <c r="H18503" t="s">
        <v>5117</v>
      </c>
    </row>
    <row r="18504">
      <c r="H18504" t="s">
        <v>5117</v>
      </c>
    </row>
    <row r="18505">
      <c r="H18505" t="s">
        <v>5117</v>
      </c>
    </row>
    <row r="18506">
      <c r="H18506" t="s">
        <v>5117</v>
      </c>
    </row>
    <row r="18507">
      <c r="H18507" t="s">
        <v>5117</v>
      </c>
    </row>
    <row r="18508">
      <c r="H18508" t="s">
        <v>5117</v>
      </c>
    </row>
    <row r="18509">
      <c r="H18509" t="s">
        <v>5117</v>
      </c>
    </row>
    <row r="18510">
      <c r="H18510" t="s">
        <v>5117</v>
      </c>
    </row>
    <row r="18511">
      <c r="H18511" t="s">
        <v>5117</v>
      </c>
    </row>
    <row r="18512">
      <c r="H18512" t="s">
        <v>5117</v>
      </c>
    </row>
    <row r="18513">
      <c r="H18513" t="s">
        <v>5117</v>
      </c>
    </row>
    <row r="18514">
      <c r="H18514" t="s">
        <v>5117</v>
      </c>
    </row>
    <row r="18515">
      <c r="H18515" t="s">
        <v>5117</v>
      </c>
    </row>
    <row r="18516">
      <c r="H18516" t="s">
        <v>5117</v>
      </c>
    </row>
    <row r="18517">
      <c r="H18517" t="s">
        <v>5117</v>
      </c>
    </row>
    <row r="18518">
      <c r="H18518" t="s">
        <v>5117</v>
      </c>
    </row>
    <row r="18519">
      <c r="H18519" t="s">
        <v>5117</v>
      </c>
    </row>
    <row r="18520">
      <c r="H18520" t="s">
        <v>5117</v>
      </c>
    </row>
    <row r="18521">
      <c r="H18521" t="s">
        <v>5117</v>
      </c>
    </row>
    <row r="18522">
      <c r="H18522" t="s">
        <v>5117</v>
      </c>
    </row>
    <row r="18523">
      <c r="H18523" t="s">
        <v>5117</v>
      </c>
    </row>
    <row r="18524">
      <c r="H18524" t="s">
        <v>5117</v>
      </c>
    </row>
    <row r="18525">
      <c r="H18525" t="s">
        <v>5117</v>
      </c>
    </row>
    <row r="18526">
      <c r="H18526" t="s">
        <v>5117</v>
      </c>
    </row>
    <row r="18527">
      <c r="H18527" t="s">
        <v>5117</v>
      </c>
    </row>
    <row r="18528">
      <c r="H18528" t="s">
        <v>5117</v>
      </c>
    </row>
    <row r="18529">
      <c r="H18529" t="s">
        <v>5117</v>
      </c>
    </row>
    <row r="18530">
      <c r="H18530" t="s">
        <v>5117</v>
      </c>
    </row>
    <row r="18531">
      <c r="H18531" t="s">
        <v>5117</v>
      </c>
    </row>
    <row r="18532">
      <c r="H18532" t="s">
        <v>5117</v>
      </c>
    </row>
    <row r="18533">
      <c r="H18533" t="s">
        <v>5117</v>
      </c>
    </row>
    <row r="18534">
      <c r="H18534" t="s">
        <v>5117</v>
      </c>
    </row>
    <row r="18535">
      <c r="H18535" t="s">
        <v>5117</v>
      </c>
    </row>
    <row r="18536">
      <c r="H18536" t="s">
        <v>5117</v>
      </c>
    </row>
    <row r="18537">
      <c r="H18537" t="s">
        <v>5117</v>
      </c>
    </row>
    <row r="18538">
      <c r="H18538" t="s">
        <v>5117</v>
      </c>
    </row>
    <row r="18539">
      <c r="H18539" t="s">
        <v>5117</v>
      </c>
    </row>
    <row r="18540">
      <c r="H18540" t="s">
        <v>5117</v>
      </c>
    </row>
    <row r="18541">
      <c r="H18541" t="s">
        <v>5117</v>
      </c>
    </row>
    <row r="18542">
      <c r="H18542" t="s">
        <v>5117</v>
      </c>
    </row>
    <row r="18543">
      <c r="H18543" t="s">
        <v>5117</v>
      </c>
    </row>
    <row r="18544">
      <c r="H18544" t="s">
        <v>5117</v>
      </c>
    </row>
    <row r="18545">
      <c r="H18545" t="s">
        <v>5117</v>
      </c>
    </row>
    <row r="18546">
      <c r="H18546" t="s">
        <v>5117</v>
      </c>
    </row>
    <row r="18547">
      <c r="H18547" t="s">
        <v>5117</v>
      </c>
    </row>
    <row r="18548">
      <c r="H18548" t="s">
        <v>5117</v>
      </c>
    </row>
    <row r="18549">
      <c r="H18549" t="s">
        <v>5117</v>
      </c>
    </row>
    <row r="18550">
      <c r="H18550" t="s">
        <v>5117</v>
      </c>
    </row>
    <row r="18551">
      <c r="H18551" t="s">
        <v>5117</v>
      </c>
    </row>
    <row r="18552">
      <c r="H18552" t="s">
        <v>5117</v>
      </c>
    </row>
    <row r="18553">
      <c r="H18553" t="s">
        <v>5117</v>
      </c>
    </row>
    <row r="18554">
      <c r="H18554" t="s">
        <v>5117</v>
      </c>
    </row>
    <row r="18555">
      <c r="H18555" t="s">
        <v>5117</v>
      </c>
    </row>
    <row r="18556">
      <c r="H18556" t="s">
        <v>5117</v>
      </c>
    </row>
    <row r="18557">
      <c r="H18557" t="s">
        <v>5117</v>
      </c>
    </row>
    <row r="18558">
      <c r="H18558" t="s">
        <v>5117</v>
      </c>
    </row>
    <row r="18559">
      <c r="H18559" t="s">
        <v>5117</v>
      </c>
    </row>
    <row r="18560">
      <c r="H18560" t="s">
        <v>5117</v>
      </c>
    </row>
    <row r="18561">
      <c r="H18561" t="s">
        <v>5117</v>
      </c>
    </row>
    <row r="18562">
      <c r="H18562" t="s">
        <v>5117</v>
      </c>
    </row>
    <row r="18563">
      <c r="H18563" t="s">
        <v>5117</v>
      </c>
    </row>
    <row r="18564">
      <c r="H18564" t="s">
        <v>5117</v>
      </c>
    </row>
    <row r="18565">
      <c r="H18565" t="s">
        <v>5117</v>
      </c>
    </row>
    <row r="18566">
      <c r="H18566" t="s">
        <v>5117</v>
      </c>
    </row>
    <row r="18567">
      <c r="H18567" t="s">
        <v>5117</v>
      </c>
    </row>
    <row r="18568">
      <c r="H18568" t="s">
        <v>5117</v>
      </c>
    </row>
    <row r="18569">
      <c r="H18569" t="s">
        <v>5117</v>
      </c>
    </row>
    <row r="18570">
      <c r="H18570" t="s">
        <v>5117</v>
      </c>
    </row>
    <row r="18571">
      <c r="H18571" t="s">
        <v>5117</v>
      </c>
    </row>
    <row r="18572">
      <c r="H18572" t="s">
        <v>5117</v>
      </c>
    </row>
    <row r="18573">
      <c r="H18573" t="s">
        <v>5117</v>
      </c>
    </row>
    <row r="18574">
      <c r="H18574" t="s">
        <v>5117</v>
      </c>
    </row>
    <row r="18575">
      <c r="H18575" t="s">
        <v>5117</v>
      </c>
    </row>
    <row r="18576">
      <c r="H18576" t="s">
        <v>5117</v>
      </c>
    </row>
    <row r="18577">
      <c r="H18577" t="s">
        <v>5117</v>
      </c>
    </row>
    <row r="18578">
      <c r="H18578" t="s">
        <v>5117</v>
      </c>
    </row>
    <row r="18579">
      <c r="H18579" t="s">
        <v>5117</v>
      </c>
    </row>
    <row r="18580">
      <c r="H18580" t="s">
        <v>5117</v>
      </c>
    </row>
    <row r="18581">
      <c r="H18581" t="s">
        <v>5117</v>
      </c>
    </row>
    <row r="18582">
      <c r="H18582" t="s">
        <v>5117</v>
      </c>
    </row>
    <row r="18583">
      <c r="H18583" t="s">
        <v>5117</v>
      </c>
    </row>
    <row r="18584">
      <c r="H18584" t="s">
        <v>5117</v>
      </c>
    </row>
    <row r="18585">
      <c r="H18585" t="s">
        <v>5117</v>
      </c>
    </row>
    <row r="18586">
      <c r="H18586" t="s">
        <v>5117</v>
      </c>
    </row>
    <row r="18587">
      <c r="H18587" t="s">
        <v>5117</v>
      </c>
    </row>
    <row r="18588">
      <c r="H18588" t="s">
        <v>5117</v>
      </c>
    </row>
    <row r="18589">
      <c r="H18589" t="s">
        <v>5117</v>
      </c>
    </row>
    <row r="18590">
      <c r="H18590" t="s">
        <v>5117</v>
      </c>
    </row>
    <row r="18591">
      <c r="H18591" t="s">
        <v>5117</v>
      </c>
    </row>
    <row r="18592">
      <c r="H18592" t="s">
        <v>5117</v>
      </c>
    </row>
    <row r="18593">
      <c r="H18593" t="s">
        <v>5117</v>
      </c>
    </row>
    <row r="18594">
      <c r="H18594" t="s">
        <v>5117</v>
      </c>
    </row>
    <row r="18595">
      <c r="H18595" t="s">
        <v>5117</v>
      </c>
    </row>
    <row r="18596">
      <c r="H18596" t="s">
        <v>5117</v>
      </c>
    </row>
    <row r="18597">
      <c r="H18597" t="s">
        <v>5117</v>
      </c>
    </row>
    <row r="18598">
      <c r="H18598" t="s">
        <v>5117</v>
      </c>
    </row>
    <row r="18599">
      <c r="H18599" t="s">
        <v>5117</v>
      </c>
    </row>
    <row r="18600">
      <c r="H18600" t="s">
        <v>5117</v>
      </c>
    </row>
    <row r="18601">
      <c r="H18601" t="s">
        <v>5117</v>
      </c>
    </row>
    <row r="18602">
      <c r="H18602" t="s">
        <v>5117</v>
      </c>
    </row>
    <row r="18603">
      <c r="H18603" t="s">
        <v>5117</v>
      </c>
    </row>
    <row r="18604">
      <c r="H18604" t="s">
        <v>5117</v>
      </c>
    </row>
    <row r="18605">
      <c r="H18605" t="s">
        <v>5117</v>
      </c>
    </row>
    <row r="18606">
      <c r="H18606" t="s">
        <v>5117</v>
      </c>
    </row>
    <row r="18607">
      <c r="H18607" t="s">
        <v>5117</v>
      </c>
    </row>
    <row r="18608">
      <c r="H18608" t="s">
        <v>5117</v>
      </c>
    </row>
    <row r="18609">
      <c r="H18609" t="s">
        <v>5117</v>
      </c>
    </row>
    <row r="18610">
      <c r="H18610" t="s">
        <v>5117</v>
      </c>
    </row>
    <row r="18611">
      <c r="H18611" t="s">
        <v>5117</v>
      </c>
    </row>
    <row r="18612">
      <c r="H18612" t="s">
        <v>5117</v>
      </c>
    </row>
    <row r="18613">
      <c r="H18613" t="s">
        <v>5117</v>
      </c>
    </row>
    <row r="18614">
      <c r="H18614" t="s">
        <v>5117</v>
      </c>
    </row>
    <row r="18615">
      <c r="H18615" t="s">
        <v>5117</v>
      </c>
    </row>
    <row r="18616">
      <c r="H18616" t="s">
        <v>5117</v>
      </c>
    </row>
    <row r="18617">
      <c r="H18617" t="s">
        <v>5117</v>
      </c>
    </row>
    <row r="18618">
      <c r="H18618" t="s">
        <v>5117</v>
      </c>
    </row>
    <row r="18619">
      <c r="H18619" t="s">
        <v>5117</v>
      </c>
    </row>
    <row r="18620">
      <c r="H18620" t="s">
        <v>5117</v>
      </c>
    </row>
    <row r="18621">
      <c r="H18621" t="s">
        <v>5117</v>
      </c>
    </row>
    <row r="18622">
      <c r="H18622" t="s">
        <v>5117</v>
      </c>
    </row>
    <row r="18623">
      <c r="H18623" t="s">
        <v>5117</v>
      </c>
    </row>
    <row r="18624">
      <c r="H18624" t="s">
        <v>5117</v>
      </c>
    </row>
    <row r="18625">
      <c r="H18625" t="s">
        <v>5117</v>
      </c>
    </row>
    <row r="18626">
      <c r="H18626" t="s">
        <v>5117</v>
      </c>
    </row>
    <row r="18627">
      <c r="H18627" t="s">
        <v>5117</v>
      </c>
    </row>
    <row r="18628">
      <c r="H18628" t="s">
        <v>5117</v>
      </c>
    </row>
    <row r="18629">
      <c r="H18629" t="s">
        <v>5117</v>
      </c>
    </row>
    <row r="18630">
      <c r="H18630" t="s">
        <v>5117</v>
      </c>
    </row>
    <row r="18631">
      <c r="H18631" t="s">
        <v>5117</v>
      </c>
    </row>
    <row r="18632">
      <c r="H18632" t="s">
        <v>5117</v>
      </c>
    </row>
    <row r="18633">
      <c r="H18633" t="s">
        <v>5117</v>
      </c>
    </row>
    <row r="18634">
      <c r="H18634" t="s">
        <v>5117</v>
      </c>
    </row>
    <row r="18635">
      <c r="H18635" t="s">
        <v>5117</v>
      </c>
    </row>
    <row r="18636">
      <c r="H18636" t="s">
        <v>5117</v>
      </c>
    </row>
    <row r="18637">
      <c r="H18637" t="s">
        <v>5117</v>
      </c>
    </row>
    <row r="18638">
      <c r="H18638" t="s">
        <v>5117</v>
      </c>
    </row>
    <row r="18639">
      <c r="H18639" t="s">
        <v>5117</v>
      </c>
    </row>
    <row r="18640">
      <c r="H18640" t="s">
        <v>5117</v>
      </c>
    </row>
    <row r="18641">
      <c r="H18641" t="s">
        <v>5117</v>
      </c>
    </row>
    <row r="18642">
      <c r="H18642" t="s">
        <v>5117</v>
      </c>
    </row>
    <row r="18643">
      <c r="H18643" t="s">
        <v>5117</v>
      </c>
    </row>
    <row r="18644">
      <c r="H18644" t="s">
        <v>5117</v>
      </c>
    </row>
    <row r="18645">
      <c r="H18645" t="s">
        <v>5117</v>
      </c>
    </row>
    <row r="18646">
      <c r="H18646" t="s">
        <v>5117</v>
      </c>
    </row>
    <row r="18647">
      <c r="H18647" t="s">
        <v>5117</v>
      </c>
    </row>
    <row r="18648">
      <c r="H18648" t="s">
        <v>5117</v>
      </c>
    </row>
    <row r="18649">
      <c r="H18649" t="s">
        <v>5117</v>
      </c>
    </row>
    <row r="18650">
      <c r="H18650" t="s">
        <v>5117</v>
      </c>
    </row>
    <row r="18651">
      <c r="H18651" t="s">
        <v>5117</v>
      </c>
    </row>
    <row r="18652">
      <c r="H18652" t="s">
        <v>5117</v>
      </c>
    </row>
    <row r="18653">
      <c r="H18653" t="s">
        <v>5117</v>
      </c>
    </row>
    <row r="18654">
      <c r="H18654" t="s">
        <v>5117</v>
      </c>
    </row>
    <row r="18655">
      <c r="H18655" t="s">
        <v>5117</v>
      </c>
    </row>
    <row r="18656">
      <c r="H18656" t="s">
        <v>5117</v>
      </c>
    </row>
    <row r="18657">
      <c r="H18657" t="s">
        <v>5117</v>
      </c>
    </row>
    <row r="18658">
      <c r="H18658" t="s">
        <v>5117</v>
      </c>
    </row>
    <row r="18659">
      <c r="H18659" t="s">
        <v>5117</v>
      </c>
    </row>
    <row r="18660">
      <c r="H18660" t="s">
        <v>5117</v>
      </c>
    </row>
    <row r="18661">
      <c r="H18661" t="s">
        <v>5117</v>
      </c>
    </row>
    <row r="18662">
      <c r="H18662" t="s">
        <v>5117</v>
      </c>
    </row>
    <row r="18663">
      <c r="H18663" t="s">
        <v>5117</v>
      </c>
    </row>
    <row r="18664">
      <c r="H18664" t="s">
        <v>5117</v>
      </c>
    </row>
    <row r="18665">
      <c r="H18665" t="s">
        <v>5117</v>
      </c>
    </row>
    <row r="18666">
      <c r="H18666" t="s">
        <v>5117</v>
      </c>
    </row>
    <row r="18667">
      <c r="H18667" t="s">
        <v>5117</v>
      </c>
    </row>
    <row r="18668">
      <c r="H18668" t="s">
        <v>5117</v>
      </c>
    </row>
    <row r="18669">
      <c r="H18669" t="s">
        <v>5117</v>
      </c>
    </row>
    <row r="18670">
      <c r="H18670" t="s">
        <v>5117</v>
      </c>
    </row>
    <row r="18671">
      <c r="H18671" t="s">
        <v>5117</v>
      </c>
    </row>
    <row r="18672">
      <c r="H18672" t="s">
        <v>5117</v>
      </c>
    </row>
    <row r="18673">
      <c r="H18673" t="s">
        <v>5117</v>
      </c>
    </row>
    <row r="18674">
      <c r="H18674" t="s">
        <v>5117</v>
      </c>
    </row>
    <row r="18675">
      <c r="H18675" t="s">
        <v>5117</v>
      </c>
    </row>
    <row r="18676">
      <c r="H18676" t="s">
        <v>5117</v>
      </c>
    </row>
    <row r="18677">
      <c r="H18677" t="s">
        <v>5117</v>
      </c>
    </row>
    <row r="18678">
      <c r="H18678" t="s">
        <v>5117</v>
      </c>
    </row>
    <row r="18679">
      <c r="H18679" t="s">
        <v>5117</v>
      </c>
    </row>
    <row r="18680">
      <c r="H18680" t="s">
        <v>5117</v>
      </c>
    </row>
    <row r="18681">
      <c r="H18681" t="s">
        <v>5117</v>
      </c>
    </row>
    <row r="18682">
      <c r="H18682" t="s">
        <v>5117</v>
      </c>
    </row>
    <row r="18683">
      <c r="H18683" t="s">
        <v>5117</v>
      </c>
    </row>
    <row r="18684">
      <c r="H18684" t="s">
        <v>5117</v>
      </c>
    </row>
    <row r="18685">
      <c r="H18685" t="s">
        <v>5117</v>
      </c>
    </row>
    <row r="18686">
      <c r="H18686" t="s">
        <v>5117</v>
      </c>
    </row>
    <row r="18687">
      <c r="H18687" t="s">
        <v>5117</v>
      </c>
    </row>
    <row r="18688">
      <c r="H18688" t="s">
        <v>5117</v>
      </c>
    </row>
    <row r="18689">
      <c r="H18689" t="s">
        <v>5117</v>
      </c>
    </row>
    <row r="18690">
      <c r="H18690" t="s">
        <v>5117</v>
      </c>
    </row>
    <row r="18691">
      <c r="H18691" t="s">
        <v>5117</v>
      </c>
    </row>
    <row r="18692">
      <c r="H18692" t="s">
        <v>5117</v>
      </c>
    </row>
    <row r="18693">
      <c r="H18693" t="s">
        <v>5117</v>
      </c>
    </row>
    <row r="18694">
      <c r="H18694" t="s">
        <v>5117</v>
      </c>
    </row>
    <row r="18695">
      <c r="H18695" t="s">
        <v>5117</v>
      </c>
    </row>
    <row r="18696">
      <c r="H18696" t="s">
        <v>5117</v>
      </c>
    </row>
    <row r="18697">
      <c r="H18697" t="s">
        <v>5117</v>
      </c>
    </row>
    <row r="18698">
      <c r="H18698" t="s">
        <v>5117</v>
      </c>
    </row>
    <row r="18699">
      <c r="H18699" t="s">
        <v>5117</v>
      </c>
    </row>
    <row r="18700">
      <c r="H18700" t="s">
        <v>5117</v>
      </c>
    </row>
    <row r="18701">
      <c r="H18701" t="s">
        <v>5117</v>
      </c>
    </row>
    <row r="18702">
      <c r="H18702" t="s">
        <v>5117</v>
      </c>
    </row>
    <row r="18703">
      <c r="H18703" t="s">
        <v>5117</v>
      </c>
    </row>
    <row r="18704">
      <c r="H18704" t="s">
        <v>5117</v>
      </c>
    </row>
    <row r="18705">
      <c r="H18705" t="s">
        <v>5117</v>
      </c>
    </row>
    <row r="18706">
      <c r="H18706" t="s">
        <v>5117</v>
      </c>
    </row>
    <row r="18707">
      <c r="H18707" t="s">
        <v>5117</v>
      </c>
    </row>
    <row r="18708">
      <c r="H18708" t="s">
        <v>5117</v>
      </c>
    </row>
    <row r="18709">
      <c r="H18709" t="s">
        <v>5117</v>
      </c>
    </row>
    <row r="18710">
      <c r="H18710" t="s">
        <v>5117</v>
      </c>
    </row>
    <row r="18711">
      <c r="H18711" t="s">
        <v>5117</v>
      </c>
    </row>
    <row r="18712">
      <c r="H18712" t="s">
        <v>5117</v>
      </c>
    </row>
    <row r="18713">
      <c r="H18713" t="s">
        <v>5117</v>
      </c>
    </row>
    <row r="18714">
      <c r="H18714" t="s">
        <v>5117</v>
      </c>
    </row>
    <row r="18715">
      <c r="H18715" t="s">
        <v>5117</v>
      </c>
    </row>
    <row r="18716">
      <c r="H18716" t="s">
        <v>5117</v>
      </c>
    </row>
    <row r="18717">
      <c r="H18717" t="s">
        <v>5117</v>
      </c>
    </row>
    <row r="18718">
      <c r="H18718" t="s">
        <v>5117</v>
      </c>
    </row>
    <row r="18719">
      <c r="H18719" t="s">
        <v>5117</v>
      </c>
    </row>
    <row r="18720">
      <c r="H18720" t="s">
        <v>5117</v>
      </c>
    </row>
    <row r="18721">
      <c r="H18721" t="s">
        <v>5117</v>
      </c>
    </row>
    <row r="18722">
      <c r="H18722" t="s">
        <v>5117</v>
      </c>
    </row>
    <row r="18723">
      <c r="H18723" t="s">
        <v>5117</v>
      </c>
    </row>
    <row r="18724">
      <c r="H18724" t="s">
        <v>5117</v>
      </c>
    </row>
    <row r="18725">
      <c r="H18725" t="s">
        <v>5117</v>
      </c>
    </row>
    <row r="18726">
      <c r="H18726" t="s">
        <v>5117</v>
      </c>
    </row>
    <row r="18727">
      <c r="H18727" t="s">
        <v>5117</v>
      </c>
    </row>
    <row r="18728">
      <c r="H18728" t="s">
        <v>5117</v>
      </c>
    </row>
    <row r="18729">
      <c r="H18729" t="s">
        <v>5117</v>
      </c>
    </row>
    <row r="18730">
      <c r="H18730" t="s">
        <v>5117</v>
      </c>
    </row>
    <row r="18731">
      <c r="H18731" t="s">
        <v>5117</v>
      </c>
    </row>
    <row r="18732">
      <c r="H18732" t="s">
        <v>5117</v>
      </c>
    </row>
    <row r="18733">
      <c r="H18733" t="s">
        <v>5117</v>
      </c>
    </row>
    <row r="18734">
      <c r="H18734" t="s">
        <v>5117</v>
      </c>
    </row>
    <row r="18735">
      <c r="H18735" t="s">
        <v>5117</v>
      </c>
    </row>
    <row r="18736">
      <c r="H18736" t="s">
        <v>5117</v>
      </c>
    </row>
    <row r="18737">
      <c r="H18737" t="s">
        <v>5117</v>
      </c>
    </row>
    <row r="18738">
      <c r="H18738" t="s">
        <v>5117</v>
      </c>
    </row>
    <row r="18739">
      <c r="H18739" t="s">
        <v>5117</v>
      </c>
    </row>
    <row r="18740">
      <c r="H18740" t="s">
        <v>5117</v>
      </c>
    </row>
    <row r="18741">
      <c r="H18741" t="s">
        <v>5117</v>
      </c>
    </row>
    <row r="18742">
      <c r="H18742" t="s">
        <v>5117</v>
      </c>
    </row>
    <row r="18743">
      <c r="H18743" t="s">
        <v>5117</v>
      </c>
    </row>
    <row r="18744">
      <c r="H18744" t="s">
        <v>5117</v>
      </c>
    </row>
    <row r="18745">
      <c r="H18745" t="s">
        <v>5117</v>
      </c>
    </row>
    <row r="18746">
      <c r="H18746" t="s">
        <v>5117</v>
      </c>
    </row>
    <row r="18747">
      <c r="H18747" t="s">
        <v>5117</v>
      </c>
    </row>
    <row r="18748">
      <c r="H18748" t="s">
        <v>5117</v>
      </c>
    </row>
    <row r="18749">
      <c r="H18749" t="s">
        <v>5117</v>
      </c>
    </row>
    <row r="18750">
      <c r="H18750" t="s">
        <v>5117</v>
      </c>
    </row>
    <row r="18751">
      <c r="H18751" t="s">
        <v>5117</v>
      </c>
    </row>
    <row r="18752">
      <c r="H18752" t="s">
        <v>5117</v>
      </c>
    </row>
    <row r="18753">
      <c r="H18753" t="s">
        <v>5117</v>
      </c>
    </row>
    <row r="18754">
      <c r="H18754" t="s">
        <v>5117</v>
      </c>
    </row>
    <row r="18755">
      <c r="H18755" t="s">
        <v>5117</v>
      </c>
    </row>
    <row r="18756">
      <c r="H18756" t="s">
        <v>5117</v>
      </c>
    </row>
    <row r="18757">
      <c r="H18757" t="s">
        <v>5117</v>
      </c>
    </row>
    <row r="18758">
      <c r="H18758" t="s">
        <v>5117</v>
      </c>
    </row>
    <row r="18759">
      <c r="H18759" t="s">
        <v>5117</v>
      </c>
    </row>
    <row r="18760">
      <c r="H18760" t="s">
        <v>5117</v>
      </c>
    </row>
    <row r="18761">
      <c r="H18761" t="s">
        <v>5117</v>
      </c>
    </row>
    <row r="18762">
      <c r="H18762" t="s">
        <v>5117</v>
      </c>
    </row>
    <row r="18763">
      <c r="H18763" t="s">
        <v>5117</v>
      </c>
    </row>
    <row r="18764">
      <c r="H18764" t="s">
        <v>5117</v>
      </c>
    </row>
    <row r="18765">
      <c r="H18765" t="s">
        <v>5117</v>
      </c>
    </row>
    <row r="18766">
      <c r="H18766" t="s">
        <v>5117</v>
      </c>
    </row>
    <row r="18767">
      <c r="H18767" t="s">
        <v>5117</v>
      </c>
    </row>
    <row r="18768">
      <c r="H18768" t="s">
        <v>5117</v>
      </c>
    </row>
    <row r="18769">
      <c r="H18769" t="s">
        <v>5117</v>
      </c>
    </row>
    <row r="18770">
      <c r="H18770" t="s">
        <v>5117</v>
      </c>
    </row>
    <row r="18771">
      <c r="H18771" t="s">
        <v>5117</v>
      </c>
    </row>
    <row r="18772">
      <c r="H18772" t="s">
        <v>5117</v>
      </c>
    </row>
    <row r="18773">
      <c r="H18773" t="s">
        <v>5117</v>
      </c>
    </row>
    <row r="18774">
      <c r="H18774" t="s">
        <v>5117</v>
      </c>
    </row>
    <row r="18775">
      <c r="H18775" t="s">
        <v>5117</v>
      </c>
    </row>
    <row r="18776">
      <c r="H18776" t="s">
        <v>5117</v>
      </c>
    </row>
    <row r="18777">
      <c r="H18777" t="s">
        <v>5117</v>
      </c>
    </row>
    <row r="18778">
      <c r="H18778" t="s">
        <v>5117</v>
      </c>
    </row>
    <row r="18779">
      <c r="H18779" t="s">
        <v>5117</v>
      </c>
    </row>
    <row r="18780">
      <c r="H18780" t="s">
        <v>5117</v>
      </c>
    </row>
    <row r="18781">
      <c r="H18781" t="s">
        <v>5117</v>
      </c>
    </row>
    <row r="18782">
      <c r="H18782" t="s">
        <v>5117</v>
      </c>
    </row>
    <row r="18783">
      <c r="H18783" t="s">
        <v>5117</v>
      </c>
    </row>
    <row r="18784">
      <c r="H18784" t="s">
        <v>5117</v>
      </c>
    </row>
    <row r="18785">
      <c r="H18785" t="s">
        <v>5117</v>
      </c>
    </row>
    <row r="18786">
      <c r="H18786" t="s">
        <v>5117</v>
      </c>
    </row>
    <row r="18787">
      <c r="H18787" t="s">
        <v>5117</v>
      </c>
    </row>
    <row r="18788">
      <c r="H18788" t="s">
        <v>5117</v>
      </c>
    </row>
    <row r="18789">
      <c r="H18789" t="s">
        <v>5117</v>
      </c>
    </row>
    <row r="18790">
      <c r="H18790" t="s">
        <v>5117</v>
      </c>
    </row>
    <row r="18791">
      <c r="H18791" t="s">
        <v>5117</v>
      </c>
    </row>
    <row r="18792">
      <c r="H18792" t="s">
        <v>5117</v>
      </c>
    </row>
    <row r="18793">
      <c r="H18793" t="s">
        <v>5117</v>
      </c>
    </row>
    <row r="18794">
      <c r="H18794" t="s">
        <v>5117</v>
      </c>
    </row>
    <row r="18795">
      <c r="H18795" t="s">
        <v>5117</v>
      </c>
    </row>
    <row r="18796">
      <c r="H18796" t="s">
        <v>5117</v>
      </c>
    </row>
    <row r="18797">
      <c r="H18797" t="s">
        <v>5117</v>
      </c>
    </row>
    <row r="18798">
      <c r="H18798" t="s">
        <v>5117</v>
      </c>
    </row>
    <row r="18799">
      <c r="H18799" t="s">
        <v>5117</v>
      </c>
    </row>
    <row r="18800">
      <c r="H18800" t="s">
        <v>5117</v>
      </c>
    </row>
    <row r="18801">
      <c r="H18801" t="s">
        <v>5117</v>
      </c>
    </row>
    <row r="18802">
      <c r="H18802" t="s">
        <v>5117</v>
      </c>
    </row>
    <row r="18803">
      <c r="H18803" t="s">
        <v>5117</v>
      </c>
    </row>
    <row r="18804">
      <c r="H18804" t="s">
        <v>5117</v>
      </c>
    </row>
    <row r="18805">
      <c r="H18805" t="s">
        <v>5117</v>
      </c>
    </row>
    <row r="18806">
      <c r="H18806" t="s">
        <v>5117</v>
      </c>
    </row>
    <row r="18807">
      <c r="H18807" t="s">
        <v>5117</v>
      </c>
    </row>
    <row r="18808">
      <c r="H18808" t="s">
        <v>5117</v>
      </c>
    </row>
    <row r="18809">
      <c r="H18809" t="s">
        <v>5117</v>
      </c>
    </row>
    <row r="18810">
      <c r="H18810" t="s">
        <v>5117</v>
      </c>
    </row>
    <row r="18811">
      <c r="H18811" t="s">
        <v>5117</v>
      </c>
    </row>
    <row r="18812">
      <c r="H18812" t="s">
        <v>5117</v>
      </c>
    </row>
    <row r="18813">
      <c r="H18813" t="s">
        <v>5117</v>
      </c>
    </row>
    <row r="18814">
      <c r="H18814" t="s">
        <v>5117</v>
      </c>
    </row>
    <row r="18815">
      <c r="H18815" t="s">
        <v>5117</v>
      </c>
    </row>
    <row r="18816">
      <c r="H18816" t="s">
        <v>5117</v>
      </c>
    </row>
    <row r="18817">
      <c r="H18817" t="s">
        <v>5117</v>
      </c>
    </row>
    <row r="18818">
      <c r="H18818" t="s">
        <v>5117</v>
      </c>
    </row>
    <row r="18819">
      <c r="H18819" t="s">
        <v>5117</v>
      </c>
    </row>
    <row r="18820">
      <c r="H18820" t="s">
        <v>5117</v>
      </c>
    </row>
    <row r="18821">
      <c r="H18821" t="s">
        <v>5117</v>
      </c>
    </row>
    <row r="18822">
      <c r="H18822" t="s">
        <v>5117</v>
      </c>
    </row>
    <row r="18823">
      <c r="H18823" t="s">
        <v>5117</v>
      </c>
    </row>
    <row r="18824">
      <c r="H18824" t="s">
        <v>5117</v>
      </c>
    </row>
    <row r="18825">
      <c r="H18825" t="s">
        <v>5117</v>
      </c>
    </row>
    <row r="18826">
      <c r="H18826" t="s">
        <v>5117</v>
      </c>
    </row>
    <row r="18827">
      <c r="H18827" t="s">
        <v>5117</v>
      </c>
    </row>
    <row r="18828">
      <c r="H18828" t="s">
        <v>5117</v>
      </c>
    </row>
    <row r="18829">
      <c r="H18829" t="s">
        <v>5117</v>
      </c>
    </row>
    <row r="18830">
      <c r="H18830" t="s">
        <v>5117</v>
      </c>
    </row>
    <row r="18831">
      <c r="H18831" t="s">
        <v>5117</v>
      </c>
    </row>
    <row r="18832">
      <c r="H18832" t="s">
        <v>5117</v>
      </c>
    </row>
    <row r="18833">
      <c r="H18833" t="s">
        <v>5117</v>
      </c>
    </row>
    <row r="18834">
      <c r="H18834" t="s">
        <v>5117</v>
      </c>
    </row>
    <row r="18835">
      <c r="H18835" t="s">
        <v>5117</v>
      </c>
    </row>
    <row r="18836">
      <c r="H18836" t="s">
        <v>5117</v>
      </c>
    </row>
    <row r="18837">
      <c r="H18837" t="s">
        <v>5117</v>
      </c>
    </row>
    <row r="18838">
      <c r="H18838" t="s">
        <v>5117</v>
      </c>
    </row>
    <row r="18839">
      <c r="H18839" t="s">
        <v>5117</v>
      </c>
    </row>
    <row r="18840">
      <c r="H18840" t="s">
        <v>5117</v>
      </c>
    </row>
    <row r="18841">
      <c r="H18841" t="s">
        <v>5117</v>
      </c>
    </row>
    <row r="18842">
      <c r="H18842" t="s">
        <v>5117</v>
      </c>
    </row>
    <row r="18843">
      <c r="H18843" t="s">
        <v>5117</v>
      </c>
    </row>
    <row r="18844">
      <c r="H18844" t="s">
        <v>5117</v>
      </c>
    </row>
    <row r="18845">
      <c r="H18845" t="s">
        <v>5117</v>
      </c>
    </row>
    <row r="18846">
      <c r="H18846" t="s">
        <v>5117</v>
      </c>
    </row>
    <row r="18847">
      <c r="H18847" t="s">
        <v>5117</v>
      </c>
    </row>
    <row r="18848">
      <c r="H18848" t="s">
        <v>5117</v>
      </c>
    </row>
    <row r="18849">
      <c r="H18849" t="s">
        <v>5117</v>
      </c>
    </row>
    <row r="18850">
      <c r="H18850" t="s">
        <v>5117</v>
      </c>
    </row>
    <row r="18851">
      <c r="H18851" t="s">
        <v>5117</v>
      </c>
    </row>
    <row r="18852">
      <c r="H18852" t="s">
        <v>5117</v>
      </c>
    </row>
    <row r="18853">
      <c r="H18853" t="s">
        <v>5117</v>
      </c>
    </row>
    <row r="18854">
      <c r="H18854" t="s">
        <v>5117</v>
      </c>
    </row>
    <row r="18855">
      <c r="H18855" t="s">
        <v>5117</v>
      </c>
    </row>
    <row r="18856">
      <c r="H18856" t="s">
        <v>5117</v>
      </c>
    </row>
    <row r="18857">
      <c r="H18857" t="s">
        <v>5117</v>
      </c>
    </row>
    <row r="18858">
      <c r="H18858" t="s">
        <v>5117</v>
      </c>
    </row>
    <row r="18859">
      <c r="H18859" t="s">
        <v>5117</v>
      </c>
    </row>
    <row r="18860">
      <c r="H18860" t="s">
        <v>5117</v>
      </c>
    </row>
    <row r="18861">
      <c r="H18861" t="s">
        <v>5117</v>
      </c>
    </row>
    <row r="18862">
      <c r="H18862" t="s">
        <v>5117</v>
      </c>
    </row>
    <row r="18863">
      <c r="H18863" t="s">
        <v>5117</v>
      </c>
    </row>
    <row r="18864">
      <c r="H18864" t="s">
        <v>5117</v>
      </c>
    </row>
    <row r="18865">
      <c r="H18865" t="s">
        <v>5117</v>
      </c>
    </row>
    <row r="18866">
      <c r="H18866" t="s">
        <v>5117</v>
      </c>
    </row>
    <row r="18867">
      <c r="H18867" t="s">
        <v>5117</v>
      </c>
    </row>
    <row r="18868">
      <c r="H18868" t="s">
        <v>5117</v>
      </c>
    </row>
    <row r="18869">
      <c r="H18869" t="s">
        <v>5117</v>
      </c>
    </row>
    <row r="18870">
      <c r="H18870" t="s">
        <v>5117</v>
      </c>
    </row>
    <row r="18871">
      <c r="H18871" t="s">
        <v>5117</v>
      </c>
    </row>
    <row r="18872">
      <c r="H18872" t="s">
        <v>5117</v>
      </c>
    </row>
    <row r="18873">
      <c r="H18873" t="s">
        <v>5117</v>
      </c>
    </row>
    <row r="18874">
      <c r="H18874" t="s">
        <v>5117</v>
      </c>
    </row>
    <row r="18875">
      <c r="H18875" t="s">
        <v>5117</v>
      </c>
    </row>
    <row r="18876">
      <c r="H18876" t="s">
        <v>5117</v>
      </c>
    </row>
    <row r="18877">
      <c r="H18877" t="s">
        <v>5117</v>
      </c>
    </row>
    <row r="18878">
      <c r="H18878" t="s">
        <v>5117</v>
      </c>
    </row>
    <row r="18879">
      <c r="H18879" t="s">
        <v>5117</v>
      </c>
    </row>
    <row r="18880">
      <c r="H18880" t="s">
        <v>5117</v>
      </c>
    </row>
    <row r="18881">
      <c r="H18881" t="s">
        <v>5117</v>
      </c>
    </row>
    <row r="18882">
      <c r="H18882" t="s">
        <v>5117</v>
      </c>
    </row>
    <row r="18883">
      <c r="H18883" t="s">
        <v>5117</v>
      </c>
    </row>
    <row r="18884">
      <c r="H18884" t="s">
        <v>5117</v>
      </c>
    </row>
    <row r="18885">
      <c r="H18885" t="s">
        <v>5117</v>
      </c>
    </row>
    <row r="18886">
      <c r="H18886" t="s">
        <v>5117</v>
      </c>
    </row>
    <row r="18887">
      <c r="H18887" t="s">
        <v>5117</v>
      </c>
    </row>
    <row r="18888">
      <c r="H18888" t="s">
        <v>5117</v>
      </c>
    </row>
    <row r="18889">
      <c r="H18889" t="s">
        <v>5117</v>
      </c>
    </row>
    <row r="18890">
      <c r="H18890" t="s">
        <v>5117</v>
      </c>
    </row>
    <row r="18891">
      <c r="H18891" t="s">
        <v>5117</v>
      </c>
    </row>
    <row r="18892">
      <c r="H18892" t="s">
        <v>5117</v>
      </c>
    </row>
    <row r="18893">
      <c r="H18893" t="s">
        <v>5117</v>
      </c>
    </row>
    <row r="18894">
      <c r="H18894" t="s">
        <v>5117</v>
      </c>
    </row>
    <row r="18895">
      <c r="H18895" t="s">
        <v>5117</v>
      </c>
    </row>
    <row r="18896">
      <c r="H18896" t="s">
        <v>5117</v>
      </c>
    </row>
    <row r="18897">
      <c r="H18897" t="s">
        <v>5117</v>
      </c>
    </row>
    <row r="18898">
      <c r="H18898" t="s">
        <v>5117</v>
      </c>
    </row>
    <row r="18899">
      <c r="H18899" t="s">
        <v>5117</v>
      </c>
    </row>
    <row r="18900">
      <c r="H18900" t="s">
        <v>5117</v>
      </c>
    </row>
    <row r="18901">
      <c r="H18901" t="s">
        <v>5117</v>
      </c>
    </row>
    <row r="18902">
      <c r="H18902" t="s">
        <v>5117</v>
      </c>
    </row>
    <row r="18903">
      <c r="H18903" t="s">
        <v>5117</v>
      </c>
    </row>
    <row r="18904">
      <c r="H18904" t="s">
        <v>5117</v>
      </c>
    </row>
    <row r="18905">
      <c r="H18905" t="s">
        <v>5117</v>
      </c>
    </row>
    <row r="18906">
      <c r="H18906" t="s">
        <v>5117</v>
      </c>
    </row>
    <row r="18907">
      <c r="H18907" t="s">
        <v>5117</v>
      </c>
    </row>
    <row r="18908">
      <c r="H18908" t="s">
        <v>5117</v>
      </c>
    </row>
    <row r="18909">
      <c r="H18909" t="s">
        <v>5117</v>
      </c>
    </row>
    <row r="18910">
      <c r="H18910" t="s">
        <v>5117</v>
      </c>
    </row>
    <row r="18911">
      <c r="H18911" t="s">
        <v>5117</v>
      </c>
    </row>
    <row r="18912">
      <c r="H18912" t="s">
        <v>5117</v>
      </c>
    </row>
    <row r="18913">
      <c r="H18913" t="s">
        <v>5117</v>
      </c>
    </row>
    <row r="18914">
      <c r="H18914" t="s">
        <v>5117</v>
      </c>
    </row>
    <row r="18915">
      <c r="H18915" t="s">
        <v>5117</v>
      </c>
    </row>
    <row r="18916">
      <c r="H18916" t="s">
        <v>5117</v>
      </c>
    </row>
    <row r="18917">
      <c r="H18917" t="s">
        <v>5117</v>
      </c>
    </row>
    <row r="18918">
      <c r="H18918" t="s">
        <v>5117</v>
      </c>
    </row>
    <row r="18919">
      <c r="H18919" t="s">
        <v>5117</v>
      </c>
    </row>
    <row r="18920">
      <c r="H18920" t="s">
        <v>5117</v>
      </c>
    </row>
    <row r="18921">
      <c r="H18921" t="s">
        <v>5117</v>
      </c>
    </row>
    <row r="18922">
      <c r="H18922" t="s">
        <v>5117</v>
      </c>
    </row>
    <row r="18923">
      <c r="H18923" t="s">
        <v>5117</v>
      </c>
    </row>
    <row r="18924">
      <c r="H18924" t="s">
        <v>5117</v>
      </c>
    </row>
    <row r="18925">
      <c r="H18925" t="s">
        <v>5117</v>
      </c>
    </row>
    <row r="18926">
      <c r="H18926" t="s">
        <v>5117</v>
      </c>
    </row>
    <row r="18927">
      <c r="H18927" t="s">
        <v>5117</v>
      </c>
    </row>
    <row r="18928">
      <c r="H18928" t="s">
        <v>5117</v>
      </c>
    </row>
    <row r="18929">
      <c r="H18929" t="s">
        <v>5117</v>
      </c>
    </row>
    <row r="18930">
      <c r="H18930" t="s">
        <v>5117</v>
      </c>
    </row>
    <row r="18931">
      <c r="H18931" t="s">
        <v>5117</v>
      </c>
    </row>
    <row r="18932">
      <c r="H18932" t="s">
        <v>5117</v>
      </c>
    </row>
    <row r="18933">
      <c r="H18933" t="s">
        <v>5117</v>
      </c>
    </row>
    <row r="18934">
      <c r="H18934" t="s">
        <v>5117</v>
      </c>
    </row>
    <row r="18935">
      <c r="H18935" t="s">
        <v>5117</v>
      </c>
    </row>
    <row r="18936">
      <c r="H18936" t="s">
        <v>5117</v>
      </c>
    </row>
    <row r="18937">
      <c r="H18937" t="s">
        <v>5117</v>
      </c>
    </row>
    <row r="18938">
      <c r="H18938" t="s">
        <v>5117</v>
      </c>
    </row>
    <row r="18939">
      <c r="H18939" t="s">
        <v>5117</v>
      </c>
    </row>
    <row r="18940">
      <c r="H18940" t="s">
        <v>5117</v>
      </c>
    </row>
    <row r="18941">
      <c r="H18941" t="s">
        <v>5117</v>
      </c>
    </row>
    <row r="18942">
      <c r="H18942" t="s">
        <v>5117</v>
      </c>
    </row>
    <row r="18943">
      <c r="H18943" t="s">
        <v>5117</v>
      </c>
    </row>
    <row r="18944">
      <c r="H18944" t="s">
        <v>5117</v>
      </c>
    </row>
    <row r="18945">
      <c r="H18945" t="s">
        <v>5117</v>
      </c>
    </row>
    <row r="18946">
      <c r="H18946" t="s">
        <v>5117</v>
      </c>
    </row>
    <row r="18947">
      <c r="H18947" t="s">
        <v>5117</v>
      </c>
    </row>
    <row r="18948">
      <c r="H18948" t="s">
        <v>5117</v>
      </c>
    </row>
    <row r="18949">
      <c r="H18949" t="s">
        <v>5117</v>
      </c>
    </row>
    <row r="18950">
      <c r="H18950" t="s">
        <v>5117</v>
      </c>
    </row>
    <row r="18951">
      <c r="H18951" t="s">
        <v>5117</v>
      </c>
    </row>
    <row r="18952">
      <c r="H18952" t="s">
        <v>5117</v>
      </c>
    </row>
    <row r="18953">
      <c r="H18953" t="s">
        <v>5117</v>
      </c>
    </row>
    <row r="18954">
      <c r="H18954" t="s">
        <v>5117</v>
      </c>
    </row>
    <row r="18955">
      <c r="H18955" t="s">
        <v>5117</v>
      </c>
    </row>
    <row r="18956">
      <c r="H18956" t="s">
        <v>5117</v>
      </c>
    </row>
    <row r="18957">
      <c r="H18957" t="s">
        <v>5117</v>
      </c>
    </row>
    <row r="18958">
      <c r="H18958" t="s">
        <v>5117</v>
      </c>
    </row>
    <row r="18959">
      <c r="H18959" t="s">
        <v>5117</v>
      </c>
    </row>
    <row r="18960">
      <c r="H18960" t="s">
        <v>5117</v>
      </c>
    </row>
    <row r="18961">
      <c r="H18961" t="s">
        <v>5117</v>
      </c>
    </row>
    <row r="18962">
      <c r="H18962" t="s">
        <v>5117</v>
      </c>
    </row>
    <row r="18963">
      <c r="H18963" t="s">
        <v>5117</v>
      </c>
    </row>
    <row r="18964">
      <c r="H18964" t="s">
        <v>5117</v>
      </c>
    </row>
    <row r="18965">
      <c r="H18965" t="s">
        <v>5117</v>
      </c>
    </row>
    <row r="18966">
      <c r="H18966" t="s">
        <v>5117</v>
      </c>
    </row>
    <row r="18967">
      <c r="H18967" t="s">
        <v>5117</v>
      </c>
    </row>
    <row r="18968">
      <c r="H18968" t="s">
        <v>5117</v>
      </c>
    </row>
    <row r="18969">
      <c r="H18969" t="s">
        <v>5117</v>
      </c>
    </row>
    <row r="18970">
      <c r="H18970" t="s">
        <v>5117</v>
      </c>
    </row>
    <row r="18971">
      <c r="H18971" t="s">
        <v>5117</v>
      </c>
    </row>
    <row r="18972">
      <c r="H18972" t="s">
        <v>5117</v>
      </c>
    </row>
    <row r="18973">
      <c r="H18973" t="s">
        <v>5117</v>
      </c>
    </row>
    <row r="18974">
      <c r="H18974" t="s">
        <v>5117</v>
      </c>
    </row>
    <row r="18975">
      <c r="H18975" t="s">
        <v>5117</v>
      </c>
    </row>
    <row r="18976">
      <c r="H18976" t="s">
        <v>5117</v>
      </c>
    </row>
    <row r="18977">
      <c r="H18977" t="s">
        <v>5117</v>
      </c>
    </row>
    <row r="18978">
      <c r="H18978" t="s">
        <v>5117</v>
      </c>
    </row>
    <row r="18979">
      <c r="H18979" t="s">
        <v>5117</v>
      </c>
    </row>
    <row r="18980">
      <c r="H18980" t="s">
        <v>5117</v>
      </c>
    </row>
    <row r="18981">
      <c r="H18981" t="s">
        <v>5117</v>
      </c>
    </row>
    <row r="18982">
      <c r="H18982" t="s">
        <v>5117</v>
      </c>
    </row>
    <row r="18983">
      <c r="H18983" t="s">
        <v>5117</v>
      </c>
    </row>
    <row r="18984">
      <c r="H18984" t="s">
        <v>5117</v>
      </c>
    </row>
    <row r="18985">
      <c r="H18985" t="s">
        <v>5117</v>
      </c>
    </row>
    <row r="18986">
      <c r="H18986" t="s">
        <v>5117</v>
      </c>
    </row>
    <row r="18987">
      <c r="H18987" t="s">
        <v>5117</v>
      </c>
    </row>
    <row r="18988">
      <c r="H18988" t="s">
        <v>5117</v>
      </c>
    </row>
    <row r="18989">
      <c r="H18989" t="s">
        <v>5117</v>
      </c>
    </row>
    <row r="18990">
      <c r="H18990" t="s">
        <v>5117</v>
      </c>
    </row>
    <row r="18991">
      <c r="H18991" t="s">
        <v>5117</v>
      </c>
    </row>
    <row r="18992">
      <c r="H18992" t="s">
        <v>5117</v>
      </c>
    </row>
    <row r="18993">
      <c r="H18993" t="s">
        <v>5117</v>
      </c>
    </row>
    <row r="18994">
      <c r="H18994" t="s">
        <v>5117</v>
      </c>
    </row>
    <row r="18995">
      <c r="H18995" t="s">
        <v>5117</v>
      </c>
    </row>
    <row r="18996">
      <c r="H18996" t="s">
        <v>5117</v>
      </c>
    </row>
    <row r="18997">
      <c r="H18997" t="s">
        <v>5117</v>
      </c>
    </row>
    <row r="18998">
      <c r="H18998" t="s">
        <v>5117</v>
      </c>
    </row>
    <row r="18999">
      <c r="H18999" t="s">
        <v>5117</v>
      </c>
    </row>
    <row r="19000">
      <c r="H19000" t="s">
        <v>5117</v>
      </c>
    </row>
    <row r="19001">
      <c r="H19001" t="s">
        <v>5117</v>
      </c>
    </row>
    <row r="19002">
      <c r="H19002" t="s">
        <v>5117</v>
      </c>
    </row>
    <row r="19003">
      <c r="H19003" t="s">
        <v>5117</v>
      </c>
    </row>
    <row r="19004">
      <c r="H19004" t="s">
        <v>5117</v>
      </c>
    </row>
    <row r="19005">
      <c r="H19005" t="s">
        <v>5117</v>
      </c>
    </row>
    <row r="19006">
      <c r="H19006" t="s">
        <v>5117</v>
      </c>
    </row>
    <row r="19007">
      <c r="H19007" t="s">
        <v>5117</v>
      </c>
    </row>
    <row r="19008">
      <c r="H19008" t="s">
        <v>5117</v>
      </c>
    </row>
    <row r="19009">
      <c r="H19009" t="s">
        <v>5117</v>
      </c>
    </row>
    <row r="19010">
      <c r="H19010" t="s">
        <v>5117</v>
      </c>
    </row>
    <row r="19011">
      <c r="H19011" t="s">
        <v>5117</v>
      </c>
    </row>
    <row r="19012">
      <c r="H19012" t="s">
        <v>5117</v>
      </c>
    </row>
    <row r="19013">
      <c r="H19013" t="s">
        <v>5117</v>
      </c>
    </row>
    <row r="19014">
      <c r="H19014" t="s">
        <v>5117</v>
      </c>
    </row>
    <row r="19015">
      <c r="H19015" t="s">
        <v>5117</v>
      </c>
    </row>
    <row r="19016">
      <c r="H19016" t="s">
        <v>5117</v>
      </c>
    </row>
    <row r="19017">
      <c r="H19017" t="s">
        <v>5117</v>
      </c>
    </row>
    <row r="19018">
      <c r="H19018" t="s">
        <v>5117</v>
      </c>
    </row>
    <row r="19019">
      <c r="H19019" t="s">
        <v>5117</v>
      </c>
    </row>
    <row r="19020">
      <c r="H19020" t="s">
        <v>5117</v>
      </c>
    </row>
    <row r="19021">
      <c r="H19021" t="s">
        <v>5117</v>
      </c>
    </row>
    <row r="19022">
      <c r="H19022" t="s">
        <v>5117</v>
      </c>
    </row>
    <row r="19023">
      <c r="H19023" t="s">
        <v>5117</v>
      </c>
    </row>
    <row r="19024">
      <c r="H19024" t="s">
        <v>5117</v>
      </c>
    </row>
    <row r="19025">
      <c r="H19025" t="s">
        <v>5117</v>
      </c>
    </row>
    <row r="19026">
      <c r="H19026" t="s">
        <v>5117</v>
      </c>
    </row>
    <row r="19027">
      <c r="H19027" t="s">
        <v>5117</v>
      </c>
    </row>
    <row r="19028">
      <c r="H19028" t="s">
        <v>5117</v>
      </c>
    </row>
    <row r="19029">
      <c r="H19029" t="s">
        <v>5117</v>
      </c>
    </row>
    <row r="19030">
      <c r="H19030" t="s">
        <v>5117</v>
      </c>
    </row>
    <row r="19031">
      <c r="H19031" t="s">
        <v>5117</v>
      </c>
    </row>
    <row r="19032">
      <c r="H19032" t="s">
        <v>5117</v>
      </c>
    </row>
    <row r="19033">
      <c r="H19033" t="s">
        <v>5117</v>
      </c>
    </row>
    <row r="19034">
      <c r="H19034" t="s">
        <v>5117</v>
      </c>
    </row>
    <row r="19035">
      <c r="H19035" t="s">
        <v>5117</v>
      </c>
    </row>
    <row r="19036">
      <c r="H19036" t="s">
        <v>5117</v>
      </c>
    </row>
    <row r="19037">
      <c r="H19037" t="s">
        <v>5117</v>
      </c>
    </row>
    <row r="19038">
      <c r="H19038" t="s">
        <v>5117</v>
      </c>
    </row>
    <row r="19039">
      <c r="H19039" t="s">
        <v>5117</v>
      </c>
    </row>
    <row r="19040">
      <c r="H19040" t="s">
        <v>5117</v>
      </c>
    </row>
    <row r="19041">
      <c r="H19041" t="s">
        <v>5117</v>
      </c>
    </row>
    <row r="19042">
      <c r="H19042" t="s">
        <v>5117</v>
      </c>
    </row>
    <row r="19043">
      <c r="H19043" t="s">
        <v>5117</v>
      </c>
    </row>
    <row r="19044">
      <c r="H19044" t="s">
        <v>5117</v>
      </c>
    </row>
    <row r="19045">
      <c r="H19045" t="s">
        <v>5117</v>
      </c>
    </row>
    <row r="19046">
      <c r="H19046" t="s">
        <v>5117</v>
      </c>
    </row>
    <row r="19047">
      <c r="H19047" t="s">
        <v>5117</v>
      </c>
    </row>
    <row r="19048">
      <c r="H19048" t="s">
        <v>5117</v>
      </c>
    </row>
    <row r="19049">
      <c r="H19049" t="s">
        <v>5117</v>
      </c>
    </row>
    <row r="19050">
      <c r="H19050" t="s">
        <v>5117</v>
      </c>
    </row>
    <row r="19051">
      <c r="H19051" t="s">
        <v>5117</v>
      </c>
    </row>
    <row r="19052">
      <c r="H19052" t="s">
        <v>5117</v>
      </c>
    </row>
    <row r="19053">
      <c r="H19053" t="s">
        <v>5117</v>
      </c>
    </row>
    <row r="19054">
      <c r="H19054" t="s">
        <v>5117</v>
      </c>
    </row>
    <row r="19055">
      <c r="H19055" t="s">
        <v>5117</v>
      </c>
    </row>
    <row r="19056">
      <c r="H19056" t="s">
        <v>5117</v>
      </c>
    </row>
    <row r="19057">
      <c r="H19057" t="s">
        <v>5117</v>
      </c>
    </row>
    <row r="19058">
      <c r="H19058" t="s">
        <v>5117</v>
      </c>
    </row>
    <row r="19059">
      <c r="H19059" t="s">
        <v>5117</v>
      </c>
    </row>
    <row r="19060">
      <c r="H19060" t="s">
        <v>5117</v>
      </c>
    </row>
    <row r="19061">
      <c r="H19061" t="s">
        <v>5117</v>
      </c>
    </row>
    <row r="19062">
      <c r="H19062" t="s">
        <v>5117</v>
      </c>
    </row>
    <row r="19063">
      <c r="H19063" t="s">
        <v>5117</v>
      </c>
    </row>
    <row r="19064">
      <c r="H19064" t="s">
        <v>5117</v>
      </c>
    </row>
    <row r="19065">
      <c r="H19065" t="s">
        <v>5117</v>
      </c>
    </row>
    <row r="19066">
      <c r="H19066" t="s">
        <v>5117</v>
      </c>
    </row>
    <row r="19067">
      <c r="H19067" t="s">
        <v>5117</v>
      </c>
    </row>
    <row r="19068">
      <c r="H19068" t="s">
        <v>5117</v>
      </c>
    </row>
    <row r="19069">
      <c r="H19069" t="s">
        <v>5117</v>
      </c>
    </row>
    <row r="19070">
      <c r="H19070" t="s">
        <v>5117</v>
      </c>
    </row>
    <row r="19071">
      <c r="H19071" t="s">
        <v>5117</v>
      </c>
    </row>
    <row r="19072">
      <c r="H19072" t="s">
        <v>5117</v>
      </c>
    </row>
    <row r="19073">
      <c r="H19073" t="s">
        <v>5117</v>
      </c>
    </row>
    <row r="19074">
      <c r="H19074" t="s">
        <v>5117</v>
      </c>
    </row>
    <row r="19075">
      <c r="H19075" t="s">
        <v>5117</v>
      </c>
    </row>
    <row r="19076">
      <c r="H19076" t="s">
        <v>5117</v>
      </c>
    </row>
    <row r="19077">
      <c r="H19077" t="s">
        <v>5117</v>
      </c>
    </row>
    <row r="19078">
      <c r="H19078" t="s">
        <v>5117</v>
      </c>
    </row>
    <row r="19079">
      <c r="H19079" t="s">
        <v>5117</v>
      </c>
    </row>
    <row r="19080">
      <c r="H19080" t="s">
        <v>5117</v>
      </c>
    </row>
    <row r="19081">
      <c r="H19081" t="s">
        <v>5117</v>
      </c>
    </row>
    <row r="19082">
      <c r="H19082" t="s">
        <v>5117</v>
      </c>
    </row>
    <row r="19083">
      <c r="H19083" t="s">
        <v>5117</v>
      </c>
    </row>
    <row r="19084">
      <c r="H19084" t="s">
        <v>5117</v>
      </c>
    </row>
    <row r="19085">
      <c r="H19085" t="s">
        <v>5117</v>
      </c>
    </row>
    <row r="19086">
      <c r="H19086" t="s">
        <v>5117</v>
      </c>
    </row>
    <row r="19087">
      <c r="H19087" t="s">
        <v>5117</v>
      </c>
    </row>
    <row r="19088">
      <c r="H19088" t="s">
        <v>5117</v>
      </c>
    </row>
    <row r="19089">
      <c r="H19089" t="s">
        <v>5117</v>
      </c>
    </row>
    <row r="19090">
      <c r="H19090" t="s">
        <v>5117</v>
      </c>
    </row>
    <row r="19091">
      <c r="H19091" t="s">
        <v>5117</v>
      </c>
    </row>
    <row r="19092">
      <c r="H19092" t="s">
        <v>5117</v>
      </c>
    </row>
    <row r="19093">
      <c r="H19093" t="s">
        <v>5117</v>
      </c>
    </row>
    <row r="19094">
      <c r="H19094" t="s">
        <v>5117</v>
      </c>
    </row>
    <row r="19095">
      <c r="H19095" t="s">
        <v>5117</v>
      </c>
    </row>
    <row r="19096">
      <c r="H19096" t="s">
        <v>5117</v>
      </c>
    </row>
    <row r="19097">
      <c r="H19097" t="s">
        <v>5117</v>
      </c>
    </row>
    <row r="19098">
      <c r="H19098" t="s">
        <v>5117</v>
      </c>
    </row>
    <row r="19099">
      <c r="H19099" t="s">
        <v>5117</v>
      </c>
    </row>
    <row r="19100">
      <c r="H19100" t="s">
        <v>5117</v>
      </c>
    </row>
    <row r="19101">
      <c r="H19101" t="s">
        <v>5117</v>
      </c>
    </row>
    <row r="19102">
      <c r="H19102" t="s">
        <v>5117</v>
      </c>
    </row>
    <row r="19103">
      <c r="H19103" t="s">
        <v>5117</v>
      </c>
    </row>
    <row r="19104">
      <c r="H19104" t="s">
        <v>5117</v>
      </c>
    </row>
    <row r="19105">
      <c r="H19105" t="s">
        <v>5117</v>
      </c>
    </row>
    <row r="19106">
      <c r="H19106" t="s">
        <v>5117</v>
      </c>
    </row>
    <row r="19107">
      <c r="H19107" t="s">
        <v>5117</v>
      </c>
    </row>
    <row r="19108">
      <c r="H19108" t="s">
        <v>5117</v>
      </c>
    </row>
    <row r="19109">
      <c r="H19109" t="s">
        <v>5117</v>
      </c>
    </row>
    <row r="19110">
      <c r="H19110" t="s">
        <v>5117</v>
      </c>
    </row>
    <row r="19111">
      <c r="H19111" t="s">
        <v>5117</v>
      </c>
    </row>
    <row r="19112">
      <c r="H19112" t="s">
        <v>5117</v>
      </c>
    </row>
    <row r="19113">
      <c r="H19113" t="s">
        <v>5117</v>
      </c>
    </row>
    <row r="19114">
      <c r="H19114" t="s">
        <v>5117</v>
      </c>
    </row>
    <row r="19115">
      <c r="H19115" t="s">
        <v>5117</v>
      </c>
    </row>
    <row r="19116">
      <c r="H19116" t="s">
        <v>5117</v>
      </c>
    </row>
    <row r="19117">
      <c r="H19117" t="s">
        <v>5117</v>
      </c>
    </row>
    <row r="19118">
      <c r="H19118" t="s">
        <v>5117</v>
      </c>
    </row>
    <row r="19119">
      <c r="H19119" t="s">
        <v>5117</v>
      </c>
    </row>
    <row r="19120">
      <c r="H19120" t="s">
        <v>5117</v>
      </c>
    </row>
    <row r="19121">
      <c r="H19121" t="s">
        <v>5117</v>
      </c>
    </row>
    <row r="19122">
      <c r="H19122" t="s">
        <v>5117</v>
      </c>
    </row>
    <row r="19123">
      <c r="H19123" t="s">
        <v>5117</v>
      </c>
    </row>
    <row r="19124">
      <c r="H19124" t="s">
        <v>5117</v>
      </c>
    </row>
    <row r="19125">
      <c r="H19125" t="s">
        <v>5117</v>
      </c>
    </row>
    <row r="19126">
      <c r="H19126" t="s">
        <v>5117</v>
      </c>
    </row>
    <row r="19127">
      <c r="H19127" t="s">
        <v>5117</v>
      </c>
    </row>
    <row r="19128">
      <c r="H19128" t="s">
        <v>5117</v>
      </c>
    </row>
    <row r="19129">
      <c r="H19129" t="s">
        <v>5117</v>
      </c>
    </row>
    <row r="19130">
      <c r="H19130" t="s">
        <v>5117</v>
      </c>
    </row>
    <row r="19131">
      <c r="H19131" t="s">
        <v>5117</v>
      </c>
    </row>
    <row r="19132">
      <c r="H19132" t="s">
        <v>5117</v>
      </c>
    </row>
    <row r="19133">
      <c r="H19133" t="s">
        <v>5117</v>
      </c>
    </row>
    <row r="19134">
      <c r="H19134" t="s">
        <v>5117</v>
      </c>
    </row>
    <row r="19135">
      <c r="H19135" t="s">
        <v>5117</v>
      </c>
    </row>
    <row r="19136">
      <c r="H19136" t="s">
        <v>5117</v>
      </c>
    </row>
    <row r="19137">
      <c r="H19137" t="s">
        <v>5117</v>
      </c>
    </row>
    <row r="19138">
      <c r="H19138" t="s">
        <v>5117</v>
      </c>
    </row>
    <row r="19139">
      <c r="H19139" t="s">
        <v>5117</v>
      </c>
    </row>
    <row r="19140">
      <c r="H19140" t="s">
        <v>5117</v>
      </c>
    </row>
    <row r="19141">
      <c r="H19141" t="s">
        <v>5117</v>
      </c>
    </row>
    <row r="19142">
      <c r="H19142" t="s">
        <v>5117</v>
      </c>
    </row>
    <row r="19143">
      <c r="H19143" t="s">
        <v>5117</v>
      </c>
    </row>
    <row r="19144">
      <c r="H19144" t="s">
        <v>5117</v>
      </c>
    </row>
    <row r="19145">
      <c r="H19145" t="s">
        <v>5117</v>
      </c>
    </row>
    <row r="19146">
      <c r="H19146" t="s">
        <v>5117</v>
      </c>
    </row>
    <row r="19147">
      <c r="H19147" t="s">
        <v>5117</v>
      </c>
    </row>
    <row r="19148">
      <c r="H19148" t="s">
        <v>5117</v>
      </c>
    </row>
    <row r="19149">
      <c r="H19149" t="s">
        <v>5117</v>
      </c>
    </row>
    <row r="19150">
      <c r="H19150" t="s">
        <v>5117</v>
      </c>
    </row>
    <row r="19151">
      <c r="H19151" t="s">
        <v>5117</v>
      </c>
    </row>
    <row r="19152">
      <c r="H19152" t="s">
        <v>5117</v>
      </c>
    </row>
    <row r="19153">
      <c r="H19153" t="s">
        <v>5117</v>
      </c>
    </row>
    <row r="19154">
      <c r="H19154" t="s">
        <v>5117</v>
      </c>
    </row>
    <row r="19155">
      <c r="H19155" t="s">
        <v>5117</v>
      </c>
    </row>
    <row r="19156">
      <c r="H19156" t="s">
        <v>5117</v>
      </c>
    </row>
    <row r="19157">
      <c r="H19157" t="s">
        <v>5117</v>
      </c>
    </row>
    <row r="19158">
      <c r="H19158" t="s">
        <v>5117</v>
      </c>
    </row>
    <row r="19159">
      <c r="H19159" t="s">
        <v>5117</v>
      </c>
    </row>
    <row r="19160">
      <c r="H19160" t="s">
        <v>5117</v>
      </c>
    </row>
    <row r="19161">
      <c r="H19161" t="s">
        <v>5117</v>
      </c>
    </row>
    <row r="19162">
      <c r="H19162" t="s">
        <v>5117</v>
      </c>
    </row>
    <row r="19163">
      <c r="H19163" t="s">
        <v>5117</v>
      </c>
    </row>
    <row r="19164">
      <c r="H19164" t="s">
        <v>5117</v>
      </c>
    </row>
    <row r="19165">
      <c r="H19165" t="s">
        <v>5117</v>
      </c>
    </row>
    <row r="19166">
      <c r="H19166" t="s">
        <v>5117</v>
      </c>
    </row>
    <row r="19167">
      <c r="H19167" t="s">
        <v>5117</v>
      </c>
    </row>
    <row r="19168">
      <c r="H19168" t="s">
        <v>5117</v>
      </c>
    </row>
    <row r="19169">
      <c r="H19169" t="s">
        <v>5117</v>
      </c>
    </row>
    <row r="19170">
      <c r="H19170" t="s">
        <v>5117</v>
      </c>
    </row>
    <row r="19171">
      <c r="H19171" t="s">
        <v>5117</v>
      </c>
    </row>
    <row r="19172">
      <c r="H19172" t="s">
        <v>5117</v>
      </c>
    </row>
    <row r="19173">
      <c r="H19173" t="s">
        <v>5117</v>
      </c>
    </row>
    <row r="19174">
      <c r="H19174" t="s">
        <v>5117</v>
      </c>
    </row>
    <row r="19175">
      <c r="H19175" t="s">
        <v>5117</v>
      </c>
    </row>
    <row r="19176">
      <c r="H19176" t="s">
        <v>5117</v>
      </c>
    </row>
    <row r="19177">
      <c r="H19177" t="s">
        <v>5117</v>
      </c>
    </row>
    <row r="19178">
      <c r="H19178" t="s">
        <v>5117</v>
      </c>
    </row>
    <row r="19179">
      <c r="H19179" t="s">
        <v>5117</v>
      </c>
    </row>
    <row r="19180">
      <c r="H19180" t="s">
        <v>5117</v>
      </c>
    </row>
    <row r="19181">
      <c r="H19181" t="s">
        <v>5117</v>
      </c>
    </row>
    <row r="19182">
      <c r="H19182" t="s">
        <v>5117</v>
      </c>
    </row>
    <row r="19183">
      <c r="H19183" t="s">
        <v>5117</v>
      </c>
    </row>
    <row r="19184">
      <c r="H19184" t="s">
        <v>5117</v>
      </c>
    </row>
    <row r="19185">
      <c r="H19185" t="s">
        <v>5117</v>
      </c>
    </row>
    <row r="19186">
      <c r="H19186" t="s">
        <v>5117</v>
      </c>
    </row>
    <row r="19187">
      <c r="H19187" t="s">
        <v>5117</v>
      </c>
    </row>
    <row r="19188">
      <c r="H19188" t="s">
        <v>5117</v>
      </c>
    </row>
    <row r="19189">
      <c r="H19189" t="s">
        <v>5117</v>
      </c>
    </row>
    <row r="19190">
      <c r="H19190" t="s">
        <v>5117</v>
      </c>
    </row>
    <row r="19191">
      <c r="H19191" t="s">
        <v>5117</v>
      </c>
    </row>
    <row r="19192">
      <c r="H19192" t="s">
        <v>5117</v>
      </c>
    </row>
    <row r="19193">
      <c r="H19193" t="s">
        <v>5117</v>
      </c>
    </row>
    <row r="19194">
      <c r="H19194" t="s">
        <v>5117</v>
      </c>
    </row>
    <row r="19195">
      <c r="H19195" t="s">
        <v>5117</v>
      </c>
    </row>
    <row r="19196">
      <c r="H19196" t="s">
        <v>5117</v>
      </c>
    </row>
    <row r="19197">
      <c r="H19197" t="s">
        <v>5117</v>
      </c>
    </row>
    <row r="19198">
      <c r="H19198" t="s">
        <v>5117</v>
      </c>
    </row>
    <row r="19199">
      <c r="H19199" t="s">
        <v>5117</v>
      </c>
    </row>
    <row r="19200">
      <c r="H19200" t="s">
        <v>5117</v>
      </c>
    </row>
    <row r="19201">
      <c r="H19201" t="s">
        <v>5117</v>
      </c>
    </row>
    <row r="19202">
      <c r="H19202" t="s">
        <v>5117</v>
      </c>
    </row>
    <row r="19203">
      <c r="H19203" t="s">
        <v>5117</v>
      </c>
    </row>
    <row r="19204">
      <c r="H19204" t="s">
        <v>5117</v>
      </c>
    </row>
    <row r="19205">
      <c r="H19205" t="s">
        <v>5117</v>
      </c>
    </row>
    <row r="19206">
      <c r="H19206" t="s">
        <v>5117</v>
      </c>
    </row>
    <row r="19207">
      <c r="H19207" t="s">
        <v>5117</v>
      </c>
    </row>
    <row r="19208">
      <c r="H19208" t="s">
        <v>5117</v>
      </c>
    </row>
    <row r="19209">
      <c r="H19209" t="s">
        <v>5117</v>
      </c>
    </row>
    <row r="19210">
      <c r="H19210" t="s">
        <v>5117</v>
      </c>
    </row>
    <row r="19211">
      <c r="H19211" t="s">
        <v>5117</v>
      </c>
    </row>
    <row r="19212">
      <c r="H19212" t="s">
        <v>5117</v>
      </c>
    </row>
    <row r="19213">
      <c r="H19213" t="s">
        <v>5117</v>
      </c>
    </row>
    <row r="19214">
      <c r="H19214" t="s">
        <v>5117</v>
      </c>
    </row>
    <row r="19215">
      <c r="H19215" t="s">
        <v>5117</v>
      </c>
    </row>
    <row r="19216">
      <c r="H19216" t="s">
        <v>5117</v>
      </c>
    </row>
    <row r="19217">
      <c r="H19217" t="s">
        <v>5117</v>
      </c>
    </row>
    <row r="19218">
      <c r="H19218" t="s">
        <v>5117</v>
      </c>
    </row>
    <row r="19219">
      <c r="H19219" t="s">
        <v>5117</v>
      </c>
    </row>
    <row r="19220">
      <c r="H19220" t="s">
        <v>5117</v>
      </c>
    </row>
    <row r="19221">
      <c r="H19221" t="s">
        <v>5117</v>
      </c>
    </row>
    <row r="19222">
      <c r="H19222" t="s">
        <v>5117</v>
      </c>
    </row>
    <row r="19223">
      <c r="H19223" t="s">
        <v>5117</v>
      </c>
    </row>
    <row r="19224">
      <c r="H19224" t="s">
        <v>5117</v>
      </c>
    </row>
    <row r="19225">
      <c r="H19225" t="s">
        <v>5117</v>
      </c>
    </row>
    <row r="19226">
      <c r="H19226" t="s">
        <v>5117</v>
      </c>
    </row>
    <row r="19227">
      <c r="H19227" t="s">
        <v>5117</v>
      </c>
    </row>
    <row r="19228">
      <c r="H19228" t="s">
        <v>5117</v>
      </c>
    </row>
    <row r="19229">
      <c r="H19229" t="s">
        <v>5117</v>
      </c>
    </row>
    <row r="19230">
      <c r="H19230" t="s">
        <v>5117</v>
      </c>
    </row>
    <row r="19231">
      <c r="H19231" t="s">
        <v>5117</v>
      </c>
    </row>
    <row r="19232">
      <c r="H19232" t="s">
        <v>5117</v>
      </c>
    </row>
    <row r="19233">
      <c r="H19233" t="s">
        <v>5117</v>
      </c>
    </row>
    <row r="19234">
      <c r="H19234" t="s">
        <v>5117</v>
      </c>
    </row>
    <row r="19235">
      <c r="H19235" t="s">
        <v>5117</v>
      </c>
    </row>
    <row r="19236">
      <c r="H19236" t="s">
        <v>5117</v>
      </c>
    </row>
    <row r="19237">
      <c r="H19237" t="s">
        <v>5117</v>
      </c>
    </row>
    <row r="19238">
      <c r="H19238" t="s">
        <v>5117</v>
      </c>
    </row>
    <row r="19239">
      <c r="H19239" t="s">
        <v>5117</v>
      </c>
    </row>
    <row r="19240">
      <c r="H19240" t="s">
        <v>5117</v>
      </c>
    </row>
    <row r="19241">
      <c r="H19241" t="s">
        <v>5117</v>
      </c>
    </row>
    <row r="19242">
      <c r="H19242" t="s">
        <v>5117</v>
      </c>
    </row>
    <row r="19243">
      <c r="H19243" t="s">
        <v>5117</v>
      </c>
    </row>
    <row r="19244">
      <c r="H19244" t="s">
        <v>5117</v>
      </c>
    </row>
    <row r="19245">
      <c r="H19245" t="s">
        <v>5117</v>
      </c>
    </row>
    <row r="19246">
      <c r="H19246" t="s">
        <v>5117</v>
      </c>
    </row>
    <row r="19247">
      <c r="H19247" t="s">
        <v>5117</v>
      </c>
    </row>
    <row r="19248">
      <c r="H19248" t="s">
        <v>5117</v>
      </c>
    </row>
    <row r="19249">
      <c r="H19249" t="s">
        <v>5117</v>
      </c>
    </row>
    <row r="19250">
      <c r="H19250" t="s">
        <v>5117</v>
      </c>
    </row>
    <row r="19251">
      <c r="H19251" t="s">
        <v>5117</v>
      </c>
    </row>
    <row r="19252">
      <c r="H19252" t="s">
        <v>5117</v>
      </c>
    </row>
    <row r="19253">
      <c r="H19253" t="s">
        <v>5117</v>
      </c>
    </row>
    <row r="19254">
      <c r="H19254" t="s">
        <v>5117</v>
      </c>
    </row>
    <row r="19255">
      <c r="H19255" t="s">
        <v>5117</v>
      </c>
    </row>
    <row r="19256">
      <c r="H19256" t="s">
        <v>5117</v>
      </c>
    </row>
    <row r="19257">
      <c r="H19257" t="s">
        <v>5117</v>
      </c>
    </row>
    <row r="19258">
      <c r="H19258" t="s">
        <v>5117</v>
      </c>
    </row>
    <row r="19259">
      <c r="H19259" t="s">
        <v>5117</v>
      </c>
    </row>
    <row r="19260">
      <c r="H19260" t="s">
        <v>5117</v>
      </c>
    </row>
    <row r="19261">
      <c r="H19261" t="s">
        <v>5117</v>
      </c>
    </row>
    <row r="19262">
      <c r="H19262" t="s">
        <v>5117</v>
      </c>
    </row>
    <row r="19263">
      <c r="H19263" t="s">
        <v>5117</v>
      </c>
    </row>
    <row r="19264">
      <c r="H19264" t="s">
        <v>5117</v>
      </c>
    </row>
    <row r="19265">
      <c r="H19265" t="s">
        <v>5117</v>
      </c>
    </row>
    <row r="19266">
      <c r="H19266" t="s">
        <v>5117</v>
      </c>
    </row>
    <row r="19267">
      <c r="H19267" t="s">
        <v>5117</v>
      </c>
    </row>
    <row r="19268">
      <c r="H19268" t="s">
        <v>5117</v>
      </c>
    </row>
    <row r="19269">
      <c r="H19269" t="s">
        <v>5117</v>
      </c>
    </row>
    <row r="19270">
      <c r="H19270" t="s">
        <v>5117</v>
      </c>
    </row>
    <row r="19271">
      <c r="H19271" t="s">
        <v>5117</v>
      </c>
    </row>
    <row r="19272">
      <c r="H19272" t="s">
        <v>5117</v>
      </c>
    </row>
    <row r="19273">
      <c r="H19273" t="s">
        <v>5117</v>
      </c>
    </row>
    <row r="19274">
      <c r="H19274" t="s">
        <v>5117</v>
      </c>
    </row>
    <row r="19275">
      <c r="H19275" t="s">
        <v>5117</v>
      </c>
    </row>
    <row r="19276">
      <c r="H19276" t="s">
        <v>5117</v>
      </c>
    </row>
    <row r="19277">
      <c r="H19277" t="s">
        <v>5117</v>
      </c>
    </row>
    <row r="19278">
      <c r="H19278" t="s">
        <v>5117</v>
      </c>
    </row>
    <row r="19279">
      <c r="H19279" t="s">
        <v>5117</v>
      </c>
    </row>
    <row r="19280">
      <c r="H19280" t="s">
        <v>5117</v>
      </c>
    </row>
    <row r="19281">
      <c r="H19281" t="s">
        <v>5117</v>
      </c>
    </row>
    <row r="19282">
      <c r="H19282" t="s">
        <v>5117</v>
      </c>
    </row>
    <row r="19283">
      <c r="H19283" t="s">
        <v>5117</v>
      </c>
    </row>
    <row r="19284">
      <c r="H19284" t="s">
        <v>5117</v>
      </c>
    </row>
    <row r="19285">
      <c r="H19285" t="s">
        <v>5117</v>
      </c>
    </row>
    <row r="19286">
      <c r="H19286" t="s">
        <v>5117</v>
      </c>
    </row>
    <row r="19287">
      <c r="H19287" t="s">
        <v>5117</v>
      </c>
    </row>
    <row r="19288">
      <c r="H19288" t="s">
        <v>5117</v>
      </c>
    </row>
    <row r="19289">
      <c r="H19289" t="s">
        <v>5117</v>
      </c>
    </row>
    <row r="19290">
      <c r="H19290" t="s">
        <v>5117</v>
      </c>
    </row>
    <row r="19291">
      <c r="H19291" t="s">
        <v>5117</v>
      </c>
    </row>
    <row r="19292">
      <c r="H19292" t="s">
        <v>5117</v>
      </c>
    </row>
    <row r="19293">
      <c r="H19293" t="s">
        <v>5117</v>
      </c>
    </row>
    <row r="19294">
      <c r="H19294" t="s">
        <v>5117</v>
      </c>
    </row>
    <row r="19295">
      <c r="H19295" t="s">
        <v>5117</v>
      </c>
    </row>
    <row r="19296">
      <c r="H19296" t="s">
        <v>5117</v>
      </c>
    </row>
    <row r="19297">
      <c r="H19297" t="s">
        <v>5117</v>
      </c>
    </row>
    <row r="19298">
      <c r="H19298" t="s">
        <v>5117</v>
      </c>
    </row>
    <row r="19299">
      <c r="H19299" t="s">
        <v>5117</v>
      </c>
    </row>
    <row r="19300">
      <c r="H19300" t="s">
        <v>5117</v>
      </c>
    </row>
    <row r="19301">
      <c r="H19301" t="s">
        <v>5117</v>
      </c>
    </row>
    <row r="19302">
      <c r="H19302" t="s">
        <v>5117</v>
      </c>
    </row>
    <row r="19303">
      <c r="H19303" t="s">
        <v>5117</v>
      </c>
    </row>
    <row r="19304">
      <c r="H19304" t="s">
        <v>5117</v>
      </c>
    </row>
    <row r="19305">
      <c r="H19305" t="s">
        <v>5117</v>
      </c>
    </row>
    <row r="19306">
      <c r="H19306" t="s">
        <v>5117</v>
      </c>
    </row>
    <row r="19307">
      <c r="H19307" t="s">
        <v>5117</v>
      </c>
    </row>
    <row r="19308">
      <c r="H19308" t="s">
        <v>5117</v>
      </c>
    </row>
    <row r="19309">
      <c r="H19309" t="s">
        <v>5117</v>
      </c>
    </row>
    <row r="19310">
      <c r="H19310" t="s">
        <v>5117</v>
      </c>
    </row>
    <row r="19311">
      <c r="H19311" t="s">
        <v>5117</v>
      </c>
    </row>
    <row r="19312">
      <c r="H19312" t="s">
        <v>5117</v>
      </c>
    </row>
    <row r="19313">
      <c r="H19313" t="s">
        <v>5117</v>
      </c>
    </row>
    <row r="19314">
      <c r="H19314" t="s">
        <v>5117</v>
      </c>
    </row>
    <row r="19315">
      <c r="H19315" t="s">
        <v>5117</v>
      </c>
    </row>
    <row r="19316">
      <c r="H19316" t="s">
        <v>5117</v>
      </c>
    </row>
    <row r="19317">
      <c r="H19317" t="s">
        <v>5117</v>
      </c>
    </row>
    <row r="19318">
      <c r="H19318" t="s">
        <v>5117</v>
      </c>
    </row>
    <row r="19319">
      <c r="H19319" t="s">
        <v>5117</v>
      </c>
    </row>
    <row r="19320">
      <c r="H19320" t="s">
        <v>5117</v>
      </c>
    </row>
    <row r="19321">
      <c r="H19321" t="s">
        <v>5117</v>
      </c>
    </row>
    <row r="19322">
      <c r="H19322" t="s">
        <v>5117</v>
      </c>
    </row>
    <row r="19323">
      <c r="H19323" t="s">
        <v>5117</v>
      </c>
    </row>
    <row r="19324">
      <c r="H19324" t="s">
        <v>5117</v>
      </c>
    </row>
    <row r="19325">
      <c r="H19325" t="s">
        <v>5117</v>
      </c>
    </row>
    <row r="19326">
      <c r="H19326" t="s">
        <v>5117</v>
      </c>
    </row>
    <row r="19327">
      <c r="H19327" t="s">
        <v>5117</v>
      </c>
    </row>
    <row r="19328">
      <c r="H19328" t="s">
        <v>5117</v>
      </c>
    </row>
    <row r="19329">
      <c r="H19329" t="s">
        <v>5117</v>
      </c>
    </row>
    <row r="19330">
      <c r="H19330" t="s">
        <v>5117</v>
      </c>
    </row>
    <row r="19331">
      <c r="H19331" t="s">
        <v>5117</v>
      </c>
    </row>
    <row r="19332">
      <c r="H19332" t="s">
        <v>5117</v>
      </c>
    </row>
    <row r="19333">
      <c r="H19333" t="s">
        <v>5117</v>
      </c>
    </row>
    <row r="19334">
      <c r="H19334" t="s">
        <v>5117</v>
      </c>
    </row>
    <row r="19335">
      <c r="H19335" t="s">
        <v>5117</v>
      </c>
    </row>
    <row r="19336">
      <c r="H19336" t="s">
        <v>5117</v>
      </c>
    </row>
    <row r="19337">
      <c r="H19337" t="s">
        <v>5117</v>
      </c>
    </row>
    <row r="19338">
      <c r="H19338" t="s">
        <v>5117</v>
      </c>
    </row>
    <row r="19339">
      <c r="H19339" t="s">
        <v>5117</v>
      </c>
    </row>
    <row r="19340">
      <c r="H19340" t="s">
        <v>5117</v>
      </c>
    </row>
    <row r="19341">
      <c r="H19341" t="s">
        <v>5117</v>
      </c>
    </row>
    <row r="19342">
      <c r="H19342" t="s">
        <v>5117</v>
      </c>
    </row>
    <row r="19343">
      <c r="H19343" t="s">
        <v>5117</v>
      </c>
    </row>
    <row r="19344">
      <c r="H19344" t="s">
        <v>5117</v>
      </c>
    </row>
    <row r="19345">
      <c r="H19345" t="s">
        <v>5117</v>
      </c>
    </row>
    <row r="19346">
      <c r="H19346" t="s">
        <v>5117</v>
      </c>
    </row>
    <row r="19347">
      <c r="H19347" t="s">
        <v>5117</v>
      </c>
    </row>
    <row r="19348">
      <c r="H19348" t="s">
        <v>5117</v>
      </c>
    </row>
    <row r="19349">
      <c r="H19349" t="s">
        <v>5117</v>
      </c>
    </row>
    <row r="19350">
      <c r="H19350" t="s">
        <v>5117</v>
      </c>
    </row>
    <row r="19351">
      <c r="H19351" t="s">
        <v>5117</v>
      </c>
    </row>
    <row r="19352">
      <c r="H19352" t="s">
        <v>5117</v>
      </c>
    </row>
    <row r="19353">
      <c r="H19353" t="s">
        <v>5117</v>
      </c>
    </row>
    <row r="19354">
      <c r="H19354" t="s">
        <v>5117</v>
      </c>
    </row>
    <row r="19355">
      <c r="H19355" t="s">
        <v>5117</v>
      </c>
    </row>
    <row r="19356">
      <c r="H19356" t="s">
        <v>5117</v>
      </c>
    </row>
    <row r="19357">
      <c r="H19357" t="s">
        <v>5117</v>
      </c>
    </row>
    <row r="19358">
      <c r="H19358" t="s">
        <v>5117</v>
      </c>
    </row>
    <row r="19359">
      <c r="H19359" t="s">
        <v>5117</v>
      </c>
    </row>
    <row r="19360">
      <c r="H19360" t="s">
        <v>5117</v>
      </c>
    </row>
    <row r="19361">
      <c r="H19361" t="s">
        <v>5117</v>
      </c>
    </row>
    <row r="19362">
      <c r="H19362" t="s">
        <v>5117</v>
      </c>
    </row>
    <row r="19363">
      <c r="H19363" t="s">
        <v>5117</v>
      </c>
    </row>
    <row r="19364">
      <c r="H19364" t="s">
        <v>5117</v>
      </c>
    </row>
    <row r="19365">
      <c r="H19365" t="s">
        <v>5117</v>
      </c>
    </row>
    <row r="19366">
      <c r="H19366" t="s">
        <v>5117</v>
      </c>
    </row>
    <row r="19367">
      <c r="H19367" t="s">
        <v>5117</v>
      </c>
    </row>
    <row r="19368">
      <c r="H19368" t="s">
        <v>5117</v>
      </c>
    </row>
    <row r="19369">
      <c r="H19369" t="s">
        <v>5117</v>
      </c>
    </row>
    <row r="19370">
      <c r="H19370" t="s">
        <v>5117</v>
      </c>
    </row>
    <row r="19371">
      <c r="H19371" t="s">
        <v>5117</v>
      </c>
    </row>
    <row r="19372">
      <c r="H19372" t="s">
        <v>5117</v>
      </c>
    </row>
    <row r="19373">
      <c r="H19373" t="s">
        <v>5117</v>
      </c>
    </row>
    <row r="19374">
      <c r="H19374" t="s">
        <v>5117</v>
      </c>
    </row>
    <row r="19375">
      <c r="H19375" t="s">
        <v>5117</v>
      </c>
    </row>
    <row r="19376">
      <c r="H19376" t="s">
        <v>5117</v>
      </c>
    </row>
    <row r="19377">
      <c r="H19377" t="s">
        <v>5117</v>
      </c>
    </row>
    <row r="19378">
      <c r="H19378" t="s">
        <v>5117</v>
      </c>
    </row>
    <row r="19379">
      <c r="H19379" t="s">
        <v>5117</v>
      </c>
    </row>
    <row r="19380">
      <c r="H19380" t="s">
        <v>5117</v>
      </c>
    </row>
    <row r="19381">
      <c r="H19381" t="s">
        <v>5117</v>
      </c>
    </row>
    <row r="19382">
      <c r="H19382" t="s">
        <v>5117</v>
      </c>
    </row>
    <row r="19383">
      <c r="H19383" t="s">
        <v>5117</v>
      </c>
    </row>
    <row r="19384">
      <c r="H19384" t="s">
        <v>5117</v>
      </c>
    </row>
    <row r="19385">
      <c r="H19385" t="s">
        <v>5117</v>
      </c>
    </row>
    <row r="19386">
      <c r="H19386" t="s">
        <v>5117</v>
      </c>
    </row>
    <row r="19387">
      <c r="H19387" t="s">
        <v>5117</v>
      </c>
    </row>
    <row r="19388">
      <c r="H19388" t="s">
        <v>5117</v>
      </c>
    </row>
    <row r="19389">
      <c r="H19389" t="s">
        <v>5117</v>
      </c>
    </row>
    <row r="19390">
      <c r="H19390" t="s">
        <v>5117</v>
      </c>
    </row>
    <row r="19391">
      <c r="H19391" t="s">
        <v>5117</v>
      </c>
    </row>
    <row r="19392">
      <c r="H19392" t="s">
        <v>5117</v>
      </c>
    </row>
    <row r="19393">
      <c r="H19393" t="s">
        <v>5117</v>
      </c>
    </row>
    <row r="19394">
      <c r="H19394" t="s">
        <v>5117</v>
      </c>
    </row>
    <row r="19395">
      <c r="H19395" t="s">
        <v>5117</v>
      </c>
    </row>
    <row r="19396">
      <c r="H19396" t="s">
        <v>5117</v>
      </c>
    </row>
    <row r="19397">
      <c r="H19397" t="s">
        <v>5117</v>
      </c>
    </row>
    <row r="19398">
      <c r="H19398" t="s">
        <v>5117</v>
      </c>
    </row>
    <row r="19399">
      <c r="H19399" t="s">
        <v>5117</v>
      </c>
    </row>
    <row r="19400">
      <c r="H19400" t="s">
        <v>5117</v>
      </c>
    </row>
    <row r="19401">
      <c r="H19401" t="s">
        <v>5117</v>
      </c>
    </row>
    <row r="19402">
      <c r="H19402" t="s">
        <v>5117</v>
      </c>
    </row>
    <row r="19403">
      <c r="H19403" t="s">
        <v>5117</v>
      </c>
    </row>
    <row r="19404">
      <c r="H19404" t="s">
        <v>5117</v>
      </c>
    </row>
    <row r="19405">
      <c r="H19405" t="s">
        <v>5117</v>
      </c>
    </row>
    <row r="19406">
      <c r="H19406" t="s">
        <v>5117</v>
      </c>
    </row>
    <row r="19407">
      <c r="H19407" t="s">
        <v>5117</v>
      </c>
    </row>
    <row r="19408">
      <c r="H19408" t="s">
        <v>5117</v>
      </c>
    </row>
    <row r="19409">
      <c r="H19409" t="s">
        <v>5117</v>
      </c>
    </row>
    <row r="19410">
      <c r="H19410" t="s">
        <v>5117</v>
      </c>
    </row>
    <row r="19411">
      <c r="H19411" t="s">
        <v>5117</v>
      </c>
    </row>
    <row r="19412">
      <c r="H19412" t="s">
        <v>5117</v>
      </c>
    </row>
    <row r="19413">
      <c r="H19413" t="s">
        <v>5117</v>
      </c>
    </row>
    <row r="19414">
      <c r="H19414" t="s">
        <v>5117</v>
      </c>
    </row>
    <row r="19415">
      <c r="H19415" t="s">
        <v>5117</v>
      </c>
    </row>
    <row r="19416">
      <c r="H19416" t="s">
        <v>5117</v>
      </c>
    </row>
    <row r="19417">
      <c r="H19417" t="s">
        <v>5117</v>
      </c>
    </row>
    <row r="19418">
      <c r="H19418" t="s">
        <v>5117</v>
      </c>
    </row>
    <row r="19419">
      <c r="H19419" t="s">
        <v>5117</v>
      </c>
    </row>
    <row r="19420">
      <c r="H19420" t="s">
        <v>5117</v>
      </c>
    </row>
    <row r="19421">
      <c r="H19421" t="s">
        <v>5117</v>
      </c>
    </row>
    <row r="19422">
      <c r="H19422" t="s">
        <v>5117</v>
      </c>
    </row>
    <row r="19423">
      <c r="H19423" t="s">
        <v>5117</v>
      </c>
    </row>
    <row r="19424">
      <c r="H19424" t="s">
        <v>5117</v>
      </c>
    </row>
    <row r="19425">
      <c r="H19425" t="s">
        <v>5117</v>
      </c>
    </row>
    <row r="19426">
      <c r="H19426" t="s">
        <v>5117</v>
      </c>
    </row>
    <row r="19427">
      <c r="H19427" t="s">
        <v>5117</v>
      </c>
    </row>
    <row r="19428">
      <c r="H19428" t="s">
        <v>5117</v>
      </c>
    </row>
    <row r="19429">
      <c r="H19429" t="s">
        <v>5117</v>
      </c>
    </row>
    <row r="19430">
      <c r="H19430" t="s">
        <v>5117</v>
      </c>
    </row>
    <row r="19431">
      <c r="H19431" t="s">
        <v>5117</v>
      </c>
    </row>
    <row r="19432">
      <c r="H19432" t="s">
        <v>5117</v>
      </c>
    </row>
    <row r="19433">
      <c r="H19433" t="s">
        <v>5117</v>
      </c>
    </row>
    <row r="19434">
      <c r="H19434" t="s">
        <v>5117</v>
      </c>
    </row>
    <row r="19435">
      <c r="H19435" t="s">
        <v>5117</v>
      </c>
    </row>
    <row r="19436">
      <c r="H19436" t="s">
        <v>5117</v>
      </c>
    </row>
    <row r="19437">
      <c r="H19437" t="s">
        <v>5117</v>
      </c>
    </row>
    <row r="19438">
      <c r="H19438" t="s">
        <v>5117</v>
      </c>
    </row>
    <row r="19439">
      <c r="H19439" t="s">
        <v>5117</v>
      </c>
    </row>
    <row r="19440">
      <c r="H19440" t="s">
        <v>5117</v>
      </c>
    </row>
    <row r="19441">
      <c r="H19441" t="s">
        <v>5117</v>
      </c>
    </row>
    <row r="19442">
      <c r="H19442" t="s">
        <v>5117</v>
      </c>
    </row>
    <row r="19443">
      <c r="H19443" t="s">
        <v>5117</v>
      </c>
    </row>
    <row r="19444">
      <c r="H19444" t="s">
        <v>5117</v>
      </c>
    </row>
    <row r="19445">
      <c r="H19445" t="s">
        <v>5117</v>
      </c>
    </row>
    <row r="19446">
      <c r="H19446" t="s">
        <v>5117</v>
      </c>
    </row>
    <row r="19447">
      <c r="H19447" t="s">
        <v>5117</v>
      </c>
    </row>
    <row r="19448">
      <c r="H19448" t="s">
        <v>5117</v>
      </c>
    </row>
    <row r="19449">
      <c r="H19449" t="s">
        <v>5117</v>
      </c>
    </row>
    <row r="19450">
      <c r="H19450" t="s">
        <v>5117</v>
      </c>
    </row>
    <row r="19451">
      <c r="H19451" t="s">
        <v>5117</v>
      </c>
    </row>
    <row r="19452">
      <c r="H19452" t="s">
        <v>5117</v>
      </c>
    </row>
    <row r="19453">
      <c r="H19453" t="s">
        <v>5117</v>
      </c>
    </row>
    <row r="19454">
      <c r="H19454" t="s">
        <v>5117</v>
      </c>
    </row>
    <row r="19455">
      <c r="H19455" t="s">
        <v>5117</v>
      </c>
    </row>
    <row r="19456">
      <c r="H19456" t="s">
        <v>5117</v>
      </c>
    </row>
    <row r="19457">
      <c r="H19457" t="s">
        <v>5117</v>
      </c>
    </row>
    <row r="19458">
      <c r="H19458" t="s">
        <v>5117</v>
      </c>
    </row>
    <row r="19459">
      <c r="H19459" t="s">
        <v>5117</v>
      </c>
    </row>
    <row r="19460">
      <c r="H19460" t="s">
        <v>5117</v>
      </c>
    </row>
    <row r="19461">
      <c r="H19461" t="s">
        <v>5117</v>
      </c>
    </row>
    <row r="19462">
      <c r="H19462" t="s">
        <v>5117</v>
      </c>
    </row>
    <row r="19463">
      <c r="H19463" t="s">
        <v>5117</v>
      </c>
    </row>
    <row r="19464">
      <c r="H19464" t="s">
        <v>5117</v>
      </c>
    </row>
    <row r="19465">
      <c r="H19465" t="s">
        <v>5117</v>
      </c>
    </row>
    <row r="19466">
      <c r="H19466" t="s">
        <v>5117</v>
      </c>
    </row>
    <row r="19467">
      <c r="H19467" t="s">
        <v>5117</v>
      </c>
    </row>
    <row r="19468">
      <c r="H19468" t="s">
        <v>5117</v>
      </c>
    </row>
    <row r="19469">
      <c r="H19469" t="s">
        <v>5117</v>
      </c>
    </row>
    <row r="19470">
      <c r="H19470" t="s">
        <v>5117</v>
      </c>
    </row>
    <row r="19471">
      <c r="H19471" t="s">
        <v>5117</v>
      </c>
    </row>
    <row r="19472">
      <c r="H19472" t="s">
        <v>5117</v>
      </c>
    </row>
    <row r="19473">
      <c r="H19473" t="s">
        <v>5117</v>
      </c>
    </row>
    <row r="19474">
      <c r="H19474" t="s">
        <v>5117</v>
      </c>
    </row>
    <row r="19475">
      <c r="H19475" t="s">
        <v>5117</v>
      </c>
    </row>
    <row r="19476">
      <c r="H19476" t="s">
        <v>5117</v>
      </c>
    </row>
    <row r="19477">
      <c r="H19477" t="s">
        <v>5117</v>
      </c>
    </row>
    <row r="19478">
      <c r="H19478" t="s">
        <v>5117</v>
      </c>
    </row>
    <row r="19479">
      <c r="H19479" t="s">
        <v>5117</v>
      </c>
    </row>
    <row r="19480">
      <c r="H19480" t="s">
        <v>5117</v>
      </c>
    </row>
    <row r="19481">
      <c r="H19481" t="s">
        <v>5117</v>
      </c>
    </row>
    <row r="19482">
      <c r="H19482" t="s">
        <v>5117</v>
      </c>
    </row>
    <row r="19483">
      <c r="H19483" t="s">
        <v>5117</v>
      </c>
    </row>
    <row r="19484">
      <c r="H19484" t="s">
        <v>5117</v>
      </c>
    </row>
    <row r="19485">
      <c r="H19485" t="s">
        <v>5117</v>
      </c>
    </row>
    <row r="19486">
      <c r="H19486" t="s">
        <v>5117</v>
      </c>
    </row>
    <row r="19487">
      <c r="H19487" t="s">
        <v>5117</v>
      </c>
    </row>
    <row r="19488">
      <c r="H19488" t="s">
        <v>5117</v>
      </c>
    </row>
    <row r="19489">
      <c r="H19489" t="s">
        <v>5117</v>
      </c>
    </row>
    <row r="19490">
      <c r="H19490" t="s">
        <v>5117</v>
      </c>
    </row>
    <row r="19491">
      <c r="H19491" t="s">
        <v>5117</v>
      </c>
    </row>
    <row r="19492">
      <c r="H19492" t="s">
        <v>5117</v>
      </c>
    </row>
    <row r="19493">
      <c r="H19493" t="s">
        <v>5117</v>
      </c>
    </row>
    <row r="19494">
      <c r="H19494" t="s">
        <v>5117</v>
      </c>
    </row>
    <row r="19495">
      <c r="H19495" t="s">
        <v>5117</v>
      </c>
    </row>
    <row r="19496">
      <c r="H19496" t="s">
        <v>5117</v>
      </c>
    </row>
    <row r="19497">
      <c r="H19497" t="s">
        <v>5117</v>
      </c>
    </row>
    <row r="19498">
      <c r="H19498" t="s">
        <v>5117</v>
      </c>
    </row>
    <row r="19499">
      <c r="H19499" t="s">
        <v>5117</v>
      </c>
    </row>
    <row r="19500">
      <c r="H19500" t="s">
        <v>5117</v>
      </c>
    </row>
    <row r="19501">
      <c r="H19501" t="s">
        <v>5117</v>
      </c>
    </row>
    <row r="19502">
      <c r="H19502" t="s">
        <v>5117</v>
      </c>
    </row>
    <row r="19503">
      <c r="H19503" t="s">
        <v>5117</v>
      </c>
    </row>
    <row r="19504">
      <c r="H19504" t="s">
        <v>5117</v>
      </c>
    </row>
    <row r="19505">
      <c r="H19505" t="s">
        <v>5117</v>
      </c>
    </row>
    <row r="19506">
      <c r="H19506" t="s">
        <v>5117</v>
      </c>
    </row>
    <row r="19507">
      <c r="H19507" t="s">
        <v>5117</v>
      </c>
    </row>
    <row r="19508">
      <c r="H19508" t="s">
        <v>5117</v>
      </c>
    </row>
    <row r="19509">
      <c r="H19509" t="s">
        <v>5117</v>
      </c>
    </row>
    <row r="19510">
      <c r="H19510" t="s">
        <v>5117</v>
      </c>
    </row>
    <row r="19511">
      <c r="H19511" t="s">
        <v>5117</v>
      </c>
    </row>
    <row r="19512">
      <c r="H19512" t="s">
        <v>5117</v>
      </c>
    </row>
    <row r="19513">
      <c r="H19513" t="s">
        <v>5117</v>
      </c>
    </row>
    <row r="19514">
      <c r="H19514" t="s">
        <v>5117</v>
      </c>
    </row>
    <row r="19515">
      <c r="H19515" t="s">
        <v>5117</v>
      </c>
    </row>
    <row r="19516">
      <c r="H19516" t="s">
        <v>5117</v>
      </c>
    </row>
    <row r="19517">
      <c r="H19517" t="s">
        <v>5117</v>
      </c>
    </row>
    <row r="19518">
      <c r="H19518" t="s">
        <v>5117</v>
      </c>
    </row>
    <row r="19519">
      <c r="H19519" t="s">
        <v>5117</v>
      </c>
    </row>
    <row r="19520">
      <c r="H19520" t="s">
        <v>5117</v>
      </c>
    </row>
    <row r="19521">
      <c r="H19521" t="s">
        <v>5117</v>
      </c>
    </row>
    <row r="19522">
      <c r="H19522" t="s">
        <v>5117</v>
      </c>
    </row>
    <row r="19523">
      <c r="H19523" t="s">
        <v>5117</v>
      </c>
    </row>
    <row r="19524">
      <c r="H19524" t="s">
        <v>5117</v>
      </c>
    </row>
    <row r="19525">
      <c r="H19525" t="s">
        <v>5117</v>
      </c>
    </row>
    <row r="19526">
      <c r="H19526" t="s">
        <v>5117</v>
      </c>
    </row>
    <row r="19527">
      <c r="H19527" t="s">
        <v>5117</v>
      </c>
    </row>
    <row r="19528">
      <c r="H19528" t="s">
        <v>5117</v>
      </c>
    </row>
    <row r="19529">
      <c r="H19529" t="s">
        <v>5117</v>
      </c>
    </row>
    <row r="19530">
      <c r="H19530" t="s">
        <v>5117</v>
      </c>
    </row>
    <row r="19531">
      <c r="H19531" t="s">
        <v>5117</v>
      </c>
    </row>
    <row r="19532">
      <c r="H19532" t="s">
        <v>5117</v>
      </c>
    </row>
    <row r="19533">
      <c r="H19533" t="s">
        <v>5117</v>
      </c>
    </row>
    <row r="19534">
      <c r="H19534" t="s">
        <v>5117</v>
      </c>
    </row>
    <row r="19535">
      <c r="H19535" t="s">
        <v>5117</v>
      </c>
    </row>
    <row r="19536">
      <c r="H19536" t="s">
        <v>5117</v>
      </c>
    </row>
    <row r="19537">
      <c r="H19537" t="s">
        <v>5117</v>
      </c>
    </row>
    <row r="19538">
      <c r="H19538" t="s">
        <v>5117</v>
      </c>
    </row>
    <row r="19539">
      <c r="H19539" t="s">
        <v>5117</v>
      </c>
    </row>
    <row r="19540">
      <c r="H19540" t="s">
        <v>5117</v>
      </c>
    </row>
    <row r="19541">
      <c r="H19541" t="s">
        <v>5117</v>
      </c>
    </row>
    <row r="19542">
      <c r="H19542" t="s">
        <v>5117</v>
      </c>
    </row>
    <row r="19543">
      <c r="H19543" t="s">
        <v>5117</v>
      </c>
    </row>
    <row r="19544">
      <c r="H19544" t="s">
        <v>5117</v>
      </c>
    </row>
    <row r="19545">
      <c r="H19545" t="s">
        <v>5117</v>
      </c>
    </row>
    <row r="19546">
      <c r="H19546" t="s">
        <v>5117</v>
      </c>
    </row>
    <row r="19547">
      <c r="H19547" t="s">
        <v>5117</v>
      </c>
    </row>
    <row r="19548">
      <c r="H19548" t="s">
        <v>5117</v>
      </c>
    </row>
    <row r="19549">
      <c r="H19549" t="s">
        <v>5117</v>
      </c>
    </row>
    <row r="19550">
      <c r="H19550" t="s">
        <v>5117</v>
      </c>
    </row>
    <row r="19551">
      <c r="H19551" t="s">
        <v>5117</v>
      </c>
    </row>
    <row r="19552">
      <c r="H19552" t="s">
        <v>5117</v>
      </c>
    </row>
    <row r="19553">
      <c r="H19553" t="s">
        <v>5117</v>
      </c>
    </row>
    <row r="19554">
      <c r="H19554" t="s">
        <v>5117</v>
      </c>
    </row>
    <row r="19555">
      <c r="H19555" t="s">
        <v>5117</v>
      </c>
    </row>
    <row r="19556">
      <c r="H19556" t="s">
        <v>5117</v>
      </c>
    </row>
    <row r="19557">
      <c r="H19557" t="s">
        <v>5117</v>
      </c>
    </row>
    <row r="19558">
      <c r="H19558" t="s">
        <v>5117</v>
      </c>
    </row>
    <row r="19559">
      <c r="H19559" t="s">
        <v>5117</v>
      </c>
    </row>
    <row r="19560">
      <c r="H19560" t="s">
        <v>5117</v>
      </c>
    </row>
    <row r="19561">
      <c r="H19561" t="s">
        <v>5117</v>
      </c>
    </row>
    <row r="19562">
      <c r="H19562" t="s">
        <v>5117</v>
      </c>
    </row>
    <row r="19563">
      <c r="H19563" t="s">
        <v>5117</v>
      </c>
    </row>
    <row r="19564">
      <c r="H19564" t="s">
        <v>5117</v>
      </c>
    </row>
    <row r="19565">
      <c r="H19565" t="s">
        <v>5117</v>
      </c>
    </row>
    <row r="19566">
      <c r="H19566" t="s">
        <v>5117</v>
      </c>
    </row>
    <row r="19567">
      <c r="H19567" t="s">
        <v>5117</v>
      </c>
    </row>
    <row r="19568">
      <c r="H19568" t="s">
        <v>5117</v>
      </c>
    </row>
    <row r="19569">
      <c r="H19569" t="s">
        <v>5117</v>
      </c>
    </row>
    <row r="19570">
      <c r="H19570" t="s">
        <v>5117</v>
      </c>
    </row>
    <row r="19571">
      <c r="H19571" t="s">
        <v>5117</v>
      </c>
    </row>
    <row r="19572">
      <c r="H19572" t="s">
        <v>5117</v>
      </c>
    </row>
    <row r="19573">
      <c r="H19573" t="s">
        <v>5117</v>
      </c>
    </row>
    <row r="19574">
      <c r="H19574" t="s">
        <v>5117</v>
      </c>
    </row>
    <row r="19575">
      <c r="H19575" t="s">
        <v>5117</v>
      </c>
    </row>
    <row r="19576">
      <c r="H19576" t="s">
        <v>5117</v>
      </c>
    </row>
    <row r="19577">
      <c r="H19577" t="s">
        <v>5117</v>
      </c>
    </row>
    <row r="19578">
      <c r="H19578" t="s">
        <v>5117</v>
      </c>
    </row>
    <row r="19579">
      <c r="H19579" t="s">
        <v>5117</v>
      </c>
    </row>
    <row r="19580">
      <c r="H19580" t="s">
        <v>5117</v>
      </c>
    </row>
    <row r="19581">
      <c r="H19581" t="s">
        <v>5117</v>
      </c>
    </row>
    <row r="19582">
      <c r="H19582" t="s">
        <v>5117</v>
      </c>
    </row>
    <row r="19583">
      <c r="H19583" t="s">
        <v>5117</v>
      </c>
    </row>
    <row r="19584">
      <c r="H19584" t="s">
        <v>5117</v>
      </c>
    </row>
    <row r="19585">
      <c r="H19585" t="s">
        <v>5117</v>
      </c>
    </row>
    <row r="19586">
      <c r="H19586" t="s">
        <v>5117</v>
      </c>
    </row>
    <row r="19587">
      <c r="H19587" t="s">
        <v>5117</v>
      </c>
    </row>
    <row r="19588">
      <c r="H19588" t="s">
        <v>5117</v>
      </c>
    </row>
    <row r="19589">
      <c r="H19589" t="s">
        <v>5117</v>
      </c>
    </row>
    <row r="19590">
      <c r="H19590" t="s">
        <v>5117</v>
      </c>
    </row>
    <row r="19591">
      <c r="H19591" t="s">
        <v>5117</v>
      </c>
    </row>
    <row r="19592">
      <c r="H19592" t="s">
        <v>5117</v>
      </c>
    </row>
    <row r="19593">
      <c r="H19593" t="s">
        <v>5117</v>
      </c>
    </row>
    <row r="19594">
      <c r="H19594" t="s">
        <v>5117</v>
      </c>
    </row>
    <row r="19595">
      <c r="H19595" t="s">
        <v>5117</v>
      </c>
    </row>
    <row r="19596">
      <c r="H19596" t="s">
        <v>5117</v>
      </c>
    </row>
    <row r="19597">
      <c r="H19597" t="s">
        <v>5117</v>
      </c>
    </row>
    <row r="19598">
      <c r="H19598" t="s">
        <v>5117</v>
      </c>
    </row>
    <row r="19599">
      <c r="H19599" t="s">
        <v>5117</v>
      </c>
    </row>
    <row r="19600">
      <c r="H19600" t="s">
        <v>5117</v>
      </c>
    </row>
    <row r="19601">
      <c r="H19601" t="s">
        <v>5117</v>
      </c>
    </row>
    <row r="19602">
      <c r="H19602" t="s">
        <v>5117</v>
      </c>
    </row>
    <row r="19603">
      <c r="H19603" t="s">
        <v>5117</v>
      </c>
    </row>
    <row r="19604">
      <c r="H19604" t="s">
        <v>5117</v>
      </c>
    </row>
    <row r="19605">
      <c r="H19605" t="s">
        <v>5117</v>
      </c>
    </row>
    <row r="19606">
      <c r="H19606" t="s">
        <v>5117</v>
      </c>
    </row>
    <row r="19607">
      <c r="H19607" t="s">
        <v>5117</v>
      </c>
    </row>
    <row r="19608">
      <c r="H19608" t="s">
        <v>5117</v>
      </c>
    </row>
    <row r="19609">
      <c r="H19609" t="s">
        <v>5117</v>
      </c>
    </row>
    <row r="19610">
      <c r="H19610" t="s">
        <v>5117</v>
      </c>
    </row>
    <row r="19611">
      <c r="H19611" t="s">
        <v>5117</v>
      </c>
    </row>
    <row r="19612">
      <c r="H19612" t="s">
        <v>5117</v>
      </c>
    </row>
    <row r="19613">
      <c r="H19613" t="s">
        <v>5117</v>
      </c>
    </row>
    <row r="19614">
      <c r="H19614" t="s">
        <v>5117</v>
      </c>
    </row>
    <row r="19615">
      <c r="H19615" t="s">
        <v>5117</v>
      </c>
    </row>
    <row r="19616">
      <c r="H19616" t="s">
        <v>5117</v>
      </c>
    </row>
    <row r="19617">
      <c r="H19617" t="s">
        <v>5117</v>
      </c>
    </row>
    <row r="19618">
      <c r="H19618" t="s">
        <v>5117</v>
      </c>
    </row>
    <row r="19619">
      <c r="H19619" t="s">
        <v>5117</v>
      </c>
    </row>
    <row r="19620">
      <c r="H19620" t="s">
        <v>5117</v>
      </c>
    </row>
    <row r="19621">
      <c r="H19621" t="s">
        <v>5117</v>
      </c>
    </row>
    <row r="19622">
      <c r="H19622" t="s">
        <v>5117</v>
      </c>
    </row>
    <row r="19623">
      <c r="H19623" t="s">
        <v>5117</v>
      </c>
    </row>
    <row r="19624">
      <c r="H19624" t="s">
        <v>5117</v>
      </c>
    </row>
    <row r="19625">
      <c r="H19625" t="s">
        <v>5117</v>
      </c>
    </row>
    <row r="19626">
      <c r="H19626" t="s">
        <v>5117</v>
      </c>
    </row>
    <row r="19627">
      <c r="H19627" t="s">
        <v>5117</v>
      </c>
    </row>
    <row r="19628">
      <c r="H19628" t="s">
        <v>5117</v>
      </c>
    </row>
    <row r="19629">
      <c r="H19629" t="s">
        <v>5117</v>
      </c>
    </row>
    <row r="19630">
      <c r="H19630" t="s">
        <v>5117</v>
      </c>
    </row>
    <row r="19631">
      <c r="H19631" t="s">
        <v>5117</v>
      </c>
    </row>
    <row r="19632">
      <c r="H19632" t="s">
        <v>5117</v>
      </c>
    </row>
    <row r="19633">
      <c r="H19633" t="s">
        <v>5117</v>
      </c>
    </row>
    <row r="19634">
      <c r="H19634" t="s">
        <v>5117</v>
      </c>
    </row>
    <row r="19635">
      <c r="H19635" t="s">
        <v>5117</v>
      </c>
    </row>
    <row r="19636">
      <c r="H19636" t="s">
        <v>5117</v>
      </c>
    </row>
    <row r="19637">
      <c r="H19637" t="s">
        <v>5117</v>
      </c>
    </row>
    <row r="19638">
      <c r="H19638" t="s">
        <v>5117</v>
      </c>
    </row>
    <row r="19639">
      <c r="H19639" t="s">
        <v>5117</v>
      </c>
    </row>
    <row r="19640">
      <c r="H19640" t="s">
        <v>5117</v>
      </c>
    </row>
    <row r="19641">
      <c r="H19641" t="s">
        <v>5117</v>
      </c>
    </row>
    <row r="19642">
      <c r="H19642" t="s">
        <v>5117</v>
      </c>
    </row>
    <row r="19643">
      <c r="H19643" t="s">
        <v>5117</v>
      </c>
    </row>
    <row r="19644">
      <c r="H19644" t="s">
        <v>5117</v>
      </c>
    </row>
    <row r="19645">
      <c r="H19645" t="s">
        <v>5117</v>
      </c>
    </row>
    <row r="19646">
      <c r="H19646" t="s">
        <v>5117</v>
      </c>
    </row>
    <row r="19647">
      <c r="H19647" t="s">
        <v>5117</v>
      </c>
    </row>
    <row r="19648">
      <c r="H19648" t="s">
        <v>5117</v>
      </c>
    </row>
    <row r="19649">
      <c r="H19649" t="s">
        <v>5117</v>
      </c>
    </row>
    <row r="19650">
      <c r="H19650" t="s">
        <v>5117</v>
      </c>
    </row>
    <row r="19651">
      <c r="H19651" t="s">
        <v>5117</v>
      </c>
    </row>
    <row r="19652">
      <c r="H19652" t="s">
        <v>5117</v>
      </c>
    </row>
    <row r="19653">
      <c r="H19653" t="s">
        <v>5117</v>
      </c>
    </row>
    <row r="19654">
      <c r="H19654" t="s">
        <v>5117</v>
      </c>
    </row>
    <row r="19655">
      <c r="H19655" t="s">
        <v>5117</v>
      </c>
    </row>
    <row r="19656">
      <c r="H19656" t="s">
        <v>5117</v>
      </c>
    </row>
    <row r="19657">
      <c r="H19657" t="s">
        <v>5117</v>
      </c>
    </row>
    <row r="19658">
      <c r="H19658" t="s">
        <v>5117</v>
      </c>
    </row>
    <row r="19659">
      <c r="H19659" t="s">
        <v>5117</v>
      </c>
    </row>
    <row r="19660">
      <c r="H19660" t="s">
        <v>5117</v>
      </c>
    </row>
    <row r="19661">
      <c r="H19661" t="s">
        <v>5117</v>
      </c>
    </row>
    <row r="19662">
      <c r="H19662" t="s">
        <v>5117</v>
      </c>
    </row>
    <row r="19663">
      <c r="H19663" t="s">
        <v>5117</v>
      </c>
    </row>
    <row r="19664">
      <c r="H19664" t="s">
        <v>5117</v>
      </c>
    </row>
    <row r="19665">
      <c r="H19665" t="s">
        <v>5117</v>
      </c>
    </row>
    <row r="19666">
      <c r="H19666" t="s">
        <v>5117</v>
      </c>
    </row>
    <row r="19667">
      <c r="H19667" t="s">
        <v>5117</v>
      </c>
    </row>
    <row r="19668">
      <c r="H19668" t="s">
        <v>5117</v>
      </c>
    </row>
    <row r="19669">
      <c r="H19669" t="s">
        <v>5117</v>
      </c>
    </row>
    <row r="19670">
      <c r="H19670" t="s">
        <v>5117</v>
      </c>
    </row>
    <row r="19671">
      <c r="H19671" t="s">
        <v>5117</v>
      </c>
    </row>
    <row r="19672">
      <c r="H19672" t="s">
        <v>5117</v>
      </c>
    </row>
    <row r="19673">
      <c r="H19673" t="s">
        <v>5117</v>
      </c>
    </row>
    <row r="19674">
      <c r="H19674" t="s">
        <v>5117</v>
      </c>
    </row>
    <row r="19675">
      <c r="H19675" t="s">
        <v>5117</v>
      </c>
    </row>
    <row r="19676">
      <c r="H19676" t="s">
        <v>5117</v>
      </c>
    </row>
    <row r="19677">
      <c r="H19677" t="s">
        <v>5117</v>
      </c>
    </row>
    <row r="19678">
      <c r="H19678" t="s">
        <v>5117</v>
      </c>
    </row>
    <row r="19679">
      <c r="H19679" t="s">
        <v>5117</v>
      </c>
    </row>
    <row r="19680">
      <c r="H19680" t="s">
        <v>5117</v>
      </c>
    </row>
    <row r="19681">
      <c r="H19681" t="s">
        <v>5117</v>
      </c>
    </row>
    <row r="19682">
      <c r="H19682" t="s">
        <v>5117</v>
      </c>
    </row>
    <row r="19683">
      <c r="H19683" t="s">
        <v>5117</v>
      </c>
    </row>
    <row r="19684">
      <c r="H19684" t="s">
        <v>5117</v>
      </c>
    </row>
    <row r="19685">
      <c r="H19685" t="s">
        <v>5117</v>
      </c>
    </row>
    <row r="19686">
      <c r="H19686" t="s">
        <v>5117</v>
      </c>
    </row>
    <row r="19687">
      <c r="H19687" t="s">
        <v>5117</v>
      </c>
    </row>
    <row r="19688">
      <c r="H19688" t="s">
        <v>5117</v>
      </c>
    </row>
    <row r="19689">
      <c r="H19689" t="s">
        <v>5117</v>
      </c>
    </row>
    <row r="19690">
      <c r="H19690" t="s">
        <v>5117</v>
      </c>
    </row>
    <row r="19691">
      <c r="H19691" t="s">
        <v>5117</v>
      </c>
    </row>
    <row r="19692">
      <c r="H19692" t="s">
        <v>5117</v>
      </c>
    </row>
    <row r="19693">
      <c r="H19693" t="s">
        <v>5117</v>
      </c>
    </row>
    <row r="19694">
      <c r="H19694" t="s">
        <v>5117</v>
      </c>
    </row>
    <row r="19695">
      <c r="H19695" t="s">
        <v>5117</v>
      </c>
    </row>
    <row r="19696">
      <c r="H19696" t="s">
        <v>5117</v>
      </c>
    </row>
    <row r="19697">
      <c r="H19697" t="s">
        <v>5117</v>
      </c>
    </row>
    <row r="19698">
      <c r="H19698" t="s">
        <v>5117</v>
      </c>
    </row>
    <row r="19699">
      <c r="H19699" t="s">
        <v>5117</v>
      </c>
    </row>
    <row r="19700">
      <c r="H19700" t="s">
        <v>5117</v>
      </c>
    </row>
    <row r="19701">
      <c r="H19701" t="s">
        <v>5117</v>
      </c>
    </row>
    <row r="19702">
      <c r="H19702" t="s">
        <v>5117</v>
      </c>
    </row>
    <row r="19703">
      <c r="H19703" t="s">
        <v>5117</v>
      </c>
    </row>
    <row r="19704">
      <c r="H19704" t="s">
        <v>5117</v>
      </c>
    </row>
    <row r="19705">
      <c r="H19705" t="s">
        <v>5117</v>
      </c>
    </row>
    <row r="19706">
      <c r="H19706" t="s">
        <v>5117</v>
      </c>
    </row>
    <row r="19707">
      <c r="H19707" t="s">
        <v>5117</v>
      </c>
    </row>
    <row r="19708">
      <c r="H19708" t="s">
        <v>5117</v>
      </c>
    </row>
    <row r="19709">
      <c r="H19709" t="s">
        <v>5117</v>
      </c>
    </row>
    <row r="19710">
      <c r="H19710" t="s">
        <v>5117</v>
      </c>
    </row>
    <row r="19711">
      <c r="H19711" t="s">
        <v>5117</v>
      </c>
    </row>
    <row r="19712">
      <c r="H19712" t="s">
        <v>5117</v>
      </c>
    </row>
    <row r="19713">
      <c r="H19713" t="s">
        <v>5117</v>
      </c>
    </row>
    <row r="19714">
      <c r="H19714" t="s">
        <v>5117</v>
      </c>
    </row>
    <row r="19715">
      <c r="H19715" t="s">
        <v>5117</v>
      </c>
    </row>
    <row r="19716">
      <c r="H19716" t="s">
        <v>5117</v>
      </c>
    </row>
    <row r="19717">
      <c r="H19717" t="s">
        <v>5117</v>
      </c>
    </row>
    <row r="19718">
      <c r="H19718" t="s">
        <v>5117</v>
      </c>
    </row>
    <row r="19719">
      <c r="H19719" t="s">
        <v>5117</v>
      </c>
    </row>
    <row r="19720">
      <c r="H19720" t="s">
        <v>5117</v>
      </c>
    </row>
    <row r="19721">
      <c r="H19721" t="s">
        <v>5117</v>
      </c>
    </row>
    <row r="19722">
      <c r="H19722" t="s">
        <v>5117</v>
      </c>
    </row>
    <row r="19723">
      <c r="H19723" t="s">
        <v>5117</v>
      </c>
    </row>
    <row r="19724">
      <c r="H19724" t="s">
        <v>5117</v>
      </c>
    </row>
    <row r="19725">
      <c r="H19725" t="s">
        <v>5117</v>
      </c>
    </row>
    <row r="19726">
      <c r="H19726" t="s">
        <v>5117</v>
      </c>
    </row>
    <row r="19727">
      <c r="H19727" t="s">
        <v>5117</v>
      </c>
    </row>
    <row r="19728">
      <c r="H19728" t="s">
        <v>5117</v>
      </c>
    </row>
    <row r="19729">
      <c r="H19729" t="s">
        <v>5117</v>
      </c>
    </row>
    <row r="19730">
      <c r="H19730" t="s">
        <v>5117</v>
      </c>
    </row>
    <row r="19731">
      <c r="H19731" t="s">
        <v>5117</v>
      </c>
    </row>
    <row r="19732">
      <c r="H19732" t="s">
        <v>5117</v>
      </c>
    </row>
    <row r="19733">
      <c r="H19733" t="s">
        <v>5117</v>
      </c>
    </row>
    <row r="19734">
      <c r="H19734" t="s">
        <v>5117</v>
      </c>
    </row>
    <row r="19735">
      <c r="H19735" t="s">
        <v>5117</v>
      </c>
    </row>
    <row r="19736">
      <c r="H19736" t="s">
        <v>5117</v>
      </c>
    </row>
    <row r="19737">
      <c r="H19737" t="s">
        <v>5117</v>
      </c>
    </row>
    <row r="19738">
      <c r="H19738" t="s">
        <v>5117</v>
      </c>
    </row>
    <row r="19739">
      <c r="H19739" t="s">
        <v>5117</v>
      </c>
    </row>
    <row r="19740">
      <c r="H19740" t="s">
        <v>5117</v>
      </c>
    </row>
    <row r="19741">
      <c r="H19741" t="s">
        <v>5117</v>
      </c>
    </row>
    <row r="19742">
      <c r="H19742" t="s">
        <v>5117</v>
      </c>
    </row>
    <row r="19743">
      <c r="H19743" t="s">
        <v>5117</v>
      </c>
    </row>
    <row r="19744">
      <c r="H19744" t="s">
        <v>5117</v>
      </c>
    </row>
    <row r="19745">
      <c r="H19745" t="s">
        <v>5117</v>
      </c>
    </row>
    <row r="19746">
      <c r="H19746" t="s">
        <v>5117</v>
      </c>
    </row>
    <row r="19747">
      <c r="H19747" t="s">
        <v>5117</v>
      </c>
    </row>
    <row r="19748">
      <c r="H19748" t="s">
        <v>5117</v>
      </c>
    </row>
    <row r="19749">
      <c r="H19749" t="s">
        <v>5117</v>
      </c>
    </row>
    <row r="19750">
      <c r="H19750" t="s">
        <v>5117</v>
      </c>
    </row>
    <row r="19751">
      <c r="H19751" t="s">
        <v>5117</v>
      </c>
    </row>
    <row r="19752">
      <c r="H19752" t="s">
        <v>5117</v>
      </c>
    </row>
    <row r="19753">
      <c r="H19753" t="s">
        <v>5117</v>
      </c>
    </row>
    <row r="19754">
      <c r="H19754" t="s">
        <v>5117</v>
      </c>
    </row>
    <row r="19755">
      <c r="H19755" t="s">
        <v>5117</v>
      </c>
    </row>
    <row r="19756">
      <c r="H19756" t="s">
        <v>5117</v>
      </c>
    </row>
    <row r="19757">
      <c r="H19757" t="s">
        <v>5117</v>
      </c>
    </row>
    <row r="19758">
      <c r="H19758" t="s">
        <v>5117</v>
      </c>
    </row>
    <row r="19759">
      <c r="H19759" t="s">
        <v>5117</v>
      </c>
    </row>
    <row r="19760">
      <c r="H19760" t="s">
        <v>5117</v>
      </c>
    </row>
    <row r="19761">
      <c r="H19761" t="s">
        <v>5117</v>
      </c>
    </row>
    <row r="19762">
      <c r="H19762" t="s">
        <v>5117</v>
      </c>
    </row>
    <row r="19763">
      <c r="H19763" t="s">
        <v>5117</v>
      </c>
    </row>
    <row r="19764">
      <c r="H19764" t="s">
        <v>5117</v>
      </c>
    </row>
    <row r="19765">
      <c r="H19765" t="s">
        <v>5117</v>
      </c>
    </row>
    <row r="19766">
      <c r="H19766" t="s">
        <v>5117</v>
      </c>
    </row>
    <row r="19767">
      <c r="H19767" t="s">
        <v>5117</v>
      </c>
    </row>
    <row r="19768">
      <c r="H19768" t="s">
        <v>5117</v>
      </c>
    </row>
    <row r="19769">
      <c r="H19769" t="s">
        <v>5117</v>
      </c>
    </row>
    <row r="19770">
      <c r="H19770" t="s">
        <v>5117</v>
      </c>
    </row>
    <row r="19771">
      <c r="H19771" t="s">
        <v>5117</v>
      </c>
    </row>
    <row r="19772">
      <c r="H19772" t="s">
        <v>5117</v>
      </c>
    </row>
    <row r="19773">
      <c r="H19773" t="s">
        <v>5117</v>
      </c>
    </row>
    <row r="19774">
      <c r="H19774" t="s">
        <v>5117</v>
      </c>
    </row>
    <row r="19775">
      <c r="H19775" t="s">
        <v>5117</v>
      </c>
    </row>
    <row r="19776">
      <c r="H19776" t="s">
        <v>5117</v>
      </c>
    </row>
    <row r="19777">
      <c r="H19777" t="s">
        <v>5117</v>
      </c>
    </row>
    <row r="19778">
      <c r="H19778" t="s">
        <v>5117</v>
      </c>
    </row>
    <row r="19779">
      <c r="H19779" t="s">
        <v>5117</v>
      </c>
    </row>
    <row r="19780">
      <c r="H19780" t="s">
        <v>5117</v>
      </c>
    </row>
    <row r="19781">
      <c r="H19781" t="s">
        <v>5117</v>
      </c>
    </row>
    <row r="19782">
      <c r="H19782" t="s">
        <v>5117</v>
      </c>
    </row>
    <row r="19783">
      <c r="H19783" t="s">
        <v>5117</v>
      </c>
    </row>
    <row r="19784">
      <c r="H19784" t="s">
        <v>5117</v>
      </c>
    </row>
    <row r="19785">
      <c r="H19785" t="s">
        <v>5117</v>
      </c>
    </row>
    <row r="19786">
      <c r="H19786" t="s">
        <v>5117</v>
      </c>
    </row>
    <row r="19787">
      <c r="H19787" t="s">
        <v>5117</v>
      </c>
    </row>
    <row r="19788">
      <c r="H19788" t="s">
        <v>5117</v>
      </c>
    </row>
    <row r="19789">
      <c r="H19789" t="s">
        <v>5117</v>
      </c>
    </row>
    <row r="19790">
      <c r="H19790" t="s">
        <v>5117</v>
      </c>
    </row>
    <row r="19791">
      <c r="H19791" t="s">
        <v>5117</v>
      </c>
    </row>
    <row r="19792">
      <c r="H19792" t="s">
        <v>5117</v>
      </c>
    </row>
    <row r="19793">
      <c r="H19793" t="s">
        <v>5117</v>
      </c>
    </row>
    <row r="19794">
      <c r="H19794" t="s">
        <v>5117</v>
      </c>
    </row>
    <row r="19795">
      <c r="H19795" t="s">
        <v>5117</v>
      </c>
    </row>
    <row r="19796">
      <c r="H19796" t="s">
        <v>5117</v>
      </c>
    </row>
    <row r="19797">
      <c r="H19797" t="s">
        <v>5117</v>
      </c>
    </row>
    <row r="19798">
      <c r="H19798" t="s">
        <v>5117</v>
      </c>
    </row>
    <row r="19799">
      <c r="H19799" t="s">
        <v>5117</v>
      </c>
    </row>
    <row r="19800">
      <c r="H19800" t="s">
        <v>5117</v>
      </c>
    </row>
    <row r="19801">
      <c r="H19801" t="s">
        <v>5117</v>
      </c>
    </row>
    <row r="19802">
      <c r="H19802" t="s">
        <v>5117</v>
      </c>
    </row>
    <row r="19803">
      <c r="H19803" t="s">
        <v>5117</v>
      </c>
    </row>
    <row r="19804">
      <c r="H19804" t="s">
        <v>5117</v>
      </c>
    </row>
    <row r="19805">
      <c r="H19805" t="s">
        <v>5117</v>
      </c>
    </row>
    <row r="19806">
      <c r="H19806" t="s">
        <v>5117</v>
      </c>
    </row>
    <row r="19807">
      <c r="H19807" t="s">
        <v>5117</v>
      </c>
    </row>
    <row r="19808">
      <c r="H19808" t="s">
        <v>5117</v>
      </c>
    </row>
    <row r="19809">
      <c r="H19809" t="s">
        <v>5117</v>
      </c>
    </row>
    <row r="19810">
      <c r="H19810" t="s">
        <v>5117</v>
      </c>
    </row>
    <row r="19811">
      <c r="H19811" t="s">
        <v>5117</v>
      </c>
    </row>
    <row r="19812">
      <c r="H19812" t="s">
        <v>5117</v>
      </c>
    </row>
    <row r="19813">
      <c r="H19813" t="s">
        <v>5117</v>
      </c>
    </row>
    <row r="19814">
      <c r="H19814" t="s">
        <v>5117</v>
      </c>
    </row>
    <row r="19815">
      <c r="H19815" t="s">
        <v>5117</v>
      </c>
    </row>
    <row r="19816">
      <c r="H19816" t="s">
        <v>5117</v>
      </c>
    </row>
    <row r="19817">
      <c r="H19817" t="s">
        <v>5117</v>
      </c>
    </row>
    <row r="19818">
      <c r="H19818" t="s">
        <v>5117</v>
      </c>
    </row>
    <row r="19819">
      <c r="H19819" t="s">
        <v>5117</v>
      </c>
    </row>
    <row r="19820">
      <c r="H19820" t="s">
        <v>5117</v>
      </c>
    </row>
    <row r="19821">
      <c r="H19821" t="s">
        <v>5117</v>
      </c>
    </row>
    <row r="19822">
      <c r="H19822" t="s">
        <v>5117</v>
      </c>
    </row>
    <row r="19823">
      <c r="H19823" t="s">
        <v>5117</v>
      </c>
    </row>
    <row r="19824">
      <c r="H19824" t="s">
        <v>5117</v>
      </c>
    </row>
    <row r="19825">
      <c r="H19825" t="s">
        <v>5117</v>
      </c>
    </row>
    <row r="19826">
      <c r="H19826" t="s">
        <v>5117</v>
      </c>
    </row>
    <row r="19827">
      <c r="H19827" t="s">
        <v>5117</v>
      </c>
    </row>
    <row r="19828">
      <c r="H19828" t="s">
        <v>5117</v>
      </c>
    </row>
    <row r="19829">
      <c r="H19829" t="s">
        <v>5117</v>
      </c>
    </row>
    <row r="19830">
      <c r="H19830" t="s">
        <v>5117</v>
      </c>
    </row>
    <row r="19831">
      <c r="H19831" t="s">
        <v>5117</v>
      </c>
    </row>
    <row r="19832">
      <c r="H19832" t="s">
        <v>5117</v>
      </c>
    </row>
    <row r="19833">
      <c r="H19833" t="s">
        <v>5117</v>
      </c>
    </row>
    <row r="19834">
      <c r="H19834" t="s">
        <v>5117</v>
      </c>
    </row>
    <row r="19835">
      <c r="H19835" t="s">
        <v>5117</v>
      </c>
    </row>
    <row r="19836">
      <c r="H19836" t="s">
        <v>5117</v>
      </c>
    </row>
    <row r="19837">
      <c r="H19837" t="s">
        <v>5117</v>
      </c>
    </row>
    <row r="19838">
      <c r="H19838" t="s">
        <v>5117</v>
      </c>
    </row>
    <row r="19839">
      <c r="H19839" t="s">
        <v>5117</v>
      </c>
    </row>
    <row r="19840">
      <c r="H19840" t="s">
        <v>5117</v>
      </c>
    </row>
    <row r="19841">
      <c r="H19841" t="s">
        <v>5117</v>
      </c>
    </row>
    <row r="19842">
      <c r="H19842" t="s">
        <v>5117</v>
      </c>
    </row>
    <row r="19843">
      <c r="H19843" t="s">
        <v>5117</v>
      </c>
    </row>
    <row r="19844">
      <c r="H19844" t="s">
        <v>5117</v>
      </c>
    </row>
    <row r="19845">
      <c r="H19845" t="s">
        <v>5117</v>
      </c>
    </row>
    <row r="19846">
      <c r="H19846" t="s">
        <v>5117</v>
      </c>
    </row>
    <row r="19847">
      <c r="H19847" t="s">
        <v>5117</v>
      </c>
    </row>
    <row r="19848">
      <c r="H19848" t="s">
        <v>5117</v>
      </c>
    </row>
    <row r="19849">
      <c r="H19849" t="s">
        <v>5117</v>
      </c>
    </row>
    <row r="19850">
      <c r="H19850" t="s">
        <v>5117</v>
      </c>
    </row>
    <row r="19851">
      <c r="H19851" t="s">
        <v>5117</v>
      </c>
    </row>
    <row r="19852">
      <c r="H19852" t="s">
        <v>5117</v>
      </c>
    </row>
    <row r="19853">
      <c r="H19853" t="s">
        <v>5117</v>
      </c>
    </row>
    <row r="19854">
      <c r="H19854" t="s">
        <v>5117</v>
      </c>
    </row>
    <row r="19855">
      <c r="H19855" t="s">
        <v>5117</v>
      </c>
    </row>
    <row r="19856">
      <c r="H19856" t="s">
        <v>5117</v>
      </c>
    </row>
    <row r="19857">
      <c r="H19857" t="s">
        <v>5117</v>
      </c>
    </row>
    <row r="19858">
      <c r="H19858" t="s">
        <v>5117</v>
      </c>
    </row>
    <row r="19859">
      <c r="H19859" t="s">
        <v>5117</v>
      </c>
    </row>
    <row r="19860">
      <c r="H19860" t="s">
        <v>5117</v>
      </c>
    </row>
    <row r="19861">
      <c r="H19861" t="s">
        <v>5117</v>
      </c>
    </row>
    <row r="19862">
      <c r="H19862" t="s">
        <v>5117</v>
      </c>
    </row>
    <row r="19863">
      <c r="H19863" t="s">
        <v>5117</v>
      </c>
    </row>
    <row r="19864">
      <c r="H19864" t="s">
        <v>5117</v>
      </c>
    </row>
    <row r="19865">
      <c r="H19865" t="s">
        <v>5117</v>
      </c>
    </row>
    <row r="19866">
      <c r="H19866" t="s">
        <v>5117</v>
      </c>
    </row>
    <row r="19867">
      <c r="H19867" t="s">
        <v>5117</v>
      </c>
    </row>
    <row r="19868">
      <c r="H19868" t="s">
        <v>5117</v>
      </c>
    </row>
    <row r="19869">
      <c r="H19869" t="s">
        <v>5117</v>
      </c>
    </row>
    <row r="19870">
      <c r="H19870" t="s">
        <v>5117</v>
      </c>
    </row>
    <row r="19871">
      <c r="H19871" t="s">
        <v>5117</v>
      </c>
    </row>
    <row r="19872">
      <c r="H19872" t="s">
        <v>5117</v>
      </c>
    </row>
    <row r="19873">
      <c r="H19873" t="s">
        <v>5117</v>
      </c>
    </row>
    <row r="19874">
      <c r="H19874" t="s">
        <v>5117</v>
      </c>
    </row>
    <row r="19875">
      <c r="H19875" t="s">
        <v>5117</v>
      </c>
    </row>
    <row r="19876">
      <c r="H19876" t="s">
        <v>5117</v>
      </c>
    </row>
    <row r="19877">
      <c r="H19877" t="s">
        <v>5117</v>
      </c>
    </row>
    <row r="19878">
      <c r="H19878" t="s">
        <v>5117</v>
      </c>
    </row>
    <row r="19879">
      <c r="H19879" t="s">
        <v>5117</v>
      </c>
    </row>
    <row r="19880">
      <c r="H19880" t="s">
        <v>5117</v>
      </c>
    </row>
    <row r="19881">
      <c r="H19881" t="s">
        <v>5117</v>
      </c>
    </row>
    <row r="19882">
      <c r="H19882" t="s">
        <v>5117</v>
      </c>
    </row>
    <row r="19883">
      <c r="H19883" t="s">
        <v>5117</v>
      </c>
    </row>
    <row r="19884">
      <c r="H19884" t="s">
        <v>5117</v>
      </c>
    </row>
    <row r="19885">
      <c r="H19885" t="s">
        <v>5117</v>
      </c>
    </row>
    <row r="19886">
      <c r="H19886" t="s">
        <v>5117</v>
      </c>
    </row>
    <row r="19887">
      <c r="H19887" t="s">
        <v>5117</v>
      </c>
    </row>
    <row r="19888">
      <c r="H19888" t="s">
        <v>5117</v>
      </c>
    </row>
    <row r="19889">
      <c r="H19889" t="s">
        <v>5117</v>
      </c>
    </row>
    <row r="19890">
      <c r="H19890" t="s">
        <v>5117</v>
      </c>
    </row>
    <row r="19891">
      <c r="H19891" t="s">
        <v>5117</v>
      </c>
    </row>
    <row r="19892">
      <c r="H19892" t="s">
        <v>5117</v>
      </c>
    </row>
    <row r="19893">
      <c r="H19893" t="s">
        <v>5117</v>
      </c>
    </row>
    <row r="19894">
      <c r="H19894" t="s">
        <v>5117</v>
      </c>
    </row>
    <row r="19895">
      <c r="H19895" t="s">
        <v>5117</v>
      </c>
    </row>
    <row r="19896">
      <c r="H19896" t="s">
        <v>5117</v>
      </c>
    </row>
    <row r="19897">
      <c r="H19897" t="s">
        <v>5117</v>
      </c>
    </row>
    <row r="19898">
      <c r="H19898" t="s">
        <v>5117</v>
      </c>
    </row>
    <row r="19899">
      <c r="H19899" t="s">
        <v>5117</v>
      </c>
    </row>
    <row r="19900">
      <c r="H19900" t="s">
        <v>5117</v>
      </c>
    </row>
    <row r="19901">
      <c r="H19901" t="s">
        <v>5117</v>
      </c>
    </row>
    <row r="19902">
      <c r="H19902" t="s">
        <v>5117</v>
      </c>
    </row>
    <row r="19903">
      <c r="H19903" t="s">
        <v>5117</v>
      </c>
    </row>
    <row r="19904">
      <c r="H19904" t="s">
        <v>5117</v>
      </c>
    </row>
    <row r="19905">
      <c r="H19905" t="s">
        <v>5117</v>
      </c>
    </row>
    <row r="19906">
      <c r="H19906" t="s">
        <v>5117</v>
      </c>
    </row>
    <row r="19907">
      <c r="H19907" t="s">
        <v>5117</v>
      </c>
    </row>
    <row r="19908">
      <c r="H19908" t="s">
        <v>5117</v>
      </c>
    </row>
    <row r="19909">
      <c r="H19909" t="s">
        <v>5117</v>
      </c>
    </row>
    <row r="19910">
      <c r="H19910" t="s">
        <v>5117</v>
      </c>
    </row>
    <row r="19911">
      <c r="H19911" t="s">
        <v>5117</v>
      </c>
    </row>
    <row r="19912">
      <c r="H19912" t="s">
        <v>5117</v>
      </c>
    </row>
    <row r="19913">
      <c r="H19913" t="s">
        <v>5117</v>
      </c>
    </row>
    <row r="19914">
      <c r="H19914" t="s">
        <v>5117</v>
      </c>
    </row>
    <row r="19915">
      <c r="H19915" t="s">
        <v>5117</v>
      </c>
    </row>
    <row r="19916">
      <c r="H19916" t="s">
        <v>5117</v>
      </c>
    </row>
    <row r="19917">
      <c r="H19917" t="s">
        <v>5117</v>
      </c>
    </row>
    <row r="19918">
      <c r="H19918" t="s">
        <v>5117</v>
      </c>
    </row>
    <row r="19919">
      <c r="H19919" t="s">
        <v>5117</v>
      </c>
    </row>
    <row r="19920">
      <c r="H19920" t="s">
        <v>5117</v>
      </c>
    </row>
    <row r="19921">
      <c r="H19921" t="s">
        <v>5117</v>
      </c>
    </row>
    <row r="19922">
      <c r="H19922" t="s">
        <v>5117</v>
      </c>
    </row>
    <row r="19923">
      <c r="H19923" t="s">
        <v>5117</v>
      </c>
    </row>
    <row r="19924">
      <c r="H19924" t="s">
        <v>5117</v>
      </c>
    </row>
    <row r="19925">
      <c r="H19925" t="s">
        <v>5117</v>
      </c>
    </row>
    <row r="19926">
      <c r="H19926" t="s">
        <v>5117</v>
      </c>
    </row>
    <row r="19927">
      <c r="H19927" t="s">
        <v>5117</v>
      </c>
    </row>
    <row r="19928">
      <c r="H19928" t="s">
        <v>5117</v>
      </c>
    </row>
    <row r="19929">
      <c r="H19929" t="s">
        <v>5117</v>
      </c>
    </row>
    <row r="19930">
      <c r="H19930" t="s">
        <v>5117</v>
      </c>
    </row>
    <row r="19931">
      <c r="H19931" t="s">
        <v>5117</v>
      </c>
    </row>
    <row r="19932">
      <c r="H19932" t="s">
        <v>5117</v>
      </c>
    </row>
    <row r="19933">
      <c r="H19933" t="s">
        <v>5117</v>
      </c>
    </row>
    <row r="19934">
      <c r="H19934" t="s">
        <v>5117</v>
      </c>
    </row>
    <row r="19935">
      <c r="H19935" t="s">
        <v>5117</v>
      </c>
    </row>
    <row r="19936">
      <c r="H19936" t="s">
        <v>5117</v>
      </c>
    </row>
    <row r="19937">
      <c r="H19937" t="s">
        <v>5117</v>
      </c>
    </row>
    <row r="19938">
      <c r="H19938" t="s">
        <v>5117</v>
      </c>
    </row>
    <row r="19939">
      <c r="H19939" t="s">
        <v>5117</v>
      </c>
    </row>
    <row r="19940">
      <c r="H19940" t="s">
        <v>5117</v>
      </c>
    </row>
    <row r="19941">
      <c r="H19941" t="s">
        <v>5117</v>
      </c>
    </row>
    <row r="19942">
      <c r="H19942" t="s">
        <v>5117</v>
      </c>
    </row>
    <row r="19943">
      <c r="H19943" t="s">
        <v>5117</v>
      </c>
    </row>
    <row r="19944">
      <c r="H19944" t="s">
        <v>5117</v>
      </c>
    </row>
    <row r="19945">
      <c r="H19945" t="s">
        <v>5117</v>
      </c>
    </row>
    <row r="19946">
      <c r="H19946" t="s">
        <v>5117</v>
      </c>
    </row>
    <row r="19947">
      <c r="H19947" t="s">
        <v>5117</v>
      </c>
    </row>
    <row r="19948">
      <c r="H19948" t="s">
        <v>5117</v>
      </c>
    </row>
    <row r="19949">
      <c r="H19949" t="s">
        <v>5117</v>
      </c>
    </row>
    <row r="19950">
      <c r="H19950" t="s">
        <v>5117</v>
      </c>
    </row>
    <row r="19951">
      <c r="H19951" t="s">
        <v>5117</v>
      </c>
    </row>
    <row r="19952">
      <c r="H19952" t="s">
        <v>5117</v>
      </c>
    </row>
    <row r="19953">
      <c r="H19953" t="s">
        <v>5117</v>
      </c>
    </row>
    <row r="19954">
      <c r="H19954" t="s">
        <v>5117</v>
      </c>
    </row>
    <row r="19955">
      <c r="H19955" t="s">
        <v>5117</v>
      </c>
    </row>
    <row r="19956">
      <c r="H19956" t="s">
        <v>5117</v>
      </c>
    </row>
    <row r="19957">
      <c r="H19957" t="s">
        <v>5117</v>
      </c>
    </row>
    <row r="19958">
      <c r="H19958" t="s">
        <v>5117</v>
      </c>
    </row>
    <row r="19959">
      <c r="H19959" t="s">
        <v>5117</v>
      </c>
    </row>
    <row r="19960">
      <c r="H19960" t="s">
        <v>5117</v>
      </c>
    </row>
    <row r="19961">
      <c r="H19961" t="s">
        <v>5117</v>
      </c>
    </row>
    <row r="19962">
      <c r="H19962" t="s">
        <v>5117</v>
      </c>
    </row>
    <row r="19963">
      <c r="H19963" t="s">
        <v>5117</v>
      </c>
    </row>
    <row r="19964">
      <c r="H19964" t="s">
        <v>5117</v>
      </c>
    </row>
    <row r="19965">
      <c r="H19965" t="s">
        <v>5117</v>
      </c>
    </row>
    <row r="19966">
      <c r="H19966" t="s">
        <v>5117</v>
      </c>
    </row>
    <row r="19967">
      <c r="H19967" t="s">
        <v>5117</v>
      </c>
    </row>
    <row r="19968">
      <c r="H19968" t="s">
        <v>5117</v>
      </c>
    </row>
    <row r="19969">
      <c r="H19969" t="s">
        <v>5117</v>
      </c>
    </row>
    <row r="19970">
      <c r="H19970" t="s">
        <v>5117</v>
      </c>
    </row>
    <row r="19971">
      <c r="H19971" t="s">
        <v>5117</v>
      </c>
    </row>
    <row r="19972">
      <c r="H19972" t="s">
        <v>5117</v>
      </c>
    </row>
    <row r="19973">
      <c r="H19973" t="s">
        <v>5117</v>
      </c>
    </row>
    <row r="19974">
      <c r="H19974" t="s">
        <v>5117</v>
      </c>
    </row>
    <row r="19975">
      <c r="H19975" t="s">
        <v>5117</v>
      </c>
    </row>
    <row r="19976">
      <c r="H19976" t="s">
        <v>5117</v>
      </c>
    </row>
    <row r="19977">
      <c r="H19977" t="s">
        <v>5117</v>
      </c>
    </row>
    <row r="19978">
      <c r="H19978" t="s">
        <v>5117</v>
      </c>
    </row>
    <row r="19979">
      <c r="H19979" t="s">
        <v>5117</v>
      </c>
    </row>
    <row r="19980">
      <c r="H19980" t="s">
        <v>5117</v>
      </c>
    </row>
    <row r="19981">
      <c r="H19981" t="s">
        <v>5117</v>
      </c>
    </row>
    <row r="19982">
      <c r="H19982" t="s">
        <v>5117</v>
      </c>
    </row>
    <row r="19983">
      <c r="H19983" t="s">
        <v>5117</v>
      </c>
    </row>
    <row r="19984">
      <c r="H19984" t="s">
        <v>5117</v>
      </c>
    </row>
    <row r="19985">
      <c r="H19985" t="s">
        <v>5117</v>
      </c>
    </row>
    <row r="19986">
      <c r="H19986" t="s">
        <v>5117</v>
      </c>
    </row>
    <row r="19987">
      <c r="H19987" t="s">
        <v>5117</v>
      </c>
    </row>
    <row r="19988">
      <c r="H19988" t="s">
        <v>5117</v>
      </c>
    </row>
    <row r="19989">
      <c r="H19989" t="s">
        <v>5117</v>
      </c>
    </row>
    <row r="19990">
      <c r="H19990" t="s">
        <v>5117</v>
      </c>
    </row>
    <row r="19991">
      <c r="H19991" t="s">
        <v>5117</v>
      </c>
    </row>
    <row r="19992">
      <c r="H19992" t="s">
        <v>5117</v>
      </c>
    </row>
    <row r="19993">
      <c r="H19993" t="s">
        <v>5117</v>
      </c>
    </row>
    <row r="19994">
      <c r="H19994" t="s">
        <v>5117</v>
      </c>
    </row>
    <row r="19995">
      <c r="H19995" t="s">
        <v>5117</v>
      </c>
    </row>
    <row r="19996">
      <c r="H19996" t="s">
        <v>5117</v>
      </c>
    </row>
    <row r="19997">
      <c r="H19997" t="s">
        <v>5117</v>
      </c>
    </row>
    <row r="19998">
      <c r="H19998" t="s">
        <v>5117</v>
      </c>
    </row>
    <row r="19999">
      <c r="H19999" t="s">
        <v>5117</v>
      </c>
    </row>
    <row r="20000">
      <c r="H20000" t="s">
        <v>5117</v>
      </c>
    </row>
    <row r="20001">
      <c r="H20001" t="s">
        <v>5117</v>
      </c>
    </row>
    <row r="20002">
      <c r="H20002" t="s">
        <v>5117</v>
      </c>
    </row>
    <row r="20003">
      <c r="H20003" t="s">
        <v>5117</v>
      </c>
    </row>
    <row r="20004">
      <c r="H20004" t="s">
        <v>5117</v>
      </c>
    </row>
    <row r="20005">
      <c r="H20005" t="s">
        <v>5117</v>
      </c>
    </row>
    <row r="20006">
      <c r="H20006" t="s">
        <v>5117</v>
      </c>
    </row>
    <row r="20007">
      <c r="H20007" t="s">
        <v>5117</v>
      </c>
    </row>
    <row r="20008">
      <c r="H20008" t="s">
        <v>5117</v>
      </c>
    </row>
    <row r="20009">
      <c r="H20009" t="s">
        <v>5117</v>
      </c>
    </row>
    <row r="20010">
      <c r="H20010" t="s">
        <v>5117</v>
      </c>
    </row>
    <row r="20011">
      <c r="H20011" t="s">
        <v>5117</v>
      </c>
    </row>
    <row r="20012">
      <c r="H20012" t="s">
        <v>5117</v>
      </c>
    </row>
    <row r="20013">
      <c r="H20013" t="s">
        <v>5117</v>
      </c>
    </row>
    <row r="20014">
      <c r="H20014" t="s">
        <v>5117</v>
      </c>
    </row>
    <row r="20015">
      <c r="H20015" t="s">
        <v>5117</v>
      </c>
    </row>
    <row r="20016">
      <c r="H20016" t="s">
        <v>5117</v>
      </c>
    </row>
    <row r="20017">
      <c r="H20017" t="s">
        <v>5117</v>
      </c>
    </row>
    <row r="20018">
      <c r="H20018" t="s">
        <v>5117</v>
      </c>
    </row>
    <row r="20019">
      <c r="H20019" t="s">
        <v>5117</v>
      </c>
    </row>
    <row r="20020">
      <c r="H20020" t="s">
        <v>5117</v>
      </c>
    </row>
    <row r="20021">
      <c r="H20021" t="s">
        <v>5117</v>
      </c>
    </row>
    <row r="20022">
      <c r="H20022" t="s">
        <v>5117</v>
      </c>
    </row>
    <row r="20023">
      <c r="H20023" t="s">
        <v>5117</v>
      </c>
    </row>
    <row r="20024">
      <c r="H20024" t="s">
        <v>5117</v>
      </c>
    </row>
    <row r="20025">
      <c r="H20025" t="s">
        <v>5117</v>
      </c>
    </row>
    <row r="20026">
      <c r="H20026" t="s">
        <v>5117</v>
      </c>
    </row>
    <row r="20027">
      <c r="H20027" t="s">
        <v>5117</v>
      </c>
    </row>
    <row r="20028">
      <c r="H20028" t="s">
        <v>5117</v>
      </c>
    </row>
    <row r="20029">
      <c r="H20029" t="s">
        <v>5117</v>
      </c>
    </row>
    <row r="20030">
      <c r="H20030" t="s">
        <v>5117</v>
      </c>
    </row>
    <row r="20031">
      <c r="H20031" t="s">
        <v>5117</v>
      </c>
    </row>
    <row r="20032">
      <c r="H20032" t="s">
        <v>5117</v>
      </c>
    </row>
    <row r="20033">
      <c r="H20033" t="s">
        <v>5117</v>
      </c>
    </row>
    <row r="20034">
      <c r="H20034" t="s">
        <v>5117</v>
      </c>
    </row>
    <row r="20035">
      <c r="H20035" t="s">
        <v>5117</v>
      </c>
    </row>
    <row r="20036">
      <c r="H20036" t="s">
        <v>5117</v>
      </c>
    </row>
    <row r="20037">
      <c r="H20037" t="s">
        <v>5117</v>
      </c>
    </row>
    <row r="20038">
      <c r="H20038" t="s">
        <v>5117</v>
      </c>
    </row>
    <row r="20039">
      <c r="H20039" t="s">
        <v>5117</v>
      </c>
    </row>
    <row r="20040">
      <c r="H20040" t="s">
        <v>5117</v>
      </c>
    </row>
    <row r="20041">
      <c r="H20041" t="s">
        <v>5117</v>
      </c>
    </row>
    <row r="20042">
      <c r="H20042" t="s">
        <v>5117</v>
      </c>
    </row>
    <row r="20043">
      <c r="H20043" t="s">
        <v>5117</v>
      </c>
    </row>
    <row r="20044">
      <c r="H20044" t="s">
        <v>5117</v>
      </c>
    </row>
    <row r="20045">
      <c r="H20045" t="s">
        <v>5117</v>
      </c>
    </row>
    <row r="20046">
      <c r="H20046" t="s">
        <v>5117</v>
      </c>
    </row>
    <row r="20047">
      <c r="H20047" t="s">
        <v>5117</v>
      </c>
    </row>
    <row r="20048">
      <c r="H20048" t="s">
        <v>5117</v>
      </c>
    </row>
    <row r="20049">
      <c r="H20049" t="s">
        <v>5117</v>
      </c>
    </row>
    <row r="20050">
      <c r="H20050" t="s">
        <v>5117</v>
      </c>
    </row>
    <row r="20051">
      <c r="H20051" t="s">
        <v>5117</v>
      </c>
    </row>
    <row r="20052">
      <c r="H20052" t="s">
        <v>5117</v>
      </c>
    </row>
    <row r="20053">
      <c r="H20053" t="s">
        <v>5117</v>
      </c>
    </row>
    <row r="20054">
      <c r="H20054" t="s">
        <v>5117</v>
      </c>
    </row>
    <row r="20055">
      <c r="H20055" t="s">
        <v>5117</v>
      </c>
    </row>
    <row r="20056">
      <c r="H20056" t="s">
        <v>5117</v>
      </c>
    </row>
    <row r="20057">
      <c r="H20057" t="s">
        <v>5117</v>
      </c>
    </row>
    <row r="20058">
      <c r="H20058" t="s">
        <v>5117</v>
      </c>
    </row>
    <row r="20059">
      <c r="H20059" t="s">
        <v>5117</v>
      </c>
    </row>
    <row r="20060">
      <c r="H20060" t="s">
        <v>5117</v>
      </c>
    </row>
    <row r="20061">
      <c r="H20061" t="s">
        <v>5117</v>
      </c>
    </row>
    <row r="20062">
      <c r="H20062" t="s">
        <v>5117</v>
      </c>
    </row>
    <row r="20063">
      <c r="H20063" t="s">
        <v>5117</v>
      </c>
    </row>
    <row r="20064">
      <c r="H20064" t="s">
        <v>5117</v>
      </c>
    </row>
    <row r="20065">
      <c r="H20065" t="s">
        <v>5117</v>
      </c>
    </row>
    <row r="20066">
      <c r="H20066" t="s">
        <v>5117</v>
      </c>
    </row>
    <row r="20067">
      <c r="H20067" t="s">
        <v>5117</v>
      </c>
    </row>
    <row r="20068">
      <c r="H20068" t="s">
        <v>5117</v>
      </c>
    </row>
    <row r="20069">
      <c r="H20069" t="s">
        <v>5117</v>
      </c>
    </row>
    <row r="20070">
      <c r="H20070" t="s">
        <v>5117</v>
      </c>
    </row>
    <row r="20071">
      <c r="H20071" t="s">
        <v>5117</v>
      </c>
    </row>
    <row r="20072">
      <c r="H20072" t="s">
        <v>5117</v>
      </c>
    </row>
    <row r="20073">
      <c r="H20073" t="s">
        <v>5117</v>
      </c>
    </row>
    <row r="20074">
      <c r="H20074" t="s">
        <v>5117</v>
      </c>
    </row>
    <row r="20075">
      <c r="H20075" t="s">
        <v>5117</v>
      </c>
    </row>
    <row r="20076">
      <c r="H20076" t="s">
        <v>5117</v>
      </c>
    </row>
    <row r="20077">
      <c r="H20077" t="s">
        <v>5117</v>
      </c>
    </row>
    <row r="20078">
      <c r="H20078" t="s">
        <v>5117</v>
      </c>
    </row>
    <row r="20079">
      <c r="H20079" t="s">
        <v>5117</v>
      </c>
    </row>
    <row r="20080">
      <c r="H20080" t="s">
        <v>5117</v>
      </c>
    </row>
    <row r="20081">
      <c r="H20081" t="s">
        <v>5117</v>
      </c>
    </row>
    <row r="20082">
      <c r="H20082" t="s">
        <v>5117</v>
      </c>
    </row>
    <row r="20083">
      <c r="H20083" t="s">
        <v>5117</v>
      </c>
    </row>
    <row r="20084">
      <c r="H20084" t="s">
        <v>5117</v>
      </c>
    </row>
    <row r="20085">
      <c r="H20085" t="s">
        <v>5117</v>
      </c>
    </row>
    <row r="20086">
      <c r="H20086" t="s">
        <v>5117</v>
      </c>
    </row>
    <row r="20087">
      <c r="H20087" t="s">
        <v>5117</v>
      </c>
    </row>
    <row r="20088">
      <c r="H20088" t="s">
        <v>5117</v>
      </c>
    </row>
    <row r="20089">
      <c r="H20089" t="s">
        <v>5117</v>
      </c>
    </row>
    <row r="20090">
      <c r="H20090" t="s">
        <v>5117</v>
      </c>
    </row>
    <row r="20091">
      <c r="H20091" t="s">
        <v>5117</v>
      </c>
    </row>
    <row r="20092">
      <c r="H20092" t="s">
        <v>5117</v>
      </c>
    </row>
    <row r="20093">
      <c r="H20093" t="s">
        <v>5117</v>
      </c>
    </row>
    <row r="20094">
      <c r="H20094" t="s">
        <v>5117</v>
      </c>
    </row>
    <row r="20095">
      <c r="H20095" t="s">
        <v>5117</v>
      </c>
    </row>
    <row r="20096">
      <c r="H20096" t="s">
        <v>5117</v>
      </c>
    </row>
    <row r="20097">
      <c r="H20097" t="s">
        <v>5117</v>
      </c>
    </row>
    <row r="20098">
      <c r="H20098" t="s">
        <v>5117</v>
      </c>
    </row>
    <row r="20099">
      <c r="H20099" t="s">
        <v>5117</v>
      </c>
    </row>
    <row r="20100">
      <c r="H20100" t="s">
        <v>5117</v>
      </c>
    </row>
    <row r="20101">
      <c r="H20101" t="s">
        <v>5117</v>
      </c>
    </row>
    <row r="20102">
      <c r="H20102" t="s">
        <v>5117</v>
      </c>
    </row>
    <row r="20103">
      <c r="H20103" t="s">
        <v>5117</v>
      </c>
    </row>
    <row r="20104">
      <c r="H20104" t="s">
        <v>5117</v>
      </c>
    </row>
    <row r="20105">
      <c r="H20105" t="s">
        <v>5117</v>
      </c>
    </row>
    <row r="20106">
      <c r="H20106" t="s">
        <v>5117</v>
      </c>
    </row>
    <row r="20107">
      <c r="H20107" t="s">
        <v>5117</v>
      </c>
    </row>
    <row r="20108">
      <c r="H20108" t="s">
        <v>5117</v>
      </c>
    </row>
    <row r="20109">
      <c r="H20109" t="s">
        <v>5117</v>
      </c>
    </row>
    <row r="20110">
      <c r="H20110" t="s">
        <v>5117</v>
      </c>
    </row>
    <row r="20111">
      <c r="H20111" t="s">
        <v>5117</v>
      </c>
    </row>
    <row r="20112">
      <c r="H20112" t="s">
        <v>5117</v>
      </c>
    </row>
    <row r="20113">
      <c r="H20113" t="s">
        <v>5117</v>
      </c>
    </row>
    <row r="20114">
      <c r="H20114" t="s">
        <v>5117</v>
      </c>
    </row>
    <row r="20115">
      <c r="H20115" t="s">
        <v>5117</v>
      </c>
    </row>
    <row r="20116">
      <c r="H20116" t="s">
        <v>5117</v>
      </c>
    </row>
    <row r="20117">
      <c r="H20117" t="s">
        <v>5117</v>
      </c>
    </row>
    <row r="20118">
      <c r="H20118" t="s">
        <v>5117</v>
      </c>
    </row>
    <row r="20119">
      <c r="H20119" t="s">
        <v>5117</v>
      </c>
    </row>
    <row r="20120">
      <c r="H20120" t="s">
        <v>5117</v>
      </c>
    </row>
    <row r="20121">
      <c r="H20121" t="s">
        <v>5117</v>
      </c>
    </row>
    <row r="20122">
      <c r="H20122" t="s">
        <v>5117</v>
      </c>
    </row>
    <row r="20123">
      <c r="H20123" t="s">
        <v>5117</v>
      </c>
    </row>
    <row r="20124">
      <c r="H20124" t="s">
        <v>5117</v>
      </c>
    </row>
    <row r="20125">
      <c r="H20125" t="s">
        <v>5117</v>
      </c>
    </row>
    <row r="20126">
      <c r="H20126" t="s">
        <v>5117</v>
      </c>
    </row>
    <row r="20127">
      <c r="H20127" t="s">
        <v>5117</v>
      </c>
    </row>
    <row r="20128">
      <c r="H20128" t="s">
        <v>5117</v>
      </c>
    </row>
    <row r="20129">
      <c r="H20129" t="s">
        <v>5117</v>
      </c>
    </row>
    <row r="20130">
      <c r="H20130" t="s">
        <v>5117</v>
      </c>
    </row>
    <row r="20131">
      <c r="H20131" t="s">
        <v>5117</v>
      </c>
    </row>
    <row r="20132">
      <c r="H20132" t="s">
        <v>5117</v>
      </c>
    </row>
    <row r="20133">
      <c r="H20133" t="s">
        <v>5117</v>
      </c>
    </row>
    <row r="20134">
      <c r="H20134" t="s">
        <v>5117</v>
      </c>
    </row>
    <row r="20135">
      <c r="H20135" t="s">
        <v>5117</v>
      </c>
    </row>
    <row r="20136">
      <c r="H20136" t="s">
        <v>5117</v>
      </c>
    </row>
    <row r="20137">
      <c r="H20137" t="s">
        <v>5117</v>
      </c>
    </row>
    <row r="20138">
      <c r="H20138" t="s">
        <v>5117</v>
      </c>
    </row>
    <row r="20139">
      <c r="H20139" t="s">
        <v>5117</v>
      </c>
    </row>
    <row r="20140">
      <c r="H20140" t="s">
        <v>5117</v>
      </c>
    </row>
    <row r="20141">
      <c r="H20141" t="s">
        <v>5117</v>
      </c>
    </row>
    <row r="20142">
      <c r="H20142" t="s">
        <v>5117</v>
      </c>
    </row>
    <row r="20143">
      <c r="H20143" t="s">
        <v>5117</v>
      </c>
    </row>
    <row r="20144">
      <c r="H20144" t="s">
        <v>5117</v>
      </c>
    </row>
    <row r="20145">
      <c r="H20145" t="s">
        <v>5117</v>
      </c>
    </row>
    <row r="20146">
      <c r="H20146" t="s">
        <v>5117</v>
      </c>
    </row>
    <row r="20147">
      <c r="H20147" t="s">
        <v>5117</v>
      </c>
    </row>
    <row r="20148">
      <c r="H20148" t="s">
        <v>5117</v>
      </c>
    </row>
    <row r="20149">
      <c r="H20149" t="s">
        <v>5117</v>
      </c>
    </row>
    <row r="20150">
      <c r="H20150" t="s">
        <v>5117</v>
      </c>
    </row>
    <row r="20151">
      <c r="H20151" t="s">
        <v>5117</v>
      </c>
    </row>
    <row r="20152">
      <c r="H20152" t="s">
        <v>5117</v>
      </c>
    </row>
    <row r="20153">
      <c r="H20153" t="s">
        <v>5117</v>
      </c>
    </row>
    <row r="20154">
      <c r="H20154" t="s">
        <v>5117</v>
      </c>
    </row>
    <row r="20155">
      <c r="H20155" t="s">
        <v>5117</v>
      </c>
    </row>
    <row r="20156">
      <c r="H20156" t="s">
        <v>5117</v>
      </c>
    </row>
    <row r="20157">
      <c r="H20157" t="s">
        <v>5117</v>
      </c>
    </row>
    <row r="20158">
      <c r="H20158" t="s">
        <v>5117</v>
      </c>
    </row>
    <row r="20159">
      <c r="H20159" t="s">
        <v>5117</v>
      </c>
    </row>
    <row r="20160">
      <c r="H20160" t="s">
        <v>5117</v>
      </c>
    </row>
    <row r="20161">
      <c r="H20161" t="s">
        <v>5117</v>
      </c>
    </row>
    <row r="20162">
      <c r="H20162" t="s">
        <v>5117</v>
      </c>
    </row>
    <row r="20163">
      <c r="H20163" t="s">
        <v>5117</v>
      </c>
    </row>
    <row r="20164">
      <c r="H20164" t="s">
        <v>5117</v>
      </c>
    </row>
    <row r="20165">
      <c r="H20165" t="s">
        <v>5117</v>
      </c>
    </row>
    <row r="20166">
      <c r="H20166" t="s">
        <v>5117</v>
      </c>
    </row>
    <row r="20167">
      <c r="H20167" t="s">
        <v>5117</v>
      </c>
    </row>
    <row r="20168">
      <c r="H20168" t="s">
        <v>5117</v>
      </c>
    </row>
    <row r="20169">
      <c r="H20169" t="s">
        <v>5117</v>
      </c>
    </row>
    <row r="20170">
      <c r="H20170" t="s">
        <v>5117</v>
      </c>
    </row>
    <row r="20171">
      <c r="H20171" t="s">
        <v>5117</v>
      </c>
    </row>
    <row r="20172">
      <c r="H20172" t="s">
        <v>5117</v>
      </c>
    </row>
    <row r="20173">
      <c r="H20173" t="s">
        <v>5117</v>
      </c>
    </row>
    <row r="20174">
      <c r="H20174" t="s">
        <v>5117</v>
      </c>
    </row>
    <row r="20175">
      <c r="H20175" t="s">
        <v>5117</v>
      </c>
    </row>
    <row r="20176">
      <c r="H20176" t="s">
        <v>5117</v>
      </c>
    </row>
    <row r="20177">
      <c r="H20177" t="s">
        <v>5117</v>
      </c>
    </row>
    <row r="20178">
      <c r="H20178" t="s">
        <v>5117</v>
      </c>
    </row>
    <row r="20179">
      <c r="H20179" t="s">
        <v>5117</v>
      </c>
    </row>
    <row r="20180">
      <c r="H20180" t="s">
        <v>5117</v>
      </c>
    </row>
    <row r="20181">
      <c r="H20181" t="s">
        <v>5117</v>
      </c>
    </row>
    <row r="20182">
      <c r="H20182" t="s">
        <v>5117</v>
      </c>
    </row>
    <row r="20183">
      <c r="H20183" t="s">
        <v>5117</v>
      </c>
    </row>
    <row r="20184">
      <c r="H20184" t="s">
        <v>5117</v>
      </c>
    </row>
    <row r="20185">
      <c r="H20185" t="s">
        <v>5117</v>
      </c>
    </row>
    <row r="20186">
      <c r="H20186" t="s">
        <v>5117</v>
      </c>
    </row>
    <row r="20187">
      <c r="H20187" t="s">
        <v>5117</v>
      </c>
    </row>
    <row r="20188">
      <c r="H20188" t="s">
        <v>5117</v>
      </c>
    </row>
    <row r="20189">
      <c r="H20189" t="s">
        <v>5117</v>
      </c>
    </row>
    <row r="20190">
      <c r="H20190" t="s">
        <v>5117</v>
      </c>
    </row>
    <row r="20191">
      <c r="H20191" t="s">
        <v>5117</v>
      </c>
    </row>
    <row r="20192">
      <c r="H20192" t="s">
        <v>5117</v>
      </c>
    </row>
    <row r="20193">
      <c r="H20193" t="s">
        <v>5117</v>
      </c>
    </row>
    <row r="20194">
      <c r="H20194" t="s">
        <v>5117</v>
      </c>
    </row>
    <row r="20195">
      <c r="H20195" t="s">
        <v>5117</v>
      </c>
    </row>
    <row r="20196">
      <c r="H20196" t="s">
        <v>5117</v>
      </c>
    </row>
    <row r="20197">
      <c r="H20197" t="s">
        <v>5117</v>
      </c>
    </row>
    <row r="20198">
      <c r="H20198" t="s">
        <v>5117</v>
      </c>
    </row>
    <row r="20199">
      <c r="H20199" t="s">
        <v>5117</v>
      </c>
    </row>
    <row r="20200">
      <c r="H20200" t="s">
        <v>5117</v>
      </c>
    </row>
    <row r="20201">
      <c r="H20201" t="s">
        <v>5117</v>
      </c>
    </row>
    <row r="20202">
      <c r="H20202" t="s">
        <v>5117</v>
      </c>
    </row>
    <row r="20203">
      <c r="H20203" t="s">
        <v>5117</v>
      </c>
    </row>
    <row r="20204">
      <c r="H20204" t="s">
        <v>5117</v>
      </c>
    </row>
    <row r="20205">
      <c r="H20205" t="s">
        <v>5117</v>
      </c>
    </row>
    <row r="20206">
      <c r="H20206" t="s">
        <v>5117</v>
      </c>
    </row>
    <row r="20207">
      <c r="H20207" t="s">
        <v>5117</v>
      </c>
    </row>
    <row r="20208">
      <c r="H20208" t="s">
        <v>5117</v>
      </c>
    </row>
    <row r="20209">
      <c r="H20209" t="s">
        <v>5117</v>
      </c>
    </row>
    <row r="20210">
      <c r="H20210" t="s">
        <v>5117</v>
      </c>
    </row>
    <row r="20211">
      <c r="H20211" t="s">
        <v>5117</v>
      </c>
    </row>
    <row r="20212">
      <c r="H20212" t="s">
        <v>5117</v>
      </c>
    </row>
    <row r="20213">
      <c r="H20213" t="s">
        <v>5117</v>
      </c>
    </row>
    <row r="20214">
      <c r="H20214" t="s">
        <v>5117</v>
      </c>
    </row>
    <row r="20215">
      <c r="H20215" t="s">
        <v>5117</v>
      </c>
    </row>
    <row r="20216">
      <c r="H20216" t="s">
        <v>5117</v>
      </c>
    </row>
    <row r="20217">
      <c r="H20217" t="s">
        <v>5117</v>
      </c>
    </row>
    <row r="20218">
      <c r="H20218" t="s">
        <v>5117</v>
      </c>
    </row>
    <row r="20219">
      <c r="H20219" t="s">
        <v>5117</v>
      </c>
    </row>
    <row r="20220">
      <c r="H20220" t="s">
        <v>5117</v>
      </c>
    </row>
    <row r="20221">
      <c r="H20221" t="s">
        <v>5117</v>
      </c>
    </row>
    <row r="20222">
      <c r="H20222" t="s">
        <v>5117</v>
      </c>
    </row>
    <row r="20223">
      <c r="H20223" t="s">
        <v>5117</v>
      </c>
    </row>
    <row r="20224">
      <c r="H20224" t="s">
        <v>5117</v>
      </c>
    </row>
    <row r="20225">
      <c r="H20225" t="s">
        <v>5117</v>
      </c>
    </row>
    <row r="20226">
      <c r="H20226" t="s">
        <v>5117</v>
      </c>
    </row>
    <row r="20227">
      <c r="H20227" t="s">
        <v>5117</v>
      </c>
    </row>
    <row r="20228">
      <c r="H20228" t="s">
        <v>5117</v>
      </c>
    </row>
    <row r="20229">
      <c r="H20229" t="s">
        <v>5117</v>
      </c>
    </row>
    <row r="20230">
      <c r="H20230" t="s">
        <v>5117</v>
      </c>
    </row>
    <row r="20231">
      <c r="H20231" t="s">
        <v>5117</v>
      </c>
    </row>
    <row r="20232">
      <c r="H20232" t="s">
        <v>5117</v>
      </c>
    </row>
    <row r="20233">
      <c r="H20233" t="s">
        <v>5117</v>
      </c>
    </row>
    <row r="20234">
      <c r="H20234" t="s">
        <v>5117</v>
      </c>
    </row>
    <row r="20235">
      <c r="H20235" t="s">
        <v>5117</v>
      </c>
    </row>
    <row r="20236">
      <c r="H20236" t="s">
        <v>5117</v>
      </c>
    </row>
    <row r="20237">
      <c r="H20237" t="s">
        <v>5117</v>
      </c>
    </row>
    <row r="20238">
      <c r="H20238" t="s">
        <v>5117</v>
      </c>
    </row>
    <row r="20239">
      <c r="H20239" t="s">
        <v>5117</v>
      </c>
    </row>
    <row r="20240">
      <c r="H20240" t="s">
        <v>5117</v>
      </c>
    </row>
    <row r="20241">
      <c r="H20241" t="s">
        <v>5117</v>
      </c>
    </row>
    <row r="20242">
      <c r="H20242" t="s">
        <v>5117</v>
      </c>
    </row>
    <row r="20243">
      <c r="H20243" t="s">
        <v>5117</v>
      </c>
    </row>
    <row r="20244">
      <c r="H20244" t="s">
        <v>5117</v>
      </c>
    </row>
    <row r="20245">
      <c r="H20245" t="s">
        <v>5117</v>
      </c>
    </row>
    <row r="20246">
      <c r="H20246" t="s">
        <v>5117</v>
      </c>
    </row>
    <row r="20247">
      <c r="H20247" t="s">
        <v>5117</v>
      </c>
    </row>
    <row r="20248">
      <c r="H20248" t="s">
        <v>5117</v>
      </c>
    </row>
    <row r="20249">
      <c r="H20249" t="s">
        <v>5117</v>
      </c>
    </row>
    <row r="20250">
      <c r="H20250" t="s">
        <v>5117</v>
      </c>
    </row>
    <row r="20251">
      <c r="H20251" t="s">
        <v>5117</v>
      </c>
    </row>
    <row r="20252">
      <c r="H20252" t="s">
        <v>5117</v>
      </c>
    </row>
    <row r="20253">
      <c r="H20253" t="s">
        <v>5117</v>
      </c>
    </row>
    <row r="20254">
      <c r="H20254" t="s">
        <v>5117</v>
      </c>
    </row>
    <row r="20255">
      <c r="H20255" t="s">
        <v>5117</v>
      </c>
    </row>
    <row r="20256">
      <c r="H20256" t="s">
        <v>5117</v>
      </c>
    </row>
    <row r="20257">
      <c r="H20257" t="s">
        <v>5117</v>
      </c>
    </row>
    <row r="20258">
      <c r="H20258" t="s">
        <v>5117</v>
      </c>
    </row>
    <row r="20259">
      <c r="H20259" t="s">
        <v>5117</v>
      </c>
    </row>
    <row r="20260">
      <c r="H20260" t="s">
        <v>5117</v>
      </c>
    </row>
    <row r="20261">
      <c r="H20261" t="s">
        <v>5117</v>
      </c>
    </row>
    <row r="20262">
      <c r="H20262" t="s">
        <v>5117</v>
      </c>
    </row>
    <row r="20263">
      <c r="H20263" t="s">
        <v>5117</v>
      </c>
    </row>
    <row r="20264">
      <c r="H20264" t="s">
        <v>5117</v>
      </c>
    </row>
    <row r="20265">
      <c r="H20265" t="s">
        <v>5117</v>
      </c>
    </row>
    <row r="20266">
      <c r="H20266" t="s">
        <v>5117</v>
      </c>
    </row>
    <row r="20267">
      <c r="H20267" t="s">
        <v>5117</v>
      </c>
    </row>
    <row r="20268">
      <c r="H20268" t="s">
        <v>5117</v>
      </c>
    </row>
    <row r="20269">
      <c r="H20269" t="s">
        <v>5117</v>
      </c>
    </row>
    <row r="20270">
      <c r="H20270" t="s">
        <v>5117</v>
      </c>
    </row>
    <row r="20271">
      <c r="H20271" t="s">
        <v>5117</v>
      </c>
    </row>
    <row r="20272">
      <c r="H20272" t="s">
        <v>5117</v>
      </c>
    </row>
    <row r="20273">
      <c r="H20273" t="s">
        <v>5117</v>
      </c>
    </row>
    <row r="20274">
      <c r="H20274" t="s">
        <v>5117</v>
      </c>
    </row>
    <row r="20275">
      <c r="H20275" t="s">
        <v>5117</v>
      </c>
    </row>
    <row r="20276">
      <c r="H20276" t="s">
        <v>5117</v>
      </c>
    </row>
    <row r="20277">
      <c r="H20277" t="s">
        <v>5117</v>
      </c>
    </row>
    <row r="20278">
      <c r="H20278" t="s">
        <v>5117</v>
      </c>
    </row>
    <row r="20279">
      <c r="H20279" t="s">
        <v>5117</v>
      </c>
    </row>
    <row r="20280">
      <c r="H20280" t="s">
        <v>5117</v>
      </c>
    </row>
    <row r="20281">
      <c r="H20281" t="s">
        <v>5117</v>
      </c>
    </row>
    <row r="20282">
      <c r="H20282" t="s">
        <v>5117</v>
      </c>
    </row>
    <row r="20283">
      <c r="H20283" t="s">
        <v>5117</v>
      </c>
    </row>
    <row r="20284">
      <c r="H20284" t="s">
        <v>5117</v>
      </c>
    </row>
    <row r="20285">
      <c r="H20285" t="s">
        <v>5117</v>
      </c>
    </row>
    <row r="20286">
      <c r="H20286" t="s">
        <v>5117</v>
      </c>
    </row>
    <row r="20287">
      <c r="H20287" t="s">
        <v>5117</v>
      </c>
    </row>
    <row r="20288">
      <c r="H20288" t="s">
        <v>5117</v>
      </c>
    </row>
    <row r="20289">
      <c r="H20289" t="s">
        <v>5117</v>
      </c>
    </row>
    <row r="20290">
      <c r="H20290" t="s">
        <v>5117</v>
      </c>
    </row>
    <row r="20291">
      <c r="H20291" t="s">
        <v>5117</v>
      </c>
    </row>
    <row r="20292">
      <c r="H20292" t="s">
        <v>5117</v>
      </c>
    </row>
    <row r="20293">
      <c r="H20293" t="s">
        <v>5117</v>
      </c>
    </row>
    <row r="20294">
      <c r="H20294" t="s">
        <v>5117</v>
      </c>
    </row>
    <row r="20295">
      <c r="H20295" t="s">
        <v>5117</v>
      </c>
    </row>
    <row r="20296">
      <c r="H20296" t="s">
        <v>5117</v>
      </c>
    </row>
    <row r="20297">
      <c r="H20297" t="s">
        <v>5117</v>
      </c>
    </row>
    <row r="20298">
      <c r="H20298" t="s">
        <v>5117</v>
      </c>
    </row>
    <row r="20299">
      <c r="H20299" t="s">
        <v>5117</v>
      </c>
    </row>
    <row r="20300">
      <c r="H20300" t="s">
        <v>5117</v>
      </c>
    </row>
    <row r="20301">
      <c r="H20301" t="s">
        <v>5117</v>
      </c>
    </row>
    <row r="20302">
      <c r="H20302" t="s">
        <v>5117</v>
      </c>
    </row>
    <row r="20303">
      <c r="H20303" t="s">
        <v>5117</v>
      </c>
    </row>
    <row r="20304">
      <c r="H20304" t="s">
        <v>5117</v>
      </c>
    </row>
    <row r="20305">
      <c r="H20305" t="s">
        <v>5117</v>
      </c>
    </row>
    <row r="20306">
      <c r="H20306" t="s">
        <v>5117</v>
      </c>
    </row>
    <row r="20307">
      <c r="H20307" t="s">
        <v>5117</v>
      </c>
    </row>
    <row r="20308">
      <c r="H20308" t="s">
        <v>5117</v>
      </c>
    </row>
    <row r="20309">
      <c r="H20309" t="s">
        <v>5117</v>
      </c>
    </row>
    <row r="20310">
      <c r="H20310" t="s">
        <v>5117</v>
      </c>
    </row>
    <row r="20311">
      <c r="H20311" t="s">
        <v>5117</v>
      </c>
    </row>
    <row r="20312">
      <c r="H20312" t="s">
        <v>5117</v>
      </c>
    </row>
    <row r="20313">
      <c r="H20313" t="s">
        <v>5117</v>
      </c>
    </row>
    <row r="20314">
      <c r="H20314" t="s">
        <v>5117</v>
      </c>
    </row>
    <row r="20315">
      <c r="H20315" t="s">
        <v>5117</v>
      </c>
    </row>
    <row r="20316">
      <c r="H20316" t="s">
        <v>5117</v>
      </c>
    </row>
    <row r="20317">
      <c r="H20317" t="s">
        <v>5117</v>
      </c>
    </row>
    <row r="20318">
      <c r="H20318" t="s">
        <v>5117</v>
      </c>
    </row>
    <row r="20319">
      <c r="H20319" t="s">
        <v>5117</v>
      </c>
    </row>
    <row r="20320">
      <c r="H20320" t="s">
        <v>5117</v>
      </c>
    </row>
    <row r="20321">
      <c r="H20321" t="s">
        <v>5117</v>
      </c>
    </row>
    <row r="20322">
      <c r="H20322" t="s">
        <v>5117</v>
      </c>
    </row>
    <row r="20323">
      <c r="H20323" t="s">
        <v>5117</v>
      </c>
    </row>
    <row r="20324">
      <c r="H20324" t="s">
        <v>5117</v>
      </c>
    </row>
    <row r="20325">
      <c r="H20325" t="s">
        <v>5117</v>
      </c>
    </row>
    <row r="20326">
      <c r="H20326" t="s">
        <v>5117</v>
      </c>
    </row>
    <row r="20327">
      <c r="H20327" t="s">
        <v>5117</v>
      </c>
    </row>
    <row r="20328">
      <c r="H20328" t="s">
        <v>5117</v>
      </c>
    </row>
    <row r="20329">
      <c r="H20329" t="s">
        <v>5117</v>
      </c>
    </row>
    <row r="20330">
      <c r="H20330" t="s">
        <v>5117</v>
      </c>
    </row>
    <row r="20331">
      <c r="H20331" t="s">
        <v>5117</v>
      </c>
    </row>
    <row r="20332">
      <c r="H20332" t="s">
        <v>5117</v>
      </c>
    </row>
    <row r="20333">
      <c r="H20333" t="s">
        <v>5117</v>
      </c>
    </row>
    <row r="20334">
      <c r="H20334" t="s">
        <v>5117</v>
      </c>
    </row>
    <row r="20335">
      <c r="H20335" t="s">
        <v>5117</v>
      </c>
    </row>
    <row r="20336">
      <c r="H20336" t="s">
        <v>5117</v>
      </c>
    </row>
    <row r="20337">
      <c r="H20337" t="s">
        <v>5117</v>
      </c>
    </row>
    <row r="20338">
      <c r="H20338" t="s">
        <v>5117</v>
      </c>
    </row>
    <row r="20339">
      <c r="H20339" t="s">
        <v>5117</v>
      </c>
    </row>
    <row r="20340">
      <c r="H20340" t="s">
        <v>5117</v>
      </c>
    </row>
    <row r="20341">
      <c r="H20341" t="s">
        <v>5117</v>
      </c>
    </row>
    <row r="20342">
      <c r="H20342" t="s">
        <v>5117</v>
      </c>
    </row>
    <row r="20343">
      <c r="H20343" t="s">
        <v>5117</v>
      </c>
    </row>
    <row r="20344">
      <c r="H20344" t="s">
        <v>5117</v>
      </c>
    </row>
    <row r="20345">
      <c r="H20345" t="s">
        <v>5117</v>
      </c>
    </row>
    <row r="20346">
      <c r="H20346" t="s">
        <v>5117</v>
      </c>
    </row>
    <row r="20347">
      <c r="H20347" t="s">
        <v>5117</v>
      </c>
    </row>
    <row r="20348">
      <c r="H20348" t="s">
        <v>5117</v>
      </c>
    </row>
    <row r="20349">
      <c r="H20349" t="s">
        <v>5117</v>
      </c>
    </row>
    <row r="20350">
      <c r="H20350" t="s">
        <v>5117</v>
      </c>
    </row>
    <row r="20351">
      <c r="H20351" t="s">
        <v>5117</v>
      </c>
    </row>
    <row r="20352">
      <c r="H20352" t="s">
        <v>5117</v>
      </c>
    </row>
    <row r="20353">
      <c r="H20353" t="s">
        <v>5117</v>
      </c>
    </row>
    <row r="20354">
      <c r="H20354" t="s">
        <v>5117</v>
      </c>
    </row>
    <row r="20355">
      <c r="H20355" t="s">
        <v>5117</v>
      </c>
    </row>
    <row r="20356">
      <c r="H20356" t="s">
        <v>5117</v>
      </c>
    </row>
    <row r="20357">
      <c r="H20357" t="s">
        <v>5117</v>
      </c>
    </row>
    <row r="20358">
      <c r="H20358" t="s">
        <v>5117</v>
      </c>
    </row>
    <row r="20359">
      <c r="H20359" t="s">
        <v>5117</v>
      </c>
    </row>
    <row r="20360">
      <c r="H20360" t="s">
        <v>5117</v>
      </c>
    </row>
    <row r="20361">
      <c r="H20361" t="s">
        <v>5117</v>
      </c>
    </row>
    <row r="20362">
      <c r="H20362" t="s">
        <v>5117</v>
      </c>
    </row>
    <row r="20363">
      <c r="H20363" t="s">
        <v>5117</v>
      </c>
    </row>
    <row r="20364">
      <c r="H20364" t="s">
        <v>5117</v>
      </c>
    </row>
    <row r="20365">
      <c r="H20365" t="s">
        <v>5117</v>
      </c>
    </row>
    <row r="20366">
      <c r="H20366" t="s">
        <v>5117</v>
      </c>
    </row>
    <row r="20367">
      <c r="H20367" t="s">
        <v>5117</v>
      </c>
    </row>
    <row r="20368">
      <c r="H20368" t="s">
        <v>5117</v>
      </c>
    </row>
    <row r="20369">
      <c r="H20369" t="s">
        <v>5117</v>
      </c>
    </row>
    <row r="20370">
      <c r="H20370" t="s">
        <v>5117</v>
      </c>
    </row>
    <row r="20371">
      <c r="H20371" t="s">
        <v>5117</v>
      </c>
    </row>
    <row r="20372">
      <c r="H20372" t="s">
        <v>5117</v>
      </c>
    </row>
    <row r="20373">
      <c r="H20373" t="s">
        <v>5117</v>
      </c>
    </row>
    <row r="20374">
      <c r="H20374" t="s">
        <v>5117</v>
      </c>
    </row>
    <row r="20375">
      <c r="H20375" t="s">
        <v>5117</v>
      </c>
    </row>
    <row r="20376">
      <c r="H20376" t="s">
        <v>5117</v>
      </c>
    </row>
    <row r="20377">
      <c r="H20377" t="s">
        <v>5117</v>
      </c>
    </row>
    <row r="20378">
      <c r="H20378" t="s">
        <v>5117</v>
      </c>
    </row>
    <row r="20379">
      <c r="H20379" t="s">
        <v>5117</v>
      </c>
    </row>
    <row r="20380">
      <c r="H20380" t="s">
        <v>5117</v>
      </c>
    </row>
    <row r="20381">
      <c r="H20381" t="s">
        <v>5117</v>
      </c>
    </row>
    <row r="20382">
      <c r="H20382" t="s">
        <v>5117</v>
      </c>
    </row>
    <row r="20383">
      <c r="H20383" t="s">
        <v>5117</v>
      </c>
    </row>
    <row r="20384">
      <c r="H20384" t="s">
        <v>5117</v>
      </c>
    </row>
    <row r="20385">
      <c r="H20385" t="s">
        <v>5117</v>
      </c>
    </row>
    <row r="20386">
      <c r="H20386" t="s">
        <v>5117</v>
      </c>
    </row>
    <row r="20387">
      <c r="H20387" t="s">
        <v>5117</v>
      </c>
    </row>
    <row r="20388">
      <c r="H20388" t="s">
        <v>5117</v>
      </c>
    </row>
    <row r="20389">
      <c r="H20389" t="s">
        <v>5117</v>
      </c>
    </row>
    <row r="20390">
      <c r="H20390" t="s">
        <v>5117</v>
      </c>
    </row>
    <row r="20391">
      <c r="H20391" t="s">
        <v>5117</v>
      </c>
    </row>
    <row r="20392">
      <c r="H20392" t="s">
        <v>5117</v>
      </c>
    </row>
    <row r="20393">
      <c r="H20393" t="s">
        <v>5117</v>
      </c>
    </row>
    <row r="20394">
      <c r="H20394" t="s">
        <v>5117</v>
      </c>
    </row>
    <row r="20395">
      <c r="H20395" t="s">
        <v>5117</v>
      </c>
    </row>
    <row r="20396">
      <c r="H20396" t="s">
        <v>5117</v>
      </c>
    </row>
    <row r="20397">
      <c r="H20397" t="s">
        <v>5117</v>
      </c>
    </row>
    <row r="20398">
      <c r="H20398" t="s">
        <v>5117</v>
      </c>
    </row>
    <row r="20399">
      <c r="H20399" t="s">
        <v>5117</v>
      </c>
    </row>
    <row r="20400">
      <c r="H20400" t="s">
        <v>5117</v>
      </c>
    </row>
    <row r="20401">
      <c r="H20401" t="s">
        <v>5117</v>
      </c>
    </row>
    <row r="20402">
      <c r="H20402" t="s">
        <v>5117</v>
      </c>
    </row>
    <row r="20403">
      <c r="H20403" t="s">
        <v>5117</v>
      </c>
    </row>
    <row r="20404">
      <c r="H20404" t="s">
        <v>5117</v>
      </c>
    </row>
    <row r="20405">
      <c r="H20405" t="s">
        <v>5117</v>
      </c>
    </row>
    <row r="20406">
      <c r="H20406" t="s">
        <v>5117</v>
      </c>
    </row>
    <row r="20407">
      <c r="H20407" t="s">
        <v>5117</v>
      </c>
    </row>
    <row r="20408">
      <c r="H20408" t="s">
        <v>5117</v>
      </c>
    </row>
    <row r="20409">
      <c r="H20409" t="s">
        <v>5117</v>
      </c>
    </row>
    <row r="20410">
      <c r="H20410" t="s">
        <v>5117</v>
      </c>
    </row>
    <row r="20411">
      <c r="H20411" t="s">
        <v>5117</v>
      </c>
    </row>
    <row r="20412">
      <c r="H20412" t="s">
        <v>5117</v>
      </c>
    </row>
    <row r="20413">
      <c r="H20413" t="s">
        <v>5117</v>
      </c>
    </row>
    <row r="20414">
      <c r="H20414" t="s">
        <v>5117</v>
      </c>
    </row>
    <row r="20415">
      <c r="H20415" t="s">
        <v>5117</v>
      </c>
    </row>
    <row r="20416">
      <c r="H20416" t="s">
        <v>5117</v>
      </c>
    </row>
    <row r="20417">
      <c r="H20417" t="s">
        <v>5117</v>
      </c>
    </row>
    <row r="20418">
      <c r="H20418" t="s">
        <v>5117</v>
      </c>
    </row>
    <row r="20419">
      <c r="H20419" t="s">
        <v>5117</v>
      </c>
    </row>
    <row r="20420">
      <c r="H20420" t="s">
        <v>5117</v>
      </c>
    </row>
    <row r="20421">
      <c r="H20421" t="s">
        <v>5117</v>
      </c>
    </row>
    <row r="20422">
      <c r="H20422" t="s">
        <v>5117</v>
      </c>
    </row>
    <row r="20423">
      <c r="H20423" t="s">
        <v>5117</v>
      </c>
    </row>
    <row r="20424">
      <c r="H20424" t="s">
        <v>5117</v>
      </c>
    </row>
    <row r="20425">
      <c r="H20425" t="s">
        <v>5117</v>
      </c>
    </row>
    <row r="20426">
      <c r="H20426" t="s">
        <v>5117</v>
      </c>
    </row>
    <row r="20427">
      <c r="H20427" t="s">
        <v>5117</v>
      </c>
    </row>
    <row r="20428">
      <c r="H20428" t="s">
        <v>5117</v>
      </c>
    </row>
    <row r="20429">
      <c r="H20429" t="s">
        <v>5117</v>
      </c>
    </row>
    <row r="20430">
      <c r="H20430" t="s">
        <v>5117</v>
      </c>
    </row>
    <row r="20431">
      <c r="H20431" t="s">
        <v>5117</v>
      </c>
    </row>
    <row r="20432">
      <c r="H20432" t="s">
        <v>5117</v>
      </c>
    </row>
    <row r="20433">
      <c r="H20433" t="s">
        <v>5117</v>
      </c>
    </row>
    <row r="20434">
      <c r="H20434" t="s">
        <v>5117</v>
      </c>
    </row>
    <row r="20435">
      <c r="H20435" t="s">
        <v>5117</v>
      </c>
    </row>
    <row r="20436">
      <c r="H20436" t="s">
        <v>5117</v>
      </c>
    </row>
    <row r="20437">
      <c r="H20437" t="s">
        <v>5117</v>
      </c>
    </row>
    <row r="20438">
      <c r="H20438" t="s">
        <v>5117</v>
      </c>
    </row>
    <row r="20439">
      <c r="H20439" t="s">
        <v>5117</v>
      </c>
    </row>
    <row r="20440">
      <c r="H20440" t="s">
        <v>5117</v>
      </c>
    </row>
    <row r="20441">
      <c r="H20441" t="s">
        <v>5117</v>
      </c>
    </row>
    <row r="20442">
      <c r="H20442" t="s">
        <v>5117</v>
      </c>
    </row>
    <row r="20443">
      <c r="H20443" t="s">
        <v>5117</v>
      </c>
    </row>
    <row r="20444">
      <c r="H20444" t="s">
        <v>5117</v>
      </c>
    </row>
    <row r="20445">
      <c r="H20445" t="s">
        <v>5117</v>
      </c>
    </row>
    <row r="20446">
      <c r="H20446" t="s">
        <v>5117</v>
      </c>
    </row>
    <row r="20447">
      <c r="H20447" t="s">
        <v>5117</v>
      </c>
    </row>
    <row r="20448">
      <c r="H20448" t="s">
        <v>5117</v>
      </c>
    </row>
    <row r="20449">
      <c r="H20449" t="s">
        <v>5117</v>
      </c>
    </row>
    <row r="20450">
      <c r="H20450" t="s">
        <v>5117</v>
      </c>
    </row>
    <row r="20451">
      <c r="H20451" t="s">
        <v>5117</v>
      </c>
    </row>
    <row r="20452">
      <c r="H20452" t="s">
        <v>5117</v>
      </c>
    </row>
    <row r="20453">
      <c r="H20453" t="s">
        <v>5117</v>
      </c>
    </row>
    <row r="20454">
      <c r="H20454" t="s">
        <v>5117</v>
      </c>
    </row>
    <row r="20455">
      <c r="H20455" t="s">
        <v>5117</v>
      </c>
    </row>
    <row r="20456">
      <c r="H20456" t="s">
        <v>5117</v>
      </c>
    </row>
    <row r="20457">
      <c r="H20457" t="s">
        <v>5117</v>
      </c>
    </row>
    <row r="20458">
      <c r="H20458" t="s">
        <v>5117</v>
      </c>
    </row>
    <row r="20459">
      <c r="H20459" t="s">
        <v>5117</v>
      </c>
    </row>
    <row r="20460">
      <c r="H20460" t="s">
        <v>5117</v>
      </c>
    </row>
    <row r="20461">
      <c r="H20461" t="s">
        <v>5117</v>
      </c>
    </row>
    <row r="20462">
      <c r="H20462" t="s">
        <v>5117</v>
      </c>
    </row>
    <row r="20463">
      <c r="H20463" t="s">
        <v>5117</v>
      </c>
    </row>
    <row r="20464">
      <c r="H20464" t="s">
        <v>5117</v>
      </c>
    </row>
    <row r="20465">
      <c r="H20465" t="s">
        <v>5117</v>
      </c>
    </row>
    <row r="20466">
      <c r="H20466" t="s">
        <v>5117</v>
      </c>
    </row>
    <row r="20467">
      <c r="H20467" t="s">
        <v>5117</v>
      </c>
    </row>
    <row r="20468">
      <c r="H20468" t="s">
        <v>5117</v>
      </c>
    </row>
    <row r="20469">
      <c r="H20469" t="s">
        <v>5117</v>
      </c>
    </row>
    <row r="20470">
      <c r="H20470" t="s">
        <v>5117</v>
      </c>
    </row>
    <row r="20471">
      <c r="H20471" t="s">
        <v>5117</v>
      </c>
    </row>
    <row r="20472">
      <c r="H20472" t="s">
        <v>5117</v>
      </c>
    </row>
    <row r="20473">
      <c r="H20473" t="s">
        <v>5117</v>
      </c>
    </row>
    <row r="20474">
      <c r="H20474" t="s">
        <v>5117</v>
      </c>
    </row>
    <row r="20475">
      <c r="H20475" t="s">
        <v>5117</v>
      </c>
    </row>
    <row r="20476">
      <c r="H20476" t="s">
        <v>5117</v>
      </c>
    </row>
    <row r="20477">
      <c r="H20477" t="s">
        <v>5117</v>
      </c>
    </row>
    <row r="20478">
      <c r="H20478" t="s">
        <v>5117</v>
      </c>
    </row>
    <row r="20479">
      <c r="H20479" t="s">
        <v>5117</v>
      </c>
    </row>
    <row r="20480">
      <c r="H20480" t="s">
        <v>5117</v>
      </c>
    </row>
    <row r="20481">
      <c r="H20481" t="s">
        <v>5117</v>
      </c>
    </row>
    <row r="20482">
      <c r="H20482" t="s">
        <v>5117</v>
      </c>
    </row>
    <row r="20483">
      <c r="H20483" t="s">
        <v>5117</v>
      </c>
    </row>
    <row r="20484">
      <c r="H20484" t="s">
        <v>5117</v>
      </c>
    </row>
    <row r="20485">
      <c r="H20485" t="s">
        <v>5117</v>
      </c>
    </row>
    <row r="20486">
      <c r="H20486" t="s">
        <v>5117</v>
      </c>
    </row>
    <row r="20487">
      <c r="H20487" t="s">
        <v>5117</v>
      </c>
    </row>
    <row r="20488">
      <c r="H20488" t="s">
        <v>5117</v>
      </c>
    </row>
    <row r="20489">
      <c r="H20489" t="s">
        <v>5117</v>
      </c>
    </row>
    <row r="20490">
      <c r="H20490" t="s">
        <v>5117</v>
      </c>
    </row>
    <row r="20491">
      <c r="H20491" t="s">
        <v>5117</v>
      </c>
    </row>
    <row r="20492">
      <c r="H20492" t="s">
        <v>5117</v>
      </c>
    </row>
    <row r="20493">
      <c r="H20493" t="s">
        <v>5117</v>
      </c>
    </row>
    <row r="20494">
      <c r="H20494" t="s">
        <v>5117</v>
      </c>
    </row>
    <row r="20495">
      <c r="H20495" t="s">
        <v>5117</v>
      </c>
    </row>
    <row r="20496">
      <c r="H20496" t="s">
        <v>5117</v>
      </c>
    </row>
    <row r="20497">
      <c r="H20497" t="s">
        <v>5117</v>
      </c>
    </row>
    <row r="20498">
      <c r="H20498" t="s">
        <v>5117</v>
      </c>
    </row>
    <row r="20499">
      <c r="H20499" t="s">
        <v>5117</v>
      </c>
    </row>
    <row r="20500">
      <c r="H20500" t="s">
        <v>5117</v>
      </c>
    </row>
    <row r="20501">
      <c r="H20501" t="s">
        <v>5117</v>
      </c>
    </row>
    <row r="20502">
      <c r="H20502" t="s">
        <v>5117</v>
      </c>
    </row>
    <row r="20503">
      <c r="H20503" t="s">
        <v>5117</v>
      </c>
    </row>
    <row r="20504">
      <c r="H20504" t="s">
        <v>5117</v>
      </c>
    </row>
    <row r="20505">
      <c r="H20505" t="s">
        <v>5117</v>
      </c>
    </row>
    <row r="20506">
      <c r="H20506" t="s">
        <v>5117</v>
      </c>
    </row>
    <row r="20507">
      <c r="H20507" t="s">
        <v>5117</v>
      </c>
    </row>
    <row r="20508">
      <c r="H20508" t="s">
        <v>5117</v>
      </c>
    </row>
    <row r="20509">
      <c r="H20509" t="s">
        <v>5117</v>
      </c>
    </row>
    <row r="20510">
      <c r="H20510" t="s">
        <v>5117</v>
      </c>
    </row>
    <row r="20511">
      <c r="H20511" t="s">
        <v>5117</v>
      </c>
    </row>
    <row r="20512">
      <c r="H20512" t="s">
        <v>5117</v>
      </c>
    </row>
    <row r="20513">
      <c r="H20513" t="s">
        <v>5117</v>
      </c>
    </row>
    <row r="20514">
      <c r="H20514" t="s">
        <v>5117</v>
      </c>
    </row>
    <row r="20515">
      <c r="H20515" t="s">
        <v>5117</v>
      </c>
    </row>
    <row r="20516">
      <c r="H20516" t="s">
        <v>5117</v>
      </c>
    </row>
    <row r="20517">
      <c r="H20517" t="s">
        <v>5117</v>
      </c>
    </row>
    <row r="20518">
      <c r="H20518" t="s">
        <v>5117</v>
      </c>
    </row>
    <row r="20519">
      <c r="H20519" t="s">
        <v>5117</v>
      </c>
    </row>
    <row r="20520">
      <c r="H20520" t="s">
        <v>5117</v>
      </c>
    </row>
    <row r="20521">
      <c r="H20521" t="s">
        <v>5117</v>
      </c>
    </row>
    <row r="20522">
      <c r="H20522" t="s">
        <v>5117</v>
      </c>
    </row>
    <row r="20523">
      <c r="H20523" t="s">
        <v>5117</v>
      </c>
    </row>
    <row r="20524">
      <c r="H20524" t="s">
        <v>5117</v>
      </c>
    </row>
    <row r="20525">
      <c r="H20525" t="s">
        <v>5117</v>
      </c>
    </row>
    <row r="20526">
      <c r="H20526" t="s">
        <v>5117</v>
      </c>
    </row>
    <row r="20527">
      <c r="H20527" t="s">
        <v>5117</v>
      </c>
    </row>
    <row r="20528">
      <c r="H20528" t="s">
        <v>5117</v>
      </c>
    </row>
    <row r="20529">
      <c r="H20529" t="s">
        <v>5117</v>
      </c>
    </row>
    <row r="20530">
      <c r="H20530" t="s">
        <v>5117</v>
      </c>
    </row>
    <row r="20531">
      <c r="H20531" t="s">
        <v>5117</v>
      </c>
    </row>
    <row r="20532">
      <c r="H20532" t="s">
        <v>5117</v>
      </c>
    </row>
    <row r="20533">
      <c r="H20533" t="s">
        <v>5117</v>
      </c>
    </row>
    <row r="20534">
      <c r="H20534" t="s">
        <v>5117</v>
      </c>
    </row>
    <row r="20535">
      <c r="H20535" t="s">
        <v>5117</v>
      </c>
    </row>
    <row r="20536">
      <c r="H20536" t="s">
        <v>5117</v>
      </c>
    </row>
    <row r="20537">
      <c r="H20537" t="s">
        <v>5117</v>
      </c>
    </row>
    <row r="20538">
      <c r="H20538" t="s">
        <v>5117</v>
      </c>
    </row>
    <row r="20539">
      <c r="H20539" t="s">
        <v>5117</v>
      </c>
    </row>
    <row r="20540">
      <c r="H20540" t="s">
        <v>5117</v>
      </c>
    </row>
    <row r="20541">
      <c r="H20541" t="s">
        <v>5117</v>
      </c>
    </row>
    <row r="20542">
      <c r="H20542" t="s">
        <v>5117</v>
      </c>
    </row>
    <row r="20543">
      <c r="H20543" t="s">
        <v>5117</v>
      </c>
    </row>
    <row r="20544">
      <c r="H20544" t="s">
        <v>5117</v>
      </c>
    </row>
    <row r="20545">
      <c r="H20545" t="s">
        <v>5117</v>
      </c>
    </row>
    <row r="20546">
      <c r="H20546" t="s">
        <v>5117</v>
      </c>
    </row>
    <row r="20547">
      <c r="H20547" t="s">
        <v>5117</v>
      </c>
    </row>
    <row r="20548">
      <c r="H20548" t="s">
        <v>5117</v>
      </c>
    </row>
    <row r="20549">
      <c r="H20549" t="s">
        <v>5117</v>
      </c>
    </row>
    <row r="20550">
      <c r="H20550" t="s">
        <v>5117</v>
      </c>
    </row>
    <row r="20551">
      <c r="H20551" t="s">
        <v>5117</v>
      </c>
    </row>
    <row r="20552">
      <c r="H20552" t="s">
        <v>5117</v>
      </c>
    </row>
    <row r="20553">
      <c r="H20553" t="s">
        <v>5117</v>
      </c>
    </row>
    <row r="20554">
      <c r="H20554" t="s">
        <v>5117</v>
      </c>
    </row>
    <row r="20555">
      <c r="H20555" t="s">
        <v>5117</v>
      </c>
    </row>
    <row r="20556">
      <c r="H20556" t="s">
        <v>5117</v>
      </c>
    </row>
    <row r="20557">
      <c r="H20557" t="s">
        <v>5117</v>
      </c>
    </row>
    <row r="20558">
      <c r="H20558" t="s">
        <v>5117</v>
      </c>
    </row>
    <row r="20559">
      <c r="H20559" t="s">
        <v>5117</v>
      </c>
    </row>
    <row r="20560">
      <c r="H20560" t="s">
        <v>5117</v>
      </c>
    </row>
    <row r="20561">
      <c r="H20561" t="s">
        <v>5117</v>
      </c>
    </row>
    <row r="20562">
      <c r="H20562" t="s">
        <v>5117</v>
      </c>
    </row>
    <row r="20563">
      <c r="H20563" t="s">
        <v>5117</v>
      </c>
    </row>
    <row r="20564">
      <c r="H20564" t="s">
        <v>5117</v>
      </c>
    </row>
    <row r="20565">
      <c r="H20565" t="s">
        <v>5117</v>
      </c>
    </row>
    <row r="20566">
      <c r="H20566" t="s">
        <v>5117</v>
      </c>
    </row>
    <row r="20567">
      <c r="H20567" t="s">
        <v>5117</v>
      </c>
    </row>
    <row r="20568">
      <c r="H20568" t="s">
        <v>5117</v>
      </c>
    </row>
    <row r="20569">
      <c r="H20569" t="s">
        <v>5117</v>
      </c>
    </row>
    <row r="20570">
      <c r="H20570" t="s">
        <v>5117</v>
      </c>
    </row>
    <row r="20571">
      <c r="H20571" t="s">
        <v>5117</v>
      </c>
    </row>
    <row r="20572">
      <c r="H20572" t="s">
        <v>5117</v>
      </c>
    </row>
    <row r="20573">
      <c r="H20573" t="s">
        <v>5117</v>
      </c>
    </row>
    <row r="20574">
      <c r="H20574" t="s">
        <v>5117</v>
      </c>
    </row>
    <row r="20575">
      <c r="H20575" t="s">
        <v>5117</v>
      </c>
    </row>
    <row r="20576">
      <c r="H20576" t="s">
        <v>5117</v>
      </c>
    </row>
    <row r="20577">
      <c r="H20577" t="s">
        <v>5117</v>
      </c>
    </row>
    <row r="20578">
      <c r="H20578" t="s">
        <v>5117</v>
      </c>
    </row>
    <row r="20579">
      <c r="H20579" t="s">
        <v>5117</v>
      </c>
    </row>
    <row r="20580">
      <c r="H20580" t="s">
        <v>5117</v>
      </c>
    </row>
    <row r="20581">
      <c r="H20581" t="s">
        <v>5117</v>
      </c>
    </row>
    <row r="20582">
      <c r="H20582" t="s">
        <v>5117</v>
      </c>
    </row>
    <row r="20583">
      <c r="H20583" t="s">
        <v>5117</v>
      </c>
    </row>
    <row r="20584">
      <c r="H20584" t="s">
        <v>5117</v>
      </c>
    </row>
    <row r="20585">
      <c r="H20585" t="s">
        <v>5117</v>
      </c>
    </row>
    <row r="20586">
      <c r="H20586" t="s">
        <v>5117</v>
      </c>
    </row>
    <row r="20587">
      <c r="H20587" t="s">
        <v>5117</v>
      </c>
    </row>
    <row r="20588">
      <c r="H20588" t="s">
        <v>5117</v>
      </c>
    </row>
    <row r="20589">
      <c r="H20589" t="s">
        <v>5117</v>
      </c>
    </row>
    <row r="20590">
      <c r="H20590" t="s">
        <v>5117</v>
      </c>
    </row>
    <row r="20591">
      <c r="H20591" t="s">
        <v>5117</v>
      </c>
    </row>
    <row r="20592">
      <c r="H20592" t="s">
        <v>5117</v>
      </c>
    </row>
    <row r="20593">
      <c r="H20593" t="s">
        <v>5117</v>
      </c>
    </row>
    <row r="20594">
      <c r="H20594" t="s">
        <v>5117</v>
      </c>
    </row>
    <row r="20595">
      <c r="H20595" t="s">
        <v>5117</v>
      </c>
    </row>
    <row r="20596">
      <c r="H20596" t="s">
        <v>5117</v>
      </c>
    </row>
    <row r="20597">
      <c r="H20597" t="s">
        <v>5117</v>
      </c>
    </row>
    <row r="20598">
      <c r="H20598" t="s">
        <v>5117</v>
      </c>
    </row>
    <row r="20599">
      <c r="H20599" t="s">
        <v>5117</v>
      </c>
    </row>
    <row r="20600">
      <c r="H20600" t="s">
        <v>5117</v>
      </c>
    </row>
    <row r="20601">
      <c r="H20601" t="s">
        <v>5117</v>
      </c>
    </row>
    <row r="20602">
      <c r="H20602" t="s">
        <v>5117</v>
      </c>
    </row>
    <row r="20603">
      <c r="H20603" t="s">
        <v>5117</v>
      </c>
    </row>
    <row r="20604">
      <c r="H20604" t="s">
        <v>5117</v>
      </c>
    </row>
    <row r="20605">
      <c r="H20605" t="s">
        <v>5117</v>
      </c>
    </row>
    <row r="20606">
      <c r="H20606" t="s">
        <v>5117</v>
      </c>
    </row>
    <row r="20607">
      <c r="H20607" t="s">
        <v>5117</v>
      </c>
    </row>
    <row r="20608">
      <c r="H20608" t="s">
        <v>5117</v>
      </c>
    </row>
    <row r="20609">
      <c r="H20609" t="s">
        <v>5117</v>
      </c>
    </row>
    <row r="20610">
      <c r="H20610" t="s">
        <v>5117</v>
      </c>
    </row>
    <row r="20611">
      <c r="H20611" t="s">
        <v>5117</v>
      </c>
    </row>
    <row r="20612">
      <c r="H20612" t="s">
        <v>5117</v>
      </c>
    </row>
    <row r="20613">
      <c r="H20613" t="s">
        <v>5117</v>
      </c>
    </row>
    <row r="20614">
      <c r="H20614" t="s">
        <v>5117</v>
      </c>
    </row>
    <row r="20615">
      <c r="H20615" t="s">
        <v>5117</v>
      </c>
    </row>
    <row r="20616">
      <c r="H20616" t="s">
        <v>5117</v>
      </c>
    </row>
    <row r="20617">
      <c r="H20617" t="s">
        <v>5117</v>
      </c>
    </row>
    <row r="20618">
      <c r="H20618" t="s">
        <v>5117</v>
      </c>
    </row>
    <row r="20619">
      <c r="H20619" t="s">
        <v>5117</v>
      </c>
    </row>
    <row r="20620">
      <c r="H20620" t="s">
        <v>5117</v>
      </c>
    </row>
    <row r="20621">
      <c r="H20621" t="s">
        <v>5117</v>
      </c>
    </row>
    <row r="20622">
      <c r="H20622" t="s">
        <v>5117</v>
      </c>
    </row>
    <row r="20623">
      <c r="H20623" t="s">
        <v>5117</v>
      </c>
    </row>
    <row r="20624">
      <c r="H20624" t="s">
        <v>5117</v>
      </c>
    </row>
    <row r="20625">
      <c r="H20625" t="s">
        <v>5117</v>
      </c>
    </row>
    <row r="20626">
      <c r="H20626" t="s">
        <v>5117</v>
      </c>
    </row>
    <row r="20627">
      <c r="H20627" t="s">
        <v>5117</v>
      </c>
    </row>
    <row r="20628">
      <c r="H20628" t="s">
        <v>5117</v>
      </c>
    </row>
    <row r="20629">
      <c r="H20629" t="s">
        <v>5117</v>
      </c>
    </row>
    <row r="20630">
      <c r="H20630" t="s">
        <v>5117</v>
      </c>
    </row>
    <row r="20631">
      <c r="H20631" t="s">
        <v>5117</v>
      </c>
    </row>
    <row r="20632">
      <c r="H20632" t="s">
        <v>5117</v>
      </c>
    </row>
    <row r="20633">
      <c r="H20633" t="s">
        <v>5117</v>
      </c>
    </row>
    <row r="20634">
      <c r="H20634" t="s">
        <v>5117</v>
      </c>
    </row>
    <row r="20635">
      <c r="H20635" t="s">
        <v>5117</v>
      </c>
    </row>
    <row r="20636">
      <c r="H20636" t="s">
        <v>5117</v>
      </c>
    </row>
    <row r="20637">
      <c r="H20637" t="s">
        <v>5117</v>
      </c>
    </row>
    <row r="20638">
      <c r="H20638" t="s">
        <v>5117</v>
      </c>
    </row>
    <row r="20639">
      <c r="H20639" t="s">
        <v>5117</v>
      </c>
    </row>
    <row r="20640">
      <c r="H20640" t="s">
        <v>5117</v>
      </c>
    </row>
    <row r="20641">
      <c r="H20641" t="s">
        <v>5117</v>
      </c>
    </row>
    <row r="20642">
      <c r="H20642" t="s">
        <v>5117</v>
      </c>
    </row>
    <row r="20643">
      <c r="H20643" t="s">
        <v>5117</v>
      </c>
    </row>
    <row r="20644">
      <c r="H20644" t="s">
        <v>5117</v>
      </c>
    </row>
    <row r="20645">
      <c r="H20645" t="s">
        <v>5117</v>
      </c>
    </row>
    <row r="20646">
      <c r="H20646" t="s">
        <v>5117</v>
      </c>
    </row>
    <row r="20647">
      <c r="H20647" t="s">
        <v>5117</v>
      </c>
    </row>
    <row r="20648">
      <c r="H20648" t="s">
        <v>5117</v>
      </c>
    </row>
    <row r="20649">
      <c r="H20649" t="s">
        <v>5117</v>
      </c>
    </row>
    <row r="20650">
      <c r="H20650" t="s">
        <v>5117</v>
      </c>
    </row>
    <row r="20651">
      <c r="H20651" t="s">
        <v>5117</v>
      </c>
    </row>
    <row r="20652">
      <c r="H20652" t="s">
        <v>5117</v>
      </c>
    </row>
    <row r="20653">
      <c r="H20653" t="s">
        <v>5117</v>
      </c>
    </row>
    <row r="20654">
      <c r="H20654" t="s">
        <v>5117</v>
      </c>
    </row>
    <row r="20655">
      <c r="H20655" t="s">
        <v>5117</v>
      </c>
    </row>
    <row r="20656">
      <c r="H20656" t="s">
        <v>5117</v>
      </c>
    </row>
    <row r="20657">
      <c r="H20657" t="s">
        <v>5117</v>
      </c>
    </row>
    <row r="20658">
      <c r="H20658" t="s">
        <v>5117</v>
      </c>
    </row>
    <row r="20659">
      <c r="H20659" t="s">
        <v>5117</v>
      </c>
    </row>
    <row r="20660">
      <c r="H20660" t="s">
        <v>5117</v>
      </c>
    </row>
    <row r="20661">
      <c r="H20661" t="s">
        <v>5117</v>
      </c>
    </row>
    <row r="20662">
      <c r="H20662" t="s">
        <v>5117</v>
      </c>
    </row>
    <row r="20663">
      <c r="H20663" t="s">
        <v>5117</v>
      </c>
    </row>
    <row r="20664">
      <c r="H20664" t="s">
        <v>5117</v>
      </c>
    </row>
    <row r="20665">
      <c r="H20665" t="s">
        <v>5117</v>
      </c>
    </row>
    <row r="20666">
      <c r="H20666" t="s">
        <v>5117</v>
      </c>
    </row>
    <row r="20667">
      <c r="H20667" t="s">
        <v>5117</v>
      </c>
    </row>
    <row r="20668">
      <c r="H20668" t="s">
        <v>5117</v>
      </c>
    </row>
    <row r="20669">
      <c r="H20669" t="s">
        <v>5117</v>
      </c>
    </row>
    <row r="20670">
      <c r="H20670" t="s">
        <v>5117</v>
      </c>
    </row>
    <row r="20671">
      <c r="H20671" t="s">
        <v>5117</v>
      </c>
    </row>
    <row r="20672">
      <c r="H20672" t="s">
        <v>5117</v>
      </c>
    </row>
    <row r="20673">
      <c r="H20673" t="s">
        <v>5117</v>
      </c>
    </row>
    <row r="20674">
      <c r="H20674" t="s">
        <v>5117</v>
      </c>
    </row>
    <row r="20675">
      <c r="H20675" t="s">
        <v>5117</v>
      </c>
    </row>
    <row r="20676">
      <c r="H20676" t="s">
        <v>5117</v>
      </c>
    </row>
    <row r="20677">
      <c r="H20677" t="s">
        <v>5117</v>
      </c>
    </row>
    <row r="20678">
      <c r="H20678" t="s">
        <v>5117</v>
      </c>
    </row>
    <row r="20679">
      <c r="H20679" t="s">
        <v>5117</v>
      </c>
    </row>
    <row r="20680">
      <c r="H20680" t="s">
        <v>5117</v>
      </c>
    </row>
    <row r="20681">
      <c r="H20681" t="s">
        <v>5117</v>
      </c>
    </row>
    <row r="20682">
      <c r="H20682" t="s">
        <v>5117</v>
      </c>
    </row>
    <row r="20683">
      <c r="H20683" t="s">
        <v>5117</v>
      </c>
    </row>
    <row r="20684">
      <c r="H20684" t="s">
        <v>5117</v>
      </c>
    </row>
    <row r="20685">
      <c r="H20685" t="s">
        <v>5117</v>
      </c>
    </row>
    <row r="20686">
      <c r="H20686" t="s">
        <v>5117</v>
      </c>
    </row>
    <row r="20687">
      <c r="H20687" t="s">
        <v>5117</v>
      </c>
    </row>
    <row r="20688">
      <c r="H20688" t="s">
        <v>5117</v>
      </c>
    </row>
    <row r="20689">
      <c r="H20689" t="s">
        <v>5117</v>
      </c>
    </row>
    <row r="20690">
      <c r="H20690" t="s">
        <v>5117</v>
      </c>
    </row>
    <row r="20691">
      <c r="H20691" t="s">
        <v>5117</v>
      </c>
    </row>
    <row r="20692">
      <c r="H20692" t="s">
        <v>5117</v>
      </c>
    </row>
    <row r="20693">
      <c r="H20693" t="s">
        <v>5117</v>
      </c>
    </row>
    <row r="20694">
      <c r="H20694" t="s">
        <v>5117</v>
      </c>
    </row>
    <row r="20695">
      <c r="H20695" t="s">
        <v>5117</v>
      </c>
    </row>
    <row r="20696">
      <c r="H20696" t="s">
        <v>5117</v>
      </c>
    </row>
    <row r="20697">
      <c r="H20697" t="s">
        <v>5117</v>
      </c>
    </row>
    <row r="20698">
      <c r="H20698" t="s">
        <v>5117</v>
      </c>
    </row>
    <row r="20699">
      <c r="H20699" t="s">
        <v>5117</v>
      </c>
    </row>
    <row r="20700">
      <c r="H20700" t="s">
        <v>5117</v>
      </c>
    </row>
    <row r="20701">
      <c r="H20701" t="s">
        <v>5117</v>
      </c>
    </row>
    <row r="20702">
      <c r="H20702" t="s">
        <v>5117</v>
      </c>
    </row>
    <row r="20703">
      <c r="H20703" t="s">
        <v>5117</v>
      </c>
    </row>
    <row r="20704">
      <c r="H20704" t="s">
        <v>5117</v>
      </c>
    </row>
    <row r="20705">
      <c r="H20705" t="s">
        <v>5117</v>
      </c>
    </row>
    <row r="20706">
      <c r="H20706" t="s">
        <v>5117</v>
      </c>
    </row>
    <row r="20707">
      <c r="H20707" t="s">
        <v>5117</v>
      </c>
    </row>
    <row r="20708">
      <c r="H20708" t="s">
        <v>5117</v>
      </c>
    </row>
    <row r="20709">
      <c r="H20709" t="s">
        <v>5117</v>
      </c>
    </row>
    <row r="20710">
      <c r="H20710" t="s">
        <v>5117</v>
      </c>
    </row>
    <row r="20711">
      <c r="H20711" t="s">
        <v>5117</v>
      </c>
    </row>
    <row r="20712">
      <c r="H20712" t="s">
        <v>5117</v>
      </c>
    </row>
    <row r="20713">
      <c r="H20713" t="s">
        <v>5117</v>
      </c>
    </row>
    <row r="20714">
      <c r="H20714" t="s">
        <v>5117</v>
      </c>
    </row>
    <row r="20715">
      <c r="H20715" t="s">
        <v>5117</v>
      </c>
    </row>
    <row r="20716">
      <c r="H20716" t="s">
        <v>5117</v>
      </c>
    </row>
    <row r="20717">
      <c r="H20717" t="s">
        <v>5117</v>
      </c>
    </row>
    <row r="20718">
      <c r="H20718" t="s">
        <v>5117</v>
      </c>
    </row>
    <row r="20719">
      <c r="H20719" t="s">
        <v>5117</v>
      </c>
    </row>
    <row r="20720">
      <c r="H20720" t="s">
        <v>5117</v>
      </c>
    </row>
    <row r="20721">
      <c r="H20721" t="s">
        <v>5117</v>
      </c>
    </row>
    <row r="20722">
      <c r="H20722" t="s">
        <v>5117</v>
      </c>
    </row>
    <row r="20723">
      <c r="H20723" t="s">
        <v>5117</v>
      </c>
    </row>
    <row r="20724">
      <c r="H20724" t="s">
        <v>5117</v>
      </c>
    </row>
    <row r="20725">
      <c r="H20725" t="s">
        <v>5117</v>
      </c>
    </row>
    <row r="20726">
      <c r="H20726" t="s">
        <v>5117</v>
      </c>
    </row>
    <row r="20727">
      <c r="H20727" t="s">
        <v>5117</v>
      </c>
    </row>
    <row r="20728">
      <c r="H20728" t="s">
        <v>5117</v>
      </c>
    </row>
    <row r="20729">
      <c r="H20729" t="s">
        <v>5117</v>
      </c>
    </row>
    <row r="20730">
      <c r="H20730" t="s">
        <v>5117</v>
      </c>
    </row>
    <row r="20731">
      <c r="H20731" t="s">
        <v>5117</v>
      </c>
    </row>
    <row r="20732">
      <c r="H20732" t="s">
        <v>5117</v>
      </c>
    </row>
    <row r="20733">
      <c r="H20733" t="s">
        <v>5117</v>
      </c>
    </row>
    <row r="20734">
      <c r="H20734" t="s">
        <v>5117</v>
      </c>
    </row>
    <row r="20735">
      <c r="H20735" t="s">
        <v>5117</v>
      </c>
    </row>
    <row r="20736">
      <c r="H20736" t="s">
        <v>5117</v>
      </c>
    </row>
    <row r="20737">
      <c r="H20737" t="s">
        <v>5117</v>
      </c>
    </row>
    <row r="20738">
      <c r="H20738" t="s">
        <v>5117</v>
      </c>
    </row>
    <row r="20739">
      <c r="H20739" t="s">
        <v>5117</v>
      </c>
    </row>
    <row r="20740">
      <c r="H20740" t="s">
        <v>5117</v>
      </c>
    </row>
    <row r="20741">
      <c r="H20741" t="s">
        <v>5117</v>
      </c>
    </row>
    <row r="20742">
      <c r="H20742" t="s">
        <v>5117</v>
      </c>
    </row>
    <row r="20743">
      <c r="H20743" t="s">
        <v>5117</v>
      </c>
    </row>
    <row r="20744">
      <c r="H20744" t="s">
        <v>5117</v>
      </c>
    </row>
    <row r="20745">
      <c r="H20745" t="s">
        <v>5117</v>
      </c>
    </row>
    <row r="20746">
      <c r="H20746" t="s">
        <v>5117</v>
      </c>
    </row>
    <row r="20747">
      <c r="H20747" t="s">
        <v>5117</v>
      </c>
    </row>
    <row r="20748">
      <c r="H20748" t="s">
        <v>5117</v>
      </c>
    </row>
    <row r="20749">
      <c r="H20749" t="s">
        <v>5117</v>
      </c>
    </row>
    <row r="20750">
      <c r="H20750" t="s">
        <v>5117</v>
      </c>
    </row>
    <row r="20751">
      <c r="H20751" t="s">
        <v>5117</v>
      </c>
    </row>
    <row r="20752">
      <c r="H20752" t="s">
        <v>5117</v>
      </c>
    </row>
    <row r="20753">
      <c r="H20753" t="s">
        <v>5117</v>
      </c>
    </row>
    <row r="20754">
      <c r="H20754" t="s">
        <v>5117</v>
      </c>
    </row>
    <row r="20755">
      <c r="H20755" t="s">
        <v>5117</v>
      </c>
    </row>
    <row r="20756">
      <c r="H20756" t="s">
        <v>5117</v>
      </c>
    </row>
    <row r="20757">
      <c r="H20757" t="s">
        <v>5117</v>
      </c>
    </row>
    <row r="20758">
      <c r="H20758" t="s">
        <v>5117</v>
      </c>
    </row>
    <row r="20759">
      <c r="H20759" t="s">
        <v>5117</v>
      </c>
    </row>
    <row r="20760">
      <c r="H20760" t="s">
        <v>5117</v>
      </c>
    </row>
    <row r="20761">
      <c r="H20761" t="s">
        <v>5117</v>
      </c>
    </row>
    <row r="20762">
      <c r="H20762" t="s">
        <v>5117</v>
      </c>
    </row>
    <row r="20763">
      <c r="H20763" t="s">
        <v>5117</v>
      </c>
    </row>
    <row r="20764">
      <c r="H20764" t="s">
        <v>5117</v>
      </c>
    </row>
    <row r="20765">
      <c r="H20765" t="s">
        <v>5117</v>
      </c>
    </row>
    <row r="20766">
      <c r="H20766" t="s">
        <v>5117</v>
      </c>
    </row>
    <row r="20767">
      <c r="H20767" t="s">
        <v>5117</v>
      </c>
    </row>
    <row r="20768">
      <c r="H20768" t="s">
        <v>5117</v>
      </c>
    </row>
    <row r="20769">
      <c r="H20769" t="s">
        <v>5117</v>
      </c>
    </row>
    <row r="20770">
      <c r="H20770" t="s">
        <v>5117</v>
      </c>
    </row>
    <row r="20771">
      <c r="H20771" t="s">
        <v>5117</v>
      </c>
    </row>
    <row r="20772">
      <c r="H20772" t="s">
        <v>5117</v>
      </c>
    </row>
    <row r="20773">
      <c r="H20773" t="s">
        <v>5117</v>
      </c>
    </row>
    <row r="20774">
      <c r="H20774" t="s">
        <v>5117</v>
      </c>
    </row>
    <row r="20775">
      <c r="H20775" t="s">
        <v>5117</v>
      </c>
    </row>
    <row r="20776">
      <c r="H20776" t="s">
        <v>5117</v>
      </c>
    </row>
    <row r="20777">
      <c r="H20777" t="s">
        <v>5117</v>
      </c>
    </row>
    <row r="20778">
      <c r="H20778" t="s">
        <v>5117</v>
      </c>
    </row>
    <row r="20779">
      <c r="H20779" t="s">
        <v>5117</v>
      </c>
    </row>
    <row r="20780">
      <c r="H20780" t="s">
        <v>5117</v>
      </c>
    </row>
    <row r="20781">
      <c r="H20781" t="s">
        <v>5117</v>
      </c>
    </row>
    <row r="20782">
      <c r="H20782" t="s">
        <v>5117</v>
      </c>
    </row>
    <row r="20783">
      <c r="H20783" t="s">
        <v>5117</v>
      </c>
    </row>
    <row r="20784">
      <c r="H20784" t="s">
        <v>5117</v>
      </c>
    </row>
    <row r="20785">
      <c r="H20785" t="s">
        <v>5117</v>
      </c>
    </row>
    <row r="20786">
      <c r="H20786" t="s">
        <v>5117</v>
      </c>
    </row>
    <row r="20787">
      <c r="H20787" t="s">
        <v>5117</v>
      </c>
    </row>
    <row r="20788">
      <c r="H20788" t="s">
        <v>5117</v>
      </c>
    </row>
    <row r="20789">
      <c r="H20789" t="s">
        <v>5117</v>
      </c>
    </row>
    <row r="20790">
      <c r="H20790" t="s">
        <v>5117</v>
      </c>
    </row>
    <row r="20791">
      <c r="H20791" t="s">
        <v>5117</v>
      </c>
    </row>
    <row r="20792">
      <c r="H20792" t="s">
        <v>5117</v>
      </c>
    </row>
    <row r="20793">
      <c r="H20793" t="s">
        <v>5117</v>
      </c>
    </row>
    <row r="20794">
      <c r="H20794" t="s">
        <v>5117</v>
      </c>
    </row>
    <row r="20795">
      <c r="H20795" t="s">
        <v>5117</v>
      </c>
    </row>
    <row r="20796">
      <c r="H20796" t="s">
        <v>5117</v>
      </c>
    </row>
    <row r="20797">
      <c r="H20797" t="s">
        <v>5117</v>
      </c>
    </row>
    <row r="20798">
      <c r="H20798" t="s">
        <v>5117</v>
      </c>
    </row>
    <row r="20799">
      <c r="H20799" t="s">
        <v>5117</v>
      </c>
    </row>
    <row r="20800">
      <c r="H20800" t="s">
        <v>5117</v>
      </c>
    </row>
    <row r="20801">
      <c r="H20801" t="s">
        <v>5117</v>
      </c>
    </row>
    <row r="20802">
      <c r="H20802" t="s">
        <v>5117</v>
      </c>
    </row>
    <row r="20803">
      <c r="H20803" t="s">
        <v>5117</v>
      </c>
    </row>
    <row r="20804">
      <c r="H20804" t="s">
        <v>5117</v>
      </c>
    </row>
    <row r="20805">
      <c r="H20805" t="s">
        <v>5117</v>
      </c>
    </row>
    <row r="20806">
      <c r="H20806" t="s">
        <v>5117</v>
      </c>
    </row>
    <row r="20807">
      <c r="H20807" t="s">
        <v>5117</v>
      </c>
    </row>
    <row r="20808">
      <c r="H20808" t="s">
        <v>5117</v>
      </c>
    </row>
    <row r="20809">
      <c r="H20809" t="s">
        <v>5117</v>
      </c>
    </row>
    <row r="20810">
      <c r="H20810" t="s">
        <v>5117</v>
      </c>
    </row>
    <row r="20811">
      <c r="H20811" t="s">
        <v>5117</v>
      </c>
    </row>
    <row r="20812">
      <c r="H20812" t="s">
        <v>5117</v>
      </c>
    </row>
    <row r="20813">
      <c r="H20813" t="s">
        <v>5117</v>
      </c>
    </row>
    <row r="20814">
      <c r="H20814" t="s">
        <v>5117</v>
      </c>
    </row>
    <row r="20815">
      <c r="H20815" t="s">
        <v>5117</v>
      </c>
    </row>
    <row r="20816">
      <c r="H20816" t="s">
        <v>5117</v>
      </c>
    </row>
    <row r="20817">
      <c r="H20817" t="s">
        <v>5117</v>
      </c>
    </row>
    <row r="20818">
      <c r="H20818" t="s">
        <v>5117</v>
      </c>
    </row>
    <row r="20819">
      <c r="H20819" t="s">
        <v>5117</v>
      </c>
    </row>
    <row r="20820">
      <c r="H20820" t="s">
        <v>5117</v>
      </c>
    </row>
    <row r="20821">
      <c r="H20821" t="s">
        <v>5117</v>
      </c>
    </row>
    <row r="20822">
      <c r="H20822" t="s">
        <v>5117</v>
      </c>
    </row>
    <row r="20823">
      <c r="H20823" t="s">
        <v>5117</v>
      </c>
    </row>
    <row r="20824">
      <c r="H20824" t="s">
        <v>5117</v>
      </c>
    </row>
    <row r="20825">
      <c r="H20825" t="s">
        <v>5117</v>
      </c>
    </row>
    <row r="20826">
      <c r="H20826" t="s">
        <v>5117</v>
      </c>
    </row>
    <row r="20827">
      <c r="H20827" t="s">
        <v>5117</v>
      </c>
    </row>
    <row r="20828">
      <c r="H20828" t="s">
        <v>5117</v>
      </c>
    </row>
    <row r="20829">
      <c r="H20829" t="s">
        <v>5117</v>
      </c>
    </row>
    <row r="20830">
      <c r="H20830" t="s">
        <v>5117</v>
      </c>
    </row>
    <row r="20831">
      <c r="H20831" t="s">
        <v>5117</v>
      </c>
    </row>
    <row r="20832">
      <c r="H20832" t="s">
        <v>5117</v>
      </c>
    </row>
    <row r="20833">
      <c r="H20833" t="s">
        <v>5117</v>
      </c>
    </row>
    <row r="20834">
      <c r="H20834" t="s">
        <v>5117</v>
      </c>
    </row>
    <row r="20835">
      <c r="H20835" t="s">
        <v>5117</v>
      </c>
    </row>
    <row r="20836">
      <c r="H20836" t="s">
        <v>5117</v>
      </c>
    </row>
    <row r="20837">
      <c r="H20837" t="s">
        <v>5117</v>
      </c>
    </row>
    <row r="20838">
      <c r="H20838" t="s">
        <v>5117</v>
      </c>
    </row>
    <row r="20839">
      <c r="H20839" t="s">
        <v>5117</v>
      </c>
    </row>
    <row r="20840">
      <c r="H20840" t="s">
        <v>5117</v>
      </c>
    </row>
    <row r="20841">
      <c r="H20841" t="s">
        <v>5117</v>
      </c>
    </row>
    <row r="20842">
      <c r="H20842" t="s">
        <v>5117</v>
      </c>
    </row>
    <row r="20843">
      <c r="H20843" t="s">
        <v>5117</v>
      </c>
    </row>
    <row r="20844">
      <c r="H20844" t="s">
        <v>5117</v>
      </c>
    </row>
    <row r="20845">
      <c r="H20845" t="s">
        <v>5117</v>
      </c>
    </row>
    <row r="20846">
      <c r="H20846" t="s">
        <v>5117</v>
      </c>
    </row>
    <row r="20847">
      <c r="H20847" t="s">
        <v>5117</v>
      </c>
    </row>
    <row r="20848">
      <c r="H20848" t="s">
        <v>5117</v>
      </c>
    </row>
    <row r="20849">
      <c r="H20849" t="s">
        <v>5117</v>
      </c>
    </row>
    <row r="20850">
      <c r="H20850" t="s">
        <v>5117</v>
      </c>
    </row>
    <row r="20851">
      <c r="H20851" t="s">
        <v>5117</v>
      </c>
    </row>
    <row r="20852">
      <c r="H20852" t="s">
        <v>5117</v>
      </c>
    </row>
    <row r="20853">
      <c r="H20853" t="s">
        <v>5117</v>
      </c>
    </row>
    <row r="20854">
      <c r="H20854" t="s">
        <v>5117</v>
      </c>
    </row>
    <row r="20855">
      <c r="H20855" t="s">
        <v>5117</v>
      </c>
    </row>
    <row r="20856">
      <c r="H20856" t="s">
        <v>5117</v>
      </c>
    </row>
    <row r="20857">
      <c r="H20857" t="s">
        <v>5117</v>
      </c>
    </row>
    <row r="20858">
      <c r="H20858" t="s">
        <v>5117</v>
      </c>
    </row>
    <row r="20859">
      <c r="H20859" t="s">
        <v>5117</v>
      </c>
    </row>
    <row r="20860">
      <c r="H20860" t="s">
        <v>5117</v>
      </c>
    </row>
    <row r="20861">
      <c r="H20861" t="s">
        <v>5117</v>
      </c>
    </row>
    <row r="20862">
      <c r="H20862" t="s">
        <v>5117</v>
      </c>
    </row>
    <row r="20863">
      <c r="H20863" t="s">
        <v>5117</v>
      </c>
    </row>
    <row r="20864">
      <c r="H20864" t="s">
        <v>5117</v>
      </c>
    </row>
    <row r="20865">
      <c r="H20865" t="s">
        <v>5117</v>
      </c>
    </row>
    <row r="20866">
      <c r="H20866" t="s">
        <v>5117</v>
      </c>
    </row>
    <row r="20867">
      <c r="H20867" t="s">
        <v>5117</v>
      </c>
    </row>
    <row r="20868">
      <c r="H20868" t="s">
        <v>5117</v>
      </c>
    </row>
    <row r="20869">
      <c r="H20869" t="s">
        <v>5117</v>
      </c>
    </row>
    <row r="20870">
      <c r="H20870" t="s">
        <v>5117</v>
      </c>
    </row>
    <row r="20871">
      <c r="H20871" t="s">
        <v>5117</v>
      </c>
    </row>
    <row r="20872">
      <c r="H20872" t="s">
        <v>5117</v>
      </c>
    </row>
    <row r="20873">
      <c r="H20873" t="s">
        <v>5117</v>
      </c>
    </row>
    <row r="20874">
      <c r="H20874" t="s">
        <v>5117</v>
      </c>
    </row>
    <row r="20875">
      <c r="H20875" t="s">
        <v>5117</v>
      </c>
    </row>
    <row r="20876">
      <c r="H20876" t="s">
        <v>5117</v>
      </c>
    </row>
    <row r="20877">
      <c r="H20877" t="s">
        <v>5117</v>
      </c>
    </row>
    <row r="20878">
      <c r="H20878" t="s">
        <v>5117</v>
      </c>
    </row>
    <row r="20879">
      <c r="H20879" t="s">
        <v>5117</v>
      </c>
    </row>
    <row r="20880">
      <c r="H20880" t="s">
        <v>5117</v>
      </c>
    </row>
    <row r="20881">
      <c r="H20881" t="s">
        <v>5117</v>
      </c>
    </row>
    <row r="20882">
      <c r="H20882" t="s">
        <v>5117</v>
      </c>
    </row>
    <row r="20883">
      <c r="H20883" t="s">
        <v>5117</v>
      </c>
    </row>
    <row r="20884">
      <c r="H20884" t="s">
        <v>5117</v>
      </c>
    </row>
    <row r="20885">
      <c r="H20885" t="s">
        <v>5117</v>
      </c>
    </row>
    <row r="20886">
      <c r="H20886" t="s">
        <v>5117</v>
      </c>
    </row>
    <row r="20887">
      <c r="H20887" t="s">
        <v>5117</v>
      </c>
    </row>
    <row r="20888">
      <c r="H20888" t="s">
        <v>5117</v>
      </c>
    </row>
    <row r="20889">
      <c r="H20889" t="s">
        <v>5117</v>
      </c>
    </row>
    <row r="20890">
      <c r="H20890" t="s">
        <v>5117</v>
      </c>
    </row>
    <row r="20891">
      <c r="H20891" t="s">
        <v>5117</v>
      </c>
    </row>
    <row r="20892">
      <c r="H20892" t="s">
        <v>5117</v>
      </c>
    </row>
    <row r="20893">
      <c r="H20893" t="s">
        <v>5117</v>
      </c>
    </row>
    <row r="20894">
      <c r="H20894" t="s">
        <v>5117</v>
      </c>
    </row>
    <row r="20895">
      <c r="H20895" t="s">
        <v>5117</v>
      </c>
    </row>
    <row r="20896">
      <c r="H20896" t="s">
        <v>5117</v>
      </c>
    </row>
    <row r="20897">
      <c r="H20897" t="s">
        <v>5117</v>
      </c>
    </row>
    <row r="20898">
      <c r="H20898" t="s">
        <v>5117</v>
      </c>
    </row>
    <row r="20899">
      <c r="H20899" t="s">
        <v>5117</v>
      </c>
    </row>
    <row r="20900">
      <c r="H20900" t="s">
        <v>5117</v>
      </c>
    </row>
    <row r="20901">
      <c r="H20901" t="s">
        <v>5117</v>
      </c>
    </row>
    <row r="20902">
      <c r="H20902" t="s">
        <v>5117</v>
      </c>
    </row>
    <row r="20903">
      <c r="H20903" t="s">
        <v>5117</v>
      </c>
    </row>
    <row r="20904">
      <c r="H20904" t="s">
        <v>5117</v>
      </c>
    </row>
    <row r="20905">
      <c r="H20905" t="s">
        <v>5117</v>
      </c>
    </row>
    <row r="20906">
      <c r="H20906" t="s">
        <v>5117</v>
      </c>
    </row>
    <row r="20907">
      <c r="H20907" t="s">
        <v>5117</v>
      </c>
    </row>
    <row r="20908">
      <c r="H20908" t="s">
        <v>5117</v>
      </c>
    </row>
    <row r="20909">
      <c r="H20909" t="s">
        <v>5117</v>
      </c>
    </row>
    <row r="20910">
      <c r="H20910" t="s">
        <v>5117</v>
      </c>
    </row>
    <row r="20911">
      <c r="H20911" t="s">
        <v>5117</v>
      </c>
    </row>
    <row r="20912">
      <c r="H20912" t="s">
        <v>5117</v>
      </c>
    </row>
    <row r="20913">
      <c r="H20913" t="s">
        <v>5117</v>
      </c>
    </row>
    <row r="20914">
      <c r="H20914" t="s">
        <v>5117</v>
      </c>
    </row>
    <row r="20915">
      <c r="H20915" t="s">
        <v>5117</v>
      </c>
    </row>
    <row r="20916">
      <c r="H20916" t="s">
        <v>5117</v>
      </c>
    </row>
    <row r="20917">
      <c r="H20917" t="s">
        <v>5117</v>
      </c>
    </row>
    <row r="20918">
      <c r="H20918" t="s">
        <v>5117</v>
      </c>
    </row>
    <row r="20919">
      <c r="H20919" t="s">
        <v>5117</v>
      </c>
    </row>
    <row r="20920">
      <c r="H20920" t="s">
        <v>5117</v>
      </c>
    </row>
    <row r="20921">
      <c r="H20921" t="s">
        <v>5117</v>
      </c>
    </row>
    <row r="20922">
      <c r="H20922" t="s">
        <v>5117</v>
      </c>
    </row>
    <row r="20923">
      <c r="H20923" t="s">
        <v>5117</v>
      </c>
    </row>
    <row r="20924">
      <c r="H20924" t="s">
        <v>5117</v>
      </c>
    </row>
    <row r="20925">
      <c r="H20925" t="s">
        <v>5117</v>
      </c>
    </row>
    <row r="20926">
      <c r="H20926" t="s">
        <v>5117</v>
      </c>
    </row>
    <row r="20927">
      <c r="H20927" t="s">
        <v>5117</v>
      </c>
    </row>
    <row r="20928">
      <c r="H20928" t="s">
        <v>5117</v>
      </c>
    </row>
    <row r="20929">
      <c r="H20929" t="s">
        <v>5117</v>
      </c>
    </row>
    <row r="20930">
      <c r="H20930" t="s">
        <v>5117</v>
      </c>
    </row>
    <row r="20931">
      <c r="H20931" t="s">
        <v>5117</v>
      </c>
    </row>
    <row r="20932">
      <c r="H20932" t="s">
        <v>5117</v>
      </c>
    </row>
    <row r="20933">
      <c r="H20933" t="s">
        <v>5117</v>
      </c>
    </row>
    <row r="20934">
      <c r="H20934" t="s">
        <v>5117</v>
      </c>
    </row>
    <row r="20935">
      <c r="H20935" t="s">
        <v>5117</v>
      </c>
    </row>
    <row r="20936">
      <c r="H20936" t="s">
        <v>5117</v>
      </c>
    </row>
    <row r="20937">
      <c r="H20937" t="s">
        <v>5117</v>
      </c>
    </row>
    <row r="20938">
      <c r="H20938" t="s">
        <v>5117</v>
      </c>
    </row>
    <row r="20939">
      <c r="H20939" t="s">
        <v>5117</v>
      </c>
    </row>
    <row r="20940">
      <c r="H20940" t="s">
        <v>5117</v>
      </c>
    </row>
    <row r="20941">
      <c r="H20941" t="s">
        <v>5117</v>
      </c>
    </row>
    <row r="20942">
      <c r="H20942" t="s">
        <v>5117</v>
      </c>
    </row>
    <row r="20943">
      <c r="H20943" t="s">
        <v>5117</v>
      </c>
    </row>
    <row r="20944">
      <c r="H20944" t="s">
        <v>5117</v>
      </c>
    </row>
    <row r="20945">
      <c r="H20945" t="s">
        <v>5117</v>
      </c>
    </row>
    <row r="20946">
      <c r="H20946" t="s">
        <v>5117</v>
      </c>
    </row>
    <row r="20947">
      <c r="H20947" t="s">
        <v>5117</v>
      </c>
    </row>
    <row r="20948">
      <c r="H20948" t="s">
        <v>5117</v>
      </c>
    </row>
    <row r="20949">
      <c r="H20949" t="s">
        <v>5117</v>
      </c>
    </row>
    <row r="20950">
      <c r="H20950" t="s">
        <v>5117</v>
      </c>
    </row>
    <row r="20951">
      <c r="H20951" t="s">
        <v>5117</v>
      </c>
    </row>
    <row r="20952">
      <c r="H20952" t="s">
        <v>5117</v>
      </c>
    </row>
    <row r="20953">
      <c r="H20953" t="s">
        <v>5117</v>
      </c>
    </row>
    <row r="20954">
      <c r="H20954" t="s">
        <v>5117</v>
      </c>
    </row>
    <row r="20955">
      <c r="H20955" t="s">
        <v>5117</v>
      </c>
    </row>
    <row r="20956">
      <c r="H20956" t="s">
        <v>5117</v>
      </c>
    </row>
    <row r="20957">
      <c r="H20957" t="s">
        <v>5117</v>
      </c>
    </row>
    <row r="20958">
      <c r="H20958" t="s">
        <v>5117</v>
      </c>
    </row>
    <row r="20959">
      <c r="H20959" t="s">
        <v>5117</v>
      </c>
    </row>
    <row r="20960">
      <c r="H20960" t="s">
        <v>5117</v>
      </c>
    </row>
    <row r="20961">
      <c r="H20961" t="s">
        <v>5117</v>
      </c>
    </row>
    <row r="20962">
      <c r="H20962" t="s">
        <v>5117</v>
      </c>
    </row>
    <row r="20963">
      <c r="H20963" t="s">
        <v>5117</v>
      </c>
    </row>
    <row r="20964">
      <c r="H20964" t="s">
        <v>5117</v>
      </c>
    </row>
    <row r="20965">
      <c r="H20965" t="s">
        <v>5117</v>
      </c>
    </row>
    <row r="20966">
      <c r="H20966" t="s">
        <v>5117</v>
      </c>
    </row>
    <row r="20967">
      <c r="H20967" t="s">
        <v>5117</v>
      </c>
    </row>
    <row r="20968">
      <c r="H20968" t="s">
        <v>5117</v>
      </c>
    </row>
    <row r="20969">
      <c r="H20969" t="s">
        <v>5117</v>
      </c>
    </row>
    <row r="20970">
      <c r="H20970" t="s">
        <v>5117</v>
      </c>
    </row>
    <row r="20971">
      <c r="H20971" t="s">
        <v>5117</v>
      </c>
    </row>
    <row r="20972">
      <c r="H20972" t="s">
        <v>5117</v>
      </c>
    </row>
    <row r="20973">
      <c r="H20973" t="s">
        <v>5117</v>
      </c>
    </row>
    <row r="20974">
      <c r="H20974" t="s">
        <v>5117</v>
      </c>
    </row>
    <row r="20975">
      <c r="H20975" t="s">
        <v>5117</v>
      </c>
    </row>
    <row r="20976">
      <c r="H20976" t="s">
        <v>5117</v>
      </c>
    </row>
    <row r="20977">
      <c r="H20977" t="s">
        <v>5117</v>
      </c>
    </row>
    <row r="20978">
      <c r="H20978" t="s">
        <v>5117</v>
      </c>
    </row>
    <row r="20979">
      <c r="H20979" t="s">
        <v>5117</v>
      </c>
    </row>
    <row r="20980">
      <c r="H20980" t="s">
        <v>5117</v>
      </c>
    </row>
    <row r="20981">
      <c r="H20981" t="s">
        <v>5117</v>
      </c>
    </row>
    <row r="20982">
      <c r="H20982" t="s">
        <v>5117</v>
      </c>
    </row>
    <row r="20983">
      <c r="H20983" t="s">
        <v>5117</v>
      </c>
    </row>
    <row r="20984">
      <c r="H20984" t="s">
        <v>5117</v>
      </c>
    </row>
    <row r="20985">
      <c r="H20985" t="s">
        <v>5117</v>
      </c>
    </row>
    <row r="20986">
      <c r="H20986" t="s">
        <v>5117</v>
      </c>
    </row>
    <row r="20987">
      <c r="H20987" t="s">
        <v>5117</v>
      </c>
    </row>
    <row r="20988">
      <c r="H20988" t="s">
        <v>5117</v>
      </c>
    </row>
    <row r="20989">
      <c r="H20989" t="s">
        <v>5117</v>
      </c>
    </row>
    <row r="20990">
      <c r="H20990" t="s">
        <v>5117</v>
      </c>
    </row>
    <row r="20991">
      <c r="H20991" t="s">
        <v>5117</v>
      </c>
    </row>
    <row r="20992">
      <c r="H20992" t="s">
        <v>5117</v>
      </c>
    </row>
    <row r="20993">
      <c r="H20993" t="s">
        <v>5117</v>
      </c>
    </row>
    <row r="20994">
      <c r="H20994" t="s">
        <v>5117</v>
      </c>
    </row>
    <row r="20995">
      <c r="H20995" t="s">
        <v>5117</v>
      </c>
    </row>
    <row r="20996">
      <c r="H20996" t="s">
        <v>5117</v>
      </c>
    </row>
    <row r="20997">
      <c r="H20997" t="s">
        <v>5117</v>
      </c>
    </row>
    <row r="20998">
      <c r="H20998" t="s">
        <v>5117</v>
      </c>
    </row>
    <row r="20999">
      <c r="H20999" t="s">
        <v>5117</v>
      </c>
    </row>
    <row r="21000">
      <c r="H21000" t="s">
        <v>5117</v>
      </c>
    </row>
    <row r="21001">
      <c r="H21001" t="s">
        <v>5117</v>
      </c>
    </row>
    <row r="21002">
      <c r="H21002" t="s">
        <v>5117</v>
      </c>
    </row>
    <row r="21003">
      <c r="H21003" t="s">
        <v>5117</v>
      </c>
    </row>
    <row r="21004">
      <c r="H21004" t="s">
        <v>5117</v>
      </c>
    </row>
    <row r="21005">
      <c r="H21005" t="s">
        <v>5117</v>
      </c>
    </row>
    <row r="21006">
      <c r="H21006" t="s">
        <v>5117</v>
      </c>
    </row>
    <row r="21007">
      <c r="H21007" t="s">
        <v>5117</v>
      </c>
    </row>
    <row r="21008">
      <c r="H21008" t="s">
        <v>5117</v>
      </c>
    </row>
    <row r="21009">
      <c r="H21009" t="s">
        <v>5117</v>
      </c>
    </row>
    <row r="21010">
      <c r="H21010" t="s">
        <v>5117</v>
      </c>
    </row>
    <row r="21011">
      <c r="H21011" t="s">
        <v>5117</v>
      </c>
    </row>
    <row r="21012">
      <c r="H21012" t="s">
        <v>5117</v>
      </c>
    </row>
    <row r="21013">
      <c r="H21013" t="s">
        <v>5117</v>
      </c>
    </row>
    <row r="21014">
      <c r="H21014" t="s">
        <v>5117</v>
      </c>
    </row>
    <row r="21015">
      <c r="H21015" t="s">
        <v>5117</v>
      </c>
    </row>
    <row r="21016">
      <c r="H21016" t="s">
        <v>5117</v>
      </c>
    </row>
    <row r="21017">
      <c r="H21017" t="s">
        <v>5117</v>
      </c>
    </row>
    <row r="21018">
      <c r="H21018" t="s">
        <v>5117</v>
      </c>
    </row>
    <row r="21019">
      <c r="H21019" t="s">
        <v>5117</v>
      </c>
    </row>
    <row r="21020">
      <c r="H21020" t="s">
        <v>5117</v>
      </c>
    </row>
    <row r="21021">
      <c r="H21021" t="s">
        <v>5117</v>
      </c>
    </row>
    <row r="21022">
      <c r="H21022" t="s">
        <v>5117</v>
      </c>
    </row>
    <row r="21023">
      <c r="H21023" t="s">
        <v>5117</v>
      </c>
    </row>
    <row r="21024">
      <c r="H21024" t="s">
        <v>5117</v>
      </c>
    </row>
    <row r="21025">
      <c r="H21025" t="s">
        <v>5117</v>
      </c>
    </row>
    <row r="21026">
      <c r="H21026" t="s">
        <v>5117</v>
      </c>
    </row>
    <row r="21027">
      <c r="H21027" t="s">
        <v>5117</v>
      </c>
    </row>
    <row r="21028">
      <c r="H21028" t="s">
        <v>5117</v>
      </c>
    </row>
    <row r="21029">
      <c r="H21029" t="s">
        <v>5117</v>
      </c>
    </row>
    <row r="21030">
      <c r="H21030" t="s">
        <v>5117</v>
      </c>
    </row>
    <row r="21031">
      <c r="H21031" t="s">
        <v>5117</v>
      </c>
    </row>
    <row r="21032">
      <c r="H21032" t="s">
        <v>5117</v>
      </c>
    </row>
    <row r="21033">
      <c r="H21033" t="s">
        <v>5117</v>
      </c>
    </row>
    <row r="21034">
      <c r="H21034" t="s">
        <v>5117</v>
      </c>
    </row>
    <row r="21035">
      <c r="H21035" t="s">
        <v>5117</v>
      </c>
    </row>
    <row r="21036">
      <c r="H21036" t="s">
        <v>5117</v>
      </c>
    </row>
    <row r="21037">
      <c r="H21037" t="s">
        <v>5117</v>
      </c>
    </row>
    <row r="21038">
      <c r="H21038" t="s">
        <v>5117</v>
      </c>
    </row>
    <row r="21039">
      <c r="H21039" t="s">
        <v>5117</v>
      </c>
    </row>
    <row r="21040">
      <c r="H21040" t="s">
        <v>5117</v>
      </c>
    </row>
    <row r="21041">
      <c r="H21041" t="s">
        <v>5117</v>
      </c>
    </row>
    <row r="21042">
      <c r="H21042" t="s">
        <v>5117</v>
      </c>
    </row>
    <row r="21043">
      <c r="H21043" t="s">
        <v>5117</v>
      </c>
    </row>
    <row r="21044">
      <c r="H21044" t="s">
        <v>5117</v>
      </c>
    </row>
    <row r="21045">
      <c r="H21045" t="s">
        <v>5117</v>
      </c>
    </row>
    <row r="21046">
      <c r="H21046" t="s">
        <v>5117</v>
      </c>
    </row>
    <row r="21047">
      <c r="H21047" t="s">
        <v>5117</v>
      </c>
    </row>
    <row r="21048">
      <c r="H21048" t="s">
        <v>5117</v>
      </c>
    </row>
    <row r="21049">
      <c r="H21049" t="s">
        <v>5117</v>
      </c>
    </row>
    <row r="21050">
      <c r="H21050" t="s">
        <v>5117</v>
      </c>
    </row>
    <row r="21051">
      <c r="H21051" t="s">
        <v>5117</v>
      </c>
    </row>
    <row r="21052">
      <c r="H21052" t="s">
        <v>5117</v>
      </c>
    </row>
    <row r="21053">
      <c r="H21053" t="s">
        <v>5117</v>
      </c>
    </row>
    <row r="21054">
      <c r="H21054" t="s">
        <v>5117</v>
      </c>
    </row>
    <row r="21055">
      <c r="H21055" t="s">
        <v>5117</v>
      </c>
    </row>
    <row r="21056">
      <c r="H21056" t="s">
        <v>5117</v>
      </c>
    </row>
    <row r="21057">
      <c r="H21057" t="s">
        <v>5117</v>
      </c>
    </row>
    <row r="21058">
      <c r="H21058" t="s">
        <v>5117</v>
      </c>
    </row>
    <row r="21059">
      <c r="H21059" t="s">
        <v>5117</v>
      </c>
    </row>
    <row r="21060">
      <c r="H21060" t="s">
        <v>5117</v>
      </c>
    </row>
    <row r="21061">
      <c r="H21061" t="s">
        <v>5117</v>
      </c>
    </row>
    <row r="21062">
      <c r="H21062" t="s">
        <v>5117</v>
      </c>
    </row>
    <row r="21063">
      <c r="H21063" t="s">
        <v>5117</v>
      </c>
    </row>
    <row r="21064">
      <c r="H21064" t="s">
        <v>5117</v>
      </c>
    </row>
    <row r="21065">
      <c r="H21065" t="s">
        <v>5117</v>
      </c>
    </row>
    <row r="21066">
      <c r="H21066" t="s">
        <v>5117</v>
      </c>
    </row>
    <row r="21067">
      <c r="H21067" t="s">
        <v>5117</v>
      </c>
    </row>
    <row r="21068">
      <c r="H21068" t="s">
        <v>5117</v>
      </c>
    </row>
    <row r="21069">
      <c r="H21069" t="s">
        <v>5117</v>
      </c>
    </row>
    <row r="21070">
      <c r="H21070" t="s">
        <v>5117</v>
      </c>
    </row>
    <row r="21071">
      <c r="H21071" t="s">
        <v>5117</v>
      </c>
    </row>
    <row r="21072">
      <c r="H21072" t="s">
        <v>5117</v>
      </c>
    </row>
    <row r="21073">
      <c r="H21073" t="s">
        <v>5117</v>
      </c>
    </row>
    <row r="21074">
      <c r="H21074" t="s">
        <v>5117</v>
      </c>
    </row>
    <row r="21075">
      <c r="H21075" t="s">
        <v>5117</v>
      </c>
    </row>
    <row r="21076">
      <c r="H21076" t="s">
        <v>5117</v>
      </c>
    </row>
    <row r="21077">
      <c r="H21077" t="s">
        <v>5117</v>
      </c>
    </row>
    <row r="21078">
      <c r="H21078" t="s">
        <v>5117</v>
      </c>
    </row>
    <row r="21079">
      <c r="H21079" t="s">
        <v>5117</v>
      </c>
    </row>
    <row r="21080">
      <c r="H21080" t="s">
        <v>5117</v>
      </c>
    </row>
    <row r="21081">
      <c r="H21081" t="s">
        <v>5117</v>
      </c>
    </row>
    <row r="21082">
      <c r="H21082" t="s">
        <v>5117</v>
      </c>
    </row>
    <row r="21083">
      <c r="H21083" t="s">
        <v>5117</v>
      </c>
    </row>
    <row r="21084">
      <c r="H21084" t="s">
        <v>5117</v>
      </c>
    </row>
    <row r="21085">
      <c r="H21085" t="s">
        <v>5117</v>
      </c>
    </row>
    <row r="21086">
      <c r="H21086" t="s">
        <v>5117</v>
      </c>
    </row>
    <row r="21087">
      <c r="H21087" t="s">
        <v>5117</v>
      </c>
    </row>
    <row r="21088">
      <c r="H21088" t="s">
        <v>5117</v>
      </c>
    </row>
    <row r="21089">
      <c r="H21089" t="s">
        <v>5117</v>
      </c>
    </row>
    <row r="21090">
      <c r="H21090" t="s">
        <v>5117</v>
      </c>
    </row>
    <row r="21091">
      <c r="H21091" t="s">
        <v>5117</v>
      </c>
    </row>
    <row r="21092">
      <c r="H21092" t="s">
        <v>5117</v>
      </c>
    </row>
    <row r="21093">
      <c r="H21093" t="s">
        <v>5117</v>
      </c>
    </row>
    <row r="21094">
      <c r="H21094" t="s">
        <v>5117</v>
      </c>
    </row>
    <row r="21095">
      <c r="H21095" t="s">
        <v>5117</v>
      </c>
    </row>
    <row r="21096">
      <c r="H21096" t="s">
        <v>5117</v>
      </c>
    </row>
    <row r="21097">
      <c r="H21097" t="s">
        <v>5117</v>
      </c>
    </row>
    <row r="21098">
      <c r="H21098" t="s">
        <v>5117</v>
      </c>
    </row>
    <row r="21099">
      <c r="H21099" t="s">
        <v>5117</v>
      </c>
    </row>
    <row r="21100">
      <c r="H21100" t="s">
        <v>5117</v>
      </c>
    </row>
    <row r="21101">
      <c r="H21101" t="s">
        <v>5117</v>
      </c>
    </row>
    <row r="21102">
      <c r="H21102" t="s">
        <v>5117</v>
      </c>
    </row>
    <row r="21103">
      <c r="H21103" t="s">
        <v>5117</v>
      </c>
    </row>
    <row r="21104">
      <c r="H21104" t="s">
        <v>5117</v>
      </c>
    </row>
    <row r="21105">
      <c r="H21105" t="s">
        <v>5117</v>
      </c>
    </row>
    <row r="21106">
      <c r="H21106" t="s">
        <v>5117</v>
      </c>
    </row>
    <row r="21107">
      <c r="H21107" t="s">
        <v>5117</v>
      </c>
    </row>
    <row r="21108">
      <c r="H21108" t="s">
        <v>5117</v>
      </c>
    </row>
    <row r="21109">
      <c r="H21109" t="s">
        <v>5117</v>
      </c>
    </row>
    <row r="21110">
      <c r="H21110" t="s">
        <v>5117</v>
      </c>
    </row>
    <row r="21111">
      <c r="H21111" t="s">
        <v>5117</v>
      </c>
    </row>
    <row r="21112">
      <c r="H21112" t="s">
        <v>5117</v>
      </c>
    </row>
    <row r="21113">
      <c r="H21113" t="s">
        <v>5117</v>
      </c>
    </row>
    <row r="21114">
      <c r="H21114" t="s">
        <v>5117</v>
      </c>
    </row>
    <row r="21115">
      <c r="H21115" t="s">
        <v>5117</v>
      </c>
    </row>
    <row r="21116">
      <c r="H21116" t="s">
        <v>5117</v>
      </c>
    </row>
    <row r="21117">
      <c r="H21117" t="s">
        <v>5117</v>
      </c>
    </row>
    <row r="21118">
      <c r="H21118" t="s">
        <v>5117</v>
      </c>
    </row>
    <row r="21119">
      <c r="H21119" t="s">
        <v>5117</v>
      </c>
    </row>
    <row r="21120">
      <c r="H21120" t="s">
        <v>5117</v>
      </c>
    </row>
    <row r="21121">
      <c r="H21121" t="s">
        <v>5117</v>
      </c>
    </row>
    <row r="21122">
      <c r="H21122" t="s">
        <v>5117</v>
      </c>
    </row>
    <row r="21123">
      <c r="H21123" t="s">
        <v>5117</v>
      </c>
    </row>
    <row r="21124">
      <c r="H21124" t="s">
        <v>5117</v>
      </c>
    </row>
    <row r="21125">
      <c r="H21125" t="s">
        <v>5117</v>
      </c>
    </row>
    <row r="21126">
      <c r="H21126" t="s">
        <v>5117</v>
      </c>
    </row>
    <row r="21127">
      <c r="H21127" t="s">
        <v>5117</v>
      </c>
    </row>
    <row r="21128">
      <c r="H21128" t="s">
        <v>5117</v>
      </c>
    </row>
    <row r="21129">
      <c r="H21129" t="s">
        <v>5117</v>
      </c>
    </row>
    <row r="21130">
      <c r="H21130" t="s">
        <v>5117</v>
      </c>
    </row>
    <row r="21131">
      <c r="H21131" t="s">
        <v>5117</v>
      </c>
    </row>
    <row r="21132">
      <c r="H21132" t="s">
        <v>5117</v>
      </c>
    </row>
    <row r="21133">
      <c r="H21133" t="s">
        <v>5117</v>
      </c>
    </row>
    <row r="21134">
      <c r="H21134" t="s">
        <v>5117</v>
      </c>
    </row>
    <row r="21135">
      <c r="H21135" t="s">
        <v>5117</v>
      </c>
    </row>
    <row r="21136">
      <c r="H21136" t="s">
        <v>5117</v>
      </c>
    </row>
    <row r="21137">
      <c r="H21137" t="s">
        <v>5117</v>
      </c>
    </row>
    <row r="21138">
      <c r="H21138" t="s">
        <v>5117</v>
      </c>
    </row>
    <row r="21139">
      <c r="H21139" t="s">
        <v>5117</v>
      </c>
    </row>
    <row r="21140">
      <c r="H21140" t="s">
        <v>5117</v>
      </c>
    </row>
    <row r="21141">
      <c r="H21141" t="s">
        <v>5117</v>
      </c>
    </row>
    <row r="21142">
      <c r="H21142" t="s">
        <v>5117</v>
      </c>
    </row>
    <row r="21143">
      <c r="H21143" t="s">
        <v>5117</v>
      </c>
    </row>
    <row r="21144">
      <c r="H21144" t="s">
        <v>5117</v>
      </c>
    </row>
    <row r="21145">
      <c r="H21145" t="s">
        <v>5117</v>
      </c>
    </row>
    <row r="21146">
      <c r="H21146" t="s">
        <v>5117</v>
      </c>
    </row>
    <row r="21147">
      <c r="H21147" t="s">
        <v>5117</v>
      </c>
    </row>
    <row r="21148">
      <c r="H21148" t="s">
        <v>5117</v>
      </c>
    </row>
    <row r="21149">
      <c r="H21149" t="s">
        <v>5117</v>
      </c>
    </row>
    <row r="21150">
      <c r="H21150" t="s">
        <v>5117</v>
      </c>
    </row>
    <row r="21151">
      <c r="H21151" t="s">
        <v>5117</v>
      </c>
    </row>
    <row r="21152">
      <c r="H21152" t="s">
        <v>5117</v>
      </c>
    </row>
    <row r="21153">
      <c r="H21153" t="s">
        <v>5117</v>
      </c>
    </row>
    <row r="21154">
      <c r="H21154" t="s">
        <v>5117</v>
      </c>
    </row>
    <row r="21155">
      <c r="H21155" t="s">
        <v>5117</v>
      </c>
    </row>
    <row r="21156">
      <c r="H21156" t="s">
        <v>5117</v>
      </c>
    </row>
    <row r="21157">
      <c r="H21157" t="s">
        <v>5117</v>
      </c>
    </row>
    <row r="21158">
      <c r="H21158" t="s">
        <v>5117</v>
      </c>
    </row>
    <row r="21159">
      <c r="H21159" t="s">
        <v>5117</v>
      </c>
    </row>
    <row r="21160">
      <c r="H21160" t="s">
        <v>5117</v>
      </c>
    </row>
    <row r="21161">
      <c r="H21161" t="s">
        <v>5117</v>
      </c>
    </row>
    <row r="21162">
      <c r="H21162" t="s">
        <v>5117</v>
      </c>
    </row>
    <row r="21163">
      <c r="H21163" t="s">
        <v>5117</v>
      </c>
    </row>
    <row r="21164">
      <c r="H21164" t="s">
        <v>5117</v>
      </c>
    </row>
    <row r="21165">
      <c r="H21165" t="s">
        <v>5117</v>
      </c>
    </row>
    <row r="21166">
      <c r="H21166" t="s">
        <v>5117</v>
      </c>
    </row>
    <row r="21167">
      <c r="H21167" t="s">
        <v>5117</v>
      </c>
    </row>
    <row r="21168">
      <c r="H21168" t="s">
        <v>5117</v>
      </c>
    </row>
    <row r="21169">
      <c r="H21169" t="s">
        <v>5117</v>
      </c>
    </row>
    <row r="21170">
      <c r="H21170" t="s">
        <v>5117</v>
      </c>
    </row>
    <row r="21171">
      <c r="H21171" t="s">
        <v>5117</v>
      </c>
    </row>
    <row r="21172">
      <c r="H21172" t="s">
        <v>5117</v>
      </c>
    </row>
    <row r="21173">
      <c r="H21173" t="s">
        <v>5117</v>
      </c>
    </row>
    <row r="21174">
      <c r="H21174" t="s">
        <v>5117</v>
      </c>
    </row>
    <row r="21175">
      <c r="H21175" t="s">
        <v>5117</v>
      </c>
    </row>
    <row r="21176">
      <c r="H21176" t="s">
        <v>5117</v>
      </c>
    </row>
    <row r="21177">
      <c r="H21177" t="s">
        <v>5117</v>
      </c>
    </row>
    <row r="21178">
      <c r="H21178" t="s">
        <v>5117</v>
      </c>
    </row>
    <row r="21179">
      <c r="H21179" t="s">
        <v>5117</v>
      </c>
    </row>
    <row r="21180">
      <c r="H21180" t="s">
        <v>5117</v>
      </c>
    </row>
    <row r="21181">
      <c r="H21181" t="s">
        <v>5117</v>
      </c>
    </row>
    <row r="21182">
      <c r="H21182" t="s">
        <v>5117</v>
      </c>
    </row>
    <row r="21183">
      <c r="H21183" t="s">
        <v>5117</v>
      </c>
    </row>
    <row r="21184">
      <c r="H21184" t="s">
        <v>5117</v>
      </c>
    </row>
    <row r="21185">
      <c r="H21185" t="s">
        <v>5117</v>
      </c>
    </row>
    <row r="21186">
      <c r="H21186" t="s">
        <v>5117</v>
      </c>
    </row>
    <row r="21187">
      <c r="H21187" t="s">
        <v>5117</v>
      </c>
    </row>
    <row r="21188">
      <c r="H21188" t="s">
        <v>5117</v>
      </c>
    </row>
    <row r="21189">
      <c r="H21189" t="s">
        <v>5117</v>
      </c>
    </row>
    <row r="21190">
      <c r="H21190" t="s">
        <v>5117</v>
      </c>
    </row>
    <row r="21191">
      <c r="H21191" t="s">
        <v>5117</v>
      </c>
    </row>
    <row r="21192">
      <c r="H21192" t="s">
        <v>5117</v>
      </c>
    </row>
    <row r="21193">
      <c r="H21193" t="s">
        <v>5117</v>
      </c>
    </row>
    <row r="21194">
      <c r="H21194" t="s">
        <v>5117</v>
      </c>
    </row>
    <row r="21195">
      <c r="H21195" t="s">
        <v>5117</v>
      </c>
    </row>
    <row r="21196">
      <c r="H21196" t="s">
        <v>5117</v>
      </c>
    </row>
    <row r="21197">
      <c r="H21197" t="s">
        <v>5117</v>
      </c>
    </row>
    <row r="21198">
      <c r="H21198" t="s">
        <v>5117</v>
      </c>
    </row>
    <row r="21199">
      <c r="H21199" t="s">
        <v>5117</v>
      </c>
    </row>
    <row r="21200">
      <c r="H21200" t="s">
        <v>5117</v>
      </c>
    </row>
    <row r="21201">
      <c r="H21201" t="s">
        <v>5117</v>
      </c>
    </row>
    <row r="21202">
      <c r="H21202" t="s">
        <v>5117</v>
      </c>
    </row>
    <row r="21203">
      <c r="H21203" t="s">
        <v>5117</v>
      </c>
    </row>
    <row r="21204">
      <c r="H21204" t="s">
        <v>5117</v>
      </c>
    </row>
    <row r="21205">
      <c r="H21205" t="s">
        <v>5117</v>
      </c>
    </row>
    <row r="21206">
      <c r="H21206" t="s">
        <v>5117</v>
      </c>
    </row>
    <row r="21207">
      <c r="H21207" t="s">
        <v>5117</v>
      </c>
    </row>
    <row r="21208">
      <c r="H21208" t="s">
        <v>5117</v>
      </c>
    </row>
    <row r="21209">
      <c r="H21209" t="s">
        <v>5117</v>
      </c>
    </row>
    <row r="21210">
      <c r="H21210" t="s">
        <v>5117</v>
      </c>
    </row>
    <row r="21211">
      <c r="H21211" t="s">
        <v>5117</v>
      </c>
    </row>
    <row r="21212">
      <c r="H21212" t="s">
        <v>5117</v>
      </c>
    </row>
    <row r="21213">
      <c r="H21213" t="s">
        <v>5117</v>
      </c>
    </row>
    <row r="21214">
      <c r="H21214" t="s">
        <v>5117</v>
      </c>
    </row>
    <row r="21215">
      <c r="H21215" t="s">
        <v>5117</v>
      </c>
    </row>
    <row r="21216">
      <c r="H21216" t="s">
        <v>5117</v>
      </c>
    </row>
    <row r="21217">
      <c r="H21217" t="s">
        <v>5117</v>
      </c>
    </row>
    <row r="21218">
      <c r="H21218" t="s">
        <v>5117</v>
      </c>
    </row>
    <row r="21219">
      <c r="H21219" t="s">
        <v>5117</v>
      </c>
    </row>
    <row r="21220">
      <c r="H21220" t="s">
        <v>5117</v>
      </c>
    </row>
    <row r="21221">
      <c r="H21221" t="s">
        <v>5117</v>
      </c>
    </row>
    <row r="21222">
      <c r="H21222" t="s">
        <v>5117</v>
      </c>
    </row>
    <row r="21223">
      <c r="H21223" t="s">
        <v>5117</v>
      </c>
    </row>
    <row r="21224">
      <c r="H21224" t="s">
        <v>5117</v>
      </c>
    </row>
    <row r="21225">
      <c r="H21225" t="s">
        <v>5117</v>
      </c>
    </row>
    <row r="21226">
      <c r="H21226" t="s">
        <v>5117</v>
      </c>
    </row>
    <row r="21227">
      <c r="H21227" t="s">
        <v>5117</v>
      </c>
    </row>
    <row r="21228">
      <c r="H21228" t="s">
        <v>5117</v>
      </c>
    </row>
    <row r="21229">
      <c r="H21229" t="s">
        <v>5117</v>
      </c>
    </row>
    <row r="21230">
      <c r="H21230" t="s">
        <v>5117</v>
      </c>
    </row>
    <row r="21231">
      <c r="H21231" t="s">
        <v>5117</v>
      </c>
    </row>
    <row r="21232">
      <c r="H21232" t="s">
        <v>5117</v>
      </c>
    </row>
    <row r="21233">
      <c r="H21233" t="s">
        <v>5117</v>
      </c>
    </row>
    <row r="21234">
      <c r="H21234" t="s">
        <v>5117</v>
      </c>
    </row>
    <row r="21235">
      <c r="H21235" t="s">
        <v>5117</v>
      </c>
    </row>
    <row r="21236">
      <c r="H21236" t="s">
        <v>5117</v>
      </c>
    </row>
    <row r="21237">
      <c r="H21237" t="s">
        <v>5117</v>
      </c>
    </row>
    <row r="21238">
      <c r="H21238" t="s">
        <v>5117</v>
      </c>
    </row>
    <row r="21239">
      <c r="H21239" t="s">
        <v>5117</v>
      </c>
    </row>
    <row r="21240">
      <c r="H21240" t="s">
        <v>5117</v>
      </c>
    </row>
    <row r="21241">
      <c r="H21241" t="s">
        <v>5117</v>
      </c>
    </row>
    <row r="21242">
      <c r="H21242" t="s">
        <v>5117</v>
      </c>
    </row>
    <row r="21243">
      <c r="H21243" t="s">
        <v>5117</v>
      </c>
    </row>
    <row r="21244">
      <c r="H21244" t="s">
        <v>5117</v>
      </c>
    </row>
    <row r="21245">
      <c r="H21245" t="s">
        <v>5117</v>
      </c>
    </row>
    <row r="21246">
      <c r="H21246" t="s">
        <v>5117</v>
      </c>
    </row>
    <row r="21247">
      <c r="H21247" t="s">
        <v>5117</v>
      </c>
    </row>
    <row r="21248">
      <c r="H21248" t="s">
        <v>5117</v>
      </c>
    </row>
    <row r="21249">
      <c r="H21249" t="s">
        <v>5117</v>
      </c>
    </row>
    <row r="21250">
      <c r="H21250" t="s">
        <v>5117</v>
      </c>
    </row>
    <row r="21251">
      <c r="H21251" t="s">
        <v>5117</v>
      </c>
    </row>
    <row r="21252">
      <c r="H21252" t="s">
        <v>5117</v>
      </c>
    </row>
    <row r="21253">
      <c r="H21253" t="s">
        <v>5117</v>
      </c>
    </row>
    <row r="21254">
      <c r="H21254" t="s">
        <v>5117</v>
      </c>
    </row>
    <row r="21255">
      <c r="H21255" t="s">
        <v>5117</v>
      </c>
    </row>
    <row r="21256">
      <c r="H21256" t="s">
        <v>5117</v>
      </c>
    </row>
    <row r="21257">
      <c r="H21257" t="s">
        <v>5117</v>
      </c>
    </row>
    <row r="21258">
      <c r="H21258" t="s">
        <v>5117</v>
      </c>
    </row>
    <row r="21259">
      <c r="H21259" t="s">
        <v>5117</v>
      </c>
    </row>
    <row r="21260">
      <c r="H21260" t="s">
        <v>5117</v>
      </c>
    </row>
    <row r="21261">
      <c r="H21261" t="s">
        <v>5117</v>
      </c>
    </row>
    <row r="21262">
      <c r="H21262" t="s">
        <v>5117</v>
      </c>
    </row>
    <row r="21263">
      <c r="H21263" t="s">
        <v>5117</v>
      </c>
    </row>
    <row r="21264">
      <c r="H21264" t="s">
        <v>5117</v>
      </c>
    </row>
    <row r="21265">
      <c r="H21265" t="s">
        <v>5117</v>
      </c>
    </row>
    <row r="21266">
      <c r="H21266" t="s">
        <v>5117</v>
      </c>
    </row>
    <row r="21267">
      <c r="H21267" t="s">
        <v>5117</v>
      </c>
    </row>
    <row r="21268">
      <c r="H21268" t="s">
        <v>5117</v>
      </c>
    </row>
    <row r="21269">
      <c r="H21269" t="s">
        <v>5117</v>
      </c>
    </row>
    <row r="21270">
      <c r="H21270" t="s">
        <v>5117</v>
      </c>
    </row>
    <row r="21271">
      <c r="H21271" t="s">
        <v>5117</v>
      </c>
    </row>
    <row r="21272">
      <c r="H21272" t="s">
        <v>5117</v>
      </c>
    </row>
    <row r="21273">
      <c r="H21273" t="s">
        <v>5117</v>
      </c>
    </row>
    <row r="21274">
      <c r="H21274" t="s">
        <v>5117</v>
      </c>
    </row>
    <row r="21275">
      <c r="H21275" t="s">
        <v>5117</v>
      </c>
    </row>
    <row r="21276">
      <c r="H21276" t="s">
        <v>5117</v>
      </c>
    </row>
    <row r="21277">
      <c r="H21277" t="s">
        <v>5117</v>
      </c>
    </row>
    <row r="21278">
      <c r="H21278" t="s">
        <v>5117</v>
      </c>
    </row>
    <row r="21279">
      <c r="H21279" t="s">
        <v>5117</v>
      </c>
    </row>
    <row r="21280">
      <c r="H21280" t="s">
        <v>5117</v>
      </c>
    </row>
    <row r="21281">
      <c r="H21281" t="s">
        <v>5117</v>
      </c>
    </row>
    <row r="21282">
      <c r="H21282" t="s">
        <v>5117</v>
      </c>
    </row>
    <row r="21283">
      <c r="H21283" t="s">
        <v>5117</v>
      </c>
    </row>
    <row r="21284">
      <c r="H21284" t="s">
        <v>5117</v>
      </c>
    </row>
    <row r="21285">
      <c r="H21285" t="s">
        <v>5117</v>
      </c>
    </row>
    <row r="21286">
      <c r="H21286" t="s">
        <v>5117</v>
      </c>
    </row>
    <row r="21287">
      <c r="H21287" t="s">
        <v>5117</v>
      </c>
    </row>
    <row r="21288">
      <c r="H21288" t="s">
        <v>5117</v>
      </c>
    </row>
    <row r="21289">
      <c r="H21289" t="s">
        <v>5117</v>
      </c>
    </row>
    <row r="21290">
      <c r="H21290" t="s">
        <v>5117</v>
      </c>
    </row>
    <row r="21291">
      <c r="H21291" t="s">
        <v>5117</v>
      </c>
    </row>
    <row r="21292">
      <c r="H21292" t="s">
        <v>5117</v>
      </c>
    </row>
    <row r="21293">
      <c r="H21293" t="s">
        <v>5117</v>
      </c>
    </row>
    <row r="21294">
      <c r="H21294" t="s">
        <v>5117</v>
      </c>
    </row>
    <row r="21295">
      <c r="H21295" t="s">
        <v>5117</v>
      </c>
    </row>
    <row r="21296">
      <c r="H21296" t="s">
        <v>5117</v>
      </c>
    </row>
    <row r="21297">
      <c r="H21297" t="s">
        <v>5117</v>
      </c>
    </row>
    <row r="21298">
      <c r="H21298" t="s">
        <v>5117</v>
      </c>
    </row>
    <row r="21299">
      <c r="H21299" t="s">
        <v>5117</v>
      </c>
    </row>
    <row r="21300">
      <c r="H21300" t="s">
        <v>5117</v>
      </c>
    </row>
    <row r="21301">
      <c r="H21301" t="s">
        <v>5117</v>
      </c>
    </row>
    <row r="21302">
      <c r="H21302" t="s">
        <v>5117</v>
      </c>
    </row>
    <row r="21303">
      <c r="H21303" t="s">
        <v>5117</v>
      </c>
    </row>
    <row r="21304">
      <c r="H21304" t="s">
        <v>5117</v>
      </c>
    </row>
    <row r="21305">
      <c r="H21305" t="s">
        <v>5117</v>
      </c>
    </row>
    <row r="21306">
      <c r="H21306" t="s">
        <v>5117</v>
      </c>
    </row>
    <row r="21307">
      <c r="H21307" t="s">
        <v>5117</v>
      </c>
    </row>
    <row r="21308">
      <c r="H21308" t="s">
        <v>5117</v>
      </c>
    </row>
    <row r="21309">
      <c r="H21309" t="s">
        <v>5117</v>
      </c>
    </row>
    <row r="21310">
      <c r="H21310" t="s">
        <v>5117</v>
      </c>
    </row>
    <row r="21311">
      <c r="H21311" t="s">
        <v>5117</v>
      </c>
    </row>
    <row r="21312">
      <c r="H21312" t="s">
        <v>5117</v>
      </c>
    </row>
    <row r="21313">
      <c r="H21313" t="s">
        <v>5117</v>
      </c>
    </row>
    <row r="21314">
      <c r="H21314" t="s">
        <v>5117</v>
      </c>
    </row>
    <row r="21315">
      <c r="H21315" t="s">
        <v>5117</v>
      </c>
    </row>
    <row r="21316">
      <c r="H21316" t="s">
        <v>5117</v>
      </c>
    </row>
    <row r="21317">
      <c r="H21317" t="s">
        <v>5117</v>
      </c>
    </row>
    <row r="21318">
      <c r="H21318" t="s">
        <v>5117</v>
      </c>
    </row>
    <row r="21319">
      <c r="H21319" t="s">
        <v>5117</v>
      </c>
    </row>
    <row r="21320">
      <c r="H21320" t="s">
        <v>5117</v>
      </c>
    </row>
    <row r="21321">
      <c r="H21321" t="s">
        <v>5117</v>
      </c>
    </row>
    <row r="21322">
      <c r="H21322" t="s">
        <v>5117</v>
      </c>
    </row>
    <row r="21323">
      <c r="H21323" t="s">
        <v>5117</v>
      </c>
    </row>
    <row r="21324">
      <c r="H21324" t="s">
        <v>5117</v>
      </c>
    </row>
    <row r="21325">
      <c r="H21325" t="s">
        <v>5117</v>
      </c>
    </row>
    <row r="21326">
      <c r="H21326" t="s">
        <v>5117</v>
      </c>
    </row>
    <row r="21327">
      <c r="H21327" t="s">
        <v>5117</v>
      </c>
    </row>
    <row r="21328">
      <c r="H21328" t="s">
        <v>5117</v>
      </c>
    </row>
    <row r="21329">
      <c r="H21329" t="s">
        <v>5117</v>
      </c>
    </row>
    <row r="21330">
      <c r="H21330" t="s">
        <v>5117</v>
      </c>
    </row>
    <row r="21331">
      <c r="H21331" t="s">
        <v>5117</v>
      </c>
    </row>
    <row r="21332">
      <c r="H21332" t="s">
        <v>5117</v>
      </c>
    </row>
    <row r="21333">
      <c r="H21333" t="s">
        <v>5117</v>
      </c>
    </row>
    <row r="21334">
      <c r="H21334" t="s">
        <v>5117</v>
      </c>
    </row>
    <row r="21335">
      <c r="H21335" t="s">
        <v>5117</v>
      </c>
    </row>
    <row r="21336">
      <c r="H21336" t="s">
        <v>5117</v>
      </c>
    </row>
    <row r="21337">
      <c r="H21337" t="s">
        <v>5117</v>
      </c>
    </row>
    <row r="21338">
      <c r="H21338" t="s">
        <v>5117</v>
      </c>
    </row>
    <row r="21339">
      <c r="H21339" t="s">
        <v>5117</v>
      </c>
    </row>
    <row r="21340">
      <c r="H21340" t="s">
        <v>5117</v>
      </c>
    </row>
    <row r="21341">
      <c r="H21341" t="s">
        <v>5117</v>
      </c>
    </row>
    <row r="21342">
      <c r="H21342" t="s">
        <v>5117</v>
      </c>
    </row>
    <row r="21343">
      <c r="H21343" t="s">
        <v>5117</v>
      </c>
    </row>
    <row r="21344">
      <c r="H21344" t="s">
        <v>5117</v>
      </c>
    </row>
    <row r="21345">
      <c r="H21345" t="s">
        <v>5117</v>
      </c>
    </row>
    <row r="21346">
      <c r="H21346" t="s">
        <v>5117</v>
      </c>
    </row>
    <row r="21347">
      <c r="H21347" t="s">
        <v>5117</v>
      </c>
    </row>
    <row r="21348">
      <c r="H21348" t="s">
        <v>5117</v>
      </c>
    </row>
    <row r="21349">
      <c r="H21349" t="s">
        <v>5117</v>
      </c>
    </row>
    <row r="21350">
      <c r="H21350" t="s">
        <v>5117</v>
      </c>
    </row>
    <row r="21351">
      <c r="H21351" t="s">
        <v>5117</v>
      </c>
    </row>
    <row r="21352">
      <c r="H21352" t="s">
        <v>5117</v>
      </c>
    </row>
    <row r="21353">
      <c r="H21353" t="s">
        <v>5117</v>
      </c>
    </row>
    <row r="21354">
      <c r="H21354" t="s">
        <v>5117</v>
      </c>
    </row>
    <row r="21355">
      <c r="H21355" t="s">
        <v>5117</v>
      </c>
    </row>
    <row r="21356">
      <c r="H21356" t="s">
        <v>5117</v>
      </c>
    </row>
    <row r="21357">
      <c r="H21357" t="s">
        <v>5117</v>
      </c>
    </row>
    <row r="21358">
      <c r="H21358" t="s">
        <v>5117</v>
      </c>
    </row>
    <row r="21359">
      <c r="H21359" t="s">
        <v>5117</v>
      </c>
    </row>
    <row r="21360">
      <c r="H21360" t="s">
        <v>5117</v>
      </c>
    </row>
    <row r="21361">
      <c r="H21361" t="s">
        <v>5117</v>
      </c>
    </row>
    <row r="21362">
      <c r="H21362" t="s">
        <v>5117</v>
      </c>
    </row>
    <row r="21363">
      <c r="H21363" t="s">
        <v>5117</v>
      </c>
    </row>
    <row r="21364">
      <c r="H21364" t="s">
        <v>5117</v>
      </c>
    </row>
    <row r="21365">
      <c r="H21365" t="s">
        <v>5117</v>
      </c>
    </row>
    <row r="21366">
      <c r="H21366" t="s">
        <v>5117</v>
      </c>
    </row>
    <row r="21367">
      <c r="H21367" t="s">
        <v>5117</v>
      </c>
    </row>
    <row r="21368">
      <c r="H21368" t="s">
        <v>5117</v>
      </c>
    </row>
    <row r="21369">
      <c r="H21369" t="s">
        <v>5117</v>
      </c>
    </row>
    <row r="21370">
      <c r="H21370" t="s">
        <v>5117</v>
      </c>
    </row>
    <row r="21371">
      <c r="H21371" t="s">
        <v>5117</v>
      </c>
    </row>
    <row r="21372">
      <c r="H21372" t="s">
        <v>5117</v>
      </c>
    </row>
    <row r="21373">
      <c r="H21373" t="s">
        <v>5117</v>
      </c>
    </row>
    <row r="21374">
      <c r="H21374" t="s">
        <v>5117</v>
      </c>
    </row>
    <row r="21375">
      <c r="H21375" t="s">
        <v>5117</v>
      </c>
    </row>
    <row r="21376">
      <c r="H21376" t="s">
        <v>5117</v>
      </c>
    </row>
    <row r="21377">
      <c r="H21377" t="s">
        <v>5117</v>
      </c>
    </row>
    <row r="21378">
      <c r="H21378" t="s">
        <v>5117</v>
      </c>
    </row>
    <row r="21379">
      <c r="H21379" t="s">
        <v>5117</v>
      </c>
    </row>
    <row r="21380">
      <c r="H21380" t="s">
        <v>5117</v>
      </c>
    </row>
    <row r="21381">
      <c r="H21381" t="s">
        <v>5117</v>
      </c>
    </row>
    <row r="21382">
      <c r="H21382" t="s">
        <v>5117</v>
      </c>
    </row>
    <row r="21383">
      <c r="H21383" t="s">
        <v>5117</v>
      </c>
    </row>
    <row r="21384">
      <c r="H21384" t="s">
        <v>5117</v>
      </c>
    </row>
    <row r="21385">
      <c r="H21385" t="s">
        <v>5117</v>
      </c>
    </row>
    <row r="21386">
      <c r="H21386" t="s">
        <v>5117</v>
      </c>
    </row>
    <row r="21387">
      <c r="H21387" t="s">
        <v>5117</v>
      </c>
    </row>
    <row r="21388">
      <c r="H21388" t="s">
        <v>5117</v>
      </c>
    </row>
    <row r="21389">
      <c r="H21389" t="s">
        <v>5117</v>
      </c>
    </row>
    <row r="21390">
      <c r="H21390" t="s">
        <v>5117</v>
      </c>
    </row>
    <row r="21391">
      <c r="H21391" t="s">
        <v>5117</v>
      </c>
    </row>
    <row r="21392">
      <c r="H21392" t="s">
        <v>5117</v>
      </c>
    </row>
    <row r="21393">
      <c r="H21393" t="s">
        <v>5117</v>
      </c>
    </row>
    <row r="21394">
      <c r="H21394" t="s">
        <v>5117</v>
      </c>
    </row>
    <row r="21395">
      <c r="H21395" t="s">
        <v>5117</v>
      </c>
    </row>
    <row r="21396">
      <c r="H21396" t="s">
        <v>5117</v>
      </c>
    </row>
    <row r="21397">
      <c r="H21397" t="s">
        <v>5117</v>
      </c>
    </row>
    <row r="21398">
      <c r="H21398" t="s">
        <v>5117</v>
      </c>
    </row>
    <row r="21399">
      <c r="H21399" t="s">
        <v>5117</v>
      </c>
    </row>
    <row r="21400">
      <c r="H21400" t="s">
        <v>5117</v>
      </c>
    </row>
    <row r="21401">
      <c r="H21401" t="s">
        <v>5117</v>
      </c>
    </row>
    <row r="21402">
      <c r="H21402" t="s">
        <v>5117</v>
      </c>
    </row>
    <row r="21403">
      <c r="H21403" t="s">
        <v>5117</v>
      </c>
    </row>
    <row r="21404">
      <c r="H21404" t="s">
        <v>5117</v>
      </c>
    </row>
    <row r="21405">
      <c r="H21405" t="s">
        <v>5117</v>
      </c>
    </row>
    <row r="21406">
      <c r="H21406" t="s">
        <v>5117</v>
      </c>
    </row>
    <row r="21407">
      <c r="H21407" t="s">
        <v>5117</v>
      </c>
    </row>
    <row r="21408">
      <c r="H21408" t="s">
        <v>5117</v>
      </c>
    </row>
    <row r="21409">
      <c r="H21409" t="s">
        <v>5117</v>
      </c>
    </row>
    <row r="21410">
      <c r="H21410" t="s">
        <v>5117</v>
      </c>
    </row>
    <row r="21411">
      <c r="H21411" t="s">
        <v>5117</v>
      </c>
    </row>
    <row r="21412">
      <c r="H21412" t="s">
        <v>5117</v>
      </c>
    </row>
    <row r="21413">
      <c r="H21413" t="s">
        <v>5117</v>
      </c>
    </row>
    <row r="21414">
      <c r="H21414" t="s">
        <v>5117</v>
      </c>
    </row>
    <row r="21415">
      <c r="H21415" t="s">
        <v>5117</v>
      </c>
    </row>
    <row r="21416">
      <c r="H21416" t="s">
        <v>5117</v>
      </c>
    </row>
    <row r="21417">
      <c r="H21417" t="s">
        <v>5117</v>
      </c>
    </row>
    <row r="21418">
      <c r="H21418" t="s">
        <v>5117</v>
      </c>
    </row>
    <row r="21419">
      <c r="H21419" t="s">
        <v>5117</v>
      </c>
    </row>
    <row r="21420">
      <c r="H21420" t="s">
        <v>5117</v>
      </c>
    </row>
    <row r="21421">
      <c r="H21421" t="s">
        <v>5117</v>
      </c>
    </row>
    <row r="21422">
      <c r="H21422" t="s">
        <v>5117</v>
      </c>
    </row>
    <row r="21423">
      <c r="H21423" t="s">
        <v>5117</v>
      </c>
    </row>
    <row r="21424">
      <c r="H21424" t="s">
        <v>5117</v>
      </c>
    </row>
    <row r="21425">
      <c r="H21425" t="s">
        <v>5117</v>
      </c>
    </row>
    <row r="21426">
      <c r="H21426" t="s">
        <v>5117</v>
      </c>
    </row>
    <row r="21427">
      <c r="H21427" t="s">
        <v>5117</v>
      </c>
    </row>
    <row r="21428">
      <c r="H21428" t="s">
        <v>5117</v>
      </c>
    </row>
    <row r="21429">
      <c r="H21429" t="s">
        <v>5117</v>
      </c>
    </row>
    <row r="21430">
      <c r="H21430" t="s">
        <v>5117</v>
      </c>
    </row>
    <row r="21431">
      <c r="H21431" t="s">
        <v>5117</v>
      </c>
    </row>
    <row r="21432">
      <c r="H21432" t="s">
        <v>5117</v>
      </c>
    </row>
    <row r="21433">
      <c r="H21433" t="s">
        <v>5117</v>
      </c>
    </row>
    <row r="21434">
      <c r="H21434" t="s">
        <v>5117</v>
      </c>
    </row>
    <row r="21435">
      <c r="H21435" t="s">
        <v>5117</v>
      </c>
    </row>
    <row r="21436">
      <c r="H21436" t="s">
        <v>5117</v>
      </c>
    </row>
    <row r="21437">
      <c r="H21437" t="s">
        <v>5117</v>
      </c>
    </row>
    <row r="21438">
      <c r="H21438" t="s">
        <v>5117</v>
      </c>
    </row>
    <row r="21439">
      <c r="H21439" t="s">
        <v>5117</v>
      </c>
    </row>
    <row r="21440">
      <c r="H21440" t="s">
        <v>5117</v>
      </c>
    </row>
    <row r="21441">
      <c r="H21441" t="s">
        <v>5117</v>
      </c>
    </row>
    <row r="21442">
      <c r="H21442" t="s">
        <v>5117</v>
      </c>
    </row>
    <row r="21443">
      <c r="H21443" t="s">
        <v>5117</v>
      </c>
    </row>
    <row r="21444">
      <c r="H21444" t="s">
        <v>5117</v>
      </c>
    </row>
    <row r="21445">
      <c r="H21445" t="s">
        <v>5117</v>
      </c>
    </row>
    <row r="21446">
      <c r="H21446" t="s">
        <v>5117</v>
      </c>
    </row>
    <row r="21447">
      <c r="H21447" t="s">
        <v>5117</v>
      </c>
    </row>
    <row r="21448">
      <c r="H21448" t="s">
        <v>5117</v>
      </c>
    </row>
    <row r="21449">
      <c r="H21449" t="s">
        <v>5117</v>
      </c>
    </row>
    <row r="21450">
      <c r="H21450" t="s">
        <v>5117</v>
      </c>
    </row>
    <row r="21451">
      <c r="H21451" t="s">
        <v>5117</v>
      </c>
    </row>
    <row r="21452">
      <c r="H21452" t="s">
        <v>5117</v>
      </c>
    </row>
    <row r="21453">
      <c r="H21453" t="s">
        <v>5117</v>
      </c>
    </row>
    <row r="21454">
      <c r="H21454" t="s">
        <v>5117</v>
      </c>
    </row>
    <row r="21455">
      <c r="H21455" t="s">
        <v>5117</v>
      </c>
    </row>
    <row r="21456">
      <c r="H21456" t="s">
        <v>5117</v>
      </c>
    </row>
    <row r="21457">
      <c r="H21457" t="s">
        <v>5117</v>
      </c>
    </row>
    <row r="21458">
      <c r="H21458" t="s">
        <v>5117</v>
      </c>
    </row>
    <row r="21459">
      <c r="H21459" t="s">
        <v>5117</v>
      </c>
    </row>
    <row r="21460">
      <c r="H21460" t="s">
        <v>5117</v>
      </c>
    </row>
    <row r="21461">
      <c r="H21461" t="s">
        <v>5117</v>
      </c>
    </row>
    <row r="21462">
      <c r="H21462" t="s">
        <v>5117</v>
      </c>
    </row>
    <row r="21463">
      <c r="H21463" t="s">
        <v>5117</v>
      </c>
    </row>
    <row r="21464">
      <c r="H21464" t="s">
        <v>5117</v>
      </c>
    </row>
    <row r="21465">
      <c r="H21465" t="s">
        <v>5117</v>
      </c>
    </row>
    <row r="21466">
      <c r="H21466" t="s">
        <v>5117</v>
      </c>
    </row>
    <row r="21467">
      <c r="H21467" t="s">
        <v>5117</v>
      </c>
    </row>
    <row r="21468">
      <c r="H21468" t="s">
        <v>5117</v>
      </c>
    </row>
    <row r="21469">
      <c r="H21469" t="s">
        <v>5117</v>
      </c>
    </row>
    <row r="21470">
      <c r="H21470" t="s">
        <v>5117</v>
      </c>
    </row>
    <row r="21471">
      <c r="H21471" t="s">
        <v>5117</v>
      </c>
    </row>
    <row r="21472">
      <c r="H21472" t="s">
        <v>5117</v>
      </c>
    </row>
    <row r="21473">
      <c r="H21473" t="s">
        <v>5117</v>
      </c>
    </row>
    <row r="21474">
      <c r="H21474" t="s">
        <v>5117</v>
      </c>
    </row>
    <row r="21475">
      <c r="H21475" t="s">
        <v>5117</v>
      </c>
    </row>
    <row r="21476">
      <c r="H21476" t="s">
        <v>5117</v>
      </c>
    </row>
    <row r="21477">
      <c r="H21477" t="s">
        <v>5117</v>
      </c>
    </row>
    <row r="21478">
      <c r="H21478" t="s">
        <v>5117</v>
      </c>
    </row>
    <row r="21479">
      <c r="H21479" t="s">
        <v>5117</v>
      </c>
    </row>
    <row r="21480">
      <c r="H21480" t="s">
        <v>5117</v>
      </c>
    </row>
    <row r="21481">
      <c r="H21481" t="s">
        <v>5117</v>
      </c>
    </row>
    <row r="21482">
      <c r="H21482" t="s">
        <v>5117</v>
      </c>
    </row>
    <row r="21483">
      <c r="H21483" t="s">
        <v>5117</v>
      </c>
    </row>
    <row r="21484">
      <c r="H21484" t="s">
        <v>5117</v>
      </c>
    </row>
    <row r="21485">
      <c r="H21485" t="s">
        <v>5117</v>
      </c>
    </row>
    <row r="21486">
      <c r="H21486" t="s">
        <v>5117</v>
      </c>
    </row>
    <row r="21487">
      <c r="H21487" t="s">
        <v>5117</v>
      </c>
    </row>
    <row r="21488">
      <c r="H21488" t="s">
        <v>5117</v>
      </c>
    </row>
    <row r="21489">
      <c r="H21489" t="s">
        <v>5117</v>
      </c>
    </row>
    <row r="21490">
      <c r="H21490" t="s">
        <v>5117</v>
      </c>
    </row>
    <row r="21491">
      <c r="H21491" t="s">
        <v>5117</v>
      </c>
    </row>
    <row r="21492">
      <c r="H21492" t="s">
        <v>5117</v>
      </c>
    </row>
    <row r="21493">
      <c r="H21493" t="s">
        <v>5117</v>
      </c>
    </row>
    <row r="21494">
      <c r="H21494" t="s">
        <v>5117</v>
      </c>
    </row>
    <row r="21495">
      <c r="H21495" t="s">
        <v>5117</v>
      </c>
    </row>
    <row r="21496">
      <c r="H21496" t="s">
        <v>5117</v>
      </c>
    </row>
    <row r="21497">
      <c r="H21497" t="s">
        <v>5117</v>
      </c>
    </row>
    <row r="21498">
      <c r="H21498" t="s">
        <v>5117</v>
      </c>
    </row>
    <row r="21499">
      <c r="H21499" t="s">
        <v>5117</v>
      </c>
    </row>
    <row r="21500">
      <c r="H21500" t="s">
        <v>5117</v>
      </c>
    </row>
    <row r="21501">
      <c r="H21501" t="s">
        <v>5117</v>
      </c>
    </row>
    <row r="21502">
      <c r="H21502" t="s">
        <v>5117</v>
      </c>
    </row>
    <row r="21503">
      <c r="H21503" t="s">
        <v>5117</v>
      </c>
    </row>
    <row r="21504">
      <c r="H21504" t="s">
        <v>5117</v>
      </c>
    </row>
    <row r="21505">
      <c r="H21505" t="s">
        <v>5117</v>
      </c>
    </row>
    <row r="21506">
      <c r="H21506" t="s">
        <v>5117</v>
      </c>
    </row>
    <row r="21507">
      <c r="H21507" t="s">
        <v>5117</v>
      </c>
    </row>
    <row r="21508">
      <c r="H21508" t="s">
        <v>5117</v>
      </c>
    </row>
    <row r="21509">
      <c r="H21509" t="s">
        <v>5117</v>
      </c>
    </row>
    <row r="21510">
      <c r="H21510" t="s">
        <v>5117</v>
      </c>
    </row>
    <row r="21511">
      <c r="H21511" t="s">
        <v>5117</v>
      </c>
    </row>
    <row r="21512">
      <c r="H21512" t="s">
        <v>5117</v>
      </c>
    </row>
    <row r="21513">
      <c r="H21513" t="s">
        <v>5117</v>
      </c>
    </row>
    <row r="21514">
      <c r="H21514" t="s">
        <v>5117</v>
      </c>
    </row>
    <row r="21515">
      <c r="H21515" t="s">
        <v>5117</v>
      </c>
    </row>
    <row r="21516">
      <c r="H21516" t="s">
        <v>5117</v>
      </c>
    </row>
    <row r="21517">
      <c r="H21517" t="s">
        <v>5117</v>
      </c>
    </row>
    <row r="21518">
      <c r="H21518" t="s">
        <v>5117</v>
      </c>
    </row>
    <row r="21519">
      <c r="H21519" t="s">
        <v>5117</v>
      </c>
    </row>
    <row r="21520">
      <c r="H21520" t="s">
        <v>5117</v>
      </c>
    </row>
    <row r="21521">
      <c r="H21521" t="s">
        <v>5117</v>
      </c>
    </row>
    <row r="21522">
      <c r="H21522" t="s">
        <v>5117</v>
      </c>
    </row>
    <row r="21523">
      <c r="H21523" t="s">
        <v>5117</v>
      </c>
    </row>
    <row r="21524">
      <c r="H21524" t="s">
        <v>5117</v>
      </c>
    </row>
    <row r="21525">
      <c r="H21525" t="s">
        <v>5117</v>
      </c>
    </row>
    <row r="21526">
      <c r="H21526" t="s">
        <v>5117</v>
      </c>
    </row>
    <row r="21527">
      <c r="H21527" t="s">
        <v>5117</v>
      </c>
    </row>
    <row r="21528">
      <c r="H21528" t="s">
        <v>5117</v>
      </c>
    </row>
    <row r="21529">
      <c r="H21529" t="s">
        <v>5117</v>
      </c>
    </row>
    <row r="21530">
      <c r="H21530" t="s">
        <v>5117</v>
      </c>
    </row>
    <row r="21531">
      <c r="H21531" t="s">
        <v>5117</v>
      </c>
    </row>
    <row r="21532">
      <c r="H21532" t="s">
        <v>5117</v>
      </c>
    </row>
    <row r="21533">
      <c r="H21533" t="s">
        <v>5117</v>
      </c>
    </row>
    <row r="21534">
      <c r="H21534" t="s">
        <v>5117</v>
      </c>
    </row>
    <row r="21535">
      <c r="H21535" t="s">
        <v>5117</v>
      </c>
    </row>
    <row r="21536">
      <c r="H21536" t="s">
        <v>5117</v>
      </c>
    </row>
    <row r="21537">
      <c r="H21537" t="s">
        <v>5117</v>
      </c>
    </row>
    <row r="21538">
      <c r="H21538" t="s">
        <v>5117</v>
      </c>
    </row>
    <row r="21539">
      <c r="H21539" t="s">
        <v>5117</v>
      </c>
    </row>
    <row r="21540">
      <c r="H21540" t="s">
        <v>5117</v>
      </c>
    </row>
    <row r="21541">
      <c r="H21541" t="s">
        <v>5117</v>
      </c>
    </row>
    <row r="21542">
      <c r="H21542" t="s">
        <v>5117</v>
      </c>
    </row>
    <row r="21543">
      <c r="H21543" t="s">
        <v>5117</v>
      </c>
    </row>
    <row r="21544">
      <c r="H21544" t="s">
        <v>5117</v>
      </c>
    </row>
    <row r="21545">
      <c r="H21545" t="s">
        <v>5117</v>
      </c>
    </row>
    <row r="21546">
      <c r="H21546" t="s">
        <v>5117</v>
      </c>
    </row>
    <row r="21547">
      <c r="H21547" t="s">
        <v>5117</v>
      </c>
    </row>
    <row r="21548">
      <c r="H21548" t="s">
        <v>5117</v>
      </c>
    </row>
    <row r="21549">
      <c r="H21549" t="s">
        <v>5117</v>
      </c>
    </row>
    <row r="21550">
      <c r="H21550" t="s">
        <v>5117</v>
      </c>
    </row>
    <row r="21551">
      <c r="H21551" t="s">
        <v>5117</v>
      </c>
    </row>
    <row r="21552">
      <c r="H21552" t="s">
        <v>5117</v>
      </c>
    </row>
    <row r="21553">
      <c r="H21553" t="s">
        <v>5117</v>
      </c>
    </row>
    <row r="21554">
      <c r="H21554" t="s">
        <v>5117</v>
      </c>
    </row>
    <row r="21555">
      <c r="H21555" t="s">
        <v>5117</v>
      </c>
    </row>
    <row r="21556">
      <c r="H21556" t="s">
        <v>5117</v>
      </c>
    </row>
    <row r="21557">
      <c r="H21557" t="s">
        <v>5117</v>
      </c>
    </row>
    <row r="21558">
      <c r="H21558" t="s">
        <v>5117</v>
      </c>
    </row>
    <row r="21559">
      <c r="H21559" t="s">
        <v>5117</v>
      </c>
    </row>
    <row r="21560">
      <c r="H21560" t="s">
        <v>5117</v>
      </c>
    </row>
    <row r="21561">
      <c r="H21561" t="s">
        <v>5117</v>
      </c>
    </row>
    <row r="21562">
      <c r="H21562" t="s">
        <v>5117</v>
      </c>
    </row>
    <row r="21563">
      <c r="H21563" t="s">
        <v>5117</v>
      </c>
    </row>
    <row r="21564">
      <c r="H21564" t="s">
        <v>5117</v>
      </c>
    </row>
    <row r="21565">
      <c r="H21565" t="s">
        <v>5117</v>
      </c>
    </row>
    <row r="21566">
      <c r="H21566" t="s">
        <v>5117</v>
      </c>
    </row>
    <row r="21567">
      <c r="H21567" t="s">
        <v>5117</v>
      </c>
    </row>
    <row r="21568">
      <c r="H21568" t="s">
        <v>5117</v>
      </c>
    </row>
    <row r="21569">
      <c r="H21569" t="s">
        <v>5117</v>
      </c>
    </row>
    <row r="21570">
      <c r="H21570" t="s">
        <v>5117</v>
      </c>
    </row>
    <row r="21571">
      <c r="H21571" t="s">
        <v>5117</v>
      </c>
    </row>
    <row r="21572">
      <c r="H21572" t="s">
        <v>5117</v>
      </c>
    </row>
    <row r="21573">
      <c r="H21573" t="s">
        <v>5117</v>
      </c>
    </row>
    <row r="21574">
      <c r="H21574" t="s">
        <v>5117</v>
      </c>
    </row>
    <row r="21575">
      <c r="H21575" t="s">
        <v>5117</v>
      </c>
    </row>
    <row r="21576">
      <c r="H21576" t="s">
        <v>5117</v>
      </c>
    </row>
    <row r="21577">
      <c r="H21577" t="s">
        <v>5117</v>
      </c>
    </row>
    <row r="21578">
      <c r="H21578" t="s">
        <v>5117</v>
      </c>
    </row>
    <row r="21579">
      <c r="H21579" t="s">
        <v>5117</v>
      </c>
    </row>
    <row r="21580">
      <c r="H21580" t="s">
        <v>5117</v>
      </c>
    </row>
    <row r="21581">
      <c r="H21581" t="s">
        <v>5117</v>
      </c>
    </row>
    <row r="21582">
      <c r="H21582" t="s">
        <v>5117</v>
      </c>
    </row>
    <row r="21583">
      <c r="H21583" t="s">
        <v>5117</v>
      </c>
    </row>
    <row r="21584">
      <c r="H21584" t="s">
        <v>5117</v>
      </c>
    </row>
    <row r="21585">
      <c r="H21585" t="s">
        <v>5117</v>
      </c>
    </row>
    <row r="21586">
      <c r="H21586" t="s">
        <v>5117</v>
      </c>
    </row>
    <row r="21587">
      <c r="H21587" t="s">
        <v>5117</v>
      </c>
    </row>
    <row r="21588">
      <c r="H21588" t="s">
        <v>5117</v>
      </c>
    </row>
    <row r="21589">
      <c r="H21589" t="s">
        <v>5117</v>
      </c>
    </row>
    <row r="21590">
      <c r="H21590" t="s">
        <v>5117</v>
      </c>
    </row>
    <row r="21591">
      <c r="H21591" t="s">
        <v>5117</v>
      </c>
    </row>
    <row r="21592">
      <c r="H21592" t="s">
        <v>5117</v>
      </c>
    </row>
    <row r="21593">
      <c r="H21593" t="s">
        <v>5117</v>
      </c>
    </row>
    <row r="21594">
      <c r="H21594" t="s">
        <v>5117</v>
      </c>
    </row>
    <row r="21595">
      <c r="H21595" t="s">
        <v>5117</v>
      </c>
    </row>
    <row r="21596">
      <c r="H21596" t="s">
        <v>5117</v>
      </c>
    </row>
    <row r="21597">
      <c r="H21597" t="s">
        <v>5117</v>
      </c>
    </row>
    <row r="21598">
      <c r="H21598" t="s">
        <v>5117</v>
      </c>
    </row>
    <row r="21599">
      <c r="H21599" t="s">
        <v>5117</v>
      </c>
    </row>
    <row r="21600">
      <c r="H21600" t="s">
        <v>5117</v>
      </c>
    </row>
    <row r="21601">
      <c r="H21601" t="s">
        <v>5117</v>
      </c>
    </row>
    <row r="21602">
      <c r="H21602" t="s">
        <v>5117</v>
      </c>
    </row>
    <row r="21603">
      <c r="H21603" t="s">
        <v>5117</v>
      </c>
    </row>
    <row r="21604">
      <c r="H21604" t="s">
        <v>5117</v>
      </c>
    </row>
    <row r="21605">
      <c r="H21605" t="s">
        <v>5117</v>
      </c>
    </row>
    <row r="21606">
      <c r="H21606" t="s">
        <v>5117</v>
      </c>
    </row>
    <row r="21607">
      <c r="H21607" t="s">
        <v>5117</v>
      </c>
    </row>
    <row r="21608">
      <c r="H21608" t="s">
        <v>5117</v>
      </c>
    </row>
    <row r="21609">
      <c r="H21609" t="s">
        <v>5117</v>
      </c>
    </row>
    <row r="21610">
      <c r="H21610" t="s">
        <v>5117</v>
      </c>
    </row>
    <row r="21611">
      <c r="H21611" t="s">
        <v>5117</v>
      </c>
    </row>
    <row r="21612">
      <c r="H21612" t="s">
        <v>5117</v>
      </c>
    </row>
    <row r="21613">
      <c r="H21613" t="s">
        <v>5117</v>
      </c>
    </row>
    <row r="21614">
      <c r="H21614" t="s">
        <v>5117</v>
      </c>
    </row>
    <row r="21615">
      <c r="H21615" t="s">
        <v>5117</v>
      </c>
    </row>
    <row r="21616">
      <c r="H21616" t="s">
        <v>5117</v>
      </c>
    </row>
    <row r="21617">
      <c r="H21617" t="s">
        <v>5117</v>
      </c>
    </row>
    <row r="21618">
      <c r="H21618" t="s">
        <v>5117</v>
      </c>
    </row>
    <row r="21619">
      <c r="H21619" t="s">
        <v>5117</v>
      </c>
    </row>
    <row r="21620">
      <c r="H21620" t="s">
        <v>5117</v>
      </c>
    </row>
    <row r="21621">
      <c r="H21621" t="s">
        <v>5117</v>
      </c>
    </row>
    <row r="21622">
      <c r="H21622" t="s">
        <v>5117</v>
      </c>
    </row>
    <row r="21623">
      <c r="H21623" t="s">
        <v>5117</v>
      </c>
    </row>
    <row r="21624">
      <c r="H21624" t="s">
        <v>5117</v>
      </c>
    </row>
    <row r="21625">
      <c r="H21625" t="s">
        <v>5117</v>
      </c>
    </row>
    <row r="21626">
      <c r="H21626" t="s">
        <v>5117</v>
      </c>
    </row>
    <row r="21627">
      <c r="H21627" t="s">
        <v>5117</v>
      </c>
    </row>
    <row r="21628">
      <c r="H21628" t="s">
        <v>5117</v>
      </c>
    </row>
    <row r="21629">
      <c r="H21629" t="s">
        <v>5117</v>
      </c>
    </row>
    <row r="21630">
      <c r="H21630" t="s">
        <v>5117</v>
      </c>
    </row>
    <row r="21631">
      <c r="H21631" t="s">
        <v>5117</v>
      </c>
    </row>
    <row r="21632">
      <c r="H21632" t="s">
        <v>5117</v>
      </c>
    </row>
    <row r="21633">
      <c r="H21633" t="s">
        <v>5117</v>
      </c>
    </row>
    <row r="21634">
      <c r="H21634" t="s">
        <v>5117</v>
      </c>
    </row>
    <row r="21635">
      <c r="H21635" t="s">
        <v>5117</v>
      </c>
    </row>
    <row r="21636">
      <c r="H21636" t="s">
        <v>5117</v>
      </c>
    </row>
    <row r="21637">
      <c r="H21637" t="s">
        <v>5117</v>
      </c>
    </row>
    <row r="21638">
      <c r="H21638" t="s">
        <v>5117</v>
      </c>
    </row>
    <row r="21639">
      <c r="H21639" t="s">
        <v>5117</v>
      </c>
    </row>
    <row r="21640">
      <c r="H21640" t="s">
        <v>5117</v>
      </c>
    </row>
    <row r="21641">
      <c r="H21641" t="s">
        <v>5117</v>
      </c>
    </row>
    <row r="21642">
      <c r="H21642" t="s">
        <v>5117</v>
      </c>
    </row>
    <row r="21643">
      <c r="H21643" t="s">
        <v>5117</v>
      </c>
    </row>
    <row r="21644">
      <c r="H21644" t="s">
        <v>5117</v>
      </c>
    </row>
    <row r="21645">
      <c r="H21645" t="s">
        <v>5117</v>
      </c>
    </row>
    <row r="21646">
      <c r="H21646" t="s">
        <v>5117</v>
      </c>
    </row>
    <row r="21647">
      <c r="H21647" t="s">
        <v>5117</v>
      </c>
    </row>
    <row r="21648">
      <c r="H21648" t="s">
        <v>5117</v>
      </c>
    </row>
    <row r="21649">
      <c r="H21649" t="s">
        <v>5117</v>
      </c>
    </row>
    <row r="21650">
      <c r="H21650" t="s">
        <v>5117</v>
      </c>
    </row>
    <row r="21651">
      <c r="H21651" t="s">
        <v>5117</v>
      </c>
    </row>
    <row r="21652">
      <c r="H21652" t="s">
        <v>5117</v>
      </c>
    </row>
    <row r="21653">
      <c r="H21653" t="s">
        <v>5117</v>
      </c>
    </row>
    <row r="21654">
      <c r="H21654" t="s">
        <v>5117</v>
      </c>
    </row>
    <row r="21655">
      <c r="H21655" t="s">
        <v>5117</v>
      </c>
    </row>
    <row r="21656">
      <c r="H21656" t="s">
        <v>5117</v>
      </c>
    </row>
    <row r="21657">
      <c r="H21657" t="s">
        <v>5117</v>
      </c>
    </row>
    <row r="21658">
      <c r="H21658" t="s">
        <v>5117</v>
      </c>
    </row>
    <row r="21659">
      <c r="H21659" t="s">
        <v>5117</v>
      </c>
    </row>
    <row r="21660">
      <c r="H21660" t="s">
        <v>5117</v>
      </c>
    </row>
    <row r="21661">
      <c r="H21661" t="s">
        <v>5117</v>
      </c>
    </row>
    <row r="21662">
      <c r="H21662" t="s">
        <v>5117</v>
      </c>
    </row>
    <row r="21663">
      <c r="H21663" t="s">
        <v>5117</v>
      </c>
    </row>
    <row r="21664">
      <c r="H21664" t="s">
        <v>5117</v>
      </c>
    </row>
    <row r="21665">
      <c r="H21665" t="s">
        <v>5117</v>
      </c>
    </row>
    <row r="21666">
      <c r="H21666" t="s">
        <v>5117</v>
      </c>
    </row>
    <row r="21667">
      <c r="H21667" t="s">
        <v>5117</v>
      </c>
    </row>
    <row r="21668">
      <c r="H21668" t="s">
        <v>5117</v>
      </c>
    </row>
    <row r="21669">
      <c r="H21669" t="s">
        <v>5117</v>
      </c>
    </row>
    <row r="21670">
      <c r="H21670" t="s">
        <v>5117</v>
      </c>
    </row>
    <row r="21671">
      <c r="H21671" t="s">
        <v>5117</v>
      </c>
    </row>
    <row r="21672">
      <c r="H21672" t="s">
        <v>5117</v>
      </c>
    </row>
    <row r="21673">
      <c r="H21673" t="s">
        <v>5117</v>
      </c>
    </row>
    <row r="21674">
      <c r="H21674" t="s">
        <v>5117</v>
      </c>
    </row>
    <row r="21675">
      <c r="H21675" t="s">
        <v>5117</v>
      </c>
    </row>
    <row r="21676">
      <c r="H21676" t="s">
        <v>5117</v>
      </c>
    </row>
    <row r="21677">
      <c r="H21677" t="s">
        <v>5117</v>
      </c>
    </row>
    <row r="21678">
      <c r="H21678" t="s">
        <v>5117</v>
      </c>
    </row>
    <row r="21679">
      <c r="H21679" t="s">
        <v>5117</v>
      </c>
    </row>
    <row r="21680">
      <c r="H21680" t="s">
        <v>5117</v>
      </c>
    </row>
    <row r="21681">
      <c r="H21681" t="s">
        <v>5117</v>
      </c>
    </row>
    <row r="21682">
      <c r="H21682" t="s">
        <v>5117</v>
      </c>
    </row>
    <row r="21683">
      <c r="H21683" t="s">
        <v>5117</v>
      </c>
    </row>
    <row r="21684">
      <c r="H21684" t="s">
        <v>5117</v>
      </c>
    </row>
    <row r="21685">
      <c r="H21685" t="s">
        <v>5117</v>
      </c>
    </row>
    <row r="21686">
      <c r="H21686" t="s">
        <v>5117</v>
      </c>
    </row>
    <row r="21687">
      <c r="H21687" t="s">
        <v>5117</v>
      </c>
    </row>
    <row r="21688">
      <c r="H21688" t="s">
        <v>5117</v>
      </c>
    </row>
    <row r="21689">
      <c r="H21689" t="s">
        <v>5117</v>
      </c>
    </row>
    <row r="21690">
      <c r="H21690" t="s">
        <v>5117</v>
      </c>
    </row>
    <row r="21691">
      <c r="H21691" t="s">
        <v>5117</v>
      </c>
    </row>
    <row r="21692">
      <c r="H21692" t="s">
        <v>5117</v>
      </c>
    </row>
    <row r="21693">
      <c r="H21693" t="s">
        <v>5117</v>
      </c>
    </row>
    <row r="21694">
      <c r="H21694" t="s">
        <v>5117</v>
      </c>
    </row>
    <row r="21695">
      <c r="H21695" t="s">
        <v>5117</v>
      </c>
    </row>
    <row r="21696">
      <c r="H21696" t="s">
        <v>5117</v>
      </c>
    </row>
    <row r="21697">
      <c r="H21697" t="s">
        <v>5117</v>
      </c>
    </row>
    <row r="21698">
      <c r="H21698" t="s">
        <v>5117</v>
      </c>
    </row>
    <row r="21699">
      <c r="H21699" t="s">
        <v>5117</v>
      </c>
    </row>
    <row r="21700">
      <c r="H21700" t="s">
        <v>5117</v>
      </c>
    </row>
    <row r="21701">
      <c r="H21701" t="s">
        <v>5117</v>
      </c>
    </row>
    <row r="21702">
      <c r="H21702" t="s">
        <v>5117</v>
      </c>
    </row>
    <row r="21703">
      <c r="H21703" t="s">
        <v>5117</v>
      </c>
    </row>
    <row r="21704">
      <c r="H21704" t="s">
        <v>5117</v>
      </c>
    </row>
    <row r="21705">
      <c r="H21705" t="s">
        <v>5117</v>
      </c>
    </row>
    <row r="21706">
      <c r="H21706" t="s">
        <v>5117</v>
      </c>
    </row>
    <row r="21707">
      <c r="H21707" t="s">
        <v>5117</v>
      </c>
    </row>
    <row r="21708">
      <c r="H21708" t="s">
        <v>5117</v>
      </c>
    </row>
    <row r="21709">
      <c r="H21709" t="s">
        <v>5117</v>
      </c>
    </row>
    <row r="21710">
      <c r="H21710" t="s">
        <v>5117</v>
      </c>
    </row>
    <row r="21711">
      <c r="H21711" t="s">
        <v>5117</v>
      </c>
    </row>
    <row r="21712">
      <c r="H21712" t="s">
        <v>5117</v>
      </c>
    </row>
    <row r="21713">
      <c r="H21713" t="s">
        <v>5117</v>
      </c>
    </row>
    <row r="21714">
      <c r="H21714" t="s">
        <v>5117</v>
      </c>
    </row>
    <row r="21715">
      <c r="H21715" t="s">
        <v>5117</v>
      </c>
    </row>
    <row r="21716">
      <c r="H21716" t="s">
        <v>5117</v>
      </c>
    </row>
    <row r="21717">
      <c r="H21717" t="s">
        <v>5117</v>
      </c>
    </row>
    <row r="21718">
      <c r="H21718" t="s">
        <v>5117</v>
      </c>
    </row>
    <row r="21719">
      <c r="H21719" t="s">
        <v>5117</v>
      </c>
    </row>
    <row r="21720">
      <c r="H21720" t="s">
        <v>5117</v>
      </c>
    </row>
    <row r="21721">
      <c r="H21721" t="s">
        <v>5117</v>
      </c>
    </row>
    <row r="21722">
      <c r="H21722" t="s">
        <v>5117</v>
      </c>
    </row>
    <row r="21723">
      <c r="H21723" t="s">
        <v>5117</v>
      </c>
    </row>
    <row r="21724">
      <c r="H21724" t="s">
        <v>5117</v>
      </c>
    </row>
    <row r="21725">
      <c r="H21725" t="s">
        <v>5117</v>
      </c>
    </row>
    <row r="21726">
      <c r="H21726" t="s">
        <v>5117</v>
      </c>
    </row>
    <row r="21727">
      <c r="H21727" t="s">
        <v>5117</v>
      </c>
    </row>
    <row r="21728">
      <c r="H21728" t="s">
        <v>5117</v>
      </c>
    </row>
    <row r="21729">
      <c r="H21729" t="s">
        <v>5117</v>
      </c>
    </row>
    <row r="21730">
      <c r="H21730" t="s">
        <v>5117</v>
      </c>
    </row>
    <row r="21731">
      <c r="H21731" t="s">
        <v>5117</v>
      </c>
    </row>
    <row r="21732">
      <c r="H21732" t="s">
        <v>5117</v>
      </c>
    </row>
    <row r="21733">
      <c r="H21733" t="s">
        <v>5117</v>
      </c>
    </row>
    <row r="21734">
      <c r="H21734" t="s">
        <v>5117</v>
      </c>
    </row>
    <row r="21735">
      <c r="H21735" t="s">
        <v>5117</v>
      </c>
    </row>
    <row r="21736">
      <c r="H21736" t="s">
        <v>5117</v>
      </c>
    </row>
    <row r="21737">
      <c r="H21737" t="s">
        <v>5117</v>
      </c>
    </row>
    <row r="21738">
      <c r="H21738" t="s">
        <v>5117</v>
      </c>
    </row>
    <row r="21739">
      <c r="H21739" t="s">
        <v>5117</v>
      </c>
    </row>
    <row r="21740">
      <c r="H21740" t="s">
        <v>5117</v>
      </c>
    </row>
    <row r="21741">
      <c r="H21741" t="s">
        <v>5117</v>
      </c>
    </row>
    <row r="21742">
      <c r="H21742" t="s">
        <v>5117</v>
      </c>
    </row>
    <row r="21743">
      <c r="H21743" t="s">
        <v>5117</v>
      </c>
    </row>
    <row r="21744">
      <c r="H21744" t="s">
        <v>5117</v>
      </c>
    </row>
    <row r="21745">
      <c r="H21745" t="s">
        <v>5117</v>
      </c>
    </row>
    <row r="21746">
      <c r="H21746" t="s">
        <v>5117</v>
      </c>
    </row>
    <row r="21747">
      <c r="H21747" t="s">
        <v>5117</v>
      </c>
    </row>
    <row r="21748">
      <c r="H21748" t="s">
        <v>5117</v>
      </c>
    </row>
    <row r="21749">
      <c r="H21749" t="s">
        <v>5117</v>
      </c>
    </row>
    <row r="21750">
      <c r="H21750" t="s">
        <v>5117</v>
      </c>
    </row>
    <row r="21751">
      <c r="H21751" t="s">
        <v>5117</v>
      </c>
    </row>
    <row r="21752">
      <c r="H21752" t="s">
        <v>5117</v>
      </c>
    </row>
    <row r="21753">
      <c r="H21753" t="s">
        <v>5117</v>
      </c>
    </row>
    <row r="21754">
      <c r="H21754" t="s">
        <v>5117</v>
      </c>
    </row>
    <row r="21755">
      <c r="H21755" t="s">
        <v>5117</v>
      </c>
    </row>
    <row r="21756">
      <c r="H21756" t="s">
        <v>5117</v>
      </c>
    </row>
    <row r="21757">
      <c r="H21757" t="s">
        <v>5117</v>
      </c>
    </row>
    <row r="21758">
      <c r="H21758" t="s">
        <v>5117</v>
      </c>
    </row>
    <row r="21759">
      <c r="H21759" t="s">
        <v>5117</v>
      </c>
    </row>
    <row r="21760">
      <c r="H21760" t="s">
        <v>5117</v>
      </c>
    </row>
    <row r="21761">
      <c r="H21761" t="s">
        <v>5117</v>
      </c>
    </row>
    <row r="21762">
      <c r="H21762" t="s">
        <v>5117</v>
      </c>
    </row>
    <row r="21763">
      <c r="H21763" t="s">
        <v>5117</v>
      </c>
    </row>
    <row r="21764">
      <c r="H21764" t="s">
        <v>5117</v>
      </c>
    </row>
    <row r="21765">
      <c r="H21765" t="s">
        <v>5117</v>
      </c>
    </row>
    <row r="21766">
      <c r="H21766" t="s">
        <v>5117</v>
      </c>
    </row>
    <row r="21767">
      <c r="H21767" t="s">
        <v>5117</v>
      </c>
    </row>
    <row r="21768">
      <c r="H21768" t="s">
        <v>5117</v>
      </c>
    </row>
    <row r="21769">
      <c r="H21769" t="s">
        <v>5117</v>
      </c>
    </row>
    <row r="21770">
      <c r="H21770" t="s">
        <v>5117</v>
      </c>
    </row>
    <row r="21771">
      <c r="H21771" t="s">
        <v>5117</v>
      </c>
    </row>
    <row r="21772">
      <c r="H21772" t="s">
        <v>5117</v>
      </c>
    </row>
    <row r="21773">
      <c r="H21773" t="s">
        <v>5117</v>
      </c>
    </row>
    <row r="21774">
      <c r="H21774" t="s">
        <v>5117</v>
      </c>
    </row>
    <row r="21775">
      <c r="H21775" t="s">
        <v>5117</v>
      </c>
    </row>
    <row r="21776">
      <c r="H21776" t="s">
        <v>5117</v>
      </c>
    </row>
    <row r="21777">
      <c r="H21777" t="s">
        <v>5117</v>
      </c>
    </row>
    <row r="21778">
      <c r="H21778" t="s">
        <v>5117</v>
      </c>
    </row>
    <row r="21779">
      <c r="H21779" t="s">
        <v>5117</v>
      </c>
    </row>
    <row r="21780">
      <c r="H21780" t="s">
        <v>5117</v>
      </c>
    </row>
    <row r="21781">
      <c r="H21781" t="s">
        <v>5117</v>
      </c>
    </row>
    <row r="21782">
      <c r="H21782" t="s">
        <v>5117</v>
      </c>
    </row>
    <row r="21783">
      <c r="H21783" t="s">
        <v>5117</v>
      </c>
    </row>
    <row r="21784">
      <c r="H21784" t="s">
        <v>5117</v>
      </c>
    </row>
    <row r="21785">
      <c r="H21785" t="s">
        <v>5117</v>
      </c>
    </row>
    <row r="21786">
      <c r="H21786" t="s">
        <v>5117</v>
      </c>
    </row>
    <row r="21787">
      <c r="H21787" t="s">
        <v>5117</v>
      </c>
    </row>
    <row r="21788">
      <c r="H21788" t="s">
        <v>5117</v>
      </c>
    </row>
    <row r="21789">
      <c r="H21789" t="s">
        <v>5117</v>
      </c>
    </row>
    <row r="21790">
      <c r="H21790" t="s">
        <v>5117</v>
      </c>
    </row>
    <row r="21791">
      <c r="H21791" t="s">
        <v>5117</v>
      </c>
    </row>
    <row r="21792">
      <c r="H21792" t="s">
        <v>5117</v>
      </c>
    </row>
    <row r="21793">
      <c r="H21793" t="s">
        <v>5117</v>
      </c>
    </row>
    <row r="21794">
      <c r="H21794" t="s">
        <v>5117</v>
      </c>
    </row>
    <row r="21795">
      <c r="H21795" t="s">
        <v>5117</v>
      </c>
    </row>
    <row r="21796">
      <c r="H21796" t="s">
        <v>5117</v>
      </c>
    </row>
    <row r="21797">
      <c r="H21797" t="s">
        <v>5117</v>
      </c>
    </row>
    <row r="21798">
      <c r="H21798" t="s">
        <v>5117</v>
      </c>
    </row>
    <row r="21799">
      <c r="H21799" t="s">
        <v>5117</v>
      </c>
    </row>
    <row r="21800">
      <c r="H21800" t="s">
        <v>5117</v>
      </c>
    </row>
    <row r="21801">
      <c r="H21801" t="s">
        <v>5117</v>
      </c>
    </row>
    <row r="21802">
      <c r="H21802" t="s">
        <v>5117</v>
      </c>
    </row>
    <row r="21803">
      <c r="H21803" t="s">
        <v>5117</v>
      </c>
    </row>
    <row r="21804">
      <c r="H21804" t="s">
        <v>5117</v>
      </c>
    </row>
    <row r="21805">
      <c r="H21805" t="s">
        <v>5117</v>
      </c>
    </row>
    <row r="21806">
      <c r="H21806" t="s">
        <v>5117</v>
      </c>
    </row>
    <row r="21807">
      <c r="H21807" t="s">
        <v>5117</v>
      </c>
    </row>
    <row r="21808">
      <c r="H21808" t="s">
        <v>5117</v>
      </c>
    </row>
    <row r="21809">
      <c r="H21809" t="s">
        <v>5117</v>
      </c>
    </row>
    <row r="21810">
      <c r="H21810" t="s">
        <v>5117</v>
      </c>
    </row>
    <row r="21811">
      <c r="H21811" t="s">
        <v>5117</v>
      </c>
    </row>
    <row r="21812">
      <c r="H21812" t="s">
        <v>5117</v>
      </c>
    </row>
    <row r="21813">
      <c r="H21813" t="s">
        <v>5117</v>
      </c>
    </row>
    <row r="21814">
      <c r="H21814" t="s">
        <v>5117</v>
      </c>
    </row>
    <row r="21815">
      <c r="H21815" t="s">
        <v>5117</v>
      </c>
    </row>
    <row r="21816">
      <c r="H21816" t="s">
        <v>5117</v>
      </c>
    </row>
    <row r="21817">
      <c r="H21817" t="s">
        <v>5117</v>
      </c>
    </row>
    <row r="21818">
      <c r="H21818" t="s">
        <v>5117</v>
      </c>
    </row>
    <row r="21819">
      <c r="H21819" t="s">
        <v>5117</v>
      </c>
    </row>
    <row r="21820">
      <c r="H21820" t="s">
        <v>5117</v>
      </c>
    </row>
    <row r="21821">
      <c r="H21821" t="s">
        <v>5117</v>
      </c>
    </row>
    <row r="21822">
      <c r="H21822" t="s">
        <v>5117</v>
      </c>
    </row>
    <row r="21823">
      <c r="H21823" t="s">
        <v>5117</v>
      </c>
    </row>
    <row r="21824">
      <c r="H21824" t="s">
        <v>5117</v>
      </c>
    </row>
    <row r="21825">
      <c r="H21825" t="s">
        <v>5117</v>
      </c>
    </row>
    <row r="21826">
      <c r="H21826" t="s">
        <v>5117</v>
      </c>
    </row>
    <row r="21827">
      <c r="H21827" t="s">
        <v>5117</v>
      </c>
    </row>
    <row r="21828">
      <c r="H21828" t="s">
        <v>5117</v>
      </c>
    </row>
    <row r="21829">
      <c r="H21829" t="s">
        <v>5117</v>
      </c>
    </row>
    <row r="21830">
      <c r="H21830" t="s">
        <v>5117</v>
      </c>
    </row>
    <row r="21831">
      <c r="H21831" t="s">
        <v>5117</v>
      </c>
    </row>
    <row r="21832">
      <c r="H21832" t="s">
        <v>5117</v>
      </c>
    </row>
    <row r="21833">
      <c r="H21833" t="s">
        <v>5117</v>
      </c>
    </row>
    <row r="21834">
      <c r="H21834" t="s">
        <v>5117</v>
      </c>
    </row>
    <row r="21835">
      <c r="H21835" t="s">
        <v>5117</v>
      </c>
    </row>
    <row r="21836">
      <c r="H21836" t="s">
        <v>5117</v>
      </c>
    </row>
    <row r="21837">
      <c r="H21837" t="s">
        <v>5117</v>
      </c>
    </row>
    <row r="21838">
      <c r="H21838" t="s">
        <v>5117</v>
      </c>
    </row>
    <row r="21839">
      <c r="H21839" t="s">
        <v>5117</v>
      </c>
    </row>
    <row r="21840">
      <c r="H21840" t="s">
        <v>5117</v>
      </c>
    </row>
    <row r="21841">
      <c r="H21841" t="s">
        <v>5117</v>
      </c>
    </row>
    <row r="21842">
      <c r="H21842" t="s">
        <v>5117</v>
      </c>
    </row>
    <row r="21843">
      <c r="H21843" t="s">
        <v>5117</v>
      </c>
    </row>
    <row r="21844">
      <c r="H21844" t="s">
        <v>5117</v>
      </c>
    </row>
    <row r="21845">
      <c r="H21845" t="s">
        <v>5117</v>
      </c>
    </row>
    <row r="21846">
      <c r="H21846" t="s">
        <v>5117</v>
      </c>
    </row>
    <row r="21847">
      <c r="H21847" t="s">
        <v>5117</v>
      </c>
    </row>
    <row r="21848">
      <c r="H21848" t="s">
        <v>5117</v>
      </c>
    </row>
    <row r="21849">
      <c r="H21849" t="s">
        <v>5117</v>
      </c>
    </row>
    <row r="21850">
      <c r="H21850" t="s">
        <v>5117</v>
      </c>
    </row>
    <row r="21851">
      <c r="H21851" t="s">
        <v>5117</v>
      </c>
    </row>
    <row r="21852">
      <c r="H21852" t="s">
        <v>5117</v>
      </c>
    </row>
    <row r="21853">
      <c r="H21853" t="s">
        <v>5117</v>
      </c>
    </row>
    <row r="21854">
      <c r="H21854" t="s">
        <v>5117</v>
      </c>
    </row>
    <row r="21855">
      <c r="H21855" t="s">
        <v>5117</v>
      </c>
    </row>
    <row r="21856">
      <c r="H21856" t="s">
        <v>5117</v>
      </c>
    </row>
    <row r="21857">
      <c r="H21857" t="s">
        <v>5117</v>
      </c>
    </row>
    <row r="21858">
      <c r="H21858" t="s">
        <v>5117</v>
      </c>
    </row>
    <row r="21859">
      <c r="H21859" t="s">
        <v>5117</v>
      </c>
    </row>
    <row r="21860">
      <c r="H21860" t="s">
        <v>5117</v>
      </c>
    </row>
    <row r="21861">
      <c r="H21861" t="s">
        <v>5117</v>
      </c>
    </row>
    <row r="21862">
      <c r="H21862" t="s">
        <v>5117</v>
      </c>
    </row>
    <row r="21863">
      <c r="H21863" t="s">
        <v>5117</v>
      </c>
    </row>
    <row r="21864">
      <c r="H21864" t="s">
        <v>5117</v>
      </c>
    </row>
    <row r="21865">
      <c r="H21865" t="s">
        <v>5117</v>
      </c>
    </row>
    <row r="21866">
      <c r="H21866" t="s">
        <v>5117</v>
      </c>
    </row>
    <row r="21867">
      <c r="H21867" t="s">
        <v>5117</v>
      </c>
    </row>
    <row r="21868">
      <c r="H21868" t="s">
        <v>5117</v>
      </c>
    </row>
    <row r="21869">
      <c r="H21869" t="s">
        <v>5117</v>
      </c>
    </row>
    <row r="21870">
      <c r="H21870" t="s">
        <v>5117</v>
      </c>
    </row>
    <row r="21871">
      <c r="H21871" t="s">
        <v>5117</v>
      </c>
    </row>
    <row r="21872">
      <c r="H21872" t="s">
        <v>5117</v>
      </c>
    </row>
    <row r="21873">
      <c r="H21873" t="s">
        <v>5117</v>
      </c>
    </row>
    <row r="21874">
      <c r="H21874" t="s">
        <v>5117</v>
      </c>
    </row>
    <row r="21875">
      <c r="H21875" t="s">
        <v>5117</v>
      </c>
    </row>
    <row r="21876">
      <c r="H21876" t="s">
        <v>5117</v>
      </c>
    </row>
    <row r="21877">
      <c r="H21877" t="s">
        <v>5117</v>
      </c>
    </row>
    <row r="21878">
      <c r="H21878" t="s">
        <v>5117</v>
      </c>
    </row>
    <row r="21879">
      <c r="H21879" t="s">
        <v>5117</v>
      </c>
    </row>
    <row r="21880">
      <c r="H21880" t="s">
        <v>5117</v>
      </c>
    </row>
    <row r="21881">
      <c r="H21881" t="s">
        <v>5117</v>
      </c>
    </row>
    <row r="21882">
      <c r="H21882" t="s">
        <v>5117</v>
      </c>
    </row>
    <row r="21883">
      <c r="H21883" t="s">
        <v>5117</v>
      </c>
    </row>
    <row r="21884">
      <c r="H21884" t="s">
        <v>5117</v>
      </c>
    </row>
    <row r="21885">
      <c r="H21885" t="s">
        <v>5117</v>
      </c>
    </row>
    <row r="21886">
      <c r="H21886" t="s">
        <v>5117</v>
      </c>
    </row>
    <row r="21887">
      <c r="H21887" t="s">
        <v>5117</v>
      </c>
    </row>
    <row r="21888">
      <c r="H21888" t="s">
        <v>5117</v>
      </c>
    </row>
    <row r="21889">
      <c r="H21889" t="s">
        <v>5117</v>
      </c>
    </row>
    <row r="21890">
      <c r="H21890" t="s">
        <v>5117</v>
      </c>
    </row>
    <row r="21891">
      <c r="H21891" t="s">
        <v>5117</v>
      </c>
    </row>
    <row r="21892">
      <c r="H21892" t="s">
        <v>5117</v>
      </c>
    </row>
    <row r="21893">
      <c r="H21893" t="s">
        <v>5117</v>
      </c>
    </row>
    <row r="21894">
      <c r="H21894" t="s">
        <v>5117</v>
      </c>
    </row>
    <row r="21895">
      <c r="H21895" t="s">
        <v>5117</v>
      </c>
    </row>
    <row r="21896">
      <c r="H21896" t="s">
        <v>5117</v>
      </c>
    </row>
    <row r="21897">
      <c r="H21897" t="s">
        <v>5117</v>
      </c>
    </row>
    <row r="21898">
      <c r="H21898" t="s">
        <v>5117</v>
      </c>
    </row>
    <row r="21899">
      <c r="H21899" t="s">
        <v>5117</v>
      </c>
    </row>
    <row r="21900">
      <c r="H21900" t="s">
        <v>5117</v>
      </c>
    </row>
    <row r="21901">
      <c r="H21901" t="s">
        <v>5117</v>
      </c>
    </row>
    <row r="21902">
      <c r="H21902" t="s">
        <v>5117</v>
      </c>
    </row>
    <row r="21903">
      <c r="H21903" t="s">
        <v>5117</v>
      </c>
    </row>
    <row r="21904">
      <c r="H21904" t="s">
        <v>5117</v>
      </c>
    </row>
    <row r="21905">
      <c r="H21905" t="s">
        <v>5117</v>
      </c>
    </row>
    <row r="21906">
      <c r="H21906" t="s">
        <v>5117</v>
      </c>
    </row>
    <row r="21907">
      <c r="H21907" t="s">
        <v>5117</v>
      </c>
    </row>
    <row r="21908">
      <c r="H21908" t="s">
        <v>5117</v>
      </c>
    </row>
    <row r="21909">
      <c r="H21909" t="s">
        <v>5117</v>
      </c>
    </row>
    <row r="21910">
      <c r="H21910" t="s">
        <v>5117</v>
      </c>
    </row>
    <row r="21911">
      <c r="H21911" t="s">
        <v>5117</v>
      </c>
    </row>
    <row r="21912">
      <c r="H21912" t="s">
        <v>5117</v>
      </c>
    </row>
    <row r="21913">
      <c r="H21913" t="s">
        <v>5117</v>
      </c>
    </row>
    <row r="21914">
      <c r="H21914" t="s">
        <v>5117</v>
      </c>
    </row>
    <row r="21915">
      <c r="H21915" t="s">
        <v>5117</v>
      </c>
    </row>
    <row r="21916">
      <c r="H21916" t="s">
        <v>5117</v>
      </c>
    </row>
    <row r="21917">
      <c r="H21917" t="s">
        <v>5117</v>
      </c>
    </row>
    <row r="21918">
      <c r="H21918" t="s">
        <v>5117</v>
      </c>
    </row>
    <row r="21919">
      <c r="H21919" t="s">
        <v>5117</v>
      </c>
    </row>
    <row r="21920">
      <c r="H21920" t="s">
        <v>5117</v>
      </c>
    </row>
    <row r="21921">
      <c r="H21921" t="s">
        <v>5117</v>
      </c>
    </row>
    <row r="21922">
      <c r="H21922" t="s">
        <v>5117</v>
      </c>
    </row>
    <row r="21923">
      <c r="H21923" t="s">
        <v>5117</v>
      </c>
    </row>
    <row r="21924">
      <c r="H21924" t="s">
        <v>5117</v>
      </c>
    </row>
    <row r="21925">
      <c r="H21925" t="s">
        <v>5117</v>
      </c>
    </row>
    <row r="21926">
      <c r="H21926" t="s">
        <v>5117</v>
      </c>
    </row>
    <row r="21927">
      <c r="H21927" t="s">
        <v>5117</v>
      </c>
    </row>
    <row r="21928">
      <c r="H21928" t="s">
        <v>5117</v>
      </c>
    </row>
    <row r="21929">
      <c r="H21929" t="s">
        <v>5117</v>
      </c>
    </row>
    <row r="21930">
      <c r="H21930" t="s">
        <v>5117</v>
      </c>
    </row>
    <row r="21931">
      <c r="H21931" t="s">
        <v>5117</v>
      </c>
    </row>
    <row r="21932">
      <c r="H21932" t="s">
        <v>5117</v>
      </c>
    </row>
    <row r="21933">
      <c r="H21933" t="s">
        <v>5117</v>
      </c>
    </row>
    <row r="21934">
      <c r="H21934" t="s">
        <v>5117</v>
      </c>
    </row>
    <row r="21935">
      <c r="H21935" t="s">
        <v>5117</v>
      </c>
    </row>
    <row r="21936">
      <c r="H21936" t="s">
        <v>5117</v>
      </c>
    </row>
    <row r="21937">
      <c r="H21937" t="s">
        <v>5117</v>
      </c>
    </row>
    <row r="21938">
      <c r="H21938" t="s">
        <v>5117</v>
      </c>
    </row>
    <row r="21939">
      <c r="H21939" t="s">
        <v>5117</v>
      </c>
    </row>
    <row r="21940">
      <c r="H21940" t="s">
        <v>5117</v>
      </c>
    </row>
    <row r="21941">
      <c r="H21941" t="s">
        <v>5117</v>
      </c>
    </row>
    <row r="21942">
      <c r="H21942" t="s">
        <v>5117</v>
      </c>
    </row>
    <row r="21943">
      <c r="H21943" t="s">
        <v>5117</v>
      </c>
    </row>
    <row r="21944">
      <c r="H21944" t="s">
        <v>5117</v>
      </c>
    </row>
    <row r="21945">
      <c r="H21945" t="s">
        <v>5117</v>
      </c>
    </row>
    <row r="21946">
      <c r="H21946" t="s">
        <v>5117</v>
      </c>
    </row>
    <row r="21947">
      <c r="H21947" t="s">
        <v>5117</v>
      </c>
    </row>
    <row r="21948">
      <c r="H21948" t="s">
        <v>5117</v>
      </c>
    </row>
    <row r="21949">
      <c r="H21949" t="s">
        <v>5117</v>
      </c>
    </row>
    <row r="21950">
      <c r="H21950" t="s">
        <v>5117</v>
      </c>
    </row>
    <row r="21951">
      <c r="H21951" t="s">
        <v>5117</v>
      </c>
    </row>
    <row r="21952">
      <c r="H21952" t="s">
        <v>5117</v>
      </c>
    </row>
    <row r="21953">
      <c r="H21953" t="s">
        <v>5117</v>
      </c>
    </row>
    <row r="21954">
      <c r="H21954" t="s">
        <v>5117</v>
      </c>
    </row>
    <row r="21955">
      <c r="H21955" t="s">
        <v>5117</v>
      </c>
    </row>
    <row r="21956">
      <c r="H21956" t="s">
        <v>5117</v>
      </c>
    </row>
    <row r="21957">
      <c r="H21957" t="s">
        <v>5117</v>
      </c>
    </row>
    <row r="21958">
      <c r="H21958" t="s">
        <v>5117</v>
      </c>
    </row>
    <row r="21959">
      <c r="H21959" t="s">
        <v>5117</v>
      </c>
    </row>
    <row r="21960">
      <c r="H21960" t="s">
        <v>5117</v>
      </c>
    </row>
    <row r="21961">
      <c r="H21961" t="s">
        <v>5117</v>
      </c>
    </row>
    <row r="21962">
      <c r="H21962" t="s">
        <v>5117</v>
      </c>
    </row>
    <row r="21963">
      <c r="H21963" t="s">
        <v>5117</v>
      </c>
    </row>
    <row r="21964">
      <c r="H21964" t="s">
        <v>5117</v>
      </c>
    </row>
    <row r="21965">
      <c r="H21965" t="s">
        <v>5117</v>
      </c>
    </row>
    <row r="21966">
      <c r="H21966" t="s">
        <v>5117</v>
      </c>
    </row>
    <row r="21967">
      <c r="H21967" t="s">
        <v>5117</v>
      </c>
    </row>
    <row r="21968">
      <c r="H21968" t="s">
        <v>5117</v>
      </c>
    </row>
    <row r="21969">
      <c r="H21969" t="s">
        <v>5117</v>
      </c>
    </row>
    <row r="21970">
      <c r="H21970" t="s">
        <v>5117</v>
      </c>
    </row>
    <row r="21971">
      <c r="H21971" t="s">
        <v>5117</v>
      </c>
    </row>
    <row r="21972">
      <c r="H21972" t="s">
        <v>5117</v>
      </c>
    </row>
    <row r="21973">
      <c r="H21973" t="s">
        <v>5117</v>
      </c>
    </row>
    <row r="21974">
      <c r="H21974" t="s">
        <v>5117</v>
      </c>
    </row>
    <row r="21975">
      <c r="H21975" t="s">
        <v>5117</v>
      </c>
    </row>
    <row r="21976">
      <c r="H21976" t="s">
        <v>5117</v>
      </c>
    </row>
    <row r="21977">
      <c r="H21977" t="s">
        <v>5117</v>
      </c>
    </row>
    <row r="21978">
      <c r="H21978" t="s">
        <v>5117</v>
      </c>
    </row>
    <row r="21979">
      <c r="H21979" t="s">
        <v>5117</v>
      </c>
    </row>
    <row r="21980">
      <c r="H21980" t="s">
        <v>5117</v>
      </c>
    </row>
    <row r="21981">
      <c r="H21981" t="s">
        <v>5117</v>
      </c>
    </row>
    <row r="21982">
      <c r="H21982" t="s">
        <v>5117</v>
      </c>
    </row>
    <row r="21983">
      <c r="H21983" t="s">
        <v>5117</v>
      </c>
    </row>
    <row r="21984">
      <c r="H21984" t="s">
        <v>5117</v>
      </c>
    </row>
    <row r="21985">
      <c r="H21985" t="s">
        <v>5117</v>
      </c>
    </row>
    <row r="21986">
      <c r="H21986" t="s">
        <v>5117</v>
      </c>
    </row>
    <row r="21987">
      <c r="H21987" t="s">
        <v>5117</v>
      </c>
    </row>
    <row r="21988">
      <c r="H21988" t="s">
        <v>5117</v>
      </c>
    </row>
    <row r="21989">
      <c r="H21989" t="s">
        <v>5117</v>
      </c>
    </row>
    <row r="21990">
      <c r="H21990" t="s">
        <v>5117</v>
      </c>
    </row>
    <row r="21991">
      <c r="H21991" t="s">
        <v>5117</v>
      </c>
    </row>
    <row r="21992">
      <c r="H21992" t="s">
        <v>5117</v>
      </c>
    </row>
    <row r="21993">
      <c r="H21993" t="s">
        <v>5117</v>
      </c>
    </row>
    <row r="21994">
      <c r="H21994" t="s">
        <v>5117</v>
      </c>
    </row>
    <row r="21995">
      <c r="H21995" t="s">
        <v>5117</v>
      </c>
    </row>
    <row r="21996">
      <c r="H21996" t="s">
        <v>5117</v>
      </c>
    </row>
    <row r="21997">
      <c r="H21997" t="s">
        <v>5117</v>
      </c>
    </row>
    <row r="21998">
      <c r="H21998" t="s">
        <v>5117</v>
      </c>
    </row>
    <row r="21999">
      <c r="H21999" t="s">
        <v>5117</v>
      </c>
    </row>
    <row r="22000">
      <c r="H22000" t="s">
        <v>5117</v>
      </c>
    </row>
    <row r="22001">
      <c r="H22001" t="s">
        <v>5117</v>
      </c>
    </row>
    <row r="22002">
      <c r="H22002" t="s">
        <v>5117</v>
      </c>
    </row>
    <row r="22003">
      <c r="H22003" t="s">
        <v>5117</v>
      </c>
    </row>
    <row r="22004">
      <c r="H22004" t="s">
        <v>5117</v>
      </c>
    </row>
    <row r="22005">
      <c r="H22005" t="s">
        <v>5117</v>
      </c>
    </row>
    <row r="22006">
      <c r="H22006" t="s">
        <v>5117</v>
      </c>
    </row>
    <row r="22007">
      <c r="H22007" t="s">
        <v>5117</v>
      </c>
    </row>
    <row r="22008">
      <c r="H22008" t="s">
        <v>5117</v>
      </c>
    </row>
    <row r="22009">
      <c r="H22009" t="s">
        <v>5117</v>
      </c>
    </row>
    <row r="22010">
      <c r="H22010" t="s">
        <v>5117</v>
      </c>
    </row>
    <row r="22011">
      <c r="H22011" t="s">
        <v>5117</v>
      </c>
    </row>
    <row r="22012">
      <c r="H22012" t="s">
        <v>5117</v>
      </c>
    </row>
    <row r="22013">
      <c r="H22013" t="s">
        <v>5117</v>
      </c>
    </row>
    <row r="22014">
      <c r="H22014" t="s">
        <v>5117</v>
      </c>
    </row>
    <row r="22015">
      <c r="H22015" t="s">
        <v>5117</v>
      </c>
    </row>
    <row r="22016">
      <c r="H22016" t="s">
        <v>5117</v>
      </c>
    </row>
    <row r="22017">
      <c r="H22017" t="s">
        <v>5117</v>
      </c>
    </row>
    <row r="22018">
      <c r="H22018" t="s">
        <v>5117</v>
      </c>
    </row>
    <row r="22019">
      <c r="H22019" t="s">
        <v>5117</v>
      </c>
    </row>
    <row r="22020">
      <c r="H22020" t="s">
        <v>5117</v>
      </c>
    </row>
    <row r="22021">
      <c r="H22021" t="s">
        <v>5117</v>
      </c>
    </row>
    <row r="22022">
      <c r="H22022" t="s">
        <v>5117</v>
      </c>
    </row>
    <row r="22023">
      <c r="H22023" t="s">
        <v>5117</v>
      </c>
    </row>
    <row r="22024">
      <c r="H22024" t="s">
        <v>5117</v>
      </c>
    </row>
    <row r="22025">
      <c r="H22025" t="s">
        <v>5117</v>
      </c>
    </row>
    <row r="22026">
      <c r="H22026" t="s">
        <v>5117</v>
      </c>
    </row>
    <row r="22027">
      <c r="H22027" t="s">
        <v>5117</v>
      </c>
    </row>
    <row r="22028">
      <c r="H22028" t="s">
        <v>5117</v>
      </c>
    </row>
    <row r="22029">
      <c r="H22029" t="s">
        <v>5117</v>
      </c>
    </row>
    <row r="22030">
      <c r="H22030" t="s">
        <v>5117</v>
      </c>
    </row>
    <row r="22031">
      <c r="H22031" t="s">
        <v>5117</v>
      </c>
    </row>
    <row r="22032">
      <c r="H22032" t="s">
        <v>5117</v>
      </c>
    </row>
    <row r="22033">
      <c r="H22033" t="s">
        <v>5117</v>
      </c>
    </row>
    <row r="22034">
      <c r="H22034" t="s">
        <v>5117</v>
      </c>
    </row>
    <row r="22035">
      <c r="H22035" t="s">
        <v>5117</v>
      </c>
    </row>
    <row r="22036">
      <c r="H22036" t="s">
        <v>5117</v>
      </c>
    </row>
    <row r="22037">
      <c r="H22037" t="s">
        <v>5117</v>
      </c>
    </row>
    <row r="22038">
      <c r="H22038" t="s">
        <v>5117</v>
      </c>
    </row>
    <row r="22039">
      <c r="H22039" t="s">
        <v>5117</v>
      </c>
    </row>
    <row r="22040">
      <c r="H22040" t="s">
        <v>5117</v>
      </c>
    </row>
    <row r="22041">
      <c r="H22041" t="s">
        <v>5117</v>
      </c>
    </row>
    <row r="22042">
      <c r="H22042" t="s">
        <v>5117</v>
      </c>
    </row>
    <row r="22043">
      <c r="H22043" t="s">
        <v>5117</v>
      </c>
    </row>
    <row r="22044">
      <c r="H22044" t="s">
        <v>5117</v>
      </c>
    </row>
    <row r="22045">
      <c r="H22045" t="s">
        <v>5117</v>
      </c>
    </row>
    <row r="22046">
      <c r="H22046" t="s">
        <v>5117</v>
      </c>
    </row>
    <row r="22047">
      <c r="H22047" t="s">
        <v>5117</v>
      </c>
    </row>
    <row r="22048">
      <c r="H22048" t="s">
        <v>5117</v>
      </c>
    </row>
    <row r="22049">
      <c r="H22049" t="s">
        <v>5117</v>
      </c>
    </row>
    <row r="22050">
      <c r="H22050" t="s">
        <v>5117</v>
      </c>
    </row>
    <row r="22051">
      <c r="H22051" t="s">
        <v>5117</v>
      </c>
    </row>
    <row r="22052">
      <c r="H22052" t="s">
        <v>5117</v>
      </c>
    </row>
    <row r="22053">
      <c r="H22053" t="s">
        <v>5117</v>
      </c>
    </row>
    <row r="22054">
      <c r="H22054" t="s">
        <v>5117</v>
      </c>
    </row>
    <row r="22055">
      <c r="H22055" t="s">
        <v>5117</v>
      </c>
    </row>
    <row r="22056">
      <c r="H22056" t="s">
        <v>5117</v>
      </c>
    </row>
    <row r="22057">
      <c r="H22057" t="s">
        <v>5117</v>
      </c>
    </row>
    <row r="22058">
      <c r="H22058" t="s">
        <v>5117</v>
      </c>
    </row>
    <row r="22059">
      <c r="H22059" t="s">
        <v>5117</v>
      </c>
    </row>
    <row r="22060">
      <c r="H22060" t="s">
        <v>5117</v>
      </c>
    </row>
    <row r="22061">
      <c r="H22061" t="s">
        <v>5117</v>
      </c>
    </row>
    <row r="22062">
      <c r="H22062" t="s">
        <v>5117</v>
      </c>
    </row>
    <row r="22063">
      <c r="H22063" t="s">
        <v>5117</v>
      </c>
    </row>
    <row r="22064">
      <c r="H22064" t="s">
        <v>5117</v>
      </c>
    </row>
    <row r="22065">
      <c r="H22065" t="s">
        <v>5117</v>
      </c>
    </row>
    <row r="22066">
      <c r="H22066" t="s">
        <v>5117</v>
      </c>
    </row>
    <row r="22067">
      <c r="H22067" t="s">
        <v>5117</v>
      </c>
    </row>
    <row r="22068">
      <c r="H22068" t="s">
        <v>5117</v>
      </c>
    </row>
    <row r="22069">
      <c r="H22069" t="s">
        <v>5117</v>
      </c>
    </row>
    <row r="22070">
      <c r="H22070" t="s">
        <v>5117</v>
      </c>
    </row>
    <row r="22071">
      <c r="H22071" t="s">
        <v>5117</v>
      </c>
    </row>
    <row r="22072">
      <c r="H22072" t="s">
        <v>5117</v>
      </c>
    </row>
    <row r="22073">
      <c r="H22073" t="s">
        <v>5117</v>
      </c>
    </row>
    <row r="22074">
      <c r="H22074" t="s">
        <v>5117</v>
      </c>
    </row>
    <row r="22075">
      <c r="H22075" t="s">
        <v>5117</v>
      </c>
    </row>
    <row r="22076">
      <c r="H22076" t="s">
        <v>5117</v>
      </c>
    </row>
    <row r="22077">
      <c r="H22077" t="s">
        <v>5117</v>
      </c>
    </row>
    <row r="22078">
      <c r="H22078" t="s">
        <v>5117</v>
      </c>
    </row>
    <row r="22079">
      <c r="H22079" t="s">
        <v>5117</v>
      </c>
    </row>
    <row r="22080">
      <c r="H22080" t="s">
        <v>5117</v>
      </c>
    </row>
    <row r="22081">
      <c r="H22081" t="s">
        <v>5117</v>
      </c>
    </row>
    <row r="22082">
      <c r="H22082" t="s">
        <v>5117</v>
      </c>
    </row>
    <row r="22083">
      <c r="H22083" t="s">
        <v>5117</v>
      </c>
    </row>
    <row r="22084">
      <c r="H22084" t="s">
        <v>5117</v>
      </c>
    </row>
    <row r="22085">
      <c r="H22085" t="s">
        <v>5117</v>
      </c>
    </row>
    <row r="22086">
      <c r="H22086" t="s">
        <v>5117</v>
      </c>
    </row>
    <row r="22087">
      <c r="H22087" t="s">
        <v>5117</v>
      </c>
    </row>
    <row r="22088">
      <c r="H22088" t="s">
        <v>5117</v>
      </c>
    </row>
    <row r="22089">
      <c r="H22089" t="s">
        <v>5117</v>
      </c>
    </row>
    <row r="22090">
      <c r="H22090" t="s">
        <v>5117</v>
      </c>
    </row>
    <row r="22091">
      <c r="H22091" t="s">
        <v>5117</v>
      </c>
    </row>
    <row r="22092">
      <c r="H22092" t="s">
        <v>5117</v>
      </c>
    </row>
    <row r="22093">
      <c r="H22093" t="s">
        <v>5117</v>
      </c>
    </row>
    <row r="22094">
      <c r="H22094" t="s">
        <v>5117</v>
      </c>
    </row>
    <row r="22095">
      <c r="H22095" t="s">
        <v>5117</v>
      </c>
    </row>
    <row r="22096">
      <c r="H22096" t="s">
        <v>5117</v>
      </c>
    </row>
    <row r="22097">
      <c r="H22097" t="s">
        <v>5117</v>
      </c>
    </row>
    <row r="22098">
      <c r="H22098" t="s">
        <v>5117</v>
      </c>
    </row>
    <row r="22099">
      <c r="H22099" t="s">
        <v>5117</v>
      </c>
    </row>
    <row r="22100">
      <c r="H22100" t="s">
        <v>5117</v>
      </c>
    </row>
    <row r="22101">
      <c r="H22101" t="s">
        <v>5117</v>
      </c>
    </row>
    <row r="22102">
      <c r="H22102" t="s">
        <v>5117</v>
      </c>
    </row>
    <row r="22103">
      <c r="H22103" t="s">
        <v>5117</v>
      </c>
    </row>
    <row r="22104">
      <c r="H22104" t="s">
        <v>5117</v>
      </c>
    </row>
    <row r="22105">
      <c r="H22105" t="s">
        <v>5117</v>
      </c>
    </row>
    <row r="22106">
      <c r="H22106" t="s">
        <v>5117</v>
      </c>
    </row>
    <row r="22107">
      <c r="H22107" t="s">
        <v>5117</v>
      </c>
    </row>
    <row r="22108">
      <c r="H22108" t="s">
        <v>5117</v>
      </c>
    </row>
    <row r="22109">
      <c r="H22109" t="s">
        <v>5117</v>
      </c>
    </row>
    <row r="22110">
      <c r="H22110" t="s">
        <v>5117</v>
      </c>
    </row>
    <row r="22111">
      <c r="H22111" t="s">
        <v>5117</v>
      </c>
    </row>
    <row r="22112">
      <c r="H22112" t="s">
        <v>5117</v>
      </c>
    </row>
    <row r="22113">
      <c r="H22113" t="s">
        <v>5117</v>
      </c>
    </row>
    <row r="22114">
      <c r="H22114" t="s">
        <v>5117</v>
      </c>
    </row>
    <row r="22115">
      <c r="H22115" t="s">
        <v>5117</v>
      </c>
    </row>
    <row r="22116">
      <c r="H22116" t="s">
        <v>5117</v>
      </c>
    </row>
    <row r="22117">
      <c r="H22117" t="s">
        <v>5117</v>
      </c>
    </row>
    <row r="22118">
      <c r="H22118" t="s">
        <v>5117</v>
      </c>
    </row>
    <row r="22119">
      <c r="H22119" t="s">
        <v>5117</v>
      </c>
    </row>
    <row r="22120">
      <c r="H22120" t="s">
        <v>5117</v>
      </c>
    </row>
    <row r="22121">
      <c r="H22121" t="s">
        <v>5117</v>
      </c>
    </row>
    <row r="22122">
      <c r="H22122" t="s">
        <v>5117</v>
      </c>
    </row>
    <row r="22123">
      <c r="H22123" t="s">
        <v>5117</v>
      </c>
    </row>
    <row r="22124">
      <c r="H22124" t="s">
        <v>5117</v>
      </c>
    </row>
    <row r="22125">
      <c r="H22125" t="s">
        <v>5117</v>
      </c>
    </row>
    <row r="22126">
      <c r="H22126" t="s">
        <v>5117</v>
      </c>
    </row>
    <row r="22127">
      <c r="H22127" t="s">
        <v>5117</v>
      </c>
    </row>
    <row r="22128">
      <c r="H22128" t="s">
        <v>5117</v>
      </c>
    </row>
    <row r="22129">
      <c r="H22129" t="s">
        <v>5117</v>
      </c>
    </row>
    <row r="22130">
      <c r="H22130" t="s">
        <v>5117</v>
      </c>
    </row>
    <row r="22131">
      <c r="H22131" t="s">
        <v>5117</v>
      </c>
    </row>
    <row r="22132">
      <c r="H22132" t="s">
        <v>5117</v>
      </c>
    </row>
    <row r="22133">
      <c r="H22133" t="s">
        <v>5117</v>
      </c>
    </row>
    <row r="22134">
      <c r="H22134" t="s">
        <v>5117</v>
      </c>
    </row>
    <row r="22135">
      <c r="H22135" t="s">
        <v>5117</v>
      </c>
    </row>
    <row r="22136">
      <c r="H22136" t="s">
        <v>5117</v>
      </c>
    </row>
    <row r="22137">
      <c r="H22137" t="s">
        <v>5117</v>
      </c>
    </row>
    <row r="22138">
      <c r="H22138" t="s">
        <v>5117</v>
      </c>
    </row>
    <row r="22139">
      <c r="H22139" t="s">
        <v>5117</v>
      </c>
    </row>
    <row r="22140">
      <c r="H22140" t="s">
        <v>5117</v>
      </c>
    </row>
    <row r="22141">
      <c r="H22141" t="s">
        <v>5117</v>
      </c>
    </row>
    <row r="22142">
      <c r="H22142" t="s">
        <v>5117</v>
      </c>
    </row>
    <row r="22143">
      <c r="H22143" t="s">
        <v>5117</v>
      </c>
    </row>
    <row r="22144">
      <c r="H22144" t="s">
        <v>5117</v>
      </c>
    </row>
    <row r="22145">
      <c r="H22145" t="s">
        <v>5117</v>
      </c>
    </row>
    <row r="22146">
      <c r="H22146" t="s">
        <v>5117</v>
      </c>
    </row>
    <row r="22147">
      <c r="H22147" t="s">
        <v>5117</v>
      </c>
    </row>
    <row r="22148">
      <c r="H22148" t="s">
        <v>5117</v>
      </c>
    </row>
    <row r="22149">
      <c r="H22149" t="s">
        <v>5117</v>
      </c>
    </row>
    <row r="22150">
      <c r="H22150" t="s">
        <v>5117</v>
      </c>
    </row>
    <row r="22151">
      <c r="H22151" t="s">
        <v>5117</v>
      </c>
    </row>
    <row r="22152">
      <c r="H22152" t="s">
        <v>5117</v>
      </c>
    </row>
    <row r="22153">
      <c r="H22153" t="s">
        <v>5117</v>
      </c>
    </row>
    <row r="22154">
      <c r="H22154" t="s">
        <v>5117</v>
      </c>
    </row>
    <row r="22155">
      <c r="H22155" t="s">
        <v>5117</v>
      </c>
    </row>
    <row r="22156">
      <c r="H22156" t="s">
        <v>5117</v>
      </c>
    </row>
    <row r="22157">
      <c r="H22157" t="s">
        <v>5117</v>
      </c>
    </row>
    <row r="22158">
      <c r="H22158" t="s">
        <v>5117</v>
      </c>
    </row>
    <row r="22159">
      <c r="H22159" t="s">
        <v>5117</v>
      </c>
    </row>
    <row r="22160">
      <c r="H22160" t="s">
        <v>5117</v>
      </c>
    </row>
    <row r="22161">
      <c r="H22161" t="s">
        <v>5117</v>
      </c>
    </row>
    <row r="22162">
      <c r="H22162" t="s">
        <v>5117</v>
      </c>
    </row>
    <row r="22163">
      <c r="H22163" t="s">
        <v>5117</v>
      </c>
    </row>
    <row r="22164">
      <c r="H22164" t="s">
        <v>5117</v>
      </c>
    </row>
    <row r="22165">
      <c r="H22165" t="s">
        <v>5117</v>
      </c>
    </row>
    <row r="22166">
      <c r="H22166" t="s">
        <v>5117</v>
      </c>
    </row>
    <row r="22167">
      <c r="H22167" t="s">
        <v>5117</v>
      </c>
    </row>
    <row r="22168">
      <c r="H22168" t="s">
        <v>5117</v>
      </c>
    </row>
    <row r="22169">
      <c r="H22169" t="s">
        <v>5117</v>
      </c>
    </row>
    <row r="22170">
      <c r="H22170" t="s">
        <v>5117</v>
      </c>
    </row>
    <row r="22171">
      <c r="H22171" t="s">
        <v>5117</v>
      </c>
    </row>
    <row r="22172">
      <c r="H22172" t="s">
        <v>5117</v>
      </c>
    </row>
    <row r="22173">
      <c r="H22173" t="s">
        <v>5117</v>
      </c>
    </row>
    <row r="22174">
      <c r="H22174" t="s">
        <v>5117</v>
      </c>
    </row>
    <row r="22175">
      <c r="H22175" t="s">
        <v>5117</v>
      </c>
    </row>
    <row r="22176">
      <c r="H22176" t="s">
        <v>5117</v>
      </c>
    </row>
    <row r="22177">
      <c r="H22177" t="s">
        <v>5117</v>
      </c>
    </row>
    <row r="22178">
      <c r="H22178" t="s">
        <v>5117</v>
      </c>
    </row>
    <row r="22179">
      <c r="H22179" t="s">
        <v>5117</v>
      </c>
    </row>
    <row r="22180">
      <c r="H22180" t="s">
        <v>5117</v>
      </c>
    </row>
    <row r="22181">
      <c r="H22181" t="s">
        <v>5117</v>
      </c>
    </row>
    <row r="22182">
      <c r="H22182" t="s">
        <v>5117</v>
      </c>
    </row>
    <row r="22183">
      <c r="H22183" t="s">
        <v>5117</v>
      </c>
    </row>
    <row r="22184">
      <c r="H22184" t="s">
        <v>5117</v>
      </c>
    </row>
    <row r="22185">
      <c r="H22185" t="s">
        <v>5117</v>
      </c>
    </row>
    <row r="22186">
      <c r="H22186" t="s">
        <v>5117</v>
      </c>
    </row>
    <row r="22187">
      <c r="H22187" t="s">
        <v>5117</v>
      </c>
    </row>
    <row r="22188">
      <c r="H22188" t="s">
        <v>5117</v>
      </c>
    </row>
    <row r="22189">
      <c r="H22189" t="s">
        <v>5117</v>
      </c>
    </row>
    <row r="22190">
      <c r="H22190" t="s">
        <v>5117</v>
      </c>
    </row>
    <row r="22191">
      <c r="H22191" t="s">
        <v>5117</v>
      </c>
    </row>
    <row r="22192">
      <c r="H22192" t="s">
        <v>5117</v>
      </c>
    </row>
    <row r="22193">
      <c r="H22193" t="s">
        <v>5117</v>
      </c>
    </row>
    <row r="22194">
      <c r="H22194" t="s">
        <v>5117</v>
      </c>
    </row>
    <row r="22195">
      <c r="H22195" t="s">
        <v>5117</v>
      </c>
    </row>
    <row r="22196">
      <c r="H22196" t="s">
        <v>5117</v>
      </c>
    </row>
    <row r="22197">
      <c r="H22197" t="s">
        <v>5117</v>
      </c>
    </row>
    <row r="22198">
      <c r="H22198" t="s">
        <v>5117</v>
      </c>
    </row>
    <row r="22199">
      <c r="H22199" t="s">
        <v>5117</v>
      </c>
    </row>
    <row r="22200">
      <c r="H22200" t="s">
        <v>5117</v>
      </c>
    </row>
    <row r="22201">
      <c r="H22201" t="s">
        <v>5117</v>
      </c>
    </row>
    <row r="22202">
      <c r="H22202" t="s">
        <v>5117</v>
      </c>
    </row>
    <row r="22203">
      <c r="H22203" t="s">
        <v>5117</v>
      </c>
    </row>
    <row r="22204">
      <c r="H22204" t="s">
        <v>5117</v>
      </c>
    </row>
    <row r="22205">
      <c r="H22205" t="s">
        <v>5117</v>
      </c>
    </row>
    <row r="22206">
      <c r="H22206" t="s">
        <v>5117</v>
      </c>
    </row>
    <row r="22207">
      <c r="H22207" t="s">
        <v>5117</v>
      </c>
    </row>
    <row r="22208">
      <c r="H22208" t="s">
        <v>5117</v>
      </c>
    </row>
    <row r="22209">
      <c r="H22209" t="s">
        <v>5117</v>
      </c>
    </row>
    <row r="22210">
      <c r="H22210" t="s">
        <v>5117</v>
      </c>
    </row>
    <row r="22211">
      <c r="H22211" t="s">
        <v>5117</v>
      </c>
    </row>
    <row r="22212">
      <c r="H22212" t="s">
        <v>5117</v>
      </c>
    </row>
    <row r="22213">
      <c r="H22213" t="s">
        <v>5117</v>
      </c>
    </row>
    <row r="22214">
      <c r="H22214" t="s">
        <v>5117</v>
      </c>
    </row>
    <row r="22215">
      <c r="H22215" t="s">
        <v>5117</v>
      </c>
    </row>
    <row r="22216">
      <c r="H22216" t="s">
        <v>5117</v>
      </c>
    </row>
    <row r="22217">
      <c r="H22217" t="s">
        <v>5117</v>
      </c>
    </row>
    <row r="22218">
      <c r="H22218" t="s">
        <v>5117</v>
      </c>
    </row>
    <row r="22219">
      <c r="H22219" t="s">
        <v>5117</v>
      </c>
    </row>
    <row r="22220">
      <c r="H22220" t="s">
        <v>5117</v>
      </c>
    </row>
    <row r="22221">
      <c r="H22221" t="s">
        <v>5117</v>
      </c>
    </row>
    <row r="22222">
      <c r="H22222" t="s">
        <v>5117</v>
      </c>
    </row>
    <row r="22223">
      <c r="H22223" t="s">
        <v>5117</v>
      </c>
    </row>
    <row r="22224">
      <c r="H22224" t="s">
        <v>5117</v>
      </c>
    </row>
    <row r="22225">
      <c r="H22225" t="s">
        <v>5117</v>
      </c>
    </row>
    <row r="22226">
      <c r="H22226" t="s">
        <v>5117</v>
      </c>
    </row>
    <row r="22227">
      <c r="H22227" t="s">
        <v>5117</v>
      </c>
    </row>
    <row r="22228">
      <c r="H22228" t="s">
        <v>5117</v>
      </c>
    </row>
    <row r="22229">
      <c r="H22229" t="s">
        <v>5117</v>
      </c>
    </row>
    <row r="22230">
      <c r="H22230" t="s">
        <v>5117</v>
      </c>
    </row>
    <row r="22231">
      <c r="H22231" t="s">
        <v>5117</v>
      </c>
    </row>
    <row r="22232">
      <c r="H22232" t="s">
        <v>5117</v>
      </c>
    </row>
    <row r="22233">
      <c r="H22233" t="s">
        <v>5117</v>
      </c>
    </row>
    <row r="22234">
      <c r="H22234" t="s">
        <v>5117</v>
      </c>
    </row>
    <row r="22235">
      <c r="H22235" t="s">
        <v>5117</v>
      </c>
    </row>
    <row r="22236">
      <c r="H22236" t="s">
        <v>5117</v>
      </c>
    </row>
    <row r="22237">
      <c r="H22237" t="s">
        <v>5117</v>
      </c>
    </row>
    <row r="22238">
      <c r="H22238" t="s">
        <v>5117</v>
      </c>
    </row>
    <row r="22239">
      <c r="H22239" t="s">
        <v>5117</v>
      </c>
    </row>
    <row r="22240">
      <c r="H22240" t="s">
        <v>5117</v>
      </c>
    </row>
    <row r="22241">
      <c r="H22241" t="s">
        <v>5117</v>
      </c>
    </row>
    <row r="22242">
      <c r="H22242" t="s">
        <v>5117</v>
      </c>
    </row>
    <row r="22243">
      <c r="H22243" t="s">
        <v>5117</v>
      </c>
    </row>
    <row r="22244">
      <c r="H22244" t="s">
        <v>5117</v>
      </c>
    </row>
    <row r="22245">
      <c r="H22245" t="s">
        <v>5117</v>
      </c>
    </row>
    <row r="22246">
      <c r="H22246" t="s">
        <v>5117</v>
      </c>
    </row>
    <row r="22247">
      <c r="H22247" t="s">
        <v>5117</v>
      </c>
    </row>
    <row r="22248">
      <c r="H22248" t="s">
        <v>5117</v>
      </c>
    </row>
    <row r="22249">
      <c r="H22249" t="s">
        <v>5117</v>
      </c>
    </row>
    <row r="22250">
      <c r="H22250" t="s">
        <v>5117</v>
      </c>
    </row>
    <row r="22251">
      <c r="H22251" t="s">
        <v>5117</v>
      </c>
    </row>
    <row r="22252">
      <c r="H22252" t="s">
        <v>5117</v>
      </c>
    </row>
    <row r="22253">
      <c r="H22253" t="s">
        <v>5117</v>
      </c>
    </row>
    <row r="22254">
      <c r="H22254" t="s">
        <v>5117</v>
      </c>
    </row>
    <row r="22255">
      <c r="H22255" t="s">
        <v>5117</v>
      </c>
    </row>
    <row r="22256">
      <c r="H22256" t="s">
        <v>5117</v>
      </c>
    </row>
    <row r="22257">
      <c r="H22257" t="s">
        <v>5117</v>
      </c>
    </row>
    <row r="22258">
      <c r="H22258" t="s">
        <v>5117</v>
      </c>
    </row>
    <row r="22259">
      <c r="H22259" t="s">
        <v>5117</v>
      </c>
    </row>
    <row r="22260">
      <c r="H22260" t="s">
        <v>5117</v>
      </c>
    </row>
    <row r="22261">
      <c r="H22261" t="s">
        <v>5117</v>
      </c>
    </row>
    <row r="22262">
      <c r="H22262" t="s">
        <v>5117</v>
      </c>
    </row>
    <row r="22263">
      <c r="H22263" t="s">
        <v>5117</v>
      </c>
    </row>
    <row r="22264">
      <c r="H22264" t="s">
        <v>5117</v>
      </c>
    </row>
    <row r="22265">
      <c r="H22265" t="s">
        <v>5117</v>
      </c>
    </row>
    <row r="22266">
      <c r="H22266" t="s">
        <v>5117</v>
      </c>
    </row>
    <row r="22267">
      <c r="H22267" t="s">
        <v>5117</v>
      </c>
    </row>
    <row r="22268">
      <c r="H22268" t="s">
        <v>5117</v>
      </c>
    </row>
    <row r="22269">
      <c r="H22269" t="s">
        <v>5117</v>
      </c>
    </row>
    <row r="22270">
      <c r="H22270" t="s">
        <v>5117</v>
      </c>
    </row>
    <row r="22271">
      <c r="H22271" t="s">
        <v>5117</v>
      </c>
    </row>
    <row r="22272">
      <c r="H22272" t="s">
        <v>5117</v>
      </c>
    </row>
    <row r="22273">
      <c r="H22273" t="s">
        <v>5117</v>
      </c>
    </row>
    <row r="22274">
      <c r="H22274" t="s">
        <v>5117</v>
      </c>
    </row>
    <row r="22275">
      <c r="H22275" t="s">
        <v>5117</v>
      </c>
    </row>
    <row r="22276">
      <c r="H22276" t="s">
        <v>5117</v>
      </c>
    </row>
    <row r="22277">
      <c r="H22277" t="s">
        <v>5117</v>
      </c>
    </row>
    <row r="22278">
      <c r="H22278" t="s">
        <v>5117</v>
      </c>
    </row>
    <row r="22279">
      <c r="H22279" t="s">
        <v>5117</v>
      </c>
    </row>
    <row r="22280">
      <c r="H22280" t="s">
        <v>5117</v>
      </c>
    </row>
    <row r="22281">
      <c r="H22281" t="s">
        <v>5117</v>
      </c>
    </row>
    <row r="22282">
      <c r="H22282" t="s">
        <v>5117</v>
      </c>
    </row>
    <row r="22283">
      <c r="H22283" t="s">
        <v>5117</v>
      </c>
    </row>
    <row r="22284">
      <c r="H22284" t="s">
        <v>5117</v>
      </c>
    </row>
    <row r="22285">
      <c r="H22285" t="s">
        <v>5117</v>
      </c>
    </row>
    <row r="22286">
      <c r="H22286" t="s">
        <v>5117</v>
      </c>
    </row>
    <row r="22287">
      <c r="H22287" t="s">
        <v>5117</v>
      </c>
    </row>
    <row r="22288">
      <c r="H22288" t="s">
        <v>5117</v>
      </c>
    </row>
    <row r="22289">
      <c r="H22289" t="s">
        <v>5117</v>
      </c>
    </row>
    <row r="22290">
      <c r="H22290" t="s">
        <v>5117</v>
      </c>
    </row>
    <row r="22291">
      <c r="H22291" t="s">
        <v>5117</v>
      </c>
    </row>
    <row r="22292">
      <c r="H22292" t="s">
        <v>5117</v>
      </c>
    </row>
    <row r="22293">
      <c r="H22293" t="s">
        <v>5117</v>
      </c>
    </row>
    <row r="22294">
      <c r="H22294" t="s">
        <v>5117</v>
      </c>
    </row>
    <row r="22295">
      <c r="H22295" t="s">
        <v>5117</v>
      </c>
    </row>
    <row r="22296">
      <c r="H22296" t="s">
        <v>5117</v>
      </c>
    </row>
    <row r="22297">
      <c r="H22297" t="s">
        <v>5117</v>
      </c>
    </row>
    <row r="22298">
      <c r="H22298" t="s">
        <v>5117</v>
      </c>
    </row>
    <row r="22299">
      <c r="H22299" t="s">
        <v>5117</v>
      </c>
    </row>
    <row r="22300">
      <c r="H22300" t="s">
        <v>5117</v>
      </c>
    </row>
    <row r="22301">
      <c r="H22301" t="s">
        <v>5117</v>
      </c>
    </row>
    <row r="22302">
      <c r="H22302" t="s">
        <v>5117</v>
      </c>
    </row>
    <row r="22303">
      <c r="H22303" t="s">
        <v>5117</v>
      </c>
    </row>
    <row r="22304">
      <c r="H22304" t="s">
        <v>5117</v>
      </c>
    </row>
    <row r="22305">
      <c r="H22305" t="s">
        <v>5117</v>
      </c>
    </row>
    <row r="22306">
      <c r="H22306" t="s">
        <v>5117</v>
      </c>
    </row>
    <row r="22307">
      <c r="H22307" t="s">
        <v>5117</v>
      </c>
    </row>
    <row r="22308">
      <c r="H22308" t="s">
        <v>5117</v>
      </c>
    </row>
    <row r="22309">
      <c r="H22309" t="s">
        <v>5117</v>
      </c>
    </row>
    <row r="22310">
      <c r="H22310" t="s">
        <v>5117</v>
      </c>
    </row>
    <row r="22311">
      <c r="H22311" t="s">
        <v>5117</v>
      </c>
    </row>
    <row r="22312">
      <c r="H22312" t="s">
        <v>5117</v>
      </c>
    </row>
    <row r="22313">
      <c r="H22313" t="s">
        <v>5117</v>
      </c>
    </row>
    <row r="22314">
      <c r="H22314" t="s">
        <v>5117</v>
      </c>
    </row>
    <row r="22315">
      <c r="H22315" t="s">
        <v>5117</v>
      </c>
    </row>
    <row r="22316">
      <c r="H22316" t="s">
        <v>5117</v>
      </c>
    </row>
    <row r="22317">
      <c r="H22317" t="s">
        <v>5117</v>
      </c>
    </row>
    <row r="22318">
      <c r="H22318" t="s">
        <v>5117</v>
      </c>
    </row>
    <row r="22319">
      <c r="H22319" t="s">
        <v>5117</v>
      </c>
    </row>
    <row r="22320">
      <c r="H22320" t="s">
        <v>5117</v>
      </c>
    </row>
    <row r="22321">
      <c r="H22321" t="s">
        <v>5117</v>
      </c>
    </row>
    <row r="22322">
      <c r="H22322" t="s">
        <v>5117</v>
      </c>
    </row>
    <row r="22323">
      <c r="H22323" t="s">
        <v>5117</v>
      </c>
    </row>
    <row r="22324">
      <c r="H22324" t="s">
        <v>5117</v>
      </c>
    </row>
    <row r="22325">
      <c r="H22325" t="s">
        <v>5117</v>
      </c>
    </row>
    <row r="22326">
      <c r="H22326" t="s">
        <v>5117</v>
      </c>
    </row>
    <row r="22327">
      <c r="H22327" t="s">
        <v>5117</v>
      </c>
    </row>
    <row r="22328">
      <c r="H22328" t="s">
        <v>5117</v>
      </c>
    </row>
    <row r="22329">
      <c r="H22329" t="s">
        <v>5117</v>
      </c>
    </row>
    <row r="22330">
      <c r="H22330" t="s">
        <v>5117</v>
      </c>
    </row>
    <row r="22331">
      <c r="H22331" t="s">
        <v>5117</v>
      </c>
    </row>
    <row r="22332">
      <c r="H22332" t="s">
        <v>5117</v>
      </c>
    </row>
    <row r="22333">
      <c r="H22333" t="s">
        <v>5117</v>
      </c>
    </row>
    <row r="22334">
      <c r="H22334" t="s">
        <v>5117</v>
      </c>
    </row>
    <row r="22335">
      <c r="H22335" t="s">
        <v>5117</v>
      </c>
    </row>
    <row r="22336">
      <c r="H22336" t="s">
        <v>5117</v>
      </c>
    </row>
    <row r="22337">
      <c r="H22337" t="s">
        <v>5117</v>
      </c>
    </row>
    <row r="22338">
      <c r="H22338" t="s">
        <v>5117</v>
      </c>
    </row>
    <row r="22339">
      <c r="H22339" t="s">
        <v>5117</v>
      </c>
    </row>
    <row r="22340">
      <c r="H22340" t="s">
        <v>5117</v>
      </c>
    </row>
    <row r="22341">
      <c r="H22341" t="s">
        <v>5117</v>
      </c>
    </row>
    <row r="22342">
      <c r="H22342" t="s">
        <v>5117</v>
      </c>
    </row>
    <row r="22343">
      <c r="H22343" t="s">
        <v>5117</v>
      </c>
    </row>
    <row r="22344">
      <c r="H22344" t="s">
        <v>5117</v>
      </c>
    </row>
    <row r="22345">
      <c r="H22345" t="s">
        <v>5117</v>
      </c>
    </row>
    <row r="22346">
      <c r="H22346" t="s">
        <v>5117</v>
      </c>
    </row>
    <row r="22347">
      <c r="H22347" t="s">
        <v>5117</v>
      </c>
    </row>
    <row r="22348">
      <c r="H22348" t="s">
        <v>5117</v>
      </c>
    </row>
    <row r="22349">
      <c r="H22349" t="s">
        <v>5117</v>
      </c>
    </row>
    <row r="22350">
      <c r="H22350" t="s">
        <v>5117</v>
      </c>
    </row>
    <row r="22351">
      <c r="H22351" t="s">
        <v>5117</v>
      </c>
    </row>
    <row r="22352">
      <c r="H22352" t="s">
        <v>5117</v>
      </c>
    </row>
    <row r="22353">
      <c r="H22353" t="s">
        <v>5117</v>
      </c>
    </row>
    <row r="22354">
      <c r="H22354" t="s">
        <v>5117</v>
      </c>
    </row>
    <row r="22355">
      <c r="H22355" t="s">
        <v>5117</v>
      </c>
    </row>
    <row r="22356">
      <c r="H22356" t="s">
        <v>5117</v>
      </c>
    </row>
    <row r="22357">
      <c r="H22357" t="s">
        <v>5117</v>
      </c>
    </row>
    <row r="22358">
      <c r="H22358" t="s">
        <v>5117</v>
      </c>
    </row>
    <row r="22359">
      <c r="H22359" t="s">
        <v>5117</v>
      </c>
    </row>
    <row r="22360">
      <c r="H22360" t="s">
        <v>5117</v>
      </c>
    </row>
    <row r="22361">
      <c r="H22361" t="s">
        <v>5117</v>
      </c>
    </row>
    <row r="22362">
      <c r="H22362" t="s">
        <v>5117</v>
      </c>
    </row>
    <row r="22363">
      <c r="H22363" t="s">
        <v>5117</v>
      </c>
    </row>
    <row r="22364">
      <c r="H22364" t="s">
        <v>5117</v>
      </c>
    </row>
    <row r="22365">
      <c r="H22365" t="s">
        <v>5117</v>
      </c>
    </row>
    <row r="22366">
      <c r="H22366" t="s">
        <v>5117</v>
      </c>
    </row>
    <row r="22367">
      <c r="H22367" t="s">
        <v>5117</v>
      </c>
    </row>
    <row r="22368">
      <c r="H22368" t="s">
        <v>5117</v>
      </c>
    </row>
    <row r="22369">
      <c r="H22369" t="s">
        <v>5117</v>
      </c>
    </row>
    <row r="22370">
      <c r="H22370" t="s">
        <v>5117</v>
      </c>
    </row>
    <row r="22371">
      <c r="H22371" t="s">
        <v>5117</v>
      </c>
    </row>
    <row r="22372">
      <c r="H22372" t="s">
        <v>5117</v>
      </c>
    </row>
    <row r="22373">
      <c r="H22373" t="s">
        <v>5117</v>
      </c>
    </row>
    <row r="22374">
      <c r="H22374" t="s">
        <v>5117</v>
      </c>
    </row>
    <row r="22375">
      <c r="H22375" t="s">
        <v>5117</v>
      </c>
    </row>
    <row r="22376">
      <c r="H22376" t="s">
        <v>5117</v>
      </c>
    </row>
    <row r="22377">
      <c r="H22377" t="s">
        <v>5117</v>
      </c>
    </row>
    <row r="22378">
      <c r="H22378" t="s">
        <v>5117</v>
      </c>
    </row>
    <row r="22379">
      <c r="H22379" t="s">
        <v>5117</v>
      </c>
    </row>
    <row r="22380">
      <c r="H22380" t="s">
        <v>5117</v>
      </c>
    </row>
    <row r="22381">
      <c r="H22381" t="s">
        <v>5117</v>
      </c>
    </row>
    <row r="22382">
      <c r="H22382" t="s">
        <v>5117</v>
      </c>
    </row>
    <row r="22383">
      <c r="H22383" t="s">
        <v>5117</v>
      </c>
    </row>
    <row r="22384">
      <c r="H22384" t="s">
        <v>5117</v>
      </c>
    </row>
    <row r="22385">
      <c r="H22385" t="s">
        <v>5117</v>
      </c>
    </row>
    <row r="22386">
      <c r="H22386" t="s">
        <v>5117</v>
      </c>
    </row>
    <row r="22387">
      <c r="H22387" t="s">
        <v>5117</v>
      </c>
    </row>
    <row r="22388">
      <c r="H22388" t="s">
        <v>5117</v>
      </c>
    </row>
    <row r="22389">
      <c r="H22389" t="s">
        <v>5117</v>
      </c>
    </row>
    <row r="22390">
      <c r="H22390" t="s">
        <v>5117</v>
      </c>
    </row>
    <row r="22391">
      <c r="H22391" t="s">
        <v>5117</v>
      </c>
    </row>
    <row r="22392">
      <c r="H22392" t="s">
        <v>5117</v>
      </c>
    </row>
    <row r="22393">
      <c r="H22393" t="s">
        <v>5117</v>
      </c>
    </row>
    <row r="22394">
      <c r="H22394" t="s">
        <v>5117</v>
      </c>
    </row>
    <row r="22395">
      <c r="H22395" t="s">
        <v>5117</v>
      </c>
    </row>
    <row r="22396">
      <c r="H22396" t="s">
        <v>5117</v>
      </c>
    </row>
    <row r="22397">
      <c r="H22397" t="s">
        <v>5117</v>
      </c>
    </row>
    <row r="22398">
      <c r="H22398" t="s">
        <v>5117</v>
      </c>
    </row>
    <row r="22399">
      <c r="H22399" t="s">
        <v>5117</v>
      </c>
    </row>
    <row r="22400">
      <c r="H22400" t="s">
        <v>5117</v>
      </c>
    </row>
    <row r="22401">
      <c r="H22401" t="s">
        <v>5117</v>
      </c>
    </row>
    <row r="22402">
      <c r="H22402" t="s">
        <v>5117</v>
      </c>
    </row>
    <row r="22403">
      <c r="H22403" t="s">
        <v>5117</v>
      </c>
    </row>
    <row r="22404">
      <c r="H22404" t="s">
        <v>5117</v>
      </c>
    </row>
    <row r="22405">
      <c r="H22405" t="s">
        <v>5117</v>
      </c>
    </row>
    <row r="22406">
      <c r="H22406" t="s">
        <v>5117</v>
      </c>
    </row>
    <row r="22407">
      <c r="H22407" t="s">
        <v>5117</v>
      </c>
    </row>
    <row r="22408">
      <c r="H22408" t="s">
        <v>5117</v>
      </c>
    </row>
    <row r="22409">
      <c r="H22409" t="s">
        <v>5117</v>
      </c>
    </row>
    <row r="22410">
      <c r="H22410" t="s">
        <v>5117</v>
      </c>
    </row>
    <row r="22411">
      <c r="H22411" t="s">
        <v>5117</v>
      </c>
    </row>
    <row r="22412">
      <c r="H22412" t="s">
        <v>5117</v>
      </c>
    </row>
    <row r="22413">
      <c r="H22413" t="s">
        <v>5117</v>
      </c>
    </row>
    <row r="22414">
      <c r="H22414" t="s">
        <v>5117</v>
      </c>
    </row>
    <row r="22415">
      <c r="H22415" t="s">
        <v>5117</v>
      </c>
    </row>
    <row r="22416">
      <c r="H22416" t="s">
        <v>5117</v>
      </c>
    </row>
    <row r="22417">
      <c r="H22417" t="s">
        <v>5117</v>
      </c>
    </row>
    <row r="22418">
      <c r="H22418" t="s">
        <v>5117</v>
      </c>
    </row>
    <row r="22419">
      <c r="H22419" t="s">
        <v>5117</v>
      </c>
    </row>
    <row r="22420">
      <c r="H22420" t="s">
        <v>5117</v>
      </c>
    </row>
    <row r="22421">
      <c r="H22421" t="s">
        <v>5117</v>
      </c>
    </row>
    <row r="22422">
      <c r="H22422" t="s">
        <v>5117</v>
      </c>
    </row>
    <row r="22423">
      <c r="H22423" t="s">
        <v>5117</v>
      </c>
    </row>
    <row r="22424">
      <c r="H22424" t="s">
        <v>5117</v>
      </c>
    </row>
    <row r="22425">
      <c r="H22425" t="s">
        <v>5117</v>
      </c>
    </row>
    <row r="22426">
      <c r="H22426" t="s">
        <v>5117</v>
      </c>
    </row>
    <row r="22427">
      <c r="H22427" t="s">
        <v>5117</v>
      </c>
    </row>
    <row r="22428">
      <c r="H22428" t="s">
        <v>5117</v>
      </c>
    </row>
    <row r="22429">
      <c r="H22429" t="s">
        <v>5117</v>
      </c>
    </row>
    <row r="22430">
      <c r="H22430" t="s">
        <v>5117</v>
      </c>
    </row>
    <row r="22431">
      <c r="H22431" t="s">
        <v>5117</v>
      </c>
    </row>
    <row r="22432">
      <c r="H22432" t="s">
        <v>5117</v>
      </c>
    </row>
    <row r="22433">
      <c r="H22433" t="s">
        <v>5117</v>
      </c>
    </row>
    <row r="22434">
      <c r="H22434" t="s">
        <v>5117</v>
      </c>
    </row>
    <row r="22435">
      <c r="H22435" t="s">
        <v>5117</v>
      </c>
    </row>
    <row r="22436">
      <c r="H22436" t="s">
        <v>5117</v>
      </c>
    </row>
    <row r="22437">
      <c r="H22437" t="s">
        <v>5117</v>
      </c>
    </row>
    <row r="22438">
      <c r="H22438" t="s">
        <v>5117</v>
      </c>
    </row>
    <row r="22439">
      <c r="H22439" t="s">
        <v>5117</v>
      </c>
    </row>
    <row r="22440">
      <c r="H22440" t="s">
        <v>5117</v>
      </c>
    </row>
    <row r="22441">
      <c r="H22441" t="s">
        <v>5117</v>
      </c>
    </row>
    <row r="22442">
      <c r="H22442" t="s">
        <v>5117</v>
      </c>
    </row>
    <row r="22443">
      <c r="H22443" t="s">
        <v>5117</v>
      </c>
    </row>
    <row r="22444">
      <c r="H22444" t="s">
        <v>5117</v>
      </c>
    </row>
    <row r="22445">
      <c r="H22445" t="s">
        <v>5117</v>
      </c>
    </row>
    <row r="22446">
      <c r="H22446" t="s">
        <v>5117</v>
      </c>
    </row>
    <row r="22447">
      <c r="H22447" t="s">
        <v>5117</v>
      </c>
    </row>
    <row r="22448">
      <c r="H22448" t="s">
        <v>5117</v>
      </c>
    </row>
    <row r="22449">
      <c r="H22449" t="s">
        <v>5117</v>
      </c>
    </row>
    <row r="22450">
      <c r="H22450" t="s">
        <v>5117</v>
      </c>
    </row>
    <row r="22451">
      <c r="H22451" t="s">
        <v>5117</v>
      </c>
    </row>
    <row r="22452">
      <c r="H22452" t="s">
        <v>5117</v>
      </c>
    </row>
    <row r="22453">
      <c r="H22453" t="s">
        <v>5117</v>
      </c>
    </row>
    <row r="22454">
      <c r="H22454" t="s">
        <v>5117</v>
      </c>
    </row>
    <row r="22455">
      <c r="H22455" t="s">
        <v>5117</v>
      </c>
    </row>
    <row r="22456">
      <c r="H22456" t="s">
        <v>5117</v>
      </c>
    </row>
    <row r="22457">
      <c r="H22457" t="s">
        <v>5117</v>
      </c>
    </row>
    <row r="22458">
      <c r="H22458" t="s">
        <v>5117</v>
      </c>
    </row>
    <row r="22459">
      <c r="H22459" t="s">
        <v>5117</v>
      </c>
    </row>
    <row r="22460">
      <c r="H22460" t="s">
        <v>5117</v>
      </c>
    </row>
    <row r="22461">
      <c r="H22461" t="s">
        <v>5117</v>
      </c>
    </row>
    <row r="22462">
      <c r="H22462" t="s">
        <v>5117</v>
      </c>
    </row>
    <row r="22463">
      <c r="H22463" t="s">
        <v>5117</v>
      </c>
    </row>
    <row r="22464">
      <c r="H22464" t="s">
        <v>5117</v>
      </c>
    </row>
    <row r="22465">
      <c r="H22465" t="s">
        <v>5117</v>
      </c>
    </row>
    <row r="22466">
      <c r="H22466" t="s">
        <v>5117</v>
      </c>
    </row>
    <row r="22467">
      <c r="H22467" t="s">
        <v>5117</v>
      </c>
    </row>
    <row r="22468">
      <c r="H22468" t="s">
        <v>5117</v>
      </c>
    </row>
    <row r="22469">
      <c r="H22469" t="s">
        <v>5117</v>
      </c>
    </row>
    <row r="22470">
      <c r="H22470" t="s">
        <v>5117</v>
      </c>
    </row>
    <row r="22471">
      <c r="H22471" t="s">
        <v>5117</v>
      </c>
    </row>
    <row r="22472">
      <c r="H22472" t="s">
        <v>5117</v>
      </c>
    </row>
    <row r="22473">
      <c r="H22473" t="s">
        <v>5117</v>
      </c>
    </row>
    <row r="22474">
      <c r="H22474" t="s">
        <v>5117</v>
      </c>
    </row>
    <row r="22475">
      <c r="H22475" t="s">
        <v>5117</v>
      </c>
    </row>
    <row r="22476">
      <c r="H22476" t="s">
        <v>5117</v>
      </c>
    </row>
    <row r="22477">
      <c r="H22477" t="s">
        <v>5117</v>
      </c>
    </row>
    <row r="22478">
      <c r="H22478" t="s">
        <v>5117</v>
      </c>
    </row>
    <row r="22479">
      <c r="H22479" t="s">
        <v>5117</v>
      </c>
    </row>
    <row r="22480">
      <c r="H22480" t="s">
        <v>5117</v>
      </c>
    </row>
    <row r="22481">
      <c r="H22481" t="s">
        <v>5117</v>
      </c>
    </row>
    <row r="22482">
      <c r="H22482" t="s">
        <v>5117</v>
      </c>
    </row>
    <row r="22483">
      <c r="H22483" t="s">
        <v>5117</v>
      </c>
    </row>
    <row r="22484">
      <c r="H22484" t="s">
        <v>5117</v>
      </c>
    </row>
    <row r="22485">
      <c r="H22485" t="s">
        <v>5117</v>
      </c>
    </row>
    <row r="22486">
      <c r="H22486" t="s">
        <v>5117</v>
      </c>
    </row>
    <row r="22487">
      <c r="H22487" t="s">
        <v>5117</v>
      </c>
    </row>
    <row r="22488">
      <c r="H22488" t="s">
        <v>5117</v>
      </c>
    </row>
    <row r="22489">
      <c r="H22489" t="s">
        <v>5117</v>
      </c>
    </row>
    <row r="22490">
      <c r="H22490" t="s">
        <v>5117</v>
      </c>
    </row>
    <row r="22491">
      <c r="H22491" t="s">
        <v>5117</v>
      </c>
    </row>
    <row r="22492">
      <c r="H22492" t="s">
        <v>5117</v>
      </c>
    </row>
    <row r="22493">
      <c r="H22493" t="s">
        <v>5117</v>
      </c>
    </row>
    <row r="22494">
      <c r="H22494" t="s">
        <v>5117</v>
      </c>
    </row>
    <row r="22495">
      <c r="H22495" t="s">
        <v>5117</v>
      </c>
    </row>
    <row r="22496">
      <c r="H22496" t="s">
        <v>5117</v>
      </c>
    </row>
    <row r="22497">
      <c r="H22497" t="s">
        <v>5117</v>
      </c>
    </row>
    <row r="22498">
      <c r="H22498" t="s">
        <v>5117</v>
      </c>
    </row>
    <row r="22499">
      <c r="H22499" t="s">
        <v>5117</v>
      </c>
    </row>
    <row r="22500">
      <c r="H22500" t="s">
        <v>5117</v>
      </c>
    </row>
    <row r="22501">
      <c r="H22501" t="s">
        <v>5117</v>
      </c>
    </row>
    <row r="22502">
      <c r="H22502" t="s">
        <v>5117</v>
      </c>
    </row>
    <row r="22503">
      <c r="H22503" t="s">
        <v>5117</v>
      </c>
    </row>
    <row r="22504">
      <c r="H22504" t="s">
        <v>5117</v>
      </c>
    </row>
    <row r="22505">
      <c r="H22505" t="s">
        <v>5117</v>
      </c>
    </row>
    <row r="22506">
      <c r="H22506" t="s">
        <v>5117</v>
      </c>
    </row>
    <row r="22507">
      <c r="H22507" t="s">
        <v>5117</v>
      </c>
    </row>
    <row r="22508">
      <c r="H22508" t="s">
        <v>5117</v>
      </c>
    </row>
    <row r="22509">
      <c r="H22509" t="s">
        <v>5117</v>
      </c>
    </row>
    <row r="22510">
      <c r="H22510" t="s">
        <v>5117</v>
      </c>
    </row>
    <row r="22511">
      <c r="H22511" t="s">
        <v>5117</v>
      </c>
    </row>
    <row r="22512">
      <c r="H22512" t="s">
        <v>5117</v>
      </c>
    </row>
    <row r="22513">
      <c r="H22513" t="s">
        <v>5117</v>
      </c>
    </row>
    <row r="22514">
      <c r="H22514" t="s">
        <v>5117</v>
      </c>
    </row>
    <row r="22515">
      <c r="H22515" t="s">
        <v>5117</v>
      </c>
    </row>
    <row r="22516">
      <c r="H22516" t="s">
        <v>5117</v>
      </c>
    </row>
    <row r="22517">
      <c r="H22517" t="s">
        <v>5117</v>
      </c>
    </row>
    <row r="22518">
      <c r="H22518" t="s">
        <v>5117</v>
      </c>
    </row>
    <row r="22519">
      <c r="H22519" t="s">
        <v>5117</v>
      </c>
    </row>
    <row r="22520">
      <c r="H22520" t="s">
        <v>5117</v>
      </c>
    </row>
    <row r="22521">
      <c r="H22521" t="s">
        <v>5117</v>
      </c>
    </row>
    <row r="22522">
      <c r="H22522" t="s">
        <v>5117</v>
      </c>
    </row>
    <row r="22523">
      <c r="H22523" t="s">
        <v>5117</v>
      </c>
    </row>
    <row r="22524">
      <c r="H22524" t="s">
        <v>5117</v>
      </c>
    </row>
    <row r="22525">
      <c r="H22525" t="s">
        <v>5117</v>
      </c>
    </row>
    <row r="22526">
      <c r="H22526" t="s">
        <v>5117</v>
      </c>
    </row>
    <row r="22527">
      <c r="H22527" t="s">
        <v>5117</v>
      </c>
    </row>
    <row r="22528">
      <c r="H22528" t="s">
        <v>5117</v>
      </c>
    </row>
    <row r="22529">
      <c r="H22529" t="s">
        <v>5117</v>
      </c>
    </row>
    <row r="22530">
      <c r="H22530" t="s">
        <v>5117</v>
      </c>
    </row>
    <row r="22531">
      <c r="H22531" t="s">
        <v>5117</v>
      </c>
    </row>
    <row r="22532">
      <c r="H22532" t="s">
        <v>5117</v>
      </c>
    </row>
    <row r="22533">
      <c r="H22533" t="s">
        <v>5117</v>
      </c>
    </row>
    <row r="22534">
      <c r="H22534" t="s">
        <v>5117</v>
      </c>
    </row>
    <row r="22535">
      <c r="H22535" t="s">
        <v>5117</v>
      </c>
    </row>
    <row r="22536">
      <c r="H22536" t="s">
        <v>5117</v>
      </c>
    </row>
    <row r="22537">
      <c r="H22537" t="s">
        <v>5117</v>
      </c>
    </row>
    <row r="22538">
      <c r="H22538" t="s">
        <v>5117</v>
      </c>
    </row>
    <row r="22539">
      <c r="H22539" t="s">
        <v>5117</v>
      </c>
    </row>
    <row r="22540">
      <c r="H22540" t="s">
        <v>5117</v>
      </c>
    </row>
    <row r="22541">
      <c r="H22541" t="s">
        <v>5117</v>
      </c>
    </row>
    <row r="22542">
      <c r="H22542" t="s">
        <v>5117</v>
      </c>
    </row>
    <row r="22543">
      <c r="H22543" t="s">
        <v>5117</v>
      </c>
    </row>
    <row r="22544">
      <c r="H22544" t="s">
        <v>5117</v>
      </c>
    </row>
    <row r="22545">
      <c r="H22545" t="s">
        <v>5117</v>
      </c>
    </row>
    <row r="22546">
      <c r="H22546" t="s">
        <v>5117</v>
      </c>
    </row>
    <row r="22547">
      <c r="H22547" t="s">
        <v>5117</v>
      </c>
    </row>
    <row r="22548">
      <c r="H22548" t="s">
        <v>5117</v>
      </c>
    </row>
    <row r="22549">
      <c r="H22549" t="s">
        <v>5117</v>
      </c>
    </row>
    <row r="22550">
      <c r="H22550" t="s">
        <v>5117</v>
      </c>
    </row>
    <row r="22551">
      <c r="H22551" t="s">
        <v>5117</v>
      </c>
    </row>
    <row r="22552">
      <c r="H22552" t="s">
        <v>5117</v>
      </c>
    </row>
    <row r="22553">
      <c r="H22553" t="s">
        <v>5117</v>
      </c>
    </row>
    <row r="22554">
      <c r="H22554" t="s">
        <v>5117</v>
      </c>
    </row>
    <row r="22555">
      <c r="H22555" t="s">
        <v>5117</v>
      </c>
    </row>
    <row r="22556">
      <c r="H22556" t="s">
        <v>5117</v>
      </c>
    </row>
    <row r="22557">
      <c r="H22557" t="s">
        <v>5117</v>
      </c>
    </row>
    <row r="22558">
      <c r="H22558" t="s">
        <v>5117</v>
      </c>
    </row>
    <row r="22559">
      <c r="H22559" t="s">
        <v>5117</v>
      </c>
    </row>
    <row r="22560">
      <c r="H22560" t="s">
        <v>5117</v>
      </c>
    </row>
    <row r="22561">
      <c r="H22561" t="s">
        <v>5117</v>
      </c>
    </row>
    <row r="22562">
      <c r="H22562" t="s">
        <v>5117</v>
      </c>
    </row>
    <row r="22563">
      <c r="H22563" t="s">
        <v>5117</v>
      </c>
    </row>
    <row r="22564">
      <c r="H22564" t="s">
        <v>5117</v>
      </c>
    </row>
    <row r="22565">
      <c r="H22565" t="s">
        <v>5117</v>
      </c>
    </row>
    <row r="22566">
      <c r="H22566" t="s">
        <v>5117</v>
      </c>
    </row>
    <row r="22567">
      <c r="H22567" t="s">
        <v>5117</v>
      </c>
    </row>
    <row r="22568">
      <c r="H22568" t="s">
        <v>5117</v>
      </c>
    </row>
    <row r="22569">
      <c r="H22569" t="s">
        <v>5117</v>
      </c>
    </row>
    <row r="22570">
      <c r="H22570" t="s">
        <v>5117</v>
      </c>
    </row>
    <row r="22571">
      <c r="H22571" t="s">
        <v>5117</v>
      </c>
    </row>
    <row r="22572">
      <c r="H22572" t="s">
        <v>5117</v>
      </c>
    </row>
    <row r="22573">
      <c r="H22573" t="s">
        <v>5117</v>
      </c>
    </row>
    <row r="22574">
      <c r="H22574" t="s">
        <v>5117</v>
      </c>
    </row>
    <row r="22575">
      <c r="H22575" t="s">
        <v>5117</v>
      </c>
    </row>
    <row r="22576">
      <c r="H22576" t="s">
        <v>5117</v>
      </c>
    </row>
    <row r="22577">
      <c r="H22577" t="s">
        <v>5117</v>
      </c>
    </row>
    <row r="22578">
      <c r="H22578" t="s">
        <v>5117</v>
      </c>
    </row>
    <row r="22579">
      <c r="H22579" t="s">
        <v>5117</v>
      </c>
    </row>
    <row r="22580">
      <c r="H22580" t="s">
        <v>5117</v>
      </c>
    </row>
    <row r="22581">
      <c r="H22581" t="s">
        <v>5117</v>
      </c>
    </row>
    <row r="22582">
      <c r="H22582" t="s">
        <v>5117</v>
      </c>
    </row>
    <row r="22583">
      <c r="H22583" t="s">
        <v>5117</v>
      </c>
    </row>
    <row r="22584">
      <c r="H22584" t="s">
        <v>5117</v>
      </c>
    </row>
    <row r="22585">
      <c r="H22585" t="s">
        <v>5117</v>
      </c>
    </row>
    <row r="22586">
      <c r="H22586" t="s">
        <v>5117</v>
      </c>
    </row>
    <row r="22587">
      <c r="H22587" t="s">
        <v>5117</v>
      </c>
    </row>
    <row r="22588">
      <c r="H22588" t="s">
        <v>5117</v>
      </c>
    </row>
    <row r="22589">
      <c r="H22589" t="s">
        <v>5117</v>
      </c>
    </row>
    <row r="22590">
      <c r="H22590" t="s">
        <v>5117</v>
      </c>
    </row>
    <row r="22591">
      <c r="H22591" t="s">
        <v>5117</v>
      </c>
    </row>
    <row r="22592">
      <c r="H22592" t="s">
        <v>5117</v>
      </c>
    </row>
    <row r="22593">
      <c r="H22593" t="s">
        <v>5117</v>
      </c>
    </row>
    <row r="22594">
      <c r="H22594" t="s">
        <v>5117</v>
      </c>
    </row>
    <row r="22595">
      <c r="H22595" t="s">
        <v>5117</v>
      </c>
    </row>
    <row r="22596">
      <c r="H22596" t="s">
        <v>5117</v>
      </c>
    </row>
    <row r="22597">
      <c r="H22597" t="s">
        <v>5117</v>
      </c>
    </row>
    <row r="22598">
      <c r="H22598" t="s">
        <v>5117</v>
      </c>
    </row>
    <row r="22599">
      <c r="H22599" t="s">
        <v>5117</v>
      </c>
    </row>
    <row r="22600">
      <c r="H22600" t="s">
        <v>5117</v>
      </c>
    </row>
    <row r="22601">
      <c r="H22601" t="s">
        <v>5117</v>
      </c>
    </row>
    <row r="22602">
      <c r="H22602" t="s">
        <v>5117</v>
      </c>
    </row>
    <row r="22603">
      <c r="H22603" t="s">
        <v>5117</v>
      </c>
    </row>
    <row r="22604">
      <c r="H22604" t="s">
        <v>5117</v>
      </c>
    </row>
    <row r="22605">
      <c r="H22605" t="s">
        <v>5117</v>
      </c>
    </row>
    <row r="22606">
      <c r="H22606" t="s">
        <v>5117</v>
      </c>
    </row>
    <row r="22607">
      <c r="H22607" t="s">
        <v>5117</v>
      </c>
    </row>
    <row r="22608">
      <c r="H22608" t="s">
        <v>5117</v>
      </c>
    </row>
    <row r="22609">
      <c r="H22609" t="s">
        <v>5117</v>
      </c>
    </row>
    <row r="22610">
      <c r="H22610" t="s">
        <v>5117</v>
      </c>
    </row>
    <row r="22611">
      <c r="H22611" t="s">
        <v>5117</v>
      </c>
    </row>
    <row r="22612">
      <c r="H22612" t="s">
        <v>5117</v>
      </c>
    </row>
    <row r="22613">
      <c r="H22613" t="s">
        <v>5117</v>
      </c>
    </row>
    <row r="22614">
      <c r="H22614" t="s">
        <v>5117</v>
      </c>
    </row>
    <row r="22615">
      <c r="H22615" t="s">
        <v>5117</v>
      </c>
    </row>
    <row r="22616">
      <c r="H22616" t="s">
        <v>5117</v>
      </c>
    </row>
    <row r="22617">
      <c r="H22617" t="s">
        <v>5117</v>
      </c>
    </row>
    <row r="22618">
      <c r="H22618" t="s">
        <v>5117</v>
      </c>
    </row>
    <row r="22619">
      <c r="H22619" t="s">
        <v>5117</v>
      </c>
    </row>
    <row r="22620">
      <c r="H22620" t="s">
        <v>5117</v>
      </c>
    </row>
    <row r="22621">
      <c r="H22621" t="s">
        <v>5117</v>
      </c>
    </row>
    <row r="22622">
      <c r="H22622" t="s">
        <v>5117</v>
      </c>
    </row>
    <row r="22623">
      <c r="H22623" t="s">
        <v>5117</v>
      </c>
    </row>
    <row r="22624">
      <c r="H22624" t="s">
        <v>5117</v>
      </c>
    </row>
    <row r="22625">
      <c r="H22625" t="s">
        <v>5117</v>
      </c>
    </row>
    <row r="22626">
      <c r="H22626" t="s">
        <v>5117</v>
      </c>
    </row>
    <row r="22627">
      <c r="H22627" t="s">
        <v>5117</v>
      </c>
    </row>
    <row r="22628">
      <c r="H22628" t="s">
        <v>5117</v>
      </c>
    </row>
    <row r="22629">
      <c r="H22629" t="s">
        <v>5117</v>
      </c>
    </row>
    <row r="22630">
      <c r="H22630" t="s">
        <v>5117</v>
      </c>
    </row>
    <row r="22631">
      <c r="H22631" t="s">
        <v>5117</v>
      </c>
    </row>
    <row r="22632">
      <c r="H22632" t="s">
        <v>5117</v>
      </c>
    </row>
    <row r="22633">
      <c r="H22633" t="s">
        <v>5117</v>
      </c>
    </row>
    <row r="22634">
      <c r="H22634" t="s">
        <v>5117</v>
      </c>
    </row>
    <row r="22635">
      <c r="H22635" t="s">
        <v>5117</v>
      </c>
    </row>
    <row r="22636">
      <c r="H22636" t="s">
        <v>5117</v>
      </c>
    </row>
    <row r="22637">
      <c r="H22637" t="s">
        <v>5117</v>
      </c>
    </row>
    <row r="22638">
      <c r="H22638" t="s">
        <v>5117</v>
      </c>
    </row>
    <row r="22639">
      <c r="H22639" t="s">
        <v>5117</v>
      </c>
    </row>
    <row r="22640">
      <c r="H22640" t="s">
        <v>5117</v>
      </c>
    </row>
    <row r="22641">
      <c r="H22641" t="s">
        <v>5117</v>
      </c>
    </row>
    <row r="22642">
      <c r="H22642" t="s">
        <v>5117</v>
      </c>
    </row>
    <row r="22643">
      <c r="H22643" t="s">
        <v>5117</v>
      </c>
    </row>
    <row r="22644">
      <c r="H22644" t="s">
        <v>5117</v>
      </c>
    </row>
    <row r="22645">
      <c r="H22645" t="s">
        <v>5117</v>
      </c>
    </row>
    <row r="22646">
      <c r="H22646" t="s">
        <v>5117</v>
      </c>
    </row>
    <row r="22647">
      <c r="H22647" t="s">
        <v>5117</v>
      </c>
    </row>
    <row r="22648">
      <c r="H22648" t="s">
        <v>5117</v>
      </c>
    </row>
    <row r="22649">
      <c r="H22649" t="s">
        <v>5117</v>
      </c>
    </row>
    <row r="22650">
      <c r="H22650" t="s">
        <v>5117</v>
      </c>
    </row>
    <row r="22651">
      <c r="H22651" t="s">
        <v>5117</v>
      </c>
    </row>
    <row r="22652">
      <c r="H22652" t="s">
        <v>5117</v>
      </c>
    </row>
    <row r="22653">
      <c r="H22653" t="s">
        <v>5117</v>
      </c>
    </row>
    <row r="22654">
      <c r="H22654" t="s">
        <v>5117</v>
      </c>
    </row>
    <row r="22655">
      <c r="H22655" t="s">
        <v>5117</v>
      </c>
    </row>
    <row r="22656">
      <c r="H22656" t="s">
        <v>5117</v>
      </c>
    </row>
    <row r="22657">
      <c r="H22657" t="s">
        <v>5117</v>
      </c>
    </row>
    <row r="22658">
      <c r="H22658" t="s">
        <v>5117</v>
      </c>
    </row>
    <row r="22659">
      <c r="H22659" t="s">
        <v>5117</v>
      </c>
    </row>
    <row r="22660">
      <c r="H22660" t="s">
        <v>5117</v>
      </c>
    </row>
    <row r="22661">
      <c r="H22661" t="s">
        <v>5117</v>
      </c>
    </row>
    <row r="22662">
      <c r="H22662" t="s">
        <v>5117</v>
      </c>
    </row>
    <row r="22663">
      <c r="H22663" t="s">
        <v>5117</v>
      </c>
    </row>
    <row r="22664">
      <c r="H22664" t="s">
        <v>5117</v>
      </c>
    </row>
    <row r="22665">
      <c r="H22665" t="s">
        <v>5117</v>
      </c>
    </row>
    <row r="22666">
      <c r="H22666" t="s">
        <v>5117</v>
      </c>
    </row>
    <row r="22667">
      <c r="H22667" t="s">
        <v>5117</v>
      </c>
    </row>
    <row r="22668">
      <c r="H22668" t="s">
        <v>5117</v>
      </c>
    </row>
    <row r="22669">
      <c r="H22669" t="s">
        <v>5117</v>
      </c>
    </row>
    <row r="22670">
      <c r="H22670" t="s">
        <v>5117</v>
      </c>
    </row>
    <row r="22671">
      <c r="H22671" t="s">
        <v>5117</v>
      </c>
    </row>
    <row r="22672">
      <c r="H22672" t="s">
        <v>5117</v>
      </c>
    </row>
    <row r="22673">
      <c r="H22673" t="s">
        <v>5117</v>
      </c>
    </row>
    <row r="22674">
      <c r="H22674" t="s">
        <v>5117</v>
      </c>
    </row>
    <row r="22675">
      <c r="H22675" t="s">
        <v>5117</v>
      </c>
    </row>
    <row r="22676">
      <c r="H22676" t="s">
        <v>5117</v>
      </c>
    </row>
    <row r="22677">
      <c r="H22677" t="s">
        <v>5117</v>
      </c>
    </row>
    <row r="22678">
      <c r="H22678" t="s">
        <v>5117</v>
      </c>
    </row>
    <row r="22679">
      <c r="H22679" t="s">
        <v>5117</v>
      </c>
    </row>
    <row r="22680">
      <c r="H22680" t="s">
        <v>5117</v>
      </c>
    </row>
    <row r="22681">
      <c r="H22681" t="s">
        <v>5117</v>
      </c>
    </row>
    <row r="22682">
      <c r="H22682" t="s">
        <v>5117</v>
      </c>
    </row>
    <row r="22683">
      <c r="H22683" t="s">
        <v>5117</v>
      </c>
    </row>
    <row r="22684">
      <c r="H22684" t="s">
        <v>5117</v>
      </c>
    </row>
    <row r="22685">
      <c r="H22685" t="s">
        <v>5117</v>
      </c>
    </row>
    <row r="22686">
      <c r="H22686" t="s">
        <v>5117</v>
      </c>
    </row>
    <row r="22687">
      <c r="H22687" t="s">
        <v>5117</v>
      </c>
    </row>
    <row r="22688">
      <c r="H22688" t="s">
        <v>5117</v>
      </c>
    </row>
    <row r="22689">
      <c r="H22689" t="s">
        <v>5117</v>
      </c>
    </row>
    <row r="22690">
      <c r="H22690" t="s">
        <v>5117</v>
      </c>
    </row>
    <row r="22691">
      <c r="H22691" t="s">
        <v>5117</v>
      </c>
    </row>
    <row r="22692">
      <c r="H22692" t="s">
        <v>5117</v>
      </c>
    </row>
    <row r="22693">
      <c r="H22693" t="s">
        <v>5117</v>
      </c>
    </row>
    <row r="22694">
      <c r="H22694" t="s">
        <v>5117</v>
      </c>
    </row>
    <row r="22695">
      <c r="H22695" t="s">
        <v>5117</v>
      </c>
    </row>
    <row r="22696">
      <c r="H22696" t="s">
        <v>5117</v>
      </c>
    </row>
    <row r="22697">
      <c r="H22697" t="s">
        <v>5117</v>
      </c>
    </row>
    <row r="22698">
      <c r="H22698" t="s">
        <v>5117</v>
      </c>
    </row>
    <row r="22699">
      <c r="H22699" t="s">
        <v>5117</v>
      </c>
    </row>
    <row r="22700">
      <c r="H22700" t="s">
        <v>5117</v>
      </c>
    </row>
    <row r="22701">
      <c r="H22701" t="s">
        <v>5117</v>
      </c>
    </row>
    <row r="22702">
      <c r="H22702" t="s">
        <v>5117</v>
      </c>
    </row>
    <row r="22703">
      <c r="H22703" t="s">
        <v>5117</v>
      </c>
    </row>
    <row r="22704">
      <c r="H22704" t="s">
        <v>5117</v>
      </c>
    </row>
    <row r="22705">
      <c r="H22705" t="s">
        <v>5117</v>
      </c>
    </row>
    <row r="22706">
      <c r="H22706" t="s">
        <v>5117</v>
      </c>
    </row>
    <row r="22707">
      <c r="H22707" t="s">
        <v>5117</v>
      </c>
    </row>
    <row r="22708">
      <c r="H22708" t="s">
        <v>5117</v>
      </c>
    </row>
    <row r="22709">
      <c r="H22709" t="s">
        <v>5117</v>
      </c>
    </row>
    <row r="22710">
      <c r="H22710" t="s">
        <v>5117</v>
      </c>
    </row>
    <row r="22711">
      <c r="H22711" t="s">
        <v>5117</v>
      </c>
    </row>
    <row r="22712">
      <c r="H22712" t="s">
        <v>5117</v>
      </c>
    </row>
    <row r="22713">
      <c r="H22713" t="s">
        <v>5117</v>
      </c>
    </row>
    <row r="22714">
      <c r="H22714" t="s">
        <v>5117</v>
      </c>
    </row>
    <row r="22715">
      <c r="H22715" t="s">
        <v>5117</v>
      </c>
    </row>
    <row r="22716">
      <c r="H22716" t="s">
        <v>5117</v>
      </c>
    </row>
    <row r="22717">
      <c r="H22717" t="s">
        <v>5117</v>
      </c>
    </row>
    <row r="22718">
      <c r="H22718" t="s">
        <v>5117</v>
      </c>
    </row>
    <row r="22719">
      <c r="H22719" t="s">
        <v>5117</v>
      </c>
    </row>
    <row r="22720">
      <c r="H22720" t="s">
        <v>5117</v>
      </c>
    </row>
    <row r="22721">
      <c r="H22721" t="s">
        <v>5117</v>
      </c>
    </row>
    <row r="22722">
      <c r="H22722" t="s">
        <v>5117</v>
      </c>
    </row>
    <row r="22723">
      <c r="H22723" t="s">
        <v>5117</v>
      </c>
    </row>
    <row r="22724">
      <c r="H22724" t="s">
        <v>5117</v>
      </c>
    </row>
    <row r="22725">
      <c r="H22725" t="s">
        <v>5117</v>
      </c>
    </row>
    <row r="22726">
      <c r="H22726" t="s">
        <v>5117</v>
      </c>
    </row>
    <row r="22727">
      <c r="H22727" t="s">
        <v>5117</v>
      </c>
    </row>
    <row r="22728">
      <c r="H22728" t="s">
        <v>5117</v>
      </c>
    </row>
    <row r="22729">
      <c r="H22729" t="s">
        <v>5117</v>
      </c>
    </row>
    <row r="22730">
      <c r="H22730" t="s">
        <v>5117</v>
      </c>
    </row>
    <row r="22731">
      <c r="H22731" t="s">
        <v>5117</v>
      </c>
    </row>
    <row r="22732">
      <c r="H22732" t="s">
        <v>5117</v>
      </c>
    </row>
    <row r="22733">
      <c r="H22733" t="s">
        <v>5117</v>
      </c>
    </row>
    <row r="22734">
      <c r="H22734" t="s">
        <v>5117</v>
      </c>
    </row>
    <row r="22735">
      <c r="H22735" t="s">
        <v>5117</v>
      </c>
    </row>
    <row r="22736">
      <c r="H22736" t="s">
        <v>5117</v>
      </c>
    </row>
    <row r="22737">
      <c r="H22737" t="s">
        <v>5117</v>
      </c>
    </row>
    <row r="22738">
      <c r="H22738" t="s">
        <v>5117</v>
      </c>
    </row>
    <row r="22739">
      <c r="H22739" t="s">
        <v>5117</v>
      </c>
    </row>
    <row r="22740">
      <c r="H22740" t="s">
        <v>5117</v>
      </c>
    </row>
    <row r="22741">
      <c r="H22741" t="s">
        <v>5117</v>
      </c>
    </row>
    <row r="22742">
      <c r="H22742" t="s">
        <v>5117</v>
      </c>
    </row>
    <row r="22743">
      <c r="H22743" t="s">
        <v>5117</v>
      </c>
    </row>
    <row r="22744">
      <c r="H22744" t="s">
        <v>5117</v>
      </c>
    </row>
    <row r="22745">
      <c r="H22745" t="s">
        <v>5117</v>
      </c>
    </row>
    <row r="22746">
      <c r="H22746" t="s">
        <v>5117</v>
      </c>
    </row>
    <row r="22747">
      <c r="H22747" t="s">
        <v>5117</v>
      </c>
    </row>
    <row r="22748">
      <c r="H22748" t="s">
        <v>5117</v>
      </c>
    </row>
    <row r="22749">
      <c r="H22749" t="s">
        <v>5117</v>
      </c>
    </row>
    <row r="22750">
      <c r="H22750" t="s">
        <v>5117</v>
      </c>
    </row>
    <row r="22751">
      <c r="H22751" t="s">
        <v>5117</v>
      </c>
    </row>
    <row r="22752">
      <c r="H22752" t="s">
        <v>5117</v>
      </c>
    </row>
    <row r="22753">
      <c r="H22753" t="s">
        <v>5117</v>
      </c>
    </row>
    <row r="22754">
      <c r="H22754" t="s">
        <v>5117</v>
      </c>
    </row>
    <row r="22755">
      <c r="H22755" t="s">
        <v>5117</v>
      </c>
    </row>
    <row r="22756">
      <c r="H22756" t="s">
        <v>5117</v>
      </c>
    </row>
    <row r="22757">
      <c r="H22757" t="s">
        <v>5117</v>
      </c>
    </row>
    <row r="22758">
      <c r="H22758" t="s">
        <v>5117</v>
      </c>
    </row>
    <row r="22759">
      <c r="H22759" t="s">
        <v>5117</v>
      </c>
    </row>
    <row r="22760">
      <c r="H22760" t="s">
        <v>5117</v>
      </c>
    </row>
    <row r="22761">
      <c r="H22761" t="s">
        <v>5117</v>
      </c>
    </row>
    <row r="22762">
      <c r="H22762" t="s">
        <v>5117</v>
      </c>
    </row>
    <row r="22763">
      <c r="H22763" t="s">
        <v>5117</v>
      </c>
    </row>
    <row r="22764">
      <c r="H22764" t="s">
        <v>5117</v>
      </c>
    </row>
    <row r="22765">
      <c r="H22765" t="s">
        <v>5117</v>
      </c>
    </row>
    <row r="22766">
      <c r="H22766" t="s">
        <v>5117</v>
      </c>
    </row>
    <row r="22767">
      <c r="H22767" t="s">
        <v>5117</v>
      </c>
    </row>
    <row r="22768">
      <c r="H22768" t="s">
        <v>5117</v>
      </c>
    </row>
    <row r="22769">
      <c r="H22769" t="s">
        <v>5117</v>
      </c>
    </row>
    <row r="22770">
      <c r="H22770" t="s">
        <v>5117</v>
      </c>
    </row>
    <row r="22771">
      <c r="H22771" t="s">
        <v>5117</v>
      </c>
    </row>
    <row r="22772">
      <c r="H22772" t="s">
        <v>5117</v>
      </c>
    </row>
    <row r="22773">
      <c r="H22773" t="s">
        <v>5117</v>
      </c>
    </row>
    <row r="22774">
      <c r="H22774" t="s">
        <v>5117</v>
      </c>
    </row>
    <row r="22775">
      <c r="H22775" t="s">
        <v>5117</v>
      </c>
    </row>
    <row r="22776">
      <c r="H22776" t="s">
        <v>5117</v>
      </c>
    </row>
    <row r="22777">
      <c r="H22777" t="s">
        <v>5117</v>
      </c>
    </row>
    <row r="22778">
      <c r="H22778" t="s">
        <v>5117</v>
      </c>
    </row>
    <row r="22779">
      <c r="H22779" t="s">
        <v>5117</v>
      </c>
    </row>
    <row r="22780">
      <c r="H22780" t="s">
        <v>5117</v>
      </c>
    </row>
    <row r="22781">
      <c r="H22781" t="s">
        <v>5117</v>
      </c>
    </row>
    <row r="22782">
      <c r="H22782" t="s">
        <v>5117</v>
      </c>
    </row>
    <row r="22783">
      <c r="H22783" t="s">
        <v>5117</v>
      </c>
    </row>
    <row r="22784">
      <c r="H22784" t="s">
        <v>5117</v>
      </c>
    </row>
    <row r="22785">
      <c r="H22785" t="s">
        <v>5117</v>
      </c>
    </row>
    <row r="22786">
      <c r="H22786" t="s">
        <v>5117</v>
      </c>
    </row>
    <row r="22787">
      <c r="H22787" t="s">
        <v>5117</v>
      </c>
    </row>
    <row r="22788">
      <c r="H22788" t="s">
        <v>5117</v>
      </c>
    </row>
    <row r="22789">
      <c r="H22789" t="s">
        <v>5117</v>
      </c>
    </row>
    <row r="22790">
      <c r="H22790" t="s">
        <v>5117</v>
      </c>
    </row>
    <row r="22791">
      <c r="H22791" t="s">
        <v>5117</v>
      </c>
    </row>
    <row r="22792">
      <c r="H22792" t="s">
        <v>5117</v>
      </c>
    </row>
    <row r="22793">
      <c r="H22793" t="s">
        <v>5117</v>
      </c>
    </row>
    <row r="22794">
      <c r="H22794" t="s">
        <v>5117</v>
      </c>
    </row>
    <row r="22795">
      <c r="H22795" t="s">
        <v>5117</v>
      </c>
    </row>
    <row r="22796">
      <c r="H22796" t="s">
        <v>5117</v>
      </c>
    </row>
    <row r="22797">
      <c r="H22797" t="s">
        <v>5117</v>
      </c>
    </row>
    <row r="22798">
      <c r="H22798" t="s">
        <v>5117</v>
      </c>
    </row>
    <row r="22799">
      <c r="H22799" t="s">
        <v>5117</v>
      </c>
    </row>
    <row r="22800">
      <c r="H22800" t="s">
        <v>5117</v>
      </c>
    </row>
    <row r="22801">
      <c r="H22801" t="s">
        <v>5117</v>
      </c>
    </row>
    <row r="22802">
      <c r="H22802" t="s">
        <v>5117</v>
      </c>
    </row>
    <row r="22803">
      <c r="H22803" t="s">
        <v>5117</v>
      </c>
    </row>
    <row r="22804">
      <c r="H22804" t="s">
        <v>5117</v>
      </c>
    </row>
    <row r="22805">
      <c r="H22805" t="s">
        <v>5117</v>
      </c>
    </row>
    <row r="22806">
      <c r="H22806" t="s">
        <v>5117</v>
      </c>
    </row>
    <row r="22807">
      <c r="H22807" t="s">
        <v>5117</v>
      </c>
    </row>
    <row r="22808">
      <c r="H22808" t="s">
        <v>5117</v>
      </c>
    </row>
    <row r="22809">
      <c r="H22809" t="s">
        <v>5117</v>
      </c>
    </row>
    <row r="22810">
      <c r="H22810" t="s">
        <v>5117</v>
      </c>
    </row>
    <row r="22811">
      <c r="H22811" t="s">
        <v>5117</v>
      </c>
    </row>
    <row r="22812">
      <c r="H22812" t="s">
        <v>5117</v>
      </c>
    </row>
    <row r="22813">
      <c r="H22813" t="s">
        <v>5117</v>
      </c>
    </row>
    <row r="22814">
      <c r="H22814" t="s">
        <v>5117</v>
      </c>
    </row>
    <row r="22815">
      <c r="H22815" t="s">
        <v>5117</v>
      </c>
    </row>
    <row r="22816">
      <c r="H22816" t="s">
        <v>5117</v>
      </c>
    </row>
    <row r="22817">
      <c r="H22817" t="s">
        <v>5117</v>
      </c>
    </row>
    <row r="22818">
      <c r="H22818" t="s">
        <v>5117</v>
      </c>
    </row>
    <row r="22819">
      <c r="H22819" t="s">
        <v>5117</v>
      </c>
    </row>
    <row r="22820">
      <c r="H22820" t="s">
        <v>5117</v>
      </c>
    </row>
    <row r="22821">
      <c r="H22821" t="s">
        <v>5117</v>
      </c>
    </row>
    <row r="22822">
      <c r="H22822" t="s">
        <v>5117</v>
      </c>
    </row>
    <row r="22823">
      <c r="H22823" t="s">
        <v>5117</v>
      </c>
    </row>
    <row r="22824">
      <c r="H22824" t="s">
        <v>5117</v>
      </c>
    </row>
    <row r="22825">
      <c r="H22825" t="s">
        <v>5117</v>
      </c>
    </row>
    <row r="22826">
      <c r="H22826" t="s">
        <v>5117</v>
      </c>
    </row>
    <row r="22827">
      <c r="H22827" t="s">
        <v>5117</v>
      </c>
    </row>
    <row r="22828">
      <c r="H22828" t="s">
        <v>5117</v>
      </c>
    </row>
    <row r="22829">
      <c r="H22829" t="s">
        <v>5117</v>
      </c>
    </row>
    <row r="22830">
      <c r="H22830" t="s">
        <v>5117</v>
      </c>
    </row>
    <row r="22831">
      <c r="H22831" t="s">
        <v>5117</v>
      </c>
    </row>
    <row r="22832">
      <c r="H22832" t="s">
        <v>5117</v>
      </c>
    </row>
    <row r="22833">
      <c r="H22833" t="s">
        <v>5117</v>
      </c>
    </row>
    <row r="22834">
      <c r="H22834" t="s">
        <v>5117</v>
      </c>
    </row>
    <row r="22835">
      <c r="H22835" t="s">
        <v>5117</v>
      </c>
    </row>
    <row r="22836">
      <c r="H22836" t="s">
        <v>5117</v>
      </c>
    </row>
    <row r="22837">
      <c r="H22837" t="s">
        <v>5117</v>
      </c>
    </row>
    <row r="22838">
      <c r="H22838" t="s">
        <v>5117</v>
      </c>
    </row>
    <row r="22839">
      <c r="H22839" t="s">
        <v>5117</v>
      </c>
    </row>
    <row r="22840">
      <c r="H22840" t="s">
        <v>5117</v>
      </c>
    </row>
    <row r="22841">
      <c r="H22841" t="s">
        <v>5117</v>
      </c>
    </row>
    <row r="22842">
      <c r="H22842" t="s">
        <v>5117</v>
      </c>
    </row>
    <row r="22843">
      <c r="H22843" t="s">
        <v>5117</v>
      </c>
    </row>
    <row r="22844">
      <c r="H22844" t="s">
        <v>5117</v>
      </c>
    </row>
    <row r="22845">
      <c r="H22845" t="s">
        <v>5117</v>
      </c>
    </row>
    <row r="22846">
      <c r="H22846" t="s">
        <v>5117</v>
      </c>
    </row>
    <row r="22847">
      <c r="H22847" t="s">
        <v>5117</v>
      </c>
    </row>
    <row r="22848">
      <c r="H22848" t="s">
        <v>5117</v>
      </c>
    </row>
    <row r="22849">
      <c r="H22849" t="s">
        <v>5117</v>
      </c>
    </row>
    <row r="22850">
      <c r="H22850" t="s">
        <v>5117</v>
      </c>
    </row>
    <row r="22851">
      <c r="H22851" t="s">
        <v>5117</v>
      </c>
    </row>
    <row r="22852">
      <c r="H22852" t="s">
        <v>5117</v>
      </c>
    </row>
    <row r="22853">
      <c r="H22853" t="s">
        <v>5117</v>
      </c>
    </row>
    <row r="22854">
      <c r="H22854" t="s">
        <v>5117</v>
      </c>
    </row>
    <row r="22855">
      <c r="H22855" t="s">
        <v>5117</v>
      </c>
    </row>
    <row r="22856">
      <c r="H22856" t="s">
        <v>5117</v>
      </c>
    </row>
    <row r="22857">
      <c r="H22857" t="s">
        <v>5117</v>
      </c>
    </row>
    <row r="22858">
      <c r="H22858" t="s">
        <v>5117</v>
      </c>
    </row>
    <row r="22859">
      <c r="H22859" t="s">
        <v>5117</v>
      </c>
    </row>
    <row r="22860">
      <c r="H22860" t="s">
        <v>5117</v>
      </c>
    </row>
    <row r="22861">
      <c r="H22861" t="s">
        <v>5117</v>
      </c>
    </row>
    <row r="22862">
      <c r="H22862" t="s">
        <v>5117</v>
      </c>
    </row>
    <row r="22863">
      <c r="H22863" t="s">
        <v>5117</v>
      </c>
    </row>
    <row r="22864">
      <c r="H22864" t="s">
        <v>5117</v>
      </c>
    </row>
    <row r="22865">
      <c r="H22865" t="s">
        <v>5117</v>
      </c>
    </row>
    <row r="22866">
      <c r="H22866" t="s">
        <v>5117</v>
      </c>
    </row>
    <row r="22867">
      <c r="H22867" t="s">
        <v>5117</v>
      </c>
    </row>
    <row r="22868">
      <c r="H22868" t="s">
        <v>5117</v>
      </c>
    </row>
    <row r="22869">
      <c r="H22869" t="s">
        <v>5117</v>
      </c>
    </row>
    <row r="22870">
      <c r="H22870" t="s">
        <v>5117</v>
      </c>
    </row>
    <row r="22871">
      <c r="H22871" t="s">
        <v>5117</v>
      </c>
    </row>
    <row r="22872">
      <c r="H22872" t="s">
        <v>5117</v>
      </c>
    </row>
    <row r="22873">
      <c r="H22873" t="s">
        <v>5117</v>
      </c>
    </row>
    <row r="22874">
      <c r="H22874" t="s">
        <v>5117</v>
      </c>
    </row>
    <row r="22875">
      <c r="H22875" t="s">
        <v>5117</v>
      </c>
    </row>
    <row r="22876">
      <c r="H22876" t="s">
        <v>5117</v>
      </c>
    </row>
    <row r="22877">
      <c r="H22877" t="s">
        <v>5117</v>
      </c>
    </row>
    <row r="22878">
      <c r="H22878" t="s">
        <v>5117</v>
      </c>
    </row>
    <row r="22879">
      <c r="H22879" t="s">
        <v>5117</v>
      </c>
    </row>
    <row r="22880">
      <c r="H22880" t="s">
        <v>5117</v>
      </c>
    </row>
    <row r="22881">
      <c r="H22881" t="s">
        <v>5117</v>
      </c>
    </row>
    <row r="22882">
      <c r="H22882" t="s">
        <v>5117</v>
      </c>
    </row>
    <row r="22883">
      <c r="H22883" t="s">
        <v>5117</v>
      </c>
    </row>
    <row r="22884">
      <c r="H22884" t="s">
        <v>5117</v>
      </c>
    </row>
    <row r="22885">
      <c r="H22885" t="s">
        <v>5117</v>
      </c>
    </row>
    <row r="22886">
      <c r="H22886" t="s">
        <v>5117</v>
      </c>
    </row>
    <row r="22887">
      <c r="H22887" t="s">
        <v>5117</v>
      </c>
    </row>
    <row r="22888">
      <c r="H22888" t="s">
        <v>5117</v>
      </c>
    </row>
    <row r="22889">
      <c r="H22889" t="s">
        <v>5117</v>
      </c>
    </row>
    <row r="22890">
      <c r="H22890" t="s">
        <v>5117</v>
      </c>
    </row>
    <row r="22891">
      <c r="H22891" t="s">
        <v>5117</v>
      </c>
    </row>
    <row r="22892">
      <c r="H22892" t="s">
        <v>5117</v>
      </c>
    </row>
    <row r="22893">
      <c r="H22893" t="s">
        <v>5117</v>
      </c>
    </row>
    <row r="22894">
      <c r="H22894" t="s">
        <v>5117</v>
      </c>
    </row>
    <row r="22895">
      <c r="H22895" t="s">
        <v>5117</v>
      </c>
    </row>
    <row r="22896">
      <c r="H22896" t="s">
        <v>5117</v>
      </c>
    </row>
    <row r="22897">
      <c r="H22897" t="s">
        <v>5117</v>
      </c>
    </row>
    <row r="22898">
      <c r="H22898" t="s">
        <v>5117</v>
      </c>
    </row>
    <row r="22899">
      <c r="H22899" t="s">
        <v>5117</v>
      </c>
    </row>
    <row r="22900">
      <c r="H22900" t="s">
        <v>5117</v>
      </c>
    </row>
    <row r="22901">
      <c r="H22901" t="s">
        <v>5117</v>
      </c>
    </row>
    <row r="22902">
      <c r="H22902" t="s">
        <v>5117</v>
      </c>
    </row>
    <row r="22903">
      <c r="H22903" t="s">
        <v>5117</v>
      </c>
    </row>
    <row r="22904">
      <c r="H22904" t="s">
        <v>5117</v>
      </c>
    </row>
    <row r="22905">
      <c r="H22905" t="s">
        <v>5117</v>
      </c>
    </row>
    <row r="22906">
      <c r="H22906" t="s">
        <v>5117</v>
      </c>
    </row>
    <row r="22907">
      <c r="H22907" t="s">
        <v>5117</v>
      </c>
    </row>
    <row r="22908">
      <c r="H22908" t="s">
        <v>5117</v>
      </c>
    </row>
    <row r="22909">
      <c r="H22909" t="s">
        <v>5117</v>
      </c>
    </row>
    <row r="22910">
      <c r="H22910" t="s">
        <v>5117</v>
      </c>
    </row>
    <row r="22911">
      <c r="H22911" t="s">
        <v>5117</v>
      </c>
    </row>
    <row r="22912">
      <c r="H22912" t="s">
        <v>5117</v>
      </c>
    </row>
    <row r="22913">
      <c r="H22913" t="s">
        <v>5117</v>
      </c>
    </row>
    <row r="22914">
      <c r="H22914" t="s">
        <v>5117</v>
      </c>
    </row>
    <row r="22915">
      <c r="H22915" t="s">
        <v>5117</v>
      </c>
    </row>
    <row r="22916">
      <c r="H22916" t="s">
        <v>5117</v>
      </c>
    </row>
    <row r="22917">
      <c r="H22917" t="s">
        <v>5117</v>
      </c>
    </row>
    <row r="22918">
      <c r="H22918" t="s">
        <v>5117</v>
      </c>
    </row>
    <row r="22919">
      <c r="H22919" t="s">
        <v>5117</v>
      </c>
    </row>
    <row r="22920">
      <c r="H22920" t="s">
        <v>5117</v>
      </c>
    </row>
    <row r="22921">
      <c r="H22921" t="s">
        <v>5117</v>
      </c>
    </row>
    <row r="22922">
      <c r="H22922" t="s">
        <v>5117</v>
      </c>
    </row>
    <row r="22923">
      <c r="H22923" t="s">
        <v>5117</v>
      </c>
    </row>
    <row r="22924">
      <c r="H22924" t="s">
        <v>5117</v>
      </c>
    </row>
    <row r="22925">
      <c r="H22925" t="s">
        <v>5117</v>
      </c>
    </row>
    <row r="22926">
      <c r="H22926" t="s">
        <v>5117</v>
      </c>
    </row>
    <row r="22927">
      <c r="H22927" t="s">
        <v>5117</v>
      </c>
    </row>
    <row r="22928">
      <c r="H22928" t="s">
        <v>5117</v>
      </c>
    </row>
    <row r="22929">
      <c r="H22929" t="s">
        <v>5117</v>
      </c>
    </row>
    <row r="22930">
      <c r="H22930" t="s">
        <v>5117</v>
      </c>
    </row>
    <row r="22931">
      <c r="H22931" t="s">
        <v>5117</v>
      </c>
    </row>
    <row r="22932">
      <c r="H22932" t="s">
        <v>5117</v>
      </c>
    </row>
    <row r="22933">
      <c r="H22933" t="s">
        <v>5117</v>
      </c>
    </row>
    <row r="22934">
      <c r="H22934" t="s">
        <v>5117</v>
      </c>
    </row>
    <row r="22935">
      <c r="H22935" t="s">
        <v>5117</v>
      </c>
    </row>
    <row r="22936">
      <c r="H22936" t="s">
        <v>5117</v>
      </c>
    </row>
    <row r="22937">
      <c r="H22937" t="s">
        <v>5117</v>
      </c>
    </row>
    <row r="22938">
      <c r="H22938" t="s">
        <v>5117</v>
      </c>
    </row>
    <row r="22939">
      <c r="H22939" t="s">
        <v>5117</v>
      </c>
    </row>
    <row r="22940">
      <c r="H22940" t="s">
        <v>5117</v>
      </c>
    </row>
    <row r="22941">
      <c r="H22941" t="s">
        <v>5117</v>
      </c>
    </row>
    <row r="22942">
      <c r="H22942" t="s">
        <v>5117</v>
      </c>
    </row>
    <row r="22943">
      <c r="H22943" t="s">
        <v>5117</v>
      </c>
    </row>
    <row r="22944">
      <c r="H22944" t="s">
        <v>5117</v>
      </c>
    </row>
    <row r="22945">
      <c r="H22945" t="s">
        <v>5117</v>
      </c>
    </row>
    <row r="22946">
      <c r="H22946" t="s">
        <v>5117</v>
      </c>
    </row>
    <row r="22947">
      <c r="H22947" t="s">
        <v>5117</v>
      </c>
    </row>
    <row r="22948">
      <c r="H22948" t="s">
        <v>5117</v>
      </c>
    </row>
    <row r="22949">
      <c r="H22949" t="s">
        <v>5117</v>
      </c>
    </row>
    <row r="22950">
      <c r="H22950" t="s">
        <v>5117</v>
      </c>
    </row>
    <row r="22951">
      <c r="H22951" t="s">
        <v>5117</v>
      </c>
    </row>
    <row r="22952">
      <c r="H22952" t="s">
        <v>5117</v>
      </c>
    </row>
    <row r="22953">
      <c r="H22953" t="s">
        <v>5117</v>
      </c>
    </row>
    <row r="22954">
      <c r="H22954" t="s">
        <v>5117</v>
      </c>
    </row>
    <row r="22955">
      <c r="H22955" t="s">
        <v>5117</v>
      </c>
    </row>
    <row r="22956">
      <c r="H22956" t="s">
        <v>5117</v>
      </c>
    </row>
    <row r="22957">
      <c r="H22957" t="s">
        <v>5117</v>
      </c>
    </row>
    <row r="22958">
      <c r="H22958" t="s">
        <v>5117</v>
      </c>
    </row>
    <row r="22959">
      <c r="H22959" t="s">
        <v>5117</v>
      </c>
    </row>
    <row r="22960">
      <c r="H22960" t="s">
        <v>5117</v>
      </c>
    </row>
    <row r="22961">
      <c r="H22961" t="s">
        <v>5117</v>
      </c>
    </row>
    <row r="22962">
      <c r="H22962" t="s">
        <v>5117</v>
      </c>
    </row>
    <row r="22963">
      <c r="H22963" t="s">
        <v>5117</v>
      </c>
    </row>
    <row r="22964">
      <c r="H22964" t="s">
        <v>5117</v>
      </c>
    </row>
    <row r="22965">
      <c r="H22965" t="s">
        <v>5117</v>
      </c>
    </row>
    <row r="22966">
      <c r="H22966" t="s">
        <v>5117</v>
      </c>
    </row>
    <row r="22967">
      <c r="H22967" t="s">
        <v>5117</v>
      </c>
    </row>
    <row r="22968">
      <c r="H22968" t="s">
        <v>5117</v>
      </c>
    </row>
    <row r="22969">
      <c r="H22969" t="s">
        <v>5117</v>
      </c>
    </row>
    <row r="22970">
      <c r="H22970" t="s">
        <v>5117</v>
      </c>
    </row>
    <row r="22971">
      <c r="H22971" t="s">
        <v>5117</v>
      </c>
    </row>
    <row r="22972">
      <c r="H22972" t="s">
        <v>5117</v>
      </c>
    </row>
    <row r="22973">
      <c r="H22973" t="s">
        <v>5117</v>
      </c>
    </row>
    <row r="22974">
      <c r="H22974" t="s">
        <v>5117</v>
      </c>
    </row>
    <row r="22975">
      <c r="H22975" t="s">
        <v>5117</v>
      </c>
    </row>
    <row r="22976">
      <c r="H22976" t="s">
        <v>5117</v>
      </c>
    </row>
    <row r="22977">
      <c r="H22977" t="s">
        <v>5117</v>
      </c>
    </row>
    <row r="22978">
      <c r="H22978" t="s">
        <v>5117</v>
      </c>
    </row>
    <row r="22979">
      <c r="H22979" t="s">
        <v>5117</v>
      </c>
    </row>
    <row r="22980">
      <c r="H22980" t="s">
        <v>5117</v>
      </c>
    </row>
    <row r="22981">
      <c r="H22981" t="s">
        <v>5117</v>
      </c>
    </row>
    <row r="22982">
      <c r="H22982" t="s">
        <v>5117</v>
      </c>
    </row>
    <row r="22983">
      <c r="H22983" t="s">
        <v>5117</v>
      </c>
    </row>
    <row r="22984">
      <c r="H22984" t="s">
        <v>5117</v>
      </c>
    </row>
    <row r="22985">
      <c r="H22985" t="s">
        <v>5117</v>
      </c>
    </row>
    <row r="22986">
      <c r="H22986" t="s">
        <v>5117</v>
      </c>
    </row>
    <row r="22987">
      <c r="H22987" t="s">
        <v>5117</v>
      </c>
    </row>
    <row r="22988">
      <c r="H22988" t="s">
        <v>5117</v>
      </c>
    </row>
    <row r="22989">
      <c r="H22989" t="s">
        <v>5117</v>
      </c>
    </row>
    <row r="22990">
      <c r="H22990" t="s">
        <v>5117</v>
      </c>
    </row>
    <row r="22991">
      <c r="H22991" t="s">
        <v>5117</v>
      </c>
    </row>
    <row r="22992">
      <c r="H22992" t="s">
        <v>5117</v>
      </c>
    </row>
    <row r="22993">
      <c r="H22993" t="s">
        <v>5117</v>
      </c>
    </row>
    <row r="22994">
      <c r="H22994" t="s">
        <v>5117</v>
      </c>
    </row>
    <row r="22995">
      <c r="H22995" t="s">
        <v>5117</v>
      </c>
    </row>
    <row r="22996">
      <c r="H22996" t="s">
        <v>5117</v>
      </c>
    </row>
    <row r="22997">
      <c r="H22997" t="s">
        <v>5117</v>
      </c>
    </row>
    <row r="22998">
      <c r="H22998" t="s">
        <v>5117</v>
      </c>
    </row>
    <row r="22999">
      <c r="H22999" t="s">
        <v>5117</v>
      </c>
    </row>
    <row r="23000">
      <c r="H23000" t="s">
        <v>5117</v>
      </c>
    </row>
    <row r="23001">
      <c r="H23001" t="s">
        <v>5117</v>
      </c>
    </row>
    <row r="23002">
      <c r="H23002" t="s">
        <v>5117</v>
      </c>
    </row>
    <row r="23003">
      <c r="H23003" t="s">
        <v>5117</v>
      </c>
    </row>
    <row r="23004">
      <c r="H23004" t="s">
        <v>5117</v>
      </c>
    </row>
    <row r="23005">
      <c r="H23005" t="s">
        <v>5117</v>
      </c>
    </row>
    <row r="23006">
      <c r="H23006" t="s">
        <v>5117</v>
      </c>
    </row>
    <row r="23007">
      <c r="H23007" t="s">
        <v>5117</v>
      </c>
    </row>
    <row r="23008">
      <c r="H23008" t="s">
        <v>5117</v>
      </c>
    </row>
    <row r="23009">
      <c r="H23009" t="s">
        <v>5117</v>
      </c>
    </row>
    <row r="23010">
      <c r="H23010" t="s">
        <v>5117</v>
      </c>
    </row>
    <row r="23011">
      <c r="H23011" t="s">
        <v>5117</v>
      </c>
    </row>
    <row r="23012">
      <c r="H23012" t="s">
        <v>5117</v>
      </c>
    </row>
    <row r="23013">
      <c r="H23013" t="s">
        <v>5117</v>
      </c>
    </row>
    <row r="23014">
      <c r="H23014" t="s">
        <v>5117</v>
      </c>
    </row>
    <row r="23015">
      <c r="H23015" t="s">
        <v>5117</v>
      </c>
    </row>
    <row r="23016">
      <c r="H23016" t="s">
        <v>5117</v>
      </c>
    </row>
    <row r="23017">
      <c r="H23017" t="s">
        <v>5117</v>
      </c>
    </row>
    <row r="23018">
      <c r="H23018" t="s">
        <v>5117</v>
      </c>
    </row>
    <row r="23019">
      <c r="H23019" t="s">
        <v>5117</v>
      </c>
    </row>
    <row r="23020">
      <c r="H23020" t="s">
        <v>5117</v>
      </c>
    </row>
    <row r="23021">
      <c r="H23021" t="s">
        <v>5117</v>
      </c>
    </row>
    <row r="23022">
      <c r="H23022" t="s">
        <v>5117</v>
      </c>
    </row>
    <row r="23023">
      <c r="H23023" t="s">
        <v>5117</v>
      </c>
    </row>
    <row r="23024">
      <c r="H23024" t="s">
        <v>5117</v>
      </c>
    </row>
    <row r="23025">
      <c r="H23025" t="s">
        <v>5117</v>
      </c>
    </row>
    <row r="23026">
      <c r="H23026" t="s">
        <v>5117</v>
      </c>
    </row>
    <row r="23027">
      <c r="H23027" t="s">
        <v>5117</v>
      </c>
    </row>
    <row r="23028">
      <c r="H23028" t="s">
        <v>5117</v>
      </c>
    </row>
    <row r="23029">
      <c r="H23029" t="s">
        <v>5117</v>
      </c>
    </row>
    <row r="23030">
      <c r="H23030" t="s">
        <v>5117</v>
      </c>
    </row>
    <row r="23031">
      <c r="H23031" t="s">
        <v>5117</v>
      </c>
    </row>
    <row r="23032">
      <c r="H23032" t="s">
        <v>5117</v>
      </c>
    </row>
    <row r="23033">
      <c r="H23033" t="s">
        <v>5117</v>
      </c>
    </row>
    <row r="23034">
      <c r="H23034" t="s">
        <v>5117</v>
      </c>
    </row>
    <row r="23035">
      <c r="H23035" t="s">
        <v>5117</v>
      </c>
    </row>
    <row r="23036">
      <c r="H23036" t="s">
        <v>5117</v>
      </c>
    </row>
    <row r="23037">
      <c r="H23037" t="s">
        <v>5117</v>
      </c>
    </row>
    <row r="23038">
      <c r="H23038" t="s">
        <v>5117</v>
      </c>
    </row>
    <row r="23039">
      <c r="H23039" t="s">
        <v>5117</v>
      </c>
    </row>
    <row r="23040">
      <c r="H23040" t="s">
        <v>5117</v>
      </c>
    </row>
    <row r="23041">
      <c r="H23041" t="s">
        <v>5117</v>
      </c>
    </row>
    <row r="23042">
      <c r="H23042" t="s">
        <v>5117</v>
      </c>
    </row>
    <row r="23043">
      <c r="H23043" t="s">
        <v>5117</v>
      </c>
    </row>
    <row r="23044">
      <c r="H23044" t="s">
        <v>5117</v>
      </c>
    </row>
    <row r="23045">
      <c r="H23045" t="s">
        <v>5117</v>
      </c>
    </row>
    <row r="23046">
      <c r="H23046" t="s">
        <v>5117</v>
      </c>
    </row>
    <row r="23047">
      <c r="H23047" t="s">
        <v>5117</v>
      </c>
    </row>
    <row r="23048">
      <c r="H23048" t="s">
        <v>5117</v>
      </c>
    </row>
    <row r="23049">
      <c r="H23049" t="s">
        <v>5117</v>
      </c>
    </row>
    <row r="23050">
      <c r="H23050" t="s">
        <v>5117</v>
      </c>
    </row>
    <row r="23051">
      <c r="H23051" t="s">
        <v>5117</v>
      </c>
    </row>
    <row r="23052">
      <c r="H23052" t="s">
        <v>5117</v>
      </c>
    </row>
    <row r="23053">
      <c r="H23053" t="s">
        <v>5117</v>
      </c>
    </row>
    <row r="23054">
      <c r="H23054" t="s">
        <v>5117</v>
      </c>
    </row>
    <row r="23055">
      <c r="H23055" t="s">
        <v>5117</v>
      </c>
    </row>
    <row r="23056">
      <c r="H23056" t="s">
        <v>5117</v>
      </c>
    </row>
    <row r="23057">
      <c r="H23057" t="s">
        <v>5117</v>
      </c>
    </row>
    <row r="23058">
      <c r="H23058" t="s">
        <v>5117</v>
      </c>
    </row>
    <row r="23059">
      <c r="H23059" t="s">
        <v>5117</v>
      </c>
    </row>
    <row r="23060">
      <c r="H23060" t="s">
        <v>5117</v>
      </c>
    </row>
    <row r="23061">
      <c r="H23061" t="s">
        <v>5117</v>
      </c>
    </row>
    <row r="23062">
      <c r="H23062" t="s">
        <v>5117</v>
      </c>
    </row>
    <row r="23063">
      <c r="H23063" t="s">
        <v>5117</v>
      </c>
    </row>
    <row r="23064">
      <c r="H23064" t="s">
        <v>5117</v>
      </c>
    </row>
    <row r="23065">
      <c r="H23065" t="s">
        <v>5117</v>
      </c>
    </row>
    <row r="23066">
      <c r="H23066" t="s">
        <v>5117</v>
      </c>
    </row>
    <row r="23067">
      <c r="H23067" t="s">
        <v>5117</v>
      </c>
    </row>
    <row r="23068">
      <c r="H23068" t="s">
        <v>5117</v>
      </c>
    </row>
    <row r="23069">
      <c r="H23069" t="s">
        <v>5117</v>
      </c>
    </row>
    <row r="23070">
      <c r="H23070" t="s">
        <v>5117</v>
      </c>
    </row>
    <row r="23071">
      <c r="H23071" t="s">
        <v>5117</v>
      </c>
    </row>
    <row r="23072">
      <c r="H23072" t="s">
        <v>5117</v>
      </c>
    </row>
    <row r="23073">
      <c r="H23073" t="s">
        <v>5117</v>
      </c>
    </row>
    <row r="23074">
      <c r="H23074" t="s">
        <v>5117</v>
      </c>
    </row>
    <row r="23075">
      <c r="H23075" t="s">
        <v>5117</v>
      </c>
    </row>
    <row r="23076">
      <c r="H23076" t="s">
        <v>5117</v>
      </c>
    </row>
    <row r="23077">
      <c r="H23077" t="s">
        <v>5117</v>
      </c>
    </row>
    <row r="23078">
      <c r="H23078" t="s">
        <v>5117</v>
      </c>
    </row>
    <row r="23079">
      <c r="H23079" t="s">
        <v>5117</v>
      </c>
    </row>
    <row r="23080">
      <c r="H23080" t="s">
        <v>5117</v>
      </c>
    </row>
    <row r="23081">
      <c r="H23081" t="s">
        <v>5117</v>
      </c>
    </row>
    <row r="23082">
      <c r="H23082" t="s">
        <v>5117</v>
      </c>
    </row>
    <row r="23083">
      <c r="H23083" t="s">
        <v>5117</v>
      </c>
    </row>
    <row r="23084">
      <c r="H23084" t="s">
        <v>5117</v>
      </c>
    </row>
    <row r="23085">
      <c r="H23085" t="s">
        <v>5117</v>
      </c>
    </row>
    <row r="23086">
      <c r="H23086" t="s">
        <v>5117</v>
      </c>
    </row>
    <row r="23087">
      <c r="H23087" t="s">
        <v>5117</v>
      </c>
    </row>
    <row r="23088">
      <c r="H23088" t="s">
        <v>5117</v>
      </c>
    </row>
    <row r="23089">
      <c r="H23089" t="s">
        <v>5117</v>
      </c>
    </row>
    <row r="23090">
      <c r="H23090" t="s">
        <v>5117</v>
      </c>
    </row>
    <row r="23091">
      <c r="H23091" t="s">
        <v>5117</v>
      </c>
    </row>
    <row r="23092">
      <c r="H23092" t="s">
        <v>5117</v>
      </c>
    </row>
    <row r="23093">
      <c r="H23093" t="s">
        <v>5117</v>
      </c>
    </row>
    <row r="23094">
      <c r="H23094" t="s">
        <v>5117</v>
      </c>
    </row>
    <row r="23095">
      <c r="H23095" t="s">
        <v>5117</v>
      </c>
    </row>
    <row r="23096">
      <c r="H23096" t="s">
        <v>5117</v>
      </c>
    </row>
    <row r="23097">
      <c r="H23097" t="s">
        <v>5117</v>
      </c>
    </row>
    <row r="23098">
      <c r="H23098" t="s">
        <v>5117</v>
      </c>
    </row>
    <row r="23099">
      <c r="H23099" t="s">
        <v>5117</v>
      </c>
    </row>
    <row r="23100">
      <c r="H23100" t="s">
        <v>5117</v>
      </c>
    </row>
    <row r="23101">
      <c r="H23101" t="s">
        <v>5117</v>
      </c>
    </row>
    <row r="23102">
      <c r="H23102" t="s">
        <v>5117</v>
      </c>
    </row>
    <row r="23103">
      <c r="H23103" t="s">
        <v>5117</v>
      </c>
    </row>
    <row r="23104">
      <c r="H23104" t="s">
        <v>5117</v>
      </c>
    </row>
    <row r="23105">
      <c r="H23105" t="s">
        <v>5117</v>
      </c>
    </row>
    <row r="23106">
      <c r="H23106" t="s">
        <v>5117</v>
      </c>
    </row>
    <row r="23107">
      <c r="H23107" t="s">
        <v>5117</v>
      </c>
    </row>
    <row r="23108">
      <c r="H23108" t="s">
        <v>5117</v>
      </c>
    </row>
    <row r="23109">
      <c r="H23109" t="s">
        <v>5117</v>
      </c>
    </row>
    <row r="23110">
      <c r="H23110" t="s">
        <v>5117</v>
      </c>
    </row>
    <row r="23111">
      <c r="H23111" t="s">
        <v>5117</v>
      </c>
    </row>
    <row r="23112">
      <c r="H23112" t="s">
        <v>5117</v>
      </c>
    </row>
    <row r="23113">
      <c r="H23113" t="s">
        <v>5117</v>
      </c>
    </row>
    <row r="23114">
      <c r="H23114" t="s">
        <v>5117</v>
      </c>
    </row>
    <row r="23115">
      <c r="H23115" t="s">
        <v>5117</v>
      </c>
    </row>
    <row r="23116">
      <c r="H23116" t="s">
        <v>5117</v>
      </c>
    </row>
    <row r="23117">
      <c r="H23117" t="s">
        <v>5117</v>
      </c>
    </row>
    <row r="23118">
      <c r="H23118" t="s">
        <v>5117</v>
      </c>
    </row>
    <row r="23119">
      <c r="H23119" t="s">
        <v>5117</v>
      </c>
    </row>
    <row r="23120">
      <c r="H23120" t="s">
        <v>5117</v>
      </c>
    </row>
    <row r="23121">
      <c r="H23121" t="s">
        <v>5117</v>
      </c>
    </row>
    <row r="23122">
      <c r="H23122" t="s">
        <v>5117</v>
      </c>
    </row>
    <row r="23123">
      <c r="H23123" t="s">
        <v>5117</v>
      </c>
    </row>
    <row r="23124">
      <c r="H23124" t="s">
        <v>5117</v>
      </c>
    </row>
    <row r="23125">
      <c r="H23125" t="s">
        <v>5117</v>
      </c>
    </row>
    <row r="23126">
      <c r="H23126" t="s">
        <v>5117</v>
      </c>
    </row>
    <row r="23127">
      <c r="H23127" t="s">
        <v>5117</v>
      </c>
    </row>
    <row r="23128">
      <c r="H23128" t="s">
        <v>5117</v>
      </c>
    </row>
    <row r="23129">
      <c r="H23129" t="s">
        <v>5117</v>
      </c>
    </row>
    <row r="23130">
      <c r="H23130" t="s">
        <v>5117</v>
      </c>
    </row>
    <row r="23131">
      <c r="H23131" t="s">
        <v>5117</v>
      </c>
    </row>
    <row r="23132">
      <c r="H23132" t="s">
        <v>5117</v>
      </c>
    </row>
    <row r="23133">
      <c r="H23133" t="s">
        <v>5117</v>
      </c>
    </row>
    <row r="23134">
      <c r="H23134" t="s">
        <v>5117</v>
      </c>
    </row>
    <row r="23135">
      <c r="H23135" t="s">
        <v>5117</v>
      </c>
    </row>
    <row r="23136">
      <c r="H23136" t="s">
        <v>5117</v>
      </c>
    </row>
    <row r="23137">
      <c r="H23137" t="s">
        <v>5117</v>
      </c>
    </row>
    <row r="23138">
      <c r="H23138" t="s">
        <v>5117</v>
      </c>
    </row>
    <row r="23139">
      <c r="H23139" t="s">
        <v>5117</v>
      </c>
    </row>
    <row r="23140">
      <c r="H23140" t="s">
        <v>5117</v>
      </c>
    </row>
    <row r="23141">
      <c r="H23141" t="s">
        <v>5117</v>
      </c>
    </row>
    <row r="23142">
      <c r="H23142" t="s">
        <v>5117</v>
      </c>
    </row>
    <row r="23143">
      <c r="H23143" t="s">
        <v>5117</v>
      </c>
    </row>
    <row r="23144">
      <c r="H23144" t="s">
        <v>5117</v>
      </c>
    </row>
    <row r="23145">
      <c r="H23145" t="s">
        <v>5117</v>
      </c>
    </row>
    <row r="23146">
      <c r="H23146" t="s">
        <v>5117</v>
      </c>
    </row>
    <row r="23147">
      <c r="H23147" t="s">
        <v>5117</v>
      </c>
    </row>
    <row r="23148">
      <c r="H23148" t="s">
        <v>5117</v>
      </c>
    </row>
    <row r="23149">
      <c r="H23149" t="s">
        <v>5117</v>
      </c>
    </row>
    <row r="23150">
      <c r="H23150" t="s">
        <v>5117</v>
      </c>
    </row>
    <row r="23151">
      <c r="H23151" t="s">
        <v>5117</v>
      </c>
    </row>
    <row r="23152">
      <c r="H23152" t="s">
        <v>5117</v>
      </c>
    </row>
    <row r="23153">
      <c r="H23153" t="s">
        <v>5117</v>
      </c>
    </row>
    <row r="23154">
      <c r="H23154" t="s">
        <v>5117</v>
      </c>
    </row>
    <row r="23155">
      <c r="H23155" t="s">
        <v>5117</v>
      </c>
    </row>
    <row r="23156">
      <c r="H23156" t="s">
        <v>5117</v>
      </c>
    </row>
    <row r="23157">
      <c r="H23157" t="s">
        <v>5117</v>
      </c>
    </row>
    <row r="23158">
      <c r="H23158" t="s">
        <v>5117</v>
      </c>
    </row>
    <row r="23159">
      <c r="H23159" t="s">
        <v>5117</v>
      </c>
    </row>
    <row r="23160">
      <c r="H23160" t="s">
        <v>5117</v>
      </c>
    </row>
    <row r="23161">
      <c r="H23161" t="s">
        <v>5117</v>
      </c>
    </row>
    <row r="23162">
      <c r="H23162" t="s">
        <v>5117</v>
      </c>
    </row>
    <row r="23163">
      <c r="H23163" t="s">
        <v>5117</v>
      </c>
    </row>
    <row r="23164">
      <c r="H23164" t="s">
        <v>5117</v>
      </c>
    </row>
    <row r="23165">
      <c r="H23165" t="s">
        <v>5117</v>
      </c>
    </row>
    <row r="23166">
      <c r="H23166" t="s">
        <v>5117</v>
      </c>
    </row>
    <row r="23167">
      <c r="H23167" t="s">
        <v>5117</v>
      </c>
    </row>
    <row r="23168">
      <c r="H23168" t="s">
        <v>5117</v>
      </c>
    </row>
    <row r="23169">
      <c r="H23169" t="s">
        <v>5117</v>
      </c>
    </row>
    <row r="23170">
      <c r="H23170" t="s">
        <v>5117</v>
      </c>
    </row>
    <row r="23171">
      <c r="H23171" t="s">
        <v>5117</v>
      </c>
    </row>
    <row r="23172">
      <c r="H23172" t="s">
        <v>5117</v>
      </c>
    </row>
    <row r="23173">
      <c r="H23173" t="s">
        <v>5117</v>
      </c>
    </row>
    <row r="23174">
      <c r="H23174" t="s">
        <v>5117</v>
      </c>
    </row>
    <row r="23175">
      <c r="H23175" t="s">
        <v>5117</v>
      </c>
    </row>
    <row r="23176">
      <c r="H23176" t="s">
        <v>5117</v>
      </c>
    </row>
    <row r="23177">
      <c r="H23177" t="s">
        <v>5117</v>
      </c>
    </row>
    <row r="23178">
      <c r="H23178" t="s">
        <v>5117</v>
      </c>
    </row>
    <row r="23179">
      <c r="H23179" t="s">
        <v>5117</v>
      </c>
    </row>
    <row r="23180">
      <c r="H23180" t="s">
        <v>5117</v>
      </c>
    </row>
    <row r="23181">
      <c r="H23181" t="s">
        <v>5117</v>
      </c>
    </row>
    <row r="23182">
      <c r="H23182" t="s">
        <v>5117</v>
      </c>
    </row>
    <row r="23183">
      <c r="H23183" t="s">
        <v>5117</v>
      </c>
    </row>
    <row r="23184">
      <c r="H23184" t="s">
        <v>5117</v>
      </c>
    </row>
    <row r="23185">
      <c r="H23185" t="s">
        <v>5117</v>
      </c>
    </row>
    <row r="23186">
      <c r="H23186" t="s">
        <v>5117</v>
      </c>
    </row>
    <row r="23187">
      <c r="H23187" t="s">
        <v>5117</v>
      </c>
    </row>
    <row r="23188">
      <c r="H23188" t="s">
        <v>5117</v>
      </c>
    </row>
    <row r="23189">
      <c r="H23189" t="s">
        <v>5117</v>
      </c>
    </row>
    <row r="23190">
      <c r="H23190" t="s">
        <v>5117</v>
      </c>
    </row>
    <row r="23191">
      <c r="H23191" t="s">
        <v>5117</v>
      </c>
    </row>
    <row r="23192">
      <c r="H23192" t="s">
        <v>5117</v>
      </c>
    </row>
    <row r="23193">
      <c r="H23193" t="s">
        <v>5117</v>
      </c>
    </row>
    <row r="23194">
      <c r="H23194" t="s">
        <v>5117</v>
      </c>
    </row>
    <row r="23195">
      <c r="H23195" t="s">
        <v>5117</v>
      </c>
    </row>
    <row r="23196">
      <c r="H23196" t="s">
        <v>5117</v>
      </c>
    </row>
    <row r="23197">
      <c r="H23197" t="s">
        <v>5117</v>
      </c>
    </row>
    <row r="23198">
      <c r="H23198" t="s">
        <v>5117</v>
      </c>
    </row>
    <row r="23199">
      <c r="H23199" t="s">
        <v>5117</v>
      </c>
    </row>
    <row r="23200">
      <c r="H23200" t="s">
        <v>5117</v>
      </c>
    </row>
    <row r="23201">
      <c r="H23201" t="s">
        <v>5117</v>
      </c>
    </row>
    <row r="23202">
      <c r="H23202" t="s">
        <v>5117</v>
      </c>
    </row>
    <row r="23203">
      <c r="H23203" t="s">
        <v>5117</v>
      </c>
    </row>
    <row r="23204">
      <c r="H23204" t="s">
        <v>5117</v>
      </c>
    </row>
    <row r="23205">
      <c r="H23205" t="s">
        <v>5117</v>
      </c>
    </row>
    <row r="23206">
      <c r="H23206" t="s">
        <v>5117</v>
      </c>
    </row>
    <row r="23207">
      <c r="H23207" t="s">
        <v>5117</v>
      </c>
    </row>
    <row r="23208">
      <c r="H23208" t="s">
        <v>5117</v>
      </c>
    </row>
    <row r="23209">
      <c r="H23209" t="s">
        <v>5117</v>
      </c>
    </row>
    <row r="23210">
      <c r="H23210" t="s">
        <v>5117</v>
      </c>
    </row>
    <row r="23211">
      <c r="H23211" t="s">
        <v>5117</v>
      </c>
    </row>
    <row r="23212">
      <c r="H23212" t="s">
        <v>5117</v>
      </c>
    </row>
    <row r="23213">
      <c r="H23213" t="s">
        <v>5117</v>
      </c>
    </row>
    <row r="23214">
      <c r="H23214" t="s">
        <v>5117</v>
      </c>
    </row>
    <row r="23215">
      <c r="H23215" t="s">
        <v>5117</v>
      </c>
    </row>
    <row r="23216">
      <c r="H23216" t="s">
        <v>5117</v>
      </c>
    </row>
    <row r="23217">
      <c r="H23217" t="s">
        <v>5117</v>
      </c>
    </row>
    <row r="23218">
      <c r="H23218" t="s">
        <v>5117</v>
      </c>
    </row>
    <row r="23219">
      <c r="H23219" t="s">
        <v>5117</v>
      </c>
    </row>
    <row r="23220">
      <c r="H23220" t="s">
        <v>5117</v>
      </c>
    </row>
    <row r="23221">
      <c r="H23221" t="s">
        <v>5117</v>
      </c>
    </row>
    <row r="23222">
      <c r="H23222" t="s">
        <v>5117</v>
      </c>
    </row>
    <row r="23223">
      <c r="H23223" t="s">
        <v>5117</v>
      </c>
    </row>
    <row r="23224">
      <c r="H23224" t="s">
        <v>5117</v>
      </c>
    </row>
    <row r="23225">
      <c r="H23225" t="s">
        <v>5117</v>
      </c>
    </row>
    <row r="23226">
      <c r="H23226" t="s">
        <v>5117</v>
      </c>
    </row>
    <row r="23227">
      <c r="H23227" t="s">
        <v>5117</v>
      </c>
    </row>
    <row r="23228">
      <c r="H23228" t="s">
        <v>5117</v>
      </c>
    </row>
    <row r="23229">
      <c r="H23229" t="s">
        <v>5117</v>
      </c>
    </row>
    <row r="23230">
      <c r="H23230" t="s">
        <v>5117</v>
      </c>
    </row>
    <row r="23231">
      <c r="H23231" t="s">
        <v>5117</v>
      </c>
    </row>
    <row r="23232">
      <c r="H23232" t="s">
        <v>5117</v>
      </c>
    </row>
    <row r="23233">
      <c r="H23233" t="s">
        <v>5117</v>
      </c>
    </row>
    <row r="23234">
      <c r="H23234" t="s">
        <v>5117</v>
      </c>
    </row>
    <row r="23235">
      <c r="H23235" t="s">
        <v>5117</v>
      </c>
    </row>
    <row r="23236">
      <c r="H23236" t="s">
        <v>5117</v>
      </c>
    </row>
    <row r="23237">
      <c r="H23237" t="s">
        <v>5117</v>
      </c>
    </row>
    <row r="23238">
      <c r="H23238" t="s">
        <v>5117</v>
      </c>
    </row>
    <row r="23239">
      <c r="H23239" t="s">
        <v>5117</v>
      </c>
    </row>
    <row r="23240">
      <c r="H23240" t="s">
        <v>5117</v>
      </c>
    </row>
    <row r="23241">
      <c r="H23241" t="s">
        <v>5117</v>
      </c>
    </row>
    <row r="23242">
      <c r="H23242" t="s">
        <v>5117</v>
      </c>
    </row>
    <row r="23243">
      <c r="H23243" t="s">
        <v>5117</v>
      </c>
    </row>
    <row r="23244">
      <c r="H23244" t="s">
        <v>5117</v>
      </c>
    </row>
    <row r="23245">
      <c r="H23245" t="s">
        <v>5117</v>
      </c>
    </row>
    <row r="23246">
      <c r="H23246" t="s">
        <v>5117</v>
      </c>
    </row>
    <row r="23247">
      <c r="H23247" t="s">
        <v>5117</v>
      </c>
    </row>
    <row r="23248">
      <c r="H23248" t="s">
        <v>5117</v>
      </c>
    </row>
    <row r="23249">
      <c r="H23249" t="s">
        <v>5117</v>
      </c>
    </row>
    <row r="23250">
      <c r="H23250" t="s">
        <v>5117</v>
      </c>
    </row>
    <row r="23251">
      <c r="H23251" t="s">
        <v>5117</v>
      </c>
    </row>
    <row r="23252">
      <c r="H23252" t="s">
        <v>5117</v>
      </c>
    </row>
    <row r="23253">
      <c r="H23253" t="s">
        <v>5117</v>
      </c>
    </row>
    <row r="23254">
      <c r="H23254" t="s">
        <v>5117</v>
      </c>
    </row>
    <row r="23255">
      <c r="H23255" t="s">
        <v>5117</v>
      </c>
    </row>
    <row r="23256">
      <c r="H23256" t="s">
        <v>5117</v>
      </c>
    </row>
    <row r="23257">
      <c r="H23257" t="s">
        <v>5117</v>
      </c>
    </row>
    <row r="23258">
      <c r="H23258" t="s">
        <v>5117</v>
      </c>
    </row>
    <row r="23259">
      <c r="H23259" t="s">
        <v>5117</v>
      </c>
    </row>
    <row r="23260">
      <c r="H23260" t="s">
        <v>5117</v>
      </c>
    </row>
    <row r="23261">
      <c r="H23261" t="s">
        <v>5117</v>
      </c>
    </row>
    <row r="23262">
      <c r="H23262" t="s">
        <v>5117</v>
      </c>
    </row>
    <row r="23263">
      <c r="H23263" t="s">
        <v>5117</v>
      </c>
    </row>
    <row r="23264">
      <c r="H23264" t="s">
        <v>5117</v>
      </c>
    </row>
    <row r="23265">
      <c r="H23265" t="s">
        <v>5117</v>
      </c>
    </row>
    <row r="23266">
      <c r="H23266" t="s">
        <v>5117</v>
      </c>
    </row>
    <row r="23267">
      <c r="H23267" t="s">
        <v>5117</v>
      </c>
    </row>
    <row r="23268">
      <c r="H23268" t="s">
        <v>5117</v>
      </c>
    </row>
    <row r="23269">
      <c r="H23269" t="s">
        <v>5117</v>
      </c>
    </row>
    <row r="23270">
      <c r="H23270" t="s">
        <v>5117</v>
      </c>
    </row>
    <row r="23271">
      <c r="H23271" t="s">
        <v>5117</v>
      </c>
    </row>
    <row r="23272">
      <c r="H23272" t="s">
        <v>5117</v>
      </c>
    </row>
    <row r="23273">
      <c r="H23273" t="s">
        <v>5117</v>
      </c>
    </row>
    <row r="23274">
      <c r="H23274" t="s">
        <v>5117</v>
      </c>
    </row>
    <row r="23275">
      <c r="H23275" t="s">
        <v>5117</v>
      </c>
    </row>
    <row r="23276">
      <c r="H23276" t="s">
        <v>5117</v>
      </c>
    </row>
    <row r="23277">
      <c r="H23277" t="s">
        <v>5117</v>
      </c>
    </row>
    <row r="23278">
      <c r="H23278" t="s">
        <v>5117</v>
      </c>
    </row>
    <row r="23279">
      <c r="H23279" t="s">
        <v>5117</v>
      </c>
    </row>
    <row r="23280">
      <c r="H23280" t="s">
        <v>5117</v>
      </c>
    </row>
    <row r="23281">
      <c r="H23281" t="s">
        <v>5117</v>
      </c>
    </row>
    <row r="23282">
      <c r="H23282" t="s">
        <v>5117</v>
      </c>
    </row>
    <row r="23283">
      <c r="H23283" t="s">
        <v>5117</v>
      </c>
    </row>
    <row r="23284">
      <c r="H23284" t="s">
        <v>5117</v>
      </c>
    </row>
    <row r="23285">
      <c r="H23285" t="s">
        <v>5117</v>
      </c>
    </row>
    <row r="23286">
      <c r="H23286" t="s">
        <v>5117</v>
      </c>
    </row>
    <row r="23287">
      <c r="H23287" t="s">
        <v>5117</v>
      </c>
    </row>
    <row r="23288">
      <c r="H23288" t="s">
        <v>5117</v>
      </c>
    </row>
    <row r="23289">
      <c r="H23289" t="s">
        <v>5117</v>
      </c>
    </row>
    <row r="23290">
      <c r="H23290" t="s">
        <v>5117</v>
      </c>
    </row>
    <row r="23291">
      <c r="H23291" t="s">
        <v>5117</v>
      </c>
    </row>
    <row r="23292">
      <c r="H23292" t="s">
        <v>5117</v>
      </c>
    </row>
    <row r="23293">
      <c r="H23293" t="s">
        <v>5117</v>
      </c>
    </row>
    <row r="23294">
      <c r="H23294" t="s">
        <v>5117</v>
      </c>
    </row>
    <row r="23295">
      <c r="H23295" t="s">
        <v>5117</v>
      </c>
    </row>
    <row r="23296">
      <c r="H23296" t="s">
        <v>5117</v>
      </c>
    </row>
    <row r="23297">
      <c r="H23297" t="s">
        <v>5117</v>
      </c>
    </row>
    <row r="23298">
      <c r="H23298" t="s">
        <v>5117</v>
      </c>
    </row>
    <row r="23299">
      <c r="H23299" t="s">
        <v>5117</v>
      </c>
    </row>
    <row r="23300">
      <c r="H23300" t="s">
        <v>5117</v>
      </c>
    </row>
    <row r="23301">
      <c r="H23301" t="s">
        <v>5117</v>
      </c>
    </row>
    <row r="23302">
      <c r="H23302" t="s">
        <v>5117</v>
      </c>
    </row>
    <row r="23303">
      <c r="H23303" t="s">
        <v>5117</v>
      </c>
    </row>
    <row r="23304">
      <c r="H23304" t="s">
        <v>5117</v>
      </c>
    </row>
    <row r="23305">
      <c r="H23305" t="s">
        <v>5117</v>
      </c>
    </row>
    <row r="23306">
      <c r="H23306" t="s">
        <v>5117</v>
      </c>
    </row>
    <row r="23307">
      <c r="H23307" t="s">
        <v>5117</v>
      </c>
    </row>
    <row r="23308">
      <c r="H23308" t="s">
        <v>5117</v>
      </c>
    </row>
    <row r="23309">
      <c r="H23309" t="s">
        <v>5117</v>
      </c>
    </row>
    <row r="23310">
      <c r="H23310" t="s">
        <v>5117</v>
      </c>
    </row>
    <row r="23311">
      <c r="H23311" t="s">
        <v>5117</v>
      </c>
    </row>
    <row r="23312">
      <c r="H23312" t="s">
        <v>5117</v>
      </c>
    </row>
    <row r="23313">
      <c r="H23313" t="s">
        <v>5117</v>
      </c>
    </row>
    <row r="23314">
      <c r="H23314" t="s">
        <v>5117</v>
      </c>
    </row>
    <row r="23315">
      <c r="H23315" t="s">
        <v>5117</v>
      </c>
    </row>
    <row r="23316">
      <c r="H23316" t="s">
        <v>5117</v>
      </c>
    </row>
    <row r="23317">
      <c r="H23317" t="s">
        <v>5117</v>
      </c>
    </row>
    <row r="23318">
      <c r="H23318" t="s">
        <v>5117</v>
      </c>
    </row>
    <row r="23319">
      <c r="H23319" t="s">
        <v>5117</v>
      </c>
    </row>
    <row r="23320">
      <c r="H23320" t="s">
        <v>5117</v>
      </c>
    </row>
    <row r="23321">
      <c r="H23321" t="s">
        <v>5117</v>
      </c>
    </row>
    <row r="23322">
      <c r="H23322" t="s">
        <v>5117</v>
      </c>
    </row>
    <row r="23323">
      <c r="H23323" t="s">
        <v>5117</v>
      </c>
    </row>
    <row r="23324">
      <c r="H23324" t="s">
        <v>5117</v>
      </c>
    </row>
    <row r="23325">
      <c r="H23325" t="s">
        <v>5117</v>
      </c>
    </row>
    <row r="23326">
      <c r="H23326" t="s">
        <v>5117</v>
      </c>
    </row>
    <row r="23327">
      <c r="H23327" t="s">
        <v>5117</v>
      </c>
    </row>
    <row r="23328">
      <c r="H23328" t="s">
        <v>5117</v>
      </c>
    </row>
    <row r="23329">
      <c r="H23329" t="s">
        <v>5117</v>
      </c>
    </row>
    <row r="23330">
      <c r="H23330" t="s">
        <v>5117</v>
      </c>
    </row>
    <row r="23331">
      <c r="H23331" t="s">
        <v>5117</v>
      </c>
    </row>
    <row r="23332">
      <c r="H23332" t="s">
        <v>5117</v>
      </c>
    </row>
    <row r="23333">
      <c r="H23333" t="s">
        <v>5117</v>
      </c>
    </row>
    <row r="23334">
      <c r="H23334" t="s">
        <v>5117</v>
      </c>
    </row>
    <row r="23335">
      <c r="H23335" t="s">
        <v>5117</v>
      </c>
    </row>
    <row r="23336">
      <c r="H23336" t="s">
        <v>5117</v>
      </c>
    </row>
    <row r="23337">
      <c r="H23337" t="s">
        <v>5117</v>
      </c>
    </row>
    <row r="23338">
      <c r="H23338" t="s">
        <v>5117</v>
      </c>
    </row>
    <row r="23339">
      <c r="H23339" t="s">
        <v>5117</v>
      </c>
    </row>
    <row r="23340">
      <c r="H23340" t="s">
        <v>5117</v>
      </c>
    </row>
    <row r="23341">
      <c r="H23341" t="s">
        <v>5117</v>
      </c>
    </row>
    <row r="23342">
      <c r="H23342" t="s">
        <v>5117</v>
      </c>
    </row>
    <row r="23343">
      <c r="H23343" t="s">
        <v>5117</v>
      </c>
    </row>
    <row r="23344">
      <c r="H23344" t="s">
        <v>5117</v>
      </c>
    </row>
    <row r="23345">
      <c r="H23345" t="s">
        <v>5117</v>
      </c>
    </row>
    <row r="23346">
      <c r="H23346" t="s">
        <v>5117</v>
      </c>
    </row>
    <row r="23347">
      <c r="H23347" t="s">
        <v>5117</v>
      </c>
    </row>
    <row r="23348">
      <c r="H23348" t="s">
        <v>5117</v>
      </c>
    </row>
    <row r="23349">
      <c r="H23349" t="s">
        <v>5117</v>
      </c>
    </row>
    <row r="23350">
      <c r="H23350" t="s">
        <v>5117</v>
      </c>
    </row>
    <row r="23351">
      <c r="H23351" t="s">
        <v>5117</v>
      </c>
    </row>
    <row r="23352">
      <c r="H23352" t="s">
        <v>5117</v>
      </c>
    </row>
    <row r="23353">
      <c r="H23353" t="s">
        <v>5117</v>
      </c>
    </row>
    <row r="23354">
      <c r="H23354" t="s">
        <v>5117</v>
      </c>
    </row>
    <row r="23355">
      <c r="H23355" t="s">
        <v>5117</v>
      </c>
    </row>
    <row r="23356">
      <c r="H23356" t="s">
        <v>5117</v>
      </c>
    </row>
    <row r="23357">
      <c r="H23357" t="s">
        <v>5117</v>
      </c>
    </row>
    <row r="23358">
      <c r="H23358" t="s">
        <v>5117</v>
      </c>
    </row>
    <row r="23359">
      <c r="H23359" t="s">
        <v>5117</v>
      </c>
    </row>
    <row r="23360">
      <c r="H23360" t="s">
        <v>5117</v>
      </c>
    </row>
    <row r="23361">
      <c r="H23361" t="s">
        <v>5117</v>
      </c>
    </row>
    <row r="23362">
      <c r="H23362" t="s">
        <v>5117</v>
      </c>
    </row>
    <row r="23363">
      <c r="H23363" t="s">
        <v>5117</v>
      </c>
    </row>
    <row r="23364">
      <c r="H23364" t="s">
        <v>5117</v>
      </c>
    </row>
    <row r="23365">
      <c r="H23365" t="s">
        <v>5117</v>
      </c>
    </row>
    <row r="23366">
      <c r="H23366" t="s">
        <v>5117</v>
      </c>
    </row>
    <row r="23367">
      <c r="H23367" t="s">
        <v>5117</v>
      </c>
    </row>
    <row r="23368">
      <c r="H23368" t="s">
        <v>5117</v>
      </c>
    </row>
    <row r="23369">
      <c r="H23369" t="s">
        <v>5117</v>
      </c>
    </row>
    <row r="23370">
      <c r="H23370" t="s">
        <v>5117</v>
      </c>
    </row>
    <row r="23371">
      <c r="H23371" t="s">
        <v>5117</v>
      </c>
    </row>
    <row r="23372">
      <c r="H23372" t="s">
        <v>5117</v>
      </c>
    </row>
    <row r="23373">
      <c r="H23373" t="s">
        <v>5117</v>
      </c>
    </row>
    <row r="23374">
      <c r="H23374" t="s">
        <v>5117</v>
      </c>
    </row>
    <row r="23375">
      <c r="H23375" t="s">
        <v>5117</v>
      </c>
    </row>
    <row r="23376">
      <c r="H23376" t="s">
        <v>5117</v>
      </c>
    </row>
    <row r="23377">
      <c r="H23377" t="s">
        <v>5117</v>
      </c>
    </row>
    <row r="23378">
      <c r="H23378" t="s">
        <v>5117</v>
      </c>
    </row>
    <row r="23379">
      <c r="H23379" t="s">
        <v>5117</v>
      </c>
    </row>
    <row r="23380">
      <c r="H23380" t="s">
        <v>5117</v>
      </c>
    </row>
    <row r="23381">
      <c r="H23381" t="s">
        <v>5117</v>
      </c>
    </row>
    <row r="23382">
      <c r="H23382" t="s">
        <v>5117</v>
      </c>
    </row>
    <row r="23383">
      <c r="H23383" t="s">
        <v>5117</v>
      </c>
    </row>
    <row r="23384">
      <c r="H23384" t="s">
        <v>5117</v>
      </c>
    </row>
    <row r="23385">
      <c r="H23385" t="s">
        <v>5117</v>
      </c>
    </row>
    <row r="23386">
      <c r="H23386" t="s">
        <v>5117</v>
      </c>
    </row>
    <row r="23387">
      <c r="H23387" t="s">
        <v>5117</v>
      </c>
    </row>
    <row r="23388">
      <c r="H23388" t="s">
        <v>5117</v>
      </c>
    </row>
    <row r="23389">
      <c r="H23389" t="s">
        <v>5117</v>
      </c>
    </row>
    <row r="23390">
      <c r="H23390" t="s">
        <v>5117</v>
      </c>
    </row>
    <row r="23391">
      <c r="H23391" t="s">
        <v>5117</v>
      </c>
    </row>
    <row r="23392">
      <c r="H23392" t="s">
        <v>5117</v>
      </c>
    </row>
    <row r="23393">
      <c r="H23393" t="s">
        <v>5117</v>
      </c>
    </row>
    <row r="23394">
      <c r="H23394" t="s">
        <v>5117</v>
      </c>
    </row>
    <row r="23395">
      <c r="H23395" t="s">
        <v>5117</v>
      </c>
    </row>
    <row r="23396">
      <c r="H23396" t="s">
        <v>5117</v>
      </c>
    </row>
    <row r="23397">
      <c r="H23397" t="s">
        <v>5117</v>
      </c>
    </row>
    <row r="23398">
      <c r="H23398" t="s">
        <v>5117</v>
      </c>
    </row>
    <row r="23399">
      <c r="H23399" t="s">
        <v>5117</v>
      </c>
    </row>
    <row r="23400">
      <c r="H23400" t="s">
        <v>5117</v>
      </c>
    </row>
    <row r="23401">
      <c r="H23401" t="s">
        <v>5117</v>
      </c>
    </row>
    <row r="23402">
      <c r="H23402" t="s">
        <v>5117</v>
      </c>
    </row>
    <row r="23403">
      <c r="H23403" t="s">
        <v>5117</v>
      </c>
    </row>
    <row r="23404">
      <c r="H23404" t="s">
        <v>5117</v>
      </c>
    </row>
    <row r="23405">
      <c r="H23405" t="s">
        <v>5117</v>
      </c>
    </row>
    <row r="23406">
      <c r="H23406" t="s">
        <v>5117</v>
      </c>
    </row>
    <row r="23407">
      <c r="H23407" t="s">
        <v>5117</v>
      </c>
    </row>
    <row r="23408">
      <c r="H23408" t="s">
        <v>5117</v>
      </c>
    </row>
    <row r="23409">
      <c r="H23409" t="s">
        <v>5117</v>
      </c>
    </row>
    <row r="23410">
      <c r="H23410" t="s">
        <v>5117</v>
      </c>
    </row>
    <row r="23411">
      <c r="H23411" t="s">
        <v>5117</v>
      </c>
    </row>
    <row r="23412">
      <c r="H23412" t="s">
        <v>5117</v>
      </c>
    </row>
    <row r="23413">
      <c r="H23413" t="s">
        <v>5117</v>
      </c>
    </row>
    <row r="23414">
      <c r="H23414" t="s">
        <v>5117</v>
      </c>
    </row>
    <row r="23415">
      <c r="H23415" t="s">
        <v>5117</v>
      </c>
    </row>
    <row r="23416">
      <c r="H23416" t="s">
        <v>5117</v>
      </c>
    </row>
    <row r="23417">
      <c r="H23417" t="s">
        <v>5117</v>
      </c>
    </row>
    <row r="23418">
      <c r="H23418" t="s">
        <v>5117</v>
      </c>
    </row>
    <row r="23419">
      <c r="H23419" t="s">
        <v>5117</v>
      </c>
    </row>
    <row r="23420">
      <c r="H23420" t="s">
        <v>5117</v>
      </c>
    </row>
    <row r="23421">
      <c r="H23421" t="s">
        <v>5117</v>
      </c>
    </row>
    <row r="23422">
      <c r="H23422" t="s">
        <v>5117</v>
      </c>
    </row>
    <row r="23423">
      <c r="H23423" t="s">
        <v>5117</v>
      </c>
    </row>
    <row r="23424">
      <c r="H23424" t="s">
        <v>5117</v>
      </c>
    </row>
    <row r="23425">
      <c r="H23425" t="s">
        <v>5117</v>
      </c>
    </row>
    <row r="23426">
      <c r="H23426" t="s">
        <v>5117</v>
      </c>
    </row>
    <row r="23427">
      <c r="H23427" t="s">
        <v>5117</v>
      </c>
    </row>
    <row r="23428">
      <c r="H23428" t="s">
        <v>5117</v>
      </c>
    </row>
    <row r="23429">
      <c r="H23429" t="s">
        <v>5117</v>
      </c>
    </row>
    <row r="23430">
      <c r="H23430" t="s">
        <v>5117</v>
      </c>
    </row>
    <row r="23431">
      <c r="H23431" t="s">
        <v>5117</v>
      </c>
    </row>
    <row r="23432">
      <c r="H23432" t="s">
        <v>5117</v>
      </c>
    </row>
    <row r="23433">
      <c r="H23433" t="s">
        <v>5117</v>
      </c>
    </row>
    <row r="23434">
      <c r="H23434" t="s">
        <v>5117</v>
      </c>
    </row>
    <row r="23435">
      <c r="H23435" t="s">
        <v>5117</v>
      </c>
    </row>
    <row r="23436">
      <c r="H23436" t="s">
        <v>5117</v>
      </c>
    </row>
    <row r="23437">
      <c r="H23437" t="s">
        <v>5117</v>
      </c>
    </row>
    <row r="23438">
      <c r="H23438" t="s">
        <v>5117</v>
      </c>
    </row>
    <row r="23439">
      <c r="H23439" t="s">
        <v>5117</v>
      </c>
    </row>
    <row r="23440">
      <c r="H23440" t="s">
        <v>5117</v>
      </c>
    </row>
    <row r="23441">
      <c r="H23441" t="s">
        <v>5117</v>
      </c>
    </row>
    <row r="23442">
      <c r="H23442" t="s">
        <v>5117</v>
      </c>
    </row>
    <row r="23443">
      <c r="H23443" t="s">
        <v>5117</v>
      </c>
    </row>
    <row r="23444">
      <c r="H23444" t="s">
        <v>5117</v>
      </c>
    </row>
    <row r="23445">
      <c r="H23445" t="s">
        <v>5117</v>
      </c>
    </row>
    <row r="23446">
      <c r="H23446" t="s">
        <v>5117</v>
      </c>
    </row>
    <row r="23447">
      <c r="H23447" t="s">
        <v>5117</v>
      </c>
    </row>
    <row r="23448">
      <c r="H23448" t="s">
        <v>5117</v>
      </c>
    </row>
    <row r="23449">
      <c r="H23449" t="s">
        <v>5117</v>
      </c>
    </row>
    <row r="23450">
      <c r="H23450" t="s">
        <v>5117</v>
      </c>
    </row>
    <row r="23451">
      <c r="H23451" t="s">
        <v>5117</v>
      </c>
    </row>
    <row r="23452">
      <c r="H23452" t="s">
        <v>5117</v>
      </c>
    </row>
    <row r="23453">
      <c r="H23453" t="s">
        <v>5117</v>
      </c>
    </row>
    <row r="23454">
      <c r="H23454" t="s">
        <v>5117</v>
      </c>
    </row>
    <row r="23455">
      <c r="H23455" t="s">
        <v>5117</v>
      </c>
    </row>
    <row r="23456">
      <c r="H23456" t="s">
        <v>5117</v>
      </c>
    </row>
    <row r="23457">
      <c r="H23457" t="s">
        <v>5117</v>
      </c>
    </row>
    <row r="23458">
      <c r="H23458" t="s">
        <v>5117</v>
      </c>
    </row>
    <row r="23459">
      <c r="H23459" t="s">
        <v>5117</v>
      </c>
    </row>
    <row r="23460">
      <c r="H23460" t="s">
        <v>5117</v>
      </c>
    </row>
    <row r="23461">
      <c r="H23461" t="s">
        <v>5117</v>
      </c>
    </row>
    <row r="23462">
      <c r="H23462" t="s">
        <v>5117</v>
      </c>
    </row>
    <row r="23463">
      <c r="H23463" t="s">
        <v>5117</v>
      </c>
    </row>
    <row r="23464">
      <c r="H23464" t="s">
        <v>5117</v>
      </c>
    </row>
    <row r="23465">
      <c r="H23465" t="s">
        <v>5117</v>
      </c>
    </row>
    <row r="23466">
      <c r="H23466" t="s">
        <v>5117</v>
      </c>
    </row>
    <row r="23467">
      <c r="H23467" t="s">
        <v>5117</v>
      </c>
    </row>
    <row r="23468">
      <c r="H23468" t="s">
        <v>5117</v>
      </c>
    </row>
    <row r="23469">
      <c r="H23469" t="s">
        <v>5117</v>
      </c>
    </row>
    <row r="23470">
      <c r="H23470" t="s">
        <v>5117</v>
      </c>
    </row>
    <row r="23471">
      <c r="H23471" t="s">
        <v>5117</v>
      </c>
    </row>
    <row r="23472">
      <c r="H23472" t="s">
        <v>5117</v>
      </c>
    </row>
    <row r="23473">
      <c r="H23473" t="s">
        <v>5117</v>
      </c>
    </row>
    <row r="23474">
      <c r="H23474" t="s">
        <v>5117</v>
      </c>
    </row>
    <row r="23475">
      <c r="H23475" t="s">
        <v>5117</v>
      </c>
    </row>
    <row r="23476">
      <c r="H23476" t="s">
        <v>5117</v>
      </c>
    </row>
    <row r="23477">
      <c r="H23477" t="s">
        <v>5117</v>
      </c>
    </row>
    <row r="23478">
      <c r="H23478" t="s">
        <v>5117</v>
      </c>
    </row>
    <row r="23479">
      <c r="H23479" t="s">
        <v>5117</v>
      </c>
    </row>
    <row r="23480">
      <c r="H23480" t="s">
        <v>5117</v>
      </c>
    </row>
    <row r="23481">
      <c r="H23481" t="s">
        <v>5117</v>
      </c>
    </row>
    <row r="23482">
      <c r="H23482" t="s">
        <v>5117</v>
      </c>
    </row>
    <row r="23483">
      <c r="H23483" t="s">
        <v>5117</v>
      </c>
    </row>
    <row r="23484">
      <c r="H23484" t="s">
        <v>5117</v>
      </c>
    </row>
    <row r="23485">
      <c r="H23485" t="s">
        <v>5117</v>
      </c>
    </row>
    <row r="23486">
      <c r="H23486" t="s">
        <v>5117</v>
      </c>
    </row>
    <row r="23487">
      <c r="H23487" t="s">
        <v>5117</v>
      </c>
    </row>
    <row r="23488">
      <c r="H23488" t="s">
        <v>5117</v>
      </c>
    </row>
    <row r="23489">
      <c r="H23489" t="s">
        <v>5117</v>
      </c>
    </row>
    <row r="23490">
      <c r="H23490" t="s">
        <v>5117</v>
      </c>
    </row>
    <row r="23491">
      <c r="H23491" t="s">
        <v>5117</v>
      </c>
    </row>
    <row r="23492">
      <c r="H23492" t="s">
        <v>5117</v>
      </c>
    </row>
    <row r="23493">
      <c r="H23493" t="s">
        <v>5117</v>
      </c>
    </row>
    <row r="23494">
      <c r="H23494" t="s">
        <v>5117</v>
      </c>
    </row>
    <row r="23495">
      <c r="H23495" t="s">
        <v>5117</v>
      </c>
    </row>
    <row r="23496">
      <c r="H23496" t="s">
        <v>5117</v>
      </c>
    </row>
    <row r="23497">
      <c r="H23497" t="s">
        <v>5117</v>
      </c>
    </row>
    <row r="23498">
      <c r="H23498" t="s">
        <v>5117</v>
      </c>
    </row>
    <row r="23499">
      <c r="H23499" t="s">
        <v>5117</v>
      </c>
    </row>
    <row r="23500">
      <c r="H23500" t="s">
        <v>5117</v>
      </c>
    </row>
    <row r="23501">
      <c r="H23501" t="s">
        <v>5117</v>
      </c>
    </row>
    <row r="23502">
      <c r="H23502" t="s">
        <v>5117</v>
      </c>
    </row>
    <row r="23503">
      <c r="H23503" t="s">
        <v>5117</v>
      </c>
    </row>
    <row r="23504">
      <c r="H23504" t="s">
        <v>5117</v>
      </c>
    </row>
    <row r="23505">
      <c r="H23505" t="s">
        <v>5117</v>
      </c>
    </row>
    <row r="23506">
      <c r="H23506" t="s">
        <v>5117</v>
      </c>
    </row>
    <row r="23507">
      <c r="H23507" t="s">
        <v>5117</v>
      </c>
    </row>
    <row r="23508">
      <c r="H23508" t="s">
        <v>5117</v>
      </c>
    </row>
    <row r="23509">
      <c r="H23509" t="s">
        <v>5117</v>
      </c>
    </row>
    <row r="23510">
      <c r="H23510" t="s">
        <v>5117</v>
      </c>
    </row>
    <row r="23511">
      <c r="H23511" t="s">
        <v>5117</v>
      </c>
    </row>
    <row r="23512">
      <c r="H23512" t="s">
        <v>5117</v>
      </c>
    </row>
    <row r="23513">
      <c r="H23513" t="s">
        <v>5117</v>
      </c>
    </row>
    <row r="23514">
      <c r="H23514" t="s">
        <v>5117</v>
      </c>
    </row>
    <row r="23515">
      <c r="H23515" t="s">
        <v>5117</v>
      </c>
    </row>
    <row r="23516">
      <c r="H23516" t="s">
        <v>5117</v>
      </c>
    </row>
    <row r="23517">
      <c r="H23517" t="s">
        <v>5117</v>
      </c>
    </row>
    <row r="23518">
      <c r="H23518" t="s">
        <v>5117</v>
      </c>
    </row>
    <row r="23519">
      <c r="H23519" t="s">
        <v>5117</v>
      </c>
    </row>
    <row r="23520">
      <c r="H23520" t="s">
        <v>5117</v>
      </c>
    </row>
    <row r="23521">
      <c r="H23521" t="s">
        <v>5117</v>
      </c>
    </row>
    <row r="23522">
      <c r="H23522" t="s">
        <v>5117</v>
      </c>
    </row>
    <row r="23523">
      <c r="H23523" t="s">
        <v>5117</v>
      </c>
    </row>
    <row r="23524">
      <c r="H23524" t="s">
        <v>5117</v>
      </c>
    </row>
    <row r="23525">
      <c r="H23525" t="s">
        <v>5117</v>
      </c>
    </row>
    <row r="23526">
      <c r="H23526" t="s">
        <v>5117</v>
      </c>
    </row>
    <row r="23527">
      <c r="H23527" t="s">
        <v>5117</v>
      </c>
    </row>
    <row r="23528">
      <c r="H23528" t="s">
        <v>5117</v>
      </c>
    </row>
    <row r="23529">
      <c r="H23529" t="s">
        <v>5117</v>
      </c>
    </row>
    <row r="23530">
      <c r="H23530" t="s">
        <v>5117</v>
      </c>
    </row>
    <row r="23531">
      <c r="H23531" t="s">
        <v>5117</v>
      </c>
    </row>
    <row r="23532">
      <c r="H23532" t="s">
        <v>5117</v>
      </c>
    </row>
    <row r="23533">
      <c r="H23533" t="s">
        <v>5117</v>
      </c>
    </row>
    <row r="23534">
      <c r="H23534" t="s">
        <v>5117</v>
      </c>
    </row>
    <row r="23535">
      <c r="H23535" t="s">
        <v>5117</v>
      </c>
    </row>
    <row r="23536">
      <c r="H23536" t="s">
        <v>5117</v>
      </c>
    </row>
    <row r="23537">
      <c r="H23537" t="s">
        <v>5117</v>
      </c>
    </row>
    <row r="23538">
      <c r="H23538" t="s">
        <v>5117</v>
      </c>
    </row>
    <row r="23539">
      <c r="H23539" t="s">
        <v>5117</v>
      </c>
    </row>
    <row r="23540">
      <c r="H23540" t="s">
        <v>5117</v>
      </c>
    </row>
    <row r="23541">
      <c r="H23541" t="s">
        <v>5117</v>
      </c>
    </row>
    <row r="23542">
      <c r="H23542" t="s">
        <v>5117</v>
      </c>
    </row>
    <row r="23543">
      <c r="H23543" t="s">
        <v>5117</v>
      </c>
    </row>
    <row r="23544">
      <c r="H23544" t="s">
        <v>5117</v>
      </c>
    </row>
    <row r="23545">
      <c r="H23545" t="s">
        <v>5117</v>
      </c>
    </row>
    <row r="23546">
      <c r="H23546" t="s">
        <v>5117</v>
      </c>
    </row>
    <row r="23547">
      <c r="H23547" t="s">
        <v>5117</v>
      </c>
    </row>
    <row r="23548">
      <c r="H23548" t="s">
        <v>5117</v>
      </c>
    </row>
    <row r="23549">
      <c r="H23549" t="s">
        <v>5117</v>
      </c>
    </row>
    <row r="23550">
      <c r="H23550" t="s">
        <v>5117</v>
      </c>
    </row>
    <row r="23551">
      <c r="H23551" t="s">
        <v>5117</v>
      </c>
    </row>
    <row r="23552">
      <c r="H23552" t="s">
        <v>5117</v>
      </c>
    </row>
    <row r="23553">
      <c r="H23553" t="s">
        <v>5117</v>
      </c>
    </row>
    <row r="23554">
      <c r="H23554" t="s">
        <v>5117</v>
      </c>
    </row>
    <row r="23555">
      <c r="H23555" t="s">
        <v>5117</v>
      </c>
    </row>
    <row r="23556">
      <c r="H23556" t="s">
        <v>5117</v>
      </c>
    </row>
    <row r="23557">
      <c r="H23557" t="s">
        <v>5117</v>
      </c>
    </row>
    <row r="23558">
      <c r="H23558" t="s">
        <v>5117</v>
      </c>
    </row>
    <row r="23559">
      <c r="H23559" t="s">
        <v>5117</v>
      </c>
    </row>
    <row r="23560">
      <c r="H23560" t="s">
        <v>5117</v>
      </c>
    </row>
    <row r="23561">
      <c r="H23561" t="s">
        <v>5117</v>
      </c>
    </row>
    <row r="23562">
      <c r="H23562" t="s">
        <v>5117</v>
      </c>
    </row>
    <row r="23563">
      <c r="H23563" t="s">
        <v>5117</v>
      </c>
    </row>
    <row r="23564">
      <c r="H23564" t="s">
        <v>5117</v>
      </c>
    </row>
    <row r="23565">
      <c r="H23565" t="s">
        <v>5117</v>
      </c>
    </row>
    <row r="23566">
      <c r="H23566" t="s">
        <v>5117</v>
      </c>
    </row>
    <row r="23567">
      <c r="H23567" t="s">
        <v>5117</v>
      </c>
    </row>
    <row r="23568">
      <c r="H23568" t="s">
        <v>5117</v>
      </c>
    </row>
    <row r="23569">
      <c r="H23569" t="s">
        <v>5117</v>
      </c>
    </row>
    <row r="23570">
      <c r="H23570" t="s">
        <v>5117</v>
      </c>
    </row>
    <row r="23571">
      <c r="H23571" t="s">
        <v>5117</v>
      </c>
    </row>
    <row r="23572">
      <c r="H23572" t="s">
        <v>5117</v>
      </c>
    </row>
    <row r="23573">
      <c r="H23573" t="s">
        <v>5117</v>
      </c>
    </row>
    <row r="23574">
      <c r="H23574" t="s">
        <v>5117</v>
      </c>
    </row>
    <row r="23575">
      <c r="H23575" t="s">
        <v>5117</v>
      </c>
    </row>
    <row r="23576">
      <c r="H23576" t="s">
        <v>5117</v>
      </c>
    </row>
    <row r="23577">
      <c r="H23577" t="s">
        <v>5117</v>
      </c>
    </row>
    <row r="23578">
      <c r="H23578" t="s">
        <v>5117</v>
      </c>
    </row>
    <row r="23579">
      <c r="H23579" t="s">
        <v>5117</v>
      </c>
    </row>
    <row r="23580">
      <c r="H23580" t="s">
        <v>5117</v>
      </c>
    </row>
    <row r="23581">
      <c r="H23581" t="s">
        <v>5117</v>
      </c>
    </row>
    <row r="23582">
      <c r="H23582" t="s">
        <v>5117</v>
      </c>
    </row>
    <row r="23583">
      <c r="H23583" t="s">
        <v>5117</v>
      </c>
    </row>
    <row r="23584">
      <c r="H23584" t="s">
        <v>5117</v>
      </c>
    </row>
    <row r="23585">
      <c r="H23585" t="s">
        <v>5117</v>
      </c>
    </row>
    <row r="23586">
      <c r="H23586" t="s">
        <v>5117</v>
      </c>
    </row>
    <row r="23587">
      <c r="H23587" t="s">
        <v>5117</v>
      </c>
    </row>
    <row r="23588">
      <c r="H23588" t="s">
        <v>5117</v>
      </c>
    </row>
    <row r="23589">
      <c r="H23589" t="s">
        <v>5117</v>
      </c>
    </row>
    <row r="23590">
      <c r="H23590" t="s">
        <v>5117</v>
      </c>
    </row>
    <row r="23591">
      <c r="H23591" t="s">
        <v>5117</v>
      </c>
    </row>
    <row r="23592">
      <c r="H23592" t="s">
        <v>5117</v>
      </c>
    </row>
    <row r="23593">
      <c r="H23593" t="s">
        <v>5117</v>
      </c>
    </row>
    <row r="23594">
      <c r="H23594" t="s">
        <v>5117</v>
      </c>
    </row>
    <row r="23595">
      <c r="H23595" t="s">
        <v>5117</v>
      </c>
    </row>
    <row r="23596">
      <c r="H23596" t="s">
        <v>5117</v>
      </c>
    </row>
    <row r="23597">
      <c r="H23597" t="s">
        <v>5117</v>
      </c>
    </row>
    <row r="23598">
      <c r="H23598" t="s">
        <v>5117</v>
      </c>
    </row>
    <row r="23599">
      <c r="H23599" t="s">
        <v>5117</v>
      </c>
    </row>
    <row r="23600">
      <c r="H23600" t="s">
        <v>5117</v>
      </c>
    </row>
    <row r="23601">
      <c r="H23601" t="s">
        <v>5117</v>
      </c>
    </row>
    <row r="23602">
      <c r="H23602" t="s">
        <v>5117</v>
      </c>
    </row>
    <row r="23603">
      <c r="H23603" t="s">
        <v>5117</v>
      </c>
    </row>
    <row r="23604">
      <c r="H23604" t="s">
        <v>5117</v>
      </c>
    </row>
    <row r="23605">
      <c r="H23605" t="s">
        <v>5117</v>
      </c>
    </row>
    <row r="23606">
      <c r="H23606" t="s">
        <v>5117</v>
      </c>
    </row>
    <row r="23607">
      <c r="H23607" t="s">
        <v>5117</v>
      </c>
    </row>
    <row r="23608">
      <c r="H23608" t="s">
        <v>5117</v>
      </c>
    </row>
    <row r="23609">
      <c r="H23609" t="s">
        <v>5117</v>
      </c>
    </row>
    <row r="23610">
      <c r="H23610" t="s">
        <v>5117</v>
      </c>
    </row>
    <row r="23611">
      <c r="H23611" t="s">
        <v>5117</v>
      </c>
    </row>
    <row r="23612">
      <c r="H23612" t="s">
        <v>5117</v>
      </c>
    </row>
    <row r="23613">
      <c r="H23613" t="s">
        <v>5117</v>
      </c>
    </row>
    <row r="23614">
      <c r="H23614" t="s">
        <v>5117</v>
      </c>
    </row>
    <row r="23615">
      <c r="H23615" t="s">
        <v>5117</v>
      </c>
    </row>
    <row r="23616">
      <c r="H23616" t="s">
        <v>5117</v>
      </c>
    </row>
    <row r="23617">
      <c r="H23617" t="s">
        <v>5117</v>
      </c>
    </row>
    <row r="23618">
      <c r="H23618" t="s">
        <v>5117</v>
      </c>
    </row>
    <row r="23619">
      <c r="H23619" t="s">
        <v>5117</v>
      </c>
    </row>
    <row r="23620">
      <c r="H23620" t="s">
        <v>5117</v>
      </c>
    </row>
    <row r="23621">
      <c r="H23621" t="s">
        <v>5117</v>
      </c>
    </row>
    <row r="23622">
      <c r="H23622" t="s">
        <v>5117</v>
      </c>
    </row>
    <row r="23623">
      <c r="H23623" t="s">
        <v>5117</v>
      </c>
    </row>
    <row r="23624">
      <c r="H23624" t="s">
        <v>5117</v>
      </c>
    </row>
    <row r="23625">
      <c r="H23625" t="s">
        <v>5117</v>
      </c>
    </row>
    <row r="23626">
      <c r="H23626" t="s">
        <v>5117</v>
      </c>
    </row>
    <row r="23627">
      <c r="H23627" t="s">
        <v>5117</v>
      </c>
    </row>
    <row r="23628">
      <c r="H23628" t="s">
        <v>5117</v>
      </c>
    </row>
    <row r="23629">
      <c r="H23629" t="s">
        <v>5117</v>
      </c>
    </row>
    <row r="23630">
      <c r="H23630" t="s">
        <v>5117</v>
      </c>
    </row>
    <row r="23631">
      <c r="H23631" t="s">
        <v>5117</v>
      </c>
    </row>
    <row r="23632">
      <c r="H23632" t="s">
        <v>5117</v>
      </c>
    </row>
    <row r="23633">
      <c r="H23633" t="s">
        <v>5117</v>
      </c>
    </row>
    <row r="23634">
      <c r="H23634" t="s">
        <v>5117</v>
      </c>
    </row>
    <row r="23635">
      <c r="H23635" t="s">
        <v>5117</v>
      </c>
    </row>
    <row r="23636">
      <c r="H23636" t="s">
        <v>5117</v>
      </c>
    </row>
    <row r="23637">
      <c r="H23637" t="s">
        <v>5117</v>
      </c>
    </row>
    <row r="23638">
      <c r="H23638" t="s">
        <v>5117</v>
      </c>
    </row>
    <row r="23639">
      <c r="H23639" t="s">
        <v>5117</v>
      </c>
    </row>
    <row r="23640">
      <c r="H23640" t="s">
        <v>5117</v>
      </c>
    </row>
    <row r="23641">
      <c r="H23641" t="s">
        <v>5117</v>
      </c>
    </row>
    <row r="23642">
      <c r="H23642" t="s">
        <v>5117</v>
      </c>
    </row>
    <row r="23643">
      <c r="H23643" t="s">
        <v>5117</v>
      </c>
    </row>
    <row r="23644">
      <c r="H23644" t="s">
        <v>5117</v>
      </c>
    </row>
    <row r="23645">
      <c r="H23645" t="s">
        <v>5117</v>
      </c>
    </row>
    <row r="23646">
      <c r="H23646" t="s">
        <v>5117</v>
      </c>
    </row>
    <row r="23647">
      <c r="H23647" t="s">
        <v>5117</v>
      </c>
    </row>
    <row r="23648">
      <c r="H23648" t="s">
        <v>5117</v>
      </c>
    </row>
    <row r="23649">
      <c r="H23649" t="s">
        <v>5117</v>
      </c>
    </row>
    <row r="23650">
      <c r="H23650" t="s">
        <v>5117</v>
      </c>
    </row>
    <row r="23651">
      <c r="H23651" t="s">
        <v>5117</v>
      </c>
    </row>
    <row r="23652">
      <c r="H23652" t="s">
        <v>5117</v>
      </c>
    </row>
    <row r="23653">
      <c r="H23653" t="s">
        <v>5117</v>
      </c>
    </row>
    <row r="23654">
      <c r="H23654" t="s">
        <v>5117</v>
      </c>
    </row>
    <row r="23655">
      <c r="H23655" t="s">
        <v>5117</v>
      </c>
    </row>
    <row r="23656">
      <c r="H23656" t="s">
        <v>5117</v>
      </c>
    </row>
    <row r="23657">
      <c r="H23657" t="s">
        <v>5117</v>
      </c>
    </row>
    <row r="23658">
      <c r="H23658" t="s">
        <v>5117</v>
      </c>
    </row>
    <row r="23659">
      <c r="H23659" t="s">
        <v>5117</v>
      </c>
    </row>
    <row r="23660">
      <c r="H23660" t="s">
        <v>5117</v>
      </c>
    </row>
    <row r="23661">
      <c r="H23661" t="s">
        <v>5117</v>
      </c>
    </row>
    <row r="23662">
      <c r="H23662" t="s">
        <v>5117</v>
      </c>
    </row>
    <row r="23663">
      <c r="H23663" t="s">
        <v>5117</v>
      </c>
    </row>
    <row r="23664">
      <c r="H23664" t="s">
        <v>5117</v>
      </c>
    </row>
    <row r="23665">
      <c r="H23665" t="s">
        <v>5117</v>
      </c>
    </row>
    <row r="23666">
      <c r="H23666" t="s">
        <v>5117</v>
      </c>
    </row>
    <row r="23667">
      <c r="H23667" t="s">
        <v>5117</v>
      </c>
    </row>
    <row r="23668">
      <c r="H23668" t="s">
        <v>5117</v>
      </c>
    </row>
    <row r="23669">
      <c r="H23669" t="s">
        <v>5117</v>
      </c>
    </row>
    <row r="23670">
      <c r="H23670" t="s">
        <v>5117</v>
      </c>
    </row>
    <row r="23671">
      <c r="H23671" t="s">
        <v>5117</v>
      </c>
    </row>
    <row r="23672">
      <c r="H23672" t="s">
        <v>5117</v>
      </c>
    </row>
    <row r="23673">
      <c r="H23673" t="s">
        <v>5117</v>
      </c>
    </row>
    <row r="23674">
      <c r="H23674" t="s">
        <v>5117</v>
      </c>
    </row>
    <row r="23675">
      <c r="H23675" t="s">
        <v>5117</v>
      </c>
    </row>
    <row r="23676">
      <c r="H23676" t="s">
        <v>5117</v>
      </c>
    </row>
    <row r="23677">
      <c r="H23677" t="s">
        <v>5117</v>
      </c>
    </row>
    <row r="23678">
      <c r="H23678" t="s">
        <v>5117</v>
      </c>
    </row>
    <row r="23679">
      <c r="H23679" t="s">
        <v>5117</v>
      </c>
    </row>
    <row r="23680">
      <c r="H23680" t="s">
        <v>5117</v>
      </c>
    </row>
    <row r="23681">
      <c r="H23681" t="s">
        <v>5117</v>
      </c>
    </row>
    <row r="23682">
      <c r="H23682" t="s">
        <v>5117</v>
      </c>
    </row>
    <row r="23683">
      <c r="H23683" t="s">
        <v>5117</v>
      </c>
    </row>
    <row r="23684">
      <c r="H23684" t="s">
        <v>5117</v>
      </c>
    </row>
    <row r="23685">
      <c r="H23685" t="s">
        <v>5117</v>
      </c>
    </row>
    <row r="23686">
      <c r="H23686" t="s">
        <v>5117</v>
      </c>
    </row>
    <row r="23687">
      <c r="H23687" t="s">
        <v>5117</v>
      </c>
    </row>
    <row r="23688">
      <c r="H23688" t="s">
        <v>5117</v>
      </c>
    </row>
    <row r="23689">
      <c r="H23689" t="s">
        <v>5117</v>
      </c>
    </row>
    <row r="23690">
      <c r="H23690" t="s">
        <v>5117</v>
      </c>
    </row>
    <row r="23691">
      <c r="H23691" t="s">
        <v>5117</v>
      </c>
    </row>
    <row r="23692">
      <c r="H23692" t="s">
        <v>5117</v>
      </c>
    </row>
    <row r="23693">
      <c r="H23693" t="s">
        <v>5117</v>
      </c>
    </row>
    <row r="23694">
      <c r="H23694" t="s">
        <v>5117</v>
      </c>
    </row>
    <row r="23695">
      <c r="H23695" t="s">
        <v>5117</v>
      </c>
    </row>
    <row r="23696">
      <c r="H23696" t="s">
        <v>5117</v>
      </c>
    </row>
    <row r="23697">
      <c r="H23697" t="s">
        <v>5117</v>
      </c>
    </row>
    <row r="23698">
      <c r="H23698" t="s">
        <v>5117</v>
      </c>
    </row>
    <row r="23699">
      <c r="H23699" t="s">
        <v>5117</v>
      </c>
    </row>
    <row r="23700">
      <c r="H23700" t="s">
        <v>5117</v>
      </c>
    </row>
    <row r="23701">
      <c r="H23701" t="s">
        <v>5117</v>
      </c>
    </row>
    <row r="23702">
      <c r="H23702" t="s">
        <v>5117</v>
      </c>
    </row>
    <row r="23703">
      <c r="H23703" t="s">
        <v>5117</v>
      </c>
    </row>
    <row r="23704">
      <c r="H23704" t="s">
        <v>5117</v>
      </c>
    </row>
    <row r="23705">
      <c r="H23705" t="s">
        <v>5117</v>
      </c>
    </row>
    <row r="23706">
      <c r="H23706" t="s">
        <v>5117</v>
      </c>
    </row>
    <row r="23707">
      <c r="H23707" t="s">
        <v>5117</v>
      </c>
    </row>
    <row r="23708">
      <c r="H23708" t="s">
        <v>5117</v>
      </c>
    </row>
    <row r="23709">
      <c r="H23709" t="s">
        <v>5117</v>
      </c>
    </row>
    <row r="23710">
      <c r="H23710" t="s">
        <v>5117</v>
      </c>
    </row>
    <row r="23711">
      <c r="H23711" t="s">
        <v>5117</v>
      </c>
    </row>
    <row r="23712">
      <c r="H23712" t="s">
        <v>5117</v>
      </c>
    </row>
    <row r="23713">
      <c r="H23713" t="s">
        <v>5117</v>
      </c>
    </row>
    <row r="23714">
      <c r="H23714" t="s">
        <v>5117</v>
      </c>
    </row>
    <row r="23715">
      <c r="H23715" t="s">
        <v>5117</v>
      </c>
    </row>
    <row r="23716">
      <c r="H23716" t="s">
        <v>5117</v>
      </c>
    </row>
    <row r="23717">
      <c r="H23717" t="s">
        <v>5117</v>
      </c>
    </row>
    <row r="23718">
      <c r="H23718" t="s">
        <v>5117</v>
      </c>
    </row>
    <row r="23719">
      <c r="H23719" t="s">
        <v>5117</v>
      </c>
    </row>
    <row r="23720">
      <c r="H23720" t="s">
        <v>5117</v>
      </c>
    </row>
    <row r="23721">
      <c r="H23721" t="s">
        <v>5117</v>
      </c>
    </row>
    <row r="23722">
      <c r="H23722" t="s">
        <v>5117</v>
      </c>
    </row>
    <row r="23723">
      <c r="H23723" t="s">
        <v>5117</v>
      </c>
    </row>
    <row r="23724">
      <c r="H23724" t="s">
        <v>5117</v>
      </c>
    </row>
    <row r="23725">
      <c r="H23725" t="s">
        <v>5117</v>
      </c>
    </row>
    <row r="23726">
      <c r="H23726" t="s">
        <v>5117</v>
      </c>
    </row>
    <row r="23727">
      <c r="H23727" t="s">
        <v>5117</v>
      </c>
    </row>
    <row r="23728">
      <c r="H23728" t="s">
        <v>5117</v>
      </c>
    </row>
    <row r="23729">
      <c r="H23729" t="s">
        <v>5117</v>
      </c>
    </row>
    <row r="23730">
      <c r="H23730" t="s">
        <v>5117</v>
      </c>
    </row>
    <row r="23731">
      <c r="H23731" t="s">
        <v>5117</v>
      </c>
    </row>
    <row r="23732">
      <c r="H23732" t="s">
        <v>5117</v>
      </c>
    </row>
    <row r="23733">
      <c r="H23733" t="s">
        <v>5117</v>
      </c>
    </row>
    <row r="23734">
      <c r="H23734" t="s">
        <v>5117</v>
      </c>
    </row>
    <row r="23735">
      <c r="H23735" t="s">
        <v>5117</v>
      </c>
    </row>
    <row r="23736">
      <c r="H23736" t="s">
        <v>5117</v>
      </c>
    </row>
    <row r="23737">
      <c r="H23737" t="s">
        <v>5117</v>
      </c>
    </row>
    <row r="23738">
      <c r="H23738" t="s">
        <v>5117</v>
      </c>
    </row>
    <row r="23739">
      <c r="H23739" t="s">
        <v>5117</v>
      </c>
    </row>
    <row r="23740">
      <c r="H23740" t="s">
        <v>5117</v>
      </c>
    </row>
    <row r="23741">
      <c r="H23741" t="s">
        <v>5117</v>
      </c>
    </row>
    <row r="23742">
      <c r="H23742" t="s">
        <v>5117</v>
      </c>
    </row>
    <row r="23743">
      <c r="H23743" t="s">
        <v>5117</v>
      </c>
    </row>
    <row r="23744">
      <c r="H23744" t="s">
        <v>5117</v>
      </c>
    </row>
    <row r="23745">
      <c r="H23745" t="s">
        <v>5117</v>
      </c>
    </row>
    <row r="23746">
      <c r="H23746" t="s">
        <v>5117</v>
      </c>
    </row>
    <row r="23747">
      <c r="H23747" t="s">
        <v>5117</v>
      </c>
    </row>
    <row r="23748">
      <c r="H23748" t="s">
        <v>5117</v>
      </c>
    </row>
    <row r="23749">
      <c r="H23749" t="s">
        <v>5117</v>
      </c>
    </row>
    <row r="23750">
      <c r="H23750" t="s">
        <v>5117</v>
      </c>
    </row>
    <row r="23751">
      <c r="H23751" t="s">
        <v>5117</v>
      </c>
    </row>
    <row r="23752">
      <c r="H23752" t="s">
        <v>5117</v>
      </c>
    </row>
    <row r="23753">
      <c r="H23753" t="s">
        <v>5117</v>
      </c>
    </row>
    <row r="23754">
      <c r="H23754" t="s">
        <v>5117</v>
      </c>
    </row>
    <row r="23755">
      <c r="H23755" t="s">
        <v>5117</v>
      </c>
    </row>
    <row r="23756">
      <c r="H23756" t="s">
        <v>5117</v>
      </c>
    </row>
    <row r="23757">
      <c r="H23757" t="s">
        <v>5117</v>
      </c>
    </row>
    <row r="23758">
      <c r="H23758" t="s">
        <v>5117</v>
      </c>
    </row>
    <row r="23759">
      <c r="H23759" t="s">
        <v>5117</v>
      </c>
    </row>
    <row r="23760">
      <c r="H23760" t="s">
        <v>5117</v>
      </c>
    </row>
    <row r="23761">
      <c r="H23761" t="s">
        <v>5117</v>
      </c>
    </row>
    <row r="23762">
      <c r="H23762" t="s">
        <v>5117</v>
      </c>
    </row>
    <row r="23763">
      <c r="H23763" t="s">
        <v>5117</v>
      </c>
    </row>
    <row r="23764">
      <c r="H23764" t="s">
        <v>5117</v>
      </c>
    </row>
    <row r="23765">
      <c r="H23765" t="s">
        <v>5117</v>
      </c>
    </row>
    <row r="23766">
      <c r="H23766" t="s">
        <v>5117</v>
      </c>
    </row>
    <row r="23767">
      <c r="H23767" t="s">
        <v>5117</v>
      </c>
    </row>
    <row r="23768">
      <c r="H23768" t="s">
        <v>5117</v>
      </c>
    </row>
    <row r="23769">
      <c r="H23769" t="s">
        <v>5117</v>
      </c>
    </row>
    <row r="23770">
      <c r="H23770" t="s">
        <v>5117</v>
      </c>
    </row>
    <row r="23771">
      <c r="H23771" t="s">
        <v>5117</v>
      </c>
    </row>
    <row r="23772">
      <c r="H23772" t="s">
        <v>5117</v>
      </c>
    </row>
    <row r="23773">
      <c r="H23773" t="s">
        <v>5117</v>
      </c>
    </row>
    <row r="23774">
      <c r="H23774" t="s">
        <v>5117</v>
      </c>
    </row>
    <row r="23775">
      <c r="H23775" t="s">
        <v>5117</v>
      </c>
    </row>
    <row r="23776">
      <c r="H23776" t="s">
        <v>5117</v>
      </c>
    </row>
    <row r="23777">
      <c r="H23777" t="s">
        <v>5117</v>
      </c>
    </row>
    <row r="23778">
      <c r="H23778" t="s">
        <v>5117</v>
      </c>
    </row>
    <row r="23779">
      <c r="H23779" t="s">
        <v>5117</v>
      </c>
    </row>
    <row r="23780">
      <c r="H23780" t="s">
        <v>5117</v>
      </c>
    </row>
    <row r="23781">
      <c r="H23781" t="s">
        <v>5117</v>
      </c>
    </row>
    <row r="23782">
      <c r="H23782" t="s">
        <v>5117</v>
      </c>
    </row>
    <row r="23783">
      <c r="H23783" t="s">
        <v>5117</v>
      </c>
    </row>
    <row r="23784">
      <c r="H23784" t="s">
        <v>5117</v>
      </c>
    </row>
    <row r="23785">
      <c r="H23785" t="s">
        <v>5117</v>
      </c>
    </row>
    <row r="23786">
      <c r="H23786" t="s">
        <v>5117</v>
      </c>
    </row>
    <row r="23787">
      <c r="H23787" t="s">
        <v>5117</v>
      </c>
    </row>
    <row r="23788">
      <c r="H23788" t="s">
        <v>5117</v>
      </c>
    </row>
    <row r="23789">
      <c r="H23789" t="s">
        <v>5117</v>
      </c>
    </row>
    <row r="23790">
      <c r="H23790" t="s">
        <v>5117</v>
      </c>
    </row>
    <row r="23791">
      <c r="H23791" t="s">
        <v>5117</v>
      </c>
    </row>
    <row r="23792">
      <c r="H23792" t="s">
        <v>5117</v>
      </c>
    </row>
    <row r="23793">
      <c r="H23793" t="s">
        <v>5117</v>
      </c>
    </row>
    <row r="23794">
      <c r="H23794" t="s">
        <v>5117</v>
      </c>
    </row>
    <row r="23795">
      <c r="H23795" t="s">
        <v>5117</v>
      </c>
    </row>
    <row r="23796">
      <c r="H23796" t="s">
        <v>5117</v>
      </c>
    </row>
    <row r="23797">
      <c r="H23797" t="s">
        <v>5117</v>
      </c>
    </row>
    <row r="23798">
      <c r="H23798" t="s">
        <v>5117</v>
      </c>
    </row>
    <row r="23799">
      <c r="H23799" t="s">
        <v>5117</v>
      </c>
    </row>
    <row r="23800">
      <c r="H23800" t="s">
        <v>5117</v>
      </c>
    </row>
    <row r="23801">
      <c r="H23801" t="s">
        <v>5117</v>
      </c>
    </row>
    <row r="23802">
      <c r="H23802" t="s">
        <v>5117</v>
      </c>
    </row>
    <row r="23803">
      <c r="H23803" t="s">
        <v>5117</v>
      </c>
    </row>
    <row r="23804">
      <c r="H23804" t="s">
        <v>5117</v>
      </c>
    </row>
    <row r="23805">
      <c r="H23805" t="s">
        <v>5117</v>
      </c>
    </row>
    <row r="23806">
      <c r="H23806" t="s">
        <v>5117</v>
      </c>
    </row>
    <row r="23807">
      <c r="H23807" t="s">
        <v>5117</v>
      </c>
    </row>
    <row r="23808">
      <c r="H23808" t="s">
        <v>5117</v>
      </c>
    </row>
    <row r="23809">
      <c r="H23809" t="s">
        <v>5117</v>
      </c>
    </row>
    <row r="23810">
      <c r="H23810" t="s">
        <v>5117</v>
      </c>
    </row>
    <row r="23811">
      <c r="H23811" t="s">
        <v>5117</v>
      </c>
    </row>
    <row r="23812">
      <c r="H23812" t="s">
        <v>5117</v>
      </c>
    </row>
    <row r="23813">
      <c r="H23813" t="s">
        <v>5117</v>
      </c>
    </row>
    <row r="23814">
      <c r="H23814" t="s">
        <v>5117</v>
      </c>
    </row>
    <row r="23815">
      <c r="H23815" t="s">
        <v>5117</v>
      </c>
    </row>
    <row r="23816">
      <c r="H23816" t="s">
        <v>5117</v>
      </c>
    </row>
    <row r="23817">
      <c r="H23817" t="s">
        <v>5117</v>
      </c>
    </row>
    <row r="23818">
      <c r="H23818" t="s">
        <v>5117</v>
      </c>
    </row>
    <row r="23819">
      <c r="H23819" t="s">
        <v>5117</v>
      </c>
    </row>
    <row r="23820">
      <c r="H23820" t="s">
        <v>5117</v>
      </c>
    </row>
    <row r="23821">
      <c r="H23821" t="s">
        <v>5117</v>
      </c>
    </row>
    <row r="23822">
      <c r="H23822" t="s">
        <v>5117</v>
      </c>
    </row>
    <row r="23823">
      <c r="H23823" t="s">
        <v>5117</v>
      </c>
    </row>
    <row r="23824">
      <c r="H23824" t="s">
        <v>5117</v>
      </c>
    </row>
    <row r="23825">
      <c r="H23825" t="s">
        <v>5117</v>
      </c>
    </row>
    <row r="23826">
      <c r="H23826" t="s">
        <v>5117</v>
      </c>
    </row>
    <row r="23827">
      <c r="H23827" t="s">
        <v>5117</v>
      </c>
    </row>
    <row r="23828">
      <c r="H23828" t="s">
        <v>5117</v>
      </c>
    </row>
    <row r="23829">
      <c r="H23829" t="s">
        <v>5117</v>
      </c>
    </row>
    <row r="23830">
      <c r="H23830" t="s">
        <v>5117</v>
      </c>
    </row>
    <row r="23831">
      <c r="H23831" t="s">
        <v>5117</v>
      </c>
    </row>
    <row r="23832">
      <c r="H23832" t="s">
        <v>5117</v>
      </c>
    </row>
    <row r="23833">
      <c r="H23833" t="s">
        <v>5117</v>
      </c>
    </row>
    <row r="23834">
      <c r="H23834" t="s">
        <v>5117</v>
      </c>
    </row>
    <row r="23835">
      <c r="H23835" t="s">
        <v>5117</v>
      </c>
    </row>
    <row r="23836">
      <c r="H23836" t="s">
        <v>5117</v>
      </c>
    </row>
    <row r="23837">
      <c r="H23837" t="s">
        <v>5117</v>
      </c>
    </row>
    <row r="23838">
      <c r="H23838" t="s">
        <v>5117</v>
      </c>
    </row>
    <row r="23839">
      <c r="H23839" t="s">
        <v>5117</v>
      </c>
    </row>
    <row r="23840">
      <c r="H23840" t="s">
        <v>5117</v>
      </c>
    </row>
    <row r="23841">
      <c r="H23841" t="s">
        <v>5117</v>
      </c>
    </row>
    <row r="23842">
      <c r="H23842" t="s">
        <v>5117</v>
      </c>
    </row>
    <row r="23843">
      <c r="H23843" t="s">
        <v>5117</v>
      </c>
    </row>
    <row r="23844">
      <c r="H23844" t="s">
        <v>5117</v>
      </c>
    </row>
    <row r="23845">
      <c r="H23845" t="s">
        <v>5117</v>
      </c>
    </row>
    <row r="23846">
      <c r="H23846" t="s">
        <v>5117</v>
      </c>
    </row>
    <row r="23847">
      <c r="H23847" t="s">
        <v>5117</v>
      </c>
    </row>
    <row r="23848">
      <c r="H23848" t="s">
        <v>5117</v>
      </c>
    </row>
    <row r="23849">
      <c r="H23849" t="s">
        <v>5117</v>
      </c>
    </row>
    <row r="23850">
      <c r="H23850" t="s">
        <v>5117</v>
      </c>
    </row>
    <row r="23851">
      <c r="H23851" t="s">
        <v>5117</v>
      </c>
    </row>
    <row r="23852">
      <c r="H23852" t="s">
        <v>5117</v>
      </c>
    </row>
    <row r="23853">
      <c r="H23853" t="s">
        <v>5117</v>
      </c>
    </row>
    <row r="23854">
      <c r="H23854" t="s">
        <v>5117</v>
      </c>
    </row>
    <row r="23855">
      <c r="H23855" t="s">
        <v>5117</v>
      </c>
    </row>
    <row r="23856">
      <c r="H23856" t="s">
        <v>5117</v>
      </c>
    </row>
    <row r="23857">
      <c r="H23857" t="s">
        <v>5117</v>
      </c>
    </row>
    <row r="23858">
      <c r="H23858" t="s">
        <v>5117</v>
      </c>
    </row>
    <row r="23859">
      <c r="H23859" t="s">
        <v>5117</v>
      </c>
    </row>
    <row r="23860">
      <c r="H23860" t="s">
        <v>5117</v>
      </c>
    </row>
    <row r="23861">
      <c r="H23861" t="s">
        <v>5117</v>
      </c>
    </row>
    <row r="23862">
      <c r="H23862" t="s">
        <v>5117</v>
      </c>
    </row>
    <row r="23863">
      <c r="H23863" t="s">
        <v>5117</v>
      </c>
    </row>
    <row r="23864">
      <c r="H23864" t="s">
        <v>5117</v>
      </c>
    </row>
    <row r="23865">
      <c r="H23865" t="s">
        <v>5117</v>
      </c>
    </row>
    <row r="23866">
      <c r="H23866" t="s">
        <v>5117</v>
      </c>
    </row>
    <row r="23867">
      <c r="H23867" t="s">
        <v>5117</v>
      </c>
    </row>
    <row r="23868">
      <c r="H23868" t="s">
        <v>5117</v>
      </c>
    </row>
    <row r="23869">
      <c r="H23869" t="s">
        <v>5117</v>
      </c>
    </row>
    <row r="23870">
      <c r="H23870" t="s">
        <v>5117</v>
      </c>
    </row>
    <row r="23871">
      <c r="H23871" t="s">
        <v>5117</v>
      </c>
    </row>
    <row r="23872">
      <c r="H23872" t="s">
        <v>5117</v>
      </c>
    </row>
    <row r="23873">
      <c r="H23873" t="s">
        <v>5117</v>
      </c>
    </row>
    <row r="23874">
      <c r="H23874" t="s">
        <v>5117</v>
      </c>
    </row>
    <row r="23875">
      <c r="H23875" t="s">
        <v>5117</v>
      </c>
    </row>
    <row r="23876">
      <c r="H23876" t="s">
        <v>5117</v>
      </c>
    </row>
    <row r="23877">
      <c r="H23877" t="s">
        <v>5117</v>
      </c>
    </row>
    <row r="23878">
      <c r="H23878" t="s">
        <v>5117</v>
      </c>
    </row>
    <row r="23879">
      <c r="H23879" t="s">
        <v>5117</v>
      </c>
    </row>
    <row r="23880">
      <c r="H23880" t="s">
        <v>5117</v>
      </c>
    </row>
    <row r="23881">
      <c r="H23881" t="s">
        <v>5117</v>
      </c>
    </row>
    <row r="23882">
      <c r="H23882" t="s">
        <v>5117</v>
      </c>
    </row>
    <row r="23883">
      <c r="H23883" t="s">
        <v>5117</v>
      </c>
    </row>
    <row r="23884">
      <c r="H23884" t="s">
        <v>5117</v>
      </c>
    </row>
    <row r="23885">
      <c r="H23885" t="s">
        <v>5117</v>
      </c>
    </row>
    <row r="23886">
      <c r="H23886" t="s">
        <v>5117</v>
      </c>
    </row>
    <row r="23887">
      <c r="H23887" t="s">
        <v>5117</v>
      </c>
    </row>
    <row r="23888">
      <c r="H23888" t="s">
        <v>5117</v>
      </c>
    </row>
    <row r="23889">
      <c r="H23889" t="s">
        <v>5117</v>
      </c>
    </row>
    <row r="23890">
      <c r="H23890" t="s">
        <v>5117</v>
      </c>
    </row>
    <row r="23891">
      <c r="H23891" t="s">
        <v>5117</v>
      </c>
    </row>
    <row r="23892">
      <c r="H23892" t="s">
        <v>5117</v>
      </c>
    </row>
    <row r="23893">
      <c r="H23893" t="s">
        <v>5117</v>
      </c>
    </row>
    <row r="23894">
      <c r="H23894" t="s">
        <v>5117</v>
      </c>
    </row>
    <row r="23895">
      <c r="H23895" t="s">
        <v>5117</v>
      </c>
    </row>
    <row r="23896">
      <c r="H23896" t="s">
        <v>5117</v>
      </c>
    </row>
    <row r="23897">
      <c r="H23897" t="s">
        <v>5117</v>
      </c>
    </row>
    <row r="23898">
      <c r="H23898" t="s">
        <v>5117</v>
      </c>
    </row>
    <row r="23899">
      <c r="H23899" t="s">
        <v>5117</v>
      </c>
    </row>
    <row r="23900">
      <c r="H23900" t="s">
        <v>5117</v>
      </c>
    </row>
    <row r="23901">
      <c r="H23901" t="s">
        <v>5117</v>
      </c>
    </row>
    <row r="23902">
      <c r="H23902" t="s">
        <v>5117</v>
      </c>
    </row>
    <row r="23903">
      <c r="H23903" t="s">
        <v>5117</v>
      </c>
    </row>
    <row r="23904">
      <c r="H23904" t="s">
        <v>5117</v>
      </c>
    </row>
    <row r="23905">
      <c r="H23905" t="s">
        <v>5117</v>
      </c>
    </row>
    <row r="23906">
      <c r="H23906" t="s">
        <v>5117</v>
      </c>
    </row>
    <row r="23907">
      <c r="H23907" t="s">
        <v>5117</v>
      </c>
    </row>
    <row r="23908">
      <c r="H23908" t="s">
        <v>5117</v>
      </c>
    </row>
    <row r="23909">
      <c r="H23909" t="s">
        <v>5117</v>
      </c>
    </row>
    <row r="23910">
      <c r="H23910" t="s">
        <v>5117</v>
      </c>
    </row>
    <row r="23911">
      <c r="H23911" t="s">
        <v>5117</v>
      </c>
    </row>
    <row r="23912">
      <c r="H23912" t="s">
        <v>5117</v>
      </c>
    </row>
    <row r="23913">
      <c r="H23913" t="s">
        <v>5117</v>
      </c>
    </row>
    <row r="23914">
      <c r="H23914" t="s">
        <v>5117</v>
      </c>
    </row>
    <row r="23915">
      <c r="H23915" t="s">
        <v>5117</v>
      </c>
    </row>
    <row r="23916">
      <c r="H23916" t="s">
        <v>5117</v>
      </c>
    </row>
    <row r="23917">
      <c r="H23917" t="s">
        <v>5117</v>
      </c>
    </row>
    <row r="23918">
      <c r="H23918" t="s">
        <v>5117</v>
      </c>
    </row>
    <row r="23919">
      <c r="H23919" t="s">
        <v>5117</v>
      </c>
    </row>
    <row r="23920">
      <c r="H23920" t="s">
        <v>5117</v>
      </c>
    </row>
    <row r="23921">
      <c r="H23921" t="s">
        <v>5117</v>
      </c>
    </row>
    <row r="23922">
      <c r="H23922" t="s">
        <v>5117</v>
      </c>
    </row>
    <row r="23923">
      <c r="H23923" t="s">
        <v>5117</v>
      </c>
    </row>
    <row r="23924">
      <c r="H23924" t="s">
        <v>5117</v>
      </c>
    </row>
    <row r="23925">
      <c r="H23925" t="s">
        <v>5117</v>
      </c>
    </row>
    <row r="23926">
      <c r="H23926" t="s">
        <v>5117</v>
      </c>
    </row>
    <row r="23927">
      <c r="H23927" t="s">
        <v>5117</v>
      </c>
    </row>
    <row r="23928">
      <c r="H23928" t="s">
        <v>5117</v>
      </c>
    </row>
    <row r="23929">
      <c r="H23929" t="s">
        <v>5117</v>
      </c>
    </row>
    <row r="23930">
      <c r="H23930" t="s">
        <v>5117</v>
      </c>
    </row>
    <row r="23931">
      <c r="H23931" t="s">
        <v>5117</v>
      </c>
    </row>
    <row r="23932">
      <c r="H23932" t="s">
        <v>5117</v>
      </c>
    </row>
    <row r="23933">
      <c r="H23933" t="s">
        <v>5117</v>
      </c>
    </row>
    <row r="23934">
      <c r="H23934" t="s">
        <v>5117</v>
      </c>
    </row>
    <row r="23935">
      <c r="H23935" t="s">
        <v>5117</v>
      </c>
    </row>
    <row r="23936">
      <c r="H23936" t="s">
        <v>5117</v>
      </c>
    </row>
    <row r="23937">
      <c r="H23937" t="s">
        <v>5117</v>
      </c>
    </row>
    <row r="23938">
      <c r="H23938" t="s">
        <v>5117</v>
      </c>
    </row>
    <row r="23939">
      <c r="H23939" t="s">
        <v>5117</v>
      </c>
    </row>
    <row r="23940">
      <c r="H23940" t="s">
        <v>5117</v>
      </c>
    </row>
    <row r="23941">
      <c r="H23941" t="s">
        <v>5117</v>
      </c>
    </row>
    <row r="23942">
      <c r="H23942" t="s">
        <v>5117</v>
      </c>
    </row>
    <row r="23943">
      <c r="H23943" t="s">
        <v>5117</v>
      </c>
    </row>
    <row r="23944">
      <c r="H23944" t="s">
        <v>5117</v>
      </c>
    </row>
    <row r="23945">
      <c r="H23945" t="s">
        <v>5117</v>
      </c>
    </row>
    <row r="23946">
      <c r="H23946" t="s">
        <v>5117</v>
      </c>
    </row>
    <row r="23947">
      <c r="H23947" t="s">
        <v>5117</v>
      </c>
    </row>
    <row r="23948">
      <c r="H23948" t="s">
        <v>5117</v>
      </c>
    </row>
    <row r="23949">
      <c r="H23949" t="s">
        <v>5117</v>
      </c>
    </row>
    <row r="23950">
      <c r="H23950" t="s">
        <v>5117</v>
      </c>
    </row>
    <row r="23951">
      <c r="H23951" t="s">
        <v>5117</v>
      </c>
    </row>
    <row r="23952">
      <c r="H23952" t="s">
        <v>5117</v>
      </c>
    </row>
    <row r="23953">
      <c r="H23953" t="s">
        <v>5117</v>
      </c>
    </row>
    <row r="23954">
      <c r="H23954" t="s">
        <v>5117</v>
      </c>
    </row>
    <row r="23955">
      <c r="H23955" t="s">
        <v>5117</v>
      </c>
    </row>
    <row r="23956">
      <c r="H23956" t="s">
        <v>5117</v>
      </c>
    </row>
    <row r="23957">
      <c r="H23957" t="s">
        <v>5117</v>
      </c>
    </row>
    <row r="23958">
      <c r="H23958" t="s">
        <v>5117</v>
      </c>
    </row>
    <row r="23959">
      <c r="H23959" t="s">
        <v>5117</v>
      </c>
    </row>
    <row r="23960">
      <c r="H23960" t="s">
        <v>5117</v>
      </c>
    </row>
    <row r="23961">
      <c r="H23961" t="s">
        <v>5117</v>
      </c>
    </row>
    <row r="23962">
      <c r="H23962" t="s">
        <v>5117</v>
      </c>
    </row>
    <row r="23963">
      <c r="H23963" t="s">
        <v>5117</v>
      </c>
    </row>
    <row r="23964">
      <c r="H23964" t="s">
        <v>5117</v>
      </c>
    </row>
    <row r="23965">
      <c r="H23965" t="s">
        <v>5117</v>
      </c>
    </row>
    <row r="23966">
      <c r="H23966" t="s">
        <v>5117</v>
      </c>
    </row>
    <row r="23967">
      <c r="H23967" t="s">
        <v>5117</v>
      </c>
    </row>
    <row r="23968">
      <c r="H23968" t="s">
        <v>5117</v>
      </c>
    </row>
    <row r="23969">
      <c r="H23969" t="s">
        <v>5117</v>
      </c>
    </row>
    <row r="23970">
      <c r="H23970" t="s">
        <v>5117</v>
      </c>
    </row>
    <row r="23971">
      <c r="H23971" t="s">
        <v>5117</v>
      </c>
    </row>
    <row r="23972">
      <c r="H23972" t="s">
        <v>5117</v>
      </c>
    </row>
    <row r="23973">
      <c r="H23973" t="s">
        <v>5117</v>
      </c>
    </row>
    <row r="23974">
      <c r="H23974" t="s">
        <v>5117</v>
      </c>
    </row>
    <row r="23975">
      <c r="H23975" t="s">
        <v>5117</v>
      </c>
    </row>
    <row r="23976">
      <c r="H23976" t="s">
        <v>5117</v>
      </c>
    </row>
    <row r="23977">
      <c r="H23977" t="s">
        <v>5117</v>
      </c>
    </row>
    <row r="23978">
      <c r="H23978" t="s">
        <v>5117</v>
      </c>
    </row>
    <row r="23979">
      <c r="H23979" t="s">
        <v>5117</v>
      </c>
    </row>
    <row r="23980">
      <c r="H23980" t="s">
        <v>5117</v>
      </c>
    </row>
    <row r="23981">
      <c r="H23981" t="s">
        <v>5117</v>
      </c>
    </row>
    <row r="23982">
      <c r="H23982" t="s">
        <v>5117</v>
      </c>
    </row>
    <row r="23983">
      <c r="H23983" t="s">
        <v>5117</v>
      </c>
    </row>
    <row r="23984">
      <c r="H23984" t="s">
        <v>5117</v>
      </c>
    </row>
    <row r="23985">
      <c r="H23985" t="s">
        <v>5117</v>
      </c>
    </row>
    <row r="23986">
      <c r="H23986" t="s">
        <v>5117</v>
      </c>
    </row>
    <row r="23987">
      <c r="H23987" t="s">
        <v>5117</v>
      </c>
    </row>
    <row r="23988">
      <c r="H23988" t="s">
        <v>5117</v>
      </c>
    </row>
    <row r="23989">
      <c r="H23989" t="s">
        <v>5117</v>
      </c>
    </row>
    <row r="23990">
      <c r="H23990" t="s">
        <v>5117</v>
      </c>
    </row>
    <row r="23991">
      <c r="H23991" t="s">
        <v>5117</v>
      </c>
    </row>
    <row r="23992">
      <c r="H23992" t="s">
        <v>5117</v>
      </c>
    </row>
    <row r="23993">
      <c r="H23993" t="s">
        <v>5117</v>
      </c>
    </row>
    <row r="23994">
      <c r="H23994" t="s">
        <v>5117</v>
      </c>
    </row>
    <row r="23995">
      <c r="H23995" t="s">
        <v>5117</v>
      </c>
    </row>
    <row r="23996">
      <c r="H23996" t="s">
        <v>5117</v>
      </c>
    </row>
    <row r="23997">
      <c r="H23997" t="s">
        <v>5117</v>
      </c>
    </row>
    <row r="23998">
      <c r="H23998" t="s">
        <v>5117</v>
      </c>
    </row>
    <row r="23999">
      <c r="H23999" t="s">
        <v>5117</v>
      </c>
    </row>
    <row r="24000">
      <c r="H24000" t="s">
        <v>5117</v>
      </c>
    </row>
    <row r="24001">
      <c r="H24001" t="s">
        <v>5117</v>
      </c>
    </row>
    <row r="24002">
      <c r="H24002" t="s">
        <v>5117</v>
      </c>
    </row>
    <row r="24003">
      <c r="H24003" t="s">
        <v>5117</v>
      </c>
    </row>
    <row r="24004">
      <c r="H24004" t="s">
        <v>5117</v>
      </c>
    </row>
    <row r="24005">
      <c r="H24005" t="s">
        <v>5117</v>
      </c>
    </row>
    <row r="24006">
      <c r="H24006" t="s">
        <v>5117</v>
      </c>
    </row>
    <row r="24007">
      <c r="H24007" t="s">
        <v>5117</v>
      </c>
    </row>
    <row r="24008">
      <c r="H24008" t="s">
        <v>5117</v>
      </c>
    </row>
    <row r="24009">
      <c r="H24009" t="s">
        <v>5117</v>
      </c>
    </row>
    <row r="24010">
      <c r="H24010" t="s">
        <v>5117</v>
      </c>
    </row>
    <row r="24011">
      <c r="H24011" t="s">
        <v>5117</v>
      </c>
    </row>
    <row r="24012">
      <c r="H24012" t="s">
        <v>5117</v>
      </c>
    </row>
    <row r="24013">
      <c r="H24013" t="s">
        <v>5117</v>
      </c>
    </row>
    <row r="24014">
      <c r="H24014" t="s">
        <v>5117</v>
      </c>
    </row>
    <row r="24015">
      <c r="H24015" t="s">
        <v>5117</v>
      </c>
    </row>
    <row r="24016">
      <c r="H24016" t="s">
        <v>5117</v>
      </c>
    </row>
    <row r="24017">
      <c r="H24017" t="s">
        <v>5117</v>
      </c>
    </row>
    <row r="24018">
      <c r="H24018" t="s">
        <v>5117</v>
      </c>
    </row>
    <row r="24019">
      <c r="H24019" t="s">
        <v>5117</v>
      </c>
    </row>
    <row r="24020">
      <c r="H24020" t="s">
        <v>5117</v>
      </c>
    </row>
    <row r="24021">
      <c r="H24021" t="s">
        <v>5117</v>
      </c>
    </row>
    <row r="24022">
      <c r="H24022" t="s">
        <v>5117</v>
      </c>
    </row>
    <row r="24023">
      <c r="H24023" t="s">
        <v>5117</v>
      </c>
    </row>
    <row r="24024">
      <c r="H24024" t="s">
        <v>5117</v>
      </c>
    </row>
    <row r="24025">
      <c r="H24025" t="s">
        <v>5117</v>
      </c>
    </row>
    <row r="24026">
      <c r="H24026" t="s">
        <v>5117</v>
      </c>
    </row>
    <row r="24027">
      <c r="H24027" t="s">
        <v>5117</v>
      </c>
    </row>
    <row r="24028">
      <c r="H24028" t="s">
        <v>5117</v>
      </c>
    </row>
    <row r="24029">
      <c r="H24029" t="s">
        <v>5117</v>
      </c>
    </row>
    <row r="24030">
      <c r="H24030" t="s">
        <v>5117</v>
      </c>
    </row>
    <row r="24031">
      <c r="H24031" t="s">
        <v>5117</v>
      </c>
    </row>
    <row r="24032">
      <c r="H24032" t="s">
        <v>5117</v>
      </c>
    </row>
    <row r="24033">
      <c r="H24033" t="s">
        <v>5117</v>
      </c>
    </row>
    <row r="24034">
      <c r="H24034" t="s">
        <v>5117</v>
      </c>
    </row>
    <row r="24035">
      <c r="H24035" t="s">
        <v>5117</v>
      </c>
    </row>
    <row r="24036">
      <c r="H24036" t="s">
        <v>5117</v>
      </c>
    </row>
    <row r="24037">
      <c r="H24037" t="s">
        <v>5117</v>
      </c>
    </row>
    <row r="24038">
      <c r="H24038" t="s">
        <v>5117</v>
      </c>
    </row>
    <row r="24039">
      <c r="H24039" t="s">
        <v>5117</v>
      </c>
    </row>
    <row r="24040">
      <c r="H24040" t="s">
        <v>5117</v>
      </c>
    </row>
    <row r="24041">
      <c r="H24041" t="s">
        <v>5117</v>
      </c>
    </row>
    <row r="24042">
      <c r="H24042" t="s">
        <v>5117</v>
      </c>
    </row>
    <row r="24043">
      <c r="H24043" t="s">
        <v>5117</v>
      </c>
    </row>
    <row r="24044">
      <c r="H24044" t="s">
        <v>5117</v>
      </c>
    </row>
    <row r="24045">
      <c r="H24045" t="s">
        <v>5117</v>
      </c>
    </row>
    <row r="24046">
      <c r="H24046" t="s">
        <v>5117</v>
      </c>
    </row>
    <row r="24047">
      <c r="H24047" t="s">
        <v>5117</v>
      </c>
    </row>
    <row r="24048">
      <c r="H24048" t="s">
        <v>5117</v>
      </c>
    </row>
    <row r="24049">
      <c r="H24049" t="s">
        <v>5117</v>
      </c>
    </row>
    <row r="24050">
      <c r="H24050" t="s">
        <v>5117</v>
      </c>
    </row>
    <row r="24051">
      <c r="H24051" t="s">
        <v>5117</v>
      </c>
    </row>
    <row r="24052">
      <c r="H24052" t="s">
        <v>5117</v>
      </c>
    </row>
    <row r="24053">
      <c r="H24053" t="s">
        <v>5117</v>
      </c>
    </row>
    <row r="24054">
      <c r="H24054" t="s">
        <v>5117</v>
      </c>
    </row>
    <row r="24055">
      <c r="H24055" t="s">
        <v>5117</v>
      </c>
    </row>
    <row r="24056">
      <c r="H24056" t="s">
        <v>5117</v>
      </c>
    </row>
    <row r="24057">
      <c r="H24057" t="s">
        <v>5117</v>
      </c>
    </row>
    <row r="24058">
      <c r="H24058" t="s">
        <v>5117</v>
      </c>
    </row>
    <row r="24059">
      <c r="H24059" t="s">
        <v>5117</v>
      </c>
    </row>
    <row r="24060">
      <c r="H24060" t="s">
        <v>5117</v>
      </c>
    </row>
    <row r="24061">
      <c r="H24061" t="s">
        <v>5117</v>
      </c>
    </row>
    <row r="24062">
      <c r="H24062" t="s">
        <v>5117</v>
      </c>
    </row>
    <row r="24063">
      <c r="H24063" t="s">
        <v>5117</v>
      </c>
    </row>
    <row r="24064">
      <c r="H24064" t="s">
        <v>5117</v>
      </c>
    </row>
    <row r="24065">
      <c r="H24065" t="s">
        <v>5117</v>
      </c>
    </row>
    <row r="24066">
      <c r="H24066" t="s">
        <v>5117</v>
      </c>
    </row>
    <row r="24067">
      <c r="H24067" t="s">
        <v>5117</v>
      </c>
    </row>
    <row r="24068">
      <c r="H24068" t="s">
        <v>5117</v>
      </c>
    </row>
    <row r="24069">
      <c r="H24069" t="s">
        <v>5117</v>
      </c>
    </row>
    <row r="24070">
      <c r="H24070" t="s">
        <v>5117</v>
      </c>
    </row>
    <row r="24071">
      <c r="H24071" t="s">
        <v>5117</v>
      </c>
    </row>
    <row r="24072">
      <c r="H24072" t="s">
        <v>5117</v>
      </c>
    </row>
    <row r="24073">
      <c r="H24073" t="s">
        <v>5117</v>
      </c>
    </row>
    <row r="24074">
      <c r="H24074" t="s">
        <v>5117</v>
      </c>
    </row>
    <row r="24075">
      <c r="H24075" t="s">
        <v>5117</v>
      </c>
    </row>
    <row r="24076">
      <c r="H24076" t="s">
        <v>5117</v>
      </c>
    </row>
    <row r="24077">
      <c r="H24077" t="s">
        <v>5117</v>
      </c>
    </row>
    <row r="24078">
      <c r="H24078" t="s">
        <v>5117</v>
      </c>
    </row>
    <row r="24079">
      <c r="H24079" t="s">
        <v>5117</v>
      </c>
    </row>
    <row r="24080">
      <c r="H24080" t="s">
        <v>5117</v>
      </c>
    </row>
    <row r="24081">
      <c r="H24081" t="s">
        <v>5117</v>
      </c>
    </row>
    <row r="24082">
      <c r="H24082" t="s">
        <v>5117</v>
      </c>
    </row>
    <row r="24083">
      <c r="H24083" t="s">
        <v>5117</v>
      </c>
    </row>
    <row r="24084">
      <c r="H24084" t="s">
        <v>5117</v>
      </c>
    </row>
    <row r="24085">
      <c r="H24085" t="s">
        <v>5117</v>
      </c>
    </row>
    <row r="24086">
      <c r="H24086" t="s">
        <v>5117</v>
      </c>
    </row>
    <row r="24087">
      <c r="H24087" t="s">
        <v>5117</v>
      </c>
    </row>
    <row r="24088">
      <c r="H24088" t="s">
        <v>5117</v>
      </c>
    </row>
    <row r="24089">
      <c r="H24089" t="s">
        <v>5117</v>
      </c>
    </row>
    <row r="24090">
      <c r="H24090" t="s">
        <v>5117</v>
      </c>
    </row>
    <row r="24091">
      <c r="H24091" t="s">
        <v>5117</v>
      </c>
    </row>
    <row r="24092">
      <c r="H24092" t="s">
        <v>5117</v>
      </c>
    </row>
    <row r="24093">
      <c r="H24093" t="s">
        <v>5117</v>
      </c>
    </row>
    <row r="24094">
      <c r="H24094" t="s">
        <v>5117</v>
      </c>
    </row>
    <row r="24095">
      <c r="H24095" t="s">
        <v>5117</v>
      </c>
    </row>
    <row r="24096">
      <c r="H24096" t="s">
        <v>5117</v>
      </c>
    </row>
    <row r="24097">
      <c r="H24097" t="s">
        <v>5117</v>
      </c>
    </row>
    <row r="24098">
      <c r="H24098" t="s">
        <v>5117</v>
      </c>
    </row>
    <row r="24099">
      <c r="H24099" t="s">
        <v>5117</v>
      </c>
    </row>
    <row r="24100">
      <c r="H24100" t="s">
        <v>5117</v>
      </c>
    </row>
    <row r="24101">
      <c r="H24101" t="s">
        <v>5117</v>
      </c>
    </row>
    <row r="24102">
      <c r="H24102" t="s">
        <v>5117</v>
      </c>
    </row>
    <row r="24103">
      <c r="H24103" t="s">
        <v>5117</v>
      </c>
    </row>
    <row r="24104">
      <c r="H24104" t="s">
        <v>5117</v>
      </c>
    </row>
    <row r="24105">
      <c r="H24105" t="s">
        <v>5117</v>
      </c>
    </row>
    <row r="24106">
      <c r="H24106" t="s">
        <v>5117</v>
      </c>
    </row>
    <row r="24107">
      <c r="H24107" t="s">
        <v>5117</v>
      </c>
    </row>
    <row r="24108">
      <c r="H24108" t="s">
        <v>5117</v>
      </c>
    </row>
    <row r="24109">
      <c r="H24109" t="s">
        <v>5117</v>
      </c>
    </row>
    <row r="24110">
      <c r="H24110" t="s">
        <v>5117</v>
      </c>
    </row>
    <row r="24111">
      <c r="H24111" t="s">
        <v>5117</v>
      </c>
    </row>
    <row r="24112">
      <c r="H24112" t="s">
        <v>5117</v>
      </c>
    </row>
    <row r="24113">
      <c r="H24113" t="s">
        <v>5117</v>
      </c>
    </row>
    <row r="24114">
      <c r="H24114" t="s">
        <v>5117</v>
      </c>
    </row>
    <row r="24115">
      <c r="H24115" t="s">
        <v>5117</v>
      </c>
    </row>
    <row r="24116">
      <c r="H24116" t="s">
        <v>5117</v>
      </c>
    </row>
    <row r="24117">
      <c r="H24117" t="s">
        <v>5117</v>
      </c>
    </row>
    <row r="24118">
      <c r="H24118" t="s">
        <v>5117</v>
      </c>
    </row>
    <row r="24119">
      <c r="H24119" t="s">
        <v>5117</v>
      </c>
    </row>
    <row r="24120">
      <c r="H24120" t="s">
        <v>5117</v>
      </c>
    </row>
    <row r="24121">
      <c r="H24121" t="s">
        <v>5117</v>
      </c>
    </row>
    <row r="24122">
      <c r="H24122" t="s">
        <v>5117</v>
      </c>
    </row>
    <row r="24123">
      <c r="H24123" t="s">
        <v>5117</v>
      </c>
    </row>
    <row r="24124">
      <c r="H24124" t="s">
        <v>5117</v>
      </c>
    </row>
    <row r="24125">
      <c r="H24125" t="s">
        <v>5117</v>
      </c>
    </row>
    <row r="24126">
      <c r="H24126" t="s">
        <v>5117</v>
      </c>
    </row>
    <row r="24127">
      <c r="H24127" t="s">
        <v>5117</v>
      </c>
    </row>
    <row r="24128">
      <c r="H24128" t="s">
        <v>5117</v>
      </c>
    </row>
    <row r="24129">
      <c r="H24129" t="s">
        <v>5117</v>
      </c>
    </row>
    <row r="24130">
      <c r="H24130" t="s">
        <v>5117</v>
      </c>
    </row>
    <row r="24131">
      <c r="H24131" t="s">
        <v>5117</v>
      </c>
    </row>
    <row r="24132">
      <c r="H24132" t="s">
        <v>5117</v>
      </c>
    </row>
    <row r="24133">
      <c r="H24133" t="s">
        <v>5117</v>
      </c>
    </row>
    <row r="24134">
      <c r="H24134" t="s">
        <v>5117</v>
      </c>
    </row>
    <row r="24135">
      <c r="H24135" t="s">
        <v>5117</v>
      </c>
    </row>
    <row r="24136">
      <c r="H24136" t="s">
        <v>5117</v>
      </c>
    </row>
    <row r="24137">
      <c r="H24137" t="s">
        <v>5117</v>
      </c>
    </row>
    <row r="24138">
      <c r="H24138" t="s">
        <v>5117</v>
      </c>
    </row>
    <row r="24139">
      <c r="H24139" t="s">
        <v>5117</v>
      </c>
    </row>
    <row r="24140">
      <c r="H24140" t="s">
        <v>5117</v>
      </c>
    </row>
    <row r="24141">
      <c r="H24141" t="s">
        <v>5117</v>
      </c>
    </row>
    <row r="24142">
      <c r="H24142" t="s">
        <v>5117</v>
      </c>
    </row>
    <row r="24143">
      <c r="H24143" t="s">
        <v>5117</v>
      </c>
    </row>
    <row r="24144">
      <c r="H24144" t="s">
        <v>5117</v>
      </c>
    </row>
    <row r="24145">
      <c r="H24145" t="s">
        <v>5117</v>
      </c>
    </row>
    <row r="24146">
      <c r="H24146" t="s">
        <v>5117</v>
      </c>
    </row>
    <row r="24147">
      <c r="H24147" t="s">
        <v>5117</v>
      </c>
    </row>
    <row r="24148">
      <c r="H24148" t="s">
        <v>5117</v>
      </c>
    </row>
    <row r="24149">
      <c r="H24149" t="s">
        <v>5117</v>
      </c>
    </row>
    <row r="24150">
      <c r="H24150" t="s">
        <v>5117</v>
      </c>
    </row>
    <row r="24151">
      <c r="H24151" t="s">
        <v>5117</v>
      </c>
    </row>
    <row r="24152">
      <c r="H24152" t="s">
        <v>5117</v>
      </c>
    </row>
    <row r="24153">
      <c r="H24153" t="s">
        <v>5117</v>
      </c>
    </row>
    <row r="24154">
      <c r="H24154" t="s">
        <v>5117</v>
      </c>
    </row>
    <row r="24155">
      <c r="H24155" t="s">
        <v>5117</v>
      </c>
    </row>
    <row r="24156">
      <c r="H24156" t="s">
        <v>5117</v>
      </c>
    </row>
    <row r="24157">
      <c r="H24157" t="s">
        <v>5117</v>
      </c>
    </row>
    <row r="24158">
      <c r="H24158" t="s">
        <v>5117</v>
      </c>
    </row>
    <row r="24159">
      <c r="H24159" t="s">
        <v>5117</v>
      </c>
    </row>
    <row r="24160">
      <c r="H24160" t="s">
        <v>5117</v>
      </c>
    </row>
    <row r="24161">
      <c r="H24161" t="s">
        <v>5117</v>
      </c>
    </row>
    <row r="24162">
      <c r="H24162" t="s">
        <v>5117</v>
      </c>
    </row>
    <row r="24163">
      <c r="H24163" t="s">
        <v>5117</v>
      </c>
    </row>
    <row r="24164">
      <c r="H24164" t="s">
        <v>5117</v>
      </c>
    </row>
    <row r="24165">
      <c r="H24165" t="s">
        <v>5117</v>
      </c>
    </row>
    <row r="24166">
      <c r="H24166" t="s">
        <v>5117</v>
      </c>
    </row>
    <row r="24167">
      <c r="H24167" t="s">
        <v>5117</v>
      </c>
    </row>
    <row r="24168">
      <c r="H24168" t="s">
        <v>5117</v>
      </c>
    </row>
    <row r="24169">
      <c r="H24169" t="s">
        <v>5117</v>
      </c>
    </row>
    <row r="24170">
      <c r="H24170" t="s">
        <v>5117</v>
      </c>
    </row>
    <row r="24171">
      <c r="H24171" t="s">
        <v>5117</v>
      </c>
    </row>
    <row r="24172">
      <c r="H24172" t="s">
        <v>5117</v>
      </c>
    </row>
    <row r="24173">
      <c r="H24173" t="s">
        <v>5117</v>
      </c>
    </row>
    <row r="24174">
      <c r="H24174" t="s">
        <v>5117</v>
      </c>
    </row>
    <row r="24175">
      <c r="H24175" t="s">
        <v>5117</v>
      </c>
    </row>
    <row r="24176">
      <c r="H24176" t="s">
        <v>5117</v>
      </c>
    </row>
    <row r="24177">
      <c r="H24177" t="s">
        <v>5117</v>
      </c>
    </row>
    <row r="24178">
      <c r="H24178" t="s">
        <v>5117</v>
      </c>
    </row>
    <row r="24179">
      <c r="H24179" t="s">
        <v>5117</v>
      </c>
    </row>
    <row r="24180">
      <c r="H24180" t="s">
        <v>5117</v>
      </c>
    </row>
    <row r="24181">
      <c r="H24181" t="s">
        <v>5117</v>
      </c>
    </row>
    <row r="24182">
      <c r="H24182" t="s">
        <v>5117</v>
      </c>
    </row>
    <row r="24183">
      <c r="H24183" t="s">
        <v>5117</v>
      </c>
    </row>
    <row r="24184">
      <c r="H24184" t="s">
        <v>5117</v>
      </c>
    </row>
    <row r="24185">
      <c r="H24185" t="s">
        <v>5117</v>
      </c>
    </row>
    <row r="24186">
      <c r="H24186" t="s">
        <v>5117</v>
      </c>
    </row>
    <row r="24187">
      <c r="H24187" t="s">
        <v>5117</v>
      </c>
    </row>
    <row r="24188">
      <c r="H24188" t="s">
        <v>5117</v>
      </c>
    </row>
    <row r="24189">
      <c r="H24189" t="s">
        <v>5117</v>
      </c>
    </row>
    <row r="24190">
      <c r="H24190" t="s">
        <v>5117</v>
      </c>
    </row>
    <row r="24191">
      <c r="H24191" t="s">
        <v>5117</v>
      </c>
    </row>
    <row r="24192">
      <c r="H24192" t="s">
        <v>5117</v>
      </c>
    </row>
    <row r="24193">
      <c r="H24193" t="s">
        <v>5117</v>
      </c>
    </row>
    <row r="24194">
      <c r="H24194" t="s">
        <v>5117</v>
      </c>
    </row>
    <row r="24195">
      <c r="H24195" t="s">
        <v>5117</v>
      </c>
    </row>
    <row r="24196">
      <c r="H24196" t="s">
        <v>5117</v>
      </c>
    </row>
    <row r="24197">
      <c r="H24197" t="s">
        <v>5117</v>
      </c>
    </row>
    <row r="24198">
      <c r="H24198" t="s">
        <v>5117</v>
      </c>
    </row>
    <row r="24199">
      <c r="H24199" t="s">
        <v>5117</v>
      </c>
    </row>
    <row r="24200">
      <c r="H24200" t="s">
        <v>5117</v>
      </c>
    </row>
    <row r="24201">
      <c r="H24201" t="s">
        <v>5117</v>
      </c>
    </row>
    <row r="24202">
      <c r="H24202" t="s">
        <v>5117</v>
      </c>
    </row>
    <row r="24203">
      <c r="H24203" t="s">
        <v>5117</v>
      </c>
    </row>
    <row r="24204">
      <c r="H24204" t="s">
        <v>5117</v>
      </c>
    </row>
    <row r="24205">
      <c r="H24205" t="s">
        <v>5117</v>
      </c>
    </row>
    <row r="24206">
      <c r="H24206" t="s">
        <v>5117</v>
      </c>
    </row>
    <row r="24207">
      <c r="H24207" t="s">
        <v>5117</v>
      </c>
    </row>
    <row r="24208">
      <c r="H24208" t="s">
        <v>5117</v>
      </c>
    </row>
    <row r="24209">
      <c r="H24209" t="s">
        <v>5117</v>
      </c>
    </row>
    <row r="24210">
      <c r="H24210" t="s">
        <v>5117</v>
      </c>
    </row>
    <row r="24211">
      <c r="H24211" t="s">
        <v>5117</v>
      </c>
    </row>
    <row r="24212">
      <c r="H24212" t="s">
        <v>5117</v>
      </c>
    </row>
    <row r="24213">
      <c r="H24213" t="s">
        <v>5117</v>
      </c>
    </row>
    <row r="24214">
      <c r="H24214" t="s">
        <v>5117</v>
      </c>
    </row>
    <row r="24215">
      <c r="H24215" t="s">
        <v>5117</v>
      </c>
    </row>
    <row r="24216">
      <c r="H24216" t="s">
        <v>5117</v>
      </c>
    </row>
    <row r="24217">
      <c r="H24217" t="s">
        <v>5117</v>
      </c>
    </row>
    <row r="24218">
      <c r="H24218" t="s">
        <v>5117</v>
      </c>
    </row>
    <row r="24219">
      <c r="H24219" t="s">
        <v>5117</v>
      </c>
    </row>
    <row r="24220">
      <c r="H24220" t="s">
        <v>5117</v>
      </c>
    </row>
    <row r="24221">
      <c r="H24221" t="s">
        <v>5117</v>
      </c>
    </row>
    <row r="24222">
      <c r="H24222" t="s">
        <v>5117</v>
      </c>
    </row>
    <row r="24223">
      <c r="H24223" t="s">
        <v>5117</v>
      </c>
    </row>
    <row r="24224">
      <c r="H24224" t="s">
        <v>5117</v>
      </c>
    </row>
    <row r="24225">
      <c r="H24225" t="s">
        <v>5117</v>
      </c>
    </row>
    <row r="24226">
      <c r="H24226" t="s">
        <v>5117</v>
      </c>
    </row>
    <row r="24227">
      <c r="H24227" t="s">
        <v>5117</v>
      </c>
    </row>
    <row r="24228">
      <c r="H24228" t="s">
        <v>5117</v>
      </c>
    </row>
    <row r="24229">
      <c r="H24229" t="s">
        <v>5117</v>
      </c>
    </row>
    <row r="24230">
      <c r="H24230" t="s">
        <v>5117</v>
      </c>
    </row>
    <row r="24231">
      <c r="H24231" t="s">
        <v>5117</v>
      </c>
    </row>
    <row r="24232">
      <c r="H24232" t="s">
        <v>5117</v>
      </c>
    </row>
    <row r="24233">
      <c r="H24233" t="s">
        <v>5117</v>
      </c>
    </row>
    <row r="24234">
      <c r="H24234" t="s">
        <v>5117</v>
      </c>
    </row>
    <row r="24235">
      <c r="H24235" t="s">
        <v>5117</v>
      </c>
    </row>
    <row r="24236">
      <c r="H24236" t="s">
        <v>5117</v>
      </c>
    </row>
    <row r="24237">
      <c r="H24237" t="s">
        <v>5117</v>
      </c>
    </row>
    <row r="24238">
      <c r="H24238" t="s">
        <v>5117</v>
      </c>
    </row>
    <row r="24239">
      <c r="H24239" t="s">
        <v>5117</v>
      </c>
    </row>
    <row r="24240">
      <c r="H24240" t="s">
        <v>5117</v>
      </c>
    </row>
    <row r="24241">
      <c r="H24241" t="s">
        <v>5117</v>
      </c>
    </row>
    <row r="24242">
      <c r="H24242" t="s">
        <v>5117</v>
      </c>
    </row>
    <row r="24243">
      <c r="H24243" t="s">
        <v>5117</v>
      </c>
    </row>
    <row r="24244">
      <c r="H24244" t="s">
        <v>5117</v>
      </c>
    </row>
    <row r="24245">
      <c r="H24245" t="s">
        <v>5117</v>
      </c>
    </row>
    <row r="24246">
      <c r="H24246" t="s">
        <v>5117</v>
      </c>
    </row>
    <row r="24247">
      <c r="H24247" t="s">
        <v>5117</v>
      </c>
    </row>
    <row r="24248">
      <c r="H24248" t="s">
        <v>5117</v>
      </c>
    </row>
    <row r="24249">
      <c r="H24249" t="s">
        <v>5117</v>
      </c>
    </row>
    <row r="24250">
      <c r="H24250" t="s">
        <v>5117</v>
      </c>
    </row>
    <row r="24251">
      <c r="H24251" t="s">
        <v>5117</v>
      </c>
    </row>
    <row r="24252">
      <c r="H24252" t="s">
        <v>5117</v>
      </c>
    </row>
    <row r="24253">
      <c r="H24253" t="s">
        <v>5117</v>
      </c>
    </row>
    <row r="24254">
      <c r="H24254" t="s">
        <v>5117</v>
      </c>
    </row>
    <row r="24255">
      <c r="H24255" t="s">
        <v>5117</v>
      </c>
    </row>
    <row r="24256">
      <c r="H24256" t="s">
        <v>5117</v>
      </c>
    </row>
    <row r="24257">
      <c r="H24257" t="s">
        <v>5117</v>
      </c>
    </row>
    <row r="24258">
      <c r="H24258" t="s">
        <v>5117</v>
      </c>
    </row>
    <row r="24259">
      <c r="H24259" t="s">
        <v>5117</v>
      </c>
    </row>
    <row r="24260">
      <c r="H24260" t="s">
        <v>5117</v>
      </c>
    </row>
    <row r="24261">
      <c r="H24261" t="s">
        <v>5117</v>
      </c>
    </row>
    <row r="24262">
      <c r="H24262" t="s">
        <v>5117</v>
      </c>
    </row>
    <row r="24263">
      <c r="H24263" t="s">
        <v>5117</v>
      </c>
    </row>
    <row r="24264">
      <c r="H24264" t="s">
        <v>5117</v>
      </c>
    </row>
    <row r="24265">
      <c r="H24265" t="s">
        <v>5117</v>
      </c>
    </row>
    <row r="24266">
      <c r="H24266" t="s">
        <v>5117</v>
      </c>
    </row>
    <row r="24267">
      <c r="H24267" t="s">
        <v>5117</v>
      </c>
    </row>
    <row r="24268">
      <c r="H24268" t="s">
        <v>5117</v>
      </c>
    </row>
    <row r="24269">
      <c r="H24269" t="s">
        <v>5117</v>
      </c>
    </row>
    <row r="24270">
      <c r="H24270" t="s">
        <v>5117</v>
      </c>
    </row>
    <row r="24271">
      <c r="H24271" t="s">
        <v>5117</v>
      </c>
    </row>
    <row r="24272">
      <c r="H24272" t="s">
        <v>5117</v>
      </c>
    </row>
    <row r="24273">
      <c r="H24273" t="s">
        <v>5117</v>
      </c>
    </row>
    <row r="24274">
      <c r="H24274" t="s">
        <v>5117</v>
      </c>
    </row>
    <row r="24275">
      <c r="H24275" t="s">
        <v>5117</v>
      </c>
    </row>
    <row r="24276">
      <c r="H24276" t="s">
        <v>5117</v>
      </c>
    </row>
    <row r="24277">
      <c r="H24277" t="s">
        <v>5117</v>
      </c>
    </row>
    <row r="24278">
      <c r="H24278" t="s">
        <v>5117</v>
      </c>
    </row>
    <row r="24279">
      <c r="H24279" t="s">
        <v>5117</v>
      </c>
    </row>
    <row r="24280">
      <c r="H24280" t="s">
        <v>5117</v>
      </c>
    </row>
    <row r="24281">
      <c r="H24281" t="s">
        <v>5117</v>
      </c>
    </row>
    <row r="24282">
      <c r="H24282" t="s">
        <v>5117</v>
      </c>
    </row>
    <row r="24283">
      <c r="H24283" t="s">
        <v>5117</v>
      </c>
    </row>
    <row r="24284">
      <c r="H24284" t="s">
        <v>5117</v>
      </c>
    </row>
    <row r="24285">
      <c r="H24285" t="s">
        <v>5117</v>
      </c>
    </row>
    <row r="24286">
      <c r="H24286" t="s">
        <v>5117</v>
      </c>
    </row>
    <row r="24287">
      <c r="H24287" t="s">
        <v>5117</v>
      </c>
    </row>
    <row r="24288">
      <c r="H24288" t="s">
        <v>5117</v>
      </c>
    </row>
    <row r="24289">
      <c r="H24289" t="s">
        <v>5117</v>
      </c>
    </row>
    <row r="24290">
      <c r="H24290" t="s">
        <v>5117</v>
      </c>
    </row>
    <row r="24291">
      <c r="H24291" t="s">
        <v>5117</v>
      </c>
    </row>
    <row r="24292">
      <c r="H24292" t="s">
        <v>5117</v>
      </c>
    </row>
    <row r="24293">
      <c r="H24293" t="s">
        <v>5117</v>
      </c>
    </row>
    <row r="24294">
      <c r="H24294" t="s">
        <v>5117</v>
      </c>
    </row>
    <row r="24295">
      <c r="H24295" t="s">
        <v>5117</v>
      </c>
    </row>
    <row r="24296">
      <c r="H24296" t="s">
        <v>5117</v>
      </c>
    </row>
    <row r="24297">
      <c r="H24297" t="s">
        <v>5117</v>
      </c>
    </row>
    <row r="24298">
      <c r="H24298" t="s">
        <v>5117</v>
      </c>
    </row>
    <row r="24299">
      <c r="H24299" t="s">
        <v>5117</v>
      </c>
    </row>
    <row r="24300">
      <c r="H24300" t="s">
        <v>5117</v>
      </c>
    </row>
    <row r="24301">
      <c r="H24301" t="s">
        <v>5117</v>
      </c>
    </row>
    <row r="24302">
      <c r="H24302" t="s">
        <v>5117</v>
      </c>
    </row>
    <row r="24303">
      <c r="H24303" t="s">
        <v>5117</v>
      </c>
    </row>
    <row r="24304">
      <c r="H24304" t="s">
        <v>5117</v>
      </c>
    </row>
    <row r="24305">
      <c r="H24305" t="s">
        <v>5117</v>
      </c>
    </row>
    <row r="24306">
      <c r="H24306" t="s">
        <v>5117</v>
      </c>
    </row>
    <row r="24307">
      <c r="H24307" t="s">
        <v>5117</v>
      </c>
    </row>
    <row r="24308">
      <c r="H24308" t="s">
        <v>5117</v>
      </c>
    </row>
    <row r="24309">
      <c r="H24309" t="s">
        <v>5117</v>
      </c>
    </row>
    <row r="24310">
      <c r="H24310" t="s">
        <v>5117</v>
      </c>
    </row>
    <row r="24311">
      <c r="H24311" t="s">
        <v>5117</v>
      </c>
    </row>
    <row r="24312">
      <c r="H24312" t="s">
        <v>5117</v>
      </c>
    </row>
    <row r="24313">
      <c r="H24313" t="s">
        <v>5117</v>
      </c>
    </row>
    <row r="24314">
      <c r="H24314" t="s">
        <v>5117</v>
      </c>
    </row>
    <row r="24315">
      <c r="H24315" t="s">
        <v>5117</v>
      </c>
    </row>
    <row r="24316">
      <c r="H24316" t="s">
        <v>5117</v>
      </c>
    </row>
    <row r="24317">
      <c r="H24317" t="s">
        <v>5117</v>
      </c>
    </row>
    <row r="24318">
      <c r="H24318" t="s">
        <v>5117</v>
      </c>
    </row>
    <row r="24319">
      <c r="H24319" t="s">
        <v>5117</v>
      </c>
    </row>
    <row r="24320">
      <c r="H24320" t="s">
        <v>5117</v>
      </c>
    </row>
    <row r="24321">
      <c r="H24321" t="s">
        <v>5117</v>
      </c>
    </row>
    <row r="24322">
      <c r="H24322" t="s">
        <v>5117</v>
      </c>
    </row>
    <row r="24323">
      <c r="H24323" t="s">
        <v>5117</v>
      </c>
    </row>
    <row r="24324">
      <c r="H24324" t="s">
        <v>5117</v>
      </c>
    </row>
    <row r="24325">
      <c r="H24325" t="s">
        <v>5117</v>
      </c>
    </row>
    <row r="24326">
      <c r="H24326" t="s">
        <v>5117</v>
      </c>
    </row>
    <row r="24327">
      <c r="H24327" t="s">
        <v>5117</v>
      </c>
    </row>
    <row r="24328">
      <c r="H24328" t="s">
        <v>5117</v>
      </c>
    </row>
    <row r="24329">
      <c r="H24329" t="s">
        <v>5117</v>
      </c>
    </row>
    <row r="24330">
      <c r="H24330" t="s">
        <v>5117</v>
      </c>
    </row>
    <row r="24331">
      <c r="H24331" t="s">
        <v>5117</v>
      </c>
    </row>
    <row r="24332">
      <c r="H24332" t="s">
        <v>5117</v>
      </c>
    </row>
    <row r="24333">
      <c r="H24333" t="s">
        <v>5117</v>
      </c>
    </row>
    <row r="24334">
      <c r="H24334" t="s">
        <v>5117</v>
      </c>
    </row>
    <row r="24335">
      <c r="H24335" t="s">
        <v>5117</v>
      </c>
    </row>
    <row r="24336">
      <c r="H24336" t="s">
        <v>5117</v>
      </c>
    </row>
    <row r="24337">
      <c r="H24337" t="s">
        <v>5117</v>
      </c>
    </row>
    <row r="24338">
      <c r="H24338" t="s">
        <v>5117</v>
      </c>
    </row>
    <row r="24339">
      <c r="H24339" t="s">
        <v>5117</v>
      </c>
    </row>
    <row r="24340">
      <c r="H24340" t="s">
        <v>5117</v>
      </c>
    </row>
    <row r="24341">
      <c r="H24341" t="s">
        <v>5117</v>
      </c>
    </row>
    <row r="24342">
      <c r="H24342" t="s">
        <v>5117</v>
      </c>
    </row>
    <row r="24343">
      <c r="H24343" t="s">
        <v>5117</v>
      </c>
    </row>
    <row r="24344">
      <c r="H24344" t="s">
        <v>5117</v>
      </c>
    </row>
    <row r="24345">
      <c r="H24345" t="s">
        <v>5117</v>
      </c>
    </row>
    <row r="24346">
      <c r="H24346" t="s">
        <v>5117</v>
      </c>
    </row>
    <row r="24347">
      <c r="H24347" t="s">
        <v>5117</v>
      </c>
    </row>
    <row r="24348">
      <c r="H24348" t="s">
        <v>5117</v>
      </c>
    </row>
    <row r="24349">
      <c r="H24349" t="s">
        <v>5117</v>
      </c>
    </row>
    <row r="24350">
      <c r="H24350" t="s">
        <v>5117</v>
      </c>
    </row>
    <row r="24351">
      <c r="H24351" t="s">
        <v>5117</v>
      </c>
    </row>
    <row r="24352">
      <c r="H24352" t="s">
        <v>5117</v>
      </c>
    </row>
    <row r="24353">
      <c r="H24353" t="s">
        <v>5117</v>
      </c>
    </row>
    <row r="24354">
      <c r="H24354" t="s">
        <v>5117</v>
      </c>
    </row>
    <row r="24355">
      <c r="H24355" t="s">
        <v>5117</v>
      </c>
    </row>
    <row r="24356">
      <c r="H24356" t="s">
        <v>5117</v>
      </c>
    </row>
    <row r="24357">
      <c r="H24357" t="s">
        <v>5117</v>
      </c>
    </row>
    <row r="24358">
      <c r="H24358" t="s">
        <v>5117</v>
      </c>
    </row>
    <row r="24359">
      <c r="H24359" t="s">
        <v>5117</v>
      </c>
    </row>
    <row r="24360">
      <c r="H24360" t="s">
        <v>5117</v>
      </c>
    </row>
    <row r="24361">
      <c r="H24361" t="s">
        <v>5117</v>
      </c>
    </row>
    <row r="24362">
      <c r="H24362" t="s">
        <v>5117</v>
      </c>
    </row>
    <row r="24363">
      <c r="H24363" t="s">
        <v>5117</v>
      </c>
    </row>
    <row r="24364">
      <c r="H24364" t="s">
        <v>5117</v>
      </c>
    </row>
    <row r="24365">
      <c r="H24365" t="s">
        <v>5117</v>
      </c>
    </row>
    <row r="24366">
      <c r="H24366" t="s">
        <v>5117</v>
      </c>
    </row>
    <row r="24367">
      <c r="H24367" t="s">
        <v>5117</v>
      </c>
    </row>
    <row r="24368">
      <c r="H24368" t="s">
        <v>5117</v>
      </c>
    </row>
    <row r="24369">
      <c r="H24369" t="s">
        <v>5117</v>
      </c>
    </row>
    <row r="24370">
      <c r="H24370" t="s">
        <v>5117</v>
      </c>
    </row>
    <row r="24371">
      <c r="H24371" t="s">
        <v>5117</v>
      </c>
    </row>
    <row r="24372">
      <c r="H24372" t="s">
        <v>5117</v>
      </c>
    </row>
    <row r="24373">
      <c r="H24373" t="s">
        <v>5117</v>
      </c>
    </row>
    <row r="24374">
      <c r="H24374" t="s">
        <v>5117</v>
      </c>
    </row>
    <row r="24375">
      <c r="H24375" t="s">
        <v>5117</v>
      </c>
    </row>
    <row r="24376">
      <c r="H24376" t="s">
        <v>5117</v>
      </c>
    </row>
    <row r="24377">
      <c r="H24377" t="s">
        <v>5117</v>
      </c>
    </row>
    <row r="24378">
      <c r="H24378" t="s">
        <v>5117</v>
      </c>
    </row>
    <row r="24379">
      <c r="H24379" t="s">
        <v>5117</v>
      </c>
    </row>
    <row r="24380">
      <c r="H24380" t="s">
        <v>5117</v>
      </c>
    </row>
    <row r="24381">
      <c r="H24381" t="s">
        <v>5117</v>
      </c>
    </row>
    <row r="24382">
      <c r="H24382" t="s">
        <v>5117</v>
      </c>
    </row>
    <row r="24383">
      <c r="H24383" t="s">
        <v>5117</v>
      </c>
    </row>
    <row r="24384">
      <c r="H24384" t="s">
        <v>5117</v>
      </c>
    </row>
    <row r="24385">
      <c r="H24385" t="s">
        <v>5117</v>
      </c>
    </row>
    <row r="24386">
      <c r="H24386" t="s">
        <v>5117</v>
      </c>
    </row>
    <row r="24387">
      <c r="H24387" t="s">
        <v>5117</v>
      </c>
    </row>
    <row r="24388">
      <c r="H24388" t="s">
        <v>5117</v>
      </c>
    </row>
    <row r="24389">
      <c r="H24389" t="s">
        <v>5117</v>
      </c>
    </row>
    <row r="24390">
      <c r="H24390" t="s">
        <v>5117</v>
      </c>
    </row>
    <row r="24391">
      <c r="H24391" t="s">
        <v>5117</v>
      </c>
    </row>
    <row r="24392">
      <c r="H24392" t="s">
        <v>5117</v>
      </c>
    </row>
    <row r="24393">
      <c r="H24393" t="s">
        <v>5117</v>
      </c>
    </row>
    <row r="24394">
      <c r="H24394" t="s">
        <v>5117</v>
      </c>
    </row>
    <row r="24395">
      <c r="H24395" t="s">
        <v>5117</v>
      </c>
    </row>
    <row r="24396">
      <c r="H24396" t="s">
        <v>5117</v>
      </c>
    </row>
    <row r="24397">
      <c r="H24397" t="s">
        <v>5117</v>
      </c>
    </row>
    <row r="24398">
      <c r="H24398" t="s">
        <v>5117</v>
      </c>
    </row>
    <row r="24399">
      <c r="H24399" t="s">
        <v>5117</v>
      </c>
    </row>
    <row r="24400">
      <c r="H24400" t="s">
        <v>5117</v>
      </c>
    </row>
    <row r="24401">
      <c r="H24401" t="s">
        <v>5117</v>
      </c>
    </row>
    <row r="24402">
      <c r="H24402" t="s">
        <v>5117</v>
      </c>
    </row>
    <row r="24403">
      <c r="H24403" t="s">
        <v>5117</v>
      </c>
    </row>
    <row r="24404">
      <c r="H24404" t="s">
        <v>5117</v>
      </c>
    </row>
    <row r="24405">
      <c r="H24405" t="s">
        <v>5117</v>
      </c>
    </row>
    <row r="24406">
      <c r="H24406" t="s">
        <v>5117</v>
      </c>
    </row>
    <row r="24407">
      <c r="H24407" t="s">
        <v>5117</v>
      </c>
    </row>
    <row r="24408">
      <c r="H24408" t="s">
        <v>5117</v>
      </c>
    </row>
    <row r="24409">
      <c r="H24409" t="s">
        <v>5117</v>
      </c>
    </row>
    <row r="24410">
      <c r="H24410" t="s">
        <v>5117</v>
      </c>
    </row>
    <row r="24411">
      <c r="H24411" t="s">
        <v>5117</v>
      </c>
    </row>
    <row r="24412">
      <c r="H24412" t="s">
        <v>5117</v>
      </c>
    </row>
    <row r="24413">
      <c r="H24413" t="s">
        <v>5117</v>
      </c>
    </row>
    <row r="24414">
      <c r="H24414" t="s">
        <v>5117</v>
      </c>
    </row>
    <row r="24415">
      <c r="H24415" t="s">
        <v>5117</v>
      </c>
    </row>
    <row r="24416">
      <c r="H24416" t="s">
        <v>5117</v>
      </c>
    </row>
    <row r="24417">
      <c r="H24417" t="s">
        <v>5117</v>
      </c>
    </row>
    <row r="24418">
      <c r="H24418" t="s">
        <v>5117</v>
      </c>
    </row>
    <row r="24419">
      <c r="H24419" t="s">
        <v>5117</v>
      </c>
    </row>
    <row r="24420">
      <c r="H24420" t="s">
        <v>5117</v>
      </c>
    </row>
    <row r="24421">
      <c r="H24421" t="s">
        <v>5117</v>
      </c>
    </row>
    <row r="24422">
      <c r="H24422" t="s">
        <v>5117</v>
      </c>
    </row>
    <row r="24423">
      <c r="H24423" t="s">
        <v>5117</v>
      </c>
    </row>
    <row r="24424">
      <c r="H24424" t="s">
        <v>5117</v>
      </c>
    </row>
    <row r="24425">
      <c r="H24425" t="s">
        <v>5117</v>
      </c>
    </row>
    <row r="24426">
      <c r="H24426" t="s">
        <v>5117</v>
      </c>
    </row>
    <row r="24427">
      <c r="H24427" t="s">
        <v>5117</v>
      </c>
    </row>
    <row r="24428">
      <c r="H24428" t="s">
        <v>5117</v>
      </c>
    </row>
    <row r="24429">
      <c r="H24429" t="s">
        <v>5117</v>
      </c>
    </row>
    <row r="24430">
      <c r="H24430" t="s">
        <v>5117</v>
      </c>
    </row>
    <row r="24431">
      <c r="H24431" t="s">
        <v>5117</v>
      </c>
    </row>
    <row r="24432">
      <c r="H24432" t="s">
        <v>5117</v>
      </c>
    </row>
    <row r="24433">
      <c r="H24433" t="s">
        <v>5117</v>
      </c>
    </row>
    <row r="24434">
      <c r="H24434" t="s">
        <v>5117</v>
      </c>
    </row>
    <row r="24435">
      <c r="H24435" t="s">
        <v>5117</v>
      </c>
    </row>
    <row r="24436">
      <c r="H24436" t="s">
        <v>5117</v>
      </c>
    </row>
    <row r="24437">
      <c r="H24437" t="s">
        <v>5117</v>
      </c>
    </row>
    <row r="24438">
      <c r="H24438" t="s">
        <v>5117</v>
      </c>
    </row>
    <row r="24439">
      <c r="H24439" t="s">
        <v>5117</v>
      </c>
    </row>
    <row r="24440">
      <c r="H24440" t="s">
        <v>5117</v>
      </c>
    </row>
    <row r="24441">
      <c r="H24441" t="s">
        <v>5117</v>
      </c>
    </row>
    <row r="24442">
      <c r="H24442" t="s">
        <v>5117</v>
      </c>
    </row>
    <row r="24443">
      <c r="H24443" t="s">
        <v>5117</v>
      </c>
    </row>
    <row r="24444">
      <c r="H24444" t="s">
        <v>5117</v>
      </c>
    </row>
    <row r="24445">
      <c r="H24445" t="s">
        <v>5117</v>
      </c>
    </row>
    <row r="24446">
      <c r="H24446" t="s">
        <v>5117</v>
      </c>
    </row>
    <row r="24447">
      <c r="H24447" t="s">
        <v>5117</v>
      </c>
    </row>
    <row r="24448">
      <c r="H24448" t="s">
        <v>5117</v>
      </c>
    </row>
    <row r="24449">
      <c r="H24449" t="s">
        <v>5117</v>
      </c>
    </row>
    <row r="24450">
      <c r="H24450" t="s">
        <v>5117</v>
      </c>
    </row>
    <row r="24451">
      <c r="H24451" t="s">
        <v>5117</v>
      </c>
    </row>
    <row r="24452">
      <c r="H24452" t="s">
        <v>5117</v>
      </c>
    </row>
    <row r="24453">
      <c r="H24453" t="s">
        <v>5117</v>
      </c>
    </row>
    <row r="24454">
      <c r="H24454" t="s">
        <v>5117</v>
      </c>
    </row>
    <row r="24455">
      <c r="H24455" t="s">
        <v>5117</v>
      </c>
    </row>
    <row r="24456">
      <c r="H24456" t="s">
        <v>5117</v>
      </c>
    </row>
    <row r="24457">
      <c r="H24457" t="s">
        <v>5117</v>
      </c>
    </row>
    <row r="24458">
      <c r="H24458" t="s">
        <v>5117</v>
      </c>
    </row>
    <row r="24459">
      <c r="H24459" t="s">
        <v>5117</v>
      </c>
    </row>
    <row r="24460">
      <c r="H24460" t="s">
        <v>5117</v>
      </c>
    </row>
    <row r="24461">
      <c r="H24461" t="s">
        <v>5117</v>
      </c>
    </row>
    <row r="24462">
      <c r="H24462" t="s">
        <v>5117</v>
      </c>
    </row>
    <row r="24463">
      <c r="H24463" t="s">
        <v>5117</v>
      </c>
    </row>
    <row r="24464">
      <c r="H24464" t="s">
        <v>5117</v>
      </c>
    </row>
    <row r="24465">
      <c r="H24465" t="s">
        <v>5117</v>
      </c>
    </row>
    <row r="24466">
      <c r="H24466" t="s">
        <v>5117</v>
      </c>
    </row>
    <row r="24467">
      <c r="H24467" t="s">
        <v>5117</v>
      </c>
    </row>
    <row r="24468">
      <c r="H24468" t="s">
        <v>5117</v>
      </c>
    </row>
    <row r="24469">
      <c r="H24469" t="s">
        <v>5117</v>
      </c>
    </row>
    <row r="24470">
      <c r="H24470" t="s">
        <v>5117</v>
      </c>
    </row>
    <row r="24471">
      <c r="H24471" t="s">
        <v>5117</v>
      </c>
    </row>
    <row r="24472">
      <c r="H24472" t="s">
        <v>5117</v>
      </c>
    </row>
    <row r="24473">
      <c r="H24473" t="s">
        <v>5117</v>
      </c>
    </row>
    <row r="24474">
      <c r="H24474" t="s">
        <v>5117</v>
      </c>
    </row>
    <row r="24475">
      <c r="H24475" t="s">
        <v>5117</v>
      </c>
    </row>
    <row r="24476">
      <c r="H24476" t="s">
        <v>5117</v>
      </c>
    </row>
    <row r="24477">
      <c r="H24477" t="s">
        <v>5117</v>
      </c>
    </row>
    <row r="24478">
      <c r="H24478" t="s">
        <v>5117</v>
      </c>
    </row>
    <row r="24479">
      <c r="H24479" t="s">
        <v>5117</v>
      </c>
    </row>
    <row r="24480">
      <c r="H24480" t="s">
        <v>5117</v>
      </c>
    </row>
    <row r="24481">
      <c r="H24481" t="s">
        <v>5117</v>
      </c>
    </row>
    <row r="24482">
      <c r="H24482" t="s">
        <v>5117</v>
      </c>
    </row>
    <row r="24483">
      <c r="H24483" t="s">
        <v>5117</v>
      </c>
    </row>
    <row r="24484">
      <c r="H24484" t="s">
        <v>5117</v>
      </c>
    </row>
    <row r="24485">
      <c r="H24485" t="s">
        <v>5117</v>
      </c>
    </row>
    <row r="24486">
      <c r="H24486" t="s">
        <v>5117</v>
      </c>
    </row>
    <row r="24487">
      <c r="H24487" t="s">
        <v>5117</v>
      </c>
    </row>
    <row r="24488">
      <c r="H24488" t="s">
        <v>5117</v>
      </c>
    </row>
    <row r="24489">
      <c r="H24489" t="s">
        <v>5117</v>
      </c>
    </row>
    <row r="24490">
      <c r="H24490" t="s">
        <v>5117</v>
      </c>
    </row>
    <row r="24491">
      <c r="H24491" t="s">
        <v>5117</v>
      </c>
    </row>
    <row r="24492">
      <c r="H24492" t="s">
        <v>5117</v>
      </c>
    </row>
    <row r="24493">
      <c r="H24493" t="s">
        <v>5117</v>
      </c>
    </row>
    <row r="24494">
      <c r="H24494" t="s">
        <v>5117</v>
      </c>
    </row>
    <row r="24495">
      <c r="H24495" t="s">
        <v>5117</v>
      </c>
    </row>
    <row r="24496">
      <c r="H24496" t="s">
        <v>5117</v>
      </c>
    </row>
    <row r="24497">
      <c r="H24497" t="s">
        <v>5117</v>
      </c>
    </row>
    <row r="24498">
      <c r="H24498" t="s">
        <v>5117</v>
      </c>
    </row>
    <row r="24499">
      <c r="H24499" t="s">
        <v>5117</v>
      </c>
    </row>
    <row r="24500">
      <c r="H24500" t="s">
        <v>5117</v>
      </c>
    </row>
    <row r="24501">
      <c r="H24501" t="s">
        <v>5117</v>
      </c>
    </row>
    <row r="24502">
      <c r="H24502" t="s">
        <v>5117</v>
      </c>
    </row>
    <row r="24503">
      <c r="H24503" t="s">
        <v>5117</v>
      </c>
    </row>
    <row r="24504">
      <c r="H24504" t="s">
        <v>5117</v>
      </c>
    </row>
    <row r="24505">
      <c r="H24505" t="s">
        <v>5117</v>
      </c>
    </row>
    <row r="24506">
      <c r="H24506" t="s">
        <v>5117</v>
      </c>
    </row>
    <row r="24507">
      <c r="H24507" t="s">
        <v>5117</v>
      </c>
    </row>
    <row r="24508">
      <c r="H24508" t="s">
        <v>5117</v>
      </c>
    </row>
    <row r="24509">
      <c r="H24509" t="s">
        <v>5117</v>
      </c>
    </row>
    <row r="24510">
      <c r="H24510" t="s">
        <v>5117</v>
      </c>
    </row>
    <row r="24511">
      <c r="H24511" t="s">
        <v>5117</v>
      </c>
    </row>
    <row r="24512">
      <c r="H24512" t="s">
        <v>5117</v>
      </c>
    </row>
    <row r="24513">
      <c r="H24513" t="s">
        <v>5117</v>
      </c>
    </row>
    <row r="24514">
      <c r="H24514" t="s">
        <v>5117</v>
      </c>
    </row>
    <row r="24515">
      <c r="H24515" t="s">
        <v>5117</v>
      </c>
    </row>
    <row r="24516">
      <c r="H24516" t="s">
        <v>5117</v>
      </c>
    </row>
    <row r="24517">
      <c r="H24517" t="s">
        <v>5117</v>
      </c>
    </row>
    <row r="24518">
      <c r="H24518" t="s">
        <v>5117</v>
      </c>
    </row>
    <row r="24519">
      <c r="H24519" t="s">
        <v>5117</v>
      </c>
    </row>
    <row r="24520">
      <c r="H24520" t="s">
        <v>5117</v>
      </c>
    </row>
    <row r="24521">
      <c r="H24521" t="s">
        <v>5117</v>
      </c>
    </row>
    <row r="24522">
      <c r="H24522" t="s">
        <v>5117</v>
      </c>
    </row>
    <row r="24523">
      <c r="H24523" t="s">
        <v>5117</v>
      </c>
    </row>
    <row r="24524">
      <c r="H24524" t="s">
        <v>5117</v>
      </c>
    </row>
    <row r="24525">
      <c r="H24525" t="s">
        <v>5117</v>
      </c>
    </row>
    <row r="24526">
      <c r="H24526" t="s">
        <v>5117</v>
      </c>
    </row>
    <row r="24527">
      <c r="H24527" t="s">
        <v>5117</v>
      </c>
    </row>
    <row r="24528">
      <c r="H24528" t="s">
        <v>5117</v>
      </c>
    </row>
    <row r="24529">
      <c r="H24529" t="s">
        <v>5117</v>
      </c>
    </row>
    <row r="24530">
      <c r="H24530" t="s">
        <v>5117</v>
      </c>
    </row>
    <row r="24531">
      <c r="H24531" t="s">
        <v>5117</v>
      </c>
    </row>
    <row r="24532">
      <c r="H24532" t="s">
        <v>5117</v>
      </c>
    </row>
    <row r="24533">
      <c r="H24533" t="s">
        <v>5117</v>
      </c>
    </row>
    <row r="24534">
      <c r="H24534" t="s">
        <v>5117</v>
      </c>
    </row>
    <row r="24535">
      <c r="H24535" t="s">
        <v>5117</v>
      </c>
    </row>
    <row r="24536">
      <c r="H24536" t="s">
        <v>5117</v>
      </c>
    </row>
    <row r="24537">
      <c r="H24537" t="s">
        <v>5117</v>
      </c>
    </row>
    <row r="24538">
      <c r="H24538" t="s">
        <v>5117</v>
      </c>
    </row>
    <row r="24539">
      <c r="H24539" t="s">
        <v>5117</v>
      </c>
    </row>
    <row r="24540">
      <c r="H24540" t="s">
        <v>5117</v>
      </c>
    </row>
    <row r="24541">
      <c r="H24541" t="s">
        <v>5117</v>
      </c>
    </row>
    <row r="24542">
      <c r="H24542" t="s">
        <v>5117</v>
      </c>
    </row>
    <row r="24543">
      <c r="H24543" t="s">
        <v>5117</v>
      </c>
    </row>
    <row r="24544">
      <c r="H24544" t="s">
        <v>5117</v>
      </c>
    </row>
    <row r="24545">
      <c r="H24545" t="s">
        <v>5117</v>
      </c>
    </row>
    <row r="24546">
      <c r="H24546" t="s">
        <v>5117</v>
      </c>
    </row>
    <row r="24547">
      <c r="H24547" t="s">
        <v>5117</v>
      </c>
    </row>
    <row r="24548">
      <c r="H24548" t="s">
        <v>5117</v>
      </c>
    </row>
    <row r="24549">
      <c r="H24549" t="s">
        <v>5117</v>
      </c>
    </row>
    <row r="24550">
      <c r="H24550" t="s">
        <v>5117</v>
      </c>
    </row>
    <row r="24551">
      <c r="H24551" t="s">
        <v>5117</v>
      </c>
    </row>
    <row r="24552">
      <c r="H24552" t="s">
        <v>5117</v>
      </c>
    </row>
    <row r="24553">
      <c r="H24553" t="s">
        <v>5117</v>
      </c>
    </row>
    <row r="24554">
      <c r="H24554" t="s">
        <v>5117</v>
      </c>
    </row>
    <row r="24555">
      <c r="H24555" t="s">
        <v>5117</v>
      </c>
    </row>
    <row r="24556">
      <c r="H24556" t="s">
        <v>5117</v>
      </c>
    </row>
    <row r="24557">
      <c r="H24557" t="s">
        <v>5117</v>
      </c>
    </row>
    <row r="24558">
      <c r="H24558" t="s">
        <v>5117</v>
      </c>
    </row>
    <row r="24559">
      <c r="H24559" t="s">
        <v>5117</v>
      </c>
    </row>
    <row r="24560">
      <c r="H24560" t="s">
        <v>5117</v>
      </c>
    </row>
    <row r="24561">
      <c r="H24561" t="s">
        <v>5117</v>
      </c>
    </row>
    <row r="24562">
      <c r="H24562" t="s">
        <v>5117</v>
      </c>
    </row>
    <row r="24563">
      <c r="H24563" t="s">
        <v>5117</v>
      </c>
    </row>
    <row r="24564">
      <c r="H24564" t="s">
        <v>5117</v>
      </c>
    </row>
    <row r="24565">
      <c r="H24565" t="s">
        <v>5117</v>
      </c>
    </row>
    <row r="24566">
      <c r="H24566" t="s">
        <v>5117</v>
      </c>
    </row>
    <row r="24567">
      <c r="H24567" t="s">
        <v>5117</v>
      </c>
    </row>
    <row r="24568">
      <c r="H24568" t="s">
        <v>5117</v>
      </c>
    </row>
    <row r="24569">
      <c r="H24569" t="s">
        <v>5117</v>
      </c>
    </row>
    <row r="24570">
      <c r="H24570" t="s">
        <v>5117</v>
      </c>
    </row>
    <row r="24571">
      <c r="H24571" t="s">
        <v>5117</v>
      </c>
    </row>
    <row r="24572">
      <c r="H24572" t="s">
        <v>5117</v>
      </c>
    </row>
    <row r="24573">
      <c r="H24573" t="s">
        <v>5117</v>
      </c>
    </row>
    <row r="24574">
      <c r="H24574" t="s">
        <v>5117</v>
      </c>
    </row>
    <row r="24575">
      <c r="H24575" t="s">
        <v>5117</v>
      </c>
    </row>
    <row r="24576">
      <c r="H24576" t="s">
        <v>5117</v>
      </c>
    </row>
    <row r="24577">
      <c r="H24577" t="s">
        <v>5117</v>
      </c>
    </row>
    <row r="24578">
      <c r="H24578" t="s">
        <v>5117</v>
      </c>
    </row>
    <row r="24579">
      <c r="H24579" t="s">
        <v>5117</v>
      </c>
    </row>
    <row r="24580">
      <c r="H24580" t="s">
        <v>5117</v>
      </c>
    </row>
    <row r="24581">
      <c r="H24581" t="s">
        <v>5117</v>
      </c>
    </row>
    <row r="24582">
      <c r="H24582" t="s">
        <v>5117</v>
      </c>
    </row>
    <row r="24583">
      <c r="H24583" t="s">
        <v>5117</v>
      </c>
    </row>
    <row r="24584">
      <c r="H24584" t="s">
        <v>5117</v>
      </c>
    </row>
    <row r="24585">
      <c r="H24585" t="s">
        <v>5117</v>
      </c>
    </row>
    <row r="24586">
      <c r="H24586" t="s">
        <v>5117</v>
      </c>
    </row>
    <row r="24587">
      <c r="H24587" t="s">
        <v>5117</v>
      </c>
    </row>
    <row r="24588">
      <c r="H24588" t="s">
        <v>5117</v>
      </c>
    </row>
    <row r="24589">
      <c r="H24589" t="s">
        <v>5117</v>
      </c>
    </row>
    <row r="24590">
      <c r="H24590" t="s">
        <v>5117</v>
      </c>
    </row>
    <row r="24591">
      <c r="H24591" t="s">
        <v>5117</v>
      </c>
    </row>
    <row r="24592">
      <c r="H24592" t="s">
        <v>5117</v>
      </c>
    </row>
    <row r="24593">
      <c r="H24593" t="s">
        <v>5117</v>
      </c>
    </row>
    <row r="24594">
      <c r="H24594" t="s">
        <v>5117</v>
      </c>
    </row>
    <row r="24595">
      <c r="H24595" t="s">
        <v>5117</v>
      </c>
    </row>
    <row r="24596">
      <c r="H24596" t="s">
        <v>5117</v>
      </c>
    </row>
    <row r="24597">
      <c r="H24597" t="s">
        <v>5117</v>
      </c>
    </row>
    <row r="24598">
      <c r="H24598" t="s">
        <v>5117</v>
      </c>
    </row>
    <row r="24599">
      <c r="H24599" t="s">
        <v>5117</v>
      </c>
    </row>
    <row r="24600">
      <c r="H24600" t="s">
        <v>5117</v>
      </c>
    </row>
    <row r="24601">
      <c r="H24601" t="s">
        <v>5117</v>
      </c>
    </row>
    <row r="24602">
      <c r="H24602" t="s">
        <v>5117</v>
      </c>
    </row>
    <row r="24603">
      <c r="H24603" t="s">
        <v>5117</v>
      </c>
    </row>
    <row r="24604">
      <c r="H24604" t="s">
        <v>5117</v>
      </c>
    </row>
    <row r="24605">
      <c r="H24605" t="s">
        <v>5117</v>
      </c>
    </row>
    <row r="24606">
      <c r="H24606" t="s">
        <v>5117</v>
      </c>
    </row>
    <row r="24607">
      <c r="H24607" t="s">
        <v>5117</v>
      </c>
    </row>
    <row r="24608">
      <c r="H24608" t="s">
        <v>5117</v>
      </c>
    </row>
    <row r="24609">
      <c r="H24609" t="s">
        <v>5117</v>
      </c>
    </row>
    <row r="24610">
      <c r="H24610" t="s">
        <v>5117</v>
      </c>
    </row>
    <row r="24611">
      <c r="H24611" t="s">
        <v>5117</v>
      </c>
    </row>
    <row r="24612">
      <c r="H24612" t="s">
        <v>5117</v>
      </c>
    </row>
    <row r="24613">
      <c r="H24613" t="s">
        <v>5117</v>
      </c>
    </row>
    <row r="24614">
      <c r="H24614" t="s">
        <v>5117</v>
      </c>
    </row>
    <row r="24615">
      <c r="H24615" t="s">
        <v>5117</v>
      </c>
    </row>
    <row r="24616">
      <c r="H24616" t="s">
        <v>5117</v>
      </c>
    </row>
    <row r="24617">
      <c r="H24617" t="s">
        <v>5117</v>
      </c>
    </row>
    <row r="24618">
      <c r="H24618" t="s">
        <v>5117</v>
      </c>
    </row>
    <row r="24619">
      <c r="H24619" t="s">
        <v>5117</v>
      </c>
    </row>
    <row r="24620">
      <c r="H24620" t="s">
        <v>5117</v>
      </c>
    </row>
    <row r="24621">
      <c r="H24621" t="s">
        <v>5117</v>
      </c>
    </row>
    <row r="24622">
      <c r="H24622" t="s">
        <v>5117</v>
      </c>
    </row>
    <row r="24623">
      <c r="H24623" t="s">
        <v>5117</v>
      </c>
    </row>
    <row r="24624">
      <c r="H24624" t="s">
        <v>5117</v>
      </c>
    </row>
    <row r="24625">
      <c r="H24625" t="s">
        <v>5117</v>
      </c>
    </row>
    <row r="24626">
      <c r="H24626" t="s">
        <v>5117</v>
      </c>
    </row>
    <row r="24627">
      <c r="H24627" t="s">
        <v>5117</v>
      </c>
    </row>
    <row r="24628">
      <c r="H24628" t="s">
        <v>5117</v>
      </c>
    </row>
    <row r="24629">
      <c r="H24629" t="s">
        <v>5117</v>
      </c>
    </row>
    <row r="24630">
      <c r="H24630" t="s">
        <v>5117</v>
      </c>
    </row>
    <row r="24631">
      <c r="H24631" t="s">
        <v>5117</v>
      </c>
    </row>
    <row r="24632">
      <c r="H24632" t="s">
        <v>5117</v>
      </c>
    </row>
    <row r="24633">
      <c r="H24633" t="s">
        <v>5117</v>
      </c>
    </row>
    <row r="24634">
      <c r="H24634" t="s">
        <v>5117</v>
      </c>
    </row>
    <row r="24635">
      <c r="H24635" t="s">
        <v>5117</v>
      </c>
    </row>
    <row r="24636">
      <c r="H24636" t="s">
        <v>5117</v>
      </c>
    </row>
    <row r="24637">
      <c r="H24637" t="s">
        <v>5117</v>
      </c>
    </row>
    <row r="24638">
      <c r="H24638" t="s">
        <v>5117</v>
      </c>
    </row>
    <row r="24639">
      <c r="H24639" t="s">
        <v>5117</v>
      </c>
    </row>
    <row r="24640">
      <c r="H24640" t="s">
        <v>5117</v>
      </c>
    </row>
    <row r="24641">
      <c r="H24641" t="s">
        <v>5117</v>
      </c>
    </row>
    <row r="24642">
      <c r="H24642" t="s">
        <v>5117</v>
      </c>
    </row>
    <row r="24643">
      <c r="H24643" t="s">
        <v>5117</v>
      </c>
    </row>
    <row r="24644">
      <c r="H24644" t="s">
        <v>5117</v>
      </c>
    </row>
    <row r="24645">
      <c r="H24645" t="s">
        <v>5117</v>
      </c>
    </row>
    <row r="24646">
      <c r="H24646" t="s">
        <v>5117</v>
      </c>
    </row>
    <row r="24647">
      <c r="H24647" t="s">
        <v>5117</v>
      </c>
    </row>
    <row r="24648">
      <c r="H24648" t="s">
        <v>5117</v>
      </c>
    </row>
    <row r="24649">
      <c r="H24649" t="s">
        <v>5117</v>
      </c>
    </row>
    <row r="24650">
      <c r="H24650" t="s">
        <v>5117</v>
      </c>
    </row>
    <row r="24651">
      <c r="H24651" t="s">
        <v>5117</v>
      </c>
    </row>
    <row r="24652">
      <c r="H24652" t="s">
        <v>5117</v>
      </c>
    </row>
    <row r="24653">
      <c r="H24653" t="s">
        <v>5117</v>
      </c>
    </row>
    <row r="24654">
      <c r="H24654" t="s">
        <v>5117</v>
      </c>
    </row>
    <row r="24655">
      <c r="H24655" t="s">
        <v>5117</v>
      </c>
    </row>
    <row r="24656">
      <c r="H24656" t="s">
        <v>5117</v>
      </c>
    </row>
    <row r="24657">
      <c r="H24657" t="s">
        <v>5117</v>
      </c>
    </row>
    <row r="24658">
      <c r="H24658" t="s">
        <v>5117</v>
      </c>
    </row>
    <row r="24659">
      <c r="H24659" t="s">
        <v>5117</v>
      </c>
    </row>
    <row r="24660">
      <c r="H24660" t="s">
        <v>5117</v>
      </c>
    </row>
    <row r="24661">
      <c r="H24661" t="s">
        <v>5117</v>
      </c>
    </row>
    <row r="24662">
      <c r="H24662" t="s">
        <v>5117</v>
      </c>
    </row>
    <row r="24663">
      <c r="H24663" t="s">
        <v>5117</v>
      </c>
    </row>
    <row r="24664">
      <c r="H24664" t="s">
        <v>5117</v>
      </c>
    </row>
    <row r="24665">
      <c r="H24665" t="s">
        <v>5117</v>
      </c>
    </row>
    <row r="24666">
      <c r="H24666" t="s">
        <v>5117</v>
      </c>
    </row>
    <row r="24667">
      <c r="H24667" t="s">
        <v>5117</v>
      </c>
    </row>
    <row r="24668">
      <c r="H24668" t="s">
        <v>5117</v>
      </c>
    </row>
    <row r="24669">
      <c r="H24669" t="s">
        <v>5117</v>
      </c>
    </row>
    <row r="24670">
      <c r="H24670" t="s">
        <v>5117</v>
      </c>
    </row>
    <row r="24671">
      <c r="H24671" t="s">
        <v>5117</v>
      </c>
    </row>
    <row r="24672">
      <c r="H24672" t="s">
        <v>5117</v>
      </c>
    </row>
    <row r="24673">
      <c r="H24673" t="s">
        <v>5117</v>
      </c>
    </row>
    <row r="24674">
      <c r="H24674" t="s">
        <v>5117</v>
      </c>
    </row>
    <row r="24675">
      <c r="H24675" t="s">
        <v>5117</v>
      </c>
    </row>
    <row r="24676">
      <c r="H24676" t="s">
        <v>5117</v>
      </c>
    </row>
    <row r="24677">
      <c r="H24677" t="s">
        <v>5117</v>
      </c>
    </row>
    <row r="24678">
      <c r="H24678" t="s">
        <v>5117</v>
      </c>
    </row>
    <row r="24679">
      <c r="H24679" t="s">
        <v>5117</v>
      </c>
    </row>
    <row r="24680">
      <c r="H24680" t="s">
        <v>5117</v>
      </c>
    </row>
    <row r="24681">
      <c r="H24681" t="s">
        <v>5117</v>
      </c>
    </row>
    <row r="24682">
      <c r="H24682" t="s">
        <v>5117</v>
      </c>
    </row>
    <row r="24683">
      <c r="H24683" t="s">
        <v>5117</v>
      </c>
    </row>
    <row r="24684">
      <c r="H24684" t="s">
        <v>5117</v>
      </c>
    </row>
    <row r="24685">
      <c r="H24685" t="s">
        <v>5117</v>
      </c>
    </row>
    <row r="24686">
      <c r="H24686" t="s">
        <v>5117</v>
      </c>
    </row>
    <row r="24687">
      <c r="H24687" t="s">
        <v>5117</v>
      </c>
    </row>
    <row r="24688">
      <c r="H24688" t="s">
        <v>5117</v>
      </c>
    </row>
    <row r="24689">
      <c r="H24689" t="s">
        <v>5117</v>
      </c>
    </row>
    <row r="24690">
      <c r="H24690" t="s">
        <v>5117</v>
      </c>
    </row>
    <row r="24691">
      <c r="H24691" t="s">
        <v>5117</v>
      </c>
    </row>
    <row r="24692">
      <c r="H24692" t="s">
        <v>5117</v>
      </c>
    </row>
    <row r="24693">
      <c r="H24693" t="s">
        <v>5117</v>
      </c>
    </row>
    <row r="24694">
      <c r="H24694" t="s">
        <v>5117</v>
      </c>
    </row>
    <row r="24695">
      <c r="H24695" t="s">
        <v>5117</v>
      </c>
    </row>
    <row r="24696">
      <c r="H24696" t="s">
        <v>5117</v>
      </c>
    </row>
    <row r="24697">
      <c r="H24697" t="s">
        <v>5117</v>
      </c>
    </row>
    <row r="24698">
      <c r="H24698" t="s">
        <v>5117</v>
      </c>
    </row>
    <row r="24699">
      <c r="H24699" t="s">
        <v>5117</v>
      </c>
    </row>
    <row r="24700">
      <c r="H24700" t="s">
        <v>5117</v>
      </c>
    </row>
    <row r="24701">
      <c r="H24701" t="s">
        <v>5117</v>
      </c>
    </row>
    <row r="24702">
      <c r="H24702" t="s">
        <v>5117</v>
      </c>
    </row>
    <row r="24703">
      <c r="H24703" t="s">
        <v>5117</v>
      </c>
    </row>
    <row r="24704">
      <c r="H24704" t="s">
        <v>5117</v>
      </c>
    </row>
    <row r="24705">
      <c r="H24705" t="s">
        <v>5117</v>
      </c>
    </row>
    <row r="24706">
      <c r="H24706" t="s">
        <v>5117</v>
      </c>
    </row>
    <row r="24707">
      <c r="H24707" t="s">
        <v>5117</v>
      </c>
    </row>
    <row r="24708">
      <c r="H24708" t="s">
        <v>5117</v>
      </c>
    </row>
    <row r="24709">
      <c r="H24709" t="s">
        <v>5117</v>
      </c>
    </row>
    <row r="24710">
      <c r="H24710" t="s">
        <v>5117</v>
      </c>
    </row>
    <row r="24711">
      <c r="H24711" t="s">
        <v>5117</v>
      </c>
    </row>
    <row r="24712">
      <c r="H24712" t="s">
        <v>5117</v>
      </c>
    </row>
    <row r="24713">
      <c r="H24713" t="s">
        <v>5117</v>
      </c>
    </row>
    <row r="24714">
      <c r="H24714" t="s">
        <v>5117</v>
      </c>
    </row>
    <row r="24715">
      <c r="H24715" t="s">
        <v>5117</v>
      </c>
    </row>
    <row r="24716">
      <c r="H24716" t="s">
        <v>5117</v>
      </c>
    </row>
    <row r="24717">
      <c r="H24717" t="s">
        <v>5117</v>
      </c>
    </row>
    <row r="24718">
      <c r="H24718" t="s">
        <v>5117</v>
      </c>
    </row>
    <row r="24719">
      <c r="H24719" t="s">
        <v>5117</v>
      </c>
    </row>
    <row r="24720">
      <c r="H24720" t="s">
        <v>5117</v>
      </c>
    </row>
    <row r="24721">
      <c r="H24721" t="s">
        <v>5117</v>
      </c>
    </row>
    <row r="24722">
      <c r="H24722" t="s">
        <v>5117</v>
      </c>
    </row>
    <row r="24723">
      <c r="H24723" t="s">
        <v>5117</v>
      </c>
    </row>
    <row r="24724">
      <c r="H24724" t="s">
        <v>5117</v>
      </c>
    </row>
    <row r="24725">
      <c r="H24725" t="s">
        <v>5117</v>
      </c>
    </row>
    <row r="24726">
      <c r="H24726" t="s">
        <v>5117</v>
      </c>
    </row>
    <row r="24727">
      <c r="H24727" t="s">
        <v>5117</v>
      </c>
    </row>
    <row r="24728">
      <c r="H24728" t="s">
        <v>5117</v>
      </c>
    </row>
    <row r="24729">
      <c r="H24729" t="s">
        <v>5117</v>
      </c>
    </row>
    <row r="24730">
      <c r="H24730" t="s">
        <v>5117</v>
      </c>
    </row>
    <row r="24731">
      <c r="H24731" t="s">
        <v>5117</v>
      </c>
    </row>
    <row r="24732">
      <c r="H24732" t="s">
        <v>5117</v>
      </c>
    </row>
    <row r="24733">
      <c r="H24733" t="s">
        <v>5117</v>
      </c>
    </row>
    <row r="24734">
      <c r="H24734" t="s">
        <v>5117</v>
      </c>
    </row>
    <row r="24735">
      <c r="H24735" t="s">
        <v>5117</v>
      </c>
    </row>
    <row r="24736">
      <c r="H24736" t="s">
        <v>5117</v>
      </c>
    </row>
    <row r="24737">
      <c r="H24737" t="s">
        <v>5117</v>
      </c>
    </row>
    <row r="24738">
      <c r="H24738" t="s">
        <v>5117</v>
      </c>
    </row>
    <row r="24739">
      <c r="H24739" t="s">
        <v>5117</v>
      </c>
    </row>
    <row r="24740">
      <c r="H24740" t="s">
        <v>5117</v>
      </c>
    </row>
    <row r="24741">
      <c r="H24741" t="s">
        <v>5117</v>
      </c>
    </row>
    <row r="24742">
      <c r="H24742" t="s">
        <v>5117</v>
      </c>
    </row>
    <row r="24743">
      <c r="H24743" t="s">
        <v>5117</v>
      </c>
    </row>
    <row r="24744">
      <c r="H24744" t="s">
        <v>5117</v>
      </c>
    </row>
    <row r="24745">
      <c r="H24745" t="s">
        <v>5117</v>
      </c>
    </row>
    <row r="24746">
      <c r="H24746" t="s">
        <v>5117</v>
      </c>
    </row>
    <row r="24747">
      <c r="H24747" t="s">
        <v>5117</v>
      </c>
    </row>
    <row r="24748">
      <c r="H24748" t="s">
        <v>5117</v>
      </c>
    </row>
    <row r="24749">
      <c r="H24749" t="s">
        <v>5117</v>
      </c>
    </row>
    <row r="24750">
      <c r="H24750" t="s">
        <v>5117</v>
      </c>
    </row>
    <row r="24751">
      <c r="H24751" t="s">
        <v>5117</v>
      </c>
    </row>
    <row r="24752">
      <c r="H24752" t="s">
        <v>5117</v>
      </c>
    </row>
    <row r="24753">
      <c r="H24753" t="s">
        <v>5117</v>
      </c>
    </row>
    <row r="24754">
      <c r="H24754" t="s">
        <v>5117</v>
      </c>
    </row>
    <row r="24755">
      <c r="H24755" t="s">
        <v>5117</v>
      </c>
    </row>
    <row r="24756">
      <c r="H24756" t="s">
        <v>5117</v>
      </c>
    </row>
    <row r="24757">
      <c r="H24757" t="s">
        <v>5117</v>
      </c>
    </row>
    <row r="24758">
      <c r="H24758" t="s">
        <v>5117</v>
      </c>
    </row>
    <row r="24759">
      <c r="H24759" t="s">
        <v>5117</v>
      </c>
    </row>
    <row r="24760">
      <c r="H24760" t="s">
        <v>5117</v>
      </c>
    </row>
    <row r="24761">
      <c r="H24761" t="s">
        <v>5117</v>
      </c>
    </row>
    <row r="24762">
      <c r="H24762" t="s">
        <v>5117</v>
      </c>
    </row>
    <row r="24763">
      <c r="H24763" t="s">
        <v>5117</v>
      </c>
    </row>
    <row r="24764">
      <c r="H24764" t="s">
        <v>5117</v>
      </c>
    </row>
    <row r="24765">
      <c r="H24765" t="s">
        <v>5117</v>
      </c>
    </row>
    <row r="24766">
      <c r="H24766" t="s">
        <v>5117</v>
      </c>
    </row>
    <row r="24767">
      <c r="H24767" t="s">
        <v>5117</v>
      </c>
    </row>
    <row r="24768">
      <c r="H24768" t="s">
        <v>5117</v>
      </c>
    </row>
    <row r="24769">
      <c r="H24769" t="s">
        <v>5117</v>
      </c>
    </row>
    <row r="24770">
      <c r="H24770" t="s">
        <v>5117</v>
      </c>
    </row>
    <row r="24771">
      <c r="H24771" t="s">
        <v>5117</v>
      </c>
    </row>
    <row r="24772">
      <c r="H24772" t="s">
        <v>5117</v>
      </c>
    </row>
    <row r="24773">
      <c r="H24773" t="s">
        <v>5117</v>
      </c>
    </row>
    <row r="24774">
      <c r="H24774" t="s">
        <v>5117</v>
      </c>
    </row>
    <row r="24775">
      <c r="H24775" t="s">
        <v>5117</v>
      </c>
    </row>
    <row r="24776">
      <c r="H24776" t="s">
        <v>5117</v>
      </c>
    </row>
    <row r="24777">
      <c r="H24777" t="s">
        <v>5117</v>
      </c>
    </row>
    <row r="24778">
      <c r="H24778" t="s">
        <v>5117</v>
      </c>
    </row>
    <row r="24779">
      <c r="H24779" t="s">
        <v>5117</v>
      </c>
    </row>
    <row r="24780">
      <c r="H24780" t="s">
        <v>5117</v>
      </c>
    </row>
    <row r="24781">
      <c r="H24781" t="s">
        <v>5117</v>
      </c>
    </row>
    <row r="24782">
      <c r="H24782" t="s">
        <v>5117</v>
      </c>
    </row>
    <row r="24783">
      <c r="H24783" t="s">
        <v>5117</v>
      </c>
    </row>
    <row r="24784">
      <c r="H24784" t="s">
        <v>5117</v>
      </c>
    </row>
    <row r="24785">
      <c r="H24785" t="s">
        <v>5117</v>
      </c>
    </row>
    <row r="24786">
      <c r="H24786" t="s">
        <v>5117</v>
      </c>
    </row>
    <row r="24787">
      <c r="H24787" t="s">
        <v>5117</v>
      </c>
    </row>
    <row r="24788">
      <c r="H24788" t="s">
        <v>5117</v>
      </c>
    </row>
    <row r="24789">
      <c r="H24789" t="s">
        <v>5117</v>
      </c>
    </row>
    <row r="24790">
      <c r="H24790" t="s">
        <v>5117</v>
      </c>
    </row>
    <row r="24791">
      <c r="H24791" t="s">
        <v>5117</v>
      </c>
    </row>
    <row r="24792">
      <c r="H24792" t="s">
        <v>5117</v>
      </c>
    </row>
    <row r="24793">
      <c r="H24793" t="s">
        <v>5117</v>
      </c>
    </row>
    <row r="24794">
      <c r="H24794" t="s">
        <v>5117</v>
      </c>
    </row>
    <row r="24795">
      <c r="H24795" t="s">
        <v>5117</v>
      </c>
    </row>
    <row r="24796">
      <c r="H24796" t="s">
        <v>5117</v>
      </c>
    </row>
    <row r="24797">
      <c r="H24797" t="s">
        <v>5117</v>
      </c>
    </row>
    <row r="24798">
      <c r="H24798" t="s">
        <v>5117</v>
      </c>
    </row>
    <row r="24799">
      <c r="H24799" t="s">
        <v>5117</v>
      </c>
    </row>
    <row r="24800">
      <c r="H24800" t="s">
        <v>5117</v>
      </c>
    </row>
    <row r="24801">
      <c r="H24801" t="s">
        <v>5117</v>
      </c>
    </row>
    <row r="24802">
      <c r="H24802" t="s">
        <v>5117</v>
      </c>
    </row>
    <row r="24803">
      <c r="H24803" t="s">
        <v>5117</v>
      </c>
    </row>
    <row r="24804">
      <c r="H24804" t="s">
        <v>5117</v>
      </c>
    </row>
    <row r="24805">
      <c r="H24805" t="s">
        <v>5117</v>
      </c>
    </row>
    <row r="24806">
      <c r="H24806" t="s">
        <v>5117</v>
      </c>
    </row>
    <row r="24807">
      <c r="H24807" t="s">
        <v>5117</v>
      </c>
    </row>
    <row r="24808">
      <c r="H24808" t="s">
        <v>5117</v>
      </c>
    </row>
    <row r="24809">
      <c r="H24809" t="s">
        <v>5117</v>
      </c>
    </row>
    <row r="24810">
      <c r="H24810" t="s">
        <v>5117</v>
      </c>
    </row>
    <row r="24811">
      <c r="H24811" t="s">
        <v>5117</v>
      </c>
    </row>
    <row r="24812">
      <c r="H24812" t="s">
        <v>5117</v>
      </c>
    </row>
    <row r="24813">
      <c r="H24813" t="s">
        <v>5117</v>
      </c>
    </row>
    <row r="24814">
      <c r="H24814" t="s">
        <v>5117</v>
      </c>
    </row>
    <row r="24815">
      <c r="H24815" t="s">
        <v>5117</v>
      </c>
    </row>
    <row r="24816">
      <c r="H24816" t="s">
        <v>5117</v>
      </c>
    </row>
    <row r="24817">
      <c r="H24817" t="s">
        <v>5117</v>
      </c>
    </row>
    <row r="24818">
      <c r="H24818" t="s">
        <v>5117</v>
      </c>
    </row>
    <row r="24819">
      <c r="H24819" t="s">
        <v>5117</v>
      </c>
    </row>
    <row r="24820">
      <c r="H24820" t="s">
        <v>5117</v>
      </c>
    </row>
    <row r="24821">
      <c r="H24821" t="s">
        <v>5117</v>
      </c>
    </row>
    <row r="24822">
      <c r="H24822" t="s">
        <v>5117</v>
      </c>
    </row>
    <row r="24823">
      <c r="H24823" t="s">
        <v>5117</v>
      </c>
    </row>
    <row r="24824">
      <c r="H24824" t="s">
        <v>5117</v>
      </c>
    </row>
    <row r="24825">
      <c r="H24825" t="s">
        <v>5117</v>
      </c>
    </row>
    <row r="24826">
      <c r="H24826" t="s">
        <v>5117</v>
      </c>
    </row>
    <row r="24827">
      <c r="H24827" t="s">
        <v>5117</v>
      </c>
    </row>
    <row r="24828">
      <c r="H24828" t="s">
        <v>5117</v>
      </c>
    </row>
    <row r="24829">
      <c r="H24829" t="s">
        <v>5117</v>
      </c>
    </row>
    <row r="24830">
      <c r="H24830" t="s">
        <v>5117</v>
      </c>
    </row>
    <row r="24831">
      <c r="H24831" t="s">
        <v>5117</v>
      </c>
    </row>
    <row r="24832">
      <c r="H24832" t="s">
        <v>5117</v>
      </c>
    </row>
    <row r="24833">
      <c r="H24833" t="s">
        <v>5117</v>
      </c>
    </row>
    <row r="24834">
      <c r="H24834" t="s">
        <v>5117</v>
      </c>
    </row>
    <row r="24835">
      <c r="H24835" t="s">
        <v>5117</v>
      </c>
    </row>
    <row r="24836">
      <c r="H24836" t="s">
        <v>5117</v>
      </c>
    </row>
    <row r="24837">
      <c r="H24837" t="s">
        <v>5117</v>
      </c>
    </row>
    <row r="24838">
      <c r="H24838" t="s">
        <v>5117</v>
      </c>
    </row>
    <row r="24839">
      <c r="H24839" t="s">
        <v>5117</v>
      </c>
    </row>
    <row r="24840">
      <c r="H24840" t="s">
        <v>5117</v>
      </c>
    </row>
    <row r="24841">
      <c r="H24841" t="s">
        <v>5117</v>
      </c>
    </row>
    <row r="24842">
      <c r="H24842" t="s">
        <v>5117</v>
      </c>
    </row>
    <row r="24843">
      <c r="H24843" t="s">
        <v>5117</v>
      </c>
    </row>
    <row r="24844">
      <c r="H24844" t="s">
        <v>5117</v>
      </c>
    </row>
    <row r="24845">
      <c r="H24845" t="s">
        <v>5117</v>
      </c>
    </row>
    <row r="24846">
      <c r="H24846" t="s">
        <v>5117</v>
      </c>
    </row>
    <row r="24847">
      <c r="H24847" t="s">
        <v>5117</v>
      </c>
    </row>
    <row r="24848">
      <c r="H24848" t="s">
        <v>5117</v>
      </c>
    </row>
    <row r="24849">
      <c r="H24849" t="s">
        <v>5117</v>
      </c>
    </row>
    <row r="24850">
      <c r="H24850" t="s">
        <v>5117</v>
      </c>
    </row>
    <row r="24851">
      <c r="H24851" t="s">
        <v>5117</v>
      </c>
    </row>
    <row r="24852">
      <c r="H24852" t="s">
        <v>5117</v>
      </c>
    </row>
    <row r="24853">
      <c r="H24853" t="s">
        <v>5117</v>
      </c>
    </row>
    <row r="24854">
      <c r="H24854" t="s">
        <v>5117</v>
      </c>
    </row>
    <row r="24855">
      <c r="H24855" t="s">
        <v>5117</v>
      </c>
    </row>
    <row r="24856">
      <c r="H24856" t="s">
        <v>5117</v>
      </c>
    </row>
    <row r="24857">
      <c r="H24857" t="s">
        <v>5117</v>
      </c>
    </row>
    <row r="24858">
      <c r="H24858" t="s">
        <v>5117</v>
      </c>
    </row>
    <row r="24859">
      <c r="H24859" t="s">
        <v>5117</v>
      </c>
    </row>
    <row r="24860">
      <c r="H24860" t="s">
        <v>5117</v>
      </c>
    </row>
    <row r="24861">
      <c r="H24861" t="s">
        <v>5117</v>
      </c>
    </row>
    <row r="24862">
      <c r="H24862" t="s">
        <v>5117</v>
      </c>
    </row>
    <row r="24863">
      <c r="H24863" t="s">
        <v>5117</v>
      </c>
    </row>
    <row r="24864">
      <c r="H24864" t="s">
        <v>5117</v>
      </c>
    </row>
    <row r="24865">
      <c r="H24865" t="s">
        <v>5117</v>
      </c>
    </row>
    <row r="24866">
      <c r="H24866" t="s">
        <v>5117</v>
      </c>
    </row>
    <row r="24867">
      <c r="H24867" t="s">
        <v>5117</v>
      </c>
    </row>
    <row r="24868">
      <c r="H24868" t="s">
        <v>5117</v>
      </c>
    </row>
    <row r="24869">
      <c r="H24869" t="s">
        <v>5117</v>
      </c>
    </row>
    <row r="24870">
      <c r="H24870" t="s">
        <v>5117</v>
      </c>
    </row>
    <row r="24871">
      <c r="H24871" t="s">
        <v>5117</v>
      </c>
    </row>
    <row r="24872">
      <c r="H24872" t="s">
        <v>5117</v>
      </c>
    </row>
    <row r="24873">
      <c r="H24873" t="s">
        <v>5117</v>
      </c>
    </row>
    <row r="24874">
      <c r="H24874" t="s">
        <v>5117</v>
      </c>
    </row>
    <row r="24875">
      <c r="H24875" t="s">
        <v>5117</v>
      </c>
    </row>
    <row r="24876">
      <c r="H24876" t="s">
        <v>5117</v>
      </c>
    </row>
    <row r="24877">
      <c r="H24877" t="s">
        <v>5117</v>
      </c>
    </row>
    <row r="24878">
      <c r="H24878" t="s">
        <v>5117</v>
      </c>
    </row>
    <row r="24879">
      <c r="H24879" t="s">
        <v>5117</v>
      </c>
    </row>
    <row r="24880">
      <c r="H24880" t="s">
        <v>5117</v>
      </c>
    </row>
    <row r="24881">
      <c r="H24881" t="s">
        <v>5117</v>
      </c>
    </row>
    <row r="24882">
      <c r="H24882" t="s">
        <v>5117</v>
      </c>
    </row>
    <row r="24883">
      <c r="H24883" t="s">
        <v>5117</v>
      </c>
    </row>
    <row r="24884">
      <c r="H24884" t="s">
        <v>5117</v>
      </c>
    </row>
    <row r="24885">
      <c r="H24885" t="s">
        <v>5117</v>
      </c>
    </row>
    <row r="24886">
      <c r="H24886" t="s">
        <v>5117</v>
      </c>
    </row>
    <row r="24887">
      <c r="H24887" t="s">
        <v>5117</v>
      </c>
    </row>
    <row r="24888">
      <c r="H24888" t="s">
        <v>5117</v>
      </c>
    </row>
    <row r="24889">
      <c r="H24889" t="s">
        <v>5117</v>
      </c>
    </row>
    <row r="24890">
      <c r="H24890" t="s">
        <v>5117</v>
      </c>
    </row>
    <row r="24891">
      <c r="H24891" t="s">
        <v>5117</v>
      </c>
    </row>
    <row r="24892">
      <c r="H24892" t="s">
        <v>5117</v>
      </c>
    </row>
    <row r="24893">
      <c r="H24893" t="s">
        <v>5117</v>
      </c>
    </row>
    <row r="24894">
      <c r="H24894" t="s">
        <v>5117</v>
      </c>
    </row>
    <row r="24895">
      <c r="H24895" t="s">
        <v>5117</v>
      </c>
    </row>
    <row r="24896">
      <c r="H24896" t="s">
        <v>5117</v>
      </c>
    </row>
    <row r="24897">
      <c r="H24897" t="s">
        <v>5117</v>
      </c>
    </row>
    <row r="24898">
      <c r="H24898" t="s">
        <v>5117</v>
      </c>
    </row>
    <row r="24899">
      <c r="H24899" t="s">
        <v>5117</v>
      </c>
    </row>
    <row r="24900">
      <c r="H24900" t="s">
        <v>5117</v>
      </c>
    </row>
    <row r="24901">
      <c r="H24901" t="s">
        <v>5117</v>
      </c>
    </row>
    <row r="24902">
      <c r="H24902" t="s">
        <v>5117</v>
      </c>
    </row>
    <row r="24903">
      <c r="H24903" t="s">
        <v>5117</v>
      </c>
    </row>
    <row r="24904">
      <c r="H24904" t="s">
        <v>5117</v>
      </c>
    </row>
    <row r="24905">
      <c r="H24905" t="s">
        <v>5117</v>
      </c>
    </row>
    <row r="24906">
      <c r="H24906" t="s">
        <v>5117</v>
      </c>
    </row>
    <row r="24907">
      <c r="H24907" t="s">
        <v>5117</v>
      </c>
    </row>
    <row r="24908">
      <c r="H24908" t="s">
        <v>5117</v>
      </c>
    </row>
    <row r="24909">
      <c r="H24909" t="s">
        <v>5117</v>
      </c>
    </row>
    <row r="24910">
      <c r="H24910" t="s">
        <v>5117</v>
      </c>
    </row>
    <row r="24911">
      <c r="H24911" t="s">
        <v>5117</v>
      </c>
    </row>
    <row r="24912">
      <c r="H24912" t="s">
        <v>5117</v>
      </c>
    </row>
    <row r="24913">
      <c r="H24913" t="s">
        <v>5117</v>
      </c>
    </row>
    <row r="24914">
      <c r="H24914" t="s">
        <v>5117</v>
      </c>
    </row>
    <row r="24915">
      <c r="H24915" t="s">
        <v>5117</v>
      </c>
    </row>
    <row r="24916">
      <c r="H24916" t="s">
        <v>5117</v>
      </c>
    </row>
    <row r="24917">
      <c r="H24917" t="s">
        <v>5117</v>
      </c>
    </row>
    <row r="24918">
      <c r="H24918" t="s">
        <v>5117</v>
      </c>
    </row>
    <row r="24919">
      <c r="H24919" t="s">
        <v>5117</v>
      </c>
    </row>
    <row r="24920">
      <c r="H24920" t="s">
        <v>5117</v>
      </c>
    </row>
    <row r="24921">
      <c r="H24921" t="s">
        <v>5117</v>
      </c>
    </row>
    <row r="24922">
      <c r="H24922" t="s">
        <v>5117</v>
      </c>
    </row>
    <row r="24923">
      <c r="H24923" t="s">
        <v>5117</v>
      </c>
    </row>
    <row r="24924">
      <c r="H24924" t="s">
        <v>5117</v>
      </c>
    </row>
    <row r="24925">
      <c r="H24925" t="s">
        <v>5117</v>
      </c>
    </row>
    <row r="24926">
      <c r="H24926" t="s">
        <v>5117</v>
      </c>
    </row>
    <row r="24927">
      <c r="H24927" t="s">
        <v>5117</v>
      </c>
    </row>
    <row r="24928">
      <c r="H24928" t="s">
        <v>5117</v>
      </c>
    </row>
    <row r="24929">
      <c r="H24929" t="s">
        <v>5117</v>
      </c>
    </row>
    <row r="24930">
      <c r="H24930" t="s">
        <v>5117</v>
      </c>
    </row>
    <row r="24931">
      <c r="H24931" t="s">
        <v>5117</v>
      </c>
    </row>
    <row r="24932">
      <c r="H24932" t="s">
        <v>5117</v>
      </c>
    </row>
    <row r="24933">
      <c r="H24933" t="s">
        <v>5117</v>
      </c>
    </row>
    <row r="24934">
      <c r="H24934" t="s">
        <v>5117</v>
      </c>
    </row>
    <row r="24935">
      <c r="H24935" t="s">
        <v>5117</v>
      </c>
    </row>
    <row r="24936">
      <c r="H24936" t="s">
        <v>5117</v>
      </c>
    </row>
    <row r="24937">
      <c r="H24937" t="s">
        <v>5117</v>
      </c>
    </row>
    <row r="24938">
      <c r="H24938" t="s">
        <v>5117</v>
      </c>
    </row>
    <row r="24939">
      <c r="H24939" t="s">
        <v>5117</v>
      </c>
    </row>
    <row r="24940">
      <c r="H24940" t="s">
        <v>5117</v>
      </c>
    </row>
    <row r="24941">
      <c r="H24941" t="s">
        <v>5117</v>
      </c>
    </row>
    <row r="24942">
      <c r="H24942" t="s">
        <v>5117</v>
      </c>
    </row>
    <row r="24943">
      <c r="H24943" t="s">
        <v>5117</v>
      </c>
    </row>
    <row r="24944">
      <c r="H24944" t="s">
        <v>5117</v>
      </c>
    </row>
    <row r="24945">
      <c r="H24945" t="s">
        <v>5117</v>
      </c>
    </row>
    <row r="24946">
      <c r="H24946" t="s">
        <v>5117</v>
      </c>
    </row>
    <row r="24947">
      <c r="H24947" t="s">
        <v>5117</v>
      </c>
    </row>
    <row r="24948">
      <c r="H24948" t="s">
        <v>5117</v>
      </c>
    </row>
    <row r="24949">
      <c r="H24949" t="s">
        <v>5117</v>
      </c>
    </row>
    <row r="24950">
      <c r="H24950" t="s">
        <v>5117</v>
      </c>
    </row>
    <row r="24951">
      <c r="H24951" t="s">
        <v>5117</v>
      </c>
    </row>
    <row r="24952">
      <c r="H24952" t="s">
        <v>5117</v>
      </c>
    </row>
    <row r="24953">
      <c r="H24953" t="s">
        <v>5117</v>
      </c>
    </row>
    <row r="24954">
      <c r="H24954" t="s">
        <v>5117</v>
      </c>
    </row>
    <row r="24955">
      <c r="H24955" t="s">
        <v>5117</v>
      </c>
    </row>
    <row r="24956">
      <c r="H24956" t="s">
        <v>5117</v>
      </c>
    </row>
    <row r="24957">
      <c r="H24957" t="s">
        <v>5117</v>
      </c>
    </row>
    <row r="24958">
      <c r="H24958" t="s">
        <v>5117</v>
      </c>
    </row>
    <row r="24959">
      <c r="H24959" t="s">
        <v>5117</v>
      </c>
    </row>
    <row r="24960">
      <c r="H24960" t="s">
        <v>5117</v>
      </c>
    </row>
    <row r="24961">
      <c r="H24961" t="s">
        <v>5117</v>
      </c>
    </row>
    <row r="24962">
      <c r="H24962" t="s">
        <v>5117</v>
      </c>
    </row>
    <row r="24963">
      <c r="H24963" t="s">
        <v>5117</v>
      </c>
    </row>
    <row r="24964">
      <c r="H24964" t="s">
        <v>5117</v>
      </c>
    </row>
    <row r="24965">
      <c r="H24965" t="s">
        <v>5117</v>
      </c>
    </row>
    <row r="24966">
      <c r="H24966" t="s">
        <v>5117</v>
      </c>
    </row>
    <row r="24967">
      <c r="H24967" t="s">
        <v>5117</v>
      </c>
    </row>
    <row r="24968">
      <c r="H24968" t="s">
        <v>5117</v>
      </c>
    </row>
    <row r="24969">
      <c r="H24969" t="s">
        <v>5117</v>
      </c>
    </row>
    <row r="24970">
      <c r="H24970" t="s">
        <v>5117</v>
      </c>
    </row>
    <row r="24971">
      <c r="H24971" t="s">
        <v>5117</v>
      </c>
    </row>
    <row r="24972">
      <c r="H24972" t="s">
        <v>5117</v>
      </c>
    </row>
    <row r="24973">
      <c r="H24973" t="s">
        <v>5117</v>
      </c>
    </row>
    <row r="24974">
      <c r="H24974" t="s">
        <v>5117</v>
      </c>
    </row>
    <row r="24975">
      <c r="H24975" t="s">
        <v>5117</v>
      </c>
    </row>
    <row r="24976">
      <c r="H24976" t="s">
        <v>5117</v>
      </c>
    </row>
    <row r="24977">
      <c r="H24977" t="s">
        <v>5117</v>
      </c>
    </row>
    <row r="24978">
      <c r="H24978" t="s">
        <v>5117</v>
      </c>
    </row>
    <row r="24979">
      <c r="H24979" t="s">
        <v>5117</v>
      </c>
    </row>
    <row r="24980">
      <c r="H24980" t="s">
        <v>5117</v>
      </c>
    </row>
    <row r="24981">
      <c r="H24981" t="s">
        <v>5117</v>
      </c>
    </row>
    <row r="24982">
      <c r="H24982" t="s">
        <v>5117</v>
      </c>
    </row>
    <row r="24983">
      <c r="H24983" t="s">
        <v>5117</v>
      </c>
    </row>
    <row r="24984">
      <c r="H24984" t="s">
        <v>5117</v>
      </c>
    </row>
    <row r="24985">
      <c r="H24985" t="s">
        <v>5117</v>
      </c>
    </row>
    <row r="24986">
      <c r="H24986" t="s">
        <v>5117</v>
      </c>
    </row>
    <row r="24987">
      <c r="H24987" t="s">
        <v>5117</v>
      </c>
    </row>
    <row r="24988">
      <c r="H24988" t="s">
        <v>5117</v>
      </c>
    </row>
    <row r="24989">
      <c r="H24989" t="s">
        <v>5117</v>
      </c>
    </row>
    <row r="24990">
      <c r="H24990" t="s">
        <v>5117</v>
      </c>
    </row>
    <row r="24991">
      <c r="H24991" t="s">
        <v>5117</v>
      </c>
    </row>
    <row r="24992">
      <c r="H24992" t="s">
        <v>5117</v>
      </c>
    </row>
    <row r="24993">
      <c r="H24993" t="s">
        <v>5117</v>
      </c>
    </row>
    <row r="24994">
      <c r="H24994" t="s">
        <v>5117</v>
      </c>
    </row>
    <row r="24995">
      <c r="H24995" t="s">
        <v>5117</v>
      </c>
    </row>
    <row r="24996">
      <c r="H24996" t="s">
        <v>5117</v>
      </c>
    </row>
    <row r="24997">
      <c r="H24997" t="s">
        <v>5117</v>
      </c>
    </row>
    <row r="24998">
      <c r="H24998" t="s">
        <v>5117</v>
      </c>
    </row>
    <row r="24999">
      <c r="H24999" t="s">
        <v>5117</v>
      </c>
    </row>
    <row r="25000">
      <c r="H25000" t="s">
        <v>5117</v>
      </c>
    </row>
    <row r="25001">
      <c r="H25001" t="s">
        <v>5117</v>
      </c>
    </row>
    <row r="25002">
      <c r="H25002" t="s">
        <v>5117</v>
      </c>
    </row>
    <row r="25003">
      <c r="H25003" t="s">
        <v>5117</v>
      </c>
    </row>
    <row r="25004">
      <c r="H25004" t="s">
        <v>5117</v>
      </c>
    </row>
    <row r="25005">
      <c r="H25005" t="s">
        <v>5117</v>
      </c>
    </row>
    <row r="25006">
      <c r="H25006" t="s">
        <v>5117</v>
      </c>
    </row>
    <row r="25007">
      <c r="H25007" t="s">
        <v>5117</v>
      </c>
    </row>
    <row r="25008">
      <c r="H25008" t="s">
        <v>5117</v>
      </c>
    </row>
    <row r="25009">
      <c r="H25009" t="s">
        <v>5117</v>
      </c>
    </row>
    <row r="25010">
      <c r="H25010" t="s">
        <v>5117</v>
      </c>
    </row>
    <row r="25011">
      <c r="H25011" t="s">
        <v>5117</v>
      </c>
    </row>
    <row r="25012">
      <c r="H25012" t="s">
        <v>5117</v>
      </c>
    </row>
    <row r="25013">
      <c r="H25013" t="s">
        <v>5117</v>
      </c>
    </row>
    <row r="25014">
      <c r="H25014" t="s">
        <v>5117</v>
      </c>
    </row>
    <row r="25015">
      <c r="H25015" t="s">
        <v>5117</v>
      </c>
    </row>
    <row r="25016">
      <c r="H25016" t="s">
        <v>5117</v>
      </c>
    </row>
    <row r="25017">
      <c r="H25017" t="s">
        <v>5117</v>
      </c>
    </row>
    <row r="25018">
      <c r="H25018" t="s">
        <v>5117</v>
      </c>
    </row>
    <row r="25019">
      <c r="H25019" t="s">
        <v>5117</v>
      </c>
    </row>
    <row r="25020">
      <c r="H25020" t="s">
        <v>5117</v>
      </c>
    </row>
    <row r="25021">
      <c r="H25021" t="s">
        <v>5117</v>
      </c>
    </row>
    <row r="25022">
      <c r="H25022" t="s">
        <v>5117</v>
      </c>
    </row>
    <row r="25023">
      <c r="H25023" t="s">
        <v>5117</v>
      </c>
    </row>
    <row r="25024">
      <c r="H25024" t="s">
        <v>5117</v>
      </c>
    </row>
    <row r="25025">
      <c r="H25025" t="s">
        <v>5117</v>
      </c>
    </row>
    <row r="25026">
      <c r="H25026" t="s">
        <v>5117</v>
      </c>
    </row>
    <row r="25027">
      <c r="H25027" t="s">
        <v>5117</v>
      </c>
    </row>
    <row r="25028">
      <c r="H25028" t="s">
        <v>5117</v>
      </c>
    </row>
    <row r="25029">
      <c r="H25029" t="s">
        <v>5117</v>
      </c>
    </row>
    <row r="25030">
      <c r="H25030" t="s">
        <v>5117</v>
      </c>
    </row>
    <row r="25031">
      <c r="H25031" t="s">
        <v>5117</v>
      </c>
    </row>
    <row r="25032">
      <c r="H25032" t="s">
        <v>5117</v>
      </c>
    </row>
    <row r="25033">
      <c r="H25033" t="s">
        <v>5117</v>
      </c>
    </row>
    <row r="25034">
      <c r="H25034" t="s">
        <v>5117</v>
      </c>
    </row>
    <row r="25035">
      <c r="H25035" t="s">
        <v>5117</v>
      </c>
    </row>
    <row r="25036">
      <c r="H25036" t="s">
        <v>5117</v>
      </c>
    </row>
    <row r="25037">
      <c r="H25037" t="s">
        <v>5117</v>
      </c>
    </row>
    <row r="25038">
      <c r="H25038" t="s">
        <v>5117</v>
      </c>
    </row>
    <row r="25039">
      <c r="H25039" t="s">
        <v>5117</v>
      </c>
    </row>
    <row r="25040">
      <c r="H25040" t="s">
        <v>5117</v>
      </c>
    </row>
    <row r="25041">
      <c r="H25041" t="s">
        <v>5117</v>
      </c>
    </row>
    <row r="25042">
      <c r="H25042" t="s">
        <v>5117</v>
      </c>
    </row>
    <row r="25043">
      <c r="H25043" t="s">
        <v>5117</v>
      </c>
    </row>
    <row r="25044">
      <c r="H25044" t="s">
        <v>5117</v>
      </c>
    </row>
    <row r="25045">
      <c r="H25045" t="s">
        <v>5117</v>
      </c>
    </row>
    <row r="25046">
      <c r="H25046" t="s">
        <v>5117</v>
      </c>
    </row>
    <row r="25047">
      <c r="H25047" t="s">
        <v>5117</v>
      </c>
    </row>
    <row r="25048">
      <c r="H25048" t="s">
        <v>5117</v>
      </c>
    </row>
    <row r="25049">
      <c r="H25049" t="s">
        <v>5117</v>
      </c>
    </row>
    <row r="25050">
      <c r="H25050" t="s">
        <v>5117</v>
      </c>
    </row>
    <row r="25051">
      <c r="H25051" t="s">
        <v>5117</v>
      </c>
    </row>
    <row r="25052">
      <c r="H25052" t="s">
        <v>5117</v>
      </c>
    </row>
    <row r="25053">
      <c r="H25053" t="s">
        <v>5117</v>
      </c>
    </row>
    <row r="25054">
      <c r="H25054" t="s">
        <v>5117</v>
      </c>
    </row>
    <row r="25055">
      <c r="H25055" t="s">
        <v>5117</v>
      </c>
    </row>
    <row r="25056">
      <c r="H25056" t="s">
        <v>5117</v>
      </c>
    </row>
    <row r="25057">
      <c r="H25057" t="s">
        <v>5117</v>
      </c>
    </row>
    <row r="25058">
      <c r="H25058" t="s">
        <v>5117</v>
      </c>
    </row>
    <row r="25059">
      <c r="H25059" t="s">
        <v>5117</v>
      </c>
    </row>
    <row r="25060">
      <c r="H25060" t="s">
        <v>5117</v>
      </c>
    </row>
    <row r="25061">
      <c r="H25061" t="s">
        <v>5117</v>
      </c>
    </row>
    <row r="25062">
      <c r="H25062" t="s">
        <v>5117</v>
      </c>
    </row>
    <row r="25063">
      <c r="H25063" t="s">
        <v>5117</v>
      </c>
    </row>
    <row r="25064">
      <c r="H25064" t="s">
        <v>5117</v>
      </c>
    </row>
    <row r="25065">
      <c r="H25065" t="s">
        <v>5117</v>
      </c>
    </row>
    <row r="25066">
      <c r="H25066" t="s">
        <v>5117</v>
      </c>
    </row>
    <row r="25067">
      <c r="H25067" t="s">
        <v>5117</v>
      </c>
    </row>
    <row r="25068">
      <c r="H25068" t="s">
        <v>5117</v>
      </c>
    </row>
    <row r="25069">
      <c r="H25069" t="s">
        <v>5117</v>
      </c>
    </row>
    <row r="25070">
      <c r="H25070" t="s">
        <v>5117</v>
      </c>
    </row>
    <row r="25071">
      <c r="H25071" t="s">
        <v>5117</v>
      </c>
    </row>
    <row r="25072">
      <c r="H25072" t="s">
        <v>5117</v>
      </c>
    </row>
    <row r="25073">
      <c r="H25073" t="s">
        <v>5117</v>
      </c>
    </row>
    <row r="25074">
      <c r="H25074" t="s">
        <v>5117</v>
      </c>
    </row>
    <row r="25075">
      <c r="H25075" t="s">
        <v>5117</v>
      </c>
    </row>
    <row r="25076">
      <c r="H25076" t="s">
        <v>5117</v>
      </c>
    </row>
    <row r="25077">
      <c r="H25077" t="s">
        <v>5117</v>
      </c>
    </row>
    <row r="25078">
      <c r="H25078" t="s">
        <v>5117</v>
      </c>
    </row>
    <row r="25079">
      <c r="H25079" t="s">
        <v>5117</v>
      </c>
    </row>
    <row r="25080">
      <c r="H25080" t="s">
        <v>5117</v>
      </c>
    </row>
    <row r="25081">
      <c r="H25081" t="s">
        <v>5117</v>
      </c>
    </row>
    <row r="25082">
      <c r="H25082" t="s">
        <v>5117</v>
      </c>
    </row>
    <row r="25083">
      <c r="H25083" t="s">
        <v>5117</v>
      </c>
    </row>
    <row r="25084">
      <c r="H25084" t="s">
        <v>5117</v>
      </c>
    </row>
    <row r="25085">
      <c r="H25085" t="s">
        <v>5117</v>
      </c>
    </row>
    <row r="25086">
      <c r="H25086" t="s">
        <v>5117</v>
      </c>
    </row>
    <row r="25087">
      <c r="H25087" t="s">
        <v>5117</v>
      </c>
    </row>
    <row r="25088">
      <c r="H25088" t="s">
        <v>5117</v>
      </c>
    </row>
    <row r="25089">
      <c r="H25089" t="s">
        <v>5117</v>
      </c>
    </row>
    <row r="25090">
      <c r="H25090" t="s">
        <v>5117</v>
      </c>
    </row>
    <row r="25091">
      <c r="H25091" t="s">
        <v>5117</v>
      </c>
    </row>
    <row r="25092">
      <c r="H25092" t="s">
        <v>5117</v>
      </c>
    </row>
    <row r="25093">
      <c r="H25093" t="s">
        <v>5117</v>
      </c>
    </row>
    <row r="25094">
      <c r="H25094" t="s">
        <v>5117</v>
      </c>
    </row>
    <row r="25095">
      <c r="H25095" t="s">
        <v>5117</v>
      </c>
    </row>
    <row r="25096">
      <c r="H25096" t="s">
        <v>5117</v>
      </c>
    </row>
    <row r="25097">
      <c r="H25097" t="s">
        <v>5117</v>
      </c>
    </row>
    <row r="25098">
      <c r="H25098" t="s">
        <v>5117</v>
      </c>
    </row>
    <row r="25099">
      <c r="H25099" t="s">
        <v>5117</v>
      </c>
    </row>
    <row r="25100">
      <c r="H25100" t="s">
        <v>5117</v>
      </c>
    </row>
    <row r="25101">
      <c r="H25101" t="s">
        <v>5117</v>
      </c>
    </row>
    <row r="25102">
      <c r="H25102" t="s">
        <v>5117</v>
      </c>
    </row>
    <row r="25103">
      <c r="H25103" t="s">
        <v>5117</v>
      </c>
    </row>
    <row r="25104">
      <c r="H25104" t="s">
        <v>5117</v>
      </c>
    </row>
    <row r="25105">
      <c r="H25105" t="s">
        <v>5117</v>
      </c>
    </row>
    <row r="25106">
      <c r="H25106" t="s">
        <v>5117</v>
      </c>
    </row>
    <row r="25107">
      <c r="H25107" t="s">
        <v>5117</v>
      </c>
    </row>
    <row r="25108">
      <c r="H25108" t="s">
        <v>5117</v>
      </c>
    </row>
    <row r="25109">
      <c r="H25109" t="s">
        <v>5117</v>
      </c>
    </row>
    <row r="25110">
      <c r="H25110" t="s">
        <v>5117</v>
      </c>
    </row>
    <row r="25111">
      <c r="H25111" t="s">
        <v>5117</v>
      </c>
    </row>
    <row r="25112">
      <c r="H25112" t="s">
        <v>5117</v>
      </c>
    </row>
    <row r="25113">
      <c r="H25113" t="s">
        <v>5117</v>
      </c>
    </row>
    <row r="25114">
      <c r="H25114" t="s">
        <v>5117</v>
      </c>
    </row>
    <row r="25115">
      <c r="H25115" t="s">
        <v>5117</v>
      </c>
    </row>
    <row r="25116">
      <c r="H25116" t="s">
        <v>5117</v>
      </c>
    </row>
    <row r="25117">
      <c r="H25117" t="s">
        <v>5117</v>
      </c>
    </row>
    <row r="25118">
      <c r="H25118" t="s">
        <v>5117</v>
      </c>
    </row>
    <row r="25119">
      <c r="H25119" t="s">
        <v>5117</v>
      </c>
    </row>
    <row r="25120">
      <c r="H25120" t="s">
        <v>5117</v>
      </c>
    </row>
    <row r="25121">
      <c r="H25121" t="s">
        <v>5117</v>
      </c>
    </row>
    <row r="25122">
      <c r="H25122" t="s">
        <v>5117</v>
      </c>
    </row>
    <row r="25123">
      <c r="H25123" t="s">
        <v>5117</v>
      </c>
    </row>
    <row r="25124">
      <c r="H25124" t="s">
        <v>5117</v>
      </c>
    </row>
    <row r="25125">
      <c r="H25125" t="s">
        <v>5117</v>
      </c>
    </row>
    <row r="25126">
      <c r="H25126" t="s">
        <v>5117</v>
      </c>
    </row>
    <row r="25127">
      <c r="H25127" t="s">
        <v>5117</v>
      </c>
    </row>
    <row r="25128">
      <c r="H25128" t="s">
        <v>5117</v>
      </c>
    </row>
    <row r="25129">
      <c r="H25129" t="s">
        <v>5117</v>
      </c>
    </row>
    <row r="25130">
      <c r="H25130" t="s">
        <v>5117</v>
      </c>
    </row>
    <row r="25131">
      <c r="H25131" t="s">
        <v>5117</v>
      </c>
    </row>
    <row r="25132">
      <c r="H25132" t="s">
        <v>5117</v>
      </c>
    </row>
    <row r="25133">
      <c r="H25133" t="s">
        <v>5117</v>
      </c>
    </row>
    <row r="25134">
      <c r="H25134" t="s">
        <v>5117</v>
      </c>
    </row>
    <row r="25135">
      <c r="H25135" t="s">
        <v>5117</v>
      </c>
    </row>
    <row r="25136">
      <c r="H25136" t="s">
        <v>5117</v>
      </c>
    </row>
    <row r="25137">
      <c r="H25137" t="s">
        <v>5117</v>
      </c>
    </row>
    <row r="25138">
      <c r="H25138" t="s">
        <v>5117</v>
      </c>
    </row>
    <row r="25139">
      <c r="H25139" t="s">
        <v>5117</v>
      </c>
    </row>
    <row r="25140">
      <c r="H25140" t="s">
        <v>5117</v>
      </c>
    </row>
    <row r="25141">
      <c r="H25141" t="s">
        <v>5117</v>
      </c>
    </row>
    <row r="25142">
      <c r="H25142" t="s">
        <v>5117</v>
      </c>
    </row>
    <row r="25143">
      <c r="H25143" t="s">
        <v>5117</v>
      </c>
    </row>
    <row r="25144">
      <c r="H25144" t="s">
        <v>5117</v>
      </c>
    </row>
    <row r="25145">
      <c r="H25145" t="s">
        <v>5117</v>
      </c>
    </row>
    <row r="25146">
      <c r="H25146" t="s">
        <v>5117</v>
      </c>
    </row>
    <row r="25147">
      <c r="H25147" t="s">
        <v>5117</v>
      </c>
    </row>
    <row r="25148">
      <c r="H25148" t="s">
        <v>5117</v>
      </c>
    </row>
    <row r="25149">
      <c r="H25149" t="s">
        <v>5117</v>
      </c>
    </row>
    <row r="25150">
      <c r="H25150" t="s">
        <v>5117</v>
      </c>
    </row>
    <row r="25151">
      <c r="H25151" t="s">
        <v>5117</v>
      </c>
    </row>
    <row r="25152">
      <c r="H25152" t="s">
        <v>5117</v>
      </c>
    </row>
    <row r="25153">
      <c r="H25153" t="s">
        <v>5117</v>
      </c>
    </row>
    <row r="25154">
      <c r="H25154" t="s">
        <v>5117</v>
      </c>
    </row>
    <row r="25155">
      <c r="H25155" t="s">
        <v>5117</v>
      </c>
    </row>
    <row r="25156">
      <c r="H25156" t="s">
        <v>5117</v>
      </c>
    </row>
    <row r="25157">
      <c r="H25157" t="s">
        <v>5117</v>
      </c>
    </row>
    <row r="25158">
      <c r="H25158" t="s">
        <v>5117</v>
      </c>
    </row>
    <row r="25159">
      <c r="H25159" t="s">
        <v>5117</v>
      </c>
    </row>
    <row r="25160">
      <c r="H25160" t="s">
        <v>5117</v>
      </c>
    </row>
    <row r="25161">
      <c r="H25161" t="s">
        <v>5117</v>
      </c>
    </row>
    <row r="25162">
      <c r="H25162" t="s">
        <v>5117</v>
      </c>
    </row>
    <row r="25163">
      <c r="H25163" t="s">
        <v>5117</v>
      </c>
    </row>
    <row r="25164">
      <c r="H25164" t="s">
        <v>5117</v>
      </c>
    </row>
    <row r="25165">
      <c r="H25165" t="s">
        <v>5117</v>
      </c>
    </row>
    <row r="25166">
      <c r="H25166" t="s">
        <v>5117</v>
      </c>
    </row>
    <row r="25167">
      <c r="H25167" t="s">
        <v>5117</v>
      </c>
    </row>
    <row r="25168">
      <c r="H25168" t="s">
        <v>5117</v>
      </c>
    </row>
    <row r="25169">
      <c r="H25169" t="s">
        <v>5117</v>
      </c>
    </row>
    <row r="25170">
      <c r="H25170" t="s">
        <v>5117</v>
      </c>
    </row>
    <row r="25171">
      <c r="H25171" t="s">
        <v>5117</v>
      </c>
    </row>
    <row r="25172">
      <c r="H25172" t="s">
        <v>5117</v>
      </c>
    </row>
    <row r="25173">
      <c r="H25173" t="s">
        <v>5117</v>
      </c>
    </row>
    <row r="25174">
      <c r="H25174" t="s">
        <v>5117</v>
      </c>
    </row>
    <row r="25175">
      <c r="H25175" t="s">
        <v>5117</v>
      </c>
    </row>
    <row r="25176">
      <c r="H25176" t="s">
        <v>5117</v>
      </c>
    </row>
    <row r="25177">
      <c r="H25177" t="s">
        <v>5117</v>
      </c>
    </row>
    <row r="25178">
      <c r="H25178" t="s">
        <v>5117</v>
      </c>
    </row>
    <row r="25179">
      <c r="H25179" t="s">
        <v>5117</v>
      </c>
    </row>
    <row r="25180">
      <c r="H25180" t="s">
        <v>5117</v>
      </c>
    </row>
    <row r="25181">
      <c r="H25181" t="s">
        <v>5117</v>
      </c>
    </row>
    <row r="25182">
      <c r="H25182" t="s">
        <v>5117</v>
      </c>
    </row>
    <row r="25183">
      <c r="H25183" t="s">
        <v>5117</v>
      </c>
    </row>
    <row r="25184">
      <c r="H25184" t="s">
        <v>5117</v>
      </c>
    </row>
    <row r="25185">
      <c r="H25185" t="s">
        <v>5117</v>
      </c>
    </row>
    <row r="25186">
      <c r="H25186" t="s">
        <v>5117</v>
      </c>
    </row>
    <row r="25187">
      <c r="H25187" t="s">
        <v>5117</v>
      </c>
    </row>
    <row r="25188">
      <c r="H25188" t="s">
        <v>5117</v>
      </c>
    </row>
    <row r="25189">
      <c r="H25189" t="s">
        <v>5117</v>
      </c>
    </row>
    <row r="25190">
      <c r="H25190" t="s">
        <v>5117</v>
      </c>
    </row>
    <row r="25191">
      <c r="H25191" t="s">
        <v>5117</v>
      </c>
    </row>
    <row r="25192">
      <c r="H25192" t="s">
        <v>5117</v>
      </c>
    </row>
    <row r="25193">
      <c r="H25193" t="s">
        <v>5117</v>
      </c>
    </row>
    <row r="25194">
      <c r="H25194" t="s">
        <v>5117</v>
      </c>
    </row>
    <row r="25195">
      <c r="H25195" t="s">
        <v>5117</v>
      </c>
    </row>
    <row r="25196">
      <c r="H25196" t="s">
        <v>5117</v>
      </c>
    </row>
    <row r="25197">
      <c r="H25197" t="s">
        <v>5117</v>
      </c>
    </row>
    <row r="25198">
      <c r="H25198" t="s">
        <v>5117</v>
      </c>
    </row>
    <row r="25199">
      <c r="H25199" t="s">
        <v>5117</v>
      </c>
    </row>
    <row r="25200">
      <c r="H25200" t="s">
        <v>5117</v>
      </c>
    </row>
    <row r="25201">
      <c r="H25201" t="s">
        <v>5117</v>
      </c>
    </row>
    <row r="25202">
      <c r="H25202" t="s">
        <v>5117</v>
      </c>
    </row>
    <row r="25203">
      <c r="H25203" t="s">
        <v>5117</v>
      </c>
    </row>
    <row r="25204">
      <c r="H25204" t="s">
        <v>5117</v>
      </c>
    </row>
    <row r="25205">
      <c r="H25205" t="s">
        <v>5117</v>
      </c>
    </row>
    <row r="25206">
      <c r="H25206" t="s">
        <v>5117</v>
      </c>
    </row>
    <row r="25207">
      <c r="H25207" t="s">
        <v>5117</v>
      </c>
    </row>
    <row r="25208">
      <c r="H25208" t="s">
        <v>5117</v>
      </c>
    </row>
    <row r="25209">
      <c r="H25209" t="s">
        <v>5117</v>
      </c>
    </row>
    <row r="25210">
      <c r="H25210" t="s">
        <v>5117</v>
      </c>
    </row>
    <row r="25211">
      <c r="H25211" t="s">
        <v>5117</v>
      </c>
    </row>
    <row r="25212">
      <c r="H25212" t="s">
        <v>5117</v>
      </c>
    </row>
    <row r="25213">
      <c r="H25213" t="s">
        <v>5117</v>
      </c>
    </row>
    <row r="25214">
      <c r="H25214" t="s">
        <v>5117</v>
      </c>
    </row>
    <row r="25215">
      <c r="H25215" t="s">
        <v>5117</v>
      </c>
    </row>
    <row r="25216">
      <c r="H25216" t="s">
        <v>5117</v>
      </c>
    </row>
    <row r="25217">
      <c r="H25217" t="s">
        <v>5117</v>
      </c>
    </row>
    <row r="25218">
      <c r="H25218" t="s">
        <v>5117</v>
      </c>
    </row>
    <row r="25219">
      <c r="H25219" t="s">
        <v>5117</v>
      </c>
    </row>
    <row r="25220">
      <c r="H25220" t="s">
        <v>5117</v>
      </c>
    </row>
    <row r="25221">
      <c r="H25221" t="s">
        <v>5117</v>
      </c>
    </row>
    <row r="25222">
      <c r="H25222" t="s">
        <v>5117</v>
      </c>
    </row>
    <row r="25223">
      <c r="H25223" t="s">
        <v>5117</v>
      </c>
    </row>
    <row r="25224">
      <c r="H25224" t="s">
        <v>5117</v>
      </c>
    </row>
    <row r="25225">
      <c r="H25225" t="s">
        <v>5117</v>
      </c>
    </row>
    <row r="25226">
      <c r="H25226" t="s">
        <v>5117</v>
      </c>
    </row>
    <row r="25227">
      <c r="H25227" t="s">
        <v>5117</v>
      </c>
    </row>
    <row r="25228">
      <c r="H25228" t="s">
        <v>5117</v>
      </c>
    </row>
    <row r="25229">
      <c r="H25229" t="s">
        <v>5117</v>
      </c>
    </row>
    <row r="25230">
      <c r="H25230" t="s">
        <v>5117</v>
      </c>
    </row>
    <row r="25231">
      <c r="H25231" t="s">
        <v>5117</v>
      </c>
    </row>
    <row r="25232">
      <c r="H25232" t="s">
        <v>5117</v>
      </c>
    </row>
    <row r="25233">
      <c r="H25233" t="s">
        <v>5117</v>
      </c>
    </row>
    <row r="25234">
      <c r="H25234" t="s">
        <v>5117</v>
      </c>
    </row>
    <row r="25235">
      <c r="H25235" t="s">
        <v>5117</v>
      </c>
    </row>
    <row r="25236">
      <c r="H25236" t="s">
        <v>5117</v>
      </c>
    </row>
    <row r="25237">
      <c r="H25237" t="s">
        <v>5117</v>
      </c>
    </row>
    <row r="25238">
      <c r="H25238" t="s">
        <v>5117</v>
      </c>
    </row>
    <row r="25239">
      <c r="H25239" t="s">
        <v>5117</v>
      </c>
    </row>
    <row r="25240">
      <c r="H25240" t="s">
        <v>5117</v>
      </c>
    </row>
    <row r="25241">
      <c r="H25241" t="s">
        <v>5117</v>
      </c>
    </row>
    <row r="25242">
      <c r="H25242" t="s">
        <v>5117</v>
      </c>
    </row>
    <row r="25243">
      <c r="H25243" t="s">
        <v>5117</v>
      </c>
    </row>
    <row r="25244">
      <c r="H25244" t="s">
        <v>5117</v>
      </c>
    </row>
    <row r="25245">
      <c r="H25245" t="s">
        <v>5117</v>
      </c>
    </row>
    <row r="25246">
      <c r="H25246" t="s">
        <v>5117</v>
      </c>
    </row>
    <row r="25247">
      <c r="H25247" t="s">
        <v>5117</v>
      </c>
    </row>
    <row r="25248">
      <c r="H25248" t="s">
        <v>5117</v>
      </c>
    </row>
    <row r="25249">
      <c r="H25249" t="s">
        <v>5117</v>
      </c>
    </row>
    <row r="25250">
      <c r="H25250" t="s">
        <v>5117</v>
      </c>
    </row>
    <row r="25251">
      <c r="H25251" t="s">
        <v>5117</v>
      </c>
    </row>
    <row r="25252">
      <c r="H25252" t="s">
        <v>5117</v>
      </c>
    </row>
    <row r="25253">
      <c r="H25253" t="s">
        <v>5117</v>
      </c>
    </row>
    <row r="25254">
      <c r="H25254" t="s">
        <v>5117</v>
      </c>
    </row>
    <row r="25255">
      <c r="H25255" t="s">
        <v>5117</v>
      </c>
    </row>
    <row r="25256">
      <c r="H25256" t="s">
        <v>5117</v>
      </c>
    </row>
    <row r="25257">
      <c r="H25257" t="s">
        <v>5117</v>
      </c>
    </row>
    <row r="25258">
      <c r="H25258" t="s">
        <v>5117</v>
      </c>
    </row>
    <row r="25259">
      <c r="H25259" t="s">
        <v>5117</v>
      </c>
    </row>
    <row r="25260">
      <c r="H25260" t="s">
        <v>5117</v>
      </c>
    </row>
    <row r="25261">
      <c r="H25261" t="s">
        <v>5117</v>
      </c>
    </row>
    <row r="25262">
      <c r="H25262" t="s">
        <v>5117</v>
      </c>
    </row>
    <row r="25263">
      <c r="H25263" t="s">
        <v>5117</v>
      </c>
    </row>
    <row r="25264">
      <c r="H25264" t="s">
        <v>5117</v>
      </c>
    </row>
    <row r="25265">
      <c r="H25265" t="s">
        <v>5117</v>
      </c>
    </row>
    <row r="25266">
      <c r="H25266" t="s">
        <v>5117</v>
      </c>
    </row>
    <row r="25267">
      <c r="H25267" t="s">
        <v>5117</v>
      </c>
    </row>
    <row r="25268">
      <c r="H25268" t="s">
        <v>5117</v>
      </c>
    </row>
    <row r="25269">
      <c r="H25269" t="s">
        <v>5117</v>
      </c>
    </row>
    <row r="25270">
      <c r="H25270" t="s">
        <v>5117</v>
      </c>
    </row>
    <row r="25271">
      <c r="H25271" t="s">
        <v>5117</v>
      </c>
    </row>
    <row r="25272">
      <c r="H25272" t="s">
        <v>5117</v>
      </c>
    </row>
    <row r="25273">
      <c r="H25273" t="s">
        <v>5117</v>
      </c>
    </row>
    <row r="25274">
      <c r="H25274" t="s">
        <v>5117</v>
      </c>
    </row>
    <row r="25275">
      <c r="H25275" t="s">
        <v>5117</v>
      </c>
    </row>
    <row r="25276">
      <c r="H25276" t="s">
        <v>5117</v>
      </c>
    </row>
    <row r="25277">
      <c r="H25277" t="s">
        <v>5117</v>
      </c>
    </row>
    <row r="25278">
      <c r="H25278" t="s">
        <v>5117</v>
      </c>
    </row>
    <row r="25279">
      <c r="H25279" t="s">
        <v>5117</v>
      </c>
    </row>
    <row r="25280">
      <c r="H25280" t="s">
        <v>5117</v>
      </c>
    </row>
    <row r="25281">
      <c r="H25281" t="s">
        <v>5117</v>
      </c>
    </row>
    <row r="25282">
      <c r="H25282" t="s">
        <v>5117</v>
      </c>
    </row>
    <row r="25283">
      <c r="H25283" t="s">
        <v>5117</v>
      </c>
    </row>
    <row r="25284">
      <c r="H25284" t="s">
        <v>5117</v>
      </c>
    </row>
    <row r="25285">
      <c r="H25285" t="s">
        <v>5117</v>
      </c>
    </row>
    <row r="25286">
      <c r="H25286" t="s">
        <v>5117</v>
      </c>
    </row>
    <row r="25287">
      <c r="H25287" t="s">
        <v>5117</v>
      </c>
    </row>
    <row r="25288">
      <c r="H25288" t="s">
        <v>5117</v>
      </c>
    </row>
    <row r="25289">
      <c r="H25289" t="s">
        <v>5117</v>
      </c>
    </row>
    <row r="25290">
      <c r="H25290" t="s">
        <v>5117</v>
      </c>
    </row>
    <row r="25291">
      <c r="H25291" t="s">
        <v>5117</v>
      </c>
    </row>
    <row r="25292">
      <c r="H25292" t="s">
        <v>5117</v>
      </c>
    </row>
    <row r="25293">
      <c r="H25293" t="s">
        <v>5117</v>
      </c>
    </row>
    <row r="25294">
      <c r="H25294" t="s">
        <v>5117</v>
      </c>
    </row>
    <row r="25295">
      <c r="H25295" t="s">
        <v>5117</v>
      </c>
    </row>
    <row r="25296">
      <c r="H25296" t="s">
        <v>5117</v>
      </c>
    </row>
    <row r="25297">
      <c r="H25297" t="s">
        <v>5117</v>
      </c>
    </row>
    <row r="25298">
      <c r="H25298" t="s">
        <v>5117</v>
      </c>
    </row>
    <row r="25299">
      <c r="H25299" t="s">
        <v>5117</v>
      </c>
    </row>
    <row r="25300">
      <c r="H25300" t="s">
        <v>5117</v>
      </c>
    </row>
    <row r="25301">
      <c r="H25301" t="s">
        <v>5117</v>
      </c>
    </row>
    <row r="25302">
      <c r="H25302" t="s">
        <v>5117</v>
      </c>
    </row>
    <row r="25303">
      <c r="H25303" t="s">
        <v>5117</v>
      </c>
    </row>
    <row r="25304">
      <c r="H25304" t="s">
        <v>5117</v>
      </c>
    </row>
    <row r="25305">
      <c r="H25305" t="s">
        <v>5117</v>
      </c>
    </row>
    <row r="25306">
      <c r="H25306" t="s">
        <v>5117</v>
      </c>
    </row>
    <row r="25307">
      <c r="H25307" t="s">
        <v>5117</v>
      </c>
    </row>
    <row r="25308">
      <c r="H25308" t="s">
        <v>5117</v>
      </c>
    </row>
    <row r="25309">
      <c r="H25309" t="s">
        <v>5117</v>
      </c>
    </row>
    <row r="25310">
      <c r="H25310" t="s">
        <v>5117</v>
      </c>
    </row>
    <row r="25311">
      <c r="H25311" t="s">
        <v>5117</v>
      </c>
    </row>
    <row r="25312">
      <c r="H25312" t="s">
        <v>5117</v>
      </c>
    </row>
    <row r="25313">
      <c r="H25313" t="s">
        <v>5117</v>
      </c>
    </row>
    <row r="25314">
      <c r="H25314" t="s">
        <v>5117</v>
      </c>
    </row>
    <row r="25315">
      <c r="H25315" t="s">
        <v>5117</v>
      </c>
    </row>
    <row r="25316">
      <c r="H25316" t="s">
        <v>5117</v>
      </c>
    </row>
    <row r="25317">
      <c r="H25317" t="s">
        <v>5117</v>
      </c>
    </row>
    <row r="25318">
      <c r="H25318" t="s">
        <v>5117</v>
      </c>
    </row>
    <row r="25319">
      <c r="H25319" t="s">
        <v>5117</v>
      </c>
    </row>
    <row r="25320">
      <c r="H25320" t="s">
        <v>5117</v>
      </c>
    </row>
    <row r="25321">
      <c r="H25321" t="s">
        <v>5117</v>
      </c>
    </row>
    <row r="25322">
      <c r="H25322" t="s">
        <v>5117</v>
      </c>
    </row>
    <row r="25323">
      <c r="H25323" t="s">
        <v>5117</v>
      </c>
    </row>
    <row r="25324">
      <c r="H25324" t="s">
        <v>5117</v>
      </c>
    </row>
    <row r="25325">
      <c r="H25325" t="s">
        <v>5117</v>
      </c>
    </row>
    <row r="25326">
      <c r="H25326" t="s">
        <v>5117</v>
      </c>
    </row>
    <row r="25327">
      <c r="H25327" t="s">
        <v>5117</v>
      </c>
    </row>
    <row r="25328">
      <c r="H25328" t="s">
        <v>5117</v>
      </c>
    </row>
    <row r="25329">
      <c r="H25329" t="s">
        <v>5117</v>
      </c>
    </row>
    <row r="25330">
      <c r="H25330" t="s">
        <v>5117</v>
      </c>
    </row>
    <row r="25331">
      <c r="H25331" t="s">
        <v>5117</v>
      </c>
    </row>
    <row r="25332">
      <c r="H25332" t="s">
        <v>5117</v>
      </c>
    </row>
    <row r="25333">
      <c r="H25333" t="s">
        <v>5117</v>
      </c>
    </row>
    <row r="25334">
      <c r="H25334" t="s">
        <v>5117</v>
      </c>
    </row>
    <row r="25335">
      <c r="H25335" t="s">
        <v>5117</v>
      </c>
    </row>
    <row r="25336">
      <c r="H25336" t="s">
        <v>5117</v>
      </c>
    </row>
    <row r="25337">
      <c r="H25337" t="s">
        <v>5117</v>
      </c>
    </row>
    <row r="25338">
      <c r="H25338" t="s">
        <v>5117</v>
      </c>
    </row>
    <row r="25339">
      <c r="H25339" t="s">
        <v>5117</v>
      </c>
    </row>
    <row r="25340">
      <c r="H25340" t="s">
        <v>5117</v>
      </c>
    </row>
    <row r="25341">
      <c r="H25341" t="s">
        <v>5117</v>
      </c>
    </row>
    <row r="25342">
      <c r="H25342" t="s">
        <v>5117</v>
      </c>
    </row>
    <row r="25343">
      <c r="H25343" t="s">
        <v>5117</v>
      </c>
    </row>
    <row r="25344">
      <c r="H25344" t="s">
        <v>5117</v>
      </c>
    </row>
    <row r="25345">
      <c r="H25345" t="s">
        <v>5117</v>
      </c>
    </row>
    <row r="25346">
      <c r="H25346" t="s">
        <v>5117</v>
      </c>
    </row>
    <row r="25347">
      <c r="H25347" t="s">
        <v>5117</v>
      </c>
    </row>
    <row r="25348">
      <c r="H25348" t="s">
        <v>5117</v>
      </c>
    </row>
    <row r="25349">
      <c r="H25349" t="s">
        <v>5117</v>
      </c>
    </row>
    <row r="25350">
      <c r="H25350" t="s">
        <v>5117</v>
      </c>
    </row>
    <row r="25351">
      <c r="H25351" t="s">
        <v>5117</v>
      </c>
    </row>
    <row r="25352">
      <c r="H25352" t="s">
        <v>5117</v>
      </c>
    </row>
    <row r="25353">
      <c r="H25353" t="s">
        <v>5117</v>
      </c>
    </row>
    <row r="25354">
      <c r="H25354" t="s">
        <v>5117</v>
      </c>
    </row>
    <row r="25355">
      <c r="H25355" t="s">
        <v>5117</v>
      </c>
    </row>
    <row r="25356">
      <c r="H25356" t="s">
        <v>5117</v>
      </c>
    </row>
    <row r="25357">
      <c r="H25357" t="s">
        <v>5117</v>
      </c>
    </row>
    <row r="25358">
      <c r="H25358" t="s">
        <v>5117</v>
      </c>
    </row>
    <row r="25359">
      <c r="H25359" t="s">
        <v>5117</v>
      </c>
    </row>
    <row r="25360">
      <c r="H25360" t="s">
        <v>5117</v>
      </c>
    </row>
    <row r="25361">
      <c r="H25361" t="s">
        <v>5117</v>
      </c>
    </row>
    <row r="25362">
      <c r="H25362" t="s">
        <v>5117</v>
      </c>
    </row>
    <row r="25363">
      <c r="H25363" t="s">
        <v>5117</v>
      </c>
    </row>
    <row r="25364">
      <c r="H25364" t="s">
        <v>5117</v>
      </c>
    </row>
    <row r="25365">
      <c r="H25365" t="s">
        <v>5117</v>
      </c>
    </row>
    <row r="25366">
      <c r="H25366" t="s">
        <v>5117</v>
      </c>
    </row>
    <row r="25367">
      <c r="H25367" t="s">
        <v>5117</v>
      </c>
    </row>
    <row r="25368">
      <c r="H25368" t="s">
        <v>5117</v>
      </c>
    </row>
    <row r="25369">
      <c r="H25369" t="s">
        <v>5117</v>
      </c>
    </row>
    <row r="25370">
      <c r="H25370" t="s">
        <v>5117</v>
      </c>
    </row>
    <row r="25371">
      <c r="H25371" t="s">
        <v>5117</v>
      </c>
    </row>
    <row r="25372">
      <c r="H25372" t="s">
        <v>5117</v>
      </c>
    </row>
    <row r="25373">
      <c r="H25373" t="s">
        <v>5117</v>
      </c>
    </row>
    <row r="25374">
      <c r="H25374" t="s">
        <v>5117</v>
      </c>
    </row>
    <row r="25375">
      <c r="H25375" t="s">
        <v>5117</v>
      </c>
    </row>
    <row r="25376">
      <c r="H25376" t="s">
        <v>5117</v>
      </c>
    </row>
    <row r="25377">
      <c r="H25377" t="s">
        <v>5117</v>
      </c>
    </row>
    <row r="25378">
      <c r="H25378" t="s">
        <v>5117</v>
      </c>
    </row>
    <row r="25379">
      <c r="H25379" t="s">
        <v>5117</v>
      </c>
    </row>
    <row r="25380">
      <c r="H25380" t="s">
        <v>5117</v>
      </c>
    </row>
    <row r="25381">
      <c r="H25381" t="s">
        <v>5117</v>
      </c>
    </row>
    <row r="25382">
      <c r="H25382" t="s">
        <v>5117</v>
      </c>
    </row>
    <row r="25383">
      <c r="H25383" t="s">
        <v>5117</v>
      </c>
    </row>
    <row r="25384">
      <c r="H25384" t="s">
        <v>5117</v>
      </c>
    </row>
    <row r="25385">
      <c r="H25385" t="s">
        <v>5117</v>
      </c>
    </row>
    <row r="25386">
      <c r="H25386" t="s">
        <v>5117</v>
      </c>
    </row>
    <row r="25387">
      <c r="H25387" t="s">
        <v>5117</v>
      </c>
    </row>
    <row r="25388">
      <c r="H25388" t="s">
        <v>5117</v>
      </c>
    </row>
    <row r="25389">
      <c r="H25389" t="s">
        <v>5117</v>
      </c>
    </row>
    <row r="25390">
      <c r="H25390" t="s">
        <v>5117</v>
      </c>
    </row>
    <row r="25391">
      <c r="H25391" t="s">
        <v>5117</v>
      </c>
    </row>
    <row r="25392">
      <c r="H25392" t="s">
        <v>5117</v>
      </c>
    </row>
    <row r="25393">
      <c r="H25393" t="s">
        <v>5117</v>
      </c>
    </row>
    <row r="25394">
      <c r="H25394" t="s">
        <v>5117</v>
      </c>
    </row>
    <row r="25395">
      <c r="H25395" t="s">
        <v>5117</v>
      </c>
    </row>
    <row r="25396">
      <c r="H25396" t="s">
        <v>5117</v>
      </c>
    </row>
    <row r="25397">
      <c r="H25397" t="s">
        <v>5117</v>
      </c>
    </row>
    <row r="25398">
      <c r="H25398" t="s">
        <v>5117</v>
      </c>
    </row>
    <row r="25399">
      <c r="H25399" t="s">
        <v>5117</v>
      </c>
    </row>
    <row r="25400">
      <c r="H25400" t="s">
        <v>5117</v>
      </c>
    </row>
    <row r="25401">
      <c r="H25401" t="s">
        <v>5117</v>
      </c>
    </row>
    <row r="25402">
      <c r="H25402" t="s">
        <v>5117</v>
      </c>
    </row>
    <row r="25403">
      <c r="H25403" t="s">
        <v>5117</v>
      </c>
    </row>
    <row r="25404">
      <c r="H25404" t="s">
        <v>5117</v>
      </c>
    </row>
    <row r="25405">
      <c r="H25405" t="s">
        <v>5117</v>
      </c>
    </row>
    <row r="25406">
      <c r="H25406" t="s">
        <v>5117</v>
      </c>
    </row>
    <row r="25407">
      <c r="H25407" t="s">
        <v>5117</v>
      </c>
    </row>
    <row r="25408">
      <c r="H25408" t="s">
        <v>5117</v>
      </c>
    </row>
    <row r="25409">
      <c r="H25409" t="s">
        <v>5117</v>
      </c>
    </row>
    <row r="25410">
      <c r="H25410" t="s">
        <v>5117</v>
      </c>
    </row>
    <row r="25411">
      <c r="H25411" t="s">
        <v>5117</v>
      </c>
    </row>
    <row r="25412">
      <c r="H25412" t="s">
        <v>5117</v>
      </c>
    </row>
    <row r="25413">
      <c r="H25413" t="s">
        <v>5117</v>
      </c>
    </row>
    <row r="25414">
      <c r="H25414" t="s">
        <v>5117</v>
      </c>
    </row>
    <row r="25415">
      <c r="H25415" t="s">
        <v>5117</v>
      </c>
    </row>
    <row r="25416">
      <c r="H25416" t="s">
        <v>5117</v>
      </c>
    </row>
    <row r="25417">
      <c r="H25417" t="s">
        <v>5117</v>
      </c>
    </row>
    <row r="25418">
      <c r="H25418" t="s">
        <v>5117</v>
      </c>
    </row>
    <row r="25419">
      <c r="H25419" t="s">
        <v>5117</v>
      </c>
    </row>
    <row r="25420">
      <c r="H25420" t="s">
        <v>5117</v>
      </c>
    </row>
    <row r="25421">
      <c r="H25421" t="s">
        <v>5117</v>
      </c>
    </row>
    <row r="25422">
      <c r="H25422" t="s">
        <v>5117</v>
      </c>
    </row>
    <row r="25423">
      <c r="H25423" t="s">
        <v>5117</v>
      </c>
    </row>
    <row r="25424">
      <c r="H25424" t="s">
        <v>5117</v>
      </c>
    </row>
    <row r="25425">
      <c r="H25425" t="s">
        <v>5117</v>
      </c>
    </row>
    <row r="25426">
      <c r="H25426" t="s">
        <v>5117</v>
      </c>
    </row>
    <row r="25427">
      <c r="H25427" t="s">
        <v>5117</v>
      </c>
    </row>
    <row r="25428">
      <c r="H25428" t="s">
        <v>5117</v>
      </c>
    </row>
    <row r="25429">
      <c r="H25429" t="s">
        <v>5117</v>
      </c>
    </row>
    <row r="25430">
      <c r="H25430" t="s">
        <v>5117</v>
      </c>
    </row>
    <row r="25431">
      <c r="H25431" t="s">
        <v>5117</v>
      </c>
    </row>
    <row r="25432">
      <c r="H25432" t="s">
        <v>5117</v>
      </c>
    </row>
    <row r="25433">
      <c r="H25433" t="s">
        <v>5117</v>
      </c>
    </row>
    <row r="25434">
      <c r="H25434" t="s">
        <v>5117</v>
      </c>
    </row>
    <row r="25435">
      <c r="H25435" t="s">
        <v>5117</v>
      </c>
    </row>
    <row r="25436">
      <c r="H25436" t="s">
        <v>5117</v>
      </c>
    </row>
    <row r="25437">
      <c r="H25437" t="s">
        <v>5117</v>
      </c>
    </row>
    <row r="25438">
      <c r="H25438" t="s">
        <v>5117</v>
      </c>
    </row>
    <row r="25439">
      <c r="H25439" t="s">
        <v>5117</v>
      </c>
    </row>
    <row r="25440">
      <c r="H25440" t="s">
        <v>5117</v>
      </c>
    </row>
    <row r="25441">
      <c r="H25441" t="s">
        <v>5117</v>
      </c>
    </row>
    <row r="25442">
      <c r="H25442" t="s">
        <v>5117</v>
      </c>
    </row>
    <row r="25443">
      <c r="H25443" t="s">
        <v>5117</v>
      </c>
    </row>
    <row r="25444">
      <c r="H25444" t="s">
        <v>5117</v>
      </c>
    </row>
    <row r="25445">
      <c r="H25445" t="s">
        <v>5117</v>
      </c>
    </row>
    <row r="25446">
      <c r="H25446" t="s">
        <v>5117</v>
      </c>
    </row>
    <row r="25447">
      <c r="H25447" t="s">
        <v>5117</v>
      </c>
    </row>
    <row r="25448">
      <c r="H25448" t="s">
        <v>5117</v>
      </c>
    </row>
    <row r="25449">
      <c r="H25449" t="s">
        <v>5117</v>
      </c>
    </row>
    <row r="25450">
      <c r="H25450" t="s">
        <v>5117</v>
      </c>
    </row>
    <row r="25451">
      <c r="H25451" t="s">
        <v>5117</v>
      </c>
    </row>
    <row r="25452">
      <c r="H25452" t="s">
        <v>5117</v>
      </c>
    </row>
    <row r="25453">
      <c r="H25453" t="s">
        <v>5117</v>
      </c>
    </row>
    <row r="25454">
      <c r="H25454" t="s">
        <v>5117</v>
      </c>
    </row>
    <row r="25455">
      <c r="H25455" t="s">
        <v>5117</v>
      </c>
    </row>
    <row r="25456">
      <c r="H25456" t="s">
        <v>5117</v>
      </c>
    </row>
    <row r="25457">
      <c r="H25457" t="s">
        <v>5117</v>
      </c>
    </row>
    <row r="25458">
      <c r="H25458" t="s">
        <v>5117</v>
      </c>
    </row>
    <row r="25459">
      <c r="H25459" t="s">
        <v>5117</v>
      </c>
    </row>
    <row r="25460">
      <c r="H25460" t="s">
        <v>5117</v>
      </c>
    </row>
    <row r="25461">
      <c r="H25461" t="s">
        <v>5117</v>
      </c>
    </row>
    <row r="25462">
      <c r="H25462" t="s">
        <v>5117</v>
      </c>
    </row>
    <row r="25463">
      <c r="H25463" t="s">
        <v>5117</v>
      </c>
    </row>
    <row r="25464">
      <c r="H25464" t="s">
        <v>5117</v>
      </c>
    </row>
    <row r="25465">
      <c r="H25465" t="s">
        <v>5117</v>
      </c>
    </row>
    <row r="25466">
      <c r="H25466" t="s">
        <v>5117</v>
      </c>
    </row>
    <row r="25467">
      <c r="H25467" t="s">
        <v>5117</v>
      </c>
    </row>
    <row r="25468">
      <c r="H25468" t="s">
        <v>5117</v>
      </c>
    </row>
    <row r="25469">
      <c r="H25469" t="s">
        <v>5117</v>
      </c>
    </row>
    <row r="25470">
      <c r="H25470" t="s">
        <v>5117</v>
      </c>
    </row>
    <row r="25471">
      <c r="H25471" t="s">
        <v>5117</v>
      </c>
    </row>
    <row r="25472">
      <c r="H25472" t="s">
        <v>5117</v>
      </c>
    </row>
    <row r="25473">
      <c r="H25473" t="s">
        <v>5117</v>
      </c>
    </row>
    <row r="25474">
      <c r="H25474" t="s">
        <v>5117</v>
      </c>
    </row>
    <row r="25475">
      <c r="H25475" t="s">
        <v>5117</v>
      </c>
    </row>
    <row r="25476">
      <c r="H25476" t="s">
        <v>5117</v>
      </c>
    </row>
    <row r="25477">
      <c r="H25477" t="s">
        <v>5117</v>
      </c>
    </row>
    <row r="25478">
      <c r="H25478" t="s">
        <v>5117</v>
      </c>
    </row>
    <row r="25479">
      <c r="H25479" t="s">
        <v>5117</v>
      </c>
    </row>
    <row r="25480">
      <c r="H25480" t="s">
        <v>5117</v>
      </c>
    </row>
    <row r="25481">
      <c r="H25481" t="s">
        <v>5117</v>
      </c>
    </row>
    <row r="25482">
      <c r="H25482" t="s">
        <v>5117</v>
      </c>
    </row>
    <row r="25483">
      <c r="H25483" t="s">
        <v>5117</v>
      </c>
    </row>
    <row r="25484">
      <c r="H25484" t="s">
        <v>5117</v>
      </c>
    </row>
    <row r="25485">
      <c r="H25485" t="s">
        <v>5117</v>
      </c>
    </row>
    <row r="25486">
      <c r="H25486" t="s">
        <v>5117</v>
      </c>
    </row>
    <row r="25487">
      <c r="H25487" t="s">
        <v>5117</v>
      </c>
    </row>
    <row r="25488">
      <c r="H25488" t="s">
        <v>5117</v>
      </c>
    </row>
    <row r="25489">
      <c r="H25489" t="s">
        <v>5117</v>
      </c>
    </row>
    <row r="25490">
      <c r="H25490" t="s">
        <v>5117</v>
      </c>
    </row>
    <row r="25491">
      <c r="H25491" t="s">
        <v>5117</v>
      </c>
    </row>
    <row r="25492">
      <c r="H25492" t="s">
        <v>5117</v>
      </c>
    </row>
    <row r="25493">
      <c r="H25493" t="s">
        <v>5117</v>
      </c>
    </row>
    <row r="25494">
      <c r="H25494" t="s">
        <v>5117</v>
      </c>
    </row>
    <row r="25495">
      <c r="H25495" t="s">
        <v>5117</v>
      </c>
    </row>
    <row r="25496">
      <c r="H25496" t="s">
        <v>5117</v>
      </c>
    </row>
    <row r="25497">
      <c r="H25497" t="s">
        <v>5117</v>
      </c>
    </row>
    <row r="25498">
      <c r="H25498" t="s">
        <v>5117</v>
      </c>
    </row>
    <row r="25499">
      <c r="H25499" t="s">
        <v>5117</v>
      </c>
    </row>
    <row r="25500">
      <c r="H25500" t="s">
        <v>5117</v>
      </c>
    </row>
    <row r="25501">
      <c r="H25501" t="s">
        <v>5117</v>
      </c>
    </row>
    <row r="25502">
      <c r="H25502" t="s">
        <v>5117</v>
      </c>
    </row>
    <row r="25503">
      <c r="H25503" t="s">
        <v>5117</v>
      </c>
    </row>
    <row r="25504">
      <c r="H25504" t="s">
        <v>5117</v>
      </c>
    </row>
    <row r="25505">
      <c r="H25505" t="s">
        <v>5117</v>
      </c>
    </row>
    <row r="25506">
      <c r="H25506" t="s">
        <v>5117</v>
      </c>
    </row>
    <row r="25507">
      <c r="H25507" t="s">
        <v>5117</v>
      </c>
    </row>
    <row r="25508">
      <c r="H25508" t="s">
        <v>5117</v>
      </c>
    </row>
    <row r="25509">
      <c r="H25509" t="s">
        <v>5117</v>
      </c>
    </row>
    <row r="25510">
      <c r="H25510" t="s">
        <v>5117</v>
      </c>
    </row>
    <row r="25511">
      <c r="H25511" t="s">
        <v>5117</v>
      </c>
    </row>
    <row r="25512">
      <c r="H25512" t="s">
        <v>5117</v>
      </c>
    </row>
    <row r="25513">
      <c r="H25513" t="s">
        <v>5117</v>
      </c>
    </row>
    <row r="25514">
      <c r="H25514" t="s">
        <v>5117</v>
      </c>
    </row>
    <row r="25515">
      <c r="H25515" t="s">
        <v>5117</v>
      </c>
    </row>
    <row r="25516">
      <c r="H25516" t="s">
        <v>5117</v>
      </c>
    </row>
    <row r="25517">
      <c r="H25517" t="s">
        <v>5117</v>
      </c>
    </row>
    <row r="25518">
      <c r="H25518" t="s">
        <v>5117</v>
      </c>
    </row>
    <row r="25519">
      <c r="H25519" t="s">
        <v>5117</v>
      </c>
    </row>
    <row r="25520">
      <c r="H25520" t="s">
        <v>5117</v>
      </c>
    </row>
    <row r="25521">
      <c r="H25521" t="s">
        <v>5117</v>
      </c>
    </row>
    <row r="25522">
      <c r="H25522" t="s">
        <v>5117</v>
      </c>
    </row>
    <row r="25523">
      <c r="H25523" t="s">
        <v>5117</v>
      </c>
    </row>
    <row r="25524">
      <c r="H25524" t="s">
        <v>5117</v>
      </c>
    </row>
    <row r="25525">
      <c r="H25525" t="s">
        <v>5117</v>
      </c>
    </row>
    <row r="25526">
      <c r="H25526" t="s">
        <v>5117</v>
      </c>
    </row>
    <row r="25527">
      <c r="H25527" t="s">
        <v>5117</v>
      </c>
    </row>
    <row r="25528">
      <c r="H25528" t="s">
        <v>5117</v>
      </c>
    </row>
    <row r="25529">
      <c r="H25529" t="s">
        <v>5117</v>
      </c>
    </row>
    <row r="25530">
      <c r="H25530" t="s">
        <v>5117</v>
      </c>
    </row>
    <row r="25531">
      <c r="H25531" t="s">
        <v>5117</v>
      </c>
    </row>
    <row r="25532">
      <c r="H25532" t="s">
        <v>5117</v>
      </c>
    </row>
    <row r="25533">
      <c r="H25533" t="s">
        <v>5117</v>
      </c>
    </row>
    <row r="25534">
      <c r="H25534" t="s">
        <v>5117</v>
      </c>
    </row>
    <row r="25535">
      <c r="H25535" t="s">
        <v>5117</v>
      </c>
    </row>
    <row r="25536">
      <c r="H25536" t="s">
        <v>5117</v>
      </c>
    </row>
    <row r="25537">
      <c r="H25537" t="s">
        <v>5117</v>
      </c>
    </row>
    <row r="25538">
      <c r="H25538" t="s">
        <v>5117</v>
      </c>
    </row>
    <row r="25539">
      <c r="H25539" t="s">
        <v>5117</v>
      </c>
    </row>
    <row r="25540">
      <c r="H25540" t="s">
        <v>5117</v>
      </c>
    </row>
    <row r="25541">
      <c r="H25541" t="s">
        <v>5117</v>
      </c>
    </row>
    <row r="25542">
      <c r="H25542" t="s">
        <v>5117</v>
      </c>
    </row>
    <row r="25543">
      <c r="H25543" t="s">
        <v>5117</v>
      </c>
    </row>
    <row r="25544">
      <c r="H25544" t="s">
        <v>5117</v>
      </c>
    </row>
    <row r="25545">
      <c r="H25545" t="s">
        <v>5117</v>
      </c>
    </row>
    <row r="25546">
      <c r="H25546" t="s">
        <v>5117</v>
      </c>
    </row>
    <row r="25547">
      <c r="H25547" t="s">
        <v>5117</v>
      </c>
    </row>
    <row r="25548">
      <c r="H25548" t="s">
        <v>5117</v>
      </c>
    </row>
    <row r="25549">
      <c r="H25549" t="s">
        <v>5117</v>
      </c>
    </row>
    <row r="25550">
      <c r="H25550" t="s">
        <v>5117</v>
      </c>
    </row>
    <row r="25551">
      <c r="H25551" t="s">
        <v>5117</v>
      </c>
    </row>
    <row r="25552">
      <c r="H25552" t="s">
        <v>5117</v>
      </c>
    </row>
    <row r="25553">
      <c r="H25553" t="s">
        <v>5117</v>
      </c>
    </row>
    <row r="25554">
      <c r="H25554" t="s">
        <v>5117</v>
      </c>
    </row>
    <row r="25555">
      <c r="H25555" t="s">
        <v>5117</v>
      </c>
    </row>
    <row r="25556">
      <c r="H25556" t="s">
        <v>5117</v>
      </c>
    </row>
    <row r="25557">
      <c r="H25557" t="s">
        <v>5117</v>
      </c>
    </row>
    <row r="25558">
      <c r="H25558" t="s">
        <v>5117</v>
      </c>
    </row>
    <row r="25559">
      <c r="H25559" t="s">
        <v>5117</v>
      </c>
    </row>
    <row r="25560">
      <c r="H25560" t="s">
        <v>5117</v>
      </c>
    </row>
    <row r="25561">
      <c r="H25561" t="s">
        <v>5117</v>
      </c>
    </row>
    <row r="25562">
      <c r="H25562" t="s">
        <v>5117</v>
      </c>
    </row>
    <row r="25563">
      <c r="H25563" t="s">
        <v>5117</v>
      </c>
    </row>
    <row r="25564">
      <c r="H25564" t="s">
        <v>5117</v>
      </c>
    </row>
    <row r="25565">
      <c r="H25565" t="s">
        <v>5117</v>
      </c>
    </row>
    <row r="25566">
      <c r="H25566" t="s">
        <v>5117</v>
      </c>
    </row>
    <row r="25567">
      <c r="H25567" t="s">
        <v>5117</v>
      </c>
    </row>
    <row r="25568">
      <c r="H25568" t="s">
        <v>5117</v>
      </c>
    </row>
    <row r="25569">
      <c r="H25569" t="s">
        <v>5117</v>
      </c>
    </row>
    <row r="25570">
      <c r="H25570" t="s">
        <v>5117</v>
      </c>
    </row>
    <row r="25571">
      <c r="H25571" t="s">
        <v>5117</v>
      </c>
    </row>
    <row r="25572">
      <c r="H25572" t="s">
        <v>5117</v>
      </c>
    </row>
    <row r="25573">
      <c r="H25573" t="s">
        <v>5117</v>
      </c>
    </row>
    <row r="25574">
      <c r="H25574" t="s">
        <v>5117</v>
      </c>
    </row>
    <row r="25575">
      <c r="H25575" t="s">
        <v>5117</v>
      </c>
    </row>
    <row r="25576">
      <c r="H25576" t="s">
        <v>5117</v>
      </c>
    </row>
    <row r="25577">
      <c r="H25577" t="s">
        <v>5117</v>
      </c>
    </row>
    <row r="25578">
      <c r="H25578" t="s">
        <v>5117</v>
      </c>
    </row>
    <row r="25579">
      <c r="H25579" t="s">
        <v>5117</v>
      </c>
    </row>
    <row r="25580">
      <c r="H25580" t="s">
        <v>5117</v>
      </c>
    </row>
    <row r="25581">
      <c r="H25581" t="s">
        <v>5117</v>
      </c>
    </row>
    <row r="25582">
      <c r="H25582" t="s">
        <v>5117</v>
      </c>
    </row>
    <row r="25583">
      <c r="H25583" t="s">
        <v>5117</v>
      </c>
    </row>
    <row r="25584">
      <c r="H25584" t="s">
        <v>5117</v>
      </c>
    </row>
    <row r="25585">
      <c r="H25585" t="s">
        <v>5117</v>
      </c>
    </row>
    <row r="25586">
      <c r="H25586" t="s">
        <v>5117</v>
      </c>
    </row>
    <row r="25587">
      <c r="H25587" t="s">
        <v>5117</v>
      </c>
    </row>
    <row r="25588">
      <c r="H25588" t="s">
        <v>5117</v>
      </c>
    </row>
    <row r="25589">
      <c r="H25589" t="s">
        <v>5117</v>
      </c>
    </row>
    <row r="25590">
      <c r="H25590" t="s">
        <v>5117</v>
      </c>
    </row>
    <row r="25591">
      <c r="H25591" t="s">
        <v>5117</v>
      </c>
    </row>
    <row r="25592">
      <c r="H25592" t="s">
        <v>5117</v>
      </c>
    </row>
    <row r="25593">
      <c r="H25593" t="s">
        <v>5117</v>
      </c>
    </row>
    <row r="25594">
      <c r="H25594" t="s">
        <v>5117</v>
      </c>
    </row>
    <row r="25595">
      <c r="H25595" t="s">
        <v>5117</v>
      </c>
    </row>
    <row r="25596">
      <c r="H25596" t="s">
        <v>5117</v>
      </c>
    </row>
    <row r="25597">
      <c r="H25597" t="s">
        <v>5117</v>
      </c>
    </row>
    <row r="25598">
      <c r="H25598" t="s">
        <v>5117</v>
      </c>
    </row>
    <row r="25599">
      <c r="H25599" t="s">
        <v>5117</v>
      </c>
    </row>
    <row r="25600">
      <c r="H25600" t="s">
        <v>5117</v>
      </c>
    </row>
    <row r="25601">
      <c r="H25601" t="s">
        <v>5117</v>
      </c>
    </row>
    <row r="25602">
      <c r="H25602" t="s">
        <v>5117</v>
      </c>
    </row>
    <row r="25603">
      <c r="H25603" t="s">
        <v>5117</v>
      </c>
    </row>
    <row r="25604">
      <c r="H25604" t="s">
        <v>5117</v>
      </c>
    </row>
    <row r="25605">
      <c r="H25605" t="s">
        <v>5117</v>
      </c>
    </row>
    <row r="25606">
      <c r="H25606" t="s">
        <v>5117</v>
      </c>
    </row>
    <row r="25607">
      <c r="H25607" t="s">
        <v>5117</v>
      </c>
    </row>
    <row r="25608">
      <c r="H25608" t="s">
        <v>5117</v>
      </c>
    </row>
    <row r="25609">
      <c r="H25609" t="s">
        <v>5117</v>
      </c>
    </row>
    <row r="25610">
      <c r="H25610" t="s">
        <v>5117</v>
      </c>
    </row>
    <row r="25611">
      <c r="H25611" t="s">
        <v>5117</v>
      </c>
    </row>
    <row r="25612">
      <c r="H25612" t="s">
        <v>5117</v>
      </c>
    </row>
    <row r="25613">
      <c r="H25613" t="s">
        <v>5117</v>
      </c>
    </row>
    <row r="25614">
      <c r="H25614" t="s">
        <v>5117</v>
      </c>
    </row>
    <row r="25615">
      <c r="H25615" t="s">
        <v>5117</v>
      </c>
    </row>
    <row r="25616">
      <c r="H25616" t="s">
        <v>5117</v>
      </c>
    </row>
    <row r="25617">
      <c r="H25617" t="s">
        <v>5117</v>
      </c>
    </row>
    <row r="25618">
      <c r="H25618" t="s">
        <v>5117</v>
      </c>
    </row>
    <row r="25619">
      <c r="H25619" t="s">
        <v>5117</v>
      </c>
    </row>
    <row r="25620">
      <c r="H25620" t="s">
        <v>5117</v>
      </c>
    </row>
    <row r="25621">
      <c r="H25621" t="s">
        <v>5117</v>
      </c>
    </row>
    <row r="25622">
      <c r="H25622" t="s">
        <v>5117</v>
      </c>
    </row>
    <row r="25623">
      <c r="H25623" t="s">
        <v>5117</v>
      </c>
    </row>
    <row r="25624">
      <c r="H25624" t="s">
        <v>5117</v>
      </c>
    </row>
    <row r="25625">
      <c r="H25625" t="s">
        <v>5117</v>
      </c>
    </row>
    <row r="25626">
      <c r="H25626" t="s">
        <v>5117</v>
      </c>
    </row>
    <row r="25627">
      <c r="H25627" t="s">
        <v>5117</v>
      </c>
    </row>
    <row r="25628">
      <c r="H25628" t="s">
        <v>5117</v>
      </c>
    </row>
    <row r="25629">
      <c r="H25629" t="s">
        <v>5117</v>
      </c>
    </row>
    <row r="25630">
      <c r="H25630" t="s">
        <v>5117</v>
      </c>
    </row>
    <row r="25631">
      <c r="H25631" t="s">
        <v>5117</v>
      </c>
    </row>
    <row r="25632">
      <c r="H25632" t="s">
        <v>5117</v>
      </c>
    </row>
    <row r="25633">
      <c r="H25633" t="s">
        <v>5117</v>
      </c>
    </row>
    <row r="25634">
      <c r="H25634" t="s">
        <v>5117</v>
      </c>
    </row>
    <row r="25635">
      <c r="H25635" t="s">
        <v>5117</v>
      </c>
    </row>
    <row r="25636">
      <c r="H25636" t="s">
        <v>5117</v>
      </c>
    </row>
    <row r="25637">
      <c r="H25637" t="s">
        <v>5117</v>
      </c>
    </row>
    <row r="25638">
      <c r="H25638" t="s">
        <v>5117</v>
      </c>
    </row>
    <row r="25639">
      <c r="H25639" t="s">
        <v>5117</v>
      </c>
    </row>
    <row r="25640">
      <c r="H25640" t="s">
        <v>5117</v>
      </c>
    </row>
    <row r="25641">
      <c r="H25641" t="s">
        <v>5117</v>
      </c>
    </row>
    <row r="25642">
      <c r="H25642" t="s">
        <v>5117</v>
      </c>
    </row>
    <row r="25643">
      <c r="H25643" t="s">
        <v>5117</v>
      </c>
    </row>
    <row r="25644">
      <c r="H25644" t="s">
        <v>5117</v>
      </c>
    </row>
    <row r="25645">
      <c r="H25645" t="s">
        <v>5117</v>
      </c>
    </row>
    <row r="25646">
      <c r="H25646" t="s">
        <v>5117</v>
      </c>
    </row>
    <row r="25647">
      <c r="H25647" t="s">
        <v>5117</v>
      </c>
    </row>
    <row r="25648">
      <c r="H25648" t="s">
        <v>5117</v>
      </c>
    </row>
    <row r="25649">
      <c r="H25649" t="s">
        <v>5117</v>
      </c>
    </row>
    <row r="25650">
      <c r="H25650" t="s">
        <v>5117</v>
      </c>
    </row>
    <row r="25651">
      <c r="H25651" t="s">
        <v>5117</v>
      </c>
    </row>
    <row r="25652">
      <c r="H25652" t="s">
        <v>5117</v>
      </c>
    </row>
    <row r="25653">
      <c r="H25653" t="s">
        <v>5117</v>
      </c>
    </row>
    <row r="25654">
      <c r="H25654" t="s">
        <v>5117</v>
      </c>
    </row>
    <row r="25655">
      <c r="H25655" t="s">
        <v>5117</v>
      </c>
    </row>
    <row r="25656">
      <c r="H25656" t="s">
        <v>5117</v>
      </c>
    </row>
    <row r="25657">
      <c r="H25657" t="s">
        <v>5117</v>
      </c>
    </row>
    <row r="25658">
      <c r="H25658" t="s">
        <v>5117</v>
      </c>
    </row>
    <row r="25659">
      <c r="H25659" t="s">
        <v>5117</v>
      </c>
    </row>
    <row r="25660">
      <c r="H25660" t="s">
        <v>5117</v>
      </c>
    </row>
    <row r="25661">
      <c r="H25661" t="s">
        <v>5117</v>
      </c>
    </row>
    <row r="25662">
      <c r="H25662" t="s">
        <v>5117</v>
      </c>
    </row>
    <row r="25663">
      <c r="H25663" t="s">
        <v>5117</v>
      </c>
    </row>
    <row r="25664">
      <c r="H25664" t="s">
        <v>5117</v>
      </c>
    </row>
    <row r="25665">
      <c r="H25665" t="s">
        <v>5117</v>
      </c>
    </row>
    <row r="25666">
      <c r="H25666" t="s">
        <v>5117</v>
      </c>
    </row>
    <row r="25667">
      <c r="H25667" t="s">
        <v>5117</v>
      </c>
    </row>
    <row r="25668">
      <c r="H25668" t="s">
        <v>5117</v>
      </c>
    </row>
    <row r="25669">
      <c r="H25669" t="s">
        <v>5117</v>
      </c>
    </row>
    <row r="25670">
      <c r="H25670" t="s">
        <v>5117</v>
      </c>
    </row>
    <row r="25671">
      <c r="H25671" t="s">
        <v>5117</v>
      </c>
    </row>
    <row r="25672">
      <c r="H25672" t="s">
        <v>5117</v>
      </c>
    </row>
    <row r="25673">
      <c r="H25673" t="s">
        <v>5117</v>
      </c>
    </row>
    <row r="25674">
      <c r="H25674" t="s">
        <v>5117</v>
      </c>
    </row>
    <row r="25675">
      <c r="H25675" t="s">
        <v>5117</v>
      </c>
    </row>
    <row r="25676">
      <c r="H25676" t="s">
        <v>5117</v>
      </c>
    </row>
    <row r="25677">
      <c r="H25677" t="s">
        <v>5117</v>
      </c>
    </row>
    <row r="25678">
      <c r="H25678" t="s">
        <v>5117</v>
      </c>
    </row>
    <row r="25679">
      <c r="H25679" t="s">
        <v>5117</v>
      </c>
    </row>
    <row r="25680">
      <c r="H25680" t="s">
        <v>5117</v>
      </c>
    </row>
    <row r="25681">
      <c r="H25681" t="s">
        <v>5117</v>
      </c>
    </row>
    <row r="25682">
      <c r="H25682" t="s">
        <v>5117</v>
      </c>
    </row>
    <row r="25683">
      <c r="H25683" t="s">
        <v>5117</v>
      </c>
    </row>
    <row r="25684">
      <c r="H25684" t="s">
        <v>5117</v>
      </c>
    </row>
    <row r="25685">
      <c r="H25685" t="s">
        <v>5117</v>
      </c>
    </row>
    <row r="25686">
      <c r="H25686" t="s">
        <v>5117</v>
      </c>
    </row>
    <row r="25687">
      <c r="H25687" t="s">
        <v>5117</v>
      </c>
    </row>
    <row r="25688">
      <c r="H25688" t="s">
        <v>5117</v>
      </c>
    </row>
    <row r="25689">
      <c r="H25689" t="s">
        <v>5117</v>
      </c>
    </row>
    <row r="25690">
      <c r="H25690" t="s">
        <v>5117</v>
      </c>
    </row>
    <row r="25691">
      <c r="H25691" t="s">
        <v>5117</v>
      </c>
    </row>
    <row r="25692">
      <c r="H25692" t="s">
        <v>5117</v>
      </c>
    </row>
    <row r="25693">
      <c r="H25693" t="s">
        <v>5117</v>
      </c>
    </row>
    <row r="25694">
      <c r="H25694" t="s">
        <v>5117</v>
      </c>
    </row>
    <row r="25695">
      <c r="H25695" t="s">
        <v>5117</v>
      </c>
    </row>
    <row r="25696">
      <c r="H25696" t="s">
        <v>5117</v>
      </c>
    </row>
    <row r="25697">
      <c r="H25697" t="s">
        <v>5117</v>
      </c>
    </row>
    <row r="25698">
      <c r="H25698" t="s">
        <v>5117</v>
      </c>
    </row>
    <row r="25699">
      <c r="H25699" t="s">
        <v>5117</v>
      </c>
    </row>
    <row r="25700">
      <c r="H25700" t="s">
        <v>5117</v>
      </c>
    </row>
    <row r="25701">
      <c r="H25701" t="s">
        <v>5117</v>
      </c>
    </row>
    <row r="25702">
      <c r="H25702" t="s">
        <v>5117</v>
      </c>
    </row>
    <row r="25703">
      <c r="H25703" t="s">
        <v>5117</v>
      </c>
    </row>
    <row r="25704">
      <c r="H25704" t="s">
        <v>5117</v>
      </c>
    </row>
    <row r="25705">
      <c r="H25705" t="s">
        <v>5117</v>
      </c>
    </row>
    <row r="25706">
      <c r="H25706" t="s">
        <v>5117</v>
      </c>
    </row>
    <row r="25707">
      <c r="H25707" t="s">
        <v>5117</v>
      </c>
    </row>
    <row r="25708">
      <c r="H25708" t="s">
        <v>5117</v>
      </c>
    </row>
    <row r="25709">
      <c r="H25709" t="s">
        <v>5117</v>
      </c>
    </row>
    <row r="25710">
      <c r="H25710" t="s">
        <v>5117</v>
      </c>
    </row>
    <row r="25711">
      <c r="H25711" t="s">
        <v>5117</v>
      </c>
    </row>
    <row r="25712">
      <c r="H25712" t="s">
        <v>5117</v>
      </c>
    </row>
    <row r="25713">
      <c r="H25713" t="s">
        <v>5117</v>
      </c>
    </row>
    <row r="25714">
      <c r="H25714" t="s">
        <v>5117</v>
      </c>
    </row>
    <row r="25715">
      <c r="H25715" t="s">
        <v>5117</v>
      </c>
    </row>
    <row r="25716">
      <c r="H25716" t="s">
        <v>5117</v>
      </c>
    </row>
    <row r="25717">
      <c r="H25717" t="s">
        <v>5117</v>
      </c>
    </row>
    <row r="25718">
      <c r="H25718" t="s">
        <v>5117</v>
      </c>
    </row>
    <row r="25719">
      <c r="H25719" t="s">
        <v>5117</v>
      </c>
    </row>
    <row r="25720">
      <c r="H25720" t="s">
        <v>5117</v>
      </c>
    </row>
    <row r="25721">
      <c r="H25721" t="s">
        <v>5117</v>
      </c>
    </row>
    <row r="25722">
      <c r="H25722" t="s">
        <v>5117</v>
      </c>
    </row>
    <row r="25723">
      <c r="H25723" t="s">
        <v>5117</v>
      </c>
    </row>
    <row r="25724">
      <c r="H25724" t="s">
        <v>5117</v>
      </c>
    </row>
    <row r="25725">
      <c r="H25725" t="s">
        <v>5117</v>
      </c>
    </row>
    <row r="25726">
      <c r="H25726" t="s">
        <v>5117</v>
      </c>
    </row>
    <row r="25727">
      <c r="H25727" t="s">
        <v>5117</v>
      </c>
    </row>
    <row r="25728">
      <c r="H25728" t="s">
        <v>5117</v>
      </c>
    </row>
    <row r="25729">
      <c r="H25729" t="s">
        <v>5117</v>
      </c>
    </row>
    <row r="25730">
      <c r="H25730" t="s">
        <v>5117</v>
      </c>
    </row>
    <row r="25731">
      <c r="H25731" t="s">
        <v>5117</v>
      </c>
    </row>
    <row r="25732">
      <c r="H25732" t="s">
        <v>5117</v>
      </c>
    </row>
    <row r="25733">
      <c r="H25733" t="s">
        <v>5117</v>
      </c>
    </row>
    <row r="25734">
      <c r="H25734" t="s">
        <v>5117</v>
      </c>
    </row>
    <row r="25735">
      <c r="H25735" t="s">
        <v>5117</v>
      </c>
    </row>
    <row r="25736">
      <c r="H25736" t="s">
        <v>5117</v>
      </c>
    </row>
    <row r="25737">
      <c r="H25737" t="s">
        <v>5117</v>
      </c>
    </row>
    <row r="25738">
      <c r="H25738" t="s">
        <v>5117</v>
      </c>
    </row>
    <row r="25739">
      <c r="H25739" t="s">
        <v>5117</v>
      </c>
    </row>
    <row r="25740">
      <c r="H25740" t="s">
        <v>5117</v>
      </c>
    </row>
    <row r="25741">
      <c r="H25741" t="s">
        <v>5117</v>
      </c>
    </row>
    <row r="25742">
      <c r="H25742" t="s">
        <v>5117</v>
      </c>
    </row>
    <row r="25743">
      <c r="H25743" t="s">
        <v>5117</v>
      </c>
    </row>
    <row r="25744">
      <c r="H25744" t="s">
        <v>5117</v>
      </c>
    </row>
    <row r="25745">
      <c r="H25745" t="s">
        <v>5117</v>
      </c>
    </row>
    <row r="25746">
      <c r="H25746" t="s">
        <v>5117</v>
      </c>
    </row>
    <row r="25747">
      <c r="H25747" t="s">
        <v>5117</v>
      </c>
    </row>
    <row r="25748">
      <c r="H25748" t="s">
        <v>5117</v>
      </c>
    </row>
    <row r="25749">
      <c r="H25749" t="s">
        <v>5117</v>
      </c>
    </row>
    <row r="25750">
      <c r="H25750" t="s">
        <v>5117</v>
      </c>
    </row>
    <row r="25751">
      <c r="H25751" t="s">
        <v>5117</v>
      </c>
    </row>
    <row r="25752">
      <c r="H25752" t="s">
        <v>5117</v>
      </c>
    </row>
    <row r="25753">
      <c r="H25753" t="s">
        <v>5117</v>
      </c>
    </row>
    <row r="25754">
      <c r="H25754" t="s">
        <v>5117</v>
      </c>
    </row>
    <row r="25755">
      <c r="H25755" t="s">
        <v>5117</v>
      </c>
    </row>
    <row r="25756">
      <c r="H25756" t="s">
        <v>5117</v>
      </c>
    </row>
    <row r="25757">
      <c r="H25757" t="s">
        <v>5117</v>
      </c>
    </row>
    <row r="25758">
      <c r="H25758" t="s">
        <v>5117</v>
      </c>
    </row>
    <row r="25759">
      <c r="H25759" t="s">
        <v>5117</v>
      </c>
    </row>
    <row r="25760">
      <c r="H25760" t="s">
        <v>5117</v>
      </c>
    </row>
    <row r="25761">
      <c r="H25761" t="s">
        <v>5117</v>
      </c>
    </row>
    <row r="25762">
      <c r="H25762" t="s">
        <v>5117</v>
      </c>
    </row>
    <row r="25763">
      <c r="H25763" t="s">
        <v>5117</v>
      </c>
    </row>
    <row r="25764">
      <c r="H25764" t="s">
        <v>5117</v>
      </c>
    </row>
    <row r="25765">
      <c r="H25765" t="s">
        <v>5117</v>
      </c>
    </row>
    <row r="25766">
      <c r="H25766" t="s">
        <v>5117</v>
      </c>
    </row>
    <row r="25767">
      <c r="H25767" t="s">
        <v>5117</v>
      </c>
    </row>
    <row r="25768">
      <c r="H25768" t="s">
        <v>5117</v>
      </c>
    </row>
    <row r="25769">
      <c r="H25769" t="s">
        <v>5117</v>
      </c>
    </row>
    <row r="25770">
      <c r="H25770" t="s">
        <v>5117</v>
      </c>
    </row>
    <row r="25771">
      <c r="H25771" t="s">
        <v>5117</v>
      </c>
    </row>
    <row r="25772">
      <c r="H25772" t="s">
        <v>5117</v>
      </c>
    </row>
    <row r="25773">
      <c r="H25773" t="s">
        <v>5117</v>
      </c>
    </row>
    <row r="25774">
      <c r="H25774" t="s">
        <v>5117</v>
      </c>
    </row>
    <row r="25775">
      <c r="H25775" t="s">
        <v>5117</v>
      </c>
    </row>
    <row r="25776">
      <c r="H25776" t="s">
        <v>5117</v>
      </c>
    </row>
    <row r="25777">
      <c r="H25777" t="s">
        <v>5117</v>
      </c>
    </row>
    <row r="25778">
      <c r="H25778" t="s">
        <v>5117</v>
      </c>
    </row>
    <row r="25779">
      <c r="H25779" t="s">
        <v>5117</v>
      </c>
    </row>
    <row r="25780">
      <c r="H25780" t="s">
        <v>5117</v>
      </c>
    </row>
    <row r="25781">
      <c r="H25781" t="s">
        <v>5117</v>
      </c>
    </row>
    <row r="25782">
      <c r="H25782" t="s">
        <v>5117</v>
      </c>
    </row>
    <row r="25783">
      <c r="H25783" t="s">
        <v>5117</v>
      </c>
    </row>
    <row r="25784">
      <c r="H25784" t="s">
        <v>5117</v>
      </c>
    </row>
    <row r="25785">
      <c r="H25785" t="s">
        <v>5117</v>
      </c>
    </row>
    <row r="25786">
      <c r="H25786" t="s">
        <v>5117</v>
      </c>
    </row>
    <row r="25787">
      <c r="H25787" t="s">
        <v>5117</v>
      </c>
    </row>
    <row r="25788">
      <c r="H25788" t="s">
        <v>5117</v>
      </c>
    </row>
    <row r="25789">
      <c r="H25789" t="s">
        <v>5117</v>
      </c>
    </row>
    <row r="25790">
      <c r="H25790" t="s">
        <v>5117</v>
      </c>
    </row>
    <row r="25791">
      <c r="H25791" t="s">
        <v>5117</v>
      </c>
    </row>
    <row r="25792">
      <c r="H25792" t="s">
        <v>5117</v>
      </c>
    </row>
    <row r="25793">
      <c r="H25793" t="s">
        <v>5117</v>
      </c>
    </row>
    <row r="25794">
      <c r="H25794" t="s">
        <v>5117</v>
      </c>
    </row>
    <row r="25795">
      <c r="H25795" t="s">
        <v>5117</v>
      </c>
    </row>
    <row r="25796">
      <c r="H25796" t="s">
        <v>5117</v>
      </c>
    </row>
    <row r="25797">
      <c r="H25797" t="s">
        <v>5117</v>
      </c>
    </row>
    <row r="25798">
      <c r="H25798" t="s">
        <v>5117</v>
      </c>
    </row>
    <row r="25799">
      <c r="H25799" t="s">
        <v>5117</v>
      </c>
    </row>
    <row r="25800">
      <c r="H25800" t="s">
        <v>5117</v>
      </c>
    </row>
    <row r="25801">
      <c r="H25801" t="s">
        <v>5117</v>
      </c>
    </row>
    <row r="25802">
      <c r="H25802" t="s">
        <v>5117</v>
      </c>
    </row>
    <row r="25803">
      <c r="H25803" t="s">
        <v>5117</v>
      </c>
    </row>
    <row r="25804">
      <c r="H25804" t="s">
        <v>5117</v>
      </c>
    </row>
    <row r="25805">
      <c r="H25805" t="s">
        <v>5117</v>
      </c>
    </row>
    <row r="25806">
      <c r="H25806" t="s">
        <v>5117</v>
      </c>
    </row>
    <row r="25807">
      <c r="H25807" t="s">
        <v>5117</v>
      </c>
    </row>
    <row r="25808">
      <c r="H25808" t="s">
        <v>5117</v>
      </c>
    </row>
    <row r="25809">
      <c r="H25809" t="s">
        <v>5117</v>
      </c>
    </row>
    <row r="25810">
      <c r="H25810" t="s">
        <v>5117</v>
      </c>
    </row>
    <row r="25811">
      <c r="H25811" t="s">
        <v>5117</v>
      </c>
    </row>
    <row r="25812">
      <c r="H25812" t="s">
        <v>5117</v>
      </c>
    </row>
    <row r="25813">
      <c r="H25813" t="s">
        <v>5117</v>
      </c>
    </row>
    <row r="25814">
      <c r="H25814" t="s">
        <v>5117</v>
      </c>
    </row>
    <row r="25815">
      <c r="H25815" t="s">
        <v>5117</v>
      </c>
    </row>
    <row r="25816">
      <c r="H25816" t="s">
        <v>5117</v>
      </c>
    </row>
    <row r="25817">
      <c r="H25817" t="s">
        <v>5117</v>
      </c>
    </row>
    <row r="25818">
      <c r="H25818" t="s">
        <v>5117</v>
      </c>
    </row>
    <row r="25819">
      <c r="H25819" t="s">
        <v>5117</v>
      </c>
    </row>
    <row r="25820">
      <c r="H25820" t="s">
        <v>5117</v>
      </c>
    </row>
    <row r="25821">
      <c r="H25821" t="s">
        <v>5117</v>
      </c>
    </row>
    <row r="25822">
      <c r="H25822" t="s">
        <v>5117</v>
      </c>
    </row>
    <row r="25823">
      <c r="H25823" t="s">
        <v>5117</v>
      </c>
    </row>
    <row r="25824">
      <c r="H25824" t="s">
        <v>5117</v>
      </c>
    </row>
    <row r="25825">
      <c r="H25825" t="s">
        <v>5117</v>
      </c>
    </row>
    <row r="25826">
      <c r="H25826" t="s">
        <v>5117</v>
      </c>
    </row>
    <row r="25827">
      <c r="H25827" t="s">
        <v>5117</v>
      </c>
    </row>
    <row r="25828">
      <c r="H25828" t="s">
        <v>5117</v>
      </c>
    </row>
    <row r="25829">
      <c r="H25829" t="s">
        <v>5117</v>
      </c>
    </row>
    <row r="25830">
      <c r="H25830" t="s">
        <v>5117</v>
      </c>
    </row>
    <row r="25831">
      <c r="H25831" t="s">
        <v>5117</v>
      </c>
    </row>
    <row r="25832">
      <c r="H25832" t="s">
        <v>5117</v>
      </c>
    </row>
    <row r="25833">
      <c r="H25833" t="s">
        <v>5117</v>
      </c>
    </row>
    <row r="25834">
      <c r="H25834" t="s">
        <v>5117</v>
      </c>
    </row>
    <row r="25835">
      <c r="H25835" t="s">
        <v>5117</v>
      </c>
    </row>
    <row r="25836">
      <c r="H25836" t="s">
        <v>5117</v>
      </c>
    </row>
    <row r="25837">
      <c r="H25837" t="s">
        <v>5117</v>
      </c>
    </row>
    <row r="25838">
      <c r="H25838" t="s">
        <v>5117</v>
      </c>
    </row>
    <row r="25839">
      <c r="H25839" t="s">
        <v>5117</v>
      </c>
    </row>
    <row r="25840">
      <c r="H25840" t="s">
        <v>5117</v>
      </c>
    </row>
    <row r="25841">
      <c r="H25841" t="s">
        <v>5117</v>
      </c>
    </row>
    <row r="25842">
      <c r="H25842" t="s">
        <v>5117</v>
      </c>
    </row>
    <row r="25843">
      <c r="H25843" t="s">
        <v>5117</v>
      </c>
    </row>
    <row r="25844">
      <c r="H25844" t="s">
        <v>5117</v>
      </c>
    </row>
    <row r="25845">
      <c r="H25845" t="s">
        <v>5117</v>
      </c>
    </row>
    <row r="25846">
      <c r="H25846" t="s">
        <v>5117</v>
      </c>
    </row>
    <row r="25847">
      <c r="H25847" t="s">
        <v>5117</v>
      </c>
    </row>
    <row r="25848">
      <c r="H25848" t="s">
        <v>5117</v>
      </c>
    </row>
    <row r="25849">
      <c r="H25849" t="s">
        <v>5117</v>
      </c>
    </row>
    <row r="25850">
      <c r="H25850" t="s">
        <v>5117</v>
      </c>
    </row>
    <row r="25851">
      <c r="H25851" t="s">
        <v>5117</v>
      </c>
    </row>
    <row r="25852">
      <c r="H25852" t="s">
        <v>5117</v>
      </c>
    </row>
    <row r="25853">
      <c r="H25853" t="s">
        <v>5117</v>
      </c>
    </row>
    <row r="25854">
      <c r="H25854" t="s">
        <v>5117</v>
      </c>
    </row>
    <row r="25855">
      <c r="H25855" t="s">
        <v>5117</v>
      </c>
    </row>
    <row r="25856">
      <c r="H25856" t="s">
        <v>5117</v>
      </c>
    </row>
    <row r="25857">
      <c r="H25857" t="s">
        <v>5117</v>
      </c>
    </row>
    <row r="25858">
      <c r="H25858" t="s">
        <v>5117</v>
      </c>
    </row>
    <row r="25859">
      <c r="H25859" t="s">
        <v>5117</v>
      </c>
    </row>
    <row r="25860">
      <c r="H25860" t="s">
        <v>5117</v>
      </c>
    </row>
    <row r="25861">
      <c r="H25861" t="s">
        <v>5117</v>
      </c>
    </row>
    <row r="25862">
      <c r="H25862" t="s">
        <v>5117</v>
      </c>
    </row>
    <row r="25863">
      <c r="H25863" t="s">
        <v>5117</v>
      </c>
    </row>
    <row r="25864">
      <c r="H25864" t="s">
        <v>5117</v>
      </c>
    </row>
    <row r="25865">
      <c r="H25865" t="s">
        <v>5117</v>
      </c>
    </row>
    <row r="25866">
      <c r="H25866" t="s">
        <v>5117</v>
      </c>
    </row>
    <row r="25867">
      <c r="H25867" t="s">
        <v>5117</v>
      </c>
    </row>
    <row r="25868">
      <c r="H25868" t="s">
        <v>5117</v>
      </c>
    </row>
    <row r="25869">
      <c r="H25869" t="s">
        <v>5117</v>
      </c>
    </row>
    <row r="25870">
      <c r="H25870" t="s">
        <v>5117</v>
      </c>
    </row>
    <row r="25871">
      <c r="H25871" t="s">
        <v>5117</v>
      </c>
    </row>
    <row r="25872">
      <c r="H25872" t="s">
        <v>5117</v>
      </c>
    </row>
    <row r="25873">
      <c r="H25873" t="s">
        <v>5117</v>
      </c>
    </row>
    <row r="25874">
      <c r="H25874" t="s">
        <v>5117</v>
      </c>
    </row>
    <row r="25875">
      <c r="H25875" t="s">
        <v>5117</v>
      </c>
    </row>
    <row r="25876">
      <c r="H25876" t="s">
        <v>5117</v>
      </c>
    </row>
    <row r="25877">
      <c r="H25877" t="s">
        <v>5117</v>
      </c>
    </row>
    <row r="25878">
      <c r="H25878" t="s">
        <v>5117</v>
      </c>
    </row>
    <row r="25879">
      <c r="H25879" t="s">
        <v>5117</v>
      </c>
    </row>
    <row r="25880">
      <c r="H25880" t="s">
        <v>5117</v>
      </c>
    </row>
    <row r="25881">
      <c r="H25881" t="s">
        <v>5117</v>
      </c>
    </row>
    <row r="25882">
      <c r="H25882" t="s">
        <v>5117</v>
      </c>
    </row>
    <row r="25883">
      <c r="H25883" t="s">
        <v>5117</v>
      </c>
    </row>
    <row r="25884">
      <c r="H25884" t="s">
        <v>5117</v>
      </c>
    </row>
    <row r="25885">
      <c r="H25885" t="s">
        <v>5117</v>
      </c>
    </row>
    <row r="25886">
      <c r="H25886" t="s">
        <v>5117</v>
      </c>
    </row>
    <row r="25887">
      <c r="H25887" t="s">
        <v>5117</v>
      </c>
    </row>
    <row r="25888">
      <c r="H25888" t="s">
        <v>5117</v>
      </c>
    </row>
    <row r="25889">
      <c r="H25889" t="s">
        <v>5117</v>
      </c>
    </row>
    <row r="25890">
      <c r="H25890" t="s">
        <v>5117</v>
      </c>
    </row>
    <row r="25891">
      <c r="H25891" t="s">
        <v>5117</v>
      </c>
    </row>
    <row r="25892">
      <c r="H25892" t="s">
        <v>5117</v>
      </c>
    </row>
    <row r="25893">
      <c r="H25893" t="s">
        <v>5117</v>
      </c>
    </row>
    <row r="25894">
      <c r="H25894" t="s">
        <v>5117</v>
      </c>
    </row>
    <row r="25895">
      <c r="H25895" t="s">
        <v>5117</v>
      </c>
    </row>
    <row r="25896">
      <c r="H25896" t="s">
        <v>5117</v>
      </c>
    </row>
    <row r="25897">
      <c r="H25897" t="s">
        <v>5117</v>
      </c>
    </row>
    <row r="25898">
      <c r="H25898" t="s">
        <v>5117</v>
      </c>
    </row>
    <row r="25899">
      <c r="H25899" t="s">
        <v>5117</v>
      </c>
    </row>
    <row r="25900">
      <c r="H25900" t="s">
        <v>5117</v>
      </c>
    </row>
    <row r="25901">
      <c r="H25901" t="s">
        <v>5117</v>
      </c>
    </row>
    <row r="25902">
      <c r="H25902" t="s">
        <v>5117</v>
      </c>
    </row>
    <row r="25903">
      <c r="H25903" t="s">
        <v>5117</v>
      </c>
    </row>
    <row r="25904">
      <c r="H25904" t="s">
        <v>5117</v>
      </c>
    </row>
    <row r="25905">
      <c r="H25905" t="s">
        <v>5117</v>
      </c>
    </row>
    <row r="25906">
      <c r="H25906" t="s">
        <v>5117</v>
      </c>
    </row>
    <row r="25907">
      <c r="H25907" t="s">
        <v>5117</v>
      </c>
    </row>
    <row r="25908">
      <c r="H25908" t="s">
        <v>5117</v>
      </c>
    </row>
    <row r="25909">
      <c r="H25909" t="s">
        <v>5117</v>
      </c>
    </row>
    <row r="25910">
      <c r="H25910" t="s">
        <v>5117</v>
      </c>
    </row>
    <row r="25911">
      <c r="H25911" t="s">
        <v>5117</v>
      </c>
    </row>
    <row r="25912">
      <c r="H25912" t="s">
        <v>5117</v>
      </c>
    </row>
    <row r="25913">
      <c r="H25913" t="s">
        <v>5117</v>
      </c>
    </row>
    <row r="25914">
      <c r="H25914" t="s">
        <v>5117</v>
      </c>
    </row>
    <row r="25915">
      <c r="H25915" t="s">
        <v>5117</v>
      </c>
    </row>
    <row r="25916">
      <c r="H25916" t="s">
        <v>5117</v>
      </c>
    </row>
    <row r="25917">
      <c r="H25917" t="s">
        <v>5117</v>
      </c>
    </row>
    <row r="25918">
      <c r="H25918" t="s">
        <v>5117</v>
      </c>
    </row>
    <row r="25919">
      <c r="H25919" t="s">
        <v>5117</v>
      </c>
    </row>
    <row r="25920">
      <c r="H25920" t="s">
        <v>5117</v>
      </c>
    </row>
    <row r="25921">
      <c r="H25921" t="s">
        <v>5117</v>
      </c>
    </row>
    <row r="25922">
      <c r="H25922" t="s">
        <v>5117</v>
      </c>
    </row>
    <row r="25923">
      <c r="H25923" t="s">
        <v>5117</v>
      </c>
    </row>
    <row r="25924">
      <c r="H25924" t="s">
        <v>5117</v>
      </c>
    </row>
    <row r="25925">
      <c r="H25925" t="s">
        <v>5117</v>
      </c>
    </row>
    <row r="25926">
      <c r="H25926" t="s">
        <v>5117</v>
      </c>
    </row>
    <row r="25927">
      <c r="H25927" t="s">
        <v>5117</v>
      </c>
    </row>
    <row r="25928">
      <c r="H25928" t="s">
        <v>5117</v>
      </c>
    </row>
    <row r="25929">
      <c r="H25929" t="s">
        <v>5117</v>
      </c>
    </row>
    <row r="25930">
      <c r="H25930" t="s">
        <v>5117</v>
      </c>
    </row>
    <row r="25931">
      <c r="H25931" t="s">
        <v>5117</v>
      </c>
    </row>
    <row r="25932">
      <c r="H25932" t="s">
        <v>5117</v>
      </c>
    </row>
    <row r="25933">
      <c r="H25933" t="s">
        <v>5117</v>
      </c>
    </row>
    <row r="25934">
      <c r="H25934" t="s">
        <v>5117</v>
      </c>
    </row>
    <row r="25935">
      <c r="H25935" t="s">
        <v>5117</v>
      </c>
    </row>
    <row r="25936">
      <c r="H25936" t="s">
        <v>5117</v>
      </c>
    </row>
    <row r="25937">
      <c r="H25937" t="s">
        <v>5117</v>
      </c>
    </row>
    <row r="25938">
      <c r="H25938" t="s">
        <v>5117</v>
      </c>
    </row>
    <row r="25939">
      <c r="H25939" t="s">
        <v>5117</v>
      </c>
    </row>
    <row r="25940">
      <c r="H25940" t="s">
        <v>5117</v>
      </c>
    </row>
    <row r="25941">
      <c r="H25941" t="s">
        <v>5117</v>
      </c>
    </row>
    <row r="25942">
      <c r="H25942" t="s">
        <v>5117</v>
      </c>
    </row>
    <row r="25943">
      <c r="H25943" t="s">
        <v>5117</v>
      </c>
    </row>
    <row r="25944">
      <c r="H25944" t="s">
        <v>5117</v>
      </c>
    </row>
    <row r="25945">
      <c r="H25945" t="s">
        <v>5117</v>
      </c>
    </row>
    <row r="25946">
      <c r="H25946" t="s">
        <v>5117</v>
      </c>
    </row>
    <row r="25947">
      <c r="H25947" t="s">
        <v>5117</v>
      </c>
    </row>
    <row r="25948">
      <c r="H25948" t="s">
        <v>5117</v>
      </c>
    </row>
    <row r="25949">
      <c r="H25949" t="s">
        <v>5117</v>
      </c>
    </row>
    <row r="25950">
      <c r="H25950" t="s">
        <v>5117</v>
      </c>
    </row>
    <row r="25951">
      <c r="H25951" t="s">
        <v>5117</v>
      </c>
    </row>
    <row r="25952">
      <c r="H25952" t="s">
        <v>5117</v>
      </c>
    </row>
    <row r="25953">
      <c r="H25953" t="s">
        <v>5117</v>
      </c>
    </row>
    <row r="25954">
      <c r="H25954" t="s">
        <v>5117</v>
      </c>
    </row>
    <row r="25955">
      <c r="H25955" t="s">
        <v>5117</v>
      </c>
    </row>
    <row r="25956">
      <c r="H25956" t="s">
        <v>5117</v>
      </c>
    </row>
    <row r="25957">
      <c r="H25957" t="s">
        <v>5117</v>
      </c>
    </row>
    <row r="25958">
      <c r="H25958" t="s">
        <v>5117</v>
      </c>
    </row>
    <row r="25959">
      <c r="H25959" t="s">
        <v>5117</v>
      </c>
    </row>
    <row r="25960">
      <c r="H25960" t="s">
        <v>5117</v>
      </c>
    </row>
    <row r="25961">
      <c r="H25961" t="s">
        <v>5117</v>
      </c>
    </row>
    <row r="25962">
      <c r="H25962" t="s">
        <v>5117</v>
      </c>
    </row>
    <row r="25963">
      <c r="H25963" t="s">
        <v>5117</v>
      </c>
    </row>
    <row r="25964">
      <c r="H25964" t="s">
        <v>5117</v>
      </c>
    </row>
    <row r="25965">
      <c r="H25965" t="s">
        <v>5117</v>
      </c>
    </row>
    <row r="25966">
      <c r="H25966" t="s">
        <v>5117</v>
      </c>
    </row>
    <row r="25967">
      <c r="H25967" t="s">
        <v>5117</v>
      </c>
    </row>
    <row r="25968">
      <c r="H25968" t="s">
        <v>5117</v>
      </c>
    </row>
    <row r="25969">
      <c r="H25969" t="s">
        <v>5117</v>
      </c>
    </row>
    <row r="25970">
      <c r="H25970" t="s">
        <v>5117</v>
      </c>
    </row>
    <row r="25971">
      <c r="H25971" t="s">
        <v>5117</v>
      </c>
    </row>
    <row r="25972">
      <c r="H25972" t="s">
        <v>5117</v>
      </c>
    </row>
    <row r="25973">
      <c r="H25973" t="s">
        <v>5117</v>
      </c>
    </row>
    <row r="25974">
      <c r="H25974" t="s">
        <v>5117</v>
      </c>
    </row>
    <row r="25975">
      <c r="H25975" t="s">
        <v>5117</v>
      </c>
    </row>
    <row r="25976">
      <c r="H25976" t="s">
        <v>5117</v>
      </c>
    </row>
    <row r="25977">
      <c r="H25977" t="s">
        <v>5117</v>
      </c>
    </row>
    <row r="25978">
      <c r="H25978" t="s">
        <v>5117</v>
      </c>
    </row>
    <row r="25979">
      <c r="H25979" t="s">
        <v>5117</v>
      </c>
    </row>
    <row r="25980">
      <c r="H25980" t="s">
        <v>5117</v>
      </c>
    </row>
    <row r="25981">
      <c r="H25981" t="s">
        <v>5117</v>
      </c>
    </row>
    <row r="25982">
      <c r="H25982" t="s">
        <v>5117</v>
      </c>
    </row>
    <row r="25983">
      <c r="H25983" t="s">
        <v>5117</v>
      </c>
    </row>
    <row r="25984">
      <c r="H25984" t="s">
        <v>5117</v>
      </c>
    </row>
    <row r="25985">
      <c r="H25985" t="s">
        <v>5117</v>
      </c>
    </row>
    <row r="25986">
      <c r="H25986" t="s">
        <v>5117</v>
      </c>
    </row>
    <row r="25987">
      <c r="H25987" t="s">
        <v>5117</v>
      </c>
    </row>
    <row r="25988">
      <c r="H25988" t="s">
        <v>5117</v>
      </c>
    </row>
    <row r="25989">
      <c r="H25989" t="s">
        <v>5117</v>
      </c>
    </row>
    <row r="25990">
      <c r="H25990" t="s">
        <v>5117</v>
      </c>
    </row>
    <row r="25991">
      <c r="H25991" t="s">
        <v>5117</v>
      </c>
    </row>
    <row r="25992">
      <c r="H25992" t="s">
        <v>5117</v>
      </c>
    </row>
    <row r="25993">
      <c r="H25993" t="s">
        <v>5117</v>
      </c>
    </row>
    <row r="25994">
      <c r="H25994" t="s">
        <v>5117</v>
      </c>
    </row>
    <row r="25995">
      <c r="H25995" t="s">
        <v>5117</v>
      </c>
    </row>
    <row r="25996">
      <c r="H25996" t="s">
        <v>5117</v>
      </c>
    </row>
    <row r="25997">
      <c r="H25997" t="s">
        <v>5117</v>
      </c>
    </row>
    <row r="25998">
      <c r="H25998" t="s">
        <v>5117</v>
      </c>
    </row>
    <row r="25999">
      <c r="H25999" t="s">
        <v>5117</v>
      </c>
    </row>
    <row r="26000">
      <c r="H26000" t="s">
        <v>5117</v>
      </c>
    </row>
    <row r="26001">
      <c r="H26001" t="s">
        <v>5117</v>
      </c>
    </row>
    <row r="26002">
      <c r="H26002" t="s">
        <v>5117</v>
      </c>
    </row>
    <row r="26003">
      <c r="H26003" t="s">
        <v>5117</v>
      </c>
    </row>
    <row r="26004">
      <c r="H26004" t="s">
        <v>5117</v>
      </c>
    </row>
    <row r="26005">
      <c r="H26005" t="s">
        <v>5117</v>
      </c>
    </row>
    <row r="26006">
      <c r="H26006" t="s">
        <v>5117</v>
      </c>
    </row>
    <row r="26007">
      <c r="H26007" t="s">
        <v>5117</v>
      </c>
    </row>
    <row r="26008">
      <c r="H26008" t="s">
        <v>5117</v>
      </c>
    </row>
    <row r="26009">
      <c r="H26009" t="s">
        <v>5117</v>
      </c>
    </row>
    <row r="26010">
      <c r="H26010" t="s">
        <v>5117</v>
      </c>
    </row>
    <row r="26011">
      <c r="H26011" t="s">
        <v>5117</v>
      </c>
    </row>
    <row r="26012">
      <c r="H26012" t="s">
        <v>5117</v>
      </c>
    </row>
    <row r="26013">
      <c r="H26013" t="s">
        <v>5117</v>
      </c>
    </row>
    <row r="26014">
      <c r="H26014" t="s">
        <v>5117</v>
      </c>
    </row>
    <row r="26015">
      <c r="H26015" t="s">
        <v>5117</v>
      </c>
    </row>
    <row r="26016">
      <c r="H26016" t="s">
        <v>5117</v>
      </c>
    </row>
    <row r="26017">
      <c r="H26017" t="s">
        <v>5117</v>
      </c>
    </row>
    <row r="26018">
      <c r="H26018" t="s">
        <v>5117</v>
      </c>
    </row>
    <row r="26019">
      <c r="H26019" t="s">
        <v>5117</v>
      </c>
    </row>
    <row r="26020">
      <c r="H26020" t="s">
        <v>5117</v>
      </c>
    </row>
    <row r="26021">
      <c r="H26021" t="s">
        <v>5117</v>
      </c>
    </row>
    <row r="26022">
      <c r="H26022" t="s">
        <v>5117</v>
      </c>
    </row>
    <row r="26023">
      <c r="H26023" t="s">
        <v>5117</v>
      </c>
    </row>
    <row r="26024">
      <c r="H26024" t="s">
        <v>5117</v>
      </c>
    </row>
    <row r="26025">
      <c r="H26025" t="s">
        <v>5117</v>
      </c>
    </row>
    <row r="26026">
      <c r="H26026" t="s">
        <v>5117</v>
      </c>
    </row>
    <row r="26027">
      <c r="H26027" t="s">
        <v>5117</v>
      </c>
    </row>
    <row r="26028">
      <c r="H26028" t="s">
        <v>5117</v>
      </c>
    </row>
    <row r="26029">
      <c r="H26029" t="s">
        <v>5117</v>
      </c>
    </row>
    <row r="26030">
      <c r="H26030" t="s">
        <v>5117</v>
      </c>
    </row>
    <row r="26031">
      <c r="H26031" t="s">
        <v>5117</v>
      </c>
    </row>
    <row r="26032">
      <c r="H26032" t="s">
        <v>5117</v>
      </c>
    </row>
    <row r="26033">
      <c r="H26033" t="s">
        <v>5117</v>
      </c>
    </row>
    <row r="26034">
      <c r="H26034" t="s">
        <v>5117</v>
      </c>
    </row>
    <row r="26035">
      <c r="H26035" t="s">
        <v>5117</v>
      </c>
    </row>
    <row r="26036">
      <c r="H26036" t="s">
        <v>5117</v>
      </c>
    </row>
    <row r="26037">
      <c r="H26037" t="s">
        <v>5117</v>
      </c>
    </row>
    <row r="26038">
      <c r="H26038" t="s">
        <v>5117</v>
      </c>
    </row>
    <row r="26039">
      <c r="H26039" t="s">
        <v>5117</v>
      </c>
    </row>
    <row r="26040">
      <c r="H26040" t="s">
        <v>5117</v>
      </c>
    </row>
    <row r="26041">
      <c r="H26041" t="s">
        <v>5117</v>
      </c>
    </row>
    <row r="26042">
      <c r="H26042" t="s">
        <v>5117</v>
      </c>
    </row>
    <row r="26043">
      <c r="H26043" t="s">
        <v>5117</v>
      </c>
    </row>
    <row r="26044">
      <c r="H26044" t="s">
        <v>5117</v>
      </c>
    </row>
    <row r="26045">
      <c r="H26045" t="s">
        <v>5117</v>
      </c>
    </row>
    <row r="26046">
      <c r="H26046" t="s">
        <v>5117</v>
      </c>
    </row>
    <row r="26047">
      <c r="H26047" t="s">
        <v>5117</v>
      </c>
    </row>
    <row r="26048">
      <c r="H26048" t="s">
        <v>5117</v>
      </c>
    </row>
    <row r="26049">
      <c r="H26049" t="s">
        <v>5117</v>
      </c>
    </row>
    <row r="26050">
      <c r="H26050" t="s">
        <v>5117</v>
      </c>
    </row>
    <row r="26051">
      <c r="H26051" t="s">
        <v>5117</v>
      </c>
    </row>
    <row r="26052">
      <c r="H26052" t="s">
        <v>5117</v>
      </c>
    </row>
    <row r="26053">
      <c r="H26053" t="s">
        <v>5117</v>
      </c>
    </row>
    <row r="26054">
      <c r="H26054" t="s">
        <v>5117</v>
      </c>
    </row>
    <row r="26055">
      <c r="H26055" t="s">
        <v>5117</v>
      </c>
    </row>
    <row r="26056">
      <c r="H26056" t="s">
        <v>5117</v>
      </c>
    </row>
    <row r="26057">
      <c r="H26057" t="s">
        <v>5117</v>
      </c>
    </row>
    <row r="26058">
      <c r="H26058" t="s">
        <v>5117</v>
      </c>
    </row>
    <row r="26059">
      <c r="H26059" t="s">
        <v>5117</v>
      </c>
    </row>
    <row r="26060">
      <c r="H26060" t="s">
        <v>5117</v>
      </c>
    </row>
    <row r="26061">
      <c r="H26061" t="s">
        <v>5117</v>
      </c>
    </row>
    <row r="26062">
      <c r="H26062" t="s">
        <v>5117</v>
      </c>
    </row>
    <row r="26063">
      <c r="H26063" t="s">
        <v>5117</v>
      </c>
    </row>
    <row r="26064">
      <c r="H26064" t="s">
        <v>5117</v>
      </c>
    </row>
    <row r="26065">
      <c r="H26065" t="s">
        <v>5117</v>
      </c>
    </row>
    <row r="26066">
      <c r="H26066" t="s">
        <v>5117</v>
      </c>
    </row>
    <row r="26067">
      <c r="H26067" t="s">
        <v>5117</v>
      </c>
    </row>
    <row r="26068">
      <c r="H26068" t="s">
        <v>5117</v>
      </c>
    </row>
    <row r="26069">
      <c r="H26069" t="s">
        <v>5117</v>
      </c>
    </row>
    <row r="26070">
      <c r="H26070" t="s">
        <v>5117</v>
      </c>
    </row>
    <row r="26071">
      <c r="H26071" t="s">
        <v>5117</v>
      </c>
    </row>
    <row r="26072">
      <c r="H26072" t="s">
        <v>5117</v>
      </c>
    </row>
    <row r="26073">
      <c r="H26073" t="s">
        <v>5117</v>
      </c>
    </row>
    <row r="26074">
      <c r="H26074" t="s">
        <v>5117</v>
      </c>
    </row>
    <row r="26075">
      <c r="H26075" t="s">
        <v>5117</v>
      </c>
    </row>
    <row r="26076">
      <c r="H26076" t="s">
        <v>5117</v>
      </c>
    </row>
    <row r="26077">
      <c r="H26077" t="s">
        <v>5117</v>
      </c>
    </row>
    <row r="26078">
      <c r="H26078" t="s">
        <v>5117</v>
      </c>
    </row>
    <row r="26079">
      <c r="H26079" t="s">
        <v>5117</v>
      </c>
    </row>
    <row r="26080">
      <c r="H26080" t="s">
        <v>5117</v>
      </c>
    </row>
    <row r="26081">
      <c r="H26081" t="s">
        <v>5117</v>
      </c>
    </row>
    <row r="26082">
      <c r="H26082" t="s">
        <v>5117</v>
      </c>
    </row>
    <row r="26083">
      <c r="H26083" t="s">
        <v>5117</v>
      </c>
    </row>
    <row r="26084">
      <c r="H26084" t="s">
        <v>5117</v>
      </c>
    </row>
    <row r="26085">
      <c r="H26085" t="s">
        <v>5117</v>
      </c>
    </row>
    <row r="26086">
      <c r="H26086" t="s">
        <v>5117</v>
      </c>
    </row>
    <row r="26087">
      <c r="H26087" t="s">
        <v>5117</v>
      </c>
    </row>
    <row r="26088">
      <c r="H26088" t="s">
        <v>5117</v>
      </c>
    </row>
    <row r="26089">
      <c r="H26089" t="s">
        <v>5117</v>
      </c>
    </row>
    <row r="26090">
      <c r="H26090" t="s">
        <v>5117</v>
      </c>
    </row>
    <row r="26091">
      <c r="H26091" t="s">
        <v>5117</v>
      </c>
    </row>
    <row r="26092">
      <c r="H26092" t="s">
        <v>5117</v>
      </c>
    </row>
    <row r="26093">
      <c r="H26093" t="s">
        <v>5117</v>
      </c>
    </row>
    <row r="26094">
      <c r="H26094" t="s">
        <v>5117</v>
      </c>
    </row>
    <row r="26095">
      <c r="H26095" t="s">
        <v>5117</v>
      </c>
    </row>
    <row r="26096">
      <c r="H26096" t="s">
        <v>5117</v>
      </c>
    </row>
    <row r="26097">
      <c r="H26097" t="s">
        <v>5117</v>
      </c>
    </row>
    <row r="26098">
      <c r="H26098" t="s">
        <v>5117</v>
      </c>
    </row>
    <row r="26099">
      <c r="H26099" t="s">
        <v>5117</v>
      </c>
    </row>
    <row r="26100">
      <c r="H26100" t="s">
        <v>5117</v>
      </c>
    </row>
    <row r="26101">
      <c r="H26101" t="s">
        <v>5117</v>
      </c>
    </row>
    <row r="26102">
      <c r="H26102" t="s">
        <v>5117</v>
      </c>
    </row>
    <row r="26103">
      <c r="H26103" t="s">
        <v>5117</v>
      </c>
    </row>
    <row r="26104">
      <c r="H26104" t="s">
        <v>5117</v>
      </c>
    </row>
    <row r="26105">
      <c r="H26105" t="s">
        <v>5117</v>
      </c>
    </row>
    <row r="26106">
      <c r="H26106" t="s">
        <v>5117</v>
      </c>
    </row>
    <row r="26107">
      <c r="H26107" t="s">
        <v>5117</v>
      </c>
    </row>
    <row r="26108">
      <c r="H26108" t="s">
        <v>5117</v>
      </c>
    </row>
    <row r="26109">
      <c r="H26109" t="s">
        <v>5117</v>
      </c>
    </row>
    <row r="26110">
      <c r="H26110" t="s">
        <v>5117</v>
      </c>
    </row>
    <row r="26111">
      <c r="H26111" t="s">
        <v>5117</v>
      </c>
    </row>
    <row r="26112">
      <c r="H26112" t="s">
        <v>5117</v>
      </c>
    </row>
    <row r="26113">
      <c r="H26113" t="s">
        <v>5117</v>
      </c>
    </row>
    <row r="26114">
      <c r="H26114" t="s">
        <v>5117</v>
      </c>
    </row>
    <row r="26115">
      <c r="H26115" t="s">
        <v>5117</v>
      </c>
    </row>
    <row r="26116">
      <c r="H26116" t="s">
        <v>5117</v>
      </c>
    </row>
    <row r="26117">
      <c r="H26117" t="s">
        <v>5117</v>
      </c>
    </row>
    <row r="26118">
      <c r="H26118" t="s">
        <v>5117</v>
      </c>
    </row>
    <row r="26119">
      <c r="H26119" t="s">
        <v>5117</v>
      </c>
    </row>
    <row r="26120">
      <c r="H26120" t="s">
        <v>5117</v>
      </c>
    </row>
    <row r="26121">
      <c r="H26121" t="s">
        <v>5117</v>
      </c>
    </row>
    <row r="26122">
      <c r="H26122" t="s">
        <v>5117</v>
      </c>
    </row>
    <row r="26123">
      <c r="H26123" t="s">
        <v>5117</v>
      </c>
    </row>
    <row r="26124">
      <c r="H26124" t="s">
        <v>5117</v>
      </c>
    </row>
    <row r="26125">
      <c r="H26125" t="s">
        <v>5117</v>
      </c>
    </row>
    <row r="26126">
      <c r="H26126" t="s">
        <v>5117</v>
      </c>
    </row>
    <row r="26127">
      <c r="H26127" t="s">
        <v>5117</v>
      </c>
    </row>
    <row r="26128">
      <c r="H26128" t="s">
        <v>5117</v>
      </c>
    </row>
    <row r="26129">
      <c r="H26129" t="s">
        <v>5117</v>
      </c>
    </row>
    <row r="26130">
      <c r="H26130" t="s">
        <v>5117</v>
      </c>
    </row>
    <row r="26131">
      <c r="H26131" t="s">
        <v>5117</v>
      </c>
    </row>
    <row r="26132">
      <c r="H26132" t="s">
        <v>5117</v>
      </c>
    </row>
    <row r="26133">
      <c r="H26133" t="s">
        <v>5117</v>
      </c>
    </row>
    <row r="26134">
      <c r="H26134" t="s">
        <v>5117</v>
      </c>
    </row>
    <row r="26135">
      <c r="H26135" t="s">
        <v>5117</v>
      </c>
    </row>
    <row r="26136">
      <c r="H26136" t="s">
        <v>5117</v>
      </c>
    </row>
    <row r="26137">
      <c r="H26137" t="s">
        <v>5117</v>
      </c>
    </row>
    <row r="26138">
      <c r="H26138" t="s">
        <v>5117</v>
      </c>
    </row>
    <row r="26139">
      <c r="H26139" t="s">
        <v>5117</v>
      </c>
    </row>
    <row r="26140">
      <c r="H26140" t="s">
        <v>5117</v>
      </c>
    </row>
    <row r="26141">
      <c r="H26141" t="s">
        <v>5117</v>
      </c>
    </row>
    <row r="26142">
      <c r="H26142" t="s">
        <v>5117</v>
      </c>
    </row>
    <row r="26143">
      <c r="H26143" t="s">
        <v>5117</v>
      </c>
    </row>
    <row r="26144">
      <c r="H26144" t="s">
        <v>5117</v>
      </c>
    </row>
    <row r="26145">
      <c r="H26145" t="s">
        <v>5117</v>
      </c>
    </row>
    <row r="26146">
      <c r="H26146" t="s">
        <v>5117</v>
      </c>
    </row>
    <row r="26147">
      <c r="H26147" t="s">
        <v>5117</v>
      </c>
    </row>
    <row r="26148">
      <c r="H26148" t="s">
        <v>5117</v>
      </c>
    </row>
    <row r="26149">
      <c r="H26149" t="s">
        <v>5117</v>
      </c>
    </row>
    <row r="26150">
      <c r="H26150" t="s">
        <v>5117</v>
      </c>
    </row>
    <row r="26151">
      <c r="H26151" t="s">
        <v>5117</v>
      </c>
    </row>
    <row r="26152">
      <c r="H26152" t="s">
        <v>5117</v>
      </c>
    </row>
    <row r="26153">
      <c r="H26153" t="s">
        <v>5117</v>
      </c>
    </row>
    <row r="26154">
      <c r="H26154" t="s">
        <v>5117</v>
      </c>
    </row>
    <row r="26155">
      <c r="H26155" t="s">
        <v>5117</v>
      </c>
    </row>
    <row r="26156">
      <c r="H26156" t="s">
        <v>5117</v>
      </c>
    </row>
    <row r="26157">
      <c r="H26157" t="s">
        <v>5117</v>
      </c>
    </row>
    <row r="26158">
      <c r="H26158" t="s">
        <v>5117</v>
      </c>
    </row>
    <row r="26159">
      <c r="H26159" t="s">
        <v>5117</v>
      </c>
    </row>
    <row r="26160">
      <c r="H26160" t="s">
        <v>5117</v>
      </c>
    </row>
    <row r="26161">
      <c r="H26161" t="s">
        <v>5117</v>
      </c>
    </row>
    <row r="26162">
      <c r="H26162" t="s">
        <v>5117</v>
      </c>
    </row>
    <row r="26163">
      <c r="H26163" t="s">
        <v>5117</v>
      </c>
    </row>
    <row r="26164">
      <c r="H26164" t="s">
        <v>5117</v>
      </c>
    </row>
    <row r="26165">
      <c r="H26165" t="s">
        <v>5117</v>
      </c>
    </row>
    <row r="26166">
      <c r="H26166" t="s">
        <v>5117</v>
      </c>
    </row>
    <row r="26167">
      <c r="H26167" t="s">
        <v>5117</v>
      </c>
    </row>
    <row r="26168">
      <c r="H26168" t="s">
        <v>5117</v>
      </c>
    </row>
    <row r="26169">
      <c r="H26169" t="s">
        <v>5117</v>
      </c>
    </row>
    <row r="26170">
      <c r="H26170" t="s">
        <v>5117</v>
      </c>
    </row>
    <row r="26171">
      <c r="H26171" t="s">
        <v>5117</v>
      </c>
    </row>
    <row r="26172">
      <c r="H26172" t="s">
        <v>5117</v>
      </c>
    </row>
    <row r="26173">
      <c r="H26173" t="s">
        <v>5117</v>
      </c>
    </row>
    <row r="26174">
      <c r="H26174" t="s">
        <v>5117</v>
      </c>
    </row>
    <row r="26175">
      <c r="H26175" t="s">
        <v>5117</v>
      </c>
    </row>
    <row r="26176">
      <c r="H26176" t="s">
        <v>5117</v>
      </c>
    </row>
    <row r="26177">
      <c r="H26177" t="s">
        <v>5117</v>
      </c>
    </row>
    <row r="26178">
      <c r="H26178" t="s">
        <v>5117</v>
      </c>
    </row>
    <row r="26179">
      <c r="H26179" t="s">
        <v>5117</v>
      </c>
    </row>
    <row r="26180">
      <c r="H26180" t="s">
        <v>5117</v>
      </c>
    </row>
    <row r="26181">
      <c r="H26181" t="s">
        <v>5117</v>
      </c>
    </row>
    <row r="26182">
      <c r="H26182" t="s">
        <v>5117</v>
      </c>
    </row>
    <row r="26183">
      <c r="H26183" t="s">
        <v>5117</v>
      </c>
    </row>
    <row r="26184">
      <c r="H26184" t="s">
        <v>5117</v>
      </c>
    </row>
    <row r="26185">
      <c r="H26185" t="s">
        <v>5117</v>
      </c>
    </row>
    <row r="26186">
      <c r="H26186" t="s">
        <v>5117</v>
      </c>
    </row>
    <row r="26187">
      <c r="H26187" t="s">
        <v>5117</v>
      </c>
    </row>
    <row r="26188">
      <c r="H26188" t="s">
        <v>5117</v>
      </c>
    </row>
    <row r="26189">
      <c r="H26189" t="s">
        <v>5117</v>
      </c>
    </row>
    <row r="26190">
      <c r="H26190" t="s">
        <v>5117</v>
      </c>
    </row>
    <row r="26191">
      <c r="H26191" t="s">
        <v>5117</v>
      </c>
    </row>
    <row r="26192">
      <c r="H26192" t="s">
        <v>5117</v>
      </c>
    </row>
    <row r="26193">
      <c r="H26193" t="s">
        <v>5117</v>
      </c>
    </row>
    <row r="26194">
      <c r="H26194" t="s">
        <v>5117</v>
      </c>
    </row>
    <row r="26195">
      <c r="H26195" t="s">
        <v>5117</v>
      </c>
    </row>
    <row r="26196">
      <c r="H26196" t="s">
        <v>5117</v>
      </c>
    </row>
    <row r="26197">
      <c r="H26197" t="s">
        <v>5117</v>
      </c>
    </row>
    <row r="26198">
      <c r="H26198" t="s">
        <v>5117</v>
      </c>
    </row>
    <row r="26199">
      <c r="H26199" t="s">
        <v>5117</v>
      </c>
    </row>
    <row r="26200">
      <c r="H26200" t="s">
        <v>5117</v>
      </c>
    </row>
    <row r="26201">
      <c r="H26201" t="s">
        <v>5117</v>
      </c>
    </row>
    <row r="26202">
      <c r="H26202" t="s">
        <v>5117</v>
      </c>
    </row>
    <row r="26203">
      <c r="H26203" t="s">
        <v>5117</v>
      </c>
    </row>
    <row r="26204">
      <c r="H26204" t="s">
        <v>5117</v>
      </c>
    </row>
    <row r="26205">
      <c r="H26205" t="s">
        <v>5117</v>
      </c>
    </row>
    <row r="26206">
      <c r="H26206" t="s">
        <v>5117</v>
      </c>
    </row>
    <row r="26207">
      <c r="H26207" t="s">
        <v>5117</v>
      </c>
    </row>
    <row r="26208">
      <c r="H26208" t="s">
        <v>5117</v>
      </c>
    </row>
    <row r="26209">
      <c r="H26209" t="s">
        <v>5117</v>
      </c>
    </row>
    <row r="26210">
      <c r="H26210" t="s">
        <v>5117</v>
      </c>
    </row>
    <row r="26211">
      <c r="H26211" t="s">
        <v>5117</v>
      </c>
    </row>
    <row r="26212">
      <c r="H26212" t="s">
        <v>5117</v>
      </c>
    </row>
    <row r="26213">
      <c r="H26213" t="s">
        <v>5117</v>
      </c>
    </row>
    <row r="26214">
      <c r="H26214" t="s">
        <v>5117</v>
      </c>
    </row>
    <row r="26215">
      <c r="H26215" t="s">
        <v>5117</v>
      </c>
    </row>
    <row r="26216">
      <c r="H26216" t="s">
        <v>5117</v>
      </c>
    </row>
    <row r="26217">
      <c r="H26217" t="s">
        <v>5117</v>
      </c>
    </row>
    <row r="26218">
      <c r="H26218" t="s">
        <v>5117</v>
      </c>
    </row>
    <row r="26219">
      <c r="H26219" t="s">
        <v>5117</v>
      </c>
    </row>
    <row r="26220">
      <c r="H26220" t="s">
        <v>5117</v>
      </c>
    </row>
    <row r="26221">
      <c r="H26221" t="s">
        <v>5117</v>
      </c>
    </row>
    <row r="26222">
      <c r="H26222" t="s">
        <v>5117</v>
      </c>
    </row>
    <row r="26223">
      <c r="H26223" t="s">
        <v>5117</v>
      </c>
    </row>
    <row r="26224">
      <c r="H26224" t="s">
        <v>5117</v>
      </c>
    </row>
    <row r="26225">
      <c r="H26225" t="s">
        <v>5117</v>
      </c>
    </row>
    <row r="26226">
      <c r="H26226" t="s">
        <v>5117</v>
      </c>
    </row>
    <row r="26227">
      <c r="H26227" t="s">
        <v>5117</v>
      </c>
    </row>
    <row r="26228">
      <c r="H26228" t="s">
        <v>5117</v>
      </c>
    </row>
    <row r="26229">
      <c r="H26229" t="s">
        <v>5117</v>
      </c>
    </row>
    <row r="26230">
      <c r="H26230" t="s">
        <v>5117</v>
      </c>
    </row>
    <row r="26231">
      <c r="H26231" t="s">
        <v>5117</v>
      </c>
    </row>
    <row r="26232">
      <c r="H26232" t="s">
        <v>5117</v>
      </c>
    </row>
    <row r="26233">
      <c r="H26233" t="s">
        <v>5117</v>
      </c>
    </row>
    <row r="26234">
      <c r="H26234" t="s">
        <v>5117</v>
      </c>
    </row>
    <row r="26235">
      <c r="H26235" t="s">
        <v>5117</v>
      </c>
    </row>
    <row r="26236">
      <c r="H26236" t="s">
        <v>5117</v>
      </c>
    </row>
    <row r="26237">
      <c r="H26237" t="s">
        <v>5117</v>
      </c>
    </row>
    <row r="26238">
      <c r="H26238" t="s">
        <v>5117</v>
      </c>
    </row>
    <row r="26239">
      <c r="H26239" t="s">
        <v>5117</v>
      </c>
    </row>
    <row r="26240">
      <c r="H26240" t="s">
        <v>5117</v>
      </c>
    </row>
    <row r="26241">
      <c r="H26241" t="s">
        <v>5117</v>
      </c>
    </row>
    <row r="26242">
      <c r="H26242" t="s">
        <v>5117</v>
      </c>
    </row>
    <row r="26243">
      <c r="H26243" t="s">
        <v>5117</v>
      </c>
    </row>
    <row r="26244">
      <c r="H26244" t="s">
        <v>5117</v>
      </c>
    </row>
    <row r="26245">
      <c r="H26245" t="s">
        <v>5117</v>
      </c>
    </row>
    <row r="26246">
      <c r="H26246" t="s">
        <v>5117</v>
      </c>
    </row>
    <row r="26247">
      <c r="H26247" t="s">
        <v>5117</v>
      </c>
    </row>
    <row r="26248">
      <c r="H26248" t="s">
        <v>5117</v>
      </c>
    </row>
    <row r="26249">
      <c r="H26249" t="s">
        <v>5117</v>
      </c>
    </row>
    <row r="26250">
      <c r="H26250" t="s">
        <v>5117</v>
      </c>
    </row>
    <row r="26251">
      <c r="H26251" t="s">
        <v>5117</v>
      </c>
    </row>
    <row r="26252">
      <c r="H26252" t="s">
        <v>5117</v>
      </c>
    </row>
    <row r="26253">
      <c r="H26253" t="s">
        <v>5117</v>
      </c>
    </row>
    <row r="26254">
      <c r="H26254" t="s">
        <v>5117</v>
      </c>
    </row>
    <row r="26255">
      <c r="H26255" t="s">
        <v>5117</v>
      </c>
    </row>
    <row r="26256">
      <c r="H26256" t="s">
        <v>5117</v>
      </c>
    </row>
    <row r="26257">
      <c r="H26257" t="s">
        <v>5117</v>
      </c>
    </row>
    <row r="26258">
      <c r="H26258" t="s">
        <v>5117</v>
      </c>
    </row>
    <row r="26259">
      <c r="H26259" t="s">
        <v>5117</v>
      </c>
    </row>
    <row r="26260">
      <c r="H26260" t="s">
        <v>5117</v>
      </c>
    </row>
    <row r="26261">
      <c r="H26261" t="s">
        <v>5117</v>
      </c>
    </row>
    <row r="26262">
      <c r="H26262" t="s">
        <v>5117</v>
      </c>
    </row>
    <row r="26263">
      <c r="H26263" t="s">
        <v>5117</v>
      </c>
    </row>
    <row r="26264">
      <c r="H26264" t="s">
        <v>5117</v>
      </c>
    </row>
    <row r="26265">
      <c r="H26265" t="s">
        <v>5117</v>
      </c>
    </row>
    <row r="26266">
      <c r="H26266" t="s">
        <v>5117</v>
      </c>
    </row>
    <row r="26267">
      <c r="H26267" t="s">
        <v>5117</v>
      </c>
    </row>
    <row r="26268">
      <c r="H26268" t="s">
        <v>5117</v>
      </c>
    </row>
    <row r="26269">
      <c r="H26269" t="s">
        <v>5117</v>
      </c>
    </row>
    <row r="26270">
      <c r="H26270" t="s">
        <v>5117</v>
      </c>
    </row>
    <row r="26271">
      <c r="H26271" t="s">
        <v>5117</v>
      </c>
    </row>
    <row r="26272">
      <c r="H26272" t="s">
        <v>5117</v>
      </c>
    </row>
    <row r="26273">
      <c r="H26273" t="s">
        <v>5117</v>
      </c>
    </row>
    <row r="26274">
      <c r="H26274" t="s">
        <v>5117</v>
      </c>
    </row>
    <row r="26275">
      <c r="H26275" t="s">
        <v>5117</v>
      </c>
    </row>
    <row r="26276">
      <c r="H26276" t="s">
        <v>5117</v>
      </c>
    </row>
    <row r="26277">
      <c r="H26277" t="s">
        <v>5117</v>
      </c>
    </row>
    <row r="26278">
      <c r="H26278" t="s">
        <v>5117</v>
      </c>
    </row>
    <row r="26279">
      <c r="H26279" t="s">
        <v>5117</v>
      </c>
    </row>
    <row r="26280">
      <c r="H26280" t="s">
        <v>5117</v>
      </c>
    </row>
    <row r="26281">
      <c r="H26281" t="s">
        <v>5117</v>
      </c>
    </row>
    <row r="26282">
      <c r="H26282" t="s">
        <v>5117</v>
      </c>
    </row>
    <row r="26283">
      <c r="H26283" t="s">
        <v>5117</v>
      </c>
    </row>
    <row r="26284">
      <c r="H26284" t="s">
        <v>5117</v>
      </c>
    </row>
    <row r="26285">
      <c r="H26285" t="s">
        <v>5117</v>
      </c>
    </row>
    <row r="26286">
      <c r="H26286" t="s">
        <v>5117</v>
      </c>
    </row>
    <row r="26287">
      <c r="H26287" t="s">
        <v>5117</v>
      </c>
    </row>
    <row r="26288">
      <c r="H26288" t="s">
        <v>5117</v>
      </c>
    </row>
    <row r="26289">
      <c r="H26289" t="s">
        <v>5117</v>
      </c>
    </row>
    <row r="26290">
      <c r="H26290" t="s">
        <v>5117</v>
      </c>
    </row>
    <row r="26291">
      <c r="H26291" t="s">
        <v>5117</v>
      </c>
    </row>
    <row r="26292">
      <c r="H26292" t="s">
        <v>5117</v>
      </c>
    </row>
    <row r="26293">
      <c r="H26293" t="s">
        <v>5117</v>
      </c>
    </row>
    <row r="26294">
      <c r="H26294" t="s">
        <v>5117</v>
      </c>
    </row>
    <row r="26295">
      <c r="H26295" t="s">
        <v>5117</v>
      </c>
    </row>
    <row r="26296">
      <c r="H26296" t="s">
        <v>5117</v>
      </c>
    </row>
    <row r="26297">
      <c r="H26297" t="s">
        <v>5117</v>
      </c>
    </row>
    <row r="26298">
      <c r="H26298" t="s">
        <v>5117</v>
      </c>
    </row>
    <row r="26299">
      <c r="H26299" t="s">
        <v>5117</v>
      </c>
    </row>
    <row r="26300">
      <c r="H26300" t="s">
        <v>5117</v>
      </c>
    </row>
    <row r="26301">
      <c r="H26301" t="s">
        <v>5117</v>
      </c>
    </row>
    <row r="26302">
      <c r="H26302" t="s">
        <v>5117</v>
      </c>
    </row>
    <row r="26303">
      <c r="H26303" t="s">
        <v>5117</v>
      </c>
    </row>
    <row r="26304">
      <c r="H26304" t="s">
        <v>5117</v>
      </c>
    </row>
    <row r="26305">
      <c r="H26305" t="s">
        <v>5117</v>
      </c>
    </row>
    <row r="26306">
      <c r="H26306" t="s">
        <v>5117</v>
      </c>
    </row>
    <row r="26307">
      <c r="H26307" t="s">
        <v>5117</v>
      </c>
    </row>
    <row r="26308">
      <c r="H26308" t="s">
        <v>5117</v>
      </c>
    </row>
    <row r="26309">
      <c r="H26309" t="s">
        <v>5117</v>
      </c>
    </row>
    <row r="26310">
      <c r="H26310" t="s">
        <v>5117</v>
      </c>
    </row>
    <row r="26311">
      <c r="H26311" t="s">
        <v>5117</v>
      </c>
    </row>
    <row r="26312">
      <c r="H26312" t="s">
        <v>5117</v>
      </c>
    </row>
    <row r="26313">
      <c r="H26313" t="s">
        <v>5117</v>
      </c>
    </row>
    <row r="26314">
      <c r="H26314" t="s">
        <v>5117</v>
      </c>
    </row>
    <row r="26315">
      <c r="H26315" t="s">
        <v>5117</v>
      </c>
    </row>
    <row r="26316">
      <c r="H26316" t="s">
        <v>5117</v>
      </c>
    </row>
    <row r="26317">
      <c r="H26317" t="s">
        <v>5117</v>
      </c>
    </row>
    <row r="26318">
      <c r="H26318" t="s">
        <v>5117</v>
      </c>
    </row>
    <row r="26319">
      <c r="H26319" t="s">
        <v>5117</v>
      </c>
    </row>
    <row r="26320">
      <c r="H26320" t="s">
        <v>5117</v>
      </c>
    </row>
    <row r="26321">
      <c r="H26321" t="s">
        <v>5117</v>
      </c>
    </row>
    <row r="26322">
      <c r="H26322" t="s">
        <v>5117</v>
      </c>
    </row>
    <row r="26323">
      <c r="H26323" t="s">
        <v>5117</v>
      </c>
    </row>
    <row r="26324">
      <c r="H26324" t="s">
        <v>5117</v>
      </c>
    </row>
    <row r="26325">
      <c r="H26325" t="s">
        <v>5117</v>
      </c>
    </row>
    <row r="26326">
      <c r="H26326" t="s">
        <v>5117</v>
      </c>
    </row>
    <row r="26327">
      <c r="H26327" t="s">
        <v>5117</v>
      </c>
    </row>
    <row r="26328">
      <c r="H26328" t="s">
        <v>5117</v>
      </c>
    </row>
    <row r="26329">
      <c r="H26329" t="s">
        <v>5117</v>
      </c>
    </row>
    <row r="26330">
      <c r="H26330" t="s">
        <v>5117</v>
      </c>
    </row>
    <row r="26331">
      <c r="H26331" t="s">
        <v>5117</v>
      </c>
    </row>
    <row r="26332">
      <c r="H26332" t="s">
        <v>5117</v>
      </c>
    </row>
    <row r="26333">
      <c r="H26333" t="s">
        <v>5117</v>
      </c>
    </row>
    <row r="26334">
      <c r="H26334" t="s">
        <v>5117</v>
      </c>
    </row>
    <row r="26335">
      <c r="H26335" t="s">
        <v>5117</v>
      </c>
    </row>
    <row r="26336">
      <c r="H26336" t="s">
        <v>5117</v>
      </c>
    </row>
    <row r="26337">
      <c r="H26337" t="s">
        <v>5117</v>
      </c>
    </row>
    <row r="26338">
      <c r="H26338" t="s">
        <v>5117</v>
      </c>
    </row>
    <row r="26339">
      <c r="H26339" t="s">
        <v>5117</v>
      </c>
    </row>
    <row r="26340">
      <c r="H26340" t="s">
        <v>5117</v>
      </c>
    </row>
    <row r="26341">
      <c r="H26341" t="s">
        <v>5117</v>
      </c>
    </row>
    <row r="26342">
      <c r="H26342" t="s">
        <v>5117</v>
      </c>
    </row>
    <row r="26343">
      <c r="H26343" t="s">
        <v>5117</v>
      </c>
    </row>
    <row r="26344">
      <c r="H26344" t="s">
        <v>5117</v>
      </c>
    </row>
    <row r="26345">
      <c r="H26345" t="s">
        <v>5117</v>
      </c>
    </row>
    <row r="26346">
      <c r="H26346" t="s">
        <v>5117</v>
      </c>
    </row>
    <row r="26347">
      <c r="H26347" t="s">
        <v>5117</v>
      </c>
    </row>
    <row r="26348">
      <c r="H26348" t="s">
        <v>5117</v>
      </c>
    </row>
    <row r="26349">
      <c r="H26349" t="s">
        <v>5117</v>
      </c>
    </row>
    <row r="26350">
      <c r="H26350" t="s">
        <v>5117</v>
      </c>
    </row>
    <row r="26351">
      <c r="H26351" t="s">
        <v>5117</v>
      </c>
    </row>
    <row r="26352">
      <c r="H26352" t="s">
        <v>5117</v>
      </c>
    </row>
    <row r="26353">
      <c r="H26353" t="s">
        <v>5117</v>
      </c>
    </row>
    <row r="26354">
      <c r="H26354" t="s">
        <v>5117</v>
      </c>
    </row>
    <row r="26355">
      <c r="H26355" t="s">
        <v>5117</v>
      </c>
    </row>
    <row r="26356">
      <c r="H26356" t="s">
        <v>5117</v>
      </c>
    </row>
    <row r="26357">
      <c r="H26357" t="s">
        <v>5117</v>
      </c>
    </row>
    <row r="26358">
      <c r="H26358" t="s">
        <v>5117</v>
      </c>
    </row>
    <row r="26359">
      <c r="H26359" t="s">
        <v>5117</v>
      </c>
    </row>
    <row r="26360">
      <c r="H26360" t="s">
        <v>5117</v>
      </c>
    </row>
    <row r="26361">
      <c r="H26361" t="s">
        <v>5117</v>
      </c>
    </row>
    <row r="26362">
      <c r="H26362" t="s">
        <v>5117</v>
      </c>
    </row>
    <row r="26363">
      <c r="H26363" t="s">
        <v>5117</v>
      </c>
    </row>
    <row r="26364">
      <c r="H26364" t="s">
        <v>5117</v>
      </c>
    </row>
    <row r="26365">
      <c r="H26365" t="s">
        <v>5117</v>
      </c>
    </row>
    <row r="26366">
      <c r="H26366" t="s">
        <v>5117</v>
      </c>
    </row>
    <row r="26367">
      <c r="H26367" t="s">
        <v>5117</v>
      </c>
    </row>
    <row r="26368">
      <c r="H26368" t="s">
        <v>5117</v>
      </c>
    </row>
    <row r="26369">
      <c r="H26369" t="s">
        <v>5117</v>
      </c>
    </row>
    <row r="26370">
      <c r="H26370" t="s">
        <v>5117</v>
      </c>
    </row>
    <row r="26371">
      <c r="H26371" t="s">
        <v>5117</v>
      </c>
    </row>
    <row r="26372">
      <c r="H26372" t="s">
        <v>5117</v>
      </c>
    </row>
    <row r="26373">
      <c r="H26373" t="s">
        <v>5117</v>
      </c>
    </row>
    <row r="26374">
      <c r="H26374" t="s">
        <v>5117</v>
      </c>
    </row>
    <row r="26375">
      <c r="H26375" t="s">
        <v>5117</v>
      </c>
    </row>
    <row r="26376">
      <c r="H26376" t="s">
        <v>5117</v>
      </c>
    </row>
    <row r="26377">
      <c r="H26377" t="s">
        <v>5117</v>
      </c>
    </row>
    <row r="26378">
      <c r="H26378" t="s">
        <v>5117</v>
      </c>
    </row>
    <row r="26379">
      <c r="H26379" t="s">
        <v>5117</v>
      </c>
    </row>
    <row r="26380">
      <c r="H26380" t="s">
        <v>5117</v>
      </c>
    </row>
    <row r="26381">
      <c r="H26381" t="s">
        <v>5117</v>
      </c>
    </row>
    <row r="26382">
      <c r="H26382" t="s">
        <v>5117</v>
      </c>
    </row>
    <row r="26383">
      <c r="H26383" t="s">
        <v>5117</v>
      </c>
    </row>
    <row r="26384">
      <c r="H26384" t="s">
        <v>5117</v>
      </c>
    </row>
    <row r="26385">
      <c r="H26385" t="s">
        <v>5117</v>
      </c>
    </row>
    <row r="26386">
      <c r="H26386" t="s">
        <v>5117</v>
      </c>
    </row>
    <row r="26387">
      <c r="H26387" t="s">
        <v>5117</v>
      </c>
    </row>
    <row r="26388">
      <c r="H26388" t="s">
        <v>5117</v>
      </c>
    </row>
    <row r="26389">
      <c r="H26389" t="s">
        <v>5117</v>
      </c>
    </row>
    <row r="26390">
      <c r="H26390" t="s">
        <v>5117</v>
      </c>
    </row>
    <row r="26391">
      <c r="H26391" t="s">
        <v>5117</v>
      </c>
    </row>
    <row r="26392">
      <c r="H26392" t="s">
        <v>5117</v>
      </c>
    </row>
    <row r="26393">
      <c r="H26393" t="s">
        <v>5117</v>
      </c>
    </row>
    <row r="26394">
      <c r="H26394" t="s">
        <v>5117</v>
      </c>
    </row>
    <row r="26395">
      <c r="H26395" t="s">
        <v>5117</v>
      </c>
    </row>
    <row r="26396">
      <c r="H26396" t="s">
        <v>5117</v>
      </c>
    </row>
    <row r="26397">
      <c r="H26397" t="s">
        <v>5117</v>
      </c>
    </row>
    <row r="26398">
      <c r="H26398" t="s">
        <v>5117</v>
      </c>
    </row>
    <row r="26399">
      <c r="H26399" t="s">
        <v>5117</v>
      </c>
    </row>
    <row r="26400">
      <c r="H26400" t="s">
        <v>5117</v>
      </c>
    </row>
    <row r="26401">
      <c r="H26401" t="s">
        <v>5117</v>
      </c>
    </row>
    <row r="26402">
      <c r="H26402" t="s">
        <v>5117</v>
      </c>
    </row>
    <row r="26403">
      <c r="H26403" t="s">
        <v>5117</v>
      </c>
    </row>
    <row r="26404">
      <c r="H26404" t="s">
        <v>5117</v>
      </c>
    </row>
    <row r="26405">
      <c r="H26405" t="s">
        <v>5117</v>
      </c>
    </row>
    <row r="26406">
      <c r="H26406" t="s">
        <v>5117</v>
      </c>
    </row>
    <row r="26407">
      <c r="H26407" t="s">
        <v>5117</v>
      </c>
    </row>
    <row r="26408">
      <c r="H26408" t="s">
        <v>5117</v>
      </c>
    </row>
    <row r="26409">
      <c r="H26409" t="s">
        <v>5117</v>
      </c>
    </row>
    <row r="26410">
      <c r="H26410" t="s">
        <v>5117</v>
      </c>
    </row>
    <row r="26411">
      <c r="H26411" t="s">
        <v>5117</v>
      </c>
    </row>
    <row r="26412">
      <c r="H26412" t="s">
        <v>5117</v>
      </c>
    </row>
    <row r="26413">
      <c r="H26413" t="s">
        <v>5117</v>
      </c>
    </row>
    <row r="26414">
      <c r="H26414" t="s">
        <v>5117</v>
      </c>
    </row>
    <row r="26415">
      <c r="H26415" t="s">
        <v>5117</v>
      </c>
    </row>
    <row r="26416">
      <c r="H26416" t="s">
        <v>5117</v>
      </c>
    </row>
    <row r="26417">
      <c r="H26417" t="s">
        <v>5117</v>
      </c>
    </row>
    <row r="26418">
      <c r="H26418" t="s">
        <v>5117</v>
      </c>
    </row>
    <row r="26419">
      <c r="H26419" t="s">
        <v>5117</v>
      </c>
    </row>
    <row r="26420">
      <c r="H26420" t="s">
        <v>5117</v>
      </c>
    </row>
    <row r="26421">
      <c r="H26421" t="s">
        <v>5117</v>
      </c>
    </row>
    <row r="26422">
      <c r="H26422" t="s">
        <v>5117</v>
      </c>
    </row>
    <row r="26423">
      <c r="H26423" t="s">
        <v>5117</v>
      </c>
    </row>
    <row r="26424">
      <c r="H26424" t="s">
        <v>5117</v>
      </c>
    </row>
    <row r="26425">
      <c r="H26425" t="s">
        <v>5117</v>
      </c>
    </row>
    <row r="26426">
      <c r="H26426" t="s">
        <v>5117</v>
      </c>
    </row>
    <row r="26427">
      <c r="H26427" t="s">
        <v>5117</v>
      </c>
    </row>
    <row r="26428">
      <c r="H26428" t="s">
        <v>5117</v>
      </c>
    </row>
    <row r="26429">
      <c r="H26429" t="s">
        <v>5117</v>
      </c>
    </row>
    <row r="26430">
      <c r="H26430" t="s">
        <v>5117</v>
      </c>
    </row>
    <row r="26431">
      <c r="H26431" t="s">
        <v>5117</v>
      </c>
    </row>
    <row r="26432">
      <c r="H26432" t="s">
        <v>5117</v>
      </c>
    </row>
    <row r="26433">
      <c r="H26433" t="s">
        <v>5117</v>
      </c>
    </row>
    <row r="26434">
      <c r="H26434" t="s">
        <v>5117</v>
      </c>
    </row>
    <row r="26435">
      <c r="H26435" t="s">
        <v>5117</v>
      </c>
    </row>
    <row r="26436">
      <c r="H26436" t="s">
        <v>5117</v>
      </c>
    </row>
    <row r="26437">
      <c r="H26437" t="s">
        <v>5117</v>
      </c>
    </row>
    <row r="26438">
      <c r="H26438" t="s">
        <v>5117</v>
      </c>
    </row>
    <row r="26439">
      <c r="H26439" t="s">
        <v>5117</v>
      </c>
    </row>
    <row r="26440">
      <c r="H26440" t="s">
        <v>5117</v>
      </c>
    </row>
    <row r="26441">
      <c r="H26441" t="s">
        <v>5117</v>
      </c>
    </row>
    <row r="26442">
      <c r="H26442" t="s">
        <v>5117</v>
      </c>
    </row>
    <row r="26443">
      <c r="H26443" t="s">
        <v>5117</v>
      </c>
    </row>
    <row r="26444">
      <c r="H26444" t="s">
        <v>5117</v>
      </c>
    </row>
    <row r="26445">
      <c r="H26445" t="s">
        <v>5117</v>
      </c>
    </row>
    <row r="26446">
      <c r="H26446" t="s">
        <v>5117</v>
      </c>
    </row>
    <row r="26447">
      <c r="H26447" t="s">
        <v>5117</v>
      </c>
    </row>
    <row r="26448">
      <c r="H26448" t="s">
        <v>5117</v>
      </c>
    </row>
    <row r="26449">
      <c r="H26449" t="s">
        <v>5117</v>
      </c>
    </row>
    <row r="26450">
      <c r="H26450" t="s">
        <v>5117</v>
      </c>
    </row>
    <row r="26451">
      <c r="H26451" t="s">
        <v>5117</v>
      </c>
    </row>
    <row r="26452">
      <c r="H26452" t="s">
        <v>5117</v>
      </c>
    </row>
    <row r="26453">
      <c r="H26453" t="s">
        <v>5117</v>
      </c>
    </row>
    <row r="26454">
      <c r="H26454" t="s">
        <v>5117</v>
      </c>
    </row>
    <row r="26455">
      <c r="H26455" t="s">
        <v>5117</v>
      </c>
    </row>
    <row r="26456">
      <c r="H26456" t="s">
        <v>5117</v>
      </c>
    </row>
    <row r="26457">
      <c r="H26457" t="s">
        <v>5117</v>
      </c>
    </row>
    <row r="26458">
      <c r="H26458" t="s">
        <v>5117</v>
      </c>
    </row>
    <row r="26459">
      <c r="H26459" t="s">
        <v>5117</v>
      </c>
    </row>
    <row r="26460">
      <c r="H26460" t="s">
        <v>5117</v>
      </c>
    </row>
    <row r="26461">
      <c r="H26461" t="s">
        <v>5117</v>
      </c>
    </row>
    <row r="26462">
      <c r="H26462" t="s">
        <v>5117</v>
      </c>
    </row>
    <row r="26463">
      <c r="H26463" t="s">
        <v>5117</v>
      </c>
    </row>
    <row r="26464">
      <c r="H26464" t="s">
        <v>5117</v>
      </c>
    </row>
    <row r="26465">
      <c r="H26465" t="s">
        <v>5117</v>
      </c>
    </row>
    <row r="26466">
      <c r="H26466" t="s">
        <v>5117</v>
      </c>
    </row>
    <row r="26467">
      <c r="H26467" t="s">
        <v>5117</v>
      </c>
    </row>
    <row r="26468">
      <c r="H26468" t="s">
        <v>5117</v>
      </c>
    </row>
    <row r="26469">
      <c r="H26469" t="s">
        <v>5117</v>
      </c>
    </row>
    <row r="26470">
      <c r="H26470" t="s">
        <v>5117</v>
      </c>
    </row>
    <row r="26471">
      <c r="H26471" t="s">
        <v>5117</v>
      </c>
    </row>
    <row r="26472">
      <c r="H26472" t="s">
        <v>5117</v>
      </c>
    </row>
    <row r="26473">
      <c r="H26473" t="s">
        <v>5117</v>
      </c>
    </row>
    <row r="26474">
      <c r="H26474" t="s">
        <v>5117</v>
      </c>
    </row>
    <row r="26475">
      <c r="H26475" t="s">
        <v>5117</v>
      </c>
    </row>
    <row r="26476">
      <c r="H26476" t="s">
        <v>5117</v>
      </c>
    </row>
    <row r="26477">
      <c r="H26477" t="s">
        <v>5117</v>
      </c>
    </row>
    <row r="26478">
      <c r="H26478" t="s">
        <v>5117</v>
      </c>
    </row>
    <row r="26479">
      <c r="H26479" t="s">
        <v>5117</v>
      </c>
    </row>
    <row r="26480">
      <c r="H26480" t="s">
        <v>5117</v>
      </c>
    </row>
    <row r="26481">
      <c r="H26481" t="s">
        <v>5117</v>
      </c>
    </row>
    <row r="26482">
      <c r="H26482" t="s">
        <v>5117</v>
      </c>
    </row>
    <row r="26483">
      <c r="H26483" t="s">
        <v>5117</v>
      </c>
    </row>
    <row r="26484">
      <c r="H26484" t="s">
        <v>5117</v>
      </c>
    </row>
    <row r="26485">
      <c r="H26485" t="s">
        <v>5117</v>
      </c>
    </row>
    <row r="26486">
      <c r="H26486" t="s">
        <v>5117</v>
      </c>
    </row>
    <row r="26487">
      <c r="H26487" t="s">
        <v>5117</v>
      </c>
    </row>
    <row r="26488">
      <c r="H26488" t="s">
        <v>5117</v>
      </c>
    </row>
    <row r="26489">
      <c r="H26489" t="s">
        <v>5117</v>
      </c>
    </row>
    <row r="26490">
      <c r="H26490" t="s">
        <v>5117</v>
      </c>
    </row>
    <row r="26491">
      <c r="H26491" t="s">
        <v>5117</v>
      </c>
    </row>
    <row r="26492">
      <c r="H26492" t="s">
        <v>5117</v>
      </c>
    </row>
    <row r="26493">
      <c r="H26493" t="s">
        <v>5117</v>
      </c>
    </row>
    <row r="26494">
      <c r="H26494" t="s">
        <v>5117</v>
      </c>
    </row>
    <row r="26495">
      <c r="H26495" t="s">
        <v>5117</v>
      </c>
    </row>
    <row r="26496">
      <c r="H26496" t="s">
        <v>5117</v>
      </c>
    </row>
    <row r="26497">
      <c r="H26497" t="s">
        <v>5117</v>
      </c>
    </row>
    <row r="26498">
      <c r="H26498" t="s">
        <v>5117</v>
      </c>
    </row>
    <row r="26499">
      <c r="H26499" t="s">
        <v>5117</v>
      </c>
    </row>
    <row r="26500">
      <c r="H26500" t="s">
        <v>5117</v>
      </c>
    </row>
    <row r="26501">
      <c r="H26501" t="s">
        <v>5117</v>
      </c>
    </row>
    <row r="26502">
      <c r="H26502" t="s">
        <v>5117</v>
      </c>
    </row>
    <row r="26503">
      <c r="H26503" t="s">
        <v>5117</v>
      </c>
    </row>
    <row r="26504">
      <c r="H26504" t="s">
        <v>5117</v>
      </c>
    </row>
    <row r="26505">
      <c r="H26505" t="s">
        <v>5117</v>
      </c>
    </row>
    <row r="26506">
      <c r="H26506" t="s">
        <v>5117</v>
      </c>
    </row>
    <row r="26507">
      <c r="H26507" t="s">
        <v>5117</v>
      </c>
    </row>
    <row r="26508">
      <c r="H26508" t="s">
        <v>5117</v>
      </c>
    </row>
    <row r="26509">
      <c r="H26509" t="s">
        <v>5117</v>
      </c>
    </row>
    <row r="26510">
      <c r="H26510" t="s">
        <v>5117</v>
      </c>
    </row>
    <row r="26511">
      <c r="H26511" t="s">
        <v>5117</v>
      </c>
    </row>
    <row r="26512">
      <c r="H26512" t="s">
        <v>5117</v>
      </c>
    </row>
    <row r="26513">
      <c r="H26513" t="s">
        <v>5117</v>
      </c>
    </row>
    <row r="26514">
      <c r="H26514" t="s">
        <v>5117</v>
      </c>
    </row>
    <row r="26515">
      <c r="H26515" t="s">
        <v>5117</v>
      </c>
    </row>
    <row r="26516">
      <c r="H26516" t="s">
        <v>5117</v>
      </c>
    </row>
    <row r="26517">
      <c r="H26517" t="s">
        <v>5117</v>
      </c>
    </row>
    <row r="26518">
      <c r="H26518" t="s">
        <v>5117</v>
      </c>
    </row>
    <row r="26519">
      <c r="H26519" t="s">
        <v>5117</v>
      </c>
    </row>
    <row r="26520">
      <c r="H26520" t="s">
        <v>5117</v>
      </c>
    </row>
    <row r="26521">
      <c r="H26521" t="s">
        <v>5117</v>
      </c>
    </row>
    <row r="26522">
      <c r="H26522" t="s">
        <v>5117</v>
      </c>
    </row>
    <row r="26523">
      <c r="H26523" t="s">
        <v>5117</v>
      </c>
    </row>
    <row r="26524">
      <c r="H26524" t="s">
        <v>5117</v>
      </c>
    </row>
    <row r="26525">
      <c r="H26525" t="s">
        <v>5117</v>
      </c>
    </row>
    <row r="26526">
      <c r="H26526" t="s">
        <v>5117</v>
      </c>
    </row>
    <row r="26527">
      <c r="H26527" t="s">
        <v>5117</v>
      </c>
    </row>
    <row r="26528">
      <c r="H26528" t="s">
        <v>5117</v>
      </c>
    </row>
    <row r="26529">
      <c r="H26529" t="s">
        <v>5117</v>
      </c>
    </row>
    <row r="26530">
      <c r="H26530" t="s">
        <v>5117</v>
      </c>
    </row>
    <row r="26531">
      <c r="H26531" t="s">
        <v>5117</v>
      </c>
    </row>
    <row r="26532">
      <c r="H26532" t="s">
        <v>5117</v>
      </c>
    </row>
    <row r="26533">
      <c r="H26533" t="s">
        <v>5117</v>
      </c>
    </row>
    <row r="26534">
      <c r="H26534" t="s">
        <v>5117</v>
      </c>
    </row>
    <row r="26535">
      <c r="H26535" t="s">
        <v>5117</v>
      </c>
    </row>
    <row r="26536">
      <c r="H26536" t="s">
        <v>5117</v>
      </c>
    </row>
    <row r="26537">
      <c r="H26537" t="s">
        <v>5117</v>
      </c>
    </row>
    <row r="26538">
      <c r="H26538" t="s">
        <v>5117</v>
      </c>
    </row>
    <row r="26539">
      <c r="H26539" t="s">
        <v>5117</v>
      </c>
    </row>
    <row r="26540">
      <c r="H26540" t="s">
        <v>5117</v>
      </c>
    </row>
    <row r="26541">
      <c r="H26541" t="s">
        <v>5117</v>
      </c>
    </row>
    <row r="26542">
      <c r="H26542" t="s">
        <v>5117</v>
      </c>
    </row>
    <row r="26543">
      <c r="H26543" t="s">
        <v>5117</v>
      </c>
    </row>
    <row r="26544">
      <c r="H26544" t="s">
        <v>5117</v>
      </c>
    </row>
    <row r="26545">
      <c r="H26545" t="s">
        <v>5117</v>
      </c>
    </row>
    <row r="26546">
      <c r="H26546" t="s">
        <v>5117</v>
      </c>
    </row>
    <row r="26547">
      <c r="H26547" t="s">
        <v>5117</v>
      </c>
    </row>
    <row r="26548">
      <c r="H26548" t="s">
        <v>5117</v>
      </c>
    </row>
    <row r="26549">
      <c r="H26549" t="s">
        <v>5117</v>
      </c>
    </row>
    <row r="26550">
      <c r="H26550" t="s">
        <v>5117</v>
      </c>
    </row>
    <row r="26551">
      <c r="H26551" t="s">
        <v>5117</v>
      </c>
    </row>
    <row r="26552">
      <c r="H26552" t="s">
        <v>5117</v>
      </c>
    </row>
    <row r="26553">
      <c r="H26553" t="s">
        <v>5117</v>
      </c>
    </row>
    <row r="26554">
      <c r="H26554" t="s">
        <v>5117</v>
      </c>
    </row>
    <row r="26555">
      <c r="H26555" t="s">
        <v>5117</v>
      </c>
    </row>
    <row r="26556">
      <c r="H26556" t="s">
        <v>5117</v>
      </c>
    </row>
    <row r="26557">
      <c r="H26557" t="s">
        <v>5117</v>
      </c>
    </row>
    <row r="26558">
      <c r="H26558" t="s">
        <v>5117</v>
      </c>
    </row>
    <row r="26559">
      <c r="H26559" t="s">
        <v>5117</v>
      </c>
    </row>
    <row r="26560">
      <c r="H26560" t="s">
        <v>5117</v>
      </c>
    </row>
    <row r="26561">
      <c r="H26561" t="s">
        <v>5117</v>
      </c>
    </row>
    <row r="26562">
      <c r="H26562" t="s">
        <v>5117</v>
      </c>
    </row>
    <row r="26563">
      <c r="H26563" t="s">
        <v>5117</v>
      </c>
    </row>
    <row r="26564">
      <c r="H26564" t="s">
        <v>5117</v>
      </c>
    </row>
    <row r="26565">
      <c r="H26565" t="s">
        <v>5117</v>
      </c>
    </row>
    <row r="26566">
      <c r="H26566" t="s">
        <v>5117</v>
      </c>
    </row>
    <row r="26567">
      <c r="H26567" t="s">
        <v>5117</v>
      </c>
    </row>
    <row r="26568">
      <c r="H26568" t="s">
        <v>5117</v>
      </c>
    </row>
    <row r="26569">
      <c r="H26569" t="s">
        <v>5117</v>
      </c>
    </row>
    <row r="26570">
      <c r="H26570" t="s">
        <v>5117</v>
      </c>
    </row>
    <row r="26571">
      <c r="H26571" t="s">
        <v>5117</v>
      </c>
    </row>
    <row r="26572">
      <c r="H26572" t="s">
        <v>5117</v>
      </c>
    </row>
    <row r="26573">
      <c r="H26573" t="s">
        <v>5117</v>
      </c>
    </row>
    <row r="26574">
      <c r="H26574" t="s">
        <v>5117</v>
      </c>
    </row>
    <row r="26575">
      <c r="H26575" t="s">
        <v>5117</v>
      </c>
    </row>
    <row r="26576">
      <c r="H26576" t="s">
        <v>5117</v>
      </c>
    </row>
    <row r="26577">
      <c r="H26577" t="s">
        <v>5117</v>
      </c>
    </row>
    <row r="26578">
      <c r="H26578" t="s">
        <v>5117</v>
      </c>
    </row>
    <row r="26579">
      <c r="H26579" t="s">
        <v>5117</v>
      </c>
    </row>
    <row r="26580">
      <c r="H26580" t="s">
        <v>5117</v>
      </c>
    </row>
    <row r="26581">
      <c r="H26581" t="s">
        <v>5117</v>
      </c>
    </row>
    <row r="26582">
      <c r="H26582" t="s">
        <v>5117</v>
      </c>
    </row>
    <row r="26583">
      <c r="H26583" t="s">
        <v>5117</v>
      </c>
    </row>
    <row r="26584">
      <c r="H26584" t="s">
        <v>5117</v>
      </c>
    </row>
    <row r="26585">
      <c r="H26585" t="s">
        <v>5117</v>
      </c>
    </row>
    <row r="26586">
      <c r="H26586" t="s">
        <v>5117</v>
      </c>
    </row>
    <row r="26587">
      <c r="H26587" t="s">
        <v>5117</v>
      </c>
    </row>
    <row r="26588">
      <c r="H26588" t="s">
        <v>5117</v>
      </c>
    </row>
    <row r="26589">
      <c r="H26589" t="s">
        <v>5117</v>
      </c>
    </row>
    <row r="26590">
      <c r="H26590" t="s">
        <v>5117</v>
      </c>
    </row>
    <row r="26591">
      <c r="H26591" t="s">
        <v>5117</v>
      </c>
    </row>
    <row r="26592">
      <c r="H26592" t="s">
        <v>5117</v>
      </c>
    </row>
    <row r="26593">
      <c r="H26593" t="s">
        <v>5117</v>
      </c>
    </row>
    <row r="26594">
      <c r="H26594" t="s">
        <v>5117</v>
      </c>
    </row>
    <row r="26595">
      <c r="H26595" t="s">
        <v>5117</v>
      </c>
    </row>
    <row r="26596">
      <c r="H26596" t="s">
        <v>5117</v>
      </c>
    </row>
    <row r="26597">
      <c r="H26597" t="s">
        <v>5117</v>
      </c>
    </row>
    <row r="26598">
      <c r="H26598" t="s">
        <v>5117</v>
      </c>
    </row>
    <row r="26599">
      <c r="H26599" t="s">
        <v>5117</v>
      </c>
    </row>
    <row r="26600">
      <c r="H26600" t="s">
        <v>5117</v>
      </c>
    </row>
    <row r="26601">
      <c r="H26601" t="s">
        <v>5117</v>
      </c>
    </row>
    <row r="26602">
      <c r="H26602" t="s">
        <v>5117</v>
      </c>
    </row>
    <row r="26603">
      <c r="H26603" t="s">
        <v>5117</v>
      </c>
    </row>
    <row r="26604">
      <c r="H26604" t="s">
        <v>5117</v>
      </c>
    </row>
    <row r="26605">
      <c r="H26605" t="s">
        <v>5117</v>
      </c>
    </row>
    <row r="26606">
      <c r="H26606" t="s">
        <v>5117</v>
      </c>
    </row>
    <row r="26607">
      <c r="H26607" t="s">
        <v>5117</v>
      </c>
    </row>
    <row r="26608">
      <c r="H26608" t="s">
        <v>5117</v>
      </c>
    </row>
    <row r="26609">
      <c r="H26609" t="s">
        <v>5117</v>
      </c>
    </row>
    <row r="26610">
      <c r="H26610" t="s">
        <v>5117</v>
      </c>
    </row>
    <row r="26611">
      <c r="H26611" t="s">
        <v>5117</v>
      </c>
    </row>
    <row r="26612">
      <c r="H26612" t="s">
        <v>5117</v>
      </c>
    </row>
    <row r="26613">
      <c r="H26613" t="s">
        <v>5117</v>
      </c>
    </row>
    <row r="26614">
      <c r="H26614" t="s">
        <v>5117</v>
      </c>
    </row>
    <row r="26615">
      <c r="H26615" t="s">
        <v>5117</v>
      </c>
    </row>
    <row r="26616">
      <c r="H26616" t="s">
        <v>5117</v>
      </c>
    </row>
    <row r="26617">
      <c r="H26617" t="s">
        <v>5117</v>
      </c>
    </row>
    <row r="26618">
      <c r="H26618" t="s">
        <v>5117</v>
      </c>
    </row>
    <row r="26619">
      <c r="H26619" t="s">
        <v>5117</v>
      </c>
    </row>
    <row r="26620">
      <c r="H26620" t="s">
        <v>5117</v>
      </c>
    </row>
    <row r="26621">
      <c r="H26621" t="s">
        <v>5117</v>
      </c>
    </row>
    <row r="26622">
      <c r="H26622" t="s">
        <v>5117</v>
      </c>
    </row>
    <row r="26623">
      <c r="H26623" t="s">
        <v>5117</v>
      </c>
    </row>
    <row r="26624">
      <c r="H26624" t="s">
        <v>5117</v>
      </c>
    </row>
    <row r="26625">
      <c r="H26625" t="s">
        <v>5117</v>
      </c>
    </row>
    <row r="26626">
      <c r="H26626" t="s">
        <v>5117</v>
      </c>
    </row>
    <row r="26627">
      <c r="H26627" t="s">
        <v>5117</v>
      </c>
    </row>
    <row r="26628">
      <c r="H26628" t="s">
        <v>5117</v>
      </c>
    </row>
    <row r="26629">
      <c r="H26629" t="s">
        <v>5117</v>
      </c>
    </row>
    <row r="26630">
      <c r="H26630" t="s">
        <v>5117</v>
      </c>
    </row>
    <row r="26631">
      <c r="H26631" t="s">
        <v>5117</v>
      </c>
    </row>
    <row r="26632">
      <c r="H26632" t="s">
        <v>5117</v>
      </c>
    </row>
    <row r="26633">
      <c r="H26633" t="s">
        <v>5117</v>
      </c>
    </row>
    <row r="26634">
      <c r="H26634" t="s">
        <v>5117</v>
      </c>
    </row>
    <row r="26635">
      <c r="H26635" t="s">
        <v>5117</v>
      </c>
    </row>
    <row r="26636">
      <c r="H26636" t="s">
        <v>5117</v>
      </c>
    </row>
    <row r="26637">
      <c r="H26637" t="s">
        <v>5117</v>
      </c>
    </row>
    <row r="26638">
      <c r="H26638" t="s">
        <v>5117</v>
      </c>
    </row>
    <row r="26639">
      <c r="H26639" t="s">
        <v>5117</v>
      </c>
    </row>
    <row r="26640">
      <c r="H26640" t="s">
        <v>5117</v>
      </c>
    </row>
    <row r="26641">
      <c r="H26641" t="s">
        <v>5117</v>
      </c>
    </row>
    <row r="26642">
      <c r="H26642" t="s">
        <v>5117</v>
      </c>
    </row>
    <row r="26643">
      <c r="H26643" t="s">
        <v>5117</v>
      </c>
    </row>
    <row r="26644">
      <c r="H26644" t="s">
        <v>5117</v>
      </c>
    </row>
    <row r="26645">
      <c r="H26645" t="s">
        <v>5117</v>
      </c>
    </row>
    <row r="26646">
      <c r="H26646" t="s">
        <v>5117</v>
      </c>
    </row>
    <row r="26647">
      <c r="H26647" t="s">
        <v>5117</v>
      </c>
    </row>
    <row r="26648">
      <c r="H26648" t="s">
        <v>5117</v>
      </c>
    </row>
    <row r="26649">
      <c r="H26649" t="s">
        <v>5117</v>
      </c>
    </row>
    <row r="26650">
      <c r="H26650" t="s">
        <v>5117</v>
      </c>
    </row>
    <row r="26651">
      <c r="H26651" t="s">
        <v>5117</v>
      </c>
    </row>
    <row r="26652">
      <c r="H26652" t="s">
        <v>5117</v>
      </c>
    </row>
    <row r="26653">
      <c r="H26653" t="s">
        <v>5117</v>
      </c>
    </row>
    <row r="26654">
      <c r="H26654" t="s">
        <v>5117</v>
      </c>
    </row>
    <row r="26655">
      <c r="H26655" t="s">
        <v>5117</v>
      </c>
    </row>
    <row r="26656">
      <c r="H26656" t="s">
        <v>5117</v>
      </c>
    </row>
    <row r="26657">
      <c r="H26657" t="s">
        <v>5117</v>
      </c>
    </row>
    <row r="26658">
      <c r="H26658" t="s">
        <v>5117</v>
      </c>
    </row>
    <row r="26659">
      <c r="H26659" t="s">
        <v>5117</v>
      </c>
    </row>
    <row r="26660">
      <c r="H26660" t="s">
        <v>5117</v>
      </c>
    </row>
    <row r="26661">
      <c r="H26661" t="s">
        <v>5117</v>
      </c>
    </row>
    <row r="26662">
      <c r="H26662" t="s">
        <v>5117</v>
      </c>
    </row>
    <row r="26663">
      <c r="H26663" t="s">
        <v>5117</v>
      </c>
    </row>
    <row r="26664">
      <c r="H26664" t="s">
        <v>5117</v>
      </c>
    </row>
    <row r="26665">
      <c r="H26665" t="s">
        <v>5117</v>
      </c>
    </row>
    <row r="26666">
      <c r="H26666" t="s">
        <v>5117</v>
      </c>
    </row>
    <row r="26667">
      <c r="H26667" t="s">
        <v>5117</v>
      </c>
    </row>
    <row r="26668">
      <c r="H26668" t="s">
        <v>5117</v>
      </c>
    </row>
    <row r="26669">
      <c r="H26669" t="s">
        <v>5117</v>
      </c>
    </row>
    <row r="26670">
      <c r="H26670" t="s">
        <v>5117</v>
      </c>
    </row>
    <row r="26671">
      <c r="H26671" t="s">
        <v>5117</v>
      </c>
    </row>
    <row r="26672">
      <c r="H26672" t="s">
        <v>5117</v>
      </c>
    </row>
    <row r="26673">
      <c r="H26673" t="s">
        <v>5117</v>
      </c>
    </row>
    <row r="26674">
      <c r="H26674" t="s">
        <v>5117</v>
      </c>
    </row>
    <row r="26675">
      <c r="H26675" t="s">
        <v>5117</v>
      </c>
    </row>
    <row r="26676">
      <c r="H26676" t="s">
        <v>5117</v>
      </c>
    </row>
    <row r="26677">
      <c r="H26677" t="s">
        <v>5117</v>
      </c>
    </row>
    <row r="26678">
      <c r="H26678" t="s">
        <v>5117</v>
      </c>
    </row>
    <row r="26679">
      <c r="H26679" t="s">
        <v>5117</v>
      </c>
    </row>
    <row r="26680">
      <c r="H26680" t="s">
        <v>5117</v>
      </c>
    </row>
    <row r="26681">
      <c r="H26681" t="s">
        <v>5117</v>
      </c>
    </row>
    <row r="26682">
      <c r="H26682" t="s">
        <v>5117</v>
      </c>
    </row>
    <row r="26683">
      <c r="H26683" t="s">
        <v>5117</v>
      </c>
    </row>
    <row r="26684">
      <c r="H26684" t="s">
        <v>5117</v>
      </c>
    </row>
    <row r="26685">
      <c r="H26685" t="s">
        <v>5117</v>
      </c>
    </row>
    <row r="26686">
      <c r="H26686" t="s">
        <v>5117</v>
      </c>
    </row>
    <row r="26687">
      <c r="H26687" t="s">
        <v>5117</v>
      </c>
    </row>
    <row r="26688">
      <c r="H26688" t="s">
        <v>5117</v>
      </c>
    </row>
    <row r="26689">
      <c r="H26689" t="s">
        <v>5117</v>
      </c>
    </row>
    <row r="26690">
      <c r="H26690" t="s">
        <v>5117</v>
      </c>
    </row>
    <row r="26691">
      <c r="H26691" t="s">
        <v>5117</v>
      </c>
    </row>
    <row r="26692">
      <c r="H26692" t="s">
        <v>5117</v>
      </c>
    </row>
    <row r="26693">
      <c r="H26693" t="s">
        <v>5117</v>
      </c>
    </row>
    <row r="26694">
      <c r="H26694" t="s">
        <v>5117</v>
      </c>
    </row>
    <row r="26695">
      <c r="H26695" t="s">
        <v>5117</v>
      </c>
    </row>
    <row r="26696">
      <c r="H26696" t="s">
        <v>5117</v>
      </c>
    </row>
    <row r="26697">
      <c r="H26697" t="s">
        <v>5117</v>
      </c>
    </row>
    <row r="26698">
      <c r="H26698" t="s">
        <v>5117</v>
      </c>
    </row>
    <row r="26699">
      <c r="H26699" t="s">
        <v>5117</v>
      </c>
    </row>
    <row r="26700">
      <c r="H26700" t="s">
        <v>5117</v>
      </c>
    </row>
    <row r="26701">
      <c r="H26701" t="s">
        <v>5117</v>
      </c>
    </row>
    <row r="26702">
      <c r="H26702" t="s">
        <v>5117</v>
      </c>
    </row>
    <row r="26703">
      <c r="H26703" t="s">
        <v>5117</v>
      </c>
    </row>
    <row r="26704">
      <c r="H26704" t="s">
        <v>5117</v>
      </c>
    </row>
    <row r="26705">
      <c r="H26705" t="s">
        <v>5117</v>
      </c>
    </row>
    <row r="26706">
      <c r="H26706" t="s">
        <v>5117</v>
      </c>
    </row>
    <row r="26707">
      <c r="H26707" t="s">
        <v>5117</v>
      </c>
    </row>
    <row r="26708">
      <c r="H26708" t="s">
        <v>5117</v>
      </c>
    </row>
    <row r="26709">
      <c r="H26709" t="s">
        <v>5117</v>
      </c>
    </row>
    <row r="26710">
      <c r="H26710" t="s">
        <v>5117</v>
      </c>
    </row>
    <row r="26711">
      <c r="H26711" t="s">
        <v>5117</v>
      </c>
    </row>
    <row r="26712">
      <c r="H26712" t="s">
        <v>5117</v>
      </c>
    </row>
    <row r="26713">
      <c r="H26713" t="s">
        <v>5117</v>
      </c>
    </row>
    <row r="26714">
      <c r="H26714" t="s">
        <v>5117</v>
      </c>
    </row>
    <row r="26715">
      <c r="H26715" t="s">
        <v>5117</v>
      </c>
    </row>
    <row r="26716">
      <c r="H26716" t="s">
        <v>5117</v>
      </c>
    </row>
    <row r="26717">
      <c r="H26717" t="s">
        <v>5117</v>
      </c>
    </row>
    <row r="26718">
      <c r="H26718" t="s">
        <v>5117</v>
      </c>
    </row>
    <row r="26719">
      <c r="H26719" t="s">
        <v>5117</v>
      </c>
    </row>
    <row r="26720">
      <c r="H26720" t="s">
        <v>5117</v>
      </c>
    </row>
    <row r="26721">
      <c r="H26721" t="s">
        <v>5117</v>
      </c>
    </row>
    <row r="26722">
      <c r="H26722" t="s">
        <v>5117</v>
      </c>
    </row>
    <row r="26723">
      <c r="H26723" t="s">
        <v>5117</v>
      </c>
    </row>
    <row r="26724">
      <c r="H26724" t="s">
        <v>5117</v>
      </c>
    </row>
    <row r="26725">
      <c r="H26725" t="s">
        <v>5117</v>
      </c>
    </row>
    <row r="26726">
      <c r="H26726" t="s">
        <v>5117</v>
      </c>
    </row>
    <row r="26727">
      <c r="H26727" t="s">
        <v>5117</v>
      </c>
    </row>
    <row r="26728">
      <c r="H26728" t="s">
        <v>5117</v>
      </c>
    </row>
    <row r="26729">
      <c r="H26729" t="s">
        <v>5117</v>
      </c>
    </row>
    <row r="26730">
      <c r="H26730" t="s">
        <v>5117</v>
      </c>
    </row>
    <row r="26731">
      <c r="H26731" t="s">
        <v>5117</v>
      </c>
    </row>
    <row r="26732">
      <c r="H26732" t="s">
        <v>5117</v>
      </c>
    </row>
    <row r="26733">
      <c r="H26733" t="s">
        <v>5117</v>
      </c>
    </row>
    <row r="26734">
      <c r="H26734" t="s">
        <v>5117</v>
      </c>
    </row>
    <row r="26735">
      <c r="H26735" t="s">
        <v>5117</v>
      </c>
    </row>
    <row r="26736">
      <c r="H26736" t="s">
        <v>5117</v>
      </c>
    </row>
    <row r="26737">
      <c r="H26737" t="s">
        <v>5117</v>
      </c>
    </row>
    <row r="26738">
      <c r="H26738" t="s">
        <v>5117</v>
      </c>
    </row>
    <row r="26739">
      <c r="H26739" t="s">
        <v>5117</v>
      </c>
    </row>
    <row r="26740">
      <c r="H26740" t="s">
        <v>5117</v>
      </c>
    </row>
    <row r="26741">
      <c r="H26741" t="s">
        <v>5117</v>
      </c>
    </row>
    <row r="26742">
      <c r="H26742" t="s">
        <v>5117</v>
      </c>
    </row>
    <row r="26743">
      <c r="H26743" t="s">
        <v>5117</v>
      </c>
    </row>
    <row r="26744">
      <c r="H26744" t="s">
        <v>5117</v>
      </c>
    </row>
    <row r="26745">
      <c r="H26745" t="s">
        <v>5117</v>
      </c>
    </row>
    <row r="26746">
      <c r="H26746" t="s">
        <v>5117</v>
      </c>
    </row>
    <row r="26747">
      <c r="H26747" t="s">
        <v>5117</v>
      </c>
    </row>
    <row r="26748">
      <c r="H26748" t="s">
        <v>5117</v>
      </c>
    </row>
    <row r="26749">
      <c r="H26749" t="s">
        <v>5117</v>
      </c>
    </row>
    <row r="26750">
      <c r="H26750" t="s">
        <v>5117</v>
      </c>
    </row>
    <row r="26751">
      <c r="H26751" t="s">
        <v>5117</v>
      </c>
    </row>
    <row r="26752">
      <c r="H26752" t="s">
        <v>5117</v>
      </c>
    </row>
    <row r="26753">
      <c r="H26753" t="s">
        <v>5117</v>
      </c>
    </row>
    <row r="26754">
      <c r="H26754" t="s">
        <v>5117</v>
      </c>
    </row>
    <row r="26755">
      <c r="H26755" t="s">
        <v>5117</v>
      </c>
    </row>
    <row r="26756">
      <c r="H26756" t="s">
        <v>5117</v>
      </c>
    </row>
    <row r="26757">
      <c r="H26757" t="s">
        <v>5117</v>
      </c>
    </row>
    <row r="26758">
      <c r="H26758" t="s">
        <v>5117</v>
      </c>
    </row>
    <row r="26759">
      <c r="H26759" t="s">
        <v>5117</v>
      </c>
    </row>
    <row r="26760">
      <c r="H26760" t="s">
        <v>5117</v>
      </c>
    </row>
    <row r="26761">
      <c r="H26761" t="s">
        <v>5117</v>
      </c>
    </row>
    <row r="26762">
      <c r="H26762" t="s">
        <v>5117</v>
      </c>
    </row>
    <row r="26763">
      <c r="H26763" t="s">
        <v>5117</v>
      </c>
    </row>
    <row r="26764">
      <c r="H26764" t="s">
        <v>5117</v>
      </c>
    </row>
    <row r="26765">
      <c r="H26765" t="s">
        <v>5117</v>
      </c>
    </row>
    <row r="26766">
      <c r="H26766" t="s">
        <v>5117</v>
      </c>
    </row>
    <row r="26767">
      <c r="H26767" t="s">
        <v>5117</v>
      </c>
    </row>
    <row r="26768">
      <c r="H26768" t="s">
        <v>5117</v>
      </c>
    </row>
    <row r="26769">
      <c r="H26769" t="s">
        <v>5117</v>
      </c>
    </row>
    <row r="26770">
      <c r="H26770" t="s">
        <v>5117</v>
      </c>
    </row>
    <row r="26771">
      <c r="H26771" t="s">
        <v>5117</v>
      </c>
    </row>
    <row r="26772">
      <c r="H26772" t="s">
        <v>5117</v>
      </c>
    </row>
    <row r="26773">
      <c r="H26773" t="s">
        <v>5117</v>
      </c>
    </row>
    <row r="26774">
      <c r="H26774" t="s">
        <v>5117</v>
      </c>
    </row>
    <row r="26775">
      <c r="H26775" t="s">
        <v>5117</v>
      </c>
    </row>
    <row r="26776">
      <c r="H26776" t="s">
        <v>5117</v>
      </c>
    </row>
    <row r="26777">
      <c r="H26777" t="s">
        <v>5117</v>
      </c>
    </row>
    <row r="26778">
      <c r="H26778" t="s">
        <v>5117</v>
      </c>
    </row>
    <row r="26779">
      <c r="H26779" t="s">
        <v>5117</v>
      </c>
    </row>
    <row r="26780">
      <c r="H26780" t="s">
        <v>5117</v>
      </c>
    </row>
    <row r="26781">
      <c r="H26781" t="s">
        <v>5117</v>
      </c>
    </row>
    <row r="26782">
      <c r="H26782" t="s">
        <v>5117</v>
      </c>
    </row>
    <row r="26783">
      <c r="H26783" t="s">
        <v>5117</v>
      </c>
    </row>
    <row r="26784">
      <c r="H26784" t="s">
        <v>5117</v>
      </c>
    </row>
    <row r="26785">
      <c r="H26785" t="s">
        <v>5117</v>
      </c>
    </row>
    <row r="26786">
      <c r="H26786" t="s">
        <v>5117</v>
      </c>
    </row>
    <row r="26787">
      <c r="H26787" t="s">
        <v>5117</v>
      </c>
    </row>
    <row r="26788">
      <c r="H26788" t="s">
        <v>5117</v>
      </c>
    </row>
    <row r="26789">
      <c r="H26789" t="s">
        <v>5117</v>
      </c>
    </row>
    <row r="26790">
      <c r="H26790" t="s">
        <v>5117</v>
      </c>
    </row>
    <row r="26791">
      <c r="H26791" t="s">
        <v>5117</v>
      </c>
    </row>
    <row r="26792">
      <c r="H26792" t="s">
        <v>5117</v>
      </c>
    </row>
    <row r="26793">
      <c r="H26793" t="s">
        <v>5117</v>
      </c>
    </row>
    <row r="26794">
      <c r="H26794" t="s">
        <v>5117</v>
      </c>
    </row>
    <row r="26795">
      <c r="H26795" t="s">
        <v>5117</v>
      </c>
    </row>
    <row r="26796">
      <c r="H26796" t="s">
        <v>5117</v>
      </c>
    </row>
    <row r="26797">
      <c r="H26797" t="s">
        <v>5117</v>
      </c>
    </row>
    <row r="26798">
      <c r="H26798" t="s">
        <v>5117</v>
      </c>
    </row>
    <row r="26799">
      <c r="H26799" t="s">
        <v>5117</v>
      </c>
    </row>
    <row r="26800">
      <c r="H26800" t="s">
        <v>5117</v>
      </c>
    </row>
    <row r="26801">
      <c r="H26801" t="s">
        <v>5117</v>
      </c>
    </row>
    <row r="26802">
      <c r="H26802" t="s">
        <v>5117</v>
      </c>
    </row>
    <row r="26803">
      <c r="H26803" t="s">
        <v>5117</v>
      </c>
    </row>
    <row r="26804">
      <c r="H26804" t="s">
        <v>5117</v>
      </c>
    </row>
    <row r="26805">
      <c r="H26805" t="s">
        <v>5117</v>
      </c>
    </row>
    <row r="26806">
      <c r="H26806" t="s">
        <v>5117</v>
      </c>
    </row>
    <row r="26807">
      <c r="H26807" t="s">
        <v>5117</v>
      </c>
    </row>
    <row r="26808">
      <c r="H26808" t="s">
        <v>5117</v>
      </c>
    </row>
    <row r="26809">
      <c r="H26809" t="s">
        <v>5117</v>
      </c>
    </row>
    <row r="26810">
      <c r="H26810" t="s">
        <v>5117</v>
      </c>
    </row>
    <row r="26811">
      <c r="H26811" t="s">
        <v>5117</v>
      </c>
    </row>
    <row r="26812">
      <c r="H26812" t="s">
        <v>5117</v>
      </c>
    </row>
    <row r="26813">
      <c r="H26813" t="s">
        <v>5117</v>
      </c>
    </row>
    <row r="26814">
      <c r="H26814" t="s">
        <v>5117</v>
      </c>
    </row>
    <row r="26815">
      <c r="H26815" t="s">
        <v>5117</v>
      </c>
    </row>
    <row r="26816">
      <c r="H26816" t="s">
        <v>5117</v>
      </c>
    </row>
    <row r="26817">
      <c r="H26817" t="s">
        <v>5117</v>
      </c>
    </row>
    <row r="26818">
      <c r="H26818" t="s">
        <v>5117</v>
      </c>
    </row>
    <row r="26819">
      <c r="H26819" t="s">
        <v>5117</v>
      </c>
    </row>
    <row r="26820">
      <c r="H26820" t="s">
        <v>5117</v>
      </c>
    </row>
    <row r="26821">
      <c r="H26821" t="s">
        <v>5117</v>
      </c>
    </row>
    <row r="26822">
      <c r="H26822" t="s">
        <v>5117</v>
      </c>
    </row>
    <row r="26823">
      <c r="H26823" t="s">
        <v>5117</v>
      </c>
    </row>
    <row r="26824">
      <c r="H26824" t="s">
        <v>5117</v>
      </c>
    </row>
    <row r="26825">
      <c r="H26825" t="s">
        <v>5117</v>
      </c>
    </row>
    <row r="26826">
      <c r="H26826" t="s">
        <v>5117</v>
      </c>
    </row>
    <row r="26827">
      <c r="H26827" t="s">
        <v>5117</v>
      </c>
    </row>
    <row r="26828">
      <c r="H26828" t="s">
        <v>5117</v>
      </c>
    </row>
    <row r="26829">
      <c r="H26829" t="s">
        <v>5117</v>
      </c>
    </row>
    <row r="26830">
      <c r="H26830" t="s">
        <v>5117</v>
      </c>
    </row>
    <row r="26831">
      <c r="H26831" t="s">
        <v>5117</v>
      </c>
    </row>
    <row r="26832">
      <c r="H26832" t="s">
        <v>5117</v>
      </c>
    </row>
    <row r="26833">
      <c r="H26833" t="s">
        <v>5117</v>
      </c>
    </row>
    <row r="26834">
      <c r="H26834" t="s">
        <v>5117</v>
      </c>
    </row>
    <row r="26835">
      <c r="H26835" t="s">
        <v>5117</v>
      </c>
    </row>
    <row r="26836">
      <c r="H26836" t="s">
        <v>5117</v>
      </c>
    </row>
    <row r="26837">
      <c r="H26837" t="s">
        <v>5117</v>
      </c>
    </row>
    <row r="26838">
      <c r="H26838" t="s">
        <v>5117</v>
      </c>
    </row>
    <row r="26839">
      <c r="H26839" t="s">
        <v>5117</v>
      </c>
    </row>
    <row r="26840">
      <c r="H26840" t="s">
        <v>5117</v>
      </c>
    </row>
    <row r="26841">
      <c r="H26841" t="s">
        <v>5117</v>
      </c>
    </row>
    <row r="26842">
      <c r="H26842" t="s">
        <v>5117</v>
      </c>
    </row>
    <row r="26843">
      <c r="H26843" t="s">
        <v>5117</v>
      </c>
    </row>
    <row r="26844">
      <c r="H26844" t="s">
        <v>5117</v>
      </c>
    </row>
    <row r="26845">
      <c r="H26845" t="s">
        <v>5117</v>
      </c>
    </row>
    <row r="26846">
      <c r="H26846" t="s">
        <v>5117</v>
      </c>
    </row>
    <row r="26847">
      <c r="H26847" t="s">
        <v>5117</v>
      </c>
    </row>
    <row r="26848">
      <c r="H26848" t="s">
        <v>5117</v>
      </c>
    </row>
    <row r="26849">
      <c r="H26849" t="s">
        <v>5117</v>
      </c>
    </row>
    <row r="26850">
      <c r="H26850" t="s">
        <v>5117</v>
      </c>
    </row>
    <row r="26851">
      <c r="H26851" t="s">
        <v>5117</v>
      </c>
    </row>
    <row r="26852">
      <c r="H26852" t="s">
        <v>5117</v>
      </c>
    </row>
    <row r="26853">
      <c r="H26853" t="s">
        <v>5117</v>
      </c>
    </row>
    <row r="26854">
      <c r="H26854" t="s">
        <v>5117</v>
      </c>
    </row>
    <row r="26855">
      <c r="H26855" t="s">
        <v>5117</v>
      </c>
    </row>
    <row r="26856">
      <c r="H26856" t="s">
        <v>5117</v>
      </c>
    </row>
    <row r="26857">
      <c r="H26857" t="s">
        <v>5117</v>
      </c>
    </row>
    <row r="26858">
      <c r="H26858" t="s">
        <v>5117</v>
      </c>
    </row>
    <row r="26859">
      <c r="H26859" t="s">
        <v>5117</v>
      </c>
    </row>
    <row r="26860">
      <c r="H26860" t="s">
        <v>5117</v>
      </c>
    </row>
    <row r="26861">
      <c r="H26861" t="s">
        <v>5117</v>
      </c>
    </row>
    <row r="26862">
      <c r="H26862" t="s">
        <v>5117</v>
      </c>
    </row>
    <row r="26863">
      <c r="H26863" t="s">
        <v>5117</v>
      </c>
    </row>
    <row r="26864">
      <c r="H26864" t="s">
        <v>5117</v>
      </c>
    </row>
    <row r="26865">
      <c r="H26865" t="s">
        <v>5117</v>
      </c>
    </row>
    <row r="26866">
      <c r="H26866" t="s">
        <v>5117</v>
      </c>
    </row>
    <row r="26867">
      <c r="H26867" t="s">
        <v>5117</v>
      </c>
    </row>
    <row r="26868">
      <c r="H26868" t="s">
        <v>5117</v>
      </c>
    </row>
    <row r="26869">
      <c r="H26869" t="s">
        <v>5117</v>
      </c>
    </row>
    <row r="26870">
      <c r="H26870" t="s">
        <v>5117</v>
      </c>
    </row>
    <row r="26871">
      <c r="H26871" t="s">
        <v>5117</v>
      </c>
    </row>
    <row r="26872">
      <c r="H26872" t="s">
        <v>5117</v>
      </c>
    </row>
    <row r="26873">
      <c r="H26873" t="s">
        <v>5117</v>
      </c>
    </row>
    <row r="26874">
      <c r="H26874" t="s">
        <v>5117</v>
      </c>
    </row>
    <row r="26875">
      <c r="H26875" t="s">
        <v>5117</v>
      </c>
    </row>
    <row r="26876">
      <c r="H26876" t="s">
        <v>5117</v>
      </c>
    </row>
    <row r="26877">
      <c r="H26877" t="s">
        <v>5117</v>
      </c>
    </row>
    <row r="26878">
      <c r="H26878" t="s">
        <v>5117</v>
      </c>
    </row>
    <row r="26879">
      <c r="H26879" t="s">
        <v>5117</v>
      </c>
    </row>
    <row r="26880">
      <c r="H26880" t="s">
        <v>5117</v>
      </c>
    </row>
    <row r="26881">
      <c r="H26881" t="s">
        <v>5117</v>
      </c>
    </row>
    <row r="26882">
      <c r="H26882" t="s">
        <v>5117</v>
      </c>
    </row>
    <row r="26883">
      <c r="H26883" t="s">
        <v>5117</v>
      </c>
    </row>
    <row r="26884">
      <c r="H26884" t="s">
        <v>5117</v>
      </c>
    </row>
    <row r="26885">
      <c r="H26885" t="s">
        <v>5117</v>
      </c>
    </row>
    <row r="26886">
      <c r="H26886" t="s">
        <v>5117</v>
      </c>
    </row>
    <row r="26887">
      <c r="H26887" t="s">
        <v>5117</v>
      </c>
    </row>
    <row r="26888">
      <c r="H26888" t="s">
        <v>5117</v>
      </c>
    </row>
    <row r="26889">
      <c r="H26889" t="s">
        <v>5117</v>
      </c>
    </row>
    <row r="26890">
      <c r="H26890" t="s">
        <v>5117</v>
      </c>
    </row>
    <row r="26891">
      <c r="H26891" t="s">
        <v>5117</v>
      </c>
    </row>
    <row r="26892">
      <c r="H26892" t="s">
        <v>5117</v>
      </c>
    </row>
    <row r="26893">
      <c r="H26893" t="s">
        <v>5117</v>
      </c>
    </row>
    <row r="26894">
      <c r="H26894" t="s">
        <v>5117</v>
      </c>
    </row>
    <row r="26895">
      <c r="H26895" t="s">
        <v>5117</v>
      </c>
    </row>
    <row r="26896">
      <c r="H26896" t="s">
        <v>5117</v>
      </c>
    </row>
    <row r="26897">
      <c r="H26897" t="s">
        <v>5117</v>
      </c>
    </row>
    <row r="26898">
      <c r="H26898" t="s">
        <v>5117</v>
      </c>
    </row>
    <row r="26899">
      <c r="H26899" t="s">
        <v>5117</v>
      </c>
    </row>
    <row r="26900">
      <c r="H26900" t="s">
        <v>5117</v>
      </c>
    </row>
    <row r="26901">
      <c r="H26901" t="s">
        <v>5117</v>
      </c>
    </row>
    <row r="26902">
      <c r="H26902" t="s">
        <v>5117</v>
      </c>
    </row>
    <row r="26903">
      <c r="H26903" t="s">
        <v>5117</v>
      </c>
    </row>
    <row r="26904">
      <c r="H26904" t="s">
        <v>5117</v>
      </c>
    </row>
    <row r="26905">
      <c r="H26905" t="s">
        <v>5117</v>
      </c>
    </row>
    <row r="26906">
      <c r="H26906" t="s">
        <v>5117</v>
      </c>
    </row>
    <row r="26907">
      <c r="H26907" t="s">
        <v>5117</v>
      </c>
    </row>
    <row r="26908">
      <c r="H26908" t="s">
        <v>5117</v>
      </c>
    </row>
    <row r="26909">
      <c r="H26909" t="s">
        <v>5117</v>
      </c>
    </row>
    <row r="26910">
      <c r="H26910" t="s">
        <v>5117</v>
      </c>
    </row>
    <row r="26911">
      <c r="H26911" t="s">
        <v>5117</v>
      </c>
    </row>
    <row r="26912">
      <c r="H26912" t="s">
        <v>5117</v>
      </c>
    </row>
    <row r="26913">
      <c r="H26913" t="s">
        <v>5117</v>
      </c>
    </row>
    <row r="26914">
      <c r="H26914" t="s">
        <v>5117</v>
      </c>
    </row>
    <row r="26915">
      <c r="H26915" t="s">
        <v>5117</v>
      </c>
    </row>
    <row r="26916">
      <c r="H26916" t="s">
        <v>5117</v>
      </c>
    </row>
    <row r="26917">
      <c r="H26917" t="s">
        <v>5117</v>
      </c>
    </row>
    <row r="26918">
      <c r="H26918" t="s">
        <v>5117</v>
      </c>
    </row>
    <row r="26919">
      <c r="H26919" t="s">
        <v>5117</v>
      </c>
    </row>
    <row r="26920">
      <c r="H26920" t="s">
        <v>5117</v>
      </c>
    </row>
    <row r="26921">
      <c r="H26921" t="s">
        <v>5117</v>
      </c>
    </row>
    <row r="26922">
      <c r="H26922" t="s">
        <v>5117</v>
      </c>
    </row>
    <row r="26923">
      <c r="H26923" t="s">
        <v>5117</v>
      </c>
    </row>
    <row r="26924">
      <c r="H26924" t="s">
        <v>5117</v>
      </c>
    </row>
    <row r="26925">
      <c r="H26925" t="s">
        <v>5117</v>
      </c>
    </row>
    <row r="26926">
      <c r="H26926" t="s">
        <v>5117</v>
      </c>
    </row>
    <row r="26927">
      <c r="H26927" t="s">
        <v>5117</v>
      </c>
    </row>
    <row r="26928">
      <c r="H26928" t="s">
        <v>5117</v>
      </c>
    </row>
    <row r="26929">
      <c r="H26929" t="s">
        <v>5117</v>
      </c>
    </row>
    <row r="26930">
      <c r="H26930" t="s">
        <v>5117</v>
      </c>
    </row>
    <row r="26931">
      <c r="H26931" t="s">
        <v>5117</v>
      </c>
    </row>
    <row r="26932">
      <c r="H26932" t="s">
        <v>5117</v>
      </c>
    </row>
    <row r="26933">
      <c r="H26933" t="s">
        <v>5117</v>
      </c>
    </row>
    <row r="26934">
      <c r="H26934" t="s">
        <v>5117</v>
      </c>
    </row>
    <row r="26935">
      <c r="H26935" t="s">
        <v>5117</v>
      </c>
    </row>
    <row r="26936">
      <c r="H26936" t="s">
        <v>5117</v>
      </c>
    </row>
    <row r="26937">
      <c r="H26937" t="s">
        <v>5117</v>
      </c>
    </row>
    <row r="26938">
      <c r="H26938" t="s">
        <v>5117</v>
      </c>
    </row>
    <row r="26939">
      <c r="H26939" t="s">
        <v>5117</v>
      </c>
    </row>
    <row r="26940">
      <c r="H26940" t="s">
        <v>5117</v>
      </c>
    </row>
    <row r="26941">
      <c r="H26941" t="s">
        <v>5117</v>
      </c>
    </row>
    <row r="26942">
      <c r="H26942" t="s">
        <v>5117</v>
      </c>
    </row>
    <row r="26943">
      <c r="H26943" t="s">
        <v>5117</v>
      </c>
    </row>
    <row r="26944">
      <c r="H26944" t="s">
        <v>5117</v>
      </c>
    </row>
    <row r="26945">
      <c r="H26945" t="s">
        <v>5117</v>
      </c>
    </row>
    <row r="26946">
      <c r="H26946" t="s">
        <v>5117</v>
      </c>
    </row>
    <row r="26947">
      <c r="H26947" t="s">
        <v>5117</v>
      </c>
    </row>
    <row r="26948">
      <c r="H26948" t="s">
        <v>5117</v>
      </c>
    </row>
    <row r="26949">
      <c r="H26949" t="s">
        <v>5117</v>
      </c>
    </row>
    <row r="26950">
      <c r="H26950" t="s">
        <v>5117</v>
      </c>
    </row>
    <row r="26951">
      <c r="H26951" t="s">
        <v>5117</v>
      </c>
    </row>
    <row r="26952">
      <c r="H26952" t="s">
        <v>5117</v>
      </c>
    </row>
    <row r="26953">
      <c r="H26953" t="s">
        <v>5117</v>
      </c>
    </row>
    <row r="26954">
      <c r="H26954" t="s">
        <v>5117</v>
      </c>
    </row>
    <row r="26955">
      <c r="H26955" t="s">
        <v>5117</v>
      </c>
    </row>
    <row r="26956">
      <c r="H26956" t="s">
        <v>5117</v>
      </c>
    </row>
    <row r="26957">
      <c r="H26957" t="s">
        <v>5117</v>
      </c>
    </row>
    <row r="26958">
      <c r="H26958" t="s">
        <v>5117</v>
      </c>
    </row>
    <row r="26959">
      <c r="H26959" t="s">
        <v>5117</v>
      </c>
    </row>
    <row r="26960">
      <c r="H26960" t="s">
        <v>5117</v>
      </c>
    </row>
    <row r="26961">
      <c r="H26961" t="s">
        <v>5117</v>
      </c>
    </row>
    <row r="26962">
      <c r="H26962" t="s">
        <v>5117</v>
      </c>
    </row>
    <row r="26963">
      <c r="H26963" t="s">
        <v>5117</v>
      </c>
    </row>
    <row r="26964">
      <c r="H26964" t="s">
        <v>5117</v>
      </c>
    </row>
    <row r="26965">
      <c r="H26965" t="s">
        <v>5117</v>
      </c>
    </row>
    <row r="26966">
      <c r="H26966" t="s">
        <v>5117</v>
      </c>
    </row>
    <row r="26967">
      <c r="H26967" t="s">
        <v>5117</v>
      </c>
    </row>
    <row r="26968">
      <c r="H26968" t="s">
        <v>5117</v>
      </c>
    </row>
    <row r="26969">
      <c r="H26969" t="s">
        <v>5117</v>
      </c>
    </row>
    <row r="26970">
      <c r="H26970" t="s">
        <v>5117</v>
      </c>
    </row>
    <row r="26971">
      <c r="H26971" t="s">
        <v>5117</v>
      </c>
    </row>
    <row r="26972">
      <c r="H26972" t="s">
        <v>5117</v>
      </c>
    </row>
    <row r="26973">
      <c r="H26973" t="s">
        <v>5117</v>
      </c>
    </row>
    <row r="26974">
      <c r="H26974" t="s">
        <v>5117</v>
      </c>
    </row>
    <row r="26975">
      <c r="H26975" t="s">
        <v>5117</v>
      </c>
    </row>
    <row r="26976">
      <c r="H26976" t="s">
        <v>5117</v>
      </c>
    </row>
    <row r="26977">
      <c r="H26977" t="s">
        <v>5117</v>
      </c>
    </row>
    <row r="26978">
      <c r="H26978" t="s">
        <v>5117</v>
      </c>
    </row>
    <row r="26979">
      <c r="H26979" t="s">
        <v>5117</v>
      </c>
    </row>
    <row r="26980">
      <c r="H26980" t="s">
        <v>5117</v>
      </c>
    </row>
    <row r="26981">
      <c r="H26981" t="s">
        <v>5117</v>
      </c>
    </row>
    <row r="26982">
      <c r="H26982" t="s">
        <v>5117</v>
      </c>
    </row>
    <row r="26983">
      <c r="H26983" t="s">
        <v>5117</v>
      </c>
    </row>
    <row r="26984">
      <c r="H26984" t="s">
        <v>5117</v>
      </c>
    </row>
    <row r="26985">
      <c r="H26985" t="s">
        <v>5117</v>
      </c>
    </row>
    <row r="26986">
      <c r="H26986" t="s">
        <v>5117</v>
      </c>
    </row>
    <row r="26987">
      <c r="H26987" t="s">
        <v>5117</v>
      </c>
    </row>
    <row r="26988">
      <c r="H26988" t="s">
        <v>5117</v>
      </c>
    </row>
    <row r="26989">
      <c r="H26989" t="s">
        <v>5117</v>
      </c>
    </row>
    <row r="26990">
      <c r="H26990" t="s">
        <v>5117</v>
      </c>
    </row>
    <row r="26991">
      <c r="H26991" t="s">
        <v>5117</v>
      </c>
    </row>
    <row r="26992">
      <c r="H26992" t="s">
        <v>5117</v>
      </c>
    </row>
    <row r="26993">
      <c r="H26993" t="s">
        <v>5117</v>
      </c>
    </row>
    <row r="26994">
      <c r="H26994" t="s">
        <v>5117</v>
      </c>
    </row>
    <row r="26995">
      <c r="H26995" t="s">
        <v>5117</v>
      </c>
    </row>
    <row r="26996">
      <c r="H26996" t="s">
        <v>5117</v>
      </c>
    </row>
    <row r="26997">
      <c r="H26997" t="s">
        <v>5117</v>
      </c>
    </row>
    <row r="26998">
      <c r="H26998" t="s">
        <v>5117</v>
      </c>
    </row>
    <row r="26999">
      <c r="H26999" t="s">
        <v>5117</v>
      </c>
    </row>
    <row r="27000">
      <c r="H27000" t="s">
        <v>5117</v>
      </c>
    </row>
    <row r="27001">
      <c r="H27001" t="s">
        <v>5117</v>
      </c>
    </row>
    <row r="27002">
      <c r="H27002" t="s">
        <v>5117</v>
      </c>
    </row>
    <row r="27003">
      <c r="H27003" t="s">
        <v>5117</v>
      </c>
    </row>
    <row r="27004">
      <c r="H27004" t="s">
        <v>5117</v>
      </c>
    </row>
    <row r="27005">
      <c r="H27005" t="s">
        <v>5117</v>
      </c>
    </row>
    <row r="27006">
      <c r="H27006" t="s">
        <v>5117</v>
      </c>
    </row>
    <row r="27007">
      <c r="H27007" t="s">
        <v>5117</v>
      </c>
    </row>
    <row r="27008">
      <c r="H27008" t="s">
        <v>5117</v>
      </c>
    </row>
    <row r="27009">
      <c r="H27009" t="s">
        <v>5117</v>
      </c>
    </row>
    <row r="27010">
      <c r="H27010" t="s">
        <v>5117</v>
      </c>
    </row>
    <row r="27011">
      <c r="H27011" t="s">
        <v>5117</v>
      </c>
    </row>
    <row r="27012">
      <c r="H27012" t="s">
        <v>5117</v>
      </c>
    </row>
    <row r="27013">
      <c r="H27013" t="s">
        <v>5117</v>
      </c>
    </row>
    <row r="27014">
      <c r="H27014" t="s">
        <v>5117</v>
      </c>
    </row>
    <row r="27015">
      <c r="H27015" t="s">
        <v>5117</v>
      </c>
    </row>
    <row r="27016">
      <c r="H27016" t="s">
        <v>5117</v>
      </c>
    </row>
    <row r="27017">
      <c r="H27017" t="s">
        <v>5117</v>
      </c>
    </row>
    <row r="27018">
      <c r="H27018" t="s">
        <v>5117</v>
      </c>
    </row>
    <row r="27019">
      <c r="H27019" t="s">
        <v>5117</v>
      </c>
    </row>
    <row r="27020">
      <c r="H27020" t="s">
        <v>5117</v>
      </c>
    </row>
    <row r="27021">
      <c r="H27021" t="s">
        <v>5117</v>
      </c>
    </row>
    <row r="27022">
      <c r="H27022" t="s">
        <v>5117</v>
      </c>
    </row>
    <row r="27023">
      <c r="H27023" t="s">
        <v>5117</v>
      </c>
    </row>
    <row r="27024">
      <c r="H27024" t="s">
        <v>5117</v>
      </c>
    </row>
    <row r="27025">
      <c r="H27025" t="s">
        <v>5117</v>
      </c>
    </row>
    <row r="27026">
      <c r="H27026" t="s">
        <v>5117</v>
      </c>
    </row>
    <row r="27027">
      <c r="H27027" t="s">
        <v>5117</v>
      </c>
    </row>
    <row r="27028">
      <c r="H27028" t="s">
        <v>5117</v>
      </c>
    </row>
    <row r="27029">
      <c r="H27029" t="s">
        <v>5117</v>
      </c>
    </row>
    <row r="27030">
      <c r="H27030" t="s">
        <v>5117</v>
      </c>
    </row>
    <row r="27031">
      <c r="H27031" t="s">
        <v>5117</v>
      </c>
    </row>
    <row r="27032">
      <c r="H27032" t="s">
        <v>5117</v>
      </c>
    </row>
    <row r="27033">
      <c r="H27033" t="s">
        <v>5117</v>
      </c>
    </row>
    <row r="27034">
      <c r="H27034" t="s">
        <v>5117</v>
      </c>
    </row>
    <row r="27035">
      <c r="H27035" t="s">
        <v>5117</v>
      </c>
    </row>
    <row r="27036">
      <c r="H27036" t="s">
        <v>5117</v>
      </c>
    </row>
    <row r="27037">
      <c r="H27037" t="s">
        <v>5117</v>
      </c>
    </row>
    <row r="27038">
      <c r="H27038" t="s">
        <v>5117</v>
      </c>
    </row>
    <row r="27039">
      <c r="H27039" t="s">
        <v>5117</v>
      </c>
    </row>
    <row r="27040">
      <c r="H27040" t="s">
        <v>5117</v>
      </c>
    </row>
    <row r="27041">
      <c r="H27041" t="s">
        <v>5117</v>
      </c>
    </row>
    <row r="27042">
      <c r="H27042" t="s">
        <v>5117</v>
      </c>
    </row>
    <row r="27043">
      <c r="H27043" t="s">
        <v>5117</v>
      </c>
    </row>
    <row r="27044">
      <c r="H27044" t="s">
        <v>5117</v>
      </c>
    </row>
    <row r="27045">
      <c r="H27045" t="s">
        <v>5117</v>
      </c>
    </row>
    <row r="27046">
      <c r="H27046" t="s">
        <v>5117</v>
      </c>
    </row>
    <row r="27047">
      <c r="H27047" t="s">
        <v>5117</v>
      </c>
    </row>
    <row r="27048">
      <c r="H27048" t="s">
        <v>5117</v>
      </c>
    </row>
    <row r="27049">
      <c r="H27049" t="s">
        <v>5117</v>
      </c>
    </row>
    <row r="27050">
      <c r="H27050" t="s">
        <v>5117</v>
      </c>
    </row>
    <row r="27051">
      <c r="H27051" t="s">
        <v>5117</v>
      </c>
    </row>
    <row r="27052">
      <c r="H27052" t="s">
        <v>5117</v>
      </c>
    </row>
    <row r="27053">
      <c r="H27053" t="s">
        <v>5117</v>
      </c>
    </row>
    <row r="27054">
      <c r="H27054" t="s">
        <v>5117</v>
      </c>
    </row>
    <row r="27055">
      <c r="H27055" t="s">
        <v>5117</v>
      </c>
    </row>
    <row r="27056">
      <c r="H27056" t="s">
        <v>5117</v>
      </c>
    </row>
    <row r="27057">
      <c r="H27057" t="s">
        <v>5117</v>
      </c>
    </row>
    <row r="27058">
      <c r="H27058" t="s">
        <v>5117</v>
      </c>
    </row>
    <row r="27059">
      <c r="H27059" t="s">
        <v>5117</v>
      </c>
    </row>
    <row r="27060">
      <c r="H27060" t="s">
        <v>5117</v>
      </c>
    </row>
    <row r="27061">
      <c r="H27061" t="s">
        <v>5117</v>
      </c>
    </row>
    <row r="27062">
      <c r="H27062" t="s">
        <v>5117</v>
      </c>
    </row>
    <row r="27063">
      <c r="H27063" t="s">
        <v>5117</v>
      </c>
    </row>
    <row r="27064">
      <c r="H27064" t="s">
        <v>5117</v>
      </c>
    </row>
    <row r="27065">
      <c r="H27065" t="s">
        <v>5117</v>
      </c>
    </row>
    <row r="27066">
      <c r="H27066" t="s">
        <v>5117</v>
      </c>
    </row>
    <row r="27067">
      <c r="H27067" t="s">
        <v>5117</v>
      </c>
    </row>
    <row r="27068">
      <c r="H27068" t="s">
        <v>5117</v>
      </c>
    </row>
    <row r="27069">
      <c r="H27069" t="s">
        <v>5117</v>
      </c>
    </row>
    <row r="27070">
      <c r="H27070" t="s">
        <v>5117</v>
      </c>
    </row>
    <row r="27071">
      <c r="H27071" t="s">
        <v>5117</v>
      </c>
    </row>
    <row r="27072">
      <c r="H27072" t="s">
        <v>5117</v>
      </c>
    </row>
    <row r="27073">
      <c r="H27073" t="s">
        <v>5117</v>
      </c>
    </row>
    <row r="27074">
      <c r="H27074" t="s">
        <v>5117</v>
      </c>
    </row>
    <row r="27075">
      <c r="H27075" t="s">
        <v>5117</v>
      </c>
    </row>
    <row r="27076">
      <c r="H27076" t="s">
        <v>5117</v>
      </c>
    </row>
    <row r="27077">
      <c r="H27077" t="s">
        <v>5117</v>
      </c>
    </row>
    <row r="27078">
      <c r="H27078" t="s">
        <v>5117</v>
      </c>
    </row>
    <row r="27079">
      <c r="H27079" t="s">
        <v>5117</v>
      </c>
    </row>
    <row r="27080">
      <c r="H27080" t="s">
        <v>5117</v>
      </c>
    </row>
    <row r="27081">
      <c r="H27081" t="s">
        <v>5117</v>
      </c>
    </row>
    <row r="27082">
      <c r="H27082" t="s">
        <v>5117</v>
      </c>
    </row>
    <row r="27083">
      <c r="H27083" t="s">
        <v>5117</v>
      </c>
    </row>
    <row r="27084">
      <c r="H27084" t="s">
        <v>5117</v>
      </c>
    </row>
    <row r="27085">
      <c r="H27085" t="s">
        <v>5117</v>
      </c>
    </row>
    <row r="27086">
      <c r="H27086" t="s">
        <v>5117</v>
      </c>
    </row>
    <row r="27087">
      <c r="H27087" t="s">
        <v>5117</v>
      </c>
    </row>
    <row r="27088">
      <c r="H27088" t="s">
        <v>5117</v>
      </c>
    </row>
    <row r="27089">
      <c r="H27089" t="s">
        <v>5117</v>
      </c>
    </row>
    <row r="27090">
      <c r="H27090" t="s">
        <v>5117</v>
      </c>
    </row>
    <row r="27091">
      <c r="H27091" t="s">
        <v>5117</v>
      </c>
    </row>
    <row r="27092">
      <c r="H27092" t="s">
        <v>5117</v>
      </c>
    </row>
    <row r="27093">
      <c r="H27093" t="s">
        <v>5117</v>
      </c>
    </row>
    <row r="27094">
      <c r="H27094" t="s">
        <v>5117</v>
      </c>
    </row>
    <row r="27095">
      <c r="H27095" t="s">
        <v>5117</v>
      </c>
    </row>
    <row r="27096">
      <c r="H27096" t="s">
        <v>5117</v>
      </c>
    </row>
    <row r="27097">
      <c r="H27097" t="s">
        <v>5117</v>
      </c>
    </row>
    <row r="27098">
      <c r="H27098" t="s">
        <v>5117</v>
      </c>
    </row>
    <row r="27099">
      <c r="H27099" t="s">
        <v>5117</v>
      </c>
    </row>
    <row r="27100">
      <c r="H27100" t="s">
        <v>5117</v>
      </c>
    </row>
    <row r="27101">
      <c r="H27101" t="s">
        <v>5117</v>
      </c>
    </row>
    <row r="27102">
      <c r="H27102" t="s">
        <v>5117</v>
      </c>
    </row>
    <row r="27103">
      <c r="H27103" t="s">
        <v>5117</v>
      </c>
    </row>
    <row r="27104">
      <c r="H27104" t="s">
        <v>5117</v>
      </c>
    </row>
    <row r="27105">
      <c r="H27105" t="s">
        <v>5117</v>
      </c>
    </row>
    <row r="27106">
      <c r="H27106" t="s">
        <v>5117</v>
      </c>
    </row>
    <row r="27107">
      <c r="H27107" t="s">
        <v>5117</v>
      </c>
    </row>
    <row r="27108">
      <c r="H27108" t="s">
        <v>5117</v>
      </c>
    </row>
    <row r="27109">
      <c r="H27109" t="s">
        <v>5117</v>
      </c>
    </row>
    <row r="27110">
      <c r="H27110" t="s">
        <v>5117</v>
      </c>
    </row>
    <row r="27111">
      <c r="H27111" t="s">
        <v>5117</v>
      </c>
    </row>
    <row r="27112">
      <c r="H27112" t="s">
        <v>5117</v>
      </c>
    </row>
    <row r="27113">
      <c r="H27113" t="s">
        <v>5117</v>
      </c>
    </row>
    <row r="27114">
      <c r="H27114" t="s">
        <v>5117</v>
      </c>
    </row>
    <row r="27115">
      <c r="H27115" t="s">
        <v>5117</v>
      </c>
    </row>
    <row r="27116">
      <c r="H27116" t="s">
        <v>5117</v>
      </c>
    </row>
    <row r="27117">
      <c r="H27117" t="s">
        <v>5117</v>
      </c>
    </row>
    <row r="27118">
      <c r="H27118" t="s">
        <v>5117</v>
      </c>
    </row>
    <row r="27119">
      <c r="H27119" t="s">
        <v>5117</v>
      </c>
    </row>
    <row r="27120">
      <c r="H27120" t="s">
        <v>5117</v>
      </c>
    </row>
    <row r="27121">
      <c r="H27121" t="s">
        <v>5117</v>
      </c>
    </row>
    <row r="27122">
      <c r="H27122" t="s">
        <v>5117</v>
      </c>
    </row>
    <row r="27123">
      <c r="H27123" t="s">
        <v>5117</v>
      </c>
    </row>
    <row r="27124">
      <c r="H27124" t="s">
        <v>5117</v>
      </c>
    </row>
    <row r="27125">
      <c r="H27125" t="s">
        <v>5117</v>
      </c>
    </row>
    <row r="27126">
      <c r="H27126" t="s">
        <v>5117</v>
      </c>
    </row>
    <row r="27127">
      <c r="H27127" t="s">
        <v>5117</v>
      </c>
    </row>
    <row r="27128">
      <c r="H27128" t="s">
        <v>5117</v>
      </c>
    </row>
    <row r="27129">
      <c r="H27129" t="s">
        <v>5117</v>
      </c>
    </row>
    <row r="27130">
      <c r="H27130" t="s">
        <v>5117</v>
      </c>
    </row>
    <row r="27131">
      <c r="H27131" t="s">
        <v>5117</v>
      </c>
    </row>
    <row r="27132">
      <c r="H27132" t="s">
        <v>5117</v>
      </c>
    </row>
    <row r="27133">
      <c r="H27133" t="s">
        <v>5117</v>
      </c>
    </row>
    <row r="27134">
      <c r="H27134" t="s">
        <v>5117</v>
      </c>
    </row>
    <row r="27135">
      <c r="H27135" t="s">
        <v>5117</v>
      </c>
    </row>
    <row r="27136">
      <c r="H27136" t="s">
        <v>5117</v>
      </c>
    </row>
    <row r="27137">
      <c r="H27137" t="s">
        <v>5117</v>
      </c>
    </row>
    <row r="27138">
      <c r="H27138" t="s">
        <v>5117</v>
      </c>
    </row>
    <row r="27139">
      <c r="H27139" t="s">
        <v>5117</v>
      </c>
    </row>
    <row r="27140">
      <c r="H27140" t="s">
        <v>5117</v>
      </c>
    </row>
    <row r="27141">
      <c r="H27141" t="s">
        <v>5117</v>
      </c>
    </row>
    <row r="27142">
      <c r="H27142" t="s">
        <v>5117</v>
      </c>
    </row>
    <row r="27143">
      <c r="H27143" t="s">
        <v>5117</v>
      </c>
    </row>
    <row r="27144">
      <c r="H27144" t="s">
        <v>5117</v>
      </c>
    </row>
    <row r="27145">
      <c r="H27145" t="s">
        <v>5117</v>
      </c>
    </row>
    <row r="27146">
      <c r="H27146" t="s">
        <v>5117</v>
      </c>
    </row>
    <row r="27147">
      <c r="H27147" t="s">
        <v>5117</v>
      </c>
    </row>
    <row r="27148">
      <c r="H27148" t="s">
        <v>5117</v>
      </c>
    </row>
    <row r="27149">
      <c r="H27149" t="s">
        <v>5117</v>
      </c>
    </row>
    <row r="27150">
      <c r="H27150" t="s">
        <v>5117</v>
      </c>
    </row>
    <row r="27151">
      <c r="H27151" t="s">
        <v>5117</v>
      </c>
    </row>
    <row r="27152">
      <c r="H27152" t="s">
        <v>5117</v>
      </c>
    </row>
    <row r="27153">
      <c r="H27153" t="s">
        <v>5117</v>
      </c>
    </row>
    <row r="27154">
      <c r="H27154" t="s">
        <v>5117</v>
      </c>
    </row>
    <row r="27155">
      <c r="H27155" t="s">
        <v>5117</v>
      </c>
    </row>
    <row r="27156">
      <c r="H27156" t="s">
        <v>5117</v>
      </c>
    </row>
    <row r="27157">
      <c r="H27157" t="s">
        <v>5117</v>
      </c>
    </row>
    <row r="27158">
      <c r="H27158" t="s">
        <v>5117</v>
      </c>
    </row>
    <row r="27159">
      <c r="H27159" t="s">
        <v>5117</v>
      </c>
    </row>
    <row r="27160">
      <c r="H27160" t="s">
        <v>5117</v>
      </c>
    </row>
    <row r="27161">
      <c r="H27161" t="s">
        <v>5117</v>
      </c>
    </row>
    <row r="27162">
      <c r="H27162" t="s">
        <v>5117</v>
      </c>
    </row>
    <row r="27163">
      <c r="H27163" t="s">
        <v>5117</v>
      </c>
    </row>
    <row r="27164">
      <c r="H27164" t="s">
        <v>5117</v>
      </c>
    </row>
    <row r="27165">
      <c r="H27165" t="s">
        <v>5117</v>
      </c>
    </row>
    <row r="27166">
      <c r="H27166" t="s">
        <v>5117</v>
      </c>
    </row>
    <row r="27167">
      <c r="H27167" t="s">
        <v>5117</v>
      </c>
    </row>
    <row r="27168">
      <c r="H27168" t="s">
        <v>5117</v>
      </c>
    </row>
    <row r="27169">
      <c r="H27169" t="s">
        <v>5117</v>
      </c>
    </row>
    <row r="27170">
      <c r="H27170" t="s">
        <v>5117</v>
      </c>
    </row>
    <row r="27171">
      <c r="H27171" t="s">
        <v>5117</v>
      </c>
    </row>
    <row r="27172">
      <c r="H27172" t="s">
        <v>5117</v>
      </c>
    </row>
    <row r="27173">
      <c r="H27173" t="s">
        <v>5117</v>
      </c>
    </row>
    <row r="27174">
      <c r="H27174" t="s">
        <v>5117</v>
      </c>
    </row>
    <row r="27175">
      <c r="H27175" t="s">
        <v>5117</v>
      </c>
    </row>
    <row r="27176">
      <c r="H27176" t="s">
        <v>5117</v>
      </c>
    </row>
    <row r="27177">
      <c r="H27177" t="s">
        <v>5117</v>
      </c>
    </row>
    <row r="27178">
      <c r="H27178" t="s">
        <v>5117</v>
      </c>
    </row>
    <row r="27179">
      <c r="H27179" t="s">
        <v>5117</v>
      </c>
    </row>
    <row r="27180">
      <c r="H27180" t="s">
        <v>5117</v>
      </c>
    </row>
    <row r="27181">
      <c r="H27181" t="s">
        <v>5117</v>
      </c>
    </row>
    <row r="27182">
      <c r="H27182" t="s">
        <v>5117</v>
      </c>
    </row>
    <row r="27183">
      <c r="H27183" t="s">
        <v>5117</v>
      </c>
    </row>
    <row r="27184">
      <c r="H27184" t="s">
        <v>5117</v>
      </c>
    </row>
    <row r="27185">
      <c r="H27185" t="s">
        <v>5117</v>
      </c>
    </row>
    <row r="27186">
      <c r="H27186" t="s">
        <v>5117</v>
      </c>
    </row>
    <row r="27187">
      <c r="H27187" t="s">
        <v>5117</v>
      </c>
    </row>
    <row r="27188">
      <c r="H27188" t="s">
        <v>5117</v>
      </c>
    </row>
    <row r="27189">
      <c r="H27189" t="s">
        <v>5117</v>
      </c>
    </row>
    <row r="27190">
      <c r="H27190" t="s">
        <v>5117</v>
      </c>
    </row>
    <row r="27191">
      <c r="H27191" t="s">
        <v>5117</v>
      </c>
    </row>
    <row r="27192">
      <c r="H27192" t="s">
        <v>5117</v>
      </c>
    </row>
    <row r="27193">
      <c r="H27193" t="s">
        <v>5117</v>
      </c>
    </row>
    <row r="27194">
      <c r="H27194" t="s">
        <v>5117</v>
      </c>
    </row>
    <row r="27195">
      <c r="H27195" t="s">
        <v>5117</v>
      </c>
    </row>
    <row r="27196">
      <c r="H27196" t="s">
        <v>5117</v>
      </c>
    </row>
    <row r="27197">
      <c r="H27197" t="s">
        <v>5117</v>
      </c>
    </row>
    <row r="27198">
      <c r="H27198" t="s">
        <v>5117</v>
      </c>
    </row>
    <row r="27199">
      <c r="H27199" t="s">
        <v>5117</v>
      </c>
    </row>
    <row r="27200">
      <c r="H27200" t="s">
        <v>5117</v>
      </c>
    </row>
    <row r="27201">
      <c r="H27201" t="s">
        <v>5117</v>
      </c>
    </row>
    <row r="27202">
      <c r="H27202" t="s">
        <v>5117</v>
      </c>
    </row>
    <row r="27203">
      <c r="H27203" t="s">
        <v>5117</v>
      </c>
    </row>
    <row r="27204">
      <c r="H27204" t="s">
        <v>5117</v>
      </c>
    </row>
    <row r="27205">
      <c r="H27205" t="s">
        <v>5117</v>
      </c>
    </row>
    <row r="27206">
      <c r="H27206" t="s">
        <v>5117</v>
      </c>
    </row>
    <row r="27207">
      <c r="H27207" t="s">
        <v>5117</v>
      </c>
    </row>
    <row r="27208">
      <c r="H27208" t="s">
        <v>5117</v>
      </c>
    </row>
    <row r="27209">
      <c r="H27209" t="s">
        <v>5117</v>
      </c>
    </row>
    <row r="27210">
      <c r="H27210" t="s">
        <v>5117</v>
      </c>
    </row>
    <row r="27211">
      <c r="H27211" t="s">
        <v>5117</v>
      </c>
    </row>
    <row r="27212">
      <c r="H27212" t="s">
        <v>5117</v>
      </c>
    </row>
    <row r="27213">
      <c r="H27213" t="s">
        <v>5117</v>
      </c>
    </row>
    <row r="27214">
      <c r="H27214" t="s">
        <v>5117</v>
      </c>
    </row>
    <row r="27215">
      <c r="H27215" t="s">
        <v>5117</v>
      </c>
    </row>
    <row r="27216">
      <c r="H27216" t="s">
        <v>5117</v>
      </c>
    </row>
    <row r="27217">
      <c r="H27217" t="s">
        <v>5117</v>
      </c>
    </row>
    <row r="27218">
      <c r="H27218" t="s">
        <v>5117</v>
      </c>
    </row>
    <row r="27219">
      <c r="H27219" t="s">
        <v>5117</v>
      </c>
    </row>
    <row r="27220">
      <c r="H27220" t="s">
        <v>5117</v>
      </c>
    </row>
    <row r="27221">
      <c r="H27221" t="s">
        <v>5117</v>
      </c>
    </row>
    <row r="27222">
      <c r="H27222" t="s">
        <v>5117</v>
      </c>
    </row>
    <row r="27223">
      <c r="H27223" t="s">
        <v>5117</v>
      </c>
    </row>
    <row r="27224">
      <c r="H27224" t="s">
        <v>5117</v>
      </c>
    </row>
    <row r="27225">
      <c r="H27225" t="s">
        <v>5117</v>
      </c>
    </row>
    <row r="27226">
      <c r="H27226" t="s">
        <v>5117</v>
      </c>
    </row>
    <row r="27227">
      <c r="H27227" t="s">
        <v>5117</v>
      </c>
    </row>
    <row r="27228">
      <c r="H27228" t="s">
        <v>5117</v>
      </c>
    </row>
    <row r="27229">
      <c r="H27229" t="s">
        <v>5117</v>
      </c>
    </row>
    <row r="27230">
      <c r="H27230" t="s">
        <v>5117</v>
      </c>
    </row>
    <row r="27231">
      <c r="H27231" t="s">
        <v>5117</v>
      </c>
    </row>
    <row r="27232">
      <c r="H27232" t="s">
        <v>5117</v>
      </c>
    </row>
    <row r="27233">
      <c r="H27233" t="s">
        <v>5117</v>
      </c>
    </row>
    <row r="27234">
      <c r="H27234" t="s">
        <v>5117</v>
      </c>
    </row>
    <row r="27235">
      <c r="H27235" t="s">
        <v>5117</v>
      </c>
    </row>
    <row r="27236">
      <c r="H27236" t="s">
        <v>5117</v>
      </c>
    </row>
    <row r="27237">
      <c r="H27237" t="s">
        <v>5117</v>
      </c>
    </row>
    <row r="27238">
      <c r="H27238" t="s">
        <v>5117</v>
      </c>
    </row>
    <row r="27239">
      <c r="H27239" t="s">
        <v>5117</v>
      </c>
    </row>
    <row r="27240">
      <c r="H27240" t="s">
        <v>5117</v>
      </c>
    </row>
    <row r="27241">
      <c r="H27241" t="s">
        <v>5117</v>
      </c>
    </row>
    <row r="27242">
      <c r="H27242" t="s">
        <v>5117</v>
      </c>
    </row>
    <row r="27243">
      <c r="H27243" t="s">
        <v>5117</v>
      </c>
    </row>
    <row r="27244">
      <c r="H27244" t="s">
        <v>5117</v>
      </c>
    </row>
    <row r="27245">
      <c r="H27245" t="s">
        <v>5117</v>
      </c>
    </row>
    <row r="27246">
      <c r="H27246" t="s">
        <v>5117</v>
      </c>
    </row>
    <row r="27247">
      <c r="H27247" t="s">
        <v>5117</v>
      </c>
    </row>
    <row r="27248">
      <c r="H27248" t="s">
        <v>5117</v>
      </c>
    </row>
    <row r="27249">
      <c r="H27249" t="s">
        <v>5117</v>
      </c>
    </row>
    <row r="27250">
      <c r="H27250" t="s">
        <v>5117</v>
      </c>
    </row>
    <row r="27251">
      <c r="H27251" t="s">
        <v>5117</v>
      </c>
    </row>
    <row r="27252">
      <c r="H27252" t="s">
        <v>5117</v>
      </c>
    </row>
    <row r="27253">
      <c r="H27253" t="s">
        <v>5117</v>
      </c>
    </row>
    <row r="27254">
      <c r="H27254" t="s">
        <v>5117</v>
      </c>
    </row>
    <row r="27255">
      <c r="H27255" t="s">
        <v>5117</v>
      </c>
    </row>
    <row r="27256">
      <c r="H27256" t="s">
        <v>5117</v>
      </c>
    </row>
    <row r="27257">
      <c r="H27257" t="s">
        <v>5117</v>
      </c>
    </row>
    <row r="27258">
      <c r="H27258" t="s">
        <v>5117</v>
      </c>
    </row>
    <row r="27259">
      <c r="H27259" t="s">
        <v>5117</v>
      </c>
    </row>
    <row r="27260">
      <c r="H27260" t="s">
        <v>5117</v>
      </c>
    </row>
    <row r="27261">
      <c r="H27261" t="s">
        <v>5117</v>
      </c>
    </row>
    <row r="27262">
      <c r="H27262" t="s">
        <v>5117</v>
      </c>
    </row>
    <row r="27263">
      <c r="H27263" t="s">
        <v>5117</v>
      </c>
    </row>
    <row r="27264">
      <c r="H27264" t="s">
        <v>5117</v>
      </c>
    </row>
    <row r="27265">
      <c r="H27265" t="s">
        <v>5117</v>
      </c>
    </row>
    <row r="27266">
      <c r="H27266" t="s">
        <v>5117</v>
      </c>
    </row>
    <row r="27267">
      <c r="H27267" t="s">
        <v>5117</v>
      </c>
    </row>
    <row r="27268">
      <c r="H27268" t="s">
        <v>5117</v>
      </c>
    </row>
    <row r="27269">
      <c r="H27269" t="s">
        <v>5117</v>
      </c>
    </row>
    <row r="27270">
      <c r="H27270" t="s">
        <v>5117</v>
      </c>
    </row>
    <row r="27271">
      <c r="H27271" t="s">
        <v>5117</v>
      </c>
    </row>
    <row r="27272">
      <c r="H27272" t="s">
        <v>5117</v>
      </c>
    </row>
    <row r="27273">
      <c r="H27273" t="s">
        <v>5117</v>
      </c>
    </row>
    <row r="27274">
      <c r="H27274" t="s">
        <v>5117</v>
      </c>
    </row>
    <row r="27275">
      <c r="H27275" t="s">
        <v>5117</v>
      </c>
    </row>
    <row r="27276">
      <c r="H27276" t="s">
        <v>5117</v>
      </c>
    </row>
    <row r="27277">
      <c r="H27277" t="s">
        <v>5117</v>
      </c>
    </row>
    <row r="27278">
      <c r="H27278" t="s">
        <v>5117</v>
      </c>
    </row>
    <row r="27279">
      <c r="H27279" t="s">
        <v>5117</v>
      </c>
    </row>
    <row r="27280">
      <c r="H27280" t="s">
        <v>5117</v>
      </c>
    </row>
    <row r="27281">
      <c r="H27281" t="s">
        <v>5117</v>
      </c>
    </row>
    <row r="27282">
      <c r="H27282" t="s">
        <v>5117</v>
      </c>
    </row>
    <row r="27283">
      <c r="H27283" t="s">
        <v>5117</v>
      </c>
    </row>
    <row r="27284">
      <c r="H27284" t="s">
        <v>5117</v>
      </c>
    </row>
    <row r="27285">
      <c r="H27285" t="s">
        <v>5117</v>
      </c>
    </row>
    <row r="27286">
      <c r="H27286" t="s">
        <v>5117</v>
      </c>
    </row>
    <row r="27287">
      <c r="H27287" t="s">
        <v>5117</v>
      </c>
    </row>
    <row r="27288">
      <c r="H27288" t="s">
        <v>5117</v>
      </c>
    </row>
    <row r="27289">
      <c r="H27289" t="s">
        <v>5117</v>
      </c>
    </row>
    <row r="27290">
      <c r="H27290" t="s">
        <v>5117</v>
      </c>
    </row>
    <row r="27291">
      <c r="H27291" t="s">
        <v>5117</v>
      </c>
    </row>
    <row r="27292">
      <c r="H27292" t="s">
        <v>5117</v>
      </c>
    </row>
    <row r="27293">
      <c r="H27293" t="s">
        <v>5117</v>
      </c>
    </row>
    <row r="27294">
      <c r="H27294" t="s">
        <v>5117</v>
      </c>
    </row>
    <row r="27295">
      <c r="H27295" t="s">
        <v>5117</v>
      </c>
    </row>
    <row r="27296">
      <c r="H27296" t="s">
        <v>5117</v>
      </c>
    </row>
    <row r="27297">
      <c r="H27297" t="s">
        <v>5117</v>
      </c>
    </row>
    <row r="27298">
      <c r="H27298" t="s">
        <v>5117</v>
      </c>
    </row>
    <row r="27299">
      <c r="H27299" t="s">
        <v>5117</v>
      </c>
    </row>
    <row r="27300">
      <c r="H27300" t="s">
        <v>5117</v>
      </c>
    </row>
    <row r="27301">
      <c r="H27301" t="s">
        <v>5117</v>
      </c>
    </row>
    <row r="27302">
      <c r="H27302" t="s">
        <v>5117</v>
      </c>
    </row>
    <row r="27303">
      <c r="H27303" t="s">
        <v>5117</v>
      </c>
    </row>
    <row r="27304">
      <c r="H27304" t="s">
        <v>5117</v>
      </c>
    </row>
    <row r="27305">
      <c r="H27305" t="s">
        <v>5117</v>
      </c>
    </row>
    <row r="27306">
      <c r="H27306" t="s">
        <v>5117</v>
      </c>
    </row>
    <row r="27307">
      <c r="H27307" t="s">
        <v>5117</v>
      </c>
    </row>
    <row r="27308">
      <c r="H27308" t="s">
        <v>5117</v>
      </c>
    </row>
    <row r="27309">
      <c r="H27309" t="s">
        <v>5117</v>
      </c>
    </row>
    <row r="27310">
      <c r="H27310" t="s">
        <v>5117</v>
      </c>
    </row>
    <row r="27311">
      <c r="H27311" t="s">
        <v>5117</v>
      </c>
    </row>
    <row r="27312">
      <c r="H27312" t="s">
        <v>5117</v>
      </c>
    </row>
    <row r="27313">
      <c r="H27313" t="s">
        <v>5117</v>
      </c>
    </row>
    <row r="27314">
      <c r="H27314" t="s">
        <v>5117</v>
      </c>
    </row>
    <row r="27315">
      <c r="H27315" t="s">
        <v>5117</v>
      </c>
    </row>
    <row r="27316">
      <c r="H27316" t="s">
        <v>5117</v>
      </c>
    </row>
    <row r="27317">
      <c r="H27317" t="s">
        <v>5117</v>
      </c>
    </row>
    <row r="27318">
      <c r="H27318" t="s">
        <v>5117</v>
      </c>
    </row>
    <row r="27319">
      <c r="H27319" t="s">
        <v>5117</v>
      </c>
    </row>
    <row r="27320">
      <c r="H27320" t="s">
        <v>5117</v>
      </c>
    </row>
    <row r="27321">
      <c r="H27321" t="s">
        <v>5117</v>
      </c>
    </row>
    <row r="27322">
      <c r="H27322" t="s">
        <v>5117</v>
      </c>
    </row>
    <row r="27323">
      <c r="H27323" t="s">
        <v>5117</v>
      </c>
    </row>
    <row r="27324">
      <c r="H27324" t="s">
        <v>5117</v>
      </c>
    </row>
    <row r="27325">
      <c r="H27325" t="s">
        <v>5117</v>
      </c>
    </row>
    <row r="27326">
      <c r="H27326" t="s">
        <v>5117</v>
      </c>
    </row>
    <row r="27327">
      <c r="H27327" t="s">
        <v>5117</v>
      </c>
    </row>
    <row r="27328">
      <c r="H27328" t="s">
        <v>5117</v>
      </c>
    </row>
    <row r="27329">
      <c r="H27329" t="s">
        <v>5117</v>
      </c>
    </row>
    <row r="27330">
      <c r="H27330" t="s">
        <v>5117</v>
      </c>
    </row>
    <row r="27331">
      <c r="H27331" t="s">
        <v>5117</v>
      </c>
    </row>
    <row r="27332">
      <c r="H27332" t="s">
        <v>5117</v>
      </c>
    </row>
    <row r="27333">
      <c r="H27333" t="s">
        <v>5117</v>
      </c>
    </row>
    <row r="27334">
      <c r="H27334" t="s">
        <v>5117</v>
      </c>
    </row>
    <row r="27335">
      <c r="H27335" t="s">
        <v>5117</v>
      </c>
    </row>
    <row r="27336">
      <c r="H27336" t="s">
        <v>5117</v>
      </c>
    </row>
    <row r="27337">
      <c r="H27337" t="s">
        <v>5117</v>
      </c>
    </row>
    <row r="27338">
      <c r="H27338" t="s">
        <v>5117</v>
      </c>
    </row>
    <row r="27339">
      <c r="H27339" t="s">
        <v>5117</v>
      </c>
    </row>
    <row r="27340">
      <c r="H27340" t="s">
        <v>5117</v>
      </c>
    </row>
    <row r="27341">
      <c r="H27341" t="s">
        <v>5117</v>
      </c>
    </row>
    <row r="27342">
      <c r="H27342" t="s">
        <v>5117</v>
      </c>
    </row>
    <row r="27343">
      <c r="H27343" t="s">
        <v>5117</v>
      </c>
    </row>
    <row r="27344">
      <c r="H27344" t="s">
        <v>5117</v>
      </c>
    </row>
    <row r="27345">
      <c r="H27345" t="s">
        <v>5117</v>
      </c>
    </row>
    <row r="27346">
      <c r="H27346" t="s">
        <v>5117</v>
      </c>
    </row>
    <row r="27347">
      <c r="H27347" t="s">
        <v>5117</v>
      </c>
    </row>
    <row r="27348">
      <c r="H27348" t="s">
        <v>5117</v>
      </c>
    </row>
    <row r="27349">
      <c r="H27349" t="s">
        <v>5117</v>
      </c>
    </row>
    <row r="27350">
      <c r="H27350" t="s">
        <v>5117</v>
      </c>
    </row>
    <row r="27351">
      <c r="H27351" t="s">
        <v>5117</v>
      </c>
    </row>
    <row r="27352">
      <c r="H27352" t="s">
        <v>5117</v>
      </c>
    </row>
    <row r="27353">
      <c r="H27353" t="s">
        <v>5117</v>
      </c>
    </row>
    <row r="27354">
      <c r="H27354" t="s">
        <v>5117</v>
      </c>
    </row>
    <row r="27355">
      <c r="H27355" t="s">
        <v>5117</v>
      </c>
    </row>
    <row r="27356">
      <c r="H27356" t="s">
        <v>5117</v>
      </c>
    </row>
    <row r="27357">
      <c r="H27357" t="s">
        <v>5117</v>
      </c>
    </row>
    <row r="27358">
      <c r="H27358" t="s">
        <v>5117</v>
      </c>
    </row>
    <row r="27359">
      <c r="H27359" t="s">
        <v>5117</v>
      </c>
    </row>
    <row r="27360">
      <c r="H27360" t="s">
        <v>5117</v>
      </c>
    </row>
    <row r="27361">
      <c r="H27361" t="s">
        <v>5117</v>
      </c>
    </row>
    <row r="27362">
      <c r="H27362" t="s">
        <v>5117</v>
      </c>
    </row>
    <row r="27363">
      <c r="H27363" t="s">
        <v>5117</v>
      </c>
    </row>
    <row r="27364">
      <c r="H27364" t="s">
        <v>5117</v>
      </c>
    </row>
    <row r="27365">
      <c r="H27365" t="s">
        <v>5117</v>
      </c>
    </row>
    <row r="27366">
      <c r="H27366" t="s">
        <v>5117</v>
      </c>
    </row>
    <row r="27367">
      <c r="H27367" t="s">
        <v>5117</v>
      </c>
    </row>
    <row r="27368">
      <c r="H27368" t="s">
        <v>5117</v>
      </c>
    </row>
    <row r="27369">
      <c r="H27369" t="s">
        <v>5117</v>
      </c>
    </row>
    <row r="27370">
      <c r="H27370" t="s">
        <v>5117</v>
      </c>
    </row>
    <row r="27371">
      <c r="H27371" t="s">
        <v>5117</v>
      </c>
    </row>
    <row r="27372">
      <c r="H27372" t="s">
        <v>5117</v>
      </c>
    </row>
    <row r="27373">
      <c r="H27373" t="s">
        <v>5117</v>
      </c>
    </row>
    <row r="27374">
      <c r="H27374" t="s">
        <v>5117</v>
      </c>
    </row>
    <row r="27375">
      <c r="H27375" t="s">
        <v>5117</v>
      </c>
    </row>
    <row r="27376">
      <c r="H27376" t="s">
        <v>5117</v>
      </c>
    </row>
    <row r="27377">
      <c r="H27377" t="s">
        <v>5117</v>
      </c>
    </row>
    <row r="27378">
      <c r="H27378" t="s">
        <v>5117</v>
      </c>
    </row>
    <row r="27379">
      <c r="H27379" t="s">
        <v>5117</v>
      </c>
    </row>
    <row r="27380">
      <c r="H27380" t="s">
        <v>5117</v>
      </c>
    </row>
    <row r="27381">
      <c r="H27381" t="s">
        <v>5117</v>
      </c>
    </row>
    <row r="27382">
      <c r="H27382" t="s">
        <v>5117</v>
      </c>
    </row>
    <row r="27383">
      <c r="H27383" t="s">
        <v>5117</v>
      </c>
    </row>
    <row r="27384">
      <c r="H27384" t="s">
        <v>5117</v>
      </c>
    </row>
    <row r="27385">
      <c r="H27385" t="s">
        <v>5117</v>
      </c>
    </row>
    <row r="27386">
      <c r="H27386" t="s">
        <v>5117</v>
      </c>
    </row>
    <row r="27387">
      <c r="H27387" t="s">
        <v>5117</v>
      </c>
    </row>
    <row r="27388">
      <c r="H27388" t="s">
        <v>5117</v>
      </c>
    </row>
    <row r="27389">
      <c r="H27389" t="s">
        <v>5117</v>
      </c>
    </row>
    <row r="27390">
      <c r="H27390" t="s">
        <v>5117</v>
      </c>
    </row>
    <row r="27391">
      <c r="H27391" t="s">
        <v>5117</v>
      </c>
    </row>
    <row r="27392">
      <c r="H27392" t="s">
        <v>5117</v>
      </c>
    </row>
    <row r="27393">
      <c r="H27393" t="s">
        <v>5117</v>
      </c>
    </row>
    <row r="27394">
      <c r="H27394" t="s">
        <v>5117</v>
      </c>
    </row>
    <row r="27395">
      <c r="H27395" t="s">
        <v>5117</v>
      </c>
    </row>
    <row r="27396">
      <c r="H27396" t="s">
        <v>5117</v>
      </c>
    </row>
    <row r="27397">
      <c r="H27397" t="s">
        <v>5117</v>
      </c>
    </row>
    <row r="27398">
      <c r="H27398" t="s">
        <v>5117</v>
      </c>
    </row>
    <row r="27399">
      <c r="H27399" t="s">
        <v>5117</v>
      </c>
    </row>
    <row r="27400">
      <c r="H27400" t="s">
        <v>5117</v>
      </c>
    </row>
    <row r="27401">
      <c r="H27401" t="s">
        <v>5117</v>
      </c>
    </row>
    <row r="27402">
      <c r="H27402" t="s">
        <v>5117</v>
      </c>
    </row>
    <row r="27403">
      <c r="H27403" t="s">
        <v>5117</v>
      </c>
    </row>
    <row r="27404">
      <c r="H27404" t="s">
        <v>5117</v>
      </c>
    </row>
    <row r="27405">
      <c r="H27405" t="s">
        <v>5117</v>
      </c>
    </row>
    <row r="27406">
      <c r="H27406" t="s">
        <v>5117</v>
      </c>
    </row>
    <row r="27407">
      <c r="H27407" t="s">
        <v>5117</v>
      </c>
    </row>
    <row r="27408">
      <c r="H27408" t="s">
        <v>5117</v>
      </c>
    </row>
    <row r="27409">
      <c r="H27409" t="s">
        <v>5117</v>
      </c>
    </row>
    <row r="27410">
      <c r="H27410" t="s">
        <v>5117</v>
      </c>
    </row>
    <row r="27411">
      <c r="H27411" t="s">
        <v>5117</v>
      </c>
    </row>
    <row r="27412">
      <c r="H27412" t="s">
        <v>5117</v>
      </c>
    </row>
    <row r="27413">
      <c r="H27413" t="s">
        <v>5117</v>
      </c>
    </row>
    <row r="27414">
      <c r="H27414" t="s">
        <v>5117</v>
      </c>
    </row>
    <row r="27415">
      <c r="H27415" t="s">
        <v>5117</v>
      </c>
    </row>
    <row r="27416">
      <c r="H27416" t="s">
        <v>5117</v>
      </c>
    </row>
    <row r="27417">
      <c r="H27417" t="s">
        <v>5117</v>
      </c>
    </row>
    <row r="27418">
      <c r="H27418" t="s">
        <v>5117</v>
      </c>
    </row>
    <row r="27419">
      <c r="H27419" t="s">
        <v>5117</v>
      </c>
    </row>
    <row r="27420">
      <c r="H27420" t="s">
        <v>5117</v>
      </c>
    </row>
    <row r="27421">
      <c r="H27421" t="s">
        <v>5117</v>
      </c>
    </row>
    <row r="27422">
      <c r="H27422" t="s">
        <v>5117</v>
      </c>
    </row>
    <row r="27423">
      <c r="H27423" t="s">
        <v>5117</v>
      </c>
    </row>
    <row r="27424">
      <c r="H27424" t="s">
        <v>5117</v>
      </c>
    </row>
    <row r="27425">
      <c r="H27425" t="s">
        <v>5117</v>
      </c>
    </row>
    <row r="27426">
      <c r="H27426" t="s">
        <v>5117</v>
      </c>
    </row>
    <row r="27427">
      <c r="H27427" t="s">
        <v>5117</v>
      </c>
    </row>
    <row r="27428">
      <c r="H27428" t="s">
        <v>5117</v>
      </c>
    </row>
    <row r="27429">
      <c r="H27429" t="s">
        <v>5117</v>
      </c>
    </row>
    <row r="27430">
      <c r="H27430" t="s">
        <v>5117</v>
      </c>
    </row>
    <row r="27431">
      <c r="H27431" t="s">
        <v>5117</v>
      </c>
    </row>
    <row r="27432">
      <c r="H27432" t="s">
        <v>5117</v>
      </c>
    </row>
    <row r="27433">
      <c r="H27433" t="s">
        <v>5117</v>
      </c>
    </row>
    <row r="27434">
      <c r="H27434" t="s">
        <v>5117</v>
      </c>
    </row>
    <row r="27435">
      <c r="H27435" t="s">
        <v>5117</v>
      </c>
    </row>
    <row r="27436">
      <c r="H27436" t="s">
        <v>5117</v>
      </c>
    </row>
    <row r="27437">
      <c r="H27437" t="s">
        <v>5117</v>
      </c>
    </row>
    <row r="27438">
      <c r="H27438" t="s">
        <v>5117</v>
      </c>
    </row>
    <row r="27439">
      <c r="H27439" t="s">
        <v>5117</v>
      </c>
    </row>
    <row r="27440">
      <c r="H27440" t="s">
        <v>5117</v>
      </c>
    </row>
    <row r="27441">
      <c r="H27441" t="s">
        <v>5117</v>
      </c>
    </row>
    <row r="27442">
      <c r="H27442" t="s">
        <v>5117</v>
      </c>
    </row>
    <row r="27443">
      <c r="H27443" t="s">
        <v>5117</v>
      </c>
    </row>
    <row r="27444">
      <c r="H27444" t="s">
        <v>5117</v>
      </c>
    </row>
    <row r="27445">
      <c r="H27445" t="s">
        <v>5117</v>
      </c>
    </row>
    <row r="27446">
      <c r="H27446" t="s">
        <v>5117</v>
      </c>
    </row>
    <row r="27447">
      <c r="H27447" t="s">
        <v>5117</v>
      </c>
    </row>
    <row r="27448">
      <c r="H27448" t="s">
        <v>5117</v>
      </c>
    </row>
    <row r="27449">
      <c r="H27449" t="s">
        <v>5117</v>
      </c>
    </row>
    <row r="27450">
      <c r="H27450" t="s">
        <v>5117</v>
      </c>
    </row>
    <row r="27451">
      <c r="H27451" t="s">
        <v>5117</v>
      </c>
    </row>
    <row r="27452">
      <c r="H27452" t="s">
        <v>5117</v>
      </c>
    </row>
    <row r="27453">
      <c r="H27453" t="s">
        <v>5117</v>
      </c>
    </row>
    <row r="27454">
      <c r="H27454" t="s">
        <v>5117</v>
      </c>
    </row>
    <row r="27455">
      <c r="H27455" t="s">
        <v>5117</v>
      </c>
    </row>
    <row r="27456">
      <c r="H27456" t="s">
        <v>5117</v>
      </c>
    </row>
    <row r="27457">
      <c r="H27457" t="s">
        <v>5117</v>
      </c>
    </row>
    <row r="27458">
      <c r="H27458" t="s">
        <v>5117</v>
      </c>
    </row>
    <row r="27459">
      <c r="H27459" t="s">
        <v>5117</v>
      </c>
    </row>
    <row r="27460">
      <c r="H27460" t="s">
        <v>5117</v>
      </c>
    </row>
    <row r="27461">
      <c r="H27461" t="s">
        <v>5117</v>
      </c>
    </row>
    <row r="27462">
      <c r="H27462" t="s">
        <v>5117</v>
      </c>
    </row>
    <row r="27463">
      <c r="H27463" t="s">
        <v>5117</v>
      </c>
    </row>
    <row r="27464">
      <c r="H27464" t="s">
        <v>5117</v>
      </c>
    </row>
    <row r="27465">
      <c r="H27465" t="s">
        <v>5117</v>
      </c>
    </row>
    <row r="27466">
      <c r="H27466" t="s">
        <v>5117</v>
      </c>
    </row>
    <row r="27467">
      <c r="H27467" t="s">
        <v>5117</v>
      </c>
    </row>
    <row r="27468">
      <c r="H27468" t="s">
        <v>5117</v>
      </c>
    </row>
    <row r="27469">
      <c r="H27469" t="s">
        <v>5117</v>
      </c>
    </row>
    <row r="27470">
      <c r="H27470" t="s">
        <v>5117</v>
      </c>
    </row>
    <row r="27471">
      <c r="H27471" t="s">
        <v>5117</v>
      </c>
    </row>
    <row r="27472">
      <c r="H27472" t="s">
        <v>5117</v>
      </c>
    </row>
    <row r="27473">
      <c r="H27473" t="s">
        <v>5117</v>
      </c>
    </row>
    <row r="27474">
      <c r="H27474" t="s">
        <v>5117</v>
      </c>
    </row>
    <row r="27475">
      <c r="H27475" t="s">
        <v>5117</v>
      </c>
    </row>
    <row r="27476">
      <c r="H27476" t="s">
        <v>5117</v>
      </c>
    </row>
    <row r="27477">
      <c r="H27477" t="s">
        <v>5117</v>
      </c>
    </row>
    <row r="27478">
      <c r="H27478" t="s">
        <v>5117</v>
      </c>
    </row>
    <row r="27479">
      <c r="H27479" t="s">
        <v>5117</v>
      </c>
    </row>
    <row r="27480">
      <c r="H27480" t="s">
        <v>5117</v>
      </c>
    </row>
    <row r="27481">
      <c r="H27481" t="s">
        <v>5117</v>
      </c>
    </row>
    <row r="27482">
      <c r="H27482" t="s">
        <v>5117</v>
      </c>
    </row>
    <row r="27483">
      <c r="H27483" t="s">
        <v>5117</v>
      </c>
    </row>
    <row r="27484">
      <c r="H27484" t="s">
        <v>5117</v>
      </c>
    </row>
    <row r="27485">
      <c r="H27485" t="s">
        <v>5117</v>
      </c>
    </row>
    <row r="27486">
      <c r="H27486" t="s">
        <v>5117</v>
      </c>
    </row>
    <row r="27487">
      <c r="H27487" t="s">
        <v>5117</v>
      </c>
    </row>
    <row r="27488">
      <c r="H27488" t="s">
        <v>5117</v>
      </c>
    </row>
    <row r="27489">
      <c r="H27489" t="s">
        <v>5117</v>
      </c>
    </row>
    <row r="27490">
      <c r="H27490" t="s">
        <v>5117</v>
      </c>
    </row>
    <row r="27491">
      <c r="H27491" t="s">
        <v>5117</v>
      </c>
    </row>
    <row r="27492">
      <c r="H27492" t="s">
        <v>5117</v>
      </c>
    </row>
    <row r="27493">
      <c r="H27493" t="s">
        <v>5117</v>
      </c>
    </row>
    <row r="27494">
      <c r="H27494" t="s">
        <v>5117</v>
      </c>
    </row>
    <row r="27495">
      <c r="H27495" t="s">
        <v>5117</v>
      </c>
    </row>
    <row r="27496">
      <c r="H27496" t="s">
        <v>5117</v>
      </c>
    </row>
    <row r="27497">
      <c r="H27497" t="s">
        <v>5117</v>
      </c>
    </row>
    <row r="27498">
      <c r="H27498" t="s">
        <v>5117</v>
      </c>
    </row>
    <row r="27499">
      <c r="H27499" t="s">
        <v>5117</v>
      </c>
    </row>
    <row r="27500">
      <c r="H27500" t="s">
        <v>5117</v>
      </c>
    </row>
    <row r="27501">
      <c r="H27501" t="s">
        <v>5117</v>
      </c>
    </row>
    <row r="27502">
      <c r="H27502" t="s">
        <v>5117</v>
      </c>
    </row>
    <row r="27503">
      <c r="H27503" t="s">
        <v>5117</v>
      </c>
    </row>
    <row r="27504">
      <c r="H27504" t="s">
        <v>5117</v>
      </c>
    </row>
    <row r="27505">
      <c r="H27505" t="s">
        <v>5117</v>
      </c>
    </row>
    <row r="27506">
      <c r="H27506" t="s">
        <v>5117</v>
      </c>
    </row>
    <row r="27507">
      <c r="H27507" t="s">
        <v>5117</v>
      </c>
    </row>
    <row r="27508">
      <c r="H27508" t="s">
        <v>5117</v>
      </c>
    </row>
    <row r="27509">
      <c r="H27509" t="s">
        <v>5117</v>
      </c>
    </row>
    <row r="27510">
      <c r="H27510" t="s">
        <v>5117</v>
      </c>
    </row>
    <row r="27511">
      <c r="H27511" t="s">
        <v>5117</v>
      </c>
    </row>
    <row r="27512">
      <c r="H27512" t="s">
        <v>5117</v>
      </c>
    </row>
    <row r="27513">
      <c r="H27513" t="s">
        <v>5117</v>
      </c>
    </row>
    <row r="27514">
      <c r="H27514" t="s">
        <v>5117</v>
      </c>
    </row>
    <row r="27515">
      <c r="H27515" t="s">
        <v>5117</v>
      </c>
    </row>
    <row r="27516">
      <c r="H27516" t="s">
        <v>5117</v>
      </c>
    </row>
    <row r="27517">
      <c r="H27517" t="s">
        <v>5117</v>
      </c>
    </row>
    <row r="27518">
      <c r="H27518" t="s">
        <v>5117</v>
      </c>
    </row>
    <row r="27519">
      <c r="H27519" t="s">
        <v>5117</v>
      </c>
    </row>
    <row r="27520">
      <c r="H27520" t="s">
        <v>5117</v>
      </c>
    </row>
    <row r="27521">
      <c r="H27521" t="s">
        <v>5117</v>
      </c>
    </row>
    <row r="27522">
      <c r="H27522" t="s">
        <v>5117</v>
      </c>
    </row>
    <row r="27523">
      <c r="H27523" t="s">
        <v>5117</v>
      </c>
    </row>
    <row r="27524">
      <c r="H27524" t="s">
        <v>5117</v>
      </c>
    </row>
    <row r="27525">
      <c r="H27525" t="s">
        <v>5117</v>
      </c>
    </row>
    <row r="27526">
      <c r="H27526" t="s">
        <v>5117</v>
      </c>
    </row>
    <row r="27527">
      <c r="H27527" t="s">
        <v>5117</v>
      </c>
    </row>
    <row r="27528">
      <c r="H27528" t="s">
        <v>5117</v>
      </c>
    </row>
    <row r="27529">
      <c r="H27529" t="s">
        <v>5117</v>
      </c>
    </row>
    <row r="27530">
      <c r="H27530" t="s">
        <v>5117</v>
      </c>
    </row>
    <row r="27531">
      <c r="H27531" t="s">
        <v>5117</v>
      </c>
    </row>
    <row r="27532">
      <c r="H27532" t="s">
        <v>5117</v>
      </c>
    </row>
    <row r="27533">
      <c r="H27533" t="s">
        <v>5117</v>
      </c>
    </row>
    <row r="27534">
      <c r="H27534" t="s">
        <v>5117</v>
      </c>
    </row>
    <row r="27535">
      <c r="H27535" t="s">
        <v>5117</v>
      </c>
    </row>
    <row r="27536">
      <c r="H27536" t="s">
        <v>5117</v>
      </c>
    </row>
    <row r="27537">
      <c r="H27537" t="s">
        <v>5117</v>
      </c>
    </row>
    <row r="27538">
      <c r="H27538" t="s">
        <v>5117</v>
      </c>
    </row>
    <row r="27539">
      <c r="H27539" t="s">
        <v>5117</v>
      </c>
    </row>
    <row r="27540">
      <c r="H27540" t="s">
        <v>5117</v>
      </c>
    </row>
    <row r="27541">
      <c r="H27541" t="s">
        <v>5117</v>
      </c>
    </row>
    <row r="27542">
      <c r="H27542" t="s">
        <v>5117</v>
      </c>
    </row>
    <row r="27543">
      <c r="H27543" t="s">
        <v>5117</v>
      </c>
    </row>
    <row r="27544">
      <c r="H27544" t="s">
        <v>5117</v>
      </c>
    </row>
    <row r="27545">
      <c r="H27545" t="s">
        <v>5117</v>
      </c>
    </row>
    <row r="27546">
      <c r="H27546" t="s">
        <v>5117</v>
      </c>
    </row>
    <row r="27547">
      <c r="H27547" t="s">
        <v>5117</v>
      </c>
    </row>
    <row r="27548">
      <c r="H27548" t="s">
        <v>5117</v>
      </c>
    </row>
    <row r="27549">
      <c r="H27549" t="s">
        <v>5117</v>
      </c>
    </row>
    <row r="27550">
      <c r="H27550" t="s">
        <v>5117</v>
      </c>
    </row>
    <row r="27551">
      <c r="H27551" t="s">
        <v>5117</v>
      </c>
    </row>
    <row r="27552">
      <c r="H27552" t="s">
        <v>5117</v>
      </c>
    </row>
    <row r="27553">
      <c r="H27553" t="s">
        <v>5117</v>
      </c>
    </row>
    <row r="27554">
      <c r="H27554" t="s">
        <v>5117</v>
      </c>
    </row>
    <row r="27555">
      <c r="H27555" t="s">
        <v>5117</v>
      </c>
    </row>
    <row r="27556">
      <c r="H27556" t="s">
        <v>5117</v>
      </c>
    </row>
    <row r="27557">
      <c r="H27557" t="s">
        <v>5117</v>
      </c>
    </row>
    <row r="27558">
      <c r="H27558" t="s">
        <v>5117</v>
      </c>
    </row>
    <row r="27559">
      <c r="H27559" t="s">
        <v>5117</v>
      </c>
    </row>
    <row r="27560">
      <c r="H27560" t="s">
        <v>5117</v>
      </c>
    </row>
    <row r="27561">
      <c r="H27561" t="s">
        <v>5117</v>
      </c>
    </row>
    <row r="27562">
      <c r="H27562" t="s">
        <v>5117</v>
      </c>
    </row>
    <row r="27563">
      <c r="H27563" t="s">
        <v>5117</v>
      </c>
    </row>
    <row r="27564">
      <c r="H27564" t="s">
        <v>5117</v>
      </c>
    </row>
    <row r="27565">
      <c r="H27565" t="s">
        <v>5117</v>
      </c>
    </row>
    <row r="27566">
      <c r="H27566" t="s">
        <v>5117</v>
      </c>
    </row>
    <row r="27567">
      <c r="H27567" t="s">
        <v>5117</v>
      </c>
    </row>
    <row r="27568">
      <c r="H27568" t="s">
        <v>5117</v>
      </c>
    </row>
    <row r="27569">
      <c r="H27569" t="s">
        <v>5117</v>
      </c>
    </row>
    <row r="27570">
      <c r="H27570" t="s">
        <v>5117</v>
      </c>
    </row>
    <row r="27571">
      <c r="H27571" t="s">
        <v>5117</v>
      </c>
    </row>
    <row r="27572">
      <c r="H27572" t="s">
        <v>5117</v>
      </c>
    </row>
    <row r="27573">
      <c r="H27573" t="s">
        <v>5117</v>
      </c>
    </row>
    <row r="27574">
      <c r="H27574" t="s">
        <v>5117</v>
      </c>
    </row>
    <row r="27575">
      <c r="H27575" t="s">
        <v>5117</v>
      </c>
    </row>
    <row r="27576">
      <c r="H27576" t="s">
        <v>5117</v>
      </c>
    </row>
    <row r="27577">
      <c r="H27577" t="s">
        <v>5117</v>
      </c>
    </row>
    <row r="27578">
      <c r="H27578" t="s">
        <v>5117</v>
      </c>
    </row>
    <row r="27579">
      <c r="H27579" t="s">
        <v>5117</v>
      </c>
    </row>
    <row r="27580">
      <c r="H27580" t="s">
        <v>5117</v>
      </c>
    </row>
    <row r="27581">
      <c r="H27581" t="s">
        <v>5117</v>
      </c>
    </row>
    <row r="27582">
      <c r="H27582" t="s">
        <v>5117</v>
      </c>
    </row>
    <row r="27583">
      <c r="H27583" t="s">
        <v>5117</v>
      </c>
    </row>
    <row r="27584">
      <c r="H27584" t="s">
        <v>5117</v>
      </c>
    </row>
    <row r="27585">
      <c r="H27585" t="s">
        <v>5117</v>
      </c>
    </row>
    <row r="27586">
      <c r="H27586" t="s">
        <v>5117</v>
      </c>
    </row>
    <row r="27587">
      <c r="H27587" t="s">
        <v>5117</v>
      </c>
    </row>
    <row r="27588">
      <c r="H27588" t="s">
        <v>5117</v>
      </c>
    </row>
    <row r="27589">
      <c r="H27589" t="s">
        <v>5117</v>
      </c>
    </row>
    <row r="27590">
      <c r="H27590" t="s">
        <v>5117</v>
      </c>
    </row>
    <row r="27591">
      <c r="H27591" t="s">
        <v>5117</v>
      </c>
    </row>
    <row r="27592">
      <c r="H27592" t="s">
        <v>5117</v>
      </c>
    </row>
    <row r="27593">
      <c r="H27593" t="s">
        <v>5117</v>
      </c>
    </row>
    <row r="27594">
      <c r="H27594" t="s">
        <v>5117</v>
      </c>
    </row>
    <row r="27595">
      <c r="H27595" t="s">
        <v>5117</v>
      </c>
    </row>
    <row r="27596">
      <c r="H27596" t="s">
        <v>5117</v>
      </c>
    </row>
    <row r="27597">
      <c r="H27597" t="s">
        <v>5117</v>
      </c>
    </row>
    <row r="27598">
      <c r="H27598" t="s">
        <v>5117</v>
      </c>
    </row>
    <row r="27599">
      <c r="H27599" t="s">
        <v>5117</v>
      </c>
    </row>
    <row r="27600">
      <c r="H27600" t="s">
        <v>5117</v>
      </c>
    </row>
    <row r="27601">
      <c r="H27601" t="s">
        <v>5117</v>
      </c>
    </row>
    <row r="27602">
      <c r="H27602" t="s">
        <v>5117</v>
      </c>
    </row>
    <row r="27603">
      <c r="H27603" t="s">
        <v>5117</v>
      </c>
    </row>
    <row r="27604">
      <c r="H27604" t="s">
        <v>5117</v>
      </c>
    </row>
    <row r="27605">
      <c r="H27605" t="s">
        <v>5117</v>
      </c>
    </row>
    <row r="27606">
      <c r="H27606" t="s">
        <v>5117</v>
      </c>
    </row>
    <row r="27607">
      <c r="H27607" t="s">
        <v>5117</v>
      </c>
    </row>
    <row r="27608">
      <c r="H27608" t="s">
        <v>5117</v>
      </c>
    </row>
    <row r="27609">
      <c r="H27609" t="s">
        <v>5117</v>
      </c>
    </row>
    <row r="27610">
      <c r="H27610" t="s">
        <v>5117</v>
      </c>
    </row>
    <row r="27611">
      <c r="H27611" t="s">
        <v>5117</v>
      </c>
    </row>
    <row r="27612">
      <c r="H27612" t="s">
        <v>5117</v>
      </c>
    </row>
    <row r="27613">
      <c r="H27613" t="s">
        <v>5117</v>
      </c>
    </row>
    <row r="27614">
      <c r="H27614" t="s">
        <v>5117</v>
      </c>
    </row>
    <row r="27615">
      <c r="H27615" t="s">
        <v>5117</v>
      </c>
    </row>
    <row r="27616">
      <c r="H27616" t="s">
        <v>5117</v>
      </c>
    </row>
    <row r="27617">
      <c r="H27617" t="s">
        <v>5117</v>
      </c>
    </row>
    <row r="27618">
      <c r="H27618" t="s">
        <v>5117</v>
      </c>
    </row>
    <row r="27619">
      <c r="H27619" t="s">
        <v>5117</v>
      </c>
    </row>
    <row r="27620">
      <c r="H27620" t="s">
        <v>5117</v>
      </c>
    </row>
    <row r="27621">
      <c r="H27621" t="s">
        <v>5117</v>
      </c>
    </row>
    <row r="27622">
      <c r="H27622" t="s">
        <v>5117</v>
      </c>
    </row>
    <row r="27623">
      <c r="H27623" t="s">
        <v>5117</v>
      </c>
    </row>
    <row r="27624">
      <c r="H27624" t="s">
        <v>5117</v>
      </c>
    </row>
    <row r="27625">
      <c r="H27625" t="s">
        <v>5117</v>
      </c>
    </row>
    <row r="27626">
      <c r="H27626" t="s">
        <v>5117</v>
      </c>
    </row>
    <row r="27627">
      <c r="H27627" t="s">
        <v>5117</v>
      </c>
    </row>
    <row r="27628">
      <c r="H27628" t="s">
        <v>5117</v>
      </c>
    </row>
    <row r="27629">
      <c r="H27629" t="s">
        <v>5117</v>
      </c>
    </row>
    <row r="27630">
      <c r="H27630" t="s">
        <v>5117</v>
      </c>
    </row>
    <row r="27631">
      <c r="H27631" t="s">
        <v>5117</v>
      </c>
    </row>
    <row r="27632">
      <c r="H27632" t="s">
        <v>5117</v>
      </c>
    </row>
    <row r="27633">
      <c r="H27633" t="s">
        <v>5117</v>
      </c>
    </row>
    <row r="27634">
      <c r="H27634" t="s">
        <v>5117</v>
      </c>
    </row>
    <row r="27635">
      <c r="H27635" t="s">
        <v>5117</v>
      </c>
    </row>
    <row r="27636">
      <c r="H27636" t="s">
        <v>5117</v>
      </c>
    </row>
    <row r="27637">
      <c r="H27637" t="s">
        <v>5117</v>
      </c>
    </row>
    <row r="27638">
      <c r="H27638" t="s">
        <v>5117</v>
      </c>
    </row>
    <row r="27639">
      <c r="H27639" t="s">
        <v>5117</v>
      </c>
    </row>
    <row r="27640">
      <c r="H27640" t="s">
        <v>5117</v>
      </c>
    </row>
    <row r="27641">
      <c r="H27641" t="s">
        <v>5117</v>
      </c>
    </row>
    <row r="27642">
      <c r="H27642" t="s">
        <v>5117</v>
      </c>
    </row>
    <row r="27643">
      <c r="H27643" t="s">
        <v>5117</v>
      </c>
    </row>
    <row r="27644">
      <c r="H27644" t="s">
        <v>5117</v>
      </c>
    </row>
    <row r="27645">
      <c r="H27645" t="s">
        <v>5117</v>
      </c>
    </row>
    <row r="27646">
      <c r="H27646" t="s">
        <v>5117</v>
      </c>
    </row>
    <row r="27647">
      <c r="H27647" t="s">
        <v>5117</v>
      </c>
    </row>
    <row r="27648">
      <c r="H27648" t="s">
        <v>5117</v>
      </c>
    </row>
    <row r="27649">
      <c r="H27649" t="s">
        <v>5117</v>
      </c>
    </row>
    <row r="27650">
      <c r="H27650" t="s">
        <v>5117</v>
      </c>
    </row>
    <row r="27651">
      <c r="H27651" t="s">
        <v>5117</v>
      </c>
    </row>
    <row r="27652">
      <c r="H27652" t="s">
        <v>5117</v>
      </c>
    </row>
    <row r="27653">
      <c r="H27653" t="s">
        <v>5117</v>
      </c>
    </row>
    <row r="27654">
      <c r="H27654" t="s">
        <v>5117</v>
      </c>
    </row>
    <row r="27655">
      <c r="H27655" t="s">
        <v>5117</v>
      </c>
    </row>
    <row r="27656">
      <c r="H27656" t="s">
        <v>5117</v>
      </c>
    </row>
    <row r="27657">
      <c r="H27657" t="s">
        <v>5117</v>
      </c>
    </row>
    <row r="27658">
      <c r="H27658" t="s">
        <v>5117</v>
      </c>
    </row>
    <row r="27659">
      <c r="H27659" t="s">
        <v>5117</v>
      </c>
    </row>
    <row r="27660">
      <c r="H27660" t="s">
        <v>5117</v>
      </c>
    </row>
    <row r="27661">
      <c r="H27661" t="s">
        <v>5117</v>
      </c>
    </row>
    <row r="27662">
      <c r="H27662" t="s">
        <v>5117</v>
      </c>
    </row>
    <row r="27663">
      <c r="H27663" t="s">
        <v>5117</v>
      </c>
    </row>
    <row r="27664">
      <c r="H27664" t="s">
        <v>5117</v>
      </c>
    </row>
    <row r="27665">
      <c r="H27665" t="s">
        <v>5117</v>
      </c>
    </row>
    <row r="27666">
      <c r="H27666" t="s">
        <v>5117</v>
      </c>
    </row>
    <row r="27667">
      <c r="H27667" t="s">
        <v>5117</v>
      </c>
    </row>
    <row r="27668">
      <c r="H27668" t="s">
        <v>5117</v>
      </c>
    </row>
    <row r="27669">
      <c r="H27669" t="s">
        <v>5117</v>
      </c>
    </row>
    <row r="27670">
      <c r="H27670" t="s">
        <v>5117</v>
      </c>
    </row>
    <row r="27671">
      <c r="H27671" t="s">
        <v>5117</v>
      </c>
    </row>
    <row r="27672">
      <c r="H27672" t="s">
        <v>5117</v>
      </c>
    </row>
    <row r="27673">
      <c r="H27673" t="s">
        <v>5117</v>
      </c>
    </row>
    <row r="27674">
      <c r="H27674" t="s">
        <v>5117</v>
      </c>
    </row>
    <row r="27675">
      <c r="H27675" t="s">
        <v>5117</v>
      </c>
    </row>
    <row r="27676">
      <c r="H27676" t="s">
        <v>5117</v>
      </c>
    </row>
    <row r="27677">
      <c r="H27677" t="s">
        <v>5117</v>
      </c>
    </row>
    <row r="27678">
      <c r="H27678" t="s">
        <v>5117</v>
      </c>
    </row>
    <row r="27679">
      <c r="H27679" t="s">
        <v>5117</v>
      </c>
    </row>
    <row r="27680">
      <c r="H27680" t="s">
        <v>5117</v>
      </c>
    </row>
    <row r="27681">
      <c r="H27681" t="s">
        <v>5117</v>
      </c>
    </row>
    <row r="27682">
      <c r="H27682" t="s">
        <v>5117</v>
      </c>
    </row>
    <row r="27683">
      <c r="H27683" t="s">
        <v>5117</v>
      </c>
    </row>
    <row r="27684">
      <c r="H27684" t="s">
        <v>5117</v>
      </c>
    </row>
    <row r="27685">
      <c r="H27685" t="s">
        <v>5117</v>
      </c>
    </row>
    <row r="27686">
      <c r="H27686" t="s">
        <v>5117</v>
      </c>
    </row>
    <row r="27687">
      <c r="H27687" t="s">
        <v>5117</v>
      </c>
    </row>
    <row r="27688">
      <c r="H27688" t="s">
        <v>5117</v>
      </c>
    </row>
    <row r="27689">
      <c r="H27689" t="s">
        <v>5117</v>
      </c>
    </row>
    <row r="27690">
      <c r="H27690" t="s">
        <v>5117</v>
      </c>
    </row>
    <row r="27691">
      <c r="H27691" t="s">
        <v>5117</v>
      </c>
    </row>
    <row r="27692">
      <c r="H27692" t="s">
        <v>5117</v>
      </c>
    </row>
    <row r="27693">
      <c r="H27693" t="s">
        <v>5117</v>
      </c>
    </row>
    <row r="27694">
      <c r="H27694" t="s">
        <v>5117</v>
      </c>
    </row>
    <row r="27695">
      <c r="H27695" t="s">
        <v>5117</v>
      </c>
    </row>
    <row r="27696">
      <c r="H27696" t="s">
        <v>5117</v>
      </c>
    </row>
    <row r="27697">
      <c r="H27697" t="s">
        <v>5117</v>
      </c>
    </row>
    <row r="27698">
      <c r="H27698" t="s">
        <v>5117</v>
      </c>
    </row>
    <row r="27699">
      <c r="H27699" t="s">
        <v>5117</v>
      </c>
    </row>
    <row r="27700">
      <c r="H27700" t="s">
        <v>5117</v>
      </c>
    </row>
    <row r="27701">
      <c r="H27701" t="s">
        <v>5117</v>
      </c>
    </row>
    <row r="27702">
      <c r="H27702" t="s">
        <v>5117</v>
      </c>
    </row>
    <row r="27703">
      <c r="H27703" t="s">
        <v>5117</v>
      </c>
    </row>
    <row r="27704">
      <c r="H27704" t="s">
        <v>5117</v>
      </c>
    </row>
    <row r="27705">
      <c r="H27705" t="s">
        <v>5117</v>
      </c>
    </row>
    <row r="27706">
      <c r="H27706" t="s">
        <v>5117</v>
      </c>
    </row>
    <row r="27707">
      <c r="H27707" t="s">
        <v>5117</v>
      </c>
    </row>
    <row r="27708">
      <c r="H27708" t="s">
        <v>5117</v>
      </c>
    </row>
    <row r="27709">
      <c r="H27709" t="s">
        <v>5117</v>
      </c>
    </row>
    <row r="27710">
      <c r="H27710" t="s">
        <v>5117</v>
      </c>
    </row>
    <row r="27711">
      <c r="H27711" t="s">
        <v>5117</v>
      </c>
    </row>
    <row r="27712">
      <c r="H27712" t="s">
        <v>5117</v>
      </c>
    </row>
    <row r="27713">
      <c r="H27713" t="s">
        <v>5117</v>
      </c>
    </row>
    <row r="27714">
      <c r="H27714" t="s">
        <v>5117</v>
      </c>
    </row>
    <row r="27715">
      <c r="H27715" t="s">
        <v>5117</v>
      </c>
    </row>
    <row r="27716">
      <c r="H27716" t="s">
        <v>5117</v>
      </c>
    </row>
    <row r="27717">
      <c r="H27717" t="s">
        <v>5117</v>
      </c>
    </row>
    <row r="27718">
      <c r="H27718" t="s">
        <v>5117</v>
      </c>
    </row>
    <row r="27719">
      <c r="H27719" t="s">
        <v>5117</v>
      </c>
    </row>
    <row r="27720">
      <c r="H27720" t="s">
        <v>5117</v>
      </c>
    </row>
    <row r="27721">
      <c r="H27721" t="s">
        <v>5117</v>
      </c>
    </row>
    <row r="27722">
      <c r="H27722" t="s">
        <v>5117</v>
      </c>
    </row>
    <row r="27723">
      <c r="H27723" t="s">
        <v>5117</v>
      </c>
    </row>
    <row r="27724">
      <c r="H27724" t="s">
        <v>5117</v>
      </c>
    </row>
    <row r="27725">
      <c r="H27725" t="s">
        <v>5117</v>
      </c>
    </row>
    <row r="27726">
      <c r="H27726" t="s">
        <v>5117</v>
      </c>
    </row>
    <row r="27727">
      <c r="H27727" t="s">
        <v>5117</v>
      </c>
    </row>
    <row r="27728">
      <c r="H27728" t="s">
        <v>5117</v>
      </c>
    </row>
    <row r="27729">
      <c r="H27729" t="s">
        <v>5117</v>
      </c>
    </row>
    <row r="27730">
      <c r="H27730" t="s">
        <v>5117</v>
      </c>
    </row>
    <row r="27731">
      <c r="H27731" t="s">
        <v>5117</v>
      </c>
    </row>
    <row r="27732">
      <c r="H27732" t="s">
        <v>5117</v>
      </c>
    </row>
    <row r="27733">
      <c r="H27733" t="s">
        <v>5117</v>
      </c>
    </row>
    <row r="27734">
      <c r="H27734" t="s">
        <v>5117</v>
      </c>
    </row>
    <row r="27735">
      <c r="H27735" t="s">
        <v>5117</v>
      </c>
    </row>
    <row r="27736">
      <c r="H27736" t="s">
        <v>5117</v>
      </c>
    </row>
    <row r="27737">
      <c r="H27737" t="s">
        <v>5117</v>
      </c>
    </row>
    <row r="27738">
      <c r="H27738" t="s">
        <v>5117</v>
      </c>
    </row>
    <row r="27739">
      <c r="H27739" t="s">
        <v>5117</v>
      </c>
    </row>
    <row r="27740">
      <c r="H27740" t="s">
        <v>5117</v>
      </c>
    </row>
    <row r="27741">
      <c r="H27741" t="s">
        <v>5117</v>
      </c>
    </row>
    <row r="27742">
      <c r="H27742" t="s">
        <v>5117</v>
      </c>
    </row>
    <row r="27743">
      <c r="H27743" t="s">
        <v>5117</v>
      </c>
    </row>
    <row r="27744">
      <c r="H27744" t="s">
        <v>5117</v>
      </c>
    </row>
    <row r="27745">
      <c r="H27745" t="s">
        <v>5117</v>
      </c>
    </row>
    <row r="27746">
      <c r="H27746" t="s">
        <v>5117</v>
      </c>
    </row>
    <row r="27747">
      <c r="H27747" t="s">
        <v>5117</v>
      </c>
    </row>
    <row r="27748">
      <c r="H27748" t="s">
        <v>5117</v>
      </c>
    </row>
    <row r="27749">
      <c r="H27749" t="s">
        <v>5117</v>
      </c>
    </row>
    <row r="27750">
      <c r="H27750" t="s">
        <v>5117</v>
      </c>
    </row>
    <row r="27751">
      <c r="H27751" t="s">
        <v>5117</v>
      </c>
    </row>
    <row r="27752">
      <c r="H27752" t="s">
        <v>5117</v>
      </c>
    </row>
    <row r="27753">
      <c r="H27753" t="s">
        <v>5117</v>
      </c>
    </row>
    <row r="27754">
      <c r="H27754" t="s">
        <v>5117</v>
      </c>
    </row>
    <row r="27755">
      <c r="H27755" t="s">
        <v>5117</v>
      </c>
    </row>
    <row r="27756">
      <c r="H27756" t="s">
        <v>5117</v>
      </c>
    </row>
    <row r="27757">
      <c r="H27757" t="s">
        <v>5117</v>
      </c>
    </row>
    <row r="27758">
      <c r="H27758" t="s">
        <v>5117</v>
      </c>
    </row>
    <row r="27759">
      <c r="H27759" t="s">
        <v>5117</v>
      </c>
    </row>
    <row r="27760">
      <c r="H27760" t="s">
        <v>5117</v>
      </c>
    </row>
    <row r="27761">
      <c r="H27761" t="s">
        <v>5117</v>
      </c>
    </row>
    <row r="27762">
      <c r="H27762" t="s">
        <v>5117</v>
      </c>
    </row>
    <row r="27763">
      <c r="H27763" t="s">
        <v>5117</v>
      </c>
    </row>
    <row r="27764">
      <c r="H27764" t="s">
        <v>5117</v>
      </c>
    </row>
    <row r="27765">
      <c r="H27765" t="s">
        <v>5117</v>
      </c>
    </row>
    <row r="27766">
      <c r="H27766" t="s">
        <v>5117</v>
      </c>
    </row>
    <row r="27767">
      <c r="H27767" t="s">
        <v>5117</v>
      </c>
    </row>
    <row r="27768">
      <c r="H27768" t="s">
        <v>5117</v>
      </c>
    </row>
    <row r="27769">
      <c r="H27769" t="s">
        <v>5117</v>
      </c>
    </row>
    <row r="27770">
      <c r="H27770" t="s">
        <v>5117</v>
      </c>
    </row>
    <row r="27771">
      <c r="H27771" t="s">
        <v>5117</v>
      </c>
    </row>
    <row r="27772">
      <c r="H27772" t="s">
        <v>5117</v>
      </c>
    </row>
    <row r="27773">
      <c r="H27773" t="s">
        <v>5117</v>
      </c>
    </row>
    <row r="27774">
      <c r="H27774" t="s">
        <v>5117</v>
      </c>
    </row>
    <row r="27775">
      <c r="H27775" t="s">
        <v>5117</v>
      </c>
    </row>
    <row r="27776">
      <c r="H27776" t="s">
        <v>5117</v>
      </c>
    </row>
    <row r="27777">
      <c r="H27777" t="s">
        <v>5117</v>
      </c>
    </row>
    <row r="27778">
      <c r="H27778" t="s">
        <v>5117</v>
      </c>
    </row>
    <row r="27779">
      <c r="H27779" t="s">
        <v>5117</v>
      </c>
    </row>
    <row r="27780">
      <c r="H27780" t="s">
        <v>5117</v>
      </c>
    </row>
    <row r="27781">
      <c r="H27781" t="s">
        <v>5117</v>
      </c>
    </row>
    <row r="27782">
      <c r="H27782" t="s">
        <v>5117</v>
      </c>
    </row>
    <row r="27783">
      <c r="H27783" t="s">
        <v>5117</v>
      </c>
    </row>
    <row r="27784">
      <c r="H27784" t="s">
        <v>5117</v>
      </c>
    </row>
    <row r="27785">
      <c r="H27785" t="s">
        <v>5117</v>
      </c>
    </row>
    <row r="27786">
      <c r="H27786" t="s">
        <v>5117</v>
      </c>
    </row>
    <row r="27787">
      <c r="H27787" t="s">
        <v>5117</v>
      </c>
    </row>
    <row r="27788">
      <c r="H27788" t="s">
        <v>5117</v>
      </c>
    </row>
    <row r="27789">
      <c r="H27789" t="s">
        <v>5117</v>
      </c>
    </row>
    <row r="27790">
      <c r="H27790" t="s">
        <v>5117</v>
      </c>
    </row>
    <row r="27791">
      <c r="H27791" t="s">
        <v>5117</v>
      </c>
    </row>
    <row r="27792">
      <c r="H27792" t="s">
        <v>5117</v>
      </c>
    </row>
    <row r="27793">
      <c r="H27793" t="s">
        <v>5117</v>
      </c>
    </row>
    <row r="27794">
      <c r="H27794" t="s">
        <v>5117</v>
      </c>
    </row>
    <row r="27795">
      <c r="H27795" t="s">
        <v>5117</v>
      </c>
    </row>
    <row r="27796">
      <c r="H27796" t="s">
        <v>5117</v>
      </c>
    </row>
    <row r="27797">
      <c r="H27797" t="s">
        <v>5117</v>
      </c>
    </row>
    <row r="27798">
      <c r="H27798" t="s">
        <v>5117</v>
      </c>
    </row>
    <row r="27799">
      <c r="H27799" t="s">
        <v>5117</v>
      </c>
    </row>
    <row r="27800">
      <c r="H27800" t="s">
        <v>5117</v>
      </c>
    </row>
    <row r="27801">
      <c r="H27801" t="s">
        <v>5117</v>
      </c>
    </row>
    <row r="27802">
      <c r="H27802" t="s">
        <v>5117</v>
      </c>
    </row>
    <row r="27803">
      <c r="H27803" t="s">
        <v>5117</v>
      </c>
    </row>
    <row r="27804">
      <c r="H27804" t="s">
        <v>5117</v>
      </c>
    </row>
    <row r="27805">
      <c r="H27805" t="s">
        <v>5117</v>
      </c>
    </row>
    <row r="27806">
      <c r="H27806" t="s">
        <v>5117</v>
      </c>
    </row>
    <row r="27807">
      <c r="H27807" t="s">
        <v>5117</v>
      </c>
    </row>
    <row r="27808">
      <c r="H27808" t="s">
        <v>5117</v>
      </c>
    </row>
    <row r="27809">
      <c r="H27809" t="s">
        <v>5117</v>
      </c>
    </row>
    <row r="27810">
      <c r="H27810" t="s">
        <v>5117</v>
      </c>
    </row>
    <row r="27811">
      <c r="H27811" t="s">
        <v>5117</v>
      </c>
    </row>
    <row r="27812">
      <c r="H27812" t="s">
        <v>5117</v>
      </c>
    </row>
    <row r="27813">
      <c r="H27813" t="s">
        <v>5117</v>
      </c>
    </row>
    <row r="27814">
      <c r="H27814" t="s">
        <v>5117</v>
      </c>
    </row>
    <row r="27815">
      <c r="H27815" t="s">
        <v>5117</v>
      </c>
    </row>
    <row r="27816">
      <c r="H27816" t="s">
        <v>5117</v>
      </c>
    </row>
    <row r="27817">
      <c r="H27817" t="s">
        <v>5117</v>
      </c>
    </row>
    <row r="27818">
      <c r="H27818" t="s">
        <v>5117</v>
      </c>
    </row>
    <row r="27819">
      <c r="H27819" t="s">
        <v>5117</v>
      </c>
    </row>
    <row r="27820">
      <c r="H27820" t="s">
        <v>5117</v>
      </c>
    </row>
    <row r="27821">
      <c r="H27821" t="s">
        <v>5117</v>
      </c>
    </row>
    <row r="27822">
      <c r="H27822" t="s">
        <v>5117</v>
      </c>
    </row>
    <row r="27823">
      <c r="H27823" t="s">
        <v>5117</v>
      </c>
    </row>
    <row r="27824">
      <c r="H27824" t="s">
        <v>5117</v>
      </c>
    </row>
    <row r="27825">
      <c r="H27825" t="s">
        <v>5117</v>
      </c>
    </row>
    <row r="27826">
      <c r="H27826" t="s">
        <v>5117</v>
      </c>
    </row>
    <row r="27827">
      <c r="H27827" t="s">
        <v>5117</v>
      </c>
    </row>
    <row r="27828">
      <c r="H27828" t="s">
        <v>5117</v>
      </c>
    </row>
    <row r="27829">
      <c r="H27829" t="s">
        <v>5117</v>
      </c>
    </row>
    <row r="27830">
      <c r="H27830" t="s">
        <v>5117</v>
      </c>
    </row>
    <row r="27831">
      <c r="H27831" t="s">
        <v>5117</v>
      </c>
    </row>
    <row r="27832">
      <c r="H27832" t="s">
        <v>5117</v>
      </c>
    </row>
    <row r="27833">
      <c r="H27833" t="s">
        <v>5117</v>
      </c>
    </row>
    <row r="27834">
      <c r="H27834" t="s">
        <v>5117</v>
      </c>
    </row>
    <row r="27835">
      <c r="H27835" t="s">
        <v>5117</v>
      </c>
    </row>
    <row r="27836">
      <c r="H27836" t="s">
        <v>5117</v>
      </c>
    </row>
    <row r="27837">
      <c r="H27837" t="s">
        <v>5117</v>
      </c>
    </row>
    <row r="27838">
      <c r="H27838" t="s">
        <v>5117</v>
      </c>
    </row>
    <row r="27839">
      <c r="H27839" t="s">
        <v>5117</v>
      </c>
    </row>
    <row r="27840">
      <c r="H27840" t="s">
        <v>5117</v>
      </c>
    </row>
    <row r="27841">
      <c r="H27841" t="s">
        <v>5117</v>
      </c>
    </row>
    <row r="27842">
      <c r="H27842" t="s">
        <v>5117</v>
      </c>
    </row>
    <row r="27843">
      <c r="H27843" t="s">
        <v>5117</v>
      </c>
    </row>
    <row r="27844">
      <c r="H27844" t="s">
        <v>5117</v>
      </c>
    </row>
    <row r="27845">
      <c r="H27845" t="s">
        <v>5117</v>
      </c>
    </row>
    <row r="27846">
      <c r="H27846" t="s">
        <v>5117</v>
      </c>
    </row>
    <row r="27847">
      <c r="H27847" t="s">
        <v>5117</v>
      </c>
    </row>
    <row r="27848">
      <c r="H27848" t="s">
        <v>5117</v>
      </c>
    </row>
    <row r="27849">
      <c r="H27849" t="s">
        <v>5117</v>
      </c>
    </row>
    <row r="27850">
      <c r="H27850" t="s">
        <v>5117</v>
      </c>
    </row>
    <row r="27851">
      <c r="H27851" t="s">
        <v>5117</v>
      </c>
    </row>
    <row r="27852">
      <c r="H27852" t="s">
        <v>5117</v>
      </c>
    </row>
    <row r="27853">
      <c r="H27853" t="s">
        <v>5117</v>
      </c>
    </row>
    <row r="27854">
      <c r="H27854" t="s">
        <v>5117</v>
      </c>
    </row>
    <row r="27855">
      <c r="H27855" t="s">
        <v>5117</v>
      </c>
    </row>
    <row r="27856">
      <c r="H27856" t="s">
        <v>5117</v>
      </c>
    </row>
    <row r="27857">
      <c r="H27857" t="s">
        <v>5117</v>
      </c>
    </row>
    <row r="27858">
      <c r="H27858" t="s">
        <v>5117</v>
      </c>
    </row>
    <row r="27859">
      <c r="H27859" t="s">
        <v>5117</v>
      </c>
    </row>
    <row r="27860">
      <c r="H27860" t="s">
        <v>5117</v>
      </c>
    </row>
    <row r="27861">
      <c r="H27861" t="s">
        <v>5117</v>
      </c>
    </row>
    <row r="27862">
      <c r="H27862" t="s">
        <v>5117</v>
      </c>
    </row>
    <row r="27863">
      <c r="H27863" t="s">
        <v>5117</v>
      </c>
    </row>
    <row r="27864">
      <c r="H27864" t="s">
        <v>5117</v>
      </c>
    </row>
    <row r="27865">
      <c r="H27865" t="s">
        <v>5117</v>
      </c>
    </row>
    <row r="27866">
      <c r="H27866" t="s">
        <v>5117</v>
      </c>
    </row>
    <row r="27867">
      <c r="H27867" t="s">
        <v>5117</v>
      </c>
    </row>
    <row r="27868">
      <c r="H27868" t="s">
        <v>5117</v>
      </c>
    </row>
    <row r="27869">
      <c r="H27869" t="s">
        <v>5117</v>
      </c>
    </row>
    <row r="27870">
      <c r="H27870" t="s">
        <v>5117</v>
      </c>
    </row>
    <row r="27871">
      <c r="H27871" t="s">
        <v>5117</v>
      </c>
    </row>
    <row r="27872">
      <c r="H27872" t="s">
        <v>5117</v>
      </c>
    </row>
    <row r="27873">
      <c r="H27873" t="s">
        <v>5117</v>
      </c>
    </row>
    <row r="27874">
      <c r="H27874" t="s">
        <v>5117</v>
      </c>
    </row>
    <row r="27875">
      <c r="H27875" t="s">
        <v>5117</v>
      </c>
    </row>
    <row r="27876">
      <c r="H27876" t="s">
        <v>5117</v>
      </c>
    </row>
    <row r="27877">
      <c r="H27877" t="s">
        <v>5117</v>
      </c>
    </row>
    <row r="27878">
      <c r="H27878" t="s">
        <v>5117</v>
      </c>
    </row>
    <row r="27879">
      <c r="H27879" t="s">
        <v>5117</v>
      </c>
    </row>
    <row r="27880">
      <c r="H27880" t="s">
        <v>5117</v>
      </c>
    </row>
    <row r="27881">
      <c r="H27881" t="s">
        <v>5117</v>
      </c>
    </row>
    <row r="27882">
      <c r="H27882" t="s">
        <v>5117</v>
      </c>
    </row>
    <row r="27883">
      <c r="H27883" t="s">
        <v>5117</v>
      </c>
    </row>
    <row r="27884">
      <c r="H27884" t="s">
        <v>5117</v>
      </c>
    </row>
    <row r="27885">
      <c r="H27885" t="s">
        <v>5117</v>
      </c>
    </row>
    <row r="27886">
      <c r="H27886" t="s">
        <v>5117</v>
      </c>
    </row>
    <row r="27887">
      <c r="H27887" t="s">
        <v>5117</v>
      </c>
    </row>
    <row r="27888">
      <c r="H27888" t="s">
        <v>5117</v>
      </c>
    </row>
    <row r="27889">
      <c r="H27889" t="s">
        <v>5117</v>
      </c>
    </row>
    <row r="27890">
      <c r="H27890" t="s">
        <v>5117</v>
      </c>
    </row>
    <row r="27891">
      <c r="H27891" t="s">
        <v>5117</v>
      </c>
    </row>
    <row r="27892">
      <c r="H27892" t="s">
        <v>5117</v>
      </c>
    </row>
    <row r="27893">
      <c r="H27893" t="s">
        <v>5117</v>
      </c>
    </row>
    <row r="27894">
      <c r="H27894" t="s">
        <v>5117</v>
      </c>
    </row>
    <row r="27895">
      <c r="H27895" t="s">
        <v>5117</v>
      </c>
    </row>
    <row r="27896">
      <c r="H27896" t="s">
        <v>5117</v>
      </c>
    </row>
    <row r="27897">
      <c r="H27897" t="s">
        <v>5117</v>
      </c>
    </row>
    <row r="27898">
      <c r="H27898" t="s">
        <v>5117</v>
      </c>
    </row>
    <row r="27899">
      <c r="H27899" t="s">
        <v>5117</v>
      </c>
    </row>
    <row r="27900">
      <c r="H27900" t="s">
        <v>5117</v>
      </c>
    </row>
    <row r="27901">
      <c r="H27901" t="s">
        <v>5117</v>
      </c>
    </row>
    <row r="27902">
      <c r="H27902" t="s">
        <v>5117</v>
      </c>
    </row>
    <row r="27903">
      <c r="H27903" t="s">
        <v>5117</v>
      </c>
    </row>
    <row r="27904">
      <c r="H27904" t="s">
        <v>5117</v>
      </c>
    </row>
    <row r="27905">
      <c r="H27905" t="s">
        <v>5117</v>
      </c>
    </row>
    <row r="27906">
      <c r="H27906" t="s">
        <v>5117</v>
      </c>
    </row>
    <row r="27907">
      <c r="H27907" t="s">
        <v>5117</v>
      </c>
    </row>
    <row r="27908">
      <c r="H27908" t="s">
        <v>5117</v>
      </c>
    </row>
    <row r="27909">
      <c r="H27909" t="s">
        <v>5117</v>
      </c>
    </row>
    <row r="27910">
      <c r="H27910" t="s">
        <v>5117</v>
      </c>
    </row>
    <row r="27911">
      <c r="H27911" t="s">
        <v>5117</v>
      </c>
    </row>
    <row r="27912">
      <c r="H27912" t="s">
        <v>5117</v>
      </c>
    </row>
    <row r="27913">
      <c r="H27913" t="s">
        <v>5117</v>
      </c>
    </row>
    <row r="27914">
      <c r="H27914" t="s">
        <v>5117</v>
      </c>
    </row>
    <row r="27915">
      <c r="H27915" t="s">
        <v>5117</v>
      </c>
    </row>
    <row r="27916">
      <c r="H27916" t="s">
        <v>5117</v>
      </c>
    </row>
    <row r="27917">
      <c r="H27917" t="s">
        <v>5117</v>
      </c>
    </row>
    <row r="27918">
      <c r="H27918" t="s">
        <v>5117</v>
      </c>
    </row>
    <row r="27919">
      <c r="H27919" t="s">
        <v>5117</v>
      </c>
    </row>
    <row r="27920">
      <c r="H27920" t="s">
        <v>5117</v>
      </c>
    </row>
    <row r="27921">
      <c r="H27921" t="s">
        <v>5117</v>
      </c>
    </row>
    <row r="27922">
      <c r="H27922" t="s">
        <v>5117</v>
      </c>
    </row>
    <row r="27923">
      <c r="H27923" t="s">
        <v>5117</v>
      </c>
    </row>
    <row r="27924">
      <c r="H27924" t="s">
        <v>5117</v>
      </c>
    </row>
    <row r="27925">
      <c r="H27925" t="s">
        <v>5117</v>
      </c>
    </row>
    <row r="27926">
      <c r="H27926" t="s">
        <v>5117</v>
      </c>
    </row>
    <row r="27927">
      <c r="H27927" t="s">
        <v>5117</v>
      </c>
    </row>
    <row r="27928">
      <c r="H27928" t="s">
        <v>5117</v>
      </c>
    </row>
    <row r="27929">
      <c r="H27929" t="s">
        <v>5117</v>
      </c>
    </row>
    <row r="27930">
      <c r="H27930" t="s">
        <v>5117</v>
      </c>
    </row>
    <row r="27931">
      <c r="H27931" t="s">
        <v>5117</v>
      </c>
    </row>
    <row r="27932">
      <c r="H27932" t="s">
        <v>5117</v>
      </c>
    </row>
    <row r="27933">
      <c r="H27933" t="s">
        <v>5117</v>
      </c>
    </row>
    <row r="27934">
      <c r="H27934" t="s">
        <v>5117</v>
      </c>
    </row>
    <row r="27935">
      <c r="H27935" t="s">
        <v>5117</v>
      </c>
    </row>
    <row r="27936">
      <c r="H27936" t="s">
        <v>5117</v>
      </c>
    </row>
    <row r="27937">
      <c r="H27937" t="s">
        <v>5117</v>
      </c>
    </row>
    <row r="27938">
      <c r="H27938" t="s">
        <v>5117</v>
      </c>
    </row>
    <row r="27939">
      <c r="H27939" t="s">
        <v>5117</v>
      </c>
    </row>
    <row r="27940">
      <c r="H27940" t="s">
        <v>5117</v>
      </c>
    </row>
    <row r="27941">
      <c r="H27941" t="s">
        <v>5117</v>
      </c>
    </row>
    <row r="27942">
      <c r="H27942" t="s">
        <v>5117</v>
      </c>
    </row>
    <row r="27943">
      <c r="H27943" t="s">
        <v>5117</v>
      </c>
    </row>
    <row r="27944">
      <c r="H27944" t="s">
        <v>5117</v>
      </c>
    </row>
    <row r="27945">
      <c r="H27945" t="s">
        <v>5117</v>
      </c>
    </row>
    <row r="27946">
      <c r="H27946" t="s">
        <v>5117</v>
      </c>
    </row>
    <row r="27947">
      <c r="H27947" t="s">
        <v>5117</v>
      </c>
    </row>
    <row r="27948">
      <c r="H27948" t="s">
        <v>5117</v>
      </c>
    </row>
    <row r="27949">
      <c r="H27949" t="s">
        <v>5117</v>
      </c>
    </row>
    <row r="27950">
      <c r="H27950" t="s">
        <v>5117</v>
      </c>
    </row>
    <row r="27951">
      <c r="H27951" t="s">
        <v>5117</v>
      </c>
    </row>
    <row r="27952">
      <c r="H27952" t="s">
        <v>5117</v>
      </c>
    </row>
    <row r="27953">
      <c r="H27953" t="s">
        <v>5117</v>
      </c>
    </row>
    <row r="27954">
      <c r="H27954" t="s">
        <v>5117</v>
      </c>
    </row>
    <row r="27955">
      <c r="H27955" t="s">
        <v>5117</v>
      </c>
    </row>
    <row r="27956">
      <c r="H27956" t="s">
        <v>5117</v>
      </c>
    </row>
    <row r="27957">
      <c r="H27957" t="s">
        <v>5117</v>
      </c>
    </row>
    <row r="27958">
      <c r="H27958" t="s">
        <v>5117</v>
      </c>
    </row>
    <row r="27959">
      <c r="H27959" t="s">
        <v>5117</v>
      </c>
    </row>
    <row r="27960">
      <c r="H27960" t="s">
        <v>5117</v>
      </c>
    </row>
    <row r="27961">
      <c r="H27961" t="s">
        <v>5117</v>
      </c>
    </row>
    <row r="27962">
      <c r="H27962" t="s">
        <v>5117</v>
      </c>
    </row>
    <row r="27963">
      <c r="H27963" t="s">
        <v>5117</v>
      </c>
    </row>
    <row r="27964">
      <c r="H27964" t="s">
        <v>5117</v>
      </c>
    </row>
    <row r="27965">
      <c r="H27965" t="s">
        <v>5117</v>
      </c>
    </row>
    <row r="27966">
      <c r="H27966" t="s">
        <v>5117</v>
      </c>
    </row>
    <row r="27967">
      <c r="H27967" t="s">
        <v>5117</v>
      </c>
    </row>
    <row r="27968">
      <c r="H27968" t="s">
        <v>5117</v>
      </c>
    </row>
    <row r="27969">
      <c r="H27969" t="s">
        <v>5117</v>
      </c>
    </row>
    <row r="27970">
      <c r="H27970" t="s">
        <v>5117</v>
      </c>
    </row>
    <row r="27971">
      <c r="H27971" t="s">
        <v>5117</v>
      </c>
    </row>
    <row r="27972">
      <c r="H27972" t="s">
        <v>5117</v>
      </c>
    </row>
    <row r="27973">
      <c r="H27973" t="s">
        <v>5117</v>
      </c>
    </row>
    <row r="27974">
      <c r="H27974" t="s">
        <v>5117</v>
      </c>
    </row>
    <row r="27975">
      <c r="H27975" t="s">
        <v>5117</v>
      </c>
    </row>
    <row r="27976">
      <c r="H27976" t="s">
        <v>5117</v>
      </c>
    </row>
    <row r="27977">
      <c r="H27977" t="s">
        <v>5117</v>
      </c>
    </row>
    <row r="27978">
      <c r="H27978" t="s">
        <v>5117</v>
      </c>
    </row>
    <row r="27979">
      <c r="H27979" t="s">
        <v>5117</v>
      </c>
    </row>
    <row r="27980">
      <c r="H27980" t="s">
        <v>5117</v>
      </c>
    </row>
    <row r="27981">
      <c r="H27981" t="s">
        <v>5117</v>
      </c>
    </row>
    <row r="27982">
      <c r="H27982" t="s">
        <v>5117</v>
      </c>
    </row>
    <row r="27983">
      <c r="H27983" t="s">
        <v>5117</v>
      </c>
    </row>
    <row r="27984">
      <c r="H27984" t="s">
        <v>5117</v>
      </c>
    </row>
    <row r="27985">
      <c r="H27985" t="s">
        <v>5117</v>
      </c>
    </row>
    <row r="27986">
      <c r="H27986" t="s">
        <v>5117</v>
      </c>
    </row>
    <row r="27987">
      <c r="H27987" t="s">
        <v>5117</v>
      </c>
    </row>
    <row r="27988">
      <c r="H27988" t="s">
        <v>5117</v>
      </c>
    </row>
    <row r="27989">
      <c r="H27989" t="s">
        <v>5117</v>
      </c>
    </row>
    <row r="27990">
      <c r="H27990" t="s">
        <v>5117</v>
      </c>
    </row>
    <row r="27991">
      <c r="H27991" t="s">
        <v>5117</v>
      </c>
    </row>
    <row r="27992">
      <c r="H27992" t="s">
        <v>5117</v>
      </c>
    </row>
    <row r="27993">
      <c r="H27993" t="s">
        <v>5117</v>
      </c>
    </row>
    <row r="27994">
      <c r="H27994" t="s">
        <v>5117</v>
      </c>
    </row>
    <row r="27995">
      <c r="H27995" t="s">
        <v>5117</v>
      </c>
    </row>
    <row r="27996">
      <c r="H27996" t="s">
        <v>5117</v>
      </c>
    </row>
    <row r="27997">
      <c r="H27997" t="s">
        <v>5117</v>
      </c>
    </row>
    <row r="27998">
      <c r="H27998" t="s">
        <v>5117</v>
      </c>
    </row>
    <row r="27999">
      <c r="H27999" t="s">
        <v>5117</v>
      </c>
    </row>
    <row r="28000">
      <c r="H28000" t="s">
        <v>5117</v>
      </c>
    </row>
    <row r="28001">
      <c r="H28001" t="s">
        <v>5117</v>
      </c>
    </row>
    <row r="28002">
      <c r="H28002" t="s">
        <v>5117</v>
      </c>
    </row>
    <row r="28003">
      <c r="H28003" t="s">
        <v>5117</v>
      </c>
    </row>
    <row r="28004">
      <c r="H28004" t="s">
        <v>5117</v>
      </c>
    </row>
    <row r="28005">
      <c r="H28005" t="s">
        <v>5117</v>
      </c>
    </row>
    <row r="28006">
      <c r="H28006" t="s">
        <v>5117</v>
      </c>
    </row>
    <row r="28007">
      <c r="H28007" t="s">
        <v>5117</v>
      </c>
    </row>
    <row r="28008">
      <c r="H28008" t="s">
        <v>5117</v>
      </c>
    </row>
    <row r="28009">
      <c r="H28009" t="s">
        <v>5117</v>
      </c>
    </row>
    <row r="28010">
      <c r="H28010" t="s">
        <v>5117</v>
      </c>
    </row>
    <row r="28011">
      <c r="H28011" t="s">
        <v>5117</v>
      </c>
    </row>
    <row r="28012">
      <c r="H28012" t="s">
        <v>5117</v>
      </c>
    </row>
    <row r="28013">
      <c r="H28013" t="s">
        <v>5117</v>
      </c>
    </row>
    <row r="28014">
      <c r="H28014" t="s">
        <v>5117</v>
      </c>
    </row>
    <row r="28015">
      <c r="H28015" t="s">
        <v>5117</v>
      </c>
    </row>
    <row r="28016">
      <c r="H28016" t="s">
        <v>5117</v>
      </c>
    </row>
    <row r="28017">
      <c r="H28017" t="s">
        <v>5117</v>
      </c>
    </row>
    <row r="28018">
      <c r="H28018" t="s">
        <v>5117</v>
      </c>
    </row>
    <row r="28019">
      <c r="H28019" t="s">
        <v>5117</v>
      </c>
    </row>
    <row r="28020">
      <c r="H28020" t="s">
        <v>5117</v>
      </c>
    </row>
    <row r="28021">
      <c r="H28021" t="s">
        <v>5117</v>
      </c>
    </row>
    <row r="28022">
      <c r="H28022" t="s">
        <v>5117</v>
      </c>
    </row>
    <row r="28023">
      <c r="H28023" t="s">
        <v>5117</v>
      </c>
    </row>
    <row r="28024">
      <c r="H28024" t="s">
        <v>5117</v>
      </c>
    </row>
    <row r="28025">
      <c r="H28025" t="s">
        <v>5117</v>
      </c>
    </row>
    <row r="28026">
      <c r="H28026" t="s">
        <v>5117</v>
      </c>
    </row>
    <row r="28027">
      <c r="H28027" t="s">
        <v>5117</v>
      </c>
    </row>
    <row r="28028">
      <c r="H28028" t="s">
        <v>5117</v>
      </c>
    </row>
    <row r="28029">
      <c r="H28029" t="s">
        <v>5117</v>
      </c>
    </row>
    <row r="28030">
      <c r="H28030" t="s">
        <v>5117</v>
      </c>
    </row>
    <row r="28031">
      <c r="H28031" t="s">
        <v>5117</v>
      </c>
    </row>
    <row r="28032">
      <c r="H28032" t="s">
        <v>5117</v>
      </c>
    </row>
    <row r="28033">
      <c r="H28033" t="s">
        <v>5117</v>
      </c>
    </row>
    <row r="28034">
      <c r="H28034" t="s">
        <v>5117</v>
      </c>
    </row>
    <row r="28035">
      <c r="H28035" t="s">
        <v>5117</v>
      </c>
    </row>
    <row r="28036">
      <c r="H28036" t="s">
        <v>5117</v>
      </c>
    </row>
    <row r="28037">
      <c r="H28037" t="s">
        <v>5117</v>
      </c>
    </row>
    <row r="28038">
      <c r="H28038" t="s">
        <v>5117</v>
      </c>
    </row>
    <row r="28039">
      <c r="H28039" t="s">
        <v>5117</v>
      </c>
    </row>
    <row r="28040">
      <c r="H28040" t="s">
        <v>5117</v>
      </c>
    </row>
    <row r="28041">
      <c r="H28041" t="s">
        <v>5117</v>
      </c>
    </row>
    <row r="28042">
      <c r="H28042" t="s">
        <v>5117</v>
      </c>
    </row>
    <row r="28043">
      <c r="H28043" t="s">
        <v>5117</v>
      </c>
    </row>
    <row r="28044">
      <c r="H28044" t="s">
        <v>5117</v>
      </c>
    </row>
    <row r="28045">
      <c r="H28045" t="s">
        <v>5117</v>
      </c>
    </row>
    <row r="28046">
      <c r="H28046" t="s">
        <v>5117</v>
      </c>
    </row>
    <row r="28047">
      <c r="H28047" t="s">
        <v>5117</v>
      </c>
    </row>
    <row r="28048">
      <c r="H28048" t="s">
        <v>5117</v>
      </c>
    </row>
    <row r="28049">
      <c r="H28049" t="s">
        <v>5117</v>
      </c>
    </row>
    <row r="28050">
      <c r="H28050" t="s">
        <v>5117</v>
      </c>
    </row>
    <row r="28051">
      <c r="H28051" t="s">
        <v>5117</v>
      </c>
    </row>
    <row r="28052">
      <c r="H28052" t="s">
        <v>5117</v>
      </c>
    </row>
    <row r="28053">
      <c r="H28053" t="s">
        <v>5117</v>
      </c>
    </row>
    <row r="28054">
      <c r="H28054" t="s">
        <v>5117</v>
      </c>
    </row>
    <row r="28055">
      <c r="H28055" t="s">
        <v>5117</v>
      </c>
    </row>
    <row r="28056">
      <c r="H28056" t="s">
        <v>5117</v>
      </c>
    </row>
    <row r="28057">
      <c r="H28057" t="s">
        <v>5117</v>
      </c>
    </row>
    <row r="28058">
      <c r="H28058" t="s">
        <v>5117</v>
      </c>
    </row>
    <row r="28059">
      <c r="H28059" t="s">
        <v>5117</v>
      </c>
    </row>
    <row r="28060">
      <c r="H28060" t="s">
        <v>5117</v>
      </c>
    </row>
    <row r="28061">
      <c r="H28061" t="s">
        <v>5117</v>
      </c>
    </row>
    <row r="28062">
      <c r="H28062" t="s">
        <v>5117</v>
      </c>
    </row>
    <row r="28063">
      <c r="H28063" t="s">
        <v>5117</v>
      </c>
    </row>
    <row r="28064">
      <c r="H28064" t="s">
        <v>5117</v>
      </c>
    </row>
    <row r="28065">
      <c r="H28065" t="s">
        <v>5117</v>
      </c>
    </row>
    <row r="28066">
      <c r="H28066" t="s">
        <v>5117</v>
      </c>
    </row>
    <row r="28067">
      <c r="H28067" t="s">
        <v>5117</v>
      </c>
    </row>
    <row r="28068">
      <c r="H28068" t="s">
        <v>5117</v>
      </c>
    </row>
    <row r="28069">
      <c r="H28069" t="s">
        <v>5117</v>
      </c>
    </row>
    <row r="28070">
      <c r="H28070" t="s">
        <v>5117</v>
      </c>
    </row>
    <row r="28071">
      <c r="H28071" t="s">
        <v>5117</v>
      </c>
    </row>
    <row r="28072">
      <c r="H28072" t="s">
        <v>5117</v>
      </c>
    </row>
    <row r="28073">
      <c r="H28073" t="s">
        <v>5117</v>
      </c>
    </row>
    <row r="28074">
      <c r="H28074" t="s">
        <v>5117</v>
      </c>
    </row>
    <row r="28075">
      <c r="H28075" t="s">
        <v>5117</v>
      </c>
    </row>
    <row r="28076">
      <c r="H28076" t="s">
        <v>5117</v>
      </c>
    </row>
    <row r="28077">
      <c r="H28077" t="s">
        <v>5117</v>
      </c>
    </row>
    <row r="28078">
      <c r="H28078" t="s">
        <v>5117</v>
      </c>
    </row>
    <row r="28079">
      <c r="H28079" t="s">
        <v>5117</v>
      </c>
    </row>
    <row r="28080">
      <c r="H28080" t="s">
        <v>5117</v>
      </c>
    </row>
    <row r="28081">
      <c r="H28081" t="s">
        <v>5117</v>
      </c>
    </row>
    <row r="28082">
      <c r="H28082" t="s">
        <v>5117</v>
      </c>
    </row>
    <row r="28083">
      <c r="H28083" t="s">
        <v>5117</v>
      </c>
    </row>
    <row r="28084">
      <c r="H28084" t="s">
        <v>5117</v>
      </c>
    </row>
    <row r="28085">
      <c r="H28085" t="s">
        <v>5117</v>
      </c>
    </row>
    <row r="28086">
      <c r="H28086" t="s">
        <v>5117</v>
      </c>
    </row>
    <row r="28087">
      <c r="H28087" t="s">
        <v>5117</v>
      </c>
    </row>
    <row r="28088">
      <c r="H28088" t="s">
        <v>5117</v>
      </c>
    </row>
    <row r="28089">
      <c r="H28089" t="s">
        <v>5117</v>
      </c>
    </row>
    <row r="28090">
      <c r="H28090" t="s">
        <v>5117</v>
      </c>
    </row>
    <row r="28091">
      <c r="H28091" t="s">
        <v>5117</v>
      </c>
    </row>
    <row r="28092">
      <c r="H28092" t="s">
        <v>5117</v>
      </c>
    </row>
    <row r="28093">
      <c r="H28093" t="s">
        <v>5117</v>
      </c>
    </row>
    <row r="28094">
      <c r="H28094" t="s">
        <v>5117</v>
      </c>
    </row>
    <row r="28095">
      <c r="H28095" t="s">
        <v>5117</v>
      </c>
    </row>
    <row r="28096">
      <c r="H28096" t="s">
        <v>5117</v>
      </c>
    </row>
    <row r="28097">
      <c r="H28097" t="s">
        <v>5117</v>
      </c>
    </row>
    <row r="28098">
      <c r="H28098" t="s">
        <v>5117</v>
      </c>
    </row>
    <row r="28099">
      <c r="H28099" t="s">
        <v>5117</v>
      </c>
    </row>
    <row r="28100">
      <c r="H28100" t="s">
        <v>5117</v>
      </c>
    </row>
    <row r="28101">
      <c r="H28101" t="s">
        <v>5117</v>
      </c>
    </row>
    <row r="28102">
      <c r="H28102" t="s">
        <v>5117</v>
      </c>
    </row>
    <row r="28103">
      <c r="H28103" t="s">
        <v>5117</v>
      </c>
    </row>
    <row r="28104">
      <c r="H28104" t="s">
        <v>5117</v>
      </c>
    </row>
    <row r="28105">
      <c r="H28105" t="s">
        <v>5117</v>
      </c>
    </row>
    <row r="28106">
      <c r="H28106" t="s">
        <v>5117</v>
      </c>
    </row>
    <row r="28107">
      <c r="H28107" t="s">
        <v>5117</v>
      </c>
    </row>
    <row r="28108">
      <c r="H28108" t="s">
        <v>5117</v>
      </c>
    </row>
    <row r="28109">
      <c r="H28109" t="s">
        <v>5117</v>
      </c>
    </row>
    <row r="28110">
      <c r="H28110" t="s">
        <v>5117</v>
      </c>
    </row>
    <row r="28111">
      <c r="H28111" t="s">
        <v>5117</v>
      </c>
    </row>
    <row r="28112">
      <c r="H28112" t="s">
        <v>5117</v>
      </c>
    </row>
    <row r="28113">
      <c r="H28113" t="s">
        <v>5117</v>
      </c>
    </row>
    <row r="28114">
      <c r="H28114" t="s">
        <v>5117</v>
      </c>
    </row>
    <row r="28115">
      <c r="H28115" t="s">
        <v>5117</v>
      </c>
    </row>
    <row r="28116">
      <c r="H28116" t="s">
        <v>5117</v>
      </c>
    </row>
    <row r="28117">
      <c r="H28117" t="s">
        <v>5117</v>
      </c>
    </row>
    <row r="28118">
      <c r="H28118" t="s">
        <v>5117</v>
      </c>
    </row>
    <row r="28119">
      <c r="H28119" t="s">
        <v>5117</v>
      </c>
    </row>
    <row r="28120">
      <c r="H28120" t="s">
        <v>5117</v>
      </c>
    </row>
    <row r="28121">
      <c r="H28121" t="s">
        <v>5117</v>
      </c>
    </row>
    <row r="28122">
      <c r="H28122" t="s">
        <v>5117</v>
      </c>
    </row>
    <row r="28123">
      <c r="H28123" t="s">
        <v>5117</v>
      </c>
    </row>
    <row r="28124">
      <c r="H28124" t="s">
        <v>5117</v>
      </c>
    </row>
    <row r="28125">
      <c r="H28125" t="s">
        <v>5117</v>
      </c>
    </row>
    <row r="28126">
      <c r="H28126" t="s">
        <v>5117</v>
      </c>
    </row>
    <row r="28127">
      <c r="H28127" t="s">
        <v>5117</v>
      </c>
    </row>
    <row r="28128">
      <c r="H28128" t="s">
        <v>5117</v>
      </c>
    </row>
    <row r="28129">
      <c r="H28129" t="s">
        <v>5117</v>
      </c>
    </row>
    <row r="28130">
      <c r="H28130" t="s">
        <v>5117</v>
      </c>
    </row>
    <row r="28131">
      <c r="H28131" t="s">
        <v>5117</v>
      </c>
    </row>
    <row r="28132">
      <c r="H28132" t="s">
        <v>5117</v>
      </c>
    </row>
    <row r="28133">
      <c r="H28133" t="s">
        <v>5117</v>
      </c>
    </row>
    <row r="28134">
      <c r="H28134" t="s">
        <v>5117</v>
      </c>
    </row>
    <row r="28135">
      <c r="H28135" t="s">
        <v>5117</v>
      </c>
    </row>
    <row r="28136">
      <c r="H28136" t="s">
        <v>5117</v>
      </c>
    </row>
    <row r="28137">
      <c r="H28137" t="s">
        <v>5117</v>
      </c>
    </row>
    <row r="28138">
      <c r="H28138" t="s">
        <v>5117</v>
      </c>
    </row>
    <row r="28139">
      <c r="H28139" t="s">
        <v>5117</v>
      </c>
    </row>
    <row r="28140">
      <c r="H28140" t="s">
        <v>5117</v>
      </c>
    </row>
    <row r="28141">
      <c r="H28141" t="s">
        <v>5117</v>
      </c>
    </row>
    <row r="28142">
      <c r="H28142" t="s">
        <v>5117</v>
      </c>
    </row>
    <row r="28143">
      <c r="H28143" t="s">
        <v>5117</v>
      </c>
    </row>
    <row r="28144">
      <c r="H28144" t="s">
        <v>5117</v>
      </c>
    </row>
    <row r="28145">
      <c r="H28145" t="s">
        <v>5117</v>
      </c>
    </row>
    <row r="28146">
      <c r="H28146" t="s">
        <v>5117</v>
      </c>
    </row>
    <row r="28147">
      <c r="H28147" t="s">
        <v>5117</v>
      </c>
    </row>
    <row r="28148">
      <c r="H28148" t="s">
        <v>5117</v>
      </c>
    </row>
    <row r="28149">
      <c r="H28149" t="s">
        <v>5117</v>
      </c>
    </row>
    <row r="28150">
      <c r="H28150" t="s">
        <v>5117</v>
      </c>
    </row>
    <row r="28151">
      <c r="H28151" t="s">
        <v>5117</v>
      </c>
    </row>
    <row r="28152">
      <c r="H28152" t="s">
        <v>5117</v>
      </c>
    </row>
    <row r="28153">
      <c r="H28153" t="s">
        <v>5117</v>
      </c>
    </row>
    <row r="28154">
      <c r="H28154" t="s">
        <v>5117</v>
      </c>
    </row>
    <row r="28155">
      <c r="H28155" t="s">
        <v>5117</v>
      </c>
    </row>
    <row r="28156">
      <c r="H28156" t="s">
        <v>5117</v>
      </c>
    </row>
    <row r="28157">
      <c r="H28157" t="s">
        <v>5117</v>
      </c>
    </row>
    <row r="28158">
      <c r="H28158" t="s">
        <v>5117</v>
      </c>
    </row>
    <row r="28159">
      <c r="H28159" t="s">
        <v>5117</v>
      </c>
    </row>
    <row r="28160">
      <c r="H28160" t="s">
        <v>5117</v>
      </c>
    </row>
    <row r="28161">
      <c r="H28161" t="s">
        <v>5117</v>
      </c>
    </row>
    <row r="28162">
      <c r="H28162" t="s">
        <v>5117</v>
      </c>
    </row>
    <row r="28163">
      <c r="H28163" t="s">
        <v>5117</v>
      </c>
    </row>
    <row r="28164">
      <c r="H28164" t="s">
        <v>5117</v>
      </c>
    </row>
    <row r="28165">
      <c r="H28165" t="s">
        <v>5117</v>
      </c>
    </row>
    <row r="28166">
      <c r="H28166" t="s">
        <v>5117</v>
      </c>
    </row>
    <row r="28167">
      <c r="H28167" t="s">
        <v>5117</v>
      </c>
    </row>
    <row r="28168">
      <c r="H28168" t="s">
        <v>5117</v>
      </c>
    </row>
    <row r="28169">
      <c r="H28169" t="s">
        <v>5117</v>
      </c>
    </row>
    <row r="28170">
      <c r="H28170" t="s">
        <v>5117</v>
      </c>
    </row>
    <row r="28171">
      <c r="H28171" t="s">
        <v>5117</v>
      </c>
    </row>
    <row r="28172">
      <c r="H28172" t="s">
        <v>5117</v>
      </c>
    </row>
    <row r="28173">
      <c r="H28173" t="s">
        <v>5117</v>
      </c>
    </row>
    <row r="28174">
      <c r="H28174" t="s">
        <v>5117</v>
      </c>
    </row>
    <row r="28175">
      <c r="H28175" t="s">
        <v>5117</v>
      </c>
    </row>
    <row r="28176">
      <c r="H28176" t="s">
        <v>5117</v>
      </c>
    </row>
    <row r="28177">
      <c r="H28177" t="s">
        <v>5117</v>
      </c>
    </row>
    <row r="28178">
      <c r="H28178" t="s">
        <v>5117</v>
      </c>
    </row>
    <row r="28179">
      <c r="H28179" t="s">
        <v>5117</v>
      </c>
    </row>
    <row r="28180">
      <c r="H28180" t="s">
        <v>5117</v>
      </c>
    </row>
    <row r="28181">
      <c r="H28181" t="s">
        <v>5117</v>
      </c>
    </row>
    <row r="28182">
      <c r="H28182" t="s">
        <v>5117</v>
      </c>
    </row>
    <row r="28183">
      <c r="H28183" t="s">
        <v>5117</v>
      </c>
    </row>
    <row r="28184">
      <c r="H28184" t="s">
        <v>5117</v>
      </c>
    </row>
    <row r="28185">
      <c r="H28185" t="s">
        <v>5117</v>
      </c>
    </row>
    <row r="28186">
      <c r="H28186" t="s">
        <v>5117</v>
      </c>
    </row>
    <row r="28187">
      <c r="H28187" t="s">
        <v>5117</v>
      </c>
    </row>
    <row r="28188">
      <c r="H28188" t="s">
        <v>5117</v>
      </c>
    </row>
    <row r="28189">
      <c r="H28189" t="s">
        <v>5117</v>
      </c>
    </row>
    <row r="28190">
      <c r="H28190" t="s">
        <v>5117</v>
      </c>
    </row>
    <row r="28191">
      <c r="H28191" t="s">
        <v>5117</v>
      </c>
    </row>
    <row r="28192">
      <c r="H28192" t="s">
        <v>5117</v>
      </c>
    </row>
    <row r="28193">
      <c r="H28193" t="s">
        <v>5117</v>
      </c>
    </row>
    <row r="28194">
      <c r="H28194" t="s">
        <v>5117</v>
      </c>
    </row>
    <row r="28195">
      <c r="H28195" t="s">
        <v>5117</v>
      </c>
    </row>
    <row r="28196">
      <c r="H28196" t="s">
        <v>5117</v>
      </c>
    </row>
    <row r="28197">
      <c r="H28197" t="s">
        <v>5117</v>
      </c>
    </row>
    <row r="28198">
      <c r="H28198" t="s">
        <v>5117</v>
      </c>
    </row>
    <row r="28199">
      <c r="H28199" t="s">
        <v>5117</v>
      </c>
    </row>
    <row r="28200">
      <c r="H28200" t="s">
        <v>5117</v>
      </c>
    </row>
    <row r="28201">
      <c r="H28201" t="s">
        <v>5117</v>
      </c>
    </row>
    <row r="28202">
      <c r="H28202" t="s">
        <v>5117</v>
      </c>
    </row>
    <row r="28203">
      <c r="H28203" t="s">
        <v>5117</v>
      </c>
    </row>
    <row r="28204">
      <c r="H28204" t="s">
        <v>5117</v>
      </c>
    </row>
    <row r="28205">
      <c r="H28205" t="s">
        <v>5117</v>
      </c>
    </row>
    <row r="28206">
      <c r="H28206" t="s">
        <v>5117</v>
      </c>
    </row>
    <row r="28207">
      <c r="H28207" t="s">
        <v>5117</v>
      </c>
    </row>
    <row r="28208">
      <c r="H28208" t="s">
        <v>5117</v>
      </c>
    </row>
    <row r="28209">
      <c r="H28209" t="s">
        <v>5117</v>
      </c>
    </row>
    <row r="28210">
      <c r="H28210" t="s">
        <v>5117</v>
      </c>
    </row>
    <row r="28211">
      <c r="H28211" t="s">
        <v>5117</v>
      </c>
    </row>
    <row r="28212">
      <c r="H28212" t="s">
        <v>5117</v>
      </c>
    </row>
    <row r="28213">
      <c r="H28213" t="s">
        <v>5117</v>
      </c>
    </row>
    <row r="28214">
      <c r="H28214" t="s">
        <v>5117</v>
      </c>
    </row>
    <row r="28215">
      <c r="H28215" t="s">
        <v>5117</v>
      </c>
    </row>
    <row r="28216">
      <c r="H28216" t="s">
        <v>5117</v>
      </c>
    </row>
    <row r="28217">
      <c r="H28217" t="s">
        <v>5117</v>
      </c>
    </row>
    <row r="28218">
      <c r="H28218" t="s">
        <v>5117</v>
      </c>
    </row>
    <row r="28219">
      <c r="H28219" t="s">
        <v>5117</v>
      </c>
    </row>
    <row r="28220">
      <c r="H28220" t="s">
        <v>5117</v>
      </c>
    </row>
    <row r="28221">
      <c r="H28221" t="s">
        <v>5117</v>
      </c>
    </row>
    <row r="28222">
      <c r="H28222" t="s">
        <v>5117</v>
      </c>
    </row>
    <row r="28223">
      <c r="H28223" t="s">
        <v>5117</v>
      </c>
    </row>
    <row r="28224">
      <c r="H28224" t="s">
        <v>5117</v>
      </c>
    </row>
    <row r="28225">
      <c r="H28225" t="s">
        <v>5117</v>
      </c>
    </row>
    <row r="28226">
      <c r="H28226" t="s">
        <v>5117</v>
      </c>
    </row>
    <row r="28227">
      <c r="H28227" t="s">
        <v>5117</v>
      </c>
    </row>
    <row r="28228">
      <c r="H28228" t="s">
        <v>5117</v>
      </c>
    </row>
    <row r="28229">
      <c r="H28229" t="s">
        <v>5117</v>
      </c>
    </row>
    <row r="28230">
      <c r="H28230" t="s">
        <v>5117</v>
      </c>
    </row>
    <row r="28231">
      <c r="H28231" t="s">
        <v>5117</v>
      </c>
    </row>
    <row r="28232">
      <c r="H28232" t="s">
        <v>5117</v>
      </c>
    </row>
    <row r="28233">
      <c r="H28233" t="s">
        <v>5117</v>
      </c>
    </row>
    <row r="28234">
      <c r="H28234" t="s">
        <v>5117</v>
      </c>
    </row>
    <row r="28235">
      <c r="H28235" t="s">
        <v>5117</v>
      </c>
    </row>
    <row r="28236">
      <c r="H28236" t="s">
        <v>5117</v>
      </c>
    </row>
    <row r="28237">
      <c r="H28237" t="s">
        <v>5117</v>
      </c>
    </row>
    <row r="28238">
      <c r="H28238" t="s">
        <v>5117</v>
      </c>
    </row>
    <row r="28239">
      <c r="H28239" t="s">
        <v>5117</v>
      </c>
    </row>
    <row r="28240">
      <c r="H28240" t="s">
        <v>5117</v>
      </c>
    </row>
    <row r="28241">
      <c r="H28241" t="s">
        <v>5117</v>
      </c>
    </row>
    <row r="28242">
      <c r="H28242" t="s">
        <v>5117</v>
      </c>
    </row>
    <row r="28243">
      <c r="H28243" t="s">
        <v>5117</v>
      </c>
    </row>
    <row r="28244">
      <c r="H28244" t="s">
        <v>5117</v>
      </c>
    </row>
    <row r="28245">
      <c r="H28245" t="s">
        <v>5117</v>
      </c>
    </row>
    <row r="28246">
      <c r="H28246" t="s">
        <v>5117</v>
      </c>
    </row>
    <row r="28247">
      <c r="H28247" t="s">
        <v>5117</v>
      </c>
    </row>
    <row r="28248">
      <c r="H28248" t="s">
        <v>5117</v>
      </c>
    </row>
    <row r="28249">
      <c r="H28249" t="s">
        <v>5117</v>
      </c>
    </row>
    <row r="28250">
      <c r="H28250" t="s">
        <v>5117</v>
      </c>
    </row>
    <row r="28251">
      <c r="H28251" t="s">
        <v>5117</v>
      </c>
    </row>
    <row r="28252">
      <c r="H28252" t="s">
        <v>5117</v>
      </c>
    </row>
    <row r="28253">
      <c r="H28253" t="s">
        <v>5117</v>
      </c>
    </row>
    <row r="28254">
      <c r="H28254" t="s">
        <v>5117</v>
      </c>
    </row>
    <row r="28255">
      <c r="H28255" t="s">
        <v>5117</v>
      </c>
    </row>
    <row r="28256">
      <c r="H28256" t="s">
        <v>5117</v>
      </c>
    </row>
    <row r="28257">
      <c r="H28257" t="s">
        <v>5117</v>
      </c>
    </row>
    <row r="28258">
      <c r="H28258" t="s">
        <v>5117</v>
      </c>
    </row>
    <row r="28259">
      <c r="H28259" t="s">
        <v>5117</v>
      </c>
    </row>
    <row r="28260">
      <c r="H28260" t="s">
        <v>5117</v>
      </c>
    </row>
    <row r="28261">
      <c r="H28261" t="s">
        <v>5117</v>
      </c>
    </row>
    <row r="28262">
      <c r="H28262" t="s">
        <v>5117</v>
      </c>
    </row>
    <row r="28263">
      <c r="H28263" t="s">
        <v>5117</v>
      </c>
    </row>
    <row r="28264">
      <c r="H28264" t="s">
        <v>5117</v>
      </c>
    </row>
    <row r="28265">
      <c r="H28265" t="s">
        <v>5117</v>
      </c>
    </row>
    <row r="28266">
      <c r="H28266" t="s">
        <v>5117</v>
      </c>
    </row>
    <row r="28267">
      <c r="H28267" t="s">
        <v>5117</v>
      </c>
    </row>
    <row r="28268">
      <c r="H28268" t="s">
        <v>5117</v>
      </c>
    </row>
    <row r="28269">
      <c r="H28269" t="s">
        <v>5117</v>
      </c>
    </row>
    <row r="28270">
      <c r="H28270" t="s">
        <v>5117</v>
      </c>
    </row>
    <row r="28271">
      <c r="H28271" t="s">
        <v>5117</v>
      </c>
    </row>
    <row r="28272">
      <c r="H28272" t="s">
        <v>5117</v>
      </c>
    </row>
    <row r="28273">
      <c r="H28273" t="s">
        <v>5117</v>
      </c>
    </row>
    <row r="28274">
      <c r="H28274" t="s">
        <v>5117</v>
      </c>
    </row>
    <row r="28275">
      <c r="H28275" t="s">
        <v>5117</v>
      </c>
    </row>
    <row r="28276">
      <c r="H28276" t="s">
        <v>5117</v>
      </c>
    </row>
    <row r="28277">
      <c r="H28277" t="s">
        <v>5117</v>
      </c>
    </row>
    <row r="28278">
      <c r="H28278" t="s">
        <v>5117</v>
      </c>
    </row>
    <row r="28279">
      <c r="H28279" t="s">
        <v>5117</v>
      </c>
    </row>
    <row r="28280">
      <c r="H28280" t="s">
        <v>5117</v>
      </c>
    </row>
    <row r="28281">
      <c r="H28281" t="s">
        <v>5117</v>
      </c>
    </row>
    <row r="28282">
      <c r="H28282" t="s">
        <v>5117</v>
      </c>
    </row>
    <row r="28283">
      <c r="H28283" t="s">
        <v>5117</v>
      </c>
    </row>
    <row r="28284">
      <c r="H28284" t="s">
        <v>5117</v>
      </c>
    </row>
    <row r="28285">
      <c r="H28285" t="s">
        <v>5117</v>
      </c>
    </row>
    <row r="28286">
      <c r="H28286" t="s">
        <v>5117</v>
      </c>
    </row>
    <row r="28287">
      <c r="H28287" t="s">
        <v>5117</v>
      </c>
    </row>
    <row r="28288">
      <c r="H28288" t="s">
        <v>5117</v>
      </c>
    </row>
    <row r="28289">
      <c r="H28289" t="s">
        <v>5117</v>
      </c>
    </row>
    <row r="28290">
      <c r="H28290" t="s">
        <v>5117</v>
      </c>
    </row>
    <row r="28291">
      <c r="H28291" t="s">
        <v>5117</v>
      </c>
    </row>
    <row r="28292">
      <c r="H28292" t="s">
        <v>5117</v>
      </c>
    </row>
    <row r="28293">
      <c r="H28293" t="s">
        <v>5117</v>
      </c>
    </row>
    <row r="28294">
      <c r="H28294" t="s">
        <v>5117</v>
      </c>
    </row>
    <row r="28295">
      <c r="H28295" t="s">
        <v>5117</v>
      </c>
    </row>
    <row r="28296">
      <c r="H28296" t="s">
        <v>5117</v>
      </c>
    </row>
    <row r="28297">
      <c r="H28297" t="s">
        <v>5117</v>
      </c>
    </row>
    <row r="28298">
      <c r="H28298" t="s">
        <v>5117</v>
      </c>
    </row>
    <row r="28299">
      <c r="H28299" t="s">
        <v>5117</v>
      </c>
    </row>
    <row r="28300">
      <c r="H28300" t="s">
        <v>5117</v>
      </c>
    </row>
    <row r="28301">
      <c r="H28301" t="s">
        <v>5117</v>
      </c>
    </row>
    <row r="28302">
      <c r="H28302" t="s">
        <v>5117</v>
      </c>
    </row>
    <row r="28303">
      <c r="H28303" t="s">
        <v>5117</v>
      </c>
    </row>
    <row r="28304">
      <c r="H28304" t="s">
        <v>5117</v>
      </c>
    </row>
    <row r="28305">
      <c r="H28305" t="s">
        <v>5117</v>
      </c>
    </row>
    <row r="28306">
      <c r="H28306" t="s">
        <v>5117</v>
      </c>
    </row>
    <row r="28307">
      <c r="H28307" t="s">
        <v>5117</v>
      </c>
    </row>
    <row r="28308">
      <c r="H28308" t="s">
        <v>5117</v>
      </c>
    </row>
    <row r="28309">
      <c r="H28309" t="s">
        <v>5117</v>
      </c>
    </row>
    <row r="28310">
      <c r="H28310" t="s">
        <v>5117</v>
      </c>
    </row>
    <row r="28311">
      <c r="H28311" t="s">
        <v>5117</v>
      </c>
    </row>
    <row r="28312">
      <c r="H28312" t="s">
        <v>5117</v>
      </c>
    </row>
    <row r="28313">
      <c r="H28313" t="s">
        <v>5117</v>
      </c>
    </row>
    <row r="28314">
      <c r="H28314" t="s">
        <v>5117</v>
      </c>
    </row>
    <row r="28315">
      <c r="H28315" t="s">
        <v>5117</v>
      </c>
    </row>
    <row r="28316">
      <c r="H28316" t="s">
        <v>5117</v>
      </c>
    </row>
    <row r="28317">
      <c r="H28317" t="s">
        <v>5117</v>
      </c>
    </row>
    <row r="28318">
      <c r="H28318" t="s">
        <v>5117</v>
      </c>
    </row>
    <row r="28319">
      <c r="H28319" t="s">
        <v>5117</v>
      </c>
    </row>
    <row r="28320">
      <c r="H28320" t="s">
        <v>5117</v>
      </c>
    </row>
    <row r="28321">
      <c r="H28321" t="s">
        <v>5117</v>
      </c>
    </row>
    <row r="28322">
      <c r="H28322" t="s">
        <v>5117</v>
      </c>
    </row>
    <row r="28323">
      <c r="H28323" t="s">
        <v>5117</v>
      </c>
    </row>
    <row r="28324">
      <c r="H28324" t="s">
        <v>5117</v>
      </c>
    </row>
    <row r="28325">
      <c r="H28325" t="s">
        <v>5117</v>
      </c>
    </row>
    <row r="28326">
      <c r="H28326" t="s">
        <v>5117</v>
      </c>
    </row>
    <row r="28327">
      <c r="H28327" t="s">
        <v>5117</v>
      </c>
    </row>
    <row r="28328">
      <c r="H28328" t="s">
        <v>5117</v>
      </c>
    </row>
    <row r="28329">
      <c r="H28329" t="s">
        <v>5117</v>
      </c>
    </row>
    <row r="28330">
      <c r="H28330" t="s">
        <v>5117</v>
      </c>
    </row>
    <row r="28331">
      <c r="H28331" t="s">
        <v>5117</v>
      </c>
    </row>
    <row r="28332">
      <c r="H28332" t="s">
        <v>5117</v>
      </c>
    </row>
    <row r="28333">
      <c r="H28333" t="s">
        <v>5117</v>
      </c>
    </row>
    <row r="28334">
      <c r="H28334" t="s">
        <v>5117</v>
      </c>
    </row>
    <row r="28335">
      <c r="H28335" t="s">
        <v>5117</v>
      </c>
    </row>
    <row r="28336">
      <c r="H28336" t="s">
        <v>5117</v>
      </c>
    </row>
    <row r="28337">
      <c r="H28337" t="s">
        <v>5117</v>
      </c>
    </row>
    <row r="28338">
      <c r="H28338" t="s">
        <v>5117</v>
      </c>
    </row>
    <row r="28339">
      <c r="H28339" t="s">
        <v>5117</v>
      </c>
    </row>
    <row r="28340">
      <c r="H28340" t="s">
        <v>5117</v>
      </c>
    </row>
    <row r="28341">
      <c r="H28341" t="s">
        <v>5117</v>
      </c>
    </row>
    <row r="28342">
      <c r="H28342" t="s">
        <v>5117</v>
      </c>
    </row>
    <row r="28343">
      <c r="H28343" t="s">
        <v>5117</v>
      </c>
    </row>
    <row r="28344">
      <c r="H28344" t="s">
        <v>5117</v>
      </c>
    </row>
    <row r="28345">
      <c r="H28345" t="s">
        <v>5117</v>
      </c>
    </row>
    <row r="28346">
      <c r="H28346" t="s">
        <v>5117</v>
      </c>
    </row>
    <row r="28347">
      <c r="H28347" t="s">
        <v>5117</v>
      </c>
    </row>
    <row r="28348">
      <c r="H28348" t="s">
        <v>5117</v>
      </c>
    </row>
    <row r="28349">
      <c r="H28349" t="s">
        <v>5117</v>
      </c>
    </row>
    <row r="28350">
      <c r="H28350" t="s">
        <v>5117</v>
      </c>
    </row>
    <row r="28351">
      <c r="H28351" t="s">
        <v>5117</v>
      </c>
    </row>
    <row r="28352">
      <c r="H28352" t="s">
        <v>5117</v>
      </c>
    </row>
    <row r="28353">
      <c r="H28353" t="s">
        <v>5117</v>
      </c>
    </row>
    <row r="28354">
      <c r="H28354" t="s">
        <v>5117</v>
      </c>
    </row>
    <row r="28355">
      <c r="H28355" t="s">
        <v>5117</v>
      </c>
    </row>
    <row r="28356">
      <c r="H28356" t="s">
        <v>5117</v>
      </c>
    </row>
    <row r="28357">
      <c r="H28357" t="s">
        <v>5117</v>
      </c>
    </row>
    <row r="28358">
      <c r="H28358" t="s">
        <v>5117</v>
      </c>
    </row>
    <row r="28359">
      <c r="H28359" t="s">
        <v>5117</v>
      </c>
    </row>
    <row r="28360">
      <c r="H28360" t="s">
        <v>5117</v>
      </c>
    </row>
    <row r="28361">
      <c r="H28361" t="s">
        <v>5117</v>
      </c>
    </row>
    <row r="28362">
      <c r="H28362" t="s">
        <v>5117</v>
      </c>
    </row>
    <row r="28363">
      <c r="H28363" t="s">
        <v>5117</v>
      </c>
    </row>
    <row r="28364">
      <c r="H28364" t="s">
        <v>5117</v>
      </c>
    </row>
    <row r="28365">
      <c r="H28365" t="s">
        <v>5117</v>
      </c>
    </row>
    <row r="28366">
      <c r="H28366" t="s">
        <v>5117</v>
      </c>
    </row>
    <row r="28367">
      <c r="H28367" t="s">
        <v>5117</v>
      </c>
    </row>
    <row r="28368">
      <c r="H28368" t="s">
        <v>5117</v>
      </c>
    </row>
    <row r="28369">
      <c r="H28369" t="s">
        <v>5117</v>
      </c>
    </row>
    <row r="28370">
      <c r="H28370" t="s">
        <v>5117</v>
      </c>
    </row>
    <row r="28371">
      <c r="H28371" t="s">
        <v>5117</v>
      </c>
    </row>
    <row r="28372">
      <c r="H28372" t="s">
        <v>5117</v>
      </c>
    </row>
    <row r="28373">
      <c r="H28373" t="s">
        <v>5117</v>
      </c>
    </row>
    <row r="28374">
      <c r="H28374" t="s">
        <v>5117</v>
      </c>
    </row>
    <row r="28375">
      <c r="H28375" t="s">
        <v>5117</v>
      </c>
    </row>
    <row r="28376">
      <c r="H28376" t="s">
        <v>5117</v>
      </c>
    </row>
    <row r="28377">
      <c r="H28377" t="s">
        <v>5117</v>
      </c>
    </row>
    <row r="28378">
      <c r="H28378" t="s">
        <v>5117</v>
      </c>
    </row>
    <row r="28379">
      <c r="H28379" t="s">
        <v>5117</v>
      </c>
    </row>
    <row r="28380">
      <c r="H28380" t="s">
        <v>5117</v>
      </c>
    </row>
    <row r="28381">
      <c r="H28381" t="s">
        <v>5117</v>
      </c>
    </row>
    <row r="28382">
      <c r="H28382" t="s">
        <v>5117</v>
      </c>
    </row>
    <row r="28383">
      <c r="H28383" t="s">
        <v>5117</v>
      </c>
    </row>
    <row r="28384">
      <c r="H28384" t="s">
        <v>5117</v>
      </c>
    </row>
    <row r="28385">
      <c r="H28385" t="s">
        <v>5117</v>
      </c>
    </row>
    <row r="28386">
      <c r="H28386" t="s">
        <v>5117</v>
      </c>
    </row>
    <row r="28387">
      <c r="H28387" t="s">
        <v>5117</v>
      </c>
    </row>
    <row r="28388">
      <c r="H28388" t="s">
        <v>5117</v>
      </c>
    </row>
    <row r="28389">
      <c r="H28389" t="s">
        <v>5117</v>
      </c>
    </row>
    <row r="28390">
      <c r="H28390" t="s">
        <v>5117</v>
      </c>
    </row>
    <row r="28391">
      <c r="H28391" t="s">
        <v>5117</v>
      </c>
    </row>
    <row r="28392">
      <c r="H28392" t="s">
        <v>5117</v>
      </c>
    </row>
    <row r="28393">
      <c r="H28393" t="s">
        <v>5117</v>
      </c>
    </row>
    <row r="28394">
      <c r="H28394" t="s">
        <v>5117</v>
      </c>
    </row>
    <row r="28395">
      <c r="H28395" t="s">
        <v>5117</v>
      </c>
    </row>
    <row r="28396">
      <c r="H28396" t="s">
        <v>5117</v>
      </c>
    </row>
    <row r="28397">
      <c r="H28397" t="s">
        <v>5117</v>
      </c>
    </row>
    <row r="28398">
      <c r="H28398" t="s">
        <v>5117</v>
      </c>
    </row>
    <row r="28399">
      <c r="H28399" t="s">
        <v>5117</v>
      </c>
    </row>
    <row r="28400">
      <c r="H28400" t="s">
        <v>5117</v>
      </c>
    </row>
    <row r="28401">
      <c r="H28401" t="s">
        <v>5117</v>
      </c>
    </row>
    <row r="28402">
      <c r="H28402" t="s">
        <v>5117</v>
      </c>
    </row>
    <row r="28403">
      <c r="H28403" t="s">
        <v>5117</v>
      </c>
    </row>
    <row r="28404">
      <c r="H28404" t="s">
        <v>5117</v>
      </c>
    </row>
    <row r="28405">
      <c r="H28405" t="s">
        <v>5117</v>
      </c>
    </row>
    <row r="28406">
      <c r="H28406" t="s">
        <v>5117</v>
      </c>
    </row>
    <row r="28407">
      <c r="H28407" t="s">
        <v>5117</v>
      </c>
    </row>
    <row r="28408">
      <c r="H28408" t="s">
        <v>5117</v>
      </c>
    </row>
    <row r="28409">
      <c r="H28409" t="s">
        <v>5117</v>
      </c>
    </row>
    <row r="28410">
      <c r="H28410" t="s">
        <v>5117</v>
      </c>
    </row>
    <row r="28411">
      <c r="H28411" t="s">
        <v>5117</v>
      </c>
    </row>
    <row r="28412">
      <c r="H28412" t="s">
        <v>5117</v>
      </c>
    </row>
    <row r="28413">
      <c r="H28413" t="s">
        <v>5117</v>
      </c>
    </row>
    <row r="28414">
      <c r="H28414" t="s">
        <v>5117</v>
      </c>
    </row>
    <row r="28415">
      <c r="H28415" t="s">
        <v>5117</v>
      </c>
    </row>
    <row r="28416">
      <c r="H28416" t="s">
        <v>5117</v>
      </c>
    </row>
    <row r="28417">
      <c r="H28417" t="s">
        <v>5117</v>
      </c>
    </row>
    <row r="28418">
      <c r="H28418" t="s">
        <v>5117</v>
      </c>
    </row>
    <row r="28419">
      <c r="H28419" t="s">
        <v>5117</v>
      </c>
    </row>
    <row r="28420">
      <c r="H28420" t="s">
        <v>5117</v>
      </c>
    </row>
    <row r="28421">
      <c r="H28421" t="s">
        <v>5117</v>
      </c>
    </row>
    <row r="28422">
      <c r="H28422" t="s">
        <v>5117</v>
      </c>
    </row>
    <row r="28423">
      <c r="H28423" t="s">
        <v>5117</v>
      </c>
    </row>
    <row r="28424">
      <c r="H28424" t="s">
        <v>5117</v>
      </c>
    </row>
    <row r="28425">
      <c r="H28425" t="s">
        <v>5117</v>
      </c>
    </row>
    <row r="28426">
      <c r="H28426" t="s">
        <v>5117</v>
      </c>
    </row>
    <row r="28427">
      <c r="H28427" t="s">
        <v>5117</v>
      </c>
    </row>
    <row r="28428">
      <c r="H28428" t="s">
        <v>5117</v>
      </c>
    </row>
    <row r="28429">
      <c r="H28429" t="s">
        <v>5117</v>
      </c>
    </row>
    <row r="28430">
      <c r="H28430" t="s">
        <v>5117</v>
      </c>
    </row>
    <row r="28431">
      <c r="H28431" t="s">
        <v>5117</v>
      </c>
    </row>
    <row r="28432">
      <c r="H28432" t="s">
        <v>5117</v>
      </c>
    </row>
    <row r="28433">
      <c r="H28433" t="s">
        <v>5117</v>
      </c>
    </row>
    <row r="28434">
      <c r="H28434" t="s">
        <v>5117</v>
      </c>
    </row>
    <row r="28435">
      <c r="H28435" t="s">
        <v>5117</v>
      </c>
    </row>
    <row r="28436">
      <c r="H28436" t="s">
        <v>5117</v>
      </c>
    </row>
    <row r="28437">
      <c r="H28437" t="s">
        <v>5117</v>
      </c>
    </row>
    <row r="28438">
      <c r="H28438" t="s">
        <v>5117</v>
      </c>
    </row>
    <row r="28439">
      <c r="H28439" t="s">
        <v>5117</v>
      </c>
    </row>
    <row r="28440">
      <c r="H28440" t="s">
        <v>5117</v>
      </c>
    </row>
    <row r="28441">
      <c r="H28441" t="s">
        <v>5117</v>
      </c>
    </row>
    <row r="28442">
      <c r="H28442" t="s">
        <v>5117</v>
      </c>
    </row>
    <row r="28443">
      <c r="H28443" t="s">
        <v>5117</v>
      </c>
    </row>
    <row r="28444">
      <c r="H28444" t="s">
        <v>5117</v>
      </c>
    </row>
    <row r="28445">
      <c r="H28445" t="s">
        <v>5117</v>
      </c>
    </row>
    <row r="28446">
      <c r="H28446" t="s">
        <v>5117</v>
      </c>
    </row>
    <row r="28447">
      <c r="H28447" t="s">
        <v>5117</v>
      </c>
    </row>
    <row r="28448">
      <c r="H28448" t="s">
        <v>5117</v>
      </c>
    </row>
    <row r="28449">
      <c r="H28449" t="s">
        <v>5117</v>
      </c>
    </row>
    <row r="28450">
      <c r="H28450" t="s">
        <v>5117</v>
      </c>
    </row>
    <row r="28451">
      <c r="H28451" t="s">
        <v>5117</v>
      </c>
    </row>
    <row r="28452">
      <c r="H28452" t="s">
        <v>5117</v>
      </c>
    </row>
    <row r="28453">
      <c r="H28453" t="s">
        <v>5117</v>
      </c>
    </row>
    <row r="28454">
      <c r="H28454" t="s">
        <v>5117</v>
      </c>
    </row>
    <row r="28455">
      <c r="H28455" t="s">
        <v>5117</v>
      </c>
    </row>
    <row r="28456">
      <c r="H28456" t="s">
        <v>5117</v>
      </c>
    </row>
    <row r="28457">
      <c r="H28457" t="s">
        <v>5117</v>
      </c>
    </row>
    <row r="28458">
      <c r="H28458" t="s">
        <v>5117</v>
      </c>
    </row>
    <row r="28459">
      <c r="H28459" t="s">
        <v>5117</v>
      </c>
    </row>
    <row r="28460">
      <c r="H28460" t="s">
        <v>5117</v>
      </c>
    </row>
    <row r="28461">
      <c r="H28461" t="s">
        <v>5117</v>
      </c>
    </row>
    <row r="28462">
      <c r="H28462" t="s">
        <v>5117</v>
      </c>
    </row>
    <row r="28463">
      <c r="H28463" t="s">
        <v>5117</v>
      </c>
    </row>
    <row r="28464">
      <c r="H28464" t="s">
        <v>5117</v>
      </c>
    </row>
    <row r="28465">
      <c r="H28465" t="s">
        <v>5117</v>
      </c>
    </row>
    <row r="28466">
      <c r="H28466" t="s">
        <v>5117</v>
      </c>
    </row>
    <row r="28467">
      <c r="H28467" t="s">
        <v>5117</v>
      </c>
    </row>
    <row r="28468">
      <c r="H28468" t="s">
        <v>5117</v>
      </c>
    </row>
    <row r="28469">
      <c r="H28469" t="s">
        <v>5117</v>
      </c>
    </row>
    <row r="28470">
      <c r="H28470" t="s">
        <v>5117</v>
      </c>
    </row>
    <row r="28471">
      <c r="H28471" t="s">
        <v>5117</v>
      </c>
    </row>
    <row r="28472">
      <c r="H28472" t="s">
        <v>5117</v>
      </c>
    </row>
    <row r="28473">
      <c r="H28473" t="s">
        <v>5117</v>
      </c>
    </row>
    <row r="28474">
      <c r="H28474" t="s">
        <v>5117</v>
      </c>
    </row>
    <row r="28475">
      <c r="H28475" t="s">
        <v>5117</v>
      </c>
    </row>
    <row r="28476">
      <c r="H28476" t="s">
        <v>5117</v>
      </c>
    </row>
    <row r="28477">
      <c r="H28477" t="s">
        <v>5117</v>
      </c>
    </row>
    <row r="28478">
      <c r="H28478" t="s">
        <v>5117</v>
      </c>
    </row>
    <row r="28479">
      <c r="H28479" t="s">
        <v>5117</v>
      </c>
    </row>
    <row r="28480">
      <c r="H28480" t="s">
        <v>5117</v>
      </c>
    </row>
    <row r="28481">
      <c r="H28481" t="s">
        <v>5117</v>
      </c>
    </row>
    <row r="28482">
      <c r="H28482" t="s">
        <v>5117</v>
      </c>
    </row>
    <row r="28483">
      <c r="H28483" t="s">
        <v>5117</v>
      </c>
    </row>
    <row r="28484">
      <c r="H28484" t="s">
        <v>5117</v>
      </c>
    </row>
    <row r="28485">
      <c r="H28485" t="s">
        <v>5117</v>
      </c>
    </row>
    <row r="28486">
      <c r="H28486" t="s">
        <v>5117</v>
      </c>
    </row>
    <row r="28487">
      <c r="H28487" t="s">
        <v>5117</v>
      </c>
    </row>
    <row r="28488">
      <c r="H28488" t="s">
        <v>5117</v>
      </c>
    </row>
    <row r="28489">
      <c r="H28489" t="s">
        <v>5117</v>
      </c>
    </row>
    <row r="28490">
      <c r="H28490" t="s">
        <v>5117</v>
      </c>
    </row>
    <row r="28491">
      <c r="H28491" t="s">
        <v>5117</v>
      </c>
    </row>
    <row r="28492">
      <c r="H28492" t="s">
        <v>5117</v>
      </c>
    </row>
    <row r="28493">
      <c r="H28493" t="s">
        <v>5117</v>
      </c>
    </row>
    <row r="28494">
      <c r="H28494" t="s">
        <v>5117</v>
      </c>
    </row>
    <row r="28495">
      <c r="H28495" t="s">
        <v>5117</v>
      </c>
    </row>
    <row r="28496">
      <c r="H28496" t="s">
        <v>5117</v>
      </c>
    </row>
    <row r="28497">
      <c r="H28497" t="s">
        <v>5117</v>
      </c>
    </row>
    <row r="28498">
      <c r="H28498" t="s">
        <v>5117</v>
      </c>
    </row>
    <row r="28499">
      <c r="H28499" t="s">
        <v>5117</v>
      </c>
    </row>
    <row r="28500">
      <c r="H28500" t="s">
        <v>5117</v>
      </c>
    </row>
    <row r="28501">
      <c r="H28501" t="s">
        <v>5117</v>
      </c>
    </row>
    <row r="28502">
      <c r="H28502" t="s">
        <v>5117</v>
      </c>
    </row>
    <row r="28503">
      <c r="H28503" t="s">
        <v>5117</v>
      </c>
    </row>
    <row r="28504">
      <c r="H28504" t="s">
        <v>5117</v>
      </c>
    </row>
    <row r="28505">
      <c r="H28505" t="s">
        <v>5117</v>
      </c>
    </row>
    <row r="28506">
      <c r="H28506" t="s">
        <v>5117</v>
      </c>
    </row>
    <row r="28507">
      <c r="H28507" t="s">
        <v>5117</v>
      </c>
    </row>
    <row r="28508">
      <c r="H28508" t="s">
        <v>5117</v>
      </c>
    </row>
    <row r="28509">
      <c r="H28509" t="s">
        <v>5117</v>
      </c>
    </row>
    <row r="28510">
      <c r="H28510" t="s">
        <v>5117</v>
      </c>
    </row>
    <row r="28511">
      <c r="H28511" t="s">
        <v>5117</v>
      </c>
    </row>
    <row r="28512">
      <c r="H28512" t="s">
        <v>5117</v>
      </c>
    </row>
    <row r="28513">
      <c r="H28513" t="s">
        <v>5117</v>
      </c>
    </row>
    <row r="28514">
      <c r="H28514" t="s">
        <v>5117</v>
      </c>
    </row>
    <row r="28515">
      <c r="H28515" t="s">
        <v>5117</v>
      </c>
    </row>
    <row r="28516">
      <c r="H28516" t="s">
        <v>5117</v>
      </c>
    </row>
    <row r="28517">
      <c r="H28517" t="s">
        <v>5117</v>
      </c>
    </row>
    <row r="28518">
      <c r="H28518" t="s">
        <v>5117</v>
      </c>
    </row>
    <row r="28519">
      <c r="H28519" t="s">
        <v>5117</v>
      </c>
    </row>
    <row r="28520">
      <c r="H28520" t="s">
        <v>5117</v>
      </c>
    </row>
    <row r="28521">
      <c r="H28521" t="s">
        <v>5117</v>
      </c>
    </row>
    <row r="28522">
      <c r="H28522" t="s">
        <v>5117</v>
      </c>
    </row>
    <row r="28523">
      <c r="H28523" t="s">
        <v>5117</v>
      </c>
    </row>
    <row r="28524">
      <c r="H28524" t="s">
        <v>5117</v>
      </c>
    </row>
    <row r="28525">
      <c r="H28525" t="s">
        <v>5117</v>
      </c>
    </row>
    <row r="28526">
      <c r="H28526" t="s">
        <v>5117</v>
      </c>
    </row>
    <row r="28527">
      <c r="H28527" t="s">
        <v>5117</v>
      </c>
    </row>
    <row r="28528">
      <c r="H28528" t="s">
        <v>5117</v>
      </c>
    </row>
    <row r="28529">
      <c r="H28529" t="s">
        <v>5117</v>
      </c>
    </row>
    <row r="28530">
      <c r="H28530" t="s">
        <v>5117</v>
      </c>
    </row>
    <row r="28531">
      <c r="H28531" t="s">
        <v>5117</v>
      </c>
    </row>
    <row r="28532">
      <c r="H28532" t="s">
        <v>5117</v>
      </c>
    </row>
    <row r="28533">
      <c r="H28533" t="s">
        <v>5117</v>
      </c>
    </row>
    <row r="28534">
      <c r="H28534" t="s">
        <v>5117</v>
      </c>
    </row>
    <row r="28535">
      <c r="H28535" t="s">
        <v>5117</v>
      </c>
    </row>
    <row r="28536">
      <c r="H28536" t="s">
        <v>5117</v>
      </c>
    </row>
    <row r="28537">
      <c r="H28537" t="s">
        <v>5117</v>
      </c>
    </row>
    <row r="28538">
      <c r="H28538" t="s">
        <v>5117</v>
      </c>
    </row>
    <row r="28539">
      <c r="H28539" t="s">
        <v>5117</v>
      </c>
    </row>
    <row r="28540">
      <c r="H28540" t="s">
        <v>5117</v>
      </c>
    </row>
    <row r="28541">
      <c r="H28541" t="s">
        <v>5117</v>
      </c>
    </row>
    <row r="28542">
      <c r="H28542" t="s">
        <v>5117</v>
      </c>
    </row>
    <row r="28543">
      <c r="H28543" t="s">
        <v>5117</v>
      </c>
    </row>
    <row r="28544">
      <c r="H28544" t="s">
        <v>5117</v>
      </c>
    </row>
    <row r="28545">
      <c r="H28545" t="s">
        <v>5117</v>
      </c>
    </row>
    <row r="28546">
      <c r="H28546" t="s">
        <v>5117</v>
      </c>
    </row>
    <row r="28547">
      <c r="H28547" t="s">
        <v>5117</v>
      </c>
    </row>
    <row r="28548">
      <c r="H28548" t="s">
        <v>5117</v>
      </c>
    </row>
    <row r="28549">
      <c r="H28549" t="s">
        <v>5117</v>
      </c>
    </row>
    <row r="28550">
      <c r="H28550" t="s">
        <v>5117</v>
      </c>
    </row>
    <row r="28551">
      <c r="H28551" t="s">
        <v>5117</v>
      </c>
    </row>
    <row r="28552">
      <c r="H28552" t="s">
        <v>5117</v>
      </c>
    </row>
    <row r="28553">
      <c r="H28553" t="s">
        <v>5117</v>
      </c>
    </row>
    <row r="28554">
      <c r="H28554" t="s">
        <v>5117</v>
      </c>
    </row>
    <row r="28555">
      <c r="H28555" t="s">
        <v>5117</v>
      </c>
    </row>
    <row r="28556">
      <c r="H28556" t="s">
        <v>5117</v>
      </c>
    </row>
    <row r="28557">
      <c r="H28557" t="s">
        <v>5117</v>
      </c>
    </row>
    <row r="28558">
      <c r="H28558" t="s">
        <v>5117</v>
      </c>
    </row>
    <row r="28559">
      <c r="H28559" t="s">
        <v>5117</v>
      </c>
    </row>
    <row r="28560">
      <c r="H28560" t="s">
        <v>5117</v>
      </c>
    </row>
    <row r="28561">
      <c r="H28561" t="s">
        <v>5117</v>
      </c>
    </row>
    <row r="28562">
      <c r="H28562" t="s">
        <v>5117</v>
      </c>
    </row>
    <row r="28563">
      <c r="H28563" t="s">
        <v>5117</v>
      </c>
    </row>
    <row r="28564">
      <c r="H28564" t="s">
        <v>5117</v>
      </c>
    </row>
    <row r="28565">
      <c r="H28565" t="s">
        <v>5117</v>
      </c>
    </row>
    <row r="28566">
      <c r="H28566" t="s">
        <v>5117</v>
      </c>
    </row>
    <row r="28567">
      <c r="H28567" t="s">
        <v>5117</v>
      </c>
    </row>
    <row r="28568">
      <c r="H28568" t="s">
        <v>5117</v>
      </c>
    </row>
    <row r="28569">
      <c r="H28569" t="s">
        <v>5117</v>
      </c>
    </row>
    <row r="28570">
      <c r="H28570" t="s">
        <v>5117</v>
      </c>
    </row>
    <row r="28571">
      <c r="H28571" t="s">
        <v>5117</v>
      </c>
    </row>
    <row r="28572">
      <c r="H28572" t="s">
        <v>5117</v>
      </c>
    </row>
    <row r="28573">
      <c r="H28573" t="s">
        <v>5117</v>
      </c>
    </row>
    <row r="28574">
      <c r="H28574" t="s">
        <v>5117</v>
      </c>
    </row>
    <row r="28575">
      <c r="H28575" t="s">
        <v>5117</v>
      </c>
    </row>
    <row r="28576">
      <c r="H28576" t="s">
        <v>5117</v>
      </c>
    </row>
    <row r="28577">
      <c r="H28577" t="s">
        <v>5117</v>
      </c>
    </row>
    <row r="28578">
      <c r="H28578" t="s">
        <v>5117</v>
      </c>
    </row>
    <row r="28579">
      <c r="H28579" t="s">
        <v>5117</v>
      </c>
    </row>
    <row r="28580">
      <c r="H28580" t="s">
        <v>5117</v>
      </c>
    </row>
    <row r="28581">
      <c r="H28581" t="s">
        <v>5117</v>
      </c>
    </row>
    <row r="28582">
      <c r="H28582" t="s">
        <v>5117</v>
      </c>
    </row>
    <row r="28583">
      <c r="H28583" t="s">
        <v>5117</v>
      </c>
    </row>
    <row r="28584">
      <c r="H28584" t="s">
        <v>5117</v>
      </c>
    </row>
    <row r="28585">
      <c r="H28585" t="s">
        <v>5117</v>
      </c>
    </row>
    <row r="28586">
      <c r="H28586" t="s">
        <v>5117</v>
      </c>
    </row>
    <row r="28587">
      <c r="H28587" t="s">
        <v>5117</v>
      </c>
    </row>
    <row r="28588">
      <c r="H28588" t="s">
        <v>5117</v>
      </c>
    </row>
    <row r="28589">
      <c r="H28589" t="s">
        <v>5117</v>
      </c>
    </row>
    <row r="28590">
      <c r="H28590" t="s">
        <v>5117</v>
      </c>
    </row>
    <row r="28591">
      <c r="H28591" t="s">
        <v>5117</v>
      </c>
    </row>
    <row r="28592">
      <c r="H28592" t="s">
        <v>5117</v>
      </c>
    </row>
    <row r="28593">
      <c r="H28593" t="s">
        <v>5117</v>
      </c>
    </row>
    <row r="28594">
      <c r="H28594" t="s">
        <v>5117</v>
      </c>
    </row>
    <row r="28595">
      <c r="H28595" t="s">
        <v>5117</v>
      </c>
    </row>
    <row r="28596">
      <c r="H28596" t="s">
        <v>5117</v>
      </c>
    </row>
    <row r="28597">
      <c r="H28597" t="s">
        <v>5117</v>
      </c>
    </row>
    <row r="28598">
      <c r="H28598" t="s">
        <v>5117</v>
      </c>
    </row>
    <row r="28599">
      <c r="H28599" t="s">
        <v>5117</v>
      </c>
    </row>
    <row r="28600">
      <c r="H28600" t="s">
        <v>5117</v>
      </c>
    </row>
    <row r="28601">
      <c r="H28601" t="s">
        <v>5117</v>
      </c>
    </row>
    <row r="28602">
      <c r="H28602" t="s">
        <v>5117</v>
      </c>
    </row>
    <row r="28603">
      <c r="H28603" t="s">
        <v>5117</v>
      </c>
    </row>
    <row r="28604">
      <c r="H28604" t="s">
        <v>5117</v>
      </c>
    </row>
    <row r="28605">
      <c r="H28605" t="s">
        <v>5117</v>
      </c>
    </row>
    <row r="28606">
      <c r="H28606" t="s">
        <v>5117</v>
      </c>
    </row>
    <row r="28607">
      <c r="H28607" t="s">
        <v>5117</v>
      </c>
    </row>
    <row r="28608">
      <c r="H28608" t="s">
        <v>5117</v>
      </c>
    </row>
    <row r="28609">
      <c r="H28609" t="s">
        <v>5117</v>
      </c>
    </row>
    <row r="28610">
      <c r="H28610" t="s">
        <v>5117</v>
      </c>
    </row>
    <row r="28611">
      <c r="H28611" t="s">
        <v>5117</v>
      </c>
    </row>
    <row r="28612">
      <c r="H28612" t="s">
        <v>5117</v>
      </c>
    </row>
    <row r="28613">
      <c r="H28613" t="s">
        <v>5117</v>
      </c>
    </row>
    <row r="28614">
      <c r="H28614" t="s">
        <v>5117</v>
      </c>
    </row>
    <row r="28615">
      <c r="H28615" t="s">
        <v>5117</v>
      </c>
    </row>
    <row r="28616">
      <c r="H28616" t="s">
        <v>5117</v>
      </c>
    </row>
    <row r="28617">
      <c r="H28617" t="s">
        <v>5117</v>
      </c>
    </row>
    <row r="28618">
      <c r="H28618" t="s">
        <v>5117</v>
      </c>
    </row>
    <row r="28619">
      <c r="H28619" t="s">
        <v>5117</v>
      </c>
    </row>
    <row r="28620">
      <c r="H28620" t="s">
        <v>5117</v>
      </c>
    </row>
    <row r="28621">
      <c r="H28621" t="s">
        <v>5117</v>
      </c>
    </row>
    <row r="28622">
      <c r="H28622" t="s">
        <v>5117</v>
      </c>
    </row>
    <row r="28623">
      <c r="H28623" t="s">
        <v>5117</v>
      </c>
    </row>
    <row r="28624">
      <c r="H28624" t="s">
        <v>5117</v>
      </c>
    </row>
    <row r="28625">
      <c r="H28625" t="s">
        <v>5117</v>
      </c>
    </row>
    <row r="28626">
      <c r="H28626" t="s">
        <v>5117</v>
      </c>
    </row>
    <row r="28627">
      <c r="H28627" t="s">
        <v>5117</v>
      </c>
    </row>
    <row r="28628">
      <c r="H28628" t="s">
        <v>5117</v>
      </c>
    </row>
    <row r="28629">
      <c r="H28629" t="s">
        <v>5117</v>
      </c>
    </row>
    <row r="28630">
      <c r="H28630" t="s">
        <v>5117</v>
      </c>
    </row>
    <row r="28631">
      <c r="H28631" t="s">
        <v>5117</v>
      </c>
    </row>
    <row r="28632">
      <c r="H28632" t="s">
        <v>5117</v>
      </c>
    </row>
    <row r="28633">
      <c r="H28633" t="s">
        <v>5117</v>
      </c>
    </row>
    <row r="28634">
      <c r="H28634" t="s">
        <v>5117</v>
      </c>
    </row>
    <row r="28635">
      <c r="H28635" t="s">
        <v>5117</v>
      </c>
    </row>
    <row r="28636">
      <c r="H28636" t="s">
        <v>5117</v>
      </c>
    </row>
    <row r="28637">
      <c r="H28637" t="s">
        <v>5117</v>
      </c>
    </row>
    <row r="28638">
      <c r="H28638" t="s">
        <v>5117</v>
      </c>
    </row>
    <row r="28639">
      <c r="H28639" t="s">
        <v>5117</v>
      </c>
    </row>
    <row r="28640">
      <c r="H28640" t="s">
        <v>5117</v>
      </c>
    </row>
    <row r="28641">
      <c r="H28641" t="s">
        <v>5117</v>
      </c>
    </row>
    <row r="28642">
      <c r="H28642" t="s">
        <v>5117</v>
      </c>
    </row>
    <row r="28643">
      <c r="H28643" t="s">
        <v>5117</v>
      </c>
    </row>
    <row r="28644">
      <c r="H28644" t="s">
        <v>5117</v>
      </c>
    </row>
    <row r="28645">
      <c r="H28645" t="s">
        <v>5117</v>
      </c>
    </row>
    <row r="28646">
      <c r="H28646" t="s">
        <v>5117</v>
      </c>
    </row>
    <row r="28647">
      <c r="H28647" t="s">
        <v>5117</v>
      </c>
    </row>
    <row r="28648">
      <c r="H28648" t="s">
        <v>5117</v>
      </c>
    </row>
    <row r="28649">
      <c r="H28649" t="s">
        <v>5117</v>
      </c>
    </row>
    <row r="28650">
      <c r="H28650" t="s">
        <v>5117</v>
      </c>
    </row>
    <row r="28651">
      <c r="H28651" t="s">
        <v>5117</v>
      </c>
    </row>
    <row r="28652">
      <c r="H28652" t="s">
        <v>5117</v>
      </c>
    </row>
    <row r="28653">
      <c r="H28653" t="s">
        <v>5117</v>
      </c>
    </row>
    <row r="28654">
      <c r="H28654" t="s">
        <v>5117</v>
      </c>
    </row>
    <row r="28655">
      <c r="H28655" t="s">
        <v>5117</v>
      </c>
    </row>
    <row r="28656">
      <c r="H28656" t="s">
        <v>5117</v>
      </c>
    </row>
    <row r="28657">
      <c r="H28657" t="s">
        <v>5117</v>
      </c>
    </row>
    <row r="28658">
      <c r="H28658" t="s">
        <v>5117</v>
      </c>
    </row>
    <row r="28659">
      <c r="H28659" t="s">
        <v>5117</v>
      </c>
    </row>
    <row r="28660">
      <c r="H28660" t="s">
        <v>5117</v>
      </c>
    </row>
    <row r="28661">
      <c r="H28661" t="s">
        <v>5117</v>
      </c>
    </row>
    <row r="28662">
      <c r="H28662" t="s">
        <v>5117</v>
      </c>
    </row>
    <row r="28663">
      <c r="H28663" t="s">
        <v>5117</v>
      </c>
    </row>
    <row r="28664">
      <c r="H28664" t="s">
        <v>5117</v>
      </c>
    </row>
    <row r="28665">
      <c r="H28665" t="s">
        <v>5117</v>
      </c>
    </row>
    <row r="28666">
      <c r="H28666" t="s">
        <v>5117</v>
      </c>
    </row>
    <row r="28667">
      <c r="H28667" t="s">
        <v>5117</v>
      </c>
    </row>
    <row r="28668">
      <c r="H28668" t="s">
        <v>5117</v>
      </c>
    </row>
    <row r="28669">
      <c r="H28669" t="s">
        <v>5117</v>
      </c>
    </row>
    <row r="28670">
      <c r="H28670" t="s">
        <v>5117</v>
      </c>
    </row>
    <row r="28671">
      <c r="H28671" t="s">
        <v>5117</v>
      </c>
    </row>
    <row r="28672">
      <c r="H28672" t="s">
        <v>5117</v>
      </c>
    </row>
    <row r="28673">
      <c r="H28673" t="s">
        <v>5117</v>
      </c>
    </row>
    <row r="28674">
      <c r="H28674" t="s">
        <v>5117</v>
      </c>
    </row>
    <row r="28675">
      <c r="H28675" t="s">
        <v>5117</v>
      </c>
    </row>
    <row r="28676">
      <c r="H28676" t="s">
        <v>5117</v>
      </c>
    </row>
    <row r="28677">
      <c r="H28677" t="s">
        <v>5117</v>
      </c>
    </row>
    <row r="28678">
      <c r="H28678" t="s">
        <v>5117</v>
      </c>
    </row>
    <row r="28679">
      <c r="H28679" t="s">
        <v>5117</v>
      </c>
    </row>
    <row r="28680">
      <c r="H28680" t="s">
        <v>5117</v>
      </c>
    </row>
    <row r="28681">
      <c r="H28681" t="s">
        <v>5117</v>
      </c>
    </row>
    <row r="28682">
      <c r="H28682" t="s">
        <v>5117</v>
      </c>
    </row>
    <row r="28683">
      <c r="H28683" t="s">
        <v>5117</v>
      </c>
    </row>
    <row r="28684">
      <c r="H28684" t="s">
        <v>5117</v>
      </c>
    </row>
    <row r="28685">
      <c r="H28685" t="s">
        <v>5117</v>
      </c>
    </row>
    <row r="28686">
      <c r="H28686" t="s">
        <v>5117</v>
      </c>
    </row>
    <row r="28687">
      <c r="H28687" t="s">
        <v>5117</v>
      </c>
    </row>
    <row r="28688">
      <c r="H28688" t="s">
        <v>5117</v>
      </c>
    </row>
    <row r="28689">
      <c r="H28689" t="s">
        <v>5117</v>
      </c>
    </row>
    <row r="28690">
      <c r="H28690" t="s">
        <v>5117</v>
      </c>
    </row>
    <row r="28691">
      <c r="H28691" t="s">
        <v>5117</v>
      </c>
    </row>
    <row r="28692">
      <c r="H28692" t="s">
        <v>5117</v>
      </c>
    </row>
    <row r="28693">
      <c r="H28693" t="s">
        <v>5117</v>
      </c>
    </row>
    <row r="28694">
      <c r="H28694" t="s">
        <v>5117</v>
      </c>
    </row>
    <row r="28695">
      <c r="H28695" t="s">
        <v>5117</v>
      </c>
    </row>
    <row r="28696">
      <c r="H28696" t="s">
        <v>5117</v>
      </c>
    </row>
    <row r="28697">
      <c r="H28697" t="s">
        <v>5117</v>
      </c>
    </row>
    <row r="28698">
      <c r="H28698" t="s">
        <v>5117</v>
      </c>
    </row>
    <row r="28699">
      <c r="H28699" t="s">
        <v>5117</v>
      </c>
    </row>
    <row r="28700">
      <c r="H28700" t="s">
        <v>5117</v>
      </c>
    </row>
    <row r="28701">
      <c r="H28701" t="s">
        <v>5117</v>
      </c>
    </row>
    <row r="28702">
      <c r="H28702" t="s">
        <v>5117</v>
      </c>
    </row>
    <row r="28703">
      <c r="H28703" t="s">
        <v>5117</v>
      </c>
    </row>
    <row r="28704">
      <c r="H28704" t="s">
        <v>5117</v>
      </c>
    </row>
    <row r="28705">
      <c r="H28705" t="s">
        <v>5117</v>
      </c>
    </row>
    <row r="28706">
      <c r="H28706" t="s">
        <v>5117</v>
      </c>
    </row>
    <row r="28707">
      <c r="H28707" t="s">
        <v>5117</v>
      </c>
    </row>
    <row r="28708">
      <c r="H28708" t="s">
        <v>5117</v>
      </c>
    </row>
    <row r="28709">
      <c r="H28709" t="s">
        <v>5117</v>
      </c>
    </row>
    <row r="28710">
      <c r="H28710" t="s">
        <v>5117</v>
      </c>
    </row>
    <row r="28711">
      <c r="H28711" t="s">
        <v>5117</v>
      </c>
    </row>
    <row r="28712">
      <c r="H28712" t="s">
        <v>5117</v>
      </c>
    </row>
    <row r="28713">
      <c r="H28713" t="s">
        <v>5117</v>
      </c>
    </row>
    <row r="28714">
      <c r="H28714" t="s">
        <v>5117</v>
      </c>
    </row>
    <row r="28715">
      <c r="H28715" t="s">
        <v>5117</v>
      </c>
    </row>
    <row r="28716">
      <c r="H28716" t="s">
        <v>5117</v>
      </c>
    </row>
    <row r="28717">
      <c r="H28717" t="s">
        <v>5117</v>
      </c>
    </row>
    <row r="28718">
      <c r="H28718" t="s">
        <v>5117</v>
      </c>
    </row>
    <row r="28719">
      <c r="H28719" t="s">
        <v>5117</v>
      </c>
    </row>
    <row r="28720">
      <c r="H28720" t="s">
        <v>5117</v>
      </c>
    </row>
    <row r="28721">
      <c r="H28721" t="s">
        <v>5117</v>
      </c>
    </row>
    <row r="28722">
      <c r="H28722" t="s">
        <v>5117</v>
      </c>
    </row>
    <row r="28723">
      <c r="H28723" t="s">
        <v>5117</v>
      </c>
    </row>
    <row r="28724">
      <c r="H28724" t="s">
        <v>5117</v>
      </c>
    </row>
    <row r="28725">
      <c r="H28725" t="s">
        <v>5117</v>
      </c>
    </row>
    <row r="28726">
      <c r="H28726" t="s">
        <v>5117</v>
      </c>
    </row>
    <row r="28727">
      <c r="H28727" t="s">
        <v>5117</v>
      </c>
    </row>
    <row r="28728">
      <c r="H28728" t="s">
        <v>5117</v>
      </c>
    </row>
    <row r="28729">
      <c r="H28729" t="s">
        <v>5117</v>
      </c>
    </row>
    <row r="28730">
      <c r="H28730" t="s">
        <v>5117</v>
      </c>
    </row>
    <row r="28731">
      <c r="H28731" t="s">
        <v>5117</v>
      </c>
    </row>
    <row r="28732">
      <c r="H28732" t="s">
        <v>5117</v>
      </c>
    </row>
    <row r="28733">
      <c r="H28733" t="s">
        <v>5117</v>
      </c>
    </row>
    <row r="28734">
      <c r="H28734" t="s">
        <v>5117</v>
      </c>
    </row>
    <row r="28735">
      <c r="H28735" t="s">
        <v>5117</v>
      </c>
    </row>
    <row r="28736">
      <c r="H28736" t="s">
        <v>5117</v>
      </c>
    </row>
    <row r="28737">
      <c r="H28737" t="s">
        <v>5117</v>
      </c>
    </row>
    <row r="28738">
      <c r="H28738" t="s">
        <v>5117</v>
      </c>
    </row>
    <row r="28739">
      <c r="H28739" t="s">
        <v>5117</v>
      </c>
    </row>
    <row r="28740">
      <c r="H28740" t="s">
        <v>5117</v>
      </c>
    </row>
    <row r="28741">
      <c r="H28741" t="s">
        <v>5117</v>
      </c>
    </row>
    <row r="28742">
      <c r="H28742" t="s">
        <v>5117</v>
      </c>
    </row>
    <row r="28743">
      <c r="H28743" t="s">
        <v>5117</v>
      </c>
    </row>
    <row r="28744">
      <c r="H28744" t="s">
        <v>5117</v>
      </c>
    </row>
    <row r="28745">
      <c r="H28745" t="s">
        <v>5117</v>
      </c>
    </row>
    <row r="28746">
      <c r="H28746" t="s">
        <v>5117</v>
      </c>
    </row>
    <row r="28747">
      <c r="H28747" t="s">
        <v>5117</v>
      </c>
    </row>
    <row r="28748">
      <c r="H28748" t="s">
        <v>5117</v>
      </c>
    </row>
    <row r="28749">
      <c r="H28749" t="s">
        <v>5117</v>
      </c>
    </row>
    <row r="28750">
      <c r="H28750" t="s">
        <v>5117</v>
      </c>
    </row>
    <row r="28751">
      <c r="H28751" t="s">
        <v>5117</v>
      </c>
    </row>
    <row r="28752">
      <c r="H28752" t="s">
        <v>5117</v>
      </c>
    </row>
    <row r="28753">
      <c r="H28753" t="s">
        <v>5117</v>
      </c>
    </row>
    <row r="28754">
      <c r="H28754" t="s">
        <v>5117</v>
      </c>
    </row>
    <row r="28755">
      <c r="H28755" t="s">
        <v>5117</v>
      </c>
    </row>
    <row r="28756">
      <c r="H28756" t="s">
        <v>5117</v>
      </c>
    </row>
    <row r="28757">
      <c r="H28757" t="s">
        <v>5117</v>
      </c>
    </row>
    <row r="28758">
      <c r="H28758" t="s">
        <v>5117</v>
      </c>
    </row>
    <row r="28759">
      <c r="H28759" t="s">
        <v>5117</v>
      </c>
    </row>
    <row r="28760">
      <c r="H28760" t="s">
        <v>5117</v>
      </c>
    </row>
    <row r="28761">
      <c r="H28761" t="s">
        <v>5117</v>
      </c>
    </row>
    <row r="28762">
      <c r="H28762" t="s">
        <v>5117</v>
      </c>
    </row>
    <row r="28763">
      <c r="H28763" t="s">
        <v>5117</v>
      </c>
    </row>
    <row r="28764">
      <c r="H28764" t="s">
        <v>5117</v>
      </c>
    </row>
    <row r="28765">
      <c r="H28765" t="s">
        <v>5117</v>
      </c>
    </row>
    <row r="28766">
      <c r="H28766" t="s">
        <v>5117</v>
      </c>
    </row>
    <row r="28767">
      <c r="H28767" t="s">
        <v>5117</v>
      </c>
    </row>
    <row r="28768">
      <c r="H28768" t="s">
        <v>5117</v>
      </c>
    </row>
    <row r="28769">
      <c r="H28769" t="s">
        <v>5117</v>
      </c>
    </row>
    <row r="28770">
      <c r="H28770" t="s">
        <v>5117</v>
      </c>
    </row>
    <row r="28771">
      <c r="H28771" t="s">
        <v>5117</v>
      </c>
    </row>
    <row r="28772">
      <c r="H28772" t="s">
        <v>5117</v>
      </c>
    </row>
    <row r="28773">
      <c r="H28773" t="s">
        <v>5117</v>
      </c>
    </row>
    <row r="28774">
      <c r="H28774" t="s">
        <v>5117</v>
      </c>
    </row>
    <row r="28775">
      <c r="H28775" t="s">
        <v>5117</v>
      </c>
    </row>
    <row r="28776">
      <c r="H28776" t="s">
        <v>5117</v>
      </c>
    </row>
    <row r="28777">
      <c r="H28777" t="s">
        <v>5117</v>
      </c>
    </row>
    <row r="28778">
      <c r="H28778" t="s">
        <v>5117</v>
      </c>
    </row>
    <row r="28779">
      <c r="H28779" t="s">
        <v>5117</v>
      </c>
    </row>
    <row r="28780">
      <c r="H28780" t="s">
        <v>5117</v>
      </c>
    </row>
    <row r="28781">
      <c r="H28781" t="s">
        <v>5117</v>
      </c>
    </row>
    <row r="28782">
      <c r="H28782" t="s">
        <v>5117</v>
      </c>
    </row>
    <row r="28783">
      <c r="H28783" t="s">
        <v>5117</v>
      </c>
    </row>
    <row r="28784">
      <c r="H28784" t="s">
        <v>5117</v>
      </c>
    </row>
    <row r="28785">
      <c r="H28785" t="s">
        <v>5117</v>
      </c>
    </row>
    <row r="28786">
      <c r="H28786" t="s">
        <v>5117</v>
      </c>
    </row>
    <row r="28787">
      <c r="H28787" t="s">
        <v>5117</v>
      </c>
    </row>
    <row r="28788">
      <c r="H28788" t="s">
        <v>5117</v>
      </c>
    </row>
    <row r="28789">
      <c r="H28789" t="s">
        <v>5117</v>
      </c>
    </row>
    <row r="28790">
      <c r="H28790" t="s">
        <v>5117</v>
      </c>
    </row>
    <row r="28791">
      <c r="H28791" t="s">
        <v>5117</v>
      </c>
    </row>
    <row r="28792">
      <c r="H28792" t="s">
        <v>5117</v>
      </c>
    </row>
    <row r="28793">
      <c r="H28793" t="s">
        <v>5117</v>
      </c>
    </row>
    <row r="28794">
      <c r="H28794" t="s">
        <v>5117</v>
      </c>
    </row>
    <row r="28795">
      <c r="H28795" t="s">
        <v>5117</v>
      </c>
    </row>
    <row r="28796">
      <c r="H28796" t="s">
        <v>5117</v>
      </c>
    </row>
    <row r="28797">
      <c r="H28797" t="s">
        <v>5117</v>
      </c>
    </row>
    <row r="28798">
      <c r="H28798" t="s">
        <v>5117</v>
      </c>
    </row>
    <row r="28799">
      <c r="H28799" t="s">
        <v>5117</v>
      </c>
    </row>
    <row r="28800">
      <c r="H28800" t="s">
        <v>5117</v>
      </c>
    </row>
    <row r="28801">
      <c r="H28801" t="s">
        <v>5117</v>
      </c>
    </row>
    <row r="28802">
      <c r="H28802" t="s">
        <v>5117</v>
      </c>
    </row>
    <row r="28803">
      <c r="H28803" t="s">
        <v>5117</v>
      </c>
    </row>
    <row r="28804">
      <c r="H28804" t="s">
        <v>5117</v>
      </c>
    </row>
    <row r="28805">
      <c r="H28805" t="s">
        <v>5117</v>
      </c>
    </row>
    <row r="28806">
      <c r="H28806" t="s">
        <v>5117</v>
      </c>
    </row>
    <row r="28807">
      <c r="H28807" t="s">
        <v>5117</v>
      </c>
    </row>
    <row r="28808">
      <c r="H28808" t="s">
        <v>5117</v>
      </c>
    </row>
    <row r="28809">
      <c r="H28809" t="s">
        <v>5117</v>
      </c>
    </row>
    <row r="28810">
      <c r="H28810" t="s">
        <v>5117</v>
      </c>
    </row>
    <row r="28811">
      <c r="H28811" t="s">
        <v>5117</v>
      </c>
    </row>
    <row r="28812">
      <c r="H28812" t="s">
        <v>5117</v>
      </c>
    </row>
    <row r="28813">
      <c r="H28813" t="s">
        <v>5117</v>
      </c>
    </row>
    <row r="28814">
      <c r="H28814" t="s">
        <v>5117</v>
      </c>
    </row>
    <row r="28815">
      <c r="H28815" t="s">
        <v>5117</v>
      </c>
    </row>
    <row r="28816">
      <c r="H28816" t="s">
        <v>5117</v>
      </c>
    </row>
    <row r="28817">
      <c r="H28817" t="s">
        <v>5117</v>
      </c>
    </row>
    <row r="28818">
      <c r="H28818" t="s">
        <v>5117</v>
      </c>
    </row>
    <row r="28819">
      <c r="H28819" t="s">
        <v>5117</v>
      </c>
    </row>
    <row r="28820">
      <c r="H28820" t="s">
        <v>5117</v>
      </c>
    </row>
    <row r="28821">
      <c r="H28821" t="s">
        <v>5117</v>
      </c>
    </row>
    <row r="28822">
      <c r="H28822" t="s">
        <v>5117</v>
      </c>
    </row>
    <row r="28823">
      <c r="H28823" t="s">
        <v>5117</v>
      </c>
    </row>
    <row r="28824">
      <c r="H28824" t="s">
        <v>5117</v>
      </c>
    </row>
    <row r="28825">
      <c r="H28825" t="s">
        <v>5117</v>
      </c>
    </row>
    <row r="28826">
      <c r="H28826" t="s">
        <v>5117</v>
      </c>
    </row>
    <row r="28827">
      <c r="H28827" t="s">
        <v>5117</v>
      </c>
    </row>
    <row r="28828">
      <c r="H28828" t="s">
        <v>5117</v>
      </c>
    </row>
    <row r="28829">
      <c r="H28829" t="s">
        <v>5117</v>
      </c>
    </row>
    <row r="28830">
      <c r="H28830" t="s">
        <v>5117</v>
      </c>
    </row>
    <row r="28831">
      <c r="H28831" t="s">
        <v>5117</v>
      </c>
    </row>
    <row r="28832">
      <c r="H28832" t="s">
        <v>5117</v>
      </c>
    </row>
    <row r="28833">
      <c r="H28833" t="s">
        <v>5117</v>
      </c>
    </row>
    <row r="28834">
      <c r="H28834" t="s">
        <v>5117</v>
      </c>
    </row>
    <row r="28835">
      <c r="H28835" t="s">
        <v>5117</v>
      </c>
    </row>
    <row r="28836">
      <c r="H28836" t="s">
        <v>5117</v>
      </c>
    </row>
    <row r="28837">
      <c r="H28837" t="s">
        <v>5117</v>
      </c>
    </row>
    <row r="28838">
      <c r="H28838" t="s">
        <v>5117</v>
      </c>
    </row>
    <row r="28839">
      <c r="H28839" t="s">
        <v>5117</v>
      </c>
    </row>
    <row r="28840">
      <c r="H28840" t="s">
        <v>5117</v>
      </c>
    </row>
    <row r="28841">
      <c r="H28841" t="s">
        <v>5117</v>
      </c>
    </row>
    <row r="28842">
      <c r="H28842" t="s">
        <v>5117</v>
      </c>
    </row>
    <row r="28843">
      <c r="H28843" t="s">
        <v>5117</v>
      </c>
    </row>
    <row r="28844">
      <c r="H28844" t="s">
        <v>5117</v>
      </c>
    </row>
    <row r="28845">
      <c r="H28845" t="s">
        <v>5117</v>
      </c>
    </row>
    <row r="28846">
      <c r="H28846" t="s">
        <v>5117</v>
      </c>
    </row>
    <row r="28847">
      <c r="H28847" t="s">
        <v>5117</v>
      </c>
    </row>
    <row r="28848">
      <c r="H28848" t="s">
        <v>5117</v>
      </c>
    </row>
    <row r="28849">
      <c r="H28849" t="s">
        <v>5117</v>
      </c>
    </row>
    <row r="28850">
      <c r="H28850" t="s">
        <v>5117</v>
      </c>
    </row>
    <row r="28851">
      <c r="H28851" t="s">
        <v>5117</v>
      </c>
    </row>
    <row r="28852">
      <c r="H28852" t="s">
        <v>5117</v>
      </c>
    </row>
    <row r="28853">
      <c r="H28853" t="s">
        <v>5117</v>
      </c>
    </row>
    <row r="28854">
      <c r="H28854" t="s">
        <v>5117</v>
      </c>
    </row>
    <row r="28855">
      <c r="H28855" t="s">
        <v>5117</v>
      </c>
    </row>
    <row r="28856">
      <c r="H28856" t="s">
        <v>5117</v>
      </c>
    </row>
    <row r="28857">
      <c r="H28857" t="s">
        <v>5117</v>
      </c>
    </row>
    <row r="28858">
      <c r="H28858" t="s">
        <v>5117</v>
      </c>
    </row>
    <row r="28859">
      <c r="H28859" t="s">
        <v>5117</v>
      </c>
    </row>
    <row r="28860">
      <c r="H28860" t="s">
        <v>5117</v>
      </c>
    </row>
    <row r="28861">
      <c r="H28861" t="s">
        <v>5117</v>
      </c>
    </row>
    <row r="28862">
      <c r="H28862" t="s">
        <v>5117</v>
      </c>
    </row>
    <row r="28863">
      <c r="H28863" t="s">
        <v>5117</v>
      </c>
    </row>
    <row r="28864">
      <c r="H28864" t="s">
        <v>5117</v>
      </c>
    </row>
    <row r="28865">
      <c r="H28865" t="s">
        <v>5117</v>
      </c>
    </row>
    <row r="28866">
      <c r="H28866" t="s">
        <v>5117</v>
      </c>
    </row>
    <row r="28867">
      <c r="H28867" t="s">
        <v>5117</v>
      </c>
    </row>
    <row r="28868">
      <c r="H28868" t="s">
        <v>5117</v>
      </c>
    </row>
    <row r="28869">
      <c r="H28869" t="s">
        <v>5117</v>
      </c>
    </row>
    <row r="28870">
      <c r="H28870" t="s">
        <v>5117</v>
      </c>
    </row>
    <row r="28871">
      <c r="H28871" t="s">
        <v>5117</v>
      </c>
    </row>
    <row r="28872">
      <c r="H28872" t="s">
        <v>5117</v>
      </c>
    </row>
    <row r="28873">
      <c r="H28873" t="s">
        <v>5117</v>
      </c>
    </row>
    <row r="28874">
      <c r="H28874" t="s">
        <v>5117</v>
      </c>
    </row>
    <row r="28875">
      <c r="H28875" t="s">
        <v>5117</v>
      </c>
    </row>
    <row r="28876">
      <c r="H28876" t="s">
        <v>5117</v>
      </c>
    </row>
    <row r="28877">
      <c r="H28877" t="s">
        <v>5117</v>
      </c>
    </row>
    <row r="28878">
      <c r="H28878" t="s">
        <v>5117</v>
      </c>
    </row>
    <row r="28879">
      <c r="H28879" t="s">
        <v>5117</v>
      </c>
    </row>
    <row r="28880">
      <c r="H28880" t="s">
        <v>5117</v>
      </c>
    </row>
    <row r="28881">
      <c r="H28881" t="s">
        <v>5117</v>
      </c>
    </row>
    <row r="28882">
      <c r="H28882" t="s">
        <v>5117</v>
      </c>
    </row>
    <row r="28883">
      <c r="H28883" t="s">
        <v>5117</v>
      </c>
    </row>
    <row r="28884">
      <c r="H28884" t="s">
        <v>5117</v>
      </c>
    </row>
    <row r="28885">
      <c r="H28885" t="s">
        <v>5117</v>
      </c>
    </row>
    <row r="28886">
      <c r="H28886" t="s">
        <v>5117</v>
      </c>
    </row>
    <row r="28887">
      <c r="H28887" t="s">
        <v>5117</v>
      </c>
    </row>
    <row r="28888">
      <c r="H28888" t="s">
        <v>5117</v>
      </c>
    </row>
    <row r="28889">
      <c r="H28889" t="s">
        <v>5117</v>
      </c>
    </row>
    <row r="28890">
      <c r="H28890" t="s">
        <v>5117</v>
      </c>
    </row>
    <row r="28891">
      <c r="H28891" t="s">
        <v>5117</v>
      </c>
    </row>
    <row r="28892">
      <c r="H28892" t="s">
        <v>5117</v>
      </c>
    </row>
    <row r="28893">
      <c r="H28893" t="s">
        <v>5117</v>
      </c>
    </row>
    <row r="28894">
      <c r="H28894" t="s">
        <v>5117</v>
      </c>
    </row>
    <row r="28895">
      <c r="H28895" t="s">
        <v>5117</v>
      </c>
    </row>
    <row r="28896">
      <c r="H28896" t="s">
        <v>5117</v>
      </c>
    </row>
    <row r="28897">
      <c r="H28897" t="s">
        <v>5117</v>
      </c>
    </row>
    <row r="28898">
      <c r="H28898" t="s">
        <v>5117</v>
      </c>
    </row>
    <row r="28899">
      <c r="H28899" t="s">
        <v>5117</v>
      </c>
    </row>
    <row r="28900">
      <c r="H28900" t="s">
        <v>5117</v>
      </c>
    </row>
    <row r="28901">
      <c r="H28901" t="s">
        <v>5117</v>
      </c>
    </row>
    <row r="28902">
      <c r="H28902" t="s">
        <v>5117</v>
      </c>
    </row>
    <row r="28903">
      <c r="H28903" t="s">
        <v>5117</v>
      </c>
    </row>
    <row r="28904">
      <c r="H28904" t="s">
        <v>5117</v>
      </c>
    </row>
    <row r="28905">
      <c r="H28905" t="s">
        <v>5117</v>
      </c>
    </row>
    <row r="28906">
      <c r="H28906" t="s">
        <v>5117</v>
      </c>
    </row>
    <row r="28907">
      <c r="H28907" t="s">
        <v>5117</v>
      </c>
    </row>
    <row r="28908">
      <c r="H28908" t="s">
        <v>5117</v>
      </c>
    </row>
    <row r="28909">
      <c r="H28909" t="s">
        <v>5117</v>
      </c>
    </row>
    <row r="28910">
      <c r="H28910" t="s">
        <v>5117</v>
      </c>
    </row>
    <row r="28911">
      <c r="H28911" t="s">
        <v>5117</v>
      </c>
    </row>
    <row r="28912">
      <c r="H28912" t="s">
        <v>5117</v>
      </c>
    </row>
    <row r="28913">
      <c r="H28913" t="s">
        <v>5117</v>
      </c>
    </row>
    <row r="28914">
      <c r="H28914" t="s">
        <v>5117</v>
      </c>
    </row>
    <row r="28915">
      <c r="H28915" t="s">
        <v>5117</v>
      </c>
    </row>
    <row r="28916">
      <c r="H28916" t="s">
        <v>5117</v>
      </c>
    </row>
    <row r="28917">
      <c r="H28917" t="s">
        <v>5117</v>
      </c>
    </row>
    <row r="28918">
      <c r="H28918" t="s">
        <v>5117</v>
      </c>
    </row>
    <row r="28919">
      <c r="H28919" t="s">
        <v>5117</v>
      </c>
    </row>
    <row r="28920">
      <c r="H28920" t="s">
        <v>5117</v>
      </c>
    </row>
    <row r="28921">
      <c r="H28921" t="s">
        <v>5117</v>
      </c>
    </row>
    <row r="28922">
      <c r="H28922" t="s">
        <v>5117</v>
      </c>
    </row>
    <row r="28923">
      <c r="H28923" t="s">
        <v>5117</v>
      </c>
    </row>
    <row r="28924">
      <c r="H28924" t="s">
        <v>5117</v>
      </c>
    </row>
    <row r="28925">
      <c r="H28925" t="s">
        <v>5117</v>
      </c>
    </row>
    <row r="28926">
      <c r="H28926" t="s">
        <v>5117</v>
      </c>
    </row>
    <row r="28927">
      <c r="H28927" t="s">
        <v>5117</v>
      </c>
    </row>
    <row r="28928">
      <c r="H28928" t="s">
        <v>5117</v>
      </c>
    </row>
    <row r="28929">
      <c r="H28929" t="s">
        <v>5117</v>
      </c>
    </row>
    <row r="28930">
      <c r="H28930" t="s">
        <v>5117</v>
      </c>
    </row>
    <row r="28931">
      <c r="H28931" t="s">
        <v>5117</v>
      </c>
    </row>
    <row r="28932">
      <c r="H28932" t="s">
        <v>5117</v>
      </c>
    </row>
    <row r="28933">
      <c r="H28933" t="s">
        <v>5117</v>
      </c>
    </row>
    <row r="28934">
      <c r="H28934" t="s">
        <v>5117</v>
      </c>
    </row>
    <row r="28935">
      <c r="H28935" t="s">
        <v>5117</v>
      </c>
    </row>
    <row r="28936">
      <c r="H28936" t="s">
        <v>5117</v>
      </c>
    </row>
    <row r="28937">
      <c r="H28937" t="s">
        <v>5117</v>
      </c>
    </row>
    <row r="28938">
      <c r="H28938" t="s">
        <v>5117</v>
      </c>
    </row>
    <row r="28939">
      <c r="H28939" t="s">
        <v>5117</v>
      </c>
    </row>
    <row r="28940">
      <c r="H28940" t="s">
        <v>5117</v>
      </c>
    </row>
    <row r="28941">
      <c r="H28941" t="s">
        <v>5117</v>
      </c>
    </row>
    <row r="28942">
      <c r="H28942" t="s">
        <v>5117</v>
      </c>
    </row>
    <row r="28943">
      <c r="H28943" t="s">
        <v>5117</v>
      </c>
    </row>
    <row r="28944">
      <c r="H28944" t="s">
        <v>5117</v>
      </c>
    </row>
    <row r="28945">
      <c r="H28945" t="s">
        <v>5117</v>
      </c>
    </row>
    <row r="28946">
      <c r="H28946" t="s">
        <v>5117</v>
      </c>
    </row>
    <row r="28947">
      <c r="H28947" t="s">
        <v>5117</v>
      </c>
    </row>
    <row r="28948">
      <c r="H28948" t="s">
        <v>5117</v>
      </c>
    </row>
    <row r="28949">
      <c r="H28949" t="s">
        <v>5117</v>
      </c>
    </row>
    <row r="28950">
      <c r="H28950" t="s">
        <v>5117</v>
      </c>
    </row>
    <row r="28951">
      <c r="H28951" t="s">
        <v>5117</v>
      </c>
    </row>
    <row r="28952">
      <c r="H28952" t="s">
        <v>5117</v>
      </c>
    </row>
    <row r="28953">
      <c r="H28953" t="s">
        <v>5117</v>
      </c>
    </row>
    <row r="28954">
      <c r="H28954" t="s">
        <v>5117</v>
      </c>
    </row>
    <row r="28955">
      <c r="H28955" t="s">
        <v>5117</v>
      </c>
    </row>
    <row r="28956">
      <c r="H28956" t="s">
        <v>5117</v>
      </c>
    </row>
    <row r="28957">
      <c r="H28957" t="s">
        <v>5117</v>
      </c>
    </row>
    <row r="28958">
      <c r="H28958" t="s">
        <v>5117</v>
      </c>
    </row>
    <row r="28959">
      <c r="H28959" t="s">
        <v>5117</v>
      </c>
    </row>
    <row r="28960">
      <c r="H28960" t="s">
        <v>5117</v>
      </c>
    </row>
    <row r="28961">
      <c r="H28961" t="s">
        <v>5117</v>
      </c>
    </row>
    <row r="28962">
      <c r="H28962" t="s">
        <v>5117</v>
      </c>
    </row>
    <row r="28963">
      <c r="H28963" t="s">
        <v>5117</v>
      </c>
    </row>
    <row r="28964">
      <c r="H28964" t="s">
        <v>5117</v>
      </c>
    </row>
    <row r="28965">
      <c r="H28965" t="s">
        <v>5117</v>
      </c>
    </row>
    <row r="28966">
      <c r="H28966" t="s">
        <v>5117</v>
      </c>
    </row>
    <row r="28967">
      <c r="H28967" t="s">
        <v>5117</v>
      </c>
    </row>
    <row r="28968">
      <c r="H28968" t="s">
        <v>5117</v>
      </c>
    </row>
    <row r="28969">
      <c r="H28969" t="s">
        <v>5117</v>
      </c>
    </row>
    <row r="28970">
      <c r="H28970" t="s">
        <v>5117</v>
      </c>
    </row>
    <row r="28971">
      <c r="H28971" t="s">
        <v>5117</v>
      </c>
    </row>
    <row r="28972">
      <c r="H28972" t="s">
        <v>5117</v>
      </c>
    </row>
    <row r="28973">
      <c r="H28973" t="s">
        <v>5117</v>
      </c>
    </row>
    <row r="28974">
      <c r="H28974" t="s">
        <v>5117</v>
      </c>
    </row>
    <row r="28975">
      <c r="H28975" t="s">
        <v>5117</v>
      </c>
    </row>
    <row r="28976">
      <c r="H28976" t="s">
        <v>5117</v>
      </c>
    </row>
    <row r="28977">
      <c r="H28977" t="s">
        <v>5117</v>
      </c>
    </row>
    <row r="28978">
      <c r="H28978" t="s">
        <v>5117</v>
      </c>
    </row>
    <row r="28979">
      <c r="H28979" t="s">
        <v>5117</v>
      </c>
    </row>
    <row r="28980">
      <c r="H28980" t="s">
        <v>5117</v>
      </c>
    </row>
    <row r="28981">
      <c r="H28981" t="s">
        <v>5117</v>
      </c>
    </row>
    <row r="28982">
      <c r="H28982" t="s">
        <v>5117</v>
      </c>
    </row>
    <row r="28983">
      <c r="H28983" t="s">
        <v>5117</v>
      </c>
    </row>
    <row r="28984">
      <c r="H28984" t="s">
        <v>5117</v>
      </c>
    </row>
    <row r="28985">
      <c r="H28985" t="s">
        <v>5117</v>
      </c>
    </row>
    <row r="28986">
      <c r="H28986" t="s">
        <v>5117</v>
      </c>
    </row>
    <row r="28987">
      <c r="H28987" t="s">
        <v>5117</v>
      </c>
    </row>
    <row r="28988">
      <c r="H28988" t="s">
        <v>5117</v>
      </c>
    </row>
    <row r="28989">
      <c r="H28989" t="s">
        <v>5117</v>
      </c>
    </row>
    <row r="28990">
      <c r="H28990" t="s">
        <v>5117</v>
      </c>
    </row>
    <row r="28991">
      <c r="H28991" t="s">
        <v>5117</v>
      </c>
    </row>
    <row r="28992">
      <c r="H28992" t="s">
        <v>5117</v>
      </c>
    </row>
    <row r="28993">
      <c r="H28993" t="s">
        <v>5117</v>
      </c>
    </row>
    <row r="28994">
      <c r="H28994" t="s">
        <v>5117</v>
      </c>
    </row>
    <row r="28995">
      <c r="H28995" t="s">
        <v>5117</v>
      </c>
    </row>
    <row r="28996">
      <c r="H28996" t="s">
        <v>5117</v>
      </c>
    </row>
    <row r="28997">
      <c r="H28997" t="s">
        <v>5117</v>
      </c>
    </row>
    <row r="28998">
      <c r="H28998" t="s">
        <v>5117</v>
      </c>
    </row>
    <row r="28999">
      <c r="H28999" t="s">
        <v>5117</v>
      </c>
    </row>
    <row r="29000">
      <c r="H29000" t="s">
        <v>5117</v>
      </c>
    </row>
    <row r="29001">
      <c r="H29001" t="s">
        <v>5117</v>
      </c>
    </row>
    <row r="29002">
      <c r="H29002" t="s">
        <v>5117</v>
      </c>
    </row>
    <row r="29003">
      <c r="H29003" t="s">
        <v>5117</v>
      </c>
    </row>
    <row r="29004">
      <c r="H29004" t="s">
        <v>5117</v>
      </c>
    </row>
    <row r="29005">
      <c r="H29005" t="s">
        <v>5117</v>
      </c>
    </row>
    <row r="29006">
      <c r="H29006" t="s">
        <v>5117</v>
      </c>
    </row>
    <row r="29007">
      <c r="H29007" t="s">
        <v>5117</v>
      </c>
    </row>
    <row r="29008">
      <c r="H29008" t="s">
        <v>5117</v>
      </c>
    </row>
    <row r="29009">
      <c r="H29009" t="s">
        <v>5117</v>
      </c>
    </row>
    <row r="29010">
      <c r="H29010" t="s">
        <v>5117</v>
      </c>
    </row>
    <row r="29011">
      <c r="H29011" t="s">
        <v>5117</v>
      </c>
    </row>
    <row r="29012">
      <c r="H29012" t="s">
        <v>5117</v>
      </c>
    </row>
    <row r="29013">
      <c r="H29013" t="s">
        <v>5117</v>
      </c>
    </row>
    <row r="29014">
      <c r="H29014" t="s">
        <v>5117</v>
      </c>
    </row>
    <row r="29015">
      <c r="H29015" t="s">
        <v>5117</v>
      </c>
    </row>
    <row r="29016">
      <c r="H29016" t="s">
        <v>5117</v>
      </c>
    </row>
    <row r="29017">
      <c r="H29017" t="s">
        <v>5117</v>
      </c>
    </row>
    <row r="29018">
      <c r="H29018" t="s">
        <v>5117</v>
      </c>
    </row>
    <row r="29019">
      <c r="H29019" t="s">
        <v>5117</v>
      </c>
    </row>
    <row r="29020">
      <c r="H29020" t="s">
        <v>5117</v>
      </c>
    </row>
    <row r="29021">
      <c r="H29021" t="s">
        <v>5117</v>
      </c>
    </row>
    <row r="29022">
      <c r="H29022" t="s">
        <v>5117</v>
      </c>
    </row>
    <row r="29023">
      <c r="H29023" t="s">
        <v>5117</v>
      </c>
    </row>
    <row r="29024">
      <c r="H29024" t="s">
        <v>5117</v>
      </c>
    </row>
    <row r="29025">
      <c r="H29025" t="s">
        <v>5117</v>
      </c>
    </row>
    <row r="29026">
      <c r="H29026" t="s">
        <v>5117</v>
      </c>
    </row>
    <row r="29027">
      <c r="H29027" t="s">
        <v>5117</v>
      </c>
    </row>
    <row r="29028">
      <c r="H29028" t="s">
        <v>5117</v>
      </c>
    </row>
    <row r="29029">
      <c r="H29029" t="s">
        <v>5117</v>
      </c>
    </row>
    <row r="29030">
      <c r="H29030" t="s">
        <v>5117</v>
      </c>
    </row>
    <row r="29031">
      <c r="H29031" t="s">
        <v>5117</v>
      </c>
    </row>
    <row r="29032">
      <c r="H29032" t="s">
        <v>5117</v>
      </c>
    </row>
    <row r="29033">
      <c r="H29033" t="s">
        <v>5117</v>
      </c>
    </row>
    <row r="29034">
      <c r="H29034" t="s">
        <v>5117</v>
      </c>
    </row>
    <row r="29035">
      <c r="H29035" t="s">
        <v>5117</v>
      </c>
    </row>
    <row r="29036">
      <c r="H29036" t="s">
        <v>5117</v>
      </c>
    </row>
    <row r="29037">
      <c r="H29037" t="s">
        <v>5117</v>
      </c>
    </row>
    <row r="29038">
      <c r="H29038" t="s">
        <v>5117</v>
      </c>
    </row>
    <row r="29039">
      <c r="H29039" t="s">
        <v>5117</v>
      </c>
    </row>
    <row r="29040">
      <c r="H29040" t="s">
        <v>5117</v>
      </c>
    </row>
    <row r="29041">
      <c r="H29041" t="s">
        <v>5117</v>
      </c>
    </row>
    <row r="29042">
      <c r="H29042" t="s">
        <v>5117</v>
      </c>
    </row>
    <row r="29043">
      <c r="H29043" t="s">
        <v>5117</v>
      </c>
    </row>
    <row r="29044">
      <c r="H29044" t="s">
        <v>5117</v>
      </c>
    </row>
    <row r="29045">
      <c r="H29045" t="s">
        <v>5117</v>
      </c>
    </row>
    <row r="29046">
      <c r="H29046" t="s">
        <v>5117</v>
      </c>
    </row>
    <row r="29047">
      <c r="H29047" t="s">
        <v>5117</v>
      </c>
    </row>
    <row r="29048">
      <c r="H29048" t="s">
        <v>5117</v>
      </c>
    </row>
    <row r="29049">
      <c r="H29049" t="s">
        <v>5117</v>
      </c>
    </row>
    <row r="29050">
      <c r="H29050" t="s">
        <v>5117</v>
      </c>
    </row>
    <row r="29051">
      <c r="H29051" t="s">
        <v>5117</v>
      </c>
    </row>
    <row r="29052">
      <c r="H29052" t="s">
        <v>5117</v>
      </c>
    </row>
    <row r="29053">
      <c r="H29053" t="s">
        <v>5117</v>
      </c>
    </row>
    <row r="29054">
      <c r="H29054" t="s">
        <v>5117</v>
      </c>
    </row>
    <row r="29055">
      <c r="H29055" t="s">
        <v>5117</v>
      </c>
    </row>
    <row r="29056">
      <c r="H29056" t="s">
        <v>5117</v>
      </c>
    </row>
    <row r="29057">
      <c r="H29057" t="s">
        <v>5117</v>
      </c>
    </row>
    <row r="29058">
      <c r="H29058" t="s">
        <v>5117</v>
      </c>
    </row>
    <row r="29059">
      <c r="H29059" t="s">
        <v>5117</v>
      </c>
    </row>
    <row r="29060">
      <c r="H29060" t="s">
        <v>5117</v>
      </c>
    </row>
    <row r="29061">
      <c r="H29061" t="s">
        <v>5117</v>
      </c>
    </row>
    <row r="29062">
      <c r="H29062" t="s">
        <v>5117</v>
      </c>
    </row>
    <row r="29063">
      <c r="H29063" t="s">
        <v>5117</v>
      </c>
    </row>
    <row r="29064">
      <c r="H29064" t="s">
        <v>5117</v>
      </c>
    </row>
    <row r="29065">
      <c r="H29065" t="s">
        <v>5117</v>
      </c>
    </row>
    <row r="29066">
      <c r="H29066" t="s">
        <v>5117</v>
      </c>
    </row>
    <row r="29067">
      <c r="H29067" t="s">
        <v>5117</v>
      </c>
    </row>
    <row r="29068">
      <c r="H29068" t="s">
        <v>5117</v>
      </c>
    </row>
    <row r="29069">
      <c r="H29069" t="s">
        <v>5117</v>
      </c>
    </row>
    <row r="29070">
      <c r="H29070" t="s">
        <v>5117</v>
      </c>
    </row>
    <row r="29071">
      <c r="H29071" t="s">
        <v>5117</v>
      </c>
    </row>
    <row r="29072">
      <c r="H29072" t="s">
        <v>5117</v>
      </c>
    </row>
    <row r="29073">
      <c r="H29073" t="s">
        <v>5117</v>
      </c>
    </row>
    <row r="29074">
      <c r="H29074" t="s">
        <v>5117</v>
      </c>
    </row>
    <row r="29075">
      <c r="H29075" t="s">
        <v>5117</v>
      </c>
    </row>
    <row r="29076">
      <c r="H29076" t="s">
        <v>5117</v>
      </c>
    </row>
    <row r="29077">
      <c r="H29077" t="s">
        <v>5117</v>
      </c>
    </row>
    <row r="29078">
      <c r="H29078" t="s">
        <v>5117</v>
      </c>
    </row>
    <row r="29079">
      <c r="H29079" t="s">
        <v>5117</v>
      </c>
    </row>
    <row r="29080">
      <c r="H29080" t="s">
        <v>5117</v>
      </c>
    </row>
    <row r="29081">
      <c r="H29081" t="s">
        <v>5117</v>
      </c>
    </row>
    <row r="29082">
      <c r="H29082" t="s">
        <v>5117</v>
      </c>
    </row>
    <row r="29083">
      <c r="H29083" t="s">
        <v>5117</v>
      </c>
    </row>
    <row r="29084">
      <c r="H29084" t="s">
        <v>5117</v>
      </c>
    </row>
    <row r="29085">
      <c r="H29085" t="s">
        <v>5117</v>
      </c>
    </row>
    <row r="29086">
      <c r="H29086" t="s">
        <v>5117</v>
      </c>
    </row>
    <row r="29087">
      <c r="H29087" t="s">
        <v>5117</v>
      </c>
    </row>
    <row r="29088">
      <c r="H29088" t="s">
        <v>5117</v>
      </c>
    </row>
    <row r="29089">
      <c r="H29089" t="s">
        <v>5117</v>
      </c>
    </row>
    <row r="29090">
      <c r="H29090" t="s">
        <v>5117</v>
      </c>
    </row>
    <row r="29091">
      <c r="H29091" t="s">
        <v>5117</v>
      </c>
    </row>
    <row r="29092">
      <c r="H29092" t="s">
        <v>5117</v>
      </c>
    </row>
    <row r="29093">
      <c r="H29093" t="s">
        <v>5117</v>
      </c>
    </row>
    <row r="29094">
      <c r="H29094" t="s">
        <v>5117</v>
      </c>
    </row>
    <row r="29095">
      <c r="H29095" t="s">
        <v>5117</v>
      </c>
    </row>
    <row r="29096">
      <c r="H29096" t="s">
        <v>5117</v>
      </c>
    </row>
    <row r="29097">
      <c r="H29097" t="s">
        <v>5117</v>
      </c>
    </row>
    <row r="29098">
      <c r="H29098" t="s">
        <v>5117</v>
      </c>
    </row>
    <row r="29099">
      <c r="H29099" t="s">
        <v>5117</v>
      </c>
    </row>
    <row r="29100">
      <c r="H29100" t="s">
        <v>5117</v>
      </c>
    </row>
    <row r="29101">
      <c r="H29101" t="s">
        <v>5117</v>
      </c>
    </row>
    <row r="29102">
      <c r="H29102" t="s">
        <v>5117</v>
      </c>
    </row>
    <row r="29103">
      <c r="H29103" t="s">
        <v>5117</v>
      </c>
    </row>
    <row r="29104">
      <c r="H29104" t="s">
        <v>5117</v>
      </c>
    </row>
    <row r="29105">
      <c r="H29105" t="s">
        <v>5117</v>
      </c>
    </row>
    <row r="29106">
      <c r="H29106" t="s">
        <v>5117</v>
      </c>
    </row>
    <row r="29107">
      <c r="H29107" t="s">
        <v>5117</v>
      </c>
    </row>
    <row r="29108">
      <c r="H29108" t="s">
        <v>5117</v>
      </c>
    </row>
    <row r="29109">
      <c r="H29109" t="s">
        <v>5117</v>
      </c>
    </row>
    <row r="29110">
      <c r="H29110" t="s">
        <v>5117</v>
      </c>
    </row>
    <row r="29111">
      <c r="H29111" t="s">
        <v>5117</v>
      </c>
    </row>
    <row r="29112">
      <c r="H29112" t="s">
        <v>5117</v>
      </c>
    </row>
    <row r="29113">
      <c r="H29113" t="s">
        <v>5117</v>
      </c>
    </row>
    <row r="29114">
      <c r="H29114" t="s">
        <v>5117</v>
      </c>
    </row>
    <row r="29115">
      <c r="H29115" t="s">
        <v>5117</v>
      </c>
    </row>
    <row r="29116">
      <c r="H29116" t="s">
        <v>5117</v>
      </c>
    </row>
    <row r="29117">
      <c r="H29117" t="s">
        <v>5117</v>
      </c>
    </row>
    <row r="29118">
      <c r="H29118" t="s">
        <v>5117</v>
      </c>
    </row>
    <row r="29119">
      <c r="H29119" t="s">
        <v>5117</v>
      </c>
    </row>
    <row r="29120">
      <c r="H29120" t="s">
        <v>5117</v>
      </c>
    </row>
    <row r="29121">
      <c r="H29121" t="s">
        <v>5117</v>
      </c>
    </row>
    <row r="29122">
      <c r="H29122" t="s">
        <v>5117</v>
      </c>
    </row>
    <row r="29123">
      <c r="H29123" t="s">
        <v>5117</v>
      </c>
    </row>
    <row r="29124">
      <c r="H29124" t="s">
        <v>5117</v>
      </c>
    </row>
    <row r="29125">
      <c r="H29125" t="s">
        <v>5117</v>
      </c>
    </row>
    <row r="29126">
      <c r="H29126" t="s">
        <v>5117</v>
      </c>
    </row>
    <row r="29127">
      <c r="H29127" t="s">
        <v>5117</v>
      </c>
    </row>
    <row r="29128">
      <c r="H29128" t="s">
        <v>5117</v>
      </c>
    </row>
    <row r="29129">
      <c r="H29129" t="s">
        <v>5117</v>
      </c>
    </row>
    <row r="29130">
      <c r="H29130" t="s">
        <v>5117</v>
      </c>
    </row>
    <row r="29131">
      <c r="H29131" t="s">
        <v>5117</v>
      </c>
    </row>
    <row r="29132">
      <c r="H29132" t="s">
        <v>5117</v>
      </c>
    </row>
    <row r="29133">
      <c r="H29133" t="s">
        <v>5117</v>
      </c>
    </row>
    <row r="29134">
      <c r="H29134" t="s">
        <v>5117</v>
      </c>
    </row>
    <row r="29135">
      <c r="H29135" t="s">
        <v>5117</v>
      </c>
    </row>
    <row r="29136">
      <c r="H29136" t="s">
        <v>5117</v>
      </c>
    </row>
    <row r="29137">
      <c r="H29137" t="s">
        <v>5117</v>
      </c>
    </row>
    <row r="29138">
      <c r="H29138" t="s">
        <v>5117</v>
      </c>
    </row>
    <row r="29139">
      <c r="H29139" t="s">
        <v>5117</v>
      </c>
    </row>
    <row r="29140">
      <c r="H29140" t="s">
        <v>5117</v>
      </c>
    </row>
    <row r="29141">
      <c r="H29141" t="s">
        <v>5117</v>
      </c>
    </row>
    <row r="29142">
      <c r="H29142" t="s">
        <v>5117</v>
      </c>
    </row>
    <row r="29143">
      <c r="H29143" t="s">
        <v>5117</v>
      </c>
    </row>
    <row r="29144">
      <c r="H29144" t="s">
        <v>5117</v>
      </c>
    </row>
    <row r="29145">
      <c r="H29145" t="s">
        <v>5117</v>
      </c>
    </row>
    <row r="29146">
      <c r="H29146" t="s">
        <v>5117</v>
      </c>
    </row>
    <row r="29147">
      <c r="H29147" t="s">
        <v>5117</v>
      </c>
    </row>
    <row r="29148">
      <c r="H29148" t="s">
        <v>5117</v>
      </c>
    </row>
    <row r="29149">
      <c r="H29149" t="s">
        <v>5117</v>
      </c>
    </row>
    <row r="29150">
      <c r="H29150" t="s">
        <v>5117</v>
      </c>
    </row>
    <row r="29151">
      <c r="H29151" t="s">
        <v>5117</v>
      </c>
    </row>
    <row r="29152">
      <c r="H29152" t="s">
        <v>5117</v>
      </c>
    </row>
    <row r="29153">
      <c r="H29153" t="s">
        <v>5117</v>
      </c>
    </row>
    <row r="29154">
      <c r="H29154" t="s">
        <v>5117</v>
      </c>
    </row>
    <row r="29155">
      <c r="H29155" t="s">
        <v>5117</v>
      </c>
    </row>
    <row r="29156">
      <c r="H29156" t="s">
        <v>5117</v>
      </c>
    </row>
    <row r="29157">
      <c r="H29157" t="s">
        <v>5117</v>
      </c>
    </row>
    <row r="29158">
      <c r="H29158" t="s">
        <v>5117</v>
      </c>
    </row>
    <row r="29159">
      <c r="H29159" t="s">
        <v>5117</v>
      </c>
    </row>
    <row r="29160">
      <c r="H29160" t="s">
        <v>5117</v>
      </c>
    </row>
    <row r="29161">
      <c r="H29161" t="s">
        <v>5117</v>
      </c>
    </row>
    <row r="29162">
      <c r="H29162" t="s">
        <v>5117</v>
      </c>
    </row>
    <row r="29163">
      <c r="H29163" t="s">
        <v>5117</v>
      </c>
    </row>
    <row r="29164">
      <c r="H29164" t="s">
        <v>5117</v>
      </c>
    </row>
    <row r="29165">
      <c r="H29165" t="s">
        <v>5117</v>
      </c>
    </row>
    <row r="29166">
      <c r="H29166" t="s">
        <v>5117</v>
      </c>
    </row>
    <row r="29167">
      <c r="H29167" t="s">
        <v>5117</v>
      </c>
    </row>
    <row r="29168">
      <c r="H29168" t="s">
        <v>5117</v>
      </c>
    </row>
    <row r="29169">
      <c r="H29169" t="s">
        <v>5117</v>
      </c>
    </row>
    <row r="29170">
      <c r="H29170" t="s">
        <v>5117</v>
      </c>
    </row>
    <row r="29171">
      <c r="H29171" t="s">
        <v>5117</v>
      </c>
    </row>
    <row r="29172">
      <c r="H29172" t="s">
        <v>5117</v>
      </c>
    </row>
    <row r="29173">
      <c r="H29173" t="s">
        <v>5117</v>
      </c>
    </row>
    <row r="29174">
      <c r="H29174" t="s">
        <v>5117</v>
      </c>
    </row>
    <row r="29175">
      <c r="H29175" t="s">
        <v>5117</v>
      </c>
    </row>
    <row r="29176">
      <c r="H29176" t="s">
        <v>5117</v>
      </c>
    </row>
    <row r="29177">
      <c r="H29177" t="s">
        <v>5117</v>
      </c>
    </row>
    <row r="29178">
      <c r="H29178" t="s">
        <v>5117</v>
      </c>
    </row>
    <row r="29179">
      <c r="H29179" t="s">
        <v>5117</v>
      </c>
    </row>
    <row r="29180">
      <c r="H29180" t="s">
        <v>5117</v>
      </c>
    </row>
    <row r="29181">
      <c r="H29181" t="s">
        <v>5117</v>
      </c>
    </row>
    <row r="29182">
      <c r="H29182" t="s">
        <v>5117</v>
      </c>
    </row>
    <row r="29183">
      <c r="H29183" t="s">
        <v>5117</v>
      </c>
    </row>
    <row r="29184">
      <c r="H29184" t="s">
        <v>5117</v>
      </c>
    </row>
    <row r="29185">
      <c r="H29185" t="s">
        <v>5117</v>
      </c>
    </row>
    <row r="29186">
      <c r="H29186" t="s">
        <v>5117</v>
      </c>
    </row>
    <row r="29187">
      <c r="H29187" t="s">
        <v>5117</v>
      </c>
    </row>
    <row r="29188">
      <c r="H29188" t="s">
        <v>5117</v>
      </c>
    </row>
    <row r="29189">
      <c r="H29189" t="s">
        <v>5117</v>
      </c>
    </row>
    <row r="29190">
      <c r="H29190" t="s">
        <v>5117</v>
      </c>
    </row>
    <row r="29191">
      <c r="H29191" t="s">
        <v>5117</v>
      </c>
    </row>
    <row r="29192">
      <c r="H29192" t="s">
        <v>5117</v>
      </c>
    </row>
    <row r="29193">
      <c r="H29193" t="s">
        <v>5117</v>
      </c>
    </row>
    <row r="29194">
      <c r="H29194" t="s">
        <v>5117</v>
      </c>
    </row>
    <row r="29195">
      <c r="H29195" t="s">
        <v>5117</v>
      </c>
    </row>
    <row r="29196">
      <c r="H29196" t="s">
        <v>5117</v>
      </c>
    </row>
    <row r="29197">
      <c r="H29197" t="s">
        <v>5117</v>
      </c>
    </row>
    <row r="29198">
      <c r="H29198" t="s">
        <v>5117</v>
      </c>
    </row>
    <row r="29199">
      <c r="H29199" t="s">
        <v>5117</v>
      </c>
    </row>
    <row r="29200">
      <c r="H29200" t="s">
        <v>5117</v>
      </c>
    </row>
    <row r="29201">
      <c r="H29201" t="s">
        <v>5117</v>
      </c>
    </row>
    <row r="29202">
      <c r="H29202" t="s">
        <v>5117</v>
      </c>
    </row>
    <row r="29203">
      <c r="H29203" t="s">
        <v>5117</v>
      </c>
    </row>
    <row r="29204">
      <c r="H29204" t="s">
        <v>5117</v>
      </c>
    </row>
    <row r="29205">
      <c r="H29205" t="s">
        <v>5117</v>
      </c>
    </row>
    <row r="29206">
      <c r="H29206" t="s">
        <v>5117</v>
      </c>
    </row>
    <row r="29207">
      <c r="H29207" t="s">
        <v>5117</v>
      </c>
    </row>
    <row r="29208">
      <c r="H29208" t="s">
        <v>5117</v>
      </c>
    </row>
    <row r="29209">
      <c r="H29209" t="s">
        <v>5117</v>
      </c>
    </row>
    <row r="29210">
      <c r="H29210" t="s">
        <v>5117</v>
      </c>
    </row>
    <row r="29211">
      <c r="H29211" t="s">
        <v>5117</v>
      </c>
    </row>
    <row r="29212">
      <c r="H29212" t="s">
        <v>5117</v>
      </c>
    </row>
    <row r="29213">
      <c r="H29213" t="s">
        <v>5117</v>
      </c>
    </row>
    <row r="29214">
      <c r="H29214" t="s">
        <v>5117</v>
      </c>
    </row>
    <row r="29215">
      <c r="H29215" t="s">
        <v>5117</v>
      </c>
    </row>
    <row r="29216">
      <c r="H29216" t="s">
        <v>5117</v>
      </c>
    </row>
    <row r="29217">
      <c r="H29217" t="s">
        <v>5117</v>
      </c>
    </row>
    <row r="29218">
      <c r="H29218" t="s">
        <v>5117</v>
      </c>
    </row>
    <row r="29219">
      <c r="H29219" t="s">
        <v>5117</v>
      </c>
    </row>
    <row r="29220">
      <c r="H29220" t="s">
        <v>5117</v>
      </c>
    </row>
    <row r="29221">
      <c r="H29221" t="s">
        <v>5117</v>
      </c>
    </row>
    <row r="29222">
      <c r="H29222" t="s">
        <v>5117</v>
      </c>
    </row>
    <row r="29223">
      <c r="H29223" t="s">
        <v>5117</v>
      </c>
    </row>
    <row r="29224">
      <c r="H29224" t="s">
        <v>5117</v>
      </c>
    </row>
    <row r="29225">
      <c r="H29225" t="s">
        <v>5117</v>
      </c>
    </row>
    <row r="29226">
      <c r="H29226" t="s">
        <v>5117</v>
      </c>
    </row>
    <row r="29227">
      <c r="H29227" t="s">
        <v>5117</v>
      </c>
    </row>
    <row r="29228">
      <c r="H29228" t="s">
        <v>5117</v>
      </c>
    </row>
    <row r="29229">
      <c r="H29229" t="s">
        <v>5117</v>
      </c>
    </row>
    <row r="29230">
      <c r="H29230" t="s">
        <v>5117</v>
      </c>
    </row>
    <row r="29231">
      <c r="H29231" t="s">
        <v>5117</v>
      </c>
    </row>
    <row r="29232">
      <c r="H29232" t="s">
        <v>5117</v>
      </c>
    </row>
    <row r="29233">
      <c r="H29233" t="s">
        <v>5117</v>
      </c>
    </row>
    <row r="29234">
      <c r="H29234" t="s">
        <v>5117</v>
      </c>
    </row>
    <row r="29235">
      <c r="H29235" t="s">
        <v>5117</v>
      </c>
    </row>
    <row r="29236">
      <c r="H29236" t="s">
        <v>5117</v>
      </c>
    </row>
    <row r="29237">
      <c r="H29237" t="s">
        <v>5117</v>
      </c>
    </row>
    <row r="29238">
      <c r="H29238" t="s">
        <v>5117</v>
      </c>
    </row>
    <row r="29239">
      <c r="H29239" t="s">
        <v>5117</v>
      </c>
    </row>
    <row r="29240">
      <c r="H29240" t="s">
        <v>5117</v>
      </c>
    </row>
    <row r="29241">
      <c r="H29241" t="s">
        <v>5117</v>
      </c>
    </row>
    <row r="29242">
      <c r="H29242" t="s">
        <v>5117</v>
      </c>
    </row>
    <row r="29243">
      <c r="H29243" t="s">
        <v>5117</v>
      </c>
    </row>
    <row r="29244">
      <c r="H29244" t="s">
        <v>5117</v>
      </c>
    </row>
    <row r="29245">
      <c r="H29245" t="s">
        <v>5117</v>
      </c>
    </row>
    <row r="29246">
      <c r="H29246" t="s">
        <v>5117</v>
      </c>
    </row>
    <row r="29247">
      <c r="H29247" t="s">
        <v>5117</v>
      </c>
    </row>
    <row r="29248">
      <c r="H29248" t="s">
        <v>5117</v>
      </c>
    </row>
    <row r="29249">
      <c r="H29249" t="s">
        <v>5117</v>
      </c>
    </row>
    <row r="29250">
      <c r="H29250" t="s">
        <v>5117</v>
      </c>
    </row>
    <row r="29251">
      <c r="H29251" t="s">
        <v>5117</v>
      </c>
    </row>
    <row r="29252">
      <c r="H29252" t="s">
        <v>5117</v>
      </c>
    </row>
    <row r="29253">
      <c r="H29253" t="s">
        <v>5117</v>
      </c>
    </row>
    <row r="29254">
      <c r="H29254" t="s">
        <v>5117</v>
      </c>
    </row>
    <row r="29255">
      <c r="H29255" t="s">
        <v>5117</v>
      </c>
    </row>
    <row r="29256">
      <c r="H29256" t="s">
        <v>5117</v>
      </c>
    </row>
    <row r="29257">
      <c r="H29257" t="s">
        <v>5117</v>
      </c>
    </row>
    <row r="29258">
      <c r="H29258" t="s">
        <v>5117</v>
      </c>
    </row>
    <row r="29259">
      <c r="H29259" t="s">
        <v>5117</v>
      </c>
    </row>
    <row r="29260">
      <c r="H29260" t="s">
        <v>5117</v>
      </c>
    </row>
    <row r="29261">
      <c r="H29261" t="s">
        <v>5117</v>
      </c>
    </row>
    <row r="29262">
      <c r="H29262" t="s">
        <v>5117</v>
      </c>
    </row>
    <row r="29263">
      <c r="H29263" t="s">
        <v>5117</v>
      </c>
    </row>
    <row r="29264">
      <c r="H29264" t="s">
        <v>5117</v>
      </c>
    </row>
    <row r="29265">
      <c r="H29265" t="s">
        <v>5117</v>
      </c>
    </row>
    <row r="29266">
      <c r="H29266" t="s">
        <v>5117</v>
      </c>
    </row>
    <row r="29267">
      <c r="H29267" t="s">
        <v>5117</v>
      </c>
    </row>
    <row r="29268">
      <c r="H29268" t="s">
        <v>5117</v>
      </c>
    </row>
    <row r="29269">
      <c r="H29269" t="s">
        <v>5117</v>
      </c>
    </row>
    <row r="29270">
      <c r="H29270" t="s">
        <v>5117</v>
      </c>
    </row>
    <row r="29271">
      <c r="H29271" t="s">
        <v>5117</v>
      </c>
    </row>
    <row r="29272">
      <c r="H29272" t="s">
        <v>5117</v>
      </c>
    </row>
    <row r="29273">
      <c r="H29273" t="s">
        <v>5117</v>
      </c>
    </row>
    <row r="29274">
      <c r="H29274" t="s">
        <v>5117</v>
      </c>
    </row>
    <row r="29275">
      <c r="H29275" t="s">
        <v>5117</v>
      </c>
    </row>
    <row r="29276">
      <c r="H29276" t="s">
        <v>5117</v>
      </c>
    </row>
    <row r="29277">
      <c r="H29277" t="s">
        <v>5117</v>
      </c>
    </row>
    <row r="29278">
      <c r="H29278" t="s">
        <v>5117</v>
      </c>
    </row>
    <row r="29279">
      <c r="H29279" t="s">
        <v>5117</v>
      </c>
    </row>
    <row r="29280">
      <c r="H29280" t="s">
        <v>5117</v>
      </c>
    </row>
    <row r="29281">
      <c r="H29281" t="s">
        <v>5117</v>
      </c>
    </row>
    <row r="29282">
      <c r="H29282" t="s">
        <v>5117</v>
      </c>
    </row>
    <row r="29283">
      <c r="H29283" t="s">
        <v>5117</v>
      </c>
    </row>
    <row r="29284">
      <c r="H29284" t="s">
        <v>5117</v>
      </c>
    </row>
    <row r="29285">
      <c r="H29285" t="s">
        <v>5117</v>
      </c>
    </row>
    <row r="29286">
      <c r="H29286" t="s">
        <v>5117</v>
      </c>
    </row>
    <row r="29287">
      <c r="H29287" t="s">
        <v>5117</v>
      </c>
    </row>
    <row r="29288">
      <c r="H29288" t="s">
        <v>5117</v>
      </c>
    </row>
    <row r="29289">
      <c r="H29289" t="s">
        <v>5117</v>
      </c>
    </row>
    <row r="29290">
      <c r="H29290" t="s">
        <v>5117</v>
      </c>
    </row>
    <row r="29291">
      <c r="H29291" t="s">
        <v>5117</v>
      </c>
    </row>
    <row r="29292">
      <c r="H29292" t="s">
        <v>5117</v>
      </c>
    </row>
    <row r="29293">
      <c r="H29293" t="s">
        <v>5117</v>
      </c>
    </row>
    <row r="29294">
      <c r="H29294" t="s">
        <v>5117</v>
      </c>
    </row>
    <row r="29295">
      <c r="H29295" t="s">
        <v>5117</v>
      </c>
    </row>
    <row r="29296">
      <c r="H29296" t="s">
        <v>5117</v>
      </c>
    </row>
    <row r="29297">
      <c r="H29297" t="s">
        <v>5117</v>
      </c>
    </row>
    <row r="29298">
      <c r="H29298" t="s">
        <v>5117</v>
      </c>
    </row>
    <row r="29299">
      <c r="H29299" t="s">
        <v>5117</v>
      </c>
    </row>
    <row r="29300">
      <c r="H29300" t="s">
        <v>5117</v>
      </c>
    </row>
    <row r="29301">
      <c r="H29301" t="s">
        <v>5117</v>
      </c>
    </row>
    <row r="29302">
      <c r="H29302" t="s">
        <v>5117</v>
      </c>
    </row>
    <row r="29303">
      <c r="H29303" t="s">
        <v>5117</v>
      </c>
    </row>
    <row r="29304">
      <c r="H29304" t="s">
        <v>5117</v>
      </c>
    </row>
    <row r="29305">
      <c r="H29305" t="s">
        <v>5117</v>
      </c>
    </row>
    <row r="29306">
      <c r="H29306" t="s">
        <v>5117</v>
      </c>
    </row>
    <row r="29307">
      <c r="H29307" t="s">
        <v>5117</v>
      </c>
    </row>
    <row r="29308">
      <c r="H29308" t="s">
        <v>5117</v>
      </c>
    </row>
    <row r="29309">
      <c r="H29309" t="s">
        <v>5117</v>
      </c>
    </row>
    <row r="29310">
      <c r="H29310" t="s">
        <v>5117</v>
      </c>
    </row>
    <row r="29311">
      <c r="H29311" t="s">
        <v>5117</v>
      </c>
    </row>
    <row r="29312">
      <c r="H29312" t="s">
        <v>5117</v>
      </c>
    </row>
    <row r="29313">
      <c r="H29313" t="s">
        <v>5117</v>
      </c>
    </row>
    <row r="29314">
      <c r="H29314" t="s">
        <v>5117</v>
      </c>
    </row>
    <row r="29315">
      <c r="H29315" t="s">
        <v>5117</v>
      </c>
    </row>
    <row r="29316">
      <c r="H29316" t="s">
        <v>5117</v>
      </c>
    </row>
    <row r="29317">
      <c r="H29317" t="s">
        <v>5117</v>
      </c>
    </row>
    <row r="29318">
      <c r="H29318" t="s">
        <v>5117</v>
      </c>
    </row>
    <row r="29319">
      <c r="H29319" t="s">
        <v>5117</v>
      </c>
    </row>
    <row r="29320">
      <c r="H29320" t="s">
        <v>5117</v>
      </c>
    </row>
    <row r="29321">
      <c r="H29321" t="s">
        <v>5117</v>
      </c>
    </row>
    <row r="29322">
      <c r="H29322" t="s">
        <v>5117</v>
      </c>
    </row>
    <row r="29323">
      <c r="H29323" t="s">
        <v>5117</v>
      </c>
    </row>
    <row r="29324">
      <c r="H29324" t="s">
        <v>5117</v>
      </c>
    </row>
    <row r="29325">
      <c r="H29325" t="s">
        <v>5117</v>
      </c>
    </row>
    <row r="29326">
      <c r="H29326" t="s">
        <v>5117</v>
      </c>
    </row>
    <row r="29327">
      <c r="H29327" t="s">
        <v>5117</v>
      </c>
    </row>
    <row r="29328">
      <c r="H29328" t="s">
        <v>5117</v>
      </c>
    </row>
    <row r="29329">
      <c r="H29329" t="s">
        <v>5117</v>
      </c>
    </row>
    <row r="29330">
      <c r="H29330" t="s">
        <v>5117</v>
      </c>
    </row>
    <row r="29331">
      <c r="H29331" t="s">
        <v>5117</v>
      </c>
    </row>
    <row r="29332">
      <c r="H29332" t="s">
        <v>5117</v>
      </c>
    </row>
    <row r="29333">
      <c r="H29333" t="s">
        <v>5117</v>
      </c>
    </row>
    <row r="29334">
      <c r="H29334" t="s">
        <v>5117</v>
      </c>
    </row>
    <row r="29335">
      <c r="H29335" t="s">
        <v>5117</v>
      </c>
    </row>
    <row r="29336">
      <c r="H29336" t="s">
        <v>5117</v>
      </c>
    </row>
    <row r="29337">
      <c r="H29337" t="s">
        <v>5117</v>
      </c>
    </row>
    <row r="29338">
      <c r="H29338" t="s">
        <v>5117</v>
      </c>
    </row>
    <row r="29339">
      <c r="H29339" t="s">
        <v>5117</v>
      </c>
    </row>
    <row r="29340">
      <c r="H29340" t="s">
        <v>5117</v>
      </c>
    </row>
    <row r="29341">
      <c r="H29341" t="s">
        <v>5117</v>
      </c>
    </row>
    <row r="29342">
      <c r="H29342" t="s">
        <v>5117</v>
      </c>
    </row>
    <row r="29343">
      <c r="H29343" t="s">
        <v>5117</v>
      </c>
    </row>
    <row r="29344">
      <c r="H29344" t="s">
        <v>5117</v>
      </c>
    </row>
    <row r="29345">
      <c r="H29345" t="s">
        <v>5117</v>
      </c>
    </row>
    <row r="29346">
      <c r="H29346" t="s">
        <v>5117</v>
      </c>
    </row>
    <row r="29347">
      <c r="H29347" t="s">
        <v>5117</v>
      </c>
    </row>
    <row r="29348">
      <c r="H29348" t="s">
        <v>5117</v>
      </c>
    </row>
    <row r="29349">
      <c r="H29349" t="s">
        <v>5117</v>
      </c>
    </row>
    <row r="29350">
      <c r="H29350" t="s">
        <v>5117</v>
      </c>
    </row>
    <row r="29351">
      <c r="H29351" t="s">
        <v>5117</v>
      </c>
    </row>
    <row r="29352">
      <c r="H29352" t="s">
        <v>5117</v>
      </c>
    </row>
    <row r="29353">
      <c r="H29353" t="s">
        <v>5117</v>
      </c>
    </row>
    <row r="29354">
      <c r="H29354" t="s">
        <v>5117</v>
      </c>
    </row>
    <row r="29355">
      <c r="H29355" t="s">
        <v>5117</v>
      </c>
    </row>
    <row r="29356">
      <c r="H29356" t="s">
        <v>5117</v>
      </c>
    </row>
    <row r="29357">
      <c r="H29357" t="s">
        <v>5117</v>
      </c>
    </row>
    <row r="29358">
      <c r="H29358" t="s">
        <v>5117</v>
      </c>
    </row>
    <row r="29359">
      <c r="H29359" t="s">
        <v>5117</v>
      </c>
    </row>
    <row r="29360">
      <c r="H29360" t="s">
        <v>5117</v>
      </c>
    </row>
    <row r="29361">
      <c r="H29361" t="s">
        <v>5117</v>
      </c>
    </row>
    <row r="29362">
      <c r="H29362" t="s">
        <v>5117</v>
      </c>
    </row>
    <row r="29363">
      <c r="H29363" t="s">
        <v>5117</v>
      </c>
    </row>
    <row r="29364">
      <c r="H29364" t="s">
        <v>5117</v>
      </c>
    </row>
    <row r="29365">
      <c r="H29365" t="s">
        <v>5117</v>
      </c>
    </row>
    <row r="29366">
      <c r="H29366" t="s">
        <v>5117</v>
      </c>
    </row>
    <row r="29367">
      <c r="H29367" t="s">
        <v>5117</v>
      </c>
    </row>
    <row r="29368">
      <c r="H29368" t="s">
        <v>5117</v>
      </c>
    </row>
    <row r="29369">
      <c r="H29369" t="s">
        <v>5117</v>
      </c>
    </row>
    <row r="29370">
      <c r="H29370" t="s">
        <v>5117</v>
      </c>
    </row>
    <row r="29371">
      <c r="H29371" t="s">
        <v>5117</v>
      </c>
    </row>
    <row r="29372">
      <c r="H29372" t="s">
        <v>5117</v>
      </c>
    </row>
    <row r="29373">
      <c r="H29373" t="s">
        <v>5117</v>
      </c>
    </row>
    <row r="29374">
      <c r="H29374" t="s">
        <v>5117</v>
      </c>
    </row>
    <row r="29375">
      <c r="H29375" t="s">
        <v>5117</v>
      </c>
    </row>
    <row r="29376">
      <c r="H29376" t="s">
        <v>5117</v>
      </c>
    </row>
    <row r="29377">
      <c r="H29377" t="s">
        <v>5117</v>
      </c>
    </row>
    <row r="29378">
      <c r="H29378" t="s">
        <v>5117</v>
      </c>
    </row>
    <row r="29379">
      <c r="H29379" t="s">
        <v>5117</v>
      </c>
    </row>
    <row r="29380">
      <c r="H29380" t="s">
        <v>5117</v>
      </c>
    </row>
    <row r="29381">
      <c r="H29381" t="s">
        <v>5117</v>
      </c>
    </row>
    <row r="29382">
      <c r="H29382" t="s">
        <v>5117</v>
      </c>
    </row>
    <row r="29383">
      <c r="H29383" t="s">
        <v>5117</v>
      </c>
    </row>
    <row r="29384">
      <c r="H29384" t="s">
        <v>5117</v>
      </c>
    </row>
    <row r="29385">
      <c r="H29385" t="s">
        <v>5117</v>
      </c>
    </row>
    <row r="29386">
      <c r="H29386" t="s">
        <v>5117</v>
      </c>
    </row>
    <row r="29387">
      <c r="H29387" t="s">
        <v>5117</v>
      </c>
    </row>
    <row r="29388">
      <c r="H29388" t="s">
        <v>5117</v>
      </c>
    </row>
    <row r="29389">
      <c r="H29389" t="s">
        <v>5117</v>
      </c>
    </row>
    <row r="29390">
      <c r="H29390" t="s">
        <v>5117</v>
      </c>
    </row>
    <row r="29391">
      <c r="H29391" t="s">
        <v>5117</v>
      </c>
    </row>
    <row r="29392">
      <c r="H29392" t="s">
        <v>5117</v>
      </c>
    </row>
    <row r="29393">
      <c r="H29393" t="s">
        <v>5117</v>
      </c>
    </row>
    <row r="29394">
      <c r="H29394" t="s">
        <v>5117</v>
      </c>
    </row>
    <row r="29395">
      <c r="H29395" t="s">
        <v>5117</v>
      </c>
    </row>
    <row r="29396">
      <c r="H29396" t="s">
        <v>5117</v>
      </c>
    </row>
    <row r="29397">
      <c r="H29397" t="s">
        <v>5117</v>
      </c>
    </row>
    <row r="29398">
      <c r="H29398" t="s">
        <v>5117</v>
      </c>
    </row>
    <row r="29399">
      <c r="H29399" t="s">
        <v>5117</v>
      </c>
    </row>
    <row r="29400">
      <c r="H29400" t="s">
        <v>5117</v>
      </c>
    </row>
    <row r="29401">
      <c r="H29401" t="s">
        <v>5117</v>
      </c>
    </row>
    <row r="29402">
      <c r="H29402" t="s">
        <v>5117</v>
      </c>
    </row>
    <row r="29403">
      <c r="H29403" t="s">
        <v>5117</v>
      </c>
    </row>
    <row r="29404">
      <c r="H29404" t="s">
        <v>5117</v>
      </c>
    </row>
    <row r="29405">
      <c r="H29405" t="s">
        <v>5117</v>
      </c>
    </row>
    <row r="29406">
      <c r="H29406" t="s">
        <v>5117</v>
      </c>
    </row>
    <row r="29407">
      <c r="H29407" t="s">
        <v>5117</v>
      </c>
    </row>
    <row r="29408">
      <c r="H29408" t="s">
        <v>5117</v>
      </c>
    </row>
    <row r="29409">
      <c r="H29409" t="s">
        <v>5117</v>
      </c>
    </row>
    <row r="29410">
      <c r="H29410" t="s">
        <v>5117</v>
      </c>
    </row>
    <row r="29411">
      <c r="H29411" t="s">
        <v>5117</v>
      </c>
    </row>
    <row r="29412">
      <c r="H29412" t="s">
        <v>5117</v>
      </c>
    </row>
    <row r="29413">
      <c r="H29413" t="s">
        <v>5117</v>
      </c>
    </row>
    <row r="29414">
      <c r="H29414" t="s">
        <v>5117</v>
      </c>
    </row>
    <row r="29415">
      <c r="H29415" t="s">
        <v>5117</v>
      </c>
    </row>
    <row r="29416">
      <c r="H29416" t="s">
        <v>5117</v>
      </c>
    </row>
    <row r="29417">
      <c r="H29417" t="s">
        <v>5117</v>
      </c>
    </row>
    <row r="29418">
      <c r="H29418" t="s">
        <v>5117</v>
      </c>
    </row>
    <row r="29419">
      <c r="H29419" t="s">
        <v>5117</v>
      </c>
    </row>
    <row r="29420">
      <c r="H29420" t="s">
        <v>5117</v>
      </c>
    </row>
    <row r="29421">
      <c r="H29421" t="s">
        <v>5117</v>
      </c>
    </row>
    <row r="29422">
      <c r="H29422" t="s">
        <v>5117</v>
      </c>
    </row>
    <row r="29423">
      <c r="H29423" t="s">
        <v>5117</v>
      </c>
    </row>
    <row r="29424">
      <c r="H29424" t="s">
        <v>5117</v>
      </c>
    </row>
    <row r="29425">
      <c r="H29425" t="s">
        <v>5117</v>
      </c>
    </row>
    <row r="29426">
      <c r="H29426" t="s">
        <v>5117</v>
      </c>
    </row>
    <row r="29427">
      <c r="H29427" t="s">
        <v>5117</v>
      </c>
    </row>
    <row r="29428">
      <c r="H29428" t="s">
        <v>5117</v>
      </c>
    </row>
    <row r="29429">
      <c r="H29429" t="s">
        <v>5117</v>
      </c>
    </row>
    <row r="29430">
      <c r="H29430" t="s">
        <v>5117</v>
      </c>
    </row>
    <row r="29431">
      <c r="H29431" t="s">
        <v>5117</v>
      </c>
    </row>
    <row r="29432">
      <c r="H29432" t="s">
        <v>5117</v>
      </c>
    </row>
    <row r="29433">
      <c r="H29433" t="s">
        <v>5117</v>
      </c>
    </row>
    <row r="29434">
      <c r="H29434" t="s">
        <v>5117</v>
      </c>
    </row>
    <row r="29435">
      <c r="H29435" t="s">
        <v>5117</v>
      </c>
    </row>
    <row r="29436">
      <c r="H29436" t="s">
        <v>5117</v>
      </c>
    </row>
    <row r="29437">
      <c r="H29437" t="s">
        <v>5117</v>
      </c>
    </row>
    <row r="29438">
      <c r="H29438" t="s">
        <v>5117</v>
      </c>
    </row>
    <row r="29439">
      <c r="H29439" t="s">
        <v>5117</v>
      </c>
    </row>
    <row r="29440">
      <c r="H29440" t="s">
        <v>5117</v>
      </c>
    </row>
    <row r="29441">
      <c r="H29441" t="s">
        <v>5117</v>
      </c>
    </row>
    <row r="29442">
      <c r="H29442" t="s">
        <v>5117</v>
      </c>
    </row>
    <row r="29443">
      <c r="H29443" t="s">
        <v>5117</v>
      </c>
    </row>
    <row r="29444">
      <c r="H29444" t="s">
        <v>5117</v>
      </c>
    </row>
    <row r="29445">
      <c r="H29445" t="s">
        <v>5117</v>
      </c>
    </row>
    <row r="29446">
      <c r="H29446" t="s">
        <v>5117</v>
      </c>
    </row>
    <row r="29447">
      <c r="H29447" t="s">
        <v>5117</v>
      </c>
    </row>
    <row r="29448">
      <c r="H29448" t="s">
        <v>5117</v>
      </c>
    </row>
    <row r="29449">
      <c r="H29449" t="s">
        <v>5117</v>
      </c>
    </row>
    <row r="29450">
      <c r="H29450" t="s">
        <v>5117</v>
      </c>
    </row>
    <row r="29451">
      <c r="H29451" t="s">
        <v>5117</v>
      </c>
    </row>
    <row r="29452">
      <c r="H29452" t="s">
        <v>5117</v>
      </c>
    </row>
    <row r="29453">
      <c r="H29453" t="s">
        <v>5117</v>
      </c>
    </row>
    <row r="29454">
      <c r="H29454" t="s">
        <v>5117</v>
      </c>
    </row>
    <row r="29455">
      <c r="H29455" t="s">
        <v>5117</v>
      </c>
    </row>
    <row r="29456">
      <c r="H29456" t="s">
        <v>5117</v>
      </c>
    </row>
    <row r="29457">
      <c r="H29457" t="s">
        <v>5117</v>
      </c>
    </row>
    <row r="29458">
      <c r="H29458" t="s">
        <v>5117</v>
      </c>
    </row>
    <row r="29459">
      <c r="H29459" t="s">
        <v>5117</v>
      </c>
    </row>
    <row r="29460">
      <c r="H29460" t="s">
        <v>5117</v>
      </c>
    </row>
    <row r="29461">
      <c r="H29461" t="s">
        <v>5117</v>
      </c>
    </row>
    <row r="29462">
      <c r="H29462" t="s">
        <v>5117</v>
      </c>
    </row>
    <row r="29463">
      <c r="H29463" t="s">
        <v>5117</v>
      </c>
    </row>
    <row r="29464">
      <c r="H29464" t="s">
        <v>5117</v>
      </c>
    </row>
    <row r="29465">
      <c r="H29465" t="s">
        <v>5117</v>
      </c>
    </row>
    <row r="29466">
      <c r="H29466" t="s">
        <v>5117</v>
      </c>
    </row>
    <row r="29467">
      <c r="H29467" t="s">
        <v>5117</v>
      </c>
    </row>
    <row r="29468">
      <c r="H29468" t="s">
        <v>5117</v>
      </c>
    </row>
    <row r="29469">
      <c r="H29469" t="s">
        <v>5117</v>
      </c>
    </row>
    <row r="29470">
      <c r="H29470" t="s">
        <v>5117</v>
      </c>
    </row>
    <row r="29471">
      <c r="H29471" t="s">
        <v>5117</v>
      </c>
    </row>
    <row r="29472">
      <c r="H29472" t="s">
        <v>5117</v>
      </c>
    </row>
    <row r="29473">
      <c r="H29473" t="s">
        <v>5117</v>
      </c>
    </row>
    <row r="29474">
      <c r="H29474" t="s">
        <v>5117</v>
      </c>
    </row>
    <row r="29475">
      <c r="H29475" t="s">
        <v>5117</v>
      </c>
    </row>
    <row r="29476">
      <c r="H29476" t="s">
        <v>5117</v>
      </c>
    </row>
    <row r="29477">
      <c r="H29477" t="s">
        <v>5117</v>
      </c>
    </row>
    <row r="29478">
      <c r="H29478" t="s">
        <v>5117</v>
      </c>
    </row>
    <row r="29479">
      <c r="H29479" t="s">
        <v>5117</v>
      </c>
    </row>
    <row r="29480">
      <c r="H29480" t="s">
        <v>5117</v>
      </c>
    </row>
    <row r="29481">
      <c r="H29481" t="s">
        <v>5117</v>
      </c>
    </row>
    <row r="29482">
      <c r="H29482" t="s">
        <v>5117</v>
      </c>
    </row>
    <row r="29483">
      <c r="H29483" t="s">
        <v>5117</v>
      </c>
    </row>
    <row r="29484">
      <c r="H29484" t="s">
        <v>5117</v>
      </c>
    </row>
    <row r="29485">
      <c r="H29485" t="s">
        <v>5117</v>
      </c>
    </row>
    <row r="29486">
      <c r="H29486" t="s">
        <v>5117</v>
      </c>
    </row>
    <row r="29487">
      <c r="H29487" t="s">
        <v>5117</v>
      </c>
    </row>
    <row r="29488">
      <c r="H29488" t="s">
        <v>5117</v>
      </c>
    </row>
    <row r="29489">
      <c r="H29489" t="s">
        <v>5117</v>
      </c>
    </row>
    <row r="29490">
      <c r="H29490" t="s">
        <v>5117</v>
      </c>
    </row>
    <row r="29491">
      <c r="H29491" t="s">
        <v>5117</v>
      </c>
    </row>
    <row r="29492">
      <c r="H29492" t="s">
        <v>5117</v>
      </c>
    </row>
    <row r="29493">
      <c r="H29493" t="s">
        <v>5117</v>
      </c>
    </row>
    <row r="29494">
      <c r="H29494" t="s">
        <v>5117</v>
      </c>
    </row>
    <row r="29495">
      <c r="H29495" t="s">
        <v>5117</v>
      </c>
    </row>
    <row r="29496">
      <c r="H29496" t="s">
        <v>5117</v>
      </c>
    </row>
    <row r="29497">
      <c r="H29497" t="s">
        <v>5117</v>
      </c>
    </row>
    <row r="29498">
      <c r="H29498" t="s">
        <v>5117</v>
      </c>
    </row>
    <row r="29499">
      <c r="H29499" t="s">
        <v>5117</v>
      </c>
    </row>
    <row r="29500">
      <c r="H29500" t="s">
        <v>5117</v>
      </c>
    </row>
    <row r="29501">
      <c r="H29501" t="s">
        <v>5117</v>
      </c>
    </row>
    <row r="29502">
      <c r="H29502" t="s">
        <v>5117</v>
      </c>
    </row>
    <row r="29503">
      <c r="H29503" t="s">
        <v>5117</v>
      </c>
    </row>
    <row r="29504">
      <c r="H29504" t="s">
        <v>5117</v>
      </c>
    </row>
    <row r="29505">
      <c r="H29505" t="s">
        <v>5117</v>
      </c>
    </row>
    <row r="29506">
      <c r="H29506" t="s">
        <v>5117</v>
      </c>
    </row>
    <row r="29507">
      <c r="H29507" t="s">
        <v>5117</v>
      </c>
    </row>
    <row r="29508">
      <c r="H29508" t="s">
        <v>5117</v>
      </c>
    </row>
    <row r="29509">
      <c r="H29509" t="s">
        <v>5117</v>
      </c>
    </row>
    <row r="29510">
      <c r="H29510" t="s">
        <v>5117</v>
      </c>
    </row>
    <row r="29511">
      <c r="H29511" t="s">
        <v>5117</v>
      </c>
    </row>
    <row r="29512">
      <c r="H29512" t="s">
        <v>5117</v>
      </c>
    </row>
    <row r="29513">
      <c r="H29513" t="s">
        <v>5117</v>
      </c>
    </row>
    <row r="29514">
      <c r="H29514" t="s">
        <v>5117</v>
      </c>
    </row>
    <row r="29515">
      <c r="H29515" t="s">
        <v>5117</v>
      </c>
    </row>
    <row r="29516">
      <c r="H29516" t="s">
        <v>5117</v>
      </c>
    </row>
    <row r="29517">
      <c r="H29517" t="s">
        <v>5117</v>
      </c>
    </row>
    <row r="29518">
      <c r="H29518" t="s">
        <v>5117</v>
      </c>
    </row>
    <row r="29519">
      <c r="H29519" t="s">
        <v>5117</v>
      </c>
    </row>
    <row r="29520">
      <c r="H29520" t="s">
        <v>5117</v>
      </c>
    </row>
    <row r="29521">
      <c r="H29521" t="s">
        <v>5117</v>
      </c>
    </row>
    <row r="29522">
      <c r="H29522" t="s">
        <v>5117</v>
      </c>
    </row>
    <row r="29523">
      <c r="H29523" t="s">
        <v>5117</v>
      </c>
    </row>
    <row r="29524">
      <c r="H29524" t="s">
        <v>5117</v>
      </c>
    </row>
    <row r="29525">
      <c r="H29525" t="s">
        <v>5117</v>
      </c>
    </row>
    <row r="29526">
      <c r="H29526" t="s">
        <v>5117</v>
      </c>
    </row>
    <row r="29527">
      <c r="H29527" t="s">
        <v>5117</v>
      </c>
    </row>
    <row r="29528">
      <c r="H29528" t="s">
        <v>5117</v>
      </c>
    </row>
    <row r="29529">
      <c r="H29529" t="s">
        <v>5117</v>
      </c>
    </row>
    <row r="29530">
      <c r="H29530" t="s">
        <v>5117</v>
      </c>
    </row>
    <row r="29531">
      <c r="H29531" t="s">
        <v>5117</v>
      </c>
    </row>
    <row r="29532">
      <c r="H29532" t="s">
        <v>5117</v>
      </c>
    </row>
    <row r="29533">
      <c r="H29533" t="s">
        <v>5117</v>
      </c>
    </row>
    <row r="29534">
      <c r="H29534" t="s">
        <v>5117</v>
      </c>
    </row>
    <row r="29535">
      <c r="H29535" t="s">
        <v>5117</v>
      </c>
    </row>
    <row r="29536">
      <c r="H29536" t="s">
        <v>5117</v>
      </c>
    </row>
    <row r="29537">
      <c r="H29537" t="s">
        <v>5117</v>
      </c>
    </row>
    <row r="29538">
      <c r="H29538" t="s">
        <v>5117</v>
      </c>
    </row>
    <row r="29539">
      <c r="H29539" t="s">
        <v>5117</v>
      </c>
    </row>
    <row r="29540">
      <c r="H29540" t="s">
        <v>5117</v>
      </c>
    </row>
    <row r="29541">
      <c r="H29541" t="s">
        <v>5117</v>
      </c>
    </row>
    <row r="29542">
      <c r="H29542" t="s">
        <v>5117</v>
      </c>
    </row>
    <row r="29543">
      <c r="H29543" t="s">
        <v>5117</v>
      </c>
    </row>
    <row r="29544">
      <c r="H29544" t="s">
        <v>5117</v>
      </c>
    </row>
    <row r="29545">
      <c r="H29545" t="s">
        <v>5117</v>
      </c>
    </row>
    <row r="29546">
      <c r="H29546" t="s">
        <v>5117</v>
      </c>
    </row>
    <row r="29547">
      <c r="H29547" t="s">
        <v>5117</v>
      </c>
    </row>
    <row r="29548">
      <c r="H29548" t="s">
        <v>5117</v>
      </c>
    </row>
    <row r="29549">
      <c r="H29549" t="s">
        <v>5117</v>
      </c>
    </row>
    <row r="29550">
      <c r="H29550" t="s">
        <v>5117</v>
      </c>
    </row>
    <row r="29551">
      <c r="H29551" t="s">
        <v>5117</v>
      </c>
    </row>
    <row r="29552">
      <c r="H29552" t="s">
        <v>5117</v>
      </c>
    </row>
    <row r="29553">
      <c r="H29553" t="s">
        <v>5117</v>
      </c>
    </row>
    <row r="29554">
      <c r="H29554" t="s">
        <v>5117</v>
      </c>
    </row>
    <row r="29555">
      <c r="H29555" t="s">
        <v>5117</v>
      </c>
    </row>
    <row r="29556">
      <c r="H29556" t="s">
        <v>5117</v>
      </c>
    </row>
    <row r="29557">
      <c r="H29557" t="s">
        <v>5117</v>
      </c>
    </row>
    <row r="29558">
      <c r="H29558" t="s">
        <v>5117</v>
      </c>
    </row>
    <row r="29559">
      <c r="H29559" t="s">
        <v>5117</v>
      </c>
    </row>
    <row r="29560">
      <c r="H29560" t="s">
        <v>5117</v>
      </c>
    </row>
    <row r="29561">
      <c r="H29561" t="s">
        <v>5117</v>
      </c>
    </row>
    <row r="29562">
      <c r="H29562" t="s">
        <v>5117</v>
      </c>
    </row>
    <row r="29563">
      <c r="H29563" t="s">
        <v>5117</v>
      </c>
    </row>
    <row r="29564">
      <c r="H29564" t="s">
        <v>5117</v>
      </c>
    </row>
    <row r="29565">
      <c r="H29565" t="s">
        <v>5117</v>
      </c>
    </row>
    <row r="29566">
      <c r="H29566" t="s">
        <v>5117</v>
      </c>
    </row>
    <row r="29567">
      <c r="H29567" t="s">
        <v>5117</v>
      </c>
    </row>
    <row r="29568">
      <c r="H29568" t="s">
        <v>5117</v>
      </c>
    </row>
    <row r="29569">
      <c r="H29569" t="s">
        <v>5117</v>
      </c>
    </row>
    <row r="29570">
      <c r="H29570" t="s">
        <v>5117</v>
      </c>
    </row>
    <row r="29571">
      <c r="H29571" t="s">
        <v>5117</v>
      </c>
    </row>
    <row r="29572">
      <c r="H29572" t="s">
        <v>5117</v>
      </c>
    </row>
    <row r="29573">
      <c r="H29573" t="s">
        <v>5117</v>
      </c>
    </row>
    <row r="29574">
      <c r="H29574" t="s">
        <v>5117</v>
      </c>
    </row>
    <row r="29575">
      <c r="H29575" t="s">
        <v>5117</v>
      </c>
    </row>
    <row r="29576">
      <c r="H29576" t="s">
        <v>5117</v>
      </c>
    </row>
    <row r="29577">
      <c r="H29577" t="s">
        <v>5117</v>
      </c>
    </row>
    <row r="29578">
      <c r="H29578" t="s">
        <v>5117</v>
      </c>
    </row>
    <row r="29579">
      <c r="H29579" t="s">
        <v>5117</v>
      </c>
    </row>
    <row r="29580">
      <c r="H29580" t="s">
        <v>5117</v>
      </c>
    </row>
    <row r="29581">
      <c r="H29581" t="s">
        <v>5117</v>
      </c>
    </row>
    <row r="29582">
      <c r="H29582" t="s">
        <v>5117</v>
      </c>
    </row>
    <row r="29583">
      <c r="H29583" t="s">
        <v>5117</v>
      </c>
    </row>
    <row r="29584">
      <c r="H29584" t="s">
        <v>5117</v>
      </c>
    </row>
    <row r="29585">
      <c r="H29585" t="s">
        <v>5117</v>
      </c>
    </row>
    <row r="29586">
      <c r="H29586" t="s">
        <v>5117</v>
      </c>
    </row>
    <row r="29587">
      <c r="H29587" t="s">
        <v>5117</v>
      </c>
    </row>
    <row r="29588">
      <c r="H29588" t="s">
        <v>5117</v>
      </c>
    </row>
    <row r="29589">
      <c r="H29589" t="s">
        <v>5117</v>
      </c>
    </row>
    <row r="29590">
      <c r="H29590" t="s">
        <v>5117</v>
      </c>
    </row>
    <row r="29591">
      <c r="H29591" t="s">
        <v>5117</v>
      </c>
    </row>
    <row r="29592">
      <c r="H29592" t="s">
        <v>5117</v>
      </c>
    </row>
    <row r="29593">
      <c r="H29593" t="s">
        <v>5117</v>
      </c>
    </row>
    <row r="29594">
      <c r="H29594" t="s">
        <v>5117</v>
      </c>
    </row>
    <row r="29595">
      <c r="H29595" t="s">
        <v>5117</v>
      </c>
    </row>
    <row r="29596">
      <c r="H29596" t="s">
        <v>5117</v>
      </c>
    </row>
    <row r="29597">
      <c r="H29597" t="s">
        <v>5117</v>
      </c>
    </row>
    <row r="29598">
      <c r="H29598" t="s">
        <v>5117</v>
      </c>
    </row>
    <row r="29599">
      <c r="H29599" t="s">
        <v>5117</v>
      </c>
    </row>
    <row r="29600">
      <c r="H29600" t="s">
        <v>5117</v>
      </c>
    </row>
    <row r="29601">
      <c r="H29601" t="s">
        <v>5117</v>
      </c>
    </row>
    <row r="29602">
      <c r="H29602" t="s">
        <v>5117</v>
      </c>
    </row>
    <row r="29603">
      <c r="H29603" t="s">
        <v>5117</v>
      </c>
    </row>
    <row r="29604">
      <c r="H29604" t="s">
        <v>5117</v>
      </c>
    </row>
    <row r="29605">
      <c r="H29605" t="s">
        <v>5117</v>
      </c>
    </row>
    <row r="29606">
      <c r="H29606" t="s">
        <v>5117</v>
      </c>
    </row>
    <row r="29607">
      <c r="H29607" t="s">
        <v>5117</v>
      </c>
    </row>
    <row r="29608">
      <c r="H29608" t="s">
        <v>5117</v>
      </c>
    </row>
    <row r="29609">
      <c r="H29609" t="s">
        <v>5117</v>
      </c>
    </row>
    <row r="29610">
      <c r="H29610" t="s">
        <v>5117</v>
      </c>
    </row>
    <row r="29611">
      <c r="H29611" t="s">
        <v>5117</v>
      </c>
    </row>
    <row r="29612">
      <c r="H29612" t="s">
        <v>5117</v>
      </c>
    </row>
    <row r="29613">
      <c r="H29613" t="s">
        <v>5117</v>
      </c>
    </row>
    <row r="29614">
      <c r="H29614" t="s">
        <v>5117</v>
      </c>
    </row>
    <row r="29615">
      <c r="H29615" t="s">
        <v>5117</v>
      </c>
    </row>
    <row r="29616">
      <c r="H29616" t="s">
        <v>5117</v>
      </c>
    </row>
    <row r="29617">
      <c r="H29617" t="s">
        <v>5117</v>
      </c>
    </row>
    <row r="29618">
      <c r="H29618" t="s">
        <v>5117</v>
      </c>
    </row>
    <row r="29619">
      <c r="H29619" t="s">
        <v>5117</v>
      </c>
    </row>
    <row r="29620">
      <c r="H29620" t="s">
        <v>5117</v>
      </c>
    </row>
    <row r="29621">
      <c r="H29621" t="s">
        <v>5117</v>
      </c>
    </row>
    <row r="29622">
      <c r="H29622" t="s">
        <v>5117</v>
      </c>
    </row>
    <row r="29623">
      <c r="H29623" t="s">
        <v>5117</v>
      </c>
    </row>
    <row r="29624">
      <c r="H29624" t="s">
        <v>5117</v>
      </c>
    </row>
    <row r="29625">
      <c r="H29625" t="s">
        <v>5117</v>
      </c>
    </row>
    <row r="29626">
      <c r="H29626" t="s">
        <v>5117</v>
      </c>
    </row>
    <row r="29627">
      <c r="H29627" t="s">
        <v>5117</v>
      </c>
    </row>
    <row r="29628">
      <c r="H29628" t="s">
        <v>5117</v>
      </c>
    </row>
    <row r="29629">
      <c r="H29629" t="s">
        <v>5117</v>
      </c>
    </row>
    <row r="29630">
      <c r="H29630" t="s">
        <v>5117</v>
      </c>
    </row>
    <row r="29631">
      <c r="H29631" t="s">
        <v>5117</v>
      </c>
    </row>
    <row r="29632">
      <c r="H29632" t="s">
        <v>5117</v>
      </c>
    </row>
    <row r="29633">
      <c r="H29633" t="s">
        <v>5117</v>
      </c>
    </row>
    <row r="29634">
      <c r="H29634" t="s">
        <v>5117</v>
      </c>
    </row>
    <row r="29635">
      <c r="H29635" t="s">
        <v>5117</v>
      </c>
    </row>
    <row r="29636">
      <c r="H29636" t="s">
        <v>5117</v>
      </c>
    </row>
    <row r="29637">
      <c r="H29637" t="s">
        <v>5117</v>
      </c>
    </row>
    <row r="29638">
      <c r="H29638" t="s">
        <v>5117</v>
      </c>
    </row>
    <row r="29639">
      <c r="H29639" t="s">
        <v>5117</v>
      </c>
    </row>
    <row r="29640">
      <c r="H29640" t="s">
        <v>5117</v>
      </c>
    </row>
    <row r="29641">
      <c r="H29641" t="s">
        <v>5117</v>
      </c>
    </row>
    <row r="29642">
      <c r="H29642" t="s">
        <v>5117</v>
      </c>
    </row>
    <row r="29643">
      <c r="H29643" t="s">
        <v>5117</v>
      </c>
    </row>
    <row r="29644">
      <c r="H29644" t="s">
        <v>5117</v>
      </c>
    </row>
    <row r="29645">
      <c r="H29645" t="s">
        <v>5117</v>
      </c>
    </row>
    <row r="29646">
      <c r="H29646" t="s">
        <v>5117</v>
      </c>
    </row>
    <row r="29647">
      <c r="H29647" t="s">
        <v>5117</v>
      </c>
    </row>
    <row r="29648">
      <c r="H29648" t="s">
        <v>5117</v>
      </c>
    </row>
    <row r="29649">
      <c r="H29649" t="s">
        <v>5117</v>
      </c>
    </row>
    <row r="29650">
      <c r="H29650" t="s">
        <v>5117</v>
      </c>
    </row>
    <row r="29651">
      <c r="H29651" t="s">
        <v>5117</v>
      </c>
    </row>
    <row r="29652">
      <c r="H29652" t="s">
        <v>5117</v>
      </c>
    </row>
    <row r="29653">
      <c r="H29653" t="s">
        <v>5117</v>
      </c>
    </row>
    <row r="29654">
      <c r="H29654" t="s">
        <v>5117</v>
      </c>
    </row>
    <row r="29655">
      <c r="H29655" t="s">
        <v>5117</v>
      </c>
    </row>
    <row r="29656">
      <c r="H29656" t="s">
        <v>5117</v>
      </c>
    </row>
    <row r="29657">
      <c r="H29657" t="s">
        <v>5117</v>
      </c>
    </row>
    <row r="29658">
      <c r="H29658" t="s">
        <v>5117</v>
      </c>
    </row>
    <row r="29659">
      <c r="H29659" t="s">
        <v>5117</v>
      </c>
    </row>
    <row r="29660">
      <c r="H29660" t="s">
        <v>5117</v>
      </c>
    </row>
    <row r="29661">
      <c r="H29661" t="s">
        <v>5117</v>
      </c>
    </row>
    <row r="29662">
      <c r="H29662" t="s">
        <v>5117</v>
      </c>
    </row>
    <row r="29663">
      <c r="H29663" t="s">
        <v>5117</v>
      </c>
    </row>
    <row r="29664">
      <c r="H29664" t="s">
        <v>5117</v>
      </c>
    </row>
    <row r="29665">
      <c r="H29665" t="s">
        <v>5117</v>
      </c>
    </row>
    <row r="29666">
      <c r="H29666" t="s">
        <v>5117</v>
      </c>
    </row>
    <row r="29667">
      <c r="H29667" t="s">
        <v>5117</v>
      </c>
    </row>
    <row r="29668">
      <c r="H29668" t="s">
        <v>5117</v>
      </c>
    </row>
    <row r="29669">
      <c r="H29669" t="s">
        <v>5117</v>
      </c>
    </row>
    <row r="29670">
      <c r="H29670" t="s">
        <v>5117</v>
      </c>
    </row>
    <row r="29671">
      <c r="H29671" t="s">
        <v>5117</v>
      </c>
    </row>
    <row r="29672">
      <c r="H29672" t="s">
        <v>5117</v>
      </c>
    </row>
    <row r="29673">
      <c r="H29673" t="s">
        <v>5117</v>
      </c>
    </row>
    <row r="29674">
      <c r="H29674" t="s">
        <v>5117</v>
      </c>
    </row>
    <row r="29675">
      <c r="H29675" t="s">
        <v>5117</v>
      </c>
    </row>
    <row r="29676">
      <c r="H29676" t="s">
        <v>5117</v>
      </c>
    </row>
    <row r="29677">
      <c r="H29677" t="s">
        <v>5117</v>
      </c>
    </row>
    <row r="29678">
      <c r="H29678" t="s">
        <v>5117</v>
      </c>
    </row>
    <row r="29679">
      <c r="H29679" t="s">
        <v>5117</v>
      </c>
    </row>
    <row r="29680">
      <c r="H29680" t="s">
        <v>5117</v>
      </c>
    </row>
    <row r="29681">
      <c r="H29681" t="s">
        <v>5117</v>
      </c>
    </row>
    <row r="29682">
      <c r="H29682" t="s">
        <v>5117</v>
      </c>
    </row>
    <row r="29683">
      <c r="H29683" t="s">
        <v>5117</v>
      </c>
    </row>
    <row r="29684">
      <c r="H29684" t="s">
        <v>5117</v>
      </c>
    </row>
    <row r="29685">
      <c r="H29685" t="s">
        <v>5117</v>
      </c>
    </row>
    <row r="29686">
      <c r="H29686" t="s">
        <v>5117</v>
      </c>
    </row>
    <row r="29687">
      <c r="H29687" t="s">
        <v>5117</v>
      </c>
    </row>
    <row r="29688">
      <c r="H29688" t="s">
        <v>5117</v>
      </c>
    </row>
    <row r="29689">
      <c r="H29689" t="s">
        <v>5117</v>
      </c>
    </row>
    <row r="29690">
      <c r="H29690" t="s">
        <v>5117</v>
      </c>
    </row>
    <row r="29691">
      <c r="H29691" t="s">
        <v>5117</v>
      </c>
    </row>
    <row r="29692">
      <c r="H29692" t="s">
        <v>5117</v>
      </c>
    </row>
    <row r="29693">
      <c r="H29693" t="s">
        <v>5117</v>
      </c>
    </row>
    <row r="29694">
      <c r="H29694" t="s">
        <v>5117</v>
      </c>
    </row>
    <row r="29695">
      <c r="H29695" t="s">
        <v>5117</v>
      </c>
    </row>
    <row r="29696">
      <c r="H29696" t="s">
        <v>5117</v>
      </c>
    </row>
    <row r="29697">
      <c r="H29697" t="s">
        <v>5117</v>
      </c>
    </row>
    <row r="29698">
      <c r="H29698" t="s">
        <v>5117</v>
      </c>
    </row>
    <row r="29699">
      <c r="H29699" t="s">
        <v>5117</v>
      </c>
    </row>
    <row r="29700">
      <c r="H29700" t="s">
        <v>5117</v>
      </c>
    </row>
    <row r="29701">
      <c r="H29701" t="s">
        <v>5117</v>
      </c>
    </row>
    <row r="29702">
      <c r="H29702" t="s">
        <v>5117</v>
      </c>
    </row>
    <row r="29703">
      <c r="H29703" t="s">
        <v>5117</v>
      </c>
    </row>
    <row r="29704">
      <c r="H29704" t="s">
        <v>5117</v>
      </c>
    </row>
    <row r="29705">
      <c r="H29705" t="s">
        <v>5117</v>
      </c>
    </row>
    <row r="29706">
      <c r="H29706" t="s">
        <v>5117</v>
      </c>
    </row>
    <row r="29707">
      <c r="H29707" t="s">
        <v>5117</v>
      </c>
    </row>
    <row r="29708">
      <c r="H29708" t="s">
        <v>5117</v>
      </c>
    </row>
    <row r="29709">
      <c r="H29709" t="s">
        <v>5117</v>
      </c>
    </row>
    <row r="29710">
      <c r="H29710" t="s">
        <v>5117</v>
      </c>
    </row>
    <row r="29711">
      <c r="H29711" t="s">
        <v>5117</v>
      </c>
    </row>
    <row r="29712">
      <c r="H29712" t="s">
        <v>5117</v>
      </c>
    </row>
    <row r="29713">
      <c r="H29713" t="s">
        <v>5117</v>
      </c>
    </row>
    <row r="29714">
      <c r="H29714" t="s">
        <v>5117</v>
      </c>
    </row>
    <row r="29715">
      <c r="H29715" t="s">
        <v>5117</v>
      </c>
    </row>
    <row r="29716">
      <c r="H29716" t="s">
        <v>5117</v>
      </c>
    </row>
    <row r="29717">
      <c r="H29717" t="s">
        <v>5117</v>
      </c>
    </row>
    <row r="29718">
      <c r="H29718" t="s">
        <v>5117</v>
      </c>
    </row>
    <row r="29719">
      <c r="H29719" t="s">
        <v>5117</v>
      </c>
    </row>
    <row r="29720">
      <c r="H29720" t="s">
        <v>5117</v>
      </c>
    </row>
    <row r="29721">
      <c r="H29721" t="s">
        <v>5117</v>
      </c>
    </row>
    <row r="29722">
      <c r="H29722" t="s">
        <v>5117</v>
      </c>
    </row>
    <row r="29723">
      <c r="H29723" t="s">
        <v>5117</v>
      </c>
    </row>
    <row r="29724">
      <c r="H29724" t="s">
        <v>5117</v>
      </c>
    </row>
    <row r="29725">
      <c r="H29725" t="s">
        <v>5117</v>
      </c>
    </row>
    <row r="29726">
      <c r="H29726" t="s">
        <v>5117</v>
      </c>
    </row>
    <row r="29727">
      <c r="H29727" t="s">
        <v>5117</v>
      </c>
    </row>
    <row r="29728">
      <c r="H29728" t="s">
        <v>5117</v>
      </c>
    </row>
    <row r="29729">
      <c r="H29729" t="s">
        <v>5117</v>
      </c>
    </row>
    <row r="29730">
      <c r="H29730" t="s">
        <v>5117</v>
      </c>
    </row>
    <row r="29731">
      <c r="H29731" t="s">
        <v>5117</v>
      </c>
    </row>
    <row r="29732">
      <c r="H29732" t="s">
        <v>5117</v>
      </c>
    </row>
    <row r="29733">
      <c r="H29733" t="s">
        <v>5117</v>
      </c>
    </row>
    <row r="29734">
      <c r="H29734" t="s">
        <v>5117</v>
      </c>
    </row>
    <row r="29735">
      <c r="H29735" t="s">
        <v>5117</v>
      </c>
    </row>
    <row r="29736">
      <c r="H29736" t="s">
        <v>5117</v>
      </c>
    </row>
    <row r="29737">
      <c r="H29737" t="s">
        <v>5117</v>
      </c>
    </row>
    <row r="29738">
      <c r="H29738" t="s">
        <v>5117</v>
      </c>
    </row>
    <row r="29739">
      <c r="H29739" t="s">
        <v>5117</v>
      </c>
    </row>
    <row r="29740">
      <c r="H29740" t="s">
        <v>5117</v>
      </c>
    </row>
    <row r="29741">
      <c r="H29741" t="s">
        <v>5117</v>
      </c>
    </row>
    <row r="29742">
      <c r="H29742" t="s">
        <v>5117</v>
      </c>
    </row>
    <row r="29743">
      <c r="H29743" t="s">
        <v>5117</v>
      </c>
    </row>
    <row r="29744">
      <c r="H29744" t="s">
        <v>5117</v>
      </c>
    </row>
    <row r="29745">
      <c r="H29745" t="s">
        <v>5117</v>
      </c>
    </row>
    <row r="29746">
      <c r="H29746" t="s">
        <v>5117</v>
      </c>
    </row>
    <row r="29747">
      <c r="H29747" t="s">
        <v>5117</v>
      </c>
    </row>
    <row r="29748">
      <c r="H29748" t="s">
        <v>5117</v>
      </c>
    </row>
    <row r="29749">
      <c r="H29749" t="s">
        <v>5117</v>
      </c>
    </row>
    <row r="29750">
      <c r="H29750" t="s">
        <v>5117</v>
      </c>
    </row>
    <row r="29751">
      <c r="H29751" t="s">
        <v>5117</v>
      </c>
    </row>
    <row r="29752">
      <c r="H29752" t="s">
        <v>5117</v>
      </c>
    </row>
    <row r="29753">
      <c r="H29753" t="s">
        <v>5117</v>
      </c>
    </row>
    <row r="29754">
      <c r="H29754" t="s">
        <v>5117</v>
      </c>
    </row>
    <row r="29755">
      <c r="H29755" t="s">
        <v>5117</v>
      </c>
    </row>
    <row r="29756">
      <c r="H29756" t="s">
        <v>5117</v>
      </c>
    </row>
    <row r="29757">
      <c r="H29757" t="s">
        <v>5117</v>
      </c>
    </row>
    <row r="29758">
      <c r="H29758" t="s">
        <v>5117</v>
      </c>
    </row>
    <row r="29759">
      <c r="H29759" t="s">
        <v>5117</v>
      </c>
    </row>
    <row r="29760">
      <c r="H29760" t="s">
        <v>5117</v>
      </c>
    </row>
    <row r="29761">
      <c r="H29761" t="s">
        <v>5117</v>
      </c>
    </row>
    <row r="29762">
      <c r="H29762" t="s">
        <v>5117</v>
      </c>
    </row>
    <row r="29763">
      <c r="H29763" t="s">
        <v>5117</v>
      </c>
    </row>
    <row r="29764">
      <c r="H29764" t="s">
        <v>5117</v>
      </c>
    </row>
    <row r="29765">
      <c r="H29765" t="s">
        <v>5117</v>
      </c>
    </row>
    <row r="29766">
      <c r="H29766" t="s">
        <v>5117</v>
      </c>
    </row>
    <row r="29767">
      <c r="H29767" t="s">
        <v>5117</v>
      </c>
    </row>
    <row r="29768">
      <c r="H29768" t="s">
        <v>5117</v>
      </c>
    </row>
    <row r="29769">
      <c r="H29769" t="s">
        <v>5117</v>
      </c>
    </row>
    <row r="29770">
      <c r="H29770" t="s">
        <v>5117</v>
      </c>
    </row>
    <row r="29771">
      <c r="H29771" t="s">
        <v>5117</v>
      </c>
    </row>
    <row r="29772">
      <c r="H29772" t="s">
        <v>5117</v>
      </c>
    </row>
    <row r="29773">
      <c r="H29773" t="s">
        <v>5117</v>
      </c>
    </row>
    <row r="29774">
      <c r="H29774" t="s">
        <v>5117</v>
      </c>
    </row>
    <row r="29775">
      <c r="H29775" t="s">
        <v>5117</v>
      </c>
    </row>
    <row r="29776">
      <c r="H29776" t="s">
        <v>5117</v>
      </c>
    </row>
    <row r="29777">
      <c r="H29777" t="s">
        <v>5117</v>
      </c>
    </row>
    <row r="29778">
      <c r="H29778" t="s">
        <v>5117</v>
      </c>
    </row>
    <row r="29779">
      <c r="H29779" t="s">
        <v>5117</v>
      </c>
    </row>
    <row r="29780">
      <c r="H29780" t="s">
        <v>5117</v>
      </c>
    </row>
    <row r="29781">
      <c r="H29781" t="s">
        <v>5117</v>
      </c>
    </row>
    <row r="29782">
      <c r="H29782" t="s">
        <v>5117</v>
      </c>
    </row>
    <row r="29783">
      <c r="H29783" t="s">
        <v>5117</v>
      </c>
    </row>
    <row r="29784">
      <c r="H29784" t="s">
        <v>5117</v>
      </c>
    </row>
    <row r="29785">
      <c r="H29785" t="s">
        <v>5117</v>
      </c>
    </row>
    <row r="29786">
      <c r="H29786" t="s">
        <v>5117</v>
      </c>
    </row>
    <row r="29787">
      <c r="H29787" t="s">
        <v>5117</v>
      </c>
    </row>
    <row r="29788">
      <c r="H29788" t="s">
        <v>5117</v>
      </c>
    </row>
    <row r="29789">
      <c r="H29789" t="s">
        <v>5117</v>
      </c>
    </row>
    <row r="29790">
      <c r="H29790" t="s">
        <v>5117</v>
      </c>
    </row>
    <row r="29791">
      <c r="H29791" t="s">
        <v>5117</v>
      </c>
    </row>
    <row r="29792">
      <c r="H29792" t="s">
        <v>5117</v>
      </c>
    </row>
    <row r="29793">
      <c r="H29793" t="s">
        <v>5117</v>
      </c>
    </row>
    <row r="29794">
      <c r="H29794" t="s">
        <v>5117</v>
      </c>
    </row>
    <row r="29795">
      <c r="H29795" t="s">
        <v>5117</v>
      </c>
    </row>
    <row r="29796">
      <c r="H29796" t="s">
        <v>5117</v>
      </c>
    </row>
    <row r="29797">
      <c r="H29797" t="s">
        <v>5117</v>
      </c>
    </row>
    <row r="29798">
      <c r="H29798" t="s">
        <v>5117</v>
      </c>
    </row>
    <row r="29799">
      <c r="H29799" t="s">
        <v>5117</v>
      </c>
    </row>
    <row r="29800">
      <c r="H29800" t="s">
        <v>5117</v>
      </c>
    </row>
    <row r="29801">
      <c r="H29801" t="s">
        <v>5117</v>
      </c>
    </row>
    <row r="29802">
      <c r="H29802" t="s">
        <v>5117</v>
      </c>
    </row>
    <row r="29803">
      <c r="H29803" t="s">
        <v>5117</v>
      </c>
    </row>
    <row r="29804">
      <c r="H29804" t="s">
        <v>5117</v>
      </c>
    </row>
    <row r="29805">
      <c r="H29805" t="s">
        <v>5117</v>
      </c>
    </row>
    <row r="29806">
      <c r="H29806" t="s">
        <v>5117</v>
      </c>
    </row>
    <row r="29807">
      <c r="H29807" t="s">
        <v>5117</v>
      </c>
    </row>
    <row r="29808">
      <c r="H29808" t="s">
        <v>5117</v>
      </c>
    </row>
    <row r="29809">
      <c r="H29809" t="s">
        <v>5117</v>
      </c>
    </row>
    <row r="29810">
      <c r="H29810" t="s">
        <v>5117</v>
      </c>
    </row>
    <row r="29811">
      <c r="H29811" t="s">
        <v>5117</v>
      </c>
    </row>
    <row r="29812">
      <c r="H29812" t="s">
        <v>5117</v>
      </c>
    </row>
    <row r="29813">
      <c r="H29813" t="s">
        <v>5117</v>
      </c>
    </row>
    <row r="29814">
      <c r="H29814" t="s">
        <v>5117</v>
      </c>
    </row>
    <row r="29815">
      <c r="H29815" t="s">
        <v>5117</v>
      </c>
    </row>
    <row r="29816">
      <c r="H29816" t="s">
        <v>5117</v>
      </c>
    </row>
    <row r="29817">
      <c r="H29817" t="s">
        <v>5117</v>
      </c>
    </row>
    <row r="29818">
      <c r="H29818" t="s">
        <v>5117</v>
      </c>
    </row>
    <row r="29819">
      <c r="H29819" t="s">
        <v>5117</v>
      </c>
    </row>
    <row r="29820">
      <c r="H29820" t="s">
        <v>5117</v>
      </c>
    </row>
    <row r="29821">
      <c r="H29821" t="s">
        <v>5117</v>
      </c>
    </row>
    <row r="29822">
      <c r="H29822" t="s">
        <v>5117</v>
      </c>
    </row>
    <row r="29823">
      <c r="H29823" t="s">
        <v>5117</v>
      </c>
    </row>
    <row r="29824">
      <c r="H29824" t="s">
        <v>5117</v>
      </c>
    </row>
    <row r="29825">
      <c r="H29825" t="s">
        <v>5117</v>
      </c>
    </row>
    <row r="29826">
      <c r="H29826" t="s">
        <v>5117</v>
      </c>
    </row>
    <row r="29827">
      <c r="H29827" t="s">
        <v>5117</v>
      </c>
    </row>
    <row r="29828">
      <c r="H29828" t="s">
        <v>5117</v>
      </c>
    </row>
    <row r="29829">
      <c r="H29829" t="s">
        <v>5117</v>
      </c>
    </row>
    <row r="29830">
      <c r="H29830" t="s">
        <v>5117</v>
      </c>
    </row>
    <row r="29831">
      <c r="H29831" t="s">
        <v>5117</v>
      </c>
    </row>
    <row r="29832">
      <c r="H29832" t="s">
        <v>5117</v>
      </c>
    </row>
    <row r="29833">
      <c r="H29833" t="s">
        <v>5117</v>
      </c>
    </row>
    <row r="29834">
      <c r="H29834" t="s">
        <v>5117</v>
      </c>
    </row>
    <row r="29835">
      <c r="H29835" t="s">
        <v>5117</v>
      </c>
    </row>
    <row r="29836">
      <c r="H29836" t="s">
        <v>5117</v>
      </c>
    </row>
    <row r="29837">
      <c r="H29837" t="s">
        <v>5117</v>
      </c>
    </row>
    <row r="29838">
      <c r="H29838" t="s">
        <v>5117</v>
      </c>
    </row>
    <row r="29839">
      <c r="H29839" t="s">
        <v>5117</v>
      </c>
    </row>
    <row r="29840">
      <c r="H29840" t="s">
        <v>5117</v>
      </c>
    </row>
    <row r="29841">
      <c r="H29841" t="s">
        <v>5117</v>
      </c>
    </row>
    <row r="29842">
      <c r="H29842" t="s">
        <v>5117</v>
      </c>
    </row>
    <row r="29843">
      <c r="H29843" t="s">
        <v>5117</v>
      </c>
    </row>
    <row r="29844">
      <c r="H29844" t="s">
        <v>5117</v>
      </c>
    </row>
    <row r="29845">
      <c r="H29845" t="s">
        <v>5117</v>
      </c>
    </row>
    <row r="29846">
      <c r="H29846" t="s">
        <v>5117</v>
      </c>
    </row>
    <row r="29847">
      <c r="H29847" t="s">
        <v>5117</v>
      </c>
    </row>
    <row r="29848">
      <c r="H29848" t="s">
        <v>5117</v>
      </c>
    </row>
    <row r="29849">
      <c r="H29849" t="s">
        <v>5117</v>
      </c>
    </row>
    <row r="29850">
      <c r="H29850" t="s">
        <v>5117</v>
      </c>
    </row>
    <row r="29851">
      <c r="H29851" t="s">
        <v>5117</v>
      </c>
    </row>
    <row r="29852">
      <c r="H29852" t="s">
        <v>5117</v>
      </c>
    </row>
    <row r="29853">
      <c r="H29853" t="s">
        <v>5117</v>
      </c>
    </row>
    <row r="29854">
      <c r="H29854" t="s">
        <v>5117</v>
      </c>
    </row>
    <row r="29855">
      <c r="H29855" t="s">
        <v>5117</v>
      </c>
    </row>
    <row r="29856">
      <c r="H29856" t="s">
        <v>5117</v>
      </c>
    </row>
    <row r="29857">
      <c r="H29857" t="s">
        <v>5117</v>
      </c>
    </row>
    <row r="29858">
      <c r="H29858" t="s">
        <v>5117</v>
      </c>
    </row>
    <row r="29859">
      <c r="H29859" t="s">
        <v>5117</v>
      </c>
    </row>
    <row r="29860">
      <c r="H29860" t="s">
        <v>5117</v>
      </c>
    </row>
    <row r="29861">
      <c r="H29861" t="s">
        <v>5117</v>
      </c>
    </row>
    <row r="29862">
      <c r="H29862" t="s">
        <v>5117</v>
      </c>
    </row>
    <row r="29863">
      <c r="H29863" t="s">
        <v>5117</v>
      </c>
    </row>
    <row r="29864">
      <c r="H29864" t="s">
        <v>5117</v>
      </c>
    </row>
    <row r="29865">
      <c r="H29865" t="s">
        <v>5117</v>
      </c>
    </row>
    <row r="29866">
      <c r="H29866" t="s">
        <v>5117</v>
      </c>
    </row>
    <row r="29867">
      <c r="H29867" t="s">
        <v>5117</v>
      </c>
    </row>
    <row r="29868">
      <c r="H29868" t="s">
        <v>5117</v>
      </c>
    </row>
    <row r="29869">
      <c r="H29869" t="s">
        <v>5117</v>
      </c>
    </row>
    <row r="29870">
      <c r="H29870" t="s">
        <v>5117</v>
      </c>
    </row>
    <row r="29871">
      <c r="H29871" t="s">
        <v>5117</v>
      </c>
    </row>
    <row r="29872">
      <c r="H29872" t="s">
        <v>5117</v>
      </c>
    </row>
    <row r="29873">
      <c r="H29873" t="s">
        <v>5117</v>
      </c>
    </row>
    <row r="29874">
      <c r="H29874" t="s">
        <v>5117</v>
      </c>
    </row>
    <row r="29875">
      <c r="H29875" t="s">
        <v>5117</v>
      </c>
    </row>
    <row r="29876">
      <c r="H29876" t="s">
        <v>5117</v>
      </c>
    </row>
    <row r="29877">
      <c r="H29877" t="s">
        <v>5117</v>
      </c>
    </row>
    <row r="29878">
      <c r="H29878" t="s">
        <v>5117</v>
      </c>
    </row>
    <row r="29879">
      <c r="H29879" t="s">
        <v>5117</v>
      </c>
    </row>
    <row r="29880">
      <c r="H29880" t="s">
        <v>5117</v>
      </c>
    </row>
    <row r="29881">
      <c r="H29881" t="s">
        <v>5117</v>
      </c>
    </row>
    <row r="29882">
      <c r="H29882" t="s">
        <v>5117</v>
      </c>
    </row>
    <row r="29883">
      <c r="H29883" t="s">
        <v>5117</v>
      </c>
    </row>
    <row r="29884">
      <c r="H29884" t="s">
        <v>5117</v>
      </c>
    </row>
    <row r="29885">
      <c r="H29885" t="s">
        <v>5117</v>
      </c>
    </row>
    <row r="29886">
      <c r="H29886" t="s">
        <v>5117</v>
      </c>
    </row>
    <row r="29887">
      <c r="H29887" t="s">
        <v>5117</v>
      </c>
    </row>
    <row r="29888">
      <c r="H29888" t="s">
        <v>5117</v>
      </c>
    </row>
    <row r="29889">
      <c r="H29889" t="s">
        <v>5117</v>
      </c>
    </row>
    <row r="29890">
      <c r="H29890" t="s">
        <v>5117</v>
      </c>
    </row>
    <row r="29891">
      <c r="H29891" t="s">
        <v>5117</v>
      </c>
    </row>
    <row r="29892">
      <c r="H29892" t="s">
        <v>5117</v>
      </c>
    </row>
    <row r="29893">
      <c r="H29893" t="s">
        <v>5117</v>
      </c>
    </row>
    <row r="29894">
      <c r="H29894" t="s">
        <v>5117</v>
      </c>
    </row>
    <row r="29895">
      <c r="H29895" t="s">
        <v>5117</v>
      </c>
    </row>
    <row r="29896">
      <c r="H29896" t="s">
        <v>5117</v>
      </c>
    </row>
    <row r="29897">
      <c r="H29897" t="s">
        <v>5117</v>
      </c>
    </row>
    <row r="29898">
      <c r="H29898" t="s">
        <v>5117</v>
      </c>
    </row>
    <row r="29899">
      <c r="H29899" t="s">
        <v>5117</v>
      </c>
    </row>
    <row r="29900">
      <c r="H29900" t="s">
        <v>5117</v>
      </c>
    </row>
    <row r="29901">
      <c r="H29901" t="s">
        <v>5117</v>
      </c>
    </row>
    <row r="29902">
      <c r="H29902" t="s">
        <v>5117</v>
      </c>
    </row>
    <row r="29903">
      <c r="H29903" t="s">
        <v>5117</v>
      </c>
    </row>
    <row r="29904">
      <c r="H29904" t="s">
        <v>5117</v>
      </c>
    </row>
    <row r="29905">
      <c r="H29905" t="s">
        <v>5117</v>
      </c>
    </row>
    <row r="29906">
      <c r="H29906" t="s">
        <v>5117</v>
      </c>
    </row>
    <row r="29907">
      <c r="H29907" t="s">
        <v>5117</v>
      </c>
    </row>
    <row r="29908">
      <c r="H29908" t="s">
        <v>5117</v>
      </c>
    </row>
    <row r="29909">
      <c r="H29909" t="s">
        <v>5117</v>
      </c>
    </row>
    <row r="29910">
      <c r="H29910" t="s">
        <v>5117</v>
      </c>
    </row>
    <row r="29911">
      <c r="H29911" t="s">
        <v>5117</v>
      </c>
    </row>
    <row r="29912">
      <c r="H29912" t="s">
        <v>5117</v>
      </c>
    </row>
    <row r="29913">
      <c r="H29913" t="s">
        <v>5117</v>
      </c>
    </row>
    <row r="29914">
      <c r="H29914" t="s">
        <v>5117</v>
      </c>
    </row>
    <row r="29915">
      <c r="H29915" t="s">
        <v>5117</v>
      </c>
    </row>
    <row r="29916">
      <c r="H29916" t="s">
        <v>5117</v>
      </c>
    </row>
    <row r="29917">
      <c r="H29917" t="s">
        <v>5117</v>
      </c>
    </row>
    <row r="29918">
      <c r="H29918" t="s">
        <v>5117</v>
      </c>
    </row>
    <row r="29919">
      <c r="H29919" t="s">
        <v>5117</v>
      </c>
    </row>
    <row r="29920">
      <c r="H29920" t="s">
        <v>5117</v>
      </c>
    </row>
    <row r="29921">
      <c r="H29921" t="s">
        <v>5117</v>
      </c>
    </row>
    <row r="29922">
      <c r="H29922" t="s">
        <v>5117</v>
      </c>
    </row>
    <row r="29923">
      <c r="H29923" t="s">
        <v>5117</v>
      </c>
    </row>
    <row r="29924">
      <c r="H29924" t="s">
        <v>5117</v>
      </c>
    </row>
    <row r="29925">
      <c r="H29925" t="s">
        <v>5117</v>
      </c>
    </row>
    <row r="29926">
      <c r="H29926" t="s">
        <v>5117</v>
      </c>
    </row>
    <row r="29927">
      <c r="H29927" t="s">
        <v>5117</v>
      </c>
    </row>
    <row r="29928">
      <c r="H29928" t="s">
        <v>5117</v>
      </c>
    </row>
    <row r="29929">
      <c r="H29929" t="s">
        <v>5117</v>
      </c>
    </row>
    <row r="29930">
      <c r="H29930" t="s">
        <v>5117</v>
      </c>
    </row>
    <row r="29931">
      <c r="H29931" t="s">
        <v>5117</v>
      </c>
    </row>
    <row r="29932">
      <c r="H29932" t="s">
        <v>5117</v>
      </c>
    </row>
    <row r="29933">
      <c r="H29933" t="s">
        <v>5117</v>
      </c>
    </row>
    <row r="29934">
      <c r="H29934" t="s">
        <v>5117</v>
      </c>
    </row>
    <row r="29935">
      <c r="H29935" t="s">
        <v>5117</v>
      </c>
    </row>
    <row r="29936">
      <c r="H29936" t="s">
        <v>5117</v>
      </c>
    </row>
    <row r="29937">
      <c r="H29937" t="s">
        <v>5117</v>
      </c>
    </row>
    <row r="29938">
      <c r="H29938" t="s">
        <v>5117</v>
      </c>
    </row>
    <row r="29939">
      <c r="H29939" t="s">
        <v>5117</v>
      </c>
    </row>
    <row r="29940">
      <c r="H29940" t="s">
        <v>5117</v>
      </c>
    </row>
    <row r="29941">
      <c r="H29941" t="s">
        <v>5117</v>
      </c>
    </row>
    <row r="29942">
      <c r="H29942" t="s">
        <v>5117</v>
      </c>
    </row>
    <row r="29943">
      <c r="H29943" t="s">
        <v>5117</v>
      </c>
    </row>
    <row r="29944">
      <c r="H29944" t="s">
        <v>5117</v>
      </c>
    </row>
    <row r="29945">
      <c r="H29945" t="s">
        <v>5117</v>
      </c>
    </row>
    <row r="29946">
      <c r="H29946" t="s">
        <v>5117</v>
      </c>
    </row>
    <row r="29947">
      <c r="H29947" t="s">
        <v>5117</v>
      </c>
    </row>
    <row r="29948">
      <c r="H29948" t="s">
        <v>5117</v>
      </c>
    </row>
    <row r="29949">
      <c r="H29949" t="s">
        <v>5117</v>
      </c>
    </row>
    <row r="29950">
      <c r="H29950" t="s">
        <v>5117</v>
      </c>
    </row>
    <row r="29951">
      <c r="H29951" t="s">
        <v>5117</v>
      </c>
    </row>
    <row r="29952">
      <c r="H29952" t="s">
        <v>5117</v>
      </c>
    </row>
    <row r="29953">
      <c r="H29953" t="s">
        <v>5117</v>
      </c>
    </row>
    <row r="29954">
      <c r="H29954" t="s">
        <v>5117</v>
      </c>
    </row>
    <row r="29955">
      <c r="H29955" t="s">
        <v>5117</v>
      </c>
    </row>
    <row r="29956">
      <c r="H29956" t="s">
        <v>5117</v>
      </c>
    </row>
    <row r="29957">
      <c r="H29957" t="s">
        <v>5117</v>
      </c>
    </row>
    <row r="29958">
      <c r="H29958" t="s">
        <v>5117</v>
      </c>
    </row>
    <row r="29959">
      <c r="H29959" t="s">
        <v>5117</v>
      </c>
    </row>
    <row r="29960">
      <c r="H29960" t="s">
        <v>5117</v>
      </c>
    </row>
    <row r="29961">
      <c r="H29961" t="s">
        <v>5117</v>
      </c>
    </row>
    <row r="29962">
      <c r="H29962" t="s">
        <v>5117</v>
      </c>
    </row>
    <row r="29963">
      <c r="H29963" t="s">
        <v>5117</v>
      </c>
    </row>
    <row r="29964">
      <c r="H29964" t="s">
        <v>5117</v>
      </c>
    </row>
    <row r="29965">
      <c r="H29965" t="s">
        <v>5117</v>
      </c>
    </row>
    <row r="29966">
      <c r="H29966" t="s">
        <v>5117</v>
      </c>
    </row>
    <row r="29967">
      <c r="H29967" t="s">
        <v>5117</v>
      </c>
    </row>
    <row r="29968">
      <c r="H29968" t="s">
        <v>5117</v>
      </c>
    </row>
    <row r="29969">
      <c r="H29969" t="s">
        <v>5117</v>
      </c>
    </row>
    <row r="29970">
      <c r="H29970" t="s">
        <v>5117</v>
      </c>
    </row>
    <row r="29971">
      <c r="H29971" t="s">
        <v>5117</v>
      </c>
    </row>
    <row r="29972">
      <c r="H29972" t="s">
        <v>5117</v>
      </c>
    </row>
    <row r="29973">
      <c r="H29973" t="s">
        <v>5117</v>
      </c>
    </row>
    <row r="29974">
      <c r="H29974" t="s">
        <v>5117</v>
      </c>
    </row>
    <row r="29975">
      <c r="H29975" t="s">
        <v>5117</v>
      </c>
    </row>
    <row r="29976">
      <c r="H29976" t="s">
        <v>5117</v>
      </c>
    </row>
    <row r="29977">
      <c r="H29977" t="s">
        <v>5117</v>
      </c>
    </row>
    <row r="29978">
      <c r="H29978" t="s">
        <v>5117</v>
      </c>
    </row>
    <row r="29979">
      <c r="H29979" t="s">
        <v>5117</v>
      </c>
    </row>
    <row r="29980">
      <c r="H29980" t="s">
        <v>5117</v>
      </c>
    </row>
    <row r="29981">
      <c r="H29981" t="s">
        <v>5117</v>
      </c>
    </row>
    <row r="29982">
      <c r="H29982" t="s">
        <v>5117</v>
      </c>
    </row>
    <row r="29983">
      <c r="H29983" t="s">
        <v>5117</v>
      </c>
    </row>
    <row r="29984">
      <c r="H29984" t="s">
        <v>5117</v>
      </c>
    </row>
    <row r="29985">
      <c r="H29985" t="s">
        <v>5117</v>
      </c>
    </row>
    <row r="29986">
      <c r="H29986" t="s">
        <v>5117</v>
      </c>
    </row>
    <row r="29987">
      <c r="H29987" t="s">
        <v>5117</v>
      </c>
    </row>
    <row r="29988">
      <c r="H29988" t="s">
        <v>5117</v>
      </c>
    </row>
    <row r="29989">
      <c r="H29989" t="s">
        <v>5117</v>
      </c>
    </row>
    <row r="29990">
      <c r="H29990" t="s">
        <v>5117</v>
      </c>
    </row>
    <row r="29991">
      <c r="H29991" t="s">
        <v>5117</v>
      </c>
    </row>
    <row r="29992">
      <c r="H29992" t="s">
        <v>5117</v>
      </c>
    </row>
    <row r="29993">
      <c r="H29993" t="s">
        <v>5117</v>
      </c>
    </row>
    <row r="29994">
      <c r="H29994" t="s">
        <v>5117</v>
      </c>
    </row>
    <row r="29995">
      <c r="H29995" t="s">
        <v>5117</v>
      </c>
    </row>
    <row r="29996">
      <c r="H29996" t="s">
        <v>5117</v>
      </c>
    </row>
    <row r="29997">
      <c r="H29997" t="s">
        <v>5117</v>
      </c>
    </row>
    <row r="29998">
      <c r="H29998" t="s">
        <v>5117</v>
      </c>
    </row>
    <row r="29999">
      <c r="H29999" t="s">
        <v>5117</v>
      </c>
    </row>
    <row r="30000">
      <c r="H30000" t="s">
        <v>5117</v>
      </c>
    </row>
    <row r="30001">
      <c r="H30001" t="s">
        <v>5117</v>
      </c>
    </row>
    <row r="30002">
      <c r="H30002" t="s">
        <v>5117</v>
      </c>
    </row>
    <row r="30003">
      <c r="H30003" t="s">
        <v>5117</v>
      </c>
    </row>
    <row r="30004">
      <c r="H30004" t="s">
        <v>5117</v>
      </c>
    </row>
    <row r="30005">
      <c r="H30005" t="s">
        <v>5117</v>
      </c>
    </row>
    <row r="30006">
      <c r="H30006" t="s">
        <v>5117</v>
      </c>
    </row>
    <row r="30007">
      <c r="H30007" t="s">
        <v>5117</v>
      </c>
    </row>
    <row r="30008">
      <c r="H30008" t="s">
        <v>5117</v>
      </c>
    </row>
    <row r="30009">
      <c r="H30009" t="s">
        <v>5117</v>
      </c>
    </row>
    <row r="30010">
      <c r="H30010" t="s">
        <v>5117</v>
      </c>
    </row>
    <row r="30011">
      <c r="H30011" t="s">
        <v>5117</v>
      </c>
    </row>
    <row r="30012">
      <c r="H30012" t="s">
        <v>5117</v>
      </c>
    </row>
    <row r="30013">
      <c r="H30013" t="s">
        <v>5117</v>
      </c>
    </row>
    <row r="30014">
      <c r="H30014" t="s">
        <v>5117</v>
      </c>
    </row>
    <row r="30015">
      <c r="H30015" t="s">
        <v>5117</v>
      </c>
    </row>
    <row r="30016">
      <c r="H30016" t="s">
        <v>5117</v>
      </c>
    </row>
    <row r="30017">
      <c r="H30017" t="s">
        <v>5117</v>
      </c>
    </row>
    <row r="30018">
      <c r="H30018" t="s">
        <v>5117</v>
      </c>
    </row>
    <row r="30019">
      <c r="H30019" t="s">
        <v>5117</v>
      </c>
    </row>
    <row r="30020">
      <c r="H30020" t="s">
        <v>5117</v>
      </c>
    </row>
    <row r="30021">
      <c r="H30021" t="s">
        <v>5117</v>
      </c>
    </row>
    <row r="30022">
      <c r="H30022" t="s">
        <v>5117</v>
      </c>
    </row>
    <row r="30023">
      <c r="H30023" t="s">
        <v>5117</v>
      </c>
    </row>
    <row r="30024">
      <c r="H30024" t="s">
        <v>5117</v>
      </c>
    </row>
    <row r="30025">
      <c r="H30025" t="s">
        <v>5117</v>
      </c>
    </row>
    <row r="30026">
      <c r="H30026" t="s">
        <v>5117</v>
      </c>
    </row>
    <row r="30027">
      <c r="H30027" t="s">
        <v>5117</v>
      </c>
    </row>
    <row r="30028">
      <c r="H30028" t="s">
        <v>5117</v>
      </c>
    </row>
    <row r="30029">
      <c r="H30029" t="s">
        <v>5117</v>
      </c>
    </row>
    <row r="30030">
      <c r="H30030" t="s">
        <v>5117</v>
      </c>
    </row>
    <row r="30031">
      <c r="H30031" t="s">
        <v>5117</v>
      </c>
    </row>
    <row r="30032">
      <c r="H30032" t="s">
        <v>5117</v>
      </c>
    </row>
    <row r="30033">
      <c r="H30033" t="s">
        <v>5117</v>
      </c>
    </row>
    <row r="30034">
      <c r="H30034" t="s">
        <v>5117</v>
      </c>
    </row>
    <row r="30035">
      <c r="H30035" t="s">
        <v>5117</v>
      </c>
    </row>
    <row r="30036">
      <c r="H30036" t="s">
        <v>5117</v>
      </c>
    </row>
    <row r="30037">
      <c r="H30037" t="s">
        <v>5117</v>
      </c>
    </row>
    <row r="30038">
      <c r="H30038" t="s">
        <v>5117</v>
      </c>
    </row>
    <row r="30039">
      <c r="H30039" t="s">
        <v>5117</v>
      </c>
    </row>
    <row r="30040">
      <c r="H30040" t="s">
        <v>5117</v>
      </c>
    </row>
    <row r="30041">
      <c r="H30041" t="s">
        <v>5117</v>
      </c>
    </row>
    <row r="30042">
      <c r="H30042" t="s">
        <v>5117</v>
      </c>
    </row>
    <row r="30043">
      <c r="H30043" t="s">
        <v>5117</v>
      </c>
    </row>
    <row r="30044">
      <c r="H30044" t="s">
        <v>5117</v>
      </c>
    </row>
    <row r="30045">
      <c r="H30045" t="s">
        <v>5117</v>
      </c>
    </row>
    <row r="30046">
      <c r="H30046" t="s">
        <v>5117</v>
      </c>
    </row>
    <row r="30047">
      <c r="H30047" t="s">
        <v>5117</v>
      </c>
    </row>
    <row r="30048">
      <c r="H30048" t="s">
        <v>5117</v>
      </c>
    </row>
    <row r="30049">
      <c r="H30049" t="s">
        <v>5117</v>
      </c>
    </row>
    <row r="30050">
      <c r="H30050" t="s">
        <v>5117</v>
      </c>
    </row>
    <row r="30051">
      <c r="H30051" t="s">
        <v>5117</v>
      </c>
    </row>
    <row r="30052">
      <c r="H30052" t="s">
        <v>5117</v>
      </c>
    </row>
    <row r="30053">
      <c r="H30053" t="s">
        <v>5117</v>
      </c>
    </row>
    <row r="30054">
      <c r="H30054" t="s">
        <v>5117</v>
      </c>
    </row>
    <row r="30055">
      <c r="H30055" t="s">
        <v>5117</v>
      </c>
    </row>
    <row r="30056">
      <c r="H30056" t="s">
        <v>5117</v>
      </c>
    </row>
    <row r="30057">
      <c r="H30057" t="s">
        <v>5117</v>
      </c>
    </row>
    <row r="30058">
      <c r="H30058" t="s">
        <v>5117</v>
      </c>
    </row>
    <row r="30059">
      <c r="H30059" t="s">
        <v>5117</v>
      </c>
    </row>
    <row r="30060">
      <c r="H30060" t="s">
        <v>5117</v>
      </c>
    </row>
    <row r="30061">
      <c r="H30061" t="s">
        <v>5117</v>
      </c>
    </row>
    <row r="30062">
      <c r="H30062" t="s">
        <v>5117</v>
      </c>
    </row>
    <row r="30063">
      <c r="H30063" t="s">
        <v>5117</v>
      </c>
    </row>
    <row r="30064">
      <c r="H30064" t="s">
        <v>5117</v>
      </c>
    </row>
    <row r="30065">
      <c r="H30065" t="s">
        <v>5117</v>
      </c>
    </row>
    <row r="30066">
      <c r="H30066" t="s">
        <v>5117</v>
      </c>
    </row>
    <row r="30067">
      <c r="H30067" t="s">
        <v>5117</v>
      </c>
    </row>
    <row r="30068">
      <c r="H30068" t="s">
        <v>5117</v>
      </c>
    </row>
    <row r="30069">
      <c r="H30069" t="s">
        <v>5117</v>
      </c>
    </row>
    <row r="30070">
      <c r="H30070" t="s">
        <v>5117</v>
      </c>
    </row>
    <row r="30071">
      <c r="H30071" t="s">
        <v>5117</v>
      </c>
    </row>
    <row r="30072">
      <c r="H30072" t="s">
        <v>5117</v>
      </c>
    </row>
    <row r="30073">
      <c r="H30073" t="s">
        <v>5117</v>
      </c>
    </row>
    <row r="30074">
      <c r="H30074" t="s">
        <v>5117</v>
      </c>
    </row>
    <row r="30075">
      <c r="H30075" t="s">
        <v>5117</v>
      </c>
    </row>
    <row r="30076">
      <c r="H30076" t="s">
        <v>5117</v>
      </c>
    </row>
    <row r="30077">
      <c r="H30077" t="s">
        <v>5117</v>
      </c>
    </row>
    <row r="30078">
      <c r="H30078" t="s">
        <v>5117</v>
      </c>
    </row>
    <row r="30079">
      <c r="H30079" t="s">
        <v>5117</v>
      </c>
    </row>
    <row r="30080">
      <c r="H30080" t="s">
        <v>5117</v>
      </c>
    </row>
    <row r="30081">
      <c r="H30081" t="s">
        <v>5117</v>
      </c>
    </row>
    <row r="30082">
      <c r="H30082" t="s">
        <v>5117</v>
      </c>
    </row>
    <row r="30083">
      <c r="H30083" t="s">
        <v>5117</v>
      </c>
    </row>
    <row r="30084">
      <c r="H30084" t="s">
        <v>5117</v>
      </c>
    </row>
    <row r="30085">
      <c r="H30085" t="s">
        <v>5117</v>
      </c>
    </row>
    <row r="30086">
      <c r="H30086" t="s">
        <v>5117</v>
      </c>
    </row>
    <row r="30087">
      <c r="H30087" t="s">
        <v>5117</v>
      </c>
    </row>
    <row r="30088">
      <c r="H30088" t="s">
        <v>5117</v>
      </c>
    </row>
    <row r="30089">
      <c r="H30089" t="s">
        <v>5117</v>
      </c>
    </row>
    <row r="30090">
      <c r="H30090" t="s">
        <v>5117</v>
      </c>
    </row>
    <row r="30091">
      <c r="H30091" t="s">
        <v>5117</v>
      </c>
    </row>
    <row r="30092">
      <c r="H30092" t="s">
        <v>5117</v>
      </c>
    </row>
    <row r="30093">
      <c r="H30093" t="s">
        <v>5117</v>
      </c>
    </row>
    <row r="30094">
      <c r="H30094" t="s">
        <v>5117</v>
      </c>
    </row>
    <row r="30095">
      <c r="H30095" t="s">
        <v>5117</v>
      </c>
    </row>
    <row r="30096">
      <c r="H30096" t="s">
        <v>5117</v>
      </c>
    </row>
    <row r="30097">
      <c r="H30097" t="s">
        <v>5117</v>
      </c>
    </row>
    <row r="30098">
      <c r="H30098" t="s">
        <v>5117</v>
      </c>
    </row>
    <row r="30099">
      <c r="H30099" t="s">
        <v>5117</v>
      </c>
    </row>
    <row r="30100">
      <c r="H30100" t="s">
        <v>5117</v>
      </c>
    </row>
    <row r="30101">
      <c r="H30101" t="s">
        <v>5117</v>
      </c>
    </row>
    <row r="30102">
      <c r="H30102" t="s">
        <v>5117</v>
      </c>
    </row>
    <row r="30103">
      <c r="H30103" t="s">
        <v>5117</v>
      </c>
    </row>
    <row r="30104">
      <c r="H30104" t="s">
        <v>5117</v>
      </c>
    </row>
    <row r="30105">
      <c r="H30105" t="s">
        <v>5117</v>
      </c>
    </row>
    <row r="30106">
      <c r="H30106" t="s">
        <v>5117</v>
      </c>
    </row>
    <row r="30107">
      <c r="H30107" t="s">
        <v>5117</v>
      </c>
    </row>
    <row r="30108">
      <c r="H30108" t="s">
        <v>5117</v>
      </c>
    </row>
    <row r="30109">
      <c r="H30109" t="s">
        <v>5117</v>
      </c>
    </row>
    <row r="30110">
      <c r="H30110" t="s">
        <v>5117</v>
      </c>
    </row>
    <row r="30111">
      <c r="H30111" t="s">
        <v>5117</v>
      </c>
    </row>
    <row r="30112">
      <c r="H30112" t="s">
        <v>5117</v>
      </c>
    </row>
    <row r="30113">
      <c r="H30113" t="s">
        <v>5117</v>
      </c>
    </row>
    <row r="30114">
      <c r="H30114" t="s">
        <v>5117</v>
      </c>
    </row>
    <row r="30115">
      <c r="H30115" t="s">
        <v>5117</v>
      </c>
    </row>
    <row r="30116">
      <c r="H30116" t="s">
        <v>5117</v>
      </c>
    </row>
    <row r="30117">
      <c r="H30117" t="s">
        <v>5117</v>
      </c>
    </row>
    <row r="30118">
      <c r="H30118" t="s">
        <v>5117</v>
      </c>
    </row>
    <row r="30119">
      <c r="H30119" t="s">
        <v>5117</v>
      </c>
    </row>
    <row r="30120">
      <c r="H30120" t="s">
        <v>5117</v>
      </c>
    </row>
    <row r="30121">
      <c r="H30121" t="s">
        <v>5117</v>
      </c>
    </row>
    <row r="30122">
      <c r="H30122" t="s">
        <v>5117</v>
      </c>
    </row>
    <row r="30123">
      <c r="H30123" t="s">
        <v>5117</v>
      </c>
    </row>
    <row r="30124">
      <c r="H30124" t="s">
        <v>5117</v>
      </c>
    </row>
    <row r="30125">
      <c r="H30125" t="s">
        <v>5117</v>
      </c>
    </row>
    <row r="30126">
      <c r="H30126" t="s">
        <v>5117</v>
      </c>
    </row>
    <row r="30127">
      <c r="H30127" t="s">
        <v>5117</v>
      </c>
    </row>
    <row r="30128">
      <c r="H30128" t="s">
        <v>5117</v>
      </c>
    </row>
    <row r="30129">
      <c r="H30129" t="s">
        <v>5117</v>
      </c>
    </row>
    <row r="30130">
      <c r="H30130" t="s">
        <v>5117</v>
      </c>
    </row>
    <row r="30131">
      <c r="H30131" t="s">
        <v>5117</v>
      </c>
    </row>
    <row r="30132">
      <c r="H30132" t="s">
        <v>5117</v>
      </c>
    </row>
    <row r="30133">
      <c r="H30133" t="s">
        <v>5117</v>
      </c>
    </row>
    <row r="30134">
      <c r="H30134" t="s">
        <v>5117</v>
      </c>
    </row>
    <row r="30135">
      <c r="H30135" t="s">
        <v>5117</v>
      </c>
    </row>
    <row r="30136">
      <c r="H30136" t="s">
        <v>5117</v>
      </c>
    </row>
    <row r="30137">
      <c r="H30137" t="s">
        <v>5117</v>
      </c>
    </row>
    <row r="30138">
      <c r="H30138" t="s">
        <v>5117</v>
      </c>
    </row>
    <row r="30139">
      <c r="H30139" t="s">
        <v>5117</v>
      </c>
    </row>
    <row r="30140">
      <c r="H30140" t="s">
        <v>5117</v>
      </c>
    </row>
    <row r="30141">
      <c r="H30141" t="s">
        <v>5117</v>
      </c>
    </row>
    <row r="30142">
      <c r="H30142" t="s">
        <v>5117</v>
      </c>
    </row>
    <row r="30143">
      <c r="H30143" t="s">
        <v>5117</v>
      </c>
    </row>
    <row r="30144">
      <c r="H30144" t="s">
        <v>5117</v>
      </c>
    </row>
    <row r="30145">
      <c r="H30145" t="s">
        <v>5117</v>
      </c>
    </row>
    <row r="30146">
      <c r="H30146" t="s">
        <v>5117</v>
      </c>
    </row>
    <row r="30147">
      <c r="H30147" t="s">
        <v>5117</v>
      </c>
    </row>
    <row r="30148">
      <c r="H30148" t="s">
        <v>5117</v>
      </c>
    </row>
    <row r="30149">
      <c r="H30149" t="s">
        <v>5117</v>
      </c>
    </row>
    <row r="30150">
      <c r="H30150" t="s">
        <v>5117</v>
      </c>
    </row>
    <row r="30151">
      <c r="H30151" t="s">
        <v>5117</v>
      </c>
    </row>
    <row r="30152">
      <c r="H30152" t="s">
        <v>5117</v>
      </c>
    </row>
    <row r="30153">
      <c r="H30153" t="s">
        <v>5117</v>
      </c>
    </row>
    <row r="30154">
      <c r="H30154" t="s">
        <v>5117</v>
      </c>
    </row>
    <row r="30155">
      <c r="H30155" t="s">
        <v>5117</v>
      </c>
    </row>
    <row r="30156">
      <c r="H30156" t="s">
        <v>5117</v>
      </c>
    </row>
    <row r="30157">
      <c r="H30157" t="s">
        <v>5117</v>
      </c>
    </row>
    <row r="30158">
      <c r="H30158" t="s">
        <v>5117</v>
      </c>
    </row>
    <row r="30159">
      <c r="H30159" t="s">
        <v>5117</v>
      </c>
    </row>
    <row r="30160">
      <c r="H30160" t="s">
        <v>5117</v>
      </c>
    </row>
    <row r="30161">
      <c r="H30161" t="s">
        <v>5117</v>
      </c>
    </row>
    <row r="30162">
      <c r="H30162" t="s">
        <v>5117</v>
      </c>
    </row>
    <row r="30163">
      <c r="H30163" t="s">
        <v>5117</v>
      </c>
    </row>
    <row r="30164">
      <c r="H30164" t="s">
        <v>5117</v>
      </c>
    </row>
    <row r="30165">
      <c r="H30165" t="s">
        <v>5117</v>
      </c>
    </row>
    <row r="30166">
      <c r="H30166" t="s">
        <v>5117</v>
      </c>
    </row>
    <row r="30167">
      <c r="H30167" t="s">
        <v>5117</v>
      </c>
    </row>
    <row r="30168">
      <c r="H30168" t="s">
        <v>5117</v>
      </c>
    </row>
    <row r="30169">
      <c r="H30169" t="s">
        <v>5117</v>
      </c>
    </row>
    <row r="30170">
      <c r="H30170" t="s">
        <v>5117</v>
      </c>
    </row>
    <row r="30171">
      <c r="H30171" t="s">
        <v>5117</v>
      </c>
    </row>
    <row r="30172">
      <c r="H30172" t="s">
        <v>5117</v>
      </c>
    </row>
    <row r="30173">
      <c r="H30173" t="s">
        <v>5117</v>
      </c>
    </row>
    <row r="30174">
      <c r="H30174" t="s">
        <v>5117</v>
      </c>
    </row>
    <row r="30175">
      <c r="H30175" t="s">
        <v>5117</v>
      </c>
    </row>
    <row r="30176">
      <c r="H30176" t="s">
        <v>5117</v>
      </c>
    </row>
    <row r="30177">
      <c r="H30177" t="s">
        <v>5117</v>
      </c>
    </row>
    <row r="30178">
      <c r="H30178" t="s">
        <v>5117</v>
      </c>
    </row>
    <row r="30179">
      <c r="H30179" t="s">
        <v>5117</v>
      </c>
    </row>
    <row r="30180">
      <c r="H30180" t="s">
        <v>5117</v>
      </c>
    </row>
    <row r="30181">
      <c r="H30181" t="s">
        <v>5117</v>
      </c>
    </row>
    <row r="30182">
      <c r="H30182" t="s">
        <v>5117</v>
      </c>
    </row>
    <row r="30183">
      <c r="H30183" t="s">
        <v>5117</v>
      </c>
    </row>
    <row r="30184">
      <c r="H30184" t="s">
        <v>5117</v>
      </c>
    </row>
    <row r="30185">
      <c r="H30185" t="s">
        <v>5117</v>
      </c>
    </row>
    <row r="30186">
      <c r="H30186" t="s">
        <v>5117</v>
      </c>
    </row>
    <row r="30187">
      <c r="H30187" t="s">
        <v>5117</v>
      </c>
    </row>
    <row r="30188">
      <c r="H30188" t="s">
        <v>5117</v>
      </c>
    </row>
    <row r="30189">
      <c r="H30189" t="s">
        <v>5117</v>
      </c>
    </row>
    <row r="30190">
      <c r="H30190" t="s">
        <v>5117</v>
      </c>
    </row>
    <row r="30191">
      <c r="H30191" t="s">
        <v>5117</v>
      </c>
    </row>
    <row r="30192">
      <c r="H30192" t="s">
        <v>5117</v>
      </c>
    </row>
    <row r="30193">
      <c r="H30193" t="s">
        <v>5117</v>
      </c>
    </row>
    <row r="30194">
      <c r="H30194" t="s">
        <v>5117</v>
      </c>
    </row>
    <row r="30195">
      <c r="H30195" t="s">
        <v>5117</v>
      </c>
    </row>
    <row r="30196">
      <c r="H30196" t="s">
        <v>5117</v>
      </c>
    </row>
    <row r="30197">
      <c r="H30197" t="s">
        <v>5117</v>
      </c>
    </row>
    <row r="30198">
      <c r="H30198" t="s">
        <v>5117</v>
      </c>
    </row>
    <row r="30199">
      <c r="H30199" t="s">
        <v>5117</v>
      </c>
    </row>
    <row r="30200">
      <c r="H30200" t="s">
        <v>5117</v>
      </c>
    </row>
    <row r="30201">
      <c r="H30201" t="s">
        <v>5117</v>
      </c>
    </row>
    <row r="30202">
      <c r="H30202" t="s">
        <v>5117</v>
      </c>
    </row>
    <row r="30203">
      <c r="H30203" t="s">
        <v>5117</v>
      </c>
    </row>
    <row r="30204">
      <c r="H30204" t="s">
        <v>5117</v>
      </c>
    </row>
    <row r="30205">
      <c r="H30205" t="s">
        <v>5117</v>
      </c>
    </row>
    <row r="30206">
      <c r="H30206" t="s">
        <v>5117</v>
      </c>
    </row>
    <row r="30207">
      <c r="H30207" t="s">
        <v>5117</v>
      </c>
    </row>
    <row r="30208">
      <c r="H30208" t="s">
        <v>5117</v>
      </c>
    </row>
    <row r="30209">
      <c r="H30209" t="s">
        <v>5117</v>
      </c>
    </row>
    <row r="30210">
      <c r="H30210" t="s">
        <v>5117</v>
      </c>
    </row>
    <row r="30211">
      <c r="H30211" t="s">
        <v>5117</v>
      </c>
    </row>
    <row r="30212">
      <c r="H30212" t="s">
        <v>5117</v>
      </c>
    </row>
    <row r="30213">
      <c r="H30213" t="s">
        <v>5117</v>
      </c>
    </row>
    <row r="30214">
      <c r="H30214" t="s">
        <v>5117</v>
      </c>
    </row>
    <row r="30215">
      <c r="H30215" t="s">
        <v>5117</v>
      </c>
    </row>
    <row r="30216">
      <c r="H30216" t="s">
        <v>5117</v>
      </c>
    </row>
    <row r="30217">
      <c r="H30217" t="s">
        <v>5117</v>
      </c>
    </row>
    <row r="30218">
      <c r="H30218" t="s">
        <v>5117</v>
      </c>
    </row>
    <row r="30219">
      <c r="H30219" t="s">
        <v>5117</v>
      </c>
    </row>
    <row r="30220">
      <c r="H30220" t="s">
        <v>5117</v>
      </c>
    </row>
    <row r="30221">
      <c r="H30221" t="s">
        <v>5117</v>
      </c>
    </row>
    <row r="30222">
      <c r="H30222" t="s">
        <v>5117</v>
      </c>
    </row>
    <row r="30223">
      <c r="H30223" t="s">
        <v>5117</v>
      </c>
    </row>
    <row r="30224">
      <c r="H30224" t="s">
        <v>5117</v>
      </c>
    </row>
    <row r="30225">
      <c r="H30225" t="s">
        <v>5117</v>
      </c>
    </row>
    <row r="30226">
      <c r="H30226" t="s">
        <v>5117</v>
      </c>
    </row>
    <row r="30227">
      <c r="H30227" t="s">
        <v>5117</v>
      </c>
    </row>
    <row r="30228">
      <c r="H30228" t="s">
        <v>5117</v>
      </c>
    </row>
    <row r="30229">
      <c r="H30229" t="s">
        <v>5117</v>
      </c>
    </row>
    <row r="30230">
      <c r="H30230" t="s">
        <v>5117</v>
      </c>
    </row>
    <row r="30231">
      <c r="H30231" t="s">
        <v>5117</v>
      </c>
    </row>
    <row r="30232">
      <c r="H30232" t="s">
        <v>5117</v>
      </c>
    </row>
    <row r="30233">
      <c r="H30233" t="s">
        <v>5117</v>
      </c>
    </row>
    <row r="30234">
      <c r="H30234" t="s">
        <v>5117</v>
      </c>
    </row>
    <row r="30235">
      <c r="H30235" t="s">
        <v>5117</v>
      </c>
    </row>
    <row r="30236">
      <c r="H30236" t="s">
        <v>5117</v>
      </c>
    </row>
    <row r="30237">
      <c r="H30237" t="s">
        <v>5117</v>
      </c>
    </row>
    <row r="30238">
      <c r="H30238" t="s">
        <v>5117</v>
      </c>
    </row>
    <row r="30239">
      <c r="H30239" t="s">
        <v>5117</v>
      </c>
    </row>
    <row r="30240">
      <c r="H30240" t="s">
        <v>5117</v>
      </c>
    </row>
    <row r="30241">
      <c r="H30241" t="s">
        <v>5117</v>
      </c>
    </row>
    <row r="30242">
      <c r="H30242" t="s">
        <v>5117</v>
      </c>
    </row>
    <row r="30243">
      <c r="H30243" t="s">
        <v>5117</v>
      </c>
    </row>
    <row r="30244">
      <c r="H30244" t="s">
        <v>5117</v>
      </c>
    </row>
    <row r="30245">
      <c r="H30245" t="s">
        <v>5117</v>
      </c>
    </row>
    <row r="30246">
      <c r="H30246" t="s">
        <v>5117</v>
      </c>
    </row>
    <row r="30247">
      <c r="H30247" t="s">
        <v>5117</v>
      </c>
    </row>
    <row r="30248">
      <c r="H30248" t="s">
        <v>5117</v>
      </c>
    </row>
    <row r="30249">
      <c r="H30249" t="s">
        <v>5117</v>
      </c>
    </row>
    <row r="30250">
      <c r="H30250" t="s">
        <v>5117</v>
      </c>
    </row>
    <row r="30251">
      <c r="H30251" t="s">
        <v>5117</v>
      </c>
    </row>
    <row r="30252">
      <c r="H30252" t="s">
        <v>5117</v>
      </c>
    </row>
    <row r="30253">
      <c r="H30253" t="s">
        <v>5117</v>
      </c>
    </row>
    <row r="30254">
      <c r="H30254" t="s">
        <v>5117</v>
      </c>
    </row>
    <row r="30255">
      <c r="H30255" t="s">
        <v>5117</v>
      </c>
    </row>
    <row r="30256">
      <c r="H30256" t="s">
        <v>5117</v>
      </c>
    </row>
    <row r="30257">
      <c r="H30257" t="s">
        <v>5117</v>
      </c>
    </row>
    <row r="30258">
      <c r="H30258" t="s">
        <v>5117</v>
      </c>
    </row>
    <row r="30259">
      <c r="H30259" t="s">
        <v>5117</v>
      </c>
    </row>
    <row r="30260">
      <c r="H30260" t="s">
        <v>5117</v>
      </c>
    </row>
    <row r="30261">
      <c r="H30261" t="s">
        <v>5117</v>
      </c>
    </row>
    <row r="30262">
      <c r="H30262" t="s">
        <v>5117</v>
      </c>
    </row>
    <row r="30263">
      <c r="H30263" t="s">
        <v>5117</v>
      </c>
    </row>
    <row r="30264">
      <c r="H30264" t="s">
        <v>5117</v>
      </c>
    </row>
    <row r="30265">
      <c r="H30265" t="s">
        <v>5117</v>
      </c>
    </row>
    <row r="30266">
      <c r="H30266" t="s">
        <v>5117</v>
      </c>
    </row>
    <row r="30267">
      <c r="H30267" t="s">
        <v>5117</v>
      </c>
    </row>
    <row r="30268">
      <c r="H30268" t="s">
        <v>5117</v>
      </c>
    </row>
    <row r="30269">
      <c r="H30269" t="s">
        <v>5117</v>
      </c>
    </row>
    <row r="30270">
      <c r="H30270" t="s">
        <v>5117</v>
      </c>
    </row>
    <row r="30271">
      <c r="H30271" t="s">
        <v>5117</v>
      </c>
    </row>
    <row r="30272">
      <c r="H30272" t="s">
        <v>5117</v>
      </c>
    </row>
    <row r="30273">
      <c r="H30273" t="s">
        <v>5117</v>
      </c>
    </row>
    <row r="30274">
      <c r="H30274" t="s">
        <v>5117</v>
      </c>
    </row>
    <row r="30275">
      <c r="H30275" t="s">
        <v>5117</v>
      </c>
    </row>
    <row r="30276">
      <c r="H30276" t="s">
        <v>5117</v>
      </c>
    </row>
    <row r="30277">
      <c r="H30277" t="s">
        <v>5117</v>
      </c>
    </row>
    <row r="30278">
      <c r="H30278" t="s">
        <v>5117</v>
      </c>
    </row>
    <row r="30279">
      <c r="H30279" t="s">
        <v>5117</v>
      </c>
    </row>
    <row r="30280">
      <c r="H30280" t="s">
        <v>5117</v>
      </c>
    </row>
    <row r="30281">
      <c r="H30281" t="s">
        <v>5117</v>
      </c>
    </row>
    <row r="30282">
      <c r="H30282" t="s">
        <v>5117</v>
      </c>
    </row>
    <row r="30283">
      <c r="H30283" t="s">
        <v>5117</v>
      </c>
    </row>
    <row r="30284">
      <c r="H30284" t="s">
        <v>5117</v>
      </c>
    </row>
    <row r="30285">
      <c r="H30285" t="s">
        <v>5117</v>
      </c>
    </row>
    <row r="30286">
      <c r="H30286" t="s">
        <v>5117</v>
      </c>
    </row>
    <row r="30287">
      <c r="H30287" t="s">
        <v>5117</v>
      </c>
    </row>
    <row r="30288">
      <c r="H30288" t="s">
        <v>5117</v>
      </c>
    </row>
    <row r="30289">
      <c r="H30289" t="s">
        <v>5117</v>
      </c>
    </row>
    <row r="30290">
      <c r="H30290" t="s">
        <v>5117</v>
      </c>
    </row>
    <row r="30291">
      <c r="H30291" t="s">
        <v>5117</v>
      </c>
    </row>
    <row r="30292">
      <c r="H30292" t="s">
        <v>5117</v>
      </c>
    </row>
    <row r="30293">
      <c r="H30293" t="s">
        <v>5117</v>
      </c>
    </row>
    <row r="30294">
      <c r="H30294" t="s">
        <v>5117</v>
      </c>
    </row>
    <row r="30295">
      <c r="H30295" t="s">
        <v>5117</v>
      </c>
    </row>
    <row r="30296">
      <c r="H30296" t="s">
        <v>5117</v>
      </c>
    </row>
    <row r="30297">
      <c r="H30297" t="s">
        <v>5117</v>
      </c>
    </row>
    <row r="30298">
      <c r="H30298" t="s">
        <v>5117</v>
      </c>
    </row>
    <row r="30299">
      <c r="H30299" t="s">
        <v>5117</v>
      </c>
    </row>
    <row r="30300">
      <c r="H30300" t="s">
        <v>5117</v>
      </c>
    </row>
    <row r="30301">
      <c r="H30301" t="s">
        <v>5117</v>
      </c>
    </row>
    <row r="30302">
      <c r="H30302" t="s">
        <v>5117</v>
      </c>
    </row>
    <row r="30303">
      <c r="H30303" t="s">
        <v>5117</v>
      </c>
    </row>
    <row r="30304">
      <c r="H30304" t="s">
        <v>5117</v>
      </c>
    </row>
    <row r="30305">
      <c r="H30305" t="s">
        <v>5117</v>
      </c>
    </row>
    <row r="30306">
      <c r="H30306" t="s">
        <v>5117</v>
      </c>
    </row>
    <row r="30307">
      <c r="H30307" t="s">
        <v>5117</v>
      </c>
    </row>
    <row r="30308">
      <c r="H30308" t="s">
        <v>5117</v>
      </c>
    </row>
    <row r="30309">
      <c r="H30309" t="s">
        <v>5117</v>
      </c>
    </row>
    <row r="30310">
      <c r="H30310" t="s">
        <v>5117</v>
      </c>
    </row>
    <row r="30311">
      <c r="H30311" t="s">
        <v>5117</v>
      </c>
    </row>
    <row r="30312">
      <c r="H30312" t="s">
        <v>5117</v>
      </c>
    </row>
    <row r="30313">
      <c r="H30313" t="s">
        <v>5117</v>
      </c>
    </row>
    <row r="30314">
      <c r="H30314" t="s">
        <v>5117</v>
      </c>
    </row>
    <row r="30315">
      <c r="H30315" t="s">
        <v>5117</v>
      </c>
    </row>
    <row r="30316">
      <c r="H30316" t="s">
        <v>5117</v>
      </c>
    </row>
    <row r="30317">
      <c r="H30317" t="s">
        <v>5117</v>
      </c>
    </row>
    <row r="30318">
      <c r="H30318" t="s">
        <v>5117</v>
      </c>
    </row>
    <row r="30319">
      <c r="H30319" t="s">
        <v>5117</v>
      </c>
    </row>
    <row r="30320">
      <c r="H30320" t="s">
        <v>5117</v>
      </c>
    </row>
    <row r="30321">
      <c r="H30321" t="s">
        <v>5117</v>
      </c>
    </row>
    <row r="30322">
      <c r="H30322" t="s">
        <v>5117</v>
      </c>
    </row>
    <row r="30323">
      <c r="H30323" t="s">
        <v>5117</v>
      </c>
    </row>
    <row r="30324">
      <c r="H30324" t="s">
        <v>5117</v>
      </c>
    </row>
    <row r="30325">
      <c r="H30325" t="s">
        <v>5117</v>
      </c>
    </row>
    <row r="30326">
      <c r="H30326" t="s">
        <v>5117</v>
      </c>
    </row>
    <row r="30327">
      <c r="H30327" t="s">
        <v>5117</v>
      </c>
    </row>
    <row r="30328">
      <c r="H30328" t="s">
        <v>5117</v>
      </c>
    </row>
    <row r="30329">
      <c r="H30329" t="s">
        <v>5117</v>
      </c>
    </row>
    <row r="30330">
      <c r="H30330" t="s">
        <v>5117</v>
      </c>
    </row>
    <row r="30331">
      <c r="H30331" t="s">
        <v>5117</v>
      </c>
    </row>
    <row r="30332">
      <c r="H30332" t="s">
        <v>5117</v>
      </c>
    </row>
    <row r="30333">
      <c r="H30333" t="s">
        <v>5117</v>
      </c>
    </row>
    <row r="30334">
      <c r="H30334" t="s">
        <v>5117</v>
      </c>
    </row>
    <row r="30335">
      <c r="H30335" t="s">
        <v>5117</v>
      </c>
    </row>
    <row r="30336">
      <c r="H30336" t="s">
        <v>5117</v>
      </c>
    </row>
    <row r="30337">
      <c r="H30337" t="s">
        <v>5117</v>
      </c>
    </row>
    <row r="30338">
      <c r="H30338" t="s">
        <v>5117</v>
      </c>
    </row>
    <row r="30339">
      <c r="H30339" t="s">
        <v>5117</v>
      </c>
    </row>
    <row r="30340">
      <c r="H30340" t="s">
        <v>5117</v>
      </c>
    </row>
    <row r="30341">
      <c r="H30341" t="s">
        <v>5117</v>
      </c>
    </row>
    <row r="30342">
      <c r="H30342" t="s">
        <v>5117</v>
      </c>
    </row>
    <row r="30343">
      <c r="H30343" t="s">
        <v>5117</v>
      </c>
    </row>
    <row r="30344">
      <c r="H30344" t="s">
        <v>5117</v>
      </c>
    </row>
    <row r="30345">
      <c r="H30345" t="s">
        <v>5117</v>
      </c>
    </row>
    <row r="30346">
      <c r="H30346" t="s">
        <v>5117</v>
      </c>
    </row>
    <row r="30347">
      <c r="H30347" t="s">
        <v>5117</v>
      </c>
    </row>
    <row r="30348">
      <c r="H30348" t="s">
        <v>5117</v>
      </c>
    </row>
    <row r="30349">
      <c r="H30349" t="s">
        <v>5117</v>
      </c>
    </row>
    <row r="30350">
      <c r="H30350" t="s">
        <v>5117</v>
      </c>
    </row>
    <row r="30351">
      <c r="H30351" t="s">
        <v>5117</v>
      </c>
    </row>
    <row r="30352">
      <c r="H30352" t="s">
        <v>5117</v>
      </c>
    </row>
    <row r="30353">
      <c r="H30353" t="s">
        <v>5117</v>
      </c>
    </row>
    <row r="30354">
      <c r="H30354" t="s">
        <v>5117</v>
      </c>
    </row>
    <row r="30355">
      <c r="H30355" t="s">
        <v>5117</v>
      </c>
    </row>
    <row r="30356">
      <c r="H30356" t="s">
        <v>5117</v>
      </c>
    </row>
    <row r="30357">
      <c r="H30357" t="s">
        <v>5117</v>
      </c>
    </row>
    <row r="30358">
      <c r="H30358" t="s">
        <v>5117</v>
      </c>
    </row>
    <row r="30359">
      <c r="H30359" t="s">
        <v>5117</v>
      </c>
    </row>
    <row r="30360">
      <c r="H30360" t="s">
        <v>5117</v>
      </c>
    </row>
    <row r="30361">
      <c r="H30361" t="s">
        <v>5117</v>
      </c>
    </row>
    <row r="30362">
      <c r="H30362" t="s">
        <v>5117</v>
      </c>
    </row>
    <row r="30363">
      <c r="H30363" t="s">
        <v>5117</v>
      </c>
    </row>
    <row r="30364">
      <c r="H30364" t="s">
        <v>5117</v>
      </c>
    </row>
    <row r="30365">
      <c r="H30365" t="s">
        <v>5117</v>
      </c>
    </row>
    <row r="30366">
      <c r="H30366" t="s">
        <v>5117</v>
      </c>
    </row>
    <row r="30367">
      <c r="H30367" t="s">
        <v>5117</v>
      </c>
    </row>
    <row r="30368">
      <c r="H30368" t="s">
        <v>5117</v>
      </c>
    </row>
    <row r="30369">
      <c r="H30369" t="s">
        <v>5117</v>
      </c>
    </row>
    <row r="30370">
      <c r="H30370" t="s">
        <v>5117</v>
      </c>
    </row>
    <row r="30371">
      <c r="H30371" t="s">
        <v>5117</v>
      </c>
    </row>
    <row r="30372">
      <c r="H30372" t="s">
        <v>5117</v>
      </c>
    </row>
    <row r="30373">
      <c r="H30373" t="s">
        <v>5117</v>
      </c>
    </row>
    <row r="30374">
      <c r="H30374" t="s">
        <v>5117</v>
      </c>
    </row>
    <row r="30375">
      <c r="H30375" t="s">
        <v>5117</v>
      </c>
    </row>
    <row r="30376">
      <c r="H30376" t="s">
        <v>5117</v>
      </c>
    </row>
    <row r="30377">
      <c r="H30377" t="s">
        <v>5117</v>
      </c>
    </row>
    <row r="30378">
      <c r="H30378" t="s">
        <v>5117</v>
      </c>
    </row>
    <row r="30379">
      <c r="H30379" t="s">
        <v>5117</v>
      </c>
    </row>
    <row r="30380">
      <c r="H30380" t="s">
        <v>5117</v>
      </c>
    </row>
    <row r="30381">
      <c r="H30381" t="s">
        <v>5117</v>
      </c>
    </row>
    <row r="30382">
      <c r="H30382" t="s">
        <v>5117</v>
      </c>
    </row>
    <row r="30383">
      <c r="H30383" t="s">
        <v>5117</v>
      </c>
    </row>
    <row r="30384">
      <c r="H30384" t="s">
        <v>5117</v>
      </c>
    </row>
    <row r="30385">
      <c r="H30385" t="s">
        <v>5117</v>
      </c>
    </row>
    <row r="30386">
      <c r="H30386" t="s">
        <v>5117</v>
      </c>
    </row>
    <row r="30387">
      <c r="H30387" t="s">
        <v>5117</v>
      </c>
    </row>
    <row r="30388">
      <c r="H30388" t="s">
        <v>5117</v>
      </c>
    </row>
    <row r="30389">
      <c r="H30389" t="s">
        <v>5117</v>
      </c>
    </row>
    <row r="30390">
      <c r="H30390" t="s">
        <v>5117</v>
      </c>
    </row>
    <row r="30391">
      <c r="H30391" t="s">
        <v>5117</v>
      </c>
    </row>
    <row r="30392">
      <c r="H30392" t="s">
        <v>5117</v>
      </c>
    </row>
    <row r="30393">
      <c r="H30393" t="s">
        <v>5117</v>
      </c>
    </row>
    <row r="30394">
      <c r="H30394" t="s">
        <v>5117</v>
      </c>
    </row>
    <row r="30395">
      <c r="H30395" t="s">
        <v>5117</v>
      </c>
    </row>
    <row r="30396">
      <c r="H30396" t="s">
        <v>5117</v>
      </c>
    </row>
    <row r="30397">
      <c r="H30397" t="s">
        <v>5117</v>
      </c>
    </row>
    <row r="30398">
      <c r="H30398" t="s">
        <v>5117</v>
      </c>
    </row>
    <row r="30399">
      <c r="H30399" t="s">
        <v>5117</v>
      </c>
    </row>
    <row r="30400">
      <c r="H30400" t="s">
        <v>5117</v>
      </c>
    </row>
    <row r="30401">
      <c r="H30401" t="s">
        <v>5117</v>
      </c>
    </row>
    <row r="30402">
      <c r="H30402" t="s">
        <v>5117</v>
      </c>
    </row>
    <row r="30403">
      <c r="H30403" t="s">
        <v>5117</v>
      </c>
    </row>
    <row r="30404">
      <c r="H30404" t="s">
        <v>5117</v>
      </c>
    </row>
    <row r="30405">
      <c r="H30405" t="s">
        <v>5117</v>
      </c>
    </row>
    <row r="30406">
      <c r="H30406" t="s">
        <v>5117</v>
      </c>
    </row>
    <row r="30407">
      <c r="H30407" t="s">
        <v>5117</v>
      </c>
    </row>
    <row r="30408">
      <c r="H30408" t="s">
        <v>5117</v>
      </c>
    </row>
    <row r="30409">
      <c r="H30409" t="s">
        <v>5117</v>
      </c>
    </row>
    <row r="30410">
      <c r="H30410" t="s">
        <v>5117</v>
      </c>
    </row>
    <row r="30411">
      <c r="H30411" t="s">
        <v>5117</v>
      </c>
    </row>
    <row r="30412">
      <c r="H30412" t="s">
        <v>5117</v>
      </c>
    </row>
    <row r="30413">
      <c r="H30413" t="s">
        <v>5117</v>
      </c>
    </row>
    <row r="30414">
      <c r="H30414" t="s">
        <v>5117</v>
      </c>
    </row>
    <row r="30415">
      <c r="H30415" t="s">
        <v>5117</v>
      </c>
    </row>
    <row r="30416">
      <c r="H30416" t="s">
        <v>5117</v>
      </c>
    </row>
    <row r="30417">
      <c r="H30417" t="s">
        <v>5117</v>
      </c>
    </row>
    <row r="30418">
      <c r="H30418" t="s">
        <v>5117</v>
      </c>
    </row>
    <row r="30419">
      <c r="H30419" t="s">
        <v>5117</v>
      </c>
    </row>
    <row r="30420">
      <c r="H30420" t="s">
        <v>5117</v>
      </c>
    </row>
    <row r="30421">
      <c r="H30421" t="s">
        <v>5117</v>
      </c>
    </row>
    <row r="30422">
      <c r="H30422" t="s">
        <v>5117</v>
      </c>
    </row>
    <row r="30423">
      <c r="H30423" t="s">
        <v>5117</v>
      </c>
    </row>
    <row r="30424">
      <c r="H30424" t="s">
        <v>5117</v>
      </c>
    </row>
    <row r="30425">
      <c r="H30425" t="s">
        <v>5117</v>
      </c>
    </row>
    <row r="30426">
      <c r="H30426" t="s">
        <v>5117</v>
      </c>
    </row>
    <row r="30427">
      <c r="H30427" t="s">
        <v>5117</v>
      </c>
    </row>
    <row r="30428">
      <c r="H30428" t="s">
        <v>5117</v>
      </c>
    </row>
    <row r="30429">
      <c r="H30429" t="s">
        <v>5117</v>
      </c>
    </row>
    <row r="30430">
      <c r="H30430" t="s">
        <v>5117</v>
      </c>
    </row>
    <row r="30431">
      <c r="H30431" t="s">
        <v>5117</v>
      </c>
    </row>
    <row r="30432">
      <c r="H30432" t="s">
        <v>5117</v>
      </c>
    </row>
    <row r="30433">
      <c r="H30433" t="s">
        <v>5117</v>
      </c>
    </row>
    <row r="30434">
      <c r="H30434" t="s">
        <v>5117</v>
      </c>
    </row>
    <row r="30435">
      <c r="H30435" t="s">
        <v>5117</v>
      </c>
    </row>
    <row r="30436">
      <c r="H30436" t="s">
        <v>5117</v>
      </c>
    </row>
    <row r="30437">
      <c r="H30437" t="s">
        <v>5117</v>
      </c>
    </row>
    <row r="30438">
      <c r="H30438" t="s">
        <v>5117</v>
      </c>
    </row>
    <row r="30439">
      <c r="H30439" t="s">
        <v>5117</v>
      </c>
    </row>
    <row r="30440">
      <c r="H30440" t="s">
        <v>5117</v>
      </c>
    </row>
    <row r="30441">
      <c r="H30441" t="s">
        <v>5117</v>
      </c>
    </row>
    <row r="30442">
      <c r="H30442" t="s">
        <v>5117</v>
      </c>
    </row>
    <row r="30443">
      <c r="H30443" t="s">
        <v>5117</v>
      </c>
    </row>
    <row r="30444">
      <c r="H30444" t="s">
        <v>5117</v>
      </c>
    </row>
    <row r="30445">
      <c r="H30445" t="s">
        <v>5117</v>
      </c>
    </row>
    <row r="30446">
      <c r="H30446" t="s">
        <v>5117</v>
      </c>
    </row>
    <row r="30447">
      <c r="H30447" t="s">
        <v>5117</v>
      </c>
    </row>
    <row r="30448">
      <c r="H30448" t="s">
        <v>5117</v>
      </c>
    </row>
    <row r="30449">
      <c r="H30449" t="s">
        <v>5117</v>
      </c>
    </row>
    <row r="30450">
      <c r="H30450" t="s">
        <v>5117</v>
      </c>
    </row>
    <row r="30451">
      <c r="H30451" t="s">
        <v>5117</v>
      </c>
    </row>
    <row r="30452">
      <c r="H30452" t="s">
        <v>5117</v>
      </c>
    </row>
    <row r="30453">
      <c r="H30453" t="s">
        <v>5117</v>
      </c>
    </row>
    <row r="30454">
      <c r="H30454" t="s">
        <v>5117</v>
      </c>
    </row>
    <row r="30455">
      <c r="H30455" t="s">
        <v>5117</v>
      </c>
    </row>
    <row r="30456">
      <c r="H30456" t="s">
        <v>5117</v>
      </c>
    </row>
    <row r="30457">
      <c r="H30457" t="s">
        <v>5117</v>
      </c>
    </row>
    <row r="30458">
      <c r="H30458" t="s">
        <v>5117</v>
      </c>
    </row>
    <row r="30459">
      <c r="H30459" t="s">
        <v>5117</v>
      </c>
    </row>
    <row r="30460">
      <c r="H30460" t="s">
        <v>5117</v>
      </c>
    </row>
    <row r="30461">
      <c r="H30461" t="s">
        <v>5117</v>
      </c>
    </row>
    <row r="30462">
      <c r="H30462" t="s">
        <v>5117</v>
      </c>
    </row>
    <row r="30463">
      <c r="H30463" t="s">
        <v>5117</v>
      </c>
    </row>
    <row r="30464">
      <c r="H30464" t="s">
        <v>5117</v>
      </c>
    </row>
    <row r="30465">
      <c r="H30465" t="s">
        <v>5117</v>
      </c>
    </row>
    <row r="30466">
      <c r="H30466" t="s">
        <v>5117</v>
      </c>
    </row>
    <row r="30467">
      <c r="H30467" t="s">
        <v>5117</v>
      </c>
    </row>
    <row r="30468">
      <c r="H30468" t="s">
        <v>5117</v>
      </c>
    </row>
    <row r="30469">
      <c r="H30469" t="s">
        <v>5117</v>
      </c>
    </row>
    <row r="30470">
      <c r="H30470" t="s">
        <v>5117</v>
      </c>
    </row>
    <row r="30471">
      <c r="H30471" t="s">
        <v>5117</v>
      </c>
    </row>
    <row r="30472">
      <c r="H30472" t="s">
        <v>5117</v>
      </c>
    </row>
    <row r="30473">
      <c r="H30473" t="s">
        <v>5117</v>
      </c>
    </row>
    <row r="30474">
      <c r="H30474" t="s">
        <v>5117</v>
      </c>
    </row>
    <row r="30475">
      <c r="H30475" t="s">
        <v>5117</v>
      </c>
    </row>
    <row r="30476">
      <c r="H30476" t="s">
        <v>5117</v>
      </c>
    </row>
    <row r="30477">
      <c r="H30477" t="s">
        <v>5117</v>
      </c>
    </row>
    <row r="30478">
      <c r="H30478" t="s">
        <v>5117</v>
      </c>
    </row>
    <row r="30479">
      <c r="H30479" t="s">
        <v>5117</v>
      </c>
    </row>
    <row r="30480">
      <c r="H30480" t="s">
        <v>5117</v>
      </c>
    </row>
    <row r="30481">
      <c r="H30481" t="s">
        <v>5117</v>
      </c>
    </row>
    <row r="30482">
      <c r="H30482" t="s">
        <v>5117</v>
      </c>
    </row>
    <row r="30483">
      <c r="H30483" t="s">
        <v>5117</v>
      </c>
    </row>
    <row r="30484">
      <c r="H30484" t="s">
        <v>5117</v>
      </c>
    </row>
    <row r="30485">
      <c r="H30485" t="s">
        <v>5117</v>
      </c>
    </row>
    <row r="30486">
      <c r="H30486" t="s">
        <v>5117</v>
      </c>
    </row>
    <row r="30487">
      <c r="H30487" t="s">
        <v>5117</v>
      </c>
    </row>
    <row r="30488">
      <c r="H30488" t="s">
        <v>5117</v>
      </c>
    </row>
    <row r="30489">
      <c r="H30489" t="s">
        <v>5117</v>
      </c>
    </row>
    <row r="30490">
      <c r="H30490" t="s">
        <v>5117</v>
      </c>
    </row>
    <row r="30491">
      <c r="H30491" t="s">
        <v>5117</v>
      </c>
    </row>
    <row r="30492">
      <c r="H30492" t="s">
        <v>5117</v>
      </c>
    </row>
    <row r="30493">
      <c r="H30493" t="s">
        <v>5117</v>
      </c>
    </row>
    <row r="30494">
      <c r="H30494" t="s">
        <v>5117</v>
      </c>
    </row>
    <row r="30495">
      <c r="H30495" t="s">
        <v>5117</v>
      </c>
    </row>
    <row r="30496">
      <c r="H30496" t="s">
        <v>5117</v>
      </c>
    </row>
    <row r="30497">
      <c r="H30497" t="s">
        <v>5117</v>
      </c>
    </row>
    <row r="30498">
      <c r="H30498" t="s">
        <v>5117</v>
      </c>
    </row>
    <row r="30499">
      <c r="H30499" t="s">
        <v>5117</v>
      </c>
    </row>
    <row r="30500">
      <c r="H30500" t="s">
        <v>5117</v>
      </c>
    </row>
    <row r="30501">
      <c r="H30501" t="s">
        <v>5117</v>
      </c>
    </row>
    <row r="30502">
      <c r="H30502" t="s">
        <v>5117</v>
      </c>
    </row>
    <row r="30503">
      <c r="H30503" t="s">
        <v>5117</v>
      </c>
    </row>
    <row r="30504">
      <c r="H30504" t="s">
        <v>5117</v>
      </c>
    </row>
    <row r="30505">
      <c r="H30505" t="s">
        <v>5117</v>
      </c>
    </row>
    <row r="30506">
      <c r="H30506" t="s">
        <v>5117</v>
      </c>
    </row>
    <row r="30507">
      <c r="H30507" t="s">
        <v>5117</v>
      </c>
    </row>
    <row r="30508">
      <c r="H30508" t="s">
        <v>5117</v>
      </c>
    </row>
    <row r="30509">
      <c r="H30509" t="s">
        <v>5117</v>
      </c>
    </row>
    <row r="30510">
      <c r="H30510" t="s">
        <v>5117</v>
      </c>
    </row>
    <row r="30511">
      <c r="H30511" t="s">
        <v>5117</v>
      </c>
    </row>
    <row r="30512">
      <c r="H30512" t="s">
        <v>5117</v>
      </c>
    </row>
    <row r="30513">
      <c r="H30513" t="s">
        <v>5117</v>
      </c>
    </row>
    <row r="30514">
      <c r="H30514" t="s">
        <v>5117</v>
      </c>
    </row>
    <row r="30515">
      <c r="H30515" t="s">
        <v>5117</v>
      </c>
    </row>
    <row r="30516">
      <c r="H30516" t="s">
        <v>5117</v>
      </c>
    </row>
    <row r="30517">
      <c r="H30517" t="s">
        <v>5117</v>
      </c>
    </row>
    <row r="30518">
      <c r="H30518" t="s">
        <v>5117</v>
      </c>
    </row>
    <row r="30519">
      <c r="H30519" t="s">
        <v>5117</v>
      </c>
    </row>
    <row r="30520">
      <c r="H30520" t="s">
        <v>5117</v>
      </c>
    </row>
    <row r="30521">
      <c r="H30521" t="s">
        <v>5117</v>
      </c>
    </row>
    <row r="30522">
      <c r="H30522" t="s">
        <v>5117</v>
      </c>
    </row>
    <row r="30523">
      <c r="H30523" t="s">
        <v>5117</v>
      </c>
    </row>
    <row r="30524">
      <c r="H30524" t="s">
        <v>5117</v>
      </c>
    </row>
    <row r="30525">
      <c r="H30525" t="s">
        <v>5117</v>
      </c>
    </row>
    <row r="30526">
      <c r="H30526" t="s">
        <v>5117</v>
      </c>
    </row>
    <row r="30527">
      <c r="H30527" t="s">
        <v>5117</v>
      </c>
    </row>
    <row r="30528">
      <c r="H30528" t="s">
        <v>5117</v>
      </c>
    </row>
    <row r="30529">
      <c r="H30529" t="s">
        <v>5117</v>
      </c>
    </row>
    <row r="30530">
      <c r="H30530" t="s">
        <v>5117</v>
      </c>
    </row>
    <row r="30531">
      <c r="H30531" t="s">
        <v>5117</v>
      </c>
    </row>
    <row r="30532">
      <c r="H30532" t="s">
        <v>5117</v>
      </c>
    </row>
    <row r="30533">
      <c r="H30533" t="s">
        <v>5117</v>
      </c>
    </row>
    <row r="30534">
      <c r="H30534" t="s">
        <v>5117</v>
      </c>
    </row>
    <row r="30535">
      <c r="H30535" t="s">
        <v>5117</v>
      </c>
    </row>
    <row r="30536">
      <c r="H30536" t="s">
        <v>5117</v>
      </c>
    </row>
    <row r="30537">
      <c r="H30537" t="s">
        <v>5117</v>
      </c>
    </row>
    <row r="30538">
      <c r="H30538" t="s">
        <v>5117</v>
      </c>
    </row>
    <row r="30539">
      <c r="H30539" t="s">
        <v>5117</v>
      </c>
    </row>
    <row r="30540">
      <c r="H30540" t="s">
        <v>5117</v>
      </c>
    </row>
    <row r="30541">
      <c r="H30541" t="s">
        <v>5117</v>
      </c>
    </row>
    <row r="30542">
      <c r="H30542" t="s">
        <v>5117</v>
      </c>
    </row>
    <row r="30543">
      <c r="H30543" t="s">
        <v>5117</v>
      </c>
    </row>
    <row r="30544">
      <c r="H30544" t="s">
        <v>5117</v>
      </c>
    </row>
    <row r="30545">
      <c r="H30545" t="s">
        <v>5117</v>
      </c>
    </row>
    <row r="30546">
      <c r="H30546" t="s">
        <v>5117</v>
      </c>
    </row>
    <row r="30547">
      <c r="H30547" t="s">
        <v>5117</v>
      </c>
    </row>
    <row r="30548">
      <c r="H30548" t="s">
        <v>5117</v>
      </c>
    </row>
    <row r="30549">
      <c r="H30549" t="s">
        <v>5117</v>
      </c>
    </row>
    <row r="30550">
      <c r="H30550" t="s">
        <v>5117</v>
      </c>
    </row>
    <row r="30551">
      <c r="H30551" t="s">
        <v>5117</v>
      </c>
    </row>
    <row r="30552">
      <c r="H30552" t="s">
        <v>5117</v>
      </c>
    </row>
    <row r="30553">
      <c r="H30553" t="s">
        <v>5117</v>
      </c>
    </row>
    <row r="30554">
      <c r="H30554" t="s">
        <v>5117</v>
      </c>
    </row>
    <row r="30555">
      <c r="H30555" t="s">
        <v>5117</v>
      </c>
    </row>
    <row r="30556">
      <c r="H30556" t="s">
        <v>5117</v>
      </c>
    </row>
    <row r="30557">
      <c r="H30557" t="s">
        <v>5117</v>
      </c>
    </row>
    <row r="30558">
      <c r="H30558" t="s">
        <v>5117</v>
      </c>
    </row>
    <row r="30559">
      <c r="H30559" t="s">
        <v>5117</v>
      </c>
    </row>
    <row r="30560">
      <c r="H30560" t="s">
        <v>5117</v>
      </c>
    </row>
    <row r="30561">
      <c r="H30561" t="s">
        <v>5117</v>
      </c>
    </row>
    <row r="30562">
      <c r="H30562" t="s">
        <v>5117</v>
      </c>
    </row>
    <row r="30563">
      <c r="H30563" t="s">
        <v>5117</v>
      </c>
    </row>
    <row r="30564">
      <c r="H30564" t="s">
        <v>5117</v>
      </c>
    </row>
    <row r="30565">
      <c r="H30565" t="s">
        <v>5117</v>
      </c>
    </row>
    <row r="30566">
      <c r="H30566" t="s">
        <v>5117</v>
      </c>
    </row>
    <row r="30567">
      <c r="H30567" t="s">
        <v>5117</v>
      </c>
    </row>
    <row r="30568">
      <c r="H30568" t="s">
        <v>5117</v>
      </c>
    </row>
    <row r="30569">
      <c r="H30569" t="s">
        <v>5117</v>
      </c>
    </row>
    <row r="30570">
      <c r="H30570" t="s">
        <v>5117</v>
      </c>
    </row>
    <row r="30571">
      <c r="H30571" t="s">
        <v>5117</v>
      </c>
    </row>
    <row r="30572">
      <c r="H30572" t="s">
        <v>5117</v>
      </c>
    </row>
    <row r="30573">
      <c r="H30573" t="s">
        <v>5117</v>
      </c>
    </row>
    <row r="30574">
      <c r="H30574" t="s">
        <v>5117</v>
      </c>
    </row>
    <row r="30575">
      <c r="H30575" t="s">
        <v>5117</v>
      </c>
    </row>
    <row r="30576">
      <c r="H30576" t="s">
        <v>5117</v>
      </c>
    </row>
    <row r="30577">
      <c r="H30577" t="s">
        <v>5117</v>
      </c>
    </row>
    <row r="30578">
      <c r="H30578" t="s">
        <v>5117</v>
      </c>
    </row>
    <row r="30579">
      <c r="H30579" t="s">
        <v>5117</v>
      </c>
    </row>
    <row r="30580">
      <c r="H30580" t="s">
        <v>5117</v>
      </c>
    </row>
    <row r="30581">
      <c r="H30581" t="s">
        <v>5117</v>
      </c>
    </row>
    <row r="30582">
      <c r="H30582" t="s">
        <v>5117</v>
      </c>
    </row>
    <row r="30583">
      <c r="H30583" t="s">
        <v>5117</v>
      </c>
    </row>
    <row r="30584">
      <c r="H30584" t="s">
        <v>5117</v>
      </c>
    </row>
    <row r="30585">
      <c r="H30585" t="s">
        <v>5117</v>
      </c>
    </row>
    <row r="30586">
      <c r="H30586" t="s">
        <v>5117</v>
      </c>
    </row>
    <row r="30587">
      <c r="H30587" t="s">
        <v>5117</v>
      </c>
    </row>
    <row r="30588">
      <c r="H30588" t="s">
        <v>5117</v>
      </c>
    </row>
    <row r="30589">
      <c r="H30589" t="s">
        <v>5117</v>
      </c>
    </row>
    <row r="30590">
      <c r="H30590" t="s">
        <v>5117</v>
      </c>
    </row>
    <row r="30591">
      <c r="H30591" t="s">
        <v>5117</v>
      </c>
    </row>
    <row r="30592">
      <c r="H30592" t="s">
        <v>5117</v>
      </c>
    </row>
    <row r="30593">
      <c r="H30593" t="s">
        <v>5117</v>
      </c>
    </row>
    <row r="30594">
      <c r="H30594" t="s">
        <v>5117</v>
      </c>
    </row>
    <row r="30595">
      <c r="H30595" t="s">
        <v>5117</v>
      </c>
    </row>
    <row r="30596">
      <c r="H30596" t="s">
        <v>5117</v>
      </c>
    </row>
    <row r="30597">
      <c r="H30597" t="s">
        <v>5117</v>
      </c>
    </row>
    <row r="30598">
      <c r="H30598" t="s">
        <v>5117</v>
      </c>
    </row>
    <row r="30599">
      <c r="H30599" t="s">
        <v>5117</v>
      </c>
    </row>
    <row r="30600">
      <c r="H30600" t="s">
        <v>5117</v>
      </c>
    </row>
    <row r="30601">
      <c r="H30601" t="s">
        <v>5117</v>
      </c>
    </row>
    <row r="30602">
      <c r="H30602" t="s">
        <v>5117</v>
      </c>
    </row>
    <row r="30603">
      <c r="H30603" t="s">
        <v>5117</v>
      </c>
    </row>
    <row r="30604">
      <c r="H30604" t="s">
        <v>5117</v>
      </c>
    </row>
    <row r="30605">
      <c r="H30605" t="s">
        <v>5117</v>
      </c>
    </row>
    <row r="30606">
      <c r="H30606" t="s">
        <v>5117</v>
      </c>
    </row>
    <row r="30607">
      <c r="H30607" t="s">
        <v>5117</v>
      </c>
    </row>
    <row r="30608">
      <c r="H30608" t="s">
        <v>5117</v>
      </c>
    </row>
    <row r="30609">
      <c r="H30609" t="s">
        <v>5117</v>
      </c>
    </row>
    <row r="30610">
      <c r="H30610" t="s">
        <v>5117</v>
      </c>
    </row>
    <row r="30611">
      <c r="H30611" t="s">
        <v>5117</v>
      </c>
    </row>
    <row r="30612">
      <c r="H30612" t="s">
        <v>5117</v>
      </c>
    </row>
    <row r="30613">
      <c r="H30613" t="s">
        <v>5117</v>
      </c>
    </row>
    <row r="30614">
      <c r="H30614" t="s">
        <v>5117</v>
      </c>
    </row>
    <row r="30615">
      <c r="H30615" t="s">
        <v>5117</v>
      </c>
    </row>
    <row r="30616">
      <c r="H30616" t="s">
        <v>5117</v>
      </c>
    </row>
    <row r="30617">
      <c r="H30617" t="s">
        <v>5117</v>
      </c>
    </row>
    <row r="30618">
      <c r="H30618" t="s">
        <v>5117</v>
      </c>
    </row>
    <row r="30619">
      <c r="H30619" t="s">
        <v>5117</v>
      </c>
    </row>
    <row r="30620">
      <c r="H30620" t="s">
        <v>5117</v>
      </c>
    </row>
    <row r="30621">
      <c r="H30621" t="s">
        <v>5117</v>
      </c>
    </row>
    <row r="30622">
      <c r="H30622" t="s">
        <v>5117</v>
      </c>
    </row>
    <row r="30623">
      <c r="H30623" t="s">
        <v>5117</v>
      </c>
    </row>
    <row r="30624">
      <c r="H30624" t="s">
        <v>5117</v>
      </c>
    </row>
    <row r="30625">
      <c r="H30625" t="s">
        <v>5117</v>
      </c>
    </row>
    <row r="30626">
      <c r="H30626" t="s">
        <v>5117</v>
      </c>
    </row>
    <row r="30627">
      <c r="H30627" t="s">
        <v>5117</v>
      </c>
    </row>
    <row r="30628">
      <c r="H30628" t="s">
        <v>5117</v>
      </c>
    </row>
    <row r="30629">
      <c r="H30629" t="s">
        <v>5117</v>
      </c>
    </row>
    <row r="30630">
      <c r="H30630" t="s">
        <v>5117</v>
      </c>
    </row>
    <row r="30631">
      <c r="H30631" t="s">
        <v>5117</v>
      </c>
    </row>
    <row r="30632">
      <c r="H30632" t="s">
        <v>5117</v>
      </c>
    </row>
    <row r="30633">
      <c r="H30633" t="s">
        <v>5117</v>
      </c>
    </row>
    <row r="30634">
      <c r="H30634" t="s">
        <v>5117</v>
      </c>
    </row>
    <row r="30635">
      <c r="H30635" t="s">
        <v>5117</v>
      </c>
    </row>
    <row r="30636">
      <c r="H30636" t="s">
        <v>5117</v>
      </c>
    </row>
    <row r="30637">
      <c r="H30637" t="s">
        <v>5117</v>
      </c>
    </row>
    <row r="30638">
      <c r="H30638" t="s">
        <v>5117</v>
      </c>
    </row>
    <row r="30639">
      <c r="H30639" t="s">
        <v>5117</v>
      </c>
    </row>
    <row r="30640">
      <c r="H30640" t="s">
        <v>5117</v>
      </c>
    </row>
    <row r="30641">
      <c r="H30641" t="s">
        <v>5117</v>
      </c>
    </row>
    <row r="30642">
      <c r="H30642" t="s">
        <v>5117</v>
      </c>
    </row>
    <row r="30643">
      <c r="H30643" t="s">
        <v>5117</v>
      </c>
    </row>
    <row r="30644">
      <c r="H30644" t="s">
        <v>5117</v>
      </c>
    </row>
    <row r="30645">
      <c r="H30645" t="s">
        <v>5117</v>
      </c>
    </row>
    <row r="30646">
      <c r="H30646" t="s">
        <v>5117</v>
      </c>
    </row>
    <row r="30647">
      <c r="H30647" t="s">
        <v>5117</v>
      </c>
    </row>
    <row r="30648">
      <c r="H30648" t="s">
        <v>5117</v>
      </c>
    </row>
    <row r="30649">
      <c r="H30649" t="s">
        <v>5117</v>
      </c>
    </row>
    <row r="30650">
      <c r="H30650" t="s">
        <v>5117</v>
      </c>
    </row>
    <row r="30651">
      <c r="H30651" t="s">
        <v>5117</v>
      </c>
    </row>
    <row r="30652">
      <c r="H30652" t="s">
        <v>5117</v>
      </c>
    </row>
    <row r="30653">
      <c r="H30653" t="s">
        <v>5117</v>
      </c>
    </row>
    <row r="30654">
      <c r="H30654" t="s">
        <v>5117</v>
      </c>
    </row>
    <row r="30655">
      <c r="H30655" t="s">
        <v>5117</v>
      </c>
    </row>
    <row r="30656">
      <c r="H30656" t="s">
        <v>5117</v>
      </c>
    </row>
    <row r="30657">
      <c r="H30657" t="s">
        <v>5117</v>
      </c>
    </row>
    <row r="30658">
      <c r="H30658" t="s">
        <v>5117</v>
      </c>
    </row>
    <row r="30659">
      <c r="H30659" t="s">
        <v>5117</v>
      </c>
    </row>
    <row r="30660">
      <c r="H30660" t="s">
        <v>5117</v>
      </c>
    </row>
    <row r="30661">
      <c r="H30661" t="s">
        <v>5117</v>
      </c>
    </row>
    <row r="30662">
      <c r="H30662" t="s">
        <v>5117</v>
      </c>
    </row>
    <row r="30663">
      <c r="H30663" t="s">
        <v>5117</v>
      </c>
    </row>
    <row r="30664">
      <c r="H30664" t="s">
        <v>5117</v>
      </c>
    </row>
    <row r="30665">
      <c r="H30665" t="s">
        <v>5117</v>
      </c>
    </row>
    <row r="30666">
      <c r="H30666" t="s">
        <v>5117</v>
      </c>
    </row>
    <row r="30667">
      <c r="H30667" t="s">
        <v>5117</v>
      </c>
    </row>
    <row r="30668">
      <c r="H30668" t="s">
        <v>5117</v>
      </c>
    </row>
    <row r="30669">
      <c r="H30669" t="s">
        <v>5117</v>
      </c>
    </row>
    <row r="30670">
      <c r="H30670" t="s">
        <v>5117</v>
      </c>
    </row>
    <row r="30671">
      <c r="H30671" t="s">
        <v>5117</v>
      </c>
    </row>
    <row r="30672">
      <c r="H30672" t="s">
        <v>5117</v>
      </c>
    </row>
    <row r="30673">
      <c r="H30673" t="s">
        <v>5117</v>
      </c>
    </row>
    <row r="30674">
      <c r="H30674" t="s">
        <v>5117</v>
      </c>
    </row>
    <row r="30675">
      <c r="H30675" t="s">
        <v>5117</v>
      </c>
    </row>
    <row r="30676">
      <c r="H30676" t="s">
        <v>5117</v>
      </c>
    </row>
    <row r="30677">
      <c r="H30677" t="s">
        <v>5117</v>
      </c>
    </row>
    <row r="30678">
      <c r="H30678" t="s">
        <v>5117</v>
      </c>
    </row>
    <row r="30679">
      <c r="H30679" t="s">
        <v>5117</v>
      </c>
    </row>
    <row r="30680">
      <c r="H30680" t="s">
        <v>5117</v>
      </c>
    </row>
    <row r="30681">
      <c r="H30681" t="s">
        <v>5117</v>
      </c>
    </row>
    <row r="30682">
      <c r="H30682" t="s">
        <v>5117</v>
      </c>
    </row>
    <row r="30683">
      <c r="H30683" t="s">
        <v>5117</v>
      </c>
    </row>
    <row r="30684">
      <c r="H30684" t="s">
        <v>5117</v>
      </c>
    </row>
    <row r="30685">
      <c r="H30685" t="s">
        <v>5117</v>
      </c>
    </row>
    <row r="30686">
      <c r="H30686" t="s">
        <v>5117</v>
      </c>
    </row>
    <row r="30687">
      <c r="H30687" t="s">
        <v>5117</v>
      </c>
    </row>
    <row r="30688">
      <c r="H30688" t="s">
        <v>5117</v>
      </c>
    </row>
    <row r="30689">
      <c r="H30689" t="s">
        <v>5117</v>
      </c>
    </row>
    <row r="30690">
      <c r="H30690" t="s">
        <v>5117</v>
      </c>
    </row>
    <row r="30691">
      <c r="H30691" t="s">
        <v>5117</v>
      </c>
    </row>
    <row r="30692">
      <c r="H30692" t="s">
        <v>5117</v>
      </c>
    </row>
    <row r="30693">
      <c r="H30693" t="s">
        <v>5117</v>
      </c>
    </row>
    <row r="30694">
      <c r="H30694" t="s">
        <v>5117</v>
      </c>
    </row>
    <row r="30695">
      <c r="H30695" t="s">
        <v>5117</v>
      </c>
    </row>
    <row r="30696">
      <c r="H30696" t="s">
        <v>5117</v>
      </c>
    </row>
    <row r="30697">
      <c r="H30697" t="s">
        <v>5117</v>
      </c>
    </row>
    <row r="30698">
      <c r="H30698" t="s">
        <v>5117</v>
      </c>
    </row>
    <row r="30699">
      <c r="H30699" t="s">
        <v>5117</v>
      </c>
    </row>
    <row r="30700">
      <c r="H30700" t="s">
        <v>5117</v>
      </c>
    </row>
    <row r="30701">
      <c r="H30701" t="s">
        <v>5117</v>
      </c>
    </row>
    <row r="30702">
      <c r="H30702" t="s">
        <v>5117</v>
      </c>
    </row>
    <row r="30703">
      <c r="H30703" t="s">
        <v>5117</v>
      </c>
    </row>
    <row r="30704">
      <c r="H30704" t="s">
        <v>5117</v>
      </c>
    </row>
    <row r="30705">
      <c r="H30705" t="s">
        <v>5117</v>
      </c>
    </row>
    <row r="30706">
      <c r="H30706" t="s">
        <v>5117</v>
      </c>
    </row>
    <row r="30707">
      <c r="H30707" t="s">
        <v>5117</v>
      </c>
    </row>
    <row r="30708">
      <c r="H30708" t="s">
        <v>5117</v>
      </c>
    </row>
    <row r="30709">
      <c r="H30709" t="s">
        <v>5117</v>
      </c>
    </row>
    <row r="30710">
      <c r="H30710" t="s">
        <v>5117</v>
      </c>
    </row>
    <row r="30711">
      <c r="H30711" t="s">
        <v>5117</v>
      </c>
    </row>
    <row r="30712">
      <c r="H30712" t="s">
        <v>5117</v>
      </c>
    </row>
    <row r="30713">
      <c r="H30713" t="s">
        <v>5117</v>
      </c>
    </row>
    <row r="30714">
      <c r="H30714" t="s">
        <v>5117</v>
      </c>
    </row>
    <row r="30715">
      <c r="H30715" t="s">
        <v>5117</v>
      </c>
    </row>
    <row r="30716">
      <c r="H30716" t="s">
        <v>5117</v>
      </c>
    </row>
    <row r="30717">
      <c r="H30717" t="s">
        <v>5117</v>
      </c>
    </row>
    <row r="30718">
      <c r="H30718" t="s">
        <v>5117</v>
      </c>
    </row>
    <row r="30719">
      <c r="H30719" t="s">
        <v>5117</v>
      </c>
    </row>
    <row r="30720">
      <c r="H30720" t="s">
        <v>5117</v>
      </c>
    </row>
    <row r="30721">
      <c r="H30721" t="s">
        <v>5117</v>
      </c>
    </row>
    <row r="30722">
      <c r="H30722" t="s">
        <v>5117</v>
      </c>
    </row>
    <row r="30723">
      <c r="H30723" t="s">
        <v>5117</v>
      </c>
    </row>
    <row r="30724">
      <c r="H30724" t="s">
        <v>5117</v>
      </c>
    </row>
    <row r="30725">
      <c r="H30725" t="s">
        <v>5117</v>
      </c>
    </row>
    <row r="30726">
      <c r="H30726" t="s">
        <v>5117</v>
      </c>
    </row>
    <row r="30727">
      <c r="H30727" t="s">
        <v>5117</v>
      </c>
    </row>
    <row r="30728">
      <c r="H30728" t="s">
        <v>5117</v>
      </c>
    </row>
    <row r="30729">
      <c r="H30729" t="s">
        <v>5117</v>
      </c>
    </row>
    <row r="30730">
      <c r="H30730" t="s">
        <v>5117</v>
      </c>
    </row>
    <row r="30731">
      <c r="H30731" t="s">
        <v>5117</v>
      </c>
    </row>
    <row r="30732">
      <c r="H30732" t="s">
        <v>5117</v>
      </c>
    </row>
    <row r="30733">
      <c r="H30733" t="s">
        <v>5117</v>
      </c>
    </row>
    <row r="30734">
      <c r="H30734" t="s">
        <v>5117</v>
      </c>
    </row>
    <row r="30735">
      <c r="H30735" t="s">
        <v>5117</v>
      </c>
    </row>
    <row r="30736">
      <c r="H30736" t="s">
        <v>5117</v>
      </c>
    </row>
    <row r="30737">
      <c r="H30737" t="s">
        <v>5117</v>
      </c>
    </row>
    <row r="30738">
      <c r="H30738" t="s">
        <v>5117</v>
      </c>
    </row>
    <row r="30739">
      <c r="H30739" t="s">
        <v>5117</v>
      </c>
    </row>
    <row r="30740">
      <c r="H30740" t="s">
        <v>5117</v>
      </c>
    </row>
    <row r="30741">
      <c r="H30741" t="s">
        <v>5117</v>
      </c>
    </row>
    <row r="30742">
      <c r="H30742" t="s">
        <v>5117</v>
      </c>
    </row>
    <row r="30743">
      <c r="H30743" t="s">
        <v>5117</v>
      </c>
    </row>
    <row r="30744">
      <c r="H30744" t="s">
        <v>5117</v>
      </c>
    </row>
    <row r="30745">
      <c r="H30745" t="s">
        <v>5117</v>
      </c>
    </row>
    <row r="30746">
      <c r="H30746" t="s">
        <v>5117</v>
      </c>
    </row>
    <row r="30747">
      <c r="H30747" t="s">
        <v>5117</v>
      </c>
    </row>
    <row r="30748">
      <c r="H30748" t="s">
        <v>5117</v>
      </c>
    </row>
    <row r="30749">
      <c r="H30749" t="s">
        <v>5117</v>
      </c>
    </row>
    <row r="30750">
      <c r="H30750" t="s">
        <v>5117</v>
      </c>
    </row>
    <row r="30751">
      <c r="H30751" t="s">
        <v>5117</v>
      </c>
    </row>
    <row r="30752">
      <c r="H30752" t="s">
        <v>5117</v>
      </c>
    </row>
    <row r="30753">
      <c r="H30753" t="s">
        <v>5117</v>
      </c>
    </row>
    <row r="30754">
      <c r="H30754" t="s">
        <v>5117</v>
      </c>
    </row>
    <row r="30755">
      <c r="H30755" t="s">
        <v>5117</v>
      </c>
    </row>
    <row r="30756">
      <c r="H30756" t="s">
        <v>5117</v>
      </c>
    </row>
    <row r="30757">
      <c r="H30757" t="s">
        <v>5117</v>
      </c>
    </row>
    <row r="30758">
      <c r="H30758" t="s">
        <v>5117</v>
      </c>
    </row>
    <row r="30759">
      <c r="H30759" t="s">
        <v>5117</v>
      </c>
    </row>
    <row r="30760">
      <c r="H30760" t="s">
        <v>5117</v>
      </c>
    </row>
    <row r="30761">
      <c r="H30761" t="s">
        <v>5117</v>
      </c>
    </row>
    <row r="30762">
      <c r="H30762" t="s">
        <v>5117</v>
      </c>
    </row>
    <row r="30763">
      <c r="H30763" t="s">
        <v>5117</v>
      </c>
    </row>
    <row r="30764">
      <c r="H30764" t="s">
        <v>5117</v>
      </c>
    </row>
    <row r="30765">
      <c r="H30765" t="s">
        <v>5117</v>
      </c>
    </row>
    <row r="30766">
      <c r="H30766" t="s">
        <v>5117</v>
      </c>
    </row>
    <row r="30767">
      <c r="H30767" t="s">
        <v>5117</v>
      </c>
    </row>
    <row r="30768">
      <c r="H30768" t="s">
        <v>5117</v>
      </c>
    </row>
    <row r="30769">
      <c r="H30769" t="s">
        <v>5117</v>
      </c>
    </row>
    <row r="30770">
      <c r="H30770" t="s">
        <v>5117</v>
      </c>
    </row>
    <row r="30771">
      <c r="H30771" t="s">
        <v>5117</v>
      </c>
    </row>
    <row r="30772">
      <c r="H30772" t="s">
        <v>5117</v>
      </c>
    </row>
    <row r="30773">
      <c r="H30773" t="s">
        <v>5117</v>
      </c>
    </row>
    <row r="30774">
      <c r="H30774" t="s">
        <v>5117</v>
      </c>
    </row>
    <row r="30775">
      <c r="H30775" t="s">
        <v>5117</v>
      </c>
    </row>
    <row r="30776">
      <c r="H30776" t="s">
        <v>5117</v>
      </c>
    </row>
    <row r="30777">
      <c r="H30777" t="s">
        <v>5117</v>
      </c>
    </row>
    <row r="30778">
      <c r="H30778" t="s">
        <v>5117</v>
      </c>
    </row>
    <row r="30779">
      <c r="H30779" t="s">
        <v>5117</v>
      </c>
    </row>
    <row r="30780">
      <c r="H30780" t="s">
        <v>5117</v>
      </c>
    </row>
    <row r="30781">
      <c r="H30781" t="s">
        <v>5117</v>
      </c>
    </row>
    <row r="30782">
      <c r="H30782" t="s">
        <v>5117</v>
      </c>
    </row>
    <row r="30783">
      <c r="H30783" t="s">
        <v>5117</v>
      </c>
    </row>
    <row r="30784">
      <c r="H30784" t="s">
        <v>5117</v>
      </c>
    </row>
    <row r="30785">
      <c r="H30785" t="s">
        <v>5117</v>
      </c>
    </row>
    <row r="30786">
      <c r="H30786" t="s">
        <v>5117</v>
      </c>
    </row>
    <row r="30787">
      <c r="H30787" t="s">
        <v>5117</v>
      </c>
    </row>
    <row r="30788">
      <c r="H30788" t="s">
        <v>5117</v>
      </c>
    </row>
    <row r="30789">
      <c r="H30789" t="s">
        <v>5117</v>
      </c>
    </row>
    <row r="30790">
      <c r="H30790" t="s">
        <v>5117</v>
      </c>
    </row>
    <row r="30791">
      <c r="H30791" t="s">
        <v>5117</v>
      </c>
    </row>
    <row r="30792">
      <c r="H30792" t="s">
        <v>5117</v>
      </c>
    </row>
    <row r="30793">
      <c r="H30793" t="s">
        <v>5117</v>
      </c>
    </row>
    <row r="30794">
      <c r="H30794" t="s">
        <v>5117</v>
      </c>
    </row>
    <row r="30795">
      <c r="H30795" t="s">
        <v>5117</v>
      </c>
    </row>
    <row r="30796">
      <c r="H30796" t="s">
        <v>5117</v>
      </c>
    </row>
    <row r="30797">
      <c r="H30797" t="s">
        <v>5117</v>
      </c>
    </row>
    <row r="30798">
      <c r="H30798" t="s">
        <v>5117</v>
      </c>
    </row>
    <row r="30799">
      <c r="H30799" t="s">
        <v>5117</v>
      </c>
    </row>
    <row r="30800">
      <c r="H30800" t="s">
        <v>5117</v>
      </c>
    </row>
    <row r="30801">
      <c r="H30801" t="s">
        <v>5117</v>
      </c>
    </row>
    <row r="30802">
      <c r="H30802" t="s">
        <v>5117</v>
      </c>
    </row>
    <row r="30803">
      <c r="H30803" t="s">
        <v>5117</v>
      </c>
    </row>
    <row r="30804">
      <c r="H30804" t="s">
        <v>5117</v>
      </c>
    </row>
    <row r="30805">
      <c r="H30805" t="s">
        <v>5117</v>
      </c>
    </row>
    <row r="30806">
      <c r="H30806" t="s">
        <v>5117</v>
      </c>
    </row>
    <row r="30807">
      <c r="H30807" t="s">
        <v>5117</v>
      </c>
    </row>
    <row r="30808">
      <c r="H30808" t="s">
        <v>5117</v>
      </c>
    </row>
    <row r="30809">
      <c r="H30809" t="s">
        <v>5117</v>
      </c>
    </row>
    <row r="30810">
      <c r="H30810" t="s">
        <v>5117</v>
      </c>
    </row>
    <row r="30811">
      <c r="H30811" t="s">
        <v>5117</v>
      </c>
    </row>
    <row r="30812">
      <c r="H30812" t="s">
        <v>5117</v>
      </c>
    </row>
    <row r="30813">
      <c r="H30813" t="s">
        <v>5117</v>
      </c>
    </row>
    <row r="30814">
      <c r="H30814" t="s">
        <v>5117</v>
      </c>
    </row>
    <row r="30815">
      <c r="H30815" t="s">
        <v>5117</v>
      </c>
    </row>
    <row r="30816">
      <c r="H30816" t="s">
        <v>5117</v>
      </c>
    </row>
    <row r="30817">
      <c r="H30817" t="s">
        <v>5117</v>
      </c>
    </row>
    <row r="30818">
      <c r="H30818" t="s">
        <v>5117</v>
      </c>
    </row>
    <row r="30819">
      <c r="H30819" t="s">
        <v>5117</v>
      </c>
    </row>
    <row r="30820">
      <c r="H30820" t="s">
        <v>5117</v>
      </c>
    </row>
    <row r="30821">
      <c r="H30821" t="s">
        <v>5117</v>
      </c>
    </row>
    <row r="30822">
      <c r="H30822" t="s">
        <v>5117</v>
      </c>
    </row>
    <row r="30823">
      <c r="H30823" t="s">
        <v>5117</v>
      </c>
    </row>
    <row r="30824">
      <c r="H30824" t="s">
        <v>5117</v>
      </c>
    </row>
    <row r="30825">
      <c r="H30825" t="s">
        <v>5117</v>
      </c>
    </row>
    <row r="30826">
      <c r="H30826" t="s">
        <v>5117</v>
      </c>
    </row>
    <row r="30827">
      <c r="H30827" t="s">
        <v>5117</v>
      </c>
    </row>
    <row r="30828">
      <c r="H30828" t="s">
        <v>5117</v>
      </c>
    </row>
    <row r="30829">
      <c r="H30829" t="s">
        <v>5117</v>
      </c>
    </row>
    <row r="30830">
      <c r="H30830" t="s">
        <v>5117</v>
      </c>
    </row>
    <row r="30831">
      <c r="H30831" t="s">
        <v>5117</v>
      </c>
    </row>
    <row r="30832">
      <c r="H30832" t="s">
        <v>5117</v>
      </c>
    </row>
    <row r="30833">
      <c r="H30833" t="s">
        <v>5117</v>
      </c>
    </row>
    <row r="30834">
      <c r="H30834" t="s">
        <v>5117</v>
      </c>
    </row>
    <row r="30835">
      <c r="H30835" t="s">
        <v>5117</v>
      </c>
    </row>
    <row r="30836">
      <c r="H30836" t="s">
        <v>5117</v>
      </c>
    </row>
    <row r="30837">
      <c r="H30837" t="s">
        <v>5117</v>
      </c>
    </row>
    <row r="30838">
      <c r="H30838" t="s">
        <v>5117</v>
      </c>
    </row>
    <row r="30839">
      <c r="H30839" t="s">
        <v>5117</v>
      </c>
    </row>
    <row r="30840">
      <c r="H30840" t="s">
        <v>5117</v>
      </c>
    </row>
    <row r="30841">
      <c r="H30841" t="s">
        <v>5117</v>
      </c>
    </row>
    <row r="30842">
      <c r="H30842" t="s">
        <v>5117</v>
      </c>
    </row>
    <row r="30843">
      <c r="H30843" t="s">
        <v>5117</v>
      </c>
    </row>
    <row r="30844">
      <c r="H30844" t="s">
        <v>5117</v>
      </c>
    </row>
    <row r="30845">
      <c r="H30845" t="s">
        <v>5117</v>
      </c>
    </row>
    <row r="30846">
      <c r="H30846" t="s">
        <v>5117</v>
      </c>
    </row>
    <row r="30847">
      <c r="H30847" t="s">
        <v>5117</v>
      </c>
    </row>
    <row r="30848">
      <c r="H30848" t="s">
        <v>5117</v>
      </c>
    </row>
    <row r="30849">
      <c r="H30849" t="s">
        <v>5117</v>
      </c>
    </row>
    <row r="30850">
      <c r="H30850" t="s">
        <v>5117</v>
      </c>
    </row>
    <row r="30851">
      <c r="H30851" t="s">
        <v>5117</v>
      </c>
    </row>
    <row r="30852">
      <c r="H30852" t="s">
        <v>5117</v>
      </c>
    </row>
    <row r="30853">
      <c r="H30853" t="s">
        <v>5117</v>
      </c>
    </row>
    <row r="30854">
      <c r="H30854" t="s">
        <v>5117</v>
      </c>
    </row>
    <row r="30855">
      <c r="H30855" t="s">
        <v>5117</v>
      </c>
    </row>
    <row r="30856">
      <c r="H30856" t="s">
        <v>5117</v>
      </c>
    </row>
    <row r="30857">
      <c r="H30857" t="s">
        <v>5117</v>
      </c>
    </row>
    <row r="30858">
      <c r="H30858" t="s">
        <v>5117</v>
      </c>
    </row>
    <row r="30859">
      <c r="H30859" t="s">
        <v>5117</v>
      </c>
    </row>
    <row r="30860">
      <c r="H30860" t="s">
        <v>5117</v>
      </c>
    </row>
    <row r="30861">
      <c r="H30861" t="s">
        <v>5117</v>
      </c>
    </row>
    <row r="30862">
      <c r="H30862" t="s">
        <v>5117</v>
      </c>
    </row>
    <row r="30863">
      <c r="H30863" t="s">
        <v>5117</v>
      </c>
    </row>
    <row r="30864">
      <c r="H30864" t="s">
        <v>5117</v>
      </c>
    </row>
    <row r="30865">
      <c r="H30865" t="s">
        <v>5117</v>
      </c>
    </row>
    <row r="30866">
      <c r="H30866" t="s">
        <v>5117</v>
      </c>
    </row>
    <row r="30867">
      <c r="H30867" t="s">
        <v>5117</v>
      </c>
    </row>
    <row r="30868">
      <c r="H30868" t="s">
        <v>5117</v>
      </c>
    </row>
    <row r="30869">
      <c r="H30869" t="s">
        <v>5117</v>
      </c>
    </row>
    <row r="30870">
      <c r="H30870" t="s">
        <v>5117</v>
      </c>
    </row>
    <row r="30871">
      <c r="H30871" t="s">
        <v>5117</v>
      </c>
    </row>
    <row r="30872">
      <c r="H30872" t="s">
        <v>5117</v>
      </c>
    </row>
    <row r="30873">
      <c r="H30873" t="s">
        <v>5117</v>
      </c>
    </row>
    <row r="30874">
      <c r="H30874" t="s">
        <v>5117</v>
      </c>
    </row>
    <row r="30875">
      <c r="H30875" t="s">
        <v>5117</v>
      </c>
    </row>
    <row r="30876">
      <c r="H30876" t="s">
        <v>5117</v>
      </c>
    </row>
    <row r="30877">
      <c r="H30877" t="s">
        <v>5117</v>
      </c>
    </row>
    <row r="30878">
      <c r="H30878" t="s">
        <v>5117</v>
      </c>
    </row>
    <row r="30879">
      <c r="H30879" t="s">
        <v>5117</v>
      </c>
    </row>
    <row r="30880">
      <c r="H30880" t="s">
        <v>5117</v>
      </c>
    </row>
    <row r="30881">
      <c r="H30881" t="s">
        <v>5117</v>
      </c>
    </row>
    <row r="30882">
      <c r="H30882" t="s">
        <v>5117</v>
      </c>
    </row>
    <row r="30883">
      <c r="H30883" t="s">
        <v>5117</v>
      </c>
    </row>
    <row r="30884">
      <c r="H30884" t="s">
        <v>5117</v>
      </c>
    </row>
    <row r="30885">
      <c r="H30885" t="s">
        <v>5117</v>
      </c>
    </row>
    <row r="30886">
      <c r="H30886" t="s">
        <v>5117</v>
      </c>
    </row>
    <row r="30887">
      <c r="H30887" t="s">
        <v>5117</v>
      </c>
    </row>
    <row r="30888">
      <c r="H30888" t="s">
        <v>5117</v>
      </c>
    </row>
    <row r="30889">
      <c r="H30889" t="s">
        <v>5117</v>
      </c>
    </row>
    <row r="30890">
      <c r="H30890" t="s">
        <v>5117</v>
      </c>
    </row>
    <row r="30891">
      <c r="H30891" t="s">
        <v>5117</v>
      </c>
    </row>
    <row r="30892">
      <c r="H30892" t="s">
        <v>5117</v>
      </c>
    </row>
    <row r="30893">
      <c r="H30893" t="s">
        <v>5117</v>
      </c>
    </row>
    <row r="30894">
      <c r="H30894" t="s">
        <v>5117</v>
      </c>
    </row>
    <row r="30895">
      <c r="H30895" t="s">
        <v>5117</v>
      </c>
    </row>
    <row r="30896">
      <c r="H30896" t="s">
        <v>5117</v>
      </c>
    </row>
    <row r="30897">
      <c r="H30897" t="s">
        <v>5117</v>
      </c>
    </row>
    <row r="30898">
      <c r="H30898" t="s">
        <v>5117</v>
      </c>
    </row>
    <row r="30899">
      <c r="H30899" t="s">
        <v>5117</v>
      </c>
    </row>
    <row r="30900">
      <c r="H30900" t="s">
        <v>5117</v>
      </c>
    </row>
    <row r="30901">
      <c r="H30901" t="s">
        <v>5117</v>
      </c>
    </row>
    <row r="30902">
      <c r="H30902" t="s">
        <v>5117</v>
      </c>
    </row>
    <row r="30903">
      <c r="H30903" t="s">
        <v>5117</v>
      </c>
    </row>
    <row r="30904">
      <c r="H30904" t="s">
        <v>5117</v>
      </c>
    </row>
    <row r="30905">
      <c r="H30905" t="s">
        <v>5117</v>
      </c>
    </row>
    <row r="30906">
      <c r="H30906" t="s">
        <v>5117</v>
      </c>
    </row>
    <row r="30907">
      <c r="H30907" t="s">
        <v>5117</v>
      </c>
    </row>
    <row r="30908">
      <c r="H30908" t="s">
        <v>5117</v>
      </c>
    </row>
    <row r="30909">
      <c r="H30909" t="s">
        <v>5117</v>
      </c>
    </row>
    <row r="30910">
      <c r="H30910" t="s">
        <v>5117</v>
      </c>
    </row>
    <row r="30911">
      <c r="H30911" t="s">
        <v>5117</v>
      </c>
    </row>
    <row r="30912">
      <c r="H30912" t="s">
        <v>5117</v>
      </c>
    </row>
    <row r="30913">
      <c r="H30913" t="s">
        <v>5117</v>
      </c>
    </row>
    <row r="30914">
      <c r="H30914" t="s">
        <v>5117</v>
      </c>
    </row>
    <row r="30915">
      <c r="H30915" t="s">
        <v>5117</v>
      </c>
    </row>
    <row r="30916">
      <c r="H30916" t="s">
        <v>5117</v>
      </c>
    </row>
    <row r="30917">
      <c r="H30917" t="s">
        <v>5117</v>
      </c>
    </row>
    <row r="30918">
      <c r="H30918" t="s">
        <v>5117</v>
      </c>
    </row>
    <row r="30919">
      <c r="H30919" t="s">
        <v>5117</v>
      </c>
    </row>
    <row r="30920">
      <c r="H30920" t="s">
        <v>5117</v>
      </c>
    </row>
    <row r="30921">
      <c r="H30921" t="s">
        <v>5117</v>
      </c>
    </row>
    <row r="30922">
      <c r="H30922" t="s">
        <v>5117</v>
      </c>
    </row>
    <row r="30923">
      <c r="H30923" t="s">
        <v>5117</v>
      </c>
    </row>
    <row r="30924">
      <c r="H30924" t="s">
        <v>5117</v>
      </c>
    </row>
    <row r="30925">
      <c r="H30925" t="s">
        <v>5117</v>
      </c>
    </row>
    <row r="30926">
      <c r="H30926" t="s">
        <v>5117</v>
      </c>
    </row>
    <row r="30927">
      <c r="H30927" t="s">
        <v>5117</v>
      </c>
    </row>
    <row r="30928">
      <c r="H30928" t="s">
        <v>5117</v>
      </c>
    </row>
    <row r="30929">
      <c r="H30929" t="s">
        <v>5117</v>
      </c>
    </row>
    <row r="30930">
      <c r="H30930" t="s">
        <v>5117</v>
      </c>
    </row>
    <row r="30931">
      <c r="H30931" t="s">
        <v>5117</v>
      </c>
    </row>
    <row r="30932">
      <c r="H30932" t="s">
        <v>5117</v>
      </c>
    </row>
    <row r="30933">
      <c r="H30933" t="s">
        <v>5117</v>
      </c>
    </row>
    <row r="30934">
      <c r="H30934" t="s">
        <v>5117</v>
      </c>
    </row>
    <row r="30935">
      <c r="H30935" t="s">
        <v>5117</v>
      </c>
    </row>
    <row r="30936">
      <c r="H30936" t="s">
        <v>5117</v>
      </c>
    </row>
    <row r="30937">
      <c r="H30937" t="s">
        <v>5117</v>
      </c>
    </row>
    <row r="30938">
      <c r="H30938" t="s">
        <v>5117</v>
      </c>
    </row>
    <row r="30939">
      <c r="H30939" t="s">
        <v>5117</v>
      </c>
    </row>
    <row r="30940">
      <c r="H30940" t="s">
        <v>5117</v>
      </c>
    </row>
    <row r="30941">
      <c r="H30941" t="s">
        <v>5117</v>
      </c>
    </row>
    <row r="30942">
      <c r="H30942" t="s">
        <v>5117</v>
      </c>
    </row>
    <row r="30943">
      <c r="H30943" t="s">
        <v>5117</v>
      </c>
    </row>
    <row r="30944">
      <c r="H30944" t="s">
        <v>5117</v>
      </c>
    </row>
    <row r="30945">
      <c r="H30945" t="s">
        <v>5117</v>
      </c>
    </row>
    <row r="30946">
      <c r="H30946" t="s">
        <v>5117</v>
      </c>
    </row>
    <row r="30947">
      <c r="H30947" t="s">
        <v>5117</v>
      </c>
    </row>
    <row r="30948">
      <c r="H30948" t="s">
        <v>5117</v>
      </c>
    </row>
    <row r="30949">
      <c r="H30949" t="s">
        <v>5117</v>
      </c>
    </row>
    <row r="30950">
      <c r="H30950" t="s">
        <v>5117</v>
      </c>
    </row>
    <row r="30951">
      <c r="H30951" t="s">
        <v>5117</v>
      </c>
    </row>
    <row r="30952">
      <c r="H30952" t="s">
        <v>5117</v>
      </c>
    </row>
    <row r="30953">
      <c r="H30953" t="s">
        <v>5117</v>
      </c>
    </row>
    <row r="30954">
      <c r="H30954" t="s">
        <v>5117</v>
      </c>
    </row>
    <row r="30955">
      <c r="H30955" t="s">
        <v>5117</v>
      </c>
    </row>
    <row r="30956">
      <c r="H30956" t="s">
        <v>5117</v>
      </c>
    </row>
    <row r="30957">
      <c r="H30957" t="s">
        <v>5117</v>
      </c>
    </row>
    <row r="30958">
      <c r="H30958" t="s">
        <v>5117</v>
      </c>
    </row>
    <row r="30959">
      <c r="H30959" t="s">
        <v>5117</v>
      </c>
    </row>
    <row r="30960">
      <c r="H30960" t="s">
        <v>5117</v>
      </c>
    </row>
    <row r="30961">
      <c r="H30961" t="s">
        <v>5117</v>
      </c>
    </row>
    <row r="30962">
      <c r="H30962" t="s">
        <v>5117</v>
      </c>
    </row>
    <row r="30963">
      <c r="H30963" t="s">
        <v>5117</v>
      </c>
    </row>
    <row r="30964">
      <c r="H30964" t="s">
        <v>5117</v>
      </c>
    </row>
    <row r="30965">
      <c r="H30965" t="s">
        <v>5117</v>
      </c>
    </row>
    <row r="30966">
      <c r="H30966" t="s">
        <v>5117</v>
      </c>
    </row>
    <row r="30967">
      <c r="H30967" t="s">
        <v>5117</v>
      </c>
    </row>
    <row r="30968">
      <c r="H30968" t="s">
        <v>5117</v>
      </c>
    </row>
    <row r="30969">
      <c r="H30969" t="s">
        <v>5117</v>
      </c>
    </row>
    <row r="30970">
      <c r="H30970" t="s">
        <v>5117</v>
      </c>
    </row>
    <row r="30971">
      <c r="H30971" t="s">
        <v>5117</v>
      </c>
    </row>
    <row r="30972">
      <c r="H30972" t="s">
        <v>5117</v>
      </c>
    </row>
    <row r="30973">
      <c r="H30973" t="s">
        <v>5117</v>
      </c>
    </row>
    <row r="30974">
      <c r="H30974" t="s">
        <v>5117</v>
      </c>
    </row>
    <row r="30975">
      <c r="H30975" t="s">
        <v>5117</v>
      </c>
    </row>
    <row r="30976">
      <c r="H30976" t="s">
        <v>5117</v>
      </c>
    </row>
    <row r="30977">
      <c r="H30977" t="s">
        <v>5117</v>
      </c>
    </row>
    <row r="30978">
      <c r="H30978" t="s">
        <v>5117</v>
      </c>
    </row>
    <row r="30979">
      <c r="H30979" t="s">
        <v>5117</v>
      </c>
    </row>
    <row r="30980">
      <c r="H30980" t="s">
        <v>5117</v>
      </c>
    </row>
    <row r="30981">
      <c r="H30981" t="s">
        <v>5117</v>
      </c>
    </row>
    <row r="30982">
      <c r="H30982" t="s">
        <v>5117</v>
      </c>
    </row>
    <row r="30983">
      <c r="H30983" t="s">
        <v>5117</v>
      </c>
    </row>
    <row r="30984">
      <c r="H30984" t="s">
        <v>5117</v>
      </c>
    </row>
    <row r="30985">
      <c r="H30985" t="s">
        <v>5117</v>
      </c>
    </row>
    <row r="30986">
      <c r="H30986" t="s">
        <v>5117</v>
      </c>
    </row>
    <row r="30987">
      <c r="H30987" t="s">
        <v>5117</v>
      </c>
    </row>
    <row r="30988">
      <c r="H30988" t="s">
        <v>5117</v>
      </c>
    </row>
    <row r="30989">
      <c r="H30989" t="s">
        <v>5117</v>
      </c>
    </row>
    <row r="30990">
      <c r="H30990" t="s">
        <v>5117</v>
      </c>
    </row>
    <row r="30991">
      <c r="H30991" t="s">
        <v>5117</v>
      </c>
    </row>
    <row r="30992">
      <c r="H30992" t="s">
        <v>5117</v>
      </c>
    </row>
    <row r="30993">
      <c r="H30993" t="s">
        <v>5117</v>
      </c>
    </row>
    <row r="30994">
      <c r="H30994" t="s">
        <v>5117</v>
      </c>
    </row>
    <row r="30995">
      <c r="H30995" t="s">
        <v>5117</v>
      </c>
    </row>
    <row r="30996">
      <c r="H30996" t="s">
        <v>5117</v>
      </c>
    </row>
    <row r="30997">
      <c r="H30997" t="s">
        <v>5117</v>
      </c>
    </row>
    <row r="30998">
      <c r="H30998" t="s">
        <v>5117</v>
      </c>
    </row>
    <row r="30999">
      <c r="H30999" t="s">
        <v>5117</v>
      </c>
    </row>
    <row r="31000">
      <c r="H31000" t="s">
        <v>5117</v>
      </c>
    </row>
    <row r="31001">
      <c r="H31001" t="s">
        <v>5117</v>
      </c>
    </row>
    <row r="31002">
      <c r="H31002" t="s">
        <v>5117</v>
      </c>
    </row>
    <row r="31003">
      <c r="H31003" t="s">
        <v>5117</v>
      </c>
    </row>
    <row r="31004">
      <c r="H31004" t="s">
        <v>5117</v>
      </c>
    </row>
    <row r="31005">
      <c r="H31005" t="s">
        <v>5117</v>
      </c>
    </row>
    <row r="31006">
      <c r="H31006" t="s">
        <v>5117</v>
      </c>
    </row>
    <row r="31007">
      <c r="H31007" t="s">
        <v>5117</v>
      </c>
    </row>
    <row r="31008">
      <c r="H31008" t="s">
        <v>5117</v>
      </c>
    </row>
    <row r="31009">
      <c r="H31009" t="s">
        <v>5117</v>
      </c>
    </row>
    <row r="31010">
      <c r="H31010" t="s">
        <v>5117</v>
      </c>
    </row>
    <row r="31011">
      <c r="H31011" t="s">
        <v>5117</v>
      </c>
    </row>
    <row r="31012">
      <c r="H31012" t="s">
        <v>5117</v>
      </c>
    </row>
    <row r="31013">
      <c r="H31013" t="s">
        <v>5117</v>
      </c>
    </row>
    <row r="31014">
      <c r="H31014" t="s">
        <v>5117</v>
      </c>
    </row>
    <row r="31015">
      <c r="H31015" t="s">
        <v>5117</v>
      </c>
    </row>
    <row r="31016">
      <c r="H31016" t="s">
        <v>5117</v>
      </c>
    </row>
    <row r="31017">
      <c r="H31017" t="s">
        <v>5117</v>
      </c>
    </row>
    <row r="31018">
      <c r="H31018" t="s">
        <v>5117</v>
      </c>
    </row>
    <row r="31019">
      <c r="H31019" t="s">
        <v>5117</v>
      </c>
    </row>
    <row r="31020">
      <c r="H31020" t="s">
        <v>5117</v>
      </c>
    </row>
    <row r="31021">
      <c r="H31021" t="s">
        <v>5117</v>
      </c>
    </row>
    <row r="31022">
      <c r="H31022" t="s">
        <v>5117</v>
      </c>
    </row>
    <row r="31023">
      <c r="H31023" t="s">
        <v>5117</v>
      </c>
    </row>
    <row r="31024">
      <c r="H31024" t="s">
        <v>5117</v>
      </c>
    </row>
    <row r="31025">
      <c r="H31025" t="s">
        <v>5117</v>
      </c>
    </row>
    <row r="31026">
      <c r="H31026" t="s">
        <v>5117</v>
      </c>
    </row>
    <row r="31027">
      <c r="H31027" t="s">
        <v>5117</v>
      </c>
    </row>
    <row r="31028">
      <c r="H31028" t="s">
        <v>5117</v>
      </c>
    </row>
    <row r="31029">
      <c r="H31029" t="s">
        <v>5117</v>
      </c>
    </row>
    <row r="31030">
      <c r="H31030" t="s">
        <v>5117</v>
      </c>
    </row>
    <row r="31031">
      <c r="H31031" t="s">
        <v>5117</v>
      </c>
    </row>
    <row r="31032">
      <c r="H31032" t="s">
        <v>5117</v>
      </c>
    </row>
    <row r="31033">
      <c r="H31033" t="s">
        <v>5117</v>
      </c>
    </row>
    <row r="31034">
      <c r="H31034" t="s">
        <v>5117</v>
      </c>
    </row>
    <row r="31035">
      <c r="H31035" t="s">
        <v>5117</v>
      </c>
    </row>
    <row r="31036">
      <c r="H31036" t="s">
        <v>5117</v>
      </c>
    </row>
    <row r="31037">
      <c r="H31037" t="s">
        <v>5117</v>
      </c>
    </row>
    <row r="31038">
      <c r="H31038" t="s">
        <v>5117</v>
      </c>
    </row>
    <row r="31039">
      <c r="H31039" t="s">
        <v>5117</v>
      </c>
    </row>
    <row r="31040">
      <c r="H31040" t="s">
        <v>5117</v>
      </c>
    </row>
    <row r="31041">
      <c r="H31041" t="s">
        <v>5117</v>
      </c>
    </row>
    <row r="31042">
      <c r="H31042" t="s">
        <v>5117</v>
      </c>
    </row>
    <row r="31043">
      <c r="H31043" t="s">
        <v>5117</v>
      </c>
    </row>
    <row r="31044">
      <c r="H31044" t="s">
        <v>5117</v>
      </c>
    </row>
    <row r="31045">
      <c r="H31045" t="s">
        <v>5117</v>
      </c>
    </row>
    <row r="31046">
      <c r="H31046" t="s">
        <v>5117</v>
      </c>
    </row>
    <row r="31047">
      <c r="H31047" t="s">
        <v>5117</v>
      </c>
    </row>
    <row r="31048">
      <c r="H31048" t="s">
        <v>5117</v>
      </c>
    </row>
    <row r="31049">
      <c r="H31049" t="s">
        <v>5117</v>
      </c>
    </row>
    <row r="31050">
      <c r="H31050" t="s">
        <v>5117</v>
      </c>
    </row>
    <row r="31051">
      <c r="H31051" t="s">
        <v>5117</v>
      </c>
    </row>
    <row r="31052">
      <c r="H31052" t="s">
        <v>5117</v>
      </c>
    </row>
    <row r="31053">
      <c r="H31053" t="s">
        <v>5117</v>
      </c>
    </row>
    <row r="31054">
      <c r="H31054" t="s">
        <v>5117</v>
      </c>
    </row>
    <row r="31055">
      <c r="H31055" t="s">
        <v>5117</v>
      </c>
    </row>
    <row r="31056">
      <c r="H31056" t="s">
        <v>5117</v>
      </c>
    </row>
    <row r="31057">
      <c r="H31057" t="s">
        <v>5117</v>
      </c>
    </row>
    <row r="31058">
      <c r="H31058" t="s">
        <v>5117</v>
      </c>
    </row>
    <row r="31059">
      <c r="H31059" t="s">
        <v>5117</v>
      </c>
    </row>
    <row r="31060">
      <c r="H31060" t="s">
        <v>5117</v>
      </c>
    </row>
    <row r="31061">
      <c r="H31061" t="s">
        <v>5117</v>
      </c>
    </row>
    <row r="31062">
      <c r="H31062" t="s">
        <v>5117</v>
      </c>
    </row>
    <row r="31063">
      <c r="H31063" t="s">
        <v>5117</v>
      </c>
    </row>
    <row r="31064">
      <c r="H31064" t="s">
        <v>5117</v>
      </c>
    </row>
    <row r="31065">
      <c r="H31065" t="s">
        <v>5117</v>
      </c>
    </row>
    <row r="31066">
      <c r="H31066" t="s">
        <v>5117</v>
      </c>
    </row>
    <row r="31067">
      <c r="H31067" t="s">
        <v>5117</v>
      </c>
    </row>
    <row r="31068">
      <c r="H31068" t="s">
        <v>5117</v>
      </c>
    </row>
    <row r="31069">
      <c r="H31069" t="s">
        <v>5117</v>
      </c>
    </row>
    <row r="31070">
      <c r="H31070" t="s">
        <v>5117</v>
      </c>
    </row>
    <row r="31071">
      <c r="H31071" t="s">
        <v>5117</v>
      </c>
    </row>
    <row r="31072">
      <c r="H31072" t="s">
        <v>5117</v>
      </c>
    </row>
    <row r="31073">
      <c r="H31073" t="s">
        <v>5117</v>
      </c>
    </row>
    <row r="31074">
      <c r="H31074" t="s">
        <v>5117</v>
      </c>
    </row>
    <row r="31075">
      <c r="H31075" t="s">
        <v>5117</v>
      </c>
    </row>
    <row r="31076">
      <c r="H31076" t="s">
        <v>5117</v>
      </c>
    </row>
    <row r="31077">
      <c r="H31077" t="s">
        <v>5117</v>
      </c>
    </row>
    <row r="31078">
      <c r="H31078" t="s">
        <v>5117</v>
      </c>
    </row>
    <row r="31079">
      <c r="H31079" t="s">
        <v>5117</v>
      </c>
    </row>
    <row r="31080">
      <c r="H31080" t="s">
        <v>5117</v>
      </c>
    </row>
    <row r="31081">
      <c r="H31081" t="s">
        <v>5117</v>
      </c>
    </row>
    <row r="31082">
      <c r="H31082" t="s">
        <v>5117</v>
      </c>
    </row>
    <row r="31083">
      <c r="H31083" t="s">
        <v>5117</v>
      </c>
    </row>
    <row r="31084">
      <c r="H31084" t="s">
        <v>5117</v>
      </c>
    </row>
    <row r="31085">
      <c r="H31085" t="s">
        <v>5117</v>
      </c>
    </row>
    <row r="31086">
      <c r="H31086" t="s">
        <v>5117</v>
      </c>
    </row>
    <row r="31087">
      <c r="H31087" t="s">
        <v>5117</v>
      </c>
    </row>
    <row r="31088">
      <c r="H31088" t="s">
        <v>5117</v>
      </c>
    </row>
    <row r="31089">
      <c r="H31089" t="s">
        <v>5117</v>
      </c>
    </row>
    <row r="31090">
      <c r="H31090" t="s">
        <v>5117</v>
      </c>
    </row>
    <row r="31091">
      <c r="H31091" t="s">
        <v>5117</v>
      </c>
    </row>
    <row r="31092">
      <c r="H31092" t="s">
        <v>5117</v>
      </c>
    </row>
    <row r="31093">
      <c r="H31093" t="s">
        <v>5117</v>
      </c>
    </row>
    <row r="31094">
      <c r="H31094" t="s">
        <v>5117</v>
      </c>
    </row>
    <row r="31095">
      <c r="H31095" t="s">
        <v>5117</v>
      </c>
    </row>
    <row r="31096">
      <c r="H31096" t="s">
        <v>5117</v>
      </c>
    </row>
    <row r="31097">
      <c r="H31097" t="s">
        <v>5117</v>
      </c>
    </row>
    <row r="31098">
      <c r="H31098" t="s">
        <v>5117</v>
      </c>
    </row>
    <row r="31099">
      <c r="H31099" t="s">
        <v>5117</v>
      </c>
    </row>
    <row r="31100">
      <c r="H31100" t="s">
        <v>5117</v>
      </c>
    </row>
    <row r="31101">
      <c r="H31101" t="s">
        <v>5117</v>
      </c>
    </row>
    <row r="31102">
      <c r="H31102" t="s">
        <v>5117</v>
      </c>
    </row>
    <row r="31103">
      <c r="H31103" t="s">
        <v>5117</v>
      </c>
    </row>
    <row r="31104">
      <c r="H31104" t="s">
        <v>5117</v>
      </c>
    </row>
    <row r="31105">
      <c r="H31105" t="s">
        <v>5117</v>
      </c>
    </row>
    <row r="31106">
      <c r="H31106" t="s">
        <v>5117</v>
      </c>
    </row>
    <row r="31107">
      <c r="H31107" t="s">
        <v>5117</v>
      </c>
    </row>
    <row r="31108">
      <c r="H31108" t="s">
        <v>5117</v>
      </c>
    </row>
    <row r="31109">
      <c r="H31109" t="s">
        <v>5117</v>
      </c>
    </row>
    <row r="31110">
      <c r="H31110" t="s">
        <v>5117</v>
      </c>
    </row>
    <row r="31111">
      <c r="H31111" t="s">
        <v>5117</v>
      </c>
    </row>
    <row r="31112">
      <c r="H31112" t="s">
        <v>5117</v>
      </c>
    </row>
    <row r="31113">
      <c r="H31113" t="s">
        <v>5117</v>
      </c>
    </row>
    <row r="31114">
      <c r="H31114" t="s">
        <v>5117</v>
      </c>
    </row>
    <row r="31115">
      <c r="H31115" t="s">
        <v>5117</v>
      </c>
    </row>
    <row r="31116">
      <c r="H31116" t="s">
        <v>5117</v>
      </c>
    </row>
    <row r="31117">
      <c r="H31117" t="s">
        <v>5117</v>
      </c>
    </row>
    <row r="31118">
      <c r="H31118" t="s">
        <v>5117</v>
      </c>
    </row>
    <row r="31119">
      <c r="H31119" t="s">
        <v>5117</v>
      </c>
    </row>
    <row r="31120">
      <c r="H31120" t="s">
        <v>5117</v>
      </c>
    </row>
    <row r="31121">
      <c r="H31121" t="s">
        <v>5117</v>
      </c>
    </row>
    <row r="31122">
      <c r="H31122" t="s">
        <v>5117</v>
      </c>
    </row>
    <row r="31123">
      <c r="H31123" t="s">
        <v>5117</v>
      </c>
    </row>
    <row r="31124">
      <c r="H31124" t="s">
        <v>5117</v>
      </c>
    </row>
    <row r="31125">
      <c r="H31125" t="s">
        <v>5117</v>
      </c>
    </row>
    <row r="31126">
      <c r="H31126" t="s">
        <v>5117</v>
      </c>
    </row>
    <row r="31127">
      <c r="H31127" t="s">
        <v>5117</v>
      </c>
    </row>
    <row r="31128">
      <c r="H31128" t="s">
        <v>5117</v>
      </c>
    </row>
    <row r="31129">
      <c r="H31129" t="s">
        <v>5117</v>
      </c>
    </row>
    <row r="31130">
      <c r="H31130" t="s">
        <v>5117</v>
      </c>
    </row>
    <row r="31131">
      <c r="H31131" t="s">
        <v>5117</v>
      </c>
    </row>
    <row r="31132">
      <c r="H31132" t="s">
        <v>5117</v>
      </c>
    </row>
    <row r="31133">
      <c r="H31133" t="s">
        <v>5117</v>
      </c>
    </row>
    <row r="31134">
      <c r="H31134" t="s">
        <v>5117</v>
      </c>
    </row>
    <row r="31135">
      <c r="H31135" t="s">
        <v>5117</v>
      </c>
    </row>
    <row r="31136">
      <c r="H31136" t="s">
        <v>5117</v>
      </c>
    </row>
    <row r="31137">
      <c r="H31137" t="s">
        <v>5117</v>
      </c>
    </row>
    <row r="31138">
      <c r="H31138" t="s">
        <v>5117</v>
      </c>
    </row>
    <row r="31139">
      <c r="H31139" t="s">
        <v>5117</v>
      </c>
    </row>
    <row r="31140">
      <c r="H31140" t="s">
        <v>5117</v>
      </c>
    </row>
    <row r="31141">
      <c r="H31141" t="s">
        <v>5117</v>
      </c>
    </row>
    <row r="31142">
      <c r="H31142" t="s">
        <v>5117</v>
      </c>
    </row>
    <row r="31143">
      <c r="H31143" t="s">
        <v>5117</v>
      </c>
    </row>
    <row r="31144">
      <c r="H31144" t="s">
        <v>5117</v>
      </c>
    </row>
    <row r="31145">
      <c r="H31145" t="s">
        <v>5117</v>
      </c>
    </row>
    <row r="31146">
      <c r="H31146" t="s">
        <v>5117</v>
      </c>
    </row>
    <row r="31147">
      <c r="H31147" t="s">
        <v>5117</v>
      </c>
    </row>
    <row r="31148">
      <c r="H31148" t="s">
        <v>5117</v>
      </c>
    </row>
    <row r="31149">
      <c r="H31149" t="s">
        <v>5117</v>
      </c>
    </row>
    <row r="31150">
      <c r="H31150" t="s">
        <v>5117</v>
      </c>
    </row>
    <row r="31151">
      <c r="H31151" t="s">
        <v>5117</v>
      </c>
    </row>
    <row r="31152">
      <c r="H31152" t="s">
        <v>5117</v>
      </c>
    </row>
    <row r="31153">
      <c r="H31153" t="s">
        <v>5117</v>
      </c>
    </row>
    <row r="31154">
      <c r="H31154" t="s">
        <v>5117</v>
      </c>
    </row>
    <row r="31155">
      <c r="H31155" t="s">
        <v>5117</v>
      </c>
    </row>
    <row r="31156">
      <c r="H31156" t="s">
        <v>5117</v>
      </c>
    </row>
    <row r="31157">
      <c r="H31157" t="s">
        <v>5117</v>
      </c>
    </row>
    <row r="31158">
      <c r="H31158" t="s">
        <v>5117</v>
      </c>
    </row>
    <row r="31159">
      <c r="H31159" t="s">
        <v>5117</v>
      </c>
    </row>
    <row r="31160">
      <c r="H31160" t="s">
        <v>5117</v>
      </c>
    </row>
    <row r="31161">
      <c r="H31161" t="s">
        <v>5117</v>
      </c>
    </row>
    <row r="31162">
      <c r="H31162" t="s">
        <v>5117</v>
      </c>
    </row>
    <row r="31163">
      <c r="H31163" t="s">
        <v>5117</v>
      </c>
    </row>
    <row r="31164">
      <c r="H31164" t="s">
        <v>5117</v>
      </c>
    </row>
    <row r="31165">
      <c r="H31165" t="s">
        <v>5117</v>
      </c>
    </row>
    <row r="31166">
      <c r="H31166" t="s">
        <v>5117</v>
      </c>
    </row>
    <row r="31167">
      <c r="H31167" t="s">
        <v>5117</v>
      </c>
    </row>
    <row r="31168">
      <c r="H31168" t="s">
        <v>5117</v>
      </c>
    </row>
    <row r="31169">
      <c r="H31169" t="s">
        <v>5117</v>
      </c>
    </row>
    <row r="31170">
      <c r="H31170" t="s">
        <v>5117</v>
      </c>
    </row>
    <row r="31171">
      <c r="H31171" t="s">
        <v>5117</v>
      </c>
    </row>
    <row r="31172">
      <c r="H31172" t="s">
        <v>5117</v>
      </c>
    </row>
    <row r="31173">
      <c r="H31173" t="s">
        <v>5117</v>
      </c>
    </row>
    <row r="31174">
      <c r="H31174" t="s">
        <v>5117</v>
      </c>
    </row>
    <row r="31175">
      <c r="H31175" t="s">
        <v>5117</v>
      </c>
    </row>
    <row r="31176">
      <c r="H31176" t="s">
        <v>5117</v>
      </c>
    </row>
    <row r="31177">
      <c r="H31177" t="s">
        <v>5117</v>
      </c>
    </row>
    <row r="31178">
      <c r="H31178" t="s">
        <v>5117</v>
      </c>
    </row>
    <row r="31179">
      <c r="H31179" t="s">
        <v>5117</v>
      </c>
    </row>
    <row r="31180">
      <c r="H31180" t="s">
        <v>5117</v>
      </c>
    </row>
    <row r="31181">
      <c r="H31181" t="s">
        <v>5117</v>
      </c>
    </row>
    <row r="31182">
      <c r="H31182" t="s">
        <v>5117</v>
      </c>
    </row>
    <row r="31183">
      <c r="H31183" t="s">
        <v>5117</v>
      </c>
    </row>
    <row r="31184">
      <c r="H31184" t="s">
        <v>5117</v>
      </c>
    </row>
    <row r="31185">
      <c r="H31185" t="s">
        <v>5117</v>
      </c>
    </row>
    <row r="31186">
      <c r="H31186" t="s">
        <v>5117</v>
      </c>
    </row>
    <row r="31187">
      <c r="H31187" t="s">
        <v>5117</v>
      </c>
    </row>
    <row r="31188">
      <c r="H31188" t="s">
        <v>5117</v>
      </c>
    </row>
    <row r="31189">
      <c r="H31189" t="s">
        <v>5117</v>
      </c>
    </row>
    <row r="31190">
      <c r="H31190" t="s">
        <v>5117</v>
      </c>
    </row>
    <row r="31191">
      <c r="H31191" t="s">
        <v>5117</v>
      </c>
    </row>
    <row r="31192">
      <c r="H31192" t="s">
        <v>5117</v>
      </c>
    </row>
    <row r="31193">
      <c r="H31193" t="s">
        <v>5117</v>
      </c>
    </row>
    <row r="31194">
      <c r="H31194" t="s">
        <v>5117</v>
      </c>
    </row>
    <row r="31195">
      <c r="H31195" t="s">
        <v>5117</v>
      </c>
    </row>
    <row r="31196">
      <c r="H31196" t="s">
        <v>5117</v>
      </c>
    </row>
    <row r="31197">
      <c r="H31197" t="s">
        <v>5117</v>
      </c>
    </row>
    <row r="31198">
      <c r="H31198" t="s">
        <v>5117</v>
      </c>
    </row>
    <row r="31199">
      <c r="H31199" t="s">
        <v>5117</v>
      </c>
    </row>
    <row r="31200">
      <c r="H31200" t="s">
        <v>5117</v>
      </c>
    </row>
    <row r="31201">
      <c r="H31201" t="s">
        <v>5117</v>
      </c>
    </row>
    <row r="31202">
      <c r="H31202" t="s">
        <v>5117</v>
      </c>
    </row>
    <row r="31203">
      <c r="H31203" t="s">
        <v>5117</v>
      </c>
    </row>
    <row r="31204">
      <c r="H31204" t="s">
        <v>5117</v>
      </c>
    </row>
    <row r="31205">
      <c r="H31205" t="s">
        <v>5117</v>
      </c>
    </row>
    <row r="31206">
      <c r="H31206" t="s">
        <v>5117</v>
      </c>
    </row>
    <row r="31207">
      <c r="H31207" t="s">
        <v>5117</v>
      </c>
    </row>
    <row r="31208">
      <c r="H31208" t="s">
        <v>5117</v>
      </c>
    </row>
    <row r="31209">
      <c r="H31209" t="s">
        <v>5117</v>
      </c>
    </row>
    <row r="31210">
      <c r="H31210" t="s">
        <v>5117</v>
      </c>
    </row>
    <row r="31211">
      <c r="H31211" t="s">
        <v>5117</v>
      </c>
    </row>
    <row r="31212">
      <c r="H31212" t="s">
        <v>5117</v>
      </c>
    </row>
    <row r="31213">
      <c r="H31213" t="s">
        <v>5117</v>
      </c>
    </row>
    <row r="31214">
      <c r="H31214" t="s">
        <v>5117</v>
      </c>
    </row>
    <row r="31215">
      <c r="H31215" t="s">
        <v>5117</v>
      </c>
    </row>
    <row r="31216">
      <c r="H31216" t="s">
        <v>5117</v>
      </c>
    </row>
    <row r="31217">
      <c r="H31217" t="s">
        <v>5117</v>
      </c>
    </row>
    <row r="31218">
      <c r="H31218" t="s">
        <v>5117</v>
      </c>
    </row>
    <row r="31219">
      <c r="H31219" t="s">
        <v>5117</v>
      </c>
    </row>
    <row r="31220">
      <c r="H31220" t="s">
        <v>5117</v>
      </c>
    </row>
    <row r="31221">
      <c r="H31221" t="s">
        <v>5117</v>
      </c>
    </row>
    <row r="31222">
      <c r="H31222" t="s">
        <v>5117</v>
      </c>
    </row>
    <row r="31223">
      <c r="H31223" t="s">
        <v>5117</v>
      </c>
    </row>
    <row r="31224">
      <c r="H31224" t="s">
        <v>5117</v>
      </c>
    </row>
    <row r="31225">
      <c r="H31225" t="s">
        <v>5117</v>
      </c>
    </row>
    <row r="31226">
      <c r="H31226" t="s">
        <v>5117</v>
      </c>
    </row>
    <row r="31227">
      <c r="H31227" t="s">
        <v>5117</v>
      </c>
    </row>
    <row r="31228">
      <c r="H31228" t="s">
        <v>5117</v>
      </c>
    </row>
    <row r="31229">
      <c r="H31229" t="s">
        <v>5117</v>
      </c>
    </row>
    <row r="31230">
      <c r="H31230" t="s">
        <v>5117</v>
      </c>
    </row>
    <row r="31231">
      <c r="H31231" t="s">
        <v>5117</v>
      </c>
    </row>
    <row r="31232">
      <c r="H31232" t="s">
        <v>5117</v>
      </c>
    </row>
    <row r="31233">
      <c r="H31233" t="s">
        <v>5117</v>
      </c>
    </row>
    <row r="31234">
      <c r="H31234" t="s">
        <v>5117</v>
      </c>
    </row>
    <row r="31235">
      <c r="H31235" t="s">
        <v>5117</v>
      </c>
    </row>
    <row r="31236">
      <c r="H31236" t="s">
        <v>5117</v>
      </c>
    </row>
    <row r="31237">
      <c r="H31237" t="s">
        <v>5117</v>
      </c>
    </row>
    <row r="31238">
      <c r="H31238" t="s">
        <v>5117</v>
      </c>
    </row>
    <row r="31239">
      <c r="H31239" t="s">
        <v>5117</v>
      </c>
    </row>
    <row r="31240">
      <c r="H31240" t="s">
        <v>5117</v>
      </c>
    </row>
    <row r="31241">
      <c r="H31241" t="s">
        <v>5117</v>
      </c>
    </row>
    <row r="31242">
      <c r="H31242" t="s">
        <v>5117</v>
      </c>
    </row>
    <row r="31243">
      <c r="H31243" t="s">
        <v>5117</v>
      </c>
    </row>
    <row r="31244">
      <c r="H31244" t="s">
        <v>5117</v>
      </c>
    </row>
    <row r="31245">
      <c r="H31245" t="s">
        <v>5117</v>
      </c>
    </row>
    <row r="31246">
      <c r="H31246" t="s">
        <v>5117</v>
      </c>
    </row>
    <row r="31247">
      <c r="H31247" t="s">
        <v>5117</v>
      </c>
    </row>
    <row r="31248">
      <c r="H31248" t="s">
        <v>5117</v>
      </c>
    </row>
    <row r="31249">
      <c r="H31249" t="s">
        <v>5117</v>
      </c>
    </row>
    <row r="31250">
      <c r="H31250" t="s">
        <v>5117</v>
      </c>
    </row>
    <row r="31251">
      <c r="H31251" t="s">
        <v>5117</v>
      </c>
    </row>
    <row r="31252">
      <c r="H31252" t="s">
        <v>5117</v>
      </c>
    </row>
    <row r="31253">
      <c r="H31253" t="s">
        <v>5117</v>
      </c>
    </row>
    <row r="31254">
      <c r="H31254" t="s">
        <v>5117</v>
      </c>
    </row>
    <row r="31255">
      <c r="H31255" t="s">
        <v>5117</v>
      </c>
    </row>
    <row r="31256">
      <c r="H31256" t="s">
        <v>5117</v>
      </c>
    </row>
    <row r="31257">
      <c r="H31257" t="s">
        <v>5117</v>
      </c>
    </row>
    <row r="31258">
      <c r="H31258" t="s">
        <v>5117</v>
      </c>
    </row>
    <row r="31259">
      <c r="H31259" t="s">
        <v>5117</v>
      </c>
    </row>
    <row r="31260">
      <c r="H31260" t="s">
        <v>5117</v>
      </c>
    </row>
    <row r="31261">
      <c r="H31261" t="s">
        <v>5117</v>
      </c>
    </row>
    <row r="31262">
      <c r="H31262" t="s">
        <v>5117</v>
      </c>
    </row>
    <row r="31263">
      <c r="H31263" t="s">
        <v>5117</v>
      </c>
    </row>
    <row r="31264">
      <c r="H31264" t="s">
        <v>5117</v>
      </c>
    </row>
    <row r="31265">
      <c r="H31265" t="s">
        <v>5117</v>
      </c>
    </row>
    <row r="31266">
      <c r="H31266" t="s">
        <v>5117</v>
      </c>
    </row>
    <row r="31267">
      <c r="H31267" t="s">
        <v>5117</v>
      </c>
    </row>
    <row r="31268">
      <c r="H31268" t="s">
        <v>5117</v>
      </c>
    </row>
    <row r="31269">
      <c r="H31269" t="s">
        <v>5117</v>
      </c>
    </row>
    <row r="31270">
      <c r="H31270" t="s">
        <v>5117</v>
      </c>
    </row>
    <row r="31271">
      <c r="H31271" t="s">
        <v>5117</v>
      </c>
    </row>
    <row r="31272">
      <c r="H31272" t="s">
        <v>5117</v>
      </c>
    </row>
    <row r="31273">
      <c r="H31273" t="s">
        <v>5117</v>
      </c>
    </row>
    <row r="31274">
      <c r="H31274" t="s">
        <v>5117</v>
      </c>
    </row>
    <row r="31275">
      <c r="H31275" t="s">
        <v>5117</v>
      </c>
    </row>
    <row r="31276">
      <c r="H31276" t="s">
        <v>5117</v>
      </c>
    </row>
    <row r="31277">
      <c r="H31277" t="s">
        <v>5117</v>
      </c>
    </row>
    <row r="31278">
      <c r="H31278" t="s">
        <v>5117</v>
      </c>
    </row>
    <row r="31279">
      <c r="H31279" t="s">
        <v>5117</v>
      </c>
    </row>
    <row r="31280">
      <c r="H31280" t="s">
        <v>5117</v>
      </c>
    </row>
    <row r="31281">
      <c r="H31281" t="s">
        <v>5117</v>
      </c>
    </row>
    <row r="31282">
      <c r="H31282" t="s">
        <v>5117</v>
      </c>
    </row>
    <row r="31283">
      <c r="H31283" t="s">
        <v>5117</v>
      </c>
    </row>
    <row r="31284">
      <c r="H31284" t="s">
        <v>5117</v>
      </c>
    </row>
    <row r="31285">
      <c r="H31285" t="s">
        <v>5117</v>
      </c>
    </row>
    <row r="31286">
      <c r="H31286" t="s">
        <v>5117</v>
      </c>
    </row>
    <row r="31287">
      <c r="H31287" t="s">
        <v>5117</v>
      </c>
    </row>
    <row r="31288">
      <c r="H31288" t="s">
        <v>5117</v>
      </c>
    </row>
    <row r="31289">
      <c r="H31289" t="s">
        <v>5117</v>
      </c>
    </row>
    <row r="31290">
      <c r="H31290" t="s">
        <v>5117</v>
      </c>
    </row>
    <row r="31291">
      <c r="H31291" t="s">
        <v>5117</v>
      </c>
    </row>
    <row r="31292">
      <c r="H31292" t="s">
        <v>5117</v>
      </c>
    </row>
    <row r="31293">
      <c r="H31293" t="s">
        <v>5117</v>
      </c>
    </row>
    <row r="31294">
      <c r="H31294" t="s">
        <v>5117</v>
      </c>
    </row>
    <row r="31295">
      <c r="H31295" t="s">
        <v>5117</v>
      </c>
    </row>
    <row r="31296">
      <c r="H31296" t="s">
        <v>5117</v>
      </c>
    </row>
    <row r="31297">
      <c r="H31297" t="s">
        <v>5117</v>
      </c>
    </row>
    <row r="31298">
      <c r="H31298" t="s">
        <v>5117</v>
      </c>
    </row>
    <row r="31299">
      <c r="H31299" t="s">
        <v>5117</v>
      </c>
    </row>
    <row r="31300">
      <c r="H31300" t="s">
        <v>5117</v>
      </c>
    </row>
    <row r="31301">
      <c r="H31301" t="s">
        <v>5117</v>
      </c>
    </row>
    <row r="31302">
      <c r="H31302" t="s">
        <v>5117</v>
      </c>
    </row>
    <row r="31303">
      <c r="H31303" t="s">
        <v>5117</v>
      </c>
    </row>
    <row r="31304">
      <c r="H31304" t="s">
        <v>5117</v>
      </c>
    </row>
    <row r="31305">
      <c r="H31305" t="s">
        <v>5117</v>
      </c>
    </row>
    <row r="31306">
      <c r="H31306" t="s">
        <v>5117</v>
      </c>
    </row>
    <row r="31307">
      <c r="H31307" t="s">
        <v>5117</v>
      </c>
    </row>
    <row r="31308">
      <c r="H31308" t="s">
        <v>5117</v>
      </c>
    </row>
    <row r="31309">
      <c r="H31309" t="s">
        <v>5117</v>
      </c>
    </row>
    <row r="31310">
      <c r="H31310" t="s">
        <v>5117</v>
      </c>
    </row>
    <row r="31311">
      <c r="H31311" t="s">
        <v>5117</v>
      </c>
    </row>
    <row r="31312">
      <c r="H31312" t="s">
        <v>5117</v>
      </c>
    </row>
    <row r="31313">
      <c r="H31313" t="s">
        <v>5117</v>
      </c>
    </row>
    <row r="31314">
      <c r="H31314" t="s">
        <v>5117</v>
      </c>
    </row>
    <row r="31315">
      <c r="H31315" t="s">
        <v>5117</v>
      </c>
    </row>
    <row r="31316">
      <c r="H31316" t="s">
        <v>5117</v>
      </c>
    </row>
    <row r="31317">
      <c r="H31317" t="s">
        <v>5117</v>
      </c>
    </row>
    <row r="31318">
      <c r="H31318" t="s">
        <v>5117</v>
      </c>
    </row>
    <row r="31319">
      <c r="H31319" t="s">
        <v>5117</v>
      </c>
    </row>
    <row r="31320">
      <c r="H31320" t="s">
        <v>5117</v>
      </c>
    </row>
    <row r="31321">
      <c r="H31321" t="s">
        <v>5117</v>
      </c>
    </row>
    <row r="31322">
      <c r="H31322" t="s">
        <v>5117</v>
      </c>
    </row>
    <row r="31323">
      <c r="H31323" t="s">
        <v>5117</v>
      </c>
    </row>
    <row r="31324">
      <c r="H31324" t="s">
        <v>5117</v>
      </c>
    </row>
    <row r="31325">
      <c r="H31325" t="s">
        <v>5117</v>
      </c>
    </row>
    <row r="31326">
      <c r="H31326" t="s">
        <v>5117</v>
      </c>
    </row>
    <row r="31327">
      <c r="H31327" t="s">
        <v>5117</v>
      </c>
    </row>
    <row r="31328">
      <c r="H31328" t="s">
        <v>5117</v>
      </c>
    </row>
    <row r="31329">
      <c r="H31329" t="s">
        <v>5117</v>
      </c>
    </row>
    <row r="31330">
      <c r="H31330" t="s">
        <v>5117</v>
      </c>
    </row>
    <row r="31331">
      <c r="H31331" t="s">
        <v>5117</v>
      </c>
    </row>
    <row r="31332">
      <c r="H31332" t="s">
        <v>5117</v>
      </c>
    </row>
    <row r="31333">
      <c r="H31333" t="s">
        <v>5117</v>
      </c>
    </row>
    <row r="31334">
      <c r="H31334" t="s">
        <v>5117</v>
      </c>
    </row>
    <row r="31335">
      <c r="H31335" t="s">
        <v>5117</v>
      </c>
    </row>
    <row r="31336">
      <c r="H31336" t="s">
        <v>5117</v>
      </c>
    </row>
    <row r="31337">
      <c r="H31337" t="s">
        <v>5117</v>
      </c>
    </row>
    <row r="31338">
      <c r="H31338" t="s">
        <v>5117</v>
      </c>
    </row>
    <row r="31339">
      <c r="H31339" t="s">
        <v>5117</v>
      </c>
    </row>
    <row r="31340">
      <c r="H31340" t="s">
        <v>5117</v>
      </c>
    </row>
    <row r="31341">
      <c r="H31341" t="s">
        <v>5117</v>
      </c>
    </row>
    <row r="31342">
      <c r="H31342" t="s">
        <v>5117</v>
      </c>
    </row>
    <row r="31343">
      <c r="H31343" t="s">
        <v>5117</v>
      </c>
    </row>
    <row r="31344">
      <c r="H31344" t="s">
        <v>5117</v>
      </c>
    </row>
    <row r="31345">
      <c r="H31345" t="s">
        <v>5117</v>
      </c>
    </row>
    <row r="31346">
      <c r="H31346" t="s">
        <v>5117</v>
      </c>
    </row>
    <row r="31347">
      <c r="H31347" t="s">
        <v>5117</v>
      </c>
    </row>
    <row r="31348">
      <c r="H31348" t="s">
        <v>5117</v>
      </c>
    </row>
    <row r="31349">
      <c r="H31349" t="s">
        <v>5117</v>
      </c>
    </row>
    <row r="31350">
      <c r="H31350" t="s">
        <v>5117</v>
      </c>
    </row>
    <row r="31351">
      <c r="H31351" t="s">
        <v>5117</v>
      </c>
    </row>
    <row r="31352">
      <c r="H31352" t="s">
        <v>5117</v>
      </c>
    </row>
    <row r="31353">
      <c r="H31353" t="s">
        <v>5117</v>
      </c>
    </row>
    <row r="31354">
      <c r="H31354" t="s">
        <v>5117</v>
      </c>
    </row>
    <row r="31355">
      <c r="H31355" t="s">
        <v>5117</v>
      </c>
    </row>
    <row r="31356">
      <c r="H31356" t="s">
        <v>5117</v>
      </c>
    </row>
    <row r="31357">
      <c r="H31357" t="s">
        <v>5117</v>
      </c>
    </row>
    <row r="31358">
      <c r="H31358" t="s">
        <v>5117</v>
      </c>
    </row>
    <row r="31359">
      <c r="H31359" t="s">
        <v>5117</v>
      </c>
    </row>
    <row r="31360">
      <c r="H31360" t="s">
        <v>5117</v>
      </c>
    </row>
    <row r="31361">
      <c r="H31361" t="s">
        <v>5117</v>
      </c>
    </row>
    <row r="31362">
      <c r="H31362" t="s">
        <v>5117</v>
      </c>
    </row>
    <row r="31363">
      <c r="H31363" t="s">
        <v>5117</v>
      </c>
    </row>
    <row r="31364">
      <c r="H31364" t="s">
        <v>5117</v>
      </c>
    </row>
    <row r="31365">
      <c r="H31365" t="s">
        <v>5117</v>
      </c>
    </row>
    <row r="31366">
      <c r="H31366" t="s">
        <v>5117</v>
      </c>
    </row>
    <row r="31367">
      <c r="H31367" t="s">
        <v>5117</v>
      </c>
    </row>
    <row r="31368">
      <c r="H31368" t="s">
        <v>5117</v>
      </c>
    </row>
    <row r="31369">
      <c r="H31369" t="s">
        <v>5117</v>
      </c>
    </row>
    <row r="31370">
      <c r="H31370" t="s">
        <v>5117</v>
      </c>
    </row>
    <row r="31371">
      <c r="H31371" t="s">
        <v>5117</v>
      </c>
    </row>
    <row r="31372">
      <c r="H31372" t="s">
        <v>5117</v>
      </c>
    </row>
    <row r="31373">
      <c r="H31373" t="s">
        <v>5117</v>
      </c>
    </row>
    <row r="31374">
      <c r="H31374" t="s">
        <v>5117</v>
      </c>
    </row>
    <row r="31375">
      <c r="H31375" t="s">
        <v>5117</v>
      </c>
    </row>
    <row r="31376">
      <c r="H31376" t="s">
        <v>5117</v>
      </c>
    </row>
    <row r="31377">
      <c r="H31377" t="s">
        <v>5117</v>
      </c>
    </row>
    <row r="31378">
      <c r="H31378" t="s">
        <v>5117</v>
      </c>
    </row>
    <row r="31379">
      <c r="H31379" t="s">
        <v>5117</v>
      </c>
    </row>
    <row r="31380">
      <c r="H31380" t="s">
        <v>5117</v>
      </c>
    </row>
    <row r="31381">
      <c r="H31381" t="s">
        <v>5117</v>
      </c>
    </row>
    <row r="31382">
      <c r="H31382" t="s">
        <v>5117</v>
      </c>
    </row>
    <row r="31383">
      <c r="H31383" t="s">
        <v>5117</v>
      </c>
    </row>
    <row r="31384">
      <c r="H31384" t="s">
        <v>5117</v>
      </c>
    </row>
    <row r="31385">
      <c r="H31385" t="s">
        <v>5117</v>
      </c>
    </row>
    <row r="31386">
      <c r="H31386" t="s">
        <v>5117</v>
      </c>
    </row>
    <row r="31387">
      <c r="H31387" t="s">
        <v>5117</v>
      </c>
    </row>
    <row r="31388">
      <c r="H31388" t="s">
        <v>5117</v>
      </c>
    </row>
    <row r="31389">
      <c r="H31389" t="s">
        <v>5117</v>
      </c>
    </row>
    <row r="31390">
      <c r="H31390" t="s">
        <v>5117</v>
      </c>
    </row>
    <row r="31391">
      <c r="H31391" t="s">
        <v>5117</v>
      </c>
    </row>
    <row r="31392">
      <c r="H31392" t="s">
        <v>5117</v>
      </c>
    </row>
    <row r="31393">
      <c r="H31393" t="s">
        <v>5117</v>
      </c>
    </row>
    <row r="31394">
      <c r="H31394" t="s">
        <v>5117</v>
      </c>
    </row>
    <row r="31395">
      <c r="H31395" t="s">
        <v>5117</v>
      </c>
    </row>
    <row r="31396">
      <c r="H31396" t="s">
        <v>5117</v>
      </c>
    </row>
    <row r="31397">
      <c r="H31397" t="s">
        <v>5117</v>
      </c>
    </row>
    <row r="31398">
      <c r="H31398" t="s">
        <v>5117</v>
      </c>
    </row>
    <row r="31399">
      <c r="H31399" t="s">
        <v>5117</v>
      </c>
    </row>
    <row r="31400">
      <c r="H31400" t="s">
        <v>5117</v>
      </c>
    </row>
    <row r="31401">
      <c r="H31401" t="s">
        <v>5117</v>
      </c>
    </row>
    <row r="31402">
      <c r="H31402" t="s">
        <v>5117</v>
      </c>
    </row>
    <row r="31403">
      <c r="H31403" t="s">
        <v>5117</v>
      </c>
    </row>
    <row r="31404">
      <c r="H31404" t="s">
        <v>5117</v>
      </c>
    </row>
    <row r="31405">
      <c r="H31405" t="s">
        <v>5117</v>
      </c>
    </row>
    <row r="31406">
      <c r="H31406" t="s">
        <v>5117</v>
      </c>
    </row>
    <row r="31407">
      <c r="H31407" t="s">
        <v>5117</v>
      </c>
    </row>
    <row r="31408">
      <c r="H31408" t="s">
        <v>5117</v>
      </c>
    </row>
    <row r="31409">
      <c r="H31409" t="s">
        <v>5117</v>
      </c>
    </row>
    <row r="31410">
      <c r="H31410" t="s">
        <v>5117</v>
      </c>
    </row>
    <row r="31411">
      <c r="H31411" t="s">
        <v>5117</v>
      </c>
    </row>
    <row r="31412">
      <c r="H31412" t="s">
        <v>5117</v>
      </c>
    </row>
    <row r="31413">
      <c r="H31413" t="s">
        <v>5117</v>
      </c>
    </row>
    <row r="31414">
      <c r="H31414" t="s">
        <v>5117</v>
      </c>
    </row>
    <row r="31415">
      <c r="H31415" t="s">
        <v>5117</v>
      </c>
    </row>
    <row r="31416">
      <c r="H31416" t="s">
        <v>5117</v>
      </c>
    </row>
    <row r="31417">
      <c r="H31417" t="s">
        <v>5117</v>
      </c>
    </row>
    <row r="31418">
      <c r="H31418" t="s">
        <v>5117</v>
      </c>
    </row>
    <row r="31419">
      <c r="H31419" t="s">
        <v>5117</v>
      </c>
    </row>
    <row r="31420">
      <c r="H31420" t="s">
        <v>5117</v>
      </c>
    </row>
    <row r="31421">
      <c r="H31421" t="s">
        <v>5117</v>
      </c>
    </row>
    <row r="31422">
      <c r="H31422" t="s">
        <v>5117</v>
      </c>
    </row>
    <row r="31423">
      <c r="H31423" t="s">
        <v>5117</v>
      </c>
    </row>
    <row r="31424">
      <c r="H31424" t="s">
        <v>5117</v>
      </c>
    </row>
    <row r="31425">
      <c r="H31425" t="s">
        <v>5117</v>
      </c>
    </row>
    <row r="31426">
      <c r="H31426" t="s">
        <v>5117</v>
      </c>
    </row>
    <row r="31427">
      <c r="H31427" t="s">
        <v>5117</v>
      </c>
    </row>
    <row r="31428">
      <c r="H31428" t="s">
        <v>5117</v>
      </c>
    </row>
    <row r="31429">
      <c r="H31429" t="s">
        <v>5117</v>
      </c>
    </row>
    <row r="31430">
      <c r="H31430" t="s">
        <v>5117</v>
      </c>
    </row>
    <row r="31431">
      <c r="H31431" t="s">
        <v>5117</v>
      </c>
    </row>
    <row r="31432">
      <c r="H31432" t="s">
        <v>5117</v>
      </c>
    </row>
    <row r="31433">
      <c r="H31433" t="s">
        <v>5117</v>
      </c>
    </row>
    <row r="31434">
      <c r="H31434" t="s">
        <v>5117</v>
      </c>
    </row>
    <row r="31435">
      <c r="H31435" t="s">
        <v>5117</v>
      </c>
    </row>
    <row r="31436">
      <c r="H31436" t="s">
        <v>5117</v>
      </c>
    </row>
    <row r="31437">
      <c r="H31437" t="s">
        <v>5117</v>
      </c>
    </row>
    <row r="31438">
      <c r="H31438" t="s">
        <v>5117</v>
      </c>
    </row>
    <row r="31439">
      <c r="H31439" t="s">
        <v>5117</v>
      </c>
    </row>
    <row r="31440">
      <c r="H31440" t="s">
        <v>5117</v>
      </c>
    </row>
    <row r="31441">
      <c r="H31441" t="s">
        <v>5117</v>
      </c>
    </row>
    <row r="31442">
      <c r="H31442" t="s">
        <v>5117</v>
      </c>
    </row>
    <row r="31443">
      <c r="H31443" t="s">
        <v>5117</v>
      </c>
    </row>
    <row r="31444">
      <c r="H31444" t="s">
        <v>5117</v>
      </c>
    </row>
    <row r="31445">
      <c r="H31445" t="s">
        <v>5117</v>
      </c>
    </row>
    <row r="31446">
      <c r="H31446" t="s">
        <v>5117</v>
      </c>
    </row>
    <row r="31447">
      <c r="H31447" t="s">
        <v>5117</v>
      </c>
    </row>
    <row r="31448">
      <c r="H31448" t="s">
        <v>5117</v>
      </c>
    </row>
    <row r="31449">
      <c r="H31449" t="s">
        <v>5117</v>
      </c>
    </row>
    <row r="31450">
      <c r="H31450" t="s">
        <v>5117</v>
      </c>
    </row>
    <row r="31451">
      <c r="H31451" t="s">
        <v>5117</v>
      </c>
    </row>
    <row r="31452">
      <c r="H31452" t="s">
        <v>5117</v>
      </c>
    </row>
    <row r="31453">
      <c r="H31453" t="s">
        <v>5117</v>
      </c>
    </row>
    <row r="31454">
      <c r="H31454" t="s">
        <v>5117</v>
      </c>
    </row>
    <row r="31455">
      <c r="H31455" t="s">
        <v>5117</v>
      </c>
    </row>
    <row r="31456">
      <c r="H31456" t="s">
        <v>5117</v>
      </c>
    </row>
    <row r="31457">
      <c r="H31457" t="s">
        <v>5117</v>
      </c>
    </row>
    <row r="31458">
      <c r="H31458" t="s">
        <v>5117</v>
      </c>
    </row>
    <row r="31459">
      <c r="H31459" t="s">
        <v>5117</v>
      </c>
    </row>
    <row r="31460">
      <c r="H31460" t="s">
        <v>5117</v>
      </c>
    </row>
    <row r="31461">
      <c r="H31461" t="s">
        <v>5117</v>
      </c>
    </row>
    <row r="31462">
      <c r="H31462" t="s">
        <v>5117</v>
      </c>
    </row>
    <row r="31463">
      <c r="H31463" t="s">
        <v>5117</v>
      </c>
    </row>
    <row r="31464">
      <c r="H31464" t="s">
        <v>5117</v>
      </c>
    </row>
    <row r="31465">
      <c r="H31465" t="s">
        <v>5117</v>
      </c>
    </row>
    <row r="31466">
      <c r="H31466" t="s">
        <v>5117</v>
      </c>
    </row>
    <row r="31467">
      <c r="H31467" t="s">
        <v>5117</v>
      </c>
    </row>
    <row r="31468">
      <c r="H31468" t="s">
        <v>5117</v>
      </c>
    </row>
    <row r="31469">
      <c r="H31469" t="s">
        <v>5117</v>
      </c>
    </row>
    <row r="31470">
      <c r="H31470" t="s">
        <v>5117</v>
      </c>
    </row>
    <row r="31471">
      <c r="H31471" t="s">
        <v>5117</v>
      </c>
    </row>
    <row r="31472">
      <c r="H31472" t="s">
        <v>5117</v>
      </c>
    </row>
    <row r="31473">
      <c r="H31473" t="s">
        <v>5117</v>
      </c>
    </row>
    <row r="31474">
      <c r="H31474" t="s">
        <v>5117</v>
      </c>
    </row>
    <row r="31475">
      <c r="H31475" t="s">
        <v>5117</v>
      </c>
    </row>
    <row r="31476">
      <c r="H31476" t="s">
        <v>5117</v>
      </c>
    </row>
    <row r="31477">
      <c r="H31477" t="s">
        <v>5117</v>
      </c>
    </row>
    <row r="31478">
      <c r="H31478" t="s">
        <v>5117</v>
      </c>
    </row>
    <row r="31479">
      <c r="H31479" t="s">
        <v>5117</v>
      </c>
    </row>
    <row r="31480">
      <c r="H31480" t="s">
        <v>5117</v>
      </c>
    </row>
    <row r="31481">
      <c r="H31481" t="s">
        <v>5117</v>
      </c>
    </row>
    <row r="31482">
      <c r="H31482" t="s">
        <v>5117</v>
      </c>
    </row>
    <row r="31483">
      <c r="H31483" t="s">
        <v>5117</v>
      </c>
    </row>
    <row r="31484">
      <c r="H31484" t="s">
        <v>5117</v>
      </c>
    </row>
    <row r="31485">
      <c r="H31485" t="s">
        <v>5117</v>
      </c>
    </row>
    <row r="31486">
      <c r="H31486" t="s">
        <v>5117</v>
      </c>
    </row>
    <row r="31487">
      <c r="H31487" t="s">
        <v>5117</v>
      </c>
    </row>
    <row r="31488">
      <c r="H31488" t="s">
        <v>5117</v>
      </c>
    </row>
    <row r="31489">
      <c r="H31489" t="s">
        <v>5117</v>
      </c>
    </row>
    <row r="31490">
      <c r="H31490" t="s">
        <v>5117</v>
      </c>
    </row>
    <row r="31491">
      <c r="H31491" t="s">
        <v>5117</v>
      </c>
    </row>
    <row r="31492">
      <c r="H31492" t="s">
        <v>5117</v>
      </c>
    </row>
    <row r="31493">
      <c r="H31493" t="s">
        <v>5117</v>
      </c>
    </row>
    <row r="31494">
      <c r="H31494" t="s">
        <v>5117</v>
      </c>
    </row>
    <row r="31495">
      <c r="H31495" t="s">
        <v>5117</v>
      </c>
    </row>
    <row r="31496">
      <c r="H31496" t="s">
        <v>5117</v>
      </c>
    </row>
    <row r="31497">
      <c r="H31497" t="s">
        <v>5117</v>
      </c>
    </row>
    <row r="31498">
      <c r="H31498" t="s">
        <v>5117</v>
      </c>
    </row>
    <row r="31499">
      <c r="H31499" t="s">
        <v>5117</v>
      </c>
    </row>
    <row r="31500">
      <c r="H31500" t="s">
        <v>5117</v>
      </c>
    </row>
    <row r="31501">
      <c r="H31501" t="s">
        <v>5117</v>
      </c>
    </row>
    <row r="31502">
      <c r="H31502" t="s">
        <v>5117</v>
      </c>
    </row>
    <row r="31503">
      <c r="H31503" t="s">
        <v>5117</v>
      </c>
    </row>
    <row r="31504">
      <c r="H31504" t="s">
        <v>5117</v>
      </c>
    </row>
    <row r="31505">
      <c r="H31505" t="s">
        <v>5117</v>
      </c>
    </row>
    <row r="31506">
      <c r="H31506" t="s">
        <v>5117</v>
      </c>
    </row>
    <row r="31507">
      <c r="H31507" t="s">
        <v>5117</v>
      </c>
    </row>
    <row r="31508">
      <c r="H31508" t="s">
        <v>5117</v>
      </c>
    </row>
    <row r="31509">
      <c r="H31509" t="s">
        <v>5117</v>
      </c>
    </row>
    <row r="31510">
      <c r="H31510" t="s">
        <v>5117</v>
      </c>
    </row>
    <row r="31511">
      <c r="H31511" t="s">
        <v>5117</v>
      </c>
    </row>
    <row r="31512">
      <c r="H31512" t="s">
        <v>5117</v>
      </c>
    </row>
    <row r="31513">
      <c r="H31513" t="s">
        <v>5117</v>
      </c>
    </row>
    <row r="31514">
      <c r="H31514" t="s">
        <v>5117</v>
      </c>
    </row>
    <row r="31515">
      <c r="H31515" t="s">
        <v>5117</v>
      </c>
    </row>
    <row r="31516">
      <c r="H31516" t="s">
        <v>5117</v>
      </c>
    </row>
    <row r="31517">
      <c r="H31517" t="s">
        <v>5117</v>
      </c>
    </row>
    <row r="31518">
      <c r="H31518" t="s">
        <v>5117</v>
      </c>
    </row>
    <row r="31519">
      <c r="H31519" t="s">
        <v>5117</v>
      </c>
    </row>
    <row r="31520">
      <c r="H31520" t="s">
        <v>5117</v>
      </c>
    </row>
    <row r="31521">
      <c r="H31521" t="s">
        <v>5117</v>
      </c>
    </row>
    <row r="31522">
      <c r="H31522" t="s">
        <v>5117</v>
      </c>
    </row>
    <row r="31523">
      <c r="H31523" t="s">
        <v>5117</v>
      </c>
    </row>
    <row r="31524">
      <c r="H31524" t="s">
        <v>5117</v>
      </c>
    </row>
    <row r="31525">
      <c r="H31525" t="s">
        <v>5117</v>
      </c>
    </row>
    <row r="31526">
      <c r="H31526" t="s">
        <v>5117</v>
      </c>
    </row>
    <row r="31527">
      <c r="H31527" t="s">
        <v>5117</v>
      </c>
    </row>
    <row r="31528">
      <c r="H31528" t="s">
        <v>5117</v>
      </c>
    </row>
    <row r="31529">
      <c r="H31529" t="s">
        <v>5117</v>
      </c>
    </row>
    <row r="31530">
      <c r="H31530" t="s">
        <v>5117</v>
      </c>
    </row>
    <row r="31531">
      <c r="H31531" t="s">
        <v>5117</v>
      </c>
    </row>
    <row r="31532">
      <c r="H31532" t="s">
        <v>5117</v>
      </c>
    </row>
    <row r="31533">
      <c r="H31533" t="s">
        <v>5117</v>
      </c>
    </row>
    <row r="31534">
      <c r="H31534" t="s">
        <v>5117</v>
      </c>
    </row>
    <row r="31535">
      <c r="H31535" t="s">
        <v>5117</v>
      </c>
    </row>
    <row r="31536">
      <c r="H31536" t="s">
        <v>5117</v>
      </c>
    </row>
    <row r="31537">
      <c r="H31537" t="s">
        <v>5117</v>
      </c>
    </row>
    <row r="31538">
      <c r="H31538" t="s">
        <v>5117</v>
      </c>
    </row>
    <row r="31539">
      <c r="H31539" t="s">
        <v>5117</v>
      </c>
    </row>
    <row r="31540">
      <c r="H31540" t="s">
        <v>5117</v>
      </c>
    </row>
    <row r="31541">
      <c r="H31541" t="s">
        <v>5117</v>
      </c>
    </row>
    <row r="31542">
      <c r="H31542" t="s">
        <v>5117</v>
      </c>
    </row>
    <row r="31543">
      <c r="H31543" t="s">
        <v>5117</v>
      </c>
    </row>
    <row r="31544">
      <c r="H31544" t="s">
        <v>5117</v>
      </c>
    </row>
    <row r="31545">
      <c r="H31545" t="s">
        <v>5117</v>
      </c>
    </row>
    <row r="31546">
      <c r="H31546" t="s">
        <v>5117</v>
      </c>
    </row>
    <row r="31547">
      <c r="H31547" t="s">
        <v>5117</v>
      </c>
    </row>
    <row r="31548">
      <c r="H31548" t="s">
        <v>5117</v>
      </c>
    </row>
    <row r="31549">
      <c r="H31549" t="s">
        <v>5117</v>
      </c>
    </row>
    <row r="31550">
      <c r="H31550" t="s">
        <v>5117</v>
      </c>
    </row>
    <row r="31551">
      <c r="H31551" t="s">
        <v>5117</v>
      </c>
    </row>
    <row r="31552">
      <c r="H31552" t="s">
        <v>5117</v>
      </c>
    </row>
    <row r="31553">
      <c r="H31553" t="s">
        <v>5117</v>
      </c>
    </row>
    <row r="31554">
      <c r="H31554" t="s">
        <v>5117</v>
      </c>
    </row>
    <row r="31555">
      <c r="H31555" t="s">
        <v>5117</v>
      </c>
    </row>
    <row r="31556">
      <c r="H31556" t="s">
        <v>5117</v>
      </c>
    </row>
    <row r="31557">
      <c r="H31557" t="s">
        <v>5117</v>
      </c>
    </row>
    <row r="31558">
      <c r="H31558" t="s">
        <v>5117</v>
      </c>
    </row>
    <row r="31559">
      <c r="H31559" t="s">
        <v>5117</v>
      </c>
    </row>
    <row r="31560">
      <c r="H31560" t="s">
        <v>5117</v>
      </c>
    </row>
    <row r="31561">
      <c r="H31561" t="s">
        <v>5117</v>
      </c>
    </row>
    <row r="31562">
      <c r="H31562" t="s">
        <v>5117</v>
      </c>
    </row>
    <row r="31563">
      <c r="H31563" t="s">
        <v>5117</v>
      </c>
    </row>
    <row r="31564">
      <c r="H31564" t="s">
        <v>5117</v>
      </c>
    </row>
    <row r="31565">
      <c r="H31565" t="s">
        <v>5117</v>
      </c>
    </row>
    <row r="31566">
      <c r="H31566" t="s">
        <v>5117</v>
      </c>
    </row>
    <row r="31567">
      <c r="H31567" t="s">
        <v>5117</v>
      </c>
    </row>
    <row r="31568">
      <c r="H31568" t="s">
        <v>5117</v>
      </c>
    </row>
    <row r="31569">
      <c r="H31569" t="s">
        <v>5117</v>
      </c>
    </row>
    <row r="31570">
      <c r="H31570" t="s">
        <v>5117</v>
      </c>
    </row>
    <row r="31571">
      <c r="H31571" t="s">
        <v>5117</v>
      </c>
    </row>
    <row r="31572">
      <c r="H31572" t="s">
        <v>5117</v>
      </c>
    </row>
    <row r="31573">
      <c r="H31573" t="s">
        <v>5117</v>
      </c>
    </row>
    <row r="31574">
      <c r="H31574" t="s">
        <v>5117</v>
      </c>
    </row>
    <row r="31575">
      <c r="H31575" t="s">
        <v>5117</v>
      </c>
    </row>
    <row r="31576">
      <c r="H31576" t="s">
        <v>5117</v>
      </c>
    </row>
    <row r="31577">
      <c r="H31577" t="s">
        <v>5117</v>
      </c>
    </row>
    <row r="31578">
      <c r="H31578" t="s">
        <v>5117</v>
      </c>
    </row>
    <row r="31579">
      <c r="H31579" t="s">
        <v>5117</v>
      </c>
    </row>
    <row r="31580">
      <c r="H31580" t="s">
        <v>5117</v>
      </c>
    </row>
    <row r="31581">
      <c r="H31581" t="s">
        <v>5117</v>
      </c>
    </row>
    <row r="31582">
      <c r="H31582" t="s">
        <v>5117</v>
      </c>
    </row>
    <row r="31583">
      <c r="H31583" t="s">
        <v>5117</v>
      </c>
    </row>
    <row r="31584">
      <c r="H31584" t="s">
        <v>5117</v>
      </c>
    </row>
    <row r="31585">
      <c r="H31585" t="s">
        <v>5117</v>
      </c>
    </row>
    <row r="31586">
      <c r="H31586" t="s">
        <v>5117</v>
      </c>
    </row>
    <row r="31587">
      <c r="H31587" t="s">
        <v>5117</v>
      </c>
    </row>
    <row r="31588">
      <c r="H31588" t="s">
        <v>5117</v>
      </c>
    </row>
    <row r="31589">
      <c r="H31589" t="s">
        <v>5117</v>
      </c>
    </row>
    <row r="31590">
      <c r="H31590" t="s">
        <v>5117</v>
      </c>
    </row>
    <row r="31591">
      <c r="H31591" t="s">
        <v>5117</v>
      </c>
    </row>
    <row r="31592">
      <c r="H31592" t="s">
        <v>5117</v>
      </c>
    </row>
    <row r="31593">
      <c r="H31593" t="s">
        <v>5117</v>
      </c>
    </row>
    <row r="31594">
      <c r="H31594" t="s">
        <v>5117</v>
      </c>
    </row>
    <row r="31595">
      <c r="H31595" t="s">
        <v>5117</v>
      </c>
    </row>
    <row r="31596">
      <c r="H31596" t="s">
        <v>5117</v>
      </c>
    </row>
    <row r="31597">
      <c r="H31597" t="s">
        <v>5117</v>
      </c>
    </row>
    <row r="31598">
      <c r="H31598" t="s">
        <v>5117</v>
      </c>
    </row>
    <row r="31599">
      <c r="H31599" t="s">
        <v>5117</v>
      </c>
    </row>
    <row r="31600">
      <c r="H31600" t="s">
        <v>5117</v>
      </c>
    </row>
    <row r="31601">
      <c r="H31601" t="s">
        <v>5117</v>
      </c>
    </row>
    <row r="31602">
      <c r="H31602" t="s">
        <v>5117</v>
      </c>
    </row>
    <row r="31603">
      <c r="H31603" t="s">
        <v>5117</v>
      </c>
    </row>
    <row r="31604">
      <c r="H31604" t="s">
        <v>5117</v>
      </c>
    </row>
    <row r="31605">
      <c r="H31605" t="s">
        <v>5117</v>
      </c>
    </row>
    <row r="31606">
      <c r="H31606" t="s">
        <v>5117</v>
      </c>
    </row>
    <row r="31607">
      <c r="H31607" t="s">
        <v>5117</v>
      </c>
    </row>
    <row r="31608">
      <c r="H31608" t="s">
        <v>5117</v>
      </c>
    </row>
    <row r="31609">
      <c r="H31609" t="s">
        <v>5117</v>
      </c>
    </row>
    <row r="31610">
      <c r="H31610" t="s">
        <v>5117</v>
      </c>
    </row>
    <row r="31611">
      <c r="H31611" t="s">
        <v>5117</v>
      </c>
    </row>
    <row r="31612">
      <c r="H31612" t="s">
        <v>5117</v>
      </c>
    </row>
    <row r="31613">
      <c r="H31613" t="s">
        <v>5117</v>
      </c>
    </row>
    <row r="31614">
      <c r="H31614" t="s">
        <v>5117</v>
      </c>
    </row>
    <row r="31615">
      <c r="H31615" t="s">
        <v>5117</v>
      </c>
    </row>
    <row r="31616">
      <c r="H31616" t="s">
        <v>5117</v>
      </c>
    </row>
    <row r="31617">
      <c r="H31617" t="s">
        <v>5117</v>
      </c>
    </row>
    <row r="31618">
      <c r="H31618" t="s">
        <v>5117</v>
      </c>
    </row>
    <row r="31619">
      <c r="H31619" t="s">
        <v>5117</v>
      </c>
    </row>
    <row r="31620">
      <c r="H31620" t="s">
        <v>5117</v>
      </c>
    </row>
    <row r="31621">
      <c r="H31621" t="s">
        <v>5117</v>
      </c>
    </row>
    <row r="31622">
      <c r="H31622" t="s">
        <v>5117</v>
      </c>
    </row>
    <row r="31623">
      <c r="H31623" t="s">
        <v>5117</v>
      </c>
    </row>
    <row r="31624">
      <c r="H31624" t="s">
        <v>5117</v>
      </c>
    </row>
    <row r="31625">
      <c r="H31625" t="s">
        <v>5117</v>
      </c>
    </row>
    <row r="31626">
      <c r="H31626" t="s">
        <v>5117</v>
      </c>
    </row>
    <row r="31627">
      <c r="H31627" t="s">
        <v>5117</v>
      </c>
    </row>
    <row r="31628">
      <c r="H31628" t="s">
        <v>5117</v>
      </c>
    </row>
    <row r="31629">
      <c r="H31629" t="s">
        <v>5117</v>
      </c>
    </row>
    <row r="31630">
      <c r="H31630" t="s">
        <v>5117</v>
      </c>
    </row>
    <row r="31631">
      <c r="H31631" t="s">
        <v>5117</v>
      </c>
    </row>
    <row r="31632">
      <c r="H31632" t="s">
        <v>5117</v>
      </c>
    </row>
    <row r="31633">
      <c r="H31633" t="s">
        <v>5117</v>
      </c>
    </row>
    <row r="31634">
      <c r="H31634" t="s">
        <v>5117</v>
      </c>
    </row>
    <row r="31635">
      <c r="H31635" t="s">
        <v>5117</v>
      </c>
    </row>
    <row r="31636">
      <c r="H31636" t="s">
        <v>5117</v>
      </c>
    </row>
    <row r="31637">
      <c r="H31637" t="s">
        <v>5117</v>
      </c>
    </row>
    <row r="31638">
      <c r="H31638" t="s">
        <v>5117</v>
      </c>
    </row>
    <row r="31639">
      <c r="H31639" t="s">
        <v>5117</v>
      </c>
    </row>
    <row r="31640">
      <c r="H31640" t="s">
        <v>5117</v>
      </c>
    </row>
    <row r="31641">
      <c r="H31641" t="s">
        <v>5117</v>
      </c>
    </row>
    <row r="31642">
      <c r="H31642" t="s">
        <v>5117</v>
      </c>
    </row>
    <row r="31643">
      <c r="H31643" t="s">
        <v>5117</v>
      </c>
    </row>
    <row r="31644">
      <c r="H31644" t="s">
        <v>5117</v>
      </c>
    </row>
    <row r="31645">
      <c r="H31645" t="s">
        <v>5117</v>
      </c>
    </row>
    <row r="31646">
      <c r="H31646" t="s">
        <v>5117</v>
      </c>
    </row>
    <row r="31647">
      <c r="H31647" t="s">
        <v>5117</v>
      </c>
    </row>
    <row r="31648">
      <c r="H31648" t="s">
        <v>5117</v>
      </c>
    </row>
    <row r="31649">
      <c r="H31649" t="s">
        <v>5117</v>
      </c>
    </row>
    <row r="31650">
      <c r="H31650" t="s">
        <v>5117</v>
      </c>
    </row>
    <row r="31651">
      <c r="H31651" t="s">
        <v>5117</v>
      </c>
    </row>
    <row r="31652">
      <c r="H31652" t="s">
        <v>5117</v>
      </c>
    </row>
    <row r="31653">
      <c r="H31653" t="s">
        <v>5117</v>
      </c>
    </row>
    <row r="31654">
      <c r="H31654" t="s">
        <v>5117</v>
      </c>
    </row>
    <row r="31655">
      <c r="H31655" t="s">
        <v>5117</v>
      </c>
    </row>
    <row r="31656">
      <c r="H31656" t="s">
        <v>5117</v>
      </c>
    </row>
    <row r="31657">
      <c r="H31657" t="s">
        <v>5117</v>
      </c>
    </row>
    <row r="31658">
      <c r="H31658" t="s">
        <v>5117</v>
      </c>
    </row>
    <row r="31659">
      <c r="H31659" t="s">
        <v>5117</v>
      </c>
    </row>
    <row r="31660">
      <c r="H31660" t="s">
        <v>5117</v>
      </c>
    </row>
    <row r="31661">
      <c r="H31661" t="s">
        <v>5117</v>
      </c>
    </row>
    <row r="31662">
      <c r="H31662" t="s">
        <v>5117</v>
      </c>
    </row>
    <row r="31663">
      <c r="H31663" t="s">
        <v>5117</v>
      </c>
    </row>
    <row r="31664">
      <c r="H31664" t="s">
        <v>5117</v>
      </c>
    </row>
    <row r="31665">
      <c r="H31665" t="s">
        <v>5117</v>
      </c>
    </row>
    <row r="31666">
      <c r="H31666" t="s">
        <v>5117</v>
      </c>
    </row>
    <row r="31667">
      <c r="H31667" t="s">
        <v>5117</v>
      </c>
    </row>
    <row r="31668">
      <c r="H31668" t="s">
        <v>5117</v>
      </c>
    </row>
    <row r="31669">
      <c r="H31669" t="s">
        <v>5117</v>
      </c>
    </row>
    <row r="31670">
      <c r="H31670" t="s">
        <v>5117</v>
      </c>
    </row>
    <row r="31671">
      <c r="H31671" t="s">
        <v>5117</v>
      </c>
    </row>
    <row r="31672">
      <c r="H31672" t="s">
        <v>5117</v>
      </c>
    </row>
    <row r="31673">
      <c r="H31673" t="s">
        <v>5117</v>
      </c>
    </row>
    <row r="31674">
      <c r="H31674" t="s">
        <v>5117</v>
      </c>
    </row>
    <row r="31675">
      <c r="H31675" t="s">
        <v>5117</v>
      </c>
    </row>
    <row r="31676">
      <c r="H31676" t="s">
        <v>5117</v>
      </c>
    </row>
    <row r="31677">
      <c r="H31677" t="s">
        <v>5117</v>
      </c>
    </row>
    <row r="31678">
      <c r="H31678" t="s">
        <v>5117</v>
      </c>
    </row>
    <row r="31679">
      <c r="H31679" t="s">
        <v>5117</v>
      </c>
    </row>
    <row r="31680">
      <c r="H31680" t="s">
        <v>5117</v>
      </c>
    </row>
    <row r="31681">
      <c r="H31681" t="s">
        <v>5117</v>
      </c>
    </row>
    <row r="31682">
      <c r="H31682" t="s">
        <v>5117</v>
      </c>
    </row>
    <row r="31683">
      <c r="H31683" t="s">
        <v>5117</v>
      </c>
    </row>
    <row r="31684">
      <c r="H31684" t="s">
        <v>5117</v>
      </c>
    </row>
    <row r="31685">
      <c r="H31685" t="s">
        <v>5117</v>
      </c>
    </row>
    <row r="31686">
      <c r="H31686" t="s">
        <v>5117</v>
      </c>
    </row>
    <row r="31687">
      <c r="H31687" t="s">
        <v>5117</v>
      </c>
    </row>
    <row r="31688">
      <c r="H31688" t="s">
        <v>5117</v>
      </c>
    </row>
    <row r="31689">
      <c r="H31689" t="s">
        <v>5117</v>
      </c>
    </row>
    <row r="31690">
      <c r="H31690" t="s">
        <v>5117</v>
      </c>
    </row>
    <row r="31691">
      <c r="H31691" t="s">
        <v>5117</v>
      </c>
    </row>
    <row r="31692">
      <c r="H31692" t="s">
        <v>5117</v>
      </c>
    </row>
    <row r="31693">
      <c r="H31693" t="s">
        <v>5117</v>
      </c>
    </row>
    <row r="31694">
      <c r="H31694" t="s">
        <v>5117</v>
      </c>
    </row>
    <row r="31695">
      <c r="H31695" t="s">
        <v>5117</v>
      </c>
    </row>
    <row r="31696">
      <c r="H31696" t="s">
        <v>5117</v>
      </c>
    </row>
    <row r="31697">
      <c r="H31697" t="s">
        <v>5117</v>
      </c>
    </row>
    <row r="31698">
      <c r="H31698" t="s">
        <v>5117</v>
      </c>
    </row>
    <row r="31699">
      <c r="H31699" t="s">
        <v>5117</v>
      </c>
    </row>
    <row r="31700">
      <c r="H31700" t="s">
        <v>5117</v>
      </c>
    </row>
    <row r="31701">
      <c r="H31701" t="s">
        <v>5117</v>
      </c>
    </row>
    <row r="31702">
      <c r="H31702" t="s">
        <v>5117</v>
      </c>
    </row>
    <row r="31703">
      <c r="H31703" t="s">
        <v>5117</v>
      </c>
    </row>
    <row r="31704">
      <c r="H31704" t="s">
        <v>5117</v>
      </c>
    </row>
    <row r="31705">
      <c r="H31705" t="s">
        <v>5117</v>
      </c>
    </row>
    <row r="31706">
      <c r="H31706" t="s">
        <v>5117</v>
      </c>
    </row>
    <row r="31707">
      <c r="H31707" t="s">
        <v>5117</v>
      </c>
    </row>
    <row r="31708">
      <c r="H31708" t="s">
        <v>5117</v>
      </c>
    </row>
    <row r="31709">
      <c r="H31709" t="s">
        <v>5117</v>
      </c>
    </row>
    <row r="31710">
      <c r="H31710" t="s">
        <v>5117</v>
      </c>
    </row>
    <row r="31711">
      <c r="H31711" t="s">
        <v>5117</v>
      </c>
    </row>
    <row r="31712">
      <c r="H31712" t="s">
        <v>5117</v>
      </c>
    </row>
    <row r="31713">
      <c r="H31713" t="s">
        <v>5117</v>
      </c>
    </row>
    <row r="31714">
      <c r="H31714" t="s">
        <v>5117</v>
      </c>
    </row>
    <row r="31715">
      <c r="H31715" t="s">
        <v>5117</v>
      </c>
    </row>
    <row r="31716">
      <c r="H31716" t="s">
        <v>5117</v>
      </c>
    </row>
    <row r="31717">
      <c r="H31717" t="s">
        <v>5117</v>
      </c>
    </row>
    <row r="31718">
      <c r="H31718" t="s">
        <v>5117</v>
      </c>
    </row>
    <row r="31719">
      <c r="H31719" t="s">
        <v>5117</v>
      </c>
    </row>
    <row r="31720">
      <c r="H31720" t="s">
        <v>5117</v>
      </c>
    </row>
    <row r="31721">
      <c r="H31721" t="s">
        <v>5117</v>
      </c>
    </row>
    <row r="31722">
      <c r="H31722" t="s">
        <v>5117</v>
      </c>
    </row>
    <row r="31723">
      <c r="H31723" t="s">
        <v>5117</v>
      </c>
    </row>
    <row r="31724">
      <c r="H31724" t="s">
        <v>5117</v>
      </c>
    </row>
    <row r="31725">
      <c r="H31725" t="s">
        <v>5117</v>
      </c>
    </row>
    <row r="31726">
      <c r="H31726" t="s">
        <v>5117</v>
      </c>
    </row>
    <row r="31727">
      <c r="H31727" t="s">
        <v>5117</v>
      </c>
    </row>
    <row r="31728">
      <c r="H31728" t="s">
        <v>5117</v>
      </c>
    </row>
    <row r="31729">
      <c r="H31729" t="s">
        <v>5117</v>
      </c>
    </row>
    <row r="31730">
      <c r="H31730" t="s">
        <v>5117</v>
      </c>
    </row>
    <row r="31731">
      <c r="H31731" t="s">
        <v>5117</v>
      </c>
    </row>
    <row r="31732">
      <c r="H31732" t="s">
        <v>5117</v>
      </c>
    </row>
    <row r="31733">
      <c r="H31733" t="s">
        <v>5117</v>
      </c>
    </row>
    <row r="31734">
      <c r="H31734" t="s">
        <v>5117</v>
      </c>
    </row>
    <row r="31735">
      <c r="H31735" t="s">
        <v>5117</v>
      </c>
    </row>
    <row r="31736">
      <c r="H31736" t="s">
        <v>5117</v>
      </c>
    </row>
    <row r="31737">
      <c r="H31737" t="s">
        <v>5117</v>
      </c>
    </row>
    <row r="31738">
      <c r="H31738" t="s">
        <v>5117</v>
      </c>
    </row>
    <row r="31739">
      <c r="H31739" t="s">
        <v>5117</v>
      </c>
    </row>
    <row r="31740">
      <c r="H31740" t="s">
        <v>5117</v>
      </c>
    </row>
    <row r="31741">
      <c r="H31741" t="s">
        <v>5117</v>
      </c>
    </row>
    <row r="31742">
      <c r="H31742" t="s">
        <v>5117</v>
      </c>
    </row>
    <row r="31743">
      <c r="H31743" t="s">
        <v>5117</v>
      </c>
    </row>
    <row r="31744">
      <c r="H31744" t="s">
        <v>5117</v>
      </c>
    </row>
    <row r="31745">
      <c r="H31745" t="s">
        <v>5117</v>
      </c>
    </row>
    <row r="31746">
      <c r="H31746" t="s">
        <v>5117</v>
      </c>
    </row>
    <row r="31747">
      <c r="H31747" t="s">
        <v>5117</v>
      </c>
    </row>
    <row r="31748">
      <c r="H31748" t="s">
        <v>5117</v>
      </c>
    </row>
    <row r="31749">
      <c r="H31749" t="s">
        <v>5117</v>
      </c>
    </row>
    <row r="31750">
      <c r="H31750" t="s">
        <v>5117</v>
      </c>
    </row>
    <row r="31751">
      <c r="H31751" t="s">
        <v>5117</v>
      </c>
    </row>
    <row r="31752">
      <c r="H31752" t="s">
        <v>5117</v>
      </c>
    </row>
    <row r="31753">
      <c r="H31753" t="s">
        <v>5117</v>
      </c>
    </row>
    <row r="31754">
      <c r="H31754" t="s">
        <v>5117</v>
      </c>
    </row>
    <row r="31755">
      <c r="H31755" t="s">
        <v>5117</v>
      </c>
    </row>
    <row r="31756">
      <c r="H31756" t="s">
        <v>5117</v>
      </c>
    </row>
    <row r="31757">
      <c r="H31757" t="s">
        <v>5117</v>
      </c>
    </row>
    <row r="31758">
      <c r="H31758" t="s">
        <v>5117</v>
      </c>
    </row>
    <row r="31759">
      <c r="H31759" t="s">
        <v>5117</v>
      </c>
    </row>
    <row r="31760">
      <c r="H31760" t="s">
        <v>5117</v>
      </c>
    </row>
    <row r="31761">
      <c r="H31761" t="s">
        <v>5117</v>
      </c>
    </row>
    <row r="31762">
      <c r="H31762" t="s">
        <v>5117</v>
      </c>
    </row>
    <row r="31763">
      <c r="H31763" t="s">
        <v>5117</v>
      </c>
    </row>
    <row r="31764">
      <c r="H31764" t="s">
        <v>5117</v>
      </c>
    </row>
    <row r="31765">
      <c r="H31765" t="s">
        <v>5117</v>
      </c>
    </row>
    <row r="31766">
      <c r="H31766" t="s">
        <v>5117</v>
      </c>
    </row>
    <row r="31767">
      <c r="H31767" t="s">
        <v>5117</v>
      </c>
    </row>
    <row r="31768">
      <c r="H31768" t="s">
        <v>5117</v>
      </c>
    </row>
    <row r="31769">
      <c r="H31769" t="s">
        <v>5117</v>
      </c>
    </row>
    <row r="31770">
      <c r="H31770" t="s">
        <v>5117</v>
      </c>
    </row>
    <row r="31771">
      <c r="H31771" t="s">
        <v>5117</v>
      </c>
    </row>
    <row r="31772">
      <c r="H31772" t="s">
        <v>5117</v>
      </c>
    </row>
    <row r="31773">
      <c r="H31773" t="s">
        <v>5117</v>
      </c>
    </row>
    <row r="31774">
      <c r="H31774" t="s">
        <v>5117</v>
      </c>
    </row>
    <row r="31775">
      <c r="H31775" t="s">
        <v>5117</v>
      </c>
    </row>
    <row r="31776">
      <c r="H31776" t="s">
        <v>5117</v>
      </c>
    </row>
    <row r="31777">
      <c r="H31777" t="s">
        <v>5117</v>
      </c>
    </row>
    <row r="31778">
      <c r="H31778" t="s">
        <v>5117</v>
      </c>
    </row>
    <row r="31779">
      <c r="H31779" t="s">
        <v>5117</v>
      </c>
    </row>
    <row r="31780">
      <c r="H31780" t="s">
        <v>5117</v>
      </c>
    </row>
    <row r="31781">
      <c r="H31781" t="s">
        <v>5117</v>
      </c>
    </row>
    <row r="31782">
      <c r="H31782" t="s">
        <v>5117</v>
      </c>
    </row>
    <row r="31783">
      <c r="H31783" t="s">
        <v>5117</v>
      </c>
    </row>
    <row r="31784">
      <c r="H31784" t="s">
        <v>5117</v>
      </c>
    </row>
    <row r="31785">
      <c r="H31785" t="s">
        <v>5117</v>
      </c>
    </row>
    <row r="31786">
      <c r="H31786" t="s">
        <v>5117</v>
      </c>
    </row>
    <row r="31787">
      <c r="H31787" t="s">
        <v>5117</v>
      </c>
    </row>
    <row r="31788">
      <c r="H31788" t="s">
        <v>5117</v>
      </c>
    </row>
    <row r="31789">
      <c r="H31789" t="s">
        <v>5117</v>
      </c>
    </row>
    <row r="31790">
      <c r="H31790" t="s">
        <v>5117</v>
      </c>
    </row>
    <row r="31791">
      <c r="H31791" t="s">
        <v>5117</v>
      </c>
    </row>
    <row r="31792">
      <c r="H31792" t="s">
        <v>5117</v>
      </c>
    </row>
    <row r="31793">
      <c r="H31793" t="s">
        <v>5117</v>
      </c>
    </row>
    <row r="31794">
      <c r="H31794" t="s">
        <v>5117</v>
      </c>
    </row>
    <row r="31795">
      <c r="H31795" t="s">
        <v>5117</v>
      </c>
    </row>
    <row r="31796">
      <c r="H31796" t="s">
        <v>5117</v>
      </c>
    </row>
    <row r="31797">
      <c r="H31797" t="s">
        <v>5117</v>
      </c>
    </row>
    <row r="31798">
      <c r="H31798" t="s">
        <v>5117</v>
      </c>
    </row>
    <row r="31799">
      <c r="H31799" t="s">
        <v>5117</v>
      </c>
    </row>
    <row r="31800">
      <c r="H31800" t="s">
        <v>5117</v>
      </c>
    </row>
    <row r="31801">
      <c r="H31801" t="s">
        <v>5117</v>
      </c>
    </row>
    <row r="31802">
      <c r="H31802" t="s">
        <v>5117</v>
      </c>
    </row>
    <row r="31803">
      <c r="H31803" t="s">
        <v>5117</v>
      </c>
    </row>
    <row r="31804">
      <c r="H31804" t="s">
        <v>5117</v>
      </c>
    </row>
    <row r="31805">
      <c r="H31805" t="s">
        <v>5117</v>
      </c>
    </row>
    <row r="31806">
      <c r="H31806" t="s">
        <v>5117</v>
      </c>
    </row>
    <row r="31807">
      <c r="H31807" t="s">
        <v>5117</v>
      </c>
    </row>
    <row r="31808">
      <c r="H31808" t="s">
        <v>5117</v>
      </c>
    </row>
    <row r="31809">
      <c r="H31809" t="s">
        <v>5117</v>
      </c>
    </row>
    <row r="31810">
      <c r="H31810" t="s">
        <v>5117</v>
      </c>
    </row>
    <row r="31811">
      <c r="H31811" t="s">
        <v>5117</v>
      </c>
    </row>
    <row r="31812">
      <c r="H31812" t="s">
        <v>5117</v>
      </c>
    </row>
    <row r="31813">
      <c r="H31813" t="s">
        <v>5117</v>
      </c>
    </row>
    <row r="31814">
      <c r="H31814" t="s">
        <v>5117</v>
      </c>
    </row>
    <row r="31815">
      <c r="H31815" t="s">
        <v>5117</v>
      </c>
    </row>
    <row r="31816">
      <c r="H31816" t="s">
        <v>5117</v>
      </c>
    </row>
    <row r="31817">
      <c r="H31817" t="s">
        <v>5117</v>
      </c>
    </row>
    <row r="31818">
      <c r="H31818" t="s">
        <v>5117</v>
      </c>
    </row>
    <row r="31819">
      <c r="H31819" t="s">
        <v>5117</v>
      </c>
    </row>
    <row r="31820">
      <c r="H31820" t="s">
        <v>5117</v>
      </c>
    </row>
    <row r="31821">
      <c r="H31821" t="s">
        <v>5117</v>
      </c>
    </row>
    <row r="31822">
      <c r="H31822" t="s">
        <v>5117</v>
      </c>
    </row>
    <row r="31823">
      <c r="H31823" t="s">
        <v>5117</v>
      </c>
    </row>
    <row r="31824">
      <c r="H31824" t="s">
        <v>5117</v>
      </c>
    </row>
    <row r="31825">
      <c r="H31825" t="s">
        <v>5117</v>
      </c>
    </row>
    <row r="31826">
      <c r="H31826" t="s">
        <v>5117</v>
      </c>
    </row>
    <row r="31827">
      <c r="H31827" t="s">
        <v>5117</v>
      </c>
    </row>
    <row r="31828">
      <c r="H31828" t="s">
        <v>5117</v>
      </c>
    </row>
    <row r="31829">
      <c r="H31829" t="s">
        <v>5117</v>
      </c>
    </row>
    <row r="31830">
      <c r="H31830" t="s">
        <v>5117</v>
      </c>
    </row>
    <row r="31831">
      <c r="H31831" t="s">
        <v>5117</v>
      </c>
    </row>
    <row r="31832">
      <c r="H31832" t="s">
        <v>5117</v>
      </c>
    </row>
    <row r="31833">
      <c r="H31833" t="s">
        <v>5117</v>
      </c>
    </row>
    <row r="31834">
      <c r="H31834" t="s">
        <v>5117</v>
      </c>
    </row>
    <row r="31835">
      <c r="H31835" t="s">
        <v>5117</v>
      </c>
    </row>
    <row r="31836">
      <c r="H31836" t="s">
        <v>5117</v>
      </c>
    </row>
    <row r="31837">
      <c r="H31837" t="s">
        <v>5117</v>
      </c>
    </row>
    <row r="31838">
      <c r="H31838" t="s">
        <v>5117</v>
      </c>
    </row>
    <row r="31839">
      <c r="H31839" t="s">
        <v>5117</v>
      </c>
    </row>
    <row r="31840">
      <c r="H31840" t="s">
        <v>5117</v>
      </c>
    </row>
    <row r="31841">
      <c r="H31841" t="s">
        <v>5117</v>
      </c>
    </row>
    <row r="31842">
      <c r="H31842" t="s">
        <v>5117</v>
      </c>
    </row>
    <row r="31843">
      <c r="H31843" t="s">
        <v>5117</v>
      </c>
    </row>
    <row r="31844">
      <c r="H31844" t="s">
        <v>5117</v>
      </c>
    </row>
    <row r="31845">
      <c r="H31845" t="s">
        <v>5117</v>
      </c>
    </row>
    <row r="31846">
      <c r="H31846" t="s">
        <v>5117</v>
      </c>
    </row>
    <row r="31847">
      <c r="H31847" t="s">
        <v>5117</v>
      </c>
    </row>
    <row r="31848">
      <c r="H31848" t="s">
        <v>5117</v>
      </c>
    </row>
    <row r="31849">
      <c r="H31849" t="s">
        <v>5117</v>
      </c>
    </row>
    <row r="31850">
      <c r="H31850" t="s">
        <v>5117</v>
      </c>
    </row>
    <row r="31851">
      <c r="H31851" t="s">
        <v>5117</v>
      </c>
    </row>
    <row r="31852">
      <c r="H31852" t="s">
        <v>5117</v>
      </c>
    </row>
    <row r="31853">
      <c r="H31853" t="s">
        <v>5117</v>
      </c>
    </row>
    <row r="31854">
      <c r="H31854" t="s">
        <v>5117</v>
      </c>
    </row>
    <row r="31855">
      <c r="H31855" t="s">
        <v>5117</v>
      </c>
    </row>
    <row r="31856">
      <c r="H31856" t="s">
        <v>5117</v>
      </c>
    </row>
    <row r="31857">
      <c r="H31857" t="s">
        <v>5117</v>
      </c>
    </row>
    <row r="31858">
      <c r="H31858" t="s">
        <v>5117</v>
      </c>
    </row>
    <row r="31859">
      <c r="H31859" t="s">
        <v>5117</v>
      </c>
    </row>
    <row r="31860">
      <c r="H31860" t="s">
        <v>5117</v>
      </c>
    </row>
    <row r="31861">
      <c r="H31861" t="s">
        <v>5117</v>
      </c>
    </row>
    <row r="31862">
      <c r="H31862" t="s">
        <v>5117</v>
      </c>
    </row>
    <row r="31863">
      <c r="H31863" t="s">
        <v>5117</v>
      </c>
    </row>
    <row r="31864">
      <c r="H31864" t="s">
        <v>5117</v>
      </c>
    </row>
    <row r="31865">
      <c r="H31865" t="s">
        <v>5117</v>
      </c>
    </row>
    <row r="31866">
      <c r="H31866" t="s">
        <v>5117</v>
      </c>
    </row>
    <row r="31867">
      <c r="H31867" t="s">
        <v>5117</v>
      </c>
    </row>
    <row r="31868">
      <c r="H31868" t="s">
        <v>5117</v>
      </c>
    </row>
    <row r="31869">
      <c r="H31869" t="s">
        <v>5117</v>
      </c>
    </row>
    <row r="31870">
      <c r="H31870" t="s">
        <v>5117</v>
      </c>
    </row>
    <row r="31871">
      <c r="H31871" t="s">
        <v>5117</v>
      </c>
    </row>
    <row r="31872">
      <c r="H31872" t="s">
        <v>5117</v>
      </c>
    </row>
    <row r="31873">
      <c r="H31873" t="s">
        <v>5117</v>
      </c>
    </row>
    <row r="31874">
      <c r="H31874" t="s">
        <v>5117</v>
      </c>
    </row>
    <row r="31875">
      <c r="H31875" t="s">
        <v>5117</v>
      </c>
    </row>
    <row r="31876">
      <c r="H31876" t="s">
        <v>5117</v>
      </c>
    </row>
    <row r="31877">
      <c r="H31877" t="s">
        <v>5117</v>
      </c>
    </row>
    <row r="31878">
      <c r="H31878" t="s">
        <v>5117</v>
      </c>
    </row>
    <row r="31879">
      <c r="H31879" t="s">
        <v>5117</v>
      </c>
    </row>
    <row r="31880">
      <c r="H31880" t="s">
        <v>5117</v>
      </c>
    </row>
    <row r="31881">
      <c r="H31881" t="s">
        <v>5117</v>
      </c>
    </row>
    <row r="31882">
      <c r="H31882" t="s">
        <v>5117</v>
      </c>
    </row>
    <row r="31883">
      <c r="H31883" t="s">
        <v>5117</v>
      </c>
    </row>
    <row r="31884">
      <c r="H31884" t="s">
        <v>5117</v>
      </c>
    </row>
    <row r="31885">
      <c r="H31885" t="s">
        <v>5117</v>
      </c>
    </row>
    <row r="31886">
      <c r="H31886" t="s">
        <v>5117</v>
      </c>
    </row>
    <row r="31887">
      <c r="H31887" t="s">
        <v>5117</v>
      </c>
    </row>
    <row r="31888">
      <c r="H31888" t="s">
        <v>5117</v>
      </c>
    </row>
    <row r="31889">
      <c r="H31889" t="s">
        <v>5117</v>
      </c>
    </row>
    <row r="31890">
      <c r="H31890" t="s">
        <v>5117</v>
      </c>
    </row>
    <row r="31891">
      <c r="H31891" t="s">
        <v>5117</v>
      </c>
    </row>
    <row r="31892">
      <c r="H31892" t="s">
        <v>5117</v>
      </c>
    </row>
    <row r="31893">
      <c r="H31893" t="s">
        <v>5117</v>
      </c>
    </row>
    <row r="31894">
      <c r="H31894" t="s">
        <v>5117</v>
      </c>
    </row>
    <row r="31895">
      <c r="H31895" t="s">
        <v>5117</v>
      </c>
    </row>
    <row r="31896">
      <c r="H31896" t="s">
        <v>5117</v>
      </c>
    </row>
    <row r="31897">
      <c r="H31897" t="s">
        <v>5117</v>
      </c>
    </row>
    <row r="31898">
      <c r="H31898" t="s">
        <v>5117</v>
      </c>
    </row>
    <row r="31899">
      <c r="H31899" t="s">
        <v>5117</v>
      </c>
    </row>
    <row r="31900">
      <c r="H31900" t="s">
        <v>5117</v>
      </c>
    </row>
    <row r="31901">
      <c r="H31901" t="s">
        <v>5117</v>
      </c>
    </row>
    <row r="31902">
      <c r="H31902" t="s">
        <v>5117</v>
      </c>
    </row>
    <row r="31903">
      <c r="H31903" t="s">
        <v>5117</v>
      </c>
    </row>
    <row r="31904">
      <c r="H31904" t="s">
        <v>5117</v>
      </c>
    </row>
    <row r="31905">
      <c r="H31905" t="s">
        <v>5117</v>
      </c>
    </row>
    <row r="31906">
      <c r="H31906" t="s">
        <v>5117</v>
      </c>
    </row>
    <row r="31907">
      <c r="H31907" t="s">
        <v>5117</v>
      </c>
    </row>
    <row r="31908">
      <c r="H31908" t="s">
        <v>5117</v>
      </c>
    </row>
    <row r="31909">
      <c r="H31909" t="s">
        <v>5117</v>
      </c>
    </row>
    <row r="31910">
      <c r="H31910" t="s">
        <v>5117</v>
      </c>
    </row>
    <row r="31911">
      <c r="H31911" t="s">
        <v>5117</v>
      </c>
    </row>
    <row r="31912">
      <c r="H31912" t="s">
        <v>5117</v>
      </c>
    </row>
    <row r="31913">
      <c r="H31913" t="s">
        <v>5117</v>
      </c>
    </row>
    <row r="31914">
      <c r="H31914" t="s">
        <v>5117</v>
      </c>
    </row>
    <row r="31915">
      <c r="H31915" t="s">
        <v>5117</v>
      </c>
    </row>
    <row r="31916">
      <c r="H31916" t="s">
        <v>5117</v>
      </c>
    </row>
    <row r="31917">
      <c r="H31917" t="s">
        <v>5117</v>
      </c>
    </row>
    <row r="31918">
      <c r="H31918" t="s">
        <v>5117</v>
      </c>
    </row>
    <row r="31919">
      <c r="H31919" t="s">
        <v>5117</v>
      </c>
    </row>
    <row r="31920">
      <c r="H31920" t="s">
        <v>5117</v>
      </c>
    </row>
    <row r="31921">
      <c r="H31921" t="s">
        <v>5117</v>
      </c>
    </row>
    <row r="31922">
      <c r="H31922" t="s">
        <v>5117</v>
      </c>
    </row>
    <row r="31923">
      <c r="H31923" t="s">
        <v>5117</v>
      </c>
    </row>
    <row r="31924">
      <c r="H31924" t="s">
        <v>5117</v>
      </c>
    </row>
    <row r="31925">
      <c r="H31925" t="s">
        <v>5117</v>
      </c>
    </row>
    <row r="31926">
      <c r="H31926" t="s">
        <v>5117</v>
      </c>
    </row>
    <row r="31927">
      <c r="H31927" t="s">
        <v>5117</v>
      </c>
    </row>
    <row r="31928">
      <c r="H31928" t="s">
        <v>5117</v>
      </c>
    </row>
    <row r="31929">
      <c r="H31929" t="s">
        <v>5117</v>
      </c>
    </row>
    <row r="31930">
      <c r="H31930" t="s">
        <v>5117</v>
      </c>
    </row>
    <row r="31931">
      <c r="H31931" t="s">
        <v>5117</v>
      </c>
    </row>
    <row r="31932">
      <c r="H31932" t="s">
        <v>5117</v>
      </c>
    </row>
    <row r="31933">
      <c r="H31933" t="s">
        <v>5117</v>
      </c>
    </row>
    <row r="31934">
      <c r="H31934" t="s">
        <v>5117</v>
      </c>
    </row>
    <row r="31935">
      <c r="H31935" t="s">
        <v>5117</v>
      </c>
    </row>
    <row r="31936">
      <c r="H31936" t="s">
        <v>5117</v>
      </c>
    </row>
    <row r="31937">
      <c r="H31937" t="s">
        <v>5117</v>
      </c>
    </row>
    <row r="31938">
      <c r="H31938" t="s">
        <v>5117</v>
      </c>
    </row>
    <row r="31939">
      <c r="H31939" t="s">
        <v>5117</v>
      </c>
    </row>
    <row r="31940">
      <c r="H31940" t="s">
        <v>5117</v>
      </c>
    </row>
    <row r="31941">
      <c r="H31941" t="s">
        <v>5117</v>
      </c>
    </row>
    <row r="31942">
      <c r="H31942" t="s">
        <v>5117</v>
      </c>
    </row>
    <row r="31943">
      <c r="H31943" t="s">
        <v>5117</v>
      </c>
    </row>
    <row r="31944">
      <c r="H31944" t="s">
        <v>5117</v>
      </c>
    </row>
    <row r="31945">
      <c r="H31945" t="s">
        <v>5117</v>
      </c>
    </row>
    <row r="31946">
      <c r="H31946" t="s">
        <v>5117</v>
      </c>
    </row>
    <row r="31947">
      <c r="H31947" t="s">
        <v>5117</v>
      </c>
    </row>
    <row r="31948">
      <c r="H31948" t="s">
        <v>5117</v>
      </c>
    </row>
    <row r="31949">
      <c r="H31949" t="s">
        <v>5117</v>
      </c>
    </row>
    <row r="31950">
      <c r="H31950" t="s">
        <v>5117</v>
      </c>
    </row>
    <row r="31951">
      <c r="H31951" t="s">
        <v>5117</v>
      </c>
    </row>
    <row r="31952">
      <c r="H31952" t="s">
        <v>5117</v>
      </c>
    </row>
    <row r="31953">
      <c r="H31953" t="s">
        <v>5117</v>
      </c>
    </row>
    <row r="31954">
      <c r="H31954" t="s">
        <v>5117</v>
      </c>
    </row>
    <row r="31955">
      <c r="H31955" t="s">
        <v>5117</v>
      </c>
    </row>
    <row r="31956">
      <c r="H31956" t="s">
        <v>5117</v>
      </c>
    </row>
    <row r="31957">
      <c r="H31957" t="s">
        <v>5117</v>
      </c>
    </row>
    <row r="31958">
      <c r="H31958" t="s">
        <v>5117</v>
      </c>
    </row>
    <row r="31959">
      <c r="H31959" t="s">
        <v>5117</v>
      </c>
    </row>
    <row r="31960">
      <c r="H31960" t="s">
        <v>5117</v>
      </c>
    </row>
    <row r="31961">
      <c r="H31961" t="s">
        <v>5117</v>
      </c>
    </row>
    <row r="31962">
      <c r="H31962" t="s">
        <v>5117</v>
      </c>
    </row>
    <row r="31963">
      <c r="H31963" t="s">
        <v>5117</v>
      </c>
    </row>
    <row r="31964">
      <c r="H31964" t="s">
        <v>5117</v>
      </c>
    </row>
    <row r="31965">
      <c r="H31965" t="s">
        <v>5117</v>
      </c>
    </row>
    <row r="31966">
      <c r="H31966" t="s">
        <v>5117</v>
      </c>
    </row>
    <row r="31967">
      <c r="H31967" t="s">
        <v>5117</v>
      </c>
    </row>
    <row r="31968">
      <c r="H31968" t="s">
        <v>5117</v>
      </c>
    </row>
    <row r="31969">
      <c r="H31969" t="s">
        <v>5117</v>
      </c>
    </row>
    <row r="31970">
      <c r="H31970" t="s">
        <v>5117</v>
      </c>
    </row>
    <row r="31971">
      <c r="H31971" t="s">
        <v>5117</v>
      </c>
    </row>
    <row r="31972">
      <c r="H31972" t="s">
        <v>5117</v>
      </c>
    </row>
    <row r="31973">
      <c r="H31973" t="s">
        <v>5117</v>
      </c>
    </row>
    <row r="31974">
      <c r="H31974" t="s">
        <v>5117</v>
      </c>
    </row>
    <row r="31975">
      <c r="H31975" t="s">
        <v>5117</v>
      </c>
    </row>
    <row r="31976">
      <c r="H31976" t="s">
        <v>5117</v>
      </c>
    </row>
    <row r="31977">
      <c r="H31977" t="s">
        <v>5117</v>
      </c>
    </row>
    <row r="31978">
      <c r="H31978" t="s">
        <v>5117</v>
      </c>
    </row>
    <row r="31979">
      <c r="H31979" t="s">
        <v>5117</v>
      </c>
    </row>
    <row r="31980">
      <c r="H31980" t="s">
        <v>5117</v>
      </c>
    </row>
    <row r="31981">
      <c r="H31981" t="s">
        <v>5117</v>
      </c>
    </row>
    <row r="31982">
      <c r="H31982" t="s">
        <v>5117</v>
      </c>
    </row>
    <row r="31983">
      <c r="H31983" t="s">
        <v>5117</v>
      </c>
    </row>
    <row r="31984">
      <c r="H31984" t="s">
        <v>5117</v>
      </c>
    </row>
    <row r="31985">
      <c r="H31985" t="s">
        <v>5117</v>
      </c>
    </row>
    <row r="31986">
      <c r="H31986" t="s">
        <v>5117</v>
      </c>
    </row>
    <row r="31987">
      <c r="H31987" t="s">
        <v>5117</v>
      </c>
    </row>
    <row r="31988">
      <c r="H31988" t="s">
        <v>5117</v>
      </c>
    </row>
    <row r="31989">
      <c r="H31989" t="s">
        <v>5117</v>
      </c>
    </row>
    <row r="31990">
      <c r="H31990" t="s">
        <v>5117</v>
      </c>
    </row>
    <row r="31991">
      <c r="H31991" t="s">
        <v>5117</v>
      </c>
    </row>
    <row r="31992">
      <c r="H31992" t="s">
        <v>5117</v>
      </c>
    </row>
    <row r="31993">
      <c r="H31993" t="s">
        <v>5117</v>
      </c>
    </row>
    <row r="31994">
      <c r="H31994" t="s">
        <v>5117</v>
      </c>
    </row>
    <row r="31995">
      <c r="H31995" t="s">
        <v>5117</v>
      </c>
    </row>
    <row r="31996">
      <c r="H31996" t="s">
        <v>5117</v>
      </c>
    </row>
    <row r="31997">
      <c r="H31997" t="s">
        <v>5117</v>
      </c>
    </row>
    <row r="31998">
      <c r="H31998" t="s">
        <v>5117</v>
      </c>
    </row>
    <row r="31999">
      <c r="H31999" t="s">
        <v>5117</v>
      </c>
    </row>
    <row r="32000">
      <c r="H32000" t="s">
        <v>5117</v>
      </c>
    </row>
    <row r="32001">
      <c r="H32001" t="s">
        <v>5117</v>
      </c>
    </row>
    <row r="32002">
      <c r="H32002" t="s">
        <v>5117</v>
      </c>
    </row>
    <row r="32003">
      <c r="H32003" t="s">
        <v>5117</v>
      </c>
    </row>
    <row r="32004">
      <c r="H32004" t="s">
        <v>5117</v>
      </c>
    </row>
    <row r="32005">
      <c r="H32005" t="s">
        <v>5117</v>
      </c>
    </row>
    <row r="32006">
      <c r="H32006" t="s">
        <v>5117</v>
      </c>
    </row>
    <row r="32007">
      <c r="H32007" t="s">
        <v>5117</v>
      </c>
    </row>
    <row r="32008">
      <c r="H32008" t="s">
        <v>5117</v>
      </c>
    </row>
    <row r="32009">
      <c r="H32009" t="s">
        <v>5117</v>
      </c>
    </row>
    <row r="32010">
      <c r="H32010" t="s">
        <v>5117</v>
      </c>
    </row>
    <row r="32011">
      <c r="H32011" t="s">
        <v>5117</v>
      </c>
    </row>
    <row r="32012">
      <c r="H32012" t="s">
        <v>5117</v>
      </c>
    </row>
    <row r="32013">
      <c r="H32013" t="s">
        <v>5117</v>
      </c>
    </row>
    <row r="32014">
      <c r="H32014" t="s">
        <v>5117</v>
      </c>
    </row>
    <row r="32015">
      <c r="H32015" t="s">
        <v>5117</v>
      </c>
    </row>
    <row r="32016">
      <c r="H32016" t="s">
        <v>5117</v>
      </c>
    </row>
    <row r="32017">
      <c r="H32017" t="s">
        <v>5117</v>
      </c>
    </row>
    <row r="32018">
      <c r="H32018" t="s">
        <v>5117</v>
      </c>
    </row>
    <row r="32019">
      <c r="H32019" t="s">
        <v>5117</v>
      </c>
    </row>
    <row r="32020">
      <c r="H32020" t="s">
        <v>5117</v>
      </c>
    </row>
    <row r="32021">
      <c r="H32021" t="s">
        <v>5117</v>
      </c>
    </row>
    <row r="32022">
      <c r="H32022" t="s">
        <v>5117</v>
      </c>
    </row>
    <row r="32023">
      <c r="H32023" t="s">
        <v>5117</v>
      </c>
    </row>
    <row r="32024">
      <c r="H32024" t="s">
        <v>5117</v>
      </c>
    </row>
    <row r="32025">
      <c r="H32025" t="s">
        <v>5117</v>
      </c>
    </row>
    <row r="32026">
      <c r="H32026" t="s">
        <v>5117</v>
      </c>
    </row>
    <row r="32027">
      <c r="H32027" t="s">
        <v>5117</v>
      </c>
    </row>
    <row r="32028">
      <c r="H32028" t="s">
        <v>5117</v>
      </c>
    </row>
    <row r="32029">
      <c r="H32029" t="s">
        <v>5117</v>
      </c>
    </row>
    <row r="32030">
      <c r="H32030" t="s">
        <v>5117</v>
      </c>
    </row>
    <row r="32031">
      <c r="H32031" t="s">
        <v>5117</v>
      </c>
    </row>
    <row r="32032">
      <c r="H32032" t="s">
        <v>5117</v>
      </c>
    </row>
    <row r="32033">
      <c r="H32033" t="s">
        <v>5117</v>
      </c>
    </row>
    <row r="32034">
      <c r="H32034" t="s">
        <v>5117</v>
      </c>
    </row>
    <row r="32035">
      <c r="H32035" t="s">
        <v>5117</v>
      </c>
    </row>
    <row r="32036">
      <c r="H32036" t="s">
        <v>5117</v>
      </c>
    </row>
    <row r="32037">
      <c r="H32037" t="s">
        <v>5117</v>
      </c>
    </row>
    <row r="32038">
      <c r="H32038" t="s">
        <v>5117</v>
      </c>
    </row>
    <row r="32039">
      <c r="H32039" t="s">
        <v>5117</v>
      </c>
    </row>
    <row r="32040">
      <c r="H32040" t="s">
        <v>5117</v>
      </c>
    </row>
    <row r="32041">
      <c r="H32041" t="s">
        <v>5117</v>
      </c>
    </row>
    <row r="32042">
      <c r="H32042" t="s">
        <v>5117</v>
      </c>
    </row>
    <row r="32043">
      <c r="H32043" t="s">
        <v>5117</v>
      </c>
    </row>
    <row r="32044">
      <c r="H32044" t="s">
        <v>5117</v>
      </c>
    </row>
    <row r="32045">
      <c r="H32045" t="s">
        <v>5117</v>
      </c>
    </row>
    <row r="32046">
      <c r="H32046" t="s">
        <v>5117</v>
      </c>
    </row>
    <row r="32047">
      <c r="H32047" t="s">
        <v>5117</v>
      </c>
    </row>
    <row r="32048">
      <c r="H32048" t="s">
        <v>5117</v>
      </c>
    </row>
    <row r="32049">
      <c r="H32049" t="s">
        <v>5117</v>
      </c>
    </row>
    <row r="32050">
      <c r="H32050" t="s">
        <v>5117</v>
      </c>
    </row>
    <row r="32051">
      <c r="H32051" t="s">
        <v>5117</v>
      </c>
    </row>
    <row r="32052">
      <c r="H32052" t="s">
        <v>5117</v>
      </c>
    </row>
    <row r="32053">
      <c r="H32053" t="s">
        <v>5117</v>
      </c>
    </row>
    <row r="32054">
      <c r="H32054" t="s">
        <v>5117</v>
      </c>
    </row>
    <row r="32055">
      <c r="H32055" t="s">
        <v>5117</v>
      </c>
    </row>
    <row r="32056">
      <c r="H32056" t="s">
        <v>5117</v>
      </c>
    </row>
    <row r="32057">
      <c r="H32057" t="s">
        <v>5117</v>
      </c>
    </row>
    <row r="32058">
      <c r="H32058" t="s">
        <v>5117</v>
      </c>
    </row>
    <row r="32059">
      <c r="H32059" t="s">
        <v>5117</v>
      </c>
    </row>
    <row r="32060">
      <c r="H32060" t="s">
        <v>5117</v>
      </c>
    </row>
    <row r="32061">
      <c r="H32061" t="s">
        <v>5117</v>
      </c>
    </row>
    <row r="32062">
      <c r="H32062" t="s">
        <v>5117</v>
      </c>
    </row>
    <row r="32063">
      <c r="H32063" t="s">
        <v>5117</v>
      </c>
    </row>
    <row r="32064">
      <c r="H32064" t="s">
        <v>5117</v>
      </c>
    </row>
    <row r="32065">
      <c r="H32065" t="s">
        <v>5117</v>
      </c>
    </row>
    <row r="32066">
      <c r="H32066" t="s">
        <v>5117</v>
      </c>
    </row>
    <row r="32067">
      <c r="H32067" t="s">
        <v>5117</v>
      </c>
    </row>
    <row r="32068">
      <c r="H32068" t="s">
        <v>5117</v>
      </c>
    </row>
    <row r="32069">
      <c r="H32069" t="s">
        <v>5117</v>
      </c>
    </row>
    <row r="32070">
      <c r="H32070" t="s">
        <v>5117</v>
      </c>
    </row>
    <row r="32071">
      <c r="H32071" t="s">
        <v>5117</v>
      </c>
    </row>
    <row r="32072">
      <c r="H32072" t="s">
        <v>5117</v>
      </c>
    </row>
    <row r="32073">
      <c r="H32073" t="s">
        <v>5117</v>
      </c>
    </row>
    <row r="32074">
      <c r="H32074" t="s">
        <v>5117</v>
      </c>
    </row>
    <row r="32075">
      <c r="H32075" t="s">
        <v>5117</v>
      </c>
    </row>
    <row r="32076">
      <c r="H32076" t="s">
        <v>5117</v>
      </c>
    </row>
    <row r="32077">
      <c r="H32077" t="s">
        <v>5117</v>
      </c>
    </row>
    <row r="32078">
      <c r="H32078" t="s">
        <v>5117</v>
      </c>
    </row>
    <row r="32079">
      <c r="H32079" t="s">
        <v>5117</v>
      </c>
    </row>
    <row r="32080">
      <c r="H32080" t="s">
        <v>5117</v>
      </c>
    </row>
    <row r="32081">
      <c r="H32081" t="s">
        <v>5117</v>
      </c>
    </row>
    <row r="32082">
      <c r="H32082" t="s">
        <v>5117</v>
      </c>
    </row>
    <row r="32083">
      <c r="H32083" t="s">
        <v>5117</v>
      </c>
    </row>
    <row r="32084">
      <c r="H32084" t="s">
        <v>5117</v>
      </c>
    </row>
    <row r="32085">
      <c r="H32085" t="s">
        <v>5117</v>
      </c>
    </row>
    <row r="32086">
      <c r="H32086" t="s">
        <v>5117</v>
      </c>
    </row>
    <row r="32087">
      <c r="H32087" t="s">
        <v>5117</v>
      </c>
    </row>
    <row r="32088">
      <c r="H32088" t="s">
        <v>5117</v>
      </c>
    </row>
    <row r="32089">
      <c r="H32089" t="s">
        <v>5117</v>
      </c>
    </row>
    <row r="32090">
      <c r="H32090" t="s">
        <v>5117</v>
      </c>
    </row>
    <row r="32091">
      <c r="H32091" t="s">
        <v>5117</v>
      </c>
    </row>
    <row r="32092">
      <c r="H32092" t="s">
        <v>5117</v>
      </c>
    </row>
    <row r="32093">
      <c r="H32093" t="s">
        <v>5117</v>
      </c>
    </row>
    <row r="32094">
      <c r="H32094" t="s">
        <v>5117</v>
      </c>
    </row>
    <row r="32095">
      <c r="H32095" t="s">
        <v>5117</v>
      </c>
    </row>
    <row r="32096">
      <c r="H32096" t="s">
        <v>5117</v>
      </c>
    </row>
    <row r="32097">
      <c r="H32097" t="s">
        <v>5117</v>
      </c>
    </row>
    <row r="32098">
      <c r="H32098" t="s">
        <v>5117</v>
      </c>
    </row>
    <row r="32099">
      <c r="H32099" t="s">
        <v>5117</v>
      </c>
    </row>
    <row r="32100">
      <c r="H32100" t="s">
        <v>5117</v>
      </c>
    </row>
    <row r="32101">
      <c r="H32101" t="s">
        <v>5117</v>
      </c>
    </row>
    <row r="32102">
      <c r="H32102" t="s">
        <v>5117</v>
      </c>
    </row>
    <row r="32103">
      <c r="H32103" t="s">
        <v>5117</v>
      </c>
    </row>
    <row r="32104">
      <c r="H32104" t="s">
        <v>5117</v>
      </c>
    </row>
    <row r="32105">
      <c r="H32105" t="s">
        <v>5117</v>
      </c>
    </row>
    <row r="32106">
      <c r="H32106" t="s">
        <v>5117</v>
      </c>
    </row>
    <row r="32107">
      <c r="H32107" t="s">
        <v>5117</v>
      </c>
    </row>
    <row r="32108">
      <c r="H32108" t="s">
        <v>5117</v>
      </c>
    </row>
    <row r="32109">
      <c r="H32109" t="s">
        <v>5117</v>
      </c>
    </row>
    <row r="32110">
      <c r="H32110" t="s">
        <v>5117</v>
      </c>
    </row>
    <row r="32111">
      <c r="H32111" t="s">
        <v>5117</v>
      </c>
    </row>
    <row r="32112">
      <c r="H32112" t="s">
        <v>5117</v>
      </c>
    </row>
    <row r="32113">
      <c r="H32113" t="s">
        <v>5117</v>
      </c>
    </row>
    <row r="32114">
      <c r="H32114" t="s">
        <v>5117</v>
      </c>
    </row>
    <row r="32115">
      <c r="H32115" t="s">
        <v>5117</v>
      </c>
    </row>
    <row r="32116">
      <c r="H32116" t="s">
        <v>5117</v>
      </c>
    </row>
    <row r="32117">
      <c r="H32117" t="s">
        <v>5117</v>
      </c>
    </row>
    <row r="32118">
      <c r="H32118" t="s">
        <v>5117</v>
      </c>
    </row>
    <row r="32119">
      <c r="H32119" t="s">
        <v>5117</v>
      </c>
    </row>
    <row r="32120">
      <c r="H32120" t="s">
        <v>5117</v>
      </c>
    </row>
    <row r="32121">
      <c r="H32121" t="s">
        <v>5117</v>
      </c>
    </row>
    <row r="32122">
      <c r="H32122" t="s">
        <v>5117</v>
      </c>
    </row>
    <row r="32123">
      <c r="H32123" t="s">
        <v>5117</v>
      </c>
    </row>
    <row r="32124">
      <c r="H32124" t="s">
        <v>5117</v>
      </c>
    </row>
    <row r="32125">
      <c r="H32125" t="s">
        <v>5117</v>
      </c>
    </row>
    <row r="32126">
      <c r="H32126" t="s">
        <v>5117</v>
      </c>
    </row>
    <row r="32127">
      <c r="H32127" t="s">
        <v>5117</v>
      </c>
    </row>
    <row r="32128">
      <c r="H32128" t="s">
        <v>5117</v>
      </c>
    </row>
    <row r="32129">
      <c r="H32129" t="s">
        <v>5117</v>
      </c>
    </row>
    <row r="32130">
      <c r="H32130" t="s">
        <v>5117</v>
      </c>
    </row>
    <row r="32131">
      <c r="H32131" t="s">
        <v>5117</v>
      </c>
    </row>
    <row r="32132">
      <c r="H32132" t="s">
        <v>5117</v>
      </c>
    </row>
    <row r="32133">
      <c r="H32133" t="s">
        <v>5117</v>
      </c>
    </row>
    <row r="32134">
      <c r="H32134" t="s">
        <v>5117</v>
      </c>
    </row>
    <row r="32135">
      <c r="H32135" t="s">
        <v>5117</v>
      </c>
    </row>
    <row r="32136">
      <c r="H32136" t="s">
        <v>5117</v>
      </c>
    </row>
    <row r="32137">
      <c r="H32137" t="s">
        <v>5117</v>
      </c>
    </row>
    <row r="32138">
      <c r="H32138" t="s">
        <v>5117</v>
      </c>
    </row>
    <row r="32139">
      <c r="H32139" t="s">
        <v>5117</v>
      </c>
    </row>
    <row r="32140">
      <c r="H32140" t="s">
        <v>5117</v>
      </c>
    </row>
    <row r="32141">
      <c r="H32141" t="s">
        <v>5117</v>
      </c>
    </row>
    <row r="32142">
      <c r="H32142" t="s">
        <v>5117</v>
      </c>
    </row>
    <row r="32143">
      <c r="H32143" t="s">
        <v>5117</v>
      </c>
    </row>
    <row r="32144">
      <c r="H32144" t="s">
        <v>5117</v>
      </c>
    </row>
    <row r="32145">
      <c r="H32145" t="s">
        <v>5117</v>
      </c>
    </row>
    <row r="32146">
      <c r="H32146" t="s">
        <v>5117</v>
      </c>
    </row>
    <row r="32147">
      <c r="H32147" t="s">
        <v>5117</v>
      </c>
    </row>
    <row r="32148">
      <c r="H32148" t="s">
        <v>5117</v>
      </c>
    </row>
    <row r="32149">
      <c r="H32149" t="s">
        <v>5117</v>
      </c>
    </row>
    <row r="32150">
      <c r="H32150" t="s">
        <v>5117</v>
      </c>
    </row>
    <row r="32151">
      <c r="H32151" t="s">
        <v>5117</v>
      </c>
    </row>
    <row r="32152">
      <c r="H32152" t="s">
        <v>5117</v>
      </c>
    </row>
    <row r="32153">
      <c r="H32153" t="s">
        <v>5117</v>
      </c>
    </row>
    <row r="32154">
      <c r="H32154" t="s">
        <v>5117</v>
      </c>
    </row>
    <row r="32155">
      <c r="H32155" t="s">
        <v>5117</v>
      </c>
    </row>
    <row r="32156">
      <c r="H32156" t="s">
        <v>5117</v>
      </c>
    </row>
    <row r="32157">
      <c r="H32157" t="s">
        <v>5117</v>
      </c>
    </row>
    <row r="32158">
      <c r="H32158" t="s">
        <v>5117</v>
      </c>
    </row>
    <row r="32159">
      <c r="H32159" t="s">
        <v>5117</v>
      </c>
    </row>
    <row r="32160">
      <c r="H32160" t="s">
        <v>5117</v>
      </c>
    </row>
    <row r="32161">
      <c r="H32161" t="s">
        <v>5117</v>
      </c>
    </row>
    <row r="32162">
      <c r="H32162" t="s">
        <v>5117</v>
      </c>
    </row>
    <row r="32163">
      <c r="H32163" t="s">
        <v>5117</v>
      </c>
    </row>
    <row r="32164">
      <c r="H32164" t="s">
        <v>5117</v>
      </c>
    </row>
    <row r="32165">
      <c r="H32165" t="s">
        <v>5117</v>
      </c>
    </row>
    <row r="32166">
      <c r="H32166" t="s">
        <v>5117</v>
      </c>
    </row>
    <row r="32167">
      <c r="H32167" t="s">
        <v>5117</v>
      </c>
    </row>
    <row r="32168">
      <c r="H32168" t="s">
        <v>5117</v>
      </c>
    </row>
    <row r="32169">
      <c r="H32169" t="s">
        <v>5117</v>
      </c>
    </row>
    <row r="32170">
      <c r="H32170" t="s">
        <v>5117</v>
      </c>
    </row>
    <row r="32171">
      <c r="H32171" t="s">
        <v>5117</v>
      </c>
    </row>
    <row r="32172">
      <c r="H32172" t="s">
        <v>5117</v>
      </c>
    </row>
    <row r="32173">
      <c r="H32173" t="s">
        <v>5117</v>
      </c>
    </row>
    <row r="32174">
      <c r="H32174" t="s">
        <v>5117</v>
      </c>
    </row>
    <row r="32175">
      <c r="H32175" t="s">
        <v>5117</v>
      </c>
    </row>
    <row r="32176">
      <c r="H32176" t="s">
        <v>5117</v>
      </c>
    </row>
    <row r="32177">
      <c r="H32177" t="s">
        <v>5117</v>
      </c>
    </row>
    <row r="32178">
      <c r="H32178" t="s">
        <v>5117</v>
      </c>
    </row>
    <row r="32179">
      <c r="H32179" t="s">
        <v>5117</v>
      </c>
    </row>
    <row r="32180">
      <c r="H32180" t="s">
        <v>5117</v>
      </c>
    </row>
    <row r="32181">
      <c r="H32181" t="s">
        <v>5117</v>
      </c>
    </row>
    <row r="32182">
      <c r="H32182" t="s">
        <v>5117</v>
      </c>
    </row>
    <row r="32183">
      <c r="H32183" t="s">
        <v>5117</v>
      </c>
    </row>
    <row r="32184">
      <c r="H32184" t="s">
        <v>5117</v>
      </c>
    </row>
    <row r="32185">
      <c r="H32185" t="s">
        <v>5117</v>
      </c>
    </row>
    <row r="32186">
      <c r="H32186" t="s">
        <v>5117</v>
      </c>
    </row>
    <row r="32187">
      <c r="H32187" t="s">
        <v>5117</v>
      </c>
    </row>
    <row r="32188">
      <c r="H32188" t="s">
        <v>5117</v>
      </c>
    </row>
    <row r="32189">
      <c r="H32189" t="s">
        <v>5117</v>
      </c>
    </row>
    <row r="32190">
      <c r="H32190" t="s">
        <v>5117</v>
      </c>
    </row>
    <row r="32191">
      <c r="H32191" t="s">
        <v>5117</v>
      </c>
    </row>
    <row r="32192">
      <c r="H32192" t="s">
        <v>5117</v>
      </c>
    </row>
    <row r="32193">
      <c r="H32193" t="s">
        <v>5117</v>
      </c>
    </row>
    <row r="32194">
      <c r="H32194" t="s">
        <v>5117</v>
      </c>
    </row>
    <row r="32195">
      <c r="H32195" t="s">
        <v>5117</v>
      </c>
    </row>
    <row r="32196">
      <c r="H32196" t="s">
        <v>5117</v>
      </c>
    </row>
    <row r="32197">
      <c r="H32197" t="s">
        <v>5117</v>
      </c>
    </row>
    <row r="32198">
      <c r="H32198" t="s">
        <v>5117</v>
      </c>
    </row>
    <row r="32199">
      <c r="H32199" t="s">
        <v>5117</v>
      </c>
    </row>
    <row r="32200">
      <c r="H32200" t="s">
        <v>5117</v>
      </c>
    </row>
    <row r="32201">
      <c r="H32201" t="s">
        <v>5117</v>
      </c>
    </row>
    <row r="32202">
      <c r="H32202" t="s">
        <v>5117</v>
      </c>
    </row>
    <row r="32203">
      <c r="H32203" t="s">
        <v>5117</v>
      </c>
    </row>
    <row r="32204">
      <c r="H32204" t="s">
        <v>5117</v>
      </c>
    </row>
    <row r="32205">
      <c r="H32205" t="s">
        <v>5117</v>
      </c>
    </row>
    <row r="32206">
      <c r="H32206" t="s">
        <v>5117</v>
      </c>
    </row>
    <row r="32207">
      <c r="H32207" t="s">
        <v>5117</v>
      </c>
    </row>
    <row r="32208">
      <c r="H32208" t="s">
        <v>5117</v>
      </c>
    </row>
    <row r="32209">
      <c r="H32209" t="s">
        <v>5117</v>
      </c>
    </row>
    <row r="32210">
      <c r="H32210" t="s">
        <v>5117</v>
      </c>
    </row>
    <row r="32211">
      <c r="H32211" t="s">
        <v>5117</v>
      </c>
    </row>
    <row r="32212">
      <c r="H32212" t="s">
        <v>5117</v>
      </c>
    </row>
    <row r="32213">
      <c r="H32213" t="s">
        <v>5117</v>
      </c>
    </row>
    <row r="32214">
      <c r="H32214" t="s">
        <v>5117</v>
      </c>
    </row>
    <row r="32215">
      <c r="H32215" t="s">
        <v>5117</v>
      </c>
    </row>
    <row r="32216">
      <c r="H32216" t="s">
        <v>5117</v>
      </c>
    </row>
    <row r="32217">
      <c r="H32217" t="s">
        <v>5117</v>
      </c>
    </row>
    <row r="32218">
      <c r="H32218" t="s">
        <v>5117</v>
      </c>
    </row>
    <row r="32219">
      <c r="H32219" t="s">
        <v>5117</v>
      </c>
    </row>
    <row r="32220">
      <c r="H32220" t="s">
        <v>5117</v>
      </c>
    </row>
    <row r="32221">
      <c r="H32221" t="s">
        <v>5117</v>
      </c>
    </row>
    <row r="32222">
      <c r="H32222" t="s">
        <v>5117</v>
      </c>
    </row>
    <row r="32223">
      <c r="H32223" t="s">
        <v>5117</v>
      </c>
    </row>
    <row r="32224">
      <c r="H32224" t="s">
        <v>5117</v>
      </c>
    </row>
    <row r="32225">
      <c r="H32225" t="s">
        <v>5117</v>
      </c>
    </row>
    <row r="32226">
      <c r="H32226" t="s">
        <v>5117</v>
      </c>
    </row>
    <row r="32227">
      <c r="H32227" t="s">
        <v>5117</v>
      </c>
    </row>
    <row r="32228">
      <c r="H32228" t="s">
        <v>5117</v>
      </c>
    </row>
    <row r="32229">
      <c r="H32229" t="s">
        <v>5117</v>
      </c>
    </row>
    <row r="32230">
      <c r="H32230" t="s">
        <v>5117</v>
      </c>
    </row>
    <row r="32231">
      <c r="H32231" t="s">
        <v>5117</v>
      </c>
    </row>
    <row r="32232">
      <c r="H32232" t="s">
        <v>5117</v>
      </c>
    </row>
    <row r="32233">
      <c r="H32233" t="s">
        <v>5117</v>
      </c>
    </row>
    <row r="32234">
      <c r="H32234" t="s">
        <v>5117</v>
      </c>
    </row>
    <row r="32235">
      <c r="H32235" t="s">
        <v>5117</v>
      </c>
    </row>
    <row r="32236">
      <c r="H32236" t="s">
        <v>5117</v>
      </c>
    </row>
    <row r="32237">
      <c r="H32237" t="s">
        <v>5117</v>
      </c>
    </row>
    <row r="32238">
      <c r="H32238" t="s">
        <v>5117</v>
      </c>
    </row>
    <row r="32239">
      <c r="H32239" t="s">
        <v>5117</v>
      </c>
    </row>
    <row r="32240">
      <c r="H32240" t="s">
        <v>5117</v>
      </c>
    </row>
    <row r="32241">
      <c r="H32241" t="s">
        <v>5117</v>
      </c>
    </row>
    <row r="32242">
      <c r="H32242" t="s">
        <v>5117</v>
      </c>
    </row>
    <row r="32243">
      <c r="H32243" t="s">
        <v>5117</v>
      </c>
    </row>
    <row r="32244">
      <c r="H32244" t="s">
        <v>5117</v>
      </c>
    </row>
    <row r="32245">
      <c r="H32245" t="s">
        <v>5117</v>
      </c>
    </row>
    <row r="32246">
      <c r="H32246" t="s">
        <v>5117</v>
      </c>
    </row>
    <row r="32247">
      <c r="H32247" t="s">
        <v>5117</v>
      </c>
    </row>
    <row r="32248">
      <c r="H32248" t="s">
        <v>5117</v>
      </c>
    </row>
    <row r="32249">
      <c r="H32249" t="s">
        <v>5117</v>
      </c>
    </row>
    <row r="32250">
      <c r="H32250" t="s">
        <v>5117</v>
      </c>
    </row>
    <row r="32251">
      <c r="H32251" t="s">
        <v>5117</v>
      </c>
    </row>
    <row r="32252">
      <c r="H32252" t="s">
        <v>5117</v>
      </c>
    </row>
    <row r="32253">
      <c r="H32253" t="s">
        <v>5117</v>
      </c>
    </row>
    <row r="32254">
      <c r="H32254" t="s">
        <v>5117</v>
      </c>
    </row>
    <row r="32255">
      <c r="H32255" t="s">
        <v>5117</v>
      </c>
    </row>
    <row r="32256">
      <c r="H32256" t="s">
        <v>5117</v>
      </c>
    </row>
    <row r="32257">
      <c r="H32257" t="s">
        <v>5117</v>
      </c>
    </row>
    <row r="32258">
      <c r="H32258" t="s">
        <v>5117</v>
      </c>
    </row>
    <row r="32259">
      <c r="H32259" t="s">
        <v>5117</v>
      </c>
    </row>
    <row r="32260">
      <c r="H32260" t="s">
        <v>5117</v>
      </c>
    </row>
    <row r="32261">
      <c r="H32261" t="s">
        <v>5117</v>
      </c>
    </row>
    <row r="32262">
      <c r="H32262" t="s">
        <v>5117</v>
      </c>
    </row>
    <row r="32263">
      <c r="H32263" t="s">
        <v>5117</v>
      </c>
    </row>
    <row r="32264">
      <c r="H32264" t="s">
        <v>5117</v>
      </c>
    </row>
    <row r="32265">
      <c r="H32265" t="s">
        <v>5117</v>
      </c>
    </row>
    <row r="32266">
      <c r="H32266" t="s">
        <v>5117</v>
      </c>
    </row>
    <row r="32267">
      <c r="H32267" t="s">
        <v>5117</v>
      </c>
    </row>
    <row r="32268">
      <c r="H32268" t="s">
        <v>5117</v>
      </c>
    </row>
    <row r="32269">
      <c r="H32269" t="s">
        <v>5117</v>
      </c>
    </row>
    <row r="32270">
      <c r="H32270" t="s">
        <v>5117</v>
      </c>
    </row>
    <row r="32271">
      <c r="H32271" t="s">
        <v>5117</v>
      </c>
    </row>
    <row r="32272">
      <c r="H32272" t="s">
        <v>5117</v>
      </c>
    </row>
    <row r="32273">
      <c r="H32273" t="s">
        <v>5117</v>
      </c>
    </row>
    <row r="32274">
      <c r="H32274" t="s">
        <v>5117</v>
      </c>
    </row>
    <row r="32275">
      <c r="H32275" t="s">
        <v>5117</v>
      </c>
    </row>
    <row r="32276">
      <c r="H32276" t="s">
        <v>5117</v>
      </c>
    </row>
    <row r="32277">
      <c r="H32277" t="s">
        <v>5117</v>
      </c>
    </row>
    <row r="32278">
      <c r="H32278" t="s">
        <v>5117</v>
      </c>
    </row>
    <row r="32279">
      <c r="H32279" t="s">
        <v>5117</v>
      </c>
    </row>
    <row r="32280">
      <c r="H32280" t="s">
        <v>5117</v>
      </c>
    </row>
    <row r="32281">
      <c r="H32281" t="s">
        <v>5117</v>
      </c>
    </row>
    <row r="32282">
      <c r="H32282" t="s">
        <v>5117</v>
      </c>
    </row>
    <row r="32283">
      <c r="H32283" t="s">
        <v>5117</v>
      </c>
    </row>
    <row r="32284">
      <c r="H32284" t="s">
        <v>5117</v>
      </c>
    </row>
    <row r="32285">
      <c r="H32285" t="s">
        <v>5117</v>
      </c>
    </row>
    <row r="32286">
      <c r="H32286" t="s">
        <v>5117</v>
      </c>
    </row>
    <row r="32287">
      <c r="H32287" t="s">
        <v>5117</v>
      </c>
    </row>
    <row r="32288">
      <c r="H32288" t="s">
        <v>5117</v>
      </c>
    </row>
    <row r="32289">
      <c r="H32289" t="s">
        <v>5117</v>
      </c>
    </row>
    <row r="32290">
      <c r="H32290" t="s">
        <v>5117</v>
      </c>
    </row>
    <row r="32291">
      <c r="H32291" t="s">
        <v>5117</v>
      </c>
    </row>
    <row r="32292">
      <c r="H32292" t="s">
        <v>5117</v>
      </c>
    </row>
    <row r="32293">
      <c r="H32293" t="s">
        <v>5117</v>
      </c>
    </row>
    <row r="32294">
      <c r="H32294" t="s">
        <v>5117</v>
      </c>
    </row>
    <row r="32295">
      <c r="H32295" t="s">
        <v>5117</v>
      </c>
    </row>
    <row r="32296">
      <c r="H32296" t="s">
        <v>5117</v>
      </c>
    </row>
    <row r="32297">
      <c r="H32297" t="s">
        <v>5117</v>
      </c>
    </row>
    <row r="32298">
      <c r="H32298" t="s">
        <v>5117</v>
      </c>
    </row>
    <row r="32299">
      <c r="H32299" t="s">
        <v>5117</v>
      </c>
    </row>
    <row r="32300">
      <c r="H32300" t="s">
        <v>5117</v>
      </c>
    </row>
    <row r="32301">
      <c r="H32301" t="s">
        <v>5117</v>
      </c>
    </row>
    <row r="32302">
      <c r="H32302" t="s">
        <v>5117</v>
      </c>
    </row>
    <row r="32303">
      <c r="H32303" t="s">
        <v>5117</v>
      </c>
    </row>
    <row r="32304">
      <c r="H32304" t="s">
        <v>5117</v>
      </c>
    </row>
    <row r="32305">
      <c r="H32305" t="s">
        <v>5117</v>
      </c>
    </row>
    <row r="32306">
      <c r="H32306" t="s">
        <v>5117</v>
      </c>
    </row>
    <row r="32307">
      <c r="H32307" t="s">
        <v>5117</v>
      </c>
    </row>
    <row r="32308">
      <c r="H32308" t="s">
        <v>5117</v>
      </c>
    </row>
    <row r="32309">
      <c r="H32309" t="s">
        <v>5117</v>
      </c>
    </row>
    <row r="32310">
      <c r="H32310" t="s">
        <v>5117</v>
      </c>
    </row>
    <row r="32311">
      <c r="H32311" t="s">
        <v>5117</v>
      </c>
    </row>
    <row r="32312">
      <c r="H32312" t="s">
        <v>5117</v>
      </c>
    </row>
    <row r="32313">
      <c r="H32313" t="s">
        <v>5117</v>
      </c>
    </row>
    <row r="32314">
      <c r="H32314" t="s">
        <v>5117</v>
      </c>
    </row>
    <row r="32315">
      <c r="H32315" t="s">
        <v>5117</v>
      </c>
    </row>
    <row r="32316">
      <c r="H32316" t="s">
        <v>5117</v>
      </c>
    </row>
    <row r="32317">
      <c r="H32317" t="s">
        <v>5117</v>
      </c>
    </row>
    <row r="32318">
      <c r="H32318" t="s">
        <v>5117</v>
      </c>
    </row>
    <row r="32319">
      <c r="H32319" t="s">
        <v>5117</v>
      </c>
    </row>
    <row r="32320">
      <c r="H32320" t="s">
        <v>5117</v>
      </c>
    </row>
    <row r="32321">
      <c r="H32321" t="s">
        <v>5117</v>
      </c>
    </row>
    <row r="32322">
      <c r="H32322" t="s">
        <v>5117</v>
      </c>
    </row>
    <row r="32323">
      <c r="H32323" t="s">
        <v>5117</v>
      </c>
    </row>
    <row r="32324">
      <c r="H32324" t="s">
        <v>5117</v>
      </c>
    </row>
    <row r="32325">
      <c r="H32325" t="s">
        <v>5117</v>
      </c>
    </row>
    <row r="32326">
      <c r="H32326" t="s">
        <v>5117</v>
      </c>
    </row>
    <row r="32327">
      <c r="H32327" t="s">
        <v>5117</v>
      </c>
    </row>
    <row r="32328">
      <c r="H32328" t="s">
        <v>5117</v>
      </c>
    </row>
    <row r="32329">
      <c r="H32329" t="s">
        <v>5117</v>
      </c>
    </row>
    <row r="32330">
      <c r="H32330" t="s">
        <v>5117</v>
      </c>
    </row>
    <row r="32331">
      <c r="H32331" t="s">
        <v>5117</v>
      </c>
    </row>
    <row r="32332">
      <c r="H32332" t="s">
        <v>5117</v>
      </c>
    </row>
    <row r="32333">
      <c r="H32333" t="s">
        <v>5117</v>
      </c>
    </row>
    <row r="32334">
      <c r="H32334" t="s">
        <v>5117</v>
      </c>
    </row>
    <row r="32335">
      <c r="H32335" t="s">
        <v>5117</v>
      </c>
    </row>
    <row r="32336">
      <c r="H32336" t="s">
        <v>5117</v>
      </c>
    </row>
    <row r="32337">
      <c r="H32337" t="s">
        <v>5117</v>
      </c>
    </row>
    <row r="32338">
      <c r="H32338" t="s">
        <v>5117</v>
      </c>
    </row>
    <row r="32339">
      <c r="H32339" t="s">
        <v>5117</v>
      </c>
    </row>
    <row r="32340">
      <c r="H32340" t="s">
        <v>5117</v>
      </c>
    </row>
    <row r="32341">
      <c r="H32341" t="s">
        <v>5117</v>
      </c>
    </row>
    <row r="32342">
      <c r="H32342" t="s">
        <v>5117</v>
      </c>
    </row>
    <row r="32343">
      <c r="H32343" t="s">
        <v>5117</v>
      </c>
    </row>
    <row r="32344">
      <c r="H32344" t="s">
        <v>5117</v>
      </c>
    </row>
    <row r="32345">
      <c r="H32345" t="s">
        <v>5117</v>
      </c>
    </row>
    <row r="32346">
      <c r="H32346" t="s">
        <v>5117</v>
      </c>
    </row>
    <row r="32347">
      <c r="H32347" t="s">
        <v>5117</v>
      </c>
    </row>
    <row r="32348">
      <c r="H32348" t="s">
        <v>5117</v>
      </c>
    </row>
    <row r="32349">
      <c r="H32349" t="s">
        <v>5117</v>
      </c>
    </row>
    <row r="32350">
      <c r="H32350" t="s">
        <v>5117</v>
      </c>
    </row>
    <row r="32351">
      <c r="H32351" t="s">
        <v>5117</v>
      </c>
    </row>
    <row r="32352">
      <c r="H32352" t="s">
        <v>5117</v>
      </c>
    </row>
    <row r="32353">
      <c r="H32353" t="s">
        <v>5117</v>
      </c>
    </row>
    <row r="32354">
      <c r="H32354" t="s">
        <v>5117</v>
      </c>
    </row>
    <row r="32355">
      <c r="H32355" t="s">
        <v>5117</v>
      </c>
    </row>
    <row r="32356">
      <c r="H32356" t="s">
        <v>5117</v>
      </c>
    </row>
    <row r="32357">
      <c r="H32357" t="s">
        <v>5117</v>
      </c>
    </row>
    <row r="32358">
      <c r="H32358" t="s">
        <v>5117</v>
      </c>
    </row>
    <row r="32359">
      <c r="H32359" t="s">
        <v>5117</v>
      </c>
    </row>
    <row r="32360">
      <c r="H32360" t="s">
        <v>5117</v>
      </c>
    </row>
    <row r="32361">
      <c r="H32361" t="s">
        <v>5117</v>
      </c>
    </row>
    <row r="32362">
      <c r="H32362" t="s">
        <v>5117</v>
      </c>
    </row>
    <row r="32363">
      <c r="H32363" t="s">
        <v>5117</v>
      </c>
    </row>
    <row r="32364">
      <c r="H32364" t="s">
        <v>5117</v>
      </c>
    </row>
    <row r="32365">
      <c r="H32365" t="s">
        <v>5117</v>
      </c>
    </row>
    <row r="32366">
      <c r="H32366" t="s">
        <v>5117</v>
      </c>
    </row>
    <row r="32367">
      <c r="H32367" t="s">
        <v>5117</v>
      </c>
    </row>
    <row r="32368">
      <c r="H32368" t="s">
        <v>5117</v>
      </c>
    </row>
    <row r="32369">
      <c r="H32369" t="s">
        <v>5117</v>
      </c>
    </row>
    <row r="32370">
      <c r="H32370" t="s">
        <v>5117</v>
      </c>
    </row>
    <row r="32371">
      <c r="H32371" t="s">
        <v>5117</v>
      </c>
    </row>
    <row r="32372">
      <c r="H32372" t="s">
        <v>5117</v>
      </c>
    </row>
    <row r="32373">
      <c r="H32373" t="s">
        <v>5117</v>
      </c>
    </row>
    <row r="32374">
      <c r="H32374" t="s">
        <v>5117</v>
      </c>
    </row>
    <row r="32375">
      <c r="H32375" t="s">
        <v>5117</v>
      </c>
    </row>
    <row r="32376">
      <c r="H32376" t="s">
        <v>5117</v>
      </c>
    </row>
    <row r="32377">
      <c r="H32377" t="s">
        <v>5117</v>
      </c>
    </row>
    <row r="32378">
      <c r="H32378" t="s">
        <v>5117</v>
      </c>
    </row>
    <row r="32379">
      <c r="H32379" t="s">
        <v>5117</v>
      </c>
    </row>
    <row r="32380">
      <c r="H32380" t="s">
        <v>5117</v>
      </c>
    </row>
    <row r="32381">
      <c r="H32381" t="s">
        <v>5117</v>
      </c>
    </row>
    <row r="32382">
      <c r="H32382" t="s">
        <v>5117</v>
      </c>
    </row>
    <row r="32383">
      <c r="H32383" t="s">
        <v>5117</v>
      </c>
    </row>
    <row r="32384">
      <c r="H32384" t="s">
        <v>5117</v>
      </c>
    </row>
    <row r="32385">
      <c r="H32385" t="s">
        <v>5117</v>
      </c>
    </row>
    <row r="32386">
      <c r="H32386" t="s">
        <v>5117</v>
      </c>
    </row>
    <row r="32387">
      <c r="H32387" t="s">
        <v>5117</v>
      </c>
    </row>
    <row r="32388">
      <c r="H32388" t="s">
        <v>5117</v>
      </c>
    </row>
    <row r="32389">
      <c r="H32389" t="s">
        <v>5117</v>
      </c>
    </row>
    <row r="32390">
      <c r="H32390" t="s">
        <v>5117</v>
      </c>
    </row>
    <row r="32391">
      <c r="H32391" t="s">
        <v>5117</v>
      </c>
    </row>
    <row r="32392">
      <c r="H32392" t="s">
        <v>5117</v>
      </c>
    </row>
    <row r="32393">
      <c r="H32393" t="s">
        <v>5117</v>
      </c>
    </row>
    <row r="32394">
      <c r="H32394" t="s">
        <v>5117</v>
      </c>
    </row>
    <row r="32395">
      <c r="H32395" t="s">
        <v>5117</v>
      </c>
    </row>
    <row r="32396">
      <c r="H32396" t="s">
        <v>5117</v>
      </c>
    </row>
    <row r="32397">
      <c r="H32397" t="s">
        <v>5117</v>
      </c>
    </row>
    <row r="32398">
      <c r="H32398" t="s">
        <v>5117</v>
      </c>
    </row>
    <row r="32399">
      <c r="H32399" t="s">
        <v>5117</v>
      </c>
    </row>
    <row r="32400">
      <c r="H32400" t="s">
        <v>5117</v>
      </c>
    </row>
    <row r="32401">
      <c r="H32401" t="s">
        <v>5117</v>
      </c>
    </row>
    <row r="32402">
      <c r="H32402" t="s">
        <v>5117</v>
      </c>
    </row>
    <row r="32403">
      <c r="H32403" t="s">
        <v>5117</v>
      </c>
    </row>
    <row r="32404">
      <c r="H32404" t="s">
        <v>5117</v>
      </c>
    </row>
    <row r="32405">
      <c r="H32405" t="s">
        <v>5117</v>
      </c>
    </row>
    <row r="32406">
      <c r="H32406" t="s">
        <v>5117</v>
      </c>
    </row>
    <row r="32407">
      <c r="H32407" t="s">
        <v>5117</v>
      </c>
    </row>
    <row r="32408">
      <c r="H32408" t="s">
        <v>5117</v>
      </c>
    </row>
    <row r="32409">
      <c r="H32409" t="s">
        <v>5117</v>
      </c>
    </row>
    <row r="32410">
      <c r="H32410" t="s">
        <v>5117</v>
      </c>
    </row>
    <row r="32411">
      <c r="H32411" t="s">
        <v>5117</v>
      </c>
    </row>
    <row r="32412">
      <c r="H32412" t="s">
        <v>5117</v>
      </c>
    </row>
    <row r="32413">
      <c r="H32413" t="s">
        <v>5117</v>
      </c>
    </row>
    <row r="32414">
      <c r="H32414" t="s">
        <v>5117</v>
      </c>
    </row>
    <row r="32415">
      <c r="H32415" t="s">
        <v>5117</v>
      </c>
    </row>
    <row r="32416">
      <c r="H32416" t="s">
        <v>5117</v>
      </c>
    </row>
    <row r="32417">
      <c r="H32417" t="s">
        <v>5117</v>
      </c>
    </row>
    <row r="32418">
      <c r="H32418" t="s">
        <v>5117</v>
      </c>
    </row>
    <row r="32419">
      <c r="H32419" t="s">
        <v>5117</v>
      </c>
    </row>
    <row r="32420">
      <c r="H32420" t="s">
        <v>5117</v>
      </c>
    </row>
    <row r="32421">
      <c r="H32421" t="s">
        <v>5117</v>
      </c>
    </row>
    <row r="32422">
      <c r="H32422" t="s">
        <v>5117</v>
      </c>
    </row>
    <row r="32423">
      <c r="H32423" t="s">
        <v>5117</v>
      </c>
    </row>
    <row r="32424">
      <c r="H32424" t="s">
        <v>5117</v>
      </c>
    </row>
    <row r="32425">
      <c r="H32425" t="s">
        <v>5117</v>
      </c>
    </row>
    <row r="32426">
      <c r="H32426" t="s">
        <v>5117</v>
      </c>
    </row>
    <row r="32427">
      <c r="H32427" t="s">
        <v>5117</v>
      </c>
    </row>
    <row r="32428">
      <c r="H32428" t="s">
        <v>5117</v>
      </c>
    </row>
    <row r="32429">
      <c r="H32429" t="s">
        <v>5117</v>
      </c>
    </row>
    <row r="32430">
      <c r="H32430" t="s">
        <v>5117</v>
      </c>
    </row>
    <row r="32431">
      <c r="H32431" t="s">
        <v>5117</v>
      </c>
    </row>
    <row r="32432">
      <c r="H32432" t="s">
        <v>5117</v>
      </c>
    </row>
    <row r="32433">
      <c r="H32433" t="s">
        <v>5117</v>
      </c>
    </row>
    <row r="32434">
      <c r="H32434" t="s">
        <v>5117</v>
      </c>
    </row>
    <row r="32435">
      <c r="H32435" t="s">
        <v>5117</v>
      </c>
    </row>
    <row r="32436">
      <c r="H32436" t="s">
        <v>5117</v>
      </c>
    </row>
    <row r="32437">
      <c r="H32437" t="s">
        <v>5117</v>
      </c>
    </row>
    <row r="32438">
      <c r="H32438" t="s">
        <v>5117</v>
      </c>
    </row>
    <row r="32439">
      <c r="H32439" t="s">
        <v>5117</v>
      </c>
    </row>
    <row r="32440">
      <c r="H32440" t="s">
        <v>5117</v>
      </c>
    </row>
    <row r="32441">
      <c r="H32441" t="s">
        <v>5117</v>
      </c>
    </row>
    <row r="32442">
      <c r="H32442" t="s">
        <v>5117</v>
      </c>
    </row>
    <row r="32443">
      <c r="H32443" t="s">
        <v>5117</v>
      </c>
    </row>
    <row r="32444">
      <c r="H32444" t="s">
        <v>5117</v>
      </c>
    </row>
    <row r="32445">
      <c r="H32445" t="s">
        <v>5117</v>
      </c>
    </row>
    <row r="32446">
      <c r="H32446" t="s">
        <v>5117</v>
      </c>
    </row>
    <row r="32447">
      <c r="H32447" t="s">
        <v>5117</v>
      </c>
    </row>
    <row r="32448">
      <c r="H32448" t="s">
        <v>5117</v>
      </c>
    </row>
    <row r="32449">
      <c r="H32449" t="s">
        <v>5117</v>
      </c>
    </row>
    <row r="32450">
      <c r="H32450" t="s">
        <v>5117</v>
      </c>
    </row>
    <row r="32451">
      <c r="H32451" t="s">
        <v>5117</v>
      </c>
    </row>
    <row r="32452">
      <c r="H32452" t="s">
        <v>5117</v>
      </c>
    </row>
    <row r="32453">
      <c r="H32453" t="s">
        <v>5117</v>
      </c>
    </row>
    <row r="32454">
      <c r="H32454" t="s">
        <v>5117</v>
      </c>
    </row>
    <row r="32455">
      <c r="H32455" t="s">
        <v>5117</v>
      </c>
    </row>
    <row r="32456">
      <c r="H32456" t="s">
        <v>5117</v>
      </c>
    </row>
    <row r="32457">
      <c r="H32457" t="s">
        <v>5117</v>
      </c>
    </row>
    <row r="32458">
      <c r="H32458" t="s">
        <v>5117</v>
      </c>
    </row>
    <row r="32459">
      <c r="H32459" t="s">
        <v>5117</v>
      </c>
    </row>
    <row r="32460">
      <c r="H32460" t="s">
        <v>5117</v>
      </c>
    </row>
    <row r="32461">
      <c r="H32461" t="s">
        <v>5117</v>
      </c>
    </row>
    <row r="32462">
      <c r="H32462" t="s">
        <v>5117</v>
      </c>
    </row>
    <row r="32463">
      <c r="H32463" t="s">
        <v>5117</v>
      </c>
    </row>
    <row r="32464">
      <c r="H32464" t="s">
        <v>5117</v>
      </c>
    </row>
    <row r="32465">
      <c r="H32465" t="s">
        <v>5117</v>
      </c>
    </row>
    <row r="32466">
      <c r="H32466" t="s">
        <v>5117</v>
      </c>
    </row>
    <row r="32467">
      <c r="H32467" t="s">
        <v>5117</v>
      </c>
    </row>
    <row r="32468">
      <c r="H32468" t="s">
        <v>5117</v>
      </c>
    </row>
    <row r="32469">
      <c r="H32469" t="s">
        <v>5117</v>
      </c>
    </row>
    <row r="32470">
      <c r="H32470" t="s">
        <v>5117</v>
      </c>
    </row>
    <row r="32471">
      <c r="H32471" t="s">
        <v>5117</v>
      </c>
    </row>
    <row r="32472">
      <c r="H32472" t="s">
        <v>5117</v>
      </c>
    </row>
    <row r="32473">
      <c r="H32473" t="s">
        <v>5117</v>
      </c>
    </row>
    <row r="32474">
      <c r="H32474" t="s">
        <v>5117</v>
      </c>
    </row>
    <row r="32475">
      <c r="H32475" t="s">
        <v>5117</v>
      </c>
    </row>
    <row r="32476">
      <c r="H32476" t="s">
        <v>5117</v>
      </c>
    </row>
    <row r="32477">
      <c r="H32477" t="s">
        <v>5117</v>
      </c>
    </row>
    <row r="32478">
      <c r="H32478" t="s">
        <v>5117</v>
      </c>
    </row>
    <row r="32479">
      <c r="H32479" t="s">
        <v>5117</v>
      </c>
    </row>
    <row r="32480">
      <c r="H32480" t="s">
        <v>5117</v>
      </c>
    </row>
    <row r="32481">
      <c r="H32481" t="s">
        <v>5117</v>
      </c>
    </row>
    <row r="32482">
      <c r="H32482" t="s">
        <v>5117</v>
      </c>
    </row>
    <row r="32483">
      <c r="H32483" t="s">
        <v>5117</v>
      </c>
    </row>
    <row r="32484">
      <c r="H32484" t="s">
        <v>5117</v>
      </c>
    </row>
    <row r="32485">
      <c r="H32485" t="s">
        <v>5117</v>
      </c>
    </row>
    <row r="32486">
      <c r="H32486" t="s">
        <v>5117</v>
      </c>
    </row>
    <row r="32487">
      <c r="H32487" t="s">
        <v>5117</v>
      </c>
    </row>
    <row r="32488">
      <c r="H32488" t="s">
        <v>5117</v>
      </c>
    </row>
    <row r="32489">
      <c r="H32489" t="s">
        <v>5117</v>
      </c>
    </row>
    <row r="32490">
      <c r="H32490" t="s">
        <v>5117</v>
      </c>
    </row>
    <row r="32491">
      <c r="H32491" t="s">
        <v>5117</v>
      </c>
    </row>
    <row r="32492">
      <c r="H32492" t="s">
        <v>5117</v>
      </c>
    </row>
    <row r="32493">
      <c r="H32493" t="s">
        <v>5117</v>
      </c>
    </row>
    <row r="32494">
      <c r="H32494" t="s">
        <v>5117</v>
      </c>
    </row>
    <row r="32495">
      <c r="H32495" t="s">
        <v>5117</v>
      </c>
    </row>
    <row r="32496">
      <c r="H32496" t="s">
        <v>5117</v>
      </c>
    </row>
    <row r="32497">
      <c r="H32497" t="s">
        <v>5117</v>
      </c>
    </row>
    <row r="32498">
      <c r="H32498" t="s">
        <v>5117</v>
      </c>
    </row>
    <row r="32499">
      <c r="H32499" t="s">
        <v>5117</v>
      </c>
    </row>
    <row r="32500">
      <c r="H32500" t="s">
        <v>5117</v>
      </c>
    </row>
    <row r="32501">
      <c r="H32501" t="s">
        <v>5117</v>
      </c>
    </row>
    <row r="32502">
      <c r="H32502" t="s">
        <v>5117</v>
      </c>
    </row>
    <row r="32503">
      <c r="H32503" t="s">
        <v>5117</v>
      </c>
    </row>
    <row r="32504">
      <c r="H32504" t="s">
        <v>5117</v>
      </c>
    </row>
    <row r="32505">
      <c r="H32505" t="s">
        <v>5117</v>
      </c>
    </row>
    <row r="32506">
      <c r="H32506" t="s">
        <v>5117</v>
      </c>
    </row>
    <row r="32507">
      <c r="H32507" t="s">
        <v>5117</v>
      </c>
    </row>
    <row r="32508">
      <c r="H32508" t="s">
        <v>5117</v>
      </c>
    </row>
    <row r="32509">
      <c r="H32509" t="s">
        <v>5117</v>
      </c>
    </row>
    <row r="32510">
      <c r="H32510" t="s">
        <v>5117</v>
      </c>
    </row>
    <row r="32511">
      <c r="H32511" t="s">
        <v>5117</v>
      </c>
    </row>
    <row r="32512">
      <c r="H32512" t="s">
        <v>5117</v>
      </c>
    </row>
    <row r="32513">
      <c r="H32513" t="s">
        <v>5117</v>
      </c>
    </row>
    <row r="32514">
      <c r="H32514" t="s">
        <v>5117</v>
      </c>
    </row>
    <row r="32515">
      <c r="H32515" t="s">
        <v>5117</v>
      </c>
    </row>
    <row r="32516">
      <c r="H32516" t="s">
        <v>5117</v>
      </c>
    </row>
    <row r="32517">
      <c r="H32517" t="s">
        <v>5117</v>
      </c>
    </row>
    <row r="32518">
      <c r="H32518" t="s">
        <v>5117</v>
      </c>
    </row>
    <row r="32519">
      <c r="H32519" t="s">
        <v>5117</v>
      </c>
    </row>
    <row r="32520">
      <c r="H32520" t="s">
        <v>5117</v>
      </c>
    </row>
    <row r="32521">
      <c r="H32521" t="s">
        <v>5117</v>
      </c>
    </row>
    <row r="32522">
      <c r="H32522" t="s">
        <v>5117</v>
      </c>
    </row>
    <row r="32523">
      <c r="H32523" t="s">
        <v>5117</v>
      </c>
    </row>
    <row r="32524">
      <c r="H32524" t="s">
        <v>5117</v>
      </c>
    </row>
    <row r="32525">
      <c r="H32525" t="s">
        <v>5117</v>
      </c>
    </row>
    <row r="32526">
      <c r="H32526" t="s">
        <v>5117</v>
      </c>
    </row>
    <row r="32527">
      <c r="H32527" t="s">
        <v>5117</v>
      </c>
    </row>
    <row r="32528">
      <c r="H32528" t="s">
        <v>5117</v>
      </c>
    </row>
    <row r="32529">
      <c r="H32529" t="s">
        <v>5117</v>
      </c>
    </row>
    <row r="32530">
      <c r="H32530" t="s">
        <v>5117</v>
      </c>
    </row>
    <row r="32531">
      <c r="H32531" t="s">
        <v>5117</v>
      </c>
    </row>
    <row r="32532">
      <c r="H32532" t="s">
        <v>5117</v>
      </c>
    </row>
    <row r="32533">
      <c r="H32533" t="s">
        <v>5117</v>
      </c>
    </row>
    <row r="32534">
      <c r="H32534" t="s">
        <v>5117</v>
      </c>
    </row>
    <row r="32535">
      <c r="H32535" t="s">
        <v>5117</v>
      </c>
    </row>
    <row r="32536">
      <c r="H32536" t="s">
        <v>5117</v>
      </c>
    </row>
    <row r="32537">
      <c r="H32537" t="s">
        <v>5117</v>
      </c>
    </row>
    <row r="32538">
      <c r="H32538" t="s">
        <v>5117</v>
      </c>
    </row>
    <row r="32539">
      <c r="H32539" t="s">
        <v>5117</v>
      </c>
    </row>
    <row r="32540">
      <c r="H32540" t="s">
        <v>5117</v>
      </c>
    </row>
    <row r="32541">
      <c r="H32541" t="s">
        <v>5117</v>
      </c>
    </row>
    <row r="32542">
      <c r="H32542" t="s">
        <v>5117</v>
      </c>
    </row>
    <row r="32543">
      <c r="H32543" t="s">
        <v>5117</v>
      </c>
    </row>
    <row r="32544">
      <c r="H32544" t="s">
        <v>5117</v>
      </c>
    </row>
    <row r="32545">
      <c r="H32545" t="s">
        <v>5117</v>
      </c>
    </row>
    <row r="32546">
      <c r="H32546" t="s">
        <v>5117</v>
      </c>
    </row>
    <row r="32547">
      <c r="H32547" t="s">
        <v>5117</v>
      </c>
    </row>
    <row r="32548">
      <c r="H32548" t="s">
        <v>5117</v>
      </c>
    </row>
    <row r="32549">
      <c r="H32549" t="s">
        <v>5117</v>
      </c>
    </row>
    <row r="32550">
      <c r="H32550" t="s">
        <v>5117</v>
      </c>
    </row>
    <row r="32551">
      <c r="H32551" t="s">
        <v>5117</v>
      </c>
    </row>
    <row r="32552">
      <c r="H32552" t="s">
        <v>5117</v>
      </c>
    </row>
    <row r="32553">
      <c r="H32553" t="s">
        <v>5117</v>
      </c>
    </row>
    <row r="32554">
      <c r="H32554" t="s">
        <v>5117</v>
      </c>
    </row>
    <row r="32555">
      <c r="H32555" t="s">
        <v>5117</v>
      </c>
    </row>
    <row r="32556">
      <c r="H32556" t="s">
        <v>5117</v>
      </c>
    </row>
    <row r="32557">
      <c r="H32557" t="s">
        <v>5117</v>
      </c>
    </row>
    <row r="32558">
      <c r="H32558" t="s">
        <v>5117</v>
      </c>
    </row>
    <row r="32559">
      <c r="H32559" t="s">
        <v>5117</v>
      </c>
    </row>
    <row r="32560">
      <c r="H32560" t="s">
        <v>5117</v>
      </c>
    </row>
    <row r="32561">
      <c r="H32561" t="s">
        <v>5117</v>
      </c>
    </row>
    <row r="32562">
      <c r="H32562" t="s">
        <v>5117</v>
      </c>
    </row>
    <row r="32563">
      <c r="H32563" t="s">
        <v>5117</v>
      </c>
    </row>
    <row r="32564">
      <c r="H32564" t="s">
        <v>5117</v>
      </c>
    </row>
    <row r="32565">
      <c r="H32565" t="s">
        <v>5117</v>
      </c>
    </row>
    <row r="32566">
      <c r="H32566" t="s">
        <v>5117</v>
      </c>
    </row>
    <row r="32567">
      <c r="H32567" t="s">
        <v>5117</v>
      </c>
    </row>
    <row r="32568">
      <c r="H32568" t="s">
        <v>5117</v>
      </c>
    </row>
    <row r="32569">
      <c r="H32569" t="s">
        <v>5117</v>
      </c>
    </row>
    <row r="32570">
      <c r="H32570" t="s">
        <v>5117</v>
      </c>
    </row>
    <row r="32571">
      <c r="H32571" t="s">
        <v>5117</v>
      </c>
    </row>
    <row r="32572">
      <c r="H32572" t="s">
        <v>5117</v>
      </c>
    </row>
    <row r="32573">
      <c r="H32573" t="s">
        <v>5117</v>
      </c>
    </row>
    <row r="32574">
      <c r="H32574" t="s">
        <v>5117</v>
      </c>
    </row>
    <row r="32575">
      <c r="H32575" t="s">
        <v>5117</v>
      </c>
    </row>
    <row r="32576">
      <c r="H32576" t="s">
        <v>5117</v>
      </c>
    </row>
    <row r="32577">
      <c r="H32577" t="s">
        <v>5117</v>
      </c>
    </row>
    <row r="32578">
      <c r="H32578" t="s">
        <v>5117</v>
      </c>
    </row>
    <row r="32579">
      <c r="H32579" t="s">
        <v>5117</v>
      </c>
    </row>
    <row r="32580">
      <c r="H32580" t="s">
        <v>5117</v>
      </c>
    </row>
    <row r="32581">
      <c r="H32581" t="s">
        <v>5117</v>
      </c>
    </row>
    <row r="32582">
      <c r="H32582" t="s">
        <v>5117</v>
      </c>
    </row>
    <row r="32583">
      <c r="H32583" t="s">
        <v>5117</v>
      </c>
    </row>
    <row r="32584">
      <c r="H32584" t="s">
        <v>5117</v>
      </c>
    </row>
    <row r="32585">
      <c r="H32585" t="s">
        <v>5117</v>
      </c>
    </row>
    <row r="32586">
      <c r="H32586" t="s">
        <v>5117</v>
      </c>
    </row>
    <row r="32587">
      <c r="H32587" t="s">
        <v>5117</v>
      </c>
    </row>
    <row r="32588">
      <c r="H32588" t="s">
        <v>5117</v>
      </c>
    </row>
    <row r="32589">
      <c r="H32589" t="s">
        <v>5117</v>
      </c>
    </row>
    <row r="32590">
      <c r="H32590" t="s">
        <v>5117</v>
      </c>
    </row>
    <row r="32591">
      <c r="H32591" t="s">
        <v>5117</v>
      </c>
    </row>
    <row r="32592">
      <c r="H32592" t="s">
        <v>5117</v>
      </c>
    </row>
    <row r="32593">
      <c r="H32593" t="s">
        <v>5117</v>
      </c>
    </row>
    <row r="32594">
      <c r="H32594" t="s">
        <v>5117</v>
      </c>
    </row>
    <row r="32595">
      <c r="H32595" t="s">
        <v>5117</v>
      </c>
    </row>
    <row r="32596">
      <c r="H32596" t="s">
        <v>5117</v>
      </c>
    </row>
    <row r="32597">
      <c r="H32597" t="s">
        <v>5117</v>
      </c>
    </row>
    <row r="32598">
      <c r="H32598" t="s">
        <v>5117</v>
      </c>
    </row>
    <row r="32599">
      <c r="H32599" t="s">
        <v>5117</v>
      </c>
    </row>
    <row r="32600">
      <c r="H32600" t="s">
        <v>5117</v>
      </c>
    </row>
    <row r="32601">
      <c r="H32601" t="s">
        <v>5117</v>
      </c>
    </row>
    <row r="32602">
      <c r="H32602" t="s">
        <v>5117</v>
      </c>
    </row>
    <row r="32603">
      <c r="H32603" t="s">
        <v>5117</v>
      </c>
    </row>
    <row r="32604">
      <c r="H32604" t="s">
        <v>5117</v>
      </c>
    </row>
    <row r="32605">
      <c r="H32605" t="s">
        <v>5117</v>
      </c>
    </row>
    <row r="32606">
      <c r="H32606" t="s">
        <v>5117</v>
      </c>
    </row>
    <row r="32607">
      <c r="H32607" t="s">
        <v>5117</v>
      </c>
    </row>
    <row r="32608">
      <c r="H32608" t="s">
        <v>5117</v>
      </c>
    </row>
    <row r="32609">
      <c r="H32609" t="s">
        <v>5117</v>
      </c>
    </row>
    <row r="32610">
      <c r="H32610" t="s">
        <v>5117</v>
      </c>
    </row>
    <row r="32611">
      <c r="H32611" t="s">
        <v>5117</v>
      </c>
    </row>
    <row r="32612">
      <c r="H32612" t="s">
        <v>5117</v>
      </c>
    </row>
    <row r="32613">
      <c r="H32613" t="s">
        <v>5117</v>
      </c>
    </row>
    <row r="32614">
      <c r="H32614" t="s">
        <v>5117</v>
      </c>
    </row>
    <row r="32615">
      <c r="H32615" t="s">
        <v>5117</v>
      </c>
    </row>
    <row r="32616">
      <c r="H32616" t="s">
        <v>5117</v>
      </c>
    </row>
    <row r="32617">
      <c r="H32617" t="s">
        <v>5117</v>
      </c>
    </row>
    <row r="32618">
      <c r="H32618" t="s">
        <v>5117</v>
      </c>
    </row>
    <row r="32619">
      <c r="H32619" t="s">
        <v>5117</v>
      </c>
    </row>
    <row r="32620">
      <c r="H32620" t="s">
        <v>5117</v>
      </c>
    </row>
    <row r="32621">
      <c r="H32621" t="s">
        <v>5117</v>
      </c>
    </row>
    <row r="32622">
      <c r="H32622" t="s">
        <v>5117</v>
      </c>
    </row>
    <row r="32623">
      <c r="H32623" t="s">
        <v>5117</v>
      </c>
    </row>
    <row r="32624">
      <c r="H32624" t="s">
        <v>5117</v>
      </c>
    </row>
    <row r="32625">
      <c r="H32625" t="s">
        <v>5117</v>
      </c>
    </row>
    <row r="32626">
      <c r="H32626" t="s">
        <v>5117</v>
      </c>
    </row>
    <row r="32627">
      <c r="H32627" t="s">
        <v>5117</v>
      </c>
    </row>
    <row r="32628">
      <c r="H32628" t="s">
        <v>5117</v>
      </c>
    </row>
    <row r="32629">
      <c r="H32629" t="s">
        <v>5117</v>
      </c>
    </row>
    <row r="32630">
      <c r="H32630" t="s">
        <v>5117</v>
      </c>
    </row>
    <row r="32631">
      <c r="H32631" t="s">
        <v>5117</v>
      </c>
    </row>
    <row r="32632">
      <c r="H32632" t="s">
        <v>5117</v>
      </c>
    </row>
    <row r="32633">
      <c r="H32633" t="s">
        <v>5117</v>
      </c>
    </row>
    <row r="32634">
      <c r="H32634" t="s">
        <v>5117</v>
      </c>
    </row>
    <row r="32635">
      <c r="H32635" t="s">
        <v>5117</v>
      </c>
    </row>
    <row r="32636">
      <c r="H32636" t="s">
        <v>5117</v>
      </c>
    </row>
    <row r="32637">
      <c r="H32637" t="s">
        <v>5117</v>
      </c>
    </row>
    <row r="32638">
      <c r="H32638" t="s">
        <v>5117</v>
      </c>
    </row>
    <row r="32639">
      <c r="H32639" t="s">
        <v>5117</v>
      </c>
    </row>
    <row r="32640">
      <c r="H32640" t="s">
        <v>5117</v>
      </c>
    </row>
    <row r="32641">
      <c r="H32641" t="s">
        <v>5117</v>
      </c>
    </row>
    <row r="32642">
      <c r="H32642" t="s">
        <v>5117</v>
      </c>
    </row>
    <row r="32643">
      <c r="H32643" t="s">
        <v>5117</v>
      </c>
    </row>
    <row r="32644">
      <c r="H32644" t="s">
        <v>5117</v>
      </c>
    </row>
    <row r="32645">
      <c r="H32645" t="s">
        <v>5117</v>
      </c>
    </row>
    <row r="32646">
      <c r="H32646" t="s">
        <v>5117</v>
      </c>
    </row>
    <row r="32647">
      <c r="H32647" t="s">
        <v>5117</v>
      </c>
    </row>
    <row r="32648">
      <c r="H32648" t="s">
        <v>5117</v>
      </c>
    </row>
    <row r="32649">
      <c r="H32649" t="s">
        <v>5117</v>
      </c>
    </row>
    <row r="32650">
      <c r="H32650" t="s">
        <v>5117</v>
      </c>
    </row>
    <row r="32651">
      <c r="H32651" t="s">
        <v>5117</v>
      </c>
    </row>
    <row r="32652">
      <c r="H32652" t="s">
        <v>5117</v>
      </c>
    </row>
    <row r="32653">
      <c r="H32653" t="s">
        <v>5117</v>
      </c>
    </row>
    <row r="32654">
      <c r="H32654" t="s">
        <v>5117</v>
      </c>
    </row>
    <row r="32655">
      <c r="H32655" t="s">
        <v>5117</v>
      </c>
    </row>
    <row r="32656">
      <c r="H32656" t="s">
        <v>5117</v>
      </c>
    </row>
    <row r="32657">
      <c r="H32657" t="s">
        <v>5117</v>
      </c>
    </row>
    <row r="32658">
      <c r="H32658" t="s">
        <v>5117</v>
      </c>
    </row>
    <row r="32659">
      <c r="H32659" t="s">
        <v>5117</v>
      </c>
    </row>
    <row r="32660">
      <c r="H32660" t="s">
        <v>5117</v>
      </c>
    </row>
    <row r="32661">
      <c r="H32661" t="s">
        <v>5117</v>
      </c>
    </row>
    <row r="32662">
      <c r="H32662" t="s">
        <v>5117</v>
      </c>
    </row>
    <row r="32663">
      <c r="H32663" t="s">
        <v>5117</v>
      </c>
    </row>
    <row r="32664">
      <c r="H32664" t="s">
        <v>5117</v>
      </c>
    </row>
    <row r="32665">
      <c r="H32665" t="s">
        <v>5117</v>
      </c>
    </row>
    <row r="32666">
      <c r="H32666" t="s">
        <v>5117</v>
      </c>
    </row>
    <row r="32667">
      <c r="H32667" t="s">
        <v>5117</v>
      </c>
    </row>
    <row r="32668">
      <c r="H32668" t="s">
        <v>5117</v>
      </c>
    </row>
    <row r="32669">
      <c r="H32669" t="s">
        <v>5117</v>
      </c>
    </row>
    <row r="32670">
      <c r="H32670" t="s">
        <v>5117</v>
      </c>
    </row>
    <row r="32671">
      <c r="H32671" t="s">
        <v>5117</v>
      </c>
    </row>
    <row r="32672">
      <c r="H32672" t="s">
        <v>5117</v>
      </c>
    </row>
    <row r="32673">
      <c r="H32673" t="s">
        <v>5117</v>
      </c>
    </row>
    <row r="32674">
      <c r="H32674" t="s">
        <v>5117</v>
      </c>
    </row>
    <row r="32675">
      <c r="H32675" t="s">
        <v>5117</v>
      </c>
    </row>
    <row r="32676">
      <c r="H32676" t="s">
        <v>5117</v>
      </c>
    </row>
    <row r="32677">
      <c r="H32677" t="s">
        <v>5117</v>
      </c>
    </row>
    <row r="32678">
      <c r="H32678" t="s">
        <v>5117</v>
      </c>
    </row>
    <row r="32679">
      <c r="H32679" t="s">
        <v>5117</v>
      </c>
    </row>
    <row r="32680">
      <c r="H32680" t="s">
        <v>5117</v>
      </c>
    </row>
    <row r="32681">
      <c r="H32681" t="s">
        <v>5117</v>
      </c>
    </row>
    <row r="32682">
      <c r="H32682" t="s">
        <v>5117</v>
      </c>
    </row>
    <row r="32683">
      <c r="H32683" t="s">
        <v>5117</v>
      </c>
    </row>
    <row r="32684">
      <c r="H32684" t="s">
        <v>5117</v>
      </c>
    </row>
    <row r="32685">
      <c r="H32685" t="s">
        <v>5117</v>
      </c>
    </row>
    <row r="32686">
      <c r="H32686" t="s">
        <v>5117</v>
      </c>
    </row>
    <row r="32687">
      <c r="H32687" t="s">
        <v>5117</v>
      </c>
    </row>
    <row r="32688">
      <c r="H32688" t="s">
        <v>5117</v>
      </c>
    </row>
    <row r="32689">
      <c r="H32689" t="s">
        <v>5117</v>
      </c>
    </row>
    <row r="32690">
      <c r="H32690" t="s">
        <v>5117</v>
      </c>
    </row>
    <row r="32691">
      <c r="H32691" t="s">
        <v>5117</v>
      </c>
    </row>
    <row r="32692">
      <c r="H32692" t="s">
        <v>5117</v>
      </c>
    </row>
    <row r="32693">
      <c r="H32693" t="s">
        <v>5117</v>
      </c>
    </row>
    <row r="32694">
      <c r="H32694" t="s">
        <v>5117</v>
      </c>
    </row>
    <row r="32695">
      <c r="H32695" t="s">
        <v>5117</v>
      </c>
    </row>
    <row r="32696">
      <c r="H32696" t="s">
        <v>5117</v>
      </c>
    </row>
    <row r="32697">
      <c r="H32697" t="s">
        <v>5117</v>
      </c>
    </row>
    <row r="32698">
      <c r="H32698" t="s">
        <v>5117</v>
      </c>
    </row>
    <row r="32699">
      <c r="H32699" t="s">
        <v>5117</v>
      </c>
    </row>
    <row r="32700">
      <c r="H32700" t="s">
        <v>5117</v>
      </c>
    </row>
    <row r="32701">
      <c r="H32701" t="s">
        <v>5117</v>
      </c>
    </row>
    <row r="32702">
      <c r="H32702" t="s">
        <v>5117</v>
      </c>
    </row>
    <row r="32703">
      <c r="H32703" t="s">
        <v>5117</v>
      </c>
    </row>
    <row r="32704">
      <c r="H32704" t="s">
        <v>5117</v>
      </c>
    </row>
    <row r="32705">
      <c r="H32705" t="s">
        <v>5117</v>
      </c>
    </row>
    <row r="32706">
      <c r="H32706" t="s">
        <v>5117</v>
      </c>
    </row>
    <row r="32707">
      <c r="H32707" t="s">
        <v>5117</v>
      </c>
    </row>
    <row r="32708">
      <c r="H32708" t="s">
        <v>5117</v>
      </c>
    </row>
    <row r="32709">
      <c r="H32709" t="s">
        <v>5117</v>
      </c>
    </row>
    <row r="32710">
      <c r="H32710" t="s">
        <v>5117</v>
      </c>
    </row>
    <row r="32711">
      <c r="H32711" t="s">
        <v>5117</v>
      </c>
    </row>
    <row r="32712">
      <c r="H32712" t="s">
        <v>5117</v>
      </c>
    </row>
    <row r="32713">
      <c r="H32713" t="s">
        <v>5117</v>
      </c>
    </row>
    <row r="32714">
      <c r="H32714" t="s">
        <v>5117</v>
      </c>
    </row>
    <row r="32715">
      <c r="H32715" t="s">
        <v>5117</v>
      </c>
    </row>
    <row r="32716">
      <c r="H32716" t="s">
        <v>5117</v>
      </c>
    </row>
    <row r="32717">
      <c r="H32717" t="s">
        <v>5117</v>
      </c>
    </row>
    <row r="32718">
      <c r="H32718" t="s">
        <v>5117</v>
      </c>
    </row>
    <row r="32719">
      <c r="H32719" t="s">
        <v>5117</v>
      </c>
    </row>
    <row r="32720">
      <c r="H32720" t="s">
        <v>5117</v>
      </c>
    </row>
    <row r="32721">
      <c r="H32721" t="s">
        <v>5117</v>
      </c>
    </row>
    <row r="32722">
      <c r="H32722" t="s">
        <v>5117</v>
      </c>
    </row>
    <row r="32723">
      <c r="H32723" t="s">
        <v>5117</v>
      </c>
    </row>
    <row r="32724">
      <c r="H32724" t="s">
        <v>5117</v>
      </c>
    </row>
    <row r="32725">
      <c r="H32725" t="s">
        <v>5117</v>
      </c>
    </row>
    <row r="32726">
      <c r="H32726" t="s">
        <v>5117</v>
      </c>
    </row>
    <row r="32727">
      <c r="H32727" t="s">
        <v>5117</v>
      </c>
    </row>
    <row r="32728">
      <c r="H32728" t="s">
        <v>5117</v>
      </c>
    </row>
    <row r="32729">
      <c r="H32729" t="s">
        <v>5117</v>
      </c>
    </row>
    <row r="32730">
      <c r="H32730" t="s">
        <v>5117</v>
      </c>
    </row>
    <row r="32731">
      <c r="H32731" t="s">
        <v>5117</v>
      </c>
    </row>
    <row r="32732">
      <c r="H32732" t="s">
        <v>5117</v>
      </c>
    </row>
    <row r="32733">
      <c r="H32733" t="s">
        <v>5117</v>
      </c>
    </row>
    <row r="32734">
      <c r="H32734" t="s">
        <v>5117</v>
      </c>
    </row>
    <row r="32735">
      <c r="H32735" t="s">
        <v>5117</v>
      </c>
    </row>
    <row r="32736">
      <c r="H32736" t="s">
        <v>5117</v>
      </c>
    </row>
    <row r="32737">
      <c r="H32737" t="s">
        <v>5117</v>
      </c>
    </row>
    <row r="32738">
      <c r="H32738" t="s">
        <v>5117</v>
      </c>
    </row>
    <row r="32739">
      <c r="H32739" t="s">
        <v>5117</v>
      </c>
    </row>
    <row r="32740">
      <c r="H32740" t="s">
        <v>5117</v>
      </c>
    </row>
    <row r="32741">
      <c r="H32741" t="s">
        <v>5117</v>
      </c>
    </row>
    <row r="32742">
      <c r="H32742" t="s">
        <v>5117</v>
      </c>
    </row>
    <row r="32743">
      <c r="H32743" t="s">
        <v>5117</v>
      </c>
    </row>
    <row r="32744">
      <c r="H32744" t="s">
        <v>5117</v>
      </c>
    </row>
    <row r="32745">
      <c r="H32745" t="s">
        <v>5117</v>
      </c>
    </row>
    <row r="32746">
      <c r="H32746" t="s">
        <v>5117</v>
      </c>
    </row>
    <row r="32747">
      <c r="H32747" t="s">
        <v>5117</v>
      </c>
    </row>
    <row r="32748">
      <c r="H32748" t="s">
        <v>5117</v>
      </c>
    </row>
    <row r="32749">
      <c r="H32749" t="s">
        <v>5117</v>
      </c>
    </row>
    <row r="32750">
      <c r="H32750" t="s">
        <v>5117</v>
      </c>
    </row>
    <row r="32751">
      <c r="H32751" t="s">
        <v>5117</v>
      </c>
    </row>
    <row r="32752">
      <c r="H32752" t="s">
        <v>5117</v>
      </c>
    </row>
    <row r="32753">
      <c r="H32753" t="s">
        <v>5117</v>
      </c>
    </row>
    <row r="32754">
      <c r="H32754" t="s">
        <v>5117</v>
      </c>
    </row>
    <row r="32755">
      <c r="H32755" t="s">
        <v>5117</v>
      </c>
    </row>
    <row r="32756">
      <c r="H32756" t="s">
        <v>5117</v>
      </c>
    </row>
    <row r="32757">
      <c r="H32757" t="s">
        <v>5117</v>
      </c>
    </row>
    <row r="32758">
      <c r="H32758" t="s">
        <v>5117</v>
      </c>
    </row>
    <row r="32759">
      <c r="H32759" t="s">
        <v>5117</v>
      </c>
    </row>
    <row r="32760">
      <c r="H32760" t="s">
        <v>5117</v>
      </c>
    </row>
    <row r="32761">
      <c r="H32761" t="s">
        <v>5117</v>
      </c>
    </row>
    <row r="32762">
      <c r="H32762" t="s">
        <v>5117</v>
      </c>
    </row>
    <row r="32763">
      <c r="H32763" t="s">
        <v>5117</v>
      </c>
    </row>
    <row r="32764">
      <c r="H32764" t="s">
        <v>5117</v>
      </c>
    </row>
    <row r="32765">
      <c r="H32765" t="s">
        <v>5117</v>
      </c>
    </row>
    <row r="32766">
      <c r="H32766" t="s">
        <v>5117</v>
      </c>
    </row>
    <row r="32767">
      <c r="H32767" t="s">
        <v>5117</v>
      </c>
    </row>
    <row r="32768">
      <c r="H32768" t="s">
        <v>5117</v>
      </c>
    </row>
    <row r="32769">
      <c r="H32769" t="s">
        <v>5117</v>
      </c>
    </row>
    <row r="32770">
      <c r="H32770" t="s">
        <v>5117</v>
      </c>
    </row>
    <row r="32771">
      <c r="H32771" t="s">
        <v>5117</v>
      </c>
    </row>
    <row r="32772">
      <c r="H32772" t="s">
        <v>5117</v>
      </c>
    </row>
    <row r="32773">
      <c r="H32773" t="s">
        <v>5117</v>
      </c>
    </row>
    <row r="32774">
      <c r="H32774" t="s">
        <v>5117</v>
      </c>
    </row>
    <row r="32775">
      <c r="H32775" t="s">
        <v>5117</v>
      </c>
    </row>
    <row r="32776">
      <c r="H32776" t="s">
        <v>5117</v>
      </c>
    </row>
    <row r="32777">
      <c r="H32777" t="s">
        <v>5117</v>
      </c>
    </row>
    <row r="32778">
      <c r="H32778" t="s">
        <v>5117</v>
      </c>
    </row>
    <row r="32779">
      <c r="H32779" t="s">
        <v>5117</v>
      </c>
    </row>
    <row r="32780">
      <c r="H32780" t="s">
        <v>5117</v>
      </c>
    </row>
    <row r="32781">
      <c r="H32781" t="s">
        <v>5117</v>
      </c>
    </row>
    <row r="32782">
      <c r="H32782" t="s">
        <v>5117</v>
      </c>
    </row>
    <row r="32783">
      <c r="H32783" t="s">
        <v>5117</v>
      </c>
    </row>
    <row r="32784">
      <c r="H32784" t="s">
        <v>5117</v>
      </c>
    </row>
    <row r="32785">
      <c r="H32785" t="s">
        <v>5117</v>
      </c>
    </row>
    <row r="32786">
      <c r="H32786" t="s">
        <v>5117</v>
      </c>
    </row>
    <row r="32787">
      <c r="H32787" t="s">
        <v>5117</v>
      </c>
    </row>
    <row r="32788">
      <c r="H32788" t="s">
        <v>5117</v>
      </c>
    </row>
    <row r="32789">
      <c r="H32789" t="s">
        <v>5117</v>
      </c>
    </row>
    <row r="32790">
      <c r="H32790" t="s">
        <v>5117</v>
      </c>
    </row>
    <row r="32791">
      <c r="H32791" t="s">
        <v>5117</v>
      </c>
    </row>
    <row r="32792">
      <c r="H32792" t="s">
        <v>5117</v>
      </c>
    </row>
    <row r="32793">
      <c r="H32793" t="s">
        <v>5117</v>
      </c>
    </row>
    <row r="32794">
      <c r="H32794" t="s">
        <v>5117</v>
      </c>
    </row>
    <row r="32795">
      <c r="H32795" t="s">
        <v>5117</v>
      </c>
    </row>
    <row r="32796">
      <c r="H32796" t="s">
        <v>5117</v>
      </c>
    </row>
    <row r="32797">
      <c r="H32797" t="s">
        <v>5117</v>
      </c>
    </row>
    <row r="32798">
      <c r="H32798" t="s">
        <v>5117</v>
      </c>
    </row>
    <row r="32799">
      <c r="H32799" t="s">
        <v>5117</v>
      </c>
    </row>
    <row r="32800">
      <c r="H32800" t="s">
        <v>5117</v>
      </c>
    </row>
    <row r="32801">
      <c r="H32801" t="s">
        <v>5117</v>
      </c>
    </row>
    <row r="32802">
      <c r="H32802" t="s">
        <v>5117</v>
      </c>
    </row>
    <row r="32803">
      <c r="H32803" t="s">
        <v>5117</v>
      </c>
    </row>
    <row r="32804">
      <c r="H32804" t="s">
        <v>5117</v>
      </c>
    </row>
    <row r="32805">
      <c r="H32805" t="s">
        <v>5117</v>
      </c>
    </row>
    <row r="32806">
      <c r="H32806" t="s">
        <v>5117</v>
      </c>
    </row>
    <row r="32807">
      <c r="H32807" t="s">
        <v>5117</v>
      </c>
    </row>
    <row r="32808">
      <c r="H32808" t="s">
        <v>5117</v>
      </c>
    </row>
    <row r="32809">
      <c r="H32809" t="s">
        <v>5117</v>
      </c>
    </row>
    <row r="32810">
      <c r="H32810" t="s">
        <v>5117</v>
      </c>
    </row>
    <row r="32811">
      <c r="H32811" t="s">
        <v>5117</v>
      </c>
    </row>
    <row r="32812">
      <c r="H32812" t="s">
        <v>5117</v>
      </c>
    </row>
    <row r="32813">
      <c r="H32813" t="s">
        <v>5117</v>
      </c>
    </row>
    <row r="32814">
      <c r="H32814" t="s">
        <v>5117</v>
      </c>
    </row>
    <row r="32815">
      <c r="H32815" t="s">
        <v>5117</v>
      </c>
    </row>
    <row r="32816">
      <c r="H32816" t="s">
        <v>5117</v>
      </c>
    </row>
    <row r="32817">
      <c r="H32817" t="s">
        <v>5117</v>
      </c>
    </row>
    <row r="32818">
      <c r="H32818" t="s">
        <v>5117</v>
      </c>
    </row>
    <row r="32819">
      <c r="H32819" t="s">
        <v>5117</v>
      </c>
    </row>
    <row r="32820">
      <c r="H32820" t="s">
        <v>5117</v>
      </c>
    </row>
    <row r="32821">
      <c r="H32821" t="s">
        <v>5117</v>
      </c>
    </row>
    <row r="32822">
      <c r="H32822" t="s">
        <v>5117</v>
      </c>
    </row>
    <row r="32823">
      <c r="H32823" t="s">
        <v>5117</v>
      </c>
    </row>
    <row r="32824">
      <c r="H32824" t="s">
        <v>5117</v>
      </c>
    </row>
    <row r="32825">
      <c r="H32825" t="s">
        <v>5117</v>
      </c>
    </row>
    <row r="32826">
      <c r="H32826" t="s">
        <v>5117</v>
      </c>
    </row>
    <row r="32827">
      <c r="H32827" t="s">
        <v>5117</v>
      </c>
    </row>
    <row r="32828">
      <c r="H32828" t="s">
        <v>5117</v>
      </c>
    </row>
    <row r="32829">
      <c r="H32829" t="s">
        <v>5117</v>
      </c>
    </row>
    <row r="32830">
      <c r="H32830" t="s">
        <v>5117</v>
      </c>
    </row>
    <row r="32831">
      <c r="H32831" t="s">
        <v>5117</v>
      </c>
    </row>
    <row r="32832">
      <c r="H32832" t="s">
        <v>5117</v>
      </c>
    </row>
    <row r="32833">
      <c r="H32833" t="s">
        <v>5117</v>
      </c>
    </row>
    <row r="32834">
      <c r="H32834" t="s">
        <v>5117</v>
      </c>
    </row>
    <row r="32835">
      <c r="H32835" t="s">
        <v>5117</v>
      </c>
    </row>
    <row r="32836">
      <c r="H32836" t="s">
        <v>5117</v>
      </c>
    </row>
    <row r="32837">
      <c r="H32837" t="s">
        <v>5117</v>
      </c>
    </row>
    <row r="32838">
      <c r="H32838" t="s">
        <v>5117</v>
      </c>
    </row>
    <row r="32839">
      <c r="H32839" t="s">
        <v>5117</v>
      </c>
    </row>
    <row r="32840">
      <c r="H32840" t="s">
        <v>5117</v>
      </c>
    </row>
    <row r="32841">
      <c r="H32841" t="s">
        <v>5117</v>
      </c>
    </row>
    <row r="32842">
      <c r="H32842" t="s">
        <v>5117</v>
      </c>
    </row>
    <row r="32843">
      <c r="H32843" t="s">
        <v>5117</v>
      </c>
    </row>
    <row r="32844">
      <c r="H32844" t="s">
        <v>5117</v>
      </c>
    </row>
    <row r="32845">
      <c r="H32845" t="s">
        <v>5117</v>
      </c>
    </row>
    <row r="32846">
      <c r="H32846" t="s">
        <v>5117</v>
      </c>
    </row>
    <row r="32847">
      <c r="H32847" t="s">
        <v>5117</v>
      </c>
    </row>
    <row r="32848">
      <c r="H32848" t="s">
        <v>5117</v>
      </c>
    </row>
    <row r="32849">
      <c r="H32849" t="s">
        <v>5117</v>
      </c>
    </row>
    <row r="32850">
      <c r="H32850" t="s">
        <v>5117</v>
      </c>
    </row>
    <row r="32851">
      <c r="H32851" t="s">
        <v>5117</v>
      </c>
    </row>
    <row r="32852">
      <c r="H32852" t="s">
        <v>5117</v>
      </c>
    </row>
    <row r="32853">
      <c r="H32853" t="s">
        <v>5117</v>
      </c>
    </row>
    <row r="32854">
      <c r="H32854" t="s">
        <v>5117</v>
      </c>
    </row>
    <row r="32855">
      <c r="H32855" t="s">
        <v>5117</v>
      </c>
    </row>
    <row r="32856">
      <c r="H32856" t="s">
        <v>5117</v>
      </c>
    </row>
    <row r="32857">
      <c r="H32857" t="s">
        <v>5117</v>
      </c>
    </row>
    <row r="32858">
      <c r="H32858" t="s">
        <v>5117</v>
      </c>
    </row>
    <row r="32859">
      <c r="H32859" t="s">
        <v>5117</v>
      </c>
    </row>
    <row r="32860">
      <c r="H32860" t="s">
        <v>5117</v>
      </c>
    </row>
    <row r="32861">
      <c r="H32861" t="s">
        <v>5117</v>
      </c>
    </row>
    <row r="32862">
      <c r="H32862" t="s">
        <v>5117</v>
      </c>
    </row>
    <row r="32863">
      <c r="H32863" t="s">
        <v>5117</v>
      </c>
    </row>
    <row r="32864">
      <c r="H32864" t="s">
        <v>5117</v>
      </c>
    </row>
    <row r="32865">
      <c r="H32865" t="s">
        <v>5117</v>
      </c>
    </row>
    <row r="32866">
      <c r="H32866" t="s">
        <v>5117</v>
      </c>
    </row>
    <row r="32867">
      <c r="H32867" t="s">
        <v>5117</v>
      </c>
    </row>
    <row r="32868">
      <c r="H32868" t="s">
        <v>5117</v>
      </c>
    </row>
    <row r="32869">
      <c r="H32869" t="s">
        <v>5117</v>
      </c>
    </row>
    <row r="32870">
      <c r="H32870" t="s">
        <v>5117</v>
      </c>
    </row>
    <row r="32871">
      <c r="H32871" t="s">
        <v>5117</v>
      </c>
    </row>
    <row r="32872">
      <c r="H32872" t="s">
        <v>5117</v>
      </c>
    </row>
    <row r="32873">
      <c r="H32873" t="s">
        <v>5117</v>
      </c>
    </row>
    <row r="32874">
      <c r="H32874" t="s">
        <v>5117</v>
      </c>
    </row>
    <row r="32875">
      <c r="H32875" t="s">
        <v>5117</v>
      </c>
    </row>
    <row r="32876">
      <c r="H32876" t="s">
        <v>5117</v>
      </c>
    </row>
    <row r="32877">
      <c r="H32877" t="s">
        <v>5117</v>
      </c>
    </row>
    <row r="32878">
      <c r="H32878" t="s">
        <v>5117</v>
      </c>
    </row>
    <row r="32879">
      <c r="H32879" t="s">
        <v>5117</v>
      </c>
    </row>
    <row r="32880">
      <c r="H32880" t="s">
        <v>5117</v>
      </c>
    </row>
    <row r="32881">
      <c r="H32881" t="s">
        <v>5117</v>
      </c>
    </row>
    <row r="32882">
      <c r="H32882" t="s">
        <v>5117</v>
      </c>
    </row>
    <row r="32883">
      <c r="H32883" t="s">
        <v>5117</v>
      </c>
    </row>
    <row r="32884">
      <c r="H32884" t="s">
        <v>5117</v>
      </c>
    </row>
    <row r="32885">
      <c r="H32885" t="s">
        <v>5117</v>
      </c>
    </row>
    <row r="32886">
      <c r="H32886" t="s">
        <v>5117</v>
      </c>
    </row>
    <row r="32887">
      <c r="H32887" t="s">
        <v>5117</v>
      </c>
    </row>
    <row r="32888">
      <c r="H32888" t="s">
        <v>5117</v>
      </c>
    </row>
    <row r="32889">
      <c r="H32889" t="s">
        <v>5117</v>
      </c>
    </row>
    <row r="32890">
      <c r="H32890" t="s">
        <v>5117</v>
      </c>
    </row>
    <row r="32891">
      <c r="H32891" t="s">
        <v>5117</v>
      </c>
    </row>
    <row r="32892">
      <c r="H32892" t="s">
        <v>5117</v>
      </c>
    </row>
    <row r="32893">
      <c r="H32893" t="s">
        <v>5117</v>
      </c>
    </row>
    <row r="32894">
      <c r="H32894" t="s">
        <v>5117</v>
      </c>
    </row>
    <row r="32895">
      <c r="H32895" t="s">
        <v>5117</v>
      </c>
    </row>
    <row r="32896">
      <c r="H32896" t="s">
        <v>5117</v>
      </c>
    </row>
    <row r="32897">
      <c r="H32897" t="s">
        <v>5117</v>
      </c>
    </row>
    <row r="32898">
      <c r="H32898" t="s">
        <v>5117</v>
      </c>
    </row>
    <row r="32899">
      <c r="H32899" t="s">
        <v>5117</v>
      </c>
    </row>
    <row r="32900">
      <c r="H32900" t="s">
        <v>5117</v>
      </c>
    </row>
    <row r="32901">
      <c r="H32901" t="s">
        <v>5117</v>
      </c>
    </row>
    <row r="32902">
      <c r="H32902" t="s">
        <v>5117</v>
      </c>
    </row>
    <row r="32903">
      <c r="H32903" t="s">
        <v>5117</v>
      </c>
    </row>
    <row r="32904">
      <c r="H32904" t="s">
        <v>5117</v>
      </c>
    </row>
    <row r="32905">
      <c r="H32905" t="s">
        <v>5117</v>
      </c>
    </row>
    <row r="32906">
      <c r="H32906" t="s">
        <v>5117</v>
      </c>
    </row>
    <row r="32907">
      <c r="H32907" t="s">
        <v>5117</v>
      </c>
    </row>
    <row r="32908">
      <c r="H32908" t="s">
        <v>5117</v>
      </c>
    </row>
    <row r="32909">
      <c r="H32909" t="s">
        <v>5117</v>
      </c>
    </row>
    <row r="32910">
      <c r="H32910" t="s">
        <v>5117</v>
      </c>
    </row>
    <row r="32911">
      <c r="H32911" t="s">
        <v>5117</v>
      </c>
    </row>
    <row r="32912">
      <c r="H32912" t="s">
        <v>5117</v>
      </c>
    </row>
    <row r="32913">
      <c r="H32913" t="s">
        <v>5117</v>
      </c>
    </row>
    <row r="32914">
      <c r="H32914" t="s">
        <v>5117</v>
      </c>
    </row>
    <row r="32915">
      <c r="H32915" t="s">
        <v>5117</v>
      </c>
    </row>
    <row r="32916">
      <c r="H32916" t="s">
        <v>5117</v>
      </c>
    </row>
    <row r="32917">
      <c r="H32917" t="s">
        <v>5117</v>
      </c>
    </row>
    <row r="32918">
      <c r="H32918" t="s">
        <v>5117</v>
      </c>
    </row>
    <row r="32919">
      <c r="H32919" t="s">
        <v>5117</v>
      </c>
    </row>
    <row r="32920">
      <c r="H32920" t="s">
        <v>5117</v>
      </c>
    </row>
    <row r="32921">
      <c r="H32921" t="s">
        <v>5117</v>
      </c>
    </row>
    <row r="32922">
      <c r="H32922" t="s">
        <v>5117</v>
      </c>
    </row>
    <row r="32923">
      <c r="H32923" t="s">
        <v>5117</v>
      </c>
    </row>
    <row r="32924">
      <c r="H32924" t="s">
        <v>5117</v>
      </c>
    </row>
    <row r="32925">
      <c r="H32925" t="s">
        <v>5117</v>
      </c>
    </row>
    <row r="32926">
      <c r="H32926" t="s">
        <v>5117</v>
      </c>
    </row>
    <row r="32927">
      <c r="H32927" t="s">
        <v>5117</v>
      </c>
    </row>
    <row r="32928">
      <c r="H32928" t="s">
        <v>5117</v>
      </c>
    </row>
    <row r="32929">
      <c r="H32929" t="s">
        <v>5117</v>
      </c>
    </row>
    <row r="32930">
      <c r="H32930" t="s">
        <v>5117</v>
      </c>
    </row>
    <row r="32931">
      <c r="H32931" t="s">
        <v>5117</v>
      </c>
    </row>
    <row r="32932">
      <c r="H32932" t="s">
        <v>5117</v>
      </c>
    </row>
    <row r="32933">
      <c r="H32933" t="s">
        <v>5117</v>
      </c>
    </row>
    <row r="32934">
      <c r="H32934" t="s">
        <v>5117</v>
      </c>
    </row>
    <row r="32935">
      <c r="H32935" t="s">
        <v>5117</v>
      </c>
    </row>
    <row r="32936">
      <c r="H32936" t="s">
        <v>5117</v>
      </c>
    </row>
    <row r="32937">
      <c r="H32937" t="s">
        <v>5117</v>
      </c>
    </row>
    <row r="32938">
      <c r="H32938" t="s">
        <v>5117</v>
      </c>
    </row>
    <row r="32939">
      <c r="H32939" t="s">
        <v>5117</v>
      </c>
    </row>
    <row r="32940">
      <c r="H32940" t="s">
        <v>5117</v>
      </c>
    </row>
    <row r="32941">
      <c r="H32941" t="s">
        <v>5117</v>
      </c>
    </row>
    <row r="32942">
      <c r="H32942" t="s">
        <v>5117</v>
      </c>
    </row>
    <row r="32943">
      <c r="H32943" t="s">
        <v>5117</v>
      </c>
    </row>
    <row r="32944">
      <c r="H32944" t="s">
        <v>5117</v>
      </c>
    </row>
    <row r="32945">
      <c r="H32945" t="s">
        <v>5117</v>
      </c>
    </row>
    <row r="32946">
      <c r="H32946" t="s">
        <v>5117</v>
      </c>
    </row>
    <row r="32947">
      <c r="H32947" t="s">
        <v>5117</v>
      </c>
    </row>
    <row r="32948">
      <c r="H32948" t="s">
        <v>5117</v>
      </c>
    </row>
    <row r="32949">
      <c r="H32949" t="s">
        <v>5117</v>
      </c>
    </row>
    <row r="32950">
      <c r="H32950" t="s">
        <v>5117</v>
      </c>
    </row>
    <row r="32951">
      <c r="H32951" t="s">
        <v>5117</v>
      </c>
    </row>
    <row r="32952">
      <c r="H32952" t="s">
        <v>5117</v>
      </c>
    </row>
    <row r="32953">
      <c r="H32953" t="s">
        <v>5117</v>
      </c>
    </row>
    <row r="32954">
      <c r="H32954" t="s">
        <v>5117</v>
      </c>
    </row>
    <row r="32955">
      <c r="H32955" t="s">
        <v>5117</v>
      </c>
    </row>
    <row r="32956">
      <c r="H32956" t="s">
        <v>5117</v>
      </c>
    </row>
    <row r="32957">
      <c r="H32957" t="s">
        <v>5117</v>
      </c>
    </row>
    <row r="32958">
      <c r="H32958" t="s">
        <v>5117</v>
      </c>
    </row>
    <row r="32959">
      <c r="H32959" t="s">
        <v>5117</v>
      </c>
    </row>
    <row r="32960">
      <c r="H32960" t="s">
        <v>5117</v>
      </c>
    </row>
    <row r="32961">
      <c r="H32961" t="s">
        <v>5117</v>
      </c>
    </row>
    <row r="32962">
      <c r="H32962" t="s">
        <v>5117</v>
      </c>
    </row>
    <row r="32963">
      <c r="H32963" t="s">
        <v>5117</v>
      </c>
    </row>
    <row r="32964">
      <c r="H32964" t="s">
        <v>5117</v>
      </c>
    </row>
    <row r="32965">
      <c r="H32965" t="s">
        <v>5117</v>
      </c>
    </row>
    <row r="32966">
      <c r="H32966" t="s">
        <v>5117</v>
      </c>
    </row>
    <row r="32967">
      <c r="H32967" t="s">
        <v>5117</v>
      </c>
    </row>
    <row r="32968">
      <c r="H32968" t="s">
        <v>5117</v>
      </c>
    </row>
    <row r="32969">
      <c r="H32969" t="s">
        <v>5117</v>
      </c>
    </row>
    <row r="32970">
      <c r="H32970" t="s">
        <v>5117</v>
      </c>
    </row>
    <row r="32971">
      <c r="H32971" t="s">
        <v>5117</v>
      </c>
    </row>
    <row r="32972">
      <c r="H32972" t="s">
        <v>5117</v>
      </c>
    </row>
    <row r="32973">
      <c r="H32973" t="s">
        <v>5117</v>
      </c>
    </row>
    <row r="32974">
      <c r="H32974" t="s">
        <v>5117</v>
      </c>
    </row>
    <row r="32975">
      <c r="H32975" t="s">
        <v>5117</v>
      </c>
    </row>
    <row r="32976">
      <c r="H32976" t="s">
        <v>5117</v>
      </c>
    </row>
    <row r="32977">
      <c r="H32977" t="s">
        <v>5117</v>
      </c>
    </row>
    <row r="32978">
      <c r="H32978" t="s">
        <v>5117</v>
      </c>
    </row>
    <row r="32979">
      <c r="H32979" t="s">
        <v>5117</v>
      </c>
    </row>
    <row r="32980">
      <c r="H32980" t="s">
        <v>5117</v>
      </c>
    </row>
    <row r="32981">
      <c r="H32981" t="s">
        <v>5117</v>
      </c>
    </row>
    <row r="32982">
      <c r="H32982" t="s">
        <v>5117</v>
      </c>
    </row>
    <row r="32983">
      <c r="H32983" t="s">
        <v>5117</v>
      </c>
    </row>
    <row r="32984">
      <c r="H32984" t="s">
        <v>5117</v>
      </c>
    </row>
    <row r="32985">
      <c r="H32985" t="s">
        <v>5117</v>
      </c>
    </row>
    <row r="32986">
      <c r="H32986" t="s">
        <v>5117</v>
      </c>
    </row>
    <row r="32987">
      <c r="H32987" t="s">
        <v>5117</v>
      </c>
    </row>
    <row r="32988">
      <c r="H32988" t="s">
        <v>5117</v>
      </c>
    </row>
    <row r="32989">
      <c r="H32989" t="s">
        <v>5117</v>
      </c>
    </row>
    <row r="32990">
      <c r="H32990" t="s">
        <v>5117</v>
      </c>
    </row>
    <row r="32991">
      <c r="H32991" t="s">
        <v>5117</v>
      </c>
    </row>
    <row r="32992">
      <c r="H32992" t="s">
        <v>5117</v>
      </c>
    </row>
    <row r="32993">
      <c r="H32993" t="s">
        <v>5117</v>
      </c>
    </row>
    <row r="32994">
      <c r="H32994" t="s">
        <v>5117</v>
      </c>
    </row>
    <row r="32995">
      <c r="H32995" t="s">
        <v>5117</v>
      </c>
    </row>
    <row r="32996">
      <c r="H32996" t="s">
        <v>5117</v>
      </c>
    </row>
    <row r="32997">
      <c r="H32997" t="s">
        <v>5117</v>
      </c>
    </row>
    <row r="32998">
      <c r="H32998" t="s">
        <v>5117</v>
      </c>
    </row>
    <row r="32999">
      <c r="H32999" t="s">
        <v>5117</v>
      </c>
    </row>
    <row r="33000">
      <c r="H33000" t="s">
        <v>5117</v>
      </c>
    </row>
    <row r="33001">
      <c r="H33001" t="s">
        <v>5117</v>
      </c>
    </row>
    <row r="33002">
      <c r="H33002" t="s">
        <v>5117</v>
      </c>
    </row>
    <row r="33003">
      <c r="H33003" t="s">
        <v>5117</v>
      </c>
    </row>
    <row r="33004">
      <c r="H33004" t="s">
        <v>5117</v>
      </c>
    </row>
    <row r="33005">
      <c r="H33005" t="s">
        <v>5117</v>
      </c>
    </row>
    <row r="33006">
      <c r="H33006" t="s">
        <v>5117</v>
      </c>
    </row>
    <row r="33007">
      <c r="H33007" t="s">
        <v>5117</v>
      </c>
    </row>
    <row r="33008">
      <c r="H33008" t="s">
        <v>5117</v>
      </c>
    </row>
    <row r="33009">
      <c r="H33009" t="s">
        <v>5117</v>
      </c>
    </row>
    <row r="33010">
      <c r="H33010" t="s">
        <v>5117</v>
      </c>
    </row>
    <row r="33011">
      <c r="H33011" t="s">
        <v>5117</v>
      </c>
    </row>
    <row r="33012">
      <c r="H33012" t="s">
        <v>5117</v>
      </c>
    </row>
    <row r="33013">
      <c r="H33013" t="s">
        <v>5117</v>
      </c>
    </row>
    <row r="33014">
      <c r="H33014" t="s">
        <v>5117</v>
      </c>
    </row>
    <row r="33015">
      <c r="H33015" t="s">
        <v>5117</v>
      </c>
    </row>
    <row r="33016">
      <c r="H33016" t="s">
        <v>5117</v>
      </c>
    </row>
    <row r="33017">
      <c r="H33017" t="s">
        <v>5117</v>
      </c>
    </row>
    <row r="33018">
      <c r="H33018" t="s">
        <v>5117</v>
      </c>
    </row>
    <row r="33019">
      <c r="H33019" t="s">
        <v>5117</v>
      </c>
    </row>
    <row r="33020">
      <c r="H33020" t="s">
        <v>5117</v>
      </c>
    </row>
    <row r="33021">
      <c r="H33021" t="s">
        <v>5117</v>
      </c>
    </row>
    <row r="33022">
      <c r="H33022" t="s">
        <v>5117</v>
      </c>
    </row>
    <row r="33023">
      <c r="H33023" t="s">
        <v>5117</v>
      </c>
    </row>
    <row r="33024">
      <c r="H33024" t="s">
        <v>5117</v>
      </c>
    </row>
    <row r="33025">
      <c r="H33025" t="s">
        <v>5117</v>
      </c>
    </row>
    <row r="33026">
      <c r="H33026" t="s">
        <v>5117</v>
      </c>
    </row>
    <row r="33027">
      <c r="H33027" t="s">
        <v>5117</v>
      </c>
    </row>
    <row r="33028">
      <c r="H33028" t="s">
        <v>5117</v>
      </c>
    </row>
    <row r="33029">
      <c r="H33029" t="s">
        <v>5117</v>
      </c>
    </row>
    <row r="33030">
      <c r="H33030" t="s">
        <v>5117</v>
      </c>
    </row>
    <row r="33031">
      <c r="H33031" t="s">
        <v>5117</v>
      </c>
    </row>
    <row r="33032">
      <c r="H33032" t="s">
        <v>5117</v>
      </c>
    </row>
    <row r="33033">
      <c r="H33033" t="s">
        <v>5117</v>
      </c>
    </row>
    <row r="33034">
      <c r="H33034" t="s">
        <v>5117</v>
      </c>
    </row>
    <row r="33035">
      <c r="H33035" t="s">
        <v>5117</v>
      </c>
    </row>
    <row r="33036">
      <c r="H33036" t="s">
        <v>5117</v>
      </c>
    </row>
    <row r="33037">
      <c r="H33037" t="s">
        <v>5117</v>
      </c>
    </row>
    <row r="33038">
      <c r="H33038" t="s">
        <v>5117</v>
      </c>
    </row>
    <row r="33039">
      <c r="H33039" t="s">
        <v>5117</v>
      </c>
    </row>
    <row r="33040">
      <c r="H33040" t="s">
        <v>5117</v>
      </c>
    </row>
    <row r="33041">
      <c r="H33041" t="s">
        <v>5117</v>
      </c>
    </row>
    <row r="33042">
      <c r="H33042" t="s">
        <v>5117</v>
      </c>
    </row>
    <row r="33043">
      <c r="H33043" t="s">
        <v>5117</v>
      </c>
    </row>
    <row r="33044">
      <c r="H33044" t="s">
        <v>5117</v>
      </c>
    </row>
    <row r="33045">
      <c r="H33045" t="s">
        <v>5117</v>
      </c>
    </row>
    <row r="33046">
      <c r="H33046" t="s">
        <v>5117</v>
      </c>
    </row>
    <row r="33047">
      <c r="H33047" t="s">
        <v>5117</v>
      </c>
    </row>
    <row r="33048">
      <c r="H33048" t="s">
        <v>5117</v>
      </c>
    </row>
    <row r="33049">
      <c r="H33049" t="s">
        <v>5117</v>
      </c>
    </row>
    <row r="33050">
      <c r="H33050" t="s">
        <v>5117</v>
      </c>
    </row>
    <row r="33051">
      <c r="H33051" t="s">
        <v>5117</v>
      </c>
    </row>
    <row r="33052">
      <c r="H33052" t="s">
        <v>5117</v>
      </c>
    </row>
    <row r="33053">
      <c r="H33053" t="s">
        <v>5117</v>
      </c>
    </row>
    <row r="33054">
      <c r="H33054" t="s">
        <v>5117</v>
      </c>
    </row>
    <row r="33055">
      <c r="H33055" t="s">
        <v>5117</v>
      </c>
    </row>
    <row r="33056">
      <c r="H33056" t="s">
        <v>5117</v>
      </c>
    </row>
    <row r="33057">
      <c r="H33057" t="s">
        <v>5117</v>
      </c>
    </row>
    <row r="33058">
      <c r="H33058" t="s">
        <v>5117</v>
      </c>
    </row>
    <row r="33059">
      <c r="H33059" t="s">
        <v>5117</v>
      </c>
    </row>
    <row r="33060">
      <c r="H33060" t="s">
        <v>5117</v>
      </c>
    </row>
    <row r="33061">
      <c r="H33061" t="s">
        <v>5117</v>
      </c>
    </row>
    <row r="33062">
      <c r="H33062" t="s">
        <v>5117</v>
      </c>
    </row>
    <row r="33063">
      <c r="H33063" t="s">
        <v>5117</v>
      </c>
    </row>
    <row r="33064">
      <c r="H33064" t="s">
        <v>5117</v>
      </c>
    </row>
    <row r="33065">
      <c r="H33065" t="s">
        <v>5117</v>
      </c>
    </row>
    <row r="33066">
      <c r="H33066" t="s">
        <v>5117</v>
      </c>
    </row>
    <row r="33067">
      <c r="H33067" t="s">
        <v>5117</v>
      </c>
    </row>
    <row r="33068">
      <c r="H33068" t="s">
        <v>5117</v>
      </c>
    </row>
    <row r="33069">
      <c r="H33069" t="s">
        <v>5117</v>
      </c>
    </row>
    <row r="33070">
      <c r="H33070" t="s">
        <v>5117</v>
      </c>
    </row>
    <row r="33071">
      <c r="H33071" t="s">
        <v>5117</v>
      </c>
    </row>
    <row r="33072">
      <c r="H33072" t="s">
        <v>5117</v>
      </c>
    </row>
    <row r="33073">
      <c r="H33073" t="s">
        <v>5117</v>
      </c>
    </row>
    <row r="33074">
      <c r="H33074" t="s">
        <v>5117</v>
      </c>
    </row>
    <row r="33075">
      <c r="H33075" t="s">
        <v>5117</v>
      </c>
    </row>
    <row r="33076">
      <c r="H33076" t="s">
        <v>5117</v>
      </c>
    </row>
    <row r="33077">
      <c r="H33077" t="s">
        <v>5117</v>
      </c>
    </row>
    <row r="33078">
      <c r="H33078" t="s">
        <v>5117</v>
      </c>
    </row>
    <row r="33079">
      <c r="H33079" t="s">
        <v>5117</v>
      </c>
    </row>
    <row r="33080">
      <c r="H33080" t="s">
        <v>5117</v>
      </c>
    </row>
    <row r="33081">
      <c r="H33081" t="s">
        <v>5117</v>
      </c>
    </row>
    <row r="33082">
      <c r="H33082" t="s">
        <v>5117</v>
      </c>
    </row>
    <row r="33083">
      <c r="H33083" t="s">
        <v>5117</v>
      </c>
    </row>
    <row r="33084">
      <c r="H33084" t="s">
        <v>5117</v>
      </c>
    </row>
    <row r="33085">
      <c r="H33085" t="s">
        <v>5117</v>
      </c>
    </row>
    <row r="33086">
      <c r="H33086" t="s">
        <v>5117</v>
      </c>
    </row>
    <row r="33087">
      <c r="H33087" t="s">
        <v>5117</v>
      </c>
    </row>
    <row r="33088">
      <c r="H33088" t="s">
        <v>5117</v>
      </c>
    </row>
    <row r="33089">
      <c r="H33089" t="s">
        <v>5117</v>
      </c>
    </row>
    <row r="33090">
      <c r="H33090" t="s">
        <v>5117</v>
      </c>
    </row>
    <row r="33091">
      <c r="H33091" t="s">
        <v>5117</v>
      </c>
    </row>
    <row r="33092">
      <c r="H33092" t="s">
        <v>5117</v>
      </c>
    </row>
    <row r="33093">
      <c r="H33093" t="s">
        <v>5117</v>
      </c>
    </row>
    <row r="33094">
      <c r="H33094" t="s">
        <v>5117</v>
      </c>
    </row>
    <row r="33095">
      <c r="H33095" t="s">
        <v>5117</v>
      </c>
    </row>
    <row r="33096">
      <c r="H33096" t="s">
        <v>5117</v>
      </c>
    </row>
    <row r="33097">
      <c r="H33097" t="s">
        <v>5117</v>
      </c>
    </row>
    <row r="33098">
      <c r="H33098" t="s">
        <v>5117</v>
      </c>
    </row>
    <row r="33099">
      <c r="H33099" t="s">
        <v>5117</v>
      </c>
    </row>
    <row r="33100">
      <c r="H33100" t="s">
        <v>5117</v>
      </c>
    </row>
    <row r="33101">
      <c r="H33101" t="s">
        <v>5117</v>
      </c>
    </row>
    <row r="33102">
      <c r="H33102" t="s">
        <v>5117</v>
      </c>
    </row>
    <row r="33103">
      <c r="H33103" t="s">
        <v>5117</v>
      </c>
    </row>
    <row r="33104">
      <c r="H33104" t="s">
        <v>5117</v>
      </c>
    </row>
    <row r="33105">
      <c r="H33105" t="s">
        <v>5117</v>
      </c>
    </row>
    <row r="33106">
      <c r="H33106" t="s">
        <v>5117</v>
      </c>
    </row>
    <row r="33107">
      <c r="H33107" t="s">
        <v>5117</v>
      </c>
    </row>
    <row r="33108">
      <c r="H33108" t="s">
        <v>5117</v>
      </c>
    </row>
    <row r="33109">
      <c r="H33109" t="s">
        <v>5117</v>
      </c>
    </row>
    <row r="33110">
      <c r="H33110" t="s">
        <v>5117</v>
      </c>
    </row>
    <row r="33111">
      <c r="H33111" t="s">
        <v>5117</v>
      </c>
    </row>
    <row r="33112">
      <c r="H33112" t="s">
        <v>5117</v>
      </c>
    </row>
    <row r="33113">
      <c r="H33113" t="s">
        <v>5117</v>
      </c>
    </row>
    <row r="33114">
      <c r="H33114" t="s">
        <v>5117</v>
      </c>
    </row>
    <row r="33115">
      <c r="H33115" t="s">
        <v>5117</v>
      </c>
    </row>
    <row r="33116">
      <c r="H33116" t="s">
        <v>5117</v>
      </c>
    </row>
    <row r="33117">
      <c r="H33117" t="s">
        <v>5117</v>
      </c>
    </row>
    <row r="33118">
      <c r="H33118" t="s">
        <v>5117</v>
      </c>
    </row>
    <row r="33119">
      <c r="H33119" t="s">
        <v>5117</v>
      </c>
    </row>
    <row r="33120">
      <c r="H33120" t="s">
        <v>5117</v>
      </c>
    </row>
    <row r="33121">
      <c r="H33121" t="s">
        <v>5117</v>
      </c>
    </row>
    <row r="33122">
      <c r="H33122" t="s">
        <v>5117</v>
      </c>
    </row>
    <row r="33123">
      <c r="H33123" t="s">
        <v>5117</v>
      </c>
    </row>
    <row r="33124">
      <c r="H33124" t="s">
        <v>5117</v>
      </c>
    </row>
    <row r="33125">
      <c r="H33125" t="s">
        <v>5117</v>
      </c>
    </row>
    <row r="33126">
      <c r="H33126" t="s">
        <v>5117</v>
      </c>
    </row>
    <row r="33127">
      <c r="H33127" t="s">
        <v>5117</v>
      </c>
    </row>
    <row r="33128">
      <c r="H33128" t="s">
        <v>5117</v>
      </c>
    </row>
    <row r="33129">
      <c r="H33129" t="s">
        <v>5117</v>
      </c>
    </row>
    <row r="33130">
      <c r="H33130" t="s">
        <v>5117</v>
      </c>
    </row>
    <row r="33131">
      <c r="H33131" t="s">
        <v>5117</v>
      </c>
    </row>
    <row r="33132">
      <c r="H33132" t="s">
        <v>5117</v>
      </c>
    </row>
    <row r="33133">
      <c r="H33133" t="s">
        <v>5117</v>
      </c>
    </row>
    <row r="33134">
      <c r="H33134" t="s">
        <v>5117</v>
      </c>
    </row>
    <row r="33135">
      <c r="H33135" t="s">
        <v>5117</v>
      </c>
    </row>
    <row r="33136">
      <c r="H33136" t="s">
        <v>5117</v>
      </c>
    </row>
    <row r="33137">
      <c r="H33137" t="s">
        <v>5117</v>
      </c>
    </row>
    <row r="33138">
      <c r="H33138" t="s">
        <v>5117</v>
      </c>
    </row>
    <row r="33139">
      <c r="H33139" t="s">
        <v>5117</v>
      </c>
    </row>
    <row r="33140">
      <c r="H33140" t="s">
        <v>5117</v>
      </c>
    </row>
    <row r="33141">
      <c r="H33141" t="s">
        <v>5117</v>
      </c>
    </row>
    <row r="33142">
      <c r="H33142" t="s">
        <v>5117</v>
      </c>
    </row>
    <row r="33143">
      <c r="H33143" t="s">
        <v>5117</v>
      </c>
    </row>
    <row r="33144">
      <c r="H33144" t="s">
        <v>5117</v>
      </c>
    </row>
    <row r="33145">
      <c r="H33145" t="s">
        <v>5117</v>
      </c>
    </row>
    <row r="33146">
      <c r="H33146" t="s">
        <v>5117</v>
      </c>
    </row>
    <row r="33147">
      <c r="H33147" t="s">
        <v>5117</v>
      </c>
    </row>
    <row r="33148">
      <c r="H33148" t="s">
        <v>5117</v>
      </c>
    </row>
    <row r="33149">
      <c r="H33149" t="s">
        <v>5117</v>
      </c>
    </row>
    <row r="33150">
      <c r="H33150" t="s">
        <v>5117</v>
      </c>
    </row>
    <row r="33151">
      <c r="H33151" t="s">
        <v>5117</v>
      </c>
    </row>
    <row r="33152">
      <c r="H33152" t="s">
        <v>5117</v>
      </c>
    </row>
    <row r="33153">
      <c r="H33153" t="s">
        <v>5117</v>
      </c>
    </row>
    <row r="33154">
      <c r="H33154" t="s">
        <v>5117</v>
      </c>
    </row>
    <row r="33155">
      <c r="H33155" t="s">
        <v>5117</v>
      </c>
    </row>
    <row r="33156">
      <c r="H33156" t="s">
        <v>5117</v>
      </c>
    </row>
    <row r="33157">
      <c r="H33157" t="s">
        <v>5117</v>
      </c>
    </row>
    <row r="33158">
      <c r="H33158" t="s">
        <v>5117</v>
      </c>
    </row>
    <row r="33159">
      <c r="H33159" t="s">
        <v>5117</v>
      </c>
    </row>
    <row r="33160">
      <c r="H33160" t="s">
        <v>5117</v>
      </c>
    </row>
    <row r="33161">
      <c r="H33161" t="s">
        <v>5117</v>
      </c>
    </row>
    <row r="33162">
      <c r="H33162" t="s">
        <v>5117</v>
      </c>
    </row>
    <row r="33163">
      <c r="H33163" t="s">
        <v>5117</v>
      </c>
    </row>
    <row r="33164">
      <c r="H33164" t="s">
        <v>5117</v>
      </c>
    </row>
    <row r="33165">
      <c r="H33165" t="s">
        <v>5117</v>
      </c>
    </row>
    <row r="33166">
      <c r="H33166" t="s">
        <v>5117</v>
      </c>
    </row>
    <row r="33167">
      <c r="H33167" t="s">
        <v>5117</v>
      </c>
    </row>
    <row r="33168">
      <c r="H33168" t="s">
        <v>5117</v>
      </c>
    </row>
    <row r="33169">
      <c r="H33169" t="s">
        <v>5117</v>
      </c>
    </row>
    <row r="33170">
      <c r="H33170" t="s">
        <v>5117</v>
      </c>
    </row>
    <row r="33171">
      <c r="H33171" t="s">
        <v>5117</v>
      </c>
    </row>
    <row r="33172">
      <c r="H33172" t="s">
        <v>5117</v>
      </c>
    </row>
    <row r="33173">
      <c r="H33173" t="s">
        <v>5117</v>
      </c>
    </row>
    <row r="33174">
      <c r="H33174" t="s">
        <v>5117</v>
      </c>
    </row>
    <row r="33175">
      <c r="H33175" t="s">
        <v>5117</v>
      </c>
    </row>
    <row r="33176">
      <c r="H33176" t="s">
        <v>5117</v>
      </c>
    </row>
    <row r="33177">
      <c r="H33177" t="s">
        <v>5117</v>
      </c>
    </row>
    <row r="33178">
      <c r="H33178" t="s">
        <v>5117</v>
      </c>
    </row>
    <row r="33179">
      <c r="H33179" t="s">
        <v>5117</v>
      </c>
    </row>
    <row r="33180">
      <c r="H33180" t="s">
        <v>5117</v>
      </c>
    </row>
    <row r="33181">
      <c r="H33181" t="s">
        <v>5117</v>
      </c>
    </row>
    <row r="33182">
      <c r="H33182" t="s">
        <v>5117</v>
      </c>
    </row>
    <row r="33183">
      <c r="H33183" t="s">
        <v>5117</v>
      </c>
    </row>
    <row r="33184">
      <c r="H33184" t="s">
        <v>5117</v>
      </c>
    </row>
    <row r="33185">
      <c r="H33185" t="s">
        <v>5117</v>
      </c>
    </row>
    <row r="33186">
      <c r="H33186" t="s">
        <v>5117</v>
      </c>
    </row>
    <row r="33187">
      <c r="H33187" t="s">
        <v>5117</v>
      </c>
    </row>
    <row r="33188">
      <c r="H33188" t="s">
        <v>5117</v>
      </c>
    </row>
    <row r="33189">
      <c r="H33189" t="s">
        <v>5117</v>
      </c>
    </row>
    <row r="33190">
      <c r="H33190" t="s">
        <v>5117</v>
      </c>
    </row>
    <row r="33191">
      <c r="H33191" t="s">
        <v>5117</v>
      </c>
    </row>
    <row r="33192">
      <c r="H33192" t="s">
        <v>5117</v>
      </c>
    </row>
    <row r="33193">
      <c r="H33193" t="s">
        <v>5117</v>
      </c>
    </row>
    <row r="33194">
      <c r="H33194" t="s">
        <v>5117</v>
      </c>
    </row>
    <row r="33195">
      <c r="H33195" t="s">
        <v>5117</v>
      </c>
    </row>
    <row r="33196">
      <c r="H33196" t="s">
        <v>5117</v>
      </c>
    </row>
    <row r="33197">
      <c r="H33197" t="s">
        <v>5117</v>
      </c>
    </row>
    <row r="33198">
      <c r="H33198" t="s">
        <v>5117</v>
      </c>
    </row>
    <row r="33199">
      <c r="H33199" t="s">
        <v>5117</v>
      </c>
    </row>
    <row r="33200">
      <c r="H33200" t="s">
        <v>5117</v>
      </c>
    </row>
    <row r="33201">
      <c r="H33201" t="s">
        <v>5117</v>
      </c>
    </row>
    <row r="33202">
      <c r="H33202" t="s">
        <v>5117</v>
      </c>
    </row>
    <row r="33203">
      <c r="H33203" t="s">
        <v>5117</v>
      </c>
    </row>
    <row r="33204">
      <c r="H33204" t="s">
        <v>5117</v>
      </c>
    </row>
    <row r="33205">
      <c r="H33205" t="s">
        <v>5117</v>
      </c>
    </row>
    <row r="33206">
      <c r="H33206" t="s">
        <v>5117</v>
      </c>
    </row>
    <row r="33207">
      <c r="H33207" t="s">
        <v>5117</v>
      </c>
    </row>
    <row r="33208">
      <c r="H33208" t="s">
        <v>5117</v>
      </c>
    </row>
    <row r="33209">
      <c r="H33209" t="s">
        <v>5117</v>
      </c>
    </row>
    <row r="33210">
      <c r="H33210" t="s">
        <v>5117</v>
      </c>
    </row>
    <row r="33211">
      <c r="H33211" t="s">
        <v>5117</v>
      </c>
    </row>
    <row r="33212">
      <c r="H33212" t="s">
        <v>5117</v>
      </c>
    </row>
    <row r="33213">
      <c r="H33213" t="s">
        <v>5117</v>
      </c>
    </row>
    <row r="33214">
      <c r="H33214" t="s">
        <v>5117</v>
      </c>
    </row>
    <row r="33215">
      <c r="H33215" t="s">
        <v>5117</v>
      </c>
    </row>
    <row r="33216">
      <c r="H33216" t="s">
        <v>5117</v>
      </c>
    </row>
    <row r="33217">
      <c r="H33217" t="s">
        <v>5117</v>
      </c>
    </row>
    <row r="33218">
      <c r="H33218" t="s">
        <v>5117</v>
      </c>
    </row>
    <row r="33219">
      <c r="H33219" t="s">
        <v>5117</v>
      </c>
    </row>
    <row r="33220">
      <c r="H33220" t="s">
        <v>5117</v>
      </c>
    </row>
    <row r="33221">
      <c r="H33221" t="s">
        <v>5117</v>
      </c>
    </row>
    <row r="33222">
      <c r="H33222" t="s">
        <v>5117</v>
      </c>
    </row>
    <row r="33223">
      <c r="H33223" t="s">
        <v>5117</v>
      </c>
    </row>
    <row r="33224">
      <c r="H33224" t="s">
        <v>5117</v>
      </c>
    </row>
    <row r="33225">
      <c r="H33225" t="s">
        <v>5117</v>
      </c>
    </row>
    <row r="33226">
      <c r="H33226" t="s">
        <v>5117</v>
      </c>
    </row>
    <row r="33227">
      <c r="H33227" t="s">
        <v>5117</v>
      </c>
    </row>
    <row r="33228">
      <c r="H33228" t="s">
        <v>5117</v>
      </c>
    </row>
    <row r="33229">
      <c r="H33229" t="s">
        <v>5117</v>
      </c>
    </row>
    <row r="33230">
      <c r="H33230" t="s">
        <v>5117</v>
      </c>
    </row>
    <row r="33231">
      <c r="H33231" t="s">
        <v>5117</v>
      </c>
    </row>
    <row r="33232">
      <c r="H33232" t="s">
        <v>5117</v>
      </c>
    </row>
    <row r="33233">
      <c r="H33233" t="s">
        <v>5117</v>
      </c>
    </row>
    <row r="33234">
      <c r="H33234" t="s">
        <v>5117</v>
      </c>
    </row>
    <row r="33235">
      <c r="H33235" t="s">
        <v>5117</v>
      </c>
    </row>
    <row r="33236">
      <c r="H33236" t="s">
        <v>5117</v>
      </c>
    </row>
    <row r="33237">
      <c r="H33237" t="s">
        <v>5117</v>
      </c>
    </row>
    <row r="33238">
      <c r="H33238" t="s">
        <v>5117</v>
      </c>
    </row>
    <row r="33239">
      <c r="H33239" t="s">
        <v>5117</v>
      </c>
    </row>
    <row r="33240">
      <c r="H33240" t="s">
        <v>5117</v>
      </c>
    </row>
    <row r="33241">
      <c r="H33241" t="s">
        <v>5117</v>
      </c>
    </row>
    <row r="33242">
      <c r="H33242" t="s">
        <v>5117</v>
      </c>
    </row>
    <row r="33243">
      <c r="H33243" t="s">
        <v>5117</v>
      </c>
    </row>
    <row r="33244">
      <c r="H33244" t="s">
        <v>5117</v>
      </c>
    </row>
    <row r="33245">
      <c r="H33245" t="s">
        <v>5117</v>
      </c>
    </row>
    <row r="33246">
      <c r="H33246" t="s">
        <v>5117</v>
      </c>
    </row>
    <row r="33247">
      <c r="H33247" t="s">
        <v>5117</v>
      </c>
    </row>
    <row r="33248">
      <c r="H33248" t="s">
        <v>5117</v>
      </c>
    </row>
    <row r="33249">
      <c r="H33249" t="s">
        <v>5117</v>
      </c>
    </row>
    <row r="33250">
      <c r="H33250" t="s">
        <v>5117</v>
      </c>
    </row>
    <row r="33251">
      <c r="H33251" t="s">
        <v>5117</v>
      </c>
    </row>
    <row r="33252">
      <c r="H33252" t="s">
        <v>5117</v>
      </c>
    </row>
    <row r="33253">
      <c r="H33253" t="s">
        <v>5117</v>
      </c>
    </row>
    <row r="33254">
      <c r="H33254" t="s">
        <v>5117</v>
      </c>
    </row>
    <row r="33255">
      <c r="H33255" t="s">
        <v>5117</v>
      </c>
    </row>
    <row r="33256">
      <c r="H33256" t="s">
        <v>5117</v>
      </c>
    </row>
    <row r="33257">
      <c r="H33257" t="s">
        <v>5117</v>
      </c>
    </row>
    <row r="33258">
      <c r="H33258" t="s">
        <v>5117</v>
      </c>
    </row>
    <row r="33259">
      <c r="H33259" t="s">
        <v>5117</v>
      </c>
    </row>
    <row r="33260">
      <c r="H33260" t="s">
        <v>5117</v>
      </c>
    </row>
    <row r="33261">
      <c r="H33261" t="s">
        <v>5117</v>
      </c>
    </row>
    <row r="33262">
      <c r="H33262" t="s">
        <v>5117</v>
      </c>
    </row>
    <row r="33263">
      <c r="H33263" t="s">
        <v>5117</v>
      </c>
    </row>
    <row r="33264">
      <c r="H33264" t="s">
        <v>5117</v>
      </c>
    </row>
    <row r="33265">
      <c r="H33265" t="s">
        <v>5117</v>
      </c>
    </row>
    <row r="33266">
      <c r="H33266" t="s">
        <v>5117</v>
      </c>
    </row>
    <row r="33267">
      <c r="H33267" t="s">
        <v>5117</v>
      </c>
    </row>
    <row r="33268">
      <c r="H33268" t="s">
        <v>5117</v>
      </c>
    </row>
    <row r="33269">
      <c r="H33269" t="s">
        <v>5117</v>
      </c>
    </row>
    <row r="33270">
      <c r="H33270" t="s">
        <v>5117</v>
      </c>
    </row>
    <row r="33271">
      <c r="H33271" t="s">
        <v>5117</v>
      </c>
    </row>
    <row r="33272">
      <c r="H33272" t="s">
        <v>5117</v>
      </c>
    </row>
    <row r="33273">
      <c r="H33273" t="s">
        <v>5117</v>
      </c>
    </row>
    <row r="33274">
      <c r="H33274" t="s">
        <v>5117</v>
      </c>
    </row>
    <row r="33275">
      <c r="H33275" t="s">
        <v>5117</v>
      </c>
    </row>
    <row r="33276">
      <c r="H33276" t="s">
        <v>5117</v>
      </c>
    </row>
    <row r="33277">
      <c r="H33277" t="s">
        <v>5117</v>
      </c>
    </row>
    <row r="33278">
      <c r="H33278" t="s">
        <v>5117</v>
      </c>
    </row>
    <row r="33279">
      <c r="H33279" t="s">
        <v>5117</v>
      </c>
    </row>
    <row r="33280">
      <c r="H33280" t="s">
        <v>5117</v>
      </c>
    </row>
    <row r="33281">
      <c r="H33281" t="s">
        <v>5117</v>
      </c>
    </row>
    <row r="33282">
      <c r="H33282" t="s">
        <v>5117</v>
      </c>
    </row>
    <row r="33283">
      <c r="H33283" t="s">
        <v>5117</v>
      </c>
    </row>
    <row r="33284">
      <c r="H33284" t="s">
        <v>5117</v>
      </c>
    </row>
    <row r="33285">
      <c r="H33285" t="s">
        <v>5117</v>
      </c>
    </row>
    <row r="33286">
      <c r="H33286" t="s">
        <v>5117</v>
      </c>
    </row>
    <row r="33287">
      <c r="H33287" t="s">
        <v>5117</v>
      </c>
    </row>
    <row r="33288">
      <c r="H33288" t="s">
        <v>5117</v>
      </c>
    </row>
    <row r="33289">
      <c r="H33289" t="s">
        <v>5117</v>
      </c>
    </row>
    <row r="33290">
      <c r="H33290" t="s">
        <v>5117</v>
      </c>
    </row>
    <row r="33291">
      <c r="H33291" t="s">
        <v>5117</v>
      </c>
    </row>
    <row r="33292">
      <c r="H33292" t="s">
        <v>5117</v>
      </c>
    </row>
    <row r="33293">
      <c r="H33293" t="s">
        <v>5117</v>
      </c>
    </row>
    <row r="33294">
      <c r="H33294" t="s">
        <v>5117</v>
      </c>
    </row>
    <row r="33295">
      <c r="H33295" t="s">
        <v>5117</v>
      </c>
    </row>
    <row r="33296">
      <c r="H33296" t="s">
        <v>5117</v>
      </c>
    </row>
    <row r="33297">
      <c r="H33297" t="s">
        <v>5117</v>
      </c>
    </row>
    <row r="33298">
      <c r="H33298" t="s">
        <v>5117</v>
      </c>
    </row>
    <row r="33299">
      <c r="H33299" t="s">
        <v>5117</v>
      </c>
    </row>
    <row r="33300">
      <c r="H33300" t="s">
        <v>5117</v>
      </c>
    </row>
    <row r="33301">
      <c r="H33301" t="s">
        <v>5117</v>
      </c>
    </row>
    <row r="33302">
      <c r="H33302" t="s">
        <v>5117</v>
      </c>
    </row>
    <row r="33303">
      <c r="H33303" t="s">
        <v>5117</v>
      </c>
    </row>
    <row r="33304">
      <c r="H33304" t="s">
        <v>5117</v>
      </c>
    </row>
    <row r="33305">
      <c r="H33305" t="s">
        <v>5117</v>
      </c>
    </row>
    <row r="33306">
      <c r="H33306" t="s">
        <v>5117</v>
      </c>
    </row>
    <row r="33307">
      <c r="H33307" t="s">
        <v>5117</v>
      </c>
    </row>
    <row r="33308">
      <c r="H33308" t="s">
        <v>5117</v>
      </c>
    </row>
    <row r="33309">
      <c r="H33309" t="s">
        <v>5117</v>
      </c>
    </row>
    <row r="33310">
      <c r="H33310" t="s">
        <v>5117</v>
      </c>
    </row>
    <row r="33311">
      <c r="H33311" t="s">
        <v>5117</v>
      </c>
    </row>
    <row r="33312">
      <c r="H33312" t="s">
        <v>5117</v>
      </c>
    </row>
    <row r="33313">
      <c r="H33313" t="s">
        <v>5117</v>
      </c>
    </row>
    <row r="33314">
      <c r="H33314" t="s">
        <v>5117</v>
      </c>
    </row>
    <row r="33315">
      <c r="H33315" t="s">
        <v>5117</v>
      </c>
    </row>
    <row r="33316">
      <c r="H33316" t="s">
        <v>5117</v>
      </c>
    </row>
    <row r="33317">
      <c r="H33317" t="s">
        <v>5117</v>
      </c>
    </row>
    <row r="33318">
      <c r="H33318" t="s">
        <v>5117</v>
      </c>
    </row>
    <row r="33319">
      <c r="H33319" t="s">
        <v>5117</v>
      </c>
    </row>
    <row r="33320">
      <c r="H33320" t="s">
        <v>5117</v>
      </c>
    </row>
    <row r="33321">
      <c r="H33321" t="s">
        <v>5117</v>
      </c>
    </row>
    <row r="33322">
      <c r="H33322" t="s">
        <v>5117</v>
      </c>
    </row>
    <row r="33323">
      <c r="H33323" t="s">
        <v>5117</v>
      </c>
    </row>
    <row r="33324">
      <c r="H33324" t="s">
        <v>5117</v>
      </c>
    </row>
    <row r="33325">
      <c r="H33325" t="s">
        <v>5117</v>
      </c>
    </row>
    <row r="33326">
      <c r="H33326" t="s">
        <v>5117</v>
      </c>
    </row>
    <row r="33327">
      <c r="H33327" t="s">
        <v>5117</v>
      </c>
    </row>
    <row r="33328">
      <c r="H33328" t="s">
        <v>5117</v>
      </c>
    </row>
    <row r="33329">
      <c r="H33329" t="s">
        <v>5117</v>
      </c>
    </row>
    <row r="33330">
      <c r="H33330" t="s">
        <v>5117</v>
      </c>
    </row>
    <row r="33331">
      <c r="H33331" t="s">
        <v>5117</v>
      </c>
    </row>
    <row r="33332">
      <c r="H33332" t="s">
        <v>5117</v>
      </c>
    </row>
    <row r="33333">
      <c r="H33333" t="s">
        <v>5117</v>
      </c>
    </row>
    <row r="33334">
      <c r="H33334" t="s">
        <v>5117</v>
      </c>
    </row>
    <row r="33335">
      <c r="H33335" t="s">
        <v>5117</v>
      </c>
    </row>
    <row r="33336">
      <c r="H33336" t="s">
        <v>5117</v>
      </c>
    </row>
    <row r="33337">
      <c r="H33337" t="s">
        <v>5117</v>
      </c>
    </row>
    <row r="33338">
      <c r="H33338" t="s">
        <v>5117</v>
      </c>
    </row>
    <row r="33339">
      <c r="H33339" t="s">
        <v>5117</v>
      </c>
    </row>
    <row r="33340">
      <c r="H33340" t="s">
        <v>5117</v>
      </c>
    </row>
    <row r="33341">
      <c r="H33341" t="s">
        <v>5117</v>
      </c>
    </row>
    <row r="33342">
      <c r="H33342" t="s">
        <v>5117</v>
      </c>
    </row>
    <row r="33343">
      <c r="H33343" t="s">
        <v>5117</v>
      </c>
    </row>
    <row r="33344">
      <c r="H33344" t="s">
        <v>5117</v>
      </c>
    </row>
    <row r="33345">
      <c r="H33345" t="s">
        <v>5117</v>
      </c>
    </row>
    <row r="33346">
      <c r="H33346" t="s">
        <v>5117</v>
      </c>
    </row>
    <row r="33347">
      <c r="H33347" t="s">
        <v>5117</v>
      </c>
    </row>
    <row r="33348">
      <c r="H33348" t="s">
        <v>5117</v>
      </c>
    </row>
    <row r="33349">
      <c r="H33349" t="s">
        <v>5117</v>
      </c>
    </row>
    <row r="33350">
      <c r="H33350" t="s">
        <v>5117</v>
      </c>
    </row>
    <row r="33351">
      <c r="H33351" t="s">
        <v>5117</v>
      </c>
    </row>
    <row r="33352">
      <c r="H33352" t="s">
        <v>5117</v>
      </c>
    </row>
    <row r="33353">
      <c r="H33353" t="s">
        <v>5117</v>
      </c>
    </row>
    <row r="33354">
      <c r="H33354" t="s">
        <v>5117</v>
      </c>
    </row>
    <row r="33355">
      <c r="H33355" t="s">
        <v>5117</v>
      </c>
    </row>
    <row r="33356">
      <c r="H33356" t="s">
        <v>5117</v>
      </c>
    </row>
    <row r="33357">
      <c r="H33357" t="s">
        <v>5117</v>
      </c>
    </row>
    <row r="33358">
      <c r="H33358" t="s">
        <v>5117</v>
      </c>
    </row>
    <row r="33359">
      <c r="H33359" t="s">
        <v>5117</v>
      </c>
    </row>
    <row r="33360">
      <c r="H33360" t="s">
        <v>5117</v>
      </c>
    </row>
    <row r="33361">
      <c r="H33361" t="s">
        <v>5117</v>
      </c>
    </row>
    <row r="33362">
      <c r="H33362" t="s">
        <v>5117</v>
      </c>
    </row>
    <row r="33363">
      <c r="H33363" t="s">
        <v>5117</v>
      </c>
    </row>
    <row r="33364">
      <c r="H33364" t="s">
        <v>5117</v>
      </c>
    </row>
    <row r="33365">
      <c r="H33365" t="s">
        <v>5117</v>
      </c>
    </row>
    <row r="33366">
      <c r="H33366" t="s">
        <v>5117</v>
      </c>
    </row>
    <row r="33367">
      <c r="H33367" t="s">
        <v>5117</v>
      </c>
    </row>
    <row r="33368">
      <c r="H33368" t="s">
        <v>5117</v>
      </c>
    </row>
    <row r="33369">
      <c r="H33369" t="s">
        <v>5117</v>
      </c>
    </row>
    <row r="33370">
      <c r="H33370" t="s">
        <v>5117</v>
      </c>
    </row>
    <row r="33371">
      <c r="H33371" t="s">
        <v>5117</v>
      </c>
    </row>
    <row r="33372">
      <c r="H33372" t="s">
        <v>5117</v>
      </c>
    </row>
    <row r="33373">
      <c r="H33373" t="s">
        <v>5117</v>
      </c>
    </row>
    <row r="33374">
      <c r="H33374" t="s">
        <v>5117</v>
      </c>
    </row>
    <row r="33375">
      <c r="H33375" t="s">
        <v>5117</v>
      </c>
    </row>
    <row r="33376">
      <c r="H33376" t="s">
        <v>5117</v>
      </c>
    </row>
    <row r="33377">
      <c r="H33377" t="s">
        <v>5117</v>
      </c>
    </row>
    <row r="33378">
      <c r="H33378" t="s">
        <v>5117</v>
      </c>
    </row>
    <row r="33379">
      <c r="H33379" t="s">
        <v>5117</v>
      </c>
    </row>
    <row r="33380">
      <c r="H33380" t="s">
        <v>5117</v>
      </c>
    </row>
    <row r="33381">
      <c r="H33381" t="s">
        <v>5117</v>
      </c>
    </row>
    <row r="33382">
      <c r="H33382" t="s">
        <v>5117</v>
      </c>
    </row>
    <row r="33383">
      <c r="H33383" t="s">
        <v>5117</v>
      </c>
    </row>
    <row r="33384">
      <c r="H33384" t="s">
        <v>5117</v>
      </c>
    </row>
    <row r="33385">
      <c r="H33385" t="s">
        <v>5117</v>
      </c>
    </row>
    <row r="33386">
      <c r="H33386" t="s">
        <v>5117</v>
      </c>
    </row>
    <row r="33387">
      <c r="H33387" t="s">
        <v>5117</v>
      </c>
    </row>
    <row r="33388">
      <c r="H33388" t="s">
        <v>5117</v>
      </c>
    </row>
    <row r="33389">
      <c r="H33389" t="s">
        <v>5117</v>
      </c>
    </row>
    <row r="33390">
      <c r="H33390" t="s">
        <v>5117</v>
      </c>
    </row>
    <row r="33391">
      <c r="H33391" t="s">
        <v>5117</v>
      </c>
    </row>
    <row r="33392">
      <c r="H33392" t="s">
        <v>5117</v>
      </c>
    </row>
    <row r="33393">
      <c r="H33393" t="s">
        <v>5117</v>
      </c>
    </row>
    <row r="33394">
      <c r="H33394" t="s">
        <v>5117</v>
      </c>
    </row>
    <row r="33395">
      <c r="H33395" t="s">
        <v>5117</v>
      </c>
    </row>
    <row r="33396">
      <c r="H33396" t="s">
        <v>5117</v>
      </c>
    </row>
    <row r="33397">
      <c r="H33397" t="s">
        <v>5117</v>
      </c>
    </row>
    <row r="33398">
      <c r="H33398" t="s">
        <v>5117</v>
      </c>
    </row>
    <row r="33399">
      <c r="H33399" t="s">
        <v>5117</v>
      </c>
    </row>
    <row r="33400">
      <c r="H33400" t="s">
        <v>5117</v>
      </c>
    </row>
    <row r="33401">
      <c r="H33401" t="s">
        <v>5117</v>
      </c>
    </row>
    <row r="33402">
      <c r="H33402" t="s">
        <v>5117</v>
      </c>
    </row>
    <row r="33403">
      <c r="H33403" t="s">
        <v>5117</v>
      </c>
    </row>
    <row r="33404">
      <c r="H33404" t="s">
        <v>5117</v>
      </c>
    </row>
    <row r="33405">
      <c r="H33405" t="s">
        <v>5117</v>
      </c>
    </row>
    <row r="33406">
      <c r="H33406" t="s">
        <v>5117</v>
      </c>
    </row>
    <row r="33407">
      <c r="H33407" t="s">
        <v>5117</v>
      </c>
    </row>
    <row r="33408">
      <c r="H33408" t="s">
        <v>5117</v>
      </c>
    </row>
    <row r="33409">
      <c r="H33409" t="s">
        <v>5117</v>
      </c>
    </row>
    <row r="33410">
      <c r="H33410" t="s">
        <v>5117</v>
      </c>
    </row>
    <row r="33411">
      <c r="H33411" t="s">
        <v>5117</v>
      </c>
    </row>
    <row r="33412">
      <c r="H33412" t="s">
        <v>5117</v>
      </c>
    </row>
    <row r="33413">
      <c r="H33413" t="s">
        <v>5117</v>
      </c>
    </row>
    <row r="33414">
      <c r="H33414" t="s">
        <v>5117</v>
      </c>
    </row>
    <row r="33415">
      <c r="H33415" t="s">
        <v>5117</v>
      </c>
    </row>
    <row r="33416">
      <c r="H33416" t="s">
        <v>5117</v>
      </c>
    </row>
    <row r="33417">
      <c r="H33417" t="s">
        <v>5117</v>
      </c>
    </row>
    <row r="33418">
      <c r="H33418" t="s">
        <v>5117</v>
      </c>
    </row>
    <row r="33419">
      <c r="H33419" t="s">
        <v>5117</v>
      </c>
    </row>
    <row r="33420">
      <c r="H33420" t="s">
        <v>5117</v>
      </c>
    </row>
    <row r="33421">
      <c r="H33421" t="s">
        <v>5117</v>
      </c>
    </row>
    <row r="33422">
      <c r="H33422" t="s">
        <v>5117</v>
      </c>
    </row>
    <row r="33423">
      <c r="H33423" t="s">
        <v>5117</v>
      </c>
    </row>
    <row r="33424">
      <c r="H33424" t="s">
        <v>5117</v>
      </c>
    </row>
    <row r="33425">
      <c r="H33425" t="s">
        <v>5117</v>
      </c>
    </row>
    <row r="33426">
      <c r="H33426" t="s">
        <v>5117</v>
      </c>
    </row>
    <row r="33427">
      <c r="H33427" t="s">
        <v>5117</v>
      </c>
    </row>
    <row r="33428">
      <c r="H33428" t="s">
        <v>5117</v>
      </c>
    </row>
    <row r="33429">
      <c r="H33429" t="s">
        <v>5117</v>
      </c>
    </row>
    <row r="33430">
      <c r="H33430" t="s">
        <v>5117</v>
      </c>
    </row>
    <row r="33431">
      <c r="H33431" t="s">
        <v>5117</v>
      </c>
    </row>
    <row r="33432">
      <c r="H33432" t="s">
        <v>5117</v>
      </c>
    </row>
    <row r="33433">
      <c r="H33433" t="s">
        <v>5117</v>
      </c>
    </row>
    <row r="33434">
      <c r="H33434" t="s">
        <v>5117</v>
      </c>
    </row>
    <row r="33435">
      <c r="H33435" t="s">
        <v>5117</v>
      </c>
    </row>
    <row r="33436">
      <c r="H33436" t="s">
        <v>5117</v>
      </c>
    </row>
    <row r="33437">
      <c r="H33437" t="s">
        <v>5117</v>
      </c>
    </row>
    <row r="33438">
      <c r="H33438" t="s">
        <v>5117</v>
      </c>
    </row>
    <row r="33439">
      <c r="H33439" t="s">
        <v>5117</v>
      </c>
    </row>
    <row r="33440">
      <c r="H33440" t="s">
        <v>5117</v>
      </c>
    </row>
    <row r="33441">
      <c r="H33441" t="s">
        <v>5117</v>
      </c>
    </row>
    <row r="33442">
      <c r="H33442" t="s">
        <v>5117</v>
      </c>
    </row>
    <row r="33443">
      <c r="H33443" t="s">
        <v>5117</v>
      </c>
    </row>
    <row r="33444">
      <c r="H33444" t="s">
        <v>5117</v>
      </c>
    </row>
    <row r="33445">
      <c r="H33445" t="s">
        <v>5117</v>
      </c>
    </row>
    <row r="33446">
      <c r="H33446" t="s">
        <v>5117</v>
      </c>
    </row>
    <row r="33447">
      <c r="H33447" t="s">
        <v>5117</v>
      </c>
    </row>
    <row r="33448">
      <c r="H33448" t="s">
        <v>5117</v>
      </c>
    </row>
    <row r="33449">
      <c r="H33449" t="s">
        <v>5117</v>
      </c>
    </row>
    <row r="33450">
      <c r="H33450" t="s">
        <v>5117</v>
      </c>
    </row>
    <row r="33451">
      <c r="H33451" t="s">
        <v>5117</v>
      </c>
    </row>
    <row r="33452">
      <c r="H33452" t="s">
        <v>5117</v>
      </c>
    </row>
    <row r="33453">
      <c r="H33453" t="s">
        <v>5117</v>
      </c>
    </row>
    <row r="33454">
      <c r="H33454" t="s">
        <v>5117</v>
      </c>
    </row>
    <row r="33455">
      <c r="H33455" t="s">
        <v>5117</v>
      </c>
    </row>
    <row r="33456">
      <c r="H33456" t="s">
        <v>5117</v>
      </c>
    </row>
    <row r="33457">
      <c r="H33457" t="s">
        <v>5117</v>
      </c>
    </row>
    <row r="33458">
      <c r="H33458" t="s">
        <v>5117</v>
      </c>
    </row>
    <row r="33459">
      <c r="H33459" t="s">
        <v>5117</v>
      </c>
    </row>
    <row r="33460">
      <c r="H33460" t="s">
        <v>5117</v>
      </c>
    </row>
    <row r="33461">
      <c r="H33461" t="s">
        <v>5117</v>
      </c>
    </row>
    <row r="33462">
      <c r="H33462" t="s">
        <v>5117</v>
      </c>
    </row>
    <row r="33463">
      <c r="H33463" t="s">
        <v>5117</v>
      </c>
    </row>
    <row r="33464">
      <c r="H33464" t="s">
        <v>5117</v>
      </c>
    </row>
    <row r="33465">
      <c r="H33465" t="s">
        <v>5117</v>
      </c>
    </row>
    <row r="33466">
      <c r="H33466" t="s">
        <v>5117</v>
      </c>
    </row>
    <row r="33467">
      <c r="H33467" t="s">
        <v>5117</v>
      </c>
    </row>
    <row r="33468">
      <c r="H33468" t="s">
        <v>5117</v>
      </c>
    </row>
    <row r="33469">
      <c r="H33469" t="s">
        <v>5117</v>
      </c>
    </row>
    <row r="33470">
      <c r="H33470" t="s">
        <v>5117</v>
      </c>
    </row>
    <row r="33471">
      <c r="H33471" t="s">
        <v>5117</v>
      </c>
    </row>
    <row r="33472">
      <c r="H33472" t="s">
        <v>5117</v>
      </c>
    </row>
    <row r="33473">
      <c r="H33473" t="s">
        <v>5117</v>
      </c>
    </row>
    <row r="33474">
      <c r="H33474" t="s">
        <v>5117</v>
      </c>
    </row>
    <row r="33475">
      <c r="H33475" t="s">
        <v>5117</v>
      </c>
    </row>
    <row r="33476">
      <c r="H33476" t="s">
        <v>5117</v>
      </c>
    </row>
    <row r="33477">
      <c r="H33477" t="s">
        <v>5117</v>
      </c>
    </row>
    <row r="33478">
      <c r="H33478" t="s">
        <v>5117</v>
      </c>
    </row>
    <row r="33479">
      <c r="H33479" t="s">
        <v>5117</v>
      </c>
    </row>
    <row r="33480">
      <c r="H33480" t="s">
        <v>5117</v>
      </c>
    </row>
    <row r="33481">
      <c r="H33481" t="s">
        <v>5117</v>
      </c>
    </row>
    <row r="33482">
      <c r="H33482" t="s">
        <v>5117</v>
      </c>
    </row>
    <row r="33483">
      <c r="H33483" t="s">
        <v>5117</v>
      </c>
    </row>
    <row r="33484">
      <c r="H33484" t="s">
        <v>5117</v>
      </c>
    </row>
    <row r="33485">
      <c r="H33485" t="s">
        <v>5117</v>
      </c>
    </row>
    <row r="33486">
      <c r="H33486" t="s">
        <v>5117</v>
      </c>
    </row>
    <row r="33487">
      <c r="H33487" t="s">
        <v>5117</v>
      </c>
    </row>
    <row r="33488">
      <c r="H33488" t="s">
        <v>5117</v>
      </c>
    </row>
    <row r="33489">
      <c r="H33489" t="s">
        <v>5117</v>
      </c>
    </row>
    <row r="33490">
      <c r="H33490" t="s">
        <v>5117</v>
      </c>
    </row>
    <row r="33491">
      <c r="H33491" t="s">
        <v>5117</v>
      </c>
    </row>
    <row r="33492">
      <c r="H33492" t="s">
        <v>5117</v>
      </c>
    </row>
    <row r="33493">
      <c r="H33493" t="s">
        <v>5117</v>
      </c>
    </row>
    <row r="33494">
      <c r="H33494" t="s">
        <v>5117</v>
      </c>
    </row>
    <row r="33495">
      <c r="H33495" t="s">
        <v>5117</v>
      </c>
    </row>
    <row r="33496">
      <c r="H33496" t="s">
        <v>5117</v>
      </c>
    </row>
    <row r="33497">
      <c r="H33497" t="s">
        <v>5117</v>
      </c>
    </row>
    <row r="33498">
      <c r="H33498" t="s">
        <v>5117</v>
      </c>
    </row>
    <row r="33499">
      <c r="H33499" t="s">
        <v>5117</v>
      </c>
    </row>
    <row r="33500">
      <c r="H33500" t="s">
        <v>5117</v>
      </c>
    </row>
    <row r="33501">
      <c r="H33501" t="s">
        <v>5117</v>
      </c>
    </row>
    <row r="33502">
      <c r="H33502" t="s">
        <v>5117</v>
      </c>
    </row>
    <row r="33503">
      <c r="H33503" t="s">
        <v>5117</v>
      </c>
    </row>
    <row r="33504">
      <c r="H33504" t="s">
        <v>5117</v>
      </c>
    </row>
    <row r="33505">
      <c r="H33505" t="s">
        <v>5117</v>
      </c>
    </row>
    <row r="33506">
      <c r="H33506" t="s">
        <v>5117</v>
      </c>
    </row>
    <row r="33507">
      <c r="H33507" t="s">
        <v>5117</v>
      </c>
    </row>
    <row r="33508">
      <c r="H33508" t="s">
        <v>5117</v>
      </c>
    </row>
    <row r="33509">
      <c r="H33509" t="s">
        <v>5117</v>
      </c>
    </row>
    <row r="33510">
      <c r="H33510" t="s">
        <v>5117</v>
      </c>
    </row>
    <row r="33511">
      <c r="H33511" t="s">
        <v>5117</v>
      </c>
    </row>
    <row r="33512">
      <c r="H33512" t="s">
        <v>5117</v>
      </c>
    </row>
    <row r="33513">
      <c r="H33513" t="s">
        <v>5117</v>
      </c>
    </row>
    <row r="33514">
      <c r="H33514" t="s">
        <v>5117</v>
      </c>
    </row>
    <row r="33515">
      <c r="H33515" t="s">
        <v>5117</v>
      </c>
    </row>
    <row r="33516">
      <c r="H33516" t="s">
        <v>5117</v>
      </c>
    </row>
    <row r="33517">
      <c r="H33517" t="s">
        <v>5117</v>
      </c>
    </row>
    <row r="33518">
      <c r="H33518" t="s">
        <v>5117</v>
      </c>
    </row>
    <row r="33519">
      <c r="H33519" t="s">
        <v>5117</v>
      </c>
    </row>
    <row r="33520">
      <c r="H33520" t="s">
        <v>5117</v>
      </c>
    </row>
    <row r="33521">
      <c r="H33521" t="s">
        <v>5117</v>
      </c>
    </row>
    <row r="33522">
      <c r="H33522" t="s">
        <v>5117</v>
      </c>
    </row>
    <row r="33523">
      <c r="H33523" t="s">
        <v>5117</v>
      </c>
    </row>
    <row r="33524">
      <c r="H33524" t="s">
        <v>5117</v>
      </c>
    </row>
    <row r="33525">
      <c r="H33525" t="s">
        <v>5117</v>
      </c>
    </row>
    <row r="33526">
      <c r="H33526" t="s">
        <v>5117</v>
      </c>
    </row>
    <row r="33527">
      <c r="H33527" t="s">
        <v>5117</v>
      </c>
    </row>
    <row r="33528">
      <c r="H33528" t="s">
        <v>5117</v>
      </c>
    </row>
    <row r="33529">
      <c r="H33529" t="s">
        <v>5117</v>
      </c>
    </row>
    <row r="33530">
      <c r="H33530" t="s">
        <v>5117</v>
      </c>
    </row>
    <row r="33531">
      <c r="H33531" t="s">
        <v>5117</v>
      </c>
    </row>
    <row r="33532">
      <c r="H33532" t="s">
        <v>5117</v>
      </c>
    </row>
    <row r="33533">
      <c r="H33533" t="s">
        <v>5117</v>
      </c>
    </row>
    <row r="33534">
      <c r="H33534" t="s">
        <v>5117</v>
      </c>
    </row>
    <row r="33535">
      <c r="H33535" t="s">
        <v>5117</v>
      </c>
    </row>
    <row r="33536">
      <c r="H33536" t="s">
        <v>5117</v>
      </c>
    </row>
    <row r="33537">
      <c r="H33537" t="s">
        <v>5117</v>
      </c>
    </row>
    <row r="33538">
      <c r="H33538" t="s">
        <v>5117</v>
      </c>
    </row>
    <row r="33539">
      <c r="H33539" t="s">
        <v>5117</v>
      </c>
    </row>
    <row r="33540">
      <c r="H33540" t="s">
        <v>5117</v>
      </c>
    </row>
    <row r="33541">
      <c r="H33541" t="s">
        <v>5117</v>
      </c>
    </row>
    <row r="33542">
      <c r="H33542" t="s">
        <v>5117</v>
      </c>
    </row>
    <row r="33543">
      <c r="H33543" t="s">
        <v>5117</v>
      </c>
    </row>
    <row r="33544">
      <c r="H33544" t="s">
        <v>5117</v>
      </c>
    </row>
    <row r="33545">
      <c r="H33545" t="s">
        <v>5117</v>
      </c>
    </row>
    <row r="33546">
      <c r="H33546" t="s">
        <v>5117</v>
      </c>
    </row>
    <row r="33547">
      <c r="H33547" t="s">
        <v>5117</v>
      </c>
    </row>
    <row r="33548">
      <c r="H33548" t="s">
        <v>5117</v>
      </c>
    </row>
    <row r="33549">
      <c r="H33549" t="s">
        <v>5117</v>
      </c>
    </row>
    <row r="33550">
      <c r="H33550" t="s">
        <v>5117</v>
      </c>
    </row>
    <row r="33551">
      <c r="H33551" t="s">
        <v>5117</v>
      </c>
    </row>
    <row r="33552">
      <c r="H33552" t="s">
        <v>5117</v>
      </c>
    </row>
    <row r="33553">
      <c r="H33553" t="s">
        <v>5117</v>
      </c>
    </row>
    <row r="33554">
      <c r="H33554" t="s">
        <v>5117</v>
      </c>
    </row>
    <row r="33555">
      <c r="H33555" t="s">
        <v>5117</v>
      </c>
    </row>
    <row r="33556">
      <c r="H33556" t="s">
        <v>5117</v>
      </c>
    </row>
    <row r="33557">
      <c r="H33557" t="s">
        <v>5117</v>
      </c>
    </row>
    <row r="33558">
      <c r="H33558" t="s">
        <v>5117</v>
      </c>
    </row>
    <row r="33559">
      <c r="H33559" t="s">
        <v>5117</v>
      </c>
    </row>
    <row r="33560">
      <c r="H33560" t="s">
        <v>5117</v>
      </c>
    </row>
    <row r="33561">
      <c r="H33561" t="s">
        <v>5117</v>
      </c>
    </row>
    <row r="33562">
      <c r="H33562" t="s">
        <v>5117</v>
      </c>
    </row>
    <row r="33563">
      <c r="H33563" t="s">
        <v>5117</v>
      </c>
    </row>
    <row r="33564">
      <c r="H33564" t="s">
        <v>5117</v>
      </c>
    </row>
    <row r="33565">
      <c r="H33565" t="s">
        <v>5117</v>
      </c>
    </row>
    <row r="33566">
      <c r="H33566" t="s">
        <v>5117</v>
      </c>
    </row>
    <row r="33567">
      <c r="H33567" t="s">
        <v>5117</v>
      </c>
    </row>
    <row r="33568">
      <c r="H33568" t="s">
        <v>5117</v>
      </c>
    </row>
    <row r="33569">
      <c r="H33569" t="s">
        <v>5117</v>
      </c>
    </row>
    <row r="33570">
      <c r="H33570" t="s">
        <v>5117</v>
      </c>
    </row>
    <row r="33571">
      <c r="H33571" t="s">
        <v>5117</v>
      </c>
    </row>
    <row r="33572">
      <c r="H33572" t="s">
        <v>5117</v>
      </c>
    </row>
    <row r="33573">
      <c r="H33573" t="s">
        <v>5117</v>
      </c>
    </row>
    <row r="33574">
      <c r="H33574" t="s">
        <v>5117</v>
      </c>
    </row>
    <row r="33575">
      <c r="H33575" t="s">
        <v>5117</v>
      </c>
    </row>
    <row r="33576">
      <c r="H33576" t="s">
        <v>5117</v>
      </c>
    </row>
    <row r="33577">
      <c r="H33577" t="s">
        <v>5117</v>
      </c>
    </row>
    <row r="33578">
      <c r="H33578" t="s">
        <v>5117</v>
      </c>
    </row>
    <row r="33579">
      <c r="H33579" t="s">
        <v>5117</v>
      </c>
    </row>
    <row r="33580">
      <c r="H33580" t="s">
        <v>5117</v>
      </c>
    </row>
    <row r="33581">
      <c r="H33581" t="s">
        <v>5117</v>
      </c>
    </row>
    <row r="33582">
      <c r="H33582" t="s">
        <v>5117</v>
      </c>
    </row>
    <row r="33583">
      <c r="H33583" t="s">
        <v>5117</v>
      </c>
    </row>
    <row r="33584">
      <c r="H33584" t="s">
        <v>5117</v>
      </c>
    </row>
    <row r="33585">
      <c r="H33585" t="s">
        <v>5117</v>
      </c>
    </row>
    <row r="33586">
      <c r="H33586" t="s">
        <v>5117</v>
      </c>
    </row>
    <row r="33587">
      <c r="H33587" t="s">
        <v>5117</v>
      </c>
    </row>
    <row r="33588">
      <c r="H33588" t="s">
        <v>5117</v>
      </c>
    </row>
    <row r="33589">
      <c r="H33589" t="s">
        <v>5117</v>
      </c>
    </row>
    <row r="33590">
      <c r="H33590" t="s">
        <v>5117</v>
      </c>
    </row>
    <row r="33591">
      <c r="H33591" t="s">
        <v>5117</v>
      </c>
    </row>
    <row r="33592">
      <c r="H33592" t="s">
        <v>5117</v>
      </c>
    </row>
    <row r="33593">
      <c r="H33593" t="s">
        <v>5117</v>
      </c>
    </row>
    <row r="33594">
      <c r="H33594" t="s">
        <v>5117</v>
      </c>
    </row>
    <row r="33595">
      <c r="H33595" t="s">
        <v>5117</v>
      </c>
    </row>
    <row r="33596">
      <c r="H33596" t="s">
        <v>5117</v>
      </c>
    </row>
    <row r="33597">
      <c r="H33597" t="s">
        <v>5117</v>
      </c>
    </row>
    <row r="33598">
      <c r="H33598" t="s">
        <v>5117</v>
      </c>
    </row>
    <row r="33599">
      <c r="H33599" t="s">
        <v>5117</v>
      </c>
    </row>
    <row r="33600">
      <c r="H33600" t="s">
        <v>5117</v>
      </c>
    </row>
    <row r="33601">
      <c r="H33601" t="s">
        <v>5117</v>
      </c>
    </row>
    <row r="33602">
      <c r="H33602" t="s">
        <v>5117</v>
      </c>
    </row>
    <row r="33603">
      <c r="H33603" t="s">
        <v>5117</v>
      </c>
    </row>
    <row r="33604">
      <c r="H33604" t="s">
        <v>5117</v>
      </c>
    </row>
    <row r="33605">
      <c r="H33605" t="s">
        <v>5117</v>
      </c>
    </row>
    <row r="33606">
      <c r="H33606" t="s">
        <v>5117</v>
      </c>
    </row>
    <row r="33607">
      <c r="H33607" t="s">
        <v>5117</v>
      </c>
    </row>
    <row r="33608">
      <c r="H33608" t="s">
        <v>5117</v>
      </c>
    </row>
    <row r="33609">
      <c r="H33609" t="s">
        <v>5117</v>
      </c>
    </row>
    <row r="33610">
      <c r="H33610" t="s">
        <v>5117</v>
      </c>
    </row>
    <row r="33611">
      <c r="H33611" t="s">
        <v>5117</v>
      </c>
    </row>
    <row r="33612">
      <c r="H33612" t="s">
        <v>5117</v>
      </c>
    </row>
    <row r="33613">
      <c r="H33613" t="s">
        <v>5117</v>
      </c>
    </row>
    <row r="33614">
      <c r="H33614" t="s">
        <v>5117</v>
      </c>
    </row>
    <row r="33615">
      <c r="H33615" t="s">
        <v>5117</v>
      </c>
    </row>
    <row r="33616">
      <c r="H33616" t="s">
        <v>5117</v>
      </c>
    </row>
    <row r="33617">
      <c r="H33617" t="s">
        <v>5117</v>
      </c>
    </row>
    <row r="33618">
      <c r="H33618" t="s">
        <v>5117</v>
      </c>
    </row>
    <row r="33619">
      <c r="H33619" t="s">
        <v>5117</v>
      </c>
    </row>
    <row r="33620">
      <c r="H33620" t="s">
        <v>5117</v>
      </c>
    </row>
    <row r="33621">
      <c r="H33621" t="s">
        <v>5117</v>
      </c>
    </row>
    <row r="33622">
      <c r="H33622" t="s">
        <v>5117</v>
      </c>
    </row>
    <row r="33623">
      <c r="H33623" t="s">
        <v>5117</v>
      </c>
    </row>
    <row r="33624">
      <c r="H33624" t="s">
        <v>5117</v>
      </c>
    </row>
    <row r="33625">
      <c r="H33625" t="s">
        <v>5117</v>
      </c>
    </row>
    <row r="33626">
      <c r="H33626" t="s">
        <v>5117</v>
      </c>
    </row>
    <row r="33627">
      <c r="H33627" t="s">
        <v>5117</v>
      </c>
    </row>
    <row r="33628">
      <c r="H33628" t="s">
        <v>5117</v>
      </c>
    </row>
    <row r="33629">
      <c r="H33629" t="s">
        <v>5117</v>
      </c>
    </row>
    <row r="33630">
      <c r="H33630" t="s">
        <v>5117</v>
      </c>
    </row>
    <row r="33631">
      <c r="H33631" t="s">
        <v>5117</v>
      </c>
    </row>
    <row r="33632">
      <c r="H33632" t="s">
        <v>5117</v>
      </c>
    </row>
    <row r="33633">
      <c r="H33633" t="s">
        <v>5117</v>
      </c>
    </row>
    <row r="33634">
      <c r="H33634" t="s">
        <v>5117</v>
      </c>
    </row>
    <row r="33635">
      <c r="H33635" t="s">
        <v>5117</v>
      </c>
    </row>
    <row r="33636">
      <c r="H33636" t="s">
        <v>5117</v>
      </c>
    </row>
    <row r="33637">
      <c r="H33637" t="s">
        <v>5117</v>
      </c>
    </row>
    <row r="33638">
      <c r="H33638" t="s">
        <v>5117</v>
      </c>
    </row>
    <row r="33639">
      <c r="H33639" t="s">
        <v>5117</v>
      </c>
    </row>
    <row r="33640">
      <c r="H33640" t="s">
        <v>5117</v>
      </c>
    </row>
    <row r="33641">
      <c r="H33641" t="s">
        <v>5117</v>
      </c>
    </row>
    <row r="33642">
      <c r="H33642" t="s">
        <v>5117</v>
      </c>
    </row>
    <row r="33643">
      <c r="H33643" t="s">
        <v>5117</v>
      </c>
    </row>
    <row r="33644">
      <c r="H33644" t="s">
        <v>5117</v>
      </c>
    </row>
    <row r="33645">
      <c r="H33645" t="s">
        <v>5117</v>
      </c>
    </row>
    <row r="33646">
      <c r="H33646" t="s">
        <v>5117</v>
      </c>
    </row>
    <row r="33647">
      <c r="H33647" t="s">
        <v>5117</v>
      </c>
    </row>
    <row r="33648">
      <c r="H33648" t="s">
        <v>5117</v>
      </c>
    </row>
    <row r="33649">
      <c r="H33649" t="s">
        <v>5117</v>
      </c>
    </row>
    <row r="33650">
      <c r="H33650" t="s">
        <v>5117</v>
      </c>
    </row>
    <row r="33651">
      <c r="H33651" t="s">
        <v>5117</v>
      </c>
    </row>
    <row r="33652">
      <c r="H33652" t="s">
        <v>5117</v>
      </c>
    </row>
    <row r="33653">
      <c r="H33653" t="s">
        <v>5117</v>
      </c>
    </row>
    <row r="33654">
      <c r="H33654" t="s">
        <v>5117</v>
      </c>
    </row>
    <row r="33655">
      <c r="H33655" t="s">
        <v>5117</v>
      </c>
    </row>
    <row r="33656">
      <c r="H33656" t="s">
        <v>5117</v>
      </c>
    </row>
    <row r="33657">
      <c r="H33657" t="s">
        <v>5117</v>
      </c>
    </row>
    <row r="33658">
      <c r="H33658" t="s">
        <v>5117</v>
      </c>
    </row>
    <row r="33659">
      <c r="H33659" t="s">
        <v>5117</v>
      </c>
    </row>
    <row r="33660">
      <c r="H33660" t="s">
        <v>5117</v>
      </c>
    </row>
    <row r="33661">
      <c r="H33661" t="s">
        <v>5117</v>
      </c>
    </row>
    <row r="33662">
      <c r="H33662" t="s">
        <v>5117</v>
      </c>
    </row>
    <row r="33663">
      <c r="H33663" t="s">
        <v>5117</v>
      </c>
    </row>
    <row r="33664">
      <c r="H33664" t="s">
        <v>5117</v>
      </c>
    </row>
    <row r="33665">
      <c r="H33665" t="s">
        <v>5117</v>
      </c>
    </row>
    <row r="33666">
      <c r="H33666" t="s">
        <v>5117</v>
      </c>
    </row>
    <row r="33667">
      <c r="H33667" t="s">
        <v>5117</v>
      </c>
    </row>
    <row r="33668">
      <c r="H33668" t="s">
        <v>5117</v>
      </c>
    </row>
    <row r="33669">
      <c r="H33669" t="s">
        <v>5117</v>
      </c>
    </row>
    <row r="33670">
      <c r="H33670" t="s">
        <v>5117</v>
      </c>
    </row>
    <row r="33671">
      <c r="H33671" t="s">
        <v>5117</v>
      </c>
    </row>
    <row r="33672">
      <c r="H33672" t="s">
        <v>5117</v>
      </c>
    </row>
    <row r="33673">
      <c r="H33673" t="s">
        <v>5117</v>
      </c>
    </row>
    <row r="33674">
      <c r="H33674" t="s">
        <v>5117</v>
      </c>
    </row>
    <row r="33675">
      <c r="H33675" t="s">
        <v>5117</v>
      </c>
    </row>
    <row r="33676">
      <c r="H33676" t="s">
        <v>5117</v>
      </c>
    </row>
    <row r="33677">
      <c r="H33677" t="s">
        <v>5117</v>
      </c>
    </row>
    <row r="33678">
      <c r="H33678" t="s">
        <v>5117</v>
      </c>
    </row>
    <row r="33679">
      <c r="H33679" t="s">
        <v>5117</v>
      </c>
    </row>
    <row r="33680">
      <c r="H33680" t="s">
        <v>5117</v>
      </c>
    </row>
    <row r="33681">
      <c r="H33681" t="s">
        <v>5117</v>
      </c>
    </row>
    <row r="33682">
      <c r="H33682" t="s">
        <v>5117</v>
      </c>
    </row>
    <row r="33683">
      <c r="H33683" t="s">
        <v>5117</v>
      </c>
    </row>
    <row r="33684">
      <c r="H33684" t="s">
        <v>5117</v>
      </c>
    </row>
    <row r="33685">
      <c r="H33685" t="s">
        <v>5117</v>
      </c>
    </row>
    <row r="33686">
      <c r="H33686" t="s">
        <v>5117</v>
      </c>
    </row>
    <row r="33687">
      <c r="H33687" t="s">
        <v>5117</v>
      </c>
    </row>
    <row r="33688">
      <c r="H33688" t="s">
        <v>5117</v>
      </c>
    </row>
    <row r="33689">
      <c r="H33689" t="s">
        <v>5117</v>
      </c>
    </row>
    <row r="33690">
      <c r="H33690" t="s">
        <v>5117</v>
      </c>
    </row>
    <row r="33691">
      <c r="H33691" t="s">
        <v>5117</v>
      </c>
    </row>
    <row r="33692">
      <c r="H33692" t="s">
        <v>5117</v>
      </c>
    </row>
    <row r="33693">
      <c r="H33693" t="s">
        <v>5117</v>
      </c>
    </row>
    <row r="33694">
      <c r="H33694" t="s">
        <v>5117</v>
      </c>
    </row>
    <row r="33695">
      <c r="H33695" t="s">
        <v>5117</v>
      </c>
    </row>
    <row r="33696">
      <c r="H33696" t="s">
        <v>5117</v>
      </c>
    </row>
    <row r="33697">
      <c r="H33697" t="s">
        <v>5117</v>
      </c>
    </row>
    <row r="33698">
      <c r="H33698" t="s">
        <v>5117</v>
      </c>
    </row>
    <row r="33699">
      <c r="H33699" t="s">
        <v>5117</v>
      </c>
    </row>
    <row r="33700">
      <c r="H33700" t="s">
        <v>5117</v>
      </c>
    </row>
    <row r="33701">
      <c r="H33701" t="s">
        <v>5117</v>
      </c>
    </row>
    <row r="33702">
      <c r="H33702" t="s">
        <v>5117</v>
      </c>
    </row>
    <row r="33703">
      <c r="H33703" t="s">
        <v>5117</v>
      </c>
    </row>
    <row r="33704">
      <c r="H33704" t="s">
        <v>5117</v>
      </c>
    </row>
    <row r="33705">
      <c r="H33705" t="s">
        <v>5117</v>
      </c>
    </row>
    <row r="33706">
      <c r="H33706" t="s">
        <v>5117</v>
      </c>
    </row>
    <row r="33707">
      <c r="H33707" t="s">
        <v>5117</v>
      </c>
    </row>
    <row r="33708">
      <c r="H33708" t="s">
        <v>5117</v>
      </c>
    </row>
    <row r="33709">
      <c r="H33709" t="s">
        <v>5117</v>
      </c>
    </row>
    <row r="33710">
      <c r="H33710" t="s">
        <v>5117</v>
      </c>
    </row>
    <row r="33711">
      <c r="H33711" t="s">
        <v>5117</v>
      </c>
    </row>
    <row r="33712">
      <c r="H33712" t="s">
        <v>5117</v>
      </c>
    </row>
    <row r="33713">
      <c r="H33713" t="s">
        <v>5117</v>
      </c>
    </row>
    <row r="33714">
      <c r="H33714" t="s">
        <v>5117</v>
      </c>
    </row>
    <row r="33715">
      <c r="H33715" t="s">
        <v>5117</v>
      </c>
    </row>
    <row r="33716">
      <c r="H33716" t="s">
        <v>5117</v>
      </c>
    </row>
    <row r="33717">
      <c r="H33717" t="s">
        <v>5117</v>
      </c>
    </row>
    <row r="33718">
      <c r="H33718" t="s">
        <v>5117</v>
      </c>
    </row>
    <row r="33719">
      <c r="H33719" t="s">
        <v>5117</v>
      </c>
    </row>
    <row r="33720">
      <c r="H33720" t="s">
        <v>5117</v>
      </c>
    </row>
    <row r="33721">
      <c r="H33721" t="s">
        <v>5117</v>
      </c>
    </row>
    <row r="33722">
      <c r="H33722" t="s">
        <v>5117</v>
      </c>
    </row>
    <row r="33723">
      <c r="H33723" t="s">
        <v>5117</v>
      </c>
    </row>
    <row r="33724">
      <c r="H33724" t="s">
        <v>5117</v>
      </c>
    </row>
    <row r="33725">
      <c r="H33725" t="s">
        <v>5117</v>
      </c>
    </row>
    <row r="33726">
      <c r="H33726" t="s">
        <v>5117</v>
      </c>
    </row>
    <row r="33727">
      <c r="H33727" t="s">
        <v>5117</v>
      </c>
    </row>
    <row r="33728">
      <c r="H33728" t="s">
        <v>5117</v>
      </c>
    </row>
    <row r="33729">
      <c r="H33729" t="s">
        <v>5117</v>
      </c>
    </row>
    <row r="33730">
      <c r="H33730" t="s">
        <v>5117</v>
      </c>
    </row>
    <row r="33731">
      <c r="H33731" t="s">
        <v>5117</v>
      </c>
    </row>
    <row r="33732">
      <c r="H33732" t="s">
        <v>5117</v>
      </c>
    </row>
    <row r="33733">
      <c r="H33733" t="s">
        <v>5117</v>
      </c>
    </row>
    <row r="33734">
      <c r="H33734" t="s">
        <v>5117</v>
      </c>
    </row>
    <row r="33735">
      <c r="H33735" t="s">
        <v>5117</v>
      </c>
    </row>
    <row r="33736">
      <c r="H33736" t="s">
        <v>5117</v>
      </c>
    </row>
    <row r="33737">
      <c r="H33737" t="s">
        <v>5117</v>
      </c>
    </row>
    <row r="33738">
      <c r="H33738" t="s">
        <v>5117</v>
      </c>
    </row>
    <row r="33739">
      <c r="H33739" t="s">
        <v>5117</v>
      </c>
    </row>
    <row r="33740">
      <c r="H33740" t="s">
        <v>5117</v>
      </c>
    </row>
    <row r="33741">
      <c r="H33741" t="s">
        <v>5117</v>
      </c>
    </row>
    <row r="33742">
      <c r="H33742" t="s">
        <v>5117</v>
      </c>
    </row>
    <row r="33743">
      <c r="H33743" t="s">
        <v>5117</v>
      </c>
    </row>
    <row r="33744">
      <c r="H33744" t="s">
        <v>5117</v>
      </c>
    </row>
    <row r="33745">
      <c r="H33745" t="s">
        <v>5117</v>
      </c>
    </row>
    <row r="33746">
      <c r="H33746" t="s">
        <v>5117</v>
      </c>
    </row>
    <row r="33747">
      <c r="H33747" t="s">
        <v>5117</v>
      </c>
    </row>
    <row r="33748">
      <c r="H33748" t="s">
        <v>5117</v>
      </c>
    </row>
    <row r="33749">
      <c r="H33749" t="s">
        <v>5117</v>
      </c>
    </row>
    <row r="33750">
      <c r="H33750" t="s">
        <v>5117</v>
      </c>
    </row>
    <row r="33751">
      <c r="H33751" t="s">
        <v>5117</v>
      </c>
    </row>
    <row r="33752">
      <c r="H33752" t="s">
        <v>5117</v>
      </c>
    </row>
    <row r="33753">
      <c r="H33753" t="s">
        <v>5117</v>
      </c>
    </row>
    <row r="33754">
      <c r="H33754" t="s">
        <v>5117</v>
      </c>
    </row>
    <row r="33755">
      <c r="H33755" t="s">
        <v>5117</v>
      </c>
    </row>
    <row r="33756">
      <c r="H33756" t="s">
        <v>5117</v>
      </c>
    </row>
    <row r="33757">
      <c r="H33757" t="s">
        <v>5117</v>
      </c>
    </row>
    <row r="33758">
      <c r="H33758" t="s">
        <v>5117</v>
      </c>
    </row>
    <row r="33759">
      <c r="H33759" t="s">
        <v>5117</v>
      </c>
    </row>
    <row r="33760">
      <c r="H33760" t="s">
        <v>5117</v>
      </c>
    </row>
    <row r="33761">
      <c r="H33761" t="s">
        <v>5117</v>
      </c>
    </row>
    <row r="33762">
      <c r="H33762" t="s">
        <v>5117</v>
      </c>
    </row>
    <row r="33763">
      <c r="H33763" t="s">
        <v>5117</v>
      </c>
    </row>
    <row r="33764">
      <c r="H33764" t="s">
        <v>5117</v>
      </c>
    </row>
    <row r="33765">
      <c r="H33765" t="s">
        <v>5117</v>
      </c>
    </row>
    <row r="33766">
      <c r="H33766" t="s">
        <v>5117</v>
      </c>
    </row>
    <row r="33767">
      <c r="H33767" t="s">
        <v>5117</v>
      </c>
    </row>
    <row r="33768">
      <c r="H33768" t="s">
        <v>5117</v>
      </c>
    </row>
    <row r="33769">
      <c r="H33769" t="s">
        <v>5117</v>
      </c>
    </row>
    <row r="33770">
      <c r="H33770" t="s">
        <v>5117</v>
      </c>
    </row>
    <row r="33771">
      <c r="H33771" t="s">
        <v>5117</v>
      </c>
    </row>
    <row r="33772">
      <c r="H33772" t="s">
        <v>5117</v>
      </c>
    </row>
    <row r="33773">
      <c r="H33773" t="s">
        <v>5117</v>
      </c>
    </row>
    <row r="33774">
      <c r="H33774" t="s">
        <v>5117</v>
      </c>
    </row>
    <row r="33775">
      <c r="H33775" t="s">
        <v>5117</v>
      </c>
    </row>
    <row r="33776">
      <c r="H33776" t="s">
        <v>5117</v>
      </c>
    </row>
    <row r="33777">
      <c r="H33777" t="s">
        <v>5117</v>
      </c>
    </row>
    <row r="33778">
      <c r="H33778" t="s">
        <v>5117</v>
      </c>
    </row>
    <row r="33779">
      <c r="H33779" t="s">
        <v>5117</v>
      </c>
    </row>
    <row r="33780">
      <c r="H33780" t="s">
        <v>5117</v>
      </c>
    </row>
    <row r="33781">
      <c r="H33781" t="s">
        <v>5117</v>
      </c>
    </row>
    <row r="33782">
      <c r="H33782" t="s">
        <v>5117</v>
      </c>
    </row>
    <row r="33783">
      <c r="H33783" t="s">
        <v>5117</v>
      </c>
    </row>
    <row r="33784">
      <c r="H33784" t="s">
        <v>5117</v>
      </c>
    </row>
    <row r="33785">
      <c r="H33785" t="s">
        <v>5117</v>
      </c>
    </row>
    <row r="33786">
      <c r="H33786" t="s">
        <v>5117</v>
      </c>
    </row>
    <row r="33787">
      <c r="H33787" t="s">
        <v>5117</v>
      </c>
    </row>
    <row r="33788">
      <c r="H33788" t="s">
        <v>5117</v>
      </c>
    </row>
    <row r="33789">
      <c r="H33789" t="s">
        <v>5117</v>
      </c>
    </row>
    <row r="33790">
      <c r="H33790" t="s">
        <v>5117</v>
      </c>
    </row>
    <row r="33791">
      <c r="H33791" t="s">
        <v>5117</v>
      </c>
    </row>
    <row r="33792">
      <c r="H33792" t="s">
        <v>5117</v>
      </c>
    </row>
    <row r="33793">
      <c r="H33793" t="s">
        <v>5117</v>
      </c>
    </row>
    <row r="33794">
      <c r="H33794" t="s">
        <v>5117</v>
      </c>
    </row>
    <row r="33795">
      <c r="H33795" t="s">
        <v>5117</v>
      </c>
    </row>
    <row r="33796">
      <c r="H33796" t="s">
        <v>5117</v>
      </c>
    </row>
    <row r="33797">
      <c r="H33797" t="s">
        <v>5117</v>
      </c>
    </row>
    <row r="33798">
      <c r="H33798" t="s">
        <v>5117</v>
      </c>
    </row>
    <row r="33799">
      <c r="H33799" t="s">
        <v>5117</v>
      </c>
    </row>
    <row r="33800">
      <c r="H33800" t="s">
        <v>5117</v>
      </c>
    </row>
    <row r="33801">
      <c r="H33801" t="s">
        <v>5117</v>
      </c>
    </row>
    <row r="33802">
      <c r="H33802" t="s">
        <v>5117</v>
      </c>
    </row>
    <row r="33803">
      <c r="H33803" t="s">
        <v>5117</v>
      </c>
    </row>
    <row r="33804">
      <c r="H33804" t="s">
        <v>5117</v>
      </c>
    </row>
    <row r="33805">
      <c r="H33805" t="s">
        <v>5117</v>
      </c>
    </row>
    <row r="33806">
      <c r="H33806" t="s">
        <v>5117</v>
      </c>
    </row>
    <row r="33807">
      <c r="H33807" t="s">
        <v>5117</v>
      </c>
    </row>
    <row r="33808">
      <c r="H33808" t="s">
        <v>5117</v>
      </c>
    </row>
    <row r="33809">
      <c r="H33809" t="s">
        <v>5117</v>
      </c>
    </row>
    <row r="33810">
      <c r="H33810" t="s">
        <v>5117</v>
      </c>
    </row>
    <row r="33811">
      <c r="H33811" t="s">
        <v>5117</v>
      </c>
    </row>
    <row r="33812">
      <c r="H33812" t="s">
        <v>5117</v>
      </c>
    </row>
    <row r="33813">
      <c r="H33813" t="s">
        <v>5117</v>
      </c>
    </row>
    <row r="33814">
      <c r="H33814" t="s">
        <v>5117</v>
      </c>
    </row>
    <row r="33815">
      <c r="H33815" t="s">
        <v>5117</v>
      </c>
    </row>
    <row r="33816">
      <c r="H33816" t="s">
        <v>5117</v>
      </c>
    </row>
    <row r="33817">
      <c r="H33817" t="s">
        <v>5117</v>
      </c>
    </row>
    <row r="33818">
      <c r="H33818" t="s">
        <v>5117</v>
      </c>
    </row>
    <row r="33819">
      <c r="H33819" t="s">
        <v>5117</v>
      </c>
    </row>
    <row r="33820">
      <c r="H33820" t="s">
        <v>5117</v>
      </c>
    </row>
    <row r="33821">
      <c r="H33821" t="s">
        <v>5117</v>
      </c>
    </row>
    <row r="33822">
      <c r="H33822" t="s">
        <v>5117</v>
      </c>
    </row>
    <row r="33823">
      <c r="H33823" t="s">
        <v>5117</v>
      </c>
    </row>
    <row r="33824">
      <c r="H33824" t="s">
        <v>5117</v>
      </c>
    </row>
    <row r="33825">
      <c r="H33825" t="s">
        <v>5117</v>
      </c>
    </row>
    <row r="33826">
      <c r="H33826" t="s">
        <v>5117</v>
      </c>
    </row>
    <row r="33827">
      <c r="H33827" t="s">
        <v>5117</v>
      </c>
    </row>
    <row r="33828">
      <c r="H33828" t="s">
        <v>5117</v>
      </c>
    </row>
    <row r="33829">
      <c r="H33829" t="s">
        <v>5117</v>
      </c>
    </row>
    <row r="33830">
      <c r="H33830" t="s">
        <v>5117</v>
      </c>
    </row>
    <row r="33831">
      <c r="H33831" t="s">
        <v>5117</v>
      </c>
    </row>
    <row r="33832">
      <c r="H33832" t="s">
        <v>5117</v>
      </c>
    </row>
    <row r="33833">
      <c r="H33833" t="s">
        <v>5117</v>
      </c>
    </row>
    <row r="33834">
      <c r="H33834" t="s">
        <v>5117</v>
      </c>
    </row>
    <row r="33835">
      <c r="H33835" t="s">
        <v>5117</v>
      </c>
    </row>
    <row r="33836">
      <c r="H33836" t="s">
        <v>5117</v>
      </c>
    </row>
    <row r="33837">
      <c r="H33837" t="s">
        <v>5117</v>
      </c>
    </row>
    <row r="33838">
      <c r="H33838" t="s">
        <v>5117</v>
      </c>
    </row>
    <row r="33839">
      <c r="H33839" t="s">
        <v>5117</v>
      </c>
    </row>
    <row r="33840">
      <c r="H33840" t="s">
        <v>5117</v>
      </c>
    </row>
    <row r="33841">
      <c r="H33841" t="s">
        <v>5117</v>
      </c>
    </row>
    <row r="33842">
      <c r="H33842" t="s">
        <v>5117</v>
      </c>
    </row>
    <row r="33843">
      <c r="H33843" t="s">
        <v>5117</v>
      </c>
    </row>
    <row r="33844">
      <c r="H33844" t="s">
        <v>5117</v>
      </c>
    </row>
    <row r="33845">
      <c r="H33845" t="s">
        <v>5117</v>
      </c>
    </row>
    <row r="33846">
      <c r="H33846" t="s">
        <v>5117</v>
      </c>
    </row>
    <row r="33847">
      <c r="H33847" t="s">
        <v>5117</v>
      </c>
    </row>
    <row r="33848">
      <c r="H33848" t="s">
        <v>5117</v>
      </c>
    </row>
    <row r="33849">
      <c r="H33849" t="s">
        <v>5117</v>
      </c>
    </row>
    <row r="33850">
      <c r="H33850" t="s">
        <v>5117</v>
      </c>
    </row>
    <row r="33851">
      <c r="H33851" t="s">
        <v>5117</v>
      </c>
    </row>
    <row r="33852">
      <c r="H33852" t="s">
        <v>5117</v>
      </c>
    </row>
    <row r="33853">
      <c r="H33853" t="s">
        <v>5117</v>
      </c>
    </row>
    <row r="33854">
      <c r="H33854" t="s">
        <v>5117</v>
      </c>
    </row>
    <row r="33855">
      <c r="H33855" t="s">
        <v>5117</v>
      </c>
    </row>
    <row r="33856">
      <c r="H33856" t="s">
        <v>5117</v>
      </c>
    </row>
    <row r="33857">
      <c r="H33857" t="s">
        <v>5117</v>
      </c>
    </row>
    <row r="33858">
      <c r="H33858" t="s">
        <v>5117</v>
      </c>
    </row>
    <row r="33859">
      <c r="H33859" t="s">
        <v>5117</v>
      </c>
    </row>
    <row r="33860">
      <c r="H33860" t="s">
        <v>5117</v>
      </c>
    </row>
    <row r="33861">
      <c r="H33861" t="s">
        <v>5117</v>
      </c>
    </row>
    <row r="33862">
      <c r="H33862" t="s">
        <v>5117</v>
      </c>
    </row>
    <row r="33863">
      <c r="H33863" t="s">
        <v>5117</v>
      </c>
    </row>
    <row r="33864">
      <c r="H33864" t="s">
        <v>5117</v>
      </c>
    </row>
    <row r="33865">
      <c r="H33865" t="s">
        <v>5117</v>
      </c>
    </row>
    <row r="33866">
      <c r="H33866" t="s">
        <v>5117</v>
      </c>
    </row>
    <row r="33867">
      <c r="H33867" t="s">
        <v>5117</v>
      </c>
    </row>
    <row r="33868">
      <c r="H33868" t="s">
        <v>5117</v>
      </c>
    </row>
    <row r="33869">
      <c r="H33869" t="s">
        <v>5117</v>
      </c>
    </row>
    <row r="33870">
      <c r="H33870" t="s">
        <v>5117</v>
      </c>
    </row>
    <row r="33871">
      <c r="H33871" t="s">
        <v>5117</v>
      </c>
    </row>
    <row r="33872">
      <c r="H33872" t="s">
        <v>5117</v>
      </c>
    </row>
    <row r="33873">
      <c r="H33873" t="s">
        <v>5117</v>
      </c>
    </row>
    <row r="33874">
      <c r="H33874" t="s">
        <v>5117</v>
      </c>
    </row>
    <row r="33875">
      <c r="H33875" t="s">
        <v>5117</v>
      </c>
    </row>
    <row r="33876">
      <c r="H33876" t="s">
        <v>5117</v>
      </c>
    </row>
    <row r="33877">
      <c r="H33877" t="s">
        <v>5117</v>
      </c>
    </row>
    <row r="33878">
      <c r="H33878" t="s">
        <v>5117</v>
      </c>
    </row>
    <row r="33879">
      <c r="H33879" t="s">
        <v>5117</v>
      </c>
    </row>
    <row r="33880">
      <c r="H33880" t="s">
        <v>5117</v>
      </c>
    </row>
    <row r="33881">
      <c r="H33881" t="s">
        <v>5117</v>
      </c>
    </row>
    <row r="33882">
      <c r="H33882" t="s">
        <v>5117</v>
      </c>
    </row>
    <row r="33883">
      <c r="H33883" t="s">
        <v>5117</v>
      </c>
    </row>
    <row r="33884">
      <c r="H33884" t="s">
        <v>5117</v>
      </c>
    </row>
    <row r="33885">
      <c r="H33885" t="s">
        <v>5117</v>
      </c>
    </row>
    <row r="33886">
      <c r="H33886" t="s">
        <v>5117</v>
      </c>
    </row>
    <row r="33887">
      <c r="H33887" t="s">
        <v>5117</v>
      </c>
    </row>
    <row r="33888">
      <c r="H33888" t="s">
        <v>5117</v>
      </c>
    </row>
    <row r="33889">
      <c r="H33889" t="s">
        <v>5117</v>
      </c>
    </row>
    <row r="33890">
      <c r="H33890" t="s">
        <v>5117</v>
      </c>
    </row>
    <row r="33891">
      <c r="H33891" t="s">
        <v>5117</v>
      </c>
    </row>
    <row r="33892">
      <c r="H33892" t="s">
        <v>5117</v>
      </c>
    </row>
    <row r="33893">
      <c r="H33893" t="s">
        <v>5117</v>
      </c>
    </row>
    <row r="33894">
      <c r="H33894" t="s">
        <v>5117</v>
      </c>
    </row>
    <row r="33895">
      <c r="H33895" t="s">
        <v>5117</v>
      </c>
    </row>
    <row r="33896">
      <c r="H33896" t="s">
        <v>5117</v>
      </c>
    </row>
    <row r="33897">
      <c r="H33897" t="s">
        <v>5117</v>
      </c>
    </row>
    <row r="33898">
      <c r="H33898" t="s">
        <v>5117</v>
      </c>
    </row>
    <row r="33899">
      <c r="H33899" t="s">
        <v>5117</v>
      </c>
    </row>
    <row r="33900">
      <c r="H33900" t="s">
        <v>5117</v>
      </c>
    </row>
    <row r="33901">
      <c r="H33901" t="s">
        <v>5117</v>
      </c>
    </row>
    <row r="33902">
      <c r="H33902" t="s">
        <v>5117</v>
      </c>
    </row>
    <row r="33903">
      <c r="H33903" t="s">
        <v>5117</v>
      </c>
    </row>
    <row r="33904">
      <c r="H33904" t="s">
        <v>5117</v>
      </c>
    </row>
    <row r="33905">
      <c r="H33905" t="s">
        <v>5117</v>
      </c>
    </row>
    <row r="33906">
      <c r="H33906" t="s">
        <v>5117</v>
      </c>
    </row>
    <row r="33907">
      <c r="H33907" t="s">
        <v>5117</v>
      </c>
    </row>
    <row r="33908">
      <c r="H33908" t="s">
        <v>5117</v>
      </c>
    </row>
    <row r="33909">
      <c r="H33909" t="s">
        <v>5117</v>
      </c>
    </row>
    <row r="33910">
      <c r="H33910" t="s">
        <v>5117</v>
      </c>
    </row>
    <row r="33911">
      <c r="H33911" t="s">
        <v>5117</v>
      </c>
    </row>
    <row r="33912">
      <c r="H33912" t="s">
        <v>5117</v>
      </c>
    </row>
    <row r="33913">
      <c r="H33913" t="s">
        <v>5117</v>
      </c>
    </row>
    <row r="33914">
      <c r="H33914" t="s">
        <v>5117</v>
      </c>
    </row>
    <row r="33915">
      <c r="H33915" t="s">
        <v>5117</v>
      </c>
    </row>
    <row r="33916">
      <c r="H33916" t="s">
        <v>5117</v>
      </c>
    </row>
    <row r="33917">
      <c r="H33917" t="s">
        <v>5117</v>
      </c>
    </row>
    <row r="33918">
      <c r="H33918" t="s">
        <v>5117</v>
      </c>
    </row>
    <row r="33919">
      <c r="H33919" t="s">
        <v>5117</v>
      </c>
    </row>
    <row r="33920">
      <c r="H33920" t="s">
        <v>5117</v>
      </c>
    </row>
    <row r="33921">
      <c r="H33921" t="s">
        <v>5117</v>
      </c>
    </row>
    <row r="33922">
      <c r="H33922" t="s">
        <v>5117</v>
      </c>
    </row>
    <row r="33923">
      <c r="H33923" t="s">
        <v>5117</v>
      </c>
    </row>
    <row r="33924">
      <c r="H33924" t="s">
        <v>5117</v>
      </c>
    </row>
    <row r="33925">
      <c r="H33925" t="s">
        <v>5117</v>
      </c>
    </row>
    <row r="33926">
      <c r="H33926" t="s">
        <v>5117</v>
      </c>
    </row>
    <row r="33927">
      <c r="H33927" t="s">
        <v>5117</v>
      </c>
    </row>
    <row r="33928">
      <c r="H33928" t="s">
        <v>5117</v>
      </c>
    </row>
    <row r="33929">
      <c r="H33929" t="s">
        <v>5117</v>
      </c>
    </row>
    <row r="33930">
      <c r="H33930" t="s">
        <v>5117</v>
      </c>
    </row>
    <row r="33931">
      <c r="H33931" t="s">
        <v>5117</v>
      </c>
    </row>
    <row r="33932">
      <c r="H33932" t="s">
        <v>5117</v>
      </c>
    </row>
    <row r="33933">
      <c r="H33933" t="s">
        <v>5117</v>
      </c>
    </row>
    <row r="33934">
      <c r="H33934" t="s">
        <v>5117</v>
      </c>
    </row>
    <row r="33935">
      <c r="H33935" t="s">
        <v>5117</v>
      </c>
    </row>
    <row r="33936">
      <c r="H33936" t="s">
        <v>5117</v>
      </c>
    </row>
    <row r="33937">
      <c r="H33937" t="s">
        <v>5117</v>
      </c>
    </row>
    <row r="33938">
      <c r="H33938" t="s">
        <v>5117</v>
      </c>
    </row>
    <row r="33939">
      <c r="H33939" t="s">
        <v>5117</v>
      </c>
    </row>
    <row r="33940">
      <c r="H33940" t="s">
        <v>5117</v>
      </c>
    </row>
    <row r="33941">
      <c r="H33941" t="s">
        <v>5117</v>
      </c>
    </row>
    <row r="33942">
      <c r="H33942" t="s">
        <v>5117</v>
      </c>
    </row>
    <row r="33943">
      <c r="H33943" t="s">
        <v>5117</v>
      </c>
    </row>
    <row r="33944">
      <c r="H33944" t="s">
        <v>5117</v>
      </c>
    </row>
    <row r="33945">
      <c r="H33945" t="s">
        <v>5117</v>
      </c>
    </row>
    <row r="33946">
      <c r="H33946" t="s">
        <v>5117</v>
      </c>
    </row>
    <row r="33947">
      <c r="H33947" t="s">
        <v>5117</v>
      </c>
    </row>
    <row r="33948">
      <c r="H33948" t="s">
        <v>5117</v>
      </c>
    </row>
    <row r="33949">
      <c r="H33949" t="s">
        <v>5117</v>
      </c>
    </row>
    <row r="33950">
      <c r="H33950" t="s">
        <v>5117</v>
      </c>
    </row>
    <row r="33951">
      <c r="H33951" t="s">
        <v>5117</v>
      </c>
    </row>
    <row r="33952">
      <c r="H33952" t="s">
        <v>5117</v>
      </c>
    </row>
    <row r="33953">
      <c r="H33953" t="s">
        <v>5117</v>
      </c>
    </row>
    <row r="33954">
      <c r="H33954" t="s">
        <v>5117</v>
      </c>
    </row>
    <row r="33955">
      <c r="H33955" t="s">
        <v>5117</v>
      </c>
    </row>
    <row r="33956">
      <c r="H33956" t="s">
        <v>5117</v>
      </c>
    </row>
    <row r="33957">
      <c r="H33957" t="s">
        <v>5117</v>
      </c>
    </row>
    <row r="33958">
      <c r="H33958" t="s">
        <v>5117</v>
      </c>
    </row>
    <row r="33959">
      <c r="H33959" t="s">
        <v>5117</v>
      </c>
    </row>
    <row r="33960">
      <c r="H33960" t="s">
        <v>5117</v>
      </c>
    </row>
    <row r="33961">
      <c r="H33961" t="s">
        <v>5117</v>
      </c>
    </row>
    <row r="33962">
      <c r="H33962" t="s">
        <v>5117</v>
      </c>
    </row>
    <row r="33963">
      <c r="H33963" t="s">
        <v>5117</v>
      </c>
    </row>
    <row r="33964">
      <c r="H33964" t="s">
        <v>5117</v>
      </c>
    </row>
    <row r="33965">
      <c r="H33965" t="s">
        <v>5117</v>
      </c>
    </row>
    <row r="33966">
      <c r="H33966" t="s">
        <v>5117</v>
      </c>
    </row>
    <row r="33967">
      <c r="H33967" t="s">
        <v>5117</v>
      </c>
    </row>
    <row r="33968">
      <c r="H33968" t="s">
        <v>5117</v>
      </c>
    </row>
    <row r="33969">
      <c r="H33969" t="s">
        <v>5117</v>
      </c>
    </row>
    <row r="33970">
      <c r="H33970" t="s">
        <v>5117</v>
      </c>
    </row>
    <row r="33971">
      <c r="H33971" t="s">
        <v>5117</v>
      </c>
    </row>
    <row r="33972">
      <c r="H33972" t="s">
        <v>5117</v>
      </c>
    </row>
    <row r="33973">
      <c r="H33973" t="s">
        <v>5117</v>
      </c>
    </row>
    <row r="33974">
      <c r="H33974" t="s">
        <v>5117</v>
      </c>
    </row>
    <row r="33975">
      <c r="H33975" t="s">
        <v>5117</v>
      </c>
    </row>
    <row r="33976">
      <c r="H33976" t="s">
        <v>5117</v>
      </c>
    </row>
    <row r="33977">
      <c r="H33977" t="s">
        <v>5117</v>
      </c>
    </row>
    <row r="33978">
      <c r="H33978" t="s">
        <v>5117</v>
      </c>
    </row>
    <row r="33979">
      <c r="H33979" t="s">
        <v>5117</v>
      </c>
    </row>
    <row r="33980">
      <c r="H33980" t="s">
        <v>5117</v>
      </c>
    </row>
    <row r="33981">
      <c r="H33981" t="s">
        <v>5117</v>
      </c>
    </row>
    <row r="33982">
      <c r="H33982" t="s">
        <v>5117</v>
      </c>
    </row>
    <row r="33983">
      <c r="H33983" t="s">
        <v>5117</v>
      </c>
    </row>
    <row r="33984">
      <c r="H33984" t="s">
        <v>5117</v>
      </c>
    </row>
    <row r="33985">
      <c r="H33985" t="s">
        <v>5117</v>
      </c>
    </row>
    <row r="33986">
      <c r="H33986" t="s">
        <v>5117</v>
      </c>
    </row>
    <row r="33987">
      <c r="H33987" t="s">
        <v>5117</v>
      </c>
    </row>
    <row r="33988">
      <c r="H33988" t="s">
        <v>5117</v>
      </c>
    </row>
    <row r="33989">
      <c r="H33989" t="s">
        <v>5117</v>
      </c>
    </row>
    <row r="33990">
      <c r="H33990" t="s">
        <v>5117</v>
      </c>
    </row>
    <row r="33991">
      <c r="H33991" t="s">
        <v>5117</v>
      </c>
    </row>
    <row r="33992">
      <c r="H33992" t="s">
        <v>5117</v>
      </c>
    </row>
    <row r="33993">
      <c r="H33993" t="s">
        <v>5117</v>
      </c>
    </row>
    <row r="33994">
      <c r="H33994" t="s">
        <v>5117</v>
      </c>
    </row>
    <row r="33995">
      <c r="H33995" t="s">
        <v>5117</v>
      </c>
    </row>
    <row r="33996">
      <c r="H33996" t="s">
        <v>5117</v>
      </c>
    </row>
    <row r="33997">
      <c r="H33997" t="s">
        <v>5117</v>
      </c>
    </row>
    <row r="33998">
      <c r="H33998" t="s">
        <v>5117</v>
      </c>
    </row>
    <row r="33999">
      <c r="H33999" t="s">
        <v>5117</v>
      </c>
    </row>
    <row r="34000">
      <c r="H34000" t="s">
        <v>5117</v>
      </c>
    </row>
    <row r="34001">
      <c r="H34001" t="s">
        <v>5117</v>
      </c>
    </row>
    <row r="34002">
      <c r="H34002" t="s">
        <v>5117</v>
      </c>
    </row>
    <row r="34003">
      <c r="H34003" t="s">
        <v>5117</v>
      </c>
    </row>
    <row r="34004">
      <c r="H34004" t="s">
        <v>5117</v>
      </c>
    </row>
    <row r="34005">
      <c r="H34005" t="s">
        <v>5117</v>
      </c>
    </row>
    <row r="34006">
      <c r="H34006" t="s">
        <v>5117</v>
      </c>
    </row>
    <row r="34007">
      <c r="H34007" t="s">
        <v>5117</v>
      </c>
    </row>
    <row r="34008">
      <c r="H34008" t="s">
        <v>5117</v>
      </c>
    </row>
    <row r="34009">
      <c r="H34009" t="s">
        <v>5117</v>
      </c>
    </row>
    <row r="34010">
      <c r="H34010" t="s">
        <v>5117</v>
      </c>
    </row>
    <row r="34011">
      <c r="H34011" t="s">
        <v>5117</v>
      </c>
    </row>
    <row r="34012">
      <c r="H34012" t="s">
        <v>5117</v>
      </c>
    </row>
    <row r="34013">
      <c r="H34013" t="s">
        <v>5117</v>
      </c>
    </row>
    <row r="34014">
      <c r="H34014" t="s">
        <v>5117</v>
      </c>
    </row>
    <row r="34015">
      <c r="H34015" t="s">
        <v>5117</v>
      </c>
    </row>
    <row r="34016">
      <c r="H34016" t="s">
        <v>5117</v>
      </c>
    </row>
    <row r="34017">
      <c r="H34017" t="s">
        <v>5117</v>
      </c>
    </row>
    <row r="34018">
      <c r="H34018" t="s">
        <v>5117</v>
      </c>
    </row>
    <row r="34019">
      <c r="H34019" t="s">
        <v>5117</v>
      </c>
    </row>
    <row r="34020">
      <c r="H34020" t="s">
        <v>5117</v>
      </c>
    </row>
    <row r="34021">
      <c r="H34021" t="s">
        <v>5117</v>
      </c>
    </row>
    <row r="34022">
      <c r="H34022" t="s">
        <v>5117</v>
      </c>
    </row>
    <row r="34023">
      <c r="H34023" t="s">
        <v>5117</v>
      </c>
    </row>
    <row r="34024">
      <c r="H34024" t="s">
        <v>5117</v>
      </c>
    </row>
    <row r="34025">
      <c r="H34025" t="s">
        <v>5117</v>
      </c>
    </row>
    <row r="34026">
      <c r="H34026" t="s">
        <v>5117</v>
      </c>
    </row>
    <row r="34027">
      <c r="H34027" t="s">
        <v>5117</v>
      </c>
    </row>
    <row r="34028">
      <c r="H34028" t="s">
        <v>5117</v>
      </c>
    </row>
    <row r="34029">
      <c r="H34029" t="s">
        <v>5117</v>
      </c>
    </row>
    <row r="34030">
      <c r="H34030" t="s">
        <v>5117</v>
      </c>
    </row>
    <row r="34031">
      <c r="H34031" t="s">
        <v>5117</v>
      </c>
    </row>
    <row r="34032">
      <c r="H34032" t="s">
        <v>5117</v>
      </c>
    </row>
    <row r="34033">
      <c r="H34033" t="s">
        <v>5117</v>
      </c>
    </row>
    <row r="34034">
      <c r="H34034" t="s">
        <v>5117</v>
      </c>
    </row>
    <row r="34035">
      <c r="H34035" t="s">
        <v>5117</v>
      </c>
    </row>
    <row r="34036">
      <c r="H34036" t="s">
        <v>5117</v>
      </c>
    </row>
    <row r="34037">
      <c r="H34037" t="s">
        <v>5117</v>
      </c>
    </row>
    <row r="34038">
      <c r="H34038" t="s">
        <v>5117</v>
      </c>
    </row>
    <row r="34039">
      <c r="H34039" t="s">
        <v>5117</v>
      </c>
    </row>
    <row r="34040">
      <c r="H34040" t="s">
        <v>5117</v>
      </c>
    </row>
    <row r="34041">
      <c r="H34041" t="s">
        <v>5117</v>
      </c>
    </row>
    <row r="34042">
      <c r="H34042" t="s">
        <v>5117</v>
      </c>
    </row>
    <row r="34043">
      <c r="H34043" t="s">
        <v>5117</v>
      </c>
    </row>
    <row r="34044">
      <c r="H34044" t="s">
        <v>5117</v>
      </c>
    </row>
    <row r="34045">
      <c r="H34045" t="s">
        <v>5117</v>
      </c>
    </row>
    <row r="34046">
      <c r="H34046" t="s">
        <v>5117</v>
      </c>
    </row>
    <row r="34047">
      <c r="H34047" t="s">
        <v>5117</v>
      </c>
    </row>
    <row r="34048">
      <c r="H34048" t="s">
        <v>5117</v>
      </c>
    </row>
    <row r="34049">
      <c r="H34049" t="s">
        <v>5117</v>
      </c>
    </row>
    <row r="34050">
      <c r="H34050" t="s">
        <v>5117</v>
      </c>
    </row>
    <row r="34051">
      <c r="H34051" t="s">
        <v>5117</v>
      </c>
    </row>
    <row r="34052">
      <c r="H34052" t="s">
        <v>5117</v>
      </c>
    </row>
    <row r="34053">
      <c r="H34053" t="s">
        <v>5117</v>
      </c>
    </row>
    <row r="34054">
      <c r="H34054" t="s">
        <v>5117</v>
      </c>
    </row>
    <row r="34055">
      <c r="H34055" t="s">
        <v>5117</v>
      </c>
    </row>
    <row r="34056">
      <c r="H34056" t="s">
        <v>5117</v>
      </c>
    </row>
    <row r="34057">
      <c r="H34057" t="s">
        <v>5117</v>
      </c>
    </row>
    <row r="34058">
      <c r="H34058" t="s">
        <v>5117</v>
      </c>
    </row>
    <row r="34059">
      <c r="H34059" t="s">
        <v>5117</v>
      </c>
    </row>
    <row r="34060">
      <c r="H34060" t="s">
        <v>5117</v>
      </c>
    </row>
    <row r="34061">
      <c r="H34061" t="s">
        <v>5117</v>
      </c>
    </row>
    <row r="34062">
      <c r="H34062" t="s">
        <v>5117</v>
      </c>
    </row>
    <row r="34063">
      <c r="H34063" t="s">
        <v>5117</v>
      </c>
    </row>
    <row r="34064">
      <c r="H34064" t="s">
        <v>5117</v>
      </c>
    </row>
    <row r="34065">
      <c r="H34065" t="s">
        <v>5117</v>
      </c>
    </row>
    <row r="34066">
      <c r="H34066" t="s">
        <v>5117</v>
      </c>
    </row>
    <row r="34067">
      <c r="H34067" t="s">
        <v>5117</v>
      </c>
    </row>
    <row r="34068">
      <c r="H34068" t="s">
        <v>5117</v>
      </c>
    </row>
    <row r="34069">
      <c r="H34069" t="s">
        <v>5117</v>
      </c>
    </row>
    <row r="34070">
      <c r="H34070" t="s">
        <v>5117</v>
      </c>
    </row>
    <row r="34071">
      <c r="H34071" t="s">
        <v>5117</v>
      </c>
    </row>
    <row r="34072">
      <c r="H34072" t="s">
        <v>5117</v>
      </c>
    </row>
    <row r="34073">
      <c r="H34073" t="s">
        <v>5117</v>
      </c>
    </row>
    <row r="34074">
      <c r="H34074" t="s">
        <v>5117</v>
      </c>
    </row>
    <row r="34075">
      <c r="H34075" t="s">
        <v>5117</v>
      </c>
    </row>
    <row r="34076">
      <c r="H34076" t="s">
        <v>5117</v>
      </c>
    </row>
    <row r="34077">
      <c r="H34077" t="s">
        <v>5117</v>
      </c>
    </row>
    <row r="34078">
      <c r="H34078" t="s">
        <v>5117</v>
      </c>
    </row>
    <row r="34079">
      <c r="H34079" t="s">
        <v>5117</v>
      </c>
    </row>
    <row r="34080">
      <c r="H34080" t="s">
        <v>5117</v>
      </c>
    </row>
    <row r="34081">
      <c r="H34081" t="s">
        <v>5117</v>
      </c>
    </row>
    <row r="34082">
      <c r="H34082" t="s">
        <v>5117</v>
      </c>
    </row>
    <row r="34083">
      <c r="H34083" t="s">
        <v>5117</v>
      </c>
    </row>
    <row r="34084">
      <c r="H34084" t="s">
        <v>5117</v>
      </c>
    </row>
    <row r="34085">
      <c r="H34085" t="s">
        <v>5117</v>
      </c>
    </row>
    <row r="34086">
      <c r="H34086" t="s">
        <v>5117</v>
      </c>
    </row>
    <row r="34087">
      <c r="H34087" t="s">
        <v>5117</v>
      </c>
    </row>
    <row r="34088">
      <c r="H34088" t="s">
        <v>5117</v>
      </c>
    </row>
    <row r="34089">
      <c r="H34089" t="s">
        <v>5117</v>
      </c>
    </row>
    <row r="34090">
      <c r="H34090" t="s">
        <v>5117</v>
      </c>
    </row>
    <row r="34091">
      <c r="H34091" t="s">
        <v>5117</v>
      </c>
    </row>
    <row r="34092">
      <c r="H34092" t="s">
        <v>5117</v>
      </c>
    </row>
    <row r="34093">
      <c r="H34093" t="s">
        <v>5117</v>
      </c>
    </row>
    <row r="34094">
      <c r="H34094" t="s">
        <v>5117</v>
      </c>
    </row>
    <row r="34095">
      <c r="H34095" t="s">
        <v>5117</v>
      </c>
    </row>
    <row r="34096">
      <c r="H34096" t="s">
        <v>5117</v>
      </c>
    </row>
    <row r="34097">
      <c r="H34097" t="s">
        <v>5117</v>
      </c>
    </row>
    <row r="34098">
      <c r="H34098" t="s">
        <v>5117</v>
      </c>
    </row>
    <row r="34099">
      <c r="H34099" t="s">
        <v>5117</v>
      </c>
    </row>
    <row r="34100">
      <c r="H34100" t="s">
        <v>5117</v>
      </c>
    </row>
    <row r="34101">
      <c r="H34101" t="s">
        <v>5117</v>
      </c>
    </row>
    <row r="34102">
      <c r="H34102" t="s">
        <v>5117</v>
      </c>
    </row>
    <row r="34103">
      <c r="H34103" t="s">
        <v>5117</v>
      </c>
    </row>
    <row r="34104">
      <c r="H34104" t="s">
        <v>5117</v>
      </c>
    </row>
    <row r="34105">
      <c r="H34105" t="s">
        <v>5117</v>
      </c>
    </row>
    <row r="34106">
      <c r="H34106" t="s">
        <v>5117</v>
      </c>
    </row>
    <row r="34107">
      <c r="H34107" t="s">
        <v>5117</v>
      </c>
    </row>
    <row r="34108">
      <c r="H34108" t="s">
        <v>5117</v>
      </c>
    </row>
    <row r="34109">
      <c r="H34109" t="s">
        <v>5117</v>
      </c>
    </row>
    <row r="34110">
      <c r="H34110" t="s">
        <v>5117</v>
      </c>
    </row>
    <row r="34111">
      <c r="H34111" t="s">
        <v>5117</v>
      </c>
    </row>
    <row r="34112">
      <c r="H34112" t="s">
        <v>5117</v>
      </c>
    </row>
    <row r="34113">
      <c r="H34113" t="s">
        <v>5117</v>
      </c>
    </row>
    <row r="34114">
      <c r="H34114" t="s">
        <v>5117</v>
      </c>
    </row>
    <row r="34115">
      <c r="H34115" t="s">
        <v>5117</v>
      </c>
    </row>
    <row r="34116">
      <c r="H34116" t="s">
        <v>5117</v>
      </c>
    </row>
    <row r="34117">
      <c r="H34117" t="s">
        <v>5117</v>
      </c>
    </row>
    <row r="34118">
      <c r="H34118" t="s">
        <v>5117</v>
      </c>
    </row>
    <row r="34119">
      <c r="H34119" t="s">
        <v>5117</v>
      </c>
    </row>
    <row r="34120">
      <c r="H34120" t="s">
        <v>5117</v>
      </c>
    </row>
    <row r="34121">
      <c r="H34121" t="s">
        <v>5117</v>
      </c>
    </row>
    <row r="34122">
      <c r="H34122" t="s">
        <v>5117</v>
      </c>
    </row>
    <row r="34123">
      <c r="H34123" t="s">
        <v>5117</v>
      </c>
    </row>
    <row r="34124">
      <c r="H34124" t="s">
        <v>5117</v>
      </c>
    </row>
    <row r="34125">
      <c r="H34125" t="s">
        <v>5117</v>
      </c>
    </row>
    <row r="34126">
      <c r="H34126" t="s">
        <v>5117</v>
      </c>
    </row>
    <row r="34127">
      <c r="H34127" t="s">
        <v>5117</v>
      </c>
    </row>
    <row r="34128">
      <c r="H34128" t="s">
        <v>5117</v>
      </c>
    </row>
    <row r="34129">
      <c r="H34129" t="s">
        <v>5117</v>
      </c>
    </row>
    <row r="34130">
      <c r="H34130" t="s">
        <v>5117</v>
      </c>
    </row>
    <row r="34131">
      <c r="H34131" t="s">
        <v>5117</v>
      </c>
    </row>
    <row r="34132">
      <c r="H34132" t="s">
        <v>5117</v>
      </c>
    </row>
    <row r="34133">
      <c r="H34133" t="s">
        <v>5117</v>
      </c>
    </row>
    <row r="34134">
      <c r="H34134" t="s">
        <v>5117</v>
      </c>
    </row>
    <row r="34135">
      <c r="H34135" t="s">
        <v>5117</v>
      </c>
    </row>
    <row r="34136">
      <c r="H34136" t="s">
        <v>5117</v>
      </c>
    </row>
    <row r="34137">
      <c r="H34137" t="s">
        <v>5117</v>
      </c>
    </row>
    <row r="34138">
      <c r="H34138" t="s">
        <v>5117</v>
      </c>
    </row>
    <row r="34139">
      <c r="H34139" t="s">
        <v>5117</v>
      </c>
    </row>
    <row r="34140">
      <c r="H34140" t="s">
        <v>5117</v>
      </c>
    </row>
    <row r="34141">
      <c r="H34141" t="s">
        <v>5117</v>
      </c>
    </row>
    <row r="34142">
      <c r="H34142" t="s">
        <v>5117</v>
      </c>
    </row>
    <row r="34143">
      <c r="H34143" t="s">
        <v>5117</v>
      </c>
    </row>
    <row r="34144">
      <c r="H34144" t="s">
        <v>5117</v>
      </c>
    </row>
    <row r="34145">
      <c r="H34145" t="s">
        <v>5117</v>
      </c>
    </row>
    <row r="34146">
      <c r="H34146" t="s">
        <v>5117</v>
      </c>
    </row>
    <row r="34147">
      <c r="H34147" t="s">
        <v>5117</v>
      </c>
    </row>
    <row r="34148">
      <c r="H34148" t="s">
        <v>5117</v>
      </c>
    </row>
    <row r="34149">
      <c r="H34149" t="s">
        <v>5117</v>
      </c>
    </row>
    <row r="34150">
      <c r="H34150" t="s">
        <v>5117</v>
      </c>
    </row>
    <row r="34151">
      <c r="H34151" t="s">
        <v>5117</v>
      </c>
    </row>
    <row r="34152">
      <c r="H34152" t="s">
        <v>5117</v>
      </c>
    </row>
    <row r="34153">
      <c r="H34153" t="s">
        <v>5117</v>
      </c>
    </row>
    <row r="34154">
      <c r="H34154" t="s">
        <v>5117</v>
      </c>
    </row>
    <row r="34155">
      <c r="H34155" t="s">
        <v>5117</v>
      </c>
    </row>
    <row r="34156">
      <c r="H34156" t="s">
        <v>5117</v>
      </c>
    </row>
    <row r="34157">
      <c r="H34157" t="s">
        <v>5117</v>
      </c>
    </row>
    <row r="34158">
      <c r="H34158" t="s">
        <v>5117</v>
      </c>
    </row>
    <row r="34159">
      <c r="H34159" t="s">
        <v>5117</v>
      </c>
    </row>
    <row r="34160">
      <c r="H34160" t="s">
        <v>5117</v>
      </c>
    </row>
    <row r="34161">
      <c r="H34161" t="s">
        <v>5117</v>
      </c>
    </row>
    <row r="34162">
      <c r="H34162" t="s">
        <v>5117</v>
      </c>
    </row>
    <row r="34163">
      <c r="H34163" t="s">
        <v>5117</v>
      </c>
    </row>
    <row r="34164">
      <c r="H34164" t="s">
        <v>5117</v>
      </c>
    </row>
    <row r="34165">
      <c r="H34165" t="s">
        <v>5117</v>
      </c>
    </row>
    <row r="34166">
      <c r="H34166" t="s">
        <v>5117</v>
      </c>
    </row>
    <row r="34167">
      <c r="H34167" t="s">
        <v>5117</v>
      </c>
    </row>
    <row r="34168">
      <c r="H34168" t="s">
        <v>5117</v>
      </c>
    </row>
    <row r="34169">
      <c r="H34169" t="s">
        <v>5117</v>
      </c>
    </row>
    <row r="34170">
      <c r="H34170" t="s">
        <v>5117</v>
      </c>
    </row>
    <row r="34171">
      <c r="H34171" t="s">
        <v>5117</v>
      </c>
    </row>
    <row r="34172">
      <c r="H34172" t="s">
        <v>5117</v>
      </c>
    </row>
    <row r="34173">
      <c r="H34173" t="s">
        <v>5117</v>
      </c>
    </row>
    <row r="34174">
      <c r="H34174" t="s">
        <v>5117</v>
      </c>
    </row>
    <row r="34175">
      <c r="H34175" t="s">
        <v>5117</v>
      </c>
    </row>
    <row r="34176">
      <c r="H34176" t="s">
        <v>5117</v>
      </c>
    </row>
    <row r="34177">
      <c r="H34177" t="s">
        <v>5117</v>
      </c>
    </row>
    <row r="34178">
      <c r="H34178" t="s">
        <v>5117</v>
      </c>
    </row>
    <row r="34179">
      <c r="H34179" t="s">
        <v>5117</v>
      </c>
    </row>
    <row r="34180">
      <c r="H34180" t="s">
        <v>5117</v>
      </c>
    </row>
    <row r="34181">
      <c r="H34181" t="s">
        <v>5117</v>
      </c>
    </row>
    <row r="34182">
      <c r="H34182" t="s">
        <v>5117</v>
      </c>
    </row>
    <row r="34183">
      <c r="H34183" t="s">
        <v>5117</v>
      </c>
    </row>
    <row r="34184">
      <c r="H34184" t="s">
        <v>5117</v>
      </c>
    </row>
    <row r="34185">
      <c r="H34185" t="s">
        <v>5117</v>
      </c>
    </row>
    <row r="34186">
      <c r="H34186" t="s">
        <v>5117</v>
      </c>
    </row>
    <row r="34187">
      <c r="H34187" t="s">
        <v>5117</v>
      </c>
    </row>
    <row r="34188">
      <c r="H34188" t="s">
        <v>5117</v>
      </c>
    </row>
    <row r="34189">
      <c r="H34189" t="s">
        <v>5117</v>
      </c>
    </row>
    <row r="34190">
      <c r="H34190" t="s">
        <v>5117</v>
      </c>
    </row>
    <row r="34191">
      <c r="H34191" t="s">
        <v>5117</v>
      </c>
    </row>
    <row r="34192">
      <c r="H34192" t="s">
        <v>5117</v>
      </c>
    </row>
    <row r="34193">
      <c r="H34193" t="s">
        <v>5117</v>
      </c>
    </row>
    <row r="34194">
      <c r="H34194" t="s">
        <v>5117</v>
      </c>
    </row>
    <row r="34195">
      <c r="H34195" t="s">
        <v>5117</v>
      </c>
    </row>
    <row r="34196">
      <c r="H34196" t="s">
        <v>5117</v>
      </c>
    </row>
    <row r="34197">
      <c r="H34197" t="s">
        <v>5117</v>
      </c>
    </row>
    <row r="34198">
      <c r="H34198" t="s">
        <v>5117</v>
      </c>
    </row>
    <row r="34199">
      <c r="H34199" t="s">
        <v>5117</v>
      </c>
    </row>
    <row r="34200">
      <c r="H34200" t="s">
        <v>5117</v>
      </c>
    </row>
    <row r="34201">
      <c r="H34201" t="s">
        <v>5117</v>
      </c>
    </row>
    <row r="34202">
      <c r="H34202" t="s">
        <v>5117</v>
      </c>
    </row>
    <row r="34203">
      <c r="H34203" t="s">
        <v>5117</v>
      </c>
    </row>
    <row r="34204">
      <c r="H34204" t="s">
        <v>5117</v>
      </c>
    </row>
    <row r="34205">
      <c r="H34205" t="s">
        <v>5117</v>
      </c>
    </row>
    <row r="34206">
      <c r="H34206" t="s">
        <v>5117</v>
      </c>
    </row>
    <row r="34207">
      <c r="H34207" t="s">
        <v>5117</v>
      </c>
    </row>
    <row r="34208">
      <c r="H34208" t="s">
        <v>5117</v>
      </c>
    </row>
    <row r="34209">
      <c r="H34209" t="s">
        <v>5117</v>
      </c>
    </row>
    <row r="34210">
      <c r="H34210" t="s">
        <v>5117</v>
      </c>
    </row>
    <row r="34211">
      <c r="H34211" t="s">
        <v>5117</v>
      </c>
    </row>
    <row r="34212">
      <c r="H34212" t="s">
        <v>5117</v>
      </c>
    </row>
    <row r="34213">
      <c r="H34213" t="s">
        <v>5117</v>
      </c>
    </row>
    <row r="34214">
      <c r="H34214" t="s">
        <v>5117</v>
      </c>
    </row>
    <row r="34215">
      <c r="H34215" t="s">
        <v>5117</v>
      </c>
    </row>
    <row r="34216">
      <c r="H34216" t="s">
        <v>5117</v>
      </c>
    </row>
    <row r="34217">
      <c r="H34217" t="s">
        <v>5117</v>
      </c>
    </row>
    <row r="34218">
      <c r="H34218" t="s">
        <v>5117</v>
      </c>
    </row>
    <row r="34219">
      <c r="H34219" t="s">
        <v>5117</v>
      </c>
    </row>
    <row r="34220">
      <c r="H34220" t="s">
        <v>5117</v>
      </c>
    </row>
    <row r="34221">
      <c r="H34221" t="s">
        <v>5117</v>
      </c>
    </row>
    <row r="34222">
      <c r="H34222" t="s">
        <v>5117</v>
      </c>
    </row>
    <row r="34223">
      <c r="H34223" t="s">
        <v>5117</v>
      </c>
    </row>
    <row r="34224">
      <c r="H34224" t="s">
        <v>5117</v>
      </c>
    </row>
    <row r="34225">
      <c r="H34225" t="s">
        <v>5117</v>
      </c>
    </row>
    <row r="34226">
      <c r="H34226" t="s">
        <v>5117</v>
      </c>
    </row>
    <row r="34227">
      <c r="H34227" t="s">
        <v>5117</v>
      </c>
    </row>
    <row r="34228">
      <c r="H34228" t="s">
        <v>5117</v>
      </c>
    </row>
    <row r="34229">
      <c r="H34229" t="s">
        <v>5117</v>
      </c>
    </row>
    <row r="34230">
      <c r="H34230" t="s">
        <v>5117</v>
      </c>
    </row>
    <row r="34231">
      <c r="H34231" t="s">
        <v>5117</v>
      </c>
    </row>
    <row r="34232">
      <c r="H34232" t="s">
        <v>5117</v>
      </c>
    </row>
    <row r="34233">
      <c r="H34233" t="s">
        <v>5117</v>
      </c>
    </row>
    <row r="34234">
      <c r="H34234" t="s">
        <v>5117</v>
      </c>
    </row>
    <row r="34235">
      <c r="H34235" t="s">
        <v>5117</v>
      </c>
    </row>
    <row r="34236">
      <c r="H34236" t="s">
        <v>5117</v>
      </c>
    </row>
    <row r="34237">
      <c r="H34237" t="s">
        <v>5117</v>
      </c>
    </row>
    <row r="34238">
      <c r="H34238" t="s">
        <v>5117</v>
      </c>
    </row>
    <row r="34239">
      <c r="H34239" t="s">
        <v>5117</v>
      </c>
    </row>
    <row r="34240">
      <c r="H34240" t="s">
        <v>5117</v>
      </c>
    </row>
    <row r="34241">
      <c r="H34241" t="s">
        <v>5117</v>
      </c>
    </row>
    <row r="34242">
      <c r="H34242" t="s">
        <v>5117</v>
      </c>
    </row>
    <row r="34243">
      <c r="H34243" t="s">
        <v>5117</v>
      </c>
    </row>
    <row r="34244">
      <c r="H34244" t="s">
        <v>5117</v>
      </c>
    </row>
    <row r="34245">
      <c r="H34245" t="s">
        <v>5117</v>
      </c>
    </row>
    <row r="34246">
      <c r="H34246" t="s">
        <v>5117</v>
      </c>
    </row>
    <row r="34247">
      <c r="H34247" t="s">
        <v>5117</v>
      </c>
    </row>
    <row r="34248">
      <c r="H34248" t="s">
        <v>5117</v>
      </c>
    </row>
    <row r="34249">
      <c r="H34249" t="s">
        <v>5117</v>
      </c>
    </row>
    <row r="34250">
      <c r="H34250" t="s">
        <v>5117</v>
      </c>
    </row>
    <row r="34251">
      <c r="H34251" t="s">
        <v>5117</v>
      </c>
    </row>
    <row r="34252">
      <c r="H34252" t="s">
        <v>5117</v>
      </c>
    </row>
    <row r="34253">
      <c r="H34253" t="s">
        <v>5117</v>
      </c>
    </row>
    <row r="34254">
      <c r="H34254" t="s">
        <v>5117</v>
      </c>
    </row>
    <row r="34255">
      <c r="H34255" t="s">
        <v>5117</v>
      </c>
    </row>
    <row r="34256">
      <c r="H34256" t="s">
        <v>5117</v>
      </c>
    </row>
    <row r="34257">
      <c r="H34257" t="s">
        <v>5117</v>
      </c>
    </row>
    <row r="34258">
      <c r="H34258" t="s">
        <v>5117</v>
      </c>
    </row>
    <row r="34259">
      <c r="H34259" t="s">
        <v>5117</v>
      </c>
    </row>
    <row r="34260">
      <c r="H34260" t="s">
        <v>5117</v>
      </c>
    </row>
    <row r="34261">
      <c r="H34261" t="s">
        <v>5117</v>
      </c>
    </row>
    <row r="34262">
      <c r="H34262" t="s">
        <v>5117</v>
      </c>
    </row>
    <row r="34263">
      <c r="H34263" t="s">
        <v>5117</v>
      </c>
    </row>
    <row r="34264">
      <c r="H34264" t="s">
        <v>5117</v>
      </c>
    </row>
    <row r="34265">
      <c r="H34265" t="s">
        <v>5117</v>
      </c>
    </row>
    <row r="34266">
      <c r="H34266" t="s">
        <v>5117</v>
      </c>
    </row>
    <row r="34267">
      <c r="H34267" t="s">
        <v>5117</v>
      </c>
    </row>
    <row r="34268">
      <c r="H34268" t="s">
        <v>5117</v>
      </c>
    </row>
    <row r="34269">
      <c r="H34269" t="s">
        <v>5117</v>
      </c>
    </row>
    <row r="34270">
      <c r="H34270" t="s">
        <v>5117</v>
      </c>
    </row>
    <row r="34271">
      <c r="H34271" t="s">
        <v>5117</v>
      </c>
    </row>
    <row r="34272">
      <c r="H34272" t="s">
        <v>5117</v>
      </c>
    </row>
    <row r="34273">
      <c r="H34273" t="s">
        <v>5117</v>
      </c>
    </row>
    <row r="34274">
      <c r="H34274" t="s">
        <v>5117</v>
      </c>
    </row>
    <row r="34275">
      <c r="H34275" t="s">
        <v>5117</v>
      </c>
    </row>
    <row r="34276">
      <c r="H34276" t="s">
        <v>5117</v>
      </c>
    </row>
    <row r="34277">
      <c r="H34277" t="s">
        <v>5117</v>
      </c>
    </row>
    <row r="34278">
      <c r="H34278" t="s">
        <v>5117</v>
      </c>
    </row>
    <row r="34279">
      <c r="H34279" t="s">
        <v>5117</v>
      </c>
    </row>
    <row r="34280">
      <c r="H34280" t="s">
        <v>5117</v>
      </c>
    </row>
    <row r="34281">
      <c r="H34281" t="s">
        <v>5117</v>
      </c>
    </row>
    <row r="34282">
      <c r="H34282" t="s">
        <v>5117</v>
      </c>
    </row>
    <row r="34283">
      <c r="H34283" t="s">
        <v>5117</v>
      </c>
    </row>
    <row r="34284">
      <c r="H34284" t="s">
        <v>5117</v>
      </c>
    </row>
    <row r="34285">
      <c r="H34285" t="s">
        <v>5117</v>
      </c>
    </row>
    <row r="34286">
      <c r="H34286" t="s">
        <v>5117</v>
      </c>
    </row>
    <row r="34287">
      <c r="H34287" t="s">
        <v>5117</v>
      </c>
    </row>
    <row r="34288">
      <c r="H34288" t="s">
        <v>5117</v>
      </c>
    </row>
    <row r="34289">
      <c r="H34289" t="s">
        <v>5117</v>
      </c>
    </row>
    <row r="34290">
      <c r="H34290" t="s">
        <v>5117</v>
      </c>
    </row>
    <row r="34291">
      <c r="H34291" t="s">
        <v>5117</v>
      </c>
    </row>
    <row r="34292">
      <c r="H34292" t="s">
        <v>5117</v>
      </c>
    </row>
    <row r="34293">
      <c r="H34293" t="s">
        <v>5117</v>
      </c>
    </row>
    <row r="34294">
      <c r="H34294" t="s">
        <v>5117</v>
      </c>
    </row>
    <row r="34295">
      <c r="H34295" t="s">
        <v>5117</v>
      </c>
    </row>
    <row r="34296">
      <c r="H34296" t="s">
        <v>5117</v>
      </c>
    </row>
    <row r="34297">
      <c r="H34297" t="s">
        <v>5117</v>
      </c>
    </row>
    <row r="34298">
      <c r="H34298" t="s">
        <v>5117</v>
      </c>
    </row>
    <row r="34299">
      <c r="H34299" t="s">
        <v>5117</v>
      </c>
    </row>
    <row r="34300">
      <c r="H34300" t="s">
        <v>5117</v>
      </c>
    </row>
    <row r="34301">
      <c r="H34301" t="s">
        <v>5117</v>
      </c>
    </row>
    <row r="34302">
      <c r="H34302" t="s">
        <v>5117</v>
      </c>
    </row>
    <row r="34303">
      <c r="H34303" t="s">
        <v>5117</v>
      </c>
    </row>
    <row r="34304">
      <c r="H34304" t="s">
        <v>5117</v>
      </c>
    </row>
    <row r="34305">
      <c r="H34305" t="s">
        <v>5117</v>
      </c>
    </row>
    <row r="34306">
      <c r="H34306" t="s">
        <v>5117</v>
      </c>
    </row>
    <row r="34307">
      <c r="H34307" t="s">
        <v>5117</v>
      </c>
    </row>
    <row r="34308">
      <c r="H34308" t="s">
        <v>5117</v>
      </c>
    </row>
    <row r="34309">
      <c r="H34309" t="s">
        <v>5117</v>
      </c>
    </row>
    <row r="34310">
      <c r="H34310" t="s">
        <v>5117</v>
      </c>
    </row>
    <row r="34311">
      <c r="H34311" t="s">
        <v>5117</v>
      </c>
    </row>
    <row r="34312">
      <c r="H34312" t="s">
        <v>5117</v>
      </c>
    </row>
    <row r="34313">
      <c r="H34313" t="s">
        <v>5117</v>
      </c>
    </row>
    <row r="34314">
      <c r="H34314" t="s">
        <v>5117</v>
      </c>
    </row>
    <row r="34315">
      <c r="H34315" t="s">
        <v>5117</v>
      </c>
    </row>
    <row r="34316">
      <c r="H34316" t="s">
        <v>5117</v>
      </c>
    </row>
    <row r="34317">
      <c r="H34317" t="s">
        <v>5117</v>
      </c>
    </row>
    <row r="34318">
      <c r="H34318" t="s">
        <v>5117</v>
      </c>
    </row>
    <row r="34319">
      <c r="H34319" t="s">
        <v>5117</v>
      </c>
    </row>
    <row r="34320">
      <c r="H34320" t="s">
        <v>5117</v>
      </c>
    </row>
    <row r="34321">
      <c r="H34321" t="s">
        <v>5117</v>
      </c>
    </row>
    <row r="34322">
      <c r="H34322" t="s">
        <v>5117</v>
      </c>
    </row>
    <row r="34323">
      <c r="H34323" t="s">
        <v>5117</v>
      </c>
    </row>
    <row r="34324">
      <c r="H34324" t="s">
        <v>5117</v>
      </c>
    </row>
    <row r="34325">
      <c r="H34325" t="s">
        <v>5117</v>
      </c>
    </row>
    <row r="34326">
      <c r="H34326" t="s">
        <v>5117</v>
      </c>
    </row>
    <row r="34327">
      <c r="H34327" t="s">
        <v>5117</v>
      </c>
    </row>
    <row r="34328">
      <c r="H34328" t="s">
        <v>5117</v>
      </c>
    </row>
    <row r="34329">
      <c r="H34329" t="s">
        <v>5117</v>
      </c>
    </row>
    <row r="34330">
      <c r="H34330" t="s">
        <v>5117</v>
      </c>
    </row>
    <row r="34331">
      <c r="H34331" t="s">
        <v>5117</v>
      </c>
    </row>
    <row r="34332">
      <c r="H34332" t="s">
        <v>5117</v>
      </c>
    </row>
    <row r="34333">
      <c r="H34333" t="s">
        <v>5117</v>
      </c>
    </row>
    <row r="34334">
      <c r="H34334" t="s">
        <v>5117</v>
      </c>
    </row>
    <row r="34335">
      <c r="H34335" t="s">
        <v>5117</v>
      </c>
    </row>
    <row r="34336">
      <c r="H34336" t="s">
        <v>5117</v>
      </c>
    </row>
    <row r="34337">
      <c r="H34337" t="s">
        <v>5117</v>
      </c>
    </row>
    <row r="34338">
      <c r="H34338" t="s">
        <v>5117</v>
      </c>
    </row>
    <row r="34339">
      <c r="H34339" t="s">
        <v>5117</v>
      </c>
    </row>
    <row r="34340">
      <c r="H34340" t="s">
        <v>5117</v>
      </c>
    </row>
    <row r="34341">
      <c r="H34341" t="s">
        <v>5117</v>
      </c>
    </row>
    <row r="34342">
      <c r="H34342" t="s">
        <v>5117</v>
      </c>
    </row>
    <row r="34343">
      <c r="H34343" t="s">
        <v>5117</v>
      </c>
    </row>
    <row r="34344">
      <c r="H34344" t="s">
        <v>5117</v>
      </c>
    </row>
    <row r="34345">
      <c r="H34345" t="s">
        <v>5117</v>
      </c>
    </row>
    <row r="34346">
      <c r="H34346" t="s">
        <v>5117</v>
      </c>
    </row>
    <row r="34347">
      <c r="H34347" t="s">
        <v>5117</v>
      </c>
    </row>
    <row r="34348">
      <c r="H34348" t="s">
        <v>5117</v>
      </c>
    </row>
    <row r="34349">
      <c r="H34349" t="s">
        <v>5117</v>
      </c>
    </row>
    <row r="34350">
      <c r="H34350" t="s">
        <v>5117</v>
      </c>
    </row>
    <row r="34351">
      <c r="H34351" t="s">
        <v>5117</v>
      </c>
    </row>
    <row r="34352">
      <c r="H34352" t="s">
        <v>5117</v>
      </c>
    </row>
    <row r="34353">
      <c r="H34353" t="s">
        <v>5117</v>
      </c>
    </row>
    <row r="34354">
      <c r="H34354" t="s">
        <v>5117</v>
      </c>
    </row>
    <row r="34355">
      <c r="H34355" t="s">
        <v>5117</v>
      </c>
    </row>
    <row r="34356">
      <c r="H34356" t="s">
        <v>5117</v>
      </c>
    </row>
    <row r="34357">
      <c r="H34357" t="s">
        <v>5117</v>
      </c>
    </row>
    <row r="34358">
      <c r="H34358" t="s">
        <v>5117</v>
      </c>
    </row>
    <row r="34359">
      <c r="H34359" t="s">
        <v>5117</v>
      </c>
    </row>
    <row r="34360">
      <c r="H34360" t="s">
        <v>5117</v>
      </c>
    </row>
    <row r="34361">
      <c r="H34361" t="s">
        <v>5117</v>
      </c>
    </row>
    <row r="34362">
      <c r="H34362" t="s">
        <v>5117</v>
      </c>
    </row>
    <row r="34363">
      <c r="H34363" t="s">
        <v>5117</v>
      </c>
    </row>
    <row r="34364">
      <c r="H34364" t="s">
        <v>5117</v>
      </c>
    </row>
    <row r="34365">
      <c r="H34365" t="s">
        <v>5117</v>
      </c>
    </row>
    <row r="34366">
      <c r="H34366" t="s">
        <v>5117</v>
      </c>
    </row>
    <row r="34367">
      <c r="H34367" t="s">
        <v>5117</v>
      </c>
    </row>
    <row r="34368">
      <c r="H34368" t="s">
        <v>5117</v>
      </c>
    </row>
    <row r="34369">
      <c r="H34369" t="s">
        <v>5117</v>
      </c>
    </row>
    <row r="34370">
      <c r="H34370" t="s">
        <v>5117</v>
      </c>
    </row>
    <row r="34371">
      <c r="H34371" t="s">
        <v>5117</v>
      </c>
    </row>
    <row r="34372">
      <c r="H34372" t="s">
        <v>5117</v>
      </c>
    </row>
    <row r="34373">
      <c r="H34373" t="s">
        <v>5117</v>
      </c>
    </row>
    <row r="34374">
      <c r="H34374" t="s">
        <v>5117</v>
      </c>
    </row>
    <row r="34375">
      <c r="H34375" t="s">
        <v>5117</v>
      </c>
    </row>
    <row r="34376">
      <c r="H34376" t="s">
        <v>5117</v>
      </c>
    </row>
    <row r="34377">
      <c r="H34377" t="s">
        <v>5117</v>
      </c>
    </row>
    <row r="34378">
      <c r="H34378" t="s">
        <v>5117</v>
      </c>
    </row>
    <row r="34379">
      <c r="H34379" t="s">
        <v>5117</v>
      </c>
    </row>
    <row r="34380">
      <c r="H34380" t="s">
        <v>5117</v>
      </c>
    </row>
    <row r="34381">
      <c r="H34381" t="s">
        <v>5117</v>
      </c>
    </row>
    <row r="34382">
      <c r="H34382" t="s">
        <v>5117</v>
      </c>
    </row>
    <row r="34383">
      <c r="H34383" t="s">
        <v>5117</v>
      </c>
    </row>
    <row r="34384">
      <c r="H34384" t="s">
        <v>5117</v>
      </c>
    </row>
    <row r="34385">
      <c r="H34385" t="s">
        <v>5117</v>
      </c>
    </row>
    <row r="34386">
      <c r="H34386" t="s">
        <v>5117</v>
      </c>
    </row>
    <row r="34387">
      <c r="H34387" t="s">
        <v>5117</v>
      </c>
    </row>
    <row r="34388">
      <c r="H34388" t="s">
        <v>5117</v>
      </c>
    </row>
    <row r="34389">
      <c r="H34389" t="s">
        <v>5117</v>
      </c>
    </row>
    <row r="34390">
      <c r="H34390" t="s">
        <v>5117</v>
      </c>
    </row>
    <row r="34391">
      <c r="H34391" t="s">
        <v>5117</v>
      </c>
    </row>
    <row r="34392">
      <c r="H34392" t="s">
        <v>5117</v>
      </c>
    </row>
    <row r="34393">
      <c r="H34393" t="s">
        <v>5117</v>
      </c>
    </row>
    <row r="34394">
      <c r="H34394" t="s">
        <v>5117</v>
      </c>
    </row>
    <row r="34395">
      <c r="H34395" t="s">
        <v>5117</v>
      </c>
    </row>
    <row r="34396">
      <c r="H34396" t="s">
        <v>5117</v>
      </c>
    </row>
    <row r="34397">
      <c r="H34397" t="s">
        <v>5117</v>
      </c>
    </row>
    <row r="34398">
      <c r="H34398" t="s">
        <v>5117</v>
      </c>
    </row>
    <row r="34399">
      <c r="H34399" t="s">
        <v>5117</v>
      </c>
    </row>
    <row r="34400">
      <c r="H34400" t="s">
        <v>5117</v>
      </c>
    </row>
    <row r="34401">
      <c r="H34401" t="s">
        <v>5117</v>
      </c>
    </row>
    <row r="34402">
      <c r="H34402" t="s">
        <v>5117</v>
      </c>
    </row>
    <row r="34403">
      <c r="H34403" t="s">
        <v>5117</v>
      </c>
    </row>
    <row r="34404">
      <c r="H34404" t="s">
        <v>5117</v>
      </c>
    </row>
    <row r="34405">
      <c r="H34405" t="s">
        <v>5117</v>
      </c>
    </row>
    <row r="34406">
      <c r="H34406" t="s">
        <v>5117</v>
      </c>
    </row>
    <row r="34407">
      <c r="H34407" t="s">
        <v>5117</v>
      </c>
    </row>
    <row r="34408">
      <c r="H34408" t="s">
        <v>5117</v>
      </c>
    </row>
    <row r="34409">
      <c r="H34409" t="s">
        <v>5117</v>
      </c>
    </row>
    <row r="34410">
      <c r="H34410" t="s">
        <v>5117</v>
      </c>
    </row>
    <row r="34411">
      <c r="H34411" t="s">
        <v>5117</v>
      </c>
    </row>
    <row r="34412">
      <c r="H34412" t="s">
        <v>5117</v>
      </c>
    </row>
    <row r="34413">
      <c r="H34413" t="s">
        <v>5117</v>
      </c>
    </row>
    <row r="34414">
      <c r="H34414" t="s">
        <v>5117</v>
      </c>
    </row>
    <row r="34415">
      <c r="H34415" t="s">
        <v>5117</v>
      </c>
    </row>
    <row r="34416">
      <c r="H34416" t="s">
        <v>5117</v>
      </c>
    </row>
    <row r="34417">
      <c r="H34417" t="s">
        <v>5117</v>
      </c>
    </row>
    <row r="34418">
      <c r="H34418" t="s">
        <v>5117</v>
      </c>
    </row>
    <row r="34419">
      <c r="H34419" t="s">
        <v>5117</v>
      </c>
    </row>
    <row r="34420">
      <c r="H34420" t="s">
        <v>5117</v>
      </c>
    </row>
    <row r="34421">
      <c r="H34421" t="s">
        <v>5117</v>
      </c>
    </row>
    <row r="34422">
      <c r="H34422" t="s">
        <v>5117</v>
      </c>
    </row>
    <row r="34423">
      <c r="H34423" t="s">
        <v>5117</v>
      </c>
    </row>
    <row r="34424">
      <c r="H34424" t="s">
        <v>5117</v>
      </c>
    </row>
    <row r="34425">
      <c r="H34425" t="s">
        <v>5117</v>
      </c>
    </row>
    <row r="34426">
      <c r="H34426" t="s">
        <v>5117</v>
      </c>
    </row>
    <row r="34427">
      <c r="H34427" t="s">
        <v>5117</v>
      </c>
    </row>
    <row r="34428">
      <c r="H34428" t="s">
        <v>5117</v>
      </c>
    </row>
    <row r="34429">
      <c r="H34429" t="s">
        <v>5117</v>
      </c>
    </row>
    <row r="34430">
      <c r="H34430" t="s">
        <v>5117</v>
      </c>
    </row>
    <row r="34431">
      <c r="H34431" t="s">
        <v>5117</v>
      </c>
    </row>
    <row r="34432">
      <c r="H34432" t="s">
        <v>5117</v>
      </c>
    </row>
    <row r="34433">
      <c r="H34433" t="s">
        <v>5117</v>
      </c>
    </row>
    <row r="34434">
      <c r="H34434" t="s">
        <v>5117</v>
      </c>
    </row>
    <row r="34435">
      <c r="H34435" t="s">
        <v>5117</v>
      </c>
    </row>
    <row r="34436">
      <c r="H34436" t="s">
        <v>5117</v>
      </c>
    </row>
    <row r="34437">
      <c r="H34437" t="s">
        <v>5117</v>
      </c>
    </row>
    <row r="34438">
      <c r="H34438" t="s">
        <v>5117</v>
      </c>
    </row>
    <row r="34439">
      <c r="H34439" t="s">
        <v>5117</v>
      </c>
    </row>
    <row r="34440">
      <c r="H34440" t="s">
        <v>5117</v>
      </c>
    </row>
    <row r="34441">
      <c r="H34441" t="s">
        <v>5117</v>
      </c>
    </row>
    <row r="34442">
      <c r="H34442" t="s">
        <v>5117</v>
      </c>
    </row>
    <row r="34443">
      <c r="H34443" t="s">
        <v>5117</v>
      </c>
    </row>
    <row r="34444">
      <c r="H34444" t="s">
        <v>5117</v>
      </c>
    </row>
    <row r="34445">
      <c r="H34445" t="s">
        <v>5117</v>
      </c>
    </row>
    <row r="34446">
      <c r="H34446" t="s">
        <v>5117</v>
      </c>
    </row>
    <row r="34447">
      <c r="H34447" t="s">
        <v>5117</v>
      </c>
    </row>
    <row r="34448">
      <c r="H34448" t="s">
        <v>5117</v>
      </c>
    </row>
    <row r="34449">
      <c r="H34449" t="s">
        <v>5117</v>
      </c>
    </row>
    <row r="34450">
      <c r="H34450" t="s">
        <v>5117</v>
      </c>
    </row>
    <row r="34451">
      <c r="H34451" t="s">
        <v>5117</v>
      </c>
    </row>
    <row r="34452">
      <c r="H34452" t="s">
        <v>5117</v>
      </c>
    </row>
    <row r="34453">
      <c r="H34453" t="s">
        <v>5117</v>
      </c>
    </row>
    <row r="34454">
      <c r="H34454" t="s">
        <v>5117</v>
      </c>
    </row>
    <row r="34455">
      <c r="H34455" t="s">
        <v>5117</v>
      </c>
    </row>
    <row r="34456">
      <c r="H34456" t="s">
        <v>5117</v>
      </c>
    </row>
    <row r="34457">
      <c r="H34457" t="s">
        <v>5117</v>
      </c>
    </row>
    <row r="34458">
      <c r="H34458" t="s">
        <v>5117</v>
      </c>
    </row>
    <row r="34459">
      <c r="H34459" t="s">
        <v>5117</v>
      </c>
    </row>
    <row r="34460">
      <c r="H34460" t="s">
        <v>5117</v>
      </c>
    </row>
    <row r="34461">
      <c r="H34461" t="s">
        <v>5117</v>
      </c>
    </row>
    <row r="34462">
      <c r="H34462" t="s">
        <v>5117</v>
      </c>
    </row>
    <row r="34463">
      <c r="H34463" t="s">
        <v>5117</v>
      </c>
    </row>
    <row r="34464">
      <c r="H34464" t="s">
        <v>5117</v>
      </c>
    </row>
    <row r="34465">
      <c r="H34465" t="s">
        <v>5117</v>
      </c>
    </row>
    <row r="34466">
      <c r="H34466" t="s">
        <v>5117</v>
      </c>
    </row>
    <row r="34467">
      <c r="H34467" t="s">
        <v>5117</v>
      </c>
    </row>
    <row r="34468">
      <c r="H34468" t="s">
        <v>5117</v>
      </c>
    </row>
    <row r="34469">
      <c r="H34469" t="s">
        <v>5117</v>
      </c>
    </row>
    <row r="34470">
      <c r="H34470" t="s">
        <v>5117</v>
      </c>
    </row>
    <row r="34471">
      <c r="H34471" t="s">
        <v>5117</v>
      </c>
    </row>
    <row r="34472">
      <c r="H34472" t="s">
        <v>5117</v>
      </c>
    </row>
    <row r="34473">
      <c r="H34473" t="s">
        <v>5117</v>
      </c>
    </row>
    <row r="34474">
      <c r="H34474" t="s">
        <v>5117</v>
      </c>
    </row>
    <row r="34475">
      <c r="H34475" t="s">
        <v>5117</v>
      </c>
    </row>
    <row r="34476">
      <c r="H34476" t="s">
        <v>5117</v>
      </c>
    </row>
    <row r="34477">
      <c r="H34477" t="s">
        <v>5117</v>
      </c>
    </row>
    <row r="34478">
      <c r="H34478" t="s">
        <v>5117</v>
      </c>
    </row>
    <row r="34479">
      <c r="H34479" t="s">
        <v>5117</v>
      </c>
    </row>
    <row r="34480">
      <c r="H34480" t="s">
        <v>5117</v>
      </c>
    </row>
    <row r="34481">
      <c r="H34481" t="s">
        <v>5117</v>
      </c>
    </row>
    <row r="34482">
      <c r="H34482" t="s">
        <v>5117</v>
      </c>
    </row>
    <row r="34483">
      <c r="H34483" t="s">
        <v>5117</v>
      </c>
    </row>
    <row r="34484">
      <c r="H34484" t="s">
        <v>5117</v>
      </c>
    </row>
    <row r="34485">
      <c r="H34485" t="s">
        <v>5117</v>
      </c>
    </row>
    <row r="34486">
      <c r="H34486" t="s">
        <v>5117</v>
      </c>
    </row>
    <row r="34487">
      <c r="H34487" t="s">
        <v>5117</v>
      </c>
    </row>
    <row r="34488">
      <c r="H34488" t="s">
        <v>5117</v>
      </c>
    </row>
    <row r="34489">
      <c r="H34489" t="s">
        <v>5117</v>
      </c>
    </row>
    <row r="34490">
      <c r="H34490" t="s">
        <v>5117</v>
      </c>
    </row>
    <row r="34491">
      <c r="H34491" t="s">
        <v>5117</v>
      </c>
    </row>
    <row r="34492">
      <c r="H34492" t="s">
        <v>5117</v>
      </c>
    </row>
    <row r="34493">
      <c r="H34493" t="s">
        <v>5117</v>
      </c>
    </row>
    <row r="34494">
      <c r="H34494" t="s">
        <v>5117</v>
      </c>
    </row>
    <row r="34495">
      <c r="H34495" t="s">
        <v>5117</v>
      </c>
    </row>
    <row r="34496">
      <c r="H34496" t="s">
        <v>5117</v>
      </c>
    </row>
    <row r="34497">
      <c r="H34497" t="s">
        <v>5117</v>
      </c>
    </row>
    <row r="34498">
      <c r="H34498" t="s">
        <v>5117</v>
      </c>
    </row>
    <row r="34499">
      <c r="H34499" t="s">
        <v>5117</v>
      </c>
    </row>
    <row r="34500">
      <c r="H34500" t="s">
        <v>5117</v>
      </c>
    </row>
    <row r="34501">
      <c r="H34501" t="s">
        <v>5117</v>
      </c>
    </row>
    <row r="34502">
      <c r="H34502" t="s">
        <v>5117</v>
      </c>
    </row>
    <row r="34503">
      <c r="H34503" t="s">
        <v>5117</v>
      </c>
    </row>
    <row r="34504">
      <c r="H34504" t="s">
        <v>5117</v>
      </c>
    </row>
    <row r="34505">
      <c r="H34505" t="s">
        <v>5117</v>
      </c>
    </row>
    <row r="34506">
      <c r="H34506" t="s">
        <v>5117</v>
      </c>
    </row>
    <row r="34507">
      <c r="H34507" t="s">
        <v>5117</v>
      </c>
    </row>
    <row r="34508">
      <c r="H34508" t="s">
        <v>5117</v>
      </c>
    </row>
    <row r="34509">
      <c r="H34509" t="s">
        <v>5117</v>
      </c>
    </row>
    <row r="34510">
      <c r="H34510" t="s">
        <v>5117</v>
      </c>
    </row>
    <row r="34511">
      <c r="H34511" t="s">
        <v>5117</v>
      </c>
    </row>
    <row r="34512">
      <c r="H34512" t="s">
        <v>5117</v>
      </c>
    </row>
    <row r="34513">
      <c r="H34513" t="s">
        <v>5117</v>
      </c>
    </row>
    <row r="34514">
      <c r="H34514" t="s">
        <v>5117</v>
      </c>
    </row>
    <row r="34515">
      <c r="H34515" t="s">
        <v>5117</v>
      </c>
    </row>
    <row r="34516">
      <c r="H34516" t="s">
        <v>5117</v>
      </c>
    </row>
    <row r="34517">
      <c r="H34517" t="s">
        <v>5117</v>
      </c>
    </row>
    <row r="34518">
      <c r="H34518" t="s">
        <v>5117</v>
      </c>
    </row>
    <row r="34519">
      <c r="H34519" t="s">
        <v>5117</v>
      </c>
    </row>
    <row r="34520">
      <c r="H34520" t="s">
        <v>5117</v>
      </c>
    </row>
    <row r="34521">
      <c r="H34521" t="s">
        <v>5117</v>
      </c>
    </row>
    <row r="34522">
      <c r="H34522" t="s">
        <v>5117</v>
      </c>
    </row>
    <row r="34523">
      <c r="H34523" t="s">
        <v>5117</v>
      </c>
    </row>
    <row r="34524">
      <c r="H34524" t="s">
        <v>5117</v>
      </c>
    </row>
    <row r="34525">
      <c r="H34525" t="s">
        <v>5117</v>
      </c>
    </row>
    <row r="34526">
      <c r="H34526" t="s">
        <v>5117</v>
      </c>
    </row>
    <row r="34527">
      <c r="H34527" t="s">
        <v>5117</v>
      </c>
    </row>
    <row r="34528">
      <c r="H34528" t="s">
        <v>5117</v>
      </c>
    </row>
    <row r="34529">
      <c r="H34529" t="s">
        <v>5117</v>
      </c>
    </row>
    <row r="34530">
      <c r="H34530" t="s">
        <v>5117</v>
      </c>
    </row>
    <row r="34531">
      <c r="H34531" t="s">
        <v>5117</v>
      </c>
    </row>
    <row r="34532">
      <c r="H34532" t="s">
        <v>5117</v>
      </c>
    </row>
    <row r="34533">
      <c r="H34533" t="s">
        <v>5117</v>
      </c>
    </row>
    <row r="34534">
      <c r="H34534" t="s">
        <v>5117</v>
      </c>
    </row>
    <row r="34535">
      <c r="H34535" t="s">
        <v>5117</v>
      </c>
    </row>
    <row r="34536">
      <c r="H34536" t="s">
        <v>5117</v>
      </c>
    </row>
    <row r="34537">
      <c r="H34537" t="s">
        <v>5117</v>
      </c>
    </row>
    <row r="34538">
      <c r="H34538" t="s">
        <v>5117</v>
      </c>
    </row>
    <row r="34539">
      <c r="H34539" t="s">
        <v>5117</v>
      </c>
    </row>
    <row r="34540">
      <c r="H34540" t="s">
        <v>5117</v>
      </c>
    </row>
    <row r="34541">
      <c r="H34541" t="s">
        <v>5117</v>
      </c>
    </row>
    <row r="34542">
      <c r="H34542" t="s">
        <v>5117</v>
      </c>
    </row>
    <row r="34543">
      <c r="H34543" t="s">
        <v>5117</v>
      </c>
    </row>
    <row r="34544">
      <c r="H34544" t="s">
        <v>5117</v>
      </c>
    </row>
    <row r="34545">
      <c r="H34545" t="s">
        <v>5117</v>
      </c>
    </row>
    <row r="34546">
      <c r="H34546" t="s">
        <v>5117</v>
      </c>
    </row>
    <row r="34547">
      <c r="H34547" t="s">
        <v>5117</v>
      </c>
    </row>
    <row r="34548">
      <c r="H34548" t="s">
        <v>5117</v>
      </c>
    </row>
    <row r="34549">
      <c r="H34549" t="s">
        <v>5117</v>
      </c>
    </row>
    <row r="34550">
      <c r="H34550" t="s">
        <v>5117</v>
      </c>
    </row>
    <row r="34551">
      <c r="H34551" t="s">
        <v>5117</v>
      </c>
    </row>
    <row r="34552">
      <c r="H34552" t="s">
        <v>5117</v>
      </c>
    </row>
    <row r="34553">
      <c r="H34553" t="s">
        <v>5117</v>
      </c>
    </row>
    <row r="34554">
      <c r="H34554" t="s">
        <v>5117</v>
      </c>
    </row>
    <row r="34555">
      <c r="H34555" t="s">
        <v>5117</v>
      </c>
    </row>
    <row r="34556">
      <c r="H34556" t="s">
        <v>5117</v>
      </c>
    </row>
    <row r="34557">
      <c r="H34557" t="s">
        <v>5117</v>
      </c>
    </row>
    <row r="34558">
      <c r="H34558" t="s">
        <v>5117</v>
      </c>
    </row>
    <row r="34559">
      <c r="H34559" t="s">
        <v>5117</v>
      </c>
    </row>
    <row r="34560">
      <c r="H34560" t="s">
        <v>5117</v>
      </c>
    </row>
    <row r="34561">
      <c r="H34561" t="s">
        <v>5117</v>
      </c>
    </row>
    <row r="34562">
      <c r="H34562" t="s">
        <v>5117</v>
      </c>
    </row>
    <row r="34563">
      <c r="H34563" t="s">
        <v>5117</v>
      </c>
    </row>
    <row r="34564">
      <c r="H34564" t="s">
        <v>5117</v>
      </c>
    </row>
    <row r="34565">
      <c r="H34565" t="s">
        <v>5117</v>
      </c>
    </row>
    <row r="34566">
      <c r="H34566" t="s">
        <v>5117</v>
      </c>
    </row>
    <row r="34567">
      <c r="H34567" t="s">
        <v>5117</v>
      </c>
    </row>
    <row r="34568">
      <c r="H34568" t="s">
        <v>5117</v>
      </c>
    </row>
    <row r="34569">
      <c r="H34569" t="s">
        <v>5117</v>
      </c>
    </row>
    <row r="34570">
      <c r="H34570" t="s">
        <v>5117</v>
      </c>
    </row>
    <row r="34571">
      <c r="H34571" t="s">
        <v>5117</v>
      </c>
    </row>
    <row r="34572">
      <c r="H34572" t="s">
        <v>5117</v>
      </c>
    </row>
    <row r="34573">
      <c r="H34573" t="s">
        <v>5117</v>
      </c>
    </row>
    <row r="34574">
      <c r="H34574" t="s">
        <v>5117</v>
      </c>
    </row>
    <row r="34575">
      <c r="H34575" t="s">
        <v>5117</v>
      </c>
    </row>
    <row r="34576">
      <c r="H34576" t="s">
        <v>5117</v>
      </c>
    </row>
    <row r="34577">
      <c r="H34577" t="s">
        <v>5117</v>
      </c>
    </row>
    <row r="34578">
      <c r="H34578" t="s">
        <v>5117</v>
      </c>
    </row>
    <row r="34579">
      <c r="H34579" t="s">
        <v>5117</v>
      </c>
    </row>
    <row r="34580">
      <c r="H34580" t="s">
        <v>5117</v>
      </c>
    </row>
    <row r="34581">
      <c r="H34581" t="s">
        <v>5117</v>
      </c>
    </row>
    <row r="34582">
      <c r="H34582" t="s">
        <v>5117</v>
      </c>
    </row>
    <row r="34583">
      <c r="H34583" t="s">
        <v>5117</v>
      </c>
    </row>
    <row r="34584">
      <c r="H34584" t="s">
        <v>5117</v>
      </c>
    </row>
    <row r="34585">
      <c r="H34585" t="s">
        <v>5117</v>
      </c>
    </row>
    <row r="34586">
      <c r="H34586" t="s">
        <v>5117</v>
      </c>
    </row>
    <row r="34587">
      <c r="H34587" t="s">
        <v>5117</v>
      </c>
    </row>
    <row r="34588">
      <c r="H34588" t="s">
        <v>5117</v>
      </c>
    </row>
    <row r="34589">
      <c r="H34589" t="s">
        <v>5117</v>
      </c>
    </row>
    <row r="34590">
      <c r="H34590" t="s">
        <v>5117</v>
      </c>
    </row>
    <row r="34591">
      <c r="H34591" t="s">
        <v>5117</v>
      </c>
    </row>
    <row r="34592">
      <c r="H34592" t="s">
        <v>5117</v>
      </c>
    </row>
    <row r="34593">
      <c r="H34593" t="s">
        <v>5117</v>
      </c>
    </row>
    <row r="34594">
      <c r="H34594" t="s">
        <v>5117</v>
      </c>
    </row>
    <row r="34595">
      <c r="H34595" t="s">
        <v>5117</v>
      </c>
    </row>
    <row r="34596">
      <c r="H34596" t="s">
        <v>5117</v>
      </c>
    </row>
    <row r="34597">
      <c r="H34597" t="s">
        <v>5117</v>
      </c>
    </row>
    <row r="34598">
      <c r="H34598" t="s">
        <v>5117</v>
      </c>
    </row>
    <row r="34599">
      <c r="H34599" t="s">
        <v>5117</v>
      </c>
    </row>
    <row r="34600">
      <c r="H34600" t="s">
        <v>5117</v>
      </c>
    </row>
    <row r="34601">
      <c r="H34601" t="s">
        <v>5117</v>
      </c>
    </row>
    <row r="34602">
      <c r="H34602" t="s">
        <v>5117</v>
      </c>
    </row>
    <row r="34603">
      <c r="H34603" t="s">
        <v>5117</v>
      </c>
    </row>
    <row r="34604">
      <c r="H34604" t="s">
        <v>5117</v>
      </c>
    </row>
    <row r="34605">
      <c r="H34605" t="s">
        <v>5117</v>
      </c>
    </row>
    <row r="34606">
      <c r="H34606" t="s">
        <v>5117</v>
      </c>
    </row>
    <row r="34607">
      <c r="H34607" t="s">
        <v>5117</v>
      </c>
    </row>
    <row r="34608">
      <c r="H34608" t="s">
        <v>5117</v>
      </c>
    </row>
    <row r="34609">
      <c r="H34609" t="s">
        <v>5117</v>
      </c>
    </row>
    <row r="34610">
      <c r="H34610" t="s">
        <v>5117</v>
      </c>
    </row>
    <row r="34611">
      <c r="H34611" t="s">
        <v>5117</v>
      </c>
    </row>
    <row r="34612">
      <c r="H34612" t="s">
        <v>5117</v>
      </c>
    </row>
    <row r="34613">
      <c r="H34613" t="s">
        <v>5117</v>
      </c>
    </row>
    <row r="34614">
      <c r="H34614" t="s">
        <v>5117</v>
      </c>
    </row>
    <row r="34615">
      <c r="H34615" t="s">
        <v>5117</v>
      </c>
    </row>
    <row r="34616">
      <c r="H34616" t="s">
        <v>5117</v>
      </c>
    </row>
    <row r="34617">
      <c r="H34617" t="s">
        <v>5117</v>
      </c>
    </row>
    <row r="34618">
      <c r="H34618" t="s">
        <v>5117</v>
      </c>
    </row>
    <row r="34619">
      <c r="H34619" t="s">
        <v>5117</v>
      </c>
    </row>
    <row r="34620">
      <c r="H34620" t="s">
        <v>5117</v>
      </c>
    </row>
    <row r="34621">
      <c r="H34621" t="s">
        <v>5117</v>
      </c>
    </row>
    <row r="34622">
      <c r="H34622" t="s">
        <v>5117</v>
      </c>
    </row>
    <row r="34623">
      <c r="H34623" t="s">
        <v>5117</v>
      </c>
    </row>
    <row r="34624">
      <c r="H34624" t="s">
        <v>5117</v>
      </c>
    </row>
    <row r="34625">
      <c r="H34625" t="s">
        <v>5117</v>
      </c>
    </row>
    <row r="34626">
      <c r="H34626" t="s">
        <v>5117</v>
      </c>
    </row>
    <row r="34627">
      <c r="H34627" t="s">
        <v>5117</v>
      </c>
    </row>
    <row r="34628">
      <c r="H34628" t="s">
        <v>5117</v>
      </c>
    </row>
    <row r="34629">
      <c r="H34629" t="s">
        <v>5117</v>
      </c>
    </row>
    <row r="34630">
      <c r="H34630" t="s">
        <v>5117</v>
      </c>
    </row>
    <row r="34631">
      <c r="H34631" t="s">
        <v>5117</v>
      </c>
    </row>
    <row r="34632">
      <c r="H34632" t="s">
        <v>5117</v>
      </c>
    </row>
    <row r="34633">
      <c r="H34633" t="s">
        <v>5117</v>
      </c>
    </row>
    <row r="34634">
      <c r="H34634" t="s">
        <v>5117</v>
      </c>
    </row>
    <row r="34635">
      <c r="H34635" t="s">
        <v>5117</v>
      </c>
    </row>
    <row r="34636">
      <c r="H34636" t="s">
        <v>5117</v>
      </c>
    </row>
    <row r="34637">
      <c r="H34637" t="s">
        <v>5117</v>
      </c>
    </row>
    <row r="34638">
      <c r="H34638" t="s">
        <v>5117</v>
      </c>
    </row>
    <row r="34639">
      <c r="H34639" t="s">
        <v>5117</v>
      </c>
    </row>
    <row r="34640">
      <c r="H34640" t="s">
        <v>5117</v>
      </c>
    </row>
    <row r="34641">
      <c r="H34641" t="s">
        <v>5117</v>
      </c>
    </row>
    <row r="34642">
      <c r="H34642" t="s">
        <v>5117</v>
      </c>
    </row>
    <row r="34643">
      <c r="H34643" t="s">
        <v>5117</v>
      </c>
    </row>
    <row r="34644">
      <c r="H34644" t="s">
        <v>5117</v>
      </c>
    </row>
    <row r="34645">
      <c r="H34645" t="s">
        <v>5117</v>
      </c>
    </row>
    <row r="34646">
      <c r="H34646" t="s">
        <v>5117</v>
      </c>
    </row>
    <row r="34647">
      <c r="H34647" t="s">
        <v>5117</v>
      </c>
    </row>
    <row r="34648">
      <c r="H34648" t="s">
        <v>5117</v>
      </c>
    </row>
    <row r="34649">
      <c r="H34649" t="s">
        <v>5117</v>
      </c>
    </row>
    <row r="34650">
      <c r="H34650" t="s">
        <v>5117</v>
      </c>
    </row>
    <row r="34651">
      <c r="H34651" t="s">
        <v>5117</v>
      </c>
    </row>
    <row r="34652">
      <c r="H34652" t="s">
        <v>5117</v>
      </c>
    </row>
    <row r="34653">
      <c r="H34653" t="s">
        <v>5117</v>
      </c>
    </row>
    <row r="34654">
      <c r="H34654" t="s">
        <v>5117</v>
      </c>
    </row>
    <row r="34655">
      <c r="H34655" t="s">
        <v>5117</v>
      </c>
    </row>
    <row r="34656">
      <c r="H34656" t="s">
        <v>5117</v>
      </c>
    </row>
    <row r="34657">
      <c r="H34657" t="s">
        <v>5117</v>
      </c>
    </row>
    <row r="34658">
      <c r="H34658" t="s">
        <v>5117</v>
      </c>
    </row>
    <row r="34659">
      <c r="H34659" t="s">
        <v>5117</v>
      </c>
    </row>
    <row r="34660">
      <c r="H34660" t="s">
        <v>5117</v>
      </c>
    </row>
    <row r="34661">
      <c r="H34661" t="s">
        <v>5117</v>
      </c>
    </row>
    <row r="34662">
      <c r="H34662" t="s">
        <v>5117</v>
      </c>
    </row>
    <row r="34663">
      <c r="H34663" t="s">
        <v>5117</v>
      </c>
    </row>
    <row r="34664">
      <c r="H34664" t="s">
        <v>5117</v>
      </c>
    </row>
    <row r="34665">
      <c r="H34665" t="s">
        <v>5117</v>
      </c>
    </row>
    <row r="34666">
      <c r="H34666" t="s">
        <v>5117</v>
      </c>
    </row>
    <row r="34667">
      <c r="H34667" t="s">
        <v>5117</v>
      </c>
    </row>
    <row r="34668">
      <c r="H34668" t="s">
        <v>5117</v>
      </c>
    </row>
    <row r="34669">
      <c r="H34669" t="s">
        <v>5117</v>
      </c>
    </row>
    <row r="34670">
      <c r="H34670" t="s">
        <v>5117</v>
      </c>
    </row>
    <row r="34671">
      <c r="H34671" t="s">
        <v>5117</v>
      </c>
    </row>
    <row r="34672">
      <c r="H34672" t="s">
        <v>5117</v>
      </c>
    </row>
    <row r="34673">
      <c r="H34673" t="s">
        <v>5117</v>
      </c>
    </row>
    <row r="34674">
      <c r="H34674" t="s">
        <v>5117</v>
      </c>
    </row>
    <row r="34675">
      <c r="H34675" t="s">
        <v>5117</v>
      </c>
    </row>
    <row r="34676">
      <c r="H34676" t="s">
        <v>5117</v>
      </c>
    </row>
    <row r="34677">
      <c r="H34677" t="s">
        <v>5117</v>
      </c>
    </row>
    <row r="34678">
      <c r="H34678" t="s">
        <v>5117</v>
      </c>
    </row>
    <row r="34679">
      <c r="H34679" t="s">
        <v>5117</v>
      </c>
    </row>
    <row r="34680">
      <c r="H34680" t="s">
        <v>5117</v>
      </c>
    </row>
    <row r="34681">
      <c r="H34681" t="s">
        <v>5117</v>
      </c>
    </row>
    <row r="34682">
      <c r="H34682" t="s">
        <v>5117</v>
      </c>
    </row>
    <row r="34683">
      <c r="H34683" t="s">
        <v>5117</v>
      </c>
    </row>
    <row r="34684">
      <c r="H34684" t="s">
        <v>5117</v>
      </c>
    </row>
    <row r="34685">
      <c r="H34685" t="s">
        <v>5117</v>
      </c>
    </row>
    <row r="34686">
      <c r="H34686" t="s">
        <v>5117</v>
      </c>
    </row>
    <row r="34687">
      <c r="H34687" t="s">
        <v>5117</v>
      </c>
    </row>
    <row r="34688">
      <c r="H34688" t="s">
        <v>5117</v>
      </c>
    </row>
    <row r="34689">
      <c r="H34689" t="s">
        <v>5117</v>
      </c>
    </row>
    <row r="34690">
      <c r="H34690" t="s">
        <v>5117</v>
      </c>
    </row>
    <row r="34691">
      <c r="H34691" t="s">
        <v>5117</v>
      </c>
    </row>
    <row r="34692">
      <c r="H34692" t="s">
        <v>5117</v>
      </c>
    </row>
    <row r="34693">
      <c r="H34693" t="s">
        <v>5117</v>
      </c>
    </row>
    <row r="34694">
      <c r="H34694" t="s">
        <v>5117</v>
      </c>
    </row>
    <row r="34695">
      <c r="H34695" t="s">
        <v>5117</v>
      </c>
    </row>
    <row r="34696">
      <c r="H34696" t="s">
        <v>5117</v>
      </c>
    </row>
    <row r="34697">
      <c r="H34697" t="s">
        <v>5117</v>
      </c>
    </row>
    <row r="34698">
      <c r="H34698" t="s">
        <v>5117</v>
      </c>
    </row>
    <row r="34699">
      <c r="H34699" t="s">
        <v>5117</v>
      </c>
    </row>
    <row r="34700">
      <c r="H34700" t="s">
        <v>5117</v>
      </c>
    </row>
    <row r="34701">
      <c r="H34701" t="s">
        <v>5117</v>
      </c>
    </row>
    <row r="34702">
      <c r="H34702" t="s">
        <v>5117</v>
      </c>
    </row>
    <row r="34703">
      <c r="H34703" t="s">
        <v>5117</v>
      </c>
    </row>
    <row r="34704">
      <c r="H34704" t="s">
        <v>5117</v>
      </c>
    </row>
    <row r="34705">
      <c r="H34705" t="s">
        <v>5117</v>
      </c>
    </row>
    <row r="34706">
      <c r="H34706" t="s">
        <v>5117</v>
      </c>
    </row>
    <row r="34707">
      <c r="H34707" t="s">
        <v>5117</v>
      </c>
    </row>
    <row r="34708">
      <c r="H34708" t="s">
        <v>5117</v>
      </c>
    </row>
    <row r="34709">
      <c r="H34709" t="s">
        <v>5117</v>
      </c>
    </row>
    <row r="34710">
      <c r="H34710" t="s">
        <v>5117</v>
      </c>
    </row>
    <row r="34711">
      <c r="H34711" t="s">
        <v>5117</v>
      </c>
    </row>
    <row r="34712">
      <c r="H34712" t="s">
        <v>5117</v>
      </c>
    </row>
    <row r="34713">
      <c r="H34713" t="s">
        <v>5117</v>
      </c>
    </row>
    <row r="34714">
      <c r="H34714" t="s">
        <v>5117</v>
      </c>
    </row>
    <row r="34715">
      <c r="H34715" t="s">
        <v>5117</v>
      </c>
    </row>
    <row r="34716">
      <c r="H34716" t="s">
        <v>5117</v>
      </c>
    </row>
    <row r="34717">
      <c r="H34717" t="s">
        <v>5117</v>
      </c>
    </row>
    <row r="34718">
      <c r="H34718" t="s">
        <v>5117</v>
      </c>
    </row>
    <row r="34719">
      <c r="H34719" t="s">
        <v>5117</v>
      </c>
    </row>
    <row r="34720">
      <c r="H34720" t="s">
        <v>5117</v>
      </c>
    </row>
    <row r="34721">
      <c r="H34721" t="s">
        <v>5117</v>
      </c>
    </row>
    <row r="34722">
      <c r="H34722" t="s">
        <v>5117</v>
      </c>
    </row>
    <row r="34723">
      <c r="H34723" t="s">
        <v>5117</v>
      </c>
    </row>
    <row r="34724">
      <c r="H34724" t="s">
        <v>5117</v>
      </c>
    </row>
    <row r="34725">
      <c r="H34725" t="s">
        <v>5117</v>
      </c>
    </row>
    <row r="34726">
      <c r="H34726" t="s">
        <v>5117</v>
      </c>
    </row>
    <row r="34727">
      <c r="H34727" t="s">
        <v>5117</v>
      </c>
    </row>
    <row r="34728">
      <c r="H34728" t="s">
        <v>5117</v>
      </c>
    </row>
    <row r="34729">
      <c r="H34729" t="s">
        <v>5117</v>
      </c>
    </row>
    <row r="34730">
      <c r="H34730" t="s">
        <v>5117</v>
      </c>
    </row>
    <row r="34731">
      <c r="H34731" t="s">
        <v>5117</v>
      </c>
    </row>
    <row r="34732">
      <c r="H34732" t="s">
        <v>5117</v>
      </c>
    </row>
    <row r="34733">
      <c r="H34733" t="s">
        <v>5117</v>
      </c>
    </row>
    <row r="34734">
      <c r="H34734" t="s">
        <v>5117</v>
      </c>
    </row>
    <row r="34735">
      <c r="H34735" t="s">
        <v>5117</v>
      </c>
    </row>
    <row r="34736">
      <c r="H34736" t="s">
        <v>5117</v>
      </c>
    </row>
    <row r="34737">
      <c r="H34737" t="s">
        <v>5117</v>
      </c>
    </row>
    <row r="34738">
      <c r="H34738" t="s">
        <v>5117</v>
      </c>
    </row>
    <row r="34739">
      <c r="H34739" t="s">
        <v>5117</v>
      </c>
    </row>
    <row r="34740">
      <c r="H34740" t="s">
        <v>5117</v>
      </c>
    </row>
    <row r="34741">
      <c r="H34741" t="s">
        <v>5117</v>
      </c>
    </row>
    <row r="34742">
      <c r="H34742" t="s">
        <v>5117</v>
      </c>
    </row>
    <row r="34743">
      <c r="H34743" t="s">
        <v>5117</v>
      </c>
    </row>
    <row r="34744">
      <c r="H34744" t="s">
        <v>5117</v>
      </c>
    </row>
    <row r="34745">
      <c r="H34745" t="s">
        <v>5117</v>
      </c>
    </row>
    <row r="34746">
      <c r="H34746" t="s">
        <v>5117</v>
      </c>
    </row>
    <row r="34747">
      <c r="H34747" t="s">
        <v>5117</v>
      </c>
    </row>
    <row r="34748">
      <c r="H34748" t="s">
        <v>5117</v>
      </c>
    </row>
    <row r="34749">
      <c r="H34749" t="s">
        <v>5117</v>
      </c>
    </row>
    <row r="34750">
      <c r="H34750" t="s">
        <v>5117</v>
      </c>
    </row>
    <row r="34751">
      <c r="H34751" t="s">
        <v>5117</v>
      </c>
    </row>
    <row r="34752">
      <c r="H34752" t="s">
        <v>5117</v>
      </c>
    </row>
    <row r="34753">
      <c r="H34753" t="s">
        <v>5117</v>
      </c>
    </row>
    <row r="34754">
      <c r="H34754" t="s">
        <v>5117</v>
      </c>
    </row>
    <row r="34755">
      <c r="H34755" t="s">
        <v>5117</v>
      </c>
    </row>
    <row r="34756">
      <c r="H34756" t="s">
        <v>5117</v>
      </c>
    </row>
    <row r="34757">
      <c r="H34757" t="s">
        <v>5117</v>
      </c>
    </row>
    <row r="34758">
      <c r="H34758" t="s">
        <v>5117</v>
      </c>
    </row>
    <row r="34759">
      <c r="H34759" t="s">
        <v>5117</v>
      </c>
    </row>
    <row r="34760">
      <c r="H34760" t="s">
        <v>5117</v>
      </c>
    </row>
    <row r="34761">
      <c r="H34761" t="s">
        <v>5117</v>
      </c>
    </row>
    <row r="34762">
      <c r="H34762" t="s">
        <v>5117</v>
      </c>
    </row>
    <row r="34763">
      <c r="H34763" t="s">
        <v>5117</v>
      </c>
    </row>
    <row r="34764">
      <c r="H34764" t="s">
        <v>5117</v>
      </c>
    </row>
    <row r="34765">
      <c r="H34765" t="s">
        <v>5117</v>
      </c>
    </row>
    <row r="34766">
      <c r="H34766" t="s">
        <v>5117</v>
      </c>
    </row>
    <row r="34767">
      <c r="H34767" t="s">
        <v>5117</v>
      </c>
    </row>
    <row r="34768">
      <c r="H34768" t="s">
        <v>5117</v>
      </c>
    </row>
    <row r="34769">
      <c r="H34769" t="s">
        <v>5117</v>
      </c>
    </row>
    <row r="34770">
      <c r="H34770" t="s">
        <v>5117</v>
      </c>
    </row>
    <row r="34771">
      <c r="H34771" t="s">
        <v>5117</v>
      </c>
    </row>
    <row r="34772">
      <c r="H34772" t="s">
        <v>5117</v>
      </c>
    </row>
    <row r="34773">
      <c r="H34773" t="s">
        <v>5117</v>
      </c>
    </row>
    <row r="34774">
      <c r="H34774" t="s">
        <v>5117</v>
      </c>
    </row>
    <row r="34775">
      <c r="H34775" t="s">
        <v>5117</v>
      </c>
    </row>
    <row r="34776">
      <c r="H34776" t="s">
        <v>5117</v>
      </c>
    </row>
    <row r="34777">
      <c r="H34777" t="s">
        <v>5117</v>
      </c>
    </row>
    <row r="34778">
      <c r="H34778" t="s">
        <v>5117</v>
      </c>
    </row>
    <row r="34779">
      <c r="H34779" t="s">
        <v>5117</v>
      </c>
    </row>
    <row r="34780">
      <c r="H34780" t="s">
        <v>5117</v>
      </c>
    </row>
    <row r="34781">
      <c r="H34781" t="s">
        <v>5117</v>
      </c>
    </row>
    <row r="34782">
      <c r="H34782" t="s">
        <v>5117</v>
      </c>
    </row>
    <row r="34783">
      <c r="H34783" t="s">
        <v>5117</v>
      </c>
    </row>
    <row r="34784">
      <c r="H34784" t="s">
        <v>5117</v>
      </c>
    </row>
    <row r="34785">
      <c r="H34785" t="s">
        <v>5117</v>
      </c>
    </row>
    <row r="34786">
      <c r="H34786" t="s">
        <v>5117</v>
      </c>
    </row>
    <row r="34787">
      <c r="H34787" t="s">
        <v>5117</v>
      </c>
    </row>
    <row r="34788">
      <c r="H34788" t="s">
        <v>5117</v>
      </c>
    </row>
    <row r="34789">
      <c r="H34789" t="s">
        <v>5117</v>
      </c>
    </row>
    <row r="34790">
      <c r="H34790" t="s">
        <v>5117</v>
      </c>
    </row>
    <row r="34791">
      <c r="H34791" t="s">
        <v>5117</v>
      </c>
    </row>
    <row r="34792">
      <c r="H34792" t="s">
        <v>5117</v>
      </c>
    </row>
    <row r="34793">
      <c r="H34793" t="s">
        <v>5117</v>
      </c>
    </row>
    <row r="34794">
      <c r="H34794" t="s">
        <v>5117</v>
      </c>
    </row>
    <row r="34795">
      <c r="H34795" t="s">
        <v>5117</v>
      </c>
    </row>
    <row r="34796">
      <c r="H34796" t="s">
        <v>5117</v>
      </c>
    </row>
    <row r="34797">
      <c r="H34797" t="s">
        <v>5117</v>
      </c>
    </row>
    <row r="34798">
      <c r="H34798" t="s">
        <v>5117</v>
      </c>
    </row>
    <row r="34799">
      <c r="H34799" t="s">
        <v>5117</v>
      </c>
    </row>
    <row r="34800">
      <c r="H34800" t="s">
        <v>5117</v>
      </c>
    </row>
    <row r="34801">
      <c r="H34801" t="s">
        <v>5117</v>
      </c>
    </row>
    <row r="34802">
      <c r="H34802" t="s">
        <v>5117</v>
      </c>
    </row>
    <row r="34803">
      <c r="H34803" t="s">
        <v>5117</v>
      </c>
    </row>
    <row r="34804">
      <c r="H34804" t="s">
        <v>5117</v>
      </c>
    </row>
    <row r="34805">
      <c r="H34805" t="s">
        <v>5117</v>
      </c>
    </row>
    <row r="34806">
      <c r="H34806" t="s">
        <v>5117</v>
      </c>
    </row>
    <row r="34807">
      <c r="H34807" t="s">
        <v>5117</v>
      </c>
    </row>
    <row r="34808">
      <c r="H34808" t="s">
        <v>5117</v>
      </c>
    </row>
    <row r="34809">
      <c r="H34809" t="s">
        <v>5117</v>
      </c>
    </row>
    <row r="34810">
      <c r="H34810" t="s">
        <v>5117</v>
      </c>
    </row>
    <row r="34811">
      <c r="H34811" t="s">
        <v>5117</v>
      </c>
    </row>
    <row r="34812">
      <c r="H34812" t="s">
        <v>5117</v>
      </c>
    </row>
    <row r="34813">
      <c r="H34813" t="s">
        <v>5117</v>
      </c>
    </row>
    <row r="34814">
      <c r="H34814" t="s">
        <v>5117</v>
      </c>
    </row>
    <row r="34815">
      <c r="H34815" t="s">
        <v>5117</v>
      </c>
    </row>
    <row r="34816">
      <c r="H34816" t="s">
        <v>5117</v>
      </c>
    </row>
    <row r="34817">
      <c r="H34817" t="s">
        <v>5117</v>
      </c>
    </row>
    <row r="34818">
      <c r="H34818" t="s">
        <v>5117</v>
      </c>
    </row>
    <row r="34819">
      <c r="H34819" t="s">
        <v>5117</v>
      </c>
    </row>
    <row r="34820">
      <c r="H34820" t="s">
        <v>5117</v>
      </c>
    </row>
    <row r="34821">
      <c r="H34821" t="s">
        <v>5117</v>
      </c>
    </row>
    <row r="34822">
      <c r="H34822" t="s">
        <v>5117</v>
      </c>
    </row>
    <row r="34823">
      <c r="H34823" t="s">
        <v>5117</v>
      </c>
    </row>
    <row r="34824">
      <c r="H34824" t="s">
        <v>5117</v>
      </c>
    </row>
    <row r="34825">
      <c r="H34825" t="s">
        <v>5117</v>
      </c>
    </row>
    <row r="34826">
      <c r="H34826" t="s">
        <v>5117</v>
      </c>
    </row>
    <row r="34827">
      <c r="H34827" t="s">
        <v>5117</v>
      </c>
    </row>
    <row r="34828">
      <c r="H34828" t="s">
        <v>5117</v>
      </c>
    </row>
    <row r="34829">
      <c r="H34829" t="s">
        <v>5117</v>
      </c>
    </row>
    <row r="34830">
      <c r="H34830" t="s">
        <v>5117</v>
      </c>
    </row>
    <row r="34831">
      <c r="H34831" t="s">
        <v>5117</v>
      </c>
    </row>
    <row r="34832">
      <c r="H34832" t="s">
        <v>5117</v>
      </c>
    </row>
    <row r="34833">
      <c r="H34833" t="s">
        <v>5117</v>
      </c>
    </row>
    <row r="34834">
      <c r="H34834" t="s">
        <v>5117</v>
      </c>
    </row>
    <row r="34835">
      <c r="H34835" t="s">
        <v>5117</v>
      </c>
    </row>
    <row r="34836">
      <c r="H34836" t="s">
        <v>5117</v>
      </c>
    </row>
    <row r="34837">
      <c r="H34837" t="s">
        <v>5117</v>
      </c>
    </row>
    <row r="34838">
      <c r="H34838" t="s">
        <v>5117</v>
      </c>
    </row>
    <row r="34839">
      <c r="H34839" t="s">
        <v>5117</v>
      </c>
    </row>
    <row r="34840">
      <c r="H34840" t="s">
        <v>5117</v>
      </c>
    </row>
    <row r="34841">
      <c r="H34841" t="s">
        <v>5117</v>
      </c>
    </row>
    <row r="34842">
      <c r="H34842" t="s">
        <v>5117</v>
      </c>
    </row>
    <row r="34843">
      <c r="H34843" t="s">
        <v>5117</v>
      </c>
    </row>
    <row r="34844">
      <c r="H34844" t="s">
        <v>5117</v>
      </c>
    </row>
    <row r="34845">
      <c r="H34845" t="s">
        <v>5117</v>
      </c>
    </row>
    <row r="34846">
      <c r="H34846" t="s">
        <v>5117</v>
      </c>
    </row>
    <row r="34847">
      <c r="H34847" t="s">
        <v>5117</v>
      </c>
    </row>
    <row r="34848">
      <c r="H34848" t="s">
        <v>5117</v>
      </c>
    </row>
    <row r="34849">
      <c r="H34849" t="s">
        <v>5117</v>
      </c>
    </row>
    <row r="34850">
      <c r="H34850" t="s">
        <v>5117</v>
      </c>
    </row>
    <row r="34851">
      <c r="H34851" t="s">
        <v>5117</v>
      </c>
    </row>
    <row r="34852">
      <c r="H34852" t="s">
        <v>5117</v>
      </c>
    </row>
    <row r="34853">
      <c r="H34853" t="s">
        <v>5117</v>
      </c>
    </row>
    <row r="34854">
      <c r="H34854" t="s">
        <v>5117</v>
      </c>
    </row>
    <row r="34855">
      <c r="H34855" t="s">
        <v>5117</v>
      </c>
    </row>
    <row r="34856">
      <c r="H34856" t="s">
        <v>5117</v>
      </c>
    </row>
    <row r="34857">
      <c r="H34857" t="s">
        <v>5117</v>
      </c>
    </row>
    <row r="34858">
      <c r="H34858" t="s">
        <v>5117</v>
      </c>
    </row>
    <row r="34859">
      <c r="H34859" t="s">
        <v>5117</v>
      </c>
    </row>
    <row r="34860">
      <c r="H34860" t="s">
        <v>5117</v>
      </c>
    </row>
    <row r="34861">
      <c r="H34861" t="s">
        <v>5117</v>
      </c>
    </row>
    <row r="34862">
      <c r="H34862" t="s">
        <v>5117</v>
      </c>
    </row>
    <row r="34863">
      <c r="H34863" t="s">
        <v>5117</v>
      </c>
    </row>
    <row r="34864">
      <c r="H34864" t="s">
        <v>5117</v>
      </c>
    </row>
    <row r="34865">
      <c r="H34865" t="s">
        <v>5117</v>
      </c>
    </row>
    <row r="34866">
      <c r="H34866" t="s">
        <v>5117</v>
      </c>
    </row>
    <row r="34867">
      <c r="H34867" t="s">
        <v>5117</v>
      </c>
    </row>
    <row r="34868">
      <c r="H34868" t="s">
        <v>5117</v>
      </c>
    </row>
    <row r="34869">
      <c r="H34869" t="s">
        <v>5117</v>
      </c>
    </row>
    <row r="34870">
      <c r="H34870" t="s">
        <v>5117</v>
      </c>
    </row>
    <row r="34871">
      <c r="H34871" t="s">
        <v>5117</v>
      </c>
    </row>
    <row r="34872">
      <c r="H34872" t="s">
        <v>5117</v>
      </c>
    </row>
    <row r="34873">
      <c r="H34873" t="s">
        <v>5117</v>
      </c>
    </row>
    <row r="34874">
      <c r="H34874" t="s">
        <v>5117</v>
      </c>
    </row>
    <row r="34875">
      <c r="H34875" t="s">
        <v>5117</v>
      </c>
    </row>
    <row r="34876">
      <c r="H34876" t="s">
        <v>5117</v>
      </c>
    </row>
    <row r="34877">
      <c r="H34877" t="s">
        <v>5117</v>
      </c>
    </row>
    <row r="34878">
      <c r="H34878" t="s">
        <v>5117</v>
      </c>
    </row>
    <row r="34879">
      <c r="H34879" t="s">
        <v>5117</v>
      </c>
    </row>
    <row r="34880">
      <c r="H34880" t="s">
        <v>5117</v>
      </c>
    </row>
    <row r="34881">
      <c r="H34881" t="s">
        <v>5117</v>
      </c>
    </row>
    <row r="34882">
      <c r="H34882" t="s">
        <v>5117</v>
      </c>
    </row>
    <row r="34883">
      <c r="H34883" t="s">
        <v>5117</v>
      </c>
    </row>
    <row r="34884">
      <c r="H34884" t="s">
        <v>5117</v>
      </c>
    </row>
    <row r="34885">
      <c r="H34885" t="s">
        <v>5117</v>
      </c>
    </row>
    <row r="34886">
      <c r="H34886" t="s">
        <v>5117</v>
      </c>
    </row>
    <row r="34887">
      <c r="H34887" t="s">
        <v>5117</v>
      </c>
    </row>
    <row r="34888">
      <c r="H34888" t="s">
        <v>5117</v>
      </c>
    </row>
    <row r="34889">
      <c r="H34889" t="s">
        <v>5117</v>
      </c>
    </row>
    <row r="34890">
      <c r="H34890" t="s">
        <v>5117</v>
      </c>
    </row>
    <row r="34891">
      <c r="H34891" t="s">
        <v>5117</v>
      </c>
    </row>
    <row r="34892">
      <c r="H34892" t="s">
        <v>5117</v>
      </c>
    </row>
    <row r="34893">
      <c r="H34893" t="s">
        <v>5117</v>
      </c>
    </row>
    <row r="34894">
      <c r="H34894" t="s">
        <v>5117</v>
      </c>
    </row>
    <row r="34895">
      <c r="H34895" t="s">
        <v>5117</v>
      </c>
    </row>
    <row r="34896">
      <c r="H34896" t="s">
        <v>5117</v>
      </c>
    </row>
    <row r="34897">
      <c r="H34897" t="s">
        <v>5117</v>
      </c>
    </row>
    <row r="34898">
      <c r="H34898" t="s">
        <v>5117</v>
      </c>
    </row>
    <row r="34899">
      <c r="H34899" t="s">
        <v>5117</v>
      </c>
    </row>
    <row r="34900">
      <c r="H34900" t="s">
        <v>5117</v>
      </c>
    </row>
    <row r="34901">
      <c r="H34901" t="s">
        <v>5117</v>
      </c>
    </row>
    <row r="34902">
      <c r="H34902" t="s">
        <v>5117</v>
      </c>
    </row>
    <row r="34903">
      <c r="H34903" t="s">
        <v>5117</v>
      </c>
    </row>
    <row r="34904">
      <c r="H34904" t="s">
        <v>5117</v>
      </c>
    </row>
    <row r="34905">
      <c r="H34905" t="s">
        <v>5117</v>
      </c>
    </row>
    <row r="34906">
      <c r="H34906" t="s">
        <v>5117</v>
      </c>
    </row>
    <row r="34907">
      <c r="H34907" t="s">
        <v>5117</v>
      </c>
    </row>
    <row r="34908">
      <c r="H34908" t="s">
        <v>5117</v>
      </c>
    </row>
    <row r="34909">
      <c r="H34909" t="s">
        <v>5117</v>
      </c>
    </row>
    <row r="34910">
      <c r="H34910" t="s">
        <v>5117</v>
      </c>
    </row>
    <row r="34911">
      <c r="H34911" t="s">
        <v>5117</v>
      </c>
    </row>
    <row r="34912">
      <c r="H34912" t="s">
        <v>5117</v>
      </c>
    </row>
    <row r="34913">
      <c r="H34913" t="s">
        <v>5117</v>
      </c>
    </row>
    <row r="34914">
      <c r="H34914" t="s">
        <v>5117</v>
      </c>
    </row>
    <row r="34915">
      <c r="H34915" t="s">
        <v>5117</v>
      </c>
    </row>
    <row r="34916">
      <c r="H34916" t="s">
        <v>5117</v>
      </c>
    </row>
    <row r="34917">
      <c r="H34917" t="s">
        <v>5117</v>
      </c>
    </row>
    <row r="34918">
      <c r="H34918" t="s">
        <v>5117</v>
      </c>
    </row>
    <row r="34919">
      <c r="H34919" t="s">
        <v>5117</v>
      </c>
    </row>
    <row r="34920">
      <c r="H34920" t="s">
        <v>5117</v>
      </c>
    </row>
    <row r="34921">
      <c r="H34921" t="s">
        <v>5117</v>
      </c>
    </row>
    <row r="34922">
      <c r="H34922" t="s">
        <v>5117</v>
      </c>
    </row>
    <row r="34923">
      <c r="H34923" t="s">
        <v>5117</v>
      </c>
    </row>
    <row r="34924">
      <c r="H34924" t="s">
        <v>5117</v>
      </c>
    </row>
    <row r="34925">
      <c r="H34925" t="s">
        <v>5117</v>
      </c>
    </row>
    <row r="34926">
      <c r="H34926" t="s">
        <v>5117</v>
      </c>
    </row>
    <row r="34927">
      <c r="H34927" t="s">
        <v>5117</v>
      </c>
    </row>
    <row r="34928">
      <c r="H34928" t="s">
        <v>5117</v>
      </c>
    </row>
    <row r="34929">
      <c r="H34929" t="s">
        <v>5117</v>
      </c>
    </row>
    <row r="34930">
      <c r="H34930" t="s">
        <v>5117</v>
      </c>
    </row>
    <row r="34931">
      <c r="H34931" t="s">
        <v>5117</v>
      </c>
    </row>
    <row r="34932">
      <c r="H34932" t="s">
        <v>5117</v>
      </c>
    </row>
    <row r="34933">
      <c r="H34933" t="s">
        <v>5117</v>
      </c>
    </row>
    <row r="34934">
      <c r="H34934" t="s">
        <v>5117</v>
      </c>
    </row>
    <row r="34935">
      <c r="H34935" t="s">
        <v>5117</v>
      </c>
    </row>
    <row r="34936">
      <c r="H34936" t="s">
        <v>5117</v>
      </c>
    </row>
    <row r="34937">
      <c r="H34937" t="s">
        <v>5117</v>
      </c>
    </row>
    <row r="34938">
      <c r="H34938" t="s">
        <v>5117</v>
      </c>
    </row>
    <row r="34939">
      <c r="H34939" t="s">
        <v>5117</v>
      </c>
    </row>
    <row r="34940">
      <c r="H34940" t="s">
        <v>5117</v>
      </c>
    </row>
    <row r="34941">
      <c r="H34941" t="s">
        <v>5117</v>
      </c>
    </row>
    <row r="34942">
      <c r="H34942" t="s">
        <v>5117</v>
      </c>
    </row>
    <row r="34943">
      <c r="H34943" t="s">
        <v>5117</v>
      </c>
    </row>
    <row r="34944">
      <c r="H34944" t="s">
        <v>5117</v>
      </c>
    </row>
    <row r="34945">
      <c r="H34945" t="s">
        <v>5117</v>
      </c>
    </row>
    <row r="34946">
      <c r="H34946" t="s">
        <v>5117</v>
      </c>
    </row>
    <row r="34947">
      <c r="H34947" t="s">
        <v>5117</v>
      </c>
    </row>
    <row r="34948">
      <c r="H34948" t="s">
        <v>5117</v>
      </c>
    </row>
    <row r="34949">
      <c r="H34949" t="s">
        <v>5117</v>
      </c>
    </row>
    <row r="34950">
      <c r="H34950" t="s">
        <v>5117</v>
      </c>
    </row>
    <row r="34951">
      <c r="H34951" t="s">
        <v>5117</v>
      </c>
    </row>
    <row r="34952">
      <c r="H34952" t="s">
        <v>5117</v>
      </c>
    </row>
    <row r="34953">
      <c r="H34953" t="s">
        <v>5117</v>
      </c>
    </row>
    <row r="34954">
      <c r="H34954" t="s">
        <v>5117</v>
      </c>
    </row>
    <row r="34955">
      <c r="H34955" t="s">
        <v>5117</v>
      </c>
    </row>
    <row r="34956">
      <c r="H34956" t="s">
        <v>5117</v>
      </c>
    </row>
    <row r="34957">
      <c r="H34957" t="s">
        <v>5117</v>
      </c>
    </row>
    <row r="34958">
      <c r="H34958" t="s">
        <v>5117</v>
      </c>
    </row>
    <row r="34959">
      <c r="H34959" t="s">
        <v>5117</v>
      </c>
    </row>
    <row r="34960">
      <c r="H34960" t="s">
        <v>5117</v>
      </c>
    </row>
    <row r="34961">
      <c r="H34961" t="s">
        <v>5117</v>
      </c>
    </row>
    <row r="34962">
      <c r="H34962" t="s">
        <v>5117</v>
      </c>
    </row>
    <row r="34963">
      <c r="H34963" t="s">
        <v>5117</v>
      </c>
    </row>
    <row r="34964">
      <c r="H34964" t="s">
        <v>5117</v>
      </c>
    </row>
    <row r="34965">
      <c r="H34965" t="s">
        <v>5117</v>
      </c>
    </row>
    <row r="34966">
      <c r="H34966" t="s">
        <v>5117</v>
      </c>
    </row>
    <row r="34967">
      <c r="H34967" t="s">
        <v>5117</v>
      </c>
    </row>
    <row r="34968">
      <c r="H34968" t="s">
        <v>5117</v>
      </c>
    </row>
    <row r="34969">
      <c r="H34969" t="s">
        <v>5117</v>
      </c>
    </row>
    <row r="34970">
      <c r="H34970" t="s">
        <v>5117</v>
      </c>
    </row>
    <row r="34971">
      <c r="H34971" t="s">
        <v>5117</v>
      </c>
    </row>
    <row r="34972">
      <c r="H34972" t="s">
        <v>5117</v>
      </c>
    </row>
    <row r="34973">
      <c r="H34973" t="s">
        <v>5117</v>
      </c>
    </row>
    <row r="34974">
      <c r="H34974" t="s">
        <v>5117</v>
      </c>
    </row>
    <row r="34975">
      <c r="H34975" t="s">
        <v>5117</v>
      </c>
    </row>
    <row r="34976">
      <c r="H34976" t="s">
        <v>5117</v>
      </c>
    </row>
    <row r="34977">
      <c r="H34977" t="s">
        <v>5117</v>
      </c>
    </row>
    <row r="34978">
      <c r="H34978" t="s">
        <v>5117</v>
      </c>
    </row>
    <row r="34979">
      <c r="H34979" t="s">
        <v>5117</v>
      </c>
    </row>
    <row r="34980">
      <c r="H34980" t="s">
        <v>5117</v>
      </c>
    </row>
    <row r="34981">
      <c r="H34981" t="s">
        <v>5117</v>
      </c>
    </row>
    <row r="34982">
      <c r="H34982" t="s">
        <v>5117</v>
      </c>
    </row>
    <row r="34983">
      <c r="H34983" t="s">
        <v>5117</v>
      </c>
    </row>
    <row r="34984">
      <c r="H34984" t="s">
        <v>5117</v>
      </c>
    </row>
    <row r="34985">
      <c r="H34985" t="s">
        <v>5117</v>
      </c>
    </row>
    <row r="34986">
      <c r="H34986" t="s">
        <v>5117</v>
      </c>
    </row>
    <row r="34987">
      <c r="H34987" t="s">
        <v>5117</v>
      </c>
    </row>
    <row r="34988">
      <c r="H34988" t="s">
        <v>5117</v>
      </c>
    </row>
    <row r="34989">
      <c r="H34989" t="s">
        <v>5117</v>
      </c>
    </row>
    <row r="34990">
      <c r="H34990" t="s">
        <v>5117</v>
      </c>
    </row>
    <row r="34991">
      <c r="H34991" t="s">
        <v>5117</v>
      </c>
    </row>
    <row r="34992">
      <c r="H34992" t="s">
        <v>5117</v>
      </c>
    </row>
    <row r="34993">
      <c r="H34993" t="s">
        <v>5117</v>
      </c>
    </row>
    <row r="34994">
      <c r="H34994" t="s">
        <v>5117</v>
      </c>
    </row>
    <row r="34995">
      <c r="H34995" t="s">
        <v>5117</v>
      </c>
    </row>
    <row r="34996">
      <c r="H34996" t="s">
        <v>5117</v>
      </c>
    </row>
    <row r="34997">
      <c r="H34997" t="s">
        <v>5117</v>
      </c>
    </row>
    <row r="34998">
      <c r="H34998" t="s">
        <v>5117</v>
      </c>
    </row>
    <row r="34999">
      <c r="H34999" t="s">
        <v>5117</v>
      </c>
    </row>
    <row r="35000">
      <c r="H35000" t="s">
        <v>5117</v>
      </c>
    </row>
    <row r="35001">
      <c r="H35001" t="s">
        <v>5117</v>
      </c>
    </row>
    <row r="35002">
      <c r="H35002" t="s">
        <v>5117</v>
      </c>
    </row>
    <row r="35003">
      <c r="H35003" t="s">
        <v>5117</v>
      </c>
    </row>
    <row r="35004">
      <c r="H35004" t="s">
        <v>5117</v>
      </c>
    </row>
    <row r="35005">
      <c r="H35005" t="s">
        <v>5117</v>
      </c>
    </row>
    <row r="35006">
      <c r="H35006" t="s">
        <v>5117</v>
      </c>
    </row>
    <row r="35007">
      <c r="H35007" t="s">
        <v>5117</v>
      </c>
    </row>
    <row r="35008">
      <c r="H35008" t="s">
        <v>5117</v>
      </c>
    </row>
    <row r="35009">
      <c r="H35009" t="s">
        <v>5117</v>
      </c>
    </row>
    <row r="35010">
      <c r="H35010" t="s">
        <v>5117</v>
      </c>
    </row>
    <row r="35011">
      <c r="H35011" t="s">
        <v>5117</v>
      </c>
    </row>
    <row r="35012">
      <c r="H35012" t="s">
        <v>5117</v>
      </c>
    </row>
    <row r="35013">
      <c r="H35013" t="s">
        <v>5117</v>
      </c>
    </row>
    <row r="35014">
      <c r="H35014" t="s">
        <v>5117</v>
      </c>
    </row>
    <row r="35015">
      <c r="H35015" t="s">
        <v>5117</v>
      </c>
    </row>
    <row r="35016">
      <c r="H35016" t="s">
        <v>5117</v>
      </c>
    </row>
    <row r="35017">
      <c r="H35017" t="s">
        <v>5117</v>
      </c>
    </row>
    <row r="35018">
      <c r="H35018" t="s">
        <v>5117</v>
      </c>
    </row>
    <row r="35019">
      <c r="H35019" t="s">
        <v>5117</v>
      </c>
    </row>
    <row r="35020">
      <c r="H35020" t="s">
        <v>5117</v>
      </c>
    </row>
    <row r="35021">
      <c r="H35021" t="s">
        <v>5117</v>
      </c>
    </row>
    <row r="35022">
      <c r="H35022" t="s">
        <v>5117</v>
      </c>
    </row>
    <row r="35023">
      <c r="H35023" t="s">
        <v>5117</v>
      </c>
    </row>
    <row r="35024">
      <c r="H35024" t="s">
        <v>5117</v>
      </c>
    </row>
    <row r="35025">
      <c r="H35025" t="s">
        <v>5117</v>
      </c>
    </row>
    <row r="35026">
      <c r="H35026" t="s">
        <v>5117</v>
      </c>
    </row>
    <row r="35027">
      <c r="H35027" t="s">
        <v>5117</v>
      </c>
    </row>
    <row r="35028">
      <c r="H35028" t="s">
        <v>5117</v>
      </c>
    </row>
    <row r="35029">
      <c r="H35029" t="s">
        <v>5117</v>
      </c>
    </row>
    <row r="35030">
      <c r="H35030" t="s">
        <v>5117</v>
      </c>
    </row>
    <row r="35031">
      <c r="H35031" t="s">
        <v>5117</v>
      </c>
    </row>
    <row r="35032">
      <c r="H35032" t="s">
        <v>5117</v>
      </c>
    </row>
    <row r="35033">
      <c r="H35033" t="s">
        <v>5117</v>
      </c>
    </row>
    <row r="35034">
      <c r="H35034" t="s">
        <v>5117</v>
      </c>
    </row>
    <row r="35035">
      <c r="H35035" t="s">
        <v>5117</v>
      </c>
    </row>
    <row r="35036">
      <c r="H35036" t="s">
        <v>5117</v>
      </c>
    </row>
    <row r="35037">
      <c r="H35037" t="s">
        <v>5117</v>
      </c>
    </row>
    <row r="35038">
      <c r="H35038" t="s">
        <v>5117</v>
      </c>
    </row>
    <row r="35039">
      <c r="H35039" t="s">
        <v>5117</v>
      </c>
    </row>
    <row r="35040">
      <c r="H35040" t="s">
        <v>5117</v>
      </c>
    </row>
    <row r="35041">
      <c r="H35041" t="s">
        <v>5117</v>
      </c>
    </row>
    <row r="35042">
      <c r="H35042" t="s">
        <v>5117</v>
      </c>
    </row>
    <row r="35043">
      <c r="H35043" t="s">
        <v>5117</v>
      </c>
    </row>
    <row r="35044">
      <c r="H35044" t="s">
        <v>5117</v>
      </c>
    </row>
    <row r="35045">
      <c r="H35045" t="s">
        <v>5117</v>
      </c>
    </row>
    <row r="35046">
      <c r="H35046" t="s">
        <v>5117</v>
      </c>
    </row>
    <row r="35047">
      <c r="H35047" t="s">
        <v>5117</v>
      </c>
    </row>
    <row r="35048">
      <c r="H35048" t="s">
        <v>5117</v>
      </c>
    </row>
    <row r="35049">
      <c r="H35049" t="s">
        <v>5117</v>
      </c>
    </row>
    <row r="35050">
      <c r="H35050" t="s">
        <v>5117</v>
      </c>
    </row>
    <row r="35051">
      <c r="H35051" t="s">
        <v>5117</v>
      </c>
    </row>
    <row r="35052">
      <c r="H35052" t="s">
        <v>5117</v>
      </c>
    </row>
    <row r="35053">
      <c r="H35053" t="s">
        <v>5117</v>
      </c>
    </row>
    <row r="35054">
      <c r="H35054" t="s">
        <v>5117</v>
      </c>
    </row>
    <row r="35055">
      <c r="H35055" t="s">
        <v>5117</v>
      </c>
    </row>
    <row r="35056">
      <c r="H35056" t="s">
        <v>5117</v>
      </c>
    </row>
    <row r="35057">
      <c r="H35057" t="s">
        <v>5117</v>
      </c>
    </row>
    <row r="35058">
      <c r="H35058" t="s">
        <v>5117</v>
      </c>
    </row>
    <row r="35059">
      <c r="H35059" t="s">
        <v>5117</v>
      </c>
    </row>
    <row r="35060">
      <c r="H35060" t="s">
        <v>5117</v>
      </c>
    </row>
    <row r="35061">
      <c r="H35061" t="s">
        <v>5117</v>
      </c>
    </row>
    <row r="35062">
      <c r="H35062" t="s">
        <v>5117</v>
      </c>
    </row>
    <row r="35063">
      <c r="H35063" t="s">
        <v>5117</v>
      </c>
    </row>
    <row r="35064">
      <c r="H35064" t="s">
        <v>5117</v>
      </c>
    </row>
    <row r="35065">
      <c r="H35065" t="s">
        <v>5117</v>
      </c>
    </row>
    <row r="35066">
      <c r="H35066" t="s">
        <v>5117</v>
      </c>
    </row>
    <row r="35067">
      <c r="H35067" t="s">
        <v>5117</v>
      </c>
    </row>
    <row r="35068">
      <c r="H35068" t="s">
        <v>5117</v>
      </c>
    </row>
    <row r="35069">
      <c r="H35069" t="s">
        <v>5117</v>
      </c>
    </row>
    <row r="35070">
      <c r="H35070" t="s">
        <v>5117</v>
      </c>
    </row>
    <row r="35071">
      <c r="H35071" t="s">
        <v>5117</v>
      </c>
    </row>
    <row r="35072">
      <c r="H35072" t="s">
        <v>5117</v>
      </c>
    </row>
    <row r="35073">
      <c r="H35073" t="s">
        <v>5117</v>
      </c>
    </row>
    <row r="35074">
      <c r="H35074" t="s">
        <v>5117</v>
      </c>
    </row>
    <row r="35075">
      <c r="H35075" t="s">
        <v>5117</v>
      </c>
    </row>
    <row r="35076">
      <c r="H35076" t="s">
        <v>5117</v>
      </c>
    </row>
    <row r="35077">
      <c r="H35077" t="s">
        <v>5117</v>
      </c>
    </row>
    <row r="35078">
      <c r="H35078" t="s">
        <v>5117</v>
      </c>
    </row>
    <row r="35079">
      <c r="H35079" t="s">
        <v>5117</v>
      </c>
    </row>
    <row r="35080">
      <c r="H35080" t="s">
        <v>5117</v>
      </c>
    </row>
    <row r="35081">
      <c r="H35081" t="s">
        <v>5117</v>
      </c>
    </row>
    <row r="35082">
      <c r="H35082" t="s">
        <v>5117</v>
      </c>
    </row>
    <row r="35083">
      <c r="H35083" t="s">
        <v>5117</v>
      </c>
    </row>
    <row r="35084">
      <c r="H35084" t="s">
        <v>5117</v>
      </c>
    </row>
    <row r="35085">
      <c r="H35085" t="s">
        <v>5117</v>
      </c>
    </row>
    <row r="35086">
      <c r="H35086" t="s">
        <v>5117</v>
      </c>
    </row>
    <row r="35087">
      <c r="H35087" t="s">
        <v>5117</v>
      </c>
    </row>
    <row r="35088">
      <c r="H35088" t="s">
        <v>5117</v>
      </c>
    </row>
    <row r="35089">
      <c r="H35089" t="s">
        <v>5117</v>
      </c>
    </row>
    <row r="35090">
      <c r="H35090" t="s">
        <v>5117</v>
      </c>
    </row>
    <row r="35091">
      <c r="H35091" t="s">
        <v>5117</v>
      </c>
    </row>
    <row r="35092">
      <c r="H35092" t="s">
        <v>5117</v>
      </c>
    </row>
    <row r="35093">
      <c r="H35093" t="s">
        <v>5117</v>
      </c>
    </row>
    <row r="35094">
      <c r="H35094" t="s">
        <v>5117</v>
      </c>
    </row>
    <row r="35095">
      <c r="H35095" t="s">
        <v>5117</v>
      </c>
    </row>
    <row r="35096">
      <c r="H35096" t="s">
        <v>5117</v>
      </c>
    </row>
    <row r="35097">
      <c r="H35097" t="s">
        <v>5117</v>
      </c>
    </row>
    <row r="35098">
      <c r="H35098" t="s">
        <v>5117</v>
      </c>
    </row>
    <row r="35099">
      <c r="H35099" t="s">
        <v>5117</v>
      </c>
    </row>
    <row r="35100">
      <c r="H35100" t="s">
        <v>5117</v>
      </c>
    </row>
    <row r="35101">
      <c r="H35101" t="s">
        <v>5117</v>
      </c>
    </row>
    <row r="35102">
      <c r="H35102" t="s">
        <v>5117</v>
      </c>
    </row>
    <row r="35103">
      <c r="H35103" t="s">
        <v>5117</v>
      </c>
    </row>
    <row r="35104">
      <c r="H35104" t="s">
        <v>5117</v>
      </c>
    </row>
    <row r="35105">
      <c r="H35105" t="s">
        <v>5117</v>
      </c>
    </row>
    <row r="35106">
      <c r="H35106" t="s">
        <v>5117</v>
      </c>
    </row>
    <row r="35107">
      <c r="H35107" t="s">
        <v>5117</v>
      </c>
    </row>
    <row r="35108">
      <c r="H35108" t="s">
        <v>5117</v>
      </c>
    </row>
    <row r="35109">
      <c r="H35109" t="s">
        <v>5117</v>
      </c>
    </row>
    <row r="35110">
      <c r="H35110" t="s">
        <v>5117</v>
      </c>
    </row>
    <row r="35111">
      <c r="H35111" t="s">
        <v>5117</v>
      </c>
    </row>
    <row r="35112">
      <c r="H35112" t="s">
        <v>5117</v>
      </c>
    </row>
    <row r="35113">
      <c r="H35113" t="s">
        <v>5117</v>
      </c>
    </row>
    <row r="35114">
      <c r="H35114" t="s">
        <v>5117</v>
      </c>
    </row>
    <row r="35115">
      <c r="H35115" t="s">
        <v>5117</v>
      </c>
    </row>
    <row r="35116">
      <c r="H35116" t="s">
        <v>5117</v>
      </c>
    </row>
    <row r="35117">
      <c r="H35117" t="s">
        <v>5117</v>
      </c>
    </row>
    <row r="35118">
      <c r="H35118" t="s">
        <v>5117</v>
      </c>
    </row>
    <row r="35119">
      <c r="H35119" t="s">
        <v>5117</v>
      </c>
    </row>
    <row r="35120">
      <c r="H35120" t="s">
        <v>5117</v>
      </c>
    </row>
    <row r="35121">
      <c r="H35121" t="s">
        <v>5117</v>
      </c>
    </row>
    <row r="35122">
      <c r="H35122" t="s">
        <v>5117</v>
      </c>
    </row>
    <row r="35123">
      <c r="H35123" t="s">
        <v>5117</v>
      </c>
    </row>
    <row r="35124">
      <c r="H35124" t="s">
        <v>5117</v>
      </c>
    </row>
    <row r="35125">
      <c r="H35125" t="s">
        <v>5117</v>
      </c>
    </row>
    <row r="35126">
      <c r="H35126" t="s">
        <v>5117</v>
      </c>
    </row>
    <row r="35127">
      <c r="H35127" t="s">
        <v>5117</v>
      </c>
    </row>
    <row r="35128">
      <c r="H35128" t="s">
        <v>5117</v>
      </c>
    </row>
    <row r="35129">
      <c r="H35129" t="s">
        <v>5117</v>
      </c>
    </row>
    <row r="35130">
      <c r="H35130" t="s">
        <v>5117</v>
      </c>
    </row>
    <row r="35131">
      <c r="H35131" t="s">
        <v>5117</v>
      </c>
    </row>
    <row r="35132">
      <c r="H35132" t="s">
        <v>5117</v>
      </c>
    </row>
    <row r="35133">
      <c r="H35133" t="s">
        <v>5117</v>
      </c>
    </row>
    <row r="35134">
      <c r="H35134" t="s">
        <v>5117</v>
      </c>
    </row>
    <row r="35135">
      <c r="H35135" t="s">
        <v>5117</v>
      </c>
    </row>
    <row r="35136">
      <c r="H35136" t="s">
        <v>5117</v>
      </c>
    </row>
    <row r="35137">
      <c r="H35137" t="s">
        <v>5117</v>
      </c>
    </row>
    <row r="35138">
      <c r="H35138" t="s">
        <v>5117</v>
      </c>
    </row>
    <row r="35139">
      <c r="H35139" t="s">
        <v>5117</v>
      </c>
    </row>
    <row r="35140">
      <c r="H35140" t="s">
        <v>5117</v>
      </c>
    </row>
    <row r="35141">
      <c r="H35141" t="s">
        <v>5117</v>
      </c>
    </row>
    <row r="35142">
      <c r="H35142" t="s">
        <v>5117</v>
      </c>
    </row>
    <row r="35143">
      <c r="H35143" t="s">
        <v>5117</v>
      </c>
    </row>
    <row r="35144">
      <c r="H35144" t="s">
        <v>5117</v>
      </c>
    </row>
    <row r="35145">
      <c r="H35145" t="s">
        <v>5117</v>
      </c>
    </row>
    <row r="35146">
      <c r="H35146" t="s">
        <v>5117</v>
      </c>
    </row>
    <row r="35147">
      <c r="H35147" t="s">
        <v>5117</v>
      </c>
    </row>
    <row r="35148">
      <c r="H35148" t="s">
        <v>5117</v>
      </c>
    </row>
    <row r="35149">
      <c r="H35149" t="s">
        <v>5117</v>
      </c>
    </row>
    <row r="35150">
      <c r="H35150" t="s">
        <v>5117</v>
      </c>
    </row>
    <row r="35151">
      <c r="H35151" t="s">
        <v>5117</v>
      </c>
    </row>
    <row r="35152">
      <c r="H35152" t="s">
        <v>5117</v>
      </c>
    </row>
    <row r="35153">
      <c r="H35153" t="s">
        <v>5117</v>
      </c>
    </row>
    <row r="35154">
      <c r="H35154" t="s">
        <v>5117</v>
      </c>
    </row>
    <row r="35155">
      <c r="H35155" t="s">
        <v>5117</v>
      </c>
    </row>
    <row r="35156">
      <c r="H35156" t="s">
        <v>5117</v>
      </c>
    </row>
    <row r="35157">
      <c r="H35157" t="s">
        <v>5117</v>
      </c>
    </row>
    <row r="35158">
      <c r="H35158" t="s">
        <v>5117</v>
      </c>
    </row>
    <row r="35159">
      <c r="H35159" t="s">
        <v>5117</v>
      </c>
    </row>
    <row r="35160">
      <c r="H35160" t="s">
        <v>5117</v>
      </c>
    </row>
    <row r="35161">
      <c r="H35161" t="s">
        <v>5117</v>
      </c>
    </row>
    <row r="35162">
      <c r="H35162" t="s">
        <v>5117</v>
      </c>
    </row>
    <row r="35163">
      <c r="H35163" t="s">
        <v>5117</v>
      </c>
    </row>
    <row r="35164">
      <c r="H35164" t="s">
        <v>5117</v>
      </c>
    </row>
    <row r="35165">
      <c r="H35165" t="s">
        <v>5117</v>
      </c>
    </row>
    <row r="35166">
      <c r="H35166" t="s">
        <v>5117</v>
      </c>
    </row>
    <row r="35167">
      <c r="H35167" t="s">
        <v>5117</v>
      </c>
    </row>
    <row r="35168">
      <c r="H35168" t="s">
        <v>5117</v>
      </c>
    </row>
    <row r="35169">
      <c r="H35169" t="s">
        <v>5117</v>
      </c>
    </row>
    <row r="35170">
      <c r="H35170" t="s">
        <v>5117</v>
      </c>
    </row>
    <row r="35171">
      <c r="H35171" t="s">
        <v>5117</v>
      </c>
    </row>
    <row r="35172">
      <c r="H35172" t="s">
        <v>5117</v>
      </c>
    </row>
    <row r="35173">
      <c r="H35173" t="s">
        <v>5117</v>
      </c>
    </row>
    <row r="35174">
      <c r="H35174" t="s">
        <v>5117</v>
      </c>
    </row>
    <row r="35175">
      <c r="H35175" t="s">
        <v>5117</v>
      </c>
    </row>
    <row r="35176">
      <c r="H35176" t="s">
        <v>5117</v>
      </c>
    </row>
    <row r="35177">
      <c r="H35177" t="s">
        <v>5117</v>
      </c>
    </row>
    <row r="35178">
      <c r="H35178" t="s">
        <v>5117</v>
      </c>
    </row>
    <row r="35179">
      <c r="H35179" t="s">
        <v>5117</v>
      </c>
    </row>
    <row r="35180">
      <c r="H35180" t="s">
        <v>5117</v>
      </c>
    </row>
    <row r="35181">
      <c r="H35181" t="s">
        <v>5117</v>
      </c>
    </row>
    <row r="35182">
      <c r="H35182" t="s">
        <v>5117</v>
      </c>
    </row>
    <row r="35183">
      <c r="H35183" t="s">
        <v>5117</v>
      </c>
    </row>
    <row r="35184">
      <c r="H35184" t="s">
        <v>5117</v>
      </c>
    </row>
    <row r="35185">
      <c r="H35185" t="s">
        <v>5117</v>
      </c>
    </row>
    <row r="35186">
      <c r="H35186" t="s">
        <v>5117</v>
      </c>
    </row>
    <row r="35187">
      <c r="H35187" t="s">
        <v>5117</v>
      </c>
    </row>
    <row r="35188">
      <c r="H35188" t="s">
        <v>5117</v>
      </c>
    </row>
    <row r="35189">
      <c r="H35189" t="s">
        <v>5117</v>
      </c>
    </row>
    <row r="35190">
      <c r="H35190" t="s">
        <v>5117</v>
      </c>
    </row>
    <row r="35191">
      <c r="H35191" t="s">
        <v>5117</v>
      </c>
    </row>
    <row r="35192">
      <c r="H35192" t="s">
        <v>5117</v>
      </c>
    </row>
    <row r="35193">
      <c r="H35193" t="s">
        <v>5117</v>
      </c>
    </row>
    <row r="35194">
      <c r="H35194" t="s">
        <v>5117</v>
      </c>
    </row>
    <row r="35195">
      <c r="H35195" t="s">
        <v>5117</v>
      </c>
    </row>
    <row r="35196">
      <c r="H35196" t="s">
        <v>5117</v>
      </c>
    </row>
    <row r="35197">
      <c r="H35197" t="s">
        <v>5117</v>
      </c>
    </row>
    <row r="35198">
      <c r="H35198" t="s">
        <v>5117</v>
      </c>
    </row>
    <row r="35199">
      <c r="H35199" t="s">
        <v>5117</v>
      </c>
    </row>
    <row r="35200">
      <c r="H35200" t="s">
        <v>5117</v>
      </c>
    </row>
    <row r="35201">
      <c r="H35201" t="s">
        <v>5117</v>
      </c>
    </row>
    <row r="35202">
      <c r="H35202" t="s">
        <v>5117</v>
      </c>
    </row>
    <row r="35203">
      <c r="H35203" t="s">
        <v>5117</v>
      </c>
    </row>
    <row r="35204">
      <c r="H35204" t="s">
        <v>5117</v>
      </c>
    </row>
    <row r="35205">
      <c r="H35205" t="s">
        <v>5117</v>
      </c>
    </row>
    <row r="35206">
      <c r="H35206" t="s">
        <v>5117</v>
      </c>
    </row>
    <row r="35207">
      <c r="H35207" t="s">
        <v>5117</v>
      </c>
    </row>
    <row r="35208">
      <c r="H35208" t="s">
        <v>5117</v>
      </c>
    </row>
    <row r="35209">
      <c r="H35209" t="s">
        <v>5117</v>
      </c>
    </row>
    <row r="35210">
      <c r="H35210" t="s">
        <v>5117</v>
      </c>
    </row>
    <row r="35211">
      <c r="H35211" t="s">
        <v>5117</v>
      </c>
    </row>
    <row r="35212">
      <c r="H35212" t="s">
        <v>5117</v>
      </c>
    </row>
    <row r="35213">
      <c r="H35213" t="s">
        <v>5117</v>
      </c>
    </row>
    <row r="35214">
      <c r="H35214" t="s">
        <v>5117</v>
      </c>
    </row>
    <row r="35215">
      <c r="H35215" t="s">
        <v>5117</v>
      </c>
    </row>
    <row r="35216">
      <c r="H35216" t="s">
        <v>5117</v>
      </c>
    </row>
    <row r="35217">
      <c r="H35217" t="s">
        <v>5117</v>
      </c>
    </row>
    <row r="35218">
      <c r="H35218" t="s">
        <v>5117</v>
      </c>
    </row>
    <row r="35219">
      <c r="H35219" t="s">
        <v>5117</v>
      </c>
    </row>
    <row r="35220">
      <c r="H35220" t="s">
        <v>5117</v>
      </c>
    </row>
    <row r="35221">
      <c r="H35221" t="s">
        <v>5117</v>
      </c>
    </row>
    <row r="35222">
      <c r="H35222" t="s">
        <v>5117</v>
      </c>
    </row>
    <row r="35223">
      <c r="H35223" t="s">
        <v>5117</v>
      </c>
    </row>
    <row r="35224">
      <c r="H35224" t="s">
        <v>5117</v>
      </c>
    </row>
    <row r="35225">
      <c r="H35225" t="s">
        <v>5117</v>
      </c>
    </row>
    <row r="35226">
      <c r="H35226" t="s">
        <v>5117</v>
      </c>
    </row>
    <row r="35227">
      <c r="H35227" t="s">
        <v>5117</v>
      </c>
    </row>
    <row r="35228">
      <c r="H35228" t="s">
        <v>5117</v>
      </c>
    </row>
    <row r="35229">
      <c r="H35229" t="s">
        <v>5117</v>
      </c>
    </row>
    <row r="35230">
      <c r="H35230" t="s">
        <v>5117</v>
      </c>
    </row>
    <row r="35231">
      <c r="H35231" t="s">
        <v>5117</v>
      </c>
    </row>
    <row r="35232">
      <c r="H35232" t="s">
        <v>5117</v>
      </c>
    </row>
    <row r="35233">
      <c r="H35233" t="s">
        <v>5117</v>
      </c>
    </row>
    <row r="35234">
      <c r="H35234" t="s">
        <v>5117</v>
      </c>
    </row>
    <row r="35235">
      <c r="H35235" t="s">
        <v>5117</v>
      </c>
    </row>
    <row r="35236">
      <c r="H35236" t="s">
        <v>5117</v>
      </c>
    </row>
    <row r="35237">
      <c r="H35237" t="s">
        <v>5117</v>
      </c>
    </row>
    <row r="35238">
      <c r="H35238" t="s">
        <v>5117</v>
      </c>
    </row>
    <row r="35239">
      <c r="H35239" t="s">
        <v>5117</v>
      </c>
    </row>
    <row r="35240">
      <c r="H35240" t="s">
        <v>5117</v>
      </c>
    </row>
    <row r="35241">
      <c r="H35241" t="s">
        <v>5117</v>
      </c>
    </row>
    <row r="35242">
      <c r="H35242" t="s">
        <v>5117</v>
      </c>
    </row>
    <row r="35243">
      <c r="H35243" t="s">
        <v>5117</v>
      </c>
    </row>
    <row r="35244">
      <c r="H35244" t="s">
        <v>5117</v>
      </c>
    </row>
    <row r="35245">
      <c r="H35245" t="s">
        <v>5117</v>
      </c>
    </row>
    <row r="35246">
      <c r="H35246" t="s">
        <v>5117</v>
      </c>
    </row>
    <row r="35247">
      <c r="H35247" t="s">
        <v>5117</v>
      </c>
    </row>
    <row r="35248">
      <c r="H35248" t="s">
        <v>5117</v>
      </c>
    </row>
    <row r="35249">
      <c r="H35249" t="s">
        <v>5117</v>
      </c>
    </row>
    <row r="35250">
      <c r="H35250" t="s">
        <v>5117</v>
      </c>
    </row>
    <row r="35251">
      <c r="H35251" t="s">
        <v>5117</v>
      </c>
    </row>
    <row r="35252">
      <c r="H35252" t="s">
        <v>5117</v>
      </c>
    </row>
    <row r="35253">
      <c r="H35253" t="s">
        <v>5117</v>
      </c>
    </row>
    <row r="35254">
      <c r="H35254" t="s">
        <v>5117</v>
      </c>
    </row>
    <row r="35255">
      <c r="H35255" t="s">
        <v>5117</v>
      </c>
    </row>
    <row r="35256">
      <c r="H35256" t="s">
        <v>5117</v>
      </c>
    </row>
    <row r="35257">
      <c r="H35257" t="s">
        <v>5117</v>
      </c>
    </row>
    <row r="35258">
      <c r="H35258" t="s">
        <v>5117</v>
      </c>
    </row>
    <row r="35259">
      <c r="H35259" t="s">
        <v>5117</v>
      </c>
    </row>
    <row r="35260">
      <c r="H35260" t="s">
        <v>5117</v>
      </c>
    </row>
    <row r="35261">
      <c r="H35261" t="s">
        <v>5117</v>
      </c>
    </row>
    <row r="35262">
      <c r="H35262" t="s">
        <v>5117</v>
      </c>
    </row>
    <row r="35263">
      <c r="H35263" t="s">
        <v>5117</v>
      </c>
    </row>
    <row r="35264">
      <c r="H35264" t="s">
        <v>5117</v>
      </c>
    </row>
    <row r="35265">
      <c r="H35265" t="s">
        <v>5117</v>
      </c>
    </row>
    <row r="35266">
      <c r="H35266" t="s">
        <v>5117</v>
      </c>
    </row>
    <row r="35267">
      <c r="H35267" t="s">
        <v>5117</v>
      </c>
    </row>
    <row r="35268">
      <c r="H35268" t="s">
        <v>5117</v>
      </c>
    </row>
    <row r="35269">
      <c r="H35269" t="s">
        <v>5117</v>
      </c>
    </row>
    <row r="35270">
      <c r="H35270" t="s">
        <v>5117</v>
      </c>
    </row>
    <row r="35271">
      <c r="H35271" t="s">
        <v>5117</v>
      </c>
    </row>
    <row r="35272">
      <c r="H35272" t="s">
        <v>5117</v>
      </c>
    </row>
    <row r="35273">
      <c r="H35273" t="s">
        <v>5117</v>
      </c>
    </row>
    <row r="35274">
      <c r="H35274" t="s">
        <v>5117</v>
      </c>
    </row>
    <row r="35275">
      <c r="H35275" t="s">
        <v>5117</v>
      </c>
    </row>
    <row r="35276">
      <c r="H35276" t="s">
        <v>5117</v>
      </c>
    </row>
    <row r="35277">
      <c r="H35277" t="s">
        <v>5117</v>
      </c>
    </row>
    <row r="35278">
      <c r="H35278" t="s">
        <v>5117</v>
      </c>
    </row>
    <row r="35279">
      <c r="H35279" t="s">
        <v>5117</v>
      </c>
    </row>
    <row r="35280">
      <c r="H35280" t="s">
        <v>5117</v>
      </c>
    </row>
    <row r="35281">
      <c r="H35281" t="s">
        <v>5117</v>
      </c>
    </row>
    <row r="35282">
      <c r="H35282" t="s">
        <v>5117</v>
      </c>
    </row>
    <row r="35283">
      <c r="H35283" t="s">
        <v>5117</v>
      </c>
    </row>
    <row r="35284">
      <c r="H35284" t="s">
        <v>5117</v>
      </c>
    </row>
    <row r="35285">
      <c r="H35285" t="s">
        <v>5117</v>
      </c>
    </row>
    <row r="35286">
      <c r="H35286" t="s">
        <v>5117</v>
      </c>
    </row>
    <row r="35287">
      <c r="H35287" t="s">
        <v>5117</v>
      </c>
    </row>
    <row r="35288">
      <c r="H35288" t="s">
        <v>5117</v>
      </c>
    </row>
    <row r="35289">
      <c r="H35289" t="s">
        <v>5117</v>
      </c>
    </row>
    <row r="35290">
      <c r="H35290" t="s">
        <v>5117</v>
      </c>
    </row>
    <row r="35291">
      <c r="H35291" t="s">
        <v>5117</v>
      </c>
    </row>
    <row r="35292">
      <c r="H35292" t="s">
        <v>5117</v>
      </c>
    </row>
    <row r="35293">
      <c r="H35293" t="s">
        <v>5117</v>
      </c>
    </row>
    <row r="35294">
      <c r="H35294" t="s">
        <v>5117</v>
      </c>
    </row>
    <row r="35295">
      <c r="H35295" t="s">
        <v>5117</v>
      </c>
    </row>
    <row r="35296">
      <c r="H35296" t="s">
        <v>5117</v>
      </c>
    </row>
    <row r="35297">
      <c r="H35297" t="s">
        <v>5117</v>
      </c>
    </row>
    <row r="35298">
      <c r="H35298" t="s">
        <v>5117</v>
      </c>
    </row>
    <row r="35299">
      <c r="H35299" t="s">
        <v>5117</v>
      </c>
    </row>
    <row r="35300">
      <c r="H35300" t="s">
        <v>5117</v>
      </c>
    </row>
    <row r="35301">
      <c r="H35301" t="s">
        <v>5117</v>
      </c>
    </row>
    <row r="35302">
      <c r="H35302" t="s">
        <v>5117</v>
      </c>
    </row>
    <row r="35303">
      <c r="H35303" t="s">
        <v>5117</v>
      </c>
    </row>
    <row r="35304">
      <c r="H35304" t="s">
        <v>5117</v>
      </c>
    </row>
    <row r="35305">
      <c r="H35305" t="s">
        <v>5117</v>
      </c>
    </row>
    <row r="35306">
      <c r="H35306" t="s">
        <v>5117</v>
      </c>
    </row>
    <row r="35307">
      <c r="H35307" t="s">
        <v>5117</v>
      </c>
    </row>
    <row r="35308">
      <c r="H35308" t="s">
        <v>5117</v>
      </c>
    </row>
    <row r="35309">
      <c r="H35309" t="s">
        <v>5117</v>
      </c>
    </row>
    <row r="35310">
      <c r="H35310" t="s">
        <v>5117</v>
      </c>
    </row>
    <row r="35311">
      <c r="H35311" t="s">
        <v>5117</v>
      </c>
    </row>
    <row r="35312">
      <c r="H35312" t="s">
        <v>5117</v>
      </c>
    </row>
    <row r="35313">
      <c r="H35313" t="s">
        <v>5117</v>
      </c>
    </row>
    <row r="35314">
      <c r="H35314" t="s">
        <v>5117</v>
      </c>
    </row>
    <row r="35315">
      <c r="H35315" t="s">
        <v>5117</v>
      </c>
    </row>
    <row r="35316">
      <c r="H35316" t="s">
        <v>5117</v>
      </c>
    </row>
    <row r="35317">
      <c r="H35317" t="s">
        <v>5117</v>
      </c>
    </row>
    <row r="35318">
      <c r="H35318" t="s">
        <v>5117</v>
      </c>
    </row>
    <row r="35319">
      <c r="H35319" t="s">
        <v>5117</v>
      </c>
    </row>
    <row r="35320">
      <c r="H35320" t="s">
        <v>5117</v>
      </c>
    </row>
    <row r="35321">
      <c r="H35321" t="s">
        <v>5117</v>
      </c>
    </row>
    <row r="35322">
      <c r="H35322" t="s">
        <v>5117</v>
      </c>
    </row>
    <row r="35323">
      <c r="H35323" t="s">
        <v>5117</v>
      </c>
    </row>
    <row r="35324">
      <c r="H35324" t="s">
        <v>5117</v>
      </c>
    </row>
    <row r="35325">
      <c r="H35325" t="s">
        <v>5117</v>
      </c>
    </row>
    <row r="35326">
      <c r="H35326" t="s">
        <v>5117</v>
      </c>
    </row>
    <row r="35327">
      <c r="H35327" t="s">
        <v>5117</v>
      </c>
    </row>
    <row r="35328">
      <c r="H35328" t="s">
        <v>5117</v>
      </c>
    </row>
    <row r="35329">
      <c r="H35329" t="s">
        <v>5117</v>
      </c>
    </row>
    <row r="35330">
      <c r="H35330" t="s">
        <v>5117</v>
      </c>
    </row>
    <row r="35331">
      <c r="H35331" t="s">
        <v>5117</v>
      </c>
    </row>
    <row r="35332">
      <c r="H35332" t="s">
        <v>5117</v>
      </c>
    </row>
    <row r="35333">
      <c r="H35333" t="s">
        <v>5117</v>
      </c>
    </row>
    <row r="35334">
      <c r="H35334" t="s">
        <v>5117</v>
      </c>
    </row>
    <row r="35335">
      <c r="H35335" t="s">
        <v>5117</v>
      </c>
    </row>
    <row r="35336">
      <c r="H35336" t="s">
        <v>5117</v>
      </c>
    </row>
    <row r="35337">
      <c r="H35337" t="s">
        <v>5117</v>
      </c>
    </row>
    <row r="35338">
      <c r="H35338" t="s">
        <v>5117</v>
      </c>
    </row>
    <row r="35339">
      <c r="H35339" t="s">
        <v>5117</v>
      </c>
    </row>
    <row r="35340">
      <c r="H35340" t="s">
        <v>5117</v>
      </c>
    </row>
    <row r="35341">
      <c r="H35341" t="s">
        <v>5117</v>
      </c>
    </row>
    <row r="35342">
      <c r="H35342" t="s">
        <v>5117</v>
      </c>
    </row>
    <row r="35343">
      <c r="H35343" t="s">
        <v>5117</v>
      </c>
    </row>
    <row r="35344">
      <c r="H35344" t="s">
        <v>5117</v>
      </c>
    </row>
    <row r="35345">
      <c r="H35345" t="s">
        <v>5117</v>
      </c>
    </row>
    <row r="35346">
      <c r="H35346" t="s">
        <v>5117</v>
      </c>
    </row>
    <row r="35347">
      <c r="H35347" t="s">
        <v>5117</v>
      </c>
    </row>
    <row r="35348">
      <c r="H35348" t="s">
        <v>5117</v>
      </c>
    </row>
    <row r="35349">
      <c r="H35349" t="s">
        <v>5117</v>
      </c>
    </row>
    <row r="35350">
      <c r="H35350" t="s">
        <v>5117</v>
      </c>
    </row>
    <row r="35351">
      <c r="H35351" t="s">
        <v>5117</v>
      </c>
    </row>
    <row r="35352">
      <c r="H35352" t="s">
        <v>5117</v>
      </c>
    </row>
    <row r="35353">
      <c r="H35353" t="s">
        <v>5117</v>
      </c>
    </row>
    <row r="35354">
      <c r="H35354" t="s">
        <v>5117</v>
      </c>
    </row>
    <row r="35355">
      <c r="H35355" t="s">
        <v>5117</v>
      </c>
    </row>
    <row r="35356">
      <c r="H35356" t="s">
        <v>5117</v>
      </c>
    </row>
    <row r="35357">
      <c r="H35357" t="s">
        <v>5117</v>
      </c>
    </row>
    <row r="35358">
      <c r="H35358" t="s">
        <v>5117</v>
      </c>
    </row>
    <row r="35359">
      <c r="H35359" t="s">
        <v>5117</v>
      </c>
    </row>
    <row r="35360">
      <c r="H35360" t="s">
        <v>5117</v>
      </c>
    </row>
    <row r="35361">
      <c r="H35361" t="s">
        <v>5117</v>
      </c>
    </row>
    <row r="35362">
      <c r="H35362" t="s">
        <v>5117</v>
      </c>
    </row>
    <row r="35363">
      <c r="H35363" t="s">
        <v>5117</v>
      </c>
    </row>
    <row r="35364">
      <c r="H35364" t="s">
        <v>5117</v>
      </c>
    </row>
    <row r="35365">
      <c r="H35365" t="s">
        <v>5117</v>
      </c>
    </row>
    <row r="35366">
      <c r="H35366" t="s">
        <v>5117</v>
      </c>
    </row>
    <row r="35367">
      <c r="H35367" t="s">
        <v>5117</v>
      </c>
    </row>
    <row r="35368">
      <c r="H35368" t="s">
        <v>5117</v>
      </c>
    </row>
    <row r="35369">
      <c r="H35369" t="s">
        <v>5117</v>
      </c>
    </row>
    <row r="35370">
      <c r="H35370" t="s">
        <v>5117</v>
      </c>
    </row>
    <row r="35371">
      <c r="H35371" t="s">
        <v>5117</v>
      </c>
    </row>
    <row r="35372">
      <c r="H35372" t="s">
        <v>5117</v>
      </c>
    </row>
    <row r="35373">
      <c r="H35373" t="s">
        <v>5117</v>
      </c>
    </row>
    <row r="35374">
      <c r="H35374" t="s">
        <v>5117</v>
      </c>
    </row>
    <row r="35375">
      <c r="H35375" t="s">
        <v>5117</v>
      </c>
    </row>
    <row r="35376">
      <c r="H35376" t="s">
        <v>5117</v>
      </c>
    </row>
    <row r="35377">
      <c r="H35377" t="s">
        <v>5117</v>
      </c>
    </row>
    <row r="35378">
      <c r="H35378" t="s">
        <v>5117</v>
      </c>
    </row>
    <row r="35379">
      <c r="H35379" t="s">
        <v>5117</v>
      </c>
    </row>
    <row r="35380">
      <c r="H35380" t="s">
        <v>5117</v>
      </c>
    </row>
    <row r="35381">
      <c r="H35381" t="s">
        <v>5117</v>
      </c>
    </row>
    <row r="35382">
      <c r="H35382" t="s">
        <v>5117</v>
      </c>
    </row>
    <row r="35383">
      <c r="H35383" t="s">
        <v>5117</v>
      </c>
    </row>
    <row r="35384">
      <c r="H35384" t="s">
        <v>5117</v>
      </c>
    </row>
    <row r="35385">
      <c r="H35385" t="s">
        <v>5117</v>
      </c>
    </row>
    <row r="35386">
      <c r="H35386" t="s">
        <v>5117</v>
      </c>
    </row>
    <row r="35387">
      <c r="H35387" t="s">
        <v>5117</v>
      </c>
    </row>
    <row r="35388">
      <c r="H35388" t="s">
        <v>5117</v>
      </c>
    </row>
    <row r="35389">
      <c r="H35389" t="s">
        <v>5117</v>
      </c>
    </row>
    <row r="35390">
      <c r="H35390" t="s">
        <v>5117</v>
      </c>
    </row>
    <row r="35391">
      <c r="H35391" t="s">
        <v>5117</v>
      </c>
    </row>
    <row r="35392">
      <c r="H35392" t="s">
        <v>5117</v>
      </c>
    </row>
    <row r="35393">
      <c r="H35393" t="s">
        <v>5117</v>
      </c>
    </row>
    <row r="35394">
      <c r="H35394" t="s">
        <v>5117</v>
      </c>
    </row>
    <row r="35395">
      <c r="H35395" t="s">
        <v>5117</v>
      </c>
    </row>
    <row r="35396">
      <c r="H35396" t="s">
        <v>5117</v>
      </c>
    </row>
    <row r="35397">
      <c r="H35397" t="s">
        <v>5117</v>
      </c>
    </row>
    <row r="35398">
      <c r="H35398" t="s">
        <v>5117</v>
      </c>
    </row>
    <row r="35399">
      <c r="H35399" t="s">
        <v>5117</v>
      </c>
    </row>
    <row r="35400">
      <c r="H35400" t="s">
        <v>5117</v>
      </c>
    </row>
    <row r="35401">
      <c r="H35401" t="s">
        <v>5117</v>
      </c>
    </row>
    <row r="35402">
      <c r="H35402" t="s">
        <v>5117</v>
      </c>
    </row>
    <row r="35403">
      <c r="H35403" t="s">
        <v>5117</v>
      </c>
    </row>
    <row r="35404">
      <c r="H35404" t="s">
        <v>5117</v>
      </c>
    </row>
    <row r="35405">
      <c r="H35405" t="s">
        <v>5117</v>
      </c>
    </row>
    <row r="35406">
      <c r="H35406" t="s">
        <v>5117</v>
      </c>
    </row>
    <row r="35407">
      <c r="H35407" t="s">
        <v>5117</v>
      </c>
    </row>
    <row r="35408">
      <c r="H35408" t="s">
        <v>5117</v>
      </c>
    </row>
    <row r="35409">
      <c r="H35409" t="s">
        <v>5117</v>
      </c>
    </row>
    <row r="35410">
      <c r="H35410" t="s">
        <v>5117</v>
      </c>
    </row>
    <row r="35411">
      <c r="H35411" t="s">
        <v>5117</v>
      </c>
    </row>
    <row r="35412">
      <c r="H35412" t="s">
        <v>5117</v>
      </c>
    </row>
    <row r="35413">
      <c r="H35413" t="s">
        <v>5117</v>
      </c>
    </row>
    <row r="35414">
      <c r="H35414" t="s">
        <v>5117</v>
      </c>
    </row>
    <row r="35415">
      <c r="H35415" t="s">
        <v>5117</v>
      </c>
    </row>
    <row r="35416">
      <c r="H35416" t="s">
        <v>5117</v>
      </c>
    </row>
    <row r="35417">
      <c r="H35417" t="s">
        <v>5117</v>
      </c>
    </row>
    <row r="35418">
      <c r="H35418" t="s">
        <v>5117</v>
      </c>
    </row>
    <row r="35419">
      <c r="H35419" t="s">
        <v>5117</v>
      </c>
    </row>
    <row r="35420">
      <c r="H35420" t="s">
        <v>5117</v>
      </c>
    </row>
    <row r="35421">
      <c r="H35421" t="s">
        <v>5117</v>
      </c>
    </row>
    <row r="35422">
      <c r="H35422" t="s">
        <v>5117</v>
      </c>
    </row>
    <row r="35423">
      <c r="H35423" t="s">
        <v>5117</v>
      </c>
    </row>
    <row r="35424">
      <c r="H35424" t="s">
        <v>5117</v>
      </c>
    </row>
    <row r="35425">
      <c r="H35425" t="s">
        <v>5117</v>
      </c>
    </row>
    <row r="35426">
      <c r="H35426" t="s">
        <v>5117</v>
      </c>
    </row>
    <row r="35427">
      <c r="H35427" t="s">
        <v>5117</v>
      </c>
    </row>
    <row r="35428">
      <c r="H35428" t="s">
        <v>5117</v>
      </c>
    </row>
    <row r="35429">
      <c r="H35429" t="s">
        <v>5117</v>
      </c>
    </row>
    <row r="35430">
      <c r="H35430" t="s">
        <v>5117</v>
      </c>
    </row>
    <row r="35431">
      <c r="H35431" t="s">
        <v>5117</v>
      </c>
    </row>
    <row r="35432">
      <c r="H35432" t="s">
        <v>5117</v>
      </c>
    </row>
    <row r="35433">
      <c r="H35433" t="s">
        <v>5117</v>
      </c>
    </row>
    <row r="35434">
      <c r="H35434" t="s">
        <v>5117</v>
      </c>
    </row>
    <row r="35435">
      <c r="H35435" t="s">
        <v>5117</v>
      </c>
    </row>
    <row r="35436">
      <c r="H35436" t="s">
        <v>5117</v>
      </c>
    </row>
    <row r="35437">
      <c r="H35437" t="s">
        <v>5117</v>
      </c>
    </row>
    <row r="35438">
      <c r="H35438" t="s">
        <v>5117</v>
      </c>
    </row>
    <row r="35439">
      <c r="H35439" t="s">
        <v>5117</v>
      </c>
    </row>
    <row r="35440">
      <c r="H35440" t="s">
        <v>5117</v>
      </c>
    </row>
    <row r="35441">
      <c r="H35441" t="s">
        <v>5117</v>
      </c>
    </row>
    <row r="35442">
      <c r="H35442" t="s">
        <v>5117</v>
      </c>
    </row>
    <row r="35443">
      <c r="H35443" t="s">
        <v>5117</v>
      </c>
    </row>
    <row r="35444">
      <c r="H35444" t="s">
        <v>5117</v>
      </c>
    </row>
    <row r="35445">
      <c r="H35445" t="s">
        <v>5117</v>
      </c>
    </row>
    <row r="35446">
      <c r="H35446" t="s">
        <v>5117</v>
      </c>
    </row>
    <row r="35447">
      <c r="H35447" t="s">
        <v>5117</v>
      </c>
    </row>
    <row r="35448">
      <c r="H35448" t="s">
        <v>5117</v>
      </c>
    </row>
    <row r="35449">
      <c r="H35449" t="s">
        <v>5117</v>
      </c>
    </row>
    <row r="35450">
      <c r="H35450" t="s">
        <v>5117</v>
      </c>
    </row>
    <row r="35451">
      <c r="H35451" t="s">
        <v>5117</v>
      </c>
    </row>
    <row r="35452">
      <c r="H35452" t="s">
        <v>5117</v>
      </c>
    </row>
    <row r="35453">
      <c r="H35453" t="s">
        <v>5117</v>
      </c>
    </row>
    <row r="35454">
      <c r="H35454" t="s">
        <v>5117</v>
      </c>
    </row>
    <row r="35455">
      <c r="H35455" t="s">
        <v>5117</v>
      </c>
    </row>
    <row r="35456">
      <c r="H35456" t="s">
        <v>5117</v>
      </c>
    </row>
    <row r="35457">
      <c r="H35457" t="s">
        <v>5117</v>
      </c>
    </row>
    <row r="35458">
      <c r="H35458" t="s">
        <v>5117</v>
      </c>
    </row>
    <row r="35459">
      <c r="H35459" t="s">
        <v>5117</v>
      </c>
    </row>
    <row r="35460">
      <c r="H35460" t="s">
        <v>5117</v>
      </c>
    </row>
    <row r="35461">
      <c r="H35461" t="s">
        <v>5117</v>
      </c>
    </row>
    <row r="35462">
      <c r="H35462" t="s">
        <v>5117</v>
      </c>
    </row>
    <row r="35463">
      <c r="H35463" t="s">
        <v>5117</v>
      </c>
    </row>
    <row r="35464">
      <c r="H35464" t="s">
        <v>5117</v>
      </c>
    </row>
    <row r="35465">
      <c r="H35465" t="s">
        <v>5117</v>
      </c>
    </row>
    <row r="35466">
      <c r="H35466" t="s">
        <v>5117</v>
      </c>
    </row>
    <row r="35467">
      <c r="H35467" t="s">
        <v>5117</v>
      </c>
    </row>
    <row r="35468">
      <c r="H35468" t="s">
        <v>5117</v>
      </c>
    </row>
    <row r="35469">
      <c r="H35469" t="s">
        <v>5117</v>
      </c>
    </row>
    <row r="35470">
      <c r="H35470" t="s">
        <v>5117</v>
      </c>
    </row>
    <row r="35471">
      <c r="H35471" t="s">
        <v>5117</v>
      </c>
    </row>
    <row r="35472">
      <c r="H35472" t="s">
        <v>5117</v>
      </c>
    </row>
    <row r="35473">
      <c r="H35473" t="s">
        <v>5117</v>
      </c>
    </row>
    <row r="35474">
      <c r="H35474" t="s">
        <v>5117</v>
      </c>
    </row>
    <row r="35475">
      <c r="H35475" t="s">
        <v>5117</v>
      </c>
    </row>
    <row r="35476">
      <c r="H35476" t="s">
        <v>5117</v>
      </c>
    </row>
    <row r="35477">
      <c r="H35477" t="s">
        <v>5117</v>
      </c>
    </row>
    <row r="35478">
      <c r="H35478" t="s">
        <v>5117</v>
      </c>
    </row>
    <row r="35479">
      <c r="H35479" t="s">
        <v>5117</v>
      </c>
    </row>
    <row r="35480">
      <c r="H35480" t="s">
        <v>5117</v>
      </c>
    </row>
    <row r="35481">
      <c r="H35481" t="s">
        <v>5117</v>
      </c>
    </row>
    <row r="35482">
      <c r="H35482" t="s">
        <v>5117</v>
      </c>
    </row>
    <row r="35483">
      <c r="H35483" t="s">
        <v>5117</v>
      </c>
    </row>
    <row r="35484">
      <c r="H35484" t="s">
        <v>5117</v>
      </c>
    </row>
    <row r="35485">
      <c r="H35485" t="s">
        <v>5117</v>
      </c>
    </row>
    <row r="35486">
      <c r="H35486" t="s">
        <v>5117</v>
      </c>
    </row>
    <row r="35487">
      <c r="H35487" t="s">
        <v>5117</v>
      </c>
    </row>
    <row r="35488">
      <c r="H35488" t="s">
        <v>5117</v>
      </c>
    </row>
    <row r="35489">
      <c r="H35489" t="s">
        <v>5117</v>
      </c>
    </row>
    <row r="35490">
      <c r="H35490" t="s">
        <v>5117</v>
      </c>
    </row>
    <row r="35491">
      <c r="H35491" t="s">
        <v>5117</v>
      </c>
    </row>
    <row r="35492">
      <c r="H35492" t="s">
        <v>5117</v>
      </c>
    </row>
    <row r="35493">
      <c r="H35493" t="s">
        <v>5117</v>
      </c>
    </row>
    <row r="35494">
      <c r="H35494" t="s">
        <v>5117</v>
      </c>
    </row>
    <row r="35495">
      <c r="H35495" t="s">
        <v>5117</v>
      </c>
    </row>
    <row r="35496">
      <c r="H35496" t="s">
        <v>5117</v>
      </c>
    </row>
    <row r="35497">
      <c r="H35497" t="s">
        <v>5117</v>
      </c>
    </row>
    <row r="35498">
      <c r="H35498" t="s">
        <v>5117</v>
      </c>
    </row>
    <row r="35499">
      <c r="H35499" t="s">
        <v>5117</v>
      </c>
    </row>
    <row r="35500">
      <c r="H35500" t="s">
        <v>5117</v>
      </c>
    </row>
    <row r="35501">
      <c r="H35501" t="s">
        <v>5117</v>
      </c>
    </row>
    <row r="35502">
      <c r="H35502" t="s">
        <v>5117</v>
      </c>
    </row>
    <row r="35503">
      <c r="H35503" t="s">
        <v>5117</v>
      </c>
    </row>
    <row r="35504">
      <c r="H35504" t="s">
        <v>5117</v>
      </c>
    </row>
    <row r="35505">
      <c r="H35505" t="s">
        <v>5117</v>
      </c>
    </row>
    <row r="35506">
      <c r="H35506" t="s">
        <v>5117</v>
      </c>
    </row>
    <row r="35507">
      <c r="H35507" t="s">
        <v>5117</v>
      </c>
    </row>
    <row r="35508">
      <c r="H35508" t="s">
        <v>5117</v>
      </c>
    </row>
    <row r="35509">
      <c r="H35509" t="s">
        <v>5117</v>
      </c>
    </row>
    <row r="35510">
      <c r="H35510" t="s">
        <v>5117</v>
      </c>
    </row>
    <row r="35511">
      <c r="H35511" t="s">
        <v>5117</v>
      </c>
    </row>
    <row r="35512">
      <c r="H35512" t="s">
        <v>5117</v>
      </c>
    </row>
    <row r="35513">
      <c r="H35513" t="s">
        <v>5117</v>
      </c>
    </row>
    <row r="35514">
      <c r="H35514" t="s">
        <v>5117</v>
      </c>
    </row>
    <row r="35515">
      <c r="H35515" t="s">
        <v>5117</v>
      </c>
    </row>
    <row r="35516">
      <c r="H35516" t="s">
        <v>5117</v>
      </c>
    </row>
    <row r="35517">
      <c r="H35517" t="s">
        <v>5117</v>
      </c>
    </row>
    <row r="35518">
      <c r="H35518" t="s">
        <v>5117</v>
      </c>
    </row>
    <row r="35519">
      <c r="H35519" t="s">
        <v>5117</v>
      </c>
    </row>
    <row r="35520">
      <c r="H35520" t="s">
        <v>5117</v>
      </c>
    </row>
    <row r="35521">
      <c r="H35521" t="s">
        <v>5117</v>
      </c>
    </row>
    <row r="35522">
      <c r="H35522" t="s">
        <v>5117</v>
      </c>
    </row>
    <row r="35523">
      <c r="H35523" t="s">
        <v>5117</v>
      </c>
    </row>
    <row r="35524">
      <c r="H35524" t="s">
        <v>5117</v>
      </c>
    </row>
    <row r="35525">
      <c r="H35525" t="s">
        <v>5117</v>
      </c>
    </row>
    <row r="35526">
      <c r="H35526" t="s">
        <v>5117</v>
      </c>
    </row>
    <row r="35527">
      <c r="H35527" t="s">
        <v>5117</v>
      </c>
    </row>
    <row r="35528">
      <c r="H35528" t="s">
        <v>5117</v>
      </c>
    </row>
    <row r="35529">
      <c r="H35529" t="s">
        <v>5117</v>
      </c>
    </row>
    <row r="35530">
      <c r="H35530" t="s">
        <v>5117</v>
      </c>
    </row>
    <row r="35531">
      <c r="H35531" t="s">
        <v>5117</v>
      </c>
    </row>
    <row r="35532">
      <c r="H35532" t="s">
        <v>5117</v>
      </c>
    </row>
    <row r="35533">
      <c r="H35533" t="s">
        <v>5117</v>
      </c>
    </row>
    <row r="35534">
      <c r="H35534" t="s">
        <v>5117</v>
      </c>
    </row>
    <row r="35535">
      <c r="H35535" t="s">
        <v>5117</v>
      </c>
    </row>
    <row r="35536">
      <c r="H35536" t="s">
        <v>5117</v>
      </c>
    </row>
    <row r="35537">
      <c r="H35537" t="s">
        <v>5117</v>
      </c>
    </row>
    <row r="35538">
      <c r="H35538" t="s">
        <v>5117</v>
      </c>
    </row>
    <row r="35539">
      <c r="H35539" t="s">
        <v>5117</v>
      </c>
    </row>
    <row r="35540">
      <c r="H35540" t="s">
        <v>5117</v>
      </c>
    </row>
    <row r="35541">
      <c r="H35541" t="s">
        <v>5117</v>
      </c>
    </row>
    <row r="35542">
      <c r="H35542" t="s">
        <v>5117</v>
      </c>
    </row>
    <row r="35543">
      <c r="H35543" t="s">
        <v>5117</v>
      </c>
    </row>
    <row r="35544">
      <c r="H35544" t="s">
        <v>5117</v>
      </c>
    </row>
    <row r="35545">
      <c r="H35545" t="s">
        <v>5117</v>
      </c>
    </row>
    <row r="35546">
      <c r="H35546" t="s">
        <v>5117</v>
      </c>
    </row>
    <row r="35547">
      <c r="H35547" t="s">
        <v>5117</v>
      </c>
    </row>
    <row r="35548">
      <c r="H35548" t="s">
        <v>5117</v>
      </c>
    </row>
    <row r="35549">
      <c r="H35549" t="s">
        <v>5117</v>
      </c>
    </row>
    <row r="35550">
      <c r="H35550" t="s">
        <v>5117</v>
      </c>
    </row>
    <row r="35551">
      <c r="H35551" t="s">
        <v>5117</v>
      </c>
    </row>
    <row r="35552">
      <c r="H35552" t="s">
        <v>5117</v>
      </c>
    </row>
    <row r="35553">
      <c r="H35553" t="s">
        <v>5117</v>
      </c>
    </row>
    <row r="35554">
      <c r="H35554" t="s">
        <v>5117</v>
      </c>
    </row>
    <row r="35555">
      <c r="H35555" t="s">
        <v>5117</v>
      </c>
    </row>
    <row r="35556">
      <c r="H35556" t="s">
        <v>5117</v>
      </c>
    </row>
    <row r="35557">
      <c r="H35557" t="s">
        <v>5117</v>
      </c>
    </row>
    <row r="35558">
      <c r="H35558" t="s">
        <v>5117</v>
      </c>
    </row>
    <row r="35559">
      <c r="H35559" t="s">
        <v>5117</v>
      </c>
    </row>
    <row r="35560">
      <c r="H35560" t="s">
        <v>5117</v>
      </c>
    </row>
    <row r="35561">
      <c r="H35561" t="s">
        <v>5117</v>
      </c>
    </row>
    <row r="35562">
      <c r="H35562" t="s">
        <v>5117</v>
      </c>
    </row>
    <row r="35563">
      <c r="H35563" t="s">
        <v>5117</v>
      </c>
    </row>
    <row r="35564">
      <c r="H35564" t="s">
        <v>5117</v>
      </c>
    </row>
    <row r="35565">
      <c r="H35565" t="s">
        <v>5117</v>
      </c>
    </row>
    <row r="35566">
      <c r="H35566" t="s">
        <v>5117</v>
      </c>
    </row>
    <row r="35567">
      <c r="H35567" t="s">
        <v>5117</v>
      </c>
    </row>
    <row r="35568">
      <c r="H35568" t="s">
        <v>5117</v>
      </c>
    </row>
    <row r="35569">
      <c r="H35569" t="s">
        <v>5117</v>
      </c>
    </row>
    <row r="35570">
      <c r="H35570" t="s">
        <v>5117</v>
      </c>
    </row>
    <row r="35571">
      <c r="H35571" t="s">
        <v>5117</v>
      </c>
    </row>
    <row r="35572">
      <c r="H35572" t="s">
        <v>5117</v>
      </c>
    </row>
    <row r="35573">
      <c r="H35573" t="s">
        <v>5117</v>
      </c>
    </row>
    <row r="35574">
      <c r="H35574" t="s">
        <v>5117</v>
      </c>
    </row>
    <row r="35575">
      <c r="H35575" t="s">
        <v>5117</v>
      </c>
    </row>
    <row r="35576">
      <c r="H35576" t="s">
        <v>5117</v>
      </c>
    </row>
    <row r="35577">
      <c r="H35577" t="s">
        <v>5117</v>
      </c>
    </row>
    <row r="35578">
      <c r="H35578" t="s">
        <v>5117</v>
      </c>
    </row>
    <row r="35579">
      <c r="H35579" t="s">
        <v>5117</v>
      </c>
    </row>
    <row r="35580">
      <c r="H35580" t="s">
        <v>5117</v>
      </c>
    </row>
    <row r="35581">
      <c r="H35581" t="s">
        <v>5117</v>
      </c>
    </row>
    <row r="35582">
      <c r="H35582" t="s">
        <v>5117</v>
      </c>
    </row>
    <row r="35583">
      <c r="H35583" t="s">
        <v>5117</v>
      </c>
    </row>
    <row r="35584">
      <c r="H35584" t="s">
        <v>5117</v>
      </c>
    </row>
    <row r="35585">
      <c r="H35585" t="s">
        <v>5117</v>
      </c>
    </row>
    <row r="35586">
      <c r="H35586" t="s">
        <v>5117</v>
      </c>
    </row>
    <row r="35587">
      <c r="H35587" t="s">
        <v>5117</v>
      </c>
    </row>
    <row r="35588">
      <c r="H35588" t="s">
        <v>5117</v>
      </c>
    </row>
    <row r="35589">
      <c r="H35589" t="s">
        <v>5117</v>
      </c>
    </row>
    <row r="35590">
      <c r="H35590" t="s">
        <v>5117</v>
      </c>
    </row>
    <row r="35591">
      <c r="H35591" t="s">
        <v>5117</v>
      </c>
    </row>
    <row r="35592">
      <c r="H35592" t="s">
        <v>5117</v>
      </c>
    </row>
    <row r="35593">
      <c r="H35593" t="s">
        <v>5117</v>
      </c>
    </row>
    <row r="35594">
      <c r="H35594" t="s">
        <v>5117</v>
      </c>
    </row>
    <row r="35595">
      <c r="H35595" t="s">
        <v>5117</v>
      </c>
    </row>
    <row r="35596">
      <c r="H35596" t="s">
        <v>5117</v>
      </c>
    </row>
    <row r="35597">
      <c r="H35597" t="s">
        <v>5117</v>
      </c>
    </row>
    <row r="35598">
      <c r="H35598" t="s">
        <v>5117</v>
      </c>
    </row>
    <row r="35599">
      <c r="H35599" t="s">
        <v>5117</v>
      </c>
    </row>
    <row r="35600">
      <c r="H35600" t="s">
        <v>5117</v>
      </c>
    </row>
    <row r="35601">
      <c r="H35601" t="s">
        <v>5117</v>
      </c>
    </row>
    <row r="35602">
      <c r="H35602" t="s">
        <v>5117</v>
      </c>
    </row>
    <row r="35603">
      <c r="H35603" t="s">
        <v>5117</v>
      </c>
    </row>
    <row r="35604">
      <c r="H35604" t="s">
        <v>5117</v>
      </c>
    </row>
    <row r="35605">
      <c r="H35605" t="s">
        <v>5117</v>
      </c>
    </row>
    <row r="35606">
      <c r="H35606" t="s">
        <v>5117</v>
      </c>
    </row>
    <row r="35607">
      <c r="H35607" t="s">
        <v>5117</v>
      </c>
    </row>
    <row r="35608">
      <c r="H35608" t="s">
        <v>5117</v>
      </c>
    </row>
    <row r="35609">
      <c r="H35609" t="s">
        <v>5117</v>
      </c>
    </row>
    <row r="35610">
      <c r="H35610" t="s">
        <v>5117</v>
      </c>
    </row>
    <row r="35611">
      <c r="H35611" t="s">
        <v>5117</v>
      </c>
    </row>
    <row r="35612">
      <c r="H35612" t="s">
        <v>5117</v>
      </c>
    </row>
    <row r="35613">
      <c r="H35613" t="s">
        <v>5117</v>
      </c>
    </row>
    <row r="35614">
      <c r="H35614" t="s">
        <v>5117</v>
      </c>
    </row>
    <row r="35615">
      <c r="H35615" t="s">
        <v>5117</v>
      </c>
    </row>
    <row r="35616">
      <c r="H35616" t="s">
        <v>5117</v>
      </c>
    </row>
    <row r="35617">
      <c r="H35617" t="s">
        <v>5117</v>
      </c>
    </row>
    <row r="35618">
      <c r="H35618" t="s">
        <v>5117</v>
      </c>
    </row>
    <row r="35619">
      <c r="H35619" t="s">
        <v>5117</v>
      </c>
    </row>
    <row r="35620">
      <c r="H35620" t="s">
        <v>5117</v>
      </c>
    </row>
    <row r="35621">
      <c r="H35621" t="s">
        <v>5117</v>
      </c>
    </row>
    <row r="35622">
      <c r="H35622" t="s">
        <v>5117</v>
      </c>
    </row>
    <row r="35623">
      <c r="H35623" t="s">
        <v>5117</v>
      </c>
    </row>
    <row r="35624">
      <c r="H35624" t="s">
        <v>5117</v>
      </c>
    </row>
    <row r="35625">
      <c r="H35625" t="s">
        <v>5117</v>
      </c>
    </row>
    <row r="35626">
      <c r="H35626" t="s">
        <v>5117</v>
      </c>
    </row>
    <row r="35627">
      <c r="H35627" t="s">
        <v>5117</v>
      </c>
    </row>
    <row r="35628">
      <c r="H35628" t="s">
        <v>5117</v>
      </c>
    </row>
    <row r="35629">
      <c r="H35629" t="s">
        <v>5117</v>
      </c>
    </row>
    <row r="35630">
      <c r="H35630" t="s">
        <v>5117</v>
      </c>
    </row>
    <row r="35631">
      <c r="H35631" t="s">
        <v>5117</v>
      </c>
    </row>
    <row r="35632">
      <c r="H35632" t="s">
        <v>5117</v>
      </c>
    </row>
    <row r="35633">
      <c r="H35633" t="s">
        <v>5117</v>
      </c>
    </row>
    <row r="35634">
      <c r="H35634" t="s">
        <v>5117</v>
      </c>
    </row>
    <row r="35635">
      <c r="H35635" t="s">
        <v>5117</v>
      </c>
    </row>
    <row r="35636">
      <c r="H35636" t="s">
        <v>5117</v>
      </c>
    </row>
    <row r="35637">
      <c r="H35637" t="s">
        <v>5117</v>
      </c>
    </row>
    <row r="35638">
      <c r="H35638" t="s">
        <v>5117</v>
      </c>
    </row>
    <row r="35639">
      <c r="H35639" t="s">
        <v>5117</v>
      </c>
    </row>
    <row r="35640">
      <c r="H35640" t="s">
        <v>5117</v>
      </c>
    </row>
    <row r="35641">
      <c r="H35641" t="s">
        <v>5117</v>
      </c>
    </row>
    <row r="35642">
      <c r="H35642" t="s">
        <v>5117</v>
      </c>
    </row>
    <row r="35643">
      <c r="H35643" t="s">
        <v>5117</v>
      </c>
    </row>
    <row r="35644">
      <c r="H35644" t="s">
        <v>5117</v>
      </c>
    </row>
    <row r="35645">
      <c r="H35645" t="s">
        <v>5117</v>
      </c>
    </row>
    <row r="35646">
      <c r="H35646" t="s">
        <v>5117</v>
      </c>
    </row>
    <row r="35647">
      <c r="H35647" t="s">
        <v>5117</v>
      </c>
    </row>
    <row r="35648">
      <c r="H35648" t="s">
        <v>5117</v>
      </c>
    </row>
    <row r="35649">
      <c r="H35649" t="s">
        <v>5117</v>
      </c>
    </row>
    <row r="35650">
      <c r="H35650" t="s">
        <v>5117</v>
      </c>
    </row>
    <row r="35651">
      <c r="H35651" t="s">
        <v>5117</v>
      </c>
    </row>
    <row r="35652">
      <c r="H35652" t="s">
        <v>5117</v>
      </c>
    </row>
    <row r="35653">
      <c r="H35653" t="s">
        <v>5117</v>
      </c>
    </row>
    <row r="35654">
      <c r="H35654" t="s">
        <v>5117</v>
      </c>
    </row>
    <row r="35655">
      <c r="H35655" t="s">
        <v>5117</v>
      </c>
    </row>
    <row r="35656">
      <c r="H35656" t="s">
        <v>5117</v>
      </c>
    </row>
    <row r="35657">
      <c r="H35657" t="s">
        <v>5117</v>
      </c>
    </row>
    <row r="35658">
      <c r="H35658" t="s">
        <v>5117</v>
      </c>
    </row>
    <row r="35659">
      <c r="H35659" t="s">
        <v>5117</v>
      </c>
    </row>
    <row r="35660">
      <c r="H35660" t="s">
        <v>5117</v>
      </c>
    </row>
    <row r="35661">
      <c r="H35661" t="s">
        <v>5117</v>
      </c>
    </row>
    <row r="35662">
      <c r="H35662" t="s">
        <v>5117</v>
      </c>
    </row>
    <row r="35663">
      <c r="H35663" t="s">
        <v>5117</v>
      </c>
    </row>
    <row r="35664">
      <c r="H35664" t="s">
        <v>5117</v>
      </c>
    </row>
    <row r="35665">
      <c r="H35665" t="s">
        <v>5117</v>
      </c>
    </row>
    <row r="35666">
      <c r="H35666" t="s">
        <v>5117</v>
      </c>
    </row>
    <row r="35667">
      <c r="H35667" t="s">
        <v>5117</v>
      </c>
    </row>
    <row r="35668">
      <c r="H35668" t="s">
        <v>5117</v>
      </c>
    </row>
    <row r="35669">
      <c r="H35669" t="s">
        <v>5117</v>
      </c>
    </row>
    <row r="35670">
      <c r="H35670" t="s">
        <v>5117</v>
      </c>
    </row>
    <row r="35671">
      <c r="H35671" t="s">
        <v>5117</v>
      </c>
    </row>
    <row r="35672">
      <c r="H35672" t="s">
        <v>5117</v>
      </c>
    </row>
    <row r="35673">
      <c r="H35673" t="s">
        <v>5117</v>
      </c>
    </row>
    <row r="35674">
      <c r="H35674" t="s">
        <v>5117</v>
      </c>
    </row>
    <row r="35675">
      <c r="H35675" t="s">
        <v>5117</v>
      </c>
    </row>
    <row r="35676">
      <c r="H35676" t="s">
        <v>5117</v>
      </c>
    </row>
    <row r="35677">
      <c r="H35677" t="s">
        <v>5117</v>
      </c>
    </row>
    <row r="35678">
      <c r="H35678" t="s">
        <v>5117</v>
      </c>
    </row>
    <row r="35679">
      <c r="H35679" t="s">
        <v>5117</v>
      </c>
    </row>
    <row r="35680">
      <c r="H35680" t="s">
        <v>5117</v>
      </c>
    </row>
    <row r="35681">
      <c r="H35681" t="s">
        <v>5117</v>
      </c>
    </row>
    <row r="35682">
      <c r="H35682" t="s">
        <v>5117</v>
      </c>
    </row>
    <row r="35683">
      <c r="H35683" t="s">
        <v>5117</v>
      </c>
    </row>
    <row r="35684">
      <c r="H35684" t="s">
        <v>5117</v>
      </c>
    </row>
    <row r="35685">
      <c r="H35685" t="s">
        <v>5117</v>
      </c>
    </row>
    <row r="35686">
      <c r="H35686" t="s">
        <v>5117</v>
      </c>
    </row>
    <row r="35687">
      <c r="H35687" t="s">
        <v>5117</v>
      </c>
    </row>
    <row r="35688">
      <c r="H35688" t="s">
        <v>5117</v>
      </c>
    </row>
    <row r="35689">
      <c r="H35689" t="s">
        <v>5117</v>
      </c>
    </row>
    <row r="35690">
      <c r="H35690" t="s">
        <v>5117</v>
      </c>
    </row>
    <row r="35691">
      <c r="H35691" t="s">
        <v>5117</v>
      </c>
    </row>
    <row r="35692">
      <c r="H35692" t="s">
        <v>5117</v>
      </c>
    </row>
    <row r="35693">
      <c r="H35693" t="s">
        <v>5117</v>
      </c>
    </row>
    <row r="35694">
      <c r="H35694" t="s">
        <v>5117</v>
      </c>
    </row>
    <row r="35695">
      <c r="H35695" t="s">
        <v>5117</v>
      </c>
    </row>
    <row r="35696">
      <c r="H35696" t="s">
        <v>5117</v>
      </c>
    </row>
    <row r="35697">
      <c r="H35697" t="s">
        <v>5117</v>
      </c>
    </row>
    <row r="35698">
      <c r="H35698" t="s">
        <v>5117</v>
      </c>
    </row>
    <row r="35699">
      <c r="H35699" t="s">
        <v>5117</v>
      </c>
    </row>
    <row r="35700">
      <c r="H35700" t="s">
        <v>5117</v>
      </c>
    </row>
    <row r="35701">
      <c r="H35701" t="s">
        <v>5117</v>
      </c>
    </row>
    <row r="35702">
      <c r="H35702" t="s">
        <v>5117</v>
      </c>
    </row>
    <row r="35703">
      <c r="H35703" t="s">
        <v>5117</v>
      </c>
    </row>
    <row r="35704">
      <c r="H35704" t="s">
        <v>5117</v>
      </c>
    </row>
    <row r="35705">
      <c r="H35705" t="s">
        <v>5117</v>
      </c>
    </row>
    <row r="35706">
      <c r="H35706" t="s">
        <v>5117</v>
      </c>
    </row>
    <row r="35707">
      <c r="H35707" t="s">
        <v>5117</v>
      </c>
    </row>
    <row r="35708">
      <c r="H35708" t="s">
        <v>5117</v>
      </c>
    </row>
    <row r="35709">
      <c r="H35709" t="s">
        <v>5117</v>
      </c>
    </row>
    <row r="35710">
      <c r="H35710" t="s">
        <v>5117</v>
      </c>
    </row>
    <row r="35711">
      <c r="H35711" t="s">
        <v>5117</v>
      </c>
    </row>
    <row r="35712">
      <c r="H35712" t="s">
        <v>5117</v>
      </c>
    </row>
    <row r="35713">
      <c r="H35713" t="s">
        <v>5117</v>
      </c>
    </row>
    <row r="35714">
      <c r="H35714" t="s">
        <v>5117</v>
      </c>
    </row>
    <row r="35715">
      <c r="H35715" t="s">
        <v>5117</v>
      </c>
    </row>
    <row r="35716">
      <c r="H35716" t="s">
        <v>5117</v>
      </c>
    </row>
    <row r="35717">
      <c r="H35717" t="s">
        <v>5117</v>
      </c>
    </row>
    <row r="35718">
      <c r="H35718" t="s">
        <v>5117</v>
      </c>
    </row>
    <row r="35719">
      <c r="H35719" t="s">
        <v>5117</v>
      </c>
    </row>
    <row r="35720">
      <c r="H35720" t="s">
        <v>5117</v>
      </c>
    </row>
    <row r="35721">
      <c r="H35721" t="s">
        <v>5117</v>
      </c>
    </row>
    <row r="35722">
      <c r="H35722" t="s">
        <v>5117</v>
      </c>
    </row>
    <row r="35723">
      <c r="H35723" t="s">
        <v>5117</v>
      </c>
    </row>
    <row r="35724">
      <c r="H35724" t="s">
        <v>5117</v>
      </c>
    </row>
    <row r="35725">
      <c r="H35725" t="s">
        <v>5117</v>
      </c>
    </row>
    <row r="35726">
      <c r="H35726" t="s">
        <v>5117</v>
      </c>
    </row>
    <row r="35727">
      <c r="H35727" t="s">
        <v>5117</v>
      </c>
    </row>
    <row r="35728">
      <c r="H35728" t="s">
        <v>5117</v>
      </c>
    </row>
    <row r="35729">
      <c r="H35729" t="s">
        <v>5117</v>
      </c>
    </row>
    <row r="35730">
      <c r="H35730" t="s">
        <v>5117</v>
      </c>
    </row>
    <row r="35731">
      <c r="H35731" t="s">
        <v>5117</v>
      </c>
    </row>
    <row r="35732">
      <c r="H35732" t="s">
        <v>5117</v>
      </c>
    </row>
    <row r="35733">
      <c r="H35733" t="s">
        <v>5117</v>
      </c>
    </row>
    <row r="35734">
      <c r="H35734" t="s">
        <v>5117</v>
      </c>
    </row>
    <row r="35735">
      <c r="H35735" t="s">
        <v>5117</v>
      </c>
    </row>
    <row r="35736">
      <c r="H35736" t="s">
        <v>5117</v>
      </c>
    </row>
    <row r="35737">
      <c r="H35737" t="s">
        <v>5117</v>
      </c>
    </row>
    <row r="35738">
      <c r="H35738" t="s">
        <v>5117</v>
      </c>
    </row>
    <row r="35739">
      <c r="H35739" t="s">
        <v>5117</v>
      </c>
    </row>
    <row r="35740">
      <c r="H35740" t="s">
        <v>5117</v>
      </c>
    </row>
    <row r="35741">
      <c r="H35741" t="s">
        <v>5117</v>
      </c>
    </row>
    <row r="35742">
      <c r="H35742" t="s">
        <v>5117</v>
      </c>
    </row>
    <row r="35743">
      <c r="H35743" t="s">
        <v>5117</v>
      </c>
    </row>
    <row r="35744">
      <c r="H35744" t="s">
        <v>5117</v>
      </c>
    </row>
    <row r="35745">
      <c r="H35745" t="s">
        <v>5117</v>
      </c>
    </row>
    <row r="35746">
      <c r="H35746" t="s">
        <v>5117</v>
      </c>
    </row>
    <row r="35747">
      <c r="H35747" t="s">
        <v>5117</v>
      </c>
    </row>
    <row r="35748">
      <c r="H35748" t="s">
        <v>5117</v>
      </c>
    </row>
    <row r="35749">
      <c r="H35749" t="s">
        <v>5117</v>
      </c>
    </row>
    <row r="35750">
      <c r="H35750" t="s">
        <v>5117</v>
      </c>
    </row>
    <row r="35751">
      <c r="H35751" t="s">
        <v>5117</v>
      </c>
    </row>
    <row r="35752">
      <c r="H35752" t="s">
        <v>5117</v>
      </c>
    </row>
    <row r="35753">
      <c r="H35753" t="s">
        <v>5117</v>
      </c>
    </row>
    <row r="35754">
      <c r="H35754" t="s">
        <v>5117</v>
      </c>
    </row>
    <row r="35755">
      <c r="H35755" t="s">
        <v>5117</v>
      </c>
    </row>
    <row r="35756">
      <c r="H35756" t="s">
        <v>5117</v>
      </c>
    </row>
    <row r="35757">
      <c r="H35757" t="s">
        <v>5117</v>
      </c>
    </row>
    <row r="35758">
      <c r="H35758" t="s">
        <v>5117</v>
      </c>
    </row>
    <row r="35759">
      <c r="H35759" t="s">
        <v>5117</v>
      </c>
    </row>
    <row r="35760">
      <c r="H35760" t="s">
        <v>5117</v>
      </c>
    </row>
    <row r="35761">
      <c r="H35761" t="s">
        <v>5117</v>
      </c>
    </row>
    <row r="35762">
      <c r="H35762" t="s">
        <v>5117</v>
      </c>
    </row>
    <row r="35763">
      <c r="H35763" t="s">
        <v>5117</v>
      </c>
    </row>
    <row r="35764">
      <c r="H35764" t="s">
        <v>5117</v>
      </c>
    </row>
    <row r="35765">
      <c r="H35765" t="s">
        <v>5117</v>
      </c>
    </row>
    <row r="35766">
      <c r="H35766" t="s">
        <v>5117</v>
      </c>
    </row>
    <row r="35767">
      <c r="H35767" t="s">
        <v>5117</v>
      </c>
    </row>
    <row r="35768">
      <c r="H35768" t="s">
        <v>5117</v>
      </c>
    </row>
    <row r="35769">
      <c r="H35769" t="s">
        <v>5117</v>
      </c>
    </row>
    <row r="35770">
      <c r="H35770" t="s">
        <v>5117</v>
      </c>
    </row>
    <row r="35771">
      <c r="H35771" t="s">
        <v>5117</v>
      </c>
    </row>
    <row r="35772">
      <c r="H35772" t="s">
        <v>5117</v>
      </c>
    </row>
    <row r="35773">
      <c r="H35773" t="s">
        <v>5117</v>
      </c>
    </row>
    <row r="35774">
      <c r="H35774" t="s">
        <v>5117</v>
      </c>
    </row>
    <row r="35775">
      <c r="H35775" t="s">
        <v>5117</v>
      </c>
    </row>
    <row r="35776">
      <c r="H35776" t="s">
        <v>5117</v>
      </c>
    </row>
    <row r="35777">
      <c r="H35777" t="s">
        <v>5117</v>
      </c>
    </row>
    <row r="35778">
      <c r="H35778" t="s">
        <v>5117</v>
      </c>
    </row>
    <row r="35779">
      <c r="H35779" t="s">
        <v>5117</v>
      </c>
    </row>
    <row r="35780">
      <c r="H35780" t="s">
        <v>5117</v>
      </c>
    </row>
    <row r="35781">
      <c r="H35781" t="s">
        <v>5117</v>
      </c>
    </row>
    <row r="35782">
      <c r="H35782" t="s">
        <v>5117</v>
      </c>
    </row>
    <row r="35783">
      <c r="H35783" t="s">
        <v>5117</v>
      </c>
    </row>
    <row r="35784">
      <c r="H35784" t="s">
        <v>5117</v>
      </c>
    </row>
    <row r="35785">
      <c r="H35785" t="s">
        <v>5117</v>
      </c>
    </row>
    <row r="35786">
      <c r="H35786" t="s">
        <v>5117</v>
      </c>
    </row>
    <row r="35787">
      <c r="H35787" t="s">
        <v>5117</v>
      </c>
    </row>
    <row r="35788">
      <c r="H35788" t="s">
        <v>5117</v>
      </c>
    </row>
    <row r="35789">
      <c r="H35789" t="s">
        <v>5117</v>
      </c>
    </row>
    <row r="35790">
      <c r="H35790" t="s">
        <v>5117</v>
      </c>
    </row>
    <row r="35791">
      <c r="H35791" t="s">
        <v>5117</v>
      </c>
    </row>
    <row r="35792">
      <c r="H35792" t="s">
        <v>5117</v>
      </c>
    </row>
    <row r="35793">
      <c r="H35793" t="s">
        <v>5117</v>
      </c>
    </row>
    <row r="35794">
      <c r="H35794" t="s">
        <v>5117</v>
      </c>
    </row>
    <row r="35795">
      <c r="H35795" t="s">
        <v>5117</v>
      </c>
    </row>
    <row r="35796">
      <c r="H35796" t="s">
        <v>5117</v>
      </c>
    </row>
    <row r="35797">
      <c r="H35797" t="s">
        <v>5117</v>
      </c>
    </row>
    <row r="35798">
      <c r="H35798" t="s">
        <v>5117</v>
      </c>
    </row>
    <row r="35799">
      <c r="H35799" t="s">
        <v>5117</v>
      </c>
    </row>
    <row r="35800">
      <c r="H35800" t="s">
        <v>5117</v>
      </c>
    </row>
    <row r="35801">
      <c r="H35801" t="s">
        <v>5117</v>
      </c>
    </row>
    <row r="35802">
      <c r="H35802" t="s">
        <v>5117</v>
      </c>
    </row>
    <row r="35803">
      <c r="H35803" t="s">
        <v>5117</v>
      </c>
    </row>
    <row r="35804">
      <c r="H35804" t="s">
        <v>5117</v>
      </c>
    </row>
    <row r="35805">
      <c r="H35805" t="s">
        <v>5117</v>
      </c>
    </row>
    <row r="35806">
      <c r="H35806" t="s">
        <v>5117</v>
      </c>
    </row>
    <row r="35807">
      <c r="H35807" t="s">
        <v>5117</v>
      </c>
    </row>
    <row r="35808">
      <c r="H35808" t="s">
        <v>5117</v>
      </c>
    </row>
    <row r="35809">
      <c r="H35809" t="s">
        <v>5117</v>
      </c>
    </row>
    <row r="35810">
      <c r="H35810" t="s">
        <v>5117</v>
      </c>
    </row>
    <row r="35811">
      <c r="H35811" t="s">
        <v>5117</v>
      </c>
    </row>
    <row r="35812">
      <c r="H35812" t="s">
        <v>5117</v>
      </c>
    </row>
    <row r="35813">
      <c r="H35813" t="s">
        <v>5117</v>
      </c>
    </row>
    <row r="35814">
      <c r="H35814" t="s">
        <v>5117</v>
      </c>
    </row>
    <row r="35815">
      <c r="H35815" t="s">
        <v>5117</v>
      </c>
    </row>
    <row r="35816">
      <c r="H35816" t="s">
        <v>5117</v>
      </c>
    </row>
    <row r="35817">
      <c r="H35817" t="s">
        <v>5117</v>
      </c>
    </row>
    <row r="35818">
      <c r="H35818" t="s">
        <v>5117</v>
      </c>
    </row>
    <row r="35819">
      <c r="H35819" t="s">
        <v>5117</v>
      </c>
    </row>
    <row r="35820">
      <c r="H35820" t="s">
        <v>5117</v>
      </c>
    </row>
    <row r="35821">
      <c r="H35821" t="s">
        <v>5117</v>
      </c>
    </row>
    <row r="35822">
      <c r="H35822" t="s">
        <v>5117</v>
      </c>
    </row>
    <row r="35823">
      <c r="H35823" t="s">
        <v>5117</v>
      </c>
    </row>
    <row r="35824">
      <c r="H35824" t="s">
        <v>5117</v>
      </c>
    </row>
    <row r="35825">
      <c r="H35825" t="s">
        <v>5117</v>
      </c>
    </row>
    <row r="35826">
      <c r="H35826" t="s">
        <v>5117</v>
      </c>
    </row>
    <row r="35827">
      <c r="H35827" t="s">
        <v>5117</v>
      </c>
    </row>
    <row r="35828">
      <c r="H35828" t="s">
        <v>5117</v>
      </c>
    </row>
    <row r="35829">
      <c r="H35829" t="s">
        <v>5117</v>
      </c>
    </row>
    <row r="35830">
      <c r="H35830" t="s">
        <v>5117</v>
      </c>
    </row>
    <row r="35831">
      <c r="H35831" t="s">
        <v>5117</v>
      </c>
    </row>
    <row r="35832">
      <c r="H35832" t="s">
        <v>5117</v>
      </c>
    </row>
    <row r="35833">
      <c r="H35833" t="s">
        <v>5117</v>
      </c>
    </row>
    <row r="35834">
      <c r="H35834" t="s">
        <v>5117</v>
      </c>
    </row>
    <row r="35835">
      <c r="H35835" t="s">
        <v>5117</v>
      </c>
    </row>
    <row r="35836">
      <c r="H35836" t="s">
        <v>5117</v>
      </c>
    </row>
    <row r="35837">
      <c r="H35837" t="s">
        <v>5117</v>
      </c>
    </row>
    <row r="35838">
      <c r="H35838" t="s">
        <v>5117</v>
      </c>
    </row>
    <row r="35839">
      <c r="H35839" t="s">
        <v>5117</v>
      </c>
    </row>
    <row r="35840">
      <c r="H35840" t="s">
        <v>5117</v>
      </c>
    </row>
    <row r="35841">
      <c r="H35841" t="s">
        <v>5117</v>
      </c>
    </row>
    <row r="35842">
      <c r="H35842" t="s">
        <v>5117</v>
      </c>
    </row>
    <row r="35843">
      <c r="H35843" t="s">
        <v>5117</v>
      </c>
    </row>
    <row r="35844">
      <c r="H35844" t="s">
        <v>5117</v>
      </c>
    </row>
    <row r="35845">
      <c r="H35845" t="s">
        <v>5117</v>
      </c>
    </row>
    <row r="35846">
      <c r="H35846" t="s">
        <v>5117</v>
      </c>
    </row>
    <row r="35847">
      <c r="H35847" t="s">
        <v>5117</v>
      </c>
    </row>
    <row r="35848">
      <c r="H35848" t="s">
        <v>5117</v>
      </c>
    </row>
    <row r="35849">
      <c r="H35849" t="s">
        <v>5117</v>
      </c>
    </row>
    <row r="35850">
      <c r="H35850" t="s">
        <v>5117</v>
      </c>
    </row>
    <row r="35851">
      <c r="H35851" t="s">
        <v>5117</v>
      </c>
    </row>
    <row r="35852">
      <c r="H35852" t="s">
        <v>5117</v>
      </c>
    </row>
    <row r="35853">
      <c r="H35853" t="s">
        <v>5117</v>
      </c>
    </row>
    <row r="35854">
      <c r="H35854" t="s">
        <v>5117</v>
      </c>
    </row>
    <row r="35855">
      <c r="H35855" t="s">
        <v>5117</v>
      </c>
    </row>
    <row r="35856">
      <c r="H35856" t="s">
        <v>5117</v>
      </c>
    </row>
    <row r="35857">
      <c r="H35857" t="s">
        <v>5117</v>
      </c>
    </row>
    <row r="35858">
      <c r="H35858" t="s">
        <v>5117</v>
      </c>
    </row>
    <row r="35859">
      <c r="H35859" t="s">
        <v>5117</v>
      </c>
    </row>
    <row r="35860">
      <c r="H35860" t="s">
        <v>5117</v>
      </c>
    </row>
    <row r="35861">
      <c r="H35861" t="s">
        <v>5117</v>
      </c>
    </row>
    <row r="35862">
      <c r="H35862" t="s">
        <v>5117</v>
      </c>
    </row>
    <row r="35863">
      <c r="H35863" t="s">
        <v>5117</v>
      </c>
    </row>
    <row r="35864">
      <c r="H35864" t="s">
        <v>5117</v>
      </c>
    </row>
    <row r="35865">
      <c r="H35865" t="s">
        <v>5117</v>
      </c>
    </row>
    <row r="35866">
      <c r="H35866" t="s">
        <v>5117</v>
      </c>
    </row>
    <row r="35867">
      <c r="H35867" t="s">
        <v>5117</v>
      </c>
    </row>
    <row r="35868">
      <c r="H35868" t="s">
        <v>5117</v>
      </c>
    </row>
    <row r="35869">
      <c r="H35869" t="s">
        <v>5117</v>
      </c>
    </row>
    <row r="35870">
      <c r="H35870" t="s">
        <v>5117</v>
      </c>
    </row>
    <row r="35871">
      <c r="H35871" t="s">
        <v>5117</v>
      </c>
    </row>
    <row r="35872">
      <c r="H35872" t="s">
        <v>5117</v>
      </c>
    </row>
    <row r="35873">
      <c r="H35873" t="s">
        <v>5117</v>
      </c>
    </row>
    <row r="35874">
      <c r="H35874" t="s">
        <v>5117</v>
      </c>
    </row>
    <row r="35875">
      <c r="H35875" t="s">
        <v>5117</v>
      </c>
    </row>
    <row r="35876">
      <c r="H35876" t="s">
        <v>5117</v>
      </c>
    </row>
    <row r="35877">
      <c r="H35877" t="s">
        <v>5117</v>
      </c>
    </row>
    <row r="35878">
      <c r="H35878" t="s">
        <v>5117</v>
      </c>
    </row>
    <row r="35879">
      <c r="H35879" t="s">
        <v>5117</v>
      </c>
    </row>
    <row r="35880">
      <c r="H35880" t="s">
        <v>5117</v>
      </c>
    </row>
    <row r="35881">
      <c r="H35881" t="s">
        <v>5117</v>
      </c>
    </row>
    <row r="35882">
      <c r="H35882" t="s">
        <v>5117</v>
      </c>
    </row>
    <row r="35883">
      <c r="H35883" t="s">
        <v>5117</v>
      </c>
    </row>
    <row r="35884">
      <c r="H35884" t="s">
        <v>5117</v>
      </c>
    </row>
    <row r="35885">
      <c r="H35885" t="s">
        <v>5117</v>
      </c>
    </row>
    <row r="35886">
      <c r="H35886" t="s">
        <v>5117</v>
      </c>
    </row>
    <row r="35887">
      <c r="H35887" t="s">
        <v>5117</v>
      </c>
    </row>
    <row r="35888">
      <c r="H35888" t="s">
        <v>5117</v>
      </c>
    </row>
    <row r="35889">
      <c r="H35889" t="s">
        <v>5117</v>
      </c>
    </row>
    <row r="35890">
      <c r="H35890" t="s">
        <v>5117</v>
      </c>
    </row>
    <row r="35891">
      <c r="H35891" t="s">
        <v>5117</v>
      </c>
    </row>
    <row r="35892">
      <c r="H35892" t="s">
        <v>5117</v>
      </c>
    </row>
    <row r="35893">
      <c r="H35893" t="s">
        <v>5117</v>
      </c>
    </row>
    <row r="35894">
      <c r="H35894" t="s">
        <v>5117</v>
      </c>
    </row>
    <row r="35895">
      <c r="H35895" t="s">
        <v>5117</v>
      </c>
    </row>
    <row r="35896">
      <c r="H35896" t="s">
        <v>5117</v>
      </c>
    </row>
    <row r="35897">
      <c r="H35897" t="s">
        <v>5117</v>
      </c>
    </row>
    <row r="35898">
      <c r="H35898" t="s">
        <v>5117</v>
      </c>
    </row>
    <row r="35899">
      <c r="H35899" t="s">
        <v>5117</v>
      </c>
    </row>
    <row r="35900">
      <c r="H35900" t="s">
        <v>5117</v>
      </c>
    </row>
    <row r="35901">
      <c r="H35901" t="s">
        <v>5117</v>
      </c>
    </row>
    <row r="35902">
      <c r="H35902" t="s">
        <v>5117</v>
      </c>
    </row>
    <row r="35903">
      <c r="H35903" t="s">
        <v>5117</v>
      </c>
    </row>
    <row r="35904">
      <c r="H35904" t="s">
        <v>5117</v>
      </c>
    </row>
    <row r="35905">
      <c r="H35905" t="s">
        <v>5117</v>
      </c>
    </row>
    <row r="35906">
      <c r="H35906" t="s">
        <v>5117</v>
      </c>
    </row>
    <row r="35907">
      <c r="H35907" t="s">
        <v>5117</v>
      </c>
    </row>
    <row r="35908">
      <c r="H35908" t="s">
        <v>5117</v>
      </c>
    </row>
    <row r="35909">
      <c r="H35909" t="s">
        <v>5117</v>
      </c>
    </row>
    <row r="35910">
      <c r="H35910" t="s">
        <v>5117</v>
      </c>
    </row>
    <row r="35911">
      <c r="H35911" t="s">
        <v>5117</v>
      </c>
    </row>
    <row r="35912">
      <c r="H35912" t="s">
        <v>5117</v>
      </c>
    </row>
    <row r="35913">
      <c r="H35913" t="s">
        <v>5117</v>
      </c>
    </row>
    <row r="35914">
      <c r="H35914" t="s">
        <v>5117</v>
      </c>
    </row>
    <row r="35915">
      <c r="H35915" t="s">
        <v>5117</v>
      </c>
    </row>
    <row r="35916">
      <c r="H35916" t="s">
        <v>5117</v>
      </c>
    </row>
    <row r="35917">
      <c r="H35917" t="s">
        <v>5117</v>
      </c>
    </row>
    <row r="35918">
      <c r="H35918" t="s">
        <v>5117</v>
      </c>
    </row>
    <row r="35919">
      <c r="H35919" t="s">
        <v>5117</v>
      </c>
    </row>
    <row r="35920">
      <c r="H35920" t="s">
        <v>5117</v>
      </c>
    </row>
    <row r="35921">
      <c r="H35921" t="s">
        <v>5117</v>
      </c>
    </row>
    <row r="35922">
      <c r="H35922" t="s">
        <v>5117</v>
      </c>
    </row>
    <row r="35923">
      <c r="H35923" t="s">
        <v>5117</v>
      </c>
    </row>
    <row r="35924">
      <c r="H35924" t="s">
        <v>5117</v>
      </c>
    </row>
    <row r="35925">
      <c r="H35925" t="s">
        <v>5117</v>
      </c>
    </row>
    <row r="35926">
      <c r="H35926" t="s">
        <v>5117</v>
      </c>
    </row>
    <row r="35927">
      <c r="H35927" t="s">
        <v>5117</v>
      </c>
    </row>
    <row r="35928">
      <c r="H35928" t="s">
        <v>5117</v>
      </c>
    </row>
    <row r="35929">
      <c r="H35929" t="s">
        <v>5117</v>
      </c>
    </row>
    <row r="35930">
      <c r="H35930" t="s">
        <v>5117</v>
      </c>
    </row>
    <row r="35931">
      <c r="H35931" t="s">
        <v>5117</v>
      </c>
    </row>
    <row r="35932">
      <c r="H35932" t="s">
        <v>5117</v>
      </c>
    </row>
    <row r="35933">
      <c r="H35933" t="s">
        <v>5117</v>
      </c>
    </row>
    <row r="35934">
      <c r="H35934" t="s">
        <v>5117</v>
      </c>
    </row>
    <row r="35935">
      <c r="H35935" t="s">
        <v>5117</v>
      </c>
    </row>
    <row r="35936">
      <c r="H35936" t="s">
        <v>5117</v>
      </c>
    </row>
    <row r="35937">
      <c r="H35937" t="s">
        <v>5117</v>
      </c>
    </row>
    <row r="35938">
      <c r="H35938" t="s">
        <v>5117</v>
      </c>
    </row>
    <row r="35939">
      <c r="H35939" t="s">
        <v>5117</v>
      </c>
    </row>
    <row r="35940">
      <c r="H35940" t="s">
        <v>5117</v>
      </c>
    </row>
    <row r="35941">
      <c r="H35941" t="s">
        <v>5117</v>
      </c>
    </row>
    <row r="35942">
      <c r="H35942" t="s">
        <v>5117</v>
      </c>
    </row>
    <row r="35943">
      <c r="H35943" t="s">
        <v>5117</v>
      </c>
    </row>
    <row r="35944">
      <c r="H35944" t="s">
        <v>5117</v>
      </c>
    </row>
    <row r="35945">
      <c r="H35945" t="s">
        <v>5117</v>
      </c>
    </row>
    <row r="35946">
      <c r="H35946" t="s">
        <v>5117</v>
      </c>
    </row>
    <row r="35947">
      <c r="H35947" t="s">
        <v>5117</v>
      </c>
    </row>
    <row r="35948">
      <c r="H35948" t="s">
        <v>5117</v>
      </c>
    </row>
    <row r="35949">
      <c r="H35949" t="s">
        <v>5117</v>
      </c>
    </row>
    <row r="35950">
      <c r="H35950" t="s">
        <v>5117</v>
      </c>
    </row>
    <row r="35951">
      <c r="H35951" t="s">
        <v>5117</v>
      </c>
    </row>
    <row r="35952">
      <c r="H35952" t="s">
        <v>5117</v>
      </c>
    </row>
    <row r="35953">
      <c r="H35953" t="s">
        <v>5117</v>
      </c>
    </row>
    <row r="35954">
      <c r="H35954" t="s">
        <v>5117</v>
      </c>
    </row>
    <row r="35955">
      <c r="H35955" t="s">
        <v>5117</v>
      </c>
    </row>
    <row r="35956">
      <c r="H35956" t="s">
        <v>5117</v>
      </c>
    </row>
    <row r="35957">
      <c r="H35957" t="s">
        <v>5117</v>
      </c>
    </row>
    <row r="35958">
      <c r="H35958" t="s">
        <v>5117</v>
      </c>
    </row>
    <row r="35959">
      <c r="H35959" t="s">
        <v>5117</v>
      </c>
    </row>
    <row r="35960">
      <c r="H35960" t="s">
        <v>5117</v>
      </c>
    </row>
    <row r="35961">
      <c r="H35961" t="s">
        <v>5117</v>
      </c>
    </row>
    <row r="35962">
      <c r="H35962" t="s">
        <v>5117</v>
      </c>
    </row>
    <row r="35963">
      <c r="H35963" t="s">
        <v>5117</v>
      </c>
    </row>
    <row r="35964">
      <c r="H35964" t="s">
        <v>5117</v>
      </c>
    </row>
    <row r="35965">
      <c r="H35965" t="s">
        <v>5117</v>
      </c>
    </row>
    <row r="35966">
      <c r="H35966" t="s">
        <v>5117</v>
      </c>
    </row>
    <row r="35967">
      <c r="H35967" t="s">
        <v>5117</v>
      </c>
    </row>
    <row r="35968">
      <c r="H35968" t="s">
        <v>5117</v>
      </c>
    </row>
    <row r="35969">
      <c r="H35969" t="s">
        <v>5117</v>
      </c>
    </row>
    <row r="35970">
      <c r="H35970" t="s">
        <v>5117</v>
      </c>
    </row>
    <row r="35971">
      <c r="H35971" t="s">
        <v>5117</v>
      </c>
    </row>
    <row r="35972">
      <c r="H35972" t="s">
        <v>5117</v>
      </c>
    </row>
    <row r="35973">
      <c r="H35973" t="s">
        <v>5117</v>
      </c>
    </row>
    <row r="35974">
      <c r="H35974" t="s">
        <v>5117</v>
      </c>
    </row>
    <row r="35975">
      <c r="H35975" t="s">
        <v>5117</v>
      </c>
    </row>
    <row r="35976">
      <c r="H35976" t="s">
        <v>5117</v>
      </c>
    </row>
    <row r="35977">
      <c r="H35977" t="s">
        <v>5117</v>
      </c>
    </row>
    <row r="35978">
      <c r="H35978" t="s">
        <v>5117</v>
      </c>
    </row>
    <row r="35979">
      <c r="H35979" t="s">
        <v>5117</v>
      </c>
    </row>
    <row r="35980">
      <c r="H35980" t="s">
        <v>5117</v>
      </c>
    </row>
    <row r="35981">
      <c r="H35981" t="s">
        <v>5117</v>
      </c>
    </row>
    <row r="35982">
      <c r="H35982" t="s">
        <v>5117</v>
      </c>
    </row>
    <row r="35983">
      <c r="H35983" t="s">
        <v>5117</v>
      </c>
    </row>
    <row r="35984">
      <c r="H35984" t="s">
        <v>5117</v>
      </c>
    </row>
    <row r="35985">
      <c r="H35985" t="s">
        <v>5117</v>
      </c>
    </row>
    <row r="35986">
      <c r="H35986" t="s">
        <v>5117</v>
      </c>
    </row>
    <row r="35987">
      <c r="H35987" t="s">
        <v>5117</v>
      </c>
    </row>
    <row r="35988">
      <c r="H35988" t="s">
        <v>5117</v>
      </c>
    </row>
    <row r="35989">
      <c r="H35989" t="s">
        <v>5117</v>
      </c>
    </row>
    <row r="35990">
      <c r="H35990" t="s">
        <v>5117</v>
      </c>
    </row>
    <row r="35991">
      <c r="H35991" t="s">
        <v>5117</v>
      </c>
    </row>
    <row r="35992">
      <c r="H35992" t="s">
        <v>5117</v>
      </c>
    </row>
    <row r="35993">
      <c r="H35993" t="s">
        <v>5117</v>
      </c>
    </row>
    <row r="35994">
      <c r="H35994" t="s">
        <v>5117</v>
      </c>
    </row>
    <row r="35995">
      <c r="H35995" t="s">
        <v>5117</v>
      </c>
    </row>
    <row r="35996">
      <c r="H35996" t="s">
        <v>5117</v>
      </c>
    </row>
    <row r="35997">
      <c r="H35997" t="s">
        <v>5117</v>
      </c>
    </row>
    <row r="35998">
      <c r="H35998" t="s">
        <v>5117</v>
      </c>
    </row>
    <row r="35999">
      <c r="H35999" t="s">
        <v>5117</v>
      </c>
    </row>
    <row r="36000">
      <c r="H36000" t="s">
        <v>5117</v>
      </c>
    </row>
    <row r="36001">
      <c r="H36001" t="s">
        <v>5117</v>
      </c>
    </row>
    <row r="36002">
      <c r="H36002" t="s">
        <v>5117</v>
      </c>
    </row>
    <row r="36003">
      <c r="H36003" t="s">
        <v>5117</v>
      </c>
    </row>
    <row r="36004">
      <c r="H36004" t="s">
        <v>5117</v>
      </c>
    </row>
    <row r="36005">
      <c r="H36005" t="s">
        <v>5117</v>
      </c>
    </row>
    <row r="36006">
      <c r="H36006" t="s">
        <v>5117</v>
      </c>
    </row>
    <row r="36007">
      <c r="H36007" t="s">
        <v>5117</v>
      </c>
    </row>
    <row r="36008">
      <c r="H36008" t="s">
        <v>5117</v>
      </c>
    </row>
    <row r="36009">
      <c r="H36009" t="s">
        <v>5117</v>
      </c>
    </row>
    <row r="36010">
      <c r="H36010" t="s">
        <v>5117</v>
      </c>
    </row>
    <row r="36011">
      <c r="H36011" t="s">
        <v>5117</v>
      </c>
    </row>
    <row r="36012">
      <c r="H36012" t="s">
        <v>5117</v>
      </c>
    </row>
    <row r="36013">
      <c r="H36013" t="s">
        <v>5117</v>
      </c>
    </row>
    <row r="36014">
      <c r="H36014" t="s">
        <v>5117</v>
      </c>
    </row>
    <row r="36015">
      <c r="H36015" t="s">
        <v>5117</v>
      </c>
    </row>
    <row r="36016">
      <c r="H36016" t="s">
        <v>5117</v>
      </c>
    </row>
    <row r="36017">
      <c r="H36017" t="s">
        <v>5117</v>
      </c>
    </row>
    <row r="36018">
      <c r="H36018" t="s">
        <v>5117</v>
      </c>
    </row>
    <row r="36019">
      <c r="H36019" t="s">
        <v>5117</v>
      </c>
    </row>
    <row r="36020">
      <c r="H36020" t="s">
        <v>5117</v>
      </c>
    </row>
    <row r="36021">
      <c r="H36021" t="s">
        <v>5117</v>
      </c>
    </row>
    <row r="36022">
      <c r="H36022" t="s">
        <v>5117</v>
      </c>
    </row>
    <row r="36023">
      <c r="H36023" t="s">
        <v>5117</v>
      </c>
    </row>
    <row r="36024">
      <c r="H36024" t="s">
        <v>5117</v>
      </c>
    </row>
    <row r="36025">
      <c r="H36025" t="s">
        <v>5117</v>
      </c>
    </row>
    <row r="36026">
      <c r="H36026" t="s">
        <v>5117</v>
      </c>
    </row>
    <row r="36027">
      <c r="H36027" t="s">
        <v>5117</v>
      </c>
    </row>
    <row r="36028">
      <c r="H36028" t="s">
        <v>5117</v>
      </c>
    </row>
    <row r="36029">
      <c r="H36029" t="s">
        <v>5117</v>
      </c>
    </row>
    <row r="36030">
      <c r="H36030" t="s">
        <v>5117</v>
      </c>
    </row>
    <row r="36031">
      <c r="H36031" t="s">
        <v>5117</v>
      </c>
    </row>
    <row r="36032">
      <c r="H36032" t="s">
        <v>5117</v>
      </c>
    </row>
    <row r="36033">
      <c r="H36033" t="s">
        <v>5117</v>
      </c>
    </row>
    <row r="36034">
      <c r="H36034" t="s">
        <v>5117</v>
      </c>
    </row>
    <row r="36035">
      <c r="H36035" t="s">
        <v>5117</v>
      </c>
    </row>
    <row r="36036">
      <c r="H36036" t="s">
        <v>5117</v>
      </c>
    </row>
    <row r="36037">
      <c r="H36037" t="s">
        <v>5117</v>
      </c>
    </row>
    <row r="36038">
      <c r="H36038" t="s">
        <v>5117</v>
      </c>
    </row>
    <row r="36039">
      <c r="H36039" t="s">
        <v>5117</v>
      </c>
    </row>
    <row r="36040">
      <c r="H36040" t="s">
        <v>5117</v>
      </c>
    </row>
    <row r="36041">
      <c r="H36041" t="s">
        <v>5117</v>
      </c>
    </row>
    <row r="36042">
      <c r="H36042" t="s">
        <v>5117</v>
      </c>
    </row>
    <row r="36043">
      <c r="H36043" t="s">
        <v>5117</v>
      </c>
    </row>
    <row r="36044">
      <c r="H36044" t="s">
        <v>5117</v>
      </c>
    </row>
    <row r="36045">
      <c r="H36045" t="s">
        <v>5117</v>
      </c>
    </row>
    <row r="36046">
      <c r="H36046" t="s">
        <v>5117</v>
      </c>
    </row>
    <row r="36047">
      <c r="H36047" t="s">
        <v>5117</v>
      </c>
    </row>
    <row r="36048">
      <c r="H36048" t="s">
        <v>5117</v>
      </c>
    </row>
    <row r="36049">
      <c r="H36049" t="s">
        <v>5117</v>
      </c>
    </row>
    <row r="36050">
      <c r="H36050" t="s">
        <v>5117</v>
      </c>
    </row>
    <row r="36051">
      <c r="H36051" t="s">
        <v>5117</v>
      </c>
    </row>
    <row r="36052">
      <c r="H36052" t="s">
        <v>5117</v>
      </c>
    </row>
    <row r="36053">
      <c r="H36053" t="s">
        <v>5117</v>
      </c>
    </row>
    <row r="36054">
      <c r="H36054" t="s">
        <v>5117</v>
      </c>
    </row>
    <row r="36055">
      <c r="H36055" t="s">
        <v>5117</v>
      </c>
    </row>
    <row r="36056">
      <c r="H36056" t="s">
        <v>5117</v>
      </c>
    </row>
    <row r="36057">
      <c r="H36057" t="s">
        <v>5117</v>
      </c>
    </row>
    <row r="36058">
      <c r="H36058" t="s">
        <v>5117</v>
      </c>
    </row>
    <row r="36059">
      <c r="H36059" t="s">
        <v>5117</v>
      </c>
    </row>
    <row r="36060">
      <c r="H36060" t="s">
        <v>5117</v>
      </c>
    </row>
    <row r="36061">
      <c r="H36061" t="s">
        <v>5117</v>
      </c>
    </row>
    <row r="36062">
      <c r="H36062" t="s">
        <v>5117</v>
      </c>
    </row>
    <row r="36063">
      <c r="H36063" t="s">
        <v>5117</v>
      </c>
    </row>
    <row r="36064">
      <c r="H36064" t="s">
        <v>5117</v>
      </c>
    </row>
    <row r="36065">
      <c r="H36065" t="s">
        <v>5117</v>
      </c>
    </row>
    <row r="36066">
      <c r="H36066" t="s">
        <v>5117</v>
      </c>
    </row>
    <row r="36067">
      <c r="H36067" t="s">
        <v>5117</v>
      </c>
    </row>
    <row r="36068">
      <c r="H36068" t="s">
        <v>5117</v>
      </c>
    </row>
    <row r="36069">
      <c r="H36069" t="s">
        <v>5117</v>
      </c>
    </row>
    <row r="36070">
      <c r="H36070" t="s">
        <v>5117</v>
      </c>
    </row>
    <row r="36071">
      <c r="H36071" t="s">
        <v>5117</v>
      </c>
    </row>
    <row r="36072">
      <c r="H36072" t="s">
        <v>5117</v>
      </c>
    </row>
    <row r="36073">
      <c r="H36073" t="s">
        <v>5117</v>
      </c>
    </row>
    <row r="36074">
      <c r="H36074" t="s">
        <v>5117</v>
      </c>
    </row>
    <row r="36075">
      <c r="H36075" t="s">
        <v>5117</v>
      </c>
    </row>
    <row r="36076">
      <c r="H36076" t="s">
        <v>5117</v>
      </c>
    </row>
    <row r="36077">
      <c r="H36077" t="s">
        <v>5117</v>
      </c>
    </row>
    <row r="36078">
      <c r="H36078" t="s">
        <v>5117</v>
      </c>
    </row>
    <row r="36079">
      <c r="H36079" t="s">
        <v>5117</v>
      </c>
    </row>
    <row r="36080">
      <c r="H36080" t="s">
        <v>5117</v>
      </c>
    </row>
    <row r="36081">
      <c r="H36081" t="s">
        <v>5117</v>
      </c>
    </row>
    <row r="36082">
      <c r="H36082" t="s">
        <v>5117</v>
      </c>
    </row>
    <row r="36083">
      <c r="H36083" t="s">
        <v>5117</v>
      </c>
    </row>
    <row r="36084">
      <c r="H36084" t="s">
        <v>5117</v>
      </c>
    </row>
    <row r="36085">
      <c r="H36085" t="s">
        <v>5117</v>
      </c>
    </row>
    <row r="36086">
      <c r="H36086" t="s">
        <v>5117</v>
      </c>
    </row>
    <row r="36087">
      <c r="H36087" t="s">
        <v>5117</v>
      </c>
    </row>
    <row r="36088">
      <c r="H36088" t="s">
        <v>5117</v>
      </c>
    </row>
    <row r="36089">
      <c r="H36089" t="s">
        <v>5117</v>
      </c>
    </row>
    <row r="36090">
      <c r="H36090" t="s">
        <v>5117</v>
      </c>
    </row>
    <row r="36091">
      <c r="H36091" t="s">
        <v>5117</v>
      </c>
    </row>
    <row r="36092">
      <c r="H36092" t="s">
        <v>5117</v>
      </c>
    </row>
    <row r="36093">
      <c r="H36093" t="s">
        <v>5117</v>
      </c>
    </row>
    <row r="36094">
      <c r="H36094" t="s">
        <v>5117</v>
      </c>
    </row>
    <row r="36095">
      <c r="H36095" t="s">
        <v>5117</v>
      </c>
    </row>
    <row r="36096">
      <c r="H36096" t="s">
        <v>5117</v>
      </c>
    </row>
    <row r="36097">
      <c r="H36097" t="s">
        <v>5117</v>
      </c>
    </row>
    <row r="36098">
      <c r="H36098" t="s">
        <v>5117</v>
      </c>
    </row>
    <row r="36099">
      <c r="H36099" t="s">
        <v>5117</v>
      </c>
    </row>
    <row r="36100">
      <c r="H36100" t="s">
        <v>5117</v>
      </c>
    </row>
    <row r="36101">
      <c r="H36101" t="s">
        <v>5117</v>
      </c>
    </row>
    <row r="36102">
      <c r="H36102" t="s">
        <v>5117</v>
      </c>
    </row>
    <row r="36103">
      <c r="H36103" t="s">
        <v>5117</v>
      </c>
    </row>
    <row r="36104">
      <c r="H36104" t="s">
        <v>5117</v>
      </c>
    </row>
    <row r="36105">
      <c r="H36105" t="s">
        <v>5117</v>
      </c>
    </row>
    <row r="36106">
      <c r="H36106" t="s">
        <v>5117</v>
      </c>
    </row>
    <row r="36107">
      <c r="H36107" t="s">
        <v>5117</v>
      </c>
    </row>
    <row r="36108">
      <c r="H36108" t="s">
        <v>5117</v>
      </c>
    </row>
    <row r="36109">
      <c r="H36109" t="s">
        <v>5117</v>
      </c>
    </row>
    <row r="36110">
      <c r="H36110" t="s">
        <v>5117</v>
      </c>
    </row>
    <row r="36111">
      <c r="H36111" t="s">
        <v>5117</v>
      </c>
    </row>
    <row r="36112">
      <c r="H36112" t="s">
        <v>5117</v>
      </c>
    </row>
    <row r="36113">
      <c r="H36113" t="s">
        <v>5117</v>
      </c>
    </row>
    <row r="36114">
      <c r="H36114" t="s">
        <v>5117</v>
      </c>
    </row>
    <row r="36115">
      <c r="H36115" t="s">
        <v>5117</v>
      </c>
    </row>
    <row r="36116">
      <c r="H36116" t="s">
        <v>5117</v>
      </c>
    </row>
    <row r="36117">
      <c r="H36117" t="s">
        <v>5117</v>
      </c>
    </row>
    <row r="36118">
      <c r="H36118" t="s">
        <v>5117</v>
      </c>
    </row>
    <row r="36119">
      <c r="H36119" t="s">
        <v>5117</v>
      </c>
    </row>
    <row r="36120">
      <c r="H36120" t="s">
        <v>5117</v>
      </c>
    </row>
    <row r="36121">
      <c r="H36121" t="s">
        <v>5117</v>
      </c>
    </row>
    <row r="36122">
      <c r="H36122" t="s">
        <v>5117</v>
      </c>
    </row>
    <row r="36123">
      <c r="H36123" t="s">
        <v>5117</v>
      </c>
    </row>
    <row r="36124">
      <c r="H36124" t="s">
        <v>5117</v>
      </c>
    </row>
    <row r="36125">
      <c r="H36125" t="s">
        <v>5117</v>
      </c>
    </row>
    <row r="36126">
      <c r="H36126" t="s">
        <v>5117</v>
      </c>
    </row>
    <row r="36127">
      <c r="H36127" t="s">
        <v>5117</v>
      </c>
    </row>
    <row r="36128">
      <c r="H36128" t="s">
        <v>5117</v>
      </c>
    </row>
    <row r="36129">
      <c r="H36129" t="s">
        <v>5117</v>
      </c>
    </row>
    <row r="36130">
      <c r="H36130" t="s">
        <v>5117</v>
      </c>
    </row>
    <row r="36131">
      <c r="H36131" t="s">
        <v>5117</v>
      </c>
    </row>
    <row r="36132">
      <c r="H36132" t="s">
        <v>5117</v>
      </c>
    </row>
    <row r="36133">
      <c r="H36133" t="s">
        <v>5117</v>
      </c>
    </row>
    <row r="36134">
      <c r="H36134" t="s">
        <v>5117</v>
      </c>
    </row>
    <row r="36135">
      <c r="H36135" t="s">
        <v>5117</v>
      </c>
    </row>
    <row r="36136">
      <c r="H36136" t="s">
        <v>5117</v>
      </c>
    </row>
    <row r="36137">
      <c r="H36137" t="s">
        <v>5117</v>
      </c>
    </row>
    <row r="36138">
      <c r="H36138" t="s">
        <v>5117</v>
      </c>
    </row>
    <row r="36139">
      <c r="H36139" t="s">
        <v>5117</v>
      </c>
    </row>
    <row r="36140">
      <c r="H36140" t="s">
        <v>5117</v>
      </c>
    </row>
    <row r="36141">
      <c r="H36141" t="s">
        <v>5117</v>
      </c>
    </row>
    <row r="36142">
      <c r="H36142" t="s">
        <v>5117</v>
      </c>
    </row>
    <row r="36143">
      <c r="H36143" t="s">
        <v>5117</v>
      </c>
    </row>
    <row r="36144">
      <c r="H36144" t="s">
        <v>5117</v>
      </c>
    </row>
    <row r="36145">
      <c r="H36145" t="s">
        <v>5117</v>
      </c>
    </row>
    <row r="36146">
      <c r="H36146" t="s">
        <v>5117</v>
      </c>
    </row>
    <row r="36147">
      <c r="H36147" t="s">
        <v>5117</v>
      </c>
    </row>
    <row r="36148">
      <c r="H36148" t="s">
        <v>5117</v>
      </c>
    </row>
    <row r="36149">
      <c r="H36149" t="s">
        <v>5117</v>
      </c>
    </row>
    <row r="36150">
      <c r="H36150" t="s">
        <v>5117</v>
      </c>
    </row>
    <row r="36151">
      <c r="H36151" t="s">
        <v>5117</v>
      </c>
    </row>
    <row r="36152">
      <c r="H36152" t="s">
        <v>5117</v>
      </c>
    </row>
    <row r="36153">
      <c r="H36153" t="s">
        <v>5117</v>
      </c>
    </row>
    <row r="36154">
      <c r="H36154" t="s">
        <v>5117</v>
      </c>
    </row>
    <row r="36155">
      <c r="H36155" t="s">
        <v>5117</v>
      </c>
    </row>
    <row r="36156">
      <c r="H36156" t="s">
        <v>5117</v>
      </c>
    </row>
    <row r="36157">
      <c r="H36157" t="s">
        <v>5117</v>
      </c>
    </row>
    <row r="36158">
      <c r="H36158" t="s">
        <v>5117</v>
      </c>
    </row>
    <row r="36159">
      <c r="H36159" t="s">
        <v>5117</v>
      </c>
    </row>
    <row r="36160">
      <c r="H36160" t="s">
        <v>5117</v>
      </c>
    </row>
    <row r="36161">
      <c r="H36161" t="s">
        <v>5117</v>
      </c>
    </row>
    <row r="36162">
      <c r="H36162" t="s">
        <v>5117</v>
      </c>
    </row>
    <row r="36163">
      <c r="H36163" t="s">
        <v>5117</v>
      </c>
    </row>
    <row r="36164">
      <c r="H36164" t="s">
        <v>5117</v>
      </c>
    </row>
    <row r="36165">
      <c r="H36165" t="s">
        <v>5117</v>
      </c>
    </row>
    <row r="36166">
      <c r="H36166" t="s">
        <v>5117</v>
      </c>
    </row>
    <row r="36167">
      <c r="H36167" t="s">
        <v>5117</v>
      </c>
    </row>
    <row r="36168">
      <c r="H36168" t="s">
        <v>5117</v>
      </c>
    </row>
    <row r="36169">
      <c r="H36169" t="s">
        <v>5117</v>
      </c>
    </row>
    <row r="36170">
      <c r="H36170" t="s">
        <v>5117</v>
      </c>
    </row>
    <row r="36171">
      <c r="H36171" t="s">
        <v>5117</v>
      </c>
    </row>
    <row r="36172">
      <c r="H36172" t="s">
        <v>5117</v>
      </c>
    </row>
    <row r="36173">
      <c r="H36173" t="s">
        <v>5117</v>
      </c>
    </row>
    <row r="36174">
      <c r="H36174" t="s">
        <v>5117</v>
      </c>
    </row>
    <row r="36175">
      <c r="H36175" t="s">
        <v>5117</v>
      </c>
    </row>
    <row r="36176">
      <c r="H36176" t="s">
        <v>5117</v>
      </c>
    </row>
    <row r="36177">
      <c r="H36177" t="s">
        <v>5117</v>
      </c>
    </row>
    <row r="36178">
      <c r="H36178" t="s">
        <v>5117</v>
      </c>
    </row>
    <row r="36179">
      <c r="H36179" t="s">
        <v>5117</v>
      </c>
    </row>
    <row r="36180">
      <c r="H36180" t="s">
        <v>5117</v>
      </c>
    </row>
    <row r="36181">
      <c r="H36181" t="s">
        <v>5117</v>
      </c>
    </row>
    <row r="36182">
      <c r="H36182" t="s">
        <v>5117</v>
      </c>
    </row>
    <row r="36183">
      <c r="H36183" t="s">
        <v>5117</v>
      </c>
    </row>
    <row r="36184">
      <c r="H36184" t="s">
        <v>5117</v>
      </c>
    </row>
    <row r="36185">
      <c r="H36185" t="s">
        <v>5117</v>
      </c>
    </row>
    <row r="36186">
      <c r="H36186" t="s">
        <v>5117</v>
      </c>
    </row>
    <row r="36187">
      <c r="H36187" t="s">
        <v>5117</v>
      </c>
    </row>
    <row r="36188">
      <c r="H36188" t="s">
        <v>5117</v>
      </c>
    </row>
    <row r="36189">
      <c r="H36189" t="s">
        <v>5117</v>
      </c>
    </row>
    <row r="36190">
      <c r="H36190" t="s">
        <v>5117</v>
      </c>
    </row>
    <row r="36191">
      <c r="H36191" t="s">
        <v>5117</v>
      </c>
    </row>
    <row r="36192">
      <c r="H36192" t="s">
        <v>5117</v>
      </c>
    </row>
    <row r="36193">
      <c r="H36193" t="s">
        <v>5117</v>
      </c>
    </row>
    <row r="36194">
      <c r="H36194" t="s">
        <v>5117</v>
      </c>
    </row>
    <row r="36195">
      <c r="H36195" t="s">
        <v>5117</v>
      </c>
    </row>
    <row r="36196">
      <c r="H36196" t="s">
        <v>5117</v>
      </c>
    </row>
    <row r="36197">
      <c r="H36197" t="s">
        <v>5117</v>
      </c>
    </row>
    <row r="36198">
      <c r="H36198" t="s">
        <v>5117</v>
      </c>
    </row>
    <row r="36199">
      <c r="H36199" t="s">
        <v>5117</v>
      </c>
    </row>
    <row r="36200">
      <c r="H36200" t="s">
        <v>5117</v>
      </c>
    </row>
    <row r="36201">
      <c r="H36201" t="s">
        <v>5117</v>
      </c>
    </row>
    <row r="36202">
      <c r="H36202" t="s">
        <v>5117</v>
      </c>
    </row>
    <row r="36203">
      <c r="H36203" t="s">
        <v>5117</v>
      </c>
    </row>
    <row r="36204">
      <c r="H36204" t="s">
        <v>5117</v>
      </c>
    </row>
    <row r="36205">
      <c r="H36205" t="s">
        <v>5117</v>
      </c>
    </row>
    <row r="36206">
      <c r="H36206" t="s">
        <v>5117</v>
      </c>
    </row>
    <row r="36207">
      <c r="H36207" t="s">
        <v>5117</v>
      </c>
    </row>
    <row r="36208">
      <c r="H36208" t="s">
        <v>5117</v>
      </c>
    </row>
    <row r="36209">
      <c r="H36209" t="s">
        <v>5117</v>
      </c>
    </row>
    <row r="36210">
      <c r="H36210" t="s">
        <v>5117</v>
      </c>
    </row>
    <row r="36211">
      <c r="H36211" t="s">
        <v>5117</v>
      </c>
    </row>
    <row r="36212">
      <c r="H36212" t="s">
        <v>5117</v>
      </c>
    </row>
    <row r="36213">
      <c r="H36213" t="s">
        <v>5117</v>
      </c>
    </row>
    <row r="36214">
      <c r="H36214" t="s">
        <v>5117</v>
      </c>
    </row>
    <row r="36215">
      <c r="H36215" t="s">
        <v>5117</v>
      </c>
    </row>
    <row r="36216">
      <c r="H36216" t="s">
        <v>5117</v>
      </c>
    </row>
    <row r="36217">
      <c r="H36217" t="s">
        <v>5117</v>
      </c>
    </row>
    <row r="36218">
      <c r="H36218" t="s">
        <v>5117</v>
      </c>
    </row>
    <row r="36219">
      <c r="H36219" t="s">
        <v>5117</v>
      </c>
    </row>
    <row r="36220">
      <c r="H36220" t="s">
        <v>5117</v>
      </c>
    </row>
    <row r="36221">
      <c r="H36221" t="s">
        <v>5117</v>
      </c>
    </row>
    <row r="36222">
      <c r="H36222" t="s">
        <v>5117</v>
      </c>
    </row>
    <row r="36223">
      <c r="H36223" t="s">
        <v>5117</v>
      </c>
    </row>
    <row r="36224">
      <c r="H36224" t="s">
        <v>5117</v>
      </c>
    </row>
    <row r="36225">
      <c r="H36225" t="s">
        <v>5117</v>
      </c>
    </row>
    <row r="36226">
      <c r="H36226" t="s">
        <v>5117</v>
      </c>
    </row>
    <row r="36227">
      <c r="H36227" t="s">
        <v>5117</v>
      </c>
    </row>
    <row r="36228">
      <c r="H36228" t="s">
        <v>5117</v>
      </c>
    </row>
    <row r="36229">
      <c r="H36229" t="s">
        <v>5117</v>
      </c>
    </row>
    <row r="36230">
      <c r="H36230" t="s">
        <v>5117</v>
      </c>
    </row>
    <row r="36231">
      <c r="H36231" t="s">
        <v>5117</v>
      </c>
    </row>
    <row r="36232">
      <c r="H36232" t="s">
        <v>5117</v>
      </c>
    </row>
    <row r="36233">
      <c r="H36233" t="s">
        <v>5117</v>
      </c>
    </row>
    <row r="36234">
      <c r="H36234" t="s">
        <v>5117</v>
      </c>
    </row>
    <row r="36235">
      <c r="H36235" t="s">
        <v>5117</v>
      </c>
    </row>
    <row r="36236">
      <c r="H36236" t="s">
        <v>5117</v>
      </c>
    </row>
    <row r="36237">
      <c r="H36237" t="s">
        <v>5117</v>
      </c>
    </row>
    <row r="36238">
      <c r="H36238" t="s">
        <v>5117</v>
      </c>
    </row>
    <row r="36239">
      <c r="H36239" t="s">
        <v>5117</v>
      </c>
    </row>
    <row r="36240">
      <c r="H36240" t="s">
        <v>5117</v>
      </c>
    </row>
    <row r="36241">
      <c r="H36241" t="s">
        <v>5117</v>
      </c>
    </row>
    <row r="36242">
      <c r="H36242" t="s">
        <v>5117</v>
      </c>
    </row>
    <row r="36243">
      <c r="H36243" t="s">
        <v>5117</v>
      </c>
    </row>
    <row r="36244">
      <c r="H36244" t="s">
        <v>5117</v>
      </c>
    </row>
    <row r="36245">
      <c r="H36245" t="s">
        <v>5117</v>
      </c>
    </row>
    <row r="36246">
      <c r="H36246" t="s">
        <v>5117</v>
      </c>
    </row>
    <row r="36247">
      <c r="H36247" t="s">
        <v>5117</v>
      </c>
    </row>
    <row r="36248">
      <c r="H36248" t="s">
        <v>5117</v>
      </c>
    </row>
    <row r="36249">
      <c r="H36249" t="s">
        <v>5117</v>
      </c>
    </row>
    <row r="36250">
      <c r="H36250" t="s">
        <v>5117</v>
      </c>
    </row>
    <row r="36251">
      <c r="H36251" t="s">
        <v>5117</v>
      </c>
    </row>
    <row r="36252">
      <c r="H36252" t="s">
        <v>5117</v>
      </c>
    </row>
    <row r="36253">
      <c r="H36253" t="s">
        <v>5117</v>
      </c>
    </row>
    <row r="36254">
      <c r="H36254" t="s">
        <v>5117</v>
      </c>
    </row>
    <row r="36255">
      <c r="H36255" t="s">
        <v>5117</v>
      </c>
    </row>
    <row r="36256">
      <c r="H36256" t="s">
        <v>5117</v>
      </c>
    </row>
    <row r="36257">
      <c r="H36257" t="s">
        <v>5117</v>
      </c>
    </row>
    <row r="36258">
      <c r="H36258" t="s">
        <v>5117</v>
      </c>
    </row>
    <row r="36259">
      <c r="H36259" t="s">
        <v>5117</v>
      </c>
    </row>
    <row r="36260">
      <c r="H36260" t="s">
        <v>5117</v>
      </c>
    </row>
    <row r="36261">
      <c r="H36261" t="s">
        <v>5117</v>
      </c>
    </row>
    <row r="36262">
      <c r="H36262" t="s">
        <v>5117</v>
      </c>
    </row>
    <row r="36263">
      <c r="H36263" t="s">
        <v>5117</v>
      </c>
    </row>
    <row r="36264">
      <c r="H36264" t="s">
        <v>5117</v>
      </c>
    </row>
    <row r="36265">
      <c r="H36265" t="s">
        <v>5117</v>
      </c>
    </row>
    <row r="36266">
      <c r="H36266" t="s">
        <v>5117</v>
      </c>
    </row>
    <row r="36267">
      <c r="H36267" t="s">
        <v>5117</v>
      </c>
    </row>
    <row r="36268">
      <c r="H36268" t="s">
        <v>5117</v>
      </c>
    </row>
    <row r="36269">
      <c r="H36269" t="s">
        <v>5117</v>
      </c>
    </row>
    <row r="36270">
      <c r="H36270" t="s">
        <v>5117</v>
      </c>
    </row>
    <row r="36271">
      <c r="H36271" t="s">
        <v>5117</v>
      </c>
    </row>
    <row r="36272">
      <c r="H36272" t="s">
        <v>5117</v>
      </c>
    </row>
    <row r="36273">
      <c r="H36273" t="s">
        <v>5117</v>
      </c>
    </row>
    <row r="36274">
      <c r="H36274" t="s">
        <v>5117</v>
      </c>
    </row>
    <row r="36275">
      <c r="H36275" t="s">
        <v>5117</v>
      </c>
    </row>
    <row r="36276">
      <c r="H36276" t="s">
        <v>5117</v>
      </c>
    </row>
    <row r="36277">
      <c r="H36277" t="s">
        <v>5117</v>
      </c>
    </row>
    <row r="36278">
      <c r="H36278" t="s">
        <v>5117</v>
      </c>
    </row>
    <row r="36279">
      <c r="H36279" t="s">
        <v>5117</v>
      </c>
    </row>
    <row r="36280">
      <c r="H36280" t="s">
        <v>5117</v>
      </c>
    </row>
    <row r="36281">
      <c r="H36281" t="s">
        <v>5117</v>
      </c>
    </row>
    <row r="36282">
      <c r="H36282" t="s">
        <v>5117</v>
      </c>
    </row>
    <row r="36283">
      <c r="H36283" t="s">
        <v>5117</v>
      </c>
    </row>
    <row r="36284">
      <c r="H36284" t="s">
        <v>5117</v>
      </c>
    </row>
    <row r="36285">
      <c r="H36285" t="s">
        <v>5117</v>
      </c>
    </row>
    <row r="36286">
      <c r="H36286" t="s">
        <v>5117</v>
      </c>
    </row>
    <row r="36287">
      <c r="H36287" t="s">
        <v>5117</v>
      </c>
    </row>
    <row r="36288">
      <c r="H36288" t="s">
        <v>5117</v>
      </c>
    </row>
    <row r="36289">
      <c r="H36289" t="s">
        <v>5117</v>
      </c>
    </row>
    <row r="36290">
      <c r="H36290" t="s">
        <v>5117</v>
      </c>
    </row>
    <row r="36291">
      <c r="H36291" t="s">
        <v>5117</v>
      </c>
    </row>
    <row r="36292">
      <c r="H36292" t="s">
        <v>5117</v>
      </c>
    </row>
    <row r="36293">
      <c r="H36293" t="s">
        <v>5117</v>
      </c>
    </row>
    <row r="36294">
      <c r="H36294" t="s">
        <v>5117</v>
      </c>
    </row>
    <row r="36295">
      <c r="H36295" t="s">
        <v>5117</v>
      </c>
    </row>
    <row r="36296">
      <c r="H36296" t="s">
        <v>5117</v>
      </c>
    </row>
    <row r="36297">
      <c r="H36297" t="s">
        <v>5117</v>
      </c>
    </row>
    <row r="36298">
      <c r="H36298" t="s">
        <v>5117</v>
      </c>
    </row>
    <row r="36299">
      <c r="H36299" t="s">
        <v>5117</v>
      </c>
    </row>
    <row r="36300">
      <c r="H36300" t="s">
        <v>5117</v>
      </c>
    </row>
    <row r="36301">
      <c r="H36301" t="s">
        <v>5117</v>
      </c>
    </row>
    <row r="36302">
      <c r="H36302" t="s">
        <v>5117</v>
      </c>
    </row>
    <row r="36303">
      <c r="H36303" t="s">
        <v>5117</v>
      </c>
    </row>
    <row r="36304">
      <c r="H36304" t="s">
        <v>5117</v>
      </c>
    </row>
    <row r="36305">
      <c r="H36305" t="s">
        <v>5117</v>
      </c>
    </row>
    <row r="36306">
      <c r="H36306" t="s">
        <v>5117</v>
      </c>
    </row>
    <row r="36307">
      <c r="H36307" t="s">
        <v>5117</v>
      </c>
    </row>
    <row r="36308">
      <c r="H36308" t="s">
        <v>5117</v>
      </c>
    </row>
    <row r="36309">
      <c r="H36309" t="s">
        <v>5117</v>
      </c>
    </row>
    <row r="36310">
      <c r="H36310" t="s">
        <v>5117</v>
      </c>
    </row>
    <row r="36311">
      <c r="H36311" t="s">
        <v>5117</v>
      </c>
    </row>
    <row r="36312">
      <c r="H36312" t="s">
        <v>5117</v>
      </c>
    </row>
    <row r="36313">
      <c r="H36313" t="s">
        <v>5117</v>
      </c>
    </row>
    <row r="36314">
      <c r="H36314" t="s">
        <v>5117</v>
      </c>
    </row>
    <row r="36315">
      <c r="H36315" t="s">
        <v>5117</v>
      </c>
    </row>
    <row r="36316">
      <c r="H36316" t="s">
        <v>5117</v>
      </c>
    </row>
    <row r="36317">
      <c r="H36317" t="s">
        <v>5117</v>
      </c>
    </row>
    <row r="36318">
      <c r="H36318" t="s">
        <v>5117</v>
      </c>
    </row>
    <row r="36319">
      <c r="H36319" t="s">
        <v>5117</v>
      </c>
    </row>
    <row r="36320">
      <c r="H36320" t="s">
        <v>5117</v>
      </c>
    </row>
    <row r="36321">
      <c r="H36321" t="s">
        <v>5117</v>
      </c>
    </row>
    <row r="36322">
      <c r="H36322" t="s">
        <v>5117</v>
      </c>
    </row>
    <row r="36323">
      <c r="H36323" t="s">
        <v>5117</v>
      </c>
    </row>
    <row r="36324">
      <c r="H36324" t="s">
        <v>5117</v>
      </c>
    </row>
    <row r="36325">
      <c r="H36325" t="s">
        <v>5117</v>
      </c>
    </row>
    <row r="36326">
      <c r="H36326" t="s">
        <v>5117</v>
      </c>
    </row>
    <row r="36327">
      <c r="H36327" t="s">
        <v>5117</v>
      </c>
    </row>
    <row r="36328">
      <c r="H36328" t="s">
        <v>5117</v>
      </c>
    </row>
    <row r="36329">
      <c r="H36329" t="s">
        <v>5117</v>
      </c>
    </row>
    <row r="36330">
      <c r="H36330" t="s">
        <v>5117</v>
      </c>
    </row>
    <row r="36331">
      <c r="H36331" t="s">
        <v>5117</v>
      </c>
    </row>
    <row r="36332">
      <c r="H36332" t="s">
        <v>5117</v>
      </c>
    </row>
    <row r="36333">
      <c r="H36333" t="s">
        <v>5117</v>
      </c>
    </row>
    <row r="36334">
      <c r="H36334" t="s">
        <v>5117</v>
      </c>
    </row>
    <row r="36335">
      <c r="H36335" t="s">
        <v>5117</v>
      </c>
    </row>
    <row r="36336">
      <c r="H36336" t="s">
        <v>5117</v>
      </c>
    </row>
    <row r="36337">
      <c r="H36337" t="s">
        <v>5117</v>
      </c>
    </row>
    <row r="36338">
      <c r="H36338" t="s">
        <v>5117</v>
      </c>
    </row>
    <row r="36339">
      <c r="H36339" t="s">
        <v>5117</v>
      </c>
    </row>
    <row r="36340">
      <c r="H36340" t="s">
        <v>5117</v>
      </c>
    </row>
    <row r="36341">
      <c r="H36341" t="s">
        <v>5117</v>
      </c>
    </row>
    <row r="36342">
      <c r="H36342" t="s">
        <v>5117</v>
      </c>
    </row>
    <row r="36343">
      <c r="H36343" t="s">
        <v>5117</v>
      </c>
    </row>
    <row r="36344">
      <c r="H36344" t="s">
        <v>5117</v>
      </c>
    </row>
    <row r="36345">
      <c r="H36345" t="s">
        <v>5117</v>
      </c>
    </row>
    <row r="36346">
      <c r="H36346" t="s">
        <v>5117</v>
      </c>
    </row>
    <row r="36347">
      <c r="H36347" t="s">
        <v>5117</v>
      </c>
    </row>
    <row r="36348">
      <c r="H36348" t="s">
        <v>5117</v>
      </c>
    </row>
    <row r="36349">
      <c r="H36349" t="s">
        <v>5117</v>
      </c>
    </row>
    <row r="36350">
      <c r="H36350" t="s">
        <v>5117</v>
      </c>
    </row>
    <row r="36351">
      <c r="H36351" t="s">
        <v>5117</v>
      </c>
    </row>
    <row r="36352">
      <c r="H36352" t="s">
        <v>5117</v>
      </c>
    </row>
    <row r="36353">
      <c r="H36353" t="s">
        <v>5117</v>
      </c>
    </row>
    <row r="36354">
      <c r="H36354" t="s">
        <v>5117</v>
      </c>
    </row>
    <row r="36355">
      <c r="H36355" t="s">
        <v>5117</v>
      </c>
    </row>
    <row r="36356">
      <c r="H36356" t="s">
        <v>5117</v>
      </c>
    </row>
    <row r="36357">
      <c r="H36357" t="s">
        <v>5117</v>
      </c>
    </row>
    <row r="36358">
      <c r="H36358" t="s">
        <v>5117</v>
      </c>
    </row>
    <row r="36359">
      <c r="H36359" t="s">
        <v>5117</v>
      </c>
    </row>
    <row r="36360">
      <c r="H36360" t="s">
        <v>5117</v>
      </c>
    </row>
    <row r="36361">
      <c r="H36361" t="s">
        <v>5117</v>
      </c>
    </row>
    <row r="36362">
      <c r="H36362" t="s">
        <v>5117</v>
      </c>
    </row>
    <row r="36363">
      <c r="H36363" t="s">
        <v>5117</v>
      </c>
    </row>
    <row r="36364">
      <c r="H36364" t="s">
        <v>5117</v>
      </c>
    </row>
    <row r="36365">
      <c r="H36365" t="s">
        <v>5117</v>
      </c>
    </row>
    <row r="36366">
      <c r="H36366" t="s">
        <v>5117</v>
      </c>
    </row>
    <row r="36367">
      <c r="H36367" t="s">
        <v>5117</v>
      </c>
    </row>
    <row r="36368">
      <c r="H36368" t="s">
        <v>5117</v>
      </c>
    </row>
    <row r="36369">
      <c r="H36369" t="s">
        <v>5117</v>
      </c>
    </row>
    <row r="36370">
      <c r="H36370" t="s">
        <v>5117</v>
      </c>
    </row>
    <row r="36371">
      <c r="H36371" t="s">
        <v>5117</v>
      </c>
    </row>
    <row r="36372">
      <c r="H36372" t="s">
        <v>5117</v>
      </c>
    </row>
    <row r="36373">
      <c r="H36373" t="s">
        <v>5117</v>
      </c>
    </row>
    <row r="36374">
      <c r="H36374" t="s">
        <v>5117</v>
      </c>
    </row>
    <row r="36375">
      <c r="H36375" t="s">
        <v>5117</v>
      </c>
    </row>
    <row r="36376">
      <c r="H36376" t="s">
        <v>5117</v>
      </c>
    </row>
    <row r="36377">
      <c r="H36377" t="s">
        <v>5117</v>
      </c>
    </row>
    <row r="36378">
      <c r="H36378" t="s">
        <v>5117</v>
      </c>
    </row>
    <row r="36379">
      <c r="H36379" t="s">
        <v>5117</v>
      </c>
    </row>
    <row r="36380">
      <c r="H36380" t="s">
        <v>5117</v>
      </c>
    </row>
    <row r="36381">
      <c r="H36381" t="s">
        <v>5117</v>
      </c>
    </row>
    <row r="36382">
      <c r="H36382" t="s">
        <v>5117</v>
      </c>
    </row>
    <row r="36383">
      <c r="H36383" t="s">
        <v>5117</v>
      </c>
    </row>
    <row r="36384">
      <c r="H36384" t="s">
        <v>5117</v>
      </c>
    </row>
    <row r="36385">
      <c r="H36385" t="s">
        <v>5117</v>
      </c>
    </row>
    <row r="36386">
      <c r="H36386" t="s">
        <v>5117</v>
      </c>
    </row>
    <row r="36387">
      <c r="H36387" t="s">
        <v>5117</v>
      </c>
    </row>
    <row r="36388">
      <c r="H36388" t="s">
        <v>5117</v>
      </c>
    </row>
    <row r="36389">
      <c r="H36389" t="s">
        <v>5117</v>
      </c>
    </row>
    <row r="36390">
      <c r="H36390" t="s">
        <v>5117</v>
      </c>
    </row>
    <row r="36391">
      <c r="H36391" t="s">
        <v>5117</v>
      </c>
    </row>
    <row r="36392">
      <c r="H36392" t="s">
        <v>5117</v>
      </c>
    </row>
    <row r="36393">
      <c r="H36393" t="s">
        <v>5117</v>
      </c>
    </row>
    <row r="36394">
      <c r="H36394" t="s">
        <v>5117</v>
      </c>
    </row>
    <row r="36395">
      <c r="H36395" t="s">
        <v>5117</v>
      </c>
    </row>
    <row r="36396">
      <c r="H36396" t="s">
        <v>5117</v>
      </c>
    </row>
    <row r="36397">
      <c r="H36397" t="s">
        <v>5117</v>
      </c>
    </row>
    <row r="36398">
      <c r="H36398" t="s">
        <v>5117</v>
      </c>
    </row>
    <row r="36399">
      <c r="H36399" t="s">
        <v>5117</v>
      </c>
    </row>
    <row r="36400">
      <c r="H36400" t="s">
        <v>5117</v>
      </c>
    </row>
    <row r="36401">
      <c r="H36401" t="s">
        <v>5117</v>
      </c>
    </row>
    <row r="36402">
      <c r="H36402" t="s">
        <v>5117</v>
      </c>
    </row>
    <row r="36403">
      <c r="H36403" t="s">
        <v>5117</v>
      </c>
    </row>
    <row r="36404">
      <c r="H36404" t="s">
        <v>5117</v>
      </c>
    </row>
    <row r="36405">
      <c r="H36405" t="s">
        <v>5117</v>
      </c>
    </row>
    <row r="36406">
      <c r="H36406" t="s">
        <v>5117</v>
      </c>
    </row>
    <row r="36407">
      <c r="H36407" t="s">
        <v>5117</v>
      </c>
    </row>
    <row r="36408">
      <c r="H36408" t="s">
        <v>5117</v>
      </c>
    </row>
    <row r="36409">
      <c r="H36409" t="s">
        <v>5117</v>
      </c>
    </row>
    <row r="36410">
      <c r="H36410" t="s">
        <v>5117</v>
      </c>
    </row>
    <row r="36411">
      <c r="H36411" t="s">
        <v>5117</v>
      </c>
    </row>
    <row r="36412">
      <c r="H36412" t="s">
        <v>5117</v>
      </c>
    </row>
    <row r="36413">
      <c r="H36413" t="s">
        <v>5117</v>
      </c>
    </row>
    <row r="36414">
      <c r="H36414" t="s">
        <v>5117</v>
      </c>
    </row>
    <row r="36415">
      <c r="H36415" t="s">
        <v>5117</v>
      </c>
    </row>
    <row r="36416">
      <c r="H36416" t="s">
        <v>5117</v>
      </c>
    </row>
    <row r="36417">
      <c r="H36417" t="s">
        <v>5117</v>
      </c>
    </row>
    <row r="36418">
      <c r="H36418" t="s">
        <v>5117</v>
      </c>
    </row>
    <row r="36419">
      <c r="H36419" t="s">
        <v>5117</v>
      </c>
    </row>
    <row r="36420">
      <c r="H36420" t="s">
        <v>5117</v>
      </c>
    </row>
    <row r="36421">
      <c r="H36421" t="s">
        <v>5117</v>
      </c>
    </row>
    <row r="36422">
      <c r="H36422" t="s">
        <v>5117</v>
      </c>
    </row>
    <row r="36423">
      <c r="H36423" t="s">
        <v>5117</v>
      </c>
    </row>
    <row r="36424">
      <c r="H36424" t="s">
        <v>5117</v>
      </c>
    </row>
    <row r="36425">
      <c r="H36425" t="s">
        <v>5117</v>
      </c>
    </row>
    <row r="36426">
      <c r="H36426" t="s">
        <v>5117</v>
      </c>
    </row>
    <row r="36427">
      <c r="H36427" t="s">
        <v>5117</v>
      </c>
    </row>
    <row r="36428">
      <c r="H36428" t="s">
        <v>5117</v>
      </c>
    </row>
    <row r="36429">
      <c r="H36429" t="s">
        <v>5117</v>
      </c>
    </row>
    <row r="36430">
      <c r="H36430" t="s">
        <v>5117</v>
      </c>
    </row>
    <row r="36431">
      <c r="H36431" t="s">
        <v>5117</v>
      </c>
    </row>
    <row r="36432">
      <c r="H36432" t="s">
        <v>5117</v>
      </c>
    </row>
    <row r="36433">
      <c r="H36433" t="s">
        <v>5117</v>
      </c>
    </row>
    <row r="36434">
      <c r="H36434" t="s">
        <v>5117</v>
      </c>
    </row>
    <row r="36435">
      <c r="H36435" t="s">
        <v>5117</v>
      </c>
    </row>
    <row r="36436">
      <c r="H36436" t="s">
        <v>5117</v>
      </c>
    </row>
    <row r="36437">
      <c r="H36437" t="s">
        <v>5117</v>
      </c>
    </row>
    <row r="36438">
      <c r="H36438" t="s">
        <v>5117</v>
      </c>
    </row>
    <row r="36439">
      <c r="H36439" t="s">
        <v>5117</v>
      </c>
    </row>
    <row r="36440">
      <c r="H36440" t="s">
        <v>5117</v>
      </c>
    </row>
    <row r="36441">
      <c r="H36441" t="s">
        <v>5117</v>
      </c>
    </row>
    <row r="36442">
      <c r="H36442" t="s">
        <v>5117</v>
      </c>
    </row>
    <row r="36443">
      <c r="H36443" t="s">
        <v>5117</v>
      </c>
    </row>
    <row r="36444">
      <c r="H36444" t="s">
        <v>5117</v>
      </c>
    </row>
    <row r="36445">
      <c r="H36445" t="s">
        <v>5117</v>
      </c>
    </row>
    <row r="36446">
      <c r="H36446" t="s">
        <v>5117</v>
      </c>
    </row>
    <row r="36447">
      <c r="H36447" t="s">
        <v>5117</v>
      </c>
    </row>
    <row r="36448">
      <c r="H36448" t="s">
        <v>5117</v>
      </c>
    </row>
    <row r="36449">
      <c r="H36449" t="s">
        <v>5117</v>
      </c>
    </row>
    <row r="36450">
      <c r="H36450" t="s">
        <v>5117</v>
      </c>
    </row>
    <row r="36451">
      <c r="H36451" t="s">
        <v>5117</v>
      </c>
    </row>
    <row r="36452">
      <c r="H36452" t="s">
        <v>5117</v>
      </c>
    </row>
    <row r="36453">
      <c r="H36453" t="s">
        <v>5117</v>
      </c>
    </row>
    <row r="36454">
      <c r="H36454" t="s">
        <v>5117</v>
      </c>
    </row>
    <row r="36455">
      <c r="H36455" t="s">
        <v>5117</v>
      </c>
    </row>
    <row r="36456">
      <c r="H36456" t="s">
        <v>5117</v>
      </c>
    </row>
    <row r="36457">
      <c r="H36457" t="s">
        <v>5117</v>
      </c>
    </row>
    <row r="36458">
      <c r="H36458" t="s">
        <v>5117</v>
      </c>
    </row>
    <row r="36459">
      <c r="H36459" t="s">
        <v>5117</v>
      </c>
    </row>
    <row r="36460">
      <c r="H36460" t="s">
        <v>5117</v>
      </c>
    </row>
    <row r="36461">
      <c r="H36461" t="s">
        <v>5117</v>
      </c>
    </row>
    <row r="36462">
      <c r="H36462" t="s">
        <v>5117</v>
      </c>
    </row>
    <row r="36463">
      <c r="H36463" t="s">
        <v>5117</v>
      </c>
    </row>
    <row r="36464">
      <c r="H36464" t="s">
        <v>5117</v>
      </c>
    </row>
    <row r="36465">
      <c r="H36465" t="s">
        <v>5117</v>
      </c>
    </row>
    <row r="36466">
      <c r="H36466" t="s">
        <v>5117</v>
      </c>
    </row>
    <row r="36467">
      <c r="H36467" t="s">
        <v>5117</v>
      </c>
    </row>
    <row r="36468">
      <c r="H36468" t="s">
        <v>5117</v>
      </c>
    </row>
    <row r="36469">
      <c r="H36469" t="s">
        <v>5117</v>
      </c>
    </row>
    <row r="36470">
      <c r="H36470" t="s">
        <v>5117</v>
      </c>
    </row>
    <row r="36471">
      <c r="H36471" t="s">
        <v>5117</v>
      </c>
    </row>
    <row r="36472">
      <c r="H36472" t="s">
        <v>5117</v>
      </c>
    </row>
    <row r="36473">
      <c r="H36473" t="s">
        <v>5117</v>
      </c>
    </row>
    <row r="36474">
      <c r="H36474" t="s">
        <v>5117</v>
      </c>
    </row>
    <row r="36475">
      <c r="H36475" t="s">
        <v>5117</v>
      </c>
    </row>
    <row r="36476">
      <c r="H36476" t="s">
        <v>5117</v>
      </c>
    </row>
    <row r="36477">
      <c r="H36477" t="s">
        <v>5117</v>
      </c>
    </row>
    <row r="36478">
      <c r="H36478" t="s">
        <v>5117</v>
      </c>
    </row>
    <row r="36479">
      <c r="H36479" t="s">
        <v>5117</v>
      </c>
    </row>
    <row r="36480">
      <c r="H36480" t="s">
        <v>5117</v>
      </c>
    </row>
    <row r="36481">
      <c r="H36481" t="s">
        <v>5117</v>
      </c>
    </row>
    <row r="36482">
      <c r="H36482" t="s">
        <v>5117</v>
      </c>
    </row>
    <row r="36483">
      <c r="H36483" t="s">
        <v>5117</v>
      </c>
    </row>
    <row r="36484">
      <c r="H36484" t="s">
        <v>5117</v>
      </c>
    </row>
    <row r="36485">
      <c r="H36485" t="s">
        <v>5117</v>
      </c>
    </row>
    <row r="36486">
      <c r="H36486" t="s">
        <v>5117</v>
      </c>
    </row>
    <row r="36487">
      <c r="H36487" t="s">
        <v>5117</v>
      </c>
    </row>
    <row r="36488">
      <c r="H36488" t="s">
        <v>5117</v>
      </c>
    </row>
    <row r="36489">
      <c r="H36489" t="s">
        <v>5117</v>
      </c>
    </row>
    <row r="36490">
      <c r="H36490" t="s">
        <v>5117</v>
      </c>
    </row>
    <row r="36491">
      <c r="H36491" t="s">
        <v>5117</v>
      </c>
    </row>
    <row r="36492">
      <c r="H36492" t="s">
        <v>5117</v>
      </c>
    </row>
    <row r="36493">
      <c r="H36493" t="s">
        <v>5117</v>
      </c>
    </row>
    <row r="36494">
      <c r="H36494" t="s">
        <v>5117</v>
      </c>
    </row>
    <row r="36495">
      <c r="H36495" t="s">
        <v>5117</v>
      </c>
    </row>
    <row r="36496">
      <c r="H36496" t="s">
        <v>5117</v>
      </c>
    </row>
    <row r="36497">
      <c r="H36497" t="s">
        <v>5117</v>
      </c>
    </row>
    <row r="36498">
      <c r="H36498" t="s">
        <v>5117</v>
      </c>
    </row>
    <row r="36499">
      <c r="H36499" t="s">
        <v>5117</v>
      </c>
    </row>
    <row r="36500">
      <c r="H36500" t="s">
        <v>5117</v>
      </c>
    </row>
    <row r="36501">
      <c r="H36501" t="s">
        <v>5117</v>
      </c>
    </row>
    <row r="36502">
      <c r="H36502" t="s">
        <v>5117</v>
      </c>
    </row>
    <row r="36503">
      <c r="H36503" t="s">
        <v>5117</v>
      </c>
    </row>
    <row r="36504">
      <c r="H36504" t="s">
        <v>5117</v>
      </c>
    </row>
    <row r="36505">
      <c r="H36505" t="s">
        <v>5117</v>
      </c>
    </row>
    <row r="36506">
      <c r="H36506" t="s">
        <v>5117</v>
      </c>
    </row>
    <row r="36507">
      <c r="H36507" t="s">
        <v>5117</v>
      </c>
    </row>
    <row r="36508">
      <c r="H36508" t="s">
        <v>5117</v>
      </c>
    </row>
    <row r="36509">
      <c r="H36509" t="s">
        <v>5117</v>
      </c>
    </row>
    <row r="36510">
      <c r="H36510" t="s">
        <v>5117</v>
      </c>
    </row>
    <row r="36511">
      <c r="H36511" t="s">
        <v>5117</v>
      </c>
    </row>
    <row r="36512">
      <c r="H36512" t="s">
        <v>5117</v>
      </c>
    </row>
    <row r="36513">
      <c r="H36513" t="s">
        <v>5117</v>
      </c>
    </row>
    <row r="36514">
      <c r="H36514" t="s">
        <v>5117</v>
      </c>
    </row>
    <row r="36515">
      <c r="H36515" t="s">
        <v>5117</v>
      </c>
    </row>
    <row r="36516">
      <c r="H36516" t="s">
        <v>5117</v>
      </c>
    </row>
    <row r="36517">
      <c r="H36517" t="s">
        <v>5117</v>
      </c>
    </row>
    <row r="36518">
      <c r="H36518" t="s">
        <v>5117</v>
      </c>
    </row>
    <row r="36519">
      <c r="H36519" t="s">
        <v>5117</v>
      </c>
    </row>
    <row r="36520">
      <c r="H36520" t="s">
        <v>5117</v>
      </c>
    </row>
    <row r="36521">
      <c r="H36521" t="s">
        <v>5117</v>
      </c>
    </row>
    <row r="36522">
      <c r="H36522" t="s">
        <v>5117</v>
      </c>
    </row>
    <row r="36523">
      <c r="H36523" t="s">
        <v>5117</v>
      </c>
    </row>
    <row r="36524">
      <c r="H36524" t="s">
        <v>5117</v>
      </c>
    </row>
    <row r="36525">
      <c r="H36525" t="s">
        <v>5117</v>
      </c>
    </row>
    <row r="36526">
      <c r="H36526" t="s">
        <v>5117</v>
      </c>
    </row>
    <row r="36527">
      <c r="H36527" t="s">
        <v>5117</v>
      </c>
    </row>
    <row r="36528">
      <c r="H36528" t="s">
        <v>5117</v>
      </c>
    </row>
    <row r="36529">
      <c r="H36529" t="s">
        <v>5117</v>
      </c>
    </row>
    <row r="36530">
      <c r="H36530" t="s">
        <v>5117</v>
      </c>
    </row>
    <row r="36531">
      <c r="H36531" t="s">
        <v>5117</v>
      </c>
    </row>
    <row r="36532">
      <c r="H36532" t="s">
        <v>5117</v>
      </c>
    </row>
    <row r="36533">
      <c r="H36533" t="s">
        <v>5117</v>
      </c>
    </row>
    <row r="36534">
      <c r="H36534" t="s">
        <v>5117</v>
      </c>
    </row>
    <row r="36535">
      <c r="H36535" t="s">
        <v>5117</v>
      </c>
    </row>
    <row r="36536">
      <c r="H36536" t="s">
        <v>5117</v>
      </c>
    </row>
    <row r="36537">
      <c r="H36537" t="s">
        <v>5117</v>
      </c>
    </row>
    <row r="36538">
      <c r="H36538" t="s">
        <v>5117</v>
      </c>
    </row>
    <row r="36539">
      <c r="H36539" t="s">
        <v>5117</v>
      </c>
    </row>
    <row r="36540">
      <c r="H36540" t="s">
        <v>5117</v>
      </c>
    </row>
    <row r="36541">
      <c r="H36541" t="s">
        <v>5117</v>
      </c>
    </row>
    <row r="36542">
      <c r="H36542" t="s">
        <v>5117</v>
      </c>
    </row>
    <row r="36543">
      <c r="H36543" t="s">
        <v>5117</v>
      </c>
    </row>
    <row r="36544">
      <c r="H36544" t="s">
        <v>5117</v>
      </c>
    </row>
    <row r="36545">
      <c r="H36545" t="s">
        <v>5117</v>
      </c>
    </row>
    <row r="36546">
      <c r="H36546" t="s">
        <v>5117</v>
      </c>
    </row>
    <row r="36547">
      <c r="H36547" t="s">
        <v>5117</v>
      </c>
    </row>
    <row r="36548">
      <c r="H36548" t="s">
        <v>5117</v>
      </c>
    </row>
    <row r="36549">
      <c r="H36549" t="s">
        <v>5117</v>
      </c>
    </row>
    <row r="36550">
      <c r="H36550" t="s">
        <v>5117</v>
      </c>
    </row>
    <row r="36551">
      <c r="H36551" t="s">
        <v>5117</v>
      </c>
    </row>
    <row r="36552">
      <c r="H36552" t="s">
        <v>5117</v>
      </c>
    </row>
    <row r="36553">
      <c r="H36553" t="s">
        <v>5117</v>
      </c>
    </row>
    <row r="36554">
      <c r="H36554" t="s">
        <v>5117</v>
      </c>
    </row>
    <row r="36555">
      <c r="H36555" t="s">
        <v>5117</v>
      </c>
    </row>
    <row r="36556">
      <c r="H36556" t="s">
        <v>5117</v>
      </c>
    </row>
    <row r="36557">
      <c r="H36557" t="s">
        <v>5117</v>
      </c>
    </row>
    <row r="36558">
      <c r="H36558" t="s">
        <v>5117</v>
      </c>
    </row>
    <row r="36559">
      <c r="H36559" t="s">
        <v>5117</v>
      </c>
    </row>
    <row r="36560">
      <c r="H36560" t="s">
        <v>5117</v>
      </c>
    </row>
    <row r="36561">
      <c r="H36561" t="s">
        <v>5117</v>
      </c>
    </row>
    <row r="36562">
      <c r="H36562" t="s">
        <v>5117</v>
      </c>
    </row>
    <row r="36563">
      <c r="H36563" t="s">
        <v>5117</v>
      </c>
    </row>
    <row r="36564">
      <c r="H36564" t="s">
        <v>5117</v>
      </c>
    </row>
    <row r="36565">
      <c r="H36565" t="s">
        <v>5117</v>
      </c>
    </row>
    <row r="36566">
      <c r="H36566" t="s">
        <v>5117</v>
      </c>
    </row>
    <row r="36567">
      <c r="H36567" t="s">
        <v>5117</v>
      </c>
    </row>
    <row r="36568">
      <c r="H36568" t="s">
        <v>5117</v>
      </c>
    </row>
    <row r="36569">
      <c r="H36569" t="s">
        <v>5117</v>
      </c>
    </row>
    <row r="36570">
      <c r="H36570" t="s">
        <v>5117</v>
      </c>
    </row>
    <row r="36571">
      <c r="H36571" t="s">
        <v>5117</v>
      </c>
    </row>
    <row r="36572">
      <c r="H36572" t="s">
        <v>5117</v>
      </c>
    </row>
    <row r="36573">
      <c r="H36573" t="s">
        <v>5117</v>
      </c>
    </row>
    <row r="36574">
      <c r="H36574" t="s">
        <v>5117</v>
      </c>
    </row>
    <row r="36575">
      <c r="H36575" t="s">
        <v>5117</v>
      </c>
    </row>
    <row r="36576">
      <c r="H36576" t="s">
        <v>5117</v>
      </c>
    </row>
    <row r="36577">
      <c r="H36577" t="s">
        <v>5117</v>
      </c>
    </row>
    <row r="36578">
      <c r="H36578" t="s">
        <v>5117</v>
      </c>
    </row>
    <row r="36579">
      <c r="H36579" t="s">
        <v>5117</v>
      </c>
    </row>
    <row r="36580">
      <c r="H36580" t="s">
        <v>5117</v>
      </c>
    </row>
    <row r="36581">
      <c r="H36581" t="s">
        <v>5117</v>
      </c>
    </row>
    <row r="36582">
      <c r="H36582" t="s">
        <v>5117</v>
      </c>
    </row>
    <row r="36583">
      <c r="H36583" t="s">
        <v>5117</v>
      </c>
    </row>
    <row r="36584">
      <c r="H36584" t="s">
        <v>5117</v>
      </c>
    </row>
    <row r="36585">
      <c r="H36585" t="s">
        <v>5117</v>
      </c>
    </row>
    <row r="36586">
      <c r="H36586" t="s">
        <v>5117</v>
      </c>
    </row>
    <row r="36587">
      <c r="H36587" t="s">
        <v>5117</v>
      </c>
    </row>
    <row r="36588">
      <c r="H36588" t="s">
        <v>5117</v>
      </c>
    </row>
    <row r="36589">
      <c r="H36589" t="s">
        <v>5117</v>
      </c>
    </row>
    <row r="36590">
      <c r="H36590" t="s">
        <v>5117</v>
      </c>
    </row>
    <row r="36591">
      <c r="H36591" t="s">
        <v>5117</v>
      </c>
    </row>
    <row r="36592">
      <c r="H36592" t="s">
        <v>5117</v>
      </c>
    </row>
    <row r="36593">
      <c r="H36593" t="s">
        <v>5117</v>
      </c>
    </row>
    <row r="36594">
      <c r="H36594" t="s">
        <v>5117</v>
      </c>
    </row>
    <row r="36595">
      <c r="H36595" t="s">
        <v>5117</v>
      </c>
    </row>
    <row r="36596">
      <c r="H36596" t="s">
        <v>5117</v>
      </c>
    </row>
    <row r="36597">
      <c r="H36597" t="s">
        <v>5117</v>
      </c>
    </row>
    <row r="36598">
      <c r="H36598" t="s">
        <v>5117</v>
      </c>
    </row>
    <row r="36599">
      <c r="H36599" t="s">
        <v>5117</v>
      </c>
    </row>
    <row r="36600">
      <c r="H36600" t="s">
        <v>5117</v>
      </c>
    </row>
    <row r="36601">
      <c r="H36601" t="s">
        <v>5117</v>
      </c>
    </row>
    <row r="36602">
      <c r="H36602" t="s">
        <v>5117</v>
      </c>
    </row>
    <row r="36603">
      <c r="H36603" t="s">
        <v>5117</v>
      </c>
    </row>
    <row r="36604">
      <c r="H36604" t="s">
        <v>5117</v>
      </c>
    </row>
    <row r="36605">
      <c r="H36605" t="s">
        <v>5117</v>
      </c>
    </row>
    <row r="36606">
      <c r="H36606" t="s">
        <v>5117</v>
      </c>
    </row>
    <row r="36607">
      <c r="H36607" t="s">
        <v>5117</v>
      </c>
    </row>
    <row r="36608">
      <c r="H36608" t="s">
        <v>5117</v>
      </c>
    </row>
    <row r="36609">
      <c r="H36609" t="s">
        <v>5117</v>
      </c>
    </row>
    <row r="36610">
      <c r="H36610" t="s">
        <v>5117</v>
      </c>
    </row>
    <row r="36611">
      <c r="H36611" t="s">
        <v>5117</v>
      </c>
    </row>
    <row r="36612">
      <c r="H36612" t="s">
        <v>5117</v>
      </c>
    </row>
    <row r="36613">
      <c r="H36613" t="s">
        <v>5117</v>
      </c>
    </row>
    <row r="36614">
      <c r="H36614" t="s">
        <v>5117</v>
      </c>
    </row>
    <row r="36615">
      <c r="H36615" t="s">
        <v>5117</v>
      </c>
    </row>
    <row r="36616">
      <c r="H36616" t="s">
        <v>5117</v>
      </c>
    </row>
    <row r="36617">
      <c r="H36617" t="s">
        <v>5117</v>
      </c>
    </row>
    <row r="36618">
      <c r="H36618" t="s">
        <v>5117</v>
      </c>
    </row>
    <row r="36619">
      <c r="H36619" t="s">
        <v>5117</v>
      </c>
    </row>
    <row r="36620">
      <c r="H36620" t="s">
        <v>5117</v>
      </c>
    </row>
    <row r="36621">
      <c r="H36621" t="s">
        <v>5117</v>
      </c>
    </row>
    <row r="36622">
      <c r="H36622" t="s">
        <v>5117</v>
      </c>
    </row>
    <row r="36623">
      <c r="H36623" t="s">
        <v>5117</v>
      </c>
    </row>
    <row r="36624">
      <c r="H36624" t="s">
        <v>5117</v>
      </c>
    </row>
    <row r="36625">
      <c r="H36625" t="s">
        <v>5117</v>
      </c>
    </row>
    <row r="36626">
      <c r="H36626" t="s">
        <v>5117</v>
      </c>
    </row>
    <row r="36627">
      <c r="H36627" t="s">
        <v>5117</v>
      </c>
    </row>
    <row r="36628">
      <c r="H36628" t="s">
        <v>5117</v>
      </c>
    </row>
    <row r="36629">
      <c r="H36629" t="s">
        <v>5117</v>
      </c>
    </row>
    <row r="36630">
      <c r="H36630" t="s">
        <v>5117</v>
      </c>
    </row>
    <row r="36631">
      <c r="H36631" t="s">
        <v>5117</v>
      </c>
    </row>
    <row r="36632">
      <c r="H36632" t="s">
        <v>5117</v>
      </c>
    </row>
    <row r="36633">
      <c r="H36633" t="s">
        <v>5117</v>
      </c>
    </row>
    <row r="36634">
      <c r="H36634" t="s">
        <v>5117</v>
      </c>
    </row>
    <row r="36635">
      <c r="H36635" t="s">
        <v>5117</v>
      </c>
    </row>
    <row r="36636">
      <c r="H36636" t="s">
        <v>5117</v>
      </c>
    </row>
    <row r="36637">
      <c r="H36637" t="s">
        <v>5117</v>
      </c>
    </row>
    <row r="36638">
      <c r="H36638" t="s">
        <v>5117</v>
      </c>
    </row>
    <row r="36639">
      <c r="H36639" t="s">
        <v>5117</v>
      </c>
    </row>
    <row r="36640">
      <c r="H36640" t="s">
        <v>5117</v>
      </c>
    </row>
    <row r="36641">
      <c r="H36641" t="s">
        <v>5117</v>
      </c>
    </row>
    <row r="36642">
      <c r="H36642" t="s">
        <v>5117</v>
      </c>
    </row>
    <row r="36643">
      <c r="H36643" t="s">
        <v>5117</v>
      </c>
    </row>
    <row r="36644">
      <c r="H36644" t="s">
        <v>5117</v>
      </c>
    </row>
    <row r="36645">
      <c r="H36645" t="s">
        <v>5117</v>
      </c>
    </row>
    <row r="36646">
      <c r="H36646" t="s">
        <v>5117</v>
      </c>
    </row>
    <row r="36647">
      <c r="H36647" t="s">
        <v>5117</v>
      </c>
    </row>
    <row r="36648">
      <c r="H36648" t="s">
        <v>5117</v>
      </c>
    </row>
    <row r="36649">
      <c r="H36649" t="s">
        <v>5117</v>
      </c>
    </row>
    <row r="36650">
      <c r="H36650" t="s">
        <v>5117</v>
      </c>
    </row>
    <row r="36651">
      <c r="H36651" t="s">
        <v>5117</v>
      </c>
    </row>
    <row r="36652">
      <c r="H36652" t="s">
        <v>5117</v>
      </c>
    </row>
    <row r="36653">
      <c r="H36653" t="s">
        <v>5117</v>
      </c>
    </row>
    <row r="36654">
      <c r="H36654" t="s">
        <v>5117</v>
      </c>
    </row>
    <row r="36655">
      <c r="H36655" t="s">
        <v>5117</v>
      </c>
    </row>
    <row r="36656">
      <c r="H36656" t="s">
        <v>5117</v>
      </c>
    </row>
    <row r="36657">
      <c r="H36657" t="s">
        <v>5117</v>
      </c>
    </row>
    <row r="36658">
      <c r="H36658" t="s">
        <v>5117</v>
      </c>
    </row>
    <row r="36659">
      <c r="H36659" t="s">
        <v>5117</v>
      </c>
    </row>
    <row r="36660">
      <c r="H36660" t="s">
        <v>5117</v>
      </c>
    </row>
    <row r="36661">
      <c r="H36661" t="s">
        <v>5117</v>
      </c>
    </row>
    <row r="36662">
      <c r="H36662" t="s">
        <v>5117</v>
      </c>
    </row>
    <row r="36663">
      <c r="H36663" t="s">
        <v>5117</v>
      </c>
    </row>
    <row r="36664">
      <c r="H36664" t="s">
        <v>5117</v>
      </c>
    </row>
    <row r="36665">
      <c r="H36665" t="s">
        <v>5117</v>
      </c>
    </row>
    <row r="36666">
      <c r="H36666" t="s">
        <v>5117</v>
      </c>
    </row>
    <row r="36667">
      <c r="H36667" t="s">
        <v>5117</v>
      </c>
    </row>
    <row r="36668">
      <c r="H36668" t="s">
        <v>5117</v>
      </c>
    </row>
    <row r="36669">
      <c r="H36669" t="s">
        <v>5117</v>
      </c>
    </row>
    <row r="36670">
      <c r="H36670" t="s">
        <v>5117</v>
      </c>
    </row>
    <row r="36671">
      <c r="H36671" t="s">
        <v>5117</v>
      </c>
    </row>
    <row r="36672">
      <c r="H36672" t="s">
        <v>5117</v>
      </c>
    </row>
    <row r="36673">
      <c r="H36673" t="s">
        <v>5117</v>
      </c>
    </row>
    <row r="36674">
      <c r="H36674" t="s">
        <v>5117</v>
      </c>
    </row>
    <row r="36675">
      <c r="H36675" t="s">
        <v>5117</v>
      </c>
    </row>
    <row r="36676">
      <c r="H36676" t="s">
        <v>5117</v>
      </c>
    </row>
    <row r="36677">
      <c r="H36677" t="s">
        <v>5117</v>
      </c>
    </row>
    <row r="36678">
      <c r="H36678" t="s">
        <v>5117</v>
      </c>
    </row>
    <row r="36679">
      <c r="H36679" t="s">
        <v>5117</v>
      </c>
    </row>
    <row r="36680">
      <c r="H36680" t="s">
        <v>5117</v>
      </c>
    </row>
    <row r="36681">
      <c r="H36681" t="s">
        <v>5117</v>
      </c>
    </row>
    <row r="36682">
      <c r="H36682" t="s">
        <v>5117</v>
      </c>
    </row>
    <row r="36683">
      <c r="H36683" t="s">
        <v>5117</v>
      </c>
    </row>
    <row r="36684">
      <c r="H36684" t="s">
        <v>5117</v>
      </c>
    </row>
    <row r="36685">
      <c r="H36685" t="s">
        <v>5117</v>
      </c>
    </row>
    <row r="36686">
      <c r="H36686" t="s">
        <v>5117</v>
      </c>
    </row>
    <row r="36687">
      <c r="H36687" t="s">
        <v>5117</v>
      </c>
    </row>
    <row r="36688">
      <c r="H36688" t="s">
        <v>5117</v>
      </c>
    </row>
    <row r="36689">
      <c r="H36689" t="s">
        <v>5117</v>
      </c>
    </row>
    <row r="36690">
      <c r="H36690" t="s">
        <v>5117</v>
      </c>
    </row>
    <row r="36691">
      <c r="H36691" t="s">
        <v>5117</v>
      </c>
    </row>
    <row r="36692">
      <c r="H36692" t="s">
        <v>5117</v>
      </c>
    </row>
    <row r="36693">
      <c r="H36693" t="s">
        <v>5117</v>
      </c>
    </row>
    <row r="36694">
      <c r="H36694" t="s">
        <v>5117</v>
      </c>
    </row>
    <row r="36695">
      <c r="H36695" t="s">
        <v>5117</v>
      </c>
    </row>
    <row r="36696">
      <c r="H36696" t="s">
        <v>5117</v>
      </c>
    </row>
    <row r="36697">
      <c r="H36697" t="s">
        <v>5117</v>
      </c>
    </row>
    <row r="36698">
      <c r="H36698" t="s">
        <v>5117</v>
      </c>
    </row>
    <row r="36699">
      <c r="H36699" t="s">
        <v>5117</v>
      </c>
    </row>
    <row r="36700">
      <c r="H36700" t="s">
        <v>5117</v>
      </c>
    </row>
    <row r="36701">
      <c r="H36701" t="s">
        <v>5117</v>
      </c>
    </row>
    <row r="36702">
      <c r="H36702" t="s">
        <v>5117</v>
      </c>
    </row>
    <row r="36703">
      <c r="H36703" t="s">
        <v>5117</v>
      </c>
    </row>
    <row r="36704">
      <c r="H36704" t="s">
        <v>5117</v>
      </c>
    </row>
    <row r="36705">
      <c r="H36705" t="s">
        <v>5117</v>
      </c>
    </row>
    <row r="36706">
      <c r="H36706" t="s">
        <v>5117</v>
      </c>
    </row>
    <row r="36707">
      <c r="H36707" t="s">
        <v>5117</v>
      </c>
    </row>
    <row r="36708">
      <c r="H36708" t="s">
        <v>5117</v>
      </c>
    </row>
    <row r="36709">
      <c r="H36709" t="s">
        <v>5117</v>
      </c>
    </row>
    <row r="36710">
      <c r="H36710" t="s">
        <v>5117</v>
      </c>
    </row>
    <row r="36711">
      <c r="H36711" t="s">
        <v>5117</v>
      </c>
    </row>
    <row r="36712">
      <c r="H36712" t="s">
        <v>5117</v>
      </c>
    </row>
    <row r="36713">
      <c r="H36713" t="s">
        <v>5117</v>
      </c>
    </row>
    <row r="36714">
      <c r="H36714" t="s">
        <v>5117</v>
      </c>
    </row>
    <row r="36715">
      <c r="H36715" t="s">
        <v>5117</v>
      </c>
    </row>
    <row r="36716">
      <c r="H36716" t="s">
        <v>5117</v>
      </c>
    </row>
    <row r="36717">
      <c r="H36717" t="s">
        <v>5117</v>
      </c>
    </row>
    <row r="36718">
      <c r="H36718" t="s">
        <v>5117</v>
      </c>
    </row>
    <row r="36719">
      <c r="H36719" t="s">
        <v>5117</v>
      </c>
    </row>
    <row r="36720">
      <c r="H36720" t="s">
        <v>5117</v>
      </c>
    </row>
    <row r="36721">
      <c r="H36721" t="s">
        <v>5117</v>
      </c>
    </row>
    <row r="36722">
      <c r="H36722" t="s">
        <v>5117</v>
      </c>
    </row>
    <row r="36723">
      <c r="H36723" t="s">
        <v>5117</v>
      </c>
    </row>
    <row r="36724">
      <c r="H36724" t="s">
        <v>5117</v>
      </c>
    </row>
    <row r="36725">
      <c r="H36725" t="s">
        <v>5117</v>
      </c>
    </row>
    <row r="36726">
      <c r="H36726" t="s">
        <v>5117</v>
      </c>
    </row>
    <row r="36727">
      <c r="H36727" t="s">
        <v>5117</v>
      </c>
    </row>
    <row r="36728">
      <c r="H36728" t="s">
        <v>5117</v>
      </c>
    </row>
    <row r="36729">
      <c r="H36729" t="s">
        <v>5117</v>
      </c>
    </row>
    <row r="36730">
      <c r="H36730" t="s">
        <v>5117</v>
      </c>
    </row>
    <row r="36731">
      <c r="H36731" t="s">
        <v>5117</v>
      </c>
    </row>
    <row r="36732">
      <c r="H36732" t="s">
        <v>5117</v>
      </c>
    </row>
    <row r="36733">
      <c r="H36733" t="s">
        <v>5117</v>
      </c>
    </row>
    <row r="36734">
      <c r="H36734" t="s">
        <v>5117</v>
      </c>
    </row>
    <row r="36735">
      <c r="H36735" t="s">
        <v>5117</v>
      </c>
    </row>
    <row r="36736">
      <c r="H36736" t="s">
        <v>5117</v>
      </c>
    </row>
    <row r="36737">
      <c r="H36737" t="s">
        <v>5117</v>
      </c>
    </row>
    <row r="36738">
      <c r="H36738" t="s">
        <v>5117</v>
      </c>
    </row>
    <row r="36739">
      <c r="H36739" t="s">
        <v>5117</v>
      </c>
    </row>
    <row r="36740">
      <c r="H36740" t="s">
        <v>5117</v>
      </c>
    </row>
    <row r="36741">
      <c r="H36741" t="s">
        <v>5117</v>
      </c>
    </row>
    <row r="36742">
      <c r="H36742" t="s">
        <v>5117</v>
      </c>
    </row>
    <row r="36743">
      <c r="H36743" t="s">
        <v>5117</v>
      </c>
    </row>
    <row r="36744">
      <c r="H36744" t="s">
        <v>5117</v>
      </c>
    </row>
    <row r="36745">
      <c r="H36745" t="s">
        <v>5117</v>
      </c>
    </row>
    <row r="36746">
      <c r="H36746" t="s">
        <v>5117</v>
      </c>
    </row>
    <row r="36747">
      <c r="H36747" t="s">
        <v>5117</v>
      </c>
    </row>
    <row r="36748">
      <c r="H36748" t="s">
        <v>5117</v>
      </c>
    </row>
    <row r="36749">
      <c r="H36749" t="s">
        <v>5117</v>
      </c>
    </row>
    <row r="36750">
      <c r="H36750" t="s">
        <v>5117</v>
      </c>
    </row>
    <row r="36751">
      <c r="H36751" t="s">
        <v>5117</v>
      </c>
    </row>
    <row r="36752">
      <c r="H36752" t="s">
        <v>5117</v>
      </c>
    </row>
    <row r="36753">
      <c r="H36753" t="s">
        <v>5117</v>
      </c>
    </row>
    <row r="36754">
      <c r="H36754" t="s">
        <v>5117</v>
      </c>
    </row>
    <row r="36755">
      <c r="H36755" t="s">
        <v>5117</v>
      </c>
    </row>
    <row r="36756">
      <c r="H36756" t="s">
        <v>5117</v>
      </c>
    </row>
    <row r="36757">
      <c r="H36757" t="s">
        <v>5117</v>
      </c>
    </row>
    <row r="36758">
      <c r="H36758" t="s">
        <v>5117</v>
      </c>
    </row>
    <row r="36759">
      <c r="H36759" t="s">
        <v>5117</v>
      </c>
    </row>
    <row r="36760">
      <c r="H36760" t="s">
        <v>5117</v>
      </c>
    </row>
    <row r="36761">
      <c r="H36761" t="s">
        <v>5117</v>
      </c>
    </row>
    <row r="36762">
      <c r="H36762" t="s">
        <v>5117</v>
      </c>
    </row>
    <row r="36763">
      <c r="H36763" t="s">
        <v>5117</v>
      </c>
    </row>
    <row r="36764">
      <c r="H36764" t="s">
        <v>5117</v>
      </c>
    </row>
    <row r="36765">
      <c r="H36765" t="s">
        <v>5117</v>
      </c>
    </row>
    <row r="36766">
      <c r="H36766" t="s">
        <v>5117</v>
      </c>
    </row>
    <row r="36767">
      <c r="H36767" t="s">
        <v>5117</v>
      </c>
    </row>
    <row r="36768">
      <c r="H36768" t="s">
        <v>5117</v>
      </c>
    </row>
    <row r="36769">
      <c r="H36769" t="s">
        <v>5117</v>
      </c>
    </row>
    <row r="36770">
      <c r="H36770" t="s">
        <v>5117</v>
      </c>
    </row>
    <row r="36771">
      <c r="H36771" t="s">
        <v>5117</v>
      </c>
    </row>
    <row r="36772">
      <c r="H36772" t="s">
        <v>5117</v>
      </c>
    </row>
    <row r="36773">
      <c r="H36773" t="s">
        <v>5117</v>
      </c>
    </row>
    <row r="36774">
      <c r="H36774" t="s">
        <v>5117</v>
      </c>
    </row>
    <row r="36775">
      <c r="H36775" t="s">
        <v>5117</v>
      </c>
    </row>
    <row r="36776">
      <c r="H36776" t="s">
        <v>5117</v>
      </c>
    </row>
    <row r="36777">
      <c r="H36777" t="s">
        <v>5117</v>
      </c>
    </row>
    <row r="36778">
      <c r="H36778" t="s">
        <v>5117</v>
      </c>
    </row>
    <row r="36779">
      <c r="H36779" t="s">
        <v>5117</v>
      </c>
    </row>
    <row r="36780">
      <c r="H36780" t="s">
        <v>5117</v>
      </c>
    </row>
    <row r="36781">
      <c r="H36781" t="s">
        <v>5117</v>
      </c>
    </row>
    <row r="36782">
      <c r="H36782" t="s">
        <v>5117</v>
      </c>
    </row>
    <row r="36783">
      <c r="H36783" t="s">
        <v>5117</v>
      </c>
    </row>
    <row r="36784">
      <c r="H36784" t="s">
        <v>5117</v>
      </c>
    </row>
    <row r="36785">
      <c r="H36785" t="s">
        <v>5117</v>
      </c>
    </row>
    <row r="36786">
      <c r="H36786" t="s">
        <v>5117</v>
      </c>
    </row>
    <row r="36787">
      <c r="H36787" t="s">
        <v>5117</v>
      </c>
    </row>
    <row r="36788">
      <c r="H36788" t="s">
        <v>5117</v>
      </c>
    </row>
    <row r="36789">
      <c r="H36789" t="s">
        <v>5117</v>
      </c>
    </row>
    <row r="36790">
      <c r="H36790" t="s">
        <v>5117</v>
      </c>
    </row>
    <row r="36791">
      <c r="H36791" t="s">
        <v>5117</v>
      </c>
    </row>
    <row r="36792">
      <c r="H36792" t="s">
        <v>5117</v>
      </c>
    </row>
    <row r="36793">
      <c r="H36793" t="s">
        <v>5117</v>
      </c>
    </row>
    <row r="36794">
      <c r="H36794" t="s">
        <v>5117</v>
      </c>
    </row>
    <row r="36795">
      <c r="H36795" t="s">
        <v>5117</v>
      </c>
    </row>
    <row r="36796">
      <c r="H36796" t="s">
        <v>5117</v>
      </c>
    </row>
    <row r="36797">
      <c r="H36797" t="s">
        <v>5117</v>
      </c>
    </row>
    <row r="36798">
      <c r="H36798" t="s">
        <v>5117</v>
      </c>
    </row>
    <row r="36799">
      <c r="H36799" t="s">
        <v>5117</v>
      </c>
    </row>
    <row r="36800">
      <c r="H36800" t="s">
        <v>5117</v>
      </c>
    </row>
    <row r="36801">
      <c r="H36801" t="s">
        <v>5117</v>
      </c>
    </row>
    <row r="36802">
      <c r="H36802" t="s">
        <v>5117</v>
      </c>
    </row>
    <row r="36803">
      <c r="H36803" t="s">
        <v>5117</v>
      </c>
    </row>
    <row r="36804">
      <c r="H36804" t="s">
        <v>5117</v>
      </c>
    </row>
    <row r="36805">
      <c r="H36805" t="s">
        <v>5117</v>
      </c>
    </row>
    <row r="36806">
      <c r="H36806" t="s">
        <v>5117</v>
      </c>
    </row>
    <row r="36807">
      <c r="H36807" t="s">
        <v>5117</v>
      </c>
    </row>
    <row r="36808">
      <c r="H36808" t="s">
        <v>5117</v>
      </c>
    </row>
    <row r="36809">
      <c r="H36809" t="s">
        <v>5117</v>
      </c>
    </row>
    <row r="36810">
      <c r="H36810" t="s">
        <v>5117</v>
      </c>
    </row>
    <row r="36811">
      <c r="H36811" t="s">
        <v>5117</v>
      </c>
    </row>
    <row r="36812">
      <c r="H36812" t="s">
        <v>5117</v>
      </c>
    </row>
    <row r="36813">
      <c r="H36813" t="s">
        <v>5117</v>
      </c>
    </row>
    <row r="36814">
      <c r="H36814" t="s">
        <v>5117</v>
      </c>
    </row>
    <row r="36815">
      <c r="H36815" t="s">
        <v>5117</v>
      </c>
    </row>
    <row r="36816">
      <c r="H36816" t="s">
        <v>5117</v>
      </c>
    </row>
    <row r="36817">
      <c r="H36817" t="s">
        <v>5117</v>
      </c>
    </row>
    <row r="36818">
      <c r="H36818" t="s">
        <v>5117</v>
      </c>
    </row>
    <row r="36819">
      <c r="H36819" t="s">
        <v>5117</v>
      </c>
    </row>
    <row r="36820">
      <c r="H36820" t="s">
        <v>5117</v>
      </c>
    </row>
    <row r="36821">
      <c r="H36821" t="s">
        <v>5117</v>
      </c>
    </row>
    <row r="36822">
      <c r="H36822" t="s">
        <v>5117</v>
      </c>
    </row>
    <row r="36823">
      <c r="H36823" t="s">
        <v>5117</v>
      </c>
    </row>
    <row r="36824">
      <c r="H36824" t="s">
        <v>5117</v>
      </c>
    </row>
    <row r="36825">
      <c r="H36825" t="s">
        <v>5117</v>
      </c>
    </row>
    <row r="36826">
      <c r="H36826" t="s">
        <v>5117</v>
      </c>
    </row>
    <row r="36827">
      <c r="H36827" t="s">
        <v>5117</v>
      </c>
    </row>
    <row r="36828">
      <c r="H36828" t="s">
        <v>5117</v>
      </c>
    </row>
    <row r="36829">
      <c r="H36829" t="s">
        <v>5117</v>
      </c>
    </row>
    <row r="36830">
      <c r="H36830" t="s">
        <v>5117</v>
      </c>
    </row>
    <row r="36831">
      <c r="H36831" t="s">
        <v>5117</v>
      </c>
    </row>
    <row r="36832">
      <c r="H36832" t="s">
        <v>5117</v>
      </c>
    </row>
    <row r="36833">
      <c r="H36833" t="s">
        <v>5117</v>
      </c>
    </row>
    <row r="36834">
      <c r="H36834" t="s">
        <v>5117</v>
      </c>
    </row>
    <row r="36835">
      <c r="H36835" t="s">
        <v>5117</v>
      </c>
    </row>
    <row r="36836">
      <c r="H36836" t="s">
        <v>5117</v>
      </c>
    </row>
    <row r="36837">
      <c r="H36837" t="s">
        <v>5117</v>
      </c>
    </row>
    <row r="36838">
      <c r="H36838" t="s">
        <v>5117</v>
      </c>
    </row>
    <row r="36839">
      <c r="H36839" t="s">
        <v>5117</v>
      </c>
    </row>
    <row r="36840">
      <c r="H36840" t="s">
        <v>5117</v>
      </c>
    </row>
    <row r="36841">
      <c r="H36841" t="s">
        <v>5117</v>
      </c>
    </row>
    <row r="36842">
      <c r="H36842" t="s">
        <v>5117</v>
      </c>
    </row>
    <row r="36843">
      <c r="H36843" t="s">
        <v>5117</v>
      </c>
    </row>
    <row r="36844">
      <c r="H36844" t="s">
        <v>5117</v>
      </c>
    </row>
    <row r="36845">
      <c r="H36845" t="s">
        <v>5117</v>
      </c>
    </row>
    <row r="36846">
      <c r="H36846" t="s">
        <v>5117</v>
      </c>
    </row>
    <row r="36847">
      <c r="H36847" t="s">
        <v>5117</v>
      </c>
    </row>
    <row r="36848">
      <c r="H36848" t="s">
        <v>5117</v>
      </c>
    </row>
    <row r="36849">
      <c r="H36849" t="s">
        <v>5117</v>
      </c>
    </row>
    <row r="36850">
      <c r="H36850" t="s">
        <v>5117</v>
      </c>
    </row>
    <row r="36851">
      <c r="H36851" t="s">
        <v>5117</v>
      </c>
    </row>
    <row r="36852">
      <c r="H36852" t="s">
        <v>5117</v>
      </c>
    </row>
    <row r="36853">
      <c r="H36853" t="s">
        <v>5117</v>
      </c>
    </row>
    <row r="36854">
      <c r="H36854" t="s">
        <v>5117</v>
      </c>
    </row>
    <row r="36855">
      <c r="H36855" t="s">
        <v>5117</v>
      </c>
    </row>
    <row r="36856">
      <c r="H36856" t="s">
        <v>5117</v>
      </c>
    </row>
    <row r="36857">
      <c r="H36857" t="s">
        <v>5117</v>
      </c>
    </row>
    <row r="36858">
      <c r="H36858" t="s">
        <v>5117</v>
      </c>
    </row>
    <row r="36859">
      <c r="H36859" t="s">
        <v>5117</v>
      </c>
    </row>
    <row r="36860">
      <c r="H36860" t="s">
        <v>5117</v>
      </c>
    </row>
    <row r="36861">
      <c r="H36861" t="s">
        <v>5117</v>
      </c>
    </row>
    <row r="36862">
      <c r="H36862" t="s">
        <v>5117</v>
      </c>
    </row>
    <row r="36863">
      <c r="H36863" t="s">
        <v>5117</v>
      </c>
    </row>
    <row r="36864">
      <c r="H36864" t="s">
        <v>5117</v>
      </c>
    </row>
    <row r="36865">
      <c r="H36865" t="s">
        <v>5117</v>
      </c>
    </row>
    <row r="36866">
      <c r="H36866" t="s">
        <v>5117</v>
      </c>
    </row>
    <row r="36867">
      <c r="H36867" t="s">
        <v>5117</v>
      </c>
    </row>
    <row r="36868">
      <c r="H36868" t="s">
        <v>5117</v>
      </c>
    </row>
    <row r="36869">
      <c r="H36869" t="s">
        <v>5117</v>
      </c>
    </row>
    <row r="36870">
      <c r="H36870" t="s">
        <v>5117</v>
      </c>
    </row>
    <row r="36871">
      <c r="H36871" t="s">
        <v>5117</v>
      </c>
    </row>
    <row r="36872">
      <c r="H36872" t="s">
        <v>5117</v>
      </c>
    </row>
    <row r="36873">
      <c r="H36873" t="s">
        <v>5117</v>
      </c>
    </row>
    <row r="36874">
      <c r="H36874" t="s">
        <v>5117</v>
      </c>
    </row>
    <row r="36875">
      <c r="H36875" t="s">
        <v>5117</v>
      </c>
    </row>
    <row r="36876">
      <c r="H36876" t="s">
        <v>5117</v>
      </c>
    </row>
    <row r="36877">
      <c r="H36877" t="s">
        <v>5117</v>
      </c>
    </row>
    <row r="36878">
      <c r="H36878" t="s">
        <v>5117</v>
      </c>
    </row>
    <row r="36879">
      <c r="H36879" t="s">
        <v>5117</v>
      </c>
    </row>
    <row r="36880">
      <c r="H36880" t="s">
        <v>5117</v>
      </c>
    </row>
    <row r="36881">
      <c r="H36881" t="s">
        <v>5117</v>
      </c>
    </row>
    <row r="36882">
      <c r="H36882" t="s">
        <v>5117</v>
      </c>
    </row>
    <row r="36883">
      <c r="H36883" t="s">
        <v>5117</v>
      </c>
    </row>
    <row r="36884">
      <c r="H36884" t="s">
        <v>5117</v>
      </c>
    </row>
    <row r="36885">
      <c r="H36885" t="s">
        <v>5117</v>
      </c>
    </row>
    <row r="36886">
      <c r="H36886" t="s">
        <v>5117</v>
      </c>
    </row>
    <row r="36887">
      <c r="H36887" t="s">
        <v>5117</v>
      </c>
    </row>
    <row r="36888">
      <c r="H36888" t="s">
        <v>5117</v>
      </c>
    </row>
    <row r="36889">
      <c r="H36889" t="s">
        <v>5117</v>
      </c>
    </row>
    <row r="36890">
      <c r="H36890" t="s">
        <v>5117</v>
      </c>
    </row>
    <row r="36891">
      <c r="H36891" t="s">
        <v>5117</v>
      </c>
    </row>
    <row r="36892">
      <c r="H36892" t="s">
        <v>5117</v>
      </c>
    </row>
    <row r="36893">
      <c r="H36893" t="s">
        <v>5117</v>
      </c>
    </row>
    <row r="36894">
      <c r="H36894" t="s">
        <v>5117</v>
      </c>
    </row>
    <row r="36895">
      <c r="H36895" t="s">
        <v>5117</v>
      </c>
    </row>
    <row r="36896">
      <c r="H36896" t="s">
        <v>5117</v>
      </c>
    </row>
    <row r="36897">
      <c r="H36897" t="s">
        <v>5117</v>
      </c>
    </row>
    <row r="36898">
      <c r="H36898" t="s">
        <v>5117</v>
      </c>
    </row>
    <row r="36899">
      <c r="H36899" t="s">
        <v>5117</v>
      </c>
    </row>
    <row r="36900">
      <c r="H36900" t="s">
        <v>5117</v>
      </c>
    </row>
    <row r="36901">
      <c r="H36901" t="s">
        <v>5117</v>
      </c>
    </row>
    <row r="36902">
      <c r="H36902" t="s">
        <v>5117</v>
      </c>
    </row>
    <row r="36903">
      <c r="H36903" t="s">
        <v>5117</v>
      </c>
    </row>
    <row r="36904">
      <c r="H36904" t="s">
        <v>5117</v>
      </c>
    </row>
    <row r="36905">
      <c r="H36905" t="s">
        <v>5117</v>
      </c>
    </row>
    <row r="36906">
      <c r="H36906" t="s">
        <v>5117</v>
      </c>
    </row>
    <row r="36907">
      <c r="H36907" t="s">
        <v>5117</v>
      </c>
    </row>
    <row r="36908">
      <c r="H36908" t="s">
        <v>5117</v>
      </c>
    </row>
    <row r="36909">
      <c r="H36909" t="s">
        <v>5117</v>
      </c>
    </row>
    <row r="36910">
      <c r="H36910" t="s">
        <v>5117</v>
      </c>
    </row>
    <row r="36911">
      <c r="H36911" t="s">
        <v>5117</v>
      </c>
    </row>
    <row r="36912">
      <c r="H36912" t="s">
        <v>5117</v>
      </c>
    </row>
    <row r="36913">
      <c r="H36913" t="s">
        <v>5117</v>
      </c>
    </row>
    <row r="36914">
      <c r="H36914" t="s">
        <v>5117</v>
      </c>
    </row>
    <row r="36915">
      <c r="H36915" t="s">
        <v>5117</v>
      </c>
    </row>
    <row r="36916">
      <c r="H36916" t="s">
        <v>5117</v>
      </c>
    </row>
    <row r="36917">
      <c r="H36917" t="s">
        <v>5117</v>
      </c>
    </row>
    <row r="36918">
      <c r="H36918" t="s">
        <v>5117</v>
      </c>
    </row>
    <row r="36919">
      <c r="H36919" t="s">
        <v>5117</v>
      </c>
    </row>
    <row r="36920">
      <c r="H36920" t="s">
        <v>5117</v>
      </c>
    </row>
    <row r="36921">
      <c r="H36921" t="s">
        <v>5117</v>
      </c>
    </row>
    <row r="36922">
      <c r="H36922" t="s">
        <v>5117</v>
      </c>
    </row>
    <row r="36923">
      <c r="H36923" t="s">
        <v>5117</v>
      </c>
    </row>
    <row r="36924">
      <c r="H36924" t="s">
        <v>5117</v>
      </c>
    </row>
    <row r="36925">
      <c r="H36925" t="s">
        <v>5117</v>
      </c>
    </row>
    <row r="36926">
      <c r="H36926" t="s">
        <v>5117</v>
      </c>
    </row>
    <row r="36927">
      <c r="H36927" t="s">
        <v>5117</v>
      </c>
    </row>
    <row r="36928">
      <c r="H36928" t="s">
        <v>5117</v>
      </c>
    </row>
    <row r="36929">
      <c r="H36929" t="s">
        <v>5117</v>
      </c>
    </row>
    <row r="36930">
      <c r="H36930" t="s">
        <v>5117</v>
      </c>
    </row>
    <row r="36931">
      <c r="H36931" t="s">
        <v>5117</v>
      </c>
    </row>
    <row r="36932">
      <c r="H36932" t="s">
        <v>5117</v>
      </c>
    </row>
    <row r="36933">
      <c r="H36933" t="s">
        <v>5117</v>
      </c>
    </row>
    <row r="36934">
      <c r="H36934" t="s">
        <v>5117</v>
      </c>
    </row>
    <row r="36935">
      <c r="H36935" t="s">
        <v>5117</v>
      </c>
    </row>
    <row r="36936">
      <c r="H36936" t="s">
        <v>5117</v>
      </c>
    </row>
    <row r="36937">
      <c r="H36937" t="s">
        <v>5117</v>
      </c>
    </row>
    <row r="36938">
      <c r="H36938" t="s">
        <v>5117</v>
      </c>
    </row>
    <row r="36939">
      <c r="H36939" t="s">
        <v>5117</v>
      </c>
    </row>
    <row r="36940">
      <c r="H36940" t="s">
        <v>5117</v>
      </c>
    </row>
    <row r="36941">
      <c r="H36941" t="s">
        <v>5117</v>
      </c>
    </row>
    <row r="36942">
      <c r="H36942" t="s">
        <v>5117</v>
      </c>
    </row>
    <row r="36943">
      <c r="H36943" t="s">
        <v>5117</v>
      </c>
    </row>
    <row r="36944">
      <c r="H36944" t="s">
        <v>5117</v>
      </c>
    </row>
    <row r="36945">
      <c r="H36945" t="s">
        <v>5117</v>
      </c>
    </row>
    <row r="36946">
      <c r="H36946" t="s">
        <v>5117</v>
      </c>
    </row>
    <row r="36947">
      <c r="H36947" t="s">
        <v>5117</v>
      </c>
    </row>
    <row r="36948">
      <c r="H36948" t="s">
        <v>5117</v>
      </c>
    </row>
    <row r="36949">
      <c r="H36949" t="s">
        <v>5117</v>
      </c>
    </row>
    <row r="36950">
      <c r="H36950" t="s">
        <v>5117</v>
      </c>
    </row>
    <row r="36951">
      <c r="H36951" t="s">
        <v>5117</v>
      </c>
    </row>
    <row r="36952">
      <c r="H36952" t="s">
        <v>5117</v>
      </c>
    </row>
    <row r="36953">
      <c r="H36953" t="s">
        <v>5117</v>
      </c>
    </row>
    <row r="36954">
      <c r="H36954" t="s">
        <v>5117</v>
      </c>
    </row>
    <row r="36955">
      <c r="H36955" t="s">
        <v>5117</v>
      </c>
    </row>
    <row r="36956">
      <c r="H36956" t="s">
        <v>5117</v>
      </c>
    </row>
    <row r="36957">
      <c r="H36957" t="s">
        <v>5117</v>
      </c>
    </row>
    <row r="36958">
      <c r="H36958" t="s">
        <v>5117</v>
      </c>
    </row>
    <row r="36959">
      <c r="H36959" t="s">
        <v>5117</v>
      </c>
    </row>
    <row r="36960">
      <c r="H36960" t="s">
        <v>5117</v>
      </c>
    </row>
    <row r="36961">
      <c r="H36961" t="s">
        <v>5117</v>
      </c>
    </row>
    <row r="36962">
      <c r="H36962" t="s">
        <v>5117</v>
      </c>
    </row>
    <row r="36963">
      <c r="H36963" t="s">
        <v>5117</v>
      </c>
    </row>
    <row r="36964">
      <c r="H36964" t="s">
        <v>5117</v>
      </c>
    </row>
    <row r="36965">
      <c r="H36965" t="s">
        <v>5117</v>
      </c>
    </row>
    <row r="36966">
      <c r="H36966" t="s">
        <v>5117</v>
      </c>
    </row>
    <row r="36967">
      <c r="H36967" t="s">
        <v>5117</v>
      </c>
    </row>
    <row r="36968">
      <c r="H36968" t="s">
        <v>5117</v>
      </c>
    </row>
    <row r="36969">
      <c r="H36969" t="s">
        <v>5117</v>
      </c>
    </row>
    <row r="36970">
      <c r="H36970" t="s">
        <v>5117</v>
      </c>
    </row>
    <row r="36971">
      <c r="H36971" t="s">
        <v>5117</v>
      </c>
    </row>
    <row r="36972">
      <c r="H36972" t="s">
        <v>5117</v>
      </c>
    </row>
    <row r="36973">
      <c r="H36973" t="s">
        <v>5117</v>
      </c>
    </row>
    <row r="36974">
      <c r="H36974" t="s">
        <v>5117</v>
      </c>
    </row>
    <row r="36975">
      <c r="H36975" t="s">
        <v>5117</v>
      </c>
    </row>
    <row r="36976">
      <c r="H36976" t="s">
        <v>5117</v>
      </c>
    </row>
    <row r="36977">
      <c r="H36977" t="s">
        <v>5117</v>
      </c>
    </row>
    <row r="36978">
      <c r="H36978" t="s">
        <v>5117</v>
      </c>
    </row>
    <row r="36979">
      <c r="H36979" t="s">
        <v>5117</v>
      </c>
    </row>
    <row r="36980">
      <c r="H36980" t="s">
        <v>5117</v>
      </c>
    </row>
    <row r="36981">
      <c r="H36981" t="s">
        <v>5117</v>
      </c>
    </row>
    <row r="36982">
      <c r="H36982" t="s">
        <v>5117</v>
      </c>
    </row>
    <row r="36983">
      <c r="H36983" t="s">
        <v>5117</v>
      </c>
    </row>
    <row r="36984">
      <c r="H36984" t="s">
        <v>5117</v>
      </c>
    </row>
    <row r="36985">
      <c r="H36985" t="s">
        <v>5117</v>
      </c>
    </row>
    <row r="36986">
      <c r="H36986" t="s">
        <v>5117</v>
      </c>
    </row>
    <row r="36987">
      <c r="H36987" t="s">
        <v>5117</v>
      </c>
    </row>
    <row r="36988">
      <c r="H36988" t="s">
        <v>5117</v>
      </c>
    </row>
    <row r="36989">
      <c r="H36989" t="s">
        <v>5117</v>
      </c>
    </row>
    <row r="36990">
      <c r="H36990" t="s">
        <v>5117</v>
      </c>
    </row>
    <row r="36991">
      <c r="H36991" t="s">
        <v>5117</v>
      </c>
    </row>
    <row r="36992">
      <c r="H36992" t="s">
        <v>5117</v>
      </c>
    </row>
    <row r="36993">
      <c r="H36993" t="s">
        <v>5117</v>
      </c>
    </row>
    <row r="36994">
      <c r="H36994" t="s">
        <v>5117</v>
      </c>
    </row>
    <row r="36995">
      <c r="H36995" t="s">
        <v>5117</v>
      </c>
    </row>
    <row r="36996">
      <c r="H36996" t="s">
        <v>5117</v>
      </c>
    </row>
    <row r="36997">
      <c r="H36997" t="s">
        <v>5117</v>
      </c>
    </row>
    <row r="36998">
      <c r="H36998" t="s">
        <v>5117</v>
      </c>
    </row>
    <row r="36999">
      <c r="H36999" t="s">
        <v>5117</v>
      </c>
    </row>
    <row r="37000">
      <c r="H37000" t="s">
        <v>5117</v>
      </c>
    </row>
    <row r="37001">
      <c r="H37001" t="s">
        <v>5117</v>
      </c>
    </row>
    <row r="37002">
      <c r="H37002" t="s">
        <v>5117</v>
      </c>
    </row>
    <row r="37003">
      <c r="H37003" t="s">
        <v>5117</v>
      </c>
    </row>
    <row r="37004">
      <c r="H37004" t="s">
        <v>5117</v>
      </c>
    </row>
    <row r="37005">
      <c r="H37005" t="s">
        <v>5117</v>
      </c>
    </row>
    <row r="37006">
      <c r="H37006" t="s">
        <v>5117</v>
      </c>
    </row>
    <row r="37007">
      <c r="H37007" t="s">
        <v>5117</v>
      </c>
    </row>
    <row r="37008">
      <c r="H37008" t="s">
        <v>5117</v>
      </c>
    </row>
    <row r="37009">
      <c r="H37009" t="s">
        <v>5117</v>
      </c>
    </row>
    <row r="37010">
      <c r="H37010" t="s">
        <v>5117</v>
      </c>
    </row>
    <row r="37011">
      <c r="H37011" t="s">
        <v>5117</v>
      </c>
    </row>
    <row r="37012">
      <c r="H37012" t="s">
        <v>5117</v>
      </c>
    </row>
    <row r="37013">
      <c r="H37013" t="s">
        <v>5117</v>
      </c>
    </row>
    <row r="37014">
      <c r="H37014" t="s">
        <v>5117</v>
      </c>
    </row>
    <row r="37015">
      <c r="H37015" t="s">
        <v>5117</v>
      </c>
    </row>
    <row r="37016">
      <c r="H37016" t="s">
        <v>5117</v>
      </c>
    </row>
    <row r="37017">
      <c r="H37017" t="s">
        <v>5117</v>
      </c>
    </row>
    <row r="37018">
      <c r="H37018" t="s">
        <v>5117</v>
      </c>
    </row>
    <row r="37019">
      <c r="H37019" t="s">
        <v>5117</v>
      </c>
    </row>
    <row r="37020">
      <c r="H37020" t="s">
        <v>5117</v>
      </c>
    </row>
    <row r="37021">
      <c r="H37021" t="s">
        <v>5117</v>
      </c>
    </row>
    <row r="37022">
      <c r="H37022" t="s">
        <v>5117</v>
      </c>
    </row>
    <row r="37023">
      <c r="H37023" t="s">
        <v>5117</v>
      </c>
    </row>
    <row r="37024">
      <c r="H37024" t="s">
        <v>5117</v>
      </c>
    </row>
    <row r="37025">
      <c r="H37025" t="s">
        <v>5117</v>
      </c>
    </row>
    <row r="37026">
      <c r="H37026" t="s">
        <v>5117</v>
      </c>
    </row>
    <row r="37027">
      <c r="H37027" t="s">
        <v>5117</v>
      </c>
    </row>
    <row r="37028">
      <c r="H37028" t="s">
        <v>5117</v>
      </c>
    </row>
    <row r="37029">
      <c r="H37029" t="s">
        <v>5117</v>
      </c>
    </row>
    <row r="37030">
      <c r="H37030" t="s">
        <v>5117</v>
      </c>
    </row>
    <row r="37031">
      <c r="H37031" t="s">
        <v>5117</v>
      </c>
    </row>
    <row r="37032">
      <c r="H37032" t="s">
        <v>5117</v>
      </c>
    </row>
    <row r="37033">
      <c r="H37033" t="s">
        <v>5117</v>
      </c>
    </row>
    <row r="37034">
      <c r="H37034" t="s">
        <v>5117</v>
      </c>
    </row>
    <row r="37035">
      <c r="H37035" t="s">
        <v>5117</v>
      </c>
    </row>
    <row r="37036">
      <c r="H37036" t="s">
        <v>5117</v>
      </c>
    </row>
    <row r="37037">
      <c r="H37037" t="s">
        <v>5117</v>
      </c>
    </row>
    <row r="37038">
      <c r="H37038" t="s">
        <v>5117</v>
      </c>
    </row>
    <row r="37039">
      <c r="H37039" t="s">
        <v>5117</v>
      </c>
    </row>
    <row r="37040">
      <c r="H37040" t="s">
        <v>5117</v>
      </c>
    </row>
    <row r="37041">
      <c r="H37041" t="s">
        <v>5117</v>
      </c>
    </row>
    <row r="37042">
      <c r="H37042" t="s">
        <v>5117</v>
      </c>
    </row>
    <row r="37043">
      <c r="H37043" t="s">
        <v>5117</v>
      </c>
    </row>
    <row r="37044">
      <c r="H37044" t="s">
        <v>5117</v>
      </c>
    </row>
    <row r="37045">
      <c r="H37045" t="s">
        <v>5117</v>
      </c>
    </row>
    <row r="37046">
      <c r="H37046" t="s">
        <v>5117</v>
      </c>
    </row>
    <row r="37047">
      <c r="H37047" t="s">
        <v>5117</v>
      </c>
    </row>
    <row r="37048">
      <c r="H37048" t="s">
        <v>5117</v>
      </c>
    </row>
    <row r="37049">
      <c r="H37049" t="s">
        <v>5117</v>
      </c>
    </row>
    <row r="37050">
      <c r="H37050" t="s">
        <v>5117</v>
      </c>
    </row>
    <row r="37051">
      <c r="H37051" t="s">
        <v>5117</v>
      </c>
    </row>
    <row r="37052">
      <c r="H37052" t="s">
        <v>5117</v>
      </c>
    </row>
    <row r="37053">
      <c r="H37053" t="s">
        <v>5117</v>
      </c>
    </row>
    <row r="37054">
      <c r="H37054" t="s">
        <v>5117</v>
      </c>
    </row>
    <row r="37055">
      <c r="H37055" t="s">
        <v>5117</v>
      </c>
    </row>
    <row r="37056">
      <c r="H37056" t="s">
        <v>5117</v>
      </c>
    </row>
    <row r="37057">
      <c r="H37057" t="s">
        <v>5117</v>
      </c>
    </row>
    <row r="37058">
      <c r="H37058" t="s">
        <v>5117</v>
      </c>
    </row>
    <row r="37059">
      <c r="H37059" t="s">
        <v>5117</v>
      </c>
    </row>
    <row r="37060">
      <c r="H37060" t="s">
        <v>5117</v>
      </c>
    </row>
    <row r="37061">
      <c r="H37061" t="s">
        <v>5117</v>
      </c>
    </row>
    <row r="37062">
      <c r="H37062" t="s">
        <v>5117</v>
      </c>
    </row>
    <row r="37063">
      <c r="H37063" t="s">
        <v>5117</v>
      </c>
    </row>
    <row r="37064">
      <c r="H37064" t="s">
        <v>5117</v>
      </c>
    </row>
    <row r="37065">
      <c r="H37065" t="s">
        <v>5117</v>
      </c>
    </row>
    <row r="37066">
      <c r="H37066" t="s">
        <v>5117</v>
      </c>
    </row>
    <row r="37067">
      <c r="H37067" t="s">
        <v>5117</v>
      </c>
    </row>
    <row r="37068">
      <c r="H37068" t="s">
        <v>5117</v>
      </c>
    </row>
    <row r="37069">
      <c r="H37069" t="s">
        <v>5117</v>
      </c>
    </row>
    <row r="37070">
      <c r="H37070" t="s">
        <v>5117</v>
      </c>
    </row>
    <row r="37071">
      <c r="H37071" t="s">
        <v>5117</v>
      </c>
    </row>
    <row r="37072">
      <c r="H37072" t="s">
        <v>5117</v>
      </c>
    </row>
    <row r="37073">
      <c r="H37073" t="s">
        <v>5117</v>
      </c>
    </row>
    <row r="37074">
      <c r="H37074" t="s">
        <v>5117</v>
      </c>
    </row>
    <row r="37075">
      <c r="H37075" t="s">
        <v>5117</v>
      </c>
    </row>
    <row r="37076">
      <c r="H37076" t="s">
        <v>5117</v>
      </c>
    </row>
    <row r="37077">
      <c r="H37077" t="s">
        <v>5117</v>
      </c>
    </row>
    <row r="37078">
      <c r="H37078" t="s">
        <v>5117</v>
      </c>
    </row>
    <row r="37079">
      <c r="H37079" t="s">
        <v>5117</v>
      </c>
    </row>
    <row r="37080">
      <c r="H37080" t="s">
        <v>5117</v>
      </c>
    </row>
    <row r="37081">
      <c r="H37081" t="s">
        <v>5117</v>
      </c>
    </row>
    <row r="37082">
      <c r="H37082" t="s">
        <v>5117</v>
      </c>
    </row>
    <row r="37083">
      <c r="H37083" t="s">
        <v>5117</v>
      </c>
    </row>
    <row r="37084">
      <c r="H37084" t="s">
        <v>5117</v>
      </c>
    </row>
    <row r="37085">
      <c r="H37085" t="s">
        <v>5117</v>
      </c>
    </row>
    <row r="37086">
      <c r="H37086" t="s">
        <v>5117</v>
      </c>
    </row>
    <row r="37087">
      <c r="H37087" t="s">
        <v>5117</v>
      </c>
    </row>
    <row r="37088">
      <c r="H37088" t="s">
        <v>5117</v>
      </c>
    </row>
    <row r="37089">
      <c r="H37089" t="s">
        <v>5117</v>
      </c>
    </row>
    <row r="37090">
      <c r="H37090" t="s">
        <v>5117</v>
      </c>
    </row>
    <row r="37091">
      <c r="H37091" t="s">
        <v>5117</v>
      </c>
    </row>
    <row r="37092">
      <c r="H37092" t="s">
        <v>5117</v>
      </c>
    </row>
    <row r="37093">
      <c r="H37093" t="s">
        <v>5117</v>
      </c>
    </row>
    <row r="37094">
      <c r="H37094" t="s">
        <v>5117</v>
      </c>
    </row>
    <row r="37095">
      <c r="H37095" t="s">
        <v>5117</v>
      </c>
    </row>
    <row r="37096">
      <c r="H37096" t="s">
        <v>5117</v>
      </c>
    </row>
    <row r="37097">
      <c r="H37097" t="s">
        <v>5117</v>
      </c>
    </row>
    <row r="37098">
      <c r="H37098" t="s">
        <v>5117</v>
      </c>
    </row>
    <row r="37099">
      <c r="H37099" t="s">
        <v>5117</v>
      </c>
    </row>
    <row r="37100">
      <c r="H37100" t="s">
        <v>5117</v>
      </c>
    </row>
    <row r="37101">
      <c r="H37101" t="s">
        <v>5117</v>
      </c>
    </row>
    <row r="37102">
      <c r="H37102" t="s">
        <v>5117</v>
      </c>
    </row>
    <row r="37103">
      <c r="H37103" t="s">
        <v>5117</v>
      </c>
    </row>
    <row r="37104">
      <c r="H37104" t="s">
        <v>5117</v>
      </c>
    </row>
    <row r="37105">
      <c r="H37105" t="s">
        <v>5117</v>
      </c>
    </row>
    <row r="37106">
      <c r="H37106" t="s">
        <v>5117</v>
      </c>
    </row>
    <row r="37107">
      <c r="H37107" t="s">
        <v>5117</v>
      </c>
    </row>
    <row r="37108">
      <c r="H37108" t="s">
        <v>5117</v>
      </c>
    </row>
    <row r="37109">
      <c r="H37109" t="s">
        <v>5117</v>
      </c>
    </row>
    <row r="37110">
      <c r="H37110" t="s">
        <v>5117</v>
      </c>
    </row>
    <row r="37111">
      <c r="H37111" t="s">
        <v>5117</v>
      </c>
    </row>
    <row r="37112">
      <c r="H37112" t="s">
        <v>5117</v>
      </c>
    </row>
    <row r="37113">
      <c r="H37113" t="s">
        <v>5117</v>
      </c>
    </row>
    <row r="37114">
      <c r="H37114" t="s">
        <v>5117</v>
      </c>
    </row>
    <row r="37115">
      <c r="H37115" t="s">
        <v>5117</v>
      </c>
    </row>
    <row r="37116">
      <c r="H37116" t="s">
        <v>5117</v>
      </c>
    </row>
    <row r="37117">
      <c r="H37117" t="s">
        <v>5117</v>
      </c>
    </row>
    <row r="37118">
      <c r="H37118" t="s">
        <v>5117</v>
      </c>
    </row>
    <row r="37119">
      <c r="H37119" t="s">
        <v>5117</v>
      </c>
    </row>
    <row r="37120">
      <c r="H37120" t="s">
        <v>5117</v>
      </c>
    </row>
    <row r="37121">
      <c r="H37121" t="s">
        <v>5117</v>
      </c>
    </row>
    <row r="37122">
      <c r="H37122" t="s">
        <v>5117</v>
      </c>
    </row>
    <row r="37123">
      <c r="H37123" t="s">
        <v>5117</v>
      </c>
    </row>
    <row r="37124">
      <c r="H37124" t="s">
        <v>5117</v>
      </c>
    </row>
    <row r="37125">
      <c r="H37125" t="s">
        <v>5117</v>
      </c>
    </row>
    <row r="37126">
      <c r="H37126" t="s">
        <v>5117</v>
      </c>
    </row>
    <row r="37127">
      <c r="H37127" t="s">
        <v>5117</v>
      </c>
    </row>
    <row r="37128">
      <c r="H37128" t="s">
        <v>5117</v>
      </c>
    </row>
    <row r="37129">
      <c r="H37129" t="s">
        <v>5117</v>
      </c>
    </row>
    <row r="37130">
      <c r="H37130" t="s">
        <v>5117</v>
      </c>
    </row>
    <row r="37131">
      <c r="H37131" t="s">
        <v>5117</v>
      </c>
    </row>
    <row r="37132">
      <c r="H37132" t="s">
        <v>5117</v>
      </c>
    </row>
    <row r="37133">
      <c r="H37133" t="s">
        <v>5117</v>
      </c>
    </row>
    <row r="37134">
      <c r="H37134" t="s">
        <v>5117</v>
      </c>
    </row>
    <row r="37135">
      <c r="H37135" t="s">
        <v>5117</v>
      </c>
    </row>
    <row r="37136">
      <c r="H37136" t="s">
        <v>5117</v>
      </c>
    </row>
    <row r="37137">
      <c r="H37137" t="s">
        <v>5117</v>
      </c>
    </row>
    <row r="37138">
      <c r="H37138" t="s">
        <v>5117</v>
      </c>
    </row>
    <row r="37139">
      <c r="H37139" t="s">
        <v>5117</v>
      </c>
    </row>
    <row r="37140">
      <c r="H37140" t="s">
        <v>5117</v>
      </c>
    </row>
    <row r="37141">
      <c r="H37141" t="s">
        <v>5117</v>
      </c>
    </row>
    <row r="37142">
      <c r="H37142" t="s">
        <v>5117</v>
      </c>
    </row>
    <row r="37143">
      <c r="H37143" t="s">
        <v>5117</v>
      </c>
    </row>
    <row r="37144">
      <c r="H37144" t="s">
        <v>5117</v>
      </c>
    </row>
    <row r="37145">
      <c r="H37145" t="s">
        <v>5117</v>
      </c>
    </row>
    <row r="37146">
      <c r="H37146" t="s">
        <v>5117</v>
      </c>
    </row>
    <row r="37147">
      <c r="H37147" t="s">
        <v>5117</v>
      </c>
    </row>
    <row r="37148">
      <c r="H37148" t="s">
        <v>5117</v>
      </c>
    </row>
    <row r="37149">
      <c r="H37149" t="s">
        <v>5117</v>
      </c>
    </row>
    <row r="37150">
      <c r="H37150" t="s">
        <v>5117</v>
      </c>
    </row>
    <row r="37151">
      <c r="H37151" t="s">
        <v>5117</v>
      </c>
    </row>
    <row r="37152">
      <c r="H37152" t="s">
        <v>5117</v>
      </c>
    </row>
    <row r="37153">
      <c r="H37153" t="s">
        <v>5117</v>
      </c>
    </row>
    <row r="37154">
      <c r="H37154" t="s">
        <v>5117</v>
      </c>
    </row>
    <row r="37155">
      <c r="H37155" t="s">
        <v>5117</v>
      </c>
    </row>
    <row r="37156">
      <c r="H37156" t="s">
        <v>5117</v>
      </c>
    </row>
    <row r="37157">
      <c r="H37157" t="s">
        <v>5117</v>
      </c>
    </row>
    <row r="37158">
      <c r="H37158" t="s">
        <v>5117</v>
      </c>
    </row>
    <row r="37159">
      <c r="H37159" t="s">
        <v>5117</v>
      </c>
    </row>
    <row r="37160">
      <c r="H37160" t="s">
        <v>5117</v>
      </c>
    </row>
    <row r="37161">
      <c r="H37161" t="s">
        <v>5117</v>
      </c>
    </row>
    <row r="37162">
      <c r="H37162" t="s">
        <v>5117</v>
      </c>
    </row>
    <row r="37163">
      <c r="H37163" t="s">
        <v>5117</v>
      </c>
    </row>
    <row r="37164">
      <c r="H37164" t="s">
        <v>5117</v>
      </c>
    </row>
    <row r="37165">
      <c r="H37165" t="s">
        <v>5117</v>
      </c>
    </row>
    <row r="37166">
      <c r="H37166" t="s">
        <v>5117</v>
      </c>
    </row>
    <row r="37167">
      <c r="H37167" t="s">
        <v>5117</v>
      </c>
    </row>
    <row r="37168">
      <c r="H37168" t="s">
        <v>5117</v>
      </c>
    </row>
    <row r="37169">
      <c r="H37169" t="s">
        <v>5117</v>
      </c>
    </row>
    <row r="37170">
      <c r="H37170" t="s">
        <v>5117</v>
      </c>
    </row>
    <row r="37171">
      <c r="H37171" t="s">
        <v>5117</v>
      </c>
    </row>
    <row r="37172">
      <c r="H37172" t="s">
        <v>5117</v>
      </c>
    </row>
    <row r="37173">
      <c r="H37173" t="s">
        <v>5117</v>
      </c>
    </row>
    <row r="37174">
      <c r="H37174" t="s">
        <v>5117</v>
      </c>
    </row>
    <row r="37175">
      <c r="H37175" t="s">
        <v>5117</v>
      </c>
    </row>
    <row r="37176">
      <c r="H37176" t="s">
        <v>5117</v>
      </c>
    </row>
    <row r="37177">
      <c r="H37177" t="s">
        <v>5117</v>
      </c>
    </row>
    <row r="37178">
      <c r="H37178" t="s">
        <v>5117</v>
      </c>
    </row>
    <row r="37179">
      <c r="H37179" t="s">
        <v>5117</v>
      </c>
    </row>
    <row r="37180">
      <c r="H37180" t="s">
        <v>5117</v>
      </c>
    </row>
    <row r="37181">
      <c r="H37181" t="s">
        <v>5117</v>
      </c>
    </row>
    <row r="37182">
      <c r="H37182" t="s">
        <v>5117</v>
      </c>
    </row>
    <row r="37183">
      <c r="H37183" t="s">
        <v>5117</v>
      </c>
    </row>
    <row r="37184">
      <c r="H37184" t="s">
        <v>5117</v>
      </c>
    </row>
    <row r="37185">
      <c r="H37185" t="s">
        <v>5117</v>
      </c>
    </row>
    <row r="37186">
      <c r="H37186" t="s">
        <v>5117</v>
      </c>
    </row>
    <row r="37187">
      <c r="H37187" t="s">
        <v>5117</v>
      </c>
    </row>
    <row r="37188">
      <c r="H37188" t="s">
        <v>5117</v>
      </c>
    </row>
    <row r="37189">
      <c r="H37189" t="s">
        <v>5117</v>
      </c>
    </row>
    <row r="37190">
      <c r="H37190" t="s">
        <v>5117</v>
      </c>
    </row>
    <row r="37191">
      <c r="H37191" t="s">
        <v>5117</v>
      </c>
    </row>
    <row r="37192">
      <c r="H37192" t="s">
        <v>5117</v>
      </c>
    </row>
    <row r="37193">
      <c r="H37193" t="s">
        <v>5117</v>
      </c>
    </row>
    <row r="37194">
      <c r="H37194" t="s">
        <v>5117</v>
      </c>
    </row>
    <row r="37195">
      <c r="H37195" t="s">
        <v>5117</v>
      </c>
    </row>
    <row r="37196">
      <c r="H37196" t="s">
        <v>5117</v>
      </c>
    </row>
    <row r="37197">
      <c r="H37197" t="s">
        <v>5117</v>
      </c>
    </row>
    <row r="37198">
      <c r="H37198" t="s">
        <v>5117</v>
      </c>
    </row>
    <row r="37199">
      <c r="H37199" t="s">
        <v>5117</v>
      </c>
    </row>
    <row r="37200">
      <c r="H37200" t="s">
        <v>5117</v>
      </c>
    </row>
    <row r="37201">
      <c r="H37201" t="s">
        <v>5117</v>
      </c>
    </row>
    <row r="37202">
      <c r="H37202" t="s">
        <v>5117</v>
      </c>
    </row>
    <row r="37203">
      <c r="H37203" t="s">
        <v>5117</v>
      </c>
    </row>
    <row r="37204">
      <c r="H37204" t="s">
        <v>5117</v>
      </c>
    </row>
    <row r="37205">
      <c r="H37205" t="s">
        <v>5117</v>
      </c>
    </row>
    <row r="37206">
      <c r="H37206" t="s">
        <v>5117</v>
      </c>
    </row>
    <row r="37207">
      <c r="H37207" t="s">
        <v>5117</v>
      </c>
    </row>
    <row r="37208">
      <c r="H37208" t="s">
        <v>5117</v>
      </c>
    </row>
    <row r="37209">
      <c r="H37209" t="s">
        <v>5117</v>
      </c>
    </row>
    <row r="37210">
      <c r="H37210" t="s">
        <v>5117</v>
      </c>
    </row>
    <row r="37211">
      <c r="H37211" t="s">
        <v>5117</v>
      </c>
    </row>
    <row r="37212">
      <c r="H37212" t="s">
        <v>5117</v>
      </c>
    </row>
    <row r="37213">
      <c r="H37213" t="s">
        <v>5117</v>
      </c>
    </row>
    <row r="37214">
      <c r="H37214" t="s">
        <v>5117</v>
      </c>
    </row>
    <row r="37215">
      <c r="H37215" t="s">
        <v>5117</v>
      </c>
    </row>
    <row r="37216">
      <c r="H37216" t="s">
        <v>5117</v>
      </c>
    </row>
    <row r="37217">
      <c r="H37217" t="s">
        <v>5117</v>
      </c>
    </row>
    <row r="37218">
      <c r="H37218" t="s">
        <v>5117</v>
      </c>
    </row>
    <row r="37219">
      <c r="H37219" t="s">
        <v>5117</v>
      </c>
    </row>
    <row r="37220">
      <c r="H37220" t="s">
        <v>5117</v>
      </c>
    </row>
    <row r="37221">
      <c r="H37221" t="s">
        <v>5117</v>
      </c>
    </row>
    <row r="37222">
      <c r="H37222" t="s">
        <v>5117</v>
      </c>
    </row>
    <row r="37223">
      <c r="H37223" t="s">
        <v>5117</v>
      </c>
    </row>
    <row r="37224">
      <c r="H37224" t="s">
        <v>5117</v>
      </c>
    </row>
    <row r="37225">
      <c r="H37225" t="s">
        <v>5117</v>
      </c>
    </row>
    <row r="37226">
      <c r="H37226" t="s">
        <v>5117</v>
      </c>
    </row>
    <row r="37227">
      <c r="H37227" t="s">
        <v>5117</v>
      </c>
    </row>
    <row r="37228">
      <c r="H37228" t="s">
        <v>5117</v>
      </c>
    </row>
    <row r="37229">
      <c r="H37229" t="s">
        <v>5117</v>
      </c>
    </row>
    <row r="37230">
      <c r="H37230" t="s">
        <v>5117</v>
      </c>
    </row>
    <row r="37231">
      <c r="H37231" t="s">
        <v>5117</v>
      </c>
    </row>
    <row r="37232">
      <c r="H37232" t="s">
        <v>5117</v>
      </c>
    </row>
    <row r="37233">
      <c r="H37233" t="s">
        <v>5117</v>
      </c>
    </row>
    <row r="37234">
      <c r="H37234" t="s">
        <v>5117</v>
      </c>
    </row>
    <row r="37235">
      <c r="H37235" t="s">
        <v>5117</v>
      </c>
    </row>
    <row r="37236">
      <c r="H37236" t="s">
        <v>5117</v>
      </c>
    </row>
    <row r="37237">
      <c r="H37237" t="s">
        <v>5117</v>
      </c>
    </row>
    <row r="37238">
      <c r="H37238" t="s">
        <v>5117</v>
      </c>
    </row>
    <row r="37239">
      <c r="H37239" t="s">
        <v>5117</v>
      </c>
    </row>
    <row r="37240">
      <c r="H37240" t="s">
        <v>5117</v>
      </c>
    </row>
    <row r="37241">
      <c r="H37241" t="s">
        <v>5117</v>
      </c>
    </row>
    <row r="37242">
      <c r="H37242" t="s">
        <v>5117</v>
      </c>
    </row>
    <row r="37243">
      <c r="H37243" t="s">
        <v>5117</v>
      </c>
    </row>
    <row r="37244">
      <c r="H37244" t="s">
        <v>5117</v>
      </c>
    </row>
    <row r="37245">
      <c r="H37245" t="s">
        <v>5117</v>
      </c>
    </row>
    <row r="37246">
      <c r="H37246" t="s">
        <v>5117</v>
      </c>
    </row>
    <row r="37247">
      <c r="H37247" t="s">
        <v>5117</v>
      </c>
    </row>
    <row r="37248">
      <c r="H37248" t="s">
        <v>5117</v>
      </c>
    </row>
    <row r="37249">
      <c r="H37249" t="s">
        <v>5117</v>
      </c>
    </row>
    <row r="37250">
      <c r="H37250" t="s">
        <v>5117</v>
      </c>
    </row>
    <row r="37251">
      <c r="H37251" t="s">
        <v>5117</v>
      </c>
    </row>
    <row r="37252">
      <c r="H37252" t="s">
        <v>5117</v>
      </c>
    </row>
    <row r="37253">
      <c r="H37253" t="s">
        <v>5117</v>
      </c>
    </row>
    <row r="37254">
      <c r="H37254" t="s">
        <v>5117</v>
      </c>
    </row>
    <row r="37255">
      <c r="H37255" t="s">
        <v>5117</v>
      </c>
    </row>
    <row r="37256">
      <c r="H37256" t="s">
        <v>5117</v>
      </c>
    </row>
    <row r="37257">
      <c r="H37257" t="s">
        <v>5117</v>
      </c>
    </row>
    <row r="37258">
      <c r="H37258" t="s">
        <v>5117</v>
      </c>
    </row>
    <row r="37259">
      <c r="H37259" t="s">
        <v>5117</v>
      </c>
    </row>
    <row r="37260">
      <c r="H37260" t="s">
        <v>5117</v>
      </c>
    </row>
    <row r="37261">
      <c r="H37261" t="s">
        <v>5117</v>
      </c>
    </row>
    <row r="37262">
      <c r="H37262" t="s">
        <v>5117</v>
      </c>
    </row>
    <row r="37263">
      <c r="H37263" t="s">
        <v>5117</v>
      </c>
    </row>
    <row r="37264">
      <c r="H37264" t="s">
        <v>5117</v>
      </c>
    </row>
    <row r="37265">
      <c r="H37265" t="s">
        <v>5117</v>
      </c>
    </row>
    <row r="37266">
      <c r="H37266" t="s">
        <v>5117</v>
      </c>
    </row>
    <row r="37267">
      <c r="H37267" t="s">
        <v>5117</v>
      </c>
    </row>
    <row r="37268">
      <c r="H37268" t="s">
        <v>5117</v>
      </c>
    </row>
    <row r="37269">
      <c r="H37269" t="s">
        <v>5117</v>
      </c>
    </row>
    <row r="37270">
      <c r="H37270" t="s">
        <v>5117</v>
      </c>
    </row>
    <row r="37271">
      <c r="H37271" t="s">
        <v>5117</v>
      </c>
    </row>
    <row r="37272">
      <c r="H37272" t="s">
        <v>5117</v>
      </c>
    </row>
    <row r="37273">
      <c r="H37273" t="s">
        <v>5117</v>
      </c>
    </row>
    <row r="37274">
      <c r="H37274" t="s">
        <v>5117</v>
      </c>
    </row>
    <row r="37275">
      <c r="H37275" t="s">
        <v>5117</v>
      </c>
    </row>
    <row r="37276">
      <c r="H37276" t="s">
        <v>5117</v>
      </c>
    </row>
    <row r="37277">
      <c r="H37277" t="s">
        <v>5117</v>
      </c>
    </row>
    <row r="37278">
      <c r="H37278" t="s">
        <v>5117</v>
      </c>
    </row>
    <row r="37279">
      <c r="H37279" t="s">
        <v>5117</v>
      </c>
    </row>
    <row r="37280">
      <c r="H37280" t="s">
        <v>5117</v>
      </c>
    </row>
    <row r="37281">
      <c r="H37281" t="s">
        <v>5117</v>
      </c>
    </row>
    <row r="37282">
      <c r="H37282" t="s">
        <v>5117</v>
      </c>
    </row>
    <row r="37283">
      <c r="H37283" t="s">
        <v>5117</v>
      </c>
    </row>
    <row r="37284">
      <c r="H37284" t="s">
        <v>5117</v>
      </c>
    </row>
    <row r="37285">
      <c r="H37285" t="s">
        <v>5117</v>
      </c>
    </row>
    <row r="37286">
      <c r="H37286" t="s">
        <v>5117</v>
      </c>
    </row>
    <row r="37287">
      <c r="H37287" t="s">
        <v>5117</v>
      </c>
    </row>
    <row r="37288">
      <c r="H37288" t="s">
        <v>5117</v>
      </c>
    </row>
    <row r="37289">
      <c r="H37289" t="s">
        <v>5117</v>
      </c>
    </row>
    <row r="37290">
      <c r="H37290" t="s">
        <v>5117</v>
      </c>
    </row>
    <row r="37291">
      <c r="H37291" t="s">
        <v>5117</v>
      </c>
    </row>
    <row r="37292">
      <c r="H37292" t="s">
        <v>5117</v>
      </c>
    </row>
    <row r="37293">
      <c r="H37293" t="s">
        <v>5117</v>
      </c>
    </row>
    <row r="37294">
      <c r="H37294" t="s">
        <v>5117</v>
      </c>
    </row>
    <row r="37295">
      <c r="H37295" t="s">
        <v>5117</v>
      </c>
    </row>
    <row r="37296">
      <c r="H37296" t="s">
        <v>5117</v>
      </c>
    </row>
    <row r="37297">
      <c r="H37297" t="s">
        <v>5117</v>
      </c>
    </row>
    <row r="37298">
      <c r="H37298" t="s">
        <v>5117</v>
      </c>
    </row>
    <row r="37299">
      <c r="H37299" t="s">
        <v>5117</v>
      </c>
    </row>
    <row r="37300">
      <c r="H37300" t="s">
        <v>5117</v>
      </c>
    </row>
    <row r="37301">
      <c r="H37301" t="s">
        <v>5117</v>
      </c>
    </row>
    <row r="37302">
      <c r="H37302" t="s">
        <v>5117</v>
      </c>
    </row>
    <row r="37303">
      <c r="H37303" t="s">
        <v>5117</v>
      </c>
    </row>
    <row r="37304">
      <c r="H37304" t="s">
        <v>5117</v>
      </c>
    </row>
    <row r="37305">
      <c r="H37305" t="s">
        <v>5117</v>
      </c>
    </row>
    <row r="37306">
      <c r="H37306" t="s">
        <v>5117</v>
      </c>
    </row>
    <row r="37307">
      <c r="H37307" t="s">
        <v>5117</v>
      </c>
    </row>
    <row r="37308">
      <c r="H37308" t="s">
        <v>5117</v>
      </c>
    </row>
    <row r="37309">
      <c r="H37309" t="s">
        <v>5117</v>
      </c>
    </row>
    <row r="37310">
      <c r="H37310" t="s">
        <v>5117</v>
      </c>
    </row>
    <row r="37311">
      <c r="H37311" t="s">
        <v>5117</v>
      </c>
    </row>
    <row r="37312">
      <c r="H37312" t="s">
        <v>5117</v>
      </c>
    </row>
    <row r="37313">
      <c r="H37313" t="s">
        <v>5117</v>
      </c>
    </row>
    <row r="37314">
      <c r="H37314" t="s">
        <v>5117</v>
      </c>
    </row>
    <row r="37315">
      <c r="H37315" t="s">
        <v>5117</v>
      </c>
    </row>
    <row r="37316">
      <c r="H37316" t="s">
        <v>5117</v>
      </c>
    </row>
    <row r="37317">
      <c r="H37317" t="s">
        <v>5117</v>
      </c>
    </row>
    <row r="37318">
      <c r="H37318" t="s">
        <v>5117</v>
      </c>
    </row>
    <row r="37319">
      <c r="H37319" t="s">
        <v>5117</v>
      </c>
    </row>
    <row r="37320">
      <c r="H37320" t="s">
        <v>5117</v>
      </c>
    </row>
    <row r="37321">
      <c r="H37321" t="s">
        <v>5117</v>
      </c>
    </row>
    <row r="37322">
      <c r="H37322" t="s">
        <v>5117</v>
      </c>
    </row>
    <row r="37323">
      <c r="H37323" t="s">
        <v>5117</v>
      </c>
    </row>
    <row r="37324">
      <c r="H37324" t="s">
        <v>5117</v>
      </c>
    </row>
    <row r="37325">
      <c r="H37325" t="s">
        <v>5117</v>
      </c>
    </row>
    <row r="37326">
      <c r="H37326" t="s">
        <v>5117</v>
      </c>
    </row>
    <row r="37327">
      <c r="H37327" t="s">
        <v>5117</v>
      </c>
    </row>
    <row r="37328">
      <c r="H37328" t="s">
        <v>5117</v>
      </c>
    </row>
    <row r="37329">
      <c r="H37329" t="s">
        <v>5117</v>
      </c>
    </row>
    <row r="37330">
      <c r="H37330" t="s">
        <v>5117</v>
      </c>
    </row>
    <row r="37331">
      <c r="H37331" t="s">
        <v>5117</v>
      </c>
    </row>
    <row r="37332">
      <c r="H37332" t="s">
        <v>5117</v>
      </c>
    </row>
    <row r="37333">
      <c r="H37333" t="s">
        <v>5117</v>
      </c>
    </row>
    <row r="37334">
      <c r="H37334" t="s">
        <v>5117</v>
      </c>
    </row>
    <row r="37335">
      <c r="H37335" t="s">
        <v>5117</v>
      </c>
    </row>
    <row r="37336">
      <c r="H37336" t="s">
        <v>5117</v>
      </c>
    </row>
    <row r="37337">
      <c r="H37337" t="s">
        <v>5117</v>
      </c>
    </row>
    <row r="37338">
      <c r="H37338" t="s">
        <v>5117</v>
      </c>
    </row>
    <row r="37339">
      <c r="H37339" t="s">
        <v>5117</v>
      </c>
    </row>
    <row r="37340">
      <c r="H37340" t="s">
        <v>5117</v>
      </c>
    </row>
    <row r="37341">
      <c r="H37341" t="s">
        <v>5117</v>
      </c>
    </row>
    <row r="37342">
      <c r="H37342" t="s">
        <v>5117</v>
      </c>
    </row>
    <row r="37343">
      <c r="H37343" t="s">
        <v>5117</v>
      </c>
    </row>
    <row r="37344">
      <c r="H37344" t="s">
        <v>5117</v>
      </c>
    </row>
    <row r="37345">
      <c r="H37345" t="s">
        <v>5117</v>
      </c>
    </row>
    <row r="37346">
      <c r="H37346" t="s">
        <v>5117</v>
      </c>
    </row>
    <row r="37347">
      <c r="H37347" t="s">
        <v>5117</v>
      </c>
    </row>
    <row r="37348">
      <c r="H37348" t="s">
        <v>5117</v>
      </c>
    </row>
    <row r="37349">
      <c r="H37349" t="s">
        <v>5117</v>
      </c>
    </row>
    <row r="37350">
      <c r="H37350" t="s">
        <v>5117</v>
      </c>
    </row>
    <row r="37351">
      <c r="H37351" t="s">
        <v>5117</v>
      </c>
    </row>
    <row r="37352">
      <c r="H37352" t="s">
        <v>5117</v>
      </c>
    </row>
    <row r="37353">
      <c r="H37353" t="s">
        <v>5117</v>
      </c>
    </row>
    <row r="37354">
      <c r="H37354" t="s">
        <v>5117</v>
      </c>
    </row>
    <row r="37355">
      <c r="H37355" t="s">
        <v>5117</v>
      </c>
    </row>
    <row r="37356">
      <c r="H37356" t="s">
        <v>5117</v>
      </c>
    </row>
    <row r="37357">
      <c r="H37357" t="s">
        <v>5117</v>
      </c>
    </row>
    <row r="37358">
      <c r="H37358" t="s">
        <v>5117</v>
      </c>
    </row>
    <row r="37359">
      <c r="H37359" t="s">
        <v>5117</v>
      </c>
    </row>
    <row r="37360">
      <c r="H37360" t="s">
        <v>5117</v>
      </c>
    </row>
    <row r="37361">
      <c r="H37361" t="s">
        <v>5117</v>
      </c>
    </row>
    <row r="37362">
      <c r="H37362" t="s">
        <v>5117</v>
      </c>
    </row>
    <row r="37363">
      <c r="H37363" t="s">
        <v>5117</v>
      </c>
    </row>
    <row r="37364">
      <c r="H37364" t="s">
        <v>5117</v>
      </c>
    </row>
    <row r="37365">
      <c r="H37365" t="s">
        <v>5117</v>
      </c>
    </row>
    <row r="37366">
      <c r="H37366" t="s">
        <v>5117</v>
      </c>
    </row>
    <row r="37367">
      <c r="H37367" t="s">
        <v>5117</v>
      </c>
    </row>
    <row r="37368">
      <c r="H37368" t="s">
        <v>5117</v>
      </c>
    </row>
    <row r="37369">
      <c r="H37369" t="s">
        <v>5117</v>
      </c>
    </row>
    <row r="37370">
      <c r="H37370" t="s">
        <v>5117</v>
      </c>
    </row>
    <row r="37371">
      <c r="H37371" t="s">
        <v>5117</v>
      </c>
    </row>
    <row r="37372">
      <c r="H37372" t="s">
        <v>5117</v>
      </c>
    </row>
    <row r="37373">
      <c r="H37373" t="s">
        <v>5117</v>
      </c>
    </row>
    <row r="37374">
      <c r="H37374" t="s">
        <v>5117</v>
      </c>
    </row>
    <row r="37375">
      <c r="H37375" t="s">
        <v>5117</v>
      </c>
    </row>
    <row r="37376">
      <c r="H37376" t="s">
        <v>5117</v>
      </c>
    </row>
    <row r="37377">
      <c r="H37377" t="s">
        <v>5117</v>
      </c>
    </row>
    <row r="37378">
      <c r="H37378" t="s">
        <v>5117</v>
      </c>
    </row>
    <row r="37379">
      <c r="H37379" t="s">
        <v>5117</v>
      </c>
    </row>
    <row r="37380">
      <c r="H37380" t="s">
        <v>5117</v>
      </c>
    </row>
    <row r="37381">
      <c r="H37381" t="s">
        <v>5117</v>
      </c>
    </row>
    <row r="37382">
      <c r="H37382" t="s">
        <v>5117</v>
      </c>
    </row>
    <row r="37383">
      <c r="H37383" t="s">
        <v>5117</v>
      </c>
    </row>
    <row r="37384">
      <c r="H37384" t="s">
        <v>5117</v>
      </c>
    </row>
    <row r="37385">
      <c r="H37385" t="s">
        <v>5117</v>
      </c>
    </row>
    <row r="37386">
      <c r="H37386" t="s">
        <v>5117</v>
      </c>
    </row>
    <row r="37387">
      <c r="H37387" t="s">
        <v>5117</v>
      </c>
    </row>
    <row r="37388">
      <c r="H37388" t="s">
        <v>5117</v>
      </c>
    </row>
    <row r="37389">
      <c r="H37389" t="s">
        <v>5117</v>
      </c>
    </row>
    <row r="37390">
      <c r="H37390" t="s">
        <v>5117</v>
      </c>
    </row>
    <row r="37391">
      <c r="H37391" t="s">
        <v>5117</v>
      </c>
    </row>
    <row r="37392">
      <c r="H37392" t="s">
        <v>5117</v>
      </c>
    </row>
    <row r="37393">
      <c r="H37393" t="s">
        <v>5117</v>
      </c>
    </row>
    <row r="37394">
      <c r="H37394" t="s">
        <v>5117</v>
      </c>
    </row>
    <row r="37395">
      <c r="H37395" t="s">
        <v>5117</v>
      </c>
    </row>
    <row r="37396">
      <c r="H37396" t="s">
        <v>5117</v>
      </c>
    </row>
    <row r="37397">
      <c r="H37397" t="s">
        <v>5117</v>
      </c>
    </row>
    <row r="37398">
      <c r="H37398" t="s">
        <v>5117</v>
      </c>
    </row>
    <row r="37399">
      <c r="H37399" t="s">
        <v>5117</v>
      </c>
    </row>
    <row r="37400">
      <c r="H37400" t="s">
        <v>5117</v>
      </c>
    </row>
    <row r="37401">
      <c r="H37401" t="s">
        <v>5117</v>
      </c>
    </row>
    <row r="37402">
      <c r="H37402" t="s">
        <v>5117</v>
      </c>
    </row>
    <row r="37403">
      <c r="H37403" t="s">
        <v>5117</v>
      </c>
    </row>
    <row r="37404">
      <c r="H37404" t="s">
        <v>5117</v>
      </c>
    </row>
    <row r="37405">
      <c r="H37405" t="s">
        <v>5117</v>
      </c>
    </row>
    <row r="37406">
      <c r="H37406" t="s">
        <v>5117</v>
      </c>
    </row>
    <row r="37407">
      <c r="H37407" t="s">
        <v>5117</v>
      </c>
    </row>
    <row r="37408">
      <c r="H37408" t="s">
        <v>5117</v>
      </c>
    </row>
    <row r="37409">
      <c r="H37409" t="s">
        <v>5117</v>
      </c>
    </row>
    <row r="37410">
      <c r="H37410" t="s">
        <v>5117</v>
      </c>
    </row>
    <row r="37411">
      <c r="H37411" t="s">
        <v>5117</v>
      </c>
    </row>
    <row r="37412">
      <c r="H37412" t="s">
        <v>5117</v>
      </c>
    </row>
    <row r="37413">
      <c r="H37413" t="s">
        <v>5117</v>
      </c>
    </row>
    <row r="37414">
      <c r="H37414" t="s">
        <v>5117</v>
      </c>
    </row>
    <row r="37415">
      <c r="H37415" t="s">
        <v>5117</v>
      </c>
    </row>
    <row r="37416">
      <c r="H37416" t="s">
        <v>5117</v>
      </c>
    </row>
    <row r="37417">
      <c r="H37417" t="s">
        <v>5117</v>
      </c>
    </row>
    <row r="37418">
      <c r="H37418" t="s">
        <v>5117</v>
      </c>
    </row>
    <row r="37419">
      <c r="H37419" t="s">
        <v>5117</v>
      </c>
    </row>
    <row r="37420">
      <c r="H37420" t="s">
        <v>5117</v>
      </c>
    </row>
    <row r="37421">
      <c r="H37421" t="s">
        <v>5117</v>
      </c>
    </row>
    <row r="37422">
      <c r="H37422" t="s">
        <v>5117</v>
      </c>
    </row>
    <row r="37423">
      <c r="H37423" t="s">
        <v>5117</v>
      </c>
    </row>
    <row r="37424">
      <c r="H37424" t="s">
        <v>5117</v>
      </c>
    </row>
    <row r="37425">
      <c r="H37425" t="s">
        <v>5117</v>
      </c>
    </row>
    <row r="37426">
      <c r="H37426" t="s">
        <v>5117</v>
      </c>
    </row>
    <row r="37427">
      <c r="H37427" t="s">
        <v>5117</v>
      </c>
    </row>
    <row r="37428">
      <c r="H37428" t="s">
        <v>5117</v>
      </c>
    </row>
    <row r="37429">
      <c r="H37429" t="s">
        <v>5117</v>
      </c>
    </row>
    <row r="37430">
      <c r="H37430" t="s">
        <v>5117</v>
      </c>
    </row>
    <row r="37431">
      <c r="H37431" t="s">
        <v>5117</v>
      </c>
    </row>
    <row r="37432">
      <c r="H37432" t="s">
        <v>5117</v>
      </c>
    </row>
    <row r="37433">
      <c r="H37433" t="s">
        <v>5117</v>
      </c>
    </row>
    <row r="37434">
      <c r="H37434" t="s">
        <v>5117</v>
      </c>
    </row>
    <row r="37435">
      <c r="H37435" t="s">
        <v>5117</v>
      </c>
    </row>
    <row r="37436">
      <c r="H37436" t="s">
        <v>5117</v>
      </c>
    </row>
    <row r="37437">
      <c r="H37437" t="s">
        <v>5117</v>
      </c>
    </row>
    <row r="37438">
      <c r="H37438" t="s">
        <v>5117</v>
      </c>
    </row>
    <row r="37439">
      <c r="H37439" t="s">
        <v>5117</v>
      </c>
    </row>
    <row r="37440">
      <c r="H37440" t="s">
        <v>5117</v>
      </c>
    </row>
    <row r="37441">
      <c r="H37441" t="s">
        <v>5117</v>
      </c>
    </row>
    <row r="37442">
      <c r="H37442" t="s">
        <v>5117</v>
      </c>
    </row>
    <row r="37443">
      <c r="H37443" t="s">
        <v>5117</v>
      </c>
    </row>
    <row r="37444">
      <c r="H37444" t="s">
        <v>5117</v>
      </c>
    </row>
    <row r="37445">
      <c r="H37445" t="s">
        <v>5117</v>
      </c>
    </row>
    <row r="37446">
      <c r="H37446" t="s">
        <v>5117</v>
      </c>
    </row>
    <row r="37447">
      <c r="H37447" t="s">
        <v>5117</v>
      </c>
    </row>
    <row r="37448">
      <c r="H37448" t="s">
        <v>5117</v>
      </c>
    </row>
    <row r="37449">
      <c r="H37449" t="s">
        <v>5117</v>
      </c>
    </row>
    <row r="37450">
      <c r="H37450" t="s">
        <v>5117</v>
      </c>
    </row>
    <row r="37451">
      <c r="H37451" t="s">
        <v>5117</v>
      </c>
    </row>
    <row r="37452">
      <c r="H37452" t="s">
        <v>5117</v>
      </c>
    </row>
    <row r="37453">
      <c r="H37453" t="s">
        <v>5117</v>
      </c>
    </row>
    <row r="37454">
      <c r="H37454" t="s">
        <v>5117</v>
      </c>
    </row>
    <row r="37455">
      <c r="H37455" t="s">
        <v>5117</v>
      </c>
    </row>
    <row r="37456">
      <c r="H37456" t="s">
        <v>5117</v>
      </c>
    </row>
    <row r="37457">
      <c r="H37457" t="s">
        <v>5117</v>
      </c>
    </row>
    <row r="37458">
      <c r="H37458" t="s">
        <v>5117</v>
      </c>
    </row>
    <row r="37459">
      <c r="H37459" t="s">
        <v>5117</v>
      </c>
    </row>
    <row r="37460">
      <c r="H37460" t="s">
        <v>5117</v>
      </c>
    </row>
    <row r="37461">
      <c r="H37461" t="s">
        <v>5117</v>
      </c>
    </row>
    <row r="37462">
      <c r="H37462" t="s">
        <v>5117</v>
      </c>
    </row>
    <row r="37463">
      <c r="H37463" t="s">
        <v>5117</v>
      </c>
    </row>
    <row r="37464">
      <c r="H37464" t="s">
        <v>5117</v>
      </c>
    </row>
    <row r="37465">
      <c r="H37465" t="s">
        <v>5117</v>
      </c>
    </row>
    <row r="37466">
      <c r="H37466" t="s">
        <v>5117</v>
      </c>
    </row>
    <row r="37467">
      <c r="H37467" t="s">
        <v>5117</v>
      </c>
    </row>
    <row r="37468">
      <c r="H37468" t="s">
        <v>5117</v>
      </c>
    </row>
    <row r="37469">
      <c r="H37469" t="s">
        <v>5117</v>
      </c>
    </row>
    <row r="37470">
      <c r="H37470" t="s">
        <v>5117</v>
      </c>
    </row>
    <row r="37471">
      <c r="H37471" t="s">
        <v>5117</v>
      </c>
    </row>
    <row r="37472">
      <c r="H37472" t="s">
        <v>5117</v>
      </c>
    </row>
    <row r="37473">
      <c r="H37473" t="s">
        <v>5117</v>
      </c>
    </row>
    <row r="37474">
      <c r="H37474" t="s">
        <v>5117</v>
      </c>
    </row>
    <row r="37475">
      <c r="H37475" t="s">
        <v>5117</v>
      </c>
    </row>
    <row r="37476">
      <c r="H37476" t="s">
        <v>5117</v>
      </c>
    </row>
    <row r="37477">
      <c r="H37477" t="s">
        <v>5117</v>
      </c>
    </row>
    <row r="37478">
      <c r="H37478" t="s">
        <v>5117</v>
      </c>
    </row>
    <row r="37479">
      <c r="H37479" t="s">
        <v>5117</v>
      </c>
    </row>
    <row r="37480">
      <c r="H37480" t="s">
        <v>5117</v>
      </c>
    </row>
    <row r="37481">
      <c r="H37481" t="s">
        <v>5117</v>
      </c>
    </row>
    <row r="37482">
      <c r="H37482" t="s">
        <v>5117</v>
      </c>
    </row>
    <row r="37483">
      <c r="H37483" t="s">
        <v>5117</v>
      </c>
    </row>
    <row r="37484">
      <c r="H37484" t="s">
        <v>5117</v>
      </c>
    </row>
    <row r="37485">
      <c r="H37485" t="s">
        <v>5117</v>
      </c>
    </row>
    <row r="37486">
      <c r="H37486" t="s">
        <v>5117</v>
      </c>
    </row>
    <row r="37487">
      <c r="H37487" t="s">
        <v>5117</v>
      </c>
    </row>
    <row r="37488">
      <c r="H37488" t="s">
        <v>5117</v>
      </c>
    </row>
    <row r="37489">
      <c r="H37489" t="s">
        <v>5117</v>
      </c>
    </row>
    <row r="37490">
      <c r="H37490" t="s">
        <v>5117</v>
      </c>
    </row>
    <row r="37491">
      <c r="H37491" t="s">
        <v>5117</v>
      </c>
    </row>
    <row r="37492">
      <c r="H37492" t="s">
        <v>5117</v>
      </c>
    </row>
    <row r="37493">
      <c r="H37493" t="s">
        <v>5117</v>
      </c>
    </row>
    <row r="37494">
      <c r="H37494" t="s">
        <v>5117</v>
      </c>
    </row>
    <row r="37495">
      <c r="H37495" t="s">
        <v>5117</v>
      </c>
    </row>
    <row r="37496">
      <c r="H37496" t="s">
        <v>5117</v>
      </c>
    </row>
    <row r="37497">
      <c r="H37497" t="s">
        <v>5117</v>
      </c>
    </row>
    <row r="37498">
      <c r="H37498" t="s">
        <v>5117</v>
      </c>
    </row>
    <row r="37499">
      <c r="H37499" t="s">
        <v>5117</v>
      </c>
    </row>
    <row r="37500">
      <c r="H37500" t="s">
        <v>5117</v>
      </c>
    </row>
    <row r="37501">
      <c r="H37501" t="s">
        <v>5117</v>
      </c>
    </row>
    <row r="37502">
      <c r="H37502" t="s">
        <v>5117</v>
      </c>
    </row>
    <row r="37503">
      <c r="H37503" t="s">
        <v>5117</v>
      </c>
    </row>
    <row r="37504">
      <c r="H37504" t="s">
        <v>5117</v>
      </c>
    </row>
    <row r="37505">
      <c r="H37505" t="s">
        <v>5117</v>
      </c>
    </row>
    <row r="37506">
      <c r="H37506" t="s">
        <v>5117</v>
      </c>
    </row>
    <row r="37507">
      <c r="H37507" t="s">
        <v>5117</v>
      </c>
    </row>
    <row r="37508">
      <c r="H37508" t="s">
        <v>5117</v>
      </c>
    </row>
    <row r="37509">
      <c r="H37509" t="s">
        <v>5117</v>
      </c>
    </row>
    <row r="37510">
      <c r="H37510" t="s">
        <v>5117</v>
      </c>
    </row>
    <row r="37511">
      <c r="H37511" t="s">
        <v>5117</v>
      </c>
    </row>
    <row r="37512">
      <c r="H37512" t="s">
        <v>5117</v>
      </c>
    </row>
    <row r="37513">
      <c r="H37513" t="s">
        <v>5117</v>
      </c>
    </row>
    <row r="37514">
      <c r="H37514" t="s">
        <v>5117</v>
      </c>
    </row>
    <row r="37515">
      <c r="H37515" t="s">
        <v>5117</v>
      </c>
    </row>
    <row r="37516">
      <c r="H37516" t="s">
        <v>5117</v>
      </c>
    </row>
    <row r="37517">
      <c r="H37517" t="s">
        <v>5117</v>
      </c>
    </row>
    <row r="37518">
      <c r="H37518" t="s">
        <v>5117</v>
      </c>
    </row>
    <row r="37519">
      <c r="H37519" t="s">
        <v>5117</v>
      </c>
    </row>
    <row r="37520">
      <c r="H37520" t="s">
        <v>5117</v>
      </c>
    </row>
    <row r="37521">
      <c r="H37521" t="s">
        <v>5117</v>
      </c>
    </row>
    <row r="37522">
      <c r="H37522" t="s">
        <v>5117</v>
      </c>
    </row>
    <row r="37523">
      <c r="H37523" t="s">
        <v>5117</v>
      </c>
    </row>
    <row r="37524">
      <c r="H37524" t="s">
        <v>5117</v>
      </c>
    </row>
    <row r="37525">
      <c r="H37525" t="s">
        <v>5117</v>
      </c>
    </row>
    <row r="37526">
      <c r="H37526" t="s">
        <v>5117</v>
      </c>
    </row>
    <row r="37527">
      <c r="H37527" t="s">
        <v>5117</v>
      </c>
    </row>
    <row r="37528">
      <c r="H37528" t="s">
        <v>5117</v>
      </c>
    </row>
    <row r="37529">
      <c r="H37529" t="s">
        <v>5117</v>
      </c>
    </row>
    <row r="37530">
      <c r="H37530" t="s">
        <v>5117</v>
      </c>
    </row>
    <row r="37531">
      <c r="H37531" t="s">
        <v>5117</v>
      </c>
    </row>
    <row r="37532">
      <c r="H37532" t="s">
        <v>5117</v>
      </c>
    </row>
    <row r="37533">
      <c r="H37533" t="s">
        <v>5117</v>
      </c>
    </row>
    <row r="37534">
      <c r="H37534" t="s">
        <v>5117</v>
      </c>
    </row>
    <row r="37535">
      <c r="H37535" t="s">
        <v>5117</v>
      </c>
    </row>
    <row r="37536">
      <c r="H37536" t="s">
        <v>5117</v>
      </c>
    </row>
    <row r="37537">
      <c r="H37537" t="s">
        <v>5117</v>
      </c>
    </row>
    <row r="37538">
      <c r="H37538" t="s">
        <v>5117</v>
      </c>
    </row>
    <row r="37539">
      <c r="H37539" t="s">
        <v>5117</v>
      </c>
    </row>
    <row r="37540">
      <c r="H37540" t="s">
        <v>5117</v>
      </c>
    </row>
    <row r="37541">
      <c r="H37541" t="s">
        <v>5117</v>
      </c>
    </row>
    <row r="37542">
      <c r="H37542" t="s">
        <v>5117</v>
      </c>
    </row>
    <row r="37543">
      <c r="H37543" t="s">
        <v>5117</v>
      </c>
    </row>
    <row r="37544">
      <c r="H37544" t="s">
        <v>5117</v>
      </c>
    </row>
    <row r="37545">
      <c r="H37545" t="s">
        <v>5117</v>
      </c>
    </row>
    <row r="37546">
      <c r="H37546" t="s">
        <v>5117</v>
      </c>
    </row>
    <row r="37547">
      <c r="H37547" t="s">
        <v>5117</v>
      </c>
    </row>
    <row r="37548">
      <c r="H37548" t="s">
        <v>5117</v>
      </c>
    </row>
    <row r="37549">
      <c r="H37549" t="s">
        <v>5117</v>
      </c>
    </row>
    <row r="37550">
      <c r="H37550" t="s">
        <v>5117</v>
      </c>
    </row>
    <row r="37551">
      <c r="H37551" t="s">
        <v>5117</v>
      </c>
    </row>
    <row r="37552">
      <c r="H37552" t="s">
        <v>5117</v>
      </c>
    </row>
    <row r="37553">
      <c r="H37553" t="s">
        <v>5117</v>
      </c>
    </row>
    <row r="37554">
      <c r="H37554" t="s">
        <v>5117</v>
      </c>
    </row>
    <row r="37555">
      <c r="H37555" t="s">
        <v>5117</v>
      </c>
    </row>
    <row r="37556">
      <c r="H37556" t="s">
        <v>5117</v>
      </c>
    </row>
    <row r="37557">
      <c r="H37557" t="s">
        <v>5117</v>
      </c>
    </row>
    <row r="37558">
      <c r="H37558" t="s">
        <v>5117</v>
      </c>
    </row>
    <row r="37559">
      <c r="H37559" t="s">
        <v>5117</v>
      </c>
    </row>
    <row r="37560">
      <c r="H37560" t="s">
        <v>5117</v>
      </c>
    </row>
    <row r="37561">
      <c r="H37561" t="s">
        <v>5117</v>
      </c>
    </row>
    <row r="37562">
      <c r="H37562" t="s">
        <v>5117</v>
      </c>
    </row>
    <row r="37563">
      <c r="H37563" t="s">
        <v>5117</v>
      </c>
    </row>
    <row r="37564">
      <c r="H37564" t="s">
        <v>5117</v>
      </c>
    </row>
    <row r="37565">
      <c r="H37565" t="s">
        <v>5117</v>
      </c>
    </row>
    <row r="37566">
      <c r="H37566" t="s">
        <v>5117</v>
      </c>
    </row>
    <row r="37567">
      <c r="H37567" t="s">
        <v>5117</v>
      </c>
    </row>
    <row r="37568">
      <c r="H37568" t="s">
        <v>5117</v>
      </c>
    </row>
    <row r="37569">
      <c r="H37569" t="s">
        <v>5117</v>
      </c>
    </row>
    <row r="37570">
      <c r="H37570" t="s">
        <v>5117</v>
      </c>
    </row>
    <row r="37571">
      <c r="H37571" t="s">
        <v>5117</v>
      </c>
    </row>
    <row r="37572">
      <c r="H37572" t="s">
        <v>5117</v>
      </c>
    </row>
    <row r="37573">
      <c r="H37573" t="s">
        <v>5117</v>
      </c>
    </row>
    <row r="37574">
      <c r="H37574" t="s">
        <v>5117</v>
      </c>
    </row>
    <row r="37575">
      <c r="H37575" t="s">
        <v>5117</v>
      </c>
    </row>
    <row r="37576">
      <c r="H37576" t="s">
        <v>5117</v>
      </c>
    </row>
    <row r="37577">
      <c r="H37577" t="s">
        <v>5117</v>
      </c>
    </row>
    <row r="37578">
      <c r="H37578" t="s">
        <v>5117</v>
      </c>
    </row>
    <row r="37579">
      <c r="H37579" t="s">
        <v>5117</v>
      </c>
    </row>
    <row r="37580">
      <c r="H37580" t="s">
        <v>5117</v>
      </c>
    </row>
    <row r="37581">
      <c r="H37581" t="s">
        <v>5117</v>
      </c>
    </row>
    <row r="37582">
      <c r="H37582" t="s">
        <v>5117</v>
      </c>
    </row>
    <row r="37583">
      <c r="H37583" t="s">
        <v>5117</v>
      </c>
    </row>
    <row r="37584">
      <c r="H37584" t="s">
        <v>5117</v>
      </c>
    </row>
    <row r="37585">
      <c r="H37585" t="s">
        <v>5117</v>
      </c>
    </row>
    <row r="37586">
      <c r="H37586" t="s">
        <v>5117</v>
      </c>
    </row>
    <row r="37587">
      <c r="H37587" t="s">
        <v>5117</v>
      </c>
    </row>
    <row r="37588">
      <c r="H37588" t="s">
        <v>5117</v>
      </c>
    </row>
    <row r="37589">
      <c r="H37589" t="s">
        <v>5117</v>
      </c>
    </row>
    <row r="37590">
      <c r="H37590" t="s">
        <v>5117</v>
      </c>
    </row>
    <row r="37591">
      <c r="H37591" t="s">
        <v>5117</v>
      </c>
    </row>
    <row r="37592">
      <c r="H37592" t="s">
        <v>5117</v>
      </c>
    </row>
    <row r="37593">
      <c r="H37593" t="s">
        <v>5117</v>
      </c>
    </row>
    <row r="37594">
      <c r="H37594" t="s">
        <v>5117</v>
      </c>
    </row>
    <row r="37595">
      <c r="H37595" t="s">
        <v>5117</v>
      </c>
    </row>
    <row r="37596">
      <c r="H37596" t="s">
        <v>5117</v>
      </c>
    </row>
    <row r="37597">
      <c r="H37597" t="s">
        <v>5117</v>
      </c>
    </row>
    <row r="37598">
      <c r="H37598" t="s">
        <v>5117</v>
      </c>
    </row>
    <row r="37599">
      <c r="H37599" t="s">
        <v>5117</v>
      </c>
    </row>
    <row r="37600">
      <c r="H37600" t="s">
        <v>5117</v>
      </c>
    </row>
    <row r="37601">
      <c r="H37601" t="s">
        <v>5117</v>
      </c>
    </row>
    <row r="37602">
      <c r="H37602" t="s">
        <v>5117</v>
      </c>
    </row>
    <row r="37603">
      <c r="H37603" t="s">
        <v>5117</v>
      </c>
    </row>
    <row r="37604">
      <c r="H37604" t="s">
        <v>5117</v>
      </c>
    </row>
    <row r="37605">
      <c r="H37605" t="s">
        <v>5117</v>
      </c>
    </row>
    <row r="37606">
      <c r="H37606" t="s">
        <v>5117</v>
      </c>
    </row>
    <row r="37607">
      <c r="H37607" t="s">
        <v>5117</v>
      </c>
    </row>
    <row r="37608">
      <c r="H37608" t="s">
        <v>5117</v>
      </c>
    </row>
    <row r="37609">
      <c r="H37609" t="s">
        <v>5117</v>
      </c>
    </row>
    <row r="37610">
      <c r="H37610" t="s">
        <v>5117</v>
      </c>
    </row>
    <row r="37611">
      <c r="H37611" t="s">
        <v>5117</v>
      </c>
    </row>
    <row r="37612">
      <c r="H37612" t="s">
        <v>5117</v>
      </c>
    </row>
    <row r="37613">
      <c r="H37613" t="s">
        <v>5117</v>
      </c>
    </row>
    <row r="37614">
      <c r="H37614" t="s">
        <v>5117</v>
      </c>
    </row>
    <row r="37615">
      <c r="H37615" t="s">
        <v>5117</v>
      </c>
    </row>
    <row r="37616">
      <c r="H37616" t="s">
        <v>5117</v>
      </c>
    </row>
    <row r="37617">
      <c r="H37617" t="s">
        <v>5117</v>
      </c>
    </row>
    <row r="37618">
      <c r="H37618" t="s">
        <v>5117</v>
      </c>
    </row>
    <row r="37619">
      <c r="H37619" t="s">
        <v>5117</v>
      </c>
    </row>
    <row r="37620">
      <c r="H37620" t="s">
        <v>5117</v>
      </c>
    </row>
    <row r="37621">
      <c r="H37621" t="s">
        <v>5117</v>
      </c>
    </row>
    <row r="37622">
      <c r="H37622" t="s">
        <v>5117</v>
      </c>
    </row>
    <row r="37623">
      <c r="H37623" t="s">
        <v>5117</v>
      </c>
    </row>
    <row r="37624">
      <c r="H37624" t="s">
        <v>5117</v>
      </c>
    </row>
    <row r="37625">
      <c r="H37625" t="s">
        <v>5117</v>
      </c>
    </row>
    <row r="37626">
      <c r="H37626" t="s">
        <v>5117</v>
      </c>
    </row>
    <row r="37627">
      <c r="H37627" t="s">
        <v>5117</v>
      </c>
    </row>
    <row r="37628">
      <c r="H37628" t="s">
        <v>5117</v>
      </c>
    </row>
    <row r="37629">
      <c r="H37629" t="s">
        <v>5117</v>
      </c>
    </row>
    <row r="37630">
      <c r="H37630" t="s">
        <v>5117</v>
      </c>
    </row>
    <row r="37631">
      <c r="H37631" t="s">
        <v>5117</v>
      </c>
    </row>
    <row r="37632">
      <c r="H37632" t="s">
        <v>5117</v>
      </c>
    </row>
    <row r="37633">
      <c r="H37633" t="s">
        <v>5117</v>
      </c>
    </row>
    <row r="37634">
      <c r="H37634" t="s">
        <v>5117</v>
      </c>
    </row>
    <row r="37635">
      <c r="H37635" t="s">
        <v>5117</v>
      </c>
    </row>
    <row r="37636">
      <c r="H37636" t="s">
        <v>5117</v>
      </c>
    </row>
    <row r="37637">
      <c r="H37637" t="s">
        <v>5117</v>
      </c>
    </row>
    <row r="37638">
      <c r="H37638" t="s">
        <v>5117</v>
      </c>
    </row>
    <row r="37639">
      <c r="H37639" t="s">
        <v>5117</v>
      </c>
    </row>
    <row r="37640">
      <c r="H37640" t="s">
        <v>5117</v>
      </c>
    </row>
    <row r="37641">
      <c r="H37641" t="s">
        <v>5117</v>
      </c>
    </row>
    <row r="37642">
      <c r="H37642" t="s">
        <v>5117</v>
      </c>
    </row>
    <row r="37643">
      <c r="H37643" t="s">
        <v>5117</v>
      </c>
    </row>
    <row r="37644">
      <c r="H37644" t="s">
        <v>5117</v>
      </c>
    </row>
    <row r="37645">
      <c r="H37645" t="s">
        <v>5117</v>
      </c>
    </row>
    <row r="37646">
      <c r="H37646" t="s">
        <v>5117</v>
      </c>
    </row>
    <row r="37647">
      <c r="H37647" t="s">
        <v>5117</v>
      </c>
    </row>
    <row r="37648">
      <c r="H37648" t="s">
        <v>5117</v>
      </c>
    </row>
    <row r="37649">
      <c r="H37649" t="s">
        <v>5117</v>
      </c>
    </row>
    <row r="37650">
      <c r="H37650" t="s">
        <v>5117</v>
      </c>
    </row>
    <row r="37651">
      <c r="H37651" t="s">
        <v>5117</v>
      </c>
    </row>
    <row r="37652">
      <c r="H37652" t="s">
        <v>5117</v>
      </c>
    </row>
    <row r="37653">
      <c r="H37653" t="s">
        <v>5117</v>
      </c>
    </row>
    <row r="37654">
      <c r="H37654" t="s">
        <v>5117</v>
      </c>
    </row>
    <row r="37655">
      <c r="H37655" t="s">
        <v>5117</v>
      </c>
    </row>
    <row r="37656">
      <c r="H37656" t="s">
        <v>5117</v>
      </c>
    </row>
    <row r="37657">
      <c r="H37657" t="s">
        <v>5117</v>
      </c>
    </row>
    <row r="37658">
      <c r="H37658" t="s">
        <v>5117</v>
      </c>
    </row>
    <row r="37659">
      <c r="H37659" t="s">
        <v>5117</v>
      </c>
    </row>
    <row r="37660">
      <c r="H37660" t="s">
        <v>5117</v>
      </c>
    </row>
    <row r="37661">
      <c r="H37661" t="s">
        <v>5117</v>
      </c>
    </row>
    <row r="37662">
      <c r="H37662" t="s">
        <v>5117</v>
      </c>
    </row>
    <row r="37663">
      <c r="H37663" t="s">
        <v>5117</v>
      </c>
    </row>
    <row r="37664">
      <c r="H37664" t="s">
        <v>5117</v>
      </c>
    </row>
    <row r="37665">
      <c r="H37665" t="s">
        <v>5117</v>
      </c>
    </row>
    <row r="37666">
      <c r="H37666" t="s">
        <v>5117</v>
      </c>
    </row>
    <row r="37667">
      <c r="H37667" t="s">
        <v>5117</v>
      </c>
    </row>
    <row r="37668">
      <c r="H37668" t="s">
        <v>5117</v>
      </c>
    </row>
    <row r="37669">
      <c r="H37669" t="s">
        <v>5117</v>
      </c>
    </row>
    <row r="37670">
      <c r="H37670" t="s">
        <v>5117</v>
      </c>
    </row>
    <row r="37671">
      <c r="H37671" t="s">
        <v>5117</v>
      </c>
    </row>
    <row r="37672">
      <c r="H37672" t="s">
        <v>5117</v>
      </c>
    </row>
    <row r="37673">
      <c r="H37673" t="s">
        <v>5117</v>
      </c>
    </row>
    <row r="37674">
      <c r="H37674" t="s">
        <v>5117</v>
      </c>
    </row>
    <row r="37675">
      <c r="H37675" t="s">
        <v>5117</v>
      </c>
    </row>
    <row r="37676">
      <c r="H37676" t="s">
        <v>5117</v>
      </c>
    </row>
    <row r="37677">
      <c r="H37677" t="s">
        <v>5117</v>
      </c>
    </row>
    <row r="37678">
      <c r="H37678" t="s">
        <v>5117</v>
      </c>
    </row>
    <row r="37679">
      <c r="H37679" t="s">
        <v>5117</v>
      </c>
    </row>
    <row r="37680">
      <c r="H37680" t="s">
        <v>5117</v>
      </c>
    </row>
    <row r="37681">
      <c r="H37681" t="s">
        <v>5117</v>
      </c>
    </row>
    <row r="37682">
      <c r="H37682" t="s">
        <v>5117</v>
      </c>
    </row>
    <row r="37683">
      <c r="H37683" t="s">
        <v>5117</v>
      </c>
    </row>
    <row r="37684">
      <c r="H37684" t="s">
        <v>5117</v>
      </c>
    </row>
    <row r="37685">
      <c r="H37685" t="s">
        <v>5117</v>
      </c>
    </row>
    <row r="37686">
      <c r="H37686" t="s">
        <v>5117</v>
      </c>
    </row>
    <row r="37687">
      <c r="H37687" t="s">
        <v>5117</v>
      </c>
    </row>
    <row r="37688">
      <c r="H37688" t="s">
        <v>5117</v>
      </c>
    </row>
    <row r="37689">
      <c r="H37689" t="s">
        <v>5117</v>
      </c>
    </row>
    <row r="37690">
      <c r="H37690" t="s">
        <v>5117</v>
      </c>
    </row>
    <row r="37691">
      <c r="H37691" t="s">
        <v>5117</v>
      </c>
    </row>
    <row r="37692">
      <c r="H37692" t="s">
        <v>5117</v>
      </c>
    </row>
    <row r="37693">
      <c r="H37693" t="s">
        <v>5117</v>
      </c>
    </row>
    <row r="37694">
      <c r="H37694" t="s">
        <v>5117</v>
      </c>
    </row>
    <row r="37695">
      <c r="H37695" t="s">
        <v>5117</v>
      </c>
    </row>
    <row r="37696">
      <c r="H37696" t="s">
        <v>5117</v>
      </c>
    </row>
    <row r="37697">
      <c r="H37697" t="s">
        <v>5117</v>
      </c>
    </row>
    <row r="37698">
      <c r="H37698" t="s">
        <v>5117</v>
      </c>
    </row>
    <row r="37699">
      <c r="H37699" t="s">
        <v>5117</v>
      </c>
    </row>
    <row r="37700">
      <c r="H37700" t="s">
        <v>5117</v>
      </c>
    </row>
    <row r="37701">
      <c r="H37701" t="s">
        <v>5117</v>
      </c>
    </row>
    <row r="37702">
      <c r="H37702" t="s">
        <v>5117</v>
      </c>
    </row>
    <row r="37703">
      <c r="H37703" t="s">
        <v>5117</v>
      </c>
    </row>
    <row r="37704">
      <c r="H37704" t="s">
        <v>5117</v>
      </c>
    </row>
    <row r="37705">
      <c r="H37705" t="s">
        <v>5117</v>
      </c>
    </row>
    <row r="37706">
      <c r="H37706" t="s">
        <v>5117</v>
      </c>
    </row>
    <row r="37707">
      <c r="H37707" t="s">
        <v>5117</v>
      </c>
    </row>
    <row r="37708">
      <c r="H37708" t="s">
        <v>5117</v>
      </c>
    </row>
    <row r="37709">
      <c r="H37709" t="s">
        <v>5117</v>
      </c>
    </row>
    <row r="37710">
      <c r="H37710" t="s">
        <v>5117</v>
      </c>
    </row>
    <row r="37711">
      <c r="H37711" t="s">
        <v>5117</v>
      </c>
    </row>
    <row r="37712">
      <c r="H37712" t="s">
        <v>5117</v>
      </c>
    </row>
    <row r="37713">
      <c r="H37713" t="s">
        <v>5117</v>
      </c>
    </row>
    <row r="37714">
      <c r="H37714" t="s">
        <v>5117</v>
      </c>
    </row>
    <row r="37715">
      <c r="H37715" t="s">
        <v>5117</v>
      </c>
    </row>
    <row r="37716">
      <c r="H37716" t="s">
        <v>5117</v>
      </c>
    </row>
    <row r="37717">
      <c r="H37717" t="s">
        <v>5117</v>
      </c>
    </row>
    <row r="37718">
      <c r="H37718" t="s">
        <v>5117</v>
      </c>
    </row>
    <row r="37719">
      <c r="H37719" t="s">
        <v>5117</v>
      </c>
    </row>
    <row r="37720">
      <c r="H37720" t="s">
        <v>5117</v>
      </c>
    </row>
    <row r="37721">
      <c r="H37721" t="s">
        <v>5117</v>
      </c>
    </row>
    <row r="37722">
      <c r="H37722" t="s">
        <v>5117</v>
      </c>
    </row>
    <row r="37723">
      <c r="H37723" t="s">
        <v>5117</v>
      </c>
    </row>
    <row r="37724">
      <c r="H37724" t="s">
        <v>5117</v>
      </c>
    </row>
    <row r="37725">
      <c r="H37725" t="s">
        <v>5117</v>
      </c>
    </row>
    <row r="37726">
      <c r="H37726" t="s">
        <v>5117</v>
      </c>
    </row>
    <row r="37727">
      <c r="H37727" t="s">
        <v>5117</v>
      </c>
    </row>
    <row r="37728">
      <c r="H37728" t="s">
        <v>5117</v>
      </c>
    </row>
    <row r="37729">
      <c r="H37729" t="s">
        <v>5117</v>
      </c>
    </row>
    <row r="37730">
      <c r="H37730" t="s">
        <v>5117</v>
      </c>
    </row>
    <row r="37731">
      <c r="H37731" t="s">
        <v>5117</v>
      </c>
    </row>
    <row r="37732">
      <c r="H37732" t="s">
        <v>5117</v>
      </c>
    </row>
    <row r="37733">
      <c r="H37733" t="s">
        <v>5117</v>
      </c>
    </row>
    <row r="37734">
      <c r="H37734" t="s">
        <v>5117</v>
      </c>
    </row>
    <row r="37735">
      <c r="H37735" t="s">
        <v>5117</v>
      </c>
    </row>
    <row r="37736">
      <c r="H37736" t="s">
        <v>5117</v>
      </c>
    </row>
    <row r="37737">
      <c r="H37737" t="s">
        <v>5117</v>
      </c>
    </row>
    <row r="37738">
      <c r="H37738" t="s">
        <v>5117</v>
      </c>
    </row>
    <row r="37739">
      <c r="H37739" t="s">
        <v>5117</v>
      </c>
    </row>
    <row r="37740">
      <c r="H37740" t="s">
        <v>5117</v>
      </c>
    </row>
    <row r="37741">
      <c r="H37741" t="s">
        <v>5117</v>
      </c>
    </row>
    <row r="37742">
      <c r="H37742" t="s">
        <v>5117</v>
      </c>
    </row>
    <row r="37743">
      <c r="H37743" t="s">
        <v>5117</v>
      </c>
    </row>
    <row r="37744">
      <c r="H37744" t="s">
        <v>5117</v>
      </c>
    </row>
    <row r="37745">
      <c r="H37745" t="s">
        <v>5117</v>
      </c>
    </row>
    <row r="37746">
      <c r="H37746" t="s">
        <v>5117</v>
      </c>
    </row>
    <row r="37747">
      <c r="H37747" t="s">
        <v>5117</v>
      </c>
    </row>
    <row r="37748">
      <c r="H37748" t="s">
        <v>5117</v>
      </c>
    </row>
    <row r="37749">
      <c r="H37749" t="s">
        <v>5117</v>
      </c>
    </row>
    <row r="37750">
      <c r="H37750" t="s">
        <v>5117</v>
      </c>
    </row>
    <row r="37751">
      <c r="H37751" t="s">
        <v>5117</v>
      </c>
    </row>
    <row r="37752">
      <c r="H37752" t="s">
        <v>5117</v>
      </c>
    </row>
    <row r="37753">
      <c r="H37753" t="s">
        <v>5117</v>
      </c>
    </row>
    <row r="37754">
      <c r="H37754" t="s">
        <v>5117</v>
      </c>
    </row>
    <row r="37755">
      <c r="H37755" t="s">
        <v>5117</v>
      </c>
    </row>
    <row r="37756">
      <c r="H37756" t="s">
        <v>5117</v>
      </c>
    </row>
    <row r="37757">
      <c r="H37757" t="s">
        <v>5117</v>
      </c>
    </row>
    <row r="37758">
      <c r="H37758" t="s">
        <v>5117</v>
      </c>
    </row>
    <row r="37759">
      <c r="H37759" t="s">
        <v>5117</v>
      </c>
    </row>
    <row r="37760">
      <c r="H37760" t="s">
        <v>5117</v>
      </c>
    </row>
    <row r="37761">
      <c r="H37761" t="s">
        <v>5117</v>
      </c>
    </row>
    <row r="37762">
      <c r="H37762" t="s">
        <v>5117</v>
      </c>
    </row>
    <row r="37763">
      <c r="H37763" t="s">
        <v>5117</v>
      </c>
    </row>
    <row r="37764">
      <c r="H37764" t="s">
        <v>5117</v>
      </c>
    </row>
    <row r="37765">
      <c r="H37765" t="s">
        <v>5117</v>
      </c>
    </row>
    <row r="37766">
      <c r="H37766" t="s">
        <v>5117</v>
      </c>
    </row>
    <row r="37767">
      <c r="H37767" t="s">
        <v>5117</v>
      </c>
    </row>
    <row r="37768">
      <c r="H37768" t="s">
        <v>5117</v>
      </c>
    </row>
    <row r="37769">
      <c r="H37769" t="s">
        <v>5117</v>
      </c>
    </row>
    <row r="37770">
      <c r="H37770" t="s">
        <v>5117</v>
      </c>
    </row>
    <row r="37771">
      <c r="H37771" t="s">
        <v>5117</v>
      </c>
    </row>
    <row r="37772">
      <c r="H37772" t="s">
        <v>5117</v>
      </c>
    </row>
    <row r="37773">
      <c r="H37773" t="s">
        <v>5117</v>
      </c>
    </row>
    <row r="37774">
      <c r="H37774" t="s">
        <v>5117</v>
      </c>
    </row>
    <row r="37775">
      <c r="H37775" t="s">
        <v>5117</v>
      </c>
    </row>
    <row r="37776">
      <c r="H37776" t="s">
        <v>5117</v>
      </c>
    </row>
    <row r="37777">
      <c r="H37777" t="s">
        <v>5117</v>
      </c>
    </row>
    <row r="37778">
      <c r="H37778" t="s">
        <v>5117</v>
      </c>
    </row>
    <row r="37779">
      <c r="H37779" t="s">
        <v>5117</v>
      </c>
    </row>
    <row r="37780">
      <c r="H37780" t="s">
        <v>5117</v>
      </c>
    </row>
    <row r="37781">
      <c r="H37781" t="s">
        <v>5117</v>
      </c>
    </row>
    <row r="37782">
      <c r="H37782" t="s">
        <v>5117</v>
      </c>
    </row>
    <row r="37783">
      <c r="H37783" t="s">
        <v>5117</v>
      </c>
    </row>
    <row r="37784">
      <c r="H37784" t="s">
        <v>5117</v>
      </c>
    </row>
    <row r="37785">
      <c r="H37785" t="s">
        <v>5117</v>
      </c>
    </row>
    <row r="37786">
      <c r="H37786" t="s">
        <v>5117</v>
      </c>
    </row>
    <row r="37787">
      <c r="H37787" t="s">
        <v>5117</v>
      </c>
    </row>
    <row r="37788">
      <c r="H37788" t="s">
        <v>5117</v>
      </c>
    </row>
    <row r="37789">
      <c r="H37789" t="s">
        <v>5117</v>
      </c>
    </row>
    <row r="37790">
      <c r="H37790" t="s">
        <v>5117</v>
      </c>
    </row>
    <row r="37791">
      <c r="H37791" t="s">
        <v>5117</v>
      </c>
    </row>
    <row r="37792">
      <c r="H37792" t="s">
        <v>5117</v>
      </c>
    </row>
    <row r="37793">
      <c r="H37793" t="s">
        <v>5117</v>
      </c>
    </row>
    <row r="37794">
      <c r="H37794" t="s">
        <v>5117</v>
      </c>
    </row>
    <row r="37795">
      <c r="H37795" t="s">
        <v>5117</v>
      </c>
    </row>
    <row r="37796">
      <c r="H37796" t="s">
        <v>5117</v>
      </c>
    </row>
    <row r="37797">
      <c r="H37797" t="s">
        <v>5117</v>
      </c>
    </row>
    <row r="37798">
      <c r="H37798" t="s">
        <v>5117</v>
      </c>
    </row>
    <row r="37799">
      <c r="H37799" t="s">
        <v>5117</v>
      </c>
    </row>
    <row r="37800">
      <c r="H37800" t="s">
        <v>5117</v>
      </c>
    </row>
    <row r="37801">
      <c r="H37801" t="s">
        <v>5117</v>
      </c>
    </row>
    <row r="37802">
      <c r="H37802" t="s">
        <v>5117</v>
      </c>
    </row>
    <row r="37803">
      <c r="H37803" t="s">
        <v>5117</v>
      </c>
    </row>
    <row r="37804">
      <c r="H37804" t="s">
        <v>5117</v>
      </c>
    </row>
    <row r="37805">
      <c r="H37805" t="s">
        <v>5117</v>
      </c>
    </row>
    <row r="37806">
      <c r="H37806" t="s">
        <v>5117</v>
      </c>
    </row>
    <row r="37807">
      <c r="H37807" t="s">
        <v>5117</v>
      </c>
    </row>
    <row r="37808">
      <c r="H37808" t="s">
        <v>5117</v>
      </c>
    </row>
    <row r="37809">
      <c r="H37809" t="s">
        <v>5117</v>
      </c>
    </row>
    <row r="37810">
      <c r="H37810" t="s">
        <v>5117</v>
      </c>
    </row>
    <row r="37811">
      <c r="H37811" t="s">
        <v>5117</v>
      </c>
    </row>
    <row r="37812">
      <c r="H37812" t="s">
        <v>5117</v>
      </c>
    </row>
    <row r="37813">
      <c r="H37813" t="s">
        <v>5117</v>
      </c>
    </row>
    <row r="37814">
      <c r="H37814" t="s">
        <v>5117</v>
      </c>
    </row>
    <row r="37815">
      <c r="H37815" t="s">
        <v>5117</v>
      </c>
    </row>
    <row r="37816">
      <c r="H37816" t="s">
        <v>5117</v>
      </c>
    </row>
    <row r="37817">
      <c r="H37817" t="s">
        <v>5117</v>
      </c>
    </row>
    <row r="37818">
      <c r="H37818" t="s">
        <v>5117</v>
      </c>
    </row>
    <row r="37819">
      <c r="H37819" t="s">
        <v>5117</v>
      </c>
    </row>
    <row r="37820">
      <c r="H37820" t="s">
        <v>5117</v>
      </c>
    </row>
    <row r="37821">
      <c r="H37821" t="s">
        <v>5117</v>
      </c>
    </row>
    <row r="37822">
      <c r="H37822" t="s">
        <v>5117</v>
      </c>
    </row>
    <row r="37823">
      <c r="H37823" t="s">
        <v>5117</v>
      </c>
    </row>
    <row r="37824">
      <c r="H37824" t="s">
        <v>5117</v>
      </c>
    </row>
    <row r="37825">
      <c r="H37825" t="s">
        <v>5117</v>
      </c>
    </row>
    <row r="37826">
      <c r="H37826" t="s">
        <v>5117</v>
      </c>
    </row>
    <row r="37827">
      <c r="H37827" t="s">
        <v>5117</v>
      </c>
    </row>
    <row r="37828">
      <c r="H37828" t="s">
        <v>5117</v>
      </c>
    </row>
    <row r="37829">
      <c r="H37829" t="s">
        <v>5117</v>
      </c>
    </row>
    <row r="37830">
      <c r="H37830" t="s">
        <v>5117</v>
      </c>
    </row>
    <row r="37831">
      <c r="H37831" t="s">
        <v>5117</v>
      </c>
    </row>
    <row r="37832">
      <c r="H37832" t="s">
        <v>5117</v>
      </c>
    </row>
    <row r="37833">
      <c r="H37833" t="s">
        <v>5117</v>
      </c>
    </row>
    <row r="37834">
      <c r="H37834" t="s">
        <v>5117</v>
      </c>
    </row>
    <row r="37835">
      <c r="H37835" t="s">
        <v>5117</v>
      </c>
    </row>
    <row r="37836">
      <c r="H37836" t="s">
        <v>5117</v>
      </c>
    </row>
    <row r="37837">
      <c r="H37837" t="s">
        <v>5117</v>
      </c>
    </row>
    <row r="37838">
      <c r="H37838" t="s">
        <v>5117</v>
      </c>
    </row>
    <row r="37839">
      <c r="H37839" t="s">
        <v>5117</v>
      </c>
    </row>
    <row r="37840">
      <c r="H37840" t="s">
        <v>5117</v>
      </c>
    </row>
    <row r="37841">
      <c r="H37841" t="s">
        <v>5117</v>
      </c>
    </row>
    <row r="37842">
      <c r="H37842" t="s">
        <v>5117</v>
      </c>
    </row>
    <row r="37843">
      <c r="H37843" t="s">
        <v>5117</v>
      </c>
    </row>
    <row r="37844">
      <c r="H37844" t="s">
        <v>5117</v>
      </c>
    </row>
    <row r="37845">
      <c r="H37845" t="s">
        <v>5117</v>
      </c>
    </row>
    <row r="37846">
      <c r="H37846" t="s">
        <v>5117</v>
      </c>
    </row>
    <row r="37847">
      <c r="H37847" t="s">
        <v>5117</v>
      </c>
    </row>
    <row r="37848">
      <c r="H37848" t="s">
        <v>5117</v>
      </c>
    </row>
    <row r="37849">
      <c r="H37849" t="s">
        <v>5117</v>
      </c>
    </row>
    <row r="37850">
      <c r="H37850" t="s">
        <v>5117</v>
      </c>
    </row>
    <row r="37851">
      <c r="H37851" t="s">
        <v>5117</v>
      </c>
    </row>
    <row r="37852">
      <c r="H37852" t="s">
        <v>5117</v>
      </c>
    </row>
    <row r="37853">
      <c r="H37853" t="s">
        <v>5117</v>
      </c>
    </row>
    <row r="37854">
      <c r="H37854" t="s">
        <v>5117</v>
      </c>
    </row>
    <row r="37855">
      <c r="H37855" t="s">
        <v>5117</v>
      </c>
    </row>
    <row r="37856">
      <c r="H37856" t="s">
        <v>5117</v>
      </c>
    </row>
    <row r="37857">
      <c r="H37857" t="s">
        <v>5117</v>
      </c>
    </row>
    <row r="37858">
      <c r="H37858" t="s">
        <v>5117</v>
      </c>
    </row>
    <row r="37859">
      <c r="H37859" t="s">
        <v>5117</v>
      </c>
    </row>
    <row r="37860">
      <c r="H37860" t="s">
        <v>5117</v>
      </c>
    </row>
    <row r="37861">
      <c r="H37861" t="s">
        <v>5117</v>
      </c>
    </row>
    <row r="37862">
      <c r="H37862" t="s">
        <v>5117</v>
      </c>
    </row>
    <row r="37863">
      <c r="H37863" t="s">
        <v>5117</v>
      </c>
    </row>
    <row r="37864">
      <c r="H37864" t="s">
        <v>5117</v>
      </c>
    </row>
    <row r="37865">
      <c r="H37865" t="s">
        <v>5117</v>
      </c>
    </row>
    <row r="37866">
      <c r="H37866" t="s">
        <v>5117</v>
      </c>
    </row>
    <row r="37867">
      <c r="H37867" t="s">
        <v>5117</v>
      </c>
    </row>
    <row r="37868">
      <c r="H37868" t="s">
        <v>5117</v>
      </c>
    </row>
    <row r="37869">
      <c r="H37869" t="s">
        <v>5117</v>
      </c>
    </row>
    <row r="37870">
      <c r="H37870" t="s">
        <v>5117</v>
      </c>
    </row>
    <row r="37871">
      <c r="H37871" t="s">
        <v>5117</v>
      </c>
    </row>
    <row r="37872">
      <c r="H37872" t="s">
        <v>5117</v>
      </c>
    </row>
    <row r="37873">
      <c r="H37873" t="s">
        <v>5117</v>
      </c>
    </row>
    <row r="37874">
      <c r="H37874" t="s">
        <v>5117</v>
      </c>
    </row>
    <row r="37875">
      <c r="H37875" t="s">
        <v>5117</v>
      </c>
    </row>
    <row r="37876">
      <c r="H37876" t="s">
        <v>5117</v>
      </c>
    </row>
    <row r="37877">
      <c r="H37877" t="s">
        <v>5117</v>
      </c>
    </row>
    <row r="37878">
      <c r="H37878" t="s">
        <v>5117</v>
      </c>
    </row>
    <row r="37879">
      <c r="H37879" t="s">
        <v>5117</v>
      </c>
    </row>
    <row r="37880">
      <c r="H37880" t="s">
        <v>5117</v>
      </c>
    </row>
    <row r="37881">
      <c r="H37881" t="s">
        <v>5117</v>
      </c>
    </row>
    <row r="37882">
      <c r="H37882" t="s">
        <v>5117</v>
      </c>
    </row>
    <row r="37883">
      <c r="H37883" t="s">
        <v>5117</v>
      </c>
    </row>
    <row r="37884">
      <c r="H37884" t="s">
        <v>5117</v>
      </c>
    </row>
    <row r="37885">
      <c r="H37885" t="s">
        <v>5117</v>
      </c>
    </row>
    <row r="37886">
      <c r="H37886" t="s">
        <v>5117</v>
      </c>
    </row>
    <row r="37887">
      <c r="H37887" t="s">
        <v>5117</v>
      </c>
    </row>
    <row r="37888">
      <c r="H37888" t="s">
        <v>5117</v>
      </c>
    </row>
    <row r="37889">
      <c r="H37889" t="s">
        <v>5117</v>
      </c>
    </row>
    <row r="37890">
      <c r="H37890" t="s">
        <v>5117</v>
      </c>
    </row>
    <row r="37891">
      <c r="H37891" t="s">
        <v>5117</v>
      </c>
    </row>
    <row r="37892">
      <c r="H37892" t="s">
        <v>5117</v>
      </c>
    </row>
    <row r="37893">
      <c r="H37893" t="s">
        <v>5117</v>
      </c>
    </row>
    <row r="37894">
      <c r="H37894" t="s">
        <v>5117</v>
      </c>
    </row>
    <row r="37895">
      <c r="H37895" t="s">
        <v>5117</v>
      </c>
    </row>
    <row r="37896">
      <c r="H37896" t="s">
        <v>5117</v>
      </c>
    </row>
    <row r="37897">
      <c r="H37897" t="s">
        <v>5117</v>
      </c>
    </row>
    <row r="37898">
      <c r="H37898" t="s">
        <v>5117</v>
      </c>
    </row>
    <row r="37899">
      <c r="H37899" t="s">
        <v>5117</v>
      </c>
    </row>
    <row r="37900">
      <c r="H37900" t="s">
        <v>5117</v>
      </c>
    </row>
    <row r="37901">
      <c r="H37901" t="s">
        <v>5117</v>
      </c>
    </row>
    <row r="37902">
      <c r="H37902" t="s">
        <v>5117</v>
      </c>
    </row>
    <row r="37903">
      <c r="H37903" t="s">
        <v>5117</v>
      </c>
    </row>
    <row r="37904">
      <c r="H37904" t="s">
        <v>5117</v>
      </c>
    </row>
    <row r="37905">
      <c r="H37905" t="s">
        <v>5117</v>
      </c>
    </row>
    <row r="37906">
      <c r="H37906" t="s">
        <v>5117</v>
      </c>
    </row>
    <row r="37907">
      <c r="H37907" t="s">
        <v>5117</v>
      </c>
    </row>
    <row r="37908">
      <c r="H37908" t="s">
        <v>5117</v>
      </c>
    </row>
    <row r="37909">
      <c r="H37909" t="s">
        <v>5117</v>
      </c>
    </row>
    <row r="37910">
      <c r="H37910" t="s">
        <v>5117</v>
      </c>
    </row>
    <row r="37911">
      <c r="H37911" t="s">
        <v>5117</v>
      </c>
    </row>
    <row r="37912">
      <c r="H37912" t="s">
        <v>5117</v>
      </c>
    </row>
    <row r="37913">
      <c r="H37913" t="s">
        <v>5117</v>
      </c>
    </row>
    <row r="37914">
      <c r="H37914" t="s">
        <v>5117</v>
      </c>
    </row>
    <row r="37915">
      <c r="H37915" t="s">
        <v>5117</v>
      </c>
    </row>
    <row r="37916">
      <c r="H37916" t="s">
        <v>5117</v>
      </c>
    </row>
    <row r="37917">
      <c r="H37917" t="s">
        <v>5117</v>
      </c>
    </row>
    <row r="37918">
      <c r="H37918" t="s">
        <v>5117</v>
      </c>
    </row>
    <row r="37919">
      <c r="H37919" t="s">
        <v>5117</v>
      </c>
    </row>
    <row r="37920">
      <c r="H37920" t="s">
        <v>5117</v>
      </c>
    </row>
    <row r="37921">
      <c r="H37921" t="s">
        <v>5117</v>
      </c>
    </row>
    <row r="37922">
      <c r="H37922" t="s">
        <v>5117</v>
      </c>
    </row>
    <row r="37923">
      <c r="H37923" t="s">
        <v>5117</v>
      </c>
    </row>
    <row r="37924">
      <c r="H37924" t="s">
        <v>5117</v>
      </c>
    </row>
    <row r="37925">
      <c r="H37925" t="s">
        <v>5117</v>
      </c>
    </row>
    <row r="37926">
      <c r="H37926" t="s">
        <v>5117</v>
      </c>
    </row>
    <row r="37927">
      <c r="H37927" t="s">
        <v>5117</v>
      </c>
    </row>
    <row r="37928">
      <c r="H37928" t="s">
        <v>5117</v>
      </c>
    </row>
    <row r="37929">
      <c r="H37929" t="s">
        <v>5117</v>
      </c>
    </row>
    <row r="37930">
      <c r="H37930" t="s">
        <v>5117</v>
      </c>
    </row>
    <row r="37931">
      <c r="H37931" t="s">
        <v>5117</v>
      </c>
    </row>
    <row r="37932">
      <c r="H37932" t="s">
        <v>5117</v>
      </c>
    </row>
    <row r="37933">
      <c r="H37933" t="s">
        <v>5117</v>
      </c>
    </row>
    <row r="37934">
      <c r="H37934" t="s">
        <v>5117</v>
      </c>
    </row>
    <row r="37935">
      <c r="H37935" t="s">
        <v>5117</v>
      </c>
    </row>
    <row r="37936">
      <c r="H37936" t="s">
        <v>5117</v>
      </c>
    </row>
    <row r="37937">
      <c r="H37937" t="s">
        <v>5117</v>
      </c>
    </row>
    <row r="37938">
      <c r="H37938" t="s">
        <v>5117</v>
      </c>
    </row>
    <row r="37939">
      <c r="H37939" t="s">
        <v>5117</v>
      </c>
    </row>
    <row r="37940">
      <c r="H37940" t="s">
        <v>5117</v>
      </c>
    </row>
    <row r="37941">
      <c r="H37941" t="s">
        <v>5117</v>
      </c>
    </row>
    <row r="37942">
      <c r="H37942" t="s">
        <v>5117</v>
      </c>
    </row>
    <row r="37943">
      <c r="H37943" t="s">
        <v>5117</v>
      </c>
    </row>
    <row r="37944">
      <c r="H37944" t="s">
        <v>5117</v>
      </c>
    </row>
    <row r="37945">
      <c r="H37945" t="s">
        <v>5117</v>
      </c>
    </row>
    <row r="37946">
      <c r="H37946" t="s">
        <v>5117</v>
      </c>
    </row>
    <row r="37947">
      <c r="H37947" t="s">
        <v>5117</v>
      </c>
    </row>
    <row r="37948">
      <c r="H37948" t="s">
        <v>5117</v>
      </c>
    </row>
    <row r="37949">
      <c r="H37949" t="s">
        <v>5117</v>
      </c>
    </row>
    <row r="37950">
      <c r="H37950" t="s">
        <v>5117</v>
      </c>
    </row>
    <row r="37951">
      <c r="H37951" t="s">
        <v>5117</v>
      </c>
    </row>
    <row r="37952">
      <c r="H37952" t="s">
        <v>5117</v>
      </c>
    </row>
    <row r="37953">
      <c r="H37953" t="s">
        <v>5117</v>
      </c>
    </row>
    <row r="37954">
      <c r="H37954" t="s">
        <v>5117</v>
      </c>
    </row>
    <row r="37955">
      <c r="H37955" t="s">
        <v>5117</v>
      </c>
    </row>
    <row r="37956">
      <c r="H37956" t="s">
        <v>5117</v>
      </c>
    </row>
    <row r="37957">
      <c r="H37957" t="s">
        <v>5117</v>
      </c>
    </row>
    <row r="37958">
      <c r="H37958" t="s">
        <v>5117</v>
      </c>
    </row>
    <row r="37959">
      <c r="H37959" t="s">
        <v>5117</v>
      </c>
    </row>
    <row r="37960">
      <c r="H37960" t="s">
        <v>5117</v>
      </c>
    </row>
    <row r="37961">
      <c r="H37961" t="s">
        <v>5117</v>
      </c>
    </row>
    <row r="37962">
      <c r="H37962" t="s">
        <v>5117</v>
      </c>
    </row>
    <row r="37963">
      <c r="H37963" t="s">
        <v>5117</v>
      </c>
    </row>
    <row r="37964">
      <c r="H37964" t="s">
        <v>5117</v>
      </c>
    </row>
    <row r="37965">
      <c r="H37965" t="s">
        <v>5117</v>
      </c>
    </row>
    <row r="37966">
      <c r="H37966" t="s">
        <v>5117</v>
      </c>
    </row>
    <row r="37967">
      <c r="H37967" t="s">
        <v>5117</v>
      </c>
    </row>
    <row r="37968">
      <c r="H37968" t="s">
        <v>5117</v>
      </c>
    </row>
    <row r="37969">
      <c r="H37969" t="s">
        <v>5117</v>
      </c>
    </row>
    <row r="37970">
      <c r="H37970" t="s">
        <v>5117</v>
      </c>
    </row>
    <row r="37971">
      <c r="H37971" t="s">
        <v>5117</v>
      </c>
    </row>
    <row r="37972">
      <c r="H37972" t="s">
        <v>5117</v>
      </c>
    </row>
    <row r="37973">
      <c r="H37973" t="s">
        <v>5117</v>
      </c>
    </row>
    <row r="37974">
      <c r="H37974" t="s">
        <v>5117</v>
      </c>
    </row>
    <row r="37975">
      <c r="H37975" t="s">
        <v>5117</v>
      </c>
    </row>
    <row r="37976">
      <c r="H37976" t="s">
        <v>5117</v>
      </c>
    </row>
    <row r="37977">
      <c r="H37977" t="s">
        <v>5117</v>
      </c>
    </row>
    <row r="37978">
      <c r="H37978" t="s">
        <v>5117</v>
      </c>
    </row>
    <row r="37979">
      <c r="H37979" t="s">
        <v>5117</v>
      </c>
    </row>
    <row r="37980">
      <c r="H37980" t="s">
        <v>5117</v>
      </c>
    </row>
    <row r="37981">
      <c r="H37981" t="s">
        <v>5117</v>
      </c>
    </row>
    <row r="37982">
      <c r="H37982" t="s">
        <v>5117</v>
      </c>
    </row>
    <row r="37983">
      <c r="H37983" t="s">
        <v>5117</v>
      </c>
    </row>
    <row r="37984">
      <c r="H37984" t="s">
        <v>5117</v>
      </c>
    </row>
    <row r="37985">
      <c r="H37985" t="s">
        <v>5117</v>
      </c>
    </row>
    <row r="37986">
      <c r="H37986" t="s">
        <v>5117</v>
      </c>
    </row>
    <row r="37987">
      <c r="H37987" t="s">
        <v>5117</v>
      </c>
    </row>
    <row r="37988">
      <c r="H37988" t="s">
        <v>5117</v>
      </c>
    </row>
    <row r="37989">
      <c r="H37989" t="s">
        <v>5117</v>
      </c>
    </row>
    <row r="37990">
      <c r="H37990" t="s">
        <v>5117</v>
      </c>
    </row>
    <row r="37991">
      <c r="H37991" t="s">
        <v>5117</v>
      </c>
    </row>
    <row r="37992">
      <c r="H37992" t="s">
        <v>5117</v>
      </c>
    </row>
    <row r="37993">
      <c r="H37993" t="s">
        <v>5117</v>
      </c>
    </row>
    <row r="37994">
      <c r="H37994" t="s">
        <v>5117</v>
      </c>
    </row>
    <row r="37995">
      <c r="H37995" t="s">
        <v>5117</v>
      </c>
    </row>
    <row r="37996">
      <c r="H37996" t="s">
        <v>5117</v>
      </c>
    </row>
    <row r="37997">
      <c r="H37997" t="s">
        <v>5117</v>
      </c>
    </row>
    <row r="37998">
      <c r="H37998" t="s">
        <v>5117</v>
      </c>
    </row>
    <row r="37999">
      <c r="H37999" t="s">
        <v>5117</v>
      </c>
    </row>
    <row r="38000">
      <c r="H38000" t="s">
        <v>5117</v>
      </c>
    </row>
    <row r="38001">
      <c r="H38001" t="s">
        <v>5117</v>
      </c>
    </row>
    <row r="38002">
      <c r="H38002" t="s">
        <v>5117</v>
      </c>
    </row>
    <row r="38003">
      <c r="H38003" t="s">
        <v>5117</v>
      </c>
    </row>
    <row r="38004">
      <c r="H38004" t="s">
        <v>5117</v>
      </c>
    </row>
    <row r="38005">
      <c r="H38005" t="s">
        <v>5117</v>
      </c>
    </row>
    <row r="38006">
      <c r="H38006" t="s">
        <v>5117</v>
      </c>
    </row>
    <row r="38007">
      <c r="H38007" t="s">
        <v>5117</v>
      </c>
    </row>
    <row r="38008">
      <c r="H38008" t="s">
        <v>5117</v>
      </c>
    </row>
    <row r="38009">
      <c r="H38009" t="s">
        <v>5117</v>
      </c>
    </row>
    <row r="38010">
      <c r="H38010" t="s">
        <v>5117</v>
      </c>
    </row>
    <row r="38011">
      <c r="H38011" t="s">
        <v>5117</v>
      </c>
    </row>
    <row r="38012">
      <c r="H38012" t="s">
        <v>5117</v>
      </c>
    </row>
    <row r="38013">
      <c r="H38013" t="s">
        <v>5117</v>
      </c>
    </row>
    <row r="38014">
      <c r="H38014" t="s">
        <v>5117</v>
      </c>
    </row>
    <row r="38015">
      <c r="H38015" t="s">
        <v>5117</v>
      </c>
    </row>
    <row r="38016">
      <c r="H38016" t="s">
        <v>5117</v>
      </c>
    </row>
    <row r="38017">
      <c r="H38017" t="s">
        <v>5117</v>
      </c>
    </row>
    <row r="38018">
      <c r="H38018" t="s">
        <v>5117</v>
      </c>
    </row>
    <row r="38019">
      <c r="H38019" t="s">
        <v>5117</v>
      </c>
    </row>
    <row r="38020">
      <c r="H38020" t="s">
        <v>5117</v>
      </c>
    </row>
    <row r="38021">
      <c r="H38021" t="s">
        <v>5117</v>
      </c>
    </row>
    <row r="38022">
      <c r="H38022" t="s">
        <v>5117</v>
      </c>
    </row>
    <row r="38023">
      <c r="H38023" t="s">
        <v>5117</v>
      </c>
    </row>
    <row r="38024">
      <c r="H38024" t="s">
        <v>5117</v>
      </c>
    </row>
    <row r="38025">
      <c r="H38025" t="s">
        <v>5117</v>
      </c>
    </row>
    <row r="38026">
      <c r="H38026" t="s">
        <v>5117</v>
      </c>
    </row>
    <row r="38027">
      <c r="H38027" t="s">
        <v>5117</v>
      </c>
    </row>
    <row r="38028">
      <c r="H38028" t="s">
        <v>5117</v>
      </c>
    </row>
    <row r="38029">
      <c r="H38029" t="s">
        <v>5117</v>
      </c>
    </row>
    <row r="38030">
      <c r="H38030" t="s">
        <v>5117</v>
      </c>
    </row>
    <row r="38031">
      <c r="H38031" t="s">
        <v>5117</v>
      </c>
    </row>
    <row r="38032">
      <c r="H38032" t="s">
        <v>5117</v>
      </c>
    </row>
    <row r="38033">
      <c r="H38033" t="s">
        <v>5117</v>
      </c>
    </row>
    <row r="38034">
      <c r="H38034" t="s">
        <v>5117</v>
      </c>
    </row>
    <row r="38035">
      <c r="H38035" t="s">
        <v>5117</v>
      </c>
    </row>
    <row r="38036">
      <c r="H38036" t="s">
        <v>5117</v>
      </c>
    </row>
    <row r="38037">
      <c r="H38037" t="s">
        <v>5117</v>
      </c>
    </row>
    <row r="38038">
      <c r="H38038" t="s">
        <v>5117</v>
      </c>
    </row>
    <row r="38039">
      <c r="H38039" t="s">
        <v>5117</v>
      </c>
    </row>
    <row r="38040">
      <c r="H38040" t="s">
        <v>5117</v>
      </c>
    </row>
    <row r="38041">
      <c r="H38041" t="s">
        <v>5117</v>
      </c>
    </row>
    <row r="38042">
      <c r="H38042" t="s">
        <v>5117</v>
      </c>
    </row>
    <row r="38043">
      <c r="H38043" t="s">
        <v>5117</v>
      </c>
    </row>
    <row r="38044">
      <c r="H38044" t="s">
        <v>5117</v>
      </c>
    </row>
    <row r="38045">
      <c r="H38045" t="s">
        <v>5117</v>
      </c>
    </row>
    <row r="38046">
      <c r="H38046" t="s">
        <v>5117</v>
      </c>
    </row>
    <row r="38047">
      <c r="H38047" t="s">
        <v>5117</v>
      </c>
    </row>
    <row r="38048">
      <c r="H38048" t="s">
        <v>5117</v>
      </c>
    </row>
    <row r="38049">
      <c r="H38049" t="s">
        <v>5117</v>
      </c>
    </row>
    <row r="38050">
      <c r="H38050" t="s">
        <v>5117</v>
      </c>
    </row>
    <row r="38051">
      <c r="H38051" t="s">
        <v>5117</v>
      </c>
    </row>
    <row r="38052">
      <c r="H38052" t="s">
        <v>5117</v>
      </c>
    </row>
    <row r="38053">
      <c r="H38053" t="s">
        <v>5117</v>
      </c>
    </row>
    <row r="38054">
      <c r="H38054" t="s">
        <v>5117</v>
      </c>
    </row>
    <row r="38055">
      <c r="H38055" t="s">
        <v>5117</v>
      </c>
    </row>
    <row r="38056">
      <c r="H38056" t="s">
        <v>5117</v>
      </c>
    </row>
    <row r="38057">
      <c r="H38057" t="s">
        <v>5117</v>
      </c>
    </row>
    <row r="38058">
      <c r="H38058" t="s">
        <v>5117</v>
      </c>
    </row>
    <row r="38059">
      <c r="H38059" t="s">
        <v>5117</v>
      </c>
    </row>
    <row r="38060">
      <c r="H38060" t="s">
        <v>5117</v>
      </c>
    </row>
    <row r="38061">
      <c r="H38061" t="s">
        <v>5117</v>
      </c>
    </row>
    <row r="38062">
      <c r="H38062" t="s">
        <v>5117</v>
      </c>
    </row>
    <row r="38063">
      <c r="H38063" t="s">
        <v>5117</v>
      </c>
    </row>
    <row r="38064">
      <c r="H38064" t="s">
        <v>5117</v>
      </c>
    </row>
    <row r="38065">
      <c r="H38065" t="s">
        <v>5117</v>
      </c>
    </row>
    <row r="38066">
      <c r="H38066" t="s">
        <v>5117</v>
      </c>
    </row>
    <row r="38067">
      <c r="H38067" t="s">
        <v>5117</v>
      </c>
    </row>
    <row r="38068">
      <c r="H38068" t="s">
        <v>5117</v>
      </c>
    </row>
    <row r="38069">
      <c r="H38069" t="s">
        <v>5117</v>
      </c>
    </row>
    <row r="38070">
      <c r="H38070" t="s">
        <v>5117</v>
      </c>
    </row>
    <row r="38071">
      <c r="H38071" t="s">
        <v>5117</v>
      </c>
    </row>
    <row r="38072">
      <c r="H38072" t="s">
        <v>5117</v>
      </c>
    </row>
    <row r="38073">
      <c r="H38073" t="s">
        <v>5117</v>
      </c>
    </row>
    <row r="38074">
      <c r="H38074" t="s">
        <v>5117</v>
      </c>
    </row>
    <row r="38075">
      <c r="H38075" t="s">
        <v>5117</v>
      </c>
    </row>
    <row r="38076">
      <c r="H38076" t="s">
        <v>5117</v>
      </c>
    </row>
    <row r="38077">
      <c r="H38077" t="s">
        <v>5117</v>
      </c>
    </row>
    <row r="38078">
      <c r="H38078" t="s">
        <v>5117</v>
      </c>
    </row>
    <row r="38079">
      <c r="H38079" t="s">
        <v>5117</v>
      </c>
    </row>
    <row r="38080">
      <c r="H38080" t="s">
        <v>5117</v>
      </c>
    </row>
    <row r="38081">
      <c r="H38081" t="s">
        <v>5117</v>
      </c>
    </row>
    <row r="38082">
      <c r="H38082" t="s">
        <v>5117</v>
      </c>
    </row>
    <row r="38083">
      <c r="H38083" t="s">
        <v>5117</v>
      </c>
    </row>
    <row r="38084">
      <c r="H38084" t="s">
        <v>5117</v>
      </c>
    </row>
    <row r="38085">
      <c r="H38085" t="s">
        <v>5117</v>
      </c>
    </row>
    <row r="38086">
      <c r="H38086" t="s">
        <v>5117</v>
      </c>
    </row>
    <row r="38087">
      <c r="H38087" t="s">
        <v>5117</v>
      </c>
    </row>
    <row r="38088">
      <c r="H38088" t="s">
        <v>5117</v>
      </c>
    </row>
    <row r="38089">
      <c r="H38089" t="s">
        <v>5117</v>
      </c>
    </row>
    <row r="38090">
      <c r="H38090" t="s">
        <v>5117</v>
      </c>
    </row>
    <row r="38091">
      <c r="H38091" t="s">
        <v>5117</v>
      </c>
    </row>
    <row r="38092">
      <c r="H38092" t="s">
        <v>5117</v>
      </c>
    </row>
    <row r="38093">
      <c r="H38093" t="s">
        <v>5117</v>
      </c>
    </row>
    <row r="38094">
      <c r="H38094" t="s">
        <v>5117</v>
      </c>
    </row>
    <row r="38095">
      <c r="H38095" t="s">
        <v>5117</v>
      </c>
    </row>
    <row r="38096">
      <c r="H38096" t="s">
        <v>5117</v>
      </c>
    </row>
    <row r="38097">
      <c r="H38097" t="s">
        <v>5117</v>
      </c>
    </row>
    <row r="38098">
      <c r="H38098" t="s">
        <v>5117</v>
      </c>
    </row>
    <row r="38099">
      <c r="H38099" t="s">
        <v>5117</v>
      </c>
    </row>
    <row r="38100">
      <c r="H38100" t="s">
        <v>5117</v>
      </c>
    </row>
    <row r="38101">
      <c r="H38101" t="s">
        <v>5117</v>
      </c>
    </row>
    <row r="38102">
      <c r="H38102" t="s">
        <v>5117</v>
      </c>
    </row>
    <row r="38103">
      <c r="H38103" t="s">
        <v>5117</v>
      </c>
    </row>
    <row r="38104">
      <c r="H38104" t="s">
        <v>5117</v>
      </c>
    </row>
    <row r="38105">
      <c r="H38105" t="s">
        <v>5117</v>
      </c>
    </row>
    <row r="38106">
      <c r="H38106" t="s">
        <v>5117</v>
      </c>
    </row>
    <row r="38107">
      <c r="H38107" t="s">
        <v>5117</v>
      </c>
    </row>
    <row r="38108">
      <c r="H38108" t="s">
        <v>5117</v>
      </c>
    </row>
    <row r="38109">
      <c r="H38109" t="s">
        <v>5117</v>
      </c>
    </row>
    <row r="38110">
      <c r="H38110" t="s">
        <v>5117</v>
      </c>
    </row>
    <row r="38111">
      <c r="H38111" t="s">
        <v>5117</v>
      </c>
    </row>
    <row r="38112">
      <c r="H38112" t="s">
        <v>5117</v>
      </c>
    </row>
    <row r="38113">
      <c r="H38113" t="s">
        <v>5117</v>
      </c>
    </row>
    <row r="38114">
      <c r="H38114" t="s">
        <v>5117</v>
      </c>
    </row>
    <row r="38115">
      <c r="H38115" t="s">
        <v>5117</v>
      </c>
    </row>
    <row r="38116">
      <c r="H38116" t="s">
        <v>5117</v>
      </c>
    </row>
    <row r="38117">
      <c r="H38117" t="s">
        <v>5117</v>
      </c>
    </row>
    <row r="38118">
      <c r="H38118" t="s">
        <v>5117</v>
      </c>
    </row>
    <row r="38119">
      <c r="H38119" t="s">
        <v>5117</v>
      </c>
    </row>
    <row r="38120">
      <c r="H38120" t="s">
        <v>5117</v>
      </c>
    </row>
    <row r="38121">
      <c r="H38121" t="s">
        <v>5117</v>
      </c>
    </row>
    <row r="38122">
      <c r="H38122" t="s">
        <v>5117</v>
      </c>
    </row>
    <row r="38123">
      <c r="H38123" t="s">
        <v>5117</v>
      </c>
    </row>
    <row r="38124">
      <c r="H38124" t="s">
        <v>5117</v>
      </c>
    </row>
    <row r="38125">
      <c r="H38125" t="s">
        <v>5117</v>
      </c>
    </row>
    <row r="38126">
      <c r="H38126" t="s">
        <v>5117</v>
      </c>
    </row>
    <row r="38127">
      <c r="H38127" t="s">
        <v>5117</v>
      </c>
    </row>
    <row r="38128">
      <c r="H38128" t="s">
        <v>5117</v>
      </c>
    </row>
    <row r="38129">
      <c r="H38129" t="s">
        <v>5117</v>
      </c>
    </row>
    <row r="38130">
      <c r="H38130" t="s">
        <v>5117</v>
      </c>
    </row>
    <row r="38131">
      <c r="H38131" t="s">
        <v>5117</v>
      </c>
    </row>
    <row r="38132">
      <c r="H38132" t="s">
        <v>5117</v>
      </c>
    </row>
    <row r="38133">
      <c r="H38133" t="s">
        <v>5117</v>
      </c>
    </row>
    <row r="38134">
      <c r="H38134" t="s">
        <v>5117</v>
      </c>
    </row>
    <row r="38135">
      <c r="H38135" t="s">
        <v>5117</v>
      </c>
    </row>
    <row r="38136">
      <c r="H38136" t="s">
        <v>5117</v>
      </c>
    </row>
    <row r="38137">
      <c r="H38137" t="s">
        <v>5117</v>
      </c>
    </row>
    <row r="38138">
      <c r="H38138" t="s">
        <v>5117</v>
      </c>
    </row>
    <row r="38139">
      <c r="H38139" t="s">
        <v>5117</v>
      </c>
    </row>
    <row r="38140">
      <c r="H38140" t="s">
        <v>5117</v>
      </c>
    </row>
    <row r="38141">
      <c r="H38141" t="s">
        <v>5117</v>
      </c>
    </row>
    <row r="38142">
      <c r="H38142" t="s">
        <v>5117</v>
      </c>
    </row>
    <row r="38143">
      <c r="H38143" t="s">
        <v>5117</v>
      </c>
    </row>
    <row r="38144">
      <c r="H38144" t="s">
        <v>5117</v>
      </c>
    </row>
    <row r="38145">
      <c r="H38145" t="s">
        <v>5117</v>
      </c>
    </row>
    <row r="38146">
      <c r="H38146" t="s">
        <v>5117</v>
      </c>
    </row>
    <row r="38147">
      <c r="H38147" t="s">
        <v>5117</v>
      </c>
    </row>
    <row r="38148">
      <c r="H38148" t="s">
        <v>5117</v>
      </c>
    </row>
    <row r="38149">
      <c r="H38149" t="s">
        <v>5117</v>
      </c>
    </row>
    <row r="38150">
      <c r="H38150" t="s">
        <v>5117</v>
      </c>
    </row>
    <row r="38151">
      <c r="H38151" t="s">
        <v>5117</v>
      </c>
    </row>
    <row r="38152">
      <c r="H38152" t="s">
        <v>5117</v>
      </c>
    </row>
    <row r="38153">
      <c r="H38153" t="s">
        <v>5117</v>
      </c>
    </row>
    <row r="38154">
      <c r="H38154" t="s">
        <v>5117</v>
      </c>
    </row>
    <row r="38155">
      <c r="H38155" t="s">
        <v>5117</v>
      </c>
    </row>
    <row r="38156">
      <c r="H38156" t="s">
        <v>5117</v>
      </c>
    </row>
    <row r="38157">
      <c r="H38157" t="s">
        <v>5117</v>
      </c>
    </row>
    <row r="38158">
      <c r="H38158" t="s">
        <v>5117</v>
      </c>
    </row>
    <row r="38159">
      <c r="H38159" t="s">
        <v>5117</v>
      </c>
    </row>
    <row r="38160">
      <c r="H38160" t="s">
        <v>5117</v>
      </c>
    </row>
    <row r="38161">
      <c r="H38161" t="s">
        <v>5117</v>
      </c>
    </row>
    <row r="38162">
      <c r="H38162" t="s">
        <v>5117</v>
      </c>
    </row>
    <row r="38163">
      <c r="H38163" t="s">
        <v>5117</v>
      </c>
    </row>
    <row r="38164">
      <c r="H38164" t="s">
        <v>5117</v>
      </c>
    </row>
    <row r="38165">
      <c r="H38165" t="s">
        <v>5117</v>
      </c>
    </row>
    <row r="38166">
      <c r="H38166" t="s">
        <v>5117</v>
      </c>
    </row>
    <row r="38167">
      <c r="H38167" t="s">
        <v>5117</v>
      </c>
    </row>
    <row r="38168">
      <c r="H38168" t="s">
        <v>5117</v>
      </c>
    </row>
    <row r="38169">
      <c r="H38169" t="s">
        <v>5117</v>
      </c>
    </row>
    <row r="38170">
      <c r="H38170" t="s">
        <v>5117</v>
      </c>
    </row>
    <row r="38171">
      <c r="H38171" t="s">
        <v>5117</v>
      </c>
    </row>
    <row r="38172">
      <c r="H38172" t="s">
        <v>5117</v>
      </c>
    </row>
    <row r="38173">
      <c r="H38173" t="s">
        <v>5117</v>
      </c>
    </row>
    <row r="38174">
      <c r="H38174" t="s">
        <v>5117</v>
      </c>
    </row>
    <row r="38175">
      <c r="H38175" t="s">
        <v>5117</v>
      </c>
    </row>
    <row r="38176">
      <c r="H38176" t="s">
        <v>5117</v>
      </c>
    </row>
    <row r="38177">
      <c r="H38177" t="s">
        <v>5117</v>
      </c>
    </row>
    <row r="38178">
      <c r="H38178" t="s">
        <v>5117</v>
      </c>
    </row>
    <row r="38179">
      <c r="H38179" t="s">
        <v>5117</v>
      </c>
    </row>
    <row r="38180">
      <c r="H38180" t="s">
        <v>5117</v>
      </c>
    </row>
    <row r="38181">
      <c r="H38181" t="s">
        <v>5117</v>
      </c>
    </row>
    <row r="38182">
      <c r="H38182" t="s">
        <v>5117</v>
      </c>
    </row>
    <row r="38183">
      <c r="H38183" t="s">
        <v>5117</v>
      </c>
    </row>
    <row r="38184">
      <c r="H38184" t="s">
        <v>5117</v>
      </c>
    </row>
    <row r="38185">
      <c r="H38185" t="s">
        <v>5117</v>
      </c>
    </row>
    <row r="38186">
      <c r="H38186" t="s">
        <v>5117</v>
      </c>
    </row>
    <row r="38187">
      <c r="H38187" t="s">
        <v>5117</v>
      </c>
    </row>
    <row r="38188">
      <c r="H38188" t="s">
        <v>5117</v>
      </c>
    </row>
    <row r="38189">
      <c r="H38189" t="s">
        <v>5117</v>
      </c>
    </row>
    <row r="38190">
      <c r="H38190" t="s">
        <v>5117</v>
      </c>
    </row>
    <row r="38191">
      <c r="H38191" t="s">
        <v>5117</v>
      </c>
    </row>
    <row r="38192">
      <c r="H38192" t="s">
        <v>5117</v>
      </c>
    </row>
    <row r="38193">
      <c r="H38193" t="s">
        <v>5117</v>
      </c>
    </row>
    <row r="38194">
      <c r="H38194" t="s">
        <v>5117</v>
      </c>
    </row>
    <row r="38195">
      <c r="H38195" t="s">
        <v>5117</v>
      </c>
    </row>
    <row r="38196">
      <c r="H38196" t="s">
        <v>5117</v>
      </c>
    </row>
    <row r="38197">
      <c r="H38197" t="s">
        <v>5117</v>
      </c>
    </row>
    <row r="38198">
      <c r="H38198" t="s">
        <v>5117</v>
      </c>
    </row>
    <row r="38199">
      <c r="H38199" t="s">
        <v>5117</v>
      </c>
    </row>
    <row r="38200">
      <c r="H38200" t="s">
        <v>5117</v>
      </c>
    </row>
    <row r="38201">
      <c r="H38201" t="s">
        <v>5117</v>
      </c>
    </row>
    <row r="38202">
      <c r="H38202" t="s">
        <v>5117</v>
      </c>
    </row>
    <row r="38203">
      <c r="H38203" t="s">
        <v>5117</v>
      </c>
    </row>
    <row r="38204">
      <c r="H38204" t="s">
        <v>5117</v>
      </c>
    </row>
    <row r="38205">
      <c r="H38205" t="s">
        <v>5117</v>
      </c>
    </row>
    <row r="38206">
      <c r="H38206" t="s">
        <v>5117</v>
      </c>
    </row>
    <row r="38207">
      <c r="H38207" t="s">
        <v>5117</v>
      </c>
    </row>
    <row r="38208">
      <c r="H38208" t="s">
        <v>5117</v>
      </c>
    </row>
    <row r="38209">
      <c r="H38209" t="s">
        <v>5117</v>
      </c>
    </row>
    <row r="38210">
      <c r="H38210" t="s">
        <v>5117</v>
      </c>
    </row>
    <row r="38211">
      <c r="H38211" t="s">
        <v>5117</v>
      </c>
    </row>
    <row r="38212">
      <c r="H38212" t="s">
        <v>5117</v>
      </c>
    </row>
    <row r="38213">
      <c r="H38213" t="s">
        <v>5117</v>
      </c>
    </row>
    <row r="38214">
      <c r="H38214" t="s">
        <v>5117</v>
      </c>
    </row>
    <row r="38215">
      <c r="H38215" t="s">
        <v>5117</v>
      </c>
    </row>
    <row r="38216">
      <c r="H38216" t="s">
        <v>5117</v>
      </c>
    </row>
    <row r="38217">
      <c r="H38217" t="s">
        <v>5117</v>
      </c>
    </row>
    <row r="38218">
      <c r="H38218" t="s">
        <v>5117</v>
      </c>
    </row>
    <row r="38219">
      <c r="H38219" t="s">
        <v>5117</v>
      </c>
    </row>
    <row r="38220">
      <c r="H38220" t="s">
        <v>5117</v>
      </c>
    </row>
    <row r="38221">
      <c r="H38221" t="s">
        <v>5117</v>
      </c>
    </row>
    <row r="38222">
      <c r="H38222" t="s">
        <v>5117</v>
      </c>
    </row>
    <row r="38223">
      <c r="H38223" t="s">
        <v>5117</v>
      </c>
    </row>
    <row r="38224">
      <c r="H38224" t="s">
        <v>5117</v>
      </c>
    </row>
    <row r="38225">
      <c r="H38225" t="s">
        <v>5117</v>
      </c>
    </row>
    <row r="38226">
      <c r="H38226" t="s">
        <v>5117</v>
      </c>
    </row>
    <row r="38227">
      <c r="H38227" t="s">
        <v>5117</v>
      </c>
    </row>
    <row r="38228">
      <c r="H38228" t="s">
        <v>5117</v>
      </c>
    </row>
    <row r="38229">
      <c r="H38229" t="s">
        <v>5117</v>
      </c>
    </row>
    <row r="38230">
      <c r="H38230" t="s">
        <v>5117</v>
      </c>
    </row>
    <row r="38231">
      <c r="H38231" t="s">
        <v>5117</v>
      </c>
    </row>
    <row r="38232">
      <c r="H38232" t="s">
        <v>5117</v>
      </c>
    </row>
    <row r="38233">
      <c r="H38233" t="s">
        <v>5117</v>
      </c>
    </row>
    <row r="38234">
      <c r="H38234" t="s">
        <v>5117</v>
      </c>
    </row>
    <row r="38235">
      <c r="H38235" t="s">
        <v>5117</v>
      </c>
    </row>
    <row r="38236">
      <c r="H38236" t="s">
        <v>5117</v>
      </c>
    </row>
    <row r="38237">
      <c r="H38237" t="s">
        <v>5117</v>
      </c>
    </row>
    <row r="38238">
      <c r="H38238" t="s">
        <v>5117</v>
      </c>
    </row>
    <row r="38239">
      <c r="H38239" t="s">
        <v>5117</v>
      </c>
    </row>
    <row r="38240">
      <c r="H38240" t="s">
        <v>5117</v>
      </c>
    </row>
    <row r="38241">
      <c r="H38241" t="s">
        <v>5117</v>
      </c>
    </row>
    <row r="38242">
      <c r="H38242" t="s">
        <v>5117</v>
      </c>
    </row>
    <row r="38243">
      <c r="H38243" t="s">
        <v>5117</v>
      </c>
    </row>
    <row r="38244">
      <c r="H38244" t="s">
        <v>5117</v>
      </c>
    </row>
    <row r="38245">
      <c r="H38245" t="s">
        <v>5117</v>
      </c>
    </row>
    <row r="38246">
      <c r="H38246" t="s">
        <v>5117</v>
      </c>
    </row>
    <row r="38247">
      <c r="H38247" t="s">
        <v>5117</v>
      </c>
    </row>
    <row r="38248">
      <c r="H38248" t="s">
        <v>5117</v>
      </c>
    </row>
    <row r="38249">
      <c r="H38249" t="s">
        <v>5117</v>
      </c>
    </row>
    <row r="38250">
      <c r="H38250" t="s">
        <v>5117</v>
      </c>
    </row>
    <row r="38251">
      <c r="H38251" t="s">
        <v>5117</v>
      </c>
    </row>
    <row r="38252">
      <c r="H38252" t="s">
        <v>5117</v>
      </c>
    </row>
    <row r="38253">
      <c r="H38253" t="s">
        <v>5117</v>
      </c>
    </row>
    <row r="38254">
      <c r="H38254" t="s">
        <v>5117</v>
      </c>
    </row>
    <row r="38255">
      <c r="H38255" t="s">
        <v>5117</v>
      </c>
    </row>
    <row r="38256">
      <c r="H38256" t="s">
        <v>5117</v>
      </c>
    </row>
    <row r="38257">
      <c r="H38257" t="s">
        <v>5117</v>
      </c>
    </row>
    <row r="38258">
      <c r="H38258" t="s">
        <v>5117</v>
      </c>
    </row>
    <row r="38259">
      <c r="H38259" t="s">
        <v>5117</v>
      </c>
    </row>
    <row r="38260">
      <c r="H38260" t="s">
        <v>5117</v>
      </c>
    </row>
    <row r="38261">
      <c r="H38261" t="s">
        <v>5117</v>
      </c>
    </row>
    <row r="38262">
      <c r="H38262" t="s">
        <v>5117</v>
      </c>
    </row>
    <row r="38263">
      <c r="H38263" t="s">
        <v>5117</v>
      </c>
    </row>
    <row r="38264">
      <c r="H38264" t="s">
        <v>5117</v>
      </c>
    </row>
    <row r="38265">
      <c r="H38265" t="s">
        <v>5117</v>
      </c>
    </row>
    <row r="38266">
      <c r="H38266" t="s">
        <v>5117</v>
      </c>
    </row>
    <row r="38267">
      <c r="H38267" t="s">
        <v>5117</v>
      </c>
    </row>
    <row r="38268">
      <c r="H38268" t="s">
        <v>5117</v>
      </c>
    </row>
    <row r="38269">
      <c r="H38269" t="s">
        <v>5117</v>
      </c>
    </row>
    <row r="38270">
      <c r="H38270" t="s">
        <v>5117</v>
      </c>
    </row>
    <row r="38271">
      <c r="H38271" t="s">
        <v>5117</v>
      </c>
    </row>
    <row r="38272">
      <c r="H38272" t="s">
        <v>5117</v>
      </c>
    </row>
    <row r="38273">
      <c r="H38273" t="s">
        <v>5117</v>
      </c>
    </row>
    <row r="38274">
      <c r="H38274" t="s">
        <v>5117</v>
      </c>
    </row>
    <row r="38275">
      <c r="H38275" t="s">
        <v>5117</v>
      </c>
    </row>
    <row r="38276">
      <c r="H38276" t="s">
        <v>5117</v>
      </c>
    </row>
    <row r="38277">
      <c r="H38277" t="s">
        <v>5117</v>
      </c>
    </row>
    <row r="38278">
      <c r="H38278" t="s">
        <v>5117</v>
      </c>
    </row>
    <row r="38279">
      <c r="H38279" t="s">
        <v>5117</v>
      </c>
    </row>
    <row r="38280">
      <c r="H38280" t="s">
        <v>5117</v>
      </c>
    </row>
    <row r="38281">
      <c r="H38281" t="s">
        <v>5117</v>
      </c>
    </row>
    <row r="38282">
      <c r="H38282" t="s">
        <v>5117</v>
      </c>
    </row>
    <row r="38283">
      <c r="H38283" t="s">
        <v>5117</v>
      </c>
    </row>
    <row r="38284">
      <c r="H38284" t="s">
        <v>5117</v>
      </c>
    </row>
    <row r="38285">
      <c r="H38285" t="s">
        <v>5117</v>
      </c>
    </row>
    <row r="38286">
      <c r="H38286" t="s">
        <v>5117</v>
      </c>
    </row>
    <row r="38287">
      <c r="H38287" t="s">
        <v>5117</v>
      </c>
    </row>
    <row r="38288">
      <c r="H38288" t="s">
        <v>5117</v>
      </c>
    </row>
    <row r="38289">
      <c r="H38289" t="s">
        <v>5117</v>
      </c>
    </row>
    <row r="38290">
      <c r="H38290" t="s">
        <v>5117</v>
      </c>
    </row>
    <row r="38291">
      <c r="H38291" t="s">
        <v>5117</v>
      </c>
    </row>
    <row r="38292">
      <c r="H38292" t="s">
        <v>5117</v>
      </c>
    </row>
    <row r="38293">
      <c r="H38293" t="s">
        <v>5117</v>
      </c>
    </row>
    <row r="38294">
      <c r="H38294" t="s">
        <v>5117</v>
      </c>
    </row>
    <row r="38295">
      <c r="H38295" t="s">
        <v>5117</v>
      </c>
    </row>
    <row r="38296">
      <c r="H38296" t="s">
        <v>5117</v>
      </c>
    </row>
    <row r="38297">
      <c r="H38297" t="s">
        <v>5117</v>
      </c>
    </row>
    <row r="38298">
      <c r="H38298" t="s">
        <v>5117</v>
      </c>
    </row>
    <row r="38299">
      <c r="H38299" t="s">
        <v>5117</v>
      </c>
    </row>
    <row r="38300">
      <c r="H38300" t="s">
        <v>5117</v>
      </c>
    </row>
    <row r="38301">
      <c r="H38301" t="s">
        <v>5117</v>
      </c>
    </row>
    <row r="38302">
      <c r="H38302" t="s">
        <v>5117</v>
      </c>
    </row>
    <row r="38303">
      <c r="H38303" t="s">
        <v>5117</v>
      </c>
    </row>
    <row r="38304">
      <c r="H38304" t="s">
        <v>5117</v>
      </c>
    </row>
    <row r="38305">
      <c r="H38305" t="s">
        <v>5117</v>
      </c>
    </row>
    <row r="38306">
      <c r="H38306" t="s">
        <v>5117</v>
      </c>
    </row>
    <row r="38307">
      <c r="H38307" t="s">
        <v>5117</v>
      </c>
    </row>
    <row r="38308">
      <c r="H38308" t="s">
        <v>5117</v>
      </c>
    </row>
    <row r="38309">
      <c r="H38309" t="s">
        <v>5117</v>
      </c>
    </row>
    <row r="38310">
      <c r="H38310" t="s">
        <v>5117</v>
      </c>
    </row>
    <row r="38311">
      <c r="H38311" t="s">
        <v>5117</v>
      </c>
    </row>
    <row r="38312">
      <c r="H38312" t="s">
        <v>5117</v>
      </c>
    </row>
    <row r="38313">
      <c r="H38313" t="s">
        <v>5117</v>
      </c>
    </row>
    <row r="38314">
      <c r="H38314" t="s">
        <v>5117</v>
      </c>
    </row>
    <row r="38315">
      <c r="H38315" t="s">
        <v>5117</v>
      </c>
    </row>
    <row r="38316">
      <c r="H38316" t="s">
        <v>5117</v>
      </c>
    </row>
    <row r="38317">
      <c r="H38317" t="s">
        <v>5117</v>
      </c>
    </row>
    <row r="38318">
      <c r="H38318" t="s">
        <v>5117</v>
      </c>
    </row>
    <row r="38319">
      <c r="H38319" t="s">
        <v>5117</v>
      </c>
    </row>
    <row r="38320">
      <c r="H38320" t="s">
        <v>5117</v>
      </c>
    </row>
    <row r="38321">
      <c r="H38321" t="s">
        <v>5117</v>
      </c>
    </row>
    <row r="38322">
      <c r="H38322" t="s">
        <v>5117</v>
      </c>
    </row>
    <row r="38323">
      <c r="H38323" t="s">
        <v>5117</v>
      </c>
    </row>
    <row r="38324">
      <c r="H38324" t="s">
        <v>5117</v>
      </c>
    </row>
    <row r="38325">
      <c r="H38325" t="s">
        <v>5117</v>
      </c>
    </row>
    <row r="38326">
      <c r="H38326" t="s">
        <v>5117</v>
      </c>
    </row>
    <row r="38327">
      <c r="H38327" t="s">
        <v>5117</v>
      </c>
    </row>
    <row r="38328">
      <c r="H38328" t="s">
        <v>5117</v>
      </c>
    </row>
    <row r="38329">
      <c r="H38329" t="s">
        <v>5117</v>
      </c>
    </row>
    <row r="38330">
      <c r="H38330" t="s">
        <v>5117</v>
      </c>
    </row>
    <row r="38331">
      <c r="H38331" t="s">
        <v>5117</v>
      </c>
    </row>
    <row r="38332">
      <c r="H38332" t="s">
        <v>5117</v>
      </c>
    </row>
    <row r="38333">
      <c r="H38333" t="s">
        <v>5117</v>
      </c>
    </row>
    <row r="38334">
      <c r="H38334" t="s">
        <v>5117</v>
      </c>
    </row>
    <row r="38335">
      <c r="H38335" t="s">
        <v>5117</v>
      </c>
    </row>
    <row r="38336">
      <c r="H38336" t="s">
        <v>5117</v>
      </c>
    </row>
    <row r="38337">
      <c r="H38337" t="s">
        <v>5117</v>
      </c>
    </row>
    <row r="38338">
      <c r="H38338" t="s">
        <v>5117</v>
      </c>
    </row>
    <row r="38339">
      <c r="H38339" t="s">
        <v>5117</v>
      </c>
    </row>
    <row r="38340">
      <c r="H38340" t="s">
        <v>5117</v>
      </c>
    </row>
    <row r="38341">
      <c r="H38341" t="s">
        <v>5117</v>
      </c>
    </row>
    <row r="38342">
      <c r="H38342" t="s">
        <v>5117</v>
      </c>
    </row>
    <row r="38343">
      <c r="H38343" t="s">
        <v>5117</v>
      </c>
    </row>
    <row r="38344">
      <c r="H38344" t="s">
        <v>5117</v>
      </c>
    </row>
    <row r="38345">
      <c r="H38345" t="s">
        <v>5117</v>
      </c>
    </row>
    <row r="38346">
      <c r="H38346" t="s">
        <v>5117</v>
      </c>
    </row>
    <row r="38347">
      <c r="H38347" t="s">
        <v>5117</v>
      </c>
    </row>
    <row r="38348">
      <c r="H38348" t="s">
        <v>5117</v>
      </c>
    </row>
    <row r="38349">
      <c r="H38349" t="s">
        <v>5117</v>
      </c>
    </row>
    <row r="38350">
      <c r="H38350" t="s">
        <v>5117</v>
      </c>
    </row>
    <row r="38351">
      <c r="H38351" t="s">
        <v>5117</v>
      </c>
    </row>
    <row r="38352">
      <c r="H38352" t="s">
        <v>5117</v>
      </c>
    </row>
    <row r="38353">
      <c r="H38353" t="s">
        <v>5117</v>
      </c>
    </row>
    <row r="38354">
      <c r="H38354" t="s">
        <v>5117</v>
      </c>
    </row>
    <row r="38355">
      <c r="H38355" t="s">
        <v>5117</v>
      </c>
    </row>
    <row r="38356">
      <c r="H38356" t="s">
        <v>5117</v>
      </c>
    </row>
    <row r="38357">
      <c r="H38357" t="s">
        <v>5117</v>
      </c>
    </row>
    <row r="38358">
      <c r="H38358" t="s">
        <v>5117</v>
      </c>
    </row>
    <row r="38359">
      <c r="H38359" t="s">
        <v>5117</v>
      </c>
    </row>
    <row r="38360">
      <c r="H38360" t="s">
        <v>5117</v>
      </c>
    </row>
    <row r="38361">
      <c r="H38361" t="s">
        <v>5117</v>
      </c>
    </row>
    <row r="38362">
      <c r="H38362" t="s">
        <v>5117</v>
      </c>
    </row>
    <row r="38363">
      <c r="H38363" t="s">
        <v>5117</v>
      </c>
    </row>
    <row r="38364">
      <c r="H38364" t="s">
        <v>5117</v>
      </c>
    </row>
    <row r="38365">
      <c r="H38365" t="s">
        <v>5117</v>
      </c>
    </row>
    <row r="38366">
      <c r="H38366" t="s">
        <v>5117</v>
      </c>
    </row>
    <row r="38367">
      <c r="H38367" t="s">
        <v>5117</v>
      </c>
    </row>
    <row r="38368">
      <c r="H38368" t="s">
        <v>5117</v>
      </c>
    </row>
    <row r="38369">
      <c r="H38369" t="s">
        <v>5117</v>
      </c>
    </row>
    <row r="38370">
      <c r="H38370" t="s">
        <v>5117</v>
      </c>
    </row>
    <row r="38371">
      <c r="H38371" t="s">
        <v>5117</v>
      </c>
    </row>
    <row r="38372">
      <c r="H38372" t="s">
        <v>5117</v>
      </c>
    </row>
    <row r="38373">
      <c r="H38373" t="s">
        <v>5117</v>
      </c>
    </row>
    <row r="38374">
      <c r="H38374" t="s">
        <v>5117</v>
      </c>
    </row>
    <row r="38375">
      <c r="H38375" t="s">
        <v>5117</v>
      </c>
    </row>
    <row r="38376">
      <c r="H38376" t="s">
        <v>5117</v>
      </c>
    </row>
    <row r="38377">
      <c r="H38377" t="s">
        <v>5117</v>
      </c>
    </row>
    <row r="38378">
      <c r="H38378" t="s">
        <v>5117</v>
      </c>
    </row>
    <row r="38379">
      <c r="H38379" t="s">
        <v>5117</v>
      </c>
    </row>
    <row r="38380">
      <c r="H38380" t="s">
        <v>5117</v>
      </c>
    </row>
    <row r="38381">
      <c r="H38381" t="s">
        <v>5117</v>
      </c>
    </row>
    <row r="38382">
      <c r="H38382" t="s">
        <v>5117</v>
      </c>
    </row>
    <row r="38383">
      <c r="H38383" t="s">
        <v>5117</v>
      </c>
    </row>
    <row r="38384">
      <c r="H38384" t="s">
        <v>5117</v>
      </c>
    </row>
    <row r="38385">
      <c r="H38385" t="s">
        <v>5117</v>
      </c>
    </row>
    <row r="38386">
      <c r="H38386" t="s">
        <v>5117</v>
      </c>
    </row>
    <row r="38387">
      <c r="H38387" t="s">
        <v>5117</v>
      </c>
    </row>
    <row r="38388">
      <c r="H38388" t="s">
        <v>5117</v>
      </c>
    </row>
    <row r="38389">
      <c r="H38389" t="s">
        <v>5117</v>
      </c>
    </row>
    <row r="38390">
      <c r="H38390" t="s">
        <v>5117</v>
      </c>
    </row>
    <row r="38391">
      <c r="H38391" t="s">
        <v>5117</v>
      </c>
    </row>
    <row r="38392">
      <c r="H38392" t="s">
        <v>5117</v>
      </c>
    </row>
    <row r="38393">
      <c r="H38393" t="s">
        <v>5117</v>
      </c>
    </row>
    <row r="38394">
      <c r="H38394" t="s">
        <v>5117</v>
      </c>
    </row>
    <row r="38395">
      <c r="H38395" t="s">
        <v>5117</v>
      </c>
    </row>
    <row r="38396">
      <c r="H38396" t="s">
        <v>5117</v>
      </c>
    </row>
    <row r="38397">
      <c r="H38397" t="s">
        <v>5117</v>
      </c>
    </row>
    <row r="38398">
      <c r="H38398" t="s">
        <v>5117</v>
      </c>
    </row>
    <row r="38399">
      <c r="H38399" t="s">
        <v>5117</v>
      </c>
    </row>
    <row r="38400">
      <c r="H38400" t="s">
        <v>5117</v>
      </c>
    </row>
    <row r="38401">
      <c r="H38401" t="s">
        <v>5117</v>
      </c>
    </row>
    <row r="38402">
      <c r="H38402" t="s">
        <v>5117</v>
      </c>
    </row>
    <row r="38403">
      <c r="H38403" t="s">
        <v>5117</v>
      </c>
    </row>
    <row r="38404">
      <c r="H38404" t="s">
        <v>5117</v>
      </c>
    </row>
    <row r="38405">
      <c r="H38405" t="s">
        <v>5117</v>
      </c>
    </row>
    <row r="38406">
      <c r="H38406" t="s">
        <v>5117</v>
      </c>
    </row>
    <row r="38407">
      <c r="H38407" t="s">
        <v>5117</v>
      </c>
    </row>
    <row r="38408">
      <c r="H38408" t="s">
        <v>5117</v>
      </c>
    </row>
    <row r="38409">
      <c r="H38409" t="s">
        <v>5117</v>
      </c>
    </row>
    <row r="38410">
      <c r="H38410" t="s">
        <v>5117</v>
      </c>
    </row>
    <row r="38411">
      <c r="H38411" t="s">
        <v>5117</v>
      </c>
    </row>
    <row r="38412">
      <c r="H38412" t="s">
        <v>5117</v>
      </c>
    </row>
    <row r="38413">
      <c r="H38413" t="s">
        <v>5117</v>
      </c>
    </row>
    <row r="38414">
      <c r="H38414" t="s">
        <v>5117</v>
      </c>
    </row>
    <row r="38415">
      <c r="H38415" t="s">
        <v>5117</v>
      </c>
    </row>
    <row r="38416">
      <c r="H38416" t="s">
        <v>5117</v>
      </c>
    </row>
    <row r="38417">
      <c r="H38417" t="s">
        <v>5117</v>
      </c>
    </row>
    <row r="38418">
      <c r="H38418" t="s">
        <v>5117</v>
      </c>
    </row>
    <row r="38419">
      <c r="H38419" t="s">
        <v>5117</v>
      </c>
    </row>
    <row r="38420">
      <c r="H38420" t="s">
        <v>5117</v>
      </c>
    </row>
    <row r="38421">
      <c r="H38421" t="s">
        <v>5117</v>
      </c>
    </row>
    <row r="38422">
      <c r="H38422" t="s">
        <v>5117</v>
      </c>
    </row>
    <row r="38423">
      <c r="H38423" t="s">
        <v>5117</v>
      </c>
    </row>
    <row r="38424">
      <c r="H38424" t="s">
        <v>5117</v>
      </c>
    </row>
    <row r="38425">
      <c r="H38425" t="s">
        <v>5117</v>
      </c>
    </row>
    <row r="38426">
      <c r="H38426" t="s">
        <v>5117</v>
      </c>
    </row>
    <row r="38427">
      <c r="H38427" t="s">
        <v>5117</v>
      </c>
    </row>
    <row r="38428">
      <c r="H38428" t="s">
        <v>5117</v>
      </c>
    </row>
    <row r="38429">
      <c r="H38429" t="s">
        <v>5117</v>
      </c>
    </row>
    <row r="38430">
      <c r="H38430" t="s">
        <v>5117</v>
      </c>
    </row>
    <row r="38431">
      <c r="H38431" t="s">
        <v>5117</v>
      </c>
    </row>
    <row r="38432">
      <c r="H38432" t="s">
        <v>5117</v>
      </c>
    </row>
    <row r="38433">
      <c r="H38433" t="s">
        <v>5117</v>
      </c>
    </row>
    <row r="38434">
      <c r="H38434" t="s">
        <v>5117</v>
      </c>
    </row>
    <row r="38435">
      <c r="H38435" t="s">
        <v>5117</v>
      </c>
    </row>
    <row r="38436">
      <c r="H38436" t="s">
        <v>5117</v>
      </c>
    </row>
    <row r="38437">
      <c r="H38437" t="s">
        <v>5117</v>
      </c>
    </row>
    <row r="38438">
      <c r="H38438" t="s">
        <v>5117</v>
      </c>
    </row>
    <row r="38439">
      <c r="H38439" t="s">
        <v>5117</v>
      </c>
    </row>
    <row r="38440">
      <c r="H38440" t="s">
        <v>5117</v>
      </c>
    </row>
    <row r="38441">
      <c r="H38441" t="s">
        <v>5117</v>
      </c>
    </row>
    <row r="38442">
      <c r="H38442" t="s">
        <v>5117</v>
      </c>
    </row>
    <row r="38443">
      <c r="H38443" t="s">
        <v>5117</v>
      </c>
    </row>
    <row r="38444">
      <c r="H38444" t="s">
        <v>5117</v>
      </c>
    </row>
    <row r="38445">
      <c r="H38445" t="s">
        <v>5117</v>
      </c>
    </row>
    <row r="38446">
      <c r="H38446" t="s">
        <v>5117</v>
      </c>
    </row>
    <row r="38447">
      <c r="H38447" t="s">
        <v>5117</v>
      </c>
    </row>
    <row r="38448">
      <c r="H38448" t="s">
        <v>5117</v>
      </c>
    </row>
    <row r="38449">
      <c r="H38449" t="s">
        <v>5117</v>
      </c>
    </row>
    <row r="38450">
      <c r="H38450" t="s">
        <v>5117</v>
      </c>
    </row>
    <row r="38451">
      <c r="H38451" t="s">
        <v>5117</v>
      </c>
    </row>
    <row r="38452">
      <c r="H38452" t="s">
        <v>5117</v>
      </c>
    </row>
    <row r="38453">
      <c r="H38453" t="s">
        <v>5117</v>
      </c>
    </row>
    <row r="38454">
      <c r="H38454" t="s">
        <v>5117</v>
      </c>
    </row>
    <row r="38455">
      <c r="H38455" t="s">
        <v>5117</v>
      </c>
    </row>
    <row r="38456">
      <c r="H38456" t="s">
        <v>5117</v>
      </c>
    </row>
    <row r="38457">
      <c r="H38457" t="s">
        <v>5117</v>
      </c>
    </row>
    <row r="38458">
      <c r="H38458" t="s">
        <v>5117</v>
      </c>
    </row>
    <row r="38459">
      <c r="H38459" t="s">
        <v>5117</v>
      </c>
    </row>
    <row r="38460">
      <c r="H38460" t="s">
        <v>5117</v>
      </c>
    </row>
    <row r="38461">
      <c r="H38461" t="s">
        <v>5117</v>
      </c>
    </row>
    <row r="38462">
      <c r="H38462" t="s">
        <v>5117</v>
      </c>
    </row>
    <row r="38463">
      <c r="H38463" t="s">
        <v>5117</v>
      </c>
    </row>
    <row r="38464">
      <c r="H38464" t="s">
        <v>5117</v>
      </c>
    </row>
    <row r="38465">
      <c r="H38465" t="s">
        <v>5117</v>
      </c>
    </row>
    <row r="38466">
      <c r="H38466" t="s">
        <v>5117</v>
      </c>
    </row>
    <row r="38467">
      <c r="H38467" t="s">
        <v>5117</v>
      </c>
    </row>
    <row r="38468">
      <c r="H38468" t="s">
        <v>5117</v>
      </c>
    </row>
    <row r="38469">
      <c r="H38469" t="s">
        <v>5117</v>
      </c>
    </row>
    <row r="38470">
      <c r="H38470" t="s">
        <v>5117</v>
      </c>
    </row>
    <row r="38471">
      <c r="H38471" t="s">
        <v>5117</v>
      </c>
    </row>
    <row r="38472">
      <c r="H38472" t="s">
        <v>5117</v>
      </c>
    </row>
    <row r="38473">
      <c r="H38473" t="s">
        <v>5117</v>
      </c>
    </row>
    <row r="38474">
      <c r="H38474" t="s">
        <v>5117</v>
      </c>
    </row>
    <row r="38475">
      <c r="H38475" t="s">
        <v>5117</v>
      </c>
    </row>
    <row r="38476">
      <c r="H38476" t="s">
        <v>5117</v>
      </c>
    </row>
    <row r="38477">
      <c r="H38477" t="s">
        <v>5117</v>
      </c>
    </row>
    <row r="38478">
      <c r="H38478" t="s">
        <v>5117</v>
      </c>
    </row>
    <row r="38479">
      <c r="H38479" t="s">
        <v>5117</v>
      </c>
    </row>
    <row r="38480">
      <c r="H38480" t="s">
        <v>5117</v>
      </c>
    </row>
    <row r="38481">
      <c r="H38481" t="s">
        <v>5117</v>
      </c>
    </row>
    <row r="38482">
      <c r="H38482" t="s">
        <v>5117</v>
      </c>
    </row>
    <row r="38483">
      <c r="H38483" t="s">
        <v>5117</v>
      </c>
    </row>
    <row r="38484">
      <c r="H38484" t="s">
        <v>5117</v>
      </c>
    </row>
    <row r="38485">
      <c r="H38485" t="s">
        <v>5117</v>
      </c>
    </row>
    <row r="38486">
      <c r="H38486" t="s">
        <v>5117</v>
      </c>
    </row>
    <row r="38487">
      <c r="H38487" t="s">
        <v>5117</v>
      </c>
    </row>
    <row r="38488">
      <c r="H38488" t="s">
        <v>5117</v>
      </c>
    </row>
    <row r="38489">
      <c r="H38489" t="s">
        <v>5117</v>
      </c>
    </row>
    <row r="38490">
      <c r="H38490" t="s">
        <v>5117</v>
      </c>
    </row>
    <row r="38491">
      <c r="H38491" t="s">
        <v>5117</v>
      </c>
    </row>
    <row r="38492">
      <c r="H38492" t="s">
        <v>5117</v>
      </c>
    </row>
    <row r="38493">
      <c r="H38493" t="s">
        <v>5117</v>
      </c>
    </row>
    <row r="38494">
      <c r="H38494" t="s">
        <v>5117</v>
      </c>
    </row>
    <row r="38495">
      <c r="H38495" t="s">
        <v>5117</v>
      </c>
    </row>
    <row r="38496">
      <c r="H38496" t="s">
        <v>5117</v>
      </c>
    </row>
    <row r="38497">
      <c r="H38497" t="s">
        <v>5117</v>
      </c>
    </row>
    <row r="38498">
      <c r="H38498" t="s">
        <v>5117</v>
      </c>
    </row>
    <row r="38499">
      <c r="H38499" t="s">
        <v>5117</v>
      </c>
    </row>
    <row r="38500">
      <c r="H38500" t="s">
        <v>5117</v>
      </c>
    </row>
    <row r="38501">
      <c r="H38501" t="s">
        <v>5117</v>
      </c>
    </row>
    <row r="38502">
      <c r="H38502" t="s">
        <v>5117</v>
      </c>
    </row>
    <row r="38503">
      <c r="H38503" t="s">
        <v>5117</v>
      </c>
    </row>
    <row r="38504">
      <c r="H38504" t="s">
        <v>5117</v>
      </c>
    </row>
    <row r="38505">
      <c r="H38505" t="s">
        <v>5117</v>
      </c>
    </row>
    <row r="38506">
      <c r="H38506" t="s">
        <v>5117</v>
      </c>
    </row>
    <row r="38507">
      <c r="H38507" t="s">
        <v>5117</v>
      </c>
    </row>
    <row r="38508">
      <c r="H38508" t="s">
        <v>5117</v>
      </c>
    </row>
    <row r="38509">
      <c r="H38509" t="s">
        <v>5117</v>
      </c>
    </row>
    <row r="38510">
      <c r="H38510" t="s">
        <v>5117</v>
      </c>
    </row>
    <row r="38511">
      <c r="H38511" t="s">
        <v>5117</v>
      </c>
    </row>
    <row r="38512">
      <c r="H38512" t="s">
        <v>5117</v>
      </c>
    </row>
    <row r="38513">
      <c r="H38513" t="s">
        <v>5117</v>
      </c>
    </row>
    <row r="38514">
      <c r="H38514" t="s">
        <v>5117</v>
      </c>
    </row>
    <row r="38515">
      <c r="H38515" t="s">
        <v>5117</v>
      </c>
    </row>
    <row r="38516">
      <c r="H38516" t="s">
        <v>5117</v>
      </c>
    </row>
    <row r="38517">
      <c r="H38517" t="s">
        <v>5117</v>
      </c>
    </row>
    <row r="38518">
      <c r="H38518" t="s">
        <v>5117</v>
      </c>
    </row>
    <row r="38519">
      <c r="H38519" t="s">
        <v>5117</v>
      </c>
    </row>
    <row r="38520">
      <c r="H38520" t="s">
        <v>5117</v>
      </c>
    </row>
    <row r="38521">
      <c r="H38521" t="s">
        <v>5117</v>
      </c>
    </row>
    <row r="38522">
      <c r="H38522" t="s">
        <v>5117</v>
      </c>
    </row>
    <row r="38523">
      <c r="H38523" t="s">
        <v>5117</v>
      </c>
    </row>
    <row r="38524">
      <c r="H38524" t="s">
        <v>5117</v>
      </c>
    </row>
    <row r="38525">
      <c r="H38525" t="s">
        <v>5117</v>
      </c>
    </row>
    <row r="38526">
      <c r="H38526" t="s">
        <v>5117</v>
      </c>
    </row>
    <row r="38527">
      <c r="H38527" t="s">
        <v>5117</v>
      </c>
    </row>
    <row r="38528">
      <c r="H38528" t="s">
        <v>5117</v>
      </c>
    </row>
    <row r="38529">
      <c r="H38529" t="s">
        <v>5117</v>
      </c>
    </row>
    <row r="38530">
      <c r="H38530" t="s">
        <v>5117</v>
      </c>
    </row>
    <row r="38531">
      <c r="H38531" t="s">
        <v>5117</v>
      </c>
    </row>
    <row r="38532">
      <c r="H38532" t="s">
        <v>5117</v>
      </c>
    </row>
    <row r="38533">
      <c r="H38533" t="s">
        <v>5117</v>
      </c>
    </row>
    <row r="38534">
      <c r="H38534" t="s">
        <v>5117</v>
      </c>
    </row>
    <row r="38535">
      <c r="H38535" t="s">
        <v>5117</v>
      </c>
    </row>
    <row r="38536">
      <c r="H38536" t="s">
        <v>5117</v>
      </c>
    </row>
    <row r="38537">
      <c r="H38537" t="s">
        <v>5117</v>
      </c>
    </row>
    <row r="38538">
      <c r="H38538" t="s">
        <v>5117</v>
      </c>
    </row>
    <row r="38539">
      <c r="H38539" t="s">
        <v>5117</v>
      </c>
    </row>
    <row r="38540">
      <c r="H38540" t="s">
        <v>5117</v>
      </c>
    </row>
    <row r="38541">
      <c r="H38541" t="s">
        <v>5117</v>
      </c>
    </row>
    <row r="38542">
      <c r="H38542" t="s">
        <v>5117</v>
      </c>
    </row>
    <row r="38543">
      <c r="H38543" t="s">
        <v>5117</v>
      </c>
    </row>
    <row r="38544">
      <c r="H38544" t="s">
        <v>5117</v>
      </c>
    </row>
    <row r="38545">
      <c r="H38545" t="s">
        <v>5117</v>
      </c>
    </row>
    <row r="38546">
      <c r="H38546" t="s">
        <v>5117</v>
      </c>
    </row>
    <row r="38547">
      <c r="H38547" t="s">
        <v>5117</v>
      </c>
    </row>
    <row r="38548">
      <c r="H38548" t="s">
        <v>5117</v>
      </c>
    </row>
    <row r="38549">
      <c r="H38549" t="s">
        <v>5117</v>
      </c>
    </row>
    <row r="38550">
      <c r="H38550" t="s">
        <v>5117</v>
      </c>
    </row>
    <row r="38551">
      <c r="H38551" t="s">
        <v>5117</v>
      </c>
    </row>
    <row r="38552">
      <c r="H38552" t="s">
        <v>5117</v>
      </c>
    </row>
    <row r="38553">
      <c r="H38553" t="s">
        <v>5117</v>
      </c>
    </row>
    <row r="38554">
      <c r="H38554" t="s">
        <v>5117</v>
      </c>
    </row>
    <row r="38555">
      <c r="H38555" t="s">
        <v>5117</v>
      </c>
    </row>
    <row r="38556">
      <c r="H38556" t="s">
        <v>5117</v>
      </c>
    </row>
    <row r="38557">
      <c r="H38557" t="s">
        <v>5117</v>
      </c>
    </row>
    <row r="38558">
      <c r="H38558" t="s">
        <v>5117</v>
      </c>
    </row>
    <row r="38559">
      <c r="H38559" t="s">
        <v>5117</v>
      </c>
    </row>
    <row r="38560">
      <c r="H38560" t="s">
        <v>5117</v>
      </c>
    </row>
    <row r="38561">
      <c r="H38561" t="s">
        <v>5117</v>
      </c>
    </row>
    <row r="38562">
      <c r="H38562" t="s">
        <v>5117</v>
      </c>
    </row>
    <row r="38563">
      <c r="H38563" t="s">
        <v>5117</v>
      </c>
    </row>
    <row r="38564">
      <c r="H38564" t="s">
        <v>5117</v>
      </c>
    </row>
    <row r="38565">
      <c r="H38565" t="s">
        <v>5117</v>
      </c>
    </row>
    <row r="38566">
      <c r="H38566" t="s">
        <v>5117</v>
      </c>
    </row>
    <row r="38567">
      <c r="H38567" t="s">
        <v>5117</v>
      </c>
    </row>
    <row r="38568">
      <c r="H38568" t="s">
        <v>5117</v>
      </c>
    </row>
    <row r="38569">
      <c r="H38569" t="s">
        <v>5117</v>
      </c>
    </row>
    <row r="38570">
      <c r="H38570" t="s">
        <v>5117</v>
      </c>
    </row>
    <row r="38571">
      <c r="H38571" t="s">
        <v>5117</v>
      </c>
    </row>
    <row r="38572">
      <c r="H38572" t="s">
        <v>5117</v>
      </c>
    </row>
    <row r="38573">
      <c r="H38573" t="s">
        <v>5117</v>
      </c>
    </row>
    <row r="38574">
      <c r="H38574" t="s">
        <v>5117</v>
      </c>
    </row>
    <row r="38575">
      <c r="H38575" t="s">
        <v>5117</v>
      </c>
    </row>
    <row r="38576">
      <c r="H38576" t="s">
        <v>5117</v>
      </c>
    </row>
    <row r="38577">
      <c r="H38577" t="s">
        <v>5117</v>
      </c>
    </row>
    <row r="38578">
      <c r="H38578" t="s">
        <v>5117</v>
      </c>
    </row>
    <row r="38579">
      <c r="H38579" t="s">
        <v>5117</v>
      </c>
    </row>
    <row r="38580">
      <c r="H38580" t="s">
        <v>5117</v>
      </c>
    </row>
    <row r="38581">
      <c r="H38581" t="s">
        <v>5117</v>
      </c>
    </row>
    <row r="38582">
      <c r="H38582" t="s">
        <v>5117</v>
      </c>
    </row>
    <row r="38583">
      <c r="H38583" t="s">
        <v>5117</v>
      </c>
    </row>
    <row r="38584">
      <c r="H38584" t="s">
        <v>5117</v>
      </c>
    </row>
    <row r="38585">
      <c r="H38585" t="s">
        <v>5117</v>
      </c>
    </row>
    <row r="38586">
      <c r="H38586" t="s">
        <v>5117</v>
      </c>
    </row>
    <row r="38587">
      <c r="H38587" t="s">
        <v>5117</v>
      </c>
    </row>
    <row r="38588">
      <c r="H38588" t="s">
        <v>5117</v>
      </c>
    </row>
    <row r="38589">
      <c r="H38589" t="s">
        <v>5117</v>
      </c>
    </row>
    <row r="38590">
      <c r="H38590" t="s">
        <v>5117</v>
      </c>
    </row>
    <row r="38591">
      <c r="H38591" t="s">
        <v>5117</v>
      </c>
    </row>
    <row r="38592">
      <c r="H38592" t="s">
        <v>5117</v>
      </c>
    </row>
    <row r="38593">
      <c r="H38593" t="s">
        <v>5117</v>
      </c>
    </row>
    <row r="38594">
      <c r="H38594" t="s">
        <v>5117</v>
      </c>
    </row>
    <row r="38595">
      <c r="H38595" t="s">
        <v>5117</v>
      </c>
    </row>
    <row r="38596">
      <c r="H38596" t="s">
        <v>5117</v>
      </c>
    </row>
    <row r="38597">
      <c r="H38597" t="s">
        <v>5117</v>
      </c>
    </row>
    <row r="38598">
      <c r="H38598" t="s">
        <v>5117</v>
      </c>
    </row>
    <row r="38599">
      <c r="H38599" t="s">
        <v>5117</v>
      </c>
    </row>
    <row r="38600">
      <c r="H38600" t="s">
        <v>5117</v>
      </c>
    </row>
    <row r="38601">
      <c r="H38601" t="s">
        <v>5117</v>
      </c>
    </row>
    <row r="38602">
      <c r="H38602" t="s">
        <v>5117</v>
      </c>
    </row>
    <row r="38603">
      <c r="H38603" t="s">
        <v>5117</v>
      </c>
    </row>
    <row r="38604">
      <c r="H38604" t="s">
        <v>5117</v>
      </c>
    </row>
    <row r="38605">
      <c r="H38605" t="s">
        <v>5117</v>
      </c>
    </row>
    <row r="38606">
      <c r="H38606" t="s">
        <v>5117</v>
      </c>
    </row>
    <row r="38607">
      <c r="H38607" t="s">
        <v>5117</v>
      </c>
    </row>
    <row r="38608">
      <c r="H38608" t="s">
        <v>5117</v>
      </c>
    </row>
    <row r="38609">
      <c r="H38609" t="s">
        <v>5117</v>
      </c>
    </row>
    <row r="38610">
      <c r="H38610" t="s">
        <v>5117</v>
      </c>
    </row>
    <row r="38611">
      <c r="H38611" t="s">
        <v>5117</v>
      </c>
    </row>
    <row r="38612">
      <c r="H38612" t="s">
        <v>5117</v>
      </c>
    </row>
    <row r="38613">
      <c r="H38613" t="s">
        <v>5117</v>
      </c>
    </row>
    <row r="38614">
      <c r="H38614" t="s">
        <v>5117</v>
      </c>
    </row>
    <row r="38615">
      <c r="H38615" t="s">
        <v>5117</v>
      </c>
    </row>
    <row r="38616">
      <c r="H38616" t="s">
        <v>5117</v>
      </c>
    </row>
    <row r="38617">
      <c r="H38617" t="s">
        <v>5117</v>
      </c>
    </row>
    <row r="38618">
      <c r="H38618" t="s">
        <v>5117</v>
      </c>
    </row>
    <row r="38619">
      <c r="H38619" t="s">
        <v>5117</v>
      </c>
    </row>
    <row r="38620">
      <c r="H38620" t="s">
        <v>5117</v>
      </c>
    </row>
    <row r="38621">
      <c r="H38621" t="s">
        <v>5117</v>
      </c>
    </row>
    <row r="38622">
      <c r="H38622" t="s">
        <v>5117</v>
      </c>
    </row>
    <row r="38623">
      <c r="H38623" t="s">
        <v>5117</v>
      </c>
    </row>
    <row r="38624">
      <c r="H38624" t="s">
        <v>5117</v>
      </c>
    </row>
    <row r="38625">
      <c r="H38625" t="s">
        <v>5117</v>
      </c>
    </row>
    <row r="38626">
      <c r="H38626" t="s">
        <v>5117</v>
      </c>
    </row>
    <row r="38627">
      <c r="H38627" t="s">
        <v>5117</v>
      </c>
    </row>
    <row r="38628">
      <c r="H38628" t="s">
        <v>5117</v>
      </c>
    </row>
    <row r="38629">
      <c r="H38629" t="s">
        <v>5117</v>
      </c>
    </row>
    <row r="38630">
      <c r="H38630" t="s">
        <v>5117</v>
      </c>
    </row>
    <row r="38631">
      <c r="H38631" t="s">
        <v>5117</v>
      </c>
    </row>
    <row r="38632">
      <c r="H38632" t="s">
        <v>5117</v>
      </c>
    </row>
    <row r="38633">
      <c r="H38633" t="s">
        <v>5117</v>
      </c>
    </row>
    <row r="38634">
      <c r="H38634" t="s">
        <v>5117</v>
      </c>
    </row>
    <row r="38635">
      <c r="H38635" t="s">
        <v>5117</v>
      </c>
    </row>
    <row r="38636">
      <c r="H38636" t="s">
        <v>5117</v>
      </c>
    </row>
    <row r="38637">
      <c r="H38637" t="s">
        <v>5117</v>
      </c>
    </row>
    <row r="38638">
      <c r="H38638" t="s">
        <v>5117</v>
      </c>
    </row>
    <row r="38639">
      <c r="H38639" t="s">
        <v>5117</v>
      </c>
    </row>
    <row r="38640">
      <c r="H38640" t="s">
        <v>5117</v>
      </c>
    </row>
    <row r="38641">
      <c r="H38641" t="s">
        <v>5117</v>
      </c>
    </row>
    <row r="38642">
      <c r="H38642" t="s">
        <v>5117</v>
      </c>
    </row>
    <row r="38643">
      <c r="H38643" t="s">
        <v>5117</v>
      </c>
    </row>
    <row r="38644">
      <c r="H38644" t="s">
        <v>5117</v>
      </c>
    </row>
    <row r="38645">
      <c r="H38645" t="s">
        <v>5117</v>
      </c>
    </row>
    <row r="38646">
      <c r="H38646" t="s">
        <v>5117</v>
      </c>
    </row>
    <row r="38647">
      <c r="H38647" t="s">
        <v>5117</v>
      </c>
    </row>
    <row r="38648">
      <c r="H38648" t="s">
        <v>5117</v>
      </c>
    </row>
    <row r="38649">
      <c r="H38649" t="s">
        <v>5117</v>
      </c>
    </row>
    <row r="38650">
      <c r="H38650" t="s">
        <v>5117</v>
      </c>
    </row>
    <row r="38651">
      <c r="H38651" t="s">
        <v>5117</v>
      </c>
    </row>
    <row r="38652">
      <c r="H38652" t="s">
        <v>5117</v>
      </c>
    </row>
    <row r="38653">
      <c r="H38653" t="s">
        <v>5117</v>
      </c>
    </row>
    <row r="38654">
      <c r="H38654" t="s">
        <v>5117</v>
      </c>
    </row>
    <row r="38655">
      <c r="H38655" t="s">
        <v>5117</v>
      </c>
    </row>
    <row r="38656">
      <c r="H38656" t="s">
        <v>5117</v>
      </c>
    </row>
    <row r="38657">
      <c r="H38657" t="s">
        <v>5117</v>
      </c>
    </row>
    <row r="38658">
      <c r="H38658" t="s">
        <v>5117</v>
      </c>
    </row>
    <row r="38659">
      <c r="H38659" t="s">
        <v>5117</v>
      </c>
    </row>
    <row r="38660">
      <c r="H38660" t="s">
        <v>5117</v>
      </c>
    </row>
    <row r="38661">
      <c r="H38661" t="s">
        <v>5117</v>
      </c>
    </row>
    <row r="38662">
      <c r="H38662" t="s">
        <v>5117</v>
      </c>
    </row>
    <row r="38663">
      <c r="H38663" t="s">
        <v>5117</v>
      </c>
    </row>
    <row r="38664">
      <c r="H38664" t="s">
        <v>5117</v>
      </c>
    </row>
    <row r="38665">
      <c r="H38665" t="s">
        <v>5117</v>
      </c>
    </row>
    <row r="38666">
      <c r="H38666" t="s">
        <v>5117</v>
      </c>
    </row>
    <row r="38667">
      <c r="H38667" t="s">
        <v>5117</v>
      </c>
    </row>
    <row r="38668">
      <c r="H38668" t="s">
        <v>5117</v>
      </c>
    </row>
    <row r="38669">
      <c r="H38669" t="s">
        <v>5117</v>
      </c>
    </row>
    <row r="38670">
      <c r="H38670" t="s">
        <v>5117</v>
      </c>
    </row>
    <row r="38671">
      <c r="H38671" t="s">
        <v>5117</v>
      </c>
    </row>
    <row r="38672">
      <c r="H38672" t="s">
        <v>5117</v>
      </c>
    </row>
    <row r="38673">
      <c r="H38673" t="s">
        <v>5117</v>
      </c>
    </row>
    <row r="38674">
      <c r="H38674" t="s">
        <v>5117</v>
      </c>
    </row>
    <row r="38675">
      <c r="H38675" t="s">
        <v>5117</v>
      </c>
    </row>
    <row r="38676">
      <c r="H38676" t="s">
        <v>5117</v>
      </c>
    </row>
    <row r="38677">
      <c r="H38677" t="s">
        <v>5117</v>
      </c>
    </row>
    <row r="38678">
      <c r="H38678" t="s">
        <v>5117</v>
      </c>
    </row>
    <row r="38679">
      <c r="H38679" t="s">
        <v>5117</v>
      </c>
    </row>
    <row r="38680">
      <c r="H38680" t="s">
        <v>5117</v>
      </c>
    </row>
    <row r="38681">
      <c r="H38681" t="s">
        <v>5117</v>
      </c>
    </row>
    <row r="38682">
      <c r="H38682" t="s">
        <v>5117</v>
      </c>
    </row>
    <row r="38683">
      <c r="H38683" t="s">
        <v>5117</v>
      </c>
    </row>
    <row r="38684">
      <c r="H38684" t="s">
        <v>5117</v>
      </c>
    </row>
    <row r="38685">
      <c r="H38685" t="s">
        <v>5117</v>
      </c>
    </row>
    <row r="38686">
      <c r="H38686" t="s">
        <v>5117</v>
      </c>
    </row>
    <row r="38687">
      <c r="H38687" t="s">
        <v>5117</v>
      </c>
    </row>
    <row r="38688">
      <c r="H38688" t="s">
        <v>5117</v>
      </c>
    </row>
    <row r="38689">
      <c r="H38689" t="s">
        <v>5117</v>
      </c>
    </row>
    <row r="38690">
      <c r="H38690" t="s">
        <v>5117</v>
      </c>
    </row>
    <row r="38691">
      <c r="H38691" t="s">
        <v>5117</v>
      </c>
    </row>
    <row r="38692">
      <c r="H38692" t="s">
        <v>5117</v>
      </c>
    </row>
    <row r="38693">
      <c r="H38693" t="s">
        <v>5117</v>
      </c>
    </row>
    <row r="38694">
      <c r="H38694" t="s">
        <v>5117</v>
      </c>
    </row>
    <row r="38695">
      <c r="H38695" t="s">
        <v>5117</v>
      </c>
    </row>
    <row r="38696">
      <c r="H38696" t="s">
        <v>5117</v>
      </c>
    </row>
    <row r="38697">
      <c r="H38697" t="s">
        <v>5117</v>
      </c>
    </row>
    <row r="38698">
      <c r="H38698" t="s">
        <v>5117</v>
      </c>
    </row>
    <row r="38699">
      <c r="H38699" t="s">
        <v>5117</v>
      </c>
    </row>
    <row r="38700">
      <c r="H38700" t="s">
        <v>5117</v>
      </c>
    </row>
    <row r="38701">
      <c r="H38701" t="s">
        <v>5117</v>
      </c>
    </row>
    <row r="38702">
      <c r="H38702" t="s">
        <v>5117</v>
      </c>
    </row>
    <row r="38703">
      <c r="H38703" t="s">
        <v>5117</v>
      </c>
    </row>
    <row r="38704">
      <c r="H38704" t="s">
        <v>5117</v>
      </c>
    </row>
    <row r="38705">
      <c r="H38705" t="s">
        <v>5117</v>
      </c>
    </row>
    <row r="38706">
      <c r="H38706" t="s">
        <v>5117</v>
      </c>
    </row>
    <row r="38707">
      <c r="H38707" t="s">
        <v>5117</v>
      </c>
    </row>
    <row r="38708">
      <c r="H38708" t="s">
        <v>5117</v>
      </c>
    </row>
    <row r="38709">
      <c r="H38709" t="s">
        <v>5117</v>
      </c>
    </row>
    <row r="38710">
      <c r="H38710" t="s">
        <v>5117</v>
      </c>
    </row>
    <row r="38711">
      <c r="H38711" t="s">
        <v>5117</v>
      </c>
    </row>
    <row r="38712">
      <c r="H38712" t="s">
        <v>5117</v>
      </c>
    </row>
    <row r="38713">
      <c r="H38713" t="s">
        <v>5117</v>
      </c>
    </row>
    <row r="38714">
      <c r="H38714" t="s">
        <v>5117</v>
      </c>
    </row>
    <row r="38715">
      <c r="H38715" t="s">
        <v>5117</v>
      </c>
    </row>
    <row r="38716">
      <c r="H38716" t="s">
        <v>5117</v>
      </c>
    </row>
    <row r="38717">
      <c r="H38717" t="s">
        <v>5117</v>
      </c>
    </row>
    <row r="38718">
      <c r="H38718" t="s">
        <v>5117</v>
      </c>
    </row>
    <row r="38719">
      <c r="H38719" t="s">
        <v>5117</v>
      </c>
    </row>
    <row r="38720">
      <c r="H38720" t="s">
        <v>5117</v>
      </c>
    </row>
    <row r="38721">
      <c r="H38721" t="s">
        <v>5117</v>
      </c>
    </row>
    <row r="38722">
      <c r="H38722" t="s">
        <v>5117</v>
      </c>
    </row>
    <row r="38723">
      <c r="H38723" t="s">
        <v>5117</v>
      </c>
    </row>
    <row r="38724">
      <c r="H38724" t="s">
        <v>5117</v>
      </c>
    </row>
    <row r="38725">
      <c r="H38725" t="s">
        <v>5117</v>
      </c>
    </row>
    <row r="38726">
      <c r="H38726" t="s">
        <v>5117</v>
      </c>
    </row>
    <row r="38727">
      <c r="H38727" t="s">
        <v>5117</v>
      </c>
    </row>
    <row r="38728">
      <c r="H38728" t="s">
        <v>5117</v>
      </c>
    </row>
    <row r="38729">
      <c r="H38729" t="s">
        <v>5117</v>
      </c>
    </row>
    <row r="38730">
      <c r="H38730" t="s">
        <v>5117</v>
      </c>
    </row>
    <row r="38731">
      <c r="H38731" t="s">
        <v>5117</v>
      </c>
    </row>
    <row r="38732">
      <c r="H38732" t="s">
        <v>5117</v>
      </c>
    </row>
    <row r="38733">
      <c r="H38733" t="s">
        <v>5117</v>
      </c>
    </row>
    <row r="38734">
      <c r="H38734" t="s">
        <v>5117</v>
      </c>
    </row>
    <row r="38735">
      <c r="H38735" t="s">
        <v>5117</v>
      </c>
    </row>
    <row r="38736">
      <c r="H38736" t="s">
        <v>5117</v>
      </c>
    </row>
    <row r="38737">
      <c r="H38737" t="s">
        <v>5117</v>
      </c>
    </row>
    <row r="38738">
      <c r="H38738" t="s">
        <v>5117</v>
      </c>
    </row>
    <row r="38739">
      <c r="H38739" t="s">
        <v>5117</v>
      </c>
    </row>
    <row r="38740">
      <c r="H38740" t="s">
        <v>5117</v>
      </c>
    </row>
    <row r="38741">
      <c r="H38741" t="s">
        <v>5117</v>
      </c>
    </row>
    <row r="38742">
      <c r="H38742" t="s">
        <v>5117</v>
      </c>
    </row>
    <row r="38743">
      <c r="H38743" t="s">
        <v>5117</v>
      </c>
    </row>
    <row r="38744">
      <c r="H38744" t="s">
        <v>5117</v>
      </c>
    </row>
    <row r="38745">
      <c r="H38745" t="s">
        <v>5117</v>
      </c>
    </row>
    <row r="38746">
      <c r="H38746" t="s">
        <v>5117</v>
      </c>
    </row>
    <row r="38747">
      <c r="H38747" t="s">
        <v>5117</v>
      </c>
    </row>
    <row r="38748">
      <c r="H38748" t="s">
        <v>5117</v>
      </c>
    </row>
    <row r="38749">
      <c r="H38749" t="s">
        <v>5117</v>
      </c>
    </row>
    <row r="38750">
      <c r="H38750" t="s">
        <v>5117</v>
      </c>
    </row>
    <row r="38751">
      <c r="H38751" t="s">
        <v>5117</v>
      </c>
    </row>
    <row r="38752">
      <c r="H38752" t="s">
        <v>5117</v>
      </c>
    </row>
    <row r="38753">
      <c r="H38753" t="s">
        <v>5117</v>
      </c>
    </row>
    <row r="38754">
      <c r="H38754" t="s">
        <v>5117</v>
      </c>
    </row>
    <row r="38755">
      <c r="H38755" t="s">
        <v>5117</v>
      </c>
    </row>
    <row r="38756">
      <c r="H38756" t="s">
        <v>5117</v>
      </c>
    </row>
    <row r="38757">
      <c r="H38757" t="s">
        <v>5117</v>
      </c>
    </row>
    <row r="38758">
      <c r="H38758" t="s">
        <v>5117</v>
      </c>
    </row>
    <row r="38759">
      <c r="H38759" t="s">
        <v>5117</v>
      </c>
    </row>
    <row r="38760">
      <c r="H38760" t="s">
        <v>5117</v>
      </c>
    </row>
    <row r="38761">
      <c r="H38761" t="s">
        <v>5117</v>
      </c>
    </row>
    <row r="38762">
      <c r="H38762" t="s">
        <v>5117</v>
      </c>
    </row>
    <row r="38763">
      <c r="H38763" t="s">
        <v>5117</v>
      </c>
    </row>
    <row r="38764">
      <c r="H38764" t="s">
        <v>5117</v>
      </c>
    </row>
    <row r="38765">
      <c r="H38765" t="s">
        <v>5117</v>
      </c>
    </row>
    <row r="38766">
      <c r="H38766" t="s">
        <v>5117</v>
      </c>
    </row>
    <row r="38767">
      <c r="H38767" t="s">
        <v>5117</v>
      </c>
    </row>
    <row r="38768">
      <c r="H38768" t="s">
        <v>5117</v>
      </c>
    </row>
    <row r="38769">
      <c r="H38769" t="s">
        <v>5117</v>
      </c>
    </row>
    <row r="38770">
      <c r="H38770" t="s">
        <v>5117</v>
      </c>
    </row>
    <row r="38771">
      <c r="H38771" t="s">
        <v>5117</v>
      </c>
    </row>
    <row r="38772">
      <c r="H38772" t="s">
        <v>5117</v>
      </c>
    </row>
    <row r="38773">
      <c r="H38773" t="s">
        <v>5117</v>
      </c>
    </row>
    <row r="38774">
      <c r="H38774" t="s">
        <v>5117</v>
      </c>
    </row>
    <row r="38775">
      <c r="H38775" t="s">
        <v>5117</v>
      </c>
    </row>
    <row r="38776">
      <c r="H38776" t="s">
        <v>5117</v>
      </c>
    </row>
    <row r="38777">
      <c r="H38777" t="s">
        <v>5117</v>
      </c>
    </row>
    <row r="38778">
      <c r="H38778" t="s">
        <v>5117</v>
      </c>
    </row>
    <row r="38779">
      <c r="H38779" t="s">
        <v>5117</v>
      </c>
    </row>
    <row r="38780">
      <c r="H38780" t="s">
        <v>5117</v>
      </c>
    </row>
    <row r="38781">
      <c r="H38781" t="s">
        <v>5117</v>
      </c>
    </row>
    <row r="38782">
      <c r="H38782" t="s">
        <v>5117</v>
      </c>
    </row>
    <row r="38783">
      <c r="H38783" t="s">
        <v>5117</v>
      </c>
    </row>
    <row r="38784">
      <c r="H38784" t="s">
        <v>5117</v>
      </c>
    </row>
    <row r="38785">
      <c r="H38785" t="s">
        <v>5117</v>
      </c>
    </row>
    <row r="38786">
      <c r="H38786" t="s">
        <v>5117</v>
      </c>
    </row>
    <row r="38787">
      <c r="H38787" t="s">
        <v>5117</v>
      </c>
    </row>
    <row r="38788">
      <c r="H38788" t="s">
        <v>5117</v>
      </c>
    </row>
    <row r="38789">
      <c r="H38789" t="s">
        <v>5117</v>
      </c>
    </row>
    <row r="38790">
      <c r="H38790" t="s">
        <v>5117</v>
      </c>
    </row>
    <row r="38791">
      <c r="H38791" t="s">
        <v>5117</v>
      </c>
    </row>
    <row r="38792">
      <c r="H38792" t="s">
        <v>5117</v>
      </c>
    </row>
    <row r="38793">
      <c r="H38793" t="s">
        <v>5117</v>
      </c>
    </row>
    <row r="38794">
      <c r="H38794" t="s">
        <v>5117</v>
      </c>
    </row>
    <row r="38795">
      <c r="H38795" t="s">
        <v>5117</v>
      </c>
    </row>
    <row r="38796">
      <c r="H38796" t="s">
        <v>5117</v>
      </c>
    </row>
    <row r="38797">
      <c r="H38797" t="s">
        <v>5117</v>
      </c>
    </row>
    <row r="38798">
      <c r="H38798" t="s">
        <v>5117</v>
      </c>
    </row>
    <row r="38799">
      <c r="H38799" t="s">
        <v>5117</v>
      </c>
    </row>
    <row r="38800">
      <c r="H38800" t="s">
        <v>5117</v>
      </c>
    </row>
    <row r="38801">
      <c r="H38801" t="s">
        <v>5117</v>
      </c>
    </row>
    <row r="38802">
      <c r="H38802" t="s">
        <v>5117</v>
      </c>
    </row>
    <row r="38803">
      <c r="H38803" t="s">
        <v>5117</v>
      </c>
    </row>
    <row r="38804">
      <c r="H38804" t="s">
        <v>5117</v>
      </c>
    </row>
    <row r="38805">
      <c r="H38805" t="s">
        <v>5117</v>
      </c>
    </row>
    <row r="38806">
      <c r="H38806" t="s">
        <v>5117</v>
      </c>
    </row>
    <row r="38807">
      <c r="H38807" t="s">
        <v>5117</v>
      </c>
    </row>
    <row r="38808">
      <c r="H38808" t="s">
        <v>5117</v>
      </c>
    </row>
    <row r="38809">
      <c r="H38809" t="s">
        <v>5117</v>
      </c>
    </row>
    <row r="38810">
      <c r="H38810" t="s">
        <v>5117</v>
      </c>
    </row>
    <row r="38811">
      <c r="H38811" t="s">
        <v>5117</v>
      </c>
    </row>
    <row r="38812">
      <c r="H38812" t="s">
        <v>5117</v>
      </c>
    </row>
    <row r="38813">
      <c r="H38813" t="s">
        <v>5117</v>
      </c>
    </row>
    <row r="38814">
      <c r="H38814" t="s">
        <v>5117</v>
      </c>
    </row>
    <row r="38815">
      <c r="H38815" t="s">
        <v>5117</v>
      </c>
    </row>
    <row r="38816">
      <c r="H38816" t="s">
        <v>5117</v>
      </c>
    </row>
    <row r="38817">
      <c r="H38817" t="s">
        <v>5117</v>
      </c>
    </row>
    <row r="38818">
      <c r="H38818" t="s">
        <v>5117</v>
      </c>
    </row>
    <row r="38819">
      <c r="H38819" t="s">
        <v>5117</v>
      </c>
    </row>
    <row r="38820">
      <c r="H38820" t="s">
        <v>5117</v>
      </c>
    </row>
    <row r="38821">
      <c r="H38821" t="s">
        <v>5117</v>
      </c>
    </row>
    <row r="38822">
      <c r="H38822" t="s">
        <v>5117</v>
      </c>
    </row>
    <row r="38823">
      <c r="H38823" t="s">
        <v>5117</v>
      </c>
    </row>
    <row r="38824">
      <c r="H38824" t="s">
        <v>5117</v>
      </c>
    </row>
    <row r="38825">
      <c r="H38825" t="s">
        <v>5117</v>
      </c>
    </row>
    <row r="38826">
      <c r="H38826" t="s">
        <v>5117</v>
      </c>
    </row>
    <row r="38827">
      <c r="H38827" t="s">
        <v>5117</v>
      </c>
    </row>
    <row r="38828">
      <c r="H38828" t="s">
        <v>5117</v>
      </c>
    </row>
    <row r="38829">
      <c r="H38829" t="s">
        <v>5117</v>
      </c>
    </row>
    <row r="38830">
      <c r="H38830" t="s">
        <v>5117</v>
      </c>
    </row>
    <row r="38831">
      <c r="H38831" t="s">
        <v>5117</v>
      </c>
    </row>
    <row r="38832">
      <c r="H38832" t="s">
        <v>5117</v>
      </c>
    </row>
    <row r="38833">
      <c r="H38833" t="s">
        <v>5117</v>
      </c>
    </row>
    <row r="38834">
      <c r="H38834" t="s">
        <v>5117</v>
      </c>
    </row>
    <row r="38835">
      <c r="H38835" t="s">
        <v>5117</v>
      </c>
    </row>
    <row r="38836">
      <c r="H38836" t="s">
        <v>5117</v>
      </c>
    </row>
    <row r="38837">
      <c r="H38837" t="s">
        <v>5117</v>
      </c>
    </row>
    <row r="38838">
      <c r="H38838" t="s">
        <v>5117</v>
      </c>
    </row>
    <row r="38839">
      <c r="H38839" t="s">
        <v>5117</v>
      </c>
    </row>
    <row r="38840">
      <c r="H38840" t="s">
        <v>5117</v>
      </c>
    </row>
    <row r="38841">
      <c r="H38841" t="s">
        <v>5117</v>
      </c>
    </row>
    <row r="38842">
      <c r="H38842" t="s">
        <v>5117</v>
      </c>
    </row>
    <row r="38843">
      <c r="H38843" t="s">
        <v>5117</v>
      </c>
    </row>
    <row r="38844">
      <c r="H38844" t="s">
        <v>5117</v>
      </c>
    </row>
    <row r="38845">
      <c r="H38845" t="s">
        <v>5117</v>
      </c>
    </row>
    <row r="38846">
      <c r="H38846" t="s">
        <v>5117</v>
      </c>
    </row>
    <row r="38847">
      <c r="H38847" t="s">
        <v>5117</v>
      </c>
    </row>
    <row r="38848">
      <c r="H38848" t="s">
        <v>5117</v>
      </c>
    </row>
    <row r="38849">
      <c r="H38849" t="s">
        <v>5117</v>
      </c>
    </row>
    <row r="38850">
      <c r="H38850" t="s">
        <v>5117</v>
      </c>
    </row>
    <row r="38851">
      <c r="H38851" t="s">
        <v>5117</v>
      </c>
    </row>
    <row r="38852">
      <c r="H38852" t="s">
        <v>5117</v>
      </c>
    </row>
    <row r="38853">
      <c r="H38853" t="s">
        <v>5117</v>
      </c>
    </row>
    <row r="38854">
      <c r="H38854" t="s">
        <v>5117</v>
      </c>
    </row>
    <row r="38855">
      <c r="H38855" t="s">
        <v>5117</v>
      </c>
    </row>
    <row r="38856">
      <c r="H38856" t="s">
        <v>5117</v>
      </c>
    </row>
    <row r="38857">
      <c r="H38857" t="s">
        <v>5117</v>
      </c>
    </row>
    <row r="38858">
      <c r="H38858" t="s">
        <v>5117</v>
      </c>
    </row>
    <row r="38859">
      <c r="H38859" t="s">
        <v>5117</v>
      </c>
    </row>
    <row r="38860">
      <c r="H38860" t="s">
        <v>5117</v>
      </c>
    </row>
    <row r="38861">
      <c r="H38861" t="s">
        <v>5117</v>
      </c>
    </row>
    <row r="38862">
      <c r="H38862" t="s">
        <v>5117</v>
      </c>
    </row>
    <row r="38863">
      <c r="H38863" t="s">
        <v>5117</v>
      </c>
    </row>
    <row r="38864">
      <c r="H38864" t="s">
        <v>5117</v>
      </c>
    </row>
    <row r="38865">
      <c r="H38865" t="s">
        <v>5117</v>
      </c>
    </row>
    <row r="38866">
      <c r="H38866" t="s">
        <v>5117</v>
      </c>
    </row>
    <row r="38867">
      <c r="H38867" t="s">
        <v>5117</v>
      </c>
    </row>
    <row r="38868">
      <c r="H38868" t="s">
        <v>5117</v>
      </c>
    </row>
    <row r="38869">
      <c r="H38869" t="s">
        <v>5117</v>
      </c>
    </row>
    <row r="38870">
      <c r="H38870" t="s">
        <v>5117</v>
      </c>
    </row>
    <row r="38871">
      <c r="H38871" t="s">
        <v>5117</v>
      </c>
    </row>
    <row r="38872">
      <c r="H38872" t="s">
        <v>5117</v>
      </c>
    </row>
    <row r="38873">
      <c r="H38873" t="s">
        <v>5117</v>
      </c>
    </row>
    <row r="38874">
      <c r="H38874" t="s">
        <v>5117</v>
      </c>
    </row>
    <row r="38875">
      <c r="H38875" t="s">
        <v>5117</v>
      </c>
    </row>
    <row r="38876">
      <c r="H38876" t="s">
        <v>5117</v>
      </c>
    </row>
    <row r="38877">
      <c r="H38877" t="s">
        <v>5117</v>
      </c>
    </row>
    <row r="38878">
      <c r="H38878" t="s">
        <v>5117</v>
      </c>
    </row>
    <row r="38879">
      <c r="H38879" t="s">
        <v>5117</v>
      </c>
    </row>
    <row r="38880">
      <c r="H38880" t="s">
        <v>5117</v>
      </c>
    </row>
    <row r="38881">
      <c r="H38881" t="s">
        <v>5117</v>
      </c>
    </row>
    <row r="38882">
      <c r="H38882" t="s">
        <v>5117</v>
      </c>
    </row>
    <row r="38883">
      <c r="H38883" t="s">
        <v>5117</v>
      </c>
    </row>
    <row r="38884">
      <c r="H38884" t="s">
        <v>5117</v>
      </c>
    </row>
    <row r="38885">
      <c r="H38885" t="s">
        <v>5117</v>
      </c>
    </row>
    <row r="38886">
      <c r="H38886" t="s">
        <v>5117</v>
      </c>
    </row>
    <row r="38887">
      <c r="H38887" t="s">
        <v>5117</v>
      </c>
    </row>
    <row r="38888">
      <c r="H38888" t="s">
        <v>5117</v>
      </c>
    </row>
    <row r="38889">
      <c r="H38889" t="s">
        <v>5117</v>
      </c>
    </row>
    <row r="38890">
      <c r="H38890" t="s">
        <v>5117</v>
      </c>
    </row>
    <row r="38891">
      <c r="H38891" t="s">
        <v>5117</v>
      </c>
    </row>
    <row r="38892">
      <c r="H38892" t="s">
        <v>5117</v>
      </c>
    </row>
    <row r="38893">
      <c r="H38893" t="s">
        <v>5117</v>
      </c>
    </row>
    <row r="38894">
      <c r="H38894" t="s">
        <v>5117</v>
      </c>
    </row>
    <row r="38895">
      <c r="H38895" t="s">
        <v>5117</v>
      </c>
    </row>
    <row r="38896">
      <c r="H38896" t="s">
        <v>5117</v>
      </c>
    </row>
    <row r="38897">
      <c r="H38897" t="s">
        <v>5117</v>
      </c>
    </row>
    <row r="38898">
      <c r="H38898" t="s">
        <v>5117</v>
      </c>
    </row>
    <row r="38899">
      <c r="H38899" t="s">
        <v>5117</v>
      </c>
    </row>
    <row r="38900">
      <c r="H38900" t="s">
        <v>5117</v>
      </c>
    </row>
    <row r="38901">
      <c r="H38901" t="s">
        <v>5117</v>
      </c>
    </row>
    <row r="38902">
      <c r="H38902" t="s">
        <v>5117</v>
      </c>
    </row>
    <row r="38903">
      <c r="H38903" t="s">
        <v>5117</v>
      </c>
    </row>
    <row r="38904">
      <c r="H38904" t="s">
        <v>5117</v>
      </c>
    </row>
    <row r="38905">
      <c r="H38905" t="s">
        <v>5117</v>
      </c>
    </row>
    <row r="38906">
      <c r="H38906" t="s">
        <v>5117</v>
      </c>
    </row>
    <row r="38907">
      <c r="H38907" t="s">
        <v>5117</v>
      </c>
    </row>
    <row r="38908">
      <c r="H38908" t="s">
        <v>5117</v>
      </c>
    </row>
    <row r="38909">
      <c r="H38909" t="s">
        <v>5117</v>
      </c>
    </row>
    <row r="38910">
      <c r="H38910" t="s">
        <v>5117</v>
      </c>
    </row>
    <row r="38911">
      <c r="H38911" t="s">
        <v>5117</v>
      </c>
    </row>
    <row r="38912">
      <c r="H38912" t="s">
        <v>5117</v>
      </c>
    </row>
    <row r="38913">
      <c r="H38913" t="s">
        <v>5117</v>
      </c>
    </row>
    <row r="38914">
      <c r="H38914" t="s">
        <v>5117</v>
      </c>
    </row>
    <row r="38915">
      <c r="H38915" t="s">
        <v>5117</v>
      </c>
    </row>
    <row r="38916">
      <c r="H38916" t="s">
        <v>5117</v>
      </c>
    </row>
    <row r="38917">
      <c r="H38917" t="s">
        <v>5117</v>
      </c>
    </row>
    <row r="38918">
      <c r="H38918" t="s">
        <v>5117</v>
      </c>
    </row>
    <row r="38919">
      <c r="H38919" t="s">
        <v>5117</v>
      </c>
    </row>
    <row r="38920">
      <c r="H38920" t="s">
        <v>5117</v>
      </c>
    </row>
    <row r="38921">
      <c r="H38921" t="s">
        <v>5117</v>
      </c>
    </row>
    <row r="38922">
      <c r="H38922" t="s">
        <v>5117</v>
      </c>
    </row>
    <row r="38923">
      <c r="H38923" t="s">
        <v>5117</v>
      </c>
    </row>
    <row r="38924">
      <c r="H38924" t="s">
        <v>5117</v>
      </c>
    </row>
    <row r="38925">
      <c r="H38925" t="s">
        <v>5117</v>
      </c>
    </row>
    <row r="38926">
      <c r="H38926" t="s">
        <v>5117</v>
      </c>
    </row>
    <row r="38927">
      <c r="H38927" t="s">
        <v>5117</v>
      </c>
    </row>
    <row r="38928">
      <c r="H38928" t="s">
        <v>5117</v>
      </c>
    </row>
    <row r="38929">
      <c r="H38929" t="s">
        <v>5117</v>
      </c>
    </row>
    <row r="38930">
      <c r="H38930" t="s">
        <v>5117</v>
      </c>
    </row>
    <row r="38931">
      <c r="H38931" t="s">
        <v>5117</v>
      </c>
    </row>
    <row r="38932">
      <c r="H38932" t="s">
        <v>5117</v>
      </c>
    </row>
    <row r="38933">
      <c r="H38933" t="s">
        <v>5117</v>
      </c>
    </row>
    <row r="38934">
      <c r="H38934" t="s">
        <v>5117</v>
      </c>
    </row>
    <row r="38935">
      <c r="H38935" t="s">
        <v>5117</v>
      </c>
    </row>
    <row r="38936">
      <c r="H38936" t="s">
        <v>5117</v>
      </c>
    </row>
    <row r="38937">
      <c r="H38937" t="s">
        <v>5117</v>
      </c>
    </row>
    <row r="38938">
      <c r="H38938" t="s">
        <v>5117</v>
      </c>
    </row>
    <row r="38939">
      <c r="H38939" t="s">
        <v>5117</v>
      </c>
    </row>
    <row r="38940">
      <c r="H38940" t="s">
        <v>5117</v>
      </c>
    </row>
    <row r="38941">
      <c r="H38941" t="s">
        <v>5117</v>
      </c>
    </row>
    <row r="38942">
      <c r="H38942" t="s">
        <v>5117</v>
      </c>
    </row>
    <row r="38943">
      <c r="H38943" t="s">
        <v>5117</v>
      </c>
    </row>
    <row r="38944">
      <c r="H38944" t="s">
        <v>5117</v>
      </c>
    </row>
    <row r="38945">
      <c r="H38945" t="s">
        <v>5117</v>
      </c>
    </row>
    <row r="38946">
      <c r="H38946" t="s">
        <v>5117</v>
      </c>
    </row>
    <row r="38947">
      <c r="H38947" t="s">
        <v>5117</v>
      </c>
    </row>
    <row r="38948">
      <c r="H38948" t="s">
        <v>5117</v>
      </c>
    </row>
    <row r="38949">
      <c r="H38949" t="s">
        <v>5117</v>
      </c>
    </row>
    <row r="38950">
      <c r="H38950" t="s">
        <v>5117</v>
      </c>
    </row>
    <row r="38951">
      <c r="H38951" t="s">
        <v>5117</v>
      </c>
    </row>
    <row r="38952">
      <c r="H38952" t="s">
        <v>5117</v>
      </c>
    </row>
    <row r="38953">
      <c r="H38953" t="s">
        <v>5117</v>
      </c>
    </row>
    <row r="38954">
      <c r="H38954" t="s">
        <v>5117</v>
      </c>
    </row>
    <row r="38955">
      <c r="H38955" t="s">
        <v>5117</v>
      </c>
    </row>
    <row r="38956">
      <c r="H38956" t="s">
        <v>5117</v>
      </c>
    </row>
    <row r="38957">
      <c r="H38957" t="s">
        <v>5117</v>
      </c>
    </row>
    <row r="38958">
      <c r="H38958" t="s">
        <v>5117</v>
      </c>
    </row>
    <row r="38959">
      <c r="H38959" t="s">
        <v>5117</v>
      </c>
    </row>
    <row r="38960">
      <c r="H38960" t="s">
        <v>5117</v>
      </c>
    </row>
    <row r="38961">
      <c r="H38961" t="s">
        <v>5117</v>
      </c>
    </row>
    <row r="38962">
      <c r="H38962" t="s">
        <v>5117</v>
      </c>
    </row>
    <row r="38963">
      <c r="H38963" t="s">
        <v>5117</v>
      </c>
    </row>
    <row r="38964">
      <c r="H38964" t="s">
        <v>5117</v>
      </c>
    </row>
    <row r="38965">
      <c r="H38965" t="s">
        <v>5117</v>
      </c>
    </row>
    <row r="38966">
      <c r="H38966" t="s">
        <v>5117</v>
      </c>
    </row>
    <row r="38967">
      <c r="H38967" t="s">
        <v>5117</v>
      </c>
    </row>
    <row r="38968">
      <c r="H38968" t="s">
        <v>5117</v>
      </c>
    </row>
    <row r="38969">
      <c r="H38969" t="s">
        <v>5117</v>
      </c>
    </row>
    <row r="38970">
      <c r="H38970" t="s">
        <v>5117</v>
      </c>
    </row>
    <row r="38971">
      <c r="H38971" t="s">
        <v>5117</v>
      </c>
    </row>
    <row r="38972">
      <c r="H38972" t="s">
        <v>5117</v>
      </c>
    </row>
    <row r="38973">
      <c r="H38973" t="s">
        <v>5117</v>
      </c>
    </row>
    <row r="38974">
      <c r="H38974" t="s">
        <v>5117</v>
      </c>
    </row>
    <row r="38975">
      <c r="H38975" t="s">
        <v>5117</v>
      </c>
    </row>
    <row r="38976">
      <c r="H38976" t="s">
        <v>5117</v>
      </c>
    </row>
    <row r="38977">
      <c r="H38977" t="s">
        <v>5117</v>
      </c>
    </row>
    <row r="38978">
      <c r="H38978" t="s">
        <v>5117</v>
      </c>
    </row>
    <row r="38979">
      <c r="H38979" t="s">
        <v>5117</v>
      </c>
    </row>
    <row r="38980">
      <c r="H38980" t="s">
        <v>5117</v>
      </c>
    </row>
    <row r="38981">
      <c r="H38981" t="s">
        <v>5117</v>
      </c>
    </row>
    <row r="38982">
      <c r="H38982" t="s">
        <v>5117</v>
      </c>
    </row>
    <row r="38983">
      <c r="H38983" t="s">
        <v>5117</v>
      </c>
    </row>
    <row r="38984">
      <c r="H38984" t="s">
        <v>5117</v>
      </c>
    </row>
    <row r="38985">
      <c r="H38985" t="s">
        <v>5117</v>
      </c>
    </row>
    <row r="38986">
      <c r="H38986" t="s">
        <v>5117</v>
      </c>
    </row>
    <row r="38987">
      <c r="H38987" t="s">
        <v>5117</v>
      </c>
    </row>
    <row r="38988">
      <c r="H38988" t="s">
        <v>5117</v>
      </c>
    </row>
    <row r="38989">
      <c r="H38989" t="s">
        <v>5117</v>
      </c>
    </row>
    <row r="38990">
      <c r="H38990" t="s">
        <v>5117</v>
      </c>
    </row>
    <row r="38991">
      <c r="H38991" t="s">
        <v>5117</v>
      </c>
    </row>
    <row r="38992">
      <c r="H38992" t="s">
        <v>5117</v>
      </c>
    </row>
    <row r="38993">
      <c r="H38993" t="s">
        <v>5117</v>
      </c>
    </row>
    <row r="38994">
      <c r="H38994" t="s">
        <v>5117</v>
      </c>
    </row>
    <row r="38995">
      <c r="H38995" t="s">
        <v>5117</v>
      </c>
    </row>
    <row r="38996">
      <c r="H38996" t="s">
        <v>5117</v>
      </c>
    </row>
    <row r="38997">
      <c r="H38997" t="s">
        <v>5117</v>
      </c>
    </row>
    <row r="38998">
      <c r="H38998" t="s">
        <v>5117</v>
      </c>
    </row>
    <row r="38999">
      <c r="H38999" t="s">
        <v>5117</v>
      </c>
    </row>
    <row r="39000">
      <c r="H39000" t="s">
        <v>5117</v>
      </c>
    </row>
    <row r="39001">
      <c r="H39001" t="s">
        <v>5117</v>
      </c>
    </row>
    <row r="39002">
      <c r="H39002" t="s">
        <v>5117</v>
      </c>
    </row>
    <row r="39003">
      <c r="H39003" t="s">
        <v>5117</v>
      </c>
    </row>
    <row r="39004">
      <c r="H39004" t="s">
        <v>5117</v>
      </c>
    </row>
    <row r="39005">
      <c r="H39005" t="s">
        <v>5117</v>
      </c>
    </row>
    <row r="39006">
      <c r="H39006" t="s">
        <v>5117</v>
      </c>
    </row>
    <row r="39007">
      <c r="H39007" t="s">
        <v>5117</v>
      </c>
    </row>
    <row r="39008">
      <c r="H39008" t="s">
        <v>5117</v>
      </c>
    </row>
    <row r="39009">
      <c r="H39009" t="s">
        <v>5117</v>
      </c>
    </row>
    <row r="39010">
      <c r="H39010" t="s">
        <v>5117</v>
      </c>
    </row>
    <row r="39011">
      <c r="H39011" t="s">
        <v>5117</v>
      </c>
    </row>
    <row r="39012">
      <c r="H39012" t="s">
        <v>5117</v>
      </c>
    </row>
    <row r="39013">
      <c r="H39013" t="s">
        <v>5117</v>
      </c>
    </row>
    <row r="39014">
      <c r="H39014" t="s">
        <v>5117</v>
      </c>
    </row>
    <row r="39015">
      <c r="H39015" t="s">
        <v>5117</v>
      </c>
    </row>
    <row r="39016">
      <c r="H39016" t="s">
        <v>5117</v>
      </c>
    </row>
    <row r="39017">
      <c r="H39017" t="s">
        <v>5117</v>
      </c>
    </row>
    <row r="39018">
      <c r="H39018" t="s">
        <v>5117</v>
      </c>
    </row>
    <row r="39019">
      <c r="H39019" t="s">
        <v>5117</v>
      </c>
    </row>
    <row r="39020">
      <c r="H39020" t="s">
        <v>5117</v>
      </c>
    </row>
    <row r="39021">
      <c r="H39021" t="s">
        <v>5117</v>
      </c>
    </row>
    <row r="39022">
      <c r="H39022" t="s">
        <v>5117</v>
      </c>
    </row>
    <row r="39023">
      <c r="H39023" t="s">
        <v>5117</v>
      </c>
    </row>
    <row r="39024">
      <c r="H39024" t="s">
        <v>5117</v>
      </c>
    </row>
    <row r="39025">
      <c r="H39025" t="s">
        <v>5117</v>
      </c>
    </row>
    <row r="39026">
      <c r="H39026" t="s">
        <v>5117</v>
      </c>
    </row>
    <row r="39027">
      <c r="H39027" t="s">
        <v>5117</v>
      </c>
    </row>
    <row r="39028">
      <c r="H39028" t="s">
        <v>5117</v>
      </c>
    </row>
    <row r="39029">
      <c r="H39029" t="s">
        <v>5117</v>
      </c>
    </row>
    <row r="39030">
      <c r="H39030" t="s">
        <v>5117</v>
      </c>
    </row>
    <row r="39031">
      <c r="H39031" t="s">
        <v>5117</v>
      </c>
    </row>
    <row r="39032">
      <c r="H39032" t="s">
        <v>5117</v>
      </c>
    </row>
    <row r="39033">
      <c r="H39033" t="s">
        <v>5117</v>
      </c>
    </row>
    <row r="39034">
      <c r="H39034" t="s">
        <v>5117</v>
      </c>
    </row>
    <row r="39035">
      <c r="H39035" t="s">
        <v>5117</v>
      </c>
    </row>
    <row r="39036">
      <c r="H39036" t="s">
        <v>5117</v>
      </c>
    </row>
    <row r="39037">
      <c r="H39037" t="s">
        <v>5117</v>
      </c>
    </row>
    <row r="39038">
      <c r="H39038" t="s">
        <v>5117</v>
      </c>
    </row>
    <row r="39039">
      <c r="H39039" t="s">
        <v>5117</v>
      </c>
    </row>
    <row r="39040">
      <c r="H39040" t="s">
        <v>5117</v>
      </c>
    </row>
    <row r="39041">
      <c r="H39041" t="s">
        <v>5117</v>
      </c>
    </row>
    <row r="39042">
      <c r="H39042" t="s">
        <v>5117</v>
      </c>
    </row>
    <row r="39043">
      <c r="H39043" t="s">
        <v>5117</v>
      </c>
    </row>
    <row r="39044">
      <c r="H39044" t="s">
        <v>5117</v>
      </c>
    </row>
    <row r="39045">
      <c r="H39045" t="s">
        <v>5117</v>
      </c>
    </row>
    <row r="39046">
      <c r="H39046" t="s">
        <v>5117</v>
      </c>
    </row>
    <row r="39047">
      <c r="H39047" t="s">
        <v>5117</v>
      </c>
    </row>
    <row r="39048">
      <c r="H39048" t="s">
        <v>5117</v>
      </c>
    </row>
    <row r="39049">
      <c r="H39049" t="s">
        <v>5117</v>
      </c>
    </row>
    <row r="39050">
      <c r="H39050" t="s">
        <v>5117</v>
      </c>
    </row>
    <row r="39051">
      <c r="H39051" t="s">
        <v>5117</v>
      </c>
    </row>
    <row r="39052">
      <c r="H39052" t="s">
        <v>5117</v>
      </c>
    </row>
    <row r="39053">
      <c r="H39053" t="s">
        <v>5117</v>
      </c>
    </row>
    <row r="39054">
      <c r="H39054" t="s">
        <v>5117</v>
      </c>
    </row>
    <row r="39055">
      <c r="H39055" t="s">
        <v>5117</v>
      </c>
    </row>
    <row r="39056">
      <c r="H39056" t="s">
        <v>5117</v>
      </c>
    </row>
    <row r="39057">
      <c r="H39057" t="s">
        <v>5117</v>
      </c>
    </row>
    <row r="39058">
      <c r="H39058" t="s">
        <v>5117</v>
      </c>
    </row>
    <row r="39059">
      <c r="H39059" t="s">
        <v>5117</v>
      </c>
    </row>
    <row r="39060">
      <c r="H39060" t="s">
        <v>5117</v>
      </c>
    </row>
    <row r="39061">
      <c r="H39061" t="s">
        <v>5117</v>
      </c>
    </row>
    <row r="39062">
      <c r="H39062" t="s">
        <v>5117</v>
      </c>
    </row>
    <row r="39063">
      <c r="H39063" t="s">
        <v>5117</v>
      </c>
    </row>
    <row r="39064">
      <c r="H39064" t="s">
        <v>5117</v>
      </c>
    </row>
    <row r="39065">
      <c r="H39065" t="s">
        <v>5117</v>
      </c>
    </row>
    <row r="39066">
      <c r="H39066" t="s">
        <v>5117</v>
      </c>
    </row>
    <row r="39067">
      <c r="H39067" t="s">
        <v>5117</v>
      </c>
    </row>
    <row r="39068">
      <c r="H39068" t="s">
        <v>5117</v>
      </c>
    </row>
    <row r="39069">
      <c r="H39069" t="s">
        <v>5117</v>
      </c>
    </row>
    <row r="39070">
      <c r="H39070" t="s">
        <v>5117</v>
      </c>
    </row>
    <row r="39071">
      <c r="H39071" t="s">
        <v>5117</v>
      </c>
    </row>
    <row r="39072">
      <c r="H39072" t="s">
        <v>5117</v>
      </c>
    </row>
    <row r="39073">
      <c r="H39073" t="s">
        <v>5117</v>
      </c>
    </row>
    <row r="39074">
      <c r="H39074" t="s">
        <v>5117</v>
      </c>
    </row>
    <row r="39075">
      <c r="H39075" t="s">
        <v>5117</v>
      </c>
    </row>
    <row r="39076">
      <c r="H39076" t="s">
        <v>5117</v>
      </c>
    </row>
    <row r="39077">
      <c r="H39077" t="s">
        <v>5117</v>
      </c>
    </row>
    <row r="39078">
      <c r="H39078" t="s">
        <v>5117</v>
      </c>
    </row>
    <row r="39079">
      <c r="H39079" t="s">
        <v>5117</v>
      </c>
    </row>
    <row r="39080">
      <c r="H39080" t="s">
        <v>5117</v>
      </c>
    </row>
    <row r="39081">
      <c r="H39081" t="s">
        <v>5117</v>
      </c>
    </row>
    <row r="39082">
      <c r="H39082" t="s">
        <v>5117</v>
      </c>
    </row>
    <row r="39083">
      <c r="H39083" t="s">
        <v>5117</v>
      </c>
    </row>
    <row r="39084">
      <c r="H39084" t="s">
        <v>5117</v>
      </c>
    </row>
    <row r="39085">
      <c r="H39085" t="s">
        <v>5117</v>
      </c>
    </row>
    <row r="39086">
      <c r="H39086" t="s">
        <v>5117</v>
      </c>
    </row>
    <row r="39087">
      <c r="H39087" t="s">
        <v>5117</v>
      </c>
    </row>
    <row r="39088">
      <c r="H39088" t="s">
        <v>5117</v>
      </c>
    </row>
    <row r="39089">
      <c r="H39089" t="s">
        <v>5117</v>
      </c>
    </row>
    <row r="39090">
      <c r="H39090" t="s">
        <v>5117</v>
      </c>
    </row>
    <row r="39091">
      <c r="H39091" t="s">
        <v>5117</v>
      </c>
    </row>
    <row r="39092">
      <c r="H39092" t="s">
        <v>5117</v>
      </c>
    </row>
    <row r="39093">
      <c r="H39093" t="s">
        <v>5117</v>
      </c>
    </row>
    <row r="39094">
      <c r="H39094" t="s">
        <v>5117</v>
      </c>
    </row>
    <row r="39095">
      <c r="H39095" t="s">
        <v>5117</v>
      </c>
    </row>
    <row r="39096">
      <c r="H39096" t="s">
        <v>5117</v>
      </c>
    </row>
    <row r="39097">
      <c r="H39097" t="s">
        <v>5117</v>
      </c>
    </row>
    <row r="39098">
      <c r="H39098" t="s">
        <v>5117</v>
      </c>
    </row>
    <row r="39099">
      <c r="H39099" t="s">
        <v>5117</v>
      </c>
    </row>
    <row r="39100">
      <c r="H39100" t="s">
        <v>5117</v>
      </c>
    </row>
    <row r="39101">
      <c r="H39101" t="s">
        <v>5117</v>
      </c>
    </row>
    <row r="39102">
      <c r="H39102" t="s">
        <v>5117</v>
      </c>
    </row>
    <row r="39103">
      <c r="H39103" t="s">
        <v>5117</v>
      </c>
    </row>
    <row r="39104">
      <c r="H39104" t="s">
        <v>5117</v>
      </c>
    </row>
    <row r="39105">
      <c r="H39105" t="s">
        <v>5117</v>
      </c>
    </row>
    <row r="39106">
      <c r="H39106" t="s">
        <v>5117</v>
      </c>
    </row>
    <row r="39107">
      <c r="H39107" t="s">
        <v>5117</v>
      </c>
    </row>
    <row r="39108">
      <c r="H39108" t="s">
        <v>5117</v>
      </c>
    </row>
    <row r="39109">
      <c r="H39109" t="s">
        <v>5117</v>
      </c>
    </row>
    <row r="39110">
      <c r="H39110" t="s">
        <v>5117</v>
      </c>
    </row>
    <row r="39111">
      <c r="H39111" t="s">
        <v>5117</v>
      </c>
    </row>
    <row r="39112">
      <c r="H39112" t="s">
        <v>5117</v>
      </c>
    </row>
    <row r="39113">
      <c r="H39113" t="s">
        <v>5117</v>
      </c>
    </row>
    <row r="39114">
      <c r="H39114" t="s">
        <v>5117</v>
      </c>
    </row>
    <row r="39115">
      <c r="H39115" t="s">
        <v>5117</v>
      </c>
    </row>
    <row r="39116">
      <c r="H39116" t="s">
        <v>5117</v>
      </c>
    </row>
    <row r="39117">
      <c r="H39117" t="s">
        <v>5117</v>
      </c>
    </row>
    <row r="39118">
      <c r="H39118" t="s">
        <v>5117</v>
      </c>
    </row>
    <row r="39119">
      <c r="H39119" t="s">
        <v>5117</v>
      </c>
    </row>
    <row r="39120">
      <c r="H39120" t="s">
        <v>5117</v>
      </c>
    </row>
    <row r="39121">
      <c r="H39121" t="s">
        <v>5117</v>
      </c>
    </row>
    <row r="39122">
      <c r="H39122" t="s">
        <v>5117</v>
      </c>
    </row>
    <row r="39123">
      <c r="H39123" t="s">
        <v>5117</v>
      </c>
    </row>
    <row r="39124">
      <c r="H39124" t="s">
        <v>5117</v>
      </c>
    </row>
    <row r="39125">
      <c r="H39125" t="s">
        <v>5117</v>
      </c>
    </row>
    <row r="39126">
      <c r="H39126" t="s">
        <v>5117</v>
      </c>
    </row>
    <row r="39127">
      <c r="H39127" t="s">
        <v>5117</v>
      </c>
    </row>
    <row r="39128">
      <c r="H39128" t="s">
        <v>5117</v>
      </c>
    </row>
    <row r="39129">
      <c r="H39129" t="s">
        <v>5117</v>
      </c>
    </row>
    <row r="39130">
      <c r="H39130" t="s">
        <v>5117</v>
      </c>
    </row>
    <row r="39131">
      <c r="H39131" t="s">
        <v>5117</v>
      </c>
    </row>
    <row r="39132">
      <c r="H39132" t="s">
        <v>5117</v>
      </c>
    </row>
    <row r="39133">
      <c r="H39133" t="s">
        <v>5117</v>
      </c>
    </row>
    <row r="39134">
      <c r="H39134" t="s">
        <v>5117</v>
      </c>
    </row>
    <row r="39135">
      <c r="H39135" t="s">
        <v>5117</v>
      </c>
    </row>
    <row r="39136">
      <c r="H39136" t="s">
        <v>5117</v>
      </c>
    </row>
    <row r="39137">
      <c r="H39137" t="s">
        <v>5117</v>
      </c>
    </row>
    <row r="39138">
      <c r="H39138" t="s">
        <v>5117</v>
      </c>
    </row>
    <row r="39139">
      <c r="H39139" t="s">
        <v>5117</v>
      </c>
    </row>
    <row r="39140">
      <c r="H39140" t="s">
        <v>5117</v>
      </c>
    </row>
    <row r="39141">
      <c r="H39141" t="s">
        <v>5117</v>
      </c>
    </row>
    <row r="39142">
      <c r="H39142" t="s">
        <v>5117</v>
      </c>
    </row>
    <row r="39143">
      <c r="H39143" t="s">
        <v>5117</v>
      </c>
    </row>
    <row r="39144">
      <c r="H39144" t="s">
        <v>5117</v>
      </c>
    </row>
    <row r="39145">
      <c r="H39145" t="s">
        <v>5117</v>
      </c>
    </row>
    <row r="39146">
      <c r="H39146" t="s">
        <v>5117</v>
      </c>
    </row>
    <row r="39147">
      <c r="H39147" t="s">
        <v>5117</v>
      </c>
    </row>
    <row r="39148">
      <c r="H39148" t="s">
        <v>5117</v>
      </c>
    </row>
    <row r="39149">
      <c r="H39149" t="s">
        <v>5117</v>
      </c>
    </row>
    <row r="39150">
      <c r="H39150" t="s">
        <v>5117</v>
      </c>
    </row>
    <row r="39151">
      <c r="H39151" t="s">
        <v>5117</v>
      </c>
    </row>
    <row r="39152">
      <c r="H39152" t="s">
        <v>5117</v>
      </c>
    </row>
    <row r="39153">
      <c r="H39153" t="s">
        <v>5117</v>
      </c>
    </row>
    <row r="39154">
      <c r="H39154" t="s">
        <v>5117</v>
      </c>
    </row>
    <row r="39155">
      <c r="H39155" t="s">
        <v>5117</v>
      </c>
    </row>
    <row r="39156">
      <c r="H39156" t="s">
        <v>5117</v>
      </c>
    </row>
    <row r="39157">
      <c r="H39157" t="s">
        <v>5117</v>
      </c>
    </row>
    <row r="39158">
      <c r="H39158" t="s">
        <v>5117</v>
      </c>
    </row>
    <row r="39159">
      <c r="H39159" t="s">
        <v>5117</v>
      </c>
    </row>
    <row r="39160">
      <c r="H39160" t="s">
        <v>5117</v>
      </c>
    </row>
    <row r="39161">
      <c r="H39161" t="s">
        <v>5117</v>
      </c>
    </row>
    <row r="39162">
      <c r="H39162" t="s">
        <v>5117</v>
      </c>
    </row>
    <row r="39163">
      <c r="H39163" t="s">
        <v>5117</v>
      </c>
    </row>
    <row r="39164">
      <c r="H39164" t="s">
        <v>5117</v>
      </c>
    </row>
    <row r="39165">
      <c r="H39165" t="s">
        <v>5117</v>
      </c>
    </row>
    <row r="39166">
      <c r="H39166" t="s">
        <v>5117</v>
      </c>
    </row>
    <row r="39167">
      <c r="H39167" t="s">
        <v>5117</v>
      </c>
    </row>
    <row r="39168">
      <c r="H39168" t="s">
        <v>5117</v>
      </c>
    </row>
    <row r="39169">
      <c r="H39169" t="s">
        <v>5117</v>
      </c>
    </row>
    <row r="39170">
      <c r="H39170" t="s">
        <v>5117</v>
      </c>
    </row>
    <row r="39171">
      <c r="H39171" t="s">
        <v>5117</v>
      </c>
    </row>
    <row r="39172">
      <c r="H39172" t="s">
        <v>5117</v>
      </c>
    </row>
    <row r="39173">
      <c r="H39173" t="s">
        <v>5117</v>
      </c>
    </row>
    <row r="39174">
      <c r="H39174" t="s">
        <v>5117</v>
      </c>
    </row>
    <row r="39175">
      <c r="H39175" t="s">
        <v>5117</v>
      </c>
    </row>
    <row r="39176">
      <c r="H39176" t="s">
        <v>5117</v>
      </c>
    </row>
    <row r="39177">
      <c r="H39177" t="s">
        <v>5117</v>
      </c>
    </row>
    <row r="39178">
      <c r="H39178" t="s">
        <v>5117</v>
      </c>
    </row>
    <row r="39179">
      <c r="H39179" t="s">
        <v>5117</v>
      </c>
    </row>
    <row r="39180">
      <c r="H39180" t="s">
        <v>5117</v>
      </c>
    </row>
    <row r="39181">
      <c r="H39181" t="s">
        <v>5117</v>
      </c>
    </row>
    <row r="39182">
      <c r="H39182" t="s">
        <v>5117</v>
      </c>
    </row>
    <row r="39183">
      <c r="H39183" t="s">
        <v>5117</v>
      </c>
    </row>
    <row r="39184">
      <c r="H39184" t="s">
        <v>5117</v>
      </c>
    </row>
    <row r="39185">
      <c r="H39185" t="s">
        <v>5117</v>
      </c>
    </row>
    <row r="39186">
      <c r="H39186" t="s">
        <v>5117</v>
      </c>
    </row>
    <row r="39187">
      <c r="H39187" t="s">
        <v>5117</v>
      </c>
    </row>
    <row r="39188">
      <c r="H39188" t="s">
        <v>5117</v>
      </c>
    </row>
    <row r="39189">
      <c r="H39189" t="s">
        <v>5117</v>
      </c>
    </row>
    <row r="39190">
      <c r="H39190" t="s">
        <v>5117</v>
      </c>
    </row>
    <row r="39191">
      <c r="H39191" t="s">
        <v>5117</v>
      </c>
    </row>
    <row r="39192">
      <c r="H39192" t="s">
        <v>5117</v>
      </c>
    </row>
    <row r="39193">
      <c r="H39193" t="s">
        <v>5117</v>
      </c>
    </row>
    <row r="39194">
      <c r="H39194" t="s">
        <v>5117</v>
      </c>
    </row>
    <row r="39195">
      <c r="H39195" t="s">
        <v>5117</v>
      </c>
    </row>
    <row r="39196">
      <c r="H39196" t="s">
        <v>5117</v>
      </c>
    </row>
    <row r="39197">
      <c r="H39197" t="s">
        <v>5117</v>
      </c>
    </row>
    <row r="39198">
      <c r="H39198" t="s">
        <v>5117</v>
      </c>
    </row>
    <row r="39199">
      <c r="H39199" t="s">
        <v>5117</v>
      </c>
    </row>
    <row r="39200">
      <c r="H39200" t="s">
        <v>5117</v>
      </c>
    </row>
    <row r="39201">
      <c r="H39201" t="s">
        <v>5117</v>
      </c>
    </row>
    <row r="39202">
      <c r="H39202" t="s">
        <v>5117</v>
      </c>
    </row>
    <row r="39203">
      <c r="H39203" t="s">
        <v>5117</v>
      </c>
    </row>
    <row r="39204">
      <c r="H39204" t="s">
        <v>5117</v>
      </c>
    </row>
    <row r="39205">
      <c r="H39205" t="s">
        <v>5117</v>
      </c>
    </row>
    <row r="39206">
      <c r="H39206" t="s">
        <v>5117</v>
      </c>
    </row>
    <row r="39207">
      <c r="H39207" t="s">
        <v>5117</v>
      </c>
    </row>
    <row r="39208">
      <c r="H39208" t="s">
        <v>5117</v>
      </c>
    </row>
    <row r="39209">
      <c r="H39209" t="s">
        <v>5117</v>
      </c>
    </row>
    <row r="39210">
      <c r="H39210" t="s">
        <v>5117</v>
      </c>
    </row>
    <row r="39211">
      <c r="H39211" t="s">
        <v>5117</v>
      </c>
    </row>
    <row r="39212">
      <c r="H39212" t="s">
        <v>5117</v>
      </c>
    </row>
    <row r="39213">
      <c r="H39213" t="s">
        <v>5117</v>
      </c>
    </row>
    <row r="39214">
      <c r="H39214" t="s">
        <v>5117</v>
      </c>
    </row>
    <row r="39215">
      <c r="H39215" t="s">
        <v>5117</v>
      </c>
    </row>
    <row r="39216">
      <c r="H39216" t="s">
        <v>5117</v>
      </c>
    </row>
    <row r="39217">
      <c r="H39217" t="s">
        <v>5117</v>
      </c>
    </row>
    <row r="39218">
      <c r="H39218" t="s">
        <v>5117</v>
      </c>
    </row>
    <row r="39219">
      <c r="H39219" t="s">
        <v>5117</v>
      </c>
    </row>
    <row r="39220">
      <c r="H39220" t="s">
        <v>5117</v>
      </c>
    </row>
    <row r="39221">
      <c r="H39221" t="s">
        <v>5117</v>
      </c>
    </row>
    <row r="39222">
      <c r="H39222" t="s">
        <v>5117</v>
      </c>
    </row>
    <row r="39223">
      <c r="H39223" t="s">
        <v>5117</v>
      </c>
    </row>
    <row r="39224">
      <c r="H39224" t="s">
        <v>5117</v>
      </c>
    </row>
    <row r="39225">
      <c r="H39225" t="s">
        <v>5117</v>
      </c>
    </row>
    <row r="39226">
      <c r="H39226" t="s">
        <v>5117</v>
      </c>
    </row>
    <row r="39227">
      <c r="H39227" t="s">
        <v>5117</v>
      </c>
    </row>
    <row r="39228">
      <c r="H39228" t="s">
        <v>5117</v>
      </c>
    </row>
    <row r="39229">
      <c r="H39229" t="s">
        <v>5117</v>
      </c>
    </row>
    <row r="39230">
      <c r="H39230" t="s">
        <v>5117</v>
      </c>
    </row>
    <row r="39231">
      <c r="H39231" t="s">
        <v>5117</v>
      </c>
    </row>
    <row r="39232">
      <c r="H39232" t="s">
        <v>5117</v>
      </c>
    </row>
    <row r="39233">
      <c r="H39233" t="s">
        <v>5117</v>
      </c>
    </row>
    <row r="39234">
      <c r="H39234" t="s">
        <v>5117</v>
      </c>
    </row>
    <row r="39235">
      <c r="H39235" t="s">
        <v>5117</v>
      </c>
    </row>
    <row r="39236">
      <c r="H39236" t="s">
        <v>5117</v>
      </c>
    </row>
    <row r="39237">
      <c r="H39237" t="s">
        <v>5117</v>
      </c>
    </row>
    <row r="39238">
      <c r="H39238" t="s">
        <v>5117</v>
      </c>
    </row>
    <row r="39239">
      <c r="H39239" t="s">
        <v>5117</v>
      </c>
    </row>
    <row r="39240">
      <c r="H39240" t="s">
        <v>5117</v>
      </c>
    </row>
    <row r="39241">
      <c r="H39241" t="s">
        <v>5117</v>
      </c>
    </row>
    <row r="39242">
      <c r="H39242" t="s">
        <v>5117</v>
      </c>
    </row>
    <row r="39243">
      <c r="H39243" t="s">
        <v>5117</v>
      </c>
    </row>
    <row r="39244">
      <c r="H39244" t="s">
        <v>5117</v>
      </c>
    </row>
    <row r="39245">
      <c r="H39245" t="s">
        <v>5117</v>
      </c>
    </row>
    <row r="39246">
      <c r="H39246" t="s">
        <v>5117</v>
      </c>
    </row>
    <row r="39247">
      <c r="H39247" t="s">
        <v>5117</v>
      </c>
    </row>
    <row r="39248">
      <c r="H39248" t="s">
        <v>5117</v>
      </c>
    </row>
    <row r="39249">
      <c r="H39249" t="s">
        <v>5117</v>
      </c>
    </row>
    <row r="39250">
      <c r="H39250" t="s">
        <v>5117</v>
      </c>
    </row>
    <row r="39251">
      <c r="H39251" t="s">
        <v>5117</v>
      </c>
    </row>
    <row r="39252">
      <c r="H39252" t="s">
        <v>5117</v>
      </c>
    </row>
    <row r="39253">
      <c r="H39253" t="s">
        <v>5117</v>
      </c>
    </row>
    <row r="39254">
      <c r="H39254" t="s">
        <v>5117</v>
      </c>
    </row>
    <row r="39255">
      <c r="H39255" t="s">
        <v>5117</v>
      </c>
    </row>
    <row r="39256">
      <c r="H39256" t="s">
        <v>5117</v>
      </c>
    </row>
    <row r="39257">
      <c r="H39257" t="s">
        <v>5117</v>
      </c>
    </row>
    <row r="39258">
      <c r="H39258" t="s">
        <v>5117</v>
      </c>
    </row>
    <row r="39259">
      <c r="H39259" t="s">
        <v>5117</v>
      </c>
    </row>
    <row r="39260">
      <c r="H39260" t="s">
        <v>5117</v>
      </c>
    </row>
    <row r="39261">
      <c r="H39261" t="s">
        <v>5117</v>
      </c>
    </row>
    <row r="39262">
      <c r="H39262" t="s">
        <v>5117</v>
      </c>
    </row>
    <row r="39263">
      <c r="H39263" t="s">
        <v>5117</v>
      </c>
    </row>
    <row r="39264">
      <c r="H39264" t="s">
        <v>5117</v>
      </c>
    </row>
    <row r="39265">
      <c r="H39265" t="s">
        <v>5117</v>
      </c>
    </row>
    <row r="39266">
      <c r="H39266" t="s">
        <v>5117</v>
      </c>
    </row>
    <row r="39267">
      <c r="H39267" t="s">
        <v>5117</v>
      </c>
    </row>
    <row r="39268">
      <c r="H39268" t="s">
        <v>5117</v>
      </c>
    </row>
    <row r="39269">
      <c r="H39269" t="s">
        <v>5117</v>
      </c>
    </row>
    <row r="39270">
      <c r="H39270" t="s">
        <v>5117</v>
      </c>
    </row>
    <row r="39271">
      <c r="H39271" t="s">
        <v>5117</v>
      </c>
    </row>
    <row r="39272">
      <c r="H39272" t="s">
        <v>5117</v>
      </c>
    </row>
    <row r="39273">
      <c r="H39273" t="s">
        <v>5117</v>
      </c>
    </row>
    <row r="39274">
      <c r="H39274" t="s">
        <v>5117</v>
      </c>
    </row>
    <row r="39275">
      <c r="H39275" t="s">
        <v>5117</v>
      </c>
    </row>
    <row r="39276">
      <c r="H39276" t="s">
        <v>5117</v>
      </c>
    </row>
    <row r="39277">
      <c r="H39277" t="s">
        <v>5117</v>
      </c>
    </row>
    <row r="39278">
      <c r="H39278" t="s">
        <v>5117</v>
      </c>
    </row>
    <row r="39279">
      <c r="H39279" t="s">
        <v>5117</v>
      </c>
    </row>
    <row r="39280">
      <c r="H39280" t="s">
        <v>5117</v>
      </c>
    </row>
    <row r="39281">
      <c r="H39281" t="s">
        <v>5117</v>
      </c>
    </row>
    <row r="39282">
      <c r="H39282" t="s">
        <v>5117</v>
      </c>
    </row>
    <row r="39283">
      <c r="H39283" t="s">
        <v>5117</v>
      </c>
    </row>
    <row r="39284">
      <c r="H39284" t="s">
        <v>5117</v>
      </c>
    </row>
    <row r="39285">
      <c r="H39285" t="s">
        <v>5117</v>
      </c>
    </row>
    <row r="39286">
      <c r="H39286" t="s">
        <v>5117</v>
      </c>
    </row>
    <row r="39287">
      <c r="H39287" t="s">
        <v>5117</v>
      </c>
    </row>
    <row r="39288">
      <c r="H39288" t="s">
        <v>5117</v>
      </c>
    </row>
    <row r="39289">
      <c r="H39289" t="s">
        <v>5117</v>
      </c>
    </row>
    <row r="39290">
      <c r="H39290" t="s">
        <v>5117</v>
      </c>
    </row>
    <row r="39291">
      <c r="H39291" t="s">
        <v>5117</v>
      </c>
    </row>
    <row r="39292">
      <c r="H39292" t="s">
        <v>5117</v>
      </c>
    </row>
    <row r="39293">
      <c r="H39293" t="s">
        <v>5117</v>
      </c>
    </row>
    <row r="39294">
      <c r="H39294" t="s">
        <v>5117</v>
      </c>
    </row>
    <row r="39295">
      <c r="H39295" t="s">
        <v>5117</v>
      </c>
    </row>
    <row r="39296">
      <c r="H39296" t="s">
        <v>5117</v>
      </c>
    </row>
    <row r="39297">
      <c r="H39297" t="s">
        <v>5117</v>
      </c>
    </row>
    <row r="39298">
      <c r="H39298" t="s">
        <v>5117</v>
      </c>
    </row>
    <row r="39299">
      <c r="H39299" t="s">
        <v>5117</v>
      </c>
    </row>
    <row r="39300">
      <c r="H39300" t="s">
        <v>5117</v>
      </c>
    </row>
    <row r="39301">
      <c r="H39301" t="s">
        <v>5117</v>
      </c>
    </row>
    <row r="39302">
      <c r="H39302" t="s">
        <v>5117</v>
      </c>
    </row>
    <row r="39303">
      <c r="H39303" t="s">
        <v>5117</v>
      </c>
    </row>
    <row r="39304">
      <c r="H39304" t="s">
        <v>5117</v>
      </c>
    </row>
    <row r="39305">
      <c r="H39305" t="s">
        <v>5117</v>
      </c>
    </row>
    <row r="39306">
      <c r="H39306" t="s">
        <v>5117</v>
      </c>
    </row>
    <row r="39307">
      <c r="H39307" t="s">
        <v>5117</v>
      </c>
    </row>
    <row r="39308">
      <c r="H39308" t="s">
        <v>5117</v>
      </c>
    </row>
    <row r="39309">
      <c r="H39309" t="s">
        <v>5117</v>
      </c>
    </row>
    <row r="39310">
      <c r="H39310" t="s">
        <v>5117</v>
      </c>
    </row>
    <row r="39311">
      <c r="H39311" t="s">
        <v>5117</v>
      </c>
    </row>
    <row r="39312">
      <c r="H39312" t="s">
        <v>5117</v>
      </c>
    </row>
    <row r="39313">
      <c r="H39313" t="s">
        <v>5117</v>
      </c>
    </row>
    <row r="39314">
      <c r="H39314" t="s">
        <v>5117</v>
      </c>
    </row>
    <row r="39315">
      <c r="H39315" t="s">
        <v>5117</v>
      </c>
    </row>
    <row r="39316">
      <c r="H39316" t="s">
        <v>5117</v>
      </c>
    </row>
    <row r="39317">
      <c r="H39317" t="s">
        <v>5117</v>
      </c>
    </row>
    <row r="39318">
      <c r="H39318" t="s">
        <v>5117</v>
      </c>
    </row>
    <row r="39319">
      <c r="H39319" t="s">
        <v>5117</v>
      </c>
    </row>
    <row r="39320">
      <c r="H39320" t="s">
        <v>5117</v>
      </c>
    </row>
    <row r="39321">
      <c r="H39321" t="s">
        <v>5117</v>
      </c>
    </row>
    <row r="39322">
      <c r="H39322" t="s">
        <v>5117</v>
      </c>
    </row>
    <row r="39323">
      <c r="H39323" t="s">
        <v>5117</v>
      </c>
    </row>
    <row r="39324">
      <c r="H39324" t="s">
        <v>5117</v>
      </c>
    </row>
    <row r="39325">
      <c r="H39325" t="s">
        <v>5117</v>
      </c>
    </row>
    <row r="39326">
      <c r="H39326" t="s">
        <v>5117</v>
      </c>
    </row>
    <row r="39327">
      <c r="H39327" t="s">
        <v>5117</v>
      </c>
    </row>
    <row r="39328">
      <c r="H39328" t="s">
        <v>5117</v>
      </c>
    </row>
    <row r="39329">
      <c r="H39329" t="s">
        <v>5117</v>
      </c>
    </row>
    <row r="39330">
      <c r="H39330" t="s">
        <v>5117</v>
      </c>
    </row>
    <row r="39331">
      <c r="H39331" t="s">
        <v>5117</v>
      </c>
    </row>
    <row r="39332">
      <c r="H39332" t="s">
        <v>5117</v>
      </c>
    </row>
    <row r="39333">
      <c r="H39333" t="s">
        <v>5117</v>
      </c>
    </row>
    <row r="39334">
      <c r="H39334" t="s">
        <v>5117</v>
      </c>
    </row>
    <row r="39335">
      <c r="H39335" t="s">
        <v>5117</v>
      </c>
    </row>
    <row r="39336">
      <c r="H39336" t="s">
        <v>5117</v>
      </c>
    </row>
    <row r="39337">
      <c r="H39337" t="s">
        <v>5117</v>
      </c>
    </row>
    <row r="39338">
      <c r="H39338" t="s">
        <v>5117</v>
      </c>
    </row>
    <row r="39339">
      <c r="H39339" t="s">
        <v>5117</v>
      </c>
    </row>
    <row r="39340">
      <c r="H39340" t="s">
        <v>5117</v>
      </c>
    </row>
    <row r="39341">
      <c r="H39341" t="s">
        <v>5117</v>
      </c>
    </row>
    <row r="39342">
      <c r="H39342" t="s">
        <v>5117</v>
      </c>
    </row>
    <row r="39343">
      <c r="H39343" t="s">
        <v>5117</v>
      </c>
    </row>
    <row r="39344">
      <c r="H39344" t="s">
        <v>5117</v>
      </c>
    </row>
    <row r="39345">
      <c r="H39345" t="s">
        <v>5117</v>
      </c>
    </row>
    <row r="39346">
      <c r="H39346" t="s">
        <v>5117</v>
      </c>
    </row>
    <row r="39347">
      <c r="H39347" t="s">
        <v>5117</v>
      </c>
    </row>
    <row r="39348">
      <c r="H39348" t="s">
        <v>5117</v>
      </c>
    </row>
    <row r="39349">
      <c r="H39349" t="s">
        <v>5117</v>
      </c>
    </row>
    <row r="39350">
      <c r="H39350" t="s">
        <v>5117</v>
      </c>
    </row>
    <row r="39351">
      <c r="H39351" t="s">
        <v>5117</v>
      </c>
    </row>
    <row r="39352">
      <c r="H39352" t="s">
        <v>5117</v>
      </c>
    </row>
    <row r="39353">
      <c r="H39353" t="s">
        <v>5117</v>
      </c>
    </row>
    <row r="39354">
      <c r="H39354" t="s">
        <v>5117</v>
      </c>
    </row>
    <row r="39355">
      <c r="H39355" t="s">
        <v>5117</v>
      </c>
    </row>
    <row r="39356">
      <c r="H39356" t="s">
        <v>5117</v>
      </c>
    </row>
    <row r="39357">
      <c r="H39357" t="s">
        <v>5117</v>
      </c>
    </row>
    <row r="39358">
      <c r="H39358" t="s">
        <v>5117</v>
      </c>
    </row>
    <row r="39359">
      <c r="H39359" t="s">
        <v>5117</v>
      </c>
    </row>
    <row r="39360">
      <c r="H39360" t="s">
        <v>5117</v>
      </c>
    </row>
    <row r="39361">
      <c r="H39361" t="s">
        <v>5117</v>
      </c>
    </row>
    <row r="39362">
      <c r="H39362" t="s">
        <v>5117</v>
      </c>
    </row>
    <row r="39363">
      <c r="H39363" t="s">
        <v>5117</v>
      </c>
    </row>
    <row r="39364">
      <c r="H39364" t="s">
        <v>5117</v>
      </c>
    </row>
    <row r="39365">
      <c r="H39365" t="s">
        <v>5117</v>
      </c>
    </row>
    <row r="39366">
      <c r="H39366" t="s">
        <v>5117</v>
      </c>
    </row>
    <row r="39367">
      <c r="H39367" t="s">
        <v>5117</v>
      </c>
    </row>
    <row r="39368">
      <c r="H39368" t="s">
        <v>5117</v>
      </c>
    </row>
    <row r="39369">
      <c r="H39369" t="s">
        <v>5117</v>
      </c>
    </row>
    <row r="39370">
      <c r="H39370" t="s">
        <v>5117</v>
      </c>
    </row>
    <row r="39371">
      <c r="H39371" t="s">
        <v>5117</v>
      </c>
    </row>
    <row r="39372">
      <c r="H39372" t="s">
        <v>5117</v>
      </c>
    </row>
    <row r="39373">
      <c r="H39373" t="s">
        <v>5117</v>
      </c>
    </row>
    <row r="39374">
      <c r="H39374" t="s">
        <v>5117</v>
      </c>
    </row>
    <row r="39375">
      <c r="H39375" t="s">
        <v>5117</v>
      </c>
    </row>
    <row r="39376">
      <c r="H39376" t="s">
        <v>5117</v>
      </c>
    </row>
    <row r="39377">
      <c r="H39377" t="s">
        <v>5117</v>
      </c>
    </row>
    <row r="39378">
      <c r="H39378" t="s">
        <v>5117</v>
      </c>
    </row>
    <row r="39379">
      <c r="H39379" t="s">
        <v>5117</v>
      </c>
    </row>
    <row r="39380">
      <c r="H39380" t="s">
        <v>5117</v>
      </c>
    </row>
    <row r="39381">
      <c r="H39381" t="s">
        <v>5117</v>
      </c>
    </row>
    <row r="39382">
      <c r="H39382" t="s">
        <v>5117</v>
      </c>
    </row>
    <row r="39383">
      <c r="H39383" t="s">
        <v>5117</v>
      </c>
    </row>
    <row r="39384">
      <c r="H39384" t="s">
        <v>5117</v>
      </c>
    </row>
    <row r="39385">
      <c r="H39385" t="s">
        <v>5117</v>
      </c>
    </row>
    <row r="39386">
      <c r="H39386" t="s">
        <v>5117</v>
      </c>
    </row>
    <row r="39387">
      <c r="H39387" t="s">
        <v>5117</v>
      </c>
    </row>
    <row r="39388">
      <c r="H39388" t="s">
        <v>5117</v>
      </c>
    </row>
    <row r="39389">
      <c r="H39389" t="s">
        <v>5117</v>
      </c>
    </row>
    <row r="39390">
      <c r="H39390" t="s">
        <v>5117</v>
      </c>
    </row>
    <row r="39391">
      <c r="H39391" t="s">
        <v>5117</v>
      </c>
    </row>
    <row r="39392">
      <c r="H39392" t="s">
        <v>5117</v>
      </c>
    </row>
    <row r="39393">
      <c r="H39393" t="s">
        <v>5117</v>
      </c>
    </row>
    <row r="39394">
      <c r="H39394" t="s">
        <v>5117</v>
      </c>
    </row>
    <row r="39395">
      <c r="H39395" t="s">
        <v>5117</v>
      </c>
    </row>
    <row r="39396">
      <c r="H39396" t="s">
        <v>5117</v>
      </c>
    </row>
    <row r="39397">
      <c r="H39397" t="s">
        <v>5117</v>
      </c>
    </row>
    <row r="39398">
      <c r="H39398" t="s">
        <v>5117</v>
      </c>
    </row>
    <row r="39399">
      <c r="H39399" t="s">
        <v>5117</v>
      </c>
    </row>
    <row r="39400">
      <c r="H39400" t="s">
        <v>5117</v>
      </c>
    </row>
    <row r="39401">
      <c r="H39401" t="s">
        <v>5117</v>
      </c>
    </row>
    <row r="39402">
      <c r="H39402" t="s">
        <v>5117</v>
      </c>
    </row>
    <row r="39403">
      <c r="H39403" t="s">
        <v>5117</v>
      </c>
    </row>
    <row r="39404">
      <c r="H39404" t="s">
        <v>5117</v>
      </c>
    </row>
    <row r="39405">
      <c r="H39405" t="s">
        <v>5117</v>
      </c>
    </row>
    <row r="39406">
      <c r="H39406" t="s">
        <v>5117</v>
      </c>
    </row>
    <row r="39407">
      <c r="H39407" t="s">
        <v>5117</v>
      </c>
    </row>
    <row r="39408">
      <c r="H39408" t="s">
        <v>5117</v>
      </c>
    </row>
    <row r="39409">
      <c r="H39409" t="s">
        <v>5117</v>
      </c>
    </row>
    <row r="39410">
      <c r="H39410" t="s">
        <v>5117</v>
      </c>
    </row>
    <row r="39411">
      <c r="H39411" t="s">
        <v>5117</v>
      </c>
    </row>
    <row r="39412">
      <c r="H39412" t="s">
        <v>5117</v>
      </c>
    </row>
    <row r="39413">
      <c r="H39413" t="s">
        <v>5117</v>
      </c>
    </row>
    <row r="39414">
      <c r="H39414" t="s">
        <v>5117</v>
      </c>
    </row>
    <row r="39415">
      <c r="H39415" t="s">
        <v>5117</v>
      </c>
    </row>
    <row r="39416">
      <c r="H39416" t="s">
        <v>5117</v>
      </c>
    </row>
    <row r="39417">
      <c r="H39417" t="s">
        <v>5117</v>
      </c>
    </row>
    <row r="39418">
      <c r="H39418" t="s">
        <v>5117</v>
      </c>
    </row>
    <row r="39419">
      <c r="H39419" t="s">
        <v>5117</v>
      </c>
    </row>
    <row r="39420">
      <c r="H39420" t="s">
        <v>5117</v>
      </c>
    </row>
    <row r="39421">
      <c r="H39421" t="s">
        <v>5117</v>
      </c>
    </row>
    <row r="39422">
      <c r="H39422" t="s">
        <v>5117</v>
      </c>
    </row>
    <row r="39423">
      <c r="H39423" t="s">
        <v>5117</v>
      </c>
    </row>
    <row r="39424">
      <c r="H39424" t="s">
        <v>5117</v>
      </c>
    </row>
    <row r="39425">
      <c r="H39425" t="s">
        <v>5117</v>
      </c>
    </row>
    <row r="39426">
      <c r="H39426" t="s">
        <v>5117</v>
      </c>
    </row>
    <row r="39427">
      <c r="H39427" t="s">
        <v>5117</v>
      </c>
    </row>
    <row r="39428">
      <c r="H39428" t="s">
        <v>5117</v>
      </c>
    </row>
    <row r="39429">
      <c r="H39429" t="s">
        <v>5117</v>
      </c>
    </row>
    <row r="39430">
      <c r="H39430" t="s">
        <v>5117</v>
      </c>
    </row>
    <row r="39431">
      <c r="H39431" t="s">
        <v>5117</v>
      </c>
    </row>
    <row r="39432">
      <c r="H39432" t="s">
        <v>5117</v>
      </c>
    </row>
    <row r="39433">
      <c r="H39433" t="s">
        <v>5117</v>
      </c>
    </row>
    <row r="39434">
      <c r="H39434" t="s">
        <v>5117</v>
      </c>
    </row>
    <row r="39435">
      <c r="H39435" t="s">
        <v>5117</v>
      </c>
    </row>
    <row r="39436">
      <c r="H39436" t="s">
        <v>5117</v>
      </c>
    </row>
    <row r="39437">
      <c r="H39437" t="s">
        <v>5117</v>
      </c>
    </row>
    <row r="39438">
      <c r="H39438" t="s">
        <v>5117</v>
      </c>
    </row>
    <row r="39439">
      <c r="H39439" t="s">
        <v>5117</v>
      </c>
    </row>
    <row r="39440">
      <c r="H39440" t="s">
        <v>5117</v>
      </c>
    </row>
    <row r="39441">
      <c r="H39441" t="s">
        <v>5117</v>
      </c>
    </row>
    <row r="39442">
      <c r="H39442" t="s">
        <v>5117</v>
      </c>
    </row>
    <row r="39443">
      <c r="H39443" t="s">
        <v>5117</v>
      </c>
    </row>
    <row r="39444">
      <c r="H39444" t="s">
        <v>5117</v>
      </c>
    </row>
    <row r="39445">
      <c r="H39445" t="s">
        <v>5117</v>
      </c>
    </row>
    <row r="39446">
      <c r="H39446" t="s">
        <v>5117</v>
      </c>
    </row>
    <row r="39447">
      <c r="H39447" t="s">
        <v>5117</v>
      </c>
    </row>
    <row r="39448">
      <c r="H39448" t="s">
        <v>5117</v>
      </c>
    </row>
    <row r="39449">
      <c r="H39449" t="s">
        <v>5117</v>
      </c>
    </row>
    <row r="39450">
      <c r="H39450" t="s">
        <v>5117</v>
      </c>
    </row>
    <row r="39451">
      <c r="H39451" t="s">
        <v>5117</v>
      </c>
    </row>
    <row r="39452">
      <c r="H39452" t="s">
        <v>5117</v>
      </c>
    </row>
    <row r="39453">
      <c r="H39453" t="s">
        <v>5117</v>
      </c>
    </row>
    <row r="39454">
      <c r="H39454" t="s">
        <v>5117</v>
      </c>
    </row>
    <row r="39455">
      <c r="H39455" t="s">
        <v>5117</v>
      </c>
    </row>
    <row r="39456">
      <c r="H39456" t="s">
        <v>5117</v>
      </c>
    </row>
    <row r="39457">
      <c r="H39457" t="s">
        <v>5117</v>
      </c>
    </row>
    <row r="39458">
      <c r="H39458" t="s">
        <v>5117</v>
      </c>
    </row>
    <row r="39459">
      <c r="H39459" t="s">
        <v>5117</v>
      </c>
    </row>
    <row r="39460">
      <c r="H39460" t="s">
        <v>5117</v>
      </c>
    </row>
    <row r="39461">
      <c r="H39461" t="s">
        <v>5117</v>
      </c>
    </row>
    <row r="39462">
      <c r="H39462" t="s">
        <v>5117</v>
      </c>
    </row>
    <row r="39463">
      <c r="H39463" t="s">
        <v>5117</v>
      </c>
    </row>
    <row r="39464">
      <c r="H39464" t="s">
        <v>5117</v>
      </c>
    </row>
    <row r="39465">
      <c r="H39465" t="s">
        <v>5117</v>
      </c>
    </row>
    <row r="39466">
      <c r="H39466" t="s">
        <v>5117</v>
      </c>
    </row>
    <row r="39467">
      <c r="H39467" t="s">
        <v>5117</v>
      </c>
    </row>
    <row r="39468">
      <c r="H39468" t="s">
        <v>5117</v>
      </c>
    </row>
    <row r="39469">
      <c r="H39469" t="s">
        <v>5117</v>
      </c>
    </row>
    <row r="39470">
      <c r="H39470" t="s">
        <v>5117</v>
      </c>
    </row>
    <row r="39471">
      <c r="H39471" t="s">
        <v>5117</v>
      </c>
    </row>
    <row r="39472">
      <c r="H39472" t="s">
        <v>5117</v>
      </c>
    </row>
    <row r="39473">
      <c r="H39473" t="s">
        <v>5117</v>
      </c>
    </row>
    <row r="39474">
      <c r="H39474" t="s">
        <v>5117</v>
      </c>
    </row>
    <row r="39475">
      <c r="H39475" t="s">
        <v>5117</v>
      </c>
    </row>
    <row r="39476">
      <c r="H39476" t="s">
        <v>5117</v>
      </c>
    </row>
    <row r="39477">
      <c r="H39477" t="s">
        <v>5117</v>
      </c>
    </row>
    <row r="39478">
      <c r="H39478" t="s">
        <v>5117</v>
      </c>
    </row>
    <row r="39479">
      <c r="H39479" t="s">
        <v>5117</v>
      </c>
    </row>
    <row r="39480">
      <c r="H39480" t="s">
        <v>5117</v>
      </c>
    </row>
    <row r="39481">
      <c r="H39481" t="s">
        <v>5117</v>
      </c>
    </row>
    <row r="39482">
      <c r="H39482" t="s">
        <v>5117</v>
      </c>
    </row>
    <row r="39483">
      <c r="H39483" t="s">
        <v>5117</v>
      </c>
    </row>
    <row r="39484">
      <c r="H39484" t="s">
        <v>5117</v>
      </c>
    </row>
    <row r="39485">
      <c r="H39485" t="s">
        <v>5117</v>
      </c>
    </row>
    <row r="39486">
      <c r="H39486" t="s">
        <v>5117</v>
      </c>
    </row>
    <row r="39487">
      <c r="H39487" t="s">
        <v>5117</v>
      </c>
    </row>
    <row r="39488">
      <c r="H39488" t="s">
        <v>5117</v>
      </c>
    </row>
    <row r="39489">
      <c r="H39489" t="s">
        <v>5117</v>
      </c>
    </row>
    <row r="39490">
      <c r="H39490" t="s">
        <v>5117</v>
      </c>
    </row>
    <row r="39491">
      <c r="H39491" t="s">
        <v>5117</v>
      </c>
    </row>
    <row r="39492">
      <c r="H39492" t="s">
        <v>5117</v>
      </c>
    </row>
    <row r="39493">
      <c r="H39493" t="s">
        <v>5117</v>
      </c>
    </row>
    <row r="39494">
      <c r="H39494" t="s">
        <v>5117</v>
      </c>
    </row>
    <row r="39495">
      <c r="H39495" t="s">
        <v>5117</v>
      </c>
    </row>
    <row r="39496">
      <c r="H39496" t="s">
        <v>5117</v>
      </c>
    </row>
    <row r="39497">
      <c r="H39497" t="s">
        <v>5117</v>
      </c>
    </row>
    <row r="39498">
      <c r="H39498" t="s">
        <v>5117</v>
      </c>
    </row>
    <row r="39499">
      <c r="H39499" t="s">
        <v>5117</v>
      </c>
    </row>
    <row r="39500">
      <c r="H39500" t="s">
        <v>5117</v>
      </c>
    </row>
    <row r="39501">
      <c r="H39501" t="s">
        <v>5117</v>
      </c>
    </row>
    <row r="39502">
      <c r="H39502" t="s">
        <v>5117</v>
      </c>
    </row>
    <row r="39503">
      <c r="H39503" t="s">
        <v>5117</v>
      </c>
    </row>
    <row r="39504">
      <c r="H39504" t="s">
        <v>5117</v>
      </c>
    </row>
    <row r="39505">
      <c r="H39505" t="s">
        <v>5117</v>
      </c>
    </row>
    <row r="39506">
      <c r="H39506" t="s">
        <v>5117</v>
      </c>
    </row>
    <row r="39507">
      <c r="H39507" t="s">
        <v>5117</v>
      </c>
    </row>
    <row r="39508">
      <c r="H39508" t="s">
        <v>5117</v>
      </c>
    </row>
    <row r="39509">
      <c r="H39509" t="s">
        <v>5117</v>
      </c>
    </row>
    <row r="39510">
      <c r="H39510" t="s">
        <v>5117</v>
      </c>
    </row>
    <row r="39511">
      <c r="H39511" t="s">
        <v>5117</v>
      </c>
    </row>
    <row r="39512">
      <c r="H39512" t="s">
        <v>5117</v>
      </c>
    </row>
    <row r="39513">
      <c r="H39513" t="s">
        <v>5117</v>
      </c>
    </row>
    <row r="39514">
      <c r="H39514" t="s">
        <v>5117</v>
      </c>
    </row>
    <row r="39515">
      <c r="H39515" t="s">
        <v>5117</v>
      </c>
    </row>
    <row r="39516">
      <c r="H39516" t="s">
        <v>5117</v>
      </c>
    </row>
    <row r="39517">
      <c r="H39517" t="s">
        <v>5117</v>
      </c>
    </row>
    <row r="39518">
      <c r="H39518" t="s">
        <v>5117</v>
      </c>
    </row>
    <row r="39519">
      <c r="H39519" t="s">
        <v>5117</v>
      </c>
    </row>
    <row r="39520">
      <c r="H39520" t="s">
        <v>5117</v>
      </c>
    </row>
    <row r="39521">
      <c r="H39521" t="s">
        <v>5117</v>
      </c>
    </row>
    <row r="39522">
      <c r="H39522" t="s">
        <v>5117</v>
      </c>
    </row>
    <row r="39523">
      <c r="H39523" t="s">
        <v>5117</v>
      </c>
    </row>
    <row r="39524">
      <c r="H39524" t="s">
        <v>5117</v>
      </c>
    </row>
    <row r="39525">
      <c r="H39525" t="s">
        <v>5117</v>
      </c>
    </row>
    <row r="39526">
      <c r="H39526" t="s">
        <v>5117</v>
      </c>
    </row>
    <row r="39527">
      <c r="H39527" t="s">
        <v>5117</v>
      </c>
    </row>
    <row r="39528">
      <c r="H39528" t="s">
        <v>5117</v>
      </c>
    </row>
    <row r="39529">
      <c r="H39529" t="s">
        <v>5117</v>
      </c>
    </row>
    <row r="39530">
      <c r="H39530" t="s">
        <v>5117</v>
      </c>
    </row>
    <row r="39531">
      <c r="H39531" t="s">
        <v>5117</v>
      </c>
    </row>
    <row r="39532">
      <c r="H39532" t="s">
        <v>5117</v>
      </c>
    </row>
    <row r="39533">
      <c r="H39533" t="s">
        <v>5117</v>
      </c>
    </row>
    <row r="39534">
      <c r="H39534" t="s">
        <v>5117</v>
      </c>
    </row>
    <row r="39535">
      <c r="H39535" t="s">
        <v>5117</v>
      </c>
    </row>
    <row r="39536">
      <c r="H39536" t="s">
        <v>5117</v>
      </c>
    </row>
    <row r="39537">
      <c r="H39537" t="s">
        <v>5117</v>
      </c>
    </row>
    <row r="39538">
      <c r="H39538" t="s">
        <v>5117</v>
      </c>
    </row>
    <row r="39539">
      <c r="H39539" t="s">
        <v>5117</v>
      </c>
    </row>
    <row r="39540">
      <c r="H39540" t="s">
        <v>5117</v>
      </c>
    </row>
    <row r="39541">
      <c r="H39541" t="s">
        <v>5117</v>
      </c>
    </row>
    <row r="39542">
      <c r="H39542" t="s">
        <v>5117</v>
      </c>
    </row>
    <row r="39543">
      <c r="H39543" t="s">
        <v>5117</v>
      </c>
    </row>
    <row r="39544">
      <c r="H39544" t="s">
        <v>5117</v>
      </c>
    </row>
    <row r="39545">
      <c r="H39545" t="s">
        <v>5117</v>
      </c>
    </row>
    <row r="39546">
      <c r="H39546" t="s">
        <v>5117</v>
      </c>
    </row>
    <row r="39547">
      <c r="H39547" t="s">
        <v>5117</v>
      </c>
    </row>
    <row r="39548">
      <c r="H39548" t="s">
        <v>5117</v>
      </c>
    </row>
    <row r="39549">
      <c r="H39549" t="s">
        <v>5117</v>
      </c>
    </row>
    <row r="39550">
      <c r="H39550" t="s">
        <v>5117</v>
      </c>
    </row>
    <row r="39551">
      <c r="H39551" t="s">
        <v>5117</v>
      </c>
    </row>
    <row r="39552">
      <c r="H39552" t="s">
        <v>5117</v>
      </c>
    </row>
    <row r="39553">
      <c r="H39553" t="s">
        <v>5117</v>
      </c>
    </row>
    <row r="39554">
      <c r="H39554" t="s">
        <v>5117</v>
      </c>
    </row>
    <row r="39555">
      <c r="H39555" t="s">
        <v>5117</v>
      </c>
    </row>
    <row r="39556">
      <c r="H39556" t="s">
        <v>5117</v>
      </c>
    </row>
    <row r="39557">
      <c r="H39557" t="s">
        <v>5117</v>
      </c>
    </row>
    <row r="39558">
      <c r="H39558" t="s">
        <v>5117</v>
      </c>
    </row>
    <row r="39559">
      <c r="H39559" t="s">
        <v>5117</v>
      </c>
    </row>
    <row r="39560">
      <c r="H39560" t="s">
        <v>5117</v>
      </c>
    </row>
    <row r="39561">
      <c r="H39561" t="s">
        <v>5117</v>
      </c>
    </row>
    <row r="39562">
      <c r="H39562" t="s">
        <v>5117</v>
      </c>
    </row>
    <row r="39563">
      <c r="H39563" t="s">
        <v>5117</v>
      </c>
    </row>
    <row r="39564">
      <c r="H39564" t="s">
        <v>5117</v>
      </c>
    </row>
    <row r="39565">
      <c r="H39565" t="s">
        <v>5117</v>
      </c>
    </row>
    <row r="39566">
      <c r="H39566" t="s">
        <v>5117</v>
      </c>
    </row>
    <row r="39567">
      <c r="H39567" t="s">
        <v>5117</v>
      </c>
    </row>
    <row r="39568">
      <c r="H39568" t="s">
        <v>5117</v>
      </c>
    </row>
    <row r="39569">
      <c r="H39569" t="s">
        <v>5117</v>
      </c>
    </row>
    <row r="39570">
      <c r="H39570" t="s">
        <v>5117</v>
      </c>
    </row>
    <row r="39571">
      <c r="H39571" t="s">
        <v>5117</v>
      </c>
    </row>
    <row r="39572">
      <c r="H39572" t="s">
        <v>5117</v>
      </c>
    </row>
    <row r="39573">
      <c r="H39573" t="s">
        <v>5117</v>
      </c>
    </row>
    <row r="39574">
      <c r="H39574" t="s">
        <v>5117</v>
      </c>
    </row>
    <row r="39575">
      <c r="H39575" t="s">
        <v>5117</v>
      </c>
    </row>
    <row r="39576">
      <c r="H39576" t="s">
        <v>5117</v>
      </c>
    </row>
    <row r="39577">
      <c r="H39577" t="s">
        <v>5117</v>
      </c>
    </row>
    <row r="39578">
      <c r="H39578" t="s">
        <v>5117</v>
      </c>
    </row>
    <row r="39579">
      <c r="H39579" t="s">
        <v>5117</v>
      </c>
    </row>
    <row r="39580">
      <c r="H39580" t="s">
        <v>5117</v>
      </c>
    </row>
    <row r="39581">
      <c r="H39581" t="s">
        <v>5117</v>
      </c>
    </row>
    <row r="39582">
      <c r="H39582" t="s">
        <v>5117</v>
      </c>
    </row>
    <row r="39583">
      <c r="H39583" t="s">
        <v>5117</v>
      </c>
    </row>
    <row r="39584">
      <c r="H39584" t="s">
        <v>5117</v>
      </c>
    </row>
    <row r="39585">
      <c r="H39585" t="s">
        <v>5117</v>
      </c>
    </row>
    <row r="39586">
      <c r="H39586" t="s">
        <v>5117</v>
      </c>
    </row>
    <row r="39587">
      <c r="H39587" t="s">
        <v>5117</v>
      </c>
    </row>
    <row r="39588">
      <c r="H39588" t="s">
        <v>5117</v>
      </c>
    </row>
    <row r="39589">
      <c r="H39589" t="s">
        <v>5117</v>
      </c>
    </row>
    <row r="39590">
      <c r="H39590" t="s">
        <v>5117</v>
      </c>
    </row>
    <row r="39591">
      <c r="H39591" t="s">
        <v>5117</v>
      </c>
    </row>
    <row r="39592">
      <c r="H39592" t="s">
        <v>5117</v>
      </c>
    </row>
    <row r="39593">
      <c r="H39593" t="s">
        <v>5117</v>
      </c>
    </row>
    <row r="39594">
      <c r="H39594" t="s">
        <v>5117</v>
      </c>
    </row>
    <row r="39595">
      <c r="H39595" t="s">
        <v>5117</v>
      </c>
    </row>
    <row r="39596">
      <c r="H39596" t="s">
        <v>5117</v>
      </c>
    </row>
    <row r="39597">
      <c r="H39597" t="s">
        <v>5117</v>
      </c>
    </row>
    <row r="39598">
      <c r="H39598" t="s">
        <v>5117</v>
      </c>
    </row>
    <row r="39599">
      <c r="H39599" t="s">
        <v>5117</v>
      </c>
    </row>
    <row r="39600">
      <c r="H39600" t="s">
        <v>5117</v>
      </c>
    </row>
    <row r="39601">
      <c r="H39601" t="s">
        <v>5117</v>
      </c>
    </row>
    <row r="39602">
      <c r="H39602" t="s">
        <v>5117</v>
      </c>
    </row>
    <row r="39603">
      <c r="H39603" t="s">
        <v>5117</v>
      </c>
    </row>
    <row r="39604">
      <c r="H39604" t="s">
        <v>5117</v>
      </c>
    </row>
    <row r="39605">
      <c r="H39605" t="s">
        <v>5117</v>
      </c>
    </row>
    <row r="39606">
      <c r="H39606" t="s">
        <v>5117</v>
      </c>
    </row>
    <row r="39607">
      <c r="H39607" t="s">
        <v>5117</v>
      </c>
    </row>
    <row r="39608">
      <c r="H39608" t="s">
        <v>5117</v>
      </c>
    </row>
    <row r="39609">
      <c r="H39609" t="s">
        <v>5117</v>
      </c>
    </row>
    <row r="39610">
      <c r="H39610" t="s">
        <v>5117</v>
      </c>
    </row>
    <row r="39611">
      <c r="H39611" t="s">
        <v>5117</v>
      </c>
    </row>
    <row r="39612">
      <c r="H39612" t="s">
        <v>5117</v>
      </c>
    </row>
    <row r="39613">
      <c r="H39613" t="s">
        <v>5117</v>
      </c>
    </row>
    <row r="39614">
      <c r="H39614" t="s">
        <v>5117</v>
      </c>
    </row>
    <row r="39615">
      <c r="H39615" t="s">
        <v>5117</v>
      </c>
    </row>
    <row r="39616">
      <c r="H39616" t="s">
        <v>5117</v>
      </c>
    </row>
    <row r="39617">
      <c r="H39617" t="s">
        <v>5117</v>
      </c>
    </row>
    <row r="39618">
      <c r="H39618" t="s">
        <v>5117</v>
      </c>
    </row>
    <row r="39619">
      <c r="H39619" t="s">
        <v>5117</v>
      </c>
    </row>
    <row r="39620">
      <c r="H39620" t="s">
        <v>5117</v>
      </c>
    </row>
    <row r="39621">
      <c r="H39621" t="s">
        <v>5117</v>
      </c>
    </row>
    <row r="39622">
      <c r="H39622" t="s">
        <v>5117</v>
      </c>
    </row>
    <row r="39623">
      <c r="H39623" t="s">
        <v>5117</v>
      </c>
    </row>
    <row r="39624">
      <c r="H39624" t="s">
        <v>5117</v>
      </c>
    </row>
    <row r="39625">
      <c r="H39625" t="s">
        <v>5117</v>
      </c>
    </row>
    <row r="39626">
      <c r="H39626" t="s">
        <v>5117</v>
      </c>
    </row>
    <row r="39627">
      <c r="H39627" t="s">
        <v>5117</v>
      </c>
    </row>
    <row r="39628">
      <c r="H39628" t="s">
        <v>5117</v>
      </c>
    </row>
    <row r="39629">
      <c r="H39629" t="s">
        <v>5117</v>
      </c>
    </row>
    <row r="39630">
      <c r="H39630" t="s">
        <v>5117</v>
      </c>
    </row>
    <row r="39631">
      <c r="H39631" t="s">
        <v>5117</v>
      </c>
    </row>
    <row r="39632">
      <c r="H39632" t="s">
        <v>5117</v>
      </c>
    </row>
    <row r="39633">
      <c r="H39633" t="s">
        <v>5117</v>
      </c>
    </row>
    <row r="39634">
      <c r="H39634" t="s">
        <v>5117</v>
      </c>
    </row>
    <row r="39635">
      <c r="H39635" t="s">
        <v>5117</v>
      </c>
    </row>
    <row r="39636">
      <c r="H39636" t="s">
        <v>5117</v>
      </c>
    </row>
    <row r="39637">
      <c r="H39637" t="s">
        <v>5117</v>
      </c>
    </row>
    <row r="39638">
      <c r="H39638" t="s">
        <v>5117</v>
      </c>
    </row>
    <row r="39639">
      <c r="H39639" t="s">
        <v>5117</v>
      </c>
    </row>
    <row r="39640">
      <c r="H39640" t="s">
        <v>5117</v>
      </c>
    </row>
    <row r="39641">
      <c r="H39641" t="s">
        <v>5117</v>
      </c>
    </row>
    <row r="39642">
      <c r="H39642" t="s">
        <v>5117</v>
      </c>
    </row>
    <row r="39643">
      <c r="H39643" t="s">
        <v>5117</v>
      </c>
    </row>
    <row r="39644">
      <c r="H39644" t="s">
        <v>5117</v>
      </c>
    </row>
    <row r="39645">
      <c r="H39645" t="s">
        <v>5117</v>
      </c>
    </row>
    <row r="39646">
      <c r="H39646" t="s">
        <v>5117</v>
      </c>
    </row>
    <row r="39647">
      <c r="H39647" t="s">
        <v>5117</v>
      </c>
    </row>
    <row r="39648">
      <c r="H39648" t="s">
        <v>5117</v>
      </c>
    </row>
    <row r="39649">
      <c r="H39649" t="s">
        <v>5117</v>
      </c>
    </row>
    <row r="39650">
      <c r="H39650" t="s">
        <v>5117</v>
      </c>
    </row>
    <row r="39651">
      <c r="H39651" t="s">
        <v>5117</v>
      </c>
    </row>
    <row r="39652">
      <c r="H39652" t="s">
        <v>5117</v>
      </c>
    </row>
    <row r="39653">
      <c r="H39653" t="s">
        <v>5117</v>
      </c>
    </row>
    <row r="39654">
      <c r="H39654" t="s">
        <v>5117</v>
      </c>
    </row>
    <row r="39655">
      <c r="H39655" t="s">
        <v>5117</v>
      </c>
    </row>
    <row r="39656">
      <c r="H39656" t="s">
        <v>5117</v>
      </c>
    </row>
    <row r="39657">
      <c r="H39657" t="s">
        <v>5117</v>
      </c>
    </row>
    <row r="39658">
      <c r="H39658" t="s">
        <v>5117</v>
      </c>
    </row>
    <row r="39659">
      <c r="H39659" t="s">
        <v>5117</v>
      </c>
    </row>
    <row r="39660">
      <c r="H39660" t="s">
        <v>5117</v>
      </c>
    </row>
    <row r="39661">
      <c r="H39661" t="s">
        <v>5117</v>
      </c>
    </row>
    <row r="39662">
      <c r="H39662" t="s">
        <v>5117</v>
      </c>
    </row>
    <row r="39663">
      <c r="H39663" t="s">
        <v>5117</v>
      </c>
    </row>
    <row r="39664">
      <c r="H39664" t="s">
        <v>5117</v>
      </c>
    </row>
    <row r="39665">
      <c r="H39665" t="s">
        <v>5117</v>
      </c>
    </row>
    <row r="39666">
      <c r="H39666" t="s">
        <v>5117</v>
      </c>
    </row>
    <row r="39667">
      <c r="H39667" t="s">
        <v>5117</v>
      </c>
    </row>
    <row r="39668">
      <c r="H39668" t="s">
        <v>5117</v>
      </c>
    </row>
    <row r="39669">
      <c r="H39669" t="s">
        <v>5117</v>
      </c>
    </row>
    <row r="39670">
      <c r="H39670" t="s">
        <v>5117</v>
      </c>
    </row>
    <row r="39671">
      <c r="H39671" t="s">
        <v>5117</v>
      </c>
    </row>
    <row r="39672">
      <c r="H39672" t="s">
        <v>5117</v>
      </c>
    </row>
    <row r="39673">
      <c r="H39673" t="s">
        <v>5117</v>
      </c>
    </row>
    <row r="39674">
      <c r="H39674" t="s">
        <v>5117</v>
      </c>
    </row>
    <row r="39675">
      <c r="H39675" t="s">
        <v>5117</v>
      </c>
    </row>
    <row r="39676">
      <c r="H39676" t="s">
        <v>5117</v>
      </c>
    </row>
    <row r="39677">
      <c r="H39677" t="s">
        <v>5117</v>
      </c>
    </row>
    <row r="39678">
      <c r="H39678" t="s">
        <v>5117</v>
      </c>
    </row>
    <row r="39679">
      <c r="H39679" t="s">
        <v>5117</v>
      </c>
    </row>
    <row r="39680">
      <c r="H39680" t="s">
        <v>5117</v>
      </c>
    </row>
    <row r="39681">
      <c r="H39681" t="s">
        <v>5117</v>
      </c>
    </row>
    <row r="39682">
      <c r="H39682" t="s">
        <v>5117</v>
      </c>
    </row>
    <row r="39683">
      <c r="H39683" t="s">
        <v>5117</v>
      </c>
    </row>
    <row r="39684">
      <c r="H39684" t="s">
        <v>5117</v>
      </c>
    </row>
    <row r="39685">
      <c r="H39685" t="s">
        <v>5117</v>
      </c>
    </row>
    <row r="39686">
      <c r="H39686" t="s">
        <v>5117</v>
      </c>
    </row>
    <row r="39687">
      <c r="H39687" t="s">
        <v>5117</v>
      </c>
    </row>
    <row r="39688">
      <c r="H39688" t="s">
        <v>5117</v>
      </c>
    </row>
    <row r="39689">
      <c r="H39689" t="s">
        <v>5117</v>
      </c>
    </row>
    <row r="39690">
      <c r="H39690" t="s">
        <v>5117</v>
      </c>
    </row>
    <row r="39691">
      <c r="H39691" t="s">
        <v>5117</v>
      </c>
    </row>
    <row r="39692">
      <c r="H39692" t="s">
        <v>5117</v>
      </c>
    </row>
    <row r="39693">
      <c r="H39693" t="s">
        <v>5117</v>
      </c>
    </row>
    <row r="39694">
      <c r="H39694" t="s">
        <v>5117</v>
      </c>
    </row>
    <row r="39695">
      <c r="H39695" t="s">
        <v>5117</v>
      </c>
    </row>
    <row r="39696">
      <c r="H39696" t="s">
        <v>5117</v>
      </c>
    </row>
    <row r="39697">
      <c r="H39697" t="s">
        <v>5117</v>
      </c>
    </row>
    <row r="39698">
      <c r="H39698" t="s">
        <v>5117</v>
      </c>
    </row>
    <row r="39699">
      <c r="H39699" t="s">
        <v>5117</v>
      </c>
    </row>
    <row r="39700">
      <c r="H39700" t="s">
        <v>5117</v>
      </c>
    </row>
    <row r="39701">
      <c r="H39701" t="s">
        <v>5117</v>
      </c>
    </row>
    <row r="39702">
      <c r="H39702" t="s">
        <v>5117</v>
      </c>
    </row>
    <row r="39703">
      <c r="H39703" t="s">
        <v>5117</v>
      </c>
    </row>
    <row r="39704">
      <c r="H39704" t="s">
        <v>5117</v>
      </c>
    </row>
    <row r="39705">
      <c r="H39705" t="s">
        <v>5117</v>
      </c>
    </row>
    <row r="39706">
      <c r="H39706" t="s">
        <v>5117</v>
      </c>
    </row>
    <row r="39707">
      <c r="H39707" t="s">
        <v>5117</v>
      </c>
    </row>
    <row r="39708">
      <c r="H39708" t="s">
        <v>5117</v>
      </c>
    </row>
    <row r="39709">
      <c r="H39709" t="s">
        <v>5117</v>
      </c>
    </row>
    <row r="39710">
      <c r="H39710" t="s">
        <v>5117</v>
      </c>
    </row>
    <row r="39711">
      <c r="H39711" t="s">
        <v>5117</v>
      </c>
    </row>
    <row r="39712">
      <c r="H39712" t="s">
        <v>5117</v>
      </c>
    </row>
    <row r="39713">
      <c r="H39713" t="s">
        <v>5117</v>
      </c>
    </row>
    <row r="39714">
      <c r="H39714" t="s">
        <v>5117</v>
      </c>
    </row>
    <row r="39715">
      <c r="H39715" t="s">
        <v>5117</v>
      </c>
    </row>
    <row r="39716">
      <c r="H39716" t="s">
        <v>5117</v>
      </c>
    </row>
    <row r="39717">
      <c r="H39717" t="s">
        <v>5117</v>
      </c>
    </row>
    <row r="39718">
      <c r="H39718" t="s">
        <v>5117</v>
      </c>
    </row>
    <row r="39719">
      <c r="H39719" t="s">
        <v>5117</v>
      </c>
    </row>
    <row r="39720">
      <c r="H39720" t="s">
        <v>5117</v>
      </c>
    </row>
    <row r="39721">
      <c r="H39721" t="s">
        <v>5117</v>
      </c>
    </row>
    <row r="39722">
      <c r="H39722" t="s">
        <v>5117</v>
      </c>
    </row>
    <row r="39723">
      <c r="H39723" t="s">
        <v>5117</v>
      </c>
    </row>
    <row r="39724">
      <c r="H39724" t="s">
        <v>5117</v>
      </c>
    </row>
    <row r="39725">
      <c r="H39725" t="s">
        <v>5117</v>
      </c>
    </row>
    <row r="39726">
      <c r="H39726" t="s">
        <v>5117</v>
      </c>
    </row>
    <row r="39727">
      <c r="H39727" t="s">
        <v>5117</v>
      </c>
    </row>
    <row r="39728">
      <c r="H39728" t="s">
        <v>5117</v>
      </c>
    </row>
    <row r="39729">
      <c r="H39729" t="s">
        <v>5117</v>
      </c>
    </row>
    <row r="39730">
      <c r="H39730" t="s">
        <v>5117</v>
      </c>
    </row>
    <row r="39731">
      <c r="H39731" t="s">
        <v>5117</v>
      </c>
    </row>
    <row r="39732">
      <c r="H39732" t="s">
        <v>5117</v>
      </c>
    </row>
    <row r="39733">
      <c r="H39733" t="s">
        <v>5117</v>
      </c>
    </row>
    <row r="39734">
      <c r="H39734" t="s">
        <v>5117</v>
      </c>
    </row>
    <row r="39735">
      <c r="H39735" t="s">
        <v>5117</v>
      </c>
    </row>
    <row r="39736">
      <c r="H39736" t="s">
        <v>5117</v>
      </c>
    </row>
    <row r="39737">
      <c r="H39737" t="s">
        <v>5117</v>
      </c>
    </row>
    <row r="39738">
      <c r="H39738" t="s">
        <v>5117</v>
      </c>
    </row>
    <row r="39739">
      <c r="H39739" t="s">
        <v>5117</v>
      </c>
    </row>
    <row r="39740">
      <c r="H39740" t="s">
        <v>5117</v>
      </c>
    </row>
    <row r="39741">
      <c r="H39741" t="s">
        <v>5117</v>
      </c>
    </row>
    <row r="39742">
      <c r="H39742" t="s">
        <v>5117</v>
      </c>
    </row>
    <row r="39743">
      <c r="H39743" t="s">
        <v>5117</v>
      </c>
    </row>
    <row r="39744">
      <c r="H39744" t="s">
        <v>5117</v>
      </c>
    </row>
    <row r="39745">
      <c r="H39745" t="s">
        <v>5117</v>
      </c>
    </row>
    <row r="39746">
      <c r="H39746" t="s">
        <v>5117</v>
      </c>
    </row>
    <row r="39747">
      <c r="H39747" t="s">
        <v>5117</v>
      </c>
    </row>
    <row r="39748">
      <c r="H39748" t="s">
        <v>5117</v>
      </c>
    </row>
    <row r="39749">
      <c r="H39749" t="s">
        <v>5117</v>
      </c>
    </row>
    <row r="39750">
      <c r="H39750" t="s">
        <v>5117</v>
      </c>
    </row>
    <row r="39751">
      <c r="H39751" t="s">
        <v>5117</v>
      </c>
    </row>
    <row r="39752">
      <c r="H39752" t="s">
        <v>5117</v>
      </c>
    </row>
    <row r="39753">
      <c r="H39753" t="s">
        <v>5117</v>
      </c>
    </row>
    <row r="39754">
      <c r="H39754" t="s">
        <v>5117</v>
      </c>
    </row>
    <row r="39755">
      <c r="H39755" t="s">
        <v>5117</v>
      </c>
    </row>
    <row r="39756">
      <c r="H39756" t="s">
        <v>5117</v>
      </c>
    </row>
    <row r="39757">
      <c r="H39757" t="s">
        <v>5117</v>
      </c>
    </row>
    <row r="39758">
      <c r="H39758" t="s">
        <v>5117</v>
      </c>
    </row>
    <row r="39759">
      <c r="H39759" t="s">
        <v>5117</v>
      </c>
    </row>
    <row r="39760">
      <c r="H39760" t="s">
        <v>5117</v>
      </c>
    </row>
    <row r="39761">
      <c r="H39761" t="s">
        <v>5117</v>
      </c>
    </row>
    <row r="39762">
      <c r="H39762" t="s">
        <v>5117</v>
      </c>
    </row>
    <row r="39763">
      <c r="H39763" t="s">
        <v>5117</v>
      </c>
    </row>
    <row r="39764">
      <c r="H39764" t="s">
        <v>5117</v>
      </c>
    </row>
    <row r="39765">
      <c r="H39765" t="s">
        <v>5117</v>
      </c>
    </row>
    <row r="39766">
      <c r="H39766" t="s">
        <v>5117</v>
      </c>
    </row>
    <row r="39767">
      <c r="H39767" t="s">
        <v>5117</v>
      </c>
    </row>
    <row r="39768">
      <c r="H39768" t="s">
        <v>5117</v>
      </c>
    </row>
    <row r="39769">
      <c r="H39769" t="s">
        <v>5117</v>
      </c>
    </row>
    <row r="39770">
      <c r="H39770" t="s">
        <v>5117</v>
      </c>
    </row>
    <row r="39771">
      <c r="H39771" t="s">
        <v>5117</v>
      </c>
    </row>
    <row r="39772">
      <c r="H39772" t="s">
        <v>5117</v>
      </c>
    </row>
    <row r="39773">
      <c r="H39773" t="s">
        <v>5117</v>
      </c>
    </row>
    <row r="39774">
      <c r="H39774" t="s">
        <v>5117</v>
      </c>
    </row>
    <row r="39775">
      <c r="H39775" t="s">
        <v>5117</v>
      </c>
    </row>
    <row r="39776">
      <c r="H39776" t="s">
        <v>5117</v>
      </c>
    </row>
    <row r="39777">
      <c r="H39777" t="s">
        <v>5117</v>
      </c>
    </row>
    <row r="39778">
      <c r="H39778" t="s">
        <v>5117</v>
      </c>
    </row>
    <row r="39779">
      <c r="H39779" t="s">
        <v>5117</v>
      </c>
    </row>
    <row r="39780">
      <c r="H39780" t="s">
        <v>5117</v>
      </c>
    </row>
    <row r="39781">
      <c r="H39781" t="s">
        <v>5117</v>
      </c>
    </row>
    <row r="39782">
      <c r="H39782" t="s">
        <v>5117</v>
      </c>
    </row>
    <row r="39783">
      <c r="H39783" t="s">
        <v>5117</v>
      </c>
    </row>
    <row r="39784">
      <c r="H39784" t="s">
        <v>5117</v>
      </c>
    </row>
    <row r="39785">
      <c r="H39785" t="s">
        <v>5117</v>
      </c>
    </row>
    <row r="39786">
      <c r="H39786" t="s">
        <v>5117</v>
      </c>
    </row>
    <row r="39787">
      <c r="H39787" t="s">
        <v>5117</v>
      </c>
    </row>
    <row r="39788">
      <c r="H39788" t="s">
        <v>5117</v>
      </c>
    </row>
    <row r="39789">
      <c r="H39789" t="s">
        <v>5117</v>
      </c>
    </row>
    <row r="39790">
      <c r="H39790" t="s">
        <v>5117</v>
      </c>
    </row>
    <row r="39791">
      <c r="H39791" t="s">
        <v>5117</v>
      </c>
    </row>
    <row r="39792">
      <c r="H39792" t="s">
        <v>5117</v>
      </c>
    </row>
    <row r="39793">
      <c r="H39793" t="s">
        <v>5117</v>
      </c>
    </row>
    <row r="39794">
      <c r="H39794" t="s">
        <v>5117</v>
      </c>
    </row>
    <row r="39795">
      <c r="H39795" t="s">
        <v>5117</v>
      </c>
    </row>
    <row r="39796">
      <c r="H39796" t="s">
        <v>5117</v>
      </c>
    </row>
    <row r="39797">
      <c r="H39797" t="s">
        <v>5117</v>
      </c>
    </row>
    <row r="39798">
      <c r="H39798" t="s">
        <v>5117</v>
      </c>
    </row>
    <row r="39799">
      <c r="H39799" t="s">
        <v>5117</v>
      </c>
    </row>
    <row r="39800">
      <c r="H39800" t="s">
        <v>5117</v>
      </c>
    </row>
    <row r="39801">
      <c r="H39801" t="s">
        <v>5117</v>
      </c>
    </row>
    <row r="39802">
      <c r="H39802" t="s">
        <v>5117</v>
      </c>
    </row>
    <row r="39803">
      <c r="H39803" t="s">
        <v>5117</v>
      </c>
    </row>
    <row r="39804">
      <c r="H39804" t="s">
        <v>5117</v>
      </c>
    </row>
    <row r="39805">
      <c r="H39805" t="s">
        <v>5117</v>
      </c>
    </row>
    <row r="39806">
      <c r="H39806" t="s">
        <v>5117</v>
      </c>
    </row>
    <row r="39807">
      <c r="H39807" t="s">
        <v>5117</v>
      </c>
    </row>
    <row r="39808">
      <c r="H39808" t="s">
        <v>5117</v>
      </c>
    </row>
    <row r="39809">
      <c r="H39809" t="s">
        <v>5117</v>
      </c>
    </row>
    <row r="39810">
      <c r="H39810" t="s">
        <v>5117</v>
      </c>
    </row>
    <row r="39811">
      <c r="H39811" t="s">
        <v>5117</v>
      </c>
    </row>
    <row r="39812">
      <c r="H39812" t="s">
        <v>5117</v>
      </c>
    </row>
    <row r="39813">
      <c r="H39813" t="s">
        <v>5117</v>
      </c>
    </row>
    <row r="39814">
      <c r="H39814" t="s">
        <v>5117</v>
      </c>
    </row>
    <row r="39815">
      <c r="H39815" t="s">
        <v>5117</v>
      </c>
    </row>
    <row r="39816">
      <c r="H39816" t="s">
        <v>5117</v>
      </c>
    </row>
    <row r="39817">
      <c r="H39817" t="s">
        <v>5117</v>
      </c>
    </row>
    <row r="39818">
      <c r="H39818" t="s">
        <v>5117</v>
      </c>
    </row>
    <row r="39819">
      <c r="H39819" t="s">
        <v>5117</v>
      </c>
    </row>
    <row r="39820">
      <c r="H39820" t="s">
        <v>5117</v>
      </c>
    </row>
    <row r="39821">
      <c r="H39821" t="s">
        <v>5117</v>
      </c>
    </row>
    <row r="39822">
      <c r="H39822" t="s">
        <v>5117</v>
      </c>
    </row>
    <row r="39823">
      <c r="H39823" t="s">
        <v>5117</v>
      </c>
    </row>
    <row r="39824">
      <c r="H39824" t="s">
        <v>5117</v>
      </c>
    </row>
    <row r="39825">
      <c r="H39825" t="s">
        <v>5117</v>
      </c>
    </row>
    <row r="39826">
      <c r="H39826" t="s">
        <v>5117</v>
      </c>
    </row>
    <row r="39827">
      <c r="H39827" t="s">
        <v>5117</v>
      </c>
    </row>
    <row r="39828">
      <c r="H39828" t="s">
        <v>5117</v>
      </c>
    </row>
    <row r="39829">
      <c r="H39829" t="s">
        <v>5117</v>
      </c>
    </row>
    <row r="39830">
      <c r="H39830" t="s">
        <v>5117</v>
      </c>
    </row>
    <row r="39831">
      <c r="H39831" t="s">
        <v>5117</v>
      </c>
    </row>
    <row r="39832">
      <c r="H39832" t="s">
        <v>5117</v>
      </c>
    </row>
    <row r="39833">
      <c r="H39833" t="s">
        <v>5117</v>
      </c>
    </row>
    <row r="39834">
      <c r="H39834" t="s">
        <v>5117</v>
      </c>
    </row>
    <row r="39835">
      <c r="H39835" t="s">
        <v>5117</v>
      </c>
    </row>
    <row r="39836">
      <c r="H39836" t="s">
        <v>5117</v>
      </c>
    </row>
    <row r="39837">
      <c r="H39837" t="s">
        <v>5117</v>
      </c>
    </row>
    <row r="39838">
      <c r="H39838" t="s">
        <v>5117</v>
      </c>
    </row>
    <row r="39839">
      <c r="H39839" t="s">
        <v>5117</v>
      </c>
    </row>
    <row r="39840">
      <c r="H39840" t="s">
        <v>5117</v>
      </c>
    </row>
    <row r="39841">
      <c r="H39841" t="s">
        <v>5117</v>
      </c>
    </row>
    <row r="39842">
      <c r="H39842" t="s">
        <v>5117</v>
      </c>
    </row>
    <row r="39843">
      <c r="H39843" t="s">
        <v>5117</v>
      </c>
    </row>
    <row r="39844">
      <c r="H39844" t="s">
        <v>5117</v>
      </c>
    </row>
    <row r="39845">
      <c r="H39845" t="s">
        <v>5117</v>
      </c>
    </row>
    <row r="39846">
      <c r="H39846" t="s">
        <v>5117</v>
      </c>
    </row>
    <row r="39847">
      <c r="H39847" t="s">
        <v>5117</v>
      </c>
    </row>
    <row r="39848">
      <c r="H39848" t="s">
        <v>5117</v>
      </c>
    </row>
    <row r="39849">
      <c r="H39849" t="s">
        <v>5117</v>
      </c>
    </row>
    <row r="39850">
      <c r="H39850" t="s">
        <v>5117</v>
      </c>
    </row>
    <row r="39851">
      <c r="H39851" t="s">
        <v>5117</v>
      </c>
    </row>
    <row r="39852">
      <c r="H39852" t="s">
        <v>5117</v>
      </c>
    </row>
    <row r="39853">
      <c r="H39853" t="s">
        <v>5117</v>
      </c>
    </row>
    <row r="39854">
      <c r="H39854" t="s">
        <v>5117</v>
      </c>
    </row>
    <row r="39855">
      <c r="H39855" t="s">
        <v>5117</v>
      </c>
    </row>
    <row r="39856">
      <c r="H39856" t="s">
        <v>5117</v>
      </c>
    </row>
    <row r="39857">
      <c r="H39857" t="s">
        <v>5117</v>
      </c>
    </row>
    <row r="39858">
      <c r="H39858" t="s">
        <v>5117</v>
      </c>
    </row>
    <row r="39859">
      <c r="H39859" t="s">
        <v>5117</v>
      </c>
    </row>
    <row r="39860">
      <c r="H39860" t="s">
        <v>5117</v>
      </c>
    </row>
    <row r="39861">
      <c r="H39861" t="s">
        <v>5117</v>
      </c>
    </row>
    <row r="39862">
      <c r="H39862" t="s">
        <v>5117</v>
      </c>
    </row>
    <row r="39863">
      <c r="H39863" t="s">
        <v>5117</v>
      </c>
    </row>
    <row r="39864">
      <c r="H39864" t="s">
        <v>5117</v>
      </c>
    </row>
    <row r="39865">
      <c r="H39865" t="s">
        <v>5117</v>
      </c>
    </row>
    <row r="39866">
      <c r="H39866" t="s">
        <v>5117</v>
      </c>
    </row>
    <row r="39867">
      <c r="H39867" t="s">
        <v>5117</v>
      </c>
    </row>
    <row r="39868">
      <c r="H39868" t="s">
        <v>5117</v>
      </c>
    </row>
    <row r="39869">
      <c r="H39869" t="s">
        <v>5117</v>
      </c>
    </row>
    <row r="39870">
      <c r="H39870" t="s">
        <v>5117</v>
      </c>
    </row>
    <row r="39871">
      <c r="H39871" t="s">
        <v>5117</v>
      </c>
    </row>
    <row r="39872">
      <c r="H39872" t="s">
        <v>5117</v>
      </c>
    </row>
    <row r="39873">
      <c r="H39873" t="s">
        <v>5117</v>
      </c>
    </row>
    <row r="39874">
      <c r="H39874" t="s">
        <v>5117</v>
      </c>
    </row>
    <row r="39875">
      <c r="H39875" t="s">
        <v>5117</v>
      </c>
    </row>
    <row r="39876">
      <c r="H39876" t="s">
        <v>5117</v>
      </c>
    </row>
    <row r="39877">
      <c r="H39877" t="s">
        <v>5117</v>
      </c>
    </row>
    <row r="39878">
      <c r="H39878" t="s">
        <v>5117</v>
      </c>
    </row>
    <row r="39879">
      <c r="H39879" t="s">
        <v>5117</v>
      </c>
    </row>
    <row r="39880">
      <c r="H39880" t="s">
        <v>5117</v>
      </c>
    </row>
    <row r="39881">
      <c r="H39881" t="s">
        <v>5117</v>
      </c>
    </row>
    <row r="39882">
      <c r="H39882" t="s">
        <v>5117</v>
      </c>
    </row>
    <row r="39883">
      <c r="H39883" t="s">
        <v>5117</v>
      </c>
    </row>
    <row r="39884">
      <c r="H39884" t="s">
        <v>5117</v>
      </c>
    </row>
    <row r="39885">
      <c r="H39885" t="s">
        <v>5117</v>
      </c>
    </row>
    <row r="39886">
      <c r="H39886" t="s">
        <v>5117</v>
      </c>
    </row>
    <row r="39887">
      <c r="H39887" t="s">
        <v>5117</v>
      </c>
    </row>
    <row r="39888">
      <c r="H39888" t="s">
        <v>5117</v>
      </c>
    </row>
    <row r="39889">
      <c r="H39889" t="s">
        <v>5117</v>
      </c>
    </row>
    <row r="39890">
      <c r="H39890" t="s">
        <v>5117</v>
      </c>
    </row>
    <row r="39891">
      <c r="H39891" t="s">
        <v>5117</v>
      </c>
    </row>
    <row r="39892">
      <c r="H39892" t="s">
        <v>5117</v>
      </c>
    </row>
    <row r="39893">
      <c r="H39893" t="s">
        <v>5117</v>
      </c>
    </row>
    <row r="39894">
      <c r="H39894" t="s">
        <v>5117</v>
      </c>
    </row>
    <row r="39895">
      <c r="H39895" t="s">
        <v>5117</v>
      </c>
    </row>
    <row r="39896">
      <c r="H39896" t="s">
        <v>5117</v>
      </c>
    </row>
    <row r="39897">
      <c r="H39897" t="s">
        <v>5117</v>
      </c>
    </row>
    <row r="39898">
      <c r="H39898" t="s">
        <v>5117</v>
      </c>
    </row>
    <row r="39899">
      <c r="H39899" t="s">
        <v>5117</v>
      </c>
    </row>
    <row r="39900">
      <c r="H39900" t="s">
        <v>5117</v>
      </c>
    </row>
    <row r="39901">
      <c r="H39901" t="s">
        <v>5117</v>
      </c>
    </row>
    <row r="39902">
      <c r="H39902" t="s">
        <v>5117</v>
      </c>
    </row>
    <row r="39903">
      <c r="H39903" t="s">
        <v>5117</v>
      </c>
    </row>
    <row r="39904">
      <c r="H39904" t="s">
        <v>5117</v>
      </c>
    </row>
    <row r="39905">
      <c r="H39905" t="s">
        <v>5117</v>
      </c>
    </row>
    <row r="39906">
      <c r="H39906" t="s">
        <v>5117</v>
      </c>
    </row>
    <row r="39907">
      <c r="H39907" t="s">
        <v>5117</v>
      </c>
    </row>
    <row r="39908">
      <c r="H39908" t="s">
        <v>5117</v>
      </c>
    </row>
    <row r="39909">
      <c r="H39909" t="s">
        <v>5117</v>
      </c>
    </row>
    <row r="39910">
      <c r="H39910" t="s">
        <v>5117</v>
      </c>
    </row>
    <row r="39911">
      <c r="H39911" t="s">
        <v>5117</v>
      </c>
    </row>
    <row r="39912">
      <c r="H39912" t="s">
        <v>5117</v>
      </c>
    </row>
    <row r="39913">
      <c r="H39913" t="s">
        <v>5117</v>
      </c>
    </row>
    <row r="39914">
      <c r="H39914" t="s">
        <v>5117</v>
      </c>
    </row>
    <row r="39915">
      <c r="H39915" t="s">
        <v>5117</v>
      </c>
    </row>
    <row r="39916">
      <c r="H39916" t="s">
        <v>5117</v>
      </c>
    </row>
    <row r="39917">
      <c r="H39917" t="s">
        <v>5117</v>
      </c>
    </row>
    <row r="39918">
      <c r="H39918" t="s">
        <v>5117</v>
      </c>
    </row>
    <row r="39919">
      <c r="H39919" t="s">
        <v>5117</v>
      </c>
    </row>
    <row r="39920">
      <c r="H39920" t="s">
        <v>5117</v>
      </c>
    </row>
    <row r="39921">
      <c r="H39921" t="s">
        <v>5117</v>
      </c>
    </row>
    <row r="39922">
      <c r="H39922" t="s">
        <v>5117</v>
      </c>
    </row>
    <row r="39923">
      <c r="H39923" t="s">
        <v>5117</v>
      </c>
    </row>
    <row r="39924">
      <c r="H39924" t="s">
        <v>5117</v>
      </c>
    </row>
    <row r="39925">
      <c r="H39925" t="s">
        <v>5117</v>
      </c>
    </row>
    <row r="39926">
      <c r="H39926" t="s">
        <v>5117</v>
      </c>
    </row>
    <row r="39927">
      <c r="H39927" t="s">
        <v>5117</v>
      </c>
    </row>
    <row r="39928">
      <c r="H39928" t="s">
        <v>5117</v>
      </c>
    </row>
    <row r="39929">
      <c r="H39929" t="s">
        <v>5117</v>
      </c>
    </row>
    <row r="39930">
      <c r="H39930" t="s">
        <v>5117</v>
      </c>
    </row>
    <row r="39931">
      <c r="H39931" t="s">
        <v>5117</v>
      </c>
    </row>
    <row r="39932">
      <c r="H39932" t="s">
        <v>5117</v>
      </c>
    </row>
    <row r="39933">
      <c r="H39933" t="s">
        <v>5117</v>
      </c>
    </row>
    <row r="39934">
      <c r="H39934" t="s">
        <v>5117</v>
      </c>
    </row>
    <row r="39935">
      <c r="H39935" t="s">
        <v>5117</v>
      </c>
    </row>
    <row r="39936">
      <c r="H39936" t="s">
        <v>5117</v>
      </c>
    </row>
    <row r="39937">
      <c r="H39937" t="s">
        <v>5117</v>
      </c>
    </row>
    <row r="39938">
      <c r="H39938" t="s">
        <v>5117</v>
      </c>
    </row>
    <row r="39939">
      <c r="H39939" t="s">
        <v>5117</v>
      </c>
    </row>
    <row r="39940">
      <c r="H39940" t="s">
        <v>5117</v>
      </c>
    </row>
    <row r="39941">
      <c r="H39941" t="s">
        <v>5117</v>
      </c>
    </row>
    <row r="39942">
      <c r="H39942" t="s">
        <v>5117</v>
      </c>
    </row>
    <row r="39943">
      <c r="H39943" t="s">
        <v>5117</v>
      </c>
    </row>
    <row r="39944">
      <c r="H39944" t="s">
        <v>5117</v>
      </c>
    </row>
    <row r="39945">
      <c r="H39945" t="s">
        <v>5117</v>
      </c>
    </row>
    <row r="39946">
      <c r="H39946" t="s">
        <v>5117</v>
      </c>
    </row>
    <row r="39947">
      <c r="H39947" t="s">
        <v>5117</v>
      </c>
    </row>
    <row r="39948">
      <c r="H39948" t="s">
        <v>5117</v>
      </c>
    </row>
    <row r="39949">
      <c r="H39949" t="s">
        <v>5117</v>
      </c>
    </row>
    <row r="39950">
      <c r="H39950" t="s">
        <v>5117</v>
      </c>
    </row>
    <row r="39951">
      <c r="H39951" t="s">
        <v>5117</v>
      </c>
    </row>
    <row r="39952">
      <c r="H39952" t="s">
        <v>5117</v>
      </c>
    </row>
    <row r="39953">
      <c r="H39953" t="s">
        <v>5117</v>
      </c>
    </row>
    <row r="39954">
      <c r="H39954" t="s">
        <v>5117</v>
      </c>
    </row>
    <row r="39955">
      <c r="H39955" t="s">
        <v>5117</v>
      </c>
    </row>
    <row r="39956">
      <c r="H39956" t="s">
        <v>5117</v>
      </c>
    </row>
    <row r="39957">
      <c r="H39957" t="s">
        <v>5117</v>
      </c>
    </row>
    <row r="39958">
      <c r="H39958" t="s">
        <v>5117</v>
      </c>
    </row>
    <row r="39959">
      <c r="H39959" t="s">
        <v>5117</v>
      </c>
    </row>
    <row r="39960">
      <c r="H39960" t="s">
        <v>5117</v>
      </c>
    </row>
    <row r="39961">
      <c r="H39961" t="s">
        <v>5117</v>
      </c>
    </row>
    <row r="39962">
      <c r="H39962" t="s">
        <v>5117</v>
      </c>
    </row>
    <row r="39963">
      <c r="H39963" t="s">
        <v>5117</v>
      </c>
    </row>
    <row r="39964">
      <c r="H39964" t="s">
        <v>5117</v>
      </c>
    </row>
    <row r="39965">
      <c r="H39965" t="s">
        <v>5117</v>
      </c>
    </row>
    <row r="39966">
      <c r="H39966" t="s">
        <v>5117</v>
      </c>
    </row>
    <row r="39967">
      <c r="H39967" t="s">
        <v>5117</v>
      </c>
    </row>
    <row r="39968">
      <c r="H39968" t="s">
        <v>5117</v>
      </c>
    </row>
    <row r="39969">
      <c r="H39969" t="s">
        <v>5117</v>
      </c>
    </row>
    <row r="39970">
      <c r="H39970" t="s">
        <v>5117</v>
      </c>
    </row>
    <row r="39971">
      <c r="H39971" t="s">
        <v>5117</v>
      </c>
    </row>
    <row r="39972">
      <c r="H39972" t="s">
        <v>5117</v>
      </c>
    </row>
    <row r="39973">
      <c r="H39973" t="s">
        <v>5117</v>
      </c>
    </row>
    <row r="39974">
      <c r="H39974" t="s">
        <v>5117</v>
      </c>
    </row>
    <row r="39975">
      <c r="H39975" t="s">
        <v>5117</v>
      </c>
    </row>
    <row r="39976">
      <c r="H39976" t="s">
        <v>5117</v>
      </c>
    </row>
    <row r="39977">
      <c r="H39977" t="s">
        <v>5117</v>
      </c>
    </row>
    <row r="39978">
      <c r="H39978" t="s">
        <v>5117</v>
      </c>
    </row>
    <row r="39979">
      <c r="H39979" t="s">
        <v>5117</v>
      </c>
    </row>
    <row r="39980">
      <c r="H39980" t="s">
        <v>5117</v>
      </c>
    </row>
    <row r="39981">
      <c r="H39981" t="s">
        <v>5117</v>
      </c>
    </row>
    <row r="39982">
      <c r="H39982" t="s">
        <v>5117</v>
      </c>
    </row>
    <row r="39983">
      <c r="H39983" t="s">
        <v>5117</v>
      </c>
    </row>
    <row r="39984">
      <c r="H39984" t="s">
        <v>5117</v>
      </c>
    </row>
    <row r="39985">
      <c r="H39985" t="s">
        <v>5117</v>
      </c>
    </row>
    <row r="39986">
      <c r="H39986" t="s">
        <v>5117</v>
      </c>
    </row>
    <row r="39987">
      <c r="H39987" t="s">
        <v>5117</v>
      </c>
    </row>
    <row r="39988">
      <c r="H39988" t="s">
        <v>5117</v>
      </c>
    </row>
    <row r="39989">
      <c r="H39989" t="s">
        <v>5117</v>
      </c>
    </row>
    <row r="39990">
      <c r="H39990" t="s">
        <v>5117</v>
      </c>
    </row>
    <row r="39991">
      <c r="H39991" t="s">
        <v>5117</v>
      </c>
    </row>
    <row r="39992">
      <c r="H39992" t="s">
        <v>5117</v>
      </c>
    </row>
    <row r="39993">
      <c r="H39993" t="s">
        <v>5117</v>
      </c>
    </row>
    <row r="39994">
      <c r="H39994" t="s">
        <v>5117</v>
      </c>
    </row>
    <row r="39995">
      <c r="H39995" t="s">
        <v>5117</v>
      </c>
    </row>
    <row r="39996">
      <c r="H39996" t="s">
        <v>5117</v>
      </c>
    </row>
    <row r="39997">
      <c r="H39997" t="s">
        <v>5117</v>
      </c>
    </row>
    <row r="39998">
      <c r="H39998" t="s">
        <v>5117</v>
      </c>
    </row>
    <row r="39999">
      <c r="H39999" t="s">
        <v>5117</v>
      </c>
    </row>
    <row r="40000">
      <c r="H40000" t="s">
        <v>5117</v>
      </c>
    </row>
    <row r="40001">
      <c r="H40001" t="s">
        <v>5117</v>
      </c>
    </row>
    <row r="40002">
      <c r="H40002" t="s">
        <v>5117</v>
      </c>
    </row>
    <row r="40003">
      <c r="H40003" t="s">
        <v>5117</v>
      </c>
    </row>
    <row r="40004">
      <c r="H40004" t="s">
        <v>5117</v>
      </c>
    </row>
    <row r="40005">
      <c r="H40005" t="s">
        <v>5117</v>
      </c>
    </row>
    <row r="40006">
      <c r="H40006" t="s">
        <v>5117</v>
      </c>
    </row>
    <row r="40007">
      <c r="H40007" t="s">
        <v>5117</v>
      </c>
    </row>
    <row r="40008">
      <c r="H40008" t="s">
        <v>5117</v>
      </c>
    </row>
    <row r="40009">
      <c r="H40009" t="s">
        <v>5117</v>
      </c>
    </row>
    <row r="40010">
      <c r="H40010" t="s">
        <v>5117</v>
      </c>
    </row>
    <row r="40011">
      <c r="H40011" t="s">
        <v>5117</v>
      </c>
    </row>
    <row r="40012">
      <c r="H40012" t="s">
        <v>5117</v>
      </c>
    </row>
    <row r="40013">
      <c r="H40013" t="s">
        <v>5117</v>
      </c>
    </row>
    <row r="40014">
      <c r="H40014" t="s">
        <v>5117</v>
      </c>
    </row>
    <row r="40015">
      <c r="H40015" t="s">
        <v>5117</v>
      </c>
    </row>
    <row r="40016">
      <c r="H40016" t="s">
        <v>5117</v>
      </c>
    </row>
    <row r="40017">
      <c r="H40017" t="s">
        <v>5117</v>
      </c>
    </row>
    <row r="40018">
      <c r="H40018" t="s">
        <v>5117</v>
      </c>
    </row>
    <row r="40019">
      <c r="H40019" t="s">
        <v>5117</v>
      </c>
    </row>
    <row r="40020">
      <c r="H40020" t="s">
        <v>5117</v>
      </c>
    </row>
    <row r="40021">
      <c r="H40021" t="s">
        <v>5117</v>
      </c>
    </row>
    <row r="40022">
      <c r="H40022" t="s">
        <v>5117</v>
      </c>
    </row>
    <row r="40023">
      <c r="H40023" t="s">
        <v>5117</v>
      </c>
    </row>
    <row r="40024">
      <c r="H40024" t="s">
        <v>5117</v>
      </c>
    </row>
    <row r="40025">
      <c r="H40025" t="s">
        <v>5117</v>
      </c>
    </row>
    <row r="40026">
      <c r="H40026" t="s">
        <v>5117</v>
      </c>
    </row>
    <row r="40027">
      <c r="H40027" t="s">
        <v>5117</v>
      </c>
    </row>
    <row r="40028">
      <c r="H40028" t="s">
        <v>5117</v>
      </c>
    </row>
    <row r="40029">
      <c r="H40029" t="s">
        <v>5117</v>
      </c>
    </row>
    <row r="40030">
      <c r="H40030" t="s">
        <v>5117</v>
      </c>
    </row>
    <row r="40031">
      <c r="H40031" t="s">
        <v>5117</v>
      </c>
    </row>
    <row r="40032">
      <c r="H40032" t="s">
        <v>5117</v>
      </c>
    </row>
    <row r="40033">
      <c r="H40033" t="s">
        <v>5117</v>
      </c>
    </row>
    <row r="40034">
      <c r="H40034" t="s">
        <v>5117</v>
      </c>
    </row>
    <row r="40035">
      <c r="H40035" t="s">
        <v>5117</v>
      </c>
    </row>
    <row r="40036">
      <c r="H40036" t="s">
        <v>5117</v>
      </c>
    </row>
    <row r="40037">
      <c r="H40037" t="s">
        <v>5117</v>
      </c>
    </row>
    <row r="40038">
      <c r="H40038" t="s">
        <v>5117</v>
      </c>
    </row>
    <row r="40039">
      <c r="H40039" t="s">
        <v>5117</v>
      </c>
    </row>
    <row r="40040">
      <c r="H40040" t="s">
        <v>5117</v>
      </c>
    </row>
    <row r="40041">
      <c r="H40041" t="s">
        <v>5117</v>
      </c>
    </row>
    <row r="40042">
      <c r="H40042" t="s">
        <v>5117</v>
      </c>
    </row>
    <row r="40043">
      <c r="H40043" t="s">
        <v>5117</v>
      </c>
    </row>
    <row r="40044">
      <c r="H40044" t="s">
        <v>5117</v>
      </c>
    </row>
    <row r="40045">
      <c r="H40045" t="s">
        <v>5117</v>
      </c>
    </row>
    <row r="40046">
      <c r="H40046" t="s">
        <v>5117</v>
      </c>
    </row>
    <row r="40047">
      <c r="H40047" t="s">
        <v>5117</v>
      </c>
    </row>
    <row r="40048">
      <c r="H40048" t="s">
        <v>5117</v>
      </c>
    </row>
    <row r="40049">
      <c r="H40049" t="s">
        <v>5117</v>
      </c>
    </row>
    <row r="40050">
      <c r="H40050" t="s">
        <v>5117</v>
      </c>
    </row>
    <row r="40051">
      <c r="H40051" t="s">
        <v>5117</v>
      </c>
    </row>
    <row r="40052">
      <c r="H40052" t="s">
        <v>5117</v>
      </c>
    </row>
    <row r="40053">
      <c r="H40053" t="s">
        <v>5117</v>
      </c>
    </row>
    <row r="40054">
      <c r="H40054" t="s">
        <v>5117</v>
      </c>
    </row>
    <row r="40055">
      <c r="H40055" t="s">
        <v>5117</v>
      </c>
    </row>
    <row r="40056">
      <c r="H40056" t="s">
        <v>5117</v>
      </c>
    </row>
    <row r="40057">
      <c r="H40057" t="s">
        <v>5117</v>
      </c>
    </row>
    <row r="40058">
      <c r="H40058" t="s">
        <v>5117</v>
      </c>
    </row>
    <row r="40059">
      <c r="H40059" t="s">
        <v>5117</v>
      </c>
    </row>
    <row r="40060">
      <c r="H40060" t="s">
        <v>5117</v>
      </c>
    </row>
    <row r="40061">
      <c r="H40061" t="s">
        <v>5117</v>
      </c>
    </row>
    <row r="40062">
      <c r="H40062" t="s">
        <v>5117</v>
      </c>
    </row>
    <row r="40063">
      <c r="H40063" t="s">
        <v>5117</v>
      </c>
    </row>
    <row r="40064">
      <c r="H40064" t="s">
        <v>5117</v>
      </c>
    </row>
    <row r="40065">
      <c r="H40065" t="s">
        <v>5117</v>
      </c>
    </row>
    <row r="40066">
      <c r="H40066" t="s">
        <v>5117</v>
      </c>
    </row>
    <row r="40067">
      <c r="H40067" t="s">
        <v>5117</v>
      </c>
    </row>
    <row r="40068">
      <c r="H40068" t="s">
        <v>5117</v>
      </c>
    </row>
    <row r="40069">
      <c r="H40069" t="s">
        <v>5117</v>
      </c>
    </row>
    <row r="40070">
      <c r="H40070" t="s">
        <v>5117</v>
      </c>
    </row>
    <row r="40071">
      <c r="H40071" t="s">
        <v>5117</v>
      </c>
    </row>
    <row r="40072">
      <c r="H40072" t="s">
        <v>5117</v>
      </c>
    </row>
    <row r="40073">
      <c r="H40073" t="s">
        <v>5117</v>
      </c>
    </row>
    <row r="40074">
      <c r="H40074" t="s">
        <v>5117</v>
      </c>
    </row>
    <row r="40075">
      <c r="H40075" t="s">
        <v>5117</v>
      </c>
    </row>
    <row r="40076">
      <c r="H40076" t="s">
        <v>5117</v>
      </c>
    </row>
    <row r="40077">
      <c r="H40077" t="s">
        <v>5117</v>
      </c>
    </row>
    <row r="40078">
      <c r="H40078" t="s">
        <v>5117</v>
      </c>
    </row>
    <row r="40079">
      <c r="H40079" t="s">
        <v>5117</v>
      </c>
    </row>
    <row r="40080">
      <c r="H40080" t="s">
        <v>5117</v>
      </c>
    </row>
    <row r="40081">
      <c r="H40081" t="s">
        <v>5117</v>
      </c>
    </row>
    <row r="40082">
      <c r="H40082" t="s">
        <v>5117</v>
      </c>
    </row>
    <row r="40083">
      <c r="H40083" t="s">
        <v>5117</v>
      </c>
    </row>
    <row r="40084">
      <c r="H40084" t="s">
        <v>5117</v>
      </c>
    </row>
    <row r="40085">
      <c r="H40085" t="s">
        <v>5117</v>
      </c>
    </row>
    <row r="40086">
      <c r="H40086" t="s">
        <v>5117</v>
      </c>
    </row>
    <row r="40087">
      <c r="H40087" t="s">
        <v>5117</v>
      </c>
    </row>
    <row r="40088">
      <c r="H40088" t="s">
        <v>5117</v>
      </c>
    </row>
    <row r="40089">
      <c r="H40089" t="s">
        <v>5117</v>
      </c>
    </row>
    <row r="40090">
      <c r="H40090" t="s">
        <v>5117</v>
      </c>
    </row>
    <row r="40091">
      <c r="H40091" t="s">
        <v>5117</v>
      </c>
    </row>
    <row r="40092">
      <c r="H40092" t="s">
        <v>5117</v>
      </c>
    </row>
    <row r="40093">
      <c r="H40093" t="s">
        <v>5117</v>
      </c>
    </row>
    <row r="40094">
      <c r="H40094" t="s">
        <v>5117</v>
      </c>
    </row>
    <row r="40095">
      <c r="H40095" t="s">
        <v>5117</v>
      </c>
    </row>
    <row r="40096">
      <c r="H40096" t="s">
        <v>5117</v>
      </c>
    </row>
    <row r="40097">
      <c r="H40097" t="s">
        <v>5117</v>
      </c>
    </row>
    <row r="40098">
      <c r="H40098" t="s">
        <v>5117</v>
      </c>
    </row>
    <row r="40099">
      <c r="H40099" t="s">
        <v>5117</v>
      </c>
    </row>
    <row r="40100">
      <c r="H40100" t="s">
        <v>5117</v>
      </c>
    </row>
    <row r="40101">
      <c r="H40101" t="s">
        <v>5117</v>
      </c>
    </row>
    <row r="40102">
      <c r="H40102" t="s">
        <v>5117</v>
      </c>
    </row>
    <row r="40103">
      <c r="H40103" t="s">
        <v>5117</v>
      </c>
    </row>
    <row r="40104">
      <c r="H40104" t="s">
        <v>5117</v>
      </c>
    </row>
    <row r="40105">
      <c r="H40105" t="s">
        <v>5117</v>
      </c>
    </row>
    <row r="40106">
      <c r="H40106" t="s">
        <v>5117</v>
      </c>
    </row>
    <row r="40107">
      <c r="H40107" t="s">
        <v>5117</v>
      </c>
    </row>
    <row r="40108">
      <c r="H40108" t="s">
        <v>5117</v>
      </c>
    </row>
    <row r="40109">
      <c r="H40109" t="s">
        <v>5117</v>
      </c>
    </row>
    <row r="40110">
      <c r="H40110" t="s">
        <v>5117</v>
      </c>
    </row>
    <row r="40111">
      <c r="H40111" t="s">
        <v>5117</v>
      </c>
    </row>
    <row r="40112">
      <c r="H40112" t="s">
        <v>5117</v>
      </c>
    </row>
    <row r="40113">
      <c r="H40113" t="s">
        <v>5117</v>
      </c>
    </row>
    <row r="40114">
      <c r="H40114" t="s">
        <v>5117</v>
      </c>
    </row>
    <row r="40115">
      <c r="H40115" t="s">
        <v>5117</v>
      </c>
    </row>
    <row r="40116">
      <c r="H40116" t="s">
        <v>5117</v>
      </c>
    </row>
    <row r="40117">
      <c r="H40117" t="s">
        <v>5117</v>
      </c>
    </row>
    <row r="40118">
      <c r="H40118" t="s">
        <v>5117</v>
      </c>
    </row>
    <row r="40119">
      <c r="H40119" t="s">
        <v>5117</v>
      </c>
    </row>
    <row r="40120">
      <c r="H40120" t="s">
        <v>5117</v>
      </c>
    </row>
    <row r="40121">
      <c r="H40121" t="s">
        <v>5117</v>
      </c>
    </row>
    <row r="40122">
      <c r="H40122" t="s">
        <v>5117</v>
      </c>
    </row>
    <row r="40123">
      <c r="H40123" t="s">
        <v>5117</v>
      </c>
    </row>
    <row r="40124">
      <c r="H40124" t="s">
        <v>5117</v>
      </c>
    </row>
    <row r="40125">
      <c r="H40125" t="s">
        <v>5117</v>
      </c>
    </row>
    <row r="40126">
      <c r="H40126" t="s">
        <v>5117</v>
      </c>
    </row>
    <row r="40127">
      <c r="H40127" t="s">
        <v>5117</v>
      </c>
    </row>
    <row r="40128">
      <c r="H40128" t="s">
        <v>5117</v>
      </c>
    </row>
    <row r="40129">
      <c r="H40129" t="s">
        <v>5117</v>
      </c>
    </row>
    <row r="40130">
      <c r="H40130" t="s">
        <v>5117</v>
      </c>
    </row>
    <row r="40131">
      <c r="H40131" t="s">
        <v>5117</v>
      </c>
    </row>
    <row r="40132">
      <c r="H40132" t="s">
        <v>5117</v>
      </c>
    </row>
    <row r="40133">
      <c r="H40133" t="s">
        <v>5117</v>
      </c>
    </row>
    <row r="40134">
      <c r="H40134" t="s">
        <v>5117</v>
      </c>
    </row>
    <row r="40135">
      <c r="H40135" t="s">
        <v>5117</v>
      </c>
    </row>
    <row r="40136">
      <c r="H40136" t="s">
        <v>5117</v>
      </c>
    </row>
    <row r="40137">
      <c r="H40137" t="s">
        <v>5117</v>
      </c>
    </row>
    <row r="40138">
      <c r="H40138" t="s">
        <v>5117</v>
      </c>
    </row>
    <row r="40139">
      <c r="H40139" t="s">
        <v>5117</v>
      </c>
    </row>
    <row r="40140">
      <c r="H40140" t="s">
        <v>5117</v>
      </c>
    </row>
    <row r="40141">
      <c r="H40141" t="s">
        <v>5117</v>
      </c>
    </row>
    <row r="40142">
      <c r="H40142" t="s">
        <v>5117</v>
      </c>
    </row>
    <row r="40143">
      <c r="H40143" t="s">
        <v>5117</v>
      </c>
    </row>
    <row r="40144">
      <c r="H40144" t="s">
        <v>5117</v>
      </c>
    </row>
    <row r="40145">
      <c r="H40145" t="s">
        <v>5117</v>
      </c>
    </row>
    <row r="40146">
      <c r="H40146" t="s">
        <v>5117</v>
      </c>
    </row>
    <row r="40147">
      <c r="H40147" t="s">
        <v>5117</v>
      </c>
    </row>
    <row r="40148">
      <c r="H40148" t="s">
        <v>5117</v>
      </c>
    </row>
    <row r="40149">
      <c r="H40149" t="s">
        <v>5117</v>
      </c>
    </row>
    <row r="40150">
      <c r="H40150" t="s">
        <v>5117</v>
      </c>
    </row>
    <row r="40151">
      <c r="H40151" t="s">
        <v>5117</v>
      </c>
    </row>
    <row r="40152">
      <c r="H40152" t="s">
        <v>5117</v>
      </c>
    </row>
    <row r="40153">
      <c r="H40153" t="s">
        <v>5117</v>
      </c>
    </row>
    <row r="40154">
      <c r="H40154" t="s">
        <v>5117</v>
      </c>
    </row>
    <row r="40155">
      <c r="H40155" t="s">
        <v>5117</v>
      </c>
    </row>
    <row r="40156">
      <c r="H40156" t="s">
        <v>5117</v>
      </c>
    </row>
    <row r="40157">
      <c r="H40157" t="s">
        <v>5117</v>
      </c>
    </row>
    <row r="40158">
      <c r="H40158" t="s">
        <v>5117</v>
      </c>
    </row>
    <row r="40159">
      <c r="H40159" t="s">
        <v>5117</v>
      </c>
    </row>
    <row r="40160">
      <c r="H40160" t="s">
        <v>5117</v>
      </c>
    </row>
    <row r="40161">
      <c r="H40161" t="s">
        <v>5117</v>
      </c>
    </row>
    <row r="40162">
      <c r="H40162" t="s">
        <v>5117</v>
      </c>
    </row>
    <row r="40163">
      <c r="H40163" t="s">
        <v>5117</v>
      </c>
    </row>
    <row r="40164">
      <c r="H40164" t="s">
        <v>5117</v>
      </c>
    </row>
    <row r="40165">
      <c r="H40165" t="s">
        <v>5117</v>
      </c>
    </row>
    <row r="40166">
      <c r="H40166" t="s">
        <v>5117</v>
      </c>
    </row>
    <row r="40167">
      <c r="H40167" t="s">
        <v>5117</v>
      </c>
    </row>
    <row r="40168">
      <c r="H40168" t="s">
        <v>5117</v>
      </c>
    </row>
    <row r="40169">
      <c r="H40169" t="s">
        <v>5117</v>
      </c>
    </row>
    <row r="40170">
      <c r="H40170" t="s">
        <v>5117</v>
      </c>
    </row>
    <row r="40171">
      <c r="H40171" t="s">
        <v>5117</v>
      </c>
    </row>
    <row r="40172">
      <c r="H40172" t="s">
        <v>5117</v>
      </c>
    </row>
    <row r="40173">
      <c r="H40173" t="s">
        <v>5117</v>
      </c>
    </row>
    <row r="40174">
      <c r="H40174" t="s">
        <v>5117</v>
      </c>
    </row>
    <row r="40175">
      <c r="H40175" t="s">
        <v>5117</v>
      </c>
    </row>
    <row r="40176">
      <c r="H40176" t="s">
        <v>5117</v>
      </c>
    </row>
    <row r="40177">
      <c r="H40177" t="s">
        <v>5117</v>
      </c>
    </row>
    <row r="40178">
      <c r="H40178" t="s">
        <v>5117</v>
      </c>
    </row>
    <row r="40179">
      <c r="H40179" t="s">
        <v>5117</v>
      </c>
    </row>
    <row r="40180">
      <c r="H40180" t="s">
        <v>5117</v>
      </c>
    </row>
    <row r="40181">
      <c r="H40181" t="s">
        <v>5117</v>
      </c>
    </row>
    <row r="40182">
      <c r="H40182" t="s">
        <v>5117</v>
      </c>
    </row>
    <row r="40183">
      <c r="H40183" t="s">
        <v>5117</v>
      </c>
    </row>
    <row r="40184">
      <c r="H40184" t="s">
        <v>5117</v>
      </c>
    </row>
    <row r="40185">
      <c r="H40185" t="s">
        <v>5117</v>
      </c>
    </row>
    <row r="40186">
      <c r="H40186" t="s">
        <v>5117</v>
      </c>
    </row>
    <row r="40187">
      <c r="H40187" t="s">
        <v>5117</v>
      </c>
    </row>
    <row r="40188">
      <c r="H40188" t="s">
        <v>5117</v>
      </c>
    </row>
    <row r="40189">
      <c r="H40189" t="s">
        <v>5117</v>
      </c>
    </row>
    <row r="40190">
      <c r="H40190" t="s">
        <v>5117</v>
      </c>
    </row>
    <row r="40191">
      <c r="H40191" t="s">
        <v>5117</v>
      </c>
    </row>
    <row r="40192">
      <c r="H40192" t="s">
        <v>5117</v>
      </c>
    </row>
    <row r="40193">
      <c r="H40193" t="s">
        <v>5117</v>
      </c>
    </row>
    <row r="40194">
      <c r="H40194" t="s">
        <v>5117</v>
      </c>
    </row>
    <row r="40195">
      <c r="H40195" t="s">
        <v>5117</v>
      </c>
    </row>
    <row r="40196">
      <c r="H40196" t="s">
        <v>5117</v>
      </c>
    </row>
    <row r="40197">
      <c r="H40197" t="s">
        <v>5117</v>
      </c>
    </row>
    <row r="40198">
      <c r="H40198" t="s">
        <v>5117</v>
      </c>
    </row>
    <row r="40199">
      <c r="H40199" t="s">
        <v>5117</v>
      </c>
    </row>
    <row r="40200">
      <c r="H40200" t="s">
        <v>5117</v>
      </c>
    </row>
    <row r="40201">
      <c r="H40201" t="s">
        <v>5117</v>
      </c>
    </row>
    <row r="40202">
      <c r="H40202" t="s">
        <v>5117</v>
      </c>
    </row>
    <row r="40203">
      <c r="H40203" t="s">
        <v>5117</v>
      </c>
    </row>
    <row r="40204">
      <c r="H40204" t="s">
        <v>5117</v>
      </c>
    </row>
    <row r="40205">
      <c r="H40205" t="s">
        <v>5117</v>
      </c>
    </row>
    <row r="40206">
      <c r="H40206" t="s">
        <v>5117</v>
      </c>
    </row>
    <row r="40207">
      <c r="H40207" t="s">
        <v>5117</v>
      </c>
    </row>
    <row r="40208">
      <c r="H40208" t="s">
        <v>5117</v>
      </c>
    </row>
    <row r="40209">
      <c r="H40209" t="s">
        <v>5117</v>
      </c>
    </row>
    <row r="40210">
      <c r="H40210" t="s">
        <v>5117</v>
      </c>
    </row>
    <row r="40211">
      <c r="H40211" t="s">
        <v>5117</v>
      </c>
    </row>
    <row r="40212">
      <c r="H40212" t="s">
        <v>5117</v>
      </c>
    </row>
    <row r="40213">
      <c r="H40213" t="s">
        <v>5117</v>
      </c>
    </row>
    <row r="40214">
      <c r="H40214" t="s">
        <v>5117</v>
      </c>
    </row>
    <row r="40215">
      <c r="H40215" t="s">
        <v>5117</v>
      </c>
    </row>
    <row r="40216">
      <c r="H40216" t="s">
        <v>5117</v>
      </c>
    </row>
    <row r="40217">
      <c r="H40217" t="s">
        <v>5117</v>
      </c>
    </row>
    <row r="40218">
      <c r="H40218" t="s">
        <v>5117</v>
      </c>
    </row>
    <row r="40219">
      <c r="H40219" t="s">
        <v>5117</v>
      </c>
    </row>
    <row r="40220">
      <c r="H40220" t="s">
        <v>5117</v>
      </c>
    </row>
    <row r="40221">
      <c r="H40221" t="s">
        <v>5117</v>
      </c>
    </row>
    <row r="40222">
      <c r="H40222" t="s">
        <v>5117</v>
      </c>
    </row>
    <row r="40223">
      <c r="H40223" t="s">
        <v>5117</v>
      </c>
    </row>
    <row r="40224">
      <c r="H40224" t="s">
        <v>5117</v>
      </c>
    </row>
    <row r="40225">
      <c r="H40225" t="s">
        <v>5117</v>
      </c>
    </row>
    <row r="40226">
      <c r="H40226" t="s">
        <v>5117</v>
      </c>
    </row>
    <row r="40227">
      <c r="H40227" t="s">
        <v>5117</v>
      </c>
    </row>
    <row r="40228">
      <c r="H40228" t="s">
        <v>5117</v>
      </c>
    </row>
    <row r="40229">
      <c r="H40229" t="s">
        <v>5117</v>
      </c>
    </row>
    <row r="40230">
      <c r="H40230" t="s">
        <v>5117</v>
      </c>
    </row>
    <row r="40231">
      <c r="H40231" t="s">
        <v>5117</v>
      </c>
    </row>
    <row r="40232">
      <c r="H40232" t="s">
        <v>5117</v>
      </c>
    </row>
    <row r="40233">
      <c r="H40233" t="s">
        <v>5117</v>
      </c>
    </row>
    <row r="40234">
      <c r="H40234" t="s">
        <v>5117</v>
      </c>
    </row>
    <row r="40235">
      <c r="H40235" t="s">
        <v>5117</v>
      </c>
    </row>
    <row r="40236">
      <c r="H40236" t="s">
        <v>5117</v>
      </c>
    </row>
    <row r="40237">
      <c r="H40237" t="s">
        <v>5117</v>
      </c>
    </row>
    <row r="40238">
      <c r="H40238" t="s">
        <v>5117</v>
      </c>
    </row>
    <row r="40239">
      <c r="H40239" t="s">
        <v>5117</v>
      </c>
    </row>
    <row r="40240">
      <c r="H40240" t="s">
        <v>5117</v>
      </c>
    </row>
    <row r="40241">
      <c r="H40241" t="s">
        <v>5117</v>
      </c>
    </row>
    <row r="40242">
      <c r="H40242" t="s">
        <v>5117</v>
      </c>
    </row>
    <row r="40243">
      <c r="H40243" t="s">
        <v>5117</v>
      </c>
    </row>
    <row r="40244">
      <c r="H40244" t="s">
        <v>5117</v>
      </c>
    </row>
    <row r="40245">
      <c r="H40245" t="s">
        <v>5117</v>
      </c>
    </row>
    <row r="40246">
      <c r="H40246" t="s">
        <v>5117</v>
      </c>
    </row>
    <row r="40247">
      <c r="H40247" t="s">
        <v>5117</v>
      </c>
    </row>
    <row r="40248">
      <c r="H40248" t="s">
        <v>5117</v>
      </c>
    </row>
    <row r="40249">
      <c r="H40249" t="s">
        <v>5117</v>
      </c>
    </row>
    <row r="40250">
      <c r="H40250" t="s">
        <v>5117</v>
      </c>
    </row>
    <row r="40251">
      <c r="H40251" t="s">
        <v>5117</v>
      </c>
    </row>
    <row r="40252">
      <c r="H40252" t="s">
        <v>5117</v>
      </c>
    </row>
    <row r="40253">
      <c r="H40253" t="s">
        <v>5117</v>
      </c>
    </row>
    <row r="40254">
      <c r="H40254" t="s">
        <v>5117</v>
      </c>
    </row>
    <row r="40255">
      <c r="H40255" t="s">
        <v>5117</v>
      </c>
    </row>
    <row r="40256">
      <c r="H40256" t="s">
        <v>5117</v>
      </c>
    </row>
    <row r="40257">
      <c r="H40257" t="s">
        <v>5117</v>
      </c>
    </row>
    <row r="40258">
      <c r="H40258" t="s">
        <v>5117</v>
      </c>
    </row>
    <row r="40259">
      <c r="H40259" t="s">
        <v>5117</v>
      </c>
    </row>
    <row r="40260">
      <c r="H40260" t="s">
        <v>5117</v>
      </c>
    </row>
    <row r="40261">
      <c r="H40261" t="s">
        <v>5117</v>
      </c>
    </row>
    <row r="40262">
      <c r="H40262" t="s">
        <v>5117</v>
      </c>
    </row>
    <row r="40263">
      <c r="H40263" t="s">
        <v>5117</v>
      </c>
    </row>
    <row r="40264">
      <c r="H40264" t="s">
        <v>5117</v>
      </c>
    </row>
    <row r="40265">
      <c r="H40265" t="s">
        <v>5117</v>
      </c>
    </row>
    <row r="40266">
      <c r="H40266" t="s">
        <v>5117</v>
      </c>
    </row>
    <row r="40267">
      <c r="H40267" t="s">
        <v>5117</v>
      </c>
    </row>
    <row r="40268">
      <c r="H40268" t="s">
        <v>5117</v>
      </c>
    </row>
    <row r="40269">
      <c r="H40269" t="s">
        <v>5117</v>
      </c>
    </row>
    <row r="40270">
      <c r="H40270" t="s">
        <v>5117</v>
      </c>
    </row>
    <row r="40271">
      <c r="H40271" t="s">
        <v>5117</v>
      </c>
    </row>
    <row r="40272">
      <c r="H40272" t="s">
        <v>5117</v>
      </c>
    </row>
    <row r="40273">
      <c r="H40273" t="s">
        <v>5117</v>
      </c>
    </row>
    <row r="40274">
      <c r="H40274" t="s">
        <v>5117</v>
      </c>
    </row>
    <row r="40275">
      <c r="H40275" t="s">
        <v>5117</v>
      </c>
    </row>
    <row r="40276">
      <c r="H40276" t="s">
        <v>5117</v>
      </c>
    </row>
    <row r="40277">
      <c r="H40277" t="s">
        <v>5117</v>
      </c>
    </row>
    <row r="40278">
      <c r="H40278" t="s">
        <v>5117</v>
      </c>
    </row>
    <row r="40279">
      <c r="H40279" t="s">
        <v>5117</v>
      </c>
    </row>
    <row r="40280">
      <c r="H40280" t="s">
        <v>5117</v>
      </c>
    </row>
    <row r="40281">
      <c r="H40281" t="s">
        <v>5117</v>
      </c>
    </row>
    <row r="40282">
      <c r="H40282" t="s">
        <v>5117</v>
      </c>
    </row>
    <row r="40283">
      <c r="H40283" t="s">
        <v>5117</v>
      </c>
    </row>
    <row r="40284">
      <c r="H40284" t="s">
        <v>5117</v>
      </c>
    </row>
    <row r="40285">
      <c r="H40285" t="s">
        <v>5117</v>
      </c>
    </row>
    <row r="40286">
      <c r="H40286" t="s">
        <v>5117</v>
      </c>
    </row>
    <row r="40287">
      <c r="H40287" t="s">
        <v>5117</v>
      </c>
    </row>
    <row r="40288">
      <c r="H40288" t="s">
        <v>5117</v>
      </c>
    </row>
    <row r="40289">
      <c r="H40289" t="s">
        <v>5117</v>
      </c>
    </row>
    <row r="40290">
      <c r="H40290" t="s">
        <v>5117</v>
      </c>
    </row>
    <row r="40291">
      <c r="H40291" t="s">
        <v>5117</v>
      </c>
    </row>
    <row r="40292">
      <c r="H40292" t="s">
        <v>5117</v>
      </c>
    </row>
    <row r="40293">
      <c r="H40293" t="s">
        <v>5117</v>
      </c>
    </row>
    <row r="40294">
      <c r="H40294" t="s">
        <v>5117</v>
      </c>
    </row>
    <row r="40295">
      <c r="H40295" t="s">
        <v>5117</v>
      </c>
    </row>
    <row r="40296">
      <c r="H40296" t="s">
        <v>5117</v>
      </c>
    </row>
    <row r="40297">
      <c r="H40297" t="s">
        <v>5117</v>
      </c>
    </row>
    <row r="40298">
      <c r="H40298" t="s">
        <v>5117</v>
      </c>
    </row>
    <row r="40299">
      <c r="H40299" t="s">
        <v>5117</v>
      </c>
    </row>
    <row r="40300">
      <c r="H40300" t="s">
        <v>5117</v>
      </c>
    </row>
    <row r="40301">
      <c r="H40301" t="s">
        <v>5117</v>
      </c>
    </row>
    <row r="40302">
      <c r="H40302" t="s">
        <v>5117</v>
      </c>
    </row>
    <row r="40303">
      <c r="H40303" t="s">
        <v>5117</v>
      </c>
    </row>
    <row r="40304">
      <c r="H40304" t="s">
        <v>5117</v>
      </c>
    </row>
    <row r="40305">
      <c r="H40305" t="s">
        <v>5117</v>
      </c>
    </row>
    <row r="40306">
      <c r="H40306" t="s">
        <v>5117</v>
      </c>
    </row>
    <row r="40307">
      <c r="H40307" t="s">
        <v>5117</v>
      </c>
    </row>
    <row r="40308">
      <c r="H40308" t="s">
        <v>5117</v>
      </c>
    </row>
    <row r="40309">
      <c r="H40309" t="s">
        <v>5117</v>
      </c>
    </row>
    <row r="40310">
      <c r="H40310" t="s">
        <v>5117</v>
      </c>
    </row>
    <row r="40311">
      <c r="H40311" t="s">
        <v>5117</v>
      </c>
    </row>
    <row r="40312">
      <c r="H40312" t="s">
        <v>5117</v>
      </c>
    </row>
    <row r="40313">
      <c r="H40313" t="s">
        <v>5117</v>
      </c>
    </row>
    <row r="40314">
      <c r="H40314" t="s">
        <v>5117</v>
      </c>
    </row>
    <row r="40315">
      <c r="H40315" t="s">
        <v>5117</v>
      </c>
    </row>
    <row r="40316">
      <c r="H40316" t="s">
        <v>5117</v>
      </c>
    </row>
    <row r="40317">
      <c r="H40317" t="s">
        <v>5117</v>
      </c>
    </row>
    <row r="40318">
      <c r="H40318" t="s">
        <v>5117</v>
      </c>
    </row>
    <row r="40319">
      <c r="H40319" t="s">
        <v>5117</v>
      </c>
    </row>
    <row r="40320">
      <c r="H40320" t="s">
        <v>5117</v>
      </c>
    </row>
    <row r="40321">
      <c r="H40321" t="s">
        <v>5117</v>
      </c>
    </row>
    <row r="40322">
      <c r="H40322" t="s">
        <v>5117</v>
      </c>
    </row>
    <row r="40323">
      <c r="H40323" t="s">
        <v>5117</v>
      </c>
    </row>
    <row r="40324">
      <c r="H40324" t="s">
        <v>5117</v>
      </c>
    </row>
    <row r="40325">
      <c r="H40325" t="s">
        <v>5117</v>
      </c>
    </row>
    <row r="40326">
      <c r="H40326" t="s">
        <v>5117</v>
      </c>
    </row>
    <row r="40327">
      <c r="H40327" t="s">
        <v>5117</v>
      </c>
    </row>
    <row r="40328">
      <c r="H40328" t="s">
        <v>5117</v>
      </c>
    </row>
    <row r="40329">
      <c r="H40329" t="s">
        <v>5117</v>
      </c>
    </row>
    <row r="40330">
      <c r="H40330" t="s">
        <v>5117</v>
      </c>
    </row>
    <row r="40331">
      <c r="H40331" t="s">
        <v>5117</v>
      </c>
    </row>
    <row r="40332">
      <c r="H40332" t="s">
        <v>5117</v>
      </c>
    </row>
    <row r="40333">
      <c r="H40333" t="s">
        <v>5117</v>
      </c>
    </row>
    <row r="40334">
      <c r="H40334" t="s">
        <v>5117</v>
      </c>
    </row>
    <row r="40335">
      <c r="H40335" t="s">
        <v>5117</v>
      </c>
    </row>
    <row r="40336">
      <c r="H40336" t="s">
        <v>5117</v>
      </c>
    </row>
    <row r="40337">
      <c r="H40337" t="s">
        <v>5117</v>
      </c>
    </row>
    <row r="40338">
      <c r="H40338" t="s">
        <v>5117</v>
      </c>
    </row>
    <row r="40339">
      <c r="H40339" t="s">
        <v>5117</v>
      </c>
    </row>
    <row r="40340">
      <c r="H40340" t="s">
        <v>5117</v>
      </c>
    </row>
    <row r="40341">
      <c r="H40341" t="s">
        <v>5117</v>
      </c>
    </row>
    <row r="40342">
      <c r="H40342" t="s">
        <v>5117</v>
      </c>
    </row>
    <row r="40343">
      <c r="H40343" t="s">
        <v>5117</v>
      </c>
    </row>
    <row r="40344">
      <c r="H40344" t="s">
        <v>5117</v>
      </c>
    </row>
    <row r="40345">
      <c r="H40345" t="s">
        <v>5117</v>
      </c>
    </row>
    <row r="40346">
      <c r="H40346" t="s">
        <v>5117</v>
      </c>
    </row>
    <row r="40347">
      <c r="H40347" t="s">
        <v>5117</v>
      </c>
    </row>
    <row r="40348">
      <c r="H40348" t="s">
        <v>5117</v>
      </c>
    </row>
    <row r="40349">
      <c r="H40349" t="s">
        <v>5117</v>
      </c>
    </row>
    <row r="40350">
      <c r="H40350" t="s">
        <v>5117</v>
      </c>
    </row>
    <row r="40351">
      <c r="H40351" t="s">
        <v>5117</v>
      </c>
    </row>
    <row r="40352">
      <c r="H40352" t="s">
        <v>5117</v>
      </c>
    </row>
    <row r="40353">
      <c r="H40353" t="s">
        <v>5117</v>
      </c>
    </row>
    <row r="40354">
      <c r="H40354" t="s">
        <v>5117</v>
      </c>
    </row>
    <row r="40355">
      <c r="H40355" t="s">
        <v>5117</v>
      </c>
    </row>
    <row r="40356">
      <c r="H40356" t="s">
        <v>5117</v>
      </c>
    </row>
    <row r="40357">
      <c r="H40357" t="s">
        <v>5117</v>
      </c>
    </row>
    <row r="40358">
      <c r="H40358" t="s">
        <v>5117</v>
      </c>
    </row>
    <row r="40359">
      <c r="H40359" t="s">
        <v>5117</v>
      </c>
    </row>
    <row r="40360">
      <c r="H40360" t="s">
        <v>5117</v>
      </c>
    </row>
    <row r="40361">
      <c r="H40361" t="s">
        <v>5117</v>
      </c>
    </row>
    <row r="40362">
      <c r="H40362" t="s">
        <v>5117</v>
      </c>
    </row>
    <row r="40363">
      <c r="H40363" t="s">
        <v>5117</v>
      </c>
    </row>
    <row r="40364">
      <c r="H40364" t="s">
        <v>5117</v>
      </c>
    </row>
    <row r="40365">
      <c r="H40365" t="s">
        <v>5117</v>
      </c>
    </row>
    <row r="40366">
      <c r="H40366" t="s">
        <v>5117</v>
      </c>
    </row>
    <row r="40367">
      <c r="H40367" t="s">
        <v>5117</v>
      </c>
    </row>
    <row r="40368">
      <c r="H40368" t="s">
        <v>5117</v>
      </c>
    </row>
    <row r="40369">
      <c r="H40369" t="s">
        <v>5117</v>
      </c>
    </row>
    <row r="40370">
      <c r="H40370" t="s">
        <v>5117</v>
      </c>
    </row>
    <row r="40371">
      <c r="H40371" t="s">
        <v>5117</v>
      </c>
    </row>
    <row r="40372">
      <c r="H40372" t="s">
        <v>5117</v>
      </c>
    </row>
    <row r="40373">
      <c r="H40373" t="s">
        <v>5117</v>
      </c>
    </row>
    <row r="40374">
      <c r="H40374" t="s">
        <v>5117</v>
      </c>
    </row>
    <row r="40375">
      <c r="H40375" t="s">
        <v>5117</v>
      </c>
    </row>
    <row r="40376">
      <c r="H40376" t="s">
        <v>5117</v>
      </c>
    </row>
    <row r="40377">
      <c r="H40377" t="s">
        <v>5117</v>
      </c>
    </row>
    <row r="40378">
      <c r="H40378" t="s">
        <v>5117</v>
      </c>
    </row>
    <row r="40379">
      <c r="H40379" t="s">
        <v>5117</v>
      </c>
    </row>
    <row r="40380">
      <c r="H40380" t="s">
        <v>5117</v>
      </c>
    </row>
    <row r="40381">
      <c r="H40381" t="s">
        <v>5117</v>
      </c>
    </row>
    <row r="40382">
      <c r="H40382" t="s">
        <v>5117</v>
      </c>
    </row>
    <row r="40383">
      <c r="H40383" t="s">
        <v>5117</v>
      </c>
    </row>
    <row r="40384">
      <c r="H40384" t="s">
        <v>5117</v>
      </c>
    </row>
    <row r="40385">
      <c r="H40385" t="s">
        <v>5117</v>
      </c>
    </row>
    <row r="40386">
      <c r="H40386" t="s">
        <v>5117</v>
      </c>
    </row>
    <row r="40387">
      <c r="H40387" t="s">
        <v>5117</v>
      </c>
    </row>
    <row r="40388">
      <c r="H40388" t="s">
        <v>5117</v>
      </c>
    </row>
    <row r="40389">
      <c r="H40389" t="s">
        <v>5117</v>
      </c>
    </row>
    <row r="40390">
      <c r="H40390" t="s">
        <v>5117</v>
      </c>
    </row>
    <row r="40391">
      <c r="H40391" t="s">
        <v>5117</v>
      </c>
    </row>
    <row r="40392">
      <c r="H40392" t="s">
        <v>5117</v>
      </c>
    </row>
    <row r="40393">
      <c r="H40393" t="s">
        <v>5117</v>
      </c>
    </row>
    <row r="40394">
      <c r="H40394" t="s">
        <v>5117</v>
      </c>
    </row>
    <row r="40395">
      <c r="H40395" t="s">
        <v>5117</v>
      </c>
    </row>
    <row r="40396">
      <c r="H40396" t="s">
        <v>5117</v>
      </c>
    </row>
    <row r="40397">
      <c r="H40397" t="s">
        <v>5117</v>
      </c>
    </row>
    <row r="40398">
      <c r="H40398" t="s">
        <v>5117</v>
      </c>
    </row>
    <row r="40399">
      <c r="H40399" t="s">
        <v>5117</v>
      </c>
    </row>
    <row r="40400">
      <c r="H40400" t="s">
        <v>5117</v>
      </c>
    </row>
    <row r="40401">
      <c r="H40401" t="s">
        <v>5117</v>
      </c>
    </row>
    <row r="40402">
      <c r="H40402" t="s">
        <v>5117</v>
      </c>
    </row>
    <row r="40403">
      <c r="H40403" t="s">
        <v>5117</v>
      </c>
    </row>
    <row r="40404">
      <c r="H40404" t="s">
        <v>5117</v>
      </c>
    </row>
    <row r="40405">
      <c r="H40405" t="s">
        <v>5117</v>
      </c>
    </row>
    <row r="40406">
      <c r="H40406" t="s">
        <v>5117</v>
      </c>
    </row>
    <row r="40407">
      <c r="H40407" t="s">
        <v>5117</v>
      </c>
    </row>
    <row r="40408">
      <c r="H40408" t="s">
        <v>5117</v>
      </c>
    </row>
    <row r="40409">
      <c r="H40409" t="s">
        <v>5117</v>
      </c>
    </row>
    <row r="40410">
      <c r="H40410" t="s">
        <v>5117</v>
      </c>
    </row>
    <row r="40411">
      <c r="H40411" t="s">
        <v>5117</v>
      </c>
    </row>
    <row r="40412">
      <c r="H40412" t="s">
        <v>5117</v>
      </c>
    </row>
    <row r="40413">
      <c r="H40413" t="s">
        <v>5117</v>
      </c>
    </row>
    <row r="40414">
      <c r="H40414" t="s">
        <v>5117</v>
      </c>
    </row>
    <row r="40415">
      <c r="H40415" t="s">
        <v>5117</v>
      </c>
    </row>
    <row r="40416">
      <c r="H40416" t="s">
        <v>5117</v>
      </c>
    </row>
    <row r="40417">
      <c r="H40417" t="s">
        <v>5117</v>
      </c>
    </row>
    <row r="40418">
      <c r="H40418" t="s">
        <v>5117</v>
      </c>
    </row>
    <row r="40419">
      <c r="H40419" t="s">
        <v>5117</v>
      </c>
    </row>
    <row r="40420">
      <c r="H40420" t="s">
        <v>5117</v>
      </c>
    </row>
    <row r="40421">
      <c r="H40421" t="s">
        <v>5117</v>
      </c>
    </row>
    <row r="40422">
      <c r="H40422" t="s">
        <v>5117</v>
      </c>
    </row>
    <row r="40423">
      <c r="H40423" t="s">
        <v>5117</v>
      </c>
    </row>
    <row r="40424">
      <c r="H40424" t="s">
        <v>5117</v>
      </c>
    </row>
    <row r="40425">
      <c r="H40425" t="s">
        <v>5117</v>
      </c>
    </row>
    <row r="40426">
      <c r="H40426" t="s">
        <v>5117</v>
      </c>
    </row>
    <row r="40427">
      <c r="H40427" t="s">
        <v>5117</v>
      </c>
    </row>
    <row r="40428">
      <c r="H40428" t="s">
        <v>5117</v>
      </c>
    </row>
    <row r="40429">
      <c r="H40429" t="s">
        <v>5117</v>
      </c>
    </row>
    <row r="40430">
      <c r="H40430" t="s">
        <v>5117</v>
      </c>
    </row>
    <row r="40431">
      <c r="H40431" t="s">
        <v>5117</v>
      </c>
    </row>
    <row r="40432">
      <c r="H40432" t="s">
        <v>5117</v>
      </c>
    </row>
    <row r="40433">
      <c r="H40433" t="s">
        <v>5117</v>
      </c>
    </row>
    <row r="40434">
      <c r="H40434" t="s">
        <v>5117</v>
      </c>
    </row>
    <row r="40435">
      <c r="H40435" t="s">
        <v>5117</v>
      </c>
    </row>
    <row r="40436">
      <c r="H40436" t="s">
        <v>5117</v>
      </c>
    </row>
    <row r="40437">
      <c r="H40437" t="s">
        <v>5117</v>
      </c>
    </row>
    <row r="40438">
      <c r="H40438" t="s">
        <v>5117</v>
      </c>
    </row>
    <row r="40439">
      <c r="H40439" t="s">
        <v>5117</v>
      </c>
    </row>
    <row r="40440">
      <c r="H40440" t="s">
        <v>5117</v>
      </c>
    </row>
    <row r="40441">
      <c r="H40441" t="s">
        <v>5117</v>
      </c>
    </row>
    <row r="40442">
      <c r="H40442" t="s">
        <v>5117</v>
      </c>
    </row>
    <row r="40443">
      <c r="H40443" t="s">
        <v>5117</v>
      </c>
    </row>
    <row r="40444">
      <c r="H40444" t="s">
        <v>5117</v>
      </c>
    </row>
    <row r="40445">
      <c r="H40445" t="s">
        <v>5117</v>
      </c>
    </row>
    <row r="40446">
      <c r="H40446" t="s">
        <v>5117</v>
      </c>
    </row>
    <row r="40447">
      <c r="H40447" t="s">
        <v>5117</v>
      </c>
    </row>
    <row r="40448">
      <c r="H40448" t="s">
        <v>5117</v>
      </c>
    </row>
    <row r="40449">
      <c r="H40449" t="s">
        <v>5117</v>
      </c>
    </row>
    <row r="40450">
      <c r="H40450" t="s">
        <v>5117</v>
      </c>
    </row>
    <row r="40451">
      <c r="H40451" t="s">
        <v>5117</v>
      </c>
    </row>
    <row r="40452">
      <c r="H40452" t="s">
        <v>5117</v>
      </c>
    </row>
    <row r="40453">
      <c r="H40453" t="s">
        <v>5117</v>
      </c>
    </row>
    <row r="40454">
      <c r="H40454" t="s">
        <v>5117</v>
      </c>
    </row>
    <row r="40455">
      <c r="H40455" t="s">
        <v>5117</v>
      </c>
    </row>
    <row r="40456">
      <c r="H40456" t="s">
        <v>5117</v>
      </c>
    </row>
    <row r="40457">
      <c r="H40457" t="s">
        <v>5117</v>
      </c>
    </row>
    <row r="40458">
      <c r="H40458" t="s">
        <v>5117</v>
      </c>
    </row>
    <row r="40459">
      <c r="H40459" t="s">
        <v>5117</v>
      </c>
    </row>
    <row r="40460">
      <c r="H40460" t="s">
        <v>5117</v>
      </c>
    </row>
    <row r="40461">
      <c r="H40461" t="s">
        <v>5117</v>
      </c>
    </row>
    <row r="40462">
      <c r="H40462" t="s">
        <v>5117</v>
      </c>
    </row>
    <row r="40463">
      <c r="H40463" t="s">
        <v>5117</v>
      </c>
    </row>
    <row r="40464">
      <c r="H40464" t="s">
        <v>5117</v>
      </c>
    </row>
    <row r="40465">
      <c r="H40465" t="s">
        <v>5117</v>
      </c>
    </row>
    <row r="40466">
      <c r="H40466" t="s">
        <v>5117</v>
      </c>
    </row>
    <row r="40467">
      <c r="H40467" t="s">
        <v>5117</v>
      </c>
    </row>
    <row r="40468">
      <c r="H40468" t="s">
        <v>5117</v>
      </c>
    </row>
    <row r="40469">
      <c r="H40469" t="s">
        <v>5117</v>
      </c>
    </row>
    <row r="40470">
      <c r="H40470" t="s">
        <v>5117</v>
      </c>
    </row>
    <row r="40471">
      <c r="H40471" t="s">
        <v>5117</v>
      </c>
    </row>
    <row r="40472">
      <c r="H40472" t="s">
        <v>5117</v>
      </c>
    </row>
    <row r="40473">
      <c r="H40473" t="s">
        <v>5117</v>
      </c>
    </row>
    <row r="40474">
      <c r="H40474" t="s">
        <v>5117</v>
      </c>
    </row>
    <row r="40475">
      <c r="H40475" t="s">
        <v>5117</v>
      </c>
    </row>
    <row r="40476">
      <c r="H40476" t="s">
        <v>5117</v>
      </c>
    </row>
    <row r="40477">
      <c r="H40477" t="s">
        <v>5117</v>
      </c>
    </row>
    <row r="40478">
      <c r="H40478" t="s">
        <v>5117</v>
      </c>
    </row>
    <row r="40479">
      <c r="H40479" t="s">
        <v>5117</v>
      </c>
    </row>
    <row r="40480">
      <c r="H40480" t="s">
        <v>5117</v>
      </c>
    </row>
    <row r="40481">
      <c r="H40481" t="s">
        <v>5117</v>
      </c>
    </row>
    <row r="40482">
      <c r="H40482" t="s">
        <v>5117</v>
      </c>
    </row>
    <row r="40483">
      <c r="H40483" t="s">
        <v>5117</v>
      </c>
    </row>
    <row r="40484">
      <c r="H40484" t="s">
        <v>5117</v>
      </c>
    </row>
    <row r="40485">
      <c r="H40485" t="s">
        <v>5117</v>
      </c>
    </row>
    <row r="40486">
      <c r="H40486" t="s">
        <v>5117</v>
      </c>
    </row>
    <row r="40487">
      <c r="H40487" t="s">
        <v>5117</v>
      </c>
    </row>
    <row r="40488">
      <c r="H40488" t="s">
        <v>5117</v>
      </c>
    </row>
    <row r="40489">
      <c r="H40489" t="s">
        <v>5117</v>
      </c>
    </row>
    <row r="40490">
      <c r="H40490" t="s">
        <v>5117</v>
      </c>
    </row>
    <row r="40491">
      <c r="H40491" t="s">
        <v>5117</v>
      </c>
    </row>
    <row r="40492">
      <c r="H40492" t="s">
        <v>5117</v>
      </c>
    </row>
    <row r="40493">
      <c r="H40493" t="s">
        <v>5117</v>
      </c>
    </row>
    <row r="40494">
      <c r="H40494" t="s">
        <v>5117</v>
      </c>
    </row>
    <row r="40495">
      <c r="H40495" t="s">
        <v>5117</v>
      </c>
    </row>
    <row r="40496">
      <c r="H40496" t="s">
        <v>5117</v>
      </c>
    </row>
    <row r="40497">
      <c r="H40497" t="s">
        <v>5117</v>
      </c>
    </row>
    <row r="40498">
      <c r="H40498" t="s">
        <v>5117</v>
      </c>
    </row>
    <row r="40499">
      <c r="H40499" t="s">
        <v>5117</v>
      </c>
    </row>
    <row r="40500">
      <c r="H40500" t="s">
        <v>5117</v>
      </c>
    </row>
    <row r="40501">
      <c r="H40501" t="s">
        <v>5117</v>
      </c>
    </row>
    <row r="40502">
      <c r="H40502" t="s">
        <v>5117</v>
      </c>
    </row>
    <row r="40503">
      <c r="H40503" t="s">
        <v>5117</v>
      </c>
    </row>
    <row r="40504">
      <c r="H40504" t="s">
        <v>5117</v>
      </c>
    </row>
    <row r="40505">
      <c r="H40505" t="s">
        <v>5117</v>
      </c>
    </row>
    <row r="40506">
      <c r="H40506" t="s">
        <v>5117</v>
      </c>
    </row>
    <row r="40507">
      <c r="H40507" t="s">
        <v>5117</v>
      </c>
    </row>
    <row r="40508">
      <c r="H40508" t="s">
        <v>5117</v>
      </c>
    </row>
    <row r="40509">
      <c r="H40509" t="s">
        <v>5117</v>
      </c>
    </row>
    <row r="40510">
      <c r="H40510" t="s">
        <v>5117</v>
      </c>
    </row>
    <row r="40511">
      <c r="H40511" t="s">
        <v>5117</v>
      </c>
    </row>
    <row r="40512">
      <c r="H40512" t="s">
        <v>5117</v>
      </c>
    </row>
    <row r="40513">
      <c r="H40513" t="s">
        <v>5117</v>
      </c>
    </row>
    <row r="40514">
      <c r="H40514" t="s">
        <v>5117</v>
      </c>
    </row>
    <row r="40515">
      <c r="H40515" t="s">
        <v>5117</v>
      </c>
    </row>
    <row r="40516">
      <c r="H40516" t="s">
        <v>5117</v>
      </c>
    </row>
    <row r="40517">
      <c r="H40517" t="s">
        <v>5117</v>
      </c>
    </row>
    <row r="40518">
      <c r="H40518" t="s">
        <v>5117</v>
      </c>
    </row>
    <row r="40519">
      <c r="H40519" t="s">
        <v>5117</v>
      </c>
    </row>
    <row r="40520">
      <c r="H40520" t="s">
        <v>5117</v>
      </c>
    </row>
    <row r="40521">
      <c r="H40521" t="s">
        <v>5117</v>
      </c>
    </row>
    <row r="40522">
      <c r="H40522" t="s">
        <v>5117</v>
      </c>
    </row>
    <row r="40523">
      <c r="H40523" t="s">
        <v>5117</v>
      </c>
    </row>
    <row r="40524">
      <c r="H40524" t="s">
        <v>5117</v>
      </c>
    </row>
    <row r="40525">
      <c r="H40525" t="s">
        <v>5117</v>
      </c>
    </row>
    <row r="40526">
      <c r="H40526" t="s">
        <v>5117</v>
      </c>
    </row>
    <row r="40527">
      <c r="H40527" t="s">
        <v>5117</v>
      </c>
    </row>
    <row r="40528">
      <c r="H40528" t="s">
        <v>5117</v>
      </c>
    </row>
    <row r="40529">
      <c r="H40529" t="s">
        <v>5117</v>
      </c>
    </row>
    <row r="40530">
      <c r="H40530" t="s">
        <v>5117</v>
      </c>
    </row>
    <row r="40531">
      <c r="H40531" t="s">
        <v>5117</v>
      </c>
    </row>
    <row r="40532">
      <c r="H40532" t="s">
        <v>5117</v>
      </c>
    </row>
    <row r="40533">
      <c r="H40533" t="s">
        <v>5117</v>
      </c>
    </row>
    <row r="40534">
      <c r="H40534" t="s">
        <v>5117</v>
      </c>
    </row>
    <row r="40535">
      <c r="H40535" t="s">
        <v>5117</v>
      </c>
    </row>
    <row r="40536">
      <c r="H40536" t="s">
        <v>5117</v>
      </c>
    </row>
    <row r="40537">
      <c r="H40537" t="s">
        <v>5117</v>
      </c>
    </row>
    <row r="40538">
      <c r="H40538" t="s">
        <v>5117</v>
      </c>
    </row>
    <row r="40539">
      <c r="H40539" t="s">
        <v>5117</v>
      </c>
    </row>
    <row r="40540">
      <c r="H40540" t="s">
        <v>5117</v>
      </c>
    </row>
    <row r="40541">
      <c r="H40541" t="s">
        <v>5117</v>
      </c>
    </row>
    <row r="40542">
      <c r="H40542" t="s">
        <v>5117</v>
      </c>
    </row>
    <row r="40543">
      <c r="H40543" t="s">
        <v>5117</v>
      </c>
    </row>
    <row r="40544">
      <c r="H40544" t="s">
        <v>5117</v>
      </c>
    </row>
    <row r="40545">
      <c r="H40545" t="s">
        <v>5117</v>
      </c>
    </row>
    <row r="40546">
      <c r="H40546" t="s">
        <v>5117</v>
      </c>
    </row>
    <row r="40547">
      <c r="H40547" t="s">
        <v>5117</v>
      </c>
    </row>
    <row r="40548">
      <c r="H40548" t="s">
        <v>5117</v>
      </c>
    </row>
    <row r="40549">
      <c r="H40549" t="s">
        <v>5117</v>
      </c>
    </row>
    <row r="40550">
      <c r="H40550" t="s">
        <v>5117</v>
      </c>
    </row>
    <row r="40551">
      <c r="H40551" t="s">
        <v>5117</v>
      </c>
    </row>
    <row r="40552">
      <c r="H40552" t="s">
        <v>5117</v>
      </c>
    </row>
    <row r="40553">
      <c r="H40553" t="s">
        <v>5117</v>
      </c>
    </row>
    <row r="40554">
      <c r="H40554" t="s">
        <v>5117</v>
      </c>
    </row>
    <row r="40555">
      <c r="H40555" t="s">
        <v>5117</v>
      </c>
    </row>
    <row r="40556">
      <c r="H40556" t="s">
        <v>5117</v>
      </c>
    </row>
    <row r="40557">
      <c r="H40557" t="s">
        <v>5117</v>
      </c>
    </row>
    <row r="40558">
      <c r="H40558" t="s">
        <v>5117</v>
      </c>
    </row>
    <row r="40559">
      <c r="H40559" t="s">
        <v>5117</v>
      </c>
    </row>
    <row r="40560">
      <c r="H40560" t="s">
        <v>5117</v>
      </c>
    </row>
    <row r="40561">
      <c r="H40561" t="s">
        <v>5117</v>
      </c>
    </row>
    <row r="40562">
      <c r="H40562" t="s">
        <v>5117</v>
      </c>
    </row>
    <row r="40563">
      <c r="H40563" t="s">
        <v>5117</v>
      </c>
    </row>
    <row r="40564">
      <c r="H40564" t="s">
        <v>5117</v>
      </c>
    </row>
    <row r="40565">
      <c r="H40565" t="s">
        <v>5117</v>
      </c>
    </row>
    <row r="40566">
      <c r="H40566" t="s">
        <v>5117</v>
      </c>
    </row>
    <row r="40567">
      <c r="H40567" t="s">
        <v>5117</v>
      </c>
    </row>
    <row r="40568">
      <c r="H40568" t="s">
        <v>5117</v>
      </c>
    </row>
    <row r="40569">
      <c r="H40569" t="s">
        <v>5117</v>
      </c>
    </row>
    <row r="40570">
      <c r="H40570" t="s">
        <v>5117</v>
      </c>
    </row>
    <row r="40571">
      <c r="H40571" t="s">
        <v>5117</v>
      </c>
    </row>
    <row r="40572">
      <c r="H40572" t="s">
        <v>5117</v>
      </c>
    </row>
    <row r="40573">
      <c r="H40573" t="s">
        <v>5117</v>
      </c>
    </row>
    <row r="40574">
      <c r="H40574" t="s">
        <v>5117</v>
      </c>
    </row>
    <row r="40575">
      <c r="H40575" t="s">
        <v>5117</v>
      </c>
    </row>
    <row r="40576">
      <c r="H40576" t="s">
        <v>5117</v>
      </c>
    </row>
    <row r="40577">
      <c r="H40577" t="s">
        <v>5117</v>
      </c>
    </row>
    <row r="40578">
      <c r="H40578" t="s">
        <v>5117</v>
      </c>
    </row>
    <row r="40579">
      <c r="H40579" t="s">
        <v>5117</v>
      </c>
    </row>
    <row r="40580">
      <c r="H40580" t="s">
        <v>5117</v>
      </c>
    </row>
    <row r="40581">
      <c r="H40581" t="s">
        <v>5117</v>
      </c>
    </row>
    <row r="40582">
      <c r="H40582" t="s">
        <v>5117</v>
      </c>
    </row>
    <row r="40583">
      <c r="H40583" t="s">
        <v>5117</v>
      </c>
    </row>
    <row r="40584">
      <c r="H40584" t="s">
        <v>5117</v>
      </c>
    </row>
    <row r="40585">
      <c r="H40585" t="s">
        <v>5117</v>
      </c>
    </row>
    <row r="40586">
      <c r="H40586" t="s">
        <v>5117</v>
      </c>
    </row>
    <row r="40587">
      <c r="H40587" t="s">
        <v>5117</v>
      </c>
    </row>
    <row r="40588">
      <c r="H40588" t="s">
        <v>5117</v>
      </c>
    </row>
    <row r="40589">
      <c r="H40589" t="s">
        <v>5117</v>
      </c>
    </row>
    <row r="40590">
      <c r="H40590" t="s">
        <v>5117</v>
      </c>
    </row>
    <row r="40591">
      <c r="H40591" t="s">
        <v>5117</v>
      </c>
    </row>
    <row r="40592">
      <c r="H40592" t="s">
        <v>5117</v>
      </c>
    </row>
    <row r="40593">
      <c r="H40593" t="s">
        <v>5117</v>
      </c>
    </row>
    <row r="40594">
      <c r="H40594" t="s">
        <v>5117</v>
      </c>
    </row>
    <row r="40595">
      <c r="H40595" t="s">
        <v>5117</v>
      </c>
    </row>
    <row r="40596">
      <c r="H40596" t="s">
        <v>5117</v>
      </c>
    </row>
    <row r="40597">
      <c r="H40597" t="s">
        <v>5117</v>
      </c>
    </row>
    <row r="40598">
      <c r="H40598" t="s">
        <v>5117</v>
      </c>
    </row>
    <row r="40599">
      <c r="H40599" t="s">
        <v>5117</v>
      </c>
    </row>
    <row r="40600">
      <c r="H40600" t="s">
        <v>5117</v>
      </c>
    </row>
    <row r="40601">
      <c r="H40601" t="s">
        <v>5117</v>
      </c>
    </row>
    <row r="40602">
      <c r="H40602" t="s">
        <v>5117</v>
      </c>
    </row>
    <row r="40603">
      <c r="H40603" t="s">
        <v>5117</v>
      </c>
    </row>
    <row r="40604">
      <c r="H40604" t="s">
        <v>5117</v>
      </c>
    </row>
    <row r="40605">
      <c r="H40605" t="s">
        <v>5117</v>
      </c>
    </row>
    <row r="40606">
      <c r="H40606" t="s">
        <v>5117</v>
      </c>
    </row>
    <row r="40607">
      <c r="H40607" t="s">
        <v>5117</v>
      </c>
    </row>
    <row r="40608">
      <c r="H40608" t="s">
        <v>5117</v>
      </c>
    </row>
    <row r="40609">
      <c r="H40609" t="s">
        <v>5117</v>
      </c>
    </row>
    <row r="40610">
      <c r="H40610" t="s">
        <v>5117</v>
      </c>
    </row>
    <row r="40611">
      <c r="H40611" t="s">
        <v>5117</v>
      </c>
    </row>
    <row r="40612">
      <c r="H40612" t="s">
        <v>5117</v>
      </c>
    </row>
    <row r="40613">
      <c r="H40613" t="s">
        <v>5117</v>
      </c>
    </row>
    <row r="40614">
      <c r="H40614" t="s">
        <v>5117</v>
      </c>
    </row>
    <row r="40615">
      <c r="H40615" t="s">
        <v>5117</v>
      </c>
    </row>
    <row r="40616">
      <c r="H40616" t="s">
        <v>5117</v>
      </c>
    </row>
    <row r="40617">
      <c r="H40617" t="s">
        <v>5117</v>
      </c>
    </row>
    <row r="40618">
      <c r="H40618" t="s">
        <v>5117</v>
      </c>
    </row>
    <row r="40619">
      <c r="H40619" t="s">
        <v>5117</v>
      </c>
    </row>
    <row r="40620">
      <c r="H40620" t="s">
        <v>5117</v>
      </c>
    </row>
    <row r="40621">
      <c r="H40621" t="s">
        <v>5117</v>
      </c>
    </row>
    <row r="40622">
      <c r="H40622" t="s">
        <v>5117</v>
      </c>
    </row>
    <row r="40623">
      <c r="H40623" t="s">
        <v>5117</v>
      </c>
    </row>
    <row r="40624">
      <c r="H40624" t="s">
        <v>5117</v>
      </c>
    </row>
    <row r="40625">
      <c r="H40625" t="s">
        <v>5117</v>
      </c>
    </row>
    <row r="40626">
      <c r="H40626" t="s">
        <v>5117</v>
      </c>
    </row>
    <row r="40627">
      <c r="H40627" t="s">
        <v>5117</v>
      </c>
    </row>
    <row r="40628">
      <c r="H40628" t="s">
        <v>5117</v>
      </c>
    </row>
    <row r="40629">
      <c r="H40629" t="s">
        <v>5117</v>
      </c>
    </row>
    <row r="40630">
      <c r="H40630" t="s">
        <v>5117</v>
      </c>
    </row>
    <row r="40631">
      <c r="H40631" t="s">
        <v>5117</v>
      </c>
    </row>
    <row r="40632">
      <c r="H40632" t="s">
        <v>5117</v>
      </c>
    </row>
    <row r="40633">
      <c r="H40633" t="s">
        <v>5117</v>
      </c>
    </row>
    <row r="40634">
      <c r="H40634" t="s">
        <v>5117</v>
      </c>
    </row>
    <row r="40635">
      <c r="H40635" t="s">
        <v>5117</v>
      </c>
    </row>
    <row r="40636">
      <c r="H40636" t="s">
        <v>5117</v>
      </c>
    </row>
    <row r="40637">
      <c r="H40637" t="s">
        <v>5117</v>
      </c>
    </row>
    <row r="40638">
      <c r="H40638" t="s">
        <v>5117</v>
      </c>
    </row>
    <row r="40639">
      <c r="H40639" t="s">
        <v>5117</v>
      </c>
    </row>
    <row r="40640">
      <c r="H40640" t="s">
        <v>5117</v>
      </c>
    </row>
    <row r="40641">
      <c r="H40641" t="s">
        <v>5117</v>
      </c>
    </row>
    <row r="40642">
      <c r="H40642" t="s">
        <v>5117</v>
      </c>
    </row>
    <row r="40643">
      <c r="H40643" t="s">
        <v>5117</v>
      </c>
    </row>
    <row r="40644">
      <c r="H40644" t="s">
        <v>5117</v>
      </c>
    </row>
    <row r="40645">
      <c r="H40645" t="s">
        <v>5117</v>
      </c>
    </row>
    <row r="40646">
      <c r="H40646" t="s">
        <v>5117</v>
      </c>
    </row>
    <row r="40647">
      <c r="H40647" t="s">
        <v>5117</v>
      </c>
    </row>
    <row r="40648">
      <c r="H40648" t="s">
        <v>5117</v>
      </c>
    </row>
    <row r="40649">
      <c r="H40649" t="s">
        <v>5117</v>
      </c>
    </row>
    <row r="40650">
      <c r="H40650" t="s">
        <v>5117</v>
      </c>
    </row>
    <row r="40651">
      <c r="H40651" t="s">
        <v>5117</v>
      </c>
    </row>
    <row r="40652">
      <c r="H40652" t="s">
        <v>5117</v>
      </c>
    </row>
    <row r="40653">
      <c r="H40653" t="s">
        <v>5117</v>
      </c>
    </row>
    <row r="40654">
      <c r="H40654" t="s">
        <v>5117</v>
      </c>
    </row>
    <row r="40655">
      <c r="H40655" t="s">
        <v>5117</v>
      </c>
    </row>
    <row r="40656">
      <c r="H40656" t="s">
        <v>5117</v>
      </c>
    </row>
    <row r="40657">
      <c r="H40657" t="s">
        <v>5117</v>
      </c>
    </row>
    <row r="40658">
      <c r="H40658" t="s">
        <v>5117</v>
      </c>
    </row>
    <row r="40659">
      <c r="H40659" t="s">
        <v>5117</v>
      </c>
    </row>
    <row r="40660">
      <c r="H40660" t="s">
        <v>5117</v>
      </c>
    </row>
    <row r="40661">
      <c r="H40661" t="s">
        <v>5117</v>
      </c>
    </row>
    <row r="40662">
      <c r="H40662" t="s">
        <v>5117</v>
      </c>
    </row>
    <row r="40663">
      <c r="H40663" t="s">
        <v>5117</v>
      </c>
    </row>
    <row r="40664">
      <c r="H40664" t="s">
        <v>5117</v>
      </c>
    </row>
    <row r="40665">
      <c r="H40665" t="s">
        <v>5117</v>
      </c>
    </row>
    <row r="40666">
      <c r="H40666" t="s">
        <v>5117</v>
      </c>
    </row>
    <row r="40667">
      <c r="H40667" t="s">
        <v>5117</v>
      </c>
    </row>
    <row r="40668">
      <c r="H40668" t="s">
        <v>5117</v>
      </c>
    </row>
    <row r="40669">
      <c r="H40669" t="s">
        <v>5117</v>
      </c>
    </row>
    <row r="40670">
      <c r="H40670" t="s">
        <v>5117</v>
      </c>
    </row>
    <row r="40671">
      <c r="H40671" t="s">
        <v>5117</v>
      </c>
    </row>
    <row r="40672">
      <c r="H40672" t="s">
        <v>5117</v>
      </c>
    </row>
    <row r="40673">
      <c r="H40673" t="s">
        <v>5117</v>
      </c>
    </row>
    <row r="40674">
      <c r="H40674" t="s">
        <v>5117</v>
      </c>
    </row>
    <row r="40675">
      <c r="H40675" t="s">
        <v>5117</v>
      </c>
    </row>
    <row r="40676">
      <c r="H40676" t="s">
        <v>5117</v>
      </c>
    </row>
    <row r="40677">
      <c r="H40677" t="s">
        <v>5117</v>
      </c>
    </row>
    <row r="40678">
      <c r="H40678" t="s">
        <v>5117</v>
      </c>
    </row>
    <row r="40679">
      <c r="H40679" t="s">
        <v>5117</v>
      </c>
    </row>
    <row r="40680">
      <c r="H40680" t="s">
        <v>5117</v>
      </c>
    </row>
    <row r="40681">
      <c r="H40681" t="s">
        <v>5117</v>
      </c>
    </row>
    <row r="40682">
      <c r="H40682" t="s">
        <v>5117</v>
      </c>
    </row>
    <row r="40683">
      <c r="H40683" t="s">
        <v>5117</v>
      </c>
    </row>
    <row r="40684">
      <c r="H40684" t="s">
        <v>5117</v>
      </c>
    </row>
    <row r="40685">
      <c r="H40685" t="s">
        <v>5117</v>
      </c>
    </row>
    <row r="40686">
      <c r="H40686" t="s">
        <v>5117</v>
      </c>
    </row>
    <row r="40687">
      <c r="H40687" t="s">
        <v>5117</v>
      </c>
    </row>
    <row r="40688">
      <c r="H40688" t="s">
        <v>5117</v>
      </c>
    </row>
    <row r="40689">
      <c r="H40689" t="s">
        <v>5117</v>
      </c>
    </row>
    <row r="40690">
      <c r="H40690" t="s">
        <v>5117</v>
      </c>
    </row>
    <row r="40691">
      <c r="H40691" t="s">
        <v>5117</v>
      </c>
    </row>
    <row r="40692">
      <c r="H40692" t="s">
        <v>5117</v>
      </c>
    </row>
    <row r="40693">
      <c r="H40693" t="s">
        <v>5117</v>
      </c>
    </row>
    <row r="40694">
      <c r="H40694" t="s">
        <v>5117</v>
      </c>
    </row>
    <row r="40695">
      <c r="H40695" t="s">
        <v>5117</v>
      </c>
    </row>
    <row r="40696">
      <c r="H40696" t="s">
        <v>5117</v>
      </c>
    </row>
    <row r="40697">
      <c r="H40697" t="s">
        <v>5117</v>
      </c>
    </row>
    <row r="40698">
      <c r="H40698" t="s">
        <v>5117</v>
      </c>
    </row>
    <row r="40699">
      <c r="H40699" t="s">
        <v>5117</v>
      </c>
    </row>
    <row r="40700">
      <c r="H40700" t="s">
        <v>5117</v>
      </c>
    </row>
    <row r="40701">
      <c r="H40701" t="s">
        <v>5117</v>
      </c>
    </row>
    <row r="40702">
      <c r="H40702" t="s">
        <v>5117</v>
      </c>
    </row>
    <row r="40703">
      <c r="H40703" t="s">
        <v>5117</v>
      </c>
    </row>
    <row r="40704">
      <c r="H40704" t="s">
        <v>5117</v>
      </c>
    </row>
    <row r="40705">
      <c r="H40705" t="s">
        <v>5117</v>
      </c>
    </row>
    <row r="40706">
      <c r="H40706" t="s">
        <v>5117</v>
      </c>
    </row>
    <row r="40707">
      <c r="H40707" t="s">
        <v>5117</v>
      </c>
    </row>
    <row r="40708">
      <c r="H40708" t="s">
        <v>5117</v>
      </c>
    </row>
    <row r="40709">
      <c r="H40709" t="s">
        <v>5117</v>
      </c>
    </row>
    <row r="40710">
      <c r="H40710" t="s">
        <v>5117</v>
      </c>
    </row>
    <row r="40711">
      <c r="H40711" t="s">
        <v>5117</v>
      </c>
    </row>
    <row r="40712">
      <c r="H40712" t="s">
        <v>5117</v>
      </c>
    </row>
    <row r="40713">
      <c r="H40713" t="s">
        <v>5117</v>
      </c>
    </row>
    <row r="40714">
      <c r="H40714" t="s">
        <v>5117</v>
      </c>
    </row>
    <row r="40715">
      <c r="H40715" t="s">
        <v>5117</v>
      </c>
    </row>
    <row r="40716">
      <c r="H40716" t="s">
        <v>5117</v>
      </c>
    </row>
    <row r="40717">
      <c r="H40717" t="s">
        <v>5117</v>
      </c>
    </row>
    <row r="40718">
      <c r="H40718" t="s">
        <v>5117</v>
      </c>
    </row>
    <row r="40719">
      <c r="H40719" t="s">
        <v>5117</v>
      </c>
    </row>
    <row r="40720">
      <c r="H40720" t="s">
        <v>5117</v>
      </c>
    </row>
    <row r="40721">
      <c r="H40721" t="s">
        <v>5117</v>
      </c>
    </row>
    <row r="40722">
      <c r="H40722" t="s">
        <v>5117</v>
      </c>
    </row>
    <row r="40723">
      <c r="H40723" t="s">
        <v>5117</v>
      </c>
    </row>
    <row r="40724">
      <c r="H40724" t="s">
        <v>5117</v>
      </c>
    </row>
    <row r="40725">
      <c r="H40725" t="s">
        <v>5117</v>
      </c>
    </row>
    <row r="40726">
      <c r="H40726" t="s">
        <v>5117</v>
      </c>
    </row>
    <row r="40727">
      <c r="H40727" t="s">
        <v>5117</v>
      </c>
    </row>
    <row r="40728">
      <c r="H40728" t="s">
        <v>5117</v>
      </c>
    </row>
    <row r="40729">
      <c r="H40729" t="s">
        <v>5117</v>
      </c>
    </row>
    <row r="40730">
      <c r="H40730" t="s">
        <v>5117</v>
      </c>
    </row>
    <row r="40731">
      <c r="H40731" t="s">
        <v>5117</v>
      </c>
    </row>
    <row r="40732">
      <c r="H40732" t="s">
        <v>5117</v>
      </c>
    </row>
    <row r="40733">
      <c r="H40733" t="s">
        <v>5117</v>
      </c>
    </row>
    <row r="40734">
      <c r="H40734" t="s">
        <v>5117</v>
      </c>
    </row>
    <row r="40735">
      <c r="H40735" t="s">
        <v>5117</v>
      </c>
    </row>
    <row r="40736">
      <c r="H40736" t="s">
        <v>5117</v>
      </c>
    </row>
    <row r="40737">
      <c r="H40737" t="s">
        <v>5117</v>
      </c>
    </row>
    <row r="40738">
      <c r="H40738" t="s">
        <v>5117</v>
      </c>
    </row>
    <row r="40739">
      <c r="H40739" t="s">
        <v>5117</v>
      </c>
    </row>
    <row r="40740">
      <c r="H40740" t="s">
        <v>5117</v>
      </c>
    </row>
    <row r="40741">
      <c r="H40741" t="s">
        <v>5117</v>
      </c>
    </row>
    <row r="40742">
      <c r="H40742" t="s">
        <v>5117</v>
      </c>
    </row>
    <row r="40743">
      <c r="H40743" t="s">
        <v>5117</v>
      </c>
    </row>
    <row r="40744">
      <c r="H40744" t="s">
        <v>5117</v>
      </c>
    </row>
    <row r="40745">
      <c r="H40745" t="s">
        <v>5117</v>
      </c>
    </row>
    <row r="40746">
      <c r="H40746" t="s">
        <v>5117</v>
      </c>
    </row>
    <row r="40747">
      <c r="H40747" t="s">
        <v>5117</v>
      </c>
    </row>
    <row r="40748">
      <c r="H40748" t="s">
        <v>5117</v>
      </c>
    </row>
    <row r="40749">
      <c r="H40749" t="s">
        <v>5117</v>
      </c>
    </row>
    <row r="40750">
      <c r="H40750" t="s">
        <v>5117</v>
      </c>
    </row>
    <row r="40751">
      <c r="H40751" t="s">
        <v>5117</v>
      </c>
    </row>
    <row r="40752">
      <c r="H40752" t="s">
        <v>5117</v>
      </c>
    </row>
    <row r="40753">
      <c r="H40753" t="s">
        <v>5117</v>
      </c>
    </row>
    <row r="40754">
      <c r="H40754" t="s">
        <v>5117</v>
      </c>
    </row>
    <row r="40755">
      <c r="H40755" t="s">
        <v>5117</v>
      </c>
    </row>
    <row r="40756">
      <c r="H40756" t="s">
        <v>5117</v>
      </c>
    </row>
    <row r="40757">
      <c r="H40757" t="s">
        <v>5117</v>
      </c>
    </row>
    <row r="40758">
      <c r="H40758" t="s">
        <v>5117</v>
      </c>
    </row>
    <row r="40759">
      <c r="H40759" t="s">
        <v>5117</v>
      </c>
    </row>
    <row r="40760">
      <c r="H40760" t="s">
        <v>5117</v>
      </c>
    </row>
    <row r="40761">
      <c r="H40761" t="s">
        <v>5117</v>
      </c>
    </row>
    <row r="40762">
      <c r="H40762" t="s">
        <v>5117</v>
      </c>
    </row>
    <row r="40763">
      <c r="H40763" t="s">
        <v>5117</v>
      </c>
    </row>
    <row r="40764">
      <c r="H40764" t="s">
        <v>5117</v>
      </c>
    </row>
    <row r="40765">
      <c r="H40765" t="s">
        <v>5117</v>
      </c>
    </row>
    <row r="40766">
      <c r="H40766" t="s">
        <v>5117</v>
      </c>
    </row>
    <row r="40767">
      <c r="H40767" t="s">
        <v>5117</v>
      </c>
    </row>
    <row r="40768">
      <c r="H40768" t="s">
        <v>5117</v>
      </c>
    </row>
    <row r="40769">
      <c r="H40769" t="s">
        <v>5117</v>
      </c>
    </row>
    <row r="40770">
      <c r="H40770" t="s">
        <v>5117</v>
      </c>
    </row>
    <row r="40771">
      <c r="H40771" t="s">
        <v>5117</v>
      </c>
    </row>
    <row r="40772">
      <c r="H40772" t="s">
        <v>5117</v>
      </c>
    </row>
    <row r="40773">
      <c r="H40773" t="s">
        <v>5117</v>
      </c>
    </row>
    <row r="40774">
      <c r="H40774" t="s">
        <v>5117</v>
      </c>
    </row>
    <row r="40775">
      <c r="H40775" t="s">
        <v>5117</v>
      </c>
    </row>
    <row r="40776">
      <c r="H40776" t="s">
        <v>5117</v>
      </c>
    </row>
    <row r="40777">
      <c r="H40777" t="s">
        <v>5117</v>
      </c>
    </row>
    <row r="40778">
      <c r="H40778" t="s">
        <v>5117</v>
      </c>
    </row>
    <row r="40779">
      <c r="H40779" t="s">
        <v>5117</v>
      </c>
    </row>
    <row r="40780">
      <c r="H40780" t="s">
        <v>5117</v>
      </c>
    </row>
    <row r="40781">
      <c r="H40781" t="s">
        <v>5117</v>
      </c>
    </row>
    <row r="40782">
      <c r="H40782" t="s">
        <v>5117</v>
      </c>
    </row>
    <row r="40783">
      <c r="H40783" t="s">
        <v>5117</v>
      </c>
    </row>
    <row r="40784">
      <c r="H40784" t="s">
        <v>5117</v>
      </c>
    </row>
    <row r="40785">
      <c r="H40785" t="s">
        <v>5117</v>
      </c>
    </row>
    <row r="40786">
      <c r="H40786" t="s">
        <v>5117</v>
      </c>
    </row>
    <row r="40787">
      <c r="H40787" t="s">
        <v>5117</v>
      </c>
    </row>
    <row r="40788">
      <c r="H40788" t="s">
        <v>5117</v>
      </c>
    </row>
    <row r="40789">
      <c r="H40789" t="s">
        <v>5117</v>
      </c>
    </row>
    <row r="40790">
      <c r="H40790" t="s">
        <v>5117</v>
      </c>
    </row>
    <row r="40791">
      <c r="H40791" t="s">
        <v>5117</v>
      </c>
    </row>
    <row r="40792">
      <c r="H40792" t="s">
        <v>5117</v>
      </c>
    </row>
    <row r="40793">
      <c r="H40793" t="s">
        <v>5117</v>
      </c>
    </row>
    <row r="40794">
      <c r="H40794" t="s">
        <v>5117</v>
      </c>
    </row>
    <row r="40795">
      <c r="H40795" t="s">
        <v>5117</v>
      </c>
    </row>
    <row r="40796">
      <c r="H40796" t="s">
        <v>5117</v>
      </c>
    </row>
    <row r="40797">
      <c r="H40797" t="s">
        <v>5117</v>
      </c>
    </row>
    <row r="40798">
      <c r="H40798" t="s">
        <v>5117</v>
      </c>
    </row>
    <row r="40799">
      <c r="H40799" t="s">
        <v>5117</v>
      </c>
    </row>
    <row r="40800">
      <c r="H40800" t="s">
        <v>5117</v>
      </c>
    </row>
    <row r="40801">
      <c r="H40801" t="s">
        <v>5117</v>
      </c>
    </row>
    <row r="40802">
      <c r="H40802" t="s">
        <v>5117</v>
      </c>
    </row>
    <row r="40803">
      <c r="H40803" t="s">
        <v>5117</v>
      </c>
    </row>
    <row r="40804">
      <c r="H40804" t="s">
        <v>5117</v>
      </c>
    </row>
    <row r="40805">
      <c r="H40805" t="s">
        <v>5117</v>
      </c>
    </row>
    <row r="40806">
      <c r="H40806" t="s">
        <v>5117</v>
      </c>
    </row>
    <row r="40807">
      <c r="H40807" t="s">
        <v>5117</v>
      </c>
    </row>
    <row r="40808">
      <c r="H40808" t="s">
        <v>5117</v>
      </c>
    </row>
    <row r="40809">
      <c r="H40809" t="s">
        <v>5117</v>
      </c>
    </row>
    <row r="40810">
      <c r="H40810" t="s">
        <v>5117</v>
      </c>
    </row>
    <row r="40811">
      <c r="H40811" t="s">
        <v>5117</v>
      </c>
    </row>
    <row r="40812">
      <c r="H40812" t="s">
        <v>5117</v>
      </c>
    </row>
    <row r="40813">
      <c r="H40813" t="s">
        <v>5117</v>
      </c>
    </row>
    <row r="40814">
      <c r="H40814" t="s">
        <v>5117</v>
      </c>
    </row>
    <row r="40815">
      <c r="H40815" t="s">
        <v>5117</v>
      </c>
    </row>
    <row r="40816">
      <c r="H40816" t="s">
        <v>5117</v>
      </c>
    </row>
    <row r="40817">
      <c r="H40817" t="s">
        <v>5117</v>
      </c>
    </row>
    <row r="40818">
      <c r="H40818" t="s">
        <v>5117</v>
      </c>
    </row>
    <row r="40819">
      <c r="H40819" t="s">
        <v>5117</v>
      </c>
    </row>
    <row r="40820">
      <c r="H40820" t="s">
        <v>5117</v>
      </c>
    </row>
    <row r="40821">
      <c r="H40821" t="s">
        <v>5117</v>
      </c>
    </row>
    <row r="40822">
      <c r="H40822" t="s">
        <v>5117</v>
      </c>
    </row>
    <row r="40823">
      <c r="H40823" t="s">
        <v>5117</v>
      </c>
    </row>
    <row r="40824">
      <c r="H40824" t="s">
        <v>5117</v>
      </c>
    </row>
    <row r="40825">
      <c r="H40825" t="s">
        <v>5117</v>
      </c>
    </row>
    <row r="40826">
      <c r="H40826" t="s">
        <v>5117</v>
      </c>
    </row>
    <row r="40827">
      <c r="H40827" t="s">
        <v>5117</v>
      </c>
    </row>
    <row r="40828">
      <c r="H40828" t="s">
        <v>5117</v>
      </c>
    </row>
    <row r="40829">
      <c r="H40829" t="s">
        <v>5117</v>
      </c>
    </row>
    <row r="40830">
      <c r="H40830" t="s">
        <v>5117</v>
      </c>
    </row>
    <row r="40831">
      <c r="H40831" t="s">
        <v>5117</v>
      </c>
    </row>
    <row r="40832">
      <c r="H40832" t="s">
        <v>5117</v>
      </c>
    </row>
    <row r="40833">
      <c r="H40833" t="s">
        <v>5117</v>
      </c>
    </row>
    <row r="40834">
      <c r="H40834" t="s">
        <v>5117</v>
      </c>
    </row>
    <row r="40835">
      <c r="H40835" t="s">
        <v>5117</v>
      </c>
    </row>
    <row r="40836">
      <c r="H40836" t="s">
        <v>5117</v>
      </c>
    </row>
    <row r="40837">
      <c r="H40837" t="s">
        <v>5117</v>
      </c>
    </row>
    <row r="40838">
      <c r="H40838" t="s">
        <v>5117</v>
      </c>
    </row>
    <row r="40839">
      <c r="H40839" t="s">
        <v>5117</v>
      </c>
    </row>
    <row r="40840">
      <c r="H40840" t="s">
        <v>5117</v>
      </c>
    </row>
    <row r="40841">
      <c r="H40841" t="s">
        <v>5117</v>
      </c>
    </row>
    <row r="40842">
      <c r="H40842" t="s">
        <v>5117</v>
      </c>
    </row>
    <row r="40843">
      <c r="H40843" t="s">
        <v>5117</v>
      </c>
    </row>
    <row r="40844">
      <c r="H40844" t="s">
        <v>5117</v>
      </c>
    </row>
    <row r="40845">
      <c r="H40845" t="s">
        <v>5117</v>
      </c>
    </row>
    <row r="40846">
      <c r="H40846" t="s">
        <v>5117</v>
      </c>
    </row>
    <row r="40847">
      <c r="H40847" t="s">
        <v>5117</v>
      </c>
    </row>
    <row r="40848">
      <c r="H40848" t="s">
        <v>5117</v>
      </c>
    </row>
    <row r="40849">
      <c r="H40849" t="s">
        <v>5117</v>
      </c>
    </row>
    <row r="40850">
      <c r="H40850" t="s">
        <v>5117</v>
      </c>
    </row>
    <row r="40851">
      <c r="H40851" t="s">
        <v>5117</v>
      </c>
    </row>
    <row r="40852">
      <c r="H40852" t="s">
        <v>5117</v>
      </c>
    </row>
    <row r="40853">
      <c r="H40853" t="s">
        <v>5117</v>
      </c>
    </row>
    <row r="40854">
      <c r="H40854" t="s">
        <v>5117</v>
      </c>
    </row>
    <row r="40855">
      <c r="H40855" t="s">
        <v>5117</v>
      </c>
    </row>
    <row r="40856">
      <c r="H40856" t="s">
        <v>5117</v>
      </c>
    </row>
    <row r="40857">
      <c r="H40857" t="s">
        <v>5117</v>
      </c>
    </row>
    <row r="40858">
      <c r="H40858" t="s">
        <v>5117</v>
      </c>
    </row>
    <row r="40859">
      <c r="H40859" t="s">
        <v>5117</v>
      </c>
    </row>
    <row r="40860">
      <c r="H40860" t="s">
        <v>5117</v>
      </c>
    </row>
    <row r="40861">
      <c r="H40861" t="s">
        <v>5117</v>
      </c>
    </row>
    <row r="40862">
      <c r="H40862" t="s">
        <v>5117</v>
      </c>
    </row>
    <row r="40863">
      <c r="H40863" t="s">
        <v>5117</v>
      </c>
    </row>
    <row r="40864">
      <c r="H40864" t="s">
        <v>5117</v>
      </c>
    </row>
    <row r="40865">
      <c r="H40865" t="s">
        <v>5117</v>
      </c>
    </row>
    <row r="40866">
      <c r="H40866" t="s">
        <v>5117</v>
      </c>
    </row>
    <row r="40867">
      <c r="H40867" t="s">
        <v>5117</v>
      </c>
    </row>
    <row r="40868">
      <c r="H40868" t="s">
        <v>5117</v>
      </c>
    </row>
    <row r="40869">
      <c r="H40869" t="s">
        <v>5117</v>
      </c>
    </row>
    <row r="40870">
      <c r="H40870" t="s">
        <v>5117</v>
      </c>
    </row>
    <row r="40871">
      <c r="H40871" t="s">
        <v>5117</v>
      </c>
    </row>
    <row r="40872">
      <c r="H40872" t="s">
        <v>5117</v>
      </c>
    </row>
    <row r="40873">
      <c r="H40873" t="s">
        <v>5117</v>
      </c>
    </row>
    <row r="40874">
      <c r="H40874" t="s">
        <v>5117</v>
      </c>
    </row>
    <row r="40875">
      <c r="H40875" t="s">
        <v>5117</v>
      </c>
    </row>
    <row r="40876">
      <c r="H40876" t="s">
        <v>5117</v>
      </c>
    </row>
    <row r="40877">
      <c r="H40877" t="s">
        <v>5117</v>
      </c>
    </row>
    <row r="40878">
      <c r="H40878" t="s">
        <v>5117</v>
      </c>
    </row>
    <row r="40879">
      <c r="H40879" t="s">
        <v>5117</v>
      </c>
    </row>
    <row r="40880">
      <c r="H40880" t="s">
        <v>5117</v>
      </c>
    </row>
    <row r="40881">
      <c r="H40881" t="s">
        <v>5117</v>
      </c>
    </row>
    <row r="40882">
      <c r="H40882" t="s">
        <v>5117</v>
      </c>
    </row>
    <row r="40883">
      <c r="H40883" t="s">
        <v>5117</v>
      </c>
    </row>
    <row r="40884">
      <c r="H40884" t="s">
        <v>5117</v>
      </c>
    </row>
    <row r="40885">
      <c r="H40885" t="s">
        <v>5117</v>
      </c>
    </row>
    <row r="40886">
      <c r="H40886" t="s">
        <v>5117</v>
      </c>
    </row>
    <row r="40887">
      <c r="H40887" t="s">
        <v>5117</v>
      </c>
    </row>
    <row r="40888">
      <c r="H40888" t="s">
        <v>5117</v>
      </c>
    </row>
    <row r="40889">
      <c r="H40889" t="s">
        <v>5117</v>
      </c>
    </row>
    <row r="40890">
      <c r="H40890" t="s">
        <v>5117</v>
      </c>
    </row>
    <row r="40891">
      <c r="H40891" t="s">
        <v>5117</v>
      </c>
    </row>
    <row r="40892">
      <c r="H40892" t="s">
        <v>5117</v>
      </c>
    </row>
    <row r="40893">
      <c r="H40893" t="s">
        <v>5117</v>
      </c>
    </row>
    <row r="40894">
      <c r="H40894" t="s">
        <v>5117</v>
      </c>
    </row>
    <row r="40895">
      <c r="H40895" t="s">
        <v>5117</v>
      </c>
    </row>
    <row r="40896">
      <c r="H40896" t="s">
        <v>5117</v>
      </c>
    </row>
    <row r="40897">
      <c r="H40897" t="s">
        <v>5117</v>
      </c>
    </row>
    <row r="40898">
      <c r="H40898" t="s">
        <v>5117</v>
      </c>
    </row>
    <row r="40899">
      <c r="H40899" t="s">
        <v>5117</v>
      </c>
    </row>
    <row r="40900">
      <c r="H40900" t="s">
        <v>5117</v>
      </c>
    </row>
    <row r="40901">
      <c r="H40901" t="s">
        <v>5117</v>
      </c>
    </row>
    <row r="40902">
      <c r="H40902" t="s">
        <v>5117</v>
      </c>
    </row>
    <row r="40903">
      <c r="H40903" t="s">
        <v>5117</v>
      </c>
    </row>
    <row r="40904">
      <c r="H40904" t="s">
        <v>5117</v>
      </c>
    </row>
    <row r="40905">
      <c r="H40905" t="s">
        <v>5117</v>
      </c>
    </row>
    <row r="40906">
      <c r="H40906" t="s">
        <v>5117</v>
      </c>
    </row>
    <row r="40907">
      <c r="H40907" t="s">
        <v>5117</v>
      </c>
    </row>
    <row r="40908">
      <c r="H40908" t="s">
        <v>5117</v>
      </c>
    </row>
    <row r="40909">
      <c r="H40909" t="s">
        <v>5117</v>
      </c>
    </row>
    <row r="40910">
      <c r="H40910" t="s">
        <v>5117</v>
      </c>
    </row>
    <row r="40911">
      <c r="H40911" t="s">
        <v>5117</v>
      </c>
    </row>
    <row r="40912">
      <c r="H40912" t="s">
        <v>5117</v>
      </c>
    </row>
    <row r="40913">
      <c r="H40913" t="s">
        <v>5117</v>
      </c>
    </row>
    <row r="40914">
      <c r="H40914" t="s">
        <v>5117</v>
      </c>
    </row>
    <row r="40915">
      <c r="H40915" t="s">
        <v>5117</v>
      </c>
    </row>
    <row r="40916">
      <c r="H40916" t="s">
        <v>5117</v>
      </c>
    </row>
    <row r="40917">
      <c r="H40917" t="s">
        <v>5117</v>
      </c>
    </row>
    <row r="40918">
      <c r="H40918" t="s">
        <v>5117</v>
      </c>
    </row>
    <row r="40919">
      <c r="H40919" t="s">
        <v>5117</v>
      </c>
    </row>
    <row r="40920">
      <c r="H40920" t="s">
        <v>5117</v>
      </c>
    </row>
    <row r="40921">
      <c r="H40921" t="s">
        <v>5117</v>
      </c>
    </row>
    <row r="40922">
      <c r="H40922" t="s">
        <v>5117</v>
      </c>
    </row>
    <row r="40923">
      <c r="H40923" t="s">
        <v>5117</v>
      </c>
    </row>
    <row r="40924">
      <c r="H40924" t="s">
        <v>5117</v>
      </c>
    </row>
    <row r="40925">
      <c r="H40925" t="s">
        <v>5117</v>
      </c>
    </row>
    <row r="40926">
      <c r="H40926" t="s">
        <v>5117</v>
      </c>
    </row>
    <row r="40927">
      <c r="H40927" t="s">
        <v>5117</v>
      </c>
    </row>
    <row r="40928">
      <c r="H40928" t="s">
        <v>5117</v>
      </c>
    </row>
    <row r="40929">
      <c r="H40929" t="s">
        <v>5117</v>
      </c>
    </row>
    <row r="40930">
      <c r="H40930" t="s">
        <v>5117</v>
      </c>
    </row>
    <row r="40931">
      <c r="H40931" t="s">
        <v>5117</v>
      </c>
    </row>
    <row r="40932">
      <c r="H40932" t="s">
        <v>5117</v>
      </c>
    </row>
    <row r="40933">
      <c r="H40933" t="s">
        <v>5117</v>
      </c>
    </row>
    <row r="40934">
      <c r="H40934" t="s">
        <v>5117</v>
      </c>
    </row>
    <row r="40935">
      <c r="H40935" t="s">
        <v>5117</v>
      </c>
    </row>
    <row r="40936">
      <c r="H40936" t="s">
        <v>5117</v>
      </c>
    </row>
    <row r="40937">
      <c r="H40937" t="s">
        <v>5117</v>
      </c>
    </row>
    <row r="40938">
      <c r="H40938" t="s">
        <v>5117</v>
      </c>
    </row>
    <row r="40939">
      <c r="H40939" t="s">
        <v>5117</v>
      </c>
    </row>
    <row r="40940">
      <c r="H40940" t="s">
        <v>5117</v>
      </c>
    </row>
    <row r="40941">
      <c r="H40941" t="s">
        <v>5117</v>
      </c>
    </row>
    <row r="40942">
      <c r="H40942" t="s">
        <v>5117</v>
      </c>
    </row>
    <row r="40943">
      <c r="H40943" t="s">
        <v>5117</v>
      </c>
    </row>
    <row r="40944">
      <c r="H40944" t="s">
        <v>5117</v>
      </c>
    </row>
    <row r="40945">
      <c r="H40945" t="s">
        <v>5117</v>
      </c>
    </row>
    <row r="40946">
      <c r="H40946" t="s">
        <v>5117</v>
      </c>
    </row>
    <row r="40947">
      <c r="H40947" t="s">
        <v>5117</v>
      </c>
    </row>
    <row r="40948">
      <c r="H40948" t="s">
        <v>5117</v>
      </c>
    </row>
    <row r="40949">
      <c r="H40949" t="s">
        <v>5117</v>
      </c>
    </row>
    <row r="40950">
      <c r="H40950" t="s">
        <v>5117</v>
      </c>
    </row>
    <row r="40951">
      <c r="H40951" t="s">
        <v>5117</v>
      </c>
    </row>
    <row r="40952">
      <c r="H40952" t="s">
        <v>5117</v>
      </c>
    </row>
    <row r="40953">
      <c r="H40953" t="s">
        <v>5117</v>
      </c>
    </row>
    <row r="40954">
      <c r="H40954" t="s">
        <v>5117</v>
      </c>
    </row>
    <row r="40955">
      <c r="H40955" t="s">
        <v>5117</v>
      </c>
    </row>
    <row r="40956">
      <c r="H40956" t="s">
        <v>5117</v>
      </c>
    </row>
    <row r="40957">
      <c r="H40957" t="s">
        <v>5117</v>
      </c>
    </row>
    <row r="40958">
      <c r="H40958" t="s">
        <v>5117</v>
      </c>
    </row>
    <row r="40959">
      <c r="H40959" t="s">
        <v>5117</v>
      </c>
    </row>
    <row r="40960">
      <c r="H40960" t="s">
        <v>5117</v>
      </c>
    </row>
    <row r="40961">
      <c r="H40961" t="s">
        <v>5117</v>
      </c>
    </row>
    <row r="40962">
      <c r="H40962" t="s">
        <v>5117</v>
      </c>
    </row>
    <row r="40963">
      <c r="H40963" t="s">
        <v>5117</v>
      </c>
    </row>
    <row r="40964">
      <c r="H40964" t="s">
        <v>5117</v>
      </c>
    </row>
    <row r="40965">
      <c r="H40965" t="s">
        <v>5117</v>
      </c>
    </row>
    <row r="40966">
      <c r="H40966" t="s">
        <v>5117</v>
      </c>
    </row>
    <row r="40967">
      <c r="H40967" t="s">
        <v>5117</v>
      </c>
    </row>
    <row r="40968">
      <c r="H40968" t="s">
        <v>5117</v>
      </c>
    </row>
    <row r="40969">
      <c r="H40969" t="s">
        <v>5117</v>
      </c>
    </row>
    <row r="40970">
      <c r="H40970" t="s">
        <v>5117</v>
      </c>
    </row>
    <row r="40971">
      <c r="H40971" t="s">
        <v>5117</v>
      </c>
    </row>
    <row r="40972">
      <c r="H40972" t="s">
        <v>5117</v>
      </c>
    </row>
    <row r="40973">
      <c r="H40973" t="s">
        <v>5117</v>
      </c>
    </row>
    <row r="40974">
      <c r="H40974" t="s">
        <v>5117</v>
      </c>
    </row>
    <row r="40975">
      <c r="H40975" t="s">
        <v>5117</v>
      </c>
    </row>
    <row r="40976">
      <c r="H40976" t="s">
        <v>5117</v>
      </c>
    </row>
    <row r="40977">
      <c r="H40977" t="s">
        <v>5117</v>
      </c>
    </row>
    <row r="40978">
      <c r="H40978" t="s">
        <v>5117</v>
      </c>
    </row>
    <row r="40979">
      <c r="H40979" t="s">
        <v>5117</v>
      </c>
    </row>
    <row r="40980">
      <c r="H40980" t="s">
        <v>5117</v>
      </c>
    </row>
    <row r="40981">
      <c r="H40981" t="s">
        <v>5117</v>
      </c>
    </row>
    <row r="40982">
      <c r="H40982" t="s">
        <v>5117</v>
      </c>
    </row>
    <row r="40983">
      <c r="H40983" t="s">
        <v>5117</v>
      </c>
    </row>
    <row r="40984">
      <c r="H40984" t="s">
        <v>5117</v>
      </c>
    </row>
    <row r="40985">
      <c r="H40985" t="s">
        <v>5117</v>
      </c>
    </row>
    <row r="40986">
      <c r="H40986" t="s">
        <v>5117</v>
      </c>
    </row>
    <row r="40987">
      <c r="H40987" t="s">
        <v>5117</v>
      </c>
    </row>
    <row r="40988">
      <c r="H40988" t="s">
        <v>5117</v>
      </c>
    </row>
    <row r="40989">
      <c r="H40989" t="s">
        <v>5117</v>
      </c>
    </row>
    <row r="40990">
      <c r="H40990" t="s">
        <v>5117</v>
      </c>
    </row>
    <row r="40991">
      <c r="H40991" t="s">
        <v>5117</v>
      </c>
    </row>
    <row r="40992">
      <c r="H40992" t="s">
        <v>5117</v>
      </c>
    </row>
    <row r="40993">
      <c r="H40993" t="s">
        <v>5117</v>
      </c>
    </row>
    <row r="40994">
      <c r="H40994" t="s">
        <v>5117</v>
      </c>
    </row>
    <row r="40995">
      <c r="H40995" t="s">
        <v>5117</v>
      </c>
    </row>
    <row r="40996">
      <c r="H40996" t="s">
        <v>5117</v>
      </c>
    </row>
    <row r="40997">
      <c r="H40997" t="s">
        <v>5117</v>
      </c>
    </row>
    <row r="40998">
      <c r="H40998" t="s">
        <v>5117</v>
      </c>
    </row>
    <row r="40999">
      <c r="H40999" t="s">
        <v>5117</v>
      </c>
    </row>
    <row r="41000">
      <c r="H41000" t="s">
        <v>5117</v>
      </c>
    </row>
    <row r="41001">
      <c r="H41001" t="s">
        <v>5117</v>
      </c>
    </row>
    <row r="41002">
      <c r="H41002" t="s">
        <v>5117</v>
      </c>
    </row>
    <row r="41003">
      <c r="H41003" t="s">
        <v>5117</v>
      </c>
    </row>
    <row r="41004">
      <c r="H41004" t="s">
        <v>5117</v>
      </c>
    </row>
    <row r="41005">
      <c r="H41005" t="s">
        <v>5117</v>
      </c>
    </row>
    <row r="41006">
      <c r="H41006" t="s">
        <v>5117</v>
      </c>
    </row>
    <row r="41007">
      <c r="H41007" t="s">
        <v>5117</v>
      </c>
    </row>
    <row r="41008">
      <c r="H41008" t="s">
        <v>5117</v>
      </c>
    </row>
    <row r="41009">
      <c r="H41009" t="s">
        <v>5117</v>
      </c>
    </row>
    <row r="41010">
      <c r="H41010" t="s">
        <v>5117</v>
      </c>
    </row>
    <row r="41011">
      <c r="H41011" t="s">
        <v>5117</v>
      </c>
    </row>
    <row r="41012">
      <c r="H41012" t="s">
        <v>5117</v>
      </c>
    </row>
    <row r="41013">
      <c r="H41013" t="s">
        <v>5117</v>
      </c>
    </row>
    <row r="41014">
      <c r="H41014" t="s">
        <v>5117</v>
      </c>
    </row>
    <row r="41015">
      <c r="H41015" t="s">
        <v>5117</v>
      </c>
    </row>
    <row r="41016">
      <c r="H41016" t="s">
        <v>5117</v>
      </c>
    </row>
    <row r="41017">
      <c r="H41017" t="s">
        <v>5117</v>
      </c>
    </row>
    <row r="41018">
      <c r="H41018" t="s">
        <v>5117</v>
      </c>
    </row>
    <row r="41019">
      <c r="H41019" t="s">
        <v>5117</v>
      </c>
    </row>
    <row r="41020">
      <c r="H41020" t="s">
        <v>5117</v>
      </c>
    </row>
    <row r="41021">
      <c r="H41021" t="s">
        <v>5117</v>
      </c>
    </row>
    <row r="41022">
      <c r="H41022" t="s">
        <v>5117</v>
      </c>
    </row>
    <row r="41023">
      <c r="H41023" t="s">
        <v>5117</v>
      </c>
    </row>
    <row r="41024">
      <c r="H41024" t="s">
        <v>5117</v>
      </c>
    </row>
    <row r="41025">
      <c r="H41025" t="s">
        <v>5117</v>
      </c>
    </row>
    <row r="41026">
      <c r="H41026" t="s">
        <v>5117</v>
      </c>
    </row>
    <row r="41027">
      <c r="H41027" t="s">
        <v>5117</v>
      </c>
    </row>
    <row r="41028">
      <c r="H41028" t="s">
        <v>5117</v>
      </c>
    </row>
    <row r="41029">
      <c r="H41029" t="s">
        <v>5117</v>
      </c>
    </row>
    <row r="41030">
      <c r="H41030" t="s">
        <v>5117</v>
      </c>
    </row>
    <row r="41031">
      <c r="H41031" t="s">
        <v>5117</v>
      </c>
    </row>
    <row r="41032">
      <c r="H41032" t="s">
        <v>5117</v>
      </c>
    </row>
    <row r="41033">
      <c r="H41033" t="s">
        <v>5117</v>
      </c>
    </row>
    <row r="41034">
      <c r="H41034" t="s">
        <v>5117</v>
      </c>
    </row>
    <row r="41035">
      <c r="H41035" t="s">
        <v>5117</v>
      </c>
    </row>
    <row r="41036">
      <c r="H41036" t="s">
        <v>5117</v>
      </c>
    </row>
    <row r="41037">
      <c r="H41037" t="s">
        <v>5117</v>
      </c>
    </row>
    <row r="41038">
      <c r="H41038" t="s">
        <v>5117</v>
      </c>
    </row>
    <row r="41039">
      <c r="H41039" t="s">
        <v>5117</v>
      </c>
    </row>
    <row r="41040">
      <c r="H41040" t="s">
        <v>5117</v>
      </c>
    </row>
    <row r="41041">
      <c r="H41041" t="s">
        <v>5117</v>
      </c>
    </row>
    <row r="41042">
      <c r="H41042" t="s">
        <v>5117</v>
      </c>
    </row>
    <row r="41043">
      <c r="H41043" t="s">
        <v>5117</v>
      </c>
    </row>
    <row r="41044">
      <c r="H41044" t="s">
        <v>5117</v>
      </c>
    </row>
    <row r="41045">
      <c r="H41045" t="s">
        <v>5117</v>
      </c>
    </row>
    <row r="41046">
      <c r="H41046" t="s">
        <v>5117</v>
      </c>
    </row>
    <row r="41047">
      <c r="H41047" t="s">
        <v>5117</v>
      </c>
    </row>
    <row r="41048">
      <c r="H41048" t="s">
        <v>5117</v>
      </c>
    </row>
    <row r="41049">
      <c r="H41049" t="s">
        <v>5117</v>
      </c>
    </row>
    <row r="41050">
      <c r="H41050" t="s">
        <v>5117</v>
      </c>
    </row>
    <row r="41051">
      <c r="H41051" t="s">
        <v>5117</v>
      </c>
    </row>
    <row r="41052">
      <c r="H41052" t="s">
        <v>5117</v>
      </c>
    </row>
    <row r="41053">
      <c r="H41053" t="s">
        <v>5117</v>
      </c>
    </row>
    <row r="41054">
      <c r="H41054" t="s">
        <v>5117</v>
      </c>
    </row>
    <row r="41055">
      <c r="H41055" t="s">
        <v>5117</v>
      </c>
    </row>
    <row r="41056">
      <c r="H41056" t="s">
        <v>5117</v>
      </c>
    </row>
    <row r="41057">
      <c r="H41057" t="s">
        <v>5117</v>
      </c>
    </row>
    <row r="41058">
      <c r="H41058" t="s">
        <v>5117</v>
      </c>
    </row>
    <row r="41059">
      <c r="H41059" t="s">
        <v>5117</v>
      </c>
    </row>
    <row r="41060">
      <c r="H41060" t="s">
        <v>5117</v>
      </c>
    </row>
    <row r="41061">
      <c r="H41061" t="s">
        <v>5117</v>
      </c>
    </row>
    <row r="41062">
      <c r="H41062" t="s">
        <v>5117</v>
      </c>
    </row>
    <row r="41063">
      <c r="H41063" t="s">
        <v>5117</v>
      </c>
    </row>
    <row r="41064">
      <c r="H41064" t="s">
        <v>5117</v>
      </c>
    </row>
    <row r="41065">
      <c r="H41065" t="s">
        <v>5117</v>
      </c>
    </row>
    <row r="41066">
      <c r="H41066" t="s">
        <v>5117</v>
      </c>
    </row>
    <row r="41067">
      <c r="H41067" t="s">
        <v>5117</v>
      </c>
    </row>
    <row r="41068">
      <c r="H41068" t="s">
        <v>5117</v>
      </c>
    </row>
    <row r="41069">
      <c r="H41069" t="s">
        <v>5117</v>
      </c>
    </row>
    <row r="41070">
      <c r="H41070" t="s">
        <v>5117</v>
      </c>
    </row>
    <row r="41071">
      <c r="H41071" t="s">
        <v>5117</v>
      </c>
    </row>
    <row r="41072">
      <c r="H41072" t="s">
        <v>5117</v>
      </c>
    </row>
    <row r="41073">
      <c r="H41073" t="s">
        <v>5117</v>
      </c>
    </row>
    <row r="41074">
      <c r="H41074" t="s">
        <v>5117</v>
      </c>
    </row>
    <row r="41075">
      <c r="H41075" t="s">
        <v>5117</v>
      </c>
    </row>
    <row r="41076">
      <c r="H41076" t="s">
        <v>5117</v>
      </c>
    </row>
    <row r="41077">
      <c r="H41077" t="s">
        <v>5117</v>
      </c>
    </row>
    <row r="41078">
      <c r="H41078" t="s">
        <v>5117</v>
      </c>
    </row>
    <row r="41079">
      <c r="H41079" t="s">
        <v>5117</v>
      </c>
    </row>
    <row r="41080">
      <c r="H41080" t="s">
        <v>5117</v>
      </c>
    </row>
    <row r="41081">
      <c r="H41081" t="s">
        <v>5117</v>
      </c>
    </row>
    <row r="41082">
      <c r="H41082" t="s">
        <v>5117</v>
      </c>
    </row>
    <row r="41083">
      <c r="H41083" t="s">
        <v>5117</v>
      </c>
    </row>
    <row r="41084">
      <c r="H41084" t="s">
        <v>5117</v>
      </c>
    </row>
    <row r="41085">
      <c r="H41085" t="s">
        <v>5117</v>
      </c>
    </row>
    <row r="41086">
      <c r="H41086" t="s">
        <v>5117</v>
      </c>
    </row>
    <row r="41087">
      <c r="H41087" t="s">
        <v>5117</v>
      </c>
    </row>
    <row r="41088">
      <c r="H41088" t="s">
        <v>5117</v>
      </c>
    </row>
    <row r="41089">
      <c r="H41089" t="s">
        <v>5117</v>
      </c>
    </row>
    <row r="41090">
      <c r="H41090" t="s">
        <v>5117</v>
      </c>
    </row>
    <row r="41091">
      <c r="H41091" t="s">
        <v>5117</v>
      </c>
    </row>
    <row r="41092">
      <c r="H41092" t="s">
        <v>5117</v>
      </c>
    </row>
    <row r="41093">
      <c r="H41093" t="s">
        <v>5117</v>
      </c>
    </row>
    <row r="41094">
      <c r="H41094" t="s">
        <v>5117</v>
      </c>
    </row>
    <row r="41095">
      <c r="H41095" t="s">
        <v>5117</v>
      </c>
    </row>
    <row r="41096">
      <c r="H41096" t="s">
        <v>5117</v>
      </c>
    </row>
    <row r="41097">
      <c r="H41097" t="s">
        <v>5117</v>
      </c>
    </row>
    <row r="41098">
      <c r="H41098" t="s">
        <v>5117</v>
      </c>
    </row>
    <row r="41099">
      <c r="H41099" t="s">
        <v>5117</v>
      </c>
    </row>
    <row r="41100">
      <c r="H41100" t="s">
        <v>5117</v>
      </c>
    </row>
    <row r="41101">
      <c r="H41101" t="s">
        <v>5117</v>
      </c>
    </row>
    <row r="41102">
      <c r="H41102" t="s">
        <v>5117</v>
      </c>
    </row>
    <row r="41103">
      <c r="H41103" t="s">
        <v>5117</v>
      </c>
    </row>
    <row r="41104">
      <c r="H41104" t="s">
        <v>5117</v>
      </c>
    </row>
    <row r="41105">
      <c r="H41105" t="s">
        <v>5117</v>
      </c>
    </row>
    <row r="41106">
      <c r="H41106" t="s">
        <v>5117</v>
      </c>
    </row>
    <row r="41107">
      <c r="H41107" t="s">
        <v>5117</v>
      </c>
    </row>
    <row r="41108">
      <c r="H41108" t="s">
        <v>5117</v>
      </c>
    </row>
    <row r="41109">
      <c r="H41109" t="s">
        <v>5117</v>
      </c>
    </row>
    <row r="41110">
      <c r="H41110" t="s">
        <v>5117</v>
      </c>
    </row>
    <row r="41111">
      <c r="H41111" t="s">
        <v>5117</v>
      </c>
    </row>
    <row r="41112">
      <c r="H41112" t="s">
        <v>5117</v>
      </c>
    </row>
    <row r="41113">
      <c r="H41113" t="s">
        <v>5117</v>
      </c>
    </row>
    <row r="41114">
      <c r="H41114" t="s">
        <v>5117</v>
      </c>
    </row>
    <row r="41115">
      <c r="H41115" t="s">
        <v>5117</v>
      </c>
    </row>
    <row r="41116">
      <c r="H41116" t="s">
        <v>5117</v>
      </c>
    </row>
    <row r="41117">
      <c r="H41117" t="s">
        <v>5117</v>
      </c>
    </row>
    <row r="41118">
      <c r="H41118" t="s">
        <v>5117</v>
      </c>
    </row>
    <row r="41119">
      <c r="H41119" t="s">
        <v>5117</v>
      </c>
    </row>
    <row r="41120">
      <c r="H41120" t="s">
        <v>5117</v>
      </c>
    </row>
    <row r="41121">
      <c r="H41121" t="s">
        <v>5117</v>
      </c>
    </row>
    <row r="41122">
      <c r="H41122" t="s">
        <v>5117</v>
      </c>
    </row>
    <row r="41123">
      <c r="H41123" t="s">
        <v>5117</v>
      </c>
    </row>
    <row r="41124">
      <c r="H41124" t="s">
        <v>5117</v>
      </c>
    </row>
    <row r="41125">
      <c r="H41125" t="s">
        <v>5117</v>
      </c>
    </row>
    <row r="41126">
      <c r="H41126" t="s">
        <v>5117</v>
      </c>
    </row>
    <row r="41127">
      <c r="H41127" t="s">
        <v>5117</v>
      </c>
    </row>
    <row r="41128">
      <c r="H41128" t="s">
        <v>5117</v>
      </c>
    </row>
    <row r="41129">
      <c r="H41129" t="s">
        <v>5117</v>
      </c>
    </row>
    <row r="41130">
      <c r="H41130" t="s">
        <v>5117</v>
      </c>
    </row>
    <row r="41131">
      <c r="H41131" t="s">
        <v>5117</v>
      </c>
    </row>
    <row r="41132">
      <c r="H41132" t="s">
        <v>5117</v>
      </c>
    </row>
    <row r="41133">
      <c r="H41133" t="s">
        <v>5117</v>
      </c>
    </row>
    <row r="41134">
      <c r="H41134" t="s">
        <v>5117</v>
      </c>
    </row>
    <row r="41135">
      <c r="H41135" t="s">
        <v>5117</v>
      </c>
    </row>
    <row r="41136">
      <c r="H41136" t="s">
        <v>5117</v>
      </c>
    </row>
    <row r="41137">
      <c r="H41137" t="s">
        <v>5117</v>
      </c>
    </row>
    <row r="41138">
      <c r="H41138" t="s">
        <v>5117</v>
      </c>
    </row>
    <row r="41139">
      <c r="H41139" t="s">
        <v>5117</v>
      </c>
    </row>
    <row r="41140">
      <c r="H41140" t="s">
        <v>5117</v>
      </c>
    </row>
    <row r="41141">
      <c r="H41141" t="s">
        <v>5117</v>
      </c>
    </row>
    <row r="41142">
      <c r="H41142" t="s">
        <v>5117</v>
      </c>
    </row>
    <row r="41143">
      <c r="H41143" t="s">
        <v>5117</v>
      </c>
    </row>
    <row r="41144">
      <c r="H41144" t="s">
        <v>5117</v>
      </c>
    </row>
    <row r="41145">
      <c r="H41145" t="s">
        <v>5117</v>
      </c>
    </row>
    <row r="41146">
      <c r="H41146" t="s">
        <v>5117</v>
      </c>
    </row>
    <row r="41147">
      <c r="H41147" t="s">
        <v>5117</v>
      </c>
    </row>
    <row r="41148">
      <c r="H41148" t="s">
        <v>5117</v>
      </c>
    </row>
    <row r="41149">
      <c r="H41149" t="s">
        <v>5117</v>
      </c>
    </row>
    <row r="41150">
      <c r="H41150" t="s">
        <v>5117</v>
      </c>
    </row>
    <row r="41151">
      <c r="H41151" t="s">
        <v>5117</v>
      </c>
    </row>
    <row r="41152">
      <c r="H41152" t="s">
        <v>5117</v>
      </c>
    </row>
    <row r="41153">
      <c r="H41153" t="s">
        <v>5117</v>
      </c>
    </row>
    <row r="41154">
      <c r="H41154" t="s">
        <v>5117</v>
      </c>
    </row>
    <row r="41155">
      <c r="H41155" t="s">
        <v>5117</v>
      </c>
    </row>
    <row r="41156">
      <c r="H41156" t="s">
        <v>5117</v>
      </c>
    </row>
    <row r="41157">
      <c r="H41157" t="s">
        <v>5117</v>
      </c>
    </row>
    <row r="41158">
      <c r="H41158" t="s">
        <v>5117</v>
      </c>
    </row>
    <row r="41159">
      <c r="H41159" t="s">
        <v>5117</v>
      </c>
    </row>
    <row r="41160">
      <c r="H41160" t="s">
        <v>5117</v>
      </c>
    </row>
    <row r="41161">
      <c r="H41161" t="s">
        <v>5117</v>
      </c>
    </row>
    <row r="41162">
      <c r="H41162" t="s">
        <v>5117</v>
      </c>
    </row>
    <row r="41163">
      <c r="H41163" t="s">
        <v>5117</v>
      </c>
    </row>
    <row r="41164">
      <c r="H41164" t="s">
        <v>5117</v>
      </c>
    </row>
    <row r="41165">
      <c r="H41165" t="s">
        <v>5117</v>
      </c>
    </row>
    <row r="41166">
      <c r="H41166" t="s">
        <v>5117</v>
      </c>
    </row>
    <row r="41167">
      <c r="H41167" t="s">
        <v>5117</v>
      </c>
    </row>
    <row r="41168">
      <c r="H41168" t="s">
        <v>5117</v>
      </c>
    </row>
    <row r="41169">
      <c r="H41169" t="s">
        <v>5117</v>
      </c>
    </row>
    <row r="41170">
      <c r="H41170" t="s">
        <v>5117</v>
      </c>
    </row>
    <row r="41171">
      <c r="H41171" t="s">
        <v>5117</v>
      </c>
    </row>
    <row r="41172">
      <c r="H41172" t="s">
        <v>5117</v>
      </c>
    </row>
    <row r="41173">
      <c r="H41173" t="s">
        <v>5117</v>
      </c>
    </row>
    <row r="41174">
      <c r="H41174" t="s">
        <v>5117</v>
      </c>
    </row>
    <row r="41175">
      <c r="H41175" t="s">
        <v>5117</v>
      </c>
    </row>
    <row r="41176">
      <c r="H41176" t="s">
        <v>5117</v>
      </c>
    </row>
    <row r="41177">
      <c r="H41177" t="s">
        <v>5117</v>
      </c>
    </row>
    <row r="41178">
      <c r="H41178" t="s">
        <v>5117</v>
      </c>
    </row>
    <row r="41179">
      <c r="H41179" t="s">
        <v>5117</v>
      </c>
    </row>
    <row r="41180">
      <c r="H41180" t="s">
        <v>5117</v>
      </c>
    </row>
    <row r="41181">
      <c r="H41181" t="s">
        <v>5117</v>
      </c>
    </row>
    <row r="41182">
      <c r="H41182" t="s">
        <v>5117</v>
      </c>
    </row>
    <row r="41183">
      <c r="H41183" t="s">
        <v>5117</v>
      </c>
    </row>
    <row r="41184">
      <c r="H41184" t="s">
        <v>5117</v>
      </c>
    </row>
    <row r="41185">
      <c r="H41185" t="s">
        <v>5117</v>
      </c>
    </row>
    <row r="41186">
      <c r="H41186" t="s">
        <v>5117</v>
      </c>
    </row>
    <row r="41187">
      <c r="H41187" t="s">
        <v>5117</v>
      </c>
    </row>
    <row r="41188">
      <c r="H41188" t="s">
        <v>5117</v>
      </c>
    </row>
    <row r="41189">
      <c r="H41189" t="s">
        <v>5117</v>
      </c>
    </row>
    <row r="41190">
      <c r="H41190" t="s">
        <v>5117</v>
      </c>
    </row>
    <row r="41191">
      <c r="H41191" t="s">
        <v>5117</v>
      </c>
    </row>
    <row r="41192">
      <c r="H41192" t="s">
        <v>5117</v>
      </c>
    </row>
    <row r="41193">
      <c r="H41193" t="s">
        <v>5117</v>
      </c>
    </row>
    <row r="41194">
      <c r="H41194" t="s">
        <v>5117</v>
      </c>
    </row>
    <row r="41195">
      <c r="H41195" t="s">
        <v>5117</v>
      </c>
    </row>
    <row r="41196">
      <c r="H41196" t="s">
        <v>5117</v>
      </c>
    </row>
    <row r="41197">
      <c r="H41197" t="s">
        <v>5117</v>
      </c>
    </row>
    <row r="41198">
      <c r="H41198" t="s">
        <v>5117</v>
      </c>
    </row>
    <row r="41199">
      <c r="H41199" t="s">
        <v>5117</v>
      </c>
    </row>
    <row r="41200">
      <c r="H41200" t="s">
        <v>5117</v>
      </c>
    </row>
    <row r="41201">
      <c r="H41201" t="s">
        <v>5117</v>
      </c>
    </row>
    <row r="41202">
      <c r="H41202" t="s">
        <v>5117</v>
      </c>
    </row>
    <row r="41203">
      <c r="H41203" t="s">
        <v>5117</v>
      </c>
    </row>
    <row r="41204">
      <c r="H41204" t="s">
        <v>5117</v>
      </c>
    </row>
    <row r="41205">
      <c r="H41205" t="s">
        <v>5117</v>
      </c>
    </row>
    <row r="41206">
      <c r="H41206" t="s">
        <v>5117</v>
      </c>
    </row>
    <row r="41207">
      <c r="H41207" t="s">
        <v>5117</v>
      </c>
    </row>
    <row r="41208">
      <c r="H41208" t="s">
        <v>5117</v>
      </c>
    </row>
    <row r="41209">
      <c r="H41209" t="s">
        <v>5117</v>
      </c>
    </row>
    <row r="41210">
      <c r="H41210" t="s">
        <v>5117</v>
      </c>
    </row>
    <row r="41211">
      <c r="H41211" t="s">
        <v>5117</v>
      </c>
    </row>
    <row r="41212">
      <c r="H41212" t="s">
        <v>5117</v>
      </c>
    </row>
    <row r="41213">
      <c r="H41213" t="s">
        <v>5117</v>
      </c>
    </row>
    <row r="41214">
      <c r="H41214" t="s">
        <v>5117</v>
      </c>
    </row>
    <row r="41215">
      <c r="H41215" t="s">
        <v>5117</v>
      </c>
    </row>
    <row r="41216">
      <c r="H41216" t="s">
        <v>5117</v>
      </c>
    </row>
    <row r="41217">
      <c r="H41217" t="s">
        <v>5117</v>
      </c>
    </row>
    <row r="41218">
      <c r="H41218" t="s">
        <v>5117</v>
      </c>
    </row>
    <row r="41219">
      <c r="H41219" t="s">
        <v>5117</v>
      </c>
    </row>
    <row r="41220">
      <c r="H41220" t="s">
        <v>5117</v>
      </c>
    </row>
    <row r="41221">
      <c r="H41221" t="s">
        <v>5117</v>
      </c>
    </row>
    <row r="41222">
      <c r="H41222" t="s">
        <v>5117</v>
      </c>
    </row>
    <row r="41223">
      <c r="H41223" t="s">
        <v>5117</v>
      </c>
    </row>
    <row r="41224">
      <c r="H41224" t="s">
        <v>5117</v>
      </c>
    </row>
    <row r="41225">
      <c r="H41225" t="s">
        <v>5117</v>
      </c>
    </row>
    <row r="41226">
      <c r="H41226" t="s">
        <v>5117</v>
      </c>
    </row>
    <row r="41227">
      <c r="H41227" t="s">
        <v>5117</v>
      </c>
    </row>
    <row r="41228">
      <c r="H41228" t="s">
        <v>5117</v>
      </c>
    </row>
    <row r="41229">
      <c r="H41229" t="s">
        <v>5117</v>
      </c>
    </row>
    <row r="41230">
      <c r="H41230" t="s">
        <v>5117</v>
      </c>
    </row>
    <row r="41231">
      <c r="H41231" t="s">
        <v>5117</v>
      </c>
    </row>
    <row r="41232">
      <c r="H41232" t="s">
        <v>5117</v>
      </c>
    </row>
    <row r="41233">
      <c r="H41233" t="s">
        <v>5117</v>
      </c>
    </row>
    <row r="41234">
      <c r="H41234" t="s">
        <v>5117</v>
      </c>
    </row>
    <row r="41235">
      <c r="H41235" t="s">
        <v>5117</v>
      </c>
    </row>
    <row r="41236">
      <c r="H41236" t="s">
        <v>5117</v>
      </c>
    </row>
    <row r="41237">
      <c r="H41237" t="s">
        <v>5117</v>
      </c>
    </row>
    <row r="41238">
      <c r="H41238" t="s">
        <v>5117</v>
      </c>
    </row>
    <row r="41239">
      <c r="H41239" t="s">
        <v>5117</v>
      </c>
    </row>
    <row r="41240">
      <c r="H41240" t="s">
        <v>5117</v>
      </c>
    </row>
    <row r="41241">
      <c r="H41241" t="s">
        <v>5117</v>
      </c>
    </row>
    <row r="41242">
      <c r="H41242" t="s">
        <v>5117</v>
      </c>
    </row>
    <row r="41243">
      <c r="H41243" t="s">
        <v>5117</v>
      </c>
    </row>
    <row r="41244">
      <c r="H41244" t="s">
        <v>5117</v>
      </c>
    </row>
    <row r="41245">
      <c r="H41245" t="s">
        <v>5117</v>
      </c>
    </row>
    <row r="41246">
      <c r="H41246" t="s">
        <v>5117</v>
      </c>
    </row>
    <row r="41247">
      <c r="H41247" t="s">
        <v>5117</v>
      </c>
    </row>
    <row r="41248">
      <c r="H41248" t="s">
        <v>5117</v>
      </c>
    </row>
    <row r="41249">
      <c r="H41249" t="s">
        <v>5117</v>
      </c>
    </row>
    <row r="41250">
      <c r="H41250" t="s">
        <v>5117</v>
      </c>
    </row>
    <row r="41251">
      <c r="H41251" t="s">
        <v>5117</v>
      </c>
    </row>
    <row r="41252">
      <c r="H41252" t="s">
        <v>5117</v>
      </c>
    </row>
    <row r="41253">
      <c r="H41253" t="s">
        <v>5117</v>
      </c>
    </row>
    <row r="41254">
      <c r="H41254" t="s">
        <v>5117</v>
      </c>
    </row>
    <row r="41255">
      <c r="H41255" t="s">
        <v>5117</v>
      </c>
    </row>
    <row r="41256">
      <c r="H41256" t="s">
        <v>5117</v>
      </c>
    </row>
    <row r="41257">
      <c r="H41257" t="s">
        <v>5117</v>
      </c>
    </row>
    <row r="41258">
      <c r="H41258" t="s">
        <v>5117</v>
      </c>
    </row>
    <row r="41259">
      <c r="H41259" t="s">
        <v>5117</v>
      </c>
    </row>
    <row r="41260">
      <c r="H41260" t="s">
        <v>5117</v>
      </c>
    </row>
    <row r="41261">
      <c r="H41261" t="s">
        <v>5117</v>
      </c>
    </row>
    <row r="41262">
      <c r="H41262" t="s">
        <v>5117</v>
      </c>
    </row>
    <row r="41263">
      <c r="H41263" t="s">
        <v>5117</v>
      </c>
    </row>
    <row r="41264">
      <c r="H41264" t="s">
        <v>5117</v>
      </c>
    </row>
    <row r="41265">
      <c r="H41265" t="s">
        <v>5117</v>
      </c>
    </row>
    <row r="41266">
      <c r="H41266" t="s">
        <v>5117</v>
      </c>
    </row>
    <row r="41267">
      <c r="H41267" t="s">
        <v>5117</v>
      </c>
    </row>
    <row r="41268">
      <c r="H41268" t="s">
        <v>5117</v>
      </c>
    </row>
    <row r="41269">
      <c r="H41269" t="s">
        <v>5117</v>
      </c>
    </row>
    <row r="41270">
      <c r="H41270" t="s">
        <v>5117</v>
      </c>
    </row>
    <row r="41271">
      <c r="H41271" t="s">
        <v>5117</v>
      </c>
    </row>
    <row r="41272">
      <c r="H41272" t="s">
        <v>5117</v>
      </c>
    </row>
    <row r="41273">
      <c r="H41273" t="s">
        <v>5117</v>
      </c>
    </row>
    <row r="41274">
      <c r="H41274" t="s">
        <v>5117</v>
      </c>
    </row>
    <row r="41275">
      <c r="H41275" t="s">
        <v>5117</v>
      </c>
    </row>
    <row r="41276">
      <c r="H41276" t="s">
        <v>5117</v>
      </c>
    </row>
    <row r="41277">
      <c r="H41277" t="s">
        <v>5117</v>
      </c>
    </row>
    <row r="41278">
      <c r="H41278" t="s">
        <v>5117</v>
      </c>
    </row>
    <row r="41279">
      <c r="H41279" t="s">
        <v>5117</v>
      </c>
    </row>
    <row r="41280">
      <c r="H41280" t="s">
        <v>5117</v>
      </c>
    </row>
    <row r="41281">
      <c r="H41281" t="s">
        <v>5117</v>
      </c>
    </row>
    <row r="41282">
      <c r="H41282" t="s">
        <v>5117</v>
      </c>
    </row>
    <row r="41283">
      <c r="H41283" t="s">
        <v>5117</v>
      </c>
    </row>
    <row r="41284">
      <c r="H41284" t="s">
        <v>5117</v>
      </c>
    </row>
    <row r="41285">
      <c r="H41285" t="s">
        <v>5117</v>
      </c>
    </row>
    <row r="41286">
      <c r="H41286" t="s">
        <v>5117</v>
      </c>
    </row>
    <row r="41287">
      <c r="H41287" t="s">
        <v>5117</v>
      </c>
    </row>
    <row r="41288">
      <c r="H41288" t="s">
        <v>5117</v>
      </c>
    </row>
    <row r="41289">
      <c r="H41289" t="s">
        <v>5117</v>
      </c>
    </row>
    <row r="41290">
      <c r="H41290" t="s">
        <v>5117</v>
      </c>
    </row>
    <row r="41291">
      <c r="H41291" t="s">
        <v>5117</v>
      </c>
    </row>
    <row r="41292">
      <c r="H41292" t="s">
        <v>5117</v>
      </c>
    </row>
    <row r="41293">
      <c r="H41293" t="s">
        <v>5117</v>
      </c>
    </row>
    <row r="41294">
      <c r="H41294" t="s">
        <v>5117</v>
      </c>
    </row>
    <row r="41295">
      <c r="H41295" t="s">
        <v>5117</v>
      </c>
    </row>
    <row r="41296">
      <c r="H41296" t="s">
        <v>5117</v>
      </c>
    </row>
    <row r="41297">
      <c r="H41297" t="s">
        <v>5117</v>
      </c>
    </row>
    <row r="41298">
      <c r="H41298" t="s">
        <v>5117</v>
      </c>
    </row>
    <row r="41299">
      <c r="H41299" t="s">
        <v>5117</v>
      </c>
    </row>
    <row r="41300">
      <c r="H41300" t="s">
        <v>5117</v>
      </c>
    </row>
    <row r="41301">
      <c r="H41301" t="s">
        <v>5117</v>
      </c>
    </row>
    <row r="41302">
      <c r="H41302" t="s">
        <v>5117</v>
      </c>
    </row>
    <row r="41303">
      <c r="H41303" t="s">
        <v>5117</v>
      </c>
    </row>
    <row r="41304">
      <c r="H41304" t="s">
        <v>5117</v>
      </c>
    </row>
    <row r="41305">
      <c r="H41305" t="s">
        <v>5117</v>
      </c>
    </row>
    <row r="41306">
      <c r="H41306" t="s">
        <v>5117</v>
      </c>
    </row>
    <row r="41307">
      <c r="H41307" t="s">
        <v>5117</v>
      </c>
    </row>
    <row r="41308">
      <c r="H41308" t="s">
        <v>5117</v>
      </c>
    </row>
    <row r="41309">
      <c r="H41309" t="s">
        <v>5117</v>
      </c>
    </row>
    <row r="41310">
      <c r="H41310" t="s">
        <v>5117</v>
      </c>
    </row>
    <row r="41311">
      <c r="H41311" t="s">
        <v>5117</v>
      </c>
    </row>
    <row r="41312">
      <c r="H41312" t="s">
        <v>5117</v>
      </c>
    </row>
    <row r="41313">
      <c r="H41313" t="s">
        <v>5117</v>
      </c>
    </row>
    <row r="41314">
      <c r="H41314" t="s">
        <v>5117</v>
      </c>
    </row>
    <row r="41315">
      <c r="H41315" t="s">
        <v>5117</v>
      </c>
    </row>
    <row r="41316">
      <c r="H41316" t="s">
        <v>5117</v>
      </c>
    </row>
    <row r="41317">
      <c r="H41317" t="s">
        <v>5117</v>
      </c>
    </row>
    <row r="41318">
      <c r="H41318" t="s">
        <v>5117</v>
      </c>
    </row>
    <row r="41319">
      <c r="H41319" t="s">
        <v>5117</v>
      </c>
    </row>
    <row r="41320">
      <c r="H41320" t="s">
        <v>5117</v>
      </c>
    </row>
    <row r="41321">
      <c r="H41321" t="s">
        <v>5117</v>
      </c>
    </row>
    <row r="41322">
      <c r="H41322" t="s">
        <v>5117</v>
      </c>
    </row>
    <row r="41323">
      <c r="H41323" t="s">
        <v>5117</v>
      </c>
    </row>
    <row r="41324">
      <c r="H41324" t="s">
        <v>5117</v>
      </c>
    </row>
    <row r="41325">
      <c r="H41325" t="s">
        <v>5117</v>
      </c>
    </row>
    <row r="41326">
      <c r="H41326" t="s">
        <v>5117</v>
      </c>
    </row>
    <row r="41327">
      <c r="H41327" t="s">
        <v>5117</v>
      </c>
    </row>
    <row r="41328">
      <c r="H41328" t="s">
        <v>5117</v>
      </c>
    </row>
    <row r="41329">
      <c r="H41329" t="s">
        <v>5117</v>
      </c>
    </row>
    <row r="41330">
      <c r="H41330" t="s">
        <v>5117</v>
      </c>
    </row>
    <row r="41331">
      <c r="H41331" t="s">
        <v>5117</v>
      </c>
    </row>
    <row r="41332">
      <c r="H41332" t="s">
        <v>5117</v>
      </c>
    </row>
    <row r="41333">
      <c r="H41333" t="s">
        <v>5117</v>
      </c>
    </row>
    <row r="41334">
      <c r="H41334" t="s">
        <v>5117</v>
      </c>
    </row>
    <row r="41335">
      <c r="H41335" t="s">
        <v>5117</v>
      </c>
    </row>
    <row r="41336">
      <c r="H41336" t="s">
        <v>5117</v>
      </c>
    </row>
    <row r="41337">
      <c r="H41337" t="s">
        <v>5117</v>
      </c>
    </row>
    <row r="41338">
      <c r="H41338" t="s">
        <v>5117</v>
      </c>
    </row>
    <row r="41339">
      <c r="H41339" t="s">
        <v>5117</v>
      </c>
    </row>
    <row r="41340">
      <c r="H41340" t="s">
        <v>5117</v>
      </c>
    </row>
    <row r="41341">
      <c r="H41341" t="s">
        <v>5117</v>
      </c>
    </row>
    <row r="41342">
      <c r="H41342" t="s">
        <v>5117</v>
      </c>
    </row>
    <row r="41343">
      <c r="H41343" t="s">
        <v>5117</v>
      </c>
    </row>
    <row r="41344">
      <c r="H41344" t="s">
        <v>5117</v>
      </c>
    </row>
    <row r="41345">
      <c r="H41345" t="s">
        <v>5117</v>
      </c>
    </row>
    <row r="41346">
      <c r="H41346" t="s">
        <v>5117</v>
      </c>
    </row>
    <row r="41347">
      <c r="H41347" t="s">
        <v>5117</v>
      </c>
    </row>
    <row r="41348">
      <c r="H41348" t="s">
        <v>5117</v>
      </c>
    </row>
    <row r="41349">
      <c r="H41349" t="s">
        <v>5117</v>
      </c>
    </row>
    <row r="41350">
      <c r="H41350" t="s">
        <v>5117</v>
      </c>
    </row>
    <row r="41351">
      <c r="H41351" t="s">
        <v>5117</v>
      </c>
    </row>
    <row r="41352">
      <c r="H41352" t="s">
        <v>5117</v>
      </c>
    </row>
    <row r="41353">
      <c r="H41353" t="s">
        <v>5117</v>
      </c>
    </row>
    <row r="41354">
      <c r="H41354" t="s">
        <v>5117</v>
      </c>
    </row>
    <row r="41355">
      <c r="H41355" t="s">
        <v>5117</v>
      </c>
    </row>
    <row r="41356">
      <c r="H41356" t="s">
        <v>5117</v>
      </c>
    </row>
    <row r="41357">
      <c r="H41357" t="s">
        <v>5117</v>
      </c>
    </row>
    <row r="41358">
      <c r="H41358" t="s">
        <v>5117</v>
      </c>
    </row>
    <row r="41359">
      <c r="H41359" t="s">
        <v>5117</v>
      </c>
    </row>
    <row r="41360">
      <c r="H41360" t="s">
        <v>5117</v>
      </c>
    </row>
    <row r="41361">
      <c r="H41361" t="s">
        <v>5117</v>
      </c>
    </row>
    <row r="41362">
      <c r="H41362" t="s">
        <v>5117</v>
      </c>
    </row>
    <row r="41363">
      <c r="H41363" t="s">
        <v>5117</v>
      </c>
    </row>
    <row r="41364">
      <c r="H41364" t="s">
        <v>5117</v>
      </c>
    </row>
    <row r="41365">
      <c r="H41365" t="s">
        <v>5117</v>
      </c>
    </row>
    <row r="41366">
      <c r="H41366" t="s">
        <v>5117</v>
      </c>
    </row>
    <row r="41367">
      <c r="H41367" t="s">
        <v>5117</v>
      </c>
    </row>
    <row r="41368">
      <c r="H41368" t="s">
        <v>5117</v>
      </c>
    </row>
    <row r="41369">
      <c r="H41369" t="s">
        <v>5117</v>
      </c>
    </row>
    <row r="41370">
      <c r="H41370" t="s">
        <v>5117</v>
      </c>
    </row>
    <row r="41371">
      <c r="H41371" t="s">
        <v>5117</v>
      </c>
    </row>
    <row r="41372">
      <c r="H41372" t="s">
        <v>5117</v>
      </c>
    </row>
    <row r="41373">
      <c r="H41373" t="s">
        <v>5117</v>
      </c>
    </row>
    <row r="41374">
      <c r="H41374" t="s">
        <v>5117</v>
      </c>
    </row>
    <row r="41375">
      <c r="H41375" t="s">
        <v>5117</v>
      </c>
    </row>
    <row r="41376">
      <c r="H41376" t="s">
        <v>5117</v>
      </c>
    </row>
    <row r="41377">
      <c r="H41377" t="s">
        <v>5117</v>
      </c>
    </row>
    <row r="41378">
      <c r="H41378" t="s">
        <v>5117</v>
      </c>
    </row>
    <row r="41379">
      <c r="H41379" t="s">
        <v>5117</v>
      </c>
    </row>
    <row r="41380">
      <c r="H41380" t="s">
        <v>5117</v>
      </c>
    </row>
    <row r="41381">
      <c r="H41381" t="s">
        <v>5117</v>
      </c>
    </row>
    <row r="41382">
      <c r="H41382" t="s">
        <v>5117</v>
      </c>
    </row>
    <row r="41383">
      <c r="H41383" t="s">
        <v>5117</v>
      </c>
    </row>
    <row r="41384">
      <c r="H41384" t="s">
        <v>5117</v>
      </c>
    </row>
    <row r="41385">
      <c r="H41385" t="s">
        <v>5117</v>
      </c>
    </row>
    <row r="41386">
      <c r="H41386" t="s">
        <v>5117</v>
      </c>
    </row>
    <row r="41387">
      <c r="H41387" t="s">
        <v>5117</v>
      </c>
    </row>
    <row r="41388">
      <c r="H41388" t="s">
        <v>5117</v>
      </c>
    </row>
    <row r="41389">
      <c r="H41389" t="s">
        <v>5117</v>
      </c>
    </row>
    <row r="41390">
      <c r="H41390" t="s">
        <v>5117</v>
      </c>
    </row>
    <row r="41391">
      <c r="H41391" t="s">
        <v>5117</v>
      </c>
    </row>
    <row r="41392">
      <c r="H41392" t="s">
        <v>5117</v>
      </c>
    </row>
    <row r="41393">
      <c r="H41393" t="s">
        <v>5117</v>
      </c>
    </row>
    <row r="41394">
      <c r="H41394" t="s">
        <v>5117</v>
      </c>
    </row>
    <row r="41395">
      <c r="H41395" t="s">
        <v>5117</v>
      </c>
    </row>
    <row r="41396">
      <c r="H41396" t="s">
        <v>5117</v>
      </c>
    </row>
    <row r="41397">
      <c r="H41397" t="s">
        <v>5117</v>
      </c>
    </row>
    <row r="41398">
      <c r="H41398" t="s">
        <v>5117</v>
      </c>
    </row>
    <row r="41399">
      <c r="H41399" t="s">
        <v>5117</v>
      </c>
    </row>
    <row r="41400">
      <c r="H41400" t="s">
        <v>5117</v>
      </c>
    </row>
    <row r="41401">
      <c r="H41401" t="s">
        <v>5117</v>
      </c>
    </row>
    <row r="41402">
      <c r="H41402" t="s">
        <v>5117</v>
      </c>
    </row>
    <row r="41403">
      <c r="H41403" t="s">
        <v>5117</v>
      </c>
    </row>
    <row r="41404">
      <c r="H41404" t="s">
        <v>5117</v>
      </c>
    </row>
    <row r="41405">
      <c r="H41405" t="s">
        <v>5117</v>
      </c>
    </row>
    <row r="41406">
      <c r="H41406" t="s">
        <v>5117</v>
      </c>
    </row>
    <row r="41407">
      <c r="H41407" t="s">
        <v>5117</v>
      </c>
    </row>
    <row r="41408">
      <c r="H41408" t="s">
        <v>5117</v>
      </c>
    </row>
    <row r="41409">
      <c r="H41409" t="s">
        <v>5117</v>
      </c>
    </row>
    <row r="41410">
      <c r="H41410" t="s">
        <v>5117</v>
      </c>
    </row>
    <row r="41411">
      <c r="H41411" t="s">
        <v>5117</v>
      </c>
    </row>
    <row r="41412">
      <c r="H41412" t="s">
        <v>5117</v>
      </c>
    </row>
    <row r="41413">
      <c r="H41413" t="s">
        <v>5117</v>
      </c>
    </row>
    <row r="41414">
      <c r="H41414" t="s">
        <v>5117</v>
      </c>
    </row>
    <row r="41415">
      <c r="H41415" t="s">
        <v>5117</v>
      </c>
    </row>
    <row r="41416">
      <c r="H41416" t="s">
        <v>5117</v>
      </c>
    </row>
    <row r="41417">
      <c r="H41417" t="s">
        <v>5117</v>
      </c>
    </row>
    <row r="41418">
      <c r="H41418" t="s">
        <v>5117</v>
      </c>
    </row>
    <row r="41419">
      <c r="H41419" t="s">
        <v>5117</v>
      </c>
    </row>
    <row r="41420">
      <c r="H41420" t="s">
        <v>5117</v>
      </c>
    </row>
    <row r="41421">
      <c r="H41421" t="s">
        <v>5117</v>
      </c>
    </row>
    <row r="41422">
      <c r="H41422" t="s">
        <v>5117</v>
      </c>
    </row>
    <row r="41423">
      <c r="H41423" t="s">
        <v>5117</v>
      </c>
    </row>
    <row r="41424">
      <c r="H41424" t="s">
        <v>5117</v>
      </c>
    </row>
    <row r="41425">
      <c r="H41425" t="s">
        <v>5117</v>
      </c>
    </row>
    <row r="41426">
      <c r="H41426" t="s">
        <v>5117</v>
      </c>
    </row>
    <row r="41427">
      <c r="H41427" t="s">
        <v>5117</v>
      </c>
    </row>
    <row r="41428">
      <c r="H41428" t="s">
        <v>5117</v>
      </c>
    </row>
    <row r="41429">
      <c r="H41429" t="s">
        <v>5117</v>
      </c>
    </row>
    <row r="41430">
      <c r="H41430" t="s">
        <v>5117</v>
      </c>
    </row>
    <row r="41431">
      <c r="H41431" t="s">
        <v>5117</v>
      </c>
    </row>
    <row r="41432">
      <c r="H41432" t="s">
        <v>5117</v>
      </c>
    </row>
    <row r="41433">
      <c r="H41433" t="s">
        <v>5117</v>
      </c>
    </row>
    <row r="41434">
      <c r="H41434" t="s">
        <v>5117</v>
      </c>
    </row>
    <row r="41435">
      <c r="H41435" t="s">
        <v>5117</v>
      </c>
    </row>
    <row r="41436">
      <c r="H41436" t="s">
        <v>5117</v>
      </c>
    </row>
    <row r="41437">
      <c r="H41437" t="s">
        <v>5117</v>
      </c>
    </row>
    <row r="41438">
      <c r="H41438" t="s">
        <v>5117</v>
      </c>
    </row>
    <row r="41439">
      <c r="H41439" t="s">
        <v>5117</v>
      </c>
    </row>
    <row r="41440">
      <c r="H41440" t="s">
        <v>5117</v>
      </c>
    </row>
    <row r="41441">
      <c r="H41441" t="s">
        <v>5117</v>
      </c>
    </row>
    <row r="41442">
      <c r="H41442" t="s">
        <v>5117</v>
      </c>
    </row>
    <row r="41443">
      <c r="H41443" t="s">
        <v>5117</v>
      </c>
    </row>
    <row r="41444">
      <c r="H41444" t="s">
        <v>5117</v>
      </c>
    </row>
    <row r="41445">
      <c r="H41445" t="s">
        <v>5117</v>
      </c>
    </row>
    <row r="41446">
      <c r="H41446" t="s">
        <v>5117</v>
      </c>
    </row>
    <row r="41447">
      <c r="H41447" t="s">
        <v>5117</v>
      </c>
    </row>
    <row r="41448">
      <c r="H41448" t="s">
        <v>5117</v>
      </c>
    </row>
    <row r="41449">
      <c r="H41449" t="s">
        <v>5117</v>
      </c>
    </row>
    <row r="41450">
      <c r="H41450" t="s">
        <v>5117</v>
      </c>
    </row>
    <row r="41451">
      <c r="H41451" t="s">
        <v>5117</v>
      </c>
    </row>
    <row r="41452">
      <c r="H41452" t="s">
        <v>5117</v>
      </c>
    </row>
    <row r="41453">
      <c r="H41453" t="s">
        <v>5117</v>
      </c>
    </row>
    <row r="41454">
      <c r="H41454" t="s">
        <v>5117</v>
      </c>
    </row>
    <row r="41455">
      <c r="H41455" t="s">
        <v>5117</v>
      </c>
    </row>
    <row r="41456">
      <c r="H41456" t="s">
        <v>5117</v>
      </c>
    </row>
    <row r="41457">
      <c r="H41457" t="s">
        <v>5117</v>
      </c>
    </row>
    <row r="41458">
      <c r="H41458" t="s">
        <v>5117</v>
      </c>
    </row>
    <row r="41459">
      <c r="H41459" t="s">
        <v>5117</v>
      </c>
    </row>
    <row r="41460">
      <c r="H41460" t="s">
        <v>5117</v>
      </c>
    </row>
    <row r="41461">
      <c r="H41461" t="s">
        <v>5117</v>
      </c>
    </row>
    <row r="41462">
      <c r="H41462" t="s">
        <v>5117</v>
      </c>
    </row>
    <row r="41463">
      <c r="H41463" t="s">
        <v>5117</v>
      </c>
    </row>
    <row r="41464">
      <c r="H41464" t="s">
        <v>5117</v>
      </c>
    </row>
    <row r="41465">
      <c r="H41465" t="s">
        <v>5117</v>
      </c>
    </row>
    <row r="41466">
      <c r="H41466" t="s">
        <v>5117</v>
      </c>
    </row>
    <row r="41467">
      <c r="H41467" t="s">
        <v>5117</v>
      </c>
    </row>
    <row r="41468">
      <c r="H41468" t="s">
        <v>5117</v>
      </c>
    </row>
    <row r="41469">
      <c r="H41469" t="s">
        <v>5117</v>
      </c>
    </row>
    <row r="41470">
      <c r="H41470" t="s">
        <v>5117</v>
      </c>
    </row>
    <row r="41471">
      <c r="H41471" t="s">
        <v>5117</v>
      </c>
    </row>
    <row r="41472">
      <c r="H41472" t="s">
        <v>5117</v>
      </c>
    </row>
    <row r="41473">
      <c r="H41473" t="s">
        <v>5117</v>
      </c>
    </row>
    <row r="41474">
      <c r="H41474" t="s">
        <v>5117</v>
      </c>
    </row>
    <row r="41475">
      <c r="H41475" t="s">
        <v>5117</v>
      </c>
    </row>
    <row r="41476">
      <c r="H41476" t="s">
        <v>5117</v>
      </c>
    </row>
    <row r="41477">
      <c r="H41477" t="s">
        <v>5117</v>
      </c>
    </row>
    <row r="41478">
      <c r="H41478" t="s">
        <v>5117</v>
      </c>
    </row>
    <row r="41479">
      <c r="H41479" t="s">
        <v>5117</v>
      </c>
    </row>
    <row r="41480">
      <c r="H41480" t="s">
        <v>5117</v>
      </c>
    </row>
    <row r="41481">
      <c r="H41481" t="s">
        <v>5117</v>
      </c>
    </row>
    <row r="41482">
      <c r="H41482" t="s">
        <v>5117</v>
      </c>
    </row>
    <row r="41483">
      <c r="H41483" t="s">
        <v>5117</v>
      </c>
    </row>
    <row r="41484">
      <c r="H41484" t="s">
        <v>5117</v>
      </c>
    </row>
    <row r="41485">
      <c r="H41485" t="s">
        <v>5117</v>
      </c>
    </row>
    <row r="41486">
      <c r="H41486" t="s">
        <v>5117</v>
      </c>
    </row>
    <row r="41487">
      <c r="H41487" t="s">
        <v>5117</v>
      </c>
    </row>
    <row r="41488">
      <c r="H41488" t="s">
        <v>5117</v>
      </c>
    </row>
    <row r="41489">
      <c r="H41489" t="s">
        <v>5117</v>
      </c>
    </row>
    <row r="41490">
      <c r="H41490" t="s">
        <v>5117</v>
      </c>
    </row>
    <row r="41491">
      <c r="H41491" t="s">
        <v>5117</v>
      </c>
    </row>
    <row r="41492">
      <c r="H41492" t="s">
        <v>5117</v>
      </c>
    </row>
    <row r="41493">
      <c r="H41493" t="s">
        <v>5117</v>
      </c>
    </row>
    <row r="41494">
      <c r="H41494" t="s">
        <v>5117</v>
      </c>
    </row>
    <row r="41495">
      <c r="H41495" t="s">
        <v>5117</v>
      </c>
    </row>
    <row r="41496">
      <c r="H41496" t="s">
        <v>5117</v>
      </c>
    </row>
    <row r="41497">
      <c r="H41497" t="s">
        <v>5117</v>
      </c>
    </row>
    <row r="41498">
      <c r="H41498" t="s">
        <v>5117</v>
      </c>
    </row>
    <row r="41499">
      <c r="H41499" t="s">
        <v>5117</v>
      </c>
    </row>
    <row r="41500">
      <c r="H41500" t="s">
        <v>5117</v>
      </c>
    </row>
    <row r="41501">
      <c r="H41501" t="s">
        <v>5117</v>
      </c>
    </row>
    <row r="41502">
      <c r="H41502" t="s">
        <v>5117</v>
      </c>
    </row>
    <row r="41503">
      <c r="H41503" t="s">
        <v>5117</v>
      </c>
    </row>
    <row r="41504">
      <c r="H41504" t="s">
        <v>5117</v>
      </c>
    </row>
    <row r="41505">
      <c r="H41505" t="s">
        <v>5117</v>
      </c>
    </row>
    <row r="41506">
      <c r="H41506" t="s">
        <v>5117</v>
      </c>
    </row>
    <row r="41507">
      <c r="H41507" t="s">
        <v>5117</v>
      </c>
    </row>
    <row r="41508">
      <c r="H41508" t="s">
        <v>5117</v>
      </c>
    </row>
    <row r="41509">
      <c r="H41509" t="s">
        <v>5117</v>
      </c>
    </row>
    <row r="41510">
      <c r="H41510" t="s">
        <v>5117</v>
      </c>
    </row>
    <row r="41511">
      <c r="H41511" t="s">
        <v>5117</v>
      </c>
    </row>
    <row r="41512">
      <c r="H41512" t="s">
        <v>5117</v>
      </c>
    </row>
    <row r="41513">
      <c r="H41513" t="s">
        <v>5117</v>
      </c>
    </row>
    <row r="41514">
      <c r="H41514" t="s">
        <v>5117</v>
      </c>
    </row>
    <row r="41515">
      <c r="H41515" t="s">
        <v>5117</v>
      </c>
    </row>
    <row r="41516">
      <c r="H41516" t="s">
        <v>5117</v>
      </c>
    </row>
    <row r="41517">
      <c r="H41517" t="s">
        <v>5117</v>
      </c>
    </row>
    <row r="41518">
      <c r="H41518" t="s">
        <v>5117</v>
      </c>
    </row>
    <row r="41519">
      <c r="H41519" t="s">
        <v>5117</v>
      </c>
    </row>
    <row r="41520">
      <c r="H41520" t="s">
        <v>5117</v>
      </c>
    </row>
    <row r="41521">
      <c r="H41521" t="s">
        <v>5117</v>
      </c>
    </row>
    <row r="41522">
      <c r="H41522" t="s">
        <v>5117</v>
      </c>
    </row>
    <row r="41523">
      <c r="H41523" t="s">
        <v>5117</v>
      </c>
    </row>
    <row r="41524">
      <c r="H41524" t="s">
        <v>5117</v>
      </c>
    </row>
    <row r="41525">
      <c r="H41525" t="s">
        <v>5117</v>
      </c>
    </row>
    <row r="41526">
      <c r="H41526" t="s">
        <v>5117</v>
      </c>
    </row>
    <row r="41527">
      <c r="H41527" t="s">
        <v>5117</v>
      </c>
    </row>
    <row r="41528">
      <c r="H41528" t="s">
        <v>5117</v>
      </c>
    </row>
    <row r="41529">
      <c r="H41529" t="s">
        <v>5117</v>
      </c>
    </row>
    <row r="41530">
      <c r="H41530" t="s">
        <v>5117</v>
      </c>
    </row>
    <row r="41531">
      <c r="H41531" t="s">
        <v>5117</v>
      </c>
    </row>
    <row r="41532">
      <c r="H41532" t="s">
        <v>5117</v>
      </c>
    </row>
    <row r="41533">
      <c r="H41533" t="s">
        <v>5117</v>
      </c>
    </row>
    <row r="41534">
      <c r="H41534" t="s">
        <v>5117</v>
      </c>
    </row>
    <row r="41535">
      <c r="H41535" t="s">
        <v>5117</v>
      </c>
    </row>
    <row r="41536">
      <c r="H41536" t="s">
        <v>5117</v>
      </c>
    </row>
    <row r="41537">
      <c r="H41537" t="s">
        <v>5117</v>
      </c>
    </row>
    <row r="41538">
      <c r="H41538" t="s">
        <v>5117</v>
      </c>
    </row>
    <row r="41539">
      <c r="H41539" t="s">
        <v>5117</v>
      </c>
    </row>
    <row r="41540">
      <c r="H41540" t="s">
        <v>5117</v>
      </c>
    </row>
    <row r="41541">
      <c r="H41541" t="s">
        <v>5117</v>
      </c>
    </row>
    <row r="41542">
      <c r="H41542" t="s">
        <v>5117</v>
      </c>
    </row>
    <row r="41543">
      <c r="H41543" t="s">
        <v>5117</v>
      </c>
    </row>
    <row r="41544">
      <c r="H41544" t="s">
        <v>5117</v>
      </c>
    </row>
    <row r="41545">
      <c r="H41545" t="s">
        <v>5117</v>
      </c>
    </row>
    <row r="41546">
      <c r="H41546" t="s">
        <v>5117</v>
      </c>
    </row>
    <row r="41547">
      <c r="H41547" t="s">
        <v>5117</v>
      </c>
    </row>
    <row r="41548">
      <c r="H41548" t="s">
        <v>5117</v>
      </c>
    </row>
    <row r="41549">
      <c r="H41549" t="s">
        <v>5117</v>
      </c>
    </row>
    <row r="41550">
      <c r="H41550" t="s">
        <v>5117</v>
      </c>
    </row>
    <row r="41551">
      <c r="H41551" t="s">
        <v>5117</v>
      </c>
    </row>
    <row r="41552">
      <c r="H41552" t="s">
        <v>5117</v>
      </c>
    </row>
    <row r="41553">
      <c r="H41553" t="s">
        <v>5117</v>
      </c>
    </row>
    <row r="41554">
      <c r="H41554" t="s">
        <v>5117</v>
      </c>
    </row>
    <row r="41555">
      <c r="H41555" t="s">
        <v>5117</v>
      </c>
    </row>
    <row r="41556">
      <c r="H41556" t="s">
        <v>5117</v>
      </c>
    </row>
    <row r="41557">
      <c r="H41557" t="s">
        <v>5117</v>
      </c>
    </row>
    <row r="41558">
      <c r="H41558" t="s">
        <v>5117</v>
      </c>
    </row>
    <row r="41559">
      <c r="H41559" t="s">
        <v>5117</v>
      </c>
    </row>
    <row r="41560">
      <c r="H41560" t="s">
        <v>5117</v>
      </c>
    </row>
    <row r="41561">
      <c r="H41561" t="s">
        <v>5117</v>
      </c>
    </row>
    <row r="41562">
      <c r="H41562" t="s">
        <v>5117</v>
      </c>
    </row>
    <row r="41563">
      <c r="H41563" t="s">
        <v>5117</v>
      </c>
    </row>
    <row r="41564">
      <c r="H41564" t="s">
        <v>5117</v>
      </c>
    </row>
    <row r="41565">
      <c r="H41565" t="s">
        <v>5117</v>
      </c>
    </row>
    <row r="41566">
      <c r="H41566" t="s">
        <v>5117</v>
      </c>
    </row>
    <row r="41567">
      <c r="H41567" t="s">
        <v>5117</v>
      </c>
    </row>
    <row r="41568">
      <c r="H41568" t="s">
        <v>5117</v>
      </c>
    </row>
    <row r="41569">
      <c r="H41569" t="s">
        <v>5117</v>
      </c>
    </row>
    <row r="41570">
      <c r="H41570" t="s">
        <v>5117</v>
      </c>
    </row>
    <row r="41571">
      <c r="H41571" t="s">
        <v>5117</v>
      </c>
    </row>
    <row r="41572">
      <c r="H41572" t="s">
        <v>5117</v>
      </c>
    </row>
    <row r="41573">
      <c r="H41573" t="s">
        <v>5117</v>
      </c>
    </row>
    <row r="41574">
      <c r="H41574" t="s">
        <v>5117</v>
      </c>
    </row>
    <row r="41575">
      <c r="H41575" t="s">
        <v>5117</v>
      </c>
    </row>
    <row r="41576">
      <c r="H41576" t="s">
        <v>5117</v>
      </c>
    </row>
    <row r="41577">
      <c r="H41577" t="s">
        <v>5117</v>
      </c>
    </row>
    <row r="41578">
      <c r="H41578" t="s">
        <v>5117</v>
      </c>
    </row>
    <row r="41579">
      <c r="H41579" t="s">
        <v>5117</v>
      </c>
    </row>
    <row r="41580">
      <c r="H41580" t="s">
        <v>5117</v>
      </c>
    </row>
    <row r="41581">
      <c r="H41581" t="s">
        <v>5117</v>
      </c>
    </row>
    <row r="41582">
      <c r="H41582" t="s">
        <v>5117</v>
      </c>
    </row>
    <row r="41583">
      <c r="H41583" t="s">
        <v>5117</v>
      </c>
    </row>
    <row r="41584">
      <c r="H41584" t="s">
        <v>5117</v>
      </c>
    </row>
    <row r="41585">
      <c r="H41585" t="s">
        <v>5117</v>
      </c>
    </row>
    <row r="41586">
      <c r="H41586" t="s">
        <v>5117</v>
      </c>
    </row>
    <row r="41587">
      <c r="H41587" t="s">
        <v>5117</v>
      </c>
    </row>
    <row r="41588">
      <c r="H41588" t="s">
        <v>5117</v>
      </c>
    </row>
    <row r="41589">
      <c r="H41589" t="s">
        <v>5117</v>
      </c>
    </row>
    <row r="41590">
      <c r="H41590" t="s">
        <v>5117</v>
      </c>
    </row>
    <row r="41591">
      <c r="H41591" t="s">
        <v>5117</v>
      </c>
    </row>
    <row r="41592">
      <c r="H41592" t="s">
        <v>5117</v>
      </c>
    </row>
    <row r="41593">
      <c r="H41593" t="s">
        <v>5117</v>
      </c>
    </row>
    <row r="41594">
      <c r="H41594" t="s">
        <v>5117</v>
      </c>
    </row>
    <row r="41595">
      <c r="H41595" t="s">
        <v>5117</v>
      </c>
    </row>
    <row r="41596">
      <c r="H41596" t="s">
        <v>5117</v>
      </c>
    </row>
    <row r="41597">
      <c r="H41597" t="s">
        <v>5117</v>
      </c>
    </row>
    <row r="41598">
      <c r="H41598" t="s">
        <v>5117</v>
      </c>
    </row>
    <row r="41599">
      <c r="H41599" t="s">
        <v>5117</v>
      </c>
    </row>
    <row r="41600">
      <c r="H41600" t="s">
        <v>5117</v>
      </c>
    </row>
    <row r="41601">
      <c r="H41601" t="s">
        <v>5117</v>
      </c>
    </row>
    <row r="41602">
      <c r="H41602" t="s">
        <v>5117</v>
      </c>
    </row>
    <row r="41603">
      <c r="H41603" t="s">
        <v>5117</v>
      </c>
    </row>
    <row r="41604">
      <c r="H41604" t="s">
        <v>5117</v>
      </c>
    </row>
    <row r="41605">
      <c r="H41605" t="s">
        <v>5117</v>
      </c>
    </row>
    <row r="41606">
      <c r="H41606" t="s">
        <v>5117</v>
      </c>
    </row>
    <row r="41607">
      <c r="H41607" t="s">
        <v>5117</v>
      </c>
    </row>
    <row r="41608">
      <c r="H41608" t="s">
        <v>5117</v>
      </c>
    </row>
    <row r="41609">
      <c r="H41609" t="s">
        <v>5117</v>
      </c>
    </row>
    <row r="41610">
      <c r="H41610" t="s">
        <v>5117</v>
      </c>
    </row>
    <row r="41611">
      <c r="H41611" t="s">
        <v>5117</v>
      </c>
    </row>
    <row r="41612">
      <c r="H41612" t="s">
        <v>5117</v>
      </c>
    </row>
    <row r="41613">
      <c r="H41613" t="s">
        <v>5117</v>
      </c>
    </row>
    <row r="41614">
      <c r="H41614" t="s">
        <v>5117</v>
      </c>
    </row>
    <row r="41615">
      <c r="H41615" t="s">
        <v>5117</v>
      </c>
    </row>
    <row r="41616">
      <c r="H41616" t="s">
        <v>5117</v>
      </c>
    </row>
    <row r="41617">
      <c r="H41617" t="s">
        <v>5117</v>
      </c>
    </row>
    <row r="41618">
      <c r="H41618" t="s">
        <v>5117</v>
      </c>
    </row>
    <row r="41619">
      <c r="H41619" t="s">
        <v>5117</v>
      </c>
    </row>
    <row r="41620">
      <c r="H41620" t="s">
        <v>5117</v>
      </c>
    </row>
    <row r="41621">
      <c r="H41621" t="s">
        <v>5117</v>
      </c>
    </row>
    <row r="41622">
      <c r="H41622" t="s">
        <v>5117</v>
      </c>
    </row>
    <row r="41623">
      <c r="H41623" t="s">
        <v>5117</v>
      </c>
    </row>
    <row r="41624">
      <c r="H41624" t="s">
        <v>5117</v>
      </c>
    </row>
    <row r="41625">
      <c r="H41625" t="s">
        <v>5117</v>
      </c>
    </row>
    <row r="41626">
      <c r="H41626" t="s">
        <v>5117</v>
      </c>
    </row>
    <row r="41627">
      <c r="H41627" t="s">
        <v>5117</v>
      </c>
    </row>
    <row r="41628">
      <c r="H41628" t="s">
        <v>5117</v>
      </c>
    </row>
    <row r="41629">
      <c r="H41629" t="s">
        <v>5117</v>
      </c>
    </row>
    <row r="41630">
      <c r="H41630" t="s">
        <v>5117</v>
      </c>
    </row>
    <row r="41631">
      <c r="H41631" t="s">
        <v>5117</v>
      </c>
    </row>
    <row r="41632">
      <c r="H41632" t="s">
        <v>5117</v>
      </c>
    </row>
    <row r="41633">
      <c r="H41633" t="s">
        <v>5117</v>
      </c>
    </row>
    <row r="41634">
      <c r="H41634" t="s">
        <v>5117</v>
      </c>
    </row>
    <row r="41635">
      <c r="H41635" t="s">
        <v>5117</v>
      </c>
    </row>
    <row r="41636">
      <c r="H41636" t="s">
        <v>5117</v>
      </c>
    </row>
    <row r="41637">
      <c r="H41637" t="s">
        <v>5117</v>
      </c>
    </row>
    <row r="41638">
      <c r="H41638" t="s">
        <v>5117</v>
      </c>
    </row>
    <row r="41639">
      <c r="H41639" t="s">
        <v>5117</v>
      </c>
    </row>
    <row r="41640">
      <c r="H41640" t="s">
        <v>5117</v>
      </c>
    </row>
    <row r="41641">
      <c r="H41641" t="s">
        <v>5117</v>
      </c>
    </row>
    <row r="41642">
      <c r="H41642" t="s">
        <v>5117</v>
      </c>
    </row>
    <row r="41643">
      <c r="H41643" t="s">
        <v>5117</v>
      </c>
    </row>
    <row r="41644">
      <c r="H41644" t="s">
        <v>5117</v>
      </c>
    </row>
    <row r="41645">
      <c r="H41645" t="s">
        <v>5117</v>
      </c>
    </row>
    <row r="41646">
      <c r="H41646" t="s">
        <v>5117</v>
      </c>
    </row>
    <row r="41647">
      <c r="H41647" t="s">
        <v>5117</v>
      </c>
    </row>
    <row r="41648">
      <c r="H41648" t="s">
        <v>5117</v>
      </c>
    </row>
    <row r="41649">
      <c r="H41649" t="s">
        <v>5117</v>
      </c>
    </row>
    <row r="41650">
      <c r="H41650" t="s">
        <v>5117</v>
      </c>
    </row>
    <row r="41651">
      <c r="H41651" t="s">
        <v>5117</v>
      </c>
    </row>
    <row r="41652">
      <c r="H41652" t="s">
        <v>5117</v>
      </c>
    </row>
    <row r="41653">
      <c r="H41653" t="s">
        <v>5117</v>
      </c>
    </row>
    <row r="41654">
      <c r="H41654" t="s">
        <v>5117</v>
      </c>
    </row>
    <row r="41655">
      <c r="H41655" t="s">
        <v>5117</v>
      </c>
    </row>
    <row r="41656">
      <c r="H41656" t="s">
        <v>5117</v>
      </c>
    </row>
    <row r="41657">
      <c r="H41657" t="s">
        <v>5117</v>
      </c>
    </row>
    <row r="41658">
      <c r="H41658" t="s">
        <v>5117</v>
      </c>
    </row>
    <row r="41659">
      <c r="H41659" t="s">
        <v>5117</v>
      </c>
    </row>
    <row r="41660">
      <c r="H41660" t="s">
        <v>5117</v>
      </c>
    </row>
    <row r="41661">
      <c r="H41661" t="s">
        <v>5117</v>
      </c>
    </row>
    <row r="41662">
      <c r="H41662" t="s">
        <v>5117</v>
      </c>
    </row>
    <row r="41663">
      <c r="H41663" t="s">
        <v>5117</v>
      </c>
    </row>
    <row r="41664">
      <c r="H41664" t="s">
        <v>5117</v>
      </c>
    </row>
    <row r="41665">
      <c r="H41665" t="s">
        <v>5117</v>
      </c>
    </row>
    <row r="41666">
      <c r="H41666" t="s">
        <v>5117</v>
      </c>
    </row>
    <row r="41667">
      <c r="H41667" t="s">
        <v>5117</v>
      </c>
    </row>
    <row r="41668">
      <c r="H41668" t="s">
        <v>5117</v>
      </c>
    </row>
    <row r="41669">
      <c r="H41669" t="s">
        <v>5117</v>
      </c>
    </row>
    <row r="41670">
      <c r="H41670" t="s">
        <v>5117</v>
      </c>
    </row>
    <row r="41671">
      <c r="H41671" t="s">
        <v>5117</v>
      </c>
    </row>
    <row r="41672">
      <c r="H41672" t="s">
        <v>5117</v>
      </c>
    </row>
    <row r="41673">
      <c r="H41673" t="s">
        <v>5117</v>
      </c>
    </row>
    <row r="41674">
      <c r="H41674" t="s">
        <v>5117</v>
      </c>
    </row>
    <row r="41675">
      <c r="H41675" t="s">
        <v>5117</v>
      </c>
    </row>
    <row r="41676">
      <c r="H41676" t="s">
        <v>5117</v>
      </c>
    </row>
    <row r="41677">
      <c r="H41677" t="s">
        <v>5117</v>
      </c>
    </row>
    <row r="41678">
      <c r="H41678" t="s">
        <v>5117</v>
      </c>
    </row>
    <row r="41679">
      <c r="H41679" t="s">
        <v>5117</v>
      </c>
    </row>
    <row r="41680">
      <c r="H41680" t="s">
        <v>5117</v>
      </c>
    </row>
    <row r="41681">
      <c r="H41681" t="s">
        <v>5117</v>
      </c>
    </row>
    <row r="41682">
      <c r="H41682" t="s">
        <v>5117</v>
      </c>
    </row>
    <row r="41683">
      <c r="H41683" t="s">
        <v>5117</v>
      </c>
    </row>
    <row r="41684">
      <c r="H41684" t="s">
        <v>5117</v>
      </c>
    </row>
    <row r="41685">
      <c r="H41685" t="s">
        <v>5117</v>
      </c>
    </row>
    <row r="41686">
      <c r="H41686" t="s">
        <v>5117</v>
      </c>
    </row>
    <row r="41687">
      <c r="H41687" t="s">
        <v>5117</v>
      </c>
    </row>
    <row r="41688">
      <c r="H41688" t="s">
        <v>5117</v>
      </c>
    </row>
    <row r="41689">
      <c r="H41689" t="s">
        <v>5117</v>
      </c>
    </row>
    <row r="41690">
      <c r="H41690" t="s">
        <v>5117</v>
      </c>
    </row>
    <row r="41691">
      <c r="H41691" t="s">
        <v>5117</v>
      </c>
    </row>
    <row r="41692">
      <c r="H41692" t="s">
        <v>5117</v>
      </c>
    </row>
    <row r="41693">
      <c r="H41693" t="s">
        <v>5117</v>
      </c>
    </row>
    <row r="41694">
      <c r="H41694" t="s">
        <v>5117</v>
      </c>
    </row>
    <row r="41695">
      <c r="H41695" t="s">
        <v>5117</v>
      </c>
    </row>
    <row r="41696">
      <c r="H41696" t="s">
        <v>5117</v>
      </c>
    </row>
    <row r="41697">
      <c r="H41697" t="s">
        <v>5117</v>
      </c>
    </row>
    <row r="41698">
      <c r="H41698" t="s">
        <v>5117</v>
      </c>
    </row>
    <row r="41699">
      <c r="H41699" t="s">
        <v>5117</v>
      </c>
    </row>
    <row r="41700">
      <c r="H41700" t="s">
        <v>5117</v>
      </c>
    </row>
    <row r="41701">
      <c r="H41701" t="s">
        <v>5117</v>
      </c>
    </row>
    <row r="41702">
      <c r="H41702" t="s">
        <v>5117</v>
      </c>
    </row>
    <row r="41703">
      <c r="H41703" t="s">
        <v>5117</v>
      </c>
    </row>
    <row r="41704">
      <c r="H41704" t="s">
        <v>5117</v>
      </c>
    </row>
    <row r="41705">
      <c r="H41705" t="s">
        <v>5117</v>
      </c>
    </row>
    <row r="41706">
      <c r="H41706" t="s">
        <v>5117</v>
      </c>
    </row>
    <row r="41707">
      <c r="H41707" t="s">
        <v>5117</v>
      </c>
    </row>
    <row r="41708">
      <c r="H41708" t="s">
        <v>5117</v>
      </c>
    </row>
    <row r="41709">
      <c r="H41709" t="s">
        <v>5117</v>
      </c>
    </row>
    <row r="41710">
      <c r="H41710" t="s">
        <v>5117</v>
      </c>
    </row>
    <row r="41711">
      <c r="H41711" t="s">
        <v>5117</v>
      </c>
    </row>
    <row r="41712">
      <c r="H41712" t="s">
        <v>5117</v>
      </c>
    </row>
    <row r="41713">
      <c r="H41713" t="s">
        <v>5117</v>
      </c>
    </row>
    <row r="41714">
      <c r="H41714" t="s">
        <v>5117</v>
      </c>
    </row>
    <row r="41715">
      <c r="H41715" t="s">
        <v>5117</v>
      </c>
    </row>
    <row r="41716">
      <c r="H41716" t="s">
        <v>5117</v>
      </c>
    </row>
    <row r="41717">
      <c r="H41717" t="s">
        <v>5117</v>
      </c>
    </row>
    <row r="41718">
      <c r="H41718" t="s">
        <v>5117</v>
      </c>
    </row>
    <row r="41719">
      <c r="H41719" t="s">
        <v>5117</v>
      </c>
    </row>
    <row r="41720">
      <c r="H41720" t="s">
        <v>5117</v>
      </c>
    </row>
    <row r="41721">
      <c r="H41721" t="s">
        <v>5117</v>
      </c>
    </row>
    <row r="41722">
      <c r="H41722" t="s">
        <v>5117</v>
      </c>
    </row>
    <row r="41723">
      <c r="H41723" t="s">
        <v>5117</v>
      </c>
    </row>
    <row r="41724">
      <c r="H41724" t="s">
        <v>5117</v>
      </c>
    </row>
    <row r="41725">
      <c r="H41725" t="s">
        <v>5117</v>
      </c>
    </row>
    <row r="41726">
      <c r="H41726" t="s">
        <v>5117</v>
      </c>
    </row>
    <row r="41727">
      <c r="H41727" t="s">
        <v>5117</v>
      </c>
    </row>
    <row r="41728">
      <c r="H41728" t="s">
        <v>5117</v>
      </c>
    </row>
    <row r="41729">
      <c r="H41729" t="s">
        <v>5117</v>
      </c>
    </row>
    <row r="41730">
      <c r="H41730" t="s">
        <v>5117</v>
      </c>
    </row>
    <row r="41731">
      <c r="H41731" t="s">
        <v>5117</v>
      </c>
    </row>
    <row r="41732">
      <c r="H41732" t="s">
        <v>5117</v>
      </c>
    </row>
    <row r="41733">
      <c r="H41733" t="s">
        <v>5117</v>
      </c>
    </row>
    <row r="41734">
      <c r="H41734" t="s">
        <v>5117</v>
      </c>
    </row>
    <row r="41735">
      <c r="H41735" t="s">
        <v>5117</v>
      </c>
    </row>
    <row r="41736">
      <c r="H41736" t="s">
        <v>5117</v>
      </c>
    </row>
    <row r="41737">
      <c r="H41737" t="s">
        <v>5117</v>
      </c>
    </row>
    <row r="41738">
      <c r="H41738" t="s">
        <v>5117</v>
      </c>
    </row>
    <row r="41739">
      <c r="H41739" t="s">
        <v>5117</v>
      </c>
    </row>
    <row r="41740">
      <c r="H41740" t="s">
        <v>5117</v>
      </c>
    </row>
    <row r="41741">
      <c r="H41741" t="s">
        <v>5117</v>
      </c>
    </row>
    <row r="41742">
      <c r="H41742" t="s">
        <v>5117</v>
      </c>
    </row>
    <row r="41743">
      <c r="H41743" t="s">
        <v>5117</v>
      </c>
    </row>
    <row r="41744">
      <c r="H41744" t="s">
        <v>5117</v>
      </c>
    </row>
    <row r="41745">
      <c r="H41745" t="s">
        <v>5117</v>
      </c>
    </row>
    <row r="41746">
      <c r="H41746" t="s">
        <v>5117</v>
      </c>
    </row>
    <row r="41747">
      <c r="H41747" t="s">
        <v>5117</v>
      </c>
    </row>
    <row r="41748">
      <c r="H41748" t="s">
        <v>5117</v>
      </c>
    </row>
    <row r="41749">
      <c r="H41749" t="s">
        <v>5117</v>
      </c>
    </row>
    <row r="41750">
      <c r="H41750" t="s">
        <v>5117</v>
      </c>
    </row>
    <row r="41751">
      <c r="H41751" t="s">
        <v>5117</v>
      </c>
    </row>
    <row r="41752">
      <c r="H41752" t="s">
        <v>5117</v>
      </c>
    </row>
    <row r="41753">
      <c r="H41753" t="s">
        <v>5117</v>
      </c>
    </row>
    <row r="41754">
      <c r="H41754" t="s">
        <v>5117</v>
      </c>
    </row>
    <row r="41755">
      <c r="H41755" t="s">
        <v>5117</v>
      </c>
    </row>
    <row r="41756">
      <c r="H41756" t="s">
        <v>5117</v>
      </c>
    </row>
    <row r="41757">
      <c r="H41757" t="s">
        <v>5117</v>
      </c>
    </row>
    <row r="41758">
      <c r="H41758" t="s">
        <v>5117</v>
      </c>
    </row>
    <row r="41759">
      <c r="H41759" t="s">
        <v>5117</v>
      </c>
    </row>
    <row r="41760">
      <c r="H41760" t="s">
        <v>5117</v>
      </c>
    </row>
    <row r="41761">
      <c r="H41761" t="s">
        <v>5117</v>
      </c>
    </row>
    <row r="41762">
      <c r="H41762" t="s">
        <v>5117</v>
      </c>
    </row>
    <row r="41763">
      <c r="H41763" t="s">
        <v>5117</v>
      </c>
    </row>
    <row r="41764">
      <c r="H41764" t="s">
        <v>5117</v>
      </c>
    </row>
    <row r="41765">
      <c r="H41765" t="s">
        <v>5117</v>
      </c>
    </row>
    <row r="41766">
      <c r="H41766" t="s">
        <v>5117</v>
      </c>
    </row>
    <row r="41767">
      <c r="H41767" t="s">
        <v>5117</v>
      </c>
    </row>
    <row r="41768">
      <c r="H41768" t="s">
        <v>5117</v>
      </c>
    </row>
    <row r="41769">
      <c r="H41769" t="s">
        <v>5117</v>
      </c>
    </row>
    <row r="41770">
      <c r="H41770" t="s">
        <v>5117</v>
      </c>
    </row>
    <row r="41771">
      <c r="H41771" t="s">
        <v>5117</v>
      </c>
    </row>
    <row r="41772">
      <c r="H41772" t="s">
        <v>5117</v>
      </c>
    </row>
    <row r="41773">
      <c r="H41773" t="s">
        <v>5117</v>
      </c>
    </row>
    <row r="41774">
      <c r="H41774" t="s">
        <v>5117</v>
      </c>
    </row>
    <row r="41775">
      <c r="H41775" t="s">
        <v>5117</v>
      </c>
    </row>
    <row r="41776">
      <c r="H41776" t="s">
        <v>5117</v>
      </c>
    </row>
    <row r="41777">
      <c r="H41777" t="s">
        <v>5117</v>
      </c>
    </row>
    <row r="41778">
      <c r="H41778" t="s">
        <v>5117</v>
      </c>
    </row>
    <row r="41779">
      <c r="H41779" t="s">
        <v>5117</v>
      </c>
    </row>
    <row r="41780">
      <c r="H41780" t="s">
        <v>5117</v>
      </c>
    </row>
    <row r="41781">
      <c r="H41781" t="s">
        <v>5117</v>
      </c>
    </row>
    <row r="41782">
      <c r="H41782" t="s">
        <v>5117</v>
      </c>
    </row>
    <row r="41783">
      <c r="H41783" t="s">
        <v>5117</v>
      </c>
    </row>
    <row r="41784">
      <c r="H41784" t="s">
        <v>5117</v>
      </c>
    </row>
    <row r="41785">
      <c r="H41785" t="s">
        <v>5117</v>
      </c>
    </row>
    <row r="41786">
      <c r="H41786" t="s">
        <v>5117</v>
      </c>
    </row>
    <row r="41787">
      <c r="H41787" t="s">
        <v>5117</v>
      </c>
    </row>
    <row r="41788">
      <c r="H41788" t="s">
        <v>5117</v>
      </c>
    </row>
    <row r="41789">
      <c r="H41789" t="s">
        <v>5117</v>
      </c>
    </row>
    <row r="41790">
      <c r="H41790" t="s">
        <v>5117</v>
      </c>
    </row>
    <row r="41791">
      <c r="H41791" t="s">
        <v>5117</v>
      </c>
    </row>
    <row r="41792">
      <c r="H41792" t="s">
        <v>5117</v>
      </c>
    </row>
    <row r="41793">
      <c r="H41793" t="s">
        <v>5117</v>
      </c>
    </row>
    <row r="41794">
      <c r="H41794" t="s">
        <v>5117</v>
      </c>
    </row>
    <row r="41795">
      <c r="H41795" t="s">
        <v>5117</v>
      </c>
    </row>
    <row r="41796">
      <c r="H41796" t="s">
        <v>5117</v>
      </c>
    </row>
    <row r="41797">
      <c r="H41797" t="s">
        <v>5117</v>
      </c>
    </row>
    <row r="41798">
      <c r="H41798" t="s">
        <v>5117</v>
      </c>
    </row>
    <row r="41799">
      <c r="H41799" t="s">
        <v>5117</v>
      </c>
    </row>
    <row r="41800">
      <c r="H41800" t="s">
        <v>5117</v>
      </c>
    </row>
    <row r="41801">
      <c r="H41801" t="s">
        <v>5117</v>
      </c>
    </row>
    <row r="41802">
      <c r="H41802" t="s">
        <v>5117</v>
      </c>
    </row>
    <row r="41803">
      <c r="H41803" t="s">
        <v>5117</v>
      </c>
    </row>
    <row r="41804">
      <c r="H41804" t="s">
        <v>5117</v>
      </c>
    </row>
    <row r="41805">
      <c r="H41805" t="s">
        <v>5117</v>
      </c>
    </row>
    <row r="41806">
      <c r="H41806" t="s">
        <v>5117</v>
      </c>
    </row>
    <row r="41807">
      <c r="H41807" t="s">
        <v>5117</v>
      </c>
    </row>
    <row r="41808">
      <c r="H41808" t="s">
        <v>5117</v>
      </c>
    </row>
    <row r="41809">
      <c r="H41809" t="s">
        <v>5117</v>
      </c>
    </row>
    <row r="41810">
      <c r="H41810" t="s">
        <v>5117</v>
      </c>
    </row>
    <row r="41811">
      <c r="H41811" t="s">
        <v>5117</v>
      </c>
    </row>
    <row r="41812">
      <c r="H41812" t="s">
        <v>5117</v>
      </c>
    </row>
    <row r="41813">
      <c r="H41813" t="s">
        <v>5117</v>
      </c>
    </row>
    <row r="41814">
      <c r="H41814" t="s">
        <v>5117</v>
      </c>
    </row>
    <row r="41815">
      <c r="H41815" t="s">
        <v>5117</v>
      </c>
    </row>
    <row r="41816">
      <c r="H41816" t="s">
        <v>5117</v>
      </c>
    </row>
    <row r="41817">
      <c r="H41817" t="s">
        <v>5117</v>
      </c>
    </row>
    <row r="41818">
      <c r="H41818" t="s">
        <v>5117</v>
      </c>
    </row>
    <row r="41819">
      <c r="H41819" t="s">
        <v>5117</v>
      </c>
    </row>
    <row r="41820">
      <c r="H41820" t="s">
        <v>5117</v>
      </c>
    </row>
    <row r="41821">
      <c r="H41821" t="s">
        <v>5117</v>
      </c>
    </row>
    <row r="41822">
      <c r="H41822" t="s">
        <v>5117</v>
      </c>
    </row>
    <row r="41823">
      <c r="H41823" t="s">
        <v>5117</v>
      </c>
    </row>
    <row r="41824">
      <c r="H41824" t="s">
        <v>5117</v>
      </c>
    </row>
    <row r="41825">
      <c r="H41825" t="s">
        <v>5117</v>
      </c>
    </row>
    <row r="41826">
      <c r="H41826" t="s">
        <v>5117</v>
      </c>
    </row>
    <row r="41827">
      <c r="H41827" t="s">
        <v>5117</v>
      </c>
    </row>
    <row r="41828">
      <c r="H41828" t="s">
        <v>5117</v>
      </c>
    </row>
    <row r="41829">
      <c r="H41829" t="s">
        <v>5117</v>
      </c>
    </row>
    <row r="41830">
      <c r="H41830" t="s">
        <v>5117</v>
      </c>
    </row>
    <row r="41831">
      <c r="H41831" t="s">
        <v>5117</v>
      </c>
    </row>
    <row r="41832">
      <c r="H41832" t="s">
        <v>5117</v>
      </c>
    </row>
    <row r="41833">
      <c r="H41833" t="s">
        <v>5117</v>
      </c>
    </row>
    <row r="41834">
      <c r="H41834" t="s">
        <v>5117</v>
      </c>
    </row>
    <row r="41835">
      <c r="H41835" t="s">
        <v>5117</v>
      </c>
    </row>
    <row r="41836">
      <c r="H41836" t="s">
        <v>5117</v>
      </c>
    </row>
    <row r="41837">
      <c r="H41837" t="s">
        <v>5117</v>
      </c>
    </row>
    <row r="41838">
      <c r="H41838" t="s">
        <v>5117</v>
      </c>
    </row>
    <row r="41839">
      <c r="H41839" t="s">
        <v>5117</v>
      </c>
    </row>
    <row r="41840">
      <c r="H41840" t="s">
        <v>5117</v>
      </c>
    </row>
    <row r="41841">
      <c r="H41841" t="s">
        <v>5117</v>
      </c>
    </row>
    <row r="41842">
      <c r="H41842" t="s">
        <v>5117</v>
      </c>
    </row>
    <row r="41843">
      <c r="H41843" t="s">
        <v>5117</v>
      </c>
    </row>
    <row r="41844">
      <c r="H41844" t="s">
        <v>5117</v>
      </c>
    </row>
    <row r="41845">
      <c r="H41845" t="s">
        <v>5117</v>
      </c>
    </row>
    <row r="41846">
      <c r="H41846" t="s">
        <v>5117</v>
      </c>
    </row>
    <row r="41847">
      <c r="H41847" t="s">
        <v>5117</v>
      </c>
    </row>
    <row r="41848">
      <c r="H41848" t="s">
        <v>5117</v>
      </c>
    </row>
    <row r="41849">
      <c r="H41849" t="s">
        <v>5117</v>
      </c>
    </row>
    <row r="41850">
      <c r="H41850" t="s">
        <v>5117</v>
      </c>
    </row>
    <row r="41851">
      <c r="H41851" t="s">
        <v>5117</v>
      </c>
    </row>
    <row r="41852">
      <c r="H41852" t="s">
        <v>5117</v>
      </c>
    </row>
    <row r="41853">
      <c r="H41853" t="s">
        <v>5117</v>
      </c>
    </row>
    <row r="41854">
      <c r="H41854" t="s">
        <v>5117</v>
      </c>
    </row>
    <row r="41855">
      <c r="H41855" t="s">
        <v>5117</v>
      </c>
    </row>
    <row r="41856">
      <c r="H41856" t="s">
        <v>5117</v>
      </c>
    </row>
    <row r="41857">
      <c r="H41857" t="s">
        <v>5117</v>
      </c>
    </row>
    <row r="41858">
      <c r="H41858" t="s">
        <v>5117</v>
      </c>
    </row>
    <row r="41859">
      <c r="H41859" t="s">
        <v>5117</v>
      </c>
    </row>
    <row r="41860">
      <c r="H41860" t="s">
        <v>5117</v>
      </c>
    </row>
    <row r="41861">
      <c r="H41861" t="s">
        <v>5117</v>
      </c>
    </row>
    <row r="41862">
      <c r="H41862" t="s">
        <v>5117</v>
      </c>
    </row>
    <row r="41863">
      <c r="H41863" t="s">
        <v>5117</v>
      </c>
    </row>
    <row r="41864">
      <c r="H41864" t="s">
        <v>5117</v>
      </c>
    </row>
    <row r="41865">
      <c r="H41865" t="s">
        <v>5117</v>
      </c>
    </row>
    <row r="41866">
      <c r="H41866" t="s">
        <v>5117</v>
      </c>
    </row>
    <row r="41867">
      <c r="H41867" t="s">
        <v>5117</v>
      </c>
    </row>
    <row r="41868">
      <c r="H41868" t="s">
        <v>5117</v>
      </c>
    </row>
    <row r="41869">
      <c r="H41869" t="s">
        <v>5117</v>
      </c>
    </row>
    <row r="41870">
      <c r="H41870" t="s">
        <v>5117</v>
      </c>
    </row>
    <row r="41871">
      <c r="H41871" t="s">
        <v>5117</v>
      </c>
    </row>
    <row r="41872">
      <c r="H41872" t="s">
        <v>5117</v>
      </c>
    </row>
    <row r="41873">
      <c r="H41873" t="s">
        <v>5117</v>
      </c>
    </row>
    <row r="41874">
      <c r="H41874" t="s">
        <v>5117</v>
      </c>
    </row>
    <row r="41875">
      <c r="H41875" t="s">
        <v>5117</v>
      </c>
    </row>
    <row r="41876">
      <c r="H41876" t="s">
        <v>5117</v>
      </c>
    </row>
    <row r="41877">
      <c r="H41877" t="s">
        <v>5117</v>
      </c>
    </row>
    <row r="41878">
      <c r="H41878" t="s">
        <v>5117</v>
      </c>
    </row>
    <row r="41879">
      <c r="H41879" t="s">
        <v>5117</v>
      </c>
    </row>
    <row r="41880">
      <c r="H41880" t="s">
        <v>5117</v>
      </c>
    </row>
    <row r="41881">
      <c r="H41881" t="s">
        <v>5117</v>
      </c>
    </row>
    <row r="41882">
      <c r="H41882" t="s">
        <v>5117</v>
      </c>
    </row>
    <row r="41883">
      <c r="H41883" t="s">
        <v>5117</v>
      </c>
    </row>
    <row r="41884">
      <c r="H41884" t="s">
        <v>5117</v>
      </c>
    </row>
    <row r="41885">
      <c r="H41885" t="s">
        <v>5117</v>
      </c>
    </row>
    <row r="41886">
      <c r="H41886" t="s">
        <v>5117</v>
      </c>
    </row>
    <row r="41887">
      <c r="H41887" t="s">
        <v>5117</v>
      </c>
    </row>
    <row r="41888">
      <c r="H41888" t="s">
        <v>5117</v>
      </c>
    </row>
    <row r="41889">
      <c r="H41889" t="s">
        <v>5117</v>
      </c>
    </row>
    <row r="41890">
      <c r="H41890" t="s">
        <v>5117</v>
      </c>
    </row>
    <row r="41891">
      <c r="H41891" t="s">
        <v>5117</v>
      </c>
    </row>
    <row r="41892">
      <c r="H41892" t="s">
        <v>5117</v>
      </c>
    </row>
    <row r="41893">
      <c r="H41893" t="s">
        <v>5117</v>
      </c>
    </row>
    <row r="41894">
      <c r="H41894" t="s">
        <v>5117</v>
      </c>
    </row>
    <row r="41895">
      <c r="H41895" t="s">
        <v>5117</v>
      </c>
    </row>
    <row r="41896">
      <c r="H41896" t="s">
        <v>5117</v>
      </c>
    </row>
    <row r="41897">
      <c r="H41897" t="s">
        <v>5117</v>
      </c>
    </row>
    <row r="41898">
      <c r="H41898" t="s">
        <v>5117</v>
      </c>
    </row>
    <row r="41899">
      <c r="H41899" t="s">
        <v>5117</v>
      </c>
    </row>
    <row r="41900">
      <c r="H41900" t="s">
        <v>5117</v>
      </c>
    </row>
    <row r="41901">
      <c r="H41901" t="s">
        <v>5117</v>
      </c>
    </row>
    <row r="41902">
      <c r="H41902" t="s">
        <v>5117</v>
      </c>
    </row>
    <row r="41903">
      <c r="H41903" t="s">
        <v>5117</v>
      </c>
    </row>
    <row r="41904">
      <c r="H41904" t="s">
        <v>5117</v>
      </c>
    </row>
    <row r="41905">
      <c r="H41905" t="s">
        <v>5117</v>
      </c>
    </row>
    <row r="41906">
      <c r="H41906" t="s">
        <v>5117</v>
      </c>
    </row>
    <row r="41907">
      <c r="H41907" t="s">
        <v>5117</v>
      </c>
    </row>
    <row r="41908">
      <c r="H41908" t="s">
        <v>5117</v>
      </c>
    </row>
    <row r="41909">
      <c r="H41909" t="s">
        <v>5117</v>
      </c>
    </row>
    <row r="41910">
      <c r="H41910" t="s">
        <v>5117</v>
      </c>
    </row>
    <row r="41911">
      <c r="H41911" t="s">
        <v>5117</v>
      </c>
    </row>
    <row r="41912">
      <c r="H41912" t="s">
        <v>5117</v>
      </c>
    </row>
    <row r="41913">
      <c r="H41913" t="s">
        <v>5117</v>
      </c>
    </row>
    <row r="41914">
      <c r="H41914" t="s">
        <v>5117</v>
      </c>
    </row>
    <row r="41915">
      <c r="H41915" t="s">
        <v>5117</v>
      </c>
    </row>
    <row r="41916">
      <c r="H41916" t="s">
        <v>5117</v>
      </c>
    </row>
    <row r="41917">
      <c r="H41917" t="s">
        <v>5117</v>
      </c>
    </row>
    <row r="41918">
      <c r="H41918" t="s">
        <v>5117</v>
      </c>
    </row>
    <row r="41919">
      <c r="H41919" t="s">
        <v>5117</v>
      </c>
    </row>
    <row r="41920">
      <c r="H41920" t="s">
        <v>5117</v>
      </c>
    </row>
    <row r="41921">
      <c r="H41921" t="s">
        <v>5117</v>
      </c>
    </row>
    <row r="41922">
      <c r="H41922" t="s">
        <v>5117</v>
      </c>
    </row>
    <row r="41923">
      <c r="H41923" t="s">
        <v>5117</v>
      </c>
    </row>
    <row r="41924">
      <c r="H41924" t="s">
        <v>5117</v>
      </c>
    </row>
    <row r="41925">
      <c r="H41925" t="s">
        <v>5117</v>
      </c>
    </row>
    <row r="41926">
      <c r="H41926" t="s">
        <v>5117</v>
      </c>
    </row>
    <row r="41927">
      <c r="H41927" t="s">
        <v>5117</v>
      </c>
    </row>
    <row r="41928">
      <c r="H41928" t="s">
        <v>5117</v>
      </c>
    </row>
    <row r="41929">
      <c r="H41929" t="s">
        <v>5117</v>
      </c>
    </row>
    <row r="41930">
      <c r="H41930" t="s">
        <v>5117</v>
      </c>
    </row>
    <row r="41931">
      <c r="H41931" t="s">
        <v>5117</v>
      </c>
    </row>
    <row r="41932">
      <c r="H41932" t="s">
        <v>5117</v>
      </c>
    </row>
    <row r="41933">
      <c r="H41933" t="s">
        <v>5117</v>
      </c>
    </row>
    <row r="41934">
      <c r="H41934" t="s">
        <v>5117</v>
      </c>
    </row>
    <row r="41935">
      <c r="H41935" t="s">
        <v>5117</v>
      </c>
    </row>
    <row r="41936">
      <c r="H41936" t="s">
        <v>5117</v>
      </c>
    </row>
    <row r="41937">
      <c r="H41937" t="s">
        <v>5117</v>
      </c>
    </row>
    <row r="41938">
      <c r="H41938" t="s">
        <v>5117</v>
      </c>
    </row>
    <row r="41939">
      <c r="H41939" t="s">
        <v>5117</v>
      </c>
    </row>
    <row r="41940">
      <c r="H41940" t="s">
        <v>5117</v>
      </c>
    </row>
    <row r="41941">
      <c r="H41941" t="s">
        <v>5117</v>
      </c>
    </row>
    <row r="41942">
      <c r="H41942" t="s">
        <v>5117</v>
      </c>
    </row>
    <row r="41943">
      <c r="H41943" t="s">
        <v>5117</v>
      </c>
    </row>
    <row r="41944">
      <c r="H41944" t="s">
        <v>5117</v>
      </c>
    </row>
    <row r="41945">
      <c r="H41945" t="s">
        <v>5117</v>
      </c>
    </row>
    <row r="41946">
      <c r="H41946" t="s">
        <v>5117</v>
      </c>
    </row>
    <row r="41947">
      <c r="H41947" t="s">
        <v>5117</v>
      </c>
    </row>
    <row r="41948">
      <c r="H41948" t="s">
        <v>5117</v>
      </c>
    </row>
    <row r="41949">
      <c r="H41949" t="s">
        <v>5117</v>
      </c>
    </row>
    <row r="41950">
      <c r="H41950" t="s">
        <v>5117</v>
      </c>
    </row>
    <row r="41951">
      <c r="H41951" t="s">
        <v>5117</v>
      </c>
    </row>
    <row r="41952">
      <c r="H41952" t="s">
        <v>5117</v>
      </c>
    </row>
    <row r="41953">
      <c r="H41953" t="s">
        <v>5117</v>
      </c>
    </row>
    <row r="41954">
      <c r="H41954" t="s">
        <v>5117</v>
      </c>
    </row>
    <row r="41955">
      <c r="H41955" t="s">
        <v>5117</v>
      </c>
    </row>
    <row r="41956">
      <c r="H41956" t="s">
        <v>5117</v>
      </c>
    </row>
    <row r="41957">
      <c r="H41957" t="s">
        <v>5117</v>
      </c>
    </row>
    <row r="41958">
      <c r="H41958" t="s">
        <v>5117</v>
      </c>
    </row>
    <row r="41959">
      <c r="H41959" t="s">
        <v>5117</v>
      </c>
    </row>
    <row r="41960">
      <c r="H41960" t="s">
        <v>5117</v>
      </c>
    </row>
    <row r="41961">
      <c r="H41961" t="s">
        <v>5117</v>
      </c>
    </row>
    <row r="41962">
      <c r="H41962" t="s">
        <v>5117</v>
      </c>
    </row>
    <row r="41963">
      <c r="H41963" t="s">
        <v>5117</v>
      </c>
    </row>
    <row r="41964">
      <c r="H41964" t="s">
        <v>5117</v>
      </c>
    </row>
    <row r="41965">
      <c r="H41965" t="s">
        <v>5117</v>
      </c>
    </row>
    <row r="41966">
      <c r="H41966" t="s">
        <v>5117</v>
      </c>
    </row>
    <row r="41967">
      <c r="H41967" t="s">
        <v>5117</v>
      </c>
    </row>
    <row r="41968">
      <c r="H41968" t="s">
        <v>5117</v>
      </c>
    </row>
    <row r="41969">
      <c r="H41969" t="s">
        <v>5117</v>
      </c>
    </row>
    <row r="41970">
      <c r="H41970" t="s">
        <v>5117</v>
      </c>
    </row>
    <row r="41971">
      <c r="H41971" t="s">
        <v>5117</v>
      </c>
    </row>
    <row r="41972">
      <c r="H41972" t="s">
        <v>5117</v>
      </c>
    </row>
    <row r="41973">
      <c r="H41973" t="s">
        <v>5117</v>
      </c>
    </row>
    <row r="41974">
      <c r="H41974" t="s">
        <v>5117</v>
      </c>
    </row>
    <row r="41975">
      <c r="H41975" t="s">
        <v>5117</v>
      </c>
    </row>
    <row r="41976">
      <c r="H41976" t="s">
        <v>5117</v>
      </c>
    </row>
    <row r="41977">
      <c r="H41977" t="s">
        <v>5117</v>
      </c>
    </row>
    <row r="41978">
      <c r="H41978" t="s">
        <v>5117</v>
      </c>
    </row>
    <row r="41979">
      <c r="H41979" t="s">
        <v>5117</v>
      </c>
    </row>
    <row r="41980">
      <c r="H41980" t="s">
        <v>5117</v>
      </c>
    </row>
    <row r="41981">
      <c r="H41981" t="s">
        <v>5117</v>
      </c>
    </row>
    <row r="41982">
      <c r="H41982" t="s">
        <v>5117</v>
      </c>
    </row>
    <row r="41983">
      <c r="H41983" t="s">
        <v>5117</v>
      </c>
    </row>
    <row r="41984">
      <c r="H41984" t="s">
        <v>5117</v>
      </c>
    </row>
    <row r="41985">
      <c r="H41985" t="s">
        <v>5117</v>
      </c>
    </row>
    <row r="41986">
      <c r="H41986" t="s">
        <v>5117</v>
      </c>
    </row>
    <row r="41987">
      <c r="H41987" t="s">
        <v>5117</v>
      </c>
    </row>
    <row r="41988">
      <c r="H41988" t="s">
        <v>5117</v>
      </c>
    </row>
    <row r="41989">
      <c r="H41989" t="s">
        <v>5117</v>
      </c>
    </row>
    <row r="41990">
      <c r="H41990" t="s">
        <v>5117</v>
      </c>
    </row>
    <row r="41991">
      <c r="H41991" t="s">
        <v>5117</v>
      </c>
    </row>
    <row r="41992">
      <c r="H41992" t="s">
        <v>5117</v>
      </c>
    </row>
    <row r="41993">
      <c r="H41993" t="s">
        <v>5117</v>
      </c>
    </row>
    <row r="41994">
      <c r="H41994" t="s">
        <v>5117</v>
      </c>
    </row>
    <row r="41995">
      <c r="H41995" t="s">
        <v>5117</v>
      </c>
    </row>
    <row r="41996">
      <c r="H41996" t="s">
        <v>5117</v>
      </c>
    </row>
    <row r="41997">
      <c r="H41997" t="s">
        <v>5117</v>
      </c>
    </row>
    <row r="41998">
      <c r="H41998" t="s">
        <v>5117</v>
      </c>
    </row>
    <row r="41999">
      <c r="H41999" t="s">
        <v>5117</v>
      </c>
    </row>
    <row r="42000">
      <c r="H42000" t="s">
        <v>5117</v>
      </c>
    </row>
    <row r="42001">
      <c r="H42001" t="s">
        <v>5117</v>
      </c>
    </row>
    <row r="42002">
      <c r="H42002" t="s">
        <v>5117</v>
      </c>
    </row>
    <row r="42003">
      <c r="H42003" t="s">
        <v>5117</v>
      </c>
    </row>
    <row r="42004">
      <c r="H42004" t="s">
        <v>5117</v>
      </c>
    </row>
    <row r="42005">
      <c r="H42005" t="s">
        <v>5117</v>
      </c>
    </row>
    <row r="42006">
      <c r="H42006" t="s">
        <v>5117</v>
      </c>
    </row>
    <row r="42007">
      <c r="H42007" t="s">
        <v>5117</v>
      </c>
    </row>
    <row r="42008">
      <c r="H42008" t="s">
        <v>5117</v>
      </c>
    </row>
    <row r="42009">
      <c r="H42009" t="s">
        <v>5117</v>
      </c>
    </row>
    <row r="42010">
      <c r="H42010" t="s">
        <v>5117</v>
      </c>
    </row>
    <row r="42011">
      <c r="H42011" t="s">
        <v>5117</v>
      </c>
    </row>
    <row r="42012">
      <c r="H42012" t="s">
        <v>5117</v>
      </c>
    </row>
    <row r="42013">
      <c r="H42013" t="s">
        <v>5117</v>
      </c>
    </row>
    <row r="42014">
      <c r="H42014" t="s">
        <v>5117</v>
      </c>
    </row>
    <row r="42015">
      <c r="H42015" t="s">
        <v>5117</v>
      </c>
    </row>
    <row r="42016">
      <c r="H42016" t="s">
        <v>5117</v>
      </c>
    </row>
    <row r="42017">
      <c r="H42017" t="s">
        <v>5117</v>
      </c>
    </row>
    <row r="42018">
      <c r="H42018" t="s">
        <v>5117</v>
      </c>
    </row>
    <row r="42019">
      <c r="H42019" t="s">
        <v>5117</v>
      </c>
    </row>
    <row r="42020">
      <c r="H42020" t="s">
        <v>5117</v>
      </c>
    </row>
    <row r="42021">
      <c r="H42021" t="s">
        <v>5117</v>
      </c>
    </row>
    <row r="42022">
      <c r="H42022" t="s">
        <v>5117</v>
      </c>
    </row>
    <row r="42023">
      <c r="H42023" t="s">
        <v>5117</v>
      </c>
    </row>
    <row r="42024">
      <c r="H42024" t="s">
        <v>5117</v>
      </c>
    </row>
    <row r="42025">
      <c r="H42025" t="s">
        <v>5117</v>
      </c>
    </row>
    <row r="42026">
      <c r="H42026" t="s">
        <v>5117</v>
      </c>
    </row>
    <row r="42027">
      <c r="H42027" t="s">
        <v>5117</v>
      </c>
    </row>
    <row r="42028">
      <c r="H42028" t="s">
        <v>5117</v>
      </c>
    </row>
    <row r="42029">
      <c r="H42029" t="s">
        <v>5117</v>
      </c>
    </row>
    <row r="42030">
      <c r="H42030" t="s">
        <v>5117</v>
      </c>
    </row>
    <row r="42031">
      <c r="H42031" t="s">
        <v>5117</v>
      </c>
    </row>
    <row r="42032">
      <c r="H42032" t="s">
        <v>5117</v>
      </c>
    </row>
    <row r="42033">
      <c r="H42033" t="s">
        <v>5117</v>
      </c>
    </row>
    <row r="42034">
      <c r="H42034" t="s">
        <v>5117</v>
      </c>
    </row>
    <row r="42035">
      <c r="H42035" t="s">
        <v>5117</v>
      </c>
    </row>
    <row r="42036">
      <c r="H42036" t="s">
        <v>5117</v>
      </c>
    </row>
    <row r="42037">
      <c r="H42037" t="s">
        <v>5117</v>
      </c>
    </row>
    <row r="42038">
      <c r="H42038" t="s">
        <v>5117</v>
      </c>
    </row>
    <row r="42039">
      <c r="H42039" t="s">
        <v>5117</v>
      </c>
    </row>
    <row r="42040">
      <c r="H42040" t="s">
        <v>5117</v>
      </c>
    </row>
    <row r="42041">
      <c r="H42041" t="s">
        <v>5117</v>
      </c>
    </row>
    <row r="42042">
      <c r="H42042" t="s">
        <v>5117</v>
      </c>
    </row>
    <row r="42043">
      <c r="H42043" t="s">
        <v>5117</v>
      </c>
    </row>
    <row r="42044">
      <c r="H42044" t="s">
        <v>5117</v>
      </c>
    </row>
    <row r="42045">
      <c r="H42045" t="s">
        <v>5117</v>
      </c>
    </row>
    <row r="42046">
      <c r="H42046" t="s">
        <v>5117</v>
      </c>
    </row>
    <row r="42047">
      <c r="H42047" t="s">
        <v>5117</v>
      </c>
    </row>
    <row r="42048">
      <c r="H42048" t="s">
        <v>5117</v>
      </c>
    </row>
    <row r="42049">
      <c r="H42049" t="s">
        <v>5117</v>
      </c>
    </row>
    <row r="42050">
      <c r="H42050" t="s">
        <v>5117</v>
      </c>
    </row>
    <row r="42051">
      <c r="H42051" t="s">
        <v>5117</v>
      </c>
    </row>
    <row r="42052">
      <c r="H42052" t="s">
        <v>5117</v>
      </c>
    </row>
    <row r="42053">
      <c r="H42053" t="s">
        <v>5117</v>
      </c>
    </row>
    <row r="42054">
      <c r="H42054" t="s">
        <v>5117</v>
      </c>
    </row>
    <row r="42055">
      <c r="H42055" t="s">
        <v>5117</v>
      </c>
    </row>
    <row r="42056">
      <c r="H42056" t="s">
        <v>5117</v>
      </c>
    </row>
    <row r="42057">
      <c r="H42057" t="s">
        <v>5117</v>
      </c>
    </row>
    <row r="42058">
      <c r="H42058" t="s">
        <v>5117</v>
      </c>
    </row>
    <row r="42059">
      <c r="H42059" t="s">
        <v>5117</v>
      </c>
    </row>
    <row r="42060">
      <c r="H42060" t="s">
        <v>5117</v>
      </c>
    </row>
    <row r="42061">
      <c r="H42061" t="s">
        <v>5117</v>
      </c>
    </row>
    <row r="42062">
      <c r="H42062" t="s">
        <v>5117</v>
      </c>
    </row>
    <row r="42063">
      <c r="H42063" t="s">
        <v>5117</v>
      </c>
    </row>
    <row r="42064">
      <c r="H42064" t="s">
        <v>5117</v>
      </c>
    </row>
    <row r="42065">
      <c r="H42065" t="s">
        <v>5117</v>
      </c>
    </row>
    <row r="42066">
      <c r="H42066" t="s">
        <v>5117</v>
      </c>
    </row>
    <row r="42067">
      <c r="H42067" t="s">
        <v>5117</v>
      </c>
    </row>
    <row r="42068">
      <c r="H42068" t="s">
        <v>5117</v>
      </c>
    </row>
    <row r="42069">
      <c r="H42069" t="s">
        <v>5117</v>
      </c>
    </row>
    <row r="42070">
      <c r="H42070" t="s">
        <v>5117</v>
      </c>
    </row>
    <row r="42071">
      <c r="H42071" t="s">
        <v>5117</v>
      </c>
    </row>
    <row r="42072">
      <c r="H42072" t="s">
        <v>5117</v>
      </c>
    </row>
    <row r="42073">
      <c r="H42073" t="s">
        <v>5117</v>
      </c>
    </row>
    <row r="42074">
      <c r="H42074" t="s">
        <v>5117</v>
      </c>
    </row>
    <row r="42075">
      <c r="H42075" t="s">
        <v>5117</v>
      </c>
    </row>
    <row r="42076">
      <c r="H42076" t="s">
        <v>5117</v>
      </c>
    </row>
    <row r="42077">
      <c r="H42077" t="s">
        <v>5117</v>
      </c>
    </row>
    <row r="42078">
      <c r="H42078" t="s">
        <v>5117</v>
      </c>
    </row>
    <row r="42079">
      <c r="H42079" t="s">
        <v>5117</v>
      </c>
    </row>
    <row r="42080">
      <c r="H42080" t="s">
        <v>5117</v>
      </c>
    </row>
    <row r="42081">
      <c r="H42081" t="s">
        <v>5117</v>
      </c>
    </row>
    <row r="42082">
      <c r="H42082" t="s">
        <v>5117</v>
      </c>
    </row>
    <row r="42083">
      <c r="H42083" t="s">
        <v>5117</v>
      </c>
    </row>
    <row r="42084">
      <c r="H42084" t="s">
        <v>5117</v>
      </c>
    </row>
    <row r="42085">
      <c r="H42085" t="s">
        <v>5117</v>
      </c>
    </row>
    <row r="42086">
      <c r="H42086" t="s">
        <v>5117</v>
      </c>
    </row>
    <row r="42087">
      <c r="H42087" t="s">
        <v>5117</v>
      </c>
    </row>
    <row r="42088">
      <c r="H42088" t="s">
        <v>5117</v>
      </c>
    </row>
    <row r="42089">
      <c r="H42089" t="s">
        <v>5117</v>
      </c>
    </row>
    <row r="42090">
      <c r="H42090" t="s">
        <v>5117</v>
      </c>
    </row>
    <row r="42091">
      <c r="H42091" t="s">
        <v>5117</v>
      </c>
    </row>
    <row r="42092">
      <c r="H42092" t="s">
        <v>5117</v>
      </c>
    </row>
    <row r="42093">
      <c r="H42093" t="s">
        <v>5117</v>
      </c>
    </row>
    <row r="42094">
      <c r="H42094" t="s">
        <v>5117</v>
      </c>
    </row>
    <row r="42095">
      <c r="H42095" t="s">
        <v>5117</v>
      </c>
    </row>
    <row r="42096">
      <c r="H42096" t="s">
        <v>5117</v>
      </c>
    </row>
    <row r="42097">
      <c r="H42097" t="s">
        <v>5117</v>
      </c>
    </row>
    <row r="42098">
      <c r="H42098" t="s">
        <v>5117</v>
      </c>
    </row>
    <row r="42099">
      <c r="H42099" t="s">
        <v>5117</v>
      </c>
    </row>
    <row r="42100">
      <c r="H42100" t="s">
        <v>5117</v>
      </c>
    </row>
    <row r="42101">
      <c r="H42101" t="s">
        <v>5117</v>
      </c>
    </row>
    <row r="42102">
      <c r="H42102" t="s">
        <v>5117</v>
      </c>
    </row>
    <row r="42103">
      <c r="H42103" t="s">
        <v>5117</v>
      </c>
    </row>
    <row r="42104">
      <c r="H42104" t="s">
        <v>5117</v>
      </c>
    </row>
    <row r="42105">
      <c r="H42105" t="s">
        <v>5117</v>
      </c>
    </row>
    <row r="42106">
      <c r="H42106" t="s">
        <v>5117</v>
      </c>
    </row>
    <row r="42107">
      <c r="H42107" t="s">
        <v>5117</v>
      </c>
    </row>
    <row r="42108">
      <c r="H42108" t="s">
        <v>5117</v>
      </c>
    </row>
    <row r="42109">
      <c r="H42109" t="s">
        <v>5117</v>
      </c>
    </row>
    <row r="42110">
      <c r="H42110" t="s">
        <v>5117</v>
      </c>
    </row>
    <row r="42111">
      <c r="H42111" t="s">
        <v>5117</v>
      </c>
    </row>
    <row r="42112">
      <c r="H42112" t="s">
        <v>5117</v>
      </c>
    </row>
    <row r="42113">
      <c r="H42113" t="s">
        <v>5117</v>
      </c>
    </row>
    <row r="42114">
      <c r="H42114" t="s">
        <v>5117</v>
      </c>
    </row>
    <row r="42115">
      <c r="H42115" t="s">
        <v>5117</v>
      </c>
    </row>
    <row r="42116">
      <c r="H42116" t="s">
        <v>5117</v>
      </c>
    </row>
    <row r="42117">
      <c r="H42117" t="s">
        <v>5117</v>
      </c>
    </row>
    <row r="42118">
      <c r="H42118" t="s">
        <v>5117</v>
      </c>
    </row>
    <row r="42119">
      <c r="H42119" t="s">
        <v>5117</v>
      </c>
    </row>
    <row r="42120">
      <c r="H42120" t="s">
        <v>5117</v>
      </c>
    </row>
    <row r="42121">
      <c r="H42121" t="s">
        <v>5117</v>
      </c>
    </row>
    <row r="42122">
      <c r="H42122" t="s">
        <v>5117</v>
      </c>
    </row>
    <row r="42123">
      <c r="H42123" t="s">
        <v>5117</v>
      </c>
    </row>
    <row r="42124">
      <c r="H42124" t="s">
        <v>5117</v>
      </c>
    </row>
    <row r="42125">
      <c r="H42125" t="s">
        <v>5117</v>
      </c>
    </row>
    <row r="42126">
      <c r="H42126" t="s">
        <v>5117</v>
      </c>
    </row>
    <row r="42127">
      <c r="H42127" t="s">
        <v>5117</v>
      </c>
    </row>
    <row r="42128">
      <c r="H42128" t="s">
        <v>5117</v>
      </c>
    </row>
    <row r="42129">
      <c r="H42129" t="s">
        <v>5117</v>
      </c>
    </row>
    <row r="42130">
      <c r="H42130" t="s">
        <v>5117</v>
      </c>
    </row>
    <row r="42131">
      <c r="H42131" t="s">
        <v>5117</v>
      </c>
    </row>
    <row r="42132">
      <c r="H42132" t="s">
        <v>5117</v>
      </c>
    </row>
    <row r="42133">
      <c r="H42133" t="s">
        <v>5117</v>
      </c>
    </row>
    <row r="42134">
      <c r="H42134" t="s">
        <v>5117</v>
      </c>
    </row>
    <row r="42135">
      <c r="H42135" t="s">
        <v>5117</v>
      </c>
    </row>
    <row r="42136">
      <c r="H42136" t="s">
        <v>5117</v>
      </c>
    </row>
    <row r="42137">
      <c r="H42137" t="s">
        <v>5117</v>
      </c>
    </row>
    <row r="42138">
      <c r="H42138" t="s">
        <v>5117</v>
      </c>
    </row>
    <row r="42139">
      <c r="H42139" t="s">
        <v>5117</v>
      </c>
    </row>
    <row r="42140">
      <c r="H42140" t="s">
        <v>5117</v>
      </c>
    </row>
    <row r="42141">
      <c r="H42141" t="s">
        <v>5117</v>
      </c>
    </row>
    <row r="42142">
      <c r="H42142" t="s">
        <v>5117</v>
      </c>
    </row>
    <row r="42143">
      <c r="H42143" t="s">
        <v>5117</v>
      </c>
    </row>
    <row r="42144">
      <c r="H42144" t="s">
        <v>5117</v>
      </c>
    </row>
    <row r="42145">
      <c r="H42145" t="s">
        <v>5117</v>
      </c>
    </row>
    <row r="42146">
      <c r="H42146" t="s">
        <v>5117</v>
      </c>
    </row>
    <row r="42147">
      <c r="H42147" t="s">
        <v>5117</v>
      </c>
    </row>
    <row r="42148">
      <c r="H42148" t="s">
        <v>5117</v>
      </c>
    </row>
    <row r="42149">
      <c r="H42149" t="s">
        <v>5117</v>
      </c>
    </row>
    <row r="42150">
      <c r="H42150" t="s">
        <v>5117</v>
      </c>
    </row>
    <row r="42151">
      <c r="H42151" t="s">
        <v>5117</v>
      </c>
    </row>
    <row r="42152">
      <c r="H42152" t="s">
        <v>5117</v>
      </c>
    </row>
    <row r="42153">
      <c r="H42153" t="s">
        <v>5117</v>
      </c>
    </row>
    <row r="42154">
      <c r="H42154" t="s">
        <v>5117</v>
      </c>
    </row>
    <row r="42155">
      <c r="H42155" t="s">
        <v>5117</v>
      </c>
    </row>
    <row r="42156">
      <c r="H42156" t="s">
        <v>5117</v>
      </c>
    </row>
    <row r="42157">
      <c r="H42157" t="s">
        <v>5117</v>
      </c>
    </row>
    <row r="42158">
      <c r="H42158" t="s">
        <v>5117</v>
      </c>
    </row>
    <row r="42159">
      <c r="H42159" t="s">
        <v>5117</v>
      </c>
    </row>
    <row r="42160">
      <c r="H42160" t="s">
        <v>5117</v>
      </c>
    </row>
    <row r="42161">
      <c r="H42161" t="s">
        <v>5117</v>
      </c>
    </row>
    <row r="42162">
      <c r="H42162" t="s">
        <v>5117</v>
      </c>
    </row>
    <row r="42163">
      <c r="H42163" t="s">
        <v>5117</v>
      </c>
    </row>
    <row r="42164">
      <c r="H42164" t="s">
        <v>5117</v>
      </c>
    </row>
    <row r="42165">
      <c r="H42165" t="s">
        <v>5117</v>
      </c>
    </row>
    <row r="42166">
      <c r="H42166" t="s">
        <v>5117</v>
      </c>
    </row>
    <row r="42167">
      <c r="H42167" t="s">
        <v>5117</v>
      </c>
    </row>
    <row r="42168">
      <c r="H42168" t="s">
        <v>5117</v>
      </c>
    </row>
    <row r="42169">
      <c r="H42169" t="s">
        <v>5117</v>
      </c>
    </row>
    <row r="42170">
      <c r="H42170" t="s">
        <v>5117</v>
      </c>
    </row>
    <row r="42171">
      <c r="H42171" t="s">
        <v>5117</v>
      </c>
    </row>
    <row r="42172">
      <c r="H42172" t="s">
        <v>5117</v>
      </c>
    </row>
    <row r="42173">
      <c r="H42173" t="s">
        <v>5117</v>
      </c>
    </row>
    <row r="42174">
      <c r="H42174" t="s">
        <v>5117</v>
      </c>
    </row>
    <row r="42175">
      <c r="H42175" t="s">
        <v>5117</v>
      </c>
    </row>
    <row r="42176">
      <c r="H42176" t="s">
        <v>5117</v>
      </c>
    </row>
    <row r="42177">
      <c r="H42177" t="s">
        <v>5117</v>
      </c>
    </row>
    <row r="42178">
      <c r="H42178" t="s">
        <v>5117</v>
      </c>
    </row>
    <row r="42179">
      <c r="H42179" t="s">
        <v>5117</v>
      </c>
    </row>
    <row r="42180">
      <c r="H42180" t="s">
        <v>5117</v>
      </c>
    </row>
    <row r="42181">
      <c r="H42181" t="s">
        <v>5117</v>
      </c>
    </row>
    <row r="42182">
      <c r="H42182" t="s">
        <v>5117</v>
      </c>
    </row>
    <row r="42183">
      <c r="H42183" t="s">
        <v>5117</v>
      </c>
    </row>
    <row r="42184">
      <c r="H42184" t="s">
        <v>5117</v>
      </c>
    </row>
    <row r="42185">
      <c r="H42185" t="s">
        <v>5117</v>
      </c>
    </row>
    <row r="42186">
      <c r="H42186" t="s">
        <v>5117</v>
      </c>
    </row>
    <row r="42187">
      <c r="H42187" t="s">
        <v>5117</v>
      </c>
    </row>
    <row r="42188">
      <c r="H42188" t="s">
        <v>5117</v>
      </c>
    </row>
    <row r="42189">
      <c r="H42189" t="s">
        <v>5117</v>
      </c>
    </row>
    <row r="42190">
      <c r="H42190" t="s">
        <v>5117</v>
      </c>
    </row>
    <row r="42191">
      <c r="H42191" t="s">
        <v>5117</v>
      </c>
    </row>
    <row r="42192">
      <c r="H42192" t="s">
        <v>5117</v>
      </c>
    </row>
    <row r="42193">
      <c r="H42193" t="s">
        <v>5117</v>
      </c>
    </row>
    <row r="42194">
      <c r="H42194" t="s">
        <v>5117</v>
      </c>
    </row>
    <row r="42195">
      <c r="H42195" t="s">
        <v>5117</v>
      </c>
    </row>
    <row r="42196">
      <c r="H42196" t="s">
        <v>5117</v>
      </c>
    </row>
    <row r="42197">
      <c r="H42197" t="s">
        <v>5117</v>
      </c>
    </row>
    <row r="42198">
      <c r="H42198" t="s">
        <v>5117</v>
      </c>
    </row>
    <row r="42199">
      <c r="H42199" t="s">
        <v>5117</v>
      </c>
    </row>
    <row r="42200">
      <c r="H42200" t="s">
        <v>5117</v>
      </c>
    </row>
    <row r="42201">
      <c r="H42201" t="s">
        <v>5117</v>
      </c>
    </row>
    <row r="42202">
      <c r="H42202" t="s">
        <v>5117</v>
      </c>
    </row>
    <row r="42203">
      <c r="H42203" t="s">
        <v>5117</v>
      </c>
    </row>
    <row r="42204">
      <c r="H42204" t="s">
        <v>5117</v>
      </c>
    </row>
    <row r="42205">
      <c r="H42205" t="s">
        <v>5117</v>
      </c>
    </row>
    <row r="42206">
      <c r="H42206" t="s">
        <v>5117</v>
      </c>
    </row>
    <row r="42207">
      <c r="H42207" t="s">
        <v>5117</v>
      </c>
    </row>
    <row r="42208">
      <c r="H42208" t="s">
        <v>5117</v>
      </c>
    </row>
    <row r="42209">
      <c r="H42209" t="s">
        <v>5117</v>
      </c>
    </row>
    <row r="42210">
      <c r="H42210" t="s">
        <v>5117</v>
      </c>
    </row>
    <row r="42211">
      <c r="H42211" t="s">
        <v>5117</v>
      </c>
    </row>
    <row r="42212">
      <c r="H42212" t="s">
        <v>5117</v>
      </c>
    </row>
    <row r="42213">
      <c r="H42213" t="s">
        <v>5117</v>
      </c>
    </row>
    <row r="42214">
      <c r="H42214" t="s">
        <v>5117</v>
      </c>
    </row>
    <row r="42215">
      <c r="H42215" t="s">
        <v>5117</v>
      </c>
    </row>
    <row r="42216">
      <c r="H42216" t="s">
        <v>5117</v>
      </c>
    </row>
    <row r="42217">
      <c r="H42217" t="s">
        <v>5117</v>
      </c>
    </row>
    <row r="42218">
      <c r="H42218" t="s">
        <v>5117</v>
      </c>
    </row>
    <row r="42219">
      <c r="H42219" t="s">
        <v>5117</v>
      </c>
    </row>
    <row r="42220">
      <c r="H42220" t="s">
        <v>5117</v>
      </c>
    </row>
    <row r="42221">
      <c r="H42221" t="s">
        <v>5117</v>
      </c>
    </row>
    <row r="42222">
      <c r="H42222" t="s">
        <v>5117</v>
      </c>
    </row>
    <row r="42223">
      <c r="H42223" t="s">
        <v>5117</v>
      </c>
    </row>
    <row r="42224">
      <c r="H42224" t="s">
        <v>5117</v>
      </c>
    </row>
    <row r="42225">
      <c r="H42225" t="s">
        <v>5117</v>
      </c>
    </row>
    <row r="42226">
      <c r="H42226" t="s">
        <v>5117</v>
      </c>
    </row>
    <row r="42227">
      <c r="H42227" t="s">
        <v>5117</v>
      </c>
    </row>
    <row r="42228">
      <c r="H42228" t="s">
        <v>5117</v>
      </c>
    </row>
    <row r="42229">
      <c r="H42229" t="s">
        <v>5117</v>
      </c>
    </row>
    <row r="42230">
      <c r="H42230" t="s">
        <v>5117</v>
      </c>
    </row>
    <row r="42231">
      <c r="H42231" t="s">
        <v>5117</v>
      </c>
    </row>
    <row r="42232">
      <c r="H42232" t="s">
        <v>5117</v>
      </c>
    </row>
    <row r="42233">
      <c r="H42233" t="s">
        <v>5117</v>
      </c>
    </row>
    <row r="42234">
      <c r="H42234" t="s">
        <v>5117</v>
      </c>
    </row>
    <row r="42235">
      <c r="H42235" t="s">
        <v>5117</v>
      </c>
    </row>
    <row r="42236">
      <c r="H42236" t="s">
        <v>5117</v>
      </c>
    </row>
    <row r="42237">
      <c r="H42237" t="s">
        <v>5117</v>
      </c>
    </row>
    <row r="42238">
      <c r="H42238" t="s">
        <v>5117</v>
      </c>
    </row>
    <row r="42239">
      <c r="H42239" t="s">
        <v>5117</v>
      </c>
    </row>
    <row r="42240">
      <c r="H42240" t="s">
        <v>5117</v>
      </c>
    </row>
    <row r="42241">
      <c r="H42241" t="s">
        <v>5117</v>
      </c>
    </row>
    <row r="42242">
      <c r="H42242" t="s">
        <v>5117</v>
      </c>
    </row>
    <row r="42243">
      <c r="H42243" t="s">
        <v>5117</v>
      </c>
    </row>
    <row r="42244">
      <c r="H42244" t="s">
        <v>5117</v>
      </c>
    </row>
    <row r="42245">
      <c r="H42245" t="s">
        <v>5117</v>
      </c>
    </row>
    <row r="42246">
      <c r="H42246" t="s">
        <v>5117</v>
      </c>
    </row>
    <row r="42247">
      <c r="H42247" t="s">
        <v>5117</v>
      </c>
    </row>
    <row r="42248">
      <c r="H42248" t="s">
        <v>5117</v>
      </c>
    </row>
    <row r="42249">
      <c r="H42249" t="s">
        <v>5117</v>
      </c>
    </row>
    <row r="42250">
      <c r="H42250" t="s">
        <v>5117</v>
      </c>
    </row>
    <row r="42251">
      <c r="H42251" t="s">
        <v>5117</v>
      </c>
    </row>
    <row r="42252">
      <c r="H42252" t="s">
        <v>5117</v>
      </c>
    </row>
    <row r="42253">
      <c r="H42253" t="s">
        <v>5117</v>
      </c>
    </row>
    <row r="42254">
      <c r="H42254" t="s">
        <v>5117</v>
      </c>
    </row>
    <row r="42255">
      <c r="H42255" t="s">
        <v>5117</v>
      </c>
    </row>
    <row r="42256">
      <c r="H42256" t="s">
        <v>5117</v>
      </c>
    </row>
    <row r="42257">
      <c r="H42257" t="s">
        <v>5117</v>
      </c>
    </row>
    <row r="42258">
      <c r="H42258" t="s">
        <v>5117</v>
      </c>
    </row>
    <row r="42259">
      <c r="H42259" t="s">
        <v>5117</v>
      </c>
    </row>
    <row r="42260">
      <c r="H42260" t="s">
        <v>5117</v>
      </c>
    </row>
    <row r="42261">
      <c r="H42261" t="s">
        <v>5117</v>
      </c>
    </row>
    <row r="42262">
      <c r="H42262" t="s">
        <v>5117</v>
      </c>
    </row>
    <row r="42263">
      <c r="H42263" t="s">
        <v>5117</v>
      </c>
    </row>
    <row r="42264">
      <c r="H42264" t="s">
        <v>5117</v>
      </c>
    </row>
    <row r="42265">
      <c r="H42265" t="s">
        <v>5117</v>
      </c>
    </row>
    <row r="42266">
      <c r="H42266" t="s">
        <v>5117</v>
      </c>
    </row>
    <row r="42267">
      <c r="H42267" t="s">
        <v>5117</v>
      </c>
    </row>
    <row r="42268">
      <c r="H42268" t="s">
        <v>5117</v>
      </c>
    </row>
    <row r="42269">
      <c r="H42269" t="s">
        <v>5117</v>
      </c>
    </row>
    <row r="42270">
      <c r="H42270" t="s">
        <v>5117</v>
      </c>
    </row>
    <row r="42271">
      <c r="H42271" t="s">
        <v>5117</v>
      </c>
    </row>
    <row r="42272">
      <c r="H42272" t="s">
        <v>5117</v>
      </c>
    </row>
    <row r="42273">
      <c r="H42273" t="s">
        <v>5117</v>
      </c>
    </row>
    <row r="42274">
      <c r="H42274" t="s">
        <v>5117</v>
      </c>
    </row>
    <row r="42275">
      <c r="H42275" t="s">
        <v>5117</v>
      </c>
    </row>
    <row r="42276">
      <c r="H42276" t="s">
        <v>5117</v>
      </c>
    </row>
    <row r="42277">
      <c r="H42277" t="s">
        <v>5117</v>
      </c>
    </row>
    <row r="42278">
      <c r="H42278" t="s">
        <v>5117</v>
      </c>
    </row>
    <row r="42279">
      <c r="H42279" t="s">
        <v>5117</v>
      </c>
    </row>
    <row r="42280">
      <c r="H42280" t="s">
        <v>5117</v>
      </c>
    </row>
    <row r="42281">
      <c r="H42281" t="s">
        <v>5117</v>
      </c>
    </row>
    <row r="42282">
      <c r="H42282" t="s">
        <v>5117</v>
      </c>
    </row>
    <row r="42283">
      <c r="H42283" t="s">
        <v>5117</v>
      </c>
    </row>
    <row r="42284">
      <c r="H42284" t="s">
        <v>5117</v>
      </c>
    </row>
    <row r="42285">
      <c r="H42285" t="s">
        <v>5117</v>
      </c>
    </row>
    <row r="42286">
      <c r="H42286" t="s">
        <v>5117</v>
      </c>
    </row>
    <row r="42287">
      <c r="H42287" t="s">
        <v>5117</v>
      </c>
    </row>
    <row r="42288">
      <c r="H42288" t="s">
        <v>5117</v>
      </c>
    </row>
    <row r="42289">
      <c r="H42289" t="s">
        <v>5117</v>
      </c>
    </row>
    <row r="42290">
      <c r="H42290" t="s">
        <v>5117</v>
      </c>
    </row>
    <row r="42291">
      <c r="H42291" t="s">
        <v>5117</v>
      </c>
    </row>
    <row r="42292">
      <c r="H42292" t="s">
        <v>5117</v>
      </c>
    </row>
    <row r="42293">
      <c r="H42293" t="s">
        <v>5117</v>
      </c>
    </row>
    <row r="42294">
      <c r="H42294" t="s">
        <v>5117</v>
      </c>
    </row>
    <row r="42295">
      <c r="H42295" t="s">
        <v>5117</v>
      </c>
    </row>
    <row r="42296">
      <c r="H42296" t="s">
        <v>5117</v>
      </c>
    </row>
    <row r="42297">
      <c r="H42297" t="s">
        <v>5117</v>
      </c>
    </row>
    <row r="42298">
      <c r="H42298" t="s">
        <v>5117</v>
      </c>
    </row>
    <row r="42299">
      <c r="H42299" t="s">
        <v>5117</v>
      </c>
    </row>
    <row r="42300">
      <c r="H42300" t="s">
        <v>5117</v>
      </c>
    </row>
    <row r="42301">
      <c r="H42301" t="s">
        <v>5117</v>
      </c>
    </row>
    <row r="42302">
      <c r="H42302" t="s">
        <v>5117</v>
      </c>
    </row>
    <row r="42303">
      <c r="H42303" t="s">
        <v>5117</v>
      </c>
    </row>
    <row r="42304">
      <c r="H42304" t="s">
        <v>5117</v>
      </c>
    </row>
    <row r="42305">
      <c r="H42305" t="s">
        <v>5117</v>
      </c>
    </row>
    <row r="42306">
      <c r="H42306" t="s">
        <v>5117</v>
      </c>
    </row>
    <row r="42307">
      <c r="H42307" t="s">
        <v>5117</v>
      </c>
    </row>
    <row r="42308">
      <c r="H42308" t="s">
        <v>5117</v>
      </c>
    </row>
    <row r="42309">
      <c r="H42309" t="s">
        <v>5117</v>
      </c>
    </row>
    <row r="42310">
      <c r="H42310" t="s">
        <v>5117</v>
      </c>
    </row>
    <row r="42311">
      <c r="H42311" t="s">
        <v>5117</v>
      </c>
    </row>
    <row r="42312">
      <c r="H42312" t="s">
        <v>5117</v>
      </c>
    </row>
    <row r="42313">
      <c r="H42313" t="s">
        <v>5117</v>
      </c>
    </row>
    <row r="42314">
      <c r="H42314" t="s">
        <v>5117</v>
      </c>
    </row>
    <row r="42315">
      <c r="H42315" t="s">
        <v>5117</v>
      </c>
    </row>
    <row r="42316">
      <c r="H42316" t="s">
        <v>5117</v>
      </c>
    </row>
    <row r="42317">
      <c r="H42317" t="s">
        <v>5117</v>
      </c>
    </row>
    <row r="42318">
      <c r="H42318" t="s">
        <v>5117</v>
      </c>
    </row>
    <row r="42319">
      <c r="H42319" t="s">
        <v>5117</v>
      </c>
    </row>
    <row r="42320">
      <c r="H42320" t="s">
        <v>5117</v>
      </c>
    </row>
    <row r="42321">
      <c r="H42321" t="s">
        <v>5117</v>
      </c>
    </row>
    <row r="42322">
      <c r="H42322" t="s">
        <v>5117</v>
      </c>
    </row>
    <row r="42323">
      <c r="H42323" t="s">
        <v>5117</v>
      </c>
    </row>
    <row r="42324">
      <c r="H42324" t="s">
        <v>5117</v>
      </c>
    </row>
    <row r="42325">
      <c r="H42325" t="s">
        <v>5117</v>
      </c>
    </row>
    <row r="42326">
      <c r="H42326" t="s">
        <v>5117</v>
      </c>
    </row>
    <row r="42327">
      <c r="H42327" t="s">
        <v>5117</v>
      </c>
    </row>
    <row r="42328">
      <c r="H42328" t="s">
        <v>5117</v>
      </c>
    </row>
    <row r="42329">
      <c r="H42329" t="s">
        <v>5117</v>
      </c>
    </row>
    <row r="42330">
      <c r="H42330" t="s">
        <v>5117</v>
      </c>
    </row>
    <row r="42331">
      <c r="H42331" t="s">
        <v>5117</v>
      </c>
    </row>
    <row r="42332">
      <c r="H42332" t="s">
        <v>5117</v>
      </c>
    </row>
    <row r="42333">
      <c r="H42333" t="s">
        <v>5117</v>
      </c>
    </row>
    <row r="42334">
      <c r="H42334" t="s">
        <v>5117</v>
      </c>
    </row>
    <row r="42335">
      <c r="H42335" t="s">
        <v>5117</v>
      </c>
    </row>
    <row r="42336">
      <c r="H42336" t="s">
        <v>5117</v>
      </c>
    </row>
    <row r="42337">
      <c r="H42337" t="s">
        <v>5117</v>
      </c>
    </row>
    <row r="42338">
      <c r="H42338" t="s">
        <v>5117</v>
      </c>
    </row>
    <row r="42339">
      <c r="H42339" t="s">
        <v>5117</v>
      </c>
    </row>
    <row r="42340">
      <c r="H42340" t="s">
        <v>5117</v>
      </c>
    </row>
    <row r="42341">
      <c r="H42341" t="s">
        <v>5117</v>
      </c>
    </row>
    <row r="42342">
      <c r="H42342" t="s">
        <v>5117</v>
      </c>
    </row>
    <row r="42343">
      <c r="H42343" t="s">
        <v>5117</v>
      </c>
    </row>
    <row r="42344">
      <c r="H42344" t="s">
        <v>5117</v>
      </c>
    </row>
    <row r="42345">
      <c r="H42345" t="s">
        <v>5117</v>
      </c>
    </row>
    <row r="42346">
      <c r="H42346" t="s">
        <v>5117</v>
      </c>
    </row>
    <row r="42347">
      <c r="H42347" t="s">
        <v>5117</v>
      </c>
    </row>
    <row r="42348">
      <c r="H42348" t="s">
        <v>5117</v>
      </c>
    </row>
    <row r="42349">
      <c r="H42349" t="s">
        <v>5117</v>
      </c>
    </row>
    <row r="42350">
      <c r="H42350" t="s">
        <v>5117</v>
      </c>
    </row>
    <row r="42351">
      <c r="H42351" t="s">
        <v>5117</v>
      </c>
    </row>
    <row r="42352">
      <c r="H42352" t="s">
        <v>5117</v>
      </c>
    </row>
    <row r="42353">
      <c r="H42353" t="s">
        <v>5117</v>
      </c>
    </row>
    <row r="42354">
      <c r="H42354" t="s">
        <v>5117</v>
      </c>
    </row>
    <row r="42355">
      <c r="H42355" t="s">
        <v>5117</v>
      </c>
    </row>
    <row r="42356">
      <c r="H42356" t="s">
        <v>5117</v>
      </c>
    </row>
    <row r="42357">
      <c r="H42357" t="s">
        <v>5117</v>
      </c>
    </row>
    <row r="42358">
      <c r="H42358" t="s">
        <v>5117</v>
      </c>
    </row>
    <row r="42359">
      <c r="H42359" t="s">
        <v>5117</v>
      </c>
    </row>
    <row r="42360">
      <c r="H42360" t="s">
        <v>5117</v>
      </c>
    </row>
    <row r="42361">
      <c r="H42361" t="s">
        <v>5117</v>
      </c>
    </row>
    <row r="42362">
      <c r="H42362" t="s">
        <v>5117</v>
      </c>
    </row>
    <row r="42363">
      <c r="H42363" t="s">
        <v>5117</v>
      </c>
    </row>
    <row r="42364">
      <c r="H42364" t="s">
        <v>5117</v>
      </c>
    </row>
    <row r="42365">
      <c r="H42365" t="s">
        <v>5117</v>
      </c>
    </row>
    <row r="42366">
      <c r="H42366" t="s">
        <v>5117</v>
      </c>
    </row>
    <row r="42367">
      <c r="H42367" t="s">
        <v>5117</v>
      </c>
    </row>
    <row r="42368">
      <c r="H42368" t="s">
        <v>5117</v>
      </c>
    </row>
    <row r="42369">
      <c r="H42369" t="s">
        <v>5117</v>
      </c>
    </row>
    <row r="42370">
      <c r="H42370" t="s">
        <v>5117</v>
      </c>
    </row>
    <row r="42371">
      <c r="H42371" t="s">
        <v>5117</v>
      </c>
    </row>
    <row r="42372">
      <c r="H42372" t="s">
        <v>5117</v>
      </c>
    </row>
    <row r="42373">
      <c r="H42373" t="s">
        <v>5117</v>
      </c>
    </row>
    <row r="42374">
      <c r="H42374" t="s">
        <v>5117</v>
      </c>
    </row>
    <row r="42375">
      <c r="H42375" t="s">
        <v>5117</v>
      </c>
    </row>
    <row r="42376">
      <c r="H42376" t="s">
        <v>5117</v>
      </c>
    </row>
    <row r="42377">
      <c r="H42377" t="s">
        <v>5117</v>
      </c>
    </row>
    <row r="42378">
      <c r="H42378" t="s">
        <v>5117</v>
      </c>
    </row>
    <row r="42379">
      <c r="H42379" t="s">
        <v>5117</v>
      </c>
    </row>
    <row r="42380">
      <c r="H42380" t="s">
        <v>5117</v>
      </c>
    </row>
    <row r="42381">
      <c r="H42381" t="s">
        <v>5117</v>
      </c>
    </row>
    <row r="42382">
      <c r="H42382" t="s">
        <v>5117</v>
      </c>
    </row>
    <row r="42383">
      <c r="H42383" t="s">
        <v>5117</v>
      </c>
    </row>
    <row r="42384">
      <c r="H42384" t="s">
        <v>5117</v>
      </c>
    </row>
    <row r="42385">
      <c r="H42385" t="s">
        <v>5117</v>
      </c>
    </row>
    <row r="42386">
      <c r="H42386" t="s">
        <v>5117</v>
      </c>
    </row>
    <row r="42387">
      <c r="H42387" t="s">
        <v>5117</v>
      </c>
    </row>
    <row r="42388">
      <c r="H42388" t="s">
        <v>5117</v>
      </c>
    </row>
    <row r="42389">
      <c r="H42389" t="s">
        <v>5117</v>
      </c>
    </row>
    <row r="42390">
      <c r="H42390" t="s">
        <v>5117</v>
      </c>
    </row>
    <row r="42391">
      <c r="H42391" t="s">
        <v>5117</v>
      </c>
    </row>
    <row r="42392">
      <c r="H42392" t="s">
        <v>5117</v>
      </c>
    </row>
    <row r="42393">
      <c r="H42393" t="s">
        <v>5117</v>
      </c>
    </row>
    <row r="42394">
      <c r="H42394" t="s">
        <v>5117</v>
      </c>
    </row>
    <row r="42395">
      <c r="H42395" t="s">
        <v>5117</v>
      </c>
    </row>
    <row r="42396">
      <c r="H42396" t="s">
        <v>5117</v>
      </c>
    </row>
    <row r="42397">
      <c r="H42397" t="s">
        <v>5117</v>
      </c>
    </row>
    <row r="42398">
      <c r="H42398" t="s">
        <v>5117</v>
      </c>
    </row>
    <row r="42399">
      <c r="H42399" t="s">
        <v>5117</v>
      </c>
    </row>
    <row r="42400">
      <c r="H42400" t="s">
        <v>5117</v>
      </c>
    </row>
    <row r="42401">
      <c r="H42401" t="s">
        <v>5117</v>
      </c>
    </row>
    <row r="42402">
      <c r="H42402" t="s">
        <v>5117</v>
      </c>
    </row>
    <row r="42403">
      <c r="H42403" t="s">
        <v>5117</v>
      </c>
    </row>
    <row r="42404">
      <c r="H42404" t="s">
        <v>5117</v>
      </c>
    </row>
    <row r="42405">
      <c r="H42405" t="s">
        <v>5117</v>
      </c>
    </row>
    <row r="42406">
      <c r="H42406" t="s">
        <v>5117</v>
      </c>
    </row>
    <row r="42407">
      <c r="H42407" t="s">
        <v>5117</v>
      </c>
    </row>
    <row r="42408">
      <c r="H42408" t="s">
        <v>5117</v>
      </c>
    </row>
    <row r="42409">
      <c r="H42409" t="s">
        <v>5117</v>
      </c>
    </row>
    <row r="42410">
      <c r="H42410" t="s">
        <v>5117</v>
      </c>
    </row>
    <row r="42411">
      <c r="H42411" t="s">
        <v>5117</v>
      </c>
    </row>
    <row r="42412">
      <c r="H42412" t="s">
        <v>5117</v>
      </c>
    </row>
    <row r="42413">
      <c r="H42413" t="s">
        <v>5117</v>
      </c>
    </row>
    <row r="42414">
      <c r="H42414" t="s">
        <v>5117</v>
      </c>
    </row>
    <row r="42415">
      <c r="H42415" t="s">
        <v>5117</v>
      </c>
    </row>
    <row r="42416">
      <c r="H42416" t="s">
        <v>5117</v>
      </c>
    </row>
    <row r="42417">
      <c r="H42417" t="s">
        <v>5117</v>
      </c>
    </row>
    <row r="42418">
      <c r="H42418" t="s">
        <v>5117</v>
      </c>
    </row>
    <row r="42419">
      <c r="H42419" t="s">
        <v>5117</v>
      </c>
    </row>
    <row r="42420">
      <c r="H42420" t="s">
        <v>5117</v>
      </c>
    </row>
    <row r="42421">
      <c r="H42421" t="s">
        <v>5117</v>
      </c>
    </row>
    <row r="42422">
      <c r="H42422" t="s">
        <v>5117</v>
      </c>
    </row>
    <row r="42423">
      <c r="H42423" t="s">
        <v>5117</v>
      </c>
    </row>
    <row r="42424">
      <c r="H42424" t="s">
        <v>5117</v>
      </c>
    </row>
    <row r="42425">
      <c r="H42425" t="s">
        <v>5117</v>
      </c>
    </row>
    <row r="42426">
      <c r="H42426" t="s">
        <v>5117</v>
      </c>
    </row>
    <row r="42427">
      <c r="H42427" t="s">
        <v>5117</v>
      </c>
    </row>
    <row r="42428">
      <c r="H42428" t="s">
        <v>5117</v>
      </c>
    </row>
    <row r="42429">
      <c r="H42429" t="s">
        <v>5117</v>
      </c>
    </row>
    <row r="42430">
      <c r="H42430" t="s">
        <v>5117</v>
      </c>
    </row>
    <row r="42431">
      <c r="H42431" t="s">
        <v>5117</v>
      </c>
    </row>
    <row r="42432">
      <c r="H42432" t="s">
        <v>5117</v>
      </c>
    </row>
    <row r="42433">
      <c r="H42433" t="s">
        <v>5117</v>
      </c>
    </row>
    <row r="42434">
      <c r="H42434" t="s">
        <v>5117</v>
      </c>
    </row>
    <row r="42435">
      <c r="H42435" t="s">
        <v>5117</v>
      </c>
    </row>
    <row r="42436">
      <c r="H42436" t="s">
        <v>5117</v>
      </c>
    </row>
    <row r="42437">
      <c r="H42437" t="s">
        <v>5117</v>
      </c>
    </row>
    <row r="42438">
      <c r="H42438" t="s">
        <v>5117</v>
      </c>
    </row>
    <row r="42439">
      <c r="H42439" t="s">
        <v>5117</v>
      </c>
    </row>
    <row r="42440">
      <c r="H42440" t="s">
        <v>5117</v>
      </c>
    </row>
    <row r="42441">
      <c r="H42441" t="s">
        <v>5117</v>
      </c>
    </row>
    <row r="42442">
      <c r="H42442" t="s">
        <v>5117</v>
      </c>
    </row>
    <row r="42443">
      <c r="H42443" t="s">
        <v>5117</v>
      </c>
    </row>
    <row r="42444">
      <c r="H42444" t="s">
        <v>5117</v>
      </c>
    </row>
    <row r="42445">
      <c r="H42445" t="s">
        <v>5117</v>
      </c>
    </row>
    <row r="42446">
      <c r="H42446" t="s">
        <v>5117</v>
      </c>
    </row>
    <row r="42447">
      <c r="H42447" t="s">
        <v>5117</v>
      </c>
    </row>
    <row r="42448">
      <c r="H42448" t="s">
        <v>5117</v>
      </c>
    </row>
    <row r="42449">
      <c r="H42449" t="s">
        <v>5117</v>
      </c>
    </row>
    <row r="42450">
      <c r="H42450" t="s">
        <v>5117</v>
      </c>
    </row>
    <row r="42451">
      <c r="H42451" t="s">
        <v>5117</v>
      </c>
    </row>
    <row r="42452">
      <c r="H42452" t="s">
        <v>5117</v>
      </c>
    </row>
    <row r="42453">
      <c r="H42453" t="s">
        <v>5117</v>
      </c>
    </row>
    <row r="42454">
      <c r="H42454" t="s">
        <v>5117</v>
      </c>
    </row>
    <row r="42455">
      <c r="H42455" t="s">
        <v>5117</v>
      </c>
    </row>
    <row r="42456">
      <c r="H42456" t="s">
        <v>5117</v>
      </c>
    </row>
    <row r="42457">
      <c r="H42457" t="s">
        <v>5117</v>
      </c>
    </row>
    <row r="42458">
      <c r="H42458" t="s">
        <v>5117</v>
      </c>
    </row>
    <row r="42459">
      <c r="H42459" t="s">
        <v>5117</v>
      </c>
    </row>
    <row r="42460">
      <c r="H42460" t="s">
        <v>5117</v>
      </c>
    </row>
    <row r="42461">
      <c r="H42461" t="s">
        <v>5117</v>
      </c>
    </row>
    <row r="42462">
      <c r="H42462" t="s">
        <v>5117</v>
      </c>
    </row>
    <row r="42463">
      <c r="H42463" t="s">
        <v>5117</v>
      </c>
    </row>
    <row r="42464">
      <c r="H42464" t="s">
        <v>5117</v>
      </c>
    </row>
    <row r="42465">
      <c r="H42465" t="s">
        <v>5117</v>
      </c>
    </row>
    <row r="42466">
      <c r="H42466" t="s">
        <v>5117</v>
      </c>
    </row>
    <row r="42467">
      <c r="H42467" t="s">
        <v>5117</v>
      </c>
    </row>
    <row r="42468">
      <c r="H42468" t="s">
        <v>5117</v>
      </c>
    </row>
    <row r="42469">
      <c r="H42469" t="s">
        <v>5117</v>
      </c>
    </row>
    <row r="42470">
      <c r="H42470" t="s">
        <v>5117</v>
      </c>
    </row>
    <row r="42471">
      <c r="H42471" t="s">
        <v>5117</v>
      </c>
    </row>
    <row r="42472">
      <c r="H42472" t="s">
        <v>5117</v>
      </c>
    </row>
    <row r="42473">
      <c r="H42473" t="s">
        <v>5117</v>
      </c>
    </row>
    <row r="42474">
      <c r="H42474" t="s">
        <v>5117</v>
      </c>
    </row>
    <row r="42475">
      <c r="H42475" t="s">
        <v>5117</v>
      </c>
    </row>
    <row r="42476">
      <c r="H42476" t="s">
        <v>5117</v>
      </c>
    </row>
    <row r="42477">
      <c r="H42477" t="s">
        <v>5117</v>
      </c>
    </row>
    <row r="42478">
      <c r="H42478" t="s">
        <v>5117</v>
      </c>
    </row>
    <row r="42479">
      <c r="H42479" t="s">
        <v>5117</v>
      </c>
    </row>
    <row r="42480">
      <c r="H42480" t="s">
        <v>5117</v>
      </c>
    </row>
    <row r="42481">
      <c r="H42481" t="s">
        <v>5117</v>
      </c>
    </row>
    <row r="42482">
      <c r="H42482" t="s">
        <v>5117</v>
      </c>
    </row>
    <row r="42483">
      <c r="H42483" t="s">
        <v>5117</v>
      </c>
    </row>
    <row r="42484">
      <c r="H42484" t="s">
        <v>5117</v>
      </c>
    </row>
    <row r="42485">
      <c r="H42485" t="s">
        <v>5117</v>
      </c>
    </row>
    <row r="42486">
      <c r="H42486" t="s">
        <v>5117</v>
      </c>
    </row>
    <row r="42487">
      <c r="H42487" t="s">
        <v>5117</v>
      </c>
    </row>
    <row r="42488">
      <c r="H42488" t="s">
        <v>5117</v>
      </c>
    </row>
    <row r="42489">
      <c r="H42489" t="s">
        <v>5117</v>
      </c>
    </row>
    <row r="42490">
      <c r="H42490" t="s">
        <v>5117</v>
      </c>
    </row>
    <row r="42491">
      <c r="H42491" t="s">
        <v>5117</v>
      </c>
    </row>
    <row r="42492">
      <c r="H42492" t="s">
        <v>5117</v>
      </c>
    </row>
    <row r="42493">
      <c r="H42493" t="s">
        <v>5117</v>
      </c>
    </row>
    <row r="42494">
      <c r="H42494" t="s">
        <v>5117</v>
      </c>
    </row>
    <row r="42495">
      <c r="H42495" t="s">
        <v>5117</v>
      </c>
    </row>
    <row r="42496">
      <c r="H42496" t="s">
        <v>5117</v>
      </c>
    </row>
    <row r="42497">
      <c r="H42497" t="s">
        <v>5117</v>
      </c>
    </row>
    <row r="42498">
      <c r="H42498" t="s">
        <v>5117</v>
      </c>
    </row>
    <row r="42499">
      <c r="H42499" t="s">
        <v>5117</v>
      </c>
    </row>
    <row r="42500">
      <c r="H42500" t="s">
        <v>5117</v>
      </c>
    </row>
    <row r="42501">
      <c r="H42501" t="s">
        <v>5117</v>
      </c>
    </row>
    <row r="42502">
      <c r="H42502" t="s">
        <v>5117</v>
      </c>
    </row>
    <row r="42503">
      <c r="H42503" t="s">
        <v>5117</v>
      </c>
    </row>
    <row r="42504">
      <c r="H42504" t="s">
        <v>5117</v>
      </c>
    </row>
    <row r="42505">
      <c r="H42505" t="s">
        <v>5117</v>
      </c>
    </row>
    <row r="42506">
      <c r="H42506" t="s">
        <v>5117</v>
      </c>
    </row>
    <row r="42507">
      <c r="H42507" t="s">
        <v>5117</v>
      </c>
    </row>
    <row r="42508">
      <c r="H42508" t="s">
        <v>5117</v>
      </c>
    </row>
    <row r="42509">
      <c r="H42509" t="s">
        <v>5117</v>
      </c>
    </row>
    <row r="42510">
      <c r="H42510" t="s">
        <v>5117</v>
      </c>
    </row>
    <row r="42511">
      <c r="H42511" t="s">
        <v>5117</v>
      </c>
    </row>
    <row r="42512">
      <c r="H42512" t="s">
        <v>5117</v>
      </c>
    </row>
    <row r="42513">
      <c r="H42513" t="s">
        <v>5117</v>
      </c>
    </row>
    <row r="42514">
      <c r="H42514" t="s">
        <v>5117</v>
      </c>
    </row>
    <row r="42515">
      <c r="H42515" t="s">
        <v>5117</v>
      </c>
    </row>
    <row r="42516">
      <c r="H42516" t="s">
        <v>5117</v>
      </c>
    </row>
    <row r="42517">
      <c r="H42517" t="s">
        <v>5117</v>
      </c>
    </row>
    <row r="42518">
      <c r="H42518" t="s">
        <v>5117</v>
      </c>
    </row>
    <row r="42519">
      <c r="H42519" t="s">
        <v>5117</v>
      </c>
    </row>
    <row r="42520">
      <c r="H42520" t="s">
        <v>5117</v>
      </c>
    </row>
    <row r="42521">
      <c r="H42521" t="s">
        <v>5117</v>
      </c>
    </row>
    <row r="42522">
      <c r="H42522" t="s">
        <v>5117</v>
      </c>
    </row>
    <row r="42523">
      <c r="H42523" t="s">
        <v>5117</v>
      </c>
    </row>
    <row r="42524">
      <c r="H42524" t="s">
        <v>5117</v>
      </c>
    </row>
    <row r="42525">
      <c r="H42525" t="s">
        <v>5117</v>
      </c>
    </row>
    <row r="42526">
      <c r="H42526" t="s">
        <v>5117</v>
      </c>
    </row>
    <row r="42527">
      <c r="H42527" t="s">
        <v>5117</v>
      </c>
    </row>
    <row r="42528">
      <c r="H42528" t="s">
        <v>5117</v>
      </c>
    </row>
    <row r="42529">
      <c r="H42529" t="s">
        <v>5117</v>
      </c>
    </row>
    <row r="42530">
      <c r="H42530" t="s">
        <v>5117</v>
      </c>
    </row>
    <row r="42531">
      <c r="H42531" t="s">
        <v>5117</v>
      </c>
    </row>
    <row r="42532">
      <c r="H42532" t="s">
        <v>5117</v>
      </c>
    </row>
    <row r="42533">
      <c r="H42533" t="s">
        <v>5117</v>
      </c>
    </row>
    <row r="42534">
      <c r="H42534" t="s">
        <v>5117</v>
      </c>
    </row>
    <row r="42535">
      <c r="H42535" t="s">
        <v>5117</v>
      </c>
    </row>
    <row r="42536">
      <c r="H42536" t="s">
        <v>5117</v>
      </c>
    </row>
    <row r="42537">
      <c r="H42537" t="s">
        <v>5117</v>
      </c>
    </row>
    <row r="42538">
      <c r="H42538" t="s">
        <v>5117</v>
      </c>
    </row>
    <row r="42539">
      <c r="H42539" t="s">
        <v>5117</v>
      </c>
    </row>
    <row r="42540">
      <c r="H42540" t="s">
        <v>5117</v>
      </c>
    </row>
    <row r="42541">
      <c r="H42541" t="s">
        <v>5117</v>
      </c>
    </row>
    <row r="42542">
      <c r="H42542" t="s">
        <v>5117</v>
      </c>
    </row>
    <row r="42543">
      <c r="H42543" t="s">
        <v>5117</v>
      </c>
    </row>
    <row r="42544">
      <c r="H42544" t="s">
        <v>5117</v>
      </c>
    </row>
    <row r="42545">
      <c r="H42545" t="s">
        <v>5117</v>
      </c>
    </row>
    <row r="42546">
      <c r="H42546" t="s">
        <v>5117</v>
      </c>
    </row>
    <row r="42547">
      <c r="H42547" t="s">
        <v>5117</v>
      </c>
    </row>
    <row r="42548">
      <c r="H42548" t="s">
        <v>5117</v>
      </c>
    </row>
    <row r="42549">
      <c r="H42549" t="s">
        <v>5117</v>
      </c>
    </row>
    <row r="42550">
      <c r="H42550" t="s">
        <v>5117</v>
      </c>
    </row>
    <row r="42551">
      <c r="H42551" t="s">
        <v>5117</v>
      </c>
    </row>
    <row r="42552">
      <c r="H42552" t="s">
        <v>5117</v>
      </c>
    </row>
    <row r="42553">
      <c r="H42553" t="s">
        <v>5117</v>
      </c>
    </row>
    <row r="42554">
      <c r="H42554" t="s">
        <v>5117</v>
      </c>
    </row>
    <row r="42555">
      <c r="H42555" t="s">
        <v>5117</v>
      </c>
    </row>
    <row r="42556">
      <c r="H42556" t="s">
        <v>5117</v>
      </c>
    </row>
    <row r="42557">
      <c r="H42557" t="s">
        <v>5117</v>
      </c>
    </row>
    <row r="42558">
      <c r="H42558" t="s">
        <v>5117</v>
      </c>
    </row>
    <row r="42559">
      <c r="H42559" t="s">
        <v>5117</v>
      </c>
    </row>
    <row r="42560">
      <c r="H42560" t="s">
        <v>5117</v>
      </c>
    </row>
    <row r="42561">
      <c r="H42561" t="s">
        <v>5117</v>
      </c>
    </row>
    <row r="42562">
      <c r="H42562" t="s">
        <v>5117</v>
      </c>
    </row>
    <row r="42563">
      <c r="H42563" t="s">
        <v>5117</v>
      </c>
    </row>
    <row r="42564">
      <c r="H42564" t="s">
        <v>5117</v>
      </c>
    </row>
    <row r="42565">
      <c r="H42565" t="s">
        <v>5117</v>
      </c>
    </row>
    <row r="42566">
      <c r="H42566" t="s">
        <v>5117</v>
      </c>
    </row>
    <row r="42567">
      <c r="H42567" t="s">
        <v>5117</v>
      </c>
    </row>
    <row r="42568">
      <c r="H42568" t="s">
        <v>5117</v>
      </c>
    </row>
    <row r="42569">
      <c r="H42569" t="s">
        <v>5117</v>
      </c>
    </row>
    <row r="42570">
      <c r="H42570" t="s">
        <v>5117</v>
      </c>
    </row>
    <row r="42571">
      <c r="H42571" t="s">
        <v>5117</v>
      </c>
    </row>
    <row r="42572">
      <c r="H42572" t="s">
        <v>5117</v>
      </c>
    </row>
    <row r="42573">
      <c r="H42573" t="s">
        <v>5117</v>
      </c>
    </row>
    <row r="42574">
      <c r="H42574" t="s">
        <v>5117</v>
      </c>
    </row>
    <row r="42575">
      <c r="H42575" t="s">
        <v>5117</v>
      </c>
    </row>
    <row r="42576">
      <c r="H42576" t="s">
        <v>5117</v>
      </c>
    </row>
    <row r="42577">
      <c r="H42577" t="s">
        <v>5117</v>
      </c>
    </row>
    <row r="42578">
      <c r="H42578" t="s">
        <v>5117</v>
      </c>
    </row>
    <row r="42579">
      <c r="H42579" t="s">
        <v>5117</v>
      </c>
    </row>
    <row r="42580">
      <c r="H42580" t="s">
        <v>5117</v>
      </c>
    </row>
    <row r="42581">
      <c r="H42581" t="s">
        <v>5117</v>
      </c>
    </row>
    <row r="42582">
      <c r="H42582" t="s">
        <v>5117</v>
      </c>
    </row>
    <row r="42583">
      <c r="H42583" t="s">
        <v>5117</v>
      </c>
    </row>
    <row r="42584">
      <c r="H42584" t="s">
        <v>5117</v>
      </c>
    </row>
    <row r="42585">
      <c r="H42585" t="s">
        <v>5117</v>
      </c>
    </row>
    <row r="42586">
      <c r="H42586" t="s">
        <v>5117</v>
      </c>
    </row>
    <row r="42587">
      <c r="H42587" t="s">
        <v>5117</v>
      </c>
    </row>
    <row r="42588">
      <c r="H42588" t="s">
        <v>5117</v>
      </c>
    </row>
    <row r="42589">
      <c r="H42589" t="s">
        <v>5117</v>
      </c>
    </row>
    <row r="42590">
      <c r="H42590" t="s">
        <v>5117</v>
      </c>
    </row>
    <row r="42591">
      <c r="H42591" t="s">
        <v>5117</v>
      </c>
    </row>
    <row r="42592">
      <c r="H42592" t="s">
        <v>5117</v>
      </c>
    </row>
    <row r="42593">
      <c r="H42593" t="s">
        <v>5117</v>
      </c>
    </row>
    <row r="42594">
      <c r="H42594" t="s">
        <v>5117</v>
      </c>
    </row>
    <row r="42595">
      <c r="H42595" t="s">
        <v>5117</v>
      </c>
    </row>
    <row r="42596">
      <c r="H42596" t="s">
        <v>5117</v>
      </c>
    </row>
    <row r="42597">
      <c r="H42597" t="s">
        <v>5117</v>
      </c>
    </row>
    <row r="42598">
      <c r="H42598" t="s">
        <v>5117</v>
      </c>
    </row>
    <row r="42599">
      <c r="H42599" t="s">
        <v>5117</v>
      </c>
    </row>
    <row r="42600">
      <c r="H42600" t="s">
        <v>5117</v>
      </c>
    </row>
    <row r="42601">
      <c r="H42601" t="s">
        <v>5117</v>
      </c>
    </row>
    <row r="42602">
      <c r="H42602" t="s">
        <v>5117</v>
      </c>
    </row>
    <row r="42603">
      <c r="H42603" t="s">
        <v>5117</v>
      </c>
    </row>
    <row r="42604">
      <c r="H42604" t="s">
        <v>5117</v>
      </c>
    </row>
    <row r="42605">
      <c r="H42605" t="s">
        <v>5117</v>
      </c>
    </row>
    <row r="42606">
      <c r="H42606" t="s">
        <v>5117</v>
      </c>
    </row>
    <row r="42607">
      <c r="H42607" t="s">
        <v>5117</v>
      </c>
    </row>
    <row r="42608">
      <c r="H42608" t="s">
        <v>5117</v>
      </c>
    </row>
    <row r="42609">
      <c r="H42609" t="s">
        <v>5117</v>
      </c>
    </row>
    <row r="42610">
      <c r="H42610" t="s">
        <v>5117</v>
      </c>
    </row>
    <row r="42611">
      <c r="H42611" t="s">
        <v>5117</v>
      </c>
    </row>
    <row r="42612">
      <c r="H42612" t="s">
        <v>5117</v>
      </c>
    </row>
    <row r="42613">
      <c r="H42613" t="s">
        <v>5117</v>
      </c>
    </row>
    <row r="42614">
      <c r="H42614" t="s">
        <v>5117</v>
      </c>
    </row>
    <row r="42615">
      <c r="H42615" t="s">
        <v>5117</v>
      </c>
    </row>
    <row r="42616">
      <c r="H42616" t="s">
        <v>5117</v>
      </c>
    </row>
    <row r="42617">
      <c r="H42617" t="s">
        <v>5117</v>
      </c>
    </row>
    <row r="42618">
      <c r="H42618" t="s">
        <v>5117</v>
      </c>
    </row>
    <row r="42619">
      <c r="H42619" t="s">
        <v>5117</v>
      </c>
    </row>
    <row r="42620">
      <c r="H42620" t="s">
        <v>5117</v>
      </c>
    </row>
    <row r="42621">
      <c r="H42621" t="s">
        <v>5117</v>
      </c>
    </row>
    <row r="42622">
      <c r="H42622" t="s">
        <v>5117</v>
      </c>
    </row>
    <row r="42623">
      <c r="H42623" t="s">
        <v>5117</v>
      </c>
    </row>
    <row r="42624">
      <c r="H42624" t="s">
        <v>5117</v>
      </c>
    </row>
    <row r="42625">
      <c r="H42625" t="s">
        <v>5117</v>
      </c>
    </row>
    <row r="42626">
      <c r="H42626" t="s">
        <v>5117</v>
      </c>
    </row>
    <row r="42627">
      <c r="H42627" t="s">
        <v>5117</v>
      </c>
    </row>
    <row r="42628">
      <c r="H42628" t="s">
        <v>5117</v>
      </c>
    </row>
    <row r="42629">
      <c r="H42629" t="s">
        <v>5117</v>
      </c>
    </row>
    <row r="42630">
      <c r="H42630" t="s">
        <v>5117</v>
      </c>
    </row>
    <row r="42631">
      <c r="H42631" t="s">
        <v>5117</v>
      </c>
    </row>
    <row r="42632">
      <c r="H42632" t="s">
        <v>5117</v>
      </c>
    </row>
    <row r="42633">
      <c r="H42633" t="s">
        <v>5117</v>
      </c>
    </row>
    <row r="42634">
      <c r="H42634" t="s">
        <v>5117</v>
      </c>
    </row>
    <row r="42635">
      <c r="H42635" t="s">
        <v>5117</v>
      </c>
    </row>
    <row r="42636">
      <c r="H42636" t="s">
        <v>5117</v>
      </c>
    </row>
    <row r="42637">
      <c r="H42637" t="s">
        <v>5117</v>
      </c>
    </row>
    <row r="42638">
      <c r="H42638" t="s">
        <v>5117</v>
      </c>
    </row>
    <row r="42639">
      <c r="H42639" t="s">
        <v>5117</v>
      </c>
    </row>
    <row r="42640">
      <c r="H42640" t="s">
        <v>5117</v>
      </c>
    </row>
    <row r="42641">
      <c r="H42641" t="s">
        <v>5117</v>
      </c>
    </row>
    <row r="42642">
      <c r="H42642" t="s">
        <v>5117</v>
      </c>
    </row>
    <row r="42643">
      <c r="H42643" t="s">
        <v>5117</v>
      </c>
    </row>
    <row r="42644">
      <c r="H42644" t="s">
        <v>5117</v>
      </c>
    </row>
    <row r="42645">
      <c r="H42645" t="s">
        <v>5117</v>
      </c>
    </row>
    <row r="42646">
      <c r="H42646" t="s">
        <v>5117</v>
      </c>
    </row>
    <row r="42647">
      <c r="H42647" t="s">
        <v>5117</v>
      </c>
    </row>
    <row r="42648">
      <c r="H42648" t="s">
        <v>5117</v>
      </c>
    </row>
    <row r="42649">
      <c r="H42649" t="s">
        <v>5117</v>
      </c>
    </row>
    <row r="42650">
      <c r="H42650" t="s">
        <v>5117</v>
      </c>
    </row>
    <row r="42651">
      <c r="H42651" t="s">
        <v>5117</v>
      </c>
    </row>
    <row r="42652">
      <c r="H42652" t="s">
        <v>5117</v>
      </c>
    </row>
    <row r="42653">
      <c r="H42653" t="s">
        <v>5117</v>
      </c>
    </row>
    <row r="42654">
      <c r="H42654" t="s">
        <v>5117</v>
      </c>
    </row>
    <row r="42655">
      <c r="H42655" t="s">
        <v>5117</v>
      </c>
    </row>
    <row r="42656">
      <c r="H42656" t="s">
        <v>5117</v>
      </c>
    </row>
    <row r="42657">
      <c r="H42657" t="s">
        <v>5117</v>
      </c>
    </row>
    <row r="42658">
      <c r="H42658" t="s">
        <v>5117</v>
      </c>
    </row>
    <row r="42659">
      <c r="H42659" t="s">
        <v>5117</v>
      </c>
    </row>
    <row r="42660">
      <c r="H42660" t="s">
        <v>5117</v>
      </c>
    </row>
    <row r="42661">
      <c r="H42661" t="s">
        <v>5117</v>
      </c>
    </row>
    <row r="42662">
      <c r="H42662" t="s">
        <v>5117</v>
      </c>
    </row>
    <row r="42663">
      <c r="H42663" t="s">
        <v>5117</v>
      </c>
    </row>
    <row r="42664">
      <c r="H42664" t="s">
        <v>5117</v>
      </c>
    </row>
    <row r="42665">
      <c r="H42665" t="s">
        <v>5117</v>
      </c>
    </row>
    <row r="42666">
      <c r="H42666" t="s">
        <v>5117</v>
      </c>
    </row>
    <row r="42667">
      <c r="H42667" t="s">
        <v>5117</v>
      </c>
    </row>
    <row r="42668">
      <c r="H42668" t="s">
        <v>5117</v>
      </c>
    </row>
    <row r="42669">
      <c r="H42669" t="s">
        <v>5117</v>
      </c>
    </row>
    <row r="42670">
      <c r="H42670" t="s">
        <v>5117</v>
      </c>
    </row>
    <row r="42671">
      <c r="H42671" t="s">
        <v>5117</v>
      </c>
    </row>
    <row r="42672">
      <c r="H42672" t="s">
        <v>5117</v>
      </c>
    </row>
    <row r="42673">
      <c r="H42673" t="s">
        <v>5117</v>
      </c>
    </row>
    <row r="42674">
      <c r="H42674" t="s">
        <v>5117</v>
      </c>
    </row>
    <row r="42675">
      <c r="H42675" t="s">
        <v>5117</v>
      </c>
    </row>
    <row r="42676">
      <c r="H42676" t="s">
        <v>5117</v>
      </c>
    </row>
    <row r="42677">
      <c r="H42677" t="s">
        <v>5117</v>
      </c>
    </row>
    <row r="42678">
      <c r="H42678" t="s">
        <v>5117</v>
      </c>
    </row>
    <row r="42679">
      <c r="H42679" t="s">
        <v>5117</v>
      </c>
    </row>
    <row r="42680">
      <c r="H42680" t="s">
        <v>5117</v>
      </c>
    </row>
    <row r="42681">
      <c r="H42681" t="s">
        <v>5117</v>
      </c>
    </row>
    <row r="42682">
      <c r="H42682" t="s">
        <v>5117</v>
      </c>
    </row>
    <row r="42683">
      <c r="H42683" t="s">
        <v>5117</v>
      </c>
    </row>
    <row r="42684">
      <c r="H42684" t="s">
        <v>5117</v>
      </c>
    </row>
    <row r="42685">
      <c r="H42685" t="s">
        <v>5117</v>
      </c>
    </row>
    <row r="42686">
      <c r="H42686" t="s">
        <v>5117</v>
      </c>
    </row>
    <row r="42687">
      <c r="H42687" t="s">
        <v>5117</v>
      </c>
    </row>
    <row r="42688">
      <c r="H42688" t="s">
        <v>5117</v>
      </c>
    </row>
    <row r="42689">
      <c r="H42689" t="s">
        <v>5117</v>
      </c>
    </row>
    <row r="42690">
      <c r="H42690" t="s">
        <v>5117</v>
      </c>
    </row>
    <row r="42691">
      <c r="H42691" t="s">
        <v>5117</v>
      </c>
    </row>
    <row r="42692">
      <c r="H42692" t="s">
        <v>5117</v>
      </c>
    </row>
    <row r="42693">
      <c r="H42693" t="s">
        <v>5117</v>
      </c>
    </row>
    <row r="42694">
      <c r="H42694" t="s">
        <v>5117</v>
      </c>
    </row>
    <row r="42695">
      <c r="H42695" t="s">
        <v>5117</v>
      </c>
    </row>
    <row r="42696">
      <c r="H42696" t="s">
        <v>5117</v>
      </c>
    </row>
    <row r="42697">
      <c r="H42697" t="s">
        <v>5117</v>
      </c>
    </row>
    <row r="42698">
      <c r="H42698" t="s">
        <v>5117</v>
      </c>
    </row>
    <row r="42699">
      <c r="H42699" t="s">
        <v>5117</v>
      </c>
    </row>
    <row r="42700">
      <c r="H42700" t="s">
        <v>5117</v>
      </c>
    </row>
    <row r="42701">
      <c r="H42701" t="s">
        <v>5117</v>
      </c>
    </row>
    <row r="42702">
      <c r="H42702" t="s">
        <v>5117</v>
      </c>
    </row>
    <row r="42703">
      <c r="H42703" t="s">
        <v>5117</v>
      </c>
    </row>
    <row r="42704">
      <c r="H42704" t="s">
        <v>5117</v>
      </c>
    </row>
    <row r="42705">
      <c r="H42705" t="s">
        <v>5117</v>
      </c>
    </row>
    <row r="42706">
      <c r="H42706" t="s">
        <v>5117</v>
      </c>
    </row>
    <row r="42707">
      <c r="H42707" t="s">
        <v>5117</v>
      </c>
    </row>
    <row r="42708">
      <c r="H42708" t="s">
        <v>5117</v>
      </c>
    </row>
    <row r="42709">
      <c r="H42709" t="s">
        <v>5117</v>
      </c>
    </row>
    <row r="42710">
      <c r="H42710" t="s">
        <v>5117</v>
      </c>
    </row>
    <row r="42711">
      <c r="H42711" t="s">
        <v>5117</v>
      </c>
    </row>
    <row r="42712">
      <c r="H42712" t="s">
        <v>5117</v>
      </c>
    </row>
    <row r="42713">
      <c r="H42713" t="s">
        <v>5117</v>
      </c>
    </row>
    <row r="42714">
      <c r="H42714" t="s">
        <v>5117</v>
      </c>
    </row>
    <row r="42715">
      <c r="H42715" t="s">
        <v>5117</v>
      </c>
    </row>
    <row r="42716">
      <c r="H42716" t="s">
        <v>5117</v>
      </c>
    </row>
    <row r="42717">
      <c r="H42717" t="s">
        <v>5117</v>
      </c>
    </row>
    <row r="42718">
      <c r="H42718" t="s">
        <v>5117</v>
      </c>
    </row>
    <row r="42719">
      <c r="H42719" t="s">
        <v>5117</v>
      </c>
    </row>
    <row r="42720">
      <c r="H42720" t="s">
        <v>5117</v>
      </c>
    </row>
    <row r="42721">
      <c r="H42721" t="s">
        <v>5117</v>
      </c>
    </row>
    <row r="42722">
      <c r="H42722" t="s">
        <v>5117</v>
      </c>
    </row>
    <row r="42723">
      <c r="H42723" t="s">
        <v>5117</v>
      </c>
    </row>
    <row r="42724">
      <c r="H42724" t="s">
        <v>5117</v>
      </c>
    </row>
    <row r="42725">
      <c r="H42725" t="s">
        <v>5117</v>
      </c>
    </row>
    <row r="42726">
      <c r="H42726" t="s">
        <v>5117</v>
      </c>
    </row>
    <row r="42727">
      <c r="H42727" t="s">
        <v>5117</v>
      </c>
    </row>
    <row r="42728">
      <c r="H42728" t="s">
        <v>5117</v>
      </c>
    </row>
    <row r="42729">
      <c r="H42729" t="s">
        <v>5117</v>
      </c>
    </row>
    <row r="42730">
      <c r="H42730" t="s">
        <v>5117</v>
      </c>
    </row>
    <row r="42731">
      <c r="H42731" t="s">
        <v>5117</v>
      </c>
    </row>
    <row r="42732">
      <c r="H42732" t="s">
        <v>5117</v>
      </c>
    </row>
    <row r="42733">
      <c r="H42733" t="s">
        <v>5117</v>
      </c>
    </row>
    <row r="42734">
      <c r="H42734" t="s">
        <v>5117</v>
      </c>
    </row>
    <row r="42735">
      <c r="H42735" t="s">
        <v>5117</v>
      </c>
    </row>
    <row r="42736">
      <c r="H42736" t="s">
        <v>5117</v>
      </c>
    </row>
    <row r="42737">
      <c r="H42737" t="s">
        <v>5117</v>
      </c>
    </row>
    <row r="42738">
      <c r="H42738" t="s">
        <v>5117</v>
      </c>
    </row>
    <row r="42739">
      <c r="H42739" t="s">
        <v>5117</v>
      </c>
    </row>
    <row r="42740">
      <c r="H42740" t="s">
        <v>5117</v>
      </c>
    </row>
    <row r="42741">
      <c r="H42741" t="s">
        <v>5117</v>
      </c>
    </row>
    <row r="42742">
      <c r="H42742" t="s">
        <v>5117</v>
      </c>
    </row>
    <row r="42743">
      <c r="H42743" t="s">
        <v>5117</v>
      </c>
    </row>
    <row r="42744">
      <c r="H42744" t="s">
        <v>5117</v>
      </c>
    </row>
    <row r="42745">
      <c r="H42745" t="s">
        <v>5117</v>
      </c>
    </row>
    <row r="42746">
      <c r="H42746" t="s">
        <v>5117</v>
      </c>
    </row>
    <row r="42747">
      <c r="H42747" t="s">
        <v>5117</v>
      </c>
    </row>
    <row r="42748">
      <c r="H42748" t="s">
        <v>5117</v>
      </c>
    </row>
    <row r="42749">
      <c r="H42749" t="s">
        <v>5117</v>
      </c>
    </row>
    <row r="42750">
      <c r="H42750" t="s">
        <v>5117</v>
      </c>
    </row>
    <row r="42751">
      <c r="H42751" t="s">
        <v>5117</v>
      </c>
    </row>
    <row r="42752">
      <c r="H42752" t="s">
        <v>5117</v>
      </c>
    </row>
    <row r="42753">
      <c r="H42753" t="s">
        <v>5117</v>
      </c>
    </row>
    <row r="42754">
      <c r="H42754" t="s">
        <v>5117</v>
      </c>
    </row>
    <row r="42755">
      <c r="H42755" t="s">
        <v>5117</v>
      </c>
    </row>
    <row r="42756">
      <c r="H42756" t="s">
        <v>5117</v>
      </c>
    </row>
    <row r="42757">
      <c r="H42757" t="s">
        <v>5117</v>
      </c>
    </row>
    <row r="42758">
      <c r="H42758" t="s">
        <v>5117</v>
      </c>
    </row>
    <row r="42759">
      <c r="H42759" t="s">
        <v>5117</v>
      </c>
    </row>
    <row r="42760">
      <c r="H42760" t="s">
        <v>5117</v>
      </c>
    </row>
    <row r="42761">
      <c r="H42761" t="s">
        <v>5117</v>
      </c>
    </row>
    <row r="42762">
      <c r="H42762" t="s">
        <v>5117</v>
      </c>
    </row>
    <row r="42763">
      <c r="H42763" t="s">
        <v>5117</v>
      </c>
    </row>
    <row r="42764">
      <c r="H42764" t="s">
        <v>5117</v>
      </c>
    </row>
    <row r="42765">
      <c r="H42765" t="s">
        <v>5117</v>
      </c>
    </row>
    <row r="42766">
      <c r="H42766" t="s">
        <v>5117</v>
      </c>
    </row>
    <row r="42767">
      <c r="H42767" t="s">
        <v>5117</v>
      </c>
    </row>
    <row r="42768">
      <c r="H42768" t="s">
        <v>5117</v>
      </c>
    </row>
    <row r="42769">
      <c r="H42769" t="s">
        <v>5117</v>
      </c>
    </row>
    <row r="42770">
      <c r="H42770" t="s">
        <v>5117</v>
      </c>
    </row>
    <row r="42771">
      <c r="H42771" t="s">
        <v>5117</v>
      </c>
    </row>
    <row r="42772">
      <c r="H42772" t="s">
        <v>5117</v>
      </c>
    </row>
    <row r="42773">
      <c r="H42773" t="s">
        <v>5117</v>
      </c>
    </row>
    <row r="42774">
      <c r="H42774" t="s">
        <v>5117</v>
      </c>
    </row>
    <row r="42775">
      <c r="H42775" t="s">
        <v>5117</v>
      </c>
    </row>
    <row r="42776">
      <c r="H42776" t="s">
        <v>5117</v>
      </c>
    </row>
    <row r="42777">
      <c r="H42777" t="s">
        <v>5117</v>
      </c>
    </row>
    <row r="42778">
      <c r="H42778" t="s">
        <v>5117</v>
      </c>
    </row>
    <row r="42779">
      <c r="H42779" t="s">
        <v>5117</v>
      </c>
    </row>
    <row r="42780">
      <c r="H42780" t="s">
        <v>5117</v>
      </c>
    </row>
    <row r="42781">
      <c r="H42781" t="s">
        <v>5117</v>
      </c>
    </row>
    <row r="42782">
      <c r="H42782" t="s">
        <v>5117</v>
      </c>
    </row>
    <row r="42783">
      <c r="H42783" t="s">
        <v>5117</v>
      </c>
    </row>
    <row r="42784">
      <c r="H42784" t="s">
        <v>5117</v>
      </c>
    </row>
    <row r="42785">
      <c r="H42785" t="s">
        <v>5117</v>
      </c>
    </row>
    <row r="42786">
      <c r="H42786" t="s">
        <v>5117</v>
      </c>
    </row>
    <row r="42787">
      <c r="H42787" t="s">
        <v>5117</v>
      </c>
    </row>
    <row r="42788">
      <c r="H42788" t="s">
        <v>5117</v>
      </c>
    </row>
    <row r="42789">
      <c r="H42789" t="s">
        <v>5117</v>
      </c>
    </row>
    <row r="42790">
      <c r="H42790" t="s">
        <v>5117</v>
      </c>
    </row>
    <row r="42791">
      <c r="H42791" t="s">
        <v>5117</v>
      </c>
    </row>
    <row r="42792">
      <c r="H42792" t="s">
        <v>5117</v>
      </c>
    </row>
    <row r="42793">
      <c r="H42793" t="s">
        <v>5117</v>
      </c>
    </row>
    <row r="42794">
      <c r="H42794" t="s">
        <v>5117</v>
      </c>
    </row>
    <row r="42795">
      <c r="H42795" t="s">
        <v>5117</v>
      </c>
    </row>
    <row r="42796">
      <c r="H42796" t="s">
        <v>5117</v>
      </c>
    </row>
    <row r="42797">
      <c r="H42797" t="s">
        <v>5117</v>
      </c>
    </row>
    <row r="42798">
      <c r="H42798" t="s">
        <v>5117</v>
      </c>
    </row>
    <row r="42799">
      <c r="H42799" t="s">
        <v>5117</v>
      </c>
    </row>
    <row r="42800">
      <c r="H42800" t="s">
        <v>5117</v>
      </c>
    </row>
    <row r="42801">
      <c r="H42801" t="s">
        <v>5117</v>
      </c>
    </row>
    <row r="42802">
      <c r="H42802" t="s">
        <v>5117</v>
      </c>
    </row>
    <row r="42803">
      <c r="H42803" t="s">
        <v>5117</v>
      </c>
    </row>
    <row r="42804">
      <c r="H42804" t="s">
        <v>5117</v>
      </c>
    </row>
    <row r="42805">
      <c r="H42805" t="s">
        <v>5117</v>
      </c>
    </row>
    <row r="42806">
      <c r="H42806" t="s">
        <v>5117</v>
      </c>
    </row>
    <row r="42807">
      <c r="H42807" t="s">
        <v>5117</v>
      </c>
    </row>
    <row r="42808">
      <c r="H42808" t="s">
        <v>5117</v>
      </c>
    </row>
    <row r="42809">
      <c r="H42809" t="s">
        <v>5117</v>
      </c>
    </row>
    <row r="42810">
      <c r="H42810" t="s">
        <v>5117</v>
      </c>
    </row>
    <row r="42811">
      <c r="H42811" t="s">
        <v>5117</v>
      </c>
    </row>
    <row r="42812">
      <c r="H42812" t="s">
        <v>5117</v>
      </c>
    </row>
    <row r="42813">
      <c r="H42813" t="s">
        <v>5117</v>
      </c>
    </row>
    <row r="42814">
      <c r="H42814" t="s">
        <v>5117</v>
      </c>
    </row>
    <row r="42815">
      <c r="H42815" t="s">
        <v>5117</v>
      </c>
    </row>
    <row r="42816">
      <c r="H42816" t="s">
        <v>5117</v>
      </c>
    </row>
    <row r="42817">
      <c r="H42817" t="s">
        <v>5117</v>
      </c>
    </row>
    <row r="42818">
      <c r="H42818" t="s">
        <v>5117</v>
      </c>
    </row>
    <row r="42819">
      <c r="H42819" t="s">
        <v>5117</v>
      </c>
    </row>
    <row r="42820">
      <c r="H42820" t="s">
        <v>5117</v>
      </c>
    </row>
    <row r="42821">
      <c r="H42821" t="s">
        <v>5117</v>
      </c>
    </row>
    <row r="42822">
      <c r="H42822" t="s">
        <v>5117</v>
      </c>
    </row>
    <row r="42823">
      <c r="H42823" t="s">
        <v>5117</v>
      </c>
    </row>
    <row r="42824">
      <c r="H42824" t="s">
        <v>5117</v>
      </c>
    </row>
    <row r="42825">
      <c r="H42825" t="s">
        <v>5117</v>
      </c>
    </row>
    <row r="42826">
      <c r="H42826" t="s">
        <v>5117</v>
      </c>
    </row>
    <row r="42827">
      <c r="H42827" t="s">
        <v>5117</v>
      </c>
    </row>
    <row r="42828">
      <c r="H42828" t="s">
        <v>5117</v>
      </c>
    </row>
    <row r="42829">
      <c r="H42829" t="s">
        <v>5117</v>
      </c>
    </row>
    <row r="42830">
      <c r="H42830" t="s">
        <v>5117</v>
      </c>
    </row>
    <row r="42831">
      <c r="H42831" t="s">
        <v>5117</v>
      </c>
    </row>
    <row r="42832">
      <c r="H42832" t="s">
        <v>5117</v>
      </c>
    </row>
    <row r="42833">
      <c r="H42833" t="s">
        <v>5117</v>
      </c>
    </row>
    <row r="42834">
      <c r="H42834" t="s">
        <v>5117</v>
      </c>
    </row>
    <row r="42835">
      <c r="H42835" t="s">
        <v>5117</v>
      </c>
    </row>
    <row r="42836">
      <c r="H42836" t="s">
        <v>5117</v>
      </c>
    </row>
    <row r="42837">
      <c r="H42837" t="s">
        <v>5117</v>
      </c>
    </row>
    <row r="42838">
      <c r="H42838" t="s">
        <v>5117</v>
      </c>
    </row>
    <row r="42839">
      <c r="H42839" t="s">
        <v>5117</v>
      </c>
    </row>
    <row r="42840">
      <c r="H42840" t="s">
        <v>5117</v>
      </c>
    </row>
    <row r="42841">
      <c r="H42841" t="s">
        <v>5117</v>
      </c>
    </row>
    <row r="42842">
      <c r="H42842" t="s">
        <v>5117</v>
      </c>
    </row>
    <row r="42843">
      <c r="H42843" t="s">
        <v>5117</v>
      </c>
    </row>
    <row r="42844">
      <c r="H42844" t="s">
        <v>5117</v>
      </c>
    </row>
    <row r="42845">
      <c r="H42845" t="s">
        <v>5117</v>
      </c>
    </row>
    <row r="42846">
      <c r="H42846" t="s">
        <v>5117</v>
      </c>
    </row>
    <row r="42847">
      <c r="H42847" t="s">
        <v>5117</v>
      </c>
    </row>
    <row r="42848">
      <c r="H42848" t="s">
        <v>5117</v>
      </c>
    </row>
    <row r="42849">
      <c r="H42849" t="s">
        <v>5117</v>
      </c>
    </row>
    <row r="42850">
      <c r="H42850" t="s">
        <v>5117</v>
      </c>
    </row>
    <row r="42851">
      <c r="H42851" t="s">
        <v>5117</v>
      </c>
    </row>
    <row r="42852">
      <c r="H42852" t="s">
        <v>5117</v>
      </c>
    </row>
    <row r="42853">
      <c r="H42853" t="s">
        <v>5117</v>
      </c>
    </row>
    <row r="42854">
      <c r="H42854" t="s">
        <v>5117</v>
      </c>
    </row>
    <row r="42855">
      <c r="H42855" t="s">
        <v>5117</v>
      </c>
    </row>
    <row r="42856">
      <c r="H42856" t="s">
        <v>5117</v>
      </c>
    </row>
    <row r="42857">
      <c r="H42857" t="s">
        <v>5117</v>
      </c>
    </row>
    <row r="42858">
      <c r="H42858" t="s">
        <v>5117</v>
      </c>
    </row>
    <row r="42859">
      <c r="H42859" t="s">
        <v>5117</v>
      </c>
    </row>
    <row r="42860">
      <c r="H42860" t="s">
        <v>5117</v>
      </c>
    </row>
    <row r="42861">
      <c r="H42861" t="s">
        <v>5117</v>
      </c>
    </row>
    <row r="42862">
      <c r="H42862" t="s">
        <v>5117</v>
      </c>
    </row>
    <row r="42863">
      <c r="H42863" t="s">
        <v>5117</v>
      </c>
    </row>
    <row r="42864">
      <c r="H42864" t="s">
        <v>5117</v>
      </c>
    </row>
    <row r="42865">
      <c r="H42865" t="s">
        <v>5117</v>
      </c>
    </row>
    <row r="42866">
      <c r="H42866" t="s">
        <v>5117</v>
      </c>
    </row>
    <row r="42867">
      <c r="H42867" t="s">
        <v>5117</v>
      </c>
    </row>
    <row r="42868">
      <c r="H42868" t="s">
        <v>5117</v>
      </c>
    </row>
    <row r="42869">
      <c r="H42869" t="s">
        <v>5117</v>
      </c>
    </row>
    <row r="42870">
      <c r="H42870" t="s">
        <v>5117</v>
      </c>
    </row>
    <row r="42871">
      <c r="H42871" t="s">
        <v>5117</v>
      </c>
    </row>
    <row r="42872">
      <c r="H42872" t="s">
        <v>5117</v>
      </c>
    </row>
    <row r="42873">
      <c r="H42873" t="s">
        <v>5117</v>
      </c>
    </row>
    <row r="42874">
      <c r="H42874" t="s">
        <v>5117</v>
      </c>
    </row>
    <row r="42875">
      <c r="H42875" t="s">
        <v>5117</v>
      </c>
    </row>
    <row r="42876">
      <c r="H42876" t="s">
        <v>5117</v>
      </c>
    </row>
    <row r="42877">
      <c r="H42877" t="s">
        <v>5117</v>
      </c>
    </row>
    <row r="42878">
      <c r="H42878" t="s">
        <v>5117</v>
      </c>
    </row>
    <row r="42879">
      <c r="H42879" t="s">
        <v>5117</v>
      </c>
    </row>
    <row r="42880">
      <c r="H42880" t="s">
        <v>5117</v>
      </c>
    </row>
    <row r="42881">
      <c r="H42881" t="s">
        <v>5117</v>
      </c>
    </row>
    <row r="42882">
      <c r="H42882" t="s">
        <v>5117</v>
      </c>
    </row>
    <row r="42883">
      <c r="H42883" t="s">
        <v>5117</v>
      </c>
    </row>
    <row r="42884">
      <c r="H42884" t="s">
        <v>5117</v>
      </c>
    </row>
    <row r="42885">
      <c r="H42885" t="s">
        <v>5117</v>
      </c>
    </row>
    <row r="42886">
      <c r="H42886" t="s">
        <v>5117</v>
      </c>
    </row>
    <row r="42887">
      <c r="H42887" t="s">
        <v>5117</v>
      </c>
    </row>
    <row r="42888">
      <c r="H42888" t="s">
        <v>5117</v>
      </c>
    </row>
    <row r="42889">
      <c r="H42889" t="s">
        <v>5117</v>
      </c>
    </row>
    <row r="42890">
      <c r="H42890" t="s">
        <v>5117</v>
      </c>
    </row>
    <row r="42891">
      <c r="H42891" t="s">
        <v>5117</v>
      </c>
    </row>
    <row r="42892">
      <c r="H42892" t="s">
        <v>5117</v>
      </c>
    </row>
    <row r="42893">
      <c r="H42893" t="s">
        <v>5117</v>
      </c>
    </row>
    <row r="42894">
      <c r="H42894" t="s">
        <v>5117</v>
      </c>
    </row>
    <row r="42895">
      <c r="H42895" t="s">
        <v>5117</v>
      </c>
    </row>
    <row r="42896">
      <c r="H42896" t="s">
        <v>5117</v>
      </c>
    </row>
    <row r="42897">
      <c r="H42897" t="s">
        <v>5117</v>
      </c>
    </row>
    <row r="42898">
      <c r="H42898" t="s">
        <v>5117</v>
      </c>
    </row>
    <row r="42899">
      <c r="H42899" t="s">
        <v>5117</v>
      </c>
    </row>
    <row r="42900">
      <c r="H42900" t="s">
        <v>5117</v>
      </c>
    </row>
    <row r="42901">
      <c r="H42901" t="s">
        <v>5117</v>
      </c>
    </row>
    <row r="42902">
      <c r="H42902" t="s">
        <v>5117</v>
      </c>
    </row>
    <row r="42903">
      <c r="H42903" t="s">
        <v>5117</v>
      </c>
    </row>
    <row r="42904">
      <c r="H42904" t="s">
        <v>5117</v>
      </c>
    </row>
    <row r="42905">
      <c r="H42905" t="s">
        <v>5117</v>
      </c>
    </row>
    <row r="42906">
      <c r="H42906" t="s">
        <v>5117</v>
      </c>
    </row>
    <row r="42907">
      <c r="H42907" t="s">
        <v>5117</v>
      </c>
    </row>
    <row r="42908">
      <c r="H42908" t="s">
        <v>5117</v>
      </c>
    </row>
    <row r="42909">
      <c r="H42909" t="s">
        <v>5117</v>
      </c>
    </row>
    <row r="42910">
      <c r="H42910" t="s">
        <v>5117</v>
      </c>
    </row>
    <row r="42911">
      <c r="H42911" t="s">
        <v>5117</v>
      </c>
    </row>
    <row r="42912">
      <c r="H42912" t="s">
        <v>5117</v>
      </c>
    </row>
    <row r="42913">
      <c r="H42913" t="s">
        <v>5117</v>
      </c>
    </row>
    <row r="42914">
      <c r="H42914" t="s">
        <v>5117</v>
      </c>
    </row>
    <row r="42915">
      <c r="H42915" t="s">
        <v>5117</v>
      </c>
    </row>
    <row r="42916">
      <c r="H42916" t="s">
        <v>5117</v>
      </c>
    </row>
    <row r="42917">
      <c r="H42917" t="s">
        <v>5117</v>
      </c>
    </row>
    <row r="42918">
      <c r="H42918" t="s">
        <v>5117</v>
      </c>
    </row>
    <row r="42919">
      <c r="H42919" t="s">
        <v>5117</v>
      </c>
    </row>
    <row r="42920">
      <c r="H42920" t="s">
        <v>5117</v>
      </c>
    </row>
    <row r="42921">
      <c r="H42921" t="s">
        <v>5117</v>
      </c>
    </row>
    <row r="42922">
      <c r="H42922" t="s">
        <v>5117</v>
      </c>
    </row>
    <row r="42923">
      <c r="H42923" t="s">
        <v>5117</v>
      </c>
    </row>
    <row r="42924">
      <c r="H42924" t="s">
        <v>5117</v>
      </c>
    </row>
    <row r="42925">
      <c r="H42925" t="s">
        <v>5117</v>
      </c>
    </row>
    <row r="42926">
      <c r="H42926" t="s">
        <v>5117</v>
      </c>
    </row>
    <row r="42927">
      <c r="H42927" t="s">
        <v>5117</v>
      </c>
    </row>
    <row r="42928">
      <c r="H42928" t="s">
        <v>5117</v>
      </c>
    </row>
    <row r="42929">
      <c r="H42929" t="s">
        <v>5117</v>
      </c>
    </row>
    <row r="42930">
      <c r="H42930" t="s">
        <v>5117</v>
      </c>
    </row>
    <row r="42931">
      <c r="H42931" t="s">
        <v>5117</v>
      </c>
    </row>
    <row r="42932">
      <c r="H42932" t="s">
        <v>5117</v>
      </c>
    </row>
    <row r="42933">
      <c r="H42933" t="s">
        <v>5117</v>
      </c>
    </row>
    <row r="42934">
      <c r="H42934" t="s">
        <v>5117</v>
      </c>
    </row>
    <row r="42935">
      <c r="H42935" t="s">
        <v>5117</v>
      </c>
    </row>
    <row r="42936">
      <c r="H42936" t="s">
        <v>5117</v>
      </c>
    </row>
    <row r="42937">
      <c r="H42937" t="s">
        <v>5117</v>
      </c>
    </row>
    <row r="42938">
      <c r="H42938" t="s">
        <v>5117</v>
      </c>
    </row>
    <row r="42939">
      <c r="H42939" t="s">
        <v>5117</v>
      </c>
    </row>
    <row r="42940">
      <c r="H42940" t="s">
        <v>5117</v>
      </c>
    </row>
    <row r="42941">
      <c r="H42941" t="s">
        <v>5117</v>
      </c>
    </row>
    <row r="42942">
      <c r="H42942" t="s">
        <v>5117</v>
      </c>
    </row>
    <row r="42943">
      <c r="H42943" t="s">
        <v>5117</v>
      </c>
    </row>
    <row r="42944">
      <c r="H42944" t="s">
        <v>5117</v>
      </c>
    </row>
    <row r="42945">
      <c r="H42945" t="s">
        <v>5117</v>
      </c>
    </row>
    <row r="42946">
      <c r="H42946" t="s">
        <v>5117</v>
      </c>
    </row>
    <row r="42947">
      <c r="H42947" t="s">
        <v>5117</v>
      </c>
    </row>
    <row r="42948">
      <c r="H42948" t="s">
        <v>5117</v>
      </c>
    </row>
    <row r="42949">
      <c r="H42949" t="s">
        <v>5117</v>
      </c>
    </row>
    <row r="42950">
      <c r="H42950" t="s">
        <v>5117</v>
      </c>
    </row>
    <row r="42951">
      <c r="H42951" t="s">
        <v>5117</v>
      </c>
    </row>
    <row r="42952">
      <c r="H42952" t="s">
        <v>5117</v>
      </c>
    </row>
    <row r="42953">
      <c r="H42953" t="s">
        <v>5117</v>
      </c>
    </row>
    <row r="42954">
      <c r="H42954" t="s">
        <v>5117</v>
      </c>
    </row>
    <row r="42955">
      <c r="H42955" t="s">
        <v>5117</v>
      </c>
    </row>
    <row r="42956">
      <c r="H42956" t="s">
        <v>5117</v>
      </c>
    </row>
    <row r="42957">
      <c r="H42957" t="s">
        <v>5117</v>
      </c>
    </row>
    <row r="42958">
      <c r="H42958" t="s">
        <v>5117</v>
      </c>
    </row>
    <row r="42959">
      <c r="H42959" t="s">
        <v>5117</v>
      </c>
    </row>
    <row r="42960">
      <c r="H42960" t="s">
        <v>5117</v>
      </c>
    </row>
    <row r="42961">
      <c r="H42961" t="s">
        <v>5117</v>
      </c>
    </row>
    <row r="42962">
      <c r="H42962" t="s">
        <v>5117</v>
      </c>
    </row>
    <row r="42963">
      <c r="H42963" t="s">
        <v>5117</v>
      </c>
    </row>
    <row r="42964">
      <c r="H42964" t="s">
        <v>5117</v>
      </c>
    </row>
    <row r="42965">
      <c r="H42965" t="s">
        <v>5117</v>
      </c>
    </row>
    <row r="42966">
      <c r="H42966" t="s">
        <v>5117</v>
      </c>
    </row>
    <row r="42967">
      <c r="H42967" t="s">
        <v>5117</v>
      </c>
    </row>
    <row r="42968">
      <c r="H42968" t="s">
        <v>5117</v>
      </c>
    </row>
    <row r="42969">
      <c r="H42969" t="s">
        <v>5117</v>
      </c>
    </row>
    <row r="42970">
      <c r="H42970" t="s">
        <v>5117</v>
      </c>
    </row>
    <row r="42971">
      <c r="H42971" t="s">
        <v>5117</v>
      </c>
    </row>
    <row r="42972">
      <c r="H42972" t="s">
        <v>5117</v>
      </c>
    </row>
    <row r="42973">
      <c r="H42973" t="s">
        <v>5117</v>
      </c>
    </row>
    <row r="42974">
      <c r="H42974" t="s">
        <v>5117</v>
      </c>
    </row>
    <row r="42975">
      <c r="H42975" t="s">
        <v>5117</v>
      </c>
    </row>
    <row r="42976">
      <c r="H42976" t="s">
        <v>5117</v>
      </c>
    </row>
    <row r="42977">
      <c r="H42977" t="s">
        <v>5117</v>
      </c>
    </row>
    <row r="42978">
      <c r="H42978" t="s">
        <v>5117</v>
      </c>
    </row>
    <row r="42979">
      <c r="H42979" t="s">
        <v>5117</v>
      </c>
    </row>
    <row r="42980">
      <c r="H42980" t="s">
        <v>5117</v>
      </c>
    </row>
    <row r="42981">
      <c r="H42981" t="s">
        <v>5117</v>
      </c>
    </row>
    <row r="42982">
      <c r="H42982" t="s">
        <v>5117</v>
      </c>
    </row>
    <row r="42983">
      <c r="H42983" t="s">
        <v>5117</v>
      </c>
    </row>
    <row r="42984">
      <c r="H42984" t="s">
        <v>5117</v>
      </c>
    </row>
    <row r="42985">
      <c r="H42985" t="s">
        <v>5117</v>
      </c>
    </row>
    <row r="42986">
      <c r="H42986" t="s">
        <v>5117</v>
      </c>
    </row>
    <row r="42987">
      <c r="H42987" t="s">
        <v>5117</v>
      </c>
    </row>
    <row r="42988">
      <c r="H42988" t="s">
        <v>5117</v>
      </c>
    </row>
    <row r="42989">
      <c r="H42989" t="s">
        <v>5117</v>
      </c>
    </row>
    <row r="42990">
      <c r="H42990" t="s">
        <v>5117</v>
      </c>
    </row>
    <row r="42991">
      <c r="H42991" t="s">
        <v>5117</v>
      </c>
    </row>
    <row r="42992">
      <c r="H42992" t="s">
        <v>5117</v>
      </c>
    </row>
    <row r="42993">
      <c r="H42993" t="s">
        <v>5117</v>
      </c>
    </row>
    <row r="42994">
      <c r="H42994" t="s">
        <v>5117</v>
      </c>
    </row>
    <row r="42995">
      <c r="H42995" t="s">
        <v>5117</v>
      </c>
    </row>
    <row r="42996">
      <c r="H42996" t="s">
        <v>5117</v>
      </c>
    </row>
    <row r="42997">
      <c r="H42997" t="s">
        <v>5117</v>
      </c>
    </row>
    <row r="42998">
      <c r="H42998" t="s">
        <v>5117</v>
      </c>
    </row>
    <row r="42999">
      <c r="H42999" t="s">
        <v>5117</v>
      </c>
    </row>
    <row r="43000">
      <c r="H43000" t="s">
        <v>5117</v>
      </c>
    </row>
    <row r="43001">
      <c r="H43001" t="s">
        <v>5117</v>
      </c>
    </row>
    <row r="43002">
      <c r="H43002" t="s">
        <v>5117</v>
      </c>
    </row>
    <row r="43003">
      <c r="H43003" t="s">
        <v>5117</v>
      </c>
    </row>
    <row r="43004">
      <c r="H43004" t="s">
        <v>5117</v>
      </c>
    </row>
    <row r="43005">
      <c r="H43005" t="s">
        <v>5117</v>
      </c>
    </row>
    <row r="43006">
      <c r="H43006" t="s">
        <v>5117</v>
      </c>
    </row>
    <row r="43007">
      <c r="H43007" t="s">
        <v>5117</v>
      </c>
    </row>
    <row r="43008">
      <c r="H43008" t="s">
        <v>5117</v>
      </c>
    </row>
    <row r="43009">
      <c r="H43009" t="s">
        <v>5117</v>
      </c>
    </row>
    <row r="43010">
      <c r="H43010" t="s">
        <v>5117</v>
      </c>
    </row>
    <row r="43011">
      <c r="H43011" t="s">
        <v>5117</v>
      </c>
    </row>
    <row r="43012">
      <c r="H43012" t="s">
        <v>5117</v>
      </c>
    </row>
    <row r="43013">
      <c r="H43013" t="s">
        <v>5117</v>
      </c>
    </row>
    <row r="43014">
      <c r="H43014" t="s">
        <v>5117</v>
      </c>
    </row>
    <row r="43015">
      <c r="H43015" t="s">
        <v>5117</v>
      </c>
    </row>
    <row r="43016">
      <c r="H43016" t="s">
        <v>5117</v>
      </c>
    </row>
    <row r="43017">
      <c r="H43017" t="s">
        <v>5117</v>
      </c>
    </row>
    <row r="43018">
      <c r="H43018" t="s">
        <v>5117</v>
      </c>
    </row>
    <row r="43019">
      <c r="H43019" t="s">
        <v>5117</v>
      </c>
    </row>
    <row r="43020">
      <c r="H43020" t="s">
        <v>5117</v>
      </c>
    </row>
    <row r="43021">
      <c r="H43021" t="s">
        <v>5117</v>
      </c>
    </row>
    <row r="43022">
      <c r="H43022" t="s">
        <v>5117</v>
      </c>
    </row>
    <row r="43023">
      <c r="H43023" t="s">
        <v>5117</v>
      </c>
    </row>
    <row r="43024">
      <c r="H43024" t="s">
        <v>5117</v>
      </c>
    </row>
    <row r="43025">
      <c r="H43025" t="s">
        <v>5117</v>
      </c>
    </row>
    <row r="43026">
      <c r="H43026" t="s">
        <v>5117</v>
      </c>
    </row>
    <row r="43027">
      <c r="H43027" t="s">
        <v>5117</v>
      </c>
    </row>
    <row r="43028">
      <c r="H43028" t="s">
        <v>5117</v>
      </c>
    </row>
    <row r="43029">
      <c r="H43029" t="s">
        <v>5117</v>
      </c>
    </row>
    <row r="43030">
      <c r="H43030" t="s">
        <v>5117</v>
      </c>
    </row>
    <row r="43031">
      <c r="H43031" t="s">
        <v>5117</v>
      </c>
    </row>
    <row r="43032">
      <c r="H43032" t="s">
        <v>5117</v>
      </c>
    </row>
    <row r="43033">
      <c r="H43033" t="s">
        <v>5117</v>
      </c>
    </row>
    <row r="43034">
      <c r="H43034" t="s">
        <v>5117</v>
      </c>
    </row>
    <row r="43035">
      <c r="H43035" t="s">
        <v>5117</v>
      </c>
    </row>
    <row r="43036">
      <c r="H43036" t="s">
        <v>5117</v>
      </c>
    </row>
    <row r="43037">
      <c r="H43037" t="s">
        <v>5117</v>
      </c>
    </row>
    <row r="43038">
      <c r="H43038" t="s">
        <v>5117</v>
      </c>
    </row>
    <row r="43039">
      <c r="H43039" t="s">
        <v>5117</v>
      </c>
    </row>
    <row r="43040">
      <c r="H43040" t="s">
        <v>5117</v>
      </c>
    </row>
    <row r="43041">
      <c r="H43041" t="s">
        <v>5117</v>
      </c>
    </row>
    <row r="43042">
      <c r="H43042" t="s">
        <v>5117</v>
      </c>
    </row>
    <row r="43043">
      <c r="H43043" t="s">
        <v>5117</v>
      </c>
    </row>
    <row r="43044">
      <c r="H43044" t="s">
        <v>5117</v>
      </c>
    </row>
    <row r="43045">
      <c r="H43045" t="s">
        <v>5117</v>
      </c>
    </row>
    <row r="43046">
      <c r="H43046" t="s">
        <v>5117</v>
      </c>
    </row>
    <row r="43047">
      <c r="H43047" t="s">
        <v>5117</v>
      </c>
    </row>
    <row r="43048">
      <c r="H43048" t="s">
        <v>5117</v>
      </c>
    </row>
    <row r="43049">
      <c r="H43049" t="s">
        <v>5117</v>
      </c>
    </row>
    <row r="43050">
      <c r="H43050" t="s">
        <v>5117</v>
      </c>
    </row>
    <row r="43051">
      <c r="H43051" t="s">
        <v>5117</v>
      </c>
    </row>
    <row r="43052">
      <c r="H43052" t="s">
        <v>5117</v>
      </c>
    </row>
    <row r="43053">
      <c r="H43053" t="s">
        <v>5117</v>
      </c>
    </row>
    <row r="43054">
      <c r="H43054" t="s">
        <v>5117</v>
      </c>
    </row>
    <row r="43055">
      <c r="H43055" t="s">
        <v>5117</v>
      </c>
    </row>
    <row r="43056">
      <c r="H43056" t="s">
        <v>5117</v>
      </c>
    </row>
    <row r="43057">
      <c r="H43057" t="s">
        <v>5117</v>
      </c>
    </row>
    <row r="43058">
      <c r="H43058" t="s">
        <v>5117</v>
      </c>
    </row>
    <row r="43059">
      <c r="H43059" t="s">
        <v>5117</v>
      </c>
    </row>
    <row r="43060">
      <c r="H43060" t="s">
        <v>5117</v>
      </c>
    </row>
    <row r="43061">
      <c r="H43061" t="s">
        <v>5117</v>
      </c>
    </row>
    <row r="43062">
      <c r="H43062" t="s">
        <v>5117</v>
      </c>
    </row>
    <row r="43063">
      <c r="H43063" t="s">
        <v>5117</v>
      </c>
    </row>
    <row r="43064">
      <c r="H43064" t="s">
        <v>5117</v>
      </c>
    </row>
    <row r="43065">
      <c r="H43065" t="s">
        <v>5117</v>
      </c>
    </row>
    <row r="43066">
      <c r="H43066" t="s">
        <v>5117</v>
      </c>
    </row>
    <row r="43067">
      <c r="H43067" t="s">
        <v>5117</v>
      </c>
    </row>
    <row r="43068">
      <c r="H43068" t="s">
        <v>5117</v>
      </c>
    </row>
    <row r="43069">
      <c r="H43069" t="s">
        <v>5117</v>
      </c>
    </row>
    <row r="43070">
      <c r="H43070" t="s">
        <v>5117</v>
      </c>
    </row>
    <row r="43071">
      <c r="H43071" t="s">
        <v>5117</v>
      </c>
    </row>
    <row r="43072">
      <c r="H43072" t="s">
        <v>5117</v>
      </c>
    </row>
    <row r="43073">
      <c r="H43073" t="s">
        <v>5117</v>
      </c>
    </row>
    <row r="43074">
      <c r="H43074" t="s">
        <v>5117</v>
      </c>
    </row>
    <row r="43075">
      <c r="H43075" t="s">
        <v>5117</v>
      </c>
    </row>
    <row r="43076">
      <c r="H43076" t="s">
        <v>5117</v>
      </c>
    </row>
    <row r="43077">
      <c r="H43077" t="s">
        <v>5117</v>
      </c>
    </row>
    <row r="43078">
      <c r="H43078" t="s">
        <v>5117</v>
      </c>
    </row>
    <row r="43079">
      <c r="H43079" t="s">
        <v>5117</v>
      </c>
    </row>
    <row r="43080">
      <c r="H43080" t="s">
        <v>5117</v>
      </c>
    </row>
    <row r="43081">
      <c r="H43081" t="s">
        <v>5117</v>
      </c>
    </row>
    <row r="43082">
      <c r="H43082" t="s">
        <v>5117</v>
      </c>
    </row>
    <row r="43083">
      <c r="H43083" t="s">
        <v>5117</v>
      </c>
    </row>
    <row r="43084">
      <c r="H43084" t="s">
        <v>5117</v>
      </c>
    </row>
    <row r="43085">
      <c r="H43085" t="s">
        <v>5117</v>
      </c>
    </row>
    <row r="43086">
      <c r="H43086" t="s">
        <v>5117</v>
      </c>
    </row>
    <row r="43087">
      <c r="H43087" t="s">
        <v>5117</v>
      </c>
    </row>
    <row r="43088">
      <c r="H43088" t="s">
        <v>5117</v>
      </c>
    </row>
    <row r="43089">
      <c r="H43089" t="s">
        <v>5117</v>
      </c>
    </row>
    <row r="43090">
      <c r="H43090" t="s">
        <v>5117</v>
      </c>
    </row>
    <row r="43091">
      <c r="H43091" t="s">
        <v>5117</v>
      </c>
    </row>
    <row r="43092">
      <c r="H43092" t="s">
        <v>5117</v>
      </c>
    </row>
    <row r="43093">
      <c r="H43093" t="s">
        <v>5117</v>
      </c>
    </row>
    <row r="43094">
      <c r="H43094" t="s">
        <v>5117</v>
      </c>
    </row>
    <row r="43095">
      <c r="H43095" t="s">
        <v>5117</v>
      </c>
    </row>
    <row r="43096">
      <c r="H43096" t="s">
        <v>5117</v>
      </c>
    </row>
    <row r="43097">
      <c r="H43097" t="s">
        <v>5117</v>
      </c>
    </row>
    <row r="43098">
      <c r="H43098" t="s">
        <v>5117</v>
      </c>
    </row>
    <row r="43099">
      <c r="H43099" t="s">
        <v>5117</v>
      </c>
    </row>
    <row r="43100">
      <c r="H43100" t="s">
        <v>5117</v>
      </c>
    </row>
    <row r="43101">
      <c r="H43101" t="s">
        <v>5117</v>
      </c>
    </row>
    <row r="43102">
      <c r="H43102" t="s">
        <v>5117</v>
      </c>
    </row>
    <row r="43103">
      <c r="H43103" t="s">
        <v>5117</v>
      </c>
    </row>
    <row r="43104">
      <c r="H43104" t="s">
        <v>5117</v>
      </c>
    </row>
    <row r="43105">
      <c r="H43105" t="s">
        <v>5117</v>
      </c>
    </row>
    <row r="43106">
      <c r="H43106" t="s">
        <v>5117</v>
      </c>
    </row>
    <row r="43107">
      <c r="H43107" t="s">
        <v>5117</v>
      </c>
    </row>
    <row r="43108">
      <c r="H43108" t="s">
        <v>5117</v>
      </c>
    </row>
    <row r="43109">
      <c r="H43109" t="s">
        <v>5117</v>
      </c>
    </row>
    <row r="43110">
      <c r="H43110" t="s">
        <v>5117</v>
      </c>
    </row>
    <row r="43111">
      <c r="H43111" t="s">
        <v>5117</v>
      </c>
    </row>
    <row r="43112">
      <c r="H43112" t="s">
        <v>5117</v>
      </c>
    </row>
    <row r="43113">
      <c r="H43113" t="s">
        <v>5117</v>
      </c>
    </row>
    <row r="43114">
      <c r="H43114" t="s">
        <v>5117</v>
      </c>
    </row>
    <row r="43115">
      <c r="H43115" t="s">
        <v>5117</v>
      </c>
    </row>
    <row r="43116">
      <c r="H43116" t="s">
        <v>5117</v>
      </c>
    </row>
    <row r="43117">
      <c r="H43117" t="s">
        <v>5117</v>
      </c>
    </row>
    <row r="43118">
      <c r="H43118" t="s">
        <v>5117</v>
      </c>
    </row>
    <row r="43119">
      <c r="H43119" t="s">
        <v>5117</v>
      </c>
    </row>
    <row r="43120">
      <c r="H43120" t="s">
        <v>5117</v>
      </c>
    </row>
    <row r="43121">
      <c r="H43121" t="s">
        <v>5117</v>
      </c>
    </row>
    <row r="43122">
      <c r="H43122" t="s">
        <v>5117</v>
      </c>
    </row>
    <row r="43123">
      <c r="H43123" t="s">
        <v>5117</v>
      </c>
    </row>
    <row r="43124">
      <c r="H43124" t="s">
        <v>5117</v>
      </c>
    </row>
    <row r="43125">
      <c r="H43125" t="s">
        <v>5117</v>
      </c>
    </row>
    <row r="43126">
      <c r="H43126" t="s">
        <v>5117</v>
      </c>
    </row>
    <row r="43127">
      <c r="H43127" t="s">
        <v>5117</v>
      </c>
    </row>
    <row r="43128">
      <c r="H43128" t="s">
        <v>5117</v>
      </c>
    </row>
    <row r="43129">
      <c r="H43129" t="s">
        <v>5117</v>
      </c>
    </row>
    <row r="43130">
      <c r="H43130" t="s">
        <v>5117</v>
      </c>
    </row>
    <row r="43131">
      <c r="H43131" t="s">
        <v>5117</v>
      </c>
    </row>
    <row r="43132">
      <c r="H43132" t="s">
        <v>5117</v>
      </c>
    </row>
    <row r="43133">
      <c r="H43133" t="s">
        <v>5117</v>
      </c>
    </row>
    <row r="43134">
      <c r="H43134" t="s">
        <v>5117</v>
      </c>
    </row>
    <row r="43135">
      <c r="H43135" t="s">
        <v>5117</v>
      </c>
    </row>
    <row r="43136">
      <c r="H43136" t="s">
        <v>5117</v>
      </c>
    </row>
    <row r="43137">
      <c r="H43137" t="s">
        <v>5117</v>
      </c>
    </row>
    <row r="43138">
      <c r="H43138" t="s">
        <v>5117</v>
      </c>
    </row>
    <row r="43139">
      <c r="H43139" t="s">
        <v>5117</v>
      </c>
    </row>
    <row r="43140">
      <c r="H43140" t="s">
        <v>5117</v>
      </c>
    </row>
    <row r="43141">
      <c r="H43141" t="s">
        <v>5117</v>
      </c>
    </row>
    <row r="43142">
      <c r="H43142" t="s">
        <v>5117</v>
      </c>
    </row>
    <row r="43143">
      <c r="H43143" t="s">
        <v>5117</v>
      </c>
    </row>
    <row r="43144">
      <c r="H43144" t="s">
        <v>5117</v>
      </c>
    </row>
    <row r="43145">
      <c r="H43145" t="s">
        <v>5117</v>
      </c>
    </row>
    <row r="43146">
      <c r="H43146" t="s">
        <v>5117</v>
      </c>
    </row>
    <row r="43147">
      <c r="H43147" t="s">
        <v>5117</v>
      </c>
    </row>
    <row r="43148">
      <c r="H43148" t="s">
        <v>5117</v>
      </c>
    </row>
    <row r="43149">
      <c r="H43149" t="s">
        <v>5117</v>
      </c>
    </row>
    <row r="43150">
      <c r="H43150" t="s">
        <v>5117</v>
      </c>
    </row>
    <row r="43151">
      <c r="H43151" t="s">
        <v>5117</v>
      </c>
    </row>
    <row r="43152">
      <c r="H43152" t="s">
        <v>5117</v>
      </c>
    </row>
    <row r="43153">
      <c r="H43153" t="s">
        <v>5117</v>
      </c>
    </row>
    <row r="43154">
      <c r="H43154" t="s">
        <v>5117</v>
      </c>
    </row>
    <row r="43155">
      <c r="H43155" t="s">
        <v>5117</v>
      </c>
    </row>
    <row r="43156">
      <c r="H43156" t="s">
        <v>5117</v>
      </c>
    </row>
    <row r="43157">
      <c r="H43157" t="s">
        <v>5117</v>
      </c>
    </row>
    <row r="43158">
      <c r="H43158" t="s">
        <v>5117</v>
      </c>
    </row>
    <row r="43159">
      <c r="H43159" t="s">
        <v>5117</v>
      </c>
    </row>
    <row r="43160">
      <c r="H43160" t="s">
        <v>5117</v>
      </c>
    </row>
    <row r="43161">
      <c r="H43161" t="s">
        <v>5117</v>
      </c>
    </row>
    <row r="43162">
      <c r="H43162" t="s">
        <v>5117</v>
      </c>
    </row>
    <row r="43163">
      <c r="H43163" t="s">
        <v>5117</v>
      </c>
    </row>
    <row r="43164">
      <c r="H43164" t="s">
        <v>5117</v>
      </c>
    </row>
    <row r="43165">
      <c r="H43165" t="s">
        <v>5117</v>
      </c>
    </row>
    <row r="43166">
      <c r="H43166" t="s">
        <v>5117</v>
      </c>
    </row>
    <row r="43167">
      <c r="H43167" t="s">
        <v>5117</v>
      </c>
    </row>
    <row r="43168">
      <c r="H43168" t="s">
        <v>5117</v>
      </c>
    </row>
    <row r="43169">
      <c r="H43169" t="s">
        <v>5117</v>
      </c>
    </row>
    <row r="43170">
      <c r="H43170" t="s">
        <v>5117</v>
      </c>
    </row>
    <row r="43171">
      <c r="H43171" t="s">
        <v>5117</v>
      </c>
    </row>
    <row r="43172">
      <c r="H43172" t="s">
        <v>5117</v>
      </c>
    </row>
    <row r="43173">
      <c r="H43173" t="s">
        <v>5117</v>
      </c>
    </row>
    <row r="43174">
      <c r="H43174" t="s">
        <v>5117</v>
      </c>
    </row>
    <row r="43175">
      <c r="H43175" t="s">
        <v>5117</v>
      </c>
    </row>
    <row r="43176">
      <c r="H43176" t="s">
        <v>5117</v>
      </c>
    </row>
    <row r="43177">
      <c r="H43177" t="s">
        <v>5117</v>
      </c>
    </row>
    <row r="43178">
      <c r="H43178" t="s">
        <v>5117</v>
      </c>
    </row>
    <row r="43179">
      <c r="H43179" t="s">
        <v>5117</v>
      </c>
    </row>
    <row r="43180">
      <c r="H43180" t="s">
        <v>5117</v>
      </c>
    </row>
    <row r="43181">
      <c r="H43181" t="s">
        <v>5117</v>
      </c>
    </row>
    <row r="43182">
      <c r="H43182" t="s">
        <v>5117</v>
      </c>
    </row>
    <row r="43183">
      <c r="H43183" t="s">
        <v>5117</v>
      </c>
    </row>
    <row r="43184">
      <c r="H43184" t="s">
        <v>5117</v>
      </c>
    </row>
    <row r="43185">
      <c r="H43185" t="s">
        <v>5117</v>
      </c>
    </row>
    <row r="43186">
      <c r="H43186" t="s">
        <v>5117</v>
      </c>
    </row>
    <row r="43187">
      <c r="H43187" t="s">
        <v>5117</v>
      </c>
    </row>
    <row r="43188">
      <c r="H43188" t="s">
        <v>5117</v>
      </c>
    </row>
    <row r="43189">
      <c r="H43189" t="s">
        <v>5117</v>
      </c>
    </row>
    <row r="43190">
      <c r="H43190" t="s">
        <v>5117</v>
      </c>
    </row>
    <row r="43191">
      <c r="H43191" t="s">
        <v>5117</v>
      </c>
    </row>
    <row r="43192">
      <c r="H43192" t="s">
        <v>5117</v>
      </c>
    </row>
    <row r="43193">
      <c r="H43193" t="s">
        <v>5117</v>
      </c>
    </row>
    <row r="43194">
      <c r="H43194" t="s">
        <v>5117</v>
      </c>
    </row>
    <row r="43195">
      <c r="H43195" t="s">
        <v>5117</v>
      </c>
    </row>
    <row r="43196">
      <c r="H43196" t="s">
        <v>5117</v>
      </c>
    </row>
    <row r="43197">
      <c r="H43197" t="s">
        <v>5117</v>
      </c>
    </row>
    <row r="43198">
      <c r="H43198" t="s">
        <v>5117</v>
      </c>
    </row>
    <row r="43199">
      <c r="H43199" t="s">
        <v>5117</v>
      </c>
    </row>
    <row r="43200">
      <c r="H43200" t="s">
        <v>5117</v>
      </c>
    </row>
    <row r="43201">
      <c r="H43201" t="s">
        <v>5117</v>
      </c>
    </row>
    <row r="43202">
      <c r="H43202" t="s">
        <v>5117</v>
      </c>
    </row>
    <row r="43203">
      <c r="H43203" t="s">
        <v>5117</v>
      </c>
    </row>
    <row r="43204">
      <c r="H43204" t="s">
        <v>5117</v>
      </c>
    </row>
    <row r="43205">
      <c r="H43205" t="s">
        <v>5117</v>
      </c>
    </row>
    <row r="43206">
      <c r="H43206" t="s">
        <v>5117</v>
      </c>
    </row>
    <row r="43207">
      <c r="H43207" t="s">
        <v>5117</v>
      </c>
    </row>
    <row r="43208">
      <c r="H43208" t="s">
        <v>5117</v>
      </c>
    </row>
    <row r="43209">
      <c r="H43209" t="s">
        <v>5117</v>
      </c>
    </row>
    <row r="43210">
      <c r="H43210" t="s">
        <v>5117</v>
      </c>
    </row>
    <row r="43211">
      <c r="H43211" t="s">
        <v>5117</v>
      </c>
    </row>
    <row r="43212">
      <c r="H43212" t="s">
        <v>5117</v>
      </c>
    </row>
    <row r="43213">
      <c r="H43213" t="s">
        <v>5117</v>
      </c>
    </row>
    <row r="43214">
      <c r="H43214" t="s">
        <v>5117</v>
      </c>
    </row>
    <row r="43215">
      <c r="H43215" t="s">
        <v>5117</v>
      </c>
    </row>
    <row r="43216">
      <c r="H43216" t="s">
        <v>5117</v>
      </c>
    </row>
    <row r="43217">
      <c r="H43217" t="s">
        <v>5117</v>
      </c>
    </row>
    <row r="43218">
      <c r="H43218" t="s">
        <v>5117</v>
      </c>
    </row>
    <row r="43219">
      <c r="H43219" t="s">
        <v>5117</v>
      </c>
    </row>
    <row r="43220">
      <c r="H43220" t="s">
        <v>5117</v>
      </c>
    </row>
    <row r="43221">
      <c r="H43221" t="s">
        <v>5117</v>
      </c>
    </row>
    <row r="43222">
      <c r="H43222" t="s">
        <v>5117</v>
      </c>
    </row>
    <row r="43223">
      <c r="H43223" t="s">
        <v>5117</v>
      </c>
    </row>
    <row r="43224">
      <c r="H43224" t="s">
        <v>5117</v>
      </c>
    </row>
    <row r="43225">
      <c r="H43225" t="s">
        <v>5117</v>
      </c>
    </row>
    <row r="43226">
      <c r="H43226" t="s">
        <v>5117</v>
      </c>
    </row>
    <row r="43227">
      <c r="H43227" t="s">
        <v>5117</v>
      </c>
    </row>
    <row r="43228">
      <c r="H43228" t="s">
        <v>5117</v>
      </c>
    </row>
    <row r="43229">
      <c r="H43229" t="s">
        <v>5117</v>
      </c>
    </row>
    <row r="43230">
      <c r="H43230" t="s">
        <v>5117</v>
      </c>
    </row>
    <row r="43231">
      <c r="H43231" t="s">
        <v>5117</v>
      </c>
    </row>
    <row r="43232">
      <c r="H43232" t="s">
        <v>5117</v>
      </c>
    </row>
    <row r="43233">
      <c r="H43233" t="s">
        <v>5117</v>
      </c>
    </row>
    <row r="43234">
      <c r="H43234" t="s">
        <v>5117</v>
      </c>
    </row>
    <row r="43235">
      <c r="H43235" t="s">
        <v>5117</v>
      </c>
    </row>
    <row r="43236">
      <c r="H43236" t="s">
        <v>5117</v>
      </c>
    </row>
    <row r="43237">
      <c r="H43237" t="s">
        <v>5117</v>
      </c>
    </row>
    <row r="43238">
      <c r="H43238" t="s">
        <v>5117</v>
      </c>
    </row>
    <row r="43239">
      <c r="H43239" t="s">
        <v>5117</v>
      </c>
    </row>
    <row r="43240">
      <c r="H43240" t="s">
        <v>5117</v>
      </c>
    </row>
    <row r="43241">
      <c r="H43241" t="s">
        <v>5117</v>
      </c>
    </row>
    <row r="43242">
      <c r="H43242" t="s">
        <v>5117</v>
      </c>
    </row>
    <row r="43243">
      <c r="H43243" t="s">
        <v>5117</v>
      </c>
    </row>
    <row r="43244">
      <c r="H43244" t="s">
        <v>5117</v>
      </c>
    </row>
    <row r="43245">
      <c r="H43245" t="s">
        <v>5117</v>
      </c>
    </row>
    <row r="43246">
      <c r="H43246" t="s">
        <v>5117</v>
      </c>
    </row>
    <row r="43247">
      <c r="H43247" t="s">
        <v>5117</v>
      </c>
    </row>
    <row r="43248">
      <c r="H43248" t="s">
        <v>5117</v>
      </c>
    </row>
    <row r="43249">
      <c r="H43249" t="s">
        <v>5117</v>
      </c>
    </row>
    <row r="43250">
      <c r="H43250" t="s">
        <v>5117</v>
      </c>
    </row>
    <row r="43251">
      <c r="H43251" t="s">
        <v>5117</v>
      </c>
    </row>
    <row r="43252">
      <c r="H43252" t="s">
        <v>5117</v>
      </c>
    </row>
    <row r="43253">
      <c r="H43253" t="s">
        <v>5117</v>
      </c>
    </row>
    <row r="43254">
      <c r="H43254" t="s">
        <v>5117</v>
      </c>
    </row>
    <row r="43255">
      <c r="H43255" t="s">
        <v>5117</v>
      </c>
    </row>
    <row r="43256">
      <c r="H43256" t="s">
        <v>5117</v>
      </c>
    </row>
    <row r="43257">
      <c r="H43257" t="s">
        <v>5117</v>
      </c>
    </row>
    <row r="43258">
      <c r="H43258" t="s">
        <v>5117</v>
      </c>
    </row>
    <row r="43259">
      <c r="H43259" t="s">
        <v>5117</v>
      </c>
    </row>
    <row r="43260">
      <c r="H43260" t="s">
        <v>5117</v>
      </c>
    </row>
    <row r="43261">
      <c r="H43261" t="s">
        <v>5117</v>
      </c>
    </row>
    <row r="43262">
      <c r="H43262" t="s">
        <v>5117</v>
      </c>
    </row>
    <row r="43263">
      <c r="H43263" t="s">
        <v>5117</v>
      </c>
    </row>
    <row r="43264">
      <c r="H43264" t="s">
        <v>5117</v>
      </c>
    </row>
    <row r="43265">
      <c r="H43265" t="s">
        <v>5117</v>
      </c>
    </row>
    <row r="43266">
      <c r="H43266" t="s">
        <v>5117</v>
      </c>
    </row>
    <row r="43267">
      <c r="H43267" t="s">
        <v>5117</v>
      </c>
    </row>
    <row r="43268">
      <c r="H43268" t="s">
        <v>5117</v>
      </c>
    </row>
    <row r="43269">
      <c r="H43269" t="s">
        <v>5117</v>
      </c>
    </row>
    <row r="43270">
      <c r="H43270" t="s">
        <v>5117</v>
      </c>
    </row>
    <row r="43271">
      <c r="H43271" t="s">
        <v>5117</v>
      </c>
    </row>
    <row r="43272">
      <c r="H43272" t="s">
        <v>5117</v>
      </c>
    </row>
    <row r="43273">
      <c r="H43273" t="s">
        <v>5117</v>
      </c>
    </row>
    <row r="43274">
      <c r="H43274" t="s">
        <v>5117</v>
      </c>
    </row>
    <row r="43275">
      <c r="H43275" t="s">
        <v>5117</v>
      </c>
    </row>
    <row r="43276">
      <c r="H43276" t="s">
        <v>5117</v>
      </c>
    </row>
    <row r="43277">
      <c r="H43277" t="s">
        <v>5117</v>
      </c>
    </row>
    <row r="43278">
      <c r="H43278" t="s">
        <v>5117</v>
      </c>
    </row>
    <row r="43279">
      <c r="H43279" t="s">
        <v>5117</v>
      </c>
    </row>
    <row r="43280">
      <c r="H43280" t="s">
        <v>5117</v>
      </c>
    </row>
    <row r="43281">
      <c r="H43281" t="s">
        <v>5117</v>
      </c>
    </row>
    <row r="43282">
      <c r="H43282" t="s">
        <v>5117</v>
      </c>
    </row>
    <row r="43283">
      <c r="H43283" t="s">
        <v>5117</v>
      </c>
    </row>
    <row r="43284">
      <c r="H43284" t="s">
        <v>5117</v>
      </c>
    </row>
    <row r="43285">
      <c r="H43285" t="s">
        <v>5117</v>
      </c>
    </row>
    <row r="43286">
      <c r="H43286" t="s">
        <v>5117</v>
      </c>
    </row>
    <row r="43287">
      <c r="H43287" t="s">
        <v>5117</v>
      </c>
    </row>
    <row r="43288">
      <c r="H43288" t="s">
        <v>5117</v>
      </c>
    </row>
    <row r="43289">
      <c r="H43289" t="s">
        <v>5117</v>
      </c>
    </row>
    <row r="43290">
      <c r="H43290" t="s">
        <v>5117</v>
      </c>
    </row>
    <row r="43291">
      <c r="H43291" t="s">
        <v>5117</v>
      </c>
    </row>
    <row r="43292">
      <c r="H43292" t="s">
        <v>5117</v>
      </c>
    </row>
    <row r="43293">
      <c r="H43293" t="s">
        <v>5117</v>
      </c>
    </row>
    <row r="43294">
      <c r="H43294" t="s">
        <v>5117</v>
      </c>
    </row>
    <row r="43295">
      <c r="H43295" t="s">
        <v>5117</v>
      </c>
    </row>
    <row r="43296">
      <c r="H43296" t="s">
        <v>5117</v>
      </c>
    </row>
    <row r="43297">
      <c r="H43297" t="s">
        <v>5117</v>
      </c>
    </row>
    <row r="43298">
      <c r="H43298" t="s">
        <v>5117</v>
      </c>
    </row>
    <row r="43299">
      <c r="H43299" t="s">
        <v>5117</v>
      </c>
    </row>
    <row r="43300">
      <c r="H43300" t="s">
        <v>5117</v>
      </c>
    </row>
    <row r="43301">
      <c r="H43301" t="s">
        <v>5117</v>
      </c>
    </row>
    <row r="43302">
      <c r="H43302" t="s">
        <v>5117</v>
      </c>
    </row>
    <row r="43303">
      <c r="H43303" t="s">
        <v>5117</v>
      </c>
    </row>
    <row r="43304">
      <c r="H43304" t="s">
        <v>5117</v>
      </c>
    </row>
    <row r="43305">
      <c r="H43305" t="s">
        <v>5117</v>
      </c>
    </row>
    <row r="43306">
      <c r="H43306" t="s">
        <v>5117</v>
      </c>
    </row>
    <row r="43307">
      <c r="H43307" t="s">
        <v>5117</v>
      </c>
    </row>
    <row r="43308">
      <c r="H43308" t="s">
        <v>5117</v>
      </c>
    </row>
    <row r="43309">
      <c r="H43309" t="s">
        <v>5117</v>
      </c>
    </row>
    <row r="43310">
      <c r="H43310" t="s">
        <v>5117</v>
      </c>
    </row>
    <row r="43311">
      <c r="H43311" t="s">
        <v>5117</v>
      </c>
    </row>
    <row r="43312">
      <c r="H43312" t="s">
        <v>5117</v>
      </c>
    </row>
    <row r="43313">
      <c r="H43313" t="s">
        <v>5117</v>
      </c>
    </row>
    <row r="43314">
      <c r="H43314" t="s">
        <v>5117</v>
      </c>
    </row>
    <row r="43315">
      <c r="H43315" t="s">
        <v>5117</v>
      </c>
    </row>
    <row r="43316">
      <c r="H43316" t="s">
        <v>5117</v>
      </c>
    </row>
    <row r="43317">
      <c r="H43317" t="s">
        <v>5117</v>
      </c>
    </row>
    <row r="43318">
      <c r="H43318" t="s">
        <v>5117</v>
      </c>
    </row>
    <row r="43319">
      <c r="H43319" t="s">
        <v>5117</v>
      </c>
    </row>
    <row r="43320">
      <c r="H43320" t="s">
        <v>5117</v>
      </c>
    </row>
    <row r="43321">
      <c r="H43321" t="s">
        <v>5117</v>
      </c>
    </row>
    <row r="43322">
      <c r="H43322" t="s">
        <v>5117</v>
      </c>
    </row>
    <row r="43323">
      <c r="H43323" t="s">
        <v>5117</v>
      </c>
    </row>
    <row r="43324">
      <c r="H43324" t="s">
        <v>5117</v>
      </c>
    </row>
    <row r="43325">
      <c r="H43325" t="s">
        <v>5117</v>
      </c>
    </row>
    <row r="43326">
      <c r="H43326" t="s">
        <v>5117</v>
      </c>
    </row>
    <row r="43327">
      <c r="H43327" t="s">
        <v>5117</v>
      </c>
    </row>
    <row r="43328">
      <c r="H43328" t="s">
        <v>5117</v>
      </c>
    </row>
    <row r="43329">
      <c r="H43329" t="s">
        <v>5117</v>
      </c>
    </row>
    <row r="43330">
      <c r="H43330" t="s">
        <v>5117</v>
      </c>
    </row>
    <row r="43331">
      <c r="H43331" t="s">
        <v>5117</v>
      </c>
    </row>
    <row r="43332">
      <c r="H43332" t="s">
        <v>5117</v>
      </c>
    </row>
    <row r="43333">
      <c r="H43333" t="s">
        <v>5117</v>
      </c>
    </row>
    <row r="43334">
      <c r="H43334" t="s">
        <v>5117</v>
      </c>
    </row>
    <row r="43335">
      <c r="H43335" t="s">
        <v>5117</v>
      </c>
    </row>
    <row r="43336">
      <c r="H43336" t="s">
        <v>5117</v>
      </c>
    </row>
    <row r="43337">
      <c r="H43337" t="s">
        <v>5117</v>
      </c>
    </row>
    <row r="43338">
      <c r="H43338" t="s">
        <v>5117</v>
      </c>
    </row>
    <row r="43339">
      <c r="H43339" t="s">
        <v>5117</v>
      </c>
    </row>
    <row r="43340">
      <c r="H43340" t="s">
        <v>5117</v>
      </c>
    </row>
    <row r="43341">
      <c r="H43341" t="s">
        <v>5117</v>
      </c>
    </row>
    <row r="43342">
      <c r="H43342" t="s">
        <v>5117</v>
      </c>
    </row>
    <row r="43343">
      <c r="H43343" t="s">
        <v>5117</v>
      </c>
    </row>
    <row r="43344">
      <c r="H43344" t="s">
        <v>5117</v>
      </c>
    </row>
    <row r="43345">
      <c r="H43345" t="s">
        <v>5117</v>
      </c>
    </row>
    <row r="43346">
      <c r="H43346" t="s">
        <v>5117</v>
      </c>
    </row>
    <row r="43347">
      <c r="H43347" t="s">
        <v>5117</v>
      </c>
    </row>
    <row r="43348">
      <c r="H43348" t="s">
        <v>5117</v>
      </c>
    </row>
    <row r="43349">
      <c r="H43349" t="s">
        <v>5117</v>
      </c>
    </row>
    <row r="43350">
      <c r="H43350" t="s">
        <v>5117</v>
      </c>
    </row>
    <row r="43351">
      <c r="H43351" t="s">
        <v>5117</v>
      </c>
    </row>
    <row r="43352">
      <c r="H43352" t="s">
        <v>5117</v>
      </c>
    </row>
    <row r="43353">
      <c r="H43353" t="s">
        <v>5117</v>
      </c>
    </row>
    <row r="43354">
      <c r="H43354" t="s">
        <v>5117</v>
      </c>
    </row>
    <row r="43355">
      <c r="H43355" t="s">
        <v>5117</v>
      </c>
    </row>
    <row r="43356">
      <c r="H43356" t="s">
        <v>5117</v>
      </c>
    </row>
    <row r="43357">
      <c r="H43357" t="s">
        <v>5117</v>
      </c>
    </row>
    <row r="43358">
      <c r="H43358" t="s">
        <v>5117</v>
      </c>
    </row>
    <row r="43359">
      <c r="H43359" t="s">
        <v>5117</v>
      </c>
    </row>
    <row r="43360">
      <c r="H43360" t="s">
        <v>5117</v>
      </c>
    </row>
    <row r="43361">
      <c r="H43361" t="s">
        <v>5117</v>
      </c>
    </row>
    <row r="43362">
      <c r="H43362" t="s">
        <v>5117</v>
      </c>
    </row>
    <row r="43363">
      <c r="H43363" t="s">
        <v>5117</v>
      </c>
    </row>
    <row r="43364">
      <c r="H43364" t="s">
        <v>5117</v>
      </c>
    </row>
    <row r="43365">
      <c r="H43365" t="s">
        <v>5117</v>
      </c>
    </row>
    <row r="43366">
      <c r="H43366" t="s">
        <v>5117</v>
      </c>
    </row>
    <row r="43367">
      <c r="H43367" t="s">
        <v>5117</v>
      </c>
    </row>
    <row r="43368">
      <c r="H43368" t="s">
        <v>5117</v>
      </c>
    </row>
    <row r="43369">
      <c r="H43369" t="s">
        <v>5117</v>
      </c>
    </row>
    <row r="43370">
      <c r="H43370" t="s">
        <v>5117</v>
      </c>
    </row>
    <row r="43371">
      <c r="H43371" t="s">
        <v>5117</v>
      </c>
    </row>
    <row r="43372">
      <c r="H43372" t="s">
        <v>5117</v>
      </c>
    </row>
    <row r="43373">
      <c r="H43373" t="s">
        <v>5117</v>
      </c>
    </row>
    <row r="43374">
      <c r="H43374" t="s">
        <v>5117</v>
      </c>
    </row>
    <row r="43375">
      <c r="H43375" t="s">
        <v>5117</v>
      </c>
    </row>
    <row r="43376">
      <c r="H43376" t="s">
        <v>5117</v>
      </c>
    </row>
    <row r="43377">
      <c r="H43377" t="s">
        <v>5117</v>
      </c>
    </row>
    <row r="43378">
      <c r="H43378" t="s">
        <v>5117</v>
      </c>
    </row>
    <row r="43379">
      <c r="H43379" t="s">
        <v>5117</v>
      </c>
    </row>
    <row r="43380">
      <c r="H43380" t="s">
        <v>5117</v>
      </c>
    </row>
    <row r="43381">
      <c r="H43381" t="s">
        <v>5117</v>
      </c>
    </row>
    <row r="43382">
      <c r="H43382" t="s">
        <v>5117</v>
      </c>
    </row>
    <row r="43383">
      <c r="H43383" t="s">
        <v>5117</v>
      </c>
    </row>
    <row r="43384">
      <c r="H43384" t="s">
        <v>5117</v>
      </c>
    </row>
    <row r="43385">
      <c r="H43385" t="s">
        <v>5117</v>
      </c>
    </row>
    <row r="43386">
      <c r="H43386" t="s">
        <v>5117</v>
      </c>
    </row>
    <row r="43387">
      <c r="H43387" t="s">
        <v>5117</v>
      </c>
    </row>
    <row r="43388">
      <c r="H43388" t="s">
        <v>5117</v>
      </c>
    </row>
    <row r="43389">
      <c r="H43389" t="s">
        <v>5117</v>
      </c>
    </row>
    <row r="43390">
      <c r="H43390" t="s">
        <v>5117</v>
      </c>
    </row>
    <row r="43391">
      <c r="H43391" t="s">
        <v>5117</v>
      </c>
    </row>
    <row r="43392">
      <c r="H43392" t="s">
        <v>5117</v>
      </c>
    </row>
    <row r="43393">
      <c r="H43393" t="s">
        <v>5117</v>
      </c>
    </row>
    <row r="43394">
      <c r="H43394" t="s">
        <v>5117</v>
      </c>
    </row>
    <row r="43395">
      <c r="H43395" t="s">
        <v>5117</v>
      </c>
    </row>
    <row r="43396">
      <c r="H43396" t="s">
        <v>5117</v>
      </c>
    </row>
    <row r="43397">
      <c r="H43397" t="s">
        <v>5117</v>
      </c>
    </row>
    <row r="43398">
      <c r="H43398" t="s">
        <v>5117</v>
      </c>
    </row>
    <row r="43399">
      <c r="H43399" t="s">
        <v>5117</v>
      </c>
    </row>
    <row r="43400">
      <c r="H43400" t="s">
        <v>5117</v>
      </c>
    </row>
    <row r="43401">
      <c r="H43401" t="s">
        <v>5117</v>
      </c>
    </row>
    <row r="43402">
      <c r="H43402" t="s">
        <v>5117</v>
      </c>
    </row>
    <row r="43403">
      <c r="H43403" t="s">
        <v>5117</v>
      </c>
    </row>
    <row r="43404">
      <c r="H43404" t="s">
        <v>5117</v>
      </c>
    </row>
    <row r="43405">
      <c r="H43405" t="s">
        <v>5117</v>
      </c>
    </row>
    <row r="43406">
      <c r="H43406" t="s">
        <v>5117</v>
      </c>
    </row>
    <row r="43407">
      <c r="H43407" t="s">
        <v>5117</v>
      </c>
    </row>
    <row r="43408">
      <c r="H43408" t="s">
        <v>5117</v>
      </c>
    </row>
    <row r="43409">
      <c r="H43409" t="s">
        <v>5117</v>
      </c>
    </row>
    <row r="43410">
      <c r="H43410" t="s">
        <v>5117</v>
      </c>
    </row>
    <row r="43411">
      <c r="H43411" t="s">
        <v>5117</v>
      </c>
    </row>
    <row r="43412">
      <c r="H43412" t="s">
        <v>5117</v>
      </c>
    </row>
    <row r="43413">
      <c r="H43413" t="s">
        <v>5117</v>
      </c>
    </row>
    <row r="43414">
      <c r="H43414" t="s">
        <v>5117</v>
      </c>
    </row>
    <row r="43415">
      <c r="H43415" t="s">
        <v>5117</v>
      </c>
    </row>
    <row r="43416">
      <c r="H43416" t="s">
        <v>5117</v>
      </c>
    </row>
    <row r="43417">
      <c r="H43417" t="s">
        <v>5117</v>
      </c>
    </row>
    <row r="43418">
      <c r="H43418" t="s">
        <v>5117</v>
      </c>
    </row>
    <row r="43419">
      <c r="H43419" t="s">
        <v>5117</v>
      </c>
    </row>
    <row r="43420">
      <c r="H43420" t="s">
        <v>5117</v>
      </c>
    </row>
    <row r="43421">
      <c r="H43421" t="s">
        <v>5117</v>
      </c>
    </row>
    <row r="43422">
      <c r="H43422" t="s">
        <v>5117</v>
      </c>
    </row>
    <row r="43423">
      <c r="H43423" t="s">
        <v>5117</v>
      </c>
    </row>
    <row r="43424">
      <c r="H43424" t="s">
        <v>5117</v>
      </c>
    </row>
    <row r="43425">
      <c r="H43425" t="s">
        <v>5117</v>
      </c>
    </row>
    <row r="43426">
      <c r="H43426" t="s">
        <v>5117</v>
      </c>
    </row>
    <row r="43427">
      <c r="H43427" t="s">
        <v>5117</v>
      </c>
    </row>
    <row r="43428">
      <c r="H43428" t="s">
        <v>5117</v>
      </c>
    </row>
    <row r="43429">
      <c r="H43429" t="s">
        <v>5117</v>
      </c>
    </row>
    <row r="43430">
      <c r="H43430" t="s">
        <v>5117</v>
      </c>
    </row>
    <row r="43431">
      <c r="H43431" t="s">
        <v>5117</v>
      </c>
    </row>
    <row r="43432">
      <c r="H43432" t="s">
        <v>5117</v>
      </c>
    </row>
    <row r="43433">
      <c r="H43433" t="s">
        <v>5117</v>
      </c>
    </row>
    <row r="43434">
      <c r="H43434" t="s">
        <v>5117</v>
      </c>
    </row>
    <row r="43435">
      <c r="H43435" t="s">
        <v>5117</v>
      </c>
    </row>
    <row r="43436">
      <c r="H43436" t="s">
        <v>5117</v>
      </c>
    </row>
    <row r="43437">
      <c r="H43437" t="s">
        <v>5117</v>
      </c>
    </row>
    <row r="43438">
      <c r="H43438" t="s">
        <v>5117</v>
      </c>
    </row>
    <row r="43439">
      <c r="H43439" t="s">
        <v>5117</v>
      </c>
    </row>
    <row r="43440">
      <c r="H43440" t="s">
        <v>5117</v>
      </c>
    </row>
    <row r="43441">
      <c r="H43441" t="s">
        <v>5117</v>
      </c>
    </row>
    <row r="43442">
      <c r="H43442" t="s">
        <v>5117</v>
      </c>
    </row>
    <row r="43443">
      <c r="H43443" t="s">
        <v>5117</v>
      </c>
    </row>
    <row r="43444">
      <c r="H43444" t="s">
        <v>5117</v>
      </c>
    </row>
    <row r="43445">
      <c r="H43445" t="s">
        <v>5117</v>
      </c>
    </row>
    <row r="43446">
      <c r="H43446" t="s">
        <v>5117</v>
      </c>
    </row>
    <row r="43447">
      <c r="H43447" t="s">
        <v>5117</v>
      </c>
    </row>
    <row r="43448">
      <c r="H43448" t="s">
        <v>5117</v>
      </c>
    </row>
    <row r="43449">
      <c r="H43449" t="s">
        <v>5117</v>
      </c>
    </row>
    <row r="43450">
      <c r="H43450" t="s">
        <v>5117</v>
      </c>
    </row>
    <row r="43451">
      <c r="H43451" t="s">
        <v>5117</v>
      </c>
    </row>
    <row r="43452">
      <c r="H43452" t="s">
        <v>5117</v>
      </c>
    </row>
    <row r="43453">
      <c r="H43453" t="s">
        <v>5117</v>
      </c>
    </row>
    <row r="43454">
      <c r="H43454" t="s">
        <v>5117</v>
      </c>
    </row>
    <row r="43455">
      <c r="H43455" t="s">
        <v>5117</v>
      </c>
    </row>
    <row r="43456">
      <c r="H43456" t="s">
        <v>5117</v>
      </c>
    </row>
    <row r="43457">
      <c r="H43457" t="s">
        <v>5117</v>
      </c>
    </row>
    <row r="43458">
      <c r="H43458" t="s">
        <v>5117</v>
      </c>
    </row>
    <row r="43459">
      <c r="H43459" t="s">
        <v>5117</v>
      </c>
    </row>
    <row r="43460">
      <c r="H43460" t="s">
        <v>5117</v>
      </c>
    </row>
    <row r="43461">
      <c r="H43461" t="s">
        <v>5117</v>
      </c>
    </row>
    <row r="43462">
      <c r="H43462" t="s">
        <v>5117</v>
      </c>
    </row>
    <row r="43463">
      <c r="H43463" t="s">
        <v>5117</v>
      </c>
    </row>
    <row r="43464">
      <c r="H43464" t="s">
        <v>5117</v>
      </c>
    </row>
    <row r="43465">
      <c r="H43465" t="s">
        <v>5117</v>
      </c>
    </row>
    <row r="43466">
      <c r="H43466" t="s">
        <v>5117</v>
      </c>
    </row>
    <row r="43467">
      <c r="H43467" t="s">
        <v>5117</v>
      </c>
    </row>
    <row r="43468">
      <c r="H43468" t="s">
        <v>5117</v>
      </c>
    </row>
    <row r="43469">
      <c r="H43469" t="s">
        <v>5117</v>
      </c>
    </row>
    <row r="43470">
      <c r="H43470" t="s">
        <v>5117</v>
      </c>
    </row>
    <row r="43471">
      <c r="H43471" t="s">
        <v>5117</v>
      </c>
    </row>
    <row r="43472">
      <c r="H43472" t="s">
        <v>5117</v>
      </c>
    </row>
    <row r="43473">
      <c r="H43473" t="s">
        <v>5117</v>
      </c>
    </row>
    <row r="43474">
      <c r="H43474" t="s">
        <v>5117</v>
      </c>
    </row>
    <row r="43475">
      <c r="H43475" t="s">
        <v>5117</v>
      </c>
    </row>
    <row r="43476">
      <c r="H43476" t="s">
        <v>5117</v>
      </c>
    </row>
    <row r="43477">
      <c r="H43477" t="s">
        <v>5117</v>
      </c>
    </row>
    <row r="43478">
      <c r="H43478" t="s">
        <v>5117</v>
      </c>
    </row>
    <row r="43479">
      <c r="H43479" t="s">
        <v>5117</v>
      </c>
    </row>
    <row r="43480">
      <c r="H43480" t="s">
        <v>5117</v>
      </c>
    </row>
    <row r="43481">
      <c r="H43481" t="s">
        <v>5117</v>
      </c>
    </row>
    <row r="43482">
      <c r="H43482" t="s">
        <v>5117</v>
      </c>
    </row>
    <row r="43483">
      <c r="H43483" t="s">
        <v>5117</v>
      </c>
    </row>
    <row r="43484">
      <c r="H43484" t="s">
        <v>5117</v>
      </c>
    </row>
    <row r="43485">
      <c r="H43485" t="s">
        <v>5117</v>
      </c>
    </row>
    <row r="43486">
      <c r="H43486" t="s">
        <v>5117</v>
      </c>
    </row>
    <row r="43487">
      <c r="H43487" t="s">
        <v>5117</v>
      </c>
    </row>
    <row r="43488">
      <c r="H43488" t="s">
        <v>5117</v>
      </c>
    </row>
    <row r="43489">
      <c r="H43489" t="s">
        <v>5117</v>
      </c>
    </row>
    <row r="43490">
      <c r="H43490" t="s">
        <v>5117</v>
      </c>
    </row>
    <row r="43491">
      <c r="H43491" t="s">
        <v>5117</v>
      </c>
    </row>
    <row r="43492">
      <c r="H43492" t="s">
        <v>5117</v>
      </c>
    </row>
    <row r="43493">
      <c r="H43493" t="s">
        <v>5117</v>
      </c>
    </row>
    <row r="43494">
      <c r="H43494" t="s">
        <v>5117</v>
      </c>
    </row>
    <row r="43495">
      <c r="H43495" t="s">
        <v>5117</v>
      </c>
    </row>
    <row r="43496">
      <c r="H43496" t="s">
        <v>5117</v>
      </c>
    </row>
    <row r="43497">
      <c r="H43497" t="s">
        <v>5117</v>
      </c>
    </row>
    <row r="43498">
      <c r="H43498" t="s">
        <v>5117</v>
      </c>
    </row>
    <row r="43499">
      <c r="H43499" t="s">
        <v>5117</v>
      </c>
    </row>
    <row r="43500">
      <c r="H43500" t="s">
        <v>5117</v>
      </c>
    </row>
    <row r="43501">
      <c r="H43501" t="s">
        <v>5117</v>
      </c>
    </row>
    <row r="43502">
      <c r="H43502" t="s">
        <v>5117</v>
      </c>
    </row>
    <row r="43503">
      <c r="H43503" t="s">
        <v>5117</v>
      </c>
    </row>
    <row r="43504">
      <c r="H43504" t="s">
        <v>5117</v>
      </c>
    </row>
    <row r="43505">
      <c r="H43505" t="s">
        <v>5117</v>
      </c>
    </row>
    <row r="43506">
      <c r="H43506" t="s">
        <v>5117</v>
      </c>
    </row>
    <row r="43507">
      <c r="H43507" t="s">
        <v>5117</v>
      </c>
    </row>
    <row r="43508">
      <c r="H43508" t="s">
        <v>5117</v>
      </c>
    </row>
    <row r="43509">
      <c r="H43509" t="s">
        <v>5117</v>
      </c>
    </row>
    <row r="43510">
      <c r="H43510" t="s">
        <v>5117</v>
      </c>
    </row>
    <row r="43511">
      <c r="H43511" t="s">
        <v>5117</v>
      </c>
    </row>
    <row r="43512">
      <c r="H43512" t="s">
        <v>5117</v>
      </c>
    </row>
    <row r="43513">
      <c r="H43513" t="s">
        <v>5117</v>
      </c>
    </row>
    <row r="43514">
      <c r="H43514" t="s">
        <v>5117</v>
      </c>
    </row>
    <row r="43515">
      <c r="H43515" t="s">
        <v>5117</v>
      </c>
    </row>
    <row r="43516">
      <c r="H43516" t="s">
        <v>5117</v>
      </c>
    </row>
    <row r="43517">
      <c r="H43517" t="s">
        <v>5117</v>
      </c>
    </row>
    <row r="43518">
      <c r="H43518" t="s">
        <v>5117</v>
      </c>
    </row>
    <row r="43519">
      <c r="H43519" t="s">
        <v>5117</v>
      </c>
    </row>
    <row r="43520">
      <c r="H43520" t="s">
        <v>5117</v>
      </c>
    </row>
    <row r="43521">
      <c r="H43521" t="s">
        <v>5117</v>
      </c>
    </row>
    <row r="43522">
      <c r="H43522" t="s">
        <v>5117</v>
      </c>
    </row>
    <row r="43523">
      <c r="H43523" t="s">
        <v>5117</v>
      </c>
    </row>
    <row r="43524">
      <c r="H43524" t="s">
        <v>5117</v>
      </c>
    </row>
    <row r="43525">
      <c r="H43525" t="s">
        <v>5117</v>
      </c>
    </row>
    <row r="43526">
      <c r="H43526" t="s">
        <v>5117</v>
      </c>
    </row>
    <row r="43527">
      <c r="H43527" t="s">
        <v>5117</v>
      </c>
    </row>
    <row r="43528">
      <c r="H43528" t="s">
        <v>5117</v>
      </c>
    </row>
    <row r="43529">
      <c r="H43529" t="s">
        <v>5117</v>
      </c>
    </row>
    <row r="43530">
      <c r="H43530" t="s">
        <v>5117</v>
      </c>
    </row>
    <row r="43531">
      <c r="H43531" t="s">
        <v>5117</v>
      </c>
    </row>
    <row r="43532">
      <c r="H43532" t="s">
        <v>5117</v>
      </c>
    </row>
    <row r="43533">
      <c r="H43533" t="s">
        <v>5117</v>
      </c>
    </row>
    <row r="43534">
      <c r="H43534" t="s">
        <v>5117</v>
      </c>
    </row>
    <row r="43535">
      <c r="H43535" t="s">
        <v>5117</v>
      </c>
    </row>
    <row r="43536">
      <c r="H43536" t="s">
        <v>5117</v>
      </c>
    </row>
    <row r="43537">
      <c r="H43537" t="s">
        <v>5117</v>
      </c>
    </row>
    <row r="43538">
      <c r="H43538" t="s">
        <v>5117</v>
      </c>
    </row>
    <row r="43539">
      <c r="H43539" t="s">
        <v>5117</v>
      </c>
    </row>
    <row r="43540">
      <c r="H43540" t="s">
        <v>5117</v>
      </c>
    </row>
    <row r="43541">
      <c r="H43541" t="s">
        <v>5117</v>
      </c>
    </row>
    <row r="43542">
      <c r="H43542" t="s">
        <v>5117</v>
      </c>
    </row>
    <row r="43543">
      <c r="H43543" t="s">
        <v>5117</v>
      </c>
    </row>
    <row r="43544">
      <c r="H43544" t="s">
        <v>5117</v>
      </c>
    </row>
    <row r="43545">
      <c r="H43545" t="s">
        <v>5117</v>
      </c>
    </row>
    <row r="43546">
      <c r="H43546" t="s">
        <v>5117</v>
      </c>
    </row>
    <row r="43547">
      <c r="H43547" t="s">
        <v>5117</v>
      </c>
    </row>
    <row r="43548">
      <c r="H43548" t="s">
        <v>5117</v>
      </c>
    </row>
    <row r="43549">
      <c r="H43549" t="s">
        <v>5117</v>
      </c>
    </row>
    <row r="43550">
      <c r="H43550" t="s">
        <v>5117</v>
      </c>
    </row>
    <row r="43551">
      <c r="H43551" t="s">
        <v>5117</v>
      </c>
    </row>
    <row r="43552">
      <c r="H43552" t="s">
        <v>5117</v>
      </c>
    </row>
    <row r="43553">
      <c r="H43553" t="s">
        <v>5117</v>
      </c>
    </row>
    <row r="43554">
      <c r="H43554" t="s">
        <v>5117</v>
      </c>
    </row>
    <row r="43555">
      <c r="H43555" t="s">
        <v>5117</v>
      </c>
    </row>
    <row r="43556">
      <c r="H43556" t="s">
        <v>5117</v>
      </c>
    </row>
    <row r="43557">
      <c r="H43557" t="s">
        <v>5117</v>
      </c>
    </row>
    <row r="43558">
      <c r="H43558" t="s">
        <v>5117</v>
      </c>
    </row>
    <row r="43559">
      <c r="H43559" t="s">
        <v>5117</v>
      </c>
    </row>
    <row r="43560">
      <c r="H43560" t="s">
        <v>5117</v>
      </c>
    </row>
    <row r="43561">
      <c r="H43561" t="s">
        <v>5117</v>
      </c>
    </row>
    <row r="43562">
      <c r="H43562" t="s">
        <v>5117</v>
      </c>
    </row>
    <row r="43563">
      <c r="H43563" t="s">
        <v>5117</v>
      </c>
    </row>
    <row r="43564">
      <c r="H43564" t="s">
        <v>5117</v>
      </c>
    </row>
    <row r="43565">
      <c r="H43565" t="s">
        <v>5117</v>
      </c>
    </row>
    <row r="43566">
      <c r="H43566" t="s">
        <v>5117</v>
      </c>
    </row>
    <row r="43567">
      <c r="H43567" t="s">
        <v>5117</v>
      </c>
    </row>
    <row r="43568">
      <c r="H43568" t="s">
        <v>5117</v>
      </c>
    </row>
    <row r="43569">
      <c r="H43569" t="s">
        <v>5117</v>
      </c>
    </row>
    <row r="43570">
      <c r="H43570" t="s">
        <v>5117</v>
      </c>
    </row>
    <row r="43571">
      <c r="H43571" t="s">
        <v>5117</v>
      </c>
    </row>
    <row r="43572">
      <c r="H43572" t="s">
        <v>5117</v>
      </c>
    </row>
    <row r="43573">
      <c r="H43573" t="s">
        <v>5117</v>
      </c>
    </row>
    <row r="43574">
      <c r="H43574" t="s">
        <v>5117</v>
      </c>
    </row>
    <row r="43575">
      <c r="H43575" t="s">
        <v>5117</v>
      </c>
    </row>
    <row r="43576">
      <c r="H43576" t="s">
        <v>5117</v>
      </c>
    </row>
    <row r="43577">
      <c r="H43577" t="s">
        <v>5117</v>
      </c>
    </row>
    <row r="43578">
      <c r="H43578" t="s">
        <v>5117</v>
      </c>
    </row>
    <row r="43579">
      <c r="H43579" t="s">
        <v>5117</v>
      </c>
    </row>
    <row r="43580">
      <c r="H43580" t="s">
        <v>5117</v>
      </c>
    </row>
    <row r="43581">
      <c r="H43581" t="s">
        <v>5117</v>
      </c>
    </row>
    <row r="43582">
      <c r="H43582" t="s">
        <v>5117</v>
      </c>
    </row>
    <row r="43583">
      <c r="H43583" t="s">
        <v>5117</v>
      </c>
    </row>
    <row r="43584">
      <c r="H43584" t="s">
        <v>5117</v>
      </c>
    </row>
    <row r="43585">
      <c r="H43585" t="s">
        <v>5117</v>
      </c>
    </row>
    <row r="43586">
      <c r="H43586" t="s">
        <v>5117</v>
      </c>
    </row>
    <row r="43587">
      <c r="H43587" t="s">
        <v>5117</v>
      </c>
    </row>
    <row r="43588">
      <c r="H43588" t="s">
        <v>5117</v>
      </c>
    </row>
    <row r="43589">
      <c r="H43589" t="s">
        <v>5117</v>
      </c>
    </row>
    <row r="43590">
      <c r="H43590" t="s">
        <v>5117</v>
      </c>
    </row>
    <row r="43591">
      <c r="H43591" t="s">
        <v>5117</v>
      </c>
    </row>
    <row r="43592">
      <c r="H43592" t="s">
        <v>5117</v>
      </c>
    </row>
    <row r="43593">
      <c r="H43593" t="s">
        <v>5117</v>
      </c>
    </row>
    <row r="43594">
      <c r="H43594" t="s">
        <v>5117</v>
      </c>
    </row>
    <row r="43595">
      <c r="H43595" t="s">
        <v>5117</v>
      </c>
    </row>
    <row r="43596">
      <c r="H43596" t="s">
        <v>5117</v>
      </c>
    </row>
    <row r="43597">
      <c r="H43597" t="s">
        <v>5117</v>
      </c>
    </row>
    <row r="43598">
      <c r="H43598" t="s">
        <v>5117</v>
      </c>
    </row>
    <row r="43599">
      <c r="H43599" t="s">
        <v>5117</v>
      </c>
    </row>
    <row r="43600">
      <c r="H43600" t="s">
        <v>5117</v>
      </c>
    </row>
    <row r="43601">
      <c r="H43601" t="s">
        <v>5117</v>
      </c>
    </row>
    <row r="43602">
      <c r="H43602" t="s">
        <v>5117</v>
      </c>
    </row>
    <row r="43603">
      <c r="H43603" t="s">
        <v>5117</v>
      </c>
    </row>
    <row r="43604">
      <c r="H43604" t="s">
        <v>5117</v>
      </c>
    </row>
    <row r="43605">
      <c r="H43605" t="s">
        <v>5117</v>
      </c>
    </row>
    <row r="43606">
      <c r="H43606" t="s">
        <v>5117</v>
      </c>
    </row>
    <row r="43607">
      <c r="H43607" t="s">
        <v>5117</v>
      </c>
    </row>
    <row r="43608">
      <c r="H43608" t="s">
        <v>5117</v>
      </c>
    </row>
    <row r="43609">
      <c r="H43609" t="s">
        <v>5117</v>
      </c>
    </row>
    <row r="43610">
      <c r="H43610" t="s">
        <v>5117</v>
      </c>
    </row>
    <row r="43611">
      <c r="H43611" t="s">
        <v>5117</v>
      </c>
    </row>
    <row r="43612">
      <c r="H43612" t="s">
        <v>5117</v>
      </c>
    </row>
    <row r="43613">
      <c r="H43613" t="s">
        <v>5117</v>
      </c>
    </row>
    <row r="43614">
      <c r="H43614" t="s">
        <v>5117</v>
      </c>
    </row>
    <row r="43615">
      <c r="H43615" t="s">
        <v>5117</v>
      </c>
    </row>
    <row r="43616">
      <c r="H43616" t="s">
        <v>5117</v>
      </c>
    </row>
    <row r="43617">
      <c r="H43617" t="s">
        <v>5117</v>
      </c>
    </row>
    <row r="43618">
      <c r="H43618" t="s">
        <v>5117</v>
      </c>
    </row>
    <row r="43619">
      <c r="H43619" t="s">
        <v>5117</v>
      </c>
    </row>
    <row r="43620">
      <c r="H43620" t="s">
        <v>5117</v>
      </c>
    </row>
    <row r="43621">
      <c r="H43621" t="s">
        <v>5117</v>
      </c>
    </row>
    <row r="43622">
      <c r="H43622" t="s">
        <v>5117</v>
      </c>
    </row>
    <row r="43623">
      <c r="H43623" t="s">
        <v>5117</v>
      </c>
    </row>
    <row r="43624">
      <c r="H43624" t="s">
        <v>5117</v>
      </c>
    </row>
    <row r="43625">
      <c r="H43625" t="s">
        <v>5117</v>
      </c>
    </row>
    <row r="43626">
      <c r="H43626" t="s">
        <v>5117</v>
      </c>
    </row>
    <row r="43627">
      <c r="H43627" t="s">
        <v>5117</v>
      </c>
    </row>
    <row r="43628">
      <c r="H43628" t="s">
        <v>5117</v>
      </c>
    </row>
    <row r="43629">
      <c r="H43629" t="s">
        <v>5117</v>
      </c>
    </row>
    <row r="43630">
      <c r="H43630" t="s">
        <v>5117</v>
      </c>
    </row>
    <row r="43631">
      <c r="H43631" t="s">
        <v>5117</v>
      </c>
    </row>
    <row r="43632">
      <c r="H43632" t="s">
        <v>5117</v>
      </c>
    </row>
    <row r="43633">
      <c r="H43633" t="s">
        <v>5117</v>
      </c>
    </row>
    <row r="43634">
      <c r="H43634" t="s">
        <v>5117</v>
      </c>
    </row>
    <row r="43635">
      <c r="H43635" t="s">
        <v>5117</v>
      </c>
    </row>
    <row r="43636">
      <c r="H43636" t="s">
        <v>5117</v>
      </c>
    </row>
    <row r="43637">
      <c r="H43637" t="s">
        <v>5117</v>
      </c>
    </row>
    <row r="43638">
      <c r="H43638" t="s">
        <v>5117</v>
      </c>
    </row>
    <row r="43639">
      <c r="H43639" t="s">
        <v>5117</v>
      </c>
    </row>
    <row r="43640">
      <c r="H43640" t="s">
        <v>5117</v>
      </c>
    </row>
    <row r="43641">
      <c r="H43641" t="s">
        <v>5117</v>
      </c>
    </row>
    <row r="43642">
      <c r="H43642" t="s">
        <v>5117</v>
      </c>
    </row>
    <row r="43643">
      <c r="H43643" t="s">
        <v>5117</v>
      </c>
    </row>
    <row r="43644">
      <c r="H43644" t="s">
        <v>5117</v>
      </c>
    </row>
    <row r="43645">
      <c r="H43645" t="s">
        <v>5117</v>
      </c>
    </row>
    <row r="43646">
      <c r="H43646" t="s">
        <v>5117</v>
      </c>
    </row>
    <row r="43647">
      <c r="H43647" t="s">
        <v>5117</v>
      </c>
    </row>
    <row r="43648">
      <c r="H43648" t="s">
        <v>5117</v>
      </c>
    </row>
    <row r="43649">
      <c r="H43649" t="s">
        <v>5117</v>
      </c>
    </row>
    <row r="43650">
      <c r="H43650" t="s">
        <v>5117</v>
      </c>
    </row>
    <row r="43651">
      <c r="H43651" t="s">
        <v>5117</v>
      </c>
    </row>
    <row r="43652">
      <c r="H43652" t="s">
        <v>5117</v>
      </c>
    </row>
    <row r="43653">
      <c r="H43653" t="s">
        <v>5117</v>
      </c>
    </row>
    <row r="43654">
      <c r="H43654" t="s">
        <v>5117</v>
      </c>
    </row>
    <row r="43655">
      <c r="H43655" t="s">
        <v>5117</v>
      </c>
    </row>
    <row r="43656">
      <c r="H43656" t="s">
        <v>5117</v>
      </c>
    </row>
    <row r="43657">
      <c r="H43657" t="s">
        <v>5117</v>
      </c>
    </row>
    <row r="43658">
      <c r="H43658" t="s">
        <v>5117</v>
      </c>
    </row>
    <row r="43659">
      <c r="H43659" t="s">
        <v>5117</v>
      </c>
    </row>
    <row r="43660">
      <c r="H43660" t="s">
        <v>5117</v>
      </c>
    </row>
    <row r="43661">
      <c r="H43661" t="s">
        <v>5117</v>
      </c>
    </row>
    <row r="43662">
      <c r="H43662" t="s">
        <v>5117</v>
      </c>
    </row>
    <row r="43663">
      <c r="H43663" t="s">
        <v>5117</v>
      </c>
    </row>
    <row r="43664">
      <c r="H43664" t="s">
        <v>5117</v>
      </c>
    </row>
    <row r="43665">
      <c r="H43665" t="s">
        <v>5117</v>
      </c>
    </row>
    <row r="43666">
      <c r="H43666" t="s">
        <v>5117</v>
      </c>
    </row>
    <row r="43667">
      <c r="H43667" t="s">
        <v>5117</v>
      </c>
    </row>
    <row r="43668">
      <c r="H43668" t="s">
        <v>5117</v>
      </c>
    </row>
    <row r="43669">
      <c r="H43669" t="s">
        <v>5117</v>
      </c>
    </row>
    <row r="43670">
      <c r="H43670" t="s">
        <v>5117</v>
      </c>
    </row>
    <row r="43671">
      <c r="H43671" t="s">
        <v>5117</v>
      </c>
    </row>
    <row r="43672">
      <c r="H43672" t="s">
        <v>5117</v>
      </c>
    </row>
    <row r="43673">
      <c r="H43673" t="s">
        <v>5117</v>
      </c>
    </row>
    <row r="43674">
      <c r="H43674" t="s">
        <v>5117</v>
      </c>
    </row>
    <row r="43675">
      <c r="H43675" t="s">
        <v>5117</v>
      </c>
    </row>
    <row r="43676">
      <c r="H43676" t="s">
        <v>5117</v>
      </c>
    </row>
    <row r="43677">
      <c r="H43677" t="s">
        <v>5117</v>
      </c>
    </row>
    <row r="43678">
      <c r="H43678" t="s">
        <v>5117</v>
      </c>
    </row>
    <row r="43679">
      <c r="H43679" t="s">
        <v>5117</v>
      </c>
    </row>
    <row r="43680">
      <c r="H43680" t="s">
        <v>5117</v>
      </c>
    </row>
    <row r="43681">
      <c r="H43681" t="s">
        <v>5117</v>
      </c>
    </row>
    <row r="43682">
      <c r="H43682" t="s">
        <v>5117</v>
      </c>
    </row>
    <row r="43683">
      <c r="H43683" t="s">
        <v>5117</v>
      </c>
    </row>
    <row r="43684">
      <c r="H43684" t="s">
        <v>5117</v>
      </c>
    </row>
    <row r="43685">
      <c r="H43685" t="s">
        <v>5117</v>
      </c>
    </row>
    <row r="43686">
      <c r="H43686" t="s">
        <v>5117</v>
      </c>
    </row>
    <row r="43687">
      <c r="H43687" t="s">
        <v>5117</v>
      </c>
    </row>
    <row r="43688">
      <c r="H43688" t="s">
        <v>5117</v>
      </c>
    </row>
    <row r="43689">
      <c r="H43689" t="s">
        <v>5117</v>
      </c>
    </row>
    <row r="43690">
      <c r="H43690" t="s">
        <v>5117</v>
      </c>
    </row>
    <row r="43691">
      <c r="H43691" t="s">
        <v>5117</v>
      </c>
    </row>
    <row r="43692">
      <c r="H43692" t="s">
        <v>5117</v>
      </c>
    </row>
    <row r="43693">
      <c r="H43693" t="s">
        <v>5117</v>
      </c>
    </row>
    <row r="43694">
      <c r="H43694" t="s">
        <v>5117</v>
      </c>
    </row>
    <row r="43695">
      <c r="H43695" t="s">
        <v>5117</v>
      </c>
    </row>
    <row r="43696">
      <c r="H43696" t="s">
        <v>5117</v>
      </c>
    </row>
    <row r="43697">
      <c r="H43697" t="s">
        <v>5117</v>
      </c>
    </row>
    <row r="43698">
      <c r="H43698" t="s">
        <v>5117</v>
      </c>
    </row>
    <row r="43699">
      <c r="H43699" t="s">
        <v>5117</v>
      </c>
    </row>
    <row r="43700">
      <c r="H43700" t="s">
        <v>5117</v>
      </c>
    </row>
    <row r="43701">
      <c r="H43701" t="s">
        <v>5117</v>
      </c>
    </row>
    <row r="43702">
      <c r="H43702" t="s">
        <v>5117</v>
      </c>
    </row>
    <row r="43703">
      <c r="H43703" t="s">
        <v>5117</v>
      </c>
    </row>
    <row r="43704">
      <c r="H43704" t="s">
        <v>5117</v>
      </c>
    </row>
    <row r="43705">
      <c r="H43705" t="s">
        <v>5117</v>
      </c>
    </row>
    <row r="43706">
      <c r="H43706" t="s">
        <v>5117</v>
      </c>
    </row>
    <row r="43707">
      <c r="H43707" t="s">
        <v>5117</v>
      </c>
    </row>
    <row r="43708">
      <c r="H43708" t="s">
        <v>5117</v>
      </c>
    </row>
    <row r="43709">
      <c r="H43709" t="s">
        <v>5117</v>
      </c>
    </row>
    <row r="43710">
      <c r="H43710" t="s">
        <v>5117</v>
      </c>
    </row>
    <row r="43711">
      <c r="H43711" t="s">
        <v>5117</v>
      </c>
    </row>
    <row r="43712">
      <c r="H43712" t="s">
        <v>5117</v>
      </c>
    </row>
    <row r="43713">
      <c r="H43713" t="s">
        <v>5117</v>
      </c>
    </row>
    <row r="43714">
      <c r="H43714" t="s">
        <v>5117</v>
      </c>
    </row>
    <row r="43715">
      <c r="H43715" t="s">
        <v>5117</v>
      </c>
    </row>
    <row r="43716">
      <c r="H43716" t="s">
        <v>5117</v>
      </c>
    </row>
    <row r="43717">
      <c r="H43717" t="s">
        <v>5117</v>
      </c>
    </row>
    <row r="43718">
      <c r="H43718" t="s">
        <v>5117</v>
      </c>
    </row>
    <row r="43719">
      <c r="H43719" t="s">
        <v>5117</v>
      </c>
    </row>
    <row r="43720">
      <c r="H43720" t="s">
        <v>5117</v>
      </c>
    </row>
    <row r="43721">
      <c r="H43721" t="s">
        <v>5117</v>
      </c>
    </row>
    <row r="43722">
      <c r="H43722" t="s">
        <v>5117</v>
      </c>
    </row>
    <row r="43723">
      <c r="H43723" t="s">
        <v>5117</v>
      </c>
    </row>
    <row r="43724">
      <c r="H43724" t="s">
        <v>5117</v>
      </c>
    </row>
    <row r="43725">
      <c r="H43725" t="s">
        <v>5117</v>
      </c>
    </row>
    <row r="43726">
      <c r="H43726" t="s">
        <v>5117</v>
      </c>
    </row>
    <row r="43727">
      <c r="H43727" t="s">
        <v>5117</v>
      </c>
    </row>
    <row r="43728">
      <c r="H43728" t="s">
        <v>5117</v>
      </c>
    </row>
    <row r="43729">
      <c r="H43729" t="s">
        <v>5117</v>
      </c>
    </row>
    <row r="43730">
      <c r="H43730" t="s">
        <v>5117</v>
      </c>
    </row>
    <row r="43731">
      <c r="H43731" t="s">
        <v>5117</v>
      </c>
    </row>
    <row r="43732">
      <c r="H43732" t="s">
        <v>5117</v>
      </c>
    </row>
    <row r="43733">
      <c r="H43733" t="s">
        <v>5117</v>
      </c>
    </row>
    <row r="43734">
      <c r="H43734" t="s">
        <v>5117</v>
      </c>
    </row>
    <row r="43735">
      <c r="H43735" t="s">
        <v>5117</v>
      </c>
    </row>
    <row r="43736">
      <c r="H43736" t="s">
        <v>5117</v>
      </c>
    </row>
    <row r="43737">
      <c r="H43737" t="s">
        <v>5117</v>
      </c>
    </row>
    <row r="43738">
      <c r="H43738" t="s">
        <v>5117</v>
      </c>
    </row>
    <row r="43739">
      <c r="H43739" t="s">
        <v>5117</v>
      </c>
    </row>
    <row r="43740">
      <c r="H43740" t="s">
        <v>5117</v>
      </c>
    </row>
    <row r="43741">
      <c r="H43741" t="s">
        <v>5117</v>
      </c>
    </row>
    <row r="43742">
      <c r="H43742" t="s">
        <v>5117</v>
      </c>
    </row>
    <row r="43743">
      <c r="H43743" t="s">
        <v>5117</v>
      </c>
    </row>
    <row r="43744">
      <c r="H43744" t="s">
        <v>5117</v>
      </c>
    </row>
    <row r="43745">
      <c r="H43745" t="s">
        <v>5117</v>
      </c>
    </row>
    <row r="43746">
      <c r="H43746" t="s">
        <v>5117</v>
      </c>
    </row>
    <row r="43747">
      <c r="H43747" t="s">
        <v>5117</v>
      </c>
    </row>
    <row r="43748">
      <c r="H43748" t="s">
        <v>5117</v>
      </c>
    </row>
    <row r="43749">
      <c r="H43749" t="s">
        <v>5117</v>
      </c>
    </row>
    <row r="43750">
      <c r="H43750" t="s">
        <v>5117</v>
      </c>
    </row>
    <row r="43751">
      <c r="H43751" t="s">
        <v>5117</v>
      </c>
    </row>
    <row r="43752">
      <c r="H43752" t="s">
        <v>5117</v>
      </c>
    </row>
    <row r="43753">
      <c r="H43753" t="s">
        <v>5117</v>
      </c>
    </row>
    <row r="43754">
      <c r="H43754" t="s">
        <v>5117</v>
      </c>
    </row>
    <row r="43755">
      <c r="H43755" t="s">
        <v>5117</v>
      </c>
    </row>
    <row r="43756">
      <c r="H43756" t="s">
        <v>5117</v>
      </c>
    </row>
    <row r="43757">
      <c r="H43757" t="s">
        <v>5117</v>
      </c>
    </row>
    <row r="43758">
      <c r="H43758" t="s">
        <v>5117</v>
      </c>
    </row>
    <row r="43759">
      <c r="H43759" t="s">
        <v>5117</v>
      </c>
    </row>
    <row r="43760">
      <c r="H43760" t="s">
        <v>5117</v>
      </c>
    </row>
    <row r="43761">
      <c r="H43761" t="s">
        <v>5117</v>
      </c>
    </row>
    <row r="43762">
      <c r="H43762" t="s">
        <v>5117</v>
      </c>
    </row>
    <row r="43763">
      <c r="H43763" t="s">
        <v>5117</v>
      </c>
    </row>
    <row r="43764">
      <c r="H43764" t="s">
        <v>5117</v>
      </c>
    </row>
    <row r="43765">
      <c r="H43765" t="s">
        <v>5117</v>
      </c>
    </row>
    <row r="43766">
      <c r="H43766" t="s">
        <v>5117</v>
      </c>
    </row>
    <row r="43767">
      <c r="H43767" t="s">
        <v>5117</v>
      </c>
    </row>
    <row r="43768">
      <c r="H43768" t="s">
        <v>5117</v>
      </c>
    </row>
    <row r="43769">
      <c r="H43769" t="s">
        <v>5117</v>
      </c>
    </row>
    <row r="43770">
      <c r="H43770" t="s">
        <v>5117</v>
      </c>
    </row>
    <row r="43771">
      <c r="H43771" t="s">
        <v>5117</v>
      </c>
    </row>
    <row r="43772">
      <c r="H43772" t="s">
        <v>5117</v>
      </c>
    </row>
    <row r="43773">
      <c r="H43773" t="s">
        <v>5117</v>
      </c>
    </row>
    <row r="43774">
      <c r="H43774" t="s">
        <v>5117</v>
      </c>
    </row>
    <row r="43775">
      <c r="H43775" t="s">
        <v>5117</v>
      </c>
    </row>
    <row r="43776">
      <c r="H43776" t="s">
        <v>5117</v>
      </c>
    </row>
    <row r="43777">
      <c r="H43777" t="s">
        <v>5117</v>
      </c>
    </row>
    <row r="43778">
      <c r="H43778" t="s">
        <v>5117</v>
      </c>
    </row>
    <row r="43779">
      <c r="H43779" t="s">
        <v>5117</v>
      </c>
    </row>
    <row r="43780">
      <c r="H43780" t="s">
        <v>5117</v>
      </c>
    </row>
    <row r="43781">
      <c r="H43781" t="s">
        <v>5117</v>
      </c>
    </row>
    <row r="43782">
      <c r="H43782" t="s">
        <v>5117</v>
      </c>
    </row>
    <row r="43783">
      <c r="H43783" t="s">
        <v>5117</v>
      </c>
    </row>
    <row r="43784">
      <c r="H43784" t="s">
        <v>5117</v>
      </c>
    </row>
    <row r="43785">
      <c r="H43785" t="s">
        <v>5117</v>
      </c>
    </row>
    <row r="43786">
      <c r="H43786" t="s">
        <v>5117</v>
      </c>
    </row>
    <row r="43787">
      <c r="H43787" t="s">
        <v>5117</v>
      </c>
    </row>
    <row r="43788">
      <c r="H43788" t="s">
        <v>5117</v>
      </c>
    </row>
    <row r="43789">
      <c r="H43789" t="s">
        <v>5117</v>
      </c>
    </row>
    <row r="43790">
      <c r="H43790" t="s">
        <v>5117</v>
      </c>
    </row>
    <row r="43791">
      <c r="H43791" t="s">
        <v>5117</v>
      </c>
    </row>
    <row r="43792">
      <c r="H43792" t="s">
        <v>5117</v>
      </c>
    </row>
    <row r="43793">
      <c r="H43793" t="s">
        <v>5117</v>
      </c>
    </row>
    <row r="43794">
      <c r="H43794" t="s">
        <v>5117</v>
      </c>
    </row>
    <row r="43795">
      <c r="H43795" t="s">
        <v>5117</v>
      </c>
    </row>
    <row r="43796">
      <c r="H43796" t="s">
        <v>5117</v>
      </c>
    </row>
    <row r="43797">
      <c r="H43797" t="s">
        <v>5117</v>
      </c>
    </row>
    <row r="43798">
      <c r="H43798" t="s">
        <v>5117</v>
      </c>
    </row>
    <row r="43799">
      <c r="H43799" t="s">
        <v>5117</v>
      </c>
    </row>
    <row r="43800">
      <c r="H43800" t="s">
        <v>5117</v>
      </c>
    </row>
    <row r="43801">
      <c r="H43801" t="s">
        <v>5117</v>
      </c>
    </row>
    <row r="43802">
      <c r="H43802" t="s">
        <v>5117</v>
      </c>
    </row>
    <row r="43803">
      <c r="H43803" t="s">
        <v>5117</v>
      </c>
    </row>
    <row r="43804">
      <c r="H43804" t="s">
        <v>5117</v>
      </c>
    </row>
    <row r="43805">
      <c r="H43805" t="s">
        <v>5117</v>
      </c>
    </row>
    <row r="43806">
      <c r="H43806" t="s">
        <v>5117</v>
      </c>
    </row>
    <row r="43807">
      <c r="H43807" t="s">
        <v>5117</v>
      </c>
    </row>
    <row r="43808">
      <c r="H43808" t="s">
        <v>5117</v>
      </c>
    </row>
    <row r="43809">
      <c r="H43809" t="s">
        <v>5117</v>
      </c>
    </row>
    <row r="43810">
      <c r="H43810" t="s">
        <v>5117</v>
      </c>
    </row>
    <row r="43811">
      <c r="H43811" t="s">
        <v>5117</v>
      </c>
    </row>
    <row r="43812">
      <c r="H43812" t="s">
        <v>5117</v>
      </c>
    </row>
    <row r="43813">
      <c r="H43813" t="s">
        <v>5117</v>
      </c>
    </row>
    <row r="43814">
      <c r="H43814" t="s">
        <v>5117</v>
      </c>
    </row>
    <row r="43815">
      <c r="H43815" t="s">
        <v>5117</v>
      </c>
    </row>
    <row r="43816">
      <c r="H43816" t="s">
        <v>5117</v>
      </c>
    </row>
    <row r="43817">
      <c r="H43817" t="s">
        <v>5117</v>
      </c>
    </row>
    <row r="43818">
      <c r="H43818" t="s">
        <v>5117</v>
      </c>
    </row>
    <row r="43819">
      <c r="H43819" t="s">
        <v>5117</v>
      </c>
    </row>
    <row r="43820">
      <c r="H43820" t="s">
        <v>5117</v>
      </c>
    </row>
    <row r="43821">
      <c r="H43821" t="s">
        <v>5117</v>
      </c>
    </row>
    <row r="43822">
      <c r="H43822" t="s">
        <v>5117</v>
      </c>
    </row>
    <row r="43823">
      <c r="H43823" t="s">
        <v>5117</v>
      </c>
    </row>
    <row r="43824">
      <c r="H43824" t="s">
        <v>5117</v>
      </c>
    </row>
    <row r="43825">
      <c r="H43825" t="s">
        <v>5117</v>
      </c>
    </row>
    <row r="43826">
      <c r="H43826" t="s">
        <v>5117</v>
      </c>
    </row>
    <row r="43827">
      <c r="H43827" t="s">
        <v>5117</v>
      </c>
    </row>
    <row r="43828">
      <c r="H43828" t="s">
        <v>5117</v>
      </c>
    </row>
    <row r="43829">
      <c r="H43829" t="s">
        <v>5117</v>
      </c>
    </row>
    <row r="43830">
      <c r="H43830" t="s">
        <v>5117</v>
      </c>
    </row>
    <row r="43831">
      <c r="H43831" t="s">
        <v>5117</v>
      </c>
    </row>
    <row r="43832">
      <c r="H43832" t="s">
        <v>5117</v>
      </c>
    </row>
    <row r="43833">
      <c r="H43833" t="s">
        <v>5117</v>
      </c>
    </row>
    <row r="43834">
      <c r="H43834" t="s">
        <v>5117</v>
      </c>
    </row>
    <row r="43835">
      <c r="H43835" t="s">
        <v>5117</v>
      </c>
    </row>
    <row r="43836">
      <c r="H43836" t="s">
        <v>5117</v>
      </c>
    </row>
    <row r="43837">
      <c r="H43837" t="s">
        <v>5117</v>
      </c>
    </row>
    <row r="43838">
      <c r="H43838" t="s">
        <v>5117</v>
      </c>
    </row>
    <row r="43839">
      <c r="H43839" t="s">
        <v>5117</v>
      </c>
    </row>
    <row r="43840">
      <c r="H43840" t="s">
        <v>5117</v>
      </c>
    </row>
    <row r="43841">
      <c r="H43841" t="s">
        <v>5117</v>
      </c>
    </row>
    <row r="43842">
      <c r="H43842" t="s">
        <v>5117</v>
      </c>
    </row>
    <row r="43843">
      <c r="H43843" t="s">
        <v>5117</v>
      </c>
    </row>
    <row r="43844">
      <c r="H43844" t="s">
        <v>5117</v>
      </c>
    </row>
    <row r="43845">
      <c r="H43845" t="s">
        <v>5117</v>
      </c>
    </row>
    <row r="43846">
      <c r="H43846" t="s">
        <v>5117</v>
      </c>
    </row>
    <row r="43847">
      <c r="H43847" t="s">
        <v>5117</v>
      </c>
    </row>
    <row r="43848">
      <c r="H43848" t="s">
        <v>5117</v>
      </c>
    </row>
    <row r="43849">
      <c r="H43849" t="s">
        <v>5117</v>
      </c>
    </row>
    <row r="43850">
      <c r="H43850" t="s">
        <v>5117</v>
      </c>
    </row>
    <row r="43851">
      <c r="H43851" t="s">
        <v>5117</v>
      </c>
    </row>
    <row r="43852">
      <c r="H43852" t="s">
        <v>5117</v>
      </c>
    </row>
    <row r="43853">
      <c r="H43853" t="s">
        <v>5117</v>
      </c>
    </row>
    <row r="43854">
      <c r="H43854" t="s">
        <v>5117</v>
      </c>
    </row>
    <row r="43855">
      <c r="H43855" t="s">
        <v>5117</v>
      </c>
    </row>
    <row r="43856">
      <c r="H43856" t="s">
        <v>5117</v>
      </c>
    </row>
    <row r="43857">
      <c r="H43857" t="s">
        <v>5117</v>
      </c>
    </row>
    <row r="43858">
      <c r="H43858" t="s">
        <v>5117</v>
      </c>
    </row>
    <row r="43859">
      <c r="H43859" t="s">
        <v>5117</v>
      </c>
    </row>
    <row r="43860">
      <c r="H43860" t="s">
        <v>5117</v>
      </c>
    </row>
    <row r="43861">
      <c r="H43861" t="s">
        <v>5117</v>
      </c>
    </row>
    <row r="43862">
      <c r="H43862" t="s">
        <v>5117</v>
      </c>
    </row>
    <row r="43863">
      <c r="H43863" t="s">
        <v>5117</v>
      </c>
    </row>
    <row r="43864">
      <c r="H43864" t="s">
        <v>5117</v>
      </c>
    </row>
    <row r="43865">
      <c r="H43865" t="s">
        <v>5117</v>
      </c>
    </row>
    <row r="43866">
      <c r="H43866" t="s">
        <v>5117</v>
      </c>
    </row>
    <row r="43867">
      <c r="H43867" t="s">
        <v>5117</v>
      </c>
    </row>
    <row r="43868">
      <c r="H43868" t="s">
        <v>5117</v>
      </c>
    </row>
    <row r="43869">
      <c r="H43869" t="s">
        <v>5117</v>
      </c>
    </row>
    <row r="43870">
      <c r="H43870" t="s">
        <v>5117</v>
      </c>
    </row>
    <row r="43871">
      <c r="H43871" t="s">
        <v>5117</v>
      </c>
    </row>
    <row r="43872">
      <c r="H43872" t="s">
        <v>5117</v>
      </c>
    </row>
    <row r="43873">
      <c r="H43873" t="s">
        <v>5117</v>
      </c>
    </row>
    <row r="43874">
      <c r="H43874" t="s">
        <v>5117</v>
      </c>
    </row>
    <row r="43875">
      <c r="H43875" t="s">
        <v>5117</v>
      </c>
    </row>
    <row r="43876">
      <c r="H43876" t="s">
        <v>5117</v>
      </c>
    </row>
    <row r="43877">
      <c r="H43877" t="s">
        <v>5117</v>
      </c>
    </row>
    <row r="43878">
      <c r="H43878" t="s">
        <v>5117</v>
      </c>
    </row>
    <row r="43879">
      <c r="H43879" t="s">
        <v>5117</v>
      </c>
    </row>
    <row r="43880">
      <c r="H43880" t="s">
        <v>5117</v>
      </c>
    </row>
    <row r="43881">
      <c r="H43881" t="s">
        <v>5117</v>
      </c>
    </row>
    <row r="43882">
      <c r="H43882" t="s">
        <v>5117</v>
      </c>
    </row>
    <row r="43883">
      <c r="H43883" t="s">
        <v>5117</v>
      </c>
    </row>
    <row r="43884">
      <c r="H43884" t="s">
        <v>5117</v>
      </c>
    </row>
    <row r="43885">
      <c r="H43885" t="s">
        <v>5117</v>
      </c>
    </row>
    <row r="43886">
      <c r="H43886" t="s">
        <v>5117</v>
      </c>
    </row>
    <row r="43887">
      <c r="H43887" t="s">
        <v>5117</v>
      </c>
    </row>
    <row r="43888">
      <c r="H43888" t="s">
        <v>5117</v>
      </c>
    </row>
    <row r="43889">
      <c r="H43889" t="s">
        <v>5117</v>
      </c>
    </row>
    <row r="43890">
      <c r="H43890" t="s">
        <v>5117</v>
      </c>
    </row>
    <row r="43891">
      <c r="H43891" t="s">
        <v>5117</v>
      </c>
    </row>
    <row r="43892">
      <c r="H43892" t="s">
        <v>5117</v>
      </c>
    </row>
    <row r="43893">
      <c r="H43893" t="s">
        <v>5117</v>
      </c>
    </row>
    <row r="43894">
      <c r="H43894" t="s">
        <v>5117</v>
      </c>
    </row>
    <row r="43895">
      <c r="H43895" t="s">
        <v>5117</v>
      </c>
    </row>
    <row r="43896">
      <c r="H43896" t="s">
        <v>5117</v>
      </c>
    </row>
    <row r="43897">
      <c r="H43897" t="s">
        <v>5117</v>
      </c>
    </row>
    <row r="43898">
      <c r="H43898" t="s">
        <v>5117</v>
      </c>
    </row>
    <row r="43899">
      <c r="H43899" t="s">
        <v>5117</v>
      </c>
    </row>
    <row r="43900">
      <c r="H43900" t="s">
        <v>5117</v>
      </c>
    </row>
    <row r="43901">
      <c r="H43901" t="s">
        <v>5117</v>
      </c>
    </row>
    <row r="43902">
      <c r="H43902" t="s">
        <v>5117</v>
      </c>
    </row>
    <row r="43903">
      <c r="H43903" t="s">
        <v>5117</v>
      </c>
    </row>
    <row r="43904">
      <c r="H43904" t="s">
        <v>5117</v>
      </c>
    </row>
    <row r="43905">
      <c r="H43905" t="s">
        <v>5117</v>
      </c>
    </row>
    <row r="43906">
      <c r="H43906" t="s">
        <v>5117</v>
      </c>
    </row>
    <row r="43907">
      <c r="H43907" t="s">
        <v>5117</v>
      </c>
    </row>
    <row r="43908">
      <c r="H43908" t="s">
        <v>5117</v>
      </c>
    </row>
    <row r="43909">
      <c r="H43909" t="s">
        <v>5117</v>
      </c>
    </row>
    <row r="43910">
      <c r="H43910" t="s">
        <v>5117</v>
      </c>
    </row>
    <row r="43911">
      <c r="H43911" t="s">
        <v>5117</v>
      </c>
    </row>
    <row r="43912">
      <c r="H43912" t="s">
        <v>5117</v>
      </c>
    </row>
    <row r="43913">
      <c r="H43913" t="s">
        <v>5117</v>
      </c>
    </row>
    <row r="43914">
      <c r="H43914" t="s">
        <v>5117</v>
      </c>
    </row>
    <row r="43915">
      <c r="H43915" t="s">
        <v>5117</v>
      </c>
    </row>
    <row r="43916">
      <c r="H43916" t="s">
        <v>5117</v>
      </c>
    </row>
    <row r="43917">
      <c r="H43917" t="s">
        <v>5117</v>
      </c>
    </row>
    <row r="43918">
      <c r="H43918" t="s">
        <v>5117</v>
      </c>
    </row>
    <row r="43919">
      <c r="H43919" t="s">
        <v>5117</v>
      </c>
    </row>
    <row r="43920">
      <c r="H43920" t="s">
        <v>5117</v>
      </c>
    </row>
    <row r="43921">
      <c r="H43921" t="s">
        <v>5117</v>
      </c>
    </row>
    <row r="43922">
      <c r="H43922" t="s">
        <v>5117</v>
      </c>
    </row>
    <row r="43923">
      <c r="H43923" t="s">
        <v>5117</v>
      </c>
    </row>
    <row r="43924">
      <c r="H43924" t="s">
        <v>5117</v>
      </c>
    </row>
    <row r="43925">
      <c r="H43925" t="s">
        <v>5117</v>
      </c>
    </row>
    <row r="43926">
      <c r="H43926" t="s">
        <v>5117</v>
      </c>
    </row>
    <row r="43927">
      <c r="H43927" t="s">
        <v>5117</v>
      </c>
    </row>
    <row r="43928">
      <c r="H43928" t="s">
        <v>5117</v>
      </c>
    </row>
    <row r="43929">
      <c r="H43929" t="s">
        <v>5117</v>
      </c>
    </row>
    <row r="43930">
      <c r="H43930" t="s">
        <v>5117</v>
      </c>
    </row>
    <row r="43931">
      <c r="H43931" t="s">
        <v>5117</v>
      </c>
    </row>
    <row r="43932">
      <c r="H43932" t="s">
        <v>5117</v>
      </c>
    </row>
    <row r="43933">
      <c r="H43933" t="s">
        <v>5117</v>
      </c>
    </row>
    <row r="43934">
      <c r="H43934" t="s">
        <v>5117</v>
      </c>
    </row>
    <row r="43935">
      <c r="H43935" t="s">
        <v>5117</v>
      </c>
    </row>
    <row r="43936">
      <c r="H43936" t="s">
        <v>5117</v>
      </c>
    </row>
    <row r="43937">
      <c r="H43937" t="s">
        <v>5117</v>
      </c>
    </row>
    <row r="43938">
      <c r="H43938" t="s">
        <v>5117</v>
      </c>
    </row>
    <row r="43939">
      <c r="H43939" t="s">
        <v>5117</v>
      </c>
    </row>
    <row r="43940">
      <c r="H43940" t="s">
        <v>5117</v>
      </c>
    </row>
    <row r="43941">
      <c r="H43941" t="s">
        <v>5117</v>
      </c>
    </row>
    <row r="43942">
      <c r="H43942" t="s">
        <v>5117</v>
      </c>
    </row>
    <row r="43943">
      <c r="H43943" t="s">
        <v>5117</v>
      </c>
    </row>
    <row r="43944">
      <c r="H43944" t="s">
        <v>5117</v>
      </c>
    </row>
    <row r="43945">
      <c r="H43945" t="s">
        <v>5117</v>
      </c>
    </row>
    <row r="43946">
      <c r="H43946" t="s">
        <v>5117</v>
      </c>
    </row>
    <row r="43947">
      <c r="H43947" t="s">
        <v>5117</v>
      </c>
    </row>
    <row r="43948">
      <c r="H43948" t="s">
        <v>5117</v>
      </c>
    </row>
    <row r="43949">
      <c r="H43949" t="s">
        <v>5117</v>
      </c>
    </row>
    <row r="43950">
      <c r="H43950" t="s">
        <v>5117</v>
      </c>
    </row>
    <row r="43951">
      <c r="H43951" t="s">
        <v>5117</v>
      </c>
    </row>
    <row r="43952">
      <c r="H43952" t="s">
        <v>5117</v>
      </c>
    </row>
    <row r="43953">
      <c r="H43953" t="s">
        <v>5117</v>
      </c>
    </row>
    <row r="43954">
      <c r="H43954" t="s">
        <v>5117</v>
      </c>
    </row>
    <row r="43955">
      <c r="H43955" t="s">
        <v>5117</v>
      </c>
    </row>
    <row r="43956">
      <c r="H43956" t="s">
        <v>5117</v>
      </c>
    </row>
    <row r="43957">
      <c r="H43957" t="s">
        <v>5117</v>
      </c>
    </row>
    <row r="43958">
      <c r="H43958" t="s">
        <v>5117</v>
      </c>
    </row>
    <row r="43959">
      <c r="H43959" t="s">
        <v>5117</v>
      </c>
    </row>
    <row r="43960">
      <c r="H43960" t="s">
        <v>5117</v>
      </c>
    </row>
    <row r="43961">
      <c r="H43961" t="s">
        <v>5117</v>
      </c>
    </row>
    <row r="43962">
      <c r="H43962" t="s">
        <v>5117</v>
      </c>
    </row>
    <row r="43963">
      <c r="H43963" t="s">
        <v>5117</v>
      </c>
    </row>
    <row r="43964">
      <c r="H43964" t="s">
        <v>5117</v>
      </c>
    </row>
    <row r="43965">
      <c r="H43965" t="s">
        <v>5117</v>
      </c>
    </row>
    <row r="43966">
      <c r="H43966" t="s">
        <v>5117</v>
      </c>
    </row>
    <row r="43967">
      <c r="H43967" t="s">
        <v>5117</v>
      </c>
    </row>
    <row r="43968">
      <c r="H43968" t="s">
        <v>5117</v>
      </c>
    </row>
    <row r="43969">
      <c r="H43969" t="s">
        <v>5117</v>
      </c>
    </row>
    <row r="43970">
      <c r="H43970" t="s">
        <v>5117</v>
      </c>
    </row>
    <row r="43971">
      <c r="H43971" t="s">
        <v>5117</v>
      </c>
    </row>
    <row r="43972">
      <c r="H43972" t="s">
        <v>5117</v>
      </c>
    </row>
    <row r="43973">
      <c r="H43973" t="s">
        <v>5117</v>
      </c>
    </row>
    <row r="43974">
      <c r="H43974" t="s">
        <v>5117</v>
      </c>
    </row>
    <row r="43975">
      <c r="H43975" t="s">
        <v>5117</v>
      </c>
    </row>
    <row r="43976">
      <c r="H43976" t="s">
        <v>5117</v>
      </c>
    </row>
    <row r="43977">
      <c r="H43977" t="s">
        <v>5117</v>
      </c>
    </row>
    <row r="43978">
      <c r="H43978" t="s">
        <v>5117</v>
      </c>
    </row>
    <row r="43979">
      <c r="H43979" t="s">
        <v>5117</v>
      </c>
    </row>
    <row r="43980">
      <c r="H43980" t="s">
        <v>5117</v>
      </c>
    </row>
    <row r="43981">
      <c r="H43981" t="s">
        <v>5117</v>
      </c>
    </row>
    <row r="43982">
      <c r="H43982" t="s">
        <v>5117</v>
      </c>
    </row>
    <row r="43983">
      <c r="H43983" t="s">
        <v>5117</v>
      </c>
    </row>
    <row r="43984">
      <c r="H43984" t="s">
        <v>5117</v>
      </c>
    </row>
    <row r="43985">
      <c r="H43985" t="s">
        <v>5117</v>
      </c>
    </row>
    <row r="43986">
      <c r="H43986" t="s">
        <v>5117</v>
      </c>
    </row>
    <row r="43987">
      <c r="H43987" t="s">
        <v>5117</v>
      </c>
    </row>
    <row r="43988">
      <c r="H43988" t="s">
        <v>5117</v>
      </c>
    </row>
    <row r="43989">
      <c r="H43989" t="s">
        <v>5117</v>
      </c>
    </row>
    <row r="43990">
      <c r="H43990" t="s">
        <v>5117</v>
      </c>
    </row>
    <row r="43991">
      <c r="H43991" t="s">
        <v>5117</v>
      </c>
    </row>
    <row r="43992">
      <c r="H43992" t="s">
        <v>5117</v>
      </c>
    </row>
    <row r="43993">
      <c r="H43993" t="s">
        <v>5117</v>
      </c>
    </row>
    <row r="43994">
      <c r="H43994" t="s">
        <v>5117</v>
      </c>
    </row>
    <row r="43995">
      <c r="H43995" t="s">
        <v>5117</v>
      </c>
    </row>
    <row r="43996">
      <c r="H43996" t="s">
        <v>5117</v>
      </c>
    </row>
    <row r="43997">
      <c r="H43997" t="s">
        <v>5117</v>
      </c>
    </row>
    <row r="43998">
      <c r="H43998" t="s">
        <v>5117</v>
      </c>
    </row>
    <row r="43999">
      <c r="H43999" t="s">
        <v>5117</v>
      </c>
    </row>
    <row r="44000">
      <c r="H44000" t="s">
        <v>5117</v>
      </c>
    </row>
    <row r="44001">
      <c r="H44001" t="s">
        <v>5117</v>
      </c>
    </row>
    <row r="44002">
      <c r="H44002" t="s">
        <v>5117</v>
      </c>
    </row>
    <row r="44003">
      <c r="H44003" t="s">
        <v>5117</v>
      </c>
    </row>
    <row r="44004">
      <c r="H44004" t="s">
        <v>5117</v>
      </c>
    </row>
    <row r="44005">
      <c r="H44005" t="s">
        <v>5117</v>
      </c>
    </row>
    <row r="44006">
      <c r="H44006" t="s">
        <v>5117</v>
      </c>
    </row>
    <row r="44007">
      <c r="H44007" t="s">
        <v>5117</v>
      </c>
    </row>
    <row r="44008">
      <c r="H44008" t="s">
        <v>5117</v>
      </c>
    </row>
    <row r="44009">
      <c r="H44009" t="s">
        <v>5117</v>
      </c>
    </row>
    <row r="44010">
      <c r="H44010" t="s">
        <v>5117</v>
      </c>
    </row>
    <row r="44011">
      <c r="H44011" t="s">
        <v>5117</v>
      </c>
    </row>
    <row r="44012">
      <c r="H44012" t="s">
        <v>5117</v>
      </c>
    </row>
    <row r="44013">
      <c r="H44013" t="s">
        <v>5117</v>
      </c>
    </row>
    <row r="44014">
      <c r="H44014" t="s">
        <v>5117</v>
      </c>
    </row>
    <row r="44015">
      <c r="H44015" t="s">
        <v>5117</v>
      </c>
    </row>
    <row r="44016">
      <c r="H44016" t="s">
        <v>5117</v>
      </c>
    </row>
    <row r="44017">
      <c r="H44017" t="s">
        <v>5117</v>
      </c>
    </row>
    <row r="44018">
      <c r="H44018" t="s">
        <v>5117</v>
      </c>
    </row>
    <row r="44019">
      <c r="H44019" t="s">
        <v>5117</v>
      </c>
    </row>
    <row r="44020">
      <c r="H44020" t="s">
        <v>5117</v>
      </c>
    </row>
    <row r="44021">
      <c r="H44021" t="s">
        <v>5117</v>
      </c>
    </row>
    <row r="44022">
      <c r="H44022" t="s">
        <v>5117</v>
      </c>
    </row>
    <row r="44023">
      <c r="H44023" t="s">
        <v>5117</v>
      </c>
    </row>
    <row r="44024">
      <c r="H44024" t="s">
        <v>5117</v>
      </c>
    </row>
    <row r="44025">
      <c r="H44025" t="s">
        <v>5117</v>
      </c>
    </row>
    <row r="44026">
      <c r="H44026" t="s">
        <v>5117</v>
      </c>
    </row>
    <row r="44027">
      <c r="H44027" t="s">
        <v>5117</v>
      </c>
    </row>
    <row r="44028">
      <c r="H44028" t="s">
        <v>5117</v>
      </c>
    </row>
    <row r="44029">
      <c r="H44029" t="s">
        <v>5117</v>
      </c>
    </row>
    <row r="44030">
      <c r="H44030" t="s">
        <v>5117</v>
      </c>
    </row>
    <row r="44031">
      <c r="H44031" t="s">
        <v>5117</v>
      </c>
    </row>
    <row r="44032">
      <c r="H44032" t="s">
        <v>5117</v>
      </c>
    </row>
    <row r="44033">
      <c r="H44033" t="s">
        <v>5117</v>
      </c>
    </row>
    <row r="44034">
      <c r="H44034" t="s">
        <v>5117</v>
      </c>
    </row>
    <row r="44035">
      <c r="H44035" t="s">
        <v>5117</v>
      </c>
    </row>
    <row r="44036">
      <c r="H44036" t="s">
        <v>5117</v>
      </c>
    </row>
    <row r="44037">
      <c r="H44037" t="s">
        <v>5117</v>
      </c>
    </row>
    <row r="44038">
      <c r="H44038" t="s">
        <v>5117</v>
      </c>
    </row>
    <row r="44039">
      <c r="H44039" t="s">
        <v>5117</v>
      </c>
    </row>
    <row r="44040">
      <c r="H44040" t="s">
        <v>5117</v>
      </c>
    </row>
    <row r="44041">
      <c r="H44041" t="s">
        <v>5117</v>
      </c>
    </row>
    <row r="44042">
      <c r="H44042" t="s">
        <v>5117</v>
      </c>
    </row>
    <row r="44043">
      <c r="H44043" t="s">
        <v>5117</v>
      </c>
    </row>
    <row r="44044">
      <c r="H44044" t="s">
        <v>5117</v>
      </c>
    </row>
    <row r="44045">
      <c r="H44045" t="s">
        <v>5117</v>
      </c>
    </row>
    <row r="44046">
      <c r="H44046" t="s">
        <v>5117</v>
      </c>
    </row>
    <row r="44047">
      <c r="H44047" t="s">
        <v>5117</v>
      </c>
    </row>
    <row r="44048">
      <c r="H44048" t="s">
        <v>5117</v>
      </c>
    </row>
    <row r="44049">
      <c r="H44049" t="s">
        <v>5117</v>
      </c>
    </row>
    <row r="44050">
      <c r="H44050" t="s">
        <v>5117</v>
      </c>
    </row>
    <row r="44051">
      <c r="H44051" t="s">
        <v>5117</v>
      </c>
    </row>
    <row r="44052">
      <c r="H44052" t="s">
        <v>5117</v>
      </c>
    </row>
    <row r="44053">
      <c r="H44053" t="s">
        <v>5117</v>
      </c>
    </row>
    <row r="44054">
      <c r="H44054" t="s">
        <v>5117</v>
      </c>
    </row>
    <row r="44055">
      <c r="H44055" t="s">
        <v>5117</v>
      </c>
    </row>
    <row r="44056">
      <c r="H44056" t="s">
        <v>5117</v>
      </c>
    </row>
    <row r="44057">
      <c r="H44057" t="s">
        <v>5117</v>
      </c>
    </row>
    <row r="44058">
      <c r="H44058" t="s">
        <v>5117</v>
      </c>
    </row>
    <row r="44059">
      <c r="H44059" t="s">
        <v>5117</v>
      </c>
    </row>
    <row r="44060">
      <c r="H44060" t="s">
        <v>5117</v>
      </c>
    </row>
    <row r="44061">
      <c r="H44061" t="s">
        <v>5117</v>
      </c>
    </row>
    <row r="44062">
      <c r="H44062" t="s">
        <v>5117</v>
      </c>
    </row>
    <row r="44063">
      <c r="H44063" t="s">
        <v>5117</v>
      </c>
    </row>
    <row r="44064">
      <c r="H44064" t="s">
        <v>5117</v>
      </c>
    </row>
    <row r="44065">
      <c r="H44065" t="s">
        <v>5117</v>
      </c>
    </row>
    <row r="44066">
      <c r="H44066" t="s">
        <v>5117</v>
      </c>
    </row>
    <row r="44067">
      <c r="H44067" t="s">
        <v>5117</v>
      </c>
    </row>
    <row r="44068">
      <c r="H44068" t="s">
        <v>5117</v>
      </c>
    </row>
    <row r="44069">
      <c r="H44069" t="s">
        <v>5117</v>
      </c>
    </row>
    <row r="44070">
      <c r="H44070" t="s">
        <v>5117</v>
      </c>
    </row>
    <row r="44071">
      <c r="H44071" t="s">
        <v>5117</v>
      </c>
    </row>
    <row r="44072">
      <c r="H44072" t="s">
        <v>5117</v>
      </c>
    </row>
    <row r="44073">
      <c r="H44073" t="s">
        <v>5117</v>
      </c>
    </row>
    <row r="44074">
      <c r="H44074" t="s">
        <v>5117</v>
      </c>
    </row>
    <row r="44075">
      <c r="H44075" t="s">
        <v>5117</v>
      </c>
    </row>
    <row r="44076">
      <c r="H44076" t="s">
        <v>5117</v>
      </c>
    </row>
    <row r="44077">
      <c r="H44077" t="s">
        <v>5117</v>
      </c>
    </row>
    <row r="44078">
      <c r="H44078" t="s">
        <v>5117</v>
      </c>
    </row>
    <row r="44079">
      <c r="H44079" t="s">
        <v>5117</v>
      </c>
    </row>
    <row r="44080">
      <c r="H44080" t="s">
        <v>5117</v>
      </c>
    </row>
    <row r="44081">
      <c r="H44081" t="s">
        <v>5117</v>
      </c>
    </row>
    <row r="44082">
      <c r="H44082" t="s">
        <v>5117</v>
      </c>
    </row>
    <row r="44083">
      <c r="H44083" t="s">
        <v>5117</v>
      </c>
    </row>
    <row r="44084">
      <c r="H44084" t="s">
        <v>5117</v>
      </c>
    </row>
    <row r="44085">
      <c r="H44085" t="s">
        <v>5117</v>
      </c>
    </row>
    <row r="44086">
      <c r="H44086" t="s">
        <v>5117</v>
      </c>
    </row>
    <row r="44087">
      <c r="H44087" t="s">
        <v>5117</v>
      </c>
    </row>
    <row r="44088">
      <c r="H44088" t="s">
        <v>5117</v>
      </c>
    </row>
    <row r="44089">
      <c r="H44089" t="s">
        <v>5117</v>
      </c>
    </row>
    <row r="44090">
      <c r="H44090" t="s">
        <v>5117</v>
      </c>
    </row>
    <row r="44091">
      <c r="H44091" t="s">
        <v>5117</v>
      </c>
    </row>
    <row r="44092">
      <c r="H44092" t="s">
        <v>5117</v>
      </c>
    </row>
    <row r="44093">
      <c r="H44093" t="s">
        <v>5117</v>
      </c>
    </row>
    <row r="44094">
      <c r="H44094" t="s">
        <v>5117</v>
      </c>
    </row>
    <row r="44095">
      <c r="H44095" t="s">
        <v>5117</v>
      </c>
    </row>
    <row r="44096">
      <c r="H44096" t="s">
        <v>5117</v>
      </c>
    </row>
    <row r="44097">
      <c r="H44097" t="s">
        <v>5117</v>
      </c>
    </row>
    <row r="44098">
      <c r="H44098" t="s">
        <v>5117</v>
      </c>
    </row>
    <row r="44099">
      <c r="H44099" t="s">
        <v>5117</v>
      </c>
    </row>
    <row r="44100">
      <c r="H44100" t="s">
        <v>5117</v>
      </c>
    </row>
    <row r="44101">
      <c r="H44101" t="s">
        <v>5117</v>
      </c>
    </row>
    <row r="44102">
      <c r="H44102" t="s">
        <v>5117</v>
      </c>
    </row>
    <row r="44103">
      <c r="H44103" t="s">
        <v>5117</v>
      </c>
    </row>
    <row r="44104">
      <c r="H44104" t="s">
        <v>5117</v>
      </c>
    </row>
    <row r="44105">
      <c r="H44105" t="s">
        <v>5117</v>
      </c>
    </row>
    <row r="44106">
      <c r="H44106" t="s">
        <v>5117</v>
      </c>
    </row>
    <row r="44107">
      <c r="H44107" t="s">
        <v>5117</v>
      </c>
    </row>
    <row r="44108">
      <c r="H44108" t="s">
        <v>5117</v>
      </c>
    </row>
    <row r="44109">
      <c r="H44109" t="s">
        <v>5117</v>
      </c>
    </row>
    <row r="44110">
      <c r="H44110" t="s">
        <v>5117</v>
      </c>
    </row>
    <row r="44111">
      <c r="H44111" t="s">
        <v>5117</v>
      </c>
    </row>
    <row r="44112">
      <c r="H44112" t="s">
        <v>5117</v>
      </c>
    </row>
    <row r="44113">
      <c r="H44113" t="s">
        <v>5117</v>
      </c>
    </row>
    <row r="44114">
      <c r="H44114" t="s">
        <v>5117</v>
      </c>
    </row>
    <row r="44115">
      <c r="H44115" t="s">
        <v>5117</v>
      </c>
    </row>
    <row r="44116">
      <c r="H44116" t="s">
        <v>5117</v>
      </c>
    </row>
    <row r="44117">
      <c r="H44117" t="s">
        <v>5117</v>
      </c>
    </row>
    <row r="44118">
      <c r="H44118" t="s">
        <v>5117</v>
      </c>
    </row>
    <row r="44119">
      <c r="H44119" t="s">
        <v>5117</v>
      </c>
    </row>
    <row r="44120">
      <c r="H44120" t="s">
        <v>5117</v>
      </c>
    </row>
    <row r="44121">
      <c r="H44121" t="s">
        <v>5117</v>
      </c>
    </row>
    <row r="44122">
      <c r="H44122" t="s">
        <v>5117</v>
      </c>
    </row>
    <row r="44123">
      <c r="H44123" t="s">
        <v>5117</v>
      </c>
    </row>
    <row r="44124">
      <c r="H44124" t="s">
        <v>5117</v>
      </c>
    </row>
    <row r="44125">
      <c r="H44125" t="s">
        <v>5117</v>
      </c>
    </row>
    <row r="44126">
      <c r="H44126" t="s">
        <v>5117</v>
      </c>
    </row>
    <row r="44127">
      <c r="H44127" t="s">
        <v>5117</v>
      </c>
    </row>
    <row r="44128">
      <c r="H44128" t="s">
        <v>5117</v>
      </c>
    </row>
    <row r="44129">
      <c r="H44129" t="s">
        <v>5117</v>
      </c>
    </row>
    <row r="44130">
      <c r="H44130" t="s">
        <v>5117</v>
      </c>
    </row>
    <row r="44131">
      <c r="H44131" t="s">
        <v>5117</v>
      </c>
    </row>
    <row r="44132">
      <c r="H44132" t="s">
        <v>5117</v>
      </c>
    </row>
    <row r="44133">
      <c r="H44133" t="s">
        <v>5117</v>
      </c>
    </row>
    <row r="44134">
      <c r="H44134" t="s">
        <v>5117</v>
      </c>
    </row>
    <row r="44135">
      <c r="H44135" t="s">
        <v>5117</v>
      </c>
    </row>
    <row r="44136">
      <c r="H44136" t="s">
        <v>5117</v>
      </c>
    </row>
    <row r="44137">
      <c r="H44137" t="s">
        <v>5117</v>
      </c>
    </row>
    <row r="44138">
      <c r="H44138" t="s">
        <v>5117</v>
      </c>
    </row>
    <row r="44139">
      <c r="H44139" t="s">
        <v>5117</v>
      </c>
    </row>
    <row r="44140">
      <c r="H44140" t="s">
        <v>5117</v>
      </c>
    </row>
    <row r="44141">
      <c r="H44141" t="s">
        <v>5117</v>
      </c>
    </row>
    <row r="44142">
      <c r="H44142" t="s">
        <v>5117</v>
      </c>
    </row>
    <row r="44143">
      <c r="H44143" t="s">
        <v>5117</v>
      </c>
    </row>
    <row r="44144">
      <c r="H44144" t="s">
        <v>5117</v>
      </c>
    </row>
    <row r="44145">
      <c r="H44145" t="s">
        <v>5117</v>
      </c>
    </row>
    <row r="44146">
      <c r="H44146" t="s">
        <v>5117</v>
      </c>
    </row>
    <row r="44147">
      <c r="H44147" t="s">
        <v>5117</v>
      </c>
    </row>
    <row r="44148">
      <c r="H44148" t="s">
        <v>5117</v>
      </c>
    </row>
    <row r="44149">
      <c r="H44149" t="s">
        <v>5117</v>
      </c>
    </row>
    <row r="44150">
      <c r="H44150" t="s">
        <v>5117</v>
      </c>
    </row>
    <row r="44151">
      <c r="H44151" t="s">
        <v>5117</v>
      </c>
    </row>
    <row r="44152">
      <c r="H44152" t="s">
        <v>5117</v>
      </c>
    </row>
    <row r="44153">
      <c r="H44153" t="s">
        <v>5117</v>
      </c>
    </row>
    <row r="44154">
      <c r="H44154" t="s">
        <v>5117</v>
      </c>
    </row>
    <row r="44155">
      <c r="H44155" t="s">
        <v>5117</v>
      </c>
    </row>
    <row r="44156">
      <c r="H44156" t="s">
        <v>5117</v>
      </c>
    </row>
    <row r="44157">
      <c r="H44157" t="s">
        <v>5117</v>
      </c>
    </row>
    <row r="44158">
      <c r="H44158" t="s">
        <v>5117</v>
      </c>
    </row>
    <row r="44159">
      <c r="H44159" t="s">
        <v>5117</v>
      </c>
    </row>
    <row r="44160">
      <c r="H44160" t="s">
        <v>5117</v>
      </c>
    </row>
    <row r="44161">
      <c r="H44161" t="s">
        <v>5117</v>
      </c>
    </row>
    <row r="44162">
      <c r="H44162" t="s">
        <v>5117</v>
      </c>
    </row>
    <row r="44163">
      <c r="H44163" t="s">
        <v>5117</v>
      </c>
    </row>
    <row r="44164">
      <c r="H44164" t="s">
        <v>5117</v>
      </c>
    </row>
    <row r="44165">
      <c r="H44165" t="s">
        <v>5117</v>
      </c>
    </row>
    <row r="44166">
      <c r="H44166" t="s">
        <v>5117</v>
      </c>
    </row>
    <row r="44167">
      <c r="H44167" t="s">
        <v>5117</v>
      </c>
    </row>
    <row r="44168">
      <c r="H44168" t="s">
        <v>5117</v>
      </c>
    </row>
    <row r="44169">
      <c r="H44169" t="s">
        <v>5117</v>
      </c>
    </row>
    <row r="44170">
      <c r="H44170" t="s">
        <v>5117</v>
      </c>
    </row>
    <row r="44171">
      <c r="H44171" t="s">
        <v>5117</v>
      </c>
    </row>
    <row r="44172">
      <c r="H44172" t="s">
        <v>5117</v>
      </c>
    </row>
    <row r="44173">
      <c r="H44173" t="s">
        <v>5117</v>
      </c>
    </row>
    <row r="44174">
      <c r="H44174" t="s">
        <v>5117</v>
      </c>
    </row>
    <row r="44175">
      <c r="H44175" t="s">
        <v>5117</v>
      </c>
    </row>
    <row r="44176">
      <c r="H44176" t="s">
        <v>5117</v>
      </c>
    </row>
    <row r="44177">
      <c r="H44177" t="s">
        <v>5117</v>
      </c>
    </row>
    <row r="44178">
      <c r="H44178" t="s">
        <v>5117</v>
      </c>
    </row>
    <row r="44179">
      <c r="H44179" t="s">
        <v>5117</v>
      </c>
    </row>
    <row r="44180">
      <c r="H44180" t="s">
        <v>5117</v>
      </c>
    </row>
    <row r="44181">
      <c r="H44181" t="s">
        <v>5117</v>
      </c>
    </row>
    <row r="44182">
      <c r="H44182" t="s">
        <v>5117</v>
      </c>
    </row>
    <row r="44183">
      <c r="H44183" t="s">
        <v>5117</v>
      </c>
    </row>
    <row r="44184">
      <c r="H44184" t="s">
        <v>5117</v>
      </c>
    </row>
    <row r="44185">
      <c r="H44185" t="s">
        <v>5117</v>
      </c>
    </row>
    <row r="44186">
      <c r="H44186" t="s">
        <v>5117</v>
      </c>
    </row>
    <row r="44187">
      <c r="H44187" t="s">
        <v>5117</v>
      </c>
    </row>
    <row r="44188">
      <c r="H44188" t="s">
        <v>5117</v>
      </c>
    </row>
    <row r="44189">
      <c r="H44189" t="s">
        <v>5117</v>
      </c>
    </row>
    <row r="44190">
      <c r="H44190" t="s">
        <v>5117</v>
      </c>
    </row>
    <row r="44191">
      <c r="H44191" t="s">
        <v>5117</v>
      </c>
    </row>
    <row r="44192">
      <c r="H44192" t="s">
        <v>5117</v>
      </c>
    </row>
    <row r="44193">
      <c r="H44193" t="s">
        <v>5117</v>
      </c>
    </row>
    <row r="44194">
      <c r="H44194" t="s">
        <v>5117</v>
      </c>
    </row>
    <row r="44195">
      <c r="H44195" t="s">
        <v>5117</v>
      </c>
    </row>
    <row r="44196">
      <c r="H44196" t="s">
        <v>5117</v>
      </c>
    </row>
    <row r="44197">
      <c r="H44197" t="s">
        <v>5117</v>
      </c>
    </row>
    <row r="44198">
      <c r="H44198" t="s">
        <v>5117</v>
      </c>
    </row>
    <row r="44199">
      <c r="H44199" t="s">
        <v>5117</v>
      </c>
    </row>
    <row r="44200">
      <c r="H44200" t="s">
        <v>5117</v>
      </c>
    </row>
    <row r="44201">
      <c r="H44201" t="s">
        <v>5117</v>
      </c>
    </row>
    <row r="44202">
      <c r="H44202" t="s">
        <v>5117</v>
      </c>
    </row>
    <row r="44203">
      <c r="H44203" t="s">
        <v>5117</v>
      </c>
    </row>
    <row r="44204">
      <c r="H44204" t="s">
        <v>5117</v>
      </c>
    </row>
    <row r="44205">
      <c r="H44205" t="s">
        <v>5117</v>
      </c>
    </row>
    <row r="44206">
      <c r="H44206" t="s">
        <v>5117</v>
      </c>
    </row>
    <row r="44207">
      <c r="H44207" t="s">
        <v>5117</v>
      </c>
    </row>
    <row r="44208">
      <c r="H44208" t="s">
        <v>5117</v>
      </c>
    </row>
    <row r="44209">
      <c r="H44209" t="s">
        <v>5117</v>
      </c>
    </row>
    <row r="44210">
      <c r="H44210" t="s">
        <v>5117</v>
      </c>
    </row>
    <row r="44211">
      <c r="H44211" t="s">
        <v>5117</v>
      </c>
    </row>
    <row r="44212">
      <c r="H44212" t="s">
        <v>5117</v>
      </c>
    </row>
    <row r="44213">
      <c r="H44213" t="s">
        <v>5117</v>
      </c>
    </row>
    <row r="44214">
      <c r="H44214" t="s">
        <v>5117</v>
      </c>
    </row>
    <row r="44215">
      <c r="H44215" t="s">
        <v>5117</v>
      </c>
    </row>
    <row r="44216">
      <c r="H44216" t="s">
        <v>5117</v>
      </c>
    </row>
    <row r="44217">
      <c r="H44217" t="s">
        <v>5117</v>
      </c>
    </row>
    <row r="44218">
      <c r="H44218" t="s">
        <v>5117</v>
      </c>
    </row>
    <row r="44219">
      <c r="H44219" t="s">
        <v>5117</v>
      </c>
    </row>
    <row r="44220">
      <c r="H44220" t="s">
        <v>5117</v>
      </c>
    </row>
    <row r="44221">
      <c r="H44221" t="s">
        <v>5117</v>
      </c>
    </row>
    <row r="44222">
      <c r="H44222" t="s">
        <v>5117</v>
      </c>
    </row>
    <row r="44223">
      <c r="H44223" t="s">
        <v>5117</v>
      </c>
    </row>
    <row r="44224">
      <c r="H44224" t="s">
        <v>5117</v>
      </c>
    </row>
    <row r="44225">
      <c r="H44225" t="s">
        <v>5117</v>
      </c>
    </row>
    <row r="44226">
      <c r="H44226" t="s">
        <v>5117</v>
      </c>
    </row>
    <row r="44227">
      <c r="H44227" t="s">
        <v>5117</v>
      </c>
    </row>
    <row r="44228">
      <c r="H44228" t="s">
        <v>5117</v>
      </c>
    </row>
    <row r="44229">
      <c r="H44229" t="s">
        <v>5117</v>
      </c>
    </row>
    <row r="44230">
      <c r="H44230" t="s">
        <v>5117</v>
      </c>
    </row>
    <row r="44231">
      <c r="H44231" t="s">
        <v>5117</v>
      </c>
    </row>
    <row r="44232">
      <c r="H44232" t="s">
        <v>5117</v>
      </c>
    </row>
    <row r="44233">
      <c r="H44233" t="s">
        <v>5117</v>
      </c>
    </row>
    <row r="44234">
      <c r="H44234" t="s">
        <v>5117</v>
      </c>
    </row>
    <row r="44235">
      <c r="H44235" t="s">
        <v>5117</v>
      </c>
    </row>
    <row r="44236">
      <c r="H44236" t="s">
        <v>5117</v>
      </c>
    </row>
    <row r="44237">
      <c r="H44237" t="s">
        <v>5117</v>
      </c>
    </row>
    <row r="44238">
      <c r="H44238" t="s">
        <v>5117</v>
      </c>
    </row>
    <row r="44239">
      <c r="H44239" t="s">
        <v>5117</v>
      </c>
    </row>
    <row r="44240">
      <c r="H44240" t="s">
        <v>5117</v>
      </c>
    </row>
    <row r="44241">
      <c r="H44241" t="s">
        <v>5117</v>
      </c>
    </row>
    <row r="44242">
      <c r="H44242" t="s">
        <v>5117</v>
      </c>
    </row>
    <row r="44243">
      <c r="H44243" t="s">
        <v>5117</v>
      </c>
    </row>
    <row r="44244">
      <c r="H44244" t="s">
        <v>5117</v>
      </c>
    </row>
    <row r="44245">
      <c r="H44245" t="s">
        <v>5117</v>
      </c>
    </row>
    <row r="44246">
      <c r="H44246" t="s">
        <v>5117</v>
      </c>
    </row>
    <row r="44247">
      <c r="H44247" t="s">
        <v>5117</v>
      </c>
    </row>
    <row r="44248">
      <c r="H44248" t="s">
        <v>5117</v>
      </c>
    </row>
    <row r="44249">
      <c r="H44249" t="s">
        <v>5117</v>
      </c>
    </row>
    <row r="44250">
      <c r="H44250" t="s">
        <v>5117</v>
      </c>
    </row>
    <row r="44251">
      <c r="H44251" t="s">
        <v>5117</v>
      </c>
    </row>
    <row r="44252">
      <c r="H44252" t="s">
        <v>5117</v>
      </c>
    </row>
    <row r="44253">
      <c r="H44253" t="s">
        <v>5117</v>
      </c>
    </row>
    <row r="44254">
      <c r="H44254" t="s">
        <v>5117</v>
      </c>
    </row>
    <row r="44255">
      <c r="H44255" t="s">
        <v>5117</v>
      </c>
    </row>
    <row r="44256">
      <c r="H44256" t="s">
        <v>5117</v>
      </c>
    </row>
    <row r="44257">
      <c r="H44257" t="s">
        <v>5117</v>
      </c>
    </row>
    <row r="44258">
      <c r="H44258" t="s">
        <v>5117</v>
      </c>
    </row>
    <row r="44259">
      <c r="H44259" t="s">
        <v>5117</v>
      </c>
    </row>
    <row r="44260">
      <c r="H44260" t="s">
        <v>5117</v>
      </c>
    </row>
    <row r="44261">
      <c r="H44261" t="s">
        <v>5117</v>
      </c>
    </row>
    <row r="44262">
      <c r="H44262" t="s">
        <v>5117</v>
      </c>
    </row>
    <row r="44263">
      <c r="H44263" t="s">
        <v>5117</v>
      </c>
    </row>
    <row r="44264">
      <c r="H44264" t="s">
        <v>5117</v>
      </c>
    </row>
    <row r="44265">
      <c r="H44265" t="s">
        <v>5117</v>
      </c>
    </row>
    <row r="44266">
      <c r="H44266" t="s">
        <v>5117</v>
      </c>
    </row>
    <row r="44267">
      <c r="H44267" t="s">
        <v>5117</v>
      </c>
    </row>
    <row r="44268">
      <c r="H44268" t="s">
        <v>5117</v>
      </c>
    </row>
    <row r="44269">
      <c r="H44269" t="s">
        <v>5117</v>
      </c>
    </row>
    <row r="44270">
      <c r="H44270" t="s">
        <v>5117</v>
      </c>
    </row>
    <row r="44271">
      <c r="H44271" t="s">
        <v>5117</v>
      </c>
    </row>
    <row r="44272">
      <c r="H44272" t="s">
        <v>5117</v>
      </c>
    </row>
    <row r="44273">
      <c r="H44273" t="s">
        <v>5117</v>
      </c>
    </row>
    <row r="44274">
      <c r="H44274" t="s">
        <v>5117</v>
      </c>
    </row>
    <row r="44275">
      <c r="H44275" t="s">
        <v>5117</v>
      </c>
    </row>
    <row r="44276">
      <c r="H44276" t="s">
        <v>5117</v>
      </c>
    </row>
    <row r="44277">
      <c r="H44277" t="s">
        <v>5117</v>
      </c>
    </row>
    <row r="44278">
      <c r="H44278" t="s">
        <v>5117</v>
      </c>
    </row>
    <row r="44279">
      <c r="H44279" t="s">
        <v>5117</v>
      </c>
    </row>
    <row r="44280">
      <c r="H44280" t="s">
        <v>5117</v>
      </c>
    </row>
    <row r="44281">
      <c r="H44281" t="s">
        <v>5117</v>
      </c>
    </row>
    <row r="44282">
      <c r="H44282" t="s">
        <v>5117</v>
      </c>
    </row>
    <row r="44283">
      <c r="H44283" t="s">
        <v>5117</v>
      </c>
    </row>
    <row r="44284">
      <c r="H44284" t="s">
        <v>5117</v>
      </c>
    </row>
    <row r="44285">
      <c r="H44285" t="s">
        <v>5117</v>
      </c>
    </row>
    <row r="44286">
      <c r="H44286" t="s">
        <v>5117</v>
      </c>
    </row>
    <row r="44287">
      <c r="H44287" t="s">
        <v>5117</v>
      </c>
    </row>
    <row r="44288">
      <c r="H44288" t="s">
        <v>5117</v>
      </c>
    </row>
    <row r="44289">
      <c r="H44289" t="s">
        <v>5117</v>
      </c>
    </row>
    <row r="44290">
      <c r="H44290" t="s">
        <v>5117</v>
      </c>
    </row>
    <row r="44291">
      <c r="H44291" t="s">
        <v>5117</v>
      </c>
    </row>
    <row r="44292">
      <c r="H44292" t="s">
        <v>5117</v>
      </c>
    </row>
    <row r="44293">
      <c r="H44293" t="s">
        <v>5117</v>
      </c>
    </row>
    <row r="44294">
      <c r="H44294" t="s">
        <v>5117</v>
      </c>
    </row>
    <row r="44295">
      <c r="H44295" t="s">
        <v>5117</v>
      </c>
    </row>
    <row r="44296">
      <c r="H44296" t="s">
        <v>5117</v>
      </c>
    </row>
    <row r="44297">
      <c r="H44297" t="s">
        <v>5117</v>
      </c>
    </row>
    <row r="44298">
      <c r="H44298" t="s">
        <v>5117</v>
      </c>
    </row>
    <row r="44299">
      <c r="H44299" t="s">
        <v>5117</v>
      </c>
    </row>
    <row r="44300">
      <c r="H44300" t="s">
        <v>5117</v>
      </c>
    </row>
    <row r="44301">
      <c r="H44301" t="s">
        <v>5117</v>
      </c>
    </row>
    <row r="44302">
      <c r="H44302" t="s">
        <v>5117</v>
      </c>
    </row>
    <row r="44303">
      <c r="H44303" t="s">
        <v>5117</v>
      </c>
    </row>
    <row r="44304">
      <c r="H44304" t="s">
        <v>5117</v>
      </c>
    </row>
    <row r="44305">
      <c r="H44305" t="s">
        <v>5117</v>
      </c>
    </row>
    <row r="44306">
      <c r="H44306" t="s">
        <v>5117</v>
      </c>
    </row>
    <row r="44307">
      <c r="H44307" t="s">
        <v>5117</v>
      </c>
    </row>
    <row r="44308">
      <c r="H44308" t="s">
        <v>5117</v>
      </c>
    </row>
    <row r="44309">
      <c r="H44309" t="s">
        <v>5117</v>
      </c>
    </row>
    <row r="44310">
      <c r="H44310" t="s">
        <v>5117</v>
      </c>
    </row>
    <row r="44311">
      <c r="H44311" t="s">
        <v>5117</v>
      </c>
    </row>
    <row r="44312">
      <c r="H44312" t="s">
        <v>5117</v>
      </c>
    </row>
    <row r="44313">
      <c r="H44313" t="s">
        <v>5117</v>
      </c>
    </row>
    <row r="44314">
      <c r="H44314" t="s">
        <v>5117</v>
      </c>
    </row>
    <row r="44315">
      <c r="H44315" t="s">
        <v>5117</v>
      </c>
    </row>
    <row r="44316">
      <c r="H44316" t="s">
        <v>5117</v>
      </c>
    </row>
    <row r="44317">
      <c r="H44317" t="s">
        <v>5117</v>
      </c>
    </row>
    <row r="44318">
      <c r="H44318" t="s">
        <v>5117</v>
      </c>
    </row>
    <row r="44319">
      <c r="H44319" t="s">
        <v>5117</v>
      </c>
    </row>
    <row r="44320">
      <c r="H44320" t="s">
        <v>5117</v>
      </c>
    </row>
    <row r="44321">
      <c r="H44321" t="s">
        <v>5117</v>
      </c>
    </row>
    <row r="44322">
      <c r="H44322" t="s">
        <v>5117</v>
      </c>
    </row>
    <row r="44323">
      <c r="H44323" t="s">
        <v>5117</v>
      </c>
    </row>
    <row r="44324">
      <c r="H44324" t="s">
        <v>5117</v>
      </c>
    </row>
    <row r="44325">
      <c r="H44325" t="s">
        <v>5117</v>
      </c>
    </row>
    <row r="44326">
      <c r="H44326" t="s">
        <v>5117</v>
      </c>
    </row>
    <row r="44327">
      <c r="H44327" t="s">
        <v>5117</v>
      </c>
    </row>
    <row r="44328">
      <c r="H44328" t="s">
        <v>5117</v>
      </c>
    </row>
    <row r="44329">
      <c r="H44329" t="s">
        <v>5117</v>
      </c>
    </row>
    <row r="44330">
      <c r="H44330" t="s">
        <v>5117</v>
      </c>
    </row>
    <row r="44331">
      <c r="H44331" t="s">
        <v>5117</v>
      </c>
    </row>
    <row r="44332">
      <c r="H44332" t="s">
        <v>5117</v>
      </c>
    </row>
    <row r="44333">
      <c r="H44333" t="s">
        <v>5117</v>
      </c>
    </row>
    <row r="44334">
      <c r="H44334" t="s">
        <v>5117</v>
      </c>
    </row>
    <row r="44335">
      <c r="H44335" t="s">
        <v>5117</v>
      </c>
    </row>
    <row r="44336">
      <c r="H44336" t="s">
        <v>5117</v>
      </c>
    </row>
    <row r="44337">
      <c r="H44337" t="s">
        <v>5117</v>
      </c>
    </row>
    <row r="44338">
      <c r="H44338" t="s">
        <v>5117</v>
      </c>
    </row>
    <row r="44339">
      <c r="H44339" t="s">
        <v>5117</v>
      </c>
    </row>
    <row r="44340">
      <c r="H44340" t="s">
        <v>5117</v>
      </c>
    </row>
    <row r="44341">
      <c r="H44341" t="s">
        <v>5117</v>
      </c>
    </row>
    <row r="44342">
      <c r="H44342" t="s">
        <v>5117</v>
      </c>
    </row>
    <row r="44343">
      <c r="H44343" t="s">
        <v>5117</v>
      </c>
    </row>
    <row r="44344">
      <c r="H44344" t="s">
        <v>5117</v>
      </c>
    </row>
    <row r="44345">
      <c r="H44345" t="s">
        <v>5117</v>
      </c>
    </row>
    <row r="44346">
      <c r="H44346" t="s">
        <v>5117</v>
      </c>
    </row>
    <row r="44347">
      <c r="H44347" t="s">
        <v>5117</v>
      </c>
    </row>
    <row r="44348">
      <c r="H44348" t="s">
        <v>5117</v>
      </c>
    </row>
    <row r="44349">
      <c r="H44349" t="s">
        <v>5117</v>
      </c>
    </row>
    <row r="44350">
      <c r="H44350" t="s">
        <v>5117</v>
      </c>
    </row>
    <row r="44351">
      <c r="H44351" t="s">
        <v>5117</v>
      </c>
    </row>
    <row r="44352">
      <c r="H44352" t="s">
        <v>5117</v>
      </c>
    </row>
    <row r="44353">
      <c r="H44353" t="s">
        <v>5117</v>
      </c>
    </row>
    <row r="44354">
      <c r="H44354" t="s">
        <v>5117</v>
      </c>
    </row>
    <row r="44355">
      <c r="H44355" t="s">
        <v>5117</v>
      </c>
    </row>
    <row r="44356">
      <c r="H44356" t="s">
        <v>5117</v>
      </c>
    </row>
    <row r="44357">
      <c r="H44357" t="s">
        <v>5117</v>
      </c>
    </row>
    <row r="44358">
      <c r="H44358" t="s">
        <v>5117</v>
      </c>
    </row>
    <row r="44359">
      <c r="H44359" t="s">
        <v>5117</v>
      </c>
    </row>
    <row r="44360">
      <c r="H44360" t="s">
        <v>5117</v>
      </c>
    </row>
    <row r="44361">
      <c r="H44361" t="s">
        <v>5117</v>
      </c>
    </row>
    <row r="44362">
      <c r="H44362" t="s">
        <v>5117</v>
      </c>
    </row>
    <row r="44363">
      <c r="H44363" t="s">
        <v>5117</v>
      </c>
    </row>
    <row r="44364">
      <c r="H44364" t="s">
        <v>5117</v>
      </c>
    </row>
    <row r="44365">
      <c r="H44365" t="s">
        <v>5117</v>
      </c>
    </row>
    <row r="44366">
      <c r="H44366" t="s">
        <v>5117</v>
      </c>
    </row>
    <row r="44367">
      <c r="H44367" t="s">
        <v>5117</v>
      </c>
    </row>
    <row r="44368">
      <c r="H44368" t="s">
        <v>5117</v>
      </c>
    </row>
    <row r="44369">
      <c r="H44369" t="s">
        <v>5117</v>
      </c>
    </row>
    <row r="44370">
      <c r="H44370" t="s">
        <v>5117</v>
      </c>
    </row>
    <row r="44371">
      <c r="H44371" t="s">
        <v>5117</v>
      </c>
    </row>
    <row r="44372">
      <c r="H44372" t="s">
        <v>5117</v>
      </c>
    </row>
    <row r="44373">
      <c r="H44373" t="s">
        <v>5117</v>
      </c>
    </row>
    <row r="44374">
      <c r="H44374" t="s">
        <v>5117</v>
      </c>
    </row>
    <row r="44375">
      <c r="H44375" t="s">
        <v>5117</v>
      </c>
    </row>
    <row r="44376">
      <c r="H44376" t="s">
        <v>5117</v>
      </c>
    </row>
    <row r="44377">
      <c r="H44377" t="s">
        <v>5117</v>
      </c>
    </row>
    <row r="44378">
      <c r="H44378" t="s">
        <v>5117</v>
      </c>
    </row>
    <row r="44379">
      <c r="H44379" t="s">
        <v>5117</v>
      </c>
    </row>
    <row r="44380">
      <c r="H44380" t="s">
        <v>5117</v>
      </c>
    </row>
    <row r="44381">
      <c r="H44381" t="s">
        <v>5117</v>
      </c>
    </row>
    <row r="44382">
      <c r="H44382" t="s">
        <v>5117</v>
      </c>
    </row>
    <row r="44383">
      <c r="H44383" t="s">
        <v>5117</v>
      </c>
    </row>
    <row r="44384">
      <c r="H44384" t="s">
        <v>5117</v>
      </c>
    </row>
    <row r="44385">
      <c r="H44385" t="s">
        <v>5117</v>
      </c>
    </row>
    <row r="44386">
      <c r="H44386" t="s">
        <v>5117</v>
      </c>
    </row>
    <row r="44387">
      <c r="H44387" t="s">
        <v>5117</v>
      </c>
    </row>
    <row r="44388">
      <c r="H44388" t="s">
        <v>5117</v>
      </c>
    </row>
    <row r="44389">
      <c r="H44389" t="s">
        <v>5117</v>
      </c>
    </row>
    <row r="44390">
      <c r="H44390" t="s">
        <v>5117</v>
      </c>
    </row>
    <row r="44391">
      <c r="H44391" t="s">
        <v>5117</v>
      </c>
    </row>
    <row r="44392">
      <c r="H44392" t="s">
        <v>5117</v>
      </c>
    </row>
    <row r="44393">
      <c r="H44393" t="s">
        <v>5117</v>
      </c>
    </row>
    <row r="44394">
      <c r="H44394" t="s">
        <v>5117</v>
      </c>
    </row>
    <row r="44395">
      <c r="H44395" t="s">
        <v>5117</v>
      </c>
    </row>
    <row r="44396">
      <c r="H44396" t="s">
        <v>5117</v>
      </c>
    </row>
    <row r="44397">
      <c r="H44397" t="s">
        <v>5117</v>
      </c>
    </row>
    <row r="44398">
      <c r="H44398" t="s">
        <v>5117</v>
      </c>
    </row>
    <row r="44399">
      <c r="H44399" t="s">
        <v>5117</v>
      </c>
    </row>
    <row r="44400">
      <c r="H44400" t="s">
        <v>5117</v>
      </c>
    </row>
    <row r="44401">
      <c r="H44401" t="s">
        <v>5117</v>
      </c>
    </row>
    <row r="44402">
      <c r="H44402" t="s">
        <v>5117</v>
      </c>
    </row>
    <row r="44403">
      <c r="H44403" t="s">
        <v>5117</v>
      </c>
    </row>
    <row r="44404">
      <c r="H44404" t="s">
        <v>5117</v>
      </c>
    </row>
    <row r="44405">
      <c r="H44405" t="s">
        <v>5117</v>
      </c>
    </row>
    <row r="44406">
      <c r="H44406" t="s">
        <v>5117</v>
      </c>
    </row>
    <row r="44407">
      <c r="H44407" t="s">
        <v>5117</v>
      </c>
    </row>
    <row r="44408">
      <c r="H44408" t="s">
        <v>5117</v>
      </c>
    </row>
    <row r="44409">
      <c r="H44409" t="s">
        <v>5117</v>
      </c>
    </row>
    <row r="44410">
      <c r="H44410" t="s">
        <v>5117</v>
      </c>
    </row>
    <row r="44411">
      <c r="H44411" t="s">
        <v>5117</v>
      </c>
    </row>
    <row r="44412">
      <c r="H44412" t="s">
        <v>5117</v>
      </c>
    </row>
    <row r="44413">
      <c r="H44413" t="s">
        <v>5117</v>
      </c>
    </row>
    <row r="44414">
      <c r="H44414" t="s">
        <v>5117</v>
      </c>
    </row>
    <row r="44415">
      <c r="H44415" t="s">
        <v>5117</v>
      </c>
    </row>
    <row r="44416">
      <c r="H44416" t="s">
        <v>5117</v>
      </c>
    </row>
    <row r="44417">
      <c r="H44417" t="s">
        <v>5117</v>
      </c>
    </row>
    <row r="44418">
      <c r="H44418" t="s">
        <v>5117</v>
      </c>
    </row>
    <row r="44419">
      <c r="H44419" t="s">
        <v>5117</v>
      </c>
    </row>
    <row r="44420">
      <c r="H44420" t="s">
        <v>5117</v>
      </c>
    </row>
    <row r="44421">
      <c r="H44421" t="s">
        <v>5117</v>
      </c>
    </row>
    <row r="44422">
      <c r="H44422" t="s">
        <v>5117</v>
      </c>
    </row>
    <row r="44423">
      <c r="H44423" t="s">
        <v>5117</v>
      </c>
    </row>
    <row r="44424">
      <c r="H44424" t="s">
        <v>5117</v>
      </c>
    </row>
    <row r="44425">
      <c r="H44425" t="s">
        <v>5117</v>
      </c>
    </row>
    <row r="44426">
      <c r="H44426" t="s">
        <v>5117</v>
      </c>
    </row>
    <row r="44427">
      <c r="H44427" t="s">
        <v>5117</v>
      </c>
    </row>
    <row r="44428">
      <c r="H44428" t="s">
        <v>5117</v>
      </c>
    </row>
    <row r="44429">
      <c r="H44429" t="s">
        <v>5117</v>
      </c>
    </row>
    <row r="44430">
      <c r="H44430" t="s">
        <v>5117</v>
      </c>
    </row>
    <row r="44431">
      <c r="H44431" t="s">
        <v>5117</v>
      </c>
    </row>
    <row r="44432">
      <c r="H44432" t="s">
        <v>5117</v>
      </c>
    </row>
    <row r="44433">
      <c r="H44433" t="s">
        <v>5117</v>
      </c>
    </row>
    <row r="44434">
      <c r="H44434" t="s">
        <v>5117</v>
      </c>
    </row>
    <row r="44435">
      <c r="H44435" t="s">
        <v>5117</v>
      </c>
    </row>
    <row r="44436">
      <c r="H44436" t="s">
        <v>5117</v>
      </c>
    </row>
    <row r="44437">
      <c r="H44437" t="s">
        <v>5117</v>
      </c>
    </row>
    <row r="44438">
      <c r="H44438" t="s">
        <v>5117</v>
      </c>
    </row>
    <row r="44439">
      <c r="H44439" t="s">
        <v>5117</v>
      </c>
    </row>
    <row r="44440">
      <c r="H44440" t="s">
        <v>5117</v>
      </c>
    </row>
    <row r="44441">
      <c r="H44441" t="s">
        <v>5117</v>
      </c>
    </row>
    <row r="44442">
      <c r="H44442" t="s">
        <v>5117</v>
      </c>
    </row>
    <row r="44443">
      <c r="H44443" t="s">
        <v>5117</v>
      </c>
    </row>
    <row r="44444">
      <c r="H44444" t="s">
        <v>5117</v>
      </c>
    </row>
    <row r="44445">
      <c r="H44445" t="s">
        <v>5117</v>
      </c>
    </row>
    <row r="44446">
      <c r="H44446" t="s">
        <v>5117</v>
      </c>
    </row>
    <row r="44447">
      <c r="H44447" t="s">
        <v>5117</v>
      </c>
    </row>
    <row r="44448">
      <c r="H44448" t="s">
        <v>5117</v>
      </c>
    </row>
    <row r="44449">
      <c r="H44449" t="s">
        <v>5117</v>
      </c>
    </row>
    <row r="44450">
      <c r="H44450" t="s">
        <v>5117</v>
      </c>
    </row>
    <row r="44451">
      <c r="H44451" t="s">
        <v>5117</v>
      </c>
    </row>
    <row r="44452">
      <c r="H44452" t="s">
        <v>5117</v>
      </c>
    </row>
    <row r="44453">
      <c r="H44453" t="s">
        <v>5117</v>
      </c>
    </row>
    <row r="44454">
      <c r="H44454" t="s">
        <v>5117</v>
      </c>
    </row>
    <row r="44455">
      <c r="H44455" t="s">
        <v>5117</v>
      </c>
    </row>
    <row r="44456">
      <c r="H44456" t="s">
        <v>5117</v>
      </c>
    </row>
    <row r="44457">
      <c r="H44457" t="s">
        <v>5117</v>
      </c>
    </row>
    <row r="44458">
      <c r="H44458" t="s">
        <v>5117</v>
      </c>
    </row>
    <row r="44459">
      <c r="H44459" t="s">
        <v>5117</v>
      </c>
    </row>
    <row r="44460">
      <c r="H44460" t="s">
        <v>5117</v>
      </c>
    </row>
    <row r="44461">
      <c r="H44461" t="s">
        <v>5117</v>
      </c>
    </row>
    <row r="44462">
      <c r="H44462" t="s">
        <v>5117</v>
      </c>
    </row>
    <row r="44463">
      <c r="H44463" t="s">
        <v>5117</v>
      </c>
    </row>
    <row r="44464">
      <c r="H44464" t="s">
        <v>5117</v>
      </c>
    </row>
    <row r="44465">
      <c r="H44465" t="s">
        <v>5117</v>
      </c>
    </row>
    <row r="44466">
      <c r="H44466" t="s">
        <v>5117</v>
      </c>
    </row>
    <row r="44467">
      <c r="H44467" t="s">
        <v>5117</v>
      </c>
    </row>
    <row r="44468">
      <c r="H44468" t="s">
        <v>5117</v>
      </c>
    </row>
    <row r="44469">
      <c r="H44469" t="s">
        <v>5117</v>
      </c>
    </row>
    <row r="44470">
      <c r="H44470" t="s">
        <v>5117</v>
      </c>
    </row>
    <row r="44471">
      <c r="H44471" t="s">
        <v>5117</v>
      </c>
    </row>
    <row r="44472">
      <c r="H44472" t="s">
        <v>5117</v>
      </c>
    </row>
    <row r="44473">
      <c r="H44473" t="s">
        <v>5117</v>
      </c>
    </row>
    <row r="44474">
      <c r="H44474" t="s">
        <v>5117</v>
      </c>
    </row>
    <row r="44475">
      <c r="H44475" t="s">
        <v>5117</v>
      </c>
    </row>
    <row r="44476">
      <c r="H44476" t="s">
        <v>5117</v>
      </c>
    </row>
    <row r="44477">
      <c r="H44477" t="s">
        <v>5117</v>
      </c>
    </row>
    <row r="44478">
      <c r="H44478" t="s">
        <v>5117</v>
      </c>
    </row>
    <row r="44479">
      <c r="H44479" t="s">
        <v>5117</v>
      </c>
    </row>
    <row r="44480">
      <c r="H44480" t="s">
        <v>5117</v>
      </c>
    </row>
    <row r="44481">
      <c r="H44481" t="s">
        <v>5117</v>
      </c>
    </row>
    <row r="44482">
      <c r="H44482" t="s">
        <v>5117</v>
      </c>
    </row>
    <row r="44483">
      <c r="H44483" t="s">
        <v>5117</v>
      </c>
    </row>
    <row r="44484">
      <c r="H44484" t="s">
        <v>5117</v>
      </c>
    </row>
    <row r="44485">
      <c r="H44485" t="s">
        <v>5117</v>
      </c>
    </row>
    <row r="44486">
      <c r="H44486" t="s">
        <v>5117</v>
      </c>
    </row>
    <row r="44487">
      <c r="H44487" t="s">
        <v>5117</v>
      </c>
    </row>
    <row r="44488">
      <c r="H44488" t="s">
        <v>5117</v>
      </c>
    </row>
    <row r="44489">
      <c r="H44489" t="s">
        <v>5117</v>
      </c>
    </row>
    <row r="44490">
      <c r="H44490" t="s">
        <v>5117</v>
      </c>
    </row>
    <row r="44491">
      <c r="H44491" t="s">
        <v>5117</v>
      </c>
    </row>
    <row r="44492">
      <c r="H44492" t="s">
        <v>5117</v>
      </c>
    </row>
    <row r="44493">
      <c r="H44493" t="s">
        <v>5117</v>
      </c>
    </row>
    <row r="44494">
      <c r="H44494" t="s">
        <v>5117</v>
      </c>
    </row>
    <row r="44495">
      <c r="H44495" t="s">
        <v>5117</v>
      </c>
    </row>
    <row r="44496">
      <c r="H44496" t="s">
        <v>5117</v>
      </c>
    </row>
    <row r="44497">
      <c r="H44497" t="s">
        <v>5117</v>
      </c>
    </row>
    <row r="44498">
      <c r="H44498" t="s">
        <v>5117</v>
      </c>
    </row>
    <row r="44499">
      <c r="H44499" t="s">
        <v>5117</v>
      </c>
    </row>
    <row r="44500">
      <c r="H44500" t="s">
        <v>5117</v>
      </c>
    </row>
    <row r="44501">
      <c r="H44501" t="s">
        <v>5117</v>
      </c>
    </row>
    <row r="44502">
      <c r="H44502" t="s">
        <v>5117</v>
      </c>
    </row>
    <row r="44503">
      <c r="H44503" t="s">
        <v>5117</v>
      </c>
    </row>
    <row r="44504">
      <c r="H44504" t="s">
        <v>5117</v>
      </c>
    </row>
    <row r="44505">
      <c r="H44505" t="s">
        <v>5117</v>
      </c>
    </row>
    <row r="44506">
      <c r="H44506" t="s">
        <v>5117</v>
      </c>
    </row>
    <row r="44507">
      <c r="H44507" t="s">
        <v>5117</v>
      </c>
    </row>
    <row r="44508">
      <c r="H44508" t="s">
        <v>5117</v>
      </c>
    </row>
    <row r="44509">
      <c r="H44509" t="s">
        <v>5117</v>
      </c>
    </row>
    <row r="44510">
      <c r="H44510" t="s">
        <v>5117</v>
      </c>
    </row>
    <row r="44511">
      <c r="H44511" t="s">
        <v>5117</v>
      </c>
    </row>
    <row r="44512">
      <c r="H44512" t="s">
        <v>5117</v>
      </c>
    </row>
    <row r="44513">
      <c r="H44513" t="s">
        <v>5117</v>
      </c>
    </row>
    <row r="44514">
      <c r="H44514" t="s">
        <v>5117</v>
      </c>
    </row>
    <row r="44515">
      <c r="H44515" t="s">
        <v>5117</v>
      </c>
    </row>
    <row r="44516">
      <c r="H44516" t="s">
        <v>5117</v>
      </c>
    </row>
    <row r="44517">
      <c r="H44517" t="s">
        <v>5117</v>
      </c>
    </row>
    <row r="44518">
      <c r="H44518" t="s">
        <v>5117</v>
      </c>
    </row>
    <row r="44519">
      <c r="H44519" t="s">
        <v>5117</v>
      </c>
    </row>
    <row r="44520">
      <c r="H44520" t="s">
        <v>5117</v>
      </c>
    </row>
    <row r="44521">
      <c r="H44521" t="s">
        <v>5117</v>
      </c>
    </row>
    <row r="44522">
      <c r="H44522" t="s">
        <v>5117</v>
      </c>
    </row>
    <row r="44523">
      <c r="H44523" t="s">
        <v>5117</v>
      </c>
    </row>
    <row r="44524">
      <c r="H44524" t="s">
        <v>5117</v>
      </c>
    </row>
    <row r="44525">
      <c r="H44525" t="s">
        <v>5117</v>
      </c>
    </row>
    <row r="44526">
      <c r="H44526" t="s">
        <v>5117</v>
      </c>
    </row>
    <row r="44527">
      <c r="H44527" t="s">
        <v>5117</v>
      </c>
    </row>
    <row r="44528">
      <c r="H44528" t="s">
        <v>5117</v>
      </c>
    </row>
    <row r="44529">
      <c r="H44529" t="s">
        <v>5117</v>
      </c>
    </row>
    <row r="44530">
      <c r="H44530" t="s">
        <v>5117</v>
      </c>
    </row>
    <row r="44531">
      <c r="H44531" t="s">
        <v>5117</v>
      </c>
    </row>
    <row r="44532">
      <c r="H44532" t="s">
        <v>5117</v>
      </c>
    </row>
    <row r="44533">
      <c r="H44533" t="s">
        <v>5117</v>
      </c>
    </row>
    <row r="44534">
      <c r="H44534" t="s">
        <v>5117</v>
      </c>
    </row>
    <row r="44535">
      <c r="H44535" t="s">
        <v>5117</v>
      </c>
    </row>
    <row r="44536">
      <c r="H44536" t="s">
        <v>5117</v>
      </c>
    </row>
    <row r="44537">
      <c r="H44537" t="s">
        <v>5117</v>
      </c>
    </row>
    <row r="44538">
      <c r="H44538" t="s">
        <v>5117</v>
      </c>
    </row>
    <row r="44539">
      <c r="H44539" t="s">
        <v>5117</v>
      </c>
    </row>
    <row r="44540">
      <c r="H44540" t="s">
        <v>5117</v>
      </c>
    </row>
    <row r="44541">
      <c r="H44541" t="s">
        <v>5117</v>
      </c>
    </row>
    <row r="44542">
      <c r="H44542" t="s">
        <v>5117</v>
      </c>
    </row>
    <row r="44543">
      <c r="H44543" t="s">
        <v>5117</v>
      </c>
    </row>
    <row r="44544">
      <c r="H44544" t="s">
        <v>5117</v>
      </c>
    </row>
    <row r="44545">
      <c r="H44545" t="s">
        <v>5117</v>
      </c>
    </row>
    <row r="44546">
      <c r="H44546" t="s">
        <v>5117</v>
      </c>
    </row>
    <row r="44547">
      <c r="H44547" t="s">
        <v>5117</v>
      </c>
    </row>
    <row r="44548">
      <c r="H44548" t="s">
        <v>5117</v>
      </c>
    </row>
    <row r="44549">
      <c r="H44549" t="s">
        <v>5117</v>
      </c>
    </row>
    <row r="44550">
      <c r="H44550" t="s">
        <v>5117</v>
      </c>
    </row>
    <row r="44551">
      <c r="H44551" t="s">
        <v>5117</v>
      </c>
    </row>
    <row r="44552">
      <c r="H44552" t="s">
        <v>5117</v>
      </c>
    </row>
    <row r="44553">
      <c r="H44553" t="s">
        <v>5117</v>
      </c>
    </row>
    <row r="44554">
      <c r="H44554" t="s">
        <v>5117</v>
      </c>
    </row>
    <row r="44555">
      <c r="H44555" t="s">
        <v>5117</v>
      </c>
    </row>
    <row r="44556">
      <c r="H44556" t="s">
        <v>5117</v>
      </c>
    </row>
    <row r="44557">
      <c r="H44557" t="s">
        <v>5117</v>
      </c>
    </row>
    <row r="44558">
      <c r="H44558" t="s">
        <v>5117</v>
      </c>
    </row>
    <row r="44559">
      <c r="H44559" t="s">
        <v>5117</v>
      </c>
    </row>
    <row r="44560">
      <c r="H44560" t="s">
        <v>5117</v>
      </c>
    </row>
    <row r="44561">
      <c r="H44561" t="s">
        <v>5117</v>
      </c>
    </row>
    <row r="44562">
      <c r="H44562" t="s">
        <v>5117</v>
      </c>
    </row>
    <row r="44563">
      <c r="H44563" t="s">
        <v>5117</v>
      </c>
    </row>
    <row r="44564">
      <c r="H44564" t="s">
        <v>5117</v>
      </c>
    </row>
    <row r="44565">
      <c r="H44565" t="s">
        <v>5117</v>
      </c>
    </row>
    <row r="44566">
      <c r="H44566" t="s">
        <v>5117</v>
      </c>
    </row>
    <row r="44567">
      <c r="H44567" t="s">
        <v>5117</v>
      </c>
    </row>
    <row r="44568">
      <c r="H44568" t="s">
        <v>5117</v>
      </c>
    </row>
    <row r="44569">
      <c r="H44569" t="s">
        <v>5117</v>
      </c>
    </row>
    <row r="44570">
      <c r="H44570" t="s">
        <v>5117</v>
      </c>
    </row>
    <row r="44571">
      <c r="H44571" t="s">
        <v>5117</v>
      </c>
    </row>
    <row r="44572">
      <c r="H44572" t="s">
        <v>5117</v>
      </c>
    </row>
    <row r="44573">
      <c r="H44573" t="s">
        <v>5117</v>
      </c>
    </row>
    <row r="44574">
      <c r="H44574" t="s">
        <v>5117</v>
      </c>
    </row>
    <row r="44575">
      <c r="H44575" t="s">
        <v>5117</v>
      </c>
    </row>
    <row r="44576">
      <c r="H44576" t="s">
        <v>5117</v>
      </c>
    </row>
    <row r="44577">
      <c r="H44577" t="s">
        <v>5117</v>
      </c>
    </row>
    <row r="44578">
      <c r="H44578" t="s">
        <v>5117</v>
      </c>
    </row>
    <row r="44579">
      <c r="H44579" t="s">
        <v>5117</v>
      </c>
    </row>
    <row r="44580">
      <c r="H44580" t="s">
        <v>5117</v>
      </c>
    </row>
    <row r="44581">
      <c r="H44581" t="s">
        <v>5117</v>
      </c>
    </row>
    <row r="44582">
      <c r="H44582" t="s">
        <v>5117</v>
      </c>
    </row>
    <row r="44583">
      <c r="H44583" t="s">
        <v>5117</v>
      </c>
    </row>
    <row r="44584">
      <c r="H44584" t="s">
        <v>5117</v>
      </c>
    </row>
    <row r="44585">
      <c r="H44585" t="s">
        <v>5117</v>
      </c>
    </row>
    <row r="44586">
      <c r="H44586" t="s">
        <v>5117</v>
      </c>
    </row>
    <row r="44587">
      <c r="H44587" t="s">
        <v>5117</v>
      </c>
    </row>
    <row r="44588">
      <c r="H44588" t="s">
        <v>5117</v>
      </c>
    </row>
    <row r="44589">
      <c r="H44589" t="s">
        <v>5117</v>
      </c>
    </row>
    <row r="44590">
      <c r="H44590" t="s">
        <v>5117</v>
      </c>
    </row>
    <row r="44591">
      <c r="H44591" t="s">
        <v>5117</v>
      </c>
    </row>
    <row r="44592">
      <c r="H44592" t="s">
        <v>5117</v>
      </c>
    </row>
    <row r="44593">
      <c r="H44593" t="s">
        <v>5117</v>
      </c>
    </row>
    <row r="44594">
      <c r="H44594" t="s">
        <v>5117</v>
      </c>
    </row>
    <row r="44595">
      <c r="H44595" t="s">
        <v>5117</v>
      </c>
    </row>
    <row r="44596">
      <c r="H44596" t="s">
        <v>5117</v>
      </c>
    </row>
    <row r="44597">
      <c r="H44597" t="s">
        <v>5117</v>
      </c>
    </row>
    <row r="44598">
      <c r="H44598" t="s">
        <v>5117</v>
      </c>
    </row>
    <row r="44599">
      <c r="H44599" t="s">
        <v>5117</v>
      </c>
    </row>
    <row r="44600">
      <c r="H44600" t="s">
        <v>5117</v>
      </c>
    </row>
    <row r="44601">
      <c r="H44601" t="s">
        <v>5117</v>
      </c>
    </row>
    <row r="44602">
      <c r="H44602" t="s">
        <v>5117</v>
      </c>
    </row>
    <row r="44603">
      <c r="H44603" t="s">
        <v>5117</v>
      </c>
    </row>
    <row r="44604">
      <c r="H44604" t="s">
        <v>5117</v>
      </c>
    </row>
    <row r="44605">
      <c r="H44605" t="s">
        <v>5117</v>
      </c>
    </row>
    <row r="44606">
      <c r="H44606" t="s">
        <v>5117</v>
      </c>
    </row>
    <row r="44607">
      <c r="H44607" t="s">
        <v>5117</v>
      </c>
    </row>
    <row r="44608">
      <c r="H44608" t="s">
        <v>5117</v>
      </c>
    </row>
    <row r="44609">
      <c r="H44609" t="s">
        <v>5117</v>
      </c>
    </row>
    <row r="44610">
      <c r="H44610" t="s">
        <v>5117</v>
      </c>
    </row>
    <row r="44611">
      <c r="H44611" t="s">
        <v>5117</v>
      </c>
    </row>
    <row r="44612">
      <c r="H44612" t="s">
        <v>5117</v>
      </c>
    </row>
    <row r="44613">
      <c r="H44613" t="s">
        <v>5117</v>
      </c>
    </row>
    <row r="44614">
      <c r="H44614" t="s">
        <v>5117</v>
      </c>
    </row>
    <row r="44615">
      <c r="H44615" t="s">
        <v>5117</v>
      </c>
    </row>
    <row r="44616">
      <c r="H44616" t="s">
        <v>5117</v>
      </c>
    </row>
    <row r="44617">
      <c r="H44617" t="s">
        <v>5117</v>
      </c>
    </row>
    <row r="44618">
      <c r="H44618" t="s">
        <v>5117</v>
      </c>
    </row>
    <row r="44619">
      <c r="H44619" t="s">
        <v>5117</v>
      </c>
    </row>
    <row r="44620">
      <c r="H44620" t="s">
        <v>5117</v>
      </c>
    </row>
    <row r="44621">
      <c r="H44621" t="s">
        <v>5117</v>
      </c>
    </row>
    <row r="44622">
      <c r="H44622" t="s">
        <v>5117</v>
      </c>
    </row>
    <row r="44623">
      <c r="H44623" t="s">
        <v>5117</v>
      </c>
    </row>
    <row r="44624">
      <c r="H44624" t="s">
        <v>5117</v>
      </c>
    </row>
    <row r="44625">
      <c r="H44625" t="s">
        <v>5117</v>
      </c>
    </row>
    <row r="44626">
      <c r="H44626" t="s">
        <v>5117</v>
      </c>
    </row>
    <row r="44627">
      <c r="H44627" t="s">
        <v>5117</v>
      </c>
    </row>
    <row r="44628">
      <c r="H44628" t="s">
        <v>5117</v>
      </c>
    </row>
    <row r="44629">
      <c r="H44629" t="s">
        <v>5117</v>
      </c>
    </row>
    <row r="44630">
      <c r="H44630" t="s">
        <v>5117</v>
      </c>
    </row>
    <row r="44631">
      <c r="H44631" t="s">
        <v>5117</v>
      </c>
    </row>
    <row r="44632">
      <c r="H44632" t="s">
        <v>5117</v>
      </c>
    </row>
    <row r="44633">
      <c r="H44633" t="s">
        <v>5117</v>
      </c>
    </row>
    <row r="44634">
      <c r="H44634" t="s">
        <v>5117</v>
      </c>
    </row>
    <row r="44635">
      <c r="H44635" t="s">
        <v>5117</v>
      </c>
    </row>
    <row r="44636">
      <c r="H44636" t="s">
        <v>5117</v>
      </c>
    </row>
    <row r="44637">
      <c r="H44637" t="s">
        <v>5117</v>
      </c>
    </row>
    <row r="44638">
      <c r="H44638" t="s">
        <v>5117</v>
      </c>
    </row>
    <row r="44639">
      <c r="H44639" t="s">
        <v>5117</v>
      </c>
    </row>
    <row r="44640">
      <c r="H44640" t="s">
        <v>5117</v>
      </c>
    </row>
    <row r="44641">
      <c r="H44641" t="s">
        <v>5117</v>
      </c>
    </row>
    <row r="44642">
      <c r="H44642" t="s">
        <v>5117</v>
      </c>
    </row>
    <row r="44643">
      <c r="H44643" t="s">
        <v>5117</v>
      </c>
    </row>
    <row r="44644">
      <c r="H44644" t="s">
        <v>5117</v>
      </c>
    </row>
    <row r="44645">
      <c r="H44645" t="s">
        <v>5117</v>
      </c>
    </row>
    <row r="44646">
      <c r="H44646" t="s">
        <v>5117</v>
      </c>
    </row>
    <row r="44647">
      <c r="H44647" t="s">
        <v>5117</v>
      </c>
    </row>
    <row r="44648">
      <c r="H44648" t="s">
        <v>5117</v>
      </c>
    </row>
    <row r="44649">
      <c r="H44649" t="s">
        <v>5117</v>
      </c>
    </row>
    <row r="44650">
      <c r="H44650" t="s">
        <v>5117</v>
      </c>
    </row>
    <row r="44651">
      <c r="H44651" t="s">
        <v>5117</v>
      </c>
    </row>
    <row r="44652">
      <c r="H44652" t="s">
        <v>5117</v>
      </c>
    </row>
    <row r="44653">
      <c r="H44653" t="s">
        <v>5117</v>
      </c>
    </row>
    <row r="44654">
      <c r="H44654" t="s">
        <v>5117</v>
      </c>
    </row>
    <row r="44655">
      <c r="H44655" t="s">
        <v>5117</v>
      </c>
    </row>
    <row r="44656">
      <c r="H44656" t="s">
        <v>5117</v>
      </c>
    </row>
    <row r="44657">
      <c r="H44657" t="s">
        <v>5117</v>
      </c>
    </row>
    <row r="44658">
      <c r="H44658" t="s">
        <v>5117</v>
      </c>
    </row>
    <row r="44659">
      <c r="H44659" t="s">
        <v>5117</v>
      </c>
    </row>
    <row r="44660">
      <c r="H44660" t="s">
        <v>5117</v>
      </c>
    </row>
    <row r="44661">
      <c r="H44661" t="s">
        <v>5117</v>
      </c>
    </row>
    <row r="44662">
      <c r="H44662" t="s">
        <v>5117</v>
      </c>
    </row>
    <row r="44663">
      <c r="H44663" t="s">
        <v>5117</v>
      </c>
    </row>
    <row r="44664">
      <c r="H44664" t="s">
        <v>5117</v>
      </c>
    </row>
    <row r="44665">
      <c r="H44665" t="s">
        <v>5117</v>
      </c>
    </row>
    <row r="44666">
      <c r="H44666" t="s">
        <v>5117</v>
      </c>
    </row>
    <row r="44667">
      <c r="H44667" t="s">
        <v>5117</v>
      </c>
    </row>
    <row r="44668">
      <c r="H44668" t="s">
        <v>5117</v>
      </c>
    </row>
    <row r="44669">
      <c r="H44669" t="s">
        <v>5117</v>
      </c>
    </row>
    <row r="44670">
      <c r="H44670" t="s">
        <v>5117</v>
      </c>
    </row>
    <row r="44671">
      <c r="H44671" t="s">
        <v>5117</v>
      </c>
    </row>
    <row r="44672">
      <c r="H44672" t="s">
        <v>5117</v>
      </c>
    </row>
    <row r="44673">
      <c r="H44673" t="s">
        <v>5117</v>
      </c>
    </row>
    <row r="44674">
      <c r="H44674" t="s">
        <v>5117</v>
      </c>
    </row>
    <row r="44675">
      <c r="H44675" t="s">
        <v>5117</v>
      </c>
    </row>
    <row r="44676">
      <c r="H44676" t="s">
        <v>5117</v>
      </c>
    </row>
    <row r="44677">
      <c r="H44677" t="s">
        <v>5117</v>
      </c>
    </row>
    <row r="44678">
      <c r="H44678" t="s">
        <v>5117</v>
      </c>
    </row>
    <row r="44679">
      <c r="H44679" t="s">
        <v>5117</v>
      </c>
    </row>
    <row r="44680">
      <c r="H44680" t="s">
        <v>5117</v>
      </c>
    </row>
    <row r="44681">
      <c r="H44681" t="s">
        <v>5117</v>
      </c>
    </row>
    <row r="44682">
      <c r="H44682" t="s">
        <v>5117</v>
      </c>
    </row>
    <row r="44683">
      <c r="H44683" t="s">
        <v>5117</v>
      </c>
    </row>
    <row r="44684">
      <c r="H44684" t="s">
        <v>5117</v>
      </c>
    </row>
    <row r="44685">
      <c r="H44685" t="s">
        <v>5117</v>
      </c>
    </row>
    <row r="44686">
      <c r="H44686" t="s">
        <v>5117</v>
      </c>
    </row>
    <row r="44687">
      <c r="H44687" t="s">
        <v>5117</v>
      </c>
    </row>
    <row r="44688">
      <c r="H44688" t="s">
        <v>5117</v>
      </c>
    </row>
    <row r="44689">
      <c r="H44689" t="s">
        <v>5117</v>
      </c>
    </row>
    <row r="44690">
      <c r="H44690" t="s">
        <v>5117</v>
      </c>
    </row>
    <row r="44691">
      <c r="H44691" t="s">
        <v>5117</v>
      </c>
    </row>
    <row r="44692">
      <c r="H44692" t="s">
        <v>5117</v>
      </c>
    </row>
    <row r="44693">
      <c r="H44693" t="s">
        <v>5117</v>
      </c>
    </row>
    <row r="44694">
      <c r="H44694" t="s">
        <v>5117</v>
      </c>
    </row>
    <row r="44695">
      <c r="H44695" t="s">
        <v>5117</v>
      </c>
    </row>
    <row r="44696">
      <c r="H44696" t="s">
        <v>5117</v>
      </c>
    </row>
    <row r="44697">
      <c r="H44697" t="s">
        <v>5117</v>
      </c>
    </row>
    <row r="44698">
      <c r="H44698" t="s">
        <v>5117</v>
      </c>
    </row>
    <row r="44699">
      <c r="H44699" t="s">
        <v>5117</v>
      </c>
    </row>
    <row r="44700">
      <c r="H44700" t="s">
        <v>5117</v>
      </c>
    </row>
    <row r="44701">
      <c r="H44701" t="s">
        <v>5117</v>
      </c>
    </row>
    <row r="44702">
      <c r="H44702" t="s">
        <v>5117</v>
      </c>
    </row>
    <row r="44703">
      <c r="H44703" t="s">
        <v>5117</v>
      </c>
    </row>
    <row r="44704">
      <c r="H44704" t="s">
        <v>5117</v>
      </c>
    </row>
    <row r="44705">
      <c r="H44705" t="s">
        <v>5117</v>
      </c>
    </row>
    <row r="44706">
      <c r="H44706" t="s">
        <v>5117</v>
      </c>
    </row>
    <row r="44707">
      <c r="H44707" t="s">
        <v>5117</v>
      </c>
    </row>
    <row r="44708">
      <c r="H44708" t="s">
        <v>5117</v>
      </c>
    </row>
    <row r="44709">
      <c r="H44709" t="s">
        <v>5117</v>
      </c>
    </row>
    <row r="44710">
      <c r="H44710" t="s">
        <v>5117</v>
      </c>
    </row>
    <row r="44711">
      <c r="H44711" t="s">
        <v>5117</v>
      </c>
    </row>
    <row r="44712">
      <c r="H44712" t="s">
        <v>5117</v>
      </c>
    </row>
    <row r="44713">
      <c r="H44713" t="s">
        <v>5117</v>
      </c>
    </row>
    <row r="44714">
      <c r="H44714" t="s">
        <v>5117</v>
      </c>
    </row>
    <row r="44715">
      <c r="H44715" t="s">
        <v>5117</v>
      </c>
    </row>
    <row r="44716">
      <c r="H44716" t="s">
        <v>5117</v>
      </c>
    </row>
    <row r="44717">
      <c r="H44717" t="s">
        <v>5117</v>
      </c>
    </row>
    <row r="44718">
      <c r="H44718" t="s">
        <v>5117</v>
      </c>
    </row>
    <row r="44719">
      <c r="H44719" t="s">
        <v>5117</v>
      </c>
    </row>
    <row r="44720">
      <c r="H44720" t="s">
        <v>5117</v>
      </c>
    </row>
    <row r="44721">
      <c r="H44721" t="s">
        <v>5117</v>
      </c>
    </row>
    <row r="44722">
      <c r="H44722" t="s">
        <v>5117</v>
      </c>
    </row>
    <row r="44723">
      <c r="H44723" t="s">
        <v>5117</v>
      </c>
    </row>
    <row r="44724">
      <c r="H44724" t="s">
        <v>5117</v>
      </c>
    </row>
    <row r="44725">
      <c r="H44725" t="s">
        <v>5117</v>
      </c>
    </row>
    <row r="44726">
      <c r="H44726" t="s">
        <v>5117</v>
      </c>
    </row>
    <row r="44727">
      <c r="H44727" t="s">
        <v>5117</v>
      </c>
    </row>
    <row r="44728">
      <c r="H44728" t="s">
        <v>5117</v>
      </c>
    </row>
    <row r="44729">
      <c r="H44729" t="s">
        <v>5117</v>
      </c>
    </row>
    <row r="44730">
      <c r="H44730" t="s">
        <v>5117</v>
      </c>
    </row>
    <row r="44731">
      <c r="H44731" t="s">
        <v>5117</v>
      </c>
    </row>
    <row r="44732">
      <c r="H44732" t="s">
        <v>5117</v>
      </c>
    </row>
    <row r="44733">
      <c r="H44733" t="s">
        <v>5117</v>
      </c>
    </row>
    <row r="44734">
      <c r="H44734" t="s">
        <v>5117</v>
      </c>
    </row>
    <row r="44735">
      <c r="H44735" t="s">
        <v>5117</v>
      </c>
    </row>
    <row r="44736">
      <c r="H44736" t="s">
        <v>5117</v>
      </c>
    </row>
    <row r="44737">
      <c r="H44737" t="s">
        <v>5117</v>
      </c>
    </row>
    <row r="44738">
      <c r="H44738" t="s">
        <v>5117</v>
      </c>
    </row>
    <row r="44739">
      <c r="H44739" t="s">
        <v>5117</v>
      </c>
    </row>
    <row r="44740">
      <c r="H44740" t="s">
        <v>5117</v>
      </c>
    </row>
    <row r="44741">
      <c r="H44741" t="s">
        <v>5117</v>
      </c>
    </row>
    <row r="44742">
      <c r="H44742" t="s">
        <v>5117</v>
      </c>
    </row>
    <row r="44743">
      <c r="H44743" t="s">
        <v>5117</v>
      </c>
    </row>
    <row r="44744">
      <c r="H44744" t="s">
        <v>5117</v>
      </c>
    </row>
    <row r="44745">
      <c r="H44745" t="s">
        <v>5117</v>
      </c>
    </row>
    <row r="44746">
      <c r="H44746" t="s">
        <v>5117</v>
      </c>
    </row>
    <row r="44747">
      <c r="H44747" t="s">
        <v>5117</v>
      </c>
    </row>
    <row r="44748">
      <c r="H44748" t="s">
        <v>5117</v>
      </c>
    </row>
    <row r="44749">
      <c r="H44749" t="s">
        <v>5117</v>
      </c>
    </row>
    <row r="44750">
      <c r="H44750" t="s">
        <v>5117</v>
      </c>
    </row>
    <row r="44751">
      <c r="H44751" t="s">
        <v>5117</v>
      </c>
    </row>
    <row r="44752">
      <c r="H44752" t="s">
        <v>5117</v>
      </c>
    </row>
    <row r="44753">
      <c r="H44753" t="s">
        <v>5117</v>
      </c>
    </row>
    <row r="44754">
      <c r="H44754" t="s">
        <v>5117</v>
      </c>
    </row>
    <row r="44755">
      <c r="H44755" t="s">
        <v>5117</v>
      </c>
    </row>
    <row r="44756">
      <c r="H44756" t="s">
        <v>5117</v>
      </c>
    </row>
    <row r="44757">
      <c r="H44757" t="s">
        <v>5117</v>
      </c>
    </row>
    <row r="44758">
      <c r="H44758" t="s">
        <v>5117</v>
      </c>
    </row>
    <row r="44759">
      <c r="H44759" t="s">
        <v>5117</v>
      </c>
    </row>
    <row r="44760">
      <c r="H44760" t="s">
        <v>5117</v>
      </c>
    </row>
    <row r="44761">
      <c r="H44761" t="s">
        <v>5117</v>
      </c>
    </row>
    <row r="44762">
      <c r="H44762" t="s">
        <v>5117</v>
      </c>
    </row>
    <row r="44763">
      <c r="H44763" t="s">
        <v>5117</v>
      </c>
    </row>
    <row r="44764">
      <c r="H44764" t="s">
        <v>5117</v>
      </c>
    </row>
    <row r="44765">
      <c r="H44765" t="s">
        <v>5117</v>
      </c>
    </row>
    <row r="44766">
      <c r="H44766" t="s">
        <v>5117</v>
      </c>
    </row>
    <row r="44767">
      <c r="H44767" t="s">
        <v>5117</v>
      </c>
    </row>
    <row r="44768">
      <c r="H44768" t="s">
        <v>5117</v>
      </c>
    </row>
    <row r="44769">
      <c r="H44769" t="s">
        <v>5117</v>
      </c>
    </row>
    <row r="44770">
      <c r="H44770" t="s">
        <v>5117</v>
      </c>
    </row>
    <row r="44771">
      <c r="H44771" t="s">
        <v>5117</v>
      </c>
    </row>
    <row r="44772">
      <c r="H44772" t="s">
        <v>5117</v>
      </c>
    </row>
    <row r="44773">
      <c r="H44773" t="s">
        <v>5117</v>
      </c>
    </row>
    <row r="44774">
      <c r="H44774" t="s">
        <v>5117</v>
      </c>
    </row>
    <row r="44775">
      <c r="H44775" t="s">
        <v>5117</v>
      </c>
    </row>
    <row r="44776">
      <c r="H44776" t="s">
        <v>5117</v>
      </c>
    </row>
    <row r="44777">
      <c r="H44777" t="s">
        <v>5117</v>
      </c>
    </row>
    <row r="44778">
      <c r="H44778" t="s">
        <v>5117</v>
      </c>
    </row>
    <row r="44779">
      <c r="H44779" t="s">
        <v>5117</v>
      </c>
    </row>
    <row r="44780">
      <c r="H44780" t="s">
        <v>5117</v>
      </c>
    </row>
    <row r="44781">
      <c r="H44781" t="s">
        <v>5117</v>
      </c>
    </row>
    <row r="44782">
      <c r="H44782" t="s">
        <v>5117</v>
      </c>
    </row>
    <row r="44783">
      <c r="H44783" t="s">
        <v>5117</v>
      </c>
    </row>
    <row r="44784">
      <c r="H44784" t="s">
        <v>5117</v>
      </c>
    </row>
    <row r="44785">
      <c r="H44785" t="s">
        <v>5117</v>
      </c>
    </row>
    <row r="44786">
      <c r="H44786" t="s">
        <v>5117</v>
      </c>
    </row>
    <row r="44787">
      <c r="H44787" t="s">
        <v>5117</v>
      </c>
    </row>
    <row r="44788">
      <c r="H44788" t="s">
        <v>5117</v>
      </c>
    </row>
    <row r="44789">
      <c r="H44789" t="s">
        <v>5117</v>
      </c>
    </row>
    <row r="44790">
      <c r="H44790" t="s">
        <v>5117</v>
      </c>
    </row>
    <row r="44791">
      <c r="H44791" t="s">
        <v>5117</v>
      </c>
    </row>
    <row r="44792">
      <c r="H44792" t="s">
        <v>5117</v>
      </c>
    </row>
    <row r="44793">
      <c r="H44793" t="s">
        <v>5117</v>
      </c>
    </row>
    <row r="44794">
      <c r="H44794" t="s">
        <v>5117</v>
      </c>
    </row>
    <row r="44795">
      <c r="H44795" t="s">
        <v>5117</v>
      </c>
    </row>
    <row r="44796">
      <c r="H44796" t="s">
        <v>5117</v>
      </c>
    </row>
    <row r="44797">
      <c r="H44797" t="s">
        <v>5117</v>
      </c>
    </row>
    <row r="44798">
      <c r="H44798" t="s">
        <v>5117</v>
      </c>
    </row>
    <row r="44799">
      <c r="H44799" t="s">
        <v>5117</v>
      </c>
    </row>
    <row r="44800">
      <c r="H44800" t="s">
        <v>5117</v>
      </c>
    </row>
    <row r="44801">
      <c r="H44801" t="s">
        <v>5117</v>
      </c>
    </row>
    <row r="44802">
      <c r="H44802" t="s">
        <v>5117</v>
      </c>
    </row>
    <row r="44803">
      <c r="H44803" t="s">
        <v>5117</v>
      </c>
    </row>
    <row r="44804">
      <c r="H44804" t="s">
        <v>5117</v>
      </c>
    </row>
    <row r="44805">
      <c r="H44805" t="s">
        <v>5117</v>
      </c>
    </row>
    <row r="44806">
      <c r="H44806" t="s">
        <v>5117</v>
      </c>
    </row>
    <row r="44807">
      <c r="H44807" t="s">
        <v>5117</v>
      </c>
    </row>
    <row r="44808">
      <c r="H44808" t="s">
        <v>5117</v>
      </c>
    </row>
    <row r="44809">
      <c r="H44809" t="s">
        <v>5117</v>
      </c>
    </row>
    <row r="44810">
      <c r="H44810" t="s">
        <v>5117</v>
      </c>
    </row>
    <row r="44811">
      <c r="H44811" t="s">
        <v>5117</v>
      </c>
    </row>
    <row r="44812">
      <c r="H44812" t="s">
        <v>5117</v>
      </c>
    </row>
    <row r="44813">
      <c r="H44813" t="s">
        <v>5117</v>
      </c>
    </row>
    <row r="44814">
      <c r="H44814" t="s">
        <v>5117</v>
      </c>
    </row>
    <row r="44815">
      <c r="H44815" t="s">
        <v>5117</v>
      </c>
    </row>
    <row r="44816">
      <c r="H44816" t="s">
        <v>5117</v>
      </c>
    </row>
    <row r="44817">
      <c r="H44817" t="s">
        <v>5117</v>
      </c>
    </row>
    <row r="44818">
      <c r="H44818" t="s">
        <v>5117</v>
      </c>
    </row>
    <row r="44819">
      <c r="H44819" t="s">
        <v>5117</v>
      </c>
    </row>
    <row r="44820">
      <c r="H44820" t="s">
        <v>5117</v>
      </c>
    </row>
    <row r="44821">
      <c r="H44821" t="s">
        <v>5117</v>
      </c>
    </row>
    <row r="44822">
      <c r="H44822" t="s">
        <v>5117</v>
      </c>
    </row>
    <row r="44823">
      <c r="H44823" t="s">
        <v>5117</v>
      </c>
    </row>
    <row r="44824">
      <c r="H44824" t="s">
        <v>5117</v>
      </c>
    </row>
    <row r="44825">
      <c r="H44825" t="s">
        <v>5117</v>
      </c>
    </row>
    <row r="44826">
      <c r="H44826" t="s">
        <v>5117</v>
      </c>
    </row>
    <row r="44827">
      <c r="H44827" t="s">
        <v>5117</v>
      </c>
    </row>
    <row r="44828">
      <c r="H44828" t="s">
        <v>5117</v>
      </c>
    </row>
    <row r="44829">
      <c r="H44829" t="s">
        <v>5117</v>
      </c>
    </row>
    <row r="44830">
      <c r="H44830" t="s">
        <v>5117</v>
      </c>
    </row>
    <row r="44831">
      <c r="H44831" t="s">
        <v>5117</v>
      </c>
    </row>
    <row r="44832">
      <c r="H44832" t="s">
        <v>5117</v>
      </c>
    </row>
    <row r="44833">
      <c r="H44833" t="s">
        <v>5117</v>
      </c>
    </row>
    <row r="44834">
      <c r="H44834" t="s">
        <v>5117</v>
      </c>
    </row>
    <row r="44835">
      <c r="H44835" t="s">
        <v>5117</v>
      </c>
    </row>
    <row r="44836">
      <c r="H44836" t="s">
        <v>5117</v>
      </c>
    </row>
    <row r="44837">
      <c r="H44837" t="s">
        <v>5117</v>
      </c>
    </row>
    <row r="44838">
      <c r="H44838" t="s">
        <v>5117</v>
      </c>
    </row>
    <row r="44839">
      <c r="H44839" t="s">
        <v>5117</v>
      </c>
    </row>
    <row r="44840">
      <c r="H44840" t="s">
        <v>5117</v>
      </c>
    </row>
    <row r="44841">
      <c r="H44841" t="s">
        <v>5117</v>
      </c>
    </row>
    <row r="44842">
      <c r="H44842" t="s">
        <v>5117</v>
      </c>
    </row>
    <row r="44843">
      <c r="H44843" t="s">
        <v>5117</v>
      </c>
    </row>
    <row r="44844">
      <c r="H44844" t="s">
        <v>5117</v>
      </c>
    </row>
    <row r="44845">
      <c r="H44845" t="s">
        <v>5117</v>
      </c>
    </row>
    <row r="44846">
      <c r="H44846" t="s">
        <v>5117</v>
      </c>
    </row>
    <row r="44847">
      <c r="H44847" t="s">
        <v>5117</v>
      </c>
    </row>
    <row r="44848">
      <c r="H44848" t="s">
        <v>5117</v>
      </c>
    </row>
    <row r="44849">
      <c r="H44849" t="s">
        <v>5117</v>
      </c>
    </row>
    <row r="44850">
      <c r="H44850" t="s">
        <v>5117</v>
      </c>
    </row>
    <row r="44851">
      <c r="H44851" t="s">
        <v>5117</v>
      </c>
    </row>
    <row r="44852">
      <c r="H44852" t="s">
        <v>5117</v>
      </c>
    </row>
    <row r="44853">
      <c r="H44853" t="s">
        <v>5117</v>
      </c>
    </row>
    <row r="44854">
      <c r="H44854" t="s">
        <v>5117</v>
      </c>
    </row>
    <row r="44855">
      <c r="H44855" t="s">
        <v>5117</v>
      </c>
    </row>
    <row r="44856">
      <c r="H44856" t="s">
        <v>5117</v>
      </c>
    </row>
    <row r="44857">
      <c r="H44857" t="s">
        <v>5117</v>
      </c>
    </row>
    <row r="44858">
      <c r="H44858" t="s">
        <v>5117</v>
      </c>
    </row>
    <row r="44859">
      <c r="H44859" t="s">
        <v>5117</v>
      </c>
    </row>
    <row r="44860">
      <c r="H44860" t="s">
        <v>5117</v>
      </c>
    </row>
    <row r="44861">
      <c r="H44861" t="s">
        <v>5117</v>
      </c>
    </row>
    <row r="44862">
      <c r="H44862" t="s">
        <v>5117</v>
      </c>
    </row>
    <row r="44863">
      <c r="H44863" t="s">
        <v>5117</v>
      </c>
    </row>
    <row r="44864">
      <c r="H44864" t="s">
        <v>5117</v>
      </c>
    </row>
    <row r="44865">
      <c r="H44865" t="s">
        <v>5117</v>
      </c>
    </row>
    <row r="44866">
      <c r="H44866" t="s">
        <v>5117</v>
      </c>
    </row>
    <row r="44867">
      <c r="H44867" t="s">
        <v>5117</v>
      </c>
    </row>
    <row r="44868">
      <c r="H44868" t="s">
        <v>5117</v>
      </c>
    </row>
    <row r="44869">
      <c r="H44869" t="s">
        <v>5117</v>
      </c>
    </row>
    <row r="44870">
      <c r="H44870" t="s">
        <v>5117</v>
      </c>
    </row>
    <row r="44871">
      <c r="H44871" t="s">
        <v>5117</v>
      </c>
    </row>
    <row r="44872">
      <c r="H44872" t="s">
        <v>5117</v>
      </c>
    </row>
    <row r="44873">
      <c r="H44873" t="s">
        <v>5117</v>
      </c>
    </row>
    <row r="44874">
      <c r="H44874" t="s">
        <v>5117</v>
      </c>
    </row>
    <row r="44875">
      <c r="H44875" t="s">
        <v>5117</v>
      </c>
    </row>
    <row r="44876">
      <c r="H44876" t="s">
        <v>5117</v>
      </c>
    </row>
    <row r="44877">
      <c r="H44877" t="s">
        <v>5117</v>
      </c>
    </row>
    <row r="44878">
      <c r="H44878" t="s">
        <v>5117</v>
      </c>
    </row>
    <row r="44879">
      <c r="H44879" t="s">
        <v>5117</v>
      </c>
    </row>
    <row r="44880">
      <c r="H44880" t="s">
        <v>5117</v>
      </c>
    </row>
    <row r="44881">
      <c r="H44881" t="s">
        <v>5117</v>
      </c>
    </row>
    <row r="44882">
      <c r="H44882" t="s">
        <v>5117</v>
      </c>
    </row>
    <row r="44883">
      <c r="H44883" t="s">
        <v>5117</v>
      </c>
    </row>
    <row r="44884">
      <c r="H44884" t="s">
        <v>5117</v>
      </c>
    </row>
    <row r="44885">
      <c r="H44885" t="s">
        <v>5117</v>
      </c>
    </row>
    <row r="44886">
      <c r="H44886" t="s">
        <v>5117</v>
      </c>
    </row>
    <row r="44887">
      <c r="H44887" t="s">
        <v>5117</v>
      </c>
    </row>
    <row r="44888">
      <c r="H44888" t="s">
        <v>5117</v>
      </c>
    </row>
    <row r="44889">
      <c r="H44889" t="s">
        <v>5117</v>
      </c>
    </row>
    <row r="44890">
      <c r="H44890" t="s">
        <v>5117</v>
      </c>
    </row>
    <row r="44891">
      <c r="H44891" t="s">
        <v>5117</v>
      </c>
    </row>
    <row r="44892">
      <c r="H44892" t="s">
        <v>5117</v>
      </c>
    </row>
    <row r="44893">
      <c r="H44893" t="s">
        <v>5117</v>
      </c>
    </row>
    <row r="44894">
      <c r="H44894" t="s">
        <v>5117</v>
      </c>
    </row>
    <row r="44895">
      <c r="H44895" t="s">
        <v>5117</v>
      </c>
    </row>
    <row r="44896">
      <c r="H44896" t="s">
        <v>5117</v>
      </c>
    </row>
    <row r="44897">
      <c r="H44897" t="s">
        <v>5117</v>
      </c>
    </row>
    <row r="44898">
      <c r="H44898" t="s">
        <v>5117</v>
      </c>
    </row>
    <row r="44899">
      <c r="H44899" t="s">
        <v>5117</v>
      </c>
    </row>
    <row r="44900">
      <c r="H44900" t="s">
        <v>5117</v>
      </c>
    </row>
    <row r="44901">
      <c r="H44901" t="s">
        <v>5117</v>
      </c>
    </row>
    <row r="44902">
      <c r="H44902" t="s">
        <v>5117</v>
      </c>
    </row>
    <row r="44903">
      <c r="H44903" t="s">
        <v>5117</v>
      </c>
    </row>
    <row r="44904">
      <c r="H44904" t="s">
        <v>5117</v>
      </c>
    </row>
    <row r="44905">
      <c r="H44905" t="s">
        <v>5117</v>
      </c>
    </row>
    <row r="44906">
      <c r="H44906" t="s">
        <v>5117</v>
      </c>
    </row>
    <row r="44907">
      <c r="H44907" t="s">
        <v>5117</v>
      </c>
    </row>
    <row r="44908">
      <c r="H44908" t="s">
        <v>5117</v>
      </c>
    </row>
    <row r="44909">
      <c r="H44909" t="s">
        <v>5117</v>
      </c>
    </row>
    <row r="44910">
      <c r="H44910" t="s">
        <v>5117</v>
      </c>
    </row>
    <row r="44911">
      <c r="H44911" t="s">
        <v>5117</v>
      </c>
    </row>
    <row r="44912">
      <c r="H44912" t="s">
        <v>5117</v>
      </c>
    </row>
    <row r="44913">
      <c r="H44913" t="s">
        <v>5117</v>
      </c>
    </row>
    <row r="44914">
      <c r="H44914" t="s">
        <v>5117</v>
      </c>
    </row>
    <row r="44915">
      <c r="H44915" t="s">
        <v>5117</v>
      </c>
    </row>
    <row r="44916">
      <c r="H44916" t="s">
        <v>5117</v>
      </c>
    </row>
    <row r="44917">
      <c r="H44917" t="s">
        <v>5117</v>
      </c>
    </row>
    <row r="44918">
      <c r="H44918" t="s">
        <v>5117</v>
      </c>
    </row>
    <row r="44919">
      <c r="H44919" t="s">
        <v>5117</v>
      </c>
    </row>
    <row r="44920">
      <c r="H44920" t="s">
        <v>5117</v>
      </c>
    </row>
    <row r="44921">
      <c r="H44921" t="s">
        <v>5117</v>
      </c>
    </row>
    <row r="44922">
      <c r="H44922" t="s">
        <v>5117</v>
      </c>
    </row>
    <row r="44923">
      <c r="H44923" t="s">
        <v>5117</v>
      </c>
    </row>
    <row r="44924">
      <c r="H44924" t="s">
        <v>5117</v>
      </c>
    </row>
    <row r="44925">
      <c r="H44925" t="s">
        <v>5117</v>
      </c>
    </row>
    <row r="44926">
      <c r="H44926" t="s">
        <v>5117</v>
      </c>
    </row>
    <row r="44927">
      <c r="H44927" t="s">
        <v>5117</v>
      </c>
    </row>
    <row r="44928">
      <c r="H44928" t="s">
        <v>5117</v>
      </c>
    </row>
    <row r="44929">
      <c r="H44929" t="s">
        <v>5117</v>
      </c>
    </row>
    <row r="44930">
      <c r="H44930" t="s">
        <v>5117</v>
      </c>
    </row>
    <row r="44931">
      <c r="H44931" t="s">
        <v>5117</v>
      </c>
    </row>
    <row r="44932">
      <c r="H44932" t="s">
        <v>5117</v>
      </c>
    </row>
    <row r="44933">
      <c r="H44933" t="s">
        <v>5117</v>
      </c>
    </row>
    <row r="44934">
      <c r="H44934" t="s">
        <v>5117</v>
      </c>
    </row>
    <row r="44935">
      <c r="H44935" t="s">
        <v>5117</v>
      </c>
    </row>
    <row r="44936">
      <c r="H44936" t="s">
        <v>5117</v>
      </c>
    </row>
    <row r="44937">
      <c r="H44937" t="s">
        <v>5117</v>
      </c>
    </row>
    <row r="44938">
      <c r="H44938" t="s">
        <v>5117</v>
      </c>
    </row>
    <row r="44939">
      <c r="H44939" t="s">
        <v>5117</v>
      </c>
    </row>
    <row r="44940">
      <c r="H44940" t="s">
        <v>5117</v>
      </c>
    </row>
    <row r="44941">
      <c r="H44941" t="s">
        <v>5117</v>
      </c>
    </row>
    <row r="44942">
      <c r="H44942" t="s">
        <v>5117</v>
      </c>
    </row>
    <row r="44943">
      <c r="H44943" t="s">
        <v>5117</v>
      </c>
    </row>
    <row r="44944">
      <c r="H44944" t="s">
        <v>5117</v>
      </c>
    </row>
    <row r="44945">
      <c r="H44945" t="s">
        <v>5117</v>
      </c>
    </row>
    <row r="44946">
      <c r="H44946" t="s">
        <v>5117</v>
      </c>
    </row>
    <row r="44947">
      <c r="H44947" t="s">
        <v>5117</v>
      </c>
    </row>
    <row r="44948">
      <c r="H44948" t="s">
        <v>5117</v>
      </c>
    </row>
    <row r="44949">
      <c r="H44949" t="s">
        <v>5117</v>
      </c>
    </row>
    <row r="44950">
      <c r="H44950" t="s">
        <v>5117</v>
      </c>
    </row>
    <row r="44951">
      <c r="H44951" t="s">
        <v>5117</v>
      </c>
    </row>
    <row r="44952">
      <c r="H44952" t="s">
        <v>5117</v>
      </c>
    </row>
    <row r="44953">
      <c r="H44953" t="s">
        <v>5117</v>
      </c>
    </row>
    <row r="44954">
      <c r="H44954" t="s">
        <v>5117</v>
      </c>
    </row>
    <row r="44955">
      <c r="H44955" t="s">
        <v>5117</v>
      </c>
    </row>
    <row r="44956">
      <c r="H44956" t="s">
        <v>5117</v>
      </c>
    </row>
    <row r="44957">
      <c r="H44957" t="s">
        <v>5117</v>
      </c>
    </row>
    <row r="44958">
      <c r="H44958" t="s">
        <v>5117</v>
      </c>
    </row>
    <row r="44959">
      <c r="H44959" t="s">
        <v>5117</v>
      </c>
    </row>
    <row r="44960">
      <c r="H44960" t="s">
        <v>5117</v>
      </c>
    </row>
    <row r="44961">
      <c r="H44961" t="s">
        <v>5117</v>
      </c>
    </row>
    <row r="44962">
      <c r="H44962" t="s">
        <v>5117</v>
      </c>
    </row>
    <row r="44963">
      <c r="H44963" t="s">
        <v>5117</v>
      </c>
    </row>
    <row r="44964">
      <c r="H44964" t="s">
        <v>5117</v>
      </c>
    </row>
    <row r="44965">
      <c r="H44965" t="s">
        <v>5117</v>
      </c>
    </row>
    <row r="44966">
      <c r="H44966" t="s">
        <v>5117</v>
      </c>
    </row>
    <row r="44967">
      <c r="H44967" t="s">
        <v>5117</v>
      </c>
    </row>
    <row r="44968">
      <c r="H44968" t="s">
        <v>5117</v>
      </c>
    </row>
    <row r="44969">
      <c r="H44969" t="s">
        <v>5117</v>
      </c>
    </row>
    <row r="44970">
      <c r="H44970" t="s">
        <v>5117</v>
      </c>
    </row>
    <row r="44971">
      <c r="H44971" t="s">
        <v>5117</v>
      </c>
    </row>
    <row r="44972">
      <c r="H44972" t="s">
        <v>5117</v>
      </c>
    </row>
    <row r="44973">
      <c r="H44973" t="s">
        <v>5117</v>
      </c>
    </row>
    <row r="44974">
      <c r="H44974" t="s">
        <v>5117</v>
      </c>
    </row>
    <row r="44975">
      <c r="H44975" t="s">
        <v>5117</v>
      </c>
    </row>
    <row r="44976">
      <c r="H44976" t="s">
        <v>5117</v>
      </c>
    </row>
    <row r="44977">
      <c r="H44977" t="s">
        <v>5117</v>
      </c>
    </row>
    <row r="44978">
      <c r="H44978" t="s">
        <v>5117</v>
      </c>
    </row>
    <row r="44979">
      <c r="H44979" t="s">
        <v>5117</v>
      </c>
    </row>
    <row r="44980">
      <c r="H44980" t="s">
        <v>5117</v>
      </c>
    </row>
    <row r="44981">
      <c r="H44981" t="s">
        <v>5117</v>
      </c>
    </row>
    <row r="44982">
      <c r="H44982" t="s">
        <v>5117</v>
      </c>
    </row>
    <row r="44983">
      <c r="H44983" t="s">
        <v>5117</v>
      </c>
    </row>
    <row r="44984">
      <c r="H44984" t="s">
        <v>5117</v>
      </c>
    </row>
    <row r="44985">
      <c r="H44985" t="s">
        <v>5117</v>
      </c>
    </row>
    <row r="44986">
      <c r="H44986" t="s">
        <v>5117</v>
      </c>
    </row>
    <row r="44987">
      <c r="H44987" t="s">
        <v>5117</v>
      </c>
    </row>
    <row r="44988">
      <c r="H44988" t="s">
        <v>5117</v>
      </c>
    </row>
    <row r="44989">
      <c r="H44989" t="s">
        <v>5117</v>
      </c>
    </row>
    <row r="44990">
      <c r="H44990" t="s">
        <v>5117</v>
      </c>
    </row>
    <row r="44991">
      <c r="H44991" t="s">
        <v>5117</v>
      </c>
    </row>
    <row r="44992">
      <c r="H44992" t="s">
        <v>5117</v>
      </c>
    </row>
    <row r="44993">
      <c r="H44993" t="s">
        <v>5117</v>
      </c>
    </row>
    <row r="44994">
      <c r="H44994" t="s">
        <v>5117</v>
      </c>
    </row>
    <row r="44995">
      <c r="H44995" t="s">
        <v>5117</v>
      </c>
    </row>
    <row r="44996">
      <c r="H44996" t="s">
        <v>5117</v>
      </c>
    </row>
    <row r="44997">
      <c r="H44997" t="s">
        <v>5117</v>
      </c>
    </row>
    <row r="44998">
      <c r="H44998" t="s">
        <v>5117</v>
      </c>
    </row>
    <row r="44999">
      <c r="H44999" t="s">
        <v>5117</v>
      </c>
    </row>
    <row r="45000">
      <c r="H45000" t="s">
        <v>5117</v>
      </c>
    </row>
    <row r="45001">
      <c r="H45001" t="s">
        <v>5117</v>
      </c>
    </row>
    <row r="45002">
      <c r="H45002" t="s">
        <v>5117</v>
      </c>
    </row>
    <row r="45003">
      <c r="H45003" t="s">
        <v>5117</v>
      </c>
    </row>
    <row r="45004">
      <c r="H45004" t="s">
        <v>5117</v>
      </c>
    </row>
    <row r="45005">
      <c r="H45005" t="s">
        <v>5117</v>
      </c>
    </row>
    <row r="45006">
      <c r="H45006" t="s">
        <v>5117</v>
      </c>
    </row>
    <row r="45007">
      <c r="H45007" t="s">
        <v>5117</v>
      </c>
    </row>
    <row r="45008">
      <c r="H45008" t="s">
        <v>5117</v>
      </c>
    </row>
    <row r="45009">
      <c r="H45009" t="s">
        <v>5117</v>
      </c>
    </row>
    <row r="45010">
      <c r="H45010" t="s">
        <v>5117</v>
      </c>
    </row>
    <row r="45011">
      <c r="H45011" t="s">
        <v>5117</v>
      </c>
    </row>
    <row r="45012">
      <c r="H45012" t="s">
        <v>5117</v>
      </c>
    </row>
    <row r="45013">
      <c r="H45013" t="s">
        <v>5117</v>
      </c>
    </row>
    <row r="45014">
      <c r="H45014" t="s">
        <v>5117</v>
      </c>
    </row>
    <row r="45015">
      <c r="H45015" t="s">
        <v>5117</v>
      </c>
    </row>
    <row r="45016">
      <c r="H45016" t="s">
        <v>5117</v>
      </c>
    </row>
    <row r="45017">
      <c r="H45017" t="s">
        <v>5117</v>
      </c>
    </row>
    <row r="45018">
      <c r="H45018" t="s">
        <v>5117</v>
      </c>
    </row>
    <row r="45019">
      <c r="H45019" t="s">
        <v>5117</v>
      </c>
    </row>
    <row r="45020">
      <c r="H45020" t="s">
        <v>5117</v>
      </c>
    </row>
    <row r="45021">
      <c r="H45021" t="s">
        <v>5117</v>
      </c>
    </row>
    <row r="45022">
      <c r="H45022" t="s">
        <v>5117</v>
      </c>
    </row>
    <row r="45023">
      <c r="H45023" t="s">
        <v>5117</v>
      </c>
    </row>
    <row r="45024">
      <c r="H45024" t="s">
        <v>5117</v>
      </c>
    </row>
    <row r="45025">
      <c r="H45025" t="s">
        <v>5117</v>
      </c>
    </row>
    <row r="45026">
      <c r="H45026" t="s">
        <v>5117</v>
      </c>
    </row>
    <row r="45027">
      <c r="H45027" t="s">
        <v>5117</v>
      </c>
    </row>
    <row r="45028">
      <c r="H45028" t="s">
        <v>5117</v>
      </c>
    </row>
    <row r="45029">
      <c r="H45029" t="s">
        <v>5117</v>
      </c>
    </row>
    <row r="45030">
      <c r="H45030" t="s">
        <v>5117</v>
      </c>
    </row>
    <row r="45031">
      <c r="H45031" t="s">
        <v>5117</v>
      </c>
    </row>
    <row r="45032">
      <c r="H45032" t="s">
        <v>5117</v>
      </c>
    </row>
    <row r="45033">
      <c r="H45033" t="s">
        <v>5117</v>
      </c>
    </row>
    <row r="45034">
      <c r="H45034" t="s">
        <v>5117</v>
      </c>
    </row>
    <row r="45035">
      <c r="H45035" t="s">
        <v>5117</v>
      </c>
    </row>
    <row r="45036">
      <c r="H45036" t="s">
        <v>5117</v>
      </c>
    </row>
    <row r="45037">
      <c r="H45037" t="s">
        <v>5117</v>
      </c>
    </row>
    <row r="45038">
      <c r="H45038" t="s">
        <v>5117</v>
      </c>
    </row>
    <row r="45039">
      <c r="H45039" t="s">
        <v>5117</v>
      </c>
    </row>
    <row r="45040">
      <c r="H45040" t="s">
        <v>5117</v>
      </c>
    </row>
    <row r="45041">
      <c r="H45041" t="s">
        <v>5117</v>
      </c>
    </row>
    <row r="45042">
      <c r="H45042" t="s">
        <v>5117</v>
      </c>
    </row>
    <row r="45043">
      <c r="H45043" t="s">
        <v>5117</v>
      </c>
    </row>
    <row r="45044">
      <c r="H45044" t="s">
        <v>5117</v>
      </c>
    </row>
    <row r="45045">
      <c r="H45045" t="s">
        <v>5117</v>
      </c>
    </row>
    <row r="45046">
      <c r="H45046" t="s">
        <v>5117</v>
      </c>
    </row>
    <row r="45047">
      <c r="H45047" t="s">
        <v>5117</v>
      </c>
    </row>
    <row r="45048">
      <c r="H45048" t="s">
        <v>5117</v>
      </c>
    </row>
    <row r="45049">
      <c r="H45049" t="s">
        <v>5117</v>
      </c>
    </row>
    <row r="45050">
      <c r="H45050" t="s">
        <v>5117</v>
      </c>
    </row>
    <row r="45051">
      <c r="H45051" t="s">
        <v>5117</v>
      </c>
    </row>
    <row r="45052">
      <c r="H45052" t="s">
        <v>5117</v>
      </c>
    </row>
    <row r="45053">
      <c r="H45053" t="s">
        <v>5117</v>
      </c>
    </row>
    <row r="45054">
      <c r="H45054" t="s">
        <v>5117</v>
      </c>
    </row>
    <row r="45055">
      <c r="H45055" t="s">
        <v>5117</v>
      </c>
    </row>
    <row r="45056">
      <c r="H45056" t="s">
        <v>5117</v>
      </c>
    </row>
    <row r="45057">
      <c r="H45057" t="s">
        <v>5117</v>
      </c>
    </row>
    <row r="45058">
      <c r="H45058" t="s">
        <v>5117</v>
      </c>
    </row>
    <row r="45059">
      <c r="H45059" t="s">
        <v>5117</v>
      </c>
    </row>
    <row r="45060">
      <c r="H45060" t="s">
        <v>5117</v>
      </c>
    </row>
    <row r="45061">
      <c r="H45061" t="s">
        <v>5117</v>
      </c>
    </row>
    <row r="45062">
      <c r="H45062" t="s">
        <v>5117</v>
      </c>
    </row>
    <row r="45063">
      <c r="H45063" t="s">
        <v>5117</v>
      </c>
    </row>
    <row r="45064">
      <c r="H45064" t="s">
        <v>5117</v>
      </c>
    </row>
    <row r="45065">
      <c r="H45065" t="s">
        <v>5117</v>
      </c>
    </row>
    <row r="45066">
      <c r="H45066" t="s">
        <v>5117</v>
      </c>
    </row>
    <row r="45067">
      <c r="H45067" t="s">
        <v>5117</v>
      </c>
    </row>
    <row r="45068">
      <c r="H45068" t="s">
        <v>5117</v>
      </c>
    </row>
    <row r="45069">
      <c r="H45069" t="s">
        <v>5117</v>
      </c>
    </row>
    <row r="45070">
      <c r="H45070" t="s">
        <v>5117</v>
      </c>
    </row>
    <row r="45071">
      <c r="H45071" t="s">
        <v>5117</v>
      </c>
    </row>
    <row r="45072">
      <c r="H45072" t="s">
        <v>5117</v>
      </c>
    </row>
    <row r="45073">
      <c r="H45073" t="s">
        <v>5117</v>
      </c>
    </row>
    <row r="45074">
      <c r="H45074" t="s">
        <v>5117</v>
      </c>
    </row>
    <row r="45075">
      <c r="H45075" t="s">
        <v>5117</v>
      </c>
    </row>
    <row r="45076">
      <c r="H45076" t="s">
        <v>5117</v>
      </c>
    </row>
    <row r="45077">
      <c r="H45077" t="s">
        <v>5117</v>
      </c>
    </row>
    <row r="45078">
      <c r="H45078" t="s">
        <v>5117</v>
      </c>
    </row>
    <row r="45079">
      <c r="H45079" t="s">
        <v>5117</v>
      </c>
    </row>
    <row r="45080">
      <c r="H45080" t="s">
        <v>5117</v>
      </c>
    </row>
    <row r="45081">
      <c r="H45081" t="s">
        <v>5117</v>
      </c>
    </row>
    <row r="45082">
      <c r="H45082" t="s">
        <v>5117</v>
      </c>
    </row>
    <row r="45083">
      <c r="H45083" t="s">
        <v>5117</v>
      </c>
    </row>
    <row r="45084">
      <c r="H45084" t="s">
        <v>5117</v>
      </c>
    </row>
    <row r="45085">
      <c r="H45085" t="s">
        <v>5117</v>
      </c>
    </row>
    <row r="45086">
      <c r="H45086" t="s">
        <v>5117</v>
      </c>
    </row>
    <row r="45087">
      <c r="H45087" t="s">
        <v>5117</v>
      </c>
    </row>
    <row r="45088">
      <c r="H45088" t="s">
        <v>5117</v>
      </c>
    </row>
    <row r="45089">
      <c r="H45089" t="s">
        <v>5117</v>
      </c>
    </row>
    <row r="45090">
      <c r="H45090" t="s">
        <v>5117</v>
      </c>
    </row>
    <row r="45091">
      <c r="H45091" t="s">
        <v>5117</v>
      </c>
    </row>
    <row r="45092">
      <c r="H45092" t="s">
        <v>5117</v>
      </c>
    </row>
    <row r="45093">
      <c r="H45093" t="s">
        <v>5117</v>
      </c>
    </row>
    <row r="45094">
      <c r="H45094" t="s">
        <v>5117</v>
      </c>
    </row>
    <row r="45095">
      <c r="H45095" t="s">
        <v>5117</v>
      </c>
    </row>
    <row r="45096">
      <c r="H45096" t="s">
        <v>5117</v>
      </c>
    </row>
    <row r="45097">
      <c r="H45097" t="s">
        <v>5117</v>
      </c>
    </row>
    <row r="45098">
      <c r="H45098" t="s">
        <v>5117</v>
      </c>
    </row>
    <row r="45099">
      <c r="H45099" t="s">
        <v>5117</v>
      </c>
    </row>
    <row r="45100">
      <c r="H45100" t="s">
        <v>5117</v>
      </c>
    </row>
    <row r="45101">
      <c r="H45101" t="s">
        <v>5117</v>
      </c>
    </row>
    <row r="45102">
      <c r="H45102" t="s">
        <v>5117</v>
      </c>
    </row>
    <row r="45103">
      <c r="H45103" t="s">
        <v>5117</v>
      </c>
    </row>
    <row r="45104">
      <c r="H45104" t="s">
        <v>5117</v>
      </c>
    </row>
    <row r="45105">
      <c r="H45105" t="s">
        <v>5117</v>
      </c>
    </row>
    <row r="45106">
      <c r="H45106" t="s">
        <v>5117</v>
      </c>
    </row>
    <row r="45107">
      <c r="H45107" t="s">
        <v>5117</v>
      </c>
    </row>
    <row r="45108">
      <c r="H45108" t="s">
        <v>5117</v>
      </c>
    </row>
    <row r="45109">
      <c r="H45109" t="s">
        <v>5117</v>
      </c>
    </row>
    <row r="45110">
      <c r="H45110" t="s">
        <v>5117</v>
      </c>
    </row>
    <row r="45111">
      <c r="H45111" t="s">
        <v>5117</v>
      </c>
    </row>
    <row r="45112">
      <c r="H45112" t="s">
        <v>5117</v>
      </c>
    </row>
    <row r="45113">
      <c r="H45113" t="s">
        <v>5117</v>
      </c>
    </row>
    <row r="45114">
      <c r="H45114" t="s">
        <v>5117</v>
      </c>
    </row>
    <row r="45115">
      <c r="H45115" t="s">
        <v>5117</v>
      </c>
    </row>
    <row r="45116">
      <c r="H45116" t="s">
        <v>5117</v>
      </c>
    </row>
    <row r="45117">
      <c r="H45117" t="s">
        <v>5117</v>
      </c>
    </row>
    <row r="45118">
      <c r="H45118" t="s">
        <v>5117</v>
      </c>
    </row>
    <row r="45119">
      <c r="H45119" t="s">
        <v>5117</v>
      </c>
    </row>
    <row r="45120">
      <c r="H45120" t="s">
        <v>5117</v>
      </c>
    </row>
    <row r="45121">
      <c r="H45121" t="s">
        <v>5117</v>
      </c>
    </row>
    <row r="45122">
      <c r="H45122" t="s">
        <v>5117</v>
      </c>
    </row>
    <row r="45123">
      <c r="H45123" t="s">
        <v>5117</v>
      </c>
    </row>
    <row r="45124">
      <c r="H45124" t="s">
        <v>5117</v>
      </c>
    </row>
    <row r="45125">
      <c r="H45125" t="s">
        <v>5117</v>
      </c>
    </row>
    <row r="45126">
      <c r="H45126" t="s">
        <v>5117</v>
      </c>
    </row>
    <row r="45127">
      <c r="H45127" t="s">
        <v>5117</v>
      </c>
    </row>
    <row r="45128">
      <c r="H45128" t="s">
        <v>5117</v>
      </c>
    </row>
    <row r="45129">
      <c r="H45129" t="s">
        <v>5117</v>
      </c>
    </row>
    <row r="45130">
      <c r="H45130" t="s">
        <v>5117</v>
      </c>
    </row>
    <row r="45131">
      <c r="H45131" t="s">
        <v>5117</v>
      </c>
    </row>
    <row r="45132">
      <c r="H45132" t="s">
        <v>5117</v>
      </c>
    </row>
    <row r="45133">
      <c r="H45133" t="s">
        <v>5117</v>
      </c>
    </row>
    <row r="45134">
      <c r="H45134" t="s">
        <v>5117</v>
      </c>
    </row>
    <row r="45135">
      <c r="H45135" t="s">
        <v>5117</v>
      </c>
    </row>
    <row r="45136">
      <c r="H45136" t="s">
        <v>5117</v>
      </c>
    </row>
    <row r="45137">
      <c r="H45137" t="s">
        <v>5117</v>
      </c>
    </row>
    <row r="45138">
      <c r="H45138" t="s">
        <v>5117</v>
      </c>
    </row>
    <row r="45139">
      <c r="H45139" t="s">
        <v>5117</v>
      </c>
    </row>
    <row r="45140">
      <c r="H45140" t="s">
        <v>5117</v>
      </c>
    </row>
    <row r="45141">
      <c r="H45141" t="s">
        <v>5117</v>
      </c>
    </row>
    <row r="45142">
      <c r="H45142" t="s">
        <v>5117</v>
      </c>
    </row>
    <row r="45143">
      <c r="H45143" t="s">
        <v>5117</v>
      </c>
    </row>
    <row r="45144">
      <c r="H45144" t="s">
        <v>5117</v>
      </c>
    </row>
    <row r="45145">
      <c r="H45145" t="s">
        <v>5117</v>
      </c>
    </row>
    <row r="45146">
      <c r="H45146" t="s">
        <v>5117</v>
      </c>
    </row>
    <row r="45147">
      <c r="H45147" t="s">
        <v>5117</v>
      </c>
    </row>
    <row r="45148">
      <c r="H45148" t="s">
        <v>5117</v>
      </c>
    </row>
    <row r="45149">
      <c r="H45149" t="s">
        <v>5117</v>
      </c>
    </row>
    <row r="45150">
      <c r="H45150" t="s">
        <v>5117</v>
      </c>
    </row>
    <row r="45151">
      <c r="H45151" t="s">
        <v>5117</v>
      </c>
    </row>
    <row r="45152">
      <c r="H45152" t="s">
        <v>5117</v>
      </c>
    </row>
    <row r="45153">
      <c r="H45153" t="s">
        <v>5117</v>
      </c>
    </row>
    <row r="45154">
      <c r="H45154" t="s">
        <v>5117</v>
      </c>
    </row>
    <row r="45155">
      <c r="H45155" t="s">
        <v>5117</v>
      </c>
    </row>
    <row r="45156">
      <c r="H45156" t="s">
        <v>5117</v>
      </c>
    </row>
    <row r="45157">
      <c r="H45157" t="s">
        <v>5117</v>
      </c>
    </row>
    <row r="45158">
      <c r="H45158" t="s">
        <v>5117</v>
      </c>
    </row>
    <row r="45159">
      <c r="H45159" t="s">
        <v>5117</v>
      </c>
    </row>
    <row r="45160">
      <c r="H45160" t="s">
        <v>5117</v>
      </c>
    </row>
    <row r="45161">
      <c r="H45161" t="s">
        <v>5117</v>
      </c>
    </row>
    <row r="45162">
      <c r="H45162" t="s">
        <v>5117</v>
      </c>
    </row>
    <row r="45163">
      <c r="H45163" t="s">
        <v>5117</v>
      </c>
    </row>
    <row r="45164">
      <c r="H45164" t="s">
        <v>5117</v>
      </c>
    </row>
    <row r="45165">
      <c r="H45165" t="s">
        <v>5117</v>
      </c>
    </row>
    <row r="45166">
      <c r="H45166" t="s">
        <v>5117</v>
      </c>
    </row>
    <row r="45167">
      <c r="H45167" t="s">
        <v>5117</v>
      </c>
    </row>
    <row r="45168">
      <c r="H45168" t="s">
        <v>5117</v>
      </c>
    </row>
    <row r="45169">
      <c r="H45169" t="s">
        <v>5117</v>
      </c>
    </row>
    <row r="45170">
      <c r="H45170" t="s">
        <v>5117</v>
      </c>
    </row>
    <row r="45171">
      <c r="H45171" t="s">
        <v>5117</v>
      </c>
    </row>
    <row r="45172">
      <c r="H45172" t="s">
        <v>5117</v>
      </c>
    </row>
    <row r="45173">
      <c r="H45173" t="s">
        <v>5117</v>
      </c>
    </row>
    <row r="45174">
      <c r="H45174" t="s">
        <v>5117</v>
      </c>
    </row>
    <row r="45175">
      <c r="H45175" t="s">
        <v>5117</v>
      </c>
    </row>
    <row r="45176">
      <c r="H45176" t="s">
        <v>5117</v>
      </c>
    </row>
    <row r="45177">
      <c r="H45177" t="s">
        <v>5117</v>
      </c>
    </row>
    <row r="45178">
      <c r="H45178" t="s">
        <v>5117</v>
      </c>
    </row>
    <row r="45179">
      <c r="H45179" t="s">
        <v>5117</v>
      </c>
    </row>
    <row r="45180">
      <c r="H45180" t="s">
        <v>5117</v>
      </c>
    </row>
    <row r="45181">
      <c r="H45181" t="s">
        <v>5117</v>
      </c>
    </row>
    <row r="45182">
      <c r="H45182" t="s">
        <v>5117</v>
      </c>
    </row>
    <row r="45183">
      <c r="H45183" t="s">
        <v>5117</v>
      </c>
    </row>
    <row r="45184">
      <c r="H45184" t="s">
        <v>5117</v>
      </c>
    </row>
    <row r="45185">
      <c r="H45185" t="s">
        <v>5117</v>
      </c>
    </row>
    <row r="45186">
      <c r="H45186" t="s">
        <v>5117</v>
      </c>
    </row>
    <row r="45187">
      <c r="H45187" t="s">
        <v>5117</v>
      </c>
    </row>
    <row r="45188">
      <c r="H45188" t="s">
        <v>5117</v>
      </c>
    </row>
    <row r="45189">
      <c r="H45189" t="s">
        <v>5117</v>
      </c>
    </row>
    <row r="45190">
      <c r="H45190" t="s">
        <v>5117</v>
      </c>
    </row>
    <row r="45191">
      <c r="H45191" t="s">
        <v>5117</v>
      </c>
    </row>
    <row r="45192">
      <c r="H45192" t="s">
        <v>5117</v>
      </c>
    </row>
    <row r="45193">
      <c r="H45193" t="s">
        <v>5117</v>
      </c>
    </row>
    <row r="45194">
      <c r="H45194" t="s">
        <v>5117</v>
      </c>
    </row>
    <row r="45195">
      <c r="H45195" t="s">
        <v>5117</v>
      </c>
    </row>
    <row r="45196">
      <c r="H45196" t="s">
        <v>5117</v>
      </c>
    </row>
    <row r="45197">
      <c r="H45197" t="s">
        <v>5117</v>
      </c>
    </row>
    <row r="45198">
      <c r="H45198" t="s">
        <v>5117</v>
      </c>
    </row>
    <row r="45199">
      <c r="H45199" t="s">
        <v>5117</v>
      </c>
    </row>
    <row r="45200">
      <c r="H45200" t="s">
        <v>5117</v>
      </c>
    </row>
    <row r="45201">
      <c r="H45201" t="s">
        <v>5117</v>
      </c>
    </row>
    <row r="45202">
      <c r="H45202" t="s">
        <v>5117</v>
      </c>
    </row>
    <row r="45203">
      <c r="H45203" t="s">
        <v>5117</v>
      </c>
    </row>
    <row r="45204">
      <c r="H45204" t="s">
        <v>5117</v>
      </c>
    </row>
    <row r="45205">
      <c r="H45205" t="s">
        <v>5117</v>
      </c>
    </row>
    <row r="45206">
      <c r="H45206" t="s">
        <v>5117</v>
      </c>
    </row>
    <row r="45207">
      <c r="H45207" t="s">
        <v>5117</v>
      </c>
    </row>
    <row r="45208">
      <c r="H45208" t="s">
        <v>5117</v>
      </c>
    </row>
    <row r="45209">
      <c r="H45209" t="s">
        <v>5117</v>
      </c>
    </row>
    <row r="45210">
      <c r="H45210" t="s">
        <v>5117</v>
      </c>
    </row>
    <row r="45211">
      <c r="H45211" t="s">
        <v>5117</v>
      </c>
    </row>
    <row r="45212">
      <c r="H45212" t="s">
        <v>5117</v>
      </c>
    </row>
    <row r="45213">
      <c r="H45213" t="s">
        <v>5117</v>
      </c>
    </row>
    <row r="45214">
      <c r="H45214" t="s">
        <v>5117</v>
      </c>
    </row>
    <row r="45215">
      <c r="H45215" t="s">
        <v>5117</v>
      </c>
    </row>
    <row r="45216">
      <c r="H45216" t="s">
        <v>5117</v>
      </c>
    </row>
    <row r="45217">
      <c r="H45217" t="s">
        <v>5117</v>
      </c>
    </row>
    <row r="45218">
      <c r="H45218" t="s">
        <v>5117</v>
      </c>
    </row>
    <row r="45219">
      <c r="H45219" t="s">
        <v>5117</v>
      </c>
    </row>
    <row r="45220">
      <c r="H45220" t="s">
        <v>5117</v>
      </c>
    </row>
    <row r="45221">
      <c r="H45221" t="s">
        <v>5117</v>
      </c>
    </row>
    <row r="45222">
      <c r="H45222" t="s">
        <v>5117</v>
      </c>
    </row>
    <row r="45223">
      <c r="H45223" t="s">
        <v>5117</v>
      </c>
    </row>
    <row r="45224">
      <c r="H45224" t="s">
        <v>5117</v>
      </c>
    </row>
    <row r="45225">
      <c r="H45225" t="s">
        <v>5117</v>
      </c>
    </row>
    <row r="45226">
      <c r="H45226" t="s">
        <v>5117</v>
      </c>
    </row>
    <row r="45227">
      <c r="H45227" t="s">
        <v>5117</v>
      </c>
    </row>
    <row r="45228">
      <c r="H45228" t="s">
        <v>5117</v>
      </c>
    </row>
    <row r="45229">
      <c r="H45229" t="s">
        <v>5117</v>
      </c>
    </row>
    <row r="45230">
      <c r="H45230" t="s">
        <v>5117</v>
      </c>
    </row>
    <row r="45231">
      <c r="H45231" t="s">
        <v>5117</v>
      </c>
    </row>
    <row r="45232">
      <c r="H45232" t="s">
        <v>5117</v>
      </c>
    </row>
    <row r="45233">
      <c r="H45233" t="s">
        <v>5117</v>
      </c>
    </row>
    <row r="45234">
      <c r="H45234" t="s">
        <v>5117</v>
      </c>
    </row>
    <row r="45235">
      <c r="H45235" t="s">
        <v>5117</v>
      </c>
    </row>
    <row r="45236">
      <c r="H45236" t="s">
        <v>5117</v>
      </c>
    </row>
    <row r="45237">
      <c r="H45237" t="s">
        <v>5117</v>
      </c>
    </row>
    <row r="45238">
      <c r="H45238" t="s">
        <v>5117</v>
      </c>
    </row>
    <row r="45239">
      <c r="H45239" t="s">
        <v>5117</v>
      </c>
    </row>
    <row r="45240">
      <c r="H45240" t="s">
        <v>5117</v>
      </c>
    </row>
    <row r="45241">
      <c r="H45241" t="s">
        <v>5117</v>
      </c>
    </row>
    <row r="45242">
      <c r="H45242" t="s">
        <v>5117</v>
      </c>
    </row>
    <row r="45243">
      <c r="H45243" t="s">
        <v>5117</v>
      </c>
    </row>
    <row r="45244">
      <c r="H45244" t="s">
        <v>5117</v>
      </c>
    </row>
    <row r="45245">
      <c r="H45245" t="s">
        <v>5117</v>
      </c>
    </row>
    <row r="45246">
      <c r="H45246" t="s">
        <v>5117</v>
      </c>
    </row>
    <row r="45247">
      <c r="H45247" t="s">
        <v>5117</v>
      </c>
    </row>
    <row r="45248">
      <c r="H45248" t="s">
        <v>5117</v>
      </c>
    </row>
    <row r="45249">
      <c r="H45249" t="s">
        <v>5117</v>
      </c>
    </row>
    <row r="45250">
      <c r="H45250" t="s">
        <v>5117</v>
      </c>
    </row>
    <row r="45251">
      <c r="H45251" t="s">
        <v>5117</v>
      </c>
    </row>
    <row r="45252">
      <c r="H45252" t="s">
        <v>5117</v>
      </c>
    </row>
    <row r="45253">
      <c r="H45253" t="s">
        <v>5117</v>
      </c>
    </row>
    <row r="45254">
      <c r="H45254" t="s">
        <v>5117</v>
      </c>
    </row>
    <row r="45255">
      <c r="H45255" t="s">
        <v>5117</v>
      </c>
    </row>
    <row r="45256">
      <c r="H45256" t="s">
        <v>5117</v>
      </c>
    </row>
    <row r="45257">
      <c r="H45257" t="s">
        <v>5117</v>
      </c>
    </row>
    <row r="45258">
      <c r="H45258" t="s">
        <v>5117</v>
      </c>
    </row>
    <row r="45259">
      <c r="H45259" t="s">
        <v>5117</v>
      </c>
    </row>
    <row r="45260">
      <c r="H45260" t="s">
        <v>5117</v>
      </c>
    </row>
    <row r="45261">
      <c r="H45261" t="s">
        <v>5117</v>
      </c>
    </row>
    <row r="45262">
      <c r="H45262" t="s">
        <v>5117</v>
      </c>
    </row>
    <row r="45263">
      <c r="H45263" t="s">
        <v>5117</v>
      </c>
    </row>
    <row r="45264">
      <c r="H45264" t="s">
        <v>5117</v>
      </c>
    </row>
    <row r="45265">
      <c r="H45265" t="s">
        <v>5117</v>
      </c>
    </row>
    <row r="45266">
      <c r="H45266" t="s">
        <v>5117</v>
      </c>
    </row>
    <row r="45267">
      <c r="H45267" t="s">
        <v>5117</v>
      </c>
    </row>
    <row r="45268">
      <c r="H45268" t="s">
        <v>5117</v>
      </c>
    </row>
    <row r="45269">
      <c r="H45269" t="s">
        <v>5117</v>
      </c>
    </row>
    <row r="45270">
      <c r="H45270" t="s">
        <v>5117</v>
      </c>
    </row>
    <row r="45271">
      <c r="H45271" t="s">
        <v>5117</v>
      </c>
    </row>
    <row r="45272">
      <c r="H45272" t="s">
        <v>5117</v>
      </c>
    </row>
    <row r="45273">
      <c r="H45273" t="s">
        <v>5117</v>
      </c>
    </row>
    <row r="45274">
      <c r="H45274" t="s">
        <v>5117</v>
      </c>
    </row>
    <row r="45275">
      <c r="H45275" t="s">
        <v>5117</v>
      </c>
    </row>
    <row r="45276">
      <c r="H45276" t="s">
        <v>5117</v>
      </c>
    </row>
    <row r="45277">
      <c r="H45277" t="s">
        <v>5117</v>
      </c>
    </row>
    <row r="45278">
      <c r="H45278" t="s">
        <v>5117</v>
      </c>
    </row>
    <row r="45279">
      <c r="H45279" t="s">
        <v>5117</v>
      </c>
    </row>
    <row r="45280">
      <c r="H45280" t="s">
        <v>5117</v>
      </c>
    </row>
    <row r="45281">
      <c r="H45281" t="s">
        <v>5117</v>
      </c>
    </row>
    <row r="45282">
      <c r="H45282" t="s">
        <v>5117</v>
      </c>
    </row>
    <row r="45283">
      <c r="H45283" t="s">
        <v>5117</v>
      </c>
    </row>
    <row r="45284">
      <c r="H45284" t="s">
        <v>5117</v>
      </c>
    </row>
    <row r="45285">
      <c r="H45285" t="s">
        <v>5117</v>
      </c>
    </row>
    <row r="45286">
      <c r="H45286" t="s">
        <v>5117</v>
      </c>
    </row>
    <row r="45287">
      <c r="H45287" t="s">
        <v>5117</v>
      </c>
    </row>
    <row r="45288">
      <c r="H45288" t="s">
        <v>5117</v>
      </c>
    </row>
    <row r="45289">
      <c r="H45289" t="s">
        <v>5117</v>
      </c>
    </row>
    <row r="45290">
      <c r="H45290" t="s">
        <v>5117</v>
      </c>
    </row>
    <row r="45291">
      <c r="H45291" t="s">
        <v>5117</v>
      </c>
    </row>
    <row r="45292">
      <c r="H45292" t="s">
        <v>5117</v>
      </c>
    </row>
    <row r="45293">
      <c r="H45293" t="s">
        <v>5117</v>
      </c>
    </row>
    <row r="45294">
      <c r="H45294" t="s">
        <v>5117</v>
      </c>
    </row>
    <row r="45295">
      <c r="H45295" t="s">
        <v>5117</v>
      </c>
    </row>
    <row r="45296">
      <c r="H45296" t="s">
        <v>5117</v>
      </c>
    </row>
    <row r="45297">
      <c r="H45297" t="s">
        <v>5117</v>
      </c>
    </row>
    <row r="45298">
      <c r="H45298" t="s">
        <v>5117</v>
      </c>
    </row>
    <row r="45299">
      <c r="H45299" t="s">
        <v>5117</v>
      </c>
    </row>
    <row r="45300">
      <c r="H45300" t="s">
        <v>5117</v>
      </c>
    </row>
    <row r="45301">
      <c r="H45301" t="s">
        <v>5117</v>
      </c>
    </row>
    <row r="45302">
      <c r="H45302" t="s">
        <v>5117</v>
      </c>
    </row>
    <row r="45303">
      <c r="H45303" t="s">
        <v>5117</v>
      </c>
    </row>
    <row r="45304">
      <c r="H45304" t="s">
        <v>5117</v>
      </c>
    </row>
    <row r="45305">
      <c r="H45305" t="s">
        <v>5117</v>
      </c>
    </row>
    <row r="45306">
      <c r="H45306" t="s">
        <v>5117</v>
      </c>
    </row>
    <row r="45307">
      <c r="H45307" t="s">
        <v>5117</v>
      </c>
    </row>
    <row r="45308">
      <c r="H45308" t="s">
        <v>5117</v>
      </c>
    </row>
    <row r="45309">
      <c r="H45309" t="s">
        <v>5117</v>
      </c>
    </row>
    <row r="45310">
      <c r="H45310" t="s">
        <v>5117</v>
      </c>
    </row>
    <row r="45311">
      <c r="H45311" t="s">
        <v>5117</v>
      </c>
    </row>
    <row r="45312">
      <c r="H45312" t="s">
        <v>5117</v>
      </c>
    </row>
    <row r="45313">
      <c r="H45313" t="s">
        <v>5117</v>
      </c>
    </row>
    <row r="45314">
      <c r="H45314" t="s">
        <v>5117</v>
      </c>
    </row>
    <row r="45315">
      <c r="H45315" t="s">
        <v>5117</v>
      </c>
    </row>
    <row r="45316">
      <c r="H45316" t="s">
        <v>5117</v>
      </c>
    </row>
    <row r="45317">
      <c r="H45317" t="s">
        <v>5117</v>
      </c>
    </row>
    <row r="45318">
      <c r="H45318" t="s">
        <v>5117</v>
      </c>
    </row>
    <row r="45319">
      <c r="H45319" t="s">
        <v>5117</v>
      </c>
    </row>
    <row r="45320">
      <c r="H45320" t="s">
        <v>5117</v>
      </c>
    </row>
    <row r="45321">
      <c r="H45321" t="s">
        <v>5117</v>
      </c>
    </row>
    <row r="45322">
      <c r="H45322" t="s">
        <v>5117</v>
      </c>
    </row>
    <row r="45323">
      <c r="H45323" t="s">
        <v>5117</v>
      </c>
    </row>
    <row r="45324">
      <c r="H45324" t="s">
        <v>5117</v>
      </c>
    </row>
    <row r="45325">
      <c r="H45325" t="s">
        <v>5117</v>
      </c>
    </row>
    <row r="45326">
      <c r="H45326" t="s">
        <v>5117</v>
      </c>
    </row>
    <row r="45327">
      <c r="H45327" t="s">
        <v>5117</v>
      </c>
    </row>
    <row r="45328">
      <c r="H45328" t="s">
        <v>5117</v>
      </c>
    </row>
    <row r="45329">
      <c r="H45329" t="s">
        <v>5117</v>
      </c>
    </row>
    <row r="45330">
      <c r="H45330" t="s">
        <v>5117</v>
      </c>
    </row>
    <row r="45331">
      <c r="H45331" t="s">
        <v>5117</v>
      </c>
    </row>
    <row r="45332">
      <c r="H45332" t="s">
        <v>5117</v>
      </c>
    </row>
    <row r="45333">
      <c r="H45333" t="s">
        <v>5117</v>
      </c>
    </row>
    <row r="45334">
      <c r="H45334" t="s">
        <v>5117</v>
      </c>
    </row>
    <row r="45335">
      <c r="H45335" t="s">
        <v>5117</v>
      </c>
    </row>
    <row r="45336">
      <c r="H45336" t="s">
        <v>5117</v>
      </c>
    </row>
    <row r="45337">
      <c r="H45337" t="s">
        <v>5117</v>
      </c>
    </row>
    <row r="45338">
      <c r="H45338" t="s">
        <v>5117</v>
      </c>
    </row>
    <row r="45339">
      <c r="H45339" t="s">
        <v>5117</v>
      </c>
    </row>
    <row r="45340">
      <c r="H45340" t="s">
        <v>5117</v>
      </c>
    </row>
    <row r="45341">
      <c r="H45341" t="s">
        <v>5117</v>
      </c>
    </row>
    <row r="45342">
      <c r="H45342" t="s">
        <v>5117</v>
      </c>
    </row>
    <row r="45343">
      <c r="H45343" t="s">
        <v>5117</v>
      </c>
    </row>
    <row r="45344">
      <c r="H45344" t="s">
        <v>5117</v>
      </c>
    </row>
    <row r="45345">
      <c r="H45345" t="s">
        <v>5117</v>
      </c>
    </row>
    <row r="45346">
      <c r="H45346" t="s">
        <v>5117</v>
      </c>
    </row>
    <row r="45347">
      <c r="H45347" t="s">
        <v>5117</v>
      </c>
    </row>
    <row r="45348">
      <c r="H45348" t="s">
        <v>5117</v>
      </c>
    </row>
    <row r="45349">
      <c r="H45349" t="s">
        <v>5117</v>
      </c>
    </row>
    <row r="45350">
      <c r="H45350" t="s">
        <v>5117</v>
      </c>
    </row>
    <row r="45351">
      <c r="H45351" t="s">
        <v>5117</v>
      </c>
    </row>
    <row r="45352">
      <c r="H45352" t="s">
        <v>5117</v>
      </c>
    </row>
    <row r="45353">
      <c r="H45353" t="s">
        <v>5117</v>
      </c>
    </row>
    <row r="45354">
      <c r="H45354" t="s">
        <v>5117</v>
      </c>
    </row>
    <row r="45355">
      <c r="H45355" t="s">
        <v>5117</v>
      </c>
    </row>
    <row r="45356">
      <c r="H45356" t="s">
        <v>5117</v>
      </c>
    </row>
    <row r="45357">
      <c r="H45357" t="s">
        <v>5117</v>
      </c>
    </row>
    <row r="45358">
      <c r="H45358" t="s">
        <v>5117</v>
      </c>
    </row>
    <row r="45359">
      <c r="H45359" t="s">
        <v>5117</v>
      </c>
    </row>
    <row r="45360">
      <c r="H45360" t="s">
        <v>5117</v>
      </c>
    </row>
    <row r="45361">
      <c r="H45361" t="s">
        <v>5117</v>
      </c>
    </row>
    <row r="45362">
      <c r="H45362" t="s">
        <v>5117</v>
      </c>
    </row>
    <row r="45363">
      <c r="H45363" t="s">
        <v>5117</v>
      </c>
    </row>
    <row r="45364">
      <c r="H45364" t="s">
        <v>5117</v>
      </c>
    </row>
    <row r="45365">
      <c r="H45365" t="s">
        <v>5117</v>
      </c>
    </row>
    <row r="45366">
      <c r="H45366" t="s">
        <v>5117</v>
      </c>
    </row>
    <row r="45367">
      <c r="H45367" t="s">
        <v>5117</v>
      </c>
    </row>
    <row r="45368">
      <c r="H45368" t="s">
        <v>5117</v>
      </c>
    </row>
    <row r="45369">
      <c r="H45369" t="s">
        <v>5117</v>
      </c>
    </row>
    <row r="45370">
      <c r="H45370" t="s">
        <v>5117</v>
      </c>
    </row>
    <row r="45371">
      <c r="H45371" t="s">
        <v>5117</v>
      </c>
    </row>
    <row r="45372">
      <c r="H45372" t="s">
        <v>5117</v>
      </c>
    </row>
    <row r="45373">
      <c r="H45373" t="s">
        <v>5117</v>
      </c>
    </row>
    <row r="45374">
      <c r="H45374" t="s">
        <v>5117</v>
      </c>
    </row>
    <row r="45375">
      <c r="H45375" t="s">
        <v>5117</v>
      </c>
    </row>
    <row r="45376">
      <c r="H45376" t="s">
        <v>5117</v>
      </c>
    </row>
    <row r="45377">
      <c r="H45377" t="s">
        <v>5117</v>
      </c>
    </row>
    <row r="45378">
      <c r="H45378" t="s">
        <v>5117</v>
      </c>
    </row>
    <row r="45379">
      <c r="H45379" t="s">
        <v>5117</v>
      </c>
    </row>
    <row r="45380">
      <c r="H45380" t="s">
        <v>5117</v>
      </c>
    </row>
    <row r="45381">
      <c r="H45381" t="s">
        <v>5117</v>
      </c>
    </row>
    <row r="45382">
      <c r="H45382" t="s">
        <v>5117</v>
      </c>
    </row>
    <row r="45383">
      <c r="H45383" t="s">
        <v>5117</v>
      </c>
    </row>
    <row r="45384">
      <c r="H45384" t="s">
        <v>5117</v>
      </c>
    </row>
    <row r="45385">
      <c r="H45385" t="s">
        <v>5117</v>
      </c>
    </row>
    <row r="45386">
      <c r="H45386" t="s">
        <v>5117</v>
      </c>
    </row>
    <row r="45387">
      <c r="H45387" t="s">
        <v>5117</v>
      </c>
    </row>
    <row r="45388">
      <c r="H45388" t="s">
        <v>5117</v>
      </c>
    </row>
    <row r="45389">
      <c r="H45389" t="s">
        <v>5117</v>
      </c>
    </row>
    <row r="45390">
      <c r="H45390" t="s">
        <v>5117</v>
      </c>
    </row>
    <row r="45391">
      <c r="H45391" t="s">
        <v>5117</v>
      </c>
    </row>
    <row r="45392">
      <c r="H45392" t="s">
        <v>5117</v>
      </c>
    </row>
    <row r="45393">
      <c r="H45393" t="s">
        <v>5117</v>
      </c>
    </row>
    <row r="45394">
      <c r="H45394" t="s">
        <v>5117</v>
      </c>
    </row>
    <row r="45395">
      <c r="H45395" t="s">
        <v>5117</v>
      </c>
    </row>
    <row r="45396">
      <c r="H45396" t="s">
        <v>5117</v>
      </c>
    </row>
    <row r="45397">
      <c r="H45397" t="s">
        <v>5117</v>
      </c>
    </row>
    <row r="45398">
      <c r="H45398" t="s">
        <v>5117</v>
      </c>
    </row>
    <row r="45399">
      <c r="H45399" t="s">
        <v>5117</v>
      </c>
    </row>
    <row r="45400">
      <c r="H45400" t="s">
        <v>5117</v>
      </c>
    </row>
    <row r="45401">
      <c r="H45401" t="s">
        <v>5117</v>
      </c>
    </row>
    <row r="45402">
      <c r="H45402" t="s">
        <v>5117</v>
      </c>
    </row>
    <row r="45403">
      <c r="H45403" t="s">
        <v>5117</v>
      </c>
    </row>
    <row r="45404">
      <c r="H45404" t="s">
        <v>5117</v>
      </c>
    </row>
    <row r="45405">
      <c r="H45405" t="s">
        <v>5117</v>
      </c>
    </row>
    <row r="45406">
      <c r="H45406" t="s">
        <v>5117</v>
      </c>
    </row>
    <row r="45407">
      <c r="H45407" t="s">
        <v>5117</v>
      </c>
    </row>
    <row r="45408">
      <c r="H45408" t="s">
        <v>5117</v>
      </c>
    </row>
    <row r="45409">
      <c r="H45409" t="s">
        <v>5117</v>
      </c>
    </row>
    <row r="45410">
      <c r="H45410" t="s">
        <v>5117</v>
      </c>
    </row>
    <row r="45411">
      <c r="H45411" t="s">
        <v>5117</v>
      </c>
    </row>
    <row r="45412">
      <c r="H45412" t="s">
        <v>5117</v>
      </c>
    </row>
    <row r="45413">
      <c r="H45413" t="s">
        <v>5117</v>
      </c>
    </row>
    <row r="45414">
      <c r="H45414" t="s">
        <v>5117</v>
      </c>
    </row>
    <row r="45415">
      <c r="H45415" t="s">
        <v>5117</v>
      </c>
    </row>
    <row r="45416">
      <c r="H45416" t="s">
        <v>5117</v>
      </c>
    </row>
    <row r="45417">
      <c r="H45417" t="s">
        <v>5117</v>
      </c>
    </row>
    <row r="45418">
      <c r="H45418" t="s">
        <v>5117</v>
      </c>
    </row>
    <row r="45419">
      <c r="H45419" t="s">
        <v>5117</v>
      </c>
    </row>
    <row r="45420">
      <c r="H45420" t="s">
        <v>5117</v>
      </c>
    </row>
    <row r="45421">
      <c r="H45421" t="s">
        <v>5117</v>
      </c>
    </row>
    <row r="45422">
      <c r="H45422" t="s">
        <v>5117</v>
      </c>
    </row>
    <row r="45423">
      <c r="H45423" t="s">
        <v>5117</v>
      </c>
    </row>
    <row r="45424">
      <c r="H45424" t="s">
        <v>5117</v>
      </c>
    </row>
    <row r="45425">
      <c r="H45425" t="s">
        <v>5117</v>
      </c>
    </row>
    <row r="45426">
      <c r="H45426" t="s">
        <v>5117</v>
      </c>
    </row>
    <row r="45427">
      <c r="H45427" t="s">
        <v>5117</v>
      </c>
    </row>
    <row r="45428">
      <c r="H45428" t="s">
        <v>5117</v>
      </c>
    </row>
    <row r="45429">
      <c r="H45429" t="s">
        <v>5117</v>
      </c>
    </row>
    <row r="45430">
      <c r="H45430" t="s">
        <v>5117</v>
      </c>
    </row>
    <row r="45431">
      <c r="H45431" t="s">
        <v>5117</v>
      </c>
    </row>
    <row r="45432">
      <c r="H45432" t="s">
        <v>5117</v>
      </c>
    </row>
    <row r="45433">
      <c r="H45433" t="s">
        <v>5117</v>
      </c>
    </row>
    <row r="45434">
      <c r="H45434" t="s">
        <v>5117</v>
      </c>
    </row>
    <row r="45435">
      <c r="H45435" t="s">
        <v>5117</v>
      </c>
    </row>
    <row r="45436">
      <c r="H45436" t="s">
        <v>5117</v>
      </c>
    </row>
    <row r="45437">
      <c r="H45437" t="s">
        <v>5117</v>
      </c>
    </row>
    <row r="45438">
      <c r="H45438" t="s">
        <v>5117</v>
      </c>
    </row>
    <row r="45439">
      <c r="H45439" t="s">
        <v>5117</v>
      </c>
    </row>
    <row r="45440">
      <c r="H45440" t="s">
        <v>5117</v>
      </c>
    </row>
    <row r="45441">
      <c r="H45441" t="s">
        <v>5117</v>
      </c>
    </row>
    <row r="45442">
      <c r="H45442" t="s">
        <v>5117</v>
      </c>
    </row>
    <row r="45443">
      <c r="H45443" t="s">
        <v>5117</v>
      </c>
    </row>
    <row r="45444">
      <c r="H45444" t="s">
        <v>5117</v>
      </c>
    </row>
    <row r="45445">
      <c r="H45445" t="s">
        <v>5117</v>
      </c>
    </row>
    <row r="45446">
      <c r="H45446" t="s">
        <v>5117</v>
      </c>
    </row>
    <row r="45447">
      <c r="H45447" t="s">
        <v>5117</v>
      </c>
    </row>
    <row r="45448">
      <c r="H45448" t="s">
        <v>5117</v>
      </c>
    </row>
    <row r="45449">
      <c r="H45449" t="s">
        <v>5117</v>
      </c>
    </row>
    <row r="45450">
      <c r="H45450" t="s">
        <v>5117</v>
      </c>
    </row>
    <row r="45451">
      <c r="H45451" t="s">
        <v>5117</v>
      </c>
    </row>
    <row r="45452">
      <c r="H45452" t="s">
        <v>5117</v>
      </c>
    </row>
    <row r="45453">
      <c r="H45453" t="s">
        <v>5117</v>
      </c>
    </row>
    <row r="45454">
      <c r="H45454" t="s">
        <v>5117</v>
      </c>
    </row>
    <row r="45455">
      <c r="H45455" t="s">
        <v>5117</v>
      </c>
    </row>
    <row r="45456">
      <c r="H45456" t="s">
        <v>5117</v>
      </c>
    </row>
    <row r="45457">
      <c r="H45457" t="s">
        <v>5117</v>
      </c>
    </row>
    <row r="45458">
      <c r="H45458" t="s">
        <v>5117</v>
      </c>
    </row>
    <row r="45459">
      <c r="H45459" t="s">
        <v>5117</v>
      </c>
    </row>
    <row r="45460">
      <c r="H45460" t="s">
        <v>5117</v>
      </c>
    </row>
    <row r="45461">
      <c r="H45461" t="s">
        <v>5117</v>
      </c>
    </row>
    <row r="45462">
      <c r="H45462" t="s">
        <v>5117</v>
      </c>
    </row>
    <row r="45463">
      <c r="H45463" t="s">
        <v>5117</v>
      </c>
    </row>
    <row r="45464">
      <c r="H45464" t="s">
        <v>5117</v>
      </c>
    </row>
    <row r="45465">
      <c r="H45465" t="s">
        <v>5117</v>
      </c>
    </row>
    <row r="45466">
      <c r="H45466" t="s">
        <v>5117</v>
      </c>
    </row>
    <row r="45467">
      <c r="H45467" t="s">
        <v>5117</v>
      </c>
    </row>
    <row r="45468">
      <c r="H45468" t="s">
        <v>5117</v>
      </c>
    </row>
    <row r="45469">
      <c r="H45469" t="s">
        <v>5117</v>
      </c>
    </row>
    <row r="45470">
      <c r="H45470" t="s">
        <v>5117</v>
      </c>
    </row>
    <row r="45471">
      <c r="H45471" t="s">
        <v>5117</v>
      </c>
    </row>
    <row r="45472">
      <c r="H45472" t="s">
        <v>5117</v>
      </c>
    </row>
    <row r="45473">
      <c r="H45473" t="s">
        <v>5117</v>
      </c>
    </row>
    <row r="45474">
      <c r="H45474" t="s">
        <v>5117</v>
      </c>
    </row>
    <row r="45475">
      <c r="H45475" t="s">
        <v>5117</v>
      </c>
    </row>
    <row r="45476">
      <c r="H45476" t="s">
        <v>5117</v>
      </c>
    </row>
    <row r="45477">
      <c r="H45477" t="s">
        <v>5117</v>
      </c>
    </row>
    <row r="45478">
      <c r="H45478" t="s">
        <v>5117</v>
      </c>
    </row>
    <row r="45479">
      <c r="H45479" t="s">
        <v>5117</v>
      </c>
    </row>
    <row r="45480">
      <c r="H45480" t="s">
        <v>5117</v>
      </c>
    </row>
    <row r="45481">
      <c r="H45481" t="s">
        <v>5117</v>
      </c>
    </row>
    <row r="45482">
      <c r="H45482" t="s">
        <v>5117</v>
      </c>
    </row>
    <row r="45483">
      <c r="H45483" t="s">
        <v>5117</v>
      </c>
    </row>
    <row r="45484">
      <c r="H45484" t="s">
        <v>5117</v>
      </c>
    </row>
    <row r="45485">
      <c r="H45485" t="s">
        <v>5117</v>
      </c>
    </row>
    <row r="45486">
      <c r="H45486" t="s">
        <v>5117</v>
      </c>
    </row>
    <row r="45487">
      <c r="H45487" t="s">
        <v>5117</v>
      </c>
    </row>
    <row r="45488">
      <c r="H45488" t="s">
        <v>5117</v>
      </c>
    </row>
    <row r="45489">
      <c r="H45489" t="s">
        <v>5117</v>
      </c>
    </row>
    <row r="45490">
      <c r="H45490" t="s">
        <v>5117</v>
      </c>
    </row>
    <row r="45491">
      <c r="H45491" t="s">
        <v>5117</v>
      </c>
    </row>
    <row r="45492">
      <c r="H45492" t="s">
        <v>5117</v>
      </c>
    </row>
    <row r="45493">
      <c r="H45493" t="s">
        <v>5117</v>
      </c>
    </row>
    <row r="45494">
      <c r="H45494" t="s">
        <v>5117</v>
      </c>
    </row>
    <row r="45495">
      <c r="H45495" t="s">
        <v>5117</v>
      </c>
    </row>
    <row r="45496">
      <c r="H45496" t="s">
        <v>5117</v>
      </c>
    </row>
    <row r="45497">
      <c r="H45497" t="s">
        <v>5117</v>
      </c>
    </row>
    <row r="45498">
      <c r="H45498" t="s">
        <v>5117</v>
      </c>
    </row>
    <row r="45499">
      <c r="H45499" t="s">
        <v>5117</v>
      </c>
    </row>
    <row r="45500">
      <c r="H45500" t="s">
        <v>5117</v>
      </c>
    </row>
    <row r="45501">
      <c r="H45501" t="s">
        <v>5117</v>
      </c>
    </row>
    <row r="45502">
      <c r="H45502" t="s">
        <v>5117</v>
      </c>
    </row>
    <row r="45503">
      <c r="H45503" t="s">
        <v>5117</v>
      </c>
    </row>
    <row r="45504">
      <c r="H45504" t="s">
        <v>5117</v>
      </c>
    </row>
    <row r="45505">
      <c r="H45505" t="s">
        <v>5117</v>
      </c>
    </row>
    <row r="45506">
      <c r="H45506" t="s">
        <v>5117</v>
      </c>
    </row>
    <row r="45507">
      <c r="H45507" t="s">
        <v>5117</v>
      </c>
    </row>
    <row r="45508">
      <c r="H45508" t="s">
        <v>5117</v>
      </c>
    </row>
    <row r="45509">
      <c r="H45509" t="s">
        <v>5117</v>
      </c>
    </row>
    <row r="45510">
      <c r="H45510" t="s">
        <v>5117</v>
      </c>
    </row>
    <row r="45511">
      <c r="H45511" t="s">
        <v>5117</v>
      </c>
    </row>
    <row r="45512">
      <c r="H45512" t="s">
        <v>5117</v>
      </c>
    </row>
    <row r="45513">
      <c r="H45513" t="s">
        <v>5117</v>
      </c>
    </row>
    <row r="45514">
      <c r="H45514" t="s">
        <v>5117</v>
      </c>
    </row>
    <row r="45515">
      <c r="H45515" t="s">
        <v>5117</v>
      </c>
    </row>
    <row r="45516">
      <c r="H45516" t="s">
        <v>5117</v>
      </c>
    </row>
    <row r="45517">
      <c r="H45517" t="s">
        <v>5117</v>
      </c>
    </row>
    <row r="45518">
      <c r="H45518" t="s">
        <v>5117</v>
      </c>
    </row>
    <row r="45519">
      <c r="H45519" t="s">
        <v>5117</v>
      </c>
    </row>
    <row r="45520">
      <c r="H45520" t="s">
        <v>5117</v>
      </c>
    </row>
    <row r="45521">
      <c r="H45521" t="s">
        <v>5117</v>
      </c>
    </row>
    <row r="45522">
      <c r="H45522" t="s">
        <v>5117</v>
      </c>
    </row>
    <row r="45523">
      <c r="H45523" t="s">
        <v>5117</v>
      </c>
    </row>
    <row r="45524">
      <c r="H45524" t="s">
        <v>5117</v>
      </c>
    </row>
    <row r="45525">
      <c r="H45525" t="s">
        <v>5117</v>
      </c>
    </row>
    <row r="45526">
      <c r="H45526" t="s">
        <v>5117</v>
      </c>
    </row>
    <row r="45527">
      <c r="H45527" t="s">
        <v>5117</v>
      </c>
    </row>
    <row r="45528">
      <c r="H45528" t="s">
        <v>5117</v>
      </c>
    </row>
    <row r="45529">
      <c r="H45529" t="s">
        <v>5117</v>
      </c>
    </row>
    <row r="45530">
      <c r="H45530" t="s">
        <v>5117</v>
      </c>
    </row>
    <row r="45531">
      <c r="H45531" t="s">
        <v>5117</v>
      </c>
    </row>
    <row r="45532">
      <c r="H45532" t="s">
        <v>5117</v>
      </c>
    </row>
    <row r="45533">
      <c r="H45533" t="s">
        <v>5117</v>
      </c>
    </row>
    <row r="45534">
      <c r="H45534" t="s">
        <v>5117</v>
      </c>
    </row>
    <row r="45535">
      <c r="H45535" t="s">
        <v>5117</v>
      </c>
    </row>
    <row r="45536">
      <c r="H45536" t="s">
        <v>5117</v>
      </c>
    </row>
    <row r="45537">
      <c r="H45537" t="s">
        <v>5117</v>
      </c>
    </row>
    <row r="45538">
      <c r="H45538" t="s">
        <v>5117</v>
      </c>
    </row>
    <row r="45539">
      <c r="H45539" t="s">
        <v>5117</v>
      </c>
    </row>
    <row r="45540">
      <c r="H45540" t="s">
        <v>5117</v>
      </c>
    </row>
    <row r="45541">
      <c r="H45541" t="s">
        <v>5117</v>
      </c>
    </row>
    <row r="45542">
      <c r="H45542" t="s">
        <v>5117</v>
      </c>
    </row>
    <row r="45543">
      <c r="H45543" t="s">
        <v>5117</v>
      </c>
    </row>
    <row r="45544">
      <c r="H45544" t="s">
        <v>5117</v>
      </c>
    </row>
    <row r="45545">
      <c r="H45545" t="s">
        <v>5117</v>
      </c>
    </row>
    <row r="45546">
      <c r="H45546" t="s">
        <v>5117</v>
      </c>
    </row>
    <row r="45547">
      <c r="H45547" t="s">
        <v>5117</v>
      </c>
    </row>
    <row r="45548">
      <c r="H45548" t="s">
        <v>5117</v>
      </c>
    </row>
    <row r="45549">
      <c r="H45549" t="s">
        <v>5117</v>
      </c>
    </row>
    <row r="45550">
      <c r="H45550" t="s">
        <v>5117</v>
      </c>
    </row>
    <row r="45551">
      <c r="H45551" t="s">
        <v>5117</v>
      </c>
    </row>
    <row r="45552">
      <c r="H45552" t="s">
        <v>5117</v>
      </c>
    </row>
    <row r="45553">
      <c r="H45553" t="s">
        <v>5117</v>
      </c>
    </row>
    <row r="45554">
      <c r="H45554" t="s">
        <v>5117</v>
      </c>
    </row>
    <row r="45555">
      <c r="H45555" t="s">
        <v>5117</v>
      </c>
    </row>
    <row r="45556">
      <c r="H45556" t="s">
        <v>5117</v>
      </c>
    </row>
    <row r="45557">
      <c r="H45557" t="s">
        <v>5117</v>
      </c>
    </row>
    <row r="45558">
      <c r="H45558" t="s">
        <v>5117</v>
      </c>
    </row>
    <row r="45559">
      <c r="H45559" t="s">
        <v>5117</v>
      </c>
    </row>
    <row r="45560">
      <c r="H45560" t="s">
        <v>5117</v>
      </c>
    </row>
    <row r="45561">
      <c r="H45561" t="s">
        <v>5117</v>
      </c>
    </row>
    <row r="45562">
      <c r="H45562" t="s">
        <v>5117</v>
      </c>
    </row>
    <row r="45563">
      <c r="H45563" t="s">
        <v>5117</v>
      </c>
    </row>
    <row r="45564">
      <c r="H45564" t="s">
        <v>5117</v>
      </c>
    </row>
    <row r="45565">
      <c r="H45565" t="s">
        <v>5117</v>
      </c>
    </row>
    <row r="45566">
      <c r="H45566" t="s">
        <v>5117</v>
      </c>
    </row>
    <row r="45567">
      <c r="H45567" t="s">
        <v>5117</v>
      </c>
    </row>
    <row r="45568">
      <c r="H45568" t="s">
        <v>5117</v>
      </c>
    </row>
    <row r="45569">
      <c r="H45569" t="s">
        <v>5117</v>
      </c>
    </row>
    <row r="45570">
      <c r="H45570" t="s">
        <v>5117</v>
      </c>
    </row>
    <row r="45571">
      <c r="H45571" t="s">
        <v>5117</v>
      </c>
    </row>
    <row r="45572">
      <c r="H45572" t="s">
        <v>5117</v>
      </c>
    </row>
    <row r="45573">
      <c r="H45573" t="s">
        <v>5117</v>
      </c>
    </row>
    <row r="45574">
      <c r="H45574" t="s">
        <v>5117</v>
      </c>
    </row>
    <row r="45575">
      <c r="H45575" t="s">
        <v>5117</v>
      </c>
    </row>
    <row r="45576">
      <c r="H45576" t="s">
        <v>5117</v>
      </c>
    </row>
    <row r="45577">
      <c r="H45577" t="s">
        <v>5117</v>
      </c>
    </row>
    <row r="45578">
      <c r="H45578" t="s">
        <v>5117</v>
      </c>
    </row>
    <row r="45579">
      <c r="H45579" t="s">
        <v>5117</v>
      </c>
    </row>
    <row r="45580">
      <c r="H45580" t="s">
        <v>5117</v>
      </c>
    </row>
    <row r="45581">
      <c r="H45581" t="s">
        <v>5117</v>
      </c>
    </row>
    <row r="45582">
      <c r="H45582" t="s">
        <v>5117</v>
      </c>
    </row>
    <row r="45583">
      <c r="H45583" t="s">
        <v>5117</v>
      </c>
    </row>
    <row r="45584">
      <c r="H45584" t="s">
        <v>5117</v>
      </c>
    </row>
    <row r="45585">
      <c r="H45585" t="s">
        <v>5117</v>
      </c>
    </row>
    <row r="45586">
      <c r="H45586" t="s">
        <v>5117</v>
      </c>
    </row>
    <row r="45587">
      <c r="H45587" t="s">
        <v>5117</v>
      </c>
    </row>
    <row r="45588">
      <c r="H45588" t="s">
        <v>5117</v>
      </c>
    </row>
    <row r="45589">
      <c r="H45589" t="s">
        <v>5117</v>
      </c>
    </row>
    <row r="45590">
      <c r="H45590" t="s">
        <v>5117</v>
      </c>
    </row>
    <row r="45591">
      <c r="H45591" t="s">
        <v>5117</v>
      </c>
    </row>
    <row r="45592">
      <c r="H45592" t="s">
        <v>5117</v>
      </c>
    </row>
    <row r="45593">
      <c r="H45593" t="s">
        <v>5117</v>
      </c>
    </row>
    <row r="45594">
      <c r="H45594" t="s">
        <v>5117</v>
      </c>
    </row>
    <row r="45595">
      <c r="H45595" t="s">
        <v>5117</v>
      </c>
    </row>
    <row r="45596">
      <c r="H45596" t="s">
        <v>5117</v>
      </c>
    </row>
    <row r="45597">
      <c r="H45597" t="s">
        <v>5117</v>
      </c>
    </row>
    <row r="45598">
      <c r="H45598" t="s">
        <v>5117</v>
      </c>
    </row>
    <row r="45599">
      <c r="H45599" t="s">
        <v>5117</v>
      </c>
    </row>
    <row r="45600">
      <c r="H45600" t="s">
        <v>5117</v>
      </c>
    </row>
    <row r="45601">
      <c r="H45601" t="s">
        <v>5117</v>
      </c>
    </row>
    <row r="45602">
      <c r="H45602" t="s">
        <v>5117</v>
      </c>
    </row>
    <row r="45603">
      <c r="H45603" t="s">
        <v>5117</v>
      </c>
    </row>
    <row r="45604">
      <c r="H45604" t="s">
        <v>5117</v>
      </c>
    </row>
    <row r="45605">
      <c r="H45605" t="s">
        <v>5117</v>
      </c>
    </row>
    <row r="45606">
      <c r="H45606" t="s">
        <v>5117</v>
      </c>
    </row>
    <row r="45607">
      <c r="H45607" t="s">
        <v>5117</v>
      </c>
    </row>
    <row r="45608">
      <c r="H45608" t="s">
        <v>5117</v>
      </c>
    </row>
    <row r="45609">
      <c r="H45609" t="s">
        <v>5117</v>
      </c>
    </row>
    <row r="45610">
      <c r="H45610" t="s">
        <v>5117</v>
      </c>
    </row>
    <row r="45611">
      <c r="H45611" t="s">
        <v>5117</v>
      </c>
    </row>
    <row r="45612">
      <c r="H45612" t="s">
        <v>5117</v>
      </c>
    </row>
    <row r="45613">
      <c r="H45613" t="s">
        <v>5117</v>
      </c>
    </row>
    <row r="45614">
      <c r="H45614" t="s">
        <v>5117</v>
      </c>
    </row>
    <row r="45615">
      <c r="H45615" t="s">
        <v>5117</v>
      </c>
    </row>
    <row r="45616">
      <c r="H45616" t="s">
        <v>5117</v>
      </c>
    </row>
    <row r="45617">
      <c r="H45617" t="s">
        <v>5117</v>
      </c>
    </row>
    <row r="45618">
      <c r="H45618" t="s">
        <v>5117</v>
      </c>
    </row>
    <row r="45619">
      <c r="H45619" t="s">
        <v>5117</v>
      </c>
    </row>
    <row r="45620">
      <c r="H45620" t="s">
        <v>5117</v>
      </c>
    </row>
    <row r="45621">
      <c r="H45621" t="s">
        <v>5117</v>
      </c>
    </row>
    <row r="45622">
      <c r="H45622" t="s">
        <v>5117</v>
      </c>
    </row>
    <row r="45623">
      <c r="H45623" t="s">
        <v>5117</v>
      </c>
    </row>
    <row r="45624">
      <c r="H45624" t="s">
        <v>5117</v>
      </c>
    </row>
    <row r="45625">
      <c r="H45625" t="s">
        <v>5117</v>
      </c>
    </row>
    <row r="45626">
      <c r="H45626" t="s">
        <v>5117</v>
      </c>
    </row>
    <row r="45627">
      <c r="H45627" t="s">
        <v>5117</v>
      </c>
    </row>
    <row r="45628">
      <c r="H45628" t="s">
        <v>5117</v>
      </c>
    </row>
    <row r="45629">
      <c r="H45629" t="s">
        <v>5117</v>
      </c>
    </row>
    <row r="45630">
      <c r="H45630" t="s">
        <v>5117</v>
      </c>
    </row>
    <row r="45631">
      <c r="H45631" t="s">
        <v>5117</v>
      </c>
    </row>
    <row r="45632">
      <c r="H45632" t="s">
        <v>5117</v>
      </c>
    </row>
    <row r="45633">
      <c r="H45633" t="s">
        <v>5117</v>
      </c>
    </row>
    <row r="45634">
      <c r="H45634" t="s">
        <v>5117</v>
      </c>
    </row>
    <row r="45635">
      <c r="H45635" t="s">
        <v>5117</v>
      </c>
    </row>
    <row r="45636">
      <c r="H45636" t="s">
        <v>5117</v>
      </c>
    </row>
    <row r="45637">
      <c r="H45637" t="s">
        <v>5117</v>
      </c>
    </row>
    <row r="45638">
      <c r="H45638" t="s">
        <v>5117</v>
      </c>
    </row>
    <row r="45639">
      <c r="H45639" t="s">
        <v>5117</v>
      </c>
    </row>
    <row r="45640">
      <c r="H45640" t="s">
        <v>5117</v>
      </c>
    </row>
    <row r="45641">
      <c r="H45641" t="s">
        <v>5117</v>
      </c>
    </row>
    <row r="45642">
      <c r="H45642" t="s">
        <v>5117</v>
      </c>
    </row>
    <row r="45643">
      <c r="H45643" t="s">
        <v>5117</v>
      </c>
    </row>
    <row r="45644">
      <c r="H45644" t="s">
        <v>5117</v>
      </c>
    </row>
    <row r="45645">
      <c r="H45645" t="s">
        <v>5117</v>
      </c>
    </row>
    <row r="45646">
      <c r="H45646" t="s">
        <v>5117</v>
      </c>
    </row>
    <row r="45647">
      <c r="H45647" t="s">
        <v>5117</v>
      </c>
    </row>
    <row r="45648">
      <c r="H45648" t="s">
        <v>5117</v>
      </c>
    </row>
    <row r="45649">
      <c r="H45649" t="s">
        <v>5117</v>
      </c>
    </row>
    <row r="45650">
      <c r="H45650" t="s">
        <v>5117</v>
      </c>
    </row>
    <row r="45651">
      <c r="H45651" t="s">
        <v>5117</v>
      </c>
    </row>
    <row r="45652">
      <c r="H45652" t="s">
        <v>5117</v>
      </c>
    </row>
    <row r="45653">
      <c r="H45653" t="s">
        <v>5117</v>
      </c>
    </row>
    <row r="45654">
      <c r="H45654" t="s">
        <v>5117</v>
      </c>
    </row>
    <row r="45655">
      <c r="H45655" t="s">
        <v>5117</v>
      </c>
    </row>
    <row r="45656">
      <c r="H45656" t="s">
        <v>5117</v>
      </c>
    </row>
    <row r="45657">
      <c r="H45657" t="s">
        <v>5117</v>
      </c>
    </row>
    <row r="45658">
      <c r="H45658" t="s">
        <v>5117</v>
      </c>
    </row>
    <row r="45659">
      <c r="H45659" t="s">
        <v>5117</v>
      </c>
    </row>
    <row r="45660">
      <c r="H45660" t="s">
        <v>5117</v>
      </c>
    </row>
    <row r="45661">
      <c r="H45661" t="s">
        <v>5117</v>
      </c>
    </row>
    <row r="45662">
      <c r="H45662" t="s">
        <v>5117</v>
      </c>
    </row>
    <row r="45663">
      <c r="H45663" t="s">
        <v>5117</v>
      </c>
    </row>
    <row r="45664">
      <c r="H45664" t="s">
        <v>5117</v>
      </c>
    </row>
    <row r="45665">
      <c r="H45665" t="s">
        <v>5117</v>
      </c>
    </row>
    <row r="45666">
      <c r="H45666" t="s">
        <v>5117</v>
      </c>
    </row>
    <row r="45667">
      <c r="H45667" t="s">
        <v>5117</v>
      </c>
    </row>
    <row r="45668">
      <c r="H45668" t="s">
        <v>5117</v>
      </c>
    </row>
    <row r="45669">
      <c r="H45669" t="s">
        <v>5117</v>
      </c>
    </row>
    <row r="45670">
      <c r="H45670" t="s">
        <v>5117</v>
      </c>
    </row>
    <row r="45671">
      <c r="H45671" t="s">
        <v>5117</v>
      </c>
    </row>
    <row r="45672">
      <c r="H45672" t="s">
        <v>5117</v>
      </c>
    </row>
    <row r="45673">
      <c r="H45673" t="s">
        <v>5117</v>
      </c>
    </row>
    <row r="45674">
      <c r="H45674" t="s">
        <v>5117</v>
      </c>
    </row>
    <row r="45675">
      <c r="H45675" t="s">
        <v>5117</v>
      </c>
    </row>
    <row r="45676">
      <c r="H45676" t="s">
        <v>5117</v>
      </c>
    </row>
    <row r="45677">
      <c r="H45677" t="s">
        <v>5117</v>
      </c>
    </row>
    <row r="45678">
      <c r="H45678" t="s">
        <v>5117</v>
      </c>
    </row>
    <row r="45679">
      <c r="H45679" t="s">
        <v>5117</v>
      </c>
    </row>
    <row r="45680">
      <c r="H45680" t="s">
        <v>5117</v>
      </c>
    </row>
    <row r="45681">
      <c r="H45681" t="s">
        <v>5117</v>
      </c>
    </row>
    <row r="45682">
      <c r="H45682" t="s">
        <v>5117</v>
      </c>
    </row>
    <row r="45683">
      <c r="H45683" t="s">
        <v>5117</v>
      </c>
    </row>
    <row r="45684">
      <c r="H45684" t="s">
        <v>5117</v>
      </c>
    </row>
    <row r="45685">
      <c r="H45685" t="s">
        <v>5117</v>
      </c>
    </row>
    <row r="45686">
      <c r="H45686" t="s">
        <v>5117</v>
      </c>
    </row>
    <row r="45687">
      <c r="H45687" t="s">
        <v>5117</v>
      </c>
    </row>
    <row r="45688">
      <c r="H45688" t="s">
        <v>5117</v>
      </c>
    </row>
    <row r="45689">
      <c r="H45689" t="s">
        <v>5117</v>
      </c>
    </row>
    <row r="45690">
      <c r="H45690" t="s">
        <v>5117</v>
      </c>
    </row>
    <row r="45691">
      <c r="H45691" t="s">
        <v>5117</v>
      </c>
    </row>
    <row r="45692">
      <c r="H45692" t="s">
        <v>5117</v>
      </c>
    </row>
    <row r="45693">
      <c r="H45693" t="s">
        <v>5117</v>
      </c>
    </row>
    <row r="45694">
      <c r="H45694" t="s">
        <v>5117</v>
      </c>
    </row>
    <row r="45695">
      <c r="H45695" t="s">
        <v>5117</v>
      </c>
    </row>
    <row r="45696">
      <c r="H45696" t="s">
        <v>5117</v>
      </c>
    </row>
    <row r="45697">
      <c r="H45697" t="s">
        <v>5117</v>
      </c>
    </row>
    <row r="45698">
      <c r="H45698" t="s">
        <v>5117</v>
      </c>
    </row>
    <row r="45699">
      <c r="H45699" t="s">
        <v>5117</v>
      </c>
    </row>
    <row r="45700">
      <c r="H45700" t="s">
        <v>5117</v>
      </c>
    </row>
    <row r="45701">
      <c r="H45701" t="s">
        <v>5117</v>
      </c>
    </row>
    <row r="45702">
      <c r="H45702" t="s">
        <v>5117</v>
      </c>
    </row>
    <row r="45703">
      <c r="H45703" t="s">
        <v>5117</v>
      </c>
    </row>
    <row r="45704">
      <c r="H45704" t="s">
        <v>5117</v>
      </c>
    </row>
    <row r="45705">
      <c r="H45705" t="s">
        <v>5117</v>
      </c>
    </row>
    <row r="45706">
      <c r="H45706" t="s">
        <v>5117</v>
      </c>
    </row>
    <row r="45707">
      <c r="H45707" t="s">
        <v>5117</v>
      </c>
    </row>
    <row r="45708">
      <c r="H45708" t="s">
        <v>5117</v>
      </c>
    </row>
    <row r="45709">
      <c r="H45709" t="s">
        <v>5117</v>
      </c>
    </row>
    <row r="45710">
      <c r="H45710" t="s">
        <v>5117</v>
      </c>
    </row>
    <row r="45711">
      <c r="H45711" t="s">
        <v>5117</v>
      </c>
    </row>
    <row r="45712">
      <c r="H45712" t="s">
        <v>5117</v>
      </c>
    </row>
    <row r="45713">
      <c r="H45713" t="s">
        <v>5117</v>
      </c>
    </row>
    <row r="45714">
      <c r="H45714" t="s">
        <v>5117</v>
      </c>
    </row>
    <row r="45715">
      <c r="H45715" t="s">
        <v>5117</v>
      </c>
    </row>
    <row r="45716">
      <c r="H45716" t="s">
        <v>5117</v>
      </c>
    </row>
    <row r="45717">
      <c r="H45717" t="s">
        <v>5117</v>
      </c>
    </row>
    <row r="45718">
      <c r="H45718" t="s">
        <v>5117</v>
      </c>
    </row>
    <row r="45719">
      <c r="H45719" t="s">
        <v>5117</v>
      </c>
    </row>
    <row r="45720">
      <c r="H45720" t="s">
        <v>5117</v>
      </c>
    </row>
    <row r="45721">
      <c r="H45721" t="s">
        <v>5117</v>
      </c>
    </row>
    <row r="45722">
      <c r="H45722" t="s">
        <v>5117</v>
      </c>
    </row>
    <row r="45723">
      <c r="H45723" t="s">
        <v>5117</v>
      </c>
    </row>
    <row r="45724">
      <c r="H45724" t="s">
        <v>5117</v>
      </c>
    </row>
    <row r="45725">
      <c r="H45725" t="s">
        <v>5117</v>
      </c>
    </row>
    <row r="45726">
      <c r="H45726" t="s">
        <v>5117</v>
      </c>
    </row>
    <row r="45727">
      <c r="H45727" t="s">
        <v>5117</v>
      </c>
    </row>
    <row r="45728">
      <c r="H45728" t="s">
        <v>5117</v>
      </c>
    </row>
    <row r="45729">
      <c r="H45729" t="s">
        <v>5117</v>
      </c>
    </row>
    <row r="45730">
      <c r="H45730" t="s">
        <v>5117</v>
      </c>
    </row>
    <row r="45731">
      <c r="H45731" t="s">
        <v>5117</v>
      </c>
    </row>
    <row r="45732">
      <c r="H45732" t="s">
        <v>5117</v>
      </c>
    </row>
    <row r="45733">
      <c r="H45733" t="s">
        <v>5117</v>
      </c>
    </row>
    <row r="45734">
      <c r="H45734" t="s">
        <v>5117</v>
      </c>
    </row>
    <row r="45735">
      <c r="H45735" t="s">
        <v>5117</v>
      </c>
    </row>
    <row r="45736">
      <c r="H45736" t="s">
        <v>5117</v>
      </c>
    </row>
    <row r="45737">
      <c r="H45737" t="s">
        <v>5117</v>
      </c>
    </row>
    <row r="45738">
      <c r="H45738" t="s">
        <v>5117</v>
      </c>
    </row>
    <row r="45739">
      <c r="H45739" t="s">
        <v>5117</v>
      </c>
    </row>
    <row r="45740">
      <c r="H45740" t="s">
        <v>5117</v>
      </c>
    </row>
    <row r="45741">
      <c r="H45741" t="s">
        <v>5117</v>
      </c>
    </row>
    <row r="45742">
      <c r="H45742" t="s">
        <v>5117</v>
      </c>
    </row>
    <row r="45743">
      <c r="H45743" t="s">
        <v>5117</v>
      </c>
    </row>
    <row r="45744">
      <c r="H45744" t="s">
        <v>5117</v>
      </c>
    </row>
    <row r="45745">
      <c r="H45745" t="s">
        <v>5117</v>
      </c>
    </row>
    <row r="45746">
      <c r="H45746" t="s">
        <v>5117</v>
      </c>
    </row>
    <row r="45747">
      <c r="H45747" t="s">
        <v>5117</v>
      </c>
    </row>
    <row r="45748">
      <c r="H45748" t="s">
        <v>5117</v>
      </c>
    </row>
    <row r="45749">
      <c r="H45749" t="s">
        <v>5117</v>
      </c>
    </row>
    <row r="45750">
      <c r="H45750" t="s">
        <v>5117</v>
      </c>
    </row>
    <row r="45751">
      <c r="H45751" t="s">
        <v>5117</v>
      </c>
    </row>
    <row r="45752">
      <c r="H45752" t="s">
        <v>5117</v>
      </c>
    </row>
    <row r="45753">
      <c r="H45753" t="s">
        <v>5117</v>
      </c>
    </row>
    <row r="45754">
      <c r="H45754" t="s">
        <v>5117</v>
      </c>
    </row>
    <row r="45755">
      <c r="H45755" t="s">
        <v>5117</v>
      </c>
    </row>
    <row r="45756">
      <c r="H45756" t="s">
        <v>5117</v>
      </c>
    </row>
    <row r="45757">
      <c r="H45757" t="s">
        <v>5117</v>
      </c>
    </row>
    <row r="45758">
      <c r="H45758" t="s">
        <v>5117</v>
      </c>
    </row>
    <row r="45759">
      <c r="H45759" t="s">
        <v>5117</v>
      </c>
    </row>
    <row r="45760">
      <c r="H45760" t="s">
        <v>5117</v>
      </c>
    </row>
    <row r="45761">
      <c r="H45761" t="s">
        <v>5117</v>
      </c>
    </row>
    <row r="45762">
      <c r="H45762" t="s">
        <v>5117</v>
      </c>
    </row>
    <row r="45763">
      <c r="H45763" t="s">
        <v>5117</v>
      </c>
    </row>
    <row r="45764">
      <c r="H45764" t="s">
        <v>5117</v>
      </c>
    </row>
    <row r="45765">
      <c r="H45765" t="s">
        <v>5117</v>
      </c>
    </row>
    <row r="45766">
      <c r="H45766" t="s">
        <v>5117</v>
      </c>
    </row>
    <row r="45767">
      <c r="H45767" t="s">
        <v>5117</v>
      </c>
    </row>
    <row r="45768">
      <c r="H45768" t="s">
        <v>5117</v>
      </c>
    </row>
    <row r="45769">
      <c r="H45769" t="s">
        <v>5117</v>
      </c>
    </row>
    <row r="45770">
      <c r="H45770" t="s">
        <v>5117</v>
      </c>
    </row>
    <row r="45771">
      <c r="H45771" t="s">
        <v>5117</v>
      </c>
    </row>
    <row r="45772">
      <c r="H45772" t="s">
        <v>5117</v>
      </c>
    </row>
    <row r="45773">
      <c r="H45773" t="s">
        <v>5117</v>
      </c>
    </row>
    <row r="45774">
      <c r="H45774" t="s">
        <v>5117</v>
      </c>
    </row>
    <row r="45775">
      <c r="H45775" t="s">
        <v>5117</v>
      </c>
    </row>
    <row r="45776">
      <c r="H45776" t="s">
        <v>5117</v>
      </c>
    </row>
    <row r="45777">
      <c r="H45777" t="s">
        <v>5117</v>
      </c>
    </row>
    <row r="45778">
      <c r="H45778" t="s">
        <v>5117</v>
      </c>
    </row>
    <row r="45779">
      <c r="H45779" t="s">
        <v>5117</v>
      </c>
    </row>
    <row r="45780">
      <c r="H45780" t="s">
        <v>5117</v>
      </c>
    </row>
    <row r="45781">
      <c r="H45781" t="s">
        <v>5117</v>
      </c>
    </row>
    <row r="45782">
      <c r="H45782" t="s">
        <v>5117</v>
      </c>
    </row>
    <row r="45783">
      <c r="H45783" t="s">
        <v>5117</v>
      </c>
    </row>
    <row r="45784">
      <c r="H45784" t="s">
        <v>5117</v>
      </c>
    </row>
    <row r="45785">
      <c r="H45785" t="s">
        <v>5117</v>
      </c>
    </row>
    <row r="45786">
      <c r="H45786" t="s">
        <v>5117</v>
      </c>
    </row>
    <row r="45787">
      <c r="H45787" t="s">
        <v>5117</v>
      </c>
    </row>
    <row r="45788">
      <c r="H45788" t="s">
        <v>5117</v>
      </c>
    </row>
    <row r="45789">
      <c r="H45789" t="s">
        <v>5117</v>
      </c>
    </row>
    <row r="45790">
      <c r="H45790" t="s">
        <v>5117</v>
      </c>
    </row>
    <row r="45791">
      <c r="H45791" t="s">
        <v>5117</v>
      </c>
    </row>
    <row r="45792">
      <c r="H45792" t="s">
        <v>5117</v>
      </c>
    </row>
    <row r="45793">
      <c r="H45793" t="s">
        <v>5117</v>
      </c>
    </row>
    <row r="45794">
      <c r="H45794" t="s">
        <v>5117</v>
      </c>
    </row>
    <row r="45795">
      <c r="H45795" t="s">
        <v>5117</v>
      </c>
    </row>
    <row r="45796">
      <c r="H45796" t="s">
        <v>5117</v>
      </c>
    </row>
    <row r="45797">
      <c r="H45797" t="s">
        <v>5117</v>
      </c>
    </row>
    <row r="45798">
      <c r="H45798" t="s">
        <v>5117</v>
      </c>
    </row>
    <row r="45799">
      <c r="H45799" t="s">
        <v>5117</v>
      </c>
    </row>
    <row r="45800">
      <c r="H45800" t="s">
        <v>5117</v>
      </c>
    </row>
    <row r="45801">
      <c r="H45801" t="s">
        <v>5117</v>
      </c>
    </row>
    <row r="45802">
      <c r="H45802" t="s">
        <v>5117</v>
      </c>
    </row>
    <row r="45803">
      <c r="H45803" t="s">
        <v>5117</v>
      </c>
    </row>
    <row r="45804">
      <c r="H45804" t="s">
        <v>5117</v>
      </c>
    </row>
    <row r="45805">
      <c r="H45805" t="s">
        <v>5117</v>
      </c>
    </row>
    <row r="45806">
      <c r="H45806" t="s">
        <v>5117</v>
      </c>
    </row>
    <row r="45807">
      <c r="H45807" t="s">
        <v>5117</v>
      </c>
    </row>
    <row r="45808">
      <c r="H45808" t="s">
        <v>5117</v>
      </c>
    </row>
    <row r="45809">
      <c r="H45809" t="s">
        <v>5117</v>
      </c>
    </row>
    <row r="45810">
      <c r="H45810" t="s">
        <v>5117</v>
      </c>
    </row>
    <row r="45811">
      <c r="H45811" t="s">
        <v>5117</v>
      </c>
    </row>
    <row r="45812">
      <c r="H45812" t="s">
        <v>5117</v>
      </c>
    </row>
    <row r="45813">
      <c r="H45813" t="s">
        <v>5117</v>
      </c>
    </row>
    <row r="45814">
      <c r="H45814" t="s">
        <v>5117</v>
      </c>
    </row>
    <row r="45815">
      <c r="H45815" t="s">
        <v>5117</v>
      </c>
    </row>
    <row r="45816">
      <c r="H45816" t="s">
        <v>5117</v>
      </c>
    </row>
    <row r="45817">
      <c r="H45817" t="s">
        <v>5117</v>
      </c>
    </row>
    <row r="45818">
      <c r="H45818" t="s">
        <v>5117</v>
      </c>
    </row>
    <row r="45819">
      <c r="H45819" t="s">
        <v>5117</v>
      </c>
    </row>
    <row r="45820">
      <c r="H45820" t="s">
        <v>5117</v>
      </c>
    </row>
    <row r="45821">
      <c r="H45821" t="s">
        <v>5117</v>
      </c>
    </row>
    <row r="45822">
      <c r="H45822" t="s">
        <v>5117</v>
      </c>
    </row>
    <row r="45823">
      <c r="H45823" t="s">
        <v>5117</v>
      </c>
    </row>
    <row r="45824">
      <c r="H45824" t="s">
        <v>5117</v>
      </c>
    </row>
    <row r="45825">
      <c r="H45825" t="s">
        <v>5117</v>
      </c>
    </row>
    <row r="45826">
      <c r="H45826" t="s">
        <v>5117</v>
      </c>
    </row>
    <row r="45827">
      <c r="H45827" t="s">
        <v>5117</v>
      </c>
    </row>
    <row r="45828">
      <c r="H45828" t="s">
        <v>5117</v>
      </c>
    </row>
    <row r="45829">
      <c r="H45829" t="s">
        <v>5117</v>
      </c>
    </row>
    <row r="45830">
      <c r="H45830" t="s">
        <v>5117</v>
      </c>
    </row>
    <row r="45831">
      <c r="H45831" t="s">
        <v>5117</v>
      </c>
    </row>
    <row r="45832">
      <c r="H45832" t="s">
        <v>5117</v>
      </c>
    </row>
    <row r="45833">
      <c r="H45833" t="s">
        <v>5117</v>
      </c>
    </row>
    <row r="45834">
      <c r="H45834" t="s">
        <v>5117</v>
      </c>
    </row>
    <row r="45835">
      <c r="H45835" t="s">
        <v>5117</v>
      </c>
    </row>
    <row r="45836">
      <c r="H45836" t="s">
        <v>5117</v>
      </c>
    </row>
    <row r="45837">
      <c r="H45837" t="s">
        <v>5117</v>
      </c>
    </row>
    <row r="45838">
      <c r="H45838" t="s">
        <v>5117</v>
      </c>
    </row>
    <row r="45839">
      <c r="H45839" t="s">
        <v>5117</v>
      </c>
    </row>
    <row r="45840">
      <c r="H45840" t="s">
        <v>5117</v>
      </c>
    </row>
    <row r="45841">
      <c r="H45841" t="s">
        <v>5117</v>
      </c>
    </row>
    <row r="45842">
      <c r="H45842" t="s">
        <v>5117</v>
      </c>
    </row>
    <row r="45843">
      <c r="H45843" t="s">
        <v>5117</v>
      </c>
    </row>
    <row r="45844">
      <c r="H45844" t="s">
        <v>5117</v>
      </c>
    </row>
    <row r="45845">
      <c r="H45845" t="s">
        <v>5117</v>
      </c>
    </row>
    <row r="45846">
      <c r="H45846" t="s">
        <v>5117</v>
      </c>
    </row>
    <row r="45847">
      <c r="H45847" t="s">
        <v>5117</v>
      </c>
    </row>
    <row r="45848">
      <c r="H45848" t="s">
        <v>5117</v>
      </c>
    </row>
    <row r="45849">
      <c r="H45849" t="s">
        <v>5117</v>
      </c>
    </row>
    <row r="45850">
      <c r="H45850" t="s">
        <v>5117</v>
      </c>
    </row>
    <row r="45851">
      <c r="H45851" t="s">
        <v>5117</v>
      </c>
    </row>
    <row r="45852">
      <c r="H45852" t="s">
        <v>5117</v>
      </c>
    </row>
    <row r="45853">
      <c r="H45853" t="s">
        <v>5117</v>
      </c>
    </row>
    <row r="45854">
      <c r="H45854" t="s">
        <v>5117</v>
      </c>
    </row>
    <row r="45855">
      <c r="H45855" t="s">
        <v>5117</v>
      </c>
    </row>
    <row r="45856">
      <c r="H45856" t="s">
        <v>5117</v>
      </c>
    </row>
    <row r="45857">
      <c r="H45857" t="s">
        <v>5117</v>
      </c>
    </row>
    <row r="45858">
      <c r="H45858" t="s">
        <v>5117</v>
      </c>
    </row>
    <row r="45859">
      <c r="H45859" t="s">
        <v>5117</v>
      </c>
    </row>
    <row r="45860">
      <c r="H45860" t="s">
        <v>5117</v>
      </c>
    </row>
    <row r="45861">
      <c r="H45861" t="s">
        <v>5117</v>
      </c>
    </row>
    <row r="45862">
      <c r="H45862" t="s">
        <v>5117</v>
      </c>
    </row>
    <row r="45863">
      <c r="H45863" t="s">
        <v>5117</v>
      </c>
    </row>
    <row r="45864">
      <c r="H45864" t="s">
        <v>5117</v>
      </c>
    </row>
    <row r="45865">
      <c r="H45865" t="s">
        <v>5117</v>
      </c>
    </row>
    <row r="45866">
      <c r="H45866" t="s">
        <v>5117</v>
      </c>
    </row>
    <row r="45867">
      <c r="H45867" t="s">
        <v>5117</v>
      </c>
    </row>
    <row r="45868">
      <c r="H45868" t="s">
        <v>5117</v>
      </c>
    </row>
    <row r="45869">
      <c r="H45869" t="s">
        <v>5117</v>
      </c>
    </row>
    <row r="45870">
      <c r="H45870" t="s">
        <v>5117</v>
      </c>
    </row>
    <row r="45871">
      <c r="H45871" t="s">
        <v>5117</v>
      </c>
    </row>
    <row r="45872">
      <c r="H45872" t="s">
        <v>5117</v>
      </c>
    </row>
    <row r="45873">
      <c r="H45873" t="s">
        <v>5117</v>
      </c>
    </row>
    <row r="45874">
      <c r="H45874" t="s">
        <v>5117</v>
      </c>
    </row>
    <row r="45875">
      <c r="H45875" t="s">
        <v>5117</v>
      </c>
    </row>
    <row r="45876">
      <c r="H45876" t="s">
        <v>5117</v>
      </c>
    </row>
    <row r="45877">
      <c r="H45877" t="s">
        <v>5117</v>
      </c>
    </row>
    <row r="45878">
      <c r="H45878" t="s">
        <v>5117</v>
      </c>
    </row>
    <row r="45879">
      <c r="H45879" t="s">
        <v>5117</v>
      </c>
    </row>
    <row r="45880">
      <c r="H45880" t="s">
        <v>5117</v>
      </c>
    </row>
    <row r="45881">
      <c r="H45881" t="s">
        <v>5117</v>
      </c>
    </row>
    <row r="45882">
      <c r="H45882" t="s">
        <v>5117</v>
      </c>
    </row>
    <row r="45883">
      <c r="H45883" t="s">
        <v>5117</v>
      </c>
    </row>
    <row r="45884">
      <c r="H45884" t="s">
        <v>5117</v>
      </c>
    </row>
    <row r="45885">
      <c r="H45885" t="s">
        <v>5117</v>
      </c>
    </row>
    <row r="45886">
      <c r="H45886" t="s">
        <v>5117</v>
      </c>
    </row>
    <row r="45887">
      <c r="H45887" t="s">
        <v>5117</v>
      </c>
    </row>
    <row r="45888">
      <c r="H45888" t="s">
        <v>5117</v>
      </c>
    </row>
    <row r="45889">
      <c r="H45889" t="s">
        <v>5117</v>
      </c>
    </row>
    <row r="45890">
      <c r="H45890" t="s">
        <v>5117</v>
      </c>
    </row>
    <row r="45891">
      <c r="H45891" t="s">
        <v>5117</v>
      </c>
    </row>
    <row r="45892">
      <c r="H45892" t="s">
        <v>5117</v>
      </c>
    </row>
    <row r="45893">
      <c r="H45893" t="s">
        <v>5117</v>
      </c>
    </row>
    <row r="45894">
      <c r="H45894" t="s">
        <v>5117</v>
      </c>
    </row>
    <row r="45895">
      <c r="H45895" t="s">
        <v>5117</v>
      </c>
    </row>
    <row r="45896">
      <c r="H45896" t="s">
        <v>5117</v>
      </c>
    </row>
    <row r="45897">
      <c r="H45897" t="s">
        <v>5117</v>
      </c>
    </row>
    <row r="45898">
      <c r="H45898" t="s">
        <v>5117</v>
      </c>
    </row>
    <row r="45899">
      <c r="H45899" t="s">
        <v>5117</v>
      </c>
    </row>
    <row r="45900">
      <c r="H45900" t="s">
        <v>5117</v>
      </c>
    </row>
    <row r="45901">
      <c r="H45901" t="s">
        <v>5117</v>
      </c>
    </row>
    <row r="45902">
      <c r="H45902" t="s">
        <v>5117</v>
      </c>
    </row>
    <row r="45903">
      <c r="H45903" t="s">
        <v>5117</v>
      </c>
    </row>
    <row r="45904">
      <c r="H45904" t="s">
        <v>5117</v>
      </c>
    </row>
    <row r="45905">
      <c r="H45905" t="s">
        <v>5117</v>
      </c>
    </row>
    <row r="45906">
      <c r="H45906" t="s">
        <v>5117</v>
      </c>
    </row>
    <row r="45907">
      <c r="H45907" t="s">
        <v>5117</v>
      </c>
    </row>
    <row r="45908">
      <c r="H45908" t="s">
        <v>5117</v>
      </c>
    </row>
    <row r="45909">
      <c r="H45909" t="s">
        <v>5117</v>
      </c>
    </row>
    <row r="45910">
      <c r="H45910" t="s">
        <v>5117</v>
      </c>
    </row>
    <row r="45911">
      <c r="H45911" t="s">
        <v>5117</v>
      </c>
    </row>
    <row r="45912">
      <c r="H45912" t="s">
        <v>5117</v>
      </c>
    </row>
    <row r="45913">
      <c r="H45913" t="s">
        <v>5117</v>
      </c>
    </row>
    <row r="45914">
      <c r="H45914" t="s">
        <v>5117</v>
      </c>
    </row>
    <row r="45915">
      <c r="H45915" t="s">
        <v>5117</v>
      </c>
    </row>
    <row r="45916">
      <c r="H45916" t="s">
        <v>5117</v>
      </c>
    </row>
    <row r="45917">
      <c r="H45917" t="s">
        <v>5117</v>
      </c>
    </row>
    <row r="45918">
      <c r="H45918" t="s">
        <v>5117</v>
      </c>
    </row>
    <row r="45919">
      <c r="H45919" t="s">
        <v>5117</v>
      </c>
    </row>
    <row r="45920">
      <c r="H45920" t="s">
        <v>5117</v>
      </c>
    </row>
    <row r="45921">
      <c r="H45921" t="s">
        <v>5117</v>
      </c>
    </row>
    <row r="45922">
      <c r="H45922" t="s">
        <v>5117</v>
      </c>
    </row>
    <row r="45923">
      <c r="H45923" t="s">
        <v>5117</v>
      </c>
    </row>
    <row r="45924">
      <c r="H45924" t="s">
        <v>5117</v>
      </c>
    </row>
    <row r="45925">
      <c r="H45925" t="s">
        <v>5117</v>
      </c>
    </row>
    <row r="45926">
      <c r="H45926" t="s">
        <v>5117</v>
      </c>
    </row>
    <row r="45927">
      <c r="H45927" t="s">
        <v>5117</v>
      </c>
    </row>
    <row r="45928">
      <c r="H45928" t="s">
        <v>5117</v>
      </c>
    </row>
    <row r="45929">
      <c r="H45929" t="s">
        <v>5117</v>
      </c>
    </row>
    <row r="45930">
      <c r="H45930" t="s">
        <v>5117</v>
      </c>
    </row>
    <row r="45931">
      <c r="H45931" t="s">
        <v>5117</v>
      </c>
    </row>
    <row r="45932">
      <c r="H45932" t="s">
        <v>5117</v>
      </c>
    </row>
    <row r="45933">
      <c r="H45933" t="s">
        <v>5117</v>
      </c>
    </row>
    <row r="45934">
      <c r="H45934" t="s">
        <v>5117</v>
      </c>
    </row>
    <row r="45935">
      <c r="H45935" t="s">
        <v>5117</v>
      </c>
    </row>
    <row r="45936">
      <c r="H45936" t="s">
        <v>5117</v>
      </c>
    </row>
    <row r="45937">
      <c r="H45937" t="s">
        <v>5117</v>
      </c>
    </row>
    <row r="45938">
      <c r="H45938" t="s">
        <v>5117</v>
      </c>
    </row>
    <row r="45939">
      <c r="H45939" t="s">
        <v>5117</v>
      </c>
    </row>
    <row r="45940">
      <c r="H45940" t="s">
        <v>5117</v>
      </c>
    </row>
    <row r="45941">
      <c r="H45941" t="s">
        <v>5117</v>
      </c>
    </row>
    <row r="45942">
      <c r="H45942" t="s">
        <v>5117</v>
      </c>
    </row>
    <row r="45943">
      <c r="H45943" t="s">
        <v>5117</v>
      </c>
    </row>
    <row r="45944">
      <c r="H45944" t="s">
        <v>5117</v>
      </c>
    </row>
    <row r="45945">
      <c r="H45945" t="s">
        <v>5117</v>
      </c>
    </row>
    <row r="45946">
      <c r="H45946" t="s">
        <v>5117</v>
      </c>
    </row>
    <row r="45947">
      <c r="H45947" t="s">
        <v>5117</v>
      </c>
    </row>
    <row r="45948">
      <c r="H45948" t="s">
        <v>5117</v>
      </c>
    </row>
    <row r="45949">
      <c r="H45949" t="s">
        <v>5117</v>
      </c>
    </row>
    <row r="45950">
      <c r="H45950" t="s">
        <v>5117</v>
      </c>
    </row>
    <row r="45951">
      <c r="H45951" t="s">
        <v>5117</v>
      </c>
    </row>
    <row r="45952">
      <c r="H45952" t="s">
        <v>5117</v>
      </c>
    </row>
    <row r="45953">
      <c r="H45953" t="s">
        <v>5117</v>
      </c>
    </row>
    <row r="45954">
      <c r="H45954" t="s">
        <v>5117</v>
      </c>
    </row>
    <row r="45955">
      <c r="H45955" t="s">
        <v>5117</v>
      </c>
    </row>
    <row r="45956">
      <c r="H45956" t="s">
        <v>5117</v>
      </c>
    </row>
    <row r="45957">
      <c r="H45957" t="s">
        <v>5117</v>
      </c>
    </row>
    <row r="45958">
      <c r="H45958" t="s">
        <v>5117</v>
      </c>
    </row>
    <row r="45959">
      <c r="H45959" t="s">
        <v>5117</v>
      </c>
    </row>
    <row r="45960">
      <c r="H45960" t="s">
        <v>5117</v>
      </c>
    </row>
    <row r="45961">
      <c r="H45961" t="s">
        <v>5117</v>
      </c>
    </row>
    <row r="45962">
      <c r="H45962" t="s">
        <v>5117</v>
      </c>
    </row>
    <row r="45963">
      <c r="H45963" t="s">
        <v>5117</v>
      </c>
    </row>
    <row r="45964">
      <c r="H45964" t="s">
        <v>5117</v>
      </c>
    </row>
    <row r="45965">
      <c r="H45965" t="s">
        <v>5117</v>
      </c>
    </row>
    <row r="45966">
      <c r="H45966" t="s">
        <v>5117</v>
      </c>
    </row>
    <row r="45967">
      <c r="H45967" t="s">
        <v>5117</v>
      </c>
    </row>
    <row r="45968">
      <c r="H45968" t="s">
        <v>5117</v>
      </c>
    </row>
    <row r="45969">
      <c r="H45969" t="s">
        <v>5117</v>
      </c>
    </row>
    <row r="45970">
      <c r="H45970" t="s">
        <v>5117</v>
      </c>
    </row>
    <row r="45971">
      <c r="H45971" t="s">
        <v>5117</v>
      </c>
    </row>
    <row r="45972">
      <c r="H45972" t="s">
        <v>5117</v>
      </c>
    </row>
    <row r="45973">
      <c r="H45973" t="s">
        <v>5117</v>
      </c>
    </row>
    <row r="45974">
      <c r="H45974" t="s">
        <v>5117</v>
      </c>
    </row>
    <row r="45975">
      <c r="H45975" t="s">
        <v>5117</v>
      </c>
    </row>
    <row r="45976">
      <c r="H45976" t="s">
        <v>5117</v>
      </c>
    </row>
    <row r="45977">
      <c r="H45977" t="s">
        <v>5117</v>
      </c>
    </row>
    <row r="45978">
      <c r="H45978" t="s">
        <v>5117</v>
      </c>
    </row>
    <row r="45979">
      <c r="H45979" t="s">
        <v>5117</v>
      </c>
    </row>
    <row r="45980">
      <c r="H45980" t="s">
        <v>5117</v>
      </c>
    </row>
    <row r="45981">
      <c r="H45981" t="s">
        <v>5117</v>
      </c>
    </row>
    <row r="45982">
      <c r="H45982" t="s">
        <v>5117</v>
      </c>
    </row>
    <row r="45983">
      <c r="H45983" t="s">
        <v>5117</v>
      </c>
    </row>
    <row r="45984">
      <c r="H45984" t="s">
        <v>5117</v>
      </c>
    </row>
    <row r="45985">
      <c r="H45985" t="s">
        <v>5117</v>
      </c>
    </row>
    <row r="45986">
      <c r="H45986" t="s">
        <v>5117</v>
      </c>
    </row>
    <row r="45987">
      <c r="H45987" t="s">
        <v>5117</v>
      </c>
    </row>
    <row r="45988">
      <c r="H45988" t="s">
        <v>5117</v>
      </c>
    </row>
    <row r="45989">
      <c r="H45989" t="s">
        <v>5117</v>
      </c>
    </row>
    <row r="45990">
      <c r="H45990" t="s">
        <v>5117</v>
      </c>
    </row>
    <row r="45991">
      <c r="H45991" t="s">
        <v>5117</v>
      </c>
    </row>
    <row r="45992">
      <c r="H45992" t="s">
        <v>5117</v>
      </c>
    </row>
    <row r="45993">
      <c r="H45993" t="s">
        <v>5117</v>
      </c>
    </row>
    <row r="45994">
      <c r="H45994" t="s">
        <v>5117</v>
      </c>
    </row>
    <row r="45995">
      <c r="H45995" t="s">
        <v>5117</v>
      </c>
    </row>
    <row r="45996">
      <c r="H45996" t="s">
        <v>5117</v>
      </c>
    </row>
    <row r="45997">
      <c r="H45997" t="s">
        <v>5117</v>
      </c>
    </row>
    <row r="45998">
      <c r="H45998" t="s">
        <v>5117</v>
      </c>
    </row>
    <row r="45999">
      <c r="H45999" t="s">
        <v>5117</v>
      </c>
    </row>
    <row r="46000">
      <c r="H46000" t="s">
        <v>5117</v>
      </c>
    </row>
    <row r="46001">
      <c r="H46001" t="s">
        <v>5117</v>
      </c>
    </row>
    <row r="46002">
      <c r="H46002" t="s">
        <v>5117</v>
      </c>
    </row>
    <row r="46003">
      <c r="H46003" t="s">
        <v>5117</v>
      </c>
    </row>
    <row r="46004">
      <c r="H46004" t="s">
        <v>5117</v>
      </c>
    </row>
    <row r="46005">
      <c r="H46005" t="s">
        <v>5117</v>
      </c>
    </row>
    <row r="46006">
      <c r="H46006" t="s">
        <v>5117</v>
      </c>
    </row>
    <row r="46007">
      <c r="H46007" t="s">
        <v>5117</v>
      </c>
    </row>
    <row r="46008">
      <c r="H46008" t="s">
        <v>5117</v>
      </c>
    </row>
    <row r="46009">
      <c r="H46009" t="s">
        <v>5117</v>
      </c>
    </row>
    <row r="46010">
      <c r="H46010" t="s">
        <v>5117</v>
      </c>
    </row>
    <row r="46011">
      <c r="H46011" t="s">
        <v>5117</v>
      </c>
    </row>
    <row r="46012">
      <c r="H46012" t="s">
        <v>5117</v>
      </c>
    </row>
    <row r="46013">
      <c r="H46013" t="s">
        <v>5117</v>
      </c>
    </row>
    <row r="46014">
      <c r="H46014" t="s">
        <v>5117</v>
      </c>
    </row>
    <row r="46015">
      <c r="H46015" t="s">
        <v>5117</v>
      </c>
    </row>
    <row r="46016">
      <c r="H46016" t="s">
        <v>5117</v>
      </c>
    </row>
    <row r="46017">
      <c r="H46017" t="s">
        <v>5117</v>
      </c>
    </row>
    <row r="46018">
      <c r="H46018" t="s">
        <v>5117</v>
      </c>
    </row>
    <row r="46019">
      <c r="H46019" t="s">
        <v>5117</v>
      </c>
    </row>
    <row r="46020">
      <c r="H46020" t="s">
        <v>5117</v>
      </c>
    </row>
    <row r="46021">
      <c r="H46021" t="s">
        <v>5117</v>
      </c>
    </row>
    <row r="46022">
      <c r="H46022" t="s">
        <v>5117</v>
      </c>
    </row>
    <row r="46023">
      <c r="H46023" t="s">
        <v>5117</v>
      </c>
    </row>
    <row r="46024">
      <c r="H46024" t="s">
        <v>5117</v>
      </c>
    </row>
    <row r="46025">
      <c r="H46025" t="s">
        <v>5117</v>
      </c>
    </row>
    <row r="46026">
      <c r="H46026" t="s">
        <v>5117</v>
      </c>
    </row>
    <row r="46027">
      <c r="H46027" t="s">
        <v>5117</v>
      </c>
    </row>
    <row r="46028">
      <c r="H46028" t="s">
        <v>5117</v>
      </c>
    </row>
    <row r="46029">
      <c r="H46029" t="s">
        <v>5117</v>
      </c>
    </row>
    <row r="46030">
      <c r="H46030" t="s">
        <v>5117</v>
      </c>
    </row>
    <row r="46031">
      <c r="H46031" t="s">
        <v>5117</v>
      </c>
    </row>
    <row r="46032">
      <c r="H46032" t="s">
        <v>5117</v>
      </c>
    </row>
    <row r="46033">
      <c r="H46033" t="s">
        <v>5117</v>
      </c>
    </row>
    <row r="46034">
      <c r="H46034" t="s">
        <v>5117</v>
      </c>
    </row>
    <row r="46035">
      <c r="H46035" t="s">
        <v>5117</v>
      </c>
    </row>
    <row r="46036">
      <c r="H46036" t="s">
        <v>5117</v>
      </c>
    </row>
    <row r="46037">
      <c r="H46037" t="s">
        <v>5117</v>
      </c>
    </row>
    <row r="46038">
      <c r="H46038" t="s">
        <v>5117</v>
      </c>
    </row>
    <row r="46039">
      <c r="H46039" t="s">
        <v>5117</v>
      </c>
    </row>
    <row r="46040">
      <c r="H46040" t="s">
        <v>5117</v>
      </c>
    </row>
    <row r="46041">
      <c r="H46041" t="s">
        <v>5117</v>
      </c>
    </row>
    <row r="46042">
      <c r="H46042" t="s">
        <v>5117</v>
      </c>
    </row>
    <row r="46043">
      <c r="H46043" t="s">
        <v>5117</v>
      </c>
    </row>
    <row r="46044">
      <c r="H46044" t="s">
        <v>5117</v>
      </c>
    </row>
    <row r="46045">
      <c r="H46045" t="s">
        <v>5117</v>
      </c>
    </row>
    <row r="46046">
      <c r="H46046" t="s">
        <v>5117</v>
      </c>
    </row>
    <row r="46047">
      <c r="H46047" t="s">
        <v>5117</v>
      </c>
    </row>
    <row r="46048">
      <c r="H46048" t="s">
        <v>5117</v>
      </c>
    </row>
    <row r="46049">
      <c r="H46049" t="s">
        <v>5117</v>
      </c>
    </row>
    <row r="46050">
      <c r="H46050" t="s">
        <v>5117</v>
      </c>
    </row>
    <row r="46051">
      <c r="H46051" t="s">
        <v>5117</v>
      </c>
    </row>
    <row r="46052">
      <c r="H46052" t="s">
        <v>5117</v>
      </c>
    </row>
    <row r="46053">
      <c r="H46053" t="s">
        <v>5117</v>
      </c>
    </row>
    <row r="46054">
      <c r="H46054" t="s">
        <v>5117</v>
      </c>
    </row>
    <row r="46055">
      <c r="H46055" t="s">
        <v>5117</v>
      </c>
    </row>
    <row r="46056">
      <c r="H46056" t="s">
        <v>5117</v>
      </c>
    </row>
    <row r="46057">
      <c r="H46057" t="s">
        <v>5117</v>
      </c>
    </row>
    <row r="46058">
      <c r="H46058" t="s">
        <v>5117</v>
      </c>
    </row>
    <row r="46059">
      <c r="H46059" t="s">
        <v>5117</v>
      </c>
    </row>
    <row r="46060">
      <c r="H46060" t="s">
        <v>5117</v>
      </c>
    </row>
    <row r="46061">
      <c r="H46061" t="s">
        <v>5117</v>
      </c>
    </row>
    <row r="46062">
      <c r="H46062" t="s">
        <v>5117</v>
      </c>
    </row>
    <row r="46063">
      <c r="H46063" t="s">
        <v>5117</v>
      </c>
    </row>
    <row r="46064">
      <c r="H46064" t="s">
        <v>5117</v>
      </c>
    </row>
    <row r="46065">
      <c r="H46065" t="s">
        <v>5117</v>
      </c>
    </row>
    <row r="46066">
      <c r="H46066" t="s">
        <v>5117</v>
      </c>
    </row>
    <row r="46067">
      <c r="H46067" t="s">
        <v>5117</v>
      </c>
    </row>
    <row r="46068">
      <c r="H46068" t="s">
        <v>5117</v>
      </c>
    </row>
    <row r="46069">
      <c r="H46069" t="s">
        <v>5117</v>
      </c>
    </row>
    <row r="46070">
      <c r="H46070" t="s">
        <v>5117</v>
      </c>
    </row>
    <row r="46071">
      <c r="H46071" t="s">
        <v>5117</v>
      </c>
    </row>
    <row r="46072">
      <c r="H46072" t="s">
        <v>5117</v>
      </c>
    </row>
    <row r="46073">
      <c r="H46073" t="s">
        <v>5117</v>
      </c>
    </row>
    <row r="46074">
      <c r="H46074" t="s">
        <v>5117</v>
      </c>
    </row>
    <row r="46075">
      <c r="H46075" t="s">
        <v>5117</v>
      </c>
    </row>
    <row r="46076">
      <c r="H46076" t="s">
        <v>5117</v>
      </c>
    </row>
    <row r="46077">
      <c r="H46077" t="s">
        <v>5117</v>
      </c>
    </row>
    <row r="46078">
      <c r="H46078" t="s">
        <v>5117</v>
      </c>
    </row>
    <row r="46079">
      <c r="H46079" t="s">
        <v>5117</v>
      </c>
    </row>
    <row r="46080">
      <c r="H46080" t="s">
        <v>5117</v>
      </c>
    </row>
    <row r="46081">
      <c r="H46081" t="s">
        <v>5117</v>
      </c>
    </row>
    <row r="46082">
      <c r="H46082" t="s">
        <v>5117</v>
      </c>
    </row>
    <row r="46083">
      <c r="H46083" t="s">
        <v>5117</v>
      </c>
    </row>
    <row r="46084">
      <c r="H46084" t="s">
        <v>5117</v>
      </c>
    </row>
    <row r="46085">
      <c r="H46085" t="s">
        <v>5117</v>
      </c>
    </row>
    <row r="46086">
      <c r="H46086" t="s">
        <v>5117</v>
      </c>
    </row>
    <row r="46087">
      <c r="H46087" t="s">
        <v>5117</v>
      </c>
    </row>
    <row r="46088">
      <c r="H46088" t="s">
        <v>5117</v>
      </c>
    </row>
    <row r="46089">
      <c r="H46089" t="s">
        <v>5117</v>
      </c>
    </row>
    <row r="46090">
      <c r="H46090" t="s">
        <v>5117</v>
      </c>
    </row>
    <row r="46091">
      <c r="H46091" t="s">
        <v>5117</v>
      </c>
    </row>
    <row r="46092">
      <c r="H46092" t="s">
        <v>5117</v>
      </c>
    </row>
    <row r="46093">
      <c r="H46093" t="s">
        <v>5117</v>
      </c>
    </row>
    <row r="46094">
      <c r="H46094" t="s">
        <v>5117</v>
      </c>
    </row>
    <row r="46095">
      <c r="H46095" t="s">
        <v>5117</v>
      </c>
    </row>
    <row r="46096">
      <c r="H46096" t="s">
        <v>5117</v>
      </c>
    </row>
    <row r="46097">
      <c r="H46097" t="s">
        <v>5117</v>
      </c>
    </row>
    <row r="46098">
      <c r="H46098" t="s">
        <v>5117</v>
      </c>
    </row>
    <row r="46099">
      <c r="H46099" t="s">
        <v>5117</v>
      </c>
    </row>
    <row r="46100">
      <c r="H46100" t="s">
        <v>5117</v>
      </c>
    </row>
    <row r="46101">
      <c r="H46101" t="s">
        <v>5117</v>
      </c>
    </row>
    <row r="46102">
      <c r="H46102" t="s">
        <v>5117</v>
      </c>
    </row>
    <row r="46103">
      <c r="H46103" t="s">
        <v>5117</v>
      </c>
    </row>
    <row r="46104">
      <c r="H46104" t="s">
        <v>5117</v>
      </c>
    </row>
    <row r="46105">
      <c r="H46105" t="s">
        <v>5117</v>
      </c>
    </row>
    <row r="46106">
      <c r="H46106" t="s">
        <v>5117</v>
      </c>
    </row>
    <row r="46107">
      <c r="H46107" t="s">
        <v>5117</v>
      </c>
    </row>
    <row r="46108">
      <c r="H46108" t="s">
        <v>5117</v>
      </c>
    </row>
    <row r="46109">
      <c r="H46109" t="s">
        <v>5117</v>
      </c>
    </row>
    <row r="46110">
      <c r="H46110" t="s">
        <v>5117</v>
      </c>
    </row>
    <row r="46111">
      <c r="H46111" t="s">
        <v>5117</v>
      </c>
    </row>
    <row r="46112">
      <c r="H46112" t="s">
        <v>5117</v>
      </c>
    </row>
    <row r="46113">
      <c r="H46113" t="s">
        <v>5117</v>
      </c>
    </row>
    <row r="46114">
      <c r="H46114" t="s">
        <v>5117</v>
      </c>
    </row>
    <row r="46115">
      <c r="H46115" t="s">
        <v>5117</v>
      </c>
    </row>
    <row r="46116">
      <c r="H46116" t="s">
        <v>5117</v>
      </c>
    </row>
    <row r="46117">
      <c r="H46117" t="s">
        <v>5117</v>
      </c>
    </row>
    <row r="46118">
      <c r="H46118" t="s">
        <v>5117</v>
      </c>
    </row>
    <row r="46119">
      <c r="H46119" t="s">
        <v>5117</v>
      </c>
    </row>
    <row r="46120">
      <c r="H46120" t="s">
        <v>5117</v>
      </c>
    </row>
    <row r="46121">
      <c r="H46121" t="s">
        <v>5117</v>
      </c>
    </row>
    <row r="46122">
      <c r="H46122" t="s">
        <v>5117</v>
      </c>
    </row>
    <row r="46123">
      <c r="H46123" t="s">
        <v>5117</v>
      </c>
    </row>
    <row r="46124">
      <c r="H46124" t="s">
        <v>5117</v>
      </c>
    </row>
    <row r="46125">
      <c r="H46125" t="s">
        <v>5117</v>
      </c>
    </row>
    <row r="46126">
      <c r="H46126" t="s">
        <v>5117</v>
      </c>
    </row>
    <row r="46127">
      <c r="H46127" t="s">
        <v>5117</v>
      </c>
    </row>
    <row r="46128">
      <c r="H46128" t="s">
        <v>5117</v>
      </c>
    </row>
    <row r="46129">
      <c r="H46129" t="s">
        <v>5117</v>
      </c>
    </row>
    <row r="46130">
      <c r="H46130" t="s">
        <v>5117</v>
      </c>
    </row>
    <row r="46131">
      <c r="H46131" t="s">
        <v>5117</v>
      </c>
    </row>
    <row r="46132">
      <c r="H46132" t="s">
        <v>5117</v>
      </c>
    </row>
    <row r="46133">
      <c r="H46133" t="s">
        <v>5117</v>
      </c>
    </row>
    <row r="46134">
      <c r="H46134" t="s">
        <v>5117</v>
      </c>
    </row>
    <row r="46135">
      <c r="H46135" t="s">
        <v>5117</v>
      </c>
    </row>
    <row r="46136">
      <c r="H46136" t="s">
        <v>5117</v>
      </c>
    </row>
    <row r="46137">
      <c r="H46137" t="s">
        <v>5117</v>
      </c>
    </row>
    <row r="46138">
      <c r="H46138" t="s">
        <v>5117</v>
      </c>
    </row>
    <row r="46139">
      <c r="H46139" t="s">
        <v>5117</v>
      </c>
    </row>
    <row r="46140">
      <c r="H46140" t="s">
        <v>5117</v>
      </c>
    </row>
    <row r="46141">
      <c r="H46141" t="s">
        <v>5117</v>
      </c>
    </row>
    <row r="46142">
      <c r="H46142" t="s">
        <v>5117</v>
      </c>
    </row>
    <row r="46143">
      <c r="H46143" t="s">
        <v>5117</v>
      </c>
    </row>
    <row r="46144">
      <c r="H46144" t="s">
        <v>5117</v>
      </c>
    </row>
    <row r="46145">
      <c r="H46145" t="s">
        <v>5117</v>
      </c>
    </row>
    <row r="46146">
      <c r="H46146" t="s">
        <v>5117</v>
      </c>
    </row>
    <row r="46147">
      <c r="H46147" t="s">
        <v>5117</v>
      </c>
    </row>
    <row r="46148">
      <c r="H46148" t="s">
        <v>5117</v>
      </c>
    </row>
    <row r="46149">
      <c r="H46149" t="s">
        <v>5117</v>
      </c>
    </row>
    <row r="46150">
      <c r="H46150" t="s">
        <v>5117</v>
      </c>
    </row>
    <row r="46151">
      <c r="H46151" t="s">
        <v>5117</v>
      </c>
    </row>
    <row r="46152">
      <c r="H46152" t="s">
        <v>5117</v>
      </c>
    </row>
    <row r="46153">
      <c r="H46153" t="s">
        <v>5117</v>
      </c>
    </row>
    <row r="46154">
      <c r="H46154" t="s">
        <v>5117</v>
      </c>
    </row>
    <row r="46155">
      <c r="H46155" t="s">
        <v>5117</v>
      </c>
    </row>
    <row r="46156">
      <c r="H46156" t="s">
        <v>5117</v>
      </c>
    </row>
    <row r="46157">
      <c r="H46157" t="s">
        <v>5117</v>
      </c>
    </row>
    <row r="46158">
      <c r="H46158" t="s">
        <v>5117</v>
      </c>
    </row>
    <row r="46159">
      <c r="H46159" t="s">
        <v>5117</v>
      </c>
    </row>
    <row r="46160">
      <c r="H46160" t="s">
        <v>5117</v>
      </c>
    </row>
    <row r="46161">
      <c r="H46161" t="s">
        <v>5117</v>
      </c>
    </row>
    <row r="46162">
      <c r="H46162" t="s">
        <v>5117</v>
      </c>
    </row>
    <row r="46163">
      <c r="H46163" t="s">
        <v>5117</v>
      </c>
    </row>
    <row r="46164">
      <c r="H46164" t="s">
        <v>5117</v>
      </c>
    </row>
    <row r="46165">
      <c r="H46165" t="s">
        <v>5117</v>
      </c>
    </row>
    <row r="46166">
      <c r="H46166" t="s">
        <v>5117</v>
      </c>
    </row>
    <row r="46167">
      <c r="H46167" t="s">
        <v>5117</v>
      </c>
    </row>
    <row r="46168">
      <c r="H46168" t="s">
        <v>5117</v>
      </c>
    </row>
    <row r="46169">
      <c r="H46169" t="s">
        <v>5117</v>
      </c>
    </row>
    <row r="46170">
      <c r="H46170" t="s">
        <v>5117</v>
      </c>
    </row>
    <row r="46171">
      <c r="H46171" t="s">
        <v>5117</v>
      </c>
    </row>
    <row r="46172">
      <c r="H46172" t="s">
        <v>5117</v>
      </c>
    </row>
    <row r="46173">
      <c r="H46173" t="s">
        <v>5117</v>
      </c>
    </row>
    <row r="46174">
      <c r="H46174" t="s">
        <v>5117</v>
      </c>
    </row>
    <row r="46175">
      <c r="H46175" t="s">
        <v>5117</v>
      </c>
    </row>
    <row r="46176">
      <c r="H46176" t="s">
        <v>5117</v>
      </c>
    </row>
    <row r="46177">
      <c r="H46177" t="s">
        <v>5117</v>
      </c>
    </row>
    <row r="46178">
      <c r="H46178" t="s">
        <v>5117</v>
      </c>
    </row>
    <row r="46179">
      <c r="H46179" t="s">
        <v>5117</v>
      </c>
    </row>
    <row r="46180">
      <c r="H46180" t="s">
        <v>5117</v>
      </c>
    </row>
    <row r="46181">
      <c r="H46181" t="s">
        <v>5117</v>
      </c>
    </row>
    <row r="46182">
      <c r="H46182" t="s">
        <v>5117</v>
      </c>
    </row>
    <row r="46183">
      <c r="H46183" t="s">
        <v>5117</v>
      </c>
    </row>
    <row r="46184">
      <c r="H46184" t="s">
        <v>5117</v>
      </c>
    </row>
    <row r="46185">
      <c r="H46185" t="s">
        <v>5117</v>
      </c>
    </row>
    <row r="46186">
      <c r="H46186" t="s">
        <v>5117</v>
      </c>
    </row>
    <row r="46187">
      <c r="H46187" t="s">
        <v>5117</v>
      </c>
    </row>
    <row r="46188">
      <c r="H46188" t="s">
        <v>5117</v>
      </c>
    </row>
    <row r="46189">
      <c r="H46189" t="s">
        <v>5117</v>
      </c>
    </row>
    <row r="46190">
      <c r="H46190" t="s">
        <v>5117</v>
      </c>
    </row>
    <row r="46191">
      <c r="H46191" t="s">
        <v>5117</v>
      </c>
    </row>
    <row r="46192">
      <c r="H46192" t="s">
        <v>5117</v>
      </c>
    </row>
    <row r="46193">
      <c r="H46193" t="s">
        <v>5117</v>
      </c>
    </row>
    <row r="46194">
      <c r="H46194" t="s">
        <v>5117</v>
      </c>
    </row>
    <row r="46195">
      <c r="H46195" t="s">
        <v>5117</v>
      </c>
    </row>
    <row r="46196">
      <c r="H46196" t="s">
        <v>5117</v>
      </c>
    </row>
    <row r="46197">
      <c r="H46197" t="s">
        <v>5117</v>
      </c>
    </row>
    <row r="46198">
      <c r="H46198" t="s">
        <v>5117</v>
      </c>
    </row>
    <row r="46199">
      <c r="H46199" t="s">
        <v>5117</v>
      </c>
    </row>
    <row r="46200">
      <c r="H46200" t="s">
        <v>5117</v>
      </c>
    </row>
    <row r="46201">
      <c r="H46201" t="s">
        <v>5117</v>
      </c>
    </row>
    <row r="46202">
      <c r="H46202" t="s">
        <v>5117</v>
      </c>
    </row>
    <row r="46203">
      <c r="H46203" t="s">
        <v>5117</v>
      </c>
    </row>
    <row r="46204">
      <c r="H46204" t="s">
        <v>5117</v>
      </c>
    </row>
    <row r="46205">
      <c r="H46205" t="s">
        <v>5117</v>
      </c>
    </row>
    <row r="46206">
      <c r="H46206" t="s">
        <v>5117</v>
      </c>
    </row>
    <row r="46207">
      <c r="H46207" t="s">
        <v>5117</v>
      </c>
    </row>
    <row r="46208">
      <c r="H46208" t="s">
        <v>5117</v>
      </c>
    </row>
    <row r="46209">
      <c r="H46209" t="s">
        <v>5117</v>
      </c>
    </row>
    <row r="46210">
      <c r="H46210" t="s">
        <v>5117</v>
      </c>
    </row>
    <row r="46211">
      <c r="H46211" t="s">
        <v>5117</v>
      </c>
    </row>
    <row r="46212">
      <c r="H46212" t="s">
        <v>5117</v>
      </c>
    </row>
    <row r="46213">
      <c r="H46213" t="s">
        <v>5117</v>
      </c>
    </row>
    <row r="46214">
      <c r="H46214" t="s">
        <v>5117</v>
      </c>
    </row>
    <row r="46215">
      <c r="H46215" t="s">
        <v>5117</v>
      </c>
    </row>
    <row r="46216">
      <c r="H46216" t="s">
        <v>5117</v>
      </c>
    </row>
    <row r="46217">
      <c r="H46217" t="s">
        <v>5117</v>
      </c>
    </row>
    <row r="46218">
      <c r="H46218" t="s">
        <v>5117</v>
      </c>
    </row>
    <row r="46219">
      <c r="H46219" t="s">
        <v>5117</v>
      </c>
    </row>
    <row r="46220">
      <c r="H46220" t="s">
        <v>5117</v>
      </c>
    </row>
    <row r="46221">
      <c r="H46221" t="s">
        <v>5117</v>
      </c>
    </row>
    <row r="46222">
      <c r="H46222" t="s">
        <v>5117</v>
      </c>
    </row>
    <row r="46223">
      <c r="H46223" t="s">
        <v>5117</v>
      </c>
    </row>
    <row r="46224">
      <c r="H46224" t="s">
        <v>5117</v>
      </c>
    </row>
    <row r="46225">
      <c r="H46225" t="s">
        <v>5117</v>
      </c>
    </row>
    <row r="46226">
      <c r="H46226" t="s">
        <v>5117</v>
      </c>
    </row>
    <row r="46227">
      <c r="H46227" t="s">
        <v>5117</v>
      </c>
    </row>
    <row r="46228">
      <c r="H46228" t="s">
        <v>5117</v>
      </c>
    </row>
    <row r="46229">
      <c r="H46229" t="s">
        <v>5117</v>
      </c>
    </row>
    <row r="46230">
      <c r="H46230" t="s">
        <v>5117</v>
      </c>
    </row>
    <row r="46231">
      <c r="H46231" t="s">
        <v>5117</v>
      </c>
    </row>
    <row r="46232">
      <c r="H46232" t="s">
        <v>5117</v>
      </c>
    </row>
    <row r="46233">
      <c r="H46233" t="s">
        <v>5117</v>
      </c>
    </row>
    <row r="46234">
      <c r="H46234" t="s">
        <v>5117</v>
      </c>
    </row>
    <row r="46235">
      <c r="H46235" t="s">
        <v>5117</v>
      </c>
    </row>
    <row r="46236">
      <c r="H46236" t="s">
        <v>5117</v>
      </c>
    </row>
    <row r="46237">
      <c r="H46237" t="s">
        <v>5117</v>
      </c>
    </row>
    <row r="46238">
      <c r="H46238" t="s">
        <v>5117</v>
      </c>
    </row>
    <row r="46239">
      <c r="H46239" t="s">
        <v>5117</v>
      </c>
    </row>
    <row r="46240">
      <c r="H46240" t="s">
        <v>5117</v>
      </c>
    </row>
    <row r="46241">
      <c r="H46241" t="s">
        <v>5117</v>
      </c>
    </row>
    <row r="46242">
      <c r="H46242" t="s">
        <v>5117</v>
      </c>
    </row>
    <row r="46243">
      <c r="H46243" t="s">
        <v>5117</v>
      </c>
    </row>
    <row r="46244">
      <c r="H46244" t="s">
        <v>5117</v>
      </c>
    </row>
    <row r="46245">
      <c r="H46245" t="s">
        <v>5117</v>
      </c>
    </row>
    <row r="46246">
      <c r="H46246" t="s">
        <v>5117</v>
      </c>
    </row>
    <row r="46247">
      <c r="H46247" t="s">
        <v>5117</v>
      </c>
    </row>
    <row r="46248">
      <c r="H46248" t="s">
        <v>5117</v>
      </c>
    </row>
    <row r="46249">
      <c r="H46249" t="s">
        <v>5117</v>
      </c>
    </row>
    <row r="46250">
      <c r="H46250" t="s">
        <v>5117</v>
      </c>
    </row>
    <row r="46251">
      <c r="H46251" t="s">
        <v>5117</v>
      </c>
    </row>
    <row r="46252">
      <c r="H46252" t="s">
        <v>5117</v>
      </c>
    </row>
    <row r="46253">
      <c r="H46253" t="s">
        <v>5117</v>
      </c>
    </row>
    <row r="46254">
      <c r="H46254" t="s">
        <v>5117</v>
      </c>
    </row>
    <row r="46255">
      <c r="H46255" t="s">
        <v>5117</v>
      </c>
    </row>
    <row r="46256">
      <c r="H46256" t="s">
        <v>5117</v>
      </c>
    </row>
    <row r="46257">
      <c r="H46257" t="s">
        <v>5117</v>
      </c>
    </row>
    <row r="46258">
      <c r="H46258" t="s">
        <v>5117</v>
      </c>
    </row>
    <row r="46259">
      <c r="H46259" t="s">
        <v>5117</v>
      </c>
    </row>
    <row r="46260">
      <c r="H46260" t="s">
        <v>5117</v>
      </c>
    </row>
    <row r="46261">
      <c r="H46261" t="s">
        <v>5117</v>
      </c>
    </row>
    <row r="46262">
      <c r="H46262" t="s">
        <v>5117</v>
      </c>
    </row>
    <row r="46263">
      <c r="H46263" t="s">
        <v>5117</v>
      </c>
    </row>
    <row r="46264">
      <c r="H46264" t="s">
        <v>5117</v>
      </c>
    </row>
    <row r="46265">
      <c r="H46265" t="s">
        <v>5117</v>
      </c>
    </row>
    <row r="46266">
      <c r="H46266" t="s">
        <v>5117</v>
      </c>
    </row>
    <row r="46267">
      <c r="H46267" t="s">
        <v>5117</v>
      </c>
    </row>
    <row r="46268">
      <c r="H46268" t="s">
        <v>5117</v>
      </c>
    </row>
    <row r="46269">
      <c r="H46269" t="s">
        <v>5117</v>
      </c>
    </row>
    <row r="46270">
      <c r="H46270" t="s">
        <v>5117</v>
      </c>
    </row>
    <row r="46271">
      <c r="H46271" t="s">
        <v>5117</v>
      </c>
    </row>
    <row r="46272">
      <c r="H46272" t="s">
        <v>5117</v>
      </c>
    </row>
    <row r="46273">
      <c r="H46273" t="s">
        <v>5117</v>
      </c>
    </row>
    <row r="46274">
      <c r="H46274" t="s">
        <v>5117</v>
      </c>
    </row>
    <row r="46275">
      <c r="H46275" t="s">
        <v>5117</v>
      </c>
    </row>
    <row r="46276">
      <c r="H46276" t="s">
        <v>5117</v>
      </c>
    </row>
    <row r="46277">
      <c r="H46277" t="s">
        <v>5117</v>
      </c>
    </row>
    <row r="46278">
      <c r="H46278" t="s">
        <v>5117</v>
      </c>
    </row>
    <row r="46279">
      <c r="H46279" t="s">
        <v>5117</v>
      </c>
    </row>
    <row r="46280">
      <c r="H46280" t="s">
        <v>5117</v>
      </c>
    </row>
    <row r="46281">
      <c r="H46281" t="s">
        <v>5117</v>
      </c>
    </row>
    <row r="46282">
      <c r="H46282" t="s">
        <v>5117</v>
      </c>
    </row>
    <row r="46283">
      <c r="H46283" t="s">
        <v>5117</v>
      </c>
    </row>
    <row r="46284">
      <c r="H46284" t="s">
        <v>5117</v>
      </c>
    </row>
    <row r="46285">
      <c r="H46285" t="s">
        <v>5117</v>
      </c>
    </row>
    <row r="46286">
      <c r="H46286" t="s">
        <v>5117</v>
      </c>
    </row>
    <row r="46287">
      <c r="H46287" t="s">
        <v>5117</v>
      </c>
    </row>
    <row r="46288">
      <c r="H46288" t="s">
        <v>5117</v>
      </c>
    </row>
    <row r="46289">
      <c r="H46289" t="s">
        <v>5117</v>
      </c>
    </row>
    <row r="46290">
      <c r="H46290" t="s">
        <v>5117</v>
      </c>
    </row>
    <row r="46291">
      <c r="H46291" t="s">
        <v>5117</v>
      </c>
    </row>
    <row r="46292">
      <c r="H46292" t="s">
        <v>5117</v>
      </c>
    </row>
    <row r="46293">
      <c r="H46293" t="s">
        <v>5117</v>
      </c>
    </row>
    <row r="46294">
      <c r="H46294" t="s">
        <v>5117</v>
      </c>
    </row>
    <row r="46295">
      <c r="H46295" t="s">
        <v>5117</v>
      </c>
    </row>
    <row r="46296">
      <c r="H46296" t="s">
        <v>5117</v>
      </c>
    </row>
    <row r="46297">
      <c r="H46297" t="s">
        <v>5117</v>
      </c>
    </row>
    <row r="46298">
      <c r="H46298" t="s">
        <v>5117</v>
      </c>
    </row>
    <row r="46299">
      <c r="H46299" t="s">
        <v>5117</v>
      </c>
    </row>
    <row r="46300">
      <c r="H46300" t="s">
        <v>5117</v>
      </c>
    </row>
    <row r="46301">
      <c r="H46301" t="s">
        <v>5117</v>
      </c>
    </row>
    <row r="46302">
      <c r="H46302" t="s">
        <v>5117</v>
      </c>
    </row>
    <row r="46303">
      <c r="H46303" t="s">
        <v>5117</v>
      </c>
    </row>
    <row r="46304">
      <c r="H46304" t="s">
        <v>5117</v>
      </c>
    </row>
    <row r="46305">
      <c r="H46305" t="s">
        <v>5117</v>
      </c>
    </row>
    <row r="46306">
      <c r="H46306" t="s">
        <v>5117</v>
      </c>
    </row>
    <row r="46307">
      <c r="H46307" t="s">
        <v>5117</v>
      </c>
    </row>
    <row r="46308">
      <c r="H46308" t="s">
        <v>5117</v>
      </c>
    </row>
    <row r="46309">
      <c r="H46309" t="s">
        <v>5117</v>
      </c>
    </row>
    <row r="46310">
      <c r="H46310" t="s">
        <v>5117</v>
      </c>
    </row>
    <row r="46311">
      <c r="H46311" t="s">
        <v>5117</v>
      </c>
    </row>
    <row r="46312">
      <c r="H46312" t="s">
        <v>5117</v>
      </c>
    </row>
    <row r="46313">
      <c r="H46313" t="s">
        <v>5117</v>
      </c>
    </row>
    <row r="46314">
      <c r="H46314" t="s">
        <v>5117</v>
      </c>
    </row>
    <row r="46315">
      <c r="H46315" t="s">
        <v>5117</v>
      </c>
    </row>
    <row r="46316">
      <c r="H46316" t="s">
        <v>5117</v>
      </c>
    </row>
    <row r="46317">
      <c r="H46317" t="s">
        <v>5117</v>
      </c>
    </row>
    <row r="46318">
      <c r="H46318" t="s">
        <v>5117</v>
      </c>
    </row>
    <row r="46319">
      <c r="H46319" t="s">
        <v>5117</v>
      </c>
    </row>
    <row r="46320">
      <c r="H46320" t="s">
        <v>5117</v>
      </c>
    </row>
    <row r="46321">
      <c r="H46321" t="s">
        <v>5117</v>
      </c>
    </row>
    <row r="46322">
      <c r="H46322" t="s">
        <v>5117</v>
      </c>
    </row>
    <row r="46323">
      <c r="H46323" t="s">
        <v>5117</v>
      </c>
    </row>
    <row r="46324">
      <c r="H46324" t="s">
        <v>5117</v>
      </c>
    </row>
    <row r="46325">
      <c r="H46325" t="s">
        <v>5117</v>
      </c>
    </row>
    <row r="46326">
      <c r="H46326" t="s">
        <v>5117</v>
      </c>
    </row>
    <row r="46327">
      <c r="H46327" t="s">
        <v>5117</v>
      </c>
    </row>
    <row r="46328">
      <c r="H46328" t="s">
        <v>5117</v>
      </c>
    </row>
    <row r="46329">
      <c r="H46329" t="s">
        <v>5117</v>
      </c>
    </row>
    <row r="46330">
      <c r="H46330" t="s">
        <v>5117</v>
      </c>
    </row>
    <row r="46331">
      <c r="H46331" t="s">
        <v>5117</v>
      </c>
    </row>
    <row r="46332">
      <c r="H46332" t="s">
        <v>5117</v>
      </c>
    </row>
    <row r="46333">
      <c r="H46333" t="s">
        <v>5117</v>
      </c>
    </row>
    <row r="46334">
      <c r="H46334" t="s">
        <v>5117</v>
      </c>
    </row>
    <row r="46335">
      <c r="H46335" t="s">
        <v>5117</v>
      </c>
    </row>
    <row r="46336">
      <c r="H46336" t="s">
        <v>5117</v>
      </c>
    </row>
    <row r="46337">
      <c r="H46337" t="s">
        <v>5117</v>
      </c>
    </row>
    <row r="46338">
      <c r="H46338" t="s">
        <v>5117</v>
      </c>
    </row>
    <row r="46339">
      <c r="H46339" t="s">
        <v>5117</v>
      </c>
    </row>
    <row r="46340">
      <c r="H46340" t="s">
        <v>5117</v>
      </c>
    </row>
    <row r="46341">
      <c r="H46341" t="s">
        <v>5117</v>
      </c>
    </row>
    <row r="46342">
      <c r="H46342" t="s">
        <v>5117</v>
      </c>
    </row>
    <row r="46343">
      <c r="H46343" t="s">
        <v>5117</v>
      </c>
    </row>
    <row r="46344">
      <c r="H46344" t="s">
        <v>5117</v>
      </c>
    </row>
    <row r="46345">
      <c r="H46345" t="s">
        <v>5117</v>
      </c>
    </row>
    <row r="46346">
      <c r="H46346" t="s">
        <v>5117</v>
      </c>
    </row>
    <row r="46347">
      <c r="H46347" t="s">
        <v>5117</v>
      </c>
    </row>
    <row r="46348">
      <c r="H46348" t="s">
        <v>5117</v>
      </c>
    </row>
    <row r="46349">
      <c r="H46349" t="s">
        <v>5117</v>
      </c>
    </row>
    <row r="46350">
      <c r="H46350" t="s">
        <v>5117</v>
      </c>
    </row>
    <row r="46351">
      <c r="H46351" t="s">
        <v>5117</v>
      </c>
    </row>
    <row r="46352">
      <c r="H46352" t="s">
        <v>5117</v>
      </c>
    </row>
    <row r="46353">
      <c r="H46353" t="s">
        <v>5117</v>
      </c>
    </row>
    <row r="46354">
      <c r="H46354" t="s">
        <v>5117</v>
      </c>
    </row>
    <row r="46355">
      <c r="H46355" t="s">
        <v>5117</v>
      </c>
    </row>
    <row r="46356">
      <c r="H46356" t="s">
        <v>5117</v>
      </c>
    </row>
    <row r="46357">
      <c r="H46357" t="s">
        <v>5117</v>
      </c>
    </row>
    <row r="46358">
      <c r="H46358" t="s">
        <v>5117</v>
      </c>
    </row>
    <row r="46359">
      <c r="H46359" t="s">
        <v>5117</v>
      </c>
    </row>
    <row r="46360">
      <c r="H46360" t="s">
        <v>5117</v>
      </c>
    </row>
    <row r="46361">
      <c r="H46361" t="s">
        <v>5117</v>
      </c>
    </row>
    <row r="46362">
      <c r="H46362" t="s">
        <v>5117</v>
      </c>
    </row>
    <row r="46363">
      <c r="H46363" t="s">
        <v>5117</v>
      </c>
    </row>
    <row r="46364">
      <c r="H46364" t="s">
        <v>5117</v>
      </c>
    </row>
    <row r="46365">
      <c r="H46365" t="s">
        <v>5117</v>
      </c>
    </row>
    <row r="46366">
      <c r="H46366" t="s">
        <v>5117</v>
      </c>
    </row>
    <row r="46367">
      <c r="H46367" t="s">
        <v>5117</v>
      </c>
    </row>
    <row r="46368">
      <c r="H46368" t="s">
        <v>5117</v>
      </c>
    </row>
    <row r="46369">
      <c r="H46369" t="s">
        <v>5117</v>
      </c>
    </row>
    <row r="46370">
      <c r="H46370" t="s">
        <v>5117</v>
      </c>
    </row>
    <row r="46371">
      <c r="H46371" t="s">
        <v>5117</v>
      </c>
    </row>
    <row r="46372">
      <c r="H46372" t="s">
        <v>5117</v>
      </c>
    </row>
    <row r="46373">
      <c r="H46373" t="s">
        <v>5117</v>
      </c>
    </row>
    <row r="46374">
      <c r="H46374" t="s">
        <v>5117</v>
      </c>
    </row>
    <row r="46375">
      <c r="H46375" t="s">
        <v>5117</v>
      </c>
    </row>
    <row r="46376">
      <c r="H46376" t="s">
        <v>5117</v>
      </c>
    </row>
    <row r="46377">
      <c r="H46377" t="s">
        <v>5117</v>
      </c>
    </row>
    <row r="46378">
      <c r="H46378" t="s">
        <v>5117</v>
      </c>
    </row>
    <row r="46379">
      <c r="H46379" t="s">
        <v>5117</v>
      </c>
    </row>
    <row r="46380">
      <c r="H46380" t="s">
        <v>5117</v>
      </c>
    </row>
    <row r="46381">
      <c r="H46381" t="s">
        <v>5117</v>
      </c>
    </row>
    <row r="46382">
      <c r="H46382" t="s">
        <v>5117</v>
      </c>
    </row>
    <row r="46383">
      <c r="H46383" t="s">
        <v>5117</v>
      </c>
    </row>
    <row r="46384">
      <c r="H46384" t="s">
        <v>5117</v>
      </c>
    </row>
    <row r="46385">
      <c r="H46385" t="s">
        <v>5117</v>
      </c>
    </row>
    <row r="46386">
      <c r="H46386" t="s">
        <v>5117</v>
      </c>
    </row>
    <row r="46387">
      <c r="H46387" t="s">
        <v>5117</v>
      </c>
    </row>
    <row r="46388">
      <c r="H46388" t="s">
        <v>5117</v>
      </c>
    </row>
    <row r="46389">
      <c r="H46389" t="s">
        <v>5117</v>
      </c>
    </row>
    <row r="46390">
      <c r="H46390" t="s">
        <v>5117</v>
      </c>
    </row>
    <row r="46391">
      <c r="H46391" t="s">
        <v>5117</v>
      </c>
    </row>
    <row r="46392">
      <c r="H46392" t="s">
        <v>5117</v>
      </c>
    </row>
    <row r="46393">
      <c r="H46393" t="s">
        <v>5117</v>
      </c>
    </row>
    <row r="46394">
      <c r="H46394" t="s">
        <v>5117</v>
      </c>
    </row>
    <row r="46395">
      <c r="H46395" t="s">
        <v>5117</v>
      </c>
    </row>
    <row r="46396">
      <c r="H46396" t="s">
        <v>5117</v>
      </c>
    </row>
    <row r="46397">
      <c r="H46397" t="s">
        <v>5117</v>
      </c>
    </row>
    <row r="46398">
      <c r="H46398" t="s">
        <v>5117</v>
      </c>
    </row>
    <row r="46399">
      <c r="H46399" t="s">
        <v>5117</v>
      </c>
    </row>
    <row r="46400">
      <c r="H46400" t="s">
        <v>5117</v>
      </c>
    </row>
    <row r="46401">
      <c r="H46401" t="s">
        <v>5117</v>
      </c>
    </row>
    <row r="46402">
      <c r="H46402" t="s">
        <v>5117</v>
      </c>
    </row>
    <row r="46403">
      <c r="H46403" t="s">
        <v>5117</v>
      </c>
    </row>
    <row r="46404">
      <c r="H46404" t="s">
        <v>5117</v>
      </c>
    </row>
    <row r="46405">
      <c r="H46405" t="s">
        <v>5117</v>
      </c>
    </row>
    <row r="46406">
      <c r="H46406" t="s">
        <v>5117</v>
      </c>
    </row>
    <row r="46407">
      <c r="H46407" t="s">
        <v>5117</v>
      </c>
    </row>
    <row r="46408">
      <c r="H46408" t="s">
        <v>5117</v>
      </c>
    </row>
    <row r="46409">
      <c r="H46409" t="s">
        <v>5117</v>
      </c>
    </row>
    <row r="46410">
      <c r="H46410" t="s">
        <v>5117</v>
      </c>
    </row>
    <row r="46411">
      <c r="H46411" t="s">
        <v>5117</v>
      </c>
    </row>
    <row r="46412">
      <c r="H46412" t="s">
        <v>5117</v>
      </c>
    </row>
    <row r="46413">
      <c r="H46413" t="s">
        <v>5117</v>
      </c>
    </row>
    <row r="46414">
      <c r="H46414" t="s">
        <v>5117</v>
      </c>
    </row>
    <row r="46415">
      <c r="H46415" t="s">
        <v>5117</v>
      </c>
    </row>
    <row r="46416">
      <c r="H46416" t="s">
        <v>5117</v>
      </c>
    </row>
    <row r="46417">
      <c r="H46417" t="s">
        <v>5117</v>
      </c>
    </row>
    <row r="46418">
      <c r="H46418" t="s">
        <v>5117</v>
      </c>
    </row>
    <row r="46419">
      <c r="H46419" t="s">
        <v>5117</v>
      </c>
    </row>
    <row r="46420">
      <c r="H46420" t="s">
        <v>5117</v>
      </c>
    </row>
    <row r="46421">
      <c r="H46421" t="s">
        <v>5117</v>
      </c>
    </row>
    <row r="46422">
      <c r="H46422" t="s">
        <v>5117</v>
      </c>
    </row>
    <row r="46423">
      <c r="H46423" t="s">
        <v>5117</v>
      </c>
    </row>
    <row r="46424">
      <c r="H46424" t="s">
        <v>5117</v>
      </c>
    </row>
    <row r="46425">
      <c r="H46425" t="s">
        <v>5117</v>
      </c>
    </row>
    <row r="46426">
      <c r="H46426" t="s">
        <v>5117</v>
      </c>
    </row>
    <row r="46427">
      <c r="H46427" t="s">
        <v>5117</v>
      </c>
    </row>
    <row r="46428">
      <c r="H46428" t="s">
        <v>5117</v>
      </c>
    </row>
    <row r="46429">
      <c r="H46429" t="s">
        <v>5117</v>
      </c>
    </row>
    <row r="46430">
      <c r="H46430" t="s">
        <v>5117</v>
      </c>
    </row>
    <row r="46431">
      <c r="H46431" t="s">
        <v>5117</v>
      </c>
    </row>
    <row r="46432">
      <c r="H46432" t="s">
        <v>5117</v>
      </c>
    </row>
    <row r="46433">
      <c r="H46433" t="s">
        <v>5117</v>
      </c>
    </row>
    <row r="46434">
      <c r="H46434" t="s">
        <v>5117</v>
      </c>
    </row>
    <row r="46435">
      <c r="H46435" t="s">
        <v>5117</v>
      </c>
    </row>
    <row r="46436">
      <c r="H46436" t="s">
        <v>5117</v>
      </c>
    </row>
    <row r="46437">
      <c r="H46437" t="s">
        <v>5117</v>
      </c>
    </row>
    <row r="46438">
      <c r="H46438" t="s">
        <v>5117</v>
      </c>
    </row>
    <row r="46439">
      <c r="H46439" t="s">
        <v>5117</v>
      </c>
    </row>
    <row r="46440">
      <c r="H46440" t="s">
        <v>5117</v>
      </c>
    </row>
    <row r="46441">
      <c r="H46441" t="s">
        <v>5117</v>
      </c>
    </row>
    <row r="46442">
      <c r="H46442" t="s">
        <v>5117</v>
      </c>
    </row>
    <row r="46443">
      <c r="H46443" t="s">
        <v>5117</v>
      </c>
    </row>
    <row r="46444">
      <c r="H46444" t="s">
        <v>5117</v>
      </c>
    </row>
    <row r="46445">
      <c r="H46445" t="s">
        <v>5117</v>
      </c>
    </row>
    <row r="46446">
      <c r="H46446" t="s">
        <v>5117</v>
      </c>
    </row>
    <row r="46447">
      <c r="H46447" t="s">
        <v>5117</v>
      </c>
    </row>
    <row r="46448">
      <c r="H46448" t="s">
        <v>5117</v>
      </c>
    </row>
    <row r="46449">
      <c r="H46449" t="s">
        <v>5117</v>
      </c>
    </row>
    <row r="46450">
      <c r="H46450" t="s">
        <v>5117</v>
      </c>
    </row>
    <row r="46451">
      <c r="H46451" t="s">
        <v>5117</v>
      </c>
    </row>
    <row r="46452">
      <c r="H46452" t="s">
        <v>5117</v>
      </c>
    </row>
    <row r="46453">
      <c r="H46453" t="s">
        <v>5117</v>
      </c>
    </row>
    <row r="46454">
      <c r="H46454" t="s">
        <v>5117</v>
      </c>
    </row>
    <row r="46455">
      <c r="H46455" t="s">
        <v>5117</v>
      </c>
    </row>
    <row r="46456">
      <c r="H46456" t="s">
        <v>5117</v>
      </c>
    </row>
    <row r="46457">
      <c r="H46457" t="s">
        <v>5117</v>
      </c>
    </row>
    <row r="46458">
      <c r="H46458" t="s">
        <v>5117</v>
      </c>
    </row>
    <row r="46459">
      <c r="H46459" t="s">
        <v>5117</v>
      </c>
    </row>
    <row r="46460">
      <c r="H46460" t="s">
        <v>5117</v>
      </c>
    </row>
    <row r="46461">
      <c r="H46461" t="s">
        <v>5117</v>
      </c>
    </row>
    <row r="46462">
      <c r="H46462" t="s">
        <v>5117</v>
      </c>
    </row>
    <row r="46463">
      <c r="H46463" t="s">
        <v>5117</v>
      </c>
    </row>
    <row r="46464">
      <c r="H46464" t="s">
        <v>5117</v>
      </c>
    </row>
    <row r="46465">
      <c r="H46465" t="s">
        <v>5117</v>
      </c>
    </row>
    <row r="46466">
      <c r="H46466" t="s">
        <v>5117</v>
      </c>
    </row>
    <row r="46467">
      <c r="H46467" t="s">
        <v>5117</v>
      </c>
    </row>
    <row r="46468">
      <c r="H46468" t="s">
        <v>5117</v>
      </c>
    </row>
    <row r="46469">
      <c r="H46469" t="s">
        <v>5117</v>
      </c>
    </row>
    <row r="46470">
      <c r="H46470" t="s">
        <v>5117</v>
      </c>
    </row>
    <row r="46471">
      <c r="H46471" t="s">
        <v>5117</v>
      </c>
    </row>
    <row r="46472">
      <c r="H46472" t="s">
        <v>5117</v>
      </c>
    </row>
    <row r="46473">
      <c r="H46473" t="s">
        <v>5117</v>
      </c>
    </row>
    <row r="46474">
      <c r="H46474" t="s">
        <v>5117</v>
      </c>
    </row>
    <row r="46475">
      <c r="H46475" t="s">
        <v>5117</v>
      </c>
    </row>
    <row r="46476">
      <c r="H46476" t="s">
        <v>5117</v>
      </c>
    </row>
    <row r="46477">
      <c r="H46477" t="s">
        <v>5117</v>
      </c>
    </row>
    <row r="46478">
      <c r="H46478" t="s">
        <v>5117</v>
      </c>
    </row>
    <row r="46479">
      <c r="H46479" t="s">
        <v>5117</v>
      </c>
    </row>
    <row r="46480">
      <c r="H46480" t="s">
        <v>5117</v>
      </c>
    </row>
    <row r="46481">
      <c r="H46481" t="s">
        <v>5117</v>
      </c>
    </row>
    <row r="46482">
      <c r="H46482" t="s">
        <v>5117</v>
      </c>
    </row>
    <row r="46483">
      <c r="H46483" t="s">
        <v>5117</v>
      </c>
    </row>
    <row r="46484">
      <c r="H46484" t="s">
        <v>5117</v>
      </c>
    </row>
    <row r="46485">
      <c r="H46485" t="s">
        <v>5117</v>
      </c>
    </row>
    <row r="46486">
      <c r="H46486" t="s">
        <v>5117</v>
      </c>
    </row>
    <row r="46487">
      <c r="H46487" t="s">
        <v>5117</v>
      </c>
    </row>
    <row r="46488">
      <c r="H46488" t="s">
        <v>5117</v>
      </c>
    </row>
    <row r="46489">
      <c r="H46489" t="s">
        <v>5117</v>
      </c>
    </row>
    <row r="46490">
      <c r="H46490" t="s">
        <v>5117</v>
      </c>
    </row>
    <row r="46491">
      <c r="H46491" t="s">
        <v>5117</v>
      </c>
    </row>
    <row r="46492">
      <c r="H46492" t="s">
        <v>5117</v>
      </c>
    </row>
    <row r="46493">
      <c r="H46493" t="s">
        <v>5117</v>
      </c>
    </row>
    <row r="46494">
      <c r="H46494" t="s">
        <v>5117</v>
      </c>
    </row>
    <row r="46495">
      <c r="H46495" t="s">
        <v>5117</v>
      </c>
    </row>
    <row r="46496">
      <c r="H46496" t="s">
        <v>5117</v>
      </c>
    </row>
    <row r="46497">
      <c r="H46497" t="s">
        <v>5117</v>
      </c>
    </row>
    <row r="46498">
      <c r="H46498" t="s">
        <v>5117</v>
      </c>
    </row>
    <row r="46499">
      <c r="H46499" t="s">
        <v>5117</v>
      </c>
    </row>
    <row r="46500">
      <c r="H46500" t="s">
        <v>5117</v>
      </c>
    </row>
    <row r="46501">
      <c r="H46501" t="s">
        <v>5117</v>
      </c>
    </row>
    <row r="46502">
      <c r="H46502" t="s">
        <v>5117</v>
      </c>
    </row>
    <row r="46503">
      <c r="H46503" t="s">
        <v>5117</v>
      </c>
    </row>
    <row r="46504">
      <c r="H46504" t="s">
        <v>5117</v>
      </c>
    </row>
    <row r="46505">
      <c r="H46505" t="s">
        <v>5117</v>
      </c>
    </row>
    <row r="46506">
      <c r="H46506" t="s">
        <v>5117</v>
      </c>
    </row>
    <row r="46507">
      <c r="H46507" t="s">
        <v>5117</v>
      </c>
    </row>
    <row r="46508">
      <c r="H46508" t="s">
        <v>5117</v>
      </c>
    </row>
    <row r="46509">
      <c r="H46509" t="s">
        <v>5117</v>
      </c>
    </row>
    <row r="46510">
      <c r="H46510" t="s">
        <v>5117</v>
      </c>
    </row>
    <row r="46511">
      <c r="H46511" t="s">
        <v>5117</v>
      </c>
    </row>
    <row r="46512">
      <c r="H46512" t="s">
        <v>5117</v>
      </c>
    </row>
    <row r="46513">
      <c r="H46513" t="s">
        <v>5117</v>
      </c>
    </row>
    <row r="46514">
      <c r="H46514" t="s">
        <v>5117</v>
      </c>
    </row>
    <row r="46515">
      <c r="H46515" t="s">
        <v>5117</v>
      </c>
    </row>
    <row r="46516">
      <c r="H46516" t="s">
        <v>5117</v>
      </c>
    </row>
    <row r="46517">
      <c r="H46517" t="s">
        <v>5117</v>
      </c>
    </row>
    <row r="46518">
      <c r="H46518" t="s">
        <v>5117</v>
      </c>
    </row>
    <row r="46519">
      <c r="H46519" t="s">
        <v>5117</v>
      </c>
    </row>
    <row r="46520">
      <c r="H46520" t="s">
        <v>5117</v>
      </c>
    </row>
    <row r="46521">
      <c r="H46521" t="s">
        <v>5117</v>
      </c>
    </row>
    <row r="46522">
      <c r="H46522" t="s">
        <v>5117</v>
      </c>
    </row>
    <row r="46523">
      <c r="H46523" t="s">
        <v>5117</v>
      </c>
    </row>
    <row r="46524">
      <c r="H46524" t="s">
        <v>5117</v>
      </c>
    </row>
    <row r="46525">
      <c r="H46525" t="s">
        <v>5117</v>
      </c>
    </row>
    <row r="46526">
      <c r="H46526" t="s">
        <v>5117</v>
      </c>
    </row>
    <row r="46527">
      <c r="H46527" t="s">
        <v>5117</v>
      </c>
    </row>
    <row r="46528">
      <c r="H46528" t="s">
        <v>5117</v>
      </c>
    </row>
    <row r="46529">
      <c r="H46529" t="s">
        <v>5117</v>
      </c>
    </row>
    <row r="46530">
      <c r="H46530" t="s">
        <v>5117</v>
      </c>
    </row>
    <row r="46531">
      <c r="H46531" t="s">
        <v>5117</v>
      </c>
    </row>
    <row r="46532">
      <c r="H46532" t="s">
        <v>5117</v>
      </c>
    </row>
    <row r="46533">
      <c r="H46533" t="s">
        <v>5117</v>
      </c>
    </row>
    <row r="46534">
      <c r="H46534" t="s">
        <v>5117</v>
      </c>
    </row>
    <row r="46535">
      <c r="H46535" t="s">
        <v>5117</v>
      </c>
    </row>
    <row r="46536">
      <c r="H46536" t="s">
        <v>5117</v>
      </c>
    </row>
    <row r="46537">
      <c r="H46537" t="s">
        <v>5117</v>
      </c>
    </row>
    <row r="46538">
      <c r="H46538" t="s">
        <v>5117</v>
      </c>
    </row>
    <row r="46539">
      <c r="H46539" t="s">
        <v>5117</v>
      </c>
    </row>
    <row r="46540">
      <c r="H46540" t="s">
        <v>5117</v>
      </c>
    </row>
    <row r="46541">
      <c r="H46541" t="s">
        <v>5117</v>
      </c>
    </row>
    <row r="46542">
      <c r="H46542" t="s">
        <v>5117</v>
      </c>
    </row>
    <row r="46543">
      <c r="H46543" t="s">
        <v>5117</v>
      </c>
    </row>
    <row r="46544">
      <c r="H46544" t="s">
        <v>5117</v>
      </c>
    </row>
    <row r="46545">
      <c r="H46545" t="s">
        <v>5117</v>
      </c>
    </row>
    <row r="46546">
      <c r="H46546" t="s">
        <v>5117</v>
      </c>
    </row>
    <row r="46547">
      <c r="H46547" t="s">
        <v>5117</v>
      </c>
    </row>
    <row r="46548">
      <c r="H46548" t="s">
        <v>5117</v>
      </c>
    </row>
    <row r="46549">
      <c r="H46549" t="s">
        <v>5117</v>
      </c>
    </row>
    <row r="46550">
      <c r="H46550" t="s">
        <v>5117</v>
      </c>
    </row>
    <row r="46551">
      <c r="H46551" t="s">
        <v>5117</v>
      </c>
    </row>
    <row r="46552">
      <c r="H46552" t="s">
        <v>5117</v>
      </c>
    </row>
    <row r="46553">
      <c r="H46553" t="s">
        <v>5117</v>
      </c>
    </row>
    <row r="46554">
      <c r="H46554" t="s">
        <v>5117</v>
      </c>
    </row>
    <row r="46555">
      <c r="H46555" t="s">
        <v>5117</v>
      </c>
    </row>
    <row r="46556">
      <c r="H46556" t="s">
        <v>5117</v>
      </c>
    </row>
    <row r="46557">
      <c r="H46557" t="s">
        <v>5117</v>
      </c>
    </row>
    <row r="46558">
      <c r="H46558" t="s">
        <v>5117</v>
      </c>
    </row>
    <row r="46559">
      <c r="H46559" t="s">
        <v>5117</v>
      </c>
    </row>
    <row r="46560">
      <c r="H46560" t="s">
        <v>5117</v>
      </c>
    </row>
    <row r="46561">
      <c r="H46561" t="s">
        <v>5117</v>
      </c>
    </row>
    <row r="46562">
      <c r="H46562" t="s">
        <v>5117</v>
      </c>
    </row>
    <row r="46563">
      <c r="H46563" t="s">
        <v>5117</v>
      </c>
    </row>
    <row r="46564">
      <c r="H46564" t="s">
        <v>5117</v>
      </c>
    </row>
    <row r="46565">
      <c r="H46565" t="s">
        <v>5117</v>
      </c>
    </row>
    <row r="46566">
      <c r="H46566" t="s">
        <v>5117</v>
      </c>
    </row>
    <row r="46567">
      <c r="H46567" t="s">
        <v>5117</v>
      </c>
    </row>
    <row r="46568">
      <c r="H46568" t="s">
        <v>5117</v>
      </c>
    </row>
    <row r="46569">
      <c r="H46569" t="s">
        <v>5117</v>
      </c>
    </row>
    <row r="46570">
      <c r="H46570" t="s">
        <v>5117</v>
      </c>
    </row>
    <row r="46571">
      <c r="H46571" t="s">
        <v>5117</v>
      </c>
    </row>
    <row r="46572">
      <c r="H46572" t="s">
        <v>5117</v>
      </c>
    </row>
    <row r="46573">
      <c r="H46573" t="s">
        <v>5117</v>
      </c>
    </row>
    <row r="46574">
      <c r="H46574" t="s">
        <v>5117</v>
      </c>
    </row>
    <row r="46575">
      <c r="H46575" t="s">
        <v>5117</v>
      </c>
    </row>
    <row r="46576">
      <c r="H46576" t="s">
        <v>5117</v>
      </c>
    </row>
    <row r="46577">
      <c r="H46577" t="s">
        <v>5117</v>
      </c>
    </row>
    <row r="46578">
      <c r="H46578" t="s">
        <v>5117</v>
      </c>
    </row>
    <row r="46579">
      <c r="H46579" t="s">
        <v>5117</v>
      </c>
    </row>
    <row r="46580">
      <c r="H46580" t="s">
        <v>5117</v>
      </c>
    </row>
    <row r="46581">
      <c r="H46581" t="s">
        <v>5117</v>
      </c>
    </row>
    <row r="46582">
      <c r="H46582" t="s">
        <v>5117</v>
      </c>
    </row>
    <row r="46583">
      <c r="H46583" t="s">
        <v>5117</v>
      </c>
    </row>
    <row r="46584">
      <c r="H46584" t="s">
        <v>5117</v>
      </c>
    </row>
    <row r="46585">
      <c r="H46585" t="s">
        <v>5117</v>
      </c>
    </row>
    <row r="46586">
      <c r="H46586" t="s">
        <v>5117</v>
      </c>
    </row>
    <row r="46587">
      <c r="H46587" t="s">
        <v>5117</v>
      </c>
    </row>
    <row r="46588">
      <c r="H46588" t="s">
        <v>5117</v>
      </c>
    </row>
    <row r="46589">
      <c r="H46589" t="s">
        <v>5117</v>
      </c>
    </row>
    <row r="46590">
      <c r="H46590" t="s">
        <v>5117</v>
      </c>
    </row>
    <row r="46591">
      <c r="H46591" t="s">
        <v>5117</v>
      </c>
    </row>
    <row r="46592">
      <c r="H46592" t="s">
        <v>5117</v>
      </c>
    </row>
    <row r="46593">
      <c r="H46593" t="s">
        <v>5117</v>
      </c>
    </row>
    <row r="46594">
      <c r="H46594" t="s">
        <v>5117</v>
      </c>
    </row>
    <row r="46595">
      <c r="H46595" t="s">
        <v>5117</v>
      </c>
    </row>
    <row r="46596">
      <c r="H46596" t="s">
        <v>5117</v>
      </c>
    </row>
    <row r="46597">
      <c r="H46597" t="s">
        <v>5117</v>
      </c>
    </row>
    <row r="46598">
      <c r="H46598" t="s">
        <v>5117</v>
      </c>
    </row>
    <row r="46599">
      <c r="H46599" t="s">
        <v>5117</v>
      </c>
    </row>
    <row r="46600">
      <c r="H46600" t="s">
        <v>5117</v>
      </c>
    </row>
    <row r="46601">
      <c r="H46601" t="s">
        <v>5117</v>
      </c>
    </row>
    <row r="46602">
      <c r="H46602" t="s">
        <v>5117</v>
      </c>
    </row>
    <row r="46603">
      <c r="H46603" t="s">
        <v>5117</v>
      </c>
    </row>
    <row r="46604">
      <c r="H46604" t="s">
        <v>5117</v>
      </c>
    </row>
    <row r="46605">
      <c r="H46605" t="s">
        <v>5117</v>
      </c>
    </row>
    <row r="46606">
      <c r="H46606" t="s">
        <v>5117</v>
      </c>
    </row>
    <row r="46607">
      <c r="H46607" t="s">
        <v>5117</v>
      </c>
    </row>
    <row r="46608">
      <c r="H46608" t="s">
        <v>5117</v>
      </c>
    </row>
    <row r="46609">
      <c r="H46609" t="s">
        <v>5117</v>
      </c>
    </row>
    <row r="46610">
      <c r="H46610" t="s">
        <v>5117</v>
      </c>
    </row>
    <row r="46611">
      <c r="H46611" t="s">
        <v>5117</v>
      </c>
    </row>
    <row r="46612">
      <c r="H46612" t="s">
        <v>5117</v>
      </c>
    </row>
    <row r="46613">
      <c r="H46613" t="s">
        <v>5117</v>
      </c>
    </row>
    <row r="46614">
      <c r="H46614" t="s">
        <v>5117</v>
      </c>
    </row>
    <row r="46615">
      <c r="H46615" t="s">
        <v>5117</v>
      </c>
    </row>
    <row r="46616">
      <c r="H46616" t="s">
        <v>5117</v>
      </c>
    </row>
    <row r="46617">
      <c r="H46617" t="s">
        <v>5117</v>
      </c>
    </row>
    <row r="46618">
      <c r="H46618" t="s">
        <v>5117</v>
      </c>
    </row>
    <row r="46619">
      <c r="H46619" t="s">
        <v>5117</v>
      </c>
    </row>
    <row r="46620">
      <c r="H46620" t="s">
        <v>5117</v>
      </c>
    </row>
    <row r="46621">
      <c r="H46621" t="s">
        <v>5117</v>
      </c>
    </row>
    <row r="46622">
      <c r="H46622" t="s">
        <v>5117</v>
      </c>
    </row>
    <row r="46623">
      <c r="H46623" t="s">
        <v>5117</v>
      </c>
    </row>
    <row r="46624">
      <c r="H46624" t="s">
        <v>5117</v>
      </c>
    </row>
    <row r="46625">
      <c r="H46625" t="s">
        <v>5117</v>
      </c>
    </row>
    <row r="46626">
      <c r="H46626" t="s">
        <v>5117</v>
      </c>
    </row>
    <row r="46627">
      <c r="H46627" t="s">
        <v>5117</v>
      </c>
    </row>
    <row r="46628">
      <c r="H46628" t="s">
        <v>5117</v>
      </c>
    </row>
    <row r="46629">
      <c r="H46629" t="s">
        <v>5117</v>
      </c>
    </row>
    <row r="46630">
      <c r="H46630" t="s">
        <v>5117</v>
      </c>
    </row>
    <row r="46631">
      <c r="H46631" t="s">
        <v>5117</v>
      </c>
    </row>
    <row r="46632">
      <c r="H46632" t="s">
        <v>5117</v>
      </c>
    </row>
    <row r="46633">
      <c r="H46633" t="s">
        <v>5117</v>
      </c>
    </row>
    <row r="46634">
      <c r="H46634" t="s">
        <v>5117</v>
      </c>
    </row>
    <row r="46635">
      <c r="H46635" t="s">
        <v>5117</v>
      </c>
    </row>
    <row r="46636">
      <c r="H46636" t="s">
        <v>5117</v>
      </c>
    </row>
    <row r="46637">
      <c r="H46637" t="s">
        <v>5117</v>
      </c>
    </row>
    <row r="46638">
      <c r="H46638" t="s">
        <v>5117</v>
      </c>
    </row>
    <row r="46639">
      <c r="H46639" t="s">
        <v>5117</v>
      </c>
    </row>
    <row r="46640">
      <c r="H46640" t="s">
        <v>5117</v>
      </c>
    </row>
    <row r="46641">
      <c r="H46641" t="s">
        <v>5117</v>
      </c>
    </row>
    <row r="46642">
      <c r="H46642" t="s">
        <v>5117</v>
      </c>
    </row>
    <row r="46643">
      <c r="H46643" t="s">
        <v>5117</v>
      </c>
    </row>
    <row r="46644">
      <c r="H46644" t="s">
        <v>5117</v>
      </c>
    </row>
    <row r="46645">
      <c r="H46645" t="s">
        <v>5117</v>
      </c>
    </row>
    <row r="46646">
      <c r="H46646" t="s">
        <v>5117</v>
      </c>
    </row>
    <row r="46647">
      <c r="H46647" t="s">
        <v>5117</v>
      </c>
    </row>
    <row r="46648">
      <c r="H46648" t="s">
        <v>5117</v>
      </c>
    </row>
    <row r="46649">
      <c r="H46649" t="s">
        <v>5117</v>
      </c>
    </row>
    <row r="46650">
      <c r="H46650" t="s">
        <v>5117</v>
      </c>
    </row>
    <row r="46651">
      <c r="H46651" t="s">
        <v>5117</v>
      </c>
    </row>
    <row r="46652">
      <c r="H46652" t="s">
        <v>5117</v>
      </c>
    </row>
    <row r="46653">
      <c r="H46653" t="s">
        <v>5117</v>
      </c>
    </row>
    <row r="46654">
      <c r="H46654" t="s">
        <v>5117</v>
      </c>
    </row>
    <row r="46655">
      <c r="H46655" t="s">
        <v>5117</v>
      </c>
    </row>
    <row r="46656">
      <c r="H46656" t="s">
        <v>5117</v>
      </c>
    </row>
    <row r="46657">
      <c r="H46657" t="s">
        <v>5117</v>
      </c>
    </row>
    <row r="46658">
      <c r="H46658" t="s">
        <v>5117</v>
      </c>
    </row>
    <row r="46659">
      <c r="H46659" t="s">
        <v>5117</v>
      </c>
    </row>
    <row r="46660">
      <c r="H46660" t="s">
        <v>5117</v>
      </c>
    </row>
    <row r="46661">
      <c r="H46661" t="s">
        <v>5117</v>
      </c>
    </row>
    <row r="46662">
      <c r="H46662" t="s">
        <v>5117</v>
      </c>
    </row>
    <row r="46663">
      <c r="H46663" t="s">
        <v>5117</v>
      </c>
    </row>
    <row r="46664">
      <c r="H46664" t="s">
        <v>5117</v>
      </c>
    </row>
    <row r="46665">
      <c r="H46665" t="s">
        <v>5117</v>
      </c>
    </row>
    <row r="46666">
      <c r="H46666" t="s">
        <v>5117</v>
      </c>
    </row>
    <row r="46667">
      <c r="H46667" t="s">
        <v>5117</v>
      </c>
    </row>
    <row r="46668">
      <c r="H46668" t="s">
        <v>5117</v>
      </c>
    </row>
    <row r="46669">
      <c r="H46669" t="s">
        <v>5117</v>
      </c>
    </row>
    <row r="46670">
      <c r="H46670" t="s">
        <v>5117</v>
      </c>
    </row>
    <row r="46671">
      <c r="H46671" t="s">
        <v>5117</v>
      </c>
    </row>
    <row r="46672">
      <c r="H46672" t="s">
        <v>5117</v>
      </c>
    </row>
    <row r="46673">
      <c r="H46673" t="s">
        <v>5117</v>
      </c>
    </row>
    <row r="46674">
      <c r="H46674" t="s">
        <v>5117</v>
      </c>
    </row>
    <row r="46675">
      <c r="H46675" t="s">
        <v>5117</v>
      </c>
    </row>
    <row r="46676">
      <c r="H46676" t="s">
        <v>5117</v>
      </c>
    </row>
    <row r="46677">
      <c r="H46677" t="s">
        <v>5117</v>
      </c>
    </row>
    <row r="46678">
      <c r="H46678" t="s">
        <v>5117</v>
      </c>
    </row>
    <row r="46679">
      <c r="H46679" t="s">
        <v>5117</v>
      </c>
    </row>
    <row r="46680">
      <c r="H46680" t="s">
        <v>5117</v>
      </c>
    </row>
    <row r="46681">
      <c r="H46681" t="s">
        <v>5117</v>
      </c>
    </row>
    <row r="46682">
      <c r="H46682" t="s">
        <v>5117</v>
      </c>
    </row>
    <row r="46683">
      <c r="H46683" t="s">
        <v>5117</v>
      </c>
    </row>
    <row r="46684">
      <c r="H46684" t="s">
        <v>5117</v>
      </c>
    </row>
    <row r="46685">
      <c r="H46685" t="s">
        <v>5117</v>
      </c>
    </row>
    <row r="46686">
      <c r="H46686" t="s">
        <v>5117</v>
      </c>
    </row>
    <row r="46687">
      <c r="H46687" t="s">
        <v>5117</v>
      </c>
    </row>
    <row r="46688">
      <c r="H46688" t="s">
        <v>5117</v>
      </c>
    </row>
    <row r="46689">
      <c r="H46689" t="s">
        <v>5117</v>
      </c>
    </row>
    <row r="46690">
      <c r="H46690" t="s">
        <v>5117</v>
      </c>
    </row>
    <row r="46691">
      <c r="H46691" t="s">
        <v>5117</v>
      </c>
    </row>
    <row r="46692">
      <c r="H46692" t="s">
        <v>5117</v>
      </c>
    </row>
    <row r="46693">
      <c r="H46693" t="s">
        <v>5117</v>
      </c>
    </row>
    <row r="46694">
      <c r="H46694" t="s">
        <v>5117</v>
      </c>
    </row>
    <row r="46695">
      <c r="H46695" t="s">
        <v>5117</v>
      </c>
    </row>
    <row r="46696">
      <c r="H46696" t="s">
        <v>5117</v>
      </c>
    </row>
    <row r="46697">
      <c r="H46697" t="s">
        <v>5117</v>
      </c>
    </row>
    <row r="46698">
      <c r="H46698" t="s">
        <v>5117</v>
      </c>
    </row>
    <row r="46699">
      <c r="H46699" t="s">
        <v>5117</v>
      </c>
    </row>
    <row r="46700">
      <c r="H46700" t="s">
        <v>5117</v>
      </c>
    </row>
    <row r="46701">
      <c r="H46701" t="s">
        <v>5117</v>
      </c>
    </row>
    <row r="46702">
      <c r="H46702" t="s">
        <v>5117</v>
      </c>
    </row>
    <row r="46703">
      <c r="H46703" t="s">
        <v>5117</v>
      </c>
    </row>
    <row r="46704">
      <c r="H46704" t="s">
        <v>5117</v>
      </c>
    </row>
    <row r="46705">
      <c r="H46705" t="s">
        <v>5117</v>
      </c>
    </row>
    <row r="46706">
      <c r="H46706" t="s">
        <v>5117</v>
      </c>
    </row>
    <row r="46707">
      <c r="H46707" t="s">
        <v>5117</v>
      </c>
    </row>
    <row r="46708">
      <c r="H46708" t="s">
        <v>5117</v>
      </c>
    </row>
    <row r="46709">
      <c r="H46709" t="s">
        <v>5117</v>
      </c>
    </row>
    <row r="46710">
      <c r="H46710" t="s">
        <v>5117</v>
      </c>
    </row>
    <row r="46711">
      <c r="H46711" t="s">
        <v>5117</v>
      </c>
    </row>
    <row r="46712">
      <c r="H46712" t="s">
        <v>5117</v>
      </c>
    </row>
    <row r="46713">
      <c r="H46713" t="s">
        <v>5117</v>
      </c>
    </row>
    <row r="46714">
      <c r="H46714" t="s">
        <v>5117</v>
      </c>
    </row>
    <row r="46715">
      <c r="H46715" t="s">
        <v>5117</v>
      </c>
    </row>
    <row r="46716">
      <c r="H46716" t="s">
        <v>5117</v>
      </c>
    </row>
    <row r="46717">
      <c r="H46717" t="s">
        <v>5117</v>
      </c>
    </row>
    <row r="46718">
      <c r="H46718" t="s">
        <v>5117</v>
      </c>
    </row>
    <row r="46719">
      <c r="H46719" t="s">
        <v>5117</v>
      </c>
    </row>
    <row r="46720">
      <c r="H46720" t="s">
        <v>5117</v>
      </c>
    </row>
    <row r="46721">
      <c r="H46721" t="s">
        <v>5117</v>
      </c>
    </row>
    <row r="46722">
      <c r="H46722" t="s">
        <v>5117</v>
      </c>
    </row>
    <row r="46723">
      <c r="H46723" t="s">
        <v>5117</v>
      </c>
    </row>
    <row r="46724">
      <c r="H46724" t="s">
        <v>5117</v>
      </c>
    </row>
    <row r="46725">
      <c r="H46725" t="s">
        <v>5117</v>
      </c>
    </row>
    <row r="46726">
      <c r="H46726" t="s">
        <v>5117</v>
      </c>
    </row>
    <row r="46727">
      <c r="H46727" t="s">
        <v>5117</v>
      </c>
    </row>
    <row r="46728">
      <c r="H46728" t="s">
        <v>5117</v>
      </c>
    </row>
    <row r="46729">
      <c r="H46729" t="s">
        <v>5117</v>
      </c>
    </row>
    <row r="46730">
      <c r="H46730" t="s">
        <v>5117</v>
      </c>
    </row>
    <row r="46731">
      <c r="H46731" t="s">
        <v>5117</v>
      </c>
    </row>
    <row r="46732">
      <c r="H46732" t="s">
        <v>5117</v>
      </c>
    </row>
    <row r="46733">
      <c r="H46733" t="s">
        <v>5117</v>
      </c>
    </row>
    <row r="46734">
      <c r="H46734" t="s">
        <v>5117</v>
      </c>
    </row>
    <row r="46735">
      <c r="H46735" t="s">
        <v>5117</v>
      </c>
    </row>
    <row r="46736">
      <c r="H46736" t="s">
        <v>5117</v>
      </c>
    </row>
    <row r="46737">
      <c r="H46737" t="s">
        <v>5117</v>
      </c>
    </row>
    <row r="46738">
      <c r="H46738" t="s">
        <v>5117</v>
      </c>
    </row>
    <row r="46739">
      <c r="H46739" t="s">
        <v>5117</v>
      </c>
    </row>
    <row r="46740">
      <c r="H46740" t="s">
        <v>5117</v>
      </c>
    </row>
    <row r="46741">
      <c r="H46741" t="s">
        <v>5117</v>
      </c>
    </row>
    <row r="46742">
      <c r="H46742" t="s">
        <v>5117</v>
      </c>
    </row>
    <row r="46743">
      <c r="H46743" t="s">
        <v>5117</v>
      </c>
    </row>
    <row r="46744">
      <c r="H46744" t="s">
        <v>5117</v>
      </c>
    </row>
    <row r="46745">
      <c r="H46745" t="s">
        <v>5117</v>
      </c>
    </row>
    <row r="46746">
      <c r="H46746" t="s">
        <v>5117</v>
      </c>
    </row>
    <row r="46747">
      <c r="H46747" t="s">
        <v>5117</v>
      </c>
    </row>
    <row r="46748">
      <c r="H46748" t="s">
        <v>5117</v>
      </c>
    </row>
    <row r="46749">
      <c r="H46749" t="s">
        <v>5117</v>
      </c>
    </row>
    <row r="46750">
      <c r="H46750" t="s">
        <v>5117</v>
      </c>
    </row>
    <row r="46751">
      <c r="H46751" t="s">
        <v>5117</v>
      </c>
    </row>
    <row r="46752">
      <c r="H46752" t="s">
        <v>5117</v>
      </c>
    </row>
    <row r="46753">
      <c r="H46753" t="s">
        <v>5117</v>
      </c>
    </row>
    <row r="46754">
      <c r="H46754" t="s">
        <v>5117</v>
      </c>
    </row>
    <row r="46755">
      <c r="H46755" t="s">
        <v>5117</v>
      </c>
    </row>
    <row r="46756">
      <c r="H46756" t="s">
        <v>5117</v>
      </c>
    </row>
    <row r="46757">
      <c r="H46757" t="s">
        <v>5117</v>
      </c>
    </row>
    <row r="46758">
      <c r="H46758" t="s">
        <v>5117</v>
      </c>
    </row>
    <row r="46759">
      <c r="H46759" t="s">
        <v>5117</v>
      </c>
    </row>
    <row r="46760">
      <c r="H46760" t="s">
        <v>5117</v>
      </c>
    </row>
    <row r="46761">
      <c r="H46761" t="s">
        <v>5117</v>
      </c>
    </row>
    <row r="46762">
      <c r="H46762" t="s">
        <v>5117</v>
      </c>
    </row>
    <row r="46763">
      <c r="H46763" t="s">
        <v>5117</v>
      </c>
    </row>
    <row r="46764">
      <c r="H46764" t="s">
        <v>5117</v>
      </c>
    </row>
    <row r="46765">
      <c r="H46765" t="s">
        <v>5117</v>
      </c>
    </row>
    <row r="46766">
      <c r="H46766" t="s">
        <v>5117</v>
      </c>
    </row>
    <row r="46767">
      <c r="H46767" t="s">
        <v>5117</v>
      </c>
    </row>
    <row r="46768">
      <c r="H46768" t="s">
        <v>5117</v>
      </c>
    </row>
    <row r="46769">
      <c r="H46769" t="s">
        <v>5117</v>
      </c>
    </row>
    <row r="46770">
      <c r="H46770" t="s">
        <v>5117</v>
      </c>
    </row>
    <row r="46771">
      <c r="H46771" t="s">
        <v>5117</v>
      </c>
    </row>
    <row r="46772">
      <c r="H46772" t="s">
        <v>5117</v>
      </c>
    </row>
    <row r="46773">
      <c r="H46773" t="s">
        <v>5117</v>
      </c>
    </row>
    <row r="46774">
      <c r="H46774" t="s">
        <v>5117</v>
      </c>
    </row>
    <row r="46775">
      <c r="H46775" t="s">
        <v>5117</v>
      </c>
    </row>
    <row r="46776">
      <c r="H46776" t="s">
        <v>5117</v>
      </c>
    </row>
    <row r="46777">
      <c r="H46777" t="s">
        <v>5117</v>
      </c>
    </row>
    <row r="46778">
      <c r="H46778" t="s">
        <v>5117</v>
      </c>
    </row>
    <row r="46779">
      <c r="H46779" t="s">
        <v>5117</v>
      </c>
    </row>
    <row r="46780">
      <c r="H46780" t="s">
        <v>5117</v>
      </c>
    </row>
    <row r="46781">
      <c r="H46781" t="s">
        <v>5117</v>
      </c>
    </row>
    <row r="46782">
      <c r="H46782" t="s">
        <v>5117</v>
      </c>
    </row>
    <row r="46783">
      <c r="H46783" t="s">
        <v>5117</v>
      </c>
    </row>
    <row r="46784">
      <c r="H46784" t="s">
        <v>5117</v>
      </c>
    </row>
    <row r="46785">
      <c r="H46785" t="s">
        <v>5117</v>
      </c>
    </row>
    <row r="46786">
      <c r="H46786" t="s">
        <v>5117</v>
      </c>
    </row>
    <row r="46787">
      <c r="H46787" t="s">
        <v>5117</v>
      </c>
    </row>
    <row r="46788">
      <c r="H46788" t="s">
        <v>5117</v>
      </c>
    </row>
    <row r="46789">
      <c r="H46789" t="s">
        <v>5117</v>
      </c>
    </row>
    <row r="46790">
      <c r="H46790" t="s">
        <v>5117</v>
      </c>
    </row>
    <row r="46791">
      <c r="H46791" t="s">
        <v>5117</v>
      </c>
    </row>
    <row r="46792">
      <c r="H46792" t="s">
        <v>5117</v>
      </c>
    </row>
    <row r="46793">
      <c r="H46793" t="s">
        <v>5117</v>
      </c>
    </row>
    <row r="46794">
      <c r="H46794" t="s">
        <v>5117</v>
      </c>
    </row>
    <row r="46795">
      <c r="H46795" t="s">
        <v>5117</v>
      </c>
    </row>
    <row r="46796">
      <c r="H46796" t="s">
        <v>5117</v>
      </c>
    </row>
    <row r="46797">
      <c r="H46797" t="s">
        <v>5117</v>
      </c>
    </row>
    <row r="46798">
      <c r="H46798" t="s">
        <v>5117</v>
      </c>
    </row>
    <row r="46799">
      <c r="H46799" t="s">
        <v>5117</v>
      </c>
    </row>
    <row r="46800">
      <c r="H46800" t="s">
        <v>5117</v>
      </c>
    </row>
    <row r="46801">
      <c r="H46801" t="s">
        <v>5117</v>
      </c>
    </row>
    <row r="46802">
      <c r="H46802" t="s">
        <v>5117</v>
      </c>
    </row>
    <row r="46803">
      <c r="H46803" t="s">
        <v>5117</v>
      </c>
    </row>
    <row r="46804">
      <c r="H46804" t="s">
        <v>5117</v>
      </c>
    </row>
    <row r="46805">
      <c r="H46805" t="s">
        <v>5117</v>
      </c>
    </row>
    <row r="46806">
      <c r="H46806" t="s">
        <v>5117</v>
      </c>
    </row>
    <row r="46807">
      <c r="H46807" t="s">
        <v>5117</v>
      </c>
    </row>
    <row r="46808">
      <c r="H46808" t="s">
        <v>5117</v>
      </c>
    </row>
    <row r="46809">
      <c r="H46809" t="s">
        <v>5117</v>
      </c>
    </row>
    <row r="46810">
      <c r="H46810" t="s">
        <v>5117</v>
      </c>
    </row>
    <row r="46811">
      <c r="H46811" t="s">
        <v>5117</v>
      </c>
    </row>
    <row r="46812">
      <c r="H46812" t="s">
        <v>5117</v>
      </c>
    </row>
    <row r="46813">
      <c r="H46813" t="s">
        <v>5117</v>
      </c>
    </row>
    <row r="46814">
      <c r="H46814" t="s">
        <v>5117</v>
      </c>
    </row>
    <row r="46815">
      <c r="H46815" t="s">
        <v>5117</v>
      </c>
    </row>
    <row r="46816">
      <c r="H46816" t="s">
        <v>5117</v>
      </c>
    </row>
    <row r="46817">
      <c r="H46817" t="s">
        <v>5117</v>
      </c>
    </row>
    <row r="46818">
      <c r="H46818" t="s">
        <v>5117</v>
      </c>
    </row>
    <row r="46819">
      <c r="H46819" t="s">
        <v>5117</v>
      </c>
    </row>
    <row r="46820">
      <c r="H46820" t="s">
        <v>5117</v>
      </c>
    </row>
    <row r="46821">
      <c r="H46821" t="s">
        <v>5117</v>
      </c>
    </row>
    <row r="46822">
      <c r="H46822" t="s">
        <v>5117</v>
      </c>
    </row>
    <row r="46823">
      <c r="H46823" t="s">
        <v>5117</v>
      </c>
    </row>
    <row r="46824">
      <c r="H46824" t="s">
        <v>5117</v>
      </c>
    </row>
    <row r="46825">
      <c r="H46825" t="s">
        <v>5117</v>
      </c>
    </row>
    <row r="46826">
      <c r="H46826" t="s">
        <v>5117</v>
      </c>
    </row>
    <row r="46827">
      <c r="H46827" t="s">
        <v>5117</v>
      </c>
    </row>
    <row r="46828">
      <c r="H46828" t="s">
        <v>5117</v>
      </c>
    </row>
    <row r="46829">
      <c r="H46829" t="s">
        <v>5117</v>
      </c>
    </row>
    <row r="46830">
      <c r="H46830" t="s">
        <v>5117</v>
      </c>
    </row>
    <row r="46831">
      <c r="H46831" t="s">
        <v>5117</v>
      </c>
    </row>
    <row r="46832">
      <c r="H46832" t="s">
        <v>5117</v>
      </c>
    </row>
    <row r="46833">
      <c r="H46833" t="s">
        <v>5117</v>
      </c>
    </row>
    <row r="46834">
      <c r="H46834" t="s">
        <v>5117</v>
      </c>
    </row>
    <row r="46835">
      <c r="H46835" t="s">
        <v>5117</v>
      </c>
    </row>
    <row r="46836">
      <c r="H46836" t="s">
        <v>5117</v>
      </c>
    </row>
    <row r="46837">
      <c r="H46837" t="s">
        <v>5117</v>
      </c>
    </row>
    <row r="46838">
      <c r="H46838" t="s">
        <v>5117</v>
      </c>
    </row>
    <row r="46839">
      <c r="H46839" t="s">
        <v>5117</v>
      </c>
    </row>
    <row r="46840">
      <c r="H46840" t="s">
        <v>5117</v>
      </c>
    </row>
    <row r="46841">
      <c r="H46841" t="s">
        <v>5117</v>
      </c>
    </row>
    <row r="46842">
      <c r="H46842" t="s">
        <v>5117</v>
      </c>
    </row>
    <row r="46843">
      <c r="H46843" t="s">
        <v>5117</v>
      </c>
    </row>
    <row r="46844">
      <c r="H46844" t="s">
        <v>5117</v>
      </c>
    </row>
    <row r="46845">
      <c r="H46845" t="s">
        <v>5117</v>
      </c>
    </row>
    <row r="46846">
      <c r="H46846" t="s">
        <v>5117</v>
      </c>
    </row>
    <row r="46847">
      <c r="H46847" t="s">
        <v>5117</v>
      </c>
    </row>
    <row r="46848">
      <c r="H46848" t="s">
        <v>5117</v>
      </c>
    </row>
    <row r="46849">
      <c r="H46849" t="s">
        <v>5117</v>
      </c>
    </row>
    <row r="46850">
      <c r="H46850" t="s">
        <v>5117</v>
      </c>
    </row>
    <row r="46851">
      <c r="H46851" t="s">
        <v>5117</v>
      </c>
    </row>
    <row r="46852">
      <c r="H46852" t="s">
        <v>5117</v>
      </c>
    </row>
    <row r="46853">
      <c r="H46853" t="s">
        <v>5117</v>
      </c>
    </row>
    <row r="46854">
      <c r="H46854" t="s">
        <v>5117</v>
      </c>
    </row>
    <row r="46855">
      <c r="H46855" t="s">
        <v>5117</v>
      </c>
    </row>
    <row r="46856">
      <c r="H46856" t="s">
        <v>5117</v>
      </c>
    </row>
    <row r="46857">
      <c r="H46857" t="s">
        <v>5117</v>
      </c>
    </row>
    <row r="46858">
      <c r="H46858" t="s">
        <v>5117</v>
      </c>
    </row>
    <row r="46859">
      <c r="H46859" t="s">
        <v>5117</v>
      </c>
    </row>
    <row r="46860">
      <c r="H46860" t="s">
        <v>5117</v>
      </c>
    </row>
    <row r="46861">
      <c r="H46861" t="s">
        <v>5117</v>
      </c>
    </row>
    <row r="46862">
      <c r="H46862" t="s">
        <v>5117</v>
      </c>
    </row>
    <row r="46863">
      <c r="H46863" t="s">
        <v>5117</v>
      </c>
    </row>
    <row r="46864">
      <c r="H46864" t="s">
        <v>5117</v>
      </c>
    </row>
    <row r="46865">
      <c r="H46865" t="s">
        <v>5117</v>
      </c>
    </row>
    <row r="46866">
      <c r="H46866" t="s">
        <v>5117</v>
      </c>
    </row>
    <row r="46867">
      <c r="H46867" t="s">
        <v>5117</v>
      </c>
    </row>
    <row r="46868">
      <c r="H46868" t="s">
        <v>5117</v>
      </c>
    </row>
    <row r="46869">
      <c r="H46869" t="s">
        <v>5117</v>
      </c>
    </row>
    <row r="46870">
      <c r="H46870" t="s">
        <v>5117</v>
      </c>
    </row>
    <row r="46871">
      <c r="H46871" t="s">
        <v>5117</v>
      </c>
    </row>
    <row r="46872">
      <c r="H46872" t="s">
        <v>5117</v>
      </c>
    </row>
    <row r="46873">
      <c r="H46873" t="s">
        <v>5117</v>
      </c>
    </row>
    <row r="46874">
      <c r="H46874" t="s">
        <v>5117</v>
      </c>
    </row>
    <row r="46875">
      <c r="H46875" t="s">
        <v>5117</v>
      </c>
    </row>
    <row r="46876">
      <c r="H46876" t="s">
        <v>5117</v>
      </c>
    </row>
    <row r="46877">
      <c r="H46877" t="s">
        <v>5117</v>
      </c>
    </row>
    <row r="46878">
      <c r="H46878" t="s">
        <v>5117</v>
      </c>
    </row>
    <row r="46879">
      <c r="H46879" t="s">
        <v>5117</v>
      </c>
    </row>
    <row r="46880">
      <c r="H46880" t="s">
        <v>5117</v>
      </c>
    </row>
    <row r="46881">
      <c r="H46881" t="s">
        <v>5117</v>
      </c>
    </row>
    <row r="46882">
      <c r="H46882" t="s">
        <v>5117</v>
      </c>
    </row>
    <row r="46883">
      <c r="H46883" t="s">
        <v>5117</v>
      </c>
    </row>
    <row r="46884">
      <c r="H46884" t="s">
        <v>5117</v>
      </c>
    </row>
    <row r="46885">
      <c r="H46885" t="s">
        <v>5117</v>
      </c>
    </row>
    <row r="46886">
      <c r="H46886" t="s">
        <v>5117</v>
      </c>
    </row>
    <row r="46887">
      <c r="H46887" t="s">
        <v>5117</v>
      </c>
    </row>
    <row r="46888">
      <c r="H46888" t="s">
        <v>5117</v>
      </c>
    </row>
    <row r="46889">
      <c r="H46889" t="s">
        <v>5117</v>
      </c>
    </row>
    <row r="46890">
      <c r="H46890" t="s">
        <v>5117</v>
      </c>
    </row>
    <row r="46891">
      <c r="H46891" t="s">
        <v>5117</v>
      </c>
    </row>
    <row r="46892">
      <c r="H46892" t="s">
        <v>5117</v>
      </c>
    </row>
    <row r="46893">
      <c r="H46893" t="s">
        <v>5117</v>
      </c>
    </row>
    <row r="46894">
      <c r="H46894" t="s">
        <v>5117</v>
      </c>
    </row>
    <row r="46895">
      <c r="H46895" t="s">
        <v>5117</v>
      </c>
    </row>
    <row r="46896">
      <c r="H46896" t="s">
        <v>5117</v>
      </c>
    </row>
    <row r="46897">
      <c r="H46897" t="s">
        <v>5117</v>
      </c>
    </row>
    <row r="46898">
      <c r="H46898" t="s">
        <v>5117</v>
      </c>
    </row>
    <row r="46899">
      <c r="H46899" t="s">
        <v>5117</v>
      </c>
    </row>
    <row r="46900">
      <c r="H46900" t="s">
        <v>5117</v>
      </c>
    </row>
    <row r="46901">
      <c r="H46901" t="s">
        <v>5117</v>
      </c>
    </row>
    <row r="46902">
      <c r="H46902" t="s">
        <v>5117</v>
      </c>
    </row>
    <row r="46903">
      <c r="H46903" t="s">
        <v>5117</v>
      </c>
    </row>
    <row r="46904">
      <c r="H46904" t="s">
        <v>5117</v>
      </c>
    </row>
    <row r="46905">
      <c r="H46905" t="s">
        <v>5117</v>
      </c>
    </row>
    <row r="46906">
      <c r="H46906" t="s">
        <v>5117</v>
      </c>
    </row>
    <row r="46907">
      <c r="H46907" t="s">
        <v>5117</v>
      </c>
    </row>
    <row r="46908">
      <c r="H46908" t="s">
        <v>5117</v>
      </c>
    </row>
    <row r="46909">
      <c r="H46909" t="s">
        <v>5117</v>
      </c>
    </row>
    <row r="46910">
      <c r="H46910" t="s">
        <v>5117</v>
      </c>
    </row>
    <row r="46911">
      <c r="H46911" t="s">
        <v>5117</v>
      </c>
    </row>
    <row r="46912">
      <c r="H46912" t="s">
        <v>5117</v>
      </c>
    </row>
    <row r="46913">
      <c r="H46913" t="s">
        <v>5117</v>
      </c>
    </row>
    <row r="46914">
      <c r="H46914" t="s">
        <v>5117</v>
      </c>
    </row>
    <row r="46915">
      <c r="H46915" t="s">
        <v>5117</v>
      </c>
    </row>
    <row r="46916">
      <c r="H46916" t="s">
        <v>5117</v>
      </c>
    </row>
    <row r="46917">
      <c r="H46917" t="s">
        <v>5117</v>
      </c>
    </row>
    <row r="46918">
      <c r="H46918" t="s">
        <v>5117</v>
      </c>
    </row>
    <row r="46919">
      <c r="H46919" t="s">
        <v>5117</v>
      </c>
    </row>
    <row r="46920">
      <c r="H46920" t="s">
        <v>5117</v>
      </c>
    </row>
    <row r="46921">
      <c r="H46921" t="s">
        <v>5117</v>
      </c>
    </row>
    <row r="46922">
      <c r="H46922" t="s">
        <v>5117</v>
      </c>
    </row>
    <row r="46923">
      <c r="H46923" t="s">
        <v>5117</v>
      </c>
    </row>
    <row r="46924">
      <c r="H46924" t="s">
        <v>5117</v>
      </c>
    </row>
    <row r="46925">
      <c r="H46925" t="s">
        <v>5117</v>
      </c>
    </row>
    <row r="46926">
      <c r="H46926" t="s">
        <v>5117</v>
      </c>
    </row>
    <row r="46927">
      <c r="H46927" t="s">
        <v>5117</v>
      </c>
    </row>
    <row r="46928">
      <c r="H46928" t="s">
        <v>5117</v>
      </c>
    </row>
    <row r="46929">
      <c r="H46929" t="s">
        <v>5117</v>
      </c>
    </row>
    <row r="46930">
      <c r="H46930" t="s">
        <v>5117</v>
      </c>
    </row>
    <row r="46931">
      <c r="H46931" t="s">
        <v>5117</v>
      </c>
    </row>
    <row r="46932">
      <c r="H46932" t="s">
        <v>5117</v>
      </c>
    </row>
    <row r="46933">
      <c r="H46933" t="s">
        <v>5117</v>
      </c>
    </row>
    <row r="46934">
      <c r="H46934" t="s">
        <v>5117</v>
      </c>
    </row>
    <row r="46935">
      <c r="H46935" t="s">
        <v>5117</v>
      </c>
    </row>
    <row r="46936">
      <c r="H46936" t="s">
        <v>5117</v>
      </c>
    </row>
    <row r="46937">
      <c r="H46937" t="s">
        <v>5117</v>
      </c>
    </row>
    <row r="46938">
      <c r="H46938" t="s">
        <v>5117</v>
      </c>
    </row>
    <row r="46939">
      <c r="H46939" t="s">
        <v>5117</v>
      </c>
    </row>
    <row r="46940">
      <c r="H46940" t="s">
        <v>5117</v>
      </c>
    </row>
    <row r="46941">
      <c r="H46941" t="s">
        <v>5117</v>
      </c>
    </row>
    <row r="46942">
      <c r="H46942" t="s">
        <v>5117</v>
      </c>
    </row>
    <row r="46943">
      <c r="H46943" t="s">
        <v>5117</v>
      </c>
    </row>
    <row r="46944">
      <c r="H46944" t="s">
        <v>5117</v>
      </c>
    </row>
    <row r="46945">
      <c r="H46945" t="s">
        <v>5117</v>
      </c>
    </row>
    <row r="46946">
      <c r="H46946" t="s">
        <v>5117</v>
      </c>
    </row>
    <row r="46947">
      <c r="H46947" t="s">
        <v>5117</v>
      </c>
    </row>
    <row r="46948">
      <c r="H46948" t="s">
        <v>5117</v>
      </c>
    </row>
    <row r="46949">
      <c r="H46949" t="s">
        <v>5117</v>
      </c>
    </row>
    <row r="46950">
      <c r="H46950" t="s">
        <v>5117</v>
      </c>
    </row>
    <row r="46951">
      <c r="H46951" t="s">
        <v>5117</v>
      </c>
    </row>
    <row r="46952">
      <c r="H46952" t="s">
        <v>5117</v>
      </c>
    </row>
    <row r="46953">
      <c r="H46953" t="s">
        <v>5117</v>
      </c>
    </row>
    <row r="46954">
      <c r="H46954" t="s">
        <v>5117</v>
      </c>
    </row>
    <row r="46955">
      <c r="H46955" t="s">
        <v>5117</v>
      </c>
    </row>
    <row r="46956">
      <c r="H46956" t="s">
        <v>5117</v>
      </c>
    </row>
    <row r="46957">
      <c r="H46957" t="s">
        <v>5117</v>
      </c>
    </row>
    <row r="46958">
      <c r="H46958" t="s">
        <v>5117</v>
      </c>
    </row>
    <row r="46959">
      <c r="H46959" t="s">
        <v>5117</v>
      </c>
    </row>
    <row r="46960">
      <c r="H46960" t="s">
        <v>5117</v>
      </c>
    </row>
    <row r="46961">
      <c r="H46961" t="s">
        <v>5117</v>
      </c>
    </row>
    <row r="46962">
      <c r="H46962" t="s">
        <v>5117</v>
      </c>
    </row>
    <row r="46963">
      <c r="H46963" t="s">
        <v>5117</v>
      </c>
    </row>
    <row r="46964">
      <c r="H46964" t="s">
        <v>5117</v>
      </c>
    </row>
    <row r="46965">
      <c r="H46965" t="s">
        <v>5117</v>
      </c>
    </row>
    <row r="46966">
      <c r="H46966" t="s">
        <v>5117</v>
      </c>
    </row>
    <row r="46967">
      <c r="H46967" t="s">
        <v>5117</v>
      </c>
    </row>
    <row r="46968">
      <c r="H46968" t="s">
        <v>5117</v>
      </c>
    </row>
    <row r="46969">
      <c r="H46969" t="s">
        <v>5117</v>
      </c>
    </row>
    <row r="46970">
      <c r="H46970" t="s">
        <v>5117</v>
      </c>
    </row>
    <row r="46971">
      <c r="H46971" t="s">
        <v>5117</v>
      </c>
    </row>
    <row r="46972">
      <c r="H46972" t="s">
        <v>5117</v>
      </c>
    </row>
    <row r="46973">
      <c r="H46973" t="s">
        <v>5117</v>
      </c>
    </row>
    <row r="46974">
      <c r="H46974" t="s">
        <v>5117</v>
      </c>
    </row>
    <row r="46975">
      <c r="H46975" t="s">
        <v>5117</v>
      </c>
    </row>
    <row r="46976">
      <c r="H46976" t="s">
        <v>5117</v>
      </c>
    </row>
    <row r="46977">
      <c r="H46977" t="s">
        <v>5117</v>
      </c>
    </row>
    <row r="46978">
      <c r="H46978" t="s">
        <v>5117</v>
      </c>
    </row>
    <row r="46979">
      <c r="H46979" t="s">
        <v>5117</v>
      </c>
    </row>
    <row r="46980">
      <c r="H46980" t="s">
        <v>5117</v>
      </c>
    </row>
    <row r="46981">
      <c r="H46981" t="s">
        <v>5117</v>
      </c>
    </row>
    <row r="46982">
      <c r="H46982" t="s">
        <v>5117</v>
      </c>
    </row>
    <row r="46983">
      <c r="H46983" t="s">
        <v>5117</v>
      </c>
    </row>
    <row r="46984">
      <c r="H46984" t="s">
        <v>5117</v>
      </c>
    </row>
    <row r="46985">
      <c r="H46985" t="s">
        <v>5117</v>
      </c>
    </row>
    <row r="46986">
      <c r="H46986" t="s">
        <v>5117</v>
      </c>
    </row>
    <row r="46987">
      <c r="H46987" t="s">
        <v>5117</v>
      </c>
    </row>
    <row r="46988">
      <c r="H46988" t="s">
        <v>5117</v>
      </c>
    </row>
    <row r="46989">
      <c r="H46989" t="s">
        <v>5117</v>
      </c>
    </row>
    <row r="46990">
      <c r="H46990" t="s">
        <v>5117</v>
      </c>
    </row>
    <row r="46991">
      <c r="H46991" t="s">
        <v>5117</v>
      </c>
    </row>
    <row r="46992">
      <c r="H46992" t="s">
        <v>5117</v>
      </c>
    </row>
    <row r="46993">
      <c r="H46993" t="s">
        <v>5117</v>
      </c>
    </row>
    <row r="46994">
      <c r="H46994" t="s">
        <v>5117</v>
      </c>
    </row>
    <row r="46995">
      <c r="H46995" t="s">
        <v>5117</v>
      </c>
    </row>
    <row r="46996">
      <c r="H46996" t="s">
        <v>5117</v>
      </c>
    </row>
    <row r="46997">
      <c r="H46997" t="s">
        <v>5117</v>
      </c>
    </row>
    <row r="46998">
      <c r="H46998" t="s">
        <v>5117</v>
      </c>
    </row>
    <row r="46999">
      <c r="H46999" t="s">
        <v>5117</v>
      </c>
    </row>
    <row r="47000">
      <c r="H47000" t="s">
        <v>5117</v>
      </c>
    </row>
    <row r="47001">
      <c r="H47001" t="s">
        <v>5117</v>
      </c>
    </row>
    <row r="47002">
      <c r="H47002" t="s">
        <v>5117</v>
      </c>
    </row>
    <row r="47003">
      <c r="H47003" t="s">
        <v>5117</v>
      </c>
    </row>
    <row r="47004">
      <c r="H47004" t="s">
        <v>5117</v>
      </c>
    </row>
    <row r="47005">
      <c r="H47005" t="s">
        <v>5117</v>
      </c>
    </row>
    <row r="47006">
      <c r="H47006" t="s">
        <v>5117</v>
      </c>
    </row>
    <row r="47007">
      <c r="H47007" t="s">
        <v>5117</v>
      </c>
    </row>
    <row r="47008">
      <c r="H47008" t="s">
        <v>5117</v>
      </c>
    </row>
    <row r="47009">
      <c r="H47009" t="s">
        <v>5117</v>
      </c>
    </row>
    <row r="47010">
      <c r="H47010" t="s">
        <v>5117</v>
      </c>
    </row>
    <row r="47011">
      <c r="H47011" t="s">
        <v>5117</v>
      </c>
    </row>
    <row r="47012">
      <c r="H47012" t="s">
        <v>5117</v>
      </c>
    </row>
    <row r="47013">
      <c r="H47013" t="s">
        <v>5117</v>
      </c>
    </row>
    <row r="47014">
      <c r="H47014" t="s">
        <v>5117</v>
      </c>
    </row>
    <row r="47015">
      <c r="H47015" t="s">
        <v>5117</v>
      </c>
    </row>
    <row r="47016">
      <c r="H47016" t="s">
        <v>5117</v>
      </c>
    </row>
    <row r="47017">
      <c r="H47017" t="s">
        <v>5117</v>
      </c>
    </row>
    <row r="47018">
      <c r="H47018" t="s">
        <v>5117</v>
      </c>
    </row>
    <row r="47019">
      <c r="H47019" t="s">
        <v>5117</v>
      </c>
    </row>
    <row r="47020">
      <c r="H47020" t="s">
        <v>5117</v>
      </c>
    </row>
    <row r="47021">
      <c r="H47021" t="s">
        <v>5117</v>
      </c>
    </row>
    <row r="47022">
      <c r="H47022" t="s">
        <v>5117</v>
      </c>
    </row>
    <row r="47023">
      <c r="H47023" t="s">
        <v>5117</v>
      </c>
    </row>
    <row r="47024">
      <c r="H47024" t="s">
        <v>5117</v>
      </c>
    </row>
    <row r="47025">
      <c r="H47025" t="s">
        <v>5117</v>
      </c>
    </row>
    <row r="47026">
      <c r="H47026" t="s">
        <v>5117</v>
      </c>
    </row>
    <row r="47027">
      <c r="H47027" t="s">
        <v>5117</v>
      </c>
    </row>
    <row r="47028">
      <c r="H47028" t="s">
        <v>5117</v>
      </c>
    </row>
    <row r="47029">
      <c r="H47029" t="s">
        <v>5117</v>
      </c>
    </row>
    <row r="47030">
      <c r="H47030" t="s">
        <v>5117</v>
      </c>
    </row>
    <row r="47031">
      <c r="H47031" t="s">
        <v>5117</v>
      </c>
    </row>
    <row r="47032">
      <c r="H47032" t="s">
        <v>5117</v>
      </c>
    </row>
    <row r="47033">
      <c r="H47033" t="s">
        <v>5117</v>
      </c>
    </row>
    <row r="47034">
      <c r="H47034" t="s">
        <v>5117</v>
      </c>
    </row>
    <row r="47035">
      <c r="H47035" t="s">
        <v>5117</v>
      </c>
    </row>
    <row r="47036">
      <c r="H47036" t="s">
        <v>5117</v>
      </c>
    </row>
    <row r="47037">
      <c r="H47037" t="s">
        <v>5117</v>
      </c>
    </row>
    <row r="47038">
      <c r="H47038" t="s">
        <v>5117</v>
      </c>
    </row>
    <row r="47039">
      <c r="H47039" t="s">
        <v>5117</v>
      </c>
    </row>
    <row r="47040">
      <c r="H47040" t="s">
        <v>5117</v>
      </c>
    </row>
    <row r="47041">
      <c r="H47041" t="s">
        <v>5117</v>
      </c>
    </row>
    <row r="47042">
      <c r="H47042" t="s">
        <v>5117</v>
      </c>
    </row>
    <row r="47043">
      <c r="H47043" t="s">
        <v>5117</v>
      </c>
    </row>
    <row r="47044">
      <c r="H47044" t="s">
        <v>5117</v>
      </c>
    </row>
    <row r="47045">
      <c r="H47045" t="s">
        <v>5117</v>
      </c>
    </row>
    <row r="47046">
      <c r="H47046" t="s">
        <v>5117</v>
      </c>
    </row>
    <row r="47047">
      <c r="H47047" t="s">
        <v>5117</v>
      </c>
    </row>
    <row r="47048">
      <c r="H47048" t="s">
        <v>5117</v>
      </c>
    </row>
    <row r="47049">
      <c r="H47049" t="s">
        <v>5117</v>
      </c>
    </row>
    <row r="47050">
      <c r="H47050" t="s">
        <v>5117</v>
      </c>
    </row>
    <row r="47051">
      <c r="H47051" t="s">
        <v>5117</v>
      </c>
    </row>
    <row r="47052">
      <c r="H47052" t="s">
        <v>5117</v>
      </c>
    </row>
    <row r="47053">
      <c r="H47053" t="s">
        <v>5117</v>
      </c>
    </row>
    <row r="47054">
      <c r="H47054" t="s">
        <v>5117</v>
      </c>
    </row>
    <row r="47055">
      <c r="H47055" t="s">
        <v>5117</v>
      </c>
    </row>
    <row r="47056">
      <c r="H47056" t="s">
        <v>5117</v>
      </c>
    </row>
    <row r="47057">
      <c r="H47057" t="s">
        <v>5117</v>
      </c>
    </row>
    <row r="47058">
      <c r="H47058" t="s">
        <v>5117</v>
      </c>
    </row>
    <row r="47059">
      <c r="H47059" t="s">
        <v>5117</v>
      </c>
    </row>
    <row r="47060">
      <c r="H47060" t="s">
        <v>5117</v>
      </c>
    </row>
    <row r="47061">
      <c r="H47061" t="s">
        <v>5117</v>
      </c>
    </row>
    <row r="47062">
      <c r="H47062" t="s">
        <v>5117</v>
      </c>
    </row>
    <row r="47063">
      <c r="H47063" t="s">
        <v>5117</v>
      </c>
    </row>
    <row r="47064">
      <c r="H47064" t="s">
        <v>5117</v>
      </c>
    </row>
    <row r="47065">
      <c r="H47065" t="s">
        <v>5117</v>
      </c>
    </row>
    <row r="47066">
      <c r="H47066" t="s">
        <v>5117</v>
      </c>
    </row>
    <row r="47067">
      <c r="H47067" t="s">
        <v>5117</v>
      </c>
    </row>
    <row r="47068">
      <c r="H47068" t="s">
        <v>5117</v>
      </c>
    </row>
    <row r="47069">
      <c r="H47069" t="s">
        <v>5117</v>
      </c>
    </row>
    <row r="47070">
      <c r="H47070" t="s">
        <v>5117</v>
      </c>
    </row>
    <row r="47071">
      <c r="H47071" t="s">
        <v>5117</v>
      </c>
    </row>
    <row r="47072">
      <c r="H47072" t="s">
        <v>5117</v>
      </c>
    </row>
    <row r="47073">
      <c r="H47073" t="s">
        <v>5117</v>
      </c>
    </row>
    <row r="47074">
      <c r="H47074" t="s">
        <v>5117</v>
      </c>
    </row>
    <row r="47075">
      <c r="H47075" t="s">
        <v>5117</v>
      </c>
    </row>
    <row r="47076">
      <c r="H47076" t="s">
        <v>5117</v>
      </c>
    </row>
    <row r="47077">
      <c r="H47077" t="s">
        <v>5117</v>
      </c>
    </row>
    <row r="47078">
      <c r="H47078" t="s">
        <v>5117</v>
      </c>
    </row>
    <row r="47079">
      <c r="H47079" t="s">
        <v>5117</v>
      </c>
    </row>
    <row r="47080">
      <c r="H47080" t="s">
        <v>5117</v>
      </c>
    </row>
    <row r="47081">
      <c r="H47081" t="s">
        <v>5117</v>
      </c>
    </row>
    <row r="47082">
      <c r="H47082" t="s">
        <v>5117</v>
      </c>
    </row>
    <row r="47083">
      <c r="H47083" t="s">
        <v>5117</v>
      </c>
    </row>
    <row r="47084">
      <c r="H47084" t="s">
        <v>5117</v>
      </c>
    </row>
    <row r="47085">
      <c r="H47085" t="s">
        <v>5117</v>
      </c>
    </row>
    <row r="47086">
      <c r="H47086" t="s">
        <v>5117</v>
      </c>
    </row>
    <row r="47087">
      <c r="H47087" t="s">
        <v>5117</v>
      </c>
    </row>
    <row r="47088">
      <c r="H47088" t="s">
        <v>5117</v>
      </c>
    </row>
    <row r="47089">
      <c r="H47089" t="s">
        <v>5117</v>
      </c>
    </row>
    <row r="47090">
      <c r="H47090" t="s">
        <v>5117</v>
      </c>
    </row>
    <row r="47091">
      <c r="H47091" t="s">
        <v>5117</v>
      </c>
    </row>
    <row r="47092">
      <c r="H47092" t="s">
        <v>5117</v>
      </c>
    </row>
    <row r="47093">
      <c r="H47093" t="s">
        <v>5117</v>
      </c>
    </row>
    <row r="47094">
      <c r="H47094" t="s">
        <v>5117</v>
      </c>
    </row>
    <row r="47095">
      <c r="H47095" t="s">
        <v>5117</v>
      </c>
    </row>
    <row r="47096">
      <c r="H47096" t="s">
        <v>5117</v>
      </c>
    </row>
    <row r="47097">
      <c r="H47097" t="s">
        <v>5117</v>
      </c>
    </row>
    <row r="47098">
      <c r="H47098" t="s">
        <v>5117</v>
      </c>
    </row>
    <row r="47099">
      <c r="H47099" t="s">
        <v>5117</v>
      </c>
    </row>
    <row r="47100">
      <c r="H47100" t="s">
        <v>5117</v>
      </c>
    </row>
    <row r="47101">
      <c r="H47101" t="s">
        <v>5117</v>
      </c>
    </row>
    <row r="47102">
      <c r="H47102" t="s">
        <v>5117</v>
      </c>
    </row>
    <row r="47103">
      <c r="H47103" t="s">
        <v>5117</v>
      </c>
    </row>
    <row r="47104">
      <c r="H47104" t="s">
        <v>5117</v>
      </c>
    </row>
    <row r="47105">
      <c r="H47105" t="s">
        <v>5117</v>
      </c>
    </row>
    <row r="47106">
      <c r="H47106" t="s">
        <v>5117</v>
      </c>
    </row>
    <row r="47107">
      <c r="H47107" t="s">
        <v>5117</v>
      </c>
    </row>
    <row r="47108">
      <c r="H47108" t="s">
        <v>5117</v>
      </c>
    </row>
    <row r="47109">
      <c r="H47109" t="s">
        <v>5117</v>
      </c>
    </row>
    <row r="47110">
      <c r="H47110" t="s">
        <v>5117</v>
      </c>
    </row>
    <row r="47111">
      <c r="H47111" t="s">
        <v>5117</v>
      </c>
    </row>
    <row r="47112">
      <c r="H47112" t="s">
        <v>5117</v>
      </c>
    </row>
    <row r="47113">
      <c r="H47113" t="s">
        <v>5117</v>
      </c>
    </row>
    <row r="47114">
      <c r="H47114" t="s">
        <v>5117</v>
      </c>
    </row>
    <row r="47115">
      <c r="H47115" t="s">
        <v>5117</v>
      </c>
    </row>
    <row r="47116">
      <c r="H47116" t="s">
        <v>5117</v>
      </c>
    </row>
    <row r="47117">
      <c r="H47117" t="s">
        <v>5117</v>
      </c>
    </row>
    <row r="47118">
      <c r="H47118" t="s">
        <v>5117</v>
      </c>
    </row>
    <row r="47119">
      <c r="H47119" t="s">
        <v>5117</v>
      </c>
    </row>
    <row r="47120">
      <c r="H47120" t="s">
        <v>5117</v>
      </c>
    </row>
    <row r="47121">
      <c r="H47121" t="s">
        <v>5117</v>
      </c>
    </row>
    <row r="47122">
      <c r="H47122" t="s">
        <v>5117</v>
      </c>
    </row>
    <row r="47123">
      <c r="H47123" t="s">
        <v>5117</v>
      </c>
    </row>
    <row r="47124">
      <c r="H47124" t="s">
        <v>5117</v>
      </c>
    </row>
    <row r="47125">
      <c r="H47125" t="s">
        <v>5117</v>
      </c>
    </row>
    <row r="47126">
      <c r="H47126" t="s">
        <v>5117</v>
      </c>
    </row>
    <row r="47127">
      <c r="H47127" t="s">
        <v>5117</v>
      </c>
    </row>
    <row r="47128">
      <c r="H47128" t="s">
        <v>5117</v>
      </c>
    </row>
    <row r="47129">
      <c r="H47129" t="s">
        <v>5117</v>
      </c>
    </row>
    <row r="47130">
      <c r="H47130" t="s">
        <v>5117</v>
      </c>
    </row>
    <row r="47131">
      <c r="H47131" t="s">
        <v>5117</v>
      </c>
    </row>
    <row r="47132">
      <c r="H47132" t="s">
        <v>5117</v>
      </c>
    </row>
    <row r="47133">
      <c r="H47133" t="s">
        <v>5117</v>
      </c>
    </row>
    <row r="47134">
      <c r="H47134" t="s">
        <v>5117</v>
      </c>
    </row>
    <row r="47135">
      <c r="H47135" t="s">
        <v>5117</v>
      </c>
    </row>
    <row r="47136">
      <c r="H47136" t="s">
        <v>5117</v>
      </c>
    </row>
    <row r="47137">
      <c r="H47137" t="s">
        <v>5117</v>
      </c>
    </row>
    <row r="47138">
      <c r="H47138" t="s">
        <v>5117</v>
      </c>
    </row>
    <row r="47139">
      <c r="H47139" t="s">
        <v>5117</v>
      </c>
    </row>
    <row r="47140">
      <c r="H47140" t="s">
        <v>5117</v>
      </c>
    </row>
    <row r="47141">
      <c r="H47141" t="s">
        <v>5117</v>
      </c>
    </row>
    <row r="47142">
      <c r="H47142" t="s">
        <v>5117</v>
      </c>
    </row>
    <row r="47143">
      <c r="H47143" t="s">
        <v>5117</v>
      </c>
    </row>
    <row r="47144">
      <c r="H47144" t="s">
        <v>5117</v>
      </c>
    </row>
    <row r="47145">
      <c r="H47145" t="s">
        <v>5117</v>
      </c>
    </row>
    <row r="47146">
      <c r="H47146" t="s">
        <v>5117</v>
      </c>
    </row>
    <row r="47147">
      <c r="H47147" t="s">
        <v>5117</v>
      </c>
    </row>
    <row r="47148">
      <c r="H47148" t="s">
        <v>5117</v>
      </c>
    </row>
    <row r="47149">
      <c r="H47149" t="s">
        <v>5117</v>
      </c>
    </row>
    <row r="47150">
      <c r="H47150" t="s">
        <v>5117</v>
      </c>
    </row>
    <row r="47151">
      <c r="H47151" t="s">
        <v>5117</v>
      </c>
    </row>
    <row r="47152">
      <c r="H47152" t="s">
        <v>5117</v>
      </c>
    </row>
    <row r="47153">
      <c r="H47153" t="s">
        <v>5117</v>
      </c>
    </row>
    <row r="47154">
      <c r="H47154" t="s">
        <v>5117</v>
      </c>
    </row>
    <row r="47155">
      <c r="H47155" t="s">
        <v>5117</v>
      </c>
    </row>
    <row r="47156">
      <c r="H47156" t="s">
        <v>5117</v>
      </c>
    </row>
    <row r="47157">
      <c r="H47157" t="s">
        <v>5117</v>
      </c>
    </row>
    <row r="47158">
      <c r="H47158" t="s">
        <v>5117</v>
      </c>
    </row>
    <row r="47159">
      <c r="H47159" t="s">
        <v>5117</v>
      </c>
    </row>
    <row r="47160">
      <c r="H47160" t="s">
        <v>5117</v>
      </c>
    </row>
    <row r="47161">
      <c r="H47161" t="s">
        <v>5117</v>
      </c>
    </row>
    <row r="47162">
      <c r="H47162" t="s">
        <v>5117</v>
      </c>
    </row>
    <row r="47163">
      <c r="H47163" t="s">
        <v>5117</v>
      </c>
    </row>
    <row r="47164">
      <c r="H47164" t="s">
        <v>5117</v>
      </c>
    </row>
    <row r="47165">
      <c r="H47165" t="s">
        <v>5117</v>
      </c>
    </row>
    <row r="47166">
      <c r="H47166" t="s">
        <v>5117</v>
      </c>
    </row>
    <row r="47167">
      <c r="H47167" t="s">
        <v>5117</v>
      </c>
    </row>
    <row r="47168">
      <c r="H47168" t="s">
        <v>5117</v>
      </c>
    </row>
    <row r="47169">
      <c r="H47169" t="s">
        <v>5117</v>
      </c>
    </row>
    <row r="47170">
      <c r="H47170" t="s">
        <v>5117</v>
      </c>
    </row>
    <row r="47171">
      <c r="H47171" t="s">
        <v>5117</v>
      </c>
    </row>
    <row r="47172">
      <c r="H47172" t="s">
        <v>5117</v>
      </c>
    </row>
    <row r="47173">
      <c r="H47173" t="s">
        <v>5117</v>
      </c>
    </row>
    <row r="47174">
      <c r="H47174" t="s">
        <v>5117</v>
      </c>
    </row>
    <row r="47175">
      <c r="H47175" t="s">
        <v>5117</v>
      </c>
    </row>
    <row r="47176">
      <c r="H47176" t="s">
        <v>5117</v>
      </c>
    </row>
    <row r="47177">
      <c r="H47177" t="s">
        <v>5117</v>
      </c>
    </row>
    <row r="47178">
      <c r="H47178" t="s">
        <v>5117</v>
      </c>
    </row>
    <row r="47179">
      <c r="H47179" t="s">
        <v>5117</v>
      </c>
    </row>
    <row r="47180">
      <c r="H47180" t="s">
        <v>5117</v>
      </c>
    </row>
    <row r="47181">
      <c r="H47181" t="s">
        <v>5117</v>
      </c>
    </row>
    <row r="47182">
      <c r="H47182" t="s">
        <v>5117</v>
      </c>
    </row>
    <row r="47183">
      <c r="H47183" t="s">
        <v>5117</v>
      </c>
    </row>
    <row r="47184">
      <c r="H47184" t="s">
        <v>5117</v>
      </c>
    </row>
    <row r="47185">
      <c r="H47185" t="s">
        <v>5117</v>
      </c>
    </row>
    <row r="47186">
      <c r="H47186" t="s">
        <v>5117</v>
      </c>
    </row>
    <row r="47187">
      <c r="H47187" t="s">
        <v>5117</v>
      </c>
    </row>
    <row r="47188">
      <c r="H47188" t="s">
        <v>5117</v>
      </c>
    </row>
    <row r="47189">
      <c r="H47189" t="s">
        <v>5117</v>
      </c>
    </row>
    <row r="47190">
      <c r="H47190" t="s">
        <v>5117</v>
      </c>
    </row>
    <row r="47191">
      <c r="H47191" t="s">
        <v>5117</v>
      </c>
    </row>
    <row r="47192">
      <c r="H47192" t="s">
        <v>5117</v>
      </c>
    </row>
    <row r="47193">
      <c r="H47193" t="s">
        <v>5117</v>
      </c>
    </row>
    <row r="47194">
      <c r="H47194" t="s">
        <v>5117</v>
      </c>
    </row>
    <row r="47195">
      <c r="H47195" t="s">
        <v>5117</v>
      </c>
    </row>
    <row r="47196">
      <c r="H47196" t="s">
        <v>5117</v>
      </c>
    </row>
    <row r="47197">
      <c r="H47197" t="s">
        <v>5117</v>
      </c>
    </row>
    <row r="47198">
      <c r="H47198" t="s">
        <v>5117</v>
      </c>
    </row>
    <row r="47199">
      <c r="H47199" t="s">
        <v>5117</v>
      </c>
    </row>
    <row r="47200">
      <c r="H47200" t="s">
        <v>5117</v>
      </c>
    </row>
    <row r="47201">
      <c r="H47201" t="s">
        <v>5117</v>
      </c>
    </row>
    <row r="47202">
      <c r="H47202" t="s">
        <v>5117</v>
      </c>
    </row>
    <row r="47203">
      <c r="H47203" t="s">
        <v>5117</v>
      </c>
    </row>
    <row r="47204">
      <c r="H47204" t="s">
        <v>5117</v>
      </c>
    </row>
    <row r="47205">
      <c r="H47205" t="s">
        <v>5117</v>
      </c>
    </row>
    <row r="47206">
      <c r="H47206" t="s">
        <v>5117</v>
      </c>
    </row>
    <row r="47207">
      <c r="H47207" t="s">
        <v>5117</v>
      </c>
    </row>
    <row r="47208">
      <c r="H47208" t="s">
        <v>5117</v>
      </c>
    </row>
    <row r="47209">
      <c r="H47209" t="s">
        <v>5117</v>
      </c>
    </row>
    <row r="47210">
      <c r="H47210" t="s">
        <v>5117</v>
      </c>
    </row>
    <row r="47211">
      <c r="H47211" t="s">
        <v>5117</v>
      </c>
    </row>
    <row r="47212">
      <c r="H47212" t="s">
        <v>5117</v>
      </c>
    </row>
    <row r="47213">
      <c r="H47213" t="s">
        <v>5117</v>
      </c>
    </row>
    <row r="47214">
      <c r="H47214" t="s">
        <v>5117</v>
      </c>
    </row>
    <row r="47215">
      <c r="H47215" t="s">
        <v>5117</v>
      </c>
    </row>
    <row r="47216">
      <c r="H47216" t="s">
        <v>5117</v>
      </c>
    </row>
    <row r="47217">
      <c r="H47217" t="s">
        <v>5117</v>
      </c>
    </row>
    <row r="47218">
      <c r="H47218" t="s">
        <v>5117</v>
      </c>
    </row>
    <row r="47219">
      <c r="H47219" t="s">
        <v>5117</v>
      </c>
    </row>
    <row r="47220">
      <c r="H47220" t="s">
        <v>5117</v>
      </c>
    </row>
    <row r="47221">
      <c r="H47221" t="s">
        <v>5117</v>
      </c>
    </row>
    <row r="47222">
      <c r="H47222" t="s">
        <v>5117</v>
      </c>
    </row>
    <row r="47223">
      <c r="H47223" t="s">
        <v>5117</v>
      </c>
    </row>
    <row r="47224">
      <c r="H47224" t="s">
        <v>5117</v>
      </c>
    </row>
    <row r="47225">
      <c r="H47225" t="s">
        <v>5117</v>
      </c>
    </row>
    <row r="47226">
      <c r="H47226" t="s">
        <v>5117</v>
      </c>
    </row>
    <row r="47227">
      <c r="H47227" t="s">
        <v>5117</v>
      </c>
    </row>
    <row r="47228">
      <c r="H47228" t="s">
        <v>5117</v>
      </c>
    </row>
    <row r="47229">
      <c r="H47229" t="s">
        <v>5117</v>
      </c>
    </row>
    <row r="47230">
      <c r="H47230" t="s">
        <v>5117</v>
      </c>
    </row>
    <row r="47231">
      <c r="H47231" t="s">
        <v>5117</v>
      </c>
    </row>
    <row r="47232">
      <c r="H47232" t="s">
        <v>5117</v>
      </c>
    </row>
    <row r="47233">
      <c r="H47233" t="s">
        <v>5117</v>
      </c>
    </row>
    <row r="47234">
      <c r="H47234" t="s">
        <v>5117</v>
      </c>
    </row>
    <row r="47235">
      <c r="H47235" t="s">
        <v>5117</v>
      </c>
    </row>
    <row r="47236">
      <c r="H47236" t="s">
        <v>5117</v>
      </c>
    </row>
    <row r="47237">
      <c r="H47237" t="s">
        <v>5117</v>
      </c>
    </row>
    <row r="47238">
      <c r="H47238" t="s">
        <v>5117</v>
      </c>
    </row>
    <row r="47239">
      <c r="H47239" t="s">
        <v>5117</v>
      </c>
    </row>
    <row r="47240">
      <c r="H47240" t="s">
        <v>5117</v>
      </c>
    </row>
    <row r="47241">
      <c r="H47241" t="s">
        <v>5117</v>
      </c>
    </row>
    <row r="47242">
      <c r="H47242" t="s">
        <v>5117</v>
      </c>
    </row>
    <row r="47243">
      <c r="H47243" t="s">
        <v>5117</v>
      </c>
    </row>
    <row r="47244">
      <c r="H47244" t="s">
        <v>5117</v>
      </c>
    </row>
    <row r="47245">
      <c r="H47245" t="s">
        <v>5117</v>
      </c>
    </row>
    <row r="47246">
      <c r="H47246" t="s">
        <v>5117</v>
      </c>
    </row>
    <row r="47247">
      <c r="H47247" t="s">
        <v>5117</v>
      </c>
    </row>
    <row r="47248">
      <c r="H47248" t="s">
        <v>5117</v>
      </c>
    </row>
    <row r="47249">
      <c r="H47249" t="s">
        <v>5117</v>
      </c>
    </row>
    <row r="47250">
      <c r="H47250" t="s">
        <v>5117</v>
      </c>
    </row>
    <row r="47251">
      <c r="H47251" t="s">
        <v>5117</v>
      </c>
    </row>
    <row r="47252">
      <c r="H47252" t="s">
        <v>5117</v>
      </c>
    </row>
    <row r="47253">
      <c r="H47253" t="s">
        <v>5117</v>
      </c>
    </row>
    <row r="47254">
      <c r="H47254" t="s">
        <v>5117</v>
      </c>
    </row>
    <row r="47255">
      <c r="H47255" t="s">
        <v>5117</v>
      </c>
    </row>
    <row r="47256">
      <c r="H47256" t="s">
        <v>5117</v>
      </c>
    </row>
    <row r="47257">
      <c r="H47257" t="s">
        <v>5117</v>
      </c>
    </row>
    <row r="47258">
      <c r="H47258" t="s">
        <v>5117</v>
      </c>
    </row>
    <row r="47259">
      <c r="H47259" t="s">
        <v>5117</v>
      </c>
    </row>
    <row r="47260">
      <c r="H47260" t="s">
        <v>5117</v>
      </c>
    </row>
    <row r="47261">
      <c r="H47261" t="s">
        <v>5117</v>
      </c>
    </row>
    <row r="47262">
      <c r="H47262" t="s">
        <v>5117</v>
      </c>
    </row>
    <row r="47263">
      <c r="H47263" t="s">
        <v>5117</v>
      </c>
    </row>
    <row r="47264">
      <c r="H47264" t="s">
        <v>5117</v>
      </c>
    </row>
    <row r="47265">
      <c r="H47265" t="s">
        <v>5117</v>
      </c>
    </row>
    <row r="47266">
      <c r="H47266" t="s">
        <v>5117</v>
      </c>
    </row>
    <row r="47267">
      <c r="H47267" t="s">
        <v>5117</v>
      </c>
    </row>
    <row r="47268">
      <c r="H47268" t="s">
        <v>5117</v>
      </c>
    </row>
    <row r="47269">
      <c r="H47269" t="s">
        <v>5117</v>
      </c>
    </row>
    <row r="47270">
      <c r="H47270" t="s">
        <v>5117</v>
      </c>
    </row>
    <row r="47271">
      <c r="H47271" t="s">
        <v>5117</v>
      </c>
    </row>
    <row r="47272">
      <c r="H47272" t="s">
        <v>5117</v>
      </c>
    </row>
    <row r="47273">
      <c r="H47273" t="s">
        <v>5117</v>
      </c>
    </row>
    <row r="47274">
      <c r="H47274" t="s">
        <v>5117</v>
      </c>
    </row>
    <row r="47275">
      <c r="H47275" t="s">
        <v>5117</v>
      </c>
    </row>
    <row r="47276">
      <c r="H47276" t="s">
        <v>5117</v>
      </c>
    </row>
    <row r="47277">
      <c r="H47277" t="s">
        <v>5117</v>
      </c>
    </row>
    <row r="47278">
      <c r="H47278" t="s">
        <v>5117</v>
      </c>
    </row>
    <row r="47279">
      <c r="H47279" t="s">
        <v>5117</v>
      </c>
    </row>
    <row r="47280">
      <c r="H47280" t="s">
        <v>5117</v>
      </c>
    </row>
    <row r="47281">
      <c r="H47281" t="s">
        <v>5117</v>
      </c>
    </row>
    <row r="47282">
      <c r="H47282" t="s">
        <v>5117</v>
      </c>
    </row>
    <row r="47283">
      <c r="H47283" t="s">
        <v>5117</v>
      </c>
    </row>
    <row r="47284">
      <c r="H47284" t="s">
        <v>5117</v>
      </c>
    </row>
    <row r="47285">
      <c r="H47285" t="s">
        <v>5117</v>
      </c>
    </row>
    <row r="47286">
      <c r="H47286" t="s">
        <v>5117</v>
      </c>
    </row>
    <row r="47287">
      <c r="H47287" t="s">
        <v>5117</v>
      </c>
    </row>
    <row r="47288">
      <c r="H47288" t="s">
        <v>5117</v>
      </c>
    </row>
    <row r="47289">
      <c r="H47289" t="s">
        <v>5117</v>
      </c>
    </row>
    <row r="47290">
      <c r="H47290" t="s">
        <v>5117</v>
      </c>
    </row>
    <row r="47291">
      <c r="H47291" t="s">
        <v>5117</v>
      </c>
    </row>
    <row r="47292">
      <c r="H47292" t="s">
        <v>5117</v>
      </c>
    </row>
    <row r="47293">
      <c r="H47293" t="s">
        <v>5117</v>
      </c>
    </row>
    <row r="47294">
      <c r="H47294" t="s">
        <v>5117</v>
      </c>
    </row>
    <row r="47295">
      <c r="H47295" t="s">
        <v>5117</v>
      </c>
    </row>
    <row r="47296">
      <c r="H47296" t="s">
        <v>5117</v>
      </c>
    </row>
    <row r="47297">
      <c r="H47297" t="s">
        <v>5117</v>
      </c>
    </row>
    <row r="47298">
      <c r="H47298" t="s">
        <v>5117</v>
      </c>
    </row>
    <row r="47299">
      <c r="H47299" t="s">
        <v>5117</v>
      </c>
    </row>
    <row r="47300">
      <c r="H47300" t="s">
        <v>5117</v>
      </c>
    </row>
    <row r="47301">
      <c r="H47301" t="s">
        <v>5117</v>
      </c>
    </row>
    <row r="47302">
      <c r="H47302" t="s">
        <v>5117</v>
      </c>
    </row>
    <row r="47303">
      <c r="H47303" t="s">
        <v>5117</v>
      </c>
    </row>
    <row r="47304">
      <c r="H47304" t="s">
        <v>5117</v>
      </c>
    </row>
    <row r="47305">
      <c r="H47305" t="s">
        <v>5117</v>
      </c>
    </row>
    <row r="47306">
      <c r="H47306" t="s">
        <v>5117</v>
      </c>
    </row>
    <row r="47307">
      <c r="H47307" t="s">
        <v>5117</v>
      </c>
    </row>
    <row r="47308">
      <c r="H47308" t="s">
        <v>5117</v>
      </c>
    </row>
    <row r="47309">
      <c r="H47309" t="s">
        <v>5117</v>
      </c>
    </row>
    <row r="47310">
      <c r="H47310" t="s">
        <v>5117</v>
      </c>
    </row>
    <row r="47311">
      <c r="H47311" t="s">
        <v>5117</v>
      </c>
    </row>
    <row r="47312">
      <c r="H47312" t="s">
        <v>5117</v>
      </c>
    </row>
    <row r="47313">
      <c r="H47313" t="s">
        <v>5117</v>
      </c>
    </row>
    <row r="47314">
      <c r="H47314" t="s">
        <v>5117</v>
      </c>
    </row>
    <row r="47315">
      <c r="H47315" t="s">
        <v>5117</v>
      </c>
    </row>
    <row r="47316">
      <c r="H47316" t="s">
        <v>5117</v>
      </c>
    </row>
    <row r="47317">
      <c r="H47317" t="s">
        <v>5117</v>
      </c>
    </row>
    <row r="47318">
      <c r="H47318" t="s">
        <v>5117</v>
      </c>
    </row>
    <row r="47319">
      <c r="H47319" t="s">
        <v>5117</v>
      </c>
    </row>
    <row r="47320">
      <c r="H47320" t="s">
        <v>5117</v>
      </c>
    </row>
    <row r="47321">
      <c r="H47321" t="s">
        <v>5117</v>
      </c>
    </row>
    <row r="47322">
      <c r="H47322" t="s">
        <v>5117</v>
      </c>
    </row>
    <row r="47323">
      <c r="H47323" t="s">
        <v>5117</v>
      </c>
    </row>
    <row r="47324">
      <c r="H47324" t="s">
        <v>5117</v>
      </c>
    </row>
    <row r="47325">
      <c r="H47325" t="s">
        <v>5117</v>
      </c>
    </row>
    <row r="47326">
      <c r="H47326" t="s">
        <v>5117</v>
      </c>
    </row>
    <row r="47327">
      <c r="H47327" t="s">
        <v>5117</v>
      </c>
    </row>
    <row r="47328">
      <c r="H47328" t="s">
        <v>5117</v>
      </c>
    </row>
    <row r="47329">
      <c r="H47329" t="s">
        <v>5117</v>
      </c>
    </row>
    <row r="47330">
      <c r="H47330" t="s">
        <v>5117</v>
      </c>
    </row>
    <row r="47331">
      <c r="H47331" t="s">
        <v>5117</v>
      </c>
    </row>
    <row r="47332">
      <c r="H47332" t="s">
        <v>5117</v>
      </c>
    </row>
    <row r="47333">
      <c r="H47333" t="s">
        <v>5117</v>
      </c>
    </row>
    <row r="47334">
      <c r="H47334" t="s">
        <v>5117</v>
      </c>
    </row>
    <row r="47335">
      <c r="H47335" t="s">
        <v>5117</v>
      </c>
    </row>
    <row r="47336">
      <c r="H47336" t="s">
        <v>5117</v>
      </c>
    </row>
    <row r="47337">
      <c r="H47337" t="s">
        <v>5117</v>
      </c>
    </row>
    <row r="47338">
      <c r="H47338" t="s">
        <v>5117</v>
      </c>
    </row>
    <row r="47339">
      <c r="H47339" t="s">
        <v>5117</v>
      </c>
    </row>
    <row r="47340">
      <c r="H47340" t="s">
        <v>5117</v>
      </c>
    </row>
    <row r="47341">
      <c r="H47341" t="s">
        <v>5117</v>
      </c>
    </row>
    <row r="47342">
      <c r="H47342" t="s">
        <v>5117</v>
      </c>
    </row>
    <row r="47343">
      <c r="H47343" t="s">
        <v>5117</v>
      </c>
    </row>
    <row r="47344">
      <c r="H47344" t="s">
        <v>5117</v>
      </c>
    </row>
    <row r="47345">
      <c r="H47345" t="s">
        <v>5117</v>
      </c>
    </row>
    <row r="47346">
      <c r="H47346" t="s">
        <v>5117</v>
      </c>
    </row>
    <row r="47347">
      <c r="H47347" t="s">
        <v>5117</v>
      </c>
    </row>
    <row r="47348">
      <c r="H47348" t="s">
        <v>5117</v>
      </c>
    </row>
    <row r="47349">
      <c r="H47349" t="s">
        <v>5117</v>
      </c>
    </row>
    <row r="47350">
      <c r="H47350" t="s">
        <v>5117</v>
      </c>
    </row>
    <row r="47351">
      <c r="H47351" t="s">
        <v>5117</v>
      </c>
    </row>
    <row r="47352">
      <c r="H47352" t="s">
        <v>5117</v>
      </c>
    </row>
    <row r="47353">
      <c r="H47353" t="s">
        <v>5117</v>
      </c>
    </row>
    <row r="47354">
      <c r="H47354" t="s">
        <v>5117</v>
      </c>
    </row>
    <row r="47355">
      <c r="H47355" t="s">
        <v>5117</v>
      </c>
    </row>
    <row r="47356">
      <c r="H47356" t="s">
        <v>5117</v>
      </c>
    </row>
    <row r="47357">
      <c r="H47357" t="s">
        <v>5117</v>
      </c>
    </row>
    <row r="47358">
      <c r="H47358" t="s">
        <v>5117</v>
      </c>
    </row>
    <row r="47359">
      <c r="H47359" t="s">
        <v>5117</v>
      </c>
    </row>
    <row r="47360">
      <c r="H47360" t="s">
        <v>5117</v>
      </c>
    </row>
    <row r="47361">
      <c r="H47361" t="s">
        <v>5117</v>
      </c>
    </row>
    <row r="47362">
      <c r="H47362" t="s">
        <v>5117</v>
      </c>
    </row>
    <row r="47363">
      <c r="H47363" t="s">
        <v>5117</v>
      </c>
    </row>
    <row r="47364">
      <c r="H47364" t="s">
        <v>5117</v>
      </c>
    </row>
    <row r="47365">
      <c r="H47365" t="s">
        <v>5117</v>
      </c>
    </row>
    <row r="47366">
      <c r="H47366" t="s">
        <v>5117</v>
      </c>
    </row>
    <row r="47367">
      <c r="H47367" t="s">
        <v>5117</v>
      </c>
    </row>
    <row r="47368">
      <c r="H47368" t="s">
        <v>5117</v>
      </c>
    </row>
    <row r="47369">
      <c r="H47369" t="s">
        <v>5117</v>
      </c>
    </row>
    <row r="47370">
      <c r="H47370" t="s">
        <v>5117</v>
      </c>
    </row>
    <row r="47371">
      <c r="H47371" t="s">
        <v>5117</v>
      </c>
    </row>
    <row r="47372">
      <c r="H47372" t="s">
        <v>5117</v>
      </c>
    </row>
    <row r="47373">
      <c r="H47373" t="s">
        <v>5117</v>
      </c>
    </row>
    <row r="47374">
      <c r="H47374" t="s">
        <v>5117</v>
      </c>
    </row>
    <row r="47375">
      <c r="H47375" t="s">
        <v>5117</v>
      </c>
    </row>
    <row r="47376">
      <c r="H47376" t="s">
        <v>5117</v>
      </c>
    </row>
    <row r="47377">
      <c r="H47377" t="s">
        <v>5117</v>
      </c>
    </row>
    <row r="47378">
      <c r="H47378" t="s">
        <v>5117</v>
      </c>
    </row>
    <row r="47379">
      <c r="H47379" t="s">
        <v>5117</v>
      </c>
    </row>
    <row r="47380">
      <c r="H47380" t="s">
        <v>5117</v>
      </c>
    </row>
    <row r="47381">
      <c r="H47381" t="s">
        <v>5117</v>
      </c>
    </row>
    <row r="47382">
      <c r="H47382" t="s">
        <v>5117</v>
      </c>
    </row>
    <row r="47383">
      <c r="H47383" t="s">
        <v>5117</v>
      </c>
    </row>
    <row r="47384">
      <c r="H47384" t="s">
        <v>5117</v>
      </c>
    </row>
    <row r="47385">
      <c r="H47385" t="s">
        <v>5117</v>
      </c>
    </row>
    <row r="47386">
      <c r="H47386" t="s">
        <v>5117</v>
      </c>
    </row>
    <row r="47387">
      <c r="H47387" t="s">
        <v>5117</v>
      </c>
    </row>
    <row r="47388">
      <c r="H47388" t="s">
        <v>5117</v>
      </c>
    </row>
    <row r="47389">
      <c r="H47389" t="s">
        <v>5117</v>
      </c>
    </row>
    <row r="47390">
      <c r="H47390" t="s">
        <v>5117</v>
      </c>
    </row>
    <row r="47391">
      <c r="H47391" t="s">
        <v>5117</v>
      </c>
    </row>
    <row r="47392">
      <c r="H47392" t="s">
        <v>5117</v>
      </c>
    </row>
    <row r="47393">
      <c r="H47393" t="s">
        <v>5117</v>
      </c>
    </row>
    <row r="47394">
      <c r="H47394" t="s">
        <v>5117</v>
      </c>
    </row>
    <row r="47395">
      <c r="H47395" t="s">
        <v>5117</v>
      </c>
    </row>
    <row r="47396">
      <c r="H47396" t="s">
        <v>5117</v>
      </c>
    </row>
    <row r="47397">
      <c r="H47397" t="s">
        <v>5117</v>
      </c>
    </row>
    <row r="47398">
      <c r="H47398" t="s">
        <v>5117</v>
      </c>
    </row>
    <row r="47399">
      <c r="H47399" t="s">
        <v>5117</v>
      </c>
    </row>
    <row r="47400">
      <c r="H47400" t="s">
        <v>5117</v>
      </c>
    </row>
    <row r="47401">
      <c r="H47401" t="s">
        <v>5117</v>
      </c>
    </row>
    <row r="47402">
      <c r="H47402" t="s">
        <v>5117</v>
      </c>
    </row>
    <row r="47403">
      <c r="H47403" t="s">
        <v>5117</v>
      </c>
    </row>
    <row r="47404">
      <c r="H47404" t="s">
        <v>5117</v>
      </c>
    </row>
    <row r="47405">
      <c r="H47405" t="s">
        <v>5117</v>
      </c>
    </row>
    <row r="47406">
      <c r="H47406" t="s">
        <v>5117</v>
      </c>
    </row>
    <row r="47407">
      <c r="H47407" t="s">
        <v>5117</v>
      </c>
    </row>
    <row r="47408">
      <c r="H47408" t="s">
        <v>5117</v>
      </c>
    </row>
    <row r="47409">
      <c r="H47409" t="s">
        <v>5117</v>
      </c>
    </row>
    <row r="47410">
      <c r="H47410" t="s">
        <v>5117</v>
      </c>
    </row>
    <row r="47411">
      <c r="H47411" t="s">
        <v>5117</v>
      </c>
    </row>
    <row r="47412">
      <c r="H47412" t="s">
        <v>5117</v>
      </c>
    </row>
    <row r="47413">
      <c r="H47413" t="s">
        <v>5117</v>
      </c>
    </row>
    <row r="47414">
      <c r="H47414" t="s">
        <v>5117</v>
      </c>
    </row>
    <row r="47415">
      <c r="H47415" t="s">
        <v>5117</v>
      </c>
    </row>
    <row r="47416">
      <c r="H47416" t="s">
        <v>5117</v>
      </c>
    </row>
    <row r="47417">
      <c r="H47417" t="s">
        <v>5117</v>
      </c>
    </row>
    <row r="47418">
      <c r="H47418" t="s">
        <v>5117</v>
      </c>
    </row>
    <row r="47419">
      <c r="H47419" t="s">
        <v>5117</v>
      </c>
    </row>
    <row r="47420">
      <c r="H47420" t="s">
        <v>5117</v>
      </c>
    </row>
    <row r="47421">
      <c r="H47421" t="s">
        <v>5117</v>
      </c>
    </row>
    <row r="47422">
      <c r="H47422" t="s">
        <v>5117</v>
      </c>
    </row>
    <row r="47423">
      <c r="H47423" t="s">
        <v>5117</v>
      </c>
    </row>
    <row r="47424">
      <c r="H47424" t="s">
        <v>5117</v>
      </c>
    </row>
    <row r="47425">
      <c r="H47425" t="s">
        <v>5117</v>
      </c>
    </row>
    <row r="47426">
      <c r="H47426" t="s">
        <v>5117</v>
      </c>
    </row>
    <row r="47427">
      <c r="H47427" t="s">
        <v>5117</v>
      </c>
    </row>
    <row r="47428">
      <c r="H47428" t="s">
        <v>5117</v>
      </c>
    </row>
    <row r="47429">
      <c r="H47429" t="s">
        <v>5117</v>
      </c>
    </row>
    <row r="47430">
      <c r="H47430" t="s">
        <v>5117</v>
      </c>
    </row>
    <row r="47431">
      <c r="H47431" t="s">
        <v>5117</v>
      </c>
    </row>
    <row r="47432">
      <c r="H47432" t="s">
        <v>5117</v>
      </c>
    </row>
    <row r="47433">
      <c r="H47433" t="s">
        <v>5117</v>
      </c>
    </row>
    <row r="47434">
      <c r="H47434" t="s">
        <v>5117</v>
      </c>
    </row>
    <row r="47435">
      <c r="H47435" t="s">
        <v>5117</v>
      </c>
    </row>
    <row r="47436">
      <c r="H47436" t="s">
        <v>5117</v>
      </c>
    </row>
    <row r="47437">
      <c r="H47437" t="s">
        <v>5117</v>
      </c>
    </row>
    <row r="47438">
      <c r="H47438" t="s">
        <v>5117</v>
      </c>
    </row>
    <row r="47439">
      <c r="H47439" t="s">
        <v>5117</v>
      </c>
    </row>
    <row r="47440">
      <c r="H47440" t="s">
        <v>5117</v>
      </c>
    </row>
    <row r="47441">
      <c r="H47441" t="s">
        <v>5117</v>
      </c>
    </row>
    <row r="47442">
      <c r="H47442" t="s">
        <v>5117</v>
      </c>
    </row>
    <row r="47443">
      <c r="H47443" t="s">
        <v>5117</v>
      </c>
    </row>
    <row r="47444">
      <c r="H47444" t="s">
        <v>5117</v>
      </c>
    </row>
    <row r="47445">
      <c r="H47445" t="s">
        <v>5117</v>
      </c>
    </row>
    <row r="47446">
      <c r="H47446" t="s">
        <v>5117</v>
      </c>
    </row>
    <row r="47447">
      <c r="H47447" t="s">
        <v>5117</v>
      </c>
    </row>
    <row r="47448">
      <c r="H47448" t="s">
        <v>5117</v>
      </c>
    </row>
    <row r="47449">
      <c r="H47449" t="s">
        <v>5117</v>
      </c>
    </row>
    <row r="47450">
      <c r="H47450" t="s">
        <v>5117</v>
      </c>
    </row>
    <row r="47451">
      <c r="H47451" t="s">
        <v>5117</v>
      </c>
    </row>
    <row r="47452">
      <c r="H47452" t="s">
        <v>5117</v>
      </c>
    </row>
    <row r="47453">
      <c r="H47453" t="s">
        <v>5117</v>
      </c>
    </row>
    <row r="47454">
      <c r="H47454" t="s">
        <v>5117</v>
      </c>
    </row>
    <row r="47455">
      <c r="H47455" t="s">
        <v>5117</v>
      </c>
    </row>
    <row r="47456">
      <c r="H47456" t="s">
        <v>5117</v>
      </c>
    </row>
    <row r="47457">
      <c r="H47457" t="s">
        <v>5117</v>
      </c>
    </row>
    <row r="47458">
      <c r="H47458" t="s">
        <v>5117</v>
      </c>
    </row>
    <row r="47459">
      <c r="H47459" t="s">
        <v>5117</v>
      </c>
    </row>
    <row r="47460">
      <c r="H47460" t="s">
        <v>5117</v>
      </c>
    </row>
    <row r="47461">
      <c r="H47461" t="s">
        <v>5117</v>
      </c>
    </row>
    <row r="47462">
      <c r="H47462" t="s">
        <v>5117</v>
      </c>
    </row>
    <row r="47463">
      <c r="H47463" t="s">
        <v>5117</v>
      </c>
    </row>
    <row r="47464">
      <c r="H47464" t="s">
        <v>5117</v>
      </c>
    </row>
    <row r="47465">
      <c r="H47465" t="s">
        <v>5117</v>
      </c>
    </row>
    <row r="47466">
      <c r="H47466" t="s">
        <v>5117</v>
      </c>
    </row>
    <row r="47467">
      <c r="H47467" t="s">
        <v>5117</v>
      </c>
    </row>
    <row r="47468">
      <c r="H47468" t="s">
        <v>5117</v>
      </c>
    </row>
    <row r="47469">
      <c r="H47469" t="s">
        <v>5117</v>
      </c>
    </row>
    <row r="47470">
      <c r="H47470" t="s">
        <v>5117</v>
      </c>
    </row>
    <row r="47471">
      <c r="H47471" t="s">
        <v>5117</v>
      </c>
    </row>
    <row r="47472">
      <c r="H47472" t="s">
        <v>5117</v>
      </c>
    </row>
    <row r="47473">
      <c r="H47473" t="s">
        <v>5117</v>
      </c>
    </row>
    <row r="47474">
      <c r="H47474" t="s">
        <v>5117</v>
      </c>
    </row>
    <row r="47475">
      <c r="H47475" t="s">
        <v>5117</v>
      </c>
    </row>
    <row r="47476">
      <c r="H47476" t="s">
        <v>5117</v>
      </c>
    </row>
    <row r="47477">
      <c r="H47477" t="s">
        <v>5117</v>
      </c>
    </row>
    <row r="47478">
      <c r="H47478" t="s">
        <v>5117</v>
      </c>
    </row>
    <row r="47479">
      <c r="H47479" t="s">
        <v>5117</v>
      </c>
    </row>
    <row r="47480">
      <c r="H47480" t="s">
        <v>5117</v>
      </c>
    </row>
    <row r="47481">
      <c r="H47481" t="s">
        <v>5117</v>
      </c>
    </row>
    <row r="47482">
      <c r="H47482" t="s">
        <v>5117</v>
      </c>
    </row>
    <row r="47483">
      <c r="H47483" t="s">
        <v>5117</v>
      </c>
    </row>
    <row r="47484">
      <c r="H47484" t="s">
        <v>5117</v>
      </c>
    </row>
    <row r="47485">
      <c r="H47485" t="s">
        <v>5117</v>
      </c>
    </row>
    <row r="47486">
      <c r="H47486" t="s">
        <v>5117</v>
      </c>
    </row>
    <row r="47487">
      <c r="H47487" t="s">
        <v>5117</v>
      </c>
    </row>
    <row r="47488">
      <c r="H47488" t="s">
        <v>5117</v>
      </c>
    </row>
    <row r="47489">
      <c r="H47489" t="s">
        <v>5117</v>
      </c>
    </row>
    <row r="47490">
      <c r="H47490" t="s">
        <v>5117</v>
      </c>
    </row>
    <row r="47491">
      <c r="H47491" t="s">
        <v>5117</v>
      </c>
    </row>
    <row r="47492">
      <c r="H47492" t="s">
        <v>5117</v>
      </c>
    </row>
    <row r="47493">
      <c r="H47493" t="s">
        <v>5117</v>
      </c>
    </row>
    <row r="47494">
      <c r="H47494" t="s">
        <v>5117</v>
      </c>
    </row>
    <row r="47495">
      <c r="H47495" t="s">
        <v>5117</v>
      </c>
    </row>
    <row r="47496">
      <c r="H47496" t="s">
        <v>5117</v>
      </c>
    </row>
    <row r="47497">
      <c r="H47497" t="s">
        <v>5117</v>
      </c>
    </row>
    <row r="47498">
      <c r="H47498" t="s">
        <v>5117</v>
      </c>
    </row>
    <row r="47499">
      <c r="H47499" t="s">
        <v>5117</v>
      </c>
    </row>
    <row r="47500">
      <c r="H47500" t="s">
        <v>5117</v>
      </c>
    </row>
    <row r="47501">
      <c r="H47501" t="s">
        <v>5117</v>
      </c>
    </row>
    <row r="47502">
      <c r="H47502" t="s">
        <v>5117</v>
      </c>
    </row>
    <row r="47503">
      <c r="H47503" t="s">
        <v>5117</v>
      </c>
    </row>
    <row r="47504">
      <c r="H47504" t="s">
        <v>5117</v>
      </c>
    </row>
    <row r="47505">
      <c r="H47505" t="s">
        <v>5117</v>
      </c>
    </row>
    <row r="47506">
      <c r="H47506" t="s">
        <v>5117</v>
      </c>
    </row>
    <row r="47507">
      <c r="H47507" t="s">
        <v>5117</v>
      </c>
    </row>
    <row r="47508">
      <c r="H47508" t="s">
        <v>5117</v>
      </c>
    </row>
    <row r="47509">
      <c r="H47509" t="s">
        <v>5117</v>
      </c>
    </row>
    <row r="47510">
      <c r="H47510" t="s">
        <v>5117</v>
      </c>
    </row>
    <row r="47511">
      <c r="H47511" t="s">
        <v>5117</v>
      </c>
    </row>
    <row r="47512">
      <c r="H47512" t="s">
        <v>5117</v>
      </c>
    </row>
    <row r="47513">
      <c r="H47513" t="s">
        <v>5117</v>
      </c>
    </row>
    <row r="47514">
      <c r="H47514" t="s">
        <v>5117</v>
      </c>
    </row>
    <row r="47515">
      <c r="H47515" t="s">
        <v>5117</v>
      </c>
    </row>
    <row r="47516">
      <c r="H47516" t="s">
        <v>5117</v>
      </c>
    </row>
    <row r="47517">
      <c r="H47517" t="s">
        <v>5117</v>
      </c>
    </row>
    <row r="47518">
      <c r="H47518" t="s">
        <v>5117</v>
      </c>
    </row>
    <row r="47519">
      <c r="H47519" t="s">
        <v>5117</v>
      </c>
    </row>
    <row r="47520">
      <c r="H47520" t="s">
        <v>5117</v>
      </c>
    </row>
    <row r="47521">
      <c r="H47521" t="s">
        <v>5117</v>
      </c>
    </row>
    <row r="47522">
      <c r="H47522" t="s">
        <v>5117</v>
      </c>
    </row>
    <row r="47523">
      <c r="H47523" t="s">
        <v>5117</v>
      </c>
    </row>
    <row r="47524">
      <c r="H47524" t="s">
        <v>5117</v>
      </c>
    </row>
    <row r="47525">
      <c r="H47525" t="s">
        <v>5117</v>
      </c>
    </row>
    <row r="47526">
      <c r="H47526" t="s">
        <v>5117</v>
      </c>
    </row>
    <row r="47527">
      <c r="H47527" t="s">
        <v>5117</v>
      </c>
    </row>
    <row r="47528">
      <c r="H47528" t="s">
        <v>5117</v>
      </c>
    </row>
    <row r="47529">
      <c r="H47529" t="s">
        <v>5117</v>
      </c>
    </row>
    <row r="47530">
      <c r="H47530" t="s">
        <v>5117</v>
      </c>
    </row>
    <row r="47531">
      <c r="H47531" t="s">
        <v>5117</v>
      </c>
    </row>
    <row r="47532">
      <c r="H47532" t="s">
        <v>5117</v>
      </c>
    </row>
    <row r="47533">
      <c r="H47533" t="s">
        <v>5117</v>
      </c>
    </row>
    <row r="47534">
      <c r="H47534" t="s">
        <v>5117</v>
      </c>
    </row>
    <row r="47535">
      <c r="H47535" t="s">
        <v>5117</v>
      </c>
    </row>
    <row r="47536">
      <c r="H47536" t="s">
        <v>5117</v>
      </c>
    </row>
    <row r="47537">
      <c r="H47537" t="s">
        <v>5117</v>
      </c>
    </row>
    <row r="47538">
      <c r="H47538" t="s">
        <v>5117</v>
      </c>
    </row>
    <row r="47539">
      <c r="H47539" t="s">
        <v>5117</v>
      </c>
    </row>
    <row r="47540">
      <c r="H47540" t="s">
        <v>5117</v>
      </c>
    </row>
    <row r="47541">
      <c r="H47541" t="s">
        <v>5117</v>
      </c>
    </row>
    <row r="47542">
      <c r="H47542" t="s">
        <v>5117</v>
      </c>
    </row>
    <row r="47543">
      <c r="H47543" t="s">
        <v>5117</v>
      </c>
    </row>
    <row r="47544">
      <c r="H47544" t="s">
        <v>5117</v>
      </c>
    </row>
    <row r="47545">
      <c r="H47545" t="s">
        <v>5117</v>
      </c>
    </row>
    <row r="47546">
      <c r="H47546" t="s">
        <v>5117</v>
      </c>
    </row>
    <row r="47547">
      <c r="H47547" t="s">
        <v>5117</v>
      </c>
    </row>
    <row r="47548">
      <c r="H47548" t="s">
        <v>5117</v>
      </c>
    </row>
    <row r="47549">
      <c r="H47549" t="s">
        <v>5117</v>
      </c>
    </row>
    <row r="47550">
      <c r="H47550" t="s">
        <v>5117</v>
      </c>
    </row>
    <row r="47551">
      <c r="H47551" t="s">
        <v>5117</v>
      </c>
    </row>
    <row r="47552">
      <c r="H47552" t="s">
        <v>5117</v>
      </c>
    </row>
    <row r="47553">
      <c r="H47553" t="s">
        <v>5117</v>
      </c>
    </row>
    <row r="47554">
      <c r="H47554" t="s">
        <v>5117</v>
      </c>
    </row>
    <row r="47555">
      <c r="H47555" t="s">
        <v>5117</v>
      </c>
    </row>
    <row r="47556">
      <c r="H47556" t="s">
        <v>5117</v>
      </c>
    </row>
    <row r="47557">
      <c r="H47557" t="s">
        <v>5117</v>
      </c>
    </row>
    <row r="47558">
      <c r="H47558" t="s">
        <v>5117</v>
      </c>
    </row>
    <row r="47559">
      <c r="H47559" t="s">
        <v>5117</v>
      </c>
    </row>
    <row r="47560">
      <c r="H47560" t="s">
        <v>5117</v>
      </c>
    </row>
    <row r="47561">
      <c r="H47561" t="s">
        <v>5117</v>
      </c>
    </row>
    <row r="47562">
      <c r="H47562" t="s">
        <v>5117</v>
      </c>
    </row>
    <row r="47563">
      <c r="H47563" t="s">
        <v>5117</v>
      </c>
    </row>
    <row r="47564">
      <c r="H47564" t="s">
        <v>5117</v>
      </c>
    </row>
    <row r="47565">
      <c r="H47565" t="s">
        <v>5117</v>
      </c>
    </row>
    <row r="47566">
      <c r="H47566" t="s">
        <v>5117</v>
      </c>
    </row>
    <row r="47567">
      <c r="H47567" t="s">
        <v>5117</v>
      </c>
    </row>
    <row r="47568">
      <c r="H47568" t="s">
        <v>5117</v>
      </c>
    </row>
    <row r="47569">
      <c r="H47569" t="s">
        <v>5117</v>
      </c>
    </row>
    <row r="47570">
      <c r="H47570" t="s">
        <v>5117</v>
      </c>
    </row>
    <row r="47571">
      <c r="H47571" t="s">
        <v>5117</v>
      </c>
    </row>
    <row r="47572">
      <c r="H47572" t="s">
        <v>5117</v>
      </c>
    </row>
    <row r="47573">
      <c r="H47573" t="s">
        <v>5117</v>
      </c>
    </row>
    <row r="47574">
      <c r="H47574" t="s">
        <v>5117</v>
      </c>
    </row>
    <row r="47575">
      <c r="H47575" t="s">
        <v>5117</v>
      </c>
    </row>
    <row r="47576">
      <c r="H47576" t="s">
        <v>5117</v>
      </c>
    </row>
    <row r="47577">
      <c r="H47577" t="s">
        <v>5117</v>
      </c>
    </row>
    <row r="47578">
      <c r="H47578" t="s">
        <v>5117</v>
      </c>
    </row>
    <row r="47579">
      <c r="H47579" t="s">
        <v>5117</v>
      </c>
    </row>
    <row r="47580">
      <c r="H47580" t="s">
        <v>5117</v>
      </c>
    </row>
    <row r="47581">
      <c r="H47581" t="s">
        <v>5117</v>
      </c>
    </row>
    <row r="47582">
      <c r="H47582" t="s">
        <v>5117</v>
      </c>
    </row>
    <row r="47583">
      <c r="H47583" t="s">
        <v>5117</v>
      </c>
    </row>
    <row r="47584">
      <c r="H47584" t="s">
        <v>5117</v>
      </c>
    </row>
    <row r="47585">
      <c r="H47585" t="s">
        <v>5117</v>
      </c>
    </row>
    <row r="47586">
      <c r="H47586" t="s">
        <v>5117</v>
      </c>
    </row>
    <row r="47587">
      <c r="H47587" t="s">
        <v>5117</v>
      </c>
    </row>
    <row r="47588">
      <c r="H47588" t="s">
        <v>5117</v>
      </c>
    </row>
    <row r="47589">
      <c r="H47589" t="s">
        <v>5117</v>
      </c>
    </row>
    <row r="47590">
      <c r="H47590" t="s">
        <v>5117</v>
      </c>
    </row>
    <row r="47591">
      <c r="H47591" t="s">
        <v>5117</v>
      </c>
    </row>
    <row r="47592">
      <c r="H47592" t="s">
        <v>5117</v>
      </c>
    </row>
    <row r="47593">
      <c r="H47593" t="s">
        <v>5117</v>
      </c>
    </row>
    <row r="47594">
      <c r="H47594" t="s">
        <v>5117</v>
      </c>
    </row>
    <row r="47595">
      <c r="H47595" t="s">
        <v>5117</v>
      </c>
    </row>
    <row r="47596">
      <c r="H47596" t="s">
        <v>5117</v>
      </c>
    </row>
    <row r="47597">
      <c r="H47597" t="s">
        <v>5117</v>
      </c>
    </row>
    <row r="47598">
      <c r="H47598" t="s">
        <v>5117</v>
      </c>
    </row>
    <row r="47599">
      <c r="H47599" t="s">
        <v>5117</v>
      </c>
    </row>
    <row r="47600">
      <c r="H47600" t="s">
        <v>5117</v>
      </c>
    </row>
    <row r="47601">
      <c r="H47601" t="s">
        <v>5117</v>
      </c>
    </row>
    <row r="47602">
      <c r="H47602" t="s">
        <v>5117</v>
      </c>
    </row>
    <row r="47603">
      <c r="H47603" t="s">
        <v>5117</v>
      </c>
    </row>
    <row r="47604">
      <c r="H47604" t="s">
        <v>5117</v>
      </c>
    </row>
    <row r="47605">
      <c r="H47605" t="s">
        <v>5117</v>
      </c>
    </row>
    <row r="47606">
      <c r="H47606" t="s">
        <v>5117</v>
      </c>
    </row>
    <row r="47607">
      <c r="H47607" t="s">
        <v>5117</v>
      </c>
    </row>
    <row r="47608">
      <c r="H47608" t="s">
        <v>5117</v>
      </c>
    </row>
    <row r="47609">
      <c r="H47609" t="s">
        <v>5117</v>
      </c>
    </row>
    <row r="47610">
      <c r="H47610" t="s">
        <v>5117</v>
      </c>
    </row>
    <row r="47611">
      <c r="H47611" t="s">
        <v>5117</v>
      </c>
    </row>
    <row r="47612">
      <c r="H47612" t="s">
        <v>5117</v>
      </c>
    </row>
    <row r="47613">
      <c r="H47613" t="s">
        <v>5117</v>
      </c>
    </row>
    <row r="47614">
      <c r="H47614" t="s">
        <v>5117</v>
      </c>
    </row>
    <row r="47615">
      <c r="H47615" t="s">
        <v>5117</v>
      </c>
    </row>
    <row r="47616">
      <c r="H47616" t="s">
        <v>5117</v>
      </c>
    </row>
    <row r="47617">
      <c r="H47617" t="s">
        <v>5117</v>
      </c>
    </row>
    <row r="47618">
      <c r="H47618" t="s">
        <v>5117</v>
      </c>
    </row>
    <row r="47619">
      <c r="H47619" t="s">
        <v>5117</v>
      </c>
    </row>
    <row r="47620">
      <c r="H47620" t="s">
        <v>5117</v>
      </c>
    </row>
    <row r="47621">
      <c r="H47621" t="s">
        <v>5117</v>
      </c>
    </row>
    <row r="47622">
      <c r="H47622" t="s">
        <v>5117</v>
      </c>
    </row>
    <row r="47623">
      <c r="H47623" t="s">
        <v>5117</v>
      </c>
    </row>
    <row r="47624">
      <c r="H47624" t="s">
        <v>5117</v>
      </c>
    </row>
    <row r="47625">
      <c r="H47625" t="s">
        <v>5117</v>
      </c>
    </row>
    <row r="47626">
      <c r="H47626" t="s">
        <v>5117</v>
      </c>
    </row>
    <row r="47627">
      <c r="H47627" t="s">
        <v>5117</v>
      </c>
    </row>
    <row r="47628">
      <c r="H47628" t="s">
        <v>5117</v>
      </c>
    </row>
    <row r="47629">
      <c r="H47629" t="s">
        <v>5117</v>
      </c>
    </row>
    <row r="47630">
      <c r="H47630" t="s">
        <v>5117</v>
      </c>
    </row>
    <row r="47631">
      <c r="H47631" t="s">
        <v>5117</v>
      </c>
    </row>
    <row r="47632">
      <c r="H47632" t="s">
        <v>5117</v>
      </c>
    </row>
    <row r="47633">
      <c r="H47633" t="s">
        <v>5117</v>
      </c>
    </row>
    <row r="47634">
      <c r="H47634" t="s">
        <v>5117</v>
      </c>
    </row>
    <row r="47635">
      <c r="H47635" t="s">
        <v>5117</v>
      </c>
    </row>
    <row r="47636">
      <c r="H47636" t="s">
        <v>5117</v>
      </c>
    </row>
    <row r="47637">
      <c r="H47637" t="s">
        <v>5117</v>
      </c>
    </row>
    <row r="47638">
      <c r="H47638" t="s">
        <v>5117</v>
      </c>
    </row>
    <row r="47639">
      <c r="H47639" t="s">
        <v>5117</v>
      </c>
    </row>
    <row r="47640">
      <c r="H47640" t="s">
        <v>5117</v>
      </c>
    </row>
    <row r="47641">
      <c r="H47641" t="s">
        <v>5117</v>
      </c>
    </row>
    <row r="47642">
      <c r="H47642" t="s">
        <v>5117</v>
      </c>
    </row>
    <row r="47643">
      <c r="H47643" t="s">
        <v>5117</v>
      </c>
    </row>
    <row r="47644">
      <c r="H47644" t="s">
        <v>5117</v>
      </c>
    </row>
    <row r="47645">
      <c r="H47645" t="s">
        <v>5117</v>
      </c>
    </row>
    <row r="47646">
      <c r="H47646" t="s">
        <v>5117</v>
      </c>
    </row>
    <row r="47647">
      <c r="H47647" t="s">
        <v>5117</v>
      </c>
    </row>
    <row r="47648">
      <c r="H47648" t="s">
        <v>5117</v>
      </c>
    </row>
    <row r="47649">
      <c r="H47649" t="s">
        <v>5117</v>
      </c>
    </row>
    <row r="47650">
      <c r="H47650" t="s">
        <v>5117</v>
      </c>
    </row>
    <row r="47651">
      <c r="H47651" t="s">
        <v>5117</v>
      </c>
    </row>
    <row r="47652">
      <c r="H47652" t="s">
        <v>5117</v>
      </c>
    </row>
    <row r="47653">
      <c r="H47653" t="s">
        <v>5117</v>
      </c>
    </row>
    <row r="47654">
      <c r="H47654" t="s">
        <v>5117</v>
      </c>
    </row>
    <row r="47655">
      <c r="H47655" t="s">
        <v>5117</v>
      </c>
    </row>
    <row r="47656">
      <c r="H47656" t="s">
        <v>5117</v>
      </c>
    </row>
    <row r="47657">
      <c r="H47657" t="s">
        <v>5117</v>
      </c>
    </row>
    <row r="47658">
      <c r="H47658" t="s">
        <v>5117</v>
      </c>
    </row>
    <row r="47659">
      <c r="H47659" t="s">
        <v>5117</v>
      </c>
    </row>
    <row r="47660">
      <c r="H47660" t="s">
        <v>5117</v>
      </c>
    </row>
    <row r="47661">
      <c r="H47661" t="s">
        <v>5117</v>
      </c>
    </row>
    <row r="47662">
      <c r="H47662" t="s">
        <v>5117</v>
      </c>
    </row>
    <row r="47663">
      <c r="H47663" t="s">
        <v>5117</v>
      </c>
    </row>
    <row r="47664">
      <c r="H47664" t="s">
        <v>5117</v>
      </c>
    </row>
    <row r="47665">
      <c r="H47665" t="s">
        <v>5117</v>
      </c>
    </row>
    <row r="47666">
      <c r="H47666" t="s">
        <v>5117</v>
      </c>
    </row>
    <row r="47667">
      <c r="H47667" t="s">
        <v>5117</v>
      </c>
    </row>
    <row r="47668">
      <c r="H47668" t="s">
        <v>5117</v>
      </c>
    </row>
    <row r="47669">
      <c r="H47669" t="s">
        <v>5117</v>
      </c>
    </row>
    <row r="47670">
      <c r="H47670" t="s">
        <v>5117</v>
      </c>
    </row>
    <row r="47671">
      <c r="H47671" t="s">
        <v>5117</v>
      </c>
    </row>
    <row r="47672">
      <c r="H47672" t="s">
        <v>5117</v>
      </c>
    </row>
    <row r="47673">
      <c r="H47673" t="s">
        <v>5117</v>
      </c>
    </row>
    <row r="47674">
      <c r="H47674" t="s">
        <v>5117</v>
      </c>
    </row>
    <row r="47675">
      <c r="H47675" t="s">
        <v>5117</v>
      </c>
    </row>
    <row r="47676">
      <c r="H47676" t="s">
        <v>5117</v>
      </c>
    </row>
    <row r="47677">
      <c r="H47677" t="s">
        <v>5117</v>
      </c>
    </row>
    <row r="47678">
      <c r="H47678" t="s">
        <v>5117</v>
      </c>
    </row>
    <row r="47679">
      <c r="H47679" t="s">
        <v>5117</v>
      </c>
    </row>
    <row r="47680">
      <c r="H47680" t="s">
        <v>5117</v>
      </c>
    </row>
    <row r="47681">
      <c r="H47681" t="s">
        <v>5117</v>
      </c>
    </row>
    <row r="47682">
      <c r="H47682" t="s">
        <v>5117</v>
      </c>
    </row>
    <row r="47683">
      <c r="H47683" t="s">
        <v>5117</v>
      </c>
    </row>
    <row r="47684">
      <c r="H47684" t="s">
        <v>5117</v>
      </c>
    </row>
    <row r="47685">
      <c r="H47685" t="s">
        <v>5117</v>
      </c>
    </row>
    <row r="47686">
      <c r="H47686" t="s">
        <v>5117</v>
      </c>
    </row>
    <row r="47687">
      <c r="H47687" t="s">
        <v>5117</v>
      </c>
    </row>
    <row r="47688">
      <c r="H47688" t="s">
        <v>5117</v>
      </c>
    </row>
    <row r="47689">
      <c r="H47689" t="s">
        <v>5117</v>
      </c>
    </row>
    <row r="47690">
      <c r="H47690" t="s">
        <v>5117</v>
      </c>
    </row>
    <row r="47691">
      <c r="H47691" t="s">
        <v>5117</v>
      </c>
    </row>
    <row r="47692">
      <c r="H47692" t="s">
        <v>5117</v>
      </c>
    </row>
    <row r="47693">
      <c r="H47693" t="s">
        <v>5117</v>
      </c>
    </row>
    <row r="47694">
      <c r="H47694" t="s">
        <v>5117</v>
      </c>
    </row>
    <row r="47695">
      <c r="H47695" t="s">
        <v>5117</v>
      </c>
    </row>
    <row r="47696">
      <c r="H47696" t="s">
        <v>5117</v>
      </c>
    </row>
    <row r="47697">
      <c r="H47697" t="s">
        <v>5117</v>
      </c>
    </row>
    <row r="47698">
      <c r="H47698" t="s">
        <v>5117</v>
      </c>
    </row>
    <row r="47699">
      <c r="H47699" t="s">
        <v>5117</v>
      </c>
    </row>
    <row r="47700">
      <c r="H47700" t="s">
        <v>5117</v>
      </c>
    </row>
    <row r="47701">
      <c r="H47701" t="s">
        <v>5117</v>
      </c>
    </row>
    <row r="47702">
      <c r="H47702" t="s">
        <v>5117</v>
      </c>
    </row>
    <row r="47703">
      <c r="H47703" t="s">
        <v>5117</v>
      </c>
    </row>
    <row r="47704">
      <c r="H47704" t="s">
        <v>5117</v>
      </c>
    </row>
    <row r="47705">
      <c r="H47705" t="s">
        <v>5117</v>
      </c>
    </row>
    <row r="47706">
      <c r="H47706" t="s">
        <v>5117</v>
      </c>
    </row>
    <row r="47707">
      <c r="H47707" t="s">
        <v>5117</v>
      </c>
    </row>
    <row r="47708">
      <c r="H47708" t="s">
        <v>5117</v>
      </c>
    </row>
    <row r="47709">
      <c r="H47709" t="s">
        <v>5117</v>
      </c>
    </row>
    <row r="47710">
      <c r="H47710" t="s">
        <v>5117</v>
      </c>
    </row>
    <row r="47711">
      <c r="H47711" t="s">
        <v>5117</v>
      </c>
    </row>
    <row r="47712">
      <c r="H47712" t="s">
        <v>5117</v>
      </c>
    </row>
    <row r="47713">
      <c r="H47713" t="s">
        <v>5117</v>
      </c>
    </row>
    <row r="47714">
      <c r="H47714" t="s">
        <v>5117</v>
      </c>
    </row>
    <row r="47715">
      <c r="H47715" t="s">
        <v>5117</v>
      </c>
    </row>
    <row r="47716">
      <c r="H47716" t="s">
        <v>5117</v>
      </c>
    </row>
    <row r="47717">
      <c r="H47717" t="s">
        <v>5117</v>
      </c>
    </row>
    <row r="47718">
      <c r="H47718" t="s">
        <v>5117</v>
      </c>
    </row>
    <row r="47719">
      <c r="H47719" t="s">
        <v>5117</v>
      </c>
    </row>
    <row r="47720">
      <c r="H47720" t="s">
        <v>5117</v>
      </c>
    </row>
    <row r="47721">
      <c r="H47721" t="s">
        <v>5117</v>
      </c>
    </row>
    <row r="47722">
      <c r="H47722" t="s">
        <v>5117</v>
      </c>
    </row>
    <row r="47723">
      <c r="H47723" t="s">
        <v>5117</v>
      </c>
    </row>
    <row r="47724">
      <c r="H47724" t="s">
        <v>5117</v>
      </c>
    </row>
    <row r="47725">
      <c r="H47725" t="s">
        <v>5117</v>
      </c>
    </row>
    <row r="47726">
      <c r="H47726" t="s">
        <v>5117</v>
      </c>
    </row>
    <row r="47727">
      <c r="H47727" t="s">
        <v>5117</v>
      </c>
    </row>
    <row r="47728">
      <c r="H47728" t="s">
        <v>5117</v>
      </c>
    </row>
    <row r="47729">
      <c r="H47729" t="s">
        <v>5117</v>
      </c>
    </row>
    <row r="47730">
      <c r="H47730" t="s">
        <v>5117</v>
      </c>
    </row>
    <row r="47731">
      <c r="H47731" t="s">
        <v>5117</v>
      </c>
    </row>
    <row r="47732">
      <c r="H47732" t="s">
        <v>5117</v>
      </c>
    </row>
    <row r="47733">
      <c r="H47733" t="s">
        <v>5117</v>
      </c>
    </row>
    <row r="47734">
      <c r="H47734" t="s">
        <v>5117</v>
      </c>
    </row>
    <row r="47735">
      <c r="H47735" t="s">
        <v>5117</v>
      </c>
    </row>
    <row r="47736">
      <c r="H47736" t="s">
        <v>5117</v>
      </c>
    </row>
    <row r="47737">
      <c r="H47737" t="s">
        <v>5117</v>
      </c>
    </row>
    <row r="47738">
      <c r="H47738" t="s">
        <v>5117</v>
      </c>
    </row>
    <row r="47739">
      <c r="H47739" t="s">
        <v>5117</v>
      </c>
    </row>
    <row r="47740">
      <c r="H47740" t="s">
        <v>5117</v>
      </c>
    </row>
    <row r="47741">
      <c r="H47741" t="s">
        <v>5117</v>
      </c>
    </row>
    <row r="47742">
      <c r="H47742" t="s">
        <v>5117</v>
      </c>
    </row>
    <row r="47743">
      <c r="H47743" t="s">
        <v>5117</v>
      </c>
    </row>
    <row r="47744">
      <c r="H47744" t="s">
        <v>5117</v>
      </c>
    </row>
    <row r="47745">
      <c r="H47745" t="s">
        <v>5117</v>
      </c>
    </row>
    <row r="47746">
      <c r="H47746" t="s">
        <v>5117</v>
      </c>
    </row>
    <row r="47747">
      <c r="H47747" t="s">
        <v>5117</v>
      </c>
    </row>
    <row r="47748">
      <c r="H47748" t="s">
        <v>5117</v>
      </c>
    </row>
    <row r="47749">
      <c r="H47749" t="s">
        <v>5117</v>
      </c>
    </row>
    <row r="47750">
      <c r="H47750" t="s">
        <v>5117</v>
      </c>
    </row>
    <row r="47751">
      <c r="H47751" t="s">
        <v>5117</v>
      </c>
    </row>
    <row r="47752">
      <c r="H47752" t="s">
        <v>5117</v>
      </c>
    </row>
    <row r="47753">
      <c r="H47753" t="s">
        <v>5117</v>
      </c>
    </row>
    <row r="47754">
      <c r="H47754" t="s">
        <v>5117</v>
      </c>
    </row>
    <row r="47755">
      <c r="H47755" t="s">
        <v>5117</v>
      </c>
    </row>
    <row r="47756">
      <c r="H47756" t="s">
        <v>5117</v>
      </c>
    </row>
    <row r="47757">
      <c r="H47757" t="s">
        <v>5117</v>
      </c>
    </row>
    <row r="47758">
      <c r="H47758" t="s">
        <v>5117</v>
      </c>
    </row>
    <row r="47759">
      <c r="H47759" t="s">
        <v>5117</v>
      </c>
    </row>
    <row r="47760">
      <c r="H47760" t="s">
        <v>5117</v>
      </c>
    </row>
    <row r="47761">
      <c r="H47761" t="s">
        <v>5117</v>
      </c>
    </row>
    <row r="47762">
      <c r="H47762" t="s">
        <v>5117</v>
      </c>
    </row>
    <row r="47763">
      <c r="H47763" t="s">
        <v>5117</v>
      </c>
    </row>
    <row r="47764">
      <c r="H47764" t="s">
        <v>5117</v>
      </c>
    </row>
    <row r="47765">
      <c r="H47765" t="s">
        <v>5117</v>
      </c>
    </row>
    <row r="47766">
      <c r="H47766" t="s">
        <v>5117</v>
      </c>
    </row>
    <row r="47767">
      <c r="H47767" t="s">
        <v>5117</v>
      </c>
    </row>
    <row r="47768">
      <c r="H47768" t="s">
        <v>5117</v>
      </c>
    </row>
    <row r="47769">
      <c r="H47769" t="s">
        <v>5117</v>
      </c>
    </row>
    <row r="47770">
      <c r="H47770" t="s">
        <v>5117</v>
      </c>
    </row>
    <row r="47771">
      <c r="H47771" t="s">
        <v>5117</v>
      </c>
    </row>
    <row r="47772">
      <c r="H47772" t="s">
        <v>5117</v>
      </c>
    </row>
    <row r="47773">
      <c r="H47773" t="s">
        <v>5117</v>
      </c>
    </row>
    <row r="47774">
      <c r="H47774" t="s">
        <v>5117</v>
      </c>
    </row>
    <row r="47775">
      <c r="H47775" t="s">
        <v>5117</v>
      </c>
    </row>
    <row r="47776">
      <c r="H47776" t="s">
        <v>5117</v>
      </c>
    </row>
    <row r="47777">
      <c r="H47777" t="s">
        <v>5117</v>
      </c>
    </row>
    <row r="47778">
      <c r="H47778" t="s">
        <v>5117</v>
      </c>
    </row>
    <row r="47779">
      <c r="H47779" t="s">
        <v>5117</v>
      </c>
    </row>
    <row r="47780">
      <c r="H47780" t="s">
        <v>5117</v>
      </c>
    </row>
    <row r="47781">
      <c r="H47781" t="s">
        <v>5117</v>
      </c>
    </row>
    <row r="47782">
      <c r="H47782" t="s">
        <v>5117</v>
      </c>
    </row>
    <row r="47783">
      <c r="H47783" t="s">
        <v>5117</v>
      </c>
    </row>
    <row r="47784">
      <c r="H47784" t="s">
        <v>5117</v>
      </c>
    </row>
    <row r="47785">
      <c r="H47785" t="s">
        <v>5117</v>
      </c>
    </row>
    <row r="47786">
      <c r="H47786" t="s">
        <v>5117</v>
      </c>
    </row>
    <row r="47787">
      <c r="H47787" t="s">
        <v>5117</v>
      </c>
    </row>
    <row r="47788">
      <c r="H47788" t="s">
        <v>5117</v>
      </c>
    </row>
    <row r="47789">
      <c r="H47789" t="s">
        <v>5117</v>
      </c>
    </row>
    <row r="47790">
      <c r="H47790" t="s">
        <v>5117</v>
      </c>
    </row>
    <row r="47791">
      <c r="H47791" t="s">
        <v>5117</v>
      </c>
    </row>
    <row r="47792">
      <c r="H47792" t="s">
        <v>5117</v>
      </c>
    </row>
    <row r="47793">
      <c r="H47793" t="s">
        <v>5117</v>
      </c>
    </row>
    <row r="47794">
      <c r="H47794" t="s">
        <v>5117</v>
      </c>
    </row>
    <row r="47795">
      <c r="H47795" t="s">
        <v>5117</v>
      </c>
    </row>
    <row r="47796">
      <c r="H47796" t="s">
        <v>5117</v>
      </c>
    </row>
    <row r="47797">
      <c r="H47797" t="s">
        <v>5117</v>
      </c>
    </row>
    <row r="47798">
      <c r="H47798" t="s">
        <v>5117</v>
      </c>
    </row>
    <row r="47799">
      <c r="H47799" t="s">
        <v>5117</v>
      </c>
    </row>
    <row r="47800">
      <c r="H47800" t="s">
        <v>5117</v>
      </c>
    </row>
    <row r="47801">
      <c r="H47801" t="s">
        <v>5117</v>
      </c>
    </row>
    <row r="47802">
      <c r="H47802" t="s">
        <v>5117</v>
      </c>
    </row>
    <row r="47803">
      <c r="H47803" t="s">
        <v>5117</v>
      </c>
    </row>
    <row r="47804">
      <c r="H47804" t="s">
        <v>5117</v>
      </c>
    </row>
    <row r="47805">
      <c r="H47805" t="s">
        <v>5117</v>
      </c>
    </row>
    <row r="47806">
      <c r="H47806" t="s">
        <v>5117</v>
      </c>
    </row>
    <row r="47807">
      <c r="H47807" t="s">
        <v>5117</v>
      </c>
    </row>
    <row r="47808">
      <c r="H47808" t="s">
        <v>5117</v>
      </c>
    </row>
    <row r="47809">
      <c r="H47809" t="s">
        <v>5117</v>
      </c>
    </row>
    <row r="47810">
      <c r="H47810" t="s">
        <v>5117</v>
      </c>
    </row>
    <row r="47811">
      <c r="H47811" t="s">
        <v>5117</v>
      </c>
    </row>
    <row r="47812">
      <c r="H47812" t="s">
        <v>5117</v>
      </c>
    </row>
    <row r="47813">
      <c r="H47813" t="s">
        <v>5117</v>
      </c>
    </row>
    <row r="47814">
      <c r="H47814" t="s">
        <v>5117</v>
      </c>
    </row>
    <row r="47815">
      <c r="H47815" t="s">
        <v>5117</v>
      </c>
    </row>
    <row r="47816">
      <c r="H47816" t="s">
        <v>5117</v>
      </c>
    </row>
    <row r="47817">
      <c r="H47817" t="s">
        <v>5117</v>
      </c>
    </row>
    <row r="47818">
      <c r="H47818" t="s">
        <v>5117</v>
      </c>
    </row>
    <row r="47819">
      <c r="H47819" t="s">
        <v>5117</v>
      </c>
    </row>
    <row r="47820">
      <c r="H47820" t="s">
        <v>5117</v>
      </c>
    </row>
    <row r="47821">
      <c r="H47821" t="s">
        <v>5117</v>
      </c>
    </row>
    <row r="47822">
      <c r="H47822" t="s">
        <v>5117</v>
      </c>
    </row>
    <row r="47823">
      <c r="H47823" t="s">
        <v>5117</v>
      </c>
    </row>
    <row r="47824">
      <c r="H47824" t="s">
        <v>5117</v>
      </c>
    </row>
    <row r="47825">
      <c r="H47825" t="s">
        <v>5117</v>
      </c>
    </row>
    <row r="47826">
      <c r="H47826" t="s">
        <v>5117</v>
      </c>
    </row>
    <row r="47827">
      <c r="H47827" t="s">
        <v>5117</v>
      </c>
    </row>
    <row r="47828">
      <c r="H47828" t="s">
        <v>5117</v>
      </c>
    </row>
    <row r="47829">
      <c r="H47829" t="s">
        <v>5117</v>
      </c>
    </row>
    <row r="47830">
      <c r="H47830" t="s">
        <v>5117</v>
      </c>
    </row>
    <row r="47831">
      <c r="H47831" t="s">
        <v>5117</v>
      </c>
    </row>
    <row r="47832">
      <c r="H47832" t="s">
        <v>5117</v>
      </c>
    </row>
    <row r="47833">
      <c r="H47833" t="s">
        <v>5117</v>
      </c>
    </row>
    <row r="47834">
      <c r="H47834" t="s">
        <v>5117</v>
      </c>
    </row>
    <row r="47835">
      <c r="H47835" t="s">
        <v>5117</v>
      </c>
    </row>
    <row r="47836">
      <c r="H47836" t="s">
        <v>5117</v>
      </c>
    </row>
    <row r="47837">
      <c r="H47837" t="s">
        <v>5117</v>
      </c>
    </row>
    <row r="47838">
      <c r="H47838" t="s">
        <v>5117</v>
      </c>
    </row>
    <row r="47839">
      <c r="H47839" t="s">
        <v>5117</v>
      </c>
    </row>
    <row r="47840">
      <c r="H47840" t="s">
        <v>5117</v>
      </c>
    </row>
    <row r="47841">
      <c r="H47841" t="s">
        <v>5117</v>
      </c>
    </row>
    <row r="47842">
      <c r="H47842" t="s">
        <v>5117</v>
      </c>
    </row>
    <row r="47843">
      <c r="H47843" t="s">
        <v>5117</v>
      </c>
    </row>
    <row r="47844">
      <c r="H47844" t="s">
        <v>5117</v>
      </c>
    </row>
    <row r="47845">
      <c r="H47845" t="s">
        <v>5117</v>
      </c>
    </row>
    <row r="47846">
      <c r="H47846" t="s">
        <v>5117</v>
      </c>
    </row>
    <row r="47847">
      <c r="H47847" t="s">
        <v>5117</v>
      </c>
    </row>
    <row r="47848">
      <c r="H47848" t="s">
        <v>5117</v>
      </c>
    </row>
    <row r="47849">
      <c r="H47849" t="s">
        <v>5117</v>
      </c>
    </row>
    <row r="47850">
      <c r="H47850" t="s">
        <v>5117</v>
      </c>
    </row>
    <row r="47851">
      <c r="H47851" t="s">
        <v>5117</v>
      </c>
    </row>
    <row r="47852">
      <c r="H47852" t="s">
        <v>5117</v>
      </c>
    </row>
    <row r="47853">
      <c r="H47853" t="s">
        <v>5117</v>
      </c>
    </row>
    <row r="47854">
      <c r="H47854" t="s">
        <v>5117</v>
      </c>
    </row>
    <row r="47855">
      <c r="H47855" t="s">
        <v>5117</v>
      </c>
    </row>
    <row r="47856">
      <c r="H47856" t="s">
        <v>5117</v>
      </c>
    </row>
    <row r="47857">
      <c r="H47857" t="s">
        <v>5117</v>
      </c>
    </row>
    <row r="47858">
      <c r="H47858" t="s">
        <v>5117</v>
      </c>
    </row>
    <row r="47859">
      <c r="H47859" t="s">
        <v>5117</v>
      </c>
    </row>
    <row r="47860">
      <c r="H47860" t="s">
        <v>5117</v>
      </c>
    </row>
    <row r="47861">
      <c r="H47861" t="s">
        <v>5117</v>
      </c>
    </row>
    <row r="47862">
      <c r="H47862" t="s">
        <v>5117</v>
      </c>
    </row>
    <row r="47863">
      <c r="H47863" t="s">
        <v>5117</v>
      </c>
    </row>
    <row r="47864">
      <c r="H47864" t="s">
        <v>5117</v>
      </c>
    </row>
    <row r="47865">
      <c r="H47865" t="s">
        <v>5117</v>
      </c>
    </row>
    <row r="47866">
      <c r="H47866" t="s">
        <v>5117</v>
      </c>
    </row>
    <row r="47867">
      <c r="H47867" t="s">
        <v>5117</v>
      </c>
    </row>
    <row r="47868">
      <c r="H47868" t="s">
        <v>5117</v>
      </c>
    </row>
    <row r="47869">
      <c r="H47869" t="s">
        <v>5117</v>
      </c>
    </row>
    <row r="47870">
      <c r="H47870" t="s">
        <v>5117</v>
      </c>
    </row>
    <row r="47871">
      <c r="H47871" t="s">
        <v>5117</v>
      </c>
    </row>
    <row r="47872">
      <c r="H47872" t="s">
        <v>5117</v>
      </c>
    </row>
    <row r="47873">
      <c r="H47873" t="s">
        <v>5117</v>
      </c>
    </row>
    <row r="47874">
      <c r="H47874" t="s">
        <v>5117</v>
      </c>
    </row>
    <row r="47875">
      <c r="H47875" t="s">
        <v>5117</v>
      </c>
    </row>
    <row r="47876">
      <c r="H47876" t="s">
        <v>5117</v>
      </c>
    </row>
    <row r="47877">
      <c r="H47877" t="s">
        <v>5117</v>
      </c>
    </row>
    <row r="47878">
      <c r="H47878" t="s">
        <v>5117</v>
      </c>
    </row>
    <row r="47879">
      <c r="H47879" t="s">
        <v>5117</v>
      </c>
    </row>
    <row r="47880">
      <c r="H47880" t="s">
        <v>5117</v>
      </c>
    </row>
    <row r="47881">
      <c r="H47881" t="s">
        <v>5117</v>
      </c>
    </row>
    <row r="47882">
      <c r="H47882" t="s">
        <v>5117</v>
      </c>
    </row>
    <row r="47883">
      <c r="H47883" t="s">
        <v>5117</v>
      </c>
    </row>
    <row r="47884">
      <c r="H47884" t="s">
        <v>5117</v>
      </c>
    </row>
    <row r="47885">
      <c r="H47885" t="s">
        <v>5117</v>
      </c>
    </row>
    <row r="47886">
      <c r="H47886" t="s">
        <v>5117</v>
      </c>
    </row>
    <row r="47887">
      <c r="H47887" t="s">
        <v>5117</v>
      </c>
    </row>
    <row r="47888">
      <c r="H47888" t="s">
        <v>5117</v>
      </c>
    </row>
    <row r="47889">
      <c r="H47889" t="s">
        <v>5117</v>
      </c>
    </row>
    <row r="47890">
      <c r="H47890" t="s">
        <v>5117</v>
      </c>
    </row>
    <row r="47891">
      <c r="H47891" t="s">
        <v>5117</v>
      </c>
    </row>
    <row r="47892">
      <c r="H47892" t="s">
        <v>5117</v>
      </c>
    </row>
    <row r="47893">
      <c r="H47893" t="s">
        <v>5117</v>
      </c>
    </row>
    <row r="47894">
      <c r="H47894" t="s">
        <v>5117</v>
      </c>
    </row>
    <row r="47895">
      <c r="H47895" t="s">
        <v>5117</v>
      </c>
    </row>
    <row r="47896">
      <c r="H47896" t="s">
        <v>5117</v>
      </c>
    </row>
    <row r="47897">
      <c r="H47897" t="s">
        <v>5117</v>
      </c>
    </row>
    <row r="47898">
      <c r="H47898" t="s">
        <v>5117</v>
      </c>
    </row>
    <row r="47899">
      <c r="H47899" t="s">
        <v>5117</v>
      </c>
    </row>
    <row r="47900">
      <c r="H47900" t="s">
        <v>5117</v>
      </c>
    </row>
    <row r="47901">
      <c r="H47901" t="s">
        <v>5117</v>
      </c>
    </row>
    <row r="47902">
      <c r="H47902" t="s">
        <v>5117</v>
      </c>
    </row>
    <row r="47903">
      <c r="H47903" t="s">
        <v>5117</v>
      </c>
    </row>
    <row r="47904">
      <c r="H47904" t="s">
        <v>5117</v>
      </c>
    </row>
    <row r="47905">
      <c r="H47905" t="s">
        <v>5117</v>
      </c>
    </row>
    <row r="47906">
      <c r="H47906" t="s">
        <v>5117</v>
      </c>
    </row>
    <row r="47907">
      <c r="H47907" t="s">
        <v>5117</v>
      </c>
    </row>
    <row r="47908">
      <c r="H47908" t="s">
        <v>5117</v>
      </c>
    </row>
    <row r="47909">
      <c r="H47909" t="s">
        <v>5117</v>
      </c>
    </row>
    <row r="47910">
      <c r="H47910" t="s">
        <v>5117</v>
      </c>
    </row>
    <row r="47911">
      <c r="H47911" t="s">
        <v>5117</v>
      </c>
    </row>
    <row r="47912">
      <c r="H47912" t="s">
        <v>5117</v>
      </c>
    </row>
    <row r="47913">
      <c r="H47913" t="s">
        <v>5117</v>
      </c>
    </row>
    <row r="47914">
      <c r="H47914" t="s">
        <v>5117</v>
      </c>
    </row>
    <row r="47915">
      <c r="H47915" t="s">
        <v>5117</v>
      </c>
    </row>
    <row r="47916">
      <c r="H47916" t="s">
        <v>5117</v>
      </c>
    </row>
    <row r="47917">
      <c r="H47917" t="s">
        <v>5117</v>
      </c>
    </row>
    <row r="47918">
      <c r="H47918" t="s">
        <v>5117</v>
      </c>
    </row>
    <row r="47919">
      <c r="H47919" t="s">
        <v>5117</v>
      </c>
    </row>
    <row r="47920">
      <c r="H47920" t="s">
        <v>5117</v>
      </c>
    </row>
    <row r="47921">
      <c r="H47921" t="s">
        <v>5117</v>
      </c>
    </row>
    <row r="47922">
      <c r="H47922" t="s">
        <v>5117</v>
      </c>
    </row>
    <row r="47923">
      <c r="H47923" t="s">
        <v>5117</v>
      </c>
    </row>
    <row r="47924">
      <c r="H47924" t="s">
        <v>5117</v>
      </c>
    </row>
    <row r="47925">
      <c r="H47925" t="s">
        <v>5117</v>
      </c>
    </row>
    <row r="47926">
      <c r="H47926" t="s">
        <v>5117</v>
      </c>
    </row>
    <row r="47927">
      <c r="H47927" t="s">
        <v>5117</v>
      </c>
    </row>
    <row r="47928">
      <c r="H47928" t="s">
        <v>5117</v>
      </c>
    </row>
    <row r="47929">
      <c r="H47929" t="s">
        <v>5117</v>
      </c>
    </row>
    <row r="47930">
      <c r="H47930" t="s">
        <v>5117</v>
      </c>
    </row>
    <row r="47931">
      <c r="H47931" t="s">
        <v>5117</v>
      </c>
    </row>
    <row r="47932">
      <c r="H47932" t="s">
        <v>5117</v>
      </c>
    </row>
    <row r="47933">
      <c r="H47933" t="s">
        <v>5117</v>
      </c>
    </row>
    <row r="47934">
      <c r="H47934" t="s">
        <v>5117</v>
      </c>
    </row>
    <row r="47935">
      <c r="H47935" t="s">
        <v>5117</v>
      </c>
    </row>
    <row r="47936">
      <c r="H47936" t="s">
        <v>5117</v>
      </c>
    </row>
    <row r="47937">
      <c r="H47937" t="s">
        <v>5117</v>
      </c>
    </row>
    <row r="47938">
      <c r="H47938" t="s">
        <v>5117</v>
      </c>
    </row>
    <row r="47939">
      <c r="H47939" t="s">
        <v>5117</v>
      </c>
    </row>
    <row r="47940">
      <c r="H47940" t="s">
        <v>5117</v>
      </c>
    </row>
    <row r="47941">
      <c r="H47941" t="s">
        <v>5117</v>
      </c>
    </row>
    <row r="47942">
      <c r="H47942" t="s">
        <v>5117</v>
      </c>
    </row>
    <row r="47943">
      <c r="H47943" t="s">
        <v>5117</v>
      </c>
    </row>
    <row r="47944">
      <c r="H47944" t="s">
        <v>5117</v>
      </c>
    </row>
    <row r="47945">
      <c r="H47945" t="s">
        <v>5117</v>
      </c>
    </row>
    <row r="47946">
      <c r="H47946" t="s">
        <v>5117</v>
      </c>
    </row>
    <row r="47947">
      <c r="H47947" t="s">
        <v>5117</v>
      </c>
    </row>
    <row r="47948">
      <c r="H47948" t="s">
        <v>5117</v>
      </c>
    </row>
    <row r="47949">
      <c r="H47949" t="s">
        <v>5117</v>
      </c>
    </row>
    <row r="47950">
      <c r="H47950" t="s">
        <v>5117</v>
      </c>
    </row>
    <row r="47951">
      <c r="H47951" t="s">
        <v>5117</v>
      </c>
    </row>
    <row r="47952">
      <c r="H47952" t="s">
        <v>5117</v>
      </c>
    </row>
    <row r="47953">
      <c r="H47953" t="s">
        <v>5117</v>
      </c>
    </row>
    <row r="47954">
      <c r="H47954" t="s">
        <v>5117</v>
      </c>
    </row>
    <row r="47955">
      <c r="H47955" t="s">
        <v>5117</v>
      </c>
    </row>
    <row r="47956">
      <c r="H47956" t="s">
        <v>5117</v>
      </c>
    </row>
    <row r="47957">
      <c r="H47957" t="s">
        <v>5117</v>
      </c>
    </row>
    <row r="47958">
      <c r="H47958" t="s">
        <v>5117</v>
      </c>
    </row>
    <row r="47959">
      <c r="H47959" t="s">
        <v>5117</v>
      </c>
    </row>
    <row r="47960">
      <c r="H47960" t="s">
        <v>5117</v>
      </c>
    </row>
    <row r="47961">
      <c r="H47961" t="s">
        <v>5117</v>
      </c>
    </row>
    <row r="47962">
      <c r="H47962" t="s">
        <v>5117</v>
      </c>
    </row>
    <row r="47963">
      <c r="H47963" t="s">
        <v>5117</v>
      </c>
    </row>
    <row r="47964">
      <c r="H47964" t="s">
        <v>5117</v>
      </c>
    </row>
    <row r="47965">
      <c r="H47965" t="s">
        <v>5117</v>
      </c>
    </row>
    <row r="47966">
      <c r="H47966" t="s">
        <v>5117</v>
      </c>
    </row>
    <row r="47967">
      <c r="H47967" t="s">
        <v>5117</v>
      </c>
    </row>
    <row r="47968">
      <c r="H47968" t="s">
        <v>5117</v>
      </c>
    </row>
    <row r="47969">
      <c r="H47969" t="s">
        <v>5117</v>
      </c>
    </row>
    <row r="47970">
      <c r="H47970" t="s">
        <v>5117</v>
      </c>
    </row>
    <row r="47971">
      <c r="H47971" t="s">
        <v>5117</v>
      </c>
    </row>
    <row r="47972">
      <c r="H47972" t="s">
        <v>5117</v>
      </c>
    </row>
    <row r="47973">
      <c r="H47973" t="s">
        <v>5117</v>
      </c>
    </row>
    <row r="47974">
      <c r="H47974" t="s">
        <v>5117</v>
      </c>
    </row>
    <row r="47975">
      <c r="H47975" t="s">
        <v>5117</v>
      </c>
    </row>
    <row r="47976">
      <c r="H47976" t="s">
        <v>5117</v>
      </c>
    </row>
    <row r="47977">
      <c r="H47977" t="s">
        <v>5117</v>
      </c>
    </row>
    <row r="47978">
      <c r="H47978" t="s">
        <v>5117</v>
      </c>
    </row>
    <row r="47979">
      <c r="H47979" t="s">
        <v>5117</v>
      </c>
    </row>
    <row r="47980">
      <c r="H47980" t="s">
        <v>5117</v>
      </c>
    </row>
    <row r="47981">
      <c r="H47981" t="s">
        <v>5117</v>
      </c>
    </row>
    <row r="47982">
      <c r="H47982" t="s">
        <v>5117</v>
      </c>
    </row>
    <row r="47983">
      <c r="H47983" t="s">
        <v>5117</v>
      </c>
    </row>
    <row r="47984">
      <c r="H47984" t="s">
        <v>5117</v>
      </c>
    </row>
    <row r="47985">
      <c r="H47985" t="s">
        <v>5117</v>
      </c>
    </row>
    <row r="47986">
      <c r="H47986" t="s">
        <v>5117</v>
      </c>
    </row>
    <row r="47987">
      <c r="H47987" t="s">
        <v>5117</v>
      </c>
    </row>
    <row r="47988">
      <c r="H47988" t="s">
        <v>5117</v>
      </c>
    </row>
    <row r="47989">
      <c r="H47989" t="s">
        <v>5117</v>
      </c>
    </row>
    <row r="47990">
      <c r="H47990" t="s">
        <v>5117</v>
      </c>
    </row>
    <row r="47991">
      <c r="H47991" t="s">
        <v>5117</v>
      </c>
    </row>
    <row r="47992">
      <c r="H47992" t="s">
        <v>5117</v>
      </c>
    </row>
    <row r="47993">
      <c r="H47993" t="s">
        <v>5117</v>
      </c>
    </row>
    <row r="47994">
      <c r="H47994" t="s">
        <v>5117</v>
      </c>
    </row>
    <row r="47995">
      <c r="H47995" t="s">
        <v>5117</v>
      </c>
    </row>
    <row r="47996">
      <c r="H47996" t="s">
        <v>5117</v>
      </c>
    </row>
    <row r="47997">
      <c r="H47997" t="s">
        <v>5117</v>
      </c>
    </row>
    <row r="47998">
      <c r="H47998" t="s">
        <v>5117</v>
      </c>
    </row>
    <row r="47999">
      <c r="H47999" t="s">
        <v>5117</v>
      </c>
    </row>
    <row r="48000">
      <c r="H48000" t="s">
        <v>5117</v>
      </c>
    </row>
    <row r="48001">
      <c r="H48001" t="s">
        <v>5117</v>
      </c>
    </row>
    <row r="48002">
      <c r="H48002" t="s">
        <v>5117</v>
      </c>
    </row>
    <row r="48003">
      <c r="H48003" t="s">
        <v>5117</v>
      </c>
    </row>
    <row r="48004">
      <c r="H48004" t="s">
        <v>5117</v>
      </c>
    </row>
    <row r="48005">
      <c r="H48005" t="s">
        <v>5117</v>
      </c>
    </row>
    <row r="48006">
      <c r="H48006" t="s">
        <v>5117</v>
      </c>
    </row>
    <row r="48007">
      <c r="H48007" t="s">
        <v>5117</v>
      </c>
    </row>
    <row r="48008">
      <c r="H48008" t="s">
        <v>5117</v>
      </c>
    </row>
    <row r="48009">
      <c r="H48009" t="s">
        <v>5117</v>
      </c>
    </row>
    <row r="48010">
      <c r="H48010" t="s">
        <v>5117</v>
      </c>
    </row>
    <row r="48011">
      <c r="H48011" t="s">
        <v>5117</v>
      </c>
    </row>
    <row r="48012">
      <c r="H48012" t="s">
        <v>5117</v>
      </c>
    </row>
    <row r="48013">
      <c r="H48013" t="s">
        <v>5117</v>
      </c>
    </row>
    <row r="48014">
      <c r="H48014" t="s">
        <v>5117</v>
      </c>
    </row>
    <row r="48015">
      <c r="H48015" t="s">
        <v>5117</v>
      </c>
    </row>
    <row r="48016">
      <c r="H48016" t="s">
        <v>5117</v>
      </c>
    </row>
    <row r="48017">
      <c r="H48017" t="s">
        <v>5117</v>
      </c>
    </row>
    <row r="48018">
      <c r="H48018" t="s">
        <v>5117</v>
      </c>
    </row>
    <row r="48019">
      <c r="H48019" t="s">
        <v>5117</v>
      </c>
    </row>
    <row r="48020">
      <c r="H48020" t="s">
        <v>5117</v>
      </c>
    </row>
    <row r="48021">
      <c r="H48021" t="s">
        <v>5117</v>
      </c>
    </row>
    <row r="48022">
      <c r="H48022" t="s">
        <v>5117</v>
      </c>
    </row>
    <row r="48023">
      <c r="H48023" t="s">
        <v>5117</v>
      </c>
    </row>
    <row r="48024">
      <c r="H48024" t="s">
        <v>5117</v>
      </c>
    </row>
    <row r="48025">
      <c r="H48025" t="s">
        <v>5117</v>
      </c>
    </row>
    <row r="48026">
      <c r="H48026" t="s">
        <v>5117</v>
      </c>
    </row>
    <row r="48027">
      <c r="H48027" t="s">
        <v>5117</v>
      </c>
    </row>
    <row r="48028">
      <c r="H48028" t="s">
        <v>5117</v>
      </c>
    </row>
    <row r="48029">
      <c r="H48029" t="s">
        <v>5117</v>
      </c>
    </row>
    <row r="48030">
      <c r="H48030" t="s">
        <v>5117</v>
      </c>
    </row>
    <row r="48031">
      <c r="H48031" t="s">
        <v>5117</v>
      </c>
    </row>
    <row r="48032">
      <c r="H48032" t="s">
        <v>5117</v>
      </c>
    </row>
    <row r="48033">
      <c r="H48033" t="s">
        <v>5117</v>
      </c>
    </row>
    <row r="48034">
      <c r="H48034" t="s">
        <v>5117</v>
      </c>
    </row>
    <row r="48035">
      <c r="H48035" t="s">
        <v>5117</v>
      </c>
    </row>
    <row r="48036">
      <c r="H48036" t="s">
        <v>5117</v>
      </c>
    </row>
    <row r="48037">
      <c r="H48037" t="s">
        <v>5117</v>
      </c>
    </row>
    <row r="48038">
      <c r="H48038" t="s">
        <v>5117</v>
      </c>
    </row>
    <row r="48039">
      <c r="H48039" t="s">
        <v>5117</v>
      </c>
    </row>
    <row r="48040">
      <c r="H48040" t="s">
        <v>5117</v>
      </c>
    </row>
    <row r="48041">
      <c r="H48041" t="s">
        <v>5117</v>
      </c>
    </row>
    <row r="48042">
      <c r="H48042" t="s">
        <v>5117</v>
      </c>
    </row>
    <row r="48043">
      <c r="H48043" t="s">
        <v>5117</v>
      </c>
    </row>
    <row r="48044">
      <c r="H48044" t="s">
        <v>5117</v>
      </c>
    </row>
    <row r="48045">
      <c r="H48045" t="s">
        <v>5117</v>
      </c>
    </row>
    <row r="48046">
      <c r="H48046" t="s">
        <v>5117</v>
      </c>
    </row>
    <row r="48047">
      <c r="H48047" t="s">
        <v>5117</v>
      </c>
    </row>
    <row r="48048">
      <c r="H48048" t="s">
        <v>5117</v>
      </c>
    </row>
    <row r="48049">
      <c r="H48049" t="s">
        <v>5117</v>
      </c>
    </row>
    <row r="48050">
      <c r="H48050" t="s">
        <v>5117</v>
      </c>
    </row>
    <row r="48051">
      <c r="H48051" t="s">
        <v>5117</v>
      </c>
    </row>
    <row r="48052">
      <c r="H48052" t="s">
        <v>5117</v>
      </c>
    </row>
    <row r="48053">
      <c r="H48053" t="s">
        <v>5117</v>
      </c>
    </row>
    <row r="48054">
      <c r="H48054" t="s">
        <v>5117</v>
      </c>
    </row>
    <row r="48055">
      <c r="H48055" t="s">
        <v>5117</v>
      </c>
    </row>
    <row r="48056">
      <c r="H48056" t="s">
        <v>5117</v>
      </c>
    </row>
    <row r="48057">
      <c r="H48057" t="s">
        <v>5117</v>
      </c>
    </row>
    <row r="48058">
      <c r="H48058" t="s">
        <v>5117</v>
      </c>
    </row>
    <row r="48059">
      <c r="H48059" t="s">
        <v>5117</v>
      </c>
    </row>
    <row r="48060">
      <c r="H48060" t="s">
        <v>5117</v>
      </c>
    </row>
    <row r="48061">
      <c r="H48061" t="s">
        <v>5117</v>
      </c>
    </row>
    <row r="48062">
      <c r="H48062" t="s">
        <v>5117</v>
      </c>
    </row>
    <row r="48063">
      <c r="H48063" t="s">
        <v>5117</v>
      </c>
    </row>
    <row r="48064">
      <c r="H48064" t="s">
        <v>5117</v>
      </c>
    </row>
    <row r="48065">
      <c r="H48065" t="s">
        <v>5117</v>
      </c>
    </row>
    <row r="48066">
      <c r="H48066" t="s">
        <v>5117</v>
      </c>
    </row>
    <row r="48067">
      <c r="H48067" t="s">
        <v>5117</v>
      </c>
    </row>
    <row r="48068">
      <c r="H48068" t="s">
        <v>5117</v>
      </c>
    </row>
    <row r="48069">
      <c r="H48069" t="s">
        <v>5117</v>
      </c>
    </row>
    <row r="48070">
      <c r="H48070" t="s">
        <v>5117</v>
      </c>
    </row>
    <row r="48071">
      <c r="H48071" t="s">
        <v>5117</v>
      </c>
    </row>
    <row r="48072">
      <c r="H48072" t="s">
        <v>5117</v>
      </c>
    </row>
    <row r="48073">
      <c r="H48073" t="s">
        <v>5117</v>
      </c>
    </row>
    <row r="48074">
      <c r="H48074" t="s">
        <v>5117</v>
      </c>
    </row>
    <row r="48075">
      <c r="H48075" t="s">
        <v>5117</v>
      </c>
    </row>
    <row r="48076">
      <c r="H48076" t="s">
        <v>5117</v>
      </c>
    </row>
    <row r="48077">
      <c r="H48077" t="s">
        <v>5117</v>
      </c>
    </row>
    <row r="48078">
      <c r="H48078" t="s">
        <v>5117</v>
      </c>
    </row>
    <row r="48079">
      <c r="H48079" t="s">
        <v>5117</v>
      </c>
    </row>
    <row r="48080">
      <c r="H48080" t="s">
        <v>5117</v>
      </c>
    </row>
    <row r="48081">
      <c r="H48081" t="s">
        <v>5117</v>
      </c>
    </row>
    <row r="48082">
      <c r="H48082" t="s">
        <v>5117</v>
      </c>
    </row>
    <row r="48083">
      <c r="H48083" t="s">
        <v>5117</v>
      </c>
    </row>
    <row r="48084">
      <c r="H48084" t="s">
        <v>5117</v>
      </c>
    </row>
    <row r="48085">
      <c r="H48085" t="s">
        <v>5117</v>
      </c>
    </row>
    <row r="48086">
      <c r="H48086" t="s">
        <v>5117</v>
      </c>
    </row>
    <row r="48087">
      <c r="H48087" t="s">
        <v>5117</v>
      </c>
    </row>
    <row r="48088">
      <c r="H48088" t="s">
        <v>5117</v>
      </c>
    </row>
    <row r="48089">
      <c r="H48089" t="s">
        <v>5117</v>
      </c>
    </row>
    <row r="48090">
      <c r="H48090" t="s">
        <v>5117</v>
      </c>
    </row>
    <row r="48091">
      <c r="H48091" t="s">
        <v>5117</v>
      </c>
    </row>
    <row r="48092">
      <c r="H48092" t="s">
        <v>5117</v>
      </c>
    </row>
    <row r="48093">
      <c r="H48093" t="s">
        <v>5117</v>
      </c>
    </row>
    <row r="48094">
      <c r="H48094" t="s">
        <v>5117</v>
      </c>
    </row>
    <row r="48095">
      <c r="H48095" t="s">
        <v>5117</v>
      </c>
    </row>
    <row r="48096">
      <c r="H48096" t="s">
        <v>5117</v>
      </c>
    </row>
    <row r="48097">
      <c r="H48097" t="s">
        <v>5117</v>
      </c>
    </row>
    <row r="48098">
      <c r="H48098" t="s">
        <v>5117</v>
      </c>
    </row>
    <row r="48099">
      <c r="H48099" t="s">
        <v>5117</v>
      </c>
    </row>
    <row r="48100">
      <c r="H48100" t="s">
        <v>5117</v>
      </c>
    </row>
    <row r="48101">
      <c r="H48101" t="s">
        <v>5117</v>
      </c>
    </row>
    <row r="48102">
      <c r="H48102" t="s">
        <v>5117</v>
      </c>
    </row>
    <row r="48103">
      <c r="H48103" t="s">
        <v>5117</v>
      </c>
    </row>
    <row r="48104">
      <c r="H48104" t="s">
        <v>5117</v>
      </c>
    </row>
    <row r="48105">
      <c r="H48105" t="s">
        <v>5117</v>
      </c>
    </row>
    <row r="48106">
      <c r="H48106" t="s">
        <v>5117</v>
      </c>
    </row>
    <row r="48107">
      <c r="H48107" t="s">
        <v>5117</v>
      </c>
    </row>
    <row r="48108">
      <c r="H48108" t="s">
        <v>5117</v>
      </c>
    </row>
    <row r="48109">
      <c r="H48109" t="s">
        <v>5117</v>
      </c>
    </row>
    <row r="48110">
      <c r="H48110" t="s">
        <v>5117</v>
      </c>
    </row>
    <row r="48111">
      <c r="H48111" t="s">
        <v>5117</v>
      </c>
    </row>
    <row r="48112">
      <c r="H48112" t="s">
        <v>5117</v>
      </c>
    </row>
    <row r="48113">
      <c r="H48113" t="s">
        <v>5117</v>
      </c>
    </row>
    <row r="48114">
      <c r="H48114" t="s">
        <v>5117</v>
      </c>
    </row>
    <row r="48115">
      <c r="H48115" t="s">
        <v>5117</v>
      </c>
    </row>
    <row r="48116">
      <c r="H48116" t="s">
        <v>5117</v>
      </c>
    </row>
    <row r="48117">
      <c r="H48117" t="s">
        <v>5117</v>
      </c>
    </row>
    <row r="48118">
      <c r="H48118" t="s">
        <v>5117</v>
      </c>
    </row>
    <row r="48119">
      <c r="H48119" t="s">
        <v>5117</v>
      </c>
    </row>
    <row r="48120">
      <c r="H48120" t="s">
        <v>5117</v>
      </c>
    </row>
    <row r="48121">
      <c r="H48121" t="s">
        <v>5117</v>
      </c>
    </row>
    <row r="48122">
      <c r="H48122" t="s">
        <v>5117</v>
      </c>
    </row>
    <row r="48123">
      <c r="H48123" t="s">
        <v>5117</v>
      </c>
    </row>
    <row r="48124">
      <c r="H48124" t="s">
        <v>5117</v>
      </c>
    </row>
    <row r="48125">
      <c r="H48125" t="s">
        <v>5117</v>
      </c>
    </row>
    <row r="48126">
      <c r="H48126" t="s">
        <v>5117</v>
      </c>
    </row>
    <row r="48127">
      <c r="H48127" t="s">
        <v>5117</v>
      </c>
    </row>
    <row r="48128">
      <c r="H48128" t="s">
        <v>5117</v>
      </c>
    </row>
    <row r="48129">
      <c r="H48129" t="s">
        <v>5117</v>
      </c>
    </row>
    <row r="48130">
      <c r="H48130" t="s">
        <v>5117</v>
      </c>
    </row>
    <row r="48131">
      <c r="H48131" t="s">
        <v>5117</v>
      </c>
    </row>
    <row r="48132">
      <c r="H48132" t="s">
        <v>5117</v>
      </c>
    </row>
    <row r="48133">
      <c r="H48133" t="s">
        <v>5117</v>
      </c>
    </row>
    <row r="48134">
      <c r="H48134" t="s">
        <v>5117</v>
      </c>
    </row>
    <row r="48135">
      <c r="H48135" t="s">
        <v>5117</v>
      </c>
    </row>
    <row r="48136">
      <c r="H48136" t="s">
        <v>5117</v>
      </c>
    </row>
    <row r="48137">
      <c r="H48137" t="s">
        <v>5117</v>
      </c>
    </row>
    <row r="48138">
      <c r="H48138" t="s">
        <v>5117</v>
      </c>
    </row>
    <row r="48139">
      <c r="H48139" t="s">
        <v>5117</v>
      </c>
    </row>
    <row r="48140">
      <c r="H48140" t="s">
        <v>5117</v>
      </c>
    </row>
    <row r="48141">
      <c r="H48141" t="s">
        <v>5117</v>
      </c>
    </row>
    <row r="48142">
      <c r="H48142" t="s">
        <v>5117</v>
      </c>
    </row>
    <row r="48143">
      <c r="H48143" t="s">
        <v>5117</v>
      </c>
    </row>
    <row r="48144">
      <c r="H48144" t="s">
        <v>5117</v>
      </c>
    </row>
    <row r="48145">
      <c r="H48145" t="s">
        <v>5117</v>
      </c>
    </row>
    <row r="48146">
      <c r="H48146" t="s">
        <v>5117</v>
      </c>
    </row>
    <row r="48147">
      <c r="H48147" t="s">
        <v>5117</v>
      </c>
    </row>
    <row r="48148">
      <c r="H48148" t="s">
        <v>5117</v>
      </c>
    </row>
    <row r="48149">
      <c r="H48149" t="s">
        <v>5117</v>
      </c>
    </row>
    <row r="48150">
      <c r="H48150" t="s">
        <v>5117</v>
      </c>
    </row>
    <row r="48151">
      <c r="H48151" t="s">
        <v>5117</v>
      </c>
    </row>
    <row r="48152">
      <c r="H48152" t="s">
        <v>5117</v>
      </c>
    </row>
    <row r="48153">
      <c r="H48153" t="s">
        <v>5117</v>
      </c>
    </row>
    <row r="48154">
      <c r="H48154" t="s">
        <v>5117</v>
      </c>
    </row>
    <row r="48155">
      <c r="H48155" t="s">
        <v>5117</v>
      </c>
    </row>
    <row r="48156">
      <c r="H48156" t="s">
        <v>5117</v>
      </c>
    </row>
    <row r="48157">
      <c r="H48157" t="s">
        <v>5117</v>
      </c>
    </row>
    <row r="48158">
      <c r="H48158" t="s">
        <v>5117</v>
      </c>
    </row>
    <row r="48159">
      <c r="H48159" t="s">
        <v>5117</v>
      </c>
    </row>
    <row r="48160">
      <c r="H48160" t="s">
        <v>5117</v>
      </c>
    </row>
    <row r="48161">
      <c r="H48161" t="s">
        <v>5117</v>
      </c>
    </row>
    <row r="48162">
      <c r="H48162" t="s">
        <v>5117</v>
      </c>
    </row>
    <row r="48163">
      <c r="H48163" t="s">
        <v>5117</v>
      </c>
    </row>
    <row r="48164">
      <c r="H48164" t="s">
        <v>5117</v>
      </c>
    </row>
    <row r="48165">
      <c r="H48165" t="s">
        <v>5117</v>
      </c>
    </row>
    <row r="48166">
      <c r="H48166" t="s">
        <v>5117</v>
      </c>
    </row>
    <row r="48167">
      <c r="H48167" t="s">
        <v>5117</v>
      </c>
    </row>
    <row r="48168">
      <c r="H48168" t="s">
        <v>5117</v>
      </c>
    </row>
    <row r="48169">
      <c r="H48169" t="s">
        <v>5117</v>
      </c>
    </row>
    <row r="48170">
      <c r="H48170" t="s">
        <v>5117</v>
      </c>
    </row>
    <row r="48171">
      <c r="H48171" t="s">
        <v>5117</v>
      </c>
    </row>
    <row r="48172">
      <c r="H48172" t="s">
        <v>5117</v>
      </c>
    </row>
    <row r="48173">
      <c r="H48173" t="s">
        <v>5117</v>
      </c>
    </row>
    <row r="48174">
      <c r="H48174" t="s">
        <v>5117</v>
      </c>
    </row>
    <row r="48175">
      <c r="H48175" t="s">
        <v>5117</v>
      </c>
    </row>
    <row r="48176">
      <c r="H48176" t="s">
        <v>5117</v>
      </c>
    </row>
    <row r="48177">
      <c r="H48177" t="s">
        <v>5117</v>
      </c>
    </row>
    <row r="48178">
      <c r="H48178" t="s">
        <v>5117</v>
      </c>
    </row>
    <row r="48179">
      <c r="H48179" t="s">
        <v>5117</v>
      </c>
    </row>
    <row r="48180">
      <c r="H48180" t="s">
        <v>5117</v>
      </c>
    </row>
    <row r="48181">
      <c r="H48181" t="s">
        <v>5117</v>
      </c>
    </row>
    <row r="48182">
      <c r="H48182" t="s">
        <v>5117</v>
      </c>
    </row>
    <row r="48183">
      <c r="H48183" t="s">
        <v>5117</v>
      </c>
    </row>
    <row r="48184">
      <c r="H48184" t="s">
        <v>5117</v>
      </c>
    </row>
    <row r="48185">
      <c r="H48185" t="s">
        <v>5117</v>
      </c>
    </row>
    <row r="48186">
      <c r="H48186" t="s">
        <v>5117</v>
      </c>
    </row>
    <row r="48187">
      <c r="H48187" t="s">
        <v>5117</v>
      </c>
    </row>
    <row r="48188">
      <c r="H48188" t="s">
        <v>5117</v>
      </c>
    </row>
    <row r="48189">
      <c r="H48189" t="s">
        <v>5117</v>
      </c>
    </row>
    <row r="48190">
      <c r="H48190" t="s">
        <v>5117</v>
      </c>
    </row>
    <row r="48191">
      <c r="H48191" t="s">
        <v>5117</v>
      </c>
    </row>
    <row r="48192">
      <c r="H48192" t="s">
        <v>5117</v>
      </c>
    </row>
    <row r="48193">
      <c r="H48193" t="s">
        <v>5117</v>
      </c>
    </row>
    <row r="48194">
      <c r="H48194" t="s">
        <v>5117</v>
      </c>
    </row>
    <row r="48195">
      <c r="H48195" t="s">
        <v>5117</v>
      </c>
    </row>
    <row r="48196">
      <c r="H48196" t="s">
        <v>5117</v>
      </c>
    </row>
    <row r="48197">
      <c r="H48197" t="s">
        <v>5117</v>
      </c>
    </row>
    <row r="48198">
      <c r="H48198" t="s">
        <v>5117</v>
      </c>
    </row>
    <row r="48199">
      <c r="H48199" t="s">
        <v>5117</v>
      </c>
    </row>
    <row r="48200">
      <c r="H48200" t="s">
        <v>5117</v>
      </c>
    </row>
    <row r="48201">
      <c r="H48201" t="s">
        <v>5117</v>
      </c>
    </row>
    <row r="48202">
      <c r="H48202" t="s">
        <v>5117</v>
      </c>
    </row>
    <row r="48203">
      <c r="H48203" t="s">
        <v>5117</v>
      </c>
    </row>
    <row r="48204">
      <c r="H48204" t="s">
        <v>5117</v>
      </c>
    </row>
    <row r="48205">
      <c r="H48205" t="s">
        <v>5117</v>
      </c>
    </row>
    <row r="48206">
      <c r="H48206" t="s">
        <v>5117</v>
      </c>
    </row>
    <row r="48207">
      <c r="H48207" t="s">
        <v>5117</v>
      </c>
    </row>
    <row r="48208">
      <c r="H48208" t="s">
        <v>5117</v>
      </c>
    </row>
    <row r="48209">
      <c r="H48209" t="s">
        <v>5117</v>
      </c>
    </row>
    <row r="48210">
      <c r="H48210" t="s">
        <v>5117</v>
      </c>
    </row>
    <row r="48211">
      <c r="H48211" t="s">
        <v>5117</v>
      </c>
    </row>
    <row r="48212">
      <c r="H48212" t="s">
        <v>5117</v>
      </c>
    </row>
    <row r="48213">
      <c r="H48213" t="s">
        <v>5117</v>
      </c>
    </row>
    <row r="48214">
      <c r="H48214" t="s">
        <v>5117</v>
      </c>
    </row>
    <row r="48215">
      <c r="H48215" t="s">
        <v>5117</v>
      </c>
    </row>
    <row r="48216">
      <c r="H48216" t="s">
        <v>5117</v>
      </c>
    </row>
    <row r="48217">
      <c r="H48217" t="s">
        <v>5117</v>
      </c>
    </row>
    <row r="48218">
      <c r="H48218" t="s">
        <v>5117</v>
      </c>
    </row>
    <row r="48219">
      <c r="H48219" t="s">
        <v>5117</v>
      </c>
    </row>
    <row r="48220">
      <c r="H48220" t="s">
        <v>5117</v>
      </c>
    </row>
    <row r="48221">
      <c r="H48221" t="s">
        <v>5117</v>
      </c>
    </row>
    <row r="48222">
      <c r="H48222" t="s">
        <v>5117</v>
      </c>
    </row>
    <row r="48223">
      <c r="H48223" t="s">
        <v>5117</v>
      </c>
    </row>
    <row r="48224">
      <c r="H48224" t="s">
        <v>5117</v>
      </c>
    </row>
    <row r="48225">
      <c r="H48225" t="s">
        <v>5117</v>
      </c>
    </row>
    <row r="48226">
      <c r="H48226" t="s">
        <v>5117</v>
      </c>
    </row>
    <row r="48227">
      <c r="H48227" t="s">
        <v>5117</v>
      </c>
    </row>
    <row r="48228">
      <c r="H48228" t="s">
        <v>5117</v>
      </c>
    </row>
    <row r="48229">
      <c r="H48229" t="s">
        <v>5117</v>
      </c>
    </row>
    <row r="48230">
      <c r="H48230" t="s">
        <v>5117</v>
      </c>
    </row>
    <row r="48231">
      <c r="H48231" t="s">
        <v>5117</v>
      </c>
    </row>
    <row r="48232">
      <c r="H48232" t="s">
        <v>5117</v>
      </c>
    </row>
    <row r="48233">
      <c r="H48233" t="s">
        <v>5117</v>
      </c>
    </row>
    <row r="48234">
      <c r="H48234" t="s">
        <v>5117</v>
      </c>
    </row>
    <row r="48235">
      <c r="H48235" t="s">
        <v>5117</v>
      </c>
    </row>
    <row r="48236">
      <c r="H48236" t="s">
        <v>5117</v>
      </c>
    </row>
    <row r="48237">
      <c r="H48237" t="s">
        <v>5117</v>
      </c>
    </row>
    <row r="48238">
      <c r="H48238" t="s">
        <v>5117</v>
      </c>
    </row>
    <row r="48239">
      <c r="H48239" t="s">
        <v>5117</v>
      </c>
    </row>
    <row r="48240">
      <c r="H48240" t="s">
        <v>5117</v>
      </c>
    </row>
    <row r="48241">
      <c r="H48241" t="s">
        <v>5117</v>
      </c>
    </row>
    <row r="48242">
      <c r="H48242" t="s">
        <v>5117</v>
      </c>
    </row>
    <row r="48243">
      <c r="H48243" t="s">
        <v>5117</v>
      </c>
    </row>
    <row r="48244">
      <c r="H48244" t="s">
        <v>5117</v>
      </c>
    </row>
    <row r="48245">
      <c r="H48245" t="s">
        <v>5117</v>
      </c>
    </row>
    <row r="48246">
      <c r="H48246" t="s">
        <v>5117</v>
      </c>
    </row>
    <row r="48247">
      <c r="H48247" t="s">
        <v>5117</v>
      </c>
    </row>
    <row r="48248">
      <c r="H48248" t="s">
        <v>5117</v>
      </c>
    </row>
    <row r="48249">
      <c r="H48249" t="s">
        <v>5117</v>
      </c>
    </row>
    <row r="48250">
      <c r="H48250" t="s">
        <v>5117</v>
      </c>
    </row>
    <row r="48251">
      <c r="H48251" t="s">
        <v>5117</v>
      </c>
    </row>
    <row r="48252">
      <c r="H48252" t="s">
        <v>5117</v>
      </c>
    </row>
    <row r="48253">
      <c r="H48253" t="s">
        <v>5117</v>
      </c>
    </row>
    <row r="48254">
      <c r="H48254" t="s">
        <v>5117</v>
      </c>
    </row>
    <row r="48255">
      <c r="H48255" t="s">
        <v>5117</v>
      </c>
    </row>
    <row r="48256">
      <c r="H48256" t="s">
        <v>5117</v>
      </c>
    </row>
    <row r="48257">
      <c r="H48257" t="s">
        <v>5117</v>
      </c>
    </row>
    <row r="48258">
      <c r="H48258" t="s">
        <v>5117</v>
      </c>
    </row>
    <row r="48259">
      <c r="H48259" t="s">
        <v>5117</v>
      </c>
    </row>
    <row r="48260">
      <c r="H48260" t="s">
        <v>5117</v>
      </c>
    </row>
    <row r="48261">
      <c r="H48261" t="s">
        <v>5117</v>
      </c>
    </row>
    <row r="48262">
      <c r="H48262" t="s">
        <v>5117</v>
      </c>
    </row>
    <row r="48263">
      <c r="H48263" t="s">
        <v>5117</v>
      </c>
    </row>
    <row r="48264">
      <c r="H48264" t="s">
        <v>5117</v>
      </c>
    </row>
    <row r="48265">
      <c r="H48265" t="s">
        <v>5117</v>
      </c>
    </row>
    <row r="48266">
      <c r="H48266" t="s">
        <v>5117</v>
      </c>
    </row>
    <row r="48267">
      <c r="H48267" t="s">
        <v>5117</v>
      </c>
    </row>
    <row r="48268">
      <c r="H48268" t="s">
        <v>5117</v>
      </c>
    </row>
    <row r="48269">
      <c r="H48269" t="s">
        <v>5117</v>
      </c>
    </row>
    <row r="48270">
      <c r="H48270" t="s">
        <v>5117</v>
      </c>
    </row>
    <row r="48271">
      <c r="H48271" t="s">
        <v>5117</v>
      </c>
    </row>
    <row r="48272">
      <c r="H48272" t="s">
        <v>5117</v>
      </c>
    </row>
    <row r="48273">
      <c r="H48273" t="s">
        <v>5117</v>
      </c>
    </row>
    <row r="48274">
      <c r="H48274" t="s">
        <v>5117</v>
      </c>
    </row>
    <row r="48275">
      <c r="H48275" t="s">
        <v>5117</v>
      </c>
    </row>
    <row r="48276">
      <c r="H48276" t="s">
        <v>5117</v>
      </c>
    </row>
    <row r="48277">
      <c r="H48277" t="s">
        <v>5117</v>
      </c>
    </row>
    <row r="48278">
      <c r="H48278" t="s">
        <v>5117</v>
      </c>
    </row>
    <row r="48279">
      <c r="H48279" t="s">
        <v>5117</v>
      </c>
    </row>
    <row r="48280">
      <c r="H48280" t="s">
        <v>5117</v>
      </c>
    </row>
    <row r="48281">
      <c r="H48281" t="s">
        <v>5117</v>
      </c>
    </row>
    <row r="48282">
      <c r="H48282" t="s">
        <v>5117</v>
      </c>
    </row>
    <row r="48283">
      <c r="H48283" t="s">
        <v>5117</v>
      </c>
    </row>
    <row r="48284">
      <c r="H48284" t="s">
        <v>5117</v>
      </c>
    </row>
    <row r="48285">
      <c r="H48285" t="s">
        <v>5117</v>
      </c>
    </row>
    <row r="48286">
      <c r="H48286" t="s">
        <v>5117</v>
      </c>
    </row>
    <row r="48287">
      <c r="H48287" t="s">
        <v>5117</v>
      </c>
    </row>
    <row r="48288">
      <c r="H48288" t="s">
        <v>5117</v>
      </c>
    </row>
    <row r="48289">
      <c r="H48289" t="s">
        <v>5117</v>
      </c>
    </row>
    <row r="48290">
      <c r="H48290" t="s">
        <v>5117</v>
      </c>
    </row>
    <row r="48291">
      <c r="H48291" t="s">
        <v>5117</v>
      </c>
    </row>
    <row r="48292">
      <c r="H48292" t="s">
        <v>5117</v>
      </c>
    </row>
    <row r="48293">
      <c r="H48293" t="s">
        <v>5117</v>
      </c>
    </row>
    <row r="48294">
      <c r="H48294" t="s">
        <v>5117</v>
      </c>
    </row>
    <row r="48295">
      <c r="H48295" t="s">
        <v>5117</v>
      </c>
    </row>
    <row r="48296">
      <c r="H48296" t="s">
        <v>5117</v>
      </c>
    </row>
    <row r="48297">
      <c r="H48297" t="s">
        <v>5117</v>
      </c>
    </row>
    <row r="48298">
      <c r="H48298" t="s">
        <v>5117</v>
      </c>
    </row>
    <row r="48299">
      <c r="H48299" t="s">
        <v>5117</v>
      </c>
    </row>
    <row r="48300">
      <c r="H48300" t="s">
        <v>5117</v>
      </c>
    </row>
    <row r="48301">
      <c r="H48301" t="s">
        <v>5117</v>
      </c>
    </row>
    <row r="48302">
      <c r="H48302" t="s">
        <v>5117</v>
      </c>
    </row>
    <row r="48303">
      <c r="H48303" t="s">
        <v>5117</v>
      </c>
    </row>
    <row r="48304">
      <c r="H48304" t="s">
        <v>5117</v>
      </c>
    </row>
    <row r="48305">
      <c r="H48305" t="s">
        <v>5117</v>
      </c>
    </row>
    <row r="48306">
      <c r="H48306" t="s">
        <v>5117</v>
      </c>
    </row>
    <row r="48307">
      <c r="H48307" t="s">
        <v>5117</v>
      </c>
    </row>
    <row r="48308">
      <c r="H48308" t="s">
        <v>5117</v>
      </c>
    </row>
    <row r="48309">
      <c r="H48309" t="s">
        <v>5117</v>
      </c>
    </row>
    <row r="48310">
      <c r="H48310" t="s">
        <v>5117</v>
      </c>
    </row>
    <row r="48311">
      <c r="H48311" t="s">
        <v>5117</v>
      </c>
    </row>
    <row r="48312">
      <c r="H48312" t="s">
        <v>5117</v>
      </c>
    </row>
    <row r="48313">
      <c r="H48313" t="s">
        <v>5117</v>
      </c>
    </row>
    <row r="48314">
      <c r="H48314" t="s">
        <v>5117</v>
      </c>
    </row>
    <row r="48315">
      <c r="H48315" t="s">
        <v>5117</v>
      </c>
    </row>
    <row r="48316">
      <c r="H48316" t="s">
        <v>5117</v>
      </c>
    </row>
    <row r="48317">
      <c r="H48317" t="s">
        <v>5117</v>
      </c>
    </row>
    <row r="48318">
      <c r="H48318" t="s">
        <v>5117</v>
      </c>
    </row>
    <row r="48319">
      <c r="H48319" t="s">
        <v>5117</v>
      </c>
    </row>
    <row r="48320">
      <c r="H48320" t="s">
        <v>5117</v>
      </c>
    </row>
    <row r="48321">
      <c r="H48321" t="s">
        <v>5117</v>
      </c>
    </row>
    <row r="48322">
      <c r="H48322" t="s">
        <v>5117</v>
      </c>
    </row>
    <row r="48323">
      <c r="H48323" t="s">
        <v>5117</v>
      </c>
    </row>
    <row r="48324">
      <c r="H48324" t="s">
        <v>5117</v>
      </c>
    </row>
    <row r="48325">
      <c r="H48325" t="s">
        <v>5117</v>
      </c>
    </row>
    <row r="48326">
      <c r="H48326" t="s">
        <v>5117</v>
      </c>
    </row>
    <row r="48327">
      <c r="H48327" t="s">
        <v>5117</v>
      </c>
    </row>
    <row r="48328">
      <c r="H48328" t="s">
        <v>5117</v>
      </c>
    </row>
    <row r="48329">
      <c r="H48329" t="s">
        <v>5117</v>
      </c>
    </row>
    <row r="48330">
      <c r="H48330" t="s">
        <v>5117</v>
      </c>
    </row>
    <row r="48331">
      <c r="H48331" t="s">
        <v>5117</v>
      </c>
    </row>
    <row r="48332">
      <c r="H48332" t="s">
        <v>5117</v>
      </c>
    </row>
    <row r="48333">
      <c r="H48333" t="s">
        <v>5117</v>
      </c>
    </row>
    <row r="48334">
      <c r="H48334" t="s">
        <v>5117</v>
      </c>
    </row>
    <row r="48335">
      <c r="H48335" t="s">
        <v>5117</v>
      </c>
    </row>
    <row r="48336">
      <c r="H48336" t="s">
        <v>5117</v>
      </c>
    </row>
    <row r="48337">
      <c r="H48337" t="s">
        <v>5117</v>
      </c>
    </row>
    <row r="48338">
      <c r="H48338" t="s">
        <v>5117</v>
      </c>
    </row>
    <row r="48339">
      <c r="H48339" t="s">
        <v>5117</v>
      </c>
    </row>
    <row r="48340">
      <c r="H48340" t="s">
        <v>5117</v>
      </c>
    </row>
    <row r="48341">
      <c r="H48341" t="s">
        <v>5117</v>
      </c>
    </row>
    <row r="48342">
      <c r="H48342" t="s">
        <v>5117</v>
      </c>
    </row>
    <row r="48343">
      <c r="H48343" t="s">
        <v>5117</v>
      </c>
    </row>
    <row r="48344">
      <c r="H48344" t="s">
        <v>5117</v>
      </c>
    </row>
    <row r="48345">
      <c r="H48345" t="s">
        <v>5117</v>
      </c>
    </row>
    <row r="48346">
      <c r="H48346" t="s">
        <v>5117</v>
      </c>
    </row>
    <row r="48347">
      <c r="H48347" t="s">
        <v>5117</v>
      </c>
    </row>
    <row r="48348">
      <c r="H48348" t="s">
        <v>5117</v>
      </c>
    </row>
    <row r="48349">
      <c r="H48349" t="s">
        <v>5117</v>
      </c>
    </row>
    <row r="48350">
      <c r="H48350" t="s">
        <v>5117</v>
      </c>
    </row>
    <row r="48351">
      <c r="H48351" t="s">
        <v>5117</v>
      </c>
    </row>
    <row r="48352">
      <c r="H48352" t="s">
        <v>5117</v>
      </c>
    </row>
    <row r="48353">
      <c r="H48353" t="s">
        <v>5117</v>
      </c>
    </row>
    <row r="48354">
      <c r="H48354" t="s">
        <v>5117</v>
      </c>
    </row>
    <row r="48355">
      <c r="H48355" t="s">
        <v>5117</v>
      </c>
    </row>
    <row r="48356">
      <c r="H48356" t="s">
        <v>5117</v>
      </c>
    </row>
    <row r="48357">
      <c r="H48357" t="s">
        <v>5117</v>
      </c>
    </row>
    <row r="48358">
      <c r="H48358" t="s">
        <v>5117</v>
      </c>
    </row>
    <row r="48359">
      <c r="H48359" t="s">
        <v>5117</v>
      </c>
    </row>
    <row r="48360">
      <c r="H48360" t="s">
        <v>5117</v>
      </c>
    </row>
    <row r="48361">
      <c r="H48361" t="s">
        <v>5117</v>
      </c>
    </row>
    <row r="48362">
      <c r="H48362" t="s">
        <v>5117</v>
      </c>
    </row>
    <row r="48363">
      <c r="H48363" t="s">
        <v>5117</v>
      </c>
    </row>
    <row r="48364">
      <c r="H48364" t="s">
        <v>5117</v>
      </c>
    </row>
    <row r="48365">
      <c r="H48365" t="s">
        <v>5117</v>
      </c>
    </row>
    <row r="48366">
      <c r="H48366" t="s">
        <v>5117</v>
      </c>
    </row>
    <row r="48367">
      <c r="H48367" t="s">
        <v>5117</v>
      </c>
    </row>
    <row r="48368">
      <c r="H48368" t="s">
        <v>5117</v>
      </c>
    </row>
    <row r="48369">
      <c r="H48369" t="s">
        <v>5117</v>
      </c>
    </row>
    <row r="48370">
      <c r="H48370" t="s">
        <v>5117</v>
      </c>
    </row>
    <row r="48371">
      <c r="H48371" t="s">
        <v>5117</v>
      </c>
    </row>
    <row r="48372">
      <c r="H48372" t="s">
        <v>5117</v>
      </c>
    </row>
    <row r="48373">
      <c r="H48373" t="s">
        <v>5117</v>
      </c>
    </row>
    <row r="48374">
      <c r="H48374" t="s">
        <v>5117</v>
      </c>
    </row>
    <row r="48375">
      <c r="H48375" t="s">
        <v>5117</v>
      </c>
    </row>
    <row r="48376">
      <c r="H48376" t="s">
        <v>5117</v>
      </c>
    </row>
    <row r="48377">
      <c r="H48377" t="s">
        <v>5117</v>
      </c>
    </row>
    <row r="48378">
      <c r="H48378" t="s">
        <v>5117</v>
      </c>
    </row>
    <row r="48379">
      <c r="H48379" t="s">
        <v>5117</v>
      </c>
    </row>
    <row r="48380">
      <c r="H48380" t="s">
        <v>5117</v>
      </c>
    </row>
    <row r="48381">
      <c r="H48381" t="s">
        <v>5117</v>
      </c>
    </row>
    <row r="48382">
      <c r="H48382" t="s">
        <v>5117</v>
      </c>
    </row>
    <row r="48383">
      <c r="H48383" t="s">
        <v>5117</v>
      </c>
    </row>
    <row r="48384">
      <c r="H48384" t="s">
        <v>5117</v>
      </c>
    </row>
    <row r="48385">
      <c r="H48385" t="s">
        <v>5117</v>
      </c>
    </row>
    <row r="48386">
      <c r="H48386" t="s">
        <v>5117</v>
      </c>
    </row>
    <row r="48387">
      <c r="H48387" t="s">
        <v>5117</v>
      </c>
    </row>
    <row r="48388">
      <c r="H48388" t="s">
        <v>5117</v>
      </c>
    </row>
    <row r="48389">
      <c r="H48389" t="s">
        <v>5117</v>
      </c>
    </row>
    <row r="48390">
      <c r="H48390" t="s">
        <v>5117</v>
      </c>
    </row>
    <row r="48391">
      <c r="H48391" t="s">
        <v>5117</v>
      </c>
    </row>
    <row r="48392">
      <c r="H48392" t="s">
        <v>5117</v>
      </c>
    </row>
    <row r="48393">
      <c r="H48393" t="s">
        <v>5117</v>
      </c>
    </row>
    <row r="48394">
      <c r="H48394" t="s">
        <v>5117</v>
      </c>
    </row>
    <row r="48395">
      <c r="H48395" t="s">
        <v>5117</v>
      </c>
    </row>
    <row r="48396">
      <c r="H48396" t="s">
        <v>5117</v>
      </c>
    </row>
    <row r="48397">
      <c r="H48397" t="s">
        <v>5117</v>
      </c>
    </row>
    <row r="48398">
      <c r="H48398" t="s">
        <v>5117</v>
      </c>
    </row>
    <row r="48399">
      <c r="H48399" t="s">
        <v>5117</v>
      </c>
    </row>
    <row r="48400">
      <c r="H48400" t="s">
        <v>5117</v>
      </c>
    </row>
    <row r="48401">
      <c r="H48401" t="s">
        <v>5117</v>
      </c>
    </row>
    <row r="48402">
      <c r="H48402" t="s">
        <v>5117</v>
      </c>
    </row>
    <row r="48403">
      <c r="H48403" t="s">
        <v>5117</v>
      </c>
    </row>
    <row r="48404">
      <c r="H48404" t="s">
        <v>5117</v>
      </c>
    </row>
    <row r="48405">
      <c r="H48405" t="s">
        <v>5117</v>
      </c>
    </row>
    <row r="48406">
      <c r="H48406" t="s">
        <v>5117</v>
      </c>
    </row>
    <row r="48407">
      <c r="H48407" t="s">
        <v>5117</v>
      </c>
    </row>
    <row r="48408">
      <c r="H48408" t="s">
        <v>5117</v>
      </c>
    </row>
    <row r="48409">
      <c r="H48409" t="s">
        <v>5117</v>
      </c>
    </row>
    <row r="48410">
      <c r="H48410" t="s">
        <v>5117</v>
      </c>
    </row>
    <row r="48411">
      <c r="H48411" t="s">
        <v>5117</v>
      </c>
    </row>
    <row r="48412">
      <c r="H48412" t="s">
        <v>5117</v>
      </c>
    </row>
    <row r="48413">
      <c r="H48413" t="s">
        <v>5117</v>
      </c>
    </row>
    <row r="48414">
      <c r="H48414" t="s">
        <v>5117</v>
      </c>
    </row>
    <row r="48415">
      <c r="H48415" t="s">
        <v>5117</v>
      </c>
    </row>
    <row r="48416">
      <c r="H48416" t="s">
        <v>5117</v>
      </c>
    </row>
    <row r="48417">
      <c r="H48417" t="s">
        <v>5117</v>
      </c>
    </row>
    <row r="48418">
      <c r="H48418" t="s">
        <v>5117</v>
      </c>
    </row>
    <row r="48419">
      <c r="H48419" t="s">
        <v>5117</v>
      </c>
    </row>
    <row r="48420">
      <c r="H48420" t="s">
        <v>5117</v>
      </c>
    </row>
    <row r="48421">
      <c r="H48421" t="s">
        <v>5117</v>
      </c>
    </row>
    <row r="48422">
      <c r="H48422" t="s">
        <v>5117</v>
      </c>
    </row>
    <row r="48423">
      <c r="H48423" t="s">
        <v>5117</v>
      </c>
    </row>
    <row r="48424">
      <c r="H48424" t="s">
        <v>5117</v>
      </c>
    </row>
    <row r="48425">
      <c r="H48425" t="s">
        <v>5117</v>
      </c>
    </row>
    <row r="48426">
      <c r="H48426" t="s">
        <v>5117</v>
      </c>
    </row>
    <row r="48427">
      <c r="H48427" t="s">
        <v>5117</v>
      </c>
    </row>
    <row r="48428">
      <c r="H48428" t="s">
        <v>5117</v>
      </c>
    </row>
    <row r="48429">
      <c r="H48429" t="s">
        <v>5117</v>
      </c>
    </row>
    <row r="48430">
      <c r="H48430" t="s">
        <v>5117</v>
      </c>
    </row>
    <row r="48431">
      <c r="H48431" t="s">
        <v>5117</v>
      </c>
    </row>
    <row r="48432">
      <c r="H48432" t="s">
        <v>5117</v>
      </c>
    </row>
    <row r="48433">
      <c r="H48433" t="s">
        <v>5117</v>
      </c>
    </row>
    <row r="48434">
      <c r="H48434" t="s">
        <v>5117</v>
      </c>
    </row>
    <row r="48435">
      <c r="H48435" t="s">
        <v>5117</v>
      </c>
    </row>
    <row r="48436">
      <c r="H48436" t="s">
        <v>5117</v>
      </c>
    </row>
    <row r="48437">
      <c r="H48437" t="s">
        <v>5117</v>
      </c>
    </row>
    <row r="48438">
      <c r="H48438" t="s">
        <v>5117</v>
      </c>
    </row>
    <row r="48439">
      <c r="H48439" t="s">
        <v>5117</v>
      </c>
    </row>
    <row r="48440">
      <c r="H48440" t="s">
        <v>5117</v>
      </c>
    </row>
    <row r="48441">
      <c r="H48441" t="s">
        <v>5117</v>
      </c>
    </row>
    <row r="48442">
      <c r="H48442" t="s">
        <v>5117</v>
      </c>
    </row>
    <row r="48443">
      <c r="H48443" t="s">
        <v>5117</v>
      </c>
    </row>
    <row r="48444">
      <c r="H48444" t="s">
        <v>5117</v>
      </c>
    </row>
    <row r="48445">
      <c r="H48445" t="s">
        <v>5117</v>
      </c>
    </row>
    <row r="48446">
      <c r="H48446" t="s">
        <v>5117</v>
      </c>
    </row>
    <row r="48447">
      <c r="H48447" t="s">
        <v>5117</v>
      </c>
    </row>
    <row r="48448">
      <c r="H48448" t="s">
        <v>5117</v>
      </c>
    </row>
    <row r="48449">
      <c r="H48449" t="s">
        <v>5117</v>
      </c>
    </row>
    <row r="48450">
      <c r="H48450" t="s">
        <v>5117</v>
      </c>
    </row>
    <row r="48451">
      <c r="H48451" t="s">
        <v>5117</v>
      </c>
    </row>
    <row r="48452">
      <c r="H48452" t="s">
        <v>5117</v>
      </c>
    </row>
    <row r="48453">
      <c r="H48453" t="s">
        <v>5117</v>
      </c>
    </row>
    <row r="48454">
      <c r="H48454" t="s">
        <v>5117</v>
      </c>
    </row>
    <row r="48455">
      <c r="H48455" t="s">
        <v>5117</v>
      </c>
    </row>
    <row r="48456">
      <c r="H48456" t="s">
        <v>5117</v>
      </c>
    </row>
    <row r="48457">
      <c r="H48457" t="s">
        <v>5117</v>
      </c>
    </row>
    <row r="48458">
      <c r="H48458" t="s">
        <v>5117</v>
      </c>
    </row>
    <row r="48459">
      <c r="H48459" t="s">
        <v>5117</v>
      </c>
    </row>
    <row r="48460">
      <c r="H48460" t="s">
        <v>5117</v>
      </c>
    </row>
    <row r="48461">
      <c r="H48461" t="s">
        <v>5117</v>
      </c>
    </row>
    <row r="48462">
      <c r="H48462" t="s">
        <v>5117</v>
      </c>
    </row>
    <row r="48463">
      <c r="H48463" t="s">
        <v>5117</v>
      </c>
    </row>
    <row r="48464">
      <c r="H48464" t="s">
        <v>5117</v>
      </c>
    </row>
    <row r="48465">
      <c r="H48465" t="s">
        <v>5117</v>
      </c>
    </row>
    <row r="48466">
      <c r="H48466" t="s">
        <v>5117</v>
      </c>
    </row>
    <row r="48467">
      <c r="H48467" t="s">
        <v>5117</v>
      </c>
    </row>
    <row r="48468">
      <c r="H48468" t="s">
        <v>5117</v>
      </c>
    </row>
    <row r="48469">
      <c r="H48469" t="s">
        <v>5117</v>
      </c>
    </row>
    <row r="48470">
      <c r="H48470" t="s">
        <v>5117</v>
      </c>
    </row>
    <row r="48471">
      <c r="H48471" t="s">
        <v>5117</v>
      </c>
    </row>
    <row r="48472">
      <c r="H48472" t="s">
        <v>5117</v>
      </c>
    </row>
    <row r="48473">
      <c r="H48473" t="s">
        <v>5117</v>
      </c>
    </row>
    <row r="48474">
      <c r="H48474" t="s">
        <v>5117</v>
      </c>
    </row>
    <row r="48475">
      <c r="H48475" t="s">
        <v>5117</v>
      </c>
    </row>
    <row r="48476">
      <c r="H48476" t="s">
        <v>5117</v>
      </c>
    </row>
    <row r="48477">
      <c r="H48477" t="s">
        <v>5117</v>
      </c>
    </row>
    <row r="48478">
      <c r="H48478" t="s">
        <v>5117</v>
      </c>
    </row>
    <row r="48479">
      <c r="H48479" t="s">
        <v>5117</v>
      </c>
    </row>
    <row r="48480">
      <c r="H48480" t="s">
        <v>5117</v>
      </c>
    </row>
    <row r="48481">
      <c r="H48481" t="s">
        <v>5117</v>
      </c>
    </row>
    <row r="48482">
      <c r="H48482" t="s">
        <v>5117</v>
      </c>
    </row>
    <row r="48483">
      <c r="H48483" t="s">
        <v>5117</v>
      </c>
    </row>
    <row r="48484">
      <c r="H48484" t="s">
        <v>5117</v>
      </c>
    </row>
    <row r="48485">
      <c r="H48485" t="s">
        <v>5117</v>
      </c>
    </row>
    <row r="48486">
      <c r="H48486" t="s">
        <v>5117</v>
      </c>
    </row>
    <row r="48487">
      <c r="H48487" t="s">
        <v>5117</v>
      </c>
    </row>
    <row r="48488">
      <c r="H48488" t="s">
        <v>5117</v>
      </c>
    </row>
    <row r="48489">
      <c r="H48489" t="s">
        <v>5117</v>
      </c>
    </row>
    <row r="48490">
      <c r="H48490" t="s">
        <v>5117</v>
      </c>
    </row>
    <row r="48491">
      <c r="H48491" t="s">
        <v>5117</v>
      </c>
    </row>
    <row r="48492">
      <c r="H48492" t="s">
        <v>5117</v>
      </c>
    </row>
    <row r="48493">
      <c r="H48493" t="s">
        <v>5117</v>
      </c>
    </row>
    <row r="48494">
      <c r="H48494" t="s">
        <v>5117</v>
      </c>
    </row>
    <row r="48495">
      <c r="H48495" t="s">
        <v>5117</v>
      </c>
    </row>
    <row r="48496">
      <c r="H48496" t="s">
        <v>5117</v>
      </c>
    </row>
    <row r="48497">
      <c r="H48497" t="s">
        <v>5117</v>
      </c>
    </row>
    <row r="48498">
      <c r="H48498" t="s">
        <v>5117</v>
      </c>
    </row>
    <row r="48499">
      <c r="H48499" t="s">
        <v>5117</v>
      </c>
    </row>
    <row r="48500">
      <c r="H48500" t="s">
        <v>5117</v>
      </c>
    </row>
    <row r="48501">
      <c r="H48501" t="s">
        <v>5117</v>
      </c>
    </row>
    <row r="48502">
      <c r="H48502" t="s">
        <v>5117</v>
      </c>
    </row>
    <row r="48503">
      <c r="H48503" t="s">
        <v>5117</v>
      </c>
    </row>
    <row r="48504">
      <c r="H48504" t="s">
        <v>5117</v>
      </c>
    </row>
    <row r="48505">
      <c r="H48505" t="s">
        <v>5117</v>
      </c>
    </row>
    <row r="48506">
      <c r="H48506" t="s">
        <v>5117</v>
      </c>
    </row>
    <row r="48507">
      <c r="H48507" t="s">
        <v>5117</v>
      </c>
    </row>
    <row r="48508">
      <c r="H48508" t="s">
        <v>5117</v>
      </c>
    </row>
    <row r="48509">
      <c r="H48509" t="s">
        <v>5117</v>
      </c>
    </row>
    <row r="48510">
      <c r="H48510" t="s">
        <v>5117</v>
      </c>
    </row>
    <row r="48511">
      <c r="H48511" t="s">
        <v>5117</v>
      </c>
    </row>
    <row r="48512">
      <c r="H48512" t="s">
        <v>5117</v>
      </c>
    </row>
    <row r="48513">
      <c r="H48513" t="s">
        <v>5117</v>
      </c>
    </row>
    <row r="48514">
      <c r="H48514" t="s">
        <v>5117</v>
      </c>
    </row>
    <row r="48515">
      <c r="H48515" t="s">
        <v>5117</v>
      </c>
    </row>
    <row r="48516">
      <c r="H48516" t="s">
        <v>5117</v>
      </c>
    </row>
    <row r="48517">
      <c r="H48517" t="s">
        <v>5117</v>
      </c>
    </row>
    <row r="48518">
      <c r="H48518" t="s">
        <v>5117</v>
      </c>
    </row>
    <row r="48519">
      <c r="H48519" t="s">
        <v>5117</v>
      </c>
    </row>
    <row r="48520">
      <c r="H48520" t="s">
        <v>5117</v>
      </c>
    </row>
    <row r="48521">
      <c r="H48521" t="s">
        <v>5117</v>
      </c>
    </row>
    <row r="48522">
      <c r="H48522" t="s">
        <v>5117</v>
      </c>
    </row>
    <row r="48523">
      <c r="H48523" t="s">
        <v>5117</v>
      </c>
    </row>
    <row r="48524">
      <c r="H48524" t="s">
        <v>5117</v>
      </c>
    </row>
    <row r="48525">
      <c r="H48525" t="s">
        <v>5117</v>
      </c>
    </row>
    <row r="48526">
      <c r="H48526" t="s">
        <v>5117</v>
      </c>
    </row>
    <row r="48527">
      <c r="H48527" t="s">
        <v>5117</v>
      </c>
    </row>
    <row r="48528">
      <c r="H48528" t="s">
        <v>5117</v>
      </c>
    </row>
    <row r="48529">
      <c r="H48529" t="s">
        <v>5117</v>
      </c>
    </row>
    <row r="48530">
      <c r="H48530" t="s">
        <v>5117</v>
      </c>
    </row>
    <row r="48531">
      <c r="H48531" t="s">
        <v>5117</v>
      </c>
    </row>
    <row r="48532">
      <c r="H48532" t="s">
        <v>5117</v>
      </c>
    </row>
    <row r="48533">
      <c r="H48533" t="s">
        <v>5117</v>
      </c>
    </row>
    <row r="48534">
      <c r="H48534" t="s">
        <v>5117</v>
      </c>
    </row>
    <row r="48535">
      <c r="H48535" t="s">
        <v>5117</v>
      </c>
    </row>
    <row r="48536">
      <c r="H48536" t="s">
        <v>5117</v>
      </c>
    </row>
    <row r="48537">
      <c r="H48537" t="s">
        <v>5117</v>
      </c>
    </row>
    <row r="48538">
      <c r="H48538" t="s">
        <v>5117</v>
      </c>
    </row>
    <row r="48539">
      <c r="H48539" t="s">
        <v>5117</v>
      </c>
    </row>
    <row r="48540">
      <c r="H48540" t="s">
        <v>5117</v>
      </c>
    </row>
    <row r="48541">
      <c r="H48541" t="s">
        <v>5117</v>
      </c>
    </row>
    <row r="48542">
      <c r="H48542" t="s">
        <v>5117</v>
      </c>
    </row>
    <row r="48543">
      <c r="H48543" t="s">
        <v>5117</v>
      </c>
    </row>
    <row r="48544">
      <c r="H48544" t="s">
        <v>5117</v>
      </c>
    </row>
    <row r="48545">
      <c r="H48545" t="s">
        <v>5117</v>
      </c>
    </row>
    <row r="48546">
      <c r="H48546" t="s">
        <v>5117</v>
      </c>
    </row>
    <row r="48547">
      <c r="H48547" t="s">
        <v>5117</v>
      </c>
    </row>
    <row r="48548">
      <c r="H48548" t="s">
        <v>5117</v>
      </c>
    </row>
    <row r="48549">
      <c r="H48549" t="s">
        <v>5117</v>
      </c>
    </row>
    <row r="48550">
      <c r="H48550" t="s">
        <v>5117</v>
      </c>
    </row>
    <row r="48551">
      <c r="H48551" t="s">
        <v>5117</v>
      </c>
    </row>
    <row r="48552">
      <c r="H48552" t="s">
        <v>5117</v>
      </c>
    </row>
    <row r="48553">
      <c r="H48553" t="s">
        <v>5117</v>
      </c>
    </row>
    <row r="48554">
      <c r="H48554" t="s">
        <v>5117</v>
      </c>
    </row>
    <row r="48555">
      <c r="H48555" t="s">
        <v>5117</v>
      </c>
    </row>
    <row r="48556">
      <c r="H48556" t="s">
        <v>5117</v>
      </c>
    </row>
    <row r="48557">
      <c r="H48557" t="s">
        <v>5117</v>
      </c>
    </row>
    <row r="48558">
      <c r="H48558" t="s">
        <v>5117</v>
      </c>
    </row>
    <row r="48559">
      <c r="H48559" t="s">
        <v>5117</v>
      </c>
    </row>
    <row r="48560">
      <c r="H48560" t="s">
        <v>5117</v>
      </c>
    </row>
    <row r="48561">
      <c r="H48561" t="s">
        <v>5117</v>
      </c>
    </row>
    <row r="48562">
      <c r="H48562" t="s">
        <v>5117</v>
      </c>
    </row>
    <row r="48563">
      <c r="H48563" t="s">
        <v>5117</v>
      </c>
    </row>
    <row r="48564">
      <c r="H48564" t="s">
        <v>5117</v>
      </c>
    </row>
    <row r="48565">
      <c r="H48565" t="s">
        <v>5117</v>
      </c>
    </row>
    <row r="48566">
      <c r="H48566" t="s">
        <v>5117</v>
      </c>
    </row>
    <row r="48567">
      <c r="H48567" t="s">
        <v>5117</v>
      </c>
    </row>
    <row r="48568">
      <c r="H48568" t="s">
        <v>5117</v>
      </c>
    </row>
    <row r="48569">
      <c r="H48569" t="s">
        <v>5117</v>
      </c>
    </row>
    <row r="48570">
      <c r="H48570" t="s">
        <v>5117</v>
      </c>
    </row>
    <row r="48571">
      <c r="H48571" t="s">
        <v>5117</v>
      </c>
    </row>
    <row r="48572">
      <c r="H48572" t="s">
        <v>5117</v>
      </c>
    </row>
    <row r="48573">
      <c r="H48573" t="s">
        <v>5117</v>
      </c>
    </row>
    <row r="48574">
      <c r="H48574" t="s">
        <v>5117</v>
      </c>
    </row>
    <row r="48575">
      <c r="H48575" t="s">
        <v>5117</v>
      </c>
    </row>
    <row r="48576">
      <c r="H48576" t="s">
        <v>5117</v>
      </c>
    </row>
    <row r="48577">
      <c r="H48577" t="s">
        <v>5117</v>
      </c>
    </row>
    <row r="48578">
      <c r="H48578" t="s">
        <v>5117</v>
      </c>
    </row>
    <row r="48579">
      <c r="H48579" t="s">
        <v>5117</v>
      </c>
    </row>
    <row r="48580">
      <c r="H48580" t="s">
        <v>5117</v>
      </c>
    </row>
    <row r="48581">
      <c r="H48581" t="s">
        <v>5117</v>
      </c>
    </row>
    <row r="48582">
      <c r="H48582" t="s">
        <v>5117</v>
      </c>
    </row>
    <row r="48583">
      <c r="H48583" t="s">
        <v>5117</v>
      </c>
    </row>
    <row r="48584">
      <c r="H48584" t="s">
        <v>5117</v>
      </c>
    </row>
    <row r="48585">
      <c r="H48585" t="s">
        <v>5117</v>
      </c>
    </row>
    <row r="48586">
      <c r="H48586" t="s">
        <v>5117</v>
      </c>
    </row>
    <row r="48587">
      <c r="H48587" t="s">
        <v>5117</v>
      </c>
    </row>
    <row r="48588">
      <c r="H48588" t="s">
        <v>5117</v>
      </c>
    </row>
    <row r="48589">
      <c r="H48589" t="s">
        <v>5117</v>
      </c>
    </row>
    <row r="48590">
      <c r="H48590" t="s">
        <v>5117</v>
      </c>
    </row>
    <row r="48591">
      <c r="H48591" t="s">
        <v>5117</v>
      </c>
    </row>
    <row r="48592">
      <c r="H48592" t="s">
        <v>5117</v>
      </c>
    </row>
    <row r="48593">
      <c r="H48593" t="s">
        <v>5117</v>
      </c>
    </row>
    <row r="48594">
      <c r="H48594" t="s">
        <v>5117</v>
      </c>
    </row>
    <row r="48595">
      <c r="H48595" t="s">
        <v>5117</v>
      </c>
    </row>
    <row r="48596">
      <c r="H48596" t="s">
        <v>5117</v>
      </c>
    </row>
    <row r="48597">
      <c r="H48597" t="s">
        <v>5117</v>
      </c>
    </row>
    <row r="48598">
      <c r="H48598" t="s">
        <v>5117</v>
      </c>
    </row>
    <row r="48599">
      <c r="H48599" t="s">
        <v>5117</v>
      </c>
    </row>
    <row r="48600">
      <c r="H48600" t="s">
        <v>5117</v>
      </c>
    </row>
    <row r="48601">
      <c r="H48601" t="s">
        <v>5117</v>
      </c>
    </row>
    <row r="48602">
      <c r="H48602" t="s">
        <v>5117</v>
      </c>
    </row>
    <row r="48603">
      <c r="H48603" t="s">
        <v>5117</v>
      </c>
    </row>
    <row r="48604">
      <c r="H48604" t="s">
        <v>5117</v>
      </c>
    </row>
    <row r="48605">
      <c r="H48605" t="s">
        <v>5117</v>
      </c>
    </row>
    <row r="48606">
      <c r="H48606" t="s">
        <v>5117</v>
      </c>
    </row>
    <row r="48607">
      <c r="H48607" t="s">
        <v>5117</v>
      </c>
    </row>
    <row r="48608">
      <c r="H48608" t="s">
        <v>5117</v>
      </c>
    </row>
    <row r="48609">
      <c r="H48609" t="s">
        <v>5117</v>
      </c>
    </row>
    <row r="48610">
      <c r="H48610" t="s">
        <v>5117</v>
      </c>
    </row>
    <row r="48611">
      <c r="H48611" t="s">
        <v>5117</v>
      </c>
    </row>
    <row r="48612">
      <c r="H48612" t="s">
        <v>5117</v>
      </c>
    </row>
    <row r="48613">
      <c r="H48613" t="s">
        <v>5117</v>
      </c>
    </row>
    <row r="48614">
      <c r="H48614" t="s">
        <v>5117</v>
      </c>
    </row>
    <row r="48615">
      <c r="H48615" t="s">
        <v>5117</v>
      </c>
    </row>
    <row r="48616">
      <c r="H48616" t="s">
        <v>5117</v>
      </c>
    </row>
    <row r="48617">
      <c r="H48617" t="s">
        <v>5117</v>
      </c>
    </row>
    <row r="48618">
      <c r="H48618" t="s">
        <v>5117</v>
      </c>
    </row>
    <row r="48619">
      <c r="H48619" t="s">
        <v>5117</v>
      </c>
    </row>
    <row r="48620">
      <c r="H48620" t="s">
        <v>5117</v>
      </c>
    </row>
    <row r="48621">
      <c r="H48621" t="s">
        <v>5117</v>
      </c>
    </row>
    <row r="48622">
      <c r="H48622" t="s">
        <v>5117</v>
      </c>
    </row>
    <row r="48623">
      <c r="H48623" t="s">
        <v>5117</v>
      </c>
    </row>
    <row r="48624">
      <c r="H48624" t="s">
        <v>5117</v>
      </c>
    </row>
    <row r="48625">
      <c r="H48625" t="s">
        <v>5117</v>
      </c>
    </row>
    <row r="48626">
      <c r="H48626" t="s">
        <v>5117</v>
      </c>
    </row>
    <row r="48627">
      <c r="H48627" t="s">
        <v>5117</v>
      </c>
    </row>
    <row r="48628">
      <c r="H48628" t="s">
        <v>5117</v>
      </c>
    </row>
    <row r="48629">
      <c r="H48629" t="s">
        <v>5117</v>
      </c>
    </row>
    <row r="48630">
      <c r="H48630" t="s">
        <v>5117</v>
      </c>
    </row>
    <row r="48631">
      <c r="H48631" t="s">
        <v>5117</v>
      </c>
    </row>
    <row r="48632">
      <c r="H48632" t="s">
        <v>5117</v>
      </c>
    </row>
    <row r="48633">
      <c r="H48633" t="s">
        <v>5117</v>
      </c>
    </row>
    <row r="48634">
      <c r="H48634" t="s">
        <v>5117</v>
      </c>
    </row>
    <row r="48635">
      <c r="H48635" t="s">
        <v>5117</v>
      </c>
    </row>
    <row r="48636">
      <c r="H48636" t="s">
        <v>5117</v>
      </c>
    </row>
    <row r="48637">
      <c r="H48637" t="s">
        <v>5117</v>
      </c>
    </row>
    <row r="48638">
      <c r="H48638" t="s">
        <v>5117</v>
      </c>
    </row>
    <row r="48639">
      <c r="H48639" t="s">
        <v>5117</v>
      </c>
    </row>
    <row r="48640">
      <c r="H48640" t="s">
        <v>5117</v>
      </c>
    </row>
    <row r="48641">
      <c r="H48641" t="s">
        <v>5117</v>
      </c>
    </row>
    <row r="48642">
      <c r="H48642" t="s">
        <v>5117</v>
      </c>
    </row>
    <row r="48643">
      <c r="H48643" t="s">
        <v>5117</v>
      </c>
    </row>
    <row r="48644">
      <c r="H48644" t="s">
        <v>5117</v>
      </c>
    </row>
    <row r="48645">
      <c r="H48645" t="s">
        <v>5117</v>
      </c>
    </row>
    <row r="48646">
      <c r="H48646" t="s">
        <v>5117</v>
      </c>
    </row>
    <row r="48647">
      <c r="H48647" t="s">
        <v>5117</v>
      </c>
    </row>
    <row r="48648">
      <c r="H48648" t="s">
        <v>5117</v>
      </c>
    </row>
    <row r="48649">
      <c r="H48649" t="s">
        <v>5117</v>
      </c>
    </row>
    <row r="48650">
      <c r="H48650" t="s">
        <v>5117</v>
      </c>
    </row>
    <row r="48651">
      <c r="H48651" t="s">
        <v>5117</v>
      </c>
    </row>
    <row r="48652">
      <c r="H48652" t="s">
        <v>5117</v>
      </c>
    </row>
    <row r="48653">
      <c r="H48653" t="s">
        <v>5117</v>
      </c>
    </row>
    <row r="48654">
      <c r="H48654" t="s">
        <v>5117</v>
      </c>
    </row>
    <row r="48655">
      <c r="H48655" t="s">
        <v>5117</v>
      </c>
    </row>
    <row r="48656">
      <c r="H48656" t="s">
        <v>5117</v>
      </c>
    </row>
    <row r="48657">
      <c r="H48657" t="s">
        <v>5117</v>
      </c>
    </row>
    <row r="48658">
      <c r="H48658" t="s">
        <v>5117</v>
      </c>
    </row>
    <row r="48659">
      <c r="H48659" t="s">
        <v>5117</v>
      </c>
    </row>
    <row r="48660">
      <c r="H48660" t="s">
        <v>5117</v>
      </c>
    </row>
    <row r="48661">
      <c r="H48661" t="s">
        <v>5117</v>
      </c>
    </row>
    <row r="48662">
      <c r="H48662" t="s">
        <v>5117</v>
      </c>
    </row>
    <row r="48663">
      <c r="H48663" t="s">
        <v>5117</v>
      </c>
    </row>
    <row r="48664">
      <c r="H48664" t="s">
        <v>5117</v>
      </c>
    </row>
    <row r="48665">
      <c r="H48665" t="s">
        <v>5117</v>
      </c>
    </row>
    <row r="48666">
      <c r="H48666" t="s">
        <v>5117</v>
      </c>
    </row>
    <row r="48667">
      <c r="H48667" t="s">
        <v>5117</v>
      </c>
    </row>
    <row r="48668">
      <c r="H48668" t="s">
        <v>5117</v>
      </c>
    </row>
    <row r="48669">
      <c r="H48669" t="s">
        <v>5117</v>
      </c>
    </row>
    <row r="48670">
      <c r="H48670" t="s">
        <v>5117</v>
      </c>
    </row>
    <row r="48671">
      <c r="H48671" t="s">
        <v>5117</v>
      </c>
    </row>
    <row r="48672">
      <c r="H48672" t="s">
        <v>5117</v>
      </c>
    </row>
    <row r="48673">
      <c r="H48673" t="s">
        <v>5117</v>
      </c>
    </row>
    <row r="48674">
      <c r="H48674" t="s">
        <v>5117</v>
      </c>
    </row>
    <row r="48675">
      <c r="H48675" t="s">
        <v>5117</v>
      </c>
    </row>
    <row r="48676">
      <c r="H48676" t="s">
        <v>5117</v>
      </c>
    </row>
    <row r="48677">
      <c r="H48677" t="s">
        <v>5117</v>
      </c>
    </row>
    <row r="48678">
      <c r="H48678" t="s">
        <v>5117</v>
      </c>
    </row>
    <row r="48679">
      <c r="H48679" t="s">
        <v>5117</v>
      </c>
    </row>
    <row r="48680">
      <c r="H48680" t="s">
        <v>5117</v>
      </c>
    </row>
    <row r="48681">
      <c r="H48681" t="s">
        <v>5117</v>
      </c>
    </row>
    <row r="48682">
      <c r="H48682" t="s">
        <v>5117</v>
      </c>
    </row>
    <row r="48683">
      <c r="H48683" t="s">
        <v>5117</v>
      </c>
    </row>
    <row r="48684">
      <c r="H48684" t="s">
        <v>5117</v>
      </c>
    </row>
    <row r="48685">
      <c r="H48685" t="s">
        <v>5117</v>
      </c>
    </row>
    <row r="48686">
      <c r="H48686" t="s">
        <v>5117</v>
      </c>
    </row>
    <row r="48687">
      <c r="H48687" t="s">
        <v>5117</v>
      </c>
    </row>
    <row r="48688">
      <c r="H48688" t="s">
        <v>5117</v>
      </c>
    </row>
    <row r="48689">
      <c r="H48689" t="s">
        <v>5117</v>
      </c>
    </row>
    <row r="48690">
      <c r="H48690" t="s">
        <v>5117</v>
      </c>
    </row>
    <row r="48691">
      <c r="H48691" t="s">
        <v>5117</v>
      </c>
    </row>
    <row r="48692">
      <c r="H48692" t="s">
        <v>5117</v>
      </c>
    </row>
    <row r="48693">
      <c r="H48693" t="s">
        <v>5117</v>
      </c>
    </row>
    <row r="48694">
      <c r="H48694" t="s">
        <v>5117</v>
      </c>
    </row>
    <row r="48695">
      <c r="H48695" t="s">
        <v>5117</v>
      </c>
    </row>
    <row r="48696">
      <c r="H48696" t="s">
        <v>5117</v>
      </c>
    </row>
    <row r="48697">
      <c r="H48697" t="s">
        <v>5117</v>
      </c>
    </row>
    <row r="48698">
      <c r="H48698" t="s">
        <v>5117</v>
      </c>
    </row>
    <row r="48699">
      <c r="H48699" t="s">
        <v>5117</v>
      </c>
    </row>
    <row r="48700">
      <c r="H48700" t="s">
        <v>5117</v>
      </c>
    </row>
    <row r="48701">
      <c r="H48701" t="s">
        <v>5117</v>
      </c>
    </row>
    <row r="48702">
      <c r="H48702" t="s">
        <v>5117</v>
      </c>
    </row>
    <row r="48703">
      <c r="H48703" t="s">
        <v>5117</v>
      </c>
    </row>
    <row r="48704">
      <c r="H48704" t="s">
        <v>5117</v>
      </c>
    </row>
    <row r="48705">
      <c r="H48705" t="s">
        <v>5117</v>
      </c>
    </row>
    <row r="48706">
      <c r="H48706" t="s">
        <v>5117</v>
      </c>
    </row>
    <row r="48707">
      <c r="H48707" t="s">
        <v>5117</v>
      </c>
    </row>
    <row r="48708">
      <c r="H48708" t="s">
        <v>5117</v>
      </c>
    </row>
    <row r="48709">
      <c r="H48709" t="s">
        <v>5117</v>
      </c>
    </row>
    <row r="48710">
      <c r="H48710" t="s">
        <v>5117</v>
      </c>
    </row>
    <row r="48711">
      <c r="H48711" t="s">
        <v>5117</v>
      </c>
    </row>
    <row r="48712">
      <c r="H48712" t="s">
        <v>5117</v>
      </c>
    </row>
    <row r="48713">
      <c r="H48713" t="s">
        <v>5117</v>
      </c>
    </row>
    <row r="48714">
      <c r="H48714" t="s">
        <v>5117</v>
      </c>
    </row>
    <row r="48715">
      <c r="H48715" t="s">
        <v>5117</v>
      </c>
    </row>
    <row r="48716">
      <c r="H48716" t="s">
        <v>5117</v>
      </c>
    </row>
    <row r="48717">
      <c r="H48717" t="s">
        <v>5117</v>
      </c>
    </row>
    <row r="48718">
      <c r="H48718" t="s">
        <v>5117</v>
      </c>
    </row>
    <row r="48719">
      <c r="H48719" t="s">
        <v>5117</v>
      </c>
    </row>
    <row r="48720">
      <c r="H48720" t="s">
        <v>5117</v>
      </c>
    </row>
    <row r="48721">
      <c r="H48721" t="s">
        <v>5117</v>
      </c>
    </row>
    <row r="48722">
      <c r="H48722" t="s">
        <v>5117</v>
      </c>
    </row>
    <row r="48723">
      <c r="H48723" t="s">
        <v>5117</v>
      </c>
    </row>
    <row r="48724">
      <c r="H48724" t="s">
        <v>5117</v>
      </c>
    </row>
    <row r="48725">
      <c r="H48725" t="s">
        <v>5117</v>
      </c>
    </row>
    <row r="48726">
      <c r="H48726" t="s">
        <v>5117</v>
      </c>
    </row>
    <row r="48727">
      <c r="H48727" t="s">
        <v>5117</v>
      </c>
    </row>
    <row r="48728">
      <c r="H48728" t="s">
        <v>5117</v>
      </c>
    </row>
    <row r="48729">
      <c r="H48729" t="s">
        <v>5117</v>
      </c>
    </row>
    <row r="48730">
      <c r="H48730" t="s">
        <v>5117</v>
      </c>
    </row>
    <row r="48731">
      <c r="H48731" t="s">
        <v>5117</v>
      </c>
    </row>
    <row r="48732">
      <c r="H48732" t="s">
        <v>5117</v>
      </c>
    </row>
    <row r="48733">
      <c r="H48733" t="s">
        <v>5117</v>
      </c>
    </row>
    <row r="48734">
      <c r="H48734" t="s">
        <v>5117</v>
      </c>
    </row>
    <row r="48735">
      <c r="H48735" t="s">
        <v>5117</v>
      </c>
    </row>
    <row r="48736">
      <c r="H48736" t="s">
        <v>5117</v>
      </c>
    </row>
    <row r="48737">
      <c r="H48737" t="s">
        <v>5117</v>
      </c>
    </row>
    <row r="48738">
      <c r="H48738" t="s">
        <v>5117</v>
      </c>
    </row>
    <row r="48739">
      <c r="H48739" t="s">
        <v>5117</v>
      </c>
    </row>
    <row r="48740">
      <c r="H48740" t="s">
        <v>5117</v>
      </c>
    </row>
    <row r="48741">
      <c r="H48741" t="s">
        <v>5117</v>
      </c>
    </row>
    <row r="48742">
      <c r="H48742" t="s">
        <v>5117</v>
      </c>
    </row>
    <row r="48743">
      <c r="H48743" t="s">
        <v>5117</v>
      </c>
    </row>
    <row r="48744">
      <c r="H48744" t="s">
        <v>5117</v>
      </c>
    </row>
    <row r="48745">
      <c r="H48745" t="s">
        <v>5117</v>
      </c>
    </row>
    <row r="48746">
      <c r="H48746" t="s">
        <v>5117</v>
      </c>
    </row>
    <row r="48747">
      <c r="H48747" t="s">
        <v>5117</v>
      </c>
    </row>
    <row r="48748">
      <c r="H48748" t="s">
        <v>5117</v>
      </c>
    </row>
    <row r="48749">
      <c r="H48749" t="s">
        <v>5117</v>
      </c>
    </row>
    <row r="48750">
      <c r="H48750" t="s">
        <v>5117</v>
      </c>
    </row>
    <row r="48751">
      <c r="H48751" t="s">
        <v>5117</v>
      </c>
    </row>
    <row r="48752">
      <c r="H48752" t="s">
        <v>5117</v>
      </c>
    </row>
    <row r="48753">
      <c r="H48753" t="s">
        <v>5117</v>
      </c>
    </row>
    <row r="48754">
      <c r="H48754" t="s">
        <v>5117</v>
      </c>
    </row>
    <row r="48755">
      <c r="H48755" t="s">
        <v>5117</v>
      </c>
    </row>
    <row r="48756">
      <c r="H48756" t="s">
        <v>5117</v>
      </c>
    </row>
    <row r="48757">
      <c r="H48757" t="s">
        <v>5117</v>
      </c>
    </row>
    <row r="48758">
      <c r="H48758" t="s">
        <v>5117</v>
      </c>
    </row>
    <row r="48759">
      <c r="H48759" t="s">
        <v>5117</v>
      </c>
    </row>
    <row r="48760">
      <c r="H48760" t="s">
        <v>5117</v>
      </c>
    </row>
    <row r="48761">
      <c r="H48761" t="s">
        <v>5117</v>
      </c>
    </row>
    <row r="48762">
      <c r="H48762" t="s">
        <v>5117</v>
      </c>
    </row>
    <row r="48763">
      <c r="H48763" t="s">
        <v>5117</v>
      </c>
    </row>
    <row r="48764">
      <c r="H48764" t="s">
        <v>5117</v>
      </c>
    </row>
    <row r="48765">
      <c r="H48765" t="s">
        <v>5117</v>
      </c>
    </row>
    <row r="48766">
      <c r="H48766" t="s">
        <v>5117</v>
      </c>
    </row>
    <row r="48767">
      <c r="H48767" t="s">
        <v>5117</v>
      </c>
    </row>
    <row r="48768">
      <c r="H48768" t="s">
        <v>5117</v>
      </c>
    </row>
    <row r="48769">
      <c r="H48769" t="s">
        <v>5117</v>
      </c>
    </row>
    <row r="48770">
      <c r="H48770" t="s">
        <v>5117</v>
      </c>
    </row>
    <row r="48771">
      <c r="H48771" t="s">
        <v>5117</v>
      </c>
    </row>
    <row r="48772">
      <c r="H48772" t="s">
        <v>5117</v>
      </c>
    </row>
    <row r="48773">
      <c r="H48773" t="s">
        <v>5117</v>
      </c>
    </row>
    <row r="48774">
      <c r="H48774" t="s">
        <v>5117</v>
      </c>
    </row>
    <row r="48775">
      <c r="H48775" t="s">
        <v>5117</v>
      </c>
    </row>
    <row r="48776">
      <c r="H48776" t="s">
        <v>5117</v>
      </c>
    </row>
    <row r="48777">
      <c r="H48777" t="s">
        <v>5117</v>
      </c>
    </row>
    <row r="48778">
      <c r="H48778" t="s">
        <v>5117</v>
      </c>
    </row>
    <row r="48779">
      <c r="H48779" t="s">
        <v>5117</v>
      </c>
    </row>
    <row r="48780">
      <c r="H48780" t="s">
        <v>5117</v>
      </c>
    </row>
    <row r="48781">
      <c r="H48781" t="s">
        <v>5117</v>
      </c>
    </row>
    <row r="48782">
      <c r="H48782" t="s">
        <v>5117</v>
      </c>
    </row>
    <row r="48783">
      <c r="H48783" t="s">
        <v>5117</v>
      </c>
    </row>
    <row r="48784">
      <c r="H48784" t="s">
        <v>5117</v>
      </c>
    </row>
    <row r="48785">
      <c r="H48785" t="s">
        <v>5117</v>
      </c>
    </row>
    <row r="48786">
      <c r="H48786" t="s">
        <v>5117</v>
      </c>
    </row>
    <row r="48787">
      <c r="H48787" t="s">
        <v>5117</v>
      </c>
    </row>
    <row r="48788">
      <c r="H48788" t="s">
        <v>5117</v>
      </c>
    </row>
    <row r="48789">
      <c r="H48789" t="s">
        <v>5117</v>
      </c>
    </row>
    <row r="48790">
      <c r="H48790" t="s">
        <v>5117</v>
      </c>
    </row>
    <row r="48791">
      <c r="H48791" t="s">
        <v>5117</v>
      </c>
    </row>
    <row r="48792">
      <c r="H48792" t="s">
        <v>5117</v>
      </c>
    </row>
    <row r="48793">
      <c r="H48793" t="s">
        <v>5117</v>
      </c>
    </row>
    <row r="48794">
      <c r="H48794" t="s">
        <v>5117</v>
      </c>
    </row>
    <row r="48795">
      <c r="H48795" t="s">
        <v>5117</v>
      </c>
    </row>
    <row r="48796">
      <c r="H48796" t="s">
        <v>5117</v>
      </c>
    </row>
    <row r="48797">
      <c r="H48797" t="s">
        <v>5117</v>
      </c>
    </row>
    <row r="48798">
      <c r="H48798" t="s">
        <v>5117</v>
      </c>
    </row>
    <row r="48799">
      <c r="H48799" t="s">
        <v>5117</v>
      </c>
    </row>
    <row r="48800">
      <c r="H48800" t="s">
        <v>5117</v>
      </c>
    </row>
    <row r="48801">
      <c r="H48801" t="s">
        <v>5117</v>
      </c>
    </row>
    <row r="48802">
      <c r="H48802" t="s">
        <v>5117</v>
      </c>
    </row>
    <row r="48803">
      <c r="H48803" t="s">
        <v>5117</v>
      </c>
    </row>
    <row r="48804">
      <c r="H48804" t="s">
        <v>5117</v>
      </c>
    </row>
    <row r="48805">
      <c r="H48805" t="s">
        <v>5117</v>
      </c>
    </row>
    <row r="48806">
      <c r="H48806" t="s">
        <v>5117</v>
      </c>
    </row>
    <row r="48807">
      <c r="H48807" t="s">
        <v>5117</v>
      </c>
    </row>
    <row r="48808">
      <c r="H48808" t="s">
        <v>5117</v>
      </c>
    </row>
    <row r="48809">
      <c r="H48809" t="s">
        <v>5117</v>
      </c>
    </row>
    <row r="48810">
      <c r="H48810" t="s">
        <v>5117</v>
      </c>
    </row>
    <row r="48811">
      <c r="H48811" t="s">
        <v>5117</v>
      </c>
    </row>
    <row r="48812">
      <c r="H48812" t="s">
        <v>5117</v>
      </c>
    </row>
    <row r="48813">
      <c r="H48813" t="s">
        <v>5117</v>
      </c>
    </row>
    <row r="48814">
      <c r="H48814" t="s">
        <v>5117</v>
      </c>
    </row>
    <row r="48815">
      <c r="H48815" t="s">
        <v>5117</v>
      </c>
    </row>
    <row r="48816">
      <c r="H48816" t="s">
        <v>5117</v>
      </c>
    </row>
    <row r="48817">
      <c r="H48817" t="s">
        <v>5117</v>
      </c>
    </row>
    <row r="48818">
      <c r="H48818" t="s">
        <v>5117</v>
      </c>
    </row>
    <row r="48819">
      <c r="H48819" t="s">
        <v>5117</v>
      </c>
    </row>
    <row r="48820">
      <c r="H48820" t="s">
        <v>5117</v>
      </c>
    </row>
    <row r="48821">
      <c r="H48821" t="s">
        <v>5117</v>
      </c>
    </row>
    <row r="48822">
      <c r="H48822" t="s">
        <v>5117</v>
      </c>
    </row>
    <row r="48823">
      <c r="H48823" t="s">
        <v>5117</v>
      </c>
    </row>
    <row r="48824">
      <c r="H48824" t="s">
        <v>5117</v>
      </c>
    </row>
    <row r="48825">
      <c r="H48825" t="s">
        <v>5117</v>
      </c>
    </row>
    <row r="48826">
      <c r="H48826" t="s">
        <v>5117</v>
      </c>
    </row>
    <row r="48827">
      <c r="H48827" t="s">
        <v>5117</v>
      </c>
    </row>
    <row r="48828">
      <c r="H48828" t="s">
        <v>5117</v>
      </c>
    </row>
    <row r="48829">
      <c r="H48829" t="s">
        <v>5117</v>
      </c>
    </row>
    <row r="48830">
      <c r="H48830" t="s">
        <v>5117</v>
      </c>
    </row>
    <row r="48831">
      <c r="H48831" t="s">
        <v>5117</v>
      </c>
    </row>
    <row r="48832">
      <c r="H48832" t="s">
        <v>5117</v>
      </c>
    </row>
    <row r="48833">
      <c r="H48833" t="s">
        <v>5117</v>
      </c>
    </row>
    <row r="48834">
      <c r="H48834" t="s">
        <v>5117</v>
      </c>
    </row>
    <row r="48835">
      <c r="H48835" t="s">
        <v>5117</v>
      </c>
    </row>
    <row r="48836">
      <c r="H48836" t="s">
        <v>5117</v>
      </c>
    </row>
    <row r="48837">
      <c r="H48837" t="s">
        <v>5117</v>
      </c>
    </row>
    <row r="48838">
      <c r="H48838" t="s">
        <v>5117</v>
      </c>
    </row>
    <row r="48839">
      <c r="H48839" t="s">
        <v>5117</v>
      </c>
    </row>
    <row r="48840">
      <c r="H48840" t="s">
        <v>5117</v>
      </c>
    </row>
    <row r="48841">
      <c r="H48841" t="s">
        <v>5117</v>
      </c>
    </row>
    <row r="48842">
      <c r="H48842" t="s">
        <v>5117</v>
      </c>
    </row>
    <row r="48843">
      <c r="H48843" t="s">
        <v>5117</v>
      </c>
    </row>
    <row r="48844">
      <c r="H48844" t="s">
        <v>5117</v>
      </c>
    </row>
    <row r="48845">
      <c r="H48845" t="s">
        <v>5117</v>
      </c>
    </row>
    <row r="48846">
      <c r="H48846" t="s">
        <v>5117</v>
      </c>
    </row>
    <row r="48847">
      <c r="H48847" t="s">
        <v>5117</v>
      </c>
    </row>
    <row r="48848">
      <c r="H48848" t="s">
        <v>5117</v>
      </c>
    </row>
    <row r="48849">
      <c r="H48849" t="s">
        <v>5117</v>
      </c>
    </row>
    <row r="48850">
      <c r="H48850" t="s">
        <v>5117</v>
      </c>
    </row>
    <row r="48851">
      <c r="H48851" t="s">
        <v>5117</v>
      </c>
    </row>
    <row r="48852">
      <c r="H48852" t="s">
        <v>5117</v>
      </c>
    </row>
    <row r="48853">
      <c r="H48853" t="s">
        <v>5117</v>
      </c>
    </row>
    <row r="48854">
      <c r="H48854" t="s">
        <v>5117</v>
      </c>
    </row>
    <row r="48855">
      <c r="H48855" t="s">
        <v>5117</v>
      </c>
    </row>
    <row r="48856">
      <c r="H48856" t="s">
        <v>5117</v>
      </c>
    </row>
    <row r="48857">
      <c r="H48857" t="s">
        <v>5117</v>
      </c>
    </row>
    <row r="48858">
      <c r="H48858" t="s">
        <v>5117</v>
      </c>
    </row>
    <row r="48859">
      <c r="H48859" t="s">
        <v>5117</v>
      </c>
    </row>
    <row r="48860">
      <c r="H48860" t="s">
        <v>5117</v>
      </c>
    </row>
    <row r="48861">
      <c r="H48861" t="s">
        <v>5117</v>
      </c>
    </row>
    <row r="48862">
      <c r="H48862" t="s">
        <v>5117</v>
      </c>
    </row>
    <row r="48863">
      <c r="H48863" t="s">
        <v>5117</v>
      </c>
    </row>
    <row r="48864">
      <c r="H48864" t="s">
        <v>5117</v>
      </c>
    </row>
    <row r="48865">
      <c r="H48865" t="s">
        <v>5117</v>
      </c>
    </row>
    <row r="48866">
      <c r="H48866" t="s">
        <v>5117</v>
      </c>
    </row>
    <row r="48867">
      <c r="H48867" t="s">
        <v>5117</v>
      </c>
    </row>
    <row r="48868">
      <c r="H48868" t="s">
        <v>5117</v>
      </c>
    </row>
    <row r="48869">
      <c r="H48869" t="s">
        <v>5117</v>
      </c>
    </row>
    <row r="48870">
      <c r="H48870" t="s">
        <v>5117</v>
      </c>
    </row>
    <row r="48871">
      <c r="H48871" t="s">
        <v>5117</v>
      </c>
    </row>
    <row r="48872">
      <c r="H48872" t="s">
        <v>5117</v>
      </c>
    </row>
    <row r="48873">
      <c r="H48873" t="s">
        <v>5117</v>
      </c>
    </row>
    <row r="48874">
      <c r="H48874" t="s">
        <v>5117</v>
      </c>
    </row>
    <row r="48875">
      <c r="H48875" t="s">
        <v>5117</v>
      </c>
    </row>
    <row r="48876">
      <c r="H48876" t="s">
        <v>5117</v>
      </c>
    </row>
    <row r="48877">
      <c r="H48877" t="s">
        <v>5117</v>
      </c>
    </row>
    <row r="48878">
      <c r="H48878" t="s">
        <v>5117</v>
      </c>
    </row>
    <row r="48879">
      <c r="H48879" t="s">
        <v>5117</v>
      </c>
    </row>
    <row r="48880">
      <c r="H48880" t="s">
        <v>5117</v>
      </c>
    </row>
    <row r="48881">
      <c r="H48881" t="s">
        <v>5117</v>
      </c>
    </row>
    <row r="48882">
      <c r="H48882" t="s">
        <v>5117</v>
      </c>
    </row>
    <row r="48883">
      <c r="H48883" t="s">
        <v>5117</v>
      </c>
    </row>
    <row r="48884">
      <c r="H48884" t="s">
        <v>5117</v>
      </c>
    </row>
    <row r="48885">
      <c r="H48885" t="s">
        <v>5117</v>
      </c>
    </row>
    <row r="48886">
      <c r="H48886" t="s">
        <v>5117</v>
      </c>
    </row>
    <row r="48887">
      <c r="H48887" t="s">
        <v>5117</v>
      </c>
    </row>
    <row r="48888">
      <c r="H48888" t="s">
        <v>5117</v>
      </c>
    </row>
    <row r="48889">
      <c r="H48889" t="s">
        <v>5117</v>
      </c>
    </row>
    <row r="48890">
      <c r="H48890" t="s">
        <v>5117</v>
      </c>
    </row>
    <row r="48891">
      <c r="H48891" t="s">
        <v>5117</v>
      </c>
    </row>
    <row r="48892">
      <c r="H48892" t="s">
        <v>5117</v>
      </c>
    </row>
    <row r="48893">
      <c r="H48893" t="s">
        <v>5117</v>
      </c>
    </row>
    <row r="48894">
      <c r="H48894" t="s">
        <v>5117</v>
      </c>
    </row>
    <row r="48895">
      <c r="H48895" t="s">
        <v>5117</v>
      </c>
    </row>
    <row r="48896">
      <c r="H48896" t="s">
        <v>5117</v>
      </c>
    </row>
    <row r="48897">
      <c r="H48897" t="s">
        <v>5117</v>
      </c>
    </row>
    <row r="48898">
      <c r="H48898" t="s">
        <v>5117</v>
      </c>
    </row>
    <row r="48899">
      <c r="H48899" t="s">
        <v>5117</v>
      </c>
    </row>
    <row r="48900">
      <c r="H48900" t="s">
        <v>5117</v>
      </c>
    </row>
    <row r="48901">
      <c r="H48901" t="s">
        <v>5117</v>
      </c>
    </row>
    <row r="48902">
      <c r="H48902" t="s">
        <v>5117</v>
      </c>
    </row>
    <row r="48903">
      <c r="H48903" t="s">
        <v>5117</v>
      </c>
    </row>
    <row r="48904">
      <c r="H48904" t="s">
        <v>5117</v>
      </c>
    </row>
    <row r="48905">
      <c r="H48905" t="s">
        <v>5117</v>
      </c>
    </row>
    <row r="48906">
      <c r="H48906" t="s">
        <v>5117</v>
      </c>
    </row>
    <row r="48907">
      <c r="H48907" t="s">
        <v>5117</v>
      </c>
    </row>
    <row r="48908">
      <c r="H48908" t="s">
        <v>5117</v>
      </c>
    </row>
    <row r="48909">
      <c r="H48909" t="s">
        <v>5117</v>
      </c>
    </row>
    <row r="48910">
      <c r="H48910" t="s">
        <v>5117</v>
      </c>
    </row>
    <row r="48911">
      <c r="H48911" t="s">
        <v>5117</v>
      </c>
    </row>
    <row r="48912">
      <c r="H48912" t="s">
        <v>5117</v>
      </c>
    </row>
    <row r="48913">
      <c r="H48913" t="s">
        <v>5117</v>
      </c>
    </row>
    <row r="48914">
      <c r="H48914" t="s">
        <v>5117</v>
      </c>
    </row>
    <row r="48915">
      <c r="H48915" t="s">
        <v>5117</v>
      </c>
    </row>
    <row r="48916">
      <c r="H48916" t="s">
        <v>5117</v>
      </c>
    </row>
    <row r="48917">
      <c r="H48917" t="s">
        <v>5117</v>
      </c>
    </row>
    <row r="48918">
      <c r="H48918" t="s">
        <v>5117</v>
      </c>
    </row>
    <row r="48919">
      <c r="H48919" t="s">
        <v>5117</v>
      </c>
    </row>
    <row r="48920">
      <c r="H48920" t="s">
        <v>5117</v>
      </c>
    </row>
    <row r="48921">
      <c r="H48921" t="s">
        <v>5117</v>
      </c>
    </row>
    <row r="48922">
      <c r="H48922" t="s">
        <v>5117</v>
      </c>
    </row>
    <row r="48923">
      <c r="H48923" t="s">
        <v>5117</v>
      </c>
    </row>
    <row r="48924">
      <c r="H48924" t="s">
        <v>5117</v>
      </c>
    </row>
    <row r="48925">
      <c r="H48925" t="s">
        <v>5117</v>
      </c>
    </row>
    <row r="48926">
      <c r="H48926" t="s">
        <v>5117</v>
      </c>
    </row>
    <row r="48927">
      <c r="H48927" t="s">
        <v>5117</v>
      </c>
    </row>
    <row r="48928">
      <c r="H48928" t="s">
        <v>5117</v>
      </c>
    </row>
    <row r="48929">
      <c r="H48929" t="s">
        <v>5117</v>
      </c>
    </row>
    <row r="48930">
      <c r="H48930" t="s">
        <v>5117</v>
      </c>
    </row>
    <row r="48931">
      <c r="H48931" t="s">
        <v>5117</v>
      </c>
    </row>
    <row r="48932">
      <c r="H48932" t="s">
        <v>5117</v>
      </c>
    </row>
    <row r="48933">
      <c r="H48933" t="s">
        <v>5117</v>
      </c>
    </row>
    <row r="48934">
      <c r="H48934" t="s">
        <v>5117</v>
      </c>
    </row>
    <row r="48935">
      <c r="H48935" t="s">
        <v>5117</v>
      </c>
    </row>
    <row r="48936">
      <c r="H48936" t="s">
        <v>5117</v>
      </c>
    </row>
    <row r="48937">
      <c r="H48937" t="s">
        <v>5117</v>
      </c>
    </row>
    <row r="48938">
      <c r="H48938" t="s">
        <v>5117</v>
      </c>
    </row>
    <row r="48939">
      <c r="H48939" t="s">
        <v>5117</v>
      </c>
    </row>
    <row r="48940">
      <c r="H48940" t="s">
        <v>5117</v>
      </c>
    </row>
    <row r="48941">
      <c r="H48941" t="s">
        <v>5117</v>
      </c>
    </row>
    <row r="48942">
      <c r="H48942" t="s">
        <v>5117</v>
      </c>
    </row>
    <row r="48943">
      <c r="H48943" t="s">
        <v>5117</v>
      </c>
    </row>
    <row r="48944">
      <c r="H48944" t="s">
        <v>5117</v>
      </c>
    </row>
    <row r="48945">
      <c r="H48945" t="s">
        <v>5117</v>
      </c>
    </row>
    <row r="48946">
      <c r="H48946" t="s">
        <v>5117</v>
      </c>
    </row>
    <row r="48947">
      <c r="H48947" t="s">
        <v>5117</v>
      </c>
    </row>
    <row r="48948">
      <c r="H48948" t="s">
        <v>5117</v>
      </c>
    </row>
    <row r="48949">
      <c r="H48949" t="s">
        <v>5117</v>
      </c>
    </row>
    <row r="48950">
      <c r="H48950" t="s">
        <v>5117</v>
      </c>
    </row>
    <row r="48951">
      <c r="H48951" t="s">
        <v>5117</v>
      </c>
    </row>
    <row r="48952">
      <c r="H48952" t="s">
        <v>5117</v>
      </c>
    </row>
    <row r="48953">
      <c r="H48953" t="s">
        <v>5117</v>
      </c>
    </row>
    <row r="48954">
      <c r="H48954" t="s">
        <v>5117</v>
      </c>
    </row>
    <row r="48955">
      <c r="H48955" t="s">
        <v>5117</v>
      </c>
    </row>
    <row r="48956">
      <c r="H48956" t="s">
        <v>5117</v>
      </c>
    </row>
    <row r="48957">
      <c r="H48957" t="s">
        <v>5117</v>
      </c>
    </row>
    <row r="48958">
      <c r="H48958" t="s">
        <v>5117</v>
      </c>
    </row>
    <row r="48959">
      <c r="H48959" t="s">
        <v>5117</v>
      </c>
    </row>
    <row r="48960">
      <c r="H48960" t="s">
        <v>5117</v>
      </c>
    </row>
    <row r="48961">
      <c r="H48961" t="s">
        <v>5117</v>
      </c>
    </row>
    <row r="48962">
      <c r="H48962" t="s">
        <v>5117</v>
      </c>
    </row>
    <row r="48963">
      <c r="H48963" t="s">
        <v>5117</v>
      </c>
    </row>
    <row r="48964">
      <c r="H48964" t="s">
        <v>5117</v>
      </c>
    </row>
    <row r="48965">
      <c r="H48965" t="s">
        <v>5117</v>
      </c>
    </row>
    <row r="48966">
      <c r="H48966" t="s">
        <v>5117</v>
      </c>
    </row>
    <row r="48967">
      <c r="H48967" t="s">
        <v>5117</v>
      </c>
    </row>
    <row r="48968">
      <c r="H48968" t="s">
        <v>5117</v>
      </c>
    </row>
    <row r="48969">
      <c r="H48969" t="s">
        <v>5117</v>
      </c>
    </row>
    <row r="48970">
      <c r="H48970" t="s">
        <v>5117</v>
      </c>
    </row>
    <row r="48971">
      <c r="H48971" t="s">
        <v>5117</v>
      </c>
    </row>
    <row r="48972">
      <c r="H48972" t="s">
        <v>5117</v>
      </c>
    </row>
    <row r="48973">
      <c r="H48973" t="s">
        <v>5117</v>
      </c>
    </row>
    <row r="48974">
      <c r="H48974" t="s">
        <v>5117</v>
      </c>
    </row>
    <row r="48975">
      <c r="H48975" t="s">
        <v>5117</v>
      </c>
    </row>
    <row r="48976">
      <c r="H48976" t="s">
        <v>5117</v>
      </c>
    </row>
    <row r="48977">
      <c r="H48977" t="s">
        <v>5117</v>
      </c>
    </row>
    <row r="48978">
      <c r="H48978" t="s">
        <v>5117</v>
      </c>
    </row>
    <row r="48979">
      <c r="H48979" t="s">
        <v>5117</v>
      </c>
    </row>
    <row r="48980">
      <c r="H48980" t="s">
        <v>5117</v>
      </c>
    </row>
    <row r="48981">
      <c r="H48981" t="s">
        <v>5117</v>
      </c>
    </row>
    <row r="48982">
      <c r="H48982" t="s">
        <v>5117</v>
      </c>
    </row>
    <row r="48983">
      <c r="H48983" t="s">
        <v>5117</v>
      </c>
    </row>
    <row r="48984">
      <c r="H48984" t="s">
        <v>5117</v>
      </c>
    </row>
    <row r="48985">
      <c r="H48985" t="s">
        <v>5117</v>
      </c>
    </row>
    <row r="48986">
      <c r="H48986" t="s">
        <v>5117</v>
      </c>
    </row>
    <row r="48987">
      <c r="H48987" t="s">
        <v>5117</v>
      </c>
    </row>
    <row r="48988">
      <c r="H48988" t="s">
        <v>5117</v>
      </c>
    </row>
    <row r="48989">
      <c r="H48989" t="s">
        <v>5117</v>
      </c>
    </row>
    <row r="48990">
      <c r="H48990" t="s">
        <v>5117</v>
      </c>
    </row>
    <row r="48991">
      <c r="H48991" t="s">
        <v>5117</v>
      </c>
    </row>
    <row r="48992">
      <c r="H48992" t="s">
        <v>5117</v>
      </c>
    </row>
    <row r="48993">
      <c r="H48993" t="s">
        <v>5117</v>
      </c>
    </row>
    <row r="48994">
      <c r="H48994" t="s">
        <v>5117</v>
      </c>
    </row>
    <row r="48995">
      <c r="H48995" t="s">
        <v>5117</v>
      </c>
    </row>
    <row r="48996">
      <c r="H48996" t="s">
        <v>5117</v>
      </c>
    </row>
    <row r="48997">
      <c r="H48997" t="s">
        <v>5117</v>
      </c>
    </row>
    <row r="48998">
      <c r="H48998" t="s">
        <v>5117</v>
      </c>
    </row>
    <row r="48999">
      <c r="H48999" t="s">
        <v>5117</v>
      </c>
    </row>
    <row r="49000">
      <c r="H49000" t="s">
        <v>5117</v>
      </c>
    </row>
    <row r="49001">
      <c r="H49001" t="s">
        <v>5117</v>
      </c>
    </row>
    <row r="49002">
      <c r="H49002" t="s">
        <v>5117</v>
      </c>
    </row>
    <row r="49003">
      <c r="H49003" t="s">
        <v>5117</v>
      </c>
    </row>
    <row r="49004">
      <c r="H49004" t="s">
        <v>5117</v>
      </c>
    </row>
    <row r="49005">
      <c r="H49005" t="s">
        <v>5117</v>
      </c>
    </row>
    <row r="49006">
      <c r="H49006" t="s">
        <v>5117</v>
      </c>
    </row>
    <row r="49007">
      <c r="H49007" t="s">
        <v>5117</v>
      </c>
    </row>
    <row r="49008">
      <c r="H49008" t="s">
        <v>5117</v>
      </c>
    </row>
    <row r="49009">
      <c r="H49009" t="s">
        <v>5117</v>
      </c>
    </row>
    <row r="49010">
      <c r="H49010" t="s">
        <v>5117</v>
      </c>
    </row>
    <row r="49011">
      <c r="H49011" t="s">
        <v>5117</v>
      </c>
    </row>
    <row r="49012">
      <c r="H49012" t="s">
        <v>5117</v>
      </c>
    </row>
    <row r="49013">
      <c r="H49013" t="s">
        <v>5117</v>
      </c>
    </row>
    <row r="49014">
      <c r="H49014" t="s">
        <v>5117</v>
      </c>
    </row>
    <row r="49015">
      <c r="H49015" t="s">
        <v>5117</v>
      </c>
    </row>
    <row r="49016">
      <c r="H49016" t="s">
        <v>5117</v>
      </c>
    </row>
    <row r="49017">
      <c r="H49017" t="s">
        <v>5117</v>
      </c>
    </row>
    <row r="49018">
      <c r="H49018" t="s">
        <v>5117</v>
      </c>
    </row>
    <row r="49019">
      <c r="H49019" t="s">
        <v>5117</v>
      </c>
    </row>
    <row r="49020">
      <c r="H49020" t="s">
        <v>5117</v>
      </c>
    </row>
    <row r="49021">
      <c r="H49021" t="s">
        <v>5117</v>
      </c>
    </row>
    <row r="49022">
      <c r="H49022" t="s">
        <v>5117</v>
      </c>
    </row>
    <row r="49023">
      <c r="H49023" t="s">
        <v>5117</v>
      </c>
    </row>
    <row r="49024">
      <c r="H49024" t="s">
        <v>5117</v>
      </c>
    </row>
    <row r="49025">
      <c r="H49025" t="s">
        <v>5117</v>
      </c>
    </row>
    <row r="49026">
      <c r="H49026" t="s">
        <v>5117</v>
      </c>
    </row>
    <row r="49027">
      <c r="H49027" t="s">
        <v>5117</v>
      </c>
    </row>
    <row r="49028">
      <c r="H49028" t="s">
        <v>5117</v>
      </c>
    </row>
    <row r="49029">
      <c r="H49029" t="s">
        <v>5117</v>
      </c>
    </row>
    <row r="49030">
      <c r="H49030" t="s">
        <v>5117</v>
      </c>
    </row>
    <row r="49031">
      <c r="H49031" t="s">
        <v>5117</v>
      </c>
    </row>
    <row r="49032">
      <c r="H49032" t="s">
        <v>5117</v>
      </c>
    </row>
    <row r="49033">
      <c r="H49033" t="s">
        <v>5117</v>
      </c>
    </row>
    <row r="49034">
      <c r="H49034" t="s">
        <v>5117</v>
      </c>
    </row>
    <row r="49035">
      <c r="H49035" t="s">
        <v>5117</v>
      </c>
    </row>
    <row r="49036">
      <c r="H49036" t="s">
        <v>5117</v>
      </c>
    </row>
    <row r="49037">
      <c r="H49037" t="s">
        <v>5117</v>
      </c>
    </row>
    <row r="49038">
      <c r="H49038" t="s">
        <v>5117</v>
      </c>
    </row>
    <row r="49039">
      <c r="H49039" t="s">
        <v>5117</v>
      </c>
    </row>
    <row r="49040">
      <c r="H49040" t="s">
        <v>5117</v>
      </c>
    </row>
    <row r="49041">
      <c r="H49041" t="s">
        <v>5117</v>
      </c>
    </row>
    <row r="49042">
      <c r="H49042" t="s">
        <v>5117</v>
      </c>
    </row>
    <row r="49043">
      <c r="H49043" t="s">
        <v>5117</v>
      </c>
    </row>
    <row r="49044">
      <c r="H49044" t="s">
        <v>5117</v>
      </c>
    </row>
    <row r="49045">
      <c r="H49045" t="s">
        <v>5117</v>
      </c>
    </row>
    <row r="49046">
      <c r="H49046" t="s">
        <v>5117</v>
      </c>
    </row>
    <row r="49047">
      <c r="H49047" t="s">
        <v>5117</v>
      </c>
    </row>
    <row r="49048">
      <c r="H49048" t="s">
        <v>5117</v>
      </c>
    </row>
    <row r="49049">
      <c r="H49049" t="s">
        <v>5117</v>
      </c>
    </row>
    <row r="49050">
      <c r="H49050" t="s">
        <v>5117</v>
      </c>
    </row>
    <row r="49051">
      <c r="H49051" t="s">
        <v>5117</v>
      </c>
    </row>
    <row r="49052">
      <c r="H49052" t="s">
        <v>5117</v>
      </c>
    </row>
    <row r="49053">
      <c r="H49053" t="s">
        <v>5117</v>
      </c>
    </row>
    <row r="49054">
      <c r="H49054" t="s">
        <v>5117</v>
      </c>
    </row>
    <row r="49055">
      <c r="H49055" t="s">
        <v>5117</v>
      </c>
    </row>
    <row r="49056">
      <c r="H49056" t="s">
        <v>5117</v>
      </c>
    </row>
    <row r="49057">
      <c r="H49057" t="s">
        <v>5117</v>
      </c>
    </row>
    <row r="49058">
      <c r="H49058" t="s">
        <v>5117</v>
      </c>
    </row>
    <row r="49059">
      <c r="H49059" t="s">
        <v>5117</v>
      </c>
    </row>
    <row r="49060">
      <c r="H49060" t="s">
        <v>5117</v>
      </c>
    </row>
    <row r="49061">
      <c r="H49061" t="s">
        <v>5117</v>
      </c>
    </row>
    <row r="49062">
      <c r="H49062" t="s">
        <v>5117</v>
      </c>
    </row>
    <row r="49063">
      <c r="H49063" t="s">
        <v>5117</v>
      </c>
    </row>
    <row r="49064">
      <c r="H49064" t="s">
        <v>5117</v>
      </c>
    </row>
    <row r="49065">
      <c r="H49065" t="s">
        <v>5117</v>
      </c>
    </row>
    <row r="49066">
      <c r="H49066" t="s">
        <v>5117</v>
      </c>
    </row>
    <row r="49067">
      <c r="H49067" t="s">
        <v>5117</v>
      </c>
    </row>
    <row r="49068">
      <c r="H49068" t="s">
        <v>5117</v>
      </c>
    </row>
    <row r="49069">
      <c r="H49069" t="s">
        <v>5117</v>
      </c>
    </row>
    <row r="49070">
      <c r="H49070" t="s">
        <v>5117</v>
      </c>
    </row>
    <row r="49071">
      <c r="H49071" t="s">
        <v>5117</v>
      </c>
    </row>
    <row r="49072">
      <c r="H49072" t="s">
        <v>5117</v>
      </c>
    </row>
    <row r="49073">
      <c r="H49073" t="s">
        <v>5117</v>
      </c>
    </row>
    <row r="49074">
      <c r="H49074" t="s">
        <v>5117</v>
      </c>
    </row>
    <row r="49075">
      <c r="H49075" t="s">
        <v>5117</v>
      </c>
    </row>
    <row r="49076">
      <c r="H49076" t="s">
        <v>5117</v>
      </c>
    </row>
    <row r="49077">
      <c r="H49077" t="s">
        <v>5117</v>
      </c>
    </row>
    <row r="49078">
      <c r="H49078" t="s">
        <v>5117</v>
      </c>
    </row>
    <row r="49079">
      <c r="H49079" t="s">
        <v>5117</v>
      </c>
    </row>
    <row r="49080">
      <c r="H49080" t="s">
        <v>5117</v>
      </c>
    </row>
    <row r="49081">
      <c r="H49081" t="s">
        <v>5117</v>
      </c>
    </row>
    <row r="49082">
      <c r="H49082" t="s">
        <v>5117</v>
      </c>
    </row>
    <row r="49083">
      <c r="H49083" t="s">
        <v>5117</v>
      </c>
    </row>
    <row r="49084">
      <c r="H49084" t="s">
        <v>5117</v>
      </c>
    </row>
    <row r="49085">
      <c r="H49085" t="s">
        <v>5117</v>
      </c>
    </row>
    <row r="49086">
      <c r="H49086" t="s">
        <v>5117</v>
      </c>
    </row>
    <row r="49087">
      <c r="H49087" t="s">
        <v>5117</v>
      </c>
    </row>
    <row r="49088">
      <c r="H49088" t="s">
        <v>5117</v>
      </c>
    </row>
    <row r="49089">
      <c r="H49089" t="s">
        <v>5117</v>
      </c>
    </row>
    <row r="49090">
      <c r="H49090" t="s">
        <v>5117</v>
      </c>
    </row>
    <row r="49091">
      <c r="H49091" t="s">
        <v>5117</v>
      </c>
    </row>
    <row r="49092">
      <c r="H49092" t="s">
        <v>5117</v>
      </c>
    </row>
    <row r="49093">
      <c r="H49093" t="s">
        <v>5117</v>
      </c>
    </row>
    <row r="49094">
      <c r="H49094" t="s">
        <v>5117</v>
      </c>
    </row>
    <row r="49095">
      <c r="H49095" t="s">
        <v>5117</v>
      </c>
    </row>
    <row r="49096">
      <c r="H49096" t="s">
        <v>5117</v>
      </c>
    </row>
    <row r="49097">
      <c r="H49097" t="s">
        <v>5117</v>
      </c>
    </row>
    <row r="49098">
      <c r="H49098" t="s">
        <v>5117</v>
      </c>
    </row>
    <row r="49099">
      <c r="H49099" t="s">
        <v>5117</v>
      </c>
    </row>
    <row r="49100">
      <c r="H49100" t="s">
        <v>5117</v>
      </c>
    </row>
    <row r="49101">
      <c r="H49101" t="s">
        <v>5117</v>
      </c>
    </row>
    <row r="49102">
      <c r="H49102" t="s">
        <v>5117</v>
      </c>
    </row>
    <row r="49103">
      <c r="H49103" t="s">
        <v>5117</v>
      </c>
    </row>
    <row r="49104">
      <c r="H49104" t="s">
        <v>5117</v>
      </c>
    </row>
    <row r="49105">
      <c r="H49105" t="s">
        <v>5117</v>
      </c>
    </row>
    <row r="49106">
      <c r="H49106" t="s">
        <v>5117</v>
      </c>
    </row>
    <row r="49107">
      <c r="H49107" t="s">
        <v>5117</v>
      </c>
    </row>
    <row r="49108">
      <c r="H49108" t="s">
        <v>5117</v>
      </c>
    </row>
    <row r="49109">
      <c r="H49109" t="s">
        <v>5117</v>
      </c>
    </row>
    <row r="49110">
      <c r="H49110" t="s">
        <v>5117</v>
      </c>
    </row>
    <row r="49111">
      <c r="H49111" t="s">
        <v>5117</v>
      </c>
    </row>
    <row r="49112">
      <c r="H49112" t="s">
        <v>5117</v>
      </c>
    </row>
    <row r="49113">
      <c r="H49113" t="s">
        <v>5117</v>
      </c>
    </row>
    <row r="49114">
      <c r="H49114" t="s">
        <v>5117</v>
      </c>
    </row>
    <row r="49115">
      <c r="H49115" t="s">
        <v>5117</v>
      </c>
    </row>
    <row r="49116">
      <c r="H49116" t="s">
        <v>5117</v>
      </c>
    </row>
    <row r="49117">
      <c r="H49117" t="s">
        <v>5117</v>
      </c>
    </row>
    <row r="49118">
      <c r="H49118" t="s">
        <v>5117</v>
      </c>
    </row>
    <row r="49119">
      <c r="H49119" t="s">
        <v>5117</v>
      </c>
    </row>
    <row r="49120">
      <c r="H49120" t="s">
        <v>5117</v>
      </c>
    </row>
    <row r="49121">
      <c r="H49121" t="s">
        <v>5117</v>
      </c>
    </row>
    <row r="49122">
      <c r="H49122" t="s">
        <v>5117</v>
      </c>
    </row>
    <row r="49123">
      <c r="H49123" t="s">
        <v>5117</v>
      </c>
    </row>
    <row r="49124">
      <c r="H49124" t="s">
        <v>5117</v>
      </c>
    </row>
    <row r="49125">
      <c r="H49125" t="s">
        <v>5117</v>
      </c>
    </row>
    <row r="49126">
      <c r="H49126" t="s">
        <v>5117</v>
      </c>
    </row>
    <row r="49127">
      <c r="H49127" t="s">
        <v>5117</v>
      </c>
    </row>
    <row r="49128">
      <c r="H49128" t="s">
        <v>5117</v>
      </c>
    </row>
    <row r="49129">
      <c r="H49129" t="s">
        <v>5117</v>
      </c>
    </row>
    <row r="49130">
      <c r="H49130" t="s">
        <v>5117</v>
      </c>
    </row>
    <row r="49131">
      <c r="H49131" t="s">
        <v>5117</v>
      </c>
    </row>
    <row r="49132">
      <c r="H49132" t="s">
        <v>5117</v>
      </c>
    </row>
    <row r="49133">
      <c r="H49133" t="s">
        <v>5117</v>
      </c>
    </row>
    <row r="49134">
      <c r="H49134" t="s">
        <v>5117</v>
      </c>
    </row>
    <row r="49135">
      <c r="H49135" t="s">
        <v>5117</v>
      </c>
    </row>
    <row r="49136">
      <c r="H49136" t="s">
        <v>5117</v>
      </c>
    </row>
    <row r="49137">
      <c r="H49137" t="s">
        <v>5117</v>
      </c>
    </row>
    <row r="49138">
      <c r="H49138" t="s">
        <v>5117</v>
      </c>
    </row>
    <row r="49139">
      <c r="H49139" t="s">
        <v>5117</v>
      </c>
    </row>
    <row r="49140">
      <c r="H49140" t="s">
        <v>5117</v>
      </c>
    </row>
    <row r="49141">
      <c r="H49141" t="s">
        <v>5117</v>
      </c>
    </row>
    <row r="49142">
      <c r="H49142" t="s">
        <v>5117</v>
      </c>
    </row>
    <row r="49143">
      <c r="H49143" t="s">
        <v>5117</v>
      </c>
    </row>
    <row r="49144">
      <c r="H49144" t="s">
        <v>5117</v>
      </c>
    </row>
    <row r="49145">
      <c r="H49145" t="s">
        <v>5117</v>
      </c>
    </row>
    <row r="49146">
      <c r="H49146" t="s">
        <v>5117</v>
      </c>
    </row>
    <row r="49147">
      <c r="H49147" t="s">
        <v>5117</v>
      </c>
    </row>
    <row r="49148">
      <c r="H49148" t="s">
        <v>5117</v>
      </c>
    </row>
    <row r="49149">
      <c r="H49149" t="s">
        <v>5117</v>
      </c>
    </row>
    <row r="49150">
      <c r="H49150" t="s">
        <v>5117</v>
      </c>
    </row>
    <row r="49151">
      <c r="H49151" t="s">
        <v>5117</v>
      </c>
    </row>
    <row r="49152">
      <c r="H49152" t="s">
        <v>5117</v>
      </c>
    </row>
    <row r="49153">
      <c r="H49153" t="s">
        <v>5117</v>
      </c>
    </row>
    <row r="49154">
      <c r="H49154" t="s">
        <v>5117</v>
      </c>
    </row>
    <row r="49155">
      <c r="H49155" t="s">
        <v>5117</v>
      </c>
    </row>
    <row r="49156">
      <c r="H49156" t="s">
        <v>5117</v>
      </c>
    </row>
    <row r="49157">
      <c r="H49157" t="s">
        <v>5117</v>
      </c>
    </row>
    <row r="49158">
      <c r="H49158" t="s">
        <v>5117</v>
      </c>
    </row>
    <row r="49159">
      <c r="H49159" t="s">
        <v>5117</v>
      </c>
    </row>
    <row r="49160">
      <c r="H49160" t="s">
        <v>5117</v>
      </c>
    </row>
    <row r="49161">
      <c r="H49161" t="s">
        <v>5117</v>
      </c>
    </row>
    <row r="49162">
      <c r="H49162" t="s">
        <v>5117</v>
      </c>
    </row>
    <row r="49163">
      <c r="H49163" t="s">
        <v>5117</v>
      </c>
    </row>
    <row r="49164">
      <c r="H49164" t="s">
        <v>5117</v>
      </c>
    </row>
    <row r="49165">
      <c r="H49165" t="s">
        <v>5117</v>
      </c>
    </row>
    <row r="49166">
      <c r="H49166" t="s">
        <v>5117</v>
      </c>
    </row>
    <row r="49167">
      <c r="H49167" t="s">
        <v>5117</v>
      </c>
    </row>
    <row r="49168">
      <c r="H49168" t="s">
        <v>5117</v>
      </c>
    </row>
    <row r="49169">
      <c r="H49169" t="s">
        <v>5117</v>
      </c>
    </row>
    <row r="49170">
      <c r="H49170" t="s">
        <v>5117</v>
      </c>
    </row>
    <row r="49171">
      <c r="H49171" t="s">
        <v>5117</v>
      </c>
    </row>
    <row r="49172">
      <c r="H49172" t="s">
        <v>5117</v>
      </c>
    </row>
    <row r="49173">
      <c r="H49173" t="s">
        <v>5117</v>
      </c>
    </row>
    <row r="49174">
      <c r="H49174" t="s">
        <v>5117</v>
      </c>
    </row>
    <row r="49175">
      <c r="H49175" t="s">
        <v>5117</v>
      </c>
    </row>
    <row r="49176">
      <c r="H49176" t="s">
        <v>5117</v>
      </c>
    </row>
    <row r="49177">
      <c r="H49177" t="s">
        <v>5117</v>
      </c>
    </row>
    <row r="49178">
      <c r="H49178" t="s">
        <v>5117</v>
      </c>
    </row>
    <row r="49179">
      <c r="H49179" t="s">
        <v>5117</v>
      </c>
    </row>
    <row r="49180">
      <c r="H49180" t="s">
        <v>5117</v>
      </c>
    </row>
    <row r="49181">
      <c r="H49181" t="s">
        <v>5117</v>
      </c>
    </row>
    <row r="49182">
      <c r="H49182" t="s">
        <v>5117</v>
      </c>
    </row>
    <row r="49183">
      <c r="H49183" t="s">
        <v>5117</v>
      </c>
    </row>
    <row r="49184">
      <c r="H49184" t="s">
        <v>5117</v>
      </c>
    </row>
    <row r="49185">
      <c r="H49185" t="s">
        <v>5117</v>
      </c>
    </row>
    <row r="49186">
      <c r="H49186" t="s">
        <v>5117</v>
      </c>
    </row>
    <row r="49187">
      <c r="H49187" t="s">
        <v>5117</v>
      </c>
    </row>
    <row r="49188">
      <c r="H49188" t="s">
        <v>5117</v>
      </c>
    </row>
    <row r="49189">
      <c r="H49189" t="s">
        <v>5117</v>
      </c>
    </row>
    <row r="49190">
      <c r="H49190" t="s">
        <v>5117</v>
      </c>
    </row>
    <row r="49191">
      <c r="H49191" t="s">
        <v>5117</v>
      </c>
    </row>
    <row r="49192">
      <c r="H49192" t="s">
        <v>5117</v>
      </c>
    </row>
    <row r="49193">
      <c r="H49193" t="s">
        <v>5117</v>
      </c>
    </row>
    <row r="49194">
      <c r="H49194" t="s">
        <v>5117</v>
      </c>
    </row>
    <row r="49195">
      <c r="H49195" t="s">
        <v>5117</v>
      </c>
    </row>
    <row r="49196">
      <c r="H49196" t="s">
        <v>5117</v>
      </c>
    </row>
    <row r="49197">
      <c r="H49197" t="s">
        <v>5117</v>
      </c>
    </row>
    <row r="49198">
      <c r="H49198" t="s">
        <v>5117</v>
      </c>
    </row>
    <row r="49199">
      <c r="H49199" t="s">
        <v>5117</v>
      </c>
    </row>
    <row r="49200">
      <c r="H49200" t="s">
        <v>5117</v>
      </c>
    </row>
    <row r="49201">
      <c r="H49201" t="s">
        <v>5117</v>
      </c>
    </row>
    <row r="49202">
      <c r="H49202" t="s">
        <v>5117</v>
      </c>
    </row>
    <row r="49203">
      <c r="H49203" t="s">
        <v>5117</v>
      </c>
    </row>
    <row r="49204">
      <c r="H49204" t="s">
        <v>5117</v>
      </c>
    </row>
    <row r="49205">
      <c r="H49205" t="s">
        <v>5117</v>
      </c>
    </row>
    <row r="49206">
      <c r="H49206" t="s">
        <v>5117</v>
      </c>
    </row>
    <row r="49207">
      <c r="H49207" t="s">
        <v>5117</v>
      </c>
    </row>
    <row r="49208">
      <c r="H49208" t="s">
        <v>5117</v>
      </c>
    </row>
    <row r="49209">
      <c r="H49209" t="s">
        <v>5117</v>
      </c>
    </row>
    <row r="49210">
      <c r="H49210" t="s">
        <v>5117</v>
      </c>
    </row>
    <row r="49211">
      <c r="H49211" t="s">
        <v>5117</v>
      </c>
    </row>
    <row r="49212">
      <c r="H49212" t="s">
        <v>5117</v>
      </c>
    </row>
    <row r="49213">
      <c r="H49213" t="s">
        <v>5117</v>
      </c>
    </row>
    <row r="49214">
      <c r="H49214" t="s">
        <v>5117</v>
      </c>
    </row>
    <row r="49215">
      <c r="H49215" t="s">
        <v>5117</v>
      </c>
    </row>
    <row r="49216">
      <c r="H49216" t="s">
        <v>5117</v>
      </c>
    </row>
    <row r="49217">
      <c r="H49217" t="s">
        <v>5117</v>
      </c>
    </row>
    <row r="49218">
      <c r="H49218" t="s">
        <v>5117</v>
      </c>
    </row>
    <row r="49219">
      <c r="H49219" t="s">
        <v>5117</v>
      </c>
    </row>
    <row r="49220">
      <c r="H49220" t="s">
        <v>5117</v>
      </c>
    </row>
    <row r="49221">
      <c r="H49221" t="s">
        <v>5117</v>
      </c>
    </row>
    <row r="49222">
      <c r="H49222" t="s">
        <v>5117</v>
      </c>
    </row>
    <row r="49223">
      <c r="H49223" t="s">
        <v>5117</v>
      </c>
    </row>
    <row r="49224">
      <c r="H49224" t="s">
        <v>5117</v>
      </c>
    </row>
    <row r="49225">
      <c r="H49225" t="s">
        <v>5117</v>
      </c>
    </row>
    <row r="49226">
      <c r="H49226" t="s">
        <v>5117</v>
      </c>
    </row>
    <row r="49227">
      <c r="H49227" t="s">
        <v>5117</v>
      </c>
    </row>
    <row r="49228">
      <c r="H49228" t="s">
        <v>5117</v>
      </c>
    </row>
    <row r="49229">
      <c r="H49229" t="s">
        <v>5117</v>
      </c>
    </row>
    <row r="49230">
      <c r="H49230" t="s">
        <v>5117</v>
      </c>
    </row>
    <row r="49231">
      <c r="H49231" t="s">
        <v>5117</v>
      </c>
    </row>
    <row r="49232">
      <c r="H49232" t="s">
        <v>5117</v>
      </c>
    </row>
    <row r="49233">
      <c r="H49233" t="s">
        <v>5117</v>
      </c>
    </row>
    <row r="49234">
      <c r="H49234" t="s">
        <v>5117</v>
      </c>
    </row>
    <row r="49235">
      <c r="H49235" t="s">
        <v>5117</v>
      </c>
    </row>
    <row r="49236">
      <c r="H49236" t="s">
        <v>5117</v>
      </c>
    </row>
    <row r="49237">
      <c r="H49237" t="s">
        <v>5117</v>
      </c>
    </row>
    <row r="49238">
      <c r="H49238" t="s">
        <v>5117</v>
      </c>
    </row>
    <row r="49239">
      <c r="H49239" t="s">
        <v>5117</v>
      </c>
    </row>
    <row r="49240">
      <c r="H49240" t="s">
        <v>5117</v>
      </c>
    </row>
    <row r="49241">
      <c r="H49241" t="s">
        <v>5117</v>
      </c>
    </row>
    <row r="49242">
      <c r="H49242" t="s">
        <v>5117</v>
      </c>
    </row>
    <row r="49243">
      <c r="H49243" t="s">
        <v>5117</v>
      </c>
    </row>
    <row r="49244">
      <c r="H49244" t="s">
        <v>5117</v>
      </c>
    </row>
    <row r="49245">
      <c r="H49245" t="s">
        <v>5117</v>
      </c>
    </row>
    <row r="49246">
      <c r="H49246" t="s">
        <v>5117</v>
      </c>
    </row>
    <row r="49247">
      <c r="H49247" t="s">
        <v>5117</v>
      </c>
    </row>
    <row r="49248">
      <c r="H49248" t="s">
        <v>5117</v>
      </c>
    </row>
    <row r="49249">
      <c r="H49249" t="s">
        <v>5117</v>
      </c>
    </row>
    <row r="49250">
      <c r="H49250" t="s">
        <v>5117</v>
      </c>
    </row>
    <row r="49251">
      <c r="H49251" t="s">
        <v>5117</v>
      </c>
    </row>
    <row r="49252">
      <c r="H49252" t="s">
        <v>5117</v>
      </c>
    </row>
    <row r="49253">
      <c r="H49253" t="s">
        <v>5117</v>
      </c>
    </row>
    <row r="49254">
      <c r="H49254" t="s">
        <v>5117</v>
      </c>
    </row>
    <row r="49255">
      <c r="H49255" t="s">
        <v>5117</v>
      </c>
    </row>
    <row r="49256">
      <c r="H49256" t="s">
        <v>5117</v>
      </c>
    </row>
    <row r="49257">
      <c r="H49257" t="s">
        <v>5117</v>
      </c>
    </row>
    <row r="49258">
      <c r="H49258" t="s">
        <v>5117</v>
      </c>
    </row>
    <row r="49259">
      <c r="H49259" t="s">
        <v>5117</v>
      </c>
    </row>
    <row r="49260">
      <c r="H49260" t="s">
        <v>5117</v>
      </c>
    </row>
    <row r="49261">
      <c r="H49261" t="s">
        <v>5117</v>
      </c>
    </row>
    <row r="49262">
      <c r="H49262" t="s">
        <v>5117</v>
      </c>
    </row>
    <row r="49263">
      <c r="H49263" t="s">
        <v>5117</v>
      </c>
    </row>
    <row r="49264">
      <c r="H49264" t="s">
        <v>5117</v>
      </c>
    </row>
    <row r="49265">
      <c r="H49265" t="s">
        <v>5117</v>
      </c>
    </row>
    <row r="49266">
      <c r="H49266" t="s">
        <v>5117</v>
      </c>
    </row>
    <row r="49267">
      <c r="H49267" t="s">
        <v>5117</v>
      </c>
    </row>
    <row r="49268">
      <c r="H49268" t="s">
        <v>5117</v>
      </c>
    </row>
    <row r="49269">
      <c r="H49269" t="s">
        <v>5117</v>
      </c>
    </row>
    <row r="49270">
      <c r="H49270" t="s">
        <v>5117</v>
      </c>
    </row>
    <row r="49271">
      <c r="H49271" t="s">
        <v>5117</v>
      </c>
    </row>
    <row r="49272">
      <c r="H49272" t="s">
        <v>5117</v>
      </c>
    </row>
    <row r="49273">
      <c r="H49273" t="s">
        <v>5117</v>
      </c>
    </row>
    <row r="49274">
      <c r="H49274" t="s">
        <v>5117</v>
      </c>
    </row>
    <row r="49275">
      <c r="H49275" t="s">
        <v>5117</v>
      </c>
    </row>
    <row r="49276">
      <c r="H49276" t="s">
        <v>5117</v>
      </c>
    </row>
    <row r="49277">
      <c r="H49277" t="s">
        <v>5117</v>
      </c>
    </row>
    <row r="49278">
      <c r="H49278" t="s">
        <v>5117</v>
      </c>
    </row>
    <row r="49279">
      <c r="H49279" t="s">
        <v>5117</v>
      </c>
    </row>
    <row r="49280">
      <c r="H49280" t="s">
        <v>5117</v>
      </c>
    </row>
    <row r="49281">
      <c r="H49281" t="s">
        <v>5117</v>
      </c>
    </row>
    <row r="49282">
      <c r="H49282" t="s">
        <v>5117</v>
      </c>
    </row>
    <row r="49283">
      <c r="H49283" t="s">
        <v>5117</v>
      </c>
    </row>
    <row r="49284">
      <c r="H49284" t="s">
        <v>5117</v>
      </c>
    </row>
    <row r="49285">
      <c r="H49285" t="s">
        <v>5117</v>
      </c>
    </row>
    <row r="49286">
      <c r="H49286" t="s">
        <v>5117</v>
      </c>
    </row>
    <row r="49287">
      <c r="H49287" t="s">
        <v>5117</v>
      </c>
    </row>
    <row r="49288">
      <c r="H49288" t="s">
        <v>5117</v>
      </c>
    </row>
    <row r="49289">
      <c r="H49289" t="s">
        <v>5117</v>
      </c>
    </row>
    <row r="49290">
      <c r="H49290" t="s">
        <v>5117</v>
      </c>
    </row>
    <row r="49291">
      <c r="H49291" t="s">
        <v>5117</v>
      </c>
    </row>
    <row r="49292">
      <c r="H49292" t="s">
        <v>5117</v>
      </c>
    </row>
    <row r="49293">
      <c r="H49293" t="s">
        <v>5117</v>
      </c>
    </row>
    <row r="49294">
      <c r="H49294" t="s">
        <v>5117</v>
      </c>
    </row>
    <row r="49295">
      <c r="H49295" t="s">
        <v>5117</v>
      </c>
    </row>
    <row r="49296">
      <c r="H49296" t="s">
        <v>5117</v>
      </c>
    </row>
    <row r="49297">
      <c r="H49297" t="s">
        <v>5117</v>
      </c>
    </row>
    <row r="49298">
      <c r="H49298" t="s">
        <v>5117</v>
      </c>
    </row>
    <row r="49299">
      <c r="H49299" t="s">
        <v>5117</v>
      </c>
    </row>
    <row r="49300">
      <c r="H49300" t="s">
        <v>5117</v>
      </c>
    </row>
    <row r="49301">
      <c r="H49301" t="s">
        <v>5117</v>
      </c>
    </row>
    <row r="49302">
      <c r="H49302" t="s">
        <v>5117</v>
      </c>
    </row>
    <row r="49303">
      <c r="H49303" t="s">
        <v>5117</v>
      </c>
    </row>
    <row r="49304">
      <c r="H49304" t="s">
        <v>5117</v>
      </c>
    </row>
    <row r="49305">
      <c r="H49305" t="s">
        <v>5117</v>
      </c>
    </row>
    <row r="49306">
      <c r="H49306" t="s">
        <v>5117</v>
      </c>
    </row>
    <row r="49307">
      <c r="H49307" t="s">
        <v>5117</v>
      </c>
    </row>
    <row r="49308">
      <c r="H49308" t="s">
        <v>5117</v>
      </c>
    </row>
    <row r="49309">
      <c r="H49309" t="s">
        <v>5117</v>
      </c>
    </row>
    <row r="49310">
      <c r="H49310" t="s">
        <v>5117</v>
      </c>
    </row>
    <row r="49311">
      <c r="H49311" t="s">
        <v>5117</v>
      </c>
    </row>
    <row r="49312">
      <c r="H49312" t="s">
        <v>5117</v>
      </c>
    </row>
    <row r="49313">
      <c r="H49313" t="s">
        <v>5117</v>
      </c>
    </row>
    <row r="49314">
      <c r="H49314" t="s">
        <v>5117</v>
      </c>
    </row>
    <row r="49315">
      <c r="H49315" t="s">
        <v>5117</v>
      </c>
    </row>
    <row r="49316">
      <c r="H49316" t="s">
        <v>5117</v>
      </c>
    </row>
    <row r="49317">
      <c r="H49317" t="s">
        <v>5117</v>
      </c>
    </row>
    <row r="49318">
      <c r="H49318" t="s">
        <v>5117</v>
      </c>
    </row>
    <row r="49319">
      <c r="H49319" t="s">
        <v>5117</v>
      </c>
    </row>
    <row r="49320">
      <c r="H49320" t="s">
        <v>5117</v>
      </c>
    </row>
    <row r="49321">
      <c r="H49321" t="s">
        <v>5117</v>
      </c>
    </row>
    <row r="49322">
      <c r="H49322" t="s">
        <v>5117</v>
      </c>
    </row>
    <row r="49323">
      <c r="H49323" t="s">
        <v>5117</v>
      </c>
    </row>
    <row r="49324">
      <c r="H49324" t="s">
        <v>5117</v>
      </c>
    </row>
    <row r="49325">
      <c r="H49325" t="s">
        <v>5117</v>
      </c>
    </row>
    <row r="49326">
      <c r="H49326" t="s">
        <v>5117</v>
      </c>
    </row>
    <row r="49327">
      <c r="H49327" t="s">
        <v>5117</v>
      </c>
    </row>
    <row r="49328">
      <c r="H49328" t="s">
        <v>5117</v>
      </c>
    </row>
    <row r="49329">
      <c r="H49329" t="s">
        <v>5117</v>
      </c>
    </row>
    <row r="49330">
      <c r="H49330" t="s">
        <v>5117</v>
      </c>
    </row>
    <row r="49331">
      <c r="H49331" t="s">
        <v>5117</v>
      </c>
    </row>
    <row r="49332">
      <c r="H49332" t="s">
        <v>5117</v>
      </c>
    </row>
    <row r="49333">
      <c r="H49333" t="s">
        <v>5117</v>
      </c>
    </row>
    <row r="49334">
      <c r="H49334" t="s">
        <v>5117</v>
      </c>
    </row>
    <row r="49335">
      <c r="H49335" t="s">
        <v>5117</v>
      </c>
    </row>
    <row r="49336">
      <c r="H49336" t="s">
        <v>5117</v>
      </c>
    </row>
    <row r="49337">
      <c r="H49337" t="s">
        <v>5117</v>
      </c>
    </row>
    <row r="49338">
      <c r="H49338" t="s">
        <v>5117</v>
      </c>
    </row>
    <row r="49339">
      <c r="H49339" t="s">
        <v>5117</v>
      </c>
    </row>
    <row r="49340">
      <c r="H49340" t="s">
        <v>5117</v>
      </c>
    </row>
    <row r="49341">
      <c r="H49341" t="s">
        <v>5117</v>
      </c>
    </row>
    <row r="49342">
      <c r="H49342" t="s">
        <v>5117</v>
      </c>
    </row>
    <row r="49343">
      <c r="H49343" t="s">
        <v>5117</v>
      </c>
    </row>
    <row r="49344">
      <c r="H49344" t="s">
        <v>5117</v>
      </c>
    </row>
    <row r="49345">
      <c r="H49345" t="s">
        <v>5117</v>
      </c>
    </row>
    <row r="49346">
      <c r="H49346" t="s">
        <v>5117</v>
      </c>
    </row>
    <row r="49347">
      <c r="H49347" t="s">
        <v>5117</v>
      </c>
    </row>
    <row r="49348">
      <c r="H49348" t="s">
        <v>5117</v>
      </c>
    </row>
    <row r="49349">
      <c r="H49349" t="s">
        <v>5117</v>
      </c>
    </row>
    <row r="49350">
      <c r="H49350" t="s">
        <v>5117</v>
      </c>
    </row>
    <row r="49351">
      <c r="H49351" t="s">
        <v>5117</v>
      </c>
    </row>
    <row r="49352">
      <c r="H49352" t="s">
        <v>5117</v>
      </c>
    </row>
    <row r="49353">
      <c r="H49353" t="s">
        <v>5117</v>
      </c>
    </row>
    <row r="49354">
      <c r="H49354" t="s">
        <v>5117</v>
      </c>
    </row>
    <row r="49355">
      <c r="H49355" t="s">
        <v>5117</v>
      </c>
    </row>
    <row r="49356">
      <c r="H49356" t="s">
        <v>5117</v>
      </c>
    </row>
    <row r="49357">
      <c r="H49357" t="s">
        <v>5117</v>
      </c>
    </row>
    <row r="49358">
      <c r="H49358" t="s">
        <v>5117</v>
      </c>
    </row>
    <row r="49359">
      <c r="H49359" t="s">
        <v>5117</v>
      </c>
    </row>
    <row r="49360">
      <c r="H49360" t="s">
        <v>5117</v>
      </c>
    </row>
    <row r="49361">
      <c r="H49361" t="s">
        <v>5117</v>
      </c>
    </row>
    <row r="49362">
      <c r="H49362" t="s">
        <v>5117</v>
      </c>
    </row>
    <row r="49363">
      <c r="H49363" t="s">
        <v>5117</v>
      </c>
    </row>
    <row r="49364">
      <c r="H49364" t="s">
        <v>5117</v>
      </c>
    </row>
    <row r="49365">
      <c r="H49365" t="s">
        <v>5117</v>
      </c>
    </row>
    <row r="49366">
      <c r="H49366" t="s">
        <v>5117</v>
      </c>
    </row>
    <row r="49367">
      <c r="H49367" t="s">
        <v>5117</v>
      </c>
    </row>
    <row r="49368">
      <c r="H49368" t="s">
        <v>5117</v>
      </c>
    </row>
    <row r="49369">
      <c r="H49369" t="s">
        <v>5117</v>
      </c>
    </row>
    <row r="49370">
      <c r="H49370" t="s">
        <v>5117</v>
      </c>
    </row>
    <row r="49371">
      <c r="H49371" t="s">
        <v>5117</v>
      </c>
    </row>
    <row r="49372">
      <c r="H49372" t="s">
        <v>5117</v>
      </c>
    </row>
    <row r="49373">
      <c r="H49373" t="s">
        <v>5117</v>
      </c>
    </row>
    <row r="49374">
      <c r="H49374" t="s">
        <v>5117</v>
      </c>
    </row>
    <row r="49375">
      <c r="H49375" t="s">
        <v>5117</v>
      </c>
    </row>
    <row r="49376">
      <c r="H49376" t="s">
        <v>5117</v>
      </c>
    </row>
    <row r="49377">
      <c r="H49377" t="s">
        <v>5117</v>
      </c>
    </row>
    <row r="49378">
      <c r="H49378" t="s">
        <v>5117</v>
      </c>
    </row>
    <row r="49379">
      <c r="H49379" t="s">
        <v>5117</v>
      </c>
    </row>
    <row r="49380">
      <c r="H49380" t="s">
        <v>5117</v>
      </c>
    </row>
    <row r="49381">
      <c r="H49381" t="s">
        <v>5117</v>
      </c>
    </row>
    <row r="49382">
      <c r="H49382" t="s">
        <v>5117</v>
      </c>
    </row>
    <row r="49383">
      <c r="H49383" t="s">
        <v>5117</v>
      </c>
    </row>
    <row r="49384">
      <c r="H49384" t="s">
        <v>5117</v>
      </c>
    </row>
    <row r="49385">
      <c r="H49385" t="s">
        <v>5117</v>
      </c>
    </row>
    <row r="49386">
      <c r="H49386" t="s">
        <v>5117</v>
      </c>
    </row>
    <row r="49387">
      <c r="H49387" t="s">
        <v>5117</v>
      </c>
    </row>
    <row r="49388">
      <c r="H49388" t="s">
        <v>5117</v>
      </c>
    </row>
    <row r="49389">
      <c r="H49389" t="s">
        <v>5117</v>
      </c>
    </row>
    <row r="49390">
      <c r="H49390" t="s">
        <v>5117</v>
      </c>
    </row>
    <row r="49391">
      <c r="H49391" t="s">
        <v>5117</v>
      </c>
    </row>
    <row r="49392">
      <c r="H49392" t="s">
        <v>5117</v>
      </c>
    </row>
    <row r="49393">
      <c r="H49393" t="s">
        <v>5117</v>
      </c>
    </row>
    <row r="49394">
      <c r="H49394" t="s">
        <v>5117</v>
      </c>
    </row>
    <row r="49395">
      <c r="H49395" t="s">
        <v>5117</v>
      </c>
    </row>
    <row r="49396">
      <c r="H49396" t="s">
        <v>5117</v>
      </c>
    </row>
    <row r="49397">
      <c r="H49397" t="s">
        <v>5117</v>
      </c>
    </row>
    <row r="49398">
      <c r="H49398" t="s">
        <v>5117</v>
      </c>
    </row>
    <row r="49399">
      <c r="H49399" t="s">
        <v>5117</v>
      </c>
    </row>
    <row r="49400">
      <c r="H49400" t="s">
        <v>5117</v>
      </c>
    </row>
    <row r="49401">
      <c r="H49401" t="s">
        <v>5117</v>
      </c>
    </row>
    <row r="49402">
      <c r="H49402" t="s">
        <v>5117</v>
      </c>
    </row>
    <row r="49403">
      <c r="H49403" t="s">
        <v>5117</v>
      </c>
    </row>
    <row r="49404">
      <c r="H49404" t="s">
        <v>5117</v>
      </c>
    </row>
    <row r="49405">
      <c r="H49405" t="s">
        <v>5117</v>
      </c>
    </row>
    <row r="49406">
      <c r="H49406" t="s">
        <v>5117</v>
      </c>
    </row>
    <row r="49407">
      <c r="H49407" t="s">
        <v>5117</v>
      </c>
    </row>
    <row r="49408">
      <c r="H49408" t="s">
        <v>5117</v>
      </c>
    </row>
    <row r="49409">
      <c r="H49409" t="s">
        <v>5117</v>
      </c>
    </row>
    <row r="49410">
      <c r="H49410" t="s">
        <v>5117</v>
      </c>
    </row>
    <row r="49411">
      <c r="H49411" t="s">
        <v>5117</v>
      </c>
    </row>
    <row r="49412">
      <c r="H49412" t="s">
        <v>5117</v>
      </c>
    </row>
    <row r="49413">
      <c r="H49413" t="s">
        <v>5117</v>
      </c>
    </row>
    <row r="49414">
      <c r="H49414" t="s">
        <v>5117</v>
      </c>
    </row>
    <row r="49415">
      <c r="H49415" t="s">
        <v>5117</v>
      </c>
    </row>
    <row r="49416">
      <c r="H49416" t="s">
        <v>5117</v>
      </c>
    </row>
    <row r="49417">
      <c r="H49417" t="s">
        <v>5117</v>
      </c>
    </row>
    <row r="49418">
      <c r="H49418" t="s">
        <v>5117</v>
      </c>
    </row>
    <row r="49419">
      <c r="H49419" t="s">
        <v>5117</v>
      </c>
    </row>
    <row r="49420">
      <c r="H49420" t="s">
        <v>5117</v>
      </c>
    </row>
    <row r="49421">
      <c r="H49421" t="s">
        <v>5117</v>
      </c>
    </row>
    <row r="49422">
      <c r="H49422" t="s">
        <v>5117</v>
      </c>
    </row>
    <row r="49423">
      <c r="H49423" t="s">
        <v>5117</v>
      </c>
    </row>
    <row r="49424">
      <c r="H49424" t="s">
        <v>5117</v>
      </c>
    </row>
    <row r="49425">
      <c r="H49425" t="s">
        <v>5117</v>
      </c>
    </row>
    <row r="49426">
      <c r="H49426" t="s">
        <v>5117</v>
      </c>
    </row>
    <row r="49427">
      <c r="H49427" t="s">
        <v>5117</v>
      </c>
    </row>
    <row r="49428">
      <c r="H49428" t="s">
        <v>5117</v>
      </c>
    </row>
    <row r="49429">
      <c r="H49429" t="s">
        <v>5117</v>
      </c>
    </row>
    <row r="49430">
      <c r="H49430" t="s">
        <v>5117</v>
      </c>
    </row>
    <row r="49431">
      <c r="H49431" t="s">
        <v>5117</v>
      </c>
    </row>
    <row r="49432">
      <c r="H49432" t="s">
        <v>5117</v>
      </c>
    </row>
    <row r="49433">
      <c r="H49433" t="s">
        <v>5117</v>
      </c>
    </row>
    <row r="49434">
      <c r="H49434" t="s">
        <v>5117</v>
      </c>
    </row>
    <row r="49435">
      <c r="H49435" t="s">
        <v>5117</v>
      </c>
    </row>
    <row r="49436">
      <c r="H49436" t="s">
        <v>5117</v>
      </c>
    </row>
    <row r="49437">
      <c r="H49437" t="s">
        <v>5117</v>
      </c>
    </row>
    <row r="49438">
      <c r="H49438" t="s">
        <v>5117</v>
      </c>
    </row>
    <row r="49439">
      <c r="H49439" t="s">
        <v>5117</v>
      </c>
    </row>
    <row r="49440">
      <c r="H49440" t="s">
        <v>5117</v>
      </c>
    </row>
    <row r="49441">
      <c r="H49441" t="s">
        <v>5117</v>
      </c>
    </row>
    <row r="49442">
      <c r="H49442" t="s">
        <v>5117</v>
      </c>
    </row>
    <row r="49443">
      <c r="H49443" t="s">
        <v>5117</v>
      </c>
    </row>
    <row r="49444">
      <c r="H49444" t="s">
        <v>5117</v>
      </c>
    </row>
    <row r="49445">
      <c r="H49445" t="s">
        <v>5117</v>
      </c>
    </row>
    <row r="49446">
      <c r="H49446" t="s">
        <v>5117</v>
      </c>
    </row>
    <row r="49447">
      <c r="H49447" t="s">
        <v>5117</v>
      </c>
    </row>
    <row r="49448">
      <c r="H49448" t="s">
        <v>5117</v>
      </c>
    </row>
    <row r="49449">
      <c r="H49449" t="s">
        <v>5117</v>
      </c>
    </row>
    <row r="49450">
      <c r="H49450" t="s">
        <v>5117</v>
      </c>
    </row>
    <row r="49451">
      <c r="H49451" t="s">
        <v>5117</v>
      </c>
    </row>
    <row r="49452">
      <c r="H49452" t="s">
        <v>5117</v>
      </c>
    </row>
    <row r="49453">
      <c r="H49453" t="s">
        <v>5117</v>
      </c>
    </row>
    <row r="49454">
      <c r="H49454" t="s">
        <v>5117</v>
      </c>
    </row>
    <row r="49455">
      <c r="H49455" t="s">
        <v>5117</v>
      </c>
    </row>
    <row r="49456">
      <c r="H49456" t="s">
        <v>5117</v>
      </c>
    </row>
    <row r="49457">
      <c r="H49457" t="s">
        <v>5117</v>
      </c>
    </row>
    <row r="49458">
      <c r="H49458" t="s">
        <v>5117</v>
      </c>
    </row>
    <row r="49459">
      <c r="H49459" t="s">
        <v>5117</v>
      </c>
    </row>
    <row r="49460">
      <c r="H49460" t="s">
        <v>5117</v>
      </c>
    </row>
    <row r="49461">
      <c r="H49461" t="s">
        <v>5117</v>
      </c>
    </row>
    <row r="49462">
      <c r="H49462" t="s">
        <v>5117</v>
      </c>
    </row>
    <row r="49463">
      <c r="H49463" t="s">
        <v>5117</v>
      </c>
    </row>
    <row r="49464">
      <c r="H49464" t="s">
        <v>5117</v>
      </c>
    </row>
    <row r="49465">
      <c r="H49465" t="s">
        <v>5117</v>
      </c>
    </row>
    <row r="49466">
      <c r="H49466" t="s">
        <v>5117</v>
      </c>
    </row>
    <row r="49467">
      <c r="H49467" t="s">
        <v>5117</v>
      </c>
    </row>
    <row r="49468">
      <c r="H49468" t="s">
        <v>5117</v>
      </c>
    </row>
    <row r="49469">
      <c r="H49469" t="s">
        <v>5117</v>
      </c>
    </row>
    <row r="49470">
      <c r="H49470" t="s">
        <v>5117</v>
      </c>
    </row>
    <row r="49471">
      <c r="H49471" t="s">
        <v>5117</v>
      </c>
    </row>
    <row r="49472">
      <c r="H49472" t="s">
        <v>5117</v>
      </c>
    </row>
    <row r="49473">
      <c r="H49473" t="s">
        <v>5117</v>
      </c>
    </row>
    <row r="49474">
      <c r="H49474" t="s">
        <v>5117</v>
      </c>
    </row>
    <row r="49475">
      <c r="H49475" t="s">
        <v>5117</v>
      </c>
    </row>
    <row r="49476">
      <c r="H49476" t="s">
        <v>5117</v>
      </c>
    </row>
    <row r="49477">
      <c r="H49477" t="s">
        <v>5117</v>
      </c>
    </row>
    <row r="49478">
      <c r="H49478" t="s">
        <v>5117</v>
      </c>
    </row>
    <row r="49479">
      <c r="H49479" t="s">
        <v>5117</v>
      </c>
    </row>
    <row r="49480">
      <c r="H49480" t="s">
        <v>5117</v>
      </c>
    </row>
    <row r="49481">
      <c r="H49481" t="s">
        <v>5117</v>
      </c>
    </row>
    <row r="49482">
      <c r="H49482" t="s">
        <v>5117</v>
      </c>
    </row>
    <row r="49483">
      <c r="H49483" t="s">
        <v>5117</v>
      </c>
    </row>
    <row r="49484">
      <c r="H49484" t="s">
        <v>5117</v>
      </c>
    </row>
    <row r="49485">
      <c r="H49485" t="s">
        <v>5117</v>
      </c>
    </row>
    <row r="49486">
      <c r="H49486" t="s">
        <v>5117</v>
      </c>
    </row>
    <row r="49487">
      <c r="H49487" t="s">
        <v>5117</v>
      </c>
    </row>
    <row r="49488">
      <c r="H49488" t="s">
        <v>5117</v>
      </c>
    </row>
    <row r="49489">
      <c r="H49489" t="s">
        <v>5117</v>
      </c>
    </row>
    <row r="49490">
      <c r="H49490" t="s">
        <v>5117</v>
      </c>
    </row>
    <row r="49491">
      <c r="H49491" t="s">
        <v>5117</v>
      </c>
    </row>
    <row r="49492">
      <c r="H49492" t="s">
        <v>5117</v>
      </c>
    </row>
    <row r="49493">
      <c r="H49493" t="s">
        <v>5117</v>
      </c>
    </row>
    <row r="49494">
      <c r="H49494" t="s">
        <v>5117</v>
      </c>
    </row>
    <row r="49495">
      <c r="H49495" t="s">
        <v>5117</v>
      </c>
    </row>
    <row r="49496">
      <c r="H49496" t="s">
        <v>5117</v>
      </c>
    </row>
    <row r="49497">
      <c r="H49497" t="s">
        <v>5117</v>
      </c>
    </row>
    <row r="49498">
      <c r="H49498" t="s">
        <v>5117</v>
      </c>
    </row>
    <row r="49499">
      <c r="H49499" t="s">
        <v>5117</v>
      </c>
    </row>
    <row r="49500">
      <c r="H49500" t="s">
        <v>5117</v>
      </c>
    </row>
    <row r="49501">
      <c r="H49501" t="s">
        <v>5117</v>
      </c>
    </row>
    <row r="49502">
      <c r="H49502" t="s">
        <v>5117</v>
      </c>
    </row>
    <row r="49503">
      <c r="H49503" t="s">
        <v>5117</v>
      </c>
    </row>
    <row r="49504">
      <c r="H49504" t="s">
        <v>5117</v>
      </c>
    </row>
    <row r="49505">
      <c r="H49505" t="s">
        <v>5117</v>
      </c>
    </row>
    <row r="49506">
      <c r="H49506" t="s">
        <v>5117</v>
      </c>
    </row>
    <row r="49507">
      <c r="H49507" t="s">
        <v>5117</v>
      </c>
    </row>
    <row r="49508">
      <c r="H49508" t="s">
        <v>5117</v>
      </c>
    </row>
    <row r="49509">
      <c r="H49509" t="s">
        <v>5117</v>
      </c>
    </row>
    <row r="49510">
      <c r="H49510" t="s">
        <v>5117</v>
      </c>
    </row>
    <row r="49511">
      <c r="H49511" t="s">
        <v>5117</v>
      </c>
    </row>
    <row r="49512">
      <c r="H49512" t="s">
        <v>5117</v>
      </c>
    </row>
    <row r="49513">
      <c r="H49513" t="s">
        <v>5117</v>
      </c>
    </row>
    <row r="49514">
      <c r="H49514" t="s">
        <v>5117</v>
      </c>
    </row>
    <row r="49515">
      <c r="H49515" t="s">
        <v>5117</v>
      </c>
    </row>
    <row r="49516">
      <c r="H49516" t="s">
        <v>5117</v>
      </c>
    </row>
    <row r="49517">
      <c r="H49517" t="s">
        <v>5117</v>
      </c>
    </row>
    <row r="49518">
      <c r="H49518" t="s">
        <v>5117</v>
      </c>
    </row>
    <row r="49519">
      <c r="H49519" t="s">
        <v>5117</v>
      </c>
    </row>
    <row r="49520">
      <c r="H49520" t="s">
        <v>5117</v>
      </c>
    </row>
    <row r="49521">
      <c r="H49521" t="s">
        <v>5117</v>
      </c>
    </row>
    <row r="49522">
      <c r="H49522" t="s">
        <v>5117</v>
      </c>
    </row>
    <row r="49523">
      <c r="H49523" t="s">
        <v>5117</v>
      </c>
    </row>
    <row r="49524">
      <c r="H49524" t="s">
        <v>5117</v>
      </c>
    </row>
    <row r="49525">
      <c r="H49525" t="s">
        <v>5117</v>
      </c>
    </row>
    <row r="49526">
      <c r="H49526" t="s">
        <v>5117</v>
      </c>
    </row>
    <row r="49527">
      <c r="H49527" t="s">
        <v>5117</v>
      </c>
    </row>
    <row r="49528">
      <c r="H49528" t="s">
        <v>5117</v>
      </c>
    </row>
    <row r="49529">
      <c r="H49529" t="s">
        <v>5117</v>
      </c>
    </row>
    <row r="49530">
      <c r="H49530" t="s">
        <v>5117</v>
      </c>
    </row>
    <row r="49531">
      <c r="H49531" t="s">
        <v>5117</v>
      </c>
    </row>
    <row r="49532">
      <c r="H49532" t="s">
        <v>5117</v>
      </c>
    </row>
    <row r="49533">
      <c r="H49533" t="s">
        <v>5117</v>
      </c>
    </row>
    <row r="49534">
      <c r="H49534" t="s">
        <v>5117</v>
      </c>
    </row>
    <row r="49535">
      <c r="H49535" t="s">
        <v>5117</v>
      </c>
    </row>
    <row r="49536">
      <c r="H49536" t="s">
        <v>5117</v>
      </c>
    </row>
    <row r="49537">
      <c r="H49537" t="s">
        <v>5117</v>
      </c>
    </row>
    <row r="49538">
      <c r="H49538" t="s">
        <v>5117</v>
      </c>
    </row>
    <row r="49539">
      <c r="H49539" t="s">
        <v>5117</v>
      </c>
    </row>
    <row r="49540">
      <c r="H49540" t="s">
        <v>5117</v>
      </c>
    </row>
    <row r="49541">
      <c r="H49541" t="s">
        <v>5117</v>
      </c>
    </row>
    <row r="49542">
      <c r="H49542" t="s">
        <v>5117</v>
      </c>
    </row>
    <row r="49543">
      <c r="H49543" t="s">
        <v>5117</v>
      </c>
    </row>
    <row r="49544">
      <c r="H49544" t="s">
        <v>5117</v>
      </c>
    </row>
    <row r="49545">
      <c r="H49545" t="s">
        <v>5117</v>
      </c>
    </row>
    <row r="49546">
      <c r="H49546" t="s">
        <v>5117</v>
      </c>
    </row>
    <row r="49547">
      <c r="H49547" t="s">
        <v>5117</v>
      </c>
    </row>
    <row r="49548">
      <c r="H49548" t="s">
        <v>5117</v>
      </c>
    </row>
    <row r="49549">
      <c r="H49549" t="s">
        <v>5117</v>
      </c>
    </row>
    <row r="49550">
      <c r="H49550" t="s">
        <v>5117</v>
      </c>
    </row>
    <row r="49551">
      <c r="H49551" t="s">
        <v>5117</v>
      </c>
    </row>
    <row r="49552">
      <c r="H49552" t="s">
        <v>5117</v>
      </c>
    </row>
    <row r="49553">
      <c r="H49553" t="s">
        <v>5117</v>
      </c>
    </row>
    <row r="49554">
      <c r="H49554" t="s">
        <v>5117</v>
      </c>
    </row>
    <row r="49555">
      <c r="H49555" t="s">
        <v>5117</v>
      </c>
    </row>
    <row r="49556">
      <c r="H49556" t="s">
        <v>5117</v>
      </c>
    </row>
    <row r="49557">
      <c r="H49557" t="s">
        <v>5117</v>
      </c>
    </row>
    <row r="49558">
      <c r="H49558" t="s">
        <v>5117</v>
      </c>
    </row>
    <row r="49559">
      <c r="H49559" t="s">
        <v>5117</v>
      </c>
    </row>
    <row r="49560">
      <c r="H49560" t="s">
        <v>5117</v>
      </c>
    </row>
    <row r="49561">
      <c r="H49561" t="s">
        <v>5117</v>
      </c>
    </row>
    <row r="49562">
      <c r="H49562" t="s">
        <v>5117</v>
      </c>
    </row>
    <row r="49563">
      <c r="H49563" t="s">
        <v>5117</v>
      </c>
    </row>
    <row r="49564">
      <c r="H49564" t="s">
        <v>5117</v>
      </c>
    </row>
    <row r="49565">
      <c r="H49565" t="s">
        <v>5117</v>
      </c>
    </row>
    <row r="49566">
      <c r="H49566" t="s">
        <v>5117</v>
      </c>
    </row>
    <row r="49567">
      <c r="H49567" t="s">
        <v>5117</v>
      </c>
    </row>
    <row r="49568">
      <c r="H49568" t="s">
        <v>5117</v>
      </c>
    </row>
    <row r="49569">
      <c r="H49569" t="s">
        <v>5117</v>
      </c>
    </row>
    <row r="49570">
      <c r="H49570" t="s">
        <v>5117</v>
      </c>
    </row>
    <row r="49571">
      <c r="H49571" t="s">
        <v>5117</v>
      </c>
    </row>
    <row r="49572">
      <c r="H49572" t="s">
        <v>5117</v>
      </c>
    </row>
    <row r="49573">
      <c r="H49573" t="s">
        <v>5117</v>
      </c>
    </row>
    <row r="49574">
      <c r="H49574" t="s">
        <v>5117</v>
      </c>
    </row>
    <row r="49575">
      <c r="H49575" t="s">
        <v>5117</v>
      </c>
    </row>
    <row r="49576">
      <c r="H49576" t="s">
        <v>5117</v>
      </c>
    </row>
    <row r="49577">
      <c r="H49577" t="s">
        <v>5117</v>
      </c>
    </row>
    <row r="49578">
      <c r="H49578" t="s">
        <v>5117</v>
      </c>
    </row>
    <row r="49579">
      <c r="H49579" t="s">
        <v>5117</v>
      </c>
    </row>
    <row r="49580">
      <c r="H49580" t="s">
        <v>5117</v>
      </c>
    </row>
    <row r="49581">
      <c r="H49581" t="s">
        <v>5117</v>
      </c>
    </row>
    <row r="49582">
      <c r="H49582" t="s">
        <v>5117</v>
      </c>
    </row>
    <row r="49583">
      <c r="H49583" t="s">
        <v>5117</v>
      </c>
    </row>
    <row r="49584">
      <c r="H49584" t="s">
        <v>5117</v>
      </c>
    </row>
    <row r="49585">
      <c r="H49585" t="s">
        <v>5117</v>
      </c>
    </row>
    <row r="49586">
      <c r="H49586" t="s">
        <v>5117</v>
      </c>
    </row>
    <row r="49587">
      <c r="H49587" t="s">
        <v>5117</v>
      </c>
    </row>
    <row r="49588">
      <c r="H49588" t="s">
        <v>5117</v>
      </c>
    </row>
    <row r="49589">
      <c r="H49589" t="s">
        <v>5117</v>
      </c>
    </row>
    <row r="49590">
      <c r="H49590" t="s">
        <v>5117</v>
      </c>
    </row>
    <row r="49591">
      <c r="H49591" t="s">
        <v>5117</v>
      </c>
    </row>
    <row r="49592">
      <c r="H49592" t="s">
        <v>5117</v>
      </c>
    </row>
    <row r="49593">
      <c r="H49593" t="s">
        <v>5117</v>
      </c>
    </row>
    <row r="49594">
      <c r="H49594" t="s">
        <v>5117</v>
      </c>
    </row>
    <row r="49595">
      <c r="H49595" t="s">
        <v>5117</v>
      </c>
    </row>
    <row r="49596">
      <c r="H49596" t="s">
        <v>5117</v>
      </c>
    </row>
    <row r="49597">
      <c r="H49597" t="s">
        <v>5117</v>
      </c>
    </row>
    <row r="49598">
      <c r="H49598" t="s">
        <v>5117</v>
      </c>
    </row>
    <row r="49599">
      <c r="H49599" t="s">
        <v>5117</v>
      </c>
    </row>
    <row r="49600">
      <c r="H49600" t="s">
        <v>5117</v>
      </c>
    </row>
    <row r="49601">
      <c r="H49601" t="s">
        <v>5117</v>
      </c>
    </row>
    <row r="49602">
      <c r="H49602" t="s">
        <v>5117</v>
      </c>
    </row>
    <row r="49603">
      <c r="H49603" t="s">
        <v>5117</v>
      </c>
    </row>
    <row r="49604">
      <c r="H49604" t="s">
        <v>5117</v>
      </c>
    </row>
    <row r="49605">
      <c r="H49605" t="s">
        <v>5117</v>
      </c>
    </row>
    <row r="49606">
      <c r="H49606" t="s">
        <v>5117</v>
      </c>
    </row>
    <row r="49607">
      <c r="H49607" t="s">
        <v>5117</v>
      </c>
    </row>
    <row r="49608">
      <c r="H49608" t="s">
        <v>5117</v>
      </c>
    </row>
    <row r="49609">
      <c r="H49609" t="s">
        <v>5117</v>
      </c>
    </row>
    <row r="49610">
      <c r="H49610" t="s">
        <v>5117</v>
      </c>
    </row>
    <row r="49611">
      <c r="H49611" t="s">
        <v>5117</v>
      </c>
    </row>
    <row r="49612">
      <c r="H49612" t="s">
        <v>5117</v>
      </c>
    </row>
    <row r="49613">
      <c r="H49613" t="s">
        <v>5117</v>
      </c>
    </row>
    <row r="49614">
      <c r="H49614" t="s">
        <v>5117</v>
      </c>
    </row>
    <row r="49615">
      <c r="H49615" t="s">
        <v>5117</v>
      </c>
    </row>
    <row r="49616">
      <c r="H49616" t="s">
        <v>5117</v>
      </c>
    </row>
    <row r="49617">
      <c r="H49617" t="s">
        <v>5117</v>
      </c>
    </row>
    <row r="49618">
      <c r="H49618" t="s">
        <v>5117</v>
      </c>
    </row>
    <row r="49619">
      <c r="H49619" t="s">
        <v>5117</v>
      </c>
    </row>
    <row r="49620">
      <c r="H49620" t="s">
        <v>5117</v>
      </c>
    </row>
    <row r="49621">
      <c r="H49621" t="s">
        <v>5117</v>
      </c>
    </row>
    <row r="49622">
      <c r="H49622" t="s">
        <v>5117</v>
      </c>
    </row>
    <row r="49623">
      <c r="H49623" t="s">
        <v>5117</v>
      </c>
    </row>
    <row r="49624">
      <c r="H49624" t="s">
        <v>5117</v>
      </c>
    </row>
    <row r="49625">
      <c r="H49625" t="s">
        <v>5117</v>
      </c>
    </row>
    <row r="49626">
      <c r="H49626" t="s">
        <v>5117</v>
      </c>
    </row>
    <row r="49627">
      <c r="H49627" t="s">
        <v>5117</v>
      </c>
    </row>
    <row r="49628">
      <c r="H49628" t="s">
        <v>5117</v>
      </c>
    </row>
    <row r="49629">
      <c r="H49629" t="s">
        <v>5117</v>
      </c>
    </row>
    <row r="49630">
      <c r="H49630" t="s">
        <v>5117</v>
      </c>
    </row>
    <row r="49631">
      <c r="H49631" t="s">
        <v>5117</v>
      </c>
    </row>
    <row r="49632">
      <c r="H49632" t="s">
        <v>5117</v>
      </c>
    </row>
    <row r="49633">
      <c r="H49633" t="s">
        <v>5117</v>
      </c>
    </row>
    <row r="49634">
      <c r="H49634" t="s">
        <v>5117</v>
      </c>
    </row>
    <row r="49635">
      <c r="H49635" t="s">
        <v>5117</v>
      </c>
    </row>
    <row r="49636">
      <c r="H49636" t="s">
        <v>5117</v>
      </c>
    </row>
    <row r="49637">
      <c r="H49637" t="s">
        <v>5117</v>
      </c>
    </row>
    <row r="49638">
      <c r="H49638" t="s">
        <v>5117</v>
      </c>
    </row>
    <row r="49639">
      <c r="H49639" t="s">
        <v>5117</v>
      </c>
    </row>
    <row r="49640">
      <c r="H49640" t="s">
        <v>5117</v>
      </c>
    </row>
    <row r="49641">
      <c r="H49641" t="s">
        <v>5117</v>
      </c>
    </row>
    <row r="49642">
      <c r="H49642" t="s">
        <v>5117</v>
      </c>
    </row>
    <row r="49643">
      <c r="H49643" t="s">
        <v>5117</v>
      </c>
    </row>
    <row r="49644">
      <c r="H49644" t="s">
        <v>5117</v>
      </c>
    </row>
    <row r="49645">
      <c r="H49645" t="s">
        <v>5117</v>
      </c>
    </row>
    <row r="49646">
      <c r="H49646" t="s">
        <v>5117</v>
      </c>
    </row>
    <row r="49647">
      <c r="H49647" t="s">
        <v>5117</v>
      </c>
    </row>
    <row r="49648">
      <c r="H49648" t="s">
        <v>5117</v>
      </c>
    </row>
    <row r="49649">
      <c r="H49649" t="s">
        <v>5117</v>
      </c>
    </row>
    <row r="49650">
      <c r="H49650" t="s">
        <v>5117</v>
      </c>
    </row>
    <row r="49651">
      <c r="H49651" t="s">
        <v>5117</v>
      </c>
    </row>
    <row r="49652">
      <c r="H49652" t="s">
        <v>5117</v>
      </c>
    </row>
    <row r="49653">
      <c r="H49653" t="s">
        <v>5117</v>
      </c>
    </row>
    <row r="49654">
      <c r="H49654" t="s">
        <v>5117</v>
      </c>
    </row>
    <row r="49655">
      <c r="H49655" t="s">
        <v>5117</v>
      </c>
    </row>
    <row r="49656">
      <c r="H49656" t="s">
        <v>5117</v>
      </c>
    </row>
    <row r="49657">
      <c r="H49657" t="s">
        <v>5117</v>
      </c>
    </row>
    <row r="49658">
      <c r="H49658" t="s">
        <v>5117</v>
      </c>
    </row>
    <row r="49659">
      <c r="H49659" t="s">
        <v>5117</v>
      </c>
    </row>
    <row r="49660">
      <c r="H49660" t="s">
        <v>5117</v>
      </c>
    </row>
    <row r="49661">
      <c r="H49661" t="s">
        <v>5117</v>
      </c>
    </row>
    <row r="49662">
      <c r="H49662" t="s">
        <v>5117</v>
      </c>
    </row>
    <row r="49663">
      <c r="H49663" t="s">
        <v>5117</v>
      </c>
    </row>
    <row r="49664">
      <c r="H49664" t="s">
        <v>5117</v>
      </c>
    </row>
    <row r="49665">
      <c r="H49665" t="s">
        <v>5117</v>
      </c>
    </row>
    <row r="49666">
      <c r="H49666" t="s">
        <v>5117</v>
      </c>
    </row>
    <row r="49667">
      <c r="H49667" t="s">
        <v>5117</v>
      </c>
    </row>
    <row r="49668">
      <c r="H49668" t="s">
        <v>5117</v>
      </c>
    </row>
    <row r="49669">
      <c r="H49669" t="s">
        <v>5117</v>
      </c>
    </row>
    <row r="49670">
      <c r="H49670" t="s">
        <v>5117</v>
      </c>
    </row>
    <row r="49671">
      <c r="H49671" t="s">
        <v>5117</v>
      </c>
    </row>
    <row r="49672">
      <c r="H49672" t="s">
        <v>5117</v>
      </c>
    </row>
    <row r="49673">
      <c r="H49673" t="s">
        <v>5117</v>
      </c>
    </row>
    <row r="49674">
      <c r="H49674" t="s">
        <v>5117</v>
      </c>
    </row>
    <row r="49675">
      <c r="H49675" t="s">
        <v>5117</v>
      </c>
    </row>
    <row r="49676">
      <c r="H49676" t="s">
        <v>5117</v>
      </c>
    </row>
    <row r="49677">
      <c r="H49677" t="s">
        <v>5117</v>
      </c>
    </row>
    <row r="49678">
      <c r="H49678" t="s">
        <v>5117</v>
      </c>
    </row>
    <row r="49679">
      <c r="H49679" t="s">
        <v>5117</v>
      </c>
    </row>
    <row r="49680">
      <c r="H49680" t="s">
        <v>5117</v>
      </c>
    </row>
    <row r="49681">
      <c r="H49681" t="s">
        <v>5117</v>
      </c>
    </row>
    <row r="49682">
      <c r="H49682" t="s">
        <v>5117</v>
      </c>
    </row>
    <row r="49683">
      <c r="H49683" t="s">
        <v>5117</v>
      </c>
    </row>
    <row r="49684">
      <c r="H49684" t="s">
        <v>5117</v>
      </c>
    </row>
    <row r="49685">
      <c r="H49685" t="s">
        <v>5117</v>
      </c>
    </row>
    <row r="49686">
      <c r="H49686" t="s">
        <v>5117</v>
      </c>
    </row>
    <row r="49687">
      <c r="H49687" t="s">
        <v>5117</v>
      </c>
    </row>
    <row r="49688">
      <c r="H49688" t="s">
        <v>5117</v>
      </c>
    </row>
    <row r="49689">
      <c r="H49689" t="s">
        <v>5117</v>
      </c>
    </row>
    <row r="49690">
      <c r="H49690" t="s">
        <v>5117</v>
      </c>
    </row>
    <row r="49691">
      <c r="H49691" t="s">
        <v>5117</v>
      </c>
    </row>
    <row r="49692">
      <c r="H49692" t="s">
        <v>5117</v>
      </c>
    </row>
    <row r="49693">
      <c r="H49693" t="s">
        <v>5117</v>
      </c>
    </row>
    <row r="49694">
      <c r="H49694" t="s">
        <v>5117</v>
      </c>
    </row>
    <row r="49695">
      <c r="H49695" t="s">
        <v>5117</v>
      </c>
    </row>
    <row r="49696">
      <c r="H49696" t="s">
        <v>5117</v>
      </c>
    </row>
    <row r="49697">
      <c r="H49697" t="s">
        <v>5117</v>
      </c>
    </row>
    <row r="49698">
      <c r="H49698" t="s">
        <v>5117</v>
      </c>
    </row>
    <row r="49699">
      <c r="H49699" t="s">
        <v>5117</v>
      </c>
    </row>
    <row r="49700">
      <c r="H49700" t="s">
        <v>5117</v>
      </c>
    </row>
    <row r="49701">
      <c r="H49701" t="s">
        <v>5117</v>
      </c>
    </row>
    <row r="49702">
      <c r="H49702" t="s">
        <v>5117</v>
      </c>
    </row>
    <row r="49703">
      <c r="H49703" t="s">
        <v>5117</v>
      </c>
    </row>
    <row r="49704">
      <c r="H49704" t="s">
        <v>5117</v>
      </c>
    </row>
    <row r="49705">
      <c r="H49705" t="s">
        <v>5117</v>
      </c>
    </row>
    <row r="49706">
      <c r="H49706" t="s">
        <v>5117</v>
      </c>
    </row>
    <row r="49707">
      <c r="H49707" t="s">
        <v>5117</v>
      </c>
    </row>
    <row r="49708">
      <c r="H49708" t="s">
        <v>5117</v>
      </c>
    </row>
    <row r="49709">
      <c r="H49709" t="s">
        <v>5117</v>
      </c>
    </row>
    <row r="49710">
      <c r="H49710" t="s">
        <v>5117</v>
      </c>
    </row>
    <row r="49711">
      <c r="H49711" t="s">
        <v>5117</v>
      </c>
    </row>
    <row r="49712">
      <c r="H49712" t="s">
        <v>5117</v>
      </c>
    </row>
    <row r="49713">
      <c r="H49713" t="s">
        <v>5117</v>
      </c>
    </row>
    <row r="49714">
      <c r="H49714" t="s">
        <v>5117</v>
      </c>
    </row>
    <row r="49715">
      <c r="H49715" t="s">
        <v>5117</v>
      </c>
    </row>
    <row r="49716">
      <c r="H49716" t="s">
        <v>5117</v>
      </c>
    </row>
    <row r="49717">
      <c r="H49717" t="s">
        <v>5117</v>
      </c>
    </row>
    <row r="49718">
      <c r="H49718" t="s">
        <v>5117</v>
      </c>
    </row>
    <row r="49719">
      <c r="H49719" t="s">
        <v>5117</v>
      </c>
    </row>
    <row r="49720">
      <c r="H49720" t="s">
        <v>5117</v>
      </c>
    </row>
    <row r="49721">
      <c r="H49721" t="s">
        <v>5117</v>
      </c>
    </row>
    <row r="49722">
      <c r="H49722" t="s">
        <v>5117</v>
      </c>
    </row>
    <row r="49723">
      <c r="H49723" t="s">
        <v>5117</v>
      </c>
    </row>
    <row r="49724">
      <c r="H49724" t="s">
        <v>5117</v>
      </c>
    </row>
    <row r="49725">
      <c r="H49725" t="s">
        <v>5117</v>
      </c>
    </row>
    <row r="49726">
      <c r="H49726" t="s">
        <v>5117</v>
      </c>
    </row>
    <row r="49727">
      <c r="H49727" t="s">
        <v>5117</v>
      </c>
    </row>
    <row r="49728">
      <c r="H49728" t="s">
        <v>5117</v>
      </c>
    </row>
    <row r="49729">
      <c r="H49729" t="s">
        <v>5117</v>
      </c>
    </row>
    <row r="49730">
      <c r="H49730" t="s">
        <v>5117</v>
      </c>
    </row>
    <row r="49731">
      <c r="H49731" t="s">
        <v>5117</v>
      </c>
    </row>
    <row r="49732">
      <c r="H49732" t="s">
        <v>5117</v>
      </c>
    </row>
    <row r="49733">
      <c r="H49733" t="s">
        <v>5117</v>
      </c>
    </row>
    <row r="49734">
      <c r="H49734" t="s">
        <v>5117</v>
      </c>
    </row>
    <row r="49735">
      <c r="H49735" t="s">
        <v>5117</v>
      </c>
    </row>
    <row r="49736">
      <c r="H49736" t="s">
        <v>5117</v>
      </c>
    </row>
    <row r="49737">
      <c r="H49737" t="s">
        <v>5117</v>
      </c>
    </row>
    <row r="49738">
      <c r="H49738" t="s">
        <v>5117</v>
      </c>
    </row>
    <row r="49739">
      <c r="H49739" t="s">
        <v>5117</v>
      </c>
    </row>
    <row r="49740">
      <c r="H49740" t="s">
        <v>5117</v>
      </c>
    </row>
    <row r="49741">
      <c r="H49741" t="s">
        <v>5117</v>
      </c>
    </row>
    <row r="49742">
      <c r="H49742" t="s">
        <v>5117</v>
      </c>
    </row>
    <row r="49743">
      <c r="H49743" t="s">
        <v>5117</v>
      </c>
    </row>
    <row r="49744">
      <c r="H49744" t="s">
        <v>5117</v>
      </c>
    </row>
    <row r="49745">
      <c r="H49745" t="s">
        <v>5117</v>
      </c>
    </row>
    <row r="49746">
      <c r="H49746" t="s">
        <v>5117</v>
      </c>
    </row>
    <row r="49747">
      <c r="H49747" t="s">
        <v>5117</v>
      </c>
    </row>
    <row r="49748">
      <c r="H49748" t="s">
        <v>5117</v>
      </c>
    </row>
    <row r="49749">
      <c r="H49749" t="s">
        <v>5117</v>
      </c>
    </row>
    <row r="49750">
      <c r="H49750" t="s">
        <v>5117</v>
      </c>
    </row>
    <row r="49751">
      <c r="H49751" t="s">
        <v>5117</v>
      </c>
    </row>
    <row r="49752">
      <c r="H49752" t="s">
        <v>5117</v>
      </c>
    </row>
    <row r="49753">
      <c r="H49753" t="s">
        <v>5117</v>
      </c>
    </row>
    <row r="49754">
      <c r="H49754" t="s">
        <v>5117</v>
      </c>
    </row>
    <row r="49755">
      <c r="H49755" t="s">
        <v>5117</v>
      </c>
    </row>
    <row r="49756">
      <c r="H49756" t="s">
        <v>5117</v>
      </c>
    </row>
    <row r="49757">
      <c r="H49757" t="s">
        <v>5117</v>
      </c>
    </row>
    <row r="49758">
      <c r="H49758" t="s">
        <v>5117</v>
      </c>
    </row>
    <row r="49759">
      <c r="H49759" t="s">
        <v>5117</v>
      </c>
    </row>
    <row r="49760">
      <c r="H49760" t="s">
        <v>5117</v>
      </c>
    </row>
    <row r="49761">
      <c r="H49761" t="s">
        <v>5117</v>
      </c>
    </row>
    <row r="49762">
      <c r="H49762" t="s">
        <v>5117</v>
      </c>
    </row>
    <row r="49763">
      <c r="H49763" t="s">
        <v>5117</v>
      </c>
    </row>
    <row r="49764">
      <c r="H49764" t="s">
        <v>5117</v>
      </c>
    </row>
    <row r="49765">
      <c r="H49765" t="s">
        <v>5117</v>
      </c>
    </row>
    <row r="49766">
      <c r="H49766" t="s">
        <v>5117</v>
      </c>
    </row>
    <row r="49767">
      <c r="H49767" t="s">
        <v>5117</v>
      </c>
    </row>
    <row r="49768">
      <c r="H49768" t="s">
        <v>5117</v>
      </c>
    </row>
    <row r="49769">
      <c r="H49769" t="s">
        <v>5117</v>
      </c>
    </row>
    <row r="49770">
      <c r="H49770" t="s">
        <v>5117</v>
      </c>
    </row>
    <row r="49771">
      <c r="H49771" t="s">
        <v>5117</v>
      </c>
    </row>
    <row r="49772">
      <c r="H49772" t="s">
        <v>5117</v>
      </c>
    </row>
    <row r="49773">
      <c r="H49773" t="s">
        <v>5117</v>
      </c>
    </row>
    <row r="49774">
      <c r="H49774" t="s">
        <v>5117</v>
      </c>
    </row>
    <row r="49775">
      <c r="H49775" t="s">
        <v>5117</v>
      </c>
    </row>
    <row r="49776">
      <c r="H49776" t="s">
        <v>5117</v>
      </c>
    </row>
    <row r="49777">
      <c r="H49777" t="s">
        <v>5117</v>
      </c>
    </row>
    <row r="49778">
      <c r="H49778" t="s">
        <v>5117</v>
      </c>
    </row>
    <row r="49779">
      <c r="H49779" t="s">
        <v>5117</v>
      </c>
    </row>
    <row r="49780">
      <c r="H49780" t="s">
        <v>5117</v>
      </c>
    </row>
    <row r="49781">
      <c r="H49781" t="s">
        <v>5117</v>
      </c>
    </row>
    <row r="49782">
      <c r="H49782" t="s">
        <v>5117</v>
      </c>
    </row>
    <row r="49783">
      <c r="H49783" t="s">
        <v>5117</v>
      </c>
    </row>
    <row r="49784">
      <c r="H49784" t="s">
        <v>5117</v>
      </c>
    </row>
    <row r="49785">
      <c r="H49785" t="s">
        <v>5117</v>
      </c>
    </row>
    <row r="49786">
      <c r="H49786" t="s">
        <v>5117</v>
      </c>
    </row>
    <row r="49787">
      <c r="H49787" t="s">
        <v>5117</v>
      </c>
    </row>
    <row r="49788">
      <c r="H49788" t="s">
        <v>5117</v>
      </c>
    </row>
    <row r="49789">
      <c r="H49789" t="s">
        <v>5117</v>
      </c>
    </row>
    <row r="49790">
      <c r="H49790" t="s">
        <v>5117</v>
      </c>
    </row>
    <row r="49791">
      <c r="H49791" t="s">
        <v>5117</v>
      </c>
    </row>
    <row r="49792">
      <c r="H49792" t="s">
        <v>5117</v>
      </c>
    </row>
    <row r="49793">
      <c r="H49793" t="s">
        <v>5117</v>
      </c>
    </row>
    <row r="49794">
      <c r="H49794" t="s">
        <v>5117</v>
      </c>
    </row>
    <row r="49795">
      <c r="H49795" t="s">
        <v>5117</v>
      </c>
    </row>
    <row r="49796">
      <c r="H49796" t="s">
        <v>5117</v>
      </c>
    </row>
    <row r="49797">
      <c r="H49797" t="s">
        <v>5117</v>
      </c>
    </row>
    <row r="49798">
      <c r="H49798" t="s">
        <v>5117</v>
      </c>
    </row>
    <row r="49799">
      <c r="H49799" t="s">
        <v>5117</v>
      </c>
    </row>
    <row r="49800">
      <c r="H49800" t="s">
        <v>5117</v>
      </c>
    </row>
    <row r="49801">
      <c r="H49801" t="s">
        <v>5117</v>
      </c>
    </row>
    <row r="49802">
      <c r="H49802" t="s">
        <v>5117</v>
      </c>
    </row>
    <row r="49803">
      <c r="H49803" t="s">
        <v>5117</v>
      </c>
    </row>
    <row r="49804">
      <c r="H49804" t="s">
        <v>5117</v>
      </c>
    </row>
    <row r="49805">
      <c r="H49805" t="s">
        <v>5117</v>
      </c>
    </row>
    <row r="49806">
      <c r="H49806" t="s">
        <v>5117</v>
      </c>
    </row>
    <row r="49807">
      <c r="H49807" t="s">
        <v>5117</v>
      </c>
    </row>
    <row r="49808">
      <c r="H49808" t="s">
        <v>5117</v>
      </c>
    </row>
    <row r="49809">
      <c r="H49809" t="s">
        <v>5117</v>
      </c>
    </row>
    <row r="49810">
      <c r="H49810" t="s">
        <v>5117</v>
      </c>
    </row>
    <row r="49811">
      <c r="H49811" t="s">
        <v>5117</v>
      </c>
    </row>
    <row r="49812">
      <c r="H49812" t="s">
        <v>5117</v>
      </c>
    </row>
    <row r="49813">
      <c r="H49813" t="s">
        <v>5117</v>
      </c>
    </row>
    <row r="49814">
      <c r="H49814" t="s">
        <v>5117</v>
      </c>
    </row>
    <row r="49815">
      <c r="H49815" t="s">
        <v>5117</v>
      </c>
    </row>
    <row r="49816">
      <c r="H49816" t="s">
        <v>5117</v>
      </c>
    </row>
    <row r="49817">
      <c r="H49817" t="s">
        <v>5117</v>
      </c>
    </row>
    <row r="49818">
      <c r="H49818" t="s">
        <v>5117</v>
      </c>
    </row>
    <row r="49819">
      <c r="H49819" t="s">
        <v>5117</v>
      </c>
    </row>
    <row r="49820">
      <c r="H49820" t="s">
        <v>5117</v>
      </c>
    </row>
    <row r="49821">
      <c r="H49821" t="s">
        <v>5117</v>
      </c>
    </row>
    <row r="49822">
      <c r="H49822" t="s">
        <v>5117</v>
      </c>
    </row>
    <row r="49823">
      <c r="H49823" t="s">
        <v>5117</v>
      </c>
    </row>
    <row r="49824">
      <c r="H49824" t="s">
        <v>5117</v>
      </c>
    </row>
    <row r="49825">
      <c r="H49825" t="s">
        <v>5117</v>
      </c>
    </row>
    <row r="49826">
      <c r="H49826" t="s">
        <v>5117</v>
      </c>
    </row>
    <row r="49827">
      <c r="H49827" t="s">
        <v>5117</v>
      </c>
    </row>
    <row r="49828">
      <c r="H49828" t="s">
        <v>5117</v>
      </c>
    </row>
    <row r="49829">
      <c r="H49829" t="s">
        <v>5117</v>
      </c>
    </row>
    <row r="49830">
      <c r="H49830" t="s">
        <v>5117</v>
      </c>
    </row>
    <row r="49831">
      <c r="H49831" t="s">
        <v>5117</v>
      </c>
    </row>
    <row r="49832">
      <c r="H49832" t="s">
        <v>5117</v>
      </c>
    </row>
    <row r="49833">
      <c r="H49833" t="s">
        <v>5117</v>
      </c>
    </row>
    <row r="49834">
      <c r="H49834" t="s">
        <v>5117</v>
      </c>
    </row>
    <row r="49835">
      <c r="H49835" t="s">
        <v>5117</v>
      </c>
    </row>
    <row r="49836">
      <c r="H49836" t="s">
        <v>5117</v>
      </c>
    </row>
    <row r="49837">
      <c r="H49837" t="s">
        <v>5117</v>
      </c>
    </row>
    <row r="49838">
      <c r="H49838" t="s">
        <v>5117</v>
      </c>
    </row>
    <row r="49839">
      <c r="H49839" t="s">
        <v>5117</v>
      </c>
    </row>
    <row r="49840">
      <c r="H49840" t="s">
        <v>5117</v>
      </c>
    </row>
    <row r="49841">
      <c r="H49841" t="s">
        <v>5117</v>
      </c>
    </row>
    <row r="49842">
      <c r="H49842" t="s">
        <v>5117</v>
      </c>
    </row>
    <row r="49843">
      <c r="H49843" t="s">
        <v>5117</v>
      </c>
    </row>
    <row r="49844">
      <c r="H49844" t="s">
        <v>5117</v>
      </c>
    </row>
    <row r="49845">
      <c r="H49845" t="s">
        <v>5117</v>
      </c>
    </row>
    <row r="49846">
      <c r="H49846" t="s">
        <v>5117</v>
      </c>
    </row>
    <row r="49847">
      <c r="H49847" t="s">
        <v>5117</v>
      </c>
    </row>
    <row r="49848">
      <c r="H49848" t="s">
        <v>5117</v>
      </c>
    </row>
    <row r="49849">
      <c r="H49849" t="s">
        <v>5117</v>
      </c>
    </row>
    <row r="49850">
      <c r="H49850" t="s">
        <v>5117</v>
      </c>
    </row>
    <row r="49851">
      <c r="H49851" t="s">
        <v>5117</v>
      </c>
    </row>
    <row r="49852">
      <c r="H49852" t="s">
        <v>5117</v>
      </c>
    </row>
    <row r="49853">
      <c r="H49853" t="s">
        <v>5117</v>
      </c>
    </row>
    <row r="49854">
      <c r="H49854" t="s">
        <v>5117</v>
      </c>
    </row>
    <row r="49855">
      <c r="H49855" t="s">
        <v>5117</v>
      </c>
    </row>
    <row r="49856">
      <c r="H49856" t="s">
        <v>5117</v>
      </c>
    </row>
    <row r="49857">
      <c r="H49857" t="s">
        <v>5117</v>
      </c>
    </row>
    <row r="49858">
      <c r="H49858" t="s">
        <v>5117</v>
      </c>
    </row>
    <row r="49859">
      <c r="H49859" t="s">
        <v>5117</v>
      </c>
    </row>
    <row r="49860">
      <c r="H49860" t="s">
        <v>5117</v>
      </c>
    </row>
    <row r="49861">
      <c r="H49861" t="s">
        <v>5117</v>
      </c>
    </row>
    <row r="49862">
      <c r="H49862" t="s">
        <v>5117</v>
      </c>
    </row>
    <row r="49863">
      <c r="H49863" t="s">
        <v>5117</v>
      </c>
    </row>
    <row r="49864">
      <c r="H49864" t="s">
        <v>5117</v>
      </c>
    </row>
    <row r="49865">
      <c r="H49865" t="s">
        <v>5117</v>
      </c>
    </row>
    <row r="49866">
      <c r="H49866" t="s">
        <v>5117</v>
      </c>
    </row>
    <row r="49867">
      <c r="H49867" t="s">
        <v>5117</v>
      </c>
    </row>
    <row r="49868">
      <c r="H49868" t="s">
        <v>5117</v>
      </c>
    </row>
    <row r="49869">
      <c r="H49869" t="s">
        <v>5117</v>
      </c>
    </row>
    <row r="49870">
      <c r="H49870" t="s">
        <v>5117</v>
      </c>
    </row>
    <row r="49871">
      <c r="H49871" t="s">
        <v>5117</v>
      </c>
    </row>
    <row r="49872">
      <c r="H49872" t="s">
        <v>5117</v>
      </c>
    </row>
    <row r="49873">
      <c r="H49873" t="s">
        <v>5117</v>
      </c>
    </row>
    <row r="49874">
      <c r="H49874" t="s">
        <v>5117</v>
      </c>
    </row>
    <row r="49875">
      <c r="H49875" t="s">
        <v>5117</v>
      </c>
    </row>
    <row r="49876">
      <c r="H49876" t="s">
        <v>5117</v>
      </c>
    </row>
    <row r="49877">
      <c r="H49877" t="s">
        <v>5117</v>
      </c>
    </row>
    <row r="49878">
      <c r="H49878" t="s">
        <v>5117</v>
      </c>
    </row>
    <row r="49879">
      <c r="H49879" t="s">
        <v>5117</v>
      </c>
    </row>
    <row r="49880">
      <c r="H49880" t="s">
        <v>5117</v>
      </c>
    </row>
    <row r="49881">
      <c r="H49881" t="s">
        <v>5117</v>
      </c>
    </row>
    <row r="49882">
      <c r="H49882" t="s">
        <v>5117</v>
      </c>
    </row>
    <row r="49883">
      <c r="H49883" t="s">
        <v>5117</v>
      </c>
    </row>
    <row r="49884">
      <c r="H49884" t="s">
        <v>5117</v>
      </c>
    </row>
    <row r="49885">
      <c r="H49885" t="s">
        <v>5117</v>
      </c>
    </row>
    <row r="49886">
      <c r="H49886" t="s">
        <v>5117</v>
      </c>
    </row>
    <row r="49887">
      <c r="H49887" t="s">
        <v>5117</v>
      </c>
    </row>
    <row r="49888">
      <c r="H49888" t="s">
        <v>5117</v>
      </c>
    </row>
    <row r="49889">
      <c r="H49889" t="s">
        <v>5117</v>
      </c>
    </row>
    <row r="49890">
      <c r="H49890" t="s">
        <v>5117</v>
      </c>
    </row>
    <row r="49891">
      <c r="H49891" t="s">
        <v>5117</v>
      </c>
    </row>
    <row r="49892">
      <c r="H49892" t="s">
        <v>5117</v>
      </c>
    </row>
    <row r="49893">
      <c r="H49893" t="s">
        <v>5117</v>
      </c>
    </row>
    <row r="49894">
      <c r="H49894" t="s">
        <v>5117</v>
      </c>
    </row>
    <row r="49895">
      <c r="H49895" t="s">
        <v>5117</v>
      </c>
    </row>
    <row r="49896">
      <c r="H49896" t="s">
        <v>5117</v>
      </c>
    </row>
    <row r="49897">
      <c r="H49897" t="s">
        <v>5117</v>
      </c>
    </row>
    <row r="49898">
      <c r="H49898" t="s">
        <v>5117</v>
      </c>
    </row>
    <row r="49899">
      <c r="H49899" t="s">
        <v>5117</v>
      </c>
    </row>
    <row r="49900">
      <c r="H49900" t="s">
        <v>5117</v>
      </c>
    </row>
    <row r="49901">
      <c r="H49901" t="s">
        <v>5117</v>
      </c>
    </row>
    <row r="49902">
      <c r="H49902" t="s">
        <v>5117</v>
      </c>
    </row>
    <row r="49903">
      <c r="H49903" t="s">
        <v>5117</v>
      </c>
    </row>
    <row r="49904">
      <c r="H49904" t="s">
        <v>5117</v>
      </c>
    </row>
    <row r="49905">
      <c r="H49905" t="s">
        <v>5117</v>
      </c>
    </row>
    <row r="49906">
      <c r="H49906" t="s">
        <v>5117</v>
      </c>
    </row>
    <row r="49907">
      <c r="H49907" t="s">
        <v>5117</v>
      </c>
    </row>
    <row r="49908">
      <c r="H49908" t="s">
        <v>5117</v>
      </c>
    </row>
    <row r="49909">
      <c r="H49909" t="s">
        <v>5117</v>
      </c>
    </row>
    <row r="49910">
      <c r="H49910" t="s">
        <v>5117</v>
      </c>
    </row>
    <row r="49911">
      <c r="H49911" t="s">
        <v>5117</v>
      </c>
    </row>
    <row r="49912">
      <c r="H49912" t="s">
        <v>5117</v>
      </c>
    </row>
    <row r="49913">
      <c r="H49913" t="s">
        <v>5117</v>
      </c>
    </row>
    <row r="49914">
      <c r="H49914" t="s">
        <v>5117</v>
      </c>
    </row>
    <row r="49915">
      <c r="H49915" t="s">
        <v>5117</v>
      </c>
    </row>
    <row r="49916">
      <c r="H49916" t="s">
        <v>5117</v>
      </c>
    </row>
    <row r="49917">
      <c r="H49917" t="s">
        <v>5117</v>
      </c>
    </row>
    <row r="49918">
      <c r="H49918" t="s">
        <v>5117</v>
      </c>
    </row>
    <row r="49919">
      <c r="H49919" t="s">
        <v>5117</v>
      </c>
    </row>
    <row r="49920">
      <c r="H49920" t="s">
        <v>5117</v>
      </c>
    </row>
    <row r="49921">
      <c r="H49921" t="s">
        <v>5117</v>
      </c>
    </row>
    <row r="49922">
      <c r="H49922" t="s">
        <v>5117</v>
      </c>
    </row>
    <row r="49923">
      <c r="H49923" t="s">
        <v>5117</v>
      </c>
    </row>
    <row r="49924">
      <c r="H49924" t="s">
        <v>5117</v>
      </c>
    </row>
    <row r="49925">
      <c r="H49925" t="s">
        <v>5117</v>
      </c>
    </row>
    <row r="49926">
      <c r="H49926" t="s">
        <v>5117</v>
      </c>
    </row>
    <row r="49927">
      <c r="H49927" t="s">
        <v>5117</v>
      </c>
    </row>
    <row r="49928">
      <c r="H49928" t="s">
        <v>5117</v>
      </c>
    </row>
    <row r="49929">
      <c r="H49929" t="s">
        <v>5117</v>
      </c>
    </row>
    <row r="49930">
      <c r="H49930" t="s">
        <v>5117</v>
      </c>
    </row>
    <row r="49931">
      <c r="H49931" t="s">
        <v>5117</v>
      </c>
    </row>
    <row r="49932">
      <c r="H49932" t="s">
        <v>5117</v>
      </c>
    </row>
    <row r="49933">
      <c r="H49933" t="s">
        <v>5117</v>
      </c>
    </row>
    <row r="49934">
      <c r="H49934" t="s">
        <v>5117</v>
      </c>
    </row>
    <row r="49935">
      <c r="H49935" t="s">
        <v>5117</v>
      </c>
    </row>
    <row r="49936">
      <c r="H49936" t="s">
        <v>5117</v>
      </c>
    </row>
    <row r="49937">
      <c r="H49937" t="s">
        <v>5117</v>
      </c>
    </row>
    <row r="49938">
      <c r="H49938" t="s">
        <v>5117</v>
      </c>
    </row>
    <row r="49939">
      <c r="H49939" t="s">
        <v>5117</v>
      </c>
    </row>
    <row r="49940">
      <c r="H49940" t="s">
        <v>5117</v>
      </c>
    </row>
    <row r="49941">
      <c r="H49941" t="s">
        <v>5117</v>
      </c>
    </row>
    <row r="49942">
      <c r="H49942" t="s">
        <v>5117</v>
      </c>
    </row>
    <row r="49943">
      <c r="H49943" t="s">
        <v>5117</v>
      </c>
    </row>
    <row r="49944">
      <c r="H49944" t="s">
        <v>5117</v>
      </c>
    </row>
    <row r="49945">
      <c r="H49945" t="s">
        <v>5117</v>
      </c>
    </row>
    <row r="49946">
      <c r="H49946" t="s">
        <v>5117</v>
      </c>
    </row>
    <row r="49947">
      <c r="H49947" t="s">
        <v>5117</v>
      </c>
    </row>
    <row r="49948">
      <c r="H49948" t="s">
        <v>5117</v>
      </c>
    </row>
    <row r="49949">
      <c r="H49949" t="s">
        <v>5117</v>
      </c>
    </row>
    <row r="49950">
      <c r="H49950" t="s">
        <v>5117</v>
      </c>
    </row>
    <row r="49951">
      <c r="H49951" t="s">
        <v>5117</v>
      </c>
    </row>
    <row r="49952">
      <c r="H49952" t="s">
        <v>5117</v>
      </c>
    </row>
    <row r="49953">
      <c r="H49953" t="s">
        <v>5117</v>
      </c>
    </row>
    <row r="49954">
      <c r="H49954" t="s">
        <v>5117</v>
      </c>
    </row>
    <row r="49955">
      <c r="H49955" t="s">
        <v>5117</v>
      </c>
    </row>
    <row r="49956">
      <c r="H49956" t="s">
        <v>5117</v>
      </c>
    </row>
    <row r="49957">
      <c r="H49957" t="s">
        <v>5117</v>
      </c>
    </row>
    <row r="49958">
      <c r="H49958" t="s">
        <v>5117</v>
      </c>
    </row>
    <row r="49959">
      <c r="H49959" t="s">
        <v>5117</v>
      </c>
    </row>
    <row r="49960">
      <c r="H49960" t="s">
        <v>5117</v>
      </c>
    </row>
    <row r="49961">
      <c r="H49961" t="s">
        <v>5117</v>
      </c>
    </row>
    <row r="49962">
      <c r="H49962" t="s">
        <v>5117</v>
      </c>
    </row>
    <row r="49963">
      <c r="H49963" t="s">
        <v>5117</v>
      </c>
    </row>
    <row r="49964">
      <c r="H49964" t="s">
        <v>5117</v>
      </c>
    </row>
    <row r="49965">
      <c r="H49965" t="s">
        <v>5117</v>
      </c>
    </row>
    <row r="49966">
      <c r="H49966" t="s">
        <v>5117</v>
      </c>
    </row>
    <row r="49967">
      <c r="H49967" t="s">
        <v>5117</v>
      </c>
    </row>
    <row r="49968">
      <c r="H49968" t="s">
        <v>5117</v>
      </c>
    </row>
    <row r="49969">
      <c r="H49969" t="s">
        <v>5117</v>
      </c>
    </row>
    <row r="49970">
      <c r="H49970" t="s">
        <v>5117</v>
      </c>
    </row>
    <row r="49971">
      <c r="H49971" t="s">
        <v>5117</v>
      </c>
    </row>
    <row r="49972">
      <c r="H49972" t="s">
        <v>5117</v>
      </c>
    </row>
    <row r="49973">
      <c r="H49973" t="s">
        <v>5117</v>
      </c>
    </row>
    <row r="49974">
      <c r="H49974" t="s">
        <v>5117</v>
      </c>
    </row>
    <row r="49975">
      <c r="H49975" t="s">
        <v>5117</v>
      </c>
    </row>
    <row r="49976">
      <c r="H49976" t="s">
        <v>5117</v>
      </c>
    </row>
    <row r="49977">
      <c r="H49977" t="s">
        <v>5117</v>
      </c>
    </row>
    <row r="49978">
      <c r="H49978" t="s">
        <v>5117</v>
      </c>
    </row>
    <row r="49979">
      <c r="H49979" t="s">
        <v>5117</v>
      </c>
    </row>
    <row r="49980">
      <c r="H49980" t="s">
        <v>5117</v>
      </c>
    </row>
    <row r="49981">
      <c r="H49981" t="s">
        <v>5117</v>
      </c>
    </row>
    <row r="49982">
      <c r="H49982" t="s">
        <v>5117</v>
      </c>
    </row>
    <row r="49983">
      <c r="H49983" t="s">
        <v>5117</v>
      </c>
    </row>
    <row r="49984">
      <c r="H49984" t="s">
        <v>5117</v>
      </c>
    </row>
    <row r="49985">
      <c r="H49985" t="s">
        <v>5117</v>
      </c>
    </row>
    <row r="49986">
      <c r="H49986" t="s">
        <v>5117</v>
      </c>
    </row>
    <row r="49987">
      <c r="H49987" t="s">
        <v>5117</v>
      </c>
    </row>
    <row r="49988">
      <c r="H49988" t="s">
        <v>5117</v>
      </c>
    </row>
    <row r="49989">
      <c r="H49989" t="s">
        <v>5117</v>
      </c>
    </row>
    <row r="49990">
      <c r="H49990" t="s">
        <v>5117</v>
      </c>
    </row>
    <row r="49991">
      <c r="H49991" t="s">
        <v>5117</v>
      </c>
    </row>
    <row r="49992">
      <c r="H49992" t="s">
        <v>5117</v>
      </c>
    </row>
    <row r="49993">
      <c r="H49993" t="s">
        <v>5117</v>
      </c>
    </row>
    <row r="49994">
      <c r="H49994" t="s">
        <v>5117</v>
      </c>
    </row>
    <row r="49995">
      <c r="H49995" t="s">
        <v>5117</v>
      </c>
    </row>
    <row r="49996">
      <c r="H49996" t="s">
        <v>5117</v>
      </c>
    </row>
    <row r="49997">
      <c r="H49997" t="s">
        <v>5117</v>
      </c>
    </row>
    <row r="49998">
      <c r="H49998" t="s">
        <v>5117</v>
      </c>
    </row>
    <row r="49999">
      <c r="H49999" t="s">
        <v>5117</v>
      </c>
    </row>
    <row r="50000">
      <c r="H50000" t="s">
        <v>5117</v>
      </c>
    </row>
    <row r="50001">
      <c r="H50001" t="s">
        <v>5117</v>
      </c>
    </row>
    <row r="50002">
      <c r="H50002" t="s">
        <v>5117</v>
      </c>
    </row>
    <row r="50003">
      <c r="H50003" t="s">
        <v>5117</v>
      </c>
    </row>
    <row r="50004">
      <c r="H50004" t="s">
        <v>5117</v>
      </c>
    </row>
    <row r="50005">
      <c r="H50005" t="s">
        <v>5117</v>
      </c>
    </row>
    <row r="50006">
      <c r="H50006" t="s">
        <v>5117</v>
      </c>
    </row>
    <row r="50007">
      <c r="H50007" t="s">
        <v>5117</v>
      </c>
    </row>
    <row r="50008">
      <c r="H50008" t="s">
        <v>5117</v>
      </c>
    </row>
    <row r="50009">
      <c r="H50009" t="s">
        <v>5117</v>
      </c>
    </row>
    <row r="50010">
      <c r="H50010" t="s">
        <v>5117</v>
      </c>
    </row>
    <row r="50011">
      <c r="H50011" t="s">
        <v>5117</v>
      </c>
    </row>
    <row r="50012">
      <c r="H50012" t="s">
        <v>5117</v>
      </c>
    </row>
    <row r="50013">
      <c r="H50013" t="s">
        <v>5117</v>
      </c>
    </row>
    <row r="50014">
      <c r="H50014" t="s">
        <v>5117</v>
      </c>
    </row>
    <row r="50015">
      <c r="H50015" t="s">
        <v>5117</v>
      </c>
    </row>
    <row r="50016">
      <c r="H50016" t="s">
        <v>5117</v>
      </c>
    </row>
    <row r="50017">
      <c r="H50017" t="s">
        <v>5117</v>
      </c>
    </row>
    <row r="50018">
      <c r="H50018" t="s">
        <v>5117</v>
      </c>
    </row>
    <row r="50019">
      <c r="H50019" t="s">
        <v>5117</v>
      </c>
    </row>
    <row r="50020">
      <c r="H50020" t="s">
        <v>5117</v>
      </c>
    </row>
    <row r="50021">
      <c r="H50021" t="s">
        <v>5117</v>
      </c>
    </row>
    <row r="50022">
      <c r="H50022" t="s">
        <v>5117</v>
      </c>
    </row>
    <row r="50023">
      <c r="H50023" t="s">
        <v>5117</v>
      </c>
    </row>
    <row r="50024">
      <c r="H50024" t="s">
        <v>5117</v>
      </c>
    </row>
    <row r="50025">
      <c r="H50025" t="s">
        <v>5117</v>
      </c>
    </row>
    <row r="50026">
      <c r="H50026" t="s">
        <v>5117</v>
      </c>
    </row>
    <row r="50027">
      <c r="H50027" t="s">
        <v>5117</v>
      </c>
    </row>
    <row r="50028">
      <c r="H50028" t="s">
        <v>5117</v>
      </c>
    </row>
    <row r="50029">
      <c r="H50029" t="s">
        <v>5117</v>
      </c>
    </row>
    <row r="50030">
      <c r="H50030" t="s">
        <v>5117</v>
      </c>
    </row>
    <row r="50031">
      <c r="H50031" t="s">
        <v>5117</v>
      </c>
    </row>
    <row r="50032">
      <c r="H50032" t="s">
        <v>5117</v>
      </c>
    </row>
    <row r="50033">
      <c r="H50033" t="s">
        <v>5117</v>
      </c>
    </row>
    <row r="50034">
      <c r="H50034" t="s">
        <v>5117</v>
      </c>
    </row>
    <row r="50035">
      <c r="H50035" t="s">
        <v>5117</v>
      </c>
    </row>
    <row r="50036">
      <c r="H50036" t="s">
        <v>5117</v>
      </c>
    </row>
    <row r="50037">
      <c r="H50037" t="s">
        <v>5117</v>
      </c>
    </row>
    <row r="50038">
      <c r="H50038" t="s">
        <v>5117</v>
      </c>
    </row>
    <row r="50039">
      <c r="H50039" t="s">
        <v>5117</v>
      </c>
    </row>
    <row r="50040">
      <c r="H50040" t="s">
        <v>5117</v>
      </c>
    </row>
    <row r="50041">
      <c r="H50041" t="s">
        <v>5117</v>
      </c>
    </row>
    <row r="50042">
      <c r="H50042" t="s">
        <v>5117</v>
      </c>
    </row>
    <row r="50043">
      <c r="H50043" t="s">
        <v>5117</v>
      </c>
    </row>
    <row r="50044">
      <c r="H50044" t="s">
        <v>5117</v>
      </c>
    </row>
    <row r="50045">
      <c r="H50045" t="s">
        <v>5117</v>
      </c>
    </row>
    <row r="50046">
      <c r="H50046" t="s">
        <v>5117</v>
      </c>
    </row>
    <row r="50047">
      <c r="H50047" t="s">
        <v>5117</v>
      </c>
    </row>
    <row r="50048">
      <c r="H50048" t="s">
        <v>5117</v>
      </c>
    </row>
    <row r="50049">
      <c r="H50049" t="s">
        <v>5117</v>
      </c>
    </row>
    <row r="50050">
      <c r="H50050" t="s">
        <v>5117</v>
      </c>
    </row>
    <row r="50051">
      <c r="H50051" t="s">
        <v>5117</v>
      </c>
    </row>
    <row r="50052">
      <c r="H50052" t="s">
        <v>5117</v>
      </c>
    </row>
    <row r="50053">
      <c r="H50053" t="s">
        <v>5117</v>
      </c>
    </row>
    <row r="50054">
      <c r="H50054" t="s">
        <v>5117</v>
      </c>
    </row>
    <row r="50055">
      <c r="H50055" t="s">
        <v>5117</v>
      </c>
    </row>
    <row r="50056">
      <c r="H50056" t="s">
        <v>5117</v>
      </c>
    </row>
    <row r="50057">
      <c r="H50057" t="s">
        <v>5117</v>
      </c>
    </row>
    <row r="50058">
      <c r="H50058" t="s">
        <v>5117</v>
      </c>
    </row>
    <row r="50059">
      <c r="H50059" t="s">
        <v>5117</v>
      </c>
    </row>
    <row r="50060">
      <c r="H50060" t="s">
        <v>5117</v>
      </c>
    </row>
    <row r="50061">
      <c r="H50061" t="s">
        <v>5117</v>
      </c>
    </row>
    <row r="50062">
      <c r="H50062" t="s">
        <v>5117</v>
      </c>
    </row>
    <row r="50063">
      <c r="H50063" t="s">
        <v>5117</v>
      </c>
    </row>
    <row r="50064">
      <c r="H50064" t="s">
        <v>5117</v>
      </c>
    </row>
    <row r="50065">
      <c r="H50065" t="s">
        <v>5117</v>
      </c>
    </row>
    <row r="50066">
      <c r="H50066" t="s">
        <v>5117</v>
      </c>
    </row>
    <row r="50067">
      <c r="H50067" t="s">
        <v>5117</v>
      </c>
    </row>
    <row r="50068">
      <c r="H50068" t="s">
        <v>5117</v>
      </c>
    </row>
    <row r="50069">
      <c r="H50069" t="s">
        <v>5117</v>
      </c>
    </row>
    <row r="50070">
      <c r="H50070" t="s">
        <v>5117</v>
      </c>
    </row>
    <row r="50071">
      <c r="H50071" t="s">
        <v>5117</v>
      </c>
    </row>
    <row r="50072">
      <c r="H50072" t="s">
        <v>5117</v>
      </c>
    </row>
    <row r="50073">
      <c r="H50073" t="s">
        <v>5117</v>
      </c>
    </row>
    <row r="50074">
      <c r="H50074" t="s">
        <v>5117</v>
      </c>
    </row>
    <row r="50075">
      <c r="H50075" t="s">
        <v>5117</v>
      </c>
    </row>
    <row r="50076">
      <c r="H50076" t="s">
        <v>5117</v>
      </c>
    </row>
    <row r="50077">
      <c r="H50077" t="s">
        <v>5117</v>
      </c>
    </row>
    <row r="50078">
      <c r="H50078" t="s">
        <v>5117</v>
      </c>
    </row>
    <row r="50079">
      <c r="H50079" t="s">
        <v>5117</v>
      </c>
    </row>
    <row r="50080">
      <c r="H50080" t="s">
        <v>5117</v>
      </c>
    </row>
    <row r="50081">
      <c r="H50081" t="s">
        <v>5117</v>
      </c>
    </row>
    <row r="50082">
      <c r="H50082" t="s">
        <v>5117</v>
      </c>
    </row>
    <row r="50083">
      <c r="H50083" t="s">
        <v>5117</v>
      </c>
    </row>
    <row r="50084">
      <c r="H50084" t="s">
        <v>5117</v>
      </c>
    </row>
    <row r="50085">
      <c r="H50085" t="s">
        <v>5117</v>
      </c>
    </row>
    <row r="50086">
      <c r="H50086" t="s">
        <v>5117</v>
      </c>
    </row>
    <row r="50087">
      <c r="H50087" t="s">
        <v>5117</v>
      </c>
    </row>
    <row r="50088">
      <c r="H50088" t="s">
        <v>5117</v>
      </c>
    </row>
    <row r="50089">
      <c r="H50089" t="s">
        <v>5117</v>
      </c>
    </row>
    <row r="50090">
      <c r="H50090" t="s">
        <v>5117</v>
      </c>
    </row>
    <row r="50091">
      <c r="H50091" t="s">
        <v>5117</v>
      </c>
    </row>
    <row r="50092">
      <c r="H50092" t="s">
        <v>5117</v>
      </c>
    </row>
    <row r="50093">
      <c r="H50093" t="s">
        <v>5117</v>
      </c>
    </row>
    <row r="50094">
      <c r="H50094" t="s">
        <v>5117</v>
      </c>
    </row>
    <row r="50095">
      <c r="H50095" t="s">
        <v>5117</v>
      </c>
    </row>
    <row r="50096">
      <c r="H50096" t="s">
        <v>5117</v>
      </c>
    </row>
    <row r="50097">
      <c r="H50097" t="s">
        <v>5117</v>
      </c>
    </row>
    <row r="50098">
      <c r="H50098" t="s">
        <v>5117</v>
      </c>
    </row>
    <row r="50099">
      <c r="H50099" t="s">
        <v>5117</v>
      </c>
    </row>
    <row r="50100">
      <c r="H50100" t="s">
        <v>5117</v>
      </c>
    </row>
    <row r="50101">
      <c r="H50101" t="s">
        <v>5117</v>
      </c>
    </row>
    <row r="50102">
      <c r="H50102" t="s">
        <v>5117</v>
      </c>
    </row>
    <row r="50103">
      <c r="H50103" t="s">
        <v>5117</v>
      </c>
    </row>
    <row r="50104">
      <c r="H50104" t="s">
        <v>5117</v>
      </c>
    </row>
    <row r="50105">
      <c r="H50105" t="s">
        <v>5117</v>
      </c>
    </row>
    <row r="50106">
      <c r="H50106" t="s">
        <v>5117</v>
      </c>
    </row>
    <row r="50107">
      <c r="H50107" t="s">
        <v>5117</v>
      </c>
    </row>
    <row r="50108">
      <c r="H50108" t="s">
        <v>5117</v>
      </c>
    </row>
    <row r="50109">
      <c r="H50109" t="s">
        <v>5117</v>
      </c>
    </row>
    <row r="50110">
      <c r="H50110" t="s">
        <v>5117</v>
      </c>
    </row>
    <row r="50111">
      <c r="H50111" t="s">
        <v>5117</v>
      </c>
    </row>
    <row r="50112">
      <c r="H50112" t="s">
        <v>5117</v>
      </c>
    </row>
    <row r="50113">
      <c r="H50113" t="s">
        <v>5117</v>
      </c>
    </row>
    <row r="50114">
      <c r="H50114" t="s">
        <v>5117</v>
      </c>
    </row>
    <row r="50115">
      <c r="H50115" t="s">
        <v>5117</v>
      </c>
    </row>
    <row r="50116">
      <c r="H50116" t="s">
        <v>5117</v>
      </c>
    </row>
    <row r="50117">
      <c r="H50117" t="s">
        <v>5117</v>
      </c>
    </row>
    <row r="50118">
      <c r="H50118" t="s">
        <v>5117</v>
      </c>
    </row>
    <row r="50119">
      <c r="H50119" t="s">
        <v>5117</v>
      </c>
    </row>
    <row r="50120">
      <c r="H50120" t="s">
        <v>5117</v>
      </c>
    </row>
    <row r="50121">
      <c r="H50121" t="s">
        <v>5117</v>
      </c>
    </row>
    <row r="50122">
      <c r="H50122" t="s">
        <v>5117</v>
      </c>
    </row>
    <row r="50123">
      <c r="H50123" t="s">
        <v>5117</v>
      </c>
    </row>
    <row r="50124">
      <c r="H50124" t="s">
        <v>5117</v>
      </c>
    </row>
    <row r="50125">
      <c r="H50125" t="s">
        <v>5117</v>
      </c>
    </row>
    <row r="50126">
      <c r="H50126" t="s">
        <v>5117</v>
      </c>
    </row>
    <row r="50127">
      <c r="H50127" t="s">
        <v>5117</v>
      </c>
    </row>
    <row r="50128">
      <c r="H50128" t="s">
        <v>5117</v>
      </c>
    </row>
    <row r="50129">
      <c r="H50129" t="s">
        <v>5117</v>
      </c>
    </row>
    <row r="50130">
      <c r="H50130" t="s">
        <v>5117</v>
      </c>
    </row>
    <row r="50131">
      <c r="H50131" t="s">
        <v>5117</v>
      </c>
    </row>
    <row r="50132">
      <c r="H50132" t="s">
        <v>5117</v>
      </c>
    </row>
    <row r="50133">
      <c r="H50133" t="s">
        <v>5117</v>
      </c>
    </row>
    <row r="50134">
      <c r="H50134" t="s">
        <v>5117</v>
      </c>
    </row>
    <row r="50135">
      <c r="H50135" t="s">
        <v>5117</v>
      </c>
    </row>
    <row r="50136">
      <c r="H50136" t="s">
        <v>5117</v>
      </c>
    </row>
    <row r="50137">
      <c r="H50137" t="s">
        <v>5117</v>
      </c>
    </row>
    <row r="50138">
      <c r="H50138" t="s">
        <v>5117</v>
      </c>
    </row>
    <row r="50139">
      <c r="H50139" t="s">
        <v>5117</v>
      </c>
    </row>
    <row r="50140">
      <c r="H50140" t="s">
        <v>5117</v>
      </c>
    </row>
    <row r="50141">
      <c r="H50141" t="s">
        <v>5117</v>
      </c>
    </row>
    <row r="50142">
      <c r="H50142" t="s">
        <v>5117</v>
      </c>
    </row>
    <row r="50143">
      <c r="H50143" t="s">
        <v>5117</v>
      </c>
    </row>
    <row r="50144">
      <c r="H50144" t="s">
        <v>5117</v>
      </c>
    </row>
    <row r="50145">
      <c r="H50145" t="s">
        <v>5117</v>
      </c>
    </row>
    <row r="50146">
      <c r="H50146" t="s">
        <v>5117</v>
      </c>
    </row>
    <row r="50147">
      <c r="H50147" t="s">
        <v>5117</v>
      </c>
    </row>
    <row r="50148">
      <c r="H50148" t="s">
        <v>5117</v>
      </c>
    </row>
    <row r="50149">
      <c r="H50149" t="s">
        <v>5117</v>
      </c>
    </row>
    <row r="50150">
      <c r="H50150" t="s">
        <v>5117</v>
      </c>
    </row>
    <row r="50151">
      <c r="H50151" t="s">
        <v>5117</v>
      </c>
    </row>
    <row r="50152">
      <c r="H50152" t="s">
        <v>5117</v>
      </c>
    </row>
    <row r="50153">
      <c r="H50153" t="s">
        <v>5117</v>
      </c>
    </row>
    <row r="50154">
      <c r="H50154" t="s">
        <v>5117</v>
      </c>
    </row>
    <row r="50155">
      <c r="H50155" t="s">
        <v>5117</v>
      </c>
    </row>
    <row r="50156">
      <c r="H50156" t="s">
        <v>5117</v>
      </c>
    </row>
    <row r="50157">
      <c r="H50157" t="s">
        <v>5117</v>
      </c>
    </row>
    <row r="50158">
      <c r="H50158" t="s">
        <v>5117</v>
      </c>
    </row>
    <row r="50159">
      <c r="H50159" t="s">
        <v>5117</v>
      </c>
    </row>
    <row r="50160">
      <c r="H50160" t="s">
        <v>5117</v>
      </c>
    </row>
    <row r="50161">
      <c r="H50161" t="s">
        <v>5117</v>
      </c>
    </row>
    <row r="50162">
      <c r="H50162" t="s">
        <v>5117</v>
      </c>
    </row>
    <row r="50163">
      <c r="H50163" t="s">
        <v>5117</v>
      </c>
    </row>
    <row r="50164">
      <c r="H50164" t="s">
        <v>5117</v>
      </c>
    </row>
    <row r="50165">
      <c r="H50165" t="s">
        <v>5117</v>
      </c>
    </row>
    <row r="50166">
      <c r="H50166" t="s">
        <v>5117</v>
      </c>
    </row>
    <row r="50167">
      <c r="H50167" t="s">
        <v>5117</v>
      </c>
    </row>
    <row r="50168">
      <c r="H50168" t="s">
        <v>5117</v>
      </c>
    </row>
    <row r="50169">
      <c r="H50169" t="s">
        <v>5117</v>
      </c>
    </row>
    <row r="50170">
      <c r="H50170" t="s">
        <v>5117</v>
      </c>
    </row>
    <row r="50171">
      <c r="H50171" t="s">
        <v>5117</v>
      </c>
    </row>
    <row r="50172">
      <c r="H50172" t="s">
        <v>5117</v>
      </c>
    </row>
    <row r="50173">
      <c r="H50173" t="s">
        <v>5117</v>
      </c>
    </row>
    <row r="50174">
      <c r="H50174" t="s">
        <v>5117</v>
      </c>
    </row>
    <row r="50175">
      <c r="H50175" t="s">
        <v>5117</v>
      </c>
    </row>
    <row r="50176">
      <c r="H50176" t="s">
        <v>5117</v>
      </c>
    </row>
    <row r="50177">
      <c r="H50177" t="s">
        <v>5117</v>
      </c>
    </row>
    <row r="50178">
      <c r="H50178" t="s">
        <v>5117</v>
      </c>
    </row>
    <row r="50179">
      <c r="H50179" t="s">
        <v>5117</v>
      </c>
    </row>
    <row r="50180">
      <c r="H50180" t="s">
        <v>5117</v>
      </c>
    </row>
    <row r="50181">
      <c r="H50181" t="s">
        <v>5117</v>
      </c>
    </row>
    <row r="50182">
      <c r="H50182" t="s">
        <v>5117</v>
      </c>
    </row>
    <row r="50183">
      <c r="H50183" t="s">
        <v>5117</v>
      </c>
    </row>
    <row r="50184">
      <c r="H50184" t="s">
        <v>5117</v>
      </c>
    </row>
    <row r="50185">
      <c r="H50185" t="s">
        <v>5117</v>
      </c>
    </row>
    <row r="50186">
      <c r="H50186" t="s">
        <v>5117</v>
      </c>
    </row>
    <row r="50187">
      <c r="H50187" t="s">
        <v>5117</v>
      </c>
    </row>
    <row r="50188">
      <c r="H50188" t="s">
        <v>5117</v>
      </c>
    </row>
    <row r="50189">
      <c r="H50189" t="s">
        <v>5117</v>
      </c>
    </row>
    <row r="50190">
      <c r="H50190" t="s">
        <v>5117</v>
      </c>
    </row>
    <row r="50191">
      <c r="H50191" t="s">
        <v>5117</v>
      </c>
    </row>
    <row r="50192">
      <c r="H50192" t="s">
        <v>5117</v>
      </c>
    </row>
    <row r="50193">
      <c r="H50193" t="s">
        <v>5117</v>
      </c>
    </row>
    <row r="50194">
      <c r="H50194" t="s">
        <v>5117</v>
      </c>
    </row>
    <row r="50195">
      <c r="H50195" t="s">
        <v>5117</v>
      </c>
    </row>
    <row r="50196">
      <c r="H50196" t="s">
        <v>5117</v>
      </c>
    </row>
    <row r="50197">
      <c r="H50197" t="s">
        <v>5117</v>
      </c>
    </row>
    <row r="50198">
      <c r="H50198" t="s">
        <v>5117</v>
      </c>
    </row>
    <row r="50199">
      <c r="H50199" t="s">
        <v>5117</v>
      </c>
    </row>
    <row r="50200">
      <c r="H50200" t="s">
        <v>5117</v>
      </c>
    </row>
    <row r="50201">
      <c r="H50201" t="s">
        <v>5117</v>
      </c>
    </row>
    <row r="50202">
      <c r="H50202" t="s">
        <v>5117</v>
      </c>
    </row>
    <row r="50203">
      <c r="H50203" t="s">
        <v>5117</v>
      </c>
    </row>
    <row r="50204">
      <c r="H50204" t="s">
        <v>5117</v>
      </c>
    </row>
    <row r="50205">
      <c r="H50205" t="s">
        <v>5117</v>
      </c>
    </row>
    <row r="50206">
      <c r="H50206" t="s">
        <v>5117</v>
      </c>
    </row>
    <row r="50207">
      <c r="H50207" t="s">
        <v>5117</v>
      </c>
    </row>
    <row r="50208">
      <c r="H50208" t="s">
        <v>5117</v>
      </c>
    </row>
    <row r="50209">
      <c r="H50209" t="s">
        <v>5117</v>
      </c>
    </row>
    <row r="50210">
      <c r="H50210" t="s">
        <v>5117</v>
      </c>
    </row>
    <row r="50211">
      <c r="H50211" t="s">
        <v>5117</v>
      </c>
    </row>
    <row r="50212">
      <c r="H50212" t="s">
        <v>5117</v>
      </c>
    </row>
    <row r="50213">
      <c r="H50213" t="s">
        <v>5117</v>
      </c>
    </row>
    <row r="50214">
      <c r="H50214" t="s">
        <v>5117</v>
      </c>
    </row>
    <row r="50215">
      <c r="H50215" t="s">
        <v>5117</v>
      </c>
    </row>
    <row r="50216">
      <c r="H50216" t="s">
        <v>5117</v>
      </c>
    </row>
    <row r="50217">
      <c r="H50217" t="s">
        <v>5117</v>
      </c>
    </row>
    <row r="50218">
      <c r="H50218" t="s">
        <v>5117</v>
      </c>
    </row>
    <row r="50219">
      <c r="H50219" t="s">
        <v>5117</v>
      </c>
    </row>
    <row r="50220">
      <c r="H50220" t="s">
        <v>5117</v>
      </c>
    </row>
    <row r="50221">
      <c r="H50221" t="s">
        <v>5117</v>
      </c>
    </row>
    <row r="50222">
      <c r="H50222" t="s">
        <v>5117</v>
      </c>
    </row>
    <row r="50223">
      <c r="H50223" t="s">
        <v>5117</v>
      </c>
    </row>
    <row r="50224">
      <c r="H50224" t="s">
        <v>5117</v>
      </c>
    </row>
    <row r="50225">
      <c r="H50225" t="s">
        <v>5117</v>
      </c>
    </row>
    <row r="50226">
      <c r="H50226" t="s">
        <v>5117</v>
      </c>
    </row>
    <row r="50227">
      <c r="H50227" t="s">
        <v>5117</v>
      </c>
    </row>
    <row r="50228">
      <c r="H50228" t="s">
        <v>5117</v>
      </c>
    </row>
    <row r="50229">
      <c r="H50229" t="s">
        <v>5117</v>
      </c>
    </row>
    <row r="50230">
      <c r="H50230" t="s">
        <v>5117</v>
      </c>
    </row>
    <row r="50231">
      <c r="H50231" t="s">
        <v>5117</v>
      </c>
    </row>
    <row r="50232">
      <c r="H50232" t="s">
        <v>5117</v>
      </c>
    </row>
    <row r="50233">
      <c r="H50233" t="s">
        <v>5117</v>
      </c>
    </row>
    <row r="50234">
      <c r="H50234" t="s">
        <v>5117</v>
      </c>
    </row>
    <row r="50235">
      <c r="H50235" t="s">
        <v>5117</v>
      </c>
    </row>
    <row r="50236">
      <c r="H50236" t="s">
        <v>5117</v>
      </c>
    </row>
    <row r="50237">
      <c r="H50237" t="s">
        <v>5117</v>
      </c>
    </row>
    <row r="50238">
      <c r="H50238" t="s">
        <v>5117</v>
      </c>
    </row>
    <row r="50239">
      <c r="H50239" t="s">
        <v>5117</v>
      </c>
    </row>
    <row r="50240">
      <c r="H50240" t="s">
        <v>5117</v>
      </c>
    </row>
    <row r="50241">
      <c r="H50241" t="s">
        <v>5117</v>
      </c>
    </row>
    <row r="50242">
      <c r="H50242" t="s">
        <v>5117</v>
      </c>
    </row>
    <row r="50243">
      <c r="H50243" t="s">
        <v>5117</v>
      </c>
    </row>
    <row r="50244">
      <c r="H50244" t="s">
        <v>5117</v>
      </c>
    </row>
    <row r="50245">
      <c r="H50245" t="s">
        <v>5117</v>
      </c>
    </row>
    <row r="50246">
      <c r="H50246" t="s">
        <v>5117</v>
      </c>
    </row>
    <row r="50247">
      <c r="H50247" t="s">
        <v>5117</v>
      </c>
    </row>
    <row r="50248">
      <c r="H50248" t="s">
        <v>5117</v>
      </c>
    </row>
    <row r="50249">
      <c r="H50249" t="s">
        <v>5117</v>
      </c>
    </row>
    <row r="50250">
      <c r="H50250" t="s">
        <v>5117</v>
      </c>
    </row>
    <row r="50251">
      <c r="H50251" t="s">
        <v>5117</v>
      </c>
    </row>
    <row r="50252">
      <c r="H50252" t="s">
        <v>5117</v>
      </c>
    </row>
    <row r="50253">
      <c r="H50253" t="s">
        <v>5117</v>
      </c>
    </row>
    <row r="50254">
      <c r="H50254" t="s">
        <v>5117</v>
      </c>
    </row>
    <row r="50255">
      <c r="H50255" t="s">
        <v>5117</v>
      </c>
    </row>
    <row r="50256">
      <c r="H50256" t="s">
        <v>5117</v>
      </c>
    </row>
    <row r="50257">
      <c r="H50257" t="s">
        <v>5117</v>
      </c>
    </row>
    <row r="50258">
      <c r="H50258" t="s">
        <v>5117</v>
      </c>
    </row>
    <row r="50259">
      <c r="H50259" t="s">
        <v>5117</v>
      </c>
    </row>
    <row r="50260">
      <c r="H50260" t="s">
        <v>5117</v>
      </c>
    </row>
    <row r="50261">
      <c r="H50261" t="s">
        <v>5117</v>
      </c>
    </row>
    <row r="50262">
      <c r="H50262" t="s">
        <v>5117</v>
      </c>
    </row>
    <row r="50263">
      <c r="H50263" t="s">
        <v>5117</v>
      </c>
    </row>
    <row r="50264">
      <c r="H50264" t="s">
        <v>5117</v>
      </c>
    </row>
    <row r="50265">
      <c r="H50265" t="s">
        <v>5117</v>
      </c>
    </row>
    <row r="50266">
      <c r="H50266" t="s">
        <v>5117</v>
      </c>
    </row>
    <row r="50267">
      <c r="H50267" t="s">
        <v>5117</v>
      </c>
    </row>
    <row r="50268">
      <c r="H50268" t="s">
        <v>5117</v>
      </c>
    </row>
    <row r="50269">
      <c r="H50269" t="s">
        <v>5117</v>
      </c>
    </row>
    <row r="50270">
      <c r="H50270" t="s">
        <v>5117</v>
      </c>
    </row>
    <row r="50271">
      <c r="H50271" t="s">
        <v>5117</v>
      </c>
    </row>
    <row r="50272">
      <c r="H50272" t="s">
        <v>5117</v>
      </c>
    </row>
    <row r="50273">
      <c r="H50273" t="s">
        <v>5117</v>
      </c>
    </row>
    <row r="50274">
      <c r="H50274" t="s">
        <v>5117</v>
      </c>
    </row>
    <row r="50275">
      <c r="H50275" t="s">
        <v>5117</v>
      </c>
    </row>
    <row r="50276">
      <c r="H50276" t="s">
        <v>5117</v>
      </c>
    </row>
    <row r="50277">
      <c r="H50277" t="s">
        <v>5117</v>
      </c>
    </row>
    <row r="50278">
      <c r="H50278" t="s">
        <v>5117</v>
      </c>
    </row>
    <row r="50279">
      <c r="H50279" t="s">
        <v>5117</v>
      </c>
    </row>
    <row r="50280">
      <c r="H50280" t="s">
        <v>5117</v>
      </c>
    </row>
    <row r="50281">
      <c r="H50281" t="s">
        <v>5117</v>
      </c>
    </row>
    <row r="50282">
      <c r="H50282" t="s">
        <v>5117</v>
      </c>
    </row>
    <row r="50283">
      <c r="H50283" t="s">
        <v>5117</v>
      </c>
    </row>
    <row r="50284">
      <c r="H50284" t="s">
        <v>5117</v>
      </c>
    </row>
    <row r="50285">
      <c r="H50285" t="s">
        <v>5117</v>
      </c>
    </row>
    <row r="50286">
      <c r="H50286" t="s">
        <v>5117</v>
      </c>
    </row>
    <row r="50287">
      <c r="H50287" t="s">
        <v>5117</v>
      </c>
    </row>
    <row r="50288">
      <c r="H50288" t="s">
        <v>5117</v>
      </c>
    </row>
    <row r="50289">
      <c r="H50289" t="s">
        <v>5117</v>
      </c>
    </row>
    <row r="50290">
      <c r="H50290" t="s">
        <v>5117</v>
      </c>
    </row>
    <row r="50291">
      <c r="H50291" t="s">
        <v>5117</v>
      </c>
    </row>
    <row r="50292">
      <c r="H50292" t="s">
        <v>5117</v>
      </c>
    </row>
    <row r="50293">
      <c r="H50293" t="s">
        <v>5117</v>
      </c>
    </row>
    <row r="50294">
      <c r="H50294" t="s">
        <v>5117</v>
      </c>
    </row>
    <row r="50295">
      <c r="H50295" t="s">
        <v>5117</v>
      </c>
    </row>
    <row r="50296">
      <c r="H50296" t="s">
        <v>5117</v>
      </c>
    </row>
    <row r="50297">
      <c r="H50297" t="s">
        <v>5117</v>
      </c>
    </row>
    <row r="50298">
      <c r="H50298" t="s">
        <v>5117</v>
      </c>
    </row>
    <row r="50299">
      <c r="H50299" t="s">
        <v>5117</v>
      </c>
    </row>
    <row r="50300">
      <c r="H50300" t="s">
        <v>5117</v>
      </c>
    </row>
    <row r="50301">
      <c r="H50301" t="s">
        <v>5117</v>
      </c>
    </row>
    <row r="50302">
      <c r="H50302" t="s">
        <v>5117</v>
      </c>
    </row>
    <row r="50303">
      <c r="H50303" t="s">
        <v>5117</v>
      </c>
    </row>
    <row r="50304">
      <c r="H50304" t="s">
        <v>5117</v>
      </c>
    </row>
    <row r="50305">
      <c r="H50305" t="s">
        <v>5117</v>
      </c>
    </row>
    <row r="50306">
      <c r="H50306" t="s">
        <v>5117</v>
      </c>
    </row>
    <row r="50307">
      <c r="H50307" t="s">
        <v>5117</v>
      </c>
    </row>
    <row r="50308">
      <c r="H50308" t="s">
        <v>5117</v>
      </c>
    </row>
    <row r="50309">
      <c r="H50309" t="s">
        <v>5117</v>
      </c>
    </row>
    <row r="50310">
      <c r="H50310" t="s">
        <v>5117</v>
      </c>
    </row>
    <row r="50311">
      <c r="H50311" t="s">
        <v>5117</v>
      </c>
    </row>
    <row r="50312">
      <c r="H50312" t="s">
        <v>5117</v>
      </c>
    </row>
    <row r="50313">
      <c r="H50313" t="s">
        <v>5117</v>
      </c>
    </row>
    <row r="50314">
      <c r="H50314" t="s">
        <v>5117</v>
      </c>
    </row>
    <row r="50315">
      <c r="H50315" t="s">
        <v>5117</v>
      </c>
    </row>
    <row r="50316">
      <c r="H50316" t="s">
        <v>5117</v>
      </c>
    </row>
    <row r="50317">
      <c r="H50317" t="s">
        <v>5117</v>
      </c>
    </row>
    <row r="50318">
      <c r="H50318" t="s">
        <v>5117</v>
      </c>
    </row>
    <row r="50319">
      <c r="H50319" t="s">
        <v>5117</v>
      </c>
    </row>
    <row r="50320">
      <c r="H50320" t="s">
        <v>5117</v>
      </c>
    </row>
    <row r="50321">
      <c r="H50321" t="s">
        <v>5117</v>
      </c>
    </row>
    <row r="50322">
      <c r="H50322" t="s">
        <v>5117</v>
      </c>
    </row>
    <row r="50323">
      <c r="H50323" t="s">
        <v>5117</v>
      </c>
    </row>
    <row r="50324">
      <c r="H50324" t="s">
        <v>5117</v>
      </c>
    </row>
    <row r="50325">
      <c r="H50325" t="s">
        <v>5117</v>
      </c>
    </row>
    <row r="50326">
      <c r="H50326" t="s">
        <v>5117</v>
      </c>
    </row>
    <row r="50327">
      <c r="H50327" t="s">
        <v>5117</v>
      </c>
    </row>
    <row r="50328">
      <c r="H50328" t="s">
        <v>5117</v>
      </c>
    </row>
    <row r="50329">
      <c r="H50329" t="s">
        <v>5117</v>
      </c>
    </row>
    <row r="50330">
      <c r="H50330" t="s">
        <v>5117</v>
      </c>
    </row>
    <row r="50331">
      <c r="H50331" t="s">
        <v>5117</v>
      </c>
    </row>
    <row r="50332">
      <c r="H50332" t="s">
        <v>5117</v>
      </c>
    </row>
    <row r="50333">
      <c r="H50333" t="s">
        <v>5117</v>
      </c>
    </row>
    <row r="50334">
      <c r="H50334" t="s">
        <v>5117</v>
      </c>
    </row>
    <row r="50335">
      <c r="H50335" t="s">
        <v>5117</v>
      </c>
    </row>
    <row r="50336">
      <c r="H50336" t="s">
        <v>5117</v>
      </c>
    </row>
    <row r="50337">
      <c r="H50337" t="s">
        <v>5117</v>
      </c>
    </row>
    <row r="50338">
      <c r="H50338" t="s">
        <v>5117</v>
      </c>
    </row>
    <row r="50339">
      <c r="H50339" t="s">
        <v>5117</v>
      </c>
    </row>
    <row r="50340">
      <c r="H50340" t="s">
        <v>5117</v>
      </c>
    </row>
    <row r="50341">
      <c r="H50341" t="s">
        <v>5117</v>
      </c>
    </row>
    <row r="50342">
      <c r="H50342" t="s">
        <v>5117</v>
      </c>
    </row>
    <row r="50343">
      <c r="H50343" t="s">
        <v>5117</v>
      </c>
    </row>
    <row r="50344">
      <c r="H50344" t="s">
        <v>5117</v>
      </c>
    </row>
    <row r="50345">
      <c r="H50345" t="s">
        <v>5117</v>
      </c>
    </row>
    <row r="50346">
      <c r="H50346" t="s">
        <v>5117</v>
      </c>
    </row>
    <row r="50347">
      <c r="H50347" t="s">
        <v>5117</v>
      </c>
    </row>
    <row r="50348">
      <c r="H50348" t="s">
        <v>5117</v>
      </c>
    </row>
    <row r="50349">
      <c r="H50349" t="s">
        <v>5117</v>
      </c>
    </row>
    <row r="50350">
      <c r="H50350" t="s">
        <v>5117</v>
      </c>
    </row>
    <row r="50351">
      <c r="H50351" t="s">
        <v>5117</v>
      </c>
    </row>
    <row r="50352">
      <c r="H50352" t="s">
        <v>5117</v>
      </c>
    </row>
    <row r="50353">
      <c r="H50353" t="s">
        <v>5117</v>
      </c>
    </row>
    <row r="50354">
      <c r="H50354" t="s">
        <v>5117</v>
      </c>
    </row>
    <row r="50355">
      <c r="H50355" t="s">
        <v>5117</v>
      </c>
    </row>
    <row r="50356">
      <c r="H50356" t="s">
        <v>5117</v>
      </c>
    </row>
    <row r="50357">
      <c r="H50357" t="s">
        <v>5117</v>
      </c>
    </row>
    <row r="50358">
      <c r="H50358" t="s">
        <v>5117</v>
      </c>
    </row>
    <row r="50359">
      <c r="H50359" t="s">
        <v>5117</v>
      </c>
    </row>
    <row r="50360">
      <c r="H50360" t="s">
        <v>5117</v>
      </c>
    </row>
    <row r="50361">
      <c r="H50361" t="s">
        <v>5117</v>
      </c>
    </row>
    <row r="50362">
      <c r="H50362" t="s">
        <v>5117</v>
      </c>
    </row>
    <row r="50363">
      <c r="H50363" t="s">
        <v>5117</v>
      </c>
    </row>
    <row r="50364">
      <c r="H50364" t="s">
        <v>5117</v>
      </c>
    </row>
    <row r="50365">
      <c r="H50365" t="s">
        <v>5117</v>
      </c>
    </row>
    <row r="50366">
      <c r="H50366" t="s">
        <v>5117</v>
      </c>
    </row>
    <row r="50367">
      <c r="H50367" t="s">
        <v>5117</v>
      </c>
    </row>
    <row r="50368">
      <c r="H50368" t="s">
        <v>5117</v>
      </c>
    </row>
    <row r="50369">
      <c r="H50369" t="s">
        <v>5117</v>
      </c>
    </row>
    <row r="50370">
      <c r="H50370" t="s">
        <v>5117</v>
      </c>
    </row>
    <row r="50371">
      <c r="H50371" t="s">
        <v>5117</v>
      </c>
    </row>
    <row r="50372">
      <c r="H50372" t="s">
        <v>5117</v>
      </c>
    </row>
    <row r="50373">
      <c r="H50373" t="s">
        <v>5117</v>
      </c>
    </row>
    <row r="50374">
      <c r="H50374" t="s">
        <v>5117</v>
      </c>
    </row>
    <row r="50375">
      <c r="H50375" t="s">
        <v>5117</v>
      </c>
    </row>
    <row r="50376">
      <c r="H50376" t="s">
        <v>5117</v>
      </c>
    </row>
    <row r="50377">
      <c r="H50377" t="s">
        <v>5117</v>
      </c>
    </row>
    <row r="50378">
      <c r="H50378" t="s">
        <v>5117</v>
      </c>
    </row>
    <row r="50379">
      <c r="H50379" t="s">
        <v>5117</v>
      </c>
    </row>
    <row r="50380">
      <c r="H50380" t="s">
        <v>5117</v>
      </c>
    </row>
    <row r="50381">
      <c r="H50381" t="s">
        <v>5117</v>
      </c>
    </row>
    <row r="50382">
      <c r="H50382" t="s">
        <v>5117</v>
      </c>
    </row>
    <row r="50383">
      <c r="H50383" t="s">
        <v>5117</v>
      </c>
    </row>
    <row r="50384">
      <c r="H50384" t="s">
        <v>5117</v>
      </c>
    </row>
    <row r="50385">
      <c r="H50385" t="s">
        <v>5117</v>
      </c>
    </row>
    <row r="50386">
      <c r="H50386" t="s">
        <v>5117</v>
      </c>
    </row>
    <row r="50387">
      <c r="H50387" t="s">
        <v>5117</v>
      </c>
    </row>
    <row r="50388">
      <c r="H50388" t="s">
        <v>5117</v>
      </c>
    </row>
    <row r="50389">
      <c r="H50389" t="s">
        <v>5117</v>
      </c>
    </row>
    <row r="50390">
      <c r="H50390" t="s">
        <v>5117</v>
      </c>
    </row>
    <row r="50391">
      <c r="H50391" t="s">
        <v>5117</v>
      </c>
    </row>
    <row r="50392">
      <c r="H50392" t="s">
        <v>5117</v>
      </c>
    </row>
    <row r="50393">
      <c r="H50393" t="s">
        <v>5117</v>
      </c>
    </row>
    <row r="50394">
      <c r="H50394" t="s">
        <v>5117</v>
      </c>
    </row>
    <row r="50395">
      <c r="H50395" t="s">
        <v>5117</v>
      </c>
    </row>
    <row r="50396">
      <c r="H50396" t="s">
        <v>5117</v>
      </c>
    </row>
    <row r="50397">
      <c r="H50397" t="s">
        <v>5117</v>
      </c>
    </row>
    <row r="50398">
      <c r="H50398" t="s">
        <v>5117</v>
      </c>
    </row>
    <row r="50399">
      <c r="H50399" t="s">
        <v>5117</v>
      </c>
    </row>
    <row r="50400">
      <c r="H50400" t="s">
        <v>5117</v>
      </c>
    </row>
    <row r="50401">
      <c r="H50401" t="s">
        <v>5117</v>
      </c>
    </row>
    <row r="50402">
      <c r="H50402" t="s">
        <v>5117</v>
      </c>
    </row>
    <row r="50403">
      <c r="H50403" t="s">
        <v>5117</v>
      </c>
    </row>
    <row r="50404">
      <c r="H50404" t="s">
        <v>5117</v>
      </c>
    </row>
    <row r="50405">
      <c r="H50405" t="s">
        <v>5117</v>
      </c>
    </row>
    <row r="50406">
      <c r="H50406" t="s">
        <v>5117</v>
      </c>
    </row>
    <row r="50407">
      <c r="H50407" t="s">
        <v>5117</v>
      </c>
    </row>
    <row r="50408">
      <c r="H50408" t="s">
        <v>5117</v>
      </c>
    </row>
    <row r="50409">
      <c r="H50409" t="s">
        <v>5117</v>
      </c>
    </row>
    <row r="50410">
      <c r="H50410" t="s">
        <v>5117</v>
      </c>
    </row>
    <row r="50411">
      <c r="H50411" t="s">
        <v>5117</v>
      </c>
    </row>
    <row r="50412">
      <c r="H50412" t="s">
        <v>5117</v>
      </c>
    </row>
    <row r="50413">
      <c r="H50413" t="s">
        <v>5117</v>
      </c>
    </row>
    <row r="50414">
      <c r="H50414" t="s">
        <v>5117</v>
      </c>
    </row>
    <row r="50415">
      <c r="H50415" t="s">
        <v>5117</v>
      </c>
    </row>
    <row r="50416">
      <c r="H50416" t="s">
        <v>5117</v>
      </c>
    </row>
    <row r="50417">
      <c r="H50417" t="s">
        <v>5117</v>
      </c>
    </row>
    <row r="50418">
      <c r="H50418" t="s">
        <v>5117</v>
      </c>
    </row>
    <row r="50419">
      <c r="H50419" t="s">
        <v>5117</v>
      </c>
    </row>
    <row r="50420">
      <c r="H50420" t="s">
        <v>5117</v>
      </c>
    </row>
    <row r="50421">
      <c r="H50421" t="s">
        <v>5117</v>
      </c>
    </row>
    <row r="50422">
      <c r="H50422" t="s">
        <v>5117</v>
      </c>
    </row>
    <row r="50423">
      <c r="H50423" t="s">
        <v>5117</v>
      </c>
    </row>
    <row r="50424">
      <c r="H50424" t="s">
        <v>5117</v>
      </c>
    </row>
    <row r="50425">
      <c r="H50425" t="s">
        <v>5117</v>
      </c>
    </row>
    <row r="50426">
      <c r="H50426" t="s">
        <v>5117</v>
      </c>
    </row>
    <row r="50427">
      <c r="H50427" t="s">
        <v>5117</v>
      </c>
    </row>
    <row r="50428">
      <c r="H50428" t="s">
        <v>5117</v>
      </c>
    </row>
    <row r="50429">
      <c r="H50429" t="s">
        <v>5117</v>
      </c>
    </row>
    <row r="50430">
      <c r="H50430" t="s">
        <v>5117</v>
      </c>
    </row>
    <row r="50431">
      <c r="H50431" t="s">
        <v>5117</v>
      </c>
    </row>
    <row r="50432">
      <c r="H50432" t="s">
        <v>5117</v>
      </c>
    </row>
    <row r="50433">
      <c r="H50433" t="s">
        <v>5117</v>
      </c>
    </row>
    <row r="50434">
      <c r="H50434" t="s">
        <v>5117</v>
      </c>
    </row>
    <row r="50435">
      <c r="H50435" t="s">
        <v>5117</v>
      </c>
    </row>
    <row r="50436">
      <c r="H50436" t="s">
        <v>5117</v>
      </c>
    </row>
    <row r="50437">
      <c r="H50437" t="s">
        <v>5117</v>
      </c>
    </row>
    <row r="50438">
      <c r="H50438" t="s">
        <v>5117</v>
      </c>
    </row>
    <row r="50439">
      <c r="H50439" t="s">
        <v>5117</v>
      </c>
    </row>
    <row r="50440">
      <c r="H50440" t="s">
        <v>5117</v>
      </c>
    </row>
    <row r="50441">
      <c r="H50441" t="s">
        <v>5117</v>
      </c>
    </row>
    <row r="50442">
      <c r="H50442" t="s">
        <v>5117</v>
      </c>
    </row>
    <row r="50443">
      <c r="H50443" t="s">
        <v>5117</v>
      </c>
    </row>
    <row r="50444">
      <c r="H50444" t="s">
        <v>5117</v>
      </c>
    </row>
    <row r="50445">
      <c r="H50445" t="s">
        <v>5117</v>
      </c>
    </row>
    <row r="50446">
      <c r="H50446" t="s">
        <v>5117</v>
      </c>
    </row>
    <row r="50447">
      <c r="H50447" t="s">
        <v>5117</v>
      </c>
    </row>
    <row r="50448">
      <c r="H50448" t="s">
        <v>5117</v>
      </c>
    </row>
    <row r="50449">
      <c r="H50449" t="s">
        <v>5117</v>
      </c>
    </row>
    <row r="50450">
      <c r="H50450" t="s">
        <v>5117</v>
      </c>
    </row>
    <row r="50451">
      <c r="H50451" t="s">
        <v>5117</v>
      </c>
    </row>
    <row r="50452">
      <c r="H50452" t="s">
        <v>5117</v>
      </c>
    </row>
    <row r="50453">
      <c r="H50453" t="s">
        <v>5117</v>
      </c>
    </row>
    <row r="50454">
      <c r="H50454" t="s">
        <v>5117</v>
      </c>
    </row>
    <row r="50455">
      <c r="H50455" t="s">
        <v>5117</v>
      </c>
    </row>
    <row r="50456">
      <c r="H50456" t="s">
        <v>5117</v>
      </c>
    </row>
    <row r="50457">
      <c r="H50457" t="s">
        <v>5117</v>
      </c>
    </row>
    <row r="50458">
      <c r="H50458" t="s">
        <v>5117</v>
      </c>
    </row>
    <row r="50459">
      <c r="H50459" t="s">
        <v>5117</v>
      </c>
    </row>
    <row r="50460">
      <c r="H50460" t="s">
        <v>5117</v>
      </c>
    </row>
    <row r="50461">
      <c r="H50461" t="s">
        <v>5117</v>
      </c>
    </row>
    <row r="50462">
      <c r="H50462" t="s">
        <v>5117</v>
      </c>
    </row>
    <row r="50463">
      <c r="H50463" t="s">
        <v>5117</v>
      </c>
    </row>
    <row r="50464">
      <c r="H50464" t="s">
        <v>5117</v>
      </c>
    </row>
    <row r="50465">
      <c r="H50465" t="s">
        <v>5117</v>
      </c>
    </row>
    <row r="50466">
      <c r="H50466" t="s">
        <v>5117</v>
      </c>
    </row>
    <row r="50467">
      <c r="H50467" t="s">
        <v>5117</v>
      </c>
    </row>
    <row r="50468">
      <c r="H50468" t="s">
        <v>5117</v>
      </c>
    </row>
    <row r="50469">
      <c r="H50469" t="s">
        <v>5117</v>
      </c>
    </row>
    <row r="50470">
      <c r="H50470" t="s">
        <v>5117</v>
      </c>
    </row>
    <row r="50471">
      <c r="H50471" t="s">
        <v>5117</v>
      </c>
    </row>
    <row r="50472">
      <c r="H50472" t="s">
        <v>5117</v>
      </c>
    </row>
    <row r="50473">
      <c r="H50473" t="s">
        <v>5117</v>
      </c>
    </row>
    <row r="50474">
      <c r="H50474" t="s">
        <v>5117</v>
      </c>
    </row>
    <row r="50475">
      <c r="H50475" t="s">
        <v>5117</v>
      </c>
    </row>
    <row r="50476">
      <c r="H50476" t="s">
        <v>5117</v>
      </c>
    </row>
    <row r="50477">
      <c r="H50477" t="s">
        <v>5117</v>
      </c>
    </row>
    <row r="50478">
      <c r="H50478" t="s">
        <v>5117</v>
      </c>
    </row>
    <row r="50479">
      <c r="H50479" t="s">
        <v>5117</v>
      </c>
    </row>
    <row r="50480">
      <c r="H50480" t="s">
        <v>5117</v>
      </c>
    </row>
    <row r="50481">
      <c r="H50481" t="s">
        <v>5117</v>
      </c>
    </row>
    <row r="50482">
      <c r="H50482" t="s">
        <v>5117</v>
      </c>
    </row>
    <row r="50483">
      <c r="H50483" t="s">
        <v>5117</v>
      </c>
    </row>
    <row r="50484">
      <c r="H50484" t="s">
        <v>5117</v>
      </c>
    </row>
    <row r="50485">
      <c r="H50485" t="s">
        <v>5117</v>
      </c>
    </row>
    <row r="50486">
      <c r="H50486" t="s">
        <v>5117</v>
      </c>
    </row>
    <row r="50487">
      <c r="H50487" t="s">
        <v>5117</v>
      </c>
    </row>
    <row r="50488">
      <c r="H50488" t="s">
        <v>5117</v>
      </c>
    </row>
    <row r="50489">
      <c r="H50489" t="s">
        <v>5117</v>
      </c>
    </row>
    <row r="50490">
      <c r="H50490" t="s">
        <v>5117</v>
      </c>
    </row>
    <row r="50491">
      <c r="H50491" t="s">
        <v>5117</v>
      </c>
    </row>
    <row r="50492">
      <c r="H50492" t="s">
        <v>5117</v>
      </c>
    </row>
    <row r="50493">
      <c r="H50493" t="s">
        <v>5117</v>
      </c>
    </row>
    <row r="50494">
      <c r="H50494" t="s">
        <v>5117</v>
      </c>
    </row>
    <row r="50495">
      <c r="H50495" t="s">
        <v>5117</v>
      </c>
    </row>
    <row r="50496">
      <c r="H50496" t="s">
        <v>5117</v>
      </c>
    </row>
    <row r="50497">
      <c r="H50497" t="s">
        <v>5117</v>
      </c>
    </row>
    <row r="50498">
      <c r="H50498" t="s">
        <v>5117</v>
      </c>
    </row>
    <row r="50499">
      <c r="H50499" t="s">
        <v>5117</v>
      </c>
    </row>
    <row r="50500">
      <c r="H50500" t="s">
        <v>5117</v>
      </c>
    </row>
  </sheetData>
  <hyperlinks>
    <hyperlink r:id="rId1" ref="H84"/>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0"/>
  <cols>
    <col customWidth="1" min="1" max="2" width="58.14"/>
  </cols>
  <sheetData>
    <row r="1" ht="22.5" customHeight="1">
      <c r="A1" s="352" t="s">
        <v>727</v>
      </c>
      <c r="B1" s="353" t="s">
        <v>50</v>
      </c>
    </row>
    <row r="2" ht="22.5" customHeight="1">
      <c r="A2" s="340" t="s">
        <v>3337</v>
      </c>
      <c r="B2" s="354" t="s">
        <v>3334</v>
      </c>
    </row>
    <row r="3" ht="22.5" customHeight="1">
      <c r="A3" s="340" t="s">
        <v>4412</v>
      </c>
      <c r="B3" s="354" t="s">
        <v>4418</v>
      </c>
    </row>
    <row r="4" ht="22.5" customHeight="1">
      <c r="A4" s="340" t="s">
        <v>1032</v>
      </c>
      <c r="B4" s="354" t="s">
        <v>1008</v>
      </c>
    </row>
    <row r="5" ht="22.5" customHeight="1">
      <c r="A5" s="340" t="s">
        <v>2575</v>
      </c>
      <c r="B5" s="354" t="s">
        <v>2582</v>
      </c>
    </row>
    <row r="6" ht="22.5" customHeight="1">
      <c r="A6" s="340" t="s">
        <v>2756</v>
      </c>
      <c r="B6" s="354" t="s">
        <v>2762</v>
      </c>
    </row>
    <row r="7" ht="22.5" customHeight="1">
      <c r="A7" s="340" t="s">
        <v>3990</v>
      </c>
      <c r="B7" s="354" t="s">
        <v>1119</v>
      </c>
    </row>
    <row r="8" ht="22.5" customHeight="1">
      <c r="A8" s="340" t="s">
        <v>3108</v>
      </c>
      <c r="B8" s="354" t="s">
        <v>956</v>
      </c>
    </row>
    <row r="9" ht="22.5" customHeight="1">
      <c r="A9" s="340" t="s">
        <v>3830</v>
      </c>
      <c r="B9" s="354" t="s">
        <v>3068</v>
      </c>
    </row>
    <row r="10" ht="22.5" customHeight="1">
      <c r="A10" s="340" t="s">
        <v>853</v>
      </c>
      <c r="B10" s="354" t="s">
        <v>859</v>
      </c>
    </row>
    <row r="11" ht="22.5" customHeight="1">
      <c r="A11" s="340" t="s">
        <v>4271</v>
      </c>
      <c r="B11" s="354" t="s">
        <v>2806</v>
      </c>
    </row>
    <row r="12" ht="22.5" customHeight="1">
      <c r="A12" s="340" t="s">
        <v>2144</v>
      </c>
      <c r="B12" s="354" t="s">
        <v>929</v>
      </c>
    </row>
    <row r="13" ht="22.5" customHeight="1">
      <c r="A13" s="340" t="s">
        <v>3488</v>
      </c>
      <c r="B13" s="354" t="s">
        <v>2873</v>
      </c>
    </row>
    <row r="14" ht="22.5" customHeight="1">
      <c r="A14" s="340" t="s">
        <v>4295</v>
      </c>
      <c r="B14" s="354" t="s">
        <v>3261</v>
      </c>
    </row>
    <row r="15" ht="22.5" customHeight="1">
      <c r="A15" s="340" t="s">
        <v>4104</v>
      </c>
      <c r="B15" s="354" t="s">
        <v>4108</v>
      </c>
    </row>
    <row r="16" ht="22.5" customHeight="1">
      <c r="A16" s="340" t="s">
        <v>2667</v>
      </c>
      <c r="B16" s="354" t="s">
        <v>2673</v>
      </c>
    </row>
    <row r="17" ht="22.5" customHeight="1">
      <c r="A17" s="340" t="s">
        <v>4256</v>
      </c>
      <c r="B17" s="354" t="s">
        <v>886</v>
      </c>
    </row>
    <row r="18" ht="22.5" customHeight="1">
      <c r="A18" s="340" t="s">
        <v>3046</v>
      </c>
      <c r="B18" s="354" t="s">
        <v>3052</v>
      </c>
    </row>
    <row r="19" ht="22.5" customHeight="1">
      <c r="A19" s="340" t="s">
        <v>3967</v>
      </c>
      <c r="B19" s="354" t="s">
        <v>3978</v>
      </c>
    </row>
    <row r="20" ht="22.5" customHeight="1">
      <c r="A20" s="340" t="s">
        <v>1435</v>
      </c>
      <c r="B20" s="354" t="s">
        <v>1441</v>
      </c>
    </row>
    <row r="21" ht="22.5" customHeight="1">
      <c r="A21" s="340" t="s">
        <v>4437</v>
      </c>
      <c r="B21" s="354" t="s">
        <v>4440</v>
      </c>
    </row>
    <row r="22" ht="22.5" customHeight="1">
      <c r="A22" s="340" t="s">
        <v>2704</v>
      </c>
      <c r="B22" s="354" t="s">
        <v>843</v>
      </c>
    </row>
    <row r="23" ht="22.5" customHeight="1">
      <c r="A23" s="355" t="s">
        <v>3885</v>
      </c>
      <c r="B23" s="356" t="s">
        <v>3627</v>
      </c>
    </row>
    <row r="24" ht="22.5" customHeight="1">
      <c r="A24" s="340" t="s">
        <v>1280</v>
      </c>
      <c r="B24" s="354" t="s">
        <v>1286</v>
      </c>
    </row>
    <row r="25" ht="22.5" customHeight="1">
      <c r="A25" s="340" t="s">
        <v>1623</v>
      </c>
      <c r="B25" s="354" t="s">
        <v>1629</v>
      </c>
    </row>
    <row r="26" ht="22.5" customHeight="1">
      <c r="A26" s="340" t="s">
        <v>1901</v>
      </c>
      <c r="B26" s="354" t="s">
        <v>1069</v>
      </c>
    </row>
    <row r="27" ht="22.5" customHeight="1">
      <c r="A27" s="340" t="s">
        <v>3779</v>
      </c>
      <c r="B27" s="354" t="s">
        <v>3784</v>
      </c>
    </row>
    <row r="28" ht="22.5" customHeight="1">
      <c r="A28" s="340" t="s">
        <v>3464</v>
      </c>
      <c r="B28" s="354" t="s">
        <v>834</v>
      </c>
    </row>
    <row r="29" ht="22.5" customHeight="1">
      <c r="A29" s="340" t="s">
        <v>4299</v>
      </c>
      <c r="B29" s="354" t="s">
        <v>4305</v>
      </c>
    </row>
    <row r="30" ht="22.5" customHeight="1">
      <c r="A30" s="340" t="s">
        <v>4476</v>
      </c>
      <c r="B30" s="354" t="s">
        <v>4480</v>
      </c>
    </row>
    <row r="31" ht="22.5" customHeight="1">
      <c r="A31" s="340" t="s">
        <v>4688</v>
      </c>
      <c r="B31" s="354" t="s">
        <v>4694</v>
      </c>
    </row>
    <row r="32" ht="22.5" customHeight="1">
      <c r="A32" s="340" t="s">
        <v>1884</v>
      </c>
      <c r="B32" s="354" t="s">
        <v>974</v>
      </c>
    </row>
    <row r="33" ht="22.5" customHeight="1">
      <c r="A33" s="340" t="s">
        <v>3880</v>
      </c>
      <c r="B33" s="354" t="s">
        <v>2873</v>
      </c>
    </row>
    <row r="34" ht="22.5" customHeight="1">
      <c r="A34" s="340" t="s">
        <v>1581</v>
      </c>
      <c r="B34" s="354" t="s">
        <v>1587</v>
      </c>
    </row>
    <row r="35" ht="22.5" customHeight="1">
      <c r="A35" s="340" t="s">
        <v>3616</v>
      </c>
      <c r="B35" s="354" t="s">
        <v>2582</v>
      </c>
    </row>
    <row r="36" ht="22.5" customHeight="1">
      <c r="A36" s="340" t="s">
        <v>2967</v>
      </c>
      <c r="B36" s="354" t="s">
        <v>2973</v>
      </c>
    </row>
    <row r="37" ht="22.5" customHeight="1">
      <c r="A37" s="340" t="s">
        <v>2492</v>
      </c>
      <c r="B37" s="354" t="s">
        <v>2497</v>
      </c>
    </row>
    <row r="38" ht="22.5" customHeight="1">
      <c r="A38" s="340" t="s">
        <v>2088</v>
      </c>
      <c r="B38" s="354" t="s">
        <v>2094</v>
      </c>
    </row>
    <row r="39" ht="22.5" customHeight="1">
      <c r="A39" s="340" t="s">
        <v>3200</v>
      </c>
      <c r="B39" s="354" t="s">
        <v>1494</v>
      </c>
    </row>
    <row r="40" ht="22.5" customHeight="1">
      <c r="A40" s="340" t="s">
        <v>3890</v>
      </c>
      <c r="B40" s="354" t="s">
        <v>3261</v>
      </c>
    </row>
    <row r="41" ht="22.5" customHeight="1">
      <c r="A41" s="340" t="s">
        <v>3025</v>
      </c>
      <c r="B41" s="354" t="s">
        <v>2464</v>
      </c>
    </row>
    <row r="42" ht="22.5" customHeight="1">
      <c r="A42" s="340" t="s">
        <v>932</v>
      </c>
      <c r="B42" s="354" t="s">
        <v>938</v>
      </c>
    </row>
    <row r="43" ht="22.5" customHeight="1">
      <c r="A43" s="340" t="s">
        <v>4059</v>
      </c>
      <c r="B43" s="354" t="s">
        <v>4063</v>
      </c>
    </row>
    <row r="44" ht="22.5" customHeight="1">
      <c r="A44" s="340" t="s">
        <v>4335</v>
      </c>
      <c r="B44" s="354" t="s">
        <v>1824</v>
      </c>
    </row>
    <row r="45" ht="22.5" customHeight="1">
      <c r="A45" s="340" t="s">
        <v>3652</v>
      </c>
      <c r="B45" s="354" t="s">
        <v>3657</v>
      </c>
    </row>
    <row r="46" ht="22.5" customHeight="1">
      <c r="A46" s="340" t="s">
        <v>3585</v>
      </c>
      <c r="B46" s="354" t="s">
        <v>1334</v>
      </c>
    </row>
    <row r="47" ht="22.5" customHeight="1">
      <c r="A47" s="340" t="s">
        <v>3746</v>
      </c>
      <c r="B47" s="354" t="s">
        <v>3751</v>
      </c>
    </row>
    <row r="48" ht="22.5" customHeight="1">
      <c r="A48" s="340" t="s">
        <v>2622</v>
      </c>
      <c r="B48" s="354" t="s">
        <v>1179</v>
      </c>
    </row>
    <row r="49" ht="22.5" customHeight="1">
      <c r="A49" s="340" t="s">
        <v>3174</v>
      </c>
      <c r="B49" s="354" t="s">
        <v>2915</v>
      </c>
    </row>
    <row r="50" ht="22.5" customHeight="1">
      <c r="A50" s="340" t="s">
        <v>2748</v>
      </c>
      <c r="B50" s="354" t="s">
        <v>2754</v>
      </c>
    </row>
    <row r="51" ht="22.5" customHeight="1">
      <c r="A51" s="340" t="s">
        <v>1925</v>
      </c>
      <c r="B51" s="354" t="s">
        <v>1931</v>
      </c>
    </row>
    <row r="52" ht="22.5" customHeight="1">
      <c r="A52" s="340" t="s">
        <v>2866</v>
      </c>
      <c r="B52" s="354" t="s">
        <v>2873</v>
      </c>
    </row>
    <row r="53" ht="22.5" customHeight="1">
      <c r="A53" s="340" t="s">
        <v>4704</v>
      </c>
      <c r="B53" s="354" t="s">
        <v>4694</v>
      </c>
    </row>
    <row r="54" ht="22.5" customHeight="1">
      <c r="A54" s="340" t="s">
        <v>3031</v>
      </c>
      <c r="B54" s="354" t="s">
        <v>3036</v>
      </c>
    </row>
    <row r="55" ht="22.5" customHeight="1">
      <c r="A55" s="340" t="s">
        <v>1568</v>
      </c>
      <c r="B55" s="354" t="s">
        <v>1568</v>
      </c>
    </row>
    <row r="56" ht="22.5" customHeight="1">
      <c r="A56" s="340" t="s">
        <v>1488</v>
      </c>
      <c r="B56" s="354" t="s">
        <v>1494</v>
      </c>
    </row>
    <row r="57" ht="22.5" customHeight="1">
      <c r="A57" s="340" t="s">
        <v>828</v>
      </c>
      <c r="B57" s="354" t="s">
        <v>834</v>
      </c>
    </row>
    <row r="58" ht="22.5" customHeight="1">
      <c r="A58" s="340" t="s">
        <v>3506</v>
      </c>
      <c r="B58" s="354" t="s">
        <v>3217</v>
      </c>
    </row>
    <row r="59" ht="22.5" customHeight="1">
      <c r="A59" s="340" t="s">
        <v>2947</v>
      </c>
      <c r="B59" s="354" t="s">
        <v>2952</v>
      </c>
    </row>
    <row r="60" ht="22.5" customHeight="1">
      <c r="A60" s="340" t="s">
        <v>4603</v>
      </c>
      <c r="B60" s="354" t="s">
        <v>4608</v>
      </c>
    </row>
    <row r="61" ht="22.5" customHeight="1">
      <c r="A61" s="340" t="s">
        <v>3196</v>
      </c>
      <c r="B61" s="354" t="s">
        <v>1394</v>
      </c>
    </row>
    <row r="62" ht="22.5" customHeight="1">
      <c r="A62" s="340" t="s">
        <v>3741</v>
      </c>
      <c r="B62" s="354" t="s">
        <v>1996</v>
      </c>
    </row>
    <row r="63" ht="22.5" customHeight="1">
      <c r="A63" s="340" t="s">
        <v>4171</v>
      </c>
      <c r="B63" s="354" t="s">
        <v>4179</v>
      </c>
    </row>
    <row r="64" ht="22.5" customHeight="1">
      <c r="A64" s="340" t="s">
        <v>4247</v>
      </c>
      <c r="B64" s="354" t="s">
        <v>4253</v>
      </c>
    </row>
    <row r="65" ht="22.5" customHeight="1">
      <c r="A65" s="340" t="s">
        <v>3114</v>
      </c>
      <c r="B65" s="354" t="s">
        <v>2573</v>
      </c>
    </row>
    <row r="66" ht="22.5" customHeight="1">
      <c r="A66" s="340" t="s">
        <v>2410</v>
      </c>
      <c r="B66" s="354" t="s">
        <v>1781</v>
      </c>
    </row>
    <row r="67" ht="22.5" customHeight="1">
      <c r="A67" s="340" t="s">
        <v>1421</v>
      </c>
      <c r="B67" s="354" t="s">
        <v>1427</v>
      </c>
    </row>
    <row r="68" ht="22.5" customHeight="1">
      <c r="A68" s="340" t="s">
        <v>4024</v>
      </c>
      <c r="B68" s="354" t="s">
        <v>4034</v>
      </c>
    </row>
    <row r="69" ht="22.5" customHeight="1">
      <c r="A69" s="340" t="s">
        <v>3212</v>
      </c>
      <c r="B69" s="354" t="s">
        <v>3217</v>
      </c>
    </row>
    <row r="70" ht="22.5" customHeight="1">
      <c r="A70" s="340" t="s">
        <v>780</v>
      </c>
      <c r="B70" s="354" t="s">
        <v>787</v>
      </c>
    </row>
    <row r="71" ht="22.5" customHeight="1">
      <c r="A71" s="340" t="s">
        <v>1641</v>
      </c>
      <c r="B71" s="354" t="s">
        <v>1211</v>
      </c>
    </row>
    <row r="72" ht="22.5" customHeight="1">
      <c r="A72" s="340" t="s">
        <v>1517</v>
      </c>
      <c r="B72" s="354" t="s">
        <v>1069</v>
      </c>
    </row>
    <row r="73" ht="22.5" customHeight="1">
      <c r="A73" s="340" t="s">
        <v>3314</v>
      </c>
      <c r="B73" s="354" t="s">
        <v>3320</v>
      </c>
    </row>
    <row r="74" ht="22.5" customHeight="1">
      <c r="A74" s="340" t="s">
        <v>4117</v>
      </c>
      <c r="B74" s="354" t="s">
        <v>938</v>
      </c>
    </row>
    <row r="75" ht="22.5" customHeight="1">
      <c r="A75" s="340" t="s">
        <v>2451</v>
      </c>
      <c r="B75" s="354" t="s">
        <v>868</v>
      </c>
    </row>
    <row r="76" ht="22.5" customHeight="1">
      <c r="A76" s="340" t="s">
        <v>2051</v>
      </c>
      <c r="B76" s="354" t="s">
        <v>843</v>
      </c>
    </row>
    <row r="77" ht="22.5" customHeight="1">
      <c r="A77" s="340" t="s">
        <v>1369</v>
      </c>
      <c r="B77" s="354" t="s">
        <v>1375</v>
      </c>
    </row>
    <row r="78" ht="22.5" customHeight="1">
      <c r="A78" s="355" t="s">
        <v>3439</v>
      </c>
      <c r="B78" s="356" t="s">
        <v>3449</v>
      </c>
    </row>
    <row r="79" ht="22.5" customHeight="1">
      <c r="A79" s="340" t="s">
        <v>1757</v>
      </c>
      <c r="B79" s="354" t="s">
        <v>1763</v>
      </c>
    </row>
    <row r="80" ht="22.5" customHeight="1">
      <c r="A80" s="340" t="s">
        <v>2290</v>
      </c>
      <c r="B80" s="354" t="s">
        <v>1940</v>
      </c>
    </row>
    <row r="81" ht="22.5" customHeight="1">
      <c r="A81" s="340" t="s">
        <v>4444</v>
      </c>
      <c r="B81" s="354" t="s">
        <v>1314</v>
      </c>
    </row>
    <row r="82" ht="22.5" customHeight="1">
      <c r="A82" s="340" t="s">
        <v>4395</v>
      </c>
      <c r="B82" s="354" t="s">
        <v>4393</v>
      </c>
    </row>
    <row r="83" ht="22.5" customHeight="1">
      <c r="A83" s="340" t="s">
        <v>1813</v>
      </c>
      <c r="B83" s="354" t="s">
        <v>756</v>
      </c>
    </row>
    <row r="84" ht="22.5" customHeight="1">
      <c r="A84" s="340" t="s">
        <v>2638</v>
      </c>
      <c r="B84" s="354" t="s">
        <v>2048</v>
      </c>
    </row>
    <row r="85" ht="22.5" customHeight="1">
      <c r="A85" s="340" t="s">
        <v>2267</v>
      </c>
      <c r="B85" s="354" t="s">
        <v>2273</v>
      </c>
    </row>
    <row r="86" ht="22.5" customHeight="1">
      <c r="A86" s="340" t="s">
        <v>1063</v>
      </c>
      <c r="B86" s="354" t="s">
        <v>1069</v>
      </c>
    </row>
    <row r="87" ht="22.5" customHeight="1">
      <c r="A87" s="340" t="s">
        <v>2729</v>
      </c>
      <c r="B87" s="354" t="s">
        <v>2009</v>
      </c>
    </row>
    <row r="88" ht="22.5" customHeight="1">
      <c r="A88" s="340" t="s">
        <v>5422</v>
      </c>
      <c r="B88" s="354" t="s">
        <v>2873</v>
      </c>
    </row>
    <row r="89" ht="22.5" customHeight="1">
      <c r="A89" s="340" t="s">
        <v>4511</v>
      </c>
      <c r="B89" s="354" t="s">
        <v>4520</v>
      </c>
    </row>
    <row r="90" ht="22.5" customHeight="1">
      <c r="A90" s="340" t="s">
        <v>2855</v>
      </c>
      <c r="B90" s="354" t="s">
        <v>1494</v>
      </c>
    </row>
    <row r="91" ht="22.5" customHeight="1">
      <c r="A91" s="340" t="s">
        <v>1523</v>
      </c>
      <c r="B91" s="354" t="s">
        <v>1069</v>
      </c>
    </row>
    <row r="92" ht="22.5" customHeight="1">
      <c r="A92" s="340" t="s">
        <v>3277</v>
      </c>
      <c r="B92" s="354" t="s">
        <v>3016</v>
      </c>
    </row>
    <row r="93" ht="22.5" customHeight="1">
      <c r="A93" s="340" t="s">
        <v>3426</v>
      </c>
      <c r="B93" s="354" t="s">
        <v>1969</v>
      </c>
    </row>
    <row r="94" ht="22.5" customHeight="1">
      <c r="A94" s="340" t="s">
        <v>2715</v>
      </c>
      <c r="B94" s="354" t="s">
        <v>2721</v>
      </c>
    </row>
    <row r="95" ht="22.5" customHeight="1">
      <c r="A95" s="340" t="s">
        <v>4054</v>
      </c>
      <c r="B95" s="354" t="s">
        <v>767</v>
      </c>
    </row>
    <row r="96" ht="22.5" customHeight="1">
      <c r="A96" s="340" t="s">
        <v>2036</v>
      </c>
      <c r="B96" s="354" t="s">
        <v>843</v>
      </c>
    </row>
    <row r="97" ht="22.5" customHeight="1">
      <c r="A97" s="340" t="s">
        <v>3120</v>
      </c>
      <c r="B97" s="354" t="s">
        <v>1517</v>
      </c>
    </row>
    <row r="98" ht="22.5" customHeight="1">
      <c r="A98" s="340" t="s">
        <v>3609</v>
      </c>
      <c r="B98" s="354" t="s">
        <v>3036</v>
      </c>
    </row>
    <row r="99" ht="22.5" customHeight="1">
      <c r="A99" s="340" t="s">
        <v>1173</v>
      </c>
      <c r="B99" s="354" t="s">
        <v>1179</v>
      </c>
    </row>
    <row r="100" ht="22.5" customHeight="1">
      <c r="A100" s="340" t="s">
        <v>2340</v>
      </c>
      <c r="B100" s="354" t="s">
        <v>1295</v>
      </c>
    </row>
    <row r="101" ht="22.5" customHeight="1">
      <c r="A101" s="340" t="s">
        <v>2151</v>
      </c>
      <c r="B101" s="354" t="s">
        <v>2160</v>
      </c>
    </row>
    <row r="102" ht="22.5" customHeight="1">
      <c r="A102" s="340" t="s">
        <v>3079</v>
      </c>
      <c r="B102" s="354" t="s">
        <v>3085</v>
      </c>
    </row>
    <row r="103" ht="22.5" customHeight="1">
      <c r="A103" s="340" t="s">
        <v>2261</v>
      </c>
      <c r="B103" s="354" t="s">
        <v>1850</v>
      </c>
    </row>
    <row r="104" ht="22.5" customHeight="1">
      <c r="A104" s="340" t="s">
        <v>2923</v>
      </c>
      <c r="B104" s="354" t="s">
        <v>1170</v>
      </c>
    </row>
    <row r="105" ht="22.5" customHeight="1">
      <c r="A105" s="340" t="s">
        <v>1842</v>
      </c>
      <c r="B105" s="354" t="s">
        <v>1850</v>
      </c>
    </row>
    <row r="106" ht="22.5" customHeight="1">
      <c r="A106" s="340" t="s">
        <v>2724</v>
      </c>
      <c r="B106" s="354" t="s">
        <v>1402</v>
      </c>
    </row>
    <row r="107" ht="22.5" customHeight="1">
      <c r="A107" s="340" t="s">
        <v>3835</v>
      </c>
      <c r="B107" s="354" t="s">
        <v>3552</v>
      </c>
    </row>
    <row r="108" ht="22.5" customHeight="1">
      <c r="A108" s="340" t="s">
        <v>4560</v>
      </c>
      <c r="B108" s="354" t="s">
        <v>4509</v>
      </c>
    </row>
    <row r="109" ht="22.5" customHeight="1">
      <c r="A109" s="340" t="s">
        <v>1766</v>
      </c>
      <c r="B109" s="354" t="s">
        <v>1772</v>
      </c>
    </row>
    <row r="110" ht="22.5" customHeight="1">
      <c r="A110" s="355" t="s">
        <v>2735</v>
      </c>
      <c r="B110" s="356" t="s">
        <v>886</v>
      </c>
    </row>
    <row r="111" ht="22.5" customHeight="1">
      <c r="A111" s="340" t="s">
        <v>1081</v>
      </c>
      <c r="B111" s="354" t="s">
        <v>1087</v>
      </c>
    </row>
    <row r="112" ht="22.5" customHeight="1">
      <c r="A112" s="340" t="s">
        <v>1744</v>
      </c>
      <c r="B112" s="354" t="s">
        <v>1749</v>
      </c>
    </row>
    <row r="113" ht="22.5" customHeight="1">
      <c r="A113" s="340" t="s">
        <v>4241</v>
      </c>
      <c r="B113" s="354" t="s">
        <v>2818</v>
      </c>
    </row>
    <row r="114" ht="22.5" customHeight="1">
      <c r="A114" s="340" t="s">
        <v>2178</v>
      </c>
      <c r="B114" s="354" t="s">
        <v>2183</v>
      </c>
    </row>
    <row r="115" ht="22.5" customHeight="1">
      <c r="A115" s="340" t="s">
        <v>3773</v>
      </c>
      <c r="B115" s="354" t="s">
        <v>1610</v>
      </c>
    </row>
    <row r="116" ht="22.5" customHeight="1">
      <c r="A116" s="340" t="s">
        <v>2940</v>
      </c>
      <c r="B116" s="354" t="s">
        <v>2944</v>
      </c>
    </row>
    <row r="117" ht="22.5" customHeight="1">
      <c r="A117" s="340" t="s">
        <v>3241</v>
      </c>
      <c r="B117" s="354" t="s">
        <v>3225</v>
      </c>
    </row>
    <row r="118" ht="22.5" customHeight="1">
      <c r="A118" s="340" t="s">
        <v>2239</v>
      </c>
      <c r="B118" s="354" t="s">
        <v>2244</v>
      </c>
    </row>
    <row r="119" ht="22.5" customHeight="1">
      <c r="A119" s="340" t="s">
        <v>959</v>
      </c>
      <c r="B119" s="354" t="s">
        <v>965</v>
      </c>
    </row>
    <row r="120" ht="22.5" customHeight="1">
      <c r="A120" s="340" t="s">
        <v>1072</v>
      </c>
      <c r="B120" s="354" t="s">
        <v>1078</v>
      </c>
    </row>
    <row r="121" ht="22.5" customHeight="1">
      <c r="A121" s="340" t="s">
        <v>2373</v>
      </c>
      <c r="B121" s="354" t="s">
        <v>825</v>
      </c>
    </row>
    <row r="122" ht="22.5" customHeight="1">
      <c r="A122" s="340" t="s">
        <v>4229</v>
      </c>
      <c r="B122" s="354" t="s">
        <v>4837</v>
      </c>
    </row>
    <row r="123" ht="22.5" customHeight="1">
      <c r="A123" s="340" t="s">
        <v>1479</v>
      </c>
      <c r="B123" s="354" t="s">
        <v>1485</v>
      </c>
    </row>
    <row r="124" ht="22.5" customHeight="1">
      <c r="A124" s="340" t="s">
        <v>1346</v>
      </c>
      <c r="B124" s="354" t="s">
        <v>974</v>
      </c>
    </row>
    <row r="125" ht="22.5" customHeight="1">
      <c r="A125" s="340" t="s">
        <v>3730</v>
      </c>
      <c r="B125" s="354" t="s">
        <v>3210</v>
      </c>
    </row>
    <row r="126" ht="22.5" customHeight="1">
      <c r="A126" s="340" t="s">
        <v>1632</v>
      </c>
      <c r="B126" s="354" t="s">
        <v>1638</v>
      </c>
    </row>
    <row r="127" ht="22.5" customHeight="1">
      <c r="A127" s="340" t="s">
        <v>1137</v>
      </c>
      <c r="B127" s="354" t="s">
        <v>1143</v>
      </c>
    </row>
    <row r="128" ht="22.5" customHeight="1">
      <c r="A128" s="340" t="s">
        <v>1020</v>
      </c>
      <c r="B128" s="354" t="s">
        <v>843</v>
      </c>
    </row>
    <row r="129" ht="22.5" customHeight="1">
      <c r="A129" s="340" t="s">
        <v>3206</v>
      </c>
      <c r="B129" s="354" t="s">
        <v>3210</v>
      </c>
    </row>
    <row r="130" ht="22.5" customHeight="1">
      <c r="A130" s="340" t="s">
        <v>4111</v>
      </c>
      <c r="B130" s="354" t="s">
        <v>1325</v>
      </c>
    </row>
    <row r="131" ht="22.5" customHeight="1">
      <c r="A131" s="340" t="s">
        <v>4697</v>
      </c>
      <c r="B131" s="354" t="s">
        <v>4694</v>
      </c>
    </row>
    <row r="132" ht="22.5" customHeight="1">
      <c r="A132" s="340" t="s">
        <v>4044</v>
      </c>
      <c r="B132" s="354" t="s">
        <v>4052</v>
      </c>
    </row>
    <row r="133" ht="22.5" customHeight="1">
      <c r="A133" s="355" t="s">
        <v>2709</v>
      </c>
      <c r="B133" s="356" t="s">
        <v>1610</v>
      </c>
    </row>
    <row r="134" ht="22.5" customHeight="1">
      <c r="A134" s="340" t="s">
        <v>2682</v>
      </c>
      <c r="B134" s="354" t="s">
        <v>2613</v>
      </c>
    </row>
    <row r="135" ht="22.5" customHeight="1">
      <c r="A135" s="340" t="s">
        <v>1991</v>
      </c>
      <c r="B135" s="354" t="s">
        <v>1996</v>
      </c>
    </row>
    <row r="136" ht="22.5" customHeight="1">
      <c r="A136" s="340" t="s">
        <v>2114</v>
      </c>
      <c r="B136" s="354" t="s">
        <v>2122</v>
      </c>
    </row>
    <row r="137" ht="22.5" customHeight="1">
      <c r="A137" s="340" t="s">
        <v>3249</v>
      </c>
      <c r="B137" s="354" t="s">
        <v>3254</v>
      </c>
    </row>
    <row r="138" ht="22.5" customHeight="1">
      <c r="A138" s="340" t="s">
        <v>1357</v>
      </c>
      <c r="B138" s="354" t="s">
        <v>1357</v>
      </c>
    </row>
    <row r="139" ht="22.5" customHeight="1">
      <c r="A139" s="340" t="s">
        <v>2224</v>
      </c>
      <c r="B139" s="354" t="s">
        <v>1334</v>
      </c>
    </row>
    <row r="140" ht="22.5" customHeight="1">
      <c r="A140" s="340" t="s">
        <v>889</v>
      </c>
      <c r="B140" s="354" t="s">
        <v>899</v>
      </c>
    </row>
    <row r="141" ht="22.5" customHeight="1">
      <c r="A141" s="340" t="s">
        <v>2331</v>
      </c>
      <c r="B141" s="354" t="s">
        <v>2337</v>
      </c>
    </row>
    <row r="142" ht="22.5" customHeight="1">
      <c r="A142" s="340" t="s">
        <v>3300</v>
      </c>
      <c r="B142" s="354" t="s">
        <v>3225</v>
      </c>
    </row>
    <row r="143" ht="22.5" customHeight="1">
      <c r="A143" s="340" t="s">
        <v>4214</v>
      </c>
      <c r="B143" s="354" t="s">
        <v>4188</v>
      </c>
    </row>
    <row r="144" ht="22.5" customHeight="1">
      <c r="A144" s="340" t="s">
        <v>2467</v>
      </c>
      <c r="B144" s="354" t="s">
        <v>2448</v>
      </c>
    </row>
    <row r="145" ht="22.5" customHeight="1">
      <c r="A145" s="340" t="s">
        <v>3451</v>
      </c>
      <c r="B145" s="354" t="s">
        <v>3457</v>
      </c>
    </row>
    <row r="146" ht="22.5" customHeight="1">
      <c r="A146" s="340" t="s">
        <v>1289</v>
      </c>
      <c r="B146" s="354" t="s">
        <v>1295</v>
      </c>
    </row>
    <row r="147" ht="22.5" customHeight="1">
      <c r="A147" s="340" t="s">
        <v>2389</v>
      </c>
      <c r="B147" s="354" t="s">
        <v>2400</v>
      </c>
    </row>
    <row r="148" ht="22.5" customHeight="1">
      <c r="A148" s="340" t="s">
        <v>3672</v>
      </c>
      <c r="B148" s="354" t="s">
        <v>1494</v>
      </c>
    </row>
    <row r="149" ht="22.5" customHeight="1">
      <c r="A149" s="340" t="s">
        <v>3590</v>
      </c>
      <c r="B149" s="354" t="s">
        <v>868</v>
      </c>
    </row>
    <row r="150" ht="22.5" customHeight="1">
      <c r="A150" s="340" t="s">
        <v>2346</v>
      </c>
      <c r="B150" s="354" t="s">
        <v>2352</v>
      </c>
    </row>
    <row r="151" ht="22.5" customHeight="1">
      <c r="A151" s="340" t="s">
        <v>3797</v>
      </c>
      <c r="B151" s="354" t="s">
        <v>2771</v>
      </c>
    </row>
    <row r="152" ht="22.5" customHeight="1">
      <c r="A152" s="340" t="s">
        <v>1669</v>
      </c>
      <c r="B152" s="354" t="s">
        <v>1418</v>
      </c>
    </row>
    <row r="153" ht="22.5" customHeight="1">
      <c r="A153" s="340" t="s">
        <v>3267</v>
      </c>
      <c r="B153" s="354" t="s">
        <v>1161</v>
      </c>
    </row>
    <row r="154" ht="22.5" customHeight="1">
      <c r="A154" s="340" t="s">
        <v>4137</v>
      </c>
      <c r="B154" s="354" t="s">
        <v>4143</v>
      </c>
    </row>
    <row r="155" ht="22.5" customHeight="1">
      <c r="A155" s="340" t="s">
        <v>1559</v>
      </c>
      <c r="B155" s="354" t="s">
        <v>1565</v>
      </c>
    </row>
    <row r="156" ht="22.5" customHeight="1">
      <c r="A156" s="340" t="s">
        <v>4499</v>
      </c>
      <c r="B156" s="354" t="s">
        <v>4509</v>
      </c>
    </row>
    <row r="157" ht="22.5" customHeight="1">
      <c r="A157" s="340" t="s">
        <v>2402</v>
      </c>
      <c r="B157" s="354" t="s">
        <v>1462</v>
      </c>
    </row>
    <row r="158" ht="22.5" customHeight="1">
      <c r="A158" s="340" t="s">
        <v>3752</v>
      </c>
      <c r="B158" s="354" t="s">
        <v>3758</v>
      </c>
    </row>
    <row r="159" ht="22.5" customHeight="1">
      <c r="A159" s="340" t="s">
        <v>2215</v>
      </c>
      <c r="B159" s="354" t="s">
        <v>2221</v>
      </c>
    </row>
    <row r="160" ht="22.5" customHeight="1">
      <c r="A160" s="340" t="s">
        <v>3698</v>
      </c>
      <c r="B160" s="354" t="s">
        <v>3708</v>
      </c>
    </row>
    <row r="161" ht="22.5" customHeight="1">
      <c r="A161" s="340" t="s">
        <v>790</v>
      </c>
      <c r="B161" s="354" t="s">
        <v>796</v>
      </c>
    </row>
    <row r="162" ht="22.5" customHeight="1">
      <c r="A162" s="340" t="s">
        <v>2191</v>
      </c>
      <c r="B162" s="354" t="s">
        <v>2195</v>
      </c>
    </row>
    <row r="163" ht="22.5" customHeight="1">
      <c r="A163" s="340" t="s">
        <v>3330</v>
      </c>
      <c r="B163" s="354" t="s">
        <v>3334</v>
      </c>
    </row>
    <row r="164" ht="22.5" customHeight="1">
      <c r="A164" s="340" t="s">
        <v>4491</v>
      </c>
      <c r="B164" s="354" t="s">
        <v>1940</v>
      </c>
    </row>
    <row r="165" ht="22.5" customHeight="1">
      <c r="A165" s="340" t="s">
        <v>3470</v>
      </c>
      <c r="B165" s="354" t="s">
        <v>1494</v>
      </c>
    </row>
    <row r="166" ht="22.5" customHeight="1">
      <c r="A166" s="340" t="s">
        <v>4065</v>
      </c>
      <c r="B166" s="354" t="s">
        <v>1840</v>
      </c>
    </row>
    <row r="167" ht="22.5" customHeight="1">
      <c r="A167" s="340" t="s">
        <v>3534</v>
      </c>
      <c r="B167" s="354" t="s">
        <v>3068</v>
      </c>
    </row>
    <row r="168" ht="22.5" customHeight="1">
      <c r="A168" s="340" t="s">
        <v>769</v>
      </c>
      <c r="B168" s="354" t="s">
        <v>776</v>
      </c>
    </row>
    <row r="169" ht="22.5" customHeight="1">
      <c r="A169" s="340" t="s">
        <v>3402</v>
      </c>
      <c r="B169" s="354" t="s">
        <v>1969</v>
      </c>
    </row>
    <row r="170" ht="22.5" customHeight="1">
      <c r="A170" s="340" t="s">
        <v>2562</v>
      </c>
      <c r="B170" s="354" t="s">
        <v>1402</v>
      </c>
    </row>
    <row r="171" ht="22.5" customHeight="1">
      <c r="A171" s="340" t="s">
        <v>819</v>
      </c>
      <c r="B171" s="354" t="s">
        <v>825</v>
      </c>
    </row>
    <row r="172" ht="22.5" customHeight="1">
      <c r="A172" s="340" t="s">
        <v>5423</v>
      </c>
      <c r="B172" s="354" t="s">
        <v>1325</v>
      </c>
    </row>
    <row r="173" ht="22.5" customHeight="1">
      <c r="A173" s="340" t="s">
        <v>3375</v>
      </c>
      <c r="B173" s="354" t="s">
        <v>2122</v>
      </c>
    </row>
    <row r="174" ht="22.5" customHeight="1">
      <c r="A174" s="340" t="s">
        <v>1215</v>
      </c>
      <c r="B174" s="354" t="s">
        <v>1161</v>
      </c>
    </row>
    <row r="175" ht="22.5" customHeight="1">
      <c r="A175" s="340" t="s">
        <v>2073</v>
      </c>
      <c r="B175" s="354" t="s">
        <v>2079</v>
      </c>
    </row>
    <row r="176" ht="22.5" customHeight="1">
      <c r="A176" s="340" t="s">
        <v>5424</v>
      </c>
      <c r="B176" s="354" t="s">
        <v>1211</v>
      </c>
    </row>
    <row r="177" ht="22.5" customHeight="1">
      <c r="A177" s="340" t="s">
        <v>4678</v>
      </c>
      <c r="B177" s="354" t="s">
        <v>4685</v>
      </c>
    </row>
    <row r="178" ht="22.5" customHeight="1">
      <c r="A178" s="340" t="s">
        <v>1987</v>
      </c>
      <c r="B178" s="354" t="s">
        <v>1961</v>
      </c>
    </row>
    <row r="179" ht="22.5" customHeight="1">
      <c r="A179" s="340" t="s">
        <v>3527</v>
      </c>
      <c r="B179" s="354" t="s">
        <v>3532</v>
      </c>
    </row>
    <row r="180" ht="22.5" customHeight="1">
      <c r="A180" s="340" t="s">
        <v>3948</v>
      </c>
      <c r="B180" s="354" t="s">
        <v>2195</v>
      </c>
    </row>
    <row r="181" ht="22.5" customHeight="1">
      <c r="A181" s="340" t="s">
        <v>3285</v>
      </c>
      <c r="B181" s="354" t="s">
        <v>776</v>
      </c>
    </row>
    <row r="182" ht="22.5" customHeight="1">
      <c r="A182" s="340" t="s">
        <v>3285</v>
      </c>
      <c r="B182" s="354" t="s">
        <v>767</v>
      </c>
    </row>
    <row r="183" ht="22.5" customHeight="1">
      <c r="A183" s="340" t="s">
        <v>1045</v>
      </c>
      <c r="B183" s="354" t="s">
        <v>834</v>
      </c>
    </row>
    <row r="184" ht="22.5" customHeight="1">
      <c r="A184" s="340" t="s">
        <v>3601</v>
      </c>
      <c r="B184" s="354" t="s">
        <v>3607</v>
      </c>
    </row>
    <row r="185" ht="22.5" customHeight="1">
      <c r="A185" s="340" t="s">
        <v>3346</v>
      </c>
      <c r="B185" s="354" t="s">
        <v>3351</v>
      </c>
    </row>
    <row r="186" ht="22.5" customHeight="1">
      <c r="A186" s="340" t="s">
        <v>1465</v>
      </c>
      <c r="B186" s="354" t="s">
        <v>1471</v>
      </c>
    </row>
    <row r="187" ht="22.5" customHeight="1">
      <c r="A187" s="340" t="s">
        <v>799</v>
      </c>
      <c r="B187" s="354" t="s">
        <v>805</v>
      </c>
    </row>
    <row r="188" ht="22.5" customHeight="1">
      <c r="A188" s="340" t="s">
        <v>748</v>
      </c>
      <c r="B188" s="354" t="s">
        <v>756</v>
      </c>
    </row>
    <row r="189" ht="22.5" customHeight="1">
      <c r="A189" s="340" t="s">
        <v>3554</v>
      </c>
      <c r="B189" s="354" t="s">
        <v>1840</v>
      </c>
    </row>
    <row r="190" ht="22.5" customHeight="1">
      <c r="A190" s="340" t="s">
        <v>1877</v>
      </c>
      <c r="B190" s="354" t="s">
        <v>1867</v>
      </c>
    </row>
    <row r="191" ht="22.5" customHeight="1">
      <c r="A191" s="340" t="s">
        <v>2245</v>
      </c>
      <c r="B191" s="354" t="s">
        <v>1462</v>
      </c>
    </row>
    <row r="192" ht="22.5" customHeight="1">
      <c r="A192" s="355" t="s">
        <v>2231</v>
      </c>
      <c r="B192" s="356" t="s">
        <v>2237</v>
      </c>
    </row>
    <row r="193" ht="22.5" customHeight="1">
      <c r="A193" s="340" t="s">
        <v>1604</v>
      </c>
      <c r="B193" s="354" t="s">
        <v>1610</v>
      </c>
    </row>
    <row r="194" ht="22.5" customHeight="1">
      <c r="A194" s="340" t="s">
        <v>2021</v>
      </c>
      <c r="B194" s="354" t="s">
        <v>1984</v>
      </c>
    </row>
    <row r="195" ht="22.5" customHeight="1">
      <c r="A195" s="355" t="s">
        <v>1327</v>
      </c>
      <c r="B195" s="357" t="s">
        <v>1334</v>
      </c>
    </row>
    <row r="196" ht="22.5" customHeight="1">
      <c r="A196" s="340" t="s">
        <v>3766</v>
      </c>
      <c r="B196" s="354" t="s">
        <v>3217</v>
      </c>
    </row>
    <row r="197" ht="22.5" customHeight="1">
      <c r="A197" s="355" t="s">
        <v>5425</v>
      </c>
      <c r="B197" s="356" t="s">
        <v>4269</v>
      </c>
    </row>
    <row r="198" ht="22.5" customHeight="1">
      <c r="A198" s="340" t="s">
        <v>3678</v>
      </c>
      <c r="B198" s="354" t="s">
        <v>3684</v>
      </c>
    </row>
    <row r="199" ht="22.5" customHeight="1">
      <c r="A199" s="340" t="s">
        <v>3622</v>
      </c>
      <c r="B199" s="354" t="s">
        <v>3627</v>
      </c>
    </row>
    <row r="200" ht="22.5" customHeight="1">
      <c r="A200" s="340" t="s">
        <v>2315</v>
      </c>
      <c r="B200" s="354" t="s">
        <v>2321</v>
      </c>
    </row>
    <row r="201" ht="22.5" customHeight="1">
      <c r="A201" s="340" t="s">
        <v>3943</v>
      </c>
      <c r="B201" s="354" t="s">
        <v>843</v>
      </c>
    </row>
    <row r="202" ht="22.5" customHeight="1">
      <c r="A202" s="340" t="s">
        <v>1430</v>
      </c>
      <c r="B202" s="354" t="s">
        <v>1334</v>
      </c>
    </row>
    <row r="203" ht="22.5" customHeight="1">
      <c r="A203" s="340" t="s">
        <v>1860</v>
      </c>
      <c r="B203" s="354" t="s">
        <v>1867</v>
      </c>
    </row>
    <row r="204" ht="22.5" customHeight="1">
      <c r="A204" s="340" t="s">
        <v>4074</v>
      </c>
      <c r="B204" s="354" t="s">
        <v>776</v>
      </c>
    </row>
    <row r="205" ht="22.5" customHeight="1">
      <c r="A205" s="340" t="s">
        <v>2586</v>
      </c>
      <c r="B205" s="354" t="s">
        <v>1587</v>
      </c>
    </row>
    <row r="206" ht="22.5" customHeight="1">
      <c r="A206" s="340" t="s">
        <v>1380</v>
      </c>
      <c r="B206" s="354" t="s">
        <v>1385</v>
      </c>
    </row>
    <row r="207" ht="22.5" customHeight="1">
      <c r="A207" s="340" t="s">
        <v>4308</v>
      </c>
      <c r="B207" s="354" t="s">
        <v>974</v>
      </c>
    </row>
    <row r="208" ht="22.5" customHeight="1">
      <c r="A208" s="340" t="s">
        <v>2876</v>
      </c>
      <c r="B208" s="354" t="s">
        <v>2884</v>
      </c>
    </row>
    <row r="209" ht="22.5" customHeight="1">
      <c r="A209" s="340" t="s">
        <v>2199</v>
      </c>
      <c r="B209" s="354" t="s">
        <v>1772</v>
      </c>
    </row>
    <row r="210" ht="22.5" customHeight="1">
      <c r="A210" s="340" t="s">
        <v>3386</v>
      </c>
      <c r="B210" s="354" t="s">
        <v>1494</v>
      </c>
    </row>
    <row r="211" ht="22.5" customHeight="1">
      <c r="A211" s="340" t="s">
        <v>4165</v>
      </c>
      <c r="B211" s="354" t="s">
        <v>3423</v>
      </c>
    </row>
    <row r="212" ht="22.5" customHeight="1">
      <c r="A212" s="340" t="s">
        <v>2324</v>
      </c>
      <c r="B212" s="354" t="s">
        <v>2328</v>
      </c>
    </row>
    <row r="213" ht="22.5" customHeight="1">
      <c r="A213" s="340" t="s">
        <v>1973</v>
      </c>
      <c r="B213" s="354" t="s">
        <v>834</v>
      </c>
    </row>
    <row r="214" ht="22.5" customHeight="1">
      <c r="A214" s="340" t="s">
        <v>1269</v>
      </c>
      <c r="B214" s="354" t="s">
        <v>787</v>
      </c>
    </row>
    <row r="215" ht="22.5" customHeight="1">
      <c r="A215" s="340" t="s">
        <v>2253</v>
      </c>
      <c r="B215" s="354" t="s">
        <v>1850</v>
      </c>
    </row>
    <row r="216" ht="22.5" customHeight="1">
      <c r="A216" s="340" t="s">
        <v>4276</v>
      </c>
      <c r="B216" s="354" t="s">
        <v>965</v>
      </c>
    </row>
    <row r="217" ht="22.5" customHeight="1">
      <c r="A217" s="340" t="s">
        <v>2415</v>
      </c>
      <c r="B217" s="354" t="s">
        <v>2421</v>
      </c>
    </row>
    <row r="218" ht="22.5" customHeight="1">
      <c r="A218" s="340" t="s">
        <v>1453</v>
      </c>
      <c r="B218" s="354" t="s">
        <v>1462</v>
      </c>
    </row>
    <row r="219" ht="22.5" customHeight="1">
      <c r="A219" s="340" t="s">
        <v>4424</v>
      </c>
      <c r="B219" s="354" t="s">
        <v>776</v>
      </c>
    </row>
    <row r="220" ht="22.5" customHeight="1">
      <c r="A220" s="340" t="s">
        <v>3724</v>
      </c>
      <c r="B220" s="354" t="s">
        <v>3727</v>
      </c>
    </row>
    <row r="221" ht="22.5" customHeight="1">
      <c r="A221" s="340" t="s">
        <v>2691</v>
      </c>
      <c r="B221" s="354" t="s">
        <v>2696</v>
      </c>
    </row>
    <row r="222" ht="22.5" customHeight="1">
      <c r="A222" s="355" t="s">
        <v>3139</v>
      </c>
      <c r="B222" s="356" t="s">
        <v>3145</v>
      </c>
    </row>
    <row r="223" ht="22.5" customHeight="1">
      <c r="A223" s="340" t="s">
        <v>2424</v>
      </c>
      <c r="B223" s="354" t="s">
        <v>2430</v>
      </c>
    </row>
    <row r="224" ht="22.5" customHeight="1">
      <c r="A224" s="340" t="s">
        <v>2063</v>
      </c>
      <c r="B224" s="354" t="s">
        <v>1801</v>
      </c>
    </row>
    <row r="225" ht="22.5" customHeight="1">
      <c r="A225" s="340" t="s">
        <v>1182</v>
      </c>
      <c r="B225" s="354" t="s">
        <v>1179</v>
      </c>
    </row>
    <row r="226" ht="22.5" customHeight="1">
      <c r="A226" s="340" t="s">
        <v>1647</v>
      </c>
      <c r="B226" s="354" t="s">
        <v>1653</v>
      </c>
    </row>
    <row r="227" ht="22.5" customHeight="1">
      <c r="A227" s="340" t="s">
        <v>2528</v>
      </c>
      <c r="B227" s="354" t="s">
        <v>2533</v>
      </c>
    </row>
    <row r="228" ht="22.5" customHeight="1">
      <c r="A228" s="340" t="s">
        <v>1999</v>
      </c>
      <c r="B228" s="354" t="s">
        <v>1411</v>
      </c>
    </row>
    <row r="229" ht="22.5" customHeight="1">
      <c r="A229" s="340" t="s">
        <v>1540</v>
      </c>
      <c r="B229" s="354" t="s">
        <v>1087</v>
      </c>
    </row>
    <row r="230" ht="22.5" customHeight="1">
      <c r="A230" s="340" t="s">
        <v>2814</v>
      </c>
      <c r="B230" s="354" t="s">
        <v>2818</v>
      </c>
    </row>
    <row r="231" ht="22.5" customHeight="1">
      <c r="A231" s="340" t="s">
        <v>1819</v>
      </c>
      <c r="B231" s="354" t="s">
        <v>1824</v>
      </c>
    </row>
    <row r="232" ht="22.5" customHeight="1">
      <c r="A232" s="340" t="s">
        <v>2846</v>
      </c>
      <c r="B232" s="354" t="s">
        <v>2852</v>
      </c>
    </row>
    <row r="233" ht="22.5" customHeight="1">
      <c r="A233" s="340" t="s">
        <v>2555</v>
      </c>
      <c r="B233" s="354" t="s">
        <v>965</v>
      </c>
    </row>
    <row r="234" ht="22.5" customHeight="1">
      <c r="A234" s="340" t="s">
        <v>4388</v>
      </c>
      <c r="B234" s="354" t="s">
        <v>4393</v>
      </c>
    </row>
    <row r="235" ht="22.5" customHeight="1">
      <c r="A235" s="340" t="s">
        <v>3369</v>
      </c>
      <c r="B235" s="354" t="s">
        <v>3372</v>
      </c>
    </row>
    <row r="236" ht="22.5" customHeight="1">
      <c r="A236" s="340" t="s">
        <v>3011</v>
      </c>
      <c r="B236" s="354" t="s">
        <v>3016</v>
      </c>
    </row>
    <row r="237" ht="22.5" customHeight="1">
      <c r="A237" s="340" t="s">
        <v>2991</v>
      </c>
      <c r="B237" s="354" t="s">
        <v>3003</v>
      </c>
    </row>
    <row r="238" ht="22.5" customHeight="1">
      <c r="A238" s="340" t="s">
        <v>1263</v>
      </c>
      <c r="B238" s="354" t="s">
        <v>756</v>
      </c>
    </row>
    <row r="239" ht="22.5" customHeight="1">
      <c r="A239" s="340" t="s">
        <v>3595</v>
      </c>
      <c r="B239" s="354" t="s">
        <v>3599</v>
      </c>
    </row>
    <row r="240" ht="22.5" customHeight="1">
      <c r="A240" s="340" t="s">
        <v>3719</v>
      </c>
      <c r="B240" s="354" t="s">
        <v>3184</v>
      </c>
    </row>
    <row r="241" ht="22.5" customHeight="1">
      <c r="A241" s="340" t="s">
        <v>3719</v>
      </c>
      <c r="B241" s="354" t="s">
        <v>3184</v>
      </c>
    </row>
    <row r="242" ht="22.5" customHeight="1">
      <c r="A242" s="340" t="s">
        <v>2517</v>
      </c>
      <c r="B242" s="354" t="s">
        <v>2525</v>
      </c>
    </row>
    <row r="243" ht="22.5" customHeight="1">
      <c r="A243" s="355" t="s">
        <v>2097</v>
      </c>
      <c r="B243" s="356" t="s">
        <v>1792</v>
      </c>
    </row>
    <row r="244" ht="22.5" customHeight="1">
      <c r="A244" s="340" t="s">
        <v>871</v>
      </c>
      <c r="B244" s="354" t="s">
        <v>877</v>
      </c>
    </row>
    <row r="245" ht="22.5" customHeight="1">
      <c r="A245" s="340" t="s">
        <v>1155</v>
      </c>
      <c r="B245" s="354" t="s">
        <v>1161</v>
      </c>
    </row>
    <row r="246" ht="22.5" customHeight="1">
      <c r="A246" s="340" t="s">
        <v>2275</v>
      </c>
      <c r="B246" s="354" t="s">
        <v>1314</v>
      </c>
    </row>
    <row r="247" ht="22.5" customHeight="1">
      <c r="A247" s="340" t="s">
        <v>1545</v>
      </c>
      <c r="B247" s="354" t="s">
        <v>1551</v>
      </c>
    </row>
    <row r="248" ht="22.5" customHeight="1">
      <c r="A248" s="355" t="s">
        <v>1545</v>
      </c>
      <c r="B248" s="356" t="s">
        <v>5426</v>
      </c>
    </row>
    <row r="249" ht="22.5" customHeight="1">
      <c r="A249" s="340" t="s">
        <v>4570</v>
      </c>
      <c r="B249" s="354" t="s">
        <v>4580</v>
      </c>
    </row>
    <row r="250" ht="22.5" customHeight="1">
      <c r="A250" s="340" t="s">
        <v>1388</v>
      </c>
      <c r="B250" s="354" t="s">
        <v>1394</v>
      </c>
    </row>
    <row r="251" ht="22.5" customHeight="1">
      <c r="A251" s="340" t="s">
        <v>2568</v>
      </c>
      <c r="B251" s="354" t="s">
        <v>2573</v>
      </c>
    </row>
    <row r="252" ht="22.5" customHeight="1">
      <c r="A252" s="340" t="s">
        <v>2366</v>
      </c>
      <c r="B252" s="354" t="s">
        <v>2371</v>
      </c>
    </row>
    <row r="253" ht="22.5" customHeight="1">
      <c r="A253" s="340" t="s">
        <v>1308</v>
      </c>
      <c r="B253" s="354" t="s">
        <v>1314</v>
      </c>
    </row>
    <row r="254" ht="22.5" customHeight="1">
      <c r="A254" s="340" t="s">
        <v>3845</v>
      </c>
      <c r="B254" s="354" t="s">
        <v>3076</v>
      </c>
    </row>
    <row r="255" ht="22.5" customHeight="1">
      <c r="A255" s="340" t="s">
        <v>2918</v>
      </c>
      <c r="B255" s="354" t="s">
        <v>1170</v>
      </c>
    </row>
    <row r="256" ht="22.5" customHeight="1">
      <c r="A256" s="340" t="s">
        <v>4648</v>
      </c>
      <c r="B256" s="354" t="s">
        <v>4654</v>
      </c>
    </row>
    <row r="257" ht="22.5" customHeight="1">
      <c r="A257" s="340" t="s">
        <v>2830</v>
      </c>
      <c r="B257" s="354" t="s">
        <v>1832</v>
      </c>
    </row>
    <row r="258" ht="22.5" customHeight="1">
      <c r="A258" s="340" t="s">
        <v>4313</v>
      </c>
      <c r="B258" s="354" t="s">
        <v>4318</v>
      </c>
    </row>
    <row r="259" ht="22.5" customHeight="1">
      <c r="A259" s="340" t="s">
        <v>2511</v>
      </c>
      <c r="B259" s="354" t="s">
        <v>2515</v>
      </c>
    </row>
    <row r="260" ht="22.5" customHeight="1">
      <c r="A260" s="340" t="s">
        <v>3494</v>
      </c>
      <c r="B260" s="354" t="s">
        <v>2873</v>
      </c>
    </row>
    <row r="261" ht="22.5" customHeight="1">
      <c r="A261" s="340" t="s">
        <v>4458</v>
      </c>
      <c r="B261" s="354" t="s">
        <v>3016</v>
      </c>
    </row>
    <row r="262" ht="22.5" customHeight="1">
      <c r="A262" s="340" t="s">
        <v>1245</v>
      </c>
      <c r="B262" s="354" t="s">
        <v>914</v>
      </c>
    </row>
    <row r="263" ht="22.5" customHeight="1">
      <c r="A263" s="340" t="s">
        <v>2960</v>
      </c>
      <c r="B263" s="354" t="s">
        <v>1896</v>
      </c>
    </row>
    <row r="264" ht="22.5" customHeight="1">
      <c r="A264" s="340" t="s">
        <v>3186</v>
      </c>
      <c r="B264" s="354" t="s">
        <v>3184</v>
      </c>
    </row>
    <row r="265" ht="22.5" customHeight="1">
      <c r="A265" s="340" t="s">
        <v>3069</v>
      </c>
      <c r="B265" s="354" t="s">
        <v>3076</v>
      </c>
    </row>
    <row r="266" ht="22.5" customHeight="1">
      <c r="A266" s="340" t="s">
        <v>3902</v>
      </c>
      <c r="B266" s="354" t="s">
        <v>3907</v>
      </c>
    </row>
    <row r="267" ht="22.5" customHeight="1">
      <c r="A267" s="340" t="s">
        <v>1614</v>
      </c>
      <c r="B267" s="354" t="s">
        <v>1620</v>
      </c>
    </row>
    <row r="268" ht="22.5" customHeight="1">
      <c r="A268" s="340" t="s">
        <v>3545</v>
      </c>
      <c r="B268" s="354" t="s">
        <v>3552</v>
      </c>
    </row>
    <row r="269" ht="22.5" customHeight="1">
      <c r="A269" s="340" t="s">
        <v>2005</v>
      </c>
      <c r="B269" s="354" t="s">
        <v>2009</v>
      </c>
    </row>
    <row r="270" ht="22.5" customHeight="1">
      <c r="A270" s="340" t="s">
        <v>4198</v>
      </c>
      <c r="B270" s="354" t="s">
        <v>2352</v>
      </c>
    </row>
    <row r="271" ht="22.5" customHeight="1">
      <c r="A271" s="340" t="s">
        <v>1230</v>
      </c>
      <c r="B271" s="354" t="s">
        <v>1119</v>
      </c>
    </row>
    <row r="272" ht="22.5" customHeight="1">
      <c r="A272" s="340" t="s">
        <v>1718</v>
      </c>
      <c r="B272" s="354" t="s">
        <v>1357</v>
      </c>
    </row>
    <row r="273" ht="22.5" customHeight="1">
      <c r="A273" s="340" t="s">
        <v>1589</v>
      </c>
      <c r="B273" s="354" t="s">
        <v>1594</v>
      </c>
    </row>
    <row r="274" ht="22.5" customHeight="1">
      <c r="A274" s="340" t="s">
        <v>4467</v>
      </c>
      <c r="B274" s="354" t="s">
        <v>4474</v>
      </c>
    </row>
    <row r="275" ht="22.5" customHeight="1">
      <c r="A275" s="340" t="s">
        <v>4011</v>
      </c>
      <c r="B275" s="354" t="s">
        <v>4017</v>
      </c>
    </row>
    <row r="276" ht="22.5" customHeight="1">
      <c r="A276" s="340" t="s">
        <v>3055</v>
      </c>
      <c r="B276" s="354" t="s">
        <v>3052</v>
      </c>
    </row>
    <row r="277" ht="22.5" customHeight="1">
      <c r="A277" s="340" t="s">
        <v>3897</v>
      </c>
      <c r="B277" s="354" t="s">
        <v>956</v>
      </c>
    </row>
    <row r="278" ht="22.5" customHeight="1">
      <c r="A278" s="340" t="s">
        <v>4629</v>
      </c>
      <c r="B278" s="354" t="s">
        <v>4634</v>
      </c>
    </row>
    <row r="279" ht="22.5" customHeight="1">
      <c r="A279" s="340" t="s">
        <v>4260</v>
      </c>
      <c r="B279" s="354" t="s">
        <v>2745</v>
      </c>
    </row>
    <row r="280" ht="22.5" customHeight="1">
      <c r="A280" s="340" t="s">
        <v>1827</v>
      </c>
      <c r="B280" s="354" t="s">
        <v>1832</v>
      </c>
    </row>
    <row r="281" ht="22.5" customHeight="1">
      <c r="A281" s="340" t="s">
        <v>1011</v>
      </c>
      <c r="B281" s="354" t="s">
        <v>1017</v>
      </c>
    </row>
    <row r="282" ht="22.5" customHeight="1">
      <c r="A282" s="340" t="s">
        <v>1474</v>
      </c>
      <c r="B282" s="354" t="s">
        <v>1334</v>
      </c>
    </row>
    <row r="283" ht="22.5" customHeight="1">
      <c r="A283" s="340" t="s">
        <v>4452</v>
      </c>
      <c r="B283" s="354" t="s">
        <v>4456</v>
      </c>
    </row>
    <row r="284" ht="22.5" customHeight="1">
      <c r="A284" s="340" t="s">
        <v>1775</v>
      </c>
      <c r="B284" s="354" t="s">
        <v>1781</v>
      </c>
    </row>
    <row r="285" ht="22.5" customHeight="1">
      <c r="A285" s="340" t="s">
        <v>1165</v>
      </c>
      <c r="B285" s="354" t="s">
        <v>1170</v>
      </c>
    </row>
    <row r="286" ht="22.5" customHeight="1">
      <c r="A286" s="340" t="s">
        <v>993</v>
      </c>
      <c r="B286" s="354" t="s">
        <v>974</v>
      </c>
    </row>
    <row r="287" ht="22.5" customHeight="1">
      <c r="A287" s="340" t="s">
        <v>3852</v>
      </c>
      <c r="B287" s="354" t="s">
        <v>3858</v>
      </c>
    </row>
    <row r="288" ht="22.5" customHeight="1">
      <c r="A288" s="340" t="s">
        <v>1752</v>
      </c>
      <c r="B288" s="354" t="s">
        <v>1069</v>
      </c>
    </row>
    <row r="289" ht="22.5" customHeight="1">
      <c r="A289" s="340" t="s">
        <v>4036</v>
      </c>
      <c r="B289" s="354" t="s">
        <v>4042</v>
      </c>
    </row>
    <row r="290" ht="22.5" customHeight="1">
      <c r="A290" s="340" t="s">
        <v>917</v>
      </c>
      <c r="B290" s="354" t="s">
        <v>886</v>
      </c>
    </row>
    <row r="291" ht="22.5" customHeight="1">
      <c r="A291" s="340" t="s">
        <v>3164</v>
      </c>
      <c r="B291" s="354" t="s">
        <v>2651</v>
      </c>
    </row>
    <row r="292" ht="22.5" customHeight="1">
      <c r="A292" s="340" t="s">
        <v>2301</v>
      </c>
      <c r="B292" s="354" t="s">
        <v>2307</v>
      </c>
    </row>
    <row r="293" ht="22.5" customHeight="1">
      <c r="A293" s="340" t="s">
        <v>3981</v>
      </c>
      <c r="B293" s="354" t="s">
        <v>3987</v>
      </c>
    </row>
    <row r="294" ht="22.5" customHeight="1">
      <c r="A294" s="340" t="s">
        <v>3641</v>
      </c>
      <c r="B294" s="354" t="s">
        <v>3649</v>
      </c>
    </row>
    <row r="295" ht="22.5" customHeight="1">
      <c r="A295" s="340" t="s">
        <v>3152</v>
      </c>
      <c r="B295" s="354" t="s">
        <v>2673</v>
      </c>
    </row>
    <row r="296" ht="22.5" customHeight="1">
      <c r="A296" s="340" t="s">
        <v>1597</v>
      </c>
      <c r="B296" s="354" t="s">
        <v>974</v>
      </c>
    </row>
    <row r="297" ht="22.5" customHeight="1">
      <c r="A297" s="340" t="s">
        <v>3220</v>
      </c>
      <c r="B297" s="354" t="s">
        <v>3225</v>
      </c>
    </row>
    <row r="298" ht="22.5" customHeight="1">
      <c r="A298" s="340" t="s">
        <v>2482</v>
      </c>
      <c r="B298" s="354" t="s">
        <v>2489</v>
      </c>
    </row>
    <row r="299" ht="22.5" customHeight="1">
      <c r="A299" s="340" t="s">
        <v>4157</v>
      </c>
      <c r="B299" s="354" t="s">
        <v>4162</v>
      </c>
    </row>
    <row r="300" ht="22.5" customHeight="1">
      <c r="A300" s="340" t="s">
        <v>1512</v>
      </c>
      <c r="B300" s="354" t="s">
        <v>1069</v>
      </c>
    </row>
    <row r="301" ht="22.5" customHeight="1">
      <c r="A301" s="340" t="s">
        <v>2295</v>
      </c>
      <c r="B301" s="354" t="s">
        <v>1940</v>
      </c>
    </row>
    <row r="302" ht="22.5" customHeight="1">
      <c r="A302" s="340" t="s">
        <v>2169</v>
      </c>
      <c r="B302" s="354" t="s">
        <v>2175</v>
      </c>
    </row>
    <row r="303" ht="22.5" customHeight="1">
      <c r="A303" s="340" t="s">
        <v>4235</v>
      </c>
      <c r="B303" s="354" t="s">
        <v>1128</v>
      </c>
    </row>
    <row r="304" ht="22.5" customHeight="1">
      <c r="A304" s="340" t="s">
        <v>4612</v>
      </c>
      <c r="B304" s="354" t="s">
        <v>4618</v>
      </c>
    </row>
    <row r="305" ht="22.5" customHeight="1">
      <c r="A305" s="340" t="s">
        <v>3062</v>
      </c>
      <c r="B305" s="354" t="s">
        <v>3068</v>
      </c>
    </row>
    <row r="306" ht="22.5" customHeight="1">
      <c r="A306" s="340" t="s">
        <v>3306</v>
      </c>
      <c r="B306" s="354" t="s">
        <v>3240</v>
      </c>
    </row>
    <row r="307" ht="22.5" customHeight="1">
      <c r="A307" s="340" t="s">
        <v>3996</v>
      </c>
      <c r="B307" s="354" t="s">
        <v>3978</v>
      </c>
    </row>
    <row r="308" ht="22.5" customHeight="1">
      <c r="A308" s="340" t="s">
        <v>4346</v>
      </c>
      <c r="B308" s="354" t="s">
        <v>1152</v>
      </c>
    </row>
    <row r="309" ht="22.5" customHeight="1">
      <c r="A309" s="340" t="s">
        <v>4461</v>
      </c>
      <c r="B309" s="354" t="s">
        <v>1792</v>
      </c>
    </row>
    <row r="310" ht="22.5" customHeight="1">
      <c r="A310" s="340" t="s">
        <v>2887</v>
      </c>
      <c r="B310" s="354" t="s">
        <v>2873</v>
      </c>
    </row>
    <row r="311" ht="22.5" customHeight="1">
      <c r="A311" s="340" t="s">
        <v>4429</v>
      </c>
      <c r="B311" s="354" t="s">
        <v>4434</v>
      </c>
    </row>
    <row r="312" ht="22.5" customHeight="1">
      <c r="A312" s="340" t="s">
        <v>4351</v>
      </c>
      <c r="B312" s="354" t="s">
        <v>3240</v>
      </c>
    </row>
    <row r="313" ht="22.5" customHeight="1">
      <c r="A313" s="340" t="s">
        <v>2443</v>
      </c>
      <c r="B313" s="354" t="s">
        <v>2448</v>
      </c>
    </row>
    <row r="314" ht="22.5" customHeight="1">
      <c r="A314" s="340" t="s">
        <v>4191</v>
      </c>
      <c r="B314" s="354" t="s">
        <v>2790</v>
      </c>
    </row>
    <row r="315" ht="22.5" customHeight="1">
      <c r="A315" s="340" t="s">
        <v>3354</v>
      </c>
      <c r="B315" s="354" t="s">
        <v>3366</v>
      </c>
    </row>
    <row r="316" ht="22.5" customHeight="1">
      <c r="A316" s="340" t="s">
        <v>1131</v>
      </c>
      <c r="B316" s="354" t="s">
        <v>859</v>
      </c>
    </row>
    <row r="317" ht="22.5" customHeight="1">
      <c r="A317" s="340" t="s">
        <v>4124</v>
      </c>
      <c r="B317" s="354" t="s">
        <v>2582</v>
      </c>
    </row>
    <row r="318" ht="22.5" customHeight="1">
      <c r="A318" s="340" t="s">
        <v>3577</v>
      </c>
      <c r="B318" s="354" t="s">
        <v>3582</v>
      </c>
    </row>
    <row r="319" ht="22.5" customHeight="1">
      <c r="A319" s="340" t="s">
        <v>3866</v>
      </c>
      <c r="B319" s="354" t="s">
        <v>3372</v>
      </c>
    </row>
    <row r="320" ht="22.5" customHeight="1">
      <c r="A320" s="340" t="s">
        <v>4340</v>
      </c>
      <c r="B320" s="354" t="s">
        <v>4344</v>
      </c>
    </row>
    <row r="321" ht="22.5" customHeight="1">
      <c r="A321" s="340" t="s">
        <v>1834</v>
      </c>
      <c r="B321" s="354" t="s">
        <v>1840</v>
      </c>
    </row>
    <row r="322" ht="22.5" customHeight="1">
      <c r="A322" s="340" t="s">
        <v>3785</v>
      </c>
      <c r="B322" s="354" t="s">
        <v>3574</v>
      </c>
    </row>
    <row r="323" ht="22.5" customHeight="1">
      <c r="A323" s="340" t="s">
        <v>3169</v>
      </c>
      <c r="B323" s="354" t="s">
        <v>2651</v>
      </c>
    </row>
    <row r="324" ht="22.5" customHeight="1">
      <c r="A324" s="340" t="s">
        <v>2535</v>
      </c>
      <c r="B324" s="354" t="s">
        <v>2540</v>
      </c>
    </row>
    <row r="325" ht="22.5" customHeight="1">
      <c r="A325" s="340" t="s">
        <v>3791</v>
      </c>
      <c r="B325" s="354" t="s">
        <v>2771</v>
      </c>
    </row>
    <row r="326" ht="22.5" customHeight="1">
      <c r="A326" s="340" t="s">
        <v>3559</v>
      </c>
      <c r="B326" s="354" t="s">
        <v>796</v>
      </c>
    </row>
    <row r="327" ht="22.5" customHeight="1">
      <c r="A327" s="340" t="s">
        <v>3322</v>
      </c>
      <c r="B327" s="354" t="s">
        <v>938</v>
      </c>
    </row>
    <row r="328" ht="22.5" customHeight="1">
      <c r="A328" s="340" t="s">
        <v>4281</v>
      </c>
      <c r="B328" s="354" t="s">
        <v>4284</v>
      </c>
    </row>
    <row r="329" ht="22.5" customHeight="1">
      <c r="A329" s="340" t="s">
        <v>4536</v>
      </c>
      <c r="B329" s="354" t="s">
        <v>4509</v>
      </c>
    </row>
    <row r="330" ht="22.5" customHeight="1">
      <c r="A330" s="340" t="s">
        <v>2435</v>
      </c>
      <c r="B330" s="354" t="s">
        <v>1143</v>
      </c>
    </row>
    <row r="331" ht="22.5" customHeight="1">
      <c r="A331" s="355" t="s">
        <v>4329</v>
      </c>
      <c r="B331" s="356" t="s">
        <v>4334</v>
      </c>
    </row>
    <row r="332" ht="22.5" customHeight="1">
      <c r="A332" s="340" t="s">
        <v>2359</v>
      </c>
      <c r="B332" s="354" t="s">
        <v>2364</v>
      </c>
    </row>
    <row r="333" ht="22.5" customHeight="1">
      <c r="A333" s="340" t="s">
        <v>1090</v>
      </c>
      <c r="B333" s="354" t="s">
        <v>1096</v>
      </c>
    </row>
    <row r="334" ht="22.5" customHeight="1">
      <c r="A334" s="340" t="s">
        <v>3039</v>
      </c>
      <c r="B334" s="354" t="s">
        <v>886</v>
      </c>
    </row>
    <row r="335" ht="22.5" customHeight="1">
      <c r="A335" s="340" t="s">
        <v>3962</v>
      </c>
      <c r="B335" s="354" t="s">
        <v>1715</v>
      </c>
    </row>
    <row r="336" ht="22.5" customHeight="1">
      <c r="A336" s="340" t="s">
        <v>4366</v>
      </c>
      <c r="B336" s="354" t="s">
        <v>3582</v>
      </c>
    </row>
    <row r="337" ht="22.5" customHeight="1">
      <c r="A337" s="340" t="s">
        <v>3861</v>
      </c>
      <c r="B337" s="354" t="s">
        <v>1824</v>
      </c>
    </row>
    <row r="338" ht="22.5" customHeight="1">
      <c r="A338" s="340" t="s">
        <v>2473</v>
      </c>
      <c r="B338" s="354" t="s">
        <v>2479</v>
      </c>
    </row>
    <row r="339" ht="22.5" customHeight="1">
      <c r="A339" s="340" t="s">
        <v>950</v>
      </c>
      <c r="B339" s="354" t="s">
        <v>956</v>
      </c>
    </row>
    <row r="340" ht="22.5" customHeight="1">
      <c r="A340" s="340" t="s">
        <v>2380</v>
      </c>
      <c r="B340" s="354" t="s">
        <v>2386</v>
      </c>
    </row>
    <row r="341" ht="22.5" customHeight="1">
      <c r="A341" s="340" t="s">
        <v>4593</v>
      </c>
      <c r="B341" s="354" t="s">
        <v>4599</v>
      </c>
    </row>
    <row r="342" ht="22.5" customHeight="1">
      <c r="A342" s="340" t="s">
        <v>3087</v>
      </c>
      <c r="B342" s="354" t="s">
        <v>1119</v>
      </c>
    </row>
    <row r="343" ht="22.5" customHeight="1">
      <c r="A343" s="340" t="s">
        <v>3922</v>
      </c>
      <c r="B343" s="354" t="s">
        <v>3927</v>
      </c>
    </row>
    <row r="344" ht="22.5" customHeight="1">
      <c r="A344" s="340" t="s">
        <v>880</v>
      </c>
      <c r="B344" s="354" t="s">
        <v>886</v>
      </c>
    </row>
    <row r="345" ht="22.5" customHeight="1">
      <c r="A345" s="340" t="s">
        <v>4020</v>
      </c>
      <c r="B345" s="354" t="s">
        <v>1418</v>
      </c>
    </row>
    <row r="346" ht="22.5" customHeight="1">
      <c r="A346" s="340" t="s">
        <v>1692</v>
      </c>
      <c r="B346" s="354" t="s">
        <v>1334</v>
      </c>
    </row>
    <row r="347" ht="22.5" customHeight="1">
      <c r="A347" s="340" t="s">
        <v>1405</v>
      </c>
      <c r="B347" s="354" t="s">
        <v>1411</v>
      </c>
    </row>
    <row r="348" ht="22.5" customHeight="1">
      <c r="A348" s="340" t="s">
        <v>4656</v>
      </c>
      <c r="B348" s="354" t="s">
        <v>4656</v>
      </c>
    </row>
    <row r="349" ht="22.5" customHeight="1">
      <c r="A349" s="340" t="s">
        <v>4087</v>
      </c>
      <c r="B349" s="354" t="s">
        <v>4092</v>
      </c>
    </row>
    <row r="350" ht="22.5" customHeight="1">
      <c r="A350" s="340" t="s">
        <v>3567</v>
      </c>
      <c r="B350" s="354" t="s">
        <v>3574</v>
      </c>
    </row>
    <row r="351" ht="22.5" customHeight="1">
      <c r="A351" s="340" t="s">
        <v>3391</v>
      </c>
      <c r="B351" s="354" t="s">
        <v>965</v>
      </c>
    </row>
    <row r="352" ht="22.5" customHeight="1">
      <c r="A352" s="340" t="s">
        <v>2125</v>
      </c>
      <c r="B352" s="354" t="s">
        <v>2133</v>
      </c>
    </row>
    <row r="353" ht="22.5" customHeight="1">
      <c r="A353" s="340" t="s">
        <v>1684</v>
      </c>
      <c r="B353" s="354" t="s">
        <v>1690</v>
      </c>
    </row>
    <row r="354" ht="22.5" customHeight="1">
      <c r="A354" s="340" t="s">
        <v>4358</v>
      </c>
      <c r="B354" s="354" t="s">
        <v>4363</v>
      </c>
    </row>
    <row r="355" ht="22.5" customHeight="1">
      <c r="A355" s="340" t="s">
        <v>2058</v>
      </c>
      <c r="B355" s="354" t="s">
        <v>756</v>
      </c>
    </row>
    <row r="356" ht="22.5" customHeight="1">
      <c r="A356" s="340" t="s">
        <v>1413</v>
      </c>
      <c r="B356" s="354" t="s">
        <v>1418</v>
      </c>
    </row>
    <row r="357" ht="22.5" customHeight="1">
      <c r="A357" s="355" t="s">
        <v>3519</v>
      </c>
      <c r="B357" s="356" t="s">
        <v>3525</v>
      </c>
    </row>
    <row r="358" ht="22.5" customHeight="1">
      <c r="A358" s="340" t="s">
        <v>1497</v>
      </c>
      <c r="B358" s="354" t="s">
        <v>1502</v>
      </c>
    </row>
    <row r="359" ht="22.5" customHeight="1">
      <c r="A359" s="340" t="s">
        <v>1795</v>
      </c>
      <c r="B359" s="354" t="s">
        <v>1801</v>
      </c>
    </row>
    <row r="360" ht="22.5" customHeight="1">
      <c r="A360" s="340" t="s">
        <v>1677</v>
      </c>
      <c r="B360" s="354" t="s">
        <v>1681</v>
      </c>
    </row>
    <row r="361" ht="22.5" customHeight="1">
      <c r="A361" s="340" t="s">
        <v>2774</v>
      </c>
      <c r="B361" s="354" t="s">
        <v>2780</v>
      </c>
    </row>
    <row r="362" ht="22.5" customHeight="1">
      <c r="A362" s="355" t="s">
        <v>3263</v>
      </c>
      <c r="B362" s="356" t="s">
        <v>886</v>
      </c>
    </row>
    <row r="363" ht="22.5" customHeight="1">
      <c r="A363" s="340" t="s">
        <v>3871</v>
      </c>
      <c r="B363" s="354" t="s">
        <v>3877</v>
      </c>
    </row>
    <row r="364" ht="22.5" customHeight="1">
      <c r="A364" s="340" t="s">
        <v>4002</v>
      </c>
      <c r="B364" s="354" t="s">
        <v>4008</v>
      </c>
    </row>
    <row r="365" ht="22.5" customHeight="1">
      <c r="A365" s="355" t="s">
        <v>1053</v>
      </c>
      <c r="B365" s="356" t="s">
        <v>1059</v>
      </c>
    </row>
    <row r="366" ht="22.5" customHeight="1">
      <c r="A366" s="340" t="s">
        <v>2542</v>
      </c>
      <c r="B366" s="354" t="s">
        <v>2552</v>
      </c>
    </row>
    <row r="367" ht="22.5" customHeight="1">
      <c r="A367" s="340" t="s">
        <v>3635</v>
      </c>
      <c r="B367" s="354" t="s">
        <v>965</v>
      </c>
    </row>
    <row r="368" ht="22.5" customHeight="1">
      <c r="A368" s="340" t="s">
        <v>4637</v>
      </c>
      <c r="B368" s="354" t="s">
        <v>4643</v>
      </c>
    </row>
    <row r="369" ht="22.5" customHeight="1">
      <c r="A369" s="340" t="s">
        <v>1109</v>
      </c>
      <c r="B369" s="354" t="s">
        <v>1119</v>
      </c>
    </row>
    <row r="370" ht="22.5" customHeight="1">
      <c r="A370" s="340" t="s">
        <v>1575</v>
      </c>
      <c r="B370" s="354" t="s">
        <v>825</v>
      </c>
    </row>
    <row r="371" ht="22.5" customHeight="1">
      <c r="A371" s="340" t="s">
        <v>1852</v>
      </c>
      <c r="B371" s="354" t="s">
        <v>1857</v>
      </c>
    </row>
    <row r="372" ht="22.5" customHeight="1">
      <c r="A372" s="340" t="s">
        <v>1397</v>
      </c>
      <c r="B372" s="354" t="s">
        <v>1402</v>
      </c>
    </row>
    <row r="373" ht="22.5" customHeight="1">
      <c r="A373" s="340" t="s">
        <v>2012</v>
      </c>
      <c r="B373" s="354" t="s">
        <v>2018</v>
      </c>
    </row>
    <row r="374" ht="22.5" customHeight="1">
      <c r="A374" s="340" t="s">
        <v>3659</v>
      </c>
      <c r="B374" s="354" t="s">
        <v>1857</v>
      </c>
    </row>
    <row r="375" ht="22.5" customHeight="1">
      <c r="A375" s="340" t="s">
        <v>3476</v>
      </c>
      <c r="B375" s="354" t="s">
        <v>3485</v>
      </c>
    </row>
    <row r="376" ht="22.5" customHeight="1">
      <c r="A376" s="340" t="s">
        <v>2809</v>
      </c>
      <c r="B376" s="354" t="s">
        <v>1418</v>
      </c>
    </row>
    <row r="377" ht="22.5" customHeight="1">
      <c r="A377" s="340" t="s">
        <v>2310</v>
      </c>
      <c r="B377" s="354" t="s">
        <v>1334</v>
      </c>
    </row>
    <row r="378" ht="22.5" customHeight="1">
      <c r="A378" s="340" t="s">
        <v>2955</v>
      </c>
      <c r="B378" s="354" t="s">
        <v>2952</v>
      </c>
    </row>
    <row r="379" ht="22.5" customHeight="1">
      <c r="A379" s="340" t="s">
        <v>4546</v>
      </c>
      <c r="B379" s="354" t="s">
        <v>4557</v>
      </c>
    </row>
    <row r="380" ht="22.5" customHeight="1">
      <c r="A380" s="340" t="s">
        <v>3691</v>
      </c>
      <c r="B380" s="354" t="s">
        <v>2754</v>
      </c>
    </row>
    <row r="381" ht="22.5" customHeight="1">
      <c r="A381" s="340" t="s">
        <v>923</v>
      </c>
      <c r="B381" s="354" t="s">
        <v>929</v>
      </c>
    </row>
    <row r="382" ht="22.5" customHeight="1">
      <c r="A382" s="340" t="s">
        <v>1963</v>
      </c>
      <c r="B382" s="354" t="s">
        <v>1969</v>
      </c>
    </row>
    <row r="383" ht="22.5" customHeight="1">
      <c r="A383" s="340" t="s">
        <v>4382</v>
      </c>
      <c r="B383" s="354" t="s">
        <v>3320</v>
      </c>
    </row>
    <row r="384" ht="22.5" customHeight="1">
      <c r="A384" s="340" t="s">
        <v>968</v>
      </c>
      <c r="B384" s="354" t="s">
        <v>974</v>
      </c>
    </row>
    <row r="385" ht="22.5" customHeight="1">
      <c r="A385" s="340" t="s">
        <v>4152</v>
      </c>
      <c r="B385" s="354" t="s">
        <v>1357</v>
      </c>
    </row>
    <row r="386" ht="22.5" customHeight="1">
      <c r="A386" s="340" t="s">
        <v>4406</v>
      </c>
      <c r="B386" s="354" t="s">
        <v>776</v>
      </c>
    </row>
    <row r="387" ht="22.5" customHeight="1">
      <c r="A387" s="340" t="s">
        <v>2793</v>
      </c>
      <c r="B387" s="354" t="s">
        <v>2798</v>
      </c>
    </row>
    <row r="388" ht="22.5" customHeight="1">
      <c r="A388" s="340" t="s">
        <v>1724</v>
      </c>
      <c r="B388" s="354" t="s">
        <v>1494</v>
      </c>
    </row>
    <row r="389" ht="22.5" customHeight="1">
      <c r="A389" s="340" t="s">
        <v>1907</v>
      </c>
      <c r="B389" s="354" t="s">
        <v>1913</v>
      </c>
    </row>
    <row r="390" ht="22.5" customHeight="1">
      <c r="A390" s="340" t="s">
        <v>3803</v>
      </c>
      <c r="B390" s="354" t="s">
        <v>3812</v>
      </c>
    </row>
    <row r="391" ht="22.5" customHeight="1">
      <c r="A391" s="340" t="s">
        <v>3409</v>
      </c>
      <c r="B391" s="354" t="s">
        <v>3415</v>
      </c>
    </row>
    <row r="392" ht="22.5" customHeight="1">
      <c r="A392" s="340" t="s">
        <v>3711</v>
      </c>
      <c r="B392" s="354" t="s">
        <v>3717</v>
      </c>
    </row>
    <row r="393" ht="22.5" customHeight="1">
      <c r="A393" s="340" t="s">
        <v>3814</v>
      </c>
      <c r="B393" s="354" t="s">
        <v>3820</v>
      </c>
    </row>
    <row r="394" ht="22.5" customHeight="1">
      <c r="A394" s="340" t="s">
        <v>4080</v>
      </c>
      <c r="B394" s="354" t="s">
        <v>2762</v>
      </c>
    </row>
    <row r="395" ht="22.5" customHeight="1">
      <c r="A395" s="340" t="s">
        <v>1870</v>
      </c>
      <c r="B395" s="354" t="s">
        <v>965</v>
      </c>
    </row>
    <row r="396" ht="22.5" customHeight="1">
      <c r="A396" s="340" t="s">
        <v>2646</v>
      </c>
      <c r="B396" s="354" t="s">
        <v>2651</v>
      </c>
    </row>
    <row r="397" ht="22.5" customHeight="1">
      <c r="A397" s="340" t="s">
        <v>3417</v>
      </c>
      <c r="B397" s="354" t="s">
        <v>3423</v>
      </c>
    </row>
    <row r="398" ht="22.5" customHeight="1">
      <c r="A398" s="340" t="s">
        <v>3761</v>
      </c>
      <c r="B398" s="354" t="s">
        <v>1996</v>
      </c>
    </row>
    <row r="399" ht="22.5" customHeight="1">
      <c r="A399" s="340" t="s">
        <v>1189</v>
      </c>
      <c r="B399" s="354" t="s">
        <v>1008</v>
      </c>
    </row>
    <row r="400" ht="22.5" customHeight="1">
      <c r="A400" s="340" t="s">
        <v>5427</v>
      </c>
      <c r="B400" s="354" t="s">
        <v>2018</v>
      </c>
    </row>
    <row r="401" ht="22.5" customHeight="1">
      <c r="A401" s="340" t="s">
        <v>904</v>
      </c>
      <c r="B401" s="354" t="s">
        <v>914</v>
      </c>
    </row>
    <row r="402" ht="22.5" customHeight="1">
      <c r="A402" s="340" t="s">
        <v>2929</v>
      </c>
      <c r="B402" s="354" t="s">
        <v>2915</v>
      </c>
    </row>
    <row r="403" ht="22.5" customHeight="1">
      <c r="A403" s="340" t="s">
        <v>2185</v>
      </c>
      <c r="B403" s="354" t="s">
        <v>1610</v>
      </c>
    </row>
    <row r="404" ht="22.5" customHeight="1">
      <c r="A404" s="340" t="s">
        <v>837</v>
      </c>
      <c r="B404" s="354" t="s">
        <v>843</v>
      </c>
    </row>
    <row r="405" ht="22.5" customHeight="1">
      <c r="A405" s="340" t="s">
        <v>5428</v>
      </c>
      <c r="B405" s="354" t="s">
        <v>834</v>
      </c>
    </row>
    <row r="406" ht="22.5" customHeight="1">
      <c r="A406" s="340" t="s">
        <v>1444</v>
      </c>
      <c r="B406" s="354" t="s">
        <v>1450</v>
      </c>
    </row>
    <row r="407" ht="22.5" customHeight="1">
      <c r="A407" s="340" t="s">
        <v>3397</v>
      </c>
      <c r="B407" s="354" t="s">
        <v>1857</v>
      </c>
    </row>
    <row r="408" ht="22.5" customHeight="1">
      <c r="A408" s="340" t="s">
        <v>1955</v>
      </c>
      <c r="B408" s="354" t="s">
        <v>1961</v>
      </c>
    </row>
    <row r="409" ht="22.5" customHeight="1">
      <c r="A409" s="340" t="s">
        <v>1146</v>
      </c>
      <c r="B409" s="354" t="s">
        <v>1152</v>
      </c>
    </row>
    <row r="410" ht="22.5" customHeight="1">
      <c r="A410" s="340" t="s">
        <v>3839</v>
      </c>
      <c r="B410" s="354" t="s">
        <v>3052</v>
      </c>
    </row>
    <row r="411" ht="22.5" customHeight="1">
      <c r="A411" s="340" t="s">
        <v>3915</v>
      </c>
      <c r="B411" s="354" t="s">
        <v>834</v>
      </c>
    </row>
    <row r="412" ht="22.5" customHeight="1">
      <c r="A412" s="340" t="s">
        <v>1360</v>
      </c>
      <c r="B412" s="354" t="s">
        <v>1366</v>
      </c>
    </row>
    <row r="413" ht="22.5" customHeight="1">
      <c r="A413" s="340" t="s">
        <v>2629</v>
      </c>
      <c r="B413" s="354" t="s">
        <v>2635</v>
      </c>
    </row>
    <row r="414" ht="22.5" customHeight="1">
      <c r="A414" s="340" t="s">
        <v>3006</v>
      </c>
      <c r="B414" s="354" t="s">
        <v>2464</v>
      </c>
    </row>
    <row r="415" ht="22.5" customHeight="1">
      <c r="A415" s="340" t="s">
        <v>2909</v>
      </c>
      <c r="B415" s="354" t="s">
        <v>2915</v>
      </c>
    </row>
    <row r="416" ht="22.5" customHeight="1">
      <c r="A416" s="340" t="s">
        <v>2821</v>
      </c>
      <c r="B416" s="354" t="s">
        <v>2827</v>
      </c>
    </row>
    <row r="417" ht="22.5" customHeight="1">
      <c r="A417" s="340" t="s">
        <v>3382</v>
      </c>
      <c r="B417" s="354" t="s">
        <v>1857</v>
      </c>
    </row>
    <row r="418" ht="22.5" customHeight="1">
      <c r="A418" s="340" t="s">
        <v>3432</v>
      </c>
      <c r="B418" s="354" t="s">
        <v>3437</v>
      </c>
    </row>
    <row r="419" ht="22.5" customHeight="1">
      <c r="A419" s="340" t="s">
        <v>2458</v>
      </c>
      <c r="B419" s="354" t="s">
        <v>2464</v>
      </c>
    </row>
    <row r="420" ht="22.5" customHeight="1">
      <c r="A420" s="340" t="s">
        <v>2163</v>
      </c>
      <c r="B420" s="354" t="s">
        <v>756</v>
      </c>
    </row>
    <row r="421" ht="22.5" customHeight="1">
      <c r="A421" s="340" t="s">
        <v>2206</v>
      </c>
      <c r="B421" s="354" t="s">
        <v>1772</v>
      </c>
    </row>
    <row r="422" ht="22.5" customHeight="1">
      <c r="A422" s="355" t="s">
        <v>1505</v>
      </c>
      <c r="B422" s="356" t="s">
        <v>974</v>
      </c>
    </row>
    <row r="423" ht="22.5" customHeight="1">
      <c r="A423" s="340" t="s">
        <v>2354</v>
      </c>
      <c r="B423" s="354" t="s">
        <v>1394</v>
      </c>
    </row>
    <row r="424" ht="22.5" customHeight="1">
      <c r="A424" s="340" t="s">
        <v>1099</v>
      </c>
      <c r="B424" s="354" t="s">
        <v>1104</v>
      </c>
    </row>
    <row r="425" ht="22.5" customHeight="1">
      <c r="A425" s="340" t="s">
        <v>2042</v>
      </c>
      <c r="B425" s="354" t="s">
        <v>2048</v>
      </c>
    </row>
    <row r="426" ht="22.5" customHeight="1">
      <c r="A426" s="340" t="s">
        <v>2835</v>
      </c>
      <c r="B426" s="354" t="s">
        <v>2844</v>
      </c>
    </row>
    <row r="427" ht="22.5" customHeight="1">
      <c r="A427" s="340" t="s">
        <v>4664</v>
      </c>
      <c r="B427" s="354" t="s">
        <v>4669</v>
      </c>
    </row>
    <row r="428" ht="22.5" customHeight="1">
      <c r="A428" s="340" t="s">
        <v>3686</v>
      </c>
      <c r="B428" s="354" t="s">
        <v>834</v>
      </c>
    </row>
    <row r="429" ht="22.5" customHeight="1">
      <c r="A429" s="340" t="s">
        <v>2740</v>
      </c>
      <c r="B429" s="354" t="s">
        <v>2745</v>
      </c>
    </row>
    <row r="430" ht="22.5" customHeight="1">
      <c r="A430" s="340" t="s">
        <v>2740</v>
      </c>
      <c r="B430" s="354" t="s">
        <v>2745</v>
      </c>
    </row>
    <row r="431" ht="22.5" customHeight="1">
      <c r="A431" s="340" t="s">
        <v>4509</v>
      </c>
      <c r="B431" s="354" t="s">
        <v>4509</v>
      </c>
    </row>
    <row r="432" ht="22.5" customHeight="1">
      <c r="A432" s="340" t="s">
        <v>4670</v>
      </c>
      <c r="B432" s="354" t="s">
        <v>1069</v>
      </c>
    </row>
    <row r="433" ht="22.5" customHeight="1">
      <c r="A433" s="340" t="s">
        <v>1222</v>
      </c>
      <c r="B433" s="354" t="s">
        <v>1161</v>
      </c>
    </row>
    <row r="434" ht="22.5" customHeight="1">
      <c r="A434" s="340" t="s">
        <v>1934</v>
      </c>
      <c r="B434" s="354" t="s">
        <v>1940</v>
      </c>
    </row>
    <row r="435" ht="22.5" customHeight="1">
      <c r="A435" s="340" t="s">
        <v>3158</v>
      </c>
      <c r="B435" s="354" t="s">
        <v>2613</v>
      </c>
    </row>
    <row r="436" ht="22.5" customHeight="1">
      <c r="A436" s="340" t="s">
        <v>1706</v>
      </c>
      <c r="B436" s="354" t="s">
        <v>1715</v>
      </c>
    </row>
    <row r="437" ht="22.5" customHeight="1">
      <c r="A437" s="340" t="s">
        <v>1950</v>
      </c>
      <c r="B437" s="354" t="s">
        <v>825</v>
      </c>
    </row>
    <row r="438" ht="22.5" customHeight="1">
      <c r="A438" s="340" t="s">
        <v>3666</v>
      </c>
      <c r="B438" s="354" t="s">
        <v>834</v>
      </c>
    </row>
    <row r="439" ht="22.5" customHeight="1">
      <c r="A439" s="340" t="s">
        <v>2660</v>
      </c>
      <c r="B439" s="354" t="s">
        <v>816</v>
      </c>
    </row>
    <row r="440" ht="22.5" customHeight="1">
      <c r="A440" s="340" t="s">
        <v>2136</v>
      </c>
      <c r="B440" s="354" t="s">
        <v>2141</v>
      </c>
    </row>
    <row r="441" ht="22.5" customHeight="1">
      <c r="A441" s="340" t="s">
        <v>2699</v>
      </c>
      <c r="B441" s="354" t="s">
        <v>834</v>
      </c>
    </row>
    <row r="442" ht="22.5" customHeight="1">
      <c r="A442" s="340" t="s">
        <v>4320</v>
      </c>
      <c r="B442" s="354" t="s">
        <v>4326</v>
      </c>
    </row>
    <row r="443" ht="22.5" customHeight="1">
      <c r="A443" s="340" t="s">
        <v>1299</v>
      </c>
      <c r="B443" s="354" t="s">
        <v>1305</v>
      </c>
    </row>
    <row r="444" ht="22.5" customHeight="1">
      <c r="A444" s="340" t="s">
        <v>3460</v>
      </c>
      <c r="B444" s="354" t="s">
        <v>843</v>
      </c>
    </row>
    <row r="445" ht="22.5" customHeight="1">
      <c r="A445" s="340" t="s">
        <v>3909</v>
      </c>
      <c r="B445" s="354" t="s">
        <v>1517</v>
      </c>
    </row>
    <row r="446" ht="22.5" customHeight="1">
      <c r="A446" s="340" t="s">
        <v>3095</v>
      </c>
      <c r="B446" s="354" t="s">
        <v>3100</v>
      </c>
    </row>
    <row r="447" ht="22.5" customHeight="1">
      <c r="A447" s="340" t="s">
        <v>3735</v>
      </c>
      <c r="B447" s="354" t="s">
        <v>2915</v>
      </c>
    </row>
    <row r="448" ht="22.5" customHeight="1">
      <c r="A448" s="340" t="s">
        <v>3019</v>
      </c>
      <c r="B448" s="354" t="s">
        <v>2464</v>
      </c>
    </row>
    <row r="449" ht="22.5" customHeight="1">
      <c r="A449" s="340" t="s">
        <v>3538</v>
      </c>
      <c r="B449" s="354" t="s">
        <v>868</v>
      </c>
    </row>
    <row r="450" ht="22.5" customHeight="1">
      <c r="A450" s="340" t="s">
        <v>1202</v>
      </c>
      <c r="B450" s="354" t="s">
        <v>1211</v>
      </c>
    </row>
    <row r="451" ht="22.5" customHeight="1">
      <c r="A451" s="340" t="s">
        <v>999</v>
      </c>
      <c r="B451" s="354" t="s">
        <v>1008</v>
      </c>
    </row>
    <row r="452" ht="22.5" customHeight="1">
      <c r="A452" s="340" t="s">
        <v>2904</v>
      </c>
      <c r="B452" s="354" t="s">
        <v>965</v>
      </c>
    </row>
    <row r="453" ht="22.5" customHeight="1">
      <c r="A453" s="340" t="s">
        <v>1253</v>
      </c>
      <c r="B453" s="354" t="s">
        <v>1211</v>
      </c>
    </row>
    <row r="454" ht="22.5" customHeight="1">
      <c r="A454" s="340" t="s">
        <v>2211</v>
      </c>
      <c r="B454" s="354" t="s">
        <v>1913</v>
      </c>
    </row>
    <row r="455" ht="22.5" customHeight="1">
      <c r="A455" s="340" t="s">
        <v>3102</v>
      </c>
      <c r="B455" s="354" t="s">
        <v>2582</v>
      </c>
    </row>
    <row r="456" ht="22.5" customHeight="1">
      <c r="A456" s="340" t="s">
        <v>2607</v>
      </c>
      <c r="B456" s="354" t="s">
        <v>2613</v>
      </c>
    </row>
    <row r="457" ht="22.5" customHeight="1">
      <c r="A457" s="340" t="s">
        <v>4264</v>
      </c>
      <c r="B457" s="354" t="s">
        <v>4269</v>
      </c>
    </row>
    <row r="458" ht="22.5" customHeight="1">
      <c r="A458" s="340" t="s">
        <v>1026</v>
      </c>
      <c r="B458" s="354" t="s">
        <v>1017</v>
      </c>
    </row>
    <row r="459" ht="22.5" customHeight="1">
      <c r="A459" s="340" t="s">
        <v>1237</v>
      </c>
      <c r="B459" s="354" t="s">
        <v>914</v>
      </c>
    </row>
    <row r="460" ht="22.5" customHeight="1">
      <c r="A460" s="340" t="s">
        <v>3148</v>
      </c>
      <c r="B460" s="354" t="s">
        <v>2352</v>
      </c>
    </row>
    <row r="461" ht="22.5" customHeight="1">
      <c r="A461" s="340" t="s">
        <v>941</v>
      </c>
      <c r="B461" s="354" t="s">
        <v>929</v>
      </c>
    </row>
    <row r="462" ht="22.5" customHeight="1">
      <c r="A462" s="355" t="s">
        <v>941</v>
      </c>
      <c r="B462" s="356" t="s">
        <v>929</v>
      </c>
    </row>
    <row r="463" ht="22.5" customHeight="1">
      <c r="A463" s="340" t="s">
        <v>1890</v>
      </c>
      <c r="B463" s="354" t="s">
        <v>1896</v>
      </c>
    </row>
    <row r="464" ht="22.5" customHeight="1">
      <c r="A464" s="340" t="s">
        <v>3125</v>
      </c>
      <c r="B464" s="354" t="s">
        <v>1610</v>
      </c>
    </row>
    <row r="465" ht="22.5" customHeight="1">
      <c r="A465" s="340" t="s">
        <v>4131</v>
      </c>
      <c r="B465" s="354" t="s">
        <v>950</v>
      </c>
    </row>
    <row r="466" ht="22.5" customHeight="1">
      <c r="A466" s="355" t="s">
        <v>848</v>
      </c>
      <c r="B466" s="356" t="s">
        <v>1931</v>
      </c>
    </row>
    <row r="467" ht="22.5" customHeight="1">
      <c r="A467" s="340" t="s">
        <v>4483</v>
      </c>
      <c r="B467" s="354" t="s">
        <v>4489</v>
      </c>
    </row>
    <row r="468" ht="22.5" customHeight="1">
      <c r="A468" s="340" t="s">
        <v>1337</v>
      </c>
      <c r="B468" s="354" t="s">
        <v>1343</v>
      </c>
    </row>
    <row r="469" ht="22.5" customHeight="1">
      <c r="A469" s="340" t="s">
        <v>1730</v>
      </c>
      <c r="B469" s="354" t="s">
        <v>1735</v>
      </c>
    </row>
    <row r="470" ht="22.5" customHeight="1">
      <c r="A470" s="340" t="s">
        <v>2982</v>
      </c>
      <c r="B470" s="354" t="s">
        <v>2988</v>
      </c>
    </row>
    <row r="471" ht="22.5" customHeight="1">
      <c r="A471" s="340" t="s">
        <v>5429</v>
      </c>
      <c r="B471" s="354" t="s">
        <v>1857</v>
      </c>
    </row>
    <row r="472" ht="22.5" customHeight="1">
      <c r="A472" s="340" t="s">
        <v>2081</v>
      </c>
      <c r="B472" s="354" t="s">
        <v>756</v>
      </c>
    </row>
    <row r="473" ht="22.5" customHeight="1">
      <c r="A473" s="355" t="s">
        <v>2105</v>
      </c>
      <c r="B473" s="356" t="s">
        <v>2111</v>
      </c>
    </row>
    <row r="474" ht="22.5" customHeight="1">
      <c r="A474" s="340" t="s">
        <v>4220</v>
      </c>
      <c r="B474" s="354" t="s">
        <v>4226</v>
      </c>
    </row>
    <row r="475" ht="22.5" customHeight="1">
      <c r="A475" s="340" t="s">
        <v>3228</v>
      </c>
      <c r="B475" s="354" t="s">
        <v>2771</v>
      </c>
    </row>
    <row r="476" ht="22.5" customHeight="1">
      <c r="A476" s="340" t="s">
        <v>3954</v>
      </c>
      <c r="B476" s="354" t="s">
        <v>3960</v>
      </c>
    </row>
    <row r="477" ht="22.5" customHeight="1">
      <c r="A477" s="340" t="s">
        <v>1352</v>
      </c>
      <c r="B477" s="354" t="s">
        <v>1357</v>
      </c>
    </row>
    <row r="478" ht="22.5" customHeight="1">
      <c r="A478" s="340" t="s">
        <v>2934</v>
      </c>
      <c r="B478" s="354" t="s">
        <v>2915</v>
      </c>
    </row>
    <row r="479" ht="22.5" customHeight="1">
      <c r="A479" s="340" t="s">
        <v>3178</v>
      </c>
      <c r="B479" s="354" t="s">
        <v>3184</v>
      </c>
    </row>
    <row r="480" ht="22.5" customHeight="1">
      <c r="A480" s="340" t="s">
        <v>4145</v>
      </c>
      <c r="B480" s="354" t="s">
        <v>4150</v>
      </c>
    </row>
    <row r="481" ht="22.5" customHeight="1">
      <c r="A481" s="340" t="s">
        <v>1529</v>
      </c>
      <c r="B481" s="354" t="s">
        <v>1069</v>
      </c>
    </row>
    <row r="482" ht="22.5" customHeight="1">
      <c r="A482" s="340" t="s">
        <v>1785</v>
      </c>
      <c r="B482" s="354" t="s">
        <v>1792</v>
      </c>
    </row>
    <row r="483" ht="22.5" customHeight="1">
      <c r="A483" s="340" t="s">
        <v>4401</v>
      </c>
      <c r="B483" s="354" t="s">
        <v>3582</v>
      </c>
    </row>
    <row r="484" ht="22.5" customHeight="1">
      <c r="A484" s="340" t="s">
        <v>760</v>
      </c>
      <c r="B484" s="354" t="s">
        <v>767</v>
      </c>
    </row>
    <row r="485" ht="22.5" customHeight="1">
      <c r="A485" s="340" t="s">
        <v>1122</v>
      </c>
      <c r="B485" s="354" t="s">
        <v>1128</v>
      </c>
    </row>
    <row r="486" ht="22.5" customHeight="1">
      <c r="A486" s="340" t="s">
        <v>4621</v>
      </c>
      <c r="B486" s="354" t="s">
        <v>4627</v>
      </c>
    </row>
    <row r="487" ht="22.5" customHeight="1">
      <c r="A487" s="340" t="s">
        <v>2500</v>
      </c>
      <c r="B487" s="354" t="s">
        <v>2508</v>
      </c>
    </row>
    <row r="488" ht="22.5" customHeight="1">
      <c r="A488" s="340" t="s">
        <v>1275</v>
      </c>
      <c r="B488" s="354" t="s">
        <v>756</v>
      </c>
    </row>
    <row r="489" ht="22.5" customHeight="1">
      <c r="A489" s="340" t="s">
        <v>4371</v>
      </c>
      <c r="B489" s="354" t="s">
        <v>4379</v>
      </c>
    </row>
    <row r="490" ht="22.5" customHeight="1">
      <c r="A490" s="340" t="s">
        <v>1944</v>
      </c>
      <c r="B490" s="354" t="s">
        <v>1394</v>
      </c>
    </row>
    <row r="491" ht="22.5" customHeight="1">
      <c r="A491" s="340" t="s">
        <v>1738</v>
      </c>
      <c r="B491" s="354" t="s">
        <v>956</v>
      </c>
    </row>
    <row r="492" ht="22.5" customHeight="1">
      <c r="A492" s="340" t="s">
        <v>2860</v>
      </c>
      <c r="B492" s="354" t="s">
        <v>1857</v>
      </c>
    </row>
    <row r="493" ht="22.5" customHeight="1">
      <c r="A493" s="340" t="s">
        <v>1657</v>
      </c>
      <c r="B493" s="354" t="s">
        <v>1664</v>
      </c>
    </row>
    <row r="494" ht="22.5" customHeight="1">
      <c r="A494" s="340" t="s">
        <v>4523</v>
      </c>
      <c r="B494" s="354" t="s">
        <v>4533</v>
      </c>
    </row>
    <row r="495" ht="22.5" customHeight="1">
      <c r="A495" s="340" t="s">
        <v>4287</v>
      </c>
      <c r="B495" s="354" t="s">
        <v>3907</v>
      </c>
    </row>
    <row r="496" ht="22.5" customHeight="1">
      <c r="A496" s="340" t="s">
        <v>1697</v>
      </c>
      <c r="B496" s="354" t="s">
        <v>1703</v>
      </c>
    </row>
    <row r="497" ht="22.5" customHeight="1">
      <c r="A497" s="340" t="s">
        <v>1697</v>
      </c>
      <c r="B497" s="354" t="s">
        <v>2071</v>
      </c>
    </row>
    <row r="498" ht="22.5" customHeight="1">
      <c r="A498" s="340" t="s">
        <v>3499</v>
      </c>
      <c r="B498" s="354" t="s">
        <v>2915</v>
      </c>
    </row>
    <row r="499" ht="22.5" customHeight="1">
      <c r="A499" s="340" t="s">
        <v>810</v>
      </c>
      <c r="B499" s="354" t="s">
        <v>816</v>
      </c>
    </row>
    <row r="500" ht="22.5" customHeight="1">
      <c r="A500" s="340" t="s">
        <v>2616</v>
      </c>
      <c r="B500" s="354" t="s">
        <v>834</v>
      </c>
    </row>
    <row r="501" ht="22.5" customHeight="1">
      <c r="A501" s="340" t="s">
        <v>2765</v>
      </c>
      <c r="B501" s="354" t="s">
        <v>2771</v>
      </c>
    </row>
    <row r="502" ht="22.5" customHeight="1">
      <c r="A502" s="340" t="s">
        <v>3131</v>
      </c>
      <c r="B502" s="354" t="s">
        <v>3136</v>
      </c>
    </row>
    <row r="503" ht="22.5" customHeight="1">
      <c r="A503" s="340" t="s">
        <v>3629</v>
      </c>
      <c r="B503" s="354" t="s">
        <v>3136</v>
      </c>
    </row>
    <row r="504" ht="22.5" customHeight="1">
      <c r="A504" s="340" t="s">
        <v>5430</v>
      </c>
      <c r="B504" s="354" t="s">
        <v>3820</v>
      </c>
    </row>
    <row r="505" ht="22.5" customHeight="1">
      <c r="A505" s="340" t="s">
        <v>1317</v>
      </c>
      <c r="B505" s="354" t="s">
        <v>1325</v>
      </c>
    </row>
    <row r="506" ht="22.5" customHeight="1">
      <c r="A506" s="340" t="s">
        <v>2676</v>
      </c>
      <c r="B506" s="354" t="s">
        <v>2048</v>
      </c>
    </row>
    <row r="507" ht="22.5" customHeight="1">
      <c r="A507" s="340" t="s">
        <v>984</v>
      </c>
      <c r="B507" s="354" t="s">
        <v>990</v>
      </c>
    </row>
    <row r="508" ht="22.5" customHeight="1">
      <c r="A508" s="340" t="s">
        <v>1534</v>
      </c>
      <c r="B508" s="354" t="s">
        <v>1104</v>
      </c>
    </row>
    <row r="509" ht="22.5" customHeight="1">
      <c r="A509" s="340" t="s">
        <v>1193</v>
      </c>
      <c r="B509" s="354" t="s">
        <v>1199</v>
      </c>
    </row>
    <row r="510" ht="22.5" customHeight="1">
      <c r="A510" s="340" t="s">
        <v>3256</v>
      </c>
      <c r="B510" s="354" t="s">
        <v>3261</v>
      </c>
    </row>
    <row r="511" ht="22.5" customHeight="1">
      <c r="A511" s="340" t="s">
        <v>2783</v>
      </c>
      <c r="B511" s="354" t="s">
        <v>2790</v>
      </c>
    </row>
    <row r="512" ht="22.5" customHeight="1">
      <c r="A512" s="340" t="s">
        <v>1554</v>
      </c>
      <c r="B512" s="354" t="s">
        <v>825</v>
      </c>
    </row>
    <row r="513" ht="22.5" customHeight="1">
      <c r="A513" s="340" t="s">
        <v>2281</v>
      </c>
      <c r="B513" s="354" t="s">
        <v>2122</v>
      </c>
    </row>
    <row r="514" ht="22.5" customHeight="1">
      <c r="A514" s="340" t="s">
        <v>3234</v>
      </c>
      <c r="B514" s="354" t="s">
        <v>3240</v>
      </c>
    </row>
    <row r="515" ht="22.5" customHeight="1">
      <c r="A515" s="355" t="s">
        <v>5431</v>
      </c>
      <c r="B515" s="356" t="s">
        <v>5431</v>
      </c>
    </row>
    <row r="516" ht="22.5" customHeight="1">
      <c r="A516" s="340" t="s">
        <v>3293</v>
      </c>
      <c r="B516" s="354" t="s">
        <v>914</v>
      </c>
    </row>
    <row r="517" ht="22.5" customHeight="1">
      <c r="A517" s="340" t="s">
        <v>3822</v>
      </c>
      <c r="B517" s="354" t="s">
        <v>1325</v>
      </c>
    </row>
    <row r="518" ht="22.5" customHeight="1">
      <c r="A518" s="355" t="s">
        <v>1804</v>
      </c>
      <c r="B518" s="356" t="s">
        <v>1810</v>
      </c>
    </row>
    <row r="519" ht="22.5" customHeight="1">
      <c r="A519" s="340" t="s">
        <v>3515</v>
      </c>
      <c r="B519" s="354" t="s">
        <v>2873</v>
      </c>
    </row>
    <row r="520" ht="22.5" customHeight="1">
      <c r="A520" s="340" t="s">
        <v>4182</v>
      </c>
      <c r="B520" s="354" t="s">
        <v>4188</v>
      </c>
    </row>
    <row r="521" ht="22.5" customHeight="1">
      <c r="A521" s="340" t="s">
        <v>862</v>
      </c>
      <c r="B521" s="354" t="s">
        <v>868</v>
      </c>
    </row>
    <row r="522" ht="22.5" customHeight="1">
      <c r="A522" s="340" t="s">
        <v>3936</v>
      </c>
      <c r="B522" s="354" t="s">
        <v>1008</v>
      </c>
    </row>
    <row r="523" ht="22.5" customHeight="1">
      <c r="A523" s="340" t="s">
        <v>4206</v>
      </c>
      <c r="B523" s="354" t="s">
        <v>787</v>
      </c>
    </row>
    <row r="524" ht="22.5" customHeight="1">
      <c r="A524" s="340" t="s">
        <v>2592</v>
      </c>
      <c r="B524" s="354" t="s">
        <v>2598</v>
      </c>
    </row>
    <row r="525" ht="22.5" customHeight="1">
      <c r="A525" s="340" t="s">
        <v>1916</v>
      </c>
      <c r="B525" s="354" t="s">
        <v>1922</v>
      </c>
    </row>
    <row r="526" ht="22.5" customHeight="1">
      <c r="A526" s="340" t="s">
        <v>2899</v>
      </c>
      <c r="B526" s="354" t="s">
        <v>1517</v>
      </c>
    </row>
    <row r="527" ht="22.5" customHeight="1">
      <c r="A527" s="340" t="s">
        <v>977</v>
      </c>
      <c r="B527" s="354" t="s">
        <v>974</v>
      </c>
    </row>
    <row r="528" ht="22.5" customHeight="1">
      <c r="A528" s="340" t="s">
        <v>2600</v>
      </c>
      <c r="B528" s="354" t="s">
        <v>2573</v>
      </c>
    </row>
    <row r="529" ht="22.5" customHeight="1">
      <c r="A529" s="340" t="s">
        <v>1979</v>
      </c>
      <c r="B529" s="354" t="s">
        <v>1984</v>
      </c>
    </row>
    <row r="530" ht="22.5" customHeight="1">
      <c r="A530" s="340" t="s">
        <v>4095</v>
      </c>
      <c r="B530" s="354" t="s">
        <v>1325</v>
      </c>
    </row>
    <row r="531" ht="22.5" customHeight="1">
      <c r="A531" s="340" t="s">
        <v>2027</v>
      </c>
      <c r="B531" s="354" t="s">
        <v>2033</v>
      </c>
    </row>
    <row r="532" ht="22.5" customHeight="1">
      <c r="A532" s="340" t="s">
        <v>2976</v>
      </c>
      <c r="B532" s="354" t="s">
        <v>2980</v>
      </c>
    </row>
    <row r="533" ht="22.5" customHeight="1">
      <c r="A533" s="340" t="s">
        <v>2801</v>
      </c>
      <c r="B533" s="354" t="s">
        <v>2806</v>
      </c>
    </row>
    <row r="534" ht="22.5" customHeight="1">
      <c r="A534" s="340" t="s">
        <v>3930</v>
      </c>
      <c r="B534" s="354" t="s">
        <v>3927</v>
      </c>
    </row>
    <row r="535" ht="36.0" customHeight="1">
      <c r="A535" s="358"/>
      <c r="B535" s="331"/>
    </row>
    <row r="536" ht="36.0" customHeight="1">
      <c r="A536" s="358"/>
      <c r="B536" s="331"/>
    </row>
    <row r="537" ht="36.0" customHeight="1">
      <c r="A537" s="358"/>
      <c r="B537" s="331"/>
    </row>
    <row r="538" ht="36.0" customHeight="1">
      <c r="A538" s="358"/>
      <c r="B538" s="331"/>
    </row>
    <row r="539" ht="36.0" customHeight="1">
      <c r="A539" s="358"/>
      <c r="B539" s="331"/>
    </row>
    <row r="540" ht="36.0" customHeight="1">
      <c r="A540" s="358"/>
      <c r="B540" s="331"/>
    </row>
    <row r="541" ht="36.0" customHeight="1">
      <c r="A541" s="358"/>
      <c r="B541" s="331"/>
    </row>
    <row r="542" ht="36.0" customHeight="1">
      <c r="A542" s="358"/>
      <c r="B542" s="331"/>
    </row>
    <row r="543" ht="36.0" customHeight="1">
      <c r="A543" s="358"/>
      <c r="B543" s="331"/>
    </row>
    <row r="544" ht="36.0" customHeight="1">
      <c r="A544" s="358"/>
      <c r="B544" s="331"/>
    </row>
    <row r="545" ht="36.0" customHeight="1">
      <c r="A545" s="358"/>
      <c r="B545" s="331"/>
    </row>
    <row r="546" ht="36.0" customHeight="1">
      <c r="A546" s="358"/>
      <c r="B546" s="331"/>
    </row>
    <row r="547" ht="36.0" customHeight="1">
      <c r="A547" s="358"/>
      <c r="B547" s="331"/>
    </row>
    <row r="548" ht="36.0" customHeight="1">
      <c r="A548" s="358"/>
      <c r="B548" s="331"/>
    </row>
    <row r="549" ht="36.0" customHeight="1">
      <c r="A549" s="358"/>
      <c r="B549" s="331"/>
    </row>
    <row r="550" ht="36.0" customHeight="1">
      <c r="A550" s="358"/>
      <c r="B550" s="331"/>
    </row>
    <row r="551" ht="36.0" customHeight="1">
      <c r="A551" s="358"/>
      <c r="B551" s="331"/>
    </row>
    <row r="552" ht="36.0" customHeight="1">
      <c r="A552" s="358"/>
      <c r="B552" s="331"/>
    </row>
    <row r="553" ht="36.0" customHeight="1">
      <c r="A553" s="358"/>
      <c r="B553" s="331"/>
    </row>
    <row r="554" ht="36.0" customHeight="1">
      <c r="A554" s="358"/>
      <c r="B554" s="331"/>
    </row>
    <row r="555" ht="36.0" customHeight="1">
      <c r="A555" s="358"/>
      <c r="B555" s="331"/>
    </row>
    <row r="556" ht="36.0" customHeight="1">
      <c r="A556" s="358"/>
      <c r="B556" s="331"/>
    </row>
    <row r="557" ht="36.0" customHeight="1">
      <c r="A557" s="358"/>
      <c r="B557" s="331"/>
    </row>
    <row r="558" ht="36.0" customHeight="1">
      <c r="A558" s="358"/>
      <c r="B558" s="331"/>
    </row>
    <row r="559" ht="36.0" customHeight="1">
      <c r="A559" s="358"/>
      <c r="B559" s="331"/>
    </row>
    <row r="560" ht="36.0" customHeight="1">
      <c r="A560" s="358"/>
      <c r="B560" s="331"/>
    </row>
    <row r="561" ht="36.0" customHeight="1">
      <c r="A561" s="358"/>
      <c r="B561" s="331"/>
    </row>
    <row r="562" ht="36.0" customHeight="1">
      <c r="A562" s="358"/>
      <c r="B562" s="331"/>
    </row>
    <row r="563" ht="36.0" customHeight="1">
      <c r="A563" s="358"/>
      <c r="B563" s="331"/>
    </row>
    <row r="564" ht="36.0" customHeight="1">
      <c r="A564" s="358"/>
      <c r="B564" s="331"/>
    </row>
    <row r="565" ht="36.0" customHeight="1">
      <c r="A565" s="358"/>
      <c r="B565" s="331"/>
    </row>
    <row r="566" ht="36.0" customHeight="1">
      <c r="A566" s="358"/>
      <c r="B566" s="331"/>
    </row>
    <row r="567" ht="36.0" customHeight="1">
      <c r="A567" s="358"/>
      <c r="B567" s="331"/>
    </row>
    <row r="568" ht="36.0" customHeight="1">
      <c r="A568" s="358"/>
      <c r="B568" s="331"/>
    </row>
    <row r="569" ht="36.0" customHeight="1">
      <c r="A569" s="358"/>
      <c r="B569" s="331"/>
    </row>
    <row r="570" ht="36.0" customHeight="1">
      <c r="A570" s="358"/>
      <c r="B570" s="331"/>
    </row>
    <row r="571" ht="36.0" customHeight="1">
      <c r="A571" s="358"/>
      <c r="B571" s="331"/>
    </row>
    <row r="572" ht="36.0" customHeight="1">
      <c r="A572" s="358"/>
      <c r="B572" s="331"/>
    </row>
    <row r="573" ht="36.0" customHeight="1">
      <c r="A573" s="358"/>
      <c r="B573" s="331"/>
    </row>
    <row r="574" ht="36.0" customHeight="1">
      <c r="A574" s="358"/>
      <c r="B574" s="331"/>
    </row>
    <row r="575" ht="36.0" customHeight="1">
      <c r="A575" s="358"/>
      <c r="B575" s="331"/>
    </row>
    <row r="576" ht="36.0" customHeight="1">
      <c r="A576" s="358"/>
      <c r="B576" s="331"/>
    </row>
    <row r="577" ht="36.0" customHeight="1">
      <c r="A577" s="358"/>
      <c r="B577" s="331"/>
    </row>
    <row r="578" ht="36.0" customHeight="1">
      <c r="A578" s="358"/>
      <c r="B578" s="331"/>
    </row>
    <row r="579" ht="36.0" customHeight="1">
      <c r="A579" s="358"/>
      <c r="B579" s="331"/>
    </row>
    <row r="580" ht="36.0" customHeight="1">
      <c r="A580" s="358"/>
      <c r="B580" s="331"/>
    </row>
    <row r="581" ht="36.0" customHeight="1">
      <c r="A581" s="358"/>
      <c r="B581" s="331"/>
    </row>
    <row r="582" ht="36.0" customHeight="1">
      <c r="A582" s="358"/>
      <c r="B582" s="331"/>
    </row>
    <row r="583" ht="36.0" customHeight="1">
      <c r="A583" s="358"/>
      <c r="B583" s="331"/>
    </row>
    <row r="584" ht="36.0" customHeight="1">
      <c r="A584" s="358"/>
      <c r="B584" s="331"/>
    </row>
    <row r="585" ht="36.0" customHeight="1">
      <c r="A585" s="358"/>
      <c r="B585" s="331"/>
    </row>
    <row r="586" ht="36.0" customHeight="1">
      <c r="A586" s="358"/>
      <c r="B586" s="331"/>
    </row>
    <row r="587" ht="36.0" customHeight="1">
      <c r="A587" s="358"/>
      <c r="B587" s="331"/>
    </row>
    <row r="588" ht="36.0" customHeight="1">
      <c r="A588" s="358"/>
      <c r="B588" s="331"/>
    </row>
    <row r="589" ht="36.0" customHeight="1">
      <c r="A589" s="358"/>
      <c r="B589" s="331"/>
    </row>
    <row r="590" ht="36.0" customHeight="1">
      <c r="A590" s="358"/>
      <c r="B590" s="331"/>
    </row>
    <row r="591" ht="36.0" customHeight="1">
      <c r="A591" s="358"/>
      <c r="B591" s="331"/>
    </row>
    <row r="592" ht="36.0" customHeight="1">
      <c r="A592" s="358"/>
      <c r="B592" s="331"/>
    </row>
    <row r="593" ht="36.0" customHeight="1">
      <c r="A593" s="358"/>
      <c r="B593" s="331"/>
    </row>
    <row r="594" ht="36.0" customHeight="1">
      <c r="A594" s="358"/>
      <c r="B594" s="331"/>
    </row>
    <row r="595" ht="36.0" customHeight="1">
      <c r="A595" s="358"/>
      <c r="B595" s="331"/>
    </row>
    <row r="596" ht="36.0" customHeight="1">
      <c r="A596" s="358"/>
      <c r="B596" s="331"/>
    </row>
    <row r="597" ht="36.0" customHeight="1">
      <c r="A597" s="358"/>
      <c r="B597" s="331"/>
    </row>
    <row r="598" ht="36.0" customHeight="1">
      <c r="A598" s="358"/>
      <c r="B598" s="331"/>
    </row>
    <row r="599" ht="36.0" customHeight="1">
      <c r="A599" s="358"/>
      <c r="B599" s="331"/>
    </row>
    <row r="600" ht="36.0" customHeight="1">
      <c r="A600" s="358"/>
      <c r="B600" s="331"/>
    </row>
    <row r="601" ht="36.0" customHeight="1">
      <c r="A601" s="358"/>
      <c r="B601" s="331"/>
    </row>
    <row r="602" ht="36.0" customHeight="1">
      <c r="A602" s="358"/>
      <c r="B602" s="331"/>
    </row>
    <row r="603" ht="36.0" customHeight="1">
      <c r="A603" s="358"/>
      <c r="B603" s="331"/>
    </row>
    <row r="604" ht="36.0" customHeight="1">
      <c r="A604" s="358"/>
      <c r="B604" s="331"/>
    </row>
    <row r="605" ht="36.0" customHeight="1">
      <c r="A605" s="358"/>
      <c r="B605" s="331"/>
    </row>
    <row r="606" ht="36.0" customHeight="1">
      <c r="A606" s="358"/>
      <c r="B606" s="331"/>
    </row>
    <row r="607" ht="36.0" customHeight="1">
      <c r="A607" s="358"/>
      <c r="B607" s="331"/>
    </row>
    <row r="608" ht="36.0" customHeight="1">
      <c r="A608" s="358"/>
      <c r="B608" s="331"/>
    </row>
    <row r="609" ht="36.0" customHeight="1">
      <c r="A609" s="358"/>
      <c r="B609" s="331"/>
    </row>
    <row r="610" ht="36.0" customHeight="1">
      <c r="A610" s="358"/>
      <c r="B610" s="331"/>
    </row>
    <row r="611" ht="36.0" customHeight="1">
      <c r="A611" s="358"/>
      <c r="B611" s="331"/>
    </row>
    <row r="612" ht="36.0" customHeight="1">
      <c r="A612" s="358"/>
      <c r="B612" s="331"/>
    </row>
    <row r="613" ht="36.0" customHeight="1">
      <c r="A613" s="358"/>
      <c r="B613" s="331"/>
    </row>
    <row r="614" ht="36.0" customHeight="1">
      <c r="A614" s="358"/>
      <c r="B614" s="331"/>
    </row>
    <row r="615" ht="36.0" customHeight="1">
      <c r="A615" s="358"/>
      <c r="B615" s="331"/>
    </row>
    <row r="616" ht="36.0" customHeight="1">
      <c r="A616" s="358"/>
      <c r="B616" s="331"/>
    </row>
    <row r="617" ht="36.0" customHeight="1">
      <c r="A617" s="358"/>
      <c r="B617" s="331"/>
    </row>
    <row r="618" ht="36.0" customHeight="1">
      <c r="A618" s="358"/>
      <c r="B618" s="331"/>
    </row>
    <row r="619" ht="36.0" customHeight="1">
      <c r="A619" s="358"/>
      <c r="B619" s="331"/>
    </row>
    <row r="620" ht="36.0" customHeight="1">
      <c r="A620" s="358"/>
      <c r="B620" s="331"/>
    </row>
    <row r="621" ht="36.0" customHeight="1">
      <c r="A621" s="358"/>
      <c r="B621" s="331"/>
    </row>
    <row r="622" ht="36.0" customHeight="1">
      <c r="A622" s="358"/>
      <c r="B622" s="331"/>
    </row>
    <row r="623" ht="36.0" customHeight="1">
      <c r="A623" s="358"/>
      <c r="B623" s="331"/>
    </row>
    <row r="624" ht="36.0" customHeight="1">
      <c r="A624" s="358"/>
      <c r="B624" s="331"/>
    </row>
    <row r="625" ht="36.0" customHeight="1">
      <c r="A625" s="358"/>
      <c r="B625" s="331"/>
    </row>
    <row r="626" ht="36.0" customHeight="1">
      <c r="A626" s="358"/>
      <c r="B626" s="331"/>
    </row>
    <row r="627" ht="36.0" customHeight="1">
      <c r="A627" s="358"/>
      <c r="B627" s="331"/>
    </row>
    <row r="628" ht="36.0" customHeight="1">
      <c r="A628" s="358"/>
      <c r="B628" s="331"/>
    </row>
    <row r="629" ht="36.0" customHeight="1">
      <c r="A629" s="358"/>
      <c r="B629" s="331"/>
    </row>
    <row r="630" ht="36.0" customHeight="1">
      <c r="A630" s="358"/>
      <c r="B630" s="331"/>
    </row>
    <row r="631" ht="36.0" customHeight="1">
      <c r="A631" s="358"/>
      <c r="B631" s="331"/>
    </row>
  </sheetData>
  <autoFilter ref="$A$1:$A$534"/>
  <hyperlinks>
    <hyperlink r:id="rId2" ref="B195"/>
  </hyperlinks>
  <drawing r:id="rId3"/>
  <legacyDrawing r:id="rId4"/>
</worksheet>
</file>